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DOCUMENTOS FÁBIO_220314\PROJETOS 2023\PREF BOM SUCESSO DO SUL - 2023\PAVIMENTAÇÃO ASFÁLTICA\7 - PROJETO ASFALTO - 1.200.000,00\3 ALTERAÇÃO 18.01.2023\"/>
    </mc:Choice>
  </mc:AlternateContent>
  <workbookProtection workbookAlgorithmName="SHA-512" workbookHashValue="3a5Nt/C/OzzOiKd5GVevr/Ai93XUQPBlf2DtXa8QHtCECwiZGNQIWb1o/88t1edz05G0Fk0W2cMG5pr7bTCHvw==" workbookSaltValue="C2Q6c3IZYnLvKewcdEhiVg==" workbookSpinCount="100000" lockStructure="1"/>
  <bookViews>
    <workbookView xWindow="0" yWindow="0" windowWidth="19200" windowHeight="7035" tabRatio="658" firstSheet="2" activeTab="2"/>
  </bookViews>
  <sheets>
    <sheet name="base" sheetId="10" state="hidden" r:id="rId1"/>
    <sheet name="base (2)" sheetId="13" state="hidden" r:id="rId2"/>
    <sheet name="BDI Pavimentação" sheetId="20" r:id="rId3"/>
    <sheet name="Grandes Itens" sheetId="7" r:id="rId4"/>
    <sheet name="Cronograma PAM" sheetId="14" r:id="rId5"/>
    <sheet name="ORÇAMENTO GERAL" sheetId="21" r:id="rId6"/>
    <sheet name="ORÇ AV PADRE IVO" sheetId="22" r:id="rId7"/>
    <sheet name="ORÇ JOÃO NUNES" sheetId="23" r:id="rId8"/>
    <sheet name="ORÇ LAUDOMIRO" sheetId="24" r:id="rId9"/>
    <sheet name="ENSAIOS DE ORÇAMENTO" sheetId="17" state="hidden" r:id="rId10"/>
  </sheets>
  <externalReferences>
    <externalReference r:id="rId11"/>
    <externalReference r:id="rId12"/>
  </externalReferences>
  <definedNames>
    <definedName name="_xlnm._FilterDatabase" localSheetId="3" hidden="1">'Grandes Itens'!$A$4:$F$20</definedName>
    <definedName name="_xlnm._FilterDatabase" localSheetId="6" hidden="1">'ORÇ AV PADRE IVO'!$A$17:$Z$2717</definedName>
    <definedName name="_xlnm._FilterDatabase" localSheetId="7" hidden="1">'ORÇ JOÃO NUNES'!$A$17:$Z$2717</definedName>
    <definedName name="_xlnm._FilterDatabase" localSheetId="8" hidden="1">'ORÇ LAUDOMIRO'!$A$17:$Z$2717</definedName>
    <definedName name="_xlnm._FilterDatabase" localSheetId="5" hidden="1">'ORÇAMENTO GERAL'!$A$17:$Z$2717</definedName>
    <definedName name="_xlnm.Print_Area" localSheetId="0">base!$B$1:$P$13</definedName>
    <definedName name="_xlnm.Print_Area" localSheetId="1">'base (2)'!$B$1:$P$13</definedName>
    <definedName name="_xlnm.Print_Area" localSheetId="2">'BDI Pavimentação'!$A$1:$C$17</definedName>
    <definedName name="_xlnm.Print_Area" localSheetId="4">'Cronograma PAM'!$A$1:$S$55</definedName>
    <definedName name="_xlnm.Print_Area" localSheetId="9">'ENSAIOS DE ORÇAMENTO'!#REF!</definedName>
    <definedName name="_xlnm.Print_Area" localSheetId="3">'Grandes Itens'!$A$1:$G$20</definedName>
    <definedName name="_xlnm.Print_Area" localSheetId="6">'ORÇ AV PADRE IVO'!$B$1:$V$2717</definedName>
    <definedName name="_xlnm.Print_Area" localSheetId="7">'ORÇ JOÃO NUNES'!$B$1:$V$2717</definedName>
    <definedName name="_xlnm.Print_Area" localSheetId="8">'ORÇ LAUDOMIRO'!$B$1:$V$2717</definedName>
    <definedName name="_xlnm.Print_Area" localSheetId="5">'ORÇAMENTO GERAL'!$B$1:$V$2717</definedName>
    <definedName name="d" localSheetId="2">[1]proposta!#REF!</definedName>
    <definedName name="d" localSheetId="6">[1]proposta!#REF!</definedName>
    <definedName name="d" localSheetId="7">[1]proposta!#REF!</definedName>
    <definedName name="d" localSheetId="8">[1]proposta!#REF!</definedName>
    <definedName name="d" localSheetId="5">[1]proposta!#REF!</definedName>
    <definedName name="d">[1]proposta!#REF!</definedName>
    <definedName name="j" localSheetId="2">#REF!</definedName>
    <definedName name="j" localSheetId="6">'ORÇ AV PADRE IVO'!$B$1</definedName>
    <definedName name="j" localSheetId="7">'ORÇ JOÃO NUNES'!$B$1</definedName>
    <definedName name="j" localSheetId="8">'ORÇ LAUDOMIRO'!$B$1</definedName>
    <definedName name="j" localSheetId="5">'ORÇAMENTO GERAL'!$B$1</definedName>
    <definedName name="j">#REF!</definedName>
    <definedName name="_xlnm.Print_Titles" localSheetId="9">'ENSAIOS DE ORÇAMENTO'!#REF!</definedName>
    <definedName name="_xlnm.Print_Titles" localSheetId="3">'Grandes Itens'!$4:$4</definedName>
    <definedName name="_xlnm.Print_Titles" localSheetId="6">'ORÇ AV PADRE IVO'!$16:$17</definedName>
    <definedName name="_xlnm.Print_Titles" localSheetId="7">'ORÇ JOÃO NUNES'!$16:$17</definedName>
    <definedName name="_xlnm.Print_Titles" localSheetId="8">'ORÇ LAUDOMIRO'!$16:$17</definedName>
    <definedName name="_xlnm.Print_Titles" localSheetId="5">'ORÇAMENTO GERAL'!$16:$17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794" i="21" l="1"/>
  <c r="D19" i="7"/>
  <c r="M592" i="24"/>
  <c r="M592" i="21" s="1"/>
  <c r="M605" i="24"/>
  <c r="M605" i="23"/>
  <c r="M748" i="21"/>
  <c r="M742" i="21"/>
  <c r="M605" i="21"/>
  <c r="M590" i="21"/>
  <c r="M605" i="22"/>
  <c r="M592" i="23"/>
  <c r="M592" i="22"/>
  <c r="M794" i="24"/>
  <c r="M794" i="23"/>
  <c r="M794" i="22"/>
  <c r="M2675" i="21"/>
  <c r="M2674" i="21"/>
  <c r="M2673" i="21"/>
  <c r="M2672" i="21"/>
  <c r="M2671" i="21"/>
  <c r="M2670" i="21"/>
  <c r="M2668" i="21"/>
  <c r="M395" i="21"/>
  <c r="M389" i="21"/>
  <c r="M235" i="21"/>
  <c r="M228" i="21"/>
  <c r="M33" i="21"/>
  <c r="M395" i="22"/>
  <c r="M389" i="22"/>
  <c r="J2717" i="24" l="1"/>
  <c r="J2716" i="24"/>
  <c r="J2715" i="24"/>
  <c r="J2714" i="24"/>
  <c r="J2713" i="24"/>
  <c r="J2712" i="24"/>
  <c r="J2710" i="24"/>
  <c r="R2707" i="24"/>
  <c r="O2707" i="24"/>
  <c r="N2707" i="24"/>
  <c r="P2707" i="24" s="1"/>
  <c r="K2707" i="24"/>
  <c r="R2706" i="24"/>
  <c r="O2706" i="24"/>
  <c r="N2706" i="24"/>
  <c r="S2706" i="24" s="1"/>
  <c r="U2706" i="24" s="1"/>
  <c r="K2706" i="24"/>
  <c r="R2705" i="24"/>
  <c r="O2705" i="24"/>
  <c r="N2705" i="24"/>
  <c r="P2705" i="24" s="1"/>
  <c r="K2705" i="24"/>
  <c r="R2704" i="24"/>
  <c r="O2704" i="24"/>
  <c r="N2704" i="24"/>
  <c r="K2704" i="24"/>
  <c r="R2703" i="24"/>
  <c r="O2703" i="24"/>
  <c r="N2703" i="24"/>
  <c r="K2703" i="24"/>
  <c r="R2702" i="24"/>
  <c r="O2702" i="24"/>
  <c r="N2702" i="24"/>
  <c r="S2702" i="24" s="1"/>
  <c r="U2702" i="24" s="1"/>
  <c r="K2702" i="24"/>
  <c r="R2701" i="24"/>
  <c r="O2701" i="24"/>
  <c r="N2701" i="24"/>
  <c r="S2701" i="24" s="1"/>
  <c r="K2701" i="24"/>
  <c r="R2700" i="24"/>
  <c r="O2700" i="24"/>
  <c r="N2700" i="24"/>
  <c r="K2700" i="24"/>
  <c r="R2699" i="24"/>
  <c r="O2699" i="24"/>
  <c r="N2699" i="24"/>
  <c r="P2699" i="24" s="1"/>
  <c r="K2699" i="24"/>
  <c r="R2698" i="24"/>
  <c r="O2698" i="24"/>
  <c r="N2698" i="24"/>
  <c r="S2698" i="24" s="1"/>
  <c r="U2698" i="24" s="1"/>
  <c r="K2698" i="24"/>
  <c r="R2697" i="24"/>
  <c r="O2697" i="24"/>
  <c r="N2697" i="24"/>
  <c r="P2697" i="24" s="1"/>
  <c r="K2697" i="24"/>
  <c r="R2696" i="24"/>
  <c r="O2696" i="24"/>
  <c r="N2696" i="24"/>
  <c r="P2696" i="24" s="1"/>
  <c r="K2696" i="24"/>
  <c r="R2695" i="24"/>
  <c r="O2695" i="24"/>
  <c r="N2695" i="24"/>
  <c r="S2695" i="24" s="1"/>
  <c r="K2695" i="24"/>
  <c r="R2694" i="24"/>
  <c r="O2694" i="24"/>
  <c r="N2694" i="24"/>
  <c r="K2694" i="24"/>
  <c r="R2693" i="24"/>
  <c r="O2693" i="24"/>
  <c r="N2693" i="24"/>
  <c r="S2693" i="24" s="1"/>
  <c r="K2693" i="24"/>
  <c r="R2692" i="24"/>
  <c r="O2692" i="24"/>
  <c r="N2692" i="24"/>
  <c r="K2692" i="24"/>
  <c r="R2691" i="24"/>
  <c r="O2691" i="24"/>
  <c r="N2691" i="24"/>
  <c r="P2691" i="24" s="1"/>
  <c r="K2691" i="24"/>
  <c r="R2690" i="24"/>
  <c r="O2690" i="24"/>
  <c r="N2690" i="24"/>
  <c r="S2690" i="24" s="1"/>
  <c r="U2690" i="24" s="1"/>
  <c r="K2690" i="24"/>
  <c r="R2689" i="24"/>
  <c r="O2689" i="24"/>
  <c r="N2689" i="24"/>
  <c r="K2689" i="24"/>
  <c r="R2688" i="24"/>
  <c r="O2688" i="24"/>
  <c r="N2688" i="24"/>
  <c r="P2688" i="24" s="1"/>
  <c r="K2688" i="24"/>
  <c r="R2687" i="24"/>
  <c r="O2687" i="24"/>
  <c r="N2687" i="24"/>
  <c r="K2687" i="24"/>
  <c r="R2686" i="24"/>
  <c r="O2686" i="24"/>
  <c r="N2686" i="24"/>
  <c r="P2686" i="24" s="1"/>
  <c r="K2686" i="24"/>
  <c r="R2685" i="24"/>
  <c r="O2685" i="24"/>
  <c r="N2685" i="24"/>
  <c r="S2685" i="24" s="1"/>
  <c r="K2685" i="24"/>
  <c r="R2684" i="24"/>
  <c r="O2684" i="24"/>
  <c r="N2684" i="24"/>
  <c r="K2684" i="24"/>
  <c r="R2683" i="24"/>
  <c r="O2683" i="24"/>
  <c r="N2683" i="24"/>
  <c r="P2683" i="24" s="1"/>
  <c r="K2683" i="24"/>
  <c r="R2682" i="24"/>
  <c r="O2682" i="24"/>
  <c r="N2682" i="24"/>
  <c r="S2682" i="24" s="1"/>
  <c r="U2682" i="24" s="1"/>
  <c r="K2682" i="24"/>
  <c r="R2681" i="24"/>
  <c r="O2681" i="24"/>
  <c r="N2681" i="24"/>
  <c r="P2681" i="24" s="1"/>
  <c r="K2681" i="24"/>
  <c r="R2680" i="24"/>
  <c r="O2680" i="24"/>
  <c r="N2680" i="24"/>
  <c r="P2680" i="24" s="1"/>
  <c r="K2680" i="24"/>
  <c r="R2679" i="24"/>
  <c r="O2679" i="24"/>
  <c r="N2679" i="24"/>
  <c r="S2679" i="24" s="1"/>
  <c r="K2679" i="24"/>
  <c r="R2678" i="24"/>
  <c r="O2678" i="24"/>
  <c r="N2678" i="24"/>
  <c r="S2678" i="24" s="1"/>
  <c r="U2678" i="24" s="1"/>
  <c r="K2678" i="24"/>
  <c r="R2677" i="24"/>
  <c r="O2677" i="24"/>
  <c r="N2677" i="24"/>
  <c r="S2677" i="24" s="1"/>
  <c r="K2677" i="24"/>
  <c r="N2676" i="24"/>
  <c r="R2675" i="24"/>
  <c r="O2675" i="24"/>
  <c r="N2675" i="24"/>
  <c r="S2675" i="24" s="1"/>
  <c r="J2675" i="24"/>
  <c r="R2674" i="24"/>
  <c r="J2674" i="24"/>
  <c r="R2673" i="24"/>
  <c r="O2673" i="24"/>
  <c r="N2673" i="24"/>
  <c r="S2673" i="24" s="1"/>
  <c r="J2673" i="24"/>
  <c r="R2672" i="24"/>
  <c r="J2672" i="24"/>
  <c r="R2671" i="24"/>
  <c r="J2671" i="24"/>
  <c r="R2670" i="24"/>
  <c r="J2670" i="24"/>
  <c r="R2669" i="24"/>
  <c r="O2669" i="24"/>
  <c r="N2669" i="24"/>
  <c r="S2669" i="24" s="1"/>
  <c r="J2669" i="24"/>
  <c r="R2668" i="24"/>
  <c r="J2668" i="24"/>
  <c r="R2667" i="24"/>
  <c r="O2667" i="24"/>
  <c r="N2667" i="24"/>
  <c r="S2667" i="24" s="1"/>
  <c r="J2667" i="24"/>
  <c r="R2666" i="24"/>
  <c r="O2666" i="24"/>
  <c r="N2666" i="24"/>
  <c r="P2666" i="24" s="1"/>
  <c r="J2666" i="24"/>
  <c r="R2665" i="24"/>
  <c r="O2665" i="24"/>
  <c r="N2665" i="24"/>
  <c r="S2665" i="24" s="1"/>
  <c r="J2665" i="24"/>
  <c r="R2664" i="24"/>
  <c r="O2664" i="24"/>
  <c r="N2664" i="24"/>
  <c r="P2664" i="24" s="1"/>
  <c r="J2664" i="24"/>
  <c r="R2663" i="24"/>
  <c r="O2663" i="24"/>
  <c r="N2663" i="24"/>
  <c r="S2663" i="24" s="1"/>
  <c r="J2663" i="24"/>
  <c r="U2662" i="24"/>
  <c r="T2662" i="24"/>
  <c r="P2662" i="24"/>
  <c r="O2662" i="24"/>
  <c r="R2661" i="24"/>
  <c r="O2661" i="24"/>
  <c r="N2661" i="24"/>
  <c r="P2661" i="24" s="1"/>
  <c r="K2661" i="24"/>
  <c r="R2660" i="24"/>
  <c r="O2660" i="24"/>
  <c r="N2660" i="24"/>
  <c r="S2660" i="24" s="1"/>
  <c r="U2660" i="24" s="1"/>
  <c r="K2660" i="24"/>
  <c r="R2659" i="24"/>
  <c r="O2659" i="24"/>
  <c r="N2659" i="24"/>
  <c r="P2659" i="24" s="1"/>
  <c r="K2659" i="24"/>
  <c r="R2658" i="24"/>
  <c r="O2658" i="24"/>
  <c r="N2658" i="24"/>
  <c r="P2658" i="24" s="1"/>
  <c r="K2658" i="24"/>
  <c r="R2657" i="24"/>
  <c r="O2657" i="24"/>
  <c r="N2657" i="24"/>
  <c r="S2657" i="24" s="1"/>
  <c r="K2657" i="24"/>
  <c r="R2656" i="24"/>
  <c r="O2656" i="24"/>
  <c r="N2656" i="24"/>
  <c r="S2656" i="24" s="1"/>
  <c r="K2656" i="24"/>
  <c r="R2655" i="24"/>
  <c r="O2655" i="24"/>
  <c r="N2655" i="24"/>
  <c r="S2655" i="24" s="1"/>
  <c r="K2655" i="24"/>
  <c r="R2654" i="24"/>
  <c r="O2654" i="24"/>
  <c r="N2654" i="24"/>
  <c r="K2654" i="24"/>
  <c r="R2653" i="24"/>
  <c r="O2653" i="24"/>
  <c r="N2653" i="24"/>
  <c r="P2653" i="24" s="1"/>
  <c r="K2653" i="24"/>
  <c r="R2652" i="24"/>
  <c r="O2652" i="24"/>
  <c r="N2652" i="24"/>
  <c r="P2652" i="24" s="1"/>
  <c r="K2652" i="24"/>
  <c r="R2651" i="24"/>
  <c r="O2651" i="24"/>
  <c r="N2651" i="24"/>
  <c r="P2651" i="24" s="1"/>
  <c r="K2651" i="24"/>
  <c r="R2650" i="24"/>
  <c r="O2650" i="24"/>
  <c r="N2650" i="24"/>
  <c r="S2650" i="24" s="1"/>
  <c r="K2650" i="24"/>
  <c r="R2649" i="24"/>
  <c r="O2649" i="24"/>
  <c r="N2649" i="24"/>
  <c r="K2649" i="24"/>
  <c r="R2648" i="24"/>
  <c r="O2648" i="24"/>
  <c r="N2648" i="24"/>
  <c r="K2648" i="24"/>
  <c r="R2647" i="24"/>
  <c r="O2647" i="24"/>
  <c r="N2647" i="24"/>
  <c r="S2647" i="24" s="1"/>
  <c r="K2647" i="24"/>
  <c r="R2646" i="24"/>
  <c r="O2646" i="24"/>
  <c r="N2646" i="24"/>
  <c r="K2646" i="24"/>
  <c r="R2645" i="24"/>
  <c r="O2645" i="24"/>
  <c r="N2645" i="24"/>
  <c r="P2645" i="24" s="1"/>
  <c r="K2645" i="24"/>
  <c r="R2644" i="24"/>
  <c r="O2644" i="24"/>
  <c r="N2644" i="24"/>
  <c r="P2644" i="24" s="1"/>
  <c r="K2644" i="24"/>
  <c r="R2643" i="24"/>
  <c r="O2643" i="24"/>
  <c r="N2643" i="24"/>
  <c r="P2643" i="24" s="1"/>
  <c r="K2643" i="24"/>
  <c r="R2642" i="24"/>
  <c r="O2642" i="24"/>
  <c r="N2642" i="24"/>
  <c r="S2642" i="24" s="1"/>
  <c r="U2642" i="24" s="1"/>
  <c r="K2642" i="24"/>
  <c r="R2641" i="24"/>
  <c r="O2641" i="24"/>
  <c r="N2641" i="24"/>
  <c r="K2641" i="24"/>
  <c r="R2640" i="24"/>
  <c r="O2640" i="24"/>
  <c r="N2640" i="24"/>
  <c r="S2640" i="24" s="1"/>
  <c r="U2640" i="24" s="1"/>
  <c r="K2640" i="24"/>
  <c r="R2639" i="24"/>
  <c r="O2639" i="24"/>
  <c r="N2639" i="24"/>
  <c r="S2639" i="24" s="1"/>
  <c r="K2639" i="24"/>
  <c r="R2638" i="24"/>
  <c r="O2638" i="24"/>
  <c r="N2638" i="24"/>
  <c r="K2638" i="24"/>
  <c r="R2637" i="24"/>
  <c r="O2637" i="24"/>
  <c r="N2637" i="24"/>
  <c r="P2637" i="24" s="1"/>
  <c r="K2637" i="24"/>
  <c r="R2636" i="24"/>
  <c r="O2636" i="24"/>
  <c r="N2636" i="24"/>
  <c r="P2636" i="24" s="1"/>
  <c r="K2636" i="24"/>
  <c r="R2635" i="24"/>
  <c r="O2635" i="24"/>
  <c r="N2635" i="24"/>
  <c r="P2635" i="24" s="1"/>
  <c r="K2635" i="24"/>
  <c r="R2634" i="24"/>
  <c r="O2634" i="24"/>
  <c r="N2634" i="24"/>
  <c r="K2634" i="24"/>
  <c r="R2633" i="24"/>
  <c r="O2633" i="24"/>
  <c r="N2633" i="24"/>
  <c r="S2633" i="24" s="1"/>
  <c r="K2633" i="24"/>
  <c r="R2632" i="24"/>
  <c r="O2632" i="24"/>
  <c r="N2632" i="24"/>
  <c r="K2632" i="24"/>
  <c r="R2631" i="24"/>
  <c r="O2631" i="24"/>
  <c r="N2631" i="24"/>
  <c r="K2631" i="24"/>
  <c r="U2630" i="24"/>
  <c r="T2630" i="24"/>
  <c r="P2630" i="24"/>
  <c r="O2630" i="24"/>
  <c r="N2630" i="24"/>
  <c r="U2629" i="24"/>
  <c r="T2629" i="24"/>
  <c r="O2629" i="24"/>
  <c r="N2629" i="24"/>
  <c r="P2629" i="24" s="1"/>
  <c r="K2629" i="24"/>
  <c r="J2629" i="24"/>
  <c r="U2628" i="24"/>
  <c r="T2628" i="24"/>
  <c r="O2628" i="24"/>
  <c r="N2628" i="24"/>
  <c r="P2628" i="24" s="1"/>
  <c r="K2628" i="24"/>
  <c r="J2628" i="24"/>
  <c r="U2627" i="24"/>
  <c r="T2627" i="24"/>
  <c r="O2627" i="24"/>
  <c r="N2627" i="24"/>
  <c r="P2627" i="24" s="1"/>
  <c r="K2627" i="24"/>
  <c r="J2627" i="24"/>
  <c r="G2627" i="24"/>
  <c r="H2627" i="24" s="1"/>
  <c r="U2626" i="24"/>
  <c r="T2626" i="24"/>
  <c r="O2626" i="24"/>
  <c r="N2626" i="24"/>
  <c r="P2626" i="24" s="1"/>
  <c r="K2626" i="24"/>
  <c r="J2626" i="24"/>
  <c r="U2625" i="24"/>
  <c r="T2625" i="24"/>
  <c r="O2625" i="24"/>
  <c r="N2625" i="24"/>
  <c r="P2625" i="24" s="1"/>
  <c r="K2625" i="24"/>
  <c r="J2625" i="24"/>
  <c r="G2625" i="24"/>
  <c r="H2625" i="24" s="1"/>
  <c r="R2624" i="24"/>
  <c r="O2624" i="24"/>
  <c r="N2624" i="24"/>
  <c r="P2624" i="24" s="1"/>
  <c r="I2624" i="24"/>
  <c r="D2624" i="24"/>
  <c r="G2628" i="24" s="1"/>
  <c r="H2628" i="24" s="1"/>
  <c r="U2623" i="24"/>
  <c r="T2623" i="24"/>
  <c r="O2623" i="24"/>
  <c r="N2623" i="24"/>
  <c r="P2623" i="24" s="1"/>
  <c r="K2623" i="24"/>
  <c r="J2623" i="24"/>
  <c r="U2622" i="24"/>
  <c r="T2622" i="24"/>
  <c r="O2622" i="24"/>
  <c r="N2622" i="24"/>
  <c r="P2622" i="24" s="1"/>
  <c r="K2622" i="24"/>
  <c r="J2622" i="24"/>
  <c r="U2621" i="24"/>
  <c r="T2621" i="24"/>
  <c r="O2621" i="24"/>
  <c r="N2621" i="24"/>
  <c r="P2621" i="24" s="1"/>
  <c r="K2621" i="24"/>
  <c r="J2621" i="24"/>
  <c r="U2620" i="24"/>
  <c r="T2620" i="24"/>
  <c r="O2620" i="24"/>
  <c r="N2620" i="24"/>
  <c r="P2620" i="24" s="1"/>
  <c r="K2620" i="24"/>
  <c r="J2620" i="24"/>
  <c r="U2619" i="24"/>
  <c r="T2619" i="24"/>
  <c r="O2619" i="24"/>
  <c r="N2619" i="24"/>
  <c r="P2619" i="24" s="1"/>
  <c r="K2619" i="24"/>
  <c r="J2619" i="24"/>
  <c r="R2618" i="24"/>
  <c r="O2618" i="24"/>
  <c r="N2618" i="24"/>
  <c r="P2618" i="24" s="1"/>
  <c r="D2618" i="24"/>
  <c r="U2617" i="24"/>
  <c r="T2617" i="24"/>
  <c r="O2617" i="24"/>
  <c r="N2617" i="24"/>
  <c r="P2617" i="24" s="1"/>
  <c r="K2617" i="24"/>
  <c r="J2617" i="24"/>
  <c r="U2616" i="24"/>
  <c r="T2616" i="24"/>
  <c r="O2616" i="24"/>
  <c r="N2616" i="24"/>
  <c r="P2616" i="24" s="1"/>
  <c r="K2616" i="24"/>
  <c r="J2616" i="24"/>
  <c r="G2616" i="24"/>
  <c r="H2616" i="24" s="1"/>
  <c r="U2615" i="24"/>
  <c r="T2615" i="24"/>
  <c r="O2615" i="24"/>
  <c r="N2615" i="24"/>
  <c r="P2615" i="24" s="1"/>
  <c r="K2615" i="24"/>
  <c r="J2615" i="24"/>
  <c r="U2614" i="24"/>
  <c r="T2614" i="24"/>
  <c r="O2614" i="24"/>
  <c r="N2614" i="24"/>
  <c r="P2614" i="24" s="1"/>
  <c r="K2614" i="24"/>
  <c r="J2614" i="24"/>
  <c r="G2614" i="24"/>
  <c r="H2614" i="24" s="1"/>
  <c r="U2613" i="24"/>
  <c r="T2613" i="24"/>
  <c r="O2613" i="24"/>
  <c r="N2613" i="24"/>
  <c r="P2613" i="24" s="1"/>
  <c r="K2613" i="24"/>
  <c r="J2613" i="24"/>
  <c r="G2613" i="24"/>
  <c r="H2613" i="24" s="1"/>
  <c r="R2612" i="24"/>
  <c r="O2612" i="24"/>
  <c r="N2612" i="24"/>
  <c r="S2612" i="24" s="1"/>
  <c r="I2612" i="24"/>
  <c r="D2612" i="24"/>
  <c r="G2617" i="24" s="1"/>
  <c r="H2617" i="24" s="1"/>
  <c r="U2611" i="24"/>
  <c r="T2611" i="24"/>
  <c r="O2611" i="24"/>
  <c r="N2611" i="24"/>
  <c r="P2611" i="24" s="1"/>
  <c r="K2611" i="24"/>
  <c r="J2611" i="24"/>
  <c r="U2610" i="24"/>
  <c r="T2610" i="24"/>
  <c r="O2610" i="24"/>
  <c r="N2610" i="24"/>
  <c r="P2610" i="24" s="1"/>
  <c r="K2610" i="24"/>
  <c r="J2610" i="24"/>
  <c r="G2610" i="24"/>
  <c r="H2610" i="24" s="1"/>
  <c r="U2609" i="24"/>
  <c r="T2609" i="24"/>
  <c r="O2609" i="24"/>
  <c r="N2609" i="24"/>
  <c r="P2609" i="24" s="1"/>
  <c r="K2609" i="24"/>
  <c r="J2609" i="24"/>
  <c r="U2608" i="24"/>
  <c r="T2608" i="24"/>
  <c r="O2608" i="24"/>
  <c r="N2608" i="24"/>
  <c r="P2608" i="24" s="1"/>
  <c r="K2608" i="24"/>
  <c r="J2608" i="24"/>
  <c r="G2608" i="24"/>
  <c r="H2608" i="24" s="1"/>
  <c r="U2607" i="24"/>
  <c r="T2607" i="24"/>
  <c r="O2607" i="24"/>
  <c r="N2607" i="24"/>
  <c r="P2607" i="24" s="1"/>
  <c r="K2607" i="24"/>
  <c r="J2607" i="24"/>
  <c r="G2607" i="24"/>
  <c r="H2607" i="24" s="1"/>
  <c r="R2606" i="24"/>
  <c r="O2606" i="24"/>
  <c r="N2606" i="24"/>
  <c r="P2606" i="24" s="1"/>
  <c r="I2606" i="24"/>
  <c r="D2606" i="24"/>
  <c r="G2611" i="24" s="1"/>
  <c r="H2611" i="24" s="1"/>
  <c r="U2605" i="24"/>
  <c r="T2605" i="24"/>
  <c r="O2605" i="24"/>
  <c r="N2605" i="24"/>
  <c r="P2605" i="24" s="1"/>
  <c r="K2605" i="24"/>
  <c r="J2605" i="24"/>
  <c r="U2604" i="24"/>
  <c r="T2604" i="24"/>
  <c r="O2604" i="24"/>
  <c r="N2604" i="24"/>
  <c r="P2604" i="24" s="1"/>
  <c r="K2604" i="24"/>
  <c r="J2604" i="24"/>
  <c r="H2604" i="24"/>
  <c r="G2604" i="24"/>
  <c r="U2603" i="24"/>
  <c r="T2603" i="24"/>
  <c r="O2603" i="24"/>
  <c r="N2603" i="24"/>
  <c r="P2603" i="24" s="1"/>
  <c r="K2603" i="24"/>
  <c r="J2603" i="24"/>
  <c r="U2602" i="24"/>
  <c r="T2602" i="24"/>
  <c r="O2602" i="24"/>
  <c r="N2602" i="24"/>
  <c r="P2602" i="24" s="1"/>
  <c r="K2602" i="24"/>
  <c r="J2602" i="24"/>
  <c r="G2602" i="24"/>
  <c r="H2602" i="24" s="1"/>
  <c r="U2601" i="24"/>
  <c r="T2601" i="24"/>
  <c r="O2601" i="24"/>
  <c r="N2601" i="24"/>
  <c r="P2601" i="24" s="1"/>
  <c r="K2601" i="24"/>
  <c r="J2601" i="24"/>
  <c r="G2601" i="24"/>
  <c r="H2601" i="24" s="1"/>
  <c r="R2600" i="24"/>
  <c r="O2600" i="24"/>
  <c r="N2600" i="24"/>
  <c r="S2600" i="24" s="1"/>
  <c r="I2600" i="24"/>
  <c r="D2600" i="24"/>
  <c r="G2605" i="24" s="1"/>
  <c r="H2605" i="24" s="1"/>
  <c r="U2599" i="24"/>
  <c r="T2599" i="24"/>
  <c r="O2599" i="24"/>
  <c r="N2599" i="24"/>
  <c r="P2599" i="24" s="1"/>
  <c r="K2599" i="24"/>
  <c r="J2599" i="24"/>
  <c r="U2598" i="24"/>
  <c r="T2598" i="24"/>
  <c r="O2598" i="24"/>
  <c r="N2598" i="24"/>
  <c r="P2598" i="24" s="1"/>
  <c r="K2598" i="24"/>
  <c r="J2598" i="24"/>
  <c r="H2598" i="24"/>
  <c r="G2598" i="24"/>
  <c r="U2597" i="24"/>
  <c r="T2597" i="24"/>
  <c r="O2597" i="24"/>
  <c r="N2597" i="24"/>
  <c r="P2597" i="24" s="1"/>
  <c r="K2597" i="24"/>
  <c r="J2597" i="24"/>
  <c r="U2596" i="24"/>
  <c r="T2596" i="24"/>
  <c r="O2596" i="24"/>
  <c r="N2596" i="24"/>
  <c r="P2596" i="24" s="1"/>
  <c r="K2596" i="24"/>
  <c r="J2596" i="24"/>
  <c r="G2596" i="24"/>
  <c r="H2596" i="24" s="1"/>
  <c r="U2595" i="24"/>
  <c r="T2595" i="24"/>
  <c r="O2595" i="24"/>
  <c r="N2595" i="24"/>
  <c r="P2595" i="24" s="1"/>
  <c r="K2595" i="24"/>
  <c r="J2595" i="24"/>
  <c r="G2595" i="24"/>
  <c r="H2595" i="24" s="1"/>
  <c r="R2594" i="24"/>
  <c r="O2594" i="24"/>
  <c r="N2594" i="24"/>
  <c r="S2594" i="24" s="1"/>
  <c r="I2594" i="24"/>
  <c r="D2594" i="24"/>
  <c r="G2599" i="24" s="1"/>
  <c r="H2599" i="24" s="1"/>
  <c r="U2593" i="24"/>
  <c r="T2593" i="24"/>
  <c r="O2593" i="24"/>
  <c r="N2593" i="24"/>
  <c r="P2593" i="24" s="1"/>
  <c r="K2593" i="24"/>
  <c r="J2593" i="24"/>
  <c r="U2592" i="24"/>
  <c r="T2592" i="24"/>
  <c r="O2592" i="24"/>
  <c r="N2592" i="24"/>
  <c r="P2592" i="24" s="1"/>
  <c r="K2592" i="24"/>
  <c r="J2592" i="24"/>
  <c r="G2592" i="24"/>
  <c r="H2592" i="24" s="1"/>
  <c r="U2591" i="24"/>
  <c r="T2591" i="24"/>
  <c r="O2591" i="24"/>
  <c r="N2591" i="24"/>
  <c r="P2591" i="24" s="1"/>
  <c r="K2591" i="24"/>
  <c r="J2591" i="24"/>
  <c r="U2590" i="24"/>
  <c r="T2590" i="24"/>
  <c r="O2590" i="24"/>
  <c r="N2590" i="24"/>
  <c r="P2590" i="24" s="1"/>
  <c r="K2590" i="24"/>
  <c r="J2590" i="24"/>
  <c r="G2590" i="24"/>
  <c r="H2590" i="24" s="1"/>
  <c r="U2589" i="24"/>
  <c r="T2589" i="24"/>
  <c r="O2589" i="24"/>
  <c r="N2589" i="24"/>
  <c r="P2589" i="24" s="1"/>
  <c r="K2589" i="24"/>
  <c r="J2589" i="24"/>
  <c r="G2589" i="24"/>
  <c r="H2589" i="24" s="1"/>
  <c r="R2588" i="24"/>
  <c r="O2588" i="24"/>
  <c r="N2588" i="24"/>
  <c r="P2588" i="24" s="1"/>
  <c r="I2588" i="24"/>
  <c r="D2588" i="24"/>
  <c r="G2593" i="24" s="1"/>
  <c r="H2593" i="24" s="1"/>
  <c r="U2587" i="24"/>
  <c r="T2587" i="24"/>
  <c r="O2587" i="24"/>
  <c r="N2587" i="24"/>
  <c r="P2587" i="24" s="1"/>
  <c r="K2587" i="24"/>
  <c r="J2587" i="24"/>
  <c r="U2586" i="24"/>
  <c r="T2586" i="24"/>
  <c r="O2586" i="24"/>
  <c r="N2586" i="24"/>
  <c r="P2586" i="24" s="1"/>
  <c r="K2586" i="24"/>
  <c r="J2586" i="24"/>
  <c r="G2586" i="24"/>
  <c r="H2586" i="24" s="1"/>
  <c r="U2585" i="24"/>
  <c r="T2585" i="24"/>
  <c r="O2585" i="24"/>
  <c r="N2585" i="24"/>
  <c r="P2585" i="24" s="1"/>
  <c r="K2585" i="24"/>
  <c r="J2585" i="24"/>
  <c r="U2584" i="24"/>
  <c r="T2584" i="24"/>
  <c r="O2584" i="24"/>
  <c r="N2584" i="24"/>
  <c r="P2584" i="24" s="1"/>
  <c r="K2584" i="24"/>
  <c r="J2584" i="24"/>
  <c r="G2584" i="24"/>
  <c r="H2584" i="24" s="1"/>
  <c r="U2583" i="24"/>
  <c r="T2583" i="24"/>
  <c r="O2583" i="24"/>
  <c r="N2583" i="24"/>
  <c r="P2583" i="24" s="1"/>
  <c r="K2583" i="24"/>
  <c r="J2583" i="24"/>
  <c r="G2583" i="24"/>
  <c r="H2583" i="24" s="1"/>
  <c r="R2582" i="24"/>
  <c r="O2582" i="24"/>
  <c r="N2582" i="24"/>
  <c r="P2582" i="24" s="1"/>
  <c r="I2582" i="24"/>
  <c r="D2582" i="24"/>
  <c r="G2587" i="24" s="1"/>
  <c r="H2587" i="24" s="1"/>
  <c r="U2581" i="24"/>
  <c r="T2581" i="24"/>
  <c r="O2581" i="24"/>
  <c r="N2581" i="24"/>
  <c r="P2581" i="24" s="1"/>
  <c r="K2581" i="24"/>
  <c r="J2581" i="24"/>
  <c r="U2580" i="24"/>
  <c r="T2580" i="24"/>
  <c r="O2580" i="24"/>
  <c r="N2580" i="24"/>
  <c r="P2580" i="24" s="1"/>
  <c r="K2580" i="24"/>
  <c r="J2580" i="24"/>
  <c r="G2580" i="24"/>
  <c r="H2580" i="24" s="1"/>
  <c r="U2579" i="24"/>
  <c r="T2579" i="24"/>
  <c r="O2579" i="24"/>
  <c r="N2579" i="24"/>
  <c r="P2579" i="24" s="1"/>
  <c r="K2579" i="24"/>
  <c r="J2579" i="24"/>
  <c r="U2578" i="24"/>
  <c r="T2578" i="24"/>
  <c r="O2578" i="24"/>
  <c r="N2578" i="24"/>
  <c r="P2578" i="24" s="1"/>
  <c r="K2578" i="24"/>
  <c r="J2578" i="24"/>
  <c r="U2577" i="24"/>
  <c r="T2577" i="24"/>
  <c r="O2577" i="24"/>
  <c r="N2577" i="24"/>
  <c r="P2577" i="24" s="1"/>
  <c r="K2577" i="24"/>
  <c r="J2577" i="24"/>
  <c r="R2576" i="24"/>
  <c r="O2576" i="24"/>
  <c r="N2576" i="24"/>
  <c r="D2576" i="24"/>
  <c r="G2578" i="24" s="1"/>
  <c r="H2578" i="24" s="1"/>
  <c r="U2575" i="24"/>
  <c r="T2575" i="24"/>
  <c r="O2575" i="24"/>
  <c r="N2575" i="24"/>
  <c r="P2575" i="24" s="1"/>
  <c r="K2575" i="24"/>
  <c r="J2575" i="24"/>
  <c r="U2574" i="24"/>
  <c r="T2574" i="24"/>
  <c r="O2574" i="24"/>
  <c r="N2574" i="24"/>
  <c r="P2574" i="24" s="1"/>
  <c r="K2574" i="24"/>
  <c r="J2574" i="24"/>
  <c r="G2574" i="24"/>
  <c r="H2574" i="24" s="1"/>
  <c r="U2573" i="24"/>
  <c r="T2573" i="24"/>
  <c r="O2573" i="24"/>
  <c r="N2573" i="24"/>
  <c r="P2573" i="24" s="1"/>
  <c r="K2573" i="24"/>
  <c r="J2573" i="24"/>
  <c r="U2572" i="24"/>
  <c r="T2572" i="24"/>
  <c r="O2572" i="24"/>
  <c r="N2572" i="24"/>
  <c r="P2572" i="24" s="1"/>
  <c r="K2572" i="24"/>
  <c r="J2572" i="24"/>
  <c r="U2571" i="24"/>
  <c r="T2571" i="24"/>
  <c r="O2571" i="24"/>
  <c r="N2571" i="24"/>
  <c r="P2571" i="24" s="1"/>
  <c r="K2571" i="24"/>
  <c r="J2571" i="24"/>
  <c r="R2570" i="24"/>
  <c r="O2570" i="24"/>
  <c r="N2570" i="24"/>
  <c r="P2570" i="24" s="1"/>
  <c r="D2570" i="24"/>
  <c r="G2572" i="24" s="1"/>
  <c r="H2572" i="24" s="1"/>
  <c r="U2569" i="24"/>
  <c r="T2569" i="24"/>
  <c r="O2569" i="24"/>
  <c r="N2569" i="24"/>
  <c r="P2569" i="24" s="1"/>
  <c r="K2569" i="24"/>
  <c r="G2569" i="24"/>
  <c r="H2569" i="24" s="1"/>
  <c r="U2568" i="24"/>
  <c r="T2568" i="24"/>
  <c r="O2568" i="24"/>
  <c r="N2568" i="24"/>
  <c r="P2568" i="24" s="1"/>
  <c r="K2568" i="24"/>
  <c r="G2568" i="24"/>
  <c r="H2568" i="24" s="1"/>
  <c r="U2567" i="24"/>
  <c r="T2567" i="24"/>
  <c r="O2567" i="24"/>
  <c r="N2567" i="24"/>
  <c r="P2567" i="24" s="1"/>
  <c r="K2567" i="24"/>
  <c r="G2567" i="24"/>
  <c r="H2567" i="24" s="1"/>
  <c r="U2566" i="24"/>
  <c r="T2566" i="24"/>
  <c r="O2566" i="24"/>
  <c r="N2566" i="24"/>
  <c r="P2566" i="24" s="1"/>
  <c r="K2566" i="24"/>
  <c r="H2566" i="24"/>
  <c r="G2566" i="24"/>
  <c r="U2565" i="24"/>
  <c r="T2565" i="24"/>
  <c r="O2565" i="24"/>
  <c r="N2565" i="24"/>
  <c r="P2565" i="24" s="1"/>
  <c r="K2565" i="24"/>
  <c r="G2565" i="24"/>
  <c r="H2565" i="24" s="1"/>
  <c r="R2564" i="24"/>
  <c r="O2564" i="24"/>
  <c r="N2564" i="24"/>
  <c r="I2564" i="24"/>
  <c r="U2563" i="24"/>
  <c r="T2563" i="24"/>
  <c r="O2563" i="24"/>
  <c r="N2563" i="24"/>
  <c r="P2563" i="24" s="1"/>
  <c r="K2563" i="24"/>
  <c r="G2563" i="24"/>
  <c r="H2563" i="24" s="1"/>
  <c r="U2562" i="24"/>
  <c r="T2562" i="24"/>
  <c r="O2562" i="24"/>
  <c r="N2562" i="24"/>
  <c r="P2562" i="24" s="1"/>
  <c r="K2562" i="24"/>
  <c r="G2562" i="24"/>
  <c r="H2562" i="24" s="1"/>
  <c r="H2558" i="24" s="1"/>
  <c r="J2558" i="24" s="1"/>
  <c r="U2561" i="24"/>
  <c r="T2561" i="24"/>
  <c r="O2561" i="24"/>
  <c r="N2561" i="24"/>
  <c r="P2561" i="24" s="1"/>
  <c r="K2561" i="24"/>
  <c r="G2561" i="24"/>
  <c r="H2561" i="24" s="1"/>
  <c r="U2560" i="24"/>
  <c r="T2560" i="24"/>
  <c r="O2560" i="24"/>
  <c r="N2560" i="24"/>
  <c r="P2560" i="24" s="1"/>
  <c r="K2560" i="24"/>
  <c r="G2560" i="24"/>
  <c r="H2560" i="24" s="1"/>
  <c r="U2559" i="24"/>
  <c r="T2559" i="24"/>
  <c r="O2559" i="24"/>
  <c r="N2559" i="24"/>
  <c r="P2559" i="24" s="1"/>
  <c r="K2559" i="24"/>
  <c r="G2559" i="24"/>
  <c r="H2559" i="24" s="1"/>
  <c r="R2558" i="24"/>
  <c r="O2558" i="24"/>
  <c r="N2558" i="24"/>
  <c r="P2558" i="24" s="1"/>
  <c r="I2558" i="24"/>
  <c r="U2557" i="24"/>
  <c r="T2557" i="24"/>
  <c r="O2557" i="24"/>
  <c r="N2557" i="24"/>
  <c r="P2557" i="24" s="1"/>
  <c r="K2557" i="24"/>
  <c r="G2557" i="24"/>
  <c r="H2557" i="24" s="1"/>
  <c r="U2556" i="24"/>
  <c r="T2556" i="24"/>
  <c r="O2556" i="24"/>
  <c r="N2556" i="24"/>
  <c r="P2556" i="24" s="1"/>
  <c r="K2556" i="24"/>
  <c r="G2556" i="24"/>
  <c r="H2556" i="24" s="1"/>
  <c r="U2555" i="24"/>
  <c r="T2555" i="24"/>
  <c r="O2555" i="24"/>
  <c r="N2555" i="24"/>
  <c r="P2555" i="24" s="1"/>
  <c r="K2555" i="24"/>
  <c r="G2555" i="24"/>
  <c r="H2555" i="24" s="1"/>
  <c r="U2554" i="24"/>
  <c r="T2554" i="24"/>
  <c r="O2554" i="24"/>
  <c r="N2554" i="24"/>
  <c r="P2554" i="24" s="1"/>
  <c r="K2554" i="24"/>
  <c r="G2554" i="24"/>
  <c r="H2554" i="24" s="1"/>
  <c r="U2553" i="24"/>
  <c r="T2553" i="24"/>
  <c r="O2553" i="24"/>
  <c r="N2553" i="24"/>
  <c r="P2553" i="24" s="1"/>
  <c r="K2553" i="24"/>
  <c r="G2553" i="24"/>
  <c r="H2553" i="24" s="1"/>
  <c r="R2552" i="24"/>
  <c r="O2552" i="24"/>
  <c r="N2552" i="24"/>
  <c r="P2552" i="24" s="1"/>
  <c r="I2552" i="24"/>
  <c r="U2551" i="24"/>
  <c r="T2551" i="24"/>
  <c r="O2551" i="24"/>
  <c r="N2551" i="24"/>
  <c r="P2551" i="24" s="1"/>
  <c r="K2551" i="24"/>
  <c r="G2551" i="24"/>
  <c r="H2551" i="24" s="1"/>
  <c r="U2550" i="24"/>
  <c r="T2550" i="24"/>
  <c r="O2550" i="24"/>
  <c r="N2550" i="24"/>
  <c r="P2550" i="24" s="1"/>
  <c r="K2550" i="24"/>
  <c r="H2550" i="24"/>
  <c r="G2550" i="24"/>
  <c r="U2549" i="24"/>
  <c r="T2549" i="24"/>
  <c r="O2549" i="24"/>
  <c r="N2549" i="24"/>
  <c r="P2549" i="24" s="1"/>
  <c r="K2549" i="24"/>
  <c r="G2549" i="24"/>
  <c r="H2549" i="24" s="1"/>
  <c r="U2548" i="24"/>
  <c r="T2548" i="24"/>
  <c r="O2548" i="24"/>
  <c r="N2548" i="24"/>
  <c r="P2548" i="24" s="1"/>
  <c r="K2548" i="24"/>
  <c r="G2548" i="24"/>
  <c r="H2548" i="24" s="1"/>
  <c r="U2547" i="24"/>
  <c r="T2547" i="24"/>
  <c r="O2547" i="24"/>
  <c r="N2547" i="24"/>
  <c r="P2547" i="24" s="1"/>
  <c r="K2547" i="24"/>
  <c r="G2547" i="24"/>
  <c r="H2547" i="24" s="1"/>
  <c r="R2546" i="24"/>
  <c r="O2546" i="24"/>
  <c r="N2546" i="24"/>
  <c r="S2546" i="24" s="1"/>
  <c r="I2546" i="24"/>
  <c r="U2545" i="24"/>
  <c r="T2545" i="24"/>
  <c r="O2545" i="24"/>
  <c r="N2545" i="24"/>
  <c r="P2545" i="24" s="1"/>
  <c r="K2545" i="24"/>
  <c r="G2545" i="24"/>
  <c r="H2545" i="24" s="1"/>
  <c r="U2544" i="24"/>
  <c r="T2544" i="24"/>
  <c r="O2544" i="24"/>
  <c r="N2544" i="24"/>
  <c r="P2544" i="24" s="1"/>
  <c r="K2544" i="24"/>
  <c r="G2544" i="24"/>
  <c r="H2544" i="24" s="1"/>
  <c r="U2543" i="24"/>
  <c r="T2543" i="24"/>
  <c r="O2543" i="24"/>
  <c r="N2543" i="24"/>
  <c r="P2543" i="24" s="1"/>
  <c r="K2543" i="24"/>
  <c r="G2543" i="24"/>
  <c r="H2543" i="24" s="1"/>
  <c r="U2542" i="24"/>
  <c r="T2542" i="24"/>
  <c r="O2542" i="24"/>
  <c r="N2542" i="24"/>
  <c r="P2542" i="24" s="1"/>
  <c r="K2542" i="24"/>
  <c r="G2542" i="24"/>
  <c r="H2542" i="24" s="1"/>
  <c r="U2541" i="24"/>
  <c r="T2541" i="24"/>
  <c r="O2541" i="24"/>
  <c r="N2541" i="24"/>
  <c r="P2541" i="24" s="1"/>
  <c r="K2541" i="24"/>
  <c r="G2541" i="24"/>
  <c r="H2541" i="24" s="1"/>
  <c r="R2540" i="24"/>
  <c r="O2540" i="24"/>
  <c r="N2540" i="24"/>
  <c r="P2540" i="24" s="1"/>
  <c r="I2540" i="24"/>
  <c r="U2539" i="24"/>
  <c r="T2539" i="24"/>
  <c r="O2539" i="24"/>
  <c r="N2539" i="24"/>
  <c r="P2539" i="24" s="1"/>
  <c r="K2539" i="24"/>
  <c r="H2539" i="24"/>
  <c r="G2539" i="24"/>
  <c r="U2538" i="24"/>
  <c r="T2538" i="24"/>
  <c r="O2538" i="24"/>
  <c r="N2538" i="24"/>
  <c r="P2538" i="24" s="1"/>
  <c r="K2538" i="24"/>
  <c r="G2538" i="24"/>
  <c r="H2538" i="24" s="1"/>
  <c r="U2537" i="24"/>
  <c r="T2537" i="24"/>
  <c r="O2537" i="24"/>
  <c r="N2537" i="24"/>
  <c r="P2537" i="24" s="1"/>
  <c r="K2537" i="24"/>
  <c r="G2537" i="24"/>
  <c r="H2537" i="24" s="1"/>
  <c r="U2536" i="24"/>
  <c r="T2536" i="24"/>
  <c r="O2536" i="24"/>
  <c r="N2536" i="24"/>
  <c r="P2536" i="24" s="1"/>
  <c r="K2536" i="24"/>
  <c r="G2536" i="24"/>
  <c r="H2536" i="24" s="1"/>
  <c r="U2535" i="24"/>
  <c r="T2535" i="24"/>
  <c r="O2535" i="24"/>
  <c r="N2535" i="24"/>
  <c r="P2535" i="24" s="1"/>
  <c r="K2535" i="24"/>
  <c r="H2535" i="24"/>
  <c r="H2534" i="24" s="1"/>
  <c r="G2535" i="24"/>
  <c r="R2534" i="24"/>
  <c r="O2534" i="24"/>
  <c r="N2534" i="24"/>
  <c r="I2534" i="24"/>
  <c r="U2533" i="24"/>
  <c r="T2533" i="24"/>
  <c r="O2533" i="24"/>
  <c r="N2533" i="24"/>
  <c r="P2533" i="24" s="1"/>
  <c r="K2533" i="24"/>
  <c r="G2533" i="24"/>
  <c r="H2533" i="24" s="1"/>
  <c r="U2532" i="24"/>
  <c r="T2532" i="24"/>
  <c r="O2532" i="24"/>
  <c r="N2532" i="24"/>
  <c r="P2532" i="24" s="1"/>
  <c r="K2532" i="24"/>
  <c r="G2532" i="24"/>
  <c r="H2532" i="24" s="1"/>
  <c r="U2531" i="24"/>
  <c r="T2531" i="24"/>
  <c r="O2531" i="24"/>
  <c r="N2531" i="24"/>
  <c r="P2531" i="24" s="1"/>
  <c r="K2531" i="24"/>
  <c r="H2531" i="24"/>
  <c r="G2531" i="24"/>
  <c r="U2530" i="24"/>
  <c r="T2530" i="24"/>
  <c r="O2530" i="24"/>
  <c r="N2530" i="24"/>
  <c r="P2530" i="24" s="1"/>
  <c r="K2530" i="24"/>
  <c r="G2530" i="24"/>
  <c r="H2530" i="24" s="1"/>
  <c r="U2529" i="24"/>
  <c r="T2529" i="24"/>
  <c r="O2529" i="24"/>
  <c r="N2529" i="24"/>
  <c r="P2529" i="24" s="1"/>
  <c r="K2529" i="24"/>
  <c r="G2529" i="24"/>
  <c r="H2529" i="24" s="1"/>
  <c r="H2528" i="24" s="1"/>
  <c r="J2528" i="24" s="1"/>
  <c r="R2528" i="24"/>
  <c r="O2528" i="24"/>
  <c r="N2528" i="24"/>
  <c r="S2528" i="24" s="1"/>
  <c r="I2528" i="24"/>
  <c r="U2527" i="24"/>
  <c r="T2527" i="24"/>
  <c r="O2527" i="24"/>
  <c r="N2527" i="24"/>
  <c r="P2527" i="24" s="1"/>
  <c r="K2527" i="24"/>
  <c r="G2527" i="24"/>
  <c r="H2527" i="24" s="1"/>
  <c r="U2526" i="24"/>
  <c r="T2526" i="24"/>
  <c r="O2526" i="24"/>
  <c r="N2526" i="24"/>
  <c r="P2526" i="24" s="1"/>
  <c r="K2526" i="24"/>
  <c r="G2526" i="24"/>
  <c r="H2526" i="24" s="1"/>
  <c r="U2525" i="24"/>
  <c r="T2525" i="24"/>
  <c r="O2525" i="24"/>
  <c r="N2525" i="24"/>
  <c r="P2525" i="24" s="1"/>
  <c r="K2525" i="24"/>
  <c r="G2525" i="24"/>
  <c r="H2525" i="24" s="1"/>
  <c r="U2524" i="24"/>
  <c r="T2524" i="24"/>
  <c r="O2524" i="24"/>
  <c r="N2524" i="24"/>
  <c r="P2524" i="24" s="1"/>
  <c r="K2524" i="24"/>
  <c r="G2524" i="24"/>
  <c r="H2524" i="24" s="1"/>
  <c r="U2523" i="24"/>
  <c r="T2523" i="24"/>
  <c r="O2523" i="24"/>
  <c r="N2523" i="24"/>
  <c r="P2523" i="24" s="1"/>
  <c r="K2523" i="24"/>
  <c r="G2523" i="24"/>
  <c r="H2523" i="24" s="1"/>
  <c r="R2522" i="24"/>
  <c r="O2522" i="24"/>
  <c r="N2522" i="24"/>
  <c r="S2522" i="24" s="1"/>
  <c r="I2522" i="24"/>
  <c r="U2521" i="24"/>
  <c r="T2521" i="24"/>
  <c r="O2521" i="24"/>
  <c r="N2521" i="24"/>
  <c r="P2521" i="24" s="1"/>
  <c r="K2521" i="24"/>
  <c r="G2521" i="24"/>
  <c r="H2521" i="24" s="1"/>
  <c r="U2520" i="24"/>
  <c r="T2520" i="24"/>
  <c r="O2520" i="24"/>
  <c r="N2520" i="24"/>
  <c r="P2520" i="24" s="1"/>
  <c r="K2520" i="24"/>
  <c r="H2520" i="24"/>
  <c r="G2520" i="24"/>
  <c r="U2519" i="24"/>
  <c r="T2519" i="24"/>
  <c r="O2519" i="24"/>
  <c r="N2519" i="24"/>
  <c r="P2519" i="24" s="1"/>
  <c r="K2519" i="24"/>
  <c r="G2519" i="24"/>
  <c r="H2519" i="24" s="1"/>
  <c r="U2518" i="24"/>
  <c r="T2518" i="24"/>
  <c r="O2518" i="24"/>
  <c r="N2518" i="24"/>
  <c r="P2518" i="24" s="1"/>
  <c r="K2518" i="24"/>
  <c r="G2518" i="24"/>
  <c r="H2518" i="24" s="1"/>
  <c r="U2517" i="24"/>
  <c r="T2517" i="24"/>
  <c r="O2517" i="24"/>
  <c r="N2517" i="24"/>
  <c r="P2517" i="24" s="1"/>
  <c r="K2517" i="24"/>
  <c r="G2517" i="24"/>
  <c r="H2517" i="24" s="1"/>
  <c r="R2516" i="24"/>
  <c r="O2516" i="24"/>
  <c r="N2516" i="24"/>
  <c r="I2516" i="24"/>
  <c r="U2515" i="24"/>
  <c r="T2515" i="24"/>
  <c r="O2515" i="24"/>
  <c r="N2515" i="24"/>
  <c r="P2515" i="24" s="1"/>
  <c r="K2515" i="24"/>
  <c r="G2515" i="24"/>
  <c r="H2515" i="24" s="1"/>
  <c r="U2514" i="24"/>
  <c r="T2514" i="24"/>
  <c r="O2514" i="24"/>
  <c r="N2514" i="24"/>
  <c r="P2514" i="24" s="1"/>
  <c r="K2514" i="24"/>
  <c r="G2514" i="24"/>
  <c r="H2514" i="24" s="1"/>
  <c r="U2513" i="24"/>
  <c r="T2513" i="24"/>
  <c r="O2513" i="24"/>
  <c r="N2513" i="24"/>
  <c r="P2513" i="24" s="1"/>
  <c r="K2513" i="24"/>
  <c r="G2513" i="24"/>
  <c r="H2513" i="24" s="1"/>
  <c r="U2512" i="24"/>
  <c r="T2512" i="24"/>
  <c r="O2512" i="24"/>
  <c r="N2512" i="24"/>
  <c r="P2512" i="24" s="1"/>
  <c r="K2512" i="24"/>
  <c r="G2512" i="24"/>
  <c r="H2512" i="24" s="1"/>
  <c r="U2511" i="24"/>
  <c r="T2511" i="24"/>
  <c r="O2511" i="24"/>
  <c r="N2511" i="24"/>
  <c r="P2511" i="24" s="1"/>
  <c r="K2511" i="24"/>
  <c r="G2511" i="24"/>
  <c r="H2511" i="24" s="1"/>
  <c r="R2510" i="24"/>
  <c r="O2510" i="24"/>
  <c r="N2510" i="24"/>
  <c r="S2510" i="24" s="1"/>
  <c r="I2510" i="24"/>
  <c r="U2509" i="24"/>
  <c r="T2509" i="24"/>
  <c r="O2509" i="24"/>
  <c r="N2509" i="24"/>
  <c r="P2509" i="24" s="1"/>
  <c r="K2509" i="24"/>
  <c r="H2509" i="24"/>
  <c r="G2509" i="24"/>
  <c r="U2508" i="24"/>
  <c r="T2508" i="24"/>
  <c r="O2508" i="24"/>
  <c r="N2508" i="24"/>
  <c r="P2508" i="24" s="1"/>
  <c r="K2508" i="24"/>
  <c r="G2508" i="24"/>
  <c r="H2508" i="24" s="1"/>
  <c r="U2507" i="24"/>
  <c r="T2507" i="24"/>
  <c r="O2507" i="24"/>
  <c r="N2507" i="24"/>
  <c r="P2507" i="24" s="1"/>
  <c r="K2507" i="24"/>
  <c r="G2507" i="24"/>
  <c r="H2507" i="24" s="1"/>
  <c r="U2506" i="24"/>
  <c r="T2506" i="24"/>
  <c r="O2506" i="24"/>
  <c r="N2506" i="24"/>
  <c r="P2506" i="24" s="1"/>
  <c r="K2506" i="24"/>
  <c r="H2506" i="24"/>
  <c r="G2506" i="24"/>
  <c r="U2505" i="24"/>
  <c r="T2505" i="24"/>
  <c r="O2505" i="24"/>
  <c r="N2505" i="24"/>
  <c r="P2505" i="24" s="1"/>
  <c r="K2505" i="24"/>
  <c r="G2505" i="24"/>
  <c r="H2505" i="24" s="1"/>
  <c r="R2504" i="24"/>
  <c r="O2504" i="24"/>
  <c r="N2504" i="24"/>
  <c r="S2504" i="24" s="1"/>
  <c r="I2504" i="24"/>
  <c r="U2503" i="24"/>
  <c r="T2503" i="24"/>
  <c r="O2503" i="24"/>
  <c r="N2503" i="24"/>
  <c r="P2503" i="24" s="1"/>
  <c r="K2503" i="24"/>
  <c r="G2503" i="24"/>
  <c r="H2503" i="24" s="1"/>
  <c r="U2502" i="24"/>
  <c r="T2502" i="24"/>
  <c r="O2502" i="24"/>
  <c r="N2502" i="24"/>
  <c r="P2502" i="24" s="1"/>
  <c r="K2502" i="24"/>
  <c r="G2502" i="24"/>
  <c r="H2502" i="24" s="1"/>
  <c r="U2501" i="24"/>
  <c r="T2501" i="24"/>
  <c r="O2501" i="24"/>
  <c r="N2501" i="24"/>
  <c r="P2501" i="24" s="1"/>
  <c r="K2501" i="24"/>
  <c r="G2501" i="24"/>
  <c r="H2501" i="24" s="1"/>
  <c r="U2500" i="24"/>
  <c r="T2500" i="24"/>
  <c r="O2500" i="24"/>
  <c r="N2500" i="24"/>
  <c r="P2500" i="24" s="1"/>
  <c r="K2500" i="24"/>
  <c r="H2500" i="24"/>
  <c r="G2500" i="24"/>
  <c r="U2499" i="24"/>
  <c r="T2499" i="24"/>
  <c r="O2499" i="24"/>
  <c r="N2499" i="24"/>
  <c r="P2499" i="24" s="1"/>
  <c r="K2499" i="24"/>
  <c r="G2499" i="24"/>
  <c r="H2499" i="24" s="1"/>
  <c r="R2498" i="24"/>
  <c r="O2498" i="24"/>
  <c r="N2498" i="24"/>
  <c r="P2498" i="24" s="1"/>
  <c r="I2498" i="24"/>
  <c r="U2497" i="24"/>
  <c r="T2497" i="24"/>
  <c r="O2497" i="24"/>
  <c r="N2497" i="24"/>
  <c r="P2497" i="24" s="1"/>
  <c r="K2497" i="24"/>
  <c r="G2497" i="24"/>
  <c r="H2497" i="24" s="1"/>
  <c r="U2496" i="24"/>
  <c r="T2496" i="24"/>
  <c r="O2496" i="24"/>
  <c r="N2496" i="24"/>
  <c r="P2496" i="24" s="1"/>
  <c r="K2496" i="24"/>
  <c r="G2496" i="24"/>
  <c r="H2496" i="24" s="1"/>
  <c r="U2495" i="24"/>
  <c r="T2495" i="24"/>
  <c r="O2495" i="24"/>
  <c r="N2495" i="24"/>
  <c r="P2495" i="24" s="1"/>
  <c r="K2495" i="24"/>
  <c r="G2495" i="24"/>
  <c r="H2495" i="24" s="1"/>
  <c r="U2494" i="24"/>
  <c r="T2494" i="24"/>
  <c r="O2494" i="24"/>
  <c r="N2494" i="24"/>
  <c r="P2494" i="24" s="1"/>
  <c r="K2494" i="24"/>
  <c r="G2494" i="24"/>
  <c r="H2494" i="24" s="1"/>
  <c r="U2493" i="24"/>
  <c r="T2493" i="24"/>
  <c r="O2493" i="24"/>
  <c r="N2493" i="24"/>
  <c r="P2493" i="24" s="1"/>
  <c r="K2493" i="24"/>
  <c r="G2493" i="24"/>
  <c r="H2493" i="24" s="1"/>
  <c r="R2492" i="24"/>
  <c r="O2492" i="24"/>
  <c r="N2492" i="24"/>
  <c r="I2492" i="24"/>
  <c r="U2491" i="24"/>
  <c r="T2491" i="24"/>
  <c r="O2491" i="24"/>
  <c r="N2491" i="24"/>
  <c r="P2491" i="24" s="1"/>
  <c r="K2491" i="24"/>
  <c r="H2491" i="24"/>
  <c r="G2491" i="24"/>
  <c r="U2490" i="24"/>
  <c r="T2490" i="24"/>
  <c r="O2490" i="24"/>
  <c r="N2490" i="24"/>
  <c r="P2490" i="24" s="1"/>
  <c r="K2490" i="24"/>
  <c r="G2490" i="24"/>
  <c r="H2490" i="24" s="1"/>
  <c r="U2489" i="24"/>
  <c r="T2489" i="24"/>
  <c r="O2489" i="24"/>
  <c r="N2489" i="24"/>
  <c r="P2489" i="24" s="1"/>
  <c r="K2489" i="24"/>
  <c r="G2489" i="24"/>
  <c r="H2489" i="24" s="1"/>
  <c r="U2488" i="24"/>
  <c r="T2488" i="24"/>
  <c r="O2488" i="24"/>
  <c r="N2488" i="24"/>
  <c r="P2488" i="24" s="1"/>
  <c r="K2488" i="24"/>
  <c r="G2488" i="24"/>
  <c r="H2488" i="24" s="1"/>
  <c r="U2487" i="24"/>
  <c r="T2487" i="24"/>
  <c r="O2487" i="24"/>
  <c r="N2487" i="24"/>
  <c r="P2487" i="24" s="1"/>
  <c r="K2487" i="24"/>
  <c r="H2487" i="24"/>
  <c r="G2487" i="24"/>
  <c r="R2486" i="24"/>
  <c r="O2486" i="24"/>
  <c r="N2486" i="24"/>
  <c r="I2486" i="24"/>
  <c r="U2485" i="24"/>
  <c r="T2485" i="24"/>
  <c r="O2485" i="24"/>
  <c r="N2485" i="24"/>
  <c r="P2485" i="24" s="1"/>
  <c r="K2485" i="24"/>
  <c r="G2485" i="24"/>
  <c r="H2485" i="24" s="1"/>
  <c r="U2484" i="24"/>
  <c r="T2484" i="24"/>
  <c r="O2484" i="24"/>
  <c r="N2484" i="24"/>
  <c r="P2484" i="24" s="1"/>
  <c r="K2484" i="24"/>
  <c r="G2484" i="24"/>
  <c r="H2484" i="24" s="1"/>
  <c r="U2483" i="24"/>
  <c r="T2483" i="24"/>
  <c r="O2483" i="24"/>
  <c r="N2483" i="24"/>
  <c r="P2483" i="24" s="1"/>
  <c r="K2483" i="24"/>
  <c r="G2483" i="24"/>
  <c r="H2483" i="24" s="1"/>
  <c r="U2482" i="24"/>
  <c r="T2482" i="24"/>
  <c r="O2482" i="24"/>
  <c r="N2482" i="24"/>
  <c r="P2482" i="24" s="1"/>
  <c r="K2482" i="24"/>
  <c r="G2482" i="24"/>
  <c r="H2482" i="24" s="1"/>
  <c r="U2481" i="24"/>
  <c r="T2481" i="24"/>
  <c r="O2481" i="24"/>
  <c r="N2481" i="24"/>
  <c r="P2481" i="24" s="1"/>
  <c r="K2481" i="24"/>
  <c r="G2481" i="24"/>
  <c r="H2481" i="24" s="1"/>
  <c r="R2480" i="24"/>
  <c r="O2480" i="24"/>
  <c r="N2480" i="24"/>
  <c r="S2480" i="24" s="1"/>
  <c r="U2480" i="24" s="1"/>
  <c r="I2480" i="24"/>
  <c r="U2479" i="24"/>
  <c r="T2479" i="24"/>
  <c r="O2479" i="24"/>
  <c r="N2479" i="24"/>
  <c r="P2479" i="24" s="1"/>
  <c r="K2479" i="24"/>
  <c r="G2479" i="24"/>
  <c r="H2479" i="24" s="1"/>
  <c r="U2478" i="24"/>
  <c r="T2478" i="24"/>
  <c r="O2478" i="24"/>
  <c r="N2478" i="24"/>
  <c r="P2478" i="24" s="1"/>
  <c r="K2478" i="24"/>
  <c r="G2478" i="24"/>
  <c r="H2478" i="24" s="1"/>
  <c r="U2477" i="24"/>
  <c r="T2477" i="24"/>
  <c r="O2477" i="24"/>
  <c r="N2477" i="24"/>
  <c r="P2477" i="24" s="1"/>
  <c r="K2477" i="24"/>
  <c r="G2477" i="24"/>
  <c r="H2477" i="24" s="1"/>
  <c r="U2476" i="24"/>
  <c r="T2476" i="24"/>
  <c r="O2476" i="24"/>
  <c r="N2476" i="24"/>
  <c r="P2476" i="24" s="1"/>
  <c r="K2476" i="24"/>
  <c r="H2476" i="24"/>
  <c r="G2476" i="24"/>
  <c r="U2475" i="24"/>
  <c r="T2475" i="24"/>
  <c r="O2475" i="24"/>
  <c r="N2475" i="24"/>
  <c r="P2475" i="24" s="1"/>
  <c r="K2475" i="24"/>
  <c r="G2475" i="24"/>
  <c r="H2475" i="24" s="1"/>
  <c r="R2474" i="24"/>
  <c r="O2474" i="24"/>
  <c r="N2474" i="24"/>
  <c r="I2474" i="24"/>
  <c r="U2473" i="24"/>
  <c r="T2473" i="24"/>
  <c r="O2473" i="24"/>
  <c r="N2473" i="24"/>
  <c r="P2473" i="24" s="1"/>
  <c r="K2473" i="24"/>
  <c r="G2473" i="24"/>
  <c r="H2473" i="24" s="1"/>
  <c r="U2472" i="24"/>
  <c r="T2472" i="24"/>
  <c r="O2472" i="24"/>
  <c r="N2472" i="24"/>
  <c r="P2472" i="24" s="1"/>
  <c r="K2472" i="24"/>
  <c r="G2472" i="24"/>
  <c r="H2472" i="24" s="1"/>
  <c r="U2471" i="24"/>
  <c r="T2471" i="24"/>
  <c r="O2471" i="24"/>
  <c r="N2471" i="24"/>
  <c r="P2471" i="24" s="1"/>
  <c r="K2471" i="24"/>
  <c r="G2471" i="24"/>
  <c r="H2471" i="24" s="1"/>
  <c r="U2470" i="24"/>
  <c r="T2470" i="24"/>
  <c r="O2470" i="24"/>
  <c r="N2470" i="24"/>
  <c r="P2470" i="24" s="1"/>
  <c r="K2470" i="24"/>
  <c r="G2470" i="24"/>
  <c r="H2470" i="24" s="1"/>
  <c r="U2469" i="24"/>
  <c r="T2469" i="24"/>
  <c r="O2469" i="24"/>
  <c r="N2469" i="24"/>
  <c r="P2469" i="24" s="1"/>
  <c r="K2469" i="24"/>
  <c r="G2469" i="24"/>
  <c r="H2469" i="24" s="1"/>
  <c r="H2468" i="24" s="1"/>
  <c r="J2468" i="24" s="1"/>
  <c r="R2468" i="24"/>
  <c r="O2468" i="24"/>
  <c r="N2468" i="24"/>
  <c r="I2468" i="24"/>
  <c r="U2467" i="24"/>
  <c r="T2467" i="24"/>
  <c r="O2467" i="24"/>
  <c r="N2467" i="24"/>
  <c r="P2467" i="24" s="1"/>
  <c r="K2467" i="24"/>
  <c r="G2467" i="24"/>
  <c r="H2467" i="24" s="1"/>
  <c r="U2466" i="24"/>
  <c r="T2466" i="24"/>
  <c r="O2466" i="24"/>
  <c r="N2466" i="24"/>
  <c r="P2466" i="24" s="1"/>
  <c r="K2466" i="24"/>
  <c r="G2466" i="24"/>
  <c r="H2466" i="24" s="1"/>
  <c r="U2465" i="24"/>
  <c r="T2465" i="24"/>
  <c r="O2465" i="24"/>
  <c r="N2465" i="24"/>
  <c r="P2465" i="24" s="1"/>
  <c r="K2465" i="24"/>
  <c r="H2465" i="24"/>
  <c r="G2465" i="24"/>
  <c r="U2464" i="24"/>
  <c r="T2464" i="24"/>
  <c r="O2464" i="24"/>
  <c r="N2464" i="24"/>
  <c r="P2464" i="24" s="1"/>
  <c r="K2464" i="24"/>
  <c r="G2464" i="24"/>
  <c r="H2464" i="24" s="1"/>
  <c r="U2463" i="24"/>
  <c r="T2463" i="24"/>
  <c r="O2463" i="24"/>
  <c r="N2463" i="24"/>
  <c r="P2463" i="24" s="1"/>
  <c r="K2463" i="24"/>
  <c r="H2463" i="24"/>
  <c r="G2463" i="24"/>
  <c r="R2462" i="24"/>
  <c r="O2462" i="24"/>
  <c r="N2462" i="24"/>
  <c r="S2462" i="24" s="1"/>
  <c r="I2462" i="24"/>
  <c r="U2461" i="24"/>
  <c r="T2461" i="24"/>
  <c r="O2461" i="24"/>
  <c r="N2461" i="24"/>
  <c r="P2461" i="24" s="1"/>
  <c r="K2461" i="24"/>
  <c r="G2461" i="24"/>
  <c r="H2461" i="24" s="1"/>
  <c r="U2460" i="24"/>
  <c r="T2460" i="24"/>
  <c r="O2460" i="24"/>
  <c r="N2460" i="24"/>
  <c r="P2460" i="24" s="1"/>
  <c r="K2460" i="24"/>
  <c r="G2460" i="24"/>
  <c r="H2460" i="24" s="1"/>
  <c r="U2459" i="24"/>
  <c r="T2459" i="24"/>
  <c r="O2459" i="24"/>
  <c r="N2459" i="24"/>
  <c r="P2459" i="24" s="1"/>
  <c r="K2459" i="24"/>
  <c r="G2459" i="24"/>
  <c r="H2459" i="24" s="1"/>
  <c r="U2458" i="24"/>
  <c r="T2458" i="24"/>
  <c r="O2458" i="24"/>
  <c r="N2458" i="24"/>
  <c r="P2458" i="24" s="1"/>
  <c r="K2458" i="24"/>
  <c r="G2458" i="24"/>
  <c r="H2458" i="24" s="1"/>
  <c r="U2457" i="24"/>
  <c r="T2457" i="24"/>
  <c r="O2457" i="24"/>
  <c r="N2457" i="24"/>
  <c r="P2457" i="24" s="1"/>
  <c r="K2457" i="24"/>
  <c r="G2457" i="24"/>
  <c r="H2457" i="24" s="1"/>
  <c r="R2456" i="24"/>
  <c r="O2456" i="24"/>
  <c r="N2456" i="24"/>
  <c r="I2456" i="24"/>
  <c r="U2455" i="24"/>
  <c r="T2455" i="24"/>
  <c r="O2455" i="24"/>
  <c r="N2455" i="24"/>
  <c r="P2455" i="24" s="1"/>
  <c r="K2455" i="24"/>
  <c r="H2455" i="24"/>
  <c r="G2455" i="24"/>
  <c r="U2454" i="24"/>
  <c r="T2454" i="24"/>
  <c r="O2454" i="24"/>
  <c r="N2454" i="24"/>
  <c r="P2454" i="24" s="1"/>
  <c r="K2454" i="24"/>
  <c r="G2454" i="24"/>
  <c r="H2454" i="24" s="1"/>
  <c r="U2453" i="24"/>
  <c r="T2453" i="24"/>
  <c r="O2453" i="24"/>
  <c r="N2453" i="24"/>
  <c r="P2453" i="24" s="1"/>
  <c r="K2453" i="24"/>
  <c r="G2453" i="24"/>
  <c r="H2453" i="24" s="1"/>
  <c r="U2452" i="24"/>
  <c r="T2452" i="24"/>
  <c r="O2452" i="24"/>
  <c r="N2452" i="24"/>
  <c r="P2452" i="24" s="1"/>
  <c r="K2452" i="24"/>
  <c r="G2452" i="24"/>
  <c r="H2452" i="24" s="1"/>
  <c r="U2451" i="24"/>
  <c r="T2451" i="24"/>
  <c r="O2451" i="24"/>
  <c r="N2451" i="24"/>
  <c r="P2451" i="24" s="1"/>
  <c r="K2451" i="24"/>
  <c r="G2451" i="24"/>
  <c r="H2451" i="24" s="1"/>
  <c r="R2450" i="24"/>
  <c r="O2450" i="24"/>
  <c r="N2450" i="24"/>
  <c r="P2450" i="24" s="1"/>
  <c r="I2450" i="24"/>
  <c r="U2449" i="24"/>
  <c r="T2449" i="24"/>
  <c r="O2449" i="24"/>
  <c r="N2449" i="24"/>
  <c r="P2449" i="24" s="1"/>
  <c r="K2449" i="24"/>
  <c r="G2449" i="24"/>
  <c r="H2449" i="24" s="1"/>
  <c r="U2448" i="24"/>
  <c r="T2448" i="24"/>
  <c r="O2448" i="24"/>
  <c r="N2448" i="24"/>
  <c r="P2448" i="24" s="1"/>
  <c r="K2448" i="24"/>
  <c r="G2448" i="24"/>
  <c r="H2448" i="24" s="1"/>
  <c r="U2447" i="24"/>
  <c r="T2447" i="24"/>
  <c r="O2447" i="24"/>
  <c r="N2447" i="24"/>
  <c r="P2447" i="24" s="1"/>
  <c r="K2447" i="24"/>
  <c r="G2447" i="24"/>
  <c r="H2447" i="24" s="1"/>
  <c r="U2446" i="24"/>
  <c r="T2446" i="24"/>
  <c r="O2446" i="24"/>
  <c r="N2446" i="24"/>
  <c r="P2446" i="24" s="1"/>
  <c r="K2446" i="24"/>
  <c r="G2446" i="24"/>
  <c r="H2446" i="24" s="1"/>
  <c r="U2445" i="24"/>
  <c r="T2445" i="24"/>
  <c r="O2445" i="24"/>
  <c r="N2445" i="24"/>
  <c r="P2445" i="24" s="1"/>
  <c r="K2445" i="24"/>
  <c r="G2445" i="24"/>
  <c r="H2445" i="24" s="1"/>
  <c r="R2444" i="24"/>
  <c r="O2444" i="24"/>
  <c r="N2444" i="24"/>
  <c r="P2444" i="24" s="1"/>
  <c r="I2444" i="24"/>
  <c r="U2443" i="24"/>
  <c r="T2443" i="24"/>
  <c r="O2443" i="24"/>
  <c r="N2443" i="24"/>
  <c r="P2443" i="24" s="1"/>
  <c r="K2443" i="24"/>
  <c r="G2443" i="24"/>
  <c r="H2443" i="24" s="1"/>
  <c r="U2442" i="24"/>
  <c r="T2442" i="24"/>
  <c r="O2442" i="24"/>
  <c r="N2442" i="24"/>
  <c r="P2442" i="24" s="1"/>
  <c r="K2442" i="24"/>
  <c r="G2442" i="24"/>
  <c r="H2442" i="24" s="1"/>
  <c r="U2441" i="24"/>
  <c r="T2441" i="24"/>
  <c r="O2441" i="24"/>
  <c r="N2441" i="24"/>
  <c r="P2441" i="24" s="1"/>
  <c r="K2441" i="24"/>
  <c r="H2441" i="24"/>
  <c r="G2441" i="24"/>
  <c r="U2440" i="24"/>
  <c r="T2440" i="24"/>
  <c r="O2440" i="24"/>
  <c r="N2440" i="24"/>
  <c r="P2440" i="24" s="1"/>
  <c r="K2440" i="24"/>
  <c r="G2440" i="24"/>
  <c r="H2440" i="24" s="1"/>
  <c r="U2439" i="24"/>
  <c r="T2439" i="24"/>
  <c r="O2439" i="24"/>
  <c r="N2439" i="24"/>
  <c r="P2439" i="24" s="1"/>
  <c r="K2439" i="24"/>
  <c r="G2439" i="24"/>
  <c r="H2439" i="24" s="1"/>
  <c r="R2438" i="24"/>
  <c r="O2438" i="24"/>
  <c r="N2438" i="24"/>
  <c r="S2438" i="24" s="1"/>
  <c r="I2438" i="24"/>
  <c r="U2437" i="24"/>
  <c r="T2437" i="24"/>
  <c r="O2437" i="24"/>
  <c r="N2437" i="24"/>
  <c r="P2437" i="24" s="1"/>
  <c r="K2437" i="24"/>
  <c r="G2437" i="24"/>
  <c r="H2437" i="24" s="1"/>
  <c r="U2436" i="24"/>
  <c r="T2436" i="24"/>
  <c r="O2436" i="24"/>
  <c r="N2436" i="24"/>
  <c r="P2436" i="24" s="1"/>
  <c r="K2436" i="24"/>
  <c r="G2436" i="24"/>
  <c r="H2436" i="24" s="1"/>
  <c r="U2435" i="24"/>
  <c r="T2435" i="24"/>
  <c r="O2435" i="24"/>
  <c r="N2435" i="24"/>
  <c r="P2435" i="24" s="1"/>
  <c r="K2435" i="24"/>
  <c r="G2435" i="24"/>
  <c r="H2435" i="24" s="1"/>
  <c r="U2434" i="24"/>
  <c r="T2434" i="24"/>
  <c r="O2434" i="24"/>
  <c r="N2434" i="24"/>
  <c r="P2434" i="24" s="1"/>
  <c r="K2434" i="24"/>
  <c r="G2434" i="24"/>
  <c r="H2434" i="24" s="1"/>
  <c r="H2432" i="24" s="1"/>
  <c r="J2432" i="24" s="1"/>
  <c r="U2433" i="24"/>
  <c r="T2433" i="24"/>
  <c r="O2433" i="24"/>
  <c r="N2433" i="24"/>
  <c r="P2433" i="24" s="1"/>
  <c r="K2433" i="24"/>
  <c r="G2433" i="24"/>
  <c r="H2433" i="24" s="1"/>
  <c r="R2432" i="24"/>
  <c r="O2432" i="24"/>
  <c r="N2432" i="24"/>
  <c r="P2432" i="24" s="1"/>
  <c r="I2432" i="24"/>
  <c r="U2431" i="24"/>
  <c r="T2431" i="24"/>
  <c r="O2431" i="24"/>
  <c r="N2431" i="24"/>
  <c r="P2431" i="24" s="1"/>
  <c r="K2431" i="24"/>
  <c r="G2431" i="24"/>
  <c r="H2431" i="24" s="1"/>
  <c r="U2430" i="24"/>
  <c r="T2430" i="24"/>
  <c r="O2430" i="24"/>
  <c r="N2430" i="24"/>
  <c r="P2430" i="24" s="1"/>
  <c r="K2430" i="24"/>
  <c r="H2430" i="24"/>
  <c r="G2430" i="24"/>
  <c r="U2429" i="24"/>
  <c r="T2429" i="24"/>
  <c r="O2429" i="24"/>
  <c r="N2429" i="24"/>
  <c r="P2429" i="24" s="1"/>
  <c r="K2429" i="24"/>
  <c r="G2429" i="24"/>
  <c r="H2429" i="24" s="1"/>
  <c r="U2428" i="24"/>
  <c r="T2428" i="24"/>
  <c r="O2428" i="24"/>
  <c r="N2428" i="24"/>
  <c r="P2428" i="24" s="1"/>
  <c r="K2428" i="24"/>
  <c r="G2428" i="24"/>
  <c r="H2428" i="24" s="1"/>
  <c r="U2427" i="24"/>
  <c r="T2427" i="24"/>
  <c r="O2427" i="24"/>
  <c r="N2427" i="24"/>
  <c r="P2427" i="24" s="1"/>
  <c r="K2427" i="24"/>
  <c r="G2427" i="24"/>
  <c r="H2427" i="24" s="1"/>
  <c r="H2426" i="24" s="1"/>
  <c r="J2426" i="24" s="1"/>
  <c r="R2426" i="24"/>
  <c r="O2426" i="24"/>
  <c r="N2426" i="24"/>
  <c r="S2426" i="24" s="1"/>
  <c r="I2426" i="24"/>
  <c r="U2425" i="24"/>
  <c r="T2425" i="24"/>
  <c r="O2425" i="24"/>
  <c r="N2425" i="24"/>
  <c r="P2425" i="24" s="1"/>
  <c r="K2425" i="24"/>
  <c r="G2425" i="24"/>
  <c r="H2425" i="24" s="1"/>
  <c r="U2424" i="24"/>
  <c r="T2424" i="24"/>
  <c r="O2424" i="24"/>
  <c r="N2424" i="24"/>
  <c r="P2424" i="24" s="1"/>
  <c r="K2424" i="24"/>
  <c r="G2424" i="24"/>
  <c r="H2424" i="24" s="1"/>
  <c r="U2423" i="24"/>
  <c r="T2423" i="24"/>
  <c r="O2423" i="24"/>
  <c r="N2423" i="24"/>
  <c r="P2423" i="24" s="1"/>
  <c r="K2423" i="24"/>
  <c r="G2423" i="24"/>
  <c r="H2423" i="24" s="1"/>
  <c r="U2422" i="24"/>
  <c r="T2422" i="24"/>
  <c r="O2422" i="24"/>
  <c r="N2422" i="24"/>
  <c r="P2422" i="24" s="1"/>
  <c r="K2422" i="24"/>
  <c r="G2422" i="24"/>
  <c r="H2422" i="24" s="1"/>
  <c r="U2421" i="24"/>
  <c r="T2421" i="24"/>
  <c r="O2421" i="24"/>
  <c r="N2421" i="24"/>
  <c r="P2421" i="24" s="1"/>
  <c r="K2421" i="24"/>
  <c r="G2421" i="24"/>
  <c r="H2421" i="24" s="1"/>
  <c r="R2420" i="24"/>
  <c r="O2420" i="24"/>
  <c r="N2420" i="24"/>
  <c r="P2420" i="24" s="1"/>
  <c r="I2420" i="24"/>
  <c r="U2419" i="24"/>
  <c r="T2419" i="24"/>
  <c r="O2419" i="24"/>
  <c r="N2419" i="24"/>
  <c r="P2419" i="24" s="1"/>
  <c r="K2419" i="24"/>
  <c r="G2419" i="24"/>
  <c r="H2419" i="24" s="1"/>
  <c r="U2418" i="24"/>
  <c r="T2418" i="24"/>
  <c r="O2418" i="24"/>
  <c r="N2418" i="24"/>
  <c r="P2418" i="24" s="1"/>
  <c r="K2418" i="24"/>
  <c r="G2418" i="24"/>
  <c r="H2418" i="24" s="1"/>
  <c r="U2417" i="24"/>
  <c r="T2417" i="24"/>
  <c r="O2417" i="24"/>
  <c r="N2417" i="24"/>
  <c r="P2417" i="24" s="1"/>
  <c r="K2417" i="24"/>
  <c r="G2417" i="24"/>
  <c r="H2417" i="24" s="1"/>
  <c r="U2416" i="24"/>
  <c r="T2416" i="24"/>
  <c r="O2416" i="24"/>
  <c r="N2416" i="24"/>
  <c r="P2416" i="24" s="1"/>
  <c r="K2416" i="24"/>
  <c r="H2416" i="24"/>
  <c r="G2416" i="24"/>
  <c r="U2415" i="24"/>
  <c r="T2415" i="24"/>
  <c r="O2415" i="24"/>
  <c r="N2415" i="24"/>
  <c r="P2415" i="24" s="1"/>
  <c r="K2415" i="24"/>
  <c r="G2415" i="24"/>
  <c r="H2415" i="24" s="1"/>
  <c r="H2414" i="24" s="1"/>
  <c r="J2414" i="24" s="1"/>
  <c r="R2414" i="24"/>
  <c r="O2414" i="24"/>
  <c r="N2414" i="24"/>
  <c r="S2414" i="24" s="1"/>
  <c r="I2414" i="24"/>
  <c r="U2413" i="24"/>
  <c r="T2413" i="24"/>
  <c r="O2413" i="24"/>
  <c r="N2413" i="24"/>
  <c r="P2413" i="24" s="1"/>
  <c r="K2413" i="24"/>
  <c r="G2413" i="24"/>
  <c r="H2413" i="24" s="1"/>
  <c r="U2412" i="24"/>
  <c r="T2412" i="24"/>
  <c r="O2412" i="24"/>
  <c r="N2412" i="24"/>
  <c r="P2412" i="24" s="1"/>
  <c r="K2412" i="24"/>
  <c r="G2412" i="24"/>
  <c r="H2412" i="24" s="1"/>
  <c r="U2411" i="24"/>
  <c r="T2411" i="24"/>
  <c r="O2411" i="24"/>
  <c r="N2411" i="24"/>
  <c r="P2411" i="24" s="1"/>
  <c r="K2411" i="24"/>
  <c r="G2411" i="24"/>
  <c r="H2411" i="24" s="1"/>
  <c r="U2410" i="24"/>
  <c r="T2410" i="24"/>
  <c r="O2410" i="24"/>
  <c r="N2410" i="24"/>
  <c r="P2410" i="24" s="1"/>
  <c r="K2410" i="24"/>
  <c r="G2410" i="24"/>
  <c r="H2410" i="24" s="1"/>
  <c r="U2409" i="24"/>
  <c r="T2409" i="24"/>
  <c r="O2409" i="24"/>
  <c r="N2409" i="24"/>
  <c r="P2409" i="24" s="1"/>
  <c r="K2409" i="24"/>
  <c r="G2409" i="24"/>
  <c r="H2409" i="24" s="1"/>
  <c r="R2408" i="24"/>
  <c r="O2408" i="24"/>
  <c r="N2408" i="24"/>
  <c r="P2408" i="24" s="1"/>
  <c r="I2408" i="24"/>
  <c r="J2408" i="24" s="1"/>
  <c r="H2408" i="24"/>
  <c r="U2407" i="24"/>
  <c r="T2407" i="24"/>
  <c r="O2407" i="24"/>
  <c r="N2407" i="24"/>
  <c r="P2407" i="24" s="1"/>
  <c r="K2407" i="24"/>
  <c r="G2407" i="24"/>
  <c r="H2407" i="24" s="1"/>
  <c r="U2406" i="24"/>
  <c r="T2406" i="24"/>
  <c r="O2406" i="24"/>
  <c r="N2406" i="24"/>
  <c r="P2406" i="24" s="1"/>
  <c r="K2406" i="24"/>
  <c r="G2406" i="24"/>
  <c r="H2406" i="24" s="1"/>
  <c r="U2405" i="24"/>
  <c r="T2405" i="24"/>
  <c r="O2405" i="24"/>
  <c r="N2405" i="24"/>
  <c r="P2405" i="24" s="1"/>
  <c r="K2405" i="24"/>
  <c r="H2405" i="24"/>
  <c r="G2405" i="24"/>
  <c r="U2404" i="24"/>
  <c r="T2404" i="24"/>
  <c r="O2404" i="24"/>
  <c r="N2404" i="24"/>
  <c r="P2404" i="24" s="1"/>
  <c r="K2404" i="24"/>
  <c r="G2404" i="24"/>
  <c r="H2404" i="24" s="1"/>
  <c r="U2403" i="24"/>
  <c r="T2403" i="24"/>
  <c r="O2403" i="24"/>
  <c r="N2403" i="24"/>
  <c r="P2403" i="24" s="1"/>
  <c r="K2403" i="24"/>
  <c r="G2403" i="24"/>
  <c r="H2403" i="24" s="1"/>
  <c r="H2402" i="24" s="1"/>
  <c r="J2402" i="24" s="1"/>
  <c r="R2402" i="24"/>
  <c r="O2402" i="24"/>
  <c r="N2402" i="24"/>
  <c r="P2402" i="24" s="1"/>
  <c r="I2402" i="24"/>
  <c r="U2401" i="24"/>
  <c r="T2401" i="24"/>
  <c r="O2401" i="24"/>
  <c r="N2401" i="24"/>
  <c r="P2401" i="24" s="1"/>
  <c r="K2401" i="24"/>
  <c r="G2401" i="24"/>
  <c r="H2401" i="24" s="1"/>
  <c r="H2396" i="24" s="1"/>
  <c r="U2400" i="24"/>
  <c r="T2400" i="24"/>
  <c r="O2400" i="24"/>
  <c r="N2400" i="24"/>
  <c r="P2400" i="24" s="1"/>
  <c r="K2400" i="24"/>
  <c r="G2400" i="24"/>
  <c r="H2400" i="24" s="1"/>
  <c r="U2399" i="24"/>
  <c r="T2399" i="24"/>
  <c r="O2399" i="24"/>
  <c r="N2399" i="24"/>
  <c r="P2399" i="24" s="1"/>
  <c r="K2399" i="24"/>
  <c r="G2399" i="24"/>
  <c r="H2399" i="24" s="1"/>
  <c r="U2398" i="24"/>
  <c r="T2398" i="24"/>
  <c r="O2398" i="24"/>
  <c r="N2398" i="24"/>
  <c r="P2398" i="24" s="1"/>
  <c r="K2398" i="24"/>
  <c r="G2398" i="24"/>
  <c r="H2398" i="24" s="1"/>
  <c r="U2397" i="24"/>
  <c r="T2397" i="24"/>
  <c r="O2397" i="24"/>
  <c r="N2397" i="24"/>
  <c r="P2397" i="24" s="1"/>
  <c r="K2397" i="24"/>
  <c r="G2397" i="24"/>
  <c r="H2397" i="24" s="1"/>
  <c r="R2396" i="24"/>
  <c r="O2396" i="24"/>
  <c r="N2396" i="24"/>
  <c r="P2396" i="24" s="1"/>
  <c r="I2396" i="24"/>
  <c r="U2395" i="24"/>
  <c r="T2395" i="24"/>
  <c r="O2395" i="24"/>
  <c r="N2395" i="24"/>
  <c r="P2395" i="24" s="1"/>
  <c r="K2395" i="24"/>
  <c r="G2395" i="24"/>
  <c r="H2395" i="24" s="1"/>
  <c r="U2394" i="24"/>
  <c r="T2394" i="24"/>
  <c r="O2394" i="24"/>
  <c r="N2394" i="24"/>
  <c r="P2394" i="24" s="1"/>
  <c r="K2394" i="24"/>
  <c r="G2394" i="24"/>
  <c r="H2394" i="24" s="1"/>
  <c r="U2393" i="24"/>
  <c r="T2393" i="24"/>
  <c r="O2393" i="24"/>
  <c r="N2393" i="24"/>
  <c r="P2393" i="24" s="1"/>
  <c r="K2393" i="24"/>
  <c r="H2393" i="24"/>
  <c r="G2393" i="24"/>
  <c r="U2392" i="24"/>
  <c r="T2392" i="24"/>
  <c r="O2392" i="24"/>
  <c r="N2392" i="24"/>
  <c r="P2392" i="24" s="1"/>
  <c r="K2392" i="24"/>
  <c r="G2392" i="24"/>
  <c r="H2392" i="24" s="1"/>
  <c r="U2391" i="24"/>
  <c r="T2391" i="24"/>
  <c r="O2391" i="24"/>
  <c r="N2391" i="24"/>
  <c r="P2391" i="24" s="1"/>
  <c r="K2391" i="24"/>
  <c r="G2391" i="24"/>
  <c r="H2391" i="24" s="1"/>
  <c r="R2390" i="24"/>
  <c r="O2390" i="24"/>
  <c r="N2390" i="24"/>
  <c r="S2390" i="24" s="1"/>
  <c r="I2390" i="24"/>
  <c r="U2389" i="24"/>
  <c r="T2389" i="24"/>
  <c r="O2389" i="24"/>
  <c r="N2389" i="24"/>
  <c r="P2389" i="24" s="1"/>
  <c r="K2389" i="24"/>
  <c r="G2389" i="24"/>
  <c r="H2389" i="24" s="1"/>
  <c r="U2388" i="24"/>
  <c r="T2388" i="24"/>
  <c r="O2388" i="24"/>
  <c r="N2388" i="24"/>
  <c r="P2388" i="24" s="1"/>
  <c r="K2388" i="24"/>
  <c r="G2388" i="24"/>
  <c r="H2388" i="24" s="1"/>
  <c r="U2387" i="24"/>
  <c r="T2387" i="24"/>
  <c r="O2387" i="24"/>
  <c r="N2387" i="24"/>
  <c r="P2387" i="24" s="1"/>
  <c r="K2387" i="24"/>
  <c r="G2387" i="24"/>
  <c r="H2387" i="24" s="1"/>
  <c r="U2386" i="24"/>
  <c r="T2386" i="24"/>
  <c r="O2386" i="24"/>
  <c r="N2386" i="24"/>
  <c r="P2386" i="24" s="1"/>
  <c r="K2386" i="24"/>
  <c r="H2386" i="24"/>
  <c r="H2384" i="24" s="1"/>
  <c r="G2386" i="24"/>
  <c r="U2385" i="24"/>
  <c r="T2385" i="24"/>
  <c r="O2385" i="24"/>
  <c r="N2385" i="24"/>
  <c r="P2385" i="24" s="1"/>
  <c r="K2385" i="24"/>
  <c r="G2385" i="24"/>
  <c r="H2385" i="24" s="1"/>
  <c r="R2384" i="24"/>
  <c r="O2384" i="24"/>
  <c r="N2384" i="24"/>
  <c r="P2384" i="24" s="1"/>
  <c r="I2384" i="24"/>
  <c r="J2384" i="24" s="1"/>
  <c r="U2383" i="24"/>
  <c r="T2383" i="24"/>
  <c r="O2383" i="24"/>
  <c r="N2383" i="24"/>
  <c r="P2383" i="24" s="1"/>
  <c r="K2383" i="24"/>
  <c r="G2383" i="24"/>
  <c r="H2383" i="24" s="1"/>
  <c r="U2382" i="24"/>
  <c r="T2382" i="24"/>
  <c r="O2382" i="24"/>
  <c r="N2382" i="24"/>
  <c r="P2382" i="24" s="1"/>
  <c r="K2382" i="24"/>
  <c r="G2382" i="24"/>
  <c r="H2382" i="24" s="1"/>
  <c r="U2381" i="24"/>
  <c r="T2381" i="24"/>
  <c r="O2381" i="24"/>
  <c r="N2381" i="24"/>
  <c r="P2381" i="24" s="1"/>
  <c r="K2381" i="24"/>
  <c r="G2381" i="24"/>
  <c r="H2381" i="24" s="1"/>
  <c r="U2380" i="24"/>
  <c r="T2380" i="24"/>
  <c r="O2380" i="24"/>
  <c r="N2380" i="24"/>
  <c r="P2380" i="24" s="1"/>
  <c r="K2380" i="24"/>
  <c r="G2380" i="24"/>
  <c r="H2380" i="24" s="1"/>
  <c r="U2379" i="24"/>
  <c r="T2379" i="24"/>
  <c r="O2379" i="24"/>
  <c r="N2379" i="24"/>
  <c r="P2379" i="24" s="1"/>
  <c r="K2379" i="24"/>
  <c r="H2379" i="24"/>
  <c r="G2379" i="24"/>
  <c r="R2378" i="24"/>
  <c r="O2378" i="24"/>
  <c r="N2378" i="24"/>
  <c r="I2378" i="24"/>
  <c r="U2377" i="24"/>
  <c r="T2377" i="24"/>
  <c r="O2377" i="24"/>
  <c r="N2377" i="24"/>
  <c r="P2377" i="24" s="1"/>
  <c r="K2377" i="24"/>
  <c r="G2377" i="24"/>
  <c r="H2377" i="24" s="1"/>
  <c r="U2376" i="24"/>
  <c r="T2376" i="24"/>
  <c r="O2376" i="24"/>
  <c r="N2376" i="24"/>
  <c r="P2376" i="24" s="1"/>
  <c r="K2376" i="24"/>
  <c r="G2376" i="24"/>
  <c r="H2376" i="24" s="1"/>
  <c r="U2375" i="24"/>
  <c r="T2375" i="24"/>
  <c r="O2375" i="24"/>
  <c r="N2375" i="24"/>
  <c r="P2375" i="24" s="1"/>
  <c r="K2375" i="24"/>
  <c r="H2375" i="24"/>
  <c r="G2375" i="24"/>
  <c r="U2374" i="24"/>
  <c r="T2374" i="24"/>
  <c r="O2374" i="24"/>
  <c r="N2374" i="24"/>
  <c r="P2374" i="24" s="1"/>
  <c r="K2374" i="24"/>
  <c r="G2374" i="24"/>
  <c r="H2374" i="24" s="1"/>
  <c r="U2373" i="24"/>
  <c r="T2373" i="24"/>
  <c r="O2373" i="24"/>
  <c r="N2373" i="24"/>
  <c r="P2373" i="24" s="1"/>
  <c r="K2373" i="24"/>
  <c r="G2373" i="24"/>
  <c r="H2373" i="24" s="1"/>
  <c r="R2372" i="24"/>
  <c r="O2372" i="24"/>
  <c r="N2372" i="24"/>
  <c r="I2372" i="24"/>
  <c r="U2371" i="24"/>
  <c r="T2371" i="24"/>
  <c r="O2371" i="24"/>
  <c r="N2371" i="24"/>
  <c r="P2371" i="24" s="1"/>
  <c r="K2371" i="24"/>
  <c r="H2371" i="24"/>
  <c r="G2371" i="24"/>
  <c r="U2370" i="24"/>
  <c r="T2370" i="24"/>
  <c r="O2370" i="24"/>
  <c r="N2370" i="24"/>
  <c r="P2370" i="24" s="1"/>
  <c r="K2370" i="24"/>
  <c r="G2370" i="24"/>
  <c r="H2370" i="24" s="1"/>
  <c r="U2369" i="24"/>
  <c r="T2369" i="24"/>
  <c r="O2369" i="24"/>
  <c r="N2369" i="24"/>
  <c r="P2369" i="24" s="1"/>
  <c r="K2369" i="24"/>
  <c r="G2369" i="24"/>
  <c r="H2369" i="24" s="1"/>
  <c r="U2368" i="24"/>
  <c r="T2368" i="24"/>
  <c r="O2368" i="24"/>
  <c r="N2368" i="24"/>
  <c r="P2368" i="24" s="1"/>
  <c r="K2368" i="24"/>
  <c r="H2368" i="24"/>
  <c r="G2368" i="24"/>
  <c r="U2367" i="24"/>
  <c r="T2367" i="24"/>
  <c r="O2367" i="24"/>
  <c r="N2367" i="24"/>
  <c r="P2367" i="24" s="1"/>
  <c r="K2367" i="24"/>
  <c r="G2367" i="24"/>
  <c r="H2367" i="24" s="1"/>
  <c r="R2366" i="24"/>
  <c r="O2366" i="24"/>
  <c r="N2366" i="24"/>
  <c r="P2366" i="24" s="1"/>
  <c r="I2366" i="24"/>
  <c r="U2365" i="24"/>
  <c r="T2365" i="24"/>
  <c r="O2365" i="24"/>
  <c r="N2365" i="24"/>
  <c r="P2365" i="24" s="1"/>
  <c r="K2365" i="24"/>
  <c r="G2365" i="24"/>
  <c r="H2365" i="24" s="1"/>
  <c r="U2364" i="24"/>
  <c r="T2364" i="24"/>
  <c r="O2364" i="24"/>
  <c r="N2364" i="24"/>
  <c r="P2364" i="24" s="1"/>
  <c r="K2364" i="24"/>
  <c r="G2364" i="24"/>
  <c r="H2364" i="24" s="1"/>
  <c r="U2363" i="24"/>
  <c r="T2363" i="24"/>
  <c r="O2363" i="24"/>
  <c r="N2363" i="24"/>
  <c r="P2363" i="24" s="1"/>
  <c r="K2363" i="24"/>
  <c r="G2363" i="24"/>
  <c r="H2363" i="24" s="1"/>
  <c r="U2362" i="24"/>
  <c r="T2362" i="24"/>
  <c r="O2362" i="24"/>
  <c r="N2362" i="24"/>
  <c r="P2362" i="24" s="1"/>
  <c r="K2362" i="24"/>
  <c r="G2362" i="24"/>
  <c r="H2362" i="24" s="1"/>
  <c r="U2361" i="24"/>
  <c r="T2361" i="24"/>
  <c r="O2361" i="24"/>
  <c r="N2361" i="24"/>
  <c r="P2361" i="24" s="1"/>
  <c r="K2361" i="24"/>
  <c r="G2361" i="24"/>
  <c r="H2361" i="24" s="1"/>
  <c r="R2360" i="24"/>
  <c r="O2360" i="24"/>
  <c r="N2360" i="24"/>
  <c r="S2360" i="24" s="1"/>
  <c r="I2360" i="24"/>
  <c r="U2359" i="24"/>
  <c r="T2359" i="24"/>
  <c r="O2359" i="24"/>
  <c r="N2359" i="24"/>
  <c r="P2359" i="24" s="1"/>
  <c r="K2359" i="24"/>
  <c r="H2359" i="24"/>
  <c r="G2359" i="24"/>
  <c r="U2358" i="24"/>
  <c r="T2358" i="24"/>
  <c r="O2358" i="24"/>
  <c r="N2358" i="24"/>
  <c r="P2358" i="24" s="1"/>
  <c r="K2358" i="24"/>
  <c r="G2358" i="24"/>
  <c r="H2358" i="24" s="1"/>
  <c r="U2357" i="24"/>
  <c r="T2357" i="24"/>
  <c r="O2357" i="24"/>
  <c r="N2357" i="24"/>
  <c r="P2357" i="24" s="1"/>
  <c r="K2357" i="24"/>
  <c r="H2357" i="24"/>
  <c r="G2357" i="24"/>
  <c r="U2356" i="24"/>
  <c r="T2356" i="24"/>
  <c r="O2356" i="24"/>
  <c r="N2356" i="24"/>
  <c r="P2356" i="24" s="1"/>
  <c r="K2356" i="24"/>
  <c r="G2356" i="24"/>
  <c r="H2356" i="24" s="1"/>
  <c r="U2355" i="24"/>
  <c r="T2355" i="24"/>
  <c r="O2355" i="24"/>
  <c r="N2355" i="24"/>
  <c r="P2355" i="24" s="1"/>
  <c r="K2355" i="24"/>
  <c r="H2355" i="24"/>
  <c r="G2355" i="24"/>
  <c r="R2354" i="24"/>
  <c r="O2354" i="24"/>
  <c r="N2354" i="24"/>
  <c r="I2354" i="24"/>
  <c r="U2353" i="24"/>
  <c r="T2353" i="24"/>
  <c r="O2353" i="24"/>
  <c r="N2353" i="24"/>
  <c r="P2353" i="24" s="1"/>
  <c r="K2353" i="24"/>
  <c r="G2353" i="24"/>
  <c r="H2353" i="24" s="1"/>
  <c r="U2352" i="24"/>
  <c r="T2352" i="24"/>
  <c r="O2352" i="24"/>
  <c r="N2352" i="24"/>
  <c r="P2352" i="24" s="1"/>
  <c r="K2352" i="24"/>
  <c r="G2352" i="24"/>
  <c r="H2352" i="24" s="1"/>
  <c r="U2351" i="24"/>
  <c r="T2351" i="24"/>
  <c r="O2351" i="24"/>
  <c r="N2351" i="24"/>
  <c r="P2351" i="24" s="1"/>
  <c r="K2351" i="24"/>
  <c r="G2351" i="24"/>
  <c r="H2351" i="24" s="1"/>
  <c r="U2350" i="24"/>
  <c r="T2350" i="24"/>
  <c r="O2350" i="24"/>
  <c r="N2350" i="24"/>
  <c r="P2350" i="24" s="1"/>
  <c r="K2350" i="24"/>
  <c r="H2350" i="24"/>
  <c r="G2350" i="24"/>
  <c r="U2349" i="24"/>
  <c r="T2349" i="24"/>
  <c r="O2349" i="24"/>
  <c r="N2349" i="24"/>
  <c r="P2349" i="24" s="1"/>
  <c r="K2349" i="24"/>
  <c r="G2349" i="24"/>
  <c r="H2349" i="24" s="1"/>
  <c r="R2348" i="24"/>
  <c r="O2348" i="24"/>
  <c r="N2348" i="24"/>
  <c r="S2348" i="24" s="1"/>
  <c r="I2348" i="24"/>
  <c r="U2347" i="24"/>
  <c r="T2347" i="24"/>
  <c r="O2347" i="24"/>
  <c r="N2347" i="24"/>
  <c r="P2347" i="24" s="1"/>
  <c r="K2347" i="24"/>
  <c r="G2347" i="24"/>
  <c r="H2347" i="24" s="1"/>
  <c r="U2346" i="24"/>
  <c r="T2346" i="24"/>
  <c r="O2346" i="24"/>
  <c r="N2346" i="24"/>
  <c r="P2346" i="24" s="1"/>
  <c r="K2346" i="24"/>
  <c r="H2346" i="24"/>
  <c r="G2346" i="24"/>
  <c r="U2345" i="24"/>
  <c r="T2345" i="24"/>
  <c r="O2345" i="24"/>
  <c r="N2345" i="24"/>
  <c r="P2345" i="24" s="1"/>
  <c r="K2345" i="24"/>
  <c r="G2345" i="24"/>
  <c r="H2345" i="24" s="1"/>
  <c r="U2344" i="24"/>
  <c r="T2344" i="24"/>
  <c r="O2344" i="24"/>
  <c r="N2344" i="24"/>
  <c r="P2344" i="24" s="1"/>
  <c r="K2344" i="24"/>
  <c r="H2344" i="24"/>
  <c r="G2344" i="24"/>
  <c r="U2343" i="24"/>
  <c r="T2343" i="24"/>
  <c r="O2343" i="24"/>
  <c r="N2343" i="24"/>
  <c r="P2343" i="24" s="1"/>
  <c r="K2343" i="24"/>
  <c r="G2343" i="24"/>
  <c r="H2343" i="24" s="1"/>
  <c r="R2342" i="24"/>
  <c r="O2342" i="24"/>
  <c r="N2342" i="24"/>
  <c r="S2342" i="24" s="1"/>
  <c r="U2342" i="24" s="1"/>
  <c r="I2342" i="24"/>
  <c r="U2341" i="24"/>
  <c r="T2341" i="24"/>
  <c r="O2341" i="24"/>
  <c r="N2341" i="24"/>
  <c r="P2341" i="24" s="1"/>
  <c r="K2341" i="24"/>
  <c r="H2341" i="24"/>
  <c r="G2341" i="24"/>
  <c r="U2340" i="24"/>
  <c r="T2340" i="24"/>
  <c r="O2340" i="24"/>
  <c r="N2340" i="24"/>
  <c r="P2340" i="24" s="1"/>
  <c r="K2340" i="24"/>
  <c r="G2340" i="24"/>
  <c r="H2340" i="24" s="1"/>
  <c r="U2339" i="24"/>
  <c r="T2339" i="24"/>
  <c r="O2339" i="24"/>
  <c r="N2339" i="24"/>
  <c r="P2339" i="24" s="1"/>
  <c r="K2339" i="24"/>
  <c r="G2339" i="24"/>
  <c r="H2339" i="24" s="1"/>
  <c r="U2338" i="24"/>
  <c r="T2338" i="24"/>
  <c r="O2338" i="24"/>
  <c r="N2338" i="24"/>
  <c r="P2338" i="24" s="1"/>
  <c r="K2338" i="24"/>
  <c r="G2338" i="24"/>
  <c r="H2338" i="24" s="1"/>
  <c r="U2337" i="24"/>
  <c r="T2337" i="24"/>
  <c r="O2337" i="24"/>
  <c r="N2337" i="24"/>
  <c r="P2337" i="24" s="1"/>
  <c r="K2337" i="24"/>
  <c r="H2337" i="24"/>
  <c r="G2337" i="24"/>
  <c r="R2336" i="24"/>
  <c r="O2336" i="24"/>
  <c r="N2336" i="24"/>
  <c r="S2336" i="24" s="1"/>
  <c r="I2336" i="24"/>
  <c r="U2335" i="24"/>
  <c r="T2335" i="24"/>
  <c r="O2335" i="24"/>
  <c r="N2335" i="24"/>
  <c r="P2335" i="24" s="1"/>
  <c r="K2335" i="24"/>
  <c r="G2335" i="24"/>
  <c r="H2335" i="24" s="1"/>
  <c r="U2334" i="24"/>
  <c r="T2334" i="24"/>
  <c r="O2334" i="24"/>
  <c r="N2334" i="24"/>
  <c r="P2334" i="24" s="1"/>
  <c r="K2334" i="24"/>
  <c r="H2334" i="24"/>
  <c r="G2334" i="24"/>
  <c r="U2333" i="24"/>
  <c r="T2333" i="24"/>
  <c r="O2333" i="24"/>
  <c r="N2333" i="24"/>
  <c r="P2333" i="24" s="1"/>
  <c r="K2333" i="24"/>
  <c r="G2333" i="24"/>
  <c r="H2333" i="24" s="1"/>
  <c r="U2332" i="24"/>
  <c r="T2332" i="24"/>
  <c r="O2332" i="24"/>
  <c r="N2332" i="24"/>
  <c r="P2332" i="24" s="1"/>
  <c r="K2332" i="24"/>
  <c r="H2332" i="24"/>
  <c r="G2332" i="24"/>
  <c r="U2331" i="24"/>
  <c r="T2331" i="24"/>
  <c r="O2331" i="24"/>
  <c r="N2331" i="24"/>
  <c r="P2331" i="24" s="1"/>
  <c r="K2331" i="24"/>
  <c r="G2331" i="24"/>
  <c r="H2331" i="24" s="1"/>
  <c r="H2330" i="24" s="1"/>
  <c r="R2330" i="24"/>
  <c r="O2330" i="24"/>
  <c r="N2330" i="24"/>
  <c r="S2330" i="24" s="1"/>
  <c r="I2330" i="24"/>
  <c r="U2329" i="24"/>
  <c r="T2329" i="24"/>
  <c r="O2329" i="24"/>
  <c r="N2329" i="24"/>
  <c r="P2329" i="24" s="1"/>
  <c r="K2329" i="24"/>
  <c r="G2329" i="24"/>
  <c r="H2329" i="24" s="1"/>
  <c r="U2328" i="24"/>
  <c r="T2328" i="24"/>
  <c r="O2328" i="24"/>
  <c r="N2328" i="24"/>
  <c r="P2328" i="24" s="1"/>
  <c r="K2328" i="24"/>
  <c r="H2328" i="24"/>
  <c r="G2328" i="24"/>
  <c r="U2327" i="24"/>
  <c r="T2327" i="24"/>
  <c r="O2327" i="24"/>
  <c r="N2327" i="24"/>
  <c r="P2327" i="24" s="1"/>
  <c r="K2327" i="24"/>
  <c r="G2327" i="24"/>
  <c r="H2327" i="24" s="1"/>
  <c r="U2326" i="24"/>
  <c r="T2326" i="24"/>
  <c r="O2326" i="24"/>
  <c r="N2326" i="24"/>
  <c r="P2326" i="24" s="1"/>
  <c r="K2326" i="24"/>
  <c r="G2326" i="24"/>
  <c r="H2326" i="24" s="1"/>
  <c r="U2325" i="24"/>
  <c r="T2325" i="24"/>
  <c r="O2325" i="24"/>
  <c r="N2325" i="24"/>
  <c r="P2325" i="24" s="1"/>
  <c r="K2325" i="24"/>
  <c r="G2325" i="24"/>
  <c r="H2325" i="24" s="1"/>
  <c r="R2324" i="24"/>
  <c r="O2324" i="24"/>
  <c r="N2324" i="24"/>
  <c r="P2324" i="24" s="1"/>
  <c r="I2324" i="24"/>
  <c r="U2323" i="24"/>
  <c r="T2323" i="24"/>
  <c r="O2323" i="24"/>
  <c r="N2323" i="24"/>
  <c r="P2323" i="24" s="1"/>
  <c r="K2323" i="24"/>
  <c r="H2323" i="24"/>
  <c r="G2323" i="24"/>
  <c r="U2322" i="24"/>
  <c r="T2322" i="24"/>
  <c r="O2322" i="24"/>
  <c r="N2322" i="24"/>
  <c r="P2322" i="24" s="1"/>
  <c r="K2322" i="24"/>
  <c r="G2322" i="24"/>
  <c r="H2322" i="24" s="1"/>
  <c r="U2321" i="24"/>
  <c r="T2321" i="24"/>
  <c r="O2321" i="24"/>
  <c r="N2321" i="24"/>
  <c r="P2321" i="24" s="1"/>
  <c r="K2321" i="24"/>
  <c r="H2321" i="24"/>
  <c r="G2321" i="24"/>
  <c r="U2320" i="24"/>
  <c r="T2320" i="24"/>
  <c r="O2320" i="24"/>
  <c r="N2320" i="24"/>
  <c r="P2320" i="24" s="1"/>
  <c r="K2320" i="24"/>
  <c r="G2320" i="24"/>
  <c r="H2320" i="24" s="1"/>
  <c r="U2319" i="24"/>
  <c r="T2319" i="24"/>
  <c r="O2319" i="24"/>
  <c r="N2319" i="24"/>
  <c r="P2319" i="24" s="1"/>
  <c r="K2319" i="24"/>
  <c r="H2319" i="24"/>
  <c r="G2319" i="24"/>
  <c r="R2318" i="24"/>
  <c r="O2318" i="24"/>
  <c r="N2318" i="24"/>
  <c r="S2318" i="24" s="1"/>
  <c r="U2318" i="24" s="1"/>
  <c r="I2318" i="24"/>
  <c r="U2317" i="24"/>
  <c r="T2317" i="24"/>
  <c r="O2317" i="24"/>
  <c r="N2317" i="24"/>
  <c r="P2317" i="24" s="1"/>
  <c r="K2317" i="24"/>
  <c r="G2317" i="24"/>
  <c r="H2317" i="24" s="1"/>
  <c r="U2316" i="24"/>
  <c r="T2316" i="24"/>
  <c r="O2316" i="24"/>
  <c r="N2316" i="24"/>
  <c r="P2316" i="24" s="1"/>
  <c r="K2316" i="24"/>
  <c r="G2316" i="24"/>
  <c r="H2316" i="24" s="1"/>
  <c r="U2315" i="24"/>
  <c r="T2315" i="24"/>
  <c r="O2315" i="24"/>
  <c r="N2315" i="24"/>
  <c r="P2315" i="24" s="1"/>
  <c r="K2315" i="24"/>
  <c r="G2315" i="24"/>
  <c r="H2315" i="24" s="1"/>
  <c r="U2314" i="24"/>
  <c r="T2314" i="24"/>
  <c r="O2314" i="24"/>
  <c r="N2314" i="24"/>
  <c r="P2314" i="24" s="1"/>
  <c r="K2314" i="24"/>
  <c r="G2314" i="24"/>
  <c r="H2314" i="24" s="1"/>
  <c r="U2313" i="24"/>
  <c r="T2313" i="24"/>
  <c r="O2313" i="24"/>
  <c r="N2313" i="24"/>
  <c r="P2313" i="24" s="1"/>
  <c r="K2313" i="24"/>
  <c r="H2313" i="24"/>
  <c r="G2313" i="24"/>
  <c r="R2312" i="24"/>
  <c r="O2312" i="24"/>
  <c r="N2312" i="24"/>
  <c r="S2312" i="24" s="1"/>
  <c r="I2312" i="24"/>
  <c r="U2311" i="24"/>
  <c r="T2311" i="24"/>
  <c r="O2311" i="24"/>
  <c r="N2311" i="24"/>
  <c r="P2311" i="24" s="1"/>
  <c r="K2311" i="24"/>
  <c r="G2311" i="24"/>
  <c r="H2311" i="24" s="1"/>
  <c r="U2310" i="24"/>
  <c r="T2310" i="24"/>
  <c r="O2310" i="24"/>
  <c r="N2310" i="24"/>
  <c r="P2310" i="24" s="1"/>
  <c r="K2310" i="24"/>
  <c r="H2310" i="24"/>
  <c r="G2310" i="24"/>
  <c r="U2309" i="24"/>
  <c r="T2309" i="24"/>
  <c r="O2309" i="24"/>
  <c r="N2309" i="24"/>
  <c r="P2309" i="24" s="1"/>
  <c r="K2309" i="24"/>
  <c r="G2309" i="24"/>
  <c r="H2309" i="24" s="1"/>
  <c r="U2308" i="24"/>
  <c r="T2308" i="24"/>
  <c r="O2308" i="24"/>
  <c r="N2308" i="24"/>
  <c r="P2308" i="24" s="1"/>
  <c r="K2308" i="24"/>
  <c r="H2308" i="24"/>
  <c r="G2308" i="24"/>
  <c r="U2307" i="24"/>
  <c r="T2307" i="24"/>
  <c r="O2307" i="24"/>
  <c r="N2307" i="24"/>
  <c r="P2307" i="24" s="1"/>
  <c r="K2307" i="24"/>
  <c r="G2307" i="24"/>
  <c r="H2307" i="24" s="1"/>
  <c r="R2306" i="24"/>
  <c r="O2306" i="24"/>
  <c r="N2306" i="24"/>
  <c r="S2306" i="24" s="1"/>
  <c r="I2306" i="24"/>
  <c r="U2305" i="24"/>
  <c r="T2305" i="24"/>
  <c r="O2305" i="24"/>
  <c r="N2305" i="24"/>
  <c r="P2305" i="24" s="1"/>
  <c r="K2305" i="24"/>
  <c r="G2305" i="24"/>
  <c r="H2305" i="24" s="1"/>
  <c r="U2304" i="24"/>
  <c r="T2304" i="24"/>
  <c r="O2304" i="24"/>
  <c r="N2304" i="24"/>
  <c r="P2304" i="24" s="1"/>
  <c r="K2304" i="24"/>
  <c r="G2304" i="24"/>
  <c r="H2304" i="24" s="1"/>
  <c r="U2303" i="24"/>
  <c r="T2303" i="24"/>
  <c r="O2303" i="24"/>
  <c r="N2303" i="24"/>
  <c r="P2303" i="24" s="1"/>
  <c r="K2303" i="24"/>
  <c r="G2303" i="24"/>
  <c r="H2303" i="24" s="1"/>
  <c r="U2302" i="24"/>
  <c r="T2302" i="24"/>
  <c r="O2302" i="24"/>
  <c r="N2302" i="24"/>
  <c r="P2302" i="24" s="1"/>
  <c r="K2302" i="24"/>
  <c r="G2302" i="24"/>
  <c r="H2302" i="24" s="1"/>
  <c r="U2301" i="24"/>
  <c r="T2301" i="24"/>
  <c r="O2301" i="24"/>
  <c r="N2301" i="24"/>
  <c r="P2301" i="24" s="1"/>
  <c r="K2301" i="24"/>
  <c r="G2301" i="24"/>
  <c r="H2301" i="24" s="1"/>
  <c r="R2300" i="24"/>
  <c r="O2300" i="24"/>
  <c r="N2300" i="24"/>
  <c r="P2300" i="24" s="1"/>
  <c r="I2300" i="24"/>
  <c r="U2299" i="24"/>
  <c r="T2299" i="24"/>
  <c r="O2299" i="24"/>
  <c r="N2299" i="24"/>
  <c r="P2299" i="24" s="1"/>
  <c r="K2299" i="24"/>
  <c r="H2299" i="24"/>
  <c r="G2299" i="24"/>
  <c r="U2298" i="24"/>
  <c r="T2298" i="24"/>
  <c r="O2298" i="24"/>
  <c r="N2298" i="24"/>
  <c r="P2298" i="24" s="1"/>
  <c r="K2298" i="24"/>
  <c r="G2298" i="24"/>
  <c r="H2298" i="24" s="1"/>
  <c r="U2297" i="24"/>
  <c r="T2297" i="24"/>
  <c r="O2297" i="24"/>
  <c r="N2297" i="24"/>
  <c r="P2297" i="24" s="1"/>
  <c r="K2297" i="24"/>
  <c r="G2297" i="24"/>
  <c r="H2297" i="24" s="1"/>
  <c r="U2296" i="24"/>
  <c r="T2296" i="24"/>
  <c r="O2296" i="24"/>
  <c r="N2296" i="24"/>
  <c r="P2296" i="24" s="1"/>
  <c r="K2296" i="24"/>
  <c r="G2296" i="24"/>
  <c r="H2296" i="24" s="1"/>
  <c r="U2295" i="24"/>
  <c r="T2295" i="24"/>
  <c r="O2295" i="24"/>
  <c r="N2295" i="24"/>
  <c r="P2295" i="24" s="1"/>
  <c r="K2295" i="24"/>
  <c r="H2295" i="24"/>
  <c r="G2295" i="24"/>
  <c r="R2294" i="24"/>
  <c r="O2294" i="24"/>
  <c r="N2294" i="24"/>
  <c r="I2294" i="24"/>
  <c r="U2293" i="24"/>
  <c r="T2293" i="24"/>
  <c r="O2293" i="24"/>
  <c r="N2293" i="24"/>
  <c r="P2293" i="24" s="1"/>
  <c r="K2293" i="24"/>
  <c r="G2293" i="24"/>
  <c r="H2293" i="24" s="1"/>
  <c r="U2292" i="24"/>
  <c r="T2292" i="24"/>
  <c r="O2292" i="24"/>
  <c r="N2292" i="24"/>
  <c r="P2292" i="24" s="1"/>
  <c r="K2292" i="24"/>
  <c r="G2292" i="24"/>
  <c r="H2292" i="24" s="1"/>
  <c r="U2291" i="24"/>
  <c r="T2291" i="24"/>
  <c r="O2291" i="24"/>
  <c r="N2291" i="24"/>
  <c r="P2291" i="24" s="1"/>
  <c r="K2291" i="24"/>
  <c r="H2291" i="24"/>
  <c r="G2291" i="24"/>
  <c r="U2290" i="24"/>
  <c r="T2290" i="24"/>
  <c r="O2290" i="24"/>
  <c r="N2290" i="24"/>
  <c r="P2290" i="24" s="1"/>
  <c r="K2290" i="24"/>
  <c r="G2290" i="24"/>
  <c r="H2290" i="24" s="1"/>
  <c r="U2289" i="24"/>
  <c r="T2289" i="24"/>
  <c r="O2289" i="24"/>
  <c r="N2289" i="24"/>
  <c r="P2289" i="24" s="1"/>
  <c r="K2289" i="24"/>
  <c r="G2289" i="24"/>
  <c r="H2289" i="24" s="1"/>
  <c r="R2288" i="24"/>
  <c r="O2288" i="24"/>
  <c r="N2288" i="24"/>
  <c r="S2288" i="24" s="1"/>
  <c r="I2288" i="24"/>
  <c r="U2287" i="24"/>
  <c r="T2287" i="24"/>
  <c r="O2287" i="24"/>
  <c r="N2287" i="24"/>
  <c r="P2287" i="24" s="1"/>
  <c r="K2287" i="24"/>
  <c r="H2287" i="24"/>
  <c r="G2287" i="24"/>
  <c r="U2286" i="24"/>
  <c r="T2286" i="24"/>
  <c r="O2286" i="24"/>
  <c r="N2286" i="24"/>
  <c r="P2286" i="24" s="1"/>
  <c r="K2286" i="24"/>
  <c r="G2286" i="24"/>
  <c r="H2286" i="24" s="1"/>
  <c r="U2285" i="24"/>
  <c r="T2285" i="24"/>
  <c r="O2285" i="24"/>
  <c r="N2285" i="24"/>
  <c r="P2285" i="24" s="1"/>
  <c r="K2285" i="24"/>
  <c r="H2285" i="24"/>
  <c r="G2285" i="24"/>
  <c r="U2284" i="24"/>
  <c r="T2284" i="24"/>
  <c r="O2284" i="24"/>
  <c r="N2284" i="24"/>
  <c r="P2284" i="24" s="1"/>
  <c r="K2284" i="24"/>
  <c r="G2284" i="24"/>
  <c r="H2284" i="24" s="1"/>
  <c r="U2283" i="24"/>
  <c r="T2283" i="24"/>
  <c r="O2283" i="24"/>
  <c r="N2283" i="24"/>
  <c r="P2283" i="24" s="1"/>
  <c r="K2283" i="24"/>
  <c r="G2283" i="24"/>
  <c r="H2283" i="24" s="1"/>
  <c r="R2282" i="24"/>
  <c r="O2282" i="24"/>
  <c r="N2282" i="24"/>
  <c r="S2282" i="24" s="1"/>
  <c r="I2282" i="24"/>
  <c r="U2281" i="24"/>
  <c r="T2281" i="24"/>
  <c r="O2281" i="24"/>
  <c r="N2281" i="24"/>
  <c r="P2281" i="24" s="1"/>
  <c r="K2281" i="24"/>
  <c r="G2281" i="24"/>
  <c r="H2281" i="24" s="1"/>
  <c r="U2280" i="24"/>
  <c r="T2280" i="24"/>
  <c r="O2280" i="24"/>
  <c r="N2280" i="24"/>
  <c r="P2280" i="24" s="1"/>
  <c r="K2280" i="24"/>
  <c r="G2280" i="24"/>
  <c r="H2280" i="24" s="1"/>
  <c r="U2279" i="24"/>
  <c r="T2279" i="24"/>
  <c r="O2279" i="24"/>
  <c r="N2279" i="24"/>
  <c r="P2279" i="24" s="1"/>
  <c r="K2279" i="24"/>
  <c r="G2279" i="24"/>
  <c r="H2279" i="24" s="1"/>
  <c r="U2278" i="24"/>
  <c r="T2278" i="24"/>
  <c r="O2278" i="24"/>
  <c r="N2278" i="24"/>
  <c r="P2278" i="24" s="1"/>
  <c r="K2278" i="24"/>
  <c r="H2278" i="24"/>
  <c r="G2278" i="24"/>
  <c r="U2277" i="24"/>
  <c r="T2277" i="24"/>
  <c r="O2277" i="24"/>
  <c r="N2277" i="24"/>
  <c r="P2277" i="24" s="1"/>
  <c r="K2277" i="24"/>
  <c r="G2277" i="24"/>
  <c r="H2277" i="24" s="1"/>
  <c r="R2276" i="24"/>
  <c r="O2276" i="24"/>
  <c r="N2276" i="24"/>
  <c r="P2276" i="24" s="1"/>
  <c r="I2276" i="24"/>
  <c r="U2275" i="24"/>
  <c r="T2275" i="24"/>
  <c r="O2275" i="24"/>
  <c r="N2275" i="24"/>
  <c r="P2275" i="24" s="1"/>
  <c r="K2275" i="24"/>
  <c r="G2275" i="24"/>
  <c r="H2275" i="24" s="1"/>
  <c r="U2274" i="24"/>
  <c r="T2274" i="24"/>
  <c r="O2274" i="24"/>
  <c r="N2274" i="24"/>
  <c r="P2274" i="24" s="1"/>
  <c r="K2274" i="24"/>
  <c r="G2274" i="24"/>
  <c r="H2274" i="24" s="1"/>
  <c r="U2273" i="24"/>
  <c r="T2273" i="24"/>
  <c r="O2273" i="24"/>
  <c r="N2273" i="24"/>
  <c r="P2273" i="24" s="1"/>
  <c r="K2273" i="24"/>
  <c r="G2273" i="24"/>
  <c r="H2273" i="24" s="1"/>
  <c r="U2272" i="24"/>
  <c r="T2272" i="24"/>
  <c r="O2272" i="24"/>
  <c r="N2272" i="24"/>
  <c r="P2272" i="24" s="1"/>
  <c r="K2272" i="24"/>
  <c r="H2272" i="24"/>
  <c r="G2272" i="24"/>
  <c r="U2271" i="24"/>
  <c r="T2271" i="24"/>
  <c r="O2271" i="24"/>
  <c r="N2271" i="24"/>
  <c r="P2271" i="24" s="1"/>
  <c r="K2271" i="24"/>
  <c r="G2271" i="24"/>
  <c r="H2271" i="24" s="1"/>
  <c r="R2270" i="24"/>
  <c r="O2270" i="24"/>
  <c r="N2270" i="24"/>
  <c r="P2270" i="24" s="1"/>
  <c r="I2270" i="24"/>
  <c r="U2269" i="24"/>
  <c r="T2269" i="24"/>
  <c r="O2269" i="24"/>
  <c r="N2269" i="24"/>
  <c r="P2269" i="24" s="1"/>
  <c r="K2269" i="24"/>
  <c r="G2269" i="24"/>
  <c r="H2269" i="24" s="1"/>
  <c r="U2268" i="24"/>
  <c r="T2268" i="24"/>
  <c r="O2268" i="24"/>
  <c r="N2268" i="24"/>
  <c r="P2268" i="24" s="1"/>
  <c r="K2268" i="24"/>
  <c r="G2268" i="24"/>
  <c r="H2268" i="24" s="1"/>
  <c r="U2267" i="24"/>
  <c r="T2267" i="24"/>
  <c r="O2267" i="24"/>
  <c r="N2267" i="24"/>
  <c r="P2267" i="24" s="1"/>
  <c r="K2267" i="24"/>
  <c r="G2267" i="24"/>
  <c r="H2267" i="24" s="1"/>
  <c r="U2266" i="24"/>
  <c r="T2266" i="24"/>
  <c r="O2266" i="24"/>
  <c r="N2266" i="24"/>
  <c r="P2266" i="24" s="1"/>
  <c r="K2266" i="24"/>
  <c r="G2266" i="24"/>
  <c r="H2266" i="24" s="1"/>
  <c r="U2265" i="24"/>
  <c r="T2265" i="24"/>
  <c r="O2265" i="24"/>
  <c r="N2265" i="24"/>
  <c r="P2265" i="24" s="1"/>
  <c r="K2265" i="24"/>
  <c r="G2265" i="24"/>
  <c r="H2265" i="24" s="1"/>
  <c r="R2264" i="24"/>
  <c r="O2264" i="24"/>
  <c r="N2264" i="24"/>
  <c r="S2264" i="24" s="1"/>
  <c r="I2264" i="24"/>
  <c r="U2263" i="24"/>
  <c r="T2263" i="24"/>
  <c r="O2263" i="24"/>
  <c r="N2263" i="24"/>
  <c r="P2263" i="24" s="1"/>
  <c r="K2263" i="24"/>
  <c r="H2263" i="24"/>
  <c r="G2263" i="24"/>
  <c r="U2262" i="24"/>
  <c r="T2262" i="24"/>
  <c r="O2262" i="24"/>
  <c r="N2262" i="24"/>
  <c r="P2262" i="24" s="1"/>
  <c r="K2262" i="24"/>
  <c r="G2262" i="24"/>
  <c r="H2262" i="24" s="1"/>
  <c r="U2261" i="24"/>
  <c r="T2261" i="24"/>
  <c r="O2261" i="24"/>
  <c r="N2261" i="24"/>
  <c r="P2261" i="24" s="1"/>
  <c r="K2261" i="24"/>
  <c r="G2261" i="24"/>
  <c r="H2261" i="24" s="1"/>
  <c r="U2260" i="24"/>
  <c r="T2260" i="24"/>
  <c r="O2260" i="24"/>
  <c r="N2260" i="24"/>
  <c r="P2260" i="24" s="1"/>
  <c r="K2260" i="24"/>
  <c r="G2260" i="24"/>
  <c r="H2260" i="24" s="1"/>
  <c r="U2259" i="24"/>
  <c r="T2259" i="24"/>
  <c r="O2259" i="24"/>
  <c r="N2259" i="24"/>
  <c r="P2259" i="24" s="1"/>
  <c r="K2259" i="24"/>
  <c r="H2259" i="24"/>
  <c r="H2258" i="24" s="1"/>
  <c r="G2259" i="24"/>
  <c r="R2258" i="24"/>
  <c r="O2258" i="24"/>
  <c r="N2258" i="24"/>
  <c r="S2258" i="24" s="1"/>
  <c r="I2258" i="24"/>
  <c r="U2257" i="24"/>
  <c r="T2257" i="24"/>
  <c r="O2257" i="24"/>
  <c r="N2257" i="24"/>
  <c r="P2257" i="24" s="1"/>
  <c r="K2257" i="24"/>
  <c r="G2257" i="24"/>
  <c r="H2257" i="24" s="1"/>
  <c r="U2256" i="24"/>
  <c r="T2256" i="24"/>
  <c r="O2256" i="24"/>
  <c r="N2256" i="24"/>
  <c r="P2256" i="24" s="1"/>
  <c r="K2256" i="24"/>
  <c r="H2256" i="24"/>
  <c r="G2256" i="24"/>
  <c r="U2255" i="24"/>
  <c r="T2255" i="24"/>
  <c r="O2255" i="24"/>
  <c r="N2255" i="24"/>
  <c r="P2255" i="24" s="1"/>
  <c r="K2255" i="24"/>
  <c r="G2255" i="24"/>
  <c r="H2255" i="24" s="1"/>
  <c r="U2254" i="24"/>
  <c r="T2254" i="24"/>
  <c r="O2254" i="24"/>
  <c r="N2254" i="24"/>
  <c r="P2254" i="24" s="1"/>
  <c r="K2254" i="24"/>
  <c r="G2254" i="24"/>
  <c r="H2254" i="24" s="1"/>
  <c r="U2253" i="24"/>
  <c r="T2253" i="24"/>
  <c r="O2253" i="24"/>
  <c r="N2253" i="24"/>
  <c r="P2253" i="24" s="1"/>
  <c r="K2253" i="24"/>
  <c r="G2253" i="24"/>
  <c r="H2253" i="24" s="1"/>
  <c r="R2252" i="24"/>
  <c r="O2252" i="24"/>
  <c r="N2252" i="24"/>
  <c r="P2252" i="24" s="1"/>
  <c r="I2252" i="24"/>
  <c r="U2251" i="24"/>
  <c r="T2251" i="24"/>
  <c r="O2251" i="24"/>
  <c r="N2251" i="24"/>
  <c r="P2251" i="24" s="1"/>
  <c r="K2251" i="24"/>
  <c r="G2251" i="24"/>
  <c r="H2251" i="24" s="1"/>
  <c r="U2250" i="24"/>
  <c r="T2250" i="24"/>
  <c r="O2250" i="24"/>
  <c r="N2250" i="24"/>
  <c r="P2250" i="24" s="1"/>
  <c r="K2250" i="24"/>
  <c r="G2250" i="24"/>
  <c r="H2250" i="24" s="1"/>
  <c r="U2249" i="24"/>
  <c r="T2249" i="24"/>
  <c r="O2249" i="24"/>
  <c r="N2249" i="24"/>
  <c r="P2249" i="24" s="1"/>
  <c r="K2249" i="24"/>
  <c r="G2249" i="24"/>
  <c r="H2249" i="24" s="1"/>
  <c r="U2248" i="24"/>
  <c r="T2248" i="24"/>
  <c r="O2248" i="24"/>
  <c r="N2248" i="24"/>
  <c r="P2248" i="24" s="1"/>
  <c r="K2248" i="24"/>
  <c r="G2248" i="24"/>
  <c r="H2248" i="24" s="1"/>
  <c r="H2246" i="24" s="1"/>
  <c r="J2246" i="24" s="1"/>
  <c r="U2247" i="24"/>
  <c r="T2247" i="24"/>
  <c r="O2247" i="24"/>
  <c r="N2247" i="24"/>
  <c r="P2247" i="24" s="1"/>
  <c r="K2247" i="24"/>
  <c r="G2247" i="24"/>
  <c r="H2247" i="24" s="1"/>
  <c r="R2246" i="24"/>
  <c r="O2246" i="24"/>
  <c r="N2246" i="24"/>
  <c r="P2246" i="24" s="1"/>
  <c r="I2246" i="24"/>
  <c r="U2245" i="24"/>
  <c r="T2245" i="24"/>
  <c r="O2245" i="24"/>
  <c r="N2245" i="24"/>
  <c r="P2245" i="24" s="1"/>
  <c r="K2245" i="24"/>
  <c r="G2245" i="24"/>
  <c r="H2245" i="24" s="1"/>
  <c r="U2244" i="24"/>
  <c r="T2244" i="24"/>
  <c r="O2244" i="24"/>
  <c r="N2244" i="24"/>
  <c r="P2244" i="24" s="1"/>
  <c r="K2244" i="24"/>
  <c r="G2244" i="24"/>
  <c r="H2244" i="24" s="1"/>
  <c r="U2243" i="24"/>
  <c r="T2243" i="24"/>
  <c r="O2243" i="24"/>
  <c r="N2243" i="24"/>
  <c r="P2243" i="24" s="1"/>
  <c r="K2243" i="24"/>
  <c r="G2243" i="24"/>
  <c r="H2243" i="24" s="1"/>
  <c r="U2242" i="24"/>
  <c r="T2242" i="24"/>
  <c r="O2242" i="24"/>
  <c r="N2242" i="24"/>
  <c r="P2242" i="24" s="1"/>
  <c r="K2242" i="24"/>
  <c r="G2242" i="24"/>
  <c r="H2242" i="24" s="1"/>
  <c r="U2241" i="24"/>
  <c r="T2241" i="24"/>
  <c r="O2241" i="24"/>
  <c r="N2241" i="24"/>
  <c r="P2241" i="24" s="1"/>
  <c r="K2241" i="24"/>
  <c r="G2241" i="24"/>
  <c r="H2241" i="24" s="1"/>
  <c r="R2240" i="24"/>
  <c r="O2240" i="24"/>
  <c r="N2240" i="24"/>
  <c r="S2240" i="24" s="1"/>
  <c r="I2240" i="24"/>
  <c r="U2239" i="24"/>
  <c r="T2239" i="24"/>
  <c r="O2239" i="24"/>
  <c r="N2239" i="24"/>
  <c r="P2239" i="24" s="1"/>
  <c r="K2239" i="24"/>
  <c r="G2239" i="24"/>
  <c r="H2239" i="24" s="1"/>
  <c r="U2238" i="24"/>
  <c r="T2238" i="24"/>
  <c r="O2238" i="24"/>
  <c r="N2238" i="24"/>
  <c r="P2238" i="24" s="1"/>
  <c r="K2238" i="24"/>
  <c r="G2238" i="24"/>
  <c r="H2238" i="24" s="1"/>
  <c r="U2237" i="24"/>
  <c r="T2237" i="24"/>
  <c r="O2237" i="24"/>
  <c r="N2237" i="24"/>
  <c r="P2237" i="24" s="1"/>
  <c r="K2237" i="24"/>
  <c r="H2237" i="24"/>
  <c r="G2237" i="24"/>
  <c r="U2236" i="24"/>
  <c r="T2236" i="24"/>
  <c r="O2236" i="24"/>
  <c r="N2236" i="24"/>
  <c r="P2236" i="24" s="1"/>
  <c r="K2236" i="24"/>
  <c r="G2236" i="24"/>
  <c r="H2236" i="24" s="1"/>
  <c r="U2235" i="24"/>
  <c r="T2235" i="24"/>
  <c r="O2235" i="24"/>
  <c r="N2235" i="24"/>
  <c r="P2235" i="24" s="1"/>
  <c r="K2235" i="24"/>
  <c r="G2235" i="24"/>
  <c r="H2235" i="24" s="1"/>
  <c r="R2234" i="24"/>
  <c r="O2234" i="24"/>
  <c r="N2234" i="24"/>
  <c r="S2234" i="24" s="1"/>
  <c r="I2234" i="24"/>
  <c r="U2233" i="24"/>
  <c r="T2233" i="24"/>
  <c r="O2233" i="24"/>
  <c r="N2233" i="24"/>
  <c r="P2233" i="24" s="1"/>
  <c r="K2233" i="24"/>
  <c r="G2233" i="24"/>
  <c r="H2233" i="24" s="1"/>
  <c r="U2232" i="24"/>
  <c r="T2232" i="24"/>
  <c r="O2232" i="24"/>
  <c r="N2232" i="24"/>
  <c r="P2232" i="24" s="1"/>
  <c r="K2232" i="24"/>
  <c r="G2232" i="24"/>
  <c r="H2232" i="24" s="1"/>
  <c r="U2231" i="24"/>
  <c r="T2231" i="24"/>
  <c r="O2231" i="24"/>
  <c r="N2231" i="24"/>
  <c r="P2231" i="24" s="1"/>
  <c r="K2231" i="24"/>
  <c r="G2231" i="24"/>
  <c r="H2231" i="24" s="1"/>
  <c r="U2230" i="24"/>
  <c r="T2230" i="24"/>
  <c r="O2230" i="24"/>
  <c r="N2230" i="24"/>
  <c r="P2230" i="24" s="1"/>
  <c r="K2230" i="24"/>
  <c r="G2230" i="24"/>
  <c r="H2230" i="24" s="1"/>
  <c r="U2229" i="24"/>
  <c r="T2229" i="24"/>
  <c r="O2229" i="24"/>
  <c r="N2229" i="24"/>
  <c r="P2229" i="24" s="1"/>
  <c r="K2229" i="24"/>
  <c r="G2229" i="24"/>
  <c r="H2229" i="24" s="1"/>
  <c r="R2228" i="24"/>
  <c r="O2228" i="24"/>
  <c r="N2228" i="24"/>
  <c r="S2228" i="24" s="1"/>
  <c r="U2228" i="24" s="1"/>
  <c r="I2228" i="24"/>
  <c r="U2227" i="24"/>
  <c r="T2227" i="24"/>
  <c r="O2227" i="24"/>
  <c r="N2227" i="24"/>
  <c r="P2227" i="24" s="1"/>
  <c r="K2227" i="24"/>
  <c r="G2227" i="24"/>
  <c r="H2227" i="24" s="1"/>
  <c r="U2226" i="24"/>
  <c r="T2226" i="24"/>
  <c r="O2226" i="24"/>
  <c r="N2226" i="24"/>
  <c r="P2226" i="24" s="1"/>
  <c r="K2226" i="24"/>
  <c r="G2226" i="24"/>
  <c r="H2226" i="24" s="1"/>
  <c r="U2225" i="24"/>
  <c r="T2225" i="24"/>
  <c r="O2225" i="24"/>
  <c r="N2225" i="24"/>
  <c r="P2225" i="24" s="1"/>
  <c r="K2225" i="24"/>
  <c r="G2225" i="24"/>
  <c r="H2225" i="24" s="1"/>
  <c r="U2224" i="24"/>
  <c r="T2224" i="24"/>
  <c r="O2224" i="24"/>
  <c r="N2224" i="24"/>
  <c r="P2224" i="24" s="1"/>
  <c r="K2224" i="24"/>
  <c r="H2224" i="24"/>
  <c r="G2224" i="24"/>
  <c r="U2223" i="24"/>
  <c r="T2223" i="24"/>
  <c r="O2223" i="24"/>
  <c r="N2223" i="24"/>
  <c r="P2223" i="24" s="1"/>
  <c r="K2223" i="24"/>
  <c r="G2223" i="24"/>
  <c r="H2223" i="24" s="1"/>
  <c r="R2222" i="24"/>
  <c r="O2222" i="24"/>
  <c r="N2222" i="24"/>
  <c r="S2222" i="24" s="1"/>
  <c r="I2222" i="24"/>
  <c r="U2221" i="24"/>
  <c r="T2221" i="24"/>
  <c r="O2221" i="24"/>
  <c r="N2221" i="24"/>
  <c r="P2221" i="24" s="1"/>
  <c r="K2221" i="24"/>
  <c r="G2221" i="24"/>
  <c r="H2221" i="24" s="1"/>
  <c r="U2220" i="24"/>
  <c r="T2220" i="24"/>
  <c r="O2220" i="24"/>
  <c r="N2220" i="24"/>
  <c r="P2220" i="24" s="1"/>
  <c r="K2220" i="24"/>
  <c r="G2220" i="24"/>
  <c r="H2220" i="24" s="1"/>
  <c r="U2219" i="24"/>
  <c r="T2219" i="24"/>
  <c r="O2219" i="24"/>
  <c r="N2219" i="24"/>
  <c r="P2219" i="24" s="1"/>
  <c r="K2219" i="24"/>
  <c r="G2219" i="24"/>
  <c r="H2219" i="24" s="1"/>
  <c r="U2218" i="24"/>
  <c r="T2218" i="24"/>
  <c r="O2218" i="24"/>
  <c r="N2218" i="24"/>
  <c r="P2218" i="24" s="1"/>
  <c r="K2218" i="24"/>
  <c r="G2218" i="24"/>
  <c r="H2218" i="24" s="1"/>
  <c r="U2217" i="24"/>
  <c r="T2217" i="24"/>
  <c r="O2217" i="24"/>
  <c r="N2217" i="24"/>
  <c r="P2217" i="24" s="1"/>
  <c r="K2217" i="24"/>
  <c r="G2217" i="24"/>
  <c r="H2217" i="24" s="1"/>
  <c r="R2216" i="24"/>
  <c r="O2216" i="24"/>
  <c r="N2216" i="24"/>
  <c r="S2216" i="24" s="1"/>
  <c r="I2216" i="24"/>
  <c r="U2215" i="24"/>
  <c r="T2215" i="24"/>
  <c r="O2215" i="24"/>
  <c r="N2215" i="24"/>
  <c r="P2215" i="24" s="1"/>
  <c r="K2215" i="24"/>
  <c r="G2215" i="24"/>
  <c r="H2215" i="24" s="1"/>
  <c r="U2214" i="24"/>
  <c r="T2214" i="24"/>
  <c r="O2214" i="24"/>
  <c r="N2214" i="24"/>
  <c r="P2214" i="24" s="1"/>
  <c r="K2214" i="24"/>
  <c r="G2214" i="24"/>
  <c r="H2214" i="24" s="1"/>
  <c r="U2213" i="24"/>
  <c r="T2213" i="24"/>
  <c r="O2213" i="24"/>
  <c r="N2213" i="24"/>
  <c r="P2213" i="24" s="1"/>
  <c r="K2213" i="24"/>
  <c r="G2213" i="24"/>
  <c r="H2213" i="24" s="1"/>
  <c r="U2212" i="24"/>
  <c r="T2212" i="24"/>
  <c r="O2212" i="24"/>
  <c r="N2212" i="24"/>
  <c r="P2212" i="24" s="1"/>
  <c r="K2212" i="24"/>
  <c r="G2212" i="24"/>
  <c r="H2212" i="24" s="1"/>
  <c r="U2211" i="24"/>
  <c r="T2211" i="24"/>
  <c r="O2211" i="24"/>
  <c r="N2211" i="24"/>
  <c r="P2211" i="24" s="1"/>
  <c r="K2211" i="24"/>
  <c r="G2211" i="24"/>
  <c r="H2211" i="24" s="1"/>
  <c r="R2210" i="24"/>
  <c r="O2210" i="24"/>
  <c r="N2210" i="24"/>
  <c r="S2210" i="24" s="1"/>
  <c r="I2210" i="24"/>
  <c r="G2210" i="24"/>
  <c r="H2210" i="24" s="1"/>
  <c r="U2209" i="24"/>
  <c r="T2209" i="24"/>
  <c r="O2209" i="24"/>
  <c r="N2209" i="24"/>
  <c r="P2209" i="24" s="1"/>
  <c r="K2209" i="24"/>
  <c r="H2209" i="24"/>
  <c r="G2209" i="24"/>
  <c r="U2208" i="24"/>
  <c r="T2208" i="24"/>
  <c r="O2208" i="24"/>
  <c r="N2208" i="24"/>
  <c r="P2208" i="24" s="1"/>
  <c r="K2208" i="24"/>
  <c r="G2208" i="24"/>
  <c r="H2208" i="24" s="1"/>
  <c r="U2207" i="24"/>
  <c r="T2207" i="24"/>
  <c r="O2207" i="24"/>
  <c r="N2207" i="24"/>
  <c r="P2207" i="24" s="1"/>
  <c r="K2207" i="24"/>
  <c r="G2207" i="24"/>
  <c r="H2207" i="24" s="1"/>
  <c r="U2206" i="24"/>
  <c r="T2206" i="24"/>
  <c r="O2206" i="24"/>
  <c r="N2206" i="24"/>
  <c r="P2206" i="24" s="1"/>
  <c r="K2206" i="24"/>
  <c r="G2206" i="24"/>
  <c r="H2206" i="24" s="1"/>
  <c r="U2205" i="24"/>
  <c r="T2205" i="24"/>
  <c r="O2205" i="24"/>
  <c r="N2205" i="24"/>
  <c r="P2205" i="24" s="1"/>
  <c r="K2205" i="24"/>
  <c r="H2205" i="24"/>
  <c r="G2205" i="24"/>
  <c r="R2204" i="24"/>
  <c r="O2204" i="24"/>
  <c r="N2204" i="24"/>
  <c r="P2204" i="24" s="1"/>
  <c r="I2204" i="24"/>
  <c r="G2204" i="24"/>
  <c r="U2203" i="24"/>
  <c r="T2203" i="24"/>
  <c r="O2203" i="24"/>
  <c r="N2203" i="24"/>
  <c r="P2203" i="24" s="1"/>
  <c r="K2203" i="24"/>
  <c r="H2203" i="24"/>
  <c r="G2203" i="24"/>
  <c r="U2202" i="24"/>
  <c r="T2202" i="24"/>
  <c r="O2202" i="24"/>
  <c r="N2202" i="24"/>
  <c r="P2202" i="24" s="1"/>
  <c r="K2202" i="24"/>
  <c r="G2202" i="24"/>
  <c r="H2202" i="24" s="1"/>
  <c r="U2201" i="24"/>
  <c r="T2201" i="24"/>
  <c r="O2201" i="24"/>
  <c r="N2201" i="24"/>
  <c r="P2201" i="24" s="1"/>
  <c r="K2201" i="24"/>
  <c r="G2201" i="24"/>
  <c r="H2201" i="24" s="1"/>
  <c r="U2200" i="24"/>
  <c r="T2200" i="24"/>
  <c r="O2200" i="24"/>
  <c r="N2200" i="24"/>
  <c r="P2200" i="24" s="1"/>
  <c r="K2200" i="24"/>
  <c r="G2200" i="24"/>
  <c r="H2200" i="24" s="1"/>
  <c r="U2199" i="24"/>
  <c r="T2199" i="24"/>
  <c r="O2199" i="24"/>
  <c r="N2199" i="24"/>
  <c r="P2199" i="24" s="1"/>
  <c r="K2199" i="24"/>
  <c r="G2199" i="24"/>
  <c r="H2199" i="24" s="1"/>
  <c r="R2198" i="24"/>
  <c r="O2198" i="24"/>
  <c r="N2198" i="24"/>
  <c r="I2198" i="24"/>
  <c r="G2198" i="24"/>
  <c r="U2197" i="24"/>
  <c r="T2197" i="24"/>
  <c r="O2197" i="24"/>
  <c r="N2197" i="24"/>
  <c r="P2197" i="24" s="1"/>
  <c r="K2197" i="24"/>
  <c r="G2197" i="24"/>
  <c r="H2197" i="24" s="1"/>
  <c r="U2196" i="24"/>
  <c r="T2196" i="24"/>
  <c r="O2196" i="24"/>
  <c r="N2196" i="24"/>
  <c r="P2196" i="24" s="1"/>
  <c r="K2196" i="24"/>
  <c r="G2196" i="24"/>
  <c r="H2196" i="24" s="1"/>
  <c r="U2195" i="24"/>
  <c r="T2195" i="24"/>
  <c r="O2195" i="24"/>
  <c r="N2195" i="24"/>
  <c r="P2195" i="24" s="1"/>
  <c r="K2195" i="24"/>
  <c r="G2195" i="24"/>
  <c r="H2195" i="24" s="1"/>
  <c r="U2194" i="24"/>
  <c r="T2194" i="24"/>
  <c r="O2194" i="24"/>
  <c r="N2194" i="24"/>
  <c r="P2194" i="24" s="1"/>
  <c r="K2194" i="24"/>
  <c r="G2194" i="24"/>
  <c r="H2194" i="24" s="1"/>
  <c r="U2193" i="24"/>
  <c r="T2193" i="24"/>
  <c r="O2193" i="24"/>
  <c r="N2193" i="24"/>
  <c r="P2193" i="24" s="1"/>
  <c r="K2193" i="24"/>
  <c r="H2193" i="24"/>
  <c r="G2193" i="24"/>
  <c r="R2192" i="24"/>
  <c r="O2192" i="24"/>
  <c r="N2192" i="24"/>
  <c r="I2192" i="24"/>
  <c r="U2191" i="24"/>
  <c r="T2191" i="24"/>
  <c r="O2191" i="24"/>
  <c r="N2191" i="24"/>
  <c r="P2191" i="24" s="1"/>
  <c r="K2191" i="24"/>
  <c r="G2191" i="24"/>
  <c r="H2191" i="24" s="1"/>
  <c r="U2190" i="24"/>
  <c r="T2190" i="24"/>
  <c r="O2190" i="24"/>
  <c r="N2190" i="24"/>
  <c r="P2190" i="24" s="1"/>
  <c r="K2190" i="24"/>
  <c r="G2190" i="24"/>
  <c r="H2190" i="24" s="1"/>
  <c r="U2189" i="24"/>
  <c r="T2189" i="24"/>
  <c r="O2189" i="24"/>
  <c r="N2189" i="24"/>
  <c r="P2189" i="24" s="1"/>
  <c r="K2189" i="24"/>
  <c r="G2189" i="24"/>
  <c r="H2189" i="24" s="1"/>
  <c r="U2188" i="24"/>
  <c r="T2188" i="24"/>
  <c r="O2188" i="24"/>
  <c r="N2188" i="24"/>
  <c r="P2188" i="24" s="1"/>
  <c r="K2188" i="24"/>
  <c r="G2188" i="24"/>
  <c r="H2188" i="24" s="1"/>
  <c r="U2187" i="24"/>
  <c r="T2187" i="24"/>
  <c r="O2187" i="24"/>
  <c r="N2187" i="24"/>
  <c r="P2187" i="24" s="1"/>
  <c r="K2187" i="24"/>
  <c r="G2187" i="24"/>
  <c r="H2187" i="24" s="1"/>
  <c r="R2186" i="24"/>
  <c r="O2186" i="24"/>
  <c r="N2186" i="24"/>
  <c r="P2186" i="24" s="1"/>
  <c r="I2186" i="24"/>
  <c r="U2185" i="24"/>
  <c r="T2185" i="24"/>
  <c r="O2185" i="24"/>
  <c r="N2185" i="24"/>
  <c r="P2185" i="24" s="1"/>
  <c r="K2185" i="24"/>
  <c r="G2185" i="24"/>
  <c r="H2185" i="24" s="1"/>
  <c r="U2184" i="24"/>
  <c r="T2184" i="24"/>
  <c r="O2184" i="24"/>
  <c r="N2184" i="24"/>
  <c r="P2184" i="24" s="1"/>
  <c r="K2184" i="24"/>
  <c r="G2184" i="24"/>
  <c r="H2184" i="24" s="1"/>
  <c r="U2183" i="24"/>
  <c r="T2183" i="24"/>
  <c r="O2183" i="24"/>
  <c r="N2183" i="24"/>
  <c r="P2183" i="24" s="1"/>
  <c r="K2183" i="24"/>
  <c r="G2183" i="24"/>
  <c r="H2183" i="24" s="1"/>
  <c r="U2182" i="24"/>
  <c r="T2182" i="24"/>
  <c r="O2182" i="24"/>
  <c r="N2182" i="24"/>
  <c r="P2182" i="24" s="1"/>
  <c r="K2182" i="24"/>
  <c r="G2182" i="24"/>
  <c r="H2182" i="24" s="1"/>
  <c r="U2181" i="24"/>
  <c r="T2181" i="24"/>
  <c r="O2181" i="24"/>
  <c r="N2181" i="24"/>
  <c r="P2181" i="24" s="1"/>
  <c r="K2181" i="24"/>
  <c r="H2181" i="24"/>
  <c r="G2181" i="24"/>
  <c r="R2180" i="24"/>
  <c r="O2180" i="24"/>
  <c r="N2180" i="24"/>
  <c r="S2180" i="24" s="1"/>
  <c r="I2180" i="24"/>
  <c r="U2179" i="24"/>
  <c r="T2179" i="24"/>
  <c r="O2179" i="24"/>
  <c r="N2179" i="24"/>
  <c r="P2179" i="24" s="1"/>
  <c r="K2179" i="24"/>
  <c r="G2179" i="24"/>
  <c r="H2179" i="24" s="1"/>
  <c r="U2178" i="24"/>
  <c r="T2178" i="24"/>
  <c r="O2178" i="24"/>
  <c r="N2178" i="24"/>
  <c r="P2178" i="24" s="1"/>
  <c r="K2178" i="24"/>
  <c r="G2178" i="24"/>
  <c r="H2178" i="24" s="1"/>
  <c r="U2177" i="24"/>
  <c r="T2177" i="24"/>
  <c r="O2177" i="24"/>
  <c r="N2177" i="24"/>
  <c r="P2177" i="24" s="1"/>
  <c r="K2177" i="24"/>
  <c r="G2177" i="24"/>
  <c r="H2177" i="24" s="1"/>
  <c r="U2176" i="24"/>
  <c r="T2176" i="24"/>
  <c r="O2176" i="24"/>
  <c r="N2176" i="24"/>
  <c r="P2176" i="24" s="1"/>
  <c r="K2176" i="24"/>
  <c r="G2176" i="24"/>
  <c r="H2176" i="24" s="1"/>
  <c r="U2175" i="24"/>
  <c r="T2175" i="24"/>
  <c r="O2175" i="24"/>
  <c r="N2175" i="24"/>
  <c r="P2175" i="24" s="1"/>
  <c r="K2175" i="24"/>
  <c r="G2175" i="24"/>
  <c r="H2175" i="24" s="1"/>
  <c r="R2174" i="24"/>
  <c r="O2174" i="24"/>
  <c r="N2174" i="24"/>
  <c r="I2174" i="24"/>
  <c r="U2173" i="24"/>
  <c r="T2173" i="24"/>
  <c r="O2173" i="24"/>
  <c r="N2173" i="24"/>
  <c r="P2173" i="24" s="1"/>
  <c r="K2173" i="24"/>
  <c r="G2173" i="24"/>
  <c r="H2173" i="24" s="1"/>
  <c r="U2172" i="24"/>
  <c r="T2172" i="24"/>
  <c r="O2172" i="24"/>
  <c r="N2172" i="24"/>
  <c r="P2172" i="24" s="1"/>
  <c r="K2172" i="24"/>
  <c r="G2172" i="24"/>
  <c r="H2172" i="24" s="1"/>
  <c r="U2171" i="24"/>
  <c r="T2171" i="24"/>
  <c r="O2171" i="24"/>
  <c r="N2171" i="24"/>
  <c r="P2171" i="24" s="1"/>
  <c r="K2171" i="24"/>
  <c r="G2171" i="24"/>
  <c r="H2171" i="24" s="1"/>
  <c r="U2170" i="24"/>
  <c r="T2170" i="24"/>
  <c r="O2170" i="24"/>
  <c r="N2170" i="24"/>
  <c r="P2170" i="24" s="1"/>
  <c r="K2170" i="24"/>
  <c r="G2170" i="24"/>
  <c r="H2170" i="24" s="1"/>
  <c r="U2169" i="24"/>
  <c r="T2169" i="24"/>
  <c r="O2169" i="24"/>
  <c r="N2169" i="24"/>
  <c r="P2169" i="24" s="1"/>
  <c r="K2169" i="24"/>
  <c r="H2169" i="24"/>
  <c r="G2169" i="24"/>
  <c r="R2168" i="24"/>
  <c r="O2168" i="24"/>
  <c r="N2168" i="24"/>
  <c r="S2168" i="24" s="1"/>
  <c r="I2168" i="24"/>
  <c r="U2167" i="24"/>
  <c r="T2167" i="24"/>
  <c r="O2167" i="24"/>
  <c r="N2167" i="24"/>
  <c r="P2167" i="24" s="1"/>
  <c r="K2167" i="24"/>
  <c r="H2167" i="24"/>
  <c r="U2166" i="24"/>
  <c r="T2166" i="24"/>
  <c r="O2166" i="24"/>
  <c r="N2166" i="24"/>
  <c r="P2166" i="24" s="1"/>
  <c r="K2166" i="24"/>
  <c r="H2166" i="24"/>
  <c r="U2165" i="24"/>
  <c r="T2165" i="24"/>
  <c r="O2165" i="24"/>
  <c r="N2165" i="24"/>
  <c r="P2165" i="24" s="1"/>
  <c r="K2165" i="24"/>
  <c r="H2165" i="24"/>
  <c r="U2164" i="24"/>
  <c r="T2164" i="24"/>
  <c r="O2164" i="24"/>
  <c r="N2164" i="24"/>
  <c r="P2164" i="24" s="1"/>
  <c r="K2164" i="24"/>
  <c r="H2164" i="24"/>
  <c r="R2163" i="24"/>
  <c r="O2163" i="24"/>
  <c r="N2163" i="24"/>
  <c r="S2163" i="24" s="1"/>
  <c r="U2162" i="24"/>
  <c r="T2162" i="24"/>
  <c r="O2162" i="24"/>
  <c r="N2162" i="24"/>
  <c r="P2162" i="24" s="1"/>
  <c r="K2162" i="24"/>
  <c r="H2162" i="24"/>
  <c r="U2161" i="24"/>
  <c r="T2161" i="24"/>
  <c r="O2161" i="24"/>
  <c r="N2161" i="24"/>
  <c r="P2161" i="24" s="1"/>
  <c r="K2161" i="24"/>
  <c r="H2161" i="24"/>
  <c r="U2160" i="24"/>
  <c r="T2160" i="24"/>
  <c r="O2160" i="24"/>
  <c r="N2160" i="24"/>
  <c r="P2160" i="24" s="1"/>
  <c r="K2160" i="24"/>
  <c r="H2160" i="24"/>
  <c r="U2159" i="24"/>
  <c r="T2159" i="24"/>
  <c r="O2159" i="24"/>
  <c r="N2159" i="24"/>
  <c r="P2159" i="24" s="1"/>
  <c r="K2159" i="24"/>
  <c r="H2159" i="24"/>
  <c r="R2158" i="24"/>
  <c r="O2158" i="24"/>
  <c r="N2158" i="24"/>
  <c r="S2158" i="24" s="1"/>
  <c r="U2157" i="24"/>
  <c r="T2157" i="24"/>
  <c r="O2157" i="24"/>
  <c r="N2157" i="24"/>
  <c r="P2157" i="24" s="1"/>
  <c r="K2157" i="24"/>
  <c r="H2157" i="24"/>
  <c r="U2156" i="24"/>
  <c r="T2156" i="24"/>
  <c r="O2156" i="24"/>
  <c r="N2156" i="24"/>
  <c r="P2156" i="24" s="1"/>
  <c r="K2156" i="24"/>
  <c r="H2156" i="24"/>
  <c r="U2155" i="24"/>
  <c r="T2155" i="24"/>
  <c r="O2155" i="24"/>
  <c r="N2155" i="24"/>
  <c r="P2155" i="24" s="1"/>
  <c r="K2155" i="24"/>
  <c r="H2155" i="24"/>
  <c r="U2154" i="24"/>
  <c r="T2154" i="24"/>
  <c r="O2154" i="24"/>
  <c r="N2154" i="24"/>
  <c r="P2154" i="24" s="1"/>
  <c r="K2154" i="24"/>
  <c r="H2154" i="24"/>
  <c r="R2153" i="24"/>
  <c r="O2153" i="24"/>
  <c r="N2153" i="24"/>
  <c r="P2153" i="24" s="1"/>
  <c r="U2152" i="24"/>
  <c r="T2152" i="24"/>
  <c r="O2152" i="24"/>
  <c r="N2152" i="24"/>
  <c r="P2152" i="24" s="1"/>
  <c r="K2152" i="24"/>
  <c r="H2152" i="24"/>
  <c r="U2151" i="24"/>
  <c r="T2151" i="24"/>
  <c r="O2151" i="24"/>
  <c r="N2151" i="24"/>
  <c r="P2151" i="24" s="1"/>
  <c r="K2151" i="24"/>
  <c r="H2151" i="24"/>
  <c r="U2150" i="24"/>
  <c r="T2150" i="24"/>
  <c r="O2150" i="24"/>
  <c r="N2150" i="24"/>
  <c r="P2150" i="24" s="1"/>
  <c r="K2150" i="24"/>
  <c r="H2150" i="24"/>
  <c r="U2149" i="24"/>
  <c r="T2149" i="24"/>
  <c r="O2149" i="24"/>
  <c r="N2149" i="24"/>
  <c r="P2149" i="24" s="1"/>
  <c r="K2149" i="24"/>
  <c r="H2149" i="24"/>
  <c r="H2148" i="24" s="1"/>
  <c r="J2148" i="24" s="1"/>
  <c r="R2148" i="24"/>
  <c r="O2148" i="24"/>
  <c r="N2148" i="24"/>
  <c r="U2147" i="24"/>
  <c r="T2147" i="24"/>
  <c r="O2147" i="24"/>
  <c r="N2147" i="24"/>
  <c r="P2147" i="24" s="1"/>
  <c r="K2147" i="24"/>
  <c r="H2147" i="24"/>
  <c r="H2143" i="24" s="1"/>
  <c r="J2143" i="24" s="1"/>
  <c r="U2146" i="24"/>
  <c r="T2146" i="24"/>
  <c r="O2146" i="24"/>
  <c r="N2146" i="24"/>
  <c r="P2146" i="24" s="1"/>
  <c r="K2146" i="24"/>
  <c r="H2146" i="24"/>
  <c r="U2145" i="24"/>
  <c r="T2145" i="24"/>
  <c r="O2145" i="24"/>
  <c r="N2145" i="24"/>
  <c r="P2145" i="24" s="1"/>
  <c r="K2145" i="24"/>
  <c r="H2145" i="24"/>
  <c r="U2144" i="24"/>
  <c r="T2144" i="24"/>
  <c r="O2144" i="24"/>
  <c r="N2144" i="24"/>
  <c r="P2144" i="24" s="1"/>
  <c r="K2144" i="24"/>
  <c r="H2144" i="24"/>
  <c r="R2143" i="24"/>
  <c r="O2143" i="24"/>
  <c r="N2143" i="24"/>
  <c r="U2142" i="24"/>
  <c r="T2142" i="24"/>
  <c r="O2142" i="24"/>
  <c r="N2142" i="24"/>
  <c r="P2142" i="24" s="1"/>
  <c r="K2142" i="24"/>
  <c r="H2142" i="24"/>
  <c r="U2141" i="24"/>
  <c r="T2141" i="24"/>
  <c r="O2141" i="24"/>
  <c r="N2141" i="24"/>
  <c r="P2141" i="24" s="1"/>
  <c r="K2141" i="24"/>
  <c r="H2141" i="24"/>
  <c r="U2140" i="24"/>
  <c r="T2140" i="24"/>
  <c r="O2140" i="24"/>
  <c r="N2140" i="24"/>
  <c r="P2140" i="24" s="1"/>
  <c r="K2140" i="24"/>
  <c r="H2140" i="24"/>
  <c r="U2139" i="24"/>
  <c r="T2139" i="24"/>
  <c r="O2139" i="24"/>
  <c r="N2139" i="24"/>
  <c r="P2139" i="24" s="1"/>
  <c r="K2139" i="24"/>
  <c r="H2139" i="24"/>
  <c r="R2138" i="24"/>
  <c r="O2138" i="24"/>
  <c r="N2138" i="24"/>
  <c r="S2138" i="24" s="1"/>
  <c r="U2137" i="24"/>
  <c r="T2137" i="24"/>
  <c r="O2137" i="24"/>
  <c r="N2137" i="24"/>
  <c r="P2137" i="24" s="1"/>
  <c r="K2137" i="24"/>
  <c r="H2137" i="24"/>
  <c r="U2136" i="24"/>
  <c r="T2136" i="24"/>
  <c r="O2136" i="24"/>
  <c r="N2136" i="24"/>
  <c r="P2136" i="24" s="1"/>
  <c r="K2136" i="24"/>
  <c r="H2136" i="24"/>
  <c r="U2135" i="24"/>
  <c r="T2135" i="24"/>
  <c r="O2135" i="24"/>
  <c r="N2135" i="24"/>
  <c r="P2135" i="24" s="1"/>
  <c r="K2135" i="24"/>
  <c r="H2135" i="24"/>
  <c r="U2134" i="24"/>
  <c r="T2134" i="24"/>
  <c r="O2134" i="24"/>
  <c r="N2134" i="24"/>
  <c r="P2134" i="24" s="1"/>
  <c r="K2134" i="24"/>
  <c r="H2134" i="24"/>
  <c r="R2133" i="24"/>
  <c r="O2133" i="24"/>
  <c r="N2133" i="24"/>
  <c r="U2132" i="24"/>
  <c r="T2132" i="24"/>
  <c r="O2132" i="24"/>
  <c r="N2132" i="24"/>
  <c r="P2132" i="24" s="1"/>
  <c r="K2132" i="24"/>
  <c r="H2132" i="24"/>
  <c r="U2131" i="24"/>
  <c r="T2131" i="24"/>
  <c r="O2131" i="24"/>
  <c r="N2131" i="24"/>
  <c r="P2131" i="24" s="1"/>
  <c r="K2131" i="24"/>
  <c r="H2131" i="24"/>
  <c r="U2130" i="24"/>
  <c r="T2130" i="24"/>
  <c r="O2130" i="24"/>
  <c r="N2130" i="24"/>
  <c r="P2130" i="24" s="1"/>
  <c r="K2130" i="24"/>
  <c r="H2130" i="24"/>
  <c r="U2129" i="24"/>
  <c r="T2129" i="24"/>
  <c r="O2129" i="24"/>
  <c r="N2129" i="24"/>
  <c r="P2129" i="24" s="1"/>
  <c r="K2129" i="24"/>
  <c r="H2129" i="24"/>
  <c r="R2128" i="24"/>
  <c r="O2128" i="24"/>
  <c r="N2128" i="24"/>
  <c r="P2128" i="24" s="1"/>
  <c r="H2128" i="24"/>
  <c r="J2128" i="24" s="1"/>
  <c r="U2127" i="24"/>
  <c r="T2127" i="24"/>
  <c r="O2127" i="24"/>
  <c r="N2127" i="24"/>
  <c r="P2127" i="24" s="1"/>
  <c r="K2127" i="24"/>
  <c r="H2127" i="24"/>
  <c r="U2126" i="24"/>
  <c r="T2126" i="24"/>
  <c r="O2126" i="24"/>
  <c r="N2126" i="24"/>
  <c r="P2126" i="24" s="1"/>
  <c r="K2126" i="24"/>
  <c r="H2126" i="24"/>
  <c r="U2125" i="24"/>
  <c r="T2125" i="24"/>
  <c r="O2125" i="24"/>
  <c r="N2125" i="24"/>
  <c r="P2125" i="24" s="1"/>
  <c r="K2125" i="24"/>
  <c r="H2125" i="24"/>
  <c r="U2124" i="24"/>
  <c r="T2124" i="24"/>
  <c r="O2124" i="24"/>
  <c r="N2124" i="24"/>
  <c r="P2124" i="24" s="1"/>
  <c r="K2124" i="24"/>
  <c r="H2124" i="24"/>
  <c r="H2123" i="24" s="1"/>
  <c r="J2123" i="24" s="1"/>
  <c r="R2123" i="24"/>
  <c r="O2123" i="24"/>
  <c r="N2123" i="24"/>
  <c r="U2122" i="24"/>
  <c r="T2122" i="24"/>
  <c r="O2122" i="24"/>
  <c r="N2122" i="24"/>
  <c r="P2122" i="24" s="1"/>
  <c r="K2122" i="24"/>
  <c r="H2122" i="24"/>
  <c r="U2121" i="24"/>
  <c r="T2121" i="24"/>
  <c r="O2121" i="24"/>
  <c r="N2121" i="24"/>
  <c r="P2121" i="24" s="1"/>
  <c r="K2121" i="24"/>
  <c r="H2121" i="24"/>
  <c r="U2120" i="24"/>
  <c r="T2120" i="24"/>
  <c r="O2120" i="24"/>
  <c r="N2120" i="24"/>
  <c r="P2120" i="24" s="1"/>
  <c r="K2120" i="24"/>
  <c r="H2120" i="24"/>
  <c r="U2119" i="24"/>
  <c r="T2119" i="24"/>
  <c r="O2119" i="24"/>
  <c r="N2119" i="24"/>
  <c r="P2119" i="24" s="1"/>
  <c r="K2119" i="24"/>
  <c r="H2119" i="24"/>
  <c r="R2118" i="24"/>
  <c r="O2118" i="24"/>
  <c r="N2118" i="24"/>
  <c r="U2117" i="24"/>
  <c r="T2117" i="24"/>
  <c r="O2117" i="24"/>
  <c r="N2117" i="24"/>
  <c r="P2117" i="24" s="1"/>
  <c r="K2117" i="24"/>
  <c r="H2117" i="24"/>
  <c r="U2116" i="24"/>
  <c r="T2116" i="24"/>
  <c r="O2116" i="24"/>
  <c r="N2116" i="24"/>
  <c r="P2116" i="24" s="1"/>
  <c r="K2116" i="24"/>
  <c r="H2116" i="24"/>
  <c r="U2115" i="24"/>
  <c r="T2115" i="24"/>
  <c r="O2115" i="24"/>
  <c r="N2115" i="24"/>
  <c r="P2115" i="24" s="1"/>
  <c r="K2115" i="24"/>
  <c r="H2115" i="24"/>
  <c r="U2114" i="24"/>
  <c r="T2114" i="24"/>
  <c r="O2114" i="24"/>
  <c r="N2114" i="24"/>
  <c r="P2114" i="24" s="1"/>
  <c r="K2114" i="24"/>
  <c r="H2114" i="24"/>
  <c r="R2113" i="24"/>
  <c r="O2113" i="24"/>
  <c r="N2113" i="24"/>
  <c r="P2113" i="24" s="1"/>
  <c r="U2112" i="24"/>
  <c r="T2112" i="24"/>
  <c r="O2112" i="24"/>
  <c r="N2112" i="24"/>
  <c r="P2112" i="24" s="1"/>
  <c r="K2112" i="24"/>
  <c r="H2112" i="24"/>
  <c r="U2111" i="24"/>
  <c r="T2111" i="24"/>
  <c r="O2111" i="24"/>
  <c r="N2111" i="24"/>
  <c r="P2111" i="24" s="1"/>
  <c r="K2111" i="24"/>
  <c r="H2111" i="24"/>
  <c r="U2110" i="24"/>
  <c r="T2110" i="24"/>
  <c r="O2110" i="24"/>
  <c r="N2110" i="24"/>
  <c r="P2110" i="24" s="1"/>
  <c r="K2110" i="24"/>
  <c r="H2110" i="24"/>
  <c r="R2109" i="24"/>
  <c r="O2109" i="24"/>
  <c r="N2109" i="24"/>
  <c r="S2109" i="24" s="1"/>
  <c r="U2109" i="24" s="1"/>
  <c r="U2108" i="24"/>
  <c r="T2108" i="24"/>
  <c r="O2108" i="24"/>
  <c r="N2108" i="24"/>
  <c r="P2108" i="24" s="1"/>
  <c r="K2108" i="24"/>
  <c r="H2108" i="24"/>
  <c r="U2107" i="24"/>
  <c r="T2107" i="24"/>
  <c r="O2107" i="24"/>
  <c r="N2107" i="24"/>
  <c r="P2107" i="24" s="1"/>
  <c r="K2107" i="24"/>
  <c r="H2107" i="24"/>
  <c r="U2106" i="24"/>
  <c r="T2106" i="24"/>
  <c r="O2106" i="24"/>
  <c r="N2106" i="24"/>
  <c r="P2106" i="24" s="1"/>
  <c r="K2106" i="24"/>
  <c r="H2106" i="24"/>
  <c r="H2105" i="24" s="1"/>
  <c r="J2105" i="24" s="1"/>
  <c r="R2105" i="24"/>
  <c r="O2105" i="24"/>
  <c r="N2105" i="24"/>
  <c r="U2104" i="24"/>
  <c r="T2104" i="24"/>
  <c r="O2104" i="24"/>
  <c r="N2104" i="24"/>
  <c r="P2104" i="24" s="1"/>
  <c r="K2104" i="24"/>
  <c r="J2104" i="24"/>
  <c r="H2104" i="24"/>
  <c r="U2103" i="24"/>
  <c r="T2103" i="24"/>
  <c r="O2103" i="24"/>
  <c r="N2103" i="24"/>
  <c r="P2103" i="24" s="1"/>
  <c r="K2103" i="24"/>
  <c r="J2103" i="24"/>
  <c r="H2103" i="24"/>
  <c r="U2102" i="24"/>
  <c r="T2102" i="24"/>
  <c r="O2102" i="24"/>
  <c r="N2102" i="24"/>
  <c r="P2102" i="24" s="1"/>
  <c r="K2102" i="24"/>
  <c r="J2102" i="24"/>
  <c r="H2102" i="24"/>
  <c r="H2101" i="24" s="1"/>
  <c r="J2101" i="24" s="1"/>
  <c r="R2101" i="24"/>
  <c r="O2101" i="24"/>
  <c r="N2101" i="24"/>
  <c r="P2101" i="24" s="1"/>
  <c r="U2100" i="24"/>
  <c r="T2100" i="24"/>
  <c r="O2100" i="24"/>
  <c r="N2100" i="24"/>
  <c r="P2100" i="24" s="1"/>
  <c r="K2100" i="24"/>
  <c r="H2100" i="24"/>
  <c r="U2099" i="24"/>
  <c r="T2099" i="24"/>
  <c r="O2099" i="24"/>
  <c r="N2099" i="24"/>
  <c r="P2099" i="24" s="1"/>
  <c r="K2099" i="24"/>
  <c r="H2099" i="24"/>
  <c r="U2098" i="24"/>
  <c r="T2098" i="24"/>
  <c r="O2098" i="24"/>
  <c r="N2098" i="24"/>
  <c r="P2098" i="24" s="1"/>
  <c r="K2098" i="24"/>
  <c r="H2098" i="24"/>
  <c r="H2097" i="24" s="1"/>
  <c r="J2097" i="24" s="1"/>
  <c r="R2097" i="24"/>
  <c r="O2097" i="24"/>
  <c r="N2097" i="24"/>
  <c r="S2097" i="24" s="1"/>
  <c r="U2097" i="24" s="1"/>
  <c r="U2096" i="24"/>
  <c r="T2096" i="24"/>
  <c r="O2096" i="24"/>
  <c r="N2096" i="24"/>
  <c r="P2096" i="24" s="1"/>
  <c r="K2096" i="24"/>
  <c r="H2096" i="24"/>
  <c r="U2095" i="24"/>
  <c r="T2095" i="24"/>
  <c r="O2095" i="24"/>
  <c r="N2095" i="24"/>
  <c r="P2095" i="24" s="1"/>
  <c r="K2095" i="24"/>
  <c r="H2095" i="24"/>
  <c r="U2094" i="24"/>
  <c r="T2094" i="24"/>
  <c r="O2094" i="24"/>
  <c r="N2094" i="24"/>
  <c r="P2094" i="24" s="1"/>
  <c r="K2094" i="24"/>
  <c r="H2094" i="24"/>
  <c r="R2093" i="24"/>
  <c r="O2093" i="24"/>
  <c r="N2093" i="24"/>
  <c r="S2093" i="24" s="1"/>
  <c r="U2092" i="24"/>
  <c r="T2092" i="24"/>
  <c r="O2092" i="24"/>
  <c r="N2092" i="24"/>
  <c r="P2092" i="24" s="1"/>
  <c r="K2092" i="24"/>
  <c r="H2092" i="24"/>
  <c r="U2091" i="24"/>
  <c r="T2091" i="24"/>
  <c r="O2091" i="24"/>
  <c r="N2091" i="24"/>
  <c r="P2091" i="24" s="1"/>
  <c r="K2091" i="24"/>
  <c r="H2091" i="24"/>
  <c r="U2090" i="24"/>
  <c r="T2090" i="24"/>
  <c r="O2090" i="24"/>
  <c r="N2090" i="24"/>
  <c r="P2090" i="24" s="1"/>
  <c r="K2090" i="24"/>
  <c r="H2090" i="24"/>
  <c r="H2089" i="24" s="1"/>
  <c r="J2089" i="24" s="1"/>
  <c r="R2089" i="24"/>
  <c r="O2089" i="24"/>
  <c r="N2089" i="24"/>
  <c r="S2089" i="24" s="1"/>
  <c r="U2089" i="24" s="1"/>
  <c r="Y2089" i="24" s="1"/>
  <c r="U2088" i="24"/>
  <c r="T2088" i="24"/>
  <c r="O2088" i="24"/>
  <c r="N2088" i="24"/>
  <c r="P2088" i="24" s="1"/>
  <c r="K2088" i="24"/>
  <c r="H2088" i="24"/>
  <c r="U2087" i="24"/>
  <c r="T2087" i="24"/>
  <c r="O2087" i="24"/>
  <c r="N2087" i="24"/>
  <c r="P2087" i="24" s="1"/>
  <c r="K2087" i="24"/>
  <c r="H2087" i="24"/>
  <c r="U2086" i="24"/>
  <c r="T2086" i="24"/>
  <c r="O2086" i="24"/>
  <c r="N2086" i="24"/>
  <c r="P2086" i="24" s="1"/>
  <c r="K2086" i="24"/>
  <c r="H2086" i="24"/>
  <c r="H2085" i="24" s="1"/>
  <c r="J2085" i="24" s="1"/>
  <c r="R2085" i="24"/>
  <c r="O2085" i="24"/>
  <c r="N2085" i="24"/>
  <c r="U2084" i="24"/>
  <c r="T2084" i="24"/>
  <c r="O2084" i="24"/>
  <c r="N2084" i="24"/>
  <c r="P2084" i="24" s="1"/>
  <c r="K2084" i="24"/>
  <c r="H2084" i="24"/>
  <c r="U2083" i="24"/>
  <c r="T2083" i="24"/>
  <c r="O2083" i="24"/>
  <c r="N2083" i="24"/>
  <c r="P2083" i="24" s="1"/>
  <c r="K2083" i="24"/>
  <c r="H2083" i="24"/>
  <c r="U2082" i="24"/>
  <c r="T2082" i="24"/>
  <c r="O2082" i="24"/>
  <c r="N2082" i="24"/>
  <c r="P2082" i="24" s="1"/>
  <c r="K2082" i="24"/>
  <c r="H2082" i="24"/>
  <c r="R2081" i="24"/>
  <c r="O2081" i="24"/>
  <c r="N2081" i="24"/>
  <c r="U2080" i="24"/>
  <c r="T2080" i="24"/>
  <c r="O2080" i="24"/>
  <c r="N2080" i="24"/>
  <c r="P2080" i="24" s="1"/>
  <c r="K2080" i="24"/>
  <c r="H2080" i="24"/>
  <c r="U2079" i="24"/>
  <c r="T2079" i="24"/>
  <c r="O2079" i="24"/>
  <c r="N2079" i="24"/>
  <c r="P2079" i="24" s="1"/>
  <c r="K2079" i="24"/>
  <c r="H2079" i="24"/>
  <c r="U2078" i="24"/>
  <c r="T2078" i="24"/>
  <c r="O2078" i="24"/>
  <c r="N2078" i="24"/>
  <c r="P2078" i="24" s="1"/>
  <c r="K2078" i="24"/>
  <c r="H2078" i="24"/>
  <c r="R2077" i="24"/>
  <c r="O2077" i="24"/>
  <c r="N2077" i="24"/>
  <c r="S2077" i="24" s="1"/>
  <c r="U2076" i="24"/>
  <c r="T2076" i="24"/>
  <c r="O2076" i="24"/>
  <c r="N2076" i="24"/>
  <c r="P2076" i="24" s="1"/>
  <c r="K2076" i="24"/>
  <c r="H2076" i="24"/>
  <c r="U2075" i="24"/>
  <c r="T2075" i="24"/>
  <c r="O2075" i="24"/>
  <c r="N2075" i="24"/>
  <c r="P2075" i="24" s="1"/>
  <c r="K2075" i="24"/>
  <c r="H2075" i="24"/>
  <c r="U2074" i="24"/>
  <c r="T2074" i="24"/>
  <c r="O2074" i="24"/>
  <c r="N2074" i="24"/>
  <c r="P2074" i="24" s="1"/>
  <c r="K2074" i="24"/>
  <c r="H2074" i="24"/>
  <c r="R2073" i="24"/>
  <c r="O2073" i="24"/>
  <c r="N2073" i="24"/>
  <c r="S2073" i="24" s="1"/>
  <c r="H2073" i="24"/>
  <c r="J2073" i="24" s="1"/>
  <c r="U2072" i="24"/>
  <c r="T2072" i="24"/>
  <c r="O2072" i="24"/>
  <c r="N2072" i="24"/>
  <c r="P2072" i="24" s="1"/>
  <c r="K2072" i="24"/>
  <c r="H2072" i="24"/>
  <c r="U2071" i="24"/>
  <c r="T2071" i="24"/>
  <c r="O2071" i="24"/>
  <c r="N2071" i="24"/>
  <c r="P2071" i="24" s="1"/>
  <c r="K2071" i="24"/>
  <c r="H2071" i="24"/>
  <c r="U2070" i="24"/>
  <c r="T2070" i="24"/>
  <c r="O2070" i="24"/>
  <c r="N2070" i="24"/>
  <c r="P2070" i="24" s="1"/>
  <c r="K2070" i="24"/>
  <c r="H2070" i="24"/>
  <c r="H2069" i="24" s="1"/>
  <c r="J2069" i="24" s="1"/>
  <c r="R2069" i="24"/>
  <c r="O2069" i="24"/>
  <c r="N2069" i="24"/>
  <c r="U2068" i="24"/>
  <c r="T2068" i="24"/>
  <c r="O2068" i="24"/>
  <c r="N2068" i="24"/>
  <c r="P2068" i="24" s="1"/>
  <c r="K2068" i="24"/>
  <c r="H2068" i="24"/>
  <c r="U2067" i="24"/>
  <c r="T2067" i="24"/>
  <c r="O2067" i="24"/>
  <c r="N2067" i="24"/>
  <c r="P2067" i="24" s="1"/>
  <c r="K2067" i="24"/>
  <c r="H2067" i="24"/>
  <c r="U2066" i="24"/>
  <c r="T2066" i="24"/>
  <c r="O2066" i="24"/>
  <c r="N2066" i="24"/>
  <c r="P2066" i="24" s="1"/>
  <c r="K2066" i="24"/>
  <c r="H2066" i="24"/>
  <c r="R2065" i="24"/>
  <c r="O2065" i="24"/>
  <c r="N2065" i="24"/>
  <c r="S2065" i="24" s="1"/>
  <c r="U2064" i="24"/>
  <c r="T2064" i="24"/>
  <c r="O2064" i="24"/>
  <c r="N2064" i="24"/>
  <c r="P2064" i="24" s="1"/>
  <c r="K2064" i="24"/>
  <c r="H2064" i="24"/>
  <c r="U2063" i="24"/>
  <c r="T2063" i="24"/>
  <c r="O2063" i="24"/>
  <c r="N2063" i="24"/>
  <c r="P2063" i="24" s="1"/>
  <c r="K2063" i="24"/>
  <c r="H2063" i="24"/>
  <c r="U2062" i="24"/>
  <c r="T2062" i="24"/>
  <c r="O2062" i="24"/>
  <c r="N2062" i="24"/>
  <c r="P2062" i="24" s="1"/>
  <c r="K2062" i="24"/>
  <c r="H2062" i="24"/>
  <c r="R2061" i="24"/>
  <c r="O2061" i="24"/>
  <c r="N2061" i="24"/>
  <c r="S2061" i="24" s="1"/>
  <c r="U2060" i="24"/>
  <c r="T2060" i="24"/>
  <c r="O2060" i="24"/>
  <c r="N2060" i="24"/>
  <c r="P2060" i="24" s="1"/>
  <c r="K2060" i="24"/>
  <c r="H2060" i="24"/>
  <c r="U2059" i="24"/>
  <c r="T2059" i="24"/>
  <c r="O2059" i="24"/>
  <c r="N2059" i="24"/>
  <c r="P2059" i="24" s="1"/>
  <c r="K2059" i="24"/>
  <c r="H2059" i="24"/>
  <c r="U2058" i="24"/>
  <c r="T2058" i="24"/>
  <c r="O2058" i="24"/>
  <c r="N2058" i="24"/>
  <c r="P2058" i="24" s="1"/>
  <c r="K2058" i="24"/>
  <c r="H2058" i="24"/>
  <c r="R2057" i="24"/>
  <c r="O2057" i="24"/>
  <c r="N2057" i="24"/>
  <c r="U2056" i="24"/>
  <c r="T2056" i="24"/>
  <c r="O2056" i="24"/>
  <c r="N2056" i="24"/>
  <c r="P2056" i="24" s="1"/>
  <c r="K2056" i="24"/>
  <c r="H2056" i="24"/>
  <c r="U2055" i="24"/>
  <c r="T2055" i="24"/>
  <c r="O2055" i="24"/>
  <c r="N2055" i="24"/>
  <c r="P2055" i="24" s="1"/>
  <c r="K2055" i="24"/>
  <c r="H2055" i="24"/>
  <c r="U2054" i="24"/>
  <c r="T2054" i="24"/>
  <c r="O2054" i="24"/>
  <c r="N2054" i="24"/>
  <c r="P2054" i="24" s="1"/>
  <c r="K2054" i="24"/>
  <c r="H2054" i="24"/>
  <c r="R2053" i="24"/>
  <c r="O2053" i="24"/>
  <c r="N2053" i="24"/>
  <c r="S2053" i="24" s="1"/>
  <c r="U2053" i="24" s="1"/>
  <c r="U2052" i="24"/>
  <c r="T2052" i="24"/>
  <c r="O2052" i="24"/>
  <c r="N2052" i="24"/>
  <c r="P2052" i="24" s="1"/>
  <c r="K2052" i="24"/>
  <c r="H2052" i="24"/>
  <c r="U2051" i="24"/>
  <c r="T2051" i="24"/>
  <c r="O2051" i="24"/>
  <c r="N2051" i="24"/>
  <c r="P2051" i="24" s="1"/>
  <c r="K2051" i="24"/>
  <c r="H2051" i="24"/>
  <c r="U2050" i="24"/>
  <c r="T2050" i="24"/>
  <c r="O2050" i="24"/>
  <c r="N2050" i="24"/>
  <c r="P2050" i="24" s="1"/>
  <c r="K2050" i="24"/>
  <c r="H2050" i="24"/>
  <c r="R2049" i="24"/>
  <c r="O2049" i="24"/>
  <c r="N2049" i="24"/>
  <c r="S2049" i="24" s="1"/>
  <c r="U2048" i="24"/>
  <c r="T2048" i="24"/>
  <c r="O2048" i="24"/>
  <c r="N2048" i="24"/>
  <c r="P2048" i="24" s="1"/>
  <c r="K2048" i="24"/>
  <c r="H2048" i="24"/>
  <c r="U2047" i="24"/>
  <c r="T2047" i="24"/>
  <c r="O2047" i="24"/>
  <c r="N2047" i="24"/>
  <c r="P2047" i="24" s="1"/>
  <c r="K2047" i="24"/>
  <c r="H2047" i="24"/>
  <c r="U2046" i="24"/>
  <c r="T2046" i="24"/>
  <c r="O2046" i="24"/>
  <c r="N2046" i="24"/>
  <c r="P2046" i="24" s="1"/>
  <c r="K2046" i="24"/>
  <c r="H2046" i="24"/>
  <c r="R2045" i="24"/>
  <c r="O2045" i="24"/>
  <c r="N2045" i="24"/>
  <c r="U2044" i="24"/>
  <c r="T2044" i="24"/>
  <c r="O2044" i="24"/>
  <c r="N2044" i="24"/>
  <c r="P2044" i="24" s="1"/>
  <c r="K2044" i="24"/>
  <c r="H2044" i="24"/>
  <c r="U2043" i="24"/>
  <c r="T2043" i="24"/>
  <c r="O2043" i="24"/>
  <c r="N2043" i="24"/>
  <c r="P2043" i="24" s="1"/>
  <c r="K2043" i="24"/>
  <c r="H2043" i="24"/>
  <c r="U2042" i="24"/>
  <c r="T2042" i="24"/>
  <c r="O2042" i="24"/>
  <c r="N2042" i="24"/>
  <c r="P2042" i="24" s="1"/>
  <c r="K2042" i="24"/>
  <c r="H2042" i="24"/>
  <c r="R2041" i="24"/>
  <c r="O2041" i="24"/>
  <c r="N2041" i="24"/>
  <c r="U2040" i="24"/>
  <c r="T2040" i="24"/>
  <c r="O2040" i="24"/>
  <c r="N2040" i="24"/>
  <c r="P2040" i="24" s="1"/>
  <c r="K2040" i="24"/>
  <c r="H2040" i="24"/>
  <c r="U2039" i="24"/>
  <c r="T2039" i="24"/>
  <c r="O2039" i="24"/>
  <c r="N2039" i="24"/>
  <c r="P2039" i="24" s="1"/>
  <c r="K2039" i="24"/>
  <c r="H2039" i="24"/>
  <c r="U2038" i="24"/>
  <c r="T2038" i="24"/>
  <c r="O2038" i="24"/>
  <c r="N2038" i="24"/>
  <c r="P2038" i="24" s="1"/>
  <c r="K2038" i="24"/>
  <c r="H2038" i="24"/>
  <c r="R2037" i="24"/>
  <c r="O2037" i="24"/>
  <c r="N2037" i="24"/>
  <c r="P2037" i="24" s="1"/>
  <c r="U2036" i="24"/>
  <c r="T2036" i="24"/>
  <c r="O2036" i="24"/>
  <c r="N2036" i="24"/>
  <c r="P2036" i="24" s="1"/>
  <c r="K2036" i="24"/>
  <c r="H2036" i="24"/>
  <c r="U2035" i="24"/>
  <c r="T2035" i="24"/>
  <c r="O2035" i="24"/>
  <c r="N2035" i="24"/>
  <c r="P2035" i="24" s="1"/>
  <c r="K2035" i="24"/>
  <c r="H2035" i="24"/>
  <c r="U2034" i="24"/>
  <c r="T2034" i="24"/>
  <c r="O2034" i="24"/>
  <c r="N2034" i="24"/>
  <c r="P2034" i="24" s="1"/>
  <c r="K2034" i="24"/>
  <c r="H2034" i="24"/>
  <c r="H2033" i="24" s="1"/>
  <c r="J2033" i="24" s="1"/>
  <c r="R2033" i="24"/>
  <c r="O2033" i="24"/>
  <c r="N2033" i="24"/>
  <c r="S2033" i="24" s="1"/>
  <c r="U2032" i="24"/>
  <c r="T2032" i="24"/>
  <c r="O2032" i="24"/>
  <c r="N2032" i="24"/>
  <c r="P2032" i="24" s="1"/>
  <c r="K2032" i="24"/>
  <c r="H2032" i="24"/>
  <c r="U2031" i="24"/>
  <c r="T2031" i="24"/>
  <c r="O2031" i="24"/>
  <c r="N2031" i="24"/>
  <c r="P2031" i="24" s="1"/>
  <c r="K2031" i="24"/>
  <c r="H2031" i="24"/>
  <c r="U2030" i="24"/>
  <c r="T2030" i="24"/>
  <c r="O2030" i="24"/>
  <c r="N2030" i="24"/>
  <c r="P2030" i="24" s="1"/>
  <c r="K2030" i="24"/>
  <c r="H2030" i="24"/>
  <c r="R2029" i="24"/>
  <c r="O2029" i="24"/>
  <c r="N2029" i="24"/>
  <c r="U2028" i="24"/>
  <c r="T2028" i="24"/>
  <c r="O2028" i="24"/>
  <c r="N2028" i="24"/>
  <c r="P2028" i="24" s="1"/>
  <c r="K2028" i="24"/>
  <c r="H2028" i="24"/>
  <c r="U2027" i="24"/>
  <c r="T2027" i="24"/>
  <c r="O2027" i="24"/>
  <c r="N2027" i="24"/>
  <c r="P2027" i="24" s="1"/>
  <c r="K2027" i="24"/>
  <c r="H2027" i="24"/>
  <c r="U2026" i="24"/>
  <c r="T2026" i="24"/>
  <c r="O2026" i="24"/>
  <c r="N2026" i="24"/>
  <c r="P2026" i="24" s="1"/>
  <c r="K2026" i="24"/>
  <c r="H2026" i="24"/>
  <c r="R2025" i="24"/>
  <c r="O2025" i="24"/>
  <c r="N2025" i="24"/>
  <c r="U2024" i="24"/>
  <c r="T2024" i="24"/>
  <c r="O2024" i="24"/>
  <c r="N2024" i="24"/>
  <c r="P2024" i="24" s="1"/>
  <c r="K2024" i="24"/>
  <c r="H2024" i="24"/>
  <c r="U2023" i="24"/>
  <c r="T2023" i="24"/>
  <c r="O2023" i="24"/>
  <c r="N2023" i="24"/>
  <c r="P2023" i="24" s="1"/>
  <c r="K2023" i="24"/>
  <c r="H2023" i="24"/>
  <c r="U2022" i="24"/>
  <c r="T2022" i="24"/>
  <c r="O2022" i="24"/>
  <c r="N2022" i="24"/>
  <c r="P2022" i="24" s="1"/>
  <c r="K2022" i="24"/>
  <c r="H2022" i="24"/>
  <c r="R2021" i="24"/>
  <c r="O2021" i="24"/>
  <c r="N2021" i="24"/>
  <c r="P2021" i="24" s="1"/>
  <c r="U2020" i="24"/>
  <c r="T2020" i="24"/>
  <c r="O2020" i="24"/>
  <c r="N2020" i="24"/>
  <c r="P2020" i="24" s="1"/>
  <c r="K2020" i="24"/>
  <c r="H2020" i="24"/>
  <c r="U2019" i="24"/>
  <c r="T2019" i="24"/>
  <c r="O2019" i="24"/>
  <c r="N2019" i="24"/>
  <c r="P2019" i="24" s="1"/>
  <c r="K2019" i="24"/>
  <c r="H2019" i="24"/>
  <c r="U2018" i="24"/>
  <c r="T2018" i="24"/>
  <c r="O2018" i="24"/>
  <c r="N2018" i="24"/>
  <c r="P2018" i="24" s="1"/>
  <c r="K2018" i="24"/>
  <c r="H2018" i="24"/>
  <c r="H2017" i="24" s="1"/>
  <c r="J2017" i="24" s="1"/>
  <c r="R2017" i="24"/>
  <c r="O2017" i="24"/>
  <c r="N2017" i="24"/>
  <c r="S2017" i="24" s="1"/>
  <c r="U2016" i="24"/>
  <c r="T2016" i="24"/>
  <c r="O2016" i="24"/>
  <c r="N2016" i="24"/>
  <c r="P2016" i="24" s="1"/>
  <c r="K2016" i="24"/>
  <c r="H2016" i="24"/>
  <c r="U2015" i="24"/>
  <c r="T2015" i="24"/>
  <c r="O2015" i="24"/>
  <c r="N2015" i="24"/>
  <c r="P2015" i="24" s="1"/>
  <c r="K2015" i="24"/>
  <c r="H2015" i="24"/>
  <c r="U2014" i="24"/>
  <c r="T2014" i="24"/>
  <c r="O2014" i="24"/>
  <c r="N2014" i="24"/>
  <c r="P2014" i="24" s="1"/>
  <c r="K2014" i="24"/>
  <c r="H2014" i="24"/>
  <c r="R2013" i="24"/>
  <c r="O2013" i="24"/>
  <c r="N2013" i="24"/>
  <c r="U2012" i="24"/>
  <c r="T2012" i="24"/>
  <c r="O2012" i="24"/>
  <c r="N2012" i="24"/>
  <c r="P2012" i="24" s="1"/>
  <c r="K2012" i="24"/>
  <c r="H2012" i="24"/>
  <c r="H2009" i="24" s="1"/>
  <c r="J2009" i="24" s="1"/>
  <c r="U2011" i="24"/>
  <c r="T2011" i="24"/>
  <c r="O2011" i="24"/>
  <c r="N2011" i="24"/>
  <c r="P2011" i="24" s="1"/>
  <c r="K2011" i="24"/>
  <c r="H2011" i="24"/>
  <c r="U2010" i="24"/>
  <c r="T2010" i="24"/>
  <c r="O2010" i="24"/>
  <c r="N2010" i="24"/>
  <c r="P2010" i="24" s="1"/>
  <c r="K2010" i="24"/>
  <c r="H2010" i="24"/>
  <c r="R2009" i="24"/>
  <c r="O2009" i="24"/>
  <c r="N2009" i="24"/>
  <c r="U2008" i="24"/>
  <c r="T2008" i="24"/>
  <c r="O2008" i="24"/>
  <c r="N2008" i="24"/>
  <c r="P2008" i="24" s="1"/>
  <c r="K2008" i="24"/>
  <c r="H2008" i="24"/>
  <c r="U2007" i="24"/>
  <c r="T2007" i="24"/>
  <c r="O2007" i="24"/>
  <c r="N2007" i="24"/>
  <c r="P2007" i="24" s="1"/>
  <c r="K2007" i="24"/>
  <c r="H2007" i="24"/>
  <c r="U2006" i="24"/>
  <c r="T2006" i="24"/>
  <c r="O2006" i="24"/>
  <c r="N2006" i="24"/>
  <c r="P2006" i="24" s="1"/>
  <c r="K2006" i="24"/>
  <c r="H2006" i="24"/>
  <c r="R2005" i="24"/>
  <c r="O2005" i="24"/>
  <c r="N2005" i="24"/>
  <c r="S2005" i="24" s="1"/>
  <c r="U2004" i="24"/>
  <c r="T2004" i="24"/>
  <c r="O2004" i="24"/>
  <c r="N2004" i="24"/>
  <c r="P2004" i="24" s="1"/>
  <c r="K2004" i="24"/>
  <c r="H2004" i="24"/>
  <c r="U2003" i="24"/>
  <c r="T2003" i="24"/>
  <c r="O2003" i="24"/>
  <c r="N2003" i="24"/>
  <c r="P2003" i="24" s="1"/>
  <c r="K2003" i="24"/>
  <c r="H2003" i="24"/>
  <c r="U2002" i="24"/>
  <c r="T2002" i="24"/>
  <c r="O2002" i="24"/>
  <c r="N2002" i="24"/>
  <c r="P2002" i="24" s="1"/>
  <c r="K2002" i="24"/>
  <c r="H2002" i="24"/>
  <c r="R2001" i="24"/>
  <c r="O2001" i="24"/>
  <c r="N2001" i="24"/>
  <c r="S2001" i="24" s="1"/>
  <c r="U2000" i="24"/>
  <c r="T2000" i="24"/>
  <c r="O2000" i="24"/>
  <c r="N2000" i="24"/>
  <c r="P2000" i="24" s="1"/>
  <c r="K2000" i="24"/>
  <c r="H2000" i="24"/>
  <c r="H1997" i="24" s="1"/>
  <c r="J1997" i="24" s="1"/>
  <c r="U1999" i="24"/>
  <c r="T1999" i="24"/>
  <c r="O1999" i="24"/>
  <c r="N1999" i="24"/>
  <c r="P1999" i="24" s="1"/>
  <c r="K1999" i="24"/>
  <c r="H1999" i="24"/>
  <c r="U1998" i="24"/>
  <c r="T1998" i="24"/>
  <c r="O1998" i="24"/>
  <c r="N1998" i="24"/>
  <c r="P1998" i="24" s="1"/>
  <c r="K1998" i="24"/>
  <c r="H1998" i="24"/>
  <c r="R1997" i="24"/>
  <c r="O1997" i="24"/>
  <c r="N1997" i="24"/>
  <c r="U1996" i="24"/>
  <c r="T1996" i="24"/>
  <c r="O1996" i="24"/>
  <c r="N1996" i="24"/>
  <c r="P1996" i="24" s="1"/>
  <c r="K1996" i="24"/>
  <c r="H1996" i="24"/>
  <c r="U1995" i="24"/>
  <c r="T1995" i="24"/>
  <c r="O1995" i="24"/>
  <c r="N1995" i="24"/>
  <c r="P1995" i="24" s="1"/>
  <c r="K1995" i="24"/>
  <c r="H1995" i="24"/>
  <c r="H1993" i="24" s="1"/>
  <c r="J1993" i="24" s="1"/>
  <c r="U1994" i="24"/>
  <c r="T1994" i="24"/>
  <c r="O1994" i="24"/>
  <c r="N1994" i="24"/>
  <c r="P1994" i="24" s="1"/>
  <c r="K1994" i="24"/>
  <c r="H1994" i="24"/>
  <c r="R1993" i="24"/>
  <c r="O1993" i="24"/>
  <c r="N1993" i="24"/>
  <c r="P1993" i="24" s="1"/>
  <c r="U1992" i="24"/>
  <c r="T1992" i="24"/>
  <c r="O1992" i="24"/>
  <c r="N1992" i="24"/>
  <c r="P1992" i="24" s="1"/>
  <c r="H1992" i="24"/>
  <c r="U1991" i="24"/>
  <c r="T1991" i="24"/>
  <c r="O1991" i="24"/>
  <c r="N1991" i="24"/>
  <c r="P1991" i="24" s="1"/>
  <c r="H1991" i="24"/>
  <c r="U1990" i="24"/>
  <c r="T1990" i="24"/>
  <c r="O1990" i="24"/>
  <c r="N1990" i="24"/>
  <c r="P1990" i="24" s="1"/>
  <c r="H1990" i="24"/>
  <c r="H1989" i="24" s="1"/>
  <c r="J1989" i="24" s="1"/>
  <c r="R1989" i="24"/>
  <c r="O1989" i="24"/>
  <c r="N1989" i="24"/>
  <c r="P1989" i="24" s="1"/>
  <c r="U1988" i="24"/>
  <c r="T1988" i="24"/>
  <c r="O1988" i="24"/>
  <c r="N1988" i="24"/>
  <c r="P1988" i="24" s="1"/>
  <c r="H1988" i="24"/>
  <c r="U1987" i="24"/>
  <c r="T1987" i="24"/>
  <c r="O1987" i="24"/>
  <c r="N1987" i="24"/>
  <c r="P1987" i="24" s="1"/>
  <c r="H1987" i="24"/>
  <c r="U1986" i="24"/>
  <c r="T1986" i="24"/>
  <c r="O1986" i="24"/>
  <c r="N1986" i="24"/>
  <c r="P1986" i="24" s="1"/>
  <c r="H1986" i="24"/>
  <c r="R1985" i="24"/>
  <c r="O1985" i="24"/>
  <c r="N1985" i="24"/>
  <c r="U1984" i="24"/>
  <c r="T1984" i="24"/>
  <c r="O1984" i="24"/>
  <c r="N1984" i="24"/>
  <c r="P1984" i="24" s="1"/>
  <c r="H1984" i="24"/>
  <c r="U1983" i="24"/>
  <c r="T1983" i="24"/>
  <c r="O1983" i="24"/>
  <c r="N1983" i="24"/>
  <c r="P1983" i="24" s="1"/>
  <c r="H1983" i="24"/>
  <c r="U1982" i="24"/>
  <c r="T1982" i="24"/>
  <c r="O1982" i="24"/>
  <c r="N1982" i="24"/>
  <c r="P1982" i="24" s="1"/>
  <c r="H1982" i="24"/>
  <c r="H1981" i="24" s="1"/>
  <c r="J1981" i="24" s="1"/>
  <c r="R1981" i="24"/>
  <c r="O1981" i="24"/>
  <c r="N1981" i="24"/>
  <c r="S1981" i="24" s="1"/>
  <c r="U1980" i="24"/>
  <c r="T1980" i="24"/>
  <c r="O1980" i="24"/>
  <c r="N1980" i="24"/>
  <c r="P1980" i="24" s="1"/>
  <c r="H1980" i="24"/>
  <c r="U1979" i="24"/>
  <c r="T1979" i="24"/>
  <c r="O1979" i="24"/>
  <c r="N1979" i="24"/>
  <c r="P1979" i="24" s="1"/>
  <c r="H1979" i="24"/>
  <c r="U1978" i="24"/>
  <c r="T1978" i="24"/>
  <c r="O1978" i="24"/>
  <c r="N1978" i="24"/>
  <c r="P1978" i="24" s="1"/>
  <c r="H1978" i="24"/>
  <c r="H1977" i="24" s="1"/>
  <c r="J1977" i="24" s="1"/>
  <c r="R1977" i="24"/>
  <c r="O1977" i="24"/>
  <c r="N1977" i="24"/>
  <c r="U1976" i="24"/>
  <c r="T1976" i="24"/>
  <c r="O1976" i="24"/>
  <c r="N1976" i="24"/>
  <c r="P1976" i="24" s="1"/>
  <c r="H1976" i="24"/>
  <c r="U1975" i="24"/>
  <c r="T1975" i="24"/>
  <c r="O1975" i="24"/>
  <c r="N1975" i="24"/>
  <c r="P1975" i="24" s="1"/>
  <c r="H1975" i="24"/>
  <c r="U1974" i="24"/>
  <c r="T1974" i="24"/>
  <c r="O1974" i="24"/>
  <c r="N1974" i="24"/>
  <c r="P1974" i="24" s="1"/>
  <c r="H1974" i="24"/>
  <c r="R1973" i="24"/>
  <c r="O1973" i="24"/>
  <c r="N1973" i="24"/>
  <c r="P1973" i="24" s="1"/>
  <c r="U1972" i="24"/>
  <c r="T1972" i="24"/>
  <c r="O1972" i="24"/>
  <c r="N1972" i="24"/>
  <c r="P1972" i="24" s="1"/>
  <c r="H1972" i="24"/>
  <c r="U1971" i="24"/>
  <c r="T1971" i="24"/>
  <c r="O1971" i="24"/>
  <c r="N1971" i="24"/>
  <c r="P1971" i="24" s="1"/>
  <c r="H1971" i="24"/>
  <c r="U1970" i="24"/>
  <c r="T1970" i="24"/>
  <c r="O1970" i="24"/>
  <c r="N1970" i="24"/>
  <c r="P1970" i="24" s="1"/>
  <c r="H1970" i="24"/>
  <c r="H1969" i="24" s="1"/>
  <c r="J1969" i="24" s="1"/>
  <c r="R1969" i="24"/>
  <c r="O1969" i="24"/>
  <c r="N1969" i="24"/>
  <c r="U1968" i="24"/>
  <c r="T1968" i="24"/>
  <c r="O1968" i="24"/>
  <c r="N1968" i="24"/>
  <c r="P1968" i="24" s="1"/>
  <c r="H1968" i="24"/>
  <c r="U1967" i="24"/>
  <c r="T1967" i="24"/>
  <c r="O1967" i="24"/>
  <c r="N1967" i="24"/>
  <c r="P1967" i="24" s="1"/>
  <c r="H1967" i="24"/>
  <c r="U1966" i="24"/>
  <c r="T1966" i="24"/>
  <c r="O1966" i="24"/>
  <c r="N1966" i="24"/>
  <c r="P1966" i="24" s="1"/>
  <c r="H1966" i="24"/>
  <c r="R1965" i="24"/>
  <c r="O1965" i="24"/>
  <c r="N1965" i="24"/>
  <c r="U1964" i="24"/>
  <c r="T1964" i="24"/>
  <c r="O1964" i="24"/>
  <c r="N1964" i="24"/>
  <c r="P1964" i="24" s="1"/>
  <c r="H1964" i="24"/>
  <c r="U1963" i="24"/>
  <c r="T1963" i="24"/>
  <c r="O1963" i="24"/>
  <c r="N1963" i="24"/>
  <c r="P1963" i="24" s="1"/>
  <c r="H1963" i="24"/>
  <c r="U1962" i="24"/>
  <c r="T1962" i="24"/>
  <c r="O1962" i="24"/>
  <c r="N1962" i="24"/>
  <c r="P1962" i="24" s="1"/>
  <c r="H1962" i="24"/>
  <c r="R1961" i="24"/>
  <c r="O1961" i="24"/>
  <c r="N1961" i="24"/>
  <c r="P1961" i="24" s="1"/>
  <c r="U1960" i="24"/>
  <c r="T1960" i="24"/>
  <c r="O1960" i="24"/>
  <c r="N1960" i="24"/>
  <c r="P1960" i="24" s="1"/>
  <c r="H1960" i="24"/>
  <c r="U1959" i="24"/>
  <c r="T1959" i="24"/>
  <c r="O1959" i="24"/>
  <c r="N1959" i="24"/>
  <c r="P1959" i="24" s="1"/>
  <c r="H1959" i="24"/>
  <c r="U1958" i="24"/>
  <c r="T1958" i="24"/>
  <c r="O1958" i="24"/>
  <c r="N1958" i="24"/>
  <c r="P1958" i="24" s="1"/>
  <c r="H1958" i="24"/>
  <c r="R1957" i="24"/>
  <c r="O1957" i="24"/>
  <c r="N1957" i="24"/>
  <c r="P1957" i="24" s="1"/>
  <c r="H1957" i="24"/>
  <c r="J1957" i="24" s="1"/>
  <c r="U1956" i="24"/>
  <c r="T1956" i="24"/>
  <c r="O1956" i="24"/>
  <c r="N1956" i="24"/>
  <c r="P1956" i="24" s="1"/>
  <c r="H1956" i="24"/>
  <c r="U1955" i="24"/>
  <c r="T1955" i="24"/>
  <c r="O1955" i="24"/>
  <c r="N1955" i="24"/>
  <c r="P1955" i="24" s="1"/>
  <c r="H1955" i="24"/>
  <c r="U1954" i="24"/>
  <c r="T1954" i="24"/>
  <c r="O1954" i="24"/>
  <c r="N1954" i="24"/>
  <c r="P1954" i="24" s="1"/>
  <c r="H1954" i="24"/>
  <c r="R1953" i="24"/>
  <c r="O1953" i="24"/>
  <c r="N1953" i="24"/>
  <c r="P1953" i="24" s="1"/>
  <c r="U1952" i="24"/>
  <c r="T1952" i="24"/>
  <c r="O1952" i="24"/>
  <c r="N1952" i="24"/>
  <c r="P1952" i="24" s="1"/>
  <c r="H1952" i="24"/>
  <c r="U1951" i="24"/>
  <c r="T1951" i="24"/>
  <c r="O1951" i="24"/>
  <c r="N1951" i="24"/>
  <c r="P1951" i="24" s="1"/>
  <c r="H1951" i="24"/>
  <c r="U1950" i="24"/>
  <c r="T1950" i="24"/>
  <c r="O1950" i="24"/>
  <c r="N1950" i="24"/>
  <c r="P1950" i="24" s="1"/>
  <c r="H1950" i="24"/>
  <c r="R1949" i="24"/>
  <c r="O1949" i="24"/>
  <c r="N1949" i="24"/>
  <c r="S1949" i="24" s="1"/>
  <c r="U1948" i="24"/>
  <c r="T1948" i="24"/>
  <c r="O1948" i="24"/>
  <c r="N1948" i="24"/>
  <c r="P1948" i="24" s="1"/>
  <c r="H1948" i="24"/>
  <c r="U1947" i="24"/>
  <c r="T1947" i="24"/>
  <c r="O1947" i="24"/>
  <c r="N1947" i="24"/>
  <c r="P1947" i="24" s="1"/>
  <c r="H1947" i="24"/>
  <c r="H1945" i="24" s="1"/>
  <c r="J1945" i="24" s="1"/>
  <c r="U1946" i="24"/>
  <c r="T1946" i="24"/>
  <c r="O1946" i="24"/>
  <c r="N1946" i="24"/>
  <c r="P1946" i="24" s="1"/>
  <c r="H1946" i="24"/>
  <c r="R1945" i="24"/>
  <c r="O1945" i="24"/>
  <c r="N1945" i="24"/>
  <c r="P1945" i="24" s="1"/>
  <c r="U1944" i="24"/>
  <c r="T1944" i="24"/>
  <c r="O1944" i="24"/>
  <c r="N1944" i="24"/>
  <c r="P1944" i="24" s="1"/>
  <c r="H1944" i="24"/>
  <c r="U1943" i="24"/>
  <c r="T1943" i="24"/>
  <c r="O1943" i="24"/>
  <c r="N1943" i="24"/>
  <c r="P1943" i="24" s="1"/>
  <c r="H1943" i="24"/>
  <c r="U1942" i="24"/>
  <c r="T1942" i="24"/>
  <c r="O1942" i="24"/>
  <c r="N1942" i="24"/>
  <c r="P1942" i="24" s="1"/>
  <c r="H1942" i="24"/>
  <c r="R1941" i="24"/>
  <c r="O1941" i="24"/>
  <c r="N1941" i="24"/>
  <c r="S1941" i="24" s="1"/>
  <c r="U1941" i="24" s="1"/>
  <c r="U1940" i="24"/>
  <c r="T1940" i="24"/>
  <c r="O1940" i="24"/>
  <c r="N1940" i="24"/>
  <c r="P1940" i="24" s="1"/>
  <c r="H1940" i="24"/>
  <c r="U1939" i="24"/>
  <c r="T1939" i="24"/>
  <c r="O1939" i="24"/>
  <c r="N1939" i="24"/>
  <c r="P1939" i="24" s="1"/>
  <c r="H1939" i="24"/>
  <c r="U1938" i="24"/>
  <c r="T1938" i="24"/>
  <c r="O1938" i="24"/>
  <c r="N1938" i="24"/>
  <c r="P1938" i="24" s="1"/>
  <c r="H1938" i="24"/>
  <c r="R1937" i="24"/>
  <c r="O1937" i="24"/>
  <c r="N1937" i="24"/>
  <c r="U1936" i="24"/>
  <c r="T1936" i="24"/>
  <c r="O1936" i="24"/>
  <c r="N1936" i="24"/>
  <c r="P1936" i="24" s="1"/>
  <c r="H1936" i="24"/>
  <c r="U1935" i="24"/>
  <c r="T1935" i="24"/>
  <c r="O1935" i="24"/>
  <c r="N1935" i="24"/>
  <c r="P1935" i="24" s="1"/>
  <c r="H1935" i="24"/>
  <c r="U1934" i="24"/>
  <c r="T1934" i="24"/>
  <c r="O1934" i="24"/>
  <c r="N1934" i="24"/>
  <c r="P1934" i="24" s="1"/>
  <c r="H1934" i="24"/>
  <c r="R1933" i="24"/>
  <c r="O1933" i="24"/>
  <c r="N1933" i="24"/>
  <c r="S1933" i="24" s="1"/>
  <c r="U1932" i="24"/>
  <c r="T1932" i="24"/>
  <c r="O1932" i="24"/>
  <c r="N1932" i="24"/>
  <c r="P1932" i="24" s="1"/>
  <c r="H1932" i="24"/>
  <c r="U1931" i="24"/>
  <c r="T1931" i="24"/>
  <c r="O1931" i="24"/>
  <c r="N1931" i="24"/>
  <c r="P1931" i="24" s="1"/>
  <c r="H1931" i="24"/>
  <c r="U1930" i="24"/>
  <c r="T1930" i="24"/>
  <c r="O1930" i="24"/>
  <c r="N1930" i="24"/>
  <c r="P1930" i="24" s="1"/>
  <c r="H1930" i="24"/>
  <c r="R1929" i="24"/>
  <c r="O1929" i="24"/>
  <c r="N1929" i="24"/>
  <c r="P1929" i="24" s="1"/>
  <c r="H1929" i="24"/>
  <c r="J1929" i="24" s="1"/>
  <c r="U1928" i="24"/>
  <c r="T1928" i="24"/>
  <c r="O1928" i="24"/>
  <c r="N1928" i="24"/>
  <c r="P1928" i="24" s="1"/>
  <c r="H1928" i="24"/>
  <c r="U1927" i="24"/>
  <c r="T1927" i="24"/>
  <c r="O1927" i="24"/>
  <c r="N1927" i="24"/>
  <c r="P1927" i="24" s="1"/>
  <c r="H1927" i="24"/>
  <c r="U1926" i="24"/>
  <c r="T1926" i="24"/>
  <c r="O1926" i="24"/>
  <c r="N1926" i="24"/>
  <c r="P1926" i="24" s="1"/>
  <c r="H1926" i="24"/>
  <c r="R1925" i="24"/>
  <c r="O1925" i="24"/>
  <c r="N1925" i="24"/>
  <c r="S1925" i="24" s="1"/>
  <c r="U1924" i="24"/>
  <c r="T1924" i="24"/>
  <c r="O1924" i="24"/>
  <c r="N1924" i="24"/>
  <c r="P1924" i="24" s="1"/>
  <c r="H1924" i="24"/>
  <c r="U1923" i="24"/>
  <c r="T1923" i="24"/>
  <c r="O1923" i="24"/>
  <c r="N1923" i="24"/>
  <c r="P1923" i="24" s="1"/>
  <c r="H1923" i="24"/>
  <c r="U1922" i="24"/>
  <c r="T1922" i="24"/>
  <c r="O1922" i="24"/>
  <c r="N1922" i="24"/>
  <c r="P1922" i="24" s="1"/>
  <c r="H1922" i="24"/>
  <c r="R1921" i="24"/>
  <c r="O1921" i="24"/>
  <c r="N1921" i="24"/>
  <c r="S1921" i="24" s="1"/>
  <c r="U1920" i="24"/>
  <c r="T1920" i="24"/>
  <c r="O1920" i="24"/>
  <c r="N1920" i="24"/>
  <c r="P1920" i="24" s="1"/>
  <c r="H1920" i="24"/>
  <c r="U1919" i="24"/>
  <c r="T1919" i="24"/>
  <c r="O1919" i="24"/>
  <c r="N1919" i="24"/>
  <c r="P1919" i="24" s="1"/>
  <c r="H1919" i="24"/>
  <c r="U1918" i="24"/>
  <c r="T1918" i="24"/>
  <c r="O1918" i="24"/>
  <c r="N1918" i="24"/>
  <c r="P1918" i="24" s="1"/>
  <c r="H1918" i="24"/>
  <c r="R1917" i="24"/>
  <c r="O1917" i="24"/>
  <c r="N1917" i="24"/>
  <c r="U1916" i="24"/>
  <c r="T1916" i="24"/>
  <c r="O1916" i="24"/>
  <c r="N1916" i="24"/>
  <c r="P1916" i="24" s="1"/>
  <c r="H1916" i="24"/>
  <c r="U1915" i="24"/>
  <c r="T1915" i="24"/>
  <c r="O1915" i="24"/>
  <c r="N1915" i="24"/>
  <c r="P1915" i="24" s="1"/>
  <c r="H1915" i="24"/>
  <c r="H1913" i="24" s="1"/>
  <c r="J1913" i="24" s="1"/>
  <c r="U1914" i="24"/>
  <c r="T1914" i="24"/>
  <c r="O1914" i="24"/>
  <c r="N1914" i="24"/>
  <c r="P1914" i="24" s="1"/>
  <c r="H1914" i="24"/>
  <c r="R1913" i="24"/>
  <c r="O1913" i="24"/>
  <c r="N1913" i="24"/>
  <c r="P1913" i="24" s="1"/>
  <c r="U1912" i="24"/>
  <c r="T1912" i="24"/>
  <c r="O1912" i="24"/>
  <c r="N1912" i="24"/>
  <c r="P1912" i="24" s="1"/>
  <c r="H1912" i="24"/>
  <c r="U1911" i="24"/>
  <c r="T1911" i="24"/>
  <c r="O1911" i="24"/>
  <c r="N1911" i="24"/>
  <c r="P1911" i="24" s="1"/>
  <c r="H1911" i="24"/>
  <c r="U1910" i="24"/>
  <c r="T1910" i="24"/>
  <c r="O1910" i="24"/>
  <c r="N1910" i="24"/>
  <c r="P1910" i="24" s="1"/>
  <c r="H1910" i="24"/>
  <c r="H1909" i="24" s="1"/>
  <c r="J1909" i="24" s="1"/>
  <c r="R1909" i="24"/>
  <c r="O1909" i="24"/>
  <c r="N1909" i="24"/>
  <c r="P1909" i="24" s="1"/>
  <c r="U1908" i="24"/>
  <c r="T1908" i="24"/>
  <c r="O1908" i="24"/>
  <c r="N1908" i="24"/>
  <c r="P1908" i="24" s="1"/>
  <c r="H1908" i="24"/>
  <c r="U1907" i="24"/>
  <c r="T1907" i="24"/>
  <c r="O1907" i="24"/>
  <c r="N1907" i="24"/>
  <c r="P1907" i="24" s="1"/>
  <c r="H1907" i="24"/>
  <c r="U1906" i="24"/>
  <c r="T1906" i="24"/>
  <c r="O1906" i="24"/>
  <c r="N1906" i="24"/>
  <c r="P1906" i="24" s="1"/>
  <c r="H1906" i="24"/>
  <c r="U1905" i="24"/>
  <c r="T1905" i="24"/>
  <c r="O1905" i="24"/>
  <c r="N1905" i="24"/>
  <c r="P1905" i="24" s="1"/>
  <c r="H1905" i="24"/>
  <c r="R1904" i="24"/>
  <c r="O1904" i="24"/>
  <c r="N1904" i="24"/>
  <c r="P1904" i="24" s="1"/>
  <c r="U1903" i="24"/>
  <c r="T1903" i="24"/>
  <c r="O1903" i="24"/>
  <c r="N1903" i="24"/>
  <c r="P1903" i="24" s="1"/>
  <c r="H1903" i="24"/>
  <c r="U1902" i="24"/>
  <c r="T1902" i="24"/>
  <c r="O1902" i="24"/>
  <c r="N1902" i="24"/>
  <c r="P1902" i="24" s="1"/>
  <c r="H1902" i="24"/>
  <c r="U1901" i="24"/>
  <c r="T1901" i="24"/>
  <c r="O1901" i="24"/>
  <c r="N1901" i="24"/>
  <c r="P1901" i="24" s="1"/>
  <c r="H1901" i="24"/>
  <c r="R1900" i="24"/>
  <c r="O1900" i="24"/>
  <c r="N1900" i="24"/>
  <c r="P1900" i="24" s="1"/>
  <c r="U1899" i="24"/>
  <c r="T1899" i="24"/>
  <c r="O1899" i="24"/>
  <c r="N1899" i="24"/>
  <c r="P1899" i="24" s="1"/>
  <c r="H1899" i="24"/>
  <c r="U1898" i="24"/>
  <c r="T1898" i="24"/>
  <c r="O1898" i="24"/>
  <c r="N1898" i="24"/>
  <c r="P1898" i="24" s="1"/>
  <c r="H1898" i="24"/>
  <c r="U1897" i="24"/>
  <c r="T1897" i="24"/>
  <c r="O1897" i="24"/>
  <c r="N1897" i="24"/>
  <c r="P1897" i="24" s="1"/>
  <c r="H1897" i="24"/>
  <c r="R1896" i="24"/>
  <c r="O1896" i="24"/>
  <c r="N1896" i="24"/>
  <c r="S1896" i="24" s="1"/>
  <c r="U1895" i="24"/>
  <c r="T1895" i="24"/>
  <c r="O1895" i="24"/>
  <c r="N1895" i="24"/>
  <c r="P1895" i="24" s="1"/>
  <c r="H1895" i="24"/>
  <c r="U1894" i="24"/>
  <c r="T1894" i="24"/>
  <c r="O1894" i="24"/>
  <c r="N1894" i="24"/>
  <c r="P1894" i="24" s="1"/>
  <c r="H1894" i="24"/>
  <c r="U1893" i="24"/>
  <c r="T1893" i="24"/>
  <c r="O1893" i="24"/>
  <c r="N1893" i="24"/>
  <c r="P1893" i="24" s="1"/>
  <c r="H1893" i="24"/>
  <c r="R1892" i="24"/>
  <c r="O1892" i="24"/>
  <c r="N1892" i="24"/>
  <c r="P1892" i="24" s="1"/>
  <c r="U1891" i="24"/>
  <c r="T1891" i="24"/>
  <c r="O1891" i="24"/>
  <c r="N1891" i="24"/>
  <c r="P1891" i="24" s="1"/>
  <c r="H1891" i="24"/>
  <c r="U1890" i="24"/>
  <c r="T1890" i="24"/>
  <c r="O1890" i="24"/>
  <c r="N1890" i="24"/>
  <c r="P1890" i="24" s="1"/>
  <c r="H1890" i="24"/>
  <c r="U1889" i="24"/>
  <c r="T1889" i="24"/>
  <c r="O1889" i="24"/>
  <c r="N1889" i="24"/>
  <c r="P1889" i="24" s="1"/>
  <c r="H1889" i="24"/>
  <c r="R1888" i="24"/>
  <c r="O1888" i="24"/>
  <c r="N1888" i="24"/>
  <c r="P1888" i="24" s="1"/>
  <c r="H1888" i="24"/>
  <c r="J1888" i="24" s="1"/>
  <c r="U1887" i="24"/>
  <c r="T1887" i="24"/>
  <c r="O1887" i="24"/>
  <c r="N1887" i="24"/>
  <c r="P1887" i="24" s="1"/>
  <c r="H1887" i="24"/>
  <c r="U1886" i="24"/>
  <c r="T1886" i="24"/>
  <c r="O1886" i="24"/>
  <c r="N1886" i="24"/>
  <c r="P1886" i="24" s="1"/>
  <c r="H1886" i="24"/>
  <c r="U1885" i="24"/>
  <c r="T1885" i="24"/>
  <c r="O1885" i="24"/>
  <c r="N1885" i="24"/>
  <c r="P1885" i="24" s="1"/>
  <c r="H1885" i="24"/>
  <c r="R1884" i="24"/>
  <c r="O1884" i="24"/>
  <c r="N1884" i="24"/>
  <c r="S1884" i="24" s="1"/>
  <c r="U1883" i="24"/>
  <c r="T1883" i="24"/>
  <c r="O1883" i="24"/>
  <c r="N1883" i="24"/>
  <c r="P1883" i="24" s="1"/>
  <c r="H1883" i="24"/>
  <c r="U1882" i="24"/>
  <c r="T1882" i="24"/>
  <c r="O1882" i="24"/>
  <c r="N1882" i="24"/>
  <c r="P1882" i="24" s="1"/>
  <c r="H1882" i="24"/>
  <c r="U1881" i="24"/>
  <c r="T1881" i="24"/>
  <c r="O1881" i="24"/>
  <c r="N1881" i="24"/>
  <c r="P1881" i="24" s="1"/>
  <c r="H1881" i="24"/>
  <c r="R1880" i="24"/>
  <c r="O1880" i="24"/>
  <c r="N1880" i="24"/>
  <c r="S1880" i="24" s="1"/>
  <c r="U1879" i="24"/>
  <c r="T1879" i="24"/>
  <c r="O1879" i="24"/>
  <c r="N1879" i="24"/>
  <c r="P1879" i="24" s="1"/>
  <c r="H1879" i="24"/>
  <c r="U1878" i="24"/>
  <c r="T1878" i="24"/>
  <c r="O1878" i="24"/>
  <c r="N1878" i="24"/>
  <c r="P1878" i="24" s="1"/>
  <c r="H1878" i="24"/>
  <c r="U1877" i="24"/>
  <c r="T1877" i="24"/>
  <c r="O1877" i="24"/>
  <c r="N1877" i="24"/>
  <c r="P1877" i="24" s="1"/>
  <c r="H1877" i="24"/>
  <c r="R1876" i="24"/>
  <c r="O1876" i="24"/>
  <c r="N1876" i="24"/>
  <c r="U1875" i="24"/>
  <c r="T1875" i="24"/>
  <c r="O1875" i="24"/>
  <c r="N1875" i="24"/>
  <c r="P1875" i="24" s="1"/>
  <c r="K1875" i="24"/>
  <c r="H1875" i="24"/>
  <c r="U1874" i="24"/>
  <c r="T1874" i="24"/>
  <c r="O1874" i="24"/>
  <c r="N1874" i="24"/>
  <c r="P1874" i="24" s="1"/>
  <c r="K1874" i="24"/>
  <c r="H1874" i="24"/>
  <c r="U1873" i="24"/>
  <c r="T1873" i="24"/>
  <c r="O1873" i="24"/>
  <c r="N1873" i="24"/>
  <c r="P1873" i="24" s="1"/>
  <c r="K1873" i="24"/>
  <c r="H1873" i="24"/>
  <c r="H1872" i="24" s="1"/>
  <c r="J1872" i="24" s="1"/>
  <c r="R1872" i="24"/>
  <c r="O1872" i="24"/>
  <c r="N1872" i="24"/>
  <c r="S1872" i="24" s="1"/>
  <c r="U1871" i="24"/>
  <c r="T1871" i="24"/>
  <c r="O1871" i="24"/>
  <c r="N1871" i="24"/>
  <c r="P1871" i="24" s="1"/>
  <c r="K1871" i="24"/>
  <c r="H1871" i="24"/>
  <c r="U1870" i="24"/>
  <c r="T1870" i="24"/>
  <c r="O1870" i="24"/>
  <c r="N1870" i="24"/>
  <c r="P1870" i="24" s="1"/>
  <c r="K1870" i="24"/>
  <c r="H1870" i="24"/>
  <c r="U1869" i="24"/>
  <c r="T1869" i="24"/>
  <c r="O1869" i="24"/>
  <c r="N1869" i="24"/>
  <c r="P1869" i="24" s="1"/>
  <c r="K1869" i="24"/>
  <c r="H1869" i="24"/>
  <c r="R1868" i="24"/>
  <c r="O1868" i="24"/>
  <c r="N1868" i="24"/>
  <c r="S1868" i="24" s="1"/>
  <c r="U1867" i="24"/>
  <c r="T1867" i="24"/>
  <c r="O1867" i="24"/>
  <c r="N1867" i="24"/>
  <c r="P1867" i="24" s="1"/>
  <c r="K1867" i="24"/>
  <c r="H1867" i="24"/>
  <c r="U1866" i="24"/>
  <c r="T1866" i="24"/>
  <c r="O1866" i="24"/>
  <c r="N1866" i="24"/>
  <c r="P1866" i="24" s="1"/>
  <c r="K1866" i="24"/>
  <c r="H1866" i="24"/>
  <c r="U1865" i="24"/>
  <c r="T1865" i="24"/>
  <c r="O1865" i="24"/>
  <c r="N1865" i="24"/>
  <c r="P1865" i="24" s="1"/>
  <c r="K1865" i="24"/>
  <c r="H1865" i="24"/>
  <c r="R1864" i="24"/>
  <c r="O1864" i="24"/>
  <c r="N1864" i="24"/>
  <c r="U1863" i="24"/>
  <c r="T1863" i="24"/>
  <c r="O1863" i="24"/>
  <c r="N1863" i="24"/>
  <c r="P1863" i="24" s="1"/>
  <c r="K1863" i="24"/>
  <c r="H1863" i="24"/>
  <c r="U1862" i="24"/>
  <c r="T1862" i="24"/>
  <c r="O1862" i="24"/>
  <c r="N1862" i="24"/>
  <c r="P1862" i="24" s="1"/>
  <c r="K1862" i="24"/>
  <c r="H1862" i="24"/>
  <c r="U1861" i="24"/>
  <c r="T1861" i="24"/>
  <c r="O1861" i="24"/>
  <c r="N1861" i="24"/>
  <c r="P1861" i="24" s="1"/>
  <c r="K1861" i="24"/>
  <c r="H1861" i="24"/>
  <c r="R1860" i="24"/>
  <c r="O1860" i="24"/>
  <c r="N1860" i="24"/>
  <c r="P1860" i="24" s="1"/>
  <c r="U1859" i="24"/>
  <c r="T1859" i="24"/>
  <c r="O1859" i="24"/>
  <c r="N1859" i="24"/>
  <c r="P1859" i="24" s="1"/>
  <c r="K1859" i="24"/>
  <c r="H1859" i="24"/>
  <c r="U1858" i="24"/>
  <c r="T1858" i="24"/>
  <c r="O1858" i="24"/>
  <c r="N1858" i="24"/>
  <c r="P1858" i="24" s="1"/>
  <c r="K1858" i="24"/>
  <c r="H1858" i="24"/>
  <c r="U1857" i="24"/>
  <c r="T1857" i="24"/>
  <c r="O1857" i="24"/>
  <c r="N1857" i="24"/>
  <c r="P1857" i="24" s="1"/>
  <c r="K1857" i="24"/>
  <c r="H1857" i="24"/>
  <c r="H1856" i="24" s="1"/>
  <c r="R1856" i="24"/>
  <c r="O1856" i="24"/>
  <c r="N1856" i="24"/>
  <c r="P1856" i="24" s="1"/>
  <c r="J1856" i="24"/>
  <c r="U1855" i="24"/>
  <c r="T1855" i="24"/>
  <c r="O1855" i="24"/>
  <c r="N1855" i="24"/>
  <c r="P1855" i="24" s="1"/>
  <c r="K1855" i="24"/>
  <c r="H1855" i="24"/>
  <c r="U1854" i="24"/>
  <c r="T1854" i="24"/>
  <c r="O1854" i="24"/>
  <c r="N1854" i="24"/>
  <c r="P1854" i="24" s="1"/>
  <c r="K1854" i="24"/>
  <c r="H1854" i="24"/>
  <c r="H1853" i="24" s="1"/>
  <c r="J1853" i="24" s="1"/>
  <c r="R1853" i="24"/>
  <c r="O1853" i="24"/>
  <c r="N1853" i="24"/>
  <c r="S1853" i="24" s="1"/>
  <c r="U1853" i="24" s="1"/>
  <c r="U1852" i="24"/>
  <c r="T1852" i="24"/>
  <c r="O1852" i="24"/>
  <c r="N1852" i="24"/>
  <c r="P1852" i="24" s="1"/>
  <c r="K1852" i="24"/>
  <c r="H1852" i="24"/>
  <c r="U1851" i="24"/>
  <c r="T1851" i="24"/>
  <c r="O1851" i="24"/>
  <c r="N1851" i="24"/>
  <c r="P1851" i="24" s="1"/>
  <c r="K1851" i="24"/>
  <c r="H1851" i="24"/>
  <c r="H1850" i="24" s="1"/>
  <c r="J1850" i="24" s="1"/>
  <c r="R1850" i="24"/>
  <c r="O1850" i="24"/>
  <c r="N1850" i="24"/>
  <c r="P1850" i="24" s="1"/>
  <c r="U1849" i="24"/>
  <c r="T1849" i="24"/>
  <c r="O1849" i="24"/>
  <c r="N1849" i="24"/>
  <c r="P1849" i="24" s="1"/>
  <c r="K1849" i="24"/>
  <c r="H1849" i="24"/>
  <c r="U1848" i="24"/>
  <c r="T1848" i="24"/>
  <c r="O1848" i="24"/>
  <c r="N1848" i="24"/>
  <c r="P1848" i="24" s="1"/>
  <c r="K1848" i="24"/>
  <c r="H1848" i="24"/>
  <c r="H1847" i="24" s="1"/>
  <c r="J1847" i="24" s="1"/>
  <c r="R1847" i="24"/>
  <c r="O1847" i="24"/>
  <c r="N1847" i="24"/>
  <c r="P1847" i="24" s="1"/>
  <c r="R1846" i="24"/>
  <c r="O1846" i="24"/>
  <c r="N1846" i="24"/>
  <c r="S1846" i="24" s="1"/>
  <c r="H1846" i="24"/>
  <c r="J1846" i="24" s="1"/>
  <c r="R1845" i="24"/>
  <c r="O1845" i="24"/>
  <c r="N1845" i="24"/>
  <c r="S1845" i="24" s="1"/>
  <c r="U1845" i="24" s="1"/>
  <c r="Z1845" i="24" s="1"/>
  <c r="H1845" i="24"/>
  <c r="J1845" i="24" s="1"/>
  <c r="U1844" i="24"/>
  <c r="T1844" i="24"/>
  <c r="O1844" i="24"/>
  <c r="N1844" i="24"/>
  <c r="P1844" i="24" s="1"/>
  <c r="H1844" i="24"/>
  <c r="U1843" i="24"/>
  <c r="T1843" i="24"/>
  <c r="O1843" i="24"/>
  <c r="N1843" i="24"/>
  <c r="P1843" i="24" s="1"/>
  <c r="H1843" i="24"/>
  <c r="U1842" i="24"/>
  <c r="T1842" i="24"/>
  <c r="O1842" i="24"/>
  <c r="N1842" i="24"/>
  <c r="P1842" i="24" s="1"/>
  <c r="H1842" i="24"/>
  <c r="R1841" i="24"/>
  <c r="O1841" i="24"/>
  <c r="N1841" i="24"/>
  <c r="S1841" i="24" s="1"/>
  <c r="R1840" i="24"/>
  <c r="O1840" i="24"/>
  <c r="N1840" i="24"/>
  <c r="P1840" i="24" s="1"/>
  <c r="H1840" i="24"/>
  <c r="J1840" i="24" s="1"/>
  <c r="R1839" i="24"/>
  <c r="O1839" i="24"/>
  <c r="N1839" i="24"/>
  <c r="S1839" i="24" s="1"/>
  <c r="J1839" i="24"/>
  <c r="H1839" i="24"/>
  <c r="R1838" i="24"/>
  <c r="O1838" i="24"/>
  <c r="N1838" i="24"/>
  <c r="P1838" i="24" s="1"/>
  <c r="H1838" i="24"/>
  <c r="J1838" i="24" s="1"/>
  <c r="R1837" i="24"/>
  <c r="O1837" i="24"/>
  <c r="N1837" i="24"/>
  <c r="J1837" i="24"/>
  <c r="H1837" i="24"/>
  <c r="U1836" i="24"/>
  <c r="T1836" i="24"/>
  <c r="O1836" i="24"/>
  <c r="N1836" i="24"/>
  <c r="P1836" i="24" s="1"/>
  <c r="K1836" i="24"/>
  <c r="H1836" i="24"/>
  <c r="U1835" i="24"/>
  <c r="T1835" i="24"/>
  <c r="O1835" i="24"/>
  <c r="N1835" i="24"/>
  <c r="P1835" i="24" s="1"/>
  <c r="K1835" i="24"/>
  <c r="H1835" i="24"/>
  <c r="U1834" i="24"/>
  <c r="T1834" i="24"/>
  <c r="O1834" i="24"/>
  <c r="N1834" i="24"/>
  <c r="P1834" i="24" s="1"/>
  <c r="K1834" i="24"/>
  <c r="H1834" i="24"/>
  <c r="R1833" i="24"/>
  <c r="O1833" i="24"/>
  <c r="N1833" i="24"/>
  <c r="S1833" i="24" s="1"/>
  <c r="R1832" i="24"/>
  <c r="O1832" i="24"/>
  <c r="N1832" i="24"/>
  <c r="P1832" i="24" s="1"/>
  <c r="J1832" i="24"/>
  <c r="H1832" i="24"/>
  <c r="R1831" i="24"/>
  <c r="O1831" i="24"/>
  <c r="N1831" i="24"/>
  <c r="P1831" i="24" s="1"/>
  <c r="H1831" i="24"/>
  <c r="J1831" i="24" s="1"/>
  <c r="R1830" i="24"/>
  <c r="O1830" i="24"/>
  <c r="N1830" i="24"/>
  <c r="S1830" i="24" s="1"/>
  <c r="J1830" i="24"/>
  <c r="H1830" i="24"/>
  <c r="R1829" i="24"/>
  <c r="O1829" i="24"/>
  <c r="N1829" i="24"/>
  <c r="H1829" i="24"/>
  <c r="J1829" i="24" s="1"/>
  <c r="R1828" i="24"/>
  <c r="O1828" i="24"/>
  <c r="N1828" i="24"/>
  <c r="S1828" i="24" s="1"/>
  <c r="H1828" i="24"/>
  <c r="J1828" i="24" s="1"/>
  <c r="R1827" i="24"/>
  <c r="O1827" i="24"/>
  <c r="N1827" i="24"/>
  <c r="S1827" i="24" s="1"/>
  <c r="J1827" i="24"/>
  <c r="R1826" i="24"/>
  <c r="O1826" i="24"/>
  <c r="N1826" i="24"/>
  <c r="P1826" i="24" s="1"/>
  <c r="J1826" i="24"/>
  <c r="R1825" i="24"/>
  <c r="O1825" i="24"/>
  <c r="N1825" i="24"/>
  <c r="S1825" i="24" s="1"/>
  <c r="J1825" i="24"/>
  <c r="R1824" i="24"/>
  <c r="O1824" i="24"/>
  <c r="N1824" i="24"/>
  <c r="P1824" i="24" s="1"/>
  <c r="J1824" i="24"/>
  <c r="R1823" i="24"/>
  <c r="O1823" i="24"/>
  <c r="N1823" i="24"/>
  <c r="S1823" i="24" s="1"/>
  <c r="J1823" i="24"/>
  <c r="U1822" i="24"/>
  <c r="T1822" i="24"/>
  <c r="O1822" i="24"/>
  <c r="N1822" i="24"/>
  <c r="P1822" i="24" s="1"/>
  <c r="K1822" i="24"/>
  <c r="H1822" i="24"/>
  <c r="U1821" i="24"/>
  <c r="T1821" i="24"/>
  <c r="O1821" i="24"/>
  <c r="N1821" i="24"/>
  <c r="P1821" i="24" s="1"/>
  <c r="K1821" i="24"/>
  <c r="H1821" i="24"/>
  <c r="H1820" i="24" s="1"/>
  <c r="J1820" i="24" s="1"/>
  <c r="R1820" i="24"/>
  <c r="O1820" i="24"/>
  <c r="N1820" i="24"/>
  <c r="U1819" i="24"/>
  <c r="T1819" i="24"/>
  <c r="O1819" i="24"/>
  <c r="N1819" i="24"/>
  <c r="P1819" i="24" s="1"/>
  <c r="K1819" i="24"/>
  <c r="H1819" i="24"/>
  <c r="U1818" i="24"/>
  <c r="T1818" i="24"/>
  <c r="O1818" i="24"/>
  <c r="N1818" i="24"/>
  <c r="P1818" i="24" s="1"/>
  <c r="K1818" i="24"/>
  <c r="H1818" i="24"/>
  <c r="H1817" i="24" s="1"/>
  <c r="J1817" i="24" s="1"/>
  <c r="R1817" i="24"/>
  <c r="O1817" i="24"/>
  <c r="N1817" i="24"/>
  <c r="S1817" i="24" s="1"/>
  <c r="U1816" i="24"/>
  <c r="T1816" i="24"/>
  <c r="O1816" i="24"/>
  <c r="N1816" i="24"/>
  <c r="P1816" i="24" s="1"/>
  <c r="K1816" i="24"/>
  <c r="H1816" i="24"/>
  <c r="U1815" i="24"/>
  <c r="T1815" i="24"/>
  <c r="O1815" i="24"/>
  <c r="N1815" i="24"/>
  <c r="P1815" i="24" s="1"/>
  <c r="K1815" i="24"/>
  <c r="H1815" i="24"/>
  <c r="H1814" i="24" s="1"/>
  <c r="J1814" i="24" s="1"/>
  <c r="R1814" i="24"/>
  <c r="O1814" i="24"/>
  <c r="N1814" i="24"/>
  <c r="U1813" i="24"/>
  <c r="T1813" i="24"/>
  <c r="O1813" i="24"/>
  <c r="N1813" i="24"/>
  <c r="P1813" i="24" s="1"/>
  <c r="K1813" i="24"/>
  <c r="H1813" i="24"/>
  <c r="U1812" i="24"/>
  <c r="T1812" i="24"/>
  <c r="O1812" i="24"/>
  <c r="N1812" i="24"/>
  <c r="P1812" i="24" s="1"/>
  <c r="K1812" i="24"/>
  <c r="H1812" i="24"/>
  <c r="H1811" i="24" s="1"/>
  <c r="J1811" i="24" s="1"/>
  <c r="R1811" i="24"/>
  <c r="O1811" i="24"/>
  <c r="N1811" i="24"/>
  <c r="U1810" i="24"/>
  <c r="T1810" i="24"/>
  <c r="O1810" i="24"/>
  <c r="N1810" i="24"/>
  <c r="P1810" i="24" s="1"/>
  <c r="K1810" i="24"/>
  <c r="H1810" i="24"/>
  <c r="U1809" i="24"/>
  <c r="T1809" i="24"/>
  <c r="O1809" i="24"/>
  <c r="N1809" i="24"/>
  <c r="P1809" i="24" s="1"/>
  <c r="K1809" i="24"/>
  <c r="H1809" i="24"/>
  <c r="H1808" i="24" s="1"/>
  <c r="J1808" i="24" s="1"/>
  <c r="R1808" i="24"/>
  <c r="O1808" i="24"/>
  <c r="N1808" i="24"/>
  <c r="U1807" i="24"/>
  <c r="T1807" i="24"/>
  <c r="O1807" i="24"/>
  <c r="N1807" i="24"/>
  <c r="P1807" i="24" s="1"/>
  <c r="K1807" i="24"/>
  <c r="H1807" i="24"/>
  <c r="U1806" i="24"/>
  <c r="T1806" i="24"/>
  <c r="O1806" i="24"/>
  <c r="N1806" i="24"/>
  <c r="P1806" i="24" s="1"/>
  <c r="K1806" i="24"/>
  <c r="H1806" i="24"/>
  <c r="H1805" i="24" s="1"/>
  <c r="J1805" i="24" s="1"/>
  <c r="R1805" i="24"/>
  <c r="O1805" i="24"/>
  <c r="N1805" i="24"/>
  <c r="S1805" i="24" s="1"/>
  <c r="U1804" i="24"/>
  <c r="T1804" i="24"/>
  <c r="O1804" i="24"/>
  <c r="N1804" i="24"/>
  <c r="P1804" i="24" s="1"/>
  <c r="K1804" i="24"/>
  <c r="H1804" i="24"/>
  <c r="U1803" i="24"/>
  <c r="T1803" i="24"/>
  <c r="O1803" i="24"/>
  <c r="N1803" i="24"/>
  <c r="P1803" i="24" s="1"/>
  <c r="K1803" i="24"/>
  <c r="H1803" i="24"/>
  <c r="R1802" i="24"/>
  <c r="O1802" i="24"/>
  <c r="N1802" i="24"/>
  <c r="P1802" i="24" s="1"/>
  <c r="H1802" i="24"/>
  <c r="J1802" i="24" s="1"/>
  <c r="R1801" i="24"/>
  <c r="O1801" i="24"/>
  <c r="N1801" i="24"/>
  <c r="S1801" i="24" s="1"/>
  <c r="J1801" i="24"/>
  <c r="H1801" i="24"/>
  <c r="R1800" i="24"/>
  <c r="O1800" i="24"/>
  <c r="N1800" i="24"/>
  <c r="H1800" i="24"/>
  <c r="J1800" i="24" s="1"/>
  <c r="R1799" i="24"/>
  <c r="O1799" i="24"/>
  <c r="N1799" i="24"/>
  <c r="P1799" i="24" s="1"/>
  <c r="H1799" i="24"/>
  <c r="J1799" i="24" s="1"/>
  <c r="R1798" i="24"/>
  <c r="O1798" i="24"/>
  <c r="N1798" i="24"/>
  <c r="H1798" i="24"/>
  <c r="J1798" i="24" s="1"/>
  <c r="R1797" i="24"/>
  <c r="O1797" i="24"/>
  <c r="N1797" i="24"/>
  <c r="S1797" i="24" s="1"/>
  <c r="J1797" i="24"/>
  <c r="H1797" i="24"/>
  <c r="R1796" i="24"/>
  <c r="O1796" i="24"/>
  <c r="N1796" i="24"/>
  <c r="P1796" i="24" s="1"/>
  <c r="H1796" i="24"/>
  <c r="J1796" i="24" s="1"/>
  <c r="R1795" i="24"/>
  <c r="O1795" i="24"/>
  <c r="N1795" i="24"/>
  <c r="H1795" i="24"/>
  <c r="J1795" i="24" s="1"/>
  <c r="R1794" i="24"/>
  <c r="O1794" i="24"/>
  <c r="N1794" i="24"/>
  <c r="P1794" i="24" s="1"/>
  <c r="H1794" i="24"/>
  <c r="J1794" i="24" s="1"/>
  <c r="R1793" i="24"/>
  <c r="O1793" i="24"/>
  <c r="N1793" i="24"/>
  <c r="J1793" i="24"/>
  <c r="H1793" i="24"/>
  <c r="R1792" i="24"/>
  <c r="O1792" i="24"/>
  <c r="N1792" i="24"/>
  <c r="H1792" i="24"/>
  <c r="J1792" i="24" s="1"/>
  <c r="R1791" i="24"/>
  <c r="O1791" i="24"/>
  <c r="N1791" i="24"/>
  <c r="P1791" i="24" s="1"/>
  <c r="H1791" i="24"/>
  <c r="J1791" i="24" s="1"/>
  <c r="R1790" i="24"/>
  <c r="O1790" i="24"/>
  <c r="N1790" i="24"/>
  <c r="H1790" i="24"/>
  <c r="J1790" i="24" s="1"/>
  <c r="R1789" i="24"/>
  <c r="O1789" i="24"/>
  <c r="N1789" i="24"/>
  <c r="J1789" i="24"/>
  <c r="H1789" i="24"/>
  <c r="R1788" i="24"/>
  <c r="O1788" i="24"/>
  <c r="N1788" i="24"/>
  <c r="P1788" i="24" s="1"/>
  <c r="H1788" i="24"/>
  <c r="J1788" i="24" s="1"/>
  <c r="R1787" i="24"/>
  <c r="O1787" i="24"/>
  <c r="N1787" i="24"/>
  <c r="H1787" i="24"/>
  <c r="J1787" i="24" s="1"/>
  <c r="R1786" i="24"/>
  <c r="O1786" i="24"/>
  <c r="N1786" i="24"/>
  <c r="P1786" i="24" s="1"/>
  <c r="H1786" i="24"/>
  <c r="J1786" i="24" s="1"/>
  <c r="U1785" i="24"/>
  <c r="T1785" i="24"/>
  <c r="P1785" i="24"/>
  <c r="O1785" i="24"/>
  <c r="R1784" i="24"/>
  <c r="O1784" i="24"/>
  <c r="N1784" i="24"/>
  <c r="K1784" i="24"/>
  <c r="T1784" i="24" s="1"/>
  <c r="R1783" i="24"/>
  <c r="O1783" i="24"/>
  <c r="N1783" i="24"/>
  <c r="K1783" i="24"/>
  <c r="R1782" i="24"/>
  <c r="O1782" i="24"/>
  <c r="N1782" i="24"/>
  <c r="P1782" i="24" s="1"/>
  <c r="K1782" i="24"/>
  <c r="R1781" i="24"/>
  <c r="O1781" i="24"/>
  <c r="N1781" i="24"/>
  <c r="P1781" i="24" s="1"/>
  <c r="K1781" i="24"/>
  <c r="T1781" i="24" s="1"/>
  <c r="R1780" i="24"/>
  <c r="O1780" i="24"/>
  <c r="N1780" i="24"/>
  <c r="S1780" i="24" s="1"/>
  <c r="K1780" i="24"/>
  <c r="R1779" i="24"/>
  <c r="O1779" i="24"/>
  <c r="N1779" i="24"/>
  <c r="S1779" i="24" s="1"/>
  <c r="K1779" i="24"/>
  <c r="T1779" i="24" s="1"/>
  <c r="R1778" i="24"/>
  <c r="O1778" i="24"/>
  <c r="N1778" i="24"/>
  <c r="S1778" i="24" s="1"/>
  <c r="K1778" i="24"/>
  <c r="T1778" i="24" s="1"/>
  <c r="R1777" i="24"/>
  <c r="O1777" i="24"/>
  <c r="N1777" i="24"/>
  <c r="S1777" i="24" s="1"/>
  <c r="K1777" i="24"/>
  <c r="T1777" i="24" s="1"/>
  <c r="R1776" i="24"/>
  <c r="O1776" i="24"/>
  <c r="N1776" i="24"/>
  <c r="S1776" i="24" s="1"/>
  <c r="K1776" i="24"/>
  <c r="T1776" i="24" s="1"/>
  <c r="R1775" i="24"/>
  <c r="O1775" i="24"/>
  <c r="N1775" i="24"/>
  <c r="S1775" i="24" s="1"/>
  <c r="K1775" i="24"/>
  <c r="R1774" i="24"/>
  <c r="O1774" i="24"/>
  <c r="N1774" i="24"/>
  <c r="S1774" i="24" s="1"/>
  <c r="K1774" i="24"/>
  <c r="T1774" i="24" s="1"/>
  <c r="R1773" i="24"/>
  <c r="O1773" i="24"/>
  <c r="N1773" i="24"/>
  <c r="K1773" i="24"/>
  <c r="R1772" i="24"/>
  <c r="O1772" i="24"/>
  <c r="N1772" i="24"/>
  <c r="K1772" i="24"/>
  <c r="R1771" i="24"/>
  <c r="O1771" i="24"/>
  <c r="N1771" i="24"/>
  <c r="S1771" i="24" s="1"/>
  <c r="K1771" i="24"/>
  <c r="R1770" i="24"/>
  <c r="O1770" i="24"/>
  <c r="N1770" i="24"/>
  <c r="S1770" i="24" s="1"/>
  <c r="K1770" i="24"/>
  <c r="T1770" i="24" s="1"/>
  <c r="R1769" i="24"/>
  <c r="O1769" i="24"/>
  <c r="N1769" i="24"/>
  <c r="K1769" i="24"/>
  <c r="R1768" i="24"/>
  <c r="O1768" i="24"/>
  <c r="N1768" i="24"/>
  <c r="K1768" i="24"/>
  <c r="R1767" i="24"/>
  <c r="O1767" i="24"/>
  <c r="N1767" i="24"/>
  <c r="K1767" i="24"/>
  <c r="T1767" i="24" s="1"/>
  <c r="R1766" i="24"/>
  <c r="O1766" i="24"/>
  <c r="N1766" i="24"/>
  <c r="S1766" i="24" s="1"/>
  <c r="K1766" i="24"/>
  <c r="T1766" i="24" s="1"/>
  <c r="R1765" i="24"/>
  <c r="O1765" i="24"/>
  <c r="N1765" i="24"/>
  <c r="P1765" i="24" s="1"/>
  <c r="K1765" i="24"/>
  <c r="T1765" i="24" s="1"/>
  <c r="R1764" i="24"/>
  <c r="O1764" i="24"/>
  <c r="N1764" i="24"/>
  <c r="S1764" i="24" s="1"/>
  <c r="K1764" i="24"/>
  <c r="R1763" i="24"/>
  <c r="O1763" i="24"/>
  <c r="N1763" i="24"/>
  <c r="P1763" i="24" s="1"/>
  <c r="K1763" i="24"/>
  <c r="T1763" i="24" s="1"/>
  <c r="R1762" i="24"/>
  <c r="O1762" i="24"/>
  <c r="N1762" i="24"/>
  <c r="P1762" i="24" s="1"/>
  <c r="K1762" i="24"/>
  <c r="T1762" i="24" s="1"/>
  <c r="R1761" i="24"/>
  <c r="O1761" i="24"/>
  <c r="N1761" i="24"/>
  <c r="P1761" i="24" s="1"/>
  <c r="K1761" i="24"/>
  <c r="T1761" i="24" s="1"/>
  <c r="R1760" i="24"/>
  <c r="O1760" i="24"/>
  <c r="N1760" i="24"/>
  <c r="S1760" i="24" s="1"/>
  <c r="K1760" i="24"/>
  <c r="R1759" i="24"/>
  <c r="O1759" i="24"/>
  <c r="N1759" i="24"/>
  <c r="S1759" i="24" s="1"/>
  <c r="U1759" i="24" s="1"/>
  <c r="Z1759" i="24" s="1"/>
  <c r="K1759" i="24"/>
  <c r="R1758" i="24"/>
  <c r="O1758" i="24"/>
  <c r="N1758" i="24"/>
  <c r="P1758" i="24" s="1"/>
  <c r="K1758" i="24"/>
  <c r="R1757" i="24"/>
  <c r="O1757" i="24"/>
  <c r="N1757" i="24"/>
  <c r="P1757" i="24" s="1"/>
  <c r="K1757" i="24"/>
  <c r="R1756" i="24"/>
  <c r="O1756" i="24"/>
  <c r="N1756" i="24"/>
  <c r="S1756" i="24" s="1"/>
  <c r="K1756" i="24"/>
  <c r="R1755" i="24"/>
  <c r="O1755" i="24"/>
  <c r="N1755" i="24"/>
  <c r="S1755" i="24" s="1"/>
  <c r="U1755" i="24" s="1"/>
  <c r="Y1755" i="24" s="1"/>
  <c r="K1755" i="24"/>
  <c r="T1755" i="24" s="1"/>
  <c r="R1754" i="24"/>
  <c r="O1754" i="24"/>
  <c r="N1754" i="24"/>
  <c r="P1754" i="24" s="1"/>
  <c r="K1754" i="24"/>
  <c r="T1754" i="24" s="1"/>
  <c r="R1753" i="24"/>
  <c r="O1753" i="24"/>
  <c r="N1753" i="24"/>
  <c r="S1753" i="24" s="1"/>
  <c r="K1753" i="24"/>
  <c r="U1752" i="24"/>
  <c r="T1752" i="24"/>
  <c r="O1752" i="24"/>
  <c r="N1752" i="24"/>
  <c r="P1752" i="24" s="1"/>
  <c r="R1751" i="24"/>
  <c r="O1751" i="24"/>
  <c r="N1751" i="24"/>
  <c r="J1751" i="24"/>
  <c r="R1750" i="24"/>
  <c r="O1750" i="24"/>
  <c r="N1750" i="24"/>
  <c r="P1750" i="24" s="1"/>
  <c r="J1750" i="24"/>
  <c r="R1749" i="24"/>
  <c r="O1749" i="24"/>
  <c r="N1749" i="24"/>
  <c r="J1749" i="24"/>
  <c r="R1748" i="24"/>
  <c r="O1748" i="24"/>
  <c r="N1748" i="24"/>
  <c r="S1748" i="24" s="1"/>
  <c r="H1748" i="24"/>
  <c r="J1748" i="24" s="1"/>
  <c r="R1747" i="24"/>
  <c r="O1747" i="24"/>
  <c r="N1747" i="24"/>
  <c r="S1747" i="24" s="1"/>
  <c r="J1747" i="24"/>
  <c r="R1746" i="24"/>
  <c r="O1746" i="24"/>
  <c r="N1746" i="24"/>
  <c r="J1746" i="24"/>
  <c r="R1745" i="24"/>
  <c r="O1745" i="24"/>
  <c r="N1745" i="24"/>
  <c r="P1745" i="24" s="1"/>
  <c r="J1745" i="24"/>
  <c r="R1744" i="24"/>
  <c r="O1744" i="24"/>
  <c r="N1744" i="24"/>
  <c r="J1744" i="24"/>
  <c r="R1743" i="24"/>
  <c r="O1743" i="24"/>
  <c r="N1743" i="24"/>
  <c r="S1743" i="24" s="1"/>
  <c r="J1743" i="24"/>
  <c r="R1742" i="24"/>
  <c r="O1742" i="24"/>
  <c r="N1742" i="24"/>
  <c r="P1742" i="24" s="1"/>
  <c r="J1742" i="24"/>
  <c r="R1741" i="24"/>
  <c r="O1741" i="24"/>
  <c r="N1741" i="24"/>
  <c r="J1741" i="24"/>
  <c r="R1740" i="24"/>
  <c r="O1740" i="24"/>
  <c r="N1740" i="24"/>
  <c r="S1740" i="24" s="1"/>
  <c r="U1740" i="24" s="1"/>
  <c r="J1740" i="24"/>
  <c r="R1739" i="24"/>
  <c r="O1739" i="24"/>
  <c r="N1739" i="24"/>
  <c r="S1739" i="24" s="1"/>
  <c r="J1739" i="24"/>
  <c r="R1738" i="24"/>
  <c r="O1738" i="24"/>
  <c r="N1738" i="24"/>
  <c r="H1738" i="24"/>
  <c r="J1738" i="24" s="1"/>
  <c r="R1737" i="24"/>
  <c r="O1737" i="24"/>
  <c r="N1737" i="24"/>
  <c r="S1737" i="24" s="1"/>
  <c r="H1737" i="24"/>
  <c r="J1737" i="24" s="1"/>
  <c r="R1736" i="24"/>
  <c r="O1736" i="24"/>
  <c r="N1736" i="24"/>
  <c r="J1736" i="24"/>
  <c r="R1735" i="24"/>
  <c r="O1735" i="24"/>
  <c r="N1735" i="24"/>
  <c r="S1735" i="24" s="1"/>
  <c r="J1735" i="24"/>
  <c r="R1734" i="24"/>
  <c r="O1734" i="24"/>
  <c r="N1734" i="24"/>
  <c r="S1734" i="24" s="1"/>
  <c r="J1734" i="24"/>
  <c r="R1733" i="24"/>
  <c r="O1733" i="24"/>
  <c r="N1733" i="24"/>
  <c r="J1733" i="24"/>
  <c r="R1732" i="24"/>
  <c r="O1732" i="24"/>
  <c r="N1732" i="24"/>
  <c r="P1732" i="24" s="1"/>
  <c r="J1732" i="24"/>
  <c r="R1731" i="24"/>
  <c r="O1731" i="24"/>
  <c r="N1731" i="24"/>
  <c r="P1731" i="24" s="1"/>
  <c r="J1731" i="24"/>
  <c r="R1730" i="24"/>
  <c r="O1730" i="24"/>
  <c r="N1730" i="24"/>
  <c r="P1730" i="24" s="1"/>
  <c r="J1730" i="24"/>
  <c r="R1729" i="24"/>
  <c r="O1729" i="24"/>
  <c r="N1729" i="24"/>
  <c r="P1729" i="24" s="1"/>
  <c r="J1729" i="24"/>
  <c r="R1728" i="24"/>
  <c r="O1728" i="24"/>
  <c r="N1728" i="24"/>
  <c r="S1728" i="24" s="1"/>
  <c r="J1728" i="24"/>
  <c r="R1727" i="24"/>
  <c r="O1727" i="24"/>
  <c r="N1727" i="24"/>
  <c r="P1727" i="24" s="1"/>
  <c r="J1727" i="24"/>
  <c r="U1726" i="24"/>
  <c r="T1726" i="24"/>
  <c r="O1726" i="24"/>
  <c r="N1726" i="24"/>
  <c r="P1726" i="24" s="1"/>
  <c r="H1726" i="24"/>
  <c r="U1725" i="24"/>
  <c r="T1725" i="24"/>
  <c r="O1725" i="24"/>
  <c r="N1725" i="24"/>
  <c r="P1725" i="24" s="1"/>
  <c r="H1725" i="24"/>
  <c r="U1724" i="24"/>
  <c r="T1724" i="24"/>
  <c r="O1724" i="24"/>
  <c r="N1724" i="24"/>
  <c r="P1724" i="24" s="1"/>
  <c r="H1724" i="24"/>
  <c r="R1723" i="24"/>
  <c r="O1723" i="24"/>
  <c r="N1723" i="24"/>
  <c r="U1722" i="24"/>
  <c r="T1722" i="24"/>
  <c r="O1722" i="24"/>
  <c r="N1722" i="24"/>
  <c r="P1722" i="24" s="1"/>
  <c r="H1722" i="24"/>
  <c r="U1721" i="24"/>
  <c r="T1721" i="24"/>
  <c r="O1721" i="24"/>
  <c r="N1721" i="24"/>
  <c r="P1721" i="24" s="1"/>
  <c r="H1721" i="24"/>
  <c r="U1720" i="24"/>
  <c r="T1720" i="24"/>
  <c r="O1720" i="24"/>
  <c r="N1720" i="24"/>
  <c r="P1720" i="24" s="1"/>
  <c r="H1720" i="24"/>
  <c r="R1719" i="24"/>
  <c r="O1719" i="24"/>
  <c r="N1719" i="24"/>
  <c r="U1718" i="24"/>
  <c r="T1718" i="24"/>
  <c r="O1718" i="24"/>
  <c r="N1718" i="24"/>
  <c r="P1718" i="24" s="1"/>
  <c r="H1718" i="24"/>
  <c r="U1717" i="24"/>
  <c r="T1717" i="24"/>
  <c r="O1717" i="24"/>
  <c r="N1717" i="24"/>
  <c r="P1717" i="24" s="1"/>
  <c r="H1717" i="24"/>
  <c r="U1716" i="24"/>
  <c r="T1716" i="24"/>
  <c r="O1716" i="24"/>
  <c r="N1716" i="24"/>
  <c r="P1716" i="24" s="1"/>
  <c r="H1716" i="24"/>
  <c r="R1715" i="24"/>
  <c r="O1715" i="24"/>
  <c r="N1715" i="24"/>
  <c r="U1714" i="24"/>
  <c r="T1714" i="24"/>
  <c r="O1714" i="24"/>
  <c r="N1714" i="24"/>
  <c r="P1714" i="24" s="1"/>
  <c r="H1714" i="24"/>
  <c r="U1713" i="24"/>
  <c r="T1713" i="24"/>
  <c r="O1713" i="24"/>
  <c r="N1713" i="24"/>
  <c r="P1713" i="24" s="1"/>
  <c r="H1713" i="24"/>
  <c r="U1712" i="24"/>
  <c r="T1712" i="24"/>
  <c r="O1712" i="24"/>
  <c r="N1712" i="24"/>
  <c r="P1712" i="24" s="1"/>
  <c r="H1712" i="24"/>
  <c r="R1711" i="24"/>
  <c r="O1711" i="24"/>
  <c r="N1711" i="24"/>
  <c r="U1710" i="24"/>
  <c r="T1710" i="24"/>
  <c r="O1710" i="24"/>
  <c r="N1710" i="24"/>
  <c r="P1710" i="24" s="1"/>
  <c r="H1710" i="24"/>
  <c r="U1709" i="24"/>
  <c r="T1709" i="24"/>
  <c r="O1709" i="24"/>
  <c r="N1709" i="24"/>
  <c r="P1709" i="24" s="1"/>
  <c r="H1709" i="24"/>
  <c r="U1708" i="24"/>
  <c r="T1708" i="24"/>
  <c r="O1708" i="24"/>
  <c r="N1708" i="24"/>
  <c r="P1708" i="24" s="1"/>
  <c r="H1708" i="24"/>
  <c r="R1707" i="24"/>
  <c r="O1707" i="24"/>
  <c r="N1707" i="24"/>
  <c r="R1706" i="24"/>
  <c r="O1706" i="24"/>
  <c r="N1706" i="24"/>
  <c r="H1706" i="24"/>
  <c r="J1706" i="24" s="1"/>
  <c r="R1705" i="24"/>
  <c r="O1705" i="24"/>
  <c r="N1705" i="24"/>
  <c r="P1705" i="24" s="1"/>
  <c r="G1705" i="24"/>
  <c r="H1705" i="24" s="1"/>
  <c r="J1705" i="24" s="1"/>
  <c r="R1704" i="24"/>
  <c r="O1704" i="24"/>
  <c r="N1704" i="24"/>
  <c r="S1704" i="24" s="1"/>
  <c r="H1704" i="24"/>
  <c r="J1704" i="24" s="1"/>
  <c r="R1703" i="24"/>
  <c r="O1703" i="24"/>
  <c r="N1703" i="24"/>
  <c r="S1703" i="24" s="1"/>
  <c r="H1703" i="24"/>
  <c r="J1703" i="24" s="1"/>
  <c r="U1702" i="24"/>
  <c r="T1702" i="24"/>
  <c r="O1702" i="24"/>
  <c r="N1702" i="24"/>
  <c r="P1702" i="24" s="1"/>
  <c r="H1702" i="24"/>
  <c r="U1701" i="24"/>
  <c r="T1701" i="24"/>
  <c r="O1701" i="24"/>
  <c r="N1701" i="24"/>
  <c r="P1701" i="24" s="1"/>
  <c r="H1701" i="24"/>
  <c r="U1700" i="24"/>
  <c r="T1700" i="24"/>
  <c r="O1700" i="24"/>
  <c r="N1700" i="24"/>
  <c r="P1700" i="24" s="1"/>
  <c r="H1700" i="24"/>
  <c r="R1699" i="24"/>
  <c r="O1699" i="24"/>
  <c r="N1699" i="24"/>
  <c r="R1698" i="24"/>
  <c r="O1698" i="24"/>
  <c r="N1698" i="24"/>
  <c r="J1698" i="24"/>
  <c r="H1698" i="24"/>
  <c r="R1697" i="24"/>
  <c r="O1697" i="24"/>
  <c r="N1697" i="24"/>
  <c r="H1697" i="24"/>
  <c r="J1697" i="24" s="1"/>
  <c r="R1696" i="24"/>
  <c r="O1696" i="24"/>
  <c r="N1696" i="24"/>
  <c r="S1696" i="24" s="1"/>
  <c r="U1696" i="24" s="1"/>
  <c r="H1696" i="24"/>
  <c r="J1696" i="24" s="1"/>
  <c r="G1696" i="24"/>
  <c r="R1695" i="24"/>
  <c r="O1695" i="24"/>
  <c r="N1695" i="24"/>
  <c r="P1695" i="24" s="1"/>
  <c r="G1695" i="24"/>
  <c r="H1695" i="24" s="1"/>
  <c r="J1695" i="24" s="1"/>
  <c r="R1694" i="24"/>
  <c r="O1694" i="24"/>
  <c r="N1694" i="24"/>
  <c r="J1694" i="24"/>
  <c r="R1693" i="24"/>
  <c r="O1693" i="24"/>
  <c r="N1693" i="24"/>
  <c r="S1693" i="24" s="1"/>
  <c r="J1693" i="24"/>
  <c r="R1692" i="24"/>
  <c r="O1692" i="24"/>
  <c r="N1692" i="24"/>
  <c r="S1692" i="24" s="1"/>
  <c r="J1692" i="24"/>
  <c r="R1691" i="24"/>
  <c r="O1691" i="24"/>
  <c r="N1691" i="24"/>
  <c r="H1691" i="24"/>
  <c r="J1691" i="24" s="1"/>
  <c r="U1690" i="24"/>
  <c r="T1690" i="24"/>
  <c r="P1690" i="24"/>
  <c r="O1690" i="24"/>
  <c r="R1689" i="24"/>
  <c r="O1689" i="24"/>
  <c r="N1689" i="24"/>
  <c r="P1689" i="24" s="1"/>
  <c r="K1689" i="24"/>
  <c r="R1688" i="24"/>
  <c r="O1688" i="24"/>
  <c r="N1688" i="24"/>
  <c r="P1688" i="24" s="1"/>
  <c r="K1688" i="24"/>
  <c r="R1687" i="24"/>
  <c r="O1687" i="24"/>
  <c r="N1687" i="24"/>
  <c r="K1687" i="24"/>
  <c r="R1686" i="24"/>
  <c r="O1686" i="24"/>
  <c r="N1686" i="24"/>
  <c r="S1686" i="24" s="1"/>
  <c r="U1686" i="24" s="1"/>
  <c r="K1686" i="24"/>
  <c r="T1686" i="24" s="1"/>
  <c r="R1685" i="24"/>
  <c r="O1685" i="24"/>
  <c r="N1685" i="24"/>
  <c r="S1685" i="24" s="1"/>
  <c r="K1685" i="24"/>
  <c r="R1684" i="24"/>
  <c r="O1684" i="24"/>
  <c r="N1684" i="24"/>
  <c r="K1684" i="24"/>
  <c r="T1684" i="24" s="1"/>
  <c r="R1683" i="24"/>
  <c r="O1683" i="24"/>
  <c r="N1683" i="24"/>
  <c r="S1683" i="24" s="1"/>
  <c r="K1683" i="24"/>
  <c r="T1683" i="24" s="1"/>
  <c r="R1682" i="24"/>
  <c r="O1682" i="24"/>
  <c r="N1682" i="24"/>
  <c r="P1682" i="24" s="1"/>
  <c r="K1682" i="24"/>
  <c r="R1681" i="24"/>
  <c r="O1681" i="24"/>
  <c r="N1681" i="24"/>
  <c r="P1681" i="24" s="1"/>
  <c r="K1681" i="24"/>
  <c r="T1681" i="24" s="1"/>
  <c r="R1680" i="24"/>
  <c r="O1680" i="24"/>
  <c r="N1680" i="24"/>
  <c r="K1680" i="24"/>
  <c r="R1679" i="24"/>
  <c r="O1679" i="24"/>
  <c r="N1679" i="24"/>
  <c r="K1679" i="24"/>
  <c r="T1679" i="24" s="1"/>
  <c r="R1678" i="24"/>
  <c r="O1678" i="24"/>
  <c r="N1678" i="24"/>
  <c r="S1678" i="24" s="1"/>
  <c r="U1678" i="24" s="1"/>
  <c r="K1678" i="24"/>
  <c r="T1678" i="24" s="1"/>
  <c r="R1677" i="24"/>
  <c r="O1677" i="24"/>
  <c r="N1677" i="24"/>
  <c r="P1677" i="24" s="1"/>
  <c r="K1677" i="24"/>
  <c r="T1677" i="24" s="1"/>
  <c r="R1676" i="24"/>
  <c r="O1676" i="24"/>
  <c r="N1676" i="24"/>
  <c r="P1676" i="24" s="1"/>
  <c r="K1676" i="24"/>
  <c r="R1675" i="24"/>
  <c r="O1675" i="24"/>
  <c r="N1675" i="24"/>
  <c r="S1675" i="24" s="1"/>
  <c r="K1675" i="24"/>
  <c r="R1674" i="24"/>
  <c r="O1674" i="24"/>
  <c r="N1674" i="24"/>
  <c r="S1674" i="24" s="1"/>
  <c r="K1674" i="24"/>
  <c r="T1674" i="24" s="1"/>
  <c r="R1673" i="24"/>
  <c r="O1673" i="24"/>
  <c r="N1673" i="24"/>
  <c r="P1673" i="24" s="1"/>
  <c r="K1673" i="24"/>
  <c r="T1673" i="24" s="1"/>
  <c r="R1672" i="24"/>
  <c r="O1672" i="24"/>
  <c r="N1672" i="24"/>
  <c r="P1672" i="24" s="1"/>
  <c r="K1672" i="24"/>
  <c r="R1671" i="24"/>
  <c r="O1671" i="24"/>
  <c r="N1671" i="24"/>
  <c r="S1671" i="24" s="1"/>
  <c r="K1671" i="24"/>
  <c r="R1670" i="24"/>
  <c r="O1670" i="24"/>
  <c r="N1670" i="24"/>
  <c r="S1670" i="24" s="1"/>
  <c r="U1670" i="24" s="1"/>
  <c r="K1670" i="24"/>
  <c r="T1670" i="24" s="1"/>
  <c r="R1669" i="24"/>
  <c r="O1669" i="24"/>
  <c r="N1669" i="24"/>
  <c r="K1669" i="24"/>
  <c r="T1669" i="24" s="1"/>
  <c r="R1668" i="24"/>
  <c r="O1668" i="24"/>
  <c r="N1668" i="24"/>
  <c r="P1668" i="24" s="1"/>
  <c r="K1668" i="24"/>
  <c r="T1668" i="24" s="1"/>
  <c r="R1667" i="24"/>
  <c r="O1667" i="24"/>
  <c r="N1667" i="24"/>
  <c r="S1667" i="24" s="1"/>
  <c r="K1667" i="24"/>
  <c r="T1667" i="24" s="1"/>
  <c r="R1666" i="24"/>
  <c r="O1666" i="24"/>
  <c r="N1666" i="24"/>
  <c r="S1666" i="24" s="1"/>
  <c r="U1666" i="24" s="1"/>
  <c r="K1666" i="24"/>
  <c r="R1665" i="24"/>
  <c r="O1665" i="24"/>
  <c r="N1665" i="24"/>
  <c r="K1665" i="24"/>
  <c r="R1664" i="24"/>
  <c r="O1664" i="24"/>
  <c r="N1664" i="24"/>
  <c r="S1664" i="24" s="1"/>
  <c r="U1664" i="24" s="1"/>
  <c r="K1664" i="24"/>
  <c r="R1663" i="24"/>
  <c r="O1663" i="24"/>
  <c r="N1663" i="24"/>
  <c r="S1663" i="24" s="1"/>
  <c r="K1663" i="24"/>
  <c r="R1662" i="24"/>
  <c r="O1662" i="24"/>
  <c r="N1662" i="24"/>
  <c r="P1662" i="24" s="1"/>
  <c r="K1662" i="24"/>
  <c r="T1662" i="24" s="1"/>
  <c r="R1661" i="24"/>
  <c r="O1661" i="24"/>
  <c r="N1661" i="24"/>
  <c r="K1661" i="24"/>
  <c r="R1660" i="24"/>
  <c r="O1660" i="24"/>
  <c r="N1660" i="24"/>
  <c r="P1660" i="24" s="1"/>
  <c r="K1660" i="24"/>
  <c r="R1659" i="24"/>
  <c r="O1659" i="24"/>
  <c r="N1659" i="24"/>
  <c r="S1659" i="24" s="1"/>
  <c r="K1659" i="24"/>
  <c r="R1658" i="24"/>
  <c r="O1658" i="24"/>
  <c r="N1658" i="24"/>
  <c r="S1658" i="24" s="1"/>
  <c r="U1658" i="24" s="1"/>
  <c r="Z1658" i="24" s="1"/>
  <c r="K1658" i="24"/>
  <c r="T1658" i="24" s="1"/>
  <c r="U1657" i="24"/>
  <c r="T1657" i="24"/>
  <c r="O1657" i="24"/>
  <c r="N1657" i="24"/>
  <c r="P1657" i="24" s="1"/>
  <c r="R1656" i="24"/>
  <c r="O1656" i="24"/>
  <c r="N1656" i="24"/>
  <c r="P1656" i="24" s="1"/>
  <c r="J1656" i="24"/>
  <c r="R1655" i="24"/>
  <c r="O1655" i="24"/>
  <c r="N1655" i="24"/>
  <c r="S1655" i="24" s="1"/>
  <c r="J1655" i="24"/>
  <c r="R1654" i="24"/>
  <c r="O1654" i="24"/>
  <c r="N1654" i="24"/>
  <c r="P1654" i="24" s="1"/>
  <c r="J1654" i="24"/>
  <c r="R1653" i="24"/>
  <c r="O1653" i="24"/>
  <c r="N1653" i="24"/>
  <c r="P1653" i="24" s="1"/>
  <c r="J1653" i="24"/>
  <c r="R1652" i="24"/>
  <c r="O1652" i="24"/>
  <c r="N1652" i="24"/>
  <c r="J1652" i="24"/>
  <c r="R1651" i="24"/>
  <c r="O1651" i="24"/>
  <c r="N1651" i="24"/>
  <c r="J1651" i="24"/>
  <c r="R1650" i="24"/>
  <c r="O1650" i="24"/>
  <c r="N1650" i="24"/>
  <c r="S1650" i="24" s="1"/>
  <c r="U1650" i="24" s="1"/>
  <c r="J1650" i="24"/>
  <c r="R1649" i="24"/>
  <c r="O1649" i="24"/>
  <c r="N1649" i="24"/>
  <c r="J1649" i="24"/>
  <c r="R1648" i="24"/>
  <c r="O1648" i="24"/>
  <c r="N1648" i="24"/>
  <c r="P1648" i="24" s="1"/>
  <c r="J1648" i="24"/>
  <c r="R1647" i="24"/>
  <c r="O1647" i="24"/>
  <c r="N1647" i="24"/>
  <c r="S1647" i="24" s="1"/>
  <c r="J1647" i="24"/>
  <c r="R1646" i="24"/>
  <c r="O1646" i="24"/>
  <c r="N1646" i="24"/>
  <c r="P1646" i="24" s="1"/>
  <c r="J1646" i="24"/>
  <c r="R1645" i="24"/>
  <c r="O1645" i="24"/>
  <c r="N1645" i="24"/>
  <c r="S1645" i="24" s="1"/>
  <c r="J1645" i="24"/>
  <c r="R1644" i="24"/>
  <c r="O1644" i="24"/>
  <c r="N1644" i="24"/>
  <c r="J1644" i="24"/>
  <c r="R1643" i="24"/>
  <c r="O1643" i="24"/>
  <c r="N1643" i="24"/>
  <c r="J1643" i="24"/>
  <c r="R1642" i="24"/>
  <c r="O1642" i="24"/>
  <c r="N1642" i="24"/>
  <c r="S1642" i="24" s="1"/>
  <c r="U1642" i="24" s="1"/>
  <c r="J1642" i="24"/>
  <c r="R1641" i="24"/>
  <c r="O1641" i="24"/>
  <c r="N1641" i="24"/>
  <c r="J1641" i="24"/>
  <c r="R1640" i="24"/>
  <c r="O1640" i="24"/>
  <c r="N1640" i="24"/>
  <c r="P1640" i="24" s="1"/>
  <c r="J1640" i="24"/>
  <c r="R1639" i="24"/>
  <c r="O1639" i="24"/>
  <c r="N1639" i="24"/>
  <c r="S1639" i="24" s="1"/>
  <c r="J1639" i="24"/>
  <c r="R1638" i="24"/>
  <c r="O1638" i="24"/>
  <c r="N1638" i="24"/>
  <c r="J1638" i="24"/>
  <c r="R1637" i="24"/>
  <c r="O1637" i="24"/>
  <c r="N1637" i="24"/>
  <c r="S1637" i="24" s="1"/>
  <c r="J1637" i="24"/>
  <c r="R1636" i="24"/>
  <c r="O1636" i="24"/>
  <c r="N1636" i="24"/>
  <c r="P1636" i="24" s="1"/>
  <c r="J1636" i="24"/>
  <c r="R1635" i="24"/>
  <c r="O1635" i="24"/>
  <c r="N1635" i="24"/>
  <c r="J1635" i="24"/>
  <c r="R1634" i="24"/>
  <c r="O1634" i="24"/>
  <c r="N1634" i="24"/>
  <c r="S1634" i="24" s="1"/>
  <c r="U1634" i="24" s="1"/>
  <c r="J1634" i="24"/>
  <c r="R1633" i="24"/>
  <c r="O1633" i="24"/>
  <c r="N1633" i="24"/>
  <c r="J1633" i="24"/>
  <c r="R1632" i="24"/>
  <c r="O1632" i="24"/>
  <c r="N1632" i="24"/>
  <c r="P1632" i="24" s="1"/>
  <c r="J1632" i="24"/>
  <c r="R1631" i="24"/>
  <c r="O1631" i="24"/>
  <c r="N1631" i="24"/>
  <c r="S1631" i="24" s="1"/>
  <c r="J1631" i="24"/>
  <c r="R1630" i="24"/>
  <c r="O1630" i="24"/>
  <c r="N1630" i="24"/>
  <c r="P1630" i="24" s="1"/>
  <c r="J1630" i="24"/>
  <c r="R1629" i="24"/>
  <c r="O1629" i="24"/>
  <c r="N1629" i="24"/>
  <c r="P1629" i="24" s="1"/>
  <c r="J1629" i="24"/>
  <c r="R1628" i="24"/>
  <c r="O1628" i="24"/>
  <c r="N1628" i="24"/>
  <c r="P1628" i="24" s="1"/>
  <c r="J1628" i="24"/>
  <c r="R1627" i="24"/>
  <c r="O1627" i="24"/>
  <c r="N1627" i="24"/>
  <c r="P1627" i="24" s="1"/>
  <c r="J1627" i="24"/>
  <c r="R1626" i="24"/>
  <c r="O1626" i="24"/>
  <c r="N1626" i="24"/>
  <c r="J1626" i="24"/>
  <c r="R1625" i="24"/>
  <c r="O1625" i="24"/>
  <c r="N1625" i="24"/>
  <c r="J1625" i="24"/>
  <c r="R1624" i="24"/>
  <c r="O1624" i="24"/>
  <c r="N1624" i="24"/>
  <c r="P1624" i="24" s="1"/>
  <c r="J1624" i="24"/>
  <c r="R1623" i="24"/>
  <c r="O1623" i="24"/>
  <c r="N1623" i="24"/>
  <c r="S1623" i="24" s="1"/>
  <c r="J1623" i="24"/>
  <c r="R1622" i="24"/>
  <c r="O1622" i="24"/>
  <c r="N1622" i="24"/>
  <c r="P1622" i="24" s="1"/>
  <c r="J1622" i="24"/>
  <c r="R1621" i="24"/>
  <c r="O1621" i="24"/>
  <c r="N1621" i="24"/>
  <c r="P1621" i="24" s="1"/>
  <c r="J1621" i="24"/>
  <c r="R1620" i="24"/>
  <c r="O1620" i="24"/>
  <c r="N1620" i="24"/>
  <c r="S1620" i="24" s="1"/>
  <c r="U1620" i="24" s="1"/>
  <c r="J1620" i="24"/>
  <c r="R1619" i="24"/>
  <c r="O1619" i="24"/>
  <c r="N1619" i="24"/>
  <c r="P1619" i="24" s="1"/>
  <c r="J1619" i="24"/>
  <c r="R1618" i="24"/>
  <c r="O1618" i="24"/>
  <c r="N1618" i="24"/>
  <c r="J1618" i="24"/>
  <c r="R1617" i="24"/>
  <c r="O1617" i="24"/>
  <c r="N1617" i="24"/>
  <c r="J1617" i="24"/>
  <c r="R1616" i="24"/>
  <c r="O1616" i="24"/>
  <c r="N1616" i="24"/>
  <c r="P1616" i="24" s="1"/>
  <c r="J1616" i="24"/>
  <c r="R1615" i="24"/>
  <c r="O1615" i="24"/>
  <c r="N1615" i="24"/>
  <c r="S1615" i="24" s="1"/>
  <c r="U1615" i="24" s="1"/>
  <c r="J1615" i="24"/>
  <c r="R1614" i="24"/>
  <c r="O1614" i="24"/>
  <c r="N1614" i="24"/>
  <c r="J1614" i="24"/>
  <c r="R1613" i="24"/>
  <c r="O1613" i="24"/>
  <c r="N1613" i="24"/>
  <c r="S1613" i="24" s="1"/>
  <c r="U1613" i="24" s="1"/>
  <c r="J1613" i="24"/>
  <c r="R1612" i="24"/>
  <c r="O1612" i="24"/>
  <c r="N1612" i="24"/>
  <c r="J1612" i="24"/>
  <c r="R1611" i="24"/>
  <c r="O1611" i="24"/>
  <c r="N1611" i="24"/>
  <c r="S1611" i="24" s="1"/>
  <c r="J1611" i="24"/>
  <c r="R1610" i="24"/>
  <c r="O1610" i="24"/>
  <c r="N1610" i="24"/>
  <c r="J1610" i="24"/>
  <c r="R1609" i="24"/>
  <c r="O1609" i="24"/>
  <c r="N1609" i="24"/>
  <c r="J1609" i="24"/>
  <c r="R1608" i="24"/>
  <c r="O1608" i="24"/>
  <c r="N1608" i="24"/>
  <c r="P1608" i="24" s="1"/>
  <c r="J1608" i="24"/>
  <c r="R1607" i="24"/>
  <c r="O1607" i="24"/>
  <c r="N1607" i="24"/>
  <c r="J1607" i="24"/>
  <c r="R1606" i="24"/>
  <c r="O1606" i="24"/>
  <c r="N1606" i="24"/>
  <c r="P1606" i="24" s="1"/>
  <c r="J1606" i="24"/>
  <c r="R1605" i="24"/>
  <c r="O1605" i="24"/>
  <c r="N1605" i="24"/>
  <c r="J1605" i="24"/>
  <c r="R1604" i="24"/>
  <c r="O1604" i="24"/>
  <c r="N1604" i="24"/>
  <c r="S1604" i="24" s="1"/>
  <c r="U1604" i="24" s="1"/>
  <c r="Y1604" i="24" s="1"/>
  <c r="J1604" i="24"/>
  <c r="R1603" i="24"/>
  <c r="O1603" i="24"/>
  <c r="N1603" i="24"/>
  <c r="J1603" i="24"/>
  <c r="R1602" i="24"/>
  <c r="O1602" i="24"/>
  <c r="N1602" i="24"/>
  <c r="S1602" i="24" s="1"/>
  <c r="U1602" i="24" s="1"/>
  <c r="J1602" i="24"/>
  <c r="R1601" i="24"/>
  <c r="O1601" i="24"/>
  <c r="N1601" i="24"/>
  <c r="S1601" i="24" s="1"/>
  <c r="J1601" i="24"/>
  <c r="R1600" i="24"/>
  <c r="O1600" i="24"/>
  <c r="N1600" i="24"/>
  <c r="P1600" i="24" s="1"/>
  <c r="J1600" i="24"/>
  <c r="R1599" i="24"/>
  <c r="O1599" i="24"/>
  <c r="N1599" i="24"/>
  <c r="J1599" i="24"/>
  <c r="R1598" i="24"/>
  <c r="O1598" i="24"/>
  <c r="N1598" i="24"/>
  <c r="P1598" i="24" s="1"/>
  <c r="J1598" i="24"/>
  <c r="R1597" i="24"/>
  <c r="O1597" i="24"/>
  <c r="N1597" i="24"/>
  <c r="P1597" i="24" s="1"/>
  <c r="J1597" i="24"/>
  <c r="R1596" i="24"/>
  <c r="O1596" i="24"/>
  <c r="N1596" i="24"/>
  <c r="P1596" i="24" s="1"/>
  <c r="J1596" i="24"/>
  <c r="R1595" i="24"/>
  <c r="O1595" i="24"/>
  <c r="N1595" i="24"/>
  <c r="P1595" i="24" s="1"/>
  <c r="J1595" i="24"/>
  <c r="R1594" i="24"/>
  <c r="O1594" i="24"/>
  <c r="N1594" i="24"/>
  <c r="P1594" i="24" s="1"/>
  <c r="J1594" i="24"/>
  <c r="R1593" i="24"/>
  <c r="O1593" i="24"/>
  <c r="N1593" i="24"/>
  <c r="P1593" i="24" s="1"/>
  <c r="J1593" i="24"/>
  <c r="R1592" i="24"/>
  <c r="O1592" i="24"/>
  <c r="N1592" i="24"/>
  <c r="S1592" i="24" s="1"/>
  <c r="U1592" i="24" s="1"/>
  <c r="J1592" i="24"/>
  <c r="R1591" i="24"/>
  <c r="O1591" i="24"/>
  <c r="N1591" i="24"/>
  <c r="P1591" i="24" s="1"/>
  <c r="J1591" i="24"/>
  <c r="R1590" i="24"/>
  <c r="O1590" i="24"/>
  <c r="N1590" i="24"/>
  <c r="J1590" i="24"/>
  <c r="R1589" i="24"/>
  <c r="O1589" i="24"/>
  <c r="N1589" i="24"/>
  <c r="P1589" i="24" s="1"/>
  <c r="J1589" i="24"/>
  <c r="R1588" i="24"/>
  <c r="O1588" i="24"/>
  <c r="N1588" i="24"/>
  <c r="P1588" i="24" s="1"/>
  <c r="J1588" i="24"/>
  <c r="R1587" i="24"/>
  <c r="O1587" i="24"/>
  <c r="N1587" i="24"/>
  <c r="P1587" i="24" s="1"/>
  <c r="J1587" i="24"/>
  <c r="R1586" i="24"/>
  <c r="O1586" i="24"/>
  <c r="N1586" i="24"/>
  <c r="P1586" i="24" s="1"/>
  <c r="J1586" i="24"/>
  <c r="R1585" i="24"/>
  <c r="O1585" i="24"/>
  <c r="N1585" i="24"/>
  <c r="P1585" i="24" s="1"/>
  <c r="J1585" i="24"/>
  <c r="R1584" i="24"/>
  <c r="O1584" i="24"/>
  <c r="N1584" i="24"/>
  <c r="S1584" i="24" s="1"/>
  <c r="U1584" i="24" s="1"/>
  <c r="J1584" i="24"/>
  <c r="R1583" i="24"/>
  <c r="O1583" i="24"/>
  <c r="N1583" i="24"/>
  <c r="P1583" i="24" s="1"/>
  <c r="J1583" i="24"/>
  <c r="R1582" i="24"/>
  <c r="O1582" i="24"/>
  <c r="N1582" i="24"/>
  <c r="S1582" i="24" s="1"/>
  <c r="U1582" i="24" s="1"/>
  <c r="Y1582" i="24" s="1"/>
  <c r="J1582" i="24"/>
  <c r="R1581" i="24"/>
  <c r="O1581" i="24"/>
  <c r="N1581" i="24"/>
  <c r="P1581" i="24" s="1"/>
  <c r="J1581" i="24"/>
  <c r="R1580" i="24"/>
  <c r="O1580" i="24"/>
  <c r="N1580" i="24"/>
  <c r="P1580" i="24" s="1"/>
  <c r="J1580" i="24"/>
  <c r="R1579" i="24"/>
  <c r="O1579" i="24"/>
  <c r="N1579" i="24"/>
  <c r="P1579" i="24" s="1"/>
  <c r="J1579" i="24"/>
  <c r="R1578" i="24"/>
  <c r="O1578" i="24"/>
  <c r="N1578" i="24"/>
  <c r="P1578" i="24" s="1"/>
  <c r="J1578" i="24"/>
  <c r="R1577" i="24"/>
  <c r="O1577" i="24"/>
  <c r="N1577" i="24"/>
  <c r="P1577" i="24" s="1"/>
  <c r="J1577" i="24"/>
  <c r="R1576" i="24"/>
  <c r="O1576" i="24"/>
  <c r="N1576" i="24"/>
  <c r="P1576" i="24" s="1"/>
  <c r="J1576" i="24"/>
  <c r="R1575" i="24"/>
  <c r="O1575" i="24"/>
  <c r="N1575" i="24"/>
  <c r="P1575" i="24" s="1"/>
  <c r="J1575" i="24"/>
  <c r="R1574" i="24"/>
  <c r="O1574" i="24"/>
  <c r="N1574" i="24"/>
  <c r="S1574" i="24" s="1"/>
  <c r="U1574" i="24" s="1"/>
  <c r="Y1574" i="24" s="1"/>
  <c r="J1574" i="24"/>
  <c r="R1573" i="24"/>
  <c r="O1573" i="24"/>
  <c r="N1573" i="24"/>
  <c r="P1573" i="24" s="1"/>
  <c r="J1573" i="24"/>
  <c r="R1572" i="24"/>
  <c r="O1572" i="24"/>
  <c r="N1572" i="24"/>
  <c r="P1572" i="24" s="1"/>
  <c r="J1572" i="24"/>
  <c r="R1571" i="24"/>
  <c r="O1571" i="24"/>
  <c r="N1571" i="24"/>
  <c r="P1571" i="24" s="1"/>
  <c r="J1571" i="24"/>
  <c r="R1570" i="24"/>
  <c r="O1570" i="24"/>
  <c r="N1570" i="24"/>
  <c r="S1570" i="24" s="1"/>
  <c r="U1570" i="24" s="1"/>
  <c r="J1570" i="24"/>
  <c r="R1569" i="24"/>
  <c r="O1569" i="24"/>
  <c r="N1569" i="24"/>
  <c r="P1569" i="24" s="1"/>
  <c r="J1569" i="24"/>
  <c r="R1568" i="24"/>
  <c r="O1568" i="24"/>
  <c r="N1568" i="24"/>
  <c r="P1568" i="24" s="1"/>
  <c r="J1568" i="24"/>
  <c r="R1567" i="24"/>
  <c r="O1567" i="24"/>
  <c r="N1567" i="24"/>
  <c r="P1567" i="24" s="1"/>
  <c r="J1567" i="24"/>
  <c r="R1566" i="24"/>
  <c r="O1566" i="24"/>
  <c r="N1566" i="24"/>
  <c r="J1566" i="24"/>
  <c r="R1565" i="24"/>
  <c r="O1565" i="24"/>
  <c r="N1565" i="24"/>
  <c r="P1565" i="24" s="1"/>
  <c r="J1565" i="24"/>
  <c r="R1564" i="24"/>
  <c r="O1564" i="24"/>
  <c r="N1564" i="24"/>
  <c r="S1564" i="24" s="1"/>
  <c r="U1564" i="24" s="1"/>
  <c r="J1564" i="24"/>
  <c r="R1563" i="24"/>
  <c r="O1563" i="24"/>
  <c r="N1563" i="24"/>
  <c r="P1563" i="24" s="1"/>
  <c r="J1563" i="24"/>
  <c r="R1562" i="24"/>
  <c r="O1562" i="24"/>
  <c r="N1562" i="24"/>
  <c r="P1562" i="24" s="1"/>
  <c r="J1562" i="24"/>
  <c r="R1561" i="24"/>
  <c r="O1561" i="24"/>
  <c r="N1561" i="24"/>
  <c r="P1561" i="24" s="1"/>
  <c r="J1561" i="24"/>
  <c r="R1560" i="24"/>
  <c r="O1560" i="24"/>
  <c r="N1560" i="24"/>
  <c r="P1560" i="24" s="1"/>
  <c r="J1560" i="24"/>
  <c r="R1559" i="24"/>
  <c r="O1559" i="24"/>
  <c r="N1559" i="24"/>
  <c r="J1559" i="24"/>
  <c r="R1558" i="24"/>
  <c r="O1558" i="24"/>
  <c r="N1558" i="24"/>
  <c r="J1558" i="24"/>
  <c r="R1557" i="24"/>
  <c r="O1557" i="24"/>
  <c r="N1557" i="24"/>
  <c r="J1557" i="24"/>
  <c r="R1556" i="24"/>
  <c r="O1556" i="24"/>
  <c r="N1556" i="24"/>
  <c r="S1556" i="24" s="1"/>
  <c r="U1556" i="24" s="1"/>
  <c r="Y1556" i="24" s="1"/>
  <c r="J1556" i="24"/>
  <c r="R1555" i="24"/>
  <c r="O1555" i="24"/>
  <c r="N1555" i="24"/>
  <c r="J1555" i="24"/>
  <c r="R1554" i="24"/>
  <c r="O1554" i="24"/>
  <c r="N1554" i="24"/>
  <c r="P1554" i="24" s="1"/>
  <c r="J1554" i="24"/>
  <c r="R1553" i="24"/>
  <c r="O1553" i="24"/>
  <c r="N1553" i="24"/>
  <c r="J1553" i="24"/>
  <c r="R1552" i="24"/>
  <c r="O1552" i="24"/>
  <c r="N1552" i="24"/>
  <c r="S1552" i="24" s="1"/>
  <c r="U1552" i="24" s="1"/>
  <c r="Y1552" i="24" s="1"/>
  <c r="J1552" i="24"/>
  <c r="R1551" i="24"/>
  <c r="O1551" i="24"/>
  <c r="N1551" i="24"/>
  <c r="J1551" i="24"/>
  <c r="R1550" i="24"/>
  <c r="O1550" i="24"/>
  <c r="N1550" i="24"/>
  <c r="J1550" i="24"/>
  <c r="R1549" i="24"/>
  <c r="O1549" i="24"/>
  <c r="N1549" i="24"/>
  <c r="J1549" i="24"/>
  <c r="R1548" i="24"/>
  <c r="O1548" i="24"/>
  <c r="N1548" i="24"/>
  <c r="P1548" i="24" s="1"/>
  <c r="J1548" i="24"/>
  <c r="R1547" i="24"/>
  <c r="O1547" i="24"/>
  <c r="N1547" i="24"/>
  <c r="J1547" i="24"/>
  <c r="R1546" i="24"/>
  <c r="O1546" i="24"/>
  <c r="N1546" i="24"/>
  <c r="S1546" i="24" s="1"/>
  <c r="U1546" i="24" s="1"/>
  <c r="Y1546" i="24" s="1"/>
  <c r="J1546" i="24"/>
  <c r="R1545" i="24"/>
  <c r="O1545" i="24"/>
  <c r="N1545" i="24"/>
  <c r="J1545" i="24"/>
  <c r="R1544" i="24"/>
  <c r="O1544" i="24"/>
  <c r="N1544" i="24"/>
  <c r="P1544" i="24" s="1"/>
  <c r="J1544" i="24"/>
  <c r="R1543" i="24"/>
  <c r="O1543" i="24"/>
  <c r="N1543" i="24"/>
  <c r="J1543" i="24"/>
  <c r="R1542" i="24"/>
  <c r="O1542" i="24"/>
  <c r="N1542" i="24"/>
  <c r="S1542" i="24" s="1"/>
  <c r="U1542" i="24" s="1"/>
  <c r="Y1542" i="24" s="1"/>
  <c r="J1542" i="24"/>
  <c r="R1541" i="24"/>
  <c r="O1541" i="24"/>
  <c r="N1541" i="24"/>
  <c r="J1541" i="24"/>
  <c r="R1540" i="24"/>
  <c r="O1540" i="24"/>
  <c r="N1540" i="24"/>
  <c r="S1540" i="24" s="1"/>
  <c r="U1540" i="24" s="1"/>
  <c r="Y1540" i="24" s="1"/>
  <c r="J1540" i="24"/>
  <c r="R1539" i="24"/>
  <c r="O1539" i="24"/>
  <c r="N1539" i="24"/>
  <c r="J1539" i="24"/>
  <c r="R1538" i="24"/>
  <c r="O1538" i="24"/>
  <c r="N1538" i="24"/>
  <c r="S1538" i="24" s="1"/>
  <c r="U1538" i="24" s="1"/>
  <c r="J1538" i="24"/>
  <c r="R1537" i="24"/>
  <c r="O1537" i="24"/>
  <c r="N1537" i="24"/>
  <c r="J1537" i="24"/>
  <c r="R1536" i="24"/>
  <c r="O1536" i="24"/>
  <c r="N1536" i="24"/>
  <c r="S1536" i="24" s="1"/>
  <c r="U1536" i="24" s="1"/>
  <c r="Y1536" i="24" s="1"/>
  <c r="J1536" i="24"/>
  <c r="R1535" i="24"/>
  <c r="O1535" i="24"/>
  <c r="N1535" i="24"/>
  <c r="J1535" i="24"/>
  <c r="R1534" i="24"/>
  <c r="O1534" i="24"/>
  <c r="N1534" i="24"/>
  <c r="P1534" i="24" s="1"/>
  <c r="J1534" i="24"/>
  <c r="R1533" i="24"/>
  <c r="O1533" i="24"/>
  <c r="N1533" i="24"/>
  <c r="J1533" i="24"/>
  <c r="R1532" i="24"/>
  <c r="O1532" i="24"/>
  <c r="N1532" i="24"/>
  <c r="S1532" i="24" s="1"/>
  <c r="U1532" i="24" s="1"/>
  <c r="Y1532" i="24" s="1"/>
  <c r="J1532" i="24"/>
  <c r="R1531" i="24"/>
  <c r="O1531" i="24"/>
  <c r="N1531" i="24"/>
  <c r="J1531" i="24"/>
  <c r="R1530" i="24"/>
  <c r="O1530" i="24"/>
  <c r="N1530" i="24"/>
  <c r="S1530" i="24" s="1"/>
  <c r="U1530" i="24" s="1"/>
  <c r="J1530" i="24"/>
  <c r="R1529" i="24"/>
  <c r="O1529" i="24"/>
  <c r="N1529" i="24"/>
  <c r="J1529" i="24"/>
  <c r="R1528" i="24"/>
  <c r="O1528" i="24"/>
  <c r="N1528" i="24"/>
  <c r="S1528" i="24" s="1"/>
  <c r="U1528" i="24" s="1"/>
  <c r="Y1528" i="24" s="1"/>
  <c r="J1528" i="24"/>
  <c r="R1527" i="24"/>
  <c r="O1527" i="24"/>
  <c r="N1527" i="24"/>
  <c r="S1527" i="24" s="1"/>
  <c r="J1527" i="24"/>
  <c r="R1526" i="24"/>
  <c r="O1526" i="24"/>
  <c r="N1526" i="24"/>
  <c r="J1526" i="24"/>
  <c r="R1525" i="24"/>
  <c r="O1525" i="24"/>
  <c r="N1525" i="24"/>
  <c r="J1525" i="24"/>
  <c r="R1524" i="24"/>
  <c r="O1524" i="24"/>
  <c r="N1524" i="24"/>
  <c r="P1524" i="24" s="1"/>
  <c r="J1524" i="24"/>
  <c r="R1523" i="24"/>
  <c r="O1523" i="24"/>
  <c r="N1523" i="24"/>
  <c r="J1523" i="24"/>
  <c r="R1522" i="24"/>
  <c r="O1522" i="24"/>
  <c r="N1522" i="24"/>
  <c r="P1522" i="24" s="1"/>
  <c r="J1522" i="24"/>
  <c r="R1521" i="24"/>
  <c r="O1521" i="24"/>
  <c r="N1521" i="24"/>
  <c r="J1521" i="24"/>
  <c r="R1520" i="24"/>
  <c r="O1520" i="24"/>
  <c r="N1520" i="24"/>
  <c r="J1520" i="24"/>
  <c r="R1519" i="24"/>
  <c r="O1519" i="24"/>
  <c r="N1519" i="24"/>
  <c r="S1519" i="24" s="1"/>
  <c r="J1519" i="24"/>
  <c r="R1518" i="24"/>
  <c r="O1518" i="24"/>
  <c r="N1518" i="24"/>
  <c r="P1518" i="24" s="1"/>
  <c r="J1518" i="24"/>
  <c r="R1517" i="24"/>
  <c r="O1517" i="24"/>
  <c r="N1517" i="24"/>
  <c r="S1517" i="24" s="1"/>
  <c r="U1517" i="24" s="1"/>
  <c r="Z1517" i="24" s="1"/>
  <c r="J1517" i="24"/>
  <c r="R1516" i="24"/>
  <c r="O1516" i="24"/>
  <c r="N1516" i="24"/>
  <c r="S1516" i="24" s="1"/>
  <c r="U1516" i="24" s="1"/>
  <c r="J1516" i="24"/>
  <c r="R1515" i="24"/>
  <c r="O1515" i="24"/>
  <c r="N1515" i="24"/>
  <c r="S1515" i="24" s="1"/>
  <c r="J1515" i="24"/>
  <c r="R1514" i="24"/>
  <c r="O1514" i="24"/>
  <c r="N1514" i="24"/>
  <c r="P1514" i="24" s="1"/>
  <c r="J1514" i="24"/>
  <c r="R1513" i="24"/>
  <c r="O1513" i="24"/>
  <c r="N1513" i="24"/>
  <c r="S1513" i="24" s="1"/>
  <c r="U1513" i="24" s="1"/>
  <c r="J1513" i="24"/>
  <c r="R1512" i="24"/>
  <c r="O1512" i="24"/>
  <c r="N1512" i="24"/>
  <c r="P1512" i="24" s="1"/>
  <c r="J1512" i="24"/>
  <c r="R1511" i="24"/>
  <c r="O1511" i="24"/>
  <c r="N1511" i="24"/>
  <c r="S1511" i="24" s="1"/>
  <c r="J1511" i="24"/>
  <c r="R1510" i="24"/>
  <c r="O1510" i="24"/>
  <c r="N1510" i="24"/>
  <c r="J1510" i="24"/>
  <c r="R1509" i="24"/>
  <c r="O1509" i="24"/>
  <c r="N1509" i="24"/>
  <c r="S1509" i="24" s="1"/>
  <c r="U1509" i="24" s="1"/>
  <c r="J1509" i="24"/>
  <c r="R1508" i="24"/>
  <c r="O1508" i="24"/>
  <c r="N1508" i="24"/>
  <c r="P1508" i="24" s="1"/>
  <c r="J1508" i="24"/>
  <c r="R1507" i="24"/>
  <c r="O1507" i="24"/>
  <c r="N1507" i="24"/>
  <c r="S1507" i="24" s="1"/>
  <c r="J1507" i="24"/>
  <c r="R1506" i="24"/>
  <c r="O1506" i="24"/>
  <c r="N1506" i="24"/>
  <c r="S1506" i="24" s="1"/>
  <c r="U1506" i="24" s="1"/>
  <c r="J1506" i="24"/>
  <c r="R1505" i="24"/>
  <c r="O1505" i="24"/>
  <c r="N1505" i="24"/>
  <c r="J1505" i="24"/>
  <c r="R1504" i="24"/>
  <c r="O1504" i="24"/>
  <c r="N1504" i="24"/>
  <c r="P1504" i="24" s="1"/>
  <c r="J1504" i="24"/>
  <c r="R1503" i="24"/>
  <c r="O1503" i="24"/>
  <c r="N1503" i="24"/>
  <c r="J1503" i="24"/>
  <c r="R1502" i="24"/>
  <c r="O1502" i="24"/>
  <c r="N1502" i="24"/>
  <c r="S1502" i="24" s="1"/>
  <c r="U1502" i="24" s="1"/>
  <c r="J1502" i="24"/>
  <c r="R1501" i="24"/>
  <c r="O1501" i="24"/>
  <c r="N1501" i="24"/>
  <c r="J1501" i="24"/>
  <c r="R1500" i="24"/>
  <c r="O1500" i="24"/>
  <c r="N1500" i="24"/>
  <c r="S1500" i="24" s="1"/>
  <c r="U1500" i="24" s="1"/>
  <c r="Y1500" i="24" s="1"/>
  <c r="J1500" i="24"/>
  <c r="R1499" i="24"/>
  <c r="O1499" i="24"/>
  <c r="N1499" i="24"/>
  <c r="J1499" i="24"/>
  <c r="R1498" i="24"/>
  <c r="O1498" i="24"/>
  <c r="N1498" i="24"/>
  <c r="S1498" i="24" s="1"/>
  <c r="J1498" i="24"/>
  <c r="R1497" i="24"/>
  <c r="O1497" i="24"/>
  <c r="N1497" i="24"/>
  <c r="S1497" i="24" s="1"/>
  <c r="U1497" i="24" s="1"/>
  <c r="Y1497" i="24" s="1"/>
  <c r="J1497" i="24"/>
  <c r="R1496" i="24"/>
  <c r="O1496" i="24"/>
  <c r="N1496" i="24"/>
  <c r="S1496" i="24" s="1"/>
  <c r="J1496" i="24"/>
  <c r="R1495" i="24"/>
  <c r="O1495" i="24"/>
  <c r="N1495" i="24"/>
  <c r="S1495" i="24" s="1"/>
  <c r="J1495" i="24"/>
  <c r="R1494" i="24"/>
  <c r="O1494" i="24"/>
  <c r="N1494" i="24"/>
  <c r="J1494" i="24"/>
  <c r="R1493" i="24"/>
  <c r="O1493" i="24"/>
  <c r="N1493" i="24"/>
  <c r="J1493" i="24"/>
  <c r="R1492" i="24"/>
  <c r="O1492" i="24"/>
  <c r="N1492" i="24"/>
  <c r="P1492" i="24" s="1"/>
  <c r="J1492" i="24"/>
  <c r="R1491" i="24"/>
  <c r="O1491" i="24"/>
  <c r="N1491" i="24"/>
  <c r="S1491" i="24" s="1"/>
  <c r="J1491" i="24"/>
  <c r="R1490" i="24"/>
  <c r="O1490" i="24"/>
  <c r="N1490" i="24"/>
  <c r="S1490" i="24" s="1"/>
  <c r="J1490" i="24"/>
  <c r="R1489" i="24"/>
  <c r="O1489" i="24"/>
  <c r="N1489" i="24"/>
  <c r="J1489" i="24"/>
  <c r="R1488" i="24"/>
  <c r="O1488" i="24"/>
  <c r="N1488" i="24"/>
  <c r="S1488" i="24" s="1"/>
  <c r="J1488" i="24"/>
  <c r="R1487" i="24"/>
  <c r="O1487" i="24"/>
  <c r="N1487" i="24"/>
  <c r="J1487" i="24"/>
  <c r="R1486" i="24"/>
  <c r="O1486" i="24"/>
  <c r="N1486" i="24"/>
  <c r="P1486" i="24" s="1"/>
  <c r="J1486" i="24"/>
  <c r="R1485" i="24"/>
  <c r="O1485" i="24"/>
  <c r="N1485" i="24"/>
  <c r="J1485" i="24"/>
  <c r="R1484" i="24"/>
  <c r="O1484" i="24"/>
  <c r="N1484" i="24"/>
  <c r="S1484" i="24" s="1"/>
  <c r="J1484" i="24"/>
  <c r="R1483" i="24"/>
  <c r="O1483" i="24"/>
  <c r="N1483" i="24"/>
  <c r="J1483" i="24"/>
  <c r="R1482" i="24"/>
  <c r="O1482" i="24"/>
  <c r="N1482" i="24"/>
  <c r="J1482" i="24"/>
  <c r="R1481" i="24"/>
  <c r="O1481" i="24"/>
  <c r="N1481" i="24"/>
  <c r="J1481" i="24"/>
  <c r="R1480" i="24"/>
  <c r="O1480" i="24"/>
  <c r="N1480" i="24"/>
  <c r="J1480" i="24"/>
  <c r="R1479" i="24"/>
  <c r="O1479" i="24"/>
  <c r="N1479" i="24"/>
  <c r="J1479" i="24"/>
  <c r="R1478" i="24"/>
  <c r="O1478" i="24"/>
  <c r="N1478" i="24"/>
  <c r="P1478" i="24" s="1"/>
  <c r="J1478" i="24"/>
  <c r="R1477" i="24"/>
  <c r="O1477" i="24"/>
  <c r="N1477" i="24"/>
  <c r="J1477" i="24"/>
  <c r="R1476" i="24"/>
  <c r="O1476" i="24"/>
  <c r="N1476" i="24"/>
  <c r="S1476" i="24" s="1"/>
  <c r="J1476" i="24"/>
  <c r="R1475" i="24"/>
  <c r="O1475" i="24"/>
  <c r="N1475" i="24"/>
  <c r="J1475" i="24"/>
  <c r="R1474" i="24"/>
  <c r="O1474" i="24"/>
  <c r="N1474" i="24"/>
  <c r="P1474" i="24" s="1"/>
  <c r="J1474" i="24"/>
  <c r="R1473" i="24"/>
  <c r="O1473" i="24"/>
  <c r="N1473" i="24"/>
  <c r="J1473" i="24"/>
  <c r="R1472" i="24"/>
  <c r="O1472" i="24"/>
  <c r="N1472" i="24"/>
  <c r="S1472" i="24" s="1"/>
  <c r="J1472" i="24"/>
  <c r="R1471" i="24"/>
  <c r="O1471" i="24"/>
  <c r="N1471" i="24"/>
  <c r="J1471" i="24"/>
  <c r="R1470" i="24"/>
  <c r="O1470" i="24"/>
  <c r="N1470" i="24"/>
  <c r="P1470" i="24" s="1"/>
  <c r="J1470" i="24"/>
  <c r="R1469" i="24"/>
  <c r="O1469" i="24"/>
  <c r="N1469" i="24"/>
  <c r="J1469" i="24"/>
  <c r="R1468" i="24"/>
  <c r="O1468" i="24"/>
  <c r="N1468" i="24"/>
  <c r="S1468" i="24" s="1"/>
  <c r="J1468" i="24"/>
  <c r="R1467" i="24"/>
  <c r="O1467" i="24"/>
  <c r="N1467" i="24"/>
  <c r="J1467" i="24"/>
  <c r="R1466" i="24"/>
  <c r="O1466" i="24"/>
  <c r="N1466" i="24"/>
  <c r="P1466" i="24" s="1"/>
  <c r="J1466" i="24"/>
  <c r="R1465" i="24"/>
  <c r="O1465" i="24"/>
  <c r="N1465" i="24"/>
  <c r="J1465" i="24"/>
  <c r="R1464" i="24"/>
  <c r="O1464" i="24"/>
  <c r="N1464" i="24"/>
  <c r="S1464" i="24" s="1"/>
  <c r="J1464" i="24"/>
  <c r="R1463" i="24"/>
  <c r="O1463" i="24"/>
  <c r="N1463" i="24"/>
  <c r="J1463" i="24"/>
  <c r="R1462" i="24"/>
  <c r="O1462" i="24"/>
  <c r="N1462" i="24"/>
  <c r="P1462" i="24" s="1"/>
  <c r="J1462" i="24"/>
  <c r="R1461" i="24"/>
  <c r="O1461" i="24"/>
  <c r="N1461" i="24"/>
  <c r="J1461" i="24"/>
  <c r="R1460" i="24"/>
  <c r="O1460" i="24"/>
  <c r="N1460" i="24"/>
  <c r="P1460" i="24" s="1"/>
  <c r="J1460" i="24"/>
  <c r="R1459" i="24"/>
  <c r="O1459" i="24"/>
  <c r="N1459" i="24"/>
  <c r="J1459" i="24"/>
  <c r="R1458" i="24"/>
  <c r="O1458" i="24"/>
  <c r="N1458" i="24"/>
  <c r="P1458" i="24" s="1"/>
  <c r="J1458" i="24"/>
  <c r="R1457" i="24"/>
  <c r="O1457" i="24"/>
  <c r="N1457" i="24"/>
  <c r="J1457" i="24"/>
  <c r="R1456" i="24"/>
  <c r="O1456" i="24"/>
  <c r="N1456" i="24"/>
  <c r="S1456" i="24" s="1"/>
  <c r="J1456" i="24"/>
  <c r="R1455" i="24"/>
  <c r="O1455" i="24"/>
  <c r="N1455" i="24"/>
  <c r="J1455" i="24"/>
  <c r="R1454" i="24"/>
  <c r="O1454" i="24"/>
  <c r="N1454" i="24"/>
  <c r="P1454" i="24" s="1"/>
  <c r="J1454" i="24"/>
  <c r="R1453" i="24"/>
  <c r="O1453" i="24"/>
  <c r="N1453" i="24"/>
  <c r="J1453" i="24"/>
  <c r="R1452" i="24"/>
  <c r="O1452" i="24"/>
  <c r="N1452" i="24"/>
  <c r="S1452" i="24" s="1"/>
  <c r="J1452" i="24"/>
  <c r="R1451" i="24"/>
  <c r="O1451" i="24"/>
  <c r="N1451" i="24"/>
  <c r="J1451" i="24"/>
  <c r="R1450" i="24"/>
  <c r="O1450" i="24"/>
  <c r="N1450" i="24"/>
  <c r="P1450" i="24" s="1"/>
  <c r="J1450" i="24"/>
  <c r="R1449" i="24"/>
  <c r="O1449" i="24"/>
  <c r="N1449" i="24"/>
  <c r="J1449" i="24"/>
  <c r="R1448" i="24"/>
  <c r="O1448" i="24"/>
  <c r="N1448" i="24"/>
  <c r="S1448" i="24" s="1"/>
  <c r="J1448" i="24"/>
  <c r="R1447" i="24"/>
  <c r="O1447" i="24"/>
  <c r="N1447" i="24"/>
  <c r="J1447" i="24"/>
  <c r="R1446" i="24"/>
  <c r="O1446" i="24"/>
  <c r="N1446" i="24"/>
  <c r="P1446" i="24" s="1"/>
  <c r="J1446" i="24"/>
  <c r="R1445" i="24"/>
  <c r="O1445" i="24"/>
  <c r="N1445" i="24"/>
  <c r="J1445" i="24"/>
  <c r="R1444" i="24"/>
  <c r="O1444" i="24"/>
  <c r="N1444" i="24"/>
  <c r="J1444" i="24"/>
  <c r="R1443" i="24"/>
  <c r="O1443" i="24"/>
  <c r="N1443" i="24"/>
  <c r="J1443" i="24"/>
  <c r="R1442" i="24"/>
  <c r="O1442" i="24"/>
  <c r="N1442" i="24"/>
  <c r="P1442" i="24" s="1"/>
  <c r="J1442" i="24"/>
  <c r="R1441" i="24"/>
  <c r="O1441" i="24"/>
  <c r="N1441" i="24"/>
  <c r="J1441" i="24"/>
  <c r="R1440" i="24"/>
  <c r="O1440" i="24"/>
  <c r="N1440" i="24"/>
  <c r="S1440" i="24" s="1"/>
  <c r="J1440" i="24"/>
  <c r="R1439" i="24"/>
  <c r="O1439" i="24"/>
  <c r="N1439" i="24"/>
  <c r="J1439" i="24"/>
  <c r="R1438" i="24"/>
  <c r="O1438" i="24"/>
  <c r="N1438" i="24"/>
  <c r="P1438" i="24" s="1"/>
  <c r="J1438" i="24"/>
  <c r="R1437" i="24"/>
  <c r="O1437" i="24"/>
  <c r="N1437" i="24"/>
  <c r="J1437" i="24"/>
  <c r="R1436" i="24"/>
  <c r="O1436" i="24"/>
  <c r="N1436" i="24"/>
  <c r="P1436" i="24" s="1"/>
  <c r="J1436" i="24"/>
  <c r="R1435" i="24"/>
  <c r="O1435" i="24"/>
  <c r="N1435" i="24"/>
  <c r="J1435" i="24"/>
  <c r="R1434" i="24"/>
  <c r="O1434" i="24"/>
  <c r="N1434" i="24"/>
  <c r="P1434" i="24" s="1"/>
  <c r="J1434" i="24"/>
  <c r="R1433" i="24"/>
  <c r="O1433" i="24"/>
  <c r="N1433" i="24"/>
  <c r="J1433" i="24"/>
  <c r="R1432" i="24"/>
  <c r="O1432" i="24"/>
  <c r="N1432" i="24"/>
  <c r="S1432" i="24" s="1"/>
  <c r="J1432" i="24"/>
  <c r="R1431" i="24"/>
  <c r="O1431" i="24"/>
  <c r="N1431" i="24"/>
  <c r="J1431" i="24"/>
  <c r="R1430" i="24"/>
  <c r="O1430" i="24"/>
  <c r="N1430" i="24"/>
  <c r="J1430" i="24"/>
  <c r="R1429" i="24"/>
  <c r="O1429" i="24"/>
  <c r="N1429" i="24"/>
  <c r="J1429" i="24"/>
  <c r="R1428" i="24"/>
  <c r="O1428" i="24"/>
  <c r="N1428" i="24"/>
  <c r="S1428" i="24" s="1"/>
  <c r="J1428" i="24"/>
  <c r="R1427" i="24"/>
  <c r="O1427" i="24"/>
  <c r="N1427" i="24"/>
  <c r="J1427" i="24"/>
  <c r="R1426" i="24"/>
  <c r="O1426" i="24"/>
  <c r="N1426" i="24"/>
  <c r="P1426" i="24" s="1"/>
  <c r="J1426" i="24"/>
  <c r="R1425" i="24"/>
  <c r="O1425" i="24"/>
  <c r="N1425" i="24"/>
  <c r="J1425" i="24"/>
  <c r="R1424" i="24"/>
  <c r="O1424" i="24"/>
  <c r="N1424" i="24"/>
  <c r="S1424" i="24" s="1"/>
  <c r="J1424" i="24"/>
  <c r="R1423" i="24"/>
  <c r="O1423" i="24"/>
  <c r="N1423" i="24"/>
  <c r="J1423" i="24"/>
  <c r="R1422" i="24"/>
  <c r="O1422" i="24"/>
  <c r="N1422" i="24"/>
  <c r="J1422" i="24"/>
  <c r="R1421" i="24"/>
  <c r="O1421" i="24"/>
  <c r="N1421" i="24"/>
  <c r="J1421" i="24"/>
  <c r="R1420" i="24"/>
  <c r="O1420" i="24"/>
  <c r="N1420" i="24"/>
  <c r="P1420" i="24" s="1"/>
  <c r="J1420" i="24"/>
  <c r="R1419" i="24"/>
  <c r="O1419" i="24"/>
  <c r="N1419" i="24"/>
  <c r="J1419" i="24"/>
  <c r="R1418" i="24"/>
  <c r="O1418" i="24"/>
  <c r="N1418" i="24"/>
  <c r="J1418" i="24"/>
  <c r="R1417" i="24"/>
  <c r="O1417" i="24"/>
  <c r="N1417" i="24"/>
  <c r="J1417" i="24"/>
  <c r="R1416" i="24"/>
  <c r="O1416" i="24"/>
  <c r="N1416" i="24"/>
  <c r="S1416" i="24" s="1"/>
  <c r="J1416" i="24"/>
  <c r="R1415" i="24"/>
  <c r="O1415" i="24"/>
  <c r="N1415" i="24"/>
  <c r="J1415" i="24"/>
  <c r="R1414" i="24"/>
  <c r="O1414" i="24"/>
  <c r="N1414" i="24"/>
  <c r="P1414" i="24" s="1"/>
  <c r="J1414" i="24"/>
  <c r="R1413" i="24"/>
  <c r="O1413" i="24"/>
  <c r="N1413" i="24"/>
  <c r="J1413" i="24"/>
  <c r="R1412" i="24"/>
  <c r="O1412" i="24"/>
  <c r="N1412" i="24"/>
  <c r="S1412" i="24" s="1"/>
  <c r="J1412" i="24"/>
  <c r="R1411" i="24"/>
  <c r="O1411" i="24"/>
  <c r="N1411" i="24"/>
  <c r="J1411" i="24"/>
  <c r="R1410" i="24"/>
  <c r="O1410" i="24"/>
  <c r="N1410" i="24"/>
  <c r="P1410" i="24" s="1"/>
  <c r="J1410" i="24"/>
  <c r="R1409" i="24"/>
  <c r="O1409" i="24"/>
  <c r="N1409" i="24"/>
  <c r="P1409" i="24" s="1"/>
  <c r="J1409" i="24"/>
  <c r="R1408" i="24"/>
  <c r="O1408" i="24"/>
  <c r="N1408" i="24"/>
  <c r="J1408" i="24"/>
  <c r="R1407" i="24"/>
  <c r="O1407" i="24"/>
  <c r="N1407" i="24"/>
  <c r="J1407" i="24"/>
  <c r="R1406" i="24"/>
  <c r="O1406" i="24"/>
  <c r="N1406" i="24"/>
  <c r="S1406" i="24" s="1"/>
  <c r="J1406" i="24"/>
  <c r="R1405" i="24"/>
  <c r="O1405" i="24"/>
  <c r="N1405" i="24"/>
  <c r="J1405" i="24"/>
  <c r="R1404" i="24"/>
  <c r="O1404" i="24"/>
  <c r="N1404" i="24"/>
  <c r="S1404" i="24" s="1"/>
  <c r="J1404" i="24"/>
  <c r="R1403" i="24"/>
  <c r="O1403" i="24"/>
  <c r="N1403" i="24"/>
  <c r="P1403" i="24" s="1"/>
  <c r="J1403" i="24"/>
  <c r="R1402" i="24"/>
  <c r="O1402" i="24"/>
  <c r="N1402" i="24"/>
  <c r="S1402" i="24" s="1"/>
  <c r="J1402" i="24"/>
  <c r="R1401" i="24"/>
  <c r="O1401" i="24"/>
  <c r="N1401" i="24"/>
  <c r="P1401" i="24" s="1"/>
  <c r="J1401" i="24"/>
  <c r="R1400" i="24"/>
  <c r="O1400" i="24"/>
  <c r="N1400" i="24"/>
  <c r="J1400" i="24"/>
  <c r="R1399" i="24"/>
  <c r="O1399" i="24"/>
  <c r="N1399" i="24"/>
  <c r="J1399" i="24"/>
  <c r="R1398" i="24"/>
  <c r="O1398" i="24"/>
  <c r="N1398" i="24"/>
  <c r="S1398" i="24" s="1"/>
  <c r="J1398" i="24"/>
  <c r="R1397" i="24"/>
  <c r="O1397" i="24"/>
  <c r="N1397" i="24"/>
  <c r="J1397" i="24"/>
  <c r="R1396" i="24"/>
  <c r="O1396" i="24"/>
  <c r="N1396" i="24"/>
  <c r="J1396" i="24"/>
  <c r="R1395" i="24"/>
  <c r="O1395" i="24"/>
  <c r="N1395" i="24"/>
  <c r="P1395" i="24" s="1"/>
  <c r="J1395" i="24"/>
  <c r="R1394" i="24"/>
  <c r="O1394" i="24"/>
  <c r="N1394" i="24"/>
  <c r="J1394" i="24"/>
  <c r="R1393" i="24"/>
  <c r="O1393" i="24"/>
  <c r="N1393" i="24"/>
  <c r="J1393" i="24"/>
  <c r="R1392" i="24"/>
  <c r="O1392" i="24"/>
  <c r="N1392" i="24"/>
  <c r="J1392" i="24"/>
  <c r="R1391" i="24"/>
  <c r="O1391" i="24"/>
  <c r="N1391" i="24"/>
  <c r="P1391" i="24" s="1"/>
  <c r="J1391" i="24"/>
  <c r="R1390" i="24"/>
  <c r="O1390" i="24"/>
  <c r="N1390" i="24"/>
  <c r="J1390" i="24"/>
  <c r="R1389" i="24"/>
  <c r="O1389" i="24"/>
  <c r="N1389" i="24"/>
  <c r="J1389" i="24"/>
  <c r="R1388" i="24"/>
  <c r="O1388" i="24"/>
  <c r="N1388" i="24"/>
  <c r="J1388" i="24"/>
  <c r="R1387" i="24"/>
  <c r="O1387" i="24"/>
  <c r="N1387" i="24"/>
  <c r="P1387" i="24" s="1"/>
  <c r="J1387" i="24"/>
  <c r="R1386" i="24"/>
  <c r="O1386" i="24"/>
  <c r="N1386" i="24"/>
  <c r="P1386" i="24" s="1"/>
  <c r="J1386" i="24"/>
  <c r="R1385" i="24"/>
  <c r="O1385" i="24"/>
  <c r="N1385" i="24"/>
  <c r="J1385" i="24"/>
  <c r="R1384" i="24"/>
  <c r="O1384" i="24"/>
  <c r="N1384" i="24"/>
  <c r="S1384" i="24" s="1"/>
  <c r="J1384" i="24"/>
  <c r="R1383" i="24"/>
  <c r="O1383" i="24"/>
  <c r="N1383" i="24"/>
  <c r="J1383" i="24"/>
  <c r="R1382" i="24"/>
  <c r="O1382" i="24"/>
  <c r="N1382" i="24"/>
  <c r="P1382" i="24" s="1"/>
  <c r="J1382" i="24"/>
  <c r="R1381" i="24"/>
  <c r="O1381" i="24"/>
  <c r="N1381" i="24"/>
  <c r="J1381" i="24"/>
  <c r="R1380" i="24"/>
  <c r="O1380" i="24"/>
  <c r="N1380" i="24"/>
  <c r="J1380" i="24"/>
  <c r="R1379" i="24"/>
  <c r="O1379" i="24"/>
  <c r="N1379" i="24"/>
  <c r="P1379" i="24" s="1"/>
  <c r="J1379" i="24"/>
  <c r="R1378" i="24"/>
  <c r="O1378" i="24"/>
  <c r="N1378" i="24"/>
  <c r="P1378" i="24" s="1"/>
  <c r="J1378" i="24"/>
  <c r="R1377" i="24"/>
  <c r="O1377" i="24"/>
  <c r="N1377" i="24"/>
  <c r="J1377" i="24"/>
  <c r="R1376" i="24"/>
  <c r="O1376" i="24"/>
  <c r="N1376" i="24"/>
  <c r="S1376" i="24" s="1"/>
  <c r="J1376" i="24"/>
  <c r="R1375" i="24"/>
  <c r="O1375" i="24"/>
  <c r="N1375" i="24"/>
  <c r="J1375" i="24"/>
  <c r="R1374" i="24"/>
  <c r="O1374" i="24"/>
  <c r="N1374" i="24"/>
  <c r="J1374" i="24"/>
  <c r="R1373" i="24"/>
  <c r="O1373" i="24"/>
  <c r="N1373" i="24"/>
  <c r="J1373" i="24"/>
  <c r="R1372" i="24"/>
  <c r="O1372" i="24"/>
  <c r="N1372" i="24"/>
  <c r="J1372" i="24"/>
  <c r="R1371" i="24"/>
  <c r="O1371" i="24"/>
  <c r="N1371" i="24"/>
  <c r="P1371" i="24" s="1"/>
  <c r="J1371" i="24"/>
  <c r="R1370" i="24"/>
  <c r="O1370" i="24"/>
  <c r="N1370" i="24"/>
  <c r="P1370" i="24" s="1"/>
  <c r="J1370" i="24"/>
  <c r="R1369" i="24"/>
  <c r="O1369" i="24"/>
  <c r="N1369" i="24"/>
  <c r="J1369" i="24"/>
  <c r="R1368" i="24"/>
  <c r="O1368" i="24"/>
  <c r="N1368" i="24"/>
  <c r="J1368" i="24"/>
  <c r="R1367" i="24"/>
  <c r="O1367" i="24"/>
  <c r="N1367" i="24"/>
  <c r="J1367" i="24"/>
  <c r="R1366" i="24"/>
  <c r="O1366" i="24"/>
  <c r="N1366" i="24"/>
  <c r="P1366" i="24" s="1"/>
  <c r="J1366" i="24"/>
  <c r="R1365" i="24"/>
  <c r="O1365" i="24"/>
  <c r="N1365" i="24"/>
  <c r="J1365" i="24"/>
  <c r="R1364" i="24"/>
  <c r="O1364" i="24"/>
  <c r="N1364" i="24"/>
  <c r="J1364" i="24"/>
  <c r="R1363" i="24"/>
  <c r="O1363" i="24"/>
  <c r="N1363" i="24"/>
  <c r="P1363" i="24" s="1"/>
  <c r="J1363" i="24"/>
  <c r="R1362" i="24"/>
  <c r="O1362" i="24"/>
  <c r="N1362" i="24"/>
  <c r="J1362" i="24"/>
  <c r="R1361" i="24"/>
  <c r="O1361" i="24"/>
  <c r="N1361" i="24"/>
  <c r="J1361" i="24"/>
  <c r="R1360" i="24"/>
  <c r="O1360" i="24"/>
  <c r="N1360" i="24"/>
  <c r="S1360" i="24" s="1"/>
  <c r="J1360" i="24"/>
  <c r="R1359" i="24"/>
  <c r="O1359" i="24"/>
  <c r="N1359" i="24"/>
  <c r="J1359" i="24"/>
  <c r="R1358" i="24"/>
  <c r="O1358" i="24"/>
  <c r="N1358" i="24"/>
  <c r="P1358" i="24" s="1"/>
  <c r="J1358" i="24"/>
  <c r="R1357" i="24"/>
  <c r="O1357" i="24"/>
  <c r="N1357" i="24"/>
  <c r="J1357" i="24"/>
  <c r="R1356" i="24"/>
  <c r="O1356" i="24"/>
  <c r="N1356" i="24"/>
  <c r="J1356" i="24"/>
  <c r="R1355" i="24"/>
  <c r="O1355" i="24"/>
  <c r="N1355" i="24"/>
  <c r="J1355" i="24"/>
  <c r="R1354" i="24"/>
  <c r="O1354" i="24"/>
  <c r="N1354" i="24"/>
  <c r="P1354" i="24" s="1"/>
  <c r="J1354" i="24"/>
  <c r="R1353" i="24"/>
  <c r="O1353" i="24"/>
  <c r="N1353" i="24"/>
  <c r="J1353" i="24"/>
  <c r="R1352" i="24"/>
  <c r="O1352" i="24"/>
  <c r="N1352" i="24"/>
  <c r="S1352" i="24" s="1"/>
  <c r="J1352" i="24"/>
  <c r="R1351" i="24"/>
  <c r="O1351" i="24"/>
  <c r="N1351" i="24"/>
  <c r="J1351" i="24"/>
  <c r="R1350" i="24"/>
  <c r="O1350" i="24"/>
  <c r="N1350" i="24"/>
  <c r="S1350" i="24" s="1"/>
  <c r="J1350" i="24"/>
  <c r="R1349" i="24"/>
  <c r="O1349" i="24"/>
  <c r="N1349" i="24"/>
  <c r="J1349" i="24"/>
  <c r="R1348" i="24"/>
  <c r="O1348" i="24"/>
  <c r="N1348" i="24"/>
  <c r="J1348" i="24"/>
  <c r="R1347" i="24"/>
  <c r="O1347" i="24"/>
  <c r="N1347" i="24"/>
  <c r="J1347" i="24"/>
  <c r="R1346" i="24"/>
  <c r="O1346" i="24"/>
  <c r="N1346" i="24"/>
  <c r="S1346" i="24" s="1"/>
  <c r="J1346" i="24"/>
  <c r="R1345" i="24"/>
  <c r="O1345" i="24"/>
  <c r="N1345" i="24"/>
  <c r="J1345" i="24"/>
  <c r="R1344" i="24"/>
  <c r="O1344" i="24"/>
  <c r="N1344" i="24"/>
  <c r="S1344" i="24" s="1"/>
  <c r="J1344" i="24"/>
  <c r="R1343" i="24"/>
  <c r="O1343" i="24"/>
  <c r="N1343" i="24"/>
  <c r="P1343" i="24" s="1"/>
  <c r="J1343" i="24"/>
  <c r="R1342" i="24"/>
  <c r="O1342" i="24"/>
  <c r="N1342" i="24"/>
  <c r="S1342" i="24" s="1"/>
  <c r="J1342" i="24"/>
  <c r="R1341" i="24"/>
  <c r="O1341" i="24"/>
  <c r="N1341" i="24"/>
  <c r="J1341" i="24"/>
  <c r="R1340" i="24"/>
  <c r="O1340" i="24"/>
  <c r="N1340" i="24"/>
  <c r="P1340" i="24" s="1"/>
  <c r="J1340" i="24"/>
  <c r="R1339" i="24"/>
  <c r="O1339" i="24"/>
  <c r="N1339" i="24"/>
  <c r="J1339" i="24"/>
  <c r="R1338" i="24"/>
  <c r="O1338" i="24"/>
  <c r="N1338" i="24"/>
  <c r="P1338" i="24" s="1"/>
  <c r="J1338" i="24"/>
  <c r="R1337" i="24"/>
  <c r="O1337" i="24"/>
  <c r="N1337" i="24"/>
  <c r="P1337" i="24" s="1"/>
  <c r="J1337" i="24"/>
  <c r="R1336" i="24"/>
  <c r="O1336" i="24"/>
  <c r="N1336" i="24"/>
  <c r="S1336" i="24" s="1"/>
  <c r="J1336" i="24"/>
  <c r="R1335" i="24"/>
  <c r="O1335" i="24"/>
  <c r="N1335" i="24"/>
  <c r="J1335" i="24"/>
  <c r="R1334" i="24"/>
  <c r="O1334" i="24"/>
  <c r="N1334" i="24"/>
  <c r="J1334" i="24"/>
  <c r="R1333" i="24"/>
  <c r="O1333" i="24"/>
  <c r="N1333" i="24"/>
  <c r="P1333" i="24" s="1"/>
  <c r="J1333" i="24"/>
  <c r="R1332" i="24"/>
  <c r="O1332" i="24"/>
  <c r="N1332" i="24"/>
  <c r="J1332" i="24"/>
  <c r="R1331" i="24"/>
  <c r="O1331" i="24"/>
  <c r="N1331" i="24"/>
  <c r="J1331" i="24"/>
  <c r="R1330" i="24"/>
  <c r="O1330" i="24"/>
  <c r="N1330" i="24"/>
  <c r="J1330" i="24"/>
  <c r="R1329" i="24"/>
  <c r="O1329" i="24"/>
  <c r="N1329" i="24"/>
  <c r="J1329" i="24"/>
  <c r="R1328" i="24"/>
  <c r="O1328" i="24"/>
  <c r="N1328" i="24"/>
  <c r="J1328" i="24"/>
  <c r="R1327" i="24"/>
  <c r="O1327" i="24"/>
  <c r="N1327" i="24"/>
  <c r="P1327" i="24" s="1"/>
  <c r="J1327" i="24"/>
  <c r="R1326" i="24"/>
  <c r="O1326" i="24"/>
  <c r="N1326" i="24"/>
  <c r="J1326" i="24"/>
  <c r="R1325" i="24"/>
  <c r="O1325" i="24"/>
  <c r="N1325" i="24"/>
  <c r="P1325" i="24" s="1"/>
  <c r="J1325" i="24"/>
  <c r="R1324" i="24"/>
  <c r="O1324" i="24"/>
  <c r="N1324" i="24"/>
  <c r="P1324" i="24" s="1"/>
  <c r="J1324" i="24"/>
  <c r="R1323" i="24"/>
  <c r="O1323" i="24"/>
  <c r="N1323" i="24"/>
  <c r="J1323" i="24"/>
  <c r="R1322" i="24"/>
  <c r="O1322" i="24"/>
  <c r="N1322" i="24"/>
  <c r="S1322" i="24" s="1"/>
  <c r="J1322" i="24"/>
  <c r="R1321" i="24"/>
  <c r="O1321" i="24"/>
  <c r="N1321" i="24"/>
  <c r="P1321" i="24" s="1"/>
  <c r="J1321" i="24"/>
  <c r="R1320" i="24"/>
  <c r="O1320" i="24"/>
  <c r="N1320" i="24"/>
  <c r="S1320" i="24" s="1"/>
  <c r="J1320" i="24"/>
  <c r="R1319" i="24"/>
  <c r="O1319" i="24"/>
  <c r="N1319" i="24"/>
  <c r="J1319" i="24"/>
  <c r="R1318" i="24"/>
  <c r="O1318" i="24"/>
  <c r="N1318" i="24"/>
  <c r="J1318" i="24"/>
  <c r="R1317" i="24"/>
  <c r="O1317" i="24"/>
  <c r="N1317" i="24"/>
  <c r="P1317" i="24" s="1"/>
  <c r="J1317" i="24"/>
  <c r="R1316" i="24"/>
  <c r="O1316" i="24"/>
  <c r="N1316" i="24"/>
  <c r="P1316" i="24" s="1"/>
  <c r="J1316" i="24"/>
  <c r="R1315" i="24"/>
  <c r="O1315" i="24"/>
  <c r="N1315" i="24"/>
  <c r="J1315" i="24"/>
  <c r="R1314" i="24"/>
  <c r="O1314" i="24"/>
  <c r="N1314" i="24"/>
  <c r="P1314" i="24" s="1"/>
  <c r="J1314" i="24"/>
  <c r="R1313" i="24"/>
  <c r="O1313" i="24"/>
  <c r="N1313" i="24"/>
  <c r="J1313" i="24"/>
  <c r="R1312" i="24"/>
  <c r="O1312" i="24"/>
  <c r="N1312" i="24"/>
  <c r="S1312" i="24" s="1"/>
  <c r="J1312" i="24"/>
  <c r="R1311" i="24"/>
  <c r="O1311" i="24"/>
  <c r="N1311" i="24"/>
  <c r="J1311" i="24"/>
  <c r="R1310" i="24"/>
  <c r="O1310" i="24"/>
  <c r="N1310" i="24"/>
  <c r="J1310" i="24"/>
  <c r="R1309" i="24"/>
  <c r="O1309" i="24"/>
  <c r="N1309" i="24"/>
  <c r="J1309" i="24"/>
  <c r="R1308" i="24"/>
  <c r="O1308" i="24"/>
  <c r="N1308" i="24"/>
  <c r="P1308" i="24" s="1"/>
  <c r="J1308" i="24"/>
  <c r="R1307" i="24"/>
  <c r="O1307" i="24"/>
  <c r="N1307" i="24"/>
  <c r="J1307" i="24"/>
  <c r="R1306" i="24"/>
  <c r="O1306" i="24"/>
  <c r="N1306" i="24"/>
  <c r="P1306" i="24" s="1"/>
  <c r="J1306" i="24"/>
  <c r="R1305" i="24"/>
  <c r="O1305" i="24"/>
  <c r="N1305" i="24"/>
  <c r="P1305" i="24" s="1"/>
  <c r="J1305" i="24"/>
  <c r="R1304" i="24"/>
  <c r="O1304" i="24"/>
  <c r="N1304" i="24"/>
  <c r="J1304" i="24"/>
  <c r="R1303" i="24"/>
  <c r="O1303" i="24"/>
  <c r="N1303" i="24"/>
  <c r="P1303" i="24" s="1"/>
  <c r="J1303" i="24"/>
  <c r="R1302" i="24"/>
  <c r="O1302" i="24"/>
  <c r="N1302" i="24"/>
  <c r="J1302" i="24"/>
  <c r="R1301" i="24"/>
  <c r="O1301" i="24"/>
  <c r="N1301" i="24"/>
  <c r="P1301" i="24" s="1"/>
  <c r="J1301" i="24"/>
  <c r="R1300" i="24"/>
  <c r="O1300" i="24"/>
  <c r="N1300" i="24"/>
  <c r="J1300" i="24"/>
  <c r="R1299" i="24"/>
  <c r="O1299" i="24"/>
  <c r="N1299" i="24"/>
  <c r="S1299" i="24" s="1"/>
  <c r="U1299" i="24" s="1"/>
  <c r="Y1299" i="24" s="1"/>
  <c r="J1299" i="24"/>
  <c r="R1298" i="24"/>
  <c r="O1298" i="24"/>
  <c r="N1298" i="24"/>
  <c r="P1298" i="24" s="1"/>
  <c r="J1298" i="24"/>
  <c r="R1297" i="24"/>
  <c r="O1297" i="24"/>
  <c r="N1297" i="24"/>
  <c r="S1297" i="24" s="1"/>
  <c r="U1297" i="24" s="1"/>
  <c r="Y1297" i="24" s="1"/>
  <c r="J1297" i="24"/>
  <c r="R1296" i="24"/>
  <c r="O1296" i="24"/>
  <c r="N1296" i="24"/>
  <c r="P1296" i="24" s="1"/>
  <c r="J1296" i="24"/>
  <c r="R1295" i="24"/>
  <c r="O1295" i="24"/>
  <c r="N1295" i="24"/>
  <c r="J1295" i="24"/>
  <c r="R1294" i="24"/>
  <c r="O1294" i="24"/>
  <c r="N1294" i="24"/>
  <c r="P1294" i="24" s="1"/>
  <c r="J1294" i="24"/>
  <c r="R1293" i="24"/>
  <c r="O1293" i="24"/>
  <c r="N1293" i="24"/>
  <c r="S1293" i="24" s="1"/>
  <c r="U1293" i="24" s="1"/>
  <c r="Y1293" i="24" s="1"/>
  <c r="J1293" i="24"/>
  <c r="R1292" i="24"/>
  <c r="O1292" i="24"/>
  <c r="N1292" i="24"/>
  <c r="J1292" i="24"/>
  <c r="R1291" i="24"/>
  <c r="O1291" i="24"/>
  <c r="N1291" i="24"/>
  <c r="S1291" i="24" s="1"/>
  <c r="U1291" i="24" s="1"/>
  <c r="Z1291" i="24" s="1"/>
  <c r="J1291" i="24"/>
  <c r="R1290" i="24"/>
  <c r="O1290" i="24"/>
  <c r="N1290" i="24"/>
  <c r="J1290" i="24"/>
  <c r="R1289" i="24"/>
  <c r="O1289" i="24"/>
  <c r="N1289" i="24"/>
  <c r="S1289" i="24" s="1"/>
  <c r="U1289" i="24" s="1"/>
  <c r="J1289" i="24"/>
  <c r="R1288" i="24"/>
  <c r="O1288" i="24"/>
  <c r="N1288" i="24"/>
  <c r="J1288" i="24"/>
  <c r="R1287" i="24"/>
  <c r="O1287" i="24"/>
  <c r="N1287" i="24"/>
  <c r="J1287" i="24"/>
  <c r="R1286" i="24"/>
  <c r="O1286" i="24"/>
  <c r="N1286" i="24"/>
  <c r="J1286" i="24"/>
  <c r="R1285" i="24"/>
  <c r="O1285" i="24"/>
  <c r="N1285" i="24"/>
  <c r="S1285" i="24" s="1"/>
  <c r="U1285" i="24" s="1"/>
  <c r="J1285" i="24"/>
  <c r="R1284" i="24"/>
  <c r="O1284" i="24"/>
  <c r="N1284" i="24"/>
  <c r="P1284" i="24" s="1"/>
  <c r="J1284" i="24"/>
  <c r="R1283" i="24"/>
  <c r="O1283" i="24"/>
  <c r="N1283" i="24"/>
  <c r="S1283" i="24" s="1"/>
  <c r="U1283" i="24" s="1"/>
  <c r="Z1283" i="24" s="1"/>
  <c r="J1283" i="24"/>
  <c r="R1282" i="24"/>
  <c r="O1282" i="24"/>
  <c r="N1282" i="24"/>
  <c r="P1282" i="24" s="1"/>
  <c r="J1282" i="24"/>
  <c r="R1281" i="24"/>
  <c r="O1281" i="24"/>
  <c r="N1281" i="24"/>
  <c r="S1281" i="24" s="1"/>
  <c r="U1281" i="24" s="1"/>
  <c r="J1281" i="24"/>
  <c r="R1280" i="24"/>
  <c r="O1280" i="24"/>
  <c r="N1280" i="24"/>
  <c r="P1280" i="24" s="1"/>
  <c r="J1280" i="24"/>
  <c r="R1279" i="24"/>
  <c r="O1279" i="24"/>
  <c r="N1279" i="24"/>
  <c r="J1279" i="24"/>
  <c r="R1278" i="24"/>
  <c r="O1278" i="24"/>
  <c r="N1278" i="24"/>
  <c r="P1278" i="24" s="1"/>
  <c r="J1278" i="24"/>
  <c r="R1277" i="24"/>
  <c r="O1277" i="24"/>
  <c r="N1277" i="24"/>
  <c r="J1277" i="24"/>
  <c r="R1276" i="24"/>
  <c r="O1276" i="24"/>
  <c r="N1276" i="24"/>
  <c r="P1276" i="24" s="1"/>
  <c r="J1276" i="24"/>
  <c r="R1275" i="24"/>
  <c r="O1275" i="24"/>
  <c r="N1275" i="24"/>
  <c r="S1275" i="24" s="1"/>
  <c r="U1275" i="24" s="1"/>
  <c r="Z1275" i="24" s="1"/>
  <c r="J1275" i="24"/>
  <c r="R1274" i="24"/>
  <c r="O1274" i="24"/>
  <c r="N1274" i="24"/>
  <c r="P1274" i="24" s="1"/>
  <c r="J1274" i="24"/>
  <c r="R1273" i="24"/>
  <c r="O1273" i="24"/>
  <c r="N1273" i="24"/>
  <c r="S1273" i="24" s="1"/>
  <c r="U1273" i="24" s="1"/>
  <c r="Z1273" i="24" s="1"/>
  <c r="J1273" i="24"/>
  <c r="R1272" i="24"/>
  <c r="O1272" i="24"/>
  <c r="N1272" i="24"/>
  <c r="P1272" i="24" s="1"/>
  <c r="J1272" i="24"/>
  <c r="R1271" i="24"/>
  <c r="O1271" i="24"/>
  <c r="N1271" i="24"/>
  <c r="S1271" i="24" s="1"/>
  <c r="U1271" i="24" s="1"/>
  <c r="Z1271" i="24" s="1"/>
  <c r="J1271" i="24"/>
  <c r="R1270" i="24"/>
  <c r="O1270" i="24"/>
  <c r="N1270" i="24"/>
  <c r="P1270" i="24" s="1"/>
  <c r="J1270" i="24"/>
  <c r="R1269" i="24"/>
  <c r="O1269" i="24"/>
  <c r="N1269" i="24"/>
  <c r="J1269" i="24"/>
  <c r="R1268" i="24"/>
  <c r="O1268" i="24"/>
  <c r="N1268" i="24"/>
  <c r="P1268" i="24" s="1"/>
  <c r="J1268" i="24"/>
  <c r="R1267" i="24"/>
  <c r="O1267" i="24"/>
  <c r="N1267" i="24"/>
  <c r="J1267" i="24"/>
  <c r="R1266" i="24"/>
  <c r="O1266" i="24"/>
  <c r="N1266" i="24"/>
  <c r="P1266" i="24" s="1"/>
  <c r="J1266" i="24"/>
  <c r="R1265" i="24"/>
  <c r="O1265" i="24"/>
  <c r="N1265" i="24"/>
  <c r="P1265" i="24" s="1"/>
  <c r="J1265" i="24"/>
  <c r="R1264" i="24"/>
  <c r="O1264" i="24"/>
  <c r="N1264" i="24"/>
  <c r="P1264" i="24" s="1"/>
  <c r="J1264" i="24"/>
  <c r="R1263" i="24"/>
  <c r="O1263" i="24"/>
  <c r="N1263" i="24"/>
  <c r="S1263" i="24" s="1"/>
  <c r="U1263" i="24" s="1"/>
  <c r="Z1263" i="24" s="1"/>
  <c r="J1263" i="24"/>
  <c r="R1262" i="24"/>
  <c r="O1262" i="24"/>
  <c r="N1262" i="24"/>
  <c r="J1262" i="24"/>
  <c r="R1261" i="24"/>
  <c r="O1261" i="24"/>
  <c r="N1261" i="24"/>
  <c r="J1261" i="24"/>
  <c r="R1260" i="24"/>
  <c r="O1260" i="24"/>
  <c r="N1260" i="24"/>
  <c r="J1260" i="24"/>
  <c r="R1259" i="24"/>
  <c r="O1259" i="24"/>
  <c r="N1259" i="24"/>
  <c r="J1259" i="24"/>
  <c r="R1258" i="24"/>
  <c r="O1258" i="24"/>
  <c r="N1258" i="24"/>
  <c r="P1258" i="24" s="1"/>
  <c r="J1258" i="24"/>
  <c r="R1257" i="24"/>
  <c r="O1257" i="24"/>
  <c r="N1257" i="24"/>
  <c r="J1257" i="24"/>
  <c r="R1256" i="24"/>
  <c r="O1256" i="24"/>
  <c r="N1256" i="24"/>
  <c r="P1256" i="24" s="1"/>
  <c r="J1256" i="24"/>
  <c r="R1255" i="24"/>
  <c r="O1255" i="24"/>
  <c r="N1255" i="24"/>
  <c r="S1255" i="24" s="1"/>
  <c r="U1255" i="24" s="1"/>
  <c r="Z1255" i="24" s="1"/>
  <c r="J1255" i="24"/>
  <c r="R1254" i="24"/>
  <c r="O1254" i="24"/>
  <c r="N1254" i="24"/>
  <c r="J1254" i="24"/>
  <c r="R1253" i="24"/>
  <c r="O1253" i="24"/>
  <c r="N1253" i="24"/>
  <c r="J1253" i="24"/>
  <c r="R1252" i="24"/>
  <c r="O1252" i="24"/>
  <c r="N1252" i="24"/>
  <c r="J1252" i="24"/>
  <c r="R1251" i="24"/>
  <c r="O1251" i="24"/>
  <c r="N1251" i="24"/>
  <c r="P1251" i="24" s="1"/>
  <c r="J1251" i="24"/>
  <c r="R1250" i="24"/>
  <c r="O1250" i="24"/>
  <c r="N1250" i="24"/>
  <c r="S1250" i="24" s="1"/>
  <c r="J1250" i="24"/>
  <c r="R1249" i="24"/>
  <c r="O1249" i="24"/>
  <c r="N1249" i="24"/>
  <c r="S1249" i="24" s="1"/>
  <c r="U1249" i="24" s="1"/>
  <c r="J1249" i="24"/>
  <c r="R1248" i="24"/>
  <c r="O1248" i="24"/>
  <c r="N1248" i="24"/>
  <c r="P1248" i="24" s="1"/>
  <c r="J1248" i="24"/>
  <c r="R1247" i="24"/>
  <c r="O1247" i="24"/>
  <c r="N1247" i="24"/>
  <c r="P1247" i="24" s="1"/>
  <c r="J1247" i="24"/>
  <c r="R1246" i="24"/>
  <c r="O1246" i="24"/>
  <c r="N1246" i="24"/>
  <c r="S1246" i="24" s="1"/>
  <c r="J1246" i="24"/>
  <c r="R1245" i="24"/>
  <c r="O1245" i="24"/>
  <c r="N1245" i="24"/>
  <c r="S1245" i="24" s="1"/>
  <c r="U1245" i="24" s="1"/>
  <c r="Z1245" i="24" s="1"/>
  <c r="J1245" i="24"/>
  <c r="R1244" i="24"/>
  <c r="O1244" i="24"/>
  <c r="N1244" i="24"/>
  <c r="P1244" i="24" s="1"/>
  <c r="J1244" i="24"/>
  <c r="R1243" i="24"/>
  <c r="O1243" i="24"/>
  <c r="N1243" i="24"/>
  <c r="P1243" i="24" s="1"/>
  <c r="J1243" i="24"/>
  <c r="R1242" i="24"/>
  <c r="O1242" i="24"/>
  <c r="N1242" i="24"/>
  <c r="S1242" i="24" s="1"/>
  <c r="J1242" i="24"/>
  <c r="R1241" i="24"/>
  <c r="O1241" i="24"/>
  <c r="N1241" i="24"/>
  <c r="P1241" i="24" s="1"/>
  <c r="J1241" i="24"/>
  <c r="R1240" i="24"/>
  <c r="O1240" i="24"/>
  <c r="N1240" i="24"/>
  <c r="J1240" i="24"/>
  <c r="R1239" i="24"/>
  <c r="O1239" i="24"/>
  <c r="N1239" i="24"/>
  <c r="P1239" i="24" s="1"/>
  <c r="J1239" i="24"/>
  <c r="R1238" i="24"/>
  <c r="O1238" i="24"/>
  <c r="N1238" i="24"/>
  <c r="S1238" i="24" s="1"/>
  <c r="J1238" i="24"/>
  <c r="R1237" i="24"/>
  <c r="O1237" i="24"/>
  <c r="N1237" i="24"/>
  <c r="J1237" i="24"/>
  <c r="R1236" i="24"/>
  <c r="O1236" i="24"/>
  <c r="N1236" i="24"/>
  <c r="J1236" i="24"/>
  <c r="R1235" i="24"/>
  <c r="O1235" i="24"/>
  <c r="N1235" i="24"/>
  <c r="P1235" i="24" s="1"/>
  <c r="J1235" i="24"/>
  <c r="R1234" i="24"/>
  <c r="O1234" i="24"/>
  <c r="N1234" i="24"/>
  <c r="S1234" i="24" s="1"/>
  <c r="J1234" i="24"/>
  <c r="R1233" i="24"/>
  <c r="O1233" i="24"/>
  <c r="N1233" i="24"/>
  <c r="S1233" i="24" s="1"/>
  <c r="U1233" i="24" s="1"/>
  <c r="J1233" i="24"/>
  <c r="R1232" i="24"/>
  <c r="O1232" i="24"/>
  <c r="N1232" i="24"/>
  <c r="P1232" i="24" s="1"/>
  <c r="J1232" i="24"/>
  <c r="R1231" i="24"/>
  <c r="O1231" i="24"/>
  <c r="N1231" i="24"/>
  <c r="P1231" i="24" s="1"/>
  <c r="J1231" i="24"/>
  <c r="R1230" i="24"/>
  <c r="O1230" i="24"/>
  <c r="N1230" i="24"/>
  <c r="S1230" i="24" s="1"/>
  <c r="J1230" i="24"/>
  <c r="R1229" i="24"/>
  <c r="O1229" i="24"/>
  <c r="N1229" i="24"/>
  <c r="S1229" i="24" s="1"/>
  <c r="U1229" i="24" s="1"/>
  <c r="Z1229" i="24" s="1"/>
  <c r="J1229" i="24"/>
  <c r="R1228" i="24"/>
  <c r="O1228" i="24"/>
  <c r="N1228" i="24"/>
  <c r="P1228" i="24" s="1"/>
  <c r="J1228" i="24"/>
  <c r="R1227" i="24"/>
  <c r="O1227" i="24"/>
  <c r="N1227" i="24"/>
  <c r="J1227" i="24"/>
  <c r="R1226" i="24"/>
  <c r="O1226" i="24"/>
  <c r="N1226" i="24"/>
  <c r="J1226" i="24"/>
  <c r="R1225" i="24"/>
  <c r="O1225" i="24"/>
  <c r="N1225" i="24"/>
  <c r="S1225" i="24" s="1"/>
  <c r="U1225" i="24" s="1"/>
  <c r="J1225" i="24"/>
  <c r="R1224" i="24"/>
  <c r="O1224" i="24"/>
  <c r="N1224" i="24"/>
  <c r="J1224" i="24"/>
  <c r="R1223" i="24"/>
  <c r="O1223" i="24"/>
  <c r="N1223" i="24"/>
  <c r="J1223" i="24"/>
  <c r="R1222" i="24"/>
  <c r="O1222" i="24"/>
  <c r="N1222" i="24"/>
  <c r="J1222" i="24"/>
  <c r="R1221" i="24"/>
  <c r="O1221" i="24"/>
  <c r="N1221" i="24"/>
  <c r="S1221" i="24" s="1"/>
  <c r="U1221" i="24" s="1"/>
  <c r="J1221" i="24"/>
  <c r="R1220" i="24"/>
  <c r="O1220" i="24"/>
  <c r="N1220" i="24"/>
  <c r="J1220" i="24"/>
  <c r="R1219" i="24"/>
  <c r="O1219" i="24"/>
  <c r="N1219" i="24"/>
  <c r="S1219" i="24" s="1"/>
  <c r="U1219" i="24" s="1"/>
  <c r="J1219" i="24"/>
  <c r="R1218" i="24"/>
  <c r="O1218" i="24"/>
  <c r="N1218" i="24"/>
  <c r="J1218" i="24"/>
  <c r="R1217" i="24"/>
  <c r="O1217" i="24"/>
  <c r="N1217" i="24"/>
  <c r="S1217" i="24" s="1"/>
  <c r="U1217" i="24" s="1"/>
  <c r="J1217" i="24"/>
  <c r="R1216" i="24"/>
  <c r="O1216" i="24"/>
  <c r="N1216" i="24"/>
  <c r="J1216" i="24"/>
  <c r="R1215" i="24"/>
  <c r="O1215" i="24"/>
  <c r="N1215" i="24"/>
  <c r="J1215" i="24"/>
  <c r="R1214" i="24"/>
  <c r="O1214" i="24"/>
  <c r="N1214" i="24"/>
  <c r="J1214" i="24"/>
  <c r="R1213" i="24"/>
  <c r="O1213" i="24"/>
  <c r="N1213" i="24"/>
  <c r="S1213" i="24" s="1"/>
  <c r="U1213" i="24" s="1"/>
  <c r="J1213" i="24"/>
  <c r="R1212" i="24"/>
  <c r="O1212" i="24"/>
  <c r="N1212" i="24"/>
  <c r="J1212" i="24"/>
  <c r="R1211" i="24"/>
  <c r="O1211" i="24"/>
  <c r="N1211" i="24"/>
  <c r="P1211" i="24" s="1"/>
  <c r="J1211" i="24"/>
  <c r="R1210" i="24"/>
  <c r="O1210" i="24"/>
  <c r="N1210" i="24"/>
  <c r="J1210" i="24"/>
  <c r="R1209" i="24"/>
  <c r="O1209" i="24"/>
  <c r="N1209" i="24"/>
  <c r="S1209" i="24" s="1"/>
  <c r="U1209" i="24" s="1"/>
  <c r="J1209" i="24"/>
  <c r="R1208" i="24"/>
  <c r="O1208" i="24"/>
  <c r="N1208" i="24"/>
  <c r="J1208" i="24"/>
  <c r="R1207" i="24"/>
  <c r="O1207" i="24"/>
  <c r="N1207" i="24"/>
  <c r="P1207" i="24" s="1"/>
  <c r="J1207" i="24"/>
  <c r="R1206" i="24"/>
  <c r="O1206" i="24"/>
  <c r="N1206" i="24"/>
  <c r="J1206" i="24"/>
  <c r="R1205" i="24"/>
  <c r="O1205" i="24"/>
  <c r="N1205" i="24"/>
  <c r="J1205" i="24"/>
  <c r="R1204" i="24"/>
  <c r="O1204" i="24"/>
  <c r="N1204" i="24"/>
  <c r="J1204" i="24"/>
  <c r="R1203" i="24"/>
  <c r="O1203" i="24"/>
  <c r="N1203" i="24"/>
  <c r="S1203" i="24" s="1"/>
  <c r="U1203" i="24" s="1"/>
  <c r="J1203" i="24"/>
  <c r="R1202" i="24"/>
  <c r="O1202" i="24"/>
  <c r="N1202" i="24"/>
  <c r="J1202" i="24"/>
  <c r="R1201" i="24"/>
  <c r="O1201" i="24"/>
  <c r="N1201" i="24"/>
  <c r="J1201" i="24"/>
  <c r="R1200" i="24"/>
  <c r="O1200" i="24"/>
  <c r="N1200" i="24"/>
  <c r="J1200" i="24"/>
  <c r="R1199" i="24"/>
  <c r="O1199" i="24"/>
  <c r="N1199" i="24"/>
  <c r="P1199" i="24" s="1"/>
  <c r="J1199" i="24"/>
  <c r="R1198" i="24"/>
  <c r="O1198" i="24"/>
  <c r="N1198" i="24"/>
  <c r="J1198" i="24"/>
  <c r="R1197" i="24"/>
  <c r="O1197" i="24"/>
  <c r="N1197" i="24"/>
  <c r="S1197" i="24" s="1"/>
  <c r="U1197" i="24" s="1"/>
  <c r="J1197" i="24"/>
  <c r="R1196" i="24"/>
  <c r="O1196" i="24"/>
  <c r="N1196" i="24"/>
  <c r="J1196" i="24"/>
  <c r="R1195" i="24"/>
  <c r="O1195" i="24"/>
  <c r="N1195" i="24"/>
  <c r="J1195" i="24"/>
  <c r="R1194" i="24"/>
  <c r="O1194" i="24"/>
  <c r="N1194" i="24"/>
  <c r="J1194" i="24"/>
  <c r="R1193" i="24"/>
  <c r="O1193" i="24"/>
  <c r="N1193" i="24"/>
  <c r="S1193" i="24" s="1"/>
  <c r="U1193" i="24" s="1"/>
  <c r="J1193" i="24"/>
  <c r="R1192" i="24"/>
  <c r="O1192" i="24"/>
  <c r="N1192" i="24"/>
  <c r="J1192" i="24"/>
  <c r="R1191" i="24"/>
  <c r="O1191" i="24"/>
  <c r="N1191" i="24"/>
  <c r="P1191" i="24" s="1"/>
  <c r="J1191" i="24"/>
  <c r="R1190" i="24"/>
  <c r="O1190" i="24"/>
  <c r="N1190" i="24"/>
  <c r="J1190" i="24"/>
  <c r="R1189" i="24"/>
  <c r="O1189" i="24"/>
  <c r="N1189" i="24"/>
  <c r="S1189" i="24" s="1"/>
  <c r="U1189" i="24" s="1"/>
  <c r="J1189" i="24"/>
  <c r="R1188" i="24"/>
  <c r="O1188" i="24"/>
  <c r="N1188" i="24"/>
  <c r="J1188" i="24"/>
  <c r="R1187" i="24"/>
  <c r="O1187" i="24"/>
  <c r="N1187" i="24"/>
  <c r="S1187" i="24" s="1"/>
  <c r="U1187" i="24" s="1"/>
  <c r="J1187" i="24"/>
  <c r="R1186" i="24"/>
  <c r="O1186" i="24"/>
  <c r="N1186" i="24"/>
  <c r="J1186" i="24"/>
  <c r="R1185" i="24"/>
  <c r="O1185" i="24"/>
  <c r="N1185" i="24"/>
  <c r="P1185" i="24" s="1"/>
  <c r="J1185" i="24"/>
  <c r="R1184" i="24"/>
  <c r="O1184" i="24"/>
  <c r="N1184" i="24"/>
  <c r="J1184" i="24"/>
  <c r="R1183" i="24"/>
  <c r="O1183" i="24"/>
  <c r="N1183" i="24"/>
  <c r="P1183" i="24" s="1"/>
  <c r="J1183" i="24"/>
  <c r="R1182" i="24"/>
  <c r="O1182" i="24"/>
  <c r="N1182" i="24"/>
  <c r="J1182" i="24"/>
  <c r="R1181" i="24"/>
  <c r="O1181" i="24"/>
  <c r="N1181" i="24"/>
  <c r="S1181" i="24" s="1"/>
  <c r="U1181" i="24" s="1"/>
  <c r="J1181" i="24"/>
  <c r="R1180" i="24"/>
  <c r="O1180" i="24"/>
  <c r="N1180" i="24"/>
  <c r="J1180" i="24"/>
  <c r="R1179" i="24"/>
  <c r="O1179" i="24"/>
  <c r="N1179" i="24"/>
  <c r="P1179" i="24" s="1"/>
  <c r="J1179" i="24"/>
  <c r="R1178" i="24"/>
  <c r="O1178" i="24"/>
  <c r="N1178" i="24"/>
  <c r="J1178" i="24"/>
  <c r="R1177" i="24"/>
  <c r="O1177" i="24"/>
  <c r="N1177" i="24"/>
  <c r="S1177" i="24" s="1"/>
  <c r="U1177" i="24" s="1"/>
  <c r="J1177" i="24"/>
  <c r="R1176" i="24"/>
  <c r="O1176" i="24"/>
  <c r="N1176" i="24"/>
  <c r="J1176" i="24"/>
  <c r="R1175" i="24"/>
  <c r="O1175" i="24"/>
  <c r="N1175" i="24"/>
  <c r="J1175" i="24"/>
  <c r="R1174" i="24"/>
  <c r="O1174" i="24"/>
  <c r="N1174" i="24"/>
  <c r="J1174" i="24"/>
  <c r="R1173" i="24"/>
  <c r="O1173" i="24"/>
  <c r="N1173" i="24"/>
  <c r="S1173" i="24" s="1"/>
  <c r="U1173" i="24" s="1"/>
  <c r="J1173" i="24"/>
  <c r="R1172" i="24"/>
  <c r="O1172" i="24"/>
  <c r="N1172" i="24"/>
  <c r="J1172" i="24"/>
  <c r="R1171" i="24"/>
  <c r="O1171" i="24"/>
  <c r="N1171" i="24"/>
  <c r="J1171" i="24"/>
  <c r="R1170" i="24"/>
  <c r="O1170" i="24"/>
  <c r="N1170" i="24"/>
  <c r="J1170" i="24"/>
  <c r="R1169" i="24"/>
  <c r="O1169" i="24"/>
  <c r="N1169" i="24"/>
  <c r="J1169" i="24"/>
  <c r="R1168" i="24"/>
  <c r="O1168" i="24"/>
  <c r="N1168" i="24"/>
  <c r="J1168" i="24"/>
  <c r="R1167" i="24"/>
  <c r="O1167" i="24"/>
  <c r="N1167" i="24"/>
  <c r="J1167" i="24"/>
  <c r="R1166" i="24"/>
  <c r="O1166" i="24"/>
  <c r="N1166" i="24"/>
  <c r="J1166" i="24"/>
  <c r="R1165" i="24"/>
  <c r="O1165" i="24"/>
  <c r="N1165" i="24"/>
  <c r="S1165" i="24" s="1"/>
  <c r="U1165" i="24" s="1"/>
  <c r="J1165" i="24"/>
  <c r="R1164" i="24"/>
  <c r="O1164" i="24"/>
  <c r="N1164" i="24"/>
  <c r="J1164" i="24"/>
  <c r="R1163" i="24"/>
  <c r="O1163" i="24"/>
  <c r="N1163" i="24"/>
  <c r="P1163" i="24" s="1"/>
  <c r="J1163" i="24"/>
  <c r="R1162" i="24"/>
  <c r="O1162" i="24"/>
  <c r="N1162" i="24"/>
  <c r="J1162" i="24"/>
  <c r="R1161" i="24"/>
  <c r="O1161" i="24"/>
  <c r="N1161" i="24"/>
  <c r="S1161" i="24" s="1"/>
  <c r="U1161" i="24" s="1"/>
  <c r="J1161" i="24"/>
  <c r="R1160" i="24"/>
  <c r="O1160" i="24"/>
  <c r="N1160" i="24"/>
  <c r="J1160" i="24"/>
  <c r="R1159" i="24"/>
  <c r="O1159" i="24"/>
  <c r="N1159" i="24"/>
  <c r="J1159" i="24"/>
  <c r="R1158" i="24"/>
  <c r="O1158" i="24"/>
  <c r="N1158" i="24"/>
  <c r="J1158" i="24"/>
  <c r="R1157" i="24"/>
  <c r="O1157" i="24"/>
  <c r="N1157" i="24"/>
  <c r="S1157" i="24" s="1"/>
  <c r="U1157" i="24" s="1"/>
  <c r="J1157" i="24"/>
  <c r="R1156" i="24"/>
  <c r="O1156" i="24"/>
  <c r="N1156" i="24"/>
  <c r="J1156" i="24"/>
  <c r="R1155" i="24"/>
  <c r="O1155" i="24"/>
  <c r="N1155" i="24"/>
  <c r="J1155" i="24"/>
  <c r="R1154" i="24"/>
  <c r="O1154" i="24"/>
  <c r="N1154" i="24"/>
  <c r="J1154" i="24"/>
  <c r="R1153" i="24"/>
  <c r="O1153" i="24"/>
  <c r="N1153" i="24"/>
  <c r="S1153" i="24" s="1"/>
  <c r="U1153" i="24" s="1"/>
  <c r="J1153" i="24"/>
  <c r="R1152" i="24"/>
  <c r="O1152" i="24"/>
  <c r="N1152" i="24"/>
  <c r="J1152" i="24"/>
  <c r="R1151" i="24"/>
  <c r="O1151" i="24"/>
  <c r="N1151" i="24"/>
  <c r="J1151" i="24"/>
  <c r="R1150" i="24"/>
  <c r="O1150" i="24"/>
  <c r="N1150" i="24"/>
  <c r="J1150" i="24"/>
  <c r="R1149" i="24"/>
  <c r="O1149" i="24"/>
  <c r="N1149" i="24"/>
  <c r="S1149" i="24" s="1"/>
  <c r="U1149" i="24" s="1"/>
  <c r="J1149" i="24"/>
  <c r="R1148" i="24"/>
  <c r="O1148" i="24"/>
  <c r="N1148" i="24"/>
  <c r="J1148" i="24"/>
  <c r="R1147" i="24"/>
  <c r="O1147" i="24"/>
  <c r="N1147" i="24"/>
  <c r="P1147" i="24" s="1"/>
  <c r="J1147" i="24"/>
  <c r="R1146" i="24"/>
  <c r="O1146" i="24"/>
  <c r="N1146" i="24"/>
  <c r="J1146" i="24"/>
  <c r="R1145" i="24"/>
  <c r="O1145" i="24"/>
  <c r="N1145" i="24"/>
  <c r="S1145" i="24" s="1"/>
  <c r="U1145" i="24" s="1"/>
  <c r="J1145" i="24"/>
  <c r="R1144" i="24"/>
  <c r="O1144" i="24"/>
  <c r="N1144" i="24"/>
  <c r="J1144" i="24"/>
  <c r="R1143" i="24"/>
  <c r="O1143" i="24"/>
  <c r="N1143" i="24"/>
  <c r="J1143" i="24"/>
  <c r="R1142" i="24"/>
  <c r="O1142" i="24"/>
  <c r="N1142" i="24"/>
  <c r="J1142" i="24"/>
  <c r="R1141" i="24"/>
  <c r="O1141" i="24"/>
  <c r="N1141" i="24"/>
  <c r="S1141" i="24" s="1"/>
  <c r="U1141" i="24" s="1"/>
  <c r="J1141" i="24"/>
  <c r="R1140" i="24"/>
  <c r="O1140" i="24"/>
  <c r="N1140" i="24"/>
  <c r="J1140" i="24"/>
  <c r="R1139" i="24"/>
  <c r="O1139" i="24"/>
  <c r="N1139" i="24"/>
  <c r="J1139" i="24"/>
  <c r="R1138" i="24"/>
  <c r="O1138" i="24"/>
  <c r="N1138" i="24"/>
  <c r="J1138" i="24"/>
  <c r="R1137" i="24"/>
  <c r="O1137" i="24"/>
  <c r="N1137" i="24"/>
  <c r="S1137" i="24" s="1"/>
  <c r="U1137" i="24" s="1"/>
  <c r="J1137" i="24"/>
  <c r="R1136" i="24"/>
  <c r="O1136" i="24"/>
  <c r="N1136" i="24"/>
  <c r="J1136" i="24"/>
  <c r="R1135" i="24"/>
  <c r="O1135" i="24"/>
  <c r="N1135" i="24"/>
  <c r="P1135" i="24" s="1"/>
  <c r="J1135" i="24"/>
  <c r="R1134" i="24"/>
  <c r="O1134" i="24"/>
  <c r="N1134" i="24"/>
  <c r="J1134" i="24"/>
  <c r="R1133" i="24"/>
  <c r="O1133" i="24"/>
  <c r="N1133" i="24"/>
  <c r="S1133" i="24" s="1"/>
  <c r="U1133" i="24" s="1"/>
  <c r="J1133" i="24"/>
  <c r="R1132" i="24"/>
  <c r="O1132" i="24"/>
  <c r="N1132" i="24"/>
  <c r="J1132" i="24"/>
  <c r="R1131" i="24"/>
  <c r="O1131" i="24"/>
  <c r="N1131" i="24"/>
  <c r="S1131" i="24" s="1"/>
  <c r="U1131" i="24" s="1"/>
  <c r="J1131" i="24"/>
  <c r="R1130" i="24"/>
  <c r="O1130" i="24"/>
  <c r="N1130" i="24"/>
  <c r="J1130" i="24"/>
  <c r="R1129" i="24"/>
  <c r="O1129" i="24"/>
  <c r="N1129" i="24"/>
  <c r="J1129" i="24"/>
  <c r="R1128" i="24"/>
  <c r="O1128" i="24"/>
  <c r="N1128" i="24"/>
  <c r="J1128" i="24"/>
  <c r="R1127" i="24"/>
  <c r="O1127" i="24"/>
  <c r="N1127" i="24"/>
  <c r="P1127" i="24" s="1"/>
  <c r="J1127" i="24"/>
  <c r="R1126" i="24"/>
  <c r="O1126" i="24"/>
  <c r="N1126" i="24"/>
  <c r="J1126" i="24"/>
  <c r="R1125" i="24"/>
  <c r="O1125" i="24"/>
  <c r="N1125" i="24"/>
  <c r="S1125" i="24" s="1"/>
  <c r="U1125" i="24" s="1"/>
  <c r="J1125" i="24"/>
  <c r="R1124" i="24"/>
  <c r="O1124" i="24"/>
  <c r="N1124" i="24"/>
  <c r="J1124" i="24"/>
  <c r="R1123" i="24"/>
  <c r="O1123" i="24"/>
  <c r="N1123" i="24"/>
  <c r="S1123" i="24" s="1"/>
  <c r="U1123" i="24" s="1"/>
  <c r="J1123" i="24"/>
  <c r="R1122" i="24"/>
  <c r="O1122" i="24"/>
  <c r="N1122" i="24"/>
  <c r="J1122" i="24"/>
  <c r="R1121" i="24"/>
  <c r="O1121" i="24"/>
  <c r="N1121" i="24"/>
  <c r="P1121" i="24" s="1"/>
  <c r="J1121" i="24"/>
  <c r="R1120" i="24"/>
  <c r="O1120" i="24"/>
  <c r="N1120" i="24"/>
  <c r="J1120" i="24"/>
  <c r="R1119" i="24"/>
  <c r="O1119" i="24"/>
  <c r="N1119" i="24"/>
  <c r="S1119" i="24" s="1"/>
  <c r="U1119" i="24" s="1"/>
  <c r="J1119" i="24"/>
  <c r="R1118" i="24"/>
  <c r="O1118" i="24"/>
  <c r="N1118" i="24"/>
  <c r="J1118" i="24"/>
  <c r="R1117" i="24"/>
  <c r="O1117" i="24"/>
  <c r="N1117" i="24"/>
  <c r="S1117" i="24" s="1"/>
  <c r="U1117" i="24" s="1"/>
  <c r="J1117" i="24"/>
  <c r="R1116" i="24"/>
  <c r="O1116" i="24"/>
  <c r="N1116" i="24"/>
  <c r="J1116" i="24"/>
  <c r="R1115" i="24"/>
  <c r="O1115" i="24"/>
  <c r="N1115" i="24"/>
  <c r="S1115" i="24" s="1"/>
  <c r="U1115" i="24" s="1"/>
  <c r="J1115" i="24"/>
  <c r="R1114" i="24"/>
  <c r="O1114" i="24"/>
  <c r="N1114" i="24"/>
  <c r="J1114" i="24"/>
  <c r="R1113" i="24"/>
  <c r="O1113" i="24"/>
  <c r="N1113" i="24"/>
  <c r="S1113" i="24" s="1"/>
  <c r="U1113" i="24" s="1"/>
  <c r="J1113" i="24"/>
  <c r="R1112" i="24"/>
  <c r="O1112" i="24"/>
  <c r="N1112" i="24"/>
  <c r="J1112" i="24"/>
  <c r="R1111" i="24"/>
  <c r="O1111" i="24"/>
  <c r="N1111" i="24"/>
  <c r="S1111" i="24" s="1"/>
  <c r="U1111" i="24" s="1"/>
  <c r="J1111" i="24"/>
  <c r="R1110" i="24"/>
  <c r="O1110" i="24"/>
  <c r="N1110" i="24"/>
  <c r="J1110" i="24"/>
  <c r="R1109" i="24"/>
  <c r="O1109" i="24"/>
  <c r="N1109" i="24"/>
  <c r="J1109" i="24"/>
  <c r="R1108" i="24"/>
  <c r="O1108" i="24"/>
  <c r="N1108" i="24"/>
  <c r="J1108" i="24"/>
  <c r="R1107" i="24"/>
  <c r="O1107" i="24"/>
  <c r="N1107" i="24"/>
  <c r="S1107" i="24" s="1"/>
  <c r="U1107" i="24" s="1"/>
  <c r="J1107" i="24"/>
  <c r="R1106" i="24"/>
  <c r="O1106" i="24"/>
  <c r="N1106" i="24"/>
  <c r="J1106" i="24"/>
  <c r="R1105" i="24"/>
  <c r="O1105" i="24"/>
  <c r="N1105" i="24"/>
  <c r="J1105" i="24"/>
  <c r="R1104" i="24"/>
  <c r="O1104" i="24"/>
  <c r="N1104" i="24"/>
  <c r="J1104" i="24"/>
  <c r="R1103" i="24"/>
  <c r="O1103" i="24"/>
  <c r="N1103" i="24"/>
  <c r="S1103" i="24" s="1"/>
  <c r="U1103" i="24" s="1"/>
  <c r="J1103" i="24"/>
  <c r="R1102" i="24"/>
  <c r="O1102" i="24"/>
  <c r="N1102" i="24"/>
  <c r="S1102" i="24" s="1"/>
  <c r="J1102" i="24"/>
  <c r="R1101" i="24"/>
  <c r="O1101" i="24"/>
  <c r="N1101" i="24"/>
  <c r="S1101" i="24" s="1"/>
  <c r="U1101" i="24" s="1"/>
  <c r="J1101" i="24"/>
  <c r="R1100" i="24"/>
  <c r="O1100" i="24"/>
  <c r="N1100" i="24"/>
  <c r="S1100" i="24" s="1"/>
  <c r="J1100" i="24"/>
  <c r="R1099" i="24"/>
  <c r="O1099" i="24"/>
  <c r="N1099" i="24"/>
  <c r="S1099" i="24" s="1"/>
  <c r="U1099" i="24" s="1"/>
  <c r="J1099" i="24"/>
  <c r="R1098" i="24"/>
  <c r="O1098" i="24"/>
  <c r="N1098" i="24"/>
  <c r="J1098" i="24"/>
  <c r="R1097" i="24"/>
  <c r="O1097" i="24"/>
  <c r="N1097" i="24"/>
  <c r="P1097" i="24" s="1"/>
  <c r="J1097" i="24"/>
  <c r="R1096" i="24"/>
  <c r="O1096" i="24"/>
  <c r="N1096" i="24"/>
  <c r="S1096" i="24" s="1"/>
  <c r="J1096" i="24"/>
  <c r="R1095" i="24"/>
  <c r="O1095" i="24"/>
  <c r="N1095" i="24"/>
  <c r="J1095" i="24"/>
  <c r="R1094" i="24"/>
  <c r="O1094" i="24"/>
  <c r="N1094" i="24"/>
  <c r="J1094" i="24"/>
  <c r="R1093" i="24"/>
  <c r="O1093" i="24"/>
  <c r="N1093" i="24"/>
  <c r="S1093" i="24" s="1"/>
  <c r="J1093" i="24"/>
  <c r="R1092" i="24"/>
  <c r="O1092" i="24"/>
  <c r="N1092" i="24"/>
  <c r="S1092" i="24" s="1"/>
  <c r="J1092" i="24"/>
  <c r="R1091" i="24"/>
  <c r="O1091" i="24"/>
  <c r="N1091" i="24"/>
  <c r="J1091" i="24"/>
  <c r="R1090" i="24"/>
  <c r="O1090" i="24"/>
  <c r="N1090" i="24"/>
  <c r="S1090" i="24" s="1"/>
  <c r="J1090" i="24"/>
  <c r="R1089" i="24"/>
  <c r="O1089" i="24"/>
  <c r="N1089" i="24"/>
  <c r="S1089" i="24" s="1"/>
  <c r="J1089" i="24"/>
  <c r="R1088" i="24"/>
  <c r="O1088" i="24"/>
  <c r="N1088" i="24"/>
  <c r="J1088" i="24"/>
  <c r="R1087" i="24"/>
  <c r="O1087" i="24"/>
  <c r="N1087" i="24"/>
  <c r="J1087" i="24"/>
  <c r="R1086" i="24"/>
  <c r="O1086" i="24"/>
  <c r="N1086" i="24"/>
  <c r="S1086" i="24" s="1"/>
  <c r="J1086" i="24"/>
  <c r="R1085" i="24"/>
  <c r="O1085" i="24"/>
  <c r="N1085" i="24"/>
  <c r="J1085" i="24"/>
  <c r="R1084" i="24"/>
  <c r="O1084" i="24"/>
  <c r="N1084" i="24"/>
  <c r="S1084" i="24" s="1"/>
  <c r="J1084" i="24"/>
  <c r="R1083" i="24"/>
  <c r="O1083" i="24"/>
  <c r="N1083" i="24"/>
  <c r="S1083" i="24" s="1"/>
  <c r="U1083" i="24" s="1"/>
  <c r="J1083" i="24"/>
  <c r="R1082" i="24"/>
  <c r="O1082" i="24"/>
  <c r="N1082" i="24"/>
  <c r="S1082" i="24" s="1"/>
  <c r="J1082" i="24"/>
  <c r="R1081" i="24"/>
  <c r="O1081" i="24"/>
  <c r="N1081" i="24"/>
  <c r="J1081" i="24"/>
  <c r="R1080" i="24"/>
  <c r="O1080" i="24"/>
  <c r="N1080" i="24"/>
  <c r="S1080" i="24" s="1"/>
  <c r="J1080" i="24"/>
  <c r="R1079" i="24"/>
  <c r="O1079" i="24"/>
  <c r="N1079" i="24"/>
  <c r="J1079" i="24"/>
  <c r="R1078" i="24"/>
  <c r="O1078" i="24"/>
  <c r="N1078" i="24"/>
  <c r="J1078" i="24"/>
  <c r="R1077" i="24"/>
  <c r="O1077" i="24"/>
  <c r="N1077" i="24"/>
  <c r="J1077" i="24"/>
  <c r="R1076" i="24"/>
  <c r="O1076" i="24"/>
  <c r="N1076" i="24"/>
  <c r="S1076" i="24" s="1"/>
  <c r="J1076" i="24"/>
  <c r="R1075" i="24"/>
  <c r="O1075" i="24"/>
  <c r="N1075" i="24"/>
  <c r="S1075" i="24" s="1"/>
  <c r="U1075" i="24" s="1"/>
  <c r="J1075" i="24"/>
  <c r="R1074" i="24"/>
  <c r="O1074" i="24"/>
  <c r="N1074" i="24"/>
  <c r="S1074" i="24" s="1"/>
  <c r="J1074" i="24"/>
  <c r="R1073" i="24"/>
  <c r="O1073" i="24"/>
  <c r="N1073" i="24"/>
  <c r="J1073" i="24"/>
  <c r="R1072" i="24"/>
  <c r="O1072" i="24"/>
  <c r="N1072" i="24"/>
  <c r="J1072" i="24"/>
  <c r="R1071" i="24"/>
  <c r="O1071" i="24"/>
  <c r="N1071" i="24"/>
  <c r="S1071" i="24" s="1"/>
  <c r="U1071" i="24" s="1"/>
  <c r="J1071" i="24"/>
  <c r="R1070" i="24"/>
  <c r="O1070" i="24"/>
  <c r="N1070" i="24"/>
  <c r="P1070" i="24" s="1"/>
  <c r="J1070" i="24"/>
  <c r="R1069" i="24"/>
  <c r="O1069" i="24"/>
  <c r="N1069" i="24"/>
  <c r="J1069" i="24"/>
  <c r="R1068" i="24"/>
  <c r="O1068" i="24"/>
  <c r="N1068" i="24"/>
  <c r="S1068" i="24" s="1"/>
  <c r="J1068" i="24"/>
  <c r="R1067" i="24"/>
  <c r="O1067" i="24"/>
  <c r="N1067" i="24"/>
  <c r="S1067" i="24" s="1"/>
  <c r="U1067" i="24" s="1"/>
  <c r="J1067" i="24"/>
  <c r="R1066" i="24"/>
  <c r="O1066" i="24"/>
  <c r="N1066" i="24"/>
  <c r="S1066" i="24" s="1"/>
  <c r="J1066" i="24"/>
  <c r="R1065" i="24"/>
  <c r="O1065" i="24"/>
  <c r="N1065" i="24"/>
  <c r="P1065" i="24" s="1"/>
  <c r="J1065" i="24"/>
  <c r="R1064" i="24"/>
  <c r="O1064" i="24"/>
  <c r="N1064" i="24"/>
  <c r="J1064" i="24"/>
  <c r="R1063" i="24"/>
  <c r="O1063" i="24"/>
  <c r="N1063" i="24"/>
  <c r="S1063" i="24" s="1"/>
  <c r="U1063" i="24" s="1"/>
  <c r="J1063" i="24"/>
  <c r="R1062" i="24"/>
  <c r="O1062" i="24"/>
  <c r="N1062" i="24"/>
  <c r="J1062" i="24"/>
  <c r="R1061" i="24"/>
  <c r="O1061" i="24"/>
  <c r="N1061" i="24"/>
  <c r="J1061" i="24"/>
  <c r="R1060" i="24"/>
  <c r="O1060" i="24"/>
  <c r="N1060" i="24"/>
  <c r="S1060" i="24" s="1"/>
  <c r="J1060" i="24"/>
  <c r="R1059" i="24"/>
  <c r="O1059" i="24"/>
  <c r="N1059" i="24"/>
  <c r="S1059" i="24" s="1"/>
  <c r="U1059" i="24" s="1"/>
  <c r="J1059" i="24"/>
  <c r="R1058" i="24"/>
  <c r="O1058" i="24"/>
  <c r="N1058" i="24"/>
  <c r="S1058" i="24" s="1"/>
  <c r="J1058" i="24"/>
  <c r="R1057" i="24"/>
  <c r="O1057" i="24"/>
  <c r="N1057" i="24"/>
  <c r="P1057" i="24" s="1"/>
  <c r="J1057" i="24"/>
  <c r="R1056" i="24"/>
  <c r="O1056" i="24"/>
  <c r="N1056" i="24"/>
  <c r="S1056" i="24" s="1"/>
  <c r="J1056" i="24"/>
  <c r="R1055" i="24"/>
  <c r="O1055" i="24"/>
  <c r="N1055" i="24"/>
  <c r="S1055" i="24" s="1"/>
  <c r="U1055" i="24" s="1"/>
  <c r="J1055" i="24"/>
  <c r="R1054" i="24"/>
  <c r="O1054" i="24"/>
  <c r="N1054" i="24"/>
  <c r="J1054" i="24"/>
  <c r="R1053" i="24"/>
  <c r="O1053" i="24"/>
  <c r="N1053" i="24"/>
  <c r="J1053" i="24"/>
  <c r="R1052" i="24"/>
  <c r="O1052" i="24"/>
  <c r="N1052" i="24"/>
  <c r="J1052" i="24"/>
  <c r="R1051" i="24"/>
  <c r="O1051" i="24"/>
  <c r="N1051" i="24"/>
  <c r="S1051" i="24" s="1"/>
  <c r="U1051" i="24" s="1"/>
  <c r="J1051" i="24"/>
  <c r="R1050" i="24"/>
  <c r="O1050" i="24"/>
  <c r="N1050" i="24"/>
  <c r="S1050" i="24" s="1"/>
  <c r="J1050" i="24"/>
  <c r="R1049" i="24"/>
  <c r="O1049" i="24"/>
  <c r="N1049" i="24"/>
  <c r="J1049" i="24"/>
  <c r="R1048" i="24"/>
  <c r="O1048" i="24"/>
  <c r="N1048" i="24"/>
  <c r="P1048" i="24" s="1"/>
  <c r="J1048" i="24"/>
  <c r="R1047" i="24"/>
  <c r="O1047" i="24"/>
  <c r="N1047" i="24"/>
  <c r="S1047" i="24" s="1"/>
  <c r="U1047" i="24" s="1"/>
  <c r="J1047" i="24"/>
  <c r="R1046" i="24"/>
  <c r="O1046" i="24"/>
  <c r="N1046" i="24"/>
  <c r="J1046" i="24"/>
  <c r="R1045" i="24"/>
  <c r="O1045" i="24"/>
  <c r="N1045" i="24"/>
  <c r="J1045" i="24"/>
  <c r="R1044" i="24"/>
  <c r="O1044" i="24"/>
  <c r="N1044" i="24"/>
  <c r="S1044" i="24" s="1"/>
  <c r="J1044" i="24"/>
  <c r="R1043" i="24"/>
  <c r="O1043" i="24"/>
  <c r="N1043" i="24"/>
  <c r="S1043" i="24" s="1"/>
  <c r="U1043" i="24" s="1"/>
  <c r="J1043" i="24"/>
  <c r="R1042" i="24"/>
  <c r="O1042" i="24"/>
  <c r="N1042" i="24"/>
  <c r="S1042" i="24" s="1"/>
  <c r="J1042" i="24"/>
  <c r="R1041" i="24"/>
  <c r="O1041" i="24"/>
  <c r="N1041" i="24"/>
  <c r="J1041" i="24"/>
  <c r="R1040" i="24"/>
  <c r="O1040" i="24"/>
  <c r="N1040" i="24"/>
  <c r="J1040" i="24"/>
  <c r="R1039" i="24"/>
  <c r="O1039" i="24"/>
  <c r="N1039" i="24"/>
  <c r="S1039" i="24" s="1"/>
  <c r="U1039" i="24" s="1"/>
  <c r="J1039" i="24"/>
  <c r="R1038" i="24"/>
  <c r="O1038" i="24"/>
  <c r="N1038" i="24"/>
  <c r="J1038" i="24"/>
  <c r="R1037" i="24"/>
  <c r="O1037" i="24"/>
  <c r="N1037" i="24"/>
  <c r="J1037" i="24"/>
  <c r="R1036" i="24"/>
  <c r="O1036" i="24"/>
  <c r="N1036" i="24"/>
  <c r="S1036" i="24" s="1"/>
  <c r="J1036" i="24"/>
  <c r="R1035" i="24"/>
  <c r="O1035" i="24"/>
  <c r="N1035" i="24"/>
  <c r="S1035" i="24" s="1"/>
  <c r="U1035" i="24" s="1"/>
  <c r="J1035" i="24"/>
  <c r="R1034" i="24"/>
  <c r="O1034" i="24"/>
  <c r="N1034" i="24"/>
  <c r="S1034" i="24" s="1"/>
  <c r="J1034" i="24"/>
  <c r="R1033" i="24"/>
  <c r="O1033" i="24"/>
  <c r="N1033" i="24"/>
  <c r="J1033" i="24"/>
  <c r="R1032" i="24"/>
  <c r="O1032" i="24"/>
  <c r="N1032" i="24"/>
  <c r="S1032" i="24" s="1"/>
  <c r="J1032" i="24"/>
  <c r="R1031" i="24"/>
  <c r="O1031" i="24"/>
  <c r="N1031" i="24"/>
  <c r="J1031" i="24"/>
  <c r="R1030" i="24"/>
  <c r="O1030" i="24"/>
  <c r="N1030" i="24"/>
  <c r="P1030" i="24" s="1"/>
  <c r="J1030" i="24"/>
  <c r="R1029" i="24"/>
  <c r="O1029" i="24"/>
  <c r="N1029" i="24"/>
  <c r="J1029" i="24"/>
  <c r="R1028" i="24"/>
  <c r="O1028" i="24"/>
  <c r="N1028" i="24"/>
  <c r="S1028" i="24" s="1"/>
  <c r="J1028" i="24"/>
  <c r="R1027" i="24"/>
  <c r="O1027" i="24"/>
  <c r="N1027" i="24"/>
  <c r="S1027" i="24" s="1"/>
  <c r="U1027" i="24" s="1"/>
  <c r="J1027" i="24"/>
  <c r="R1026" i="24"/>
  <c r="O1026" i="24"/>
  <c r="N1026" i="24"/>
  <c r="S1026" i="24" s="1"/>
  <c r="J1026" i="24"/>
  <c r="R1025" i="24"/>
  <c r="O1025" i="24"/>
  <c r="N1025" i="24"/>
  <c r="P1025" i="24" s="1"/>
  <c r="J1025" i="24"/>
  <c r="R1024" i="24"/>
  <c r="O1024" i="24"/>
  <c r="N1024" i="24"/>
  <c r="J1024" i="24"/>
  <c r="R1023" i="24"/>
  <c r="O1023" i="24"/>
  <c r="N1023" i="24"/>
  <c r="P1023" i="24" s="1"/>
  <c r="J1023" i="24"/>
  <c r="R1022" i="24"/>
  <c r="O1022" i="24"/>
  <c r="N1022" i="24"/>
  <c r="P1022" i="24" s="1"/>
  <c r="J1022" i="24"/>
  <c r="R1021" i="24"/>
  <c r="O1021" i="24"/>
  <c r="N1021" i="24"/>
  <c r="J1021" i="24"/>
  <c r="R1020" i="24"/>
  <c r="O1020" i="24"/>
  <c r="N1020" i="24"/>
  <c r="S1020" i="24" s="1"/>
  <c r="J1020" i="24"/>
  <c r="R1019" i="24"/>
  <c r="O1019" i="24"/>
  <c r="N1019" i="24"/>
  <c r="S1019" i="24" s="1"/>
  <c r="U1019" i="24" s="1"/>
  <c r="J1019" i="24"/>
  <c r="R1018" i="24"/>
  <c r="O1018" i="24"/>
  <c r="N1018" i="24"/>
  <c r="S1018" i="24" s="1"/>
  <c r="J1018" i="24"/>
  <c r="R1017" i="24"/>
  <c r="O1017" i="24"/>
  <c r="N1017" i="24"/>
  <c r="P1017" i="24" s="1"/>
  <c r="J1017" i="24"/>
  <c r="R1016" i="24"/>
  <c r="O1016" i="24"/>
  <c r="N1016" i="24"/>
  <c r="P1016" i="24" s="1"/>
  <c r="J1016" i="24"/>
  <c r="R1015" i="24"/>
  <c r="O1015" i="24"/>
  <c r="N1015" i="24"/>
  <c r="S1015" i="24" s="1"/>
  <c r="U1015" i="24" s="1"/>
  <c r="J1015" i="24"/>
  <c r="R1014" i="24"/>
  <c r="O1014" i="24"/>
  <c r="N1014" i="24"/>
  <c r="J1014" i="24"/>
  <c r="R1013" i="24"/>
  <c r="O1013" i="24"/>
  <c r="N1013" i="24"/>
  <c r="J1013" i="24"/>
  <c r="R1012" i="24"/>
  <c r="O1012" i="24"/>
  <c r="N1012" i="24"/>
  <c r="J1012" i="24"/>
  <c r="R1011" i="24"/>
  <c r="O1011" i="24"/>
  <c r="N1011" i="24"/>
  <c r="S1011" i="24" s="1"/>
  <c r="U1011" i="24" s="1"/>
  <c r="J1011" i="24"/>
  <c r="R1010" i="24"/>
  <c r="O1010" i="24"/>
  <c r="N1010" i="24"/>
  <c r="S1010" i="24" s="1"/>
  <c r="J1010" i="24"/>
  <c r="R1009" i="24"/>
  <c r="O1009" i="24"/>
  <c r="N1009" i="24"/>
  <c r="P1009" i="24" s="1"/>
  <c r="J1009" i="24"/>
  <c r="R1008" i="24"/>
  <c r="O1008" i="24"/>
  <c r="N1008" i="24"/>
  <c r="J1008" i="24"/>
  <c r="R1007" i="24"/>
  <c r="O1007" i="24"/>
  <c r="N1007" i="24"/>
  <c r="S1007" i="24" s="1"/>
  <c r="U1007" i="24" s="1"/>
  <c r="J1007" i="24"/>
  <c r="R1006" i="24"/>
  <c r="O1006" i="24"/>
  <c r="N1006" i="24"/>
  <c r="P1006" i="24" s="1"/>
  <c r="J1006" i="24"/>
  <c r="R1005" i="24"/>
  <c r="O1005" i="24"/>
  <c r="N1005" i="24"/>
  <c r="J1005" i="24"/>
  <c r="R1004" i="24"/>
  <c r="O1004" i="24"/>
  <c r="N1004" i="24"/>
  <c r="S1004" i="24" s="1"/>
  <c r="J1004" i="24"/>
  <c r="R1003" i="24"/>
  <c r="O1003" i="24"/>
  <c r="N1003" i="24"/>
  <c r="S1003" i="24" s="1"/>
  <c r="U1003" i="24" s="1"/>
  <c r="J1003" i="24"/>
  <c r="R1002" i="24"/>
  <c r="O1002" i="24"/>
  <c r="N1002" i="24"/>
  <c r="S1002" i="24" s="1"/>
  <c r="J1002" i="24"/>
  <c r="R1001" i="24"/>
  <c r="O1001" i="24"/>
  <c r="N1001" i="24"/>
  <c r="P1001" i="24" s="1"/>
  <c r="J1001" i="24"/>
  <c r="R1000" i="24"/>
  <c r="O1000" i="24"/>
  <c r="N1000" i="24"/>
  <c r="J1000" i="24"/>
  <c r="R999" i="24"/>
  <c r="O999" i="24"/>
  <c r="N999" i="24"/>
  <c r="P999" i="24" s="1"/>
  <c r="J999" i="24"/>
  <c r="R998" i="24"/>
  <c r="O998" i="24"/>
  <c r="N998" i="24"/>
  <c r="J998" i="24"/>
  <c r="R997" i="24"/>
  <c r="O997" i="24"/>
  <c r="N997" i="24"/>
  <c r="J997" i="24"/>
  <c r="R996" i="24"/>
  <c r="O996" i="24"/>
  <c r="N996" i="24"/>
  <c r="S996" i="24" s="1"/>
  <c r="J996" i="24"/>
  <c r="R995" i="24"/>
  <c r="O995" i="24"/>
  <c r="N995" i="24"/>
  <c r="S995" i="24" s="1"/>
  <c r="U995" i="24" s="1"/>
  <c r="J995" i="24"/>
  <c r="R994" i="24"/>
  <c r="O994" i="24"/>
  <c r="N994" i="24"/>
  <c r="S994" i="24" s="1"/>
  <c r="J994" i="24"/>
  <c r="R993" i="24"/>
  <c r="O993" i="24"/>
  <c r="N993" i="24"/>
  <c r="J993" i="24"/>
  <c r="R992" i="24"/>
  <c r="O992" i="24"/>
  <c r="N992" i="24"/>
  <c r="S992" i="24" s="1"/>
  <c r="U992" i="24" s="1"/>
  <c r="Z992" i="24" s="1"/>
  <c r="J992" i="24"/>
  <c r="R991" i="24"/>
  <c r="O991" i="24"/>
  <c r="N991" i="24"/>
  <c r="S991" i="24" s="1"/>
  <c r="U991" i="24" s="1"/>
  <c r="J991" i="24"/>
  <c r="R990" i="24"/>
  <c r="O990" i="24"/>
  <c r="N990" i="24"/>
  <c r="P990" i="24" s="1"/>
  <c r="J990" i="24"/>
  <c r="R989" i="24"/>
  <c r="O989" i="24"/>
  <c r="N989" i="24"/>
  <c r="J989" i="24"/>
  <c r="R988" i="24"/>
  <c r="O988" i="24"/>
  <c r="N988" i="24"/>
  <c r="J988" i="24"/>
  <c r="R987" i="24"/>
  <c r="O987" i="24"/>
  <c r="N987" i="24"/>
  <c r="J987" i="24"/>
  <c r="R986" i="24"/>
  <c r="O986" i="24"/>
  <c r="N986" i="24"/>
  <c r="S986" i="24" s="1"/>
  <c r="J986" i="24"/>
  <c r="R985" i="24"/>
  <c r="O985" i="24"/>
  <c r="N985" i="24"/>
  <c r="P985" i="24" s="1"/>
  <c r="J985" i="24"/>
  <c r="R984" i="24"/>
  <c r="O984" i="24"/>
  <c r="N984" i="24"/>
  <c r="S984" i="24" s="1"/>
  <c r="U984" i="24" s="1"/>
  <c r="Z984" i="24" s="1"/>
  <c r="J984" i="24"/>
  <c r="R983" i="24"/>
  <c r="O983" i="24"/>
  <c r="N983" i="24"/>
  <c r="P983" i="24" s="1"/>
  <c r="J983" i="24"/>
  <c r="R982" i="24"/>
  <c r="O982" i="24"/>
  <c r="N982" i="24"/>
  <c r="J982" i="24"/>
  <c r="R981" i="24"/>
  <c r="O981" i="24"/>
  <c r="N981" i="24"/>
  <c r="J981" i="24"/>
  <c r="R980" i="24"/>
  <c r="O980" i="24"/>
  <c r="N980" i="24"/>
  <c r="S980" i="24" s="1"/>
  <c r="J980" i="24"/>
  <c r="R979" i="24"/>
  <c r="O979" i="24"/>
  <c r="N979" i="24"/>
  <c r="S979" i="24" s="1"/>
  <c r="U979" i="24" s="1"/>
  <c r="J979" i="24"/>
  <c r="R978" i="24"/>
  <c r="O978" i="24"/>
  <c r="N978" i="24"/>
  <c r="S978" i="24" s="1"/>
  <c r="J978" i="24"/>
  <c r="R977" i="24"/>
  <c r="O977" i="24"/>
  <c r="N977" i="24"/>
  <c r="P977" i="24" s="1"/>
  <c r="J977" i="24"/>
  <c r="R976" i="24"/>
  <c r="O976" i="24"/>
  <c r="N976" i="24"/>
  <c r="J976" i="24"/>
  <c r="R975" i="24"/>
  <c r="O975" i="24"/>
  <c r="N975" i="24"/>
  <c r="J975" i="24"/>
  <c r="R974" i="24"/>
  <c r="O974" i="24"/>
  <c r="N974" i="24"/>
  <c r="J974" i="24"/>
  <c r="R973" i="24"/>
  <c r="O973" i="24"/>
  <c r="N973" i="24"/>
  <c r="J973" i="24"/>
  <c r="R972" i="24"/>
  <c r="O972" i="24"/>
  <c r="N972" i="24"/>
  <c r="J972" i="24"/>
  <c r="R971" i="24"/>
  <c r="O971" i="24"/>
  <c r="N971" i="24"/>
  <c r="S971" i="24" s="1"/>
  <c r="U971" i="24" s="1"/>
  <c r="J971" i="24"/>
  <c r="R970" i="24"/>
  <c r="O970" i="24"/>
  <c r="N970" i="24"/>
  <c r="S970" i="24" s="1"/>
  <c r="U970" i="24" s="1"/>
  <c r="J970" i="24"/>
  <c r="R969" i="24"/>
  <c r="O969" i="24"/>
  <c r="N969" i="24"/>
  <c r="J969" i="24"/>
  <c r="R968" i="24"/>
  <c r="O968" i="24"/>
  <c r="N968" i="24"/>
  <c r="S968" i="24" s="1"/>
  <c r="U968" i="24" s="1"/>
  <c r="J968" i="24"/>
  <c r="R967" i="24"/>
  <c r="O967" i="24"/>
  <c r="N967" i="24"/>
  <c r="J967" i="24"/>
  <c r="R966" i="24"/>
  <c r="O966" i="24"/>
  <c r="N966" i="24"/>
  <c r="J966" i="24"/>
  <c r="R965" i="24"/>
  <c r="O965" i="24"/>
  <c r="N965" i="24"/>
  <c r="J965" i="24"/>
  <c r="R964" i="24"/>
  <c r="O964" i="24"/>
  <c r="N964" i="24"/>
  <c r="S964" i="24" s="1"/>
  <c r="U964" i="24" s="1"/>
  <c r="J964" i="24"/>
  <c r="R963" i="24"/>
  <c r="O963" i="24"/>
  <c r="N963" i="24"/>
  <c r="S963" i="24" s="1"/>
  <c r="U963" i="24" s="1"/>
  <c r="J963" i="24"/>
  <c r="R962" i="24"/>
  <c r="O962" i="24"/>
  <c r="N962" i="24"/>
  <c r="S962" i="24" s="1"/>
  <c r="U962" i="24" s="1"/>
  <c r="J962" i="24"/>
  <c r="R961" i="24"/>
  <c r="O961" i="24"/>
  <c r="N961" i="24"/>
  <c r="J961" i="24"/>
  <c r="R960" i="24"/>
  <c r="O960" i="24"/>
  <c r="N960" i="24"/>
  <c r="P960" i="24" s="1"/>
  <c r="J960" i="24"/>
  <c r="R959" i="24"/>
  <c r="O959" i="24"/>
  <c r="N959" i="24"/>
  <c r="J959" i="24"/>
  <c r="R958" i="24"/>
  <c r="O958" i="24"/>
  <c r="N958" i="24"/>
  <c r="S958" i="24" s="1"/>
  <c r="U958" i="24" s="1"/>
  <c r="Y958" i="24" s="1"/>
  <c r="J958" i="24"/>
  <c r="R957" i="24"/>
  <c r="O957" i="24"/>
  <c r="N957" i="24"/>
  <c r="S957" i="24" s="1"/>
  <c r="U957" i="24" s="1"/>
  <c r="J957" i="24"/>
  <c r="R956" i="24"/>
  <c r="O956" i="24"/>
  <c r="N956" i="24"/>
  <c r="S956" i="24" s="1"/>
  <c r="U956" i="24" s="1"/>
  <c r="J956" i="24"/>
  <c r="R955" i="24"/>
  <c r="O955" i="24"/>
  <c r="N955" i="24"/>
  <c r="J955" i="24"/>
  <c r="R954" i="24"/>
  <c r="O954" i="24"/>
  <c r="N954" i="24"/>
  <c r="P954" i="24" s="1"/>
  <c r="J954" i="24"/>
  <c r="R953" i="24"/>
  <c r="O953" i="24"/>
  <c r="N953" i="24"/>
  <c r="S953" i="24" s="1"/>
  <c r="U953" i="24" s="1"/>
  <c r="J953" i="24"/>
  <c r="R952" i="24"/>
  <c r="O952" i="24"/>
  <c r="N952" i="24"/>
  <c r="S952" i="24" s="1"/>
  <c r="U952" i="24" s="1"/>
  <c r="J952" i="24"/>
  <c r="R951" i="24"/>
  <c r="O951" i="24"/>
  <c r="N951" i="24"/>
  <c r="J951" i="24"/>
  <c r="R950" i="24"/>
  <c r="O950" i="24"/>
  <c r="N950" i="24"/>
  <c r="P950" i="24" s="1"/>
  <c r="J950" i="24"/>
  <c r="R949" i="24"/>
  <c r="O949" i="24"/>
  <c r="N949" i="24"/>
  <c r="S949" i="24" s="1"/>
  <c r="U949" i="24" s="1"/>
  <c r="J949" i="24"/>
  <c r="R948" i="24"/>
  <c r="O948" i="24"/>
  <c r="N948" i="24"/>
  <c r="S948" i="24" s="1"/>
  <c r="U948" i="24" s="1"/>
  <c r="J948" i="24"/>
  <c r="R947" i="24"/>
  <c r="O947" i="24"/>
  <c r="N947" i="24"/>
  <c r="J947" i="24"/>
  <c r="R946" i="24"/>
  <c r="O946" i="24"/>
  <c r="N946" i="24"/>
  <c r="J946" i="24"/>
  <c r="R945" i="24"/>
  <c r="O945" i="24"/>
  <c r="N945" i="24"/>
  <c r="J945" i="24"/>
  <c r="R944" i="24"/>
  <c r="O944" i="24"/>
  <c r="N944" i="24"/>
  <c r="J944" i="24"/>
  <c r="R943" i="24"/>
  <c r="O943" i="24"/>
  <c r="N943" i="24"/>
  <c r="S943" i="24" s="1"/>
  <c r="U943" i="24" s="1"/>
  <c r="J943" i="24"/>
  <c r="R942" i="24"/>
  <c r="O942" i="24"/>
  <c r="N942" i="24"/>
  <c r="P942" i="24" s="1"/>
  <c r="J942" i="24"/>
  <c r="R941" i="24"/>
  <c r="O941" i="24"/>
  <c r="N941" i="24"/>
  <c r="S941" i="24" s="1"/>
  <c r="U941" i="24" s="1"/>
  <c r="J941" i="24"/>
  <c r="R940" i="24"/>
  <c r="O940" i="24"/>
  <c r="N940" i="24"/>
  <c r="J940" i="24"/>
  <c r="R939" i="24"/>
  <c r="O939" i="24"/>
  <c r="N939" i="24"/>
  <c r="J939" i="24"/>
  <c r="R938" i="24"/>
  <c r="O938" i="24"/>
  <c r="N938" i="24"/>
  <c r="P938" i="24" s="1"/>
  <c r="J938" i="24"/>
  <c r="R937" i="24"/>
  <c r="O937" i="24"/>
  <c r="N937" i="24"/>
  <c r="S937" i="24" s="1"/>
  <c r="U937" i="24" s="1"/>
  <c r="J937" i="24"/>
  <c r="R936" i="24"/>
  <c r="O936" i="24"/>
  <c r="N936" i="24"/>
  <c r="P936" i="24" s="1"/>
  <c r="J936" i="24"/>
  <c r="R935" i="24"/>
  <c r="O935" i="24"/>
  <c r="N935" i="24"/>
  <c r="J935" i="24"/>
  <c r="R934" i="24"/>
  <c r="O934" i="24"/>
  <c r="N934" i="24"/>
  <c r="P934" i="24" s="1"/>
  <c r="J934" i="24"/>
  <c r="R933" i="24"/>
  <c r="O933" i="24"/>
  <c r="N933" i="24"/>
  <c r="S933" i="24" s="1"/>
  <c r="U933" i="24" s="1"/>
  <c r="J933" i="24"/>
  <c r="R932" i="24"/>
  <c r="O932" i="24"/>
  <c r="N932" i="24"/>
  <c r="S932" i="24" s="1"/>
  <c r="U932" i="24" s="1"/>
  <c r="J932" i="24"/>
  <c r="R931" i="24"/>
  <c r="O931" i="24"/>
  <c r="N931" i="24"/>
  <c r="S931" i="24" s="1"/>
  <c r="U931" i="24" s="1"/>
  <c r="J931" i="24"/>
  <c r="R930" i="24"/>
  <c r="O930" i="24"/>
  <c r="N930" i="24"/>
  <c r="S930" i="24" s="1"/>
  <c r="U930" i="24" s="1"/>
  <c r="Y930" i="24" s="1"/>
  <c r="J930" i="24"/>
  <c r="R929" i="24"/>
  <c r="O929" i="24"/>
  <c r="N929" i="24"/>
  <c r="J929" i="24"/>
  <c r="R928" i="24"/>
  <c r="O928" i="24"/>
  <c r="N928" i="24"/>
  <c r="P928" i="24" s="1"/>
  <c r="J928" i="24"/>
  <c r="R927" i="24"/>
  <c r="O927" i="24"/>
  <c r="N927" i="24"/>
  <c r="J927" i="24"/>
  <c r="R926" i="24"/>
  <c r="O926" i="24"/>
  <c r="N926" i="24"/>
  <c r="J926" i="24"/>
  <c r="R925" i="24"/>
  <c r="O925" i="24"/>
  <c r="N925" i="24"/>
  <c r="S925" i="24" s="1"/>
  <c r="U925" i="24" s="1"/>
  <c r="J925" i="24"/>
  <c r="R924" i="24"/>
  <c r="O924" i="24"/>
  <c r="N924" i="24"/>
  <c r="S924" i="24" s="1"/>
  <c r="U924" i="24" s="1"/>
  <c r="J924" i="24"/>
  <c r="R923" i="24"/>
  <c r="O923" i="24"/>
  <c r="N923" i="24"/>
  <c r="J923" i="24"/>
  <c r="R922" i="24"/>
  <c r="O922" i="24"/>
  <c r="N922" i="24"/>
  <c r="P922" i="24" s="1"/>
  <c r="J922" i="24"/>
  <c r="R921" i="24"/>
  <c r="O921" i="24"/>
  <c r="N921" i="24"/>
  <c r="S921" i="24" s="1"/>
  <c r="U921" i="24" s="1"/>
  <c r="J921" i="24"/>
  <c r="R920" i="24"/>
  <c r="O920" i="24"/>
  <c r="N920" i="24"/>
  <c r="S920" i="24" s="1"/>
  <c r="U920" i="24" s="1"/>
  <c r="J920" i="24"/>
  <c r="R919" i="24"/>
  <c r="O919" i="24"/>
  <c r="N919" i="24"/>
  <c r="J919" i="24"/>
  <c r="R918" i="24"/>
  <c r="O918" i="24"/>
  <c r="N918" i="24"/>
  <c r="P918" i="24" s="1"/>
  <c r="J918" i="24"/>
  <c r="R917" i="24"/>
  <c r="O917" i="24"/>
  <c r="N917" i="24"/>
  <c r="J917" i="24"/>
  <c r="R916" i="24"/>
  <c r="O916" i="24"/>
  <c r="N916" i="24"/>
  <c r="J916" i="24"/>
  <c r="R915" i="24"/>
  <c r="O915" i="24"/>
  <c r="N915" i="24"/>
  <c r="S915" i="24" s="1"/>
  <c r="U915" i="24" s="1"/>
  <c r="J915" i="24"/>
  <c r="R914" i="24"/>
  <c r="O914" i="24"/>
  <c r="N914" i="24"/>
  <c r="J914" i="24"/>
  <c r="R913" i="24"/>
  <c r="O913" i="24"/>
  <c r="N913" i="24"/>
  <c r="J913" i="24"/>
  <c r="R912" i="24"/>
  <c r="O912" i="24"/>
  <c r="N912" i="24"/>
  <c r="P912" i="24" s="1"/>
  <c r="J912" i="24"/>
  <c r="R911" i="24"/>
  <c r="O911" i="24"/>
  <c r="N911" i="24"/>
  <c r="S911" i="24" s="1"/>
  <c r="U911" i="24" s="1"/>
  <c r="J911" i="24"/>
  <c r="R910" i="24"/>
  <c r="O910" i="24"/>
  <c r="N910" i="24"/>
  <c r="P910" i="24" s="1"/>
  <c r="J910" i="24"/>
  <c r="R909" i="24"/>
  <c r="O909" i="24"/>
  <c r="N909" i="24"/>
  <c r="S909" i="24" s="1"/>
  <c r="U909" i="24" s="1"/>
  <c r="J909" i="24"/>
  <c r="R908" i="24"/>
  <c r="O908" i="24"/>
  <c r="N908" i="24"/>
  <c r="S908" i="24" s="1"/>
  <c r="U908" i="24" s="1"/>
  <c r="J908" i="24"/>
  <c r="R907" i="24"/>
  <c r="O907" i="24"/>
  <c r="N907" i="24"/>
  <c r="J907" i="24"/>
  <c r="R906" i="24"/>
  <c r="O906" i="24"/>
  <c r="N906" i="24"/>
  <c r="P906" i="24" s="1"/>
  <c r="J906" i="24"/>
  <c r="R905" i="24"/>
  <c r="O905" i="24"/>
  <c r="N905" i="24"/>
  <c r="S905" i="24" s="1"/>
  <c r="U905" i="24" s="1"/>
  <c r="J905" i="24"/>
  <c r="R904" i="24"/>
  <c r="O904" i="24"/>
  <c r="N904" i="24"/>
  <c r="S904" i="24" s="1"/>
  <c r="U904" i="24" s="1"/>
  <c r="J904" i="24"/>
  <c r="R903" i="24"/>
  <c r="O903" i="24"/>
  <c r="N903" i="24"/>
  <c r="J903" i="24"/>
  <c r="R902" i="24"/>
  <c r="O902" i="24"/>
  <c r="N902" i="24"/>
  <c r="J902" i="24"/>
  <c r="R901" i="24"/>
  <c r="O901" i="24"/>
  <c r="N901" i="24"/>
  <c r="S901" i="24" s="1"/>
  <c r="U901" i="24" s="1"/>
  <c r="J901" i="24"/>
  <c r="R900" i="24"/>
  <c r="O900" i="24"/>
  <c r="N900" i="24"/>
  <c r="S900" i="24" s="1"/>
  <c r="U900" i="24" s="1"/>
  <c r="J900" i="24"/>
  <c r="R899" i="24"/>
  <c r="O899" i="24"/>
  <c r="N899" i="24"/>
  <c r="J899" i="24"/>
  <c r="R898" i="24"/>
  <c r="O898" i="24"/>
  <c r="N898" i="24"/>
  <c r="J898" i="24"/>
  <c r="R897" i="24"/>
  <c r="O897" i="24"/>
  <c r="N897" i="24"/>
  <c r="S897" i="24" s="1"/>
  <c r="U897" i="24" s="1"/>
  <c r="J897" i="24"/>
  <c r="R896" i="24"/>
  <c r="O896" i="24"/>
  <c r="N896" i="24"/>
  <c r="P896" i="24" s="1"/>
  <c r="J896" i="24"/>
  <c r="R895" i="24"/>
  <c r="O895" i="24"/>
  <c r="N895" i="24"/>
  <c r="S895" i="24" s="1"/>
  <c r="U895" i="24" s="1"/>
  <c r="J895" i="24"/>
  <c r="R894" i="24"/>
  <c r="O894" i="24"/>
  <c r="N894" i="24"/>
  <c r="J894" i="24"/>
  <c r="R893" i="24"/>
  <c r="O893" i="24"/>
  <c r="N893" i="24"/>
  <c r="J893" i="24"/>
  <c r="R892" i="24"/>
  <c r="O892" i="24"/>
  <c r="N892" i="24"/>
  <c r="P892" i="24" s="1"/>
  <c r="J892" i="24"/>
  <c r="R891" i="24"/>
  <c r="O891" i="24"/>
  <c r="N891" i="24"/>
  <c r="S891" i="24" s="1"/>
  <c r="U891" i="24" s="1"/>
  <c r="J891" i="24"/>
  <c r="R890" i="24"/>
  <c r="O890" i="24"/>
  <c r="N890" i="24"/>
  <c r="S890" i="24" s="1"/>
  <c r="U890" i="24" s="1"/>
  <c r="J890" i="24"/>
  <c r="R889" i="24"/>
  <c r="O889" i="24"/>
  <c r="N889" i="24"/>
  <c r="S889" i="24" s="1"/>
  <c r="U889" i="24" s="1"/>
  <c r="J889" i="24"/>
  <c r="R888" i="24"/>
  <c r="O888" i="24"/>
  <c r="N888" i="24"/>
  <c r="S888" i="24" s="1"/>
  <c r="U888" i="24" s="1"/>
  <c r="Y888" i="24" s="1"/>
  <c r="J888" i="24"/>
  <c r="R887" i="24"/>
  <c r="O887" i="24"/>
  <c r="N887" i="24"/>
  <c r="J887" i="24"/>
  <c r="R886" i="24"/>
  <c r="O886" i="24"/>
  <c r="N886" i="24"/>
  <c r="P886" i="24" s="1"/>
  <c r="J886" i="24"/>
  <c r="R885" i="24"/>
  <c r="O885" i="24"/>
  <c r="N885" i="24"/>
  <c r="S885" i="24" s="1"/>
  <c r="U885" i="24" s="1"/>
  <c r="J885" i="24"/>
  <c r="R884" i="24"/>
  <c r="O884" i="24"/>
  <c r="N884" i="24"/>
  <c r="J884" i="24"/>
  <c r="R883" i="24"/>
  <c r="O883" i="24"/>
  <c r="N883" i="24"/>
  <c r="S883" i="24" s="1"/>
  <c r="U883" i="24" s="1"/>
  <c r="J883" i="24"/>
  <c r="R882" i="24"/>
  <c r="O882" i="24"/>
  <c r="N882" i="24"/>
  <c r="S882" i="24" s="1"/>
  <c r="U882" i="24" s="1"/>
  <c r="J882" i="24"/>
  <c r="R881" i="24"/>
  <c r="O881" i="24"/>
  <c r="N881" i="24"/>
  <c r="S881" i="24" s="1"/>
  <c r="U881" i="24" s="1"/>
  <c r="J881" i="24"/>
  <c r="R880" i="24"/>
  <c r="O880" i="24"/>
  <c r="N880" i="24"/>
  <c r="S880" i="24" s="1"/>
  <c r="U880" i="24" s="1"/>
  <c r="J880" i="24"/>
  <c r="R879" i="24"/>
  <c r="O879" i="24"/>
  <c r="N879" i="24"/>
  <c r="S879" i="24" s="1"/>
  <c r="U879" i="24" s="1"/>
  <c r="J879" i="24"/>
  <c r="R878" i="24"/>
  <c r="O878" i="24"/>
  <c r="N878" i="24"/>
  <c r="S878" i="24" s="1"/>
  <c r="U878" i="24" s="1"/>
  <c r="Y878" i="24" s="1"/>
  <c r="J878" i="24"/>
  <c r="R877" i="24"/>
  <c r="O877" i="24"/>
  <c r="N877" i="24"/>
  <c r="S877" i="24" s="1"/>
  <c r="U877" i="24" s="1"/>
  <c r="J877" i="24"/>
  <c r="R876" i="24"/>
  <c r="O876" i="24"/>
  <c r="N876" i="24"/>
  <c r="S876" i="24" s="1"/>
  <c r="U876" i="24" s="1"/>
  <c r="J876" i="24"/>
  <c r="R875" i="24"/>
  <c r="O875" i="24"/>
  <c r="N875" i="24"/>
  <c r="J875" i="24"/>
  <c r="R874" i="24"/>
  <c r="O874" i="24"/>
  <c r="N874" i="24"/>
  <c r="S874" i="24" s="1"/>
  <c r="U874" i="24" s="1"/>
  <c r="J874" i="24"/>
  <c r="R873" i="24"/>
  <c r="O873" i="24"/>
  <c r="N873" i="24"/>
  <c r="S873" i="24" s="1"/>
  <c r="U873" i="24" s="1"/>
  <c r="J873" i="24"/>
  <c r="R872" i="24"/>
  <c r="O872" i="24"/>
  <c r="N872" i="24"/>
  <c r="S872" i="24" s="1"/>
  <c r="U872" i="24" s="1"/>
  <c r="J872" i="24"/>
  <c r="R871" i="24"/>
  <c r="O871" i="24"/>
  <c r="N871" i="24"/>
  <c r="J871" i="24"/>
  <c r="R870" i="24"/>
  <c r="O870" i="24"/>
  <c r="N870" i="24"/>
  <c r="J870" i="24"/>
  <c r="R869" i="24"/>
  <c r="O869" i="24"/>
  <c r="N869" i="24"/>
  <c r="J869" i="24"/>
  <c r="R868" i="24"/>
  <c r="O868" i="24"/>
  <c r="N868" i="24"/>
  <c r="P868" i="24" s="1"/>
  <c r="J868" i="24"/>
  <c r="R867" i="24"/>
  <c r="O867" i="24"/>
  <c r="N867" i="24"/>
  <c r="S867" i="24" s="1"/>
  <c r="U867" i="24" s="1"/>
  <c r="J867" i="24"/>
  <c r="R866" i="24"/>
  <c r="O866" i="24"/>
  <c r="N866" i="24"/>
  <c r="S866" i="24" s="1"/>
  <c r="U866" i="24" s="1"/>
  <c r="Y866" i="24" s="1"/>
  <c r="J866" i="24"/>
  <c r="R865" i="24"/>
  <c r="O865" i="24"/>
  <c r="N865" i="24"/>
  <c r="J865" i="24"/>
  <c r="R864" i="24"/>
  <c r="O864" i="24"/>
  <c r="N864" i="24"/>
  <c r="P864" i="24" s="1"/>
  <c r="J864" i="24"/>
  <c r="R863" i="24"/>
  <c r="O863" i="24"/>
  <c r="N863" i="24"/>
  <c r="S863" i="24" s="1"/>
  <c r="U863" i="24" s="1"/>
  <c r="J863" i="24"/>
  <c r="R862" i="24"/>
  <c r="O862" i="24"/>
  <c r="N862" i="24"/>
  <c r="S862" i="24" s="1"/>
  <c r="U862" i="24" s="1"/>
  <c r="J862" i="24"/>
  <c r="R861" i="24"/>
  <c r="O861" i="24"/>
  <c r="N861" i="24"/>
  <c r="S861" i="24" s="1"/>
  <c r="U861" i="24" s="1"/>
  <c r="J861" i="24"/>
  <c r="R860" i="24"/>
  <c r="O860" i="24"/>
  <c r="N860" i="24"/>
  <c r="P860" i="24" s="1"/>
  <c r="J860" i="24"/>
  <c r="R859" i="24"/>
  <c r="O859" i="24"/>
  <c r="N859" i="24"/>
  <c r="S859" i="24" s="1"/>
  <c r="U859" i="24" s="1"/>
  <c r="J859" i="24"/>
  <c r="R858" i="24"/>
  <c r="O858" i="24"/>
  <c r="N858" i="24"/>
  <c r="S858" i="24" s="1"/>
  <c r="U858" i="24" s="1"/>
  <c r="J858" i="24"/>
  <c r="R857" i="24"/>
  <c r="O857" i="24"/>
  <c r="N857" i="24"/>
  <c r="J857" i="24"/>
  <c r="R856" i="24"/>
  <c r="O856" i="24"/>
  <c r="N856" i="24"/>
  <c r="P856" i="24" s="1"/>
  <c r="J856" i="24"/>
  <c r="R855" i="24"/>
  <c r="O855" i="24"/>
  <c r="N855" i="24"/>
  <c r="J855" i="24"/>
  <c r="R854" i="24"/>
  <c r="O854" i="24"/>
  <c r="N854" i="24"/>
  <c r="S854" i="24" s="1"/>
  <c r="U854" i="24" s="1"/>
  <c r="Y854" i="24" s="1"/>
  <c r="J854" i="24"/>
  <c r="R853" i="24"/>
  <c r="O853" i="24"/>
  <c r="N853" i="24"/>
  <c r="J853" i="24"/>
  <c r="R852" i="24"/>
  <c r="O852" i="24"/>
  <c r="N852" i="24"/>
  <c r="J852" i="24"/>
  <c r="R851" i="24"/>
  <c r="O851" i="24"/>
  <c r="N851" i="24"/>
  <c r="S851" i="24" s="1"/>
  <c r="U851" i="24" s="1"/>
  <c r="J851" i="24"/>
  <c r="R850" i="24"/>
  <c r="O850" i="24"/>
  <c r="N850" i="24"/>
  <c r="J850" i="24"/>
  <c r="R849" i="24"/>
  <c r="O849" i="24"/>
  <c r="N849" i="24"/>
  <c r="S849" i="24" s="1"/>
  <c r="U849" i="24" s="1"/>
  <c r="J849" i="24"/>
  <c r="R848" i="24"/>
  <c r="O848" i="24"/>
  <c r="N848" i="24"/>
  <c r="J848" i="24"/>
  <c r="R847" i="24"/>
  <c r="O847" i="24"/>
  <c r="N847" i="24"/>
  <c r="S847" i="24" s="1"/>
  <c r="U847" i="24" s="1"/>
  <c r="J847" i="24"/>
  <c r="R846" i="24"/>
  <c r="O846" i="24"/>
  <c r="N846" i="24"/>
  <c r="P846" i="24" s="1"/>
  <c r="J846" i="24"/>
  <c r="R845" i="24"/>
  <c r="O845" i="24"/>
  <c r="N845" i="24"/>
  <c r="S845" i="24" s="1"/>
  <c r="U845" i="24" s="1"/>
  <c r="J845" i="24"/>
  <c r="R844" i="24"/>
  <c r="O844" i="24"/>
  <c r="N844" i="24"/>
  <c r="J844" i="24"/>
  <c r="R843" i="24"/>
  <c r="O843" i="24"/>
  <c r="N843" i="24"/>
  <c r="J843" i="24"/>
  <c r="R842" i="24"/>
  <c r="O842" i="24"/>
  <c r="N842" i="24"/>
  <c r="S842" i="24" s="1"/>
  <c r="U842" i="24" s="1"/>
  <c r="J842" i="24"/>
  <c r="R841" i="24"/>
  <c r="O841" i="24"/>
  <c r="N841" i="24"/>
  <c r="S841" i="24" s="1"/>
  <c r="U841" i="24" s="1"/>
  <c r="J841" i="24"/>
  <c r="U840" i="24"/>
  <c r="T840" i="24"/>
  <c r="P840" i="24"/>
  <c r="O840" i="24"/>
  <c r="R839" i="24"/>
  <c r="O839" i="24"/>
  <c r="N839" i="24"/>
  <c r="K839" i="24"/>
  <c r="R838" i="24"/>
  <c r="O838" i="24"/>
  <c r="N838" i="24"/>
  <c r="P838" i="24" s="1"/>
  <c r="K838" i="24"/>
  <c r="R837" i="24"/>
  <c r="O837" i="24"/>
  <c r="N837" i="24"/>
  <c r="P837" i="24" s="1"/>
  <c r="K837" i="24"/>
  <c r="T837" i="24" s="1"/>
  <c r="R836" i="24"/>
  <c r="O836" i="24"/>
  <c r="N836" i="24"/>
  <c r="P836" i="24" s="1"/>
  <c r="K836" i="24"/>
  <c r="R835" i="24"/>
  <c r="O835" i="24"/>
  <c r="N835" i="24"/>
  <c r="S835" i="24" s="1"/>
  <c r="K835" i="24"/>
  <c r="R834" i="24"/>
  <c r="O834" i="24"/>
  <c r="N834" i="24"/>
  <c r="K834" i="24"/>
  <c r="R833" i="24"/>
  <c r="O833" i="24"/>
  <c r="N833" i="24"/>
  <c r="K833" i="24"/>
  <c r="R832" i="24"/>
  <c r="O832" i="24"/>
  <c r="N832" i="24"/>
  <c r="S832" i="24" s="1"/>
  <c r="K832" i="24"/>
  <c r="R831" i="24"/>
  <c r="O831" i="24"/>
  <c r="N831" i="24"/>
  <c r="S831" i="24" s="1"/>
  <c r="U831" i="24" s="1"/>
  <c r="K831" i="24"/>
  <c r="T831" i="24" s="1"/>
  <c r="R830" i="24"/>
  <c r="O830" i="24"/>
  <c r="N830" i="24"/>
  <c r="P830" i="24" s="1"/>
  <c r="K830" i="24"/>
  <c r="R829" i="24"/>
  <c r="O829" i="24"/>
  <c r="N829" i="24"/>
  <c r="K829" i="24"/>
  <c r="R828" i="24"/>
  <c r="O828" i="24"/>
  <c r="N828" i="24"/>
  <c r="K828" i="24"/>
  <c r="R827" i="24"/>
  <c r="O827" i="24"/>
  <c r="N827" i="24"/>
  <c r="K827" i="24"/>
  <c r="T827" i="24" s="1"/>
  <c r="R826" i="24"/>
  <c r="O826" i="24"/>
  <c r="N826" i="24"/>
  <c r="P826" i="24" s="1"/>
  <c r="K826" i="24"/>
  <c r="R825" i="24"/>
  <c r="O825" i="24"/>
  <c r="N825" i="24"/>
  <c r="S825" i="24" s="1"/>
  <c r="U825" i="24" s="1"/>
  <c r="K825" i="24"/>
  <c r="R824" i="24"/>
  <c r="O824" i="24"/>
  <c r="N824" i="24"/>
  <c r="K824" i="24"/>
  <c r="R823" i="24"/>
  <c r="O823" i="24"/>
  <c r="N823" i="24"/>
  <c r="K823" i="24"/>
  <c r="T823" i="24" s="1"/>
  <c r="R822" i="24"/>
  <c r="O822" i="24"/>
  <c r="N822" i="24"/>
  <c r="P822" i="24" s="1"/>
  <c r="K822" i="24"/>
  <c r="R821" i="24"/>
  <c r="O821" i="24"/>
  <c r="N821" i="24"/>
  <c r="P821" i="24" s="1"/>
  <c r="K821" i="24"/>
  <c r="R820" i="24"/>
  <c r="O820" i="24"/>
  <c r="N820" i="24"/>
  <c r="S820" i="24" s="1"/>
  <c r="U820" i="24" s="1"/>
  <c r="K820" i="24"/>
  <c r="R819" i="24"/>
  <c r="O819" i="24"/>
  <c r="N819" i="24"/>
  <c r="K819" i="24"/>
  <c r="T819" i="24" s="1"/>
  <c r="R818" i="24"/>
  <c r="O818" i="24"/>
  <c r="N818" i="24"/>
  <c r="K818" i="24"/>
  <c r="R817" i="24"/>
  <c r="O817" i="24"/>
  <c r="N817" i="24"/>
  <c r="S817" i="24" s="1"/>
  <c r="K817" i="24"/>
  <c r="R816" i="24"/>
  <c r="O816" i="24"/>
  <c r="N816" i="24"/>
  <c r="S816" i="24" s="1"/>
  <c r="K816" i="24"/>
  <c r="T816" i="24" s="1"/>
  <c r="R815" i="24"/>
  <c r="O815" i="24"/>
  <c r="N815" i="24"/>
  <c r="S815" i="24" s="1"/>
  <c r="U815" i="24" s="1"/>
  <c r="K815" i="24"/>
  <c r="T815" i="24" s="1"/>
  <c r="R814" i="24"/>
  <c r="O814" i="24"/>
  <c r="N814" i="24"/>
  <c r="P814" i="24" s="1"/>
  <c r="K814" i="24"/>
  <c r="T814" i="24" s="1"/>
  <c r="R813" i="24"/>
  <c r="O813" i="24"/>
  <c r="N813" i="24"/>
  <c r="P813" i="24" s="1"/>
  <c r="K813" i="24"/>
  <c r="R812" i="24"/>
  <c r="O812" i="24"/>
  <c r="N812" i="24"/>
  <c r="S812" i="24" s="1"/>
  <c r="U812" i="24" s="1"/>
  <c r="K812" i="24"/>
  <c r="T812" i="24" s="1"/>
  <c r="R811" i="24"/>
  <c r="O811" i="24"/>
  <c r="N811" i="24"/>
  <c r="K811" i="24"/>
  <c r="T811" i="24" s="1"/>
  <c r="R810" i="24"/>
  <c r="O810" i="24"/>
  <c r="N810" i="24"/>
  <c r="P810" i="24" s="1"/>
  <c r="K810" i="24"/>
  <c r="R809" i="24"/>
  <c r="O809" i="24"/>
  <c r="N809" i="24"/>
  <c r="S809" i="24" s="1"/>
  <c r="K809" i="24"/>
  <c r="R808" i="24"/>
  <c r="O808" i="24"/>
  <c r="N808" i="24"/>
  <c r="S808" i="24" s="1"/>
  <c r="K808" i="24"/>
  <c r="U807" i="24"/>
  <c r="T807" i="24"/>
  <c r="O807" i="24"/>
  <c r="N807" i="24"/>
  <c r="P807" i="24" s="1"/>
  <c r="R806" i="24"/>
  <c r="O806" i="24"/>
  <c r="N806" i="24"/>
  <c r="I806" i="24"/>
  <c r="R805" i="24"/>
  <c r="O805" i="24"/>
  <c r="N805" i="24"/>
  <c r="S805" i="24" s="1"/>
  <c r="J805" i="24"/>
  <c r="I805" i="24"/>
  <c r="R804" i="24"/>
  <c r="O804" i="24"/>
  <c r="N804" i="24"/>
  <c r="I804" i="24"/>
  <c r="R803" i="24"/>
  <c r="O803" i="24"/>
  <c r="N803" i="24"/>
  <c r="P803" i="24" s="1"/>
  <c r="I803" i="24"/>
  <c r="R802" i="24"/>
  <c r="O802" i="24"/>
  <c r="N802" i="24"/>
  <c r="P802" i="24" s="1"/>
  <c r="J802" i="24"/>
  <c r="I802" i="24"/>
  <c r="R801" i="24"/>
  <c r="O801" i="24"/>
  <c r="N801" i="24"/>
  <c r="S801" i="24" s="1"/>
  <c r="J801" i="24"/>
  <c r="I801" i="24"/>
  <c r="R800" i="24"/>
  <c r="O800" i="24"/>
  <c r="N800" i="24"/>
  <c r="I800" i="24"/>
  <c r="J800" i="24" s="1"/>
  <c r="R799" i="24"/>
  <c r="O799" i="24"/>
  <c r="N799" i="24"/>
  <c r="S799" i="24" s="1"/>
  <c r="J799" i="24"/>
  <c r="I799" i="24"/>
  <c r="R798" i="24"/>
  <c r="O798" i="24"/>
  <c r="N798" i="24"/>
  <c r="S798" i="24" s="1"/>
  <c r="I798" i="24"/>
  <c r="R797" i="24"/>
  <c r="O797" i="24"/>
  <c r="N797" i="24"/>
  <c r="P797" i="24" s="1"/>
  <c r="J797" i="24"/>
  <c r="R796" i="24"/>
  <c r="O796" i="24"/>
  <c r="N796" i="24"/>
  <c r="J796" i="24"/>
  <c r="R795" i="24"/>
  <c r="O795" i="24"/>
  <c r="N795" i="24"/>
  <c r="S795" i="24" s="1"/>
  <c r="U795" i="24" s="1"/>
  <c r="J795" i="24"/>
  <c r="R794" i="24"/>
  <c r="J794" i="24"/>
  <c r="R793" i="24"/>
  <c r="O793" i="24"/>
  <c r="N793" i="24"/>
  <c r="J793" i="24"/>
  <c r="R792" i="24"/>
  <c r="O792" i="24"/>
  <c r="N792" i="24"/>
  <c r="S792" i="24" s="1"/>
  <c r="J792" i="24"/>
  <c r="R791" i="24"/>
  <c r="O791" i="24"/>
  <c r="N791" i="24"/>
  <c r="J791" i="24"/>
  <c r="R790" i="24"/>
  <c r="O790" i="24"/>
  <c r="N790" i="24"/>
  <c r="S790" i="24" s="1"/>
  <c r="J790" i="24"/>
  <c r="R789" i="24"/>
  <c r="O789" i="24"/>
  <c r="N789" i="24"/>
  <c r="S789" i="24" s="1"/>
  <c r="J789" i="24"/>
  <c r="U788" i="24"/>
  <c r="T788" i="24"/>
  <c r="O788" i="24"/>
  <c r="N788" i="24"/>
  <c r="P788" i="24" s="1"/>
  <c r="K788" i="24"/>
  <c r="H788" i="24"/>
  <c r="U787" i="24"/>
  <c r="T787" i="24"/>
  <c r="O787" i="24"/>
  <c r="N787" i="24"/>
  <c r="P787" i="24" s="1"/>
  <c r="K787" i="24"/>
  <c r="H787" i="24"/>
  <c r="H785" i="24" s="1"/>
  <c r="J785" i="24" s="1"/>
  <c r="U786" i="24"/>
  <c r="T786" i="24"/>
  <c r="O786" i="24"/>
  <c r="N786" i="24"/>
  <c r="P786" i="24" s="1"/>
  <c r="K786" i="24"/>
  <c r="H786" i="24"/>
  <c r="R785" i="24"/>
  <c r="O785" i="24"/>
  <c r="N785" i="24"/>
  <c r="P785" i="24" s="1"/>
  <c r="U784" i="24"/>
  <c r="T784" i="24"/>
  <c r="O784" i="24"/>
  <c r="N784" i="24"/>
  <c r="P784" i="24" s="1"/>
  <c r="K784" i="24"/>
  <c r="H784" i="24"/>
  <c r="U783" i="24"/>
  <c r="T783" i="24"/>
  <c r="O783" i="24"/>
  <c r="N783" i="24"/>
  <c r="P783" i="24" s="1"/>
  <c r="K783" i="24"/>
  <c r="H783" i="24"/>
  <c r="U782" i="24"/>
  <c r="T782" i="24"/>
  <c r="O782" i="24"/>
  <c r="N782" i="24"/>
  <c r="P782" i="24" s="1"/>
  <c r="K782" i="24"/>
  <c r="H782" i="24"/>
  <c r="R781" i="24"/>
  <c r="O781" i="24"/>
  <c r="N781" i="24"/>
  <c r="S781" i="24" s="1"/>
  <c r="U780" i="24"/>
  <c r="T780" i="24"/>
  <c r="P780" i="24"/>
  <c r="O780" i="24"/>
  <c r="R779" i="24"/>
  <c r="O779" i="24"/>
  <c r="N779" i="24"/>
  <c r="S779" i="24" s="1"/>
  <c r="K779" i="24"/>
  <c r="T779" i="24" s="1"/>
  <c r="R778" i="24"/>
  <c r="O778" i="24"/>
  <c r="N778" i="24"/>
  <c r="P778" i="24" s="1"/>
  <c r="K778" i="24"/>
  <c r="R777" i="24"/>
  <c r="O777" i="24"/>
  <c r="N777" i="24"/>
  <c r="S777" i="24" s="1"/>
  <c r="K777" i="24"/>
  <c r="T777" i="24" s="1"/>
  <c r="R776" i="24"/>
  <c r="O776" i="24"/>
  <c r="N776" i="24"/>
  <c r="S776" i="24" s="1"/>
  <c r="K776" i="24"/>
  <c r="T776" i="24" s="1"/>
  <c r="R775" i="24"/>
  <c r="O775" i="24"/>
  <c r="N775" i="24"/>
  <c r="S775" i="24" s="1"/>
  <c r="K775" i="24"/>
  <c r="T775" i="24" s="1"/>
  <c r="R774" i="24"/>
  <c r="O774" i="24"/>
  <c r="N774" i="24"/>
  <c r="P774" i="24" s="1"/>
  <c r="K774" i="24"/>
  <c r="R773" i="24"/>
  <c r="O773" i="24"/>
  <c r="N773" i="24"/>
  <c r="P773" i="24" s="1"/>
  <c r="K773" i="24"/>
  <c r="T773" i="24" s="1"/>
  <c r="R772" i="24"/>
  <c r="O772" i="24"/>
  <c r="N772" i="24"/>
  <c r="S772" i="24" s="1"/>
  <c r="K772" i="24"/>
  <c r="R771" i="24"/>
  <c r="O771" i="24"/>
  <c r="N771" i="24"/>
  <c r="S771" i="24" s="1"/>
  <c r="K771" i="24"/>
  <c r="T771" i="24" s="1"/>
  <c r="R770" i="24"/>
  <c r="O770" i="24"/>
  <c r="N770" i="24"/>
  <c r="K770" i="24"/>
  <c r="T770" i="24" s="1"/>
  <c r="R769" i="24"/>
  <c r="O769" i="24"/>
  <c r="N769" i="24"/>
  <c r="P769" i="24" s="1"/>
  <c r="K769" i="24"/>
  <c r="R768" i="24"/>
  <c r="O768" i="24"/>
  <c r="N768" i="24"/>
  <c r="P768" i="24" s="1"/>
  <c r="K768" i="24"/>
  <c r="R767" i="24"/>
  <c r="O767" i="24"/>
  <c r="N767" i="24"/>
  <c r="S767" i="24" s="1"/>
  <c r="K767" i="24"/>
  <c r="T767" i="24" s="1"/>
  <c r="R766" i="24"/>
  <c r="O766" i="24"/>
  <c r="N766" i="24"/>
  <c r="P766" i="24" s="1"/>
  <c r="K766" i="24"/>
  <c r="R765" i="24"/>
  <c r="O765" i="24"/>
  <c r="N765" i="24"/>
  <c r="P765" i="24" s="1"/>
  <c r="K765" i="24"/>
  <c r="T765" i="24" s="1"/>
  <c r="R764" i="24"/>
  <c r="O764" i="24"/>
  <c r="N764" i="24"/>
  <c r="K764" i="24"/>
  <c r="R763" i="24"/>
  <c r="O763" i="24"/>
  <c r="N763" i="24"/>
  <c r="S763" i="24" s="1"/>
  <c r="K763" i="24"/>
  <c r="T763" i="24" s="1"/>
  <c r="R762" i="24"/>
  <c r="O762" i="24"/>
  <c r="N762" i="24"/>
  <c r="K762" i="24"/>
  <c r="T762" i="24" s="1"/>
  <c r="R761" i="24"/>
  <c r="O761" i="24"/>
  <c r="N761" i="24"/>
  <c r="P761" i="24" s="1"/>
  <c r="K761" i="24"/>
  <c r="R760" i="24"/>
  <c r="O760" i="24"/>
  <c r="N760" i="24"/>
  <c r="S760" i="24" s="1"/>
  <c r="K760" i="24"/>
  <c r="R759" i="24"/>
  <c r="O759" i="24"/>
  <c r="N759" i="24"/>
  <c r="S759" i="24" s="1"/>
  <c r="K759" i="24"/>
  <c r="T759" i="24" s="1"/>
  <c r="R758" i="24"/>
  <c r="O758" i="24"/>
  <c r="N758" i="24"/>
  <c r="P758" i="24" s="1"/>
  <c r="K758" i="24"/>
  <c r="R757" i="24"/>
  <c r="O757" i="24"/>
  <c r="N757" i="24"/>
  <c r="P757" i="24" s="1"/>
  <c r="K757" i="24"/>
  <c r="T757" i="24" s="1"/>
  <c r="R756" i="24"/>
  <c r="O756" i="24"/>
  <c r="N756" i="24"/>
  <c r="S756" i="24" s="1"/>
  <c r="K756" i="24"/>
  <c r="R755" i="24"/>
  <c r="O755" i="24"/>
  <c r="N755" i="24"/>
  <c r="S755" i="24" s="1"/>
  <c r="K755" i="24"/>
  <c r="T755" i="24" s="1"/>
  <c r="R754" i="24"/>
  <c r="O754" i="24"/>
  <c r="N754" i="24"/>
  <c r="K754" i="24"/>
  <c r="T754" i="24" s="1"/>
  <c r="R753" i="24"/>
  <c r="O753" i="24"/>
  <c r="N753" i="24"/>
  <c r="P753" i="24" s="1"/>
  <c r="K753" i="24"/>
  <c r="R752" i="24"/>
  <c r="O752" i="24"/>
  <c r="N752" i="24"/>
  <c r="P752" i="24" s="1"/>
  <c r="K752" i="24"/>
  <c r="R751" i="24"/>
  <c r="O751" i="24"/>
  <c r="N751" i="24"/>
  <c r="S751" i="24" s="1"/>
  <c r="K751" i="24"/>
  <c r="T751" i="24" s="1"/>
  <c r="R750" i="24"/>
  <c r="O750" i="24"/>
  <c r="N750" i="24"/>
  <c r="K750" i="24"/>
  <c r="R749" i="24"/>
  <c r="O749" i="24"/>
  <c r="N749" i="24"/>
  <c r="K749" i="24"/>
  <c r="T749" i="24" s="1"/>
  <c r="R748" i="24"/>
  <c r="U747" i="24"/>
  <c r="T747" i="24"/>
  <c r="O747" i="24"/>
  <c r="N747" i="24"/>
  <c r="P747" i="24" s="1"/>
  <c r="R746" i="24"/>
  <c r="O746" i="24"/>
  <c r="N746" i="24"/>
  <c r="J746" i="24"/>
  <c r="R745" i="24"/>
  <c r="O745" i="24"/>
  <c r="N745" i="24"/>
  <c r="S745" i="24" s="1"/>
  <c r="U745" i="24" s="1"/>
  <c r="J745" i="24"/>
  <c r="R744" i="24"/>
  <c r="O744" i="24"/>
  <c r="N744" i="24"/>
  <c r="S744" i="24" s="1"/>
  <c r="U744" i="24" s="1"/>
  <c r="J744" i="24"/>
  <c r="R743" i="24"/>
  <c r="O743" i="24"/>
  <c r="N743" i="24"/>
  <c r="S743" i="24" s="1"/>
  <c r="U743" i="24" s="1"/>
  <c r="J743" i="24"/>
  <c r="R742" i="24"/>
  <c r="J742" i="24"/>
  <c r="R741" i="24"/>
  <c r="O741" i="24"/>
  <c r="N741" i="24"/>
  <c r="S741" i="24" s="1"/>
  <c r="U741" i="24" s="1"/>
  <c r="J741" i="24"/>
  <c r="R740" i="24"/>
  <c r="O740" i="24"/>
  <c r="N740" i="24"/>
  <c r="S740" i="24" s="1"/>
  <c r="U740" i="24" s="1"/>
  <c r="J740" i="24"/>
  <c r="R739" i="24"/>
  <c r="O739" i="24"/>
  <c r="N739" i="24"/>
  <c r="S739" i="24" s="1"/>
  <c r="U739" i="24" s="1"/>
  <c r="J739" i="24"/>
  <c r="R738" i="24"/>
  <c r="O738" i="24"/>
  <c r="N738" i="24"/>
  <c r="J738" i="24"/>
  <c r="R737" i="24"/>
  <c r="O737" i="24"/>
  <c r="N737" i="24"/>
  <c r="S737" i="24" s="1"/>
  <c r="U737" i="24" s="1"/>
  <c r="J737" i="24"/>
  <c r="R736" i="24"/>
  <c r="O736" i="24"/>
  <c r="N736" i="24"/>
  <c r="J736" i="24"/>
  <c r="R735" i="24"/>
  <c r="O735" i="24"/>
  <c r="N735" i="24"/>
  <c r="S735" i="24" s="1"/>
  <c r="U735" i="24" s="1"/>
  <c r="J735" i="24"/>
  <c r="R734" i="24"/>
  <c r="O734" i="24"/>
  <c r="N734" i="24"/>
  <c r="S734" i="24" s="1"/>
  <c r="U734" i="24" s="1"/>
  <c r="J734" i="24"/>
  <c r="R733" i="24"/>
  <c r="O733" i="24"/>
  <c r="N733" i="24"/>
  <c r="S733" i="24" s="1"/>
  <c r="U733" i="24" s="1"/>
  <c r="H733" i="24"/>
  <c r="J733" i="24" s="1"/>
  <c r="R732" i="24"/>
  <c r="O732" i="24"/>
  <c r="N732" i="24"/>
  <c r="P732" i="24" s="1"/>
  <c r="H732" i="24"/>
  <c r="J732" i="24" s="1"/>
  <c r="R731" i="24"/>
  <c r="O731" i="24"/>
  <c r="N731" i="24"/>
  <c r="H731" i="24"/>
  <c r="J731" i="24" s="1"/>
  <c r="R730" i="24"/>
  <c r="O730" i="24"/>
  <c r="N730" i="24"/>
  <c r="S730" i="24" s="1"/>
  <c r="U730" i="24" s="1"/>
  <c r="J730" i="24"/>
  <c r="H730" i="24"/>
  <c r="R729" i="24"/>
  <c r="O729" i="24"/>
  <c r="N729" i="24"/>
  <c r="P729" i="24" s="1"/>
  <c r="H729" i="24"/>
  <c r="J729" i="24" s="1"/>
  <c r="R728" i="24"/>
  <c r="O728" i="24"/>
  <c r="N728" i="24"/>
  <c r="P728" i="24" s="1"/>
  <c r="H728" i="24"/>
  <c r="J728" i="24" s="1"/>
  <c r="R727" i="24"/>
  <c r="O727" i="24"/>
  <c r="N727" i="24"/>
  <c r="H727" i="24"/>
  <c r="J727" i="24" s="1"/>
  <c r="R726" i="24"/>
  <c r="O726" i="24"/>
  <c r="N726" i="24"/>
  <c r="P726" i="24" s="1"/>
  <c r="H726" i="24"/>
  <c r="J726" i="24" s="1"/>
  <c r="G726" i="24"/>
  <c r="R725" i="24"/>
  <c r="O725" i="24"/>
  <c r="N725" i="24"/>
  <c r="P725" i="24" s="1"/>
  <c r="G725" i="24"/>
  <c r="H725" i="24" s="1"/>
  <c r="J725" i="24" s="1"/>
  <c r="R724" i="24"/>
  <c r="O724" i="24"/>
  <c r="N724" i="24"/>
  <c r="S724" i="24" s="1"/>
  <c r="U724" i="24" s="1"/>
  <c r="H724" i="24"/>
  <c r="J724" i="24" s="1"/>
  <c r="G724" i="24"/>
  <c r="R723" i="24"/>
  <c r="O723" i="24"/>
  <c r="N723" i="24"/>
  <c r="P723" i="24" s="1"/>
  <c r="G723" i="24"/>
  <c r="H723" i="24" s="1"/>
  <c r="J723" i="24" s="1"/>
  <c r="R722" i="24"/>
  <c r="O722" i="24"/>
  <c r="N722" i="24"/>
  <c r="P722" i="24" s="1"/>
  <c r="H722" i="24"/>
  <c r="J722" i="24" s="1"/>
  <c r="G722" i="24"/>
  <c r="R721" i="24"/>
  <c r="O721" i="24"/>
  <c r="N721" i="24"/>
  <c r="P721" i="24" s="1"/>
  <c r="H721" i="24"/>
  <c r="J721" i="24" s="1"/>
  <c r="G721" i="24"/>
  <c r="R720" i="24"/>
  <c r="O720" i="24"/>
  <c r="N720" i="24"/>
  <c r="S720" i="24" s="1"/>
  <c r="J720" i="24"/>
  <c r="H720" i="24"/>
  <c r="R719" i="24"/>
  <c r="O719" i="24"/>
  <c r="N719" i="24"/>
  <c r="S719" i="24" s="1"/>
  <c r="U719" i="24" s="1"/>
  <c r="J719" i="24"/>
  <c r="H719" i="24"/>
  <c r="R718" i="24"/>
  <c r="O718" i="24"/>
  <c r="N718" i="24"/>
  <c r="P718" i="24" s="1"/>
  <c r="H718" i="24"/>
  <c r="J718" i="24" s="1"/>
  <c r="R717" i="24"/>
  <c r="O717" i="24"/>
  <c r="N717" i="24"/>
  <c r="H717" i="24"/>
  <c r="J717" i="24" s="1"/>
  <c r="R716" i="24"/>
  <c r="O716" i="24"/>
  <c r="N716" i="24"/>
  <c r="H716" i="24"/>
  <c r="J716" i="24" s="1"/>
  <c r="M715" i="24"/>
  <c r="N715" i="24" s="1"/>
  <c r="P715" i="24" s="1"/>
  <c r="H715" i="24"/>
  <c r="U714" i="24"/>
  <c r="T714" i="24"/>
  <c r="O714" i="24"/>
  <c r="N714" i="24"/>
  <c r="P714" i="24" s="1"/>
  <c r="G714" i="24"/>
  <c r="H714" i="24" s="1"/>
  <c r="U713" i="24"/>
  <c r="T713" i="24"/>
  <c r="O713" i="24"/>
  <c r="N713" i="24"/>
  <c r="P713" i="24" s="1"/>
  <c r="H713" i="24"/>
  <c r="U712" i="24"/>
  <c r="T712" i="24"/>
  <c r="O712" i="24"/>
  <c r="N712" i="24"/>
  <c r="P712" i="24" s="1"/>
  <c r="H712" i="24"/>
  <c r="U711" i="24"/>
  <c r="T711" i="24"/>
  <c r="O711" i="24"/>
  <c r="N711" i="24"/>
  <c r="P711" i="24" s="1"/>
  <c r="H711" i="24"/>
  <c r="R710" i="24"/>
  <c r="R715" i="24" s="1"/>
  <c r="O710" i="24"/>
  <c r="N710" i="24"/>
  <c r="S710" i="24" s="1"/>
  <c r="N709" i="24"/>
  <c r="M709" i="24"/>
  <c r="H709" i="24"/>
  <c r="U708" i="24"/>
  <c r="T708" i="24"/>
  <c r="O708" i="24"/>
  <c r="N708" i="24"/>
  <c r="P708" i="24" s="1"/>
  <c r="G708" i="24"/>
  <c r="H708" i="24" s="1"/>
  <c r="H704" i="24" s="1"/>
  <c r="J704" i="24" s="1"/>
  <c r="U707" i="24"/>
  <c r="T707" i="24"/>
  <c r="O707" i="24"/>
  <c r="N707" i="24"/>
  <c r="P707" i="24" s="1"/>
  <c r="H707" i="24"/>
  <c r="U706" i="24"/>
  <c r="T706" i="24"/>
  <c r="O706" i="24"/>
  <c r="N706" i="24"/>
  <c r="P706" i="24" s="1"/>
  <c r="H706" i="24"/>
  <c r="U705" i="24"/>
  <c r="T705" i="24"/>
  <c r="O705" i="24"/>
  <c r="N705" i="24"/>
  <c r="P705" i="24" s="1"/>
  <c r="H705" i="24"/>
  <c r="R704" i="24"/>
  <c r="R709" i="24" s="1"/>
  <c r="O704" i="24"/>
  <c r="N704" i="24"/>
  <c r="P704" i="24" s="1"/>
  <c r="M703" i="24"/>
  <c r="N703" i="24" s="1"/>
  <c r="H703" i="24"/>
  <c r="U702" i="24"/>
  <c r="T702" i="24"/>
  <c r="O702" i="24"/>
  <c r="N702" i="24"/>
  <c r="P702" i="24" s="1"/>
  <c r="H702" i="24"/>
  <c r="G702" i="24"/>
  <c r="U701" i="24"/>
  <c r="T701" i="24"/>
  <c r="O701" i="24"/>
  <c r="N701" i="24"/>
  <c r="P701" i="24" s="1"/>
  <c r="H701" i="24"/>
  <c r="U700" i="24"/>
  <c r="T700" i="24"/>
  <c r="O700" i="24"/>
  <c r="N700" i="24"/>
  <c r="P700" i="24" s="1"/>
  <c r="H700" i="24"/>
  <c r="U699" i="24"/>
  <c r="T699" i="24"/>
  <c r="O699" i="24"/>
  <c r="N699" i="24"/>
  <c r="P699" i="24" s="1"/>
  <c r="H699" i="24"/>
  <c r="J699" i="24" s="1"/>
  <c r="R698" i="24"/>
  <c r="R703" i="24" s="1"/>
  <c r="O698" i="24"/>
  <c r="N698" i="24"/>
  <c r="S698" i="24" s="1"/>
  <c r="U698" i="24" s="1"/>
  <c r="Z698" i="24" s="1"/>
  <c r="R697" i="24"/>
  <c r="M697" i="24"/>
  <c r="H697" i="24"/>
  <c r="U696" i="24"/>
  <c r="T696" i="24"/>
  <c r="O696" i="24"/>
  <c r="N696" i="24"/>
  <c r="P696" i="24" s="1"/>
  <c r="H696" i="24"/>
  <c r="U695" i="24"/>
  <c r="T695" i="24"/>
  <c r="O695" i="24"/>
  <c r="N695" i="24"/>
  <c r="P695" i="24" s="1"/>
  <c r="H695" i="24"/>
  <c r="U694" i="24"/>
  <c r="T694" i="24"/>
  <c r="O694" i="24"/>
  <c r="N694" i="24"/>
  <c r="P694" i="24" s="1"/>
  <c r="H694" i="24"/>
  <c r="U693" i="24"/>
  <c r="T693" i="24"/>
  <c r="O693" i="24"/>
  <c r="N693" i="24"/>
  <c r="P693" i="24" s="1"/>
  <c r="H693" i="24"/>
  <c r="R692" i="24"/>
  <c r="O692" i="24"/>
  <c r="N692" i="24"/>
  <c r="S692" i="24" s="1"/>
  <c r="N691" i="24"/>
  <c r="M691" i="24"/>
  <c r="H691" i="24"/>
  <c r="U690" i="24"/>
  <c r="T690" i="24"/>
  <c r="O690" i="24"/>
  <c r="N690" i="24"/>
  <c r="P690" i="24" s="1"/>
  <c r="G690" i="24"/>
  <c r="H690" i="24" s="1"/>
  <c r="U689" i="24"/>
  <c r="T689" i="24"/>
  <c r="O689" i="24"/>
  <c r="N689" i="24"/>
  <c r="P689" i="24" s="1"/>
  <c r="H689" i="24"/>
  <c r="U688" i="24"/>
  <c r="T688" i="24"/>
  <c r="O688" i="24"/>
  <c r="N688" i="24"/>
  <c r="P688" i="24" s="1"/>
  <c r="H688" i="24"/>
  <c r="U687" i="24"/>
  <c r="T687" i="24"/>
  <c r="O687" i="24"/>
  <c r="N687" i="24"/>
  <c r="P687" i="24" s="1"/>
  <c r="H687" i="24"/>
  <c r="R686" i="24"/>
  <c r="O686" i="24"/>
  <c r="N686" i="24"/>
  <c r="P686" i="24" s="1"/>
  <c r="M685" i="24"/>
  <c r="N685" i="24" s="1"/>
  <c r="H685" i="24"/>
  <c r="U684" i="24"/>
  <c r="T684" i="24"/>
  <c r="O684" i="24"/>
  <c r="N684" i="24"/>
  <c r="P684" i="24" s="1"/>
  <c r="H684" i="24"/>
  <c r="G684" i="24"/>
  <c r="U683" i="24"/>
  <c r="T683" i="24"/>
  <c r="O683" i="24"/>
  <c r="N683" i="24"/>
  <c r="P683" i="24" s="1"/>
  <c r="H683" i="24"/>
  <c r="U682" i="24"/>
  <c r="T682" i="24"/>
  <c r="O682" i="24"/>
  <c r="N682" i="24"/>
  <c r="P682" i="24" s="1"/>
  <c r="H682" i="24"/>
  <c r="J682" i="24" s="1"/>
  <c r="U681" i="24"/>
  <c r="T681" i="24"/>
  <c r="O681" i="24"/>
  <c r="N681" i="24"/>
  <c r="P681" i="24" s="1"/>
  <c r="H681" i="24"/>
  <c r="H680" i="24" s="1"/>
  <c r="J680" i="24" s="1"/>
  <c r="R680" i="24"/>
  <c r="R685" i="24" s="1"/>
  <c r="O680" i="24"/>
  <c r="N680" i="24"/>
  <c r="N679" i="24"/>
  <c r="P679" i="24" s="1"/>
  <c r="M679" i="24"/>
  <c r="H679" i="24"/>
  <c r="U678" i="24"/>
  <c r="T678" i="24"/>
  <c r="O678" i="24"/>
  <c r="N678" i="24"/>
  <c r="P678" i="24" s="1"/>
  <c r="G678" i="24"/>
  <c r="H678" i="24" s="1"/>
  <c r="U677" i="24"/>
  <c r="T677" i="24"/>
  <c r="O677" i="24"/>
  <c r="N677" i="24"/>
  <c r="P677" i="24" s="1"/>
  <c r="H677" i="24"/>
  <c r="U676" i="24"/>
  <c r="T676" i="24"/>
  <c r="O676" i="24"/>
  <c r="N676" i="24"/>
  <c r="P676" i="24" s="1"/>
  <c r="H676" i="24"/>
  <c r="J676" i="24" s="1"/>
  <c r="U675" i="24"/>
  <c r="T675" i="24"/>
  <c r="O675" i="24"/>
  <c r="N675" i="24"/>
  <c r="P675" i="24" s="1"/>
  <c r="H675" i="24"/>
  <c r="R674" i="24"/>
  <c r="R679" i="24" s="1"/>
  <c r="O674" i="24"/>
  <c r="N674" i="24"/>
  <c r="P674" i="24" s="1"/>
  <c r="M673" i="24"/>
  <c r="N673" i="24" s="1"/>
  <c r="H673" i="24"/>
  <c r="U672" i="24"/>
  <c r="T672" i="24"/>
  <c r="O672" i="24"/>
  <c r="N672" i="24"/>
  <c r="P672" i="24" s="1"/>
  <c r="G672" i="24"/>
  <c r="H672" i="24" s="1"/>
  <c r="U671" i="24"/>
  <c r="T671" i="24"/>
  <c r="O671" i="24"/>
  <c r="N671" i="24"/>
  <c r="P671" i="24" s="1"/>
  <c r="H671" i="24"/>
  <c r="U670" i="24"/>
  <c r="T670" i="24"/>
  <c r="O670" i="24"/>
  <c r="N670" i="24"/>
  <c r="P670" i="24" s="1"/>
  <c r="J670" i="24"/>
  <c r="H670" i="24"/>
  <c r="U669" i="24"/>
  <c r="T669" i="24"/>
  <c r="O669" i="24"/>
  <c r="N669" i="24"/>
  <c r="P669" i="24" s="1"/>
  <c r="H669" i="24"/>
  <c r="R668" i="24"/>
  <c r="R673" i="24" s="1"/>
  <c r="O668" i="24"/>
  <c r="N668" i="24"/>
  <c r="S668" i="24" s="1"/>
  <c r="M667" i="24"/>
  <c r="H667" i="24"/>
  <c r="U666" i="24"/>
  <c r="T666" i="24"/>
  <c r="O666" i="24"/>
  <c r="N666" i="24"/>
  <c r="P666" i="24" s="1"/>
  <c r="G666" i="24"/>
  <c r="H666" i="24" s="1"/>
  <c r="U665" i="24"/>
  <c r="T665" i="24"/>
  <c r="O665" i="24"/>
  <c r="N665" i="24"/>
  <c r="P665" i="24" s="1"/>
  <c r="H665" i="24"/>
  <c r="U664" i="24"/>
  <c r="T664" i="24"/>
  <c r="O664" i="24"/>
  <c r="N664" i="24"/>
  <c r="P664" i="24" s="1"/>
  <c r="H664" i="24"/>
  <c r="J664" i="24" s="1"/>
  <c r="U663" i="24"/>
  <c r="T663" i="24"/>
  <c r="O663" i="24"/>
  <c r="N663" i="24"/>
  <c r="P663" i="24" s="1"/>
  <c r="H663" i="24"/>
  <c r="R662" i="24"/>
  <c r="O662" i="24"/>
  <c r="N662" i="24"/>
  <c r="P662" i="24" s="1"/>
  <c r="M661" i="24"/>
  <c r="N661" i="24" s="1"/>
  <c r="H661" i="24"/>
  <c r="U660" i="24"/>
  <c r="T660" i="24"/>
  <c r="O660" i="24"/>
  <c r="N660" i="24"/>
  <c r="P660" i="24" s="1"/>
  <c r="G660" i="24"/>
  <c r="H660" i="24" s="1"/>
  <c r="U659" i="24"/>
  <c r="T659" i="24"/>
  <c r="O659" i="24"/>
  <c r="N659" i="24"/>
  <c r="P659" i="24" s="1"/>
  <c r="H659" i="24"/>
  <c r="U658" i="24"/>
  <c r="T658" i="24"/>
  <c r="O658" i="24"/>
  <c r="N658" i="24"/>
  <c r="P658" i="24" s="1"/>
  <c r="H658" i="24"/>
  <c r="J658" i="24" s="1"/>
  <c r="U657" i="24"/>
  <c r="T657" i="24"/>
  <c r="O657" i="24"/>
  <c r="N657" i="24"/>
  <c r="P657" i="24" s="1"/>
  <c r="H657" i="24"/>
  <c r="J657" i="24" s="1"/>
  <c r="R656" i="24"/>
  <c r="O656" i="24"/>
  <c r="N656" i="24"/>
  <c r="S656" i="24" s="1"/>
  <c r="R655" i="24"/>
  <c r="N655" i="24"/>
  <c r="S655" i="24" s="1"/>
  <c r="M655" i="24"/>
  <c r="H655" i="24"/>
  <c r="U654" i="24"/>
  <c r="T654" i="24"/>
  <c r="O654" i="24"/>
  <c r="N654" i="24"/>
  <c r="P654" i="24" s="1"/>
  <c r="H654" i="24"/>
  <c r="G654" i="24"/>
  <c r="U653" i="24"/>
  <c r="T653" i="24"/>
  <c r="O653" i="24"/>
  <c r="N653" i="24"/>
  <c r="P653" i="24" s="1"/>
  <c r="H653" i="24"/>
  <c r="U652" i="24"/>
  <c r="T652" i="24"/>
  <c r="O652" i="24"/>
  <c r="N652" i="24"/>
  <c r="P652" i="24" s="1"/>
  <c r="H652" i="24"/>
  <c r="J652" i="24" s="1"/>
  <c r="U651" i="24"/>
  <c r="T651" i="24"/>
  <c r="O651" i="24"/>
  <c r="N651" i="24"/>
  <c r="P651" i="24" s="1"/>
  <c r="J651" i="24"/>
  <c r="H651" i="24"/>
  <c r="R650" i="24"/>
  <c r="O650" i="24"/>
  <c r="N650" i="24"/>
  <c r="S650" i="24" s="1"/>
  <c r="U650" i="24" s="1"/>
  <c r="Z650" i="24" s="1"/>
  <c r="M649" i="24"/>
  <c r="H649" i="24"/>
  <c r="U648" i="24"/>
  <c r="T648" i="24"/>
  <c r="O648" i="24"/>
  <c r="N648" i="24"/>
  <c r="P648" i="24" s="1"/>
  <c r="H648" i="24"/>
  <c r="G648" i="24"/>
  <c r="U647" i="24"/>
  <c r="T647" i="24"/>
  <c r="O647" i="24"/>
  <c r="N647" i="24"/>
  <c r="P647" i="24" s="1"/>
  <c r="H647" i="24"/>
  <c r="U646" i="24"/>
  <c r="T646" i="24"/>
  <c r="O646" i="24"/>
  <c r="N646" i="24"/>
  <c r="P646" i="24" s="1"/>
  <c r="H646" i="24"/>
  <c r="J646" i="24" s="1"/>
  <c r="U645" i="24"/>
  <c r="T645" i="24"/>
  <c r="O645" i="24"/>
  <c r="N645" i="24"/>
  <c r="P645" i="24" s="1"/>
  <c r="H645" i="24"/>
  <c r="J645" i="24" s="1"/>
  <c r="R644" i="24"/>
  <c r="R649" i="24" s="1"/>
  <c r="O644" i="24"/>
  <c r="N644" i="24"/>
  <c r="M643" i="24"/>
  <c r="H643" i="24"/>
  <c r="U642" i="24"/>
  <c r="T642" i="24"/>
  <c r="O642" i="24"/>
  <c r="N642" i="24"/>
  <c r="P642" i="24" s="1"/>
  <c r="H642" i="24"/>
  <c r="H641" i="24" s="1"/>
  <c r="J641" i="24" s="1"/>
  <c r="R641" i="24"/>
  <c r="O641" i="24"/>
  <c r="N641" i="24"/>
  <c r="P641" i="24" s="1"/>
  <c r="N640" i="24"/>
  <c r="M640" i="24"/>
  <c r="H640" i="24"/>
  <c r="R639" i="24"/>
  <c r="O639" i="24"/>
  <c r="N639" i="24"/>
  <c r="P639" i="24" s="1"/>
  <c r="J639" i="24"/>
  <c r="M638" i="24"/>
  <c r="H638" i="24"/>
  <c r="R637" i="24"/>
  <c r="R638" i="24" s="1"/>
  <c r="O637" i="24"/>
  <c r="N637" i="24"/>
  <c r="J637" i="24"/>
  <c r="R636" i="24"/>
  <c r="N636" i="24"/>
  <c r="P636" i="24" s="1"/>
  <c r="M636" i="24"/>
  <c r="H636" i="24"/>
  <c r="R635" i="24"/>
  <c r="O635" i="24"/>
  <c r="N635" i="24"/>
  <c r="S635" i="24" s="1"/>
  <c r="U635" i="24" s="1"/>
  <c r="J635" i="24"/>
  <c r="R634" i="24"/>
  <c r="M634" i="24"/>
  <c r="N634" i="24" s="1"/>
  <c r="H634" i="24"/>
  <c r="R633" i="24"/>
  <c r="O633" i="24"/>
  <c r="N633" i="24"/>
  <c r="P633" i="24" s="1"/>
  <c r="J633" i="24"/>
  <c r="R632" i="24"/>
  <c r="O632" i="24"/>
  <c r="N632" i="24"/>
  <c r="H632" i="24"/>
  <c r="J632" i="24" s="1"/>
  <c r="R631" i="24"/>
  <c r="O631" i="24"/>
  <c r="N631" i="24"/>
  <c r="H631" i="24"/>
  <c r="J631" i="24" s="1"/>
  <c r="R630" i="24"/>
  <c r="O630" i="24"/>
  <c r="N630" i="24"/>
  <c r="J630" i="24"/>
  <c r="H630" i="24"/>
  <c r="R629" i="24"/>
  <c r="O629" i="24"/>
  <c r="N629" i="24"/>
  <c r="H629" i="24"/>
  <c r="J629" i="24" s="1"/>
  <c r="R628" i="24"/>
  <c r="O628" i="24"/>
  <c r="N628" i="24"/>
  <c r="P628" i="24" s="1"/>
  <c r="H628" i="24"/>
  <c r="J628" i="24" s="1"/>
  <c r="R627" i="24"/>
  <c r="O627" i="24"/>
  <c r="N627" i="24"/>
  <c r="S627" i="24" s="1"/>
  <c r="U627" i="24" s="1"/>
  <c r="Y627" i="24" s="1"/>
  <c r="J627" i="24"/>
  <c r="H627" i="24"/>
  <c r="R626" i="24"/>
  <c r="O626" i="24"/>
  <c r="N626" i="24"/>
  <c r="H626" i="24"/>
  <c r="J626" i="24" s="1"/>
  <c r="R625" i="24"/>
  <c r="O625" i="24"/>
  <c r="N625" i="24"/>
  <c r="P625" i="24" s="1"/>
  <c r="J625" i="24"/>
  <c r="H625" i="24"/>
  <c r="R624" i="24"/>
  <c r="O624" i="24"/>
  <c r="N624" i="24"/>
  <c r="H624" i="24"/>
  <c r="J624" i="24" s="1"/>
  <c r="G624" i="24"/>
  <c r="R623" i="24"/>
  <c r="O623" i="24"/>
  <c r="N623" i="24"/>
  <c r="S623" i="24" s="1"/>
  <c r="U623" i="24" s="1"/>
  <c r="G623" i="24"/>
  <c r="H623" i="24" s="1"/>
  <c r="J623" i="24" s="1"/>
  <c r="R622" i="24"/>
  <c r="O622" i="24"/>
  <c r="N622" i="24"/>
  <c r="S622" i="24" s="1"/>
  <c r="H622" i="24"/>
  <c r="J622" i="24" s="1"/>
  <c r="R621" i="24"/>
  <c r="O621" i="24"/>
  <c r="N621" i="24"/>
  <c r="S621" i="24" s="1"/>
  <c r="U621" i="24" s="1"/>
  <c r="Y621" i="24" s="1"/>
  <c r="J621" i="24"/>
  <c r="H621" i="24"/>
  <c r="U620" i="24"/>
  <c r="T620" i="24"/>
  <c r="O620" i="24"/>
  <c r="N620" i="24"/>
  <c r="P620" i="24" s="1"/>
  <c r="G620" i="24"/>
  <c r="H620" i="24" s="1"/>
  <c r="U619" i="24"/>
  <c r="T619" i="24"/>
  <c r="O619" i="24"/>
  <c r="N619" i="24"/>
  <c r="P619" i="24" s="1"/>
  <c r="H619" i="24"/>
  <c r="G619" i="24"/>
  <c r="U618" i="24"/>
  <c r="T618" i="24"/>
  <c r="O618" i="24"/>
  <c r="N618" i="24"/>
  <c r="P618" i="24" s="1"/>
  <c r="G618" i="24"/>
  <c r="H618" i="24" s="1"/>
  <c r="R617" i="24"/>
  <c r="O617" i="24"/>
  <c r="N617" i="24"/>
  <c r="S617" i="24" s="1"/>
  <c r="U616" i="24"/>
  <c r="T616" i="24"/>
  <c r="O616" i="24"/>
  <c r="N616" i="24"/>
  <c r="P616" i="24" s="1"/>
  <c r="K616" i="24"/>
  <c r="J616" i="24"/>
  <c r="G616" i="24"/>
  <c r="H616" i="24" s="1"/>
  <c r="U615" i="24"/>
  <c r="T615" i="24"/>
  <c r="O615" i="24"/>
  <c r="N615" i="24"/>
  <c r="P615" i="24" s="1"/>
  <c r="K615" i="24"/>
  <c r="J615" i="24"/>
  <c r="G615" i="24"/>
  <c r="H615" i="24" s="1"/>
  <c r="U614" i="24"/>
  <c r="T614" i="24"/>
  <c r="O614" i="24"/>
  <c r="N614" i="24"/>
  <c r="P614" i="24" s="1"/>
  <c r="K614" i="24"/>
  <c r="J614" i="24"/>
  <c r="H614" i="24"/>
  <c r="G614" i="24"/>
  <c r="R613" i="24"/>
  <c r="O613" i="24"/>
  <c r="N613" i="24"/>
  <c r="S613" i="24" s="1"/>
  <c r="U612" i="24"/>
  <c r="T612" i="24"/>
  <c r="O612" i="24"/>
  <c r="N612" i="24"/>
  <c r="P612" i="24" s="1"/>
  <c r="K612" i="24"/>
  <c r="J612" i="24"/>
  <c r="H612" i="24"/>
  <c r="G612" i="24"/>
  <c r="U611" i="24"/>
  <c r="T611" i="24"/>
  <c r="O611" i="24"/>
  <c r="N611" i="24"/>
  <c r="P611" i="24" s="1"/>
  <c r="K611" i="24"/>
  <c r="J611" i="24"/>
  <c r="G611" i="24"/>
  <c r="H611" i="24" s="1"/>
  <c r="U610" i="24"/>
  <c r="T610" i="24"/>
  <c r="O610" i="24"/>
  <c r="N610" i="24"/>
  <c r="P610" i="24" s="1"/>
  <c r="K610" i="24"/>
  <c r="J610" i="24"/>
  <c r="G610" i="24"/>
  <c r="H610" i="24" s="1"/>
  <c r="H609" i="24" s="1"/>
  <c r="J609" i="24" s="1"/>
  <c r="R609" i="24"/>
  <c r="O609" i="24"/>
  <c r="N609" i="24"/>
  <c r="S609" i="24" s="1"/>
  <c r="U608" i="24"/>
  <c r="T608" i="24"/>
  <c r="O608" i="24"/>
  <c r="N608" i="24"/>
  <c r="P608" i="24" s="1"/>
  <c r="K608" i="24"/>
  <c r="J608" i="24"/>
  <c r="G608" i="24"/>
  <c r="H608" i="24" s="1"/>
  <c r="U607" i="24"/>
  <c r="T607" i="24"/>
  <c r="O607" i="24"/>
  <c r="N607" i="24"/>
  <c r="P607" i="24" s="1"/>
  <c r="K607" i="24"/>
  <c r="J607" i="24"/>
  <c r="G607" i="24"/>
  <c r="H607" i="24" s="1"/>
  <c r="U606" i="24"/>
  <c r="T606" i="24"/>
  <c r="O606" i="24"/>
  <c r="N606" i="24"/>
  <c r="P606" i="24" s="1"/>
  <c r="K606" i="24"/>
  <c r="J606" i="24"/>
  <c r="H606" i="24"/>
  <c r="G606" i="24"/>
  <c r="R605" i="24"/>
  <c r="R604" i="24"/>
  <c r="O604" i="24"/>
  <c r="N604" i="24"/>
  <c r="P604" i="24" s="1"/>
  <c r="J604" i="24"/>
  <c r="H604" i="24"/>
  <c r="R603" i="24"/>
  <c r="O603" i="24"/>
  <c r="N603" i="24"/>
  <c r="H603" i="24"/>
  <c r="J603" i="24" s="1"/>
  <c r="R602" i="24"/>
  <c r="O602" i="24"/>
  <c r="N602" i="24"/>
  <c r="S602" i="24" s="1"/>
  <c r="H602" i="24"/>
  <c r="J602" i="24" s="1"/>
  <c r="R601" i="24"/>
  <c r="O601" i="24"/>
  <c r="N601" i="24"/>
  <c r="S601" i="24" s="1"/>
  <c r="H601" i="24"/>
  <c r="J601" i="24" s="1"/>
  <c r="R600" i="24"/>
  <c r="O600" i="24"/>
  <c r="N600" i="24"/>
  <c r="P600" i="24" s="1"/>
  <c r="H600" i="24"/>
  <c r="J600" i="24" s="1"/>
  <c r="R599" i="24"/>
  <c r="O599" i="24"/>
  <c r="N599" i="24"/>
  <c r="S599" i="24" s="1"/>
  <c r="G599" i="24"/>
  <c r="H599" i="24" s="1"/>
  <c r="J599" i="24" s="1"/>
  <c r="R598" i="24"/>
  <c r="O598" i="24"/>
  <c r="N598" i="24"/>
  <c r="J598" i="24"/>
  <c r="H598" i="24"/>
  <c r="R597" i="24"/>
  <c r="O597" i="24"/>
  <c r="N597" i="24"/>
  <c r="P597" i="24" s="1"/>
  <c r="H597" i="24"/>
  <c r="J597" i="24" s="1"/>
  <c r="U596" i="24"/>
  <c r="T596" i="24"/>
  <c r="O596" i="24"/>
  <c r="N596" i="24"/>
  <c r="P596" i="24" s="1"/>
  <c r="H596" i="24"/>
  <c r="U595" i="24"/>
  <c r="T595" i="24"/>
  <c r="O595" i="24"/>
  <c r="N595" i="24"/>
  <c r="P595" i="24" s="1"/>
  <c r="H595" i="24"/>
  <c r="U594" i="24"/>
  <c r="T594" i="24"/>
  <c r="O594" i="24"/>
  <c r="N594" i="24"/>
  <c r="P594" i="24" s="1"/>
  <c r="H594" i="24"/>
  <c r="R593" i="24"/>
  <c r="O593" i="24"/>
  <c r="N593" i="24"/>
  <c r="P593" i="24" s="1"/>
  <c r="R592" i="24"/>
  <c r="H592" i="24"/>
  <c r="J592" i="24" s="1"/>
  <c r="R591" i="24"/>
  <c r="O591" i="24"/>
  <c r="N591" i="24"/>
  <c r="P591" i="24" s="1"/>
  <c r="H591" i="24"/>
  <c r="J591" i="24" s="1"/>
  <c r="R590" i="24"/>
  <c r="H590" i="24"/>
  <c r="J590" i="24" s="1"/>
  <c r="R589" i="24"/>
  <c r="O589" i="24"/>
  <c r="N589" i="24"/>
  <c r="S589" i="24" s="1"/>
  <c r="U589" i="24" s="1"/>
  <c r="J589" i="24"/>
  <c r="H589" i="24"/>
  <c r="R588" i="24"/>
  <c r="O588" i="24"/>
  <c r="N588" i="24"/>
  <c r="H588" i="24"/>
  <c r="J588" i="24" s="1"/>
  <c r="R587" i="24"/>
  <c r="O587" i="24"/>
  <c r="N587" i="24"/>
  <c r="P587" i="24" s="1"/>
  <c r="G587" i="24"/>
  <c r="H587" i="24" s="1"/>
  <c r="J587" i="24" s="1"/>
  <c r="R586" i="24"/>
  <c r="O586" i="24"/>
  <c r="N586" i="24"/>
  <c r="S586" i="24" s="1"/>
  <c r="U586" i="24" s="1"/>
  <c r="Y586" i="24" s="1"/>
  <c r="J586" i="24"/>
  <c r="H586" i="24"/>
  <c r="G586" i="24"/>
  <c r="R585" i="24"/>
  <c r="O585" i="24"/>
  <c r="N585" i="24"/>
  <c r="G585" i="24"/>
  <c r="H585" i="24" s="1"/>
  <c r="J585" i="24" s="1"/>
  <c r="R584" i="24"/>
  <c r="O584" i="24"/>
  <c r="N584" i="24"/>
  <c r="S584" i="24" s="1"/>
  <c r="H584" i="24"/>
  <c r="J584" i="24" s="1"/>
  <c r="G584" i="24"/>
  <c r="U583" i="24"/>
  <c r="T583" i="24"/>
  <c r="P583" i="24"/>
  <c r="O583" i="24"/>
  <c r="R582" i="24"/>
  <c r="O582" i="24"/>
  <c r="N582" i="24"/>
  <c r="S582" i="24" s="1"/>
  <c r="K582" i="24"/>
  <c r="R581" i="24"/>
  <c r="O581" i="24"/>
  <c r="N581" i="24"/>
  <c r="K581" i="24"/>
  <c r="R580" i="24"/>
  <c r="O580" i="24"/>
  <c r="N580" i="24"/>
  <c r="P580" i="24" s="1"/>
  <c r="K580" i="24"/>
  <c r="R579" i="24"/>
  <c r="O579" i="24"/>
  <c r="N579" i="24"/>
  <c r="S579" i="24" s="1"/>
  <c r="K579" i="24"/>
  <c r="R578" i="24"/>
  <c r="O578" i="24"/>
  <c r="N578" i="24"/>
  <c r="S578" i="24" s="1"/>
  <c r="K578" i="24"/>
  <c r="R577" i="24"/>
  <c r="O577" i="24"/>
  <c r="N577" i="24"/>
  <c r="P577" i="24" s="1"/>
  <c r="K577" i="24"/>
  <c r="R576" i="24"/>
  <c r="O576" i="24"/>
  <c r="N576" i="24"/>
  <c r="P576" i="24" s="1"/>
  <c r="K576" i="24"/>
  <c r="R575" i="24"/>
  <c r="O575" i="24"/>
  <c r="N575" i="24"/>
  <c r="S575" i="24" s="1"/>
  <c r="K575" i="24"/>
  <c r="R574" i="24"/>
  <c r="O574" i="24"/>
  <c r="N574" i="24"/>
  <c r="S574" i="24" s="1"/>
  <c r="K574" i="24"/>
  <c r="R573" i="24"/>
  <c r="O573" i="24"/>
  <c r="N573" i="24"/>
  <c r="K573" i="24"/>
  <c r="R572" i="24"/>
  <c r="O572" i="24"/>
  <c r="N572" i="24"/>
  <c r="P572" i="24" s="1"/>
  <c r="K572" i="24"/>
  <c r="R571" i="24"/>
  <c r="O571" i="24"/>
  <c r="N571" i="24"/>
  <c r="S571" i="24" s="1"/>
  <c r="K571" i="24"/>
  <c r="R570" i="24"/>
  <c r="O570" i="24"/>
  <c r="N570" i="24"/>
  <c r="S570" i="24" s="1"/>
  <c r="K570" i="24"/>
  <c r="R569" i="24"/>
  <c r="O569" i="24"/>
  <c r="N569" i="24"/>
  <c r="S569" i="24" s="1"/>
  <c r="K569" i="24"/>
  <c r="R568" i="24"/>
  <c r="O568" i="24"/>
  <c r="N568" i="24"/>
  <c r="P568" i="24" s="1"/>
  <c r="K568" i="24"/>
  <c r="R567" i="24"/>
  <c r="O567" i="24"/>
  <c r="N567" i="24"/>
  <c r="S567" i="24" s="1"/>
  <c r="K567" i="24"/>
  <c r="R566" i="24"/>
  <c r="O566" i="24"/>
  <c r="N566" i="24"/>
  <c r="S566" i="24" s="1"/>
  <c r="K566" i="24"/>
  <c r="R565" i="24"/>
  <c r="O565" i="24"/>
  <c r="N565" i="24"/>
  <c r="K565" i="24"/>
  <c r="R564" i="24"/>
  <c r="O564" i="24"/>
  <c r="N564" i="24"/>
  <c r="P564" i="24" s="1"/>
  <c r="K564" i="24"/>
  <c r="R563" i="24"/>
  <c r="O563" i="24"/>
  <c r="N563" i="24"/>
  <c r="S563" i="24" s="1"/>
  <c r="K563" i="24"/>
  <c r="R562" i="24"/>
  <c r="O562" i="24"/>
  <c r="N562" i="24"/>
  <c r="S562" i="24" s="1"/>
  <c r="K562" i="24"/>
  <c r="R561" i="24"/>
  <c r="O561" i="24"/>
  <c r="N561" i="24"/>
  <c r="S561" i="24" s="1"/>
  <c r="K561" i="24"/>
  <c r="R560" i="24"/>
  <c r="O560" i="24"/>
  <c r="N560" i="24"/>
  <c r="P560" i="24" s="1"/>
  <c r="K560" i="24"/>
  <c r="R559" i="24"/>
  <c r="O559" i="24"/>
  <c r="N559" i="24"/>
  <c r="K559" i="24"/>
  <c r="R558" i="24"/>
  <c r="O558" i="24"/>
  <c r="N558" i="24"/>
  <c r="S558" i="24" s="1"/>
  <c r="K558" i="24"/>
  <c r="U557" i="24"/>
  <c r="T557" i="24"/>
  <c r="O557" i="24"/>
  <c r="N557" i="24"/>
  <c r="P557" i="24" s="1"/>
  <c r="R556" i="24"/>
  <c r="O556" i="24"/>
  <c r="N556" i="24"/>
  <c r="S556" i="24" s="1"/>
  <c r="J556" i="24"/>
  <c r="H556" i="24"/>
  <c r="U555" i="24"/>
  <c r="T555" i="24"/>
  <c r="O555" i="24"/>
  <c r="N555" i="24"/>
  <c r="P555" i="24" s="1"/>
  <c r="G555" i="24"/>
  <c r="H555" i="24" s="1"/>
  <c r="U554" i="24"/>
  <c r="T554" i="24"/>
  <c r="O554" i="24"/>
  <c r="N554" i="24"/>
  <c r="P554" i="24" s="1"/>
  <c r="H554" i="24"/>
  <c r="G554" i="24"/>
  <c r="U553" i="24"/>
  <c r="T553" i="24"/>
  <c r="O553" i="24"/>
  <c r="N553" i="24"/>
  <c r="P553" i="24" s="1"/>
  <c r="G553" i="24"/>
  <c r="H553" i="24" s="1"/>
  <c r="R552" i="24"/>
  <c r="O552" i="24"/>
  <c r="N552" i="24"/>
  <c r="S552" i="24" s="1"/>
  <c r="U552" i="24" s="1"/>
  <c r="Y552" i="24" s="1"/>
  <c r="R551" i="24"/>
  <c r="O551" i="24"/>
  <c r="N551" i="24"/>
  <c r="H551" i="24"/>
  <c r="J551" i="24" s="1"/>
  <c r="U550" i="24"/>
  <c r="T550" i="24"/>
  <c r="O550" i="24"/>
  <c r="N550" i="24"/>
  <c r="P550" i="24" s="1"/>
  <c r="H550" i="24"/>
  <c r="G550" i="24"/>
  <c r="U549" i="24"/>
  <c r="T549" i="24"/>
  <c r="O549" i="24"/>
  <c r="N549" i="24"/>
  <c r="P549" i="24" s="1"/>
  <c r="G549" i="24"/>
  <c r="H549" i="24" s="1"/>
  <c r="U548" i="24"/>
  <c r="T548" i="24"/>
  <c r="O548" i="24"/>
  <c r="N548" i="24"/>
  <c r="P548" i="24" s="1"/>
  <c r="H548" i="24"/>
  <c r="G548" i="24"/>
  <c r="R547" i="24"/>
  <c r="O547" i="24"/>
  <c r="N547" i="24"/>
  <c r="R546" i="24"/>
  <c r="O546" i="24"/>
  <c r="N546" i="24"/>
  <c r="S546" i="24" s="1"/>
  <c r="H546" i="24"/>
  <c r="J546" i="24" s="1"/>
  <c r="U545" i="24"/>
  <c r="T545" i="24"/>
  <c r="O545" i="24"/>
  <c r="N545" i="24"/>
  <c r="P545" i="24" s="1"/>
  <c r="H545" i="24"/>
  <c r="G545" i="24"/>
  <c r="U544" i="24"/>
  <c r="T544" i="24"/>
  <c r="O544" i="24"/>
  <c r="N544" i="24"/>
  <c r="P544" i="24" s="1"/>
  <c r="G544" i="24"/>
  <c r="H544" i="24" s="1"/>
  <c r="U543" i="24"/>
  <c r="T543" i="24"/>
  <c r="O543" i="24"/>
  <c r="N543" i="24"/>
  <c r="P543" i="24" s="1"/>
  <c r="H543" i="24"/>
  <c r="G543" i="24"/>
  <c r="R542" i="24"/>
  <c r="O542" i="24"/>
  <c r="N542" i="24"/>
  <c r="S542" i="24" s="1"/>
  <c r="U542" i="24" s="1"/>
  <c r="R541" i="24"/>
  <c r="O541" i="24"/>
  <c r="N541" i="24"/>
  <c r="J541" i="24"/>
  <c r="H541" i="24"/>
  <c r="U540" i="24"/>
  <c r="T540" i="24"/>
  <c r="O540" i="24"/>
  <c r="N540" i="24"/>
  <c r="P540" i="24" s="1"/>
  <c r="G540" i="24"/>
  <c r="H540" i="24" s="1"/>
  <c r="U539" i="24"/>
  <c r="T539" i="24"/>
  <c r="O539" i="24"/>
  <c r="N539" i="24"/>
  <c r="P539" i="24" s="1"/>
  <c r="H539" i="24"/>
  <c r="G539" i="24"/>
  <c r="U538" i="24"/>
  <c r="T538" i="24"/>
  <c r="O538" i="24"/>
  <c r="N538" i="24"/>
  <c r="P538" i="24" s="1"/>
  <c r="G538" i="24"/>
  <c r="H538" i="24" s="1"/>
  <c r="R537" i="24"/>
  <c r="O537" i="24"/>
  <c r="N537" i="24"/>
  <c r="S537" i="24" s="1"/>
  <c r="R536" i="24"/>
  <c r="O536" i="24"/>
  <c r="N536" i="24"/>
  <c r="H536" i="24"/>
  <c r="J536" i="24" s="1"/>
  <c r="G536" i="24"/>
  <c r="U535" i="24"/>
  <c r="T535" i="24"/>
  <c r="O535" i="24"/>
  <c r="N535" i="24"/>
  <c r="P535" i="24" s="1"/>
  <c r="H535" i="24"/>
  <c r="G535" i="24"/>
  <c r="U534" i="24"/>
  <c r="T534" i="24"/>
  <c r="O534" i="24"/>
  <c r="N534" i="24"/>
  <c r="P534" i="24" s="1"/>
  <c r="H534" i="24"/>
  <c r="G534" i="24"/>
  <c r="U533" i="24"/>
  <c r="T533" i="24"/>
  <c r="O533" i="24"/>
  <c r="N533" i="24"/>
  <c r="P533" i="24" s="1"/>
  <c r="H533" i="24"/>
  <c r="G533" i="24"/>
  <c r="R532" i="24"/>
  <c r="O532" i="24"/>
  <c r="N532" i="24"/>
  <c r="R531" i="24"/>
  <c r="O531" i="24"/>
  <c r="N531" i="24"/>
  <c r="J531" i="24"/>
  <c r="H531" i="24"/>
  <c r="R530" i="24"/>
  <c r="O530" i="24"/>
  <c r="N530" i="24"/>
  <c r="S530" i="24" s="1"/>
  <c r="J530" i="24"/>
  <c r="R529" i="24"/>
  <c r="O529" i="24"/>
  <c r="N529" i="24"/>
  <c r="S529" i="24" s="1"/>
  <c r="J529" i="24"/>
  <c r="U528" i="24"/>
  <c r="T528" i="24"/>
  <c r="P528" i="24"/>
  <c r="O528" i="24"/>
  <c r="R527" i="24"/>
  <c r="O527" i="24"/>
  <c r="N527" i="24"/>
  <c r="P527" i="24" s="1"/>
  <c r="K527" i="24"/>
  <c r="R526" i="24"/>
  <c r="O526" i="24"/>
  <c r="N526" i="24"/>
  <c r="K526" i="24"/>
  <c r="R525" i="24"/>
  <c r="O525" i="24"/>
  <c r="N525" i="24"/>
  <c r="K525" i="24"/>
  <c r="R524" i="24"/>
  <c r="O524" i="24"/>
  <c r="N524" i="24"/>
  <c r="K524" i="24"/>
  <c r="R523" i="24"/>
  <c r="O523" i="24"/>
  <c r="N523" i="24"/>
  <c r="K523" i="24"/>
  <c r="R522" i="24"/>
  <c r="O522" i="24"/>
  <c r="N522" i="24"/>
  <c r="P522" i="24" s="1"/>
  <c r="K522" i="24"/>
  <c r="R521" i="24"/>
  <c r="O521" i="24"/>
  <c r="N521" i="24"/>
  <c r="S521" i="24" s="1"/>
  <c r="K521" i="24"/>
  <c r="R520" i="24"/>
  <c r="O520" i="24"/>
  <c r="N520" i="24"/>
  <c r="K520" i="24"/>
  <c r="R519" i="24"/>
  <c r="O519" i="24"/>
  <c r="N519" i="24"/>
  <c r="P519" i="24" s="1"/>
  <c r="K519" i="24"/>
  <c r="R518" i="24"/>
  <c r="O518" i="24"/>
  <c r="N518" i="24"/>
  <c r="K518" i="24"/>
  <c r="R517" i="24"/>
  <c r="O517" i="24"/>
  <c r="N517" i="24"/>
  <c r="S517" i="24" s="1"/>
  <c r="K517" i="24"/>
  <c r="R516" i="24"/>
  <c r="O516" i="24"/>
  <c r="N516" i="24"/>
  <c r="K516" i="24"/>
  <c r="R515" i="24"/>
  <c r="O515" i="24"/>
  <c r="N515" i="24"/>
  <c r="K515" i="24"/>
  <c r="R514" i="24"/>
  <c r="O514" i="24"/>
  <c r="N514" i="24"/>
  <c r="P514" i="24" s="1"/>
  <c r="K514" i="24"/>
  <c r="R513" i="24"/>
  <c r="O513" i="24"/>
  <c r="N513" i="24"/>
  <c r="S513" i="24" s="1"/>
  <c r="K513" i="24"/>
  <c r="R512" i="24"/>
  <c r="O512" i="24"/>
  <c r="N512" i="24"/>
  <c r="K512" i="24"/>
  <c r="R511" i="24"/>
  <c r="O511" i="24"/>
  <c r="N511" i="24"/>
  <c r="P511" i="24" s="1"/>
  <c r="K511" i="24"/>
  <c r="R510" i="24"/>
  <c r="O510" i="24"/>
  <c r="N510" i="24"/>
  <c r="S510" i="24" s="1"/>
  <c r="K510" i="24"/>
  <c r="R509" i="24"/>
  <c r="O509" i="24"/>
  <c r="N509" i="24"/>
  <c r="S509" i="24" s="1"/>
  <c r="K509" i="24"/>
  <c r="R508" i="24"/>
  <c r="O508" i="24"/>
  <c r="N508" i="24"/>
  <c r="K508" i="24"/>
  <c r="R507" i="24"/>
  <c r="O507" i="24"/>
  <c r="N507" i="24"/>
  <c r="K507" i="24"/>
  <c r="R506" i="24"/>
  <c r="O506" i="24"/>
  <c r="N506" i="24"/>
  <c r="K506" i="24"/>
  <c r="R505" i="24"/>
  <c r="O505" i="24"/>
  <c r="N505" i="24"/>
  <c r="S505" i="24" s="1"/>
  <c r="K505" i="24"/>
  <c r="R504" i="24"/>
  <c r="O504" i="24"/>
  <c r="N504" i="24"/>
  <c r="P504" i="24" s="1"/>
  <c r="K504" i="24"/>
  <c r="R503" i="24"/>
  <c r="O503" i="24"/>
  <c r="N503" i="24"/>
  <c r="K503" i="24"/>
  <c r="U502" i="24"/>
  <c r="T502" i="24"/>
  <c r="P502" i="24"/>
  <c r="O502" i="24"/>
  <c r="N502" i="24"/>
  <c r="R501" i="24"/>
  <c r="O501" i="24"/>
  <c r="N501" i="24"/>
  <c r="P501" i="24" s="1"/>
  <c r="J501" i="24"/>
  <c r="H501" i="24"/>
  <c r="R500" i="24"/>
  <c r="O500" i="24"/>
  <c r="N500" i="24"/>
  <c r="H500" i="24"/>
  <c r="J500" i="24" s="1"/>
  <c r="R499" i="24"/>
  <c r="O499" i="24"/>
  <c r="N499" i="24"/>
  <c r="S499" i="24" s="1"/>
  <c r="J499" i="24"/>
  <c r="H499" i="24"/>
  <c r="R498" i="24"/>
  <c r="O498" i="24"/>
  <c r="N498" i="24"/>
  <c r="S498" i="24" s="1"/>
  <c r="J498" i="24"/>
  <c r="H498" i="24"/>
  <c r="R497" i="24"/>
  <c r="O497" i="24"/>
  <c r="N497" i="24"/>
  <c r="P497" i="24" s="1"/>
  <c r="H497" i="24"/>
  <c r="J497" i="24" s="1"/>
  <c r="R496" i="24"/>
  <c r="O496" i="24"/>
  <c r="N496" i="24"/>
  <c r="H496" i="24"/>
  <c r="J496" i="24" s="1"/>
  <c r="R495" i="24"/>
  <c r="O495" i="24"/>
  <c r="N495" i="24"/>
  <c r="S495" i="24" s="1"/>
  <c r="H495" i="24"/>
  <c r="J495" i="24" s="1"/>
  <c r="R494" i="24"/>
  <c r="O494" i="24"/>
  <c r="N494" i="24"/>
  <c r="S494" i="24" s="1"/>
  <c r="H494" i="24"/>
  <c r="J494" i="24" s="1"/>
  <c r="R493" i="24"/>
  <c r="O493" i="24"/>
  <c r="N493" i="24"/>
  <c r="J493" i="24"/>
  <c r="H493" i="24"/>
  <c r="R492" i="24"/>
  <c r="O492" i="24"/>
  <c r="N492" i="24"/>
  <c r="H492" i="24"/>
  <c r="J492" i="24" s="1"/>
  <c r="R491" i="24"/>
  <c r="O491" i="24"/>
  <c r="N491" i="24"/>
  <c r="H491" i="24"/>
  <c r="J491" i="24" s="1"/>
  <c r="R490" i="24"/>
  <c r="O490" i="24"/>
  <c r="N490" i="24"/>
  <c r="H490" i="24"/>
  <c r="J490" i="24" s="1"/>
  <c r="G490" i="24"/>
  <c r="R489" i="24"/>
  <c r="O489" i="24"/>
  <c r="N489" i="24"/>
  <c r="H489" i="24"/>
  <c r="J489" i="24" s="1"/>
  <c r="G489" i="24"/>
  <c r="R488" i="24"/>
  <c r="O488" i="24"/>
  <c r="N488" i="24"/>
  <c r="S488" i="24" s="1"/>
  <c r="J488" i="24"/>
  <c r="G488" i="24"/>
  <c r="H488" i="24" s="1"/>
  <c r="R487" i="24"/>
  <c r="O487" i="24"/>
  <c r="N487" i="24"/>
  <c r="P487" i="24" s="1"/>
  <c r="H487" i="24"/>
  <c r="J487" i="24" s="1"/>
  <c r="G487" i="24"/>
  <c r="R486" i="24"/>
  <c r="O486" i="24"/>
  <c r="N486" i="24"/>
  <c r="S486" i="24" s="1"/>
  <c r="H486" i="24"/>
  <c r="J486" i="24" s="1"/>
  <c r="G486" i="24"/>
  <c r="R485" i="24"/>
  <c r="O485" i="24"/>
  <c r="N485" i="24"/>
  <c r="H485" i="24"/>
  <c r="J485" i="24" s="1"/>
  <c r="G485" i="24"/>
  <c r="R484" i="24"/>
  <c r="O484" i="24"/>
  <c r="N484" i="24"/>
  <c r="S484" i="24" s="1"/>
  <c r="G484" i="24"/>
  <c r="H484" i="24" s="1"/>
  <c r="J484" i="24" s="1"/>
  <c r="R483" i="24"/>
  <c r="O483" i="24"/>
  <c r="N483" i="24"/>
  <c r="P483" i="24" s="1"/>
  <c r="H483" i="24"/>
  <c r="J483" i="24" s="1"/>
  <c r="G483" i="24"/>
  <c r="R482" i="24"/>
  <c r="O482" i="24"/>
  <c r="N482" i="24"/>
  <c r="S482" i="24" s="1"/>
  <c r="H482" i="24"/>
  <c r="J482" i="24" s="1"/>
  <c r="G482" i="24"/>
  <c r="U481" i="24"/>
  <c r="T481" i="24"/>
  <c r="O481" i="24"/>
  <c r="N481" i="24"/>
  <c r="P481" i="24" s="1"/>
  <c r="G481" i="24"/>
  <c r="H481" i="24" s="1"/>
  <c r="U480" i="24"/>
  <c r="T480" i="24"/>
  <c r="O480" i="24"/>
  <c r="N480" i="24"/>
  <c r="P480" i="24" s="1"/>
  <c r="H480" i="24"/>
  <c r="U479" i="24"/>
  <c r="T479" i="24"/>
  <c r="O479" i="24"/>
  <c r="N479" i="24"/>
  <c r="P479" i="24" s="1"/>
  <c r="H479" i="24"/>
  <c r="H477" i="24" s="1"/>
  <c r="J477" i="24" s="1"/>
  <c r="U478" i="24"/>
  <c r="T478" i="24"/>
  <c r="O478" i="24"/>
  <c r="N478" i="24"/>
  <c r="P478" i="24" s="1"/>
  <c r="H478" i="24"/>
  <c r="R477" i="24"/>
  <c r="O477" i="24"/>
  <c r="N477" i="24"/>
  <c r="U476" i="24"/>
  <c r="T476" i="24"/>
  <c r="O476" i="24"/>
  <c r="N476" i="24"/>
  <c r="P476" i="24" s="1"/>
  <c r="H476" i="24"/>
  <c r="G476" i="24"/>
  <c r="U475" i="24"/>
  <c r="T475" i="24"/>
  <c r="O475" i="24"/>
  <c r="N475" i="24"/>
  <c r="P475" i="24" s="1"/>
  <c r="H475" i="24"/>
  <c r="U474" i="24"/>
  <c r="T474" i="24"/>
  <c r="O474" i="24"/>
  <c r="N474" i="24"/>
  <c r="P474" i="24" s="1"/>
  <c r="H474" i="24"/>
  <c r="U473" i="24"/>
  <c r="T473" i="24"/>
  <c r="O473" i="24"/>
  <c r="N473" i="24"/>
  <c r="P473" i="24" s="1"/>
  <c r="H473" i="24"/>
  <c r="R472" i="24"/>
  <c r="O472" i="24"/>
  <c r="N472" i="24"/>
  <c r="R471" i="24"/>
  <c r="O471" i="24"/>
  <c r="N471" i="24"/>
  <c r="P471" i="24" s="1"/>
  <c r="H471" i="24"/>
  <c r="J471" i="24" s="1"/>
  <c r="R470" i="24"/>
  <c r="O470" i="24"/>
  <c r="N470" i="24"/>
  <c r="S470" i="24" s="1"/>
  <c r="J470" i="24"/>
  <c r="H470" i="24"/>
  <c r="R469" i="24"/>
  <c r="O469" i="24"/>
  <c r="N469" i="24"/>
  <c r="S469" i="24" s="1"/>
  <c r="J469" i="24"/>
  <c r="H469" i="24"/>
  <c r="R468" i="24"/>
  <c r="O468" i="24"/>
  <c r="N468" i="24"/>
  <c r="J468" i="24"/>
  <c r="H468" i="24"/>
  <c r="R467" i="24"/>
  <c r="O467" i="24"/>
  <c r="N467" i="24"/>
  <c r="H467" i="24"/>
  <c r="J467" i="24" s="1"/>
  <c r="R466" i="24"/>
  <c r="O466" i="24"/>
  <c r="N466" i="24"/>
  <c r="S466" i="24" s="1"/>
  <c r="H466" i="24"/>
  <c r="J466" i="24" s="1"/>
  <c r="R465" i="24"/>
  <c r="O465" i="24"/>
  <c r="N465" i="24"/>
  <c r="S465" i="24" s="1"/>
  <c r="H465" i="24"/>
  <c r="J465" i="24" s="1"/>
  <c r="R464" i="24"/>
  <c r="O464" i="24"/>
  <c r="N464" i="24"/>
  <c r="H464" i="24"/>
  <c r="J464" i="24" s="1"/>
  <c r="R463" i="24"/>
  <c r="O463" i="24"/>
  <c r="N463" i="24"/>
  <c r="H463" i="24"/>
  <c r="J463" i="24" s="1"/>
  <c r="R462" i="24"/>
  <c r="O462" i="24"/>
  <c r="N462" i="24"/>
  <c r="P462" i="24" s="1"/>
  <c r="J462" i="24"/>
  <c r="H462" i="24"/>
  <c r="R461" i="24"/>
  <c r="O461" i="24"/>
  <c r="N461" i="24"/>
  <c r="P461" i="24" s="1"/>
  <c r="J461" i="24"/>
  <c r="H461" i="24"/>
  <c r="R460" i="24"/>
  <c r="O460" i="24"/>
  <c r="N460" i="24"/>
  <c r="P460" i="24" s="1"/>
  <c r="J460" i="24"/>
  <c r="H460" i="24"/>
  <c r="R459" i="24"/>
  <c r="O459" i="24"/>
  <c r="N459" i="24"/>
  <c r="H459" i="24"/>
  <c r="J459" i="24" s="1"/>
  <c r="R458" i="24"/>
  <c r="O458" i="24"/>
  <c r="N458" i="24"/>
  <c r="J458" i="24"/>
  <c r="H458" i="24"/>
  <c r="U457" i="24"/>
  <c r="T457" i="24"/>
  <c r="O457" i="24"/>
  <c r="N457" i="24"/>
  <c r="P457" i="24" s="1"/>
  <c r="H457" i="24"/>
  <c r="G457" i="24"/>
  <c r="U456" i="24"/>
  <c r="T456" i="24"/>
  <c r="O456" i="24"/>
  <c r="N456" i="24"/>
  <c r="P456" i="24" s="1"/>
  <c r="H456" i="24"/>
  <c r="U455" i="24"/>
  <c r="T455" i="24"/>
  <c r="O455" i="24"/>
  <c r="N455" i="24"/>
  <c r="P455" i="24" s="1"/>
  <c r="H455" i="24"/>
  <c r="U454" i="24"/>
  <c r="T454" i="24"/>
  <c r="O454" i="24"/>
  <c r="N454" i="24"/>
  <c r="P454" i="24" s="1"/>
  <c r="H454" i="24"/>
  <c r="R453" i="24"/>
  <c r="O453" i="24"/>
  <c r="N453" i="24"/>
  <c r="U452" i="24"/>
  <c r="T452" i="24"/>
  <c r="O452" i="24"/>
  <c r="N452" i="24"/>
  <c r="P452" i="24" s="1"/>
  <c r="H452" i="24"/>
  <c r="G452" i="24"/>
  <c r="U451" i="24"/>
  <c r="T451" i="24"/>
  <c r="O451" i="24"/>
  <c r="N451" i="24"/>
  <c r="P451" i="24" s="1"/>
  <c r="H451" i="24"/>
  <c r="U450" i="24"/>
  <c r="T450" i="24"/>
  <c r="O450" i="24"/>
  <c r="N450" i="24"/>
  <c r="P450" i="24" s="1"/>
  <c r="H450" i="24"/>
  <c r="U449" i="24"/>
  <c r="T449" i="24"/>
  <c r="O449" i="24"/>
  <c r="N449" i="24"/>
  <c r="P449" i="24" s="1"/>
  <c r="H449" i="24"/>
  <c r="R448" i="24"/>
  <c r="O448" i="24"/>
  <c r="N448" i="24"/>
  <c r="S448" i="24" s="1"/>
  <c r="U447" i="24"/>
  <c r="T447" i="24"/>
  <c r="O447" i="24"/>
  <c r="N447" i="24"/>
  <c r="P447" i="24" s="1"/>
  <c r="G447" i="24"/>
  <c r="H447" i="24" s="1"/>
  <c r="U446" i="24"/>
  <c r="T446" i="24"/>
  <c r="O446" i="24"/>
  <c r="N446" i="24"/>
  <c r="P446" i="24" s="1"/>
  <c r="H446" i="24"/>
  <c r="U445" i="24"/>
  <c r="T445" i="24"/>
  <c r="O445" i="24"/>
  <c r="N445" i="24"/>
  <c r="P445" i="24" s="1"/>
  <c r="H445" i="24"/>
  <c r="U444" i="24"/>
  <c r="T444" i="24"/>
  <c r="O444" i="24"/>
  <c r="N444" i="24"/>
  <c r="P444" i="24" s="1"/>
  <c r="H444" i="24"/>
  <c r="R443" i="24"/>
  <c r="O443" i="24"/>
  <c r="N443" i="24"/>
  <c r="P443" i="24" s="1"/>
  <c r="M442" i="24"/>
  <c r="N442" i="24" s="1"/>
  <c r="S442" i="24" s="1"/>
  <c r="H442" i="24"/>
  <c r="U441" i="24"/>
  <c r="T441" i="24"/>
  <c r="O441" i="24"/>
  <c r="N441" i="24"/>
  <c r="P441" i="24" s="1"/>
  <c r="H441" i="24"/>
  <c r="G441" i="24"/>
  <c r="U440" i="24"/>
  <c r="T440" i="24"/>
  <c r="O440" i="24"/>
  <c r="N440" i="24"/>
  <c r="P440" i="24" s="1"/>
  <c r="H440" i="24"/>
  <c r="U439" i="24"/>
  <c r="T439" i="24"/>
  <c r="O439" i="24"/>
  <c r="N439" i="24"/>
  <c r="P439" i="24" s="1"/>
  <c r="H439" i="24"/>
  <c r="H437" i="24" s="1"/>
  <c r="J437" i="24" s="1"/>
  <c r="U438" i="24"/>
  <c r="T438" i="24"/>
  <c r="O438" i="24"/>
  <c r="N438" i="24"/>
  <c r="P438" i="24" s="1"/>
  <c r="H438" i="24"/>
  <c r="R437" i="24"/>
  <c r="R442" i="24" s="1"/>
  <c r="O437" i="24"/>
  <c r="N437" i="24"/>
  <c r="M436" i="24"/>
  <c r="H436" i="24"/>
  <c r="U435" i="24"/>
  <c r="T435" i="24"/>
  <c r="O435" i="24"/>
  <c r="N435" i="24"/>
  <c r="P435" i="24" s="1"/>
  <c r="G435" i="24"/>
  <c r="H435" i="24" s="1"/>
  <c r="U434" i="24"/>
  <c r="T434" i="24"/>
  <c r="O434" i="24"/>
  <c r="N434" i="24"/>
  <c r="P434" i="24" s="1"/>
  <c r="H434" i="24"/>
  <c r="U433" i="24"/>
  <c r="T433" i="24"/>
  <c r="O433" i="24"/>
  <c r="N433" i="24"/>
  <c r="P433" i="24" s="1"/>
  <c r="H433" i="24"/>
  <c r="U432" i="24"/>
  <c r="T432" i="24"/>
  <c r="O432" i="24"/>
  <c r="N432" i="24"/>
  <c r="P432" i="24" s="1"/>
  <c r="H432" i="24"/>
  <c r="H431" i="24" s="1"/>
  <c r="J431" i="24" s="1"/>
  <c r="R431" i="24"/>
  <c r="R436" i="24" s="1"/>
  <c r="O431" i="24"/>
  <c r="N431" i="24"/>
  <c r="S431" i="24" s="1"/>
  <c r="N430" i="24"/>
  <c r="P430" i="24" s="1"/>
  <c r="M430" i="24"/>
  <c r="H430" i="24"/>
  <c r="U429" i="24"/>
  <c r="T429" i="24"/>
  <c r="O429" i="24"/>
  <c r="N429" i="24"/>
  <c r="P429" i="24" s="1"/>
  <c r="G429" i="24"/>
  <c r="H429" i="24" s="1"/>
  <c r="U428" i="24"/>
  <c r="T428" i="24"/>
  <c r="O428" i="24"/>
  <c r="N428" i="24"/>
  <c r="P428" i="24" s="1"/>
  <c r="H428" i="24"/>
  <c r="U427" i="24"/>
  <c r="T427" i="24"/>
  <c r="O427" i="24"/>
  <c r="N427" i="24"/>
  <c r="P427" i="24" s="1"/>
  <c r="H427" i="24"/>
  <c r="U426" i="24"/>
  <c r="T426" i="24"/>
  <c r="O426" i="24"/>
  <c r="N426" i="24"/>
  <c r="P426" i="24" s="1"/>
  <c r="H426" i="24"/>
  <c r="R425" i="24"/>
  <c r="R430" i="24" s="1"/>
  <c r="O425" i="24"/>
  <c r="N425" i="24"/>
  <c r="M424" i="24"/>
  <c r="N424" i="24" s="1"/>
  <c r="H424" i="24"/>
  <c r="U423" i="24"/>
  <c r="T423" i="24"/>
  <c r="O423" i="24"/>
  <c r="N423" i="24"/>
  <c r="P423" i="24" s="1"/>
  <c r="G423" i="24"/>
  <c r="H423" i="24" s="1"/>
  <c r="U422" i="24"/>
  <c r="T422" i="24"/>
  <c r="O422" i="24"/>
  <c r="N422" i="24"/>
  <c r="P422" i="24" s="1"/>
  <c r="H422" i="24"/>
  <c r="U421" i="24"/>
  <c r="T421" i="24"/>
  <c r="O421" i="24"/>
  <c r="N421" i="24"/>
  <c r="P421" i="24" s="1"/>
  <c r="H421" i="24"/>
  <c r="U420" i="24"/>
  <c r="T420" i="24"/>
  <c r="O420" i="24"/>
  <c r="N420" i="24"/>
  <c r="P420" i="24" s="1"/>
  <c r="H420" i="24"/>
  <c r="R419" i="24"/>
  <c r="R424" i="24" s="1"/>
  <c r="O419" i="24"/>
  <c r="N419" i="24"/>
  <c r="N418" i="24"/>
  <c r="S418" i="24" s="1"/>
  <c r="M418" i="24"/>
  <c r="H418" i="24"/>
  <c r="U417" i="24"/>
  <c r="T417" i="24"/>
  <c r="O417" i="24"/>
  <c r="N417" i="24"/>
  <c r="P417" i="24" s="1"/>
  <c r="G417" i="24"/>
  <c r="H417" i="24" s="1"/>
  <c r="U416" i="24"/>
  <c r="T416" i="24"/>
  <c r="O416" i="24"/>
  <c r="N416" i="24"/>
  <c r="P416" i="24" s="1"/>
  <c r="H416" i="24"/>
  <c r="U415" i="24"/>
  <c r="T415" i="24"/>
  <c r="O415" i="24"/>
  <c r="N415" i="24"/>
  <c r="P415" i="24" s="1"/>
  <c r="H415" i="24"/>
  <c r="U414" i="24"/>
  <c r="T414" i="24"/>
  <c r="O414" i="24"/>
  <c r="N414" i="24"/>
  <c r="P414" i="24" s="1"/>
  <c r="H414" i="24"/>
  <c r="R413" i="24"/>
  <c r="R418" i="24" s="1"/>
  <c r="O413" i="24"/>
  <c r="N413" i="24"/>
  <c r="M412" i="24"/>
  <c r="H412" i="24"/>
  <c r="U411" i="24"/>
  <c r="T411" i="24"/>
  <c r="O411" i="24"/>
  <c r="N411" i="24"/>
  <c r="P411" i="24" s="1"/>
  <c r="H411" i="24"/>
  <c r="G411" i="24"/>
  <c r="U410" i="24"/>
  <c r="T410" i="24"/>
  <c r="O410" i="24"/>
  <c r="N410" i="24"/>
  <c r="P410" i="24" s="1"/>
  <c r="H410" i="24"/>
  <c r="U409" i="24"/>
  <c r="T409" i="24"/>
  <c r="O409" i="24"/>
  <c r="N409" i="24"/>
  <c r="P409" i="24" s="1"/>
  <c r="H409" i="24"/>
  <c r="U408" i="24"/>
  <c r="T408" i="24"/>
  <c r="O408" i="24"/>
  <c r="N408" i="24"/>
  <c r="P408" i="24" s="1"/>
  <c r="H408" i="24"/>
  <c r="R407" i="24"/>
  <c r="R412" i="24" s="1"/>
  <c r="O407" i="24"/>
  <c r="N407" i="24"/>
  <c r="S407" i="24" s="1"/>
  <c r="M406" i="24"/>
  <c r="H406" i="24"/>
  <c r="U405" i="24"/>
  <c r="T405" i="24"/>
  <c r="O405" i="24"/>
  <c r="N405" i="24"/>
  <c r="P405" i="24" s="1"/>
  <c r="G405" i="24"/>
  <c r="H405" i="24" s="1"/>
  <c r="U404" i="24"/>
  <c r="T404" i="24"/>
  <c r="O404" i="24"/>
  <c r="N404" i="24"/>
  <c r="P404" i="24" s="1"/>
  <c r="H404" i="24"/>
  <c r="U403" i="24"/>
  <c r="T403" i="24"/>
  <c r="O403" i="24"/>
  <c r="N403" i="24"/>
  <c r="P403" i="24" s="1"/>
  <c r="H403" i="24"/>
  <c r="U402" i="24"/>
  <c r="T402" i="24"/>
  <c r="O402" i="24"/>
  <c r="N402" i="24"/>
  <c r="P402" i="24" s="1"/>
  <c r="H402" i="24"/>
  <c r="R401" i="24"/>
  <c r="O401" i="24"/>
  <c r="N401" i="24"/>
  <c r="S401" i="24" s="1"/>
  <c r="M400" i="24"/>
  <c r="H400" i="24"/>
  <c r="U399" i="24"/>
  <c r="T399" i="24"/>
  <c r="O399" i="24"/>
  <c r="N399" i="24"/>
  <c r="P399" i="24" s="1"/>
  <c r="G399" i="24"/>
  <c r="H399" i="24" s="1"/>
  <c r="U398" i="24"/>
  <c r="T398" i="24"/>
  <c r="O398" i="24"/>
  <c r="N398" i="24"/>
  <c r="P398" i="24" s="1"/>
  <c r="H398" i="24"/>
  <c r="U397" i="24"/>
  <c r="T397" i="24"/>
  <c r="O397" i="24"/>
  <c r="N397" i="24"/>
  <c r="P397" i="24" s="1"/>
  <c r="H397" i="24"/>
  <c r="U396" i="24"/>
  <c r="T396" i="24"/>
  <c r="O396" i="24"/>
  <c r="N396" i="24"/>
  <c r="P396" i="24" s="1"/>
  <c r="H396" i="24"/>
  <c r="R395" i="24"/>
  <c r="M394" i="24"/>
  <c r="H394" i="24"/>
  <c r="U393" i="24"/>
  <c r="T393" i="24"/>
  <c r="O393" i="24"/>
  <c r="N393" i="24"/>
  <c r="P393" i="24" s="1"/>
  <c r="H393" i="24"/>
  <c r="G393" i="24"/>
  <c r="U392" i="24"/>
  <c r="T392" i="24"/>
  <c r="O392" i="24"/>
  <c r="N392" i="24"/>
  <c r="P392" i="24" s="1"/>
  <c r="H392" i="24"/>
  <c r="U391" i="24"/>
  <c r="T391" i="24"/>
  <c r="O391" i="24"/>
  <c r="N391" i="24"/>
  <c r="P391" i="24" s="1"/>
  <c r="H391" i="24"/>
  <c r="U390" i="24"/>
  <c r="T390" i="24"/>
  <c r="O390" i="24"/>
  <c r="N390" i="24"/>
  <c r="P390" i="24" s="1"/>
  <c r="H390" i="24"/>
  <c r="H389" i="24" s="1"/>
  <c r="J389" i="24" s="1"/>
  <c r="R389" i="24"/>
  <c r="R394" i="24" s="1"/>
  <c r="M388" i="24"/>
  <c r="H388" i="24"/>
  <c r="U387" i="24"/>
  <c r="T387" i="24"/>
  <c r="O387" i="24"/>
  <c r="N387" i="24"/>
  <c r="P387" i="24" s="1"/>
  <c r="G387" i="24"/>
  <c r="H387" i="24" s="1"/>
  <c r="U386" i="24"/>
  <c r="T386" i="24"/>
  <c r="O386" i="24"/>
  <c r="N386" i="24"/>
  <c r="P386" i="24" s="1"/>
  <c r="H386" i="24"/>
  <c r="U385" i="24"/>
  <c r="T385" i="24"/>
  <c r="O385" i="24"/>
  <c r="N385" i="24"/>
  <c r="P385" i="24" s="1"/>
  <c r="J385" i="24"/>
  <c r="H385" i="24"/>
  <c r="U384" i="24"/>
  <c r="T384" i="24"/>
  <c r="O384" i="24"/>
  <c r="N384" i="24"/>
  <c r="P384" i="24" s="1"/>
  <c r="H384" i="24"/>
  <c r="R383" i="24"/>
  <c r="R388" i="24" s="1"/>
  <c r="O383" i="24"/>
  <c r="N383" i="24"/>
  <c r="M382" i="24"/>
  <c r="N382" i="24" s="1"/>
  <c r="P382" i="24" s="1"/>
  <c r="H382" i="24"/>
  <c r="U381" i="24"/>
  <c r="T381" i="24"/>
  <c r="O381" i="24"/>
  <c r="N381" i="24"/>
  <c r="P381" i="24" s="1"/>
  <c r="H381" i="24"/>
  <c r="G381" i="24"/>
  <c r="U380" i="24"/>
  <c r="T380" i="24"/>
  <c r="O380" i="24"/>
  <c r="N380" i="24"/>
  <c r="P380" i="24" s="1"/>
  <c r="H380" i="24"/>
  <c r="U379" i="24"/>
  <c r="T379" i="24"/>
  <c r="O379" i="24"/>
  <c r="N379" i="24"/>
  <c r="P379" i="24" s="1"/>
  <c r="H379" i="24"/>
  <c r="J379" i="24" s="1"/>
  <c r="U378" i="24"/>
  <c r="T378" i="24"/>
  <c r="O378" i="24"/>
  <c r="N378" i="24"/>
  <c r="P378" i="24" s="1"/>
  <c r="H378" i="24"/>
  <c r="R377" i="24"/>
  <c r="R382" i="24" s="1"/>
  <c r="O377" i="24"/>
  <c r="N377" i="24"/>
  <c r="M376" i="24"/>
  <c r="H376" i="24"/>
  <c r="U375" i="24"/>
  <c r="T375" i="24"/>
  <c r="O375" i="24"/>
  <c r="N375" i="24"/>
  <c r="P375" i="24" s="1"/>
  <c r="H375" i="24"/>
  <c r="G375" i="24"/>
  <c r="U374" i="24"/>
  <c r="T374" i="24"/>
  <c r="O374" i="24"/>
  <c r="N374" i="24"/>
  <c r="P374" i="24" s="1"/>
  <c r="H374" i="24"/>
  <c r="U373" i="24"/>
  <c r="T373" i="24"/>
  <c r="O373" i="24"/>
  <c r="N373" i="24"/>
  <c r="P373" i="24" s="1"/>
  <c r="H373" i="24"/>
  <c r="U372" i="24"/>
  <c r="T372" i="24"/>
  <c r="O372" i="24"/>
  <c r="N372" i="24"/>
  <c r="P372" i="24" s="1"/>
  <c r="H372" i="24"/>
  <c r="H371" i="24" s="1"/>
  <c r="J371" i="24" s="1"/>
  <c r="R371" i="24"/>
  <c r="R376" i="24" s="1"/>
  <c r="O371" i="24"/>
  <c r="N371" i="24"/>
  <c r="S371" i="24" s="1"/>
  <c r="M370" i="24"/>
  <c r="H370" i="24"/>
  <c r="U369" i="24"/>
  <c r="T369" i="24"/>
  <c r="O369" i="24"/>
  <c r="N369" i="24"/>
  <c r="P369" i="24" s="1"/>
  <c r="G369" i="24"/>
  <c r="H369" i="24" s="1"/>
  <c r="U368" i="24"/>
  <c r="T368" i="24"/>
  <c r="O368" i="24"/>
  <c r="N368" i="24"/>
  <c r="P368" i="24" s="1"/>
  <c r="H368" i="24"/>
  <c r="U367" i="24"/>
  <c r="T367" i="24"/>
  <c r="O367" i="24"/>
  <c r="N367" i="24"/>
  <c r="P367" i="24" s="1"/>
  <c r="H367" i="24"/>
  <c r="U366" i="24"/>
  <c r="T366" i="24"/>
  <c r="O366" i="24"/>
  <c r="N366" i="24"/>
  <c r="P366" i="24" s="1"/>
  <c r="H366" i="24"/>
  <c r="R365" i="24"/>
  <c r="O365" i="24"/>
  <c r="N365" i="24"/>
  <c r="R364" i="24"/>
  <c r="M364" i="24"/>
  <c r="N364" i="24" s="1"/>
  <c r="H364" i="24"/>
  <c r="U363" i="24"/>
  <c r="T363" i="24"/>
  <c r="O363" i="24"/>
  <c r="N363" i="24"/>
  <c r="P363" i="24" s="1"/>
  <c r="H363" i="24"/>
  <c r="G363" i="24"/>
  <c r="U362" i="24"/>
  <c r="T362" i="24"/>
  <c r="O362" i="24"/>
  <c r="N362" i="24"/>
  <c r="P362" i="24" s="1"/>
  <c r="H362" i="24"/>
  <c r="U361" i="24"/>
  <c r="T361" i="24"/>
  <c r="O361" i="24"/>
  <c r="N361" i="24"/>
  <c r="P361" i="24" s="1"/>
  <c r="H361" i="24"/>
  <c r="U360" i="24"/>
  <c r="T360" i="24"/>
  <c r="O360" i="24"/>
  <c r="N360" i="24"/>
  <c r="P360" i="24" s="1"/>
  <c r="H360" i="24"/>
  <c r="J360" i="24" s="1"/>
  <c r="R359" i="24"/>
  <c r="O359" i="24"/>
  <c r="N359" i="24"/>
  <c r="P359" i="24" s="1"/>
  <c r="M358" i="24"/>
  <c r="H358" i="24"/>
  <c r="U357" i="24"/>
  <c r="T357" i="24"/>
  <c r="O357" i="24"/>
  <c r="N357" i="24"/>
  <c r="P357" i="24" s="1"/>
  <c r="H357" i="24"/>
  <c r="U356" i="24"/>
  <c r="T356" i="24"/>
  <c r="O356" i="24"/>
  <c r="N356" i="24"/>
  <c r="P356" i="24" s="1"/>
  <c r="H356" i="24"/>
  <c r="U355" i="24"/>
  <c r="T355" i="24"/>
  <c r="O355" i="24"/>
  <c r="N355" i="24"/>
  <c r="P355" i="24" s="1"/>
  <c r="H355" i="24"/>
  <c r="U354" i="24"/>
  <c r="T354" i="24"/>
  <c r="O354" i="24"/>
  <c r="N354" i="24"/>
  <c r="P354" i="24" s="1"/>
  <c r="H354" i="24"/>
  <c r="J354" i="24" s="1"/>
  <c r="R353" i="24"/>
  <c r="R358" i="24" s="1"/>
  <c r="O353" i="24"/>
  <c r="N353" i="24"/>
  <c r="S353" i="24" s="1"/>
  <c r="N352" i="24"/>
  <c r="M352" i="24"/>
  <c r="H352" i="24"/>
  <c r="U351" i="24"/>
  <c r="T351" i="24"/>
  <c r="O351" i="24"/>
  <c r="N351" i="24"/>
  <c r="P351" i="24" s="1"/>
  <c r="G351" i="24"/>
  <c r="H351" i="24" s="1"/>
  <c r="U350" i="24"/>
  <c r="T350" i="24"/>
  <c r="O350" i="24"/>
  <c r="N350" i="24"/>
  <c r="P350" i="24" s="1"/>
  <c r="H350" i="24"/>
  <c r="U349" i="24"/>
  <c r="T349" i="24"/>
  <c r="O349" i="24"/>
  <c r="N349" i="24"/>
  <c r="P349" i="24" s="1"/>
  <c r="H349" i="24"/>
  <c r="U348" i="24"/>
  <c r="T348" i="24"/>
  <c r="O348" i="24"/>
  <c r="N348" i="24"/>
  <c r="P348" i="24" s="1"/>
  <c r="H348" i="24"/>
  <c r="R347" i="24"/>
  <c r="R352" i="24" s="1"/>
  <c r="O347" i="24"/>
  <c r="N347" i="24"/>
  <c r="S347" i="24" s="1"/>
  <c r="M346" i="24"/>
  <c r="N346" i="24" s="1"/>
  <c r="H346" i="24"/>
  <c r="U345" i="24"/>
  <c r="T345" i="24"/>
  <c r="O345" i="24"/>
  <c r="N345" i="24"/>
  <c r="P345" i="24" s="1"/>
  <c r="H345" i="24"/>
  <c r="G345" i="24"/>
  <c r="U344" i="24"/>
  <c r="T344" i="24"/>
  <c r="O344" i="24"/>
  <c r="N344" i="24"/>
  <c r="P344" i="24" s="1"/>
  <c r="H344" i="24"/>
  <c r="U343" i="24"/>
  <c r="T343" i="24"/>
  <c r="O343" i="24"/>
  <c r="N343" i="24"/>
  <c r="P343" i="24" s="1"/>
  <c r="H343" i="24"/>
  <c r="J343" i="24" s="1"/>
  <c r="U342" i="24"/>
  <c r="T342" i="24"/>
  <c r="O342" i="24"/>
  <c r="N342" i="24"/>
  <c r="P342" i="24" s="1"/>
  <c r="H342" i="24"/>
  <c r="R341" i="24"/>
  <c r="R346" i="24" s="1"/>
  <c r="O341" i="24"/>
  <c r="N341" i="24"/>
  <c r="M340" i="24"/>
  <c r="H340" i="24"/>
  <c r="U339" i="24"/>
  <c r="T339" i="24"/>
  <c r="O339" i="24"/>
  <c r="N339" i="24"/>
  <c r="P339" i="24" s="1"/>
  <c r="G339" i="24"/>
  <c r="H339" i="24" s="1"/>
  <c r="U338" i="24"/>
  <c r="T338" i="24"/>
  <c r="O338" i="24"/>
  <c r="N338" i="24"/>
  <c r="P338" i="24" s="1"/>
  <c r="H338" i="24"/>
  <c r="U337" i="24"/>
  <c r="T337" i="24"/>
  <c r="O337" i="24"/>
  <c r="N337" i="24"/>
  <c r="P337" i="24" s="1"/>
  <c r="H337" i="24"/>
  <c r="J337" i="24" s="1"/>
  <c r="U336" i="24"/>
  <c r="T336" i="24"/>
  <c r="O336" i="24"/>
  <c r="N336" i="24"/>
  <c r="P336" i="24" s="1"/>
  <c r="H336" i="24"/>
  <c r="R335" i="24"/>
  <c r="O335" i="24"/>
  <c r="N335" i="24"/>
  <c r="S335" i="24" s="1"/>
  <c r="R334" i="24"/>
  <c r="N334" i="24"/>
  <c r="M334" i="24"/>
  <c r="H334" i="24"/>
  <c r="U333" i="24"/>
  <c r="T333" i="24"/>
  <c r="O333" i="24"/>
  <c r="N333" i="24"/>
  <c r="P333" i="24" s="1"/>
  <c r="H333" i="24"/>
  <c r="G333" i="24"/>
  <c r="U332" i="24"/>
  <c r="T332" i="24"/>
  <c r="O332" i="24"/>
  <c r="N332" i="24"/>
  <c r="P332" i="24" s="1"/>
  <c r="H332" i="24"/>
  <c r="U331" i="24"/>
  <c r="T331" i="24"/>
  <c r="O331" i="24"/>
  <c r="N331" i="24"/>
  <c r="P331" i="24" s="1"/>
  <c r="H331" i="24"/>
  <c r="J331" i="24" s="1"/>
  <c r="U330" i="24"/>
  <c r="T330" i="24"/>
  <c r="O330" i="24"/>
  <c r="N330" i="24"/>
  <c r="P330" i="24" s="1"/>
  <c r="H330" i="24"/>
  <c r="R329" i="24"/>
  <c r="O329" i="24"/>
  <c r="N329" i="24"/>
  <c r="M328" i="24"/>
  <c r="H328" i="24"/>
  <c r="U327" i="24"/>
  <c r="T327" i="24"/>
  <c r="O327" i="24"/>
  <c r="N327" i="24"/>
  <c r="P327" i="24" s="1"/>
  <c r="G327" i="24"/>
  <c r="H327" i="24" s="1"/>
  <c r="U326" i="24"/>
  <c r="T326" i="24"/>
  <c r="O326" i="24"/>
  <c r="N326" i="24"/>
  <c r="P326" i="24" s="1"/>
  <c r="H326" i="24"/>
  <c r="U325" i="24"/>
  <c r="T325" i="24"/>
  <c r="O325" i="24"/>
  <c r="N325" i="24"/>
  <c r="P325" i="24" s="1"/>
  <c r="J325" i="24"/>
  <c r="H325" i="24"/>
  <c r="U324" i="24"/>
  <c r="T324" i="24"/>
  <c r="O324" i="24"/>
  <c r="N324" i="24"/>
  <c r="P324" i="24" s="1"/>
  <c r="H324" i="24"/>
  <c r="R323" i="24"/>
  <c r="R328" i="24" s="1"/>
  <c r="O323" i="24"/>
  <c r="N323" i="24"/>
  <c r="N322" i="24"/>
  <c r="S322" i="24" s="1"/>
  <c r="M322" i="24"/>
  <c r="H322" i="24"/>
  <c r="U321" i="24"/>
  <c r="T321" i="24"/>
  <c r="O321" i="24"/>
  <c r="N321" i="24"/>
  <c r="P321" i="24" s="1"/>
  <c r="G321" i="24"/>
  <c r="H321" i="24" s="1"/>
  <c r="U320" i="24"/>
  <c r="T320" i="24"/>
  <c r="O320" i="24"/>
  <c r="N320" i="24"/>
  <c r="P320" i="24" s="1"/>
  <c r="H320" i="24"/>
  <c r="U319" i="24"/>
  <c r="T319" i="24"/>
  <c r="O319" i="24"/>
  <c r="N319" i="24"/>
  <c r="P319" i="24" s="1"/>
  <c r="J319" i="24"/>
  <c r="H319" i="24"/>
  <c r="U318" i="24"/>
  <c r="T318" i="24"/>
  <c r="O318" i="24"/>
  <c r="N318" i="24"/>
  <c r="P318" i="24" s="1"/>
  <c r="J318" i="24"/>
  <c r="H318" i="24"/>
  <c r="R317" i="24"/>
  <c r="O317" i="24"/>
  <c r="N317" i="24"/>
  <c r="M316" i="24"/>
  <c r="N316" i="24" s="1"/>
  <c r="H316" i="24"/>
  <c r="U315" i="24"/>
  <c r="T315" i="24"/>
  <c r="O315" i="24"/>
  <c r="N315" i="24"/>
  <c r="P315" i="24" s="1"/>
  <c r="G315" i="24"/>
  <c r="H315" i="24" s="1"/>
  <c r="U314" i="24"/>
  <c r="T314" i="24"/>
  <c r="O314" i="24"/>
  <c r="N314" i="24"/>
  <c r="P314" i="24" s="1"/>
  <c r="H314" i="24"/>
  <c r="U313" i="24"/>
  <c r="T313" i="24"/>
  <c r="O313" i="24"/>
  <c r="N313" i="24"/>
  <c r="P313" i="24" s="1"/>
  <c r="H313" i="24"/>
  <c r="J313" i="24" s="1"/>
  <c r="U312" i="24"/>
  <c r="T312" i="24"/>
  <c r="O312" i="24"/>
  <c r="N312" i="24"/>
  <c r="P312" i="24" s="1"/>
  <c r="H312" i="24"/>
  <c r="J312" i="24" s="1"/>
  <c r="R311" i="24"/>
  <c r="R316" i="24" s="1"/>
  <c r="O311" i="24"/>
  <c r="N311" i="24"/>
  <c r="S311" i="24" s="1"/>
  <c r="U311" i="24" s="1"/>
  <c r="R310" i="24"/>
  <c r="N310" i="24"/>
  <c r="P310" i="24" s="1"/>
  <c r="M310" i="24"/>
  <c r="H310" i="24"/>
  <c r="U309" i="24"/>
  <c r="T309" i="24"/>
  <c r="O309" i="24"/>
  <c r="N309" i="24"/>
  <c r="P309" i="24" s="1"/>
  <c r="G309" i="24"/>
  <c r="H309" i="24" s="1"/>
  <c r="U308" i="24"/>
  <c r="T308" i="24"/>
  <c r="O308" i="24"/>
  <c r="N308" i="24"/>
  <c r="P308" i="24" s="1"/>
  <c r="H308" i="24"/>
  <c r="U307" i="24"/>
  <c r="T307" i="24"/>
  <c r="O307" i="24"/>
  <c r="N307" i="24"/>
  <c r="P307" i="24" s="1"/>
  <c r="J307" i="24"/>
  <c r="H307" i="24"/>
  <c r="U306" i="24"/>
  <c r="T306" i="24"/>
  <c r="O306" i="24"/>
  <c r="N306" i="24"/>
  <c r="P306" i="24" s="1"/>
  <c r="J306" i="24"/>
  <c r="H306" i="24"/>
  <c r="H305" i="24" s="1"/>
  <c r="J305" i="24" s="1"/>
  <c r="R305" i="24"/>
  <c r="O305" i="24"/>
  <c r="N305" i="24"/>
  <c r="M304" i="24"/>
  <c r="H304" i="24"/>
  <c r="U303" i="24"/>
  <c r="T303" i="24"/>
  <c r="O303" i="24"/>
  <c r="N303" i="24"/>
  <c r="P303" i="24" s="1"/>
  <c r="H303" i="24"/>
  <c r="H302" i="24" s="1"/>
  <c r="J302" i="24" s="1"/>
  <c r="R302" i="24"/>
  <c r="R304" i="24" s="1"/>
  <c r="O302" i="24"/>
  <c r="N302" i="24"/>
  <c r="P302" i="24" s="1"/>
  <c r="N301" i="24"/>
  <c r="M301" i="24"/>
  <c r="H301" i="24"/>
  <c r="U300" i="24"/>
  <c r="T300" i="24"/>
  <c r="O300" i="24"/>
  <c r="N300" i="24"/>
  <c r="P300" i="24" s="1"/>
  <c r="H300" i="24"/>
  <c r="H299" i="24" s="1"/>
  <c r="J299" i="24" s="1"/>
  <c r="R299" i="24"/>
  <c r="O299" i="24"/>
  <c r="N299" i="24"/>
  <c r="M298" i="24"/>
  <c r="N298" i="24" s="1"/>
  <c r="H298" i="24"/>
  <c r="U297" i="24"/>
  <c r="T297" i="24"/>
  <c r="O297" i="24"/>
  <c r="N297" i="24"/>
  <c r="P297" i="24" s="1"/>
  <c r="H297" i="24"/>
  <c r="R296" i="24"/>
  <c r="R298" i="24" s="1"/>
  <c r="O296" i="24"/>
  <c r="N296" i="24"/>
  <c r="S296" i="24" s="1"/>
  <c r="U296" i="24" s="1"/>
  <c r="J296" i="24"/>
  <c r="H296" i="24"/>
  <c r="R295" i="24"/>
  <c r="N295" i="24"/>
  <c r="M295" i="24"/>
  <c r="H295" i="24"/>
  <c r="U294" i="24"/>
  <c r="T294" i="24"/>
  <c r="O294" i="24"/>
  <c r="N294" i="24"/>
  <c r="P294" i="24" s="1"/>
  <c r="H294" i="24"/>
  <c r="H293" i="24" s="1"/>
  <c r="J293" i="24" s="1"/>
  <c r="R293" i="24"/>
  <c r="O293" i="24"/>
  <c r="N293" i="24"/>
  <c r="P293" i="24" s="1"/>
  <c r="M292" i="24"/>
  <c r="H292" i="24"/>
  <c r="U291" i="24"/>
  <c r="T291" i="24"/>
  <c r="O291" i="24"/>
  <c r="N291" i="24"/>
  <c r="P291" i="24" s="1"/>
  <c r="H291" i="24"/>
  <c r="H290" i="24" s="1"/>
  <c r="R290" i="24"/>
  <c r="R292" i="24" s="1"/>
  <c r="O290" i="24"/>
  <c r="N290" i="24"/>
  <c r="P290" i="24" s="1"/>
  <c r="J290" i="24"/>
  <c r="N289" i="24"/>
  <c r="M289" i="24"/>
  <c r="H289" i="24"/>
  <c r="U288" i="24"/>
  <c r="T288" i="24"/>
  <c r="O288" i="24"/>
  <c r="N288" i="24"/>
  <c r="P288" i="24" s="1"/>
  <c r="H288" i="24"/>
  <c r="H287" i="24" s="1"/>
  <c r="J287" i="24" s="1"/>
  <c r="R287" i="24"/>
  <c r="R289" i="24" s="1"/>
  <c r="O287" i="24"/>
  <c r="N287" i="24"/>
  <c r="S287" i="24" s="1"/>
  <c r="M286" i="24"/>
  <c r="N286" i="24" s="1"/>
  <c r="H286" i="24"/>
  <c r="U285" i="24"/>
  <c r="T285" i="24"/>
  <c r="O285" i="24"/>
  <c r="N285" i="24"/>
  <c r="P285" i="24" s="1"/>
  <c r="H285" i="24"/>
  <c r="R284" i="24"/>
  <c r="R286" i="24" s="1"/>
  <c r="O284" i="24"/>
  <c r="N284" i="24"/>
  <c r="P284" i="24" s="1"/>
  <c r="J284" i="24"/>
  <c r="H284" i="24"/>
  <c r="M283" i="24"/>
  <c r="H283" i="24"/>
  <c r="U282" i="24"/>
  <c r="T282" i="24"/>
  <c r="O282" i="24"/>
  <c r="N282" i="24"/>
  <c r="P282" i="24" s="1"/>
  <c r="H282" i="24"/>
  <c r="R281" i="24"/>
  <c r="R283" i="24" s="1"/>
  <c r="O281" i="24"/>
  <c r="N281" i="24"/>
  <c r="P281" i="24" s="1"/>
  <c r="H281" i="24"/>
  <c r="J281" i="24" s="1"/>
  <c r="M280" i="24"/>
  <c r="N280" i="24" s="1"/>
  <c r="P280" i="24" s="1"/>
  <c r="H280" i="24"/>
  <c r="U279" i="24"/>
  <c r="T279" i="24"/>
  <c r="O279" i="24"/>
  <c r="N279" i="24"/>
  <c r="P279" i="24" s="1"/>
  <c r="H279" i="24"/>
  <c r="H278" i="24" s="1"/>
  <c r="J278" i="24" s="1"/>
  <c r="R278" i="24"/>
  <c r="R280" i="24" s="1"/>
  <c r="O278" i="24"/>
  <c r="N278" i="24"/>
  <c r="N277" i="24"/>
  <c r="P277" i="24" s="1"/>
  <c r="M277" i="24"/>
  <c r="H277" i="24"/>
  <c r="U276" i="24"/>
  <c r="T276" i="24"/>
  <c r="O276" i="24"/>
  <c r="N276" i="24"/>
  <c r="P276" i="24" s="1"/>
  <c r="H276" i="24"/>
  <c r="H275" i="24" s="1"/>
  <c r="J275" i="24" s="1"/>
  <c r="R275" i="24"/>
  <c r="O275" i="24"/>
  <c r="N275" i="24"/>
  <c r="N274" i="24"/>
  <c r="P274" i="24" s="1"/>
  <c r="M274" i="24"/>
  <c r="H274" i="24"/>
  <c r="U273" i="24"/>
  <c r="T273" i="24"/>
  <c r="O273" i="24"/>
  <c r="N273" i="24"/>
  <c r="P273" i="24" s="1"/>
  <c r="H273" i="24"/>
  <c r="U272" i="24"/>
  <c r="T272" i="24"/>
  <c r="O272" i="24"/>
  <c r="N272" i="24"/>
  <c r="P272" i="24" s="1"/>
  <c r="H272" i="24"/>
  <c r="U271" i="24"/>
  <c r="T271" i="24"/>
  <c r="O271" i="24"/>
  <c r="N271" i="24"/>
  <c r="P271" i="24" s="1"/>
  <c r="H271" i="24"/>
  <c r="H270" i="24" s="1"/>
  <c r="J270" i="24" s="1"/>
  <c r="R270" i="24"/>
  <c r="R274" i="24" s="1"/>
  <c r="O270" i="24"/>
  <c r="N270" i="24"/>
  <c r="P270" i="24" s="1"/>
  <c r="N269" i="24"/>
  <c r="P269" i="24" s="1"/>
  <c r="M269" i="24"/>
  <c r="H269" i="24"/>
  <c r="U268" i="24"/>
  <c r="T268" i="24"/>
  <c r="O268" i="24"/>
  <c r="N268" i="24"/>
  <c r="P268" i="24" s="1"/>
  <c r="H268" i="24"/>
  <c r="U267" i="24"/>
  <c r="T267" i="24"/>
  <c r="O267" i="24"/>
  <c r="N267" i="24"/>
  <c r="H267" i="24"/>
  <c r="U266" i="24"/>
  <c r="T266" i="24"/>
  <c r="O266" i="24"/>
  <c r="N266" i="24"/>
  <c r="P266" i="24" s="1"/>
  <c r="H266" i="24"/>
  <c r="R265" i="24"/>
  <c r="R269" i="24" s="1"/>
  <c r="O265" i="24"/>
  <c r="N265" i="24"/>
  <c r="P265" i="24" s="1"/>
  <c r="R264" i="24"/>
  <c r="N264" i="24"/>
  <c r="P264" i="24" s="1"/>
  <c r="M264" i="24"/>
  <c r="H264" i="24"/>
  <c r="U263" i="24"/>
  <c r="T263" i="24"/>
  <c r="O263" i="24"/>
  <c r="N263" i="24"/>
  <c r="P263" i="24" s="1"/>
  <c r="H263" i="24"/>
  <c r="U262" i="24"/>
  <c r="T262" i="24"/>
  <c r="O262" i="24"/>
  <c r="N262" i="24"/>
  <c r="P262" i="24" s="1"/>
  <c r="H262" i="24"/>
  <c r="U261" i="24"/>
  <c r="T261" i="24"/>
  <c r="O261" i="24"/>
  <c r="N261" i="24"/>
  <c r="P261" i="24" s="1"/>
  <c r="H261" i="24"/>
  <c r="R260" i="24"/>
  <c r="O260" i="24"/>
  <c r="N260" i="24"/>
  <c r="P260" i="24" s="1"/>
  <c r="H260" i="24"/>
  <c r="J260" i="24" s="1"/>
  <c r="R259" i="24"/>
  <c r="M259" i="24"/>
  <c r="H259" i="24"/>
  <c r="U258" i="24"/>
  <c r="T258" i="24"/>
  <c r="O258" i="24"/>
  <c r="N258" i="24"/>
  <c r="P258" i="24" s="1"/>
  <c r="H258" i="24"/>
  <c r="U257" i="24"/>
  <c r="T257" i="24"/>
  <c r="O257" i="24"/>
  <c r="N257" i="24"/>
  <c r="P257" i="24" s="1"/>
  <c r="H257" i="24"/>
  <c r="U256" i="24"/>
  <c r="T256" i="24"/>
  <c r="O256" i="24"/>
  <c r="N256" i="24"/>
  <c r="P256" i="24" s="1"/>
  <c r="H256" i="24"/>
  <c r="R255" i="24"/>
  <c r="O255" i="24"/>
  <c r="N255" i="24"/>
  <c r="P255" i="24" s="1"/>
  <c r="R254" i="24"/>
  <c r="O254" i="24"/>
  <c r="N254" i="24"/>
  <c r="J254" i="24"/>
  <c r="H254" i="24"/>
  <c r="R253" i="24"/>
  <c r="O253" i="24"/>
  <c r="N253" i="24"/>
  <c r="J253" i="24"/>
  <c r="H253" i="24"/>
  <c r="R252" i="24"/>
  <c r="O252" i="24"/>
  <c r="N252" i="24"/>
  <c r="J252" i="24"/>
  <c r="H252" i="24"/>
  <c r="R251" i="24"/>
  <c r="O251" i="24"/>
  <c r="N251" i="24"/>
  <c r="J251" i="24"/>
  <c r="H251" i="24"/>
  <c r="R250" i="24"/>
  <c r="O250" i="24"/>
  <c r="N250" i="24"/>
  <c r="H250" i="24"/>
  <c r="J250" i="24" s="1"/>
  <c r="R249" i="24"/>
  <c r="O249" i="24"/>
  <c r="N249" i="24"/>
  <c r="P249" i="24" s="1"/>
  <c r="J249" i="24"/>
  <c r="H249" i="24"/>
  <c r="R248" i="24"/>
  <c r="O248" i="24"/>
  <c r="N248" i="24"/>
  <c r="P248" i="24" s="1"/>
  <c r="J248" i="24"/>
  <c r="H248" i="24"/>
  <c r="R247" i="24"/>
  <c r="O247" i="24"/>
  <c r="N247" i="24"/>
  <c r="H247" i="24"/>
  <c r="J247" i="24" s="1"/>
  <c r="G247" i="24"/>
  <c r="R246" i="24"/>
  <c r="O246" i="24"/>
  <c r="N246" i="24"/>
  <c r="P246" i="24" s="1"/>
  <c r="J246" i="24"/>
  <c r="G246" i="24"/>
  <c r="H246" i="24" s="1"/>
  <c r="R245" i="24"/>
  <c r="O245" i="24"/>
  <c r="N245" i="24"/>
  <c r="G245" i="24"/>
  <c r="H245" i="24" s="1"/>
  <c r="J245" i="24" s="1"/>
  <c r="R244" i="24"/>
  <c r="O244" i="24"/>
  <c r="N244" i="24"/>
  <c r="S244" i="24" s="1"/>
  <c r="H244" i="24"/>
  <c r="J244" i="24" s="1"/>
  <c r="G244" i="24"/>
  <c r="R243" i="24"/>
  <c r="O243" i="24"/>
  <c r="N243" i="24"/>
  <c r="H243" i="24"/>
  <c r="J243" i="24" s="1"/>
  <c r="G243" i="24"/>
  <c r="R242" i="24"/>
  <c r="O242" i="24"/>
  <c r="N242" i="24"/>
  <c r="P242" i="24" s="1"/>
  <c r="G242" i="24"/>
  <c r="H242" i="24" s="1"/>
  <c r="J242" i="24" s="1"/>
  <c r="R241" i="24"/>
  <c r="O241" i="24"/>
  <c r="N241" i="24"/>
  <c r="S241" i="24" s="1"/>
  <c r="H241" i="24"/>
  <c r="J241" i="24" s="1"/>
  <c r="R240" i="24"/>
  <c r="O240" i="24"/>
  <c r="N240" i="24"/>
  <c r="P240" i="24" s="1"/>
  <c r="J240" i="24"/>
  <c r="R239" i="24"/>
  <c r="O239" i="24"/>
  <c r="N239" i="24"/>
  <c r="J239" i="24"/>
  <c r="R238" i="24"/>
  <c r="O238" i="24"/>
  <c r="N238" i="24"/>
  <c r="P238" i="24" s="1"/>
  <c r="J238" i="24"/>
  <c r="H238" i="24"/>
  <c r="R237" i="24"/>
  <c r="O237" i="24"/>
  <c r="N237" i="24"/>
  <c r="J237" i="24"/>
  <c r="H237" i="24"/>
  <c r="M236" i="24"/>
  <c r="H236" i="24"/>
  <c r="R235" i="24"/>
  <c r="R236" i="24" s="1"/>
  <c r="J235" i="24"/>
  <c r="N234" i="24"/>
  <c r="S234" i="24" s="1"/>
  <c r="M234" i="24"/>
  <c r="H234" i="24"/>
  <c r="R233" i="24"/>
  <c r="O233" i="24"/>
  <c r="N233" i="24"/>
  <c r="P233" i="24" s="1"/>
  <c r="J233" i="24"/>
  <c r="M232" i="24"/>
  <c r="H232" i="24"/>
  <c r="R231" i="24"/>
  <c r="R232" i="24" s="1"/>
  <c r="O231" i="24"/>
  <c r="N231" i="24"/>
  <c r="S231" i="24" s="1"/>
  <c r="J231" i="24"/>
  <c r="M230" i="24"/>
  <c r="N230" i="24" s="1"/>
  <c r="H230" i="24"/>
  <c r="R229" i="24"/>
  <c r="R230" i="24" s="1"/>
  <c r="O229" i="24"/>
  <c r="N229" i="24"/>
  <c r="J229" i="24"/>
  <c r="R228" i="24"/>
  <c r="J228" i="24"/>
  <c r="U227" i="24"/>
  <c r="T227" i="24"/>
  <c r="P227" i="24"/>
  <c r="O227" i="24"/>
  <c r="R226" i="24"/>
  <c r="O226" i="24"/>
  <c r="N226" i="24"/>
  <c r="P226" i="24" s="1"/>
  <c r="K226" i="24"/>
  <c r="R225" i="24"/>
  <c r="O225" i="24"/>
  <c r="N225" i="24"/>
  <c r="P225" i="24" s="1"/>
  <c r="K225" i="24"/>
  <c r="R224" i="24"/>
  <c r="O224" i="24"/>
  <c r="N224" i="24"/>
  <c r="K224" i="24"/>
  <c r="T224" i="24" s="1"/>
  <c r="R223" i="24"/>
  <c r="O223" i="24"/>
  <c r="N223" i="24"/>
  <c r="S223" i="24" s="1"/>
  <c r="K223" i="24"/>
  <c r="R222" i="24"/>
  <c r="O222" i="24"/>
  <c r="N222" i="24"/>
  <c r="S222" i="24" s="1"/>
  <c r="K222" i="24"/>
  <c r="T222" i="24" s="1"/>
  <c r="R221" i="24"/>
  <c r="O221" i="24"/>
  <c r="N221" i="24"/>
  <c r="K221" i="24"/>
  <c r="R220" i="24"/>
  <c r="O220" i="24"/>
  <c r="N220" i="24"/>
  <c r="P220" i="24" s="1"/>
  <c r="K220" i="24"/>
  <c r="R219" i="24"/>
  <c r="O219" i="24"/>
  <c r="N219" i="24"/>
  <c r="P219" i="24" s="1"/>
  <c r="K219" i="24"/>
  <c r="R218" i="24"/>
  <c r="O218" i="24"/>
  <c r="N218" i="24"/>
  <c r="P218" i="24" s="1"/>
  <c r="K218" i="24"/>
  <c r="R217" i="24"/>
  <c r="O217" i="24"/>
  <c r="N217" i="24"/>
  <c r="K217" i="24"/>
  <c r="R216" i="24"/>
  <c r="O216" i="24"/>
  <c r="N216" i="24"/>
  <c r="S216" i="24" s="1"/>
  <c r="K216" i="24"/>
  <c r="T216" i="24" s="1"/>
  <c r="R215" i="24"/>
  <c r="O215" i="24"/>
  <c r="N215" i="24"/>
  <c r="S215" i="24" s="1"/>
  <c r="K215" i="24"/>
  <c r="R214" i="24"/>
  <c r="O214" i="24"/>
  <c r="N214" i="24"/>
  <c r="S214" i="24" s="1"/>
  <c r="K214" i="24"/>
  <c r="T214" i="24" s="1"/>
  <c r="R213" i="24"/>
  <c r="O213" i="24"/>
  <c r="N213" i="24"/>
  <c r="K213" i="24"/>
  <c r="R212" i="24"/>
  <c r="O212" i="24"/>
  <c r="N212" i="24"/>
  <c r="P212" i="24" s="1"/>
  <c r="K212" i="24"/>
  <c r="R211" i="24"/>
  <c r="O211" i="24"/>
  <c r="N211" i="24"/>
  <c r="P211" i="24" s="1"/>
  <c r="K211" i="24"/>
  <c r="R210" i="24"/>
  <c r="O210" i="24"/>
  <c r="N210" i="24"/>
  <c r="K210" i="24"/>
  <c r="R209" i="24"/>
  <c r="O209" i="24"/>
  <c r="N209" i="24"/>
  <c r="S209" i="24" s="1"/>
  <c r="K209" i="24"/>
  <c r="R208" i="24"/>
  <c r="O208" i="24"/>
  <c r="N208" i="24"/>
  <c r="P208" i="24" s="1"/>
  <c r="K208" i="24"/>
  <c r="T208" i="24" s="1"/>
  <c r="R207" i="24"/>
  <c r="O207" i="24"/>
  <c r="N207" i="24"/>
  <c r="S207" i="24" s="1"/>
  <c r="K207" i="24"/>
  <c r="R206" i="24"/>
  <c r="O206" i="24"/>
  <c r="N206" i="24"/>
  <c r="K206" i="24"/>
  <c r="T206" i="24" s="1"/>
  <c r="R205" i="24"/>
  <c r="O205" i="24"/>
  <c r="N205" i="24"/>
  <c r="K205" i="24"/>
  <c r="R204" i="24"/>
  <c r="O204" i="24"/>
  <c r="N204" i="24"/>
  <c r="P204" i="24" s="1"/>
  <c r="K204" i="24"/>
  <c r="R203" i="24"/>
  <c r="O203" i="24"/>
  <c r="N203" i="24"/>
  <c r="P203" i="24" s="1"/>
  <c r="K203" i="24"/>
  <c r="R202" i="24"/>
  <c r="O202" i="24"/>
  <c r="N202" i="24"/>
  <c r="K202" i="24"/>
  <c r="U201" i="24"/>
  <c r="T201" i="24"/>
  <c r="O201" i="24"/>
  <c r="N201" i="24"/>
  <c r="P201" i="24" s="1"/>
  <c r="R200" i="24"/>
  <c r="O200" i="24"/>
  <c r="N200" i="24"/>
  <c r="H200" i="24"/>
  <c r="J200" i="24" s="1"/>
  <c r="R199" i="24"/>
  <c r="O199" i="24"/>
  <c r="N199" i="24"/>
  <c r="S199" i="24" s="1"/>
  <c r="H199" i="24"/>
  <c r="J199" i="24" s="1"/>
  <c r="U198" i="24"/>
  <c r="T198" i="24"/>
  <c r="O198" i="24"/>
  <c r="N198" i="24"/>
  <c r="P198" i="24" s="1"/>
  <c r="H198" i="24"/>
  <c r="H196" i="24" s="1"/>
  <c r="J196" i="24" s="1"/>
  <c r="U197" i="24"/>
  <c r="T197" i="24"/>
  <c r="O197" i="24"/>
  <c r="N197" i="24"/>
  <c r="P197" i="24" s="1"/>
  <c r="H197" i="24"/>
  <c r="R196" i="24"/>
  <c r="O196" i="24"/>
  <c r="N196" i="24"/>
  <c r="S196" i="24" s="1"/>
  <c r="U195" i="24"/>
  <c r="T195" i="24"/>
  <c r="O195" i="24"/>
  <c r="N195" i="24"/>
  <c r="P195" i="24" s="1"/>
  <c r="H195" i="24"/>
  <c r="U194" i="24"/>
  <c r="T194" i="24"/>
  <c r="O194" i="24"/>
  <c r="N194" i="24"/>
  <c r="P194" i="24" s="1"/>
  <c r="H194" i="24"/>
  <c r="H193" i="24" s="1"/>
  <c r="J193" i="24" s="1"/>
  <c r="R193" i="24"/>
  <c r="O193" i="24"/>
  <c r="N193" i="24"/>
  <c r="U192" i="24"/>
  <c r="T192" i="24"/>
  <c r="O192" i="24"/>
  <c r="N192" i="24"/>
  <c r="P192" i="24" s="1"/>
  <c r="H192" i="24"/>
  <c r="U191" i="24"/>
  <c r="T191" i="24"/>
  <c r="O191" i="24"/>
  <c r="N191" i="24"/>
  <c r="P191" i="24" s="1"/>
  <c r="H191" i="24"/>
  <c r="U190" i="24"/>
  <c r="T190" i="24"/>
  <c r="O190" i="24"/>
  <c r="N190" i="24"/>
  <c r="P190" i="24" s="1"/>
  <c r="H190" i="24"/>
  <c r="R189" i="24"/>
  <c r="O189" i="24"/>
  <c r="N189" i="24"/>
  <c r="P189" i="24" s="1"/>
  <c r="R188" i="24"/>
  <c r="O188" i="24"/>
  <c r="N188" i="24"/>
  <c r="P188" i="24" s="1"/>
  <c r="J188" i="24"/>
  <c r="H188" i="24"/>
  <c r="R187" i="24"/>
  <c r="O187" i="24"/>
  <c r="N187" i="24"/>
  <c r="H187" i="24"/>
  <c r="J187" i="24" s="1"/>
  <c r="R186" i="24"/>
  <c r="O186" i="24"/>
  <c r="N186" i="24"/>
  <c r="S186" i="24" s="1"/>
  <c r="H186" i="24"/>
  <c r="J186" i="24" s="1"/>
  <c r="R185" i="24"/>
  <c r="O185" i="24"/>
  <c r="N185" i="24"/>
  <c r="H185" i="24"/>
  <c r="J185" i="24" s="1"/>
  <c r="R184" i="24"/>
  <c r="O184" i="24"/>
  <c r="N184" i="24"/>
  <c r="S184" i="24" s="1"/>
  <c r="H184" i="24"/>
  <c r="J184" i="24" s="1"/>
  <c r="R183" i="24"/>
  <c r="O183" i="24"/>
  <c r="N183" i="24"/>
  <c r="P183" i="24" s="1"/>
  <c r="J183" i="24"/>
  <c r="H183" i="24"/>
  <c r="U182" i="24"/>
  <c r="T182" i="24"/>
  <c r="O182" i="24"/>
  <c r="N182" i="24"/>
  <c r="P182" i="24" s="1"/>
  <c r="H182" i="24"/>
  <c r="U181" i="24"/>
  <c r="T181" i="24"/>
  <c r="O181" i="24"/>
  <c r="N181" i="24"/>
  <c r="P181" i="24" s="1"/>
  <c r="H181" i="24"/>
  <c r="U180" i="24"/>
  <c r="T180" i="24"/>
  <c r="O180" i="24"/>
  <c r="N180" i="24"/>
  <c r="P180" i="24" s="1"/>
  <c r="H180" i="24"/>
  <c r="R179" i="24"/>
  <c r="O179" i="24"/>
  <c r="N179" i="24"/>
  <c r="S179" i="24" s="1"/>
  <c r="U178" i="24"/>
  <c r="T178" i="24"/>
  <c r="O178" i="24"/>
  <c r="N178" i="24"/>
  <c r="P178" i="24" s="1"/>
  <c r="H178" i="24"/>
  <c r="H175" i="24" s="1"/>
  <c r="J175" i="24" s="1"/>
  <c r="U177" i="24"/>
  <c r="T177" i="24"/>
  <c r="O177" i="24"/>
  <c r="N177" i="24"/>
  <c r="P177" i="24" s="1"/>
  <c r="H177" i="24"/>
  <c r="U176" i="24"/>
  <c r="T176" i="24"/>
  <c r="O176" i="24"/>
  <c r="N176" i="24"/>
  <c r="P176" i="24" s="1"/>
  <c r="H176" i="24"/>
  <c r="R175" i="24"/>
  <c r="O175" i="24"/>
  <c r="N175" i="24"/>
  <c r="U174" i="24"/>
  <c r="T174" i="24"/>
  <c r="O174" i="24"/>
  <c r="N174" i="24"/>
  <c r="P174" i="24" s="1"/>
  <c r="H174" i="24"/>
  <c r="U173" i="24"/>
  <c r="T173" i="24"/>
  <c r="O173" i="24"/>
  <c r="N173" i="24"/>
  <c r="P173" i="24" s="1"/>
  <c r="H173" i="24"/>
  <c r="H171" i="24" s="1"/>
  <c r="J171" i="24" s="1"/>
  <c r="U172" i="24"/>
  <c r="T172" i="24"/>
  <c r="O172" i="24"/>
  <c r="N172" i="24"/>
  <c r="P172" i="24" s="1"/>
  <c r="H172" i="24"/>
  <c r="R171" i="24"/>
  <c r="O171" i="24"/>
  <c r="N171" i="24"/>
  <c r="P171" i="24" s="1"/>
  <c r="U170" i="24"/>
  <c r="T170" i="24"/>
  <c r="O170" i="24"/>
  <c r="N170" i="24"/>
  <c r="P170" i="24" s="1"/>
  <c r="K170" i="24"/>
  <c r="H170" i="24"/>
  <c r="U169" i="24"/>
  <c r="T169" i="24"/>
  <c r="O169" i="24"/>
  <c r="N169" i="24"/>
  <c r="P169" i="24" s="1"/>
  <c r="K169" i="24"/>
  <c r="H169" i="24"/>
  <c r="U168" i="24"/>
  <c r="T168" i="24"/>
  <c r="O168" i="24"/>
  <c r="N168" i="24"/>
  <c r="P168" i="24" s="1"/>
  <c r="K168" i="24"/>
  <c r="H168" i="24"/>
  <c r="R167" i="24"/>
  <c r="O167" i="24"/>
  <c r="N167" i="24"/>
  <c r="S167" i="24" s="1"/>
  <c r="U166" i="24"/>
  <c r="T166" i="24"/>
  <c r="O166" i="24"/>
  <c r="N166" i="24"/>
  <c r="P166" i="24" s="1"/>
  <c r="K166" i="24"/>
  <c r="H166" i="24"/>
  <c r="U165" i="24"/>
  <c r="T165" i="24"/>
  <c r="O165" i="24"/>
  <c r="N165" i="24"/>
  <c r="P165" i="24" s="1"/>
  <c r="K165" i="24"/>
  <c r="H165" i="24"/>
  <c r="U164" i="24"/>
  <c r="T164" i="24"/>
  <c r="O164" i="24"/>
  <c r="N164" i="24"/>
  <c r="P164" i="24" s="1"/>
  <c r="K164" i="24"/>
  <c r="H164" i="24"/>
  <c r="H163" i="24" s="1"/>
  <c r="J163" i="24" s="1"/>
  <c r="R163" i="24"/>
  <c r="O163" i="24"/>
  <c r="N163" i="24"/>
  <c r="U162" i="24"/>
  <c r="T162" i="24"/>
  <c r="O162" i="24"/>
  <c r="N162" i="24"/>
  <c r="P162" i="24" s="1"/>
  <c r="K162" i="24"/>
  <c r="H162" i="24"/>
  <c r="U161" i="24"/>
  <c r="T161" i="24"/>
  <c r="O161" i="24"/>
  <c r="N161" i="24"/>
  <c r="P161" i="24" s="1"/>
  <c r="K161" i="24"/>
  <c r="H161" i="24"/>
  <c r="U160" i="24"/>
  <c r="T160" i="24"/>
  <c r="O160" i="24"/>
  <c r="N160" i="24"/>
  <c r="P160" i="24" s="1"/>
  <c r="K160" i="24"/>
  <c r="H160" i="24"/>
  <c r="R159" i="24"/>
  <c r="O159" i="24"/>
  <c r="N159" i="24"/>
  <c r="U158" i="24"/>
  <c r="T158" i="24"/>
  <c r="O158" i="24"/>
  <c r="N158" i="24"/>
  <c r="P158" i="24" s="1"/>
  <c r="K158" i="24"/>
  <c r="H158" i="24"/>
  <c r="U157" i="24"/>
  <c r="T157" i="24"/>
  <c r="O157" i="24"/>
  <c r="N157" i="24"/>
  <c r="P157" i="24" s="1"/>
  <c r="K157" i="24"/>
  <c r="H157" i="24"/>
  <c r="R156" i="24"/>
  <c r="O156" i="24"/>
  <c r="N156" i="24"/>
  <c r="P156" i="24" s="1"/>
  <c r="U155" i="24"/>
  <c r="T155" i="24"/>
  <c r="O155" i="24"/>
  <c r="N155" i="24"/>
  <c r="P155" i="24" s="1"/>
  <c r="K155" i="24"/>
  <c r="H155" i="24"/>
  <c r="U154" i="24"/>
  <c r="T154" i="24"/>
  <c r="O154" i="24"/>
  <c r="N154" i="24"/>
  <c r="P154" i="24" s="1"/>
  <c r="K154" i="24"/>
  <c r="H154" i="24"/>
  <c r="R153" i="24"/>
  <c r="O153" i="24"/>
  <c r="N153" i="24"/>
  <c r="J153" i="24"/>
  <c r="H153" i="24"/>
  <c r="U152" i="24"/>
  <c r="T152" i="24"/>
  <c r="O152" i="24"/>
  <c r="N152" i="24"/>
  <c r="P152" i="24" s="1"/>
  <c r="H152" i="24"/>
  <c r="U151" i="24"/>
  <c r="T151" i="24"/>
  <c r="O151" i="24"/>
  <c r="N151" i="24"/>
  <c r="P151" i="24" s="1"/>
  <c r="H151" i="24"/>
  <c r="R150" i="24"/>
  <c r="O150" i="24"/>
  <c r="N150" i="24"/>
  <c r="P150" i="24" s="1"/>
  <c r="J150" i="24"/>
  <c r="H150" i="24"/>
  <c r="U149" i="24"/>
  <c r="T149" i="24"/>
  <c r="O149" i="24"/>
  <c r="N149" i="24"/>
  <c r="P149" i="24" s="1"/>
  <c r="H149" i="24"/>
  <c r="U148" i="24"/>
  <c r="T148" i="24"/>
  <c r="O148" i="24"/>
  <c r="N148" i="24"/>
  <c r="P148" i="24" s="1"/>
  <c r="H148" i="24"/>
  <c r="H147" i="24" s="1"/>
  <c r="J147" i="24" s="1"/>
  <c r="R147" i="24"/>
  <c r="O147" i="24"/>
  <c r="N147" i="24"/>
  <c r="P147" i="24" s="1"/>
  <c r="U146" i="24"/>
  <c r="T146" i="24"/>
  <c r="O146" i="24"/>
  <c r="N146" i="24"/>
  <c r="P146" i="24" s="1"/>
  <c r="H146" i="24"/>
  <c r="U145" i="24"/>
  <c r="T145" i="24"/>
  <c r="O145" i="24"/>
  <c r="N145" i="24"/>
  <c r="P145" i="24" s="1"/>
  <c r="H145" i="24"/>
  <c r="H144" i="24" s="1"/>
  <c r="J144" i="24" s="1"/>
  <c r="R144" i="24"/>
  <c r="O144" i="24"/>
  <c r="N144" i="24"/>
  <c r="S144" i="24" s="1"/>
  <c r="U143" i="24"/>
  <c r="T143" i="24"/>
  <c r="O143" i="24"/>
  <c r="N143" i="24"/>
  <c r="P143" i="24" s="1"/>
  <c r="H143" i="24"/>
  <c r="U142" i="24"/>
  <c r="T142" i="24"/>
  <c r="O142" i="24"/>
  <c r="N142" i="24"/>
  <c r="P142" i="24" s="1"/>
  <c r="H142" i="24"/>
  <c r="R141" i="24"/>
  <c r="O141" i="24"/>
  <c r="N141" i="24"/>
  <c r="R140" i="24"/>
  <c r="O140" i="24"/>
  <c r="N140" i="24"/>
  <c r="P140" i="24" s="1"/>
  <c r="H140" i="24"/>
  <c r="J140" i="24" s="1"/>
  <c r="R139" i="24"/>
  <c r="O139" i="24"/>
  <c r="N139" i="24"/>
  <c r="S139" i="24" s="1"/>
  <c r="H139" i="24"/>
  <c r="J139" i="24" s="1"/>
  <c r="R138" i="24"/>
  <c r="O138" i="24"/>
  <c r="N138" i="24"/>
  <c r="P138" i="24" s="1"/>
  <c r="J138" i="24"/>
  <c r="H138" i="24"/>
  <c r="R137" i="24"/>
  <c r="O137" i="24"/>
  <c r="N137" i="24"/>
  <c r="J137" i="24"/>
  <c r="R136" i="24"/>
  <c r="O136" i="24"/>
  <c r="N136" i="24"/>
  <c r="S136" i="24" s="1"/>
  <c r="J136" i="24"/>
  <c r="R135" i="24"/>
  <c r="O135" i="24"/>
  <c r="N135" i="24"/>
  <c r="P135" i="24" s="1"/>
  <c r="J135" i="24"/>
  <c r="R134" i="24"/>
  <c r="O134" i="24"/>
  <c r="N134" i="24"/>
  <c r="J134" i="24"/>
  <c r="R133" i="24"/>
  <c r="O133" i="24"/>
  <c r="N133" i="24"/>
  <c r="P133" i="24" s="1"/>
  <c r="J133" i="24"/>
  <c r="H133" i="24"/>
  <c r="R132" i="24"/>
  <c r="O132" i="24"/>
  <c r="N132" i="24"/>
  <c r="P132" i="24" s="1"/>
  <c r="H132" i="24"/>
  <c r="J132" i="24" s="1"/>
  <c r="R131" i="24"/>
  <c r="O131" i="24"/>
  <c r="N131" i="24"/>
  <c r="J131" i="24"/>
  <c r="R130" i="24"/>
  <c r="O130" i="24"/>
  <c r="N130" i="24"/>
  <c r="S130" i="24" s="1"/>
  <c r="H130" i="24"/>
  <c r="J130" i="24" s="1"/>
  <c r="R129" i="24"/>
  <c r="O129" i="24"/>
  <c r="N129" i="24"/>
  <c r="P129" i="24" s="1"/>
  <c r="G129" i="24"/>
  <c r="H129" i="24" s="1"/>
  <c r="J129" i="24" s="1"/>
  <c r="R128" i="24"/>
  <c r="O128" i="24"/>
  <c r="N128" i="24"/>
  <c r="H128" i="24"/>
  <c r="J128" i="24" s="1"/>
  <c r="R127" i="24"/>
  <c r="O127" i="24"/>
  <c r="N127" i="24"/>
  <c r="H127" i="24"/>
  <c r="J127" i="24" s="1"/>
  <c r="U126" i="24"/>
  <c r="T126" i="24"/>
  <c r="O126" i="24"/>
  <c r="N126" i="24"/>
  <c r="P126" i="24" s="1"/>
  <c r="H126" i="24"/>
  <c r="U125" i="24"/>
  <c r="T125" i="24"/>
  <c r="O125" i="24"/>
  <c r="N125" i="24"/>
  <c r="P125" i="24" s="1"/>
  <c r="H125" i="24"/>
  <c r="U124" i="24"/>
  <c r="T124" i="24"/>
  <c r="O124" i="24"/>
  <c r="N124" i="24"/>
  <c r="P124" i="24" s="1"/>
  <c r="H124" i="24"/>
  <c r="R123" i="24"/>
  <c r="O123" i="24"/>
  <c r="N123" i="24"/>
  <c r="R122" i="24"/>
  <c r="O122" i="24"/>
  <c r="N122" i="24"/>
  <c r="S122" i="24" s="1"/>
  <c r="H122" i="24"/>
  <c r="J122" i="24" s="1"/>
  <c r="R121" i="24"/>
  <c r="O121" i="24"/>
  <c r="N121" i="24"/>
  <c r="H121" i="24"/>
  <c r="J121" i="24" s="1"/>
  <c r="R120" i="24"/>
  <c r="O120" i="24"/>
  <c r="N120" i="24"/>
  <c r="J120" i="24"/>
  <c r="H120" i="24"/>
  <c r="R119" i="24"/>
  <c r="O119" i="24"/>
  <c r="N119" i="24"/>
  <c r="P119" i="24" s="1"/>
  <c r="H119" i="24"/>
  <c r="J119" i="24" s="1"/>
  <c r="R118" i="24"/>
  <c r="O118" i="24"/>
  <c r="N118" i="24"/>
  <c r="P118" i="24" s="1"/>
  <c r="G118" i="24"/>
  <c r="H118" i="24" s="1"/>
  <c r="J118" i="24" s="1"/>
  <c r="R117" i="24"/>
  <c r="O117" i="24"/>
  <c r="N117" i="24"/>
  <c r="G117" i="24"/>
  <c r="H117" i="24" s="1"/>
  <c r="J117" i="24" s="1"/>
  <c r="U116" i="24"/>
  <c r="T116" i="24"/>
  <c r="P116" i="24"/>
  <c r="O116" i="24"/>
  <c r="R115" i="24"/>
  <c r="O115" i="24"/>
  <c r="N115" i="24"/>
  <c r="K115" i="24"/>
  <c r="T115" i="24" s="1"/>
  <c r="R114" i="24"/>
  <c r="O114" i="24"/>
  <c r="N114" i="24"/>
  <c r="P114" i="24" s="1"/>
  <c r="K114" i="24"/>
  <c r="R113" i="24"/>
  <c r="O113" i="24"/>
  <c r="N113" i="24"/>
  <c r="S113" i="24" s="1"/>
  <c r="K113" i="24"/>
  <c r="T113" i="24" s="1"/>
  <c r="R112" i="24"/>
  <c r="O112" i="24"/>
  <c r="N112" i="24"/>
  <c r="K112" i="24"/>
  <c r="R111" i="24"/>
  <c r="O111" i="24"/>
  <c r="N111" i="24"/>
  <c r="K111" i="24"/>
  <c r="T111" i="24" s="1"/>
  <c r="R110" i="24"/>
  <c r="O110" i="24"/>
  <c r="N110" i="24"/>
  <c r="K110" i="24"/>
  <c r="R109" i="24"/>
  <c r="O109" i="24"/>
  <c r="N109" i="24"/>
  <c r="P109" i="24" s="1"/>
  <c r="K109" i="24"/>
  <c r="R108" i="24"/>
  <c r="O108" i="24"/>
  <c r="N108" i="24"/>
  <c r="K108" i="24"/>
  <c r="R107" i="24"/>
  <c r="O107" i="24"/>
  <c r="N107" i="24"/>
  <c r="P107" i="24" s="1"/>
  <c r="K107" i="24"/>
  <c r="T107" i="24" s="1"/>
  <c r="R106" i="24"/>
  <c r="O106" i="24"/>
  <c r="N106" i="24"/>
  <c r="K106" i="24"/>
  <c r="R105" i="24"/>
  <c r="O105" i="24"/>
  <c r="N105" i="24"/>
  <c r="S105" i="24" s="1"/>
  <c r="K105" i="24"/>
  <c r="R104" i="24"/>
  <c r="O104" i="24"/>
  <c r="N104" i="24"/>
  <c r="S104" i="24" s="1"/>
  <c r="K104" i="24"/>
  <c r="R103" i="24"/>
  <c r="O103" i="24"/>
  <c r="N103" i="24"/>
  <c r="S103" i="24" s="1"/>
  <c r="K103" i="24"/>
  <c r="T103" i="24" s="1"/>
  <c r="R102" i="24"/>
  <c r="O102" i="24"/>
  <c r="N102" i="24"/>
  <c r="K102" i="24"/>
  <c r="R101" i="24"/>
  <c r="O101" i="24"/>
  <c r="N101" i="24"/>
  <c r="P101" i="24" s="1"/>
  <c r="K101" i="24"/>
  <c r="R100" i="24"/>
  <c r="O100" i="24"/>
  <c r="N100" i="24"/>
  <c r="P100" i="24" s="1"/>
  <c r="K100" i="24"/>
  <c r="R99" i="24"/>
  <c r="O99" i="24"/>
  <c r="N99" i="24"/>
  <c r="P99" i="24" s="1"/>
  <c r="K99" i="24"/>
  <c r="T99" i="24" s="1"/>
  <c r="R98" i="24"/>
  <c r="O98" i="24"/>
  <c r="N98" i="24"/>
  <c r="P98" i="24" s="1"/>
  <c r="K98" i="24"/>
  <c r="R97" i="24"/>
  <c r="O97" i="24"/>
  <c r="N97" i="24"/>
  <c r="K97" i="24"/>
  <c r="R96" i="24"/>
  <c r="O96" i="24"/>
  <c r="N96" i="24"/>
  <c r="S96" i="24" s="1"/>
  <c r="K96" i="24"/>
  <c r="R95" i="24"/>
  <c r="O95" i="24"/>
  <c r="N95" i="24"/>
  <c r="S95" i="24" s="1"/>
  <c r="K95" i="24"/>
  <c r="T95" i="24" s="1"/>
  <c r="R94" i="24"/>
  <c r="O94" i="24"/>
  <c r="N94" i="24"/>
  <c r="K94" i="24"/>
  <c r="R93" i="24"/>
  <c r="O93" i="24"/>
  <c r="N93" i="24"/>
  <c r="P93" i="24" s="1"/>
  <c r="K93" i="24"/>
  <c r="R92" i="24"/>
  <c r="O92" i="24"/>
  <c r="N92" i="24"/>
  <c r="P92" i="24" s="1"/>
  <c r="K92" i="24"/>
  <c r="R91" i="24"/>
  <c r="O91" i="24"/>
  <c r="N91" i="24"/>
  <c r="K91" i="24"/>
  <c r="T91" i="24" s="1"/>
  <c r="U90" i="24"/>
  <c r="T90" i="24"/>
  <c r="O90" i="24"/>
  <c r="N90" i="24"/>
  <c r="P90" i="24" s="1"/>
  <c r="R89" i="24"/>
  <c r="O89" i="24"/>
  <c r="N89" i="24"/>
  <c r="H89" i="24"/>
  <c r="J89" i="24" s="1"/>
  <c r="R88" i="24"/>
  <c r="O88" i="24"/>
  <c r="N88" i="24"/>
  <c r="S88" i="24" s="1"/>
  <c r="J88" i="24"/>
  <c r="H88" i="24"/>
  <c r="R87" i="24"/>
  <c r="O87" i="24"/>
  <c r="N87" i="24"/>
  <c r="J87" i="24"/>
  <c r="R86" i="24"/>
  <c r="O86" i="24"/>
  <c r="N86" i="24"/>
  <c r="H86" i="24"/>
  <c r="J86" i="24" s="1"/>
  <c r="R85" i="24"/>
  <c r="O85" i="24"/>
  <c r="N85" i="24"/>
  <c r="S85" i="24" s="1"/>
  <c r="H85" i="24"/>
  <c r="J85" i="24" s="1"/>
  <c r="R84" i="24"/>
  <c r="O84" i="24"/>
  <c r="N84" i="24"/>
  <c r="H84" i="24"/>
  <c r="J84" i="24" s="1"/>
  <c r="R83" i="24"/>
  <c r="O83" i="24"/>
  <c r="N83" i="24"/>
  <c r="J83" i="24"/>
  <c r="R82" i="24"/>
  <c r="O82" i="24"/>
  <c r="N82" i="24"/>
  <c r="J82" i="24"/>
  <c r="R81" i="24"/>
  <c r="O81" i="24"/>
  <c r="N81" i="24"/>
  <c r="S81" i="24" s="1"/>
  <c r="U81" i="24" s="1"/>
  <c r="J81" i="24"/>
  <c r="R80" i="24"/>
  <c r="O80" i="24"/>
  <c r="N80" i="24"/>
  <c r="J80" i="24"/>
  <c r="R79" i="24"/>
  <c r="O79" i="24"/>
  <c r="N79" i="24"/>
  <c r="P79" i="24" s="1"/>
  <c r="J79" i="24"/>
  <c r="R78" i="24"/>
  <c r="O78" i="24"/>
  <c r="N78" i="24"/>
  <c r="J78" i="24"/>
  <c r="R77" i="24"/>
  <c r="O77" i="24"/>
  <c r="N77" i="24"/>
  <c r="J77" i="24"/>
  <c r="R76" i="24"/>
  <c r="O76" i="24"/>
  <c r="N76" i="24"/>
  <c r="J76" i="24"/>
  <c r="H76" i="24"/>
  <c r="R75" i="24"/>
  <c r="O75" i="24"/>
  <c r="N75" i="24"/>
  <c r="J75" i="24"/>
  <c r="R74" i="24"/>
  <c r="O74" i="24"/>
  <c r="N74" i="24"/>
  <c r="J74" i="24"/>
  <c r="R73" i="24"/>
  <c r="O73" i="24"/>
  <c r="N73" i="24"/>
  <c r="J73" i="24"/>
  <c r="R72" i="24"/>
  <c r="O72" i="24"/>
  <c r="N72" i="24"/>
  <c r="P72" i="24" s="1"/>
  <c r="J72" i="24"/>
  <c r="R71" i="24"/>
  <c r="O71" i="24"/>
  <c r="N71" i="24"/>
  <c r="J71" i="24"/>
  <c r="R70" i="24"/>
  <c r="O70" i="24"/>
  <c r="N70" i="24"/>
  <c r="P70" i="24" s="1"/>
  <c r="J70" i="24"/>
  <c r="R69" i="24"/>
  <c r="O69" i="24"/>
  <c r="N69" i="24"/>
  <c r="H69" i="24"/>
  <c r="J69" i="24" s="1"/>
  <c r="U68" i="24"/>
  <c r="T68" i="24"/>
  <c r="P68" i="24"/>
  <c r="O68" i="24"/>
  <c r="R67" i="24"/>
  <c r="O67" i="24"/>
  <c r="N67" i="24"/>
  <c r="P67" i="24" s="1"/>
  <c r="K67" i="24"/>
  <c r="T67" i="24" s="1"/>
  <c r="R66" i="24"/>
  <c r="O66" i="24"/>
  <c r="N66" i="24"/>
  <c r="S66" i="24" s="1"/>
  <c r="K66" i="24"/>
  <c r="R65" i="24"/>
  <c r="O65" i="24"/>
  <c r="N65" i="24"/>
  <c r="K65" i="24"/>
  <c r="T65" i="24" s="1"/>
  <c r="R64" i="24"/>
  <c r="O64" i="24"/>
  <c r="N64" i="24"/>
  <c r="K64" i="24"/>
  <c r="R63" i="24"/>
  <c r="O63" i="24"/>
  <c r="N63" i="24"/>
  <c r="K63" i="24"/>
  <c r="R62" i="24"/>
  <c r="O62" i="24"/>
  <c r="N62" i="24"/>
  <c r="P62" i="24" s="1"/>
  <c r="K62" i="24"/>
  <c r="R61" i="24"/>
  <c r="O61" i="24"/>
  <c r="N61" i="24"/>
  <c r="P61" i="24" s="1"/>
  <c r="K61" i="24"/>
  <c r="T61" i="24" s="1"/>
  <c r="R60" i="24"/>
  <c r="O60" i="24"/>
  <c r="N60" i="24"/>
  <c r="P60" i="24" s="1"/>
  <c r="K60" i="24"/>
  <c r="R59" i="24"/>
  <c r="O59" i="24"/>
  <c r="N59" i="24"/>
  <c r="S59" i="24" s="1"/>
  <c r="U59" i="24" s="1"/>
  <c r="K59" i="24"/>
  <c r="T59" i="24" s="1"/>
  <c r="R58" i="24"/>
  <c r="O58" i="24"/>
  <c r="N58" i="24"/>
  <c r="S58" i="24" s="1"/>
  <c r="K58" i="24"/>
  <c r="R57" i="24"/>
  <c r="O57" i="24"/>
  <c r="N57" i="24"/>
  <c r="S57" i="24" s="1"/>
  <c r="K57" i="24"/>
  <c r="T57" i="24" s="1"/>
  <c r="R56" i="24"/>
  <c r="O56" i="24"/>
  <c r="N56" i="24"/>
  <c r="K56" i="24"/>
  <c r="R55" i="24"/>
  <c r="O55" i="24"/>
  <c r="N55" i="24"/>
  <c r="K55" i="24"/>
  <c r="R54" i="24"/>
  <c r="O54" i="24"/>
  <c r="N54" i="24"/>
  <c r="S54" i="24" s="1"/>
  <c r="K54" i="24"/>
  <c r="R53" i="24"/>
  <c r="O53" i="24"/>
  <c r="N53" i="24"/>
  <c r="K53" i="24"/>
  <c r="T53" i="24" s="1"/>
  <c r="R52" i="24"/>
  <c r="O52" i="24"/>
  <c r="N52" i="24"/>
  <c r="P52" i="24" s="1"/>
  <c r="K52" i="24"/>
  <c r="R51" i="24"/>
  <c r="O51" i="24"/>
  <c r="N51" i="24"/>
  <c r="P51" i="24" s="1"/>
  <c r="K51" i="24"/>
  <c r="T51" i="24" s="1"/>
  <c r="R50" i="24"/>
  <c r="O50" i="24"/>
  <c r="N50" i="24"/>
  <c r="K50" i="24"/>
  <c r="R49" i="24"/>
  <c r="O49" i="24"/>
  <c r="N49" i="24"/>
  <c r="S49" i="24" s="1"/>
  <c r="K49" i="24"/>
  <c r="T49" i="24" s="1"/>
  <c r="R48" i="24"/>
  <c r="O48" i="24"/>
  <c r="N48" i="24"/>
  <c r="K48" i="24"/>
  <c r="R47" i="24"/>
  <c r="O47" i="24"/>
  <c r="N47" i="24"/>
  <c r="K47" i="24"/>
  <c r="R46" i="24"/>
  <c r="O46" i="24"/>
  <c r="N46" i="24"/>
  <c r="S46" i="24" s="1"/>
  <c r="K46" i="24"/>
  <c r="R45" i="24"/>
  <c r="O45" i="24"/>
  <c r="N45" i="24"/>
  <c r="K45" i="24"/>
  <c r="T45" i="24" s="1"/>
  <c r="R44" i="24"/>
  <c r="O44" i="24"/>
  <c r="N44" i="24"/>
  <c r="S44" i="24" s="1"/>
  <c r="K44" i="24"/>
  <c r="R43" i="24"/>
  <c r="O43" i="24"/>
  <c r="N43" i="24"/>
  <c r="K43" i="24"/>
  <c r="T43" i="24" s="1"/>
  <c r="U42" i="24"/>
  <c r="T42" i="24"/>
  <c r="O42" i="24"/>
  <c r="N42" i="24"/>
  <c r="P42" i="24" s="1"/>
  <c r="R41" i="24"/>
  <c r="O41" i="24"/>
  <c r="N41" i="24"/>
  <c r="J41" i="24"/>
  <c r="R40" i="24"/>
  <c r="O40" i="24"/>
  <c r="N40" i="24"/>
  <c r="J40" i="24"/>
  <c r="R39" i="24"/>
  <c r="O39" i="24"/>
  <c r="N39" i="24"/>
  <c r="J39" i="24"/>
  <c r="R38" i="24"/>
  <c r="O38" i="24"/>
  <c r="N38" i="24"/>
  <c r="P38" i="24" s="1"/>
  <c r="J38" i="24"/>
  <c r="R37" i="24"/>
  <c r="O37" i="24"/>
  <c r="N37" i="24"/>
  <c r="J37" i="24"/>
  <c r="R36" i="24"/>
  <c r="O36" i="24"/>
  <c r="N36" i="24"/>
  <c r="J36" i="24"/>
  <c r="R35" i="24"/>
  <c r="O35" i="24"/>
  <c r="N35" i="24"/>
  <c r="J35" i="24"/>
  <c r="R34" i="24"/>
  <c r="O34" i="24"/>
  <c r="N34" i="24"/>
  <c r="S34" i="24" s="1"/>
  <c r="J34" i="24"/>
  <c r="R33" i="24"/>
  <c r="O33" i="24"/>
  <c r="N33" i="24"/>
  <c r="J33" i="24"/>
  <c r="R32" i="24"/>
  <c r="O32" i="24"/>
  <c r="N32" i="24"/>
  <c r="S32" i="24" s="1"/>
  <c r="J32" i="24"/>
  <c r="R31" i="24"/>
  <c r="O31" i="24"/>
  <c r="N31" i="24"/>
  <c r="J31" i="24"/>
  <c r="R30" i="24"/>
  <c r="O30" i="24"/>
  <c r="N30" i="24"/>
  <c r="P30" i="24" s="1"/>
  <c r="J30" i="24"/>
  <c r="R29" i="24"/>
  <c r="O29" i="24"/>
  <c r="N29" i="24"/>
  <c r="J29" i="24"/>
  <c r="R28" i="24"/>
  <c r="O28" i="24"/>
  <c r="N28" i="24"/>
  <c r="P28" i="24" s="1"/>
  <c r="G28" i="24"/>
  <c r="H28" i="24" s="1"/>
  <c r="J28" i="24" s="1"/>
  <c r="R27" i="24"/>
  <c r="O27" i="24"/>
  <c r="N27" i="24"/>
  <c r="S27" i="24" s="1"/>
  <c r="H27" i="24"/>
  <c r="J27" i="24" s="1"/>
  <c r="G27" i="24"/>
  <c r="R26" i="24"/>
  <c r="O26" i="24"/>
  <c r="N26" i="24"/>
  <c r="G26" i="24"/>
  <c r="H26" i="24" s="1"/>
  <c r="J26" i="24" s="1"/>
  <c r="R25" i="24"/>
  <c r="O25" i="24"/>
  <c r="N25" i="24"/>
  <c r="P25" i="24" s="1"/>
  <c r="G25" i="24"/>
  <c r="H25" i="24" s="1"/>
  <c r="J25" i="24" s="1"/>
  <c r="R24" i="24"/>
  <c r="O24" i="24"/>
  <c r="N24" i="24"/>
  <c r="P24" i="24" s="1"/>
  <c r="H24" i="24"/>
  <c r="J24" i="24" s="1"/>
  <c r="R23" i="24"/>
  <c r="O23" i="24"/>
  <c r="N23" i="24"/>
  <c r="H23" i="24"/>
  <c r="J23" i="24" s="1"/>
  <c r="R22" i="24"/>
  <c r="O22" i="24"/>
  <c r="N22" i="24"/>
  <c r="P22" i="24" s="1"/>
  <c r="J22" i="24"/>
  <c r="R21" i="24"/>
  <c r="O21" i="24"/>
  <c r="N21" i="24"/>
  <c r="J21" i="24"/>
  <c r="R20" i="24"/>
  <c r="O20" i="24"/>
  <c r="N20" i="24"/>
  <c r="J20" i="24"/>
  <c r="R19" i="24"/>
  <c r="O19" i="24"/>
  <c r="N19" i="24"/>
  <c r="S19" i="24" s="1"/>
  <c r="J19" i="24"/>
  <c r="J2717" i="23"/>
  <c r="J2716" i="23"/>
  <c r="J2715" i="23"/>
  <c r="J2714" i="23"/>
  <c r="J2713" i="23"/>
  <c r="J2712" i="23"/>
  <c r="J2710" i="23"/>
  <c r="R2707" i="23"/>
  <c r="O2707" i="23"/>
  <c r="N2707" i="23"/>
  <c r="K2707" i="23"/>
  <c r="R2706" i="23"/>
  <c r="O2706" i="23"/>
  <c r="N2706" i="23"/>
  <c r="S2706" i="23" s="1"/>
  <c r="K2706" i="23"/>
  <c r="R2705" i="23"/>
  <c r="O2705" i="23"/>
  <c r="N2705" i="23"/>
  <c r="S2705" i="23" s="1"/>
  <c r="U2705" i="23" s="1"/>
  <c r="K2705" i="23"/>
  <c r="T2705" i="23" s="1"/>
  <c r="R2704" i="23"/>
  <c r="O2704" i="23"/>
  <c r="N2704" i="23"/>
  <c r="S2704" i="23" s="1"/>
  <c r="K2704" i="23"/>
  <c r="R2703" i="23"/>
  <c r="O2703" i="23"/>
  <c r="N2703" i="23"/>
  <c r="S2703" i="23" s="1"/>
  <c r="U2703" i="23" s="1"/>
  <c r="K2703" i="23"/>
  <c r="R2702" i="23"/>
  <c r="O2702" i="23"/>
  <c r="N2702" i="23"/>
  <c r="K2702" i="23"/>
  <c r="R2701" i="23"/>
  <c r="O2701" i="23"/>
  <c r="N2701" i="23"/>
  <c r="P2701" i="23" s="1"/>
  <c r="K2701" i="23"/>
  <c r="T2701" i="23" s="1"/>
  <c r="R2700" i="23"/>
  <c r="O2700" i="23"/>
  <c r="N2700" i="23"/>
  <c r="P2700" i="23" s="1"/>
  <c r="K2700" i="23"/>
  <c r="R2699" i="23"/>
  <c r="O2699" i="23"/>
  <c r="N2699" i="23"/>
  <c r="S2699" i="23" s="1"/>
  <c r="U2699" i="23" s="1"/>
  <c r="K2699" i="23"/>
  <c r="R2698" i="23"/>
  <c r="O2698" i="23"/>
  <c r="N2698" i="23"/>
  <c r="S2698" i="23" s="1"/>
  <c r="K2698" i="23"/>
  <c r="R2697" i="23"/>
  <c r="O2697" i="23"/>
  <c r="N2697" i="23"/>
  <c r="S2697" i="23" s="1"/>
  <c r="U2697" i="23" s="1"/>
  <c r="K2697" i="23"/>
  <c r="T2697" i="23" s="1"/>
  <c r="R2696" i="23"/>
  <c r="O2696" i="23"/>
  <c r="N2696" i="23"/>
  <c r="S2696" i="23" s="1"/>
  <c r="K2696" i="23"/>
  <c r="R2695" i="23"/>
  <c r="O2695" i="23"/>
  <c r="N2695" i="23"/>
  <c r="S2695" i="23" s="1"/>
  <c r="U2695" i="23" s="1"/>
  <c r="K2695" i="23"/>
  <c r="R2694" i="23"/>
  <c r="O2694" i="23"/>
  <c r="N2694" i="23"/>
  <c r="S2694" i="23" s="1"/>
  <c r="K2694" i="23"/>
  <c r="R2693" i="23"/>
  <c r="O2693" i="23"/>
  <c r="N2693" i="23"/>
  <c r="K2693" i="23"/>
  <c r="T2693" i="23" s="1"/>
  <c r="R2692" i="23"/>
  <c r="O2692" i="23"/>
  <c r="N2692" i="23"/>
  <c r="P2692" i="23" s="1"/>
  <c r="K2692" i="23"/>
  <c r="R2691" i="23"/>
  <c r="O2691" i="23"/>
  <c r="N2691" i="23"/>
  <c r="S2691" i="23" s="1"/>
  <c r="U2691" i="23" s="1"/>
  <c r="K2691" i="23"/>
  <c r="R2690" i="23"/>
  <c r="O2690" i="23"/>
  <c r="N2690" i="23"/>
  <c r="P2690" i="23" s="1"/>
  <c r="K2690" i="23"/>
  <c r="R2689" i="23"/>
  <c r="O2689" i="23"/>
  <c r="N2689" i="23"/>
  <c r="K2689" i="23"/>
  <c r="T2689" i="23" s="1"/>
  <c r="R2688" i="23"/>
  <c r="O2688" i="23"/>
  <c r="N2688" i="23"/>
  <c r="S2688" i="23" s="1"/>
  <c r="K2688" i="23"/>
  <c r="R2687" i="23"/>
  <c r="O2687" i="23"/>
  <c r="N2687" i="23"/>
  <c r="S2687" i="23" s="1"/>
  <c r="U2687" i="23" s="1"/>
  <c r="K2687" i="23"/>
  <c r="R2686" i="23"/>
  <c r="O2686" i="23"/>
  <c r="N2686" i="23"/>
  <c r="K2686" i="23"/>
  <c r="R2685" i="23"/>
  <c r="O2685" i="23"/>
  <c r="N2685" i="23"/>
  <c r="P2685" i="23" s="1"/>
  <c r="K2685" i="23"/>
  <c r="T2685" i="23" s="1"/>
  <c r="R2684" i="23"/>
  <c r="O2684" i="23"/>
  <c r="N2684" i="23"/>
  <c r="P2684" i="23" s="1"/>
  <c r="K2684" i="23"/>
  <c r="R2683" i="23"/>
  <c r="O2683" i="23"/>
  <c r="N2683" i="23"/>
  <c r="S2683" i="23" s="1"/>
  <c r="U2683" i="23" s="1"/>
  <c r="K2683" i="23"/>
  <c r="R2682" i="23"/>
  <c r="O2682" i="23"/>
  <c r="N2682" i="23"/>
  <c r="P2682" i="23" s="1"/>
  <c r="K2682" i="23"/>
  <c r="R2681" i="23"/>
  <c r="O2681" i="23"/>
  <c r="N2681" i="23"/>
  <c r="K2681" i="23"/>
  <c r="T2681" i="23" s="1"/>
  <c r="R2680" i="23"/>
  <c r="O2680" i="23"/>
  <c r="N2680" i="23"/>
  <c r="S2680" i="23" s="1"/>
  <c r="K2680" i="23"/>
  <c r="R2679" i="23"/>
  <c r="O2679" i="23"/>
  <c r="N2679" i="23"/>
  <c r="S2679" i="23" s="1"/>
  <c r="U2679" i="23" s="1"/>
  <c r="K2679" i="23"/>
  <c r="R2678" i="23"/>
  <c r="O2678" i="23"/>
  <c r="N2678" i="23"/>
  <c r="K2678" i="23"/>
  <c r="R2677" i="23"/>
  <c r="O2677" i="23"/>
  <c r="N2677" i="23"/>
  <c r="P2677" i="23" s="1"/>
  <c r="K2677" i="23"/>
  <c r="T2677" i="23" s="1"/>
  <c r="N2676" i="23"/>
  <c r="R2675" i="23"/>
  <c r="O2675" i="23"/>
  <c r="N2675" i="23"/>
  <c r="P2675" i="23" s="1"/>
  <c r="J2675" i="23"/>
  <c r="R2674" i="23"/>
  <c r="J2674" i="23"/>
  <c r="R2673" i="23"/>
  <c r="O2673" i="23"/>
  <c r="N2673" i="23"/>
  <c r="J2673" i="23"/>
  <c r="R2672" i="23"/>
  <c r="J2672" i="23"/>
  <c r="R2671" i="23"/>
  <c r="J2671" i="23"/>
  <c r="R2670" i="23"/>
  <c r="J2670" i="23"/>
  <c r="R2669" i="23"/>
  <c r="O2669" i="23"/>
  <c r="N2669" i="23"/>
  <c r="P2669" i="23" s="1"/>
  <c r="J2669" i="23"/>
  <c r="R2668" i="23"/>
  <c r="J2668" i="23"/>
  <c r="R2667" i="23"/>
  <c r="O2667" i="23"/>
  <c r="N2667" i="23"/>
  <c r="J2667" i="23"/>
  <c r="R2666" i="23"/>
  <c r="O2666" i="23"/>
  <c r="N2666" i="23"/>
  <c r="S2666" i="23" s="1"/>
  <c r="U2666" i="23" s="1"/>
  <c r="J2666" i="23"/>
  <c r="R2665" i="23"/>
  <c r="O2665" i="23"/>
  <c r="N2665" i="23"/>
  <c r="J2665" i="23"/>
  <c r="R2664" i="23"/>
  <c r="O2664" i="23"/>
  <c r="N2664" i="23"/>
  <c r="S2664" i="23" s="1"/>
  <c r="U2664" i="23" s="1"/>
  <c r="J2664" i="23"/>
  <c r="R2663" i="23"/>
  <c r="O2663" i="23"/>
  <c r="N2663" i="23"/>
  <c r="P2663" i="23" s="1"/>
  <c r="J2663" i="23"/>
  <c r="U2662" i="23"/>
  <c r="T2662" i="23"/>
  <c r="P2662" i="23"/>
  <c r="O2662" i="23"/>
  <c r="R2661" i="23"/>
  <c r="O2661" i="23"/>
  <c r="N2661" i="23"/>
  <c r="S2661" i="23" s="1"/>
  <c r="U2661" i="23" s="1"/>
  <c r="K2661" i="23"/>
  <c r="R2660" i="23"/>
  <c r="O2660" i="23"/>
  <c r="N2660" i="23"/>
  <c r="S2660" i="23" s="1"/>
  <c r="U2660" i="23" s="1"/>
  <c r="K2660" i="23"/>
  <c r="T2660" i="23" s="1"/>
  <c r="R2659" i="23"/>
  <c r="O2659" i="23"/>
  <c r="N2659" i="23"/>
  <c r="K2659" i="23"/>
  <c r="T2659" i="23" s="1"/>
  <c r="R2658" i="23"/>
  <c r="O2658" i="23"/>
  <c r="N2658" i="23"/>
  <c r="S2658" i="23" s="1"/>
  <c r="K2658" i="23"/>
  <c r="T2658" i="23" s="1"/>
  <c r="R2657" i="23"/>
  <c r="O2657" i="23"/>
  <c r="N2657" i="23"/>
  <c r="S2657" i="23" s="1"/>
  <c r="U2657" i="23" s="1"/>
  <c r="K2657" i="23"/>
  <c r="R2656" i="23"/>
  <c r="O2656" i="23"/>
  <c r="N2656" i="23"/>
  <c r="S2656" i="23" s="1"/>
  <c r="K2656" i="23"/>
  <c r="R2655" i="23"/>
  <c r="O2655" i="23"/>
  <c r="N2655" i="23"/>
  <c r="K2655" i="23"/>
  <c r="T2655" i="23" s="1"/>
  <c r="R2654" i="23"/>
  <c r="O2654" i="23"/>
  <c r="N2654" i="23"/>
  <c r="K2654" i="23"/>
  <c r="R2653" i="23"/>
  <c r="O2653" i="23"/>
  <c r="N2653" i="23"/>
  <c r="P2653" i="23" s="1"/>
  <c r="K2653" i="23"/>
  <c r="R2652" i="23"/>
  <c r="O2652" i="23"/>
  <c r="N2652" i="23"/>
  <c r="S2652" i="23" s="1"/>
  <c r="U2652" i="23" s="1"/>
  <c r="K2652" i="23"/>
  <c r="T2652" i="23" s="1"/>
  <c r="R2651" i="23"/>
  <c r="O2651" i="23"/>
  <c r="N2651" i="23"/>
  <c r="K2651" i="23"/>
  <c r="T2651" i="23" s="1"/>
  <c r="R2650" i="23"/>
  <c r="O2650" i="23"/>
  <c r="N2650" i="23"/>
  <c r="S2650" i="23" s="1"/>
  <c r="K2650" i="23"/>
  <c r="T2650" i="23" s="1"/>
  <c r="R2649" i="23"/>
  <c r="O2649" i="23"/>
  <c r="N2649" i="23"/>
  <c r="S2649" i="23" s="1"/>
  <c r="U2649" i="23" s="1"/>
  <c r="K2649" i="23"/>
  <c r="R2648" i="23"/>
  <c r="O2648" i="23"/>
  <c r="N2648" i="23"/>
  <c r="S2648" i="23" s="1"/>
  <c r="K2648" i="23"/>
  <c r="R2647" i="23"/>
  <c r="O2647" i="23"/>
  <c r="N2647" i="23"/>
  <c r="P2647" i="23" s="1"/>
  <c r="K2647" i="23"/>
  <c r="T2647" i="23" s="1"/>
  <c r="R2646" i="23"/>
  <c r="O2646" i="23"/>
  <c r="N2646" i="23"/>
  <c r="K2646" i="23"/>
  <c r="R2645" i="23"/>
  <c r="O2645" i="23"/>
  <c r="N2645" i="23"/>
  <c r="K2645" i="23"/>
  <c r="R2644" i="23"/>
  <c r="O2644" i="23"/>
  <c r="N2644" i="23"/>
  <c r="K2644" i="23"/>
  <c r="T2644" i="23" s="1"/>
  <c r="R2643" i="23"/>
  <c r="O2643" i="23"/>
  <c r="N2643" i="23"/>
  <c r="S2643" i="23" s="1"/>
  <c r="U2643" i="23" s="1"/>
  <c r="K2643" i="23"/>
  <c r="T2643" i="23" s="1"/>
  <c r="R2642" i="23"/>
  <c r="O2642" i="23"/>
  <c r="N2642" i="23"/>
  <c r="S2642" i="23" s="1"/>
  <c r="K2642" i="23"/>
  <c r="T2642" i="23" s="1"/>
  <c r="R2641" i="23"/>
  <c r="O2641" i="23"/>
  <c r="N2641" i="23"/>
  <c r="S2641" i="23" s="1"/>
  <c r="U2641" i="23" s="1"/>
  <c r="K2641" i="23"/>
  <c r="R2640" i="23"/>
  <c r="O2640" i="23"/>
  <c r="N2640" i="23"/>
  <c r="S2640" i="23" s="1"/>
  <c r="K2640" i="23"/>
  <c r="R2639" i="23"/>
  <c r="O2639" i="23"/>
  <c r="N2639" i="23"/>
  <c r="P2639" i="23" s="1"/>
  <c r="K2639" i="23"/>
  <c r="T2639" i="23" s="1"/>
  <c r="R2638" i="23"/>
  <c r="O2638" i="23"/>
  <c r="N2638" i="23"/>
  <c r="K2638" i="23"/>
  <c r="R2637" i="23"/>
  <c r="O2637" i="23"/>
  <c r="N2637" i="23"/>
  <c r="S2637" i="23" s="1"/>
  <c r="K2637" i="23"/>
  <c r="R2636" i="23"/>
  <c r="O2636" i="23"/>
  <c r="N2636" i="23"/>
  <c r="K2636" i="23"/>
  <c r="T2636" i="23" s="1"/>
  <c r="R2635" i="23"/>
  <c r="O2635" i="23"/>
  <c r="N2635" i="23"/>
  <c r="S2635" i="23" s="1"/>
  <c r="U2635" i="23" s="1"/>
  <c r="K2635" i="23"/>
  <c r="T2635" i="23" s="1"/>
  <c r="R2634" i="23"/>
  <c r="O2634" i="23"/>
  <c r="N2634" i="23"/>
  <c r="S2634" i="23" s="1"/>
  <c r="K2634" i="23"/>
  <c r="T2634" i="23" s="1"/>
  <c r="R2633" i="23"/>
  <c r="O2633" i="23"/>
  <c r="N2633" i="23"/>
  <c r="S2633" i="23" s="1"/>
  <c r="U2633" i="23" s="1"/>
  <c r="K2633" i="23"/>
  <c r="R2632" i="23"/>
  <c r="O2632" i="23"/>
  <c r="N2632" i="23"/>
  <c r="S2632" i="23" s="1"/>
  <c r="K2632" i="23"/>
  <c r="R2631" i="23"/>
  <c r="O2631" i="23"/>
  <c r="N2631" i="23"/>
  <c r="K2631" i="23"/>
  <c r="T2631" i="23" s="1"/>
  <c r="U2630" i="23"/>
  <c r="T2630" i="23"/>
  <c r="O2630" i="23"/>
  <c r="N2630" i="23"/>
  <c r="P2630" i="23" s="1"/>
  <c r="U2629" i="23"/>
  <c r="T2629" i="23"/>
  <c r="O2629" i="23"/>
  <c r="N2629" i="23"/>
  <c r="P2629" i="23" s="1"/>
  <c r="K2629" i="23"/>
  <c r="J2629" i="23"/>
  <c r="U2628" i="23"/>
  <c r="T2628" i="23"/>
  <c r="O2628" i="23"/>
  <c r="N2628" i="23"/>
  <c r="P2628" i="23" s="1"/>
  <c r="K2628" i="23"/>
  <c r="J2628" i="23"/>
  <c r="U2627" i="23"/>
  <c r="T2627" i="23"/>
  <c r="O2627" i="23"/>
  <c r="N2627" i="23"/>
  <c r="P2627" i="23" s="1"/>
  <c r="K2627" i="23"/>
  <c r="J2627" i="23"/>
  <c r="U2626" i="23"/>
  <c r="T2626" i="23"/>
  <c r="O2626" i="23"/>
  <c r="N2626" i="23"/>
  <c r="P2626" i="23" s="1"/>
  <c r="K2626" i="23"/>
  <c r="J2626" i="23"/>
  <c r="U2625" i="23"/>
  <c r="T2625" i="23"/>
  <c r="O2625" i="23"/>
  <c r="N2625" i="23"/>
  <c r="P2625" i="23" s="1"/>
  <c r="K2625" i="23"/>
  <c r="J2625" i="23"/>
  <c r="R2624" i="23"/>
  <c r="O2624" i="23"/>
  <c r="N2624" i="23"/>
  <c r="S2624" i="23" s="1"/>
  <c r="D2624" i="23"/>
  <c r="G2625" i="23" s="1"/>
  <c r="H2625" i="23" s="1"/>
  <c r="U2623" i="23"/>
  <c r="T2623" i="23"/>
  <c r="O2623" i="23"/>
  <c r="N2623" i="23"/>
  <c r="P2623" i="23" s="1"/>
  <c r="K2623" i="23"/>
  <c r="J2623" i="23"/>
  <c r="U2622" i="23"/>
  <c r="T2622" i="23"/>
  <c r="O2622" i="23"/>
  <c r="N2622" i="23"/>
  <c r="P2622" i="23" s="1"/>
  <c r="K2622" i="23"/>
  <c r="J2622" i="23"/>
  <c r="U2621" i="23"/>
  <c r="T2621" i="23"/>
  <c r="O2621" i="23"/>
  <c r="N2621" i="23"/>
  <c r="P2621" i="23" s="1"/>
  <c r="K2621" i="23"/>
  <c r="J2621" i="23"/>
  <c r="U2620" i="23"/>
  <c r="T2620" i="23"/>
  <c r="O2620" i="23"/>
  <c r="N2620" i="23"/>
  <c r="P2620" i="23" s="1"/>
  <c r="K2620" i="23"/>
  <c r="J2620" i="23"/>
  <c r="U2619" i="23"/>
  <c r="T2619" i="23"/>
  <c r="O2619" i="23"/>
  <c r="N2619" i="23"/>
  <c r="P2619" i="23" s="1"/>
  <c r="K2619" i="23"/>
  <c r="J2619" i="23"/>
  <c r="R2618" i="23"/>
  <c r="O2618" i="23"/>
  <c r="N2618" i="23"/>
  <c r="D2618" i="23"/>
  <c r="G2619" i="23" s="1"/>
  <c r="H2619" i="23" s="1"/>
  <c r="U2617" i="23"/>
  <c r="T2617" i="23"/>
  <c r="O2617" i="23"/>
  <c r="N2617" i="23"/>
  <c r="P2617" i="23" s="1"/>
  <c r="K2617" i="23"/>
  <c r="J2617" i="23"/>
  <c r="U2616" i="23"/>
  <c r="T2616" i="23"/>
  <c r="O2616" i="23"/>
  <c r="N2616" i="23"/>
  <c r="P2616" i="23" s="1"/>
  <c r="K2616" i="23"/>
  <c r="J2616" i="23"/>
  <c r="U2615" i="23"/>
  <c r="T2615" i="23"/>
  <c r="O2615" i="23"/>
  <c r="N2615" i="23"/>
  <c r="P2615" i="23" s="1"/>
  <c r="K2615" i="23"/>
  <c r="J2615" i="23"/>
  <c r="U2614" i="23"/>
  <c r="T2614" i="23"/>
  <c r="O2614" i="23"/>
  <c r="N2614" i="23"/>
  <c r="P2614" i="23" s="1"/>
  <c r="K2614" i="23"/>
  <c r="J2614" i="23"/>
  <c r="U2613" i="23"/>
  <c r="T2613" i="23"/>
  <c r="O2613" i="23"/>
  <c r="N2613" i="23"/>
  <c r="P2613" i="23" s="1"/>
  <c r="K2613" i="23"/>
  <c r="J2613" i="23"/>
  <c r="R2612" i="23"/>
  <c r="O2612" i="23"/>
  <c r="N2612" i="23"/>
  <c r="S2612" i="23" s="1"/>
  <c r="D2612" i="23"/>
  <c r="U2611" i="23"/>
  <c r="T2611" i="23"/>
  <c r="O2611" i="23"/>
  <c r="N2611" i="23"/>
  <c r="P2611" i="23" s="1"/>
  <c r="K2611" i="23"/>
  <c r="J2611" i="23"/>
  <c r="U2610" i="23"/>
  <c r="T2610" i="23"/>
  <c r="O2610" i="23"/>
  <c r="N2610" i="23"/>
  <c r="P2610" i="23" s="1"/>
  <c r="K2610" i="23"/>
  <c r="J2610" i="23"/>
  <c r="U2609" i="23"/>
  <c r="T2609" i="23"/>
  <c r="O2609" i="23"/>
  <c r="N2609" i="23"/>
  <c r="P2609" i="23" s="1"/>
  <c r="K2609" i="23"/>
  <c r="J2609" i="23"/>
  <c r="U2608" i="23"/>
  <c r="T2608" i="23"/>
  <c r="O2608" i="23"/>
  <c r="N2608" i="23"/>
  <c r="P2608" i="23" s="1"/>
  <c r="K2608" i="23"/>
  <c r="J2608" i="23"/>
  <c r="U2607" i="23"/>
  <c r="T2607" i="23"/>
  <c r="O2607" i="23"/>
  <c r="N2607" i="23"/>
  <c r="P2607" i="23" s="1"/>
  <c r="K2607" i="23"/>
  <c r="J2607" i="23"/>
  <c r="R2606" i="23"/>
  <c r="O2606" i="23"/>
  <c r="N2606" i="23"/>
  <c r="S2606" i="23" s="1"/>
  <c r="D2606" i="23"/>
  <c r="U2605" i="23"/>
  <c r="T2605" i="23"/>
  <c r="O2605" i="23"/>
  <c r="N2605" i="23"/>
  <c r="P2605" i="23" s="1"/>
  <c r="K2605" i="23"/>
  <c r="J2605" i="23"/>
  <c r="U2604" i="23"/>
  <c r="T2604" i="23"/>
  <c r="O2604" i="23"/>
  <c r="N2604" i="23"/>
  <c r="P2604" i="23" s="1"/>
  <c r="K2604" i="23"/>
  <c r="J2604" i="23"/>
  <c r="U2603" i="23"/>
  <c r="T2603" i="23"/>
  <c r="O2603" i="23"/>
  <c r="N2603" i="23"/>
  <c r="P2603" i="23" s="1"/>
  <c r="K2603" i="23"/>
  <c r="J2603" i="23"/>
  <c r="U2602" i="23"/>
  <c r="T2602" i="23"/>
  <c r="O2602" i="23"/>
  <c r="N2602" i="23"/>
  <c r="P2602" i="23" s="1"/>
  <c r="K2602" i="23"/>
  <c r="J2602" i="23"/>
  <c r="U2601" i="23"/>
  <c r="T2601" i="23"/>
  <c r="O2601" i="23"/>
  <c r="N2601" i="23"/>
  <c r="P2601" i="23" s="1"/>
  <c r="K2601" i="23"/>
  <c r="J2601" i="23"/>
  <c r="R2600" i="23"/>
  <c r="O2600" i="23"/>
  <c r="N2600" i="23"/>
  <c r="S2600" i="23" s="1"/>
  <c r="D2600" i="23"/>
  <c r="U2599" i="23"/>
  <c r="T2599" i="23"/>
  <c r="O2599" i="23"/>
  <c r="N2599" i="23"/>
  <c r="P2599" i="23" s="1"/>
  <c r="K2599" i="23"/>
  <c r="J2599" i="23"/>
  <c r="U2598" i="23"/>
  <c r="T2598" i="23"/>
  <c r="O2598" i="23"/>
  <c r="N2598" i="23"/>
  <c r="P2598" i="23" s="1"/>
  <c r="K2598" i="23"/>
  <c r="J2598" i="23"/>
  <c r="U2597" i="23"/>
  <c r="T2597" i="23"/>
  <c r="O2597" i="23"/>
  <c r="N2597" i="23"/>
  <c r="P2597" i="23" s="1"/>
  <c r="K2597" i="23"/>
  <c r="J2597" i="23"/>
  <c r="U2596" i="23"/>
  <c r="T2596" i="23"/>
  <c r="O2596" i="23"/>
  <c r="N2596" i="23"/>
  <c r="P2596" i="23" s="1"/>
  <c r="K2596" i="23"/>
  <c r="J2596" i="23"/>
  <c r="U2595" i="23"/>
  <c r="T2595" i="23"/>
  <c r="O2595" i="23"/>
  <c r="N2595" i="23"/>
  <c r="P2595" i="23" s="1"/>
  <c r="K2595" i="23"/>
  <c r="J2595" i="23"/>
  <c r="R2594" i="23"/>
  <c r="O2594" i="23"/>
  <c r="N2594" i="23"/>
  <c r="S2594" i="23" s="1"/>
  <c r="D2594" i="23"/>
  <c r="U2593" i="23"/>
  <c r="T2593" i="23"/>
  <c r="O2593" i="23"/>
  <c r="N2593" i="23"/>
  <c r="P2593" i="23" s="1"/>
  <c r="K2593" i="23"/>
  <c r="J2593" i="23"/>
  <c r="U2592" i="23"/>
  <c r="T2592" i="23"/>
  <c r="O2592" i="23"/>
  <c r="N2592" i="23"/>
  <c r="P2592" i="23" s="1"/>
  <c r="K2592" i="23"/>
  <c r="J2592" i="23"/>
  <c r="U2591" i="23"/>
  <c r="T2591" i="23"/>
  <c r="O2591" i="23"/>
  <c r="N2591" i="23"/>
  <c r="P2591" i="23" s="1"/>
  <c r="K2591" i="23"/>
  <c r="J2591" i="23"/>
  <c r="U2590" i="23"/>
  <c r="T2590" i="23"/>
  <c r="O2590" i="23"/>
  <c r="N2590" i="23"/>
  <c r="P2590" i="23" s="1"/>
  <c r="K2590" i="23"/>
  <c r="J2590" i="23"/>
  <c r="U2589" i="23"/>
  <c r="T2589" i="23"/>
  <c r="O2589" i="23"/>
  <c r="N2589" i="23"/>
  <c r="P2589" i="23" s="1"/>
  <c r="K2589" i="23"/>
  <c r="J2589" i="23"/>
  <c r="R2588" i="23"/>
  <c r="O2588" i="23"/>
  <c r="N2588" i="23"/>
  <c r="S2588" i="23" s="1"/>
  <c r="D2588" i="23"/>
  <c r="U2587" i="23"/>
  <c r="T2587" i="23"/>
  <c r="O2587" i="23"/>
  <c r="N2587" i="23"/>
  <c r="P2587" i="23" s="1"/>
  <c r="K2587" i="23"/>
  <c r="J2587" i="23"/>
  <c r="U2586" i="23"/>
  <c r="T2586" i="23"/>
  <c r="O2586" i="23"/>
  <c r="N2586" i="23"/>
  <c r="P2586" i="23" s="1"/>
  <c r="K2586" i="23"/>
  <c r="J2586" i="23"/>
  <c r="U2585" i="23"/>
  <c r="T2585" i="23"/>
  <c r="O2585" i="23"/>
  <c r="N2585" i="23"/>
  <c r="P2585" i="23" s="1"/>
  <c r="K2585" i="23"/>
  <c r="J2585" i="23"/>
  <c r="U2584" i="23"/>
  <c r="T2584" i="23"/>
  <c r="O2584" i="23"/>
  <c r="N2584" i="23"/>
  <c r="P2584" i="23" s="1"/>
  <c r="K2584" i="23"/>
  <c r="J2584" i="23"/>
  <c r="U2583" i="23"/>
  <c r="T2583" i="23"/>
  <c r="O2583" i="23"/>
  <c r="N2583" i="23"/>
  <c r="P2583" i="23" s="1"/>
  <c r="K2583" i="23"/>
  <c r="J2583" i="23"/>
  <c r="R2582" i="23"/>
  <c r="O2582" i="23"/>
  <c r="N2582" i="23"/>
  <c r="S2582" i="23" s="1"/>
  <c r="D2582" i="23"/>
  <c r="U2581" i="23"/>
  <c r="T2581" i="23"/>
  <c r="O2581" i="23"/>
  <c r="N2581" i="23"/>
  <c r="P2581" i="23" s="1"/>
  <c r="K2581" i="23"/>
  <c r="J2581" i="23"/>
  <c r="U2580" i="23"/>
  <c r="T2580" i="23"/>
  <c r="O2580" i="23"/>
  <c r="N2580" i="23"/>
  <c r="P2580" i="23" s="1"/>
  <c r="K2580" i="23"/>
  <c r="J2580" i="23"/>
  <c r="U2579" i="23"/>
  <c r="T2579" i="23"/>
  <c r="O2579" i="23"/>
  <c r="N2579" i="23"/>
  <c r="P2579" i="23" s="1"/>
  <c r="K2579" i="23"/>
  <c r="J2579" i="23"/>
  <c r="U2578" i="23"/>
  <c r="T2578" i="23"/>
  <c r="O2578" i="23"/>
  <c r="N2578" i="23"/>
  <c r="P2578" i="23" s="1"/>
  <c r="K2578" i="23"/>
  <c r="J2578" i="23"/>
  <c r="U2577" i="23"/>
  <c r="T2577" i="23"/>
  <c r="O2577" i="23"/>
  <c r="N2577" i="23"/>
  <c r="P2577" i="23" s="1"/>
  <c r="K2577" i="23"/>
  <c r="J2577" i="23"/>
  <c r="R2576" i="23"/>
  <c r="O2576" i="23"/>
  <c r="N2576" i="23"/>
  <c r="S2576" i="23" s="1"/>
  <c r="D2576" i="23"/>
  <c r="U2575" i="23"/>
  <c r="T2575" i="23"/>
  <c r="O2575" i="23"/>
  <c r="N2575" i="23"/>
  <c r="P2575" i="23" s="1"/>
  <c r="K2575" i="23"/>
  <c r="J2575" i="23"/>
  <c r="U2574" i="23"/>
  <c r="T2574" i="23"/>
  <c r="O2574" i="23"/>
  <c r="N2574" i="23"/>
  <c r="P2574" i="23" s="1"/>
  <c r="K2574" i="23"/>
  <c r="J2574" i="23"/>
  <c r="U2573" i="23"/>
  <c r="T2573" i="23"/>
  <c r="O2573" i="23"/>
  <c r="N2573" i="23"/>
  <c r="P2573" i="23" s="1"/>
  <c r="K2573" i="23"/>
  <c r="J2573" i="23"/>
  <c r="U2572" i="23"/>
  <c r="T2572" i="23"/>
  <c r="O2572" i="23"/>
  <c r="N2572" i="23"/>
  <c r="P2572" i="23" s="1"/>
  <c r="K2572" i="23"/>
  <c r="J2572" i="23"/>
  <c r="U2571" i="23"/>
  <c r="T2571" i="23"/>
  <c r="O2571" i="23"/>
  <c r="N2571" i="23"/>
  <c r="P2571" i="23" s="1"/>
  <c r="K2571" i="23"/>
  <c r="J2571" i="23"/>
  <c r="R2570" i="23"/>
  <c r="O2570" i="23"/>
  <c r="N2570" i="23"/>
  <c r="D2570" i="23"/>
  <c r="U2569" i="23"/>
  <c r="T2569" i="23"/>
  <c r="O2569" i="23"/>
  <c r="N2569" i="23"/>
  <c r="P2569" i="23" s="1"/>
  <c r="K2569" i="23"/>
  <c r="G2569" i="23"/>
  <c r="H2569" i="23" s="1"/>
  <c r="U2568" i="23"/>
  <c r="T2568" i="23"/>
  <c r="O2568" i="23"/>
  <c r="N2568" i="23"/>
  <c r="P2568" i="23" s="1"/>
  <c r="K2568" i="23"/>
  <c r="G2568" i="23"/>
  <c r="H2568" i="23" s="1"/>
  <c r="U2567" i="23"/>
  <c r="T2567" i="23"/>
  <c r="O2567" i="23"/>
  <c r="N2567" i="23"/>
  <c r="P2567" i="23" s="1"/>
  <c r="K2567" i="23"/>
  <c r="G2567" i="23"/>
  <c r="H2567" i="23" s="1"/>
  <c r="U2566" i="23"/>
  <c r="T2566" i="23"/>
  <c r="O2566" i="23"/>
  <c r="N2566" i="23"/>
  <c r="P2566" i="23" s="1"/>
  <c r="K2566" i="23"/>
  <c r="G2566" i="23"/>
  <c r="H2566" i="23" s="1"/>
  <c r="U2565" i="23"/>
  <c r="T2565" i="23"/>
  <c r="O2565" i="23"/>
  <c r="N2565" i="23"/>
  <c r="P2565" i="23" s="1"/>
  <c r="K2565" i="23"/>
  <c r="G2565" i="23"/>
  <c r="H2565" i="23" s="1"/>
  <c r="R2564" i="23"/>
  <c r="O2564" i="23"/>
  <c r="N2564" i="23"/>
  <c r="S2564" i="23" s="1"/>
  <c r="I2564" i="23"/>
  <c r="U2563" i="23"/>
  <c r="T2563" i="23"/>
  <c r="O2563" i="23"/>
  <c r="N2563" i="23"/>
  <c r="P2563" i="23" s="1"/>
  <c r="K2563" i="23"/>
  <c r="H2563" i="23"/>
  <c r="G2563" i="23"/>
  <c r="U2562" i="23"/>
  <c r="T2562" i="23"/>
  <c r="O2562" i="23"/>
  <c r="N2562" i="23"/>
  <c r="P2562" i="23" s="1"/>
  <c r="K2562" i="23"/>
  <c r="G2562" i="23"/>
  <c r="H2562" i="23" s="1"/>
  <c r="U2561" i="23"/>
  <c r="T2561" i="23"/>
  <c r="O2561" i="23"/>
  <c r="N2561" i="23"/>
  <c r="P2561" i="23" s="1"/>
  <c r="K2561" i="23"/>
  <c r="G2561" i="23"/>
  <c r="H2561" i="23" s="1"/>
  <c r="U2560" i="23"/>
  <c r="T2560" i="23"/>
  <c r="O2560" i="23"/>
  <c r="N2560" i="23"/>
  <c r="P2560" i="23" s="1"/>
  <c r="K2560" i="23"/>
  <c r="G2560" i="23"/>
  <c r="H2560" i="23" s="1"/>
  <c r="U2559" i="23"/>
  <c r="T2559" i="23"/>
  <c r="O2559" i="23"/>
  <c r="N2559" i="23"/>
  <c r="P2559" i="23" s="1"/>
  <c r="K2559" i="23"/>
  <c r="G2559" i="23"/>
  <c r="H2559" i="23" s="1"/>
  <c r="R2558" i="23"/>
  <c r="O2558" i="23"/>
  <c r="N2558" i="23"/>
  <c r="I2558" i="23"/>
  <c r="U2557" i="23"/>
  <c r="T2557" i="23"/>
  <c r="O2557" i="23"/>
  <c r="N2557" i="23"/>
  <c r="P2557" i="23" s="1"/>
  <c r="K2557" i="23"/>
  <c r="G2557" i="23"/>
  <c r="H2557" i="23" s="1"/>
  <c r="U2556" i="23"/>
  <c r="T2556" i="23"/>
  <c r="O2556" i="23"/>
  <c r="N2556" i="23"/>
  <c r="P2556" i="23" s="1"/>
  <c r="K2556" i="23"/>
  <c r="G2556" i="23"/>
  <c r="H2556" i="23" s="1"/>
  <c r="U2555" i="23"/>
  <c r="T2555" i="23"/>
  <c r="O2555" i="23"/>
  <c r="N2555" i="23"/>
  <c r="P2555" i="23" s="1"/>
  <c r="K2555" i="23"/>
  <c r="G2555" i="23"/>
  <c r="H2555" i="23" s="1"/>
  <c r="U2554" i="23"/>
  <c r="T2554" i="23"/>
  <c r="O2554" i="23"/>
  <c r="N2554" i="23"/>
  <c r="P2554" i="23" s="1"/>
  <c r="K2554" i="23"/>
  <c r="G2554" i="23"/>
  <c r="H2554" i="23" s="1"/>
  <c r="U2553" i="23"/>
  <c r="T2553" i="23"/>
  <c r="O2553" i="23"/>
  <c r="N2553" i="23"/>
  <c r="P2553" i="23" s="1"/>
  <c r="K2553" i="23"/>
  <c r="G2553" i="23"/>
  <c r="H2553" i="23" s="1"/>
  <c r="R2552" i="23"/>
  <c r="O2552" i="23"/>
  <c r="N2552" i="23"/>
  <c r="S2552" i="23" s="1"/>
  <c r="U2552" i="23" s="1"/>
  <c r="I2552" i="23"/>
  <c r="U2551" i="23"/>
  <c r="T2551" i="23"/>
  <c r="O2551" i="23"/>
  <c r="N2551" i="23"/>
  <c r="P2551" i="23" s="1"/>
  <c r="K2551" i="23"/>
  <c r="G2551" i="23"/>
  <c r="H2551" i="23" s="1"/>
  <c r="U2550" i="23"/>
  <c r="T2550" i="23"/>
  <c r="O2550" i="23"/>
  <c r="N2550" i="23"/>
  <c r="P2550" i="23" s="1"/>
  <c r="K2550" i="23"/>
  <c r="H2550" i="23"/>
  <c r="G2550" i="23"/>
  <c r="U2549" i="23"/>
  <c r="T2549" i="23"/>
  <c r="O2549" i="23"/>
  <c r="N2549" i="23"/>
  <c r="P2549" i="23" s="1"/>
  <c r="K2549" i="23"/>
  <c r="G2549" i="23"/>
  <c r="H2549" i="23" s="1"/>
  <c r="U2548" i="23"/>
  <c r="T2548" i="23"/>
  <c r="O2548" i="23"/>
  <c r="N2548" i="23"/>
  <c r="P2548" i="23" s="1"/>
  <c r="K2548" i="23"/>
  <c r="G2548" i="23"/>
  <c r="H2548" i="23" s="1"/>
  <c r="U2547" i="23"/>
  <c r="T2547" i="23"/>
  <c r="O2547" i="23"/>
  <c r="N2547" i="23"/>
  <c r="P2547" i="23" s="1"/>
  <c r="K2547" i="23"/>
  <c r="G2547" i="23"/>
  <c r="H2547" i="23" s="1"/>
  <c r="R2546" i="23"/>
  <c r="O2546" i="23"/>
  <c r="N2546" i="23"/>
  <c r="P2546" i="23" s="1"/>
  <c r="I2546" i="23"/>
  <c r="H2546" i="23"/>
  <c r="J2546" i="23" s="1"/>
  <c r="U2545" i="23"/>
  <c r="T2545" i="23"/>
  <c r="O2545" i="23"/>
  <c r="N2545" i="23"/>
  <c r="P2545" i="23" s="1"/>
  <c r="K2545" i="23"/>
  <c r="G2545" i="23"/>
  <c r="H2545" i="23" s="1"/>
  <c r="U2544" i="23"/>
  <c r="T2544" i="23"/>
  <c r="O2544" i="23"/>
  <c r="N2544" i="23"/>
  <c r="P2544" i="23" s="1"/>
  <c r="K2544" i="23"/>
  <c r="G2544" i="23"/>
  <c r="H2544" i="23" s="1"/>
  <c r="U2543" i="23"/>
  <c r="T2543" i="23"/>
  <c r="O2543" i="23"/>
  <c r="N2543" i="23"/>
  <c r="P2543" i="23" s="1"/>
  <c r="K2543" i="23"/>
  <c r="G2543" i="23"/>
  <c r="H2543" i="23" s="1"/>
  <c r="U2542" i="23"/>
  <c r="T2542" i="23"/>
  <c r="O2542" i="23"/>
  <c r="N2542" i="23"/>
  <c r="P2542" i="23" s="1"/>
  <c r="K2542" i="23"/>
  <c r="G2542" i="23"/>
  <c r="H2542" i="23" s="1"/>
  <c r="U2541" i="23"/>
  <c r="T2541" i="23"/>
  <c r="O2541" i="23"/>
  <c r="N2541" i="23"/>
  <c r="P2541" i="23" s="1"/>
  <c r="K2541" i="23"/>
  <c r="G2541" i="23"/>
  <c r="H2541" i="23" s="1"/>
  <c r="R2540" i="23"/>
  <c r="O2540" i="23"/>
  <c r="N2540" i="23"/>
  <c r="S2540" i="23" s="1"/>
  <c r="I2540" i="23"/>
  <c r="U2539" i="23"/>
  <c r="T2539" i="23"/>
  <c r="O2539" i="23"/>
  <c r="N2539" i="23"/>
  <c r="P2539" i="23" s="1"/>
  <c r="K2539" i="23"/>
  <c r="G2539" i="23"/>
  <c r="H2539" i="23" s="1"/>
  <c r="U2538" i="23"/>
  <c r="T2538" i="23"/>
  <c r="O2538" i="23"/>
  <c r="N2538" i="23"/>
  <c r="P2538" i="23" s="1"/>
  <c r="K2538" i="23"/>
  <c r="G2538" i="23"/>
  <c r="H2538" i="23" s="1"/>
  <c r="U2537" i="23"/>
  <c r="T2537" i="23"/>
  <c r="O2537" i="23"/>
  <c r="N2537" i="23"/>
  <c r="P2537" i="23" s="1"/>
  <c r="K2537" i="23"/>
  <c r="G2537" i="23"/>
  <c r="H2537" i="23" s="1"/>
  <c r="U2536" i="23"/>
  <c r="T2536" i="23"/>
  <c r="O2536" i="23"/>
  <c r="N2536" i="23"/>
  <c r="P2536" i="23" s="1"/>
  <c r="K2536" i="23"/>
  <c r="G2536" i="23"/>
  <c r="H2536" i="23" s="1"/>
  <c r="U2535" i="23"/>
  <c r="T2535" i="23"/>
  <c r="O2535" i="23"/>
  <c r="N2535" i="23"/>
  <c r="P2535" i="23" s="1"/>
  <c r="K2535" i="23"/>
  <c r="G2535" i="23"/>
  <c r="H2535" i="23" s="1"/>
  <c r="H2534" i="23" s="1"/>
  <c r="J2534" i="23" s="1"/>
  <c r="R2534" i="23"/>
  <c r="O2534" i="23"/>
  <c r="N2534" i="23"/>
  <c r="I2534" i="23"/>
  <c r="U2533" i="23"/>
  <c r="T2533" i="23"/>
  <c r="O2533" i="23"/>
  <c r="N2533" i="23"/>
  <c r="P2533" i="23" s="1"/>
  <c r="K2533" i="23"/>
  <c r="G2533" i="23"/>
  <c r="H2533" i="23" s="1"/>
  <c r="U2532" i="23"/>
  <c r="T2532" i="23"/>
  <c r="O2532" i="23"/>
  <c r="N2532" i="23"/>
  <c r="P2532" i="23" s="1"/>
  <c r="K2532" i="23"/>
  <c r="G2532" i="23"/>
  <c r="H2532" i="23" s="1"/>
  <c r="U2531" i="23"/>
  <c r="T2531" i="23"/>
  <c r="O2531" i="23"/>
  <c r="N2531" i="23"/>
  <c r="P2531" i="23" s="1"/>
  <c r="K2531" i="23"/>
  <c r="G2531" i="23"/>
  <c r="H2531" i="23" s="1"/>
  <c r="U2530" i="23"/>
  <c r="T2530" i="23"/>
  <c r="O2530" i="23"/>
  <c r="N2530" i="23"/>
  <c r="P2530" i="23" s="1"/>
  <c r="K2530" i="23"/>
  <c r="G2530" i="23"/>
  <c r="H2530" i="23" s="1"/>
  <c r="U2529" i="23"/>
  <c r="T2529" i="23"/>
  <c r="O2529" i="23"/>
  <c r="N2529" i="23"/>
  <c r="P2529" i="23" s="1"/>
  <c r="K2529" i="23"/>
  <c r="G2529" i="23"/>
  <c r="H2529" i="23" s="1"/>
  <c r="R2528" i="23"/>
  <c r="O2528" i="23"/>
  <c r="N2528" i="23"/>
  <c r="I2528" i="23"/>
  <c r="U2527" i="23"/>
  <c r="T2527" i="23"/>
  <c r="O2527" i="23"/>
  <c r="N2527" i="23"/>
  <c r="P2527" i="23" s="1"/>
  <c r="K2527" i="23"/>
  <c r="G2527" i="23"/>
  <c r="H2527" i="23" s="1"/>
  <c r="U2526" i="23"/>
  <c r="T2526" i="23"/>
  <c r="O2526" i="23"/>
  <c r="N2526" i="23"/>
  <c r="P2526" i="23" s="1"/>
  <c r="K2526" i="23"/>
  <c r="G2526" i="23"/>
  <c r="H2526" i="23" s="1"/>
  <c r="U2525" i="23"/>
  <c r="T2525" i="23"/>
  <c r="O2525" i="23"/>
  <c r="N2525" i="23"/>
  <c r="P2525" i="23" s="1"/>
  <c r="K2525" i="23"/>
  <c r="G2525" i="23"/>
  <c r="H2525" i="23" s="1"/>
  <c r="U2524" i="23"/>
  <c r="T2524" i="23"/>
  <c r="O2524" i="23"/>
  <c r="N2524" i="23"/>
  <c r="P2524" i="23" s="1"/>
  <c r="K2524" i="23"/>
  <c r="G2524" i="23"/>
  <c r="H2524" i="23" s="1"/>
  <c r="U2523" i="23"/>
  <c r="T2523" i="23"/>
  <c r="O2523" i="23"/>
  <c r="N2523" i="23"/>
  <c r="P2523" i="23" s="1"/>
  <c r="K2523" i="23"/>
  <c r="G2523" i="23"/>
  <c r="H2523" i="23" s="1"/>
  <c r="R2522" i="23"/>
  <c r="O2522" i="23"/>
  <c r="N2522" i="23"/>
  <c r="P2522" i="23" s="1"/>
  <c r="I2522" i="23"/>
  <c r="U2521" i="23"/>
  <c r="T2521" i="23"/>
  <c r="O2521" i="23"/>
  <c r="N2521" i="23"/>
  <c r="P2521" i="23" s="1"/>
  <c r="K2521" i="23"/>
  <c r="G2521" i="23"/>
  <c r="H2521" i="23" s="1"/>
  <c r="U2520" i="23"/>
  <c r="T2520" i="23"/>
  <c r="O2520" i="23"/>
  <c r="N2520" i="23"/>
  <c r="P2520" i="23" s="1"/>
  <c r="K2520" i="23"/>
  <c r="G2520" i="23"/>
  <c r="H2520" i="23" s="1"/>
  <c r="U2519" i="23"/>
  <c r="T2519" i="23"/>
  <c r="O2519" i="23"/>
  <c r="N2519" i="23"/>
  <c r="P2519" i="23" s="1"/>
  <c r="K2519" i="23"/>
  <c r="G2519" i="23"/>
  <c r="H2519" i="23" s="1"/>
  <c r="U2518" i="23"/>
  <c r="T2518" i="23"/>
  <c r="O2518" i="23"/>
  <c r="N2518" i="23"/>
  <c r="P2518" i="23" s="1"/>
  <c r="K2518" i="23"/>
  <c r="G2518" i="23"/>
  <c r="H2518" i="23" s="1"/>
  <c r="U2517" i="23"/>
  <c r="T2517" i="23"/>
  <c r="O2517" i="23"/>
  <c r="N2517" i="23"/>
  <c r="P2517" i="23" s="1"/>
  <c r="K2517" i="23"/>
  <c r="G2517" i="23"/>
  <c r="H2517" i="23" s="1"/>
  <c r="R2516" i="23"/>
  <c r="O2516" i="23"/>
  <c r="N2516" i="23"/>
  <c r="I2516" i="23"/>
  <c r="U2515" i="23"/>
  <c r="T2515" i="23"/>
  <c r="O2515" i="23"/>
  <c r="N2515" i="23"/>
  <c r="P2515" i="23" s="1"/>
  <c r="K2515" i="23"/>
  <c r="G2515" i="23"/>
  <c r="H2515" i="23" s="1"/>
  <c r="U2514" i="23"/>
  <c r="T2514" i="23"/>
  <c r="O2514" i="23"/>
  <c r="N2514" i="23"/>
  <c r="P2514" i="23" s="1"/>
  <c r="K2514" i="23"/>
  <c r="G2514" i="23"/>
  <c r="H2514" i="23" s="1"/>
  <c r="U2513" i="23"/>
  <c r="T2513" i="23"/>
  <c r="O2513" i="23"/>
  <c r="N2513" i="23"/>
  <c r="P2513" i="23" s="1"/>
  <c r="K2513" i="23"/>
  <c r="G2513" i="23"/>
  <c r="H2513" i="23" s="1"/>
  <c r="U2512" i="23"/>
  <c r="T2512" i="23"/>
  <c r="O2512" i="23"/>
  <c r="N2512" i="23"/>
  <c r="P2512" i="23" s="1"/>
  <c r="K2512" i="23"/>
  <c r="G2512" i="23"/>
  <c r="H2512" i="23" s="1"/>
  <c r="U2511" i="23"/>
  <c r="T2511" i="23"/>
  <c r="O2511" i="23"/>
  <c r="N2511" i="23"/>
  <c r="P2511" i="23" s="1"/>
  <c r="K2511" i="23"/>
  <c r="G2511" i="23"/>
  <c r="H2511" i="23" s="1"/>
  <c r="R2510" i="23"/>
  <c r="O2510" i="23"/>
  <c r="N2510" i="23"/>
  <c r="I2510" i="23"/>
  <c r="U2509" i="23"/>
  <c r="T2509" i="23"/>
  <c r="O2509" i="23"/>
  <c r="N2509" i="23"/>
  <c r="P2509" i="23" s="1"/>
  <c r="K2509" i="23"/>
  <c r="G2509" i="23"/>
  <c r="H2509" i="23" s="1"/>
  <c r="U2508" i="23"/>
  <c r="T2508" i="23"/>
  <c r="O2508" i="23"/>
  <c r="N2508" i="23"/>
  <c r="P2508" i="23" s="1"/>
  <c r="K2508" i="23"/>
  <c r="G2508" i="23"/>
  <c r="H2508" i="23" s="1"/>
  <c r="U2507" i="23"/>
  <c r="T2507" i="23"/>
  <c r="O2507" i="23"/>
  <c r="N2507" i="23"/>
  <c r="P2507" i="23" s="1"/>
  <c r="K2507" i="23"/>
  <c r="G2507" i="23"/>
  <c r="H2507" i="23" s="1"/>
  <c r="U2506" i="23"/>
  <c r="T2506" i="23"/>
  <c r="O2506" i="23"/>
  <c r="N2506" i="23"/>
  <c r="P2506" i="23" s="1"/>
  <c r="K2506" i="23"/>
  <c r="G2506" i="23"/>
  <c r="H2506" i="23" s="1"/>
  <c r="U2505" i="23"/>
  <c r="T2505" i="23"/>
  <c r="O2505" i="23"/>
  <c r="N2505" i="23"/>
  <c r="P2505" i="23" s="1"/>
  <c r="K2505" i="23"/>
  <c r="G2505" i="23"/>
  <c r="H2505" i="23" s="1"/>
  <c r="R2504" i="23"/>
  <c r="O2504" i="23"/>
  <c r="N2504" i="23"/>
  <c r="S2504" i="23" s="1"/>
  <c r="I2504" i="23"/>
  <c r="U2503" i="23"/>
  <c r="T2503" i="23"/>
  <c r="O2503" i="23"/>
  <c r="N2503" i="23"/>
  <c r="P2503" i="23" s="1"/>
  <c r="K2503" i="23"/>
  <c r="G2503" i="23"/>
  <c r="H2503" i="23" s="1"/>
  <c r="U2502" i="23"/>
  <c r="T2502" i="23"/>
  <c r="O2502" i="23"/>
  <c r="N2502" i="23"/>
  <c r="P2502" i="23" s="1"/>
  <c r="K2502" i="23"/>
  <c r="G2502" i="23"/>
  <c r="H2502" i="23" s="1"/>
  <c r="U2501" i="23"/>
  <c r="T2501" i="23"/>
  <c r="O2501" i="23"/>
  <c r="N2501" i="23"/>
  <c r="P2501" i="23" s="1"/>
  <c r="K2501" i="23"/>
  <c r="G2501" i="23"/>
  <c r="H2501" i="23" s="1"/>
  <c r="U2500" i="23"/>
  <c r="T2500" i="23"/>
  <c r="O2500" i="23"/>
  <c r="N2500" i="23"/>
  <c r="P2500" i="23" s="1"/>
  <c r="K2500" i="23"/>
  <c r="G2500" i="23"/>
  <c r="H2500" i="23" s="1"/>
  <c r="U2499" i="23"/>
  <c r="T2499" i="23"/>
  <c r="O2499" i="23"/>
  <c r="N2499" i="23"/>
  <c r="P2499" i="23" s="1"/>
  <c r="K2499" i="23"/>
  <c r="G2499" i="23"/>
  <c r="H2499" i="23" s="1"/>
  <c r="R2498" i="23"/>
  <c r="O2498" i="23"/>
  <c r="N2498" i="23"/>
  <c r="S2498" i="23" s="1"/>
  <c r="U2498" i="23" s="1"/>
  <c r="I2498" i="23"/>
  <c r="U2497" i="23"/>
  <c r="T2497" i="23"/>
  <c r="O2497" i="23"/>
  <c r="N2497" i="23"/>
  <c r="P2497" i="23" s="1"/>
  <c r="K2497" i="23"/>
  <c r="G2497" i="23"/>
  <c r="H2497" i="23" s="1"/>
  <c r="U2496" i="23"/>
  <c r="T2496" i="23"/>
  <c r="O2496" i="23"/>
  <c r="N2496" i="23"/>
  <c r="P2496" i="23" s="1"/>
  <c r="K2496" i="23"/>
  <c r="G2496" i="23"/>
  <c r="H2496" i="23" s="1"/>
  <c r="U2495" i="23"/>
  <c r="T2495" i="23"/>
  <c r="O2495" i="23"/>
  <c r="N2495" i="23"/>
  <c r="P2495" i="23" s="1"/>
  <c r="K2495" i="23"/>
  <c r="G2495" i="23"/>
  <c r="H2495" i="23" s="1"/>
  <c r="U2494" i="23"/>
  <c r="T2494" i="23"/>
  <c r="O2494" i="23"/>
  <c r="N2494" i="23"/>
  <c r="P2494" i="23" s="1"/>
  <c r="K2494" i="23"/>
  <c r="G2494" i="23"/>
  <c r="H2494" i="23" s="1"/>
  <c r="U2493" i="23"/>
  <c r="T2493" i="23"/>
  <c r="O2493" i="23"/>
  <c r="N2493" i="23"/>
  <c r="P2493" i="23" s="1"/>
  <c r="K2493" i="23"/>
  <c r="G2493" i="23"/>
  <c r="H2493" i="23" s="1"/>
  <c r="R2492" i="23"/>
  <c r="O2492" i="23"/>
  <c r="N2492" i="23"/>
  <c r="S2492" i="23" s="1"/>
  <c r="I2492" i="23"/>
  <c r="U2491" i="23"/>
  <c r="T2491" i="23"/>
  <c r="O2491" i="23"/>
  <c r="N2491" i="23"/>
  <c r="P2491" i="23" s="1"/>
  <c r="K2491" i="23"/>
  <c r="G2491" i="23"/>
  <c r="H2491" i="23" s="1"/>
  <c r="U2490" i="23"/>
  <c r="T2490" i="23"/>
  <c r="O2490" i="23"/>
  <c r="N2490" i="23"/>
  <c r="P2490" i="23" s="1"/>
  <c r="K2490" i="23"/>
  <c r="G2490" i="23"/>
  <c r="H2490" i="23" s="1"/>
  <c r="U2489" i="23"/>
  <c r="T2489" i="23"/>
  <c r="O2489" i="23"/>
  <c r="N2489" i="23"/>
  <c r="P2489" i="23" s="1"/>
  <c r="K2489" i="23"/>
  <c r="G2489" i="23"/>
  <c r="H2489" i="23" s="1"/>
  <c r="U2488" i="23"/>
  <c r="T2488" i="23"/>
  <c r="O2488" i="23"/>
  <c r="N2488" i="23"/>
  <c r="P2488" i="23" s="1"/>
  <c r="K2488" i="23"/>
  <c r="G2488" i="23"/>
  <c r="H2488" i="23" s="1"/>
  <c r="U2487" i="23"/>
  <c r="T2487" i="23"/>
  <c r="O2487" i="23"/>
  <c r="N2487" i="23"/>
  <c r="P2487" i="23" s="1"/>
  <c r="K2487" i="23"/>
  <c r="G2487" i="23"/>
  <c r="H2487" i="23" s="1"/>
  <c r="R2486" i="23"/>
  <c r="O2486" i="23"/>
  <c r="N2486" i="23"/>
  <c r="P2486" i="23" s="1"/>
  <c r="I2486" i="23"/>
  <c r="U2485" i="23"/>
  <c r="T2485" i="23"/>
  <c r="O2485" i="23"/>
  <c r="N2485" i="23"/>
  <c r="P2485" i="23" s="1"/>
  <c r="K2485" i="23"/>
  <c r="G2485" i="23"/>
  <c r="H2485" i="23" s="1"/>
  <c r="U2484" i="23"/>
  <c r="T2484" i="23"/>
  <c r="O2484" i="23"/>
  <c r="N2484" i="23"/>
  <c r="P2484" i="23" s="1"/>
  <c r="K2484" i="23"/>
  <c r="G2484" i="23"/>
  <c r="H2484" i="23" s="1"/>
  <c r="U2483" i="23"/>
  <c r="T2483" i="23"/>
  <c r="O2483" i="23"/>
  <c r="N2483" i="23"/>
  <c r="P2483" i="23" s="1"/>
  <c r="K2483" i="23"/>
  <c r="G2483" i="23"/>
  <c r="H2483" i="23" s="1"/>
  <c r="U2482" i="23"/>
  <c r="T2482" i="23"/>
  <c r="O2482" i="23"/>
  <c r="N2482" i="23"/>
  <c r="P2482" i="23" s="1"/>
  <c r="K2482" i="23"/>
  <c r="G2482" i="23"/>
  <c r="H2482" i="23" s="1"/>
  <c r="U2481" i="23"/>
  <c r="T2481" i="23"/>
  <c r="O2481" i="23"/>
  <c r="N2481" i="23"/>
  <c r="P2481" i="23" s="1"/>
  <c r="K2481" i="23"/>
  <c r="G2481" i="23"/>
  <c r="H2481" i="23" s="1"/>
  <c r="H2480" i="23" s="1"/>
  <c r="J2480" i="23" s="1"/>
  <c r="R2480" i="23"/>
  <c r="O2480" i="23"/>
  <c r="N2480" i="23"/>
  <c r="S2480" i="23" s="1"/>
  <c r="U2480" i="23" s="1"/>
  <c r="I2480" i="23"/>
  <c r="U2479" i="23"/>
  <c r="T2479" i="23"/>
  <c r="O2479" i="23"/>
  <c r="N2479" i="23"/>
  <c r="P2479" i="23" s="1"/>
  <c r="K2479" i="23"/>
  <c r="G2479" i="23"/>
  <c r="H2479" i="23" s="1"/>
  <c r="U2478" i="23"/>
  <c r="T2478" i="23"/>
  <c r="O2478" i="23"/>
  <c r="N2478" i="23"/>
  <c r="P2478" i="23" s="1"/>
  <c r="K2478" i="23"/>
  <c r="G2478" i="23"/>
  <c r="H2478" i="23" s="1"/>
  <c r="U2477" i="23"/>
  <c r="T2477" i="23"/>
  <c r="O2477" i="23"/>
  <c r="N2477" i="23"/>
  <c r="P2477" i="23" s="1"/>
  <c r="K2477" i="23"/>
  <c r="G2477" i="23"/>
  <c r="H2477" i="23" s="1"/>
  <c r="U2476" i="23"/>
  <c r="T2476" i="23"/>
  <c r="O2476" i="23"/>
  <c r="N2476" i="23"/>
  <c r="P2476" i="23" s="1"/>
  <c r="K2476" i="23"/>
  <c r="G2476" i="23"/>
  <c r="H2476" i="23" s="1"/>
  <c r="U2475" i="23"/>
  <c r="T2475" i="23"/>
  <c r="O2475" i="23"/>
  <c r="N2475" i="23"/>
  <c r="P2475" i="23" s="1"/>
  <c r="K2475" i="23"/>
  <c r="G2475" i="23"/>
  <c r="H2475" i="23" s="1"/>
  <c r="R2474" i="23"/>
  <c r="O2474" i="23"/>
  <c r="N2474" i="23"/>
  <c r="P2474" i="23" s="1"/>
  <c r="I2474" i="23"/>
  <c r="H2474" i="23"/>
  <c r="J2474" i="23" s="1"/>
  <c r="U2473" i="23"/>
  <c r="T2473" i="23"/>
  <c r="O2473" i="23"/>
  <c r="N2473" i="23"/>
  <c r="P2473" i="23" s="1"/>
  <c r="K2473" i="23"/>
  <c r="G2473" i="23"/>
  <c r="H2473" i="23" s="1"/>
  <c r="U2472" i="23"/>
  <c r="T2472" i="23"/>
  <c r="O2472" i="23"/>
  <c r="N2472" i="23"/>
  <c r="P2472" i="23" s="1"/>
  <c r="K2472" i="23"/>
  <c r="G2472" i="23"/>
  <c r="H2472" i="23" s="1"/>
  <c r="U2471" i="23"/>
  <c r="T2471" i="23"/>
  <c r="O2471" i="23"/>
  <c r="N2471" i="23"/>
  <c r="P2471" i="23" s="1"/>
  <c r="K2471" i="23"/>
  <c r="G2471" i="23"/>
  <c r="H2471" i="23" s="1"/>
  <c r="U2470" i="23"/>
  <c r="T2470" i="23"/>
  <c r="O2470" i="23"/>
  <c r="N2470" i="23"/>
  <c r="P2470" i="23" s="1"/>
  <c r="K2470" i="23"/>
  <c r="G2470" i="23"/>
  <c r="H2470" i="23" s="1"/>
  <c r="U2469" i="23"/>
  <c r="T2469" i="23"/>
  <c r="O2469" i="23"/>
  <c r="N2469" i="23"/>
  <c r="P2469" i="23" s="1"/>
  <c r="K2469" i="23"/>
  <c r="G2469" i="23"/>
  <c r="H2469" i="23" s="1"/>
  <c r="R2468" i="23"/>
  <c r="O2468" i="23"/>
  <c r="N2468" i="23"/>
  <c r="S2468" i="23" s="1"/>
  <c r="U2468" i="23" s="1"/>
  <c r="I2468" i="23"/>
  <c r="U2467" i="23"/>
  <c r="T2467" i="23"/>
  <c r="O2467" i="23"/>
  <c r="N2467" i="23"/>
  <c r="P2467" i="23" s="1"/>
  <c r="K2467" i="23"/>
  <c r="G2467" i="23"/>
  <c r="H2467" i="23" s="1"/>
  <c r="U2466" i="23"/>
  <c r="T2466" i="23"/>
  <c r="O2466" i="23"/>
  <c r="N2466" i="23"/>
  <c r="P2466" i="23" s="1"/>
  <c r="K2466" i="23"/>
  <c r="G2466" i="23"/>
  <c r="H2466" i="23" s="1"/>
  <c r="H2462" i="23" s="1"/>
  <c r="J2462" i="23" s="1"/>
  <c r="U2465" i="23"/>
  <c r="T2465" i="23"/>
  <c r="O2465" i="23"/>
  <c r="N2465" i="23"/>
  <c r="P2465" i="23" s="1"/>
  <c r="K2465" i="23"/>
  <c r="G2465" i="23"/>
  <c r="H2465" i="23" s="1"/>
  <c r="U2464" i="23"/>
  <c r="T2464" i="23"/>
  <c r="O2464" i="23"/>
  <c r="N2464" i="23"/>
  <c r="P2464" i="23" s="1"/>
  <c r="K2464" i="23"/>
  <c r="G2464" i="23"/>
  <c r="H2464" i="23" s="1"/>
  <c r="U2463" i="23"/>
  <c r="T2463" i="23"/>
  <c r="O2463" i="23"/>
  <c r="N2463" i="23"/>
  <c r="P2463" i="23" s="1"/>
  <c r="K2463" i="23"/>
  <c r="G2463" i="23"/>
  <c r="H2463" i="23" s="1"/>
  <c r="R2462" i="23"/>
  <c r="O2462" i="23"/>
  <c r="N2462" i="23"/>
  <c r="S2462" i="23" s="1"/>
  <c r="U2462" i="23" s="1"/>
  <c r="I2462" i="23"/>
  <c r="U2461" i="23"/>
  <c r="T2461" i="23"/>
  <c r="O2461" i="23"/>
  <c r="N2461" i="23"/>
  <c r="P2461" i="23" s="1"/>
  <c r="K2461" i="23"/>
  <c r="G2461" i="23"/>
  <c r="H2461" i="23" s="1"/>
  <c r="U2460" i="23"/>
  <c r="T2460" i="23"/>
  <c r="O2460" i="23"/>
  <c r="N2460" i="23"/>
  <c r="P2460" i="23" s="1"/>
  <c r="K2460" i="23"/>
  <c r="G2460" i="23"/>
  <c r="H2460" i="23" s="1"/>
  <c r="U2459" i="23"/>
  <c r="T2459" i="23"/>
  <c r="O2459" i="23"/>
  <c r="N2459" i="23"/>
  <c r="P2459" i="23" s="1"/>
  <c r="K2459" i="23"/>
  <c r="G2459" i="23"/>
  <c r="H2459" i="23" s="1"/>
  <c r="U2458" i="23"/>
  <c r="T2458" i="23"/>
  <c r="O2458" i="23"/>
  <c r="N2458" i="23"/>
  <c r="P2458" i="23" s="1"/>
  <c r="K2458" i="23"/>
  <c r="G2458" i="23"/>
  <c r="H2458" i="23" s="1"/>
  <c r="U2457" i="23"/>
  <c r="T2457" i="23"/>
  <c r="O2457" i="23"/>
  <c r="N2457" i="23"/>
  <c r="P2457" i="23" s="1"/>
  <c r="K2457" i="23"/>
  <c r="G2457" i="23"/>
  <c r="H2457" i="23" s="1"/>
  <c r="R2456" i="23"/>
  <c r="O2456" i="23"/>
  <c r="N2456" i="23"/>
  <c r="S2456" i="23" s="1"/>
  <c r="I2456" i="23"/>
  <c r="U2455" i="23"/>
  <c r="T2455" i="23"/>
  <c r="O2455" i="23"/>
  <c r="N2455" i="23"/>
  <c r="P2455" i="23" s="1"/>
  <c r="K2455" i="23"/>
  <c r="G2455" i="23"/>
  <c r="H2455" i="23" s="1"/>
  <c r="U2454" i="23"/>
  <c r="T2454" i="23"/>
  <c r="O2454" i="23"/>
  <c r="N2454" i="23"/>
  <c r="P2454" i="23" s="1"/>
  <c r="K2454" i="23"/>
  <c r="G2454" i="23"/>
  <c r="H2454" i="23" s="1"/>
  <c r="U2453" i="23"/>
  <c r="T2453" i="23"/>
  <c r="O2453" i="23"/>
  <c r="N2453" i="23"/>
  <c r="P2453" i="23" s="1"/>
  <c r="K2453" i="23"/>
  <c r="G2453" i="23"/>
  <c r="H2453" i="23" s="1"/>
  <c r="U2452" i="23"/>
  <c r="T2452" i="23"/>
  <c r="O2452" i="23"/>
  <c r="N2452" i="23"/>
  <c r="P2452" i="23" s="1"/>
  <c r="K2452" i="23"/>
  <c r="G2452" i="23"/>
  <c r="H2452" i="23" s="1"/>
  <c r="U2451" i="23"/>
  <c r="T2451" i="23"/>
  <c r="O2451" i="23"/>
  <c r="N2451" i="23"/>
  <c r="P2451" i="23" s="1"/>
  <c r="K2451" i="23"/>
  <c r="G2451" i="23"/>
  <c r="H2451" i="23" s="1"/>
  <c r="R2450" i="23"/>
  <c r="O2450" i="23"/>
  <c r="N2450" i="23"/>
  <c r="P2450" i="23" s="1"/>
  <c r="I2450" i="23"/>
  <c r="U2449" i="23"/>
  <c r="T2449" i="23"/>
  <c r="O2449" i="23"/>
  <c r="N2449" i="23"/>
  <c r="P2449" i="23" s="1"/>
  <c r="K2449" i="23"/>
  <c r="G2449" i="23"/>
  <c r="H2449" i="23" s="1"/>
  <c r="U2448" i="23"/>
  <c r="T2448" i="23"/>
  <c r="O2448" i="23"/>
  <c r="N2448" i="23"/>
  <c r="P2448" i="23" s="1"/>
  <c r="K2448" i="23"/>
  <c r="G2448" i="23"/>
  <c r="H2448" i="23" s="1"/>
  <c r="U2447" i="23"/>
  <c r="T2447" i="23"/>
  <c r="O2447" i="23"/>
  <c r="N2447" i="23"/>
  <c r="P2447" i="23" s="1"/>
  <c r="K2447" i="23"/>
  <c r="G2447" i="23"/>
  <c r="H2447" i="23" s="1"/>
  <c r="U2446" i="23"/>
  <c r="T2446" i="23"/>
  <c r="O2446" i="23"/>
  <c r="N2446" i="23"/>
  <c r="P2446" i="23" s="1"/>
  <c r="K2446" i="23"/>
  <c r="G2446" i="23"/>
  <c r="H2446" i="23" s="1"/>
  <c r="U2445" i="23"/>
  <c r="T2445" i="23"/>
  <c r="O2445" i="23"/>
  <c r="N2445" i="23"/>
  <c r="P2445" i="23" s="1"/>
  <c r="K2445" i="23"/>
  <c r="G2445" i="23"/>
  <c r="H2445" i="23" s="1"/>
  <c r="H2444" i="23" s="1"/>
  <c r="J2444" i="23" s="1"/>
  <c r="R2444" i="23"/>
  <c r="O2444" i="23"/>
  <c r="N2444" i="23"/>
  <c r="S2444" i="23" s="1"/>
  <c r="I2444" i="23"/>
  <c r="U2443" i="23"/>
  <c r="T2443" i="23"/>
  <c r="O2443" i="23"/>
  <c r="N2443" i="23"/>
  <c r="P2443" i="23" s="1"/>
  <c r="K2443" i="23"/>
  <c r="G2443" i="23"/>
  <c r="H2443" i="23" s="1"/>
  <c r="U2442" i="23"/>
  <c r="T2442" i="23"/>
  <c r="O2442" i="23"/>
  <c r="N2442" i="23"/>
  <c r="P2442" i="23" s="1"/>
  <c r="K2442" i="23"/>
  <c r="G2442" i="23"/>
  <c r="H2442" i="23" s="1"/>
  <c r="U2441" i="23"/>
  <c r="T2441" i="23"/>
  <c r="O2441" i="23"/>
  <c r="N2441" i="23"/>
  <c r="P2441" i="23" s="1"/>
  <c r="K2441" i="23"/>
  <c r="G2441" i="23"/>
  <c r="H2441" i="23" s="1"/>
  <c r="U2440" i="23"/>
  <c r="T2440" i="23"/>
  <c r="O2440" i="23"/>
  <c r="N2440" i="23"/>
  <c r="P2440" i="23" s="1"/>
  <c r="K2440" i="23"/>
  <c r="G2440" i="23"/>
  <c r="H2440" i="23" s="1"/>
  <c r="U2439" i="23"/>
  <c r="T2439" i="23"/>
  <c r="O2439" i="23"/>
  <c r="N2439" i="23"/>
  <c r="P2439" i="23" s="1"/>
  <c r="K2439" i="23"/>
  <c r="G2439" i="23"/>
  <c r="H2439" i="23" s="1"/>
  <c r="H2438" i="23" s="1"/>
  <c r="R2438" i="23"/>
  <c r="O2438" i="23"/>
  <c r="N2438" i="23"/>
  <c r="P2438" i="23" s="1"/>
  <c r="I2438" i="23"/>
  <c r="U2437" i="23"/>
  <c r="T2437" i="23"/>
  <c r="O2437" i="23"/>
  <c r="N2437" i="23"/>
  <c r="P2437" i="23" s="1"/>
  <c r="K2437" i="23"/>
  <c r="G2437" i="23"/>
  <c r="H2437" i="23" s="1"/>
  <c r="U2436" i="23"/>
  <c r="T2436" i="23"/>
  <c r="O2436" i="23"/>
  <c r="N2436" i="23"/>
  <c r="P2436" i="23" s="1"/>
  <c r="K2436" i="23"/>
  <c r="G2436" i="23"/>
  <c r="H2436" i="23" s="1"/>
  <c r="U2435" i="23"/>
  <c r="T2435" i="23"/>
  <c r="O2435" i="23"/>
  <c r="N2435" i="23"/>
  <c r="P2435" i="23" s="1"/>
  <c r="K2435" i="23"/>
  <c r="G2435" i="23"/>
  <c r="H2435" i="23" s="1"/>
  <c r="U2434" i="23"/>
  <c r="T2434" i="23"/>
  <c r="O2434" i="23"/>
  <c r="N2434" i="23"/>
  <c r="P2434" i="23" s="1"/>
  <c r="K2434" i="23"/>
  <c r="G2434" i="23"/>
  <c r="H2434" i="23" s="1"/>
  <c r="U2433" i="23"/>
  <c r="T2433" i="23"/>
  <c r="O2433" i="23"/>
  <c r="N2433" i="23"/>
  <c r="P2433" i="23" s="1"/>
  <c r="K2433" i="23"/>
  <c r="G2433" i="23"/>
  <c r="H2433" i="23" s="1"/>
  <c r="H2432" i="23" s="1"/>
  <c r="J2432" i="23" s="1"/>
  <c r="R2432" i="23"/>
  <c r="O2432" i="23"/>
  <c r="N2432" i="23"/>
  <c r="S2432" i="23" s="1"/>
  <c r="U2432" i="23" s="1"/>
  <c r="I2432" i="23"/>
  <c r="U2431" i="23"/>
  <c r="T2431" i="23"/>
  <c r="O2431" i="23"/>
  <c r="N2431" i="23"/>
  <c r="P2431" i="23" s="1"/>
  <c r="K2431" i="23"/>
  <c r="G2431" i="23"/>
  <c r="H2431" i="23" s="1"/>
  <c r="U2430" i="23"/>
  <c r="T2430" i="23"/>
  <c r="O2430" i="23"/>
  <c r="N2430" i="23"/>
  <c r="P2430" i="23" s="1"/>
  <c r="K2430" i="23"/>
  <c r="G2430" i="23"/>
  <c r="H2430" i="23" s="1"/>
  <c r="U2429" i="23"/>
  <c r="T2429" i="23"/>
  <c r="O2429" i="23"/>
  <c r="N2429" i="23"/>
  <c r="P2429" i="23" s="1"/>
  <c r="K2429" i="23"/>
  <c r="G2429" i="23"/>
  <c r="H2429" i="23" s="1"/>
  <c r="U2428" i="23"/>
  <c r="T2428" i="23"/>
  <c r="O2428" i="23"/>
  <c r="N2428" i="23"/>
  <c r="P2428" i="23" s="1"/>
  <c r="K2428" i="23"/>
  <c r="G2428" i="23"/>
  <c r="H2428" i="23" s="1"/>
  <c r="U2427" i="23"/>
  <c r="T2427" i="23"/>
  <c r="O2427" i="23"/>
  <c r="N2427" i="23"/>
  <c r="P2427" i="23" s="1"/>
  <c r="K2427" i="23"/>
  <c r="G2427" i="23"/>
  <c r="H2427" i="23" s="1"/>
  <c r="R2426" i="23"/>
  <c r="O2426" i="23"/>
  <c r="N2426" i="23"/>
  <c r="S2426" i="23" s="1"/>
  <c r="I2426" i="23"/>
  <c r="U2425" i="23"/>
  <c r="T2425" i="23"/>
  <c r="O2425" i="23"/>
  <c r="N2425" i="23"/>
  <c r="P2425" i="23" s="1"/>
  <c r="K2425" i="23"/>
  <c r="G2425" i="23"/>
  <c r="H2425" i="23" s="1"/>
  <c r="U2424" i="23"/>
  <c r="T2424" i="23"/>
  <c r="O2424" i="23"/>
  <c r="N2424" i="23"/>
  <c r="P2424" i="23" s="1"/>
  <c r="K2424" i="23"/>
  <c r="G2424" i="23"/>
  <c r="H2424" i="23" s="1"/>
  <c r="U2423" i="23"/>
  <c r="T2423" i="23"/>
  <c r="O2423" i="23"/>
  <c r="N2423" i="23"/>
  <c r="P2423" i="23" s="1"/>
  <c r="K2423" i="23"/>
  <c r="G2423" i="23"/>
  <c r="H2423" i="23" s="1"/>
  <c r="U2422" i="23"/>
  <c r="T2422" i="23"/>
  <c r="O2422" i="23"/>
  <c r="N2422" i="23"/>
  <c r="P2422" i="23" s="1"/>
  <c r="K2422" i="23"/>
  <c r="G2422" i="23"/>
  <c r="H2422" i="23" s="1"/>
  <c r="U2421" i="23"/>
  <c r="T2421" i="23"/>
  <c r="O2421" i="23"/>
  <c r="N2421" i="23"/>
  <c r="P2421" i="23" s="1"/>
  <c r="K2421" i="23"/>
  <c r="G2421" i="23"/>
  <c r="H2421" i="23" s="1"/>
  <c r="H2420" i="23" s="1"/>
  <c r="R2420" i="23"/>
  <c r="O2420" i="23"/>
  <c r="N2420" i="23"/>
  <c r="S2420" i="23" s="1"/>
  <c r="I2420" i="23"/>
  <c r="U2419" i="23"/>
  <c r="T2419" i="23"/>
  <c r="O2419" i="23"/>
  <c r="N2419" i="23"/>
  <c r="P2419" i="23" s="1"/>
  <c r="K2419" i="23"/>
  <c r="G2419" i="23"/>
  <c r="H2419" i="23" s="1"/>
  <c r="U2418" i="23"/>
  <c r="T2418" i="23"/>
  <c r="O2418" i="23"/>
  <c r="N2418" i="23"/>
  <c r="P2418" i="23" s="1"/>
  <c r="K2418" i="23"/>
  <c r="G2418" i="23"/>
  <c r="H2418" i="23" s="1"/>
  <c r="U2417" i="23"/>
  <c r="T2417" i="23"/>
  <c r="O2417" i="23"/>
  <c r="N2417" i="23"/>
  <c r="P2417" i="23" s="1"/>
  <c r="K2417" i="23"/>
  <c r="G2417" i="23"/>
  <c r="H2417" i="23" s="1"/>
  <c r="U2416" i="23"/>
  <c r="T2416" i="23"/>
  <c r="O2416" i="23"/>
  <c r="N2416" i="23"/>
  <c r="P2416" i="23" s="1"/>
  <c r="K2416" i="23"/>
  <c r="G2416" i="23"/>
  <c r="H2416" i="23" s="1"/>
  <c r="U2415" i="23"/>
  <c r="T2415" i="23"/>
  <c r="O2415" i="23"/>
  <c r="N2415" i="23"/>
  <c r="P2415" i="23" s="1"/>
  <c r="K2415" i="23"/>
  <c r="G2415" i="23"/>
  <c r="H2415" i="23" s="1"/>
  <c r="H2414" i="23" s="1"/>
  <c r="R2414" i="23"/>
  <c r="O2414" i="23"/>
  <c r="N2414" i="23"/>
  <c r="S2414" i="23" s="1"/>
  <c r="U2414" i="23" s="1"/>
  <c r="I2414" i="23"/>
  <c r="U2413" i="23"/>
  <c r="T2413" i="23"/>
  <c r="O2413" i="23"/>
  <c r="N2413" i="23"/>
  <c r="P2413" i="23" s="1"/>
  <c r="K2413" i="23"/>
  <c r="G2413" i="23"/>
  <c r="H2413" i="23" s="1"/>
  <c r="U2412" i="23"/>
  <c r="T2412" i="23"/>
  <c r="O2412" i="23"/>
  <c r="N2412" i="23"/>
  <c r="P2412" i="23" s="1"/>
  <c r="K2412" i="23"/>
  <c r="G2412" i="23"/>
  <c r="H2412" i="23" s="1"/>
  <c r="U2411" i="23"/>
  <c r="T2411" i="23"/>
  <c r="O2411" i="23"/>
  <c r="N2411" i="23"/>
  <c r="P2411" i="23" s="1"/>
  <c r="K2411" i="23"/>
  <c r="G2411" i="23"/>
  <c r="H2411" i="23" s="1"/>
  <c r="U2410" i="23"/>
  <c r="T2410" i="23"/>
  <c r="O2410" i="23"/>
  <c r="N2410" i="23"/>
  <c r="P2410" i="23" s="1"/>
  <c r="K2410" i="23"/>
  <c r="G2410" i="23"/>
  <c r="H2410" i="23" s="1"/>
  <c r="U2409" i="23"/>
  <c r="T2409" i="23"/>
  <c r="O2409" i="23"/>
  <c r="N2409" i="23"/>
  <c r="P2409" i="23" s="1"/>
  <c r="K2409" i="23"/>
  <c r="G2409" i="23"/>
  <c r="H2409" i="23" s="1"/>
  <c r="H2408" i="23" s="1"/>
  <c r="J2408" i="23" s="1"/>
  <c r="R2408" i="23"/>
  <c r="O2408" i="23"/>
  <c r="N2408" i="23"/>
  <c r="S2408" i="23" s="1"/>
  <c r="U2408" i="23" s="1"/>
  <c r="I2408" i="23"/>
  <c r="U2407" i="23"/>
  <c r="T2407" i="23"/>
  <c r="O2407" i="23"/>
  <c r="N2407" i="23"/>
  <c r="P2407" i="23" s="1"/>
  <c r="K2407" i="23"/>
  <c r="G2407" i="23"/>
  <c r="H2407" i="23" s="1"/>
  <c r="U2406" i="23"/>
  <c r="T2406" i="23"/>
  <c r="O2406" i="23"/>
  <c r="N2406" i="23"/>
  <c r="P2406" i="23" s="1"/>
  <c r="K2406" i="23"/>
  <c r="G2406" i="23"/>
  <c r="H2406" i="23" s="1"/>
  <c r="U2405" i="23"/>
  <c r="T2405" i="23"/>
  <c r="O2405" i="23"/>
  <c r="N2405" i="23"/>
  <c r="P2405" i="23" s="1"/>
  <c r="K2405" i="23"/>
  <c r="G2405" i="23"/>
  <c r="H2405" i="23" s="1"/>
  <c r="U2404" i="23"/>
  <c r="T2404" i="23"/>
  <c r="O2404" i="23"/>
  <c r="N2404" i="23"/>
  <c r="P2404" i="23" s="1"/>
  <c r="K2404" i="23"/>
  <c r="G2404" i="23"/>
  <c r="H2404" i="23" s="1"/>
  <c r="U2403" i="23"/>
  <c r="T2403" i="23"/>
  <c r="O2403" i="23"/>
  <c r="N2403" i="23"/>
  <c r="P2403" i="23" s="1"/>
  <c r="K2403" i="23"/>
  <c r="G2403" i="23"/>
  <c r="H2403" i="23" s="1"/>
  <c r="H2402" i="23" s="1"/>
  <c r="J2402" i="23" s="1"/>
  <c r="R2402" i="23"/>
  <c r="O2402" i="23"/>
  <c r="N2402" i="23"/>
  <c r="I2402" i="23"/>
  <c r="U2401" i="23"/>
  <c r="T2401" i="23"/>
  <c r="O2401" i="23"/>
  <c r="N2401" i="23"/>
  <c r="P2401" i="23" s="1"/>
  <c r="K2401" i="23"/>
  <c r="G2401" i="23"/>
  <c r="H2401" i="23" s="1"/>
  <c r="U2400" i="23"/>
  <c r="T2400" i="23"/>
  <c r="O2400" i="23"/>
  <c r="N2400" i="23"/>
  <c r="P2400" i="23" s="1"/>
  <c r="K2400" i="23"/>
  <c r="G2400" i="23"/>
  <c r="H2400" i="23" s="1"/>
  <c r="U2399" i="23"/>
  <c r="T2399" i="23"/>
  <c r="O2399" i="23"/>
  <c r="N2399" i="23"/>
  <c r="P2399" i="23" s="1"/>
  <c r="K2399" i="23"/>
  <c r="G2399" i="23"/>
  <c r="H2399" i="23" s="1"/>
  <c r="U2398" i="23"/>
  <c r="T2398" i="23"/>
  <c r="O2398" i="23"/>
  <c r="N2398" i="23"/>
  <c r="P2398" i="23" s="1"/>
  <c r="K2398" i="23"/>
  <c r="G2398" i="23"/>
  <c r="H2398" i="23" s="1"/>
  <c r="U2397" i="23"/>
  <c r="T2397" i="23"/>
  <c r="O2397" i="23"/>
  <c r="N2397" i="23"/>
  <c r="P2397" i="23" s="1"/>
  <c r="K2397" i="23"/>
  <c r="G2397" i="23"/>
  <c r="H2397" i="23" s="1"/>
  <c r="H2396" i="23" s="1"/>
  <c r="R2396" i="23"/>
  <c r="O2396" i="23"/>
  <c r="N2396" i="23"/>
  <c r="I2396" i="23"/>
  <c r="U2395" i="23"/>
  <c r="T2395" i="23"/>
  <c r="O2395" i="23"/>
  <c r="N2395" i="23"/>
  <c r="P2395" i="23" s="1"/>
  <c r="K2395" i="23"/>
  <c r="G2395" i="23"/>
  <c r="H2395" i="23" s="1"/>
  <c r="U2394" i="23"/>
  <c r="T2394" i="23"/>
  <c r="O2394" i="23"/>
  <c r="N2394" i="23"/>
  <c r="P2394" i="23" s="1"/>
  <c r="K2394" i="23"/>
  <c r="G2394" i="23"/>
  <c r="H2394" i="23" s="1"/>
  <c r="U2393" i="23"/>
  <c r="T2393" i="23"/>
  <c r="O2393" i="23"/>
  <c r="N2393" i="23"/>
  <c r="P2393" i="23" s="1"/>
  <c r="K2393" i="23"/>
  <c r="G2393" i="23"/>
  <c r="H2393" i="23" s="1"/>
  <c r="U2392" i="23"/>
  <c r="T2392" i="23"/>
  <c r="O2392" i="23"/>
  <c r="N2392" i="23"/>
  <c r="P2392" i="23" s="1"/>
  <c r="K2392" i="23"/>
  <c r="G2392" i="23"/>
  <c r="H2392" i="23" s="1"/>
  <c r="U2391" i="23"/>
  <c r="T2391" i="23"/>
  <c r="O2391" i="23"/>
  <c r="N2391" i="23"/>
  <c r="P2391" i="23" s="1"/>
  <c r="K2391" i="23"/>
  <c r="G2391" i="23"/>
  <c r="H2391" i="23" s="1"/>
  <c r="H2390" i="23" s="1"/>
  <c r="R2390" i="23"/>
  <c r="O2390" i="23"/>
  <c r="N2390" i="23"/>
  <c r="S2390" i="23" s="1"/>
  <c r="U2390" i="23" s="1"/>
  <c r="I2390" i="23"/>
  <c r="U2389" i="23"/>
  <c r="T2389" i="23"/>
  <c r="O2389" i="23"/>
  <c r="N2389" i="23"/>
  <c r="P2389" i="23" s="1"/>
  <c r="K2389" i="23"/>
  <c r="G2389" i="23"/>
  <c r="H2389" i="23" s="1"/>
  <c r="U2388" i="23"/>
  <c r="T2388" i="23"/>
  <c r="O2388" i="23"/>
  <c r="N2388" i="23"/>
  <c r="P2388" i="23" s="1"/>
  <c r="K2388" i="23"/>
  <c r="G2388" i="23"/>
  <c r="H2388" i="23" s="1"/>
  <c r="U2387" i="23"/>
  <c r="T2387" i="23"/>
  <c r="O2387" i="23"/>
  <c r="N2387" i="23"/>
  <c r="P2387" i="23" s="1"/>
  <c r="K2387" i="23"/>
  <c r="G2387" i="23"/>
  <c r="H2387" i="23" s="1"/>
  <c r="U2386" i="23"/>
  <c r="T2386" i="23"/>
  <c r="O2386" i="23"/>
  <c r="N2386" i="23"/>
  <c r="P2386" i="23" s="1"/>
  <c r="K2386" i="23"/>
  <c r="G2386" i="23"/>
  <c r="H2386" i="23" s="1"/>
  <c r="U2385" i="23"/>
  <c r="T2385" i="23"/>
  <c r="O2385" i="23"/>
  <c r="N2385" i="23"/>
  <c r="P2385" i="23" s="1"/>
  <c r="K2385" i="23"/>
  <c r="G2385" i="23"/>
  <c r="H2385" i="23" s="1"/>
  <c r="R2384" i="23"/>
  <c r="O2384" i="23"/>
  <c r="N2384" i="23"/>
  <c r="I2384" i="23"/>
  <c r="H2384" i="23"/>
  <c r="J2384" i="23" s="1"/>
  <c r="U2383" i="23"/>
  <c r="T2383" i="23"/>
  <c r="O2383" i="23"/>
  <c r="N2383" i="23"/>
  <c r="P2383" i="23" s="1"/>
  <c r="K2383" i="23"/>
  <c r="G2383" i="23"/>
  <c r="H2383" i="23" s="1"/>
  <c r="U2382" i="23"/>
  <c r="T2382" i="23"/>
  <c r="O2382" i="23"/>
  <c r="N2382" i="23"/>
  <c r="P2382" i="23" s="1"/>
  <c r="K2382" i="23"/>
  <c r="G2382" i="23"/>
  <c r="H2382" i="23" s="1"/>
  <c r="U2381" i="23"/>
  <c r="T2381" i="23"/>
  <c r="O2381" i="23"/>
  <c r="N2381" i="23"/>
  <c r="P2381" i="23" s="1"/>
  <c r="K2381" i="23"/>
  <c r="G2381" i="23"/>
  <c r="H2381" i="23" s="1"/>
  <c r="U2380" i="23"/>
  <c r="T2380" i="23"/>
  <c r="O2380" i="23"/>
  <c r="N2380" i="23"/>
  <c r="P2380" i="23" s="1"/>
  <c r="K2380" i="23"/>
  <c r="G2380" i="23"/>
  <c r="H2380" i="23" s="1"/>
  <c r="U2379" i="23"/>
  <c r="T2379" i="23"/>
  <c r="O2379" i="23"/>
  <c r="N2379" i="23"/>
  <c r="P2379" i="23" s="1"/>
  <c r="K2379" i="23"/>
  <c r="G2379" i="23"/>
  <c r="H2379" i="23" s="1"/>
  <c r="H2378" i="23" s="1"/>
  <c r="J2378" i="23" s="1"/>
  <c r="R2378" i="23"/>
  <c r="O2378" i="23"/>
  <c r="N2378" i="23"/>
  <c r="I2378" i="23"/>
  <c r="U2377" i="23"/>
  <c r="T2377" i="23"/>
  <c r="O2377" i="23"/>
  <c r="N2377" i="23"/>
  <c r="P2377" i="23" s="1"/>
  <c r="K2377" i="23"/>
  <c r="G2377" i="23"/>
  <c r="H2377" i="23" s="1"/>
  <c r="U2376" i="23"/>
  <c r="T2376" i="23"/>
  <c r="O2376" i="23"/>
  <c r="N2376" i="23"/>
  <c r="P2376" i="23" s="1"/>
  <c r="K2376" i="23"/>
  <c r="G2376" i="23"/>
  <c r="H2376" i="23" s="1"/>
  <c r="H2372" i="23" s="1"/>
  <c r="J2372" i="23" s="1"/>
  <c r="U2375" i="23"/>
  <c r="T2375" i="23"/>
  <c r="O2375" i="23"/>
  <c r="N2375" i="23"/>
  <c r="P2375" i="23" s="1"/>
  <c r="K2375" i="23"/>
  <c r="G2375" i="23"/>
  <c r="H2375" i="23" s="1"/>
  <c r="U2374" i="23"/>
  <c r="T2374" i="23"/>
  <c r="O2374" i="23"/>
  <c r="N2374" i="23"/>
  <c r="P2374" i="23" s="1"/>
  <c r="K2374" i="23"/>
  <c r="G2374" i="23"/>
  <c r="H2374" i="23" s="1"/>
  <c r="U2373" i="23"/>
  <c r="T2373" i="23"/>
  <c r="O2373" i="23"/>
  <c r="N2373" i="23"/>
  <c r="P2373" i="23" s="1"/>
  <c r="K2373" i="23"/>
  <c r="G2373" i="23"/>
  <c r="H2373" i="23" s="1"/>
  <c r="R2372" i="23"/>
  <c r="O2372" i="23"/>
  <c r="N2372" i="23"/>
  <c r="I2372" i="23"/>
  <c r="U2371" i="23"/>
  <c r="T2371" i="23"/>
  <c r="O2371" i="23"/>
  <c r="N2371" i="23"/>
  <c r="P2371" i="23" s="1"/>
  <c r="K2371" i="23"/>
  <c r="G2371" i="23"/>
  <c r="H2371" i="23" s="1"/>
  <c r="U2370" i="23"/>
  <c r="T2370" i="23"/>
  <c r="O2370" i="23"/>
  <c r="N2370" i="23"/>
  <c r="P2370" i="23" s="1"/>
  <c r="K2370" i="23"/>
  <c r="G2370" i="23"/>
  <c r="H2370" i="23" s="1"/>
  <c r="U2369" i="23"/>
  <c r="T2369" i="23"/>
  <c r="O2369" i="23"/>
  <c r="N2369" i="23"/>
  <c r="P2369" i="23" s="1"/>
  <c r="K2369" i="23"/>
  <c r="H2369" i="23"/>
  <c r="G2369" i="23"/>
  <c r="U2368" i="23"/>
  <c r="T2368" i="23"/>
  <c r="O2368" i="23"/>
  <c r="N2368" i="23"/>
  <c r="P2368" i="23" s="1"/>
  <c r="K2368" i="23"/>
  <c r="G2368" i="23"/>
  <c r="H2368" i="23" s="1"/>
  <c r="U2367" i="23"/>
  <c r="T2367" i="23"/>
  <c r="O2367" i="23"/>
  <c r="N2367" i="23"/>
  <c r="P2367" i="23" s="1"/>
  <c r="K2367" i="23"/>
  <c r="G2367" i="23"/>
  <c r="H2367" i="23" s="1"/>
  <c r="R2366" i="23"/>
  <c r="O2366" i="23"/>
  <c r="N2366" i="23"/>
  <c r="I2366" i="23"/>
  <c r="U2365" i="23"/>
  <c r="T2365" i="23"/>
  <c r="O2365" i="23"/>
  <c r="N2365" i="23"/>
  <c r="P2365" i="23" s="1"/>
  <c r="K2365" i="23"/>
  <c r="G2365" i="23"/>
  <c r="H2365" i="23" s="1"/>
  <c r="U2364" i="23"/>
  <c r="T2364" i="23"/>
  <c r="O2364" i="23"/>
  <c r="N2364" i="23"/>
  <c r="P2364" i="23" s="1"/>
  <c r="K2364" i="23"/>
  <c r="G2364" i="23"/>
  <c r="H2364" i="23" s="1"/>
  <c r="H2360" i="23" s="1"/>
  <c r="J2360" i="23" s="1"/>
  <c r="U2363" i="23"/>
  <c r="T2363" i="23"/>
  <c r="O2363" i="23"/>
  <c r="N2363" i="23"/>
  <c r="P2363" i="23" s="1"/>
  <c r="K2363" i="23"/>
  <c r="G2363" i="23"/>
  <c r="H2363" i="23" s="1"/>
  <c r="U2362" i="23"/>
  <c r="T2362" i="23"/>
  <c r="O2362" i="23"/>
  <c r="N2362" i="23"/>
  <c r="P2362" i="23" s="1"/>
  <c r="K2362" i="23"/>
  <c r="G2362" i="23"/>
  <c r="H2362" i="23" s="1"/>
  <c r="U2361" i="23"/>
  <c r="T2361" i="23"/>
  <c r="O2361" i="23"/>
  <c r="N2361" i="23"/>
  <c r="P2361" i="23" s="1"/>
  <c r="K2361" i="23"/>
  <c r="G2361" i="23"/>
  <c r="H2361" i="23" s="1"/>
  <c r="R2360" i="23"/>
  <c r="O2360" i="23"/>
  <c r="N2360" i="23"/>
  <c r="S2360" i="23" s="1"/>
  <c r="I2360" i="23"/>
  <c r="U2359" i="23"/>
  <c r="T2359" i="23"/>
  <c r="O2359" i="23"/>
  <c r="N2359" i="23"/>
  <c r="P2359" i="23" s="1"/>
  <c r="K2359" i="23"/>
  <c r="G2359" i="23"/>
  <c r="H2359" i="23" s="1"/>
  <c r="U2358" i="23"/>
  <c r="T2358" i="23"/>
  <c r="O2358" i="23"/>
  <c r="N2358" i="23"/>
  <c r="P2358" i="23" s="1"/>
  <c r="K2358" i="23"/>
  <c r="G2358" i="23"/>
  <c r="H2358" i="23" s="1"/>
  <c r="U2357" i="23"/>
  <c r="T2357" i="23"/>
  <c r="O2357" i="23"/>
  <c r="N2357" i="23"/>
  <c r="P2357" i="23" s="1"/>
  <c r="K2357" i="23"/>
  <c r="G2357" i="23"/>
  <c r="H2357" i="23" s="1"/>
  <c r="U2356" i="23"/>
  <c r="T2356" i="23"/>
  <c r="O2356" i="23"/>
  <c r="N2356" i="23"/>
  <c r="P2356" i="23" s="1"/>
  <c r="K2356" i="23"/>
  <c r="G2356" i="23"/>
  <c r="H2356" i="23" s="1"/>
  <c r="U2355" i="23"/>
  <c r="T2355" i="23"/>
  <c r="O2355" i="23"/>
  <c r="N2355" i="23"/>
  <c r="P2355" i="23" s="1"/>
  <c r="K2355" i="23"/>
  <c r="G2355" i="23"/>
  <c r="H2355" i="23" s="1"/>
  <c r="R2354" i="23"/>
  <c r="O2354" i="23"/>
  <c r="N2354" i="23"/>
  <c r="P2354" i="23" s="1"/>
  <c r="I2354" i="23"/>
  <c r="U2353" i="23"/>
  <c r="T2353" i="23"/>
  <c r="O2353" i="23"/>
  <c r="N2353" i="23"/>
  <c r="P2353" i="23" s="1"/>
  <c r="K2353" i="23"/>
  <c r="G2353" i="23"/>
  <c r="H2353" i="23" s="1"/>
  <c r="U2352" i="23"/>
  <c r="T2352" i="23"/>
  <c r="O2352" i="23"/>
  <c r="N2352" i="23"/>
  <c r="P2352" i="23" s="1"/>
  <c r="K2352" i="23"/>
  <c r="G2352" i="23"/>
  <c r="H2352" i="23" s="1"/>
  <c r="U2351" i="23"/>
  <c r="T2351" i="23"/>
  <c r="O2351" i="23"/>
  <c r="N2351" i="23"/>
  <c r="P2351" i="23" s="1"/>
  <c r="K2351" i="23"/>
  <c r="G2351" i="23"/>
  <c r="H2351" i="23" s="1"/>
  <c r="U2350" i="23"/>
  <c r="T2350" i="23"/>
  <c r="O2350" i="23"/>
  <c r="N2350" i="23"/>
  <c r="P2350" i="23" s="1"/>
  <c r="K2350" i="23"/>
  <c r="G2350" i="23"/>
  <c r="H2350" i="23" s="1"/>
  <c r="U2349" i="23"/>
  <c r="T2349" i="23"/>
  <c r="O2349" i="23"/>
  <c r="N2349" i="23"/>
  <c r="P2349" i="23" s="1"/>
  <c r="K2349" i="23"/>
  <c r="G2349" i="23"/>
  <c r="H2349" i="23" s="1"/>
  <c r="R2348" i="23"/>
  <c r="O2348" i="23"/>
  <c r="N2348" i="23"/>
  <c r="S2348" i="23" s="1"/>
  <c r="I2348" i="23"/>
  <c r="U2347" i="23"/>
  <c r="T2347" i="23"/>
  <c r="O2347" i="23"/>
  <c r="N2347" i="23"/>
  <c r="P2347" i="23" s="1"/>
  <c r="K2347" i="23"/>
  <c r="G2347" i="23"/>
  <c r="H2347" i="23" s="1"/>
  <c r="U2346" i="23"/>
  <c r="T2346" i="23"/>
  <c r="O2346" i="23"/>
  <c r="N2346" i="23"/>
  <c r="P2346" i="23" s="1"/>
  <c r="K2346" i="23"/>
  <c r="H2346" i="23"/>
  <c r="G2346" i="23"/>
  <c r="U2345" i="23"/>
  <c r="T2345" i="23"/>
  <c r="O2345" i="23"/>
  <c r="N2345" i="23"/>
  <c r="P2345" i="23" s="1"/>
  <c r="K2345" i="23"/>
  <c r="G2345" i="23"/>
  <c r="H2345" i="23" s="1"/>
  <c r="U2344" i="23"/>
  <c r="T2344" i="23"/>
  <c r="O2344" i="23"/>
  <c r="N2344" i="23"/>
  <c r="P2344" i="23" s="1"/>
  <c r="K2344" i="23"/>
  <c r="H2344" i="23"/>
  <c r="G2344" i="23"/>
  <c r="U2343" i="23"/>
  <c r="T2343" i="23"/>
  <c r="O2343" i="23"/>
  <c r="N2343" i="23"/>
  <c r="P2343" i="23" s="1"/>
  <c r="K2343" i="23"/>
  <c r="G2343" i="23"/>
  <c r="H2343" i="23" s="1"/>
  <c r="R2342" i="23"/>
  <c r="O2342" i="23"/>
  <c r="N2342" i="23"/>
  <c r="P2342" i="23" s="1"/>
  <c r="I2342" i="23"/>
  <c r="U2341" i="23"/>
  <c r="T2341" i="23"/>
  <c r="O2341" i="23"/>
  <c r="N2341" i="23"/>
  <c r="P2341" i="23" s="1"/>
  <c r="K2341" i="23"/>
  <c r="G2341" i="23"/>
  <c r="H2341" i="23" s="1"/>
  <c r="U2340" i="23"/>
  <c r="T2340" i="23"/>
  <c r="O2340" i="23"/>
  <c r="N2340" i="23"/>
  <c r="P2340" i="23" s="1"/>
  <c r="K2340" i="23"/>
  <c r="G2340" i="23"/>
  <c r="H2340" i="23" s="1"/>
  <c r="U2339" i="23"/>
  <c r="T2339" i="23"/>
  <c r="O2339" i="23"/>
  <c r="N2339" i="23"/>
  <c r="P2339" i="23" s="1"/>
  <c r="K2339" i="23"/>
  <c r="G2339" i="23"/>
  <c r="H2339" i="23" s="1"/>
  <c r="U2338" i="23"/>
  <c r="T2338" i="23"/>
  <c r="O2338" i="23"/>
  <c r="N2338" i="23"/>
  <c r="P2338" i="23" s="1"/>
  <c r="K2338" i="23"/>
  <c r="G2338" i="23"/>
  <c r="H2338" i="23" s="1"/>
  <c r="H2336" i="23" s="1"/>
  <c r="U2337" i="23"/>
  <c r="T2337" i="23"/>
  <c r="O2337" i="23"/>
  <c r="N2337" i="23"/>
  <c r="P2337" i="23" s="1"/>
  <c r="K2337" i="23"/>
  <c r="G2337" i="23"/>
  <c r="H2337" i="23" s="1"/>
  <c r="R2336" i="23"/>
  <c r="O2336" i="23"/>
  <c r="N2336" i="23"/>
  <c r="S2336" i="23" s="1"/>
  <c r="I2336" i="23"/>
  <c r="U2335" i="23"/>
  <c r="T2335" i="23"/>
  <c r="O2335" i="23"/>
  <c r="N2335" i="23"/>
  <c r="P2335" i="23" s="1"/>
  <c r="K2335" i="23"/>
  <c r="G2335" i="23"/>
  <c r="H2335" i="23" s="1"/>
  <c r="U2334" i="23"/>
  <c r="T2334" i="23"/>
  <c r="O2334" i="23"/>
  <c r="N2334" i="23"/>
  <c r="P2334" i="23" s="1"/>
  <c r="K2334" i="23"/>
  <c r="G2334" i="23"/>
  <c r="H2334" i="23" s="1"/>
  <c r="U2333" i="23"/>
  <c r="T2333" i="23"/>
  <c r="O2333" i="23"/>
  <c r="N2333" i="23"/>
  <c r="P2333" i="23" s="1"/>
  <c r="K2333" i="23"/>
  <c r="H2333" i="23"/>
  <c r="G2333" i="23"/>
  <c r="U2332" i="23"/>
  <c r="T2332" i="23"/>
  <c r="O2332" i="23"/>
  <c r="N2332" i="23"/>
  <c r="P2332" i="23" s="1"/>
  <c r="K2332" i="23"/>
  <c r="G2332" i="23"/>
  <c r="H2332" i="23" s="1"/>
  <c r="U2331" i="23"/>
  <c r="T2331" i="23"/>
  <c r="O2331" i="23"/>
  <c r="N2331" i="23"/>
  <c r="P2331" i="23" s="1"/>
  <c r="K2331" i="23"/>
  <c r="G2331" i="23"/>
  <c r="H2331" i="23" s="1"/>
  <c r="H2330" i="23" s="1"/>
  <c r="J2330" i="23" s="1"/>
  <c r="R2330" i="23"/>
  <c r="O2330" i="23"/>
  <c r="N2330" i="23"/>
  <c r="S2330" i="23" s="1"/>
  <c r="I2330" i="23"/>
  <c r="U2329" i="23"/>
  <c r="T2329" i="23"/>
  <c r="O2329" i="23"/>
  <c r="N2329" i="23"/>
  <c r="P2329" i="23" s="1"/>
  <c r="K2329" i="23"/>
  <c r="G2329" i="23"/>
  <c r="H2329" i="23" s="1"/>
  <c r="U2328" i="23"/>
  <c r="T2328" i="23"/>
  <c r="O2328" i="23"/>
  <c r="N2328" i="23"/>
  <c r="P2328" i="23" s="1"/>
  <c r="K2328" i="23"/>
  <c r="G2328" i="23"/>
  <c r="H2328" i="23" s="1"/>
  <c r="U2327" i="23"/>
  <c r="T2327" i="23"/>
  <c r="O2327" i="23"/>
  <c r="N2327" i="23"/>
  <c r="P2327" i="23" s="1"/>
  <c r="K2327" i="23"/>
  <c r="G2327" i="23"/>
  <c r="H2327" i="23" s="1"/>
  <c r="U2326" i="23"/>
  <c r="T2326" i="23"/>
  <c r="O2326" i="23"/>
  <c r="N2326" i="23"/>
  <c r="P2326" i="23" s="1"/>
  <c r="K2326" i="23"/>
  <c r="G2326" i="23"/>
  <c r="H2326" i="23" s="1"/>
  <c r="U2325" i="23"/>
  <c r="T2325" i="23"/>
  <c r="O2325" i="23"/>
  <c r="N2325" i="23"/>
  <c r="P2325" i="23" s="1"/>
  <c r="K2325" i="23"/>
  <c r="G2325" i="23"/>
  <c r="H2325" i="23" s="1"/>
  <c r="R2324" i="23"/>
  <c r="O2324" i="23"/>
  <c r="N2324" i="23"/>
  <c r="S2324" i="23" s="1"/>
  <c r="U2324" i="23" s="1"/>
  <c r="I2324" i="23"/>
  <c r="U2323" i="23"/>
  <c r="T2323" i="23"/>
  <c r="O2323" i="23"/>
  <c r="N2323" i="23"/>
  <c r="P2323" i="23" s="1"/>
  <c r="K2323" i="23"/>
  <c r="G2323" i="23"/>
  <c r="H2323" i="23" s="1"/>
  <c r="U2322" i="23"/>
  <c r="T2322" i="23"/>
  <c r="O2322" i="23"/>
  <c r="N2322" i="23"/>
  <c r="P2322" i="23" s="1"/>
  <c r="K2322" i="23"/>
  <c r="H2322" i="23"/>
  <c r="G2322" i="23"/>
  <c r="U2321" i="23"/>
  <c r="T2321" i="23"/>
  <c r="O2321" i="23"/>
  <c r="N2321" i="23"/>
  <c r="P2321" i="23" s="1"/>
  <c r="K2321" i="23"/>
  <c r="G2321" i="23"/>
  <c r="H2321" i="23" s="1"/>
  <c r="U2320" i="23"/>
  <c r="T2320" i="23"/>
  <c r="O2320" i="23"/>
  <c r="N2320" i="23"/>
  <c r="P2320" i="23" s="1"/>
  <c r="K2320" i="23"/>
  <c r="G2320" i="23"/>
  <c r="H2320" i="23" s="1"/>
  <c r="U2319" i="23"/>
  <c r="T2319" i="23"/>
  <c r="O2319" i="23"/>
  <c r="N2319" i="23"/>
  <c r="P2319" i="23" s="1"/>
  <c r="K2319" i="23"/>
  <c r="G2319" i="23"/>
  <c r="H2319" i="23" s="1"/>
  <c r="R2318" i="23"/>
  <c r="O2318" i="23"/>
  <c r="N2318" i="23"/>
  <c r="S2318" i="23" s="1"/>
  <c r="U2318" i="23" s="1"/>
  <c r="I2318" i="23"/>
  <c r="U2317" i="23"/>
  <c r="T2317" i="23"/>
  <c r="O2317" i="23"/>
  <c r="N2317" i="23"/>
  <c r="P2317" i="23" s="1"/>
  <c r="K2317" i="23"/>
  <c r="G2317" i="23"/>
  <c r="H2317" i="23" s="1"/>
  <c r="U2316" i="23"/>
  <c r="T2316" i="23"/>
  <c r="O2316" i="23"/>
  <c r="N2316" i="23"/>
  <c r="P2316" i="23" s="1"/>
  <c r="K2316" i="23"/>
  <c r="G2316" i="23"/>
  <c r="H2316" i="23" s="1"/>
  <c r="U2315" i="23"/>
  <c r="T2315" i="23"/>
  <c r="O2315" i="23"/>
  <c r="N2315" i="23"/>
  <c r="P2315" i="23" s="1"/>
  <c r="K2315" i="23"/>
  <c r="G2315" i="23"/>
  <c r="H2315" i="23" s="1"/>
  <c r="U2314" i="23"/>
  <c r="T2314" i="23"/>
  <c r="O2314" i="23"/>
  <c r="N2314" i="23"/>
  <c r="P2314" i="23" s="1"/>
  <c r="K2314" i="23"/>
  <c r="G2314" i="23"/>
  <c r="H2314" i="23" s="1"/>
  <c r="U2313" i="23"/>
  <c r="T2313" i="23"/>
  <c r="O2313" i="23"/>
  <c r="N2313" i="23"/>
  <c r="P2313" i="23" s="1"/>
  <c r="K2313" i="23"/>
  <c r="G2313" i="23"/>
  <c r="H2313" i="23" s="1"/>
  <c r="R2312" i="23"/>
  <c r="O2312" i="23"/>
  <c r="N2312" i="23"/>
  <c r="S2312" i="23" s="1"/>
  <c r="I2312" i="23"/>
  <c r="U2311" i="23"/>
  <c r="T2311" i="23"/>
  <c r="O2311" i="23"/>
  <c r="N2311" i="23"/>
  <c r="P2311" i="23" s="1"/>
  <c r="K2311" i="23"/>
  <c r="G2311" i="23"/>
  <c r="H2311" i="23" s="1"/>
  <c r="U2310" i="23"/>
  <c r="T2310" i="23"/>
  <c r="O2310" i="23"/>
  <c r="N2310" i="23"/>
  <c r="P2310" i="23" s="1"/>
  <c r="K2310" i="23"/>
  <c r="G2310" i="23"/>
  <c r="H2310" i="23" s="1"/>
  <c r="U2309" i="23"/>
  <c r="T2309" i="23"/>
  <c r="O2309" i="23"/>
  <c r="N2309" i="23"/>
  <c r="P2309" i="23" s="1"/>
  <c r="K2309" i="23"/>
  <c r="G2309" i="23"/>
  <c r="H2309" i="23" s="1"/>
  <c r="U2308" i="23"/>
  <c r="T2308" i="23"/>
  <c r="O2308" i="23"/>
  <c r="N2308" i="23"/>
  <c r="P2308" i="23" s="1"/>
  <c r="K2308" i="23"/>
  <c r="G2308" i="23"/>
  <c r="H2308" i="23" s="1"/>
  <c r="U2307" i="23"/>
  <c r="T2307" i="23"/>
  <c r="O2307" i="23"/>
  <c r="N2307" i="23"/>
  <c r="P2307" i="23" s="1"/>
  <c r="K2307" i="23"/>
  <c r="G2307" i="23"/>
  <c r="H2307" i="23" s="1"/>
  <c r="R2306" i="23"/>
  <c r="O2306" i="23"/>
  <c r="N2306" i="23"/>
  <c r="I2306" i="23"/>
  <c r="U2305" i="23"/>
  <c r="T2305" i="23"/>
  <c r="O2305" i="23"/>
  <c r="N2305" i="23"/>
  <c r="P2305" i="23" s="1"/>
  <c r="K2305" i="23"/>
  <c r="G2305" i="23"/>
  <c r="H2305" i="23" s="1"/>
  <c r="U2304" i="23"/>
  <c r="T2304" i="23"/>
  <c r="O2304" i="23"/>
  <c r="N2304" i="23"/>
  <c r="P2304" i="23" s="1"/>
  <c r="K2304" i="23"/>
  <c r="G2304" i="23"/>
  <c r="H2304" i="23" s="1"/>
  <c r="U2303" i="23"/>
  <c r="T2303" i="23"/>
  <c r="O2303" i="23"/>
  <c r="N2303" i="23"/>
  <c r="P2303" i="23" s="1"/>
  <c r="K2303" i="23"/>
  <c r="G2303" i="23"/>
  <c r="H2303" i="23" s="1"/>
  <c r="U2302" i="23"/>
  <c r="T2302" i="23"/>
  <c r="O2302" i="23"/>
  <c r="N2302" i="23"/>
  <c r="P2302" i="23" s="1"/>
  <c r="K2302" i="23"/>
  <c r="G2302" i="23"/>
  <c r="H2302" i="23" s="1"/>
  <c r="U2301" i="23"/>
  <c r="T2301" i="23"/>
  <c r="O2301" i="23"/>
  <c r="N2301" i="23"/>
  <c r="P2301" i="23" s="1"/>
  <c r="K2301" i="23"/>
  <c r="G2301" i="23"/>
  <c r="H2301" i="23" s="1"/>
  <c r="R2300" i="23"/>
  <c r="O2300" i="23"/>
  <c r="N2300" i="23"/>
  <c r="S2300" i="23" s="1"/>
  <c r="I2300" i="23"/>
  <c r="U2299" i="23"/>
  <c r="T2299" i="23"/>
  <c r="O2299" i="23"/>
  <c r="N2299" i="23"/>
  <c r="P2299" i="23" s="1"/>
  <c r="K2299" i="23"/>
  <c r="G2299" i="23"/>
  <c r="H2299" i="23" s="1"/>
  <c r="U2298" i="23"/>
  <c r="T2298" i="23"/>
  <c r="O2298" i="23"/>
  <c r="N2298" i="23"/>
  <c r="P2298" i="23" s="1"/>
  <c r="K2298" i="23"/>
  <c r="G2298" i="23"/>
  <c r="H2298" i="23" s="1"/>
  <c r="U2297" i="23"/>
  <c r="T2297" i="23"/>
  <c r="O2297" i="23"/>
  <c r="N2297" i="23"/>
  <c r="P2297" i="23" s="1"/>
  <c r="K2297" i="23"/>
  <c r="G2297" i="23"/>
  <c r="H2297" i="23" s="1"/>
  <c r="U2296" i="23"/>
  <c r="T2296" i="23"/>
  <c r="O2296" i="23"/>
  <c r="N2296" i="23"/>
  <c r="P2296" i="23" s="1"/>
  <c r="K2296" i="23"/>
  <c r="G2296" i="23"/>
  <c r="H2296" i="23" s="1"/>
  <c r="U2295" i="23"/>
  <c r="T2295" i="23"/>
  <c r="O2295" i="23"/>
  <c r="N2295" i="23"/>
  <c r="P2295" i="23" s="1"/>
  <c r="K2295" i="23"/>
  <c r="G2295" i="23"/>
  <c r="H2295" i="23" s="1"/>
  <c r="R2294" i="23"/>
  <c r="O2294" i="23"/>
  <c r="N2294" i="23"/>
  <c r="P2294" i="23" s="1"/>
  <c r="I2294" i="23"/>
  <c r="U2293" i="23"/>
  <c r="T2293" i="23"/>
  <c r="O2293" i="23"/>
  <c r="N2293" i="23"/>
  <c r="P2293" i="23" s="1"/>
  <c r="K2293" i="23"/>
  <c r="G2293" i="23"/>
  <c r="H2293" i="23" s="1"/>
  <c r="U2292" i="23"/>
  <c r="T2292" i="23"/>
  <c r="O2292" i="23"/>
  <c r="N2292" i="23"/>
  <c r="P2292" i="23" s="1"/>
  <c r="K2292" i="23"/>
  <c r="G2292" i="23"/>
  <c r="H2292" i="23" s="1"/>
  <c r="U2291" i="23"/>
  <c r="T2291" i="23"/>
  <c r="O2291" i="23"/>
  <c r="N2291" i="23"/>
  <c r="P2291" i="23" s="1"/>
  <c r="K2291" i="23"/>
  <c r="G2291" i="23"/>
  <c r="H2291" i="23" s="1"/>
  <c r="U2290" i="23"/>
  <c r="T2290" i="23"/>
  <c r="O2290" i="23"/>
  <c r="N2290" i="23"/>
  <c r="P2290" i="23" s="1"/>
  <c r="K2290" i="23"/>
  <c r="G2290" i="23"/>
  <c r="H2290" i="23" s="1"/>
  <c r="U2289" i="23"/>
  <c r="T2289" i="23"/>
  <c r="O2289" i="23"/>
  <c r="N2289" i="23"/>
  <c r="P2289" i="23" s="1"/>
  <c r="K2289" i="23"/>
  <c r="G2289" i="23"/>
  <c r="H2289" i="23" s="1"/>
  <c r="R2288" i="23"/>
  <c r="O2288" i="23"/>
  <c r="N2288" i="23"/>
  <c r="S2288" i="23" s="1"/>
  <c r="I2288" i="23"/>
  <c r="U2287" i="23"/>
  <c r="T2287" i="23"/>
  <c r="O2287" i="23"/>
  <c r="N2287" i="23"/>
  <c r="P2287" i="23" s="1"/>
  <c r="K2287" i="23"/>
  <c r="G2287" i="23"/>
  <c r="H2287" i="23" s="1"/>
  <c r="U2286" i="23"/>
  <c r="T2286" i="23"/>
  <c r="O2286" i="23"/>
  <c r="N2286" i="23"/>
  <c r="P2286" i="23" s="1"/>
  <c r="K2286" i="23"/>
  <c r="G2286" i="23"/>
  <c r="H2286" i="23" s="1"/>
  <c r="U2285" i="23"/>
  <c r="T2285" i="23"/>
  <c r="O2285" i="23"/>
  <c r="N2285" i="23"/>
  <c r="P2285" i="23" s="1"/>
  <c r="K2285" i="23"/>
  <c r="G2285" i="23"/>
  <c r="H2285" i="23" s="1"/>
  <c r="U2284" i="23"/>
  <c r="T2284" i="23"/>
  <c r="O2284" i="23"/>
  <c r="N2284" i="23"/>
  <c r="P2284" i="23" s="1"/>
  <c r="K2284" i="23"/>
  <c r="G2284" i="23"/>
  <c r="H2284" i="23" s="1"/>
  <c r="U2283" i="23"/>
  <c r="T2283" i="23"/>
  <c r="O2283" i="23"/>
  <c r="N2283" i="23"/>
  <c r="P2283" i="23" s="1"/>
  <c r="K2283" i="23"/>
  <c r="G2283" i="23"/>
  <c r="H2283" i="23" s="1"/>
  <c r="R2282" i="23"/>
  <c r="O2282" i="23"/>
  <c r="N2282" i="23"/>
  <c r="S2282" i="23" s="1"/>
  <c r="I2282" i="23"/>
  <c r="U2281" i="23"/>
  <c r="T2281" i="23"/>
  <c r="O2281" i="23"/>
  <c r="N2281" i="23"/>
  <c r="P2281" i="23" s="1"/>
  <c r="K2281" i="23"/>
  <c r="G2281" i="23"/>
  <c r="H2281" i="23" s="1"/>
  <c r="U2280" i="23"/>
  <c r="T2280" i="23"/>
  <c r="O2280" i="23"/>
  <c r="N2280" i="23"/>
  <c r="P2280" i="23" s="1"/>
  <c r="K2280" i="23"/>
  <c r="G2280" i="23"/>
  <c r="H2280" i="23" s="1"/>
  <c r="U2279" i="23"/>
  <c r="T2279" i="23"/>
  <c r="O2279" i="23"/>
  <c r="N2279" i="23"/>
  <c r="P2279" i="23" s="1"/>
  <c r="K2279" i="23"/>
  <c r="G2279" i="23"/>
  <c r="H2279" i="23" s="1"/>
  <c r="U2278" i="23"/>
  <c r="T2278" i="23"/>
  <c r="O2278" i="23"/>
  <c r="N2278" i="23"/>
  <c r="P2278" i="23" s="1"/>
  <c r="K2278" i="23"/>
  <c r="G2278" i="23"/>
  <c r="H2278" i="23" s="1"/>
  <c r="U2277" i="23"/>
  <c r="T2277" i="23"/>
  <c r="O2277" i="23"/>
  <c r="N2277" i="23"/>
  <c r="P2277" i="23" s="1"/>
  <c r="K2277" i="23"/>
  <c r="G2277" i="23"/>
  <c r="H2277" i="23" s="1"/>
  <c r="R2276" i="23"/>
  <c r="O2276" i="23"/>
  <c r="N2276" i="23"/>
  <c r="S2276" i="23" s="1"/>
  <c r="I2276" i="23"/>
  <c r="U2275" i="23"/>
  <c r="T2275" i="23"/>
  <c r="O2275" i="23"/>
  <c r="N2275" i="23"/>
  <c r="P2275" i="23" s="1"/>
  <c r="K2275" i="23"/>
  <c r="G2275" i="23"/>
  <c r="H2275" i="23" s="1"/>
  <c r="U2274" i="23"/>
  <c r="T2274" i="23"/>
  <c r="O2274" i="23"/>
  <c r="N2274" i="23"/>
  <c r="P2274" i="23" s="1"/>
  <c r="K2274" i="23"/>
  <c r="G2274" i="23"/>
  <c r="H2274" i="23" s="1"/>
  <c r="U2273" i="23"/>
  <c r="T2273" i="23"/>
  <c r="O2273" i="23"/>
  <c r="N2273" i="23"/>
  <c r="P2273" i="23" s="1"/>
  <c r="K2273" i="23"/>
  <c r="G2273" i="23"/>
  <c r="H2273" i="23" s="1"/>
  <c r="U2272" i="23"/>
  <c r="T2272" i="23"/>
  <c r="O2272" i="23"/>
  <c r="N2272" i="23"/>
  <c r="P2272" i="23" s="1"/>
  <c r="K2272" i="23"/>
  <c r="G2272" i="23"/>
  <c r="H2272" i="23" s="1"/>
  <c r="U2271" i="23"/>
  <c r="T2271" i="23"/>
  <c r="O2271" i="23"/>
  <c r="N2271" i="23"/>
  <c r="P2271" i="23" s="1"/>
  <c r="K2271" i="23"/>
  <c r="G2271" i="23"/>
  <c r="H2271" i="23" s="1"/>
  <c r="R2270" i="23"/>
  <c r="O2270" i="23"/>
  <c r="N2270" i="23"/>
  <c r="P2270" i="23" s="1"/>
  <c r="I2270" i="23"/>
  <c r="U2269" i="23"/>
  <c r="T2269" i="23"/>
  <c r="O2269" i="23"/>
  <c r="N2269" i="23"/>
  <c r="P2269" i="23" s="1"/>
  <c r="K2269" i="23"/>
  <c r="G2269" i="23"/>
  <c r="H2269" i="23" s="1"/>
  <c r="U2268" i="23"/>
  <c r="T2268" i="23"/>
  <c r="O2268" i="23"/>
  <c r="N2268" i="23"/>
  <c r="P2268" i="23" s="1"/>
  <c r="K2268" i="23"/>
  <c r="G2268" i="23"/>
  <c r="H2268" i="23" s="1"/>
  <c r="U2267" i="23"/>
  <c r="T2267" i="23"/>
  <c r="O2267" i="23"/>
  <c r="N2267" i="23"/>
  <c r="P2267" i="23" s="1"/>
  <c r="K2267" i="23"/>
  <c r="G2267" i="23"/>
  <c r="H2267" i="23" s="1"/>
  <c r="U2266" i="23"/>
  <c r="T2266" i="23"/>
  <c r="O2266" i="23"/>
  <c r="N2266" i="23"/>
  <c r="P2266" i="23" s="1"/>
  <c r="K2266" i="23"/>
  <c r="G2266" i="23"/>
  <c r="H2266" i="23" s="1"/>
  <c r="U2265" i="23"/>
  <c r="T2265" i="23"/>
  <c r="O2265" i="23"/>
  <c r="N2265" i="23"/>
  <c r="P2265" i="23" s="1"/>
  <c r="K2265" i="23"/>
  <c r="G2265" i="23"/>
  <c r="H2265" i="23" s="1"/>
  <c r="R2264" i="23"/>
  <c r="O2264" i="23"/>
  <c r="N2264" i="23"/>
  <c r="P2264" i="23" s="1"/>
  <c r="I2264" i="23"/>
  <c r="U2263" i="23"/>
  <c r="T2263" i="23"/>
  <c r="O2263" i="23"/>
  <c r="N2263" i="23"/>
  <c r="P2263" i="23" s="1"/>
  <c r="K2263" i="23"/>
  <c r="G2263" i="23"/>
  <c r="H2263" i="23" s="1"/>
  <c r="U2262" i="23"/>
  <c r="T2262" i="23"/>
  <c r="O2262" i="23"/>
  <c r="N2262" i="23"/>
  <c r="P2262" i="23" s="1"/>
  <c r="K2262" i="23"/>
  <c r="G2262" i="23"/>
  <c r="H2262" i="23" s="1"/>
  <c r="U2261" i="23"/>
  <c r="T2261" i="23"/>
  <c r="O2261" i="23"/>
  <c r="N2261" i="23"/>
  <c r="P2261" i="23" s="1"/>
  <c r="K2261" i="23"/>
  <c r="G2261" i="23"/>
  <c r="H2261" i="23" s="1"/>
  <c r="U2260" i="23"/>
  <c r="T2260" i="23"/>
  <c r="O2260" i="23"/>
  <c r="N2260" i="23"/>
  <c r="P2260" i="23" s="1"/>
  <c r="K2260" i="23"/>
  <c r="G2260" i="23"/>
  <c r="H2260" i="23" s="1"/>
  <c r="U2259" i="23"/>
  <c r="T2259" i="23"/>
  <c r="O2259" i="23"/>
  <c r="N2259" i="23"/>
  <c r="P2259" i="23" s="1"/>
  <c r="K2259" i="23"/>
  <c r="G2259" i="23"/>
  <c r="H2259" i="23" s="1"/>
  <c r="R2258" i="23"/>
  <c r="O2258" i="23"/>
  <c r="N2258" i="23"/>
  <c r="S2258" i="23" s="1"/>
  <c r="I2258" i="23"/>
  <c r="U2257" i="23"/>
  <c r="T2257" i="23"/>
  <c r="O2257" i="23"/>
  <c r="N2257" i="23"/>
  <c r="P2257" i="23" s="1"/>
  <c r="K2257" i="23"/>
  <c r="G2257" i="23"/>
  <c r="H2257" i="23" s="1"/>
  <c r="U2256" i="23"/>
  <c r="T2256" i="23"/>
  <c r="O2256" i="23"/>
  <c r="N2256" i="23"/>
  <c r="P2256" i="23" s="1"/>
  <c r="K2256" i="23"/>
  <c r="G2256" i="23"/>
  <c r="H2256" i="23" s="1"/>
  <c r="U2255" i="23"/>
  <c r="T2255" i="23"/>
  <c r="O2255" i="23"/>
  <c r="N2255" i="23"/>
  <c r="P2255" i="23" s="1"/>
  <c r="K2255" i="23"/>
  <c r="G2255" i="23"/>
  <c r="H2255" i="23" s="1"/>
  <c r="U2254" i="23"/>
  <c r="T2254" i="23"/>
  <c r="O2254" i="23"/>
  <c r="N2254" i="23"/>
  <c r="P2254" i="23" s="1"/>
  <c r="K2254" i="23"/>
  <c r="G2254" i="23"/>
  <c r="H2254" i="23" s="1"/>
  <c r="U2253" i="23"/>
  <c r="T2253" i="23"/>
  <c r="O2253" i="23"/>
  <c r="N2253" i="23"/>
  <c r="P2253" i="23" s="1"/>
  <c r="K2253" i="23"/>
  <c r="G2253" i="23"/>
  <c r="H2253" i="23" s="1"/>
  <c r="R2252" i="23"/>
  <c r="O2252" i="23"/>
  <c r="N2252" i="23"/>
  <c r="P2252" i="23" s="1"/>
  <c r="I2252" i="23"/>
  <c r="U2251" i="23"/>
  <c r="T2251" i="23"/>
  <c r="O2251" i="23"/>
  <c r="N2251" i="23"/>
  <c r="P2251" i="23" s="1"/>
  <c r="K2251" i="23"/>
  <c r="G2251" i="23"/>
  <c r="H2251" i="23" s="1"/>
  <c r="U2250" i="23"/>
  <c r="T2250" i="23"/>
  <c r="O2250" i="23"/>
  <c r="N2250" i="23"/>
  <c r="P2250" i="23" s="1"/>
  <c r="K2250" i="23"/>
  <c r="G2250" i="23"/>
  <c r="H2250" i="23" s="1"/>
  <c r="U2249" i="23"/>
  <c r="T2249" i="23"/>
  <c r="O2249" i="23"/>
  <c r="N2249" i="23"/>
  <c r="P2249" i="23" s="1"/>
  <c r="K2249" i="23"/>
  <c r="G2249" i="23"/>
  <c r="H2249" i="23" s="1"/>
  <c r="U2248" i="23"/>
  <c r="T2248" i="23"/>
  <c r="O2248" i="23"/>
  <c r="N2248" i="23"/>
  <c r="P2248" i="23" s="1"/>
  <c r="K2248" i="23"/>
  <c r="G2248" i="23"/>
  <c r="H2248" i="23" s="1"/>
  <c r="U2247" i="23"/>
  <c r="T2247" i="23"/>
  <c r="O2247" i="23"/>
  <c r="N2247" i="23"/>
  <c r="P2247" i="23" s="1"/>
  <c r="K2247" i="23"/>
  <c r="G2247" i="23"/>
  <c r="H2247" i="23" s="1"/>
  <c r="H2246" i="23" s="1"/>
  <c r="J2246" i="23" s="1"/>
  <c r="R2246" i="23"/>
  <c r="O2246" i="23"/>
  <c r="N2246" i="23"/>
  <c r="S2246" i="23" s="1"/>
  <c r="U2246" i="23" s="1"/>
  <c r="I2246" i="23"/>
  <c r="U2245" i="23"/>
  <c r="T2245" i="23"/>
  <c r="O2245" i="23"/>
  <c r="N2245" i="23"/>
  <c r="P2245" i="23" s="1"/>
  <c r="K2245" i="23"/>
  <c r="G2245" i="23"/>
  <c r="H2245" i="23" s="1"/>
  <c r="U2244" i="23"/>
  <c r="T2244" i="23"/>
  <c r="O2244" i="23"/>
  <c r="N2244" i="23"/>
  <c r="P2244" i="23" s="1"/>
  <c r="K2244" i="23"/>
  <c r="G2244" i="23"/>
  <c r="H2244" i="23" s="1"/>
  <c r="U2243" i="23"/>
  <c r="T2243" i="23"/>
  <c r="O2243" i="23"/>
  <c r="N2243" i="23"/>
  <c r="P2243" i="23" s="1"/>
  <c r="K2243" i="23"/>
  <c r="G2243" i="23"/>
  <c r="H2243" i="23" s="1"/>
  <c r="U2242" i="23"/>
  <c r="T2242" i="23"/>
  <c r="O2242" i="23"/>
  <c r="N2242" i="23"/>
  <c r="P2242" i="23" s="1"/>
  <c r="K2242" i="23"/>
  <c r="G2242" i="23"/>
  <c r="H2242" i="23" s="1"/>
  <c r="U2241" i="23"/>
  <c r="T2241" i="23"/>
  <c r="O2241" i="23"/>
  <c r="N2241" i="23"/>
  <c r="P2241" i="23" s="1"/>
  <c r="K2241" i="23"/>
  <c r="G2241" i="23"/>
  <c r="H2241" i="23" s="1"/>
  <c r="R2240" i="23"/>
  <c r="O2240" i="23"/>
  <c r="N2240" i="23"/>
  <c r="S2240" i="23" s="1"/>
  <c r="U2240" i="23" s="1"/>
  <c r="I2240" i="23"/>
  <c r="U2239" i="23"/>
  <c r="T2239" i="23"/>
  <c r="O2239" i="23"/>
  <c r="N2239" i="23"/>
  <c r="P2239" i="23" s="1"/>
  <c r="K2239" i="23"/>
  <c r="G2239" i="23"/>
  <c r="H2239" i="23" s="1"/>
  <c r="U2238" i="23"/>
  <c r="T2238" i="23"/>
  <c r="O2238" i="23"/>
  <c r="N2238" i="23"/>
  <c r="P2238" i="23" s="1"/>
  <c r="K2238" i="23"/>
  <c r="G2238" i="23"/>
  <c r="H2238" i="23" s="1"/>
  <c r="U2237" i="23"/>
  <c r="T2237" i="23"/>
  <c r="O2237" i="23"/>
  <c r="N2237" i="23"/>
  <c r="P2237" i="23" s="1"/>
  <c r="K2237" i="23"/>
  <c r="G2237" i="23"/>
  <c r="H2237" i="23" s="1"/>
  <c r="U2236" i="23"/>
  <c r="T2236" i="23"/>
  <c r="O2236" i="23"/>
  <c r="N2236" i="23"/>
  <c r="P2236" i="23" s="1"/>
  <c r="K2236" i="23"/>
  <c r="G2236" i="23"/>
  <c r="H2236" i="23" s="1"/>
  <c r="U2235" i="23"/>
  <c r="T2235" i="23"/>
  <c r="O2235" i="23"/>
  <c r="N2235" i="23"/>
  <c r="P2235" i="23" s="1"/>
  <c r="K2235" i="23"/>
  <c r="G2235" i="23"/>
  <c r="H2235" i="23" s="1"/>
  <c r="R2234" i="23"/>
  <c r="O2234" i="23"/>
  <c r="N2234" i="23"/>
  <c r="I2234" i="23"/>
  <c r="U2233" i="23"/>
  <c r="T2233" i="23"/>
  <c r="O2233" i="23"/>
  <c r="N2233" i="23"/>
  <c r="P2233" i="23" s="1"/>
  <c r="K2233" i="23"/>
  <c r="G2233" i="23"/>
  <c r="H2233" i="23" s="1"/>
  <c r="U2232" i="23"/>
  <c r="T2232" i="23"/>
  <c r="O2232" i="23"/>
  <c r="N2232" i="23"/>
  <c r="P2232" i="23" s="1"/>
  <c r="K2232" i="23"/>
  <c r="G2232" i="23"/>
  <c r="H2232" i="23" s="1"/>
  <c r="U2231" i="23"/>
  <c r="T2231" i="23"/>
  <c r="O2231" i="23"/>
  <c r="N2231" i="23"/>
  <c r="P2231" i="23" s="1"/>
  <c r="K2231" i="23"/>
  <c r="G2231" i="23"/>
  <c r="H2231" i="23" s="1"/>
  <c r="U2230" i="23"/>
  <c r="T2230" i="23"/>
  <c r="O2230" i="23"/>
  <c r="N2230" i="23"/>
  <c r="P2230" i="23" s="1"/>
  <c r="K2230" i="23"/>
  <c r="G2230" i="23"/>
  <c r="H2230" i="23" s="1"/>
  <c r="U2229" i="23"/>
  <c r="T2229" i="23"/>
  <c r="O2229" i="23"/>
  <c r="N2229" i="23"/>
  <c r="P2229" i="23" s="1"/>
  <c r="K2229" i="23"/>
  <c r="H2229" i="23"/>
  <c r="G2229" i="23"/>
  <c r="R2228" i="23"/>
  <c r="O2228" i="23"/>
  <c r="N2228" i="23"/>
  <c r="P2228" i="23" s="1"/>
  <c r="I2228" i="23"/>
  <c r="U2227" i="23"/>
  <c r="T2227" i="23"/>
  <c r="O2227" i="23"/>
  <c r="N2227" i="23"/>
  <c r="P2227" i="23" s="1"/>
  <c r="K2227" i="23"/>
  <c r="G2227" i="23"/>
  <c r="H2227" i="23" s="1"/>
  <c r="U2226" i="23"/>
  <c r="T2226" i="23"/>
  <c r="O2226" i="23"/>
  <c r="N2226" i="23"/>
  <c r="P2226" i="23" s="1"/>
  <c r="K2226" i="23"/>
  <c r="H2226" i="23"/>
  <c r="G2226" i="23"/>
  <c r="U2225" i="23"/>
  <c r="T2225" i="23"/>
  <c r="O2225" i="23"/>
  <c r="N2225" i="23"/>
  <c r="P2225" i="23" s="1"/>
  <c r="K2225" i="23"/>
  <c r="G2225" i="23"/>
  <c r="H2225" i="23" s="1"/>
  <c r="U2224" i="23"/>
  <c r="T2224" i="23"/>
  <c r="O2224" i="23"/>
  <c r="N2224" i="23"/>
  <c r="P2224" i="23" s="1"/>
  <c r="K2224" i="23"/>
  <c r="H2224" i="23"/>
  <c r="G2224" i="23"/>
  <c r="U2223" i="23"/>
  <c r="T2223" i="23"/>
  <c r="O2223" i="23"/>
  <c r="N2223" i="23"/>
  <c r="P2223" i="23" s="1"/>
  <c r="K2223" i="23"/>
  <c r="G2223" i="23"/>
  <c r="H2223" i="23" s="1"/>
  <c r="R2222" i="23"/>
  <c r="O2222" i="23"/>
  <c r="N2222" i="23"/>
  <c r="S2222" i="23" s="1"/>
  <c r="I2222" i="23"/>
  <c r="U2221" i="23"/>
  <c r="T2221" i="23"/>
  <c r="O2221" i="23"/>
  <c r="N2221" i="23"/>
  <c r="P2221" i="23" s="1"/>
  <c r="K2221" i="23"/>
  <c r="G2221" i="23"/>
  <c r="H2221" i="23" s="1"/>
  <c r="U2220" i="23"/>
  <c r="T2220" i="23"/>
  <c r="O2220" i="23"/>
  <c r="N2220" i="23"/>
  <c r="P2220" i="23" s="1"/>
  <c r="K2220" i="23"/>
  <c r="H2220" i="23"/>
  <c r="G2220" i="23"/>
  <c r="U2219" i="23"/>
  <c r="T2219" i="23"/>
  <c r="O2219" i="23"/>
  <c r="N2219" i="23"/>
  <c r="P2219" i="23" s="1"/>
  <c r="K2219" i="23"/>
  <c r="G2219" i="23"/>
  <c r="H2219" i="23" s="1"/>
  <c r="U2218" i="23"/>
  <c r="T2218" i="23"/>
  <c r="O2218" i="23"/>
  <c r="N2218" i="23"/>
  <c r="P2218" i="23" s="1"/>
  <c r="K2218" i="23"/>
  <c r="G2218" i="23"/>
  <c r="H2218" i="23" s="1"/>
  <c r="U2217" i="23"/>
  <c r="T2217" i="23"/>
  <c r="O2217" i="23"/>
  <c r="N2217" i="23"/>
  <c r="P2217" i="23" s="1"/>
  <c r="K2217" i="23"/>
  <c r="G2217" i="23"/>
  <c r="H2217" i="23" s="1"/>
  <c r="R2216" i="23"/>
  <c r="O2216" i="23"/>
  <c r="N2216" i="23"/>
  <c r="S2216" i="23" s="1"/>
  <c r="I2216" i="23"/>
  <c r="U2215" i="23"/>
  <c r="T2215" i="23"/>
  <c r="O2215" i="23"/>
  <c r="N2215" i="23"/>
  <c r="P2215" i="23" s="1"/>
  <c r="K2215" i="23"/>
  <c r="H2215" i="23"/>
  <c r="G2215" i="23"/>
  <c r="U2214" i="23"/>
  <c r="T2214" i="23"/>
  <c r="O2214" i="23"/>
  <c r="N2214" i="23"/>
  <c r="P2214" i="23" s="1"/>
  <c r="K2214" i="23"/>
  <c r="G2214" i="23"/>
  <c r="H2214" i="23" s="1"/>
  <c r="U2213" i="23"/>
  <c r="T2213" i="23"/>
  <c r="O2213" i="23"/>
  <c r="N2213" i="23"/>
  <c r="P2213" i="23" s="1"/>
  <c r="K2213" i="23"/>
  <c r="H2213" i="23"/>
  <c r="G2213" i="23"/>
  <c r="U2212" i="23"/>
  <c r="T2212" i="23"/>
  <c r="O2212" i="23"/>
  <c r="N2212" i="23"/>
  <c r="P2212" i="23" s="1"/>
  <c r="K2212" i="23"/>
  <c r="G2212" i="23"/>
  <c r="H2212" i="23" s="1"/>
  <c r="U2211" i="23"/>
  <c r="T2211" i="23"/>
  <c r="O2211" i="23"/>
  <c r="N2211" i="23"/>
  <c r="P2211" i="23" s="1"/>
  <c r="K2211" i="23"/>
  <c r="H2211" i="23"/>
  <c r="G2211" i="23"/>
  <c r="R2210" i="23"/>
  <c r="O2210" i="23"/>
  <c r="N2210" i="23"/>
  <c r="P2210" i="23" s="1"/>
  <c r="I2210" i="23"/>
  <c r="H2210" i="23"/>
  <c r="J2210" i="23" s="1"/>
  <c r="G2210" i="23"/>
  <c r="U2209" i="23"/>
  <c r="T2209" i="23"/>
  <c r="O2209" i="23"/>
  <c r="N2209" i="23"/>
  <c r="P2209" i="23" s="1"/>
  <c r="K2209" i="23"/>
  <c r="G2209" i="23"/>
  <c r="H2209" i="23" s="1"/>
  <c r="U2208" i="23"/>
  <c r="T2208" i="23"/>
  <c r="O2208" i="23"/>
  <c r="N2208" i="23"/>
  <c r="P2208" i="23" s="1"/>
  <c r="K2208" i="23"/>
  <c r="G2208" i="23"/>
  <c r="H2208" i="23" s="1"/>
  <c r="U2207" i="23"/>
  <c r="T2207" i="23"/>
  <c r="O2207" i="23"/>
  <c r="N2207" i="23"/>
  <c r="P2207" i="23" s="1"/>
  <c r="K2207" i="23"/>
  <c r="G2207" i="23"/>
  <c r="H2207" i="23" s="1"/>
  <c r="U2206" i="23"/>
  <c r="T2206" i="23"/>
  <c r="O2206" i="23"/>
  <c r="N2206" i="23"/>
  <c r="P2206" i="23" s="1"/>
  <c r="K2206" i="23"/>
  <c r="H2206" i="23"/>
  <c r="G2206" i="23"/>
  <c r="U2205" i="23"/>
  <c r="T2205" i="23"/>
  <c r="O2205" i="23"/>
  <c r="N2205" i="23"/>
  <c r="P2205" i="23" s="1"/>
  <c r="K2205" i="23"/>
  <c r="G2205" i="23"/>
  <c r="H2205" i="23" s="1"/>
  <c r="R2204" i="23"/>
  <c r="O2204" i="23"/>
  <c r="N2204" i="23"/>
  <c r="I2204" i="23"/>
  <c r="G2204" i="23"/>
  <c r="U2203" i="23"/>
  <c r="T2203" i="23"/>
  <c r="O2203" i="23"/>
  <c r="N2203" i="23"/>
  <c r="P2203" i="23" s="1"/>
  <c r="K2203" i="23"/>
  <c r="G2203" i="23"/>
  <c r="H2203" i="23" s="1"/>
  <c r="U2202" i="23"/>
  <c r="T2202" i="23"/>
  <c r="O2202" i="23"/>
  <c r="N2202" i="23"/>
  <c r="P2202" i="23" s="1"/>
  <c r="K2202" i="23"/>
  <c r="H2202" i="23"/>
  <c r="G2202" i="23"/>
  <c r="U2201" i="23"/>
  <c r="T2201" i="23"/>
  <c r="O2201" i="23"/>
  <c r="N2201" i="23"/>
  <c r="P2201" i="23" s="1"/>
  <c r="K2201" i="23"/>
  <c r="G2201" i="23"/>
  <c r="H2201" i="23" s="1"/>
  <c r="U2200" i="23"/>
  <c r="T2200" i="23"/>
  <c r="O2200" i="23"/>
  <c r="N2200" i="23"/>
  <c r="P2200" i="23" s="1"/>
  <c r="K2200" i="23"/>
  <c r="G2200" i="23"/>
  <c r="H2200" i="23" s="1"/>
  <c r="U2199" i="23"/>
  <c r="T2199" i="23"/>
  <c r="O2199" i="23"/>
  <c r="N2199" i="23"/>
  <c r="P2199" i="23" s="1"/>
  <c r="K2199" i="23"/>
  <c r="G2199" i="23"/>
  <c r="H2199" i="23" s="1"/>
  <c r="R2198" i="23"/>
  <c r="O2198" i="23"/>
  <c r="N2198" i="23"/>
  <c r="I2198" i="23"/>
  <c r="G2198" i="23"/>
  <c r="U2197" i="23"/>
  <c r="T2197" i="23"/>
  <c r="O2197" i="23"/>
  <c r="N2197" i="23"/>
  <c r="P2197" i="23" s="1"/>
  <c r="K2197" i="23"/>
  <c r="G2197" i="23"/>
  <c r="H2197" i="23" s="1"/>
  <c r="U2196" i="23"/>
  <c r="T2196" i="23"/>
  <c r="O2196" i="23"/>
  <c r="N2196" i="23"/>
  <c r="P2196" i="23" s="1"/>
  <c r="K2196" i="23"/>
  <c r="G2196" i="23"/>
  <c r="H2196" i="23" s="1"/>
  <c r="U2195" i="23"/>
  <c r="T2195" i="23"/>
  <c r="O2195" i="23"/>
  <c r="N2195" i="23"/>
  <c r="P2195" i="23" s="1"/>
  <c r="K2195" i="23"/>
  <c r="G2195" i="23"/>
  <c r="H2195" i="23" s="1"/>
  <c r="U2194" i="23"/>
  <c r="T2194" i="23"/>
  <c r="O2194" i="23"/>
  <c r="N2194" i="23"/>
  <c r="P2194" i="23" s="1"/>
  <c r="K2194" i="23"/>
  <c r="H2194" i="23"/>
  <c r="G2194" i="23"/>
  <c r="U2193" i="23"/>
  <c r="T2193" i="23"/>
  <c r="O2193" i="23"/>
  <c r="N2193" i="23"/>
  <c r="P2193" i="23" s="1"/>
  <c r="K2193" i="23"/>
  <c r="G2193" i="23"/>
  <c r="H2193" i="23" s="1"/>
  <c r="R2192" i="23"/>
  <c r="O2192" i="23"/>
  <c r="N2192" i="23"/>
  <c r="S2192" i="23" s="1"/>
  <c r="U2192" i="23" s="1"/>
  <c r="I2192" i="23"/>
  <c r="U2191" i="23"/>
  <c r="T2191" i="23"/>
  <c r="O2191" i="23"/>
  <c r="N2191" i="23"/>
  <c r="P2191" i="23" s="1"/>
  <c r="K2191" i="23"/>
  <c r="G2191" i="23"/>
  <c r="H2191" i="23" s="1"/>
  <c r="U2190" i="23"/>
  <c r="T2190" i="23"/>
  <c r="O2190" i="23"/>
  <c r="N2190" i="23"/>
  <c r="P2190" i="23" s="1"/>
  <c r="K2190" i="23"/>
  <c r="G2190" i="23"/>
  <c r="H2190" i="23" s="1"/>
  <c r="U2189" i="23"/>
  <c r="T2189" i="23"/>
  <c r="O2189" i="23"/>
  <c r="N2189" i="23"/>
  <c r="P2189" i="23" s="1"/>
  <c r="K2189" i="23"/>
  <c r="G2189" i="23"/>
  <c r="H2189" i="23" s="1"/>
  <c r="U2188" i="23"/>
  <c r="T2188" i="23"/>
  <c r="O2188" i="23"/>
  <c r="N2188" i="23"/>
  <c r="P2188" i="23" s="1"/>
  <c r="K2188" i="23"/>
  <c r="H2188" i="23"/>
  <c r="G2188" i="23"/>
  <c r="U2187" i="23"/>
  <c r="T2187" i="23"/>
  <c r="O2187" i="23"/>
  <c r="N2187" i="23"/>
  <c r="P2187" i="23" s="1"/>
  <c r="K2187" i="23"/>
  <c r="G2187" i="23"/>
  <c r="H2187" i="23" s="1"/>
  <c r="R2186" i="23"/>
  <c r="O2186" i="23"/>
  <c r="N2186" i="23"/>
  <c r="I2186" i="23"/>
  <c r="U2185" i="23"/>
  <c r="T2185" i="23"/>
  <c r="O2185" i="23"/>
  <c r="N2185" i="23"/>
  <c r="P2185" i="23" s="1"/>
  <c r="K2185" i="23"/>
  <c r="G2185" i="23"/>
  <c r="H2185" i="23" s="1"/>
  <c r="U2184" i="23"/>
  <c r="T2184" i="23"/>
  <c r="O2184" i="23"/>
  <c r="N2184" i="23"/>
  <c r="P2184" i="23" s="1"/>
  <c r="K2184" i="23"/>
  <c r="G2184" i="23"/>
  <c r="H2184" i="23" s="1"/>
  <c r="U2183" i="23"/>
  <c r="T2183" i="23"/>
  <c r="O2183" i="23"/>
  <c r="N2183" i="23"/>
  <c r="P2183" i="23" s="1"/>
  <c r="K2183" i="23"/>
  <c r="H2183" i="23"/>
  <c r="G2183" i="23"/>
  <c r="U2182" i="23"/>
  <c r="T2182" i="23"/>
  <c r="O2182" i="23"/>
  <c r="N2182" i="23"/>
  <c r="P2182" i="23" s="1"/>
  <c r="K2182" i="23"/>
  <c r="G2182" i="23"/>
  <c r="H2182" i="23" s="1"/>
  <c r="U2181" i="23"/>
  <c r="T2181" i="23"/>
  <c r="O2181" i="23"/>
  <c r="N2181" i="23"/>
  <c r="P2181" i="23" s="1"/>
  <c r="K2181" i="23"/>
  <c r="G2181" i="23"/>
  <c r="H2181" i="23" s="1"/>
  <c r="R2180" i="23"/>
  <c r="O2180" i="23"/>
  <c r="N2180" i="23"/>
  <c r="S2180" i="23" s="1"/>
  <c r="U2180" i="23" s="1"/>
  <c r="I2180" i="23"/>
  <c r="U2179" i="23"/>
  <c r="T2179" i="23"/>
  <c r="O2179" i="23"/>
  <c r="N2179" i="23"/>
  <c r="P2179" i="23" s="1"/>
  <c r="K2179" i="23"/>
  <c r="H2179" i="23"/>
  <c r="G2179" i="23"/>
  <c r="U2178" i="23"/>
  <c r="T2178" i="23"/>
  <c r="O2178" i="23"/>
  <c r="N2178" i="23"/>
  <c r="P2178" i="23" s="1"/>
  <c r="K2178" i="23"/>
  <c r="G2178" i="23"/>
  <c r="H2178" i="23" s="1"/>
  <c r="U2177" i="23"/>
  <c r="T2177" i="23"/>
  <c r="O2177" i="23"/>
  <c r="N2177" i="23"/>
  <c r="P2177" i="23" s="1"/>
  <c r="K2177" i="23"/>
  <c r="G2177" i="23"/>
  <c r="H2177" i="23" s="1"/>
  <c r="U2176" i="23"/>
  <c r="T2176" i="23"/>
  <c r="O2176" i="23"/>
  <c r="N2176" i="23"/>
  <c r="P2176" i="23" s="1"/>
  <c r="K2176" i="23"/>
  <c r="G2176" i="23"/>
  <c r="H2176" i="23" s="1"/>
  <c r="U2175" i="23"/>
  <c r="T2175" i="23"/>
  <c r="O2175" i="23"/>
  <c r="N2175" i="23"/>
  <c r="P2175" i="23" s="1"/>
  <c r="K2175" i="23"/>
  <c r="H2175" i="23"/>
  <c r="G2175" i="23"/>
  <c r="R2174" i="23"/>
  <c r="O2174" i="23"/>
  <c r="N2174" i="23"/>
  <c r="S2174" i="23" s="1"/>
  <c r="I2174" i="23"/>
  <c r="U2173" i="23"/>
  <c r="T2173" i="23"/>
  <c r="O2173" i="23"/>
  <c r="N2173" i="23"/>
  <c r="P2173" i="23" s="1"/>
  <c r="K2173" i="23"/>
  <c r="G2173" i="23"/>
  <c r="H2173" i="23" s="1"/>
  <c r="U2172" i="23"/>
  <c r="T2172" i="23"/>
  <c r="O2172" i="23"/>
  <c r="N2172" i="23"/>
  <c r="P2172" i="23" s="1"/>
  <c r="K2172" i="23"/>
  <c r="G2172" i="23"/>
  <c r="H2172" i="23" s="1"/>
  <c r="U2171" i="23"/>
  <c r="T2171" i="23"/>
  <c r="O2171" i="23"/>
  <c r="N2171" i="23"/>
  <c r="P2171" i="23" s="1"/>
  <c r="K2171" i="23"/>
  <c r="G2171" i="23"/>
  <c r="H2171" i="23" s="1"/>
  <c r="U2170" i="23"/>
  <c r="T2170" i="23"/>
  <c r="O2170" i="23"/>
  <c r="N2170" i="23"/>
  <c r="P2170" i="23" s="1"/>
  <c r="K2170" i="23"/>
  <c r="H2170" i="23"/>
  <c r="G2170" i="23"/>
  <c r="U2169" i="23"/>
  <c r="T2169" i="23"/>
  <c r="O2169" i="23"/>
  <c r="N2169" i="23"/>
  <c r="P2169" i="23" s="1"/>
  <c r="K2169" i="23"/>
  <c r="G2169" i="23"/>
  <c r="H2169" i="23" s="1"/>
  <c r="R2168" i="23"/>
  <c r="O2168" i="23"/>
  <c r="N2168" i="23"/>
  <c r="S2168" i="23" s="1"/>
  <c r="I2168" i="23"/>
  <c r="U2167" i="23"/>
  <c r="T2167" i="23"/>
  <c r="O2167" i="23"/>
  <c r="N2167" i="23"/>
  <c r="P2167" i="23" s="1"/>
  <c r="K2167" i="23"/>
  <c r="H2167" i="23"/>
  <c r="U2166" i="23"/>
  <c r="T2166" i="23"/>
  <c r="O2166" i="23"/>
  <c r="N2166" i="23"/>
  <c r="P2166" i="23" s="1"/>
  <c r="K2166" i="23"/>
  <c r="H2166" i="23"/>
  <c r="U2165" i="23"/>
  <c r="T2165" i="23"/>
  <c r="O2165" i="23"/>
  <c r="N2165" i="23"/>
  <c r="P2165" i="23" s="1"/>
  <c r="K2165" i="23"/>
  <c r="H2165" i="23"/>
  <c r="U2164" i="23"/>
  <c r="T2164" i="23"/>
  <c r="O2164" i="23"/>
  <c r="N2164" i="23"/>
  <c r="P2164" i="23" s="1"/>
  <c r="K2164" i="23"/>
  <c r="H2164" i="23"/>
  <c r="R2163" i="23"/>
  <c r="O2163" i="23"/>
  <c r="N2163" i="23"/>
  <c r="U2162" i="23"/>
  <c r="T2162" i="23"/>
  <c r="O2162" i="23"/>
  <c r="N2162" i="23"/>
  <c r="P2162" i="23" s="1"/>
  <c r="K2162" i="23"/>
  <c r="H2162" i="23"/>
  <c r="U2161" i="23"/>
  <c r="T2161" i="23"/>
  <c r="O2161" i="23"/>
  <c r="N2161" i="23"/>
  <c r="P2161" i="23" s="1"/>
  <c r="K2161" i="23"/>
  <c r="H2161" i="23"/>
  <c r="U2160" i="23"/>
  <c r="T2160" i="23"/>
  <c r="O2160" i="23"/>
  <c r="N2160" i="23"/>
  <c r="P2160" i="23" s="1"/>
  <c r="K2160" i="23"/>
  <c r="H2160" i="23"/>
  <c r="U2159" i="23"/>
  <c r="T2159" i="23"/>
  <c r="O2159" i="23"/>
  <c r="N2159" i="23"/>
  <c r="P2159" i="23" s="1"/>
  <c r="K2159" i="23"/>
  <c r="H2159" i="23"/>
  <c r="R2158" i="23"/>
  <c r="O2158" i="23"/>
  <c r="N2158" i="23"/>
  <c r="S2158" i="23" s="1"/>
  <c r="U2157" i="23"/>
  <c r="T2157" i="23"/>
  <c r="O2157" i="23"/>
  <c r="N2157" i="23"/>
  <c r="P2157" i="23" s="1"/>
  <c r="K2157" i="23"/>
  <c r="H2157" i="23"/>
  <c r="U2156" i="23"/>
  <c r="T2156" i="23"/>
  <c r="O2156" i="23"/>
  <c r="N2156" i="23"/>
  <c r="P2156" i="23" s="1"/>
  <c r="K2156" i="23"/>
  <c r="H2156" i="23"/>
  <c r="U2155" i="23"/>
  <c r="T2155" i="23"/>
  <c r="O2155" i="23"/>
  <c r="N2155" i="23"/>
  <c r="P2155" i="23" s="1"/>
  <c r="K2155" i="23"/>
  <c r="H2155" i="23"/>
  <c r="U2154" i="23"/>
  <c r="T2154" i="23"/>
  <c r="O2154" i="23"/>
  <c r="N2154" i="23"/>
  <c r="P2154" i="23" s="1"/>
  <c r="K2154" i="23"/>
  <c r="H2154" i="23"/>
  <c r="H2153" i="23" s="1"/>
  <c r="J2153" i="23" s="1"/>
  <c r="R2153" i="23"/>
  <c r="O2153" i="23"/>
  <c r="N2153" i="23"/>
  <c r="P2153" i="23" s="1"/>
  <c r="U2152" i="23"/>
  <c r="T2152" i="23"/>
  <c r="O2152" i="23"/>
  <c r="N2152" i="23"/>
  <c r="P2152" i="23" s="1"/>
  <c r="K2152" i="23"/>
  <c r="H2152" i="23"/>
  <c r="U2151" i="23"/>
  <c r="T2151" i="23"/>
  <c r="O2151" i="23"/>
  <c r="N2151" i="23"/>
  <c r="P2151" i="23" s="1"/>
  <c r="K2151" i="23"/>
  <c r="H2151" i="23"/>
  <c r="U2150" i="23"/>
  <c r="T2150" i="23"/>
  <c r="O2150" i="23"/>
  <c r="N2150" i="23"/>
  <c r="P2150" i="23" s="1"/>
  <c r="K2150" i="23"/>
  <c r="H2150" i="23"/>
  <c r="U2149" i="23"/>
  <c r="T2149" i="23"/>
  <c r="O2149" i="23"/>
  <c r="N2149" i="23"/>
  <c r="P2149" i="23" s="1"/>
  <c r="K2149" i="23"/>
  <c r="H2149" i="23"/>
  <c r="R2148" i="23"/>
  <c r="O2148" i="23"/>
  <c r="N2148" i="23"/>
  <c r="U2147" i="23"/>
  <c r="T2147" i="23"/>
  <c r="O2147" i="23"/>
  <c r="N2147" i="23"/>
  <c r="P2147" i="23" s="1"/>
  <c r="K2147" i="23"/>
  <c r="H2147" i="23"/>
  <c r="U2146" i="23"/>
  <c r="T2146" i="23"/>
  <c r="O2146" i="23"/>
  <c r="N2146" i="23"/>
  <c r="P2146" i="23" s="1"/>
  <c r="K2146" i="23"/>
  <c r="H2146" i="23"/>
  <c r="U2145" i="23"/>
  <c r="T2145" i="23"/>
  <c r="O2145" i="23"/>
  <c r="N2145" i="23"/>
  <c r="P2145" i="23" s="1"/>
  <c r="K2145" i="23"/>
  <c r="H2145" i="23"/>
  <c r="U2144" i="23"/>
  <c r="T2144" i="23"/>
  <c r="O2144" i="23"/>
  <c r="N2144" i="23"/>
  <c r="P2144" i="23" s="1"/>
  <c r="K2144" i="23"/>
  <c r="H2144" i="23"/>
  <c r="R2143" i="23"/>
  <c r="O2143" i="23"/>
  <c r="N2143" i="23"/>
  <c r="S2143" i="23" s="1"/>
  <c r="U2142" i="23"/>
  <c r="T2142" i="23"/>
  <c r="O2142" i="23"/>
  <c r="N2142" i="23"/>
  <c r="P2142" i="23" s="1"/>
  <c r="K2142" i="23"/>
  <c r="H2142" i="23"/>
  <c r="H2138" i="23" s="1"/>
  <c r="J2138" i="23" s="1"/>
  <c r="U2141" i="23"/>
  <c r="T2141" i="23"/>
  <c r="O2141" i="23"/>
  <c r="N2141" i="23"/>
  <c r="P2141" i="23" s="1"/>
  <c r="K2141" i="23"/>
  <c r="H2141" i="23"/>
  <c r="U2140" i="23"/>
  <c r="T2140" i="23"/>
  <c r="O2140" i="23"/>
  <c r="N2140" i="23"/>
  <c r="P2140" i="23" s="1"/>
  <c r="K2140" i="23"/>
  <c r="H2140" i="23"/>
  <c r="U2139" i="23"/>
  <c r="T2139" i="23"/>
  <c r="O2139" i="23"/>
  <c r="N2139" i="23"/>
  <c r="P2139" i="23" s="1"/>
  <c r="K2139" i="23"/>
  <c r="H2139" i="23"/>
  <c r="R2138" i="23"/>
  <c r="O2138" i="23"/>
  <c r="N2138" i="23"/>
  <c r="P2138" i="23" s="1"/>
  <c r="U2137" i="23"/>
  <c r="T2137" i="23"/>
  <c r="O2137" i="23"/>
  <c r="N2137" i="23"/>
  <c r="P2137" i="23" s="1"/>
  <c r="K2137" i="23"/>
  <c r="H2137" i="23"/>
  <c r="U2136" i="23"/>
  <c r="T2136" i="23"/>
  <c r="O2136" i="23"/>
  <c r="N2136" i="23"/>
  <c r="P2136" i="23" s="1"/>
  <c r="K2136" i="23"/>
  <c r="H2136" i="23"/>
  <c r="U2135" i="23"/>
  <c r="T2135" i="23"/>
  <c r="O2135" i="23"/>
  <c r="N2135" i="23"/>
  <c r="P2135" i="23" s="1"/>
  <c r="K2135" i="23"/>
  <c r="H2135" i="23"/>
  <c r="U2134" i="23"/>
  <c r="T2134" i="23"/>
  <c r="O2134" i="23"/>
  <c r="N2134" i="23"/>
  <c r="P2134" i="23" s="1"/>
  <c r="K2134" i="23"/>
  <c r="H2134" i="23"/>
  <c r="H2133" i="23" s="1"/>
  <c r="J2133" i="23" s="1"/>
  <c r="R2133" i="23"/>
  <c r="O2133" i="23"/>
  <c r="N2133" i="23"/>
  <c r="S2133" i="23" s="1"/>
  <c r="U2133" i="23" s="1"/>
  <c r="U2132" i="23"/>
  <c r="T2132" i="23"/>
  <c r="O2132" i="23"/>
  <c r="N2132" i="23"/>
  <c r="P2132" i="23" s="1"/>
  <c r="K2132" i="23"/>
  <c r="H2132" i="23"/>
  <c r="U2131" i="23"/>
  <c r="T2131" i="23"/>
  <c r="O2131" i="23"/>
  <c r="N2131" i="23"/>
  <c r="P2131" i="23" s="1"/>
  <c r="K2131" i="23"/>
  <c r="H2131" i="23"/>
  <c r="U2130" i="23"/>
  <c r="T2130" i="23"/>
  <c r="O2130" i="23"/>
  <c r="N2130" i="23"/>
  <c r="P2130" i="23" s="1"/>
  <c r="K2130" i="23"/>
  <c r="H2130" i="23"/>
  <c r="U2129" i="23"/>
  <c r="T2129" i="23"/>
  <c r="O2129" i="23"/>
  <c r="N2129" i="23"/>
  <c r="P2129" i="23" s="1"/>
  <c r="K2129" i="23"/>
  <c r="H2129" i="23"/>
  <c r="R2128" i="23"/>
  <c r="O2128" i="23"/>
  <c r="N2128" i="23"/>
  <c r="P2128" i="23" s="1"/>
  <c r="U2127" i="23"/>
  <c r="T2127" i="23"/>
  <c r="O2127" i="23"/>
  <c r="N2127" i="23"/>
  <c r="P2127" i="23" s="1"/>
  <c r="K2127" i="23"/>
  <c r="H2127" i="23"/>
  <c r="U2126" i="23"/>
  <c r="T2126" i="23"/>
  <c r="O2126" i="23"/>
  <c r="N2126" i="23"/>
  <c r="P2126" i="23" s="1"/>
  <c r="K2126" i="23"/>
  <c r="H2126" i="23"/>
  <c r="U2125" i="23"/>
  <c r="T2125" i="23"/>
  <c r="O2125" i="23"/>
  <c r="N2125" i="23"/>
  <c r="P2125" i="23" s="1"/>
  <c r="K2125" i="23"/>
  <c r="H2125" i="23"/>
  <c r="U2124" i="23"/>
  <c r="T2124" i="23"/>
  <c r="O2124" i="23"/>
  <c r="N2124" i="23"/>
  <c r="P2124" i="23" s="1"/>
  <c r="K2124" i="23"/>
  <c r="H2124" i="23"/>
  <c r="H2123" i="23" s="1"/>
  <c r="J2123" i="23" s="1"/>
  <c r="R2123" i="23"/>
  <c r="O2123" i="23"/>
  <c r="N2123" i="23"/>
  <c r="S2123" i="23" s="1"/>
  <c r="U2122" i="23"/>
  <c r="T2122" i="23"/>
  <c r="O2122" i="23"/>
  <c r="N2122" i="23"/>
  <c r="P2122" i="23" s="1"/>
  <c r="K2122" i="23"/>
  <c r="H2122" i="23"/>
  <c r="U2121" i="23"/>
  <c r="T2121" i="23"/>
  <c r="O2121" i="23"/>
  <c r="N2121" i="23"/>
  <c r="P2121" i="23" s="1"/>
  <c r="K2121" i="23"/>
  <c r="H2121" i="23"/>
  <c r="U2120" i="23"/>
  <c r="T2120" i="23"/>
  <c r="O2120" i="23"/>
  <c r="N2120" i="23"/>
  <c r="P2120" i="23" s="1"/>
  <c r="K2120" i="23"/>
  <c r="H2120" i="23"/>
  <c r="U2119" i="23"/>
  <c r="T2119" i="23"/>
  <c r="O2119" i="23"/>
  <c r="N2119" i="23"/>
  <c r="P2119" i="23" s="1"/>
  <c r="K2119" i="23"/>
  <c r="H2119" i="23"/>
  <c r="R2118" i="23"/>
  <c r="O2118" i="23"/>
  <c r="N2118" i="23"/>
  <c r="S2118" i="23" s="1"/>
  <c r="U2117" i="23"/>
  <c r="T2117" i="23"/>
  <c r="O2117" i="23"/>
  <c r="N2117" i="23"/>
  <c r="P2117" i="23" s="1"/>
  <c r="K2117" i="23"/>
  <c r="H2117" i="23"/>
  <c r="U2116" i="23"/>
  <c r="T2116" i="23"/>
  <c r="O2116" i="23"/>
  <c r="N2116" i="23"/>
  <c r="P2116" i="23" s="1"/>
  <c r="K2116" i="23"/>
  <c r="H2116" i="23"/>
  <c r="U2115" i="23"/>
  <c r="T2115" i="23"/>
  <c r="O2115" i="23"/>
  <c r="N2115" i="23"/>
  <c r="P2115" i="23" s="1"/>
  <c r="K2115" i="23"/>
  <c r="H2115" i="23"/>
  <c r="U2114" i="23"/>
  <c r="T2114" i="23"/>
  <c r="O2114" i="23"/>
  <c r="N2114" i="23"/>
  <c r="P2114" i="23" s="1"/>
  <c r="K2114" i="23"/>
  <c r="H2114" i="23"/>
  <c r="R2113" i="23"/>
  <c r="O2113" i="23"/>
  <c r="N2113" i="23"/>
  <c r="S2113" i="23" s="1"/>
  <c r="U2113" i="23" s="1"/>
  <c r="U2112" i="23"/>
  <c r="T2112" i="23"/>
  <c r="O2112" i="23"/>
  <c r="N2112" i="23"/>
  <c r="P2112" i="23" s="1"/>
  <c r="K2112" i="23"/>
  <c r="H2112" i="23"/>
  <c r="U2111" i="23"/>
  <c r="T2111" i="23"/>
  <c r="O2111" i="23"/>
  <c r="N2111" i="23"/>
  <c r="P2111" i="23" s="1"/>
  <c r="K2111" i="23"/>
  <c r="H2111" i="23"/>
  <c r="U2110" i="23"/>
  <c r="T2110" i="23"/>
  <c r="O2110" i="23"/>
  <c r="N2110" i="23"/>
  <c r="P2110" i="23" s="1"/>
  <c r="K2110" i="23"/>
  <c r="H2110" i="23"/>
  <c r="H2109" i="23" s="1"/>
  <c r="J2109" i="23" s="1"/>
  <c r="R2109" i="23"/>
  <c r="O2109" i="23"/>
  <c r="N2109" i="23"/>
  <c r="S2109" i="23" s="1"/>
  <c r="U2108" i="23"/>
  <c r="T2108" i="23"/>
  <c r="O2108" i="23"/>
  <c r="N2108" i="23"/>
  <c r="P2108" i="23" s="1"/>
  <c r="K2108" i="23"/>
  <c r="H2108" i="23"/>
  <c r="U2107" i="23"/>
  <c r="T2107" i="23"/>
  <c r="O2107" i="23"/>
  <c r="N2107" i="23"/>
  <c r="P2107" i="23" s="1"/>
  <c r="K2107" i="23"/>
  <c r="H2107" i="23"/>
  <c r="U2106" i="23"/>
  <c r="T2106" i="23"/>
  <c r="O2106" i="23"/>
  <c r="N2106" i="23"/>
  <c r="P2106" i="23" s="1"/>
  <c r="K2106" i="23"/>
  <c r="H2106" i="23"/>
  <c r="H2105" i="23" s="1"/>
  <c r="J2105" i="23" s="1"/>
  <c r="R2105" i="23"/>
  <c r="O2105" i="23"/>
  <c r="N2105" i="23"/>
  <c r="S2105" i="23" s="1"/>
  <c r="U2105" i="23" s="1"/>
  <c r="U2104" i="23"/>
  <c r="T2104" i="23"/>
  <c r="O2104" i="23"/>
  <c r="N2104" i="23"/>
  <c r="P2104" i="23" s="1"/>
  <c r="K2104" i="23"/>
  <c r="J2104" i="23"/>
  <c r="H2104" i="23"/>
  <c r="U2103" i="23"/>
  <c r="T2103" i="23"/>
  <c r="O2103" i="23"/>
  <c r="N2103" i="23"/>
  <c r="P2103" i="23" s="1"/>
  <c r="K2103" i="23"/>
  <c r="J2103" i="23"/>
  <c r="H2103" i="23"/>
  <c r="U2102" i="23"/>
  <c r="T2102" i="23"/>
  <c r="O2102" i="23"/>
  <c r="N2102" i="23"/>
  <c r="P2102" i="23" s="1"/>
  <c r="K2102" i="23"/>
  <c r="J2102" i="23"/>
  <c r="H2102" i="23"/>
  <c r="R2101" i="23"/>
  <c r="O2101" i="23"/>
  <c r="N2101" i="23"/>
  <c r="P2101" i="23" s="1"/>
  <c r="U2100" i="23"/>
  <c r="T2100" i="23"/>
  <c r="O2100" i="23"/>
  <c r="N2100" i="23"/>
  <c r="P2100" i="23" s="1"/>
  <c r="K2100" i="23"/>
  <c r="H2100" i="23"/>
  <c r="U2099" i="23"/>
  <c r="T2099" i="23"/>
  <c r="O2099" i="23"/>
  <c r="N2099" i="23"/>
  <c r="P2099" i="23" s="1"/>
  <c r="K2099" i="23"/>
  <c r="H2099" i="23"/>
  <c r="H2097" i="23" s="1"/>
  <c r="J2097" i="23" s="1"/>
  <c r="U2098" i="23"/>
  <c r="T2098" i="23"/>
  <c r="O2098" i="23"/>
  <c r="N2098" i="23"/>
  <c r="P2098" i="23" s="1"/>
  <c r="K2098" i="23"/>
  <c r="H2098" i="23"/>
  <c r="R2097" i="23"/>
  <c r="O2097" i="23"/>
  <c r="N2097" i="23"/>
  <c r="U2096" i="23"/>
  <c r="T2096" i="23"/>
  <c r="O2096" i="23"/>
  <c r="N2096" i="23"/>
  <c r="P2096" i="23" s="1"/>
  <c r="K2096" i="23"/>
  <c r="H2096" i="23"/>
  <c r="U2095" i="23"/>
  <c r="T2095" i="23"/>
  <c r="O2095" i="23"/>
  <c r="N2095" i="23"/>
  <c r="P2095" i="23" s="1"/>
  <c r="K2095" i="23"/>
  <c r="H2095" i="23"/>
  <c r="U2094" i="23"/>
  <c r="T2094" i="23"/>
  <c r="O2094" i="23"/>
  <c r="N2094" i="23"/>
  <c r="P2094" i="23" s="1"/>
  <c r="K2094" i="23"/>
  <c r="H2094" i="23"/>
  <c r="R2093" i="23"/>
  <c r="O2093" i="23"/>
  <c r="N2093" i="23"/>
  <c r="U2092" i="23"/>
  <c r="T2092" i="23"/>
  <c r="O2092" i="23"/>
  <c r="N2092" i="23"/>
  <c r="P2092" i="23" s="1"/>
  <c r="K2092" i="23"/>
  <c r="H2092" i="23"/>
  <c r="U2091" i="23"/>
  <c r="T2091" i="23"/>
  <c r="O2091" i="23"/>
  <c r="N2091" i="23"/>
  <c r="P2091" i="23" s="1"/>
  <c r="K2091" i="23"/>
  <c r="H2091" i="23"/>
  <c r="U2090" i="23"/>
  <c r="T2090" i="23"/>
  <c r="O2090" i="23"/>
  <c r="N2090" i="23"/>
  <c r="P2090" i="23" s="1"/>
  <c r="K2090" i="23"/>
  <c r="H2090" i="23"/>
  <c r="R2089" i="23"/>
  <c r="O2089" i="23"/>
  <c r="N2089" i="23"/>
  <c r="S2089" i="23" s="1"/>
  <c r="U2088" i="23"/>
  <c r="T2088" i="23"/>
  <c r="O2088" i="23"/>
  <c r="N2088" i="23"/>
  <c r="P2088" i="23" s="1"/>
  <c r="K2088" i="23"/>
  <c r="H2088" i="23"/>
  <c r="U2087" i="23"/>
  <c r="T2087" i="23"/>
  <c r="O2087" i="23"/>
  <c r="N2087" i="23"/>
  <c r="P2087" i="23" s="1"/>
  <c r="K2087" i="23"/>
  <c r="H2087" i="23"/>
  <c r="U2086" i="23"/>
  <c r="T2086" i="23"/>
  <c r="O2086" i="23"/>
  <c r="N2086" i="23"/>
  <c r="P2086" i="23" s="1"/>
  <c r="K2086" i="23"/>
  <c r="H2086" i="23"/>
  <c r="R2085" i="23"/>
  <c r="O2085" i="23"/>
  <c r="N2085" i="23"/>
  <c r="P2085" i="23" s="1"/>
  <c r="U2084" i="23"/>
  <c r="T2084" i="23"/>
  <c r="O2084" i="23"/>
  <c r="N2084" i="23"/>
  <c r="P2084" i="23" s="1"/>
  <c r="K2084" i="23"/>
  <c r="H2084" i="23"/>
  <c r="U2083" i="23"/>
  <c r="T2083" i="23"/>
  <c r="O2083" i="23"/>
  <c r="N2083" i="23"/>
  <c r="P2083" i="23" s="1"/>
  <c r="K2083" i="23"/>
  <c r="H2083" i="23"/>
  <c r="U2082" i="23"/>
  <c r="T2082" i="23"/>
  <c r="O2082" i="23"/>
  <c r="N2082" i="23"/>
  <c r="P2082" i="23" s="1"/>
  <c r="K2082" i="23"/>
  <c r="H2082" i="23"/>
  <c r="H2081" i="23" s="1"/>
  <c r="J2081" i="23" s="1"/>
  <c r="R2081" i="23"/>
  <c r="O2081" i="23"/>
  <c r="N2081" i="23"/>
  <c r="P2081" i="23" s="1"/>
  <c r="U2080" i="23"/>
  <c r="T2080" i="23"/>
  <c r="O2080" i="23"/>
  <c r="N2080" i="23"/>
  <c r="P2080" i="23" s="1"/>
  <c r="K2080" i="23"/>
  <c r="H2080" i="23"/>
  <c r="U2079" i="23"/>
  <c r="T2079" i="23"/>
  <c r="O2079" i="23"/>
  <c r="N2079" i="23"/>
  <c r="P2079" i="23" s="1"/>
  <c r="K2079" i="23"/>
  <c r="H2079" i="23"/>
  <c r="U2078" i="23"/>
  <c r="T2078" i="23"/>
  <c r="O2078" i="23"/>
  <c r="N2078" i="23"/>
  <c r="P2078" i="23" s="1"/>
  <c r="K2078" i="23"/>
  <c r="H2078" i="23"/>
  <c r="R2077" i="23"/>
  <c r="O2077" i="23"/>
  <c r="N2077" i="23"/>
  <c r="S2077" i="23" s="1"/>
  <c r="U2076" i="23"/>
  <c r="T2076" i="23"/>
  <c r="O2076" i="23"/>
  <c r="N2076" i="23"/>
  <c r="P2076" i="23" s="1"/>
  <c r="K2076" i="23"/>
  <c r="H2076" i="23"/>
  <c r="U2075" i="23"/>
  <c r="T2075" i="23"/>
  <c r="O2075" i="23"/>
  <c r="N2075" i="23"/>
  <c r="P2075" i="23" s="1"/>
  <c r="K2075" i="23"/>
  <c r="H2075" i="23"/>
  <c r="U2074" i="23"/>
  <c r="T2074" i="23"/>
  <c r="O2074" i="23"/>
  <c r="N2074" i="23"/>
  <c r="P2074" i="23" s="1"/>
  <c r="K2074" i="23"/>
  <c r="H2074" i="23"/>
  <c r="R2073" i="23"/>
  <c r="O2073" i="23"/>
  <c r="N2073" i="23"/>
  <c r="S2073" i="23" s="1"/>
  <c r="U2072" i="23"/>
  <c r="T2072" i="23"/>
  <c r="O2072" i="23"/>
  <c r="N2072" i="23"/>
  <c r="P2072" i="23" s="1"/>
  <c r="K2072" i="23"/>
  <c r="H2072" i="23"/>
  <c r="U2071" i="23"/>
  <c r="T2071" i="23"/>
  <c r="O2071" i="23"/>
  <c r="N2071" i="23"/>
  <c r="P2071" i="23" s="1"/>
  <c r="K2071" i="23"/>
  <c r="H2071" i="23"/>
  <c r="U2070" i="23"/>
  <c r="T2070" i="23"/>
  <c r="O2070" i="23"/>
  <c r="N2070" i="23"/>
  <c r="P2070" i="23" s="1"/>
  <c r="K2070" i="23"/>
  <c r="H2070" i="23"/>
  <c r="H2069" i="23" s="1"/>
  <c r="J2069" i="23" s="1"/>
  <c r="R2069" i="23"/>
  <c r="O2069" i="23"/>
  <c r="N2069" i="23"/>
  <c r="P2069" i="23" s="1"/>
  <c r="U2068" i="23"/>
  <c r="T2068" i="23"/>
  <c r="O2068" i="23"/>
  <c r="N2068" i="23"/>
  <c r="P2068" i="23" s="1"/>
  <c r="K2068" i="23"/>
  <c r="H2068" i="23"/>
  <c r="U2067" i="23"/>
  <c r="T2067" i="23"/>
  <c r="O2067" i="23"/>
  <c r="N2067" i="23"/>
  <c r="P2067" i="23" s="1"/>
  <c r="K2067" i="23"/>
  <c r="H2067" i="23"/>
  <c r="U2066" i="23"/>
  <c r="T2066" i="23"/>
  <c r="O2066" i="23"/>
  <c r="N2066" i="23"/>
  <c r="P2066" i="23" s="1"/>
  <c r="K2066" i="23"/>
  <c r="H2066" i="23"/>
  <c r="H2065" i="23" s="1"/>
  <c r="J2065" i="23" s="1"/>
  <c r="R2065" i="23"/>
  <c r="O2065" i="23"/>
  <c r="N2065" i="23"/>
  <c r="P2065" i="23" s="1"/>
  <c r="U2064" i="23"/>
  <c r="T2064" i="23"/>
  <c r="O2064" i="23"/>
  <c r="N2064" i="23"/>
  <c r="P2064" i="23" s="1"/>
  <c r="K2064" i="23"/>
  <c r="H2064" i="23"/>
  <c r="U2063" i="23"/>
  <c r="T2063" i="23"/>
  <c r="O2063" i="23"/>
  <c r="N2063" i="23"/>
  <c r="P2063" i="23" s="1"/>
  <c r="K2063" i="23"/>
  <c r="H2063" i="23"/>
  <c r="U2062" i="23"/>
  <c r="T2062" i="23"/>
  <c r="O2062" i="23"/>
  <c r="N2062" i="23"/>
  <c r="P2062" i="23" s="1"/>
  <c r="K2062" i="23"/>
  <c r="H2062" i="23"/>
  <c r="R2061" i="23"/>
  <c r="O2061" i="23"/>
  <c r="N2061" i="23"/>
  <c r="S2061" i="23" s="1"/>
  <c r="U2060" i="23"/>
  <c r="T2060" i="23"/>
  <c r="O2060" i="23"/>
  <c r="N2060" i="23"/>
  <c r="P2060" i="23" s="1"/>
  <c r="K2060" i="23"/>
  <c r="H2060" i="23"/>
  <c r="U2059" i="23"/>
  <c r="T2059" i="23"/>
  <c r="O2059" i="23"/>
  <c r="N2059" i="23"/>
  <c r="P2059" i="23" s="1"/>
  <c r="K2059" i="23"/>
  <c r="H2059" i="23"/>
  <c r="U2058" i="23"/>
  <c r="T2058" i="23"/>
  <c r="O2058" i="23"/>
  <c r="N2058" i="23"/>
  <c r="P2058" i="23" s="1"/>
  <c r="K2058" i="23"/>
  <c r="H2058" i="23"/>
  <c r="R2057" i="23"/>
  <c r="O2057" i="23"/>
  <c r="N2057" i="23"/>
  <c r="S2057" i="23" s="1"/>
  <c r="U2056" i="23"/>
  <c r="T2056" i="23"/>
  <c r="O2056" i="23"/>
  <c r="N2056" i="23"/>
  <c r="P2056" i="23" s="1"/>
  <c r="K2056" i="23"/>
  <c r="H2056" i="23"/>
  <c r="U2055" i="23"/>
  <c r="T2055" i="23"/>
  <c r="O2055" i="23"/>
  <c r="N2055" i="23"/>
  <c r="P2055" i="23" s="1"/>
  <c r="K2055" i="23"/>
  <c r="H2055" i="23"/>
  <c r="U2054" i="23"/>
  <c r="T2054" i="23"/>
  <c r="O2054" i="23"/>
  <c r="N2054" i="23"/>
  <c r="P2054" i="23" s="1"/>
  <c r="K2054" i="23"/>
  <c r="H2054" i="23"/>
  <c r="R2053" i="23"/>
  <c r="O2053" i="23"/>
  <c r="N2053" i="23"/>
  <c r="P2053" i="23" s="1"/>
  <c r="U2052" i="23"/>
  <c r="T2052" i="23"/>
  <c r="O2052" i="23"/>
  <c r="N2052" i="23"/>
  <c r="P2052" i="23" s="1"/>
  <c r="K2052" i="23"/>
  <c r="H2052" i="23"/>
  <c r="U2051" i="23"/>
  <c r="T2051" i="23"/>
  <c r="O2051" i="23"/>
  <c r="N2051" i="23"/>
  <c r="P2051" i="23" s="1"/>
  <c r="K2051" i="23"/>
  <c r="H2051" i="23"/>
  <c r="U2050" i="23"/>
  <c r="T2050" i="23"/>
  <c r="O2050" i="23"/>
  <c r="N2050" i="23"/>
  <c r="P2050" i="23" s="1"/>
  <c r="K2050" i="23"/>
  <c r="H2050" i="23"/>
  <c r="R2049" i="23"/>
  <c r="O2049" i="23"/>
  <c r="N2049" i="23"/>
  <c r="P2049" i="23" s="1"/>
  <c r="H2049" i="23"/>
  <c r="J2049" i="23" s="1"/>
  <c r="U2048" i="23"/>
  <c r="T2048" i="23"/>
  <c r="O2048" i="23"/>
  <c r="N2048" i="23"/>
  <c r="P2048" i="23" s="1"/>
  <c r="K2048" i="23"/>
  <c r="H2048" i="23"/>
  <c r="U2047" i="23"/>
  <c r="T2047" i="23"/>
  <c r="O2047" i="23"/>
  <c r="N2047" i="23"/>
  <c r="P2047" i="23" s="1"/>
  <c r="K2047" i="23"/>
  <c r="H2047" i="23"/>
  <c r="U2046" i="23"/>
  <c r="T2046" i="23"/>
  <c r="O2046" i="23"/>
  <c r="N2046" i="23"/>
  <c r="P2046" i="23" s="1"/>
  <c r="K2046" i="23"/>
  <c r="H2046" i="23"/>
  <c r="H2045" i="23" s="1"/>
  <c r="J2045" i="23" s="1"/>
  <c r="R2045" i="23"/>
  <c r="O2045" i="23"/>
  <c r="N2045" i="23"/>
  <c r="P2045" i="23" s="1"/>
  <c r="U2044" i="23"/>
  <c r="T2044" i="23"/>
  <c r="O2044" i="23"/>
  <c r="N2044" i="23"/>
  <c r="P2044" i="23" s="1"/>
  <c r="K2044" i="23"/>
  <c r="H2044" i="23"/>
  <c r="U2043" i="23"/>
  <c r="T2043" i="23"/>
  <c r="O2043" i="23"/>
  <c r="N2043" i="23"/>
  <c r="P2043" i="23" s="1"/>
  <c r="K2043" i="23"/>
  <c r="H2043" i="23"/>
  <c r="U2042" i="23"/>
  <c r="T2042" i="23"/>
  <c r="O2042" i="23"/>
  <c r="N2042" i="23"/>
  <c r="P2042" i="23" s="1"/>
  <c r="K2042" i="23"/>
  <c r="H2042" i="23"/>
  <c r="R2041" i="23"/>
  <c r="O2041" i="23"/>
  <c r="N2041" i="23"/>
  <c r="S2041" i="23" s="1"/>
  <c r="U2040" i="23"/>
  <c r="T2040" i="23"/>
  <c r="O2040" i="23"/>
  <c r="N2040" i="23"/>
  <c r="P2040" i="23" s="1"/>
  <c r="K2040" i="23"/>
  <c r="H2040" i="23"/>
  <c r="U2039" i="23"/>
  <c r="T2039" i="23"/>
  <c r="O2039" i="23"/>
  <c r="N2039" i="23"/>
  <c r="P2039" i="23" s="1"/>
  <c r="K2039" i="23"/>
  <c r="H2039" i="23"/>
  <c r="U2038" i="23"/>
  <c r="T2038" i="23"/>
  <c r="O2038" i="23"/>
  <c r="N2038" i="23"/>
  <c r="P2038" i="23" s="1"/>
  <c r="K2038" i="23"/>
  <c r="H2038" i="23"/>
  <c r="H2037" i="23" s="1"/>
  <c r="J2037" i="23" s="1"/>
  <c r="R2037" i="23"/>
  <c r="O2037" i="23"/>
  <c r="N2037" i="23"/>
  <c r="P2037" i="23" s="1"/>
  <c r="U2036" i="23"/>
  <c r="T2036" i="23"/>
  <c r="O2036" i="23"/>
  <c r="N2036" i="23"/>
  <c r="P2036" i="23" s="1"/>
  <c r="K2036" i="23"/>
  <c r="H2036" i="23"/>
  <c r="U2035" i="23"/>
  <c r="T2035" i="23"/>
  <c r="O2035" i="23"/>
  <c r="N2035" i="23"/>
  <c r="P2035" i="23" s="1"/>
  <c r="K2035" i="23"/>
  <c r="H2035" i="23"/>
  <c r="U2034" i="23"/>
  <c r="T2034" i="23"/>
  <c r="O2034" i="23"/>
  <c r="N2034" i="23"/>
  <c r="P2034" i="23" s="1"/>
  <c r="K2034" i="23"/>
  <c r="H2034" i="23"/>
  <c r="H2033" i="23" s="1"/>
  <c r="J2033" i="23" s="1"/>
  <c r="R2033" i="23"/>
  <c r="O2033" i="23"/>
  <c r="N2033" i="23"/>
  <c r="U2032" i="23"/>
  <c r="T2032" i="23"/>
  <c r="O2032" i="23"/>
  <c r="N2032" i="23"/>
  <c r="P2032" i="23" s="1"/>
  <c r="K2032" i="23"/>
  <c r="H2032" i="23"/>
  <c r="U2031" i="23"/>
  <c r="T2031" i="23"/>
  <c r="O2031" i="23"/>
  <c r="N2031" i="23"/>
  <c r="P2031" i="23" s="1"/>
  <c r="K2031" i="23"/>
  <c r="H2031" i="23"/>
  <c r="U2030" i="23"/>
  <c r="T2030" i="23"/>
  <c r="O2030" i="23"/>
  <c r="N2030" i="23"/>
  <c r="P2030" i="23" s="1"/>
  <c r="K2030" i="23"/>
  <c r="H2030" i="23"/>
  <c r="R2029" i="23"/>
  <c r="O2029" i="23"/>
  <c r="N2029" i="23"/>
  <c r="U2028" i="23"/>
  <c r="T2028" i="23"/>
  <c r="O2028" i="23"/>
  <c r="N2028" i="23"/>
  <c r="P2028" i="23" s="1"/>
  <c r="K2028" i="23"/>
  <c r="H2028" i="23"/>
  <c r="H2025" i="23" s="1"/>
  <c r="J2025" i="23" s="1"/>
  <c r="U2027" i="23"/>
  <c r="T2027" i="23"/>
  <c r="O2027" i="23"/>
  <c r="N2027" i="23"/>
  <c r="P2027" i="23" s="1"/>
  <c r="K2027" i="23"/>
  <c r="H2027" i="23"/>
  <c r="U2026" i="23"/>
  <c r="T2026" i="23"/>
  <c r="O2026" i="23"/>
  <c r="N2026" i="23"/>
  <c r="P2026" i="23" s="1"/>
  <c r="K2026" i="23"/>
  <c r="H2026" i="23"/>
  <c r="R2025" i="23"/>
  <c r="O2025" i="23"/>
  <c r="N2025" i="23"/>
  <c r="S2025" i="23" s="1"/>
  <c r="U2024" i="23"/>
  <c r="T2024" i="23"/>
  <c r="O2024" i="23"/>
  <c r="N2024" i="23"/>
  <c r="P2024" i="23" s="1"/>
  <c r="K2024" i="23"/>
  <c r="H2024" i="23"/>
  <c r="U2023" i="23"/>
  <c r="T2023" i="23"/>
  <c r="O2023" i="23"/>
  <c r="N2023" i="23"/>
  <c r="P2023" i="23" s="1"/>
  <c r="K2023" i="23"/>
  <c r="H2023" i="23"/>
  <c r="U2022" i="23"/>
  <c r="T2022" i="23"/>
  <c r="O2022" i="23"/>
  <c r="N2022" i="23"/>
  <c r="P2022" i="23" s="1"/>
  <c r="K2022" i="23"/>
  <c r="H2022" i="23"/>
  <c r="R2021" i="23"/>
  <c r="O2021" i="23"/>
  <c r="N2021" i="23"/>
  <c r="P2021" i="23" s="1"/>
  <c r="U2020" i="23"/>
  <c r="T2020" i="23"/>
  <c r="O2020" i="23"/>
  <c r="N2020" i="23"/>
  <c r="P2020" i="23" s="1"/>
  <c r="K2020" i="23"/>
  <c r="H2020" i="23"/>
  <c r="U2019" i="23"/>
  <c r="T2019" i="23"/>
  <c r="O2019" i="23"/>
  <c r="N2019" i="23"/>
  <c r="P2019" i="23" s="1"/>
  <c r="K2019" i="23"/>
  <c r="H2019" i="23"/>
  <c r="U2018" i="23"/>
  <c r="T2018" i="23"/>
  <c r="O2018" i="23"/>
  <c r="N2018" i="23"/>
  <c r="P2018" i="23" s="1"/>
  <c r="K2018" i="23"/>
  <c r="H2018" i="23"/>
  <c r="H2017" i="23" s="1"/>
  <c r="J2017" i="23" s="1"/>
  <c r="R2017" i="23"/>
  <c r="O2017" i="23"/>
  <c r="N2017" i="23"/>
  <c r="U2016" i="23"/>
  <c r="T2016" i="23"/>
  <c r="O2016" i="23"/>
  <c r="N2016" i="23"/>
  <c r="P2016" i="23" s="1"/>
  <c r="K2016" i="23"/>
  <c r="H2016" i="23"/>
  <c r="U2015" i="23"/>
  <c r="T2015" i="23"/>
  <c r="O2015" i="23"/>
  <c r="N2015" i="23"/>
  <c r="P2015" i="23" s="1"/>
  <c r="K2015" i="23"/>
  <c r="H2015" i="23"/>
  <c r="U2014" i="23"/>
  <c r="T2014" i="23"/>
  <c r="O2014" i="23"/>
  <c r="N2014" i="23"/>
  <c r="P2014" i="23" s="1"/>
  <c r="K2014" i="23"/>
  <c r="H2014" i="23"/>
  <c r="R2013" i="23"/>
  <c r="O2013" i="23"/>
  <c r="N2013" i="23"/>
  <c r="S2013" i="23" s="1"/>
  <c r="U2012" i="23"/>
  <c r="T2012" i="23"/>
  <c r="O2012" i="23"/>
  <c r="N2012" i="23"/>
  <c r="P2012" i="23" s="1"/>
  <c r="K2012" i="23"/>
  <c r="H2012" i="23"/>
  <c r="U2011" i="23"/>
  <c r="T2011" i="23"/>
  <c r="O2011" i="23"/>
  <c r="N2011" i="23"/>
  <c r="P2011" i="23" s="1"/>
  <c r="K2011" i="23"/>
  <c r="H2011" i="23"/>
  <c r="U2010" i="23"/>
  <c r="T2010" i="23"/>
  <c r="O2010" i="23"/>
  <c r="N2010" i="23"/>
  <c r="P2010" i="23" s="1"/>
  <c r="K2010" i="23"/>
  <c r="H2010" i="23"/>
  <c r="R2009" i="23"/>
  <c r="O2009" i="23"/>
  <c r="N2009" i="23"/>
  <c r="S2009" i="23" s="1"/>
  <c r="U2008" i="23"/>
  <c r="T2008" i="23"/>
  <c r="O2008" i="23"/>
  <c r="N2008" i="23"/>
  <c r="P2008" i="23" s="1"/>
  <c r="K2008" i="23"/>
  <c r="H2008" i="23"/>
  <c r="U2007" i="23"/>
  <c r="T2007" i="23"/>
  <c r="O2007" i="23"/>
  <c r="N2007" i="23"/>
  <c r="P2007" i="23" s="1"/>
  <c r="K2007" i="23"/>
  <c r="H2007" i="23"/>
  <c r="U2006" i="23"/>
  <c r="T2006" i="23"/>
  <c r="O2006" i="23"/>
  <c r="N2006" i="23"/>
  <c r="P2006" i="23" s="1"/>
  <c r="K2006" i="23"/>
  <c r="H2006" i="23"/>
  <c r="R2005" i="23"/>
  <c r="O2005" i="23"/>
  <c r="N2005" i="23"/>
  <c r="P2005" i="23" s="1"/>
  <c r="U2004" i="23"/>
  <c r="T2004" i="23"/>
  <c r="O2004" i="23"/>
  <c r="N2004" i="23"/>
  <c r="P2004" i="23" s="1"/>
  <c r="K2004" i="23"/>
  <c r="H2004" i="23"/>
  <c r="U2003" i="23"/>
  <c r="T2003" i="23"/>
  <c r="O2003" i="23"/>
  <c r="N2003" i="23"/>
  <c r="P2003" i="23" s="1"/>
  <c r="K2003" i="23"/>
  <c r="H2003" i="23"/>
  <c r="H2001" i="23" s="1"/>
  <c r="J2001" i="23" s="1"/>
  <c r="U2002" i="23"/>
  <c r="T2002" i="23"/>
  <c r="O2002" i="23"/>
  <c r="N2002" i="23"/>
  <c r="P2002" i="23" s="1"/>
  <c r="K2002" i="23"/>
  <c r="H2002" i="23"/>
  <c r="R2001" i="23"/>
  <c r="O2001" i="23"/>
  <c r="N2001" i="23"/>
  <c r="P2001" i="23" s="1"/>
  <c r="U2000" i="23"/>
  <c r="T2000" i="23"/>
  <c r="O2000" i="23"/>
  <c r="N2000" i="23"/>
  <c r="P2000" i="23" s="1"/>
  <c r="K2000" i="23"/>
  <c r="H2000" i="23"/>
  <c r="U1999" i="23"/>
  <c r="T1999" i="23"/>
  <c r="O1999" i="23"/>
  <c r="N1999" i="23"/>
  <c r="P1999" i="23" s="1"/>
  <c r="K1999" i="23"/>
  <c r="H1999" i="23"/>
  <c r="U1998" i="23"/>
  <c r="T1998" i="23"/>
  <c r="O1998" i="23"/>
  <c r="N1998" i="23"/>
  <c r="P1998" i="23" s="1"/>
  <c r="K1998" i="23"/>
  <c r="H1998" i="23"/>
  <c r="H1997" i="23" s="1"/>
  <c r="J1997" i="23" s="1"/>
  <c r="R1997" i="23"/>
  <c r="O1997" i="23"/>
  <c r="N1997" i="23"/>
  <c r="U1996" i="23"/>
  <c r="T1996" i="23"/>
  <c r="O1996" i="23"/>
  <c r="N1996" i="23"/>
  <c r="P1996" i="23" s="1"/>
  <c r="K1996" i="23"/>
  <c r="H1996" i="23"/>
  <c r="U1995" i="23"/>
  <c r="T1995" i="23"/>
  <c r="O1995" i="23"/>
  <c r="N1995" i="23"/>
  <c r="P1995" i="23" s="1"/>
  <c r="K1995" i="23"/>
  <c r="H1995" i="23"/>
  <c r="U1994" i="23"/>
  <c r="T1994" i="23"/>
  <c r="O1994" i="23"/>
  <c r="N1994" i="23"/>
  <c r="P1994" i="23" s="1"/>
  <c r="K1994" i="23"/>
  <c r="H1994" i="23"/>
  <c r="R1993" i="23"/>
  <c r="O1993" i="23"/>
  <c r="N1993" i="23"/>
  <c r="S1993" i="23" s="1"/>
  <c r="U1992" i="23"/>
  <c r="T1992" i="23"/>
  <c r="O1992" i="23"/>
  <c r="N1992" i="23"/>
  <c r="P1992" i="23" s="1"/>
  <c r="H1992" i="23"/>
  <c r="U1991" i="23"/>
  <c r="T1991" i="23"/>
  <c r="O1991" i="23"/>
  <c r="N1991" i="23"/>
  <c r="P1991" i="23" s="1"/>
  <c r="H1991" i="23"/>
  <c r="U1990" i="23"/>
  <c r="T1990" i="23"/>
  <c r="O1990" i="23"/>
  <c r="N1990" i="23"/>
  <c r="P1990" i="23" s="1"/>
  <c r="H1990" i="23"/>
  <c r="H1989" i="23" s="1"/>
  <c r="J1989" i="23" s="1"/>
  <c r="R1989" i="23"/>
  <c r="O1989" i="23"/>
  <c r="N1989" i="23"/>
  <c r="U1988" i="23"/>
  <c r="T1988" i="23"/>
  <c r="O1988" i="23"/>
  <c r="N1988" i="23"/>
  <c r="P1988" i="23" s="1"/>
  <c r="H1988" i="23"/>
  <c r="U1987" i="23"/>
  <c r="T1987" i="23"/>
  <c r="O1987" i="23"/>
  <c r="N1987" i="23"/>
  <c r="P1987" i="23" s="1"/>
  <c r="H1987" i="23"/>
  <c r="U1986" i="23"/>
  <c r="T1986" i="23"/>
  <c r="O1986" i="23"/>
  <c r="N1986" i="23"/>
  <c r="P1986" i="23" s="1"/>
  <c r="H1986" i="23"/>
  <c r="R1985" i="23"/>
  <c r="O1985" i="23"/>
  <c r="N1985" i="23"/>
  <c r="H1985" i="23"/>
  <c r="J1985" i="23" s="1"/>
  <c r="U1984" i="23"/>
  <c r="T1984" i="23"/>
  <c r="O1984" i="23"/>
  <c r="N1984" i="23"/>
  <c r="P1984" i="23" s="1"/>
  <c r="H1984" i="23"/>
  <c r="U1983" i="23"/>
  <c r="T1983" i="23"/>
  <c r="O1983" i="23"/>
  <c r="N1983" i="23"/>
  <c r="P1983" i="23" s="1"/>
  <c r="H1983" i="23"/>
  <c r="U1982" i="23"/>
  <c r="T1982" i="23"/>
  <c r="O1982" i="23"/>
  <c r="N1982" i="23"/>
  <c r="P1982" i="23" s="1"/>
  <c r="H1982" i="23"/>
  <c r="R1981" i="23"/>
  <c r="O1981" i="23"/>
  <c r="N1981" i="23"/>
  <c r="S1981" i="23" s="1"/>
  <c r="U1980" i="23"/>
  <c r="T1980" i="23"/>
  <c r="O1980" i="23"/>
  <c r="N1980" i="23"/>
  <c r="P1980" i="23" s="1"/>
  <c r="H1980" i="23"/>
  <c r="U1979" i="23"/>
  <c r="T1979" i="23"/>
  <c r="O1979" i="23"/>
  <c r="N1979" i="23"/>
  <c r="P1979" i="23" s="1"/>
  <c r="H1979" i="23"/>
  <c r="U1978" i="23"/>
  <c r="T1978" i="23"/>
  <c r="O1978" i="23"/>
  <c r="N1978" i="23"/>
  <c r="P1978" i="23" s="1"/>
  <c r="H1978" i="23"/>
  <c r="R1977" i="23"/>
  <c r="O1977" i="23"/>
  <c r="N1977" i="23"/>
  <c r="S1977" i="23" s="1"/>
  <c r="U1976" i="23"/>
  <c r="T1976" i="23"/>
  <c r="O1976" i="23"/>
  <c r="N1976" i="23"/>
  <c r="P1976" i="23" s="1"/>
  <c r="H1976" i="23"/>
  <c r="U1975" i="23"/>
  <c r="T1975" i="23"/>
  <c r="O1975" i="23"/>
  <c r="N1975" i="23"/>
  <c r="P1975" i="23" s="1"/>
  <c r="H1975" i="23"/>
  <c r="U1974" i="23"/>
  <c r="T1974" i="23"/>
  <c r="O1974" i="23"/>
  <c r="N1974" i="23"/>
  <c r="P1974" i="23" s="1"/>
  <c r="H1974" i="23"/>
  <c r="R1973" i="23"/>
  <c r="O1973" i="23"/>
  <c r="N1973" i="23"/>
  <c r="P1973" i="23" s="1"/>
  <c r="H1973" i="23"/>
  <c r="J1973" i="23" s="1"/>
  <c r="U1972" i="23"/>
  <c r="T1972" i="23"/>
  <c r="O1972" i="23"/>
  <c r="N1972" i="23"/>
  <c r="P1972" i="23" s="1"/>
  <c r="H1972" i="23"/>
  <c r="U1971" i="23"/>
  <c r="T1971" i="23"/>
  <c r="O1971" i="23"/>
  <c r="N1971" i="23"/>
  <c r="P1971" i="23" s="1"/>
  <c r="H1971" i="23"/>
  <c r="U1970" i="23"/>
  <c r="T1970" i="23"/>
  <c r="O1970" i="23"/>
  <c r="N1970" i="23"/>
  <c r="P1970" i="23" s="1"/>
  <c r="H1970" i="23"/>
  <c r="H1969" i="23" s="1"/>
  <c r="J1969" i="23" s="1"/>
  <c r="R1969" i="23"/>
  <c r="O1969" i="23"/>
  <c r="N1969" i="23"/>
  <c r="P1969" i="23" s="1"/>
  <c r="U1968" i="23"/>
  <c r="T1968" i="23"/>
  <c r="O1968" i="23"/>
  <c r="N1968" i="23"/>
  <c r="P1968" i="23" s="1"/>
  <c r="H1968" i="23"/>
  <c r="U1967" i="23"/>
  <c r="T1967" i="23"/>
  <c r="O1967" i="23"/>
  <c r="N1967" i="23"/>
  <c r="P1967" i="23" s="1"/>
  <c r="H1967" i="23"/>
  <c r="U1966" i="23"/>
  <c r="T1966" i="23"/>
  <c r="O1966" i="23"/>
  <c r="N1966" i="23"/>
  <c r="P1966" i="23" s="1"/>
  <c r="H1966" i="23"/>
  <c r="R1965" i="23"/>
  <c r="O1965" i="23"/>
  <c r="N1965" i="23"/>
  <c r="S1965" i="23" s="1"/>
  <c r="U1964" i="23"/>
  <c r="T1964" i="23"/>
  <c r="O1964" i="23"/>
  <c r="N1964" i="23"/>
  <c r="P1964" i="23" s="1"/>
  <c r="H1964" i="23"/>
  <c r="H1961" i="23" s="1"/>
  <c r="J1961" i="23" s="1"/>
  <c r="U1963" i="23"/>
  <c r="T1963" i="23"/>
  <c r="O1963" i="23"/>
  <c r="N1963" i="23"/>
  <c r="P1963" i="23" s="1"/>
  <c r="H1963" i="23"/>
  <c r="U1962" i="23"/>
  <c r="T1962" i="23"/>
  <c r="O1962" i="23"/>
  <c r="N1962" i="23"/>
  <c r="P1962" i="23" s="1"/>
  <c r="H1962" i="23"/>
  <c r="R1961" i="23"/>
  <c r="O1961" i="23"/>
  <c r="N1961" i="23"/>
  <c r="S1961" i="23" s="1"/>
  <c r="U1960" i="23"/>
  <c r="T1960" i="23"/>
  <c r="O1960" i="23"/>
  <c r="N1960" i="23"/>
  <c r="P1960" i="23" s="1"/>
  <c r="H1960" i="23"/>
  <c r="U1959" i="23"/>
  <c r="T1959" i="23"/>
  <c r="O1959" i="23"/>
  <c r="N1959" i="23"/>
  <c r="P1959" i="23" s="1"/>
  <c r="H1959" i="23"/>
  <c r="U1958" i="23"/>
  <c r="T1958" i="23"/>
  <c r="O1958" i="23"/>
  <c r="N1958" i="23"/>
  <c r="P1958" i="23" s="1"/>
  <c r="H1958" i="23"/>
  <c r="H1957" i="23" s="1"/>
  <c r="J1957" i="23" s="1"/>
  <c r="R1957" i="23"/>
  <c r="O1957" i="23"/>
  <c r="N1957" i="23"/>
  <c r="S1957" i="23" s="1"/>
  <c r="U1957" i="23" s="1"/>
  <c r="U1956" i="23"/>
  <c r="T1956" i="23"/>
  <c r="O1956" i="23"/>
  <c r="N1956" i="23"/>
  <c r="P1956" i="23" s="1"/>
  <c r="H1956" i="23"/>
  <c r="H1953" i="23" s="1"/>
  <c r="J1953" i="23" s="1"/>
  <c r="U1955" i="23"/>
  <c r="T1955" i="23"/>
  <c r="O1955" i="23"/>
  <c r="N1955" i="23"/>
  <c r="P1955" i="23" s="1"/>
  <c r="H1955" i="23"/>
  <c r="U1954" i="23"/>
  <c r="T1954" i="23"/>
  <c r="O1954" i="23"/>
  <c r="N1954" i="23"/>
  <c r="P1954" i="23" s="1"/>
  <c r="H1954" i="23"/>
  <c r="R1953" i="23"/>
  <c r="O1953" i="23"/>
  <c r="N1953" i="23"/>
  <c r="U1952" i="23"/>
  <c r="T1952" i="23"/>
  <c r="O1952" i="23"/>
  <c r="N1952" i="23"/>
  <c r="P1952" i="23" s="1"/>
  <c r="H1952" i="23"/>
  <c r="U1951" i="23"/>
  <c r="T1951" i="23"/>
  <c r="O1951" i="23"/>
  <c r="N1951" i="23"/>
  <c r="P1951" i="23" s="1"/>
  <c r="H1951" i="23"/>
  <c r="U1950" i="23"/>
  <c r="T1950" i="23"/>
  <c r="O1950" i="23"/>
  <c r="N1950" i="23"/>
  <c r="P1950" i="23" s="1"/>
  <c r="H1950" i="23"/>
  <c r="R1949" i="23"/>
  <c r="O1949" i="23"/>
  <c r="N1949" i="23"/>
  <c r="S1949" i="23" s="1"/>
  <c r="U1948" i="23"/>
  <c r="T1948" i="23"/>
  <c r="O1948" i="23"/>
  <c r="N1948" i="23"/>
  <c r="P1948" i="23" s="1"/>
  <c r="H1948" i="23"/>
  <c r="U1947" i="23"/>
  <c r="T1947" i="23"/>
  <c r="O1947" i="23"/>
  <c r="N1947" i="23"/>
  <c r="P1947" i="23" s="1"/>
  <c r="H1947" i="23"/>
  <c r="U1946" i="23"/>
  <c r="T1946" i="23"/>
  <c r="O1946" i="23"/>
  <c r="N1946" i="23"/>
  <c r="P1946" i="23" s="1"/>
  <c r="H1946" i="23"/>
  <c r="R1945" i="23"/>
  <c r="O1945" i="23"/>
  <c r="N1945" i="23"/>
  <c r="S1945" i="23" s="1"/>
  <c r="U1944" i="23"/>
  <c r="T1944" i="23"/>
  <c r="O1944" i="23"/>
  <c r="N1944" i="23"/>
  <c r="P1944" i="23" s="1"/>
  <c r="H1944" i="23"/>
  <c r="U1943" i="23"/>
  <c r="T1943" i="23"/>
  <c r="O1943" i="23"/>
  <c r="N1943" i="23"/>
  <c r="P1943" i="23" s="1"/>
  <c r="H1943" i="23"/>
  <c r="U1942" i="23"/>
  <c r="T1942" i="23"/>
  <c r="O1942" i="23"/>
  <c r="N1942" i="23"/>
  <c r="P1942" i="23" s="1"/>
  <c r="H1942" i="23"/>
  <c r="R1941" i="23"/>
  <c r="O1941" i="23"/>
  <c r="N1941" i="23"/>
  <c r="P1941" i="23" s="1"/>
  <c r="H1941" i="23"/>
  <c r="J1941" i="23" s="1"/>
  <c r="U1940" i="23"/>
  <c r="T1940" i="23"/>
  <c r="O1940" i="23"/>
  <c r="N1940" i="23"/>
  <c r="P1940" i="23" s="1"/>
  <c r="H1940" i="23"/>
  <c r="U1939" i="23"/>
  <c r="T1939" i="23"/>
  <c r="O1939" i="23"/>
  <c r="N1939" i="23"/>
  <c r="P1939" i="23" s="1"/>
  <c r="H1939" i="23"/>
  <c r="H1937" i="23" s="1"/>
  <c r="J1937" i="23" s="1"/>
  <c r="U1938" i="23"/>
  <c r="T1938" i="23"/>
  <c r="O1938" i="23"/>
  <c r="N1938" i="23"/>
  <c r="P1938" i="23" s="1"/>
  <c r="H1938" i="23"/>
  <c r="R1937" i="23"/>
  <c r="O1937" i="23"/>
  <c r="N1937" i="23"/>
  <c r="U1936" i="23"/>
  <c r="T1936" i="23"/>
  <c r="O1936" i="23"/>
  <c r="N1936" i="23"/>
  <c r="P1936" i="23" s="1"/>
  <c r="H1936" i="23"/>
  <c r="U1935" i="23"/>
  <c r="T1935" i="23"/>
  <c r="O1935" i="23"/>
  <c r="N1935" i="23"/>
  <c r="P1935" i="23" s="1"/>
  <c r="H1935" i="23"/>
  <c r="U1934" i="23"/>
  <c r="T1934" i="23"/>
  <c r="O1934" i="23"/>
  <c r="N1934" i="23"/>
  <c r="P1934" i="23" s="1"/>
  <c r="H1934" i="23"/>
  <c r="H1933" i="23" s="1"/>
  <c r="J1933" i="23" s="1"/>
  <c r="R1933" i="23"/>
  <c r="O1933" i="23"/>
  <c r="N1933" i="23"/>
  <c r="U1932" i="23"/>
  <c r="T1932" i="23"/>
  <c r="O1932" i="23"/>
  <c r="N1932" i="23"/>
  <c r="P1932" i="23" s="1"/>
  <c r="H1932" i="23"/>
  <c r="H1929" i="23" s="1"/>
  <c r="J1929" i="23" s="1"/>
  <c r="U1931" i="23"/>
  <c r="T1931" i="23"/>
  <c r="O1931" i="23"/>
  <c r="N1931" i="23"/>
  <c r="P1931" i="23" s="1"/>
  <c r="H1931" i="23"/>
  <c r="U1930" i="23"/>
  <c r="T1930" i="23"/>
  <c r="O1930" i="23"/>
  <c r="N1930" i="23"/>
  <c r="P1930" i="23" s="1"/>
  <c r="H1930" i="23"/>
  <c r="R1929" i="23"/>
  <c r="O1929" i="23"/>
  <c r="N1929" i="23"/>
  <c r="S1929" i="23" s="1"/>
  <c r="U1928" i="23"/>
  <c r="T1928" i="23"/>
  <c r="O1928" i="23"/>
  <c r="N1928" i="23"/>
  <c r="P1928" i="23" s="1"/>
  <c r="H1928" i="23"/>
  <c r="U1927" i="23"/>
  <c r="T1927" i="23"/>
  <c r="O1927" i="23"/>
  <c r="N1927" i="23"/>
  <c r="P1927" i="23" s="1"/>
  <c r="H1927" i="23"/>
  <c r="U1926" i="23"/>
  <c r="T1926" i="23"/>
  <c r="O1926" i="23"/>
  <c r="N1926" i="23"/>
  <c r="P1926" i="23" s="1"/>
  <c r="H1926" i="23"/>
  <c r="H1925" i="23" s="1"/>
  <c r="J1925" i="23" s="1"/>
  <c r="R1925" i="23"/>
  <c r="O1925" i="23"/>
  <c r="N1925" i="23"/>
  <c r="P1925" i="23" s="1"/>
  <c r="U1924" i="23"/>
  <c r="T1924" i="23"/>
  <c r="O1924" i="23"/>
  <c r="N1924" i="23"/>
  <c r="P1924" i="23" s="1"/>
  <c r="H1924" i="23"/>
  <c r="U1923" i="23"/>
  <c r="T1923" i="23"/>
  <c r="O1923" i="23"/>
  <c r="N1923" i="23"/>
  <c r="P1923" i="23" s="1"/>
  <c r="H1923" i="23"/>
  <c r="U1922" i="23"/>
  <c r="T1922" i="23"/>
  <c r="O1922" i="23"/>
  <c r="N1922" i="23"/>
  <c r="P1922" i="23" s="1"/>
  <c r="H1922" i="23"/>
  <c r="H1921" i="23" s="1"/>
  <c r="J1921" i="23" s="1"/>
  <c r="R1921" i="23"/>
  <c r="O1921" i="23"/>
  <c r="N1921" i="23"/>
  <c r="P1921" i="23" s="1"/>
  <c r="U1920" i="23"/>
  <c r="T1920" i="23"/>
  <c r="O1920" i="23"/>
  <c r="N1920" i="23"/>
  <c r="P1920" i="23" s="1"/>
  <c r="H1920" i="23"/>
  <c r="U1919" i="23"/>
  <c r="T1919" i="23"/>
  <c r="O1919" i="23"/>
  <c r="N1919" i="23"/>
  <c r="P1919" i="23" s="1"/>
  <c r="H1919" i="23"/>
  <c r="U1918" i="23"/>
  <c r="T1918" i="23"/>
  <c r="O1918" i="23"/>
  <c r="N1918" i="23"/>
  <c r="P1918" i="23" s="1"/>
  <c r="H1918" i="23"/>
  <c r="R1917" i="23"/>
  <c r="O1917" i="23"/>
  <c r="N1917" i="23"/>
  <c r="U1916" i="23"/>
  <c r="T1916" i="23"/>
  <c r="O1916" i="23"/>
  <c r="N1916" i="23"/>
  <c r="P1916" i="23" s="1"/>
  <c r="H1916" i="23"/>
  <c r="U1915" i="23"/>
  <c r="T1915" i="23"/>
  <c r="O1915" i="23"/>
  <c r="N1915" i="23"/>
  <c r="P1915" i="23" s="1"/>
  <c r="H1915" i="23"/>
  <c r="U1914" i="23"/>
  <c r="T1914" i="23"/>
  <c r="O1914" i="23"/>
  <c r="N1914" i="23"/>
  <c r="P1914" i="23" s="1"/>
  <c r="H1914" i="23"/>
  <c r="R1913" i="23"/>
  <c r="O1913" i="23"/>
  <c r="N1913" i="23"/>
  <c r="U1912" i="23"/>
  <c r="T1912" i="23"/>
  <c r="O1912" i="23"/>
  <c r="N1912" i="23"/>
  <c r="P1912" i="23" s="1"/>
  <c r="H1912" i="23"/>
  <c r="U1911" i="23"/>
  <c r="T1911" i="23"/>
  <c r="O1911" i="23"/>
  <c r="N1911" i="23"/>
  <c r="P1911" i="23" s="1"/>
  <c r="H1911" i="23"/>
  <c r="U1910" i="23"/>
  <c r="T1910" i="23"/>
  <c r="O1910" i="23"/>
  <c r="N1910" i="23"/>
  <c r="P1910" i="23" s="1"/>
  <c r="H1910" i="23"/>
  <c r="R1909" i="23"/>
  <c r="O1909" i="23"/>
  <c r="N1909" i="23"/>
  <c r="U1908" i="23"/>
  <c r="T1908" i="23"/>
  <c r="O1908" i="23"/>
  <c r="N1908" i="23"/>
  <c r="P1908" i="23" s="1"/>
  <c r="H1908" i="23"/>
  <c r="U1907" i="23"/>
  <c r="T1907" i="23"/>
  <c r="O1907" i="23"/>
  <c r="N1907" i="23"/>
  <c r="P1907" i="23" s="1"/>
  <c r="H1907" i="23"/>
  <c r="U1906" i="23"/>
  <c r="T1906" i="23"/>
  <c r="O1906" i="23"/>
  <c r="N1906" i="23"/>
  <c r="P1906" i="23" s="1"/>
  <c r="H1906" i="23"/>
  <c r="U1905" i="23"/>
  <c r="T1905" i="23"/>
  <c r="O1905" i="23"/>
  <c r="N1905" i="23"/>
  <c r="P1905" i="23" s="1"/>
  <c r="H1905" i="23"/>
  <c r="R1904" i="23"/>
  <c r="O1904" i="23"/>
  <c r="N1904" i="23"/>
  <c r="U1903" i="23"/>
  <c r="T1903" i="23"/>
  <c r="O1903" i="23"/>
  <c r="N1903" i="23"/>
  <c r="P1903" i="23" s="1"/>
  <c r="H1903" i="23"/>
  <c r="U1902" i="23"/>
  <c r="T1902" i="23"/>
  <c r="O1902" i="23"/>
  <c r="N1902" i="23"/>
  <c r="P1902" i="23" s="1"/>
  <c r="H1902" i="23"/>
  <c r="H1900" i="23" s="1"/>
  <c r="J1900" i="23" s="1"/>
  <c r="U1901" i="23"/>
  <c r="T1901" i="23"/>
  <c r="O1901" i="23"/>
  <c r="N1901" i="23"/>
  <c r="P1901" i="23" s="1"/>
  <c r="H1901" i="23"/>
  <c r="R1900" i="23"/>
  <c r="O1900" i="23"/>
  <c r="N1900" i="23"/>
  <c r="S1900" i="23" s="1"/>
  <c r="U1899" i="23"/>
  <c r="T1899" i="23"/>
  <c r="O1899" i="23"/>
  <c r="N1899" i="23"/>
  <c r="P1899" i="23" s="1"/>
  <c r="H1899" i="23"/>
  <c r="U1898" i="23"/>
  <c r="T1898" i="23"/>
  <c r="O1898" i="23"/>
  <c r="N1898" i="23"/>
  <c r="P1898" i="23" s="1"/>
  <c r="H1898" i="23"/>
  <c r="U1897" i="23"/>
  <c r="T1897" i="23"/>
  <c r="O1897" i="23"/>
  <c r="N1897" i="23"/>
  <c r="P1897" i="23" s="1"/>
  <c r="H1897" i="23"/>
  <c r="R1896" i="23"/>
  <c r="O1896" i="23"/>
  <c r="N1896" i="23"/>
  <c r="S1896" i="23" s="1"/>
  <c r="U1895" i="23"/>
  <c r="T1895" i="23"/>
  <c r="O1895" i="23"/>
  <c r="N1895" i="23"/>
  <c r="P1895" i="23" s="1"/>
  <c r="H1895" i="23"/>
  <c r="U1894" i="23"/>
  <c r="T1894" i="23"/>
  <c r="O1894" i="23"/>
  <c r="N1894" i="23"/>
  <c r="P1894" i="23" s="1"/>
  <c r="H1894" i="23"/>
  <c r="U1893" i="23"/>
  <c r="T1893" i="23"/>
  <c r="O1893" i="23"/>
  <c r="N1893" i="23"/>
  <c r="P1893" i="23" s="1"/>
  <c r="H1893" i="23"/>
  <c r="R1892" i="23"/>
  <c r="O1892" i="23"/>
  <c r="N1892" i="23"/>
  <c r="S1892" i="23" s="1"/>
  <c r="U1892" i="23" s="1"/>
  <c r="U1891" i="23"/>
  <c r="T1891" i="23"/>
  <c r="O1891" i="23"/>
  <c r="N1891" i="23"/>
  <c r="P1891" i="23" s="1"/>
  <c r="H1891" i="23"/>
  <c r="U1890" i="23"/>
  <c r="T1890" i="23"/>
  <c r="O1890" i="23"/>
  <c r="N1890" i="23"/>
  <c r="P1890" i="23" s="1"/>
  <c r="H1890" i="23"/>
  <c r="U1889" i="23"/>
  <c r="T1889" i="23"/>
  <c r="O1889" i="23"/>
  <c r="N1889" i="23"/>
  <c r="P1889" i="23" s="1"/>
  <c r="H1889" i="23"/>
  <c r="R1888" i="23"/>
  <c r="O1888" i="23"/>
  <c r="N1888" i="23"/>
  <c r="U1887" i="23"/>
  <c r="T1887" i="23"/>
  <c r="O1887" i="23"/>
  <c r="N1887" i="23"/>
  <c r="P1887" i="23" s="1"/>
  <c r="H1887" i="23"/>
  <c r="U1886" i="23"/>
  <c r="T1886" i="23"/>
  <c r="O1886" i="23"/>
  <c r="N1886" i="23"/>
  <c r="P1886" i="23" s="1"/>
  <c r="H1886" i="23"/>
  <c r="U1885" i="23"/>
  <c r="T1885" i="23"/>
  <c r="O1885" i="23"/>
  <c r="N1885" i="23"/>
  <c r="P1885" i="23" s="1"/>
  <c r="H1885" i="23"/>
  <c r="H1884" i="23" s="1"/>
  <c r="J1884" i="23" s="1"/>
  <c r="R1884" i="23"/>
  <c r="O1884" i="23"/>
  <c r="N1884" i="23"/>
  <c r="S1884" i="23" s="1"/>
  <c r="U1883" i="23"/>
  <c r="T1883" i="23"/>
  <c r="O1883" i="23"/>
  <c r="N1883" i="23"/>
  <c r="P1883" i="23" s="1"/>
  <c r="H1883" i="23"/>
  <c r="U1882" i="23"/>
  <c r="T1882" i="23"/>
  <c r="O1882" i="23"/>
  <c r="N1882" i="23"/>
  <c r="P1882" i="23" s="1"/>
  <c r="H1882" i="23"/>
  <c r="U1881" i="23"/>
  <c r="T1881" i="23"/>
  <c r="O1881" i="23"/>
  <c r="N1881" i="23"/>
  <c r="P1881" i="23" s="1"/>
  <c r="H1881" i="23"/>
  <c r="R1880" i="23"/>
  <c r="O1880" i="23"/>
  <c r="N1880" i="23"/>
  <c r="S1880" i="23" s="1"/>
  <c r="U1879" i="23"/>
  <c r="T1879" i="23"/>
  <c r="O1879" i="23"/>
  <c r="N1879" i="23"/>
  <c r="P1879" i="23" s="1"/>
  <c r="H1879" i="23"/>
  <c r="U1878" i="23"/>
  <c r="T1878" i="23"/>
  <c r="O1878" i="23"/>
  <c r="N1878" i="23"/>
  <c r="P1878" i="23" s="1"/>
  <c r="H1878" i="23"/>
  <c r="U1877" i="23"/>
  <c r="T1877" i="23"/>
  <c r="O1877" i="23"/>
  <c r="N1877" i="23"/>
  <c r="P1877" i="23" s="1"/>
  <c r="H1877" i="23"/>
  <c r="H1876" i="23" s="1"/>
  <c r="J1876" i="23" s="1"/>
  <c r="R1876" i="23"/>
  <c r="O1876" i="23"/>
  <c r="N1876" i="23"/>
  <c r="P1876" i="23" s="1"/>
  <c r="U1875" i="23"/>
  <c r="T1875" i="23"/>
  <c r="O1875" i="23"/>
  <c r="N1875" i="23"/>
  <c r="P1875" i="23" s="1"/>
  <c r="K1875" i="23"/>
  <c r="H1875" i="23"/>
  <c r="U1874" i="23"/>
  <c r="T1874" i="23"/>
  <c r="O1874" i="23"/>
  <c r="N1874" i="23"/>
  <c r="P1874" i="23" s="1"/>
  <c r="K1874" i="23"/>
  <c r="H1874" i="23"/>
  <c r="U1873" i="23"/>
  <c r="T1873" i="23"/>
  <c r="O1873" i="23"/>
  <c r="N1873" i="23"/>
  <c r="P1873" i="23" s="1"/>
  <c r="K1873" i="23"/>
  <c r="H1873" i="23"/>
  <c r="R1872" i="23"/>
  <c r="O1872" i="23"/>
  <c r="N1872" i="23"/>
  <c r="S1872" i="23" s="1"/>
  <c r="U1871" i="23"/>
  <c r="T1871" i="23"/>
  <c r="O1871" i="23"/>
  <c r="N1871" i="23"/>
  <c r="P1871" i="23" s="1"/>
  <c r="K1871" i="23"/>
  <c r="H1871" i="23"/>
  <c r="U1870" i="23"/>
  <c r="T1870" i="23"/>
  <c r="O1870" i="23"/>
  <c r="N1870" i="23"/>
  <c r="P1870" i="23" s="1"/>
  <c r="K1870" i="23"/>
  <c r="H1870" i="23"/>
  <c r="U1869" i="23"/>
  <c r="T1869" i="23"/>
  <c r="O1869" i="23"/>
  <c r="N1869" i="23"/>
  <c r="P1869" i="23" s="1"/>
  <c r="K1869" i="23"/>
  <c r="H1869" i="23"/>
  <c r="R1868" i="23"/>
  <c r="O1868" i="23"/>
  <c r="N1868" i="23"/>
  <c r="S1868" i="23" s="1"/>
  <c r="U1867" i="23"/>
  <c r="T1867" i="23"/>
  <c r="O1867" i="23"/>
  <c r="N1867" i="23"/>
  <c r="P1867" i="23" s="1"/>
  <c r="K1867" i="23"/>
  <c r="H1867" i="23"/>
  <c r="U1866" i="23"/>
  <c r="T1866" i="23"/>
  <c r="O1866" i="23"/>
  <c r="N1866" i="23"/>
  <c r="P1866" i="23" s="1"/>
  <c r="K1866" i="23"/>
  <c r="H1866" i="23"/>
  <c r="U1865" i="23"/>
  <c r="T1865" i="23"/>
  <c r="O1865" i="23"/>
  <c r="N1865" i="23"/>
  <c r="P1865" i="23" s="1"/>
  <c r="K1865" i="23"/>
  <c r="H1865" i="23"/>
  <c r="R1864" i="23"/>
  <c r="O1864" i="23"/>
  <c r="N1864" i="23"/>
  <c r="S1864" i="23" s="1"/>
  <c r="U1863" i="23"/>
  <c r="T1863" i="23"/>
  <c r="O1863" i="23"/>
  <c r="N1863" i="23"/>
  <c r="P1863" i="23" s="1"/>
  <c r="K1863" i="23"/>
  <c r="H1863" i="23"/>
  <c r="U1862" i="23"/>
  <c r="T1862" i="23"/>
  <c r="O1862" i="23"/>
  <c r="N1862" i="23"/>
  <c r="P1862" i="23" s="1"/>
  <c r="K1862" i="23"/>
  <c r="H1862" i="23"/>
  <c r="U1861" i="23"/>
  <c r="T1861" i="23"/>
  <c r="O1861" i="23"/>
  <c r="N1861" i="23"/>
  <c r="P1861" i="23" s="1"/>
  <c r="K1861" i="23"/>
  <c r="H1861" i="23"/>
  <c r="R1860" i="23"/>
  <c r="O1860" i="23"/>
  <c r="N1860" i="23"/>
  <c r="P1860" i="23" s="1"/>
  <c r="U1859" i="23"/>
  <c r="T1859" i="23"/>
  <c r="O1859" i="23"/>
  <c r="N1859" i="23"/>
  <c r="P1859" i="23" s="1"/>
  <c r="K1859" i="23"/>
  <c r="H1859" i="23"/>
  <c r="U1858" i="23"/>
  <c r="T1858" i="23"/>
  <c r="O1858" i="23"/>
  <c r="N1858" i="23"/>
  <c r="P1858" i="23" s="1"/>
  <c r="K1858" i="23"/>
  <c r="H1858" i="23"/>
  <c r="U1857" i="23"/>
  <c r="T1857" i="23"/>
  <c r="O1857" i="23"/>
  <c r="N1857" i="23"/>
  <c r="P1857" i="23" s="1"/>
  <c r="K1857" i="23"/>
  <c r="H1857" i="23"/>
  <c r="H1856" i="23" s="1"/>
  <c r="J1856" i="23" s="1"/>
  <c r="R1856" i="23"/>
  <c r="O1856" i="23"/>
  <c r="N1856" i="23"/>
  <c r="U1855" i="23"/>
  <c r="T1855" i="23"/>
  <c r="O1855" i="23"/>
  <c r="N1855" i="23"/>
  <c r="P1855" i="23" s="1"/>
  <c r="K1855" i="23"/>
  <c r="H1855" i="23"/>
  <c r="U1854" i="23"/>
  <c r="T1854" i="23"/>
  <c r="O1854" i="23"/>
  <c r="N1854" i="23"/>
  <c r="P1854" i="23" s="1"/>
  <c r="K1854" i="23"/>
  <c r="H1854" i="23"/>
  <c r="R1853" i="23"/>
  <c r="O1853" i="23"/>
  <c r="N1853" i="23"/>
  <c r="U1852" i="23"/>
  <c r="T1852" i="23"/>
  <c r="O1852" i="23"/>
  <c r="N1852" i="23"/>
  <c r="P1852" i="23" s="1"/>
  <c r="K1852" i="23"/>
  <c r="H1852" i="23"/>
  <c r="H1850" i="23" s="1"/>
  <c r="J1850" i="23" s="1"/>
  <c r="U1851" i="23"/>
  <c r="T1851" i="23"/>
  <c r="O1851" i="23"/>
  <c r="N1851" i="23"/>
  <c r="P1851" i="23" s="1"/>
  <c r="K1851" i="23"/>
  <c r="H1851" i="23"/>
  <c r="R1850" i="23"/>
  <c r="O1850" i="23"/>
  <c r="N1850" i="23"/>
  <c r="S1850" i="23" s="1"/>
  <c r="U1850" i="23" s="1"/>
  <c r="U1849" i="23"/>
  <c r="T1849" i="23"/>
  <c r="O1849" i="23"/>
  <c r="N1849" i="23"/>
  <c r="P1849" i="23" s="1"/>
  <c r="K1849" i="23"/>
  <c r="H1849" i="23"/>
  <c r="U1848" i="23"/>
  <c r="T1848" i="23"/>
  <c r="O1848" i="23"/>
  <c r="N1848" i="23"/>
  <c r="P1848" i="23" s="1"/>
  <c r="K1848" i="23"/>
  <c r="H1848" i="23"/>
  <c r="R1847" i="23"/>
  <c r="O1847" i="23"/>
  <c r="N1847" i="23"/>
  <c r="H1847" i="23"/>
  <c r="J1847" i="23" s="1"/>
  <c r="R1846" i="23"/>
  <c r="O1846" i="23"/>
  <c r="N1846" i="23"/>
  <c r="H1846" i="23"/>
  <c r="J1846" i="23" s="1"/>
  <c r="R1845" i="23"/>
  <c r="O1845" i="23"/>
  <c r="N1845" i="23"/>
  <c r="S1845" i="23" s="1"/>
  <c r="H1845" i="23"/>
  <c r="J1845" i="23" s="1"/>
  <c r="U1844" i="23"/>
  <c r="T1844" i="23"/>
  <c r="O1844" i="23"/>
  <c r="N1844" i="23"/>
  <c r="P1844" i="23" s="1"/>
  <c r="H1844" i="23"/>
  <c r="U1843" i="23"/>
  <c r="T1843" i="23"/>
  <c r="O1843" i="23"/>
  <c r="N1843" i="23"/>
  <c r="P1843" i="23" s="1"/>
  <c r="H1843" i="23"/>
  <c r="U1842" i="23"/>
  <c r="T1842" i="23"/>
  <c r="O1842" i="23"/>
  <c r="N1842" i="23"/>
  <c r="P1842" i="23" s="1"/>
  <c r="H1842" i="23"/>
  <c r="R1841" i="23"/>
  <c r="O1841" i="23"/>
  <c r="N1841" i="23"/>
  <c r="R1840" i="23"/>
  <c r="O1840" i="23"/>
  <c r="N1840" i="23"/>
  <c r="S1840" i="23" s="1"/>
  <c r="U1840" i="23" s="1"/>
  <c r="H1840" i="23"/>
  <c r="J1840" i="23" s="1"/>
  <c r="R1839" i="23"/>
  <c r="O1839" i="23"/>
  <c r="N1839" i="23"/>
  <c r="S1839" i="23" s="1"/>
  <c r="H1839" i="23"/>
  <c r="J1839" i="23" s="1"/>
  <c r="R1838" i="23"/>
  <c r="O1838" i="23"/>
  <c r="N1838" i="23"/>
  <c r="P1838" i="23" s="1"/>
  <c r="H1838" i="23"/>
  <c r="J1838" i="23" s="1"/>
  <c r="R1837" i="23"/>
  <c r="O1837" i="23"/>
  <c r="N1837" i="23"/>
  <c r="P1837" i="23" s="1"/>
  <c r="H1837" i="23"/>
  <c r="J1837" i="23" s="1"/>
  <c r="U1836" i="23"/>
  <c r="T1836" i="23"/>
  <c r="O1836" i="23"/>
  <c r="N1836" i="23"/>
  <c r="P1836" i="23" s="1"/>
  <c r="K1836" i="23"/>
  <c r="H1836" i="23"/>
  <c r="U1835" i="23"/>
  <c r="T1835" i="23"/>
  <c r="O1835" i="23"/>
  <c r="N1835" i="23"/>
  <c r="P1835" i="23" s="1"/>
  <c r="K1835" i="23"/>
  <c r="H1835" i="23"/>
  <c r="U1834" i="23"/>
  <c r="T1834" i="23"/>
  <c r="O1834" i="23"/>
  <c r="N1834" i="23"/>
  <c r="P1834" i="23" s="1"/>
  <c r="K1834" i="23"/>
  <c r="H1834" i="23"/>
  <c r="R1833" i="23"/>
  <c r="O1833" i="23"/>
  <c r="N1833" i="23"/>
  <c r="S1833" i="23" s="1"/>
  <c r="R1832" i="23"/>
  <c r="O1832" i="23"/>
  <c r="N1832" i="23"/>
  <c r="S1832" i="23" s="1"/>
  <c r="H1832" i="23"/>
  <c r="J1832" i="23" s="1"/>
  <c r="R1831" i="23"/>
  <c r="O1831" i="23"/>
  <c r="N1831" i="23"/>
  <c r="S1831" i="23" s="1"/>
  <c r="H1831" i="23"/>
  <c r="J1831" i="23" s="1"/>
  <c r="R1830" i="23"/>
  <c r="O1830" i="23"/>
  <c r="N1830" i="23"/>
  <c r="S1830" i="23" s="1"/>
  <c r="H1830" i="23"/>
  <c r="J1830" i="23" s="1"/>
  <c r="R1829" i="23"/>
  <c r="O1829" i="23"/>
  <c r="N1829" i="23"/>
  <c r="S1829" i="23" s="1"/>
  <c r="U1829" i="23" s="1"/>
  <c r="J1829" i="23"/>
  <c r="H1829" i="23"/>
  <c r="R1828" i="23"/>
  <c r="O1828" i="23"/>
  <c r="N1828" i="23"/>
  <c r="S1828" i="23" s="1"/>
  <c r="H1828" i="23"/>
  <c r="J1828" i="23" s="1"/>
  <c r="R1827" i="23"/>
  <c r="O1827" i="23"/>
  <c r="N1827" i="23"/>
  <c r="J1827" i="23"/>
  <c r="R1826" i="23"/>
  <c r="O1826" i="23"/>
  <c r="N1826" i="23"/>
  <c r="S1826" i="23" s="1"/>
  <c r="J1826" i="23"/>
  <c r="R1825" i="23"/>
  <c r="O1825" i="23"/>
  <c r="N1825" i="23"/>
  <c r="J1825" i="23"/>
  <c r="R1824" i="23"/>
  <c r="O1824" i="23"/>
  <c r="N1824" i="23"/>
  <c r="J1824" i="23"/>
  <c r="R1823" i="23"/>
  <c r="O1823" i="23"/>
  <c r="N1823" i="23"/>
  <c r="J1823" i="23"/>
  <c r="U1822" i="23"/>
  <c r="T1822" i="23"/>
  <c r="O1822" i="23"/>
  <c r="N1822" i="23"/>
  <c r="P1822" i="23" s="1"/>
  <c r="K1822" i="23"/>
  <c r="H1822" i="23"/>
  <c r="U1821" i="23"/>
  <c r="T1821" i="23"/>
  <c r="O1821" i="23"/>
  <c r="N1821" i="23"/>
  <c r="P1821" i="23" s="1"/>
  <c r="K1821" i="23"/>
  <c r="H1821" i="23"/>
  <c r="R1820" i="23"/>
  <c r="O1820" i="23"/>
  <c r="N1820" i="23"/>
  <c r="S1820" i="23" s="1"/>
  <c r="U1819" i="23"/>
  <c r="T1819" i="23"/>
  <c r="O1819" i="23"/>
  <c r="N1819" i="23"/>
  <c r="P1819" i="23" s="1"/>
  <c r="K1819" i="23"/>
  <c r="H1819" i="23"/>
  <c r="H1817" i="23" s="1"/>
  <c r="J1817" i="23" s="1"/>
  <c r="U1818" i="23"/>
  <c r="T1818" i="23"/>
  <c r="O1818" i="23"/>
  <c r="N1818" i="23"/>
  <c r="P1818" i="23" s="1"/>
  <c r="K1818" i="23"/>
  <c r="H1818" i="23"/>
  <c r="R1817" i="23"/>
  <c r="O1817" i="23"/>
  <c r="N1817" i="23"/>
  <c r="S1817" i="23" s="1"/>
  <c r="U1817" i="23" s="1"/>
  <c r="U1816" i="23"/>
  <c r="T1816" i="23"/>
  <c r="O1816" i="23"/>
  <c r="N1816" i="23"/>
  <c r="P1816" i="23" s="1"/>
  <c r="K1816" i="23"/>
  <c r="H1816" i="23"/>
  <c r="H1814" i="23" s="1"/>
  <c r="J1814" i="23" s="1"/>
  <c r="U1815" i="23"/>
  <c r="T1815" i="23"/>
  <c r="O1815" i="23"/>
  <c r="N1815" i="23"/>
  <c r="P1815" i="23" s="1"/>
  <c r="K1815" i="23"/>
  <c r="H1815" i="23"/>
  <c r="R1814" i="23"/>
  <c r="O1814" i="23"/>
  <c r="N1814" i="23"/>
  <c r="U1813" i="23"/>
  <c r="T1813" i="23"/>
  <c r="O1813" i="23"/>
  <c r="N1813" i="23"/>
  <c r="P1813" i="23" s="1"/>
  <c r="K1813" i="23"/>
  <c r="H1813" i="23"/>
  <c r="U1812" i="23"/>
  <c r="T1812" i="23"/>
  <c r="O1812" i="23"/>
  <c r="N1812" i="23"/>
  <c r="P1812" i="23" s="1"/>
  <c r="K1812" i="23"/>
  <c r="H1812" i="23"/>
  <c r="R1811" i="23"/>
  <c r="O1811" i="23"/>
  <c r="N1811" i="23"/>
  <c r="H1811" i="23"/>
  <c r="J1811" i="23" s="1"/>
  <c r="U1810" i="23"/>
  <c r="T1810" i="23"/>
  <c r="O1810" i="23"/>
  <c r="N1810" i="23"/>
  <c r="P1810" i="23" s="1"/>
  <c r="K1810" i="23"/>
  <c r="H1810" i="23"/>
  <c r="U1809" i="23"/>
  <c r="T1809" i="23"/>
  <c r="O1809" i="23"/>
  <c r="N1809" i="23"/>
  <c r="P1809" i="23" s="1"/>
  <c r="K1809" i="23"/>
  <c r="H1809" i="23"/>
  <c r="R1808" i="23"/>
  <c r="O1808" i="23"/>
  <c r="N1808" i="23"/>
  <c r="U1807" i="23"/>
  <c r="T1807" i="23"/>
  <c r="O1807" i="23"/>
  <c r="N1807" i="23"/>
  <c r="P1807" i="23" s="1"/>
  <c r="K1807" i="23"/>
  <c r="H1807" i="23"/>
  <c r="U1806" i="23"/>
  <c r="T1806" i="23"/>
  <c r="O1806" i="23"/>
  <c r="N1806" i="23"/>
  <c r="P1806" i="23" s="1"/>
  <c r="K1806" i="23"/>
  <c r="H1806" i="23"/>
  <c r="R1805" i="23"/>
  <c r="O1805" i="23"/>
  <c r="N1805" i="23"/>
  <c r="P1805" i="23" s="1"/>
  <c r="U1804" i="23"/>
  <c r="T1804" i="23"/>
  <c r="O1804" i="23"/>
  <c r="N1804" i="23"/>
  <c r="P1804" i="23" s="1"/>
  <c r="K1804" i="23"/>
  <c r="H1804" i="23"/>
  <c r="U1803" i="23"/>
  <c r="T1803" i="23"/>
  <c r="O1803" i="23"/>
  <c r="N1803" i="23"/>
  <c r="P1803" i="23" s="1"/>
  <c r="K1803" i="23"/>
  <c r="H1803" i="23"/>
  <c r="H1802" i="23" s="1"/>
  <c r="J1802" i="23" s="1"/>
  <c r="R1802" i="23"/>
  <c r="O1802" i="23"/>
  <c r="N1802" i="23"/>
  <c r="P1802" i="23" s="1"/>
  <c r="R1801" i="23"/>
  <c r="O1801" i="23"/>
  <c r="N1801" i="23"/>
  <c r="P1801" i="23" s="1"/>
  <c r="H1801" i="23"/>
  <c r="J1801" i="23" s="1"/>
  <c r="R1800" i="23"/>
  <c r="O1800" i="23"/>
  <c r="N1800" i="23"/>
  <c r="P1800" i="23" s="1"/>
  <c r="J1800" i="23"/>
  <c r="H1800" i="23"/>
  <c r="R1799" i="23"/>
  <c r="O1799" i="23"/>
  <c r="N1799" i="23"/>
  <c r="H1799" i="23"/>
  <c r="J1799" i="23" s="1"/>
  <c r="R1798" i="23"/>
  <c r="O1798" i="23"/>
  <c r="N1798" i="23"/>
  <c r="H1798" i="23"/>
  <c r="J1798" i="23" s="1"/>
  <c r="R1797" i="23"/>
  <c r="O1797" i="23"/>
  <c r="N1797" i="23"/>
  <c r="S1797" i="23" s="1"/>
  <c r="U1797" i="23" s="1"/>
  <c r="H1797" i="23"/>
  <c r="J1797" i="23" s="1"/>
  <c r="R1796" i="23"/>
  <c r="O1796" i="23"/>
  <c r="N1796" i="23"/>
  <c r="S1796" i="23" s="1"/>
  <c r="H1796" i="23"/>
  <c r="J1796" i="23" s="1"/>
  <c r="R1795" i="23"/>
  <c r="O1795" i="23"/>
  <c r="N1795" i="23"/>
  <c r="S1795" i="23" s="1"/>
  <c r="H1795" i="23"/>
  <c r="J1795" i="23" s="1"/>
  <c r="R1794" i="23"/>
  <c r="O1794" i="23"/>
  <c r="N1794" i="23"/>
  <c r="P1794" i="23" s="1"/>
  <c r="H1794" i="23"/>
  <c r="J1794" i="23" s="1"/>
  <c r="R1793" i="23"/>
  <c r="O1793" i="23"/>
  <c r="N1793" i="23"/>
  <c r="P1793" i="23" s="1"/>
  <c r="J1793" i="23"/>
  <c r="H1793" i="23"/>
  <c r="R1792" i="23"/>
  <c r="O1792" i="23"/>
  <c r="N1792" i="23"/>
  <c r="P1792" i="23" s="1"/>
  <c r="H1792" i="23"/>
  <c r="J1792" i="23" s="1"/>
  <c r="R1791" i="23"/>
  <c r="O1791" i="23"/>
  <c r="N1791" i="23"/>
  <c r="J1791" i="23"/>
  <c r="H1791" i="23"/>
  <c r="R1790" i="23"/>
  <c r="O1790" i="23"/>
  <c r="N1790" i="23"/>
  <c r="H1790" i="23"/>
  <c r="J1790" i="23" s="1"/>
  <c r="R1789" i="23"/>
  <c r="O1789" i="23"/>
  <c r="N1789" i="23"/>
  <c r="S1789" i="23" s="1"/>
  <c r="H1789" i="23"/>
  <c r="J1789" i="23" s="1"/>
  <c r="R1788" i="23"/>
  <c r="O1788" i="23"/>
  <c r="N1788" i="23"/>
  <c r="S1788" i="23" s="1"/>
  <c r="H1788" i="23"/>
  <c r="J1788" i="23" s="1"/>
  <c r="R1787" i="23"/>
  <c r="O1787" i="23"/>
  <c r="N1787" i="23"/>
  <c r="H1787" i="23"/>
  <c r="J1787" i="23" s="1"/>
  <c r="R1786" i="23"/>
  <c r="O1786" i="23"/>
  <c r="N1786" i="23"/>
  <c r="P1786" i="23" s="1"/>
  <c r="H1786" i="23"/>
  <c r="J1786" i="23" s="1"/>
  <c r="U1785" i="23"/>
  <c r="T1785" i="23"/>
  <c r="P1785" i="23"/>
  <c r="O1785" i="23"/>
  <c r="R1784" i="23"/>
  <c r="O1784" i="23"/>
  <c r="N1784" i="23"/>
  <c r="K1784" i="23"/>
  <c r="R1783" i="23"/>
  <c r="O1783" i="23"/>
  <c r="N1783" i="23"/>
  <c r="P1783" i="23" s="1"/>
  <c r="K1783" i="23"/>
  <c r="R1782" i="23"/>
  <c r="O1782" i="23"/>
  <c r="N1782" i="23"/>
  <c r="K1782" i="23"/>
  <c r="R1781" i="23"/>
  <c r="O1781" i="23"/>
  <c r="N1781" i="23"/>
  <c r="S1781" i="23" s="1"/>
  <c r="K1781" i="23"/>
  <c r="R1780" i="23"/>
  <c r="O1780" i="23"/>
  <c r="N1780" i="23"/>
  <c r="K1780" i="23"/>
  <c r="R1779" i="23"/>
  <c r="O1779" i="23"/>
  <c r="N1779" i="23"/>
  <c r="S1779" i="23" s="1"/>
  <c r="K1779" i="23"/>
  <c r="R1778" i="23"/>
  <c r="O1778" i="23"/>
  <c r="N1778" i="23"/>
  <c r="S1778" i="23" s="1"/>
  <c r="U1778" i="23" s="1"/>
  <c r="K1778" i="23"/>
  <c r="R1777" i="23"/>
  <c r="O1777" i="23"/>
  <c r="N1777" i="23"/>
  <c r="K1777" i="23"/>
  <c r="R1776" i="23"/>
  <c r="O1776" i="23"/>
  <c r="N1776" i="23"/>
  <c r="K1776" i="23"/>
  <c r="R1775" i="23"/>
  <c r="O1775" i="23"/>
  <c r="N1775" i="23"/>
  <c r="P1775" i="23" s="1"/>
  <c r="K1775" i="23"/>
  <c r="R1774" i="23"/>
  <c r="O1774" i="23"/>
  <c r="N1774" i="23"/>
  <c r="S1774" i="23" s="1"/>
  <c r="U1774" i="23" s="1"/>
  <c r="K1774" i="23"/>
  <c r="R1773" i="23"/>
  <c r="O1773" i="23"/>
  <c r="N1773" i="23"/>
  <c r="K1773" i="23"/>
  <c r="R1772" i="23"/>
  <c r="O1772" i="23"/>
  <c r="N1772" i="23"/>
  <c r="K1772" i="23"/>
  <c r="R1771" i="23"/>
  <c r="O1771" i="23"/>
  <c r="N1771" i="23"/>
  <c r="S1771" i="23" s="1"/>
  <c r="K1771" i="23"/>
  <c r="R1770" i="23"/>
  <c r="O1770" i="23"/>
  <c r="N1770" i="23"/>
  <c r="K1770" i="23"/>
  <c r="R1769" i="23"/>
  <c r="O1769" i="23"/>
  <c r="N1769" i="23"/>
  <c r="K1769" i="23"/>
  <c r="R1768" i="23"/>
  <c r="O1768" i="23"/>
  <c r="N1768" i="23"/>
  <c r="K1768" i="23"/>
  <c r="R1767" i="23"/>
  <c r="O1767" i="23"/>
  <c r="N1767" i="23"/>
  <c r="P1767" i="23" s="1"/>
  <c r="K1767" i="23"/>
  <c r="R1766" i="23"/>
  <c r="O1766" i="23"/>
  <c r="N1766" i="23"/>
  <c r="K1766" i="23"/>
  <c r="R1765" i="23"/>
  <c r="O1765" i="23"/>
  <c r="N1765" i="23"/>
  <c r="S1765" i="23" s="1"/>
  <c r="K1765" i="23"/>
  <c r="R1764" i="23"/>
  <c r="O1764" i="23"/>
  <c r="N1764" i="23"/>
  <c r="S1764" i="23" s="1"/>
  <c r="K1764" i="23"/>
  <c r="R1763" i="23"/>
  <c r="O1763" i="23"/>
  <c r="N1763" i="23"/>
  <c r="K1763" i="23"/>
  <c r="R1762" i="23"/>
  <c r="O1762" i="23"/>
  <c r="N1762" i="23"/>
  <c r="K1762" i="23"/>
  <c r="R1761" i="23"/>
  <c r="O1761" i="23"/>
  <c r="N1761" i="23"/>
  <c r="K1761" i="23"/>
  <c r="R1760" i="23"/>
  <c r="O1760" i="23"/>
  <c r="N1760" i="23"/>
  <c r="K1760" i="23"/>
  <c r="R1759" i="23"/>
  <c r="O1759" i="23"/>
  <c r="N1759" i="23"/>
  <c r="P1759" i="23" s="1"/>
  <c r="K1759" i="23"/>
  <c r="R1758" i="23"/>
  <c r="O1758" i="23"/>
  <c r="N1758" i="23"/>
  <c r="K1758" i="23"/>
  <c r="R1757" i="23"/>
  <c r="O1757" i="23"/>
  <c r="N1757" i="23"/>
  <c r="S1757" i="23" s="1"/>
  <c r="K1757" i="23"/>
  <c r="R1756" i="23"/>
  <c r="O1756" i="23"/>
  <c r="N1756" i="23"/>
  <c r="P1756" i="23" s="1"/>
  <c r="K1756" i="23"/>
  <c r="R1755" i="23"/>
  <c r="O1755" i="23"/>
  <c r="N1755" i="23"/>
  <c r="S1755" i="23" s="1"/>
  <c r="K1755" i="23"/>
  <c r="R1754" i="23"/>
  <c r="O1754" i="23"/>
  <c r="N1754" i="23"/>
  <c r="S1754" i="23" s="1"/>
  <c r="U1754" i="23" s="1"/>
  <c r="K1754" i="23"/>
  <c r="R1753" i="23"/>
  <c r="O1753" i="23"/>
  <c r="N1753" i="23"/>
  <c r="K1753" i="23"/>
  <c r="U1752" i="23"/>
  <c r="T1752" i="23"/>
  <c r="O1752" i="23"/>
  <c r="N1752" i="23"/>
  <c r="P1752" i="23" s="1"/>
  <c r="R1751" i="23"/>
  <c r="O1751" i="23"/>
  <c r="N1751" i="23"/>
  <c r="S1751" i="23" s="1"/>
  <c r="U1751" i="23" s="1"/>
  <c r="Z1751" i="23" s="1"/>
  <c r="J1751" i="23"/>
  <c r="R1750" i="23"/>
  <c r="O1750" i="23"/>
  <c r="N1750" i="23"/>
  <c r="J1750" i="23"/>
  <c r="R1749" i="23"/>
  <c r="O1749" i="23"/>
  <c r="N1749" i="23"/>
  <c r="J1749" i="23"/>
  <c r="R1748" i="23"/>
  <c r="O1748" i="23"/>
  <c r="N1748" i="23"/>
  <c r="H1748" i="23"/>
  <c r="J1748" i="23" s="1"/>
  <c r="R1747" i="23"/>
  <c r="O1747" i="23"/>
  <c r="N1747" i="23"/>
  <c r="S1747" i="23" s="1"/>
  <c r="U1747" i="23" s="1"/>
  <c r="J1747" i="23"/>
  <c r="R1746" i="23"/>
  <c r="O1746" i="23"/>
  <c r="N1746" i="23"/>
  <c r="P1746" i="23" s="1"/>
  <c r="J1746" i="23"/>
  <c r="R1745" i="23"/>
  <c r="O1745" i="23"/>
  <c r="N1745" i="23"/>
  <c r="S1745" i="23" s="1"/>
  <c r="U1745" i="23" s="1"/>
  <c r="J1745" i="23"/>
  <c r="R1744" i="23"/>
  <c r="O1744" i="23"/>
  <c r="N1744" i="23"/>
  <c r="J1744" i="23"/>
  <c r="R1743" i="23"/>
  <c r="O1743" i="23"/>
  <c r="N1743" i="23"/>
  <c r="S1743" i="23" s="1"/>
  <c r="J1743" i="23"/>
  <c r="R1742" i="23"/>
  <c r="O1742" i="23"/>
  <c r="N1742" i="23"/>
  <c r="S1742" i="23" s="1"/>
  <c r="U1742" i="23" s="1"/>
  <c r="J1742" i="23"/>
  <c r="R1741" i="23"/>
  <c r="O1741" i="23"/>
  <c r="N1741" i="23"/>
  <c r="P1741" i="23" s="1"/>
  <c r="J1741" i="23"/>
  <c r="R1740" i="23"/>
  <c r="O1740" i="23"/>
  <c r="N1740" i="23"/>
  <c r="P1740" i="23" s="1"/>
  <c r="J1740" i="23"/>
  <c r="R1739" i="23"/>
  <c r="O1739" i="23"/>
  <c r="N1739" i="23"/>
  <c r="P1739" i="23" s="1"/>
  <c r="J1739" i="23"/>
  <c r="R1738" i="23"/>
  <c r="O1738" i="23"/>
  <c r="N1738" i="23"/>
  <c r="H1738" i="23"/>
  <c r="J1738" i="23" s="1"/>
  <c r="R1737" i="23"/>
  <c r="O1737" i="23"/>
  <c r="N1737" i="23"/>
  <c r="H1737" i="23"/>
  <c r="J1737" i="23" s="1"/>
  <c r="R1736" i="23"/>
  <c r="O1736" i="23"/>
  <c r="N1736" i="23"/>
  <c r="S1736" i="23" s="1"/>
  <c r="J1736" i="23"/>
  <c r="R1735" i="23"/>
  <c r="O1735" i="23"/>
  <c r="N1735" i="23"/>
  <c r="P1735" i="23" s="1"/>
  <c r="J1735" i="23"/>
  <c r="R1734" i="23"/>
  <c r="O1734" i="23"/>
  <c r="N1734" i="23"/>
  <c r="S1734" i="23" s="1"/>
  <c r="J1734" i="23"/>
  <c r="R1733" i="23"/>
  <c r="O1733" i="23"/>
  <c r="N1733" i="23"/>
  <c r="S1733" i="23" s="1"/>
  <c r="J1733" i="23"/>
  <c r="R1732" i="23"/>
  <c r="O1732" i="23"/>
  <c r="N1732" i="23"/>
  <c r="S1732" i="23" s="1"/>
  <c r="J1732" i="23"/>
  <c r="R1731" i="23"/>
  <c r="O1731" i="23"/>
  <c r="N1731" i="23"/>
  <c r="S1731" i="23" s="1"/>
  <c r="J1731" i="23"/>
  <c r="R1730" i="23"/>
  <c r="O1730" i="23"/>
  <c r="N1730" i="23"/>
  <c r="S1730" i="23" s="1"/>
  <c r="J1730" i="23"/>
  <c r="R1729" i="23"/>
  <c r="O1729" i="23"/>
  <c r="N1729" i="23"/>
  <c r="J1729" i="23"/>
  <c r="R1728" i="23"/>
  <c r="O1728" i="23"/>
  <c r="N1728" i="23"/>
  <c r="S1728" i="23" s="1"/>
  <c r="J1728" i="23"/>
  <c r="R1727" i="23"/>
  <c r="O1727" i="23"/>
  <c r="N1727" i="23"/>
  <c r="P1727" i="23" s="1"/>
  <c r="J1727" i="23"/>
  <c r="U1726" i="23"/>
  <c r="T1726" i="23"/>
  <c r="O1726" i="23"/>
  <c r="N1726" i="23"/>
  <c r="P1726" i="23" s="1"/>
  <c r="H1726" i="23"/>
  <c r="U1725" i="23"/>
  <c r="T1725" i="23"/>
  <c r="O1725" i="23"/>
  <c r="N1725" i="23"/>
  <c r="P1725" i="23" s="1"/>
  <c r="H1725" i="23"/>
  <c r="U1724" i="23"/>
  <c r="T1724" i="23"/>
  <c r="O1724" i="23"/>
  <c r="N1724" i="23"/>
  <c r="P1724" i="23" s="1"/>
  <c r="H1724" i="23"/>
  <c r="R1723" i="23"/>
  <c r="O1723" i="23"/>
  <c r="N1723" i="23"/>
  <c r="P1723" i="23" s="1"/>
  <c r="U1722" i="23"/>
  <c r="T1722" i="23"/>
  <c r="O1722" i="23"/>
  <c r="N1722" i="23"/>
  <c r="P1722" i="23" s="1"/>
  <c r="H1722" i="23"/>
  <c r="U1721" i="23"/>
  <c r="T1721" i="23"/>
  <c r="O1721" i="23"/>
  <c r="N1721" i="23"/>
  <c r="P1721" i="23" s="1"/>
  <c r="H1721" i="23"/>
  <c r="U1720" i="23"/>
  <c r="T1720" i="23"/>
  <c r="O1720" i="23"/>
  <c r="N1720" i="23"/>
  <c r="P1720" i="23" s="1"/>
  <c r="H1720" i="23"/>
  <c r="R1719" i="23"/>
  <c r="O1719" i="23"/>
  <c r="N1719" i="23"/>
  <c r="S1719" i="23" s="1"/>
  <c r="U1718" i="23"/>
  <c r="T1718" i="23"/>
  <c r="O1718" i="23"/>
  <c r="N1718" i="23"/>
  <c r="P1718" i="23" s="1"/>
  <c r="H1718" i="23"/>
  <c r="U1717" i="23"/>
  <c r="T1717" i="23"/>
  <c r="O1717" i="23"/>
  <c r="N1717" i="23"/>
  <c r="P1717" i="23" s="1"/>
  <c r="H1717" i="23"/>
  <c r="U1716" i="23"/>
  <c r="T1716" i="23"/>
  <c r="O1716" i="23"/>
  <c r="N1716" i="23"/>
  <c r="P1716" i="23" s="1"/>
  <c r="H1716" i="23"/>
  <c r="R1715" i="23"/>
  <c r="O1715" i="23"/>
  <c r="N1715" i="23"/>
  <c r="S1715" i="23" s="1"/>
  <c r="U1714" i="23"/>
  <c r="T1714" i="23"/>
  <c r="O1714" i="23"/>
  <c r="N1714" i="23"/>
  <c r="P1714" i="23" s="1"/>
  <c r="H1714" i="23"/>
  <c r="U1713" i="23"/>
  <c r="T1713" i="23"/>
  <c r="O1713" i="23"/>
  <c r="N1713" i="23"/>
  <c r="P1713" i="23" s="1"/>
  <c r="H1713" i="23"/>
  <c r="U1712" i="23"/>
  <c r="T1712" i="23"/>
  <c r="O1712" i="23"/>
  <c r="N1712" i="23"/>
  <c r="P1712" i="23" s="1"/>
  <c r="H1712" i="23"/>
  <c r="R1711" i="23"/>
  <c r="O1711" i="23"/>
  <c r="N1711" i="23"/>
  <c r="P1711" i="23" s="1"/>
  <c r="U1710" i="23"/>
  <c r="T1710" i="23"/>
  <c r="O1710" i="23"/>
  <c r="N1710" i="23"/>
  <c r="P1710" i="23" s="1"/>
  <c r="H1710" i="23"/>
  <c r="U1709" i="23"/>
  <c r="T1709" i="23"/>
  <c r="O1709" i="23"/>
  <c r="N1709" i="23"/>
  <c r="P1709" i="23" s="1"/>
  <c r="H1709" i="23"/>
  <c r="U1708" i="23"/>
  <c r="T1708" i="23"/>
  <c r="O1708" i="23"/>
  <c r="N1708" i="23"/>
  <c r="P1708" i="23" s="1"/>
  <c r="H1708" i="23"/>
  <c r="R1707" i="23"/>
  <c r="O1707" i="23"/>
  <c r="N1707" i="23"/>
  <c r="R1706" i="23"/>
  <c r="O1706" i="23"/>
  <c r="N1706" i="23"/>
  <c r="H1706" i="23"/>
  <c r="J1706" i="23" s="1"/>
  <c r="R1705" i="23"/>
  <c r="O1705" i="23"/>
  <c r="N1705" i="23"/>
  <c r="P1705" i="23" s="1"/>
  <c r="G1705" i="23"/>
  <c r="H1705" i="23" s="1"/>
  <c r="J1705" i="23" s="1"/>
  <c r="R1704" i="23"/>
  <c r="O1704" i="23"/>
  <c r="N1704" i="23"/>
  <c r="P1704" i="23" s="1"/>
  <c r="J1704" i="23"/>
  <c r="H1704" i="23"/>
  <c r="R1703" i="23"/>
  <c r="O1703" i="23"/>
  <c r="N1703" i="23"/>
  <c r="P1703" i="23" s="1"/>
  <c r="H1703" i="23"/>
  <c r="J1703" i="23" s="1"/>
  <c r="U1702" i="23"/>
  <c r="T1702" i="23"/>
  <c r="O1702" i="23"/>
  <c r="N1702" i="23"/>
  <c r="P1702" i="23" s="1"/>
  <c r="H1702" i="23"/>
  <c r="U1701" i="23"/>
  <c r="T1701" i="23"/>
  <c r="O1701" i="23"/>
  <c r="N1701" i="23"/>
  <c r="P1701" i="23" s="1"/>
  <c r="H1701" i="23"/>
  <c r="U1700" i="23"/>
  <c r="T1700" i="23"/>
  <c r="O1700" i="23"/>
  <c r="N1700" i="23"/>
  <c r="P1700" i="23" s="1"/>
  <c r="H1700" i="23"/>
  <c r="H1699" i="23" s="1"/>
  <c r="J1699" i="23" s="1"/>
  <c r="R1699" i="23"/>
  <c r="O1699" i="23"/>
  <c r="N1699" i="23"/>
  <c r="R1698" i="23"/>
  <c r="O1698" i="23"/>
  <c r="N1698" i="23"/>
  <c r="J1698" i="23"/>
  <c r="H1698" i="23"/>
  <c r="R1697" i="23"/>
  <c r="O1697" i="23"/>
  <c r="N1697" i="23"/>
  <c r="H1697" i="23"/>
  <c r="J1697" i="23" s="1"/>
  <c r="R1696" i="23"/>
  <c r="O1696" i="23"/>
  <c r="N1696" i="23"/>
  <c r="S1696" i="23" s="1"/>
  <c r="U1696" i="23" s="1"/>
  <c r="Z1696" i="23" s="1"/>
  <c r="G1696" i="23"/>
  <c r="H1696" i="23" s="1"/>
  <c r="J1696" i="23" s="1"/>
  <c r="R1695" i="23"/>
  <c r="O1695" i="23"/>
  <c r="N1695" i="23"/>
  <c r="G1695" i="23"/>
  <c r="H1695" i="23" s="1"/>
  <c r="J1695" i="23" s="1"/>
  <c r="R1694" i="23"/>
  <c r="O1694" i="23"/>
  <c r="N1694" i="23"/>
  <c r="S1694" i="23" s="1"/>
  <c r="U1694" i="23" s="1"/>
  <c r="J1694" i="23"/>
  <c r="R1693" i="23"/>
  <c r="O1693" i="23"/>
  <c r="N1693" i="23"/>
  <c r="P1693" i="23" s="1"/>
  <c r="J1693" i="23"/>
  <c r="R1692" i="23"/>
  <c r="O1692" i="23"/>
  <c r="N1692" i="23"/>
  <c r="J1692" i="23"/>
  <c r="R1691" i="23"/>
  <c r="O1691" i="23"/>
  <c r="N1691" i="23"/>
  <c r="H1691" i="23"/>
  <c r="J1691" i="23" s="1"/>
  <c r="U1690" i="23"/>
  <c r="T1690" i="23"/>
  <c r="P1690" i="23"/>
  <c r="O1690" i="23"/>
  <c r="R1689" i="23"/>
  <c r="O1689" i="23"/>
  <c r="N1689" i="23"/>
  <c r="K1689" i="23"/>
  <c r="T1689" i="23" s="1"/>
  <c r="R1688" i="23"/>
  <c r="O1688" i="23"/>
  <c r="N1688" i="23"/>
  <c r="S1688" i="23" s="1"/>
  <c r="K1688" i="23"/>
  <c r="T1688" i="23" s="1"/>
  <c r="R1687" i="23"/>
  <c r="O1687" i="23"/>
  <c r="N1687" i="23"/>
  <c r="S1687" i="23" s="1"/>
  <c r="K1687" i="23"/>
  <c r="R1686" i="23"/>
  <c r="O1686" i="23"/>
  <c r="N1686" i="23"/>
  <c r="K1686" i="23"/>
  <c r="R1685" i="23"/>
  <c r="O1685" i="23"/>
  <c r="N1685" i="23"/>
  <c r="P1685" i="23" s="1"/>
  <c r="K1685" i="23"/>
  <c r="T1685" i="23" s="1"/>
  <c r="R1684" i="23"/>
  <c r="O1684" i="23"/>
  <c r="N1684" i="23"/>
  <c r="P1684" i="23" s="1"/>
  <c r="K1684" i="23"/>
  <c r="T1684" i="23" s="1"/>
  <c r="R1683" i="23"/>
  <c r="O1683" i="23"/>
  <c r="N1683" i="23"/>
  <c r="P1683" i="23" s="1"/>
  <c r="K1683" i="23"/>
  <c r="R1682" i="23"/>
  <c r="O1682" i="23"/>
  <c r="N1682" i="23"/>
  <c r="S1682" i="23" s="1"/>
  <c r="U1682" i="23" s="1"/>
  <c r="K1682" i="23"/>
  <c r="T1682" i="23" s="1"/>
  <c r="R1681" i="23"/>
  <c r="O1681" i="23"/>
  <c r="N1681" i="23"/>
  <c r="K1681" i="23"/>
  <c r="T1681" i="23" s="1"/>
  <c r="R1680" i="23"/>
  <c r="O1680" i="23"/>
  <c r="N1680" i="23"/>
  <c r="S1680" i="23" s="1"/>
  <c r="U1680" i="23" s="1"/>
  <c r="K1680" i="23"/>
  <c r="T1680" i="23" s="1"/>
  <c r="R1679" i="23"/>
  <c r="O1679" i="23"/>
  <c r="N1679" i="23"/>
  <c r="S1679" i="23" s="1"/>
  <c r="K1679" i="23"/>
  <c r="R1678" i="23"/>
  <c r="O1678" i="23"/>
  <c r="N1678" i="23"/>
  <c r="K1678" i="23"/>
  <c r="R1677" i="23"/>
  <c r="O1677" i="23"/>
  <c r="N1677" i="23"/>
  <c r="P1677" i="23" s="1"/>
  <c r="K1677" i="23"/>
  <c r="T1677" i="23" s="1"/>
  <c r="R1676" i="23"/>
  <c r="O1676" i="23"/>
  <c r="N1676" i="23"/>
  <c r="K1676" i="23"/>
  <c r="T1676" i="23" s="1"/>
  <c r="R1675" i="23"/>
  <c r="O1675" i="23"/>
  <c r="N1675" i="23"/>
  <c r="K1675" i="23"/>
  <c r="R1674" i="23"/>
  <c r="O1674" i="23"/>
  <c r="N1674" i="23"/>
  <c r="K1674" i="23"/>
  <c r="T1674" i="23" s="1"/>
  <c r="R1673" i="23"/>
  <c r="O1673" i="23"/>
  <c r="N1673" i="23"/>
  <c r="K1673" i="23"/>
  <c r="T1673" i="23" s="1"/>
  <c r="R1672" i="23"/>
  <c r="O1672" i="23"/>
  <c r="N1672" i="23"/>
  <c r="S1672" i="23" s="1"/>
  <c r="U1672" i="23" s="1"/>
  <c r="K1672" i="23"/>
  <c r="T1672" i="23" s="1"/>
  <c r="R1671" i="23"/>
  <c r="O1671" i="23"/>
  <c r="N1671" i="23"/>
  <c r="S1671" i="23" s="1"/>
  <c r="K1671" i="23"/>
  <c r="R1670" i="23"/>
  <c r="O1670" i="23"/>
  <c r="N1670" i="23"/>
  <c r="P1670" i="23" s="1"/>
  <c r="K1670" i="23"/>
  <c r="R1669" i="23"/>
  <c r="O1669" i="23"/>
  <c r="N1669" i="23"/>
  <c r="P1669" i="23" s="1"/>
  <c r="K1669" i="23"/>
  <c r="T1669" i="23" s="1"/>
  <c r="R1668" i="23"/>
  <c r="O1668" i="23"/>
  <c r="N1668" i="23"/>
  <c r="K1668" i="23"/>
  <c r="T1668" i="23" s="1"/>
  <c r="R1667" i="23"/>
  <c r="O1667" i="23"/>
  <c r="N1667" i="23"/>
  <c r="S1667" i="23" s="1"/>
  <c r="K1667" i="23"/>
  <c r="R1666" i="23"/>
  <c r="O1666" i="23"/>
  <c r="N1666" i="23"/>
  <c r="K1666" i="23"/>
  <c r="T1666" i="23" s="1"/>
  <c r="R1665" i="23"/>
  <c r="O1665" i="23"/>
  <c r="N1665" i="23"/>
  <c r="S1665" i="23" s="1"/>
  <c r="K1665" i="23"/>
  <c r="T1665" i="23" s="1"/>
  <c r="R1664" i="23"/>
  <c r="O1664" i="23"/>
  <c r="N1664" i="23"/>
  <c r="S1664" i="23" s="1"/>
  <c r="U1664" i="23" s="1"/>
  <c r="K1664" i="23"/>
  <c r="T1664" i="23" s="1"/>
  <c r="R1663" i="23"/>
  <c r="O1663" i="23"/>
  <c r="N1663" i="23"/>
  <c r="S1663" i="23" s="1"/>
  <c r="K1663" i="23"/>
  <c r="R1662" i="23"/>
  <c r="O1662" i="23"/>
  <c r="N1662" i="23"/>
  <c r="P1662" i="23" s="1"/>
  <c r="K1662" i="23"/>
  <c r="R1661" i="23"/>
  <c r="O1661" i="23"/>
  <c r="N1661" i="23"/>
  <c r="K1661" i="23"/>
  <c r="T1661" i="23" s="1"/>
  <c r="R1660" i="23"/>
  <c r="O1660" i="23"/>
  <c r="N1660" i="23"/>
  <c r="P1660" i="23" s="1"/>
  <c r="K1660" i="23"/>
  <c r="T1660" i="23" s="1"/>
  <c r="R1659" i="23"/>
  <c r="O1659" i="23"/>
  <c r="N1659" i="23"/>
  <c r="P1659" i="23" s="1"/>
  <c r="K1659" i="23"/>
  <c r="R1658" i="23"/>
  <c r="O1658" i="23"/>
  <c r="N1658" i="23"/>
  <c r="K1658" i="23"/>
  <c r="T1658" i="23" s="1"/>
  <c r="U1657" i="23"/>
  <c r="T1657" i="23"/>
  <c r="O1657" i="23"/>
  <c r="N1657" i="23"/>
  <c r="P1657" i="23" s="1"/>
  <c r="R1656" i="23"/>
  <c r="O1656" i="23"/>
  <c r="N1656" i="23"/>
  <c r="J1656" i="23"/>
  <c r="R1655" i="23"/>
  <c r="O1655" i="23"/>
  <c r="N1655" i="23"/>
  <c r="J1655" i="23"/>
  <c r="R1654" i="23"/>
  <c r="O1654" i="23"/>
  <c r="N1654" i="23"/>
  <c r="J1654" i="23"/>
  <c r="R1653" i="23"/>
  <c r="O1653" i="23"/>
  <c r="N1653" i="23"/>
  <c r="J1653" i="23"/>
  <c r="R1652" i="23"/>
  <c r="O1652" i="23"/>
  <c r="N1652" i="23"/>
  <c r="P1652" i="23" s="1"/>
  <c r="J1652" i="23"/>
  <c r="R1651" i="23"/>
  <c r="O1651" i="23"/>
  <c r="N1651" i="23"/>
  <c r="J1651" i="23"/>
  <c r="R1650" i="23"/>
  <c r="O1650" i="23"/>
  <c r="N1650" i="23"/>
  <c r="J1650" i="23"/>
  <c r="R1649" i="23"/>
  <c r="O1649" i="23"/>
  <c r="N1649" i="23"/>
  <c r="S1649" i="23" s="1"/>
  <c r="U1649" i="23" s="1"/>
  <c r="J1649" i="23"/>
  <c r="R1648" i="23"/>
  <c r="O1648" i="23"/>
  <c r="N1648" i="23"/>
  <c r="P1648" i="23" s="1"/>
  <c r="J1648" i="23"/>
  <c r="R1647" i="23"/>
  <c r="O1647" i="23"/>
  <c r="N1647" i="23"/>
  <c r="J1647" i="23"/>
  <c r="R1646" i="23"/>
  <c r="O1646" i="23"/>
  <c r="N1646" i="23"/>
  <c r="P1646" i="23" s="1"/>
  <c r="J1646" i="23"/>
  <c r="R1645" i="23"/>
  <c r="O1645" i="23"/>
  <c r="N1645" i="23"/>
  <c r="J1645" i="23"/>
  <c r="R1644" i="23"/>
  <c r="O1644" i="23"/>
  <c r="N1644" i="23"/>
  <c r="J1644" i="23"/>
  <c r="R1643" i="23"/>
  <c r="O1643" i="23"/>
  <c r="N1643" i="23"/>
  <c r="J1643" i="23"/>
  <c r="R1642" i="23"/>
  <c r="O1642" i="23"/>
  <c r="N1642" i="23"/>
  <c r="P1642" i="23" s="1"/>
  <c r="J1642" i="23"/>
  <c r="R1641" i="23"/>
  <c r="O1641" i="23"/>
  <c r="N1641" i="23"/>
  <c r="J1641" i="23"/>
  <c r="R1640" i="23"/>
  <c r="O1640" i="23"/>
  <c r="N1640" i="23"/>
  <c r="S1640" i="23" s="1"/>
  <c r="U1640" i="23" s="1"/>
  <c r="Z1640" i="23" s="1"/>
  <c r="J1640" i="23"/>
  <c r="R1639" i="23"/>
  <c r="O1639" i="23"/>
  <c r="N1639" i="23"/>
  <c r="J1639" i="23"/>
  <c r="R1638" i="23"/>
  <c r="O1638" i="23"/>
  <c r="N1638" i="23"/>
  <c r="P1638" i="23" s="1"/>
  <c r="J1638" i="23"/>
  <c r="R1637" i="23"/>
  <c r="O1637" i="23"/>
  <c r="N1637" i="23"/>
  <c r="S1637" i="23" s="1"/>
  <c r="U1637" i="23" s="1"/>
  <c r="J1637" i="23"/>
  <c r="R1636" i="23"/>
  <c r="O1636" i="23"/>
  <c r="N1636" i="23"/>
  <c r="S1636" i="23" s="1"/>
  <c r="U1636" i="23" s="1"/>
  <c r="Z1636" i="23" s="1"/>
  <c r="J1636" i="23"/>
  <c r="R1635" i="23"/>
  <c r="O1635" i="23"/>
  <c r="N1635" i="23"/>
  <c r="J1635" i="23"/>
  <c r="R1634" i="23"/>
  <c r="O1634" i="23"/>
  <c r="N1634" i="23"/>
  <c r="P1634" i="23" s="1"/>
  <c r="J1634" i="23"/>
  <c r="R1633" i="23"/>
  <c r="O1633" i="23"/>
  <c r="N1633" i="23"/>
  <c r="S1633" i="23" s="1"/>
  <c r="U1633" i="23" s="1"/>
  <c r="J1633" i="23"/>
  <c r="R1632" i="23"/>
  <c r="O1632" i="23"/>
  <c r="N1632" i="23"/>
  <c r="J1632" i="23"/>
  <c r="R1631" i="23"/>
  <c r="O1631" i="23"/>
  <c r="N1631" i="23"/>
  <c r="J1631" i="23"/>
  <c r="R1630" i="23"/>
  <c r="O1630" i="23"/>
  <c r="N1630" i="23"/>
  <c r="P1630" i="23" s="1"/>
  <c r="J1630" i="23"/>
  <c r="R1629" i="23"/>
  <c r="O1629" i="23"/>
  <c r="N1629" i="23"/>
  <c r="J1629" i="23"/>
  <c r="R1628" i="23"/>
  <c r="O1628" i="23"/>
  <c r="N1628" i="23"/>
  <c r="S1628" i="23" s="1"/>
  <c r="U1628" i="23" s="1"/>
  <c r="Z1628" i="23" s="1"/>
  <c r="J1628" i="23"/>
  <c r="R1627" i="23"/>
  <c r="O1627" i="23"/>
  <c r="N1627" i="23"/>
  <c r="J1627" i="23"/>
  <c r="R1626" i="23"/>
  <c r="O1626" i="23"/>
  <c r="N1626" i="23"/>
  <c r="P1626" i="23" s="1"/>
  <c r="J1626" i="23"/>
  <c r="R1625" i="23"/>
  <c r="O1625" i="23"/>
  <c r="N1625" i="23"/>
  <c r="S1625" i="23" s="1"/>
  <c r="U1625" i="23" s="1"/>
  <c r="J1625" i="23"/>
  <c r="R1624" i="23"/>
  <c r="O1624" i="23"/>
  <c r="N1624" i="23"/>
  <c r="P1624" i="23" s="1"/>
  <c r="J1624" i="23"/>
  <c r="R1623" i="23"/>
  <c r="O1623" i="23"/>
  <c r="N1623" i="23"/>
  <c r="J1623" i="23"/>
  <c r="R1622" i="23"/>
  <c r="O1622" i="23"/>
  <c r="N1622" i="23"/>
  <c r="J1622" i="23"/>
  <c r="R1621" i="23"/>
  <c r="O1621" i="23"/>
  <c r="N1621" i="23"/>
  <c r="J1621" i="23"/>
  <c r="R1620" i="23"/>
  <c r="O1620" i="23"/>
  <c r="N1620" i="23"/>
  <c r="J1620" i="23"/>
  <c r="R1619" i="23"/>
  <c r="O1619" i="23"/>
  <c r="N1619" i="23"/>
  <c r="J1619" i="23"/>
  <c r="R1618" i="23"/>
  <c r="O1618" i="23"/>
  <c r="N1618" i="23"/>
  <c r="J1618" i="23"/>
  <c r="R1617" i="23"/>
  <c r="O1617" i="23"/>
  <c r="N1617" i="23"/>
  <c r="S1617" i="23" s="1"/>
  <c r="U1617" i="23" s="1"/>
  <c r="J1617" i="23"/>
  <c r="R1616" i="23"/>
  <c r="O1616" i="23"/>
  <c r="N1616" i="23"/>
  <c r="P1616" i="23" s="1"/>
  <c r="J1616" i="23"/>
  <c r="R1615" i="23"/>
  <c r="O1615" i="23"/>
  <c r="N1615" i="23"/>
  <c r="J1615" i="23"/>
  <c r="R1614" i="23"/>
  <c r="O1614" i="23"/>
  <c r="N1614" i="23"/>
  <c r="P1614" i="23" s="1"/>
  <c r="J1614" i="23"/>
  <c r="R1613" i="23"/>
  <c r="O1613" i="23"/>
  <c r="N1613" i="23"/>
  <c r="S1613" i="23" s="1"/>
  <c r="U1613" i="23" s="1"/>
  <c r="J1613" i="23"/>
  <c r="R1612" i="23"/>
  <c r="O1612" i="23"/>
  <c r="N1612" i="23"/>
  <c r="J1612" i="23"/>
  <c r="R1611" i="23"/>
  <c r="O1611" i="23"/>
  <c r="N1611" i="23"/>
  <c r="J1611" i="23"/>
  <c r="R1610" i="23"/>
  <c r="O1610" i="23"/>
  <c r="N1610" i="23"/>
  <c r="P1610" i="23" s="1"/>
  <c r="J1610" i="23"/>
  <c r="R1609" i="23"/>
  <c r="O1609" i="23"/>
  <c r="N1609" i="23"/>
  <c r="J1609" i="23"/>
  <c r="R1608" i="23"/>
  <c r="O1608" i="23"/>
  <c r="N1608" i="23"/>
  <c r="S1608" i="23" s="1"/>
  <c r="U1608" i="23" s="1"/>
  <c r="J1608" i="23"/>
  <c r="R1607" i="23"/>
  <c r="O1607" i="23"/>
  <c r="N1607" i="23"/>
  <c r="J1607" i="23"/>
  <c r="R1606" i="23"/>
  <c r="O1606" i="23"/>
  <c r="N1606" i="23"/>
  <c r="J1606" i="23"/>
  <c r="R1605" i="23"/>
  <c r="O1605" i="23"/>
  <c r="N1605" i="23"/>
  <c r="S1605" i="23" s="1"/>
  <c r="U1605" i="23" s="1"/>
  <c r="J1605" i="23"/>
  <c r="R1604" i="23"/>
  <c r="O1604" i="23"/>
  <c r="N1604" i="23"/>
  <c r="S1604" i="23" s="1"/>
  <c r="U1604" i="23" s="1"/>
  <c r="J1604" i="23"/>
  <c r="R1603" i="23"/>
  <c r="O1603" i="23"/>
  <c r="N1603" i="23"/>
  <c r="S1603" i="23" s="1"/>
  <c r="U1603" i="23" s="1"/>
  <c r="J1603" i="23"/>
  <c r="R1602" i="23"/>
  <c r="O1602" i="23"/>
  <c r="N1602" i="23"/>
  <c r="P1602" i="23" s="1"/>
  <c r="J1602" i="23"/>
  <c r="R1601" i="23"/>
  <c r="O1601" i="23"/>
  <c r="N1601" i="23"/>
  <c r="J1601" i="23"/>
  <c r="R1600" i="23"/>
  <c r="O1600" i="23"/>
  <c r="N1600" i="23"/>
  <c r="P1600" i="23" s="1"/>
  <c r="J1600" i="23"/>
  <c r="R1599" i="23"/>
  <c r="O1599" i="23"/>
  <c r="N1599" i="23"/>
  <c r="J1599" i="23"/>
  <c r="R1598" i="23"/>
  <c r="O1598" i="23"/>
  <c r="N1598" i="23"/>
  <c r="P1598" i="23" s="1"/>
  <c r="J1598" i="23"/>
  <c r="R1597" i="23"/>
  <c r="O1597" i="23"/>
  <c r="N1597" i="23"/>
  <c r="S1597" i="23" s="1"/>
  <c r="U1597" i="23" s="1"/>
  <c r="J1597" i="23"/>
  <c r="R1596" i="23"/>
  <c r="O1596" i="23"/>
  <c r="N1596" i="23"/>
  <c r="J1596" i="23"/>
  <c r="R1595" i="23"/>
  <c r="O1595" i="23"/>
  <c r="N1595" i="23"/>
  <c r="S1595" i="23" s="1"/>
  <c r="U1595" i="23" s="1"/>
  <c r="J1595" i="23"/>
  <c r="R1594" i="23"/>
  <c r="O1594" i="23"/>
  <c r="N1594" i="23"/>
  <c r="S1594" i="23" s="1"/>
  <c r="U1594" i="23" s="1"/>
  <c r="J1594" i="23"/>
  <c r="R1593" i="23"/>
  <c r="O1593" i="23"/>
  <c r="N1593" i="23"/>
  <c r="J1593" i="23"/>
  <c r="R1592" i="23"/>
  <c r="O1592" i="23"/>
  <c r="N1592" i="23"/>
  <c r="S1592" i="23" s="1"/>
  <c r="U1592" i="23" s="1"/>
  <c r="J1592" i="23"/>
  <c r="R1591" i="23"/>
  <c r="O1591" i="23"/>
  <c r="N1591" i="23"/>
  <c r="S1591" i="23" s="1"/>
  <c r="U1591" i="23" s="1"/>
  <c r="J1591" i="23"/>
  <c r="R1590" i="23"/>
  <c r="O1590" i="23"/>
  <c r="N1590" i="23"/>
  <c r="J1590" i="23"/>
  <c r="R1589" i="23"/>
  <c r="O1589" i="23"/>
  <c r="N1589" i="23"/>
  <c r="S1589" i="23" s="1"/>
  <c r="U1589" i="23" s="1"/>
  <c r="J1589" i="23"/>
  <c r="R1588" i="23"/>
  <c r="O1588" i="23"/>
  <c r="N1588" i="23"/>
  <c r="S1588" i="23" s="1"/>
  <c r="U1588" i="23" s="1"/>
  <c r="J1588" i="23"/>
  <c r="R1587" i="23"/>
  <c r="O1587" i="23"/>
  <c r="N1587" i="23"/>
  <c r="J1587" i="23"/>
  <c r="R1586" i="23"/>
  <c r="O1586" i="23"/>
  <c r="N1586" i="23"/>
  <c r="J1586" i="23"/>
  <c r="R1585" i="23"/>
  <c r="O1585" i="23"/>
  <c r="N1585" i="23"/>
  <c r="J1585" i="23"/>
  <c r="R1584" i="23"/>
  <c r="O1584" i="23"/>
  <c r="N1584" i="23"/>
  <c r="J1584" i="23"/>
  <c r="R1583" i="23"/>
  <c r="O1583" i="23"/>
  <c r="N1583" i="23"/>
  <c r="J1583" i="23"/>
  <c r="R1582" i="23"/>
  <c r="O1582" i="23"/>
  <c r="N1582" i="23"/>
  <c r="J1582" i="23"/>
  <c r="R1581" i="23"/>
  <c r="O1581" i="23"/>
  <c r="N1581" i="23"/>
  <c r="J1581" i="23"/>
  <c r="R1580" i="23"/>
  <c r="O1580" i="23"/>
  <c r="N1580" i="23"/>
  <c r="P1580" i="23" s="1"/>
  <c r="J1580" i="23"/>
  <c r="R1579" i="23"/>
  <c r="O1579" i="23"/>
  <c r="N1579" i="23"/>
  <c r="J1579" i="23"/>
  <c r="R1578" i="23"/>
  <c r="O1578" i="23"/>
  <c r="N1578" i="23"/>
  <c r="S1578" i="23" s="1"/>
  <c r="J1578" i="23"/>
  <c r="R1577" i="23"/>
  <c r="O1577" i="23"/>
  <c r="N1577" i="23"/>
  <c r="J1577" i="23"/>
  <c r="R1576" i="23"/>
  <c r="O1576" i="23"/>
  <c r="N1576" i="23"/>
  <c r="J1576" i="23"/>
  <c r="R1575" i="23"/>
  <c r="O1575" i="23"/>
  <c r="N1575" i="23"/>
  <c r="S1575" i="23" s="1"/>
  <c r="U1575" i="23" s="1"/>
  <c r="J1575" i="23"/>
  <c r="R1574" i="23"/>
  <c r="O1574" i="23"/>
  <c r="N1574" i="23"/>
  <c r="S1574" i="23" s="1"/>
  <c r="U1574" i="23" s="1"/>
  <c r="J1574" i="23"/>
  <c r="R1573" i="23"/>
  <c r="O1573" i="23"/>
  <c r="N1573" i="23"/>
  <c r="S1573" i="23" s="1"/>
  <c r="U1573" i="23" s="1"/>
  <c r="J1573" i="23"/>
  <c r="R1572" i="23"/>
  <c r="O1572" i="23"/>
  <c r="N1572" i="23"/>
  <c r="P1572" i="23" s="1"/>
  <c r="J1572" i="23"/>
  <c r="R1571" i="23"/>
  <c r="O1571" i="23"/>
  <c r="N1571" i="23"/>
  <c r="S1571" i="23" s="1"/>
  <c r="U1571" i="23" s="1"/>
  <c r="Z1571" i="23" s="1"/>
  <c r="J1571" i="23"/>
  <c r="R1570" i="23"/>
  <c r="O1570" i="23"/>
  <c r="N1570" i="23"/>
  <c r="S1570" i="23" s="1"/>
  <c r="U1570" i="23" s="1"/>
  <c r="J1570" i="23"/>
  <c r="R1569" i="23"/>
  <c r="O1569" i="23"/>
  <c r="N1569" i="23"/>
  <c r="S1569" i="23" s="1"/>
  <c r="U1569" i="23" s="1"/>
  <c r="Z1569" i="23" s="1"/>
  <c r="J1569" i="23"/>
  <c r="R1568" i="23"/>
  <c r="O1568" i="23"/>
  <c r="N1568" i="23"/>
  <c r="S1568" i="23" s="1"/>
  <c r="U1568" i="23" s="1"/>
  <c r="J1568" i="23"/>
  <c r="R1567" i="23"/>
  <c r="O1567" i="23"/>
  <c r="N1567" i="23"/>
  <c r="S1567" i="23" s="1"/>
  <c r="U1567" i="23" s="1"/>
  <c r="Z1567" i="23" s="1"/>
  <c r="J1567" i="23"/>
  <c r="R1566" i="23"/>
  <c r="O1566" i="23"/>
  <c r="N1566" i="23"/>
  <c r="J1566" i="23"/>
  <c r="R1565" i="23"/>
  <c r="O1565" i="23"/>
  <c r="N1565" i="23"/>
  <c r="S1565" i="23" s="1"/>
  <c r="J1565" i="23"/>
  <c r="R1564" i="23"/>
  <c r="O1564" i="23"/>
  <c r="N1564" i="23"/>
  <c r="S1564" i="23" s="1"/>
  <c r="J1564" i="23"/>
  <c r="R1563" i="23"/>
  <c r="O1563" i="23"/>
  <c r="N1563" i="23"/>
  <c r="S1563" i="23" s="1"/>
  <c r="U1563" i="23" s="1"/>
  <c r="J1563" i="23"/>
  <c r="R1562" i="23"/>
  <c r="O1562" i="23"/>
  <c r="N1562" i="23"/>
  <c r="S1562" i="23" s="1"/>
  <c r="U1562" i="23" s="1"/>
  <c r="J1562" i="23"/>
  <c r="R1561" i="23"/>
  <c r="O1561" i="23"/>
  <c r="N1561" i="23"/>
  <c r="P1561" i="23" s="1"/>
  <c r="J1561" i="23"/>
  <c r="R1560" i="23"/>
  <c r="O1560" i="23"/>
  <c r="N1560" i="23"/>
  <c r="P1560" i="23" s="1"/>
  <c r="J1560" i="23"/>
  <c r="R1559" i="23"/>
  <c r="O1559" i="23"/>
  <c r="N1559" i="23"/>
  <c r="S1559" i="23" s="1"/>
  <c r="J1559" i="23"/>
  <c r="R1558" i="23"/>
  <c r="O1558" i="23"/>
  <c r="N1558" i="23"/>
  <c r="S1558" i="23" s="1"/>
  <c r="U1558" i="23" s="1"/>
  <c r="J1558" i="23"/>
  <c r="R1557" i="23"/>
  <c r="O1557" i="23"/>
  <c r="N1557" i="23"/>
  <c r="J1557" i="23"/>
  <c r="R1556" i="23"/>
  <c r="O1556" i="23"/>
  <c r="N1556" i="23"/>
  <c r="P1556" i="23" s="1"/>
  <c r="J1556" i="23"/>
  <c r="R1555" i="23"/>
  <c r="O1555" i="23"/>
  <c r="N1555" i="23"/>
  <c r="S1555" i="23" s="1"/>
  <c r="J1555" i="23"/>
  <c r="R1554" i="23"/>
  <c r="O1554" i="23"/>
  <c r="N1554" i="23"/>
  <c r="J1554" i="23"/>
  <c r="R1553" i="23"/>
  <c r="O1553" i="23"/>
  <c r="N1553" i="23"/>
  <c r="P1553" i="23" s="1"/>
  <c r="J1553" i="23"/>
  <c r="R1552" i="23"/>
  <c r="O1552" i="23"/>
  <c r="N1552" i="23"/>
  <c r="P1552" i="23" s="1"/>
  <c r="J1552" i="23"/>
  <c r="R1551" i="23"/>
  <c r="O1551" i="23"/>
  <c r="N1551" i="23"/>
  <c r="S1551" i="23" s="1"/>
  <c r="J1551" i="23"/>
  <c r="R1550" i="23"/>
  <c r="O1550" i="23"/>
  <c r="N1550" i="23"/>
  <c r="J1550" i="23"/>
  <c r="R1549" i="23"/>
  <c r="O1549" i="23"/>
  <c r="N1549" i="23"/>
  <c r="P1549" i="23" s="1"/>
  <c r="J1549" i="23"/>
  <c r="R1548" i="23"/>
  <c r="O1548" i="23"/>
  <c r="N1548" i="23"/>
  <c r="S1548" i="23" s="1"/>
  <c r="J1548" i="23"/>
  <c r="R1547" i="23"/>
  <c r="O1547" i="23"/>
  <c r="N1547" i="23"/>
  <c r="P1547" i="23" s="1"/>
  <c r="J1547" i="23"/>
  <c r="R1546" i="23"/>
  <c r="O1546" i="23"/>
  <c r="N1546" i="23"/>
  <c r="S1546" i="23" s="1"/>
  <c r="U1546" i="23" s="1"/>
  <c r="Y1546" i="23" s="1"/>
  <c r="J1546" i="23"/>
  <c r="R1545" i="23"/>
  <c r="O1545" i="23"/>
  <c r="N1545" i="23"/>
  <c r="P1545" i="23" s="1"/>
  <c r="J1545" i="23"/>
  <c r="R1544" i="23"/>
  <c r="O1544" i="23"/>
  <c r="N1544" i="23"/>
  <c r="J1544" i="23"/>
  <c r="R1543" i="23"/>
  <c r="O1543" i="23"/>
  <c r="N1543" i="23"/>
  <c r="J1543" i="23"/>
  <c r="R1542" i="23"/>
  <c r="O1542" i="23"/>
  <c r="N1542" i="23"/>
  <c r="S1542" i="23" s="1"/>
  <c r="U1542" i="23" s="1"/>
  <c r="J1542" i="23"/>
  <c r="R1541" i="23"/>
  <c r="O1541" i="23"/>
  <c r="N1541" i="23"/>
  <c r="P1541" i="23" s="1"/>
  <c r="J1541" i="23"/>
  <c r="R1540" i="23"/>
  <c r="O1540" i="23"/>
  <c r="N1540" i="23"/>
  <c r="S1540" i="23" s="1"/>
  <c r="J1540" i="23"/>
  <c r="R1539" i="23"/>
  <c r="O1539" i="23"/>
  <c r="N1539" i="23"/>
  <c r="S1539" i="23" s="1"/>
  <c r="J1539" i="23"/>
  <c r="R1538" i="23"/>
  <c r="O1538" i="23"/>
  <c r="N1538" i="23"/>
  <c r="P1538" i="23" s="1"/>
  <c r="J1538" i="23"/>
  <c r="R1537" i="23"/>
  <c r="O1537" i="23"/>
  <c r="N1537" i="23"/>
  <c r="P1537" i="23" s="1"/>
  <c r="J1537" i="23"/>
  <c r="R1536" i="23"/>
  <c r="O1536" i="23"/>
  <c r="N1536" i="23"/>
  <c r="P1536" i="23" s="1"/>
  <c r="J1536" i="23"/>
  <c r="R1535" i="23"/>
  <c r="O1535" i="23"/>
  <c r="N1535" i="23"/>
  <c r="S1535" i="23" s="1"/>
  <c r="U1535" i="23" s="1"/>
  <c r="J1535" i="23"/>
  <c r="R1534" i="23"/>
  <c r="O1534" i="23"/>
  <c r="N1534" i="23"/>
  <c r="S1534" i="23" s="1"/>
  <c r="U1534" i="23" s="1"/>
  <c r="J1534" i="23"/>
  <c r="R1533" i="23"/>
  <c r="O1533" i="23"/>
  <c r="N1533" i="23"/>
  <c r="P1533" i="23" s="1"/>
  <c r="J1533" i="23"/>
  <c r="R1532" i="23"/>
  <c r="O1532" i="23"/>
  <c r="N1532" i="23"/>
  <c r="S1532" i="23" s="1"/>
  <c r="J1532" i="23"/>
  <c r="R1531" i="23"/>
  <c r="O1531" i="23"/>
  <c r="N1531" i="23"/>
  <c r="S1531" i="23" s="1"/>
  <c r="J1531" i="23"/>
  <c r="R1530" i="23"/>
  <c r="O1530" i="23"/>
  <c r="N1530" i="23"/>
  <c r="S1530" i="23" s="1"/>
  <c r="U1530" i="23" s="1"/>
  <c r="Y1530" i="23" s="1"/>
  <c r="J1530" i="23"/>
  <c r="R1529" i="23"/>
  <c r="O1529" i="23"/>
  <c r="N1529" i="23"/>
  <c r="P1529" i="23" s="1"/>
  <c r="J1529" i="23"/>
  <c r="R1528" i="23"/>
  <c r="O1528" i="23"/>
  <c r="N1528" i="23"/>
  <c r="J1528" i="23"/>
  <c r="R1527" i="23"/>
  <c r="O1527" i="23"/>
  <c r="N1527" i="23"/>
  <c r="J1527" i="23"/>
  <c r="R1526" i="23"/>
  <c r="O1526" i="23"/>
  <c r="N1526" i="23"/>
  <c r="S1526" i="23" s="1"/>
  <c r="U1526" i="23" s="1"/>
  <c r="J1526" i="23"/>
  <c r="R1525" i="23"/>
  <c r="O1525" i="23"/>
  <c r="N1525" i="23"/>
  <c r="P1525" i="23" s="1"/>
  <c r="J1525" i="23"/>
  <c r="R1524" i="23"/>
  <c r="O1524" i="23"/>
  <c r="N1524" i="23"/>
  <c r="S1524" i="23" s="1"/>
  <c r="J1524" i="23"/>
  <c r="R1523" i="23"/>
  <c r="O1523" i="23"/>
  <c r="N1523" i="23"/>
  <c r="S1523" i="23" s="1"/>
  <c r="J1523" i="23"/>
  <c r="R1522" i="23"/>
  <c r="O1522" i="23"/>
  <c r="N1522" i="23"/>
  <c r="S1522" i="23" s="1"/>
  <c r="U1522" i="23" s="1"/>
  <c r="Y1522" i="23" s="1"/>
  <c r="J1522" i="23"/>
  <c r="R1521" i="23"/>
  <c r="O1521" i="23"/>
  <c r="N1521" i="23"/>
  <c r="P1521" i="23" s="1"/>
  <c r="J1521" i="23"/>
  <c r="R1520" i="23"/>
  <c r="O1520" i="23"/>
  <c r="N1520" i="23"/>
  <c r="P1520" i="23" s="1"/>
  <c r="J1520" i="23"/>
  <c r="R1519" i="23"/>
  <c r="O1519" i="23"/>
  <c r="N1519" i="23"/>
  <c r="S1519" i="23" s="1"/>
  <c r="U1519" i="23" s="1"/>
  <c r="J1519" i="23"/>
  <c r="R1518" i="23"/>
  <c r="O1518" i="23"/>
  <c r="N1518" i="23"/>
  <c r="J1518" i="23"/>
  <c r="R1517" i="23"/>
  <c r="O1517" i="23"/>
  <c r="N1517" i="23"/>
  <c r="P1517" i="23" s="1"/>
  <c r="J1517" i="23"/>
  <c r="R1516" i="23"/>
  <c r="O1516" i="23"/>
  <c r="N1516" i="23"/>
  <c r="S1516" i="23" s="1"/>
  <c r="J1516" i="23"/>
  <c r="R1515" i="23"/>
  <c r="O1515" i="23"/>
  <c r="N1515" i="23"/>
  <c r="P1515" i="23" s="1"/>
  <c r="J1515" i="23"/>
  <c r="R1514" i="23"/>
  <c r="O1514" i="23"/>
  <c r="N1514" i="23"/>
  <c r="P1514" i="23" s="1"/>
  <c r="J1514" i="23"/>
  <c r="R1513" i="23"/>
  <c r="O1513" i="23"/>
  <c r="N1513" i="23"/>
  <c r="P1513" i="23" s="1"/>
  <c r="J1513" i="23"/>
  <c r="R1512" i="23"/>
  <c r="O1512" i="23"/>
  <c r="N1512" i="23"/>
  <c r="P1512" i="23" s="1"/>
  <c r="J1512" i="23"/>
  <c r="R1511" i="23"/>
  <c r="O1511" i="23"/>
  <c r="N1511" i="23"/>
  <c r="S1511" i="23" s="1"/>
  <c r="U1511" i="23" s="1"/>
  <c r="J1511" i="23"/>
  <c r="R1510" i="23"/>
  <c r="O1510" i="23"/>
  <c r="N1510" i="23"/>
  <c r="S1510" i="23" s="1"/>
  <c r="U1510" i="23" s="1"/>
  <c r="J1510" i="23"/>
  <c r="R1509" i="23"/>
  <c r="O1509" i="23"/>
  <c r="N1509" i="23"/>
  <c r="P1509" i="23" s="1"/>
  <c r="J1509" i="23"/>
  <c r="R1508" i="23"/>
  <c r="O1508" i="23"/>
  <c r="N1508" i="23"/>
  <c r="S1508" i="23" s="1"/>
  <c r="J1508" i="23"/>
  <c r="R1507" i="23"/>
  <c r="O1507" i="23"/>
  <c r="N1507" i="23"/>
  <c r="J1507" i="23"/>
  <c r="R1506" i="23"/>
  <c r="O1506" i="23"/>
  <c r="N1506" i="23"/>
  <c r="S1506" i="23" s="1"/>
  <c r="U1506" i="23" s="1"/>
  <c r="Y1506" i="23" s="1"/>
  <c r="J1506" i="23"/>
  <c r="R1505" i="23"/>
  <c r="O1505" i="23"/>
  <c r="N1505" i="23"/>
  <c r="P1505" i="23" s="1"/>
  <c r="J1505" i="23"/>
  <c r="R1504" i="23"/>
  <c r="O1504" i="23"/>
  <c r="N1504" i="23"/>
  <c r="J1504" i="23"/>
  <c r="R1503" i="23"/>
  <c r="O1503" i="23"/>
  <c r="N1503" i="23"/>
  <c r="S1503" i="23" s="1"/>
  <c r="U1503" i="23" s="1"/>
  <c r="J1503" i="23"/>
  <c r="R1502" i="23"/>
  <c r="O1502" i="23"/>
  <c r="N1502" i="23"/>
  <c r="S1502" i="23" s="1"/>
  <c r="U1502" i="23" s="1"/>
  <c r="J1502" i="23"/>
  <c r="R1501" i="23"/>
  <c r="O1501" i="23"/>
  <c r="N1501" i="23"/>
  <c r="J1501" i="23"/>
  <c r="R1500" i="23"/>
  <c r="O1500" i="23"/>
  <c r="N1500" i="23"/>
  <c r="S1500" i="23" s="1"/>
  <c r="J1500" i="23"/>
  <c r="R1499" i="23"/>
  <c r="O1499" i="23"/>
  <c r="N1499" i="23"/>
  <c r="J1499" i="23"/>
  <c r="R1498" i="23"/>
  <c r="O1498" i="23"/>
  <c r="N1498" i="23"/>
  <c r="J1498" i="23"/>
  <c r="R1497" i="23"/>
  <c r="O1497" i="23"/>
  <c r="N1497" i="23"/>
  <c r="P1497" i="23" s="1"/>
  <c r="J1497" i="23"/>
  <c r="R1496" i="23"/>
  <c r="O1496" i="23"/>
  <c r="N1496" i="23"/>
  <c r="P1496" i="23" s="1"/>
  <c r="J1496" i="23"/>
  <c r="R1495" i="23"/>
  <c r="O1495" i="23"/>
  <c r="N1495" i="23"/>
  <c r="S1495" i="23" s="1"/>
  <c r="U1495" i="23" s="1"/>
  <c r="J1495" i="23"/>
  <c r="R1494" i="23"/>
  <c r="O1494" i="23"/>
  <c r="N1494" i="23"/>
  <c r="S1494" i="23" s="1"/>
  <c r="U1494" i="23" s="1"/>
  <c r="J1494" i="23"/>
  <c r="R1493" i="23"/>
  <c r="O1493" i="23"/>
  <c r="N1493" i="23"/>
  <c r="J1493" i="23"/>
  <c r="R1492" i="23"/>
  <c r="O1492" i="23"/>
  <c r="N1492" i="23"/>
  <c r="S1492" i="23" s="1"/>
  <c r="J1492" i="23"/>
  <c r="R1491" i="23"/>
  <c r="O1491" i="23"/>
  <c r="N1491" i="23"/>
  <c r="S1491" i="23" s="1"/>
  <c r="J1491" i="23"/>
  <c r="R1490" i="23"/>
  <c r="O1490" i="23"/>
  <c r="N1490" i="23"/>
  <c r="J1490" i="23"/>
  <c r="R1489" i="23"/>
  <c r="O1489" i="23"/>
  <c r="N1489" i="23"/>
  <c r="P1489" i="23" s="1"/>
  <c r="J1489" i="23"/>
  <c r="R1488" i="23"/>
  <c r="O1488" i="23"/>
  <c r="N1488" i="23"/>
  <c r="P1488" i="23" s="1"/>
  <c r="J1488" i="23"/>
  <c r="R1487" i="23"/>
  <c r="O1487" i="23"/>
  <c r="N1487" i="23"/>
  <c r="S1487" i="23" s="1"/>
  <c r="U1487" i="23" s="1"/>
  <c r="J1487" i="23"/>
  <c r="R1486" i="23"/>
  <c r="O1486" i="23"/>
  <c r="N1486" i="23"/>
  <c r="J1486" i="23"/>
  <c r="R1485" i="23"/>
  <c r="O1485" i="23"/>
  <c r="N1485" i="23"/>
  <c r="J1485" i="23"/>
  <c r="R1484" i="23"/>
  <c r="O1484" i="23"/>
  <c r="N1484" i="23"/>
  <c r="S1484" i="23" s="1"/>
  <c r="J1484" i="23"/>
  <c r="R1483" i="23"/>
  <c r="O1483" i="23"/>
  <c r="N1483" i="23"/>
  <c r="P1483" i="23" s="1"/>
  <c r="J1483" i="23"/>
  <c r="R1482" i="23"/>
  <c r="O1482" i="23"/>
  <c r="N1482" i="23"/>
  <c r="S1482" i="23" s="1"/>
  <c r="U1482" i="23" s="1"/>
  <c r="Y1482" i="23" s="1"/>
  <c r="J1482" i="23"/>
  <c r="R1481" i="23"/>
  <c r="O1481" i="23"/>
  <c r="N1481" i="23"/>
  <c r="P1481" i="23" s="1"/>
  <c r="J1481" i="23"/>
  <c r="R1480" i="23"/>
  <c r="O1480" i="23"/>
  <c r="N1480" i="23"/>
  <c r="P1480" i="23" s="1"/>
  <c r="J1480" i="23"/>
  <c r="R1479" i="23"/>
  <c r="O1479" i="23"/>
  <c r="N1479" i="23"/>
  <c r="J1479" i="23"/>
  <c r="R1478" i="23"/>
  <c r="O1478" i="23"/>
  <c r="N1478" i="23"/>
  <c r="S1478" i="23" s="1"/>
  <c r="U1478" i="23" s="1"/>
  <c r="J1478" i="23"/>
  <c r="R1477" i="23"/>
  <c r="O1477" i="23"/>
  <c r="N1477" i="23"/>
  <c r="P1477" i="23" s="1"/>
  <c r="J1477" i="23"/>
  <c r="R1476" i="23"/>
  <c r="O1476" i="23"/>
  <c r="N1476" i="23"/>
  <c r="S1476" i="23" s="1"/>
  <c r="J1476" i="23"/>
  <c r="R1475" i="23"/>
  <c r="O1475" i="23"/>
  <c r="N1475" i="23"/>
  <c r="S1475" i="23" s="1"/>
  <c r="J1475" i="23"/>
  <c r="R1474" i="23"/>
  <c r="O1474" i="23"/>
  <c r="N1474" i="23"/>
  <c r="P1474" i="23" s="1"/>
  <c r="J1474" i="23"/>
  <c r="R1473" i="23"/>
  <c r="O1473" i="23"/>
  <c r="N1473" i="23"/>
  <c r="P1473" i="23" s="1"/>
  <c r="J1473" i="23"/>
  <c r="R1472" i="23"/>
  <c r="O1472" i="23"/>
  <c r="N1472" i="23"/>
  <c r="P1472" i="23" s="1"/>
  <c r="J1472" i="23"/>
  <c r="R1471" i="23"/>
  <c r="O1471" i="23"/>
  <c r="N1471" i="23"/>
  <c r="S1471" i="23" s="1"/>
  <c r="U1471" i="23" s="1"/>
  <c r="J1471" i="23"/>
  <c r="R1470" i="23"/>
  <c r="O1470" i="23"/>
  <c r="N1470" i="23"/>
  <c r="J1470" i="23"/>
  <c r="R1469" i="23"/>
  <c r="O1469" i="23"/>
  <c r="N1469" i="23"/>
  <c r="J1469" i="23"/>
  <c r="R1468" i="23"/>
  <c r="O1468" i="23"/>
  <c r="N1468" i="23"/>
  <c r="S1468" i="23" s="1"/>
  <c r="J1468" i="23"/>
  <c r="R1467" i="23"/>
  <c r="O1467" i="23"/>
  <c r="N1467" i="23"/>
  <c r="S1467" i="23" s="1"/>
  <c r="J1467" i="23"/>
  <c r="R1466" i="23"/>
  <c r="O1466" i="23"/>
  <c r="N1466" i="23"/>
  <c r="P1466" i="23" s="1"/>
  <c r="J1466" i="23"/>
  <c r="R1465" i="23"/>
  <c r="O1465" i="23"/>
  <c r="N1465" i="23"/>
  <c r="P1465" i="23" s="1"/>
  <c r="J1465" i="23"/>
  <c r="R1464" i="23"/>
  <c r="O1464" i="23"/>
  <c r="N1464" i="23"/>
  <c r="P1464" i="23" s="1"/>
  <c r="J1464" i="23"/>
  <c r="R1463" i="23"/>
  <c r="O1463" i="23"/>
  <c r="N1463" i="23"/>
  <c r="S1463" i="23" s="1"/>
  <c r="U1463" i="23" s="1"/>
  <c r="J1463" i="23"/>
  <c r="R1462" i="23"/>
  <c r="O1462" i="23"/>
  <c r="N1462" i="23"/>
  <c r="S1462" i="23" s="1"/>
  <c r="U1462" i="23" s="1"/>
  <c r="J1462" i="23"/>
  <c r="R1461" i="23"/>
  <c r="O1461" i="23"/>
  <c r="N1461" i="23"/>
  <c r="P1461" i="23" s="1"/>
  <c r="J1461" i="23"/>
  <c r="R1460" i="23"/>
  <c r="O1460" i="23"/>
  <c r="N1460" i="23"/>
  <c r="S1460" i="23" s="1"/>
  <c r="J1460" i="23"/>
  <c r="R1459" i="23"/>
  <c r="O1459" i="23"/>
  <c r="N1459" i="23"/>
  <c r="J1459" i="23"/>
  <c r="R1458" i="23"/>
  <c r="O1458" i="23"/>
  <c r="N1458" i="23"/>
  <c r="S1458" i="23" s="1"/>
  <c r="U1458" i="23" s="1"/>
  <c r="Y1458" i="23" s="1"/>
  <c r="J1458" i="23"/>
  <c r="R1457" i="23"/>
  <c r="O1457" i="23"/>
  <c r="N1457" i="23"/>
  <c r="P1457" i="23" s="1"/>
  <c r="J1457" i="23"/>
  <c r="R1456" i="23"/>
  <c r="O1456" i="23"/>
  <c r="N1456" i="23"/>
  <c r="P1456" i="23" s="1"/>
  <c r="J1456" i="23"/>
  <c r="R1455" i="23"/>
  <c r="O1455" i="23"/>
  <c r="N1455" i="23"/>
  <c r="S1455" i="23" s="1"/>
  <c r="U1455" i="23" s="1"/>
  <c r="J1455" i="23"/>
  <c r="R1454" i="23"/>
  <c r="O1454" i="23"/>
  <c r="N1454" i="23"/>
  <c r="J1454" i="23"/>
  <c r="R1453" i="23"/>
  <c r="O1453" i="23"/>
  <c r="N1453" i="23"/>
  <c r="P1453" i="23" s="1"/>
  <c r="J1453" i="23"/>
  <c r="R1452" i="23"/>
  <c r="O1452" i="23"/>
  <c r="N1452" i="23"/>
  <c r="S1452" i="23" s="1"/>
  <c r="J1452" i="23"/>
  <c r="R1451" i="23"/>
  <c r="O1451" i="23"/>
  <c r="N1451" i="23"/>
  <c r="J1451" i="23"/>
  <c r="R1450" i="23"/>
  <c r="O1450" i="23"/>
  <c r="N1450" i="23"/>
  <c r="S1450" i="23" s="1"/>
  <c r="U1450" i="23" s="1"/>
  <c r="Y1450" i="23" s="1"/>
  <c r="J1450" i="23"/>
  <c r="R1449" i="23"/>
  <c r="O1449" i="23"/>
  <c r="N1449" i="23"/>
  <c r="P1449" i="23" s="1"/>
  <c r="J1449" i="23"/>
  <c r="R1448" i="23"/>
  <c r="O1448" i="23"/>
  <c r="N1448" i="23"/>
  <c r="P1448" i="23" s="1"/>
  <c r="J1448" i="23"/>
  <c r="R1447" i="23"/>
  <c r="O1447" i="23"/>
  <c r="N1447" i="23"/>
  <c r="S1447" i="23" s="1"/>
  <c r="U1447" i="23" s="1"/>
  <c r="J1447" i="23"/>
  <c r="R1446" i="23"/>
  <c r="O1446" i="23"/>
  <c r="N1446" i="23"/>
  <c r="S1446" i="23" s="1"/>
  <c r="U1446" i="23" s="1"/>
  <c r="J1446" i="23"/>
  <c r="R1445" i="23"/>
  <c r="O1445" i="23"/>
  <c r="N1445" i="23"/>
  <c r="P1445" i="23" s="1"/>
  <c r="J1445" i="23"/>
  <c r="R1444" i="23"/>
  <c r="O1444" i="23"/>
  <c r="N1444" i="23"/>
  <c r="S1444" i="23" s="1"/>
  <c r="J1444" i="23"/>
  <c r="R1443" i="23"/>
  <c r="O1443" i="23"/>
  <c r="N1443" i="23"/>
  <c r="J1443" i="23"/>
  <c r="R1442" i="23"/>
  <c r="O1442" i="23"/>
  <c r="N1442" i="23"/>
  <c r="S1442" i="23" s="1"/>
  <c r="U1442" i="23" s="1"/>
  <c r="Y1442" i="23" s="1"/>
  <c r="J1442" i="23"/>
  <c r="R1441" i="23"/>
  <c r="O1441" i="23"/>
  <c r="N1441" i="23"/>
  <c r="P1441" i="23" s="1"/>
  <c r="J1441" i="23"/>
  <c r="R1440" i="23"/>
  <c r="O1440" i="23"/>
  <c r="N1440" i="23"/>
  <c r="J1440" i="23"/>
  <c r="R1439" i="23"/>
  <c r="O1439" i="23"/>
  <c r="N1439" i="23"/>
  <c r="S1439" i="23" s="1"/>
  <c r="J1439" i="23"/>
  <c r="R1438" i="23"/>
  <c r="O1438" i="23"/>
  <c r="N1438" i="23"/>
  <c r="P1438" i="23" s="1"/>
  <c r="J1438" i="23"/>
  <c r="R1437" i="23"/>
  <c r="O1437" i="23"/>
  <c r="N1437" i="23"/>
  <c r="S1437" i="23" s="1"/>
  <c r="J1437" i="23"/>
  <c r="R1436" i="23"/>
  <c r="O1436" i="23"/>
  <c r="N1436" i="23"/>
  <c r="P1436" i="23" s="1"/>
  <c r="J1436" i="23"/>
  <c r="R1435" i="23"/>
  <c r="O1435" i="23"/>
  <c r="N1435" i="23"/>
  <c r="S1435" i="23" s="1"/>
  <c r="J1435" i="23"/>
  <c r="R1434" i="23"/>
  <c r="O1434" i="23"/>
  <c r="N1434" i="23"/>
  <c r="P1434" i="23" s="1"/>
  <c r="J1434" i="23"/>
  <c r="R1433" i="23"/>
  <c r="O1433" i="23"/>
  <c r="N1433" i="23"/>
  <c r="S1433" i="23" s="1"/>
  <c r="J1433" i="23"/>
  <c r="R1432" i="23"/>
  <c r="O1432" i="23"/>
  <c r="N1432" i="23"/>
  <c r="P1432" i="23" s="1"/>
  <c r="J1432" i="23"/>
  <c r="R1431" i="23"/>
  <c r="O1431" i="23"/>
  <c r="N1431" i="23"/>
  <c r="S1431" i="23" s="1"/>
  <c r="J1431" i="23"/>
  <c r="R1430" i="23"/>
  <c r="O1430" i="23"/>
  <c r="N1430" i="23"/>
  <c r="P1430" i="23" s="1"/>
  <c r="J1430" i="23"/>
  <c r="R1429" i="23"/>
  <c r="O1429" i="23"/>
  <c r="N1429" i="23"/>
  <c r="S1429" i="23" s="1"/>
  <c r="J1429" i="23"/>
  <c r="R1428" i="23"/>
  <c r="O1428" i="23"/>
  <c r="N1428" i="23"/>
  <c r="P1428" i="23" s="1"/>
  <c r="J1428" i="23"/>
  <c r="R1427" i="23"/>
  <c r="O1427" i="23"/>
  <c r="N1427" i="23"/>
  <c r="S1427" i="23" s="1"/>
  <c r="J1427" i="23"/>
  <c r="R1426" i="23"/>
  <c r="O1426" i="23"/>
  <c r="N1426" i="23"/>
  <c r="P1426" i="23" s="1"/>
  <c r="J1426" i="23"/>
  <c r="R1425" i="23"/>
  <c r="O1425" i="23"/>
  <c r="N1425" i="23"/>
  <c r="S1425" i="23" s="1"/>
  <c r="J1425" i="23"/>
  <c r="R1424" i="23"/>
  <c r="O1424" i="23"/>
  <c r="N1424" i="23"/>
  <c r="J1424" i="23"/>
  <c r="R1423" i="23"/>
  <c r="O1423" i="23"/>
  <c r="N1423" i="23"/>
  <c r="S1423" i="23" s="1"/>
  <c r="J1423" i="23"/>
  <c r="R1422" i="23"/>
  <c r="O1422" i="23"/>
  <c r="N1422" i="23"/>
  <c r="J1422" i="23"/>
  <c r="R1421" i="23"/>
  <c r="O1421" i="23"/>
  <c r="N1421" i="23"/>
  <c r="S1421" i="23" s="1"/>
  <c r="J1421" i="23"/>
  <c r="R1420" i="23"/>
  <c r="O1420" i="23"/>
  <c r="N1420" i="23"/>
  <c r="P1420" i="23" s="1"/>
  <c r="J1420" i="23"/>
  <c r="R1419" i="23"/>
  <c r="O1419" i="23"/>
  <c r="N1419" i="23"/>
  <c r="S1419" i="23" s="1"/>
  <c r="J1419" i="23"/>
  <c r="R1418" i="23"/>
  <c r="O1418" i="23"/>
  <c r="N1418" i="23"/>
  <c r="J1418" i="23"/>
  <c r="R1417" i="23"/>
  <c r="O1417" i="23"/>
  <c r="N1417" i="23"/>
  <c r="S1417" i="23" s="1"/>
  <c r="J1417" i="23"/>
  <c r="R1416" i="23"/>
  <c r="O1416" i="23"/>
  <c r="N1416" i="23"/>
  <c r="P1416" i="23" s="1"/>
  <c r="J1416" i="23"/>
  <c r="R1415" i="23"/>
  <c r="O1415" i="23"/>
  <c r="N1415" i="23"/>
  <c r="S1415" i="23" s="1"/>
  <c r="J1415" i="23"/>
  <c r="R1414" i="23"/>
  <c r="O1414" i="23"/>
  <c r="N1414" i="23"/>
  <c r="P1414" i="23" s="1"/>
  <c r="J1414" i="23"/>
  <c r="R1413" i="23"/>
  <c r="O1413" i="23"/>
  <c r="N1413" i="23"/>
  <c r="S1413" i="23" s="1"/>
  <c r="J1413" i="23"/>
  <c r="R1412" i="23"/>
  <c r="O1412" i="23"/>
  <c r="N1412" i="23"/>
  <c r="P1412" i="23" s="1"/>
  <c r="J1412" i="23"/>
  <c r="R1411" i="23"/>
  <c r="O1411" i="23"/>
  <c r="N1411" i="23"/>
  <c r="S1411" i="23" s="1"/>
  <c r="J1411" i="23"/>
  <c r="R1410" i="23"/>
  <c r="O1410" i="23"/>
  <c r="N1410" i="23"/>
  <c r="J1410" i="23"/>
  <c r="R1409" i="23"/>
  <c r="O1409" i="23"/>
  <c r="N1409" i="23"/>
  <c r="S1409" i="23" s="1"/>
  <c r="J1409" i="23"/>
  <c r="R1408" i="23"/>
  <c r="O1408" i="23"/>
  <c r="N1408" i="23"/>
  <c r="J1408" i="23"/>
  <c r="R1407" i="23"/>
  <c r="O1407" i="23"/>
  <c r="N1407" i="23"/>
  <c r="S1407" i="23" s="1"/>
  <c r="J1407" i="23"/>
  <c r="R1406" i="23"/>
  <c r="O1406" i="23"/>
  <c r="N1406" i="23"/>
  <c r="P1406" i="23" s="1"/>
  <c r="J1406" i="23"/>
  <c r="R1405" i="23"/>
  <c r="O1405" i="23"/>
  <c r="N1405" i="23"/>
  <c r="S1405" i="23" s="1"/>
  <c r="J1405" i="23"/>
  <c r="R1404" i="23"/>
  <c r="O1404" i="23"/>
  <c r="N1404" i="23"/>
  <c r="P1404" i="23" s="1"/>
  <c r="J1404" i="23"/>
  <c r="R1403" i="23"/>
  <c r="O1403" i="23"/>
  <c r="N1403" i="23"/>
  <c r="S1403" i="23" s="1"/>
  <c r="J1403" i="23"/>
  <c r="R1402" i="23"/>
  <c r="O1402" i="23"/>
  <c r="N1402" i="23"/>
  <c r="P1402" i="23" s="1"/>
  <c r="J1402" i="23"/>
  <c r="R1401" i="23"/>
  <c r="O1401" i="23"/>
  <c r="N1401" i="23"/>
  <c r="S1401" i="23" s="1"/>
  <c r="J1401" i="23"/>
  <c r="R1400" i="23"/>
  <c r="O1400" i="23"/>
  <c r="N1400" i="23"/>
  <c r="P1400" i="23" s="1"/>
  <c r="J1400" i="23"/>
  <c r="R1399" i="23"/>
  <c r="O1399" i="23"/>
  <c r="N1399" i="23"/>
  <c r="S1399" i="23" s="1"/>
  <c r="J1399" i="23"/>
  <c r="R1398" i="23"/>
  <c r="O1398" i="23"/>
  <c r="N1398" i="23"/>
  <c r="J1398" i="23"/>
  <c r="R1397" i="23"/>
  <c r="O1397" i="23"/>
  <c r="N1397" i="23"/>
  <c r="S1397" i="23" s="1"/>
  <c r="J1397" i="23"/>
  <c r="R1396" i="23"/>
  <c r="O1396" i="23"/>
  <c r="N1396" i="23"/>
  <c r="P1396" i="23" s="1"/>
  <c r="J1396" i="23"/>
  <c r="R1395" i="23"/>
  <c r="O1395" i="23"/>
  <c r="N1395" i="23"/>
  <c r="S1395" i="23" s="1"/>
  <c r="J1395" i="23"/>
  <c r="R1394" i="23"/>
  <c r="O1394" i="23"/>
  <c r="N1394" i="23"/>
  <c r="P1394" i="23" s="1"/>
  <c r="J1394" i="23"/>
  <c r="R1393" i="23"/>
  <c r="O1393" i="23"/>
  <c r="N1393" i="23"/>
  <c r="S1393" i="23" s="1"/>
  <c r="J1393" i="23"/>
  <c r="R1392" i="23"/>
  <c r="O1392" i="23"/>
  <c r="N1392" i="23"/>
  <c r="J1392" i="23"/>
  <c r="R1391" i="23"/>
  <c r="O1391" i="23"/>
  <c r="N1391" i="23"/>
  <c r="S1391" i="23" s="1"/>
  <c r="J1391" i="23"/>
  <c r="R1390" i="23"/>
  <c r="O1390" i="23"/>
  <c r="N1390" i="23"/>
  <c r="J1390" i="23"/>
  <c r="R1389" i="23"/>
  <c r="O1389" i="23"/>
  <c r="N1389" i="23"/>
  <c r="S1389" i="23" s="1"/>
  <c r="J1389" i="23"/>
  <c r="R1388" i="23"/>
  <c r="O1388" i="23"/>
  <c r="N1388" i="23"/>
  <c r="P1388" i="23" s="1"/>
  <c r="J1388" i="23"/>
  <c r="R1387" i="23"/>
  <c r="O1387" i="23"/>
  <c r="N1387" i="23"/>
  <c r="S1387" i="23" s="1"/>
  <c r="J1387" i="23"/>
  <c r="R1386" i="23"/>
  <c r="O1386" i="23"/>
  <c r="N1386" i="23"/>
  <c r="J1386" i="23"/>
  <c r="R1385" i="23"/>
  <c r="O1385" i="23"/>
  <c r="N1385" i="23"/>
  <c r="S1385" i="23" s="1"/>
  <c r="J1385" i="23"/>
  <c r="R1384" i="23"/>
  <c r="O1384" i="23"/>
  <c r="N1384" i="23"/>
  <c r="P1384" i="23" s="1"/>
  <c r="J1384" i="23"/>
  <c r="R1383" i="23"/>
  <c r="O1383" i="23"/>
  <c r="N1383" i="23"/>
  <c r="S1383" i="23" s="1"/>
  <c r="J1383" i="23"/>
  <c r="R1382" i="23"/>
  <c r="O1382" i="23"/>
  <c r="N1382" i="23"/>
  <c r="P1382" i="23" s="1"/>
  <c r="J1382" i="23"/>
  <c r="R1381" i="23"/>
  <c r="O1381" i="23"/>
  <c r="N1381" i="23"/>
  <c r="S1381" i="23" s="1"/>
  <c r="J1381" i="23"/>
  <c r="R1380" i="23"/>
  <c r="O1380" i="23"/>
  <c r="N1380" i="23"/>
  <c r="P1380" i="23" s="1"/>
  <c r="J1380" i="23"/>
  <c r="R1379" i="23"/>
  <c r="O1379" i="23"/>
  <c r="N1379" i="23"/>
  <c r="S1379" i="23" s="1"/>
  <c r="J1379" i="23"/>
  <c r="R1378" i="23"/>
  <c r="O1378" i="23"/>
  <c r="N1378" i="23"/>
  <c r="P1378" i="23" s="1"/>
  <c r="J1378" i="23"/>
  <c r="R1377" i="23"/>
  <c r="O1377" i="23"/>
  <c r="N1377" i="23"/>
  <c r="S1377" i="23" s="1"/>
  <c r="J1377" i="23"/>
  <c r="R1376" i="23"/>
  <c r="O1376" i="23"/>
  <c r="N1376" i="23"/>
  <c r="J1376" i="23"/>
  <c r="R1375" i="23"/>
  <c r="O1375" i="23"/>
  <c r="N1375" i="23"/>
  <c r="S1375" i="23" s="1"/>
  <c r="J1375" i="23"/>
  <c r="R1374" i="23"/>
  <c r="O1374" i="23"/>
  <c r="N1374" i="23"/>
  <c r="P1374" i="23" s="1"/>
  <c r="J1374" i="23"/>
  <c r="R1373" i="23"/>
  <c r="O1373" i="23"/>
  <c r="N1373" i="23"/>
  <c r="S1373" i="23" s="1"/>
  <c r="J1373" i="23"/>
  <c r="R1372" i="23"/>
  <c r="O1372" i="23"/>
  <c r="N1372" i="23"/>
  <c r="P1372" i="23" s="1"/>
  <c r="J1372" i="23"/>
  <c r="R1371" i="23"/>
  <c r="O1371" i="23"/>
  <c r="N1371" i="23"/>
  <c r="S1371" i="23" s="1"/>
  <c r="J1371" i="23"/>
  <c r="R1370" i="23"/>
  <c r="O1370" i="23"/>
  <c r="N1370" i="23"/>
  <c r="P1370" i="23" s="1"/>
  <c r="J1370" i="23"/>
  <c r="R1369" i="23"/>
  <c r="O1369" i="23"/>
  <c r="N1369" i="23"/>
  <c r="S1369" i="23" s="1"/>
  <c r="J1369" i="23"/>
  <c r="R1368" i="23"/>
  <c r="O1368" i="23"/>
  <c r="N1368" i="23"/>
  <c r="P1368" i="23" s="1"/>
  <c r="J1368" i="23"/>
  <c r="R1367" i="23"/>
  <c r="O1367" i="23"/>
  <c r="N1367" i="23"/>
  <c r="S1367" i="23" s="1"/>
  <c r="J1367" i="23"/>
  <c r="R1366" i="23"/>
  <c r="O1366" i="23"/>
  <c r="N1366" i="23"/>
  <c r="P1366" i="23" s="1"/>
  <c r="J1366" i="23"/>
  <c r="R1365" i="23"/>
  <c r="O1365" i="23"/>
  <c r="N1365" i="23"/>
  <c r="S1365" i="23" s="1"/>
  <c r="J1365" i="23"/>
  <c r="R1364" i="23"/>
  <c r="O1364" i="23"/>
  <c r="N1364" i="23"/>
  <c r="P1364" i="23" s="1"/>
  <c r="J1364" i="23"/>
  <c r="R1363" i="23"/>
  <c r="O1363" i="23"/>
  <c r="N1363" i="23"/>
  <c r="S1363" i="23" s="1"/>
  <c r="J1363" i="23"/>
  <c r="R1362" i="23"/>
  <c r="O1362" i="23"/>
  <c r="N1362" i="23"/>
  <c r="P1362" i="23" s="1"/>
  <c r="J1362" i="23"/>
  <c r="R1361" i="23"/>
  <c r="O1361" i="23"/>
  <c r="N1361" i="23"/>
  <c r="S1361" i="23" s="1"/>
  <c r="J1361" i="23"/>
  <c r="R1360" i="23"/>
  <c r="O1360" i="23"/>
  <c r="N1360" i="23"/>
  <c r="J1360" i="23"/>
  <c r="R1359" i="23"/>
  <c r="O1359" i="23"/>
  <c r="N1359" i="23"/>
  <c r="S1359" i="23" s="1"/>
  <c r="J1359" i="23"/>
  <c r="R1358" i="23"/>
  <c r="O1358" i="23"/>
  <c r="N1358" i="23"/>
  <c r="J1358" i="23"/>
  <c r="R1357" i="23"/>
  <c r="O1357" i="23"/>
  <c r="N1357" i="23"/>
  <c r="S1357" i="23" s="1"/>
  <c r="J1357" i="23"/>
  <c r="R1356" i="23"/>
  <c r="O1356" i="23"/>
  <c r="N1356" i="23"/>
  <c r="P1356" i="23" s="1"/>
  <c r="J1356" i="23"/>
  <c r="R1355" i="23"/>
  <c r="O1355" i="23"/>
  <c r="N1355" i="23"/>
  <c r="S1355" i="23" s="1"/>
  <c r="J1355" i="23"/>
  <c r="R1354" i="23"/>
  <c r="O1354" i="23"/>
  <c r="N1354" i="23"/>
  <c r="J1354" i="23"/>
  <c r="R1353" i="23"/>
  <c r="O1353" i="23"/>
  <c r="N1353" i="23"/>
  <c r="S1353" i="23" s="1"/>
  <c r="J1353" i="23"/>
  <c r="R1352" i="23"/>
  <c r="O1352" i="23"/>
  <c r="N1352" i="23"/>
  <c r="P1352" i="23" s="1"/>
  <c r="J1352" i="23"/>
  <c r="R1351" i="23"/>
  <c r="O1351" i="23"/>
  <c r="N1351" i="23"/>
  <c r="S1351" i="23" s="1"/>
  <c r="J1351" i="23"/>
  <c r="R1350" i="23"/>
  <c r="O1350" i="23"/>
  <c r="N1350" i="23"/>
  <c r="P1350" i="23" s="1"/>
  <c r="J1350" i="23"/>
  <c r="R1349" i="23"/>
  <c r="O1349" i="23"/>
  <c r="N1349" i="23"/>
  <c r="S1349" i="23" s="1"/>
  <c r="J1349" i="23"/>
  <c r="R1348" i="23"/>
  <c r="O1348" i="23"/>
  <c r="N1348" i="23"/>
  <c r="P1348" i="23" s="1"/>
  <c r="J1348" i="23"/>
  <c r="R1347" i="23"/>
  <c r="O1347" i="23"/>
  <c r="N1347" i="23"/>
  <c r="S1347" i="23" s="1"/>
  <c r="J1347" i="23"/>
  <c r="R1346" i="23"/>
  <c r="O1346" i="23"/>
  <c r="N1346" i="23"/>
  <c r="P1346" i="23" s="1"/>
  <c r="J1346" i="23"/>
  <c r="R1345" i="23"/>
  <c r="O1345" i="23"/>
  <c r="N1345" i="23"/>
  <c r="S1345" i="23" s="1"/>
  <c r="J1345" i="23"/>
  <c r="R1344" i="23"/>
  <c r="O1344" i="23"/>
  <c r="N1344" i="23"/>
  <c r="J1344" i="23"/>
  <c r="R1343" i="23"/>
  <c r="O1343" i="23"/>
  <c r="N1343" i="23"/>
  <c r="S1343" i="23" s="1"/>
  <c r="J1343" i="23"/>
  <c r="R1342" i="23"/>
  <c r="O1342" i="23"/>
  <c r="N1342" i="23"/>
  <c r="P1342" i="23" s="1"/>
  <c r="J1342" i="23"/>
  <c r="R1341" i="23"/>
  <c r="O1341" i="23"/>
  <c r="N1341" i="23"/>
  <c r="S1341" i="23" s="1"/>
  <c r="J1341" i="23"/>
  <c r="R1340" i="23"/>
  <c r="O1340" i="23"/>
  <c r="N1340" i="23"/>
  <c r="P1340" i="23" s="1"/>
  <c r="J1340" i="23"/>
  <c r="R1339" i="23"/>
  <c r="O1339" i="23"/>
  <c r="N1339" i="23"/>
  <c r="S1339" i="23" s="1"/>
  <c r="J1339" i="23"/>
  <c r="R1338" i="23"/>
  <c r="O1338" i="23"/>
  <c r="N1338" i="23"/>
  <c r="P1338" i="23" s="1"/>
  <c r="J1338" i="23"/>
  <c r="R1337" i="23"/>
  <c r="O1337" i="23"/>
  <c r="N1337" i="23"/>
  <c r="S1337" i="23" s="1"/>
  <c r="J1337" i="23"/>
  <c r="R1336" i="23"/>
  <c r="O1336" i="23"/>
  <c r="N1336" i="23"/>
  <c r="P1336" i="23" s="1"/>
  <c r="J1336" i="23"/>
  <c r="R1335" i="23"/>
  <c r="O1335" i="23"/>
  <c r="N1335" i="23"/>
  <c r="S1335" i="23" s="1"/>
  <c r="J1335" i="23"/>
  <c r="R1334" i="23"/>
  <c r="O1334" i="23"/>
  <c r="N1334" i="23"/>
  <c r="J1334" i="23"/>
  <c r="R1333" i="23"/>
  <c r="O1333" i="23"/>
  <c r="N1333" i="23"/>
  <c r="S1333" i="23" s="1"/>
  <c r="J1333" i="23"/>
  <c r="R1332" i="23"/>
  <c r="O1332" i="23"/>
  <c r="N1332" i="23"/>
  <c r="P1332" i="23" s="1"/>
  <c r="J1332" i="23"/>
  <c r="R1331" i="23"/>
  <c r="O1331" i="23"/>
  <c r="N1331" i="23"/>
  <c r="S1331" i="23" s="1"/>
  <c r="J1331" i="23"/>
  <c r="R1330" i="23"/>
  <c r="O1330" i="23"/>
  <c r="N1330" i="23"/>
  <c r="P1330" i="23" s="1"/>
  <c r="J1330" i="23"/>
  <c r="R1329" i="23"/>
  <c r="O1329" i="23"/>
  <c r="N1329" i="23"/>
  <c r="S1329" i="23" s="1"/>
  <c r="J1329" i="23"/>
  <c r="R1328" i="23"/>
  <c r="O1328" i="23"/>
  <c r="N1328" i="23"/>
  <c r="J1328" i="23"/>
  <c r="R1327" i="23"/>
  <c r="O1327" i="23"/>
  <c r="N1327" i="23"/>
  <c r="S1327" i="23" s="1"/>
  <c r="J1327" i="23"/>
  <c r="R1326" i="23"/>
  <c r="O1326" i="23"/>
  <c r="N1326" i="23"/>
  <c r="J1326" i="23"/>
  <c r="R1325" i="23"/>
  <c r="O1325" i="23"/>
  <c r="N1325" i="23"/>
  <c r="S1325" i="23" s="1"/>
  <c r="J1325" i="23"/>
  <c r="R1324" i="23"/>
  <c r="O1324" i="23"/>
  <c r="N1324" i="23"/>
  <c r="P1324" i="23" s="1"/>
  <c r="J1324" i="23"/>
  <c r="R1323" i="23"/>
  <c r="O1323" i="23"/>
  <c r="N1323" i="23"/>
  <c r="S1323" i="23" s="1"/>
  <c r="J1323" i="23"/>
  <c r="R1322" i="23"/>
  <c r="O1322" i="23"/>
  <c r="N1322" i="23"/>
  <c r="J1322" i="23"/>
  <c r="R1321" i="23"/>
  <c r="O1321" i="23"/>
  <c r="N1321" i="23"/>
  <c r="S1321" i="23" s="1"/>
  <c r="J1321" i="23"/>
  <c r="R1320" i="23"/>
  <c r="O1320" i="23"/>
  <c r="N1320" i="23"/>
  <c r="P1320" i="23" s="1"/>
  <c r="J1320" i="23"/>
  <c r="R1319" i="23"/>
  <c r="O1319" i="23"/>
  <c r="N1319" i="23"/>
  <c r="S1319" i="23" s="1"/>
  <c r="J1319" i="23"/>
  <c r="R1318" i="23"/>
  <c r="O1318" i="23"/>
  <c r="N1318" i="23"/>
  <c r="P1318" i="23" s="1"/>
  <c r="J1318" i="23"/>
  <c r="R1317" i="23"/>
  <c r="O1317" i="23"/>
  <c r="N1317" i="23"/>
  <c r="S1317" i="23" s="1"/>
  <c r="J1317" i="23"/>
  <c r="R1316" i="23"/>
  <c r="O1316" i="23"/>
  <c r="N1316" i="23"/>
  <c r="P1316" i="23" s="1"/>
  <c r="J1316" i="23"/>
  <c r="R1315" i="23"/>
  <c r="O1315" i="23"/>
  <c r="N1315" i="23"/>
  <c r="S1315" i="23" s="1"/>
  <c r="J1315" i="23"/>
  <c r="R1314" i="23"/>
  <c r="O1314" i="23"/>
  <c r="N1314" i="23"/>
  <c r="P1314" i="23" s="1"/>
  <c r="J1314" i="23"/>
  <c r="R1313" i="23"/>
  <c r="O1313" i="23"/>
  <c r="N1313" i="23"/>
  <c r="S1313" i="23" s="1"/>
  <c r="J1313" i="23"/>
  <c r="R1312" i="23"/>
  <c r="O1312" i="23"/>
  <c r="N1312" i="23"/>
  <c r="J1312" i="23"/>
  <c r="R1311" i="23"/>
  <c r="O1311" i="23"/>
  <c r="N1311" i="23"/>
  <c r="S1311" i="23" s="1"/>
  <c r="J1311" i="23"/>
  <c r="R1310" i="23"/>
  <c r="O1310" i="23"/>
  <c r="N1310" i="23"/>
  <c r="P1310" i="23" s="1"/>
  <c r="J1310" i="23"/>
  <c r="R1309" i="23"/>
  <c r="O1309" i="23"/>
  <c r="N1309" i="23"/>
  <c r="S1309" i="23" s="1"/>
  <c r="J1309" i="23"/>
  <c r="R1308" i="23"/>
  <c r="O1308" i="23"/>
  <c r="N1308" i="23"/>
  <c r="P1308" i="23" s="1"/>
  <c r="J1308" i="23"/>
  <c r="R1307" i="23"/>
  <c r="O1307" i="23"/>
  <c r="N1307" i="23"/>
  <c r="S1307" i="23" s="1"/>
  <c r="J1307" i="23"/>
  <c r="R1306" i="23"/>
  <c r="O1306" i="23"/>
  <c r="N1306" i="23"/>
  <c r="P1306" i="23" s="1"/>
  <c r="J1306" i="23"/>
  <c r="R1305" i="23"/>
  <c r="O1305" i="23"/>
  <c r="N1305" i="23"/>
  <c r="S1305" i="23" s="1"/>
  <c r="J1305" i="23"/>
  <c r="R1304" i="23"/>
  <c r="O1304" i="23"/>
  <c r="N1304" i="23"/>
  <c r="P1304" i="23" s="1"/>
  <c r="J1304" i="23"/>
  <c r="R1303" i="23"/>
  <c r="O1303" i="23"/>
  <c r="N1303" i="23"/>
  <c r="S1303" i="23" s="1"/>
  <c r="J1303" i="23"/>
  <c r="R1302" i="23"/>
  <c r="O1302" i="23"/>
  <c r="N1302" i="23"/>
  <c r="P1302" i="23" s="1"/>
  <c r="J1302" i="23"/>
  <c r="R1301" i="23"/>
  <c r="O1301" i="23"/>
  <c r="N1301" i="23"/>
  <c r="S1301" i="23" s="1"/>
  <c r="J1301" i="23"/>
  <c r="R1300" i="23"/>
  <c r="O1300" i="23"/>
  <c r="N1300" i="23"/>
  <c r="P1300" i="23" s="1"/>
  <c r="J1300" i="23"/>
  <c r="R1299" i="23"/>
  <c r="O1299" i="23"/>
  <c r="N1299" i="23"/>
  <c r="S1299" i="23" s="1"/>
  <c r="J1299" i="23"/>
  <c r="R1298" i="23"/>
  <c r="O1298" i="23"/>
  <c r="N1298" i="23"/>
  <c r="P1298" i="23" s="1"/>
  <c r="J1298" i="23"/>
  <c r="R1297" i="23"/>
  <c r="O1297" i="23"/>
  <c r="N1297" i="23"/>
  <c r="S1297" i="23" s="1"/>
  <c r="J1297" i="23"/>
  <c r="R1296" i="23"/>
  <c r="O1296" i="23"/>
  <c r="N1296" i="23"/>
  <c r="J1296" i="23"/>
  <c r="R1295" i="23"/>
  <c r="O1295" i="23"/>
  <c r="N1295" i="23"/>
  <c r="S1295" i="23" s="1"/>
  <c r="J1295" i="23"/>
  <c r="R1294" i="23"/>
  <c r="O1294" i="23"/>
  <c r="N1294" i="23"/>
  <c r="J1294" i="23"/>
  <c r="R1293" i="23"/>
  <c r="O1293" i="23"/>
  <c r="N1293" i="23"/>
  <c r="S1293" i="23" s="1"/>
  <c r="J1293" i="23"/>
  <c r="R1292" i="23"/>
  <c r="O1292" i="23"/>
  <c r="N1292" i="23"/>
  <c r="P1292" i="23" s="1"/>
  <c r="J1292" i="23"/>
  <c r="R1291" i="23"/>
  <c r="O1291" i="23"/>
  <c r="N1291" i="23"/>
  <c r="S1291" i="23" s="1"/>
  <c r="J1291" i="23"/>
  <c r="R1290" i="23"/>
  <c r="O1290" i="23"/>
  <c r="N1290" i="23"/>
  <c r="J1290" i="23"/>
  <c r="R1289" i="23"/>
  <c r="O1289" i="23"/>
  <c r="N1289" i="23"/>
  <c r="S1289" i="23" s="1"/>
  <c r="J1289" i="23"/>
  <c r="R1288" i="23"/>
  <c r="O1288" i="23"/>
  <c r="N1288" i="23"/>
  <c r="P1288" i="23" s="1"/>
  <c r="J1288" i="23"/>
  <c r="R1287" i="23"/>
  <c r="O1287" i="23"/>
  <c r="N1287" i="23"/>
  <c r="S1287" i="23" s="1"/>
  <c r="J1287" i="23"/>
  <c r="R1286" i="23"/>
  <c r="O1286" i="23"/>
  <c r="N1286" i="23"/>
  <c r="J1286" i="23"/>
  <c r="R1285" i="23"/>
  <c r="O1285" i="23"/>
  <c r="N1285" i="23"/>
  <c r="S1285" i="23" s="1"/>
  <c r="J1285" i="23"/>
  <c r="R1284" i="23"/>
  <c r="O1284" i="23"/>
  <c r="N1284" i="23"/>
  <c r="P1284" i="23" s="1"/>
  <c r="J1284" i="23"/>
  <c r="R1283" i="23"/>
  <c r="O1283" i="23"/>
  <c r="N1283" i="23"/>
  <c r="S1283" i="23" s="1"/>
  <c r="J1283" i="23"/>
  <c r="R1282" i="23"/>
  <c r="O1282" i="23"/>
  <c r="N1282" i="23"/>
  <c r="P1282" i="23" s="1"/>
  <c r="J1282" i="23"/>
  <c r="R1281" i="23"/>
  <c r="O1281" i="23"/>
  <c r="N1281" i="23"/>
  <c r="S1281" i="23" s="1"/>
  <c r="J1281" i="23"/>
  <c r="R1280" i="23"/>
  <c r="O1280" i="23"/>
  <c r="N1280" i="23"/>
  <c r="J1280" i="23"/>
  <c r="R1279" i="23"/>
  <c r="O1279" i="23"/>
  <c r="N1279" i="23"/>
  <c r="S1279" i="23" s="1"/>
  <c r="J1279" i="23"/>
  <c r="R1278" i="23"/>
  <c r="O1278" i="23"/>
  <c r="N1278" i="23"/>
  <c r="P1278" i="23" s="1"/>
  <c r="J1278" i="23"/>
  <c r="R1277" i="23"/>
  <c r="O1277" i="23"/>
  <c r="N1277" i="23"/>
  <c r="S1277" i="23" s="1"/>
  <c r="J1277" i="23"/>
  <c r="R1276" i="23"/>
  <c r="O1276" i="23"/>
  <c r="N1276" i="23"/>
  <c r="P1276" i="23" s="1"/>
  <c r="J1276" i="23"/>
  <c r="R1275" i="23"/>
  <c r="O1275" i="23"/>
  <c r="N1275" i="23"/>
  <c r="S1275" i="23" s="1"/>
  <c r="J1275" i="23"/>
  <c r="R1274" i="23"/>
  <c r="O1274" i="23"/>
  <c r="N1274" i="23"/>
  <c r="P1274" i="23" s="1"/>
  <c r="J1274" i="23"/>
  <c r="R1273" i="23"/>
  <c r="O1273" i="23"/>
  <c r="N1273" i="23"/>
  <c r="S1273" i="23" s="1"/>
  <c r="J1273" i="23"/>
  <c r="R1272" i="23"/>
  <c r="O1272" i="23"/>
  <c r="N1272" i="23"/>
  <c r="P1272" i="23" s="1"/>
  <c r="J1272" i="23"/>
  <c r="R1271" i="23"/>
  <c r="O1271" i="23"/>
  <c r="N1271" i="23"/>
  <c r="S1271" i="23" s="1"/>
  <c r="J1271" i="23"/>
  <c r="R1270" i="23"/>
  <c r="O1270" i="23"/>
  <c r="N1270" i="23"/>
  <c r="P1270" i="23" s="1"/>
  <c r="J1270" i="23"/>
  <c r="R1269" i="23"/>
  <c r="O1269" i="23"/>
  <c r="N1269" i="23"/>
  <c r="S1269" i="23" s="1"/>
  <c r="J1269" i="23"/>
  <c r="R1268" i="23"/>
  <c r="O1268" i="23"/>
  <c r="N1268" i="23"/>
  <c r="P1268" i="23" s="1"/>
  <c r="J1268" i="23"/>
  <c r="R1267" i="23"/>
  <c r="O1267" i="23"/>
  <c r="N1267" i="23"/>
  <c r="S1267" i="23" s="1"/>
  <c r="J1267" i="23"/>
  <c r="R1266" i="23"/>
  <c r="O1266" i="23"/>
  <c r="N1266" i="23"/>
  <c r="P1266" i="23" s="1"/>
  <c r="J1266" i="23"/>
  <c r="R1265" i="23"/>
  <c r="O1265" i="23"/>
  <c r="N1265" i="23"/>
  <c r="S1265" i="23" s="1"/>
  <c r="J1265" i="23"/>
  <c r="R1264" i="23"/>
  <c r="O1264" i="23"/>
  <c r="N1264" i="23"/>
  <c r="J1264" i="23"/>
  <c r="R1263" i="23"/>
  <c r="O1263" i="23"/>
  <c r="N1263" i="23"/>
  <c r="S1263" i="23" s="1"/>
  <c r="J1263" i="23"/>
  <c r="R1262" i="23"/>
  <c r="O1262" i="23"/>
  <c r="N1262" i="23"/>
  <c r="J1262" i="23"/>
  <c r="R1261" i="23"/>
  <c r="O1261" i="23"/>
  <c r="N1261" i="23"/>
  <c r="S1261" i="23" s="1"/>
  <c r="J1261" i="23"/>
  <c r="R1260" i="23"/>
  <c r="O1260" i="23"/>
  <c r="N1260" i="23"/>
  <c r="P1260" i="23" s="1"/>
  <c r="J1260" i="23"/>
  <c r="R1259" i="23"/>
  <c r="O1259" i="23"/>
  <c r="N1259" i="23"/>
  <c r="S1259" i="23" s="1"/>
  <c r="J1259" i="23"/>
  <c r="R1258" i="23"/>
  <c r="O1258" i="23"/>
  <c r="N1258" i="23"/>
  <c r="J1258" i="23"/>
  <c r="R1257" i="23"/>
  <c r="O1257" i="23"/>
  <c r="N1257" i="23"/>
  <c r="S1257" i="23" s="1"/>
  <c r="J1257" i="23"/>
  <c r="R1256" i="23"/>
  <c r="O1256" i="23"/>
  <c r="N1256" i="23"/>
  <c r="P1256" i="23" s="1"/>
  <c r="J1256" i="23"/>
  <c r="R1255" i="23"/>
  <c r="O1255" i="23"/>
  <c r="N1255" i="23"/>
  <c r="S1255" i="23" s="1"/>
  <c r="J1255" i="23"/>
  <c r="R1254" i="23"/>
  <c r="O1254" i="23"/>
  <c r="N1254" i="23"/>
  <c r="P1254" i="23" s="1"/>
  <c r="J1254" i="23"/>
  <c r="R1253" i="23"/>
  <c r="O1253" i="23"/>
  <c r="N1253" i="23"/>
  <c r="S1253" i="23" s="1"/>
  <c r="J1253" i="23"/>
  <c r="R1252" i="23"/>
  <c r="O1252" i="23"/>
  <c r="N1252" i="23"/>
  <c r="P1252" i="23" s="1"/>
  <c r="J1252" i="23"/>
  <c r="R1251" i="23"/>
  <c r="O1251" i="23"/>
  <c r="N1251" i="23"/>
  <c r="S1251" i="23" s="1"/>
  <c r="J1251" i="23"/>
  <c r="R1250" i="23"/>
  <c r="O1250" i="23"/>
  <c r="N1250" i="23"/>
  <c r="J1250" i="23"/>
  <c r="R1249" i="23"/>
  <c r="O1249" i="23"/>
  <c r="N1249" i="23"/>
  <c r="S1249" i="23" s="1"/>
  <c r="J1249" i="23"/>
  <c r="R1248" i="23"/>
  <c r="O1248" i="23"/>
  <c r="N1248" i="23"/>
  <c r="J1248" i="23"/>
  <c r="R1247" i="23"/>
  <c r="O1247" i="23"/>
  <c r="N1247" i="23"/>
  <c r="S1247" i="23" s="1"/>
  <c r="J1247" i="23"/>
  <c r="R1246" i="23"/>
  <c r="O1246" i="23"/>
  <c r="N1246" i="23"/>
  <c r="P1246" i="23" s="1"/>
  <c r="J1246" i="23"/>
  <c r="R1245" i="23"/>
  <c r="O1245" i="23"/>
  <c r="N1245" i="23"/>
  <c r="S1245" i="23" s="1"/>
  <c r="J1245" i="23"/>
  <c r="R1244" i="23"/>
  <c r="O1244" i="23"/>
  <c r="N1244" i="23"/>
  <c r="P1244" i="23" s="1"/>
  <c r="J1244" i="23"/>
  <c r="R1243" i="23"/>
  <c r="O1243" i="23"/>
  <c r="N1243" i="23"/>
  <c r="S1243" i="23" s="1"/>
  <c r="J1243" i="23"/>
  <c r="R1242" i="23"/>
  <c r="O1242" i="23"/>
  <c r="N1242" i="23"/>
  <c r="J1242" i="23"/>
  <c r="R1241" i="23"/>
  <c r="O1241" i="23"/>
  <c r="N1241" i="23"/>
  <c r="S1241" i="23" s="1"/>
  <c r="J1241" i="23"/>
  <c r="R1240" i="23"/>
  <c r="O1240" i="23"/>
  <c r="N1240" i="23"/>
  <c r="P1240" i="23" s="1"/>
  <c r="J1240" i="23"/>
  <c r="R1239" i="23"/>
  <c r="O1239" i="23"/>
  <c r="N1239" i="23"/>
  <c r="S1239" i="23" s="1"/>
  <c r="J1239" i="23"/>
  <c r="R1238" i="23"/>
  <c r="O1238" i="23"/>
  <c r="N1238" i="23"/>
  <c r="P1238" i="23" s="1"/>
  <c r="J1238" i="23"/>
  <c r="R1237" i="23"/>
  <c r="O1237" i="23"/>
  <c r="N1237" i="23"/>
  <c r="S1237" i="23" s="1"/>
  <c r="J1237" i="23"/>
  <c r="R1236" i="23"/>
  <c r="O1236" i="23"/>
  <c r="N1236" i="23"/>
  <c r="P1236" i="23" s="1"/>
  <c r="J1236" i="23"/>
  <c r="R1235" i="23"/>
  <c r="O1235" i="23"/>
  <c r="N1235" i="23"/>
  <c r="S1235" i="23" s="1"/>
  <c r="J1235" i="23"/>
  <c r="R1234" i="23"/>
  <c r="O1234" i="23"/>
  <c r="N1234" i="23"/>
  <c r="P1234" i="23" s="1"/>
  <c r="J1234" i="23"/>
  <c r="R1233" i="23"/>
  <c r="O1233" i="23"/>
  <c r="N1233" i="23"/>
  <c r="S1233" i="23" s="1"/>
  <c r="J1233" i="23"/>
  <c r="R1232" i="23"/>
  <c r="O1232" i="23"/>
  <c r="N1232" i="23"/>
  <c r="J1232" i="23"/>
  <c r="R1231" i="23"/>
  <c r="O1231" i="23"/>
  <c r="N1231" i="23"/>
  <c r="S1231" i="23" s="1"/>
  <c r="J1231" i="23"/>
  <c r="R1230" i="23"/>
  <c r="O1230" i="23"/>
  <c r="N1230" i="23"/>
  <c r="P1230" i="23" s="1"/>
  <c r="J1230" i="23"/>
  <c r="R1229" i="23"/>
  <c r="O1229" i="23"/>
  <c r="N1229" i="23"/>
  <c r="S1229" i="23" s="1"/>
  <c r="J1229" i="23"/>
  <c r="R1228" i="23"/>
  <c r="O1228" i="23"/>
  <c r="N1228" i="23"/>
  <c r="P1228" i="23" s="1"/>
  <c r="J1228" i="23"/>
  <c r="R1227" i="23"/>
  <c r="O1227" i="23"/>
  <c r="N1227" i="23"/>
  <c r="S1227" i="23" s="1"/>
  <c r="J1227" i="23"/>
  <c r="R1226" i="23"/>
  <c r="O1226" i="23"/>
  <c r="N1226" i="23"/>
  <c r="J1226" i="23"/>
  <c r="R1225" i="23"/>
  <c r="O1225" i="23"/>
  <c r="N1225" i="23"/>
  <c r="S1225" i="23" s="1"/>
  <c r="J1225" i="23"/>
  <c r="R1224" i="23"/>
  <c r="O1224" i="23"/>
  <c r="N1224" i="23"/>
  <c r="P1224" i="23" s="1"/>
  <c r="J1224" i="23"/>
  <c r="R1223" i="23"/>
  <c r="O1223" i="23"/>
  <c r="N1223" i="23"/>
  <c r="S1223" i="23" s="1"/>
  <c r="J1223" i="23"/>
  <c r="R1222" i="23"/>
  <c r="O1222" i="23"/>
  <c r="N1222" i="23"/>
  <c r="P1222" i="23" s="1"/>
  <c r="J1222" i="23"/>
  <c r="R1221" i="23"/>
  <c r="O1221" i="23"/>
  <c r="N1221" i="23"/>
  <c r="S1221" i="23" s="1"/>
  <c r="J1221" i="23"/>
  <c r="R1220" i="23"/>
  <c r="O1220" i="23"/>
  <c r="N1220" i="23"/>
  <c r="P1220" i="23" s="1"/>
  <c r="J1220" i="23"/>
  <c r="R1219" i="23"/>
  <c r="O1219" i="23"/>
  <c r="N1219" i="23"/>
  <c r="S1219" i="23" s="1"/>
  <c r="J1219" i="23"/>
  <c r="R1218" i="23"/>
  <c r="O1218" i="23"/>
  <c r="N1218" i="23"/>
  <c r="P1218" i="23" s="1"/>
  <c r="J1218" i="23"/>
  <c r="R1217" i="23"/>
  <c r="O1217" i="23"/>
  <c r="N1217" i="23"/>
  <c r="S1217" i="23" s="1"/>
  <c r="J1217" i="23"/>
  <c r="R1216" i="23"/>
  <c r="O1216" i="23"/>
  <c r="N1216" i="23"/>
  <c r="J1216" i="23"/>
  <c r="R1215" i="23"/>
  <c r="O1215" i="23"/>
  <c r="N1215" i="23"/>
  <c r="S1215" i="23" s="1"/>
  <c r="J1215" i="23"/>
  <c r="R1214" i="23"/>
  <c r="O1214" i="23"/>
  <c r="N1214" i="23"/>
  <c r="P1214" i="23" s="1"/>
  <c r="J1214" i="23"/>
  <c r="R1213" i="23"/>
  <c r="O1213" i="23"/>
  <c r="N1213" i="23"/>
  <c r="S1213" i="23" s="1"/>
  <c r="J1213" i="23"/>
  <c r="R1212" i="23"/>
  <c r="O1212" i="23"/>
  <c r="N1212" i="23"/>
  <c r="P1212" i="23" s="1"/>
  <c r="J1212" i="23"/>
  <c r="R1211" i="23"/>
  <c r="O1211" i="23"/>
  <c r="N1211" i="23"/>
  <c r="S1211" i="23" s="1"/>
  <c r="J1211" i="23"/>
  <c r="R1210" i="23"/>
  <c r="O1210" i="23"/>
  <c r="N1210" i="23"/>
  <c r="J1210" i="23"/>
  <c r="R1209" i="23"/>
  <c r="O1209" i="23"/>
  <c r="N1209" i="23"/>
  <c r="S1209" i="23" s="1"/>
  <c r="J1209" i="23"/>
  <c r="R1208" i="23"/>
  <c r="O1208" i="23"/>
  <c r="N1208" i="23"/>
  <c r="P1208" i="23" s="1"/>
  <c r="J1208" i="23"/>
  <c r="R1207" i="23"/>
  <c r="O1207" i="23"/>
  <c r="N1207" i="23"/>
  <c r="S1207" i="23" s="1"/>
  <c r="J1207" i="23"/>
  <c r="R1206" i="23"/>
  <c r="O1206" i="23"/>
  <c r="N1206" i="23"/>
  <c r="J1206" i="23"/>
  <c r="R1205" i="23"/>
  <c r="O1205" i="23"/>
  <c r="N1205" i="23"/>
  <c r="S1205" i="23" s="1"/>
  <c r="J1205" i="23"/>
  <c r="R1204" i="23"/>
  <c r="O1204" i="23"/>
  <c r="N1204" i="23"/>
  <c r="P1204" i="23" s="1"/>
  <c r="J1204" i="23"/>
  <c r="R1203" i="23"/>
  <c r="O1203" i="23"/>
  <c r="N1203" i="23"/>
  <c r="S1203" i="23" s="1"/>
  <c r="J1203" i="23"/>
  <c r="R1202" i="23"/>
  <c r="O1202" i="23"/>
  <c r="N1202" i="23"/>
  <c r="J1202" i="23"/>
  <c r="R1201" i="23"/>
  <c r="O1201" i="23"/>
  <c r="N1201" i="23"/>
  <c r="S1201" i="23" s="1"/>
  <c r="J1201" i="23"/>
  <c r="R1200" i="23"/>
  <c r="O1200" i="23"/>
  <c r="N1200" i="23"/>
  <c r="J1200" i="23"/>
  <c r="R1199" i="23"/>
  <c r="O1199" i="23"/>
  <c r="N1199" i="23"/>
  <c r="S1199" i="23" s="1"/>
  <c r="J1199" i="23"/>
  <c r="R1198" i="23"/>
  <c r="O1198" i="23"/>
  <c r="N1198" i="23"/>
  <c r="P1198" i="23" s="1"/>
  <c r="J1198" i="23"/>
  <c r="R1197" i="23"/>
  <c r="O1197" i="23"/>
  <c r="N1197" i="23"/>
  <c r="S1197" i="23" s="1"/>
  <c r="J1197" i="23"/>
  <c r="R1196" i="23"/>
  <c r="O1196" i="23"/>
  <c r="N1196" i="23"/>
  <c r="P1196" i="23" s="1"/>
  <c r="J1196" i="23"/>
  <c r="R1195" i="23"/>
  <c r="O1195" i="23"/>
  <c r="N1195" i="23"/>
  <c r="S1195" i="23" s="1"/>
  <c r="J1195" i="23"/>
  <c r="R1194" i="23"/>
  <c r="O1194" i="23"/>
  <c r="N1194" i="23"/>
  <c r="J1194" i="23"/>
  <c r="R1193" i="23"/>
  <c r="O1193" i="23"/>
  <c r="N1193" i="23"/>
  <c r="S1193" i="23" s="1"/>
  <c r="J1193" i="23"/>
  <c r="R1192" i="23"/>
  <c r="O1192" i="23"/>
  <c r="N1192" i="23"/>
  <c r="P1192" i="23" s="1"/>
  <c r="J1192" i="23"/>
  <c r="R1191" i="23"/>
  <c r="O1191" i="23"/>
  <c r="N1191" i="23"/>
  <c r="S1191" i="23" s="1"/>
  <c r="J1191" i="23"/>
  <c r="R1190" i="23"/>
  <c r="O1190" i="23"/>
  <c r="N1190" i="23"/>
  <c r="P1190" i="23" s="1"/>
  <c r="J1190" i="23"/>
  <c r="R1189" i="23"/>
  <c r="O1189" i="23"/>
  <c r="N1189" i="23"/>
  <c r="S1189" i="23" s="1"/>
  <c r="J1189" i="23"/>
  <c r="R1188" i="23"/>
  <c r="O1188" i="23"/>
  <c r="N1188" i="23"/>
  <c r="P1188" i="23" s="1"/>
  <c r="J1188" i="23"/>
  <c r="R1187" i="23"/>
  <c r="O1187" i="23"/>
  <c r="N1187" i="23"/>
  <c r="S1187" i="23" s="1"/>
  <c r="J1187" i="23"/>
  <c r="R1186" i="23"/>
  <c r="O1186" i="23"/>
  <c r="N1186" i="23"/>
  <c r="P1186" i="23" s="1"/>
  <c r="J1186" i="23"/>
  <c r="R1185" i="23"/>
  <c r="O1185" i="23"/>
  <c r="N1185" i="23"/>
  <c r="S1185" i="23" s="1"/>
  <c r="J1185" i="23"/>
  <c r="R1184" i="23"/>
  <c r="O1184" i="23"/>
  <c r="N1184" i="23"/>
  <c r="J1184" i="23"/>
  <c r="R1183" i="23"/>
  <c r="O1183" i="23"/>
  <c r="N1183" i="23"/>
  <c r="S1183" i="23" s="1"/>
  <c r="J1183" i="23"/>
  <c r="R1182" i="23"/>
  <c r="O1182" i="23"/>
  <c r="N1182" i="23"/>
  <c r="P1182" i="23" s="1"/>
  <c r="J1182" i="23"/>
  <c r="R1181" i="23"/>
  <c r="O1181" i="23"/>
  <c r="N1181" i="23"/>
  <c r="S1181" i="23" s="1"/>
  <c r="J1181" i="23"/>
  <c r="R1180" i="23"/>
  <c r="O1180" i="23"/>
  <c r="N1180" i="23"/>
  <c r="P1180" i="23" s="1"/>
  <c r="J1180" i="23"/>
  <c r="R1179" i="23"/>
  <c r="O1179" i="23"/>
  <c r="N1179" i="23"/>
  <c r="S1179" i="23" s="1"/>
  <c r="J1179" i="23"/>
  <c r="R1178" i="23"/>
  <c r="O1178" i="23"/>
  <c r="N1178" i="23"/>
  <c r="J1178" i="23"/>
  <c r="R1177" i="23"/>
  <c r="O1177" i="23"/>
  <c r="N1177" i="23"/>
  <c r="S1177" i="23" s="1"/>
  <c r="J1177" i="23"/>
  <c r="R1176" i="23"/>
  <c r="O1176" i="23"/>
  <c r="N1176" i="23"/>
  <c r="P1176" i="23" s="1"/>
  <c r="J1176" i="23"/>
  <c r="R1175" i="23"/>
  <c r="O1175" i="23"/>
  <c r="N1175" i="23"/>
  <c r="S1175" i="23" s="1"/>
  <c r="J1175" i="23"/>
  <c r="R1174" i="23"/>
  <c r="O1174" i="23"/>
  <c r="N1174" i="23"/>
  <c r="P1174" i="23" s="1"/>
  <c r="J1174" i="23"/>
  <c r="R1173" i="23"/>
  <c r="O1173" i="23"/>
  <c r="N1173" i="23"/>
  <c r="S1173" i="23" s="1"/>
  <c r="J1173" i="23"/>
  <c r="R1172" i="23"/>
  <c r="O1172" i="23"/>
  <c r="N1172" i="23"/>
  <c r="P1172" i="23" s="1"/>
  <c r="J1172" i="23"/>
  <c r="R1171" i="23"/>
  <c r="O1171" i="23"/>
  <c r="N1171" i="23"/>
  <c r="S1171" i="23" s="1"/>
  <c r="J1171" i="23"/>
  <c r="R1170" i="23"/>
  <c r="O1170" i="23"/>
  <c r="N1170" i="23"/>
  <c r="P1170" i="23" s="1"/>
  <c r="J1170" i="23"/>
  <c r="R1169" i="23"/>
  <c r="O1169" i="23"/>
  <c r="N1169" i="23"/>
  <c r="S1169" i="23" s="1"/>
  <c r="J1169" i="23"/>
  <c r="R1168" i="23"/>
  <c r="O1168" i="23"/>
  <c r="N1168" i="23"/>
  <c r="J1168" i="23"/>
  <c r="R1167" i="23"/>
  <c r="O1167" i="23"/>
  <c r="N1167" i="23"/>
  <c r="S1167" i="23" s="1"/>
  <c r="J1167" i="23"/>
  <c r="R1166" i="23"/>
  <c r="O1166" i="23"/>
  <c r="N1166" i="23"/>
  <c r="P1166" i="23" s="1"/>
  <c r="J1166" i="23"/>
  <c r="R1165" i="23"/>
  <c r="O1165" i="23"/>
  <c r="N1165" i="23"/>
  <c r="S1165" i="23" s="1"/>
  <c r="J1165" i="23"/>
  <c r="R1164" i="23"/>
  <c r="O1164" i="23"/>
  <c r="N1164" i="23"/>
  <c r="P1164" i="23" s="1"/>
  <c r="J1164" i="23"/>
  <c r="R1163" i="23"/>
  <c r="O1163" i="23"/>
  <c r="N1163" i="23"/>
  <c r="S1163" i="23" s="1"/>
  <c r="J1163" i="23"/>
  <c r="R1162" i="23"/>
  <c r="O1162" i="23"/>
  <c r="N1162" i="23"/>
  <c r="J1162" i="23"/>
  <c r="R1161" i="23"/>
  <c r="O1161" i="23"/>
  <c r="N1161" i="23"/>
  <c r="S1161" i="23" s="1"/>
  <c r="J1161" i="23"/>
  <c r="R1160" i="23"/>
  <c r="O1160" i="23"/>
  <c r="N1160" i="23"/>
  <c r="P1160" i="23" s="1"/>
  <c r="J1160" i="23"/>
  <c r="R1159" i="23"/>
  <c r="O1159" i="23"/>
  <c r="N1159" i="23"/>
  <c r="S1159" i="23" s="1"/>
  <c r="J1159" i="23"/>
  <c r="R1158" i="23"/>
  <c r="O1158" i="23"/>
  <c r="N1158" i="23"/>
  <c r="P1158" i="23" s="1"/>
  <c r="J1158" i="23"/>
  <c r="R1157" i="23"/>
  <c r="O1157" i="23"/>
  <c r="N1157" i="23"/>
  <c r="S1157" i="23" s="1"/>
  <c r="J1157" i="23"/>
  <c r="R1156" i="23"/>
  <c r="O1156" i="23"/>
  <c r="N1156" i="23"/>
  <c r="P1156" i="23" s="1"/>
  <c r="J1156" i="23"/>
  <c r="R1155" i="23"/>
  <c r="O1155" i="23"/>
  <c r="N1155" i="23"/>
  <c r="S1155" i="23" s="1"/>
  <c r="J1155" i="23"/>
  <c r="R1154" i="23"/>
  <c r="O1154" i="23"/>
  <c r="N1154" i="23"/>
  <c r="P1154" i="23" s="1"/>
  <c r="J1154" i="23"/>
  <c r="R1153" i="23"/>
  <c r="O1153" i="23"/>
  <c r="N1153" i="23"/>
  <c r="S1153" i="23" s="1"/>
  <c r="J1153" i="23"/>
  <c r="R1152" i="23"/>
  <c r="O1152" i="23"/>
  <c r="N1152" i="23"/>
  <c r="J1152" i="23"/>
  <c r="R1151" i="23"/>
  <c r="O1151" i="23"/>
  <c r="N1151" i="23"/>
  <c r="S1151" i="23" s="1"/>
  <c r="J1151" i="23"/>
  <c r="R1150" i="23"/>
  <c r="O1150" i="23"/>
  <c r="N1150" i="23"/>
  <c r="P1150" i="23" s="1"/>
  <c r="J1150" i="23"/>
  <c r="R1149" i="23"/>
  <c r="O1149" i="23"/>
  <c r="N1149" i="23"/>
  <c r="S1149" i="23" s="1"/>
  <c r="J1149" i="23"/>
  <c r="R1148" i="23"/>
  <c r="O1148" i="23"/>
  <c r="N1148" i="23"/>
  <c r="P1148" i="23" s="1"/>
  <c r="J1148" i="23"/>
  <c r="R1147" i="23"/>
  <c r="O1147" i="23"/>
  <c r="N1147" i="23"/>
  <c r="S1147" i="23" s="1"/>
  <c r="J1147" i="23"/>
  <c r="R1146" i="23"/>
  <c r="O1146" i="23"/>
  <c r="N1146" i="23"/>
  <c r="J1146" i="23"/>
  <c r="R1145" i="23"/>
  <c r="O1145" i="23"/>
  <c r="N1145" i="23"/>
  <c r="S1145" i="23" s="1"/>
  <c r="J1145" i="23"/>
  <c r="R1144" i="23"/>
  <c r="O1144" i="23"/>
  <c r="N1144" i="23"/>
  <c r="P1144" i="23" s="1"/>
  <c r="J1144" i="23"/>
  <c r="R1143" i="23"/>
  <c r="O1143" i="23"/>
  <c r="N1143" i="23"/>
  <c r="S1143" i="23" s="1"/>
  <c r="J1143" i="23"/>
  <c r="R1142" i="23"/>
  <c r="O1142" i="23"/>
  <c r="N1142" i="23"/>
  <c r="J1142" i="23"/>
  <c r="R1141" i="23"/>
  <c r="O1141" i="23"/>
  <c r="N1141" i="23"/>
  <c r="S1141" i="23" s="1"/>
  <c r="J1141" i="23"/>
  <c r="R1140" i="23"/>
  <c r="O1140" i="23"/>
  <c r="N1140" i="23"/>
  <c r="P1140" i="23" s="1"/>
  <c r="J1140" i="23"/>
  <c r="R1139" i="23"/>
  <c r="O1139" i="23"/>
  <c r="N1139" i="23"/>
  <c r="S1139" i="23" s="1"/>
  <c r="J1139" i="23"/>
  <c r="R1138" i="23"/>
  <c r="O1138" i="23"/>
  <c r="N1138" i="23"/>
  <c r="P1138" i="23" s="1"/>
  <c r="J1138" i="23"/>
  <c r="R1137" i="23"/>
  <c r="O1137" i="23"/>
  <c r="N1137" i="23"/>
  <c r="S1137" i="23" s="1"/>
  <c r="J1137" i="23"/>
  <c r="R1136" i="23"/>
  <c r="O1136" i="23"/>
  <c r="N1136" i="23"/>
  <c r="J1136" i="23"/>
  <c r="R1135" i="23"/>
  <c r="O1135" i="23"/>
  <c r="N1135" i="23"/>
  <c r="S1135" i="23" s="1"/>
  <c r="J1135" i="23"/>
  <c r="R1134" i="23"/>
  <c r="O1134" i="23"/>
  <c r="N1134" i="23"/>
  <c r="P1134" i="23" s="1"/>
  <c r="J1134" i="23"/>
  <c r="R1133" i="23"/>
  <c r="O1133" i="23"/>
  <c r="N1133" i="23"/>
  <c r="S1133" i="23" s="1"/>
  <c r="J1133" i="23"/>
  <c r="R1132" i="23"/>
  <c r="O1132" i="23"/>
  <c r="N1132" i="23"/>
  <c r="P1132" i="23" s="1"/>
  <c r="J1132" i="23"/>
  <c r="R1131" i="23"/>
  <c r="O1131" i="23"/>
  <c r="N1131" i="23"/>
  <c r="S1131" i="23" s="1"/>
  <c r="J1131" i="23"/>
  <c r="R1130" i="23"/>
  <c r="O1130" i="23"/>
  <c r="N1130" i="23"/>
  <c r="J1130" i="23"/>
  <c r="R1129" i="23"/>
  <c r="O1129" i="23"/>
  <c r="N1129" i="23"/>
  <c r="S1129" i="23" s="1"/>
  <c r="J1129" i="23"/>
  <c r="R1128" i="23"/>
  <c r="O1128" i="23"/>
  <c r="N1128" i="23"/>
  <c r="P1128" i="23" s="1"/>
  <c r="J1128" i="23"/>
  <c r="R1127" i="23"/>
  <c r="O1127" i="23"/>
  <c r="N1127" i="23"/>
  <c r="S1127" i="23" s="1"/>
  <c r="J1127" i="23"/>
  <c r="R1126" i="23"/>
  <c r="O1126" i="23"/>
  <c r="N1126" i="23"/>
  <c r="P1126" i="23" s="1"/>
  <c r="J1126" i="23"/>
  <c r="R1125" i="23"/>
  <c r="O1125" i="23"/>
  <c r="N1125" i="23"/>
  <c r="S1125" i="23" s="1"/>
  <c r="J1125" i="23"/>
  <c r="R1124" i="23"/>
  <c r="O1124" i="23"/>
  <c r="N1124" i="23"/>
  <c r="P1124" i="23" s="1"/>
  <c r="J1124" i="23"/>
  <c r="R1123" i="23"/>
  <c r="O1123" i="23"/>
  <c r="N1123" i="23"/>
  <c r="S1123" i="23" s="1"/>
  <c r="J1123" i="23"/>
  <c r="R1122" i="23"/>
  <c r="O1122" i="23"/>
  <c r="N1122" i="23"/>
  <c r="J1122" i="23"/>
  <c r="R1121" i="23"/>
  <c r="O1121" i="23"/>
  <c r="N1121" i="23"/>
  <c r="S1121" i="23" s="1"/>
  <c r="J1121" i="23"/>
  <c r="R1120" i="23"/>
  <c r="O1120" i="23"/>
  <c r="N1120" i="23"/>
  <c r="J1120" i="23"/>
  <c r="R1119" i="23"/>
  <c r="O1119" i="23"/>
  <c r="N1119" i="23"/>
  <c r="S1119" i="23" s="1"/>
  <c r="J1119" i="23"/>
  <c r="R1118" i="23"/>
  <c r="O1118" i="23"/>
  <c r="N1118" i="23"/>
  <c r="P1118" i="23" s="1"/>
  <c r="J1118" i="23"/>
  <c r="R1117" i="23"/>
  <c r="O1117" i="23"/>
  <c r="N1117" i="23"/>
  <c r="S1117" i="23" s="1"/>
  <c r="J1117" i="23"/>
  <c r="R1116" i="23"/>
  <c r="O1116" i="23"/>
  <c r="N1116" i="23"/>
  <c r="P1116" i="23" s="1"/>
  <c r="J1116" i="23"/>
  <c r="R1115" i="23"/>
  <c r="O1115" i="23"/>
  <c r="N1115" i="23"/>
  <c r="S1115" i="23" s="1"/>
  <c r="J1115" i="23"/>
  <c r="R1114" i="23"/>
  <c r="O1114" i="23"/>
  <c r="N1114" i="23"/>
  <c r="J1114" i="23"/>
  <c r="R1113" i="23"/>
  <c r="O1113" i="23"/>
  <c r="N1113" i="23"/>
  <c r="S1113" i="23" s="1"/>
  <c r="J1113" i="23"/>
  <c r="R1112" i="23"/>
  <c r="O1112" i="23"/>
  <c r="N1112" i="23"/>
  <c r="P1112" i="23" s="1"/>
  <c r="J1112" i="23"/>
  <c r="R1111" i="23"/>
  <c r="O1111" i="23"/>
  <c r="N1111" i="23"/>
  <c r="S1111" i="23" s="1"/>
  <c r="J1111" i="23"/>
  <c r="R1110" i="23"/>
  <c r="O1110" i="23"/>
  <c r="N1110" i="23"/>
  <c r="P1110" i="23" s="1"/>
  <c r="J1110" i="23"/>
  <c r="R1109" i="23"/>
  <c r="O1109" i="23"/>
  <c r="N1109" i="23"/>
  <c r="S1109" i="23" s="1"/>
  <c r="J1109" i="23"/>
  <c r="R1108" i="23"/>
  <c r="O1108" i="23"/>
  <c r="N1108" i="23"/>
  <c r="P1108" i="23" s="1"/>
  <c r="J1108" i="23"/>
  <c r="R1107" i="23"/>
  <c r="O1107" i="23"/>
  <c r="N1107" i="23"/>
  <c r="S1107" i="23" s="1"/>
  <c r="J1107" i="23"/>
  <c r="R1106" i="23"/>
  <c r="O1106" i="23"/>
  <c r="N1106" i="23"/>
  <c r="P1106" i="23" s="1"/>
  <c r="J1106" i="23"/>
  <c r="R1105" i="23"/>
  <c r="O1105" i="23"/>
  <c r="N1105" i="23"/>
  <c r="S1105" i="23" s="1"/>
  <c r="J1105" i="23"/>
  <c r="R1104" i="23"/>
  <c r="O1104" i="23"/>
  <c r="N1104" i="23"/>
  <c r="J1104" i="23"/>
  <c r="R1103" i="23"/>
  <c r="O1103" i="23"/>
  <c r="N1103" i="23"/>
  <c r="S1103" i="23" s="1"/>
  <c r="J1103" i="23"/>
  <c r="R1102" i="23"/>
  <c r="O1102" i="23"/>
  <c r="N1102" i="23"/>
  <c r="P1102" i="23" s="1"/>
  <c r="J1102" i="23"/>
  <c r="R1101" i="23"/>
  <c r="O1101" i="23"/>
  <c r="N1101" i="23"/>
  <c r="S1101" i="23" s="1"/>
  <c r="J1101" i="23"/>
  <c r="R1100" i="23"/>
  <c r="O1100" i="23"/>
  <c r="N1100" i="23"/>
  <c r="P1100" i="23" s="1"/>
  <c r="J1100" i="23"/>
  <c r="R1099" i="23"/>
  <c r="O1099" i="23"/>
  <c r="N1099" i="23"/>
  <c r="S1099" i="23" s="1"/>
  <c r="J1099" i="23"/>
  <c r="R1098" i="23"/>
  <c r="O1098" i="23"/>
  <c r="N1098" i="23"/>
  <c r="J1098" i="23"/>
  <c r="R1097" i="23"/>
  <c r="O1097" i="23"/>
  <c r="N1097" i="23"/>
  <c r="S1097" i="23" s="1"/>
  <c r="J1097" i="23"/>
  <c r="R1096" i="23"/>
  <c r="O1096" i="23"/>
  <c r="N1096" i="23"/>
  <c r="P1096" i="23" s="1"/>
  <c r="J1096" i="23"/>
  <c r="R1095" i="23"/>
  <c r="O1095" i="23"/>
  <c r="N1095" i="23"/>
  <c r="S1095" i="23" s="1"/>
  <c r="J1095" i="23"/>
  <c r="R1094" i="23"/>
  <c r="O1094" i="23"/>
  <c r="N1094" i="23"/>
  <c r="P1094" i="23" s="1"/>
  <c r="J1094" i="23"/>
  <c r="R1093" i="23"/>
  <c r="O1093" i="23"/>
  <c r="N1093" i="23"/>
  <c r="J1093" i="23"/>
  <c r="R1092" i="23"/>
  <c r="O1092" i="23"/>
  <c r="N1092" i="23"/>
  <c r="P1092" i="23" s="1"/>
  <c r="J1092" i="23"/>
  <c r="R1091" i="23"/>
  <c r="O1091" i="23"/>
  <c r="N1091" i="23"/>
  <c r="J1091" i="23"/>
  <c r="R1090" i="23"/>
  <c r="O1090" i="23"/>
  <c r="N1090" i="23"/>
  <c r="P1090" i="23" s="1"/>
  <c r="J1090" i="23"/>
  <c r="R1089" i="23"/>
  <c r="O1089" i="23"/>
  <c r="N1089" i="23"/>
  <c r="J1089" i="23"/>
  <c r="R1088" i="23"/>
  <c r="O1088" i="23"/>
  <c r="N1088" i="23"/>
  <c r="J1088" i="23"/>
  <c r="R1087" i="23"/>
  <c r="O1087" i="23"/>
  <c r="N1087" i="23"/>
  <c r="J1087" i="23"/>
  <c r="R1086" i="23"/>
  <c r="O1086" i="23"/>
  <c r="N1086" i="23"/>
  <c r="J1086" i="23"/>
  <c r="R1085" i="23"/>
  <c r="O1085" i="23"/>
  <c r="N1085" i="23"/>
  <c r="J1085" i="23"/>
  <c r="R1084" i="23"/>
  <c r="O1084" i="23"/>
  <c r="N1084" i="23"/>
  <c r="P1084" i="23" s="1"/>
  <c r="J1084" i="23"/>
  <c r="R1083" i="23"/>
  <c r="O1083" i="23"/>
  <c r="N1083" i="23"/>
  <c r="J1083" i="23"/>
  <c r="R1082" i="23"/>
  <c r="O1082" i="23"/>
  <c r="N1082" i="23"/>
  <c r="J1082" i="23"/>
  <c r="R1081" i="23"/>
  <c r="O1081" i="23"/>
  <c r="N1081" i="23"/>
  <c r="J1081" i="23"/>
  <c r="R1080" i="23"/>
  <c r="O1080" i="23"/>
  <c r="N1080" i="23"/>
  <c r="P1080" i="23" s="1"/>
  <c r="J1080" i="23"/>
  <c r="R1079" i="23"/>
  <c r="O1079" i="23"/>
  <c r="N1079" i="23"/>
  <c r="J1079" i="23"/>
  <c r="R1078" i="23"/>
  <c r="O1078" i="23"/>
  <c r="N1078" i="23"/>
  <c r="P1078" i="23" s="1"/>
  <c r="J1078" i="23"/>
  <c r="R1077" i="23"/>
  <c r="O1077" i="23"/>
  <c r="N1077" i="23"/>
  <c r="J1077" i="23"/>
  <c r="R1076" i="23"/>
  <c r="O1076" i="23"/>
  <c r="N1076" i="23"/>
  <c r="P1076" i="23" s="1"/>
  <c r="J1076" i="23"/>
  <c r="R1075" i="23"/>
  <c r="O1075" i="23"/>
  <c r="N1075" i="23"/>
  <c r="J1075" i="23"/>
  <c r="R1074" i="23"/>
  <c r="O1074" i="23"/>
  <c r="N1074" i="23"/>
  <c r="P1074" i="23" s="1"/>
  <c r="J1074" i="23"/>
  <c r="R1073" i="23"/>
  <c r="O1073" i="23"/>
  <c r="N1073" i="23"/>
  <c r="J1073" i="23"/>
  <c r="R1072" i="23"/>
  <c r="O1072" i="23"/>
  <c r="N1072" i="23"/>
  <c r="J1072" i="23"/>
  <c r="R1071" i="23"/>
  <c r="O1071" i="23"/>
  <c r="N1071" i="23"/>
  <c r="J1071" i="23"/>
  <c r="R1070" i="23"/>
  <c r="O1070" i="23"/>
  <c r="N1070" i="23"/>
  <c r="P1070" i="23" s="1"/>
  <c r="J1070" i="23"/>
  <c r="R1069" i="23"/>
  <c r="O1069" i="23"/>
  <c r="N1069" i="23"/>
  <c r="J1069" i="23"/>
  <c r="R1068" i="23"/>
  <c r="O1068" i="23"/>
  <c r="N1068" i="23"/>
  <c r="P1068" i="23" s="1"/>
  <c r="J1068" i="23"/>
  <c r="R1067" i="23"/>
  <c r="O1067" i="23"/>
  <c r="N1067" i="23"/>
  <c r="J1067" i="23"/>
  <c r="R1066" i="23"/>
  <c r="O1066" i="23"/>
  <c r="N1066" i="23"/>
  <c r="J1066" i="23"/>
  <c r="R1065" i="23"/>
  <c r="O1065" i="23"/>
  <c r="N1065" i="23"/>
  <c r="J1065" i="23"/>
  <c r="R1064" i="23"/>
  <c r="O1064" i="23"/>
  <c r="N1064" i="23"/>
  <c r="P1064" i="23" s="1"/>
  <c r="J1064" i="23"/>
  <c r="R1063" i="23"/>
  <c r="O1063" i="23"/>
  <c r="N1063" i="23"/>
  <c r="J1063" i="23"/>
  <c r="R1062" i="23"/>
  <c r="O1062" i="23"/>
  <c r="N1062" i="23"/>
  <c r="P1062" i="23" s="1"/>
  <c r="J1062" i="23"/>
  <c r="R1061" i="23"/>
  <c r="O1061" i="23"/>
  <c r="N1061" i="23"/>
  <c r="J1061" i="23"/>
  <c r="R1060" i="23"/>
  <c r="O1060" i="23"/>
  <c r="N1060" i="23"/>
  <c r="P1060" i="23" s="1"/>
  <c r="J1060" i="23"/>
  <c r="R1059" i="23"/>
  <c r="O1059" i="23"/>
  <c r="N1059" i="23"/>
  <c r="J1059" i="23"/>
  <c r="R1058" i="23"/>
  <c r="O1058" i="23"/>
  <c r="N1058" i="23"/>
  <c r="P1058" i="23" s="1"/>
  <c r="J1058" i="23"/>
  <c r="R1057" i="23"/>
  <c r="O1057" i="23"/>
  <c r="N1057" i="23"/>
  <c r="J1057" i="23"/>
  <c r="R1056" i="23"/>
  <c r="O1056" i="23"/>
  <c r="N1056" i="23"/>
  <c r="J1056" i="23"/>
  <c r="R1055" i="23"/>
  <c r="O1055" i="23"/>
  <c r="N1055" i="23"/>
  <c r="J1055" i="23"/>
  <c r="R1054" i="23"/>
  <c r="O1054" i="23"/>
  <c r="N1054" i="23"/>
  <c r="P1054" i="23" s="1"/>
  <c r="J1054" i="23"/>
  <c r="R1053" i="23"/>
  <c r="O1053" i="23"/>
  <c r="N1053" i="23"/>
  <c r="J1053" i="23"/>
  <c r="R1052" i="23"/>
  <c r="O1052" i="23"/>
  <c r="N1052" i="23"/>
  <c r="P1052" i="23" s="1"/>
  <c r="J1052" i="23"/>
  <c r="R1051" i="23"/>
  <c r="O1051" i="23"/>
  <c r="N1051" i="23"/>
  <c r="J1051" i="23"/>
  <c r="R1050" i="23"/>
  <c r="O1050" i="23"/>
  <c r="N1050" i="23"/>
  <c r="P1050" i="23" s="1"/>
  <c r="J1050" i="23"/>
  <c r="R1049" i="23"/>
  <c r="O1049" i="23"/>
  <c r="N1049" i="23"/>
  <c r="J1049" i="23"/>
  <c r="R1048" i="23"/>
  <c r="O1048" i="23"/>
  <c r="N1048" i="23"/>
  <c r="P1048" i="23" s="1"/>
  <c r="J1048" i="23"/>
  <c r="R1047" i="23"/>
  <c r="O1047" i="23"/>
  <c r="N1047" i="23"/>
  <c r="J1047" i="23"/>
  <c r="R1046" i="23"/>
  <c r="O1046" i="23"/>
  <c r="N1046" i="23"/>
  <c r="J1046" i="23"/>
  <c r="R1045" i="23"/>
  <c r="O1045" i="23"/>
  <c r="N1045" i="23"/>
  <c r="J1045" i="23"/>
  <c r="R1044" i="23"/>
  <c r="O1044" i="23"/>
  <c r="N1044" i="23"/>
  <c r="P1044" i="23" s="1"/>
  <c r="J1044" i="23"/>
  <c r="R1043" i="23"/>
  <c r="O1043" i="23"/>
  <c r="N1043" i="23"/>
  <c r="J1043" i="23"/>
  <c r="R1042" i="23"/>
  <c r="O1042" i="23"/>
  <c r="N1042" i="23"/>
  <c r="J1042" i="23"/>
  <c r="R1041" i="23"/>
  <c r="O1041" i="23"/>
  <c r="N1041" i="23"/>
  <c r="J1041" i="23"/>
  <c r="R1040" i="23"/>
  <c r="O1040" i="23"/>
  <c r="N1040" i="23"/>
  <c r="J1040" i="23"/>
  <c r="R1039" i="23"/>
  <c r="O1039" i="23"/>
  <c r="N1039" i="23"/>
  <c r="J1039" i="23"/>
  <c r="R1038" i="23"/>
  <c r="O1038" i="23"/>
  <c r="N1038" i="23"/>
  <c r="P1038" i="23" s="1"/>
  <c r="J1038" i="23"/>
  <c r="R1037" i="23"/>
  <c r="O1037" i="23"/>
  <c r="N1037" i="23"/>
  <c r="J1037" i="23"/>
  <c r="R1036" i="23"/>
  <c r="O1036" i="23"/>
  <c r="N1036" i="23"/>
  <c r="P1036" i="23" s="1"/>
  <c r="J1036" i="23"/>
  <c r="R1035" i="23"/>
  <c r="O1035" i="23"/>
  <c r="N1035" i="23"/>
  <c r="J1035" i="23"/>
  <c r="R1034" i="23"/>
  <c r="O1034" i="23"/>
  <c r="N1034" i="23"/>
  <c r="P1034" i="23" s="1"/>
  <c r="J1034" i="23"/>
  <c r="R1033" i="23"/>
  <c r="O1033" i="23"/>
  <c r="N1033" i="23"/>
  <c r="J1033" i="23"/>
  <c r="R1032" i="23"/>
  <c r="O1032" i="23"/>
  <c r="N1032" i="23"/>
  <c r="P1032" i="23" s="1"/>
  <c r="J1032" i="23"/>
  <c r="R1031" i="23"/>
  <c r="O1031" i="23"/>
  <c r="N1031" i="23"/>
  <c r="J1031" i="23"/>
  <c r="R1030" i="23"/>
  <c r="O1030" i="23"/>
  <c r="N1030" i="23"/>
  <c r="P1030" i="23" s="1"/>
  <c r="J1030" i="23"/>
  <c r="R1029" i="23"/>
  <c r="O1029" i="23"/>
  <c r="N1029" i="23"/>
  <c r="P1029" i="23" s="1"/>
  <c r="J1029" i="23"/>
  <c r="R1028" i="23"/>
  <c r="O1028" i="23"/>
  <c r="N1028" i="23"/>
  <c r="P1028" i="23" s="1"/>
  <c r="J1028" i="23"/>
  <c r="R1027" i="23"/>
  <c r="O1027" i="23"/>
  <c r="N1027" i="23"/>
  <c r="P1027" i="23" s="1"/>
  <c r="J1027" i="23"/>
  <c r="R1026" i="23"/>
  <c r="O1026" i="23"/>
  <c r="N1026" i="23"/>
  <c r="P1026" i="23" s="1"/>
  <c r="J1026" i="23"/>
  <c r="R1025" i="23"/>
  <c r="O1025" i="23"/>
  <c r="N1025" i="23"/>
  <c r="P1025" i="23" s="1"/>
  <c r="J1025" i="23"/>
  <c r="R1024" i="23"/>
  <c r="O1024" i="23"/>
  <c r="N1024" i="23"/>
  <c r="P1024" i="23" s="1"/>
  <c r="J1024" i="23"/>
  <c r="R1023" i="23"/>
  <c r="O1023" i="23"/>
  <c r="N1023" i="23"/>
  <c r="P1023" i="23" s="1"/>
  <c r="J1023" i="23"/>
  <c r="R1022" i="23"/>
  <c r="O1022" i="23"/>
  <c r="N1022" i="23"/>
  <c r="P1022" i="23" s="1"/>
  <c r="J1022" i="23"/>
  <c r="R1021" i="23"/>
  <c r="O1021" i="23"/>
  <c r="N1021" i="23"/>
  <c r="P1021" i="23" s="1"/>
  <c r="J1021" i="23"/>
  <c r="R1020" i="23"/>
  <c r="O1020" i="23"/>
  <c r="N1020" i="23"/>
  <c r="P1020" i="23" s="1"/>
  <c r="J1020" i="23"/>
  <c r="R1019" i="23"/>
  <c r="O1019" i="23"/>
  <c r="N1019" i="23"/>
  <c r="P1019" i="23" s="1"/>
  <c r="J1019" i="23"/>
  <c r="R1018" i="23"/>
  <c r="O1018" i="23"/>
  <c r="N1018" i="23"/>
  <c r="P1018" i="23" s="1"/>
  <c r="J1018" i="23"/>
  <c r="R1017" i="23"/>
  <c r="O1017" i="23"/>
  <c r="N1017" i="23"/>
  <c r="P1017" i="23" s="1"/>
  <c r="J1017" i="23"/>
  <c r="R1016" i="23"/>
  <c r="O1016" i="23"/>
  <c r="N1016" i="23"/>
  <c r="P1016" i="23" s="1"/>
  <c r="J1016" i="23"/>
  <c r="R1015" i="23"/>
  <c r="O1015" i="23"/>
  <c r="N1015" i="23"/>
  <c r="P1015" i="23" s="1"/>
  <c r="J1015" i="23"/>
  <c r="R1014" i="23"/>
  <c r="O1014" i="23"/>
  <c r="N1014" i="23"/>
  <c r="P1014" i="23" s="1"/>
  <c r="J1014" i="23"/>
  <c r="R1013" i="23"/>
  <c r="O1013" i="23"/>
  <c r="N1013" i="23"/>
  <c r="P1013" i="23" s="1"/>
  <c r="J1013" i="23"/>
  <c r="R1012" i="23"/>
  <c r="O1012" i="23"/>
  <c r="N1012" i="23"/>
  <c r="P1012" i="23" s="1"/>
  <c r="J1012" i="23"/>
  <c r="R1011" i="23"/>
  <c r="O1011" i="23"/>
  <c r="N1011" i="23"/>
  <c r="P1011" i="23" s="1"/>
  <c r="J1011" i="23"/>
  <c r="R1010" i="23"/>
  <c r="O1010" i="23"/>
  <c r="N1010" i="23"/>
  <c r="P1010" i="23" s="1"/>
  <c r="J1010" i="23"/>
  <c r="R1009" i="23"/>
  <c r="O1009" i="23"/>
  <c r="N1009" i="23"/>
  <c r="P1009" i="23" s="1"/>
  <c r="J1009" i="23"/>
  <c r="R1008" i="23"/>
  <c r="O1008" i="23"/>
  <c r="N1008" i="23"/>
  <c r="P1008" i="23" s="1"/>
  <c r="J1008" i="23"/>
  <c r="R1007" i="23"/>
  <c r="O1007" i="23"/>
  <c r="N1007" i="23"/>
  <c r="P1007" i="23" s="1"/>
  <c r="J1007" i="23"/>
  <c r="R1006" i="23"/>
  <c r="O1006" i="23"/>
  <c r="N1006" i="23"/>
  <c r="P1006" i="23" s="1"/>
  <c r="J1006" i="23"/>
  <c r="R1005" i="23"/>
  <c r="O1005" i="23"/>
  <c r="N1005" i="23"/>
  <c r="P1005" i="23" s="1"/>
  <c r="J1005" i="23"/>
  <c r="R1004" i="23"/>
  <c r="O1004" i="23"/>
  <c r="N1004" i="23"/>
  <c r="P1004" i="23" s="1"/>
  <c r="J1004" i="23"/>
  <c r="R1003" i="23"/>
  <c r="O1003" i="23"/>
  <c r="N1003" i="23"/>
  <c r="P1003" i="23" s="1"/>
  <c r="J1003" i="23"/>
  <c r="R1002" i="23"/>
  <c r="O1002" i="23"/>
  <c r="N1002" i="23"/>
  <c r="P1002" i="23" s="1"/>
  <c r="J1002" i="23"/>
  <c r="R1001" i="23"/>
  <c r="O1001" i="23"/>
  <c r="N1001" i="23"/>
  <c r="P1001" i="23" s="1"/>
  <c r="J1001" i="23"/>
  <c r="R1000" i="23"/>
  <c r="O1000" i="23"/>
  <c r="N1000" i="23"/>
  <c r="J1000" i="23"/>
  <c r="R999" i="23"/>
  <c r="O999" i="23"/>
  <c r="N999" i="23"/>
  <c r="P999" i="23" s="1"/>
  <c r="J999" i="23"/>
  <c r="R998" i="23"/>
  <c r="O998" i="23"/>
  <c r="N998" i="23"/>
  <c r="J998" i="23"/>
  <c r="R997" i="23"/>
  <c r="O997" i="23"/>
  <c r="N997" i="23"/>
  <c r="P997" i="23" s="1"/>
  <c r="J997" i="23"/>
  <c r="R996" i="23"/>
  <c r="O996" i="23"/>
  <c r="N996" i="23"/>
  <c r="P996" i="23" s="1"/>
  <c r="J996" i="23"/>
  <c r="R995" i="23"/>
  <c r="O995" i="23"/>
  <c r="N995" i="23"/>
  <c r="P995" i="23" s="1"/>
  <c r="J995" i="23"/>
  <c r="R994" i="23"/>
  <c r="O994" i="23"/>
  <c r="N994" i="23"/>
  <c r="P994" i="23" s="1"/>
  <c r="J994" i="23"/>
  <c r="R993" i="23"/>
  <c r="O993" i="23"/>
  <c r="N993" i="23"/>
  <c r="P993" i="23" s="1"/>
  <c r="J993" i="23"/>
  <c r="R992" i="23"/>
  <c r="O992" i="23"/>
  <c r="N992" i="23"/>
  <c r="S992" i="23" s="1"/>
  <c r="J992" i="23"/>
  <c r="R991" i="23"/>
  <c r="O991" i="23"/>
  <c r="N991" i="23"/>
  <c r="P991" i="23" s="1"/>
  <c r="J991" i="23"/>
  <c r="R990" i="23"/>
  <c r="O990" i="23"/>
  <c r="N990" i="23"/>
  <c r="S990" i="23" s="1"/>
  <c r="J990" i="23"/>
  <c r="R989" i="23"/>
  <c r="O989" i="23"/>
  <c r="N989" i="23"/>
  <c r="P989" i="23" s="1"/>
  <c r="J989" i="23"/>
  <c r="R988" i="23"/>
  <c r="O988" i="23"/>
  <c r="N988" i="23"/>
  <c r="P988" i="23" s="1"/>
  <c r="J988" i="23"/>
  <c r="R987" i="23"/>
  <c r="O987" i="23"/>
  <c r="N987" i="23"/>
  <c r="P987" i="23" s="1"/>
  <c r="J987" i="23"/>
  <c r="R986" i="23"/>
  <c r="O986" i="23"/>
  <c r="N986" i="23"/>
  <c r="J986" i="23"/>
  <c r="R985" i="23"/>
  <c r="O985" i="23"/>
  <c r="N985" i="23"/>
  <c r="P985" i="23" s="1"/>
  <c r="J985" i="23"/>
  <c r="R984" i="23"/>
  <c r="O984" i="23"/>
  <c r="N984" i="23"/>
  <c r="S984" i="23" s="1"/>
  <c r="J984" i="23"/>
  <c r="R983" i="23"/>
  <c r="O983" i="23"/>
  <c r="N983" i="23"/>
  <c r="P983" i="23" s="1"/>
  <c r="J983" i="23"/>
  <c r="R982" i="23"/>
  <c r="O982" i="23"/>
  <c r="N982" i="23"/>
  <c r="S982" i="23" s="1"/>
  <c r="J982" i="23"/>
  <c r="R981" i="23"/>
  <c r="O981" i="23"/>
  <c r="N981" i="23"/>
  <c r="P981" i="23" s="1"/>
  <c r="J981" i="23"/>
  <c r="R980" i="23"/>
  <c r="O980" i="23"/>
  <c r="N980" i="23"/>
  <c r="P980" i="23" s="1"/>
  <c r="J980" i="23"/>
  <c r="R979" i="23"/>
  <c r="O979" i="23"/>
  <c r="N979" i="23"/>
  <c r="P979" i="23" s="1"/>
  <c r="J979" i="23"/>
  <c r="R978" i="23"/>
  <c r="O978" i="23"/>
  <c r="N978" i="23"/>
  <c r="P978" i="23" s="1"/>
  <c r="J978" i="23"/>
  <c r="R977" i="23"/>
  <c r="O977" i="23"/>
  <c r="N977" i="23"/>
  <c r="P977" i="23" s="1"/>
  <c r="J977" i="23"/>
  <c r="R976" i="23"/>
  <c r="O976" i="23"/>
  <c r="N976" i="23"/>
  <c r="S976" i="23" s="1"/>
  <c r="J976" i="23"/>
  <c r="R975" i="23"/>
  <c r="O975" i="23"/>
  <c r="N975" i="23"/>
  <c r="P975" i="23" s="1"/>
  <c r="J975" i="23"/>
  <c r="R974" i="23"/>
  <c r="O974" i="23"/>
  <c r="N974" i="23"/>
  <c r="S974" i="23" s="1"/>
  <c r="J974" i="23"/>
  <c r="R973" i="23"/>
  <c r="O973" i="23"/>
  <c r="N973" i="23"/>
  <c r="P973" i="23" s="1"/>
  <c r="J973" i="23"/>
  <c r="R972" i="23"/>
  <c r="O972" i="23"/>
  <c r="N972" i="23"/>
  <c r="J972" i="23"/>
  <c r="R971" i="23"/>
  <c r="O971" i="23"/>
  <c r="N971" i="23"/>
  <c r="J971" i="23"/>
  <c r="R970" i="23"/>
  <c r="O970" i="23"/>
  <c r="N970" i="23"/>
  <c r="S970" i="23" s="1"/>
  <c r="J970" i="23"/>
  <c r="R969" i="23"/>
  <c r="O969" i="23"/>
  <c r="N969" i="23"/>
  <c r="P969" i="23" s="1"/>
  <c r="J969" i="23"/>
  <c r="R968" i="23"/>
  <c r="O968" i="23"/>
  <c r="N968" i="23"/>
  <c r="S968" i="23" s="1"/>
  <c r="J968" i="23"/>
  <c r="R967" i="23"/>
  <c r="O967" i="23"/>
  <c r="N967" i="23"/>
  <c r="P967" i="23" s="1"/>
  <c r="J967" i="23"/>
  <c r="R966" i="23"/>
  <c r="O966" i="23"/>
  <c r="N966" i="23"/>
  <c r="S966" i="23" s="1"/>
  <c r="J966" i="23"/>
  <c r="R965" i="23"/>
  <c r="O965" i="23"/>
  <c r="N965" i="23"/>
  <c r="P965" i="23" s="1"/>
  <c r="J965" i="23"/>
  <c r="R964" i="23"/>
  <c r="O964" i="23"/>
  <c r="N964" i="23"/>
  <c r="P964" i="23" s="1"/>
  <c r="J964" i="23"/>
  <c r="R963" i="23"/>
  <c r="O963" i="23"/>
  <c r="N963" i="23"/>
  <c r="P963" i="23" s="1"/>
  <c r="J963" i="23"/>
  <c r="R962" i="23"/>
  <c r="O962" i="23"/>
  <c r="N962" i="23"/>
  <c r="J962" i="23"/>
  <c r="R961" i="23"/>
  <c r="O961" i="23"/>
  <c r="N961" i="23"/>
  <c r="P961" i="23" s="1"/>
  <c r="J961" i="23"/>
  <c r="R960" i="23"/>
  <c r="O960" i="23"/>
  <c r="N960" i="23"/>
  <c r="S960" i="23" s="1"/>
  <c r="J960" i="23"/>
  <c r="R959" i="23"/>
  <c r="O959" i="23"/>
  <c r="N959" i="23"/>
  <c r="P959" i="23" s="1"/>
  <c r="J959" i="23"/>
  <c r="R958" i="23"/>
  <c r="O958" i="23"/>
  <c r="N958" i="23"/>
  <c r="S958" i="23" s="1"/>
  <c r="J958" i="23"/>
  <c r="R957" i="23"/>
  <c r="O957" i="23"/>
  <c r="N957" i="23"/>
  <c r="J957" i="23"/>
  <c r="R956" i="23"/>
  <c r="O956" i="23"/>
  <c r="N956" i="23"/>
  <c r="J956" i="23"/>
  <c r="R955" i="23"/>
  <c r="O955" i="23"/>
  <c r="N955" i="23"/>
  <c r="P955" i="23" s="1"/>
  <c r="J955" i="23"/>
  <c r="R954" i="23"/>
  <c r="O954" i="23"/>
  <c r="N954" i="23"/>
  <c r="J954" i="23"/>
  <c r="R953" i="23"/>
  <c r="O953" i="23"/>
  <c r="N953" i="23"/>
  <c r="P953" i="23" s="1"/>
  <c r="J953" i="23"/>
  <c r="R952" i="23"/>
  <c r="O952" i="23"/>
  <c r="N952" i="23"/>
  <c r="S952" i="23" s="1"/>
  <c r="J952" i="23"/>
  <c r="R951" i="23"/>
  <c r="O951" i="23"/>
  <c r="N951" i="23"/>
  <c r="P951" i="23" s="1"/>
  <c r="J951" i="23"/>
  <c r="R950" i="23"/>
  <c r="O950" i="23"/>
  <c r="N950" i="23"/>
  <c r="S950" i="23" s="1"/>
  <c r="J950" i="23"/>
  <c r="R949" i="23"/>
  <c r="O949" i="23"/>
  <c r="N949" i="23"/>
  <c r="P949" i="23" s="1"/>
  <c r="J949" i="23"/>
  <c r="R948" i="23"/>
  <c r="O948" i="23"/>
  <c r="N948" i="23"/>
  <c r="P948" i="23" s="1"/>
  <c r="J948" i="23"/>
  <c r="R947" i="23"/>
  <c r="O947" i="23"/>
  <c r="N947" i="23"/>
  <c r="P947" i="23" s="1"/>
  <c r="J947" i="23"/>
  <c r="R946" i="23"/>
  <c r="O946" i="23"/>
  <c r="N946" i="23"/>
  <c r="S946" i="23" s="1"/>
  <c r="J946" i="23"/>
  <c r="R945" i="23"/>
  <c r="O945" i="23"/>
  <c r="N945" i="23"/>
  <c r="P945" i="23" s="1"/>
  <c r="J945" i="23"/>
  <c r="R944" i="23"/>
  <c r="O944" i="23"/>
  <c r="N944" i="23"/>
  <c r="S944" i="23" s="1"/>
  <c r="J944" i="23"/>
  <c r="R943" i="23"/>
  <c r="O943" i="23"/>
  <c r="N943" i="23"/>
  <c r="P943" i="23" s="1"/>
  <c r="J943" i="23"/>
  <c r="R942" i="23"/>
  <c r="O942" i="23"/>
  <c r="N942" i="23"/>
  <c r="S942" i="23" s="1"/>
  <c r="J942" i="23"/>
  <c r="R941" i="23"/>
  <c r="O941" i="23"/>
  <c r="N941" i="23"/>
  <c r="P941" i="23" s="1"/>
  <c r="J941" i="23"/>
  <c r="R940" i="23"/>
  <c r="O940" i="23"/>
  <c r="N940" i="23"/>
  <c r="P940" i="23" s="1"/>
  <c r="J940" i="23"/>
  <c r="R939" i="23"/>
  <c r="O939" i="23"/>
  <c r="N939" i="23"/>
  <c r="P939" i="23" s="1"/>
  <c r="J939" i="23"/>
  <c r="R938" i="23"/>
  <c r="O938" i="23"/>
  <c r="N938" i="23"/>
  <c r="S938" i="23" s="1"/>
  <c r="J938" i="23"/>
  <c r="R937" i="23"/>
  <c r="O937" i="23"/>
  <c r="N937" i="23"/>
  <c r="P937" i="23" s="1"/>
  <c r="J937" i="23"/>
  <c r="R936" i="23"/>
  <c r="O936" i="23"/>
  <c r="N936" i="23"/>
  <c r="S936" i="23" s="1"/>
  <c r="J936" i="23"/>
  <c r="R935" i="23"/>
  <c r="O935" i="23"/>
  <c r="N935" i="23"/>
  <c r="P935" i="23" s="1"/>
  <c r="J935" i="23"/>
  <c r="R934" i="23"/>
  <c r="O934" i="23"/>
  <c r="N934" i="23"/>
  <c r="S934" i="23" s="1"/>
  <c r="J934" i="23"/>
  <c r="R933" i="23"/>
  <c r="O933" i="23"/>
  <c r="N933" i="23"/>
  <c r="P933" i="23" s="1"/>
  <c r="J933" i="23"/>
  <c r="R932" i="23"/>
  <c r="O932" i="23"/>
  <c r="N932" i="23"/>
  <c r="P932" i="23" s="1"/>
  <c r="J932" i="23"/>
  <c r="R931" i="23"/>
  <c r="O931" i="23"/>
  <c r="N931" i="23"/>
  <c r="P931" i="23" s="1"/>
  <c r="J931" i="23"/>
  <c r="R930" i="23"/>
  <c r="O930" i="23"/>
  <c r="N930" i="23"/>
  <c r="J930" i="23"/>
  <c r="R929" i="23"/>
  <c r="O929" i="23"/>
  <c r="N929" i="23"/>
  <c r="P929" i="23" s="1"/>
  <c r="J929" i="23"/>
  <c r="R928" i="23"/>
  <c r="O928" i="23"/>
  <c r="N928" i="23"/>
  <c r="S928" i="23" s="1"/>
  <c r="J928" i="23"/>
  <c r="R927" i="23"/>
  <c r="O927" i="23"/>
  <c r="N927" i="23"/>
  <c r="P927" i="23" s="1"/>
  <c r="J927" i="23"/>
  <c r="R926" i="23"/>
  <c r="O926" i="23"/>
  <c r="N926" i="23"/>
  <c r="S926" i="23" s="1"/>
  <c r="J926" i="23"/>
  <c r="R925" i="23"/>
  <c r="O925" i="23"/>
  <c r="N925" i="23"/>
  <c r="J925" i="23"/>
  <c r="R924" i="23"/>
  <c r="O924" i="23"/>
  <c r="N924" i="23"/>
  <c r="J924" i="23"/>
  <c r="R923" i="23"/>
  <c r="O923" i="23"/>
  <c r="N923" i="23"/>
  <c r="P923" i="23" s="1"/>
  <c r="J923" i="23"/>
  <c r="R922" i="23"/>
  <c r="O922" i="23"/>
  <c r="N922" i="23"/>
  <c r="J922" i="23"/>
  <c r="R921" i="23"/>
  <c r="O921" i="23"/>
  <c r="N921" i="23"/>
  <c r="P921" i="23" s="1"/>
  <c r="J921" i="23"/>
  <c r="R920" i="23"/>
  <c r="O920" i="23"/>
  <c r="N920" i="23"/>
  <c r="S920" i="23" s="1"/>
  <c r="J920" i="23"/>
  <c r="R919" i="23"/>
  <c r="O919" i="23"/>
  <c r="N919" i="23"/>
  <c r="P919" i="23" s="1"/>
  <c r="J919" i="23"/>
  <c r="R918" i="23"/>
  <c r="O918" i="23"/>
  <c r="N918" i="23"/>
  <c r="S918" i="23" s="1"/>
  <c r="J918" i="23"/>
  <c r="R917" i="23"/>
  <c r="O917" i="23"/>
  <c r="N917" i="23"/>
  <c r="P917" i="23" s="1"/>
  <c r="J917" i="23"/>
  <c r="R916" i="23"/>
  <c r="O916" i="23"/>
  <c r="N916" i="23"/>
  <c r="P916" i="23" s="1"/>
  <c r="J916" i="23"/>
  <c r="R915" i="23"/>
  <c r="O915" i="23"/>
  <c r="N915" i="23"/>
  <c r="P915" i="23" s="1"/>
  <c r="J915" i="23"/>
  <c r="R914" i="23"/>
  <c r="O914" i="23"/>
  <c r="N914" i="23"/>
  <c r="J914" i="23"/>
  <c r="R913" i="23"/>
  <c r="O913" i="23"/>
  <c r="N913" i="23"/>
  <c r="P913" i="23" s="1"/>
  <c r="J913" i="23"/>
  <c r="R912" i="23"/>
  <c r="O912" i="23"/>
  <c r="N912" i="23"/>
  <c r="S912" i="23" s="1"/>
  <c r="J912" i="23"/>
  <c r="R911" i="23"/>
  <c r="O911" i="23"/>
  <c r="N911" i="23"/>
  <c r="P911" i="23" s="1"/>
  <c r="J911" i="23"/>
  <c r="R910" i="23"/>
  <c r="O910" i="23"/>
  <c r="N910" i="23"/>
  <c r="J910" i="23"/>
  <c r="R909" i="23"/>
  <c r="O909" i="23"/>
  <c r="N909" i="23"/>
  <c r="P909" i="23" s="1"/>
  <c r="J909" i="23"/>
  <c r="R908" i="23"/>
  <c r="O908" i="23"/>
  <c r="N908" i="23"/>
  <c r="P908" i="23" s="1"/>
  <c r="J908" i="23"/>
  <c r="R907" i="23"/>
  <c r="O907" i="23"/>
  <c r="N907" i="23"/>
  <c r="P907" i="23" s="1"/>
  <c r="J907" i="23"/>
  <c r="R906" i="23"/>
  <c r="O906" i="23"/>
  <c r="N906" i="23"/>
  <c r="S906" i="23" s="1"/>
  <c r="U906" i="23" s="1"/>
  <c r="J906" i="23"/>
  <c r="R905" i="23"/>
  <c r="O905" i="23"/>
  <c r="N905" i="23"/>
  <c r="P905" i="23" s="1"/>
  <c r="J905" i="23"/>
  <c r="R904" i="23"/>
  <c r="O904" i="23"/>
  <c r="N904" i="23"/>
  <c r="S904" i="23" s="1"/>
  <c r="U904" i="23" s="1"/>
  <c r="J904" i="23"/>
  <c r="R903" i="23"/>
  <c r="O903" i="23"/>
  <c r="N903" i="23"/>
  <c r="P903" i="23" s="1"/>
  <c r="J903" i="23"/>
  <c r="R902" i="23"/>
  <c r="O902" i="23"/>
  <c r="N902" i="23"/>
  <c r="S902" i="23" s="1"/>
  <c r="U902" i="23" s="1"/>
  <c r="J902" i="23"/>
  <c r="R901" i="23"/>
  <c r="O901" i="23"/>
  <c r="N901" i="23"/>
  <c r="P901" i="23" s="1"/>
  <c r="J901" i="23"/>
  <c r="R900" i="23"/>
  <c r="O900" i="23"/>
  <c r="N900" i="23"/>
  <c r="S900" i="23" s="1"/>
  <c r="U900" i="23" s="1"/>
  <c r="J900" i="23"/>
  <c r="R899" i="23"/>
  <c r="O899" i="23"/>
  <c r="N899" i="23"/>
  <c r="S899" i="23" s="1"/>
  <c r="J899" i="23"/>
  <c r="R898" i="23"/>
  <c r="O898" i="23"/>
  <c r="N898" i="23"/>
  <c r="S898" i="23" s="1"/>
  <c r="U898" i="23" s="1"/>
  <c r="J898" i="23"/>
  <c r="R897" i="23"/>
  <c r="O897" i="23"/>
  <c r="N897" i="23"/>
  <c r="J897" i="23"/>
  <c r="R896" i="23"/>
  <c r="O896" i="23"/>
  <c r="N896" i="23"/>
  <c r="S896" i="23" s="1"/>
  <c r="U896" i="23" s="1"/>
  <c r="J896" i="23"/>
  <c r="R895" i="23"/>
  <c r="O895" i="23"/>
  <c r="N895" i="23"/>
  <c r="J895" i="23"/>
  <c r="R894" i="23"/>
  <c r="O894" i="23"/>
  <c r="N894" i="23"/>
  <c r="S894" i="23" s="1"/>
  <c r="U894" i="23" s="1"/>
  <c r="J894" i="23"/>
  <c r="R893" i="23"/>
  <c r="O893" i="23"/>
  <c r="N893" i="23"/>
  <c r="P893" i="23" s="1"/>
  <c r="J893" i="23"/>
  <c r="R892" i="23"/>
  <c r="O892" i="23"/>
  <c r="N892" i="23"/>
  <c r="S892" i="23" s="1"/>
  <c r="U892" i="23" s="1"/>
  <c r="J892" i="23"/>
  <c r="R891" i="23"/>
  <c r="O891" i="23"/>
  <c r="N891" i="23"/>
  <c r="S891" i="23" s="1"/>
  <c r="J891" i="23"/>
  <c r="R890" i="23"/>
  <c r="O890" i="23"/>
  <c r="N890" i="23"/>
  <c r="S890" i="23" s="1"/>
  <c r="U890" i="23" s="1"/>
  <c r="J890" i="23"/>
  <c r="R889" i="23"/>
  <c r="O889" i="23"/>
  <c r="N889" i="23"/>
  <c r="S889" i="23" s="1"/>
  <c r="J889" i="23"/>
  <c r="R888" i="23"/>
  <c r="O888" i="23"/>
  <c r="N888" i="23"/>
  <c r="S888" i="23" s="1"/>
  <c r="U888" i="23" s="1"/>
  <c r="J888" i="23"/>
  <c r="R887" i="23"/>
  <c r="O887" i="23"/>
  <c r="N887" i="23"/>
  <c r="J887" i="23"/>
  <c r="R886" i="23"/>
  <c r="O886" i="23"/>
  <c r="N886" i="23"/>
  <c r="S886" i="23" s="1"/>
  <c r="U886" i="23" s="1"/>
  <c r="J886" i="23"/>
  <c r="R885" i="23"/>
  <c r="O885" i="23"/>
  <c r="N885" i="23"/>
  <c r="P885" i="23" s="1"/>
  <c r="J885" i="23"/>
  <c r="R884" i="23"/>
  <c r="O884" i="23"/>
  <c r="N884" i="23"/>
  <c r="S884" i="23" s="1"/>
  <c r="U884" i="23" s="1"/>
  <c r="J884" i="23"/>
  <c r="R883" i="23"/>
  <c r="O883" i="23"/>
  <c r="N883" i="23"/>
  <c r="S883" i="23" s="1"/>
  <c r="J883" i="23"/>
  <c r="R882" i="23"/>
  <c r="O882" i="23"/>
  <c r="N882" i="23"/>
  <c r="S882" i="23" s="1"/>
  <c r="U882" i="23" s="1"/>
  <c r="J882" i="23"/>
  <c r="R881" i="23"/>
  <c r="O881" i="23"/>
  <c r="N881" i="23"/>
  <c r="P881" i="23" s="1"/>
  <c r="J881" i="23"/>
  <c r="R880" i="23"/>
  <c r="O880" i="23"/>
  <c r="N880" i="23"/>
  <c r="S880" i="23" s="1"/>
  <c r="U880" i="23" s="1"/>
  <c r="J880" i="23"/>
  <c r="R879" i="23"/>
  <c r="O879" i="23"/>
  <c r="N879" i="23"/>
  <c r="P879" i="23" s="1"/>
  <c r="J879" i="23"/>
  <c r="R878" i="23"/>
  <c r="O878" i="23"/>
  <c r="N878" i="23"/>
  <c r="S878" i="23" s="1"/>
  <c r="U878" i="23" s="1"/>
  <c r="J878" i="23"/>
  <c r="R877" i="23"/>
  <c r="O877" i="23"/>
  <c r="N877" i="23"/>
  <c r="S877" i="23" s="1"/>
  <c r="J877" i="23"/>
  <c r="R876" i="23"/>
  <c r="O876" i="23"/>
  <c r="N876" i="23"/>
  <c r="S876" i="23" s="1"/>
  <c r="U876" i="23" s="1"/>
  <c r="J876" i="23"/>
  <c r="R875" i="23"/>
  <c r="O875" i="23"/>
  <c r="N875" i="23"/>
  <c r="S875" i="23" s="1"/>
  <c r="J875" i="23"/>
  <c r="R874" i="23"/>
  <c r="O874" i="23"/>
  <c r="N874" i="23"/>
  <c r="S874" i="23" s="1"/>
  <c r="U874" i="23" s="1"/>
  <c r="J874" i="23"/>
  <c r="R873" i="23"/>
  <c r="O873" i="23"/>
  <c r="N873" i="23"/>
  <c r="P873" i="23" s="1"/>
  <c r="J873" i="23"/>
  <c r="R872" i="23"/>
  <c r="O872" i="23"/>
  <c r="N872" i="23"/>
  <c r="S872" i="23" s="1"/>
  <c r="U872" i="23" s="1"/>
  <c r="J872" i="23"/>
  <c r="R871" i="23"/>
  <c r="O871" i="23"/>
  <c r="N871" i="23"/>
  <c r="J871" i="23"/>
  <c r="R870" i="23"/>
  <c r="O870" i="23"/>
  <c r="N870" i="23"/>
  <c r="S870" i="23" s="1"/>
  <c r="U870" i="23" s="1"/>
  <c r="J870" i="23"/>
  <c r="R869" i="23"/>
  <c r="O869" i="23"/>
  <c r="N869" i="23"/>
  <c r="S869" i="23" s="1"/>
  <c r="J869" i="23"/>
  <c r="R868" i="23"/>
  <c r="O868" i="23"/>
  <c r="N868" i="23"/>
  <c r="S868" i="23" s="1"/>
  <c r="U868" i="23" s="1"/>
  <c r="J868" i="23"/>
  <c r="R867" i="23"/>
  <c r="O867" i="23"/>
  <c r="N867" i="23"/>
  <c r="S867" i="23" s="1"/>
  <c r="J867" i="23"/>
  <c r="R866" i="23"/>
  <c r="O866" i="23"/>
  <c r="N866" i="23"/>
  <c r="S866" i="23" s="1"/>
  <c r="U866" i="23" s="1"/>
  <c r="J866" i="23"/>
  <c r="R865" i="23"/>
  <c r="O865" i="23"/>
  <c r="N865" i="23"/>
  <c r="P865" i="23" s="1"/>
  <c r="J865" i="23"/>
  <c r="R864" i="23"/>
  <c r="O864" i="23"/>
  <c r="N864" i="23"/>
  <c r="S864" i="23" s="1"/>
  <c r="U864" i="23" s="1"/>
  <c r="J864" i="23"/>
  <c r="R863" i="23"/>
  <c r="O863" i="23"/>
  <c r="N863" i="23"/>
  <c r="P863" i="23" s="1"/>
  <c r="J863" i="23"/>
  <c r="R862" i="23"/>
  <c r="O862" i="23"/>
  <c r="N862" i="23"/>
  <c r="S862" i="23" s="1"/>
  <c r="U862" i="23" s="1"/>
  <c r="J862" i="23"/>
  <c r="R861" i="23"/>
  <c r="O861" i="23"/>
  <c r="N861" i="23"/>
  <c r="S861" i="23" s="1"/>
  <c r="J861" i="23"/>
  <c r="R860" i="23"/>
  <c r="O860" i="23"/>
  <c r="N860" i="23"/>
  <c r="S860" i="23" s="1"/>
  <c r="U860" i="23" s="1"/>
  <c r="J860" i="23"/>
  <c r="R859" i="23"/>
  <c r="O859" i="23"/>
  <c r="N859" i="23"/>
  <c r="S859" i="23" s="1"/>
  <c r="J859" i="23"/>
  <c r="R858" i="23"/>
  <c r="O858" i="23"/>
  <c r="N858" i="23"/>
  <c r="S858" i="23" s="1"/>
  <c r="U858" i="23" s="1"/>
  <c r="J858" i="23"/>
  <c r="R857" i="23"/>
  <c r="O857" i="23"/>
  <c r="N857" i="23"/>
  <c r="P857" i="23" s="1"/>
  <c r="J857" i="23"/>
  <c r="R856" i="23"/>
  <c r="O856" i="23"/>
  <c r="N856" i="23"/>
  <c r="S856" i="23" s="1"/>
  <c r="U856" i="23" s="1"/>
  <c r="J856" i="23"/>
  <c r="R855" i="23"/>
  <c r="O855" i="23"/>
  <c r="N855" i="23"/>
  <c r="J855" i="23"/>
  <c r="R854" i="23"/>
  <c r="O854" i="23"/>
  <c r="N854" i="23"/>
  <c r="S854" i="23" s="1"/>
  <c r="U854" i="23" s="1"/>
  <c r="J854" i="23"/>
  <c r="R853" i="23"/>
  <c r="O853" i="23"/>
  <c r="N853" i="23"/>
  <c r="S853" i="23" s="1"/>
  <c r="J853" i="23"/>
  <c r="R852" i="23"/>
  <c r="O852" i="23"/>
  <c r="N852" i="23"/>
  <c r="S852" i="23" s="1"/>
  <c r="U852" i="23" s="1"/>
  <c r="J852" i="23"/>
  <c r="R851" i="23"/>
  <c r="O851" i="23"/>
  <c r="N851" i="23"/>
  <c r="S851" i="23" s="1"/>
  <c r="J851" i="23"/>
  <c r="R850" i="23"/>
  <c r="O850" i="23"/>
  <c r="N850" i="23"/>
  <c r="S850" i="23" s="1"/>
  <c r="U850" i="23" s="1"/>
  <c r="J850" i="23"/>
  <c r="R849" i="23"/>
  <c r="O849" i="23"/>
  <c r="N849" i="23"/>
  <c r="P849" i="23" s="1"/>
  <c r="J849" i="23"/>
  <c r="R848" i="23"/>
  <c r="O848" i="23"/>
  <c r="N848" i="23"/>
  <c r="S848" i="23" s="1"/>
  <c r="U848" i="23" s="1"/>
  <c r="J848" i="23"/>
  <c r="R847" i="23"/>
  <c r="O847" i="23"/>
  <c r="N847" i="23"/>
  <c r="P847" i="23" s="1"/>
  <c r="J847" i="23"/>
  <c r="R846" i="23"/>
  <c r="O846" i="23"/>
  <c r="N846" i="23"/>
  <c r="S846" i="23" s="1"/>
  <c r="U846" i="23" s="1"/>
  <c r="J846" i="23"/>
  <c r="R845" i="23"/>
  <c r="O845" i="23"/>
  <c r="N845" i="23"/>
  <c r="S845" i="23" s="1"/>
  <c r="J845" i="23"/>
  <c r="R844" i="23"/>
  <c r="O844" i="23"/>
  <c r="N844" i="23"/>
  <c r="S844" i="23" s="1"/>
  <c r="U844" i="23" s="1"/>
  <c r="J844" i="23"/>
  <c r="R843" i="23"/>
  <c r="O843" i="23"/>
  <c r="N843" i="23"/>
  <c r="S843" i="23" s="1"/>
  <c r="J843" i="23"/>
  <c r="R842" i="23"/>
  <c r="O842" i="23"/>
  <c r="N842" i="23"/>
  <c r="S842" i="23" s="1"/>
  <c r="U842" i="23" s="1"/>
  <c r="J842" i="23"/>
  <c r="R841" i="23"/>
  <c r="O841" i="23"/>
  <c r="N841" i="23"/>
  <c r="J841" i="23"/>
  <c r="U840" i="23"/>
  <c r="T840" i="23"/>
  <c r="P840" i="23"/>
  <c r="O840" i="23"/>
  <c r="R839" i="23"/>
  <c r="O839" i="23"/>
  <c r="N839" i="23"/>
  <c r="S839" i="23" s="1"/>
  <c r="U839" i="23" s="1"/>
  <c r="K839" i="23"/>
  <c r="T839" i="23" s="1"/>
  <c r="R838" i="23"/>
  <c r="O838" i="23"/>
  <c r="N838" i="23"/>
  <c r="S838" i="23" s="1"/>
  <c r="K838" i="23"/>
  <c r="T838" i="23" s="1"/>
  <c r="R837" i="23"/>
  <c r="O837" i="23"/>
  <c r="N837" i="23"/>
  <c r="S837" i="23" s="1"/>
  <c r="U837" i="23" s="1"/>
  <c r="K837" i="23"/>
  <c r="R836" i="23"/>
  <c r="O836" i="23"/>
  <c r="N836" i="23"/>
  <c r="S836" i="23" s="1"/>
  <c r="K836" i="23"/>
  <c r="R835" i="23"/>
  <c r="O835" i="23"/>
  <c r="N835" i="23"/>
  <c r="P835" i="23" s="1"/>
  <c r="K835" i="23"/>
  <c r="T835" i="23" s="1"/>
  <c r="R834" i="23"/>
  <c r="O834" i="23"/>
  <c r="N834" i="23"/>
  <c r="S834" i="23" s="1"/>
  <c r="K834" i="23"/>
  <c r="T834" i="23" s="1"/>
  <c r="R833" i="23"/>
  <c r="O833" i="23"/>
  <c r="N833" i="23"/>
  <c r="S833" i="23" s="1"/>
  <c r="U833" i="23" s="1"/>
  <c r="K833" i="23"/>
  <c r="T833" i="23" s="1"/>
  <c r="R832" i="23"/>
  <c r="O832" i="23"/>
  <c r="N832" i="23"/>
  <c r="S832" i="23" s="1"/>
  <c r="K832" i="23"/>
  <c r="T832" i="23" s="1"/>
  <c r="R831" i="23"/>
  <c r="O831" i="23"/>
  <c r="N831" i="23"/>
  <c r="S831" i="23" s="1"/>
  <c r="U831" i="23" s="1"/>
  <c r="K831" i="23"/>
  <c r="R830" i="23"/>
  <c r="O830" i="23"/>
  <c r="N830" i="23"/>
  <c r="S830" i="23" s="1"/>
  <c r="K830" i="23"/>
  <c r="R829" i="23"/>
  <c r="O829" i="23"/>
  <c r="N829" i="23"/>
  <c r="P829" i="23" s="1"/>
  <c r="K829" i="23"/>
  <c r="T829" i="23" s="1"/>
  <c r="R828" i="23"/>
  <c r="O828" i="23"/>
  <c r="N828" i="23"/>
  <c r="P828" i="23" s="1"/>
  <c r="K828" i="23"/>
  <c r="T828" i="23" s="1"/>
  <c r="R827" i="23"/>
  <c r="O827" i="23"/>
  <c r="N827" i="23"/>
  <c r="S827" i="23" s="1"/>
  <c r="K827" i="23"/>
  <c r="R826" i="23"/>
  <c r="O826" i="23"/>
  <c r="N826" i="23"/>
  <c r="S826" i="23" s="1"/>
  <c r="K826" i="23"/>
  <c r="T826" i="23" s="1"/>
  <c r="R825" i="23"/>
  <c r="O825" i="23"/>
  <c r="N825" i="23"/>
  <c r="K825" i="23"/>
  <c r="T825" i="23" s="1"/>
  <c r="R824" i="23"/>
  <c r="O824" i="23"/>
  <c r="N824" i="23"/>
  <c r="S824" i="23" s="1"/>
  <c r="K824" i="23"/>
  <c r="T824" i="23" s="1"/>
  <c r="R823" i="23"/>
  <c r="O823" i="23"/>
  <c r="N823" i="23"/>
  <c r="S823" i="23" s="1"/>
  <c r="U823" i="23" s="1"/>
  <c r="K823" i="23"/>
  <c r="R822" i="23"/>
  <c r="O822" i="23"/>
  <c r="N822" i="23"/>
  <c r="S822" i="23" s="1"/>
  <c r="K822" i="23"/>
  <c r="R821" i="23"/>
  <c r="O821" i="23"/>
  <c r="N821" i="23"/>
  <c r="P821" i="23" s="1"/>
  <c r="K821" i="23"/>
  <c r="T821" i="23" s="1"/>
  <c r="R820" i="23"/>
  <c r="O820" i="23"/>
  <c r="N820" i="23"/>
  <c r="K820" i="23"/>
  <c r="T820" i="23" s="1"/>
  <c r="R819" i="23"/>
  <c r="O819" i="23"/>
  <c r="N819" i="23"/>
  <c r="P819" i="23" s="1"/>
  <c r="K819" i="23"/>
  <c r="R818" i="23"/>
  <c r="O818" i="23"/>
  <c r="N818" i="23"/>
  <c r="P818" i="23" s="1"/>
  <c r="K818" i="23"/>
  <c r="T818" i="23" s="1"/>
  <c r="R817" i="23"/>
  <c r="O817" i="23"/>
  <c r="N817" i="23"/>
  <c r="S817" i="23" s="1"/>
  <c r="U817" i="23" s="1"/>
  <c r="K817" i="23"/>
  <c r="T817" i="23" s="1"/>
  <c r="R816" i="23"/>
  <c r="O816" i="23"/>
  <c r="N816" i="23"/>
  <c r="S816" i="23" s="1"/>
  <c r="K816" i="23"/>
  <c r="T816" i="23" s="1"/>
  <c r="R815" i="23"/>
  <c r="O815" i="23"/>
  <c r="N815" i="23"/>
  <c r="S815" i="23" s="1"/>
  <c r="U815" i="23" s="1"/>
  <c r="K815" i="23"/>
  <c r="R814" i="23"/>
  <c r="O814" i="23"/>
  <c r="N814" i="23"/>
  <c r="S814" i="23" s="1"/>
  <c r="K814" i="23"/>
  <c r="R813" i="23"/>
  <c r="O813" i="23"/>
  <c r="N813" i="23"/>
  <c r="K813" i="23"/>
  <c r="T813" i="23" s="1"/>
  <c r="R812" i="23"/>
  <c r="O812" i="23"/>
  <c r="N812" i="23"/>
  <c r="K812" i="23"/>
  <c r="T812" i="23" s="1"/>
  <c r="R811" i="23"/>
  <c r="O811" i="23"/>
  <c r="N811" i="23"/>
  <c r="S811" i="23" s="1"/>
  <c r="K811" i="23"/>
  <c r="R810" i="23"/>
  <c r="O810" i="23"/>
  <c r="N810" i="23"/>
  <c r="K810" i="23"/>
  <c r="T810" i="23" s="1"/>
  <c r="R809" i="23"/>
  <c r="O809" i="23"/>
  <c r="N809" i="23"/>
  <c r="S809" i="23" s="1"/>
  <c r="U809" i="23" s="1"/>
  <c r="K809" i="23"/>
  <c r="T809" i="23" s="1"/>
  <c r="R808" i="23"/>
  <c r="O808" i="23"/>
  <c r="N808" i="23"/>
  <c r="S808" i="23" s="1"/>
  <c r="K808" i="23"/>
  <c r="T808" i="23" s="1"/>
  <c r="U807" i="23"/>
  <c r="T807" i="23"/>
  <c r="P807" i="23"/>
  <c r="O807" i="23"/>
  <c r="N807" i="23"/>
  <c r="R806" i="23"/>
  <c r="O806" i="23"/>
  <c r="N806" i="23"/>
  <c r="P806" i="23" s="1"/>
  <c r="I806" i="23"/>
  <c r="J806" i="23" s="1"/>
  <c r="R805" i="23"/>
  <c r="O805" i="23"/>
  <c r="N805" i="23"/>
  <c r="J805" i="23"/>
  <c r="I805" i="23"/>
  <c r="R804" i="23"/>
  <c r="O804" i="23"/>
  <c r="N804" i="23"/>
  <c r="S804" i="23" s="1"/>
  <c r="J804" i="23"/>
  <c r="I804" i="23"/>
  <c r="R803" i="23"/>
  <c r="O803" i="23"/>
  <c r="N803" i="23"/>
  <c r="S803" i="23" s="1"/>
  <c r="U803" i="23" s="1"/>
  <c r="J803" i="23"/>
  <c r="I803" i="23"/>
  <c r="R802" i="23"/>
  <c r="O802" i="23"/>
  <c r="N802" i="23"/>
  <c r="S802" i="23" s="1"/>
  <c r="I802" i="23"/>
  <c r="J802" i="23" s="1"/>
  <c r="R801" i="23"/>
  <c r="O801" i="23"/>
  <c r="N801" i="23"/>
  <c r="S801" i="23" s="1"/>
  <c r="U801" i="23" s="1"/>
  <c r="I801" i="23"/>
  <c r="R800" i="23"/>
  <c r="O800" i="23"/>
  <c r="N800" i="23"/>
  <c r="S800" i="23" s="1"/>
  <c r="I800" i="23"/>
  <c r="J800" i="23" s="1"/>
  <c r="R799" i="23"/>
  <c r="O799" i="23"/>
  <c r="N799" i="23"/>
  <c r="P799" i="23" s="1"/>
  <c r="I799" i="23"/>
  <c r="J799" i="23" s="1"/>
  <c r="R798" i="23"/>
  <c r="O798" i="23"/>
  <c r="N798" i="23"/>
  <c r="P798" i="23" s="1"/>
  <c r="I798" i="23"/>
  <c r="J798" i="23" s="1"/>
  <c r="R797" i="23"/>
  <c r="O797" i="23"/>
  <c r="N797" i="23"/>
  <c r="S797" i="23" s="1"/>
  <c r="U797" i="23" s="1"/>
  <c r="Z797" i="23" s="1"/>
  <c r="J797" i="23"/>
  <c r="R796" i="23"/>
  <c r="O796" i="23"/>
  <c r="N796" i="23"/>
  <c r="S796" i="23" s="1"/>
  <c r="U796" i="23" s="1"/>
  <c r="J796" i="23"/>
  <c r="R795" i="23"/>
  <c r="O795" i="23"/>
  <c r="N795" i="23"/>
  <c r="J795" i="23"/>
  <c r="R794" i="23"/>
  <c r="J794" i="23"/>
  <c r="R793" i="23"/>
  <c r="O793" i="23"/>
  <c r="N793" i="23"/>
  <c r="S793" i="23" s="1"/>
  <c r="U793" i="23" s="1"/>
  <c r="Z793" i="23" s="1"/>
  <c r="J793" i="23"/>
  <c r="R792" i="23"/>
  <c r="O792" i="23"/>
  <c r="N792" i="23"/>
  <c r="S792" i="23" s="1"/>
  <c r="U792" i="23" s="1"/>
  <c r="J792" i="23"/>
  <c r="R791" i="23"/>
  <c r="O791" i="23"/>
  <c r="N791" i="23"/>
  <c r="P791" i="23" s="1"/>
  <c r="J791" i="23"/>
  <c r="R790" i="23"/>
  <c r="O790" i="23"/>
  <c r="N790" i="23"/>
  <c r="S790" i="23" s="1"/>
  <c r="U790" i="23" s="1"/>
  <c r="J790" i="23"/>
  <c r="R789" i="23"/>
  <c r="O789" i="23"/>
  <c r="N789" i="23"/>
  <c r="S789" i="23" s="1"/>
  <c r="U789" i="23" s="1"/>
  <c r="Z789" i="23" s="1"/>
  <c r="J789" i="23"/>
  <c r="U788" i="23"/>
  <c r="T788" i="23"/>
  <c r="O788" i="23"/>
  <c r="N788" i="23"/>
  <c r="P788" i="23" s="1"/>
  <c r="K788" i="23"/>
  <c r="H788" i="23"/>
  <c r="U787" i="23"/>
  <c r="T787" i="23"/>
  <c r="O787" i="23"/>
  <c r="N787" i="23"/>
  <c r="P787" i="23" s="1"/>
  <c r="K787" i="23"/>
  <c r="H787" i="23"/>
  <c r="U786" i="23"/>
  <c r="T786" i="23"/>
  <c r="O786" i="23"/>
  <c r="N786" i="23"/>
  <c r="P786" i="23" s="1"/>
  <c r="K786" i="23"/>
  <c r="H786" i="23"/>
  <c r="R785" i="23"/>
  <c r="O785" i="23"/>
  <c r="N785" i="23"/>
  <c r="U784" i="23"/>
  <c r="T784" i="23"/>
  <c r="O784" i="23"/>
  <c r="N784" i="23"/>
  <c r="P784" i="23" s="1"/>
  <c r="K784" i="23"/>
  <c r="H784" i="23"/>
  <c r="U783" i="23"/>
  <c r="T783" i="23"/>
  <c r="O783" i="23"/>
  <c r="N783" i="23"/>
  <c r="P783" i="23" s="1"/>
  <c r="K783" i="23"/>
  <c r="H783" i="23"/>
  <c r="U782" i="23"/>
  <c r="T782" i="23"/>
  <c r="O782" i="23"/>
  <c r="N782" i="23"/>
  <c r="P782" i="23" s="1"/>
  <c r="K782" i="23"/>
  <c r="H782" i="23"/>
  <c r="H781" i="23" s="1"/>
  <c r="J781" i="23" s="1"/>
  <c r="R781" i="23"/>
  <c r="O781" i="23"/>
  <c r="N781" i="23"/>
  <c r="P781" i="23" s="1"/>
  <c r="U780" i="23"/>
  <c r="T780" i="23"/>
  <c r="P780" i="23"/>
  <c r="O780" i="23"/>
  <c r="R779" i="23"/>
  <c r="O779" i="23"/>
  <c r="N779" i="23"/>
  <c r="S779" i="23" s="1"/>
  <c r="K779" i="23"/>
  <c r="R778" i="23"/>
  <c r="O778" i="23"/>
  <c r="N778" i="23"/>
  <c r="S778" i="23" s="1"/>
  <c r="K778" i="23"/>
  <c r="R777" i="23"/>
  <c r="O777" i="23"/>
  <c r="N777" i="23"/>
  <c r="S777" i="23" s="1"/>
  <c r="K777" i="23"/>
  <c r="R776" i="23"/>
  <c r="O776" i="23"/>
  <c r="N776" i="23"/>
  <c r="K776" i="23"/>
  <c r="R775" i="23"/>
  <c r="O775" i="23"/>
  <c r="N775" i="23"/>
  <c r="K775" i="23"/>
  <c r="R774" i="23"/>
  <c r="O774" i="23"/>
  <c r="N774" i="23"/>
  <c r="K774" i="23"/>
  <c r="R773" i="23"/>
  <c r="O773" i="23"/>
  <c r="N773" i="23"/>
  <c r="S773" i="23" s="1"/>
  <c r="K773" i="23"/>
  <c r="R772" i="23"/>
  <c r="O772" i="23"/>
  <c r="N772" i="23"/>
  <c r="S772" i="23" s="1"/>
  <c r="K772" i="23"/>
  <c r="R771" i="23"/>
  <c r="O771" i="23"/>
  <c r="N771" i="23"/>
  <c r="S771" i="23" s="1"/>
  <c r="K771" i="23"/>
  <c r="R770" i="23"/>
  <c r="O770" i="23"/>
  <c r="N770" i="23"/>
  <c r="K770" i="23"/>
  <c r="R769" i="23"/>
  <c r="O769" i="23"/>
  <c r="N769" i="23"/>
  <c r="K769" i="23"/>
  <c r="R768" i="23"/>
  <c r="O768" i="23"/>
  <c r="N768" i="23"/>
  <c r="P768" i="23" s="1"/>
  <c r="K768" i="23"/>
  <c r="R767" i="23"/>
  <c r="O767" i="23"/>
  <c r="N767" i="23"/>
  <c r="S767" i="23" s="1"/>
  <c r="K767" i="23"/>
  <c r="R766" i="23"/>
  <c r="O766" i="23"/>
  <c r="N766" i="23"/>
  <c r="K766" i="23"/>
  <c r="R765" i="23"/>
  <c r="O765" i="23"/>
  <c r="N765" i="23"/>
  <c r="S765" i="23" s="1"/>
  <c r="K765" i="23"/>
  <c r="R764" i="23"/>
  <c r="O764" i="23"/>
  <c r="N764" i="23"/>
  <c r="S764" i="23" s="1"/>
  <c r="K764" i="23"/>
  <c r="R763" i="23"/>
  <c r="O763" i="23"/>
  <c r="N763" i="23"/>
  <c r="S763" i="23" s="1"/>
  <c r="K763" i="23"/>
  <c r="R762" i="23"/>
  <c r="O762" i="23"/>
  <c r="N762" i="23"/>
  <c r="S762" i="23" s="1"/>
  <c r="K762" i="23"/>
  <c r="R761" i="23"/>
  <c r="O761" i="23"/>
  <c r="N761" i="23"/>
  <c r="S761" i="23" s="1"/>
  <c r="K761" i="23"/>
  <c r="R760" i="23"/>
  <c r="O760" i="23"/>
  <c r="N760" i="23"/>
  <c r="P760" i="23" s="1"/>
  <c r="K760" i="23"/>
  <c r="R759" i="23"/>
  <c r="O759" i="23"/>
  <c r="N759" i="23"/>
  <c r="K759" i="23"/>
  <c r="R758" i="23"/>
  <c r="O758" i="23"/>
  <c r="N758" i="23"/>
  <c r="P758" i="23" s="1"/>
  <c r="K758" i="23"/>
  <c r="R757" i="23"/>
  <c r="O757" i="23"/>
  <c r="N757" i="23"/>
  <c r="K757" i="23"/>
  <c r="R756" i="23"/>
  <c r="O756" i="23"/>
  <c r="N756" i="23"/>
  <c r="S756" i="23" s="1"/>
  <c r="K756" i="23"/>
  <c r="R755" i="23"/>
  <c r="O755" i="23"/>
  <c r="N755" i="23"/>
  <c r="S755" i="23" s="1"/>
  <c r="K755" i="23"/>
  <c r="R754" i="23"/>
  <c r="O754" i="23"/>
  <c r="N754" i="23"/>
  <c r="S754" i="23" s="1"/>
  <c r="K754" i="23"/>
  <c r="R753" i="23"/>
  <c r="O753" i="23"/>
  <c r="N753" i="23"/>
  <c r="S753" i="23" s="1"/>
  <c r="K753" i="23"/>
  <c r="R752" i="23"/>
  <c r="O752" i="23"/>
  <c r="N752" i="23"/>
  <c r="P752" i="23" s="1"/>
  <c r="K752" i="23"/>
  <c r="R751" i="23"/>
  <c r="O751" i="23"/>
  <c r="N751" i="23"/>
  <c r="S751" i="23" s="1"/>
  <c r="K751" i="23"/>
  <c r="R750" i="23"/>
  <c r="O750" i="23"/>
  <c r="N750" i="23"/>
  <c r="S750" i="23" s="1"/>
  <c r="K750" i="23"/>
  <c r="R749" i="23"/>
  <c r="O749" i="23"/>
  <c r="N749" i="23"/>
  <c r="S749" i="23" s="1"/>
  <c r="K749" i="23"/>
  <c r="R748" i="23"/>
  <c r="U747" i="23"/>
  <c r="T747" i="23"/>
  <c r="O747" i="23"/>
  <c r="N747" i="23"/>
  <c r="P747" i="23" s="1"/>
  <c r="R746" i="23"/>
  <c r="O746" i="23"/>
  <c r="N746" i="23"/>
  <c r="J746" i="23"/>
  <c r="R745" i="23"/>
  <c r="O745" i="23"/>
  <c r="N745" i="23"/>
  <c r="S745" i="23" s="1"/>
  <c r="J745" i="23"/>
  <c r="R744" i="23"/>
  <c r="O744" i="23"/>
  <c r="N744" i="23"/>
  <c r="P744" i="23" s="1"/>
  <c r="J744" i="23"/>
  <c r="R743" i="23"/>
  <c r="O743" i="23"/>
  <c r="N743" i="23"/>
  <c r="S743" i="23" s="1"/>
  <c r="J743" i="23"/>
  <c r="R742" i="23"/>
  <c r="J742" i="23"/>
  <c r="R741" i="23"/>
  <c r="O741" i="23"/>
  <c r="N741" i="23"/>
  <c r="S741" i="23" s="1"/>
  <c r="J741" i="23"/>
  <c r="R740" i="23"/>
  <c r="O740" i="23"/>
  <c r="N740" i="23"/>
  <c r="P740" i="23" s="1"/>
  <c r="J740" i="23"/>
  <c r="R739" i="23"/>
  <c r="O739" i="23"/>
  <c r="N739" i="23"/>
  <c r="S739" i="23" s="1"/>
  <c r="J739" i="23"/>
  <c r="R738" i="23"/>
  <c r="O738" i="23"/>
  <c r="N738" i="23"/>
  <c r="J738" i="23"/>
  <c r="R737" i="23"/>
  <c r="O737" i="23"/>
  <c r="N737" i="23"/>
  <c r="S737" i="23" s="1"/>
  <c r="J737" i="23"/>
  <c r="R736" i="23"/>
  <c r="O736" i="23"/>
  <c r="N736" i="23"/>
  <c r="J736" i="23"/>
  <c r="R735" i="23"/>
  <c r="O735" i="23"/>
  <c r="N735" i="23"/>
  <c r="S735" i="23" s="1"/>
  <c r="J735" i="23"/>
  <c r="R734" i="23"/>
  <c r="O734" i="23"/>
  <c r="N734" i="23"/>
  <c r="P734" i="23" s="1"/>
  <c r="J734" i="23"/>
  <c r="R733" i="23"/>
  <c r="O733" i="23"/>
  <c r="N733" i="23"/>
  <c r="S733" i="23" s="1"/>
  <c r="H733" i="23"/>
  <c r="J733" i="23" s="1"/>
  <c r="R732" i="23"/>
  <c r="O732" i="23"/>
  <c r="N732" i="23"/>
  <c r="S732" i="23" s="1"/>
  <c r="U732" i="23" s="1"/>
  <c r="H732" i="23"/>
  <c r="J732" i="23" s="1"/>
  <c r="R731" i="23"/>
  <c r="O731" i="23"/>
  <c r="N731" i="23"/>
  <c r="S731" i="23" s="1"/>
  <c r="H731" i="23"/>
  <c r="J731" i="23" s="1"/>
  <c r="R730" i="23"/>
  <c r="O730" i="23"/>
  <c r="N730" i="23"/>
  <c r="S730" i="23" s="1"/>
  <c r="H730" i="23"/>
  <c r="J730" i="23" s="1"/>
  <c r="R729" i="23"/>
  <c r="O729" i="23"/>
  <c r="N729" i="23"/>
  <c r="H729" i="23"/>
  <c r="J729" i="23" s="1"/>
  <c r="R728" i="23"/>
  <c r="O728" i="23"/>
  <c r="N728" i="23"/>
  <c r="P728" i="23" s="1"/>
  <c r="J728" i="23"/>
  <c r="H728" i="23"/>
  <c r="R727" i="23"/>
  <c r="O727" i="23"/>
  <c r="N727" i="23"/>
  <c r="S727" i="23" s="1"/>
  <c r="H727" i="23"/>
  <c r="J727" i="23" s="1"/>
  <c r="R726" i="23"/>
  <c r="O726" i="23"/>
  <c r="N726" i="23"/>
  <c r="S726" i="23" s="1"/>
  <c r="G726" i="23"/>
  <c r="H726" i="23" s="1"/>
  <c r="J726" i="23" s="1"/>
  <c r="R725" i="23"/>
  <c r="O725" i="23"/>
  <c r="N725" i="23"/>
  <c r="P725" i="23" s="1"/>
  <c r="G725" i="23"/>
  <c r="H725" i="23" s="1"/>
  <c r="J725" i="23" s="1"/>
  <c r="R724" i="23"/>
  <c r="O724" i="23"/>
  <c r="N724" i="23"/>
  <c r="P724" i="23" s="1"/>
  <c r="G724" i="23"/>
  <c r="H724" i="23" s="1"/>
  <c r="J724" i="23" s="1"/>
  <c r="R723" i="23"/>
  <c r="O723" i="23"/>
  <c r="N723" i="23"/>
  <c r="H723" i="23"/>
  <c r="J723" i="23" s="1"/>
  <c r="G723" i="23"/>
  <c r="R722" i="23"/>
  <c r="O722" i="23"/>
  <c r="N722" i="23"/>
  <c r="S722" i="23" s="1"/>
  <c r="G722" i="23"/>
  <c r="H722" i="23" s="1"/>
  <c r="J722" i="23" s="1"/>
  <c r="R721" i="23"/>
  <c r="O721" i="23"/>
  <c r="N721" i="23"/>
  <c r="G721" i="23"/>
  <c r="H721" i="23" s="1"/>
  <c r="J721" i="23" s="1"/>
  <c r="R720" i="23"/>
  <c r="O720" i="23"/>
  <c r="N720" i="23"/>
  <c r="S720" i="23" s="1"/>
  <c r="H720" i="23"/>
  <c r="J720" i="23" s="1"/>
  <c r="R719" i="23"/>
  <c r="O719" i="23"/>
  <c r="N719" i="23"/>
  <c r="P719" i="23" s="1"/>
  <c r="H719" i="23"/>
  <c r="J719" i="23" s="1"/>
  <c r="R718" i="23"/>
  <c r="O718" i="23"/>
  <c r="N718" i="23"/>
  <c r="S718" i="23" s="1"/>
  <c r="H718" i="23"/>
  <c r="J718" i="23" s="1"/>
  <c r="R717" i="23"/>
  <c r="O717" i="23"/>
  <c r="N717" i="23"/>
  <c r="J717" i="23"/>
  <c r="H717" i="23"/>
  <c r="R716" i="23"/>
  <c r="O716" i="23"/>
  <c r="N716" i="23"/>
  <c r="S716" i="23" s="1"/>
  <c r="U716" i="23" s="1"/>
  <c r="H716" i="23"/>
  <c r="J716" i="23" s="1"/>
  <c r="M715" i="23"/>
  <c r="N715" i="23" s="1"/>
  <c r="H715" i="23"/>
  <c r="U714" i="23"/>
  <c r="T714" i="23"/>
  <c r="O714" i="23"/>
  <c r="N714" i="23"/>
  <c r="P714" i="23" s="1"/>
  <c r="H714" i="23"/>
  <c r="G714" i="23"/>
  <c r="U713" i="23"/>
  <c r="T713" i="23"/>
  <c r="O713" i="23"/>
  <c r="N713" i="23"/>
  <c r="P713" i="23" s="1"/>
  <c r="H713" i="23"/>
  <c r="U712" i="23"/>
  <c r="T712" i="23"/>
  <c r="O712" i="23"/>
  <c r="N712" i="23"/>
  <c r="P712" i="23" s="1"/>
  <c r="H712" i="23"/>
  <c r="U711" i="23"/>
  <c r="T711" i="23"/>
  <c r="O711" i="23"/>
  <c r="N711" i="23"/>
  <c r="P711" i="23" s="1"/>
  <c r="H711" i="23"/>
  <c r="R710" i="23"/>
  <c r="R715" i="23" s="1"/>
  <c r="O710" i="23"/>
  <c r="N710" i="23"/>
  <c r="P710" i="23" s="1"/>
  <c r="R709" i="23"/>
  <c r="M709" i="23"/>
  <c r="N709" i="23" s="1"/>
  <c r="H709" i="23"/>
  <c r="U708" i="23"/>
  <c r="T708" i="23"/>
  <c r="O708" i="23"/>
  <c r="N708" i="23"/>
  <c r="P708" i="23" s="1"/>
  <c r="G708" i="23"/>
  <c r="H708" i="23" s="1"/>
  <c r="U707" i="23"/>
  <c r="T707" i="23"/>
  <c r="O707" i="23"/>
  <c r="N707" i="23"/>
  <c r="P707" i="23" s="1"/>
  <c r="H707" i="23"/>
  <c r="U706" i="23"/>
  <c r="T706" i="23"/>
  <c r="O706" i="23"/>
  <c r="N706" i="23"/>
  <c r="P706" i="23" s="1"/>
  <c r="H706" i="23"/>
  <c r="U705" i="23"/>
  <c r="T705" i="23"/>
  <c r="O705" i="23"/>
  <c r="N705" i="23"/>
  <c r="P705" i="23" s="1"/>
  <c r="H705" i="23"/>
  <c r="R704" i="23"/>
  <c r="O704" i="23"/>
  <c r="N704" i="23"/>
  <c r="S704" i="23" s="1"/>
  <c r="U704" i="23" s="1"/>
  <c r="M703" i="23"/>
  <c r="N703" i="23" s="1"/>
  <c r="S703" i="23" s="1"/>
  <c r="H703" i="23"/>
  <c r="U702" i="23"/>
  <c r="T702" i="23"/>
  <c r="O702" i="23"/>
  <c r="N702" i="23"/>
  <c r="P702" i="23" s="1"/>
  <c r="G702" i="23"/>
  <c r="H702" i="23" s="1"/>
  <c r="U701" i="23"/>
  <c r="T701" i="23"/>
  <c r="O701" i="23"/>
  <c r="N701" i="23"/>
  <c r="P701" i="23" s="1"/>
  <c r="H701" i="23"/>
  <c r="U700" i="23"/>
  <c r="T700" i="23"/>
  <c r="O700" i="23"/>
  <c r="N700" i="23"/>
  <c r="P700" i="23" s="1"/>
  <c r="H700" i="23"/>
  <c r="U699" i="23"/>
  <c r="T699" i="23"/>
  <c r="O699" i="23"/>
  <c r="N699" i="23"/>
  <c r="P699" i="23" s="1"/>
  <c r="H699" i="23"/>
  <c r="R698" i="23"/>
  <c r="R703" i="23" s="1"/>
  <c r="O698" i="23"/>
  <c r="N698" i="23"/>
  <c r="S698" i="23" s="1"/>
  <c r="M697" i="23"/>
  <c r="N697" i="23" s="1"/>
  <c r="S697" i="23" s="1"/>
  <c r="H697" i="23"/>
  <c r="U696" i="23"/>
  <c r="T696" i="23"/>
  <c r="O696" i="23"/>
  <c r="N696" i="23"/>
  <c r="P696" i="23" s="1"/>
  <c r="H696" i="23"/>
  <c r="U695" i="23"/>
  <c r="T695" i="23"/>
  <c r="O695" i="23"/>
  <c r="N695" i="23"/>
  <c r="P695" i="23" s="1"/>
  <c r="H695" i="23"/>
  <c r="U694" i="23"/>
  <c r="T694" i="23"/>
  <c r="O694" i="23"/>
  <c r="N694" i="23"/>
  <c r="P694" i="23" s="1"/>
  <c r="H694" i="23"/>
  <c r="U693" i="23"/>
  <c r="T693" i="23"/>
  <c r="O693" i="23"/>
  <c r="N693" i="23"/>
  <c r="P693" i="23" s="1"/>
  <c r="H693" i="23"/>
  <c r="R692" i="23"/>
  <c r="R697" i="23" s="1"/>
  <c r="O692" i="23"/>
  <c r="N692" i="23"/>
  <c r="S692" i="23" s="1"/>
  <c r="M691" i="23"/>
  <c r="N691" i="23" s="1"/>
  <c r="H691" i="23"/>
  <c r="U690" i="23"/>
  <c r="T690" i="23"/>
  <c r="O690" i="23"/>
  <c r="N690" i="23"/>
  <c r="P690" i="23" s="1"/>
  <c r="H690" i="23"/>
  <c r="G690" i="23"/>
  <c r="U689" i="23"/>
  <c r="T689" i="23"/>
  <c r="O689" i="23"/>
  <c r="N689" i="23"/>
  <c r="P689" i="23" s="1"/>
  <c r="H689" i="23"/>
  <c r="U688" i="23"/>
  <c r="T688" i="23"/>
  <c r="O688" i="23"/>
  <c r="N688" i="23"/>
  <c r="P688" i="23" s="1"/>
  <c r="H688" i="23"/>
  <c r="U687" i="23"/>
  <c r="T687" i="23"/>
  <c r="O687" i="23"/>
  <c r="N687" i="23"/>
  <c r="P687" i="23" s="1"/>
  <c r="H687" i="23"/>
  <c r="R686" i="23"/>
  <c r="R691" i="23" s="1"/>
  <c r="O686" i="23"/>
  <c r="N686" i="23"/>
  <c r="S686" i="23" s="1"/>
  <c r="M685" i="23"/>
  <c r="H685" i="23"/>
  <c r="U684" i="23"/>
  <c r="T684" i="23"/>
  <c r="O684" i="23"/>
  <c r="N684" i="23"/>
  <c r="P684" i="23" s="1"/>
  <c r="G684" i="23"/>
  <c r="H684" i="23" s="1"/>
  <c r="U683" i="23"/>
  <c r="T683" i="23"/>
  <c r="O683" i="23"/>
  <c r="N683" i="23"/>
  <c r="P683" i="23" s="1"/>
  <c r="H683" i="23"/>
  <c r="U682" i="23"/>
  <c r="T682" i="23"/>
  <c r="O682" i="23"/>
  <c r="N682" i="23"/>
  <c r="P682" i="23" s="1"/>
  <c r="J682" i="23"/>
  <c r="H682" i="23"/>
  <c r="U681" i="23"/>
  <c r="T681" i="23"/>
  <c r="O681" i="23"/>
  <c r="N681" i="23"/>
  <c r="P681" i="23" s="1"/>
  <c r="H681" i="23"/>
  <c r="R680" i="23"/>
  <c r="R685" i="23" s="1"/>
  <c r="O680" i="23"/>
  <c r="N680" i="23"/>
  <c r="S680" i="23" s="1"/>
  <c r="U680" i="23" s="1"/>
  <c r="M679" i="23"/>
  <c r="N679" i="23" s="1"/>
  <c r="H679" i="23"/>
  <c r="U678" i="23"/>
  <c r="T678" i="23"/>
  <c r="O678" i="23"/>
  <c r="N678" i="23"/>
  <c r="P678" i="23" s="1"/>
  <c r="G678" i="23"/>
  <c r="H678" i="23" s="1"/>
  <c r="U677" i="23"/>
  <c r="T677" i="23"/>
  <c r="O677" i="23"/>
  <c r="N677" i="23"/>
  <c r="P677" i="23" s="1"/>
  <c r="H677" i="23"/>
  <c r="U676" i="23"/>
  <c r="T676" i="23"/>
  <c r="O676" i="23"/>
  <c r="N676" i="23"/>
  <c r="P676" i="23" s="1"/>
  <c r="H676" i="23"/>
  <c r="J676" i="23" s="1"/>
  <c r="U675" i="23"/>
  <c r="T675" i="23"/>
  <c r="O675" i="23"/>
  <c r="N675" i="23"/>
  <c r="P675" i="23" s="1"/>
  <c r="H675" i="23"/>
  <c r="R674" i="23"/>
  <c r="R679" i="23" s="1"/>
  <c r="O674" i="23"/>
  <c r="N674" i="23"/>
  <c r="S674" i="23" s="1"/>
  <c r="N673" i="23"/>
  <c r="S673" i="23" s="1"/>
  <c r="M673" i="23"/>
  <c r="H673" i="23"/>
  <c r="U672" i="23"/>
  <c r="T672" i="23"/>
  <c r="O672" i="23"/>
  <c r="N672" i="23"/>
  <c r="P672" i="23" s="1"/>
  <c r="G672" i="23"/>
  <c r="H672" i="23" s="1"/>
  <c r="U671" i="23"/>
  <c r="T671" i="23"/>
  <c r="O671" i="23"/>
  <c r="N671" i="23"/>
  <c r="P671" i="23" s="1"/>
  <c r="H671" i="23"/>
  <c r="U670" i="23"/>
  <c r="T670" i="23"/>
  <c r="O670" i="23"/>
  <c r="N670" i="23"/>
  <c r="P670" i="23" s="1"/>
  <c r="H670" i="23"/>
  <c r="J670" i="23" s="1"/>
  <c r="U669" i="23"/>
  <c r="T669" i="23"/>
  <c r="O669" i="23"/>
  <c r="N669" i="23"/>
  <c r="P669" i="23" s="1"/>
  <c r="H669" i="23"/>
  <c r="R668" i="23"/>
  <c r="R673" i="23" s="1"/>
  <c r="O668" i="23"/>
  <c r="N668" i="23"/>
  <c r="N667" i="23"/>
  <c r="S667" i="23" s="1"/>
  <c r="M667" i="23"/>
  <c r="H667" i="23"/>
  <c r="U666" i="23"/>
  <c r="T666" i="23"/>
  <c r="O666" i="23"/>
  <c r="N666" i="23"/>
  <c r="P666" i="23" s="1"/>
  <c r="G666" i="23"/>
  <c r="H666" i="23" s="1"/>
  <c r="U665" i="23"/>
  <c r="T665" i="23"/>
  <c r="O665" i="23"/>
  <c r="N665" i="23"/>
  <c r="P665" i="23" s="1"/>
  <c r="H665" i="23"/>
  <c r="U664" i="23"/>
  <c r="T664" i="23"/>
  <c r="O664" i="23"/>
  <c r="N664" i="23"/>
  <c r="P664" i="23" s="1"/>
  <c r="H664" i="23"/>
  <c r="J664" i="23" s="1"/>
  <c r="U663" i="23"/>
  <c r="T663" i="23"/>
  <c r="O663" i="23"/>
  <c r="N663" i="23"/>
  <c r="P663" i="23" s="1"/>
  <c r="H663" i="23"/>
  <c r="R662" i="23"/>
  <c r="R667" i="23" s="1"/>
  <c r="O662" i="23"/>
  <c r="N662" i="23"/>
  <c r="M661" i="23"/>
  <c r="H661" i="23"/>
  <c r="U660" i="23"/>
  <c r="T660" i="23"/>
  <c r="O660" i="23"/>
  <c r="N660" i="23"/>
  <c r="P660" i="23" s="1"/>
  <c r="G660" i="23"/>
  <c r="H660" i="23" s="1"/>
  <c r="U659" i="23"/>
  <c r="T659" i="23"/>
  <c r="O659" i="23"/>
  <c r="N659" i="23"/>
  <c r="P659" i="23" s="1"/>
  <c r="H659" i="23"/>
  <c r="U658" i="23"/>
  <c r="T658" i="23"/>
  <c r="O658" i="23"/>
  <c r="N658" i="23"/>
  <c r="P658" i="23" s="1"/>
  <c r="J658" i="23"/>
  <c r="H658" i="23"/>
  <c r="U657" i="23"/>
  <c r="T657" i="23"/>
  <c r="O657" i="23"/>
  <c r="N657" i="23"/>
  <c r="P657" i="23" s="1"/>
  <c r="H657" i="23"/>
  <c r="J657" i="23" s="1"/>
  <c r="R656" i="23"/>
  <c r="R661" i="23" s="1"/>
  <c r="O656" i="23"/>
  <c r="N656" i="23"/>
  <c r="P656" i="23" s="1"/>
  <c r="M655" i="23"/>
  <c r="N655" i="23" s="1"/>
  <c r="H655" i="23"/>
  <c r="U654" i="23"/>
  <c r="T654" i="23"/>
  <c r="O654" i="23"/>
  <c r="N654" i="23"/>
  <c r="P654" i="23" s="1"/>
  <c r="G654" i="23"/>
  <c r="H654" i="23" s="1"/>
  <c r="U653" i="23"/>
  <c r="T653" i="23"/>
  <c r="O653" i="23"/>
  <c r="N653" i="23"/>
  <c r="P653" i="23" s="1"/>
  <c r="H653" i="23"/>
  <c r="U652" i="23"/>
  <c r="T652" i="23"/>
  <c r="O652" i="23"/>
  <c r="N652" i="23"/>
  <c r="P652" i="23" s="1"/>
  <c r="H652" i="23"/>
  <c r="J652" i="23" s="1"/>
  <c r="U651" i="23"/>
  <c r="T651" i="23"/>
  <c r="O651" i="23"/>
  <c r="N651" i="23"/>
  <c r="P651" i="23" s="1"/>
  <c r="H651" i="23"/>
  <c r="R650" i="23"/>
  <c r="R655" i="23" s="1"/>
  <c r="O650" i="23"/>
  <c r="N650" i="23"/>
  <c r="S650" i="23" s="1"/>
  <c r="M649" i="23"/>
  <c r="N649" i="23" s="1"/>
  <c r="S649" i="23" s="1"/>
  <c r="H649" i="23"/>
  <c r="U648" i="23"/>
  <c r="T648" i="23"/>
  <c r="O648" i="23"/>
  <c r="N648" i="23"/>
  <c r="P648" i="23" s="1"/>
  <c r="G648" i="23"/>
  <c r="H648" i="23" s="1"/>
  <c r="U647" i="23"/>
  <c r="T647" i="23"/>
  <c r="O647" i="23"/>
  <c r="N647" i="23"/>
  <c r="P647" i="23" s="1"/>
  <c r="H647" i="23"/>
  <c r="U646" i="23"/>
  <c r="T646" i="23"/>
  <c r="O646" i="23"/>
  <c r="N646" i="23"/>
  <c r="P646" i="23" s="1"/>
  <c r="J646" i="23"/>
  <c r="H646" i="23"/>
  <c r="U645" i="23"/>
  <c r="T645" i="23"/>
  <c r="O645" i="23"/>
  <c r="N645" i="23"/>
  <c r="P645" i="23" s="1"/>
  <c r="H645" i="23"/>
  <c r="J645" i="23" s="1"/>
  <c r="R644" i="23"/>
  <c r="R649" i="23" s="1"/>
  <c r="O644" i="23"/>
  <c r="N644" i="23"/>
  <c r="P644" i="23" s="1"/>
  <c r="R643" i="23"/>
  <c r="M643" i="23"/>
  <c r="N643" i="23" s="1"/>
  <c r="S643" i="23" s="1"/>
  <c r="H643" i="23"/>
  <c r="U642" i="23"/>
  <c r="T642" i="23"/>
  <c r="O642" i="23"/>
  <c r="N642" i="23"/>
  <c r="P642" i="23" s="1"/>
  <c r="H642" i="23"/>
  <c r="H641" i="23" s="1"/>
  <c r="J641" i="23" s="1"/>
  <c r="R641" i="23"/>
  <c r="O641" i="23"/>
  <c r="N641" i="23"/>
  <c r="P641" i="23" s="1"/>
  <c r="R640" i="23"/>
  <c r="M640" i="23"/>
  <c r="N640" i="23" s="1"/>
  <c r="H640" i="23"/>
  <c r="R639" i="23"/>
  <c r="O639" i="23"/>
  <c r="N639" i="23"/>
  <c r="P639" i="23" s="1"/>
  <c r="J639" i="23"/>
  <c r="M638" i="23"/>
  <c r="N638" i="23" s="1"/>
  <c r="S638" i="23" s="1"/>
  <c r="H638" i="23"/>
  <c r="R637" i="23"/>
  <c r="R638" i="23" s="1"/>
  <c r="O637" i="23"/>
  <c r="N637" i="23"/>
  <c r="S637" i="23" s="1"/>
  <c r="J637" i="23"/>
  <c r="M636" i="23"/>
  <c r="N636" i="23" s="1"/>
  <c r="H636" i="23"/>
  <c r="R635" i="23"/>
  <c r="O635" i="23"/>
  <c r="N635" i="23"/>
  <c r="S635" i="23" s="1"/>
  <c r="J635" i="23"/>
  <c r="M634" i="23"/>
  <c r="N634" i="23" s="1"/>
  <c r="H634" i="23"/>
  <c r="R633" i="23"/>
  <c r="O633" i="23"/>
  <c r="N633" i="23"/>
  <c r="S633" i="23" s="1"/>
  <c r="J633" i="23"/>
  <c r="R632" i="23"/>
  <c r="O632" i="23"/>
  <c r="N632" i="23"/>
  <c r="H632" i="23"/>
  <c r="J632" i="23" s="1"/>
  <c r="R631" i="23"/>
  <c r="O631" i="23"/>
  <c r="N631" i="23"/>
  <c r="S631" i="23" s="1"/>
  <c r="U631" i="23" s="1"/>
  <c r="J631" i="23"/>
  <c r="H631" i="23"/>
  <c r="R630" i="23"/>
  <c r="O630" i="23"/>
  <c r="N630" i="23"/>
  <c r="S630" i="23" s="1"/>
  <c r="H630" i="23"/>
  <c r="J630" i="23" s="1"/>
  <c r="R629" i="23"/>
  <c r="O629" i="23"/>
  <c r="N629" i="23"/>
  <c r="S629" i="23" s="1"/>
  <c r="H629" i="23"/>
  <c r="J629" i="23" s="1"/>
  <c r="R628" i="23"/>
  <c r="O628" i="23"/>
  <c r="N628" i="23"/>
  <c r="S628" i="23" s="1"/>
  <c r="H628" i="23"/>
  <c r="J628" i="23" s="1"/>
  <c r="R627" i="23"/>
  <c r="O627" i="23"/>
  <c r="N627" i="23"/>
  <c r="S627" i="23" s="1"/>
  <c r="H627" i="23"/>
  <c r="J627" i="23" s="1"/>
  <c r="R626" i="23"/>
  <c r="O626" i="23"/>
  <c r="N626" i="23"/>
  <c r="H626" i="23"/>
  <c r="J626" i="23" s="1"/>
  <c r="R625" i="23"/>
  <c r="O625" i="23"/>
  <c r="N625" i="23"/>
  <c r="S625" i="23" s="1"/>
  <c r="H625" i="23"/>
  <c r="J625" i="23" s="1"/>
  <c r="R624" i="23"/>
  <c r="O624" i="23"/>
  <c r="N624" i="23"/>
  <c r="S624" i="23" s="1"/>
  <c r="G624" i="23"/>
  <c r="H624" i="23" s="1"/>
  <c r="J624" i="23" s="1"/>
  <c r="R623" i="23"/>
  <c r="O623" i="23"/>
  <c r="N623" i="23"/>
  <c r="P623" i="23" s="1"/>
  <c r="G623" i="23"/>
  <c r="H623" i="23" s="1"/>
  <c r="J623" i="23" s="1"/>
  <c r="R622" i="23"/>
  <c r="O622" i="23"/>
  <c r="N622" i="23"/>
  <c r="H622" i="23"/>
  <c r="J622" i="23" s="1"/>
  <c r="R621" i="23"/>
  <c r="O621" i="23"/>
  <c r="N621" i="23"/>
  <c r="H621" i="23"/>
  <c r="J621" i="23" s="1"/>
  <c r="U620" i="23"/>
  <c r="T620" i="23"/>
  <c r="O620" i="23"/>
  <c r="N620" i="23"/>
  <c r="P620" i="23" s="1"/>
  <c r="H620" i="23"/>
  <c r="G620" i="23"/>
  <c r="U619" i="23"/>
  <c r="T619" i="23"/>
  <c r="O619" i="23"/>
  <c r="N619" i="23"/>
  <c r="P619" i="23" s="1"/>
  <c r="G619" i="23"/>
  <c r="H619" i="23" s="1"/>
  <c r="U618" i="23"/>
  <c r="T618" i="23"/>
  <c r="O618" i="23"/>
  <c r="N618" i="23"/>
  <c r="P618" i="23" s="1"/>
  <c r="H618" i="23"/>
  <c r="G618" i="23"/>
  <c r="R617" i="23"/>
  <c r="O617" i="23"/>
  <c r="N617" i="23"/>
  <c r="S617" i="23" s="1"/>
  <c r="U616" i="23"/>
  <c r="T616" i="23"/>
  <c r="O616" i="23"/>
  <c r="N616" i="23"/>
  <c r="P616" i="23" s="1"/>
  <c r="K616" i="23"/>
  <c r="J616" i="23"/>
  <c r="G616" i="23"/>
  <c r="H616" i="23" s="1"/>
  <c r="U615" i="23"/>
  <c r="T615" i="23"/>
  <c r="O615" i="23"/>
  <c r="N615" i="23"/>
  <c r="P615" i="23" s="1"/>
  <c r="K615" i="23"/>
  <c r="J615" i="23"/>
  <c r="G615" i="23"/>
  <c r="H615" i="23" s="1"/>
  <c r="U614" i="23"/>
  <c r="T614" i="23"/>
  <c r="O614" i="23"/>
  <c r="N614" i="23"/>
  <c r="P614" i="23" s="1"/>
  <c r="K614" i="23"/>
  <c r="J614" i="23"/>
  <c r="G614" i="23"/>
  <c r="H614" i="23" s="1"/>
  <c r="R613" i="23"/>
  <c r="O613" i="23"/>
  <c r="N613" i="23"/>
  <c r="P613" i="23" s="1"/>
  <c r="U612" i="23"/>
  <c r="T612" i="23"/>
  <c r="O612" i="23"/>
  <c r="N612" i="23"/>
  <c r="P612" i="23" s="1"/>
  <c r="K612" i="23"/>
  <c r="J612" i="23"/>
  <c r="H612" i="23"/>
  <c r="G612" i="23"/>
  <c r="U611" i="23"/>
  <c r="T611" i="23"/>
  <c r="O611" i="23"/>
  <c r="N611" i="23"/>
  <c r="P611" i="23" s="1"/>
  <c r="K611" i="23"/>
  <c r="J611" i="23"/>
  <c r="H611" i="23"/>
  <c r="G611" i="23"/>
  <c r="U610" i="23"/>
  <c r="T610" i="23"/>
  <c r="O610" i="23"/>
  <c r="N610" i="23"/>
  <c r="P610" i="23" s="1"/>
  <c r="K610" i="23"/>
  <c r="J610" i="23"/>
  <c r="H610" i="23"/>
  <c r="G610" i="23"/>
  <c r="R609" i="23"/>
  <c r="O609" i="23"/>
  <c r="N609" i="23"/>
  <c r="S609" i="23" s="1"/>
  <c r="H609" i="23"/>
  <c r="J609" i="23" s="1"/>
  <c r="U608" i="23"/>
  <c r="T608" i="23"/>
  <c r="O608" i="23"/>
  <c r="N608" i="23"/>
  <c r="P608" i="23" s="1"/>
  <c r="K608" i="23"/>
  <c r="J608" i="23"/>
  <c r="G608" i="23"/>
  <c r="H608" i="23" s="1"/>
  <c r="U607" i="23"/>
  <c r="T607" i="23"/>
  <c r="O607" i="23"/>
  <c r="N607" i="23"/>
  <c r="P607" i="23" s="1"/>
  <c r="K607" i="23"/>
  <c r="J607" i="23"/>
  <c r="G607" i="23"/>
  <c r="H607" i="23" s="1"/>
  <c r="U606" i="23"/>
  <c r="T606" i="23"/>
  <c r="O606" i="23"/>
  <c r="N606" i="23"/>
  <c r="P606" i="23" s="1"/>
  <c r="K606" i="23"/>
  <c r="J606" i="23"/>
  <c r="G606" i="23"/>
  <c r="H606" i="23" s="1"/>
  <c r="R605" i="23"/>
  <c r="R604" i="23"/>
  <c r="O604" i="23"/>
  <c r="N604" i="23"/>
  <c r="S604" i="23" s="1"/>
  <c r="J604" i="23"/>
  <c r="H604" i="23"/>
  <c r="R603" i="23"/>
  <c r="O603" i="23"/>
  <c r="N603" i="23"/>
  <c r="S603" i="23" s="1"/>
  <c r="H603" i="23"/>
  <c r="J603" i="23" s="1"/>
  <c r="R602" i="23"/>
  <c r="O602" i="23"/>
  <c r="N602" i="23"/>
  <c r="S602" i="23" s="1"/>
  <c r="U602" i="23" s="1"/>
  <c r="J602" i="23"/>
  <c r="H602" i="23"/>
  <c r="R601" i="23"/>
  <c r="O601" i="23"/>
  <c r="N601" i="23"/>
  <c r="S601" i="23" s="1"/>
  <c r="H601" i="23"/>
  <c r="J601" i="23" s="1"/>
  <c r="R600" i="23"/>
  <c r="O600" i="23"/>
  <c r="N600" i="23"/>
  <c r="S600" i="23" s="1"/>
  <c r="H600" i="23"/>
  <c r="J600" i="23" s="1"/>
  <c r="R599" i="23"/>
  <c r="O599" i="23"/>
  <c r="N599" i="23"/>
  <c r="P599" i="23" s="1"/>
  <c r="H599" i="23"/>
  <c r="J599" i="23" s="1"/>
  <c r="G599" i="23"/>
  <c r="R598" i="23"/>
  <c r="O598" i="23"/>
  <c r="N598" i="23"/>
  <c r="S598" i="23" s="1"/>
  <c r="H598" i="23"/>
  <c r="J598" i="23" s="1"/>
  <c r="R597" i="23"/>
  <c r="O597" i="23"/>
  <c r="N597" i="23"/>
  <c r="S597" i="23" s="1"/>
  <c r="H597" i="23"/>
  <c r="J597" i="23" s="1"/>
  <c r="U596" i="23"/>
  <c r="T596" i="23"/>
  <c r="O596" i="23"/>
  <c r="N596" i="23"/>
  <c r="P596" i="23" s="1"/>
  <c r="H596" i="23"/>
  <c r="U595" i="23"/>
  <c r="T595" i="23"/>
  <c r="O595" i="23"/>
  <c r="N595" i="23"/>
  <c r="P595" i="23" s="1"/>
  <c r="H595" i="23"/>
  <c r="U594" i="23"/>
  <c r="T594" i="23"/>
  <c r="O594" i="23"/>
  <c r="N594" i="23"/>
  <c r="P594" i="23" s="1"/>
  <c r="H594" i="23"/>
  <c r="R593" i="23"/>
  <c r="O593" i="23"/>
  <c r="N593" i="23"/>
  <c r="S593" i="23" s="1"/>
  <c r="R592" i="23"/>
  <c r="H592" i="23"/>
  <c r="J592" i="23" s="1"/>
  <c r="R591" i="23"/>
  <c r="O591" i="23"/>
  <c r="N591" i="23"/>
  <c r="H591" i="23"/>
  <c r="J591" i="23" s="1"/>
  <c r="R590" i="23"/>
  <c r="H590" i="23"/>
  <c r="J590" i="23" s="1"/>
  <c r="R589" i="23"/>
  <c r="O589" i="23"/>
  <c r="N589" i="23"/>
  <c r="P589" i="23" s="1"/>
  <c r="H589" i="23"/>
  <c r="J589" i="23" s="1"/>
  <c r="R588" i="23"/>
  <c r="O588" i="23"/>
  <c r="N588" i="23"/>
  <c r="P588" i="23" s="1"/>
  <c r="H588" i="23"/>
  <c r="J588" i="23" s="1"/>
  <c r="R587" i="23"/>
  <c r="O587" i="23"/>
  <c r="N587" i="23"/>
  <c r="G587" i="23"/>
  <c r="H587" i="23" s="1"/>
  <c r="J587" i="23" s="1"/>
  <c r="R586" i="23"/>
  <c r="O586" i="23"/>
  <c r="N586" i="23"/>
  <c r="G586" i="23"/>
  <c r="H586" i="23" s="1"/>
  <c r="J586" i="23" s="1"/>
  <c r="R585" i="23"/>
  <c r="O585" i="23"/>
  <c r="N585" i="23"/>
  <c r="S585" i="23" s="1"/>
  <c r="U585" i="23" s="1"/>
  <c r="H585" i="23"/>
  <c r="J585" i="23" s="1"/>
  <c r="G585" i="23"/>
  <c r="R584" i="23"/>
  <c r="O584" i="23"/>
  <c r="N584" i="23"/>
  <c r="G584" i="23"/>
  <c r="H584" i="23" s="1"/>
  <c r="J584" i="23" s="1"/>
  <c r="U583" i="23"/>
  <c r="T583" i="23"/>
  <c r="P583" i="23"/>
  <c r="O583" i="23"/>
  <c r="R582" i="23"/>
  <c r="O582" i="23"/>
  <c r="N582" i="23"/>
  <c r="K582" i="23"/>
  <c r="R581" i="23"/>
  <c r="O581" i="23"/>
  <c r="N581" i="23"/>
  <c r="S581" i="23" s="1"/>
  <c r="K581" i="23"/>
  <c r="R580" i="23"/>
  <c r="O580" i="23"/>
  <c r="N580" i="23"/>
  <c r="S580" i="23" s="1"/>
  <c r="U580" i="23" s="1"/>
  <c r="K580" i="23"/>
  <c r="R579" i="23"/>
  <c r="O579" i="23"/>
  <c r="N579" i="23"/>
  <c r="P579" i="23" s="1"/>
  <c r="K579" i="23"/>
  <c r="R578" i="23"/>
  <c r="O578" i="23"/>
  <c r="N578" i="23"/>
  <c r="P578" i="23" s="1"/>
  <c r="K578" i="23"/>
  <c r="R577" i="23"/>
  <c r="O577" i="23"/>
  <c r="N577" i="23"/>
  <c r="S577" i="23" s="1"/>
  <c r="K577" i="23"/>
  <c r="R576" i="23"/>
  <c r="O576" i="23"/>
  <c r="N576" i="23"/>
  <c r="S576" i="23" s="1"/>
  <c r="U576" i="23" s="1"/>
  <c r="K576" i="23"/>
  <c r="R575" i="23"/>
  <c r="O575" i="23"/>
  <c r="N575" i="23"/>
  <c r="S575" i="23" s="1"/>
  <c r="K575" i="23"/>
  <c r="R574" i="23"/>
  <c r="O574" i="23"/>
  <c r="N574" i="23"/>
  <c r="K574" i="23"/>
  <c r="R573" i="23"/>
  <c r="O573" i="23"/>
  <c r="N573" i="23"/>
  <c r="S573" i="23" s="1"/>
  <c r="K573" i="23"/>
  <c r="R572" i="23"/>
  <c r="O572" i="23"/>
  <c r="N572" i="23"/>
  <c r="S572" i="23" s="1"/>
  <c r="U572" i="23" s="1"/>
  <c r="K572" i="23"/>
  <c r="R571" i="23"/>
  <c r="O571" i="23"/>
  <c r="N571" i="23"/>
  <c r="P571" i="23" s="1"/>
  <c r="K571" i="23"/>
  <c r="R570" i="23"/>
  <c r="O570" i="23"/>
  <c r="N570" i="23"/>
  <c r="K570" i="23"/>
  <c r="R569" i="23"/>
  <c r="O569" i="23"/>
  <c r="N569" i="23"/>
  <c r="S569" i="23" s="1"/>
  <c r="K569" i="23"/>
  <c r="R568" i="23"/>
  <c r="O568" i="23"/>
  <c r="N568" i="23"/>
  <c r="K568" i="23"/>
  <c r="R567" i="23"/>
  <c r="O567" i="23"/>
  <c r="N567" i="23"/>
  <c r="S567" i="23" s="1"/>
  <c r="K567" i="23"/>
  <c r="R566" i="23"/>
  <c r="O566" i="23"/>
  <c r="N566" i="23"/>
  <c r="K566" i="23"/>
  <c r="R565" i="23"/>
  <c r="O565" i="23"/>
  <c r="N565" i="23"/>
  <c r="S565" i="23" s="1"/>
  <c r="K565" i="23"/>
  <c r="R564" i="23"/>
  <c r="O564" i="23"/>
  <c r="N564" i="23"/>
  <c r="S564" i="23" s="1"/>
  <c r="U564" i="23" s="1"/>
  <c r="K564" i="23"/>
  <c r="R563" i="23"/>
  <c r="O563" i="23"/>
  <c r="N563" i="23"/>
  <c r="K563" i="23"/>
  <c r="R562" i="23"/>
  <c r="O562" i="23"/>
  <c r="N562" i="23"/>
  <c r="S562" i="23" s="1"/>
  <c r="K562" i="23"/>
  <c r="R561" i="23"/>
  <c r="O561" i="23"/>
  <c r="N561" i="23"/>
  <c r="P561" i="23" s="1"/>
  <c r="K561" i="23"/>
  <c r="R560" i="23"/>
  <c r="O560" i="23"/>
  <c r="N560" i="23"/>
  <c r="K560" i="23"/>
  <c r="R559" i="23"/>
  <c r="O559" i="23"/>
  <c r="N559" i="23"/>
  <c r="S559" i="23" s="1"/>
  <c r="K559" i="23"/>
  <c r="R558" i="23"/>
  <c r="O558" i="23"/>
  <c r="N558" i="23"/>
  <c r="K558" i="23"/>
  <c r="U557" i="23"/>
  <c r="T557" i="23"/>
  <c r="O557" i="23"/>
  <c r="N557" i="23"/>
  <c r="P557" i="23" s="1"/>
  <c r="R556" i="23"/>
  <c r="O556" i="23"/>
  <c r="N556" i="23"/>
  <c r="S556" i="23" s="1"/>
  <c r="H556" i="23"/>
  <c r="J556" i="23" s="1"/>
  <c r="U555" i="23"/>
  <c r="T555" i="23"/>
  <c r="O555" i="23"/>
  <c r="N555" i="23"/>
  <c r="P555" i="23" s="1"/>
  <c r="H555" i="23"/>
  <c r="G555" i="23"/>
  <c r="U554" i="23"/>
  <c r="T554" i="23"/>
  <c r="O554" i="23"/>
  <c r="N554" i="23"/>
  <c r="P554" i="23" s="1"/>
  <c r="G554" i="23"/>
  <c r="H554" i="23" s="1"/>
  <c r="U553" i="23"/>
  <c r="T553" i="23"/>
  <c r="O553" i="23"/>
  <c r="N553" i="23"/>
  <c r="P553" i="23" s="1"/>
  <c r="H553" i="23"/>
  <c r="G553" i="23"/>
  <c r="R552" i="23"/>
  <c r="O552" i="23"/>
  <c r="N552" i="23"/>
  <c r="S552" i="23" s="1"/>
  <c r="R551" i="23"/>
  <c r="O551" i="23"/>
  <c r="N551" i="23"/>
  <c r="S551" i="23" s="1"/>
  <c r="U551" i="23" s="1"/>
  <c r="Z551" i="23" s="1"/>
  <c r="H551" i="23"/>
  <c r="J551" i="23" s="1"/>
  <c r="U550" i="23"/>
  <c r="T550" i="23"/>
  <c r="O550" i="23"/>
  <c r="N550" i="23"/>
  <c r="P550" i="23" s="1"/>
  <c r="H550" i="23"/>
  <c r="G550" i="23"/>
  <c r="U549" i="23"/>
  <c r="T549" i="23"/>
  <c r="O549" i="23"/>
  <c r="N549" i="23"/>
  <c r="P549" i="23" s="1"/>
  <c r="G549" i="23"/>
  <c r="H549" i="23" s="1"/>
  <c r="U548" i="23"/>
  <c r="T548" i="23"/>
  <c r="O548" i="23"/>
  <c r="N548" i="23"/>
  <c r="P548" i="23" s="1"/>
  <c r="H548" i="23"/>
  <c r="G548" i="23"/>
  <c r="R547" i="23"/>
  <c r="O547" i="23"/>
  <c r="N547" i="23"/>
  <c r="R546" i="23"/>
  <c r="O546" i="23"/>
  <c r="N546" i="23"/>
  <c r="H546" i="23"/>
  <c r="J546" i="23" s="1"/>
  <c r="U545" i="23"/>
  <c r="T545" i="23"/>
  <c r="O545" i="23"/>
  <c r="N545" i="23"/>
  <c r="P545" i="23" s="1"/>
  <c r="G545" i="23"/>
  <c r="H545" i="23" s="1"/>
  <c r="U544" i="23"/>
  <c r="T544" i="23"/>
  <c r="O544" i="23"/>
  <c r="N544" i="23"/>
  <c r="P544" i="23" s="1"/>
  <c r="H544" i="23"/>
  <c r="G544" i="23"/>
  <c r="U543" i="23"/>
  <c r="T543" i="23"/>
  <c r="O543" i="23"/>
  <c r="N543" i="23"/>
  <c r="P543" i="23" s="1"/>
  <c r="G543" i="23"/>
  <c r="H543" i="23" s="1"/>
  <c r="H542" i="23" s="1"/>
  <c r="J542" i="23" s="1"/>
  <c r="R542" i="23"/>
  <c r="O542" i="23"/>
  <c r="N542" i="23"/>
  <c r="P542" i="23" s="1"/>
  <c r="R541" i="23"/>
  <c r="O541" i="23"/>
  <c r="N541" i="23"/>
  <c r="H541" i="23"/>
  <c r="J541" i="23" s="1"/>
  <c r="U540" i="23"/>
  <c r="T540" i="23"/>
  <c r="O540" i="23"/>
  <c r="N540" i="23"/>
  <c r="P540" i="23" s="1"/>
  <c r="G540" i="23"/>
  <c r="H540" i="23" s="1"/>
  <c r="U539" i="23"/>
  <c r="T539" i="23"/>
  <c r="O539" i="23"/>
  <c r="N539" i="23"/>
  <c r="P539" i="23" s="1"/>
  <c r="H539" i="23"/>
  <c r="G539" i="23"/>
  <c r="U538" i="23"/>
  <c r="T538" i="23"/>
  <c r="O538" i="23"/>
  <c r="N538" i="23"/>
  <c r="P538" i="23" s="1"/>
  <c r="G538" i="23"/>
  <c r="H538" i="23" s="1"/>
  <c r="H537" i="23" s="1"/>
  <c r="J537" i="23" s="1"/>
  <c r="R537" i="23"/>
  <c r="O537" i="23"/>
  <c r="N537" i="23"/>
  <c r="S537" i="23" s="1"/>
  <c r="R536" i="23"/>
  <c r="O536" i="23"/>
  <c r="N536" i="23"/>
  <c r="S536" i="23" s="1"/>
  <c r="G536" i="23"/>
  <c r="H536" i="23" s="1"/>
  <c r="J536" i="23" s="1"/>
  <c r="U535" i="23"/>
  <c r="T535" i="23"/>
  <c r="O535" i="23"/>
  <c r="N535" i="23"/>
  <c r="P535" i="23" s="1"/>
  <c r="G535" i="23"/>
  <c r="H535" i="23" s="1"/>
  <c r="U534" i="23"/>
  <c r="T534" i="23"/>
  <c r="O534" i="23"/>
  <c r="N534" i="23"/>
  <c r="P534" i="23" s="1"/>
  <c r="G534" i="23"/>
  <c r="H534" i="23" s="1"/>
  <c r="U533" i="23"/>
  <c r="T533" i="23"/>
  <c r="O533" i="23"/>
  <c r="N533" i="23"/>
  <c r="P533" i="23" s="1"/>
  <c r="G533" i="23"/>
  <c r="H533" i="23" s="1"/>
  <c r="H532" i="23" s="1"/>
  <c r="J532" i="23" s="1"/>
  <c r="R532" i="23"/>
  <c r="O532" i="23"/>
  <c r="N532" i="23"/>
  <c r="R531" i="23"/>
  <c r="O531" i="23"/>
  <c r="N531" i="23"/>
  <c r="S531" i="23" s="1"/>
  <c r="H531" i="23"/>
  <c r="J531" i="23" s="1"/>
  <c r="R530" i="23"/>
  <c r="O530" i="23"/>
  <c r="N530" i="23"/>
  <c r="J530" i="23"/>
  <c r="R529" i="23"/>
  <c r="O529" i="23"/>
  <c r="N529" i="23"/>
  <c r="S529" i="23" s="1"/>
  <c r="J529" i="23"/>
  <c r="U528" i="23"/>
  <c r="T528" i="23"/>
  <c r="P528" i="23"/>
  <c r="O528" i="23"/>
  <c r="R527" i="23"/>
  <c r="O527" i="23"/>
  <c r="N527" i="23"/>
  <c r="S527" i="23" s="1"/>
  <c r="U527" i="23" s="1"/>
  <c r="Z527" i="23" s="1"/>
  <c r="K527" i="23"/>
  <c r="T527" i="23" s="1"/>
  <c r="R526" i="23"/>
  <c r="O526" i="23"/>
  <c r="N526" i="23"/>
  <c r="S526" i="23" s="1"/>
  <c r="K526" i="23"/>
  <c r="T526" i="23" s="1"/>
  <c r="R525" i="23"/>
  <c r="O525" i="23"/>
  <c r="N525" i="23"/>
  <c r="K525" i="23"/>
  <c r="R524" i="23"/>
  <c r="O524" i="23"/>
  <c r="N524" i="23"/>
  <c r="S524" i="23" s="1"/>
  <c r="K524" i="23"/>
  <c r="R523" i="23"/>
  <c r="O523" i="23"/>
  <c r="N523" i="23"/>
  <c r="S523" i="23" s="1"/>
  <c r="U523" i="23" s="1"/>
  <c r="K523" i="23"/>
  <c r="T523" i="23" s="1"/>
  <c r="R522" i="23"/>
  <c r="O522" i="23"/>
  <c r="N522" i="23"/>
  <c r="P522" i="23" s="1"/>
  <c r="K522" i="23"/>
  <c r="T522" i="23" s="1"/>
  <c r="R521" i="23"/>
  <c r="O521" i="23"/>
  <c r="N521" i="23"/>
  <c r="P521" i="23" s="1"/>
  <c r="K521" i="23"/>
  <c r="R520" i="23"/>
  <c r="O520" i="23"/>
  <c r="N520" i="23"/>
  <c r="S520" i="23" s="1"/>
  <c r="K520" i="23"/>
  <c r="T520" i="23" s="1"/>
  <c r="R519" i="23"/>
  <c r="O519" i="23"/>
  <c r="N519" i="23"/>
  <c r="S519" i="23" s="1"/>
  <c r="U519" i="23" s="1"/>
  <c r="Z519" i="23" s="1"/>
  <c r="K519" i="23"/>
  <c r="T519" i="23" s="1"/>
  <c r="R518" i="23"/>
  <c r="O518" i="23"/>
  <c r="N518" i="23"/>
  <c r="K518" i="23"/>
  <c r="T518" i="23" s="1"/>
  <c r="R517" i="23"/>
  <c r="O517" i="23"/>
  <c r="N517" i="23"/>
  <c r="K517" i="23"/>
  <c r="R516" i="23"/>
  <c r="O516" i="23"/>
  <c r="N516" i="23"/>
  <c r="S516" i="23" s="1"/>
  <c r="U516" i="23" s="1"/>
  <c r="Z516" i="23" s="1"/>
  <c r="K516" i="23"/>
  <c r="R515" i="23"/>
  <c r="O515" i="23"/>
  <c r="N515" i="23"/>
  <c r="K515" i="23"/>
  <c r="T515" i="23" s="1"/>
  <c r="R514" i="23"/>
  <c r="O514" i="23"/>
  <c r="N514" i="23"/>
  <c r="P514" i="23" s="1"/>
  <c r="K514" i="23"/>
  <c r="T514" i="23" s="1"/>
  <c r="R513" i="23"/>
  <c r="O513" i="23"/>
  <c r="N513" i="23"/>
  <c r="K513" i="23"/>
  <c r="R512" i="23"/>
  <c r="O512" i="23"/>
  <c r="N512" i="23"/>
  <c r="S512" i="23" s="1"/>
  <c r="K512" i="23"/>
  <c r="T512" i="23" s="1"/>
  <c r="R511" i="23"/>
  <c r="O511" i="23"/>
  <c r="N511" i="23"/>
  <c r="S511" i="23" s="1"/>
  <c r="U511" i="23" s="1"/>
  <c r="Z511" i="23" s="1"/>
  <c r="K511" i="23"/>
  <c r="T511" i="23" s="1"/>
  <c r="R510" i="23"/>
  <c r="O510" i="23"/>
  <c r="N510" i="23"/>
  <c r="K510" i="23"/>
  <c r="T510" i="23" s="1"/>
  <c r="R509" i="23"/>
  <c r="O509" i="23"/>
  <c r="N509" i="23"/>
  <c r="K509" i="23"/>
  <c r="R508" i="23"/>
  <c r="O508" i="23"/>
  <c r="N508" i="23"/>
  <c r="S508" i="23" s="1"/>
  <c r="U508" i="23" s="1"/>
  <c r="Z508" i="23" s="1"/>
  <c r="K508" i="23"/>
  <c r="R507" i="23"/>
  <c r="O507" i="23"/>
  <c r="N507" i="23"/>
  <c r="S507" i="23" s="1"/>
  <c r="U507" i="23" s="1"/>
  <c r="Y507" i="23" s="1"/>
  <c r="K507" i="23"/>
  <c r="T507" i="23" s="1"/>
  <c r="R506" i="23"/>
  <c r="O506" i="23"/>
  <c r="N506" i="23"/>
  <c r="P506" i="23" s="1"/>
  <c r="K506" i="23"/>
  <c r="T506" i="23" s="1"/>
  <c r="R505" i="23"/>
  <c r="O505" i="23"/>
  <c r="N505" i="23"/>
  <c r="P505" i="23" s="1"/>
  <c r="K505" i="23"/>
  <c r="R504" i="23"/>
  <c r="O504" i="23"/>
  <c r="N504" i="23"/>
  <c r="S504" i="23" s="1"/>
  <c r="K504" i="23"/>
  <c r="T504" i="23" s="1"/>
  <c r="R503" i="23"/>
  <c r="O503" i="23"/>
  <c r="N503" i="23"/>
  <c r="K503" i="23"/>
  <c r="T503" i="23" s="1"/>
  <c r="U502" i="23"/>
  <c r="T502" i="23"/>
  <c r="P502" i="23"/>
  <c r="O502" i="23"/>
  <c r="N502" i="23"/>
  <c r="R501" i="23"/>
  <c r="O501" i="23"/>
  <c r="N501" i="23"/>
  <c r="S501" i="23" s="1"/>
  <c r="U501" i="23" s="1"/>
  <c r="Y501" i="23" s="1"/>
  <c r="H501" i="23"/>
  <c r="J501" i="23" s="1"/>
  <c r="R500" i="23"/>
  <c r="O500" i="23"/>
  <c r="N500" i="23"/>
  <c r="S500" i="23" s="1"/>
  <c r="J500" i="23"/>
  <c r="H500" i="23"/>
  <c r="R499" i="23"/>
  <c r="O499" i="23"/>
  <c r="N499" i="23"/>
  <c r="H499" i="23"/>
  <c r="J499" i="23" s="1"/>
  <c r="R498" i="23"/>
  <c r="O498" i="23"/>
  <c r="N498" i="23"/>
  <c r="P498" i="23" s="1"/>
  <c r="H498" i="23"/>
  <c r="J498" i="23" s="1"/>
  <c r="R497" i="23"/>
  <c r="O497" i="23"/>
  <c r="N497" i="23"/>
  <c r="S497" i="23" s="1"/>
  <c r="U497" i="23" s="1"/>
  <c r="H497" i="23"/>
  <c r="J497" i="23" s="1"/>
  <c r="R496" i="23"/>
  <c r="O496" i="23"/>
  <c r="N496" i="23"/>
  <c r="P496" i="23" s="1"/>
  <c r="J496" i="23"/>
  <c r="H496" i="23"/>
  <c r="R495" i="23"/>
  <c r="O495" i="23"/>
  <c r="N495" i="23"/>
  <c r="S495" i="23" s="1"/>
  <c r="H495" i="23"/>
  <c r="J495" i="23" s="1"/>
  <c r="R494" i="23"/>
  <c r="O494" i="23"/>
  <c r="N494" i="23"/>
  <c r="H494" i="23"/>
  <c r="J494" i="23" s="1"/>
  <c r="R493" i="23"/>
  <c r="O493" i="23"/>
  <c r="N493" i="23"/>
  <c r="S493" i="23" s="1"/>
  <c r="H493" i="23"/>
  <c r="J493" i="23" s="1"/>
  <c r="R492" i="23"/>
  <c r="O492" i="23"/>
  <c r="N492" i="23"/>
  <c r="S492" i="23" s="1"/>
  <c r="U492" i="23" s="1"/>
  <c r="H492" i="23"/>
  <c r="J492" i="23" s="1"/>
  <c r="R491" i="23"/>
  <c r="O491" i="23"/>
  <c r="N491" i="23"/>
  <c r="J491" i="23"/>
  <c r="H491" i="23"/>
  <c r="R490" i="23"/>
  <c r="O490" i="23"/>
  <c r="N490" i="23"/>
  <c r="G490" i="23"/>
  <c r="H490" i="23" s="1"/>
  <c r="J490" i="23" s="1"/>
  <c r="R489" i="23"/>
  <c r="O489" i="23"/>
  <c r="N489" i="23"/>
  <c r="S489" i="23" s="1"/>
  <c r="G489" i="23"/>
  <c r="H489" i="23" s="1"/>
  <c r="J489" i="23" s="1"/>
  <c r="R488" i="23"/>
  <c r="O488" i="23"/>
  <c r="N488" i="23"/>
  <c r="P488" i="23" s="1"/>
  <c r="H488" i="23"/>
  <c r="J488" i="23" s="1"/>
  <c r="G488" i="23"/>
  <c r="R487" i="23"/>
  <c r="O487" i="23"/>
  <c r="N487" i="23"/>
  <c r="S487" i="23" s="1"/>
  <c r="H487" i="23"/>
  <c r="J487" i="23" s="1"/>
  <c r="G487" i="23"/>
  <c r="R486" i="23"/>
  <c r="O486" i="23"/>
  <c r="N486" i="23"/>
  <c r="P486" i="23" s="1"/>
  <c r="H486" i="23"/>
  <c r="J486" i="23" s="1"/>
  <c r="G486" i="23"/>
  <c r="R485" i="23"/>
  <c r="O485" i="23"/>
  <c r="N485" i="23"/>
  <c r="G485" i="23"/>
  <c r="H485" i="23" s="1"/>
  <c r="J485" i="23" s="1"/>
  <c r="R484" i="23"/>
  <c r="O484" i="23"/>
  <c r="N484" i="23"/>
  <c r="P484" i="23" s="1"/>
  <c r="H484" i="23"/>
  <c r="J484" i="23" s="1"/>
  <c r="G484" i="23"/>
  <c r="R483" i="23"/>
  <c r="O483" i="23"/>
  <c r="N483" i="23"/>
  <c r="S483" i="23" s="1"/>
  <c r="H483" i="23"/>
  <c r="J483" i="23" s="1"/>
  <c r="G483" i="23"/>
  <c r="R482" i="23"/>
  <c r="O482" i="23"/>
  <c r="N482" i="23"/>
  <c r="P482" i="23" s="1"/>
  <c r="H482" i="23"/>
  <c r="J482" i="23" s="1"/>
  <c r="G482" i="23"/>
  <c r="U481" i="23"/>
  <c r="T481" i="23"/>
  <c r="O481" i="23"/>
  <c r="N481" i="23"/>
  <c r="P481" i="23" s="1"/>
  <c r="G481" i="23"/>
  <c r="H481" i="23" s="1"/>
  <c r="U480" i="23"/>
  <c r="T480" i="23"/>
  <c r="O480" i="23"/>
  <c r="N480" i="23"/>
  <c r="P480" i="23" s="1"/>
  <c r="H480" i="23"/>
  <c r="U479" i="23"/>
  <c r="T479" i="23"/>
  <c r="O479" i="23"/>
  <c r="N479" i="23"/>
  <c r="P479" i="23" s="1"/>
  <c r="H479" i="23"/>
  <c r="U478" i="23"/>
  <c r="T478" i="23"/>
  <c r="O478" i="23"/>
  <c r="N478" i="23"/>
  <c r="P478" i="23" s="1"/>
  <c r="H478" i="23"/>
  <c r="R477" i="23"/>
  <c r="O477" i="23"/>
  <c r="N477" i="23"/>
  <c r="U476" i="23"/>
  <c r="T476" i="23"/>
  <c r="O476" i="23"/>
  <c r="N476" i="23"/>
  <c r="P476" i="23" s="1"/>
  <c r="W480" i="23" s="1"/>
  <c r="G476" i="23"/>
  <c r="H476" i="23" s="1"/>
  <c r="U475" i="23"/>
  <c r="T475" i="23"/>
  <c r="O475" i="23"/>
  <c r="N475" i="23"/>
  <c r="P475" i="23" s="1"/>
  <c r="H475" i="23"/>
  <c r="U474" i="23"/>
  <c r="T474" i="23"/>
  <c r="O474" i="23"/>
  <c r="N474" i="23"/>
  <c r="P474" i="23" s="1"/>
  <c r="H474" i="23"/>
  <c r="U473" i="23"/>
  <c r="T473" i="23"/>
  <c r="O473" i="23"/>
  <c r="N473" i="23"/>
  <c r="P473" i="23" s="1"/>
  <c r="H473" i="23"/>
  <c r="H472" i="23" s="1"/>
  <c r="J472" i="23" s="1"/>
  <c r="R472" i="23"/>
  <c r="O472" i="23"/>
  <c r="N472" i="23"/>
  <c r="S472" i="23" s="1"/>
  <c r="U472" i="23" s="1"/>
  <c r="R471" i="23"/>
  <c r="O471" i="23"/>
  <c r="N471" i="23"/>
  <c r="P471" i="23" s="1"/>
  <c r="H471" i="23"/>
  <c r="J471" i="23" s="1"/>
  <c r="R470" i="23"/>
  <c r="O470" i="23"/>
  <c r="N470" i="23"/>
  <c r="S470" i="23" s="1"/>
  <c r="H470" i="23"/>
  <c r="J470" i="23" s="1"/>
  <c r="R469" i="23"/>
  <c r="O469" i="23"/>
  <c r="N469" i="23"/>
  <c r="P469" i="23" s="1"/>
  <c r="H469" i="23"/>
  <c r="J469" i="23" s="1"/>
  <c r="R468" i="23"/>
  <c r="O468" i="23"/>
  <c r="N468" i="23"/>
  <c r="P468" i="23" s="1"/>
  <c r="J468" i="23"/>
  <c r="H468" i="23"/>
  <c r="R467" i="23"/>
  <c r="O467" i="23"/>
  <c r="N467" i="23"/>
  <c r="S467" i="23" s="1"/>
  <c r="U467" i="23" s="1"/>
  <c r="Y467" i="23" s="1"/>
  <c r="H467" i="23"/>
  <c r="J467" i="23" s="1"/>
  <c r="R466" i="23"/>
  <c r="O466" i="23"/>
  <c r="N466" i="23"/>
  <c r="P466" i="23" s="1"/>
  <c r="J466" i="23"/>
  <c r="H466" i="23"/>
  <c r="R465" i="23"/>
  <c r="O465" i="23"/>
  <c r="N465" i="23"/>
  <c r="P465" i="23" s="1"/>
  <c r="H465" i="23"/>
  <c r="J465" i="23" s="1"/>
  <c r="R464" i="23"/>
  <c r="O464" i="23"/>
  <c r="N464" i="23"/>
  <c r="S464" i="23" s="1"/>
  <c r="H464" i="23"/>
  <c r="J464" i="23" s="1"/>
  <c r="R463" i="23"/>
  <c r="O463" i="23"/>
  <c r="N463" i="23"/>
  <c r="S463" i="23" s="1"/>
  <c r="H463" i="23"/>
  <c r="J463" i="23" s="1"/>
  <c r="R462" i="23"/>
  <c r="O462" i="23"/>
  <c r="N462" i="23"/>
  <c r="S462" i="23" s="1"/>
  <c r="H462" i="23"/>
  <c r="J462" i="23" s="1"/>
  <c r="R461" i="23"/>
  <c r="O461" i="23"/>
  <c r="N461" i="23"/>
  <c r="P461" i="23" s="1"/>
  <c r="J461" i="23"/>
  <c r="H461" i="23"/>
  <c r="R460" i="23"/>
  <c r="O460" i="23"/>
  <c r="N460" i="23"/>
  <c r="S460" i="23" s="1"/>
  <c r="U460" i="23" s="1"/>
  <c r="H460" i="23"/>
  <c r="J460" i="23" s="1"/>
  <c r="R459" i="23"/>
  <c r="O459" i="23"/>
  <c r="N459" i="23"/>
  <c r="P459" i="23" s="1"/>
  <c r="H459" i="23"/>
  <c r="J459" i="23" s="1"/>
  <c r="R458" i="23"/>
  <c r="O458" i="23"/>
  <c r="N458" i="23"/>
  <c r="P458" i="23" s="1"/>
  <c r="H458" i="23"/>
  <c r="J458" i="23" s="1"/>
  <c r="U457" i="23"/>
  <c r="T457" i="23"/>
  <c r="O457" i="23"/>
  <c r="N457" i="23"/>
  <c r="P457" i="23" s="1"/>
  <c r="G457" i="23"/>
  <c r="H457" i="23" s="1"/>
  <c r="U456" i="23"/>
  <c r="T456" i="23"/>
  <c r="O456" i="23"/>
  <c r="N456" i="23"/>
  <c r="P456" i="23" s="1"/>
  <c r="H456" i="23"/>
  <c r="U455" i="23"/>
  <c r="T455" i="23"/>
  <c r="O455" i="23"/>
  <c r="N455" i="23"/>
  <c r="P455" i="23" s="1"/>
  <c r="H455" i="23"/>
  <c r="U454" i="23"/>
  <c r="T454" i="23"/>
  <c r="O454" i="23"/>
  <c r="N454" i="23"/>
  <c r="P454" i="23" s="1"/>
  <c r="H454" i="23"/>
  <c r="R453" i="23"/>
  <c r="O453" i="23"/>
  <c r="N453" i="23"/>
  <c r="S453" i="23" s="1"/>
  <c r="U452" i="23"/>
  <c r="T452" i="23"/>
  <c r="O452" i="23"/>
  <c r="N452" i="23"/>
  <c r="P452" i="23" s="1"/>
  <c r="G452" i="23"/>
  <c r="H452" i="23" s="1"/>
  <c r="U451" i="23"/>
  <c r="T451" i="23"/>
  <c r="O451" i="23"/>
  <c r="N451" i="23"/>
  <c r="P451" i="23" s="1"/>
  <c r="H451" i="23"/>
  <c r="U450" i="23"/>
  <c r="T450" i="23"/>
  <c r="O450" i="23"/>
  <c r="N450" i="23"/>
  <c r="P450" i="23" s="1"/>
  <c r="H450" i="23"/>
  <c r="U449" i="23"/>
  <c r="T449" i="23"/>
  <c r="O449" i="23"/>
  <c r="N449" i="23"/>
  <c r="P449" i="23" s="1"/>
  <c r="H449" i="23"/>
  <c r="R448" i="23"/>
  <c r="O448" i="23"/>
  <c r="N448" i="23"/>
  <c r="S448" i="23" s="1"/>
  <c r="U447" i="23"/>
  <c r="T447" i="23"/>
  <c r="O447" i="23"/>
  <c r="N447" i="23"/>
  <c r="P447" i="23" s="1"/>
  <c r="G447" i="23"/>
  <c r="H447" i="23" s="1"/>
  <c r="U446" i="23"/>
  <c r="T446" i="23"/>
  <c r="O446" i="23"/>
  <c r="N446" i="23"/>
  <c r="P446" i="23" s="1"/>
  <c r="H446" i="23"/>
  <c r="U445" i="23"/>
  <c r="T445" i="23"/>
  <c r="O445" i="23"/>
  <c r="N445" i="23"/>
  <c r="P445" i="23" s="1"/>
  <c r="H445" i="23"/>
  <c r="U444" i="23"/>
  <c r="T444" i="23"/>
  <c r="O444" i="23"/>
  <c r="N444" i="23"/>
  <c r="P444" i="23" s="1"/>
  <c r="H444" i="23"/>
  <c r="R443" i="23"/>
  <c r="O443" i="23"/>
  <c r="N443" i="23"/>
  <c r="S443" i="23" s="1"/>
  <c r="N442" i="23"/>
  <c r="P442" i="23" s="1"/>
  <c r="M442" i="23"/>
  <c r="H442" i="23"/>
  <c r="U441" i="23"/>
  <c r="T441" i="23"/>
  <c r="O441" i="23"/>
  <c r="N441" i="23"/>
  <c r="P441" i="23" s="1"/>
  <c r="G441" i="23"/>
  <c r="H441" i="23" s="1"/>
  <c r="U440" i="23"/>
  <c r="T440" i="23"/>
  <c r="O440" i="23"/>
  <c r="N440" i="23"/>
  <c r="P440" i="23" s="1"/>
  <c r="H440" i="23"/>
  <c r="U439" i="23"/>
  <c r="T439" i="23"/>
  <c r="O439" i="23"/>
  <c r="N439" i="23"/>
  <c r="P439" i="23" s="1"/>
  <c r="H439" i="23"/>
  <c r="U438" i="23"/>
  <c r="T438" i="23"/>
  <c r="O438" i="23"/>
  <c r="N438" i="23"/>
  <c r="P438" i="23" s="1"/>
  <c r="H438" i="23"/>
  <c r="R437" i="23"/>
  <c r="R442" i="23" s="1"/>
  <c r="O437" i="23"/>
  <c r="N437" i="23"/>
  <c r="S437" i="23" s="1"/>
  <c r="M436" i="23"/>
  <c r="N436" i="23" s="1"/>
  <c r="P436" i="23" s="1"/>
  <c r="H436" i="23"/>
  <c r="U435" i="23"/>
  <c r="T435" i="23"/>
  <c r="O435" i="23"/>
  <c r="N435" i="23"/>
  <c r="P435" i="23" s="1"/>
  <c r="H435" i="23"/>
  <c r="G435" i="23"/>
  <c r="U434" i="23"/>
  <c r="T434" i="23"/>
  <c r="O434" i="23"/>
  <c r="N434" i="23"/>
  <c r="P434" i="23" s="1"/>
  <c r="H434" i="23"/>
  <c r="U433" i="23"/>
  <c r="T433" i="23"/>
  <c r="O433" i="23"/>
  <c r="N433" i="23"/>
  <c r="P433" i="23" s="1"/>
  <c r="H433" i="23"/>
  <c r="U432" i="23"/>
  <c r="T432" i="23"/>
  <c r="O432" i="23"/>
  <c r="N432" i="23"/>
  <c r="P432" i="23" s="1"/>
  <c r="H432" i="23"/>
  <c r="R431" i="23"/>
  <c r="R436" i="23" s="1"/>
  <c r="O431" i="23"/>
  <c r="N431" i="23"/>
  <c r="P431" i="23" s="1"/>
  <c r="H431" i="23"/>
  <c r="J431" i="23" s="1"/>
  <c r="M430" i="23"/>
  <c r="N430" i="23" s="1"/>
  <c r="H430" i="23"/>
  <c r="U429" i="23"/>
  <c r="T429" i="23"/>
  <c r="O429" i="23"/>
  <c r="N429" i="23"/>
  <c r="P429" i="23" s="1"/>
  <c r="H429" i="23"/>
  <c r="G429" i="23"/>
  <c r="U428" i="23"/>
  <c r="T428" i="23"/>
  <c r="O428" i="23"/>
  <c r="N428" i="23"/>
  <c r="P428" i="23" s="1"/>
  <c r="H428" i="23"/>
  <c r="U427" i="23"/>
  <c r="T427" i="23"/>
  <c r="O427" i="23"/>
  <c r="N427" i="23"/>
  <c r="P427" i="23" s="1"/>
  <c r="H427" i="23"/>
  <c r="U426" i="23"/>
  <c r="T426" i="23"/>
  <c r="O426" i="23"/>
  <c r="N426" i="23"/>
  <c r="P426" i="23" s="1"/>
  <c r="H426" i="23"/>
  <c r="H425" i="23" s="1"/>
  <c r="J425" i="23" s="1"/>
  <c r="R425" i="23"/>
  <c r="R430" i="23" s="1"/>
  <c r="O425" i="23"/>
  <c r="N425" i="23"/>
  <c r="S425" i="23" s="1"/>
  <c r="N424" i="23"/>
  <c r="S424" i="23" s="1"/>
  <c r="M424" i="23"/>
  <c r="H424" i="23"/>
  <c r="U423" i="23"/>
  <c r="T423" i="23"/>
  <c r="O423" i="23"/>
  <c r="N423" i="23"/>
  <c r="P423" i="23" s="1"/>
  <c r="G423" i="23"/>
  <c r="H423" i="23" s="1"/>
  <c r="U422" i="23"/>
  <c r="T422" i="23"/>
  <c r="O422" i="23"/>
  <c r="N422" i="23"/>
  <c r="P422" i="23" s="1"/>
  <c r="H422" i="23"/>
  <c r="U421" i="23"/>
  <c r="T421" i="23"/>
  <c r="O421" i="23"/>
  <c r="N421" i="23"/>
  <c r="P421" i="23" s="1"/>
  <c r="H421" i="23"/>
  <c r="U420" i="23"/>
  <c r="T420" i="23"/>
  <c r="O420" i="23"/>
  <c r="N420" i="23"/>
  <c r="P420" i="23" s="1"/>
  <c r="H420" i="23"/>
  <c r="R419" i="23"/>
  <c r="R424" i="23" s="1"/>
  <c r="O419" i="23"/>
  <c r="N419" i="23"/>
  <c r="S419" i="23" s="1"/>
  <c r="M418" i="23"/>
  <c r="H418" i="23"/>
  <c r="U417" i="23"/>
  <c r="T417" i="23"/>
  <c r="O417" i="23"/>
  <c r="N417" i="23"/>
  <c r="P417" i="23" s="1"/>
  <c r="H417" i="23"/>
  <c r="G417" i="23"/>
  <c r="U416" i="23"/>
  <c r="T416" i="23"/>
  <c r="O416" i="23"/>
  <c r="N416" i="23"/>
  <c r="P416" i="23" s="1"/>
  <c r="H416" i="23"/>
  <c r="U415" i="23"/>
  <c r="T415" i="23"/>
  <c r="O415" i="23"/>
  <c r="N415" i="23"/>
  <c r="P415" i="23" s="1"/>
  <c r="H415" i="23"/>
  <c r="U414" i="23"/>
  <c r="T414" i="23"/>
  <c r="O414" i="23"/>
  <c r="N414" i="23"/>
  <c r="P414" i="23" s="1"/>
  <c r="H414" i="23"/>
  <c r="R413" i="23"/>
  <c r="R418" i="23" s="1"/>
  <c r="O413" i="23"/>
  <c r="N413" i="23"/>
  <c r="P413" i="23" s="1"/>
  <c r="M412" i="23"/>
  <c r="N412" i="23" s="1"/>
  <c r="H412" i="23"/>
  <c r="U411" i="23"/>
  <c r="T411" i="23"/>
  <c r="O411" i="23"/>
  <c r="N411" i="23"/>
  <c r="P411" i="23" s="1"/>
  <c r="G411" i="23"/>
  <c r="H411" i="23" s="1"/>
  <c r="U410" i="23"/>
  <c r="T410" i="23"/>
  <c r="O410" i="23"/>
  <c r="N410" i="23"/>
  <c r="P410" i="23" s="1"/>
  <c r="H410" i="23"/>
  <c r="U409" i="23"/>
  <c r="T409" i="23"/>
  <c r="O409" i="23"/>
  <c r="N409" i="23"/>
  <c r="P409" i="23" s="1"/>
  <c r="H409" i="23"/>
  <c r="H407" i="23" s="1"/>
  <c r="J407" i="23" s="1"/>
  <c r="U408" i="23"/>
  <c r="T408" i="23"/>
  <c r="O408" i="23"/>
  <c r="N408" i="23"/>
  <c r="P408" i="23" s="1"/>
  <c r="H408" i="23"/>
  <c r="R407" i="23"/>
  <c r="O407" i="23"/>
  <c r="N407" i="23"/>
  <c r="S407" i="23" s="1"/>
  <c r="M406" i="23"/>
  <c r="N406" i="23" s="1"/>
  <c r="S406" i="23" s="1"/>
  <c r="H406" i="23"/>
  <c r="U405" i="23"/>
  <c r="T405" i="23"/>
  <c r="O405" i="23"/>
  <c r="N405" i="23"/>
  <c r="P405" i="23" s="1"/>
  <c r="H405" i="23"/>
  <c r="G405" i="23"/>
  <c r="U404" i="23"/>
  <c r="T404" i="23"/>
  <c r="O404" i="23"/>
  <c r="N404" i="23"/>
  <c r="P404" i="23" s="1"/>
  <c r="H404" i="23"/>
  <c r="U403" i="23"/>
  <c r="T403" i="23"/>
  <c r="O403" i="23"/>
  <c r="N403" i="23"/>
  <c r="P403" i="23" s="1"/>
  <c r="H403" i="23"/>
  <c r="U402" i="23"/>
  <c r="T402" i="23"/>
  <c r="O402" i="23"/>
  <c r="N402" i="23"/>
  <c r="P402" i="23" s="1"/>
  <c r="H402" i="23"/>
  <c r="H401" i="23" s="1"/>
  <c r="J401" i="23" s="1"/>
  <c r="R401" i="23"/>
  <c r="R406" i="23" s="1"/>
  <c r="O401" i="23"/>
  <c r="N401" i="23"/>
  <c r="P401" i="23" s="1"/>
  <c r="M400" i="23"/>
  <c r="H400" i="23"/>
  <c r="U399" i="23"/>
  <c r="T399" i="23"/>
  <c r="O399" i="23"/>
  <c r="N399" i="23"/>
  <c r="P399" i="23" s="1"/>
  <c r="H399" i="23"/>
  <c r="G399" i="23"/>
  <c r="U398" i="23"/>
  <c r="T398" i="23"/>
  <c r="O398" i="23"/>
  <c r="N398" i="23"/>
  <c r="P398" i="23" s="1"/>
  <c r="H398" i="23"/>
  <c r="U397" i="23"/>
  <c r="T397" i="23"/>
  <c r="O397" i="23"/>
  <c r="N397" i="23"/>
  <c r="P397" i="23" s="1"/>
  <c r="H397" i="23"/>
  <c r="U396" i="23"/>
  <c r="T396" i="23"/>
  <c r="O396" i="23"/>
  <c r="N396" i="23"/>
  <c r="P396" i="23" s="1"/>
  <c r="H396" i="23"/>
  <c r="R395" i="23"/>
  <c r="M394" i="23"/>
  <c r="H394" i="23"/>
  <c r="U393" i="23"/>
  <c r="T393" i="23"/>
  <c r="O393" i="23"/>
  <c r="N393" i="23"/>
  <c r="P393" i="23" s="1"/>
  <c r="G393" i="23"/>
  <c r="H393" i="23" s="1"/>
  <c r="U392" i="23"/>
  <c r="T392" i="23"/>
  <c r="O392" i="23"/>
  <c r="N392" i="23"/>
  <c r="P392" i="23" s="1"/>
  <c r="H392" i="23"/>
  <c r="U391" i="23"/>
  <c r="T391" i="23"/>
  <c r="O391" i="23"/>
  <c r="N391" i="23"/>
  <c r="P391" i="23" s="1"/>
  <c r="H391" i="23"/>
  <c r="U390" i="23"/>
  <c r="T390" i="23"/>
  <c r="O390" i="23"/>
  <c r="N390" i="23"/>
  <c r="P390" i="23" s="1"/>
  <c r="H390" i="23"/>
  <c r="R389" i="23"/>
  <c r="R394" i="23" s="1"/>
  <c r="N388" i="23"/>
  <c r="P388" i="23" s="1"/>
  <c r="M388" i="23"/>
  <c r="H388" i="23"/>
  <c r="U387" i="23"/>
  <c r="T387" i="23"/>
  <c r="O387" i="23"/>
  <c r="N387" i="23"/>
  <c r="P387" i="23" s="1"/>
  <c r="G387" i="23"/>
  <c r="H387" i="23" s="1"/>
  <c r="U386" i="23"/>
  <c r="T386" i="23"/>
  <c r="O386" i="23"/>
  <c r="N386" i="23"/>
  <c r="P386" i="23" s="1"/>
  <c r="H386" i="23"/>
  <c r="U385" i="23"/>
  <c r="T385" i="23"/>
  <c r="O385" i="23"/>
  <c r="N385" i="23"/>
  <c r="P385" i="23" s="1"/>
  <c r="J385" i="23"/>
  <c r="H385" i="23"/>
  <c r="U384" i="23"/>
  <c r="T384" i="23"/>
  <c r="O384" i="23"/>
  <c r="N384" i="23"/>
  <c r="P384" i="23" s="1"/>
  <c r="H384" i="23"/>
  <c r="H383" i="23" s="1"/>
  <c r="J383" i="23" s="1"/>
  <c r="R383" i="23"/>
  <c r="R388" i="23" s="1"/>
  <c r="O383" i="23"/>
  <c r="N383" i="23"/>
  <c r="M382" i="23"/>
  <c r="N382" i="23" s="1"/>
  <c r="H382" i="23"/>
  <c r="U381" i="23"/>
  <c r="T381" i="23"/>
  <c r="O381" i="23"/>
  <c r="N381" i="23"/>
  <c r="P381" i="23" s="1"/>
  <c r="G381" i="23"/>
  <c r="H381" i="23" s="1"/>
  <c r="U380" i="23"/>
  <c r="T380" i="23"/>
  <c r="O380" i="23"/>
  <c r="N380" i="23"/>
  <c r="P380" i="23" s="1"/>
  <c r="H380" i="23"/>
  <c r="U379" i="23"/>
  <c r="T379" i="23"/>
  <c r="O379" i="23"/>
  <c r="N379" i="23"/>
  <c r="P379" i="23" s="1"/>
  <c r="J379" i="23"/>
  <c r="H379" i="23"/>
  <c r="U378" i="23"/>
  <c r="T378" i="23"/>
  <c r="O378" i="23"/>
  <c r="N378" i="23"/>
  <c r="P378" i="23" s="1"/>
  <c r="H378" i="23"/>
  <c r="H377" i="23" s="1"/>
  <c r="J377" i="23" s="1"/>
  <c r="R377" i="23"/>
  <c r="R382" i="23" s="1"/>
  <c r="O377" i="23"/>
  <c r="N377" i="23"/>
  <c r="P377" i="23" s="1"/>
  <c r="M376" i="23"/>
  <c r="N376" i="23" s="1"/>
  <c r="H376" i="23"/>
  <c r="U375" i="23"/>
  <c r="T375" i="23"/>
  <c r="O375" i="23"/>
  <c r="N375" i="23"/>
  <c r="P375" i="23" s="1"/>
  <c r="H375" i="23"/>
  <c r="G375" i="23"/>
  <c r="U374" i="23"/>
  <c r="T374" i="23"/>
  <c r="O374" i="23"/>
  <c r="N374" i="23"/>
  <c r="P374" i="23" s="1"/>
  <c r="H374" i="23"/>
  <c r="U373" i="23"/>
  <c r="T373" i="23"/>
  <c r="O373" i="23"/>
  <c r="N373" i="23"/>
  <c r="P373" i="23" s="1"/>
  <c r="H373" i="23"/>
  <c r="U372" i="23"/>
  <c r="T372" i="23"/>
  <c r="O372" i="23"/>
  <c r="N372" i="23"/>
  <c r="P372" i="23" s="1"/>
  <c r="H372" i="23"/>
  <c r="R371" i="23"/>
  <c r="R376" i="23" s="1"/>
  <c r="O371" i="23"/>
  <c r="N371" i="23"/>
  <c r="S371" i="23" s="1"/>
  <c r="N370" i="23"/>
  <c r="S370" i="23" s="1"/>
  <c r="M370" i="23"/>
  <c r="H370" i="23"/>
  <c r="U369" i="23"/>
  <c r="T369" i="23"/>
  <c r="O369" i="23"/>
  <c r="N369" i="23"/>
  <c r="P369" i="23" s="1"/>
  <c r="G369" i="23"/>
  <c r="H369" i="23" s="1"/>
  <c r="U368" i="23"/>
  <c r="T368" i="23"/>
  <c r="O368" i="23"/>
  <c r="N368" i="23"/>
  <c r="P368" i="23" s="1"/>
  <c r="H368" i="23"/>
  <c r="U367" i="23"/>
  <c r="T367" i="23"/>
  <c r="O367" i="23"/>
  <c r="N367" i="23"/>
  <c r="P367" i="23" s="1"/>
  <c r="H367" i="23"/>
  <c r="U366" i="23"/>
  <c r="T366" i="23"/>
  <c r="O366" i="23"/>
  <c r="N366" i="23"/>
  <c r="P366" i="23" s="1"/>
  <c r="H366" i="23"/>
  <c r="R365" i="23"/>
  <c r="R370" i="23" s="1"/>
  <c r="O365" i="23"/>
  <c r="N365" i="23"/>
  <c r="R364" i="23"/>
  <c r="M364" i="23"/>
  <c r="N364" i="23" s="1"/>
  <c r="P364" i="23" s="1"/>
  <c r="H364" i="23"/>
  <c r="U363" i="23"/>
  <c r="T363" i="23"/>
  <c r="O363" i="23"/>
  <c r="N363" i="23"/>
  <c r="P363" i="23" s="1"/>
  <c r="H363" i="23"/>
  <c r="G363" i="23"/>
  <c r="U362" i="23"/>
  <c r="T362" i="23"/>
  <c r="O362" i="23"/>
  <c r="N362" i="23"/>
  <c r="P362" i="23" s="1"/>
  <c r="H362" i="23"/>
  <c r="U361" i="23"/>
  <c r="T361" i="23"/>
  <c r="O361" i="23"/>
  <c r="N361" i="23"/>
  <c r="P361" i="23" s="1"/>
  <c r="H361" i="23"/>
  <c r="U360" i="23"/>
  <c r="T360" i="23"/>
  <c r="O360" i="23"/>
  <c r="N360" i="23"/>
  <c r="P360" i="23" s="1"/>
  <c r="J360" i="23"/>
  <c r="H360" i="23"/>
  <c r="R359" i="23"/>
  <c r="O359" i="23"/>
  <c r="N359" i="23"/>
  <c r="S359" i="23" s="1"/>
  <c r="R358" i="23"/>
  <c r="M358" i="23"/>
  <c r="N358" i="23" s="1"/>
  <c r="P358" i="23" s="1"/>
  <c r="H358" i="23"/>
  <c r="U357" i="23"/>
  <c r="T357" i="23"/>
  <c r="O357" i="23"/>
  <c r="N357" i="23"/>
  <c r="P357" i="23" s="1"/>
  <c r="H357" i="23"/>
  <c r="U356" i="23"/>
  <c r="T356" i="23"/>
  <c r="O356" i="23"/>
  <c r="N356" i="23"/>
  <c r="P356" i="23" s="1"/>
  <c r="H356" i="23"/>
  <c r="U355" i="23"/>
  <c r="T355" i="23"/>
  <c r="O355" i="23"/>
  <c r="N355" i="23"/>
  <c r="P355" i="23" s="1"/>
  <c r="H355" i="23"/>
  <c r="U354" i="23"/>
  <c r="T354" i="23"/>
  <c r="O354" i="23"/>
  <c r="N354" i="23"/>
  <c r="P354" i="23" s="1"/>
  <c r="H354" i="23"/>
  <c r="J354" i="23" s="1"/>
  <c r="R353" i="23"/>
  <c r="O353" i="23"/>
  <c r="N353" i="23"/>
  <c r="S353" i="23" s="1"/>
  <c r="M352" i="23"/>
  <c r="H352" i="23"/>
  <c r="U351" i="23"/>
  <c r="T351" i="23"/>
  <c r="O351" i="23"/>
  <c r="N351" i="23"/>
  <c r="P351" i="23" s="1"/>
  <c r="G351" i="23"/>
  <c r="H351" i="23" s="1"/>
  <c r="U350" i="23"/>
  <c r="T350" i="23"/>
  <c r="O350" i="23"/>
  <c r="N350" i="23"/>
  <c r="P350" i="23" s="1"/>
  <c r="H350" i="23"/>
  <c r="U349" i="23"/>
  <c r="T349" i="23"/>
  <c r="O349" i="23"/>
  <c r="N349" i="23"/>
  <c r="P349" i="23" s="1"/>
  <c r="H349" i="23"/>
  <c r="U348" i="23"/>
  <c r="T348" i="23"/>
  <c r="O348" i="23"/>
  <c r="N348" i="23"/>
  <c r="P348" i="23" s="1"/>
  <c r="H348" i="23"/>
  <c r="R347" i="23"/>
  <c r="R352" i="23" s="1"/>
  <c r="O347" i="23"/>
  <c r="N347" i="23"/>
  <c r="S347" i="23" s="1"/>
  <c r="U347" i="23" s="1"/>
  <c r="M346" i="23"/>
  <c r="N346" i="23" s="1"/>
  <c r="H346" i="23"/>
  <c r="U345" i="23"/>
  <c r="T345" i="23"/>
  <c r="O345" i="23"/>
  <c r="N345" i="23"/>
  <c r="P345" i="23" s="1"/>
  <c r="G345" i="23"/>
  <c r="H345" i="23" s="1"/>
  <c r="U344" i="23"/>
  <c r="T344" i="23"/>
  <c r="O344" i="23"/>
  <c r="N344" i="23"/>
  <c r="P344" i="23" s="1"/>
  <c r="H344" i="23"/>
  <c r="U343" i="23"/>
  <c r="T343" i="23"/>
  <c r="O343" i="23"/>
  <c r="N343" i="23"/>
  <c r="P343" i="23" s="1"/>
  <c r="H343" i="23"/>
  <c r="J343" i="23" s="1"/>
  <c r="U342" i="23"/>
  <c r="T342" i="23"/>
  <c r="O342" i="23"/>
  <c r="N342" i="23"/>
  <c r="P342" i="23" s="1"/>
  <c r="H342" i="23"/>
  <c r="R341" i="23"/>
  <c r="R346" i="23" s="1"/>
  <c r="O341" i="23"/>
  <c r="N341" i="23"/>
  <c r="P341" i="23" s="1"/>
  <c r="M340" i="23"/>
  <c r="N340" i="23" s="1"/>
  <c r="H340" i="23"/>
  <c r="U339" i="23"/>
  <c r="T339" i="23"/>
  <c r="O339" i="23"/>
  <c r="N339" i="23"/>
  <c r="P339" i="23" s="1"/>
  <c r="G339" i="23"/>
  <c r="H339" i="23" s="1"/>
  <c r="U338" i="23"/>
  <c r="T338" i="23"/>
  <c r="O338" i="23"/>
  <c r="N338" i="23"/>
  <c r="P338" i="23" s="1"/>
  <c r="H338" i="23"/>
  <c r="U337" i="23"/>
  <c r="T337" i="23"/>
  <c r="O337" i="23"/>
  <c r="N337" i="23"/>
  <c r="P337" i="23" s="1"/>
  <c r="H337" i="23"/>
  <c r="J337" i="23" s="1"/>
  <c r="U336" i="23"/>
  <c r="T336" i="23"/>
  <c r="O336" i="23"/>
  <c r="N336" i="23"/>
  <c r="P336" i="23" s="1"/>
  <c r="H336" i="23"/>
  <c r="R335" i="23"/>
  <c r="O335" i="23"/>
  <c r="N335" i="23"/>
  <c r="S335" i="23" s="1"/>
  <c r="M334" i="23"/>
  <c r="N334" i="23" s="1"/>
  <c r="P334" i="23" s="1"/>
  <c r="H334" i="23"/>
  <c r="U333" i="23"/>
  <c r="T333" i="23"/>
  <c r="O333" i="23"/>
  <c r="N333" i="23"/>
  <c r="P333" i="23" s="1"/>
  <c r="H333" i="23"/>
  <c r="G333" i="23"/>
  <c r="U332" i="23"/>
  <c r="T332" i="23"/>
  <c r="O332" i="23"/>
  <c r="N332" i="23"/>
  <c r="P332" i="23" s="1"/>
  <c r="H332" i="23"/>
  <c r="U331" i="23"/>
  <c r="T331" i="23"/>
  <c r="O331" i="23"/>
  <c r="N331" i="23"/>
  <c r="P331" i="23" s="1"/>
  <c r="H331" i="23"/>
  <c r="J331" i="23" s="1"/>
  <c r="U330" i="23"/>
  <c r="T330" i="23"/>
  <c r="O330" i="23"/>
  <c r="N330" i="23"/>
  <c r="P330" i="23" s="1"/>
  <c r="H330" i="23"/>
  <c r="R329" i="23"/>
  <c r="R334" i="23" s="1"/>
  <c r="O329" i="23"/>
  <c r="N329" i="23"/>
  <c r="S329" i="23" s="1"/>
  <c r="H329" i="23"/>
  <c r="J329" i="23" s="1"/>
  <c r="R328" i="23"/>
  <c r="N328" i="23"/>
  <c r="P328" i="23" s="1"/>
  <c r="M328" i="23"/>
  <c r="H328" i="23"/>
  <c r="U327" i="23"/>
  <c r="T327" i="23"/>
  <c r="O327" i="23"/>
  <c r="N327" i="23"/>
  <c r="P327" i="23" s="1"/>
  <c r="G327" i="23"/>
  <c r="H327" i="23" s="1"/>
  <c r="U326" i="23"/>
  <c r="T326" i="23"/>
  <c r="O326" i="23"/>
  <c r="N326" i="23"/>
  <c r="P326" i="23" s="1"/>
  <c r="H326" i="23"/>
  <c r="U325" i="23"/>
  <c r="T325" i="23"/>
  <c r="O325" i="23"/>
  <c r="N325" i="23"/>
  <c r="P325" i="23" s="1"/>
  <c r="J325" i="23"/>
  <c r="H325" i="23"/>
  <c r="U324" i="23"/>
  <c r="T324" i="23"/>
  <c r="O324" i="23"/>
  <c r="N324" i="23"/>
  <c r="P324" i="23" s="1"/>
  <c r="H324" i="23"/>
  <c r="J324" i="23" s="1"/>
  <c r="R323" i="23"/>
  <c r="O323" i="23"/>
  <c r="N323" i="23"/>
  <c r="S323" i="23" s="1"/>
  <c r="N322" i="23"/>
  <c r="S322" i="23" s="1"/>
  <c r="M322" i="23"/>
  <c r="H322" i="23"/>
  <c r="U321" i="23"/>
  <c r="T321" i="23"/>
  <c r="O321" i="23"/>
  <c r="N321" i="23"/>
  <c r="P321" i="23" s="1"/>
  <c r="G321" i="23"/>
  <c r="H321" i="23" s="1"/>
  <c r="U320" i="23"/>
  <c r="T320" i="23"/>
  <c r="O320" i="23"/>
  <c r="N320" i="23"/>
  <c r="P320" i="23" s="1"/>
  <c r="H320" i="23"/>
  <c r="U319" i="23"/>
  <c r="T319" i="23"/>
  <c r="O319" i="23"/>
  <c r="N319" i="23"/>
  <c r="P319" i="23" s="1"/>
  <c r="H319" i="23"/>
  <c r="J319" i="23" s="1"/>
  <c r="U318" i="23"/>
  <c r="T318" i="23"/>
  <c r="O318" i="23"/>
  <c r="N318" i="23"/>
  <c r="P318" i="23" s="1"/>
  <c r="J318" i="23"/>
  <c r="H318" i="23"/>
  <c r="R317" i="23"/>
  <c r="O317" i="23"/>
  <c r="N317" i="23"/>
  <c r="R316" i="23"/>
  <c r="N316" i="23"/>
  <c r="P316" i="23" s="1"/>
  <c r="M316" i="23"/>
  <c r="H316" i="23"/>
  <c r="U315" i="23"/>
  <c r="T315" i="23"/>
  <c r="O315" i="23"/>
  <c r="N315" i="23"/>
  <c r="P315" i="23" s="1"/>
  <c r="G315" i="23"/>
  <c r="H315" i="23" s="1"/>
  <c r="U314" i="23"/>
  <c r="T314" i="23"/>
  <c r="O314" i="23"/>
  <c r="N314" i="23"/>
  <c r="P314" i="23" s="1"/>
  <c r="H314" i="23"/>
  <c r="U313" i="23"/>
  <c r="T313" i="23"/>
  <c r="O313" i="23"/>
  <c r="N313" i="23"/>
  <c r="P313" i="23" s="1"/>
  <c r="H313" i="23"/>
  <c r="J313" i="23" s="1"/>
  <c r="U312" i="23"/>
  <c r="T312" i="23"/>
  <c r="O312" i="23"/>
  <c r="N312" i="23"/>
  <c r="P312" i="23" s="1"/>
  <c r="H312" i="23"/>
  <c r="J312" i="23" s="1"/>
  <c r="R311" i="23"/>
  <c r="O311" i="23"/>
  <c r="N311" i="23"/>
  <c r="S311" i="23" s="1"/>
  <c r="U311" i="23" s="1"/>
  <c r="M310" i="23"/>
  <c r="H310" i="23"/>
  <c r="U309" i="23"/>
  <c r="T309" i="23"/>
  <c r="O309" i="23"/>
  <c r="N309" i="23"/>
  <c r="P309" i="23" s="1"/>
  <c r="H309" i="23"/>
  <c r="G309" i="23"/>
  <c r="U308" i="23"/>
  <c r="T308" i="23"/>
  <c r="O308" i="23"/>
  <c r="N308" i="23"/>
  <c r="P308" i="23" s="1"/>
  <c r="H308" i="23"/>
  <c r="U307" i="23"/>
  <c r="T307" i="23"/>
  <c r="O307" i="23"/>
  <c r="N307" i="23"/>
  <c r="P307" i="23" s="1"/>
  <c r="H307" i="23"/>
  <c r="J307" i="23" s="1"/>
  <c r="U306" i="23"/>
  <c r="T306" i="23"/>
  <c r="O306" i="23"/>
  <c r="N306" i="23"/>
  <c r="P306" i="23" s="1"/>
  <c r="H306" i="23"/>
  <c r="R305" i="23"/>
  <c r="R310" i="23" s="1"/>
  <c r="O305" i="23"/>
  <c r="N305" i="23"/>
  <c r="M304" i="23"/>
  <c r="N304" i="23" s="1"/>
  <c r="H304" i="23"/>
  <c r="U303" i="23"/>
  <c r="T303" i="23"/>
  <c r="O303" i="23"/>
  <c r="N303" i="23"/>
  <c r="P303" i="23" s="1"/>
  <c r="H303" i="23"/>
  <c r="H302" i="23" s="1"/>
  <c r="J302" i="23" s="1"/>
  <c r="R302" i="23"/>
  <c r="O302" i="23"/>
  <c r="N302" i="23"/>
  <c r="R301" i="23"/>
  <c r="M301" i="23"/>
  <c r="N301" i="23" s="1"/>
  <c r="S301" i="23" s="1"/>
  <c r="U301" i="23" s="1"/>
  <c r="H301" i="23"/>
  <c r="U300" i="23"/>
  <c r="T300" i="23"/>
  <c r="O300" i="23"/>
  <c r="N300" i="23"/>
  <c r="P300" i="23" s="1"/>
  <c r="H300" i="23"/>
  <c r="H299" i="23" s="1"/>
  <c r="J299" i="23" s="1"/>
  <c r="R299" i="23"/>
  <c r="O299" i="23"/>
  <c r="N299" i="23"/>
  <c r="S299" i="23" s="1"/>
  <c r="M298" i="23"/>
  <c r="N298" i="23" s="1"/>
  <c r="H298" i="23"/>
  <c r="U297" i="23"/>
  <c r="T297" i="23"/>
  <c r="O297" i="23"/>
  <c r="N297" i="23"/>
  <c r="P297" i="23" s="1"/>
  <c r="H297" i="23"/>
  <c r="R296" i="23"/>
  <c r="R298" i="23" s="1"/>
  <c r="O296" i="23"/>
  <c r="N296" i="23"/>
  <c r="S296" i="23" s="1"/>
  <c r="H296" i="23"/>
  <c r="J296" i="23" s="1"/>
  <c r="M295" i="23"/>
  <c r="H295" i="23"/>
  <c r="U294" i="23"/>
  <c r="T294" i="23"/>
  <c r="O294" i="23"/>
  <c r="N294" i="23"/>
  <c r="P294" i="23" s="1"/>
  <c r="H294" i="23"/>
  <c r="R293" i="23"/>
  <c r="R295" i="23" s="1"/>
  <c r="O293" i="23"/>
  <c r="N293" i="23"/>
  <c r="S293" i="23" s="1"/>
  <c r="H293" i="23"/>
  <c r="J293" i="23" s="1"/>
  <c r="N292" i="23"/>
  <c r="P292" i="23" s="1"/>
  <c r="M292" i="23"/>
  <c r="H292" i="23"/>
  <c r="U291" i="23"/>
  <c r="T291" i="23"/>
  <c r="O291" i="23"/>
  <c r="N291" i="23"/>
  <c r="P291" i="23" s="1"/>
  <c r="H291" i="23"/>
  <c r="H290" i="23" s="1"/>
  <c r="J290" i="23" s="1"/>
  <c r="R290" i="23"/>
  <c r="R292" i="23" s="1"/>
  <c r="O290" i="23"/>
  <c r="N290" i="23"/>
  <c r="S290" i="23" s="1"/>
  <c r="M289" i="23"/>
  <c r="N289" i="23" s="1"/>
  <c r="H289" i="23"/>
  <c r="U288" i="23"/>
  <c r="T288" i="23"/>
  <c r="O288" i="23"/>
  <c r="N288" i="23"/>
  <c r="P288" i="23" s="1"/>
  <c r="H288" i="23"/>
  <c r="R287" i="23"/>
  <c r="O287" i="23"/>
  <c r="N287" i="23"/>
  <c r="S287" i="23" s="1"/>
  <c r="H287" i="23"/>
  <c r="J287" i="23" s="1"/>
  <c r="N286" i="23"/>
  <c r="P286" i="23" s="1"/>
  <c r="M286" i="23"/>
  <c r="H286" i="23"/>
  <c r="U285" i="23"/>
  <c r="T285" i="23"/>
  <c r="O285" i="23"/>
  <c r="N285" i="23"/>
  <c r="P285" i="23" s="1"/>
  <c r="H285" i="23"/>
  <c r="H284" i="23" s="1"/>
  <c r="J284" i="23" s="1"/>
  <c r="R284" i="23"/>
  <c r="R286" i="23" s="1"/>
  <c r="O284" i="23"/>
  <c r="N284" i="23"/>
  <c r="S284" i="23" s="1"/>
  <c r="M283" i="23"/>
  <c r="N283" i="23" s="1"/>
  <c r="S283" i="23" s="1"/>
  <c r="H283" i="23"/>
  <c r="U282" i="23"/>
  <c r="T282" i="23"/>
  <c r="O282" i="23"/>
  <c r="N282" i="23"/>
  <c r="P282" i="23" s="1"/>
  <c r="H282" i="23"/>
  <c r="H281" i="23" s="1"/>
  <c r="J281" i="23" s="1"/>
  <c r="R281" i="23"/>
  <c r="R283" i="23" s="1"/>
  <c r="O281" i="23"/>
  <c r="N281" i="23"/>
  <c r="P281" i="23" s="1"/>
  <c r="M280" i="23"/>
  <c r="N280" i="23" s="1"/>
  <c r="H280" i="23"/>
  <c r="U279" i="23"/>
  <c r="T279" i="23"/>
  <c r="O279" i="23"/>
  <c r="N279" i="23"/>
  <c r="P279" i="23" s="1"/>
  <c r="H279" i="23"/>
  <c r="H278" i="23" s="1"/>
  <c r="J278" i="23" s="1"/>
  <c r="R278" i="23"/>
  <c r="O278" i="23"/>
  <c r="N278" i="23"/>
  <c r="R277" i="23"/>
  <c r="M277" i="23"/>
  <c r="N277" i="23" s="1"/>
  <c r="S277" i="23" s="1"/>
  <c r="H277" i="23"/>
  <c r="U276" i="23"/>
  <c r="T276" i="23"/>
  <c r="O276" i="23"/>
  <c r="N276" i="23"/>
  <c r="P276" i="23" s="1"/>
  <c r="H276" i="23"/>
  <c r="H275" i="23" s="1"/>
  <c r="J275" i="23" s="1"/>
  <c r="R275" i="23"/>
  <c r="O275" i="23"/>
  <c r="N275" i="23"/>
  <c r="S275" i="23" s="1"/>
  <c r="U275" i="23" s="1"/>
  <c r="M274" i="23"/>
  <c r="N274" i="23" s="1"/>
  <c r="H274" i="23"/>
  <c r="U273" i="23"/>
  <c r="T273" i="23"/>
  <c r="O273" i="23"/>
  <c r="N273" i="23"/>
  <c r="P273" i="23" s="1"/>
  <c r="H273" i="23"/>
  <c r="U272" i="23"/>
  <c r="T272" i="23"/>
  <c r="O272" i="23"/>
  <c r="N272" i="23"/>
  <c r="P272" i="23" s="1"/>
  <c r="H272" i="23"/>
  <c r="U271" i="23"/>
  <c r="T271" i="23"/>
  <c r="O271" i="23"/>
  <c r="N271" i="23"/>
  <c r="P271" i="23" s="1"/>
  <c r="H271" i="23"/>
  <c r="H270" i="23" s="1"/>
  <c r="J270" i="23" s="1"/>
  <c r="R270" i="23"/>
  <c r="O270" i="23"/>
  <c r="N270" i="23"/>
  <c r="S270" i="23" s="1"/>
  <c r="U270" i="23" s="1"/>
  <c r="N269" i="23"/>
  <c r="M269" i="23"/>
  <c r="H269" i="23"/>
  <c r="U268" i="23"/>
  <c r="T268" i="23"/>
  <c r="O268" i="23"/>
  <c r="N268" i="23"/>
  <c r="P268" i="23" s="1"/>
  <c r="H268" i="23"/>
  <c r="U267" i="23"/>
  <c r="T267" i="23"/>
  <c r="O267" i="23"/>
  <c r="N267" i="23"/>
  <c r="H267" i="23"/>
  <c r="U266" i="23"/>
  <c r="T266" i="23"/>
  <c r="O266" i="23"/>
  <c r="N266" i="23"/>
  <c r="P266" i="23" s="1"/>
  <c r="H266" i="23"/>
  <c r="R265" i="23"/>
  <c r="R269" i="23" s="1"/>
  <c r="O265" i="23"/>
  <c r="N265" i="23"/>
  <c r="M264" i="23"/>
  <c r="N264" i="23" s="1"/>
  <c r="S264" i="23" s="1"/>
  <c r="H264" i="23"/>
  <c r="U263" i="23"/>
  <c r="T263" i="23"/>
  <c r="O263" i="23"/>
  <c r="N263" i="23"/>
  <c r="P263" i="23" s="1"/>
  <c r="H263" i="23"/>
  <c r="U262" i="23"/>
  <c r="T262" i="23"/>
  <c r="O262" i="23"/>
  <c r="N262" i="23"/>
  <c r="P262" i="23" s="1"/>
  <c r="H262" i="23"/>
  <c r="U261" i="23"/>
  <c r="T261" i="23"/>
  <c r="O261" i="23"/>
  <c r="N261" i="23"/>
  <c r="P261" i="23" s="1"/>
  <c r="H261" i="23"/>
  <c r="H260" i="23" s="1"/>
  <c r="J260" i="23" s="1"/>
  <c r="R260" i="23"/>
  <c r="O260" i="23"/>
  <c r="N260" i="23"/>
  <c r="S260" i="23" s="1"/>
  <c r="N259" i="23"/>
  <c r="P259" i="23" s="1"/>
  <c r="M259" i="23"/>
  <c r="H259" i="23"/>
  <c r="U258" i="23"/>
  <c r="T258" i="23"/>
  <c r="O258" i="23"/>
  <c r="N258" i="23"/>
  <c r="P258" i="23" s="1"/>
  <c r="H258" i="23"/>
  <c r="U257" i="23"/>
  <c r="T257" i="23"/>
  <c r="O257" i="23"/>
  <c r="N257" i="23"/>
  <c r="P257" i="23" s="1"/>
  <c r="H257" i="23"/>
  <c r="U256" i="23"/>
  <c r="T256" i="23"/>
  <c r="O256" i="23"/>
  <c r="N256" i="23"/>
  <c r="P256" i="23" s="1"/>
  <c r="H256" i="23"/>
  <c r="R255" i="23"/>
  <c r="R259" i="23" s="1"/>
  <c r="O255" i="23"/>
  <c r="N255" i="23"/>
  <c r="R254" i="23"/>
  <c r="O254" i="23"/>
  <c r="N254" i="23"/>
  <c r="S254" i="23" s="1"/>
  <c r="U254" i="23" s="1"/>
  <c r="J254" i="23"/>
  <c r="H254" i="23"/>
  <c r="R253" i="23"/>
  <c r="O253" i="23"/>
  <c r="N253" i="23"/>
  <c r="P253" i="23" s="1"/>
  <c r="H253" i="23"/>
  <c r="J253" i="23" s="1"/>
  <c r="R252" i="23"/>
  <c r="O252" i="23"/>
  <c r="N252" i="23"/>
  <c r="J252" i="23"/>
  <c r="H252" i="23"/>
  <c r="R251" i="23"/>
  <c r="O251" i="23"/>
  <c r="N251" i="23"/>
  <c r="S251" i="23" s="1"/>
  <c r="H251" i="23"/>
  <c r="J251" i="23" s="1"/>
  <c r="R250" i="23"/>
  <c r="O250" i="23"/>
  <c r="N250" i="23"/>
  <c r="P250" i="23" s="1"/>
  <c r="H250" i="23"/>
  <c r="J250" i="23" s="1"/>
  <c r="R249" i="23"/>
  <c r="O249" i="23"/>
  <c r="N249" i="23"/>
  <c r="J249" i="23"/>
  <c r="H249" i="23"/>
  <c r="R248" i="23"/>
  <c r="O248" i="23"/>
  <c r="N248" i="23"/>
  <c r="S248" i="23" s="1"/>
  <c r="H248" i="23"/>
  <c r="J248" i="23" s="1"/>
  <c r="R247" i="23"/>
  <c r="O247" i="23"/>
  <c r="N247" i="23"/>
  <c r="P247" i="23" s="1"/>
  <c r="G247" i="23"/>
  <c r="H247" i="23" s="1"/>
  <c r="J247" i="23" s="1"/>
  <c r="R246" i="23"/>
  <c r="O246" i="23"/>
  <c r="N246" i="23"/>
  <c r="H246" i="23"/>
  <c r="J246" i="23" s="1"/>
  <c r="G246" i="23"/>
  <c r="R245" i="23"/>
  <c r="O245" i="23"/>
  <c r="N245" i="23"/>
  <c r="S245" i="23" s="1"/>
  <c r="H245" i="23"/>
  <c r="J245" i="23" s="1"/>
  <c r="G245" i="23"/>
  <c r="R244" i="23"/>
  <c r="O244" i="23"/>
  <c r="N244" i="23"/>
  <c r="G244" i="23"/>
  <c r="H244" i="23" s="1"/>
  <c r="J244" i="23" s="1"/>
  <c r="R243" i="23"/>
  <c r="O243" i="23"/>
  <c r="N243" i="23"/>
  <c r="P243" i="23" s="1"/>
  <c r="G243" i="23"/>
  <c r="H243" i="23" s="1"/>
  <c r="J243" i="23" s="1"/>
  <c r="R242" i="23"/>
  <c r="O242" i="23"/>
  <c r="N242" i="23"/>
  <c r="H242" i="23"/>
  <c r="J242" i="23" s="1"/>
  <c r="G242" i="23"/>
  <c r="R241" i="23"/>
  <c r="O241" i="23"/>
  <c r="N241" i="23"/>
  <c r="S241" i="23" s="1"/>
  <c r="H241" i="23"/>
  <c r="J241" i="23" s="1"/>
  <c r="R240" i="23"/>
  <c r="O240" i="23"/>
  <c r="N240" i="23"/>
  <c r="J240" i="23"/>
  <c r="R239" i="23"/>
  <c r="O239" i="23"/>
  <c r="N239" i="23"/>
  <c r="S239" i="23" s="1"/>
  <c r="U239" i="23" s="1"/>
  <c r="J239" i="23"/>
  <c r="R238" i="23"/>
  <c r="O238" i="23"/>
  <c r="N238" i="23"/>
  <c r="H238" i="23"/>
  <c r="J238" i="23" s="1"/>
  <c r="R237" i="23"/>
  <c r="O237" i="23"/>
  <c r="N237" i="23"/>
  <c r="J237" i="23"/>
  <c r="H237" i="23"/>
  <c r="M236" i="23"/>
  <c r="H236" i="23"/>
  <c r="R235" i="23"/>
  <c r="J235" i="23"/>
  <c r="M234" i="23"/>
  <c r="N234" i="23" s="1"/>
  <c r="H234" i="23"/>
  <c r="R233" i="23"/>
  <c r="O233" i="23"/>
  <c r="N233" i="23"/>
  <c r="J233" i="23"/>
  <c r="M232" i="23"/>
  <c r="N232" i="23" s="1"/>
  <c r="S232" i="23" s="1"/>
  <c r="H232" i="23"/>
  <c r="R231" i="23"/>
  <c r="R232" i="23" s="1"/>
  <c r="O231" i="23"/>
  <c r="N231" i="23"/>
  <c r="S231" i="23" s="1"/>
  <c r="U231" i="23" s="1"/>
  <c r="J231" i="23"/>
  <c r="N230" i="23"/>
  <c r="M230" i="23"/>
  <c r="H230" i="23"/>
  <c r="R229" i="23"/>
  <c r="R230" i="23" s="1"/>
  <c r="O229" i="23"/>
  <c r="N229" i="23"/>
  <c r="S229" i="23" s="1"/>
  <c r="J229" i="23"/>
  <c r="R228" i="23"/>
  <c r="J228" i="23"/>
  <c r="U227" i="23"/>
  <c r="T227" i="23"/>
  <c r="P227" i="23"/>
  <c r="O227" i="23"/>
  <c r="R226" i="23"/>
  <c r="O226" i="23"/>
  <c r="N226" i="23"/>
  <c r="S226" i="23" s="1"/>
  <c r="K226" i="23"/>
  <c r="T226" i="23" s="1"/>
  <c r="R225" i="23"/>
  <c r="O225" i="23"/>
  <c r="N225" i="23"/>
  <c r="S225" i="23" s="1"/>
  <c r="U225" i="23" s="1"/>
  <c r="K225" i="23"/>
  <c r="T225" i="23" s="1"/>
  <c r="R224" i="23"/>
  <c r="O224" i="23"/>
  <c r="N224" i="23"/>
  <c r="S224" i="23" s="1"/>
  <c r="K224" i="23"/>
  <c r="R223" i="23"/>
  <c r="O223" i="23"/>
  <c r="N223" i="23"/>
  <c r="S223" i="23" s="1"/>
  <c r="U223" i="23" s="1"/>
  <c r="K223" i="23"/>
  <c r="R222" i="23"/>
  <c r="O222" i="23"/>
  <c r="N222" i="23"/>
  <c r="K222" i="23"/>
  <c r="T222" i="23" s="1"/>
  <c r="R221" i="23"/>
  <c r="O221" i="23"/>
  <c r="N221" i="23"/>
  <c r="K221" i="23"/>
  <c r="T221" i="23" s="1"/>
  <c r="R220" i="23"/>
  <c r="O220" i="23"/>
  <c r="N220" i="23"/>
  <c r="K220" i="23"/>
  <c r="T220" i="23" s="1"/>
  <c r="R219" i="23"/>
  <c r="O219" i="23"/>
  <c r="N219" i="23"/>
  <c r="S219" i="23" s="1"/>
  <c r="K219" i="23"/>
  <c r="R218" i="23"/>
  <c r="O218" i="23"/>
  <c r="N218" i="23"/>
  <c r="P218" i="23" s="1"/>
  <c r="K218" i="23"/>
  <c r="T218" i="23" s="1"/>
  <c r="R217" i="23"/>
  <c r="O217" i="23"/>
  <c r="N217" i="23"/>
  <c r="S217" i="23" s="1"/>
  <c r="U217" i="23" s="1"/>
  <c r="K217" i="23"/>
  <c r="T217" i="23" s="1"/>
  <c r="R216" i="23"/>
  <c r="O216" i="23"/>
  <c r="N216" i="23"/>
  <c r="S216" i="23" s="1"/>
  <c r="K216" i="23"/>
  <c r="R215" i="23"/>
  <c r="O215" i="23"/>
  <c r="N215" i="23"/>
  <c r="K215" i="23"/>
  <c r="R214" i="23"/>
  <c r="O214" i="23"/>
  <c r="N214" i="23"/>
  <c r="S214" i="23" s="1"/>
  <c r="U214" i="23" s="1"/>
  <c r="K214" i="23"/>
  <c r="T214" i="23" s="1"/>
  <c r="R213" i="23"/>
  <c r="O213" i="23"/>
  <c r="N213" i="23"/>
  <c r="P213" i="23" s="1"/>
  <c r="K213" i="23"/>
  <c r="T213" i="23" s="1"/>
  <c r="R212" i="23"/>
  <c r="O212" i="23"/>
  <c r="N212" i="23"/>
  <c r="K212" i="23"/>
  <c r="T212" i="23" s="1"/>
  <c r="R211" i="23"/>
  <c r="O211" i="23"/>
  <c r="N211" i="23"/>
  <c r="S211" i="23" s="1"/>
  <c r="K211" i="23"/>
  <c r="R210" i="23"/>
  <c r="O210" i="23"/>
  <c r="N210" i="23"/>
  <c r="P210" i="23" s="1"/>
  <c r="K210" i="23"/>
  <c r="T210" i="23" s="1"/>
  <c r="R209" i="23"/>
  <c r="O209" i="23"/>
  <c r="N209" i="23"/>
  <c r="S209" i="23" s="1"/>
  <c r="U209" i="23" s="1"/>
  <c r="K209" i="23"/>
  <c r="T209" i="23" s="1"/>
  <c r="R208" i="23"/>
  <c r="O208" i="23"/>
  <c r="N208" i="23"/>
  <c r="S208" i="23" s="1"/>
  <c r="K208" i="23"/>
  <c r="R207" i="23"/>
  <c r="O207" i="23"/>
  <c r="N207" i="23"/>
  <c r="P207" i="23" s="1"/>
  <c r="K207" i="23"/>
  <c r="R206" i="23"/>
  <c r="O206" i="23"/>
  <c r="N206" i="23"/>
  <c r="S206" i="23" s="1"/>
  <c r="U206" i="23" s="1"/>
  <c r="K206" i="23"/>
  <c r="T206" i="23" s="1"/>
  <c r="R205" i="23"/>
  <c r="O205" i="23"/>
  <c r="N205" i="23"/>
  <c r="S205" i="23" s="1"/>
  <c r="K205" i="23"/>
  <c r="T205" i="23" s="1"/>
  <c r="R204" i="23"/>
  <c r="O204" i="23"/>
  <c r="N204" i="23"/>
  <c r="K204" i="23"/>
  <c r="T204" i="23" s="1"/>
  <c r="R203" i="23"/>
  <c r="O203" i="23"/>
  <c r="N203" i="23"/>
  <c r="S203" i="23" s="1"/>
  <c r="K203" i="23"/>
  <c r="R202" i="23"/>
  <c r="O202" i="23"/>
  <c r="N202" i="23"/>
  <c r="S202" i="23" s="1"/>
  <c r="K202" i="23"/>
  <c r="T202" i="23" s="1"/>
  <c r="U201" i="23"/>
  <c r="T201" i="23"/>
  <c r="O201" i="23"/>
  <c r="N201" i="23"/>
  <c r="P201" i="23" s="1"/>
  <c r="R200" i="23"/>
  <c r="O200" i="23"/>
  <c r="N200" i="23"/>
  <c r="S200" i="23" s="1"/>
  <c r="U200" i="23" s="1"/>
  <c r="J200" i="23"/>
  <c r="H200" i="23"/>
  <c r="R199" i="23"/>
  <c r="O199" i="23"/>
  <c r="N199" i="23"/>
  <c r="P199" i="23" s="1"/>
  <c r="H199" i="23"/>
  <c r="J199" i="23" s="1"/>
  <c r="U198" i="23"/>
  <c r="T198" i="23"/>
  <c r="O198" i="23"/>
  <c r="N198" i="23"/>
  <c r="P198" i="23" s="1"/>
  <c r="H198" i="23"/>
  <c r="U197" i="23"/>
  <c r="T197" i="23"/>
  <c r="O197" i="23"/>
  <c r="N197" i="23"/>
  <c r="P197" i="23" s="1"/>
  <c r="H197" i="23"/>
  <c r="H196" i="23" s="1"/>
  <c r="J196" i="23" s="1"/>
  <c r="R196" i="23"/>
  <c r="O196" i="23"/>
  <c r="N196" i="23"/>
  <c r="S196" i="23" s="1"/>
  <c r="U196" i="23" s="1"/>
  <c r="U195" i="23"/>
  <c r="T195" i="23"/>
  <c r="O195" i="23"/>
  <c r="N195" i="23"/>
  <c r="P195" i="23" s="1"/>
  <c r="H195" i="23"/>
  <c r="U194" i="23"/>
  <c r="T194" i="23"/>
  <c r="O194" i="23"/>
  <c r="N194" i="23"/>
  <c r="P194" i="23" s="1"/>
  <c r="H194" i="23"/>
  <c r="R193" i="23"/>
  <c r="O193" i="23"/>
  <c r="N193" i="23"/>
  <c r="P193" i="23" s="1"/>
  <c r="U192" i="23"/>
  <c r="T192" i="23"/>
  <c r="O192" i="23"/>
  <c r="N192" i="23"/>
  <c r="P192" i="23" s="1"/>
  <c r="H192" i="23"/>
  <c r="U191" i="23"/>
  <c r="T191" i="23"/>
  <c r="O191" i="23"/>
  <c r="N191" i="23"/>
  <c r="P191" i="23" s="1"/>
  <c r="H191" i="23"/>
  <c r="U190" i="23"/>
  <c r="T190" i="23"/>
  <c r="O190" i="23"/>
  <c r="N190" i="23"/>
  <c r="P190" i="23" s="1"/>
  <c r="H190" i="23"/>
  <c r="R189" i="23"/>
  <c r="O189" i="23"/>
  <c r="N189" i="23"/>
  <c r="R188" i="23"/>
  <c r="O188" i="23"/>
  <c r="N188" i="23"/>
  <c r="P188" i="23" s="1"/>
  <c r="H188" i="23"/>
  <c r="J188" i="23" s="1"/>
  <c r="R187" i="23"/>
  <c r="O187" i="23"/>
  <c r="N187" i="23"/>
  <c r="H187" i="23"/>
  <c r="J187" i="23" s="1"/>
  <c r="R186" i="23"/>
  <c r="O186" i="23"/>
  <c r="N186" i="23"/>
  <c r="S186" i="23" s="1"/>
  <c r="H186" i="23"/>
  <c r="J186" i="23" s="1"/>
  <c r="R185" i="23"/>
  <c r="O185" i="23"/>
  <c r="N185" i="23"/>
  <c r="P185" i="23" s="1"/>
  <c r="H185" i="23"/>
  <c r="J185" i="23" s="1"/>
  <c r="R184" i="23"/>
  <c r="O184" i="23"/>
  <c r="N184" i="23"/>
  <c r="P184" i="23" s="1"/>
  <c r="J184" i="23"/>
  <c r="H184" i="23"/>
  <c r="R183" i="23"/>
  <c r="O183" i="23"/>
  <c r="N183" i="23"/>
  <c r="S183" i="23" s="1"/>
  <c r="U183" i="23" s="1"/>
  <c r="H183" i="23"/>
  <c r="J183" i="23" s="1"/>
  <c r="U182" i="23"/>
  <c r="T182" i="23"/>
  <c r="O182" i="23"/>
  <c r="N182" i="23"/>
  <c r="P182" i="23" s="1"/>
  <c r="H182" i="23"/>
  <c r="U181" i="23"/>
  <c r="T181" i="23"/>
  <c r="O181" i="23"/>
  <c r="N181" i="23"/>
  <c r="P181" i="23" s="1"/>
  <c r="H181" i="23"/>
  <c r="U180" i="23"/>
  <c r="T180" i="23"/>
  <c r="O180" i="23"/>
  <c r="N180" i="23"/>
  <c r="P180" i="23" s="1"/>
  <c r="H180" i="23"/>
  <c r="R179" i="23"/>
  <c r="O179" i="23"/>
  <c r="N179" i="23"/>
  <c r="S179" i="23" s="1"/>
  <c r="U179" i="23" s="1"/>
  <c r="U178" i="23"/>
  <c r="T178" i="23"/>
  <c r="O178" i="23"/>
  <c r="N178" i="23"/>
  <c r="P178" i="23" s="1"/>
  <c r="H178" i="23"/>
  <c r="U177" i="23"/>
  <c r="T177" i="23"/>
  <c r="O177" i="23"/>
  <c r="N177" i="23"/>
  <c r="P177" i="23" s="1"/>
  <c r="H177" i="23"/>
  <c r="U176" i="23"/>
  <c r="T176" i="23"/>
  <c r="O176" i="23"/>
  <c r="N176" i="23"/>
  <c r="P176" i="23" s="1"/>
  <c r="H176" i="23"/>
  <c r="R175" i="23"/>
  <c r="O175" i="23"/>
  <c r="N175" i="23"/>
  <c r="S175" i="23" s="1"/>
  <c r="U174" i="23"/>
  <c r="T174" i="23"/>
  <c r="O174" i="23"/>
  <c r="N174" i="23"/>
  <c r="P174" i="23" s="1"/>
  <c r="H174" i="23"/>
  <c r="U173" i="23"/>
  <c r="T173" i="23"/>
  <c r="O173" i="23"/>
  <c r="N173" i="23"/>
  <c r="P173" i="23" s="1"/>
  <c r="H173" i="23"/>
  <c r="U172" i="23"/>
  <c r="T172" i="23"/>
  <c r="O172" i="23"/>
  <c r="N172" i="23"/>
  <c r="P172" i="23" s="1"/>
  <c r="H172" i="23"/>
  <c r="R171" i="23"/>
  <c r="O171" i="23"/>
  <c r="N171" i="23"/>
  <c r="S171" i="23" s="1"/>
  <c r="U170" i="23"/>
  <c r="T170" i="23"/>
  <c r="O170" i="23"/>
  <c r="N170" i="23"/>
  <c r="P170" i="23" s="1"/>
  <c r="K170" i="23"/>
  <c r="H170" i="23"/>
  <c r="H167" i="23" s="1"/>
  <c r="J167" i="23" s="1"/>
  <c r="U169" i="23"/>
  <c r="T169" i="23"/>
  <c r="O169" i="23"/>
  <c r="N169" i="23"/>
  <c r="P169" i="23" s="1"/>
  <c r="K169" i="23"/>
  <c r="H169" i="23"/>
  <c r="U168" i="23"/>
  <c r="T168" i="23"/>
  <c r="O168" i="23"/>
  <c r="N168" i="23"/>
  <c r="P168" i="23" s="1"/>
  <c r="K168" i="23"/>
  <c r="H168" i="23"/>
  <c r="R167" i="23"/>
  <c r="O167" i="23"/>
  <c r="N167" i="23"/>
  <c r="S167" i="23" s="1"/>
  <c r="U166" i="23"/>
  <c r="T166" i="23"/>
  <c r="O166" i="23"/>
  <c r="N166" i="23"/>
  <c r="P166" i="23" s="1"/>
  <c r="K166" i="23"/>
  <c r="H166" i="23"/>
  <c r="U165" i="23"/>
  <c r="T165" i="23"/>
  <c r="O165" i="23"/>
  <c r="N165" i="23"/>
  <c r="P165" i="23" s="1"/>
  <c r="K165" i="23"/>
  <c r="H165" i="23"/>
  <c r="U164" i="23"/>
  <c r="T164" i="23"/>
  <c r="O164" i="23"/>
  <c r="N164" i="23"/>
  <c r="P164" i="23" s="1"/>
  <c r="K164" i="23"/>
  <c r="H164" i="23"/>
  <c r="H163" i="23" s="1"/>
  <c r="J163" i="23" s="1"/>
  <c r="R163" i="23"/>
  <c r="O163" i="23"/>
  <c r="N163" i="23"/>
  <c r="P163" i="23" s="1"/>
  <c r="U162" i="23"/>
  <c r="T162" i="23"/>
  <c r="O162" i="23"/>
  <c r="N162" i="23"/>
  <c r="P162" i="23" s="1"/>
  <c r="K162" i="23"/>
  <c r="H162" i="23"/>
  <c r="U161" i="23"/>
  <c r="T161" i="23"/>
  <c r="O161" i="23"/>
  <c r="N161" i="23"/>
  <c r="P161" i="23" s="1"/>
  <c r="K161" i="23"/>
  <c r="H161" i="23"/>
  <c r="U160" i="23"/>
  <c r="T160" i="23"/>
  <c r="O160" i="23"/>
  <c r="N160" i="23"/>
  <c r="P160" i="23" s="1"/>
  <c r="K160" i="23"/>
  <c r="H160" i="23"/>
  <c r="R159" i="23"/>
  <c r="O159" i="23"/>
  <c r="N159" i="23"/>
  <c r="P159" i="23" s="1"/>
  <c r="U158" i="23"/>
  <c r="T158" i="23"/>
  <c r="O158" i="23"/>
  <c r="N158" i="23"/>
  <c r="P158" i="23" s="1"/>
  <c r="K158" i="23"/>
  <c r="H158" i="23"/>
  <c r="U157" i="23"/>
  <c r="T157" i="23"/>
  <c r="O157" i="23"/>
  <c r="N157" i="23"/>
  <c r="P157" i="23" s="1"/>
  <c r="K157" i="23"/>
  <c r="H157" i="23"/>
  <c r="R156" i="23"/>
  <c r="O156" i="23"/>
  <c r="N156" i="23"/>
  <c r="S156" i="23" s="1"/>
  <c r="H156" i="23"/>
  <c r="J156" i="23" s="1"/>
  <c r="U155" i="23"/>
  <c r="T155" i="23"/>
  <c r="O155" i="23"/>
  <c r="N155" i="23"/>
  <c r="P155" i="23" s="1"/>
  <c r="K155" i="23"/>
  <c r="H155" i="23"/>
  <c r="U154" i="23"/>
  <c r="T154" i="23"/>
  <c r="O154" i="23"/>
  <c r="N154" i="23"/>
  <c r="P154" i="23" s="1"/>
  <c r="K154" i="23"/>
  <c r="H154" i="23"/>
  <c r="H153" i="23" s="1"/>
  <c r="J153" i="23" s="1"/>
  <c r="R153" i="23"/>
  <c r="O153" i="23"/>
  <c r="N153" i="23"/>
  <c r="S153" i="23" s="1"/>
  <c r="U152" i="23"/>
  <c r="T152" i="23"/>
  <c r="O152" i="23"/>
  <c r="N152" i="23"/>
  <c r="P152" i="23" s="1"/>
  <c r="H152" i="23"/>
  <c r="U151" i="23"/>
  <c r="T151" i="23"/>
  <c r="O151" i="23"/>
  <c r="N151" i="23"/>
  <c r="P151" i="23" s="1"/>
  <c r="H151" i="23"/>
  <c r="H150" i="23" s="1"/>
  <c r="J150" i="23" s="1"/>
  <c r="R150" i="23"/>
  <c r="O150" i="23"/>
  <c r="N150" i="23"/>
  <c r="P150" i="23" s="1"/>
  <c r="U149" i="23"/>
  <c r="T149" i="23"/>
  <c r="O149" i="23"/>
  <c r="N149" i="23"/>
  <c r="P149" i="23" s="1"/>
  <c r="H149" i="23"/>
  <c r="U148" i="23"/>
  <c r="T148" i="23"/>
  <c r="O148" i="23"/>
  <c r="N148" i="23"/>
  <c r="P148" i="23" s="1"/>
  <c r="H148" i="23"/>
  <c r="H147" i="23" s="1"/>
  <c r="J147" i="23" s="1"/>
  <c r="R147" i="23"/>
  <c r="O147" i="23"/>
  <c r="N147" i="23"/>
  <c r="S147" i="23" s="1"/>
  <c r="U146" i="23"/>
  <c r="T146" i="23"/>
  <c r="O146" i="23"/>
  <c r="N146" i="23"/>
  <c r="P146" i="23" s="1"/>
  <c r="H146" i="23"/>
  <c r="U145" i="23"/>
  <c r="T145" i="23"/>
  <c r="O145" i="23"/>
  <c r="N145" i="23"/>
  <c r="P145" i="23" s="1"/>
  <c r="H145" i="23"/>
  <c r="R144" i="23"/>
  <c r="O144" i="23"/>
  <c r="N144" i="23"/>
  <c r="P144" i="23" s="1"/>
  <c r="U143" i="23"/>
  <c r="T143" i="23"/>
  <c r="O143" i="23"/>
  <c r="N143" i="23"/>
  <c r="P143" i="23" s="1"/>
  <c r="H143" i="23"/>
  <c r="U142" i="23"/>
  <c r="T142" i="23"/>
  <c r="O142" i="23"/>
  <c r="N142" i="23"/>
  <c r="P142" i="23" s="1"/>
  <c r="H142" i="23"/>
  <c r="H141" i="23" s="1"/>
  <c r="J141" i="23" s="1"/>
  <c r="R141" i="23"/>
  <c r="O141" i="23"/>
  <c r="N141" i="23"/>
  <c r="P141" i="23" s="1"/>
  <c r="R140" i="23"/>
  <c r="O140" i="23"/>
  <c r="N140" i="23"/>
  <c r="P140" i="23" s="1"/>
  <c r="H140" i="23"/>
  <c r="J140" i="23" s="1"/>
  <c r="R139" i="23"/>
  <c r="O139" i="23"/>
  <c r="N139" i="23"/>
  <c r="S139" i="23" s="1"/>
  <c r="H139" i="23"/>
  <c r="J139" i="23" s="1"/>
  <c r="R138" i="23"/>
  <c r="O138" i="23"/>
  <c r="N138" i="23"/>
  <c r="P138" i="23" s="1"/>
  <c r="H138" i="23"/>
  <c r="J138" i="23" s="1"/>
  <c r="R137" i="23"/>
  <c r="O137" i="23"/>
  <c r="N137" i="23"/>
  <c r="S137" i="23" s="1"/>
  <c r="J137" i="23"/>
  <c r="R136" i="23"/>
  <c r="O136" i="23"/>
  <c r="N136" i="23"/>
  <c r="P136" i="23" s="1"/>
  <c r="J136" i="23"/>
  <c r="R135" i="23"/>
  <c r="O135" i="23"/>
  <c r="N135" i="23"/>
  <c r="J135" i="23"/>
  <c r="R134" i="23"/>
  <c r="O134" i="23"/>
  <c r="N134" i="23"/>
  <c r="P134" i="23" s="1"/>
  <c r="J134" i="23"/>
  <c r="R133" i="23"/>
  <c r="O133" i="23"/>
  <c r="N133" i="23"/>
  <c r="S133" i="23" s="1"/>
  <c r="J133" i="23"/>
  <c r="H133" i="23"/>
  <c r="R132" i="23"/>
  <c r="O132" i="23"/>
  <c r="N132" i="23"/>
  <c r="S132" i="23" s="1"/>
  <c r="H132" i="23"/>
  <c r="J132" i="23" s="1"/>
  <c r="R131" i="23"/>
  <c r="O131" i="23"/>
  <c r="N131" i="23"/>
  <c r="P131" i="23" s="1"/>
  <c r="J131" i="23"/>
  <c r="R130" i="23"/>
  <c r="O130" i="23"/>
  <c r="N130" i="23"/>
  <c r="S130" i="23" s="1"/>
  <c r="U130" i="23" s="1"/>
  <c r="J130" i="23"/>
  <c r="H130" i="23"/>
  <c r="R129" i="23"/>
  <c r="O129" i="23"/>
  <c r="N129" i="23"/>
  <c r="P129" i="23" s="1"/>
  <c r="H129" i="23"/>
  <c r="J129" i="23" s="1"/>
  <c r="G129" i="23"/>
  <c r="R128" i="23"/>
  <c r="O128" i="23"/>
  <c r="N128" i="23"/>
  <c r="P128" i="23" s="1"/>
  <c r="H128" i="23"/>
  <c r="J128" i="23" s="1"/>
  <c r="R127" i="23"/>
  <c r="O127" i="23"/>
  <c r="N127" i="23"/>
  <c r="S127" i="23" s="1"/>
  <c r="H127" i="23"/>
  <c r="J127" i="23" s="1"/>
  <c r="U126" i="23"/>
  <c r="T126" i="23"/>
  <c r="O126" i="23"/>
  <c r="N126" i="23"/>
  <c r="P126" i="23" s="1"/>
  <c r="H126" i="23"/>
  <c r="U125" i="23"/>
  <c r="T125" i="23"/>
  <c r="O125" i="23"/>
  <c r="N125" i="23"/>
  <c r="P125" i="23" s="1"/>
  <c r="H125" i="23"/>
  <c r="U124" i="23"/>
  <c r="T124" i="23"/>
  <c r="O124" i="23"/>
  <c r="N124" i="23"/>
  <c r="P124" i="23" s="1"/>
  <c r="H124" i="23"/>
  <c r="R123" i="23"/>
  <c r="O123" i="23"/>
  <c r="N123" i="23"/>
  <c r="S123" i="23" s="1"/>
  <c r="R122" i="23"/>
  <c r="O122" i="23"/>
  <c r="N122" i="23"/>
  <c r="H122" i="23"/>
  <c r="J122" i="23" s="1"/>
  <c r="R121" i="23"/>
  <c r="O121" i="23"/>
  <c r="N121" i="23"/>
  <c r="S121" i="23" s="1"/>
  <c r="U121" i="23" s="1"/>
  <c r="J121" i="23"/>
  <c r="H121" i="23"/>
  <c r="R120" i="23"/>
  <c r="O120" i="23"/>
  <c r="N120" i="23"/>
  <c r="S120" i="23" s="1"/>
  <c r="H120" i="23"/>
  <c r="J120" i="23" s="1"/>
  <c r="R119" i="23"/>
  <c r="O119" i="23"/>
  <c r="N119" i="23"/>
  <c r="J119" i="23"/>
  <c r="H119" i="23"/>
  <c r="R118" i="23"/>
  <c r="O118" i="23"/>
  <c r="N118" i="23"/>
  <c r="S118" i="23" s="1"/>
  <c r="H118" i="23"/>
  <c r="J118" i="23" s="1"/>
  <c r="G118" i="23"/>
  <c r="R117" i="23"/>
  <c r="O117" i="23"/>
  <c r="N117" i="23"/>
  <c r="P117" i="23" s="1"/>
  <c r="H117" i="23"/>
  <c r="J117" i="23" s="1"/>
  <c r="G117" i="23"/>
  <c r="U116" i="23"/>
  <c r="T116" i="23"/>
  <c r="P116" i="23"/>
  <c r="O116" i="23"/>
  <c r="R115" i="23"/>
  <c r="O115" i="23"/>
  <c r="N115" i="23"/>
  <c r="S115" i="23" s="1"/>
  <c r="K115" i="23"/>
  <c r="R114" i="23"/>
  <c r="O114" i="23"/>
  <c r="N114" i="23"/>
  <c r="S114" i="23" s="1"/>
  <c r="U114" i="23" s="1"/>
  <c r="K114" i="23"/>
  <c r="R113" i="23"/>
  <c r="O113" i="23"/>
  <c r="N113" i="23"/>
  <c r="P113" i="23" s="1"/>
  <c r="K113" i="23"/>
  <c r="R112" i="23"/>
  <c r="O112" i="23"/>
  <c r="N112" i="23"/>
  <c r="S112" i="23" s="1"/>
  <c r="U112" i="23" s="1"/>
  <c r="K112" i="23"/>
  <c r="R111" i="23"/>
  <c r="O111" i="23"/>
  <c r="N111" i="23"/>
  <c r="K111" i="23"/>
  <c r="R110" i="23"/>
  <c r="O110" i="23"/>
  <c r="N110" i="23"/>
  <c r="P110" i="23" s="1"/>
  <c r="K110" i="23"/>
  <c r="R109" i="23"/>
  <c r="O109" i="23"/>
  <c r="N109" i="23"/>
  <c r="S109" i="23" s="1"/>
  <c r="K109" i="23"/>
  <c r="R108" i="23"/>
  <c r="O108" i="23"/>
  <c r="N108" i="23"/>
  <c r="K108" i="23"/>
  <c r="R107" i="23"/>
  <c r="O107" i="23"/>
  <c r="N107" i="23"/>
  <c r="P107" i="23" s="1"/>
  <c r="K107" i="23"/>
  <c r="R106" i="23"/>
  <c r="O106" i="23"/>
  <c r="N106" i="23"/>
  <c r="S106" i="23" s="1"/>
  <c r="U106" i="23" s="1"/>
  <c r="K106" i="23"/>
  <c r="R105" i="23"/>
  <c r="O105" i="23"/>
  <c r="N105" i="23"/>
  <c r="P105" i="23" s="1"/>
  <c r="K105" i="23"/>
  <c r="R104" i="23"/>
  <c r="O104" i="23"/>
  <c r="N104" i="23"/>
  <c r="K104" i="23"/>
  <c r="R103" i="23"/>
  <c r="O103" i="23"/>
  <c r="N103" i="23"/>
  <c r="S103" i="23" s="1"/>
  <c r="K103" i="23"/>
  <c r="T103" i="23" s="1"/>
  <c r="R102" i="23"/>
  <c r="O102" i="23"/>
  <c r="N102" i="23"/>
  <c r="K102" i="23"/>
  <c r="R101" i="23"/>
  <c r="O101" i="23"/>
  <c r="N101" i="23"/>
  <c r="S101" i="23" s="1"/>
  <c r="K101" i="23"/>
  <c r="T101" i="23" s="1"/>
  <c r="R100" i="23"/>
  <c r="O100" i="23"/>
  <c r="N100" i="23"/>
  <c r="S100" i="23" s="1"/>
  <c r="K100" i="23"/>
  <c r="R99" i="23"/>
  <c r="O99" i="23"/>
  <c r="N99" i="23"/>
  <c r="P99" i="23" s="1"/>
  <c r="K99" i="23"/>
  <c r="T99" i="23" s="1"/>
  <c r="R98" i="23"/>
  <c r="O98" i="23"/>
  <c r="N98" i="23"/>
  <c r="S98" i="23" s="1"/>
  <c r="U98" i="23" s="1"/>
  <c r="K98" i="23"/>
  <c r="R97" i="23"/>
  <c r="O97" i="23"/>
  <c r="N97" i="23"/>
  <c r="K97" i="23"/>
  <c r="R96" i="23"/>
  <c r="O96" i="23"/>
  <c r="N96" i="23"/>
  <c r="S96" i="23" s="1"/>
  <c r="U96" i="23" s="1"/>
  <c r="K96" i="23"/>
  <c r="R95" i="23"/>
  <c r="O95" i="23"/>
  <c r="N95" i="23"/>
  <c r="K95" i="23"/>
  <c r="T95" i="23" s="1"/>
  <c r="R94" i="23"/>
  <c r="O94" i="23"/>
  <c r="N94" i="23"/>
  <c r="P94" i="23" s="1"/>
  <c r="K94" i="23"/>
  <c r="R93" i="23"/>
  <c r="O93" i="23"/>
  <c r="N93" i="23"/>
  <c r="S93" i="23" s="1"/>
  <c r="K93" i="23"/>
  <c r="T93" i="23" s="1"/>
  <c r="R92" i="23"/>
  <c r="O92" i="23"/>
  <c r="N92" i="23"/>
  <c r="S92" i="23" s="1"/>
  <c r="K92" i="23"/>
  <c r="R91" i="23"/>
  <c r="O91" i="23"/>
  <c r="N91" i="23"/>
  <c r="P91" i="23" s="1"/>
  <c r="K91" i="23"/>
  <c r="T91" i="23" s="1"/>
  <c r="U90" i="23"/>
  <c r="T90" i="23"/>
  <c r="O90" i="23"/>
  <c r="N90" i="23"/>
  <c r="P90" i="23" s="1"/>
  <c r="R89" i="23"/>
  <c r="O89" i="23"/>
  <c r="N89" i="23"/>
  <c r="S89" i="23" s="1"/>
  <c r="H89" i="23"/>
  <c r="J89" i="23" s="1"/>
  <c r="R88" i="23"/>
  <c r="O88" i="23"/>
  <c r="N88" i="23"/>
  <c r="S88" i="23" s="1"/>
  <c r="U88" i="23" s="1"/>
  <c r="J88" i="23"/>
  <c r="H88" i="23"/>
  <c r="R87" i="23"/>
  <c r="O87" i="23"/>
  <c r="N87" i="23"/>
  <c r="P87" i="23" s="1"/>
  <c r="J87" i="23"/>
  <c r="R86" i="23"/>
  <c r="O86" i="23"/>
  <c r="N86" i="23"/>
  <c r="S86" i="23" s="1"/>
  <c r="H86" i="23"/>
  <c r="J86" i="23" s="1"/>
  <c r="R85" i="23"/>
  <c r="O85" i="23"/>
  <c r="N85" i="23"/>
  <c r="S85" i="23" s="1"/>
  <c r="H85" i="23"/>
  <c r="J85" i="23" s="1"/>
  <c r="R84" i="23"/>
  <c r="O84" i="23"/>
  <c r="N84" i="23"/>
  <c r="H84" i="23"/>
  <c r="J84" i="23" s="1"/>
  <c r="R83" i="23"/>
  <c r="O83" i="23"/>
  <c r="N83" i="23"/>
  <c r="J83" i="23"/>
  <c r="R82" i="23"/>
  <c r="O82" i="23"/>
  <c r="N82" i="23"/>
  <c r="S82" i="23" s="1"/>
  <c r="J82" i="23"/>
  <c r="R81" i="23"/>
  <c r="O81" i="23"/>
  <c r="N81" i="23"/>
  <c r="P81" i="23" s="1"/>
  <c r="J81" i="23"/>
  <c r="R80" i="23"/>
  <c r="O80" i="23"/>
  <c r="N80" i="23"/>
  <c r="S80" i="23" s="1"/>
  <c r="J80" i="23"/>
  <c r="R79" i="23"/>
  <c r="O79" i="23"/>
  <c r="N79" i="23"/>
  <c r="S79" i="23" s="1"/>
  <c r="J79" i="23"/>
  <c r="R78" i="23"/>
  <c r="O78" i="23"/>
  <c r="N78" i="23"/>
  <c r="J78" i="23"/>
  <c r="R77" i="23"/>
  <c r="O77" i="23"/>
  <c r="N77" i="23"/>
  <c r="J77" i="23"/>
  <c r="R76" i="23"/>
  <c r="O76" i="23"/>
  <c r="N76" i="23"/>
  <c r="S76" i="23" s="1"/>
  <c r="J76" i="23"/>
  <c r="H76" i="23"/>
  <c r="R75" i="23"/>
  <c r="O75" i="23"/>
  <c r="N75" i="23"/>
  <c r="P75" i="23" s="1"/>
  <c r="J75" i="23"/>
  <c r="R74" i="23"/>
  <c r="O74" i="23"/>
  <c r="N74" i="23"/>
  <c r="S74" i="23" s="1"/>
  <c r="J74" i="23"/>
  <c r="R73" i="23"/>
  <c r="O73" i="23"/>
  <c r="N73" i="23"/>
  <c r="P73" i="23" s="1"/>
  <c r="J73" i="23"/>
  <c r="R72" i="23"/>
  <c r="O72" i="23"/>
  <c r="N72" i="23"/>
  <c r="S72" i="23" s="1"/>
  <c r="J72" i="23"/>
  <c r="R71" i="23"/>
  <c r="O71" i="23"/>
  <c r="N71" i="23"/>
  <c r="J71" i="23"/>
  <c r="R70" i="23"/>
  <c r="O70" i="23"/>
  <c r="N70" i="23"/>
  <c r="S70" i="23" s="1"/>
  <c r="J70" i="23"/>
  <c r="R69" i="23"/>
  <c r="O69" i="23"/>
  <c r="N69" i="23"/>
  <c r="P69" i="23" s="1"/>
  <c r="H69" i="23"/>
  <c r="J69" i="23" s="1"/>
  <c r="U68" i="23"/>
  <c r="T68" i="23"/>
  <c r="P68" i="23"/>
  <c r="O68" i="23"/>
  <c r="R67" i="23"/>
  <c r="O67" i="23"/>
  <c r="N67" i="23"/>
  <c r="S67" i="23" s="1"/>
  <c r="U67" i="23" s="1"/>
  <c r="K67" i="23"/>
  <c r="R66" i="23"/>
  <c r="O66" i="23"/>
  <c r="N66" i="23"/>
  <c r="S66" i="23" s="1"/>
  <c r="U66" i="23" s="1"/>
  <c r="K66" i="23"/>
  <c r="R65" i="23"/>
  <c r="O65" i="23"/>
  <c r="N65" i="23"/>
  <c r="K65" i="23"/>
  <c r="T65" i="23" s="1"/>
  <c r="R64" i="23"/>
  <c r="O64" i="23"/>
  <c r="N64" i="23"/>
  <c r="P64" i="23" s="1"/>
  <c r="K64" i="23"/>
  <c r="R63" i="23"/>
  <c r="O63" i="23"/>
  <c r="N63" i="23"/>
  <c r="S63" i="23" s="1"/>
  <c r="K63" i="23"/>
  <c r="R62" i="23"/>
  <c r="O62" i="23"/>
  <c r="N62" i="23"/>
  <c r="K62" i="23"/>
  <c r="R61" i="23"/>
  <c r="O61" i="23"/>
  <c r="N61" i="23"/>
  <c r="S61" i="23" s="1"/>
  <c r="U61" i="23" s="1"/>
  <c r="K61" i="23"/>
  <c r="T61" i="23" s="1"/>
  <c r="R60" i="23"/>
  <c r="O60" i="23"/>
  <c r="N60" i="23"/>
  <c r="S60" i="23" s="1"/>
  <c r="K60" i="23"/>
  <c r="R59" i="23"/>
  <c r="O59" i="23"/>
  <c r="N59" i="23"/>
  <c r="P59" i="23" s="1"/>
  <c r="K59" i="23"/>
  <c r="R58" i="23"/>
  <c r="O58" i="23"/>
  <c r="N58" i="23"/>
  <c r="S58" i="23" s="1"/>
  <c r="U58" i="23" s="1"/>
  <c r="K58" i="23"/>
  <c r="R57" i="23"/>
  <c r="O57" i="23"/>
  <c r="N57" i="23"/>
  <c r="P57" i="23" s="1"/>
  <c r="K57" i="23"/>
  <c r="T57" i="23" s="1"/>
  <c r="R56" i="23"/>
  <c r="O56" i="23"/>
  <c r="N56" i="23"/>
  <c r="K56" i="23"/>
  <c r="R55" i="23"/>
  <c r="O55" i="23"/>
  <c r="N55" i="23"/>
  <c r="K55" i="23"/>
  <c r="R54" i="23"/>
  <c r="O54" i="23"/>
  <c r="N54" i="23"/>
  <c r="P54" i="23" s="1"/>
  <c r="K54" i="23"/>
  <c r="R53" i="23"/>
  <c r="O53" i="23"/>
  <c r="N53" i="23"/>
  <c r="S53" i="23" s="1"/>
  <c r="U53" i="23" s="1"/>
  <c r="K53" i="23"/>
  <c r="T53" i="23" s="1"/>
  <c r="R52" i="23"/>
  <c r="O52" i="23"/>
  <c r="N52" i="23"/>
  <c r="S52" i="23" s="1"/>
  <c r="K52" i="23"/>
  <c r="R51" i="23"/>
  <c r="O51" i="23"/>
  <c r="N51" i="23"/>
  <c r="P51" i="23" s="1"/>
  <c r="K51" i="23"/>
  <c r="R50" i="23"/>
  <c r="O50" i="23"/>
  <c r="N50" i="23"/>
  <c r="S50" i="23" s="1"/>
  <c r="U50" i="23" s="1"/>
  <c r="K50" i="23"/>
  <c r="R49" i="23"/>
  <c r="O49" i="23"/>
  <c r="N49" i="23"/>
  <c r="S49" i="23" s="1"/>
  <c r="K49" i="23"/>
  <c r="T49" i="23" s="1"/>
  <c r="R48" i="23"/>
  <c r="O48" i="23"/>
  <c r="N48" i="23"/>
  <c r="K48" i="23"/>
  <c r="R47" i="23"/>
  <c r="O47" i="23"/>
  <c r="N47" i="23"/>
  <c r="S47" i="23" s="1"/>
  <c r="K47" i="23"/>
  <c r="R46" i="23"/>
  <c r="O46" i="23"/>
  <c r="N46" i="23"/>
  <c r="S46" i="23" s="1"/>
  <c r="K46" i="23"/>
  <c r="R45" i="23"/>
  <c r="O45" i="23"/>
  <c r="N45" i="23"/>
  <c r="S45" i="23" s="1"/>
  <c r="U45" i="23" s="1"/>
  <c r="K45" i="23"/>
  <c r="T45" i="23" s="1"/>
  <c r="R44" i="23"/>
  <c r="O44" i="23"/>
  <c r="N44" i="23"/>
  <c r="S44" i="23" s="1"/>
  <c r="K44" i="23"/>
  <c r="R43" i="23"/>
  <c r="O43" i="23"/>
  <c r="N43" i="23"/>
  <c r="S43" i="23" s="1"/>
  <c r="U43" i="23" s="1"/>
  <c r="K43" i="23"/>
  <c r="U42" i="23"/>
  <c r="T42" i="23"/>
  <c r="O42" i="23"/>
  <c r="N42" i="23"/>
  <c r="P42" i="23" s="1"/>
  <c r="R41" i="23"/>
  <c r="O41" i="23"/>
  <c r="N41" i="23"/>
  <c r="S41" i="23" s="1"/>
  <c r="J41" i="23"/>
  <c r="R40" i="23"/>
  <c r="O40" i="23"/>
  <c r="N40" i="23"/>
  <c r="P40" i="23" s="1"/>
  <c r="J40" i="23"/>
  <c r="R39" i="23"/>
  <c r="O39" i="23"/>
  <c r="N39" i="23"/>
  <c r="S39" i="23" s="1"/>
  <c r="J39" i="23"/>
  <c r="R38" i="23"/>
  <c r="O38" i="23"/>
  <c r="N38" i="23"/>
  <c r="S38" i="23" s="1"/>
  <c r="U38" i="23" s="1"/>
  <c r="J38" i="23"/>
  <c r="R37" i="23"/>
  <c r="O37" i="23"/>
  <c r="N37" i="23"/>
  <c r="S37" i="23" s="1"/>
  <c r="J37" i="23"/>
  <c r="R36" i="23"/>
  <c r="O36" i="23"/>
  <c r="N36" i="23"/>
  <c r="P36" i="23" s="1"/>
  <c r="J36" i="23"/>
  <c r="R35" i="23"/>
  <c r="O35" i="23"/>
  <c r="N35" i="23"/>
  <c r="S35" i="23" s="1"/>
  <c r="J35" i="23"/>
  <c r="R34" i="23"/>
  <c r="O34" i="23"/>
  <c r="N34" i="23"/>
  <c r="S34" i="23" s="1"/>
  <c r="U34" i="23" s="1"/>
  <c r="J34" i="23"/>
  <c r="R33" i="23"/>
  <c r="O33" i="23"/>
  <c r="N33" i="23"/>
  <c r="J33" i="23"/>
  <c r="R32" i="23"/>
  <c r="O32" i="23"/>
  <c r="N32" i="23"/>
  <c r="J32" i="23"/>
  <c r="R31" i="23"/>
  <c r="O31" i="23"/>
  <c r="N31" i="23"/>
  <c r="S31" i="23" s="1"/>
  <c r="J31" i="23"/>
  <c r="R30" i="23"/>
  <c r="O30" i="23"/>
  <c r="N30" i="23"/>
  <c r="J30" i="23"/>
  <c r="R29" i="23"/>
  <c r="O29" i="23"/>
  <c r="N29" i="23"/>
  <c r="S29" i="23" s="1"/>
  <c r="J29" i="23"/>
  <c r="R28" i="23"/>
  <c r="O28" i="23"/>
  <c r="N28" i="23"/>
  <c r="P28" i="23" s="1"/>
  <c r="G28" i="23"/>
  <c r="H28" i="23" s="1"/>
  <c r="J28" i="23" s="1"/>
  <c r="R27" i="23"/>
  <c r="O27" i="23"/>
  <c r="N27" i="23"/>
  <c r="G27" i="23"/>
  <c r="H27" i="23" s="1"/>
  <c r="J27" i="23" s="1"/>
  <c r="R26" i="23"/>
  <c r="O26" i="23"/>
  <c r="N26" i="23"/>
  <c r="S26" i="23" s="1"/>
  <c r="H26" i="23"/>
  <c r="J26" i="23" s="1"/>
  <c r="G26" i="23"/>
  <c r="R25" i="23"/>
  <c r="O25" i="23"/>
  <c r="N25" i="23"/>
  <c r="S25" i="23" s="1"/>
  <c r="H25" i="23"/>
  <c r="J25" i="23" s="1"/>
  <c r="G25" i="23"/>
  <c r="R24" i="23"/>
  <c r="O24" i="23"/>
  <c r="N24" i="23"/>
  <c r="H24" i="23"/>
  <c r="J24" i="23" s="1"/>
  <c r="R23" i="23"/>
  <c r="O23" i="23"/>
  <c r="N23" i="23"/>
  <c r="S23" i="23" s="1"/>
  <c r="H23" i="23"/>
  <c r="J23" i="23" s="1"/>
  <c r="R22" i="23"/>
  <c r="O22" i="23"/>
  <c r="N22" i="23"/>
  <c r="S22" i="23" s="1"/>
  <c r="U22" i="23" s="1"/>
  <c r="J22" i="23"/>
  <c r="R21" i="23"/>
  <c r="O21" i="23"/>
  <c r="N21" i="23"/>
  <c r="J21" i="23"/>
  <c r="R20" i="23"/>
  <c r="O20" i="23"/>
  <c r="N20" i="23"/>
  <c r="S20" i="23" s="1"/>
  <c r="U20" i="23" s="1"/>
  <c r="J20" i="23"/>
  <c r="R19" i="23"/>
  <c r="O19" i="23"/>
  <c r="N19" i="23"/>
  <c r="J19" i="23"/>
  <c r="J2717" i="22"/>
  <c r="J2716" i="22"/>
  <c r="J2715" i="22"/>
  <c r="J2714" i="22"/>
  <c r="J2713" i="22"/>
  <c r="J2712" i="22"/>
  <c r="J2710" i="22"/>
  <c r="R2707" i="22"/>
  <c r="O2707" i="22"/>
  <c r="N2707" i="22"/>
  <c r="P2707" i="22" s="1"/>
  <c r="K2707" i="22"/>
  <c r="R2706" i="22"/>
  <c r="O2706" i="22"/>
  <c r="N2706" i="22"/>
  <c r="S2706" i="22" s="1"/>
  <c r="K2706" i="22"/>
  <c r="R2705" i="22"/>
  <c r="O2705" i="22"/>
  <c r="N2705" i="22"/>
  <c r="P2705" i="22" s="1"/>
  <c r="K2705" i="22"/>
  <c r="R2704" i="22"/>
  <c r="O2704" i="22"/>
  <c r="N2704" i="22"/>
  <c r="S2704" i="22" s="1"/>
  <c r="U2704" i="22" s="1"/>
  <c r="K2704" i="22"/>
  <c r="R2703" i="22"/>
  <c r="O2703" i="22"/>
  <c r="N2703" i="22"/>
  <c r="S2703" i="22" s="1"/>
  <c r="K2703" i="22"/>
  <c r="R2702" i="22"/>
  <c r="O2702" i="22"/>
  <c r="N2702" i="22"/>
  <c r="S2702" i="22" s="1"/>
  <c r="K2702" i="22"/>
  <c r="R2701" i="22"/>
  <c r="O2701" i="22"/>
  <c r="N2701" i="22"/>
  <c r="S2701" i="22" s="1"/>
  <c r="K2701" i="22"/>
  <c r="R2700" i="22"/>
  <c r="O2700" i="22"/>
  <c r="N2700" i="22"/>
  <c r="S2700" i="22" s="1"/>
  <c r="U2700" i="22" s="1"/>
  <c r="K2700" i="22"/>
  <c r="R2699" i="22"/>
  <c r="O2699" i="22"/>
  <c r="N2699" i="22"/>
  <c r="K2699" i="22"/>
  <c r="R2698" i="22"/>
  <c r="O2698" i="22"/>
  <c r="N2698" i="22"/>
  <c r="P2698" i="22" s="1"/>
  <c r="K2698" i="22"/>
  <c r="R2697" i="22"/>
  <c r="O2697" i="22"/>
  <c r="N2697" i="22"/>
  <c r="P2697" i="22" s="1"/>
  <c r="K2697" i="22"/>
  <c r="R2696" i="22"/>
  <c r="O2696" i="22"/>
  <c r="N2696" i="22"/>
  <c r="S2696" i="22" s="1"/>
  <c r="U2696" i="22" s="1"/>
  <c r="K2696" i="22"/>
  <c r="T2696" i="22" s="1"/>
  <c r="R2695" i="22"/>
  <c r="O2695" i="22"/>
  <c r="N2695" i="22"/>
  <c r="S2695" i="22" s="1"/>
  <c r="K2695" i="22"/>
  <c r="R2694" i="22"/>
  <c r="O2694" i="22"/>
  <c r="N2694" i="22"/>
  <c r="S2694" i="22" s="1"/>
  <c r="K2694" i="22"/>
  <c r="T2694" i="22" s="1"/>
  <c r="R2693" i="22"/>
  <c r="O2693" i="22"/>
  <c r="N2693" i="22"/>
  <c r="S2693" i="22" s="1"/>
  <c r="K2693" i="22"/>
  <c r="R2692" i="22"/>
  <c r="O2692" i="22"/>
  <c r="N2692" i="22"/>
  <c r="S2692" i="22" s="1"/>
  <c r="U2692" i="22" s="1"/>
  <c r="K2692" i="22"/>
  <c r="R2691" i="22"/>
  <c r="O2691" i="22"/>
  <c r="N2691" i="22"/>
  <c r="P2691" i="22" s="1"/>
  <c r="K2691" i="22"/>
  <c r="R2690" i="22"/>
  <c r="O2690" i="22"/>
  <c r="N2690" i="22"/>
  <c r="P2690" i="22" s="1"/>
  <c r="K2690" i="22"/>
  <c r="R2689" i="22"/>
  <c r="O2689" i="22"/>
  <c r="N2689" i="22"/>
  <c r="K2689" i="22"/>
  <c r="R2688" i="22"/>
  <c r="O2688" i="22"/>
  <c r="N2688" i="22"/>
  <c r="S2688" i="22" s="1"/>
  <c r="U2688" i="22" s="1"/>
  <c r="K2688" i="22"/>
  <c r="T2688" i="22" s="1"/>
  <c r="R2687" i="22"/>
  <c r="O2687" i="22"/>
  <c r="N2687" i="22"/>
  <c r="K2687" i="22"/>
  <c r="R2686" i="22"/>
  <c r="O2686" i="22"/>
  <c r="N2686" i="22"/>
  <c r="S2686" i="22" s="1"/>
  <c r="K2686" i="22"/>
  <c r="T2686" i="22" s="1"/>
  <c r="R2685" i="22"/>
  <c r="O2685" i="22"/>
  <c r="N2685" i="22"/>
  <c r="S2685" i="22" s="1"/>
  <c r="K2685" i="22"/>
  <c r="R2684" i="22"/>
  <c r="O2684" i="22"/>
  <c r="N2684" i="22"/>
  <c r="S2684" i="22" s="1"/>
  <c r="U2684" i="22" s="1"/>
  <c r="K2684" i="22"/>
  <c r="R2683" i="22"/>
  <c r="O2683" i="22"/>
  <c r="N2683" i="22"/>
  <c r="P2683" i="22" s="1"/>
  <c r="K2683" i="22"/>
  <c r="R2682" i="22"/>
  <c r="O2682" i="22"/>
  <c r="N2682" i="22"/>
  <c r="P2682" i="22" s="1"/>
  <c r="K2682" i="22"/>
  <c r="R2681" i="22"/>
  <c r="O2681" i="22"/>
  <c r="N2681" i="22"/>
  <c r="S2681" i="22" s="1"/>
  <c r="K2681" i="22"/>
  <c r="R2680" i="22"/>
  <c r="O2680" i="22"/>
  <c r="N2680" i="22"/>
  <c r="S2680" i="22" s="1"/>
  <c r="U2680" i="22" s="1"/>
  <c r="K2680" i="22"/>
  <c r="T2680" i="22" s="1"/>
  <c r="R2679" i="22"/>
  <c r="O2679" i="22"/>
  <c r="N2679" i="22"/>
  <c r="S2679" i="22" s="1"/>
  <c r="K2679" i="22"/>
  <c r="R2678" i="22"/>
  <c r="O2678" i="22"/>
  <c r="N2678" i="22"/>
  <c r="S2678" i="22" s="1"/>
  <c r="K2678" i="22"/>
  <c r="T2678" i="22" s="1"/>
  <c r="R2677" i="22"/>
  <c r="O2677" i="22"/>
  <c r="N2677" i="22"/>
  <c r="S2677" i="22" s="1"/>
  <c r="K2677" i="22"/>
  <c r="N2676" i="22"/>
  <c r="R2675" i="22"/>
  <c r="J2675" i="22"/>
  <c r="R2674" i="22"/>
  <c r="J2674" i="22"/>
  <c r="R2673" i="22"/>
  <c r="O2673" i="22"/>
  <c r="N2673" i="22"/>
  <c r="S2673" i="22" s="1"/>
  <c r="J2673" i="22"/>
  <c r="R2672" i="22"/>
  <c r="J2672" i="22"/>
  <c r="R2671" i="22"/>
  <c r="J2671" i="22"/>
  <c r="R2670" i="22"/>
  <c r="J2670" i="22"/>
  <c r="R2669" i="22"/>
  <c r="O2669" i="22"/>
  <c r="N2669" i="22"/>
  <c r="S2669" i="22" s="1"/>
  <c r="J2669" i="22"/>
  <c r="R2668" i="22"/>
  <c r="J2668" i="22"/>
  <c r="R2667" i="22"/>
  <c r="O2667" i="22"/>
  <c r="N2667" i="22"/>
  <c r="S2667" i="22" s="1"/>
  <c r="J2667" i="22"/>
  <c r="R2666" i="22"/>
  <c r="O2666" i="22"/>
  <c r="N2666" i="22"/>
  <c r="J2666" i="22"/>
  <c r="R2665" i="22"/>
  <c r="O2665" i="22"/>
  <c r="N2665" i="22"/>
  <c r="S2665" i="22" s="1"/>
  <c r="J2665" i="22"/>
  <c r="R2664" i="22"/>
  <c r="O2664" i="22"/>
  <c r="N2664" i="22"/>
  <c r="S2664" i="22" s="1"/>
  <c r="J2664" i="22"/>
  <c r="R2663" i="22"/>
  <c r="O2663" i="22"/>
  <c r="N2663" i="22"/>
  <c r="S2663" i="22" s="1"/>
  <c r="J2663" i="22"/>
  <c r="U2662" i="22"/>
  <c r="T2662" i="22"/>
  <c r="P2662" i="22"/>
  <c r="O2662" i="22"/>
  <c r="R2661" i="22"/>
  <c r="O2661" i="22"/>
  <c r="N2661" i="22"/>
  <c r="P2661" i="22" s="1"/>
  <c r="K2661" i="22"/>
  <c r="T2661" i="22" s="1"/>
  <c r="R2660" i="22"/>
  <c r="O2660" i="22"/>
  <c r="N2660" i="22"/>
  <c r="P2660" i="22" s="1"/>
  <c r="K2660" i="22"/>
  <c r="R2659" i="22"/>
  <c r="O2659" i="22"/>
  <c r="N2659" i="22"/>
  <c r="S2659" i="22" s="1"/>
  <c r="K2659" i="22"/>
  <c r="R2658" i="22"/>
  <c r="O2658" i="22"/>
  <c r="N2658" i="22"/>
  <c r="S2658" i="22" s="1"/>
  <c r="U2658" i="22" s="1"/>
  <c r="K2658" i="22"/>
  <c r="T2658" i="22" s="1"/>
  <c r="R2657" i="22"/>
  <c r="O2657" i="22"/>
  <c r="N2657" i="22"/>
  <c r="S2657" i="22" s="1"/>
  <c r="U2657" i="22" s="1"/>
  <c r="Y2657" i="22" s="1"/>
  <c r="K2657" i="22"/>
  <c r="T2657" i="22" s="1"/>
  <c r="R2656" i="22"/>
  <c r="O2656" i="22"/>
  <c r="N2656" i="22"/>
  <c r="K2656" i="22"/>
  <c r="T2656" i="22" s="1"/>
  <c r="R2655" i="22"/>
  <c r="O2655" i="22"/>
  <c r="N2655" i="22"/>
  <c r="K2655" i="22"/>
  <c r="R2654" i="22"/>
  <c r="O2654" i="22"/>
  <c r="N2654" i="22"/>
  <c r="S2654" i="22" s="1"/>
  <c r="K2654" i="22"/>
  <c r="R2653" i="22"/>
  <c r="O2653" i="22"/>
  <c r="N2653" i="22"/>
  <c r="P2653" i="22" s="1"/>
  <c r="K2653" i="22"/>
  <c r="T2653" i="22" s="1"/>
  <c r="R2652" i="22"/>
  <c r="O2652" i="22"/>
  <c r="N2652" i="22"/>
  <c r="P2652" i="22" s="1"/>
  <c r="K2652" i="22"/>
  <c r="T2652" i="22" s="1"/>
  <c r="R2651" i="22"/>
  <c r="O2651" i="22"/>
  <c r="N2651" i="22"/>
  <c r="K2651" i="22"/>
  <c r="R2650" i="22"/>
  <c r="O2650" i="22"/>
  <c r="N2650" i="22"/>
  <c r="S2650" i="22" s="1"/>
  <c r="K2650" i="22"/>
  <c r="R2649" i="22"/>
  <c r="O2649" i="22"/>
  <c r="N2649" i="22"/>
  <c r="S2649" i="22" s="1"/>
  <c r="U2649" i="22" s="1"/>
  <c r="K2649" i="22"/>
  <c r="T2649" i="22" s="1"/>
  <c r="R2648" i="22"/>
  <c r="O2648" i="22"/>
  <c r="N2648" i="22"/>
  <c r="P2648" i="22" s="1"/>
  <c r="K2648" i="22"/>
  <c r="T2648" i="22" s="1"/>
  <c r="R2647" i="22"/>
  <c r="O2647" i="22"/>
  <c r="N2647" i="22"/>
  <c r="S2647" i="22" s="1"/>
  <c r="U2647" i="22" s="1"/>
  <c r="K2647" i="22"/>
  <c r="R2646" i="22"/>
  <c r="O2646" i="22"/>
  <c r="N2646" i="22"/>
  <c r="S2646" i="22" s="1"/>
  <c r="K2646" i="22"/>
  <c r="R2645" i="22"/>
  <c r="O2645" i="22"/>
  <c r="N2645" i="22"/>
  <c r="P2645" i="22" s="1"/>
  <c r="K2645" i="22"/>
  <c r="T2645" i="22" s="1"/>
  <c r="R2644" i="22"/>
  <c r="O2644" i="22"/>
  <c r="N2644" i="22"/>
  <c r="P2644" i="22" s="1"/>
  <c r="K2644" i="22"/>
  <c r="R2643" i="22"/>
  <c r="O2643" i="22"/>
  <c r="N2643" i="22"/>
  <c r="K2643" i="22"/>
  <c r="R2642" i="22"/>
  <c r="O2642" i="22"/>
  <c r="N2642" i="22"/>
  <c r="S2642" i="22" s="1"/>
  <c r="K2642" i="22"/>
  <c r="R2641" i="22"/>
  <c r="O2641" i="22"/>
  <c r="N2641" i="22"/>
  <c r="S2641" i="22" s="1"/>
  <c r="U2641" i="22" s="1"/>
  <c r="K2641" i="22"/>
  <c r="T2641" i="22" s="1"/>
  <c r="R2640" i="22"/>
  <c r="O2640" i="22"/>
  <c r="N2640" i="22"/>
  <c r="P2640" i="22" s="1"/>
  <c r="K2640" i="22"/>
  <c r="T2640" i="22" s="1"/>
  <c r="R2639" i="22"/>
  <c r="O2639" i="22"/>
  <c r="N2639" i="22"/>
  <c r="K2639" i="22"/>
  <c r="R2638" i="22"/>
  <c r="O2638" i="22"/>
  <c r="N2638" i="22"/>
  <c r="K2638" i="22"/>
  <c r="R2637" i="22"/>
  <c r="O2637" i="22"/>
  <c r="N2637" i="22"/>
  <c r="S2637" i="22" s="1"/>
  <c r="U2637" i="22" s="1"/>
  <c r="K2637" i="22"/>
  <c r="T2637" i="22" s="1"/>
  <c r="R2636" i="22"/>
  <c r="O2636" i="22"/>
  <c r="N2636" i="22"/>
  <c r="P2636" i="22" s="1"/>
  <c r="K2636" i="22"/>
  <c r="T2636" i="22" s="1"/>
  <c r="R2635" i="22"/>
  <c r="O2635" i="22"/>
  <c r="N2635" i="22"/>
  <c r="K2635" i="22"/>
  <c r="R2634" i="22"/>
  <c r="O2634" i="22"/>
  <c r="N2634" i="22"/>
  <c r="K2634" i="22"/>
  <c r="R2633" i="22"/>
  <c r="O2633" i="22"/>
  <c r="N2633" i="22"/>
  <c r="P2633" i="22" s="1"/>
  <c r="K2633" i="22"/>
  <c r="T2633" i="22" s="1"/>
  <c r="R2632" i="22"/>
  <c r="O2632" i="22"/>
  <c r="N2632" i="22"/>
  <c r="P2632" i="22" s="1"/>
  <c r="K2632" i="22"/>
  <c r="R2631" i="22"/>
  <c r="O2631" i="22"/>
  <c r="N2631" i="22"/>
  <c r="S2631" i="22" s="1"/>
  <c r="K2631" i="22"/>
  <c r="U2630" i="22"/>
  <c r="T2630" i="22"/>
  <c r="P2630" i="22"/>
  <c r="O2630" i="22"/>
  <c r="N2630" i="22"/>
  <c r="U2629" i="22"/>
  <c r="T2629" i="22"/>
  <c r="O2629" i="22"/>
  <c r="N2629" i="22"/>
  <c r="P2629" i="22" s="1"/>
  <c r="K2629" i="22"/>
  <c r="J2629" i="22"/>
  <c r="U2628" i="22"/>
  <c r="T2628" i="22"/>
  <c r="O2628" i="22"/>
  <c r="N2628" i="22"/>
  <c r="P2628" i="22" s="1"/>
  <c r="K2628" i="22"/>
  <c r="J2628" i="22"/>
  <c r="G2628" i="22"/>
  <c r="H2628" i="22" s="1"/>
  <c r="U2627" i="22"/>
  <c r="T2627" i="22"/>
  <c r="O2627" i="22"/>
  <c r="N2627" i="22"/>
  <c r="P2627" i="22" s="1"/>
  <c r="K2627" i="22"/>
  <c r="J2627" i="22"/>
  <c r="G2627" i="22"/>
  <c r="H2627" i="22" s="1"/>
  <c r="U2626" i="22"/>
  <c r="T2626" i="22"/>
  <c r="O2626" i="22"/>
  <c r="N2626" i="22"/>
  <c r="P2626" i="22" s="1"/>
  <c r="K2626" i="22"/>
  <c r="J2626" i="22"/>
  <c r="G2626" i="22"/>
  <c r="H2626" i="22" s="1"/>
  <c r="U2625" i="22"/>
  <c r="T2625" i="22"/>
  <c r="O2625" i="22"/>
  <c r="N2625" i="22"/>
  <c r="P2625" i="22" s="1"/>
  <c r="K2625" i="22"/>
  <c r="J2625" i="22"/>
  <c r="R2624" i="22"/>
  <c r="O2624" i="22"/>
  <c r="N2624" i="22"/>
  <c r="D2624" i="22"/>
  <c r="I2624" i="22" s="1"/>
  <c r="U2623" i="22"/>
  <c r="T2623" i="22"/>
  <c r="O2623" i="22"/>
  <c r="N2623" i="22"/>
  <c r="P2623" i="22" s="1"/>
  <c r="K2623" i="22"/>
  <c r="J2623" i="22"/>
  <c r="U2622" i="22"/>
  <c r="T2622" i="22"/>
  <c r="O2622" i="22"/>
  <c r="N2622" i="22"/>
  <c r="P2622" i="22" s="1"/>
  <c r="K2622" i="22"/>
  <c r="J2622" i="22"/>
  <c r="U2621" i="22"/>
  <c r="T2621" i="22"/>
  <c r="O2621" i="22"/>
  <c r="N2621" i="22"/>
  <c r="P2621" i="22" s="1"/>
  <c r="K2621" i="22"/>
  <c r="J2621" i="22"/>
  <c r="U2620" i="22"/>
  <c r="T2620" i="22"/>
  <c r="O2620" i="22"/>
  <c r="N2620" i="22"/>
  <c r="P2620" i="22" s="1"/>
  <c r="K2620" i="22"/>
  <c r="J2620" i="22"/>
  <c r="U2619" i="22"/>
  <c r="T2619" i="22"/>
  <c r="O2619" i="22"/>
  <c r="N2619" i="22"/>
  <c r="P2619" i="22" s="1"/>
  <c r="K2619" i="22"/>
  <c r="J2619" i="22"/>
  <c r="R2618" i="22"/>
  <c r="O2618" i="22"/>
  <c r="N2618" i="22"/>
  <c r="P2618" i="22" s="1"/>
  <c r="D2618" i="22"/>
  <c r="U2617" i="22"/>
  <c r="T2617" i="22"/>
  <c r="O2617" i="22"/>
  <c r="N2617" i="22"/>
  <c r="P2617" i="22" s="1"/>
  <c r="K2617" i="22"/>
  <c r="J2617" i="22"/>
  <c r="U2616" i="22"/>
  <c r="T2616" i="22"/>
  <c r="O2616" i="22"/>
  <c r="N2616" i="22"/>
  <c r="P2616" i="22" s="1"/>
  <c r="K2616" i="22"/>
  <c r="J2616" i="22"/>
  <c r="U2615" i="22"/>
  <c r="T2615" i="22"/>
  <c r="O2615" i="22"/>
  <c r="N2615" i="22"/>
  <c r="P2615" i="22" s="1"/>
  <c r="K2615" i="22"/>
  <c r="J2615" i="22"/>
  <c r="U2614" i="22"/>
  <c r="T2614" i="22"/>
  <c r="O2614" i="22"/>
  <c r="N2614" i="22"/>
  <c r="P2614" i="22" s="1"/>
  <c r="K2614" i="22"/>
  <c r="J2614" i="22"/>
  <c r="U2613" i="22"/>
  <c r="T2613" i="22"/>
  <c r="O2613" i="22"/>
  <c r="N2613" i="22"/>
  <c r="P2613" i="22" s="1"/>
  <c r="K2613" i="22"/>
  <c r="J2613" i="22"/>
  <c r="R2612" i="22"/>
  <c r="O2612" i="22"/>
  <c r="N2612" i="22"/>
  <c r="P2612" i="22" s="1"/>
  <c r="D2612" i="22"/>
  <c r="U2611" i="22"/>
  <c r="T2611" i="22"/>
  <c r="O2611" i="22"/>
  <c r="N2611" i="22"/>
  <c r="P2611" i="22" s="1"/>
  <c r="K2611" i="22"/>
  <c r="J2611" i="22"/>
  <c r="U2610" i="22"/>
  <c r="T2610" i="22"/>
  <c r="O2610" i="22"/>
  <c r="N2610" i="22"/>
  <c r="P2610" i="22" s="1"/>
  <c r="K2610" i="22"/>
  <c r="J2610" i="22"/>
  <c r="U2609" i="22"/>
  <c r="T2609" i="22"/>
  <c r="O2609" i="22"/>
  <c r="N2609" i="22"/>
  <c r="P2609" i="22" s="1"/>
  <c r="K2609" i="22"/>
  <c r="J2609" i="22"/>
  <c r="U2608" i="22"/>
  <c r="T2608" i="22"/>
  <c r="O2608" i="22"/>
  <c r="N2608" i="22"/>
  <c r="P2608" i="22" s="1"/>
  <c r="K2608" i="22"/>
  <c r="J2608" i="22"/>
  <c r="U2607" i="22"/>
  <c r="T2607" i="22"/>
  <c r="O2607" i="22"/>
  <c r="N2607" i="22"/>
  <c r="P2607" i="22" s="1"/>
  <c r="K2607" i="22"/>
  <c r="J2607" i="22"/>
  <c r="R2606" i="22"/>
  <c r="O2606" i="22"/>
  <c r="N2606" i="22"/>
  <c r="D2606" i="22"/>
  <c r="U2605" i="22"/>
  <c r="T2605" i="22"/>
  <c r="O2605" i="22"/>
  <c r="N2605" i="22"/>
  <c r="P2605" i="22" s="1"/>
  <c r="K2605" i="22"/>
  <c r="J2605" i="22"/>
  <c r="U2604" i="22"/>
  <c r="T2604" i="22"/>
  <c r="O2604" i="22"/>
  <c r="N2604" i="22"/>
  <c r="P2604" i="22" s="1"/>
  <c r="K2604" i="22"/>
  <c r="J2604" i="22"/>
  <c r="U2603" i="22"/>
  <c r="T2603" i="22"/>
  <c r="O2603" i="22"/>
  <c r="N2603" i="22"/>
  <c r="P2603" i="22" s="1"/>
  <c r="K2603" i="22"/>
  <c r="J2603" i="22"/>
  <c r="U2602" i="22"/>
  <c r="T2602" i="22"/>
  <c r="O2602" i="22"/>
  <c r="N2602" i="22"/>
  <c r="P2602" i="22" s="1"/>
  <c r="K2602" i="22"/>
  <c r="J2602" i="22"/>
  <c r="U2601" i="22"/>
  <c r="T2601" i="22"/>
  <c r="O2601" i="22"/>
  <c r="N2601" i="22"/>
  <c r="P2601" i="22" s="1"/>
  <c r="K2601" i="22"/>
  <c r="J2601" i="22"/>
  <c r="R2600" i="22"/>
  <c r="O2600" i="22"/>
  <c r="N2600" i="22"/>
  <c r="D2600" i="22"/>
  <c r="U2599" i="22"/>
  <c r="T2599" i="22"/>
  <c r="O2599" i="22"/>
  <c r="N2599" i="22"/>
  <c r="P2599" i="22" s="1"/>
  <c r="K2599" i="22"/>
  <c r="J2599" i="22"/>
  <c r="U2598" i="22"/>
  <c r="T2598" i="22"/>
  <c r="O2598" i="22"/>
  <c r="N2598" i="22"/>
  <c r="P2598" i="22" s="1"/>
  <c r="K2598" i="22"/>
  <c r="J2598" i="22"/>
  <c r="U2597" i="22"/>
  <c r="T2597" i="22"/>
  <c r="O2597" i="22"/>
  <c r="N2597" i="22"/>
  <c r="P2597" i="22" s="1"/>
  <c r="K2597" i="22"/>
  <c r="J2597" i="22"/>
  <c r="U2596" i="22"/>
  <c r="T2596" i="22"/>
  <c r="O2596" i="22"/>
  <c r="N2596" i="22"/>
  <c r="P2596" i="22" s="1"/>
  <c r="K2596" i="22"/>
  <c r="J2596" i="22"/>
  <c r="U2595" i="22"/>
  <c r="T2595" i="22"/>
  <c r="O2595" i="22"/>
  <c r="N2595" i="22"/>
  <c r="P2595" i="22" s="1"/>
  <c r="K2595" i="22"/>
  <c r="J2595" i="22"/>
  <c r="R2594" i="22"/>
  <c r="O2594" i="22"/>
  <c r="N2594" i="22"/>
  <c r="P2594" i="22" s="1"/>
  <c r="D2594" i="22"/>
  <c r="U2593" i="22"/>
  <c r="T2593" i="22"/>
  <c r="O2593" i="22"/>
  <c r="N2593" i="22"/>
  <c r="P2593" i="22" s="1"/>
  <c r="K2593" i="22"/>
  <c r="J2593" i="22"/>
  <c r="U2592" i="22"/>
  <c r="T2592" i="22"/>
  <c r="O2592" i="22"/>
  <c r="N2592" i="22"/>
  <c r="P2592" i="22" s="1"/>
  <c r="K2592" i="22"/>
  <c r="J2592" i="22"/>
  <c r="U2591" i="22"/>
  <c r="T2591" i="22"/>
  <c r="O2591" i="22"/>
  <c r="N2591" i="22"/>
  <c r="P2591" i="22" s="1"/>
  <c r="K2591" i="22"/>
  <c r="J2591" i="22"/>
  <c r="U2590" i="22"/>
  <c r="T2590" i="22"/>
  <c r="O2590" i="22"/>
  <c r="N2590" i="22"/>
  <c r="P2590" i="22" s="1"/>
  <c r="K2590" i="22"/>
  <c r="J2590" i="22"/>
  <c r="U2589" i="22"/>
  <c r="T2589" i="22"/>
  <c r="O2589" i="22"/>
  <c r="N2589" i="22"/>
  <c r="P2589" i="22" s="1"/>
  <c r="K2589" i="22"/>
  <c r="J2589" i="22"/>
  <c r="R2588" i="22"/>
  <c r="O2588" i="22"/>
  <c r="N2588" i="22"/>
  <c r="P2588" i="22" s="1"/>
  <c r="D2588" i="22"/>
  <c r="U2587" i="22"/>
  <c r="T2587" i="22"/>
  <c r="O2587" i="22"/>
  <c r="N2587" i="22"/>
  <c r="P2587" i="22" s="1"/>
  <c r="K2587" i="22"/>
  <c r="J2587" i="22"/>
  <c r="U2586" i="22"/>
  <c r="T2586" i="22"/>
  <c r="O2586" i="22"/>
  <c r="N2586" i="22"/>
  <c r="P2586" i="22" s="1"/>
  <c r="K2586" i="22"/>
  <c r="J2586" i="22"/>
  <c r="U2585" i="22"/>
  <c r="T2585" i="22"/>
  <c r="O2585" i="22"/>
  <c r="N2585" i="22"/>
  <c r="P2585" i="22" s="1"/>
  <c r="K2585" i="22"/>
  <c r="J2585" i="22"/>
  <c r="U2584" i="22"/>
  <c r="T2584" i="22"/>
  <c r="O2584" i="22"/>
  <c r="N2584" i="22"/>
  <c r="P2584" i="22" s="1"/>
  <c r="K2584" i="22"/>
  <c r="J2584" i="22"/>
  <c r="U2583" i="22"/>
  <c r="T2583" i="22"/>
  <c r="O2583" i="22"/>
  <c r="N2583" i="22"/>
  <c r="P2583" i="22" s="1"/>
  <c r="K2583" i="22"/>
  <c r="J2583" i="22"/>
  <c r="R2582" i="22"/>
  <c r="O2582" i="22"/>
  <c r="N2582" i="22"/>
  <c r="P2582" i="22" s="1"/>
  <c r="D2582" i="22"/>
  <c r="U2581" i="22"/>
  <c r="T2581" i="22"/>
  <c r="O2581" i="22"/>
  <c r="N2581" i="22"/>
  <c r="P2581" i="22" s="1"/>
  <c r="K2581" i="22"/>
  <c r="J2581" i="22"/>
  <c r="U2580" i="22"/>
  <c r="T2580" i="22"/>
  <c r="O2580" i="22"/>
  <c r="N2580" i="22"/>
  <c r="P2580" i="22" s="1"/>
  <c r="K2580" i="22"/>
  <c r="J2580" i="22"/>
  <c r="U2579" i="22"/>
  <c r="T2579" i="22"/>
  <c r="O2579" i="22"/>
  <c r="N2579" i="22"/>
  <c r="P2579" i="22" s="1"/>
  <c r="K2579" i="22"/>
  <c r="J2579" i="22"/>
  <c r="U2578" i="22"/>
  <c r="T2578" i="22"/>
  <c r="O2578" i="22"/>
  <c r="N2578" i="22"/>
  <c r="P2578" i="22" s="1"/>
  <c r="K2578" i="22"/>
  <c r="J2578" i="22"/>
  <c r="U2577" i="22"/>
  <c r="T2577" i="22"/>
  <c r="O2577" i="22"/>
  <c r="N2577" i="22"/>
  <c r="P2577" i="22" s="1"/>
  <c r="K2577" i="22"/>
  <c r="J2577" i="22"/>
  <c r="R2576" i="22"/>
  <c r="O2576" i="22"/>
  <c r="N2576" i="22"/>
  <c r="D2576" i="22"/>
  <c r="U2575" i="22"/>
  <c r="T2575" i="22"/>
  <c r="O2575" i="22"/>
  <c r="N2575" i="22"/>
  <c r="P2575" i="22" s="1"/>
  <c r="K2575" i="22"/>
  <c r="J2575" i="22"/>
  <c r="U2574" i="22"/>
  <c r="T2574" i="22"/>
  <c r="O2574" i="22"/>
  <c r="N2574" i="22"/>
  <c r="P2574" i="22" s="1"/>
  <c r="K2574" i="22"/>
  <c r="J2574" i="22"/>
  <c r="U2573" i="22"/>
  <c r="T2573" i="22"/>
  <c r="O2573" i="22"/>
  <c r="N2573" i="22"/>
  <c r="P2573" i="22" s="1"/>
  <c r="K2573" i="22"/>
  <c r="J2573" i="22"/>
  <c r="G2573" i="22"/>
  <c r="H2573" i="22" s="1"/>
  <c r="U2572" i="22"/>
  <c r="T2572" i="22"/>
  <c r="O2572" i="22"/>
  <c r="N2572" i="22"/>
  <c r="P2572" i="22" s="1"/>
  <c r="K2572" i="22"/>
  <c r="J2572" i="22"/>
  <c r="U2571" i="22"/>
  <c r="T2571" i="22"/>
  <c r="O2571" i="22"/>
  <c r="N2571" i="22"/>
  <c r="P2571" i="22" s="1"/>
  <c r="K2571" i="22"/>
  <c r="J2571" i="22"/>
  <c r="R2570" i="22"/>
  <c r="O2570" i="22"/>
  <c r="N2570" i="22"/>
  <c r="P2570" i="22" s="1"/>
  <c r="I2570" i="22"/>
  <c r="D2570" i="22"/>
  <c r="G2571" i="22" s="1"/>
  <c r="H2571" i="22" s="1"/>
  <c r="U2569" i="22"/>
  <c r="T2569" i="22"/>
  <c r="O2569" i="22"/>
  <c r="N2569" i="22"/>
  <c r="P2569" i="22" s="1"/>
  <c r="K2569" i="22"/>
  <c r="G2569" i="22"/>
  <c r="H2569" i="22" s="1"/>
  <c r="U2568" i="22"/>
  <c r="T2568" i="22"/>
  <c r="O2568" i="22"/>
  <c r="N2568" i="22"/>
  <c r="P2568" i="22" s="1"/>
  <c r="K2568" i="22"/>
  <c r="G2568" i="22"/>
  <c r="H2568" i="22" s="1"/>
  <c r="U2567" i="22"/>
  <c r="T2567" i="22"/>
  <c r="O2567" i="22"/>
  <c r="N2567" i="22"/>
  <c r="P2567" i="22" s="1"/>
  <c r="K2567" i="22"/>
  <c r="G2567" i="22"/>
  <c r="H2567" i="22" s="1"/>
  <c r="U2566" i="22"/>
  <c r="T2566" i="22"/>
  <c r="O2566" i="22"/>
  <c r="N2566" i="22"/>
  <c r="P2566" i="22" s="1"/>
  <c r="K2566" i="22"/>
  <c r="G2566" i="22"/>
  <c r="H2566" i="22" s="1"/>
  <c r="U2565" i="22"/>
  <c r="T2565" i="22"/>
  <c r="O2565" i="22"/>
  <c r="N2565" i="22"/>
  <c r="P2565" i="22" s="1"/>
  <c r="K2565" i="22"/>
  <c r="G2565" i="22"/>
  <c r="H2565" i="22" s="1"/>
  <c r="R2564" i="22"/>
  <c r="O2564" i="22"/>
  <c r="N2564" i="22"/>
  <c r="I2564" i="22"/>
  <c r="U2563" i="22"/>
  <c r="T2563" i="22"/>
  <c r="O2563" i="22"/>
  <c r="N2563" i="22"/>
  <c r="P2563" i="22" s="1"/>
  <c r="K2563" i="22"/>
  <c r="H2563" i="22"/>
  <c r="G2563" i="22"/>
  <c r="U2562" i="22"/>
  <c r="T2562" i="22"/>
  <c r="O2562" i="22"/>
  <c r="N2562" i="22"/>
  <c r="P2562" i="22" s="1"/>
  <c r="K2562" i="22"/>
  <c r="G2562" i="22"/>
  <c r="H2562" i="22" s="1"/>
  <c r="U2561" i="22"/>
  <c r="T2561" i="22"/>
  <c r="O2561" i="22"/>
  <c r="N2561" i="22"/>
  <c r="P2561" i="22" s="1"/>
  <c r="K2561" i="22"/>
  <c r="H2561" i="22"/>
  <c r="G2561" i="22"/>
  <c r="U2560" i="22"/>
  <c r="T2560" i="22"/>
  <c r="O2560" i="22"/>
  <c r="N2560" i="22"/>
  <c r="P2560" i="22" s="1"/>
  <c r="K2560" i="22"/>
  <c r="G2560" i="22"/>
  <c r="H2560" i="22" s="1"/>
  <c r="U2559" i="22"/>
  <c r="T2559" i="22"/>
  <c r="O2559" i="22"/>
  <c r="N2559" i="22"/>
  <c r="P2559" i="22" s="1"/>
  <c r="K2559" i="22"/>
  <c r="G2559" i="22"/>
  <c r="H2559" i="22" s="1"/>
  <c r="R2558" i="22"/>
  <c r="O2558" i="22"/>
  <c r="N2558" i="22"/>
  <c r="I2558" i="22"/>
  <c r="U2557" i="22"/>
  <c r="T2557" i="22"/>
  <c r="O2557" i="22"/>
  <c r="N2557" i="22"/>
  <c r="P2557" i="22" s="1"/>
  <c r="K2557" i="22"/>
  <c r="G2557" i="22"/>
  <c r="H2557" i="22" s="1"/>
  <c r="U2556" i="22"/>
  <c r="T2556" i="22"/>
  <c r="O2556" i="22"/>
  <c r="N2556" i="22"/>
  <c r="P2556" i="22" s="1"/>
  <c r="K2556" i="22"/>
  <c r="G2556" i="22"/>
  <c r="H2556" i="22" s="1"/>
  <c r="U2555" i="22"/>
  <c r="T2555" i="22"/>
  <c r="O2555" i="22"/>
  <c r="N2555" i="22"/>
  <c r="P2555" i="22" s="1"/>
  <c r="K2555" i="22"/>
  <c r="G2555" i="22"/>
  <c r="H2555" i="22" s="1"/>
  <c r="U2554" i="22"/>
  <c r="T2554" i="22"/>
  <c r="O2554" i="22"/>
  <c r="N2554" i="22"/>
  <c r="P2554" i="22" s="1"/>
  <c r="K2554" i="22"/>
  <c r="G2554" i="22"/>
  <c r="H2554" i="22" s="1"/>
  <c r="U2553" i="22"/>
  <c r="T2553" i="22"/>
  <c r="O2553" i="22"/>
  <c r="N2553" i="22"/>
  <c r="P2553" i="22" s="1"/>
  <c r="K2553" i="22"/>
  <c r="G2553" i="22"/>
  <c r="H2553" i="22" s="1"/>
  <c r="R2552" i="22"/>
  <c r="O2552" i="22"/>
  <c r="N2552" i="22"/>
  <c r="S2552" i="22" s="1"/>
  <c r="I2552" i="22"/>
  <c r="U2551" i="22"/>
  <c r="T2551" i="22"/>
  <c r="O2551" i="22"/>
  <c r="N2551" i="22"/>
  <c r="P2551" i="22" s="1"/>
  <c r="K2551" i="22"/>
  <c r="G2551" i="22"/>
  <c r="H2551" i="22" s="1"/>
  <c r="U2550" i="22"/>
  <c r="T2550" i="22"/>
  <c r="O2550" i="22"/>
  <c r="N2550" i="22"/>
  <c r="P2550" i="22" s="1"/>
  <c r="K2550" i="22"/>
  <c r="H2550" i="22"/>
  <c r="G2550" i="22"/>
  <c r="U2549" i="22"/>
  <c r="T2549" i="22"/>
  <c r="O2549" i="22"/>
  <c r="N2549" i="22"/>
  <c r="P2549" i="22" s="1"/>
  <c r="K2549" i="22"/>
  <c r="H2549" i="22"/>
  <c r="G2549" i="22"/>
  <c r="U2548" i="22"/>
  <c r="T2548" i="22"/>
  <c r="O2548" i="22"/>
  <c r="N2548" i="22"/>
  <c r="P2548" i="22" s="1"/>
  <c r="K2548" i="22"/>
  <c r="G2548" i="22"/>
  <c r="H2548" i="22" s="1"/>
  <c r="U2547" i="22"/>
  <c r="T2547" i="22"/>
  <c r="O2547" i="22"/>
  <c r="N2547" i="22"/>
  <c r="P2547" i="22" s="1"/>
  <c r="K2547" i="22"/>
  <c r="H2547" i="22"/>
  <c r="G2547" i="22"/>
  <c r="R2546" i="22"/>
  <c r="O2546" i="22"/>
  <c r="N2546" i="22"/>
  <c r="P2546" i="22" s="1"/>
  <c r="I2546" i="22"/>
  <c r="U2545" i="22"/>
  <c r="T2545" i="22"/>
  <c r="O2545" i="22"/>
  <c r="N2545" i="22"/>
  <c r="P2545" i="22" s="1"/>
  <c r="K2545" i="22"/>
  <c r="G2545" i="22"/>
  <c r="H2545" i="22" s="1"/>
  <c r="U2544" i="22"/>
  <c r="T2544" i="22"/>
  <c r="O2544" i="22"/>
  <c r="N2544" i="22"/>
  <c r="P2544" i="22" s="1"/>
  <c r="K2544" i="22"/>
  <c r="G2544" i="22"/>
  <c r="H2544" i="22" s="1"/>
  <c r="U2543" i="22"/>
  <c r="T2543" i="22"/>
  <c r="O2543" i="22"/>
  <c r="N2543" i="22"/>
  <c r="P2543" i="22" s="1"/>
  <c r="K2543" i="22"/>
  <c r="G2543" i="22"/>
  <c r="H2543" i="22" s="1"/>
  <c r="U2542" i="22"/>
  <c r="T2542" i="22"/>
  <c r="O2542" i="22"/>
  <c r="N2542" i="22"/>
  <c r="P2542" i="22" s="1"/>
  <c r="K2542" i="22"/>
  <c r="G2542" i="22"/>
  <c r="H2542" i="22" s="1"/>
  <c r="U2541" i="22"/>
  <c r="T2541" i="22"/>
  <c r="O2541" i="22"/>
  <c r="N2541" i="22"/>
  <c r="P2541" i="22" s="1"/>
  <c r="K2541" i="22"/>
  <c r="G2541" i="22"/>
  <c r="H2541" i="22" s="1"/>
  <c r="R2540" i="22"/>
  <c r="O2540" i="22"/>
  <c r="N2540" i="22"/>
  <c r="P2540" i="22" s="1"/>
  <c r="I2540" i="22"/>
  <c r="U2539" i="22"/>
  <c r="T2539" i="22"/>
  <c r="O2539" i="22"/>
  <c r="N2539" i="22"/>
  <c r="P2539" i="22" s="1"/>
  <c r="K2539" i="22"/>
  <c r="H2539" i="22"/>
  <c r="G2539" i="22"/>
  <c r="U2538" i="22"/>
  <c r="T2538" i="22"/>
  <c r="O2538" i="22"/>
  <c r="N2538" i="22"/>
  <c r="P2538" i="22" s="1"/>
  <c r="K2538" i="22"/>
  <c r="G2538" i="22"/>
  <c r="H2538" i="22" s="1"/>
  <c r="U2537" i="22"/>
  <c r="T2537" i="22"/>
  <c r="O2537" i="22"/>
  <c r="N2537" i="22"/>
  <c r="P2537" i="22" s="1"/>
  <c r="K2537" i="22"/>
  <c r="H2537" i="22"/>
  <c r="G2537" i="22"/>
  <c r="U2536" i="22"/>
  <c r="T2536" i="22"/>
  <c r="O2536" i="22"/>
  <c r="N2536" i="22"/>
  <c r="P2536" i="22" s="1"/>
  <c r="K2536" i="22"/>
  <c r="G2536" i="22"/>
  <c r="H2536" i="22" s="1"/>
  <c r="U2535" i="22"/>
  <c r="T2535" i="22"/>
  <c r="O2535" i="22"/>
  <c r="N2535" i="22"/>
  <c r="P2535" i="22" s="1"/>
  <c r="K2535" i="22"/>
  <c r="H2535" i="22"/>
  <c r="G2535" i="22"/>
  <c r="R2534" i="22"/>
  <c r="O2534" i="22"/>
  <c r="N2534" i="22"/>
  <c r="P2534" i="22" s="1"/>
  <c r="I2534" i="22"/>
  <c r="U2533" i="22"/>
  <c r="T2533" i="22"/>
  <c r="O2533" i="22"/>
  <c r="N2533" i="22"/>
  <c r="P2533" i="22" s="1"/>
  <c r="K2533" i="22"/>
  <c r="G2533" i="22"/>
  <c r="H2533" i="22" s="1"/>
  <c r="U2532" i="22"/>
  <c r="T2532" i="22"/>
  <c r="O2532" i="22"/>
  <c r="N2532" i="22"/>
  <c r="P2532" i="22" s="1"/>
  <c r="K2532" i="22"/>
  <c r="G2532" i="22"/>
  <c r="H2532" i="22" s="1"/>
  <c r="U2531" i="22"/>
  <c r="T2531" i="22"/>
  <c r="O2531" i="22"/>
  <c r="N2531" i="22"/>
  <c r="P2531" i="22" s="1"/>
  <c r="K2531" i="22"/>
  <c r="G2531" i="22"/>
  <c r="H2531" i="22" s="1"/>
  <c r="U2530" i="22"/>
  <c r="T2530" i="22"/>
  <c r="O2530" i="22"/>
  <c r="N2530" i="22"/>
  <c r="P2530" i="22" s="1"/>
  <c r="K2530" i="22"/>
  <c r="G2530" i="22"/>
  <c r="H2530" i="22" s="1"/>
  <c r="U2529" i="22"/>
  <c r="T2529" i="22"/>
  <c r="O2529" i="22"/>
  <c r="N2529" i="22"/>
  <c r="P2529" i="22" s="1"/>
  <c r="K2529" i="22"/>
  <c r="G2529" i="22"/>
  <c r="H2529" i="22" s="1"/>
  <c r="R2528" i="22"/>
  <c r="O2528" i="22"/>
  <c r="N2528" i="22"/>
  <c r="I2528" i="22"/>
  <c r="U2527" i="22"/>
  <c r="T2527" i="22"/>
  <c r="O2527" i="22"/>
  <c r="N2527" i="22"/>
  <c r="P2527" i="22" s="1"/>
  <c r="K2527" i="22"/>
  <c r="H2527" i="22"/>
  <c r="G2527" i="22"/>
  <c r="U2526" i="22"/>
  <c r="T2526" i="22"/>
  <c r="O2526" i="22"/>
  <c r="N2526" i="22"/>
  <c r="P2526" i="22" s="1"/>
  <c r="K2526" i="22"/>
  <c r="G2526" i="22"/>
  <c r="H2526" i="22" s="1"/>
  <c r="U2525" i="22"/>
  <c r="T2525" i="22"/>
  <c r="O2525" i="22"/>
  <c r="N2525" i="22"/>
  <c r="P2525" i="22" s="1"/>
  <c r="K2525" i="22"/>
  <c r="H2525" i="22"/>
  <c r="G2525" i="22"/>
  <c r="U2524" i="22"/>
  <c r="T2524" i="22"/>
  <c r="O2524" i="22"/>
  <c r="N2524" i="22"/>
  <c r="P2524" i="22" s="1"/>
  <c r="K2524" i="22"/>
  <c r="G2524" i="22"/>
  <c r="H2524" i="22" s="1"/>
  <c r="U2523" i="22"/>
  <c r="T2523" i="22"/>
  <c r="O2523" i="22"/>
  <c r="N2523" i="22"/>
  <c r="P2523" i="22" s="1"/>
  <c r="K2523" i="22"/>
  <c r="G2523" i="22"/>
  <c r="H2523" i="22" s="1"/>
  <c r="R2522" i="22"/>
  <c r="O2522" i="22"/>
  <c r="N2522" i="22"/>
  <c r="I2522" i="22"/>
  <c r="U2521" i="22"/>
  <c r="T2521" i="22"/>
  <c r="O2521" i="22"/>
  <c r="N2521" i="22"/>
  <c r="P2521" i="22" s="1"/>
  <c r="K2521" i="22"/>
  <c r="G2521" i="22"/>
  <c r="H2521" i="22" s="1"/>
  <c r="U2520" i="22"/>
  <c r="T2520" i="22"/>
  <c r="O2520" i="22"/>
  <c r="N2520" i="22"/>
  <c r="P2520" i="22" s="1"/>
  <c r="K2520" i="22"/>
  <c r="G2520" i="22"/>
  <c r="H2520" i="22" s="1"/>
  <c r="U2519" i="22"/>
  <c r="T2519" i="22"/>
  <c r="O2519" i="22"/>
  <c r="N2519" i="22"/>
  <c r="P2519" i="22" s="1"/>
  <c r="K2519" i="22"/>
  <c r="G2519" i="22"/>
  <c r="H2519" i="22" s="1"/>
  <c r="U2518" i="22"/>
  <c r="T2518" i="22"/>
  <c r="O2518" i="22"/>
  <c r="N2518" i="22"/>
  <c r="P2518" i="22" s="1"/>
  <c r="K2518" i="22"/>
  <c r="G2518" i="22"/>
  <c r="H2518" i="22" s="1"/>
  <c r="U2517" i="22"/>
  <c r="T2517" i="22"/>
  <c r="O2517" i="22"/>
  <c r="N2517" i="22"/>
  <c r="P2517" i="22" s="1"/>
  <c r="K2517" i="22"/>
  <c r="G2517" i="22"/>
  <c r="H2517" i="22" s="1"/>
  <c r="H2516" i="22" s="1"/>
  <c r="J2516" i="22" s="1"/>
  <c r="R2516" i="22"/>
  <c r="O2516" i="22"/>
  <c r="N2516" i="22"/>
  <c r="P2516" i="22" s="1"/>
  <c r="I2516" i="22"/>
  <c r="U2515" i="22"/>
  <c r="T2515" i="22"/>
  <c r="O2515" i="22"/>
  <c r="N2515" i="22"/>
  <c r="P2515" i="22" s="1"/>
  <c r="K2515" i="22"/>
  <c r="G2515" i="22"/>
  <c r="H2515" i="22" s="1"/>
  <c r="U2514" i="22"/>
  <c r="T2514" i="22"/>
  <c r="O2514" i="22"/>
  <c r="N2514" i="22"/>
  <c r="P2514" i="22" s="1"/>
  <c r="K2514" i="22"/>
  <c r="G2514" i="22"/>
  <c r="H2514" i="22" s="1"/>
  <c r="U2513" i="22"/>
  <c r="T2513" i="22"/>
  <c r="O2513" i="22"/>
  <c r="N2513" i="22"/>
  <c r="P2513" i="22" s="1"/>
  <c r="K2513" i="22"/>
  <c r="G2513" i="22"/>
  <c r="H2513" i="22" s="1"/>
  <c r="U2512" i="22"/>
  <c r="T2512" i="22"/>
  <c r="O2512" i="22"/>
  <c r="N2512" i="22"/>
  <c r="P2512" i="22" s="1"/>
  <c r="K2512" i="22"/>
  <c r="G2512" i="22"/>
  <c r="H2512" i="22" s="1"/>
  <c r="U2511" i="22"/>
  <c r="T2511" i="22"/>
  <c r="O2511" i="22"/>
  <c r="N2511" i="22"/>
  <c r="P2511" i="22" s="1"/>
  <c r="K2511" i="22"/>
  <c r="G2511" i="22"/>
  <c r="H2511" i="22" s="1"/>
  <c r="R2510" i="22"/>
  <c r="O2510" i="22"/>
  <c r="N2510" i="22"/>
  <c r="P2510" i="22" s="1"/>
  <c r="I2510" i="22"/>
  <c r="U2509" i="22"/>
  <c r="T2509" i="22"/>
  <c r="O2509" i="22"/>
  <c r="N2509" i="22"/>
  <c r="P2509" i="22" s="1"/>
  <c r="K2509" i="22"/>
  <c r="G2509" i="22"/>
  <c r="H2509" i="22" s="1"/>
  <c r="U2508" i="22"/>
  <c r="T2508" i="22"/>
  <c r="O2508" i="22"/>
  <c r="N2508" i="22"/>
  <c r="P2508" i="22" s="1"/>
  <c r="K2508" i="22"/>
  <c r="G2508" i="22"/>
  <c r="H2508" i="22" s="1"/>
  <c r="U2507" i="22"/>
  <c r="T2507" i="22"/>
  <c r="O2507" i="22"/>
  <c r="N2507" i="22"/>
  <c r="P2507" i="22" s="1"/>
  <c r="K2507" i="22"/>
  <c r="G2507" i="22"/>
  <c r="H2507" i="22" s="1"/>
  <c r="U2506" i="22"/>
  <c r="T2506" i="22"/>
  <c r="O2506" i="22"/>
  <c r="N2506" i="22"/>
  <c r="P2506" i="22" s="1"/>
  <c r="K2506" i="22"/>
  <c r="G2506" i="22"/>
  <c r="H2506" i="22" s="1"/>
  <c r="U2505" i="22"/>
  <c r="T2505" i="22"/>
  <c r="O2505" i="22"/>
  <c r="N2505" i="22"/>
  <c r="P2505" i="22" s="1"/>
  <c r="K2505" i="22"/>
  <c r="G2505" i="22"/>
  <c r="H2505" i="22" s="1"/>
  <c r="R2504" i="22"/>
  <c r="O2504" i="22"/>
  <c r="N2504" i="22"/>
  <c r="I2504" i="22"/>
  <c r="U2503" i="22"/>
  <c r="T2503" i="22"/>
  <c r="O2503" i="22"/>
  <c r="N2503" i="22"/>
  <c r="P2503" i="22" s="1"/>
  <c r="K2503" i="22"/>
  <c r="H2503" i="22"/>
  <c r="G2503" i="22"/>
  <c r="U2502" i="22"/>
  <c r="T2502" i="22"/>
  <c r="O2502" i="22"/>
  <c r="N2502" i="22"/>
  <c r="P2502" i="22" s="1"/>
  <c r="K2502" i="22"/>
  <c r="G2502" i="22"/>
  <c r="H2502" i="22" s="1"/>
  <c r="U2501" i="22"/>
  <c r="T2501" i="22"/>
  <c r="O2501" i="22"/>
  <c r="N2501" i="22"/>
  <c r="P2501" i="22" s="1"/>
  <c r="K2501" i="22"/>
  <c r="G2501" i="22"/>
  <c r="H2501" i="22" s="1"/>
  <c r="U2500" i="22"/>
  <c r="T2500" i="22"/>
  <c r="O2500" i="22"/>
  <c r="N2500" i="22"/>
  <c r="P2500" i="22" s="1"/>
  <c r="K2500" i="22"/>
  <c r="G2500" i="22"/>
  <c r="H2500" i="22" s="1"/>
  <c r="U2499" i="22"/>
  <c r="T2499" i="22"/>
  <c r="O2499" i="22"/>
  <c r="N2499" i="22"/>
  <c r="P2499" i="22" s="1"/>
  <c r="K2499" i="22"/>
  <c r="H2499" i="22"/>
  <c r="G2499" i="22"/>
  <c r="R2498" i="22"/>
  <c r="O2498" i="22"/>
  <c r="N2498" i="22"/>
  <c r="S2498" i="22" s="1"/>
  <c r="I2498" i="22"/>
  <c r="U2497" i="22"/>
  <c r="T2497" i="22"/>
  <c r="O2497" i="22"/>
  <c r="N2497" i="22"/>
  <c r="P2497" i="22" s="1"/>
  <c r="K2497" i="22"/>
  <c r="G2497" i="22"/>
  <c r="H2497" i="22" s="1"/>
  <c r="U2496" i="22"/>
  <c r="T2496" i="22"/>
  <c r="O2496" i="22"/>
  <c r="N2496" i="22"/>
  <c r="P2496" i="22" s="1"/>
  <c r="K2496" i="22"/>
  <c r="G2496" i="22"/>
  <c r="H2496" i="22" s="1"/>
  <c r="H2492" i="22" s="1"/>
  <c r="U2495" i="22"/>
  <c r="T2495" i="22"/>
  <c r="O2495" i="22"/>
  <c r="N2495" i="22"/>
  <c r="P2495" i="22" s="1"/>
  <c r="K2495" i="22"/>
  <c r="G2495" i="22"/>
  <c r="H2495" i="22" s="1"/>
  <c r="U2494" i="22"/>
  <c r="T2494" i="22"/>
  <c r="O2494" i="22"/>
  <c r="N2494" i="22"/>
  <c r="P2494" i="22" s="1"/>
  <c r="K2494" i="22"/>
  <c r="G2494" i="22"/>
  <c r="H2494" i="22" s="1"/>
  <c r="U2493" i="22"/>
  <c r="T2493" i="22"/>
  <c r="O2493" i="22"/>
  <c r="N2493" i="22"/>
  <c r="P2493" i="22" s="1"/>
  <c r="K2493" i="22"/>
  <c r="G2493" i="22"/>
  <c r="H2493" i="22" s="1"/>
  <c r="R2492" i="22"/>
  <c r="O2492" i="22"/>
  <c r="N2492" i="22"/>
  <c r="S2492" i="22" s="1"/>
  <c r="U2492" i="22" s="1"/>
  <c r="I2492" i="22"/>
  <c r="U2491" i="22"/>
  <c r="T2491" i="22"/>
  <c r="O2491" i="22"/>
  <c r="N2491" i="22"/>
  <c r="P2491" i="22" s="1"/>
  <c r="K2491" i="22"/>
  <c r="G2491" i="22"/>
  <c r="H2491" i="22" s="1"/>
  <c r="U2490" i="22"/>
  <c r="T2490" i="22"/>
  <c r="O2490" i="22"/>
  <c r="N2490" i="22"/>
  <c r="P2490" i="22" s="1"/>
  <c r="K2490" i="22"/>
  <c r="G2490" i="22"/>
  <c r="H2490" i="22" s="1"/>
  <c r="U2489" i="22"/>
  <c r="T2489" i="22"/>
  <c r="O2489" i="22"/>
  <c r="N2489" i="22"/>
  <c r="P2489" i="22" s="1"/>
  <c r="K2489" i="22"/>
  <c r="H2489" i="22"/>
  <c r="G2489" i="22"/>
  <c r="U2488" i="22"/>
  <c r="T2488" i="22"/>
  <c r="O2488" i="22"/>
  <c r="N2488" i="22"/>
  <c r="P2488" i="22" s="1"/>
  <c r="K2488" i="22"/>
  <c r="H2488" i="22"/>
  <c r="G2488" i="22"/>
  <c r="U2487" i="22"/>
  <c r="T2487" i="22"/>
  <c r="O2487" i="22"/>
  <c r="N2487" i="22"/>
  <c r="P2487" i="22" s="1"/>
  <c r="K2487" i="22"/>
  <c r="G2487" i="22"/>
  <c r="H2487" i="22" s="1"/>
  <c r="R2486" i="22"/>
  <c r="O2486" i="22"/>
  <c r="N2486" i="22"/>
  <c r="I2486" i="22"/>
  <c r="U2485" i="22"/>
  <c r="T2485" i="22"/>
  <c r="O2485" i="22"/>
  <c r="N2485" i="22"/>
  <c r="P2485" i="22" s="1"/>
  <c r="K2485" i="22"/>
  <c r="G2485" i="22"/>
  <c r="H2485" i="22" s="1"/>
  <c r="U2484" i="22"/>
  <c r="T2484" i="22"/>
  <c r="O2484" i="22"/>
  <c r="N2484" i="22"/>
  <c r="P2484" i="22" s="1"/>
  <c r="K2484" i="22"/>
  <c r="H2484" i="22"/>
  <c r="G2484" i="22"/>
  <c r="U2483" i="22"/>
  <c r="T2483" i="22"/>
  <c r="O2483" i="22"/>
  <c r="N2483" i="22"/>
  <c r="P2483" i="22" s="1"/>
  <c r="K2483" i="22"/>
  <c r="G2483" i="22"/>
  <c r="H2483" i="22" s="1"/>
  <c r="U2482" i="22"/>
  <c r="T2482" i="22"/>
  <c r="O2482" i="22"/>
  <c r="N2482" i="22"/>
  <c r="P2482" i="22" s="1"/>
  <c r="K2482" i="22"/>
  <c r="G2482" i="22"/>
  <c r="H2482" i="22" s="1"/>
  <c r="U2481" i="22"/>
  <c r="T2481" i="22"/>
  <c r="O2481" i="22"/>
  <c r="N2481" i="22"/>
  <c r="P2481" i="22" s="1"/>
  <c r="K2481" i="22"/>
  <c r="G2481" i="22"/>
  <c r="H2481" i="22" s="1"/>
  <c r="R2480" i="22"/>
  <c r="O2480" i="22"/>
  <c r="N2480" i="22"/>
  <c r="I2480" i="22"/>
  <c r="U2479" i="22"/>
  <c r="T2479" i="22"/>
  <c r="O2479" i="22"/>
  <c r="N2479" i="22"/>
  <c r="P2479" i="22" s="1"/>
  <c r="K2479" i="22"/>
  <c r="H2479" i="22"/>
  <c r="G2479" i="22"/>
  <c r="U2478" i="22"/>
  <c r="T2478" i="22"/>
  <c r="O2478" i="22"/>
  <c r="N2478" i="22"/>
  <c r="P2478" i="22" s="1"/>
  <c r="K2478" i="22"/>
  <c r="G2478" i="22"/>
  <c r="H2478" i="22" s="1"/>
  <c r="U2477" i="22"/>
  <c r="T2477" i="22"/>
  <c r="O2477" i="22"/>
  <c r="N2477" i="22"/>
  <c r="P2477" i="22" s="1"/>
  <c r="K2477" i="22"/>
  <c r="G2477" i="22"/>
  <c r="H2477" i="22" s="1"/>
  <c r="U2476" i="22"/>
  <c r="T2476" i="22"/>
  <c r="O2476" i="22"/>
  <c r="N2476" i="22"/>
  <c r="P2476" i="22" s="1"/>
  <c r="K2476" i="22"/>
  <c r="H2476" i="22"/>
  <c r="G2476" i="22"/>
  <c r="U2475" i="22"/>
  <c r="T2475" i="22"/>
  <c r="O2475" i="22"/>
  <c r="N2475" i="22"/>
  <c r="P2475" i="22" s="1"/>
  <c r="K2475" i="22"/>
  <c r="G2475" i="22"/>
  <c r="H2475" i="22" s="1"/>
  <c r="R2474" i="22"/>
  <c r="O2474" i="22"/>
  <c r="N2474" i="22"/>
  <c r="I2474" i="22"/>
  <c r="U2473" i="22"/>
  <c r="T2473" i="22"/>
  <c r="O2473" i="22"/>
  <c r="N2473" i="22"/>
  <c r="P2473" i="22" s="1"/>
  <c r="K2473" i="22"/>
  <c r="G2473" i="22"/>
  <c r="H2473" i="22" s="1"/>
  <c r="U2472" i="22"/>
  <c r="T2472" i="22"/>
  <c r="O2472" i="22"/>
  <c r="N2472" i="22"/>
  <c r="P2472" i="22" s="1"/>
  <c r="K2472" i="22"/>
  <c r="G2472" i="22"/>
  <c r="H2472" i="22" s="1"/>
  <c r="U2471" i="22"/>
  <c r="T2471" i="22"/>
  <c r="O2471" i="22"/>
  <c r="N2471" i="22"/>
  <c r="P2471" i="22" s="1"/>
  <c r="K2471" i="22"/>
  <c r="G2471" i="22"/>
  <c r="H2471" i="22" s="1"/>
  <c r="U2470" i="22"/>
  <c r="T2470" i="22"/>
  <c r="O2470" i="22"/>
  <c r="N2470" i="22"/>
  <c r="P2470" i="22" s="1"/>
  <c r="K2470" i="22"/>
  <c r="G2470" i="22"/>
  <c r="H2470" i="22" s="1"/>
  <c r="U2469" i="22"/>
  <c r="T2469" i="22"/>
  <c r="O2469" i="22"/>
  <c r="N2469" i="22"/>
  <c r="P2469" i="22" s="1"/>
  <c r="K2469" i="22"/>
  <c r="H2469" i="22"/>
  <c r="G2469" i="22"/>
  <c r="R2468" i="22"/>
  <c r="O2468" i="22"/>
  <c r="N2468" i="22"/>
  <c r="S2468" i="22" s="1"/>
  <c r="I2468" i="22"/>
  <c r="U2467" i="22"/>
  <c r="T2467" i="22"/>
  <c r="O2467" i="22"/>
  <c r="N2467" i="22"/>
  <c r="P2467" i="22" s="1"/>
  <c r="K2467" i="22"/>
  <c r="G2467" i="22"/>
  <c r="H2467" i="22" s="1"/>
  <c r="U2466" i="22"/>
  <c r="T2466" i="22"/>
  <c r="O2466" i="22"/>
  <c r="N2466" i="22"/>
  <c r="P2466" i="22" s="1"/>
  <c r="K2466" i="22"/>
  <c r="H2466" i="22"/>
  <c r="G2466" i="22"/>
  <c r="U2465" i="22"/>
  <c r="T2465" i="22"/>
  <c r="O2465" i="22"/>
  <c r="N2465" i="22"/>
  <c r="P2465" i="22" s="1"/>
  <c r="K2465" i="22"/>
  <c r="G2465" i="22"/>
  <c r="H2465" i="22" s="1"/>
  <c r="U2464" i="22"/>
  <c r="T2464" i="22"/>
  <c r="O2464" i="22"/>
  <c r="N2464" i="22"/>
  <c r="P2464" i="22" s="1"/>
  <c r="K2464" i="22"/>
  <c r="G2464" i="22"/>
  <c r="H2464" i="22" s="1"/>
  <c r="U2463" i="22"/>
  <c r="T2463" i="22"/>
  <c r="O2463" i="22"/>
  <c r="N2463" i="22"/>
  <c r="P2463" i="22" s="1"/>
  <c r="K2463" i="22"/>
  <c r="G2463" i="22"/>
  <c r="H2463" i="22" s="1"/>
  <c r="R2462" i="22"/>
  <c r="O2462" i="22"/>
  <c r="N2462" i="22"/>
  <c r="P2462" i="22" s="1"/>
  <c r="I2462" i="22"/>
  <c r="U2461" i="22"/>
  <c r="T2461" i="22"/>
  <c r="O2461" i="22"/>
  <c r="N2461" i="22"/>
  <c r="P2461" i="22" s="1"/>
  <c r="K2461" i="22"/>
  <c r="G2461" i="22"/>
  <c r="H2461" i="22" s="1"/>
  <c r="U2460" i="22"/>
  <c r="T2460" i="22"/>
  <c r="O2460" i="22"/>
  <c r="N2460" i="22"/>
  <c r="P2460" i="22" s="1"/>
  <c r="K2460" i="22"/>
  <c r="G2460" i="22"/>
  <c r="H2460" i="22" s="1"/>
  <c r="U2459" i="22"/>
  <c r="T2459" i="22"/>
  <c r="O2459" i="22"/>
  <c r="N2459" i="22"/>
  <c r="P2459" i="22" s="1"/>
  <c r="K2459" i="22"/>
  <c r="G2459" i="22"/>
  <c r="H2459" i="22" s="1"/>
  <c r="U2458" i="22"/>
  <c r="T2458" i="22"/>
  <c r="O2458" i="22"/>
  <c r="N2458" i="22"/>
  <c r="P2458" i="22" s="1"/>
  <c r="K2458" i="22"/>
  <c r="H2458" i="22"/>
  <c r="G2458" i="22"/>
  <c r="U2457" i="22"/>
  <c r="T2457" i="22"/>
  <c r="O2457" i="22"/>
  <c r="N2457" i="22"/>
  <c r="P2457" i="22" s="1"/>
  <c r="K2457" i="22"/>
  <c r="G2457" i="22"/>
  <c r="H2457" i="22" s="1"/>
  <c r="R2456" i="22"/>
  <c r="O2456" i="22"/>
  <c r="N2456" i="22"/>
  <c r="S2456" i="22" s="1"/>
  <c r="U2456" i="22" s="1"/>
  <c r="I2456" i="22"/>
  <c r="U2455" i="22"/>
  <c r="T2455" i="22"/>
  <c r="O2455" i="22"/>
  <c r="N2455" i="22"/>
  <c r="P2455" i="22" s="1"/>
  <c r="K2455" i="22"/>
  <c r="G2455" i="22"/>
  <c r="H2455" i="22" s="1"/>
  <c r="U2454" i="22"/>
  <c r="T2454" i="22"/>
  <c r="O2454" i="22"/>
  <c r="N2454" i="22"/>
  <c r="P2454" i="22" s="1"/>
  <c r="K2454" i="22"/>
  <c r="H2454" i="22"/>
  <c r="G2454" i="22"/>
  <c r="U2453" i="22"/>
  <c r="T2453" i="22"/>
  <c r="O2453" i="22"/>
  <c r="N2453" i="22"/>
  <c r="P2453" i="22" s="1"/>
  <c r="K2453" i="22"/>
  <c r="G2453" i="22"/>
  <c r="H2453" i="22" s="1"/>
  <c r="U2452" i="22"/>
  <c r="T2452" i="22"/>
  <c r="O2452" i="22"/>
  <c r="N2452" i="22"/>
  <c r="P2452" i="22" s="1"/>
  <c r="K2452" i="22"/>
  <c r="G2452" i="22"/>
  <c r="H2452" i="22" s="1"/>
  <c r="U2451" i="22"/>
  <c r="T2451" i="22"/>
  <c r="O2451" i="22"/>
  <c r="N2451" i="22"/>
  <c r="P2451" i="22" s="1"/>
  <c r="K2451" i="22"/>
  <c r="G2451" i="22"/>
  <c r="H2451" i="22" s="1"/>
  <c r="R2450" i="22"/>
  <c r="O2450" i="22"/>
  <c r="N2450" i="22"/>
  <c r="P2450" i="22" s="1"/>
  <c r="I2450" i="22"/>
  <c r="U2449" i="22"/>
  <c r="T2449" i="22"/>
  <c r="O2449" i="22"/>
  <c r="N2449" i="22"/>
  <c r="P2449" i="22" s="1"/>
  <c r="K2449" i="22"/>
  <c r="G2449" i="22"/>
  <c r="H2449" i="22" s="1"/>
  <c r="U2448" i="22"/>
  <c r="T2448" i="22"/>
  <c r="O2448" i="22"/>
  <c r="N2448" i="22"/>
  <c r="P2448" i="22" s="1"/>
  <c r="K2448" i="22"/>
  <c r="G2448" i="22"/>
  <c r="H2448" i="22" s="1"/>
  <c r="U2447" i="22"/>
  <c r="T2447" i="22"/>
  <c r="O2447" i="22"/>
  <c r="N2447" i="22"/>
  <c r="P2447" i="22" s="1"/>
  <c r="K2447" i="22"/>
  <c r="G2447" i="22"/>
  <c r="H2447" i="22" s="1"/>
  <c r="U2446" i="22"/>
  <c r="T2446" i="22"/>
  <c r="O2446" i="22"/>
  <c r="N2446" i="22"/>
  <c r="P2446" i="22" s="1"/>
  <c r="K2446" i="22"/>
  <c r="G2446" i="22"/>
  <c r="H2446" i="22" s="1"/>
  <c r="U2445" i="22"/>
  <c r="T2445" i="22"/>
  <c r="O2445" i="22"/>
  <c r="N2445" i="22"/>
  <c r="P2445" i="22" s="1"/>
  <c r="K2445" i="22"/>
  <c r="G2445" i="22"/>
  <c r="H2445" i="22" s="1"/>
  <c r="H2444" i="22" s="1"/>
  <c r="R2444" i="22"/>
  <c r="O2444" i="22"/>
  <c r="N2444" i="22"/>
  <c r="P2444" i="22" s="1"/>
  <c r="I2444" i="22"/>
  <c r="U2443" i="22"/>
  <c r="T2443" i="22"/>
  <c r="O2443" i="22"/>
  <c r="N2443" i="22"/>
  <c r="P2443" i="22" s="1"/>
  <c r="K2443" i="22"/>
  <c r="G2443" i="22"/>
  <c r="H2443" i="22" s="1"/>
  <c r="U2442" i="22"/>
  <c r="T2442" i="22"/>
  <c r="O2442" i="22"/>
  <c r="N2442" i="22"/>
  <c r="P2442" i="22" s="1"/>
  <c r="K2442" i="22"/>
  <c r="H2442" i="22"/>
  <c r="G2442" i="22"/>
  <c r="U2441" i="22"/>
  <c r="T2441" i="22"/>
  <c r="O2441" i="22"/>
  <c r="N2441" i="22"/>
  <c r="P2441" i="22" s="1"/>
  <c r="K2441" i="22"/>
  <c r="G2441" i="22"/>
  <c r="H2441" i="22" s="1"/>
  <c r="U2440" i="22"/>
  <c r="T2440" i="22"/>
  <c r="O2440" i="22"/>
  <c r="N2440" i="22"/>
  <c r="P2440" i="22" s="1"/>
  <c r="K2440" i="22"/>
  <c r="H2440" i="22"/>
  <c r="G2440" i="22"/>
  <c r="U2439" i="22"/>
  <c r="T2439" i="22"/>
  <c r="O2439" i="22"/>
  <c r="N2439" i="22"/>
  <c r="P2439" i="22" s="1"/>
  <c r="K2439" i="22"/>
  <c r="G2439" i="22"/>
  <c r="H2439" i="22" s="1"/>
  <c r="H2438" i="22" s="1"/>
  <c r="J2438" i="22" s="1"/>
  <c r="R2438" i="22"/>
  <c r="O2438" i="22"/>
  <c r="N2438" i="22"/>
  <c r="I2438" i="22"/>
  <c r="U2437" i="22"/>
  <c r="T2437" i="22"/>
  <c r="O2437" i="22"/>
  <c r="N2437" i="22"/>
  <c r="P2437" i="22" s="1"/>
  <c r="K2437" i="22"/>
  <c r="G2437" i="22"/>
  <c r="H2437" i="22" s="1"/>
  <c r="U2436" i="22"/>
  <c r="T2436" i="22"/>
  <c r="O2436" i="22"/>
  <c r="N2436" i="22"/>
  <c r="P2436" i="22" s="1"/>
  <c r="K2436" i="22"/>
  <c r="G2436" i="22"/>
  <c r="H2436" i="22" s="1"/>
  <c r="U2435" i="22"/>
  <c r="T2435" i="22"/>
  <c r="O2435" i="22"/>
  <c r="N2435" i="22"/>
  <c r="P2435" i="22" s="1"/>
  <c r="K2435" i="22"/>
  <c r="G2435" i="22"/>
  <c r="H2435" i="22" s="1"/>
  <c r="U2434" i="22"/>
  <c r="T2434" i="22"/>
  <c r="O2434" i="22"/>
  <c r="N2434" i="22"/>
  <c r="P2434" i="22" s="1"/>
  <c r="K2434" i="22"/>
  <c r="G2434" i="22"/>
  <c r="H2434" i="22" s="1"/>
  <c r="U2433" i="22"/>
  <c r="T2433" i="22"/>
  <c r="O2433" i="22"/>
  <c r="N2433" i="22"/>
  <c r="P2433" i="22" s="1"/>
  <c r="K2433" i="22"/>
  <c r="G2433" i="22"/>
  <c r="H2433" i="22" s="1"/>
  <c r="R2432" i="22"/>
  <c r="O2432" i="22"/>
  <c r="N2432" i="22"/>
  <c r="S2432" i="22" s="1"/>
  <c r="U2432" i="22" s="1"/>
  <c r="I2432" i="22"/>
  <c r="U2431" i="22"/>
  <c r="T2431" i="22"/>
  <c r="O2431" i="22"/>
  <c r="N2431" i="22"/>
  <c r="P2431" i="22" s="1"/>
  <c r="K2431" i="22"/>
  <c r="G2431" i="22"/>
  <c r="H2431" i="22" s="1"/>
  <c r="U2430" i="22"/>
  <c r="T2430" i="22"/>
  <c r="O2430" i="22"/>
  <c r="N2430" i="22"/>
  <c r="P2430" i="22" s="1"/>
  <c r="K2430" i="22"/>
  <c r="H2430" i="22"/>
  <c r="G2430" i="22"/>
  <c r="U2429" i="22"/>
  <c r="T2429" i="22"/>
  <c r="O2429" i="22"/>
  <c r="N2429" i="22"/>
  <c r="P2429" i="22" s="1"/>
  <c r="K2429" i="22"/>
  <c r="H2429" i="22"/>
  <c r="G2429" i="22"/>
  <c r="U2428" i="22"/>
  <c r="T2428" i="22"/>
  <c r="O2428" i="22"/>
  <c r="N2428" i="22"/>
  <c r="P2428" i="22" s="1"/>
  <c r="K2428" i="22"/>
  <c r="H2428" i="22"/>
  <c r="H2426" i="22" s="1"/>
  <c r="J2426" i="22" s="1"/>
  <c r="G2428" i="22"/>
  <c r="U2427" i="22"/>
  <c r="T2427" i="22"/>
  <c r="O2427" i="22"/>
  <c r="N2427" i="22"/>
  <c r="P2427" i="22" s="1"/>
  <c r="K2427" i="22"/>
  <c r="G2427" i="22"/>
  <c r="H2427" i="22" s="1"/>
  <c r="R2426" i="22"/>
  <c r="O2426" i="22"/>
  <c r="N2426" i="22"/>
  <c r="P2426" i="22" s="1"/>
  <c r="I2426" i="22"/>
  <c r="U2425" i="22"/>
  <c r="T2425" i="22"/>
  <c r="O2425" i="22"/>
  <c r="N2425" i="22"/>
  <c r="P2425" i="22" s="1"/>
  <c r="K2425" i="22"/>
  <c r="G2425" i="22"/>
  <c r="H2425" i="22" s="1"/>
  <c r="U2424" i="22"/>
  <c r="T2424" i="22"/>
  <c r="O2424" i="22"/>
  <c r="N2424" i="22"/>
  <c r="P2424" i="22" s="1"/>
  <c r="K2424" i="22"/>
  <c r="G2424" i="22"/>
  <c r="H2424" i="22" s="1"/>
  <c r="U2423" i="22"/>
  <c r="T2423" i="22"/>
  <c r="O2423" i="22"/>
  <c r="N2423" i="22"/>
  <c r="P2423" i="22" s="1"/>
  <c r="K2423" i="22"/>
  <c r="G2423" i="22"/>
  <c r="H2423" i="22" s="1"/>
  <c r="U2422" i="22"/>
  <c r="T2422" i="22"/>
  <c r="O2422" i="22"/>
  <c r="N2422" i="22"/>
  <c r="P2422" i="22" s="1"/>
  <c r="K2422" i="22"/>
  <c r="G2422" i="22"/>
  <c r="H2422" i="22" s="1"/>
  <c r="U2421" i="22"/>
  <c r="T2421" i="22"/>
  <c r="O2421" i="22"/>
  <c r="N2421" i="22"/>
  <c r="P2421" i="22" s="1"/>
  <c r="K2421" i="22"/>
  <c r="G2421" i="22"/>
  <c r="H2421" i="22" s="1"/>
  <c r="R2420" i="22"/>
  <c r="O2420" i="22"/>
  <c r="N2420" i="22"/>
  <c r="I2420" i="22"/>
  <c r="U2419" i="22"/>
  <c r="T2419" i="22"/>
  <c r="O2419" i="22"/>
  <c r="N2419" i="22"/>
  <c r="P2419" i="22" s="1"/>
  <c r="K2419" i="22"/>
  <c r="G2419" i="22"/>
  <c r="H2419" i="22" s="1"/>
  <c r="U2418" i="22"/>
  <c r="T2418" i="22"/>
  <c r="O2418" i="22"/>
  <c r="N2418" i="22"/>
  <c r="P2418" i="22" s="1"/>
  <c r="K2418" i="22"/>
  <c r="H2418" i="22"/>
  <c r="G2418" i="22"/>
  <c r="U2417" i="22"/>
  <c r="T2417" i="22"/>
  <c r="O2417" i="22"/>
  <c r="N2417" i="22"/>
  <c r="P2417" i="22" s="1"/>
  <c r="K2417" i="22"/>
  <c r="G2417" i="22"/>
  <c r="H2417" i="22" s="1"/>
  <c r="U2416" i="22"/>
  <c r="T2416" i="22"/>
  <c r="O2416" i="22"/>
  <c r="N2416" i="22"/>
  <c r="P2416" i="22" s="1"/>
  <c r="K2416" i="22"/>
  <c r="G2416" i="22"/>
  <c r="H2416" i="22" s="1"/>
  <c r="U2415" i="22"/>
  <c r="T2415" i="22"/>
  <c r="O2415" i="22"/>
  <c r="N2415" i="22"/>
  <c r="P2415" i="22" s="1"/>
  <c r="K2415" i="22"/>
  <c r="G2415" i="22"/>
  <c r="H2415" i="22" s="1"/>
  <c r="R2414" i="22"/>
  <c r="O2414" i="22"/>
  <c r="N2414" i="22"/>
  <c r="P2414" i="22" s="1"/>
  <c r="I2414" i="22"/>
  <c r="U2413" i="22"/>
  <c r="T2413" i="22"/>
  <c r="O2413" i="22"/>
  <c r="N2413" i="22"/>
  <c r="P2413" i="22" s="1"/>
  <c r="K2413" i="22"/>
  <c r="G2413" i="22"/>
  <c r="H2413" i="22" s="1"/>
  <c r="U2412" i="22"/>
  <c r="T2412" i="22"/>
  <c r="O2412" i="22"/>
  <c r="N2412" i="22"/>
  <c r="P2412" i="22" s="1"/>
  <c r="K2412" i="22"/>
  <c r="G2412" i="22"/>
  <c r="H2412" i="22" s="1"/>
  <c r="U2411" i="22"/>
  <c r="T2411" i="22"/>
  <c r="O2411" i="22"/>
  <c r="N2411" i="22"/>
  <c r="P2411" i="22" s="1"/>
  <c r="K2411" i="22"/>
  <c r="G2411" i="22"/>
  <c r="H2411" i="22" s="1"/>
  <c r="U2410" i="22"/>
  <c r="T2410" i="22"/>
  <c r="O2410" i="22"/>
  <c r="N2410" i="22"/>
  <c r="P2410" i="22" s="1"/>
  <c r="K2410" i="22"/>
  <c r="G2410" i="22"/>
  <c r="H2410" i="22" s="1"/>
  <c r="U2409" i="22"/>
  <c r="T2409" i="22"/>
  <c r="O2409" i="22"/>
  <c r="N2409" i="22"/>
  <c r="P2409" i="22" s="1"/>
  <c r="K2409" i="22"/>
  <c r="G2409" i="22"/>
  <c r="H2409" i="22" s="1"/>
  <c r="R2408" i="22"/>
  <c r="O2408" i="22"/>
  <c r="N2408" i="22"/>
  <c r="I2408" i="22"/>
  <c r="U2407" i="22"/>
  <c r="T2407" i="22"/>
  <c r="O2407" i="22"/>
  <c r="N2407" i="22"/>
  <c r="P2407" i="22" s="1"/>
  <c r="K2407" i="22"/>
  <c r="G2407" i="22"/>
  <c r="H2407" i="22" s="1"/>
  <c r="U2406" i="22"/>
  <c r="T2406" i="22"/>
  <c r="O2406" i="22"/>
  <c r="N2406" i="22"/>
  <c r="P2406" i="22" s="1"/>
  <c r="K2406" i="22"/>
  <c r="H2406" i="22"/>
  <c r="G2406" i="22"/>
  <c r="U2405" i="22"/>
  <c r="T2405" i="22"/>
  <c r="O2405" i="22"/>
  <c r="N2405" i="22"/>
  <c r="P2405" i="22" s="1"/>
  <c r="K2405" i="22"/>
  <c r="G2405" i="22"/>
  <c r="H2405" i="22" s="1"/>
  <c r="U2404" i="22"/>
  <c r="T2404" i="22"/>
  <c r="O2404" i="22"/>
  <c r="N2404" i="22"/>
  <c r="P2404" i="22" s="1"/>
  <c r="K2404" i="22"/>
  <c r="H2404" i="22"/>
  <c r="G2404" i="22"/>
  <c r="U2403" i="22"/>
  <c r="T2403" i="22"/>
  <c r="O2403" i="22"/>
  <c r="N2403" i="22"/>
  <c r="P2403" i="22" s="1"/>
  <c r="K2403" i="22"/>
  <c r="G2403" i="22"/>
  <c r="H2403" i="22" s="1"/>
  <c r="R2402" i="22"/>
  <c r="O2402" i="22"/>
  <c r="N2402" i="22"/>
  <c r="I2402" i="22"/>
  <c r="U2401" i="22"/>
  <c r="T2401" i="22"/>
  <c r="O2401" i="22"/>
  <c r="N2401" i="22"/>
  <c r="P2401" i="22" s="1"/>
  <c r="K2401" i="22"/>
  <c r="G2401" i="22"/>
  <c r="H2401" i="22" s="1"/>
  <c r="U2400" i="22"/>
  <c r="T2400" i="22"/>
  <c r="O2400" i="22"/>
  <c r="N2400" i="22"/>
  <c r="P2400" i="22" s="1"/>
  <c r="K2400" i="22"/>
  <c r="G2400" i="22"/>
  <c r="H2400" i="22" s="1"/>
  <c r="U2399" i="22"/>
  <c r="T2399" i="22"/>
  <c r="O2399" i="22"/>
  <c r="N2399" i="22"/>
  <c r="P2399" i="22" s="1"/>
  <c r="K2399" i="22"/>
  <c r="G2399" i="22"/>
  <c r="H2399" i="22" s="1"/>
  <c r="U2398" i="22"/>
  <c r="T2398" i="22"/>
  <c r="O2398" i="22"/>
  <c r="N2398" i="22"/>
  <c r="P2398" i="22" s="1"/>
  <c r="K2398" i="22"/>
  <c r="G2398" i="22"/>
  <c r="H2398" i="22" s="1"/>
  <c r="U2397" i="22"/>
  <c r="T2397" i="22"/>
  <c r="O2397" i="22"/>
  <c r="N2397" i="22"/>
  <c r="P2397" i="22" s="1"/>
  <c r="K2397" i="22"/>
  <c r="G2397" i="22"/>
  <c r="H2397" i="22" s="1"/>
  <c r="R2396" i="22"/>
  <c r="O2396" i="22"/>
  <c r="N2396" i="22"/>
  <c r="I2396" i="22"/>
  <c r="U2395" i="22"/>
  <c r="T2395" i="22"/>
  <c r="O2395" i="22"/>
  <c r="N2395" i="22"/>
  <c r="P2395" i="22" s="1"/>
  <c r="K2395" i="22"/>
  <c r="G2395" i="22"/>
  <c r="H2395" i="22" s="1"/>
  <c r="U2394" i="22"/>
  <c r="T2394" i="22"/>
  <c r="O2394" i="22"/>
  <c r="N2394" i="22"/>
  <c r="P2394" i="22" s="1"/>
  <c r="K2394" i="22"/>
  <c r="G2394" i="22"/>
  <c r="H2394" i="22" s="1"/>
  <c r="U2393" i="22"/>
  <c r="T2393" i="22"/>
  <c r="O2393" i="22"/>
  <c r="N2393" i="22"/>
  <c r="P2393" i="22" s="1"/>
  <c r="K2393" i="22"/>
  <c r="G2393" i="22"/>
  <c r="H2393" i="22" s="1"/>
  <c r="U2392" i="22"/>
  <c r="T2392" i="22"/>
  <c r="O2392" i="22"/>
  <c r="N2392" i="22"/>
  <c r="P2392" i="22" s="1"/>
  <c r="K2392" i="22"/>
  <c r="G2392" i="22"/>
  <c r="H2392" i="22" s="1"/>
  <c r="U2391" i="22"/>
  <c r="T2391" i="22"/>
  <c r="O2391" i="22"/>
  <c r="N2391" i="22"/>
  <c r="P2391" i="22" s="1"/>
  <c r="K2391" i="22"/>
  <c r="G2391" i="22"/>
  <c r="H2391" i="22" s="1"/>
  <c r="R2390" i="22"/>
  <c r="O2390" i="22"/>
  <c r="N2390" i="22"/>
  <c r="P2390" i="22" s="1"/>
  <c r="I2390" i="22"/>
  <c r="U2389" i="22"/>
  <c r="T2389" i="22"/>
  <c r="O2389" i="22"/>
  <c r="N2389" i="22"/>
  <c r="P2389" i="22" s="1"/>
  <c r="K2389" i="22"/>
  <c r="G2389" i="22"/>
  <c r="H2389" i="22" s="1"/>
  <c r="U2388" i="22"/>
  <c r="T2388" i="22"/>
  <c r="O2388" i="22"/>
  <c r="N2388" i="22"/>
  <c r="P2388" i="22" s="1"/>
  <c r="K2388" i="22"/>
  <c r="G2388" i="22"/>
  <c r="H2388" i="22" s="1"/>
  <c r="U2387" i="22"/>
  <c r="T2387" i="22"/>
  <c r="O2387" i="22"/>
  <c r="N2387" i="22"/>
  <c r="P2387" i="22" s="1"/>
  <c r="K2387" i="22"/>
  <c r="G2387" i="22"/>
  <c r="H2387" i="22" s="1"/>
  <c r="U2386" i="22"/>
  <c r="T2386" i="22"/>
  <c r="O2386" i="22"/>
  <c r="N2386" i="22"/>
  <c r="P2386" i="22" s="1"/>
  <c r="K2386" i="22"/>
  <c r="G2386" i="22"/>
  <c r="H2386" i="22" s="1"/>
  <c r="U2385" i="22"/>
  <c r="T2385" i="22"/>
  <c r="O2385" i="22"/>
  <c r="N2385" i="22"/>
  <c r="P2385" i="22" s="1"/>
  <c r="K2385" i="22"/>
  <c r="G2385" i="22"/>
  <c r="H2385" i="22" s="1"/>
  <c r="R2384" i="22"/>
  <c r="O2384" i="22"/>
  <c r="N2384" i="22"/>
  <c r="I2384" i="22"/>
  <c r="U2383" i="22"/>
  <c r="T2383" i="22"/>
  <c r="O2383" i="22"/>
  <c r="N2383" i="22"/>
  <c r="P2383" i="22" s="1"/>
  <c r="K2383" i="22"/>
  <c r="G2383" i="22"/>
  <c r="H2383" i="22" s="1"/>
  <c r="U2382" i="22"/>
  <c r="T2382" i="22"/>
  <c r="O2382" i="22"/>
  <c r="N2382" i="22"/>
  <c r="P2382" i="22" s="1"/>
  <c r="K2382" i="22"/>
  <c r="G2382" i="22"/>
  <c r="H2382" i="22" s="1"/>
  <c r="U2381" i="22"/>
  <c r="T2381" i="22"/>
  <c r="O2381" i="22"/>
  <c r="N2381" i="22"/>
  <c r="P2381" i="22" s="1"/>
  <c r="K2381" i="22"/>
  <c r="G2381" i="22"/>
  <c r="H2381" i="22" s="1"/>
  <c r="U2380" i="22"/>
  <c r="T2380" i="22"/>
  <c r="O2380" i="22"/>
  <c r="N2380" i="22"/>
  <c r="P2380" i="22" s="1"/>
  <c r="K2380" i="22"/>
  <c r="G2380" i="22"/>
  <c r="H2380" i="22" s="1"/>
  <c r="U2379" i="22"/>
  <c r="T2379" i="22"/>
  <c r="O2379" i="22"/>
  <c r="N2379" i="22"/>
  <c r="P2379" i="22" s="1"/>
  <c r="K2379" i="22"/>
  <c r="H2379" i="22"/>
  <c r="G2379" i="22"/>
  <c r="R2378" i="22"/>
  <c r="O2378" i="22"/>
  <c r="N2378" i="22"/>
  <c r="I2378" i="22"/>
  <c r="U2377" i="22"/>
  <c r="T2377" i="22"/>
  <c r="O2377" i="22"/>
  <c r="N2377" i="22"/>
  <c r="P2377" i="22" s="1"/>
  <c r="K2377" i="22"/>
  <c r="H2377" i="22"/>
  <c r="G2377" i="22"/>
  <c r="U2376" i="22"/>
  <c r="T2376" i="22"/>
  <c r="O2376" i="22"/>
  <c r="N2376" i="22"/>
  <c r="P2376" i="22" s="1"/>
  <c r="K2376" i="22"/>
  <c r="G2376" i="22"/>
  <c r="H2376" i="22" s="1"/>
  <c r="U2375" i="22"/>
  <c r="T2375" i="22"/>
  <c r="O2375" i="22"/>
  <c r="N2375" i="22"/>
  <c r="P2375" i="22" s="1"/>
  <c r="K2375" i="22"/>
  <c r="G2375" i="22"/>
  <c r="H2375" i="22" s="1"/>
  <c r="U2374" i="22"/>
  <c r="T2374" i="22"/>
  <c r="O2374" i="22"/>
  <c r="N2374" i="22"/>
  <c r="P2374" i="22" s="1"/>
  <c r="K2374" i="22"/>
  <c r="G2374" i="22"/>
  <c r="H2374" i="22" s="1"/>
  <c r="H2372" i="22" s="1"/>
  <c r="U2373" i="22"/>
  <c r="T2373" i="22"/>
  <c r="O2373" i="22"/>
  <c r="N2373" i="22"/>
  <c r="P2373" i="22" s="1"/>
  <c r="K2373" i="22"/>
  <c r="H2373" i="22"/>
  <c r="G2373" i="22"/>
  <c r="R2372" i="22"/>
  <c r="O2372" i="22"/>
  <c r="N2372" i="22"/>
  <c r="I2372" i="22"/>
  <c r="U2371" i="22"/>
  <c r="T2371" i="22"/>
  <c r="O2371" i="22"/>
  <c r="N2371" i="22"/>
  <c r="P2371" i="22" s="1"/>
  <c r="K2371" i="22"/>
  <c r="G2371" i="22"/>
  <c r="H2371" i="22" s="1"/>
  <c r="U2370" i="22"/>
  <c r="T2370" i="22"/>
  <c r="O2370" i="22"/>
  <c r="N2370" i="22"/>
  <c r="P2370" i="22" s="1"/>
  <c r="K2370" i="22"/>
  <c r="G2370" i="22"/>
  <c r="H2370" i="22" s="1"/>
  <c r="U2369" i="22"/>
  <c r="T2369" i="22"/>
  <c r="O2369" i="22"/>
  <c r="N2369" i="22"/>
  <c r="P2369" i="22" s="1"/>
  <c r="K2369" i="22"/>
  <c r="G2369" i="22"/>
  <c r="H2369" i="22" s="1"/>
  <c r="U2368" i="22"/>
  <c r="T2368" i="22"/>
  <c r="O2368" i="22"/>
  <c r="N2368" i="22"/>
  <c r="P2368" i="22" s="1"/>
  <c r="K2368" i="22"/>
  <c r="G2368" i="22"/>
  <c r="H2368" i="22" s="1"/>
  <c r="U2367" i="22"/>
  <c r="T2367" i="22"/>
  <c r="O2367" i="22"/>
  <c r="N2367" i="22"/>
  <c r="P2367" i="22" s="1"/>
  <c r="K2367" i="22"/>
  <c r="H2367" i="22"/>
  <c r="G2367" i="22"/>
  <c r="R2366" i="22"/>
  <c r="O2366" i="22"/>
  <c r="N2366" i="22"/>
  <c r="I2366" i="22"/>
  <c r="U2365" i="22"/>
  <c r="T2365" i="22"/>
  <c r="O2365" i="22"/>
  <c r="N2365" i="22"/>
  <c r="P2365" i="22" s="1"/>
  <c r="K2365" i="22"/>
  <c r="G2365" i="22"/>
  <c r="H2365" i="22" s="1"/>
  <c r="U2364" i="22"/>
  <c r="T2364" i="22"/>
  <c r="O2364" i="22"/>
  <c r="N2364" i="22"/>
  <c r="P2364" i="22" s="1"/>
  <c r="K2364" i="22"/>
  <c r="G2364" i="22"/>
  <c r="H2364" i="22" s="1"/>
  <c r="U2363" i="22"/>
  <c r="T2363" i="22"/>
  <c r="O2363" i="22"/>
  <c r="N2363" i="22"/>
  <c r="P2363" i="22" s="1"/>
  <c r="K2363" i="22"/>
  <c r="G2363" i="22"/>
  <c r="H2363" i="22" s="1"/>
  <c r="U2362" i="22"/>
  <c r="T2362" i="22"/>
  <c r="O2362" i="22"/>
  <c r="N2362" i="22"/>
  <c r="P2362" i="22" s="1"/>
  <c r="K2362" i="22"/>
  <c r="G2362" i="22"/>
  <c r="H2362" i="22" s="1"/>
  <c r="U2361" i="22"/>
  <c r="T2361" i="22"/>
  <c r="O2361" i="22"/>
  <c r="N2361" i="22"/>
  <c r="P2361" i="22" s="1"/>
  <c r="K2361" i="22"/>
  <c r="G2361" i="22"/>
  <c r="H2361" i="22" s="1"/>
  <c r="R2360" i="22"/>
  <c r="O2360" i="22"/>
  <c r="N2360" i="22"/>
  <c r="I2360" i="22"/>
  <c r="U2359" i="22"/>
  <c r="T2359" i="22"/>
  <c r="O2359" i="22"/>
  <c r="N2359" i="22"/>
  <c r="P2359" i="22" s="1"/>
  <c r="K2359" i="22"/>
  <c r="G2359" i="22"/>
  <c r="H2359" i="22" s="1"/>
  <c r="U2358" i="22"/>
  <c r="T2358" i="22"/>
  <c r="O2358" i="22"/>
  <c r="N2358" i="22"/>
  <c r="P2358" i="22" s="1"/>
  <c r="K2358" i="22"/>
  <c r="G2358" i="22"/>
  <c r="H2358" i="22" s="1"/>
  <c r="U2357" i="22"/>
  <c r="T2357" i="22"/>
  <c r="O2357" i="22"/>
  <c r="N2357" i="22"/>
  <c r="P2357" i="22" s="1"/>
  <c r="K2357" i="22"/>
  <c r="G2357" i="22"/>
  <c r="H2357" i="22" s="1"/>
  <c r="U2356" i="22"/>
  <c r="T2356" i="22"/>
  <c r="O2356" i="22"/>
  <c r="N2356" i="22"/>
  <c r="P2356" i="22" s="1"/>
  <c r="K2356" i="22"/>
  <c r="G2356" i="22"/>
  <c r="H2356" i="22" s="1"/>
  <c r="U2355" i="22"/>
  <c r="T2355" i="22"/>
  <c r="O2355" i="22"/>
  <c r="N2355" i="22"/>
  <c r="P2355" i="22" s="1"/>
  <c r="K2355" i="22"/>
  <c r="H2355" i="22"/>
  <c r="G2355" i="22"/>
  <c r="R2354" i="22"/>
  <c r="O2354" i="22"/>
  <c r="N2354" i="22"/>
  <c r="I2354" i="22"/>
  <c r="U2353" i="22"/>
  <c r="T2353" i="22"/>
  <c r="O2353" i="22"/>
  <c r="N2353" i="22"/>
  <c r="P2353" i="22" s="1"/>
  <c r="K2353" i="22"/>
  <c r="G2353" i="22"/>
  <c r="H2353" i="22" s="1"/>
  <c r="U2352" i="22"/>
  <c r="T2352" i="22"/>
  <c r="O2352" i="22"/>
  <c r="N2352" i="22"/>
  <c r="P2352" i="22" s="1"/>
  <c r="K2352" i="22"/>
  <c r="G2352" i="22"/>
  <c r="H2352" i="22" s="1"/>
  <c r="U2351" i="22"/>
  <c r="T2351" i="22"/>
  <c r="O2351" i="22"/>
  <c r="N2351" i="22"/>
  <c r="P2351" i="22" s="1"/>
  <c r="K2351" i="22"/>
  <c r="G2351" i="22"/>
  <c r="H2351" i="22" s="1"/>
  <c r="U2350" i="22"/>
  <c r="T2350" i="22"/>
  <c r="O2350" i="22"/>
  <c r="N2350" i="22"/>
  <c r="P2350" i="22" s="1"/>
  <c r="K2350" i="22"/>
  <c r="G2350" i="22"/>
  <c r="H2350" i="22" s="1"/>
  <c r="U2349" i="22"/>
  <c r="T2349" i="22"/>
  <c r="O2349" i="22"/>
  <c r="N2349" i="22"/>
  <c r="P2349" i="22" s="1"/>
  <c r="K2349" i="22"/>
  <c r="G2349" i="22"/>
  <c r="H2349" i="22" s="1"/>
  <c r="R2348" i="22"/>
  <c r="O2348" i="22"/>
  <c r="N2348" i="22"/>
  <c r="P2348" i="22" s="1"/>
  <c r="I2348" i="22"/>
  <c r="U2347" i="22"/>
  <c r="T2347" i="22"/>
  <c r="O2347" i="22"/>
  <c r="N2347" i="22"/>
  <c r="P2347" i="22" s="1"/>
  <c r="K2347" i="22"/>
  <c r="G2347" i="22"/>
  <c r="H2347" i="22" s="1"/>
  <c r="U2346" i="22"/>
  <c r="T2346" i="22"/>
  <c r="O2346" i="22"/>
  <c r="N2346" i="22"/>
  <c r="P2346" i="22" s="1"/>
  <c r="K2346" i="22"/>
  <c r="G2346" i="22"/>
  <c r="H2346" i="22" s="1"/>
  <c r="U2345" i="22"/>
  <c r="T2345" i="22"/>
  <c r="O2345" i="22"/>
  <c r="N2345" i="22"/>
  <c r="P2345" i="22" s="1"/>
  <c r="K2345" i="22"/>
  <c r="G2345" i="22"/>
  <c r="H2345" i="22" s="1"/>
  <c r="U2344" i="22"/>
  <c r="T2344" i="22"/>
  <c r="O2344" i="22"/>
  <c r="N2344" i="22"/>
  <c r="P2344" i="22" s="1"/>
  <c r="K2344" i="22"/>
  <c r="H2344" i="22"/>
  <c r="G2344" i="22"/>
  <c r="U2343" i="22"/>
  <c r="T2343" i="22"/>
  <c r="O2343" i="22"/>
  <c r="N2343" i="22"/>
  <c r="P2343" i="22" s="1"/>
  <c r="K2343" i="22"/>
  <c r="G2343" i="22"/>
  <c r="H2343" i="22" s="1"/>
  <c r="R2342" i="22"/>
  <c r="O2342" i="22"/>
  <c r="N2342" i="22"/>
  <c r="P2342" i="22" s="1"/>
  <c r="I2342" i="22"/>
  <c r="U2341" i="22"/>
  <c r="T2341" i="22"/>
  <c r="O2341" i="22"/>
  <c r="N2341" i="22"/>
  <c r="P2341" i="22" s="1"/>
  <c r="K2341" i="22"/>
  <c r="G2341" i="22"/>
  <c r="H2341" i="22" s="1"/>
  <c r="U2340" i="22"/>
  <c r="T2340" i="22"/>
  <c r="O2340" i="22"/>
  <c r="N2340" i="22"/>
  <c r="P2340" i="22" s="1"/>
  <c r="K2340" i="22"/>
  <c r="H2340" i="22"/>
  <c r="G2340" i="22"/>
  <c r="U2339" i="22"/>
  <c r="T2339" i="22"/>
  <c r="O2339" i="22"/>
  <c r="N2339" i="22"/>
  <c r="P2339" i="22" s="1"/>
  <c r="K2339" i="22"/>
  <c r="G2339" i="22"/>
  <c r="H2339" i="22" s="1"/>
  <c r="U2338" i="22"/>
  <c r="T2338" i="22"/>
  <c r="O2338" i="22"/>
  <c r="N2338" i="22"/>
  <c r="P2338" i="22" s="1"/>
  <c r="K2338" i="22"/>
  <c r="G2338" i="22"/>
  <c r="H2338" i="22" s="1"/>
  <c r="U2337" i="22"/>
  <c r="T2337" i="22"/>
  <c r="O2337" i="22"/>
  <c r="N2337" i="22"/>
  <c r="P2337" i="22" s="1"/>
  <c r="K2337" i="22"/>
  <c r="G2337" i="22"/>
  <c r="H2337" i="22" s="1"/>
  <c r="R2336" i="22"/>
  <c r="O2336" i="22"/>
  <c r="N2336" i="22"/>
  <c r="I2336" i="22"/>
  <c r="U2335" i="22"/>
  <c r="T2335" i="22"/>
  <c r="O2335" i="22"/>
  <c r="N2335" i="22"/>
  <c r="P2335" i="22" s="1"/>
  <c r="K2335" i="22"/>
  <c r="H2335" i="22"/>
  <c r="G2335" i="22"/>
  <c r="U2334" i="22"/>
  <c r="T2334" i="22"/>
  <c r="O2334" i="22"/>
  <c r="N2334" i="22"/>
  <c r="P2334" i="22" s="1"/>
  <c r="K2334" i="22"/>
  <c r="G2334" i="22"/>
  <c r="H2334" i="22" s="1"/>
  <c r="U2333" i="22"/>
  <c r="T2333" i="22"/>
  <c r="O2333" i="22"/>
  <c r="N2333" i="22"/>
  <c r="P2333" i="22" s="1"/>
  <c r="K2333" i="22"/>
  <c r="G2333" i="22"/>
  <c r="H2333" i="22" s="1"/>
  <c r="U2332" i="22"/>
  <c r="T2332" i="22"/>
  <c r="O2332" i="22"/>
  <c r="N2332" i="22"/>
  <c r="P2332" i="22" s="1"/>
  <c r="K2332" i="22"/>
  <c r="H2332" i="22"/>
  <c r="G2332" i="22"/>
  <c r="U2331" i="22"/>
  <c r="T2331" i="22"/>
  <c r="O2331" i="22"/>
  <c r="N2331" i="22"/>
  <c r="P2331" i="22" s="1"/>
  <c r="K2331" i="22"/>
  <c r="H2331" i="22"/>
  <c r="G2331" i="22"/>
  <c r="R2330" i="22"/>
  <c r="O2330" i="22"/>
  <c r="N2330" i="22"/>
  <c r="P2330" i="22" s="1"/>
  <c r="I2330" i="22"/>
  <c r="U2329" i="22"/>
  <c r="T2329" i="22"/>
  <c r="O2329" i="22"/>
  <c r="N2329" i="22"/>
  <c r="P2329" i="22" s="1"/>
  <c r="K2329" i="22"/>
  <c r="H2329" i="22"/>
  <c r="G2329" i="22"/>
  <c r="U2328" i="22"/>
  <c r="T2328" i="22"/>
  <c r="O2328" i="22"/>
  <c r="N2328" i="22"/>
  <c r="P2328" i="22" s="1"/>
  <c r="K2328" i="22"/>
  <c r="G2328" i="22"/>
  <c r="H2328" i="22" s="1"/>
  <c r="U2327" i="22"/>
  <c r="T2327" i="22"/>
  <c r="O2327" i="22"/>
  <c r="N2327" i="22"/>
  <c r="P2327" i="22" s="1"/>
  <c r="K2327" i="22"/>
  <c r="H2327" i="22"/>
  <c r="G2327" i="22"/>
  <c r="U2326" i="22"/>
  <c r="T2326" i="22"/>
  <c r="O2326" i="22"/>
  <c r="N2326" i="22"/>
  <c r="P2326" i="22" s="1"/>
  <c r="K2326" i="22"/>
  <c r="G2326" i="22"/>
  <c r="H2326" i="22" s="1"/>
  <c r="U2325" i="22"/>
  <c r="T2325" i="22"/>
  <c r="O2325" i="22"/>
  <c r="N2325" i="22"/>
  <c r="P2325" i="22" s="1"/>
  <c r="K2325" i="22"/>
  <c r="G2325" i="22"/>
  <c r="H2325" i="22" s="1"/>
  <c r="R2324" i="22"/>
  <c r="O2324" i="22"/>
  <c r="N2324" i="22"/>
  <c r="I2324" i="22"/>
  <c r="U2323" i="22"/>
  <c r="T2323" i="22"/>
  <c r="O2323" i="22"/>
  <c r="N2323" i="22"/>
  <c r="P2323" i="22" s="1"/>
  <c r="K2323" i="22"/>
  <c r="G2323" i="22"/>
  <c r="H2323" i="22" s="1"/>
  <c r="U2322" i="22"/>
  <c r="T2322" i="22"/>
  <c r="O2322" i="22"/>
  <c r="N2322" i="22"/>
  <c r="P2322" i="22" s="1"/>
  <c r="K2322" i="22"/>
  <c r="H2322" i="22"/>
  <c r="G2322" i="22"/>
  <c r="U2321" i="22"/>
  <c r="T2321" i="22"/>
  <c r="O2321" i="22"/>
  <c r="N2321" i="22"/>
  <c r="P2321" i="22" s="1"/>
  <c r="K2321" i="22"/>
  <c r="G2321" i="22"/>
  <c r="H2321" i="22" s="1"/>
  <c r="U2320" i="22"/>
  <c r="T2320" i="22"/>
  <c r="O2320" i="22"/>
  <c r="N2320" i="22"/>
  <c r="P2320" i="22" s="1"/>
  <c r="K2320" i="22"/>
  <c r="H2320" i="22"/>
  <c r="G2320" i="22"/>
  <c r="U2319" i="22"/>
  <c r="T2319" i="22"/>
  <c r="O2319" i="22"/>
  <c r="N2319" i="22"/>
  <c r="P2319" i="22" s="1"/>
  <c r="K2319" i="22"/>
  <c r="G2319" i="22"/>
  <c r="H2319" i="22" s="1"/>
  <c r="R2318" i="22"/>
  <c r="O2318" i="22"/>
  <c r="N2318" i="22"/>
  <c r="P2318" i="22" s="1"/>
  <c r="I2318" i="22"/>
  <c r="U2317" i="22"/>
  <c r="T2317" i="22"/>
  <c r="O2317" i="22"/>
  <c r="N2317" i="22"/>
  <c r="P2317" i="22" s="1"/>
  <c r="K2317" i="22"/>
  <c r="H2317" i="22"/>
  <c r="G2317" i="22"/>
  <c r="U2316" i="22"/>
  <c r="T2316" i="22"/>
  <c r="O2316" i="22"/>
  <c r="N2316" i="22"/>
  <c r="P2316" i="22" s="1"/>
  <c r="K2316" i="22"/>
  <c r="G2316" i="22"/>
  <c r="H2316" i="22" s="1"/>
  <c r="U2315" i="22"/>
  <c r="T2315" i="22"/>
  <c r="O2315" i="22"/>
  <c r="N2315" i="22"/>
  <c r="P2315" i="22" s="1"/>
  <c r="K2315" i="22"/>
  <c r="G2315" i="22"/>
  <c r="H2315" i="22" s="1"/>
  <c r="U2314" i="22"/>
  <c r="T2314" i="22"/>
  <c r="O2314" i="22"/>
  <c r="N2314" i="22"/>
  <c r="P2314" i="22" s="1"/>
  <c r="K2314" i="22"/>
  <c r="G2314" i="22"/>
  <c r="H2314" i="22" s="1"/>
  <c r="U2313" i="22"/>
  <c r="T2313" i="22"/>
  <c r="O2313" i="22"/>
  <c r="N2313" i="22"/>
  <c r="P2313" i="22" s="1"/>
  <c r="K2313" i="22"/>
  <c r="G2313" i="22"/>
  <c r="H2313" i="22" s="1"/>
  <c r="R2312" i="22"/>
  <c r="O2312" i="22"/>
  <c r="N2312" i="22"/>
  <c r="I2312" i="22"/>
  <c r="U2311" i="22"/>
  <c r="T2311" i="22"/>
  <c r="O2311" i="22"/>
  <c r="N2311" i="22"/>
  <c r="P2311" i="22" s="1"/>
  <c r="K2311" i="22"/>
  <c r="H2311" i="22"/>
  <c r="G2311" i="22"/>
  <c r="U2310" i="22"/>
  <c r="T2310" i="22"/>
  <c r="O2310" i="22"/>
  <c r="N2310" i="22"/>
  <c r="P2310" i="22" s="1"/>
  <c r="K2310" i="22"/>
  <c r="G2310" i="22"/>
  <c r="H2310" i="22" s="1"/>
  <c r="U2309" i="22"/>
  <c r="T2309" i="22"/>
  <c r="O2309" i="22"/>
  <c r="N2309" i="22"/>
  <c r="P2309" i="22" s="1"/>
  <c r="K2309" i="22"/>
  <c r="G2309" i="22"/>
  <c r="H2309" i="22" s="1"/>
  <c r="U2308" i="22"/>
  <c r="T2308" i="22"/>
  <c r="O2308" i="22"/>
  <c r="N2308" i="22"/>
  <c r="P2308" i="22" s="1"/>
  <c r="K2308" i="22"/>
  <c r="G2308" i="22"/>
  <c r="H2308" i="22" s="1"/>
  <c r="U2307" i="22"/>
  <c r="T2307" i="22"/>
  <c r="O2307" i="22"/>
  <c r="N2307" i="22"/>
  <c r="P2307" i="22" s="1"/>
  <c r="K2307" i="22"/>
  <c r="H2307" i="22"/>
  <c r="G2307" i="22"/>
  <c r="R2306" i="22"/>
  <c r="O2306" i="22"/>
  <c r="N2306" i="22"/>
  <c r="P2306" i="22" s="1"/>
  <c r="I2306" i="22"/>
  <c r="U2305" i="22"/>
  <c r="T2305" i="22"/>
  <c r="O2305" i="22"/>
  <c r="N2305" i="22"/>
  <c r="P2305" i="22" s="1"/>
  <c r="K2305" i="22"/>
  <c r="G2305" i="22"/>
  <c r="H2305" i="22" s="1"/>
  <c r="U2304" i="22"/>
  <c r="T2304" i="22"/>
  <c r="O2304" i="22"/>
  <c r="N2304" i="22"/>
  <c r="P2304" i="22" s="1"/>
  <c r="K2304" i="22"/>
  <c r="H2304" i="22"/>
  <c r="G2304" i="22"/>
  <c r="U2303" i="22"/>
  <c r="T2303" i="22"/>
  <c r="O2303" i="22"/>
  <c r="N2303" i="22"/>
  <c r="P2303" i="22" s="1"/>
  <c r="K2303" i="22"/>
  <c r="G2303" i="22"/>
  <c r="H2303" i="22" s="1"/>
  <c r="U2302" i="22"/>
  <c r="T2302" i="22"/>
  <c r="O2302" i="22"/>
  <c r="N2302" i="22"/>
  <c r="P2302" i="22" s="1"/>
  <c r="K2302" i="22"/>
  <c r="G2302" i="22"/>
  <c r="H2302" i="22" s="1"/>
  <c r="U2301" i="22"/>
  <c r="T2301" i="22"/>
  <c r="O2301" i="22"/>
  <c r="N2301" i="22"/>
  <c r="P2301" i="22" s="1"/>
  <c r="K2301" i="22"/>
  <c r="H2301" i="22"/>
  <c r="G2301" i="22"/>
  <c r="R2300" i="22"/>
  <c r="O2300" i="22"/>
  <c r="N2300" i="22"/>
  <c r="S2300" i="22" s="1"/>
  <c r="I2300" i="22"/>
  <c r="U2299" i="22"/>
  <c r="T2299" i="22"/>
  <c r="O2299" i="22"/>
  <c r="N2299" i="22"/>
  <c r="P2299" i="22" s="1"/>
  <c r="K2299" i="22"/>
  <c r="G2299" i="22"/>
  <c r="H2299" i="22" s="1"/>
  <c r="U2298" i="22"/>
  <c r="T2298" i="22"/>
  <c r="O2298" i="22"/>
  <c r="N2298" i="22"/>
  <c r="P2298" i="22" s="1"/>
  <c r="K2298" i="22"/>
  <c r="G2298" i="22"/>
  <c r="H2298" i="22" s="1"/>
  <c r="U2297" i="22"/>
  <c r="T2297" i="22"/>
  <c r="O2297" i="22"/>
  <c r="N2297" i="22"/>
  <c r="P2297" i="22" s="1"/>
  <c r="K2297" i="22"/>
  <c r="G2297" i="22"/>
  <c r="H2297" i="22" s="1"/>
  <c r="U2296" i="22"/>
  <c r="T2296" i="22"/>
  <c r="O2296" i="22"/>
  <c r="N2296" i="22"/>
  <c r="P2296" i="22" s="1"/>
  <c r="K2296" i="22"/>
  <c r="G2296" i="22"/>
  <c r="H2296" i="22" s="1"/>
  <c r="U2295" i="22"/>
  <c r="T2295" i="22"/>
  <c r="O2295" i="22"/>
  <c r="N2295" i="22"/>
  <c r="P2295" i="22" s="1"/>
  <c r="K2295" i="22"/>
  <c r="G2295" i="22"/>
  <c r="H2295" i="22" s="1"/>
  <c r="R2294" i="22"/>
  <c r="O2294" i="22"/>
  <c r="N2294" i="22"/>
  <c r="S2294" i="22" s="1"/>
  <c r="I2294" i="22"/>
  <c r="U2293" i="22"/>
  <c r="T2293" i="22"/>
  <c r="O2293" i="22"/>
  <c r="N2293" i="22"/>
  <c r="P2293" i="22" s="1"/>
  <c r="K2293" i="22"/>
  <c r="H2293" i="22"/>
  <c r="G2293" i="22"/>
  <c r="U2292" i="22"/>
  <c r="T2292" i="22"/>
  <c r="O2292" i="22"/>
  <c r="N2292" i="22"/>
  <c r="P2292" i="22" s="1"/>
  <c r="K2292" i="22"/>
  <c r="G2292" i="22"/>
  <c r="H2292" i="22" s="1"/>
  <c r="U2291" i="22"/>
  <c r="T2291" i="22"/>
  <c r="O2291" i="22"/>
  <c r="N2291" i="22"/>
  <c r="P2291" i="22" s="1"/>
  <c r="K2291" i="22"/>
  <c r="G2291" i="22"/>
  <c r="H2291" i="22" s="1"/>
  <c r="U2290" i="22"/>
  <c r="T2290" i="22"/>
  <c r="O2290" i="22"/>
  <c r="N2290" i="22"/>
  <c r="P2290" i="22" s="1"/>
  <c r="K2290" i="22"/>
  <c r="G2290" i="22"/>
  <c r="H2290" i="22" s="1"/>
  <c r="U2289" i="22"/>
  <c r="T2289" i="22"/>
  <c r="O2289" i="22"/>
  <c r="N2289" i="22"/>
  <c r="P2289" i="22" s="1"/>
  <c r="K2289" i="22"/>
  <c r="G2289" i="22"/>
  <c r="H2289" i="22" s="1"/>
  <c r="R2288" i="22"/>
  <c r="O2288" i="22"/>
  <c r="N2288" i="22"/>
  <c r="I2288" i="22"/>
  <c r="U2287" i="22"/>
  <c r="T2287" i="22"/>
  <c r="O2287" i="22"/>
  <c r="N2287" i="22"/>
  <c r="P2287" i="22" s="1"/>
  <c r="K2287" i="22"/>
  <c r="G2287" i="22"/>
  <c r="H2287" i="22" s="1"/>
  <c r="U2286" i="22"/>
  <c r="T2286" i="22"/>
  <c r="O2286" i="22"/>
  <c r="N2286" i="22"/>
  <c r="P2286" i="22" s="1"/>
  <c r="K2286" i="22"/>
  <c r="G2286" i="22"/>
  <c r="H2286" i="22" s="1"/>
  <c r="U2285" i="22"/>
  <c r="T2285" i="22"/>
  <c r="O2285" i="22"/>
  <c r="N2285" i="22"/>
  <c r="P2285" i="22" s="1"/>
  <c r="K2285" i="22"/>
  <c r="G2285" i="22"/>
  <c r="H2285" i="22" s="1"/>
  <c r="U2284" i="22"/>
  <c r="T2284" i="22"/>
  <c r="O2284" i="22"/>
  <c r="N2284" i="22"/>
  <c r="P2284" i="22" s="1"/>
  <c r="K2284" i="22"/>
  <c r="G2284" i="22"/>
  <c r="H2284" i="22" s="1"/>
  <c r="U2283" i="22"/>
  <c r="T2283" i="22"/>
  <c r="O2283" i="22"/>
  <c r="N2283" i="22"/>
  <c r="P2283" i="22" s="1"/>
  <c r="K2283" i="22"/>
  <c r="G2283" i="22"/>
  <c r="H2283" i="22" s="1"/>
  <c r="R2282" i="22"/>
  <c r="O2282" i="22"/>
  <c r="N2282" i="22"/>
  <c r="S2282" i="22" s="1"/>
  <c r="I2282" i="22"/>
  <c r="U2281" i="22"/>
  <c r="T2281" i="22"/>
  <c r="O2281" i="22"/>
  <c r="N2281" i="22"/>
  <c r="P2281" i="22" s="1"/>
  <c r="K2281" i="22"/>
  <c r="G2281" i="22"/>
  <c r="H2281" i="22" s="1"/>
  <c r="U2280" i="22"/>
  <c r="T2280" i="22"/>
  <c r="O2280" i="22"/>
  <c r="N2280" i="22"/>
  <c r="P2280" i="22" s="1"/>
  <c r="K2280" i="22"/>
  <c r="H2280" i="22"/>
  <c r="G2280" i="22"/>
  <c r="U2279" i="22"/>
  <c r="T2279" i="22"/>
  <c r="O2279" i="22"/>
  <c r="N2279" i="22"/>
  <c r="P2279" i="22" s="1"/>
  <c r="K2279" i="22"/>
  <c r="H2279" i="22"/>
  <c r="G2279" i="22"/>
  <c r="U2278" i="22"/>
  <c r="T2278" i="22"/>
  <c r="O2278" i="22"/>
  <c r="N2278" i="22"/>
  <c r="P2278" i="22" s="1"/>
  <c r="K2278" i="22"/>
  <c r="G2278" i="22"/>
  <c r="H2278" i="22" s="1"/>
  <c r="U2277" i="22"/>
  <c r="T2277" i="22"/>
  <c r="O2277" i="22"/>
  <c r="N2277" i="22"/>
  <c r="P2277" i="22" s="1"/>
  <c r="K2277" i="22"/>
  <c r="G2277" i="22"/>
  <c r="H2277" i="22" s="1"/>
  <c r="R2276" i="22"/>
  <c r="O2276" i="22"/>
  <c r="N2276" i="22"/>
  <c r="S2276" i="22" s="1"/>
  <c r="I2276" i="22"/>
  <c r="U2275" i="22"/>
  <c r="T2275" i="22"/>
  <c r="O2275" i="22"/>
  <c r="N2275" i="22"/>
  <c r="P2275" i="22" s="1"/>
  <c r="K2275" i="22"/>
  <c r="H2275" i="22"/>
  <c r="G2275" i="22"/>
  <c r="U2274" i="22"/>
  <c r="T2274" i="22"/>
  <c r="O2274" i="22"/>
  <c r="N2274" i="22"/>
  <c r="P2274" i="22" s="1"/>
  <c r="K2274" i="22"/>
  <c r="G2274" i="22"/>
  <c r="H2274" i="22" s="1"/>
  <c r="U2273" i="22"/>
  <c r="T2273" i="22"/>
  <c r="O2273" i="22"/>
  <c r="N2273" i="22"/>
  <c r="P2273" i="22" s="1"/>
  <c r="K2273" i="22"/>
  <c r="H2273" i="22"/>
  <c r="G2273" i="22"/>
  <c r="U2272" i="22"/>
  <c r="T2272" i="22"/>
  <c r="O2272" i="22"/>
  <c r="N2272" i="22"/>
  <c r="P2272" i="22" s="1"/>
  <c r="K2272" i="22"/>
  <c r="G2272" i="22"/>
  <c r="H2272" i="22" s="1"/>
  <c r="U2271" i="22"/>
  <c r="T2271" i="22"/>
  <c r="O2271" i="22"/>
  <c r="N2271" i="22"/>
  <c r="P2271" i="22" s="1"/>
  <c r="K2271" i="22"/>
  <c r="H2271" i="22"/>
  <c r="G2271" i="22"/>
  <c r="R2270" i="22"/>
  <c r="O2270" i="22"/>
  <c r="N2270" i="22"/>
  <c r="P2270" i="22" s="1"/>
  <c r="I2270" i="22"/>
  <c r="U2269" i="22"/>
  <c r="T2269" i="22"/>
  <c r="O2269" i="22"/>
  <c r="N2269" i="22"/>
  <c r="P2269" i="22" s="1"/>
  <c r="K2269" i="22"/>
  <c r="G2269" i="22"/>
  <c r="H2269" i="22" s="1"/>
  <c r="U2268" i="22"/>
  <c r="T2268" i="22"/>
  <c r="O2268" i="22"/>
  <c r="N2268" i="22"/>
  <c r="P2268" i="22" s="1"/>
  <c r="K2268" i="22"/>
  <c r="H2268" i="22"/>
  <c r="G2268" i="22"/>
  <c r="U2267" i="22"/>
  <c r="T2267" i="22"/>
  <c r="O2267" i="22"/>
  <c r="N2267" i="22"/>
  <c r="P2267" i="22" s="1"/>
  <c r="K2267" i="22"/>
  <c r="G2267" i="22"/>
  <c r="H2267" i="22" s="1"/>
  <c r="U2266" i="22"/>
  <c r="T2266" i="22"/>
  <c r="O2266" i="22"/>
  <c r="N2266" i="22"/>
  <c r="P2266" i="22" s="1"/>
  <c r="K2266" i="22"/>
  <c r="G2266" i="22"/>
  <c r="H2266" i="22" s="1"/>
  <c r="U2265" i="22"/>
  <c r="T2265" i="22"/>
  <c r="O2265" i="22"/>
  <c r="N2265" i="22"/>
  <c r="P2265" i="22" s="1"/>
  <c r="K2265" i="22"/>
  <c r="G2265" i="22"/>
  <c r="H2265" i="22" s="1"/>
  <c r="R2264" i="22"/>
  <c r="O2264" i="22"/>
  <c r="N2264" i="22"/>
  <c r="I2264" i="22"/>
  <c r="U2263" i="22"/>
  <c r="T2263" i="22"/>
  <c r="O2263" i="22"/>
  <c r="N2263" i="22"/>
  <c r="P2263" i="22" s="1"/>
  <c r="K2263" i="22"/>
  <c r="H2263" i="22"/>
  <c r="G2263" i="22"/>
  <c r="U2262" i="22"/>
  <c r="T2262" i="22"/>
  <c r="O2262" i="22"/>
  <c r="N2262" i="22"/>
  <c r="P2262" i="22" s="1"/>
  <c r="K2262" i="22"/>
  <c r="G2262" i="22"/>
  <c r="H2262" i="22" s="1"/>
  <c r="U2261" i="22"/>
  <c r="T2261" i="22"/>
  <c r="O2261" i="22"/>
  <c r="N2261" i="22"/>
  <c r="P2261" i="22" s="1"/>
  <c r="K2261" i="22"/>
  <c r="G2261" i="22"/>
  <c r="H2261" i="22" s="1"/>
  <c r="U2260" i="22"/>
  <c r="T2260" i="22"/>
  <c r="O2260" i="22"/>
  <c r="N2260" i="22"/>
  <c r="P2260" i="22" s="1"/>
  <c r="K2260" i="22"/>
  <c r="G2260" i="22"/>
  <c r="H2260" i="22" s="1"/>
  <c r="U2259" i="22"/>
  <c r="T2259" i="22"/>
  <c r="O2259" i="22"/>
  <c r="N2259" i="22"/>
  <c r="P2259" i="22" s="1"/>
  <c r="K2259" i="22"/>
  <c r="G2259" i="22"/>
  <c r="H2259" i="22" s="1"/>
  <c r="R2258" i="22"/>
  <c r="O2258" i="22"/>
  <c r="N2258" i="22"/>
  <c r="S2258" i="22" s="1"/>
  <c r="I2258" i="22"/>
  <c r="U2257" i="22"/>
  <c r="T2257" i="22"/>
  <c r="O2257" i="22"/>
  <c r="N2257" i="22"/>
  <c r="P2257" i="22" s="1"/>
  <c r="K2257" i="22"/>
  <c r="G2257" i="22"/>
  <c r="H2257" i="22" s="1"/>
  <c r="U2256" i="22"/>
  <c r="T2256" i="22"/>
  <c r="O2256" i="22"/>
  <c r="N2256" i="22"/>
  <c r="P2256" i="22" s="1"/>
  <c r="K2256" i="22"/>
  <c r="G2256" i="22"/>
  <c r="H2256" i="22" s="1"/>
  <c r="U2255" i="22"/>
  <c r="T2255" i="22"/>
  <c r="O2255" i="22"/>
  <c r="N2255" i="22"/>
  <c r="P2255" i="22" s="1"/>
  <c r="K2255" i="22"/>
  <c r="G2255" i="22"/>
  <c r="H2255" i="22" s="1"/>
  <c r="U2254" i="22"/>
  <c r="T2254" i="22"/>
  <c r="O2254" i="22"/>
  <c r="N2254" i="22"/>
  <c r="P2254" i="22" s="1"/>
  <c r="K2254" i="22"/>
  <c r="G2254" i="22"/>
  <c r="H2254" i="22" s="1"/>
  <c r="U2253" i="22"/>
  <c r="T2253" i="22"/>
  <c r="O2253" i="22"/>
  <c r="N2253" i="22"/>
  <c r="P2253" i="22" s="1"/>
  <c r="K2253" i="22"/>
  <c r="H2253" i="22"/>
  <c r="G2253" i="22"/>
  <c r="R2252" i="22"/>
  <c r="O2252" i="22"/>
  <c r="N2252" i="22"/>
  <c r="S2252" i="22" s="1"/>
  <c r="I2252" i="22"/>
  <c r="U2251" i="22"/>
  <c r="T2251" i="22"/>
  <c r="O2251" i="22"/>
  <c r="N2251" i="22"/>
  <c r="P2251" i="22" s="1"/>
  <c r="K2251" i="22"/>
  <c r="G2251" i="22"/>
  <c r="H2251" i="22" s="1"/>
  <c r="U2250" i="22"/>
  <c r="T2250" i="22"/>
  <c r="O2250" i="22"/>
  <c r="N2250" i="22"/>
  <c r="P2250" i="22" s="1"/>
  <c r="K2250" i="22"/>
  <c r="G2250" i="22"/>
  <c r="H2250" i="22" s="1"/>
  <c r="U2249" i="22"/>
  <c r="T2249" i="22"/>
  <c r="O2249" i="22"/>
  <c r="N2249" i="22"/>
  <c r="P2249" i="22" s="1"/>
  <c r="K2249" i="22"/>
  <c r="G2249" i="22"/>
  <c r="H2249" i="22" s="1"/>
  <c r="U2248" i="22"/>
  <c r="T2248" i="22"/>
  <c r="O2248" i="22"/>
  <c r="N2248" i="22"/>
  <c r="P2248" i="22" s="1"/>
  <c r="K2248" i="22"/>
  <c r="G2248" i="22"/>
  <c r="H2248" i="22" s="1"/>
  <c r="U2247" i="22"/>
  <c r="T2247" i="22"/>
  <c r="O2247" i="22"/>
  <c r="N2247" i="22"/>
  <c r="P2247" i="22" s="1"/>
  <c r="K2247" i="22"/>
  <c r="G2247" i="22"/>
  <c r="H2247" i="22" s="1"/>
  <c r="R2246" i="22"/>
  <c r="O2246" i="22"/>
  <c r="N2246" i="22"/>
  <c r="P2246" i="22" s="1"/>
  <c r="I2246" i="22"/>
  <c r="U2245" i="22"/>
  <c r="T2245" i="22"/>
  <c r="O2245" i="22"/>
  <c r="N2245" i="22"/>
  <c r="P2245" i="22" s="1"/>
  <c r="K2245" i="22"/>
  <c r="G2245" i="22"/>
  <c r="H2245" i="22" s="1"/>
  <c r="U2244" i="22"/>
  <c r="T2244" i="22"/>
  <c r="O2244" i="22"/>
  <c r="N2244" i="22"/>
  <c r="P2244" i="22" s="1"/>
  <c r="K2244" i="22"/>
  <c r="H2244" i="22"/>
  <c r="G2244" i="22"/>
  <c r="U2243" i="22"/>
  <c r="T2243" i="22"/>
  <c r="O2243" i="22"/>
  <c r="N2243" i="22"/>
  <c r="P2243" i="22" s="1"/>
  <c r="K2243" i="22"/>
  <c r="G2243" i="22"/>
  <c r="H2243" i="22" s="1"/>
  <c r="U2242" i="22"/>
  <c r="T2242" i="22"/>
  <c r="O2242" i="22"/>
  <c r="N2242" i="22"/>
  <c r="P2242" i="22" s="1"/>
  <c r="K2242" i="22"/>
  <c r="G2242" i="22"/>
  <c r="H2242" i="22" s="1"/>
  <c r="U2241" i="22"/>
  <c r="T2241" i="22"/>
  <c r="O2241" i="22"/>
  <c r="N2241" i="22"/>
  <c r="P2241" i="22" s="1"/>
  <c r="K2241" i="22"/>
  <c r="G2241" i="22"/>
  <c r="H2241" i="22" s="1"/>
  <c r="R2240" i="22"/>
  <c r="O2240" i="22"/>
  <c r="N2240" i="22"/>
  <c r="I2240" i="22"/>
  <c r="U2239" i="22"/>
  <c r="T2239" i="22"/>
  <c r="O2239" i="22"/>
  <c r="N2239" i="22"/>
  <c r="P2239" i="22" s="1"/>
  <c r="K2239" i="22"/>
  <c r="G2239" i="22"/>
  <c r="H2239" i="22" s="1"/>
  <c r="U2238" i="22"/>
  <c r="T2238" i="22"/>
  <c r="O2238" i="22"/>
  <c r="N2238" i="22"/>
  <c r="P2238" i="22" s="1"/>
  <c r="K2238" i="22"/>
  <c r="G2238" i="22"/>
  <c r="H2238" i="22" s="1"/>
  <c r="U2237" i="22"/>
  <c r="T2237" i="22"/>
  <c r="O2237" i="22"/>
  <c r="N2237" i="22"/>
  <c r="P2237" i="22" s="1"/>
  <c r="K2237" i="22"/>
  <c r="G2237" i="22"/>
  <c r="H2237" i="22" s="1"/>
  <c r="U2236" i="22"/>
  <c r="T2236" i="22"/>
  <c r="O2236" i="22"/>
  <c r="N2236" i="22"/>
  <c r="P2236" i="22" s="1"/>
  <c r="K2236" i="22"/>
  <c r="G2236" i="22"/>
  <c r="H2236" i="22" s="1"/>
  <c r="U2235" i="22"/>
  <c r="T2235" i="22"/>
  <c r="O2235" i="22"/>
  <c r="N2235" i="22"/>
  <c r="P2235" i="22" s="1"/>
  <c r="K2235" i="22"/>
  <c r="G2235" i="22"/>
  <c r="H2235" i="22" s="1"/>
  <c r="R2234" i="22"/>
  <c r="O2234" i="22"/>
  <c r="N2234" i="22"/>
  <c r="P2234" i="22" s="1"/>
  <c r="I2234" i="22"/>
  <c r="U2233" i="22"/>
  <c r="T2233" i="22"/>
  <c r="O2233" i="22"/>
  <c r="N2233" i="22"/>
  <c r="P2233" i="22" s="1"/>
  <c r="K2233" i="22"/>
  <c r="G2233" i="22"/>
  <c r="H2233" i="22" s="1"/>
  <c r="U2232" i="22"/>
  <c r="T2232" i="22"/>
  <c r="O2232" i="22"/>
  <c r="N2232" i="22"/>
  <c r="P2232" i="22" s="1"/>
  <c r="K2232" i="22"/>
  <c r="G2232" i="22"/>
  <c r="H2232" i="22" s="1"/>
  <c r="U2231" i="22"/>
  <c r="T2231" i="22"/>
  <c r="O2231" i="22"/>
  <c r="N2231" i="22"/>
  <c r="P2231" i="22" s="1"/>
  <c r="K2231" i="22"/>
  <c r="G2231" i="22"/>
  <c r="H2231" i="22" s="1"/>
  <c r="U2230" i="22"/>
  <c r="T2230" i="22"/>
  <c r="O2230" i="22"/>
  <c r="N2230" i="22"/>
  <c r="P2230" i="22" s="1"/>
  <c r="K2230" i="22"/>
  <c r="G2230" i="22"/>
  <c r="H2230" i="22" s="1"/>
  <c r="U2229" i="22"/>
  <c r="T2229" i="22"/>
  <c r="O2229" i="22"/>
  <c r="N2229" i="22"/>
  <c r="P2229" i="22" s="1"/>
  <c r="K2229" i="22"/>
  <c r="H2229" i="22"/>
  <c r="G2229" i="22"/>
  <c r="R2228" i="22"/>
  <c r="O2228" i="22"/>
  <c r="N2228" i="22"/>
  <c r="I2228" i="22"/>
  <c r="U2227" i="22"/>
  <c r="T2227" i="22"/>
  <c r="O2227" i="22"/>
  <c r="N2227" i="22"/>
  <c r="P2227" i="22" s="1"/>
  <c r="K2227" i="22"/>
  <c r="G2227" i="22"/>
  <c r="H2227" i="22" s="1"/>
  <c r="U2226" i="22"/>
  <c r="T2226" i="22"/>
  <c r="O2226" i="22"/>
  <c r="N2226" i="22"/>
  <c r="P2226" i="22" s="1"/>
  <c r="K2226" i="22"/>
  <c r="G2226" i="22"/>
  <c r="H2226" i="22" s="1"/>
  <c r="U2225" i="22"/>
  <c r="T2225" i="22"/>
  <c r="O2225" i="22"/>
  <c r="N2225" i="22"/>
  <c r="P2225" i="22" s="1"/>
  <c r="K2225" i="22"/>
  <c r="G2225" i="22"/>
  <c r="H2225" i="22" s="1"/>
  <c r="U2224" i="22"/>
  <c r="T2224" i="22"/>
  <c r="O2224" i="22"/>
  <c r="N2224" i="22"/>
  <c r="P2224" i="22" s="1"/>
  <c r="K2224" i="22"/>
  <c r="G2224" i="22"/>
  <c r="H2224" i="22" s="1"/>
  <c r="U2223" i="22"/>
  <c r="T2223" i="22"/>
  <c r="O2223" i="22"/>
  <c r="N2223" i="22"/>
  <c r="P2223" i="22" s="1"/>
  <c r="K2223" i="22"/>
  <c r="G2223" i="22"/>
  <c r="H2223" i="22" s="1"/>
  <c r="R2222" i="22"/>
  <c r="O2222" i="22"/>
  <c r="N2222" i="22"/>
  <c r="S2222" i="22" s="1"/>
  <c r="U2222" i="22" s="1"/>
  <c r="I2222" i="22"/>
  <c r="U2221" i="22"/>
  <c r="T2221" i="22"/>
  <c r="O2221" i="22"/>
  <c r="N2221" i="22"/>
  <c r="P2221" i="22" s="1"/>
  <c r="K2221" i="22"/>
  <c r="G2221" i="22"/>
  <c r="H2221" i="22" s="1"/>
  <c r="U2220" i="22"/>
  <c r="T2220" i="22"/>
  <c r="O2220" i="22"/>
  <c r="N2220" i="22"/>
  <c r="P2220" i="22" s="1"/>
  <c r="K2220" i="22"/>
  <c r="G2220" i="22"/>
  <c r="H2220" i="22" s="1"/>
  <c r="U2219" i="22"/>
  <c r="T2219" i="22"/>
  <c r="O2219" i="22"/>
  <c r="N2219" i="22"/>
  <c r="P2219" i="22" s="1"/>
  <c r="K2219" i="22"/>
  <c r="G2219" i="22"/>
  <c r="H2219" i="22" s="1"/>
  <c r="U2218" i="22"/>
  <c r="T2218" i="22"/>
  <c r="O2218" i="22"/>
  <c r="N2218" i="22"/>
  <c r="P2218" i="22" s="1"/>
  <c r="K2218" i="22"/>
  <c r="H2218" i="22"/>
  <c r="G2218" i="22"/>
  <c r="U2217" i="22"/>
  <c r="T2217" i="22"/>
  <c r="O2217" i="22"/>
  <c r="N2217" i="22"/>
  <c r="P2217" i="22" s="1"/>
  <c r="K2217" i="22"/>
  <c r="G2217" i="22"/>
  <c r="H2217" i="22" s="1"/>
  <c r="H2216" i="22" s="1"/>
  <c r="J2216" i="22" s="1"/>
  <c r="R2216" i="22"/>
  <c r="O2216" i="22"/>
  <c r="N2216" i="22"/>
  <c r="P2216" i="22" s="1"/>
  <c r="I2216" i="22"/>
  <c r="U2215" i="22"/>
  <c r="T2215" i="22"/>
  <c r="O2215" i="22"/>
  <c r="N2215" i="22"/>
  <c r="P2215" i="22" s="1"/>
  <c r="K2215" i="22"/>
  <c r="G2215" i="22"/>
  <c r="H2215" i="22" s="1"/>
  <c r="U2214" i="22"/>
  <c r="T2214" i="22"/>
  <c r="O2214" i="22"/>
  <c r="N2214" i="22"/>
  <c r="P2214" i="22" s="1"/>
  <c r="K2214" i="22"/>
  <c r="G2214" i="22"/>
  <c r="H2214" i="22" s="1"/>
  <c r="U2213" i="22"/>
  <c r="T2213" i="22"/>
  <c r="O2213" i="22"/>
  <c r="N2213" i="22"/>
  <c r="P2213" i="22" s="1"/>
  <c r="K2213" i="22"/>
  <c r="G2213" i="22"/>
  <c r="H2213" i="22" s="1"/>
  <c r="U2212" i="22"/>
  <c r="T2212" i="22"/>
  <c r="O2212" i="22"/>
  <c r="N2212" i="22"/>
  <c r="P2212" i="22" s="1"/>
  <c r="K2212" i="22"/>
  <c r="G2212" i="22"/>
  <c r="H2212" i="22" s="1"/>
  <c r="U2211" i="22"/>
  <c r="T2211" i="22"/>
  <c r="O2211" i="22"/>
  <c r="N2211" i="22"/>
  <c r="P2211" i="22" s="1"/>
  <c r="K2211" i="22"/>
  <c r="G2211" i="22"/>
  <c r="H2211" i="22" s="1"/>
  <c r="R2210" i="22"/>
  <c r="O2210" i="22"/>
  <c r="N2210" i="22"/>
  <c r="P2210" i="22" s="1"/>
  <c r="I2210" i="22"/>
  <c r="G2210" i="22"/>
  <c r="H2210" i="22" s="1"/>
  <c r="U2209" i="22"/>
  <c r="T2209" i="22"/>
  <c r="O2209" i="22"/>
  <c r="N2209" i="22"/>
  <c r="P2209" i="22" s="1"/>
  <c r="K2209" i="22"/>
  <c r="H2209" i="22"/>
  <c r="G2209" i="22"/>
  <c r="U2208" i="22"/>
  <c r="T2208" i="22"/>
  <c r="O2208" i="22"/>
  <c r="N2208" i="22"/>
  <c r="P2208" i="22" s="1"/>
  <c r="K2208" i="22"/>
  <c r="G2208" i="22"/>
  <c r="H2208" i="22" s="1"/>
  <c r="U2207" i="22"/>
  <c r="T2207" i="22"/>
  <c r="O2207" i="22"/>
  <c r="N2207" i="22"/>
  <c r="P2207" i="22" s="1"/>
  <c r="K2207" i="22"/>
  <c r="H2207" i="22"/>
  <c r="G2207" i="22"/>
  <c r="U2206" i="22"/>
  <c r="T2206" i="22"/>
  <c r="O2206" i="22"/>
  <c r="N2206" i="22"/>
  <c r="P2206" i="22" s="1"/>
  <c r="K2206" i="22"/>
  <c r="G2206" i="22"/>
  <c r="H2206" i="22" s="1"/>
  <c r="U2205" i="22"/>
  <c r="T2205" i="22"/>
  <c r="O2205" i="22"/>
  <c r="N2205" i="22"/>
  <c r="P2205" i="22" s="1"/>
  <c r="K2205" i="22"/>
  <c r="G2205" i="22"/>
  <c r="H2205" i="22" s="1"/>
  <c r="R2204" i="22"/>
  <c r="O2204" i="22"/>
  <c r="N2204" i="22"/>
  <c r="I2204" i="22"/>
  <c r="G2204" i="22"/>
  <c r="U2203" i="22"/>
  <c r="T2203" i="22"/>
  <c r="O2203" i="22"/>
  <c r="N2203" i="22"/>
  <c r="P2203" i="22" s="1"/>
  <c r="K2203" i="22"/>
  <c r="H2203" i="22"/>
  <c r="G2203" i="22"/>
  <c r="U2202" i="22"/>
  <c r="T2202" i="22"/>
  <c r="O2202" i="22"/>
  <c r="N2202" i="22"/>
  <c r="P2202" i="22" s="1"/>
  <c r="K2202" i="22"/>
  <c r="G2202" i="22"/>
  <c r="H2202" i="22" s="1"/>
  <c r="U2201" i="22"/>
  <c r="T2201" i="22"/>
  <c r="O2201" i="22"/>
  <c r="N2201" i="22"/>
  <c r="P2201" i="22" s="1"/>
  <c r="K2201" i="22"/>
  <c r="G2201" i="22"/>
  <c r="H2201" i="22" s="1"/>
  <c r="U2200" i="22"/>
  <c r="T2200" i="22"/>
  <c r="O2200" i="22"/>
  <c r="N2200" i="22"/>
  <c r="P2200" i="22" s="1"/>
  <c r="K2200" i="22"/>
  <c r="G2200" i="22"/>
  <c r="H2200" i="22" s="1"/>
  <c r="U2199" i="22"/>
  <c r="T2199" i="22"/>
  <c r="O2199" i="22"/>
  <c r="N2199" i="22"/>
  <c r="P2199" i="22" s="1"/>
  <c r="K2199" i="22"/>
  <c r="H2199" i="22"/>
  <c r="H2198" i="22" s="1"/>
  <c r="J2198" i="22" s="1"/>
  <c r="G2199" i="22"/>
  <c r="R2198" i="22"/>
  <c r="O2198" i="22"/>
  <c r="N2198" i="22"/>
  <c r="I2198" i="22"/>
  <c r="G2198" i="22"/>
  <c r="U2197" i="22"/>
  <c r="T2197" i="22"/>
  <c r="O2197" i="22"/>
  <c r="N2197" i="22"/>
  <c r="P2197" i="22" s="1"/>
  <c r="K2197" i="22"/>
  <c r="G2197" i="22"/>
  <c r="H2197" i="22" s="1"/>
  <c r="U2196" i="22"/>
  <c r="T2196" i="22"/>
  <c r="O2196" i="22"/>
  <c r="N2196" i="22"/>
  <c r="P2196" i="22" s="1"/>
  <c r="K2196" i="22"/>
  <c r="G2196" i="22"/>
  <c r="H2196" i="22" s="1"/>
  <c r="U2195" i="22"/>
  <c r="T2195" i="22"/>
  <c r="O2195" i="22"/>
  <c r="N2195" i="22"/>
  <c r="P2195" i="22" s="1"/>
  <c r="K2195" i="22"/>
  <c r="G2195" i="22"/>
  <c r="H2195" i="22" s="1"/>
  <c r="U2194" i="22"/>
  <c r="T2194" i="22"/>
  <c r="O2194" i="22"/>
  <c r="N2194" i="22"/>
  <c r="P2194" i="22" s="1"/>
  <c r="K2194" i="22"/>
  <c r="G2194" i="22"/>
  <c r="H2194" i="22" s="1"/>
  <c r="U2193" i="22"/>
  <c r="T2193" i="22"/>
  <c r="O2193" i="22"/>
  <c r="N2193" i="22"/>
  <c r="P2193" i="22" s="1"/>
  <c r="K2193" i="22"/>
  <c r="G2193" i="22"/>
  <c r="H2193" i="22" s="1"/>
  <c r="R2192" i="22"/>
  <c r="O2192" i="22"/>
  <c r="N2192" i="22"/>
  <c r="S2192" i="22" s="1"/>
  <c r="I2192" i="22"/>
  <c r="U2191" i="22"/>
  <c r="T2191" i="22"/>
  <c r="O2191" i="22"/>
  <c r="N2191" i="22"/>
  <c r="P2191" i="22" s="1"/>
  <c r="K2191" i="22"/>
  <c r="H2191" i="22"/>
  <c r="G2191" i="22"/>
  <c r="U2190" i="22"/>
  <c r="T2190" i="22"/>
  <c r="O2190" i="22"/>
  <c r="N2190" i="22"/>
  <c r="P2190" i="22" s="1"/>
  <c r="K2190" i="22"/>
  <c r="G2190" i="22"/>
  <c r="H2190" i="22" s="1"/>
  <c r="U2189" i="22"/>
  <c r="T2189" i="22"/>
  <c r="O2189" i="22"/>
  <c r="N2189" i="22"/>
  <c r="P2189" i="22" s="1"/>
  <c r="K2189" i="22"/>
  <c r="H2189" i="22"/>
  <c r="G2189" i="22"/>
  <c r="U2188" i="22"/>
  <c r="T2188" i="22"/>
  <c r="O2188" i="22"/>
  <c r="N2188" i="22"/>
  <c r="P2188" i="22" s="1"/>
  <c r="K2188" i="22"/>
  <c r="G2188" i="22"/>
  <c r="H2188" i="22" s="1"/>
  <c r="U2187" i="22"/>
  <c r="T2187" i="22"/>
  <c r="O2187" i="22"/>
  <c r="N2187" i="22"/>
  <c r="P2187" i="22" s="1"/>
  <c r="K2187" i="22"/>
  <c r="G2187" i="22"/>
  <c r="H2187" i="22" s="1"/>
  <c r="R2186" i="22"/>
  <c r="O2186" i="22"/>
  <c r="N2186" i="22"/>
  <c r="I2186" i="22"/>
  <c r="U2185" i="22"/>
  <c r="T2185" i="22"/>
  <c r="O2185" i="22"/>
  <c r="N2185" i="22"/>
  <c r="P2185" i="22" s="1"/>
  <c r="K2185" i="22"/>
  <c r="G2185" i="22"/>
  <c r="H2185" i="22" s="1"/>
  <c r="U2184" i="22"/>
  <c r="T2184" i="22"/>
  <c r="O2184" i="22"/>
  <c r="N2184" i="22"/>
  <c r="P2184" i="22" s="1"/>
  <c r="K2184" i="22"/>
  <c r="G2184" i="22"/>
  <c r="H2184" i="22" s="1"/>
  <c r="U2183" i="22"/>
  <c r="T2183" i="22"/>
  <c r="O2183" i="22"/>
  <c r="N2183" i="22"/>
  <c r="P2183" i="22" s="1"/>
  <c r="K2183" i="22"/>
  <c r="G2183" i="22"/>
  <c r="H2183" i="22" s="1"/>
  <c r="U2182" i="22"/>
  <c r="T2182" i="22"/>
  <c r="O2182" i="22"/>
  <c r="N2182" i="22"/>
  <c r="P2182" i="22" s="1"/>
  <c r="K2182" i="22"/>
  <c r="G2182" i="22"/>
  <c r="H2182" i="22" s="1"/>
  <c r="U2181" i="22"/>
  <c r="T2181" i="22"/>
  <c r="O2181" i="22"/>
  <c r="N2181" i="22"/>
  <c r="P2181" i="22" s="1"/>
  <c r="K2181" i="22"/>
  <c r="G2181" i="22"/>
  <c r="H2181" i="22" s="1"/>
  <c r="R2180" i="22"/>
  <c r="O2180" i="22"/>
  <c r="N2180" i="22"/>
  <c r="P2180" i="22" s="1"/>
  <c r="I2180" i="22"/>
  <c r="U2179" i="22"/>
  <c r="T2179" i="22"/>
  <c r="O2179" i="22"/>
  <c r="N2179" i="22"/>
  <c r="P2179" i="22" s="1"/>
  <c r="K2179" i="22"/>
  <c r="G2179" i="22"/>
  <c r="H2179" i="22" s="1"/>
  <c r="U2178" i="22"/>
  <c r="T2178" i="22"/>
  <c r="O2178" i="22"/>
  <c r="N2178" i="22"/>
  <c r="P2178" i="22" s="1"/>
  <c r="K2178" i="22"/>
  <c r="H2178" i="22"/>
  <c r="G2178" i="22"/>
  <c r="U2177" i="22"/>
  <c r="T2177" i="22"/>
  <c r="O2177" i="22"/>
  <c r="N2177" i="22"/>
  <c r="P2177" i="22" s="1"/>
  <c r="K2177" i="22"/>
  <c r="G2177" i="22"/>
  <c r="H2177" i="22" s="1"/>
  <c r="U2176" i="22"/>
  <c r="T2176" i="22"/>
  <c r="O2176" i="22"/>
  <c r="N2176" i="22"/>
  <c r="P2176" i="22" s="1"/>
  <c r="K2176" i="22"/>
  <c r="H2176" i="22"/>
  <c r="G2176" i="22"/>
  <c r="U2175" i="22"/>
  <c r="T2175" i="22"/>
  <c r="O2175" i="22"/>
  <c r="N2175" i="22"/>
  <c r="P2175" i="22" s="1"/>
  <c r="K2175" i="22"/>
  <c r="G2175" i="22"/>
  <c r="H2175" i="22" s="1"/>
  <c r="R2174" i="22"/>
  <c r="O2174" i="22"/>
  <c r="N2174" i="22"/>
  <c r="P2174" i="22" s="1"/>
  <c r="I2174" i="22"/>
  <c r="U2173" i="22"/>
  <c r="T2173" i="22"/>
  <c r="O2173" i="22"/>
  <c r="N2173" i="22"/>
  <c r="P2173" i="22" s="1"/>
  <c r="K2173" i="22"/>
  <c r="G2173" i="22"/>
  <c r="H2173" i="22" s="1"/>
  <c r="U2172" i="22"/>
  <c r="T2172" i="22"/>
  <c r="O2172" i="22"/>
  <c r="N2172" i="22"/>
  <c r="P2172" i="22" s="1"/>
  <c r="K2172" i="22"/>
  <c r="G2172" i="22"/>
  <c r="H2172" i="22" s="1"/>
  <c r="U2171" i="22"/>
  <c r="T2171" i="22"/>
  <c r="O2171" i="22"/>
  <c r="N2171" i="22"/>
  <c r="P2171" i="22" s="1"/>
  <c r="K2171" i="22"/>
  <c r="G2171" i="22"/>
  <c r="H2171" i="22" s="1"/>
  <c r="U2170" i="22"/>
  <c r="T2170" i="22"/>
  <c r="O2170" i="22"/>
  <c r="N2170" i="22"/>
  <c r="P2170" i="22" s="1"/>
  <c r="K2170" i="22"/>
  <c r="G2170" i="22"/>
  <c r="H2170" i="22" s="1"/>
  <c r="U2169" i="22"/>
  <c r="T2169" i="22"/>
  <c r="O2169" i="22"/>
  <c r="N2169" i="22"/>
  <c r="P2169" i="22" s="1"/>
  <c r="K2169" i="22"/>
  <c r="G2169" i="22"/>
  <c r="H2169" i="22" s="1"/>
  <c r="R2168" i="22"/>
  <c r="O2168" i="22"/>
  <c r="N2168" i="22"/>
  <c r="I2168" i="22"/>
  <c r="U2167" i="22"/>
  <c r="T2167" i="22"/>
  <c r="O2167" i="22"/>
  <c r="N2167" i="22"/>
  <c r="P2167" i="22" s="1"/>
  <c r="K2167" i="22"/>
  <c r="H2167" i="22"/>
  <c r="U2166" i="22"/>
  <c r="T2166" i="22"/>
  <c r="O2166" i="22"/>
  <c r="N2166" i="22"/>
  <c r="P2166" i="22" s="1"/>
  <c r="K2166" i="22"/>
  <c r="H2166" i="22"/>
  <c r="U2165" i="22"/>
  <c r="T2165" i="22"/>
  <c r="O2165" i="22"/>
  <c r="N2165" i="22"/>
  <c r="P2165" i="22" s="1"/>
  <c r="K2165" i="22"/>
  <c r="H2165" i="22"/>
  <c r="U2164" i="22"/>
  <c r="T2164" i="22"/>
  <c r="O2164" i="22"/>
  <c r="N2164" i="22"/>
  <c r="P2164" i="22" s="1"/>
  <c r="K2164" i="22"/>
  <c r="H2164" i="22"/>
  <c r="R2163" i="22"/>
  <c r="O2163" i="22"/>
  <c r="N2163" i="22"/>
  <c r="U2162" i="22"/>
  <c r="T2162" i="22"/>
  <c r="O2162" i="22"/>
  <c r="N2162" i="22"/>
  <c r="P2162" i="22" s="1"/>
  <c r="K2162" i="22"/>
  <c r="H2162" i="22"/>
  <c r="U2161" i="22"/>
  <c r="T2161" i="22"/>
  <c r="O2161" i="22"/>
  <c r="N2161" i="22"/>
  <c r="P2161" i="22" s="1"/>
  <c r="K2161" i="22"/>
  <c r="H2161" i="22"/>
  <c r="U2160" i="22"/>
  <c r="T2160" i="22"/>
  <c r="O2160" i="22"/>
  <c r="N2160" i="22"/>
  <c r="P2160" i="22" s="1"/>
  <c r="K2160" i="22"/>
  <c r="H2160" i="22"/>
  <c r="U2159" i="22"/>
  <c r="T2159" i="22"/>
  <c r="O2159" i="22"/>
  <c r="N2159" i="22"/>
  <c r="P2159" i="22" s="1"/>
  <c r="K2159" i="22"/>
  <c r="H2159" i="22"/>
  <c r="R2158" i="22"/>
  <c r="O2158" i="22"/>
  <c r="N2158" i="22"/>
  <c r="P2158" i="22" s="1"/>
  <c r="H2158" i="22"/>
  <c r="J2158" i="22" s="1"/>
  <c r="U2157" i="22"/>
  <c r="T2157" i="22"/>
  <c r="O2157" i="22"/>
  <c r="N2157" i="22"/>
  <c r="P2157" i="22" s="1"/>
  <c r="K2157" i="22"/>
  <c r="H2157" i="22"/>
  <c r="U2156" i="22"/>
  <c r="T2156" i="22"/>
  <c r="O2156" i="22"/>
  <c r="N2156" i="22"/>
  <c r="P2156" i="22" s="1"/>
  <c r="K2156" i="22"/>
  <c r="H2156" i="22"/>
  <c r="U2155" i="22"/>
  <c r="T2155" i="22"/>
  <c r="O2155" i="22"/>
  <c r="N2155" i="22"/>
  <c r="P2155" i="22" s="1"/>
  <c r="K2155" i="22"/>
  <c r="H2155" i="22"/>
  <c r="U2154" i="22"/>
  <c r="T2154" i="22"/>
  <c r="O2154" i="22"/>
  <c r="N2154" i="22"/>
  <c r="P2154" i="22" s="1"/>
  <c r="K2154" i="22"/>
  <c r="H2154" i="22"/>
  <c r="H2153" i="22" s="1"/>
  <c r="J2153" i="22" s="1"/>
  <c r="R2153" i="22"/>
  <c r="O2153" i="22"/>
  <c r="N2153" i="22"/>
  <c r="U2152" i="22"/>
  <c r="T2152" i="22"/>
  <c r="O2152" i="22"/>
  <c r="N2152" i="22"/>
  <c r="P2152" i="22" s="1"/>
  <c r="K2152" i="22"/>
  <c r="H2152" i="22"/>
  <c r="U2151" i="22"/>
  <c r="T2151" i="22"/>
  <c r="O2151" i="22"/>
  <c r="N2151" i="22"/>
  <c r="P2151" i="22" s="1"/>
  <c r="K2151" i="22"/>
  <c r="H2151" i="22"/>
  <c r="H2148" i="22" s="1"/>
  <c r="U2150" i="22"/>
  <c r="T2150" i="22"/>
  <c r="O2150" i="22"/>
  <c r="N2150" i="22"/>
  <c r="P2150" i="22" s="1"/>
  <c r="K2150" i="22"/>
  <c r="H2150" i="22"/>
  <c r="U2149" i="22"/>
  <c r="T2149" i="22"/>
  <c r="O2149" i="22"/>
  <c r="N2149" i="22"/>
  <c r="P2149" i="22" s="1"/>
  <c r="K2149" i="22"/>
  <c r="H2149" i="22"/>
  <c r="R2148" i="22"/>
  <c r="O2148" i="22"/>
  <c r="N2148" i="22"/>
  <c r="S2148" i="22" s="1"/>
  <c r="J2148" i="22"/>
  <c r="U2147" i="22"/>
  <c r="T2147" i="22"/>
  <c r="O2147" i="22"/>
  <c r="N2147" i="22"/>
  <c r="P2147" i="22" s="1"/>
  <c r="K2147" i="22"/>
  <c r="H2147" i="22"/>
  <c r="U2146" i="22"/>
  <c r="T2146" i="22"/>
  <c r="O2146" i="22"/>
  <c r="N2146" i="22"/>
  <c r="P2146" i="22" s="1"/>
  <c r="K2146" i="22"/>
  <c r="H2146" i="22"/>
  <c r="U2145" i="22"/>
  <c r="T2145" i="22"/>
  <c r="O2145" i="22"/>
  <c r="N2145" i="22"/>
  <c r="P2145" i="22" s="1"/>
  <c r="K2145" i="22"/>
  <c r="H2145" i="22"/>
  <c r="U2144" i="22"/>
  <c r="T2144" i="22"/>
  <c r="O2144" i="22"/>
  <c r="N2144" i="22"/>
  <c r="P2144" i="22" s="1"/>
  <c r="K2144" i="22"/>
  <c r="H2144" i="22"/>
  <c r="R2143" i="22"/>
  <c r="O2143" i="22"/>
  <c r="N2143" i="22"/>
  <c r="P2143" i="22" s="1"/>
  <c r="U2142" i="22"/>
  <c r="T2142" i="22"/>
  <c r="O2142" i="22"/>
  <c r="N2142" i="22"/>
  <c r="P2142" i="22" s="1"/>
  <c r="K2142" i="22"/>
  <c r="H2142" i="22"/>
  <c r="U2141" i="22"/>
  <c r="T2141" i="22"/>
  <c r="O2141" i="22"/>
  <c r="N2141" i="22"/>
  <c r="P2141" i="22" s="1"/>
  <c r="K2141" i="22"/>
  <c r="H2141" i="22"/>
  <c r="H2138" i="22" s="1"/>
  <c r="J2138" i="22" s="1"/>
  <c r="U2140" i="22"/>
  <c r="T2140" i="22"/>
  <c r="O2140" i="22"/>
  <c r="N2140" i="22"/>
  <c r="P2140" i="22" s="1"/>
  <c r="K2140" i="22"/>
  <c r="H2140" i="22"/>
  <c r="U2139" i="22"/>
  <c r="T2139" i="22"/>
  <c r="O2139" i="22"/>
  <c r="N2139" i="22"/>
  <c r="P2139" i="22" s="1"/>
  <c r="K2139" i="22"/>
  <c r="H2139" i="22"/>
  <c r="R2138" i="22"/>
  <c r="O2138" i="22"/>
  <c r="N2138" i="22"/>
  <c r="U2137" i="22"/>
  <c r="T2137" i="22"/>
  <c r="O2137" i="22"/>
  <c r="N2137" i="22"/>
  <c r="P2137" i="22" s="1"/>
  <c r="K2137" i="22"/>
  <c r="H2137" i="22"/>
  <c r="U2136" i="22"/>
  <c r="T2136" i="22"/>
  <c r="O2136" i="22"/>
  <c r="N2136" i="22"/>
  <c r="P2136" i="22" s="1"/>
  <c r="K2136" i="22"/>
  <c r="H2136" i="22"/>
  <c r="U2135" i="22"/>
  <c r="T2135" i="22"/>
  <c r="O2135" i="22"/>
  <c r="N2135" i="22"/>
  <c r="P2135" i="22" s="1"/>
  <c r="K2135" i="22"/>
  <c r="H2135" i="22"/>
  <c r="U2134" i="22"/>
  <c r="T2134" i="22"/>
  <c r="O2134" i="22"/>
  <c r="N2134" i="22"/>
  <c r="P2134" i="22" s="1"/>
  <c r="K2134" i="22"/>
  <c r="H2134" i="22"/>
  <c r="R2133" i="22"/>
  <c r="O2133" i="22"/>
  <c r="N2133" i="22"/>
  <c r="U2132" i="22"/>
  <c r="T2132" i="22"/>
  <c r="O2132" i="22"/>
  <c r="N2132" i="22"/>
  <c r="P2132" i="22" s="1"/>
  <c r="K2132" i="22"/>
  <c r="H2132" i="22"/>
  <c r="U2131" i="22"/>
  <c r="T2131" i="22"/>
  <c r="O2131" i="22"/>
  <c r="N2131" i="22"/>
  <c r="P2131" i="22" s="1"/>
  <c r="K2131" i="22"/>
  <c r="H2131" i="22"/>
  <c r="U2130" i="22"/>
  <c r="T2130" i="22"/>
  <c r="O2130" i="22"/>
  <c r="N2130" i="22"/>
  <c r="P2130" i="22" s="1"/>
  <c r="K2130" i="22"/>
  <c r="H2130" i="22"/>
  <c r="U2129" i="22"/>
  <c r="T2129" i="22"/>
  <c r="O2129" i="22"/>
  <c r="N2129" i="22"/>
  <c r="P2129" i="22" s="1"/>
  <c r="K2129" i="22"/>
  <c r="H2129" i="22"/>
  <c r="R2128" i="22"/>
  <c r="O2128" i="22"/>
  <c r="N2128" i="22"/>
  <c r="U2127" i="22"/>
  <c r="T2127" i="22"/>
  <c r="O2127" i="22"/>
  <c r="N2127" i="22"/>
  <c r="P2127" i="22" s="1"/>
  <c r="K2127" i="22"/>
  <c r="H2127" i="22"/>
  <c r="U2126" i="22"/>
  <c r="T2126" i="22"/>
  <c r="O2126" i="22"/>
  <c r="N2126" i="22"/>
  <c r="P2126" i="22" s="1"/>
  <c r="K2126" i="22"/>
  <c r="H2126" i="22"/>
  <c r="U2125" i="22"/>
  <c r="T2125" i="22"/>
  <c r="O2125" i="22"/>
  <c r="N2125" i="22"/>
  <c r="P2125" i="22" s="1"/>
  <c r="K2125" i="22"/>
  <c r="H2125" i="22"/>
  <c r="U2124" i="22"/>
  <c r="T2124" i="22"/>
  <c r="O2124" i="22"/>
  <c r="N2124" i="22"/>
  <c r="P2124" i="22" s="1"/>
  <c r="K2124" i="22"/>
  <c r="H2124" i="22"/>
  <c r="R2123" i="22"/>
  <c r="O2123" i="22"/>
  <c r="N2123" i="22"/>
  <c r="P2123" i="22" s="1"/>
  <c r="U2122" i="22"/>
  <c r="T2122" i="22"/>
  <c r="O2122" i="22"/>
  <c r="N2122" i="22"/>
  <c r="P2122" i="22" s="1"/>
  <c r="K2122" i="22"/>
  <c r="H2122" i="22"/>
  <c r="U2121" i="22"/>
  <c r="T2121" i="22"/>
  <c r="O2121" i="22"/>
  <c r="N2121" i="22"/>
  <c r="P2121" i="22" s="1"/>
  <c r="K2121" i="22"/>
  <c r="H2121" i="22"/>
  <c r="U2120" i="22"/>
  <c r="T2120" i="22"/>
  <c r="O2120" i="22"/>
  <c r="N2120" i="22"/>
  <c r="P2120" i="22" s="1"/>
  <c r="K2120" i="22"/>
  <c r="H2120" i="22"/>
  <c r="U2119" i="22"/>
  <c r="T2119" i="22"/>
  <c r="O2119" i="22"/>
  <c r="N2119" i="22"/>
  <c r="P2119" i="22" s="1"/>
  <c r="K2119" i="22"/>
  <c r="H2119" i="22"/>
  <c r="R2118" i="22"/>
  <c r="O2118" i="22"/>
  <c r="N2118" i="22"/>
  <c r="P2118" i="22" s="1"/>
  <c r="U2117" i="22"/>
  <c r="T2117" i="22"/>
  <c r="O2117" i="22"/>
  <c r="N2117" i="22"/>
  <c r="P2117" i="22" s="1"/>
  <c r="K2117" i="22"/>
  <c r="H2117" i="22"/>
  <c r="U2116" i="22"/>
  <c r="T2116" i="22"/>
  <c r="O2116" i="22"/>
  <c r="N2116" i="22"/>
  <c r="P2116" i="22" s="1"/>
  <c r="K2116" i="22"/>
  <c r="H2116" i="22"/>
  <c r="U2115" i="22"/>
  <c r="T2115" i="22"/>
  <c r="O2115" i="22"/>
  <c r="N2115" i="22"/>
  <c r="P2115" i="22" s="1"/>
  <c r="K2115" i="22"/>
  <c r="H2115" i="22"/>
  <c r="U2114" i="22"/>
  <c r="T2114" i="22"/>
  <c r="O2114" i="22"/>
  <c r="N2114" i="22"/>
  <c r="P2114" i="22" s="1"/>
  <c r="K2114" i="22"/>
  <c r="H2114" i="22"/>
  <c r="R2113" i="22"/>
  <c r="O2113" i="22"/>
  <c r="N2113" i="22"/>
  <c r="U2112" i="22"/>
  <c r="T2112" i="22"/>
  <c r="O2112" i="22"/>
  <c r="N2112" i="22"/>
  <c r="P2112" i="22" s="1"/>
  <c r="K2112" i="22"/>
  <c r="H2112" i="22"/>
  <c r="U2111" i="22"/>
  <c r="T2111" i="22"/>
  <c r="O2111" i="22"/>
  <c r="N2111" i="22"/>
  <c r="P2111" i="22" s="1"/>
  <c r="K2111" i="22"/>
  <c r="H2111" i="22"/>
  <c r="U2110" i="22"/>
  <c r="T2110" i="22"/>
  <c r="O2110" i="22"/>
  <c r="N2110" i="22"/>
  <c r="P2110" i="22" s="1"/>
  <c r="K2110" i="22"/>
  <c r="H2110" i="22"/>
  <c r="R2109" i="22"/>
  <c r="O2109" i="22"/>
  <c r="N2109" i="22"/>
  <c r="S2109" i="22" s="1"/>
  <c r="J2109" i="22"/>
  <c r="H2109" i="22"/>
  <c r="U2108" i="22"/>
  <c r="T2108" i="22"/>
  <c r="O2108" i="22"/>
  <c r="N2108" i="22"/>
  <c r="P2108" i="22" s="1"/>
  <c r="K2108" i="22"/>
  <c r="H2108" i="22"/>
  <c r="U2107" i="22"/>
  <c r="T2107" i="22"/>
  <c r="O2107" i="22"/>
  <c r="N2107" i="22"/>
  <c r="P2107" i="22" s="1"/>
  <c r="K2107" i="22"/>
  <c r="H2107" i="22"/>
  <c r="U2106" i="22"/>
  <c r="T2106" i="22"/>
  <c r="O2106" i="22"/>
  <c r="N2106" i="22"/>
  <c r="P2106" i="22" s="1"/>
  <c r="K2106" i="22"/>
  <c r="H2106" i="22"/>
  <c r="R2105" i="22"/>
  <c r="O2105" i="22"/>
  <c r="N2105" i="22"/>
  <c r="S2105" i="22" s="1"/>
  <c r="U2104" i="22"/>
  <c r="T2104" i="22"/>
  <c r="O2104" i="22"/>
  <c r="N2104" i="22"/>
  <c r="P2104" i="22" s="1"/>
  <c r="K2104" i="22"/>
  <c r="J2104" i="22"/>
  <c r="H2104" i="22"/>
  <c r="U2103" i="22"/>
  <c r="T2103" i="22"/>
  <c r="O2103" i="22"/>
  <c r="N2103" i="22"/>
  <c r="P2103" i="22" s="1"/>
  <c r="K2103" i="22"/>
  <c r="J2103" i="22"/>
  <c r="H2103" i="22"/>
  <c r="U2102" i="22"/>
  <c r="T2102" i="22"/>
  <c r="O2102" i="22"/>
  <c r="N2102" i="22"/>
  <c r="P2102" i="22" s="1"/>
  <c r="K2102" i="22"/>
  <c r="J2102" i="22"/>
  <c r="H2102" i="22"/>
  <c r="R2101" i="22"/>
  <c r="O2101" i="22"/>
  <c r="N2101" i="22"/>
  <c r="P2101" i="22" s="1"/>
  <c r="H2101" i="22"/>
  <c r="J2101" i="22" s="1"/>
  <c r="U2100" i="22"/>
  <c r="T2100" i="22"/>
  <c r="O2100" i="22"/>
  <c r="N2100" i="22"/>
  <c r="P2100" i="22" s="1"/>
  <c r="K2100" i="22"/>
  <c r="H2100" i="22"/>
  <c r="U2099" i="22"/>
  <c r="T2099" i="22"/>
  <c r="O2099" i="22"/>
  <c r="N2099" i="22"/>
  <c r="P2099" i="22" s="1"/>
  <c r="K2099" i="22"/>
  <c r="H2099" i="22"/>
  <c r="U2098" i="22"/>
  <c r="T2098" i="22"/>
  <c r="O2098" i="22"/>
  <c r="N2098" i="22"/>
  <c r="P2098" i="22" s="1"/>
  <c r="K2098" i="22"/>
  <c r="H2098" i="22"/>
  <c r="H2097" i="22" s="1"/>
  <c r="J2097" i="22" s="1"/>
  <c r="R2097" i="22"/>
  <c r="O2097" i="22"/>
  <c r="N2097" i="22"/>
  <c r="U2096" i="22"/>
  <c r="T2096" i="22"/>
  <c r="O2096" i="22"/>
  <c r="N2096" i="22"/>
  <c r="P2096" i="22" s="1"/>
  <c r="K2096" i="22"/>
  <c r="H2096" i="22"/>
  <c r="U2095" i="22"/>
  <c r="T2095" i="22"/>
  <c r="O2095" i="22"/>
  <c r="N2095" i="22"/>
  <c r="P2095" i="22" s="1"/>
  <c r="K2095" i="22"/>
  <c r="H2095" i="22"/>
  <c r="U2094" i="22"/>
  <c r="T2094" i="22"/>
  <c r="O2094" i="22"/>
  <c r="N2094" i="22"/>
  <c r="P2094" i="22" s="1"/>
  <c r="K2094" i="22"/>
  <c r="H2094" i="22"/>
  <c r="H2093" i="22" s="1"/>
  <c r="J2093" i="22" s="1"/>
  <c r="R2093" i="22"/>
  <c r="O2093" i="22"/>
  <c r="N2093" i="22"/>
  <c r="S2093" i="22" s="1"/>
  <c r="U2092" i="22"/>
  <c r="T2092" i="22"/>
  <c r="O2092" i="22"/>
  <c r="N2092" i="22"/>
  <c r="P2092" i="22" s="1"/>
  <c r="K2092" i="22"/>
  <c r="H2092" i="22"/>
  <c r="H2089" i="22" s="1"/>
  <c r="J2089" i="22" s="1"/>
  <c r="U2091" i="22"/>
  <c r="T2091" i="22"/>
  <c r="O2091" i="22"/>
  <c r="N2091" i="22"/>
  <c r="P2091" i="22" s="1"/>
  <c r="K2091" i="22"/>
  <c r="H2091" i="22"/>
  <c r="U2090" i="22"/>
  <c r="T2090" i="22"/>
  <c r="O2090" i="22"/>
  <c r="N2090" i="22"/>
  <c r="P2090" i="22" s="1"/>
  <c r="K2090" i="22"/>
  <c r="H2090" i="22"/>
  <c r="R2089" i="22"/>
  <c r="O2089" i="22"/>
  <c r="N2089" i="22"/>
  <c r="P2089" i="22" s="1"/>
  <c r="U2088" i="22"/>
  <c r="T2088" i="22"/>
  <c r="O2088" i="22"/>
  <c r="N2088" i="22"/>
  <c r="P2088" i="22" s="1"/>
  <c r="K2088" i="22"/>
  <c r="H2088" i="22"/>
  <c r="U2087" i="22"/>
  <c r="T2087" i="22"/>
  <c r="O2087" i="22"/>
  <c r="N2087" i="22"/>
  <c r="P2087" i="22" s="1"/>
  <c r="K2087" i="22"/>
  <c r="H2087" i="22"/>
  <c r="U2086" i="22"/>
  <c r="T2086" i="22"/>
  <c r="O2086" i="22"/>
  <c r="N2086" i="22"/>
  <c r="P2086" i="22" s="1"/>
  <c r="K2086" i="22"/>
  <c r="H2086" i="22"/>
  <c r="H2085" i="22" s="1"/>
  <c r="J2085" i="22" s="1"/>
  <c r="R2085" i="22"/>
  <c r="O2085" i="22"/>
  <c r="N2085" i="22"/>
  <c r="U2084" i="22"/>
  <c r="T2084" i="22"/>
  <c r="O2084" i="22"/>
  <c r="N2084" i="22"/>
  <c r="P2084" i="22" s="1"/>
  <c r="K2084" i="22"/>
  <c r="H2084" i="22"/>
  <c r="U2083" i="22"/>
  <c r="T2083" i="22"/>
  <c r="O2083" i="22"/>
  <c r="N2083" i="22"/>
  <c r="P2083" i="22" s="1"/>
  <c r="K2083" i="22"/>
  <c r="H2083" i="22"/>
  <c r="U2082" i="22"/>
  <c r="T2082" i="22"/>
  <c r="O2082" i="22"/>
  <c r="N2082" i="22"/>
  <c r="P2082" i="22" s="1"/>
  <c r="K2082" i="22"/>
  <c r="H2082" i="22"/>
  <c r="H2081" i="22" s="1"/>
  <c r="J2081" i="22" s="1"/>
  <c r="R2081" i="22"/>
  <c r="O2081" i="22"/>
  <c r="N2081" i="22"/>
  <c r="P2081" i="22" s="1"/>
  <c r="U2080" i="22"/>
  <c r="T2080" i="22"/>
  <c r="O2080" i="22"/>
  <c r="N2080" i="22"/>
  <c r="P2080" i="22" s="1"/>
  <c r="K2080" i="22"/>
  <c r="H2080" i="22"/>
  <c r="H2077" i="22" s="1"/>
  <c r="U2079" i="22"/>
  <c r="T2079" i="22"/>
  <c r="O2079" i="22"/>
  <c r="N2079" i="22"/>
  <c r="P2079" i="22" s="1"/>
  <c r="K2079" i="22"/>
  <c r="H2079" i="22"/>
  <c r="U2078" i="22"/>
  <c r="T2078" i="22"/>
  <c r="O2078" i="22"/>
  <c r="N2078" i="22"/>
  <c r="P2078" i="22" s="1"/>
  <c r="K2078" i="22"/>
  <c r="H2078" i="22"/>
  <c r="R2077" i="22"/>
  <c r="O2077" i="22"/>
  <c r="N2077" i="22"/>
  <c r="S2077" i="22" s="1"/>
  <c r="U2077" i="22" s="1"/>
  <c r="J2077" i="22"/>
  <c r="U2076" i="22"/>
  <c r="T2076" i="22"/>
  <c r="O2076" i="22"/>
  <c r="N2076" i="22"/>
  <c r="P2076" i="22" s="1"/>
  <c r="K2076" i="22"/>
  <c r="H2076" i="22"/>
  <c r="U2075" i="22"/>
  <c r="T2075" i="22"/>
  <c r="O2075" i="22"/>
  <c r="N2075" i="22"/>
  <c r="P2075" i="22" s="1"/>
  <c r="K2075" i="22"/>
  <c r="H2075" i="22"/>
  <c r="U2074" i="22"/>
  <c r="T2074" i="22"/>
  <c r="O2074" i="22"/>
  <c r="N2074" i="22"/>
  <c r="P2074" i="22" s="1"/>
  <c r="K2074" i="22"/>
  <c r="H2074" i="22"/>
  <c r="R2073" i="22"/>
  <c r="O2073" i="22"/>
  <c r="N2073" i="22"/>
  <c r="P2073" i="22" s="1"/>
  <c r="H2073" i="22"/>
  <c r="J2073" i="22" s="1"/>
  <c r="U2072" i="22"/>
  <c r="T2072" i="22"/>
  <c r="O2072" i="22"/>
  <c r="N2072" i="22"/>
  <c r="P2072" i="22" s="1"/>
  <c r="K2072" i="22"/>
  <c r="H2072" i="22"/>
  <c r="U2071" i="22"/>
  <c r="T2071" i="22"/>
  <c r="O2071" i="22"/>
  <c r="N2071" i="22"/>
  <c r="P2071" i="22" s="1"/>
  <c r="K2071" i="22"/>
  <c r="H2071" i="22"/>
  <c r="U2070" i="22"/>
  <c r="T2070" i="22"/>
  <c r="O2070" i="22"/>
  <c r="N2070" i="22"/>
  <c r="P2070" i="22" s="1"/>
  <c r="K2070" i="22"/>
  <c r="H2070" i="22"/>
  <c r="H2069" i="22" s="1"/>
  <c r="J2069" i="22" s="1"/>
  <c r="R2069" i="22"/>
  <c r="O2069" i="22"/>
  <c r="N2069" i="22"/>
  <c r="S2069" i="22" s="1"/>
  <c r="U2068" i="22"/>
  <c r="T2068" i="22"/>
  <c r="O2068" i="22"/>
  <c r="N2068" i="22"/>
  <c r="P2068" i="22" s="1"/>
  <c r="K2068" i="22"/>
  <c r="H2068" i="22"/>
  <c r="U2067" i="22"/>
  <c r="T2067" i="22"/>
  <c r="O2067" i="22"/>
  <c r="N2067" i="22"/>
  <c r="P2067" i="22" s="1"/>
  <c r="K2067" i="22"/>
  <c r="H2067" i="22"/>
  <c r="H2065" i="22" s="1"/>
  <c r="J2065" i="22" s="1"/>
  <c r="U2066" i="22"/>
  <c r="T2066" i="22"/>
  <c r="O2066" i="22"/>
  <c r="N2066" i="22"/>
  <c r="P2066" i="22" s="1"/>
  <c r="K2066" i="22"/>
  <c r="H2066" i="22"/>
  <c r="R2065" i="22"/>
  <c r="O2065" i="22"/>
  <c r="N2065" i="22"/>
  <c r="U2064" i="22"/>
  <c r="T2064" i="22"/>
  <c r="O2064" i="22"/>
  <c r="N2064" i="22"/>
  <c r="P2064" i="22" s="1"/>
  <c r="K2064" i="22"/>
  <c r="H2064" i="22"/>
  <c r="H2061" i="22" s="1"/>
  <c r="J2061" i="22" s="1"/>
  <c r="U2063" i="22"/>
  <c r="T2063" i="22"/>
  <c r="O2063" i="22"/>
  <c r="N2063" i="22"/>
  <c r="P2063" i="22" s="1"/>
  <c r="K2063" i="22"/>
  <c r="H2063" i="22"/>
  <c r="U2062" i="22"/>
  <c r="T2062" i="22"/>
  <c r="O2062" i="22"/>
  <c r="N2062" i="22"/>
  <c r="P2062" i="22" s="1"/>
  <c r="K2062" i="22"/>
  <c r="H2062" i="22"/>
  <c r="R2061" i="22"/>
  <c r="O2061" i="22"/>
  <c r="N2061" i="22"/>
  <c r="S2061" i="22" s="1"/>
  <c r="U2060" i="22"/>
  <c r="T2060" i="22"/>
  <c r="O2060" i="22"/>
  <c r="N2060" i="22"/>
  <c r="P2060" i="22" s="1"/>
  <c r="K2060" i="22"/>
  <c r="H2060" i="22"/>
  <c r="U2059" i="22"/>
  <c r="T2059" i="22"/>
  <c r="O2059" i="22"/>
  <c r="N2059" i="22"/>
  <c r="P2059" i="22" s="1"/>
  <c r="K2059" i="22"/>
  <c r="H2059" i="22"/>
  <c r="U2058" i="22"/>
  <c r="T2058" i="22"/>
  <c r="O2058" i="22"/>
  <c r="N2058" i="22"/>
  <c r="P2058" i="22" s="1"/>
  <c r="K2058" i="22"/>
  <c r="H2058" i="22"/>
  <c r="R2057" i="22"/>
  <c r="O2057" i="22"/>
  <c r="N2057" i="22"/>
  <c r="U2056" i="22"/>
  <c r="T2056" i="22"/>
  <c r="O2056" i="22"/>
  <c r="N2056" i="22"/>
  <c r="P2056" i="22" s="1"/>
  <c r="K2056" i="22"/>
  <c r="H2056" i="22"/>
  <c r="U2055" i="22"/>
  <c r="T2055" i="22"/>
  <c r="O2055" i="22"/>
  <c r="N2055" i="22"/>
  <c r="P2055" i="22" s="1"/>
  <c r="K2055" i="22"/>
  <c r="H2055" i="22"/>
  <c r="U2054" i="22"/>
  <c r="T2054" i="22"/>
  <c r="O2054" i="22"/>
  <c r="N2054" i="22"/>
  <c r="P2054" i="22" s="1"/>
  <c r="K2054" i="22"/>
  <c r="H2054" i="22"/>
  <c r="R2053" i="22"/>
  <c r="O2053" i="22"/>
  <c r="N2053" i="22"/>
  <c r="P2053" i="22" s="1"/>
  <c r="U2052" i="22"/>
  <c r="T2052" i="22"/>
  <c r="O2052" i="22"/>
  <c r="N2052" i="22"/>
  <c r="P2052" i="22" s="1"/>
  <c r="K2052" i="22"/>
  <c r="H2052" i="22"/>
  <c r="U2051" i="22"/>
  <c r="T2051" i="22"/>
  <c r="O2051" i="22"/>
  <c r="N2051" i="22"/>
  <c r="P2051" i="22" s="1"/>
  <c r="K2051" i="22"/>
  <c r="H2051" i="22"/>
  <c r="H2049" i="22" s="1"/>
  <c r="J2049" i="22" s="1"/>
  <c r="U2050" i="22"/>
  <c r="T2050" i="22"/>
  <c r="O2050" i="22"/>
  <c r="N2050" i="22"/>
  <c r="P2050" i="22" s="1"/>
  <c r="K2050" i="22"/>
  <c r="H2050" i="22"/>
  <c r="R2049" i="22"/>
  <c r="O2049" i="22"/>
  <c r="N2049" i="22"/>
  <c r="P2049" i="22" s="1"/>
  <c r="U2048" i="22"/>
  <c r="T2048" i="22"/>
  <c r="O2048" i="22"/>
  <c r="N2048" i="22"/>
  <c r="P2048" i="22" s="1"/>
  <c r="K2048" i="22"/>
  <c r="H2048" i="22"/>
  <c r="U2047" i="22"/>
  <c r="T2047" i="22"/>
  <c r="O2047" i="22"/>
  <c r="N2047" i="22"/>
  <c r="P2047" i="22" s="1"/>
  <c r="K2047" i="22"/>
  <c r="H2047" i="22"/>
  <c r="U2046" i="22"/>
  <c r="T2046" i="22"/>
  <c r="O2046" i="22"/>
  <c r="N2046" i="22"/>
  <c r="P2046" i="22" s="1"/>
  <c r="K2046" i="22"/>
  <c r="H2046" i="22"/>
  <c r="R2045" i="22"/>
  <c r="O2045" i="22"/>
  <c r="N2045" i="22"/>
  <c r="U2044" i="22"/>
  <c r="T2044" i="22"/>
  <c r="O2044" i="22"/>
  <c r="N2044" i="22"/>
  <c r="P2044" i="22" s="1"/>
  <c r="K2044" i="22"/>
  <c r="H2044" i="22"/>
  <c r="U2043" i="22"/>
  <c r="T2043" i="22"/>
  <c r="O2043" i="22"/>
  <c r="N2043" i="22"/>
  <c r="P2043" i="22" s="1"/>
  <c r="K2043" i="22"/>
  <c r="H2043" i="22"/>
  <c r="U2042" i="22"/>
  <c r="T2042" i="22"/>
  <c r="O2042" i="22"/>
  <c r="N2042" i="22"/>
  <c r="P2042" i="22" s="1"/>
  <c r="K2042" i="22"/>
  <c r="H2042" i="22"/>
  <c r="R2041" i="22"/>
  <c r="O2041" i="22"/>
  <c r="N2041" i="22"/>
  <c r="P2041" i="22" s="1"/>
  <c r="U2040" i="22"/>
  <c r="T2040" i="22"/>
  <c r="O2040" i="22"/>
  <c r="N2040" i="22"/>
  <c r="P2040" i="22" s="1"/>
  <c r="K2040" i="22"/>
  <c r="H2040" i="22"/>
  <c r="U2039" i="22"/>
  <c r="T2039" i="22"/>
  <c r="O2039" i="22"/>
  <c r="N2039" i="22"/>
  <c r="P2039" i="22" s="1"/>
  <c r="K2039" i="22"/>
  <c r="H2039" i="22"/>
  <c r="U2038" i="22"/>
  <c r="T2038" i="22"/>
  <c r="O2038" i="22"/>
  <c r="N2038" i="22"/>
  <c r="P2038" i="22" s="1"/>
  <c r="K2038" i="22"/>
  <c r="H2038" i="22"/>
  <c r="R2037" i="22"/>
  <c r="O2037" i="22"/>
  <c r="N2037" i="22"/>
  <c r="P2037" i="22" s="1"/>
  <c r="U2036" i="22"/>
  <c r="T2036" i="22"/>
  <c r="O2036" i="22"/>
  <c r="N2036" i="22"/>
  <c r="P2036" i="22" s="1"/>
  <c r="K2036" i="22"/>
  <c r="H2036" i="22"/>
  <c r="U2035" i="22"/>
  <c r="T2035" i="22"/>
  <c r="O2035" i="22"/>
  <c r="N2035" i="22"/>
  <c r="P2035" i="22" s="1"/>
  <c r="K2035" i="22"/>
  <c r="H2035" i="22"/>
  <c r="U2034" i="22"/>
  <c r="T2034" i="22"/>
  <c r="O2034" i="22"/>
  <c r="N2034" i="22"/>
  <c r="P2034" i="22" s="1"/>
  <c r="K2034" i="22"/>
  <c r="H2034" i="22"/>
  <c r="R2033" i="22"/>
  <c r="O2033" i="22"/>
  <c r="N2033" i="22"/>
  <c r="P2033" i="22" s="1"/>
  <c r="U2032" i="22"/>
  <c r="T2032" i="22"/>
  <c r="O2032" i="22"/>
  <c r="N2032" i="22"/>
  <c r="P2032" i="22" s="1"/>
  <c r="K2032" i="22"/>
  <c r="H2032" i="22"/>
  <c r="U2031" i="22"/>
  <c r="T2031" i="22"/>
  <c r="O2031" i="22"/>
  <c r="N2031" i="22"/>
  <c r="P2031" i="22" s="1"/>
  <c r="K2031" i="22"/>
  <c r="H2031" i="22"/>
  <c r="U2030" i="22"/>
  <c r="T2030" i="22"/>
  <c r="O2030" i="22"/>
  <c r="N2030" i="22"/>
  <c r="P2030" i="22" s="1"/>
  <c r="K2030" i="22"/>
  <c r="H2030" i="22"/>
  <c r="R2029" i="22"/>
  <c r="O2029" i="22"/>
  <c r="N2029" i="22"/>
  <c r="H2029" i="22"/>
  <c r="J2029" i="22" s="1"/>
  <c r="U2028" i="22"/>
  <c r="T2028" i="22"/>
  <c r="O2028" i="22"/>
  <c r="N2028" i="22"/>
  <c r="P2028" i="22" s="1"/>
  <c r="K2028" i="22"/>
  <c r="H2028" i="22"/>
  <c r="U2027" i="22"/>
  <c r="T2027" i="22"/>
  <c r="O2027" i="22"/>
  <c r="N2027" i="22"/>
  <c r="P2027" i="22" s="1"/>
  <c r="K2027" i="22"/>
  <c r="H2027" i="22"/>
  <c r="U2026" i="22"/>
  <c r="T2026" i="22"/>
  <c r="O2026" i="22"/>
  <c r="N2026" i="22"/>
  <c r="P2026" i="22" s="1"/>
  <c r="K2026" i="22"/>
  <c r="H2026" i="22"/>
  <c r="H2025" i="22" s="1"/>
  <c r="J2025" i="22" s="1"/>
  <c r="R2025" i="22"/>
  <c r="O2025" i="22"/>
  <c r="N2025" i="22"/>
  <c r="U2024" i="22"/>
  <c r="T2024" i="22"/>
  <c r="O2024" i="22"/>
  <c r="N2024" i="22"/>
  <c r="P2024" i="22" s="1"/>
  <c r="K2024" i="22"/>
  <c r="H2024" i="22"/>
  <c r="U2023" i="22"/>
  <c r="T2023" i="22"/>
  <c r="O2023" i="22"/>
  <c r="N2023" i="22"/>
  <c r="P2023" i="22" s="1"/>
  <c r="K2023" i="22"/>
  <c r="H2023" i="22"/>
  <c r="H2021" i="22" s="1"/>
  <c r="J2021" i="22" s="1"/>
  <c r="U2022" i="22"/>
  <c r="T2022" i="22"/>
  <c r="O2022" i="22"/>
  <c r="N2022" i="22"/>
  <c r="P2022" i="22" s="1"/>
  <c r="K2022" i="22"/>
  <c r="H2022" i="22"/>
  <c r="R2021" i="22"/>
  <c r="O2021" i="22"/>
  <c r="N2021" i="22"/>
  <c r="U2020" i="22"/>
  <c r="T2020" i="22"/>
  <c r="O2020" i="22"/>
  <c r="N2020" i="22"/>
  <c r="P2020" i="22" s="1"/>
  <c r="K2020" i="22"/>
  <c r="H2020" i="22"/>
  <c r="U2019" i="22"/>
  <c r="T2019" i="22"/>
  <c r="O2019" i="22"/>
  <c r="N2019" i="22"/>
  <c r="P2019" i="22" s="1"/>
  <c r="K2019" i="22"/>
  <c r="H2019" i="22"/>
  <c r="U2018" i="22"/>
  <c r="T2018" i="22"/>
  <c r="O2018" i="22"/>
  <c r="N2018" i="22"/>
  <c r="P2018" i="22" s="1"/>
  <c r="K2018" i="22"/>
  <c r="H2018" i="22"/>
  <c r="R2017" i="22"/>
  <c r="O2017" i="22"/>
  <c r="N2017" i="22"/>
  <c r="S2017" i="22" s="1"/>
  <c r="U2016" i="22"/>
  <c r="T2016" i="22"/>
  <c r="O2016" i="22"/>
  <c r="N2016" i="22"/>
  <c r="P2016" i="22" s="1"/>
  <c r="K2016" i="22"/>
  <c r="H2016" i="22"/>
  <c r="U2015" i="22"/>
  <c r="T2015" i="22"/>
  <c r="O2015" i="22"/>
  <c r="N2015" i="22"/>
  <c r="P2015" i="22" s="1"/>
  <c r="K2015" i="22"/>
  <c r="H2015" i="22"/>
  <c r="U2014" i="22"/>
  <c r="T2014" i="22"/>
  <c r="O2014" i="22"/>
  <c r="N2014" i="22"/>
  <c r="P2014" i="22" s="1"/>
  <c r="K2014" i="22"/>
  <c r="H2014" i="22"/>
  <c r="R2013" i="22"/>
  <c r="O2013" i="22"/>
  <c r="N2013" i="22"/>
  <c r="U2012" i="22"/>
  <c r="T2012" i="22"/>
  <c r="O2012" i="22"/>
  <c r="N2012" i="22"/>
  <c r="P2012" i="22" s="1"/>
  <c r="K2012" i="22"/>
  <c r="H2012" i="22"/>
  <c r="U2011" i="22"/>
  <c r="T2011" i="22"/>
  <c r="O2011" i="22"/>
  <c r="N2011" i="22"/>
  <c r="P2011" i="22" s="1"/>
  <c r="K2011" i="22"/>
  <c r="H2011" i="22"/>
  <c r="U2010" i="22"/>
  <c r="T2010" i="22"/>
  <c r="O2010" i="22"/>
  <c r="N2010" i="22"/>
  <c r="P2010" i="22" s="1"/>
  <c r="K2010" i="22"/>
  <c r="H2010" i="22"/>
  <c r="R2009" i="22"/>
  <c r="O2009" i="22"/>
  <c r="N2009" i="22"/>
  <c r="S2009" i="22" s="1"/>
  <c r="U2008" i="22"/>
  <c r="T2008" i="22"/>
  <c r="O2008" i="22"/>
  <c r="N2008" i="22"/>
  <c r="P2008" i="22" s="1"/>
  <c r="K2008" i="22"/>
  <c r="H2008" i="22"/>
  <c r="U2007" i="22"/>
  <c r="T2007" i="22"/>
  <c r="O2007" i="22"/>
  <c r="N2007" i="22"/>
  <c r="P2007" i="22" s="1"/>
  <c r="K2007" i="22"/>
  <c r="H2007" i="22"/>
  <c r="U2006" i="22"/>
  <c r="T2006" i="22"/>
  <c r="O2006" i="22"/>
  <c r="N2006" i="22"/>
  <c r="P2006" i="22" s="1"/>
  <c r="K2006" i="22"/>
  <c r="H2006" i="22"/>
  <c r="R2005" i="22"/>
  <c r="O2005" i="22"/>
  <c r="N2005" i="22"/>
  <c r="P2005" i="22" s="1"/>
  <c r="H2005" i="22"/>
  <c r="J2005" i="22" s="1"/>
  <c r="U2004" i="22"/>
  <c r="T2004" i="22"/>
  <c r="O2004" i="22"/>
  <c r="N2004" i="22"/>
  <c r="P2004" i="22" s="1"/>
  <c r="K2004" i="22"/>
  <c r="H2004" i="22"/>
  <c r="U2003" i="22"/>
  <c r="T2003" i="22"/>
  <c r="O2003" i="22"/>
  <c r="N2003" i="22"/>
  <c r="P2003" i="22" s="1"/>
  <c r="K2003" i="22"/>
  <c r="H2003" i="22"/>
  <c r="U2002" i="22"/>
  <c r="T2002" i="22"/>
  <c r="O2002" i="22"/>
  <c r="N2002" i="22"/>
  <c r="P2002" i="22" s="1"/>
  <c r="K2002" i="22"/>
  <c r="H2002" i="22"/>
  <c r="R2001" i="22"/>
  <c r="O2001" i="22"/>
  <c r="N2001" i="22"/>
  <c r="S2001" i="22" s="1"/>
  <c r="U2000" i="22"/>
  <c r="T2000" i="22"/>
  <c r="O2000" i="22"/>
  <c r="N2000" i="22"/>
  <c r="P2000" i="22" s="1"/>
  <c r="K2000" i="22"/>
  <c r="H2000" i="22"/>
  <c r="U1999" i="22"/>
  <c r="T1999" i="22"/>
  <c r="O1999" i="22"/>
  <c r="N1999" i="22"/>
  <c r="P1999" i="22" s="1"/>
  <c r="K1999" i="22"/>
  <c r="H1999" i="22"/>
  <c r="U1998" i="22"/>
  <c r="T1998" i="22"/>
  <c r="O1998" i="22"/>
  <c r="N1998" i="22"/>
  <c r="P1998" i="22" s="1"/>
  <c r="K1998" i="22"/>
  <c r="H1998" i="22"/>
  <c r="H1997" i="22" s="1"/>
  <c r="J1997" i="22" s="1"/>
  <c r="R1997" i="22"/>
  <c r="O1997" i="22"/>
  <c r="N1997" i="22"/>
  <c r="P1997" i="22" s="1"/>
  <c r="U1996" i="22"/>
  <c r="T1996" i="22"/>
  <c r="O1996" i="22"/>
  <c r="N1996" i="22"/>
  <c r="P1996" i="22" s="1"/>
  <c r="K1996" i="22"/>
  <c r="H1996" i="22"/>
  <c r="U1995" i="22"/>
  <c r="T1995" i="22"/>
  <c r="O1995" i="22"/>
  <c r="N1995" i="22"/>
  <c r="P1995" i="22" s="1"/>
  <c r="K1995" i="22"/>
  <c r="H1995" i="22"/>
  <c r="U1994" i="22"/>
  <c r="T1994" i="22"/>
  <c r="O1994" i="22"/>
  <c r="N1994" i="22"/>
  <c r="P1994" i="22" s="1"/>
  <c r="K1994" i="22"/>
  <c r="H1994" i="22"/>
  <c r="R1993" i="22"/>
  <c r="O1993" i="22"/>
  <c r="N1993" i="22"/>
  <c r="U1992" i="22"/>
  <c r="T1992" i="22"/>
  <c r="O1992" i="22"/>
  <c r="N1992" i="22"/>
  <c r="P1992" i="22" s="1"/>
  <c r="H1992" i="22"/>
  <c r="U1991" i="22"/>
  <c r="T1991" i="22"/>
  <c r="O1991" i="22"/>
  <c r="N1991" i="22"/>
  <c r="P1991" i="22" s="1"/>
  <c r="H1991" i="22"/>
  <c r="U1990" i="22"/>
  <c r="T1990" i="22"/>
  <c r="O1990" i="22"/>
  <c r="N1990" i="22"/>
  <c r="P1990" i="22" s="1"/>
  <c r="H1990" i="22"/>
  <c r="R1989" i="22"/>
  <c r="O1989" i="22"/>
  <c r="N1989" i="22"/>
  <c r="P1989" i="22" s="1"/>
  <c r="U1988" i="22"/>
  <c r="T1988" i="22"/>
  <c r="O1988" i="22"/>
  <c r="N1988" i="22"/>
  <c r="P1988" i="22" s="1"/>
  <c r="H1988" i="22"/>
  <c r="U1987" i="22"/>
  <c r="T1987" i="22"/>
  <c r="O1987" i="22"/>
  <c r="N1987" i="22"/>
  <c r="P1987" i="22" s="1"/>
  <c r="H1987" i="22"/>
  <c r="U1986" i="22"/>
  <c r="T1986" i="22"/>
  <c r="O1986" i="22"/>
  <c r="N1986" i="22"/>
  <c r="P1986" i="22" s="1"/>
  <c r="H1986" i="22"/>
  <c r="H1985" i="22" s="1"/>
  <c r="J1985" i="22" s="1"/>
  <c r="R1985" i="22"/>
  <c r="O1985" i="22"/>
  <c r="N1985" i="22"/>
  <c r="S1985" i="22" s="1"/>
  <c r="U1985" i="22" s="1"/>
  <c r="U1984" i="22"/>
  <c r="T1984" i="22"/>
  <c r="O1984" i="22"/>
  <c r="N1984" i="22"/>
  <c r="P1984" i="22" s="1"/>
  <c r="H1984" i="22"/>
  <c r="U1983" i="22"/>
  <c r="T1983" i="22"/>
  <c r="O1983" i="22"/>
  <c r="N1983" i="22"/>
  <c r="P1983" i="22" s="1"/>
  <c r="H1983" i="22"/>
  <c r="U1982" i="22"/>
  <c r="T1982" i="22"/>
  <c r="O1982" i="22"/>
  <c r="N1982" i="22"/>
  <c r="P1982" i="22" s="1"/>
  <c r="H1982" i="22"/>
  <c r="R1981" i="22"/>
  <c r="O1981" i="22"/>
  <c r="N1981" i="22"/>
  <c r="U1980" i="22"/>
  <c r="T1980" i="22"/>
  <c r="O1980" i="22"/>
  <c r="N1980" i="22"/>
  <c r="P1980" i="22" s="1"/>
  <c r="H1980" i="22"/>
  <c r="U1979" i="22"/>
  <c r="T1979" i="22"/>
  <c r="O1979" i="22"/>
  <c r="N1979" i="22"/>
  <c r="P1979" i="22" s="1"/>
  <c r="H1979" i="22"/>
  <c r="H1977" i="22" s="1"/>
  <c r="J1977" i="22" s="1"/>
  <c r="U1978" i="22"/>
  <c r="T1978" i="22"/>
  <c r="O1978" i="22"/>
  <c r="N1978" i="22"/>
  <c r="P1978" i="22" s="1"/>
  <c r="H1978" i="22"/>
  <c r="R1977" i="22"/>
  <c r="O1977" i="22"/>
  <c r="N1977" i="22"/>
  <c r="U1976" i="22"/>
  <c r="T1976" i="22"/>
  <c r="O1976" i="22"/>
  <c r="N1976" i="22"/>
  <c r="P1976" i="22" s="1"/>
  <c r="H1976" i="22"/>
  <c r="U1975" i="22"/>
  <c r="T1975" i="22"/>
  <c r="O1975" i="22"/>
  <c r="N1975" i="22"/>
  <c r="P1975" i="22" s="1"/>
  <c r="H1975" i="22"/>
  <c r="U1974" i="22"/>
  <c r="T1974" i="22"/>
  <c r="O1974" i="22"/>
  <c r="N1974" i="22"/>
  <c r="P1974" i="22" s="1"/>
  <c r="H1974" i="22"/>
  <c r="H1973" i="22" s="1"/>
  <c r="J1973" i="22" s="1"/>
  <c r="R1973" i="22"/>
  <c r="O1973" i="22"/>
  <c r="N1973" i="22"/>
  <c r="P1973" i="22" s="1"/>
  <c r="U1972" i="22"/>
  <c r="T1972" i="22"/>
  <c r="O1972" i="22"/>
  <c r="N1972" i="22"/>
  <c r="P1972" i="22" s="1"/>
  <c r="H1972" i="22"/>
  <c r="U1971" i="22"/>
  <c r="T1971" i="22"/>
  <c r="O1971" i="22"/>
  <c r="N1971" i="22"/>
  <c r="P1971" i="22" s="1"/>
  <c r="H1971" i="22"/>
  <c r="U1970" i="22"/>
  <c r="T1970" i="22"/>
  <c r="O1970" i="22"/>
  <c r="N1970" i="22"/>
  <c r="P1970" i="22" s="1"/>
  <c r="H1970" i="22"/>
  <c r="R1969" i="22"/>
  <c r="O1969" i="22"/>
  <c r="N1969" i="22"/>
  <c r="S1969" i="22" s="1"/>
  <c r="H1969" i="22"/>
  <c r="J1969" i="22" s="1"/>
  <c r="U1968" i="22"/>
  <c r="T1968" i="22"/>
  <c r="O1968" i="22"/>
  <c r="N1968" i="22"/>
  <c r="P1968" i="22" s="1"/>
  <c r="H1968" i="22"/>
  <c r="U1967" i="22"/>
  <c r="T1967" i="22"/>
  <c r="O1967" i="22"/>
  <c r="N1967" i="22"/>
  <c r="P1967" i="22" s="1"/>
  <c r="H1967" i="22"/>
  <c r="H1965" i="22" s="1"/>
  <c r="J1965" i="22" s="1"/>
  <c r="U1966" i="22"/>
  <c r="T1966" i="22"/>
  <c r="O1966" i="22"/>
  <c r="N1966" i="22"/>
  <c r="P1966" i="22" s="1"/>
  <c r="H1966" i="22"/>
  <c r="R1965" i="22"/>
  <c r="O1965" i="22"/>
  <c r="N1965" i="22"/>
  <c r="P1965" i="22" s="1"/>
  <c r="U1964" i="22"/>
  <c r="T1964" i="22"/>
  <c r="O1964" i="22"/>
  <c r="N1964" i="22"/>
  <c r="P1964" i="22" s="1"/>
  <c r="H1964" i="22"/>
  <c r="U1963" i="22"/>
  <c r="T1963" i="22"/>
  <c r="O1963" i="22"/>
  <c r="N1963" i="22"/>
  <c r="P1963" i="22" s="1"/>
  <c r="H1963" i="22"/>
  <c r="U1962" i="22"/>
  <c r="T1962" i="22"/>
  <c r="O1962" i="22"/>
  <c r="N1962" i="22"/>
  <c r="P1962" i="22" s="1"/>
  <c r="H1962" i="22"/>
  <c r="H1961" i="22" s="1"/>
  <c r="J1961" i="22" s="1"/>
  <c r="R1961" i="22"/>
  <c r="O1961" i="22"/>
  <c r="N1961" i="22"/>
  <c r="U1960" i="22"/>
  <c r="T1960" i="22"/>
  <c r="O1960" i="22"/>
  <c r="N1960" i="22"/>
  <c r="P1960" i="22" s="1"/>
  <c r="H1960" i="22"/>
  <c r="H1957" i="22" s="1"/>
  <c r="J1957" i="22" s="1"/>
  <c r="U1959" i="22"/>
  <c r="T1959" i="22"/>
  <c r="O1959" i="22"/>
  <c r="N1959" i="22"/>
  <c r="P1959" i="22" s="1"/>
  <c r="H1959" i="22"/>
  <c r="U1958" i="22"/>
  <c r="T1958" i="22"/>
  <c r="O1958" i="22"/>
  <c r="N1958" i="22"/>
  <c r="P1958" i="22" s="1"/>
  <c r="H1958" i="22"/>
  <c r="R1957" i="22"/>
  <c r="O1957" i="22"/>
  <c r="N1957" i="22"/>
  <c r="P1957" i="22" s="1"/>
  <c r="U1956" i="22"/>
  <c r="T1956" i="22"/>
  <c r="O1956" i="22"/>
  <c r="N1956" i="22"/>
  <c r="P1956" i="22" s="1"/>
  <c r="H1956" i="22"/>
  <c r="U1955" i="22"/>
  <c r="T1955" i="22"/>
  <c r="O1955" i="22"/>
  <c r="N1955" i="22"/>
  <c r="P1955" i="22" s="1"/>
  <c r="H1955" i="22"/>
  <c r="U1954" i="22"/>
  <c r="T1954" i="22"/>
  <c r="O1954" i="22"/>
  <c r="N1954" i="22"/>
  <c r="P1954" i="22" s="1"/>
  <c r="H1954" i="22"/>
  <c r="R1953" i="22"/>
  <c r="O1953" i="22"/>
  <c r="N1953" i="22"/>
  <c r="S1953" i="22" s="1"/>
  <c r="U1953" i="22" s="1"/>
  <c r="H1953" i="22"/>
  <c r="J1953" i="22" s="1"/>
  <c r="U1952" i="22"/>
  <c r="T1952" i="22"/>
  <c r="O1952" i="22"/>
  <c r="N1952" i="22"/>
  <c r="P1952" i="22" s="1"/>
  <c r="H1952" i="22"/>
  <c r="U1951" i="22"/>
  <c r="T1951" i="22"/>
  <c r="O1951" i="22"/>
  <c r="N1951" i="22"/>
  <c r="P1951" i="22" s="1"/>
  <c r="H1951" i="22"/>
  <c r="U1950" i="22"/>
  <c r="T1950" i="22"/>
  <c r="O1950" i="22"/>
  <c r="N1950" i="22"/>
  <c r="P1950" i="22" s="1"/>
  <c r="H1950" i="22"/>
  <c r="R1949" i="22"/>
  <c r="O1949" i="22"/>
  <c r="N1949" i="22"/>
  <c r="U1948" i="22"/>
  <c r="T1948" i="22"/>
  <c r="O1948" i="22"/>
  <c r="N1948" i="22"/>
  <c r="P1948" i="22" s="1"/>
  <c r="H1948" i="22"/>
  <c r="U1947" i="22"/>
  <c r="T1947" i="22"/>
  <c r="O1947" i="22"/>
  <c r="N1947" i="22"/>
  <c r="P1947" i="22" s="1"/>
  <c r="H1947" i="22"/>
  <c r="U1946" i="22"/>
  <c r="T1946" i="22"/>
  <c r="O1946" i="22"/>
  <c r="N1946" i="22"/>
  <c r="P1946" i="22" s="1"/>
  <c r="H1946" i="22"/>
  <c r="R1945" i="22"/>
  <c r="O1945" i="22"/>
  <c r="N1945" i="22"/>
  <c r="S1945" i="22" s="1"/>
  <c r="U1944" i="22"/>
  <c r="T1944" i="22"/>
  <c r="O1944" i="22"/>
  <c r="N1944" i="22"/>
  <c r="P1944" i="22" s="1"/>
  <c r="H1944" i="22"/>
  <c r="U1943" i="22"/>
  <c r="T1943" i="22"/>
  <c r="O1943" i="22"/>
  <c r="N1943" i="22"/>
  <c r="P1943" i="22" s="1"/>
  <c r="H1943" i="22"/>
  <c r="U1942" i="22"/>
  <c r="T1942" i="22"/>
  <c r="O1942" i="22"/>
  <c r="N1942" i="22"/>
  <c r="P1942" i="22" s="1"/>
  <c r="H1942" i="22"/>
  <c r="R1941" i="22"/>
  <c r="O1941" i="22"/>
  <c r="N1941" i="22"/>
  <c r="P1941" i="22" s="1"/>
  <c r="H1941" i="22"/>
  <c r="J1941" i="22" s="1"/>
  <c r="U1940" i="22"/>
  <c r="T1940" i="22"/>
  <c r="O1940" i="22"/>
  <c r="N1940" i="22"/>
  <c r="P1940" i="22" s="1"/>
  <c r="H1940" i="22"/>
  <c r="U1939" i="22"/>
  <c r="T1939" i="22"/>
  <c r="O1939" i="22"/>
  <c r="N1939" i="22"/>
  <c r="P1939" i="22" s="1"/>
  <c r="H1939" i="22"/>
  <c r="U1938" i="22"/>
  <c r="T1938" i="22"/>
  <c r="O1938" i="22"/>
  <c r="N1938" i="22"/>
  <c r="P1938" i="22" s="1"/>
  <c r="H1938" i="22"/>
  <c r="R1937" i="22"/>
  <c r="O1937" i="22"/>
  <c r="N1937" i="22"/>
  <c r="S1937" i="22" s="1"/>
  <c r="U1936" i="22"/>
  <c r="T1936" i="22"/>
  <c r="O1936" i="22"/>
  <c r="N1936" i="22"/>
  <c r="P1936" i="22" s="1"/>
  <c r="H1936" i="22"/>
  <c r="U1935" i="22"/>
  <c r="T1935" i="22"/>
  <c r="O1935" i="22"/>
  <c r="N1935" i="22"/>
  <c r="P1935" i="22" s="1"/>
  <c r="H1935" i="22"/>
  <c r="U1934" i="22"/>
  <c r="T1934" i="22"/>
  <c r="O1934" i="22"/>
  <c r="N1934" i="22"/>
  <c r="P1934" i="22" s="1"/>
  <c r="H1934" i="22"/>
  <c r="H1933" i="22" s="1"/>
  <c r="J1933" i="22" s="1"/>
  <c r="R1933" i="22"/>
  <c r="O1933" i="22"/>
  <c r="N1933" i="22"/>
  <c r="S1933" i="22" s="1"/>
  <c r="U1932" i="22"/>
  <c r="T1932" i="22"/>
  <c r="O1932" i="22"/>
  <c r="N1932" i="22"/>
  <c r="P1932" i="22" s="1"/>
  <c r="H1932" i="22"/>
  <c r="U1931" i="22"/>
  <c r="T1931" i="22"/>
  <c r="O1931" i="22"/>
  <c r="N1931" i="22"/>
  <c r="P1931" i="22" s="1"/>
  <c r="H1931" i="22"/>
  <c r="U1930" i="22"/>
  <c r="T1930" i="22"/>
  <c r="O1930" i="22"/>
  <c r="N1930" i="22"/>
  <c r="P1930" i="22" s="1"/>
  <c r="H1930" i="22"/>
  <c r="R1929" i="22"/>
  <c r="O1929" i="22"/>
  <c r="N1929" i="22"/>
  <c r="S1929" i="22" s="1"/>
  <c r="U1928" i="22"/>
  <c r="T1928" i="22"/>
  <c r="O1928" i="22"/>
  <c r="N1928" i="22"/>
  <c r="P1928" i="22" s="1"/>
  <c r="H1928" i="22"/>
  <c r="U1927" i="22"/>
  <c r="T1927" i="22"/>
  <c r="O1927" i="22"/>
  <c r="N1927" i="22"/>
  <c r="P1927" i="22" s="1"/>
  <c r="H1927" i="22"/>
  <c r="H1925" i="22" s="1"/>
  <c r="J1925" i="22" s="1"/>
  <c r="U1926" i="22"/>
  <c r="T1926" i="22"/>
  <c r="O1926" i="22"/>
  <c r="N1926" i="22"/>
  <c r="P1926" i="22" s="1"/>
  <c r="H1926" i="22"/>
  <c r="R1925" i="22"/>
  <c r="O1925" i="22"/>
  <c r="N1925" i="22"/>
  <c r="U1924" i="22"/>
  <c r="T1924" i="22"/>
  <c r="O1924" i="22"/>
  <c r="N1924" i="22"/>
  <c r="P1924" i="22" s="1"/>
  <c r="H1924" i="22"/>
  <c r="U1923" i="22"/>
  <c r="T1923" i="22"/>
  <c r="O1923" i="22"/>
  <c r="N1923" i="22"/>
  <c r="P1923" i="22" s="1"/>
  <c r="H1923" i="22"/>
  <c r="U1922" i="22"/>
  <c r="T1922" i="22"/>
  <c r="O1922" i="22"/>
  <c r="N1922" i="22"/>
  <c r="P1922" i="22" s="1"/>
  <c r="H1922" i="22"/>
  <c r="H1921" i="22" s="1"/>
  <c r="J1921" i="22" s="1"/>
  <c r="R1921" i="22"/>
  <c r="O1921" i="22"/>
  <c r="N1921" i="22"/>
  <c r="P1921" i="22" s="1"/>
  <c r="U1920" i="22"/>
  <c r="T1920" i="22"/>
  <c r="O1920" i="22"/>
  <c r="N1920" i="22"/>
  <c r="P1920" i="22" s="1"/>
  <c r="H1920" i="22"/>
  <c r="U1919" i="22"/>
  <c r="T1919" i="22"/>
  <c r="O1919" i="22"/>
  <c r="N1919" i="22"/>
  <c r="P1919" i="22" s="1"/>
  <c r="H1919" i="22"/>
  <c r="U1918" i="22"/>
  <c r="T1918" i="22"/>
  <c r="O1918" i="22"/>
  <c r="N1918" i="22"/>
  <c r="P1918" i="22" s="1"/>
  <c r="H1918" i="22"/>
  <c r="H1917" i="22" s="1"/>
  <c r="J1917" i="22" s="1"/>
  <c r="R1917" i="22"/>
  <c r="O1917" i="22"/>
  <c r="N1917" i="22"/>
  <c r="S1917" i="22" s="1"/>
  <c r="U1916" i="22"/>
  <c r="T1916" i="22"/>
  <c r="O1916" i="22"/>
  <c r="N1916" i="22"/>
  <c r="P1916" i="22" s="1"/>
  <c r="H1916" i="22"/>
  <c r="U1915" i="22"/>
  <c r="T1915" i="22"/>
  <c r="O1915" i="22"/>
  <c r="N1915" i="22"/>
  <c r="P1915" i="22" s="1"/>
  <c r="H1915" i="22"/>
  <c r="U1914" i="22"/>
  <c r="T1914" i="22"/>
  <c r="O1914" i="22"/>
  <c r="N1914" i="22"/>
  <c r="P1914" i="22" s="1"/>
  <c r="H1914" i="22"/>
  <c r="R1913" i="22"/>
  <c r="O1913" i="22"/>
  <c r="N1913" i="22"/>
  <c r="S1913" i="22" s="1"/>
  <c r="U1912" i="22"/>
  <c r="T1912" i="22"/>
  <c r="O1912" i="22"/>
  <c r="N1912" i="22"/>
  <c r="P1912" i="22" s="1"/>
  <c r="H1912" i="22"/>
  <c r="U1911" i="22"/>
  <c r="T1911" i="22"/>
  <c r="O1911" i="22"/>
  <c r="N1911" i="22"/>
  <c r="P1911" i="22" s="1"/>
  <c r="H1911" i="22"/>
  <c r="U1910" i="22"/>
  <c r="T1910" i="22"/>
  <c r="O1910" i="22"/>
  <c r="N1910" i="22"/>
  <c r="P1910" i="22" s="1"/>
  <c r="H1910" i="22"/>
  <c r="H1909" i="22" s="1"/>
  <c r="J1909" i="22" s="1"/>
  <c r="R1909" i="22"/>
  <c r="O1909" i="22"/>
  <c r="N1909" i="22"/>
  <c r="P1909" i="22" s="1"/>
  <c r="U1908" i="22"/>
  <c r="T1908" i="22"/>
  <c r="O1908" i="22"/>
  <c r="N1908" i="22"/>
  <c r="P1908" i="22" s="1"/>
  <c r="H1908" i="22"/>
  <c r="U1907" i="22"/>
  <c r="T1907" i="22"/>
  <c r="O1907" i="22"/>
  <c r="N1907" i="22"/>
  <c r="P1907" i="22" s="1"/>
  <c r="H1907" i="22"/>
  <c r="U1906" i="22"/>
  <c r="T1906" i="22"/>
  <c r="O1906" i="22"/>
  <c r="N1906" i="22"/>
  <c r="P1906" i="22" s="1"/>
  <c r="H1906" i="22"/>
  <c r="U1905" i="22"/>
  <c r="T1905" i="22"/>
  <c r="O1905" i="22"/>
  <c r="N1905" i="22"/>
  <c r="P1905" i="22" s="1"/>
  <c r="H1905" i="22"/>
  <c r="H1904" i="22" s="1"/>
  <c r="J1904" i="22" s="1"/>
  <c r="R1904" i="22"/>
  <c r="O1904" i="22"/>
  <c r="N1904" i="22"/>
  <c r="S1904" i="22" s="1"/>
  <c r="U1903" i="22"/>
  <c r="T1903" i="22"/>
  <c r="O1903" i="22"/>
  <c r="N1903" i="22"/>
  <c r="P1903" i="22" s="1"/>
  <c r="H1903" i="22"/>
  <c r="H1900" i="22" s="1"/>
  <c r="J1900" i="22" s="1"/>
  <c r="U1902" i="22"/>
  <c r="T1902" i="22"/>
  <c r="O1902" i="22"/>
  <c r="N1902" i="22"/>
  <c r="P1902" i="22" s="1"/>
  <c r="H1902" i="22"/>
  <c r="U1901" i="22"/>
  <c r="T1901" i="22"/>
  <c r="O1901" i="22"/>
  <c r="N1901" i="22"/>
  <c r="P1901" i="22" s="1"/>
  <c r="H1901" i="22"/>
  <c r="R1900" i="22"/>
  <c r="O1900" i="22"/>
  <c r="N1900" i="22"/>
  <c r="U1899" i="22"/>
  <c r="T1899" i="22"/>
  <c r="O1899" i="22"/>
  <c r="N1899" i="22"/>
  <c r="P1899" i="22" s="1"/>
  <c r="H1899" i="22"/>
  <c r="U1898" i="22"/>
  <c r="T1898" i="22"/>
  <c r="O1898" i="22"/>
  <c r="N1898" i="22"/>
  <c r="P1898" i="22" s="1"/>
  <c r="H1898" i="22"/>
  <c r="U1897" i="22"/>
  <c r="T1897" i="22"/>
  <c r="O1897" i="22"/>
  <c r="N1897" i="22"/>
  <c r="P1897" i="22" s="1"/>
  <c r="H1897" i="22"/>
  <c r="R1896" i="22"/>
  <c r="O1896" i="22"/>
  <c r="N1896" i="22"/>
  <c r="S1896" i="22" s="1"/>
  <c r="U1895" i="22"/>
  <c r="T1895" i="22"/>
  <c r="O1895" i="22"/>
  <c r="N1895" i="22"/>
  <c r="P1895" i="22" s="1"/>
  <c r="H1895" i="22"/>
  <c r="U1894" i="22"/>
  <c r="T1894" i="22"/>
  <c r="O1894" i="22"/>
  <c r="N1894" i="22"/>
  <c r="P1894" i="22" s="1"/>
  <c r="H1894" i="22"/>
  <c r="U1893" i="22"/>
  <c r="T1893" i="22"/>
  <c r="O1893" i="22"/>
  <c r="N1893" i="22"/>
  <c r="P1893" i="22" s="1"/>
  <c r="H1893" i="22"/>
  <c r="R1892" i="22"/>
  <c r="O1892" i="22"/>
  <c r="N1892" i="22"/>
  <c r="U1891" i="22"/>
  <c r="T1891" i="22"/>
  <c r="O1891" i="22"/>
  <c r="N1891" i="22"/>
  <c r="P1891" i="22" s="1"/>
  <c r="H1891" i="22"/>
  <c r="U1890" i="22"/>
  <c r="T1890" i="22"/>
  <c r="O1890" i="22"/>
  <c r="N1890" i="22"/>
  <c r="P1890" i="22" s="1"/>
  <c r="H1890" i="22"/>
  <c r="U1889" i="22"/>
  <c r="T1889" i="22"/>
  <c r="O1889" i="22"/>
  <c r="N1889" i="22"/>
  <c r="P1889" i="22" s="1"/>
  <c r="H1889" i="22"/>
  <c r="H1888" i="22" s="1"/>
  <c r="J1888" i="22" s="1"/>
  <c r="R1888" i="22"/>
  <c r="O1888" i="22"/>
  <c r="N1888" i="22"/>
  <c r="S1888" i="22" s="1"/>
  <c r="U1887" i="22"/>
  <c r="T1887" i="22"/>
  <c r="O1887" i="22"/>
  <c r="N1887" i="22"/>
  <c r="P1887" i="22" s="1"/>
  <c r="H1887" i="22"/>
  <c r="H1884" i="22" s="1"/>
  <c r="J1884" i="22" s="1"/>
  <c r="U1886" i="22"/>
  <c r="T1886" i="22"/>
  <c r="O1886" i="22"/>
  <c r="N1886" i="22"/>
  <c r="P1886" i="22" s="1"/>
  <c r="H1886" i="22"/>
  <c r="U1885" i="22"/>
  <c r="T1885" i="22"/>
  <c r="O1885" i="22"/>
  <c r="N1885" i="22"/>
  <c r="P1885" i="22" s="1"/>
  <c r="H1885" i="22"/>
  <c r="R1884" i="22"/>
  <c r="O1884" i="22"/>
  <c r="N1884" i="22"/>
  <c r="U1883" i="22"/>
  <c r="T1883" i="22"/>
  <c r="O1883" i="22"/>
  <c r="N1883" i="22"/>
  <c r="P1883" i="22" s="1"/>
  <c r="H1883" i="22"/>
  <c r="U1882" i="22"/>
  <c r="T1882" i="22"/>
  <c r="O1882" i="22"/>
  <c r="N1882" i="22"/>
  <c r="P1882" i="22" s="1"/>
  <c r="H1882" i="22"/>
  <c r="U1881" i="22"/>
  <c r="T1881" i="22"/>
  <c r="O1881" i="22"/>
  <c r="N1881" i="22"/>
  <c r="P1881" i="22" s="1"/>
  <c r="H1881" i="22"/>
  <c r="R1880" i="22"/>
  <c r="O1880" i="22"/>
  <c r="N1880" i="22"/>
  <c r="U1879" i="22"/>
  <c r="T1879" i="22"/>
  <c r="O1879" i="22"/>
  <c r="N1879" i="22"/>
  <c r="P1879" i="22" s="1"/>
  <c r="H1879" i="22"/>
  <c r="U1878" i="22"/>
  <c r="T1878" i="22"/>
  <c r="O1878" i="22"/>
  <c r="N1878" i="22"/>
  <c r="P1878" i="22" s="1"/>
  <c r="H1878" i="22"/>
  <c r="U1877" i="22"/>
  <c r="T1877" i="22"/>
  <c r="O1877" i="22"/>
  <c r="N1877" i="22"/>
  <c r="P1877" i="22" s="1"/>
  <c r="H1877" i="22"/>
  <c r="R1876" i="22"/>
  <c r="O1876" i="22"/>
  <c r="N1876" i="22"/>
  <c r="P1876" i="22" s="1"/>
  <c r="U1875" i="22"/>
  <c r="T1875" i="22"/>
  <c r="O1875" i="22"/>
  <c r="N1875" i="22"/>
  <c r="P1875" i="22" s="1"/>
  <c r="K1875" i="22"/>
  <c r="H1875" i="22"/>
  <c r="U1874" i="22"/>
  <c r="T1874" i="22"/>
  <c r="O1874" i="22"/>
  <c r="N1874" i="22"/>
  <c r="P1874" i="22" s="1"/>
  <c r="K1874" i="22"/>
  <c r="H1874" i="22"/>
  <c r="U1873" i="22"/>
  <c r="T1873" i="22"/>
  <c r="O1873" i="22"/>
  <c r="N1873" i="22"/>
  <c r="P1873" i="22" s="1"/>
  <c r="K1873" i="22"/>
  <c r="H1873" i="22"/>
  <c r="R1872" i="22"/>
  <c r="O1872" i="22"/>
  <c r="N1872" i="22"/>
  <c r="S1872" i="22" s="1"/>
  <c r="U1871" i="22"/>
  <c r="T1871" i="22"/>
  <c r="O1871" i="22"/>
  <c r="N1871" i="22"/>
  <c r="P1871" i="22" s="1"/>
  <c r="K1871" i="22"/>
  <c r="H1871" i="22"/>
  <c r="U1870" i="22"/>
  <c r="T1870" i="22"/>
  <c r="O1870" i="22"/>
  <c r="N1870" i="22"/>
  <c r="P1870" i="22" s="1"/>
  <c r="K1870" i="22"/>
  <c r="H1870" i="22"/>
  <c r="U1869" i="22"/>
  <c r="T1869" i="22"/>
  <c r="O1869" i="22"/>
  <c r="N1869" i="22"/>
  <c r="P1869" i="22" s="1"/>
  <c r="K1869" i="22"/>
  <c r="H1869" i="22"/>
  <c r="R1868" i="22"/>
  <c r="O1868" i="22"/>
  <c r="N1868" i="22"/>
  <c r="U1867" i="22"/>
  <c r="T1867" i="22"/>
  <c r="O1867" i="22"/>
  <c r="N1867" i="22"/>
  <c r="P1867" i="22" s="1"/>
  <c r="K1867" i="22"/>
  <c r="H1867" i="22"/>
  <c r="U1866" i="22"/>
  <c r="T1866" i="22"/>
  <c r="O1866" i="22"/>
  <c r="N1866" i="22"/>
  <c r="P1866" i="22" s="1"/>
  <c r="K1866" i="22"/>
  <c r="H1866" i="22"/>
  <c r="U1865" i="22"/>
  <c r="T1865" i="22"/>
  <c r="O1865" i="22"/>
  <c r="N1865" i="22"/>
  <c r="P1865" i="22" s="1"/>
  <c r="K1865" i="22"/>
  <c r="H1865" i="22"/>
  <c r="R1864" i="22"/>
  <c r="O1864" i="22"/>
  <c r="N1864" i="22"/>
  <c r="S1864" i="22" s="1"/>
  <c r="U1864" i="22" s="1"/>
  <c r="U1863" i="22"/>
  <c r="T1863" i="22"/>
  <c r="O1863" i="22"/>
  <c r="N1863" i="22"/>
  <c r="P1863" i="22" s="1"/>
  <c r="K1863" i="22"/>
  <c r="H1863" i="22"/>
  <c r="U1862" i="22"/>
  <c r="T1862" i="22"/>
  <c r="O1862" i="22"/>
  <c r="N1862" i="22"/>
  <c r="P1862" i="22" s="1"/>
  <c r="K1862" i="22"/>
  <c r="H1862" i="22"/>
  <c r="U1861" i="22"/>
  <c r="T1861" i="22"/>
  <c r="O1861" i="22"/>
  <c r="N1861" i="22"/>
  <c r="P1861" i="22" s="1"/>
  <c r="K1861" i="22"/>
  <c r="H1861" i="22"/>
  <c r="H1860" i="22" s="1"/>
  <c r="J1860" i="22" s="1"/>
  <c r="R1860" i="22"/>
  <c r="O1860" i="22"/>
  <c r="N1860" i="22"/>
  <c r="P1860" i="22" s="1"/>
  <c r="U1859" i="22"/>
  <c r="T1859" i="22"/>
  <c r="O1859" i="22"/>
  <c r="N1859" i="22"/>
  <c r="P1859" i="22" s="1"/>
  <c r="K1859" i="22"/>
  <c r="H1859" i="22"/>
  <c r="U1858" i="22"/>
  <c r="T1858" i="22"/>
  <c r="O1858" i="22"/>
  <c r="N1858" i="22"/>
  <c r="P1858" i="22" s="1"/>
  <c r="K1858" i="22"/>
  <c r="H1858" i="22"/>
  <c r="H1856" i="22" s="1"/>
  <c r="J1856" i="22" s="1"/>
  <c r="U1857" i="22"/>
  <c r="T1857" i="22"/>
  <c r="O1857" i="22"/>
  <c r="N1857" i="22"/>
  <c r="P1857" i="22" s="1"/>
  <c r="K1857" i="22"/>
  <c r="H1857" i="22"/>
  <c r="R1856" i="22"/>
  <c r="O1856" i="22"/>
  <c r="N1856" i="22"/>
  <c r="U1855" i="22"/>
  <c r="T1855" i="22"/>
  <c r="O1855" i="22"/>
  <c r="N1855" i="22"/>
  <c r="P1855" i="22" s="1"/>
  <c r="K1855" i="22"/>
  <c r="H1855" i="22"/>
  <c r="U1854" i="22"/>
  <c r="T1854" i="22"/>
  <c r="O1854" i="22"/>
  <c r="N1854" i="22"/>
  <c r="P1854" i="22" s="1"/>
  <c r="K1854" i="22"/>
  <c r="H1854" i="22"/>
  <c r="R1853" i="22"/>
  <c r="O1853" i="22"/>
  <c r="N1853" i="22"/>
  <c r="U1852" i="22"/>
  <c r="T1852" i="22"/>
  <c r="O1852" i="22"/>
  <c r="N1852" i="22"/>
  <c r="P1852" i="22" s="1"/>
  <c r="K1852" i="22"/>
  <c r="H1852" i="22"/>
  <c r="H1850" i="22" s="1"/>
  <c r="J1850" i="22" s="1"/>
  <c r="U1851" i="22"/>
  <c r="T1851" i="22"/>
  <c r="O1851" i="22"/>
  <c r="N1851" i="22"/>
  <c r="P1851" i="22" s="1"/>
  <c r="K1851" i="22"/>
  <c r="H1851" i="22"/>
  <c r="R1850" i="22"/>
  <c r="O1850" i="22"/>
  <c r="N1850" i="22"/>
  <c r="P1850" i="22" s="1"/>
  <c r="U1849" i="22"/>
  <c r="T1849" i="22"/>
  <c r="O1849" i="22"/>
  <c r="N1849" i="22"/>
  <c r="P1849" i="22" s="1"/>
  <c r="K1849" i="22"/>
  <c r="H1849" i="22"/>
  <c r="U1848" i="22"/>
  <c r="T1848" i="22"/>
  <c r="O1848" i="22"/>
  <c r="N1848" i="22"/>
  <c r="P1848" i="22" s="1"/>
  <c r="K1848" i="22"/>
  <c r="H1848" i="22"/>
  <c r="R1847" i="22"/>
  <c r="O1847" i="22"/>
  <c r="N1847" i="22"/>
  <c r="R1846" i="22"/>
  <c r="O1846" i="22"/>
  <c r="N1846" i="22"/>
  <c r="P1846" i="22" s="1"/>
  <c r="H1846" i="22"/>
  <c r="J1846" i="22" s="1"/>
  <c r="R1845" i="22"/>
  <c r="O1845" i="22"/>
  <c r="N1845" i="22"/>
  <c r="H1845" i="22"/>
  <c r="J1845" i="22" s="1"/>
  <c r="U1844" i="22"/>
  <c r="T1844" i="22"/>
  <c r="O1844" i="22"/>
  <c r="N1844" i="22"/>
  <c r="P1844" i="22" s="1"/>
  <c r="H1844" i="22"/>
  <c r="U1843" i="22"/>
  <c r="T1843" i="22"/>
  <c r="O1843" i="22"/>
  <c r="N1843" i="22"/>
  <c r="P1843" i="22" s="1"/>
  <c r="H1843" i="22"/>
  <c r="U1842" i="22"/>
  <c r="T1842" i="22"/>
  <c r="O1842" i="22"/>
  <c r="N1842" i="22"/>
  <c r="P1842" i="22" s="1"/>
  <c r="H1842" i="22"/>
  <c r="H1841" i="22" s="1"/>
  <c r="J1841" i="22" s="1"/>
  <c r="R1841" i="22"/>
  <c r="O1841" i="22"/>
  <c r="N1841" i="22"/>
  <c r="S1841" i="22" s="1"/>
  <c r="R1840" i="22"/>
  <c r="O1840" i="22"/>
  <c r="N1840" i="22"/>
  <c r="P1840" i="22" s="1"/>
  <c r="H1840" i="22"/>
  <c r="J1840" i="22" s="1"/>
  <c r="R1839" i="22"/>
  <c r="O1839" i="22"/>
  <c r="N1839" i="22"/>
  <c r="P1839" i="22" s="1"/>
  <c r="H1839" i="22"/>
  <c r="J1839" i="22" s="1"/>
  <c r="R1838" i="22"/>
  <c r="O1838" i="22"/>
  <c r="N1838" i="22"/>
  <c r="S1838" i="22" s="1"/>
  <c r="U1838" i="22" s="1"/>
  <c r="Y1838" i="22" s="1"/>
  <c r="H1838" i="22"/>
  <c r="J1838" i="22" s="1"/>
  <c r="R1837" i="22"/>
  <c r="O1837" i="22"/>
  <c r="N1837" i="22"/>
  <c r="S1837" i="22" s="1"/>
  <c r="J1837" i="22"/>
  <c r="H1837" i="22"/>
  <c r="U1836" i="22"/>
  <c r="T1836" i="22"/>
  <c r="O1836" i="22"/>
  <c r="N1836" i="22"/>
  <c r="P1836" i="22" s="1"/>
  <c r="K1836" i="22"/>
  <c r="H1836" i="22"/>
  <c r="U1835" i="22"/>
  <c r="T1835" i="22"/>
  <c r="O1835" i="22"/>
  <c r="N1835" i="22"/>
  <c r="P1835" i="22" s="1"/>
  <c r="K1835" i="22"/>
  <c r="H1835" i="22"/>
  <c r="U1834" i="22"/>
  <c r="T1834" i="22"/>
  <c r="O1834" i="22"/>
  <c r="N1834" i="22"/>
  <c r="P1834" i="22" s="1"/>
  <c r="K1834" i="22"/>
  <c r="H1834" i="22"/>
  <c r="R1833" i="22"/>
  <c r="O1833" i="22"/>
  <c r="N1833" i="22"/>
  <c r="P1833" i="22" s="1"/>
  <c r="R1832" i="22"/>
  <c r="O1832" i="22"/>
  <c r="N1832" i="22"/>
  <c r="S1832" i="22" s="1"/>
  <c r="H1832" i="22"/>
  <c r="J1832" i="22" s="1"/>
  <c r="R1831" i="22"/>
  <c r="O1831" i="22"/>
  <c r="N1831" i="22"/>
  <c r="P1831" i="22" s="1"/>
  <c r="H1831" i="22"/>
  <c r="J1831" i="22" s="1"/>
  <c r="R1830" i="22"/>
  <c r="O1830" i="22"/>
  <c r="N1830" i="22"/>
  <c r="P1830" i="22" s="1"/>
  <c r="J1830" i="22"/>
  <c r="H1830" i="22"/>
  <c r="R1829" i="22"/>
  <c r="O1829" i="22"/>
  <c r="N1829" i="22"/>
  <c r="P1829" i="22" s="1"/>
  <c r="J1829" i="22"/>
  <c r="H1829" i="22"/>
  <c r="R1828" i="22"/>
  <c r="O1828" i="22"/>
  <c r="N1828" i="22"/>
  <c r="H1828" i="22"/>
  <c r="J1828" i="22" s="1"/>
  <c r="R1827" i="22"/>
  <c r="O1827" i="22"/>
  <c r="N1827" i="22"/>
  <c r="S1827" i="22" s="1"/>
  <c r="J1827" i="22"/>
  <c r="R1826" i="22"/>
  <c r="O1826" i="22"/>
  <c r="N1826" i="22"/>
  <c r="P1826" i="22" s="1"/>
  <c r="J1826" i="22"/>
  <c r="R1825" i="22"/>
  <c r="O1825" i="22"/>
  <c r="N1825" i="22"/>
  <c r="S1825" i="22" s="1"/>
  <c r="J1825" i="22"/>
  <c r="R1824" i="22"/>
  <c r="O1824" i="22"/>
  <c r="N1824" i="22"/>
  <c r="J1824" i="22"/>
  <c r="R1823" i="22"/>
  <c r="O1823" i="22"/>
  <c r="N1823" i="22"/>
  <c r="S1823" i="22" s="1"/>
  <c r="J1823" i="22"/>
  <c r="U1822" i="22"/>
  <c r="T1822" i="22"/>
  <c r="O1822" i="22"/>
  <c r="N1822" i="22"/>
  <c r="P1822" i="22" s="1"/>
  <c r="K1822" i="22"/>
  <c r="H1822" i="22"/>
  <c r="U1821" i="22"/>
  <c r="T1821" i="22"/>
  <c r="O1821" i="22"/>
  <c r="N1821" i="22"/>
  <c r="P1821" i="22" s="1"/>
  <c r="K1821" i="22"/>
  <c r="H1821" i="22"/>
  <c r="R1820" i="22"/>
  <c r="O1820" i="22"/>
  <c r="N1820" i="22"/>
  <c r="S1820" i="22" s="1"/>
  <c r="U1819" i="22"/>
  <c r="T1819" i="22"/>
  <c r="O1819" i="22"/>
  <c r="N1819" i="22"/>
  <c r="P1819" i="22" s="1"/>
  <c r="K1819" i="22"/>
  <c r="H1819" i="22"/>
  <c r="U1818" i="22"/>
  <c r="T1818" i="22"/>
  <c r="O1818" i="22"/>
  <c r="N1818" i="22"/>
  <c r="P1818" i="22" s="1"/>
  <c r="K1818" i="22"/>
  <c r="H1818" i="22"/>
  <c r="H1817" i="22" s="1"/>
  <c r="J1817" i="22" s="1"/>
  <c r="R1817" i="22"/>
  <c r="O1817" i="22"/>
  <c r="N1817" i="22"/>
  <c r="U1816" i="22"/>
  <c r="T1816" i="22"/>
  <c r="O1816" i="22"/>
  <c r="N1816" i="22"/>
  <c r="P1816" i="22" s="1"/>
  <c r="K1816" i="22"/>
  <c r="H1816" i="22"/>
  <c r="U1815" i="22"/>
  <c r="T1815" i="22"/>
  <c r="O1815" i="22"/>
  <c r="N1815" i="22"/>
  <c r="P1815" i="22" s="1"/>
  <c r="K1815" i="22"/>
  <c r="H1815" i="22"/>
  <c r="R1814" i="22"/>
  <c r="O1814" i="22"/>
  <c r="N1814" i="22"/>
  <c r="S1814" i="22" s="1"/>
  <c r="H1814" i="22"/>
  <c r="J1814" i="22" s="1"/>
  <c r="U1813" i="22"/>
  <c r="T1813" i="22"/>
  <c r="O1813" i="22"/>
  <c r="N1813" i="22"/>
  <c r="P1813" i="22" s="1"/>
  <c r="K1813" i="22"/>
  <c r="H1813" i="22"/>
  <c r="U1812" i="22"/>
  <c r="T1812" i="22"/>
  <c r="O1812" i="22"/>
  <c r="N1812" i="22"/>
  <c r="P1812" i="22" s="1"/>
  <c r="K1812" i="22"/>
  <c r="H1812" i="22"/>
  <c r="R1811" i="22"/>
  <c r="O1811" i="22"/>
  <c r="N1811" i="22"/>
  <c r="H1811" i="22"/>
  <c r="J1811" i="22" s="1"/>
  <c r="U1810" i="22"/>
  <c r="T1810" i="22"/>
  <c r="O1810" i="22"/>
  <c r="N1810" i="22"/>
  <c r="P1810" i="22" s="1"/>
  <c r="K1810" i="22"/>
  <c r="H1810" i="22"/>
  <c r="U1809" i="22"/>
  <c r="T1809" i="22"/>
  <c r="O1809" i="22"/>
  <c r="N1809" i="22"/>
  <c r="P1809" i="22" s="1"/>
  <c r="K1809" i="22"/>
  <c r="H1809" i="22"/>
  <c r="R1808" i="22"/>
  <c r="O1808" i="22"/>
  <c r="N1808" i="22"/>
  <c r="P1808" i="22" s="1"/>
  <c r="U1807" i="22"/>
  <c r="T1807" i="22"/>
  <c r="O1807" i="22"/>
  <c r="N1807" i="22"/>
  <c r="P1807" i="22" s="1"/>
  <c r="K1807" i="22"/>
  <c r="H1807" i="22"/>
  <c r="U1806" i="22"/>
  <c r="T1806" i="22"/>
  <c r="O1806" i="22"/>
  <c r="N1806" i="22"/>
  <c r="P1806" i="22" s="1"/>
  <c r="K1806" i="22"/>
  <c r="H1806" i="22"/>
  <c r="H1805" i="22" s="1"/>
  <c r="R1805" i="22"/>
  <c r="O1805" i="22"/>
  <c r="N1805" i="22"/>
  <c r="P1805" i="22" s="1"/>
  <c r="J1805" i="22"/>
  <c r="U1804" i="22"/>
  <c r="T1804" i="22"/>
  <c r="O1804" i="22"/>
  <c r="N1804" i="22"/>
  <c r="P1804" i="22" s="1"/>
  <c r="K1804" i="22"/>
  <c r="H1804" i="22"/>
  <c r="U1803" i="22"/>
  <c r="T1803" i="22"/>
  <c r="O1803" i="22"/>
  <c r="N1803" i="22"/>
  <c r="P1803" i="22" s="1"/>
  <c r="K1803" i="22"/>
  <c r="H1803" i="22"/>
  <c r="R1802" i="22"/>
  <c r="O1802" i="22"/>
  <c r="N1802" i="22"/>
  <c r="H1802" i="22"/>
  <c r="J1802" i="22" s="1"/>
  <c r="R1801" i="22"/>
  <c r="O1801" i="22"/>
  <c r="N1801" i="22"/>
  <c r="P1801" i="22" s="1"/>
  <c r="J1801" i="22"/>
  <c r="H1801" i="22"/>
  <c r="R1800" i="22"/>
  <c r="O1800" i="22"/>
  <c r="N1800" i="22"/>
  <c r="P1800" i="22" s="1"/>
  <c r="H1800" i="22"/>
  <c r="J1800" i="22" s="1"/>
  <c r="R1799" i="22"/>
  <c r="O1799" i="22"/>
  <c r="N1799" i="22"/>
  <c r="J1799" i="22"/>
  <c r="H1799" i="22"/>
  <c r="R1798" i="22"/>
  <c r="O1798" i="22"/>
  <c r="N1798" i="22"/>
  <c r="S1798" i="22" s="1"/>
  <c r="J1798" i="22"/>
  <c r="H1798" i="22"/>
  <c r="R1797" i="22"/>
  <c r="O1797" i="22"/>
  <c r="N1797" i="22"/>
  <c r="H1797" i="22"/>
  <c r="J1797" i="22" s="1"/>
  <c r="R1796" i="22"/>
  <c r="O1796" i="22"/>
  <c r="N1796" i="22"/>
  <c r="H1796" i="22"/>
  <c r="J1796" i="22" s="1"/>
  <c r="R1795" i="22"/>
  <c r="O1795" i="22"/>
  <c r="N1795" i="22"/>
  <c r="H1795" i="22"/>
  <c r="J1795" i="22" s="1"/>
  <c r="R1794" i="22"/>
  <c r="O1794" i="22"/>
  <c r="N1794" i="22"/>
  <c r="P1794" i="22" s="1"/>
  <c r="J1794" i="22"/>
  <c r="H1794" i="22"/>
  <c r="R1793" i="22"/>
  <c r="O1793" i="22"/>
  <c r="N1793" i="22"/>
  <c r="J1793" i="22"/>
  <c r="H1793" i="22"/>
  <c r="R1792" i="22"/>
  <c r="O1792" i="22"/>
  <c r="N1792" i="22"/>
  <c r="P1792" i="22" s="1"/>
  <c r="H1792" i="22"/>
  <c r="J1792" i="22" s="1"/>
  <c r="R1791" i="22"/>
  <c r="O1791" i="22"/>
  <c r="N1791" i="22"/>
  <c r="J1791" i="22"/>
  <c r="H1791" i="22"/>
  <c r="R1790" i="22"/>
  <c r="O1790" i="22"/>
  <c r="N1790" i="22"/>
  <c r="J1790" i="22"/>
  <c r="H1790" i="22"/>
  <c r="R1789" i="22"/>
  <c r="O1789" i="22"/>
  <c r="N1789" i="22"/>
  <c r="S1789" i="22" s="1"/>
  <c r="H1789" i="22"/>
  <c r="J1789" i="22" s="1"/>
  <c r="R1788" i="22"/>
  <c r="O1788" i="22"/>
  <c r="N1788" i="22"/>
  <c r="S1788" i="22" s="1"/>
  <c r="H1788" i="22"/>
  <c r="J1788" i="22" s="1"/>
  <c r="R1787" i="22"/>
  <c r="O1787" i="22"/>
  <c r="N1787" i="22"/>
  <c r="S1787" i="22" s="1"/>
  <c r="H1787" i="22"/>
  <c r="J1787" i="22" s="1"/>
  <c r="R1786" i="22"/>
  <c r="O1786" i="22"/>
  <c r="N1786" i="22"/>
  <c r="S1786" i="22" s="1"/>
  <c r="J1786" i="22"/>
  <c r="H1786" i="22"/>
  <c r="U1785" i="22"/>
  <c r="T1785" i="22"/>
  <c r="P1785" i="22"/>
  <c r="O1785" i="22"/>
  <c r="R1784" i="22"/>
  <c r="O1784" i="22"/>
  <c r="N1784" i="22"/>
  <c r="K1784" i="22"/>
  <c r="R1783" i="22"/>
  <c r="O1783" i="22"/>
  <c r="N1783" i="22"/>
  <c r="P1783" i="22" s="1"/>
  <c r="K1783" i="22"/>
  <c r="R1782" i="22"/>
  <c r="O1782" i="22"/>
  <c r="N1782" i="22"/>
  <c r="P1782" i="22" s="1"/>
  <c r="K1782" i="22"/>
  <c r="R1781" i="22"/>
  <c r="O1781" i="22"/>
  <c r="N1781" i="22"/>
  <c r="S1781" i="22" s="1"/>
  <c r="U1781" i="22" s="1"/>
  <c r="K1781" i="22"/>
  <c r="T1781" i="22" s="1"/>
  <c r="R1780" i="22"/>
  <c r="O1780" i="22"/>
  <c r="N1780" i="22"/>
  <c r="P1780" i="22" s="1"/>
  <c r="K1780" i="22"/>
  <c r="R1779" i="22"/>
  <c r="O1779" i="22"/>
  <c r="N1779" i="22"/>
  <c r="K1779" i="22"/>
  <c r="R1778" i="22"/>
  <c r="O1778" i="22"/>
  <c r="N1778" i="22"/>
  <c r="S1778" i="22" s="1"/>
  <c r="K1778" i="22"/>
  <c r="R1777" i="22"/>
  <c r="O1777" i="22"/>
  <c r="N1777" i="22"/>
  <c r="S1777" i="22" s="1"/>
  <c r="K1777" i="22"/>
  <c r="R1776" i="22"/>
  <c r="O1776" i="22"/>
  <c r="N1776" i="22"/>
  <c r="P1776" i="22" s="1"/>
  <c r="K1776" i="22"/>
  <c r="R1775" i="22"/>
  <c r="O1775" i="22"/>
  <c r="N1775" i="22"/>
  <c r="P1775" i="22" s="1"/>
  <c r="K1775" i="22"/>
  <c r="R1774" i="22"/>
  <c r="O1774" i="22"/>
  <c r="N1774" i="22"/>
  <c r="S1774" i="22" s="1"/>
  <c r="K1774" i="22"/>
  <c r="R1773" i="22"/>
  <c r="O1773" i="22"/>
  <c r="N1773" i="22"/>
  <c r="K1773" i="22"/>
  <c r="R1772" i="22"/>
  <c r="O1772" i="22"/>
  <c r="N1772" i="22"/>
  <c r="S1772" i="22" s="1"/>
  <c r="K1772" i="22"/>
  <c r="R1771" i="22"/>
  <c r="O1771" i="22"/>
  <c r="N1771" i="22"/>
  <c r="P1771" i="22" s="1"/>
  <c r="K1771" i="22"/>
  <c r="R1770" i="22"/>
  <c r="O1770" i="22"/>
  <c r="N1770" i="22"/>
  <c r="P1770" i="22" s="1"/>
  <c r="K1770" i="22"/>
  <c r="R1769" i="22"/>
  <c r="O1769" i="22"/>
  <c r="N1769" i="22"/>
  <c r="K1769" i="22"/>
  <c r="T1769" i="22" s="1"/>
  <c r="R1768" i="22"/>
  <c r="O1768" i="22"/>
  <c r="N1768" i="22"/>
  <c r="S1768" i="22" s="1"/>
  <c r="K1768" i="22"/>
  <c r="R1767" i="22"/>
  <c r="O1767" i="22"/>
  <c r="N1767" i="22"/>
  <c r="P1767" i="22" s="1"/>
  <c r="K1767" i="22"/>
  <c r="T1767" i="22" s="1"/>
  <c r="R1766" i="22"/>
  <c r="O1766" i="22"/>
  <c r="N1766" i="22"/>
  <c r="P1766" i="22" s="1"/>
  <c r="K1766" i="22"/>
  <c r="R1765" i="22"/>
  <c r="O1765" i="22"/>
  <c r="N1765" i="22"/>
  <c r="S1765" i="22" s="1"/>
  <c r="K1765" i="22"/>
  <c r="R1764" i="22"/>
  <c r="O1764" i="22"/>
  <c r="N1764" i="22"/>
  <c r="S1764" i="22" s="1"/>
  <c r="K1764" i="22"/>
  <c r="R1763" i="22"/>
  <c r="O1763" i="22"/>
  <c r="N1763" i="22"/>
  <c r="S1763" i="22" s="1"/>
  <c r="K1763" i="22"/>
  <c r="T1763" i="22" s="1"/>
  <c r="R1762" i="22"/>
  <c r="O1762" i="22"/>
  <c r="N1762" i="22"/>
  <c r="S1762" i="22" s="1"/>
  <c r="K1762" i="22"/>
  <c r="R1761" i="22"/>
  <c r="O1761" i="22"/>
  <c r="N1761" i="22"/>
  <c r="S1761" i="22" s="1"/>
  <c r="U1761" i="22" s="1"/>
  <c r="Z1761" i="22" s="1"/>
  <c r="K1761" i="22"/>
  <c r="T1761" i="22" s="1"/>
  <c r="R1760" i="22"/>
  <c r="O1760" i="22"/>
  <c r="N1760" i="22"/>
  <c r="K1760" i="22"/>
  <c r="R1759" i="22"/>
  <c r="O1759" i="22"/>
  <c r="N1759" i="22"/>
  <c r="P1759" i="22" s="1"/>
  <c r="K1759" i="22"/>
  <c r="T1759" i="22" s="1"/>
  <c r="R1758" i="22"/>
  <c r="O1758" i="22"/>
  <c r="N1758" i="22"/>
  <c r="K1758" i="22"/>
  <c r="R1757" i="22"/>
  <c r="O1757" i="22"/>
  <c r="N1757" i="22"/>
  <c r="P1757" i="22" s="1"/>
  <c r="K1757" i="22"/>
  <c r="T1757" i="22" s="1"/>
  <c r="R1756" i="22"/>
  <c r="O1756" i="22"/>
  <c r="N1756" i="22"/>
  <c r="P1756" i="22" s="1"/>
  <c r="K1756" i="22"/>
  <c r="R1755" i="22"/>
  <c r="O1755" i="22"/>
  <c r="N1755" i="22"/>
  <c r="S1755" i="22" s="1"/>
  <c r="K1755" i="22"/>
  <c r="T1755" i="22" s="1"/>
  <c r="R1754" i="22"/>
  <c r="O1754" i="22"/>
  <c r="N1754" i="22"/>
  <c r="K1754" i="22"/>
  <c r="R1753" i="22"/>
  <c r="O1753" i="22"/>
  <c r="N1753" i="22"/>
  <c r="K1753" i="22"/>
  <c r="T1753" i="22" s="1"/>
  <c r="U1752" i="22"/>
  <c r="T1752" i="22"/>
  <c r="P1752" i="22"/>
  <c r="O1752" i="22"/>
  <c r="N1752" i="22"/>
  <c r="R1751" i="22"/>
  <c r="O1751" i="22"/>
  <c r="N1751" i="22"/>
  <c r="P1751" i="22" s="1"/>
  <c r="J1751" i="22"/>
  <c r="R1750" i="22"/>
  <c r="O1750" i="22"/>
  <c r="N1750" i="22"/>
  <c r="J1750" i="22"/>
  <c r="R1749" i="22"/>
  <c r="O1749" i="22"/>
  <c r="N1749" i="22"/>
  <c r="P1749" i="22" s="1"/>
  <c r="J1749" i="22"/>
  <c r="R1748" i="22"/>
  <c r="O1748" i="22"/>
  <c r="N1748" i="22"/>
  <c r="S1748" i="22" s="1"/>
  <c r="U1748" i="22" s="1"/>
  <c r="H1748" i="22"/>
  <c r="J1748" i="22" s="1"/>
  <c r="R1747" i="22"/>
  <c r="O1747" i="22"/>
  <c r="N1747" i="22"/>
  <c r="P1747" i="22" s="1"/>
  <c r="J1747" i="22"/>
  <c r="R1746" i="22"/>
  <c r="O1746" i="22"/>
  <c r="N1746" i="22"/>
  <c r="J1746" i="22"/>
  <c r="R1745" i="22"/>
  <c r="O1745" i="22"/>
  <c r="N1745" i="22"/>
  <c r="S1745" i="22" s="1"/>
  <c r="J1745" i="22"/>
  <c r="R1744" i="22"/>
  <c r="O1744" i="22"/>
  <c r="N1744" i="22"/>
  <c r="J1744" i="22"/>
  <c r="R1743" i="22"/>
  <c r="O1743" i="22"/>
  <c r="N1743" i="22"/>
  <c r="S1743" i="22" s="1"/>
  <c r="J1743" i="22"/>
  <c r="R1742" i="22"/>
  <c r="O1742" i="22"/>
  <c r="N1742" i="22"/>
  <c r="J1742" i="22"/>
  <c r="R1741" i="22"/>
  <c r="O1741" i="22"/>
  <c r="N1741" i="22"/>
  <c r="J1741" i="22"/>
  <c r="R1740" i="22"/>
  <c r="O1740" i="22"/>
  <c r="N1740" i="22"/>
  <c r="S1740" i="22" s="1"/>
  <c r="U1740" i="22" s="1"/>
  <c r="Z1740" i="22" s="1"/>
  <c r="J1740" i="22"/>
  <c r="R1739" i="22"/>
  <c r="O1739" i="22"/>
  <c r="N1739" i="22"/>
  <c r="P1739" i="22" s="1"/>
  <c r="J1739" i="22"/>
  <c r="R1738" i="22"/>
  <c r="O1738" i="22"/>
  <c r="N1738" i="22"/>
  <c r="J1738" i="22"/>
  <c r="H1738" i="22"/>
  <c r="R1737" i="22"/>
  <c r="O1737" i="22"/>
  <c r="N1737" i="22"/>
  <c r="H1737" i="22"/>
  <c r="J1737" i="22" s="1"/>
  <c r="R1736" i="22"/>
  <c r="O1736" i="22"/>
  <c r="N1736" i="22"/>
  <c r="P1736" i="22" s="1"/>
  <c r="J1736" i="22"/>
  <c r="R1735" i="22"/>
  <c r="O1735" i="22"/>
  <c r="N1735" i="22"/>
  <c r="J1735" i="22"/>
  <c r="R1734" i="22"/>
  <c r="O1734" i="22"/>
  <c r="N1734" i="22"/>
  <c r="S1734" i="22" s="1"/>
  <c r="J1734" i="22"/>
  <c r="R1733" i="22"/>
  <c r="O1733" i="22"/>
  <c r="N1733" i="22"/>
  <c r="S1733" i="22" s="1"/>
  <c r="J1733" i="22"/>
  <c r="R1732" i="22"/>
  <c r="O1732" i="22"/>
  <c r="N1732" i="22"/>
  <c r="J1732" i="22"/>
  <c r="R1731" i="22"/>
  <c r="O1731" i="22"/>
  <c r="N1731" i="22"/>
  <c r="P1731" i="22" s="1"/>
  <c r="J1731" i="22"/>
  <c r="R1730" i="22"/>
  <c r="O1730" i="22"/>
  <c r="N1730" i="22"/>
  <c r="J1730" i="22"/>
  <c r="R1729" i="22"/>
  <c r="O1729" i="22"/>
  <c r="N1729" i="22"/>
  <c r="P1729" i="22" s="1"/>
  <c r="J1729" i="22"/>
  <c r="R1728" i="22"/>
  <c r="O1728" i="22"/>
  <c r="N1728" i="22"/>
  <c r="J1728" i="22"/>
  <c r="R1727" i="22"/>
  <c r="O1727" i="22"/>
  <c r="N1727" i="22"/>
  <c r="P1727" i="22" s="1"/>
  <c r="J1727" i="22"/>
  <c r="U1726" i="22"/>
  <c r="T1726" i="22"/>
  <c r="O1726" i="22"/>
  <c r="N1726" i="22"/>
  <c r="P1726" i="22" s="1"/>
  <c r="H1726" i="22"/>
  <c r="U1725" i="22"/>
  <c r="T1725" i="22"/>
  <c r="O1725" i="22"/>
  <c r="N1725" i="22"/>
  <c r="P1725" i="22" s="1"/>
  <c r="H1725" i="22"/>
  <c r="U1724" i="22"/>
  <c r="T1724" i="22"/>
  <c r="O1724" i="22"/>
  <c r="N1724" i="22"/>
  <c r="P1724" i="22" s="1"/>
  <c r="H1724" i="22"/>
  <c r="H1723" i="22" s="1"/>
  <c r="J1723" i="22" s="1"/>
  <c r="R1723" i="22"/>
  <c r="O1723" i="22"/>
  <c r="N1723" i="22"/>
  <c r="P1723" i="22" s="1"/>
  <c r="U1722" i="22"/>
  <c r="T1722" i="22"/>
  <c r="O1722" i="22"/>
  <c r="N1722" i="22"/>
  <c r="P1722" i="22" s="1"/>
  <c r="H1722" i="22"/>
  <c r="U1721" i="22"/>
  <c r="T1721" i="22"/>
  <c r="O1721" i="22"/>
  <c r="N1721" i="22"/>
  <c r="P1721" i="22" s="1"/>
  <c r="H1721" i="22"/>
  <c r="U1720" i="22"/>
  <c r="T1720" i="22"/>
  <c r="O1720" i="22"/>
  <c r="N1720" i="22"/>
  <c r="P1720" i="22" s="1"/>
  <c r="H1720" i="22"/>
  <c r="R1719" i="22"/>
  <c r="O1719" i="22"/>
  <c r="N1719" i="22"/>
  <c r="U1718" i="22"/>
  <c r="T1718" i="22"/>
  <c r="O1718" i="22"/>
  <c r="N1718" i="22"/>
  <c r="P1718" i="22" s="1"/>
  <c r="H1718" i="22"/>
  <c r="U1717" i="22"/>
  <c r="T1717" i="22"/>
  <c r="O1717" i="22"/>
  <c r="N1717" i="22"/>
  <c r="P1717" i="22" s="1"/>
  <c r="H1717" i="22"/>
  <c r="U1716" i="22"/>
  <c r="T1716" i="22"/>
  <c r="O1716" i="22"/>
  <c r="N1716" i="22"/>
  <c r="P1716" i="22" s="1"/>
  <c r="H1716" i="22"/>
  <c r="H1715" i="22" s="1"/>
  <c r="J1715" i="22" s="1"/>
  <c r="R1715" i="22"/>
  <c r="O1715" i="22"/>
  <c r="N1715" i="22"/>
  <c r="S1715" i="22" s="1"/>
  <c r="U1714" i="22"/>
  <c r="T1714" i="22"/>
  <c r="O1714" i="22"/>
  <c r="N1714" i="22"/>
  <c r="P1714" i="22" s="1"/>
  <c r="H1714" i="22"/>
  <c r="U1713" i="22"/>
  <c r="T1713" i="22"/>
  <c r="O1713" i="22"/>
  <c r="N1713" i="22"/>
  <c r="P1713" i="22" s="1"/>
  <c r="H1713" i="22"/>
  <c r="U1712" i="22"/>
  <c r="T1712" i="22"/>
  <c r="O1712" i="22"/>
  <c r="N1712" i="22"/>
  <c r="P1712" i="22" s="1"/>
  <c r="H1712" i="22"/>
  <c r="R1711" i="22"/>
  <c r="O1711" i="22"/>
  <c r="N1711" i="22"/>
  <c r="S1711" i="22" s="1"/>
  <c r="U1710" i="22"/>
  <c r="T1710" i="22"/>
  <c r="O1710" i="22"/>
  <c r="N1710" i="22"/>
  <c r="P1710" i="22" s="1"/>
  <c r="H1710" i="22"/>
  <c r="U1709" i="22"/>
  <c r="T1709" i="22"/>
  <c r="O1709" i="22"/>
  <c r="N1709" i="22"/>
  <c r="P1709" i="22" s="1"/>
  <c r="H1709" i="22"/>
  <c r="H1707" i="22" s="1"/>
  <c r="J1707" i="22" s="1"/>
  <c r="U1708" i="22"/>
  <c r="T1708" i="22"/>
  <c r="O1708" i="22"/>
  <c r="N1708" i="22"/>
  <c r="P1708" i="22" s="1"/>
  <c r="H1708" i="22"/>
  <c r="R1707" i="22"/>
  <c r="O1707" i="22"/>
  <c r="N1707" i="22"/>
  <c r="R1706" i="22"/>
  <c r="O1706" i="22"/>
  <c r="N1706" i="22"/>
  <c r="P1706" i="22" s="1"/>
  <c r="J1706" i="22"/>
  <c r="H1706" i="22"/>
  <c r="R1705" i="22"/>
  <c r="O1705" i="22"/>
  <c r="N1705" i="22"/>
  <c r="P1705" i="22" s="1"/>
  <c r="J1705" i="22"/>
  <c r="H1705" i="22"/>
  <c r="G1705" i="22"/>
  <c r="R1704" i="22"/>
  <c r="O1704" i="22"/>
  <c r="N1704" i="22"/>
  <c r="H1704" i="22"/>
  <c r="J1704" i="22" s="1"/>
  <c r="R1703" i="22"/>
  <c r="O1703" i="22"/>
  <c r="N1703" i="22"/>
  <c r="S1703" i="22" s="1"/>
  <c r="J1703" i="22"/>
  <c r="H1703" i="22"/>
  <c r="U1702" i="22"/>
  <c r="T1702" i="22"/>
  <c r="O1702" i="22"/>
  <c r="N1702" i="22"/>
  <c r="P1702" i="22" s="1"/>
  <c r="H1702" i="22"/>
  <c r="U1701" i="22"/>
  <c r="T1701" i="22"/>
  <c r="O1701" i="22"/>
  <c r="N1701" i="22"/>
  <c r="P1701" i="22" s="1"/>
  <c r="H1701" i="22"/>
  <c r="U1700" i="22"/>
  <c r="T1700" i="22"/>
  <c r="O1700" i="22"/>
  <c r="N1700" i="22"/>
  <c r="P1700" i="22" s="1"/>
  <c r="H1700" i="22"/>
  <c r="R1699" i="22"/>
  <c r="O1699" i="22"/>
  <c r="N1699" i="22"/>
  <c r="P1699" i="22" s="1"/>
  <c r="R1698" i="22"/>
  <c r="O1698" i="22"/>
  <c r="N1698" i="22"/>
  <c r="P1698" i="22" s="1"/>
  <c r="H1698" i="22"/>
  <c r="J1698" i="22" s="1"/>
  <c r="R1697" i="22"/>
  <c r="O1697" i="22"/>
  <c r="N1697" i="22"/>
  <c r="H1697" i="22"/>
  <c r="J1697" i="22" s="1"/>
  <c r="R1696" i="22"/>
  <c r="O1696" i="22"/>
  <c r="N1696" i="22"/>
  <c r="S1696" i="22" s="1"/>
  <c r="J1696" i="22"/>
  <c r="H1696" i="22"/>
  <c r="G1696" i="22"/>
  <c r="R1695" i="22"/>
  <c r="O1695" i="22"/>
  <c r="N1695" i="22"/>
  <c r="H1695" i="22"/>
  <c r="J1695" i="22" s="1"/>
  <c r="G1695" i="22"/>
  <c r="R1694" i="22"/>
  <c r="O1694" i="22"/>
  <c r="N1694" i="22"/>
  <c r="S1694" i="22" s="1"/>
  <c r="J1694" i="22"/>
  <c r="R1693" i="22"/>
  <c r="O1693" i="22"/>
  <c r="N1693" i="22"/>
  <c r="J1693" i="22"/>
  <c r="R1692" i="22"/>
  <c r="O1692" i="22"/>
  <c r="N1692" i="22"/>
  <c r="S1692" i="22" s="1"/>
  <c r="J1692" i="22"/>
  <c r="R1691" i="22"/>
  <c r="O1691" i="22"/>
  <c r="N1691" i="22"/>
  <c r="S1691" i="22" s="1"/>
  <c r="H1691" i="22"/>
  <c r="J1691" i="22" s="1"/>
  <c r="U1690" i="22"/>
  <c r="T1690" i="22"/>
  <c r="P1690" i="22"/>
  <c r="O1690" i="22"/>
  <c r="R1689" i="22"/>
  <c r="O1689" i="22"/>
  <c r="N1689" i="22"/>
  <c r="K1689" i="22"/>
  <c r="R1688" i="22"/>
  <c r="O1688" i="22"/>
  <c r="N1688" i="22"/>
  <c r="K1688" i="22"/>
  <c r="T1688" i="22" s="1"/>
  <c r="R1687" i="22"/>
  <c r="O1687" i="22"/>
  <c r="N1687" i="22"/>
  <c r="P1687" i="22" s="1"/>
  <c r="K1687" i="22"/>
  <c r="R1686" i="22"/>
  <c r="O1686" i="22"/>
  <c r="N1686" i="22"/>
  <c r="P1686" i="22" s="1"/>
  <c r="K1686" i="22"/>
  <c r="R1685" i="22"/>
  <c r="O1685" i="22"/>
  <c r="N1685" i="22"/>
  <c r="S1685" i="22" s="1"/>
  <c r="K1685" i="22"/>
  <c r="R1684" i="22"/>
  <c r="O1684" i="22"/>
  <c r="N1684" i="22"/>
  <c r="K1684" i="22"/>
  <c r="T1684" i="22" s="1"/>
  <c r="R1683" i="22"/>
  <c r="O1683" i="22"/>
  <c r="N1683" i="22"/>
  <c r="P1683" i="22" s="1"/>
  <c r="K1683" i="22"/>
  <c r="R1682" i="22"/>
  <c r="O1682" i="22"/>
  <c r="N1682" i="22"/>
  <c r="S1682" i="22" s="1"/>
  <c r="K1682" i="22"/>
  <c r="R1681" i="22"/>
  <c r="O1681" i="22"/>
  <c r="N1681" i="22"/>
  <c r="K1681" i="22"/>
  <c r="R1680" i="22"/>
  <c r="O1680" i="22"/>
  <c r="N1680" i="22"/>
  <c r="P1680" i="22" s="1"/>
  <c r="K1680" i="22"/>
  <c r="T1680" i="22" s="1"/>
  <c r="R1679" i="22"/>
  <c r="O1679" i="22"/>
  <c r="N1679" i="22"/>
  <c r="P1679" i="22" s="1"/>
  <c r="K1679" i="22"/>
  <c r="R1678" i="22"/>
  <c r="O1678" i="22"/>
  <c r="N1678" i="22"/>
  <c r="K1678" i="22"/>
  <c r="R1677" i="22"/>
  <c r="O1677" i="22"/>
  <c r="N1677" i="22"/>
  <c r="K1677" i="22"/>
  <c r="R1676" i="22"/>
  <c r="O1676" i="22"/>
  <c r="N1676" i="22"/>
  <c r="P1676" i="22" s="1"/>
  <c r="K1676" i="22"/>
  <c r="T1676" i="22" s="1"/>
  <c r="R1675" i="22"/>
  <c r="O1675" i="22"/>
  <c r="N1675" i="22"/>
  <c r="P1675" i="22" s="1"/>
  <c r="K1675" i="22"/>
  <c r="R1674" i="22"/>
  <c r="O1674" i="22"/>
  <c r="N1674" i="22"/>
  <c r="K1674" i="22"/>
  <c r="R1673" i="22"/>
  <c r="O1673" i="22"/>
  <c r="N1673" i="22"/>
  <c r="S1673" i="22" s="1"/>
  <c r="K1673" i="22"/>
  <c r="R1672" i="22"/>
  <c r="O1672" i="22"/>
  <c r="N1672" i="22"/>
  <c r="P1672" i="22" s="1"/>
  <c r="K1672" i="22"/>
  <c r="T1672" i="22" s="1"/>
  <c r="R1671" i="22"/>
  <c r="O1671" i="22"/>
  <c r="N1671" i="22"/>
  <c r="P1671" i="22" s="1"/>
  <c r="K1671" i="22"/>
  <c r="R1670" i="22"/>
  <c r="O1670" i="22"/>
  <c r="N1670" i="22"/>
  <c r="S1670" i="22" s="1"/>
  <c r="K1670" i="22"/>
  <c r="R1669" i="22"/>
  <c r="O1669" i="22"/>
  <c r="N1669" i="22"/>
  <c r="S1669" i="22" s="1"/>
  <c r="K1669" i="22"/>
  <c r="R1668" i="22"/>
  <c r="O1668" i="22"/>
  <c r="N1668" i="22"/>
  <c r="P1668" i="22" s="1"/>
  <c r="K1668" i="22"/>
  <c r="T1668" i="22" s="1"/>
  <c r="R1667" i="22"/>
  <c r="O1667" i="22"/>
  <c r="N1667" i="22"/>
  <c r="K1667" i="22"/>
  <c r="R1666" i="22"/>
  <c r="O1666" i="22"/>
  <c r="N1666" i="22"/>
  <c r="S1666" i="22" s="1"/>
  <c r="K1666" i="22"/>
  <c r="R1665" i="22"/>
  <c r="O1665" i="22"/>
  <c r="N1665" i="22"/>
  <c r="S1665" i="22" s="1"/>
  <c r="K1665" i="22"/>
  <c r="R1664" i="22"/>
  <c r="O1664" i="22"/>
  <c r="N1664" i="22"/>
  <c r="P1664" i="22" s="1"/>
  <c r="K1664" i="22"/>
  <c r="T1664" i="22" s="1"/>
  <c r="R1663" i="22"/>
  <c r="O1663" i="22"/>
  <c r="N1663" i="22"/>
  <c r="P1663" i="22" s="1"/>
  <c r="K1663" i="22"/>
  <c r="R1662" i="22"/>
  <c r="O1662" i="22"/>
  <c r="N1662" i="22"/>
  <c r="S1662" i="22" s="1"/>
  <c r="U1662" i="22" s="1"/>
  <c r="K1662" i="22"/>
  <c r="R1661" i="22"/>
  <c r="O1661" i="22"/>
  <c r="N1661" i="22"/>
  <c r="S1661" i="22" s="1"/>
  <c r="K1661" i="22"/>
  <c r="R1660" i="22"/>
  <c r="O1660" i="22"/>
  <c r="N1660" i="22"/>
  <c r="P1660" i="22" s="1"/>
  <c r="K1660" i="22"/>
  <c r="T1660" i="22" s="1"/>
  <c r="R1659" i="22"/>
  <c r="O1659" i="22"/>
  <c r="N1659" i="22"/>
  <c r="K1659" i="22"/>
  <c r="R1658" i="22"/>
  <c r="O1658" i="22"/>
  <c r="N1658" i="22"/>
  <c r="S1658" i="22" s="1"/>
  <c r="K1658" i="22"/>
  <c r="U1657" i="22"/>
  <c r="T1657" i="22"/>
  <c r="O1657" i="22"/>
  <c r="N1657" i="22"/>
  <c r="P1657" i="22" s="1"/>
  <c r="R1656" i="22"/>
  <c r="O1656" i="22"/>
  <c r="N1656" i="22"/>
  <c r="S1656" i="22" s="1"/>
  <c r="U1656" i="22" s="1"/>
  <c r="J1656" i="22"/>
  <c r="R1655" i="22"/>
  <c r="O1655" i="22"/>
  <c r="N1655" i="22"/>
  <c r="S1655" i="22" s="1"/>
  <c r="J1655" i="22"/>
  <c r="R1654" i="22"/>
  <c r="O1654" i="22"/>
  <c r="N1654" i="22"/>
  <c r="S1654" i="22" s="1"/>
  <c r="U1654" i="22" s="1"/>
  <c r="J1654" i="22"/>
  <c r="R1653" i="22"/>
  <c r="O1653" i="22"/>
  <c r="N1653" i="22"/>
  <c r="J1653" i="22"/>
  <c r="R1652" i="22"/>
  <c r="O1652" i="22"/>
  <c r="N1652" i="22"/>
  <c r="S1652" i="22" s="1"/>
  <c r="U1652" i="22" s="1"/>
  <c r="J1652" i="22"/>
  <c r="R1651" i="22"/>
  <c r="O1651" i="22"/>
  <c r="N1651" i="22"/>
  <c r="S1651" i="22" s="1"/>
  <c r="J1651" i="22"/>
  <c r="R1650" i="22"/>
  <c r="O1650" i="22"/>
  <c r="N1650" i="22"/>
  <c r="J1650" i="22"/>
  <c r="R1649" i="22"/>
  <c r="O1649" i="22"/>
  <c r="N1649" i="22"/>
  <c r="S1649" i="22" s="1"/>
  <c r="J1649" i="22"/>
  <c r="R1648" i="22"/>
  <c r="O1648" i="22"/>
  <c r="N1648" i="22"/>
  <c r="S1648" i="22" s="1"/>
  <c r="J1648" i="22"/>
  <c r="R1647" i="22"/>
  <c r="O1647" i="22"/>
  <c r="N1647" i="22"/>
  <c r="S1647" i="22" s="1"/>
  <c r="J1647" i="22"/>
  <c r="R1646" i="22"/>
  <c r="O1646" i="22"/>
  <c r="N1646" i="22"/>
  <c r="J1646" i="22"/>
  <c r="R1645" i="22"/>
  <c r="O1645" i="22"/>
  <c r="N1645" i="22"/>
  <c r="J1645" i="22"/>
  <c r="R1644" i="22"/>
  <c r="O1644" i="22"/>
  <c r="N1644" i="22"/>
  <c r="J1644" i="22"/>
  <c r="R1643" i="22"/>
  <c r="O1643" i="22"/>
  <c r="N1643" i="22"/>
  <c r="S1643" i="22" s="1"/>
  <c r="J1643" i="22"/>
  <c r="R1642" i="22"/>
  <c r="O1642" i="22"/>
  <c r="N1642" i="22"/>
  <c r="J1642" i="22"/>
  <c r="R1641" i="22"/>
  <c r="O1641" i="22"/>
  <c r="N1641" i="22"/>
  <c r="S1641" i="22" s="1"/>
  <c r="J1641" i="22"/>
  <c r="R1640" i="22"/>
  <c r="O1640" i="22"/>
  <c r="N1640" i="22"/>
  <c r="S1640" i="22" s="1"/>
  <c r="U1640" i="22" s="1"/>
  <c r="Y1640" i="22" s="1"/>
  <c r="J1640" i="22"/>
  <c r="R1639" i="22"/>
  <c r="O1639" i="22"/>
  <c r="N1639" i="22"/>
  <c r="S1639" i="22" s="1"/>
  <c r="J1639" i="22"/>
  <c r="R1638" i="22"/>
  <c r="O1638" i="22"/>
  <c r="N1638" i="22"/>
  <c r="J1638" i="22"/>
  <c r="R1637" i="22"/>
  <c r="O1637" i="22"/>
  <c r="N1637" i="22"/>
  <c r="J1637" i="22"/>
  <c r="R1636" i="22"/>
  <c r="O1636" i="22"/>
  <c r="N1636" i="22"/>
  <c r="S1636" i="22" s="1"/>
  <c r="J1636" i="22"/>
  <c r="R1635" i="22"/>
  <c r="O1635" i="22"/>
  <c r="N1635" i="22"/>
  <c r="S1635" i="22" s="1"/>
  <c r="J1635" i="22"/>
  <c r="R1634" i="22"/>
  <c r="O1634" i="22"/>
  <c r="N1634" i="22"/>
  <c r="P1634" i="22" s="1"/>
  <c r="J1634" i="22"/>
  <c r="R1633" i="22"/>
  <c r="O1633" i="22"/>
  <c r="N1633" i="22"/>
  <c r="S1633" i="22" s="1"/>
  <c r="J1633" i="22"/>
  <c r="R1632" i="22"/>
  <c r="O1632" i="22"/>
  <c r="N1632" i="22"/>
  <c r="S1632" i="22" s="1"/>
  <c r="U1632" i="22" s="1"/>
  <c r="Y1632" i="22" s="1"/>
  <c r="J1632" i="22"/>
  <c r="R1631" i="22"/>
  <c r="O1631" i="22"/>
  <c r="N1631" i="22"/>
  <c r="S1631" i="22" s="1"/>
  <c r="J1631" i="22"/>
  <c r="R1630" i="22"/>
  <c r="O1630" i="22"/>
  <c r="N1630" i="22"/>
  <c r="J1630" i="22"/>
  <c r="R1629" i="22"/>
  <c r="O1629" i="22"/>
  <c r="N1629" i="22"/>
  <c r="S1629" i="22" s="1"/>
  <c r="J1629" i="22"/>
  <c r="R1628" i="22"/>
  <c r="O1628" i="22"/>
  <c r="N1628" i="22"/>
  <c r="S1628" i="22" s="1"/>
  <c r="U1628" i="22" s="1"/>
  <c r="Y1628" i="22" s="1"/>
  <c r="J1628" i="22"/>
  <c r="R1627" i="22"/>
  <c r="O1627" i="22"/>
  <c r="N1627" i="22"/>
  <c r="J1627" i="22"/>
  <c r="R1626" i="22"/>
  <c r="O1626" i="22"/>
  <c r="N1626" i="22"/>
  <c r="S1626" i="22" s="1"/>
  <c r="U1626" i="22" s="1"/>
  <c r="Y1626" i="22" s="1"/>
  <c r="J1626" i="22"/>
  <c r="R1625" i="22"/>
  <c r="O1625" i="22"/>
  <c r="N1625" i="22"/>
  <c r="S1625" i="22" s="1"/>
  <c r="J1625" i="22"/>
  <c r="R1624" i="22"/>
  <c r="O1624" i="22"/>
  <c r="N1624" i="22"/>
  <c r="S1624" i="22" s="1"/>
  <c r="J1624" i="22"/>
  <c r="R1623" i="22"/>
  <c r="O1623" i="22"/>
  <c r="N1623" i="22"/>
  <c r="J1623" i="22"/>
  <c r="R1622" i="22"/>
  <c r="O1622" i="22"/>
  <c r="N1622" i="22"/>
  <c r="J1622" i="22"/>
  <c r="R1621" i="22"/>
  <c r="O1621" i="22"/>
  <c r="N1621" i="22"/>
  <c r="S1621" i="22" s="1"/>
  <c r="J1621" i="22"/>
  <c r="R1620" i="22"/>
  <c r="O1620" i="22"/>
  <c r="N1620" i="22"/>
  <c r="P1620" i="22" s="1"/>
  <c r="J1620" i="22"/>
  <c r="R1619" i="22"/>
  <c r="O1619" i="22"/>
  <c r="N1619" i="22"/>
  <c r="S1619" i="22" s="1"/>
  <c r="J1619" i="22"/>
  <c r="R1618" i="22"/>
  <c r="O1618" i="22"/>
  <c r="N1618" i="22"/>
  <c r="S1618" i="22" s="1"/>
  <c r="U1618" i="22" s="1"/>
  <c r="Y1618" i="22" s="1"/>
  <c r="J1618" i="22"/>
  <c r="R1617" i="22"/>
  <c r="O1617" i="22"/>
  <c r="N1617" i="22"/>
  <c r="J1617" i="22"/>
  <c r="R1616" i="22"/>
  <c r="O1616" i="22"/>
  <c r="N1616" i="22"/>
  <c r="J1616" i="22"/>
  <c r="R1615" i="22"/>
  <c r="O1615" i="22"/>
  <c r="N1615" i="22"/>
  <c r="J1615" i="22"/>
  <c r="R1614" i="22"/>
  <c r="O1614" i="22"/>
  <c r="N1614" i="22"/>
  <c r="S1614" i="22" s="1"/>
  <c r="U1614" i="22" s="1"/>
  <c r="Y1614" i="22" s="1"/>
  <c r="J1614" i="22"/>
  <c r="R1613" i="22"/>
  <c r="O1613" i="22"/>
  <c r="N1613" i="22"/>
  <c r="S1613" i="22" s="1"/>
  <c r="J1613" i="22"/>
  <c r="R1612" i="22"/>
  <c r="O1612" i="22"/>
  <c r="N1612" i="22"/>
  <c r="S1612" i="22" s="1"/>
  <c r="U1612" i="22" s="1"/>
  <c r="J1612" i="22"/>
  <c r="R1611" i="22"/>
  <c r="O1611" i="22"/>
  <c r="N1611" i="22"/>
  <c r="S1611" i="22" s="1"/>
  <c r="J1611" i="22"/>
  <c r="R1610" i="22"/>
  <c r="O1610" i="22"/>
  <c r="N1610" i="22"/>
  <c r="S1610" i="22" s="1"/>
  <c r="U1610" i="22" s="1"/>
  <c r="Y1610" i="22" s="1"/>
  <c r="J1610" i="22"/>
  <c r="R1609" i="22"/>
  <c r="O1609" i="22"/>
  <c r="N1609" i="22"/>
  <c r="J1609" i="22"/>
  <c r="R1608" i="22"/>
  <c r="O1608" i="22"/>
  <c r="N1608" i="22"/>
  <c r="J1608" i="22"/>
  <c r="R1607" i="22"/>
  <c r="O1607" i="22"/>
  <c r="N1607" i="22"/>
  <c r="S1607" i="22" s="1"/>
  <c r="J1607" i="22"/>
  <c r="R1606" i="22"/>
  <c r="O1606" i="22"/>
  <c r="N1606" i="22"/>
  <c r="J1606" i="22"/>
  <c r="R1605" i="22"/>
  <c r="O1605" i="22"/>
  <c r="N1605" i="22"/>
  <c r="S1605" i="22" s="1"/>
  <c r="J1605" i="22"/>
  <c r="R1604" i="22"/>
  <c r="O1604" i="22"/>
  <c r="N1604" i="22"/>
  <c r="J1604" i="22"/>
  <c r="R1603" i="22"/>
  <c r="O1603" i="22"/>
  <c r="N1603" i="22"/>
  <c r="S1603" i="22" s="1"/>
  <c r="J1603" i="22"/>
  <c r="R1602" i="22"/>
  <c r="O1602" i="22"/>
  <c r="N1602" i="22"/>
  <c r="S1602" i="22" s="1"/>
  <c r="U1602" i="22" s="1"/>
  <c r="Y1602" i="22" s="1"/>
  <c r="J1602" i="22"/>
  <c r="R1601" i="22"/>
  <c r="O1601" i="22"/>
  <c r="N1601" i="22"/>
  <c r="J1601" i="22"/>
  <c r="R1600" i="22"/>
  <c r="O1600" i="22"/>
  <c r="N1600" i="22"/>
  <c r="S1600" i="22" s="1"/>
  <c r="U1600" i="22" s="1"/>
  <c r="J1600" i="22"/>
  <c r="R1599" i="22"/>
  <c r="O1599" i="22"/>
  <c r="N1599" i="22"/>
  <c r="J1599" i="22"/>
  <c r="R1598" i="22"/>
  <c r="O1598" i="22"/>
  <c r="N1598" i="22"/>
  <c r="P1598" i="22" s="1"/>
  <c r="J1598" i="22"/>
  <c r="R1597" i="22"/>
  <c r="O1597" i="22"/>
  <c r="N1597" i="22"/>
  <c r="J1597" i="22"/>
  <c r="R1596" i="22"/>
  <c r="O1596" i="22"/>
  <c r="N1596" i="22"/>
  <c r="J1596" i="22"/>
  <c r="R1595" i="22"/>
  <c r="O1595" i="22"/>
  <c r="N1595" i="22"/>
  <c r="J1595" i="22"/>
  <c r="R1594" i="22"/>
  <c r="O1594" i="22"/>
  <c r="N1594" i="22"/>
  <c r="P1594" i="22" s="1"/>
  <c r="J1594" i="22"/>
  <c r="R1593" i="22"/>
  <c r="O1593" i="22"/>
  <c r="N1593" i="22"/>
  <c r="J1593" i="22"/>
  <c r="R1592" i="22"/>
  <c r="O1592" i="22"/>
  <c r="N1592" i="22"/>
  <c r="P1592" i="22" s="1"/>
  <c r="J1592" i="22"/>
  <c r="R1591" i="22"/>
  <c r="O1591" i="22"/>
  <c r="N1591" i="22"/>
  <c r="J1591" i="22"/>
  <c r="R1590" i="22"/>
  <c r="O1590" i="22"/>
  <c r="N1590" i="22"/>
  <c r="J1590" i="22"/>
  <c r="R1589" i="22"/>
  <c r="O1589" i="22"/>
  <c r="N1589" i="22"/>
  <c r="J1589" i="22"/>
  <c r="R1588" i="22"/>
  <c r="O1588" i="22"/>
  <c r="N1588" i="22"/>
  <c r="P1588" i="22" s="1"/>
  <c r="J1588" i="22"/>
  <c r="R1587" i="22"/>
  <c r="O1587" i="22"/>
  <c r="N1587" i="22"/>
  <c r="J1587" i="22"/>
  <c r="R1586" i="22"/>
  <c r="O1586" i="22"/>
  <c r="N1586" i="22"/>
  <c r="J1586" i="22"/>
  <c r="R1585" i="22"/>
  <c r="O1585" i="22"/>
  <c r="N1585" i="22"/>
  <c r="J1585" i="22"/>
  <c r="R1584" i="22"/>
  <c r="O1584" i="22"/>
  <c r="N1584" i="22"/>
  <c r="P1584" i="22" s="1"/>
  <c r="J1584" i="22"/>
  <c r="R1583" i="22"/>
  <c r="O1583" i="22"/>
  <c r="N1583" i="22"/>
  <c r="J1583" i="22"/>
  <c r="R1582" i="22"/>
  <c r="O1582" i="22"/>
  <c r="N1582" i="22"/>
  <c r="P1582" i="22" s="1"/>
  <c r="J1582" i="22"/>
  <c r="R1581" i="22"/>
  <c r="O1581" i="22"/>
  <c r="N1581" i="22"/>
  <c r="J1581" i="22"/>
  <c r="R1580" i="22"/>
  <c r="O1580" i="22"/>
  <c r="N1580" i="22"/>
  <c r="J1580" i="22"/>
  <c r="R1579" i="22"/>
  <c r="O1579" i="22"/>
  <c r="N1579" i="22"/>
  <c r="J1579" i="22"/>
  <c r="R1578" i="22"/>
  <c r="O1578" i="22"/>
  <c r="N1578" i="22"/>
  <c r="P1578" i="22" s="1"/>
  <c r="J1578" i="22"/>
  <c r="R1577" i="22"/>
  <c r="O1577" i="22"/>
  <c r="N1577" i="22"/>
  <c r="J1577" i="22"/>
  <c r="R1576" i="22"/>
  <c r="O1576" i="22"/>
  <c r="N1576" i="22"/>
  <c r="P1576" i="22" s="1"/>
  <c r="J1576" i="22"/>
  <c r="R1575" i="22"/>
  <c r="O1575" i="22"/>
  <c r="N1575" i="22"/>
  <c r="J1575" i="22"/>
  <c r="R1574" i="22"/>
  <c r="O1574" i="22"/>
  <c r="N1574" i="22"/>
  <c r="P1574" i="22" s="1"/>
  <c r="J1574" i="22"/>
  <c r="R1573" i="22"/>
  <c r="O1573" i="22"/>
  <c r="N1573" i="22"/>
  <c r="J1573" i="22"/>
  <c r="R1572" i="22"/>
  <c r="O1572" i="22"/>
  <c r="N1572" i="22"/>
  <c r="P1572" i="22" s="1"/>
  <c r="J1572" i="22"/>
  <c r="R1571" i="22"/>
  <c r="O1571" i="22"/>
  <c r="N1571" i="22"/>
  <c r="J1571" i="22"/>
  <c r="R1570" i="22"/>
  <c r="O1570" i="22"/>
  <c r="N1570" i="22"/>
  <c r="P1570" i="22" s="1"/>
  <c r="J1570" i="22"/>
  <c r="R1569" i="22"/>
  <c r="O1569" i="22"/>
  <c r="N1569" i="22"/>
  <c r="J1569" i="22"/>
  <c r="R1568" i="22"/>
  <c r="O1568" i="22"/>
  <c r="N1568" i="22"/>
  <c r="P1568" i="22" s="1"/>
  <c r="J1568" i="22"/>
  <c r="R1567" i="22"/>
  <c r="O1567" i="22"/>
  <c r="N1567" i="22"/>
  <c r="J1567" i="22"/>
  <c r="R1566" i="22"/>
  <c r="O1566" i="22"/>
  <c r="N1566" i="22"/>
  <c r="P1566" i="22" s="1"/>
  <c r="J1566" i="22"/>
  <c r="R1565" i="22"/>
  <c r="O1565" i="22"/>
  <c r="N1565" i="22"/>
  <c r="J1565" i="22"/>
  <c r="R1564" i="22"/>
  <c r="O1564" i="22"/>
  <c r="N1564" i="22"/>
  <c r="J1564" i="22"/>
  <c r="R1563" i="22"/>
  <c r="O1563" i="22"/>
  <c r="N1563" i="22"/>
  <c r="J1563" i="22"/>
  <c r="R1562" i="22"/>
  <c r="O1562" i="22"/>
  <c r="N1562" i="22"/>
  <c r="P1562" i="22" s="1"/>
  <c r="J1562" i="22"/>
  <c r="R1561" i="22"/>
  <c r="O1561" i="22"/>
  <c r="N1561" i="22"/>
  <c r="J1561" i="22"/>
  <c r="R1560" i="22"/>
  <c r="O1560" i="22"/>
  <c r="N1560" i="22"/>
  <c r="P1560" i="22" s="1"/>
  <c r="J1560" i="22"/>
  <c r="R1559" i="22"/>
  <c r="O1559" i="22"/>
  <c r="N1559" i="22"/>
  <c r="J1559" i="22"/>
  <c r="R1558" i="22"/>
  <c r="O1558" i="22"/>
  <c r="N1558" i="22"/>
  <c r="J1558" i="22"/>
  <c r="R1557" i="22"/>
  <c r="O1557" i="22"/>
  <c r="N1557" i="22"/>
  <c r="J1557" i="22"/>
  <c r="R1556" i="22"/>
  <c r="O1556" i="22"/>
  <c r="N1556" i="22"/>
  <c r="P1556" i="22" s="1"/>
  <c r="J1556" i="22"/>
  <c r="R1555" i="22"/>
  <c r="O1555" i="22"/>
  <c r="N1555" i="22"/>
  <c r="J1555" i="22"/>
  <c r="R1554" i="22"/>
  <c r="O1554" i="22"/>
  <c r="N1554" i="22"/>
  <c r="J1554" i="22"/>
  <c r="R1553" i="22"/>
  <c r="O1553" i="22"/>
  <c r="N1553" i="22"/>
  <c r="J1553" i="22"/>
  <c r="R1552" i="22"/>
  <c r="O1552" i="22"/>
  <c r="N1552" i="22"/>
  <c r="P1552" i="22" s="1"/>
  <c r="J1552" i="22"/>
  <c r="R1551" i="22"/>
  <c r="O1551" i="22"/>
  <c r="N1551" i="22"/>
  <c r="J1551" i="22"/>
  <c r="R1550" i="22"/>
  <c r="O1550" i="22"/>
  <c r="N1550" i="22"/>
  <c r="P1550" i="22" s="1"/>
  <c r="J1550" i="22"/>
  <c r="R1549" i="22"/>
  <c r="O1549" i="22"/>
  <c r="N1549" i="22"/>
  <c r="J1549" i="22"/>
  <c r="R1548" i="22"/>
  <c r="O1548" i="22"/>
  <c r="N1548" i="22"/>
  <c r="J1548" i="22"/>
  <c r="R1547" i="22"/>
  <c r="O1547" i="22"/>
  <c r="N1547" i="22"/>
  <c r="J1547" i="22"/>
  <c r="R1546" i="22"/>
  <c r="O1546" i="22"/>
  <c r="N1546" i="22"/>
  <c r="P1546" i="22" s="1"/>
  <c r="J1546" i="22"/>
  <c r="R1545" i="22"/>
  <c r="O1545" i="22"/>
  <c r="N1545" i="22"/>
  <c r="J1545" i="22"/>
  <c r="R1544" i="22"/>
  <c r="O1544" i="22"/>
  <c r="N1544" i="22"/>
  <c r="P1544" i="22" s="1"/>
  <c r="J1544" i="22"/>
  <c r="R1543" i="22"/>
  <c r="O1543" i="22"/>
  <c r="N1543" i="22"/>
  <c r="J1543" i="22"/>
  <c r="R1542" i="22"/>
  <c r="O1542" i="22"/>
  <c r="N1542" i="22"/>
  <c r="P1542" i="22" s="1"/>
  <c r="J1542" i="22"/>
  <c r="R1541" i="22"/>
  <c r="O1541" i="22"/>
  <c r="N1541" i="22"/>
  <c r="J1541" i="22"/>
  <c r="R1540" i="22"/>
  <c r="O1540" i="22"/>
  <c r="N1540" i="22"/>
  <c r="P1540" i="22" s="1"/>
  <c r="J1540" i="22"/>
  <c r="R1539" i="22"/>
  <c r="O1539" i="22"/>
  <c r="N1539" i="22"/>
  <c r="J1539" i="22"/>
  <c r="R1538" i="22"/>
  <c r="O1538" i="22"/>
  <c r="N1538" i="22"/>
  <c r="P1538" i="22" s="1"/>
  <c r="J1538" i="22"/>
  <c r="R1537" i="22"/>
  <c r="O1537" i="22"/>
  <c r="N1537" i="22"/>
  <c r="J1537" i="22"/>
  <c r="R1536" i="22"/>
  <c r="O1536" i="22"/>
  <c r="N1536" i="22"/>
  <c r="P1536" i="22" s="1"/>
  <c r="J1536" i="22"/>
  <c r="R1535" i="22"/>
  <c r="O1535" i="22"/>
  <c r="N1535" i="22"/>
  <c r="J1535" i="22"/>
  <c r="R1534" i="22"/>
  <c r="O1534" i="22"/>
  <c r="N1534" i="22"/>
  <c r="P1534" i="22" s="1"/>
  <c r="J1534" i="22"/>
  <c r="R1533" i="22"/>
  <c r="O1533" i="22"/>
  <c r="N1533" i="22"/>
  <c r="J1533" i="22"/>
  <c r="R1532" i="22"/>
  <c r="O1532" i="22"/>
  <c r="N1532" i="22"/>
  <c r="J1532" i="22"/>
  <c r="R1531" i="22"/>
  <c r="O1531" i="22"/>
  <c r="N1531" i="22"/>
  <c r="J1531" i="22"/>
  <c r="R1530" i="22"/>
  <c r="O1530" i="22"/>
  <c r="N1530" i="22"/>
  <c r="P1530" i="22" s="1"/>
  <c r="J1530" i="22"/>
  <c r="R1529" i="22"/>
  <c r="O1529" i="22"/>
  <c r="N1529" i="22"/>
  <c r="P1529" i="22" s="1"/>
  <c r="J1529" i="22"/>
  <c r="R1528" i="22"/>
  <c r="O1528" i="22"/>
  <c r="N1528" i="22"/>
  <c r="P1528" i="22" s="1"/>
  <c r="J1528" i="22"/>
  <c r="R1527" i="22"/>
  <c r="O1527" i="22"/>
  <c r="N1527" i="22"/>
  <c r="P1527" i="22" s="1"/>
  <c r="J1527" i="22"/>
  <c r="R1526" i="22"/>
  <c r="O1526" i="22"/>
  <c r="N1526" i="22"/>
  <c r="P1526" i="22" s="1"/>
  <c r="J1526" i="22"/>
  <c r="R1525" i="22"/>
  <c r="O1525" i="22"/>
  <c r="N1525" i="22"/>
  <c r="P1525" i="22" s="1"/>
  <c r="J1525" i="22"/>
  <c r="R1524" i="22"/>
  <c r="O1524" i="22"/>
  <c r="N1524" i="22"/>
  <c r="P1524" i="22" s="1"/>
  <c r="J1524" i="22"/>
  <c r="R1523" i="22"/>
  <c r="O1523" i="22"/>
  <c r="N1523" i="22"/>
  <c r="J1523" i="22"/>
  <c r="R1522" i="22"/>
  <c r="O1522" i="22"/>
  <c r="N1522" i="22"/>
  <c r="P1522" i="22" s="1"/>
  <c r="J1522" i="22"/>
  <c r="R1521" i="22"/>
  <c r="O1521" i="22"/>
  <c r="N1521" i="22"/>
  <c r="P1521" i="22" s="1"/>
  <c r="J1521" i="22"/>
  <c r="R1520" i="22"/>
  <c r="O1520" i="22"/>
  <c r="N1520" i="22"/>
  <c r="P1520" i="22" s="1"/>
  <c r="J1520" i="22"/>
  <c r="R1519" i="22"/>
  <c r="O1519" i="22"/>
  <c r="N1519" i="22"/>
  <c r="P1519" i="22" s="1"/>
  <c r="J1519" i="22"/>
  <c r="R1518" i="22"/>
  <c r="O1518" i="22"/>
  <c r="N1518" i="22"/>
  <c r="P1518" i="22" s="1"/>
  <c r="J1518" i="22"/>
  <c r="R1517" i="22"/>
  <c r="O1517" i="22"/>
  <c r="N1517" i="22"/>
  <c r="P1517" i="22" s="1"/>
  <c r="J1517" i="22"/>
  <c r="R1516" i="22"/>
  <c r="O1516" i="22"/>
  <c r="N1516" i="22"/>
  <c r="P1516" i="22" s="1"/>
  <c r="J1516" i="22"/>
  <c r="R1515" i="22"/>
  <c r="O1515" i="22"/>
  <c r="N1515" i="22"/>
  <c r="P1515" i="22" s="1"/>
  <c r="J1515" i="22"/>
  <c r="R1514" i="22"/>
  <c r="O1514" i="22"/>
  <c r="N1514" i="22"/>
  <c r="P1514" i="22" s="1"/>
  <c r="J1514" i="22"/>
  <c r="R1513" i="22"/>
  <c r="O1513" i="22"/>
  <c r="N1513" i="22"/>
  <c r="P1513" i="22" s="1"/>
  <c r="J1513" i="22"/>
  <c r="R1512" i="22"/>
  <c r="O1512" i="22"/>
  <c r="N1512" i="22"/>
  <c r="P1512" i="22" s="1"/>
  <c r="J1512" i="22"/>
  <c r="R1511" i="22"/>
  <c r="O1511" i="22"/>
  <c r="N1511" i="22"/>
  <c r="J1511" i="22"/>
  <c r="R1510" i="22"/>
  <c r="O1510" i="22"/>
  <c r="N1510" i="22"/>
  <c r="P1510" i="22" s="1"/>
  <c r="J1510" i="22"/>
  <c r="R1509" i="22"/>
  <c r="O1509" i="22"/>
  <c r="N1509" i="22"/>
  <c r="P1509" i="22" s="1"/>
  <c r="J1509" i="22"/>
  <c r="R1508" i="22"/>
  <c r="O1508" i="22"/>
  <c r="N1508" i="22"/>
  <c r="J1508" i="22"/>
  <c r="R1507" i="22"/>
  <c r="O1507" i="22"/>
  <c r="N1507" i="22"/>
  <c r="P1507" i="22" s="1"/>
  <c r="J1507" i="22"/>
  <c r="R1506" i="22"/>
  <c r="O1506" i="22"/>
  <c r="N1506" i="22"/>
  <c r="P1506" i="22" s="1"/>
  <c r="J1506" i="22"/>
  <c r="R1505" i="22"/>
  <c r="O1505" i="22"/>
  <c r="N1505" i="22"/>
  <c r="J1505" i="22"/>
  <c r="R1504" i="22"/>
  <c r="O1504" i="22"/>
  <c r="N1504" i="22"/>
  <c r="J1504" i="22"/>
  <c r="R1503" i="22"/>
  <c r="O1503" i="22"/>
  <c r="N1503" i="22"/>
  <c r="J1503" i="22"/>
  <c r="R1502" i="22"/>
  <c r="O1502" i="22"/>
  <c r="N1502" i="22"/>
  <c r="P1502" i="22" s="1"/>
  <c r="J1502" i="22"/>
  <c r="R1501" i="22"/>
  <c r="O1501" i="22"/>
  <c r="N1501" i="22"/>
  <c r="P1501" i="22" s="1"/>
  <c r="J1501" i="22"/>
  <c r="R1500" i="22"/>
  <c r="O1500" i="22"/>
  <c r="N1500" i="22"/>
  <c r="P1500" i="22" s="1"/>
  <c r="J1500" i="22"/>
  <c r="R1499" i="22"/>
  <c r="O1499" i="22"/>
  <c r="N1499" i="22"/>
  <c r="P1499" i="22" s="1"/>
  <c r="J1499" i="22"/>
  <c r="R1498" i="22"/>
  <c r="O1498" i="22"/>
  <c r="N1498" i="22"/>
  <c r="P1498" i="22" s="1"/>
  <c r="J1498" i="22"/>
  <c r="R1497" i="22"/>
  <c r="O1497" i="22"/>
  <c r="N1497" i="22"/>
  <c r="P1497" i="22" s="1"/>
  <c r="J1497" i="22"/>
  <c r="R1496" i="22"/>
  <c r="O1496" i="22"/>
  <c r="N1496" i="22"/>
  <c r="P1496" i="22" s="1"/>
  <c r="J1496" i="22"/>
  <c r="R1495" i="22"/>
  <c r="O1495" i="22"/>
  <c r="N1495" i="22"/>
  <c r="J1495" i="22"/>
  <c r="R1494" i="22"/>
  <c r="O1494" i="22"/>
  <c r="N1494" i="22"/>
  <c r="P1494" i="22" s="1"/>
  <c r="J1494" i="22"/>
  <c r="R1493" i="22"/>
  <c r="O1493" i="22"/>
  <c r="N1493" i="22"/>
  <c r="P1493" i="22" s="1"/>
  <c r="J1493" i="22"/>
  <c r="R1492" i="22"/>
  <c r="O1492" i="22"/>
  <c r="N1492" i="22"/>
  <c r="J1492" i="22"/>
  <c r="R1491" i="22"/>
  <c r="O1491" i="22"/>
  <c r="N1491" i="22"/>
  <c r="P1491" i="22" s="1"/>
  <c r="J1491" i="22"/>
  <c r="R1490" i="22"/>
  <c r="O1490" i="22"/>
  <c r="N1490" i="22"/>
  <c r="P1490" i="22" s="1"/>
  <c r="J1490" i="22"/>
  <c r="R1489" i="22"/>
  <c r="O1489" i="22"/>
  <c r="N1489" i="22"/>
  <c r="P1489" i="22" s="1"/>
  <c r="J1489" i="22"/>
  <c r="R1488" i="22"/>
  <c r="O1488" i="22"/>
  <c r="N1488" i="22"/>
  <c r="J1488" i="22"/>
  <c r="R1487" i="22"/>
  <c r="O1487" i="22"/>
  <c r="N1487" i="22"/>
  <c r="J1487" i="22"/>
  <c r="R1486" i="22"/>
  <c r="O1486" i="22"/>
  <c r="N1486" i="22"/>
  <c r="P1486" i="22" s="1"/>
  <c r="J1486" i="22"/>
  <c r="R1485" i="22"/>
  <c r="O1485" i="22"/>
  <c r="N1485" i="22"/>
  <c r="P1485" i="22" s="1"/>
  <c r="J1485" i="22"/>
  <c r="R1484" i="22"/>
  <c r="O1484" i="22"/>
  <c r="N1484" i="22"/>
  <c r="P1484" i="22" s="1"/>
  <c r="J1484" i="22"/>
  <c r="R1483" i="22"/>
  <c r="O1483" i="22"/>
  <c r="N1483" i="22"/>
  <c r="P1483" i="22" s="1"/>
  <c r="J1483" i="22"/>
  <c r="R1482" i="22"/>
  <c r="O1482" i="22"/>
  <c r="N1482" i="22"/>
  <c r="P1482" i="22" s="1"/>
  <c r="J1482" i="22"/>
  <c r="R1481" i="22"/>
  <c r="O1481" i="22"/>
  <c r="N1481" i="22"/>
  <c r="J1481" i="22"/>
  <c r="R1480" i="22"/>
  <c r="O1480" i="22"/>
  <c r="N1480" i="22"/>
  <c r="P1480" i="22" s="1"/>
  <c r="J1480" i="22"/>
  <c r="R1479" i="22"/>
  <c r="O1479" i="22"/>
  <c r="N1479" i="22"/>
  <c r="J1479" i="22"/>
  <c r="R1478" i="22"/>
  <c r="O1478" i="22"/>
  <c r="N1478" i="22"/>
  <c r="P1478" i="22" s="1"/>
  <c r="J1478" i="22"/>
  <c r="R1477" i="22"/>
  <c r="O1477" i="22"/>
  <c r="N1477" i="22"/>
  <c r="P1477" i="22" s="1"/>
  <c r="J1477" i="22"/>
  <c r="R1476" i="22"/>
  <c r="O1476" i="22"/>
  <c r="N1476" i="22"/>
  <c r="J1476" i="22"/>
  <c r="R1475" i="22"/>
  <c r="O1475" i="22"/>
  <c r="N1475" i="22"/>
  <c r="P1475" i="22" s="1"/>
  <c r="J1475" i="22"/>
  <c r="R1474" i="22"/>
  <c r="O1474" i="22"/>
  <c r="N1474" i="22"/>
  <c r="P1474" i="22" s="1"/>
  <c r="J1474" i="22"/>
  <c r="R1473" i="22"/>
  <c r="O1473" i="22"/>
  <c r="N1473" i="22"/>
  <c r="P1473" i="22" s="1"/>
  <c r="J1473" i="22"/>
  <c r="R1472" i="22"/>
  <c r="O1472" i="22"/>
  <c r="N1472" i="22"/>
  <c r="J1472" i="22"/>
  <c r="R1471" i="22"/>
  <c r="O1471" i="22"/>
  <c r="N1471" i="22"/>
  <c r="J1471" i="22"/>
  <c r="R1470" i="22"/>
  <c r="O1470" i="22"/>
  <c r="N1470" i="22"/>
  <c r="P1470" i="22" s="1"/>
  <c r="J1470" i="22"/>
  <c r="R1469" i="22"/>
  <c r="O1469" i="22"/>
  <c r="N1469" i="22"/>
  <c r="P1469" i="22" s="1"/>
  <c r="J1469" i="22"/>
  <c r="R1468" i="22"/>
  <c r="O1468" i="22"/>
  <c r="N1468" i="22"/>
  <c r="P1468" i="22" s="1"/>
  <c r="J1468" i="22"/>
  <c r="R1467" i="22"/>
  <c r="O1467" i="22"/>
  <c r="N1467" i="22"/>
  <c r="P1467" i="22" s="1"/>
  <c r="J1467" i="22"/>
  <c r="R1466" i="22"/>
  <c r="O1466" i="22"/>
  <c r="N1466" i="22"/>
  <c r="P1466" i="22" s="1"/>
  <c r="J1466" i="22"/>
  <c r="R1465" i="22"/>
  <c r="O1465" i="22"/>
  <c r="N1465" i="22"/>
  <c r="P1465" i="22" s="1"/>
  <c r="J1465" i="22"/>
  <c r="R1464" i="22"/>
  <c r="O1464" i="22"/>
  <c r="N1464" i="22"/>
  <c r="J1464" i="22"/>
  <c r="R1463" i="22"/>
  <c r="O1463" i="22"/>
  <c r="N1463" i="22"/>
  <c r="J1463" i="22"/>
  <c r="R1462" i="22"/>
  <c r="O1462" i="22"/>
  <c r="N1462" i="22"/>
  <c r="P1462" i="22" s="1"/>
  <c r="J1462" i="22"/>
  <c r="R1461" i="22"/>
  <c r="O1461" i="22"/>
  <c r="N1461" i="22"/>
  <c r="P1461" i="22" s="1"/>
  <c r="J1461" i="22"/>
  <c r="R1460" i="22"/>
  <c r="O1460" i="22"/>
  <c r="N1460" i="22"/>
  <c r="P1460" i="22" s="1"/>
  <c r="J1460" i="22"/>
  <c r="R1459" i="22"/>
  <c r="O1459" i="22"/>
  <c r="N1459" i="22"/>
  <c r="P1459" i="22" s="1"/>
  <c r="J1459" i="22"/>
  <c r="R1458" i="22"/>
  <c r="O1458" i="22"/>
  <c r="N1458" i="22"/>
  <c r="P1458" i="22" s="1"/>
  <c r="J1458" i="22"/>
  <c r="R1457" i="22"/>
  <c r="O1457" i="22"/>
  <c r="N1457" i="22"/>
  <c r="P1457" i="22" s="1"/>
  <c r="J1457" i="22"/>
  <c r="R1456" i="22"/>
  <c r="O1456" i="22"/>
  <c r="N1456" i="22"/>
  <c r="J1456" i="22"/>
  <c r="R1455" i="22"/>
  <c r="O1455" i="22"/>
  <c r="N1455" i="22"/>
  <c r="J1455" i="22"/>
  <c r="R1454" i="22"/>
  <c r="O1454" i="22"/>
  <c r="N1454" i="22"/>
  <c r="P1454" i="22" s="1"/>
  <c r="J1454" i="22"/>
  <c r="R1453" i="22"/>
  <c r="O1453" i="22"/>
  <c r="N1453" i="22"/>
  <c r="P1453" i="22" s="1"/>
  <c r="J1453" i="22"/>
  <c r="R1452" i="22"/>
  <c r="O1452" i="22"/>
  <c r="N1452" i="22"/>
  <c r="P1452" i="22" s="1"/>
  <c r="J1452" i="22"/>
  <c r="R1451" i="22"/>
  <c r="O1451" i="22"/>
  <c r="N1451" i="22"/>
  <c r="P1451" i="22" s="1"/>
  <c r="J1451" i="22"/>
  <c r="R1450" i="22"/>
  <c r="O1450" i="22"/>
  <c r="N1450" i="22"/>
  <c r="P1450" i="22" s="1"/>
  <c r="J1450" i="22"/>
  <c r="R1449" i="22"/>
  <c r="O1449" i="22"/>
  <c r="N1449" i="22"/>
  <c r="J1449" i="22"/>
  <c r="R1448" i="22"/>
  <c r="O1448" i="22"/>
  <c r="N1448" i="22"/>
  <c r="P1448" i="22" s="1"/>
  <c r="J1448" i="22"/>
  <c r="R1447" i="22"/>
  <c r="O1447" i="22"/>
  <c r="N1447" i="22"/>
  <c r="J1447" i="22"/>
  <c r="R1446" i="22"/>
  <c r="O1446" i="22"/>
  <c r="N1446" i="22"/>
  <c r="P1446" i="22" s="1"/>
  <c r="J1446" i="22"/>
  <c r="R1445" i="22"/>
  <c r="O1445" i="22"/>
  <c r="N1445" i="22"/>
  <c r="P1445" i="22" s="1"/>
  <c r="J1445" i="22"/>
  <c r="R1444" i="22"/>
  <c r="O1444" i="22"/>
  <c r="N1444" i="22"/>
  <c r="P1444" i="22" s="1"/>
  <c r="J1444" i="22"/>
  <c r="R1443" i="22"/>
  <c r="O1443" i="22"/>
  <c r="N1443" i="22"/>
  <c r="P1443" i="22" s="1"/>
  <c r="J1443" i="22"/>
  <c r="R1442" i="22"/>
  <c r="O1442" i="22"/>
  <c r="N1442" i="22"/>
  <c r="P1442" i="22" s="1"/>
  <c r="J1442" i="22"/>
  <c r="R1441" i="22"/>
  <c r="O1441" i="22"/>
  <c r="N1441" i="22"/>
  <c r="P1441" i="22" s="1"/>
  <c r="J1441" i="22"/>
  <c r="R1440" i="22"/>
  <c r="O1440" i="22"/>
  <c r="N1440" i="22"/>
  <c r="P1440" i="22" s="1"/>
  <c r="J1440" i="22"/>
  <c r="R1439" i="22"/>
  <c r="O1439" i="22"/>
  <c r="N1439" i="22"/>
  <c r="S1439" i="22" s="1"/>
  <c r="J1439" i="22"/>
  <c r="R1438" i="22"/>
  <c r="O1438" i="22"/>
  <c r="N1438" i="22"/>
  <c r="J1438" i="22"/>
  <c r="R1437" i="22"/>
  <c r="O1437" i="22"/>
  <c r="N1437" i="22"/>
  <c r="P1437" i="22" s="1"/>
  <c r="J1437" i="22"/>
  <c r="R1436" i="22"/>
  <c r="O1436" i="22"/>
  <c r="N1436" i="22"/>
  <c r="J1436" i="22"/>
  <c r="R1435" i="22"/>
  <c r="O1435" i="22"/>
  <c r="N1435" i="22"/>
  <c r="S1435" i="22" s="1"/>
  <c r="J1435" i="22"/>
  <c r="R1434" i="22"/>
  <c r="O1434" i="22"/>
  <c r="N1434" i="22"/>
  <c r="J1434" i="22"/>
  <c r="R1433" i="22"/>
  <c r="O1433" i="22"/>
  <c r="N1433" i="22"/>
  <c r="J1433" i="22"/>
  <c r="R1432" i="22"/>
  <c r="O1432" i="22"/>
  <c r="N1432" i="22"/>
  <c r="J1432" i="22"/>
  <c r="R1431" i="22"/>
  <c r="O1431" i="22"/>
  <c r="N1431" i="22"/>
  <c r="J1431" i="22"/>
  <c r="R1430" i="22"/>
  <c r="O1430" i="22"/>
  <c r="N1430" i="22"/>
  <c r="P1430" i="22" s="1"/>
  <c r="J1430" i="22"/>
  <c r="R1429" i="22"/>
  <c r="O1429" i="22"/>
  <c r="N1429" i="22"/>
  <c r="S1429" i="22" s="1"/>
  <c r="J1429" i="22"/>
  <c r="R1428" i="22"/>
  <c r="O1428" i="22"/>
  <c r="N1428" i="22"/>
  <c r="P1428" i="22" s="1"/>
  <c r="J1428" i="22"/>
  <c r="R1427" i="22"/>
  <c r="O1427" i="22"/>
  <c r="N1427" i="22"/>
  <c r="P1427" i="22" s="1"/>
  <c r="J1427" i="22"/>
  <c r="R1426" i="22"/>
  <c r="O1426" i="22"/>
  <c r="N1426" i="22"/>
  <c r="S1426" i="22" s="1"/>
  <c r="J1426" i="22"/>
  <c r="R1425" i="22"/>
  <c r="O1425" i="22"/>
  <c r="N1425" i="22"/>
  <c r="P1425" i="22" s="1"/>
  <c r="J1425" i="22"/>
  <c r="R1424" i="22"/>
  <c r="O1424" i="22"/>
  <c r="N1424" i="22"/>
  <c r="S1424" i="22" s="1"/>
  <c r="J1424" i="22"/>
  <c r="R1423" i="22"/>
  <c r="O1423" i="22"/>
  <c r="N1423" i="22"/>
  <c r="J1423" i="22"/>
  <c r="R1422" i="22"/>
  <c r="O1422" i="22"/>
  <c r="N1422" i="22"/>
  <c r="P1422" i="22" s="1"/>
  <c r="J1422" i="22"/>
  <c r="R1421" i="22"/>
  <c r="O1421" i="22"/>
  <c r="N1421" i="22"/>
  <c r="S1421" i="22" s="1"/>
  <c r="J1421" i="22"/>
  <c r="R1420" i="22"/>
  <c r="O1420" i="22"/>
  <c r="N1420" i="22"/>
  <c r="P1420" i="22" s="1"/>
  <c r="J1420" i="22"/>
  <c r="R1419" i="22"/>
  <c r="O1419" i="22"/>
  <c r="N1419" i="22"/>
  <c r="P1419" i="22" s="1"/>
  <c r="J1419" i="22"/>
  <c r="R1418" i="22"/>
  <c r="O1418" i="22"/>
  <c r="N1418" i="22"/>
  <c r="J1418" i="22"/>
  <c r="R1417" i="22"/>
  <c r="O1417" i="22"/>
  <c r="N1417" i="22"/>
  <c r="S1417" i="22" s="1"/>
  <c r="J1417" i="22"/>
  <c r="R1416" i="22"/>
  <c r="O1416" i="22"/>
  <c r="N1416" i="22"/>
  <c r="S1416" i="22" s="1"/>
  <c r="J1416" i="22"/>
  <c r="R1415" i="22"/>
  <c r="O1415" i="22"/>
  <c r="N1415" i="22"/>
  <c r="J1415" i="22"/>
  <c r="R1414" i="22"/>
  <c r="O1414" i="22"/>
  <c r="N1414" i="22"/>
  <c r="P1414" i="22" s="1"/>
  <c r="J1414" i="22"/>
  <c r="R1413" i="22"/>
  <c r="O1413" i="22"/>
  <c r="N1413" i="22"/>
  <c r="S1413" i="22" s="1"/>
  <c r="J1413" i="22"/>
  <c r="R1412" i="22"/>
  <c r="O1412" i="22"/>
  <c r="N1412" i="22"/>
  <c r="J1412" i="22"/>
  <c r="R1411" i="22"/>
  <c r="O1411" i="22"/>
  <c r="N1411" i="22"/>
  <c r="J1411" i="22"/>
  <c r="R1410" i="22"/>
  <c r="O1410" i="22"/>
  <c r="N1410" i="22"/>
  <c r="P1410" i="22" s="1"/>
  <c r="J1410" i="22"/>
  <c r="R1409" i="22"/>
  <c r="O1409" i="22"/>
  <c r="N1409" i="22"/>
  <c r="S1409" i="22" s="1"/>
  <c r="J1409" i="22"/>
  <c r="R1408" i="22"/>
  <c r="O1408" i="22"/>
  <c r="N1408" i="22"/>
  <c r="S1408" i="22" s="1"/>
  <c r="J1408" i="22"/>
  <c r="R1407" i="22"/>
  <c r="O1407" i="22"/>
  <c r="N1407" i="22"/>
  <c r="J1407" i="22"/>
  <c r="R1406" i="22"/>
  <c r="O1406" i="22"/>
  <c r="N1406" i="22"/>
  <c r="P1406" i="22" s="1"/>
  <c r="J1406" i="22"/>
  <c r="R1405" i="22"/>
  <c r="O1405" i="22"/>
  <c r="N1405" i="22"/>
  <c r="J1405" i="22"/>
  <c r="R1404" i="22"/>
  <c r="O1404" i="22"/>
  <c r="N1404" i="22"/>
  <c r="P1404" i="22" s="1"/>
  <c r="J1404" i="22"/>
  <c r="R1403" i="22"/>
  <c r="O1403" i="22"/>
  <c r="N1403" i="22"/>
  <c r="P1403" i="22" s="1"/>
  <c r="J1403" i="22"/>
  <c r="R1402" i="22"/>
  <c r="O1402" i="22"/>
  <c r="N1402" i="22"/>
  <c r="S1402" i="22" s="1"/>
  <c r="J1402" i="22"/>
  <c r="R1401" i="22"/>
  <c r="O1401" i="22"/>
  <c r="N1401" i="22"/>
  <c r="S1401" i="22" s="1"/>
  <c r="J1401" i="22"/>
  <c r="R1400" i="22"/>
  <c r="O1400" i="22"/>
  <c r="N1400" i="22"/>
  <c r="S1400" i="22" s="1"/>
  <c r="J1400" i="22"/>
  <c r="R1399" i="22"/>
  <c r="O1399" i="22"/>
  <c r="N1399" i="22"/>
  <c r="J1399" i="22"/>
  <c r="R1398" i="22"/>
  <c r="O1398" i="22"/>
  <c r="N1398" i="22"/>
  <c r="P1398" i="22" s="1"/>
  <c r="J1398" i="22"/>
  <c r="R1397" i="22"/>
  <c r="O1397" i="22"/>
  <c r="N1397" i="22"/>
  <c r="S1397" i="22" s="1"/>
  <c r="J1397" i="22"/>
  <c r="R1396" i="22"/>
  <c r="O1396" i="22"/>
  <c r="N1396" i="22"/>
  <c r="P1396" i="22" s="1"/>
  <c r="J1396" i="22"/>
  <c r="R1395" i="22"/>
  <c r="O1395" i="22"/>
  <c r="N1395" i="22"/>
  <c r="P1395" i="22" s="1"/>
  <c r="J1395" i="22"/>
  <c r="R1394" i="22"/>
  <c r="O1394" i="22"/>
  <c r="N1394" i="22"/>
  <c r="J1394" i="22"/>
  <c r="R1393" i="22"/>
  <c r="O1393" i="22"/>
  <c r="N1393" i="22"/>
  <c r="S1393" i="22" s="1"/>
  <c r="J1393" i="22"/>
  <c r="R1392" i="22"/>
  <c r="O1392" i="22"/>
  <c r="N1392" i="22"/>
  <c r="S1392" i="22" s="1"/>
  <c r="J1392" i="22"/>
  <c r="R1391" i="22"/>
  <c r="O1391" i="22"/>
  <c r="N1391" i="22"/>
  <c r="J1391" i="22"/>
  <c r="R1390" i="22"/>
  <c r="O1390" i="22"/>
  <c r="N1390" i="22"/>
  <c r="P1390" i="22" s="1"/>
  <c r="J1390" i="22"/>
  <c r="R1389" i="22"/>
  <c r="O1389" i="22"/>
  <c r="N1389" i="22"/>
  <c r="S1389" i="22" s="1"/>
  <c r="J1389" i="22"/>
  <c r="R1388" i="22"/>
  <c r="O1388" i="22"/>
  <c r="N1388" i="22"/>
  <c r="J1388" i="22"/>
  <c r="R1387" i="22"/>
  <c r="O1387" i="22"/>
  <c r="N1387" i="22"/>
  <c r="P1387" i="22" s="1"/>
  <c r="J1387" i="22"/>
  <c r="R1386" i="22"/>
  <c r="O1386" i="22"/>
  <c r="N1386" i="22"/>
  <c r="P1386" i="22" s="1"/>
  <c r="J1386" i="22"/>
  <c r="R1385" i="22"/>
  <c r="O1385" i="22"/>
  <c r="N1385" i="22"/>
  <c r="J1385" i="22"/>
  <c r="R1384" i="22"/>
  <c r="O1384" i="22"/>
  <c r="N1384" i="22"/>
  <c r="S1384" i="22" s="1"/>
  <c r="J1384" i="22"/>
  <c r="R1383" i="22"/>
  <c r="O1383" i="22"/>
  <c r="N1383" i="22"/>
  <c r="J1383" i="22"/>
  <c r="R1382" i="22"/>
  <c r="O1382" i="22"/>
  <c r="N1382" i="22"/>
  <c r="P1382" i="22" s="1"/>
  <c r="J1382" i="22"/>
  <c r="R1381" i="22"/>
  <c r="O1381" i="22"/>
  <c r="N1381" i="22"/>
  <c r="S1381" i="22" s="1"/>
  <c r="J1381" i="22"/>
  <c r="R1380" i="22"/>
  <c r="O1380" i="22"/>
  <c r="N1380" i="22"/>
  <c r="P1380" i="22" s="1"/>
  <c r="J1380" i="22"/>
  <c r="R1379" i="22"/>
  <c r="O1379" i="22"/>
  <c r="N1379" i="22"/>
  <c r="J1379" i="22"/>
  <c r="R1378" i="22"/>
  <c r="O1378" i="22"/>
  <c r="N1378" i="22"/>
  <c r="J1378" i="22"/>
  <c r="R1377" i="22"/>
  <c r="O1377" i="22"/>
  <c r="N1377" i="22"/>
  <c r="S1377" i="22" s="1"/>
  <c r="J1377" i="22"/>
  <c r="R1376" i="22"/>
  <c r="O1376" i="22"/>
  <c r="N1376" i="22"/>
  <c r="S1376" i="22" s="1"/>
  <c r="J1376" i="22"/>
  <c r="R1375" i="22"/>
  <c r="O1375" i="22"/>
  <c r="N1375" i="22"/>
  <c r="J1375" i="22"/>
  <c r="R1374" i="22"/>
  <c r="O1374" i="22"/>
  <c r="N1374" i="22"/>
  <c r="P1374" i="22" s="1"/>
  <c r="J1374" i="22"/>
  <c r="R1373" i="22"/>
  <c r="O1373" i="22"/>
  <c r="N1373" i="22"/>
  <c r="S1373" i="22" s="1"/>
  <c r="J1373" i="22"/>
  <c r="R1372" i="22"/>
  <c r="O1372" i="22"/>
  <c r="N1372" i="22"/>
  <c r="J1372" i="22"/>
  <c r="R1371" i="22"/>
  <c r="O1371" i="22"/>
  <c r="N1371" i="22"/>
  <c r="P1371" i="22" s="1"/>
  <c r="J1371" i="22"/>
  <c r="R1370" i="22"/>
  <c r="O1370" i="22"/>
  <c r="N1370" i="22"/>
  <c r="P1370" i="22" s="1"/>
  <c r="J1370" i="22"/>
  <c r="R1369" i="22"/>
  <c r="O1369" i="22"/>
  <c r="N1369" i="22"/>
  <c r="J1369" i="22"/>
  <c r="R1368" i="22"/>
  <c r="O1368" i="22"/>
  <c r="N1368" i="22"/>
  <c r="S1368" i="22" s="1"/>
  <c r="J1368" i="22"/>
  <c r="R1367" i="22"/>
  <c r="O1367" i="22"/>
  <c r="N1367" i="22"/>
  <c r="P1367" i="22" s="1"/>
  <c r="J1367" i="22"/>
  <c r="R1366" i="22"/>
  <c r="O1366" i="22"/>
  <c r="N1366" i="22"/>
  <c r="P1366" i="22" s="1"/>
  <c r="J1366" i="22"/>
  <c r="R1365" i="22"/>
  <c r="O1365" i="22"/>
  <c r="N1365" i="22"/>
  <c r="S1365" i="22" s="1"/>
  <c r="J1365" i="22"/>
  <c r="R1364" i="22"/>
  <c r="O1364" i="22"/>
  <c r="N1364" i="22"/>
  <c r="P1364" i="22" s="1"/>
  <c r="J1364" i="22"/>
  <c r="R1363" i="22"/>
  <c r="O1363" i="22"/>
  <c r="N1363" i="22"/>
  <c r="P1363" i="22" s="1"/>
  <c r="J1363" i="22"/>
  <c r="R1362" i="22"/>
  <c r="O1362" i="22"/>
  <c r="N1362" i="22"/>
  <c r="J1362" i="22"/>
  <c r="R1361" i="22"/>
  <c r="O1361" i="22"/>
  <c r="N1361" i="22"/>
  <c r="P1361" i="22" s="1"/>
  <c r="J1361" i="22"/>
  <c r="R1360" i="22"/>
  <c r="O1360" i="22"/>
  <c r="N1360" i="22"/>
  <c r="J1360" i="22"/>
  <c r="R1359" i="22"/>
  <c r="O1359" i="22"/>
  <c r="N1359" i="22"/>
  <c r="P1359" i="22" s="1"/>
  <c r="J1359" i="22"/>
  <c r="R1358" i="22"/>
  <c r="O1358" i="22"/>
  <c r="N1358" i="22"/>
  <c r="P1358" i="22" s="1"/>
  <c r="J1358" i="22"/>
  <c r="R1357" i="22"/>
  <c r="O1357" i="22"/>
  <c r="N1357" i="22"/>
  <c r="S1357" i="22" s="1"/>
  <c r="J1357" i="22"/>
  <c r="R1356" i="22"/>
  <c r="O1356" i="22"/>
  <c r="N1356" i="22"/>
  <c r="P1356" i="22" s="1"/>
  <c r="J1356" i="22"/>
  <c r="R1355" i="22"/>
  <c r="O1355" i="22"/>
  <c r="N1355" i="22"/>
  <c r="P1355" i="22" s="1"/>
  <c r="J1355" i="22"/>
  <c r="R1354" i="22"/>
  <c r="O1354" i="22"/>
  <c r="N1354" i="22"/>
  <c r="S1354" i="22" s="1"/>
  <c r="J1354" i="22"/>
  <c r="R1353" i="22"/>
  <c r="O1353" i="22"/>
  <c r="N1353" i="22"/>
  <c r="S1353" i="22" s="1"/>
  <c r="J1353" i="22"/>
  <c r="R1352" i="22"/>
  <c r="O1352" i="22"/>
  <c r="N1352" i="22"/>
  <c r="J1352" i="22"/>
  <c r="R1351" i="22"/>
  <c r="O1351" i="22"/>
  <c r="N1351" i="22"/>
  <c r="J1351" i="22"/>
  <c r="R1350" i="22"/>
  <c r="O1350" i="22"/>
  <c r="N1350" i="22"/>
  <c r="J1350" i="22"/>
  <c r="R1349" i="22"/>
  <c r="O1349" i="22"/>
  <c r="N1349" i="22"/>
  <c r="J1349" i="22"/>
  <c r="R1348" i="22"/>
  <c r="O1348" i="22"/>
  <c r="N1348" i="22"/>
  <c r="P1348" i="22" s="1"/>
  <c r="J1348" i="22"/>
  <c r="R1347" i="22"/>
  <c r="O1347" i="22"/>
  <c r="N1347" i="22"/>
  <c r="J1347" i="22"/>
  <c r="R1346" i="22"/>
  <c r="O1346" i="22"/>
  <c r="N1346" i="22"/>
  <c r="P1346" i="22" s="1"/>
  <c r="J1346" i="22"/>
  <c r="R1345" i="22"/>
  <c r="O1345" i="22"/>
  <c r="N1345" i="22"/>
  <c r="J1345" i="22"/>
  <c r="R1344" i="22"/>
  <c r="O1344" i="22"/>
  <c r="N1344" i="22"/>
  <c r="S1344" i="22" s="1"/>
  <c r="U1344" i="22" s="1"/>
  <c r="J1344" i="22"/>
  <c r="R1343" i="22"/>
  <c r="O1343" i="22"/>
  <c r="N1343" i="22"/>
  <c r="P1343" i="22" s="1"/>
  <c r="J1343" i="22"/>
  <c r="R1342" i="22"/>
  <c r="O1342" i="22"/>
  <c r="N1342" i="22"/>
  <c r="J1342" i="22"/>
  <c r="R1341" i="22"/>
  <c r="O1341" i="22"/>
  <c r="N1341" i="22"/>
  <c r="S1341" i="22" s="1"/>
  <c r="J1341" i="22"/>
  <c r="R1340" i="22"/>
  <c r="O1340" i="22"/>
  <c r="N1340" i="22"/>
  <c r="P1340" i="22" s="1"/>
  <c r="J1340" i="22"/>
  <c r="R1339" i="22"/>
  <c r="O1339" i="22"/>
  <c r="N1339" i="22"/>
  <c r="P1339" i="22" s="1"/>
  <c r="J1339" i="22"/>
  <c r="R1338" i="22"/>
  <c r="O1338" i="22"/>
  <c r="N1338" i="22"/>
  <c r="S1338" i="22" s="1"/>
  <c r="J1338" i="22"/>
  <c r="R1337" i="22"/>
  <c r="O1337" i="22"/>
  <c r="N1337" i="22"/>
  <c r="J1337" i="22"/>
  <c r="R1336" i="22"/>
  <c r="O1336" i="22"/>
  <c r="N1336" i="22"/>
  <c r="S1336" i="22" s="1"/>
  <c r="U1336" i="22" s="1"/>
  <c r="J1336" i="22"/>
  <c r="R1335" i="22"/>
  <c r="O1335" i="22"/>
  <c r="N1335" i="22"/>
  <c r="P1335" i="22" s="1"/>
  <c r="J1335" i="22"/>
  <c r="R1334" i="22"/>
  <c r="O1334" i="22"/>
  <c r="N1334" i="22"/>
  <c r="P1334" i="22" s="1"/>
  <c r="J1334" i="22"/>
  <c r="R1333" i="22"/>
  <c r="O1333" i="22"/>
  <c r="N1333" i="22"/>
  <c r="P1333" i="22" s="1"/>
  <c r="J1333" i="22"/>
  <c r="R1332" i="22"/>
  <c r="O1332" i="22"/>
  <c r="N1332" i="22"/>
  <c r="P1332" i="22" s="1"/>
  <c r="J1332" i="22"/>
  <c r="R1331" i="22"/>
  <c r="O1331" i="22"/>
  <c r="N1331" i="22"/>
  <c r="J1331" i="22"/>
  <c r="R1330" i="22"/>
  <c r="O1330" i="22"/>
  <c r="N1330" i="22"/>
  <c r="P1330" i="22" s="1"/>
  <c r="J1330" i="22"/>
  <c r="R1329" i="22"/>
  <c r="O1329" i="22"/>
  <c r="N1329" i="22"/>
  <c r="P1329" i="22" s="1"/>
  <c r="J1329" i="22"/>
  <c r="R1328" i="22"/>
  <c r="O1328" i="22"/>
  <c r="N1328" i="22"/>
  <c r="P1328" i="22" s="1"/>
  <c r="J1328" i="22"/>
  <c r="R1327" i="22"/>
  <c r="O1327" i="22"/>
  <c r="N1327" i="22"/>
  <c r="J1327" i="22"/>
  <c r="R1326" i="22"/>
  <c r="O1326" i="22"/>
  <c r="N1326" i="22"/>
  <c r="P1326" i="22" s="1"/>
  <c r="J1326" i="22"/>
  <c r="R1325" i="22"/>
  <c r="O1325" i="22"/>
  <c r="N1325" i="22"/>
  <c r="S1325" i="22" s="1"/>
  <c r="J1325" i="22"/>
  <c r="R1324" i="22"/>
  <c r="O1324" i="22"/>
  <c r="N1324" i="22"/>
  <c r="J1324" i="22"/>
  <c r="R1323" i="22"/>
  <c r="O1323" i="22"/>
  <c r="N1323" i="22"/>
  <c r="P1323" i="22" s="1"/>
  <c r="J1323" i="22"/>
  <c r="R1322" i="22"/>
  <c r="O1322" i="22"/>
  <c r="N1322" i="22"/>
  <c r="J1322" i="22"/>
  <c r="R1321" i="22"/>
  <c r="O1321" i="22"/>
  <c r="N1321" i="22"/>
  <c r="S1321" i="22" s="1"/>
  <c r="J1321" i="22"/>
  <c r="R1320" i="22"/>
  <c r="O1320" i="22"/>
  <c r="N1320" i="22"/>
  <c r="P1320" i="22" s="1"/>
  <c r="J1320" i="22"/>
  <c r="R1319" i="22"/>
  <c r="O1319" i="22"/>
  <c r="N1319" i="22"/>
  <c r="P1319" i="22" s="1"/>
  <c r="J1319" i="22"/>
  <c r="R1318" i="22"/>
  <c r="O1318" i="22"/>
  <c r="N1318" i="22"/>
  <c r="P1318" i="22" s="1"/>
  <c r="J1318" i="22"/>
  <c r="R1317" i="22"/>
  <c r="O1317" i="22"/>
  <c r="N1317" i="22"/>
  <c r="S1317" i="22" s="1"/>
  <c r="J1317" i="22"/>
  <c r="R1316" i="22"/>
  <c r="O1316" i="22"/>
  <c r="N1316" i="22"/>
  <c r="P1316" i="22" s="1"/>
  <c r="J1316" i="22"/>
  <c r="R1315" i="22"/>
  <c r="O1315" i="22"/>
  <c r="N1315" i="22"/>
  <c r="P1315" i="22" s="1"/>
  <c r="J1315" i="22"/>
  <c r="R1314" i="22"/>
  <c r="O1314" i="22"/>
  <c r="N1314" i="22"/>
  <c r="P1314" i="22" s="1"/>
  <c r="J1314" i="22"/>
  <c r="R1313" i="22"/>
  <c r="O1313" i="22"/>
  <c r="N1313" i="22"/>
  <c r="S1313" i="22" s="1"/>
  <c r="J1313" i="22"/>
  <c r="R1312" i="22"/>
  <c r="O1312" i="22"/>
  <c r="N1312" i="22"/>
  <c r="J1312" i="22"/>
  <c r="R1311" i="22"/>
  <c r="O1311" i="22"/>
  <c r="N1311" i="22"/>
  <c r="P1311" i="22" s="1"/>
  <c r="J1311" i="22"/>
  <c r="R1310" i="22"/>
  <c r="O1310" i="22"/>
  <c r="N1310" i="22"/>
  <c r="P1310" i="22" s="1"/>
  <c r="J1310" i="22"/>
  <c r="R1309" i="22"/>
  <c r="O1309" i="22"/>
  <c r="N1309" i="22"/>
  <c r="S1309" i="22" s="1"/>
  <c r="J1309" i="22"/>
  <c r="R1308" i="22"/>
  <c r="O1308" i="22"/>
  <c r="N1308" i="22"/>
  <c r="P1308" i="22" s="1"/>
  <c r="J1308" i="22"/>
  <c r="R1307" i="22"/>
  <c r="O1307" i="22"/>
  <c r="N1307" i="22"/>
  <c r="J1307" i="22"/>
  <c r="R1306" i="22"/>
  <c r="O1306" i="22"/>
  <c r="N1306" i="22"/>
  <c r="P1306" i="22" s="1"/>
  <c r="J1306" i="22"/>
  <c r="R1305" i="22"/>
  <c r="O1305" i="22"/>
  <c r="N1305" i="22"/>
  <c r="S1305" i="22" s="1"/>
  <c r="J1305" i="22"/>
  <c r="R1304" i="22"/>
  <c r="O1304" i="22"/>
  <c r="N1304" i="22"/>
  <c r="P1304" i="22" s="1"/>
  <c r="J1304" i="22"/>
  <c r="R1303" i="22"/>
  <c r="O1303" i="22"/>
  <c r="N1303" i="22"/>
  <c r="P1303" i="22" s="1"/>
  <c r="J1303" i="22"/>
  <c r="R1302" i="22"/>
  <c r="O1302" i="22"/>
  <c r="N1302" i="22"/>
  <c r="P1302" i="22" s="1"/>
  <c r="J1302" i="22"/>
  <c r="R1301" i="22"/>
  <c r="O1301" i="22"/>
  <c r="N1301" i="22"/>
  <c r="S1301" i="22" s="1"/>
  <c r="J1301" i="22"/>
  <c r="R1300" i="22"/>
  <c r="O1300" i="22"/>
  <c r="N1300" i="22"/>
  <c r="J1300" i="22"/>
  <c r="R1299" i="22"/>
  <c r="O1299" i="22"/>
  <c r="N1299" i="22"/>
  <c r="P1299" i="22" s="1"/>
  <c r="J1299" i="22"/>
  <c r="R1298" i="22"/>
  <c r="O1298" i="22"/>
  <c r="N1298" i="22"/>
  <c r="P1298" i="22" s="1"/>
  <c r="J1298" i="22"/>
  <c r="R1297" i="22"/>
  <c r="O1297" i="22"/>
  <c r="N1297" i="22"/>
  <c r="S1297" i="22" s="1"/>
  <c r="J1297" i="22"/>
  <c r="R1296" i="22"/>
  <c r="O1296" i="22"/>
  <c r="N1296" i="22"/>
  <c r="J1296" i="22"/>
  <c r="R1295" i="22"/>
  <c r="O1295" i="22"/>
  <c r="N1295" i="22"/>
  <c r="J1295" i="22"/>
  <c r="R1294" i="22"/>
  <c r="O1294" i="22"/>
  <c r="N1294" i="22"/>
  <c r="P1294" i="22" s="1"/>
  <c r="J1294" i="22"/>
  <c r="R1293" i="22"/>
  <c r="O1293" i="22"/>
  <c r="N1293" i="22"/>
  <c r="S1293" i="22" s="1"/>
  <c r="J1293" i="22"/>
  <c r="R1292" i="22"/>
  <c r="O1292" i="22"/>
  <c r="N1292" i="22"/>
  <c r="P1292" i="22" s="1"/>
  <c r="J1292" i="22"/>
  <c r="R1291" i="22"/>
  <c r="O1291" i="22"/>
  <c r="N1291" i="22"/>
  <c r="P1291" i="22" s="1"/>
  <c r="J1291" i="22"/>
  <c r="R1290" i="22"/>
  <c r="O1290" i="22"/>
  <c r="N1290" i="22"/>
  <c r="J1290" i="22"/>
  <c r="R1289" i="22"/>
  <c r="O1289" i="22"/>
  <c r="N1289" i="22"/>
  <c r="J1289" i="22"/>
  <c r="R1288" i="22"/>
  <c r="O1288" i="22"/>
  <c r="N1288" i="22"/>
  <c r="P1288" i="22" s="1"/>
  <c r="J1288" i="22"/>
  <c r="R1287" i="22"/>
  <c r="O1287" i="22"/>
  <c r="N1287" i="22"/>
  <c r="J1287" i="22"/>
  <c r="R1286" i="22"/>
  <c r="O1286" i="22"/>
  <c r="N1286" i="22"/>
  <c r="J1286" i="22"/>
  <c r="R1285" i="22"/>
  <c r="O1285" i="22"/>
  <c r="N1285" i="22"/>
  <c r="J1285" i="22"/>
  <c r="R1284" i="22"/>
  <c r="O1284" i="22"/>
  <c r="N1284" i="22"/>
  <c r="P1284" i="22" s="1"/>
  <c r="J1284" i="22"/>
  <c r="R1283" i="22"/>
  <c r="O1283" i="22"/>
  <c r="N1283" i="22"/>
  <c r="P1283" i="22" s="1"/>
  <c r="J1283" i="22"/>
  <c r="R1282" i="22"/>
  <c r="O1282" i="22"/>
  <c r="N1282" i="22"/>
  <c r="J1282" i="22"/>
  <c r="R1281" i="22"/>
  <c r="O1281" i="22"/>
  <c r="N1281" i="22"/>
  <c r="J1281" i="22"/>
  <c r="R1280" i="22"/>
  <c r="O1280" i="22"/>
  <c r="N1280" i="22"/>
  <c r="J1280" i="22"/>
  <c r="R1279" i="22"/>
  <c r="O1279" i="22"/>
  <c r="N1279" i="22"/>
  <c r="S1279" i="22" s="1"/>
  <c r="J1279" i="22"/>
  <c r="R1278" i="22"/>
  <c r="O1278" i="22"/>
  <c r="N1278" i="22"/>
  <c r="S1278" i="22" s="1"/>
  <c r="U1278" i="22" s="1"/>
  <c r="J1278" i="22"/>
  <c r="R1277" i="22"/>
  <c r="O1277" i="22"/>
  <c r="N1277" i="22"/>
  <c r="J1277" i="22"/>
  <c r="R1276" i="22"/>
  <c r="O1276" i="22"/>
  <c r="N1276" i="22"/>
  <c r="P1276" i="22" s="1"/>
  <c r="J1276" i="22"/>
  <c r="R1275" i="22"/>
  <c r="O1275" i="22"/>
  <c r="N1275" i="22"/>
  <c r="J1275" i="22"/>
  <c r="R1274" i="22"/>
  <c r="O1274" i="22"/>
  <c r="N1274" i="22"/>
  <c r="J1274" i="22"/>
  <c r="R1273" i="22"/>
  <c r="O1273" i="22"/>
  <c r="N1273" i="22"/>
  <c r="J1273" i="22"/>
  <c r="R1272" i="22"/>
  <c r="O1272" i="22"/>
  <c r="N1272" i="22"/>
  <c r="J1272" i="22"/>
  <c r="R1271" i="22"/>
  <c r="O1271" i="22"/>
  <c r="N1271" i="22"/>
  <c r="J1271" i="22"/>
  <c r="R1270" i="22"/>
  <c r="O1270" i="22"/>
  <c r="N1270" i="22"/>
  <c r="J1270" i="22"/>
  <c r="R1269" i="22"/>
  <c r="O1269" i="22"/>
  <c r="N1269" i="22"/>
  <c r="P1269" i="22" s="1"/>
  <c r="J1269" i="22"/>
  <c r="R1268" i="22"/>
  <c r="O1268" i="22"/>
  <c r="N1268" i="22"/>
  <c r="J1268" i="22"/>
  <c r="R1267" i="22"/>
  <c r="O1267" i="22"/>
  <c r="N1267" i="22"/>
  <c r="P1267" i="22" s="1"/>
  <c r="J1267" i="22"/>
  <c r="R1266" i="22"/>
  <c r="O1266" i="22"/>
  <c r="N1266" i="22"/>
  <c r="J1266" i="22"/>
  <c r="R1265" i="22"/>
  <c r="O1265" i="22"/>
  <c r="N1265" i="22"/>
  <c r="P1265" i="22" s="1"/>
  <c r="J1265" i="22"/>
  <c r="R1264" i="22"/>
  <c r="O1264" i="22"/>
  <c r="N1264" i="22"/>
  <c r="J1264" i="22"/>
  <c r="R1263" i="22"/>
  <c r="O1263" i="22"/>
  <c r="N1263" i="22"/>
  <c r="P1263" i="22" s="1"/>
  <c r="J1263" i="22"/>
  <c r="R1262" i="22"/>
  <c r="O1262" i="22"/>
  <c r="N1262" i="22"/>
  <c r="J1262" i="22"/>
  <c r="R1261" i="22"/>
  <c r="O1261" i="22"/>
  <c r="N1261" i="22"/>
  <c r="P1261" i="22" s="1"/>
  <c r="J1261" i="22"/>
  <c r="R1260" i="22"/>
  <c r="O1260" i="22"/>
  <c r="N1260" i="22"/>
  <c r="J1260" i="22"/>
  <c r="R1259" i="22"/>
  <c r="O1259" i="22"/>
  <c r="N1259" i="22"/>
  <c r="P1259" i="22" s="1"/>
  <c r="J1259" i="22"/>
  <c r="R1258" i="22"/>
  <c r="O1258" i="22"/>
  <c r="N1258" i="22"/>
  <c r="J1258" i="22"/>
  <c r="R1257" i="22"/>
  <c r="O1257" i="22"/>
  <c r="N1257" i="22"/>
  <c r="J1257" i="22"/>
  <c r="R1256" i="22"/>
  <c r="O1256" i="22"/>
  <c r="N1256" i="22"/>
  <c r="J1256" i="22"/>
  <c r="R1255" i="22"/>
  <c r="O1255" i="22"/>
  <c r="N1255" i="22"/>
  <c r="P1255" i="22" s="1"/>
  <c r="J1255" i="22"/>
  <c r="R1254" i="22"/>
  <c r="O1254" i="22"/>
  <c r="N1254" i="22"/>
  <c r="J1254" i="22"/>
  <c r="R1253" i="22"/>
  <c r="O1253" i="22"/>
  <c r="N1253" i="22"/>
  <c r="J1253" i="22"/>
  <c r="R1252" i="22"/>
  <c r="O1252" i="22"/>
  <c r="N1252" i="22"/>
  <c r="J1252" i="22"/>
  <c r="R1251" i="22"/>
  <c r="O1251" i="22"/>
  <c r="N1251" i="22"/>
  <c r="P1251" i="22" s="1"/>
  <c r="J1251" i="22"/>
  <c r="R1250" i="22"/>
  <c r="O1250" i="22"/>
  <c r="N1250" i="22"/>
  <c r="J1250" i="22"/>
  <c r="R1249" i="22"/>
  <c r="O1249" i="22"/>
  <c r="N1249" i="22"/>
  <c r="P1249" i="22" s="1"/>
  <c r="J1249" i="22"/>
  <c r="R1248" i="22"/>
  <c r="O1248" i="22"/>
  <c r="N1248" i="22"/>
  <c r="J1248" i="22"/>
  <c r="R1247" i="22"/>
  <c r="O1247" i="22"/>
  <c r="N1247" i="22"/>
  <c r="J1247" i="22"/>
  <c r="R1246" i="22"/>
  <c r="O1246" i="22"/>
  <c r="N1246" i="22"/>
  <c r="J1246" i="22"/>
  <c r="R1245" i="22"/>
  <c r="O1245" i="22"/>
  <c r="N1245" i="22"/>
  <c r="P1245" i="22" s="1"/>
  <c r="J1245" i="22"/>
  <c r="R1244" i="22"/>
  <c r="O1244" i="22"/>
  <c r="N1244" i="22"/>
  <c r="J1244" i="22"/>
  <c r="R1243" i="22"/>
  <c r="O1243" i="22"/>
  <c r="N1243" i="22"/>
  <c r="J1243" i="22"/>
  <c r="R1242" i="22"/>
  <c r="O1242" i="22"/>
  <c r="N1242" i="22"/>
  <c r="J1242" i="22"/>
  <c r="R1241" i="22"/>
  <c r="O1241" i="22"/>
  <c r="N1241" i="22"/>
  <c r="P1241" i="22" s="1"/>
  <c r="J1241" i="22"/>
  <c r="R1240" i="22"/>
  <c r="O1240" i="22"/>
  <c r="N1240" i="22"/>
  <c r="J1240" i="22"/>
  <c r="R1239" i="22"/>
  <c r="O1239" i="22"/>
  <c r="N1239" i="22"/>
  <c r="P1239" i="22" s="1"/>
  <c r="J1239" i="22"/>
  <c r="R1238" i="22"/>
  <c r="O1238" i="22"/>
  <c r="N1238" i="22"/>
  <c r="J1238" i="22"/>
  <c r="R1237" i="22"/>
  <c r="O1237" i="22"/>
  <c r="N1237" i="22"/>
  <c r="P1237" i="22" s="1"/>
  <c r="J1237" i="22"/>
  <c r="R1236" i="22"/>
  <c r="O1236" i="22"/>
  <c r="N1236" i="22"/>
  <c r="J1236" i="22"/>
  <c r="R1235" i="22"/>
  <c r="O1235" i="22"/>
  <c r="N1235" i="22"/>
  <c r="P1235" i="22" s="1"/>
  <c r="J1235" i="22"/>
  <c r="R1234" i="22"/>
  <c r="O1234" i="22"/>
  <c r="N1234" i="22"/>
  <c r="J1234" i="22"/>
  <c r="R1233" i="22"/>
  <c r="O1233" i="22"/>
  <c r="N1233" i="22"/>
  <c r="J1233" i="22"/>
  <c r="R1232" i="22"/>
  <c r="O1232" i="22"/>
  <c r="N1232" i="22"/>
  <c r="J1232" i="22"/>
  <c r="R1231" i="22"/>
  <c r="O1231" i="22"/>
  <c r="N1231" i="22"/>
  <c r="P1231" i="22" s="1"/>
  <c r="J1231" i="22"/>
  <c r="R1230" i="22"/>
  <c r="O1230" i="22"/>
  <c r="N1230" i="22"/>
  <c r="J1230" i="22"/>
  <c r="R1229" i="22"/>
  <c r="O1229" i="22"/>
  <c r="N1229" i="22"/>
  <c r="P1229" i="22" s="1"/>
  <c r="J1229" i="22"/>
  <c r="R1228" i="22"/>
  <c r="O1228" i="22"/>
  <c r="N1228" i="22"/>
  <c r="J1228" i="22"/>
  <c r="R1227" i="22"/>
  <c r="O1227" i="22"/>
  <c r="N1227" i="22"/>
  <c r="J1227" i="22"/>
  <c r="R1226" i="22"/>
  <c r="O1226" i="22"/>
  <c r="N1226" i="22"/>
  <c r="J1226" i="22"/>
  <c r="R1225" i="22"/>
  <c r="O1225" i="22"/>
  <c r="N1225" i="22"/>
  <c r="P1225" i="22" s="1"/>
  <c r="J1225" i="22"/>
  <c r="R1224" i="22"/>
  <c r="O1224" i="22"/>
  <c r="N1224" i="22"/>
  <c r="J1224" i="22"/>
  <c r="R1223" i="22"/>
  <c r="O1223" i="22"/>
  <c r="N1223" i="22"/>
  <c r="P1223" i="22" s="1"/>
  <c r="J1223" i="22"/>
  <c r="R1222" i="22"/>
  <c r="O1222" i="22"/>
  <c r="N1222" i="22"/>
  <c r="J1222" i="22"/>
  <c r="R1221" i="22"/>
  <c r="O1221" i="22"/>
  <c r="N1221" i="22"/>
  <c r="P1221" i="22" s="1"/>
  <c r="J1221" i="22"/>
  <c r="R1220" i="22"/>
  <c r="O1220" i="22"/>
  <c r="N1220" i="22"/>
  <c r="J1220" i="22"/>
  <c r="R1219" i="22"/>
  <c r="O1219" i="22"/>
  <c r="N1219" i="22"/>
  <c r="P1219" i="22" s="1"/>
  <c r="J1219" i="22"/>
  <c r="R1218" i="22"/>
  <c r="O1218" i="22"/>
  <c r="N1218" i="22"/>
  <c r="J1218" i="22"/>
  <c r="R1217" i="22"/>
  <c r="O1217" i="22"/>
  <c r="N1217" i="22"/>
  <c r="J1217" i="22"/>
  <c r="R1216" i="22"/>
  <c r="O1216" i="22"/>
  <c r="N1216" i="22"/>
  <c r="J1216" i="22"/>
  <c r="R1215" i="22"/>
  <c r="O1215" i="22"/>
  <c r="N1215" i="22"/>
  <c r="P1215" i="22" s="1"/>
  <c r="J1215" i="22"/>
  <c r="R1214" i="22"/>
  <c r="O1214" i="22"/>
  <c r="N1214" i="22"/>
  <c r="J1214" i="22"/>
  <c r="R1213" i="22"/>
  <c r="O1213" i="22"/>
  <c r="N1213" i="22"/>
  <c r="P1213" i="22" s="1"/>
  <c r="J1213" i="22"/>
  <c r="R1212" i="22"/>
  <c r="O1212" i="22"/>
  <c r="N1212" i="22"/>
  <c r="J1212" i="22"/>
  <c r="R1211" i="22"/>
  <c r="O1211" i="22"/>
  <c r="N1211" i="22"/>
  <c r="J1211" i="22"/>
  <c r="R1210" i="22"/>
  <c r="O1210" i="22"/>
  <c r="N1210" i="22"/>
  <c r="J1210" i="22"/>
  <c r="R1209" i="22"/>
  <c r="O1209" i="22"/>
  <c r="N1209" i="22"/>
  <c r="P1209" i="22" s="1"/>
  <c r="J1209" i="22"/>
  <c r="R1208" i="22"/>
  <c r="O1208" i="22"/>
  <c r="N1208" i="22"/>
  <c r="J1208" i="22"/>
  <c r="R1207" i="22"/>
  <c r="O1207" i="22"/>
  <c r="N1207" i="22"/>
  <c r="P1207" i="22" s="1"/>
  <c r="J1207" i="22"/>
  <c r="R1206" i="22"/>
  <c r="O1206" i="22"/>
  <c r="N1206" i="22"/>
  <c r="J1206" i="22"/>
  <c r="R1205" i="22"/>
  <c r="O1205" i="22"/>
  <c r="N1205" i="22"/>
  <c r="P1205" i="22" s="1"/>
  <c r="J1205" i="22"/>
  <c r="R1204" i="22"/>
  <c r="O1204" i="22"/>
  <c r="N1204" i="22"/>
  <c r="J1204" i="22"/>
  <c r="R1203" i="22"/>
  <c r="O1203" i="22"/>
  <c r="N1203" i="22"/>
  <c r="P1203" i="22" s="1"/>
  <c r="J1203" i="22"/>
  <c r="R1202" i="22"/>
  <c r="O1202" i="22"/>
  <c r="N1202" i="22"/>
  <c r="J1202" i="22"/>
  <c r="R1201" i="22"/>
  <c r="O1201" i="22"/>
  <c r="N1201" i="22"/>
  <c r="J1201" i="22"/>
  <c r="R1200" i="22"/>
  <c r="O1200" i="22"/>
  <c r="N1200" i="22"/>
  <c r="J1200" i="22"/>
  <c r="R1199" i="22"/>
  <c r="O1199" i="22"/>
  <c r="N1199" i="22"/>
  <c r="P1199" i="22" s="1"/>
  <c r="J1199" i="22"/>
  <c r="R1198" i="22"/>
  <c r="O1198" i="22"/>
  <c r="N1198" i="22"/>
  <c r="J1198" i="22"/>
  <c r="R1197" i="22"/>
  <c r="O1197" i="22"/>
  <c r="N1197" i="22"/>
  <c r="P1197" i="22" s="1"/>
  <c r="J1197" i="22"/>
  <c r="R1196" i="22"/>
  <c r="O1196" i="22"/>
  <c r="N1196" i="22"/>
  <c r="J1196" i="22"/>
  <c r="R1195" i="22"/>
  <c r="O1195" i="22"/>
  <c r="N1195" i="22"/>
  <c r="J1195" i="22"/>
  <c r="R1194" i="22"/>
  <c r="O1194" i="22"/>
  <c r="N1194" i="22"/>
  <c r="J1194" i="22"/>
  <c r="R1193" i="22"/>
  <c r="O1193" i="22"/>
  <c r="N1193" i="22"/>
  <c r="J1193" i="22"/>
  <c r="R1192" i="22"/>
  <c r="O1192" i="22"/>
  <c r="N1192" i="22"/>
  <c r="J1192" i="22"/>
  <c r="R1191" i="22"/>
  <c r="O1191" i="22"/>
  <c r="N1191" i="22"/>
  <c r="J1191" i="22"/>
  <c r="R1190" i="22"/>
  <c r="O1190" i="22"/>
  <c r="N1190" i="22"/>
  <c r="J1190" i="22"/>
  <c r="R1189" i="22"/>
  <c r="O1189" i="22"/>
  <c r="N1189" i="22"/>
  <c r="J1189" i="22"/>
  <c r="R1188" i="22"/>
  <c r="O1188" i="22"/>
  <c r="N1188" i="22"/>
  <c r="J1188" i="22"/>
  <c r="R1187" i="22"/>
  <c r="O1187" i="22"/>
  <c r="N1187" i="22"/>
  <c r="J1187" i="22"/>
  <c r="R1186" i="22"/>
  <c r="O1186" i="22"/>
  <c r="N1186" i="22"/>
  <c r="J1186" i="22"/>
  <c r="R1185" i="22"/>
  <c r="O1185" i="22"/>
  <c r="N1185" i="22"/>
  <c r="J1185" i="22"/>
  <c r="R1184" i="22"/>
  <c r="O1184" i="22"/>
  <c r="N1184" i="22"/>
  <c r="S1184" i="22" s="1"/>
  <c r="J1184" i="22"/>
  <c r="R1183" i="22"/>
  <c r="O1183" i="22"/>
  <c r="N1183" i="22"/>
  <c r="P1183" i="22" s="1"/>
  <c r="J1183" i="22"/>
  <c r="R1182" i="22"/>
  <c r="O1182" i="22"/>
  <c r="N1182" i="22"/>
  <c r="J1182" i="22"/>
  <c r="R1181" i="22"/>
  <c r="O1181" i="22"/>
  <c r="N1181" i="22"/>
  <c r="P1181" i="22" s="1"/>
  <c r="J1181" i="22"/>
  <c r="R1180" i="22"/>
  <c r="O1180" i="22"/>
  <c r="N1180" i="22"/>
  <c r="S1180" i="22" s="1"/>
  <c r="U1180" i="22" s="1"/>
  <c r="J1180" i="22"/>
  <c r="R1179" i="22"/>
  <c r="O1179" i="22"/>
  <c r="N1179" i="22"/>
  <c r="J1179" i="22"/>
  <c r="R1178" i="22"/>
  <c r="O1178" i="22"/>
  <c r="N1178" i="22"/>
  <c r="S1178" i="22" s="1"/>
  <c r="U1178" i="22" s="1"/>
  <c r="Z1178" i="22" s="1"/>
  <c r="J1178" i="22"/>
  <c r="R1177" i="22"/>
  <c r="O1177" i="22"/>
  <c r="N1177" i="22"/>
  <c r="P1177" i="22" s="1"/>
  <c r="J1177" i="22"/>
  <c r="R1176" i="22"/>
  <c r="O1176" i="22"/>
  <c r="N1176" i="22"/>
  <c r="S1176" i="22" s="1"/>
  <c r="U1176" i="22" s="1"/>
  <c r="J1176" i="22"/>
  <c r="R1175" i="22"/>
  <c r="O1175" i="22"/>
  <c r="N1175" i="22"/>
  <c r="J1175" i="22"/>
  <c r="R1174" i="22"/>
  <c r="O1174" i="22"/>
  <c r="N1174" i="22"/>
  <c r="S1174" i="22" s="1"/>
  <c r="U1174" i="22" s="1"/>
  <c r="Z1174" i="22" s="1"/>
  <c r="J1174" i="22"/>
  <c r="R1173" i="22"/>
  <c r="O1173" i="22"/>
  <c r="N1173" i="22"/>
  <c r="J1173" i="22"/>
  <c r="R1172" i="22"/>
  <c r="O1172" i="22"/>
  <c r="N1172" i="22"/>
  <c r="S1172" i="22" s="1"/>
  <c r="U1172" i="22" s="1"/>
  <c r="J1172" i="22"/>
  <c r="R1171" i="22"/>
  <c r="O1171" i="22"/>
  <c r="N1171" i="22"/>
  <c r="J1171" i="22"/>
  <c r="R1170" i="22"/>
  <c r="O1170" i="22"/>
  <c r="N1170" i="22"/>
  <c r="J1170" i="22"/>
  <c r="R1169" i="22"/>
  <c r="O1169" i="22"/>
  <c r="N1169" i="22"/>
  <c r="P1169" i="22" s="1"/>
  <c r="J1169" i="22"/>
  <c r="R1168" i="22"/>
  <c r="O1168" i="22"/>
  <c r="N1168" i="22"/>
  <c r="S1168" i="22" s="1"/>
  <c r="U1168" i="22" s="1"/>
  <c r="J1168" i="22"/>
  <c r="R1167" i="22"/>
  <c r="O1167" i="22"/>
  <c r="N1167" i="22"/>
  <c r="J1167" i="22"/>
  <c r="R1166" i="22"/>
  <c r="O1166" i="22"/>
  <c r="N1166" i="22"/>
  <c r="S1166" i="22" s="1"/>
  <c r="U1166" i="22" s="1"/>
  <c r="Z1166" i="22" s="1"/>
  <c r="J1166" i="22"/>
  <c r="R1165" i="22"/>
  <c r="O1165" i="22"/>
  <c r="N1165" i="22"/>
  <c r="P1165" i="22" s="1"/>
  <c r="J1165" i="22"/>
  <c r="R1164" i="22"/>
  <c r="O1164" i="22"/>
  <c r="N1164" i="22"/>
  <c r="S1164" i="22" s="1"/>
  <c r="U1164" i="22" s="1"/>
  <c r="J1164" i="22"/>
  <c r="R1163" i="22"/>
  <c r="O1163" i="22"/>
  <c r="N1163" i="22"/>
  <c r="J1163" i="22"/>
  <c r="R1162" i="22"/>
  <c r="O1162" i="22"/>
  <c r="N1162" i="22"/>
  <c r="S1162" i="22" s="1"/>
  <c r="U1162" i="22" s="1"/>
  <c r="Z1162" i="22" s="1"/>
  <c r="J1162" i="22"/>
  <c r="R1161" i="22"/>
  <c r="O1161" i="22"/>
  <c r="N1161" i="22"/>
  <c r="P1161" i="22" s="1"/>
  <c r="J1161" i="22"/>
  <c r="R1160" i="22"/>
  <c r="O1160" i="22"/>
  <c r="N1160" i="22"/>
  <c r="S1160" i="22" s="1"/>
  <c r="U1160" i="22" s="1"/>
  <c r="J1160" i="22"/>
  <c r="R1159" i="22"/>
  <c r="O1159" i="22"/>
  <c r="N1159" i="22"/>
  <c r="J1159" i="22"/>
  <c r="R1158" i="22"/>
  <c r="O1158" i="22"/>
  <c r="N1158" i="22"/>
  <c r="J1158" i="22"/>
  <c r="R1157" i="22"/>
  <c r="O1157" i="22"/>
  <c r="N1157" i="22"/>
  <c r="J1157" i="22"/>
  <c r="R1156" i="22"/>
  <c r="O1156" i="22"/>
  <c r="N1156" i="22"/>
  <c r="S1156" i="22" s="1"/>
  <c r="U1156" i="22" s="1"/>
  <c r="J1156" i="22"/>
  <c r="R1155" i="22"/>
  <c r="O1155" i="22"/>
  <c r="N1155" i="22"/>
  <c r="J1155" i="22"/>
  <c r="R1154" i="22"/>
  <c r="O1154" i="22"/>
  <c r="N1154" i="22"/>
  <c r="J1154" i="22"/>
  <c r="R1153" i="22"/>
  <c r="O1153" i="22"/>
  <c r="N1153" i="22"/>
  <c r="P1153" i="22" s="1"/>
  <c r="J1153" i="22"/>
  <c r="R1152" i="22"/>
  <c r="O1152" i="22"/>
  <c r="N1152" i="22"/>
  <c r="J1152" i="22"/>
  <c r="R1151" i="22"/>
  <c r="O1151" i="22"/>
  <c r="N1151" i="22"/>
  <c r="J1151" i="22"/>
  <c r="R1150" i="22"/>
  <c r="O1150" i="22"/>
  <c r="N1150" i="22"/>
  <c r="P1150" i="22" s="1"/>
  <c r="J1150" i="22"/>
  <c r="R1149" i="22"/>
  <c r="O1149" i="22"/>
  <c r="N1149" i="22"/>
  <c r="J1149" i="22"/>
  <c r="R1148" i="22"/>
  <c r="O1148" i="22"/>
  <c r="N1148" i="22"/>
  <c r="S1148" i="22" s="1"/>
  <c r="U1148" i="22" s="1"/>
  <c r="J1148" i="22"/>
  <c r="R1147" i="22"/>
  <c r="O1147" i="22"/>
  <c r="N1147" i="22"/>
  <c r="J1147" i="22"/>
  <c r="R1146" i="22"/>
  <c r="O1146" i="22"/>
  <c r="N1146" i="22"/>
  <c r="J1146" i="22"/>
  <c r="R1145" i="22"/>
  <c r="O1145" i="22"/>
  <c r="N1145" i="22"/>
  <c r="P1145" i="22" s="1"/>
  <c r="J1145" i="22"/>
  <c r="R1144" i="22"/>
  <c r="O1144" i="22"/>
  <c r="N1144" i="22"/>
  <c r="S1144" i="22" s="1"/>
  <c r="U1144" i="22" s="1"/>
  <c r="J1144" i="22"/>
  <c r="R1143" i="22"/>
  <c r="O1143" i="22"/>
  <c r="N1143" i="22"/>
  <c r="J1143" i="22"/>
  <c r="R1142" i="22"/>
  <c r="O1142" i="22"/>
  <c r="N1142" i="22"/>
  <c r="S1142" i="22" s="1"/>
  <c r="U1142" i="22" s="1"/>
  <c r="Z1142" i="22" s="1"/>
  <c r="J1142" i="22"/>
  <c r="R1141" i="22"/>
  <c r="O1141" i="22"/>
  <c r="N1141" i="22"/>
  <c r="P1141" i="22" s="1"/>
  <c r="J1141" i="22"/>
  <c r="R1140" i="22"/>
  <c r="O1140" i="22"/>
  <c r="N1140" i="22"/>
  <c r="S1140" i="22" s="1"/>
  <c r="U1140" i="22" s="1"/>
  <c r="J1140" i="22"/>
  <c r="R1139" i="22"/>
  <c r="O1139" i="22"/>
  <c r="N1139" i="22"/>
  <c r="J1139" i="22"/>
  <c r="R1138" i="22"/>
  <c r="O1138" i="22"/>
  <c r="N1138" i="22"/>
  <c r="S1138" i="22" s="1"/>
  <c r="U1138" i="22" s="1"/>
  <c r="Z1138" i="22" s="1"/>
  <c r="J1138" i="22"/>
  <c r="R1137" i="22"/>
  <c r="O1137" i="22"/>
  <c r="N1137" i="22"/>
  <c r="P1137" i="22" s="1"/>
  <c r="J1137" i="22"/>
  <c r="R1136" i="22"/>
  <c r="O1136" i="22"/>
  <c r="N1136" i="22"/>
  <c r="S1136" i="22" s="1"/>
  <c r="U1136" i="22" s="1"/>
  <c r="J1136" i="22"/>
  <c r="R1135" i="22"/>
  <c r="O1135" i="22"/>
  <c r="N1135" i="22"/>
  <c r="J1135" i="22"/>
  <c r="R1134" i="22"/>
  <c r="O1134" i="22"/>
  <c r="N1134" i="22"/>
  <c r="P1134" i="22" s="1"/>
  <c r="J1134" i="22"/>
  <c r="R1133" i="22"/>
  <c r="O1133" i="22"/>
  <c r="N1133" i="22"/>
  <c r="P1133" i="22" s="1"/>
  <c r="J1133" i="22"/>
  <c r="R1132" i="22"/>
  <c r="O1132" i="22"/>
  <c r="N1132" i="22"/>
  <c r="S1132" i="22" s="1"/>
  <c r="U1132" i="22" s="1"/>
  <c r="J1132" i="22"/>
  <c r="R1131" i="22"/>
  <c r="O1131" i="22"/>
  <c r="N1131" i="22"/>
  <c r="J1131" i="22"/>
  <c r="R1130" i="22"/>
  <c r="O1130" i="22"/>
  <c r="N1130" i="22"/>
  <c r="S1130" i="22" s="1"/>
  <c r="U1130" i="22" s="1"/>
  <c r="Z1130" i="22" s="1"/>
  <c r="J1130" i="22"/>
  <c r="R1129" i="22"/>
  <c r="O1129" i="22"/>
  <c r="N1129" i="22"/>
  <c r="P1129" i="22" s="1"/>
  <c r="J1129" i="22"/>
  <c r="R1128" i="22"/>
  <c r="O1128" i="22"/>
  <c r="N1128" i="22"/>
  <c r="S1128" i="22" s="1"/>
  <c r="U1128" i="22" s="1"/>
  <c r="J1128" i="22"/>
  <c r="R1127" i="22"/>
  <c r="O1127" i="22"/>
  <c r="N1127" i="22"/>
  <c r="J1127" i="22"/>
  <c r="R1126" i="22"/>
  <c r="O1126" i="22"/>
  <c r="N1126" i="22"/>
  <c r="P1126" i="22" s="1"/>
  <c r="J1126" i="22"/>
  <c r="R1125" i="22"/>
  <c r="O1125" i="22"/>
  <c r="N1125" i="22"/>
  <c r="P1125" i="22" s="1"/>
  <c r="J1125" i="22"/>
  <c r="R1124" i="22"/>
  <c r="O1124" i="22"/>
  <c r="N1124" i="22"/>
  <c r="S1124" i="22" s="1"/>
  <c r="U1124" i="22" s="1"/>
  <c r="J1124" i="22"/>
  <c r="R1123" i="22"/>
  <c r="O1123" i="22"/>
  <c r="N1123" i="22"/>
  <c r="J1123" i="22"/>
  <c r="R1122" i="22"/>
  <c r="O1122" i="22"/>
  <c r="N1122" i="22"/>
  <c r="S1122" i="22" s="1"/>
  <c r="U1122" i="22" s="1"/>
  <c r="Z1122" i="22" s="1"/>
  <c r="J1122" i="22"/>
  <c r="R1121" i="22"/>
  <c r="O1121" i="22"/>
  <c r="N1121" i="22"/>
  <c r="P1121" i="22" s="1"/>
  <c r="J1121" i="22"/>
  <c r="R1120" i="22"/>
  <c r="O1120" i="22"/>
  <c r="N1120" i="22"/>
  <c r="S1120" i="22" s="1"/>
  <c r="U1120" i="22" s="1"/>
  <c r="J1120" i="22"/>
  <c r="R1119" i="22"/>
  <c r="O1119" i="22"/>
  <c r="N1119" i="22"/>
  <c r="J1119" i="22"/>
  <c r="R1118" i="22"/>
  <c r="O1118" i="22"/>
  <c r="N1118" i="22"/>
  <c r="P1118" i="22" s="1"/>
  <c r="J1118" i="22"/>
  <c r="R1117" i="22"/>
  <c r="O1117" i="22"/>
  <c r="N1117" i="22"/>
  <c r="P1117" i="22" s="1"/>
  <c r="J1117" i="22"/>
  <c r="R1116" i="22"/>
  <c r="O1116" i="22"/>
  <c r="N1116" i="22"/>
  <c r="S1116" i="22" s="1"/>
  <c r="U1116" i="22" s="1"/>
  <c r="J1116" i="22"/>
  <c r="R1115" i="22"/>
  <c r="O1115" i="22"/>
  <c r="N1115" i="22"/>
  <c r="J1115" i="22"/>
  <c r="R1114" i="22"/>
  <c r="O1114" i="22"/>
  <c r="N1114" i="22"/>
  <c r="S1114" i="22" s="1"/>
  <c r="U1114" i="22" s="1"/>
  <c r="Z1114" i="22" s="1"/>
  <c r="J1114" i="22"/>
  <c r="R1113" i="22"/>
  <c r="O1113" i="22"/>
  <c r="N1113" i="22"/>
  <c r="P1113" i="22" s="1"/>
  <c r="J1113" i="22"/>
  <c r="R1112" i="22"/>
  <c r="O1112" i="22"/>
  <c r="N1112" i="22"/>
  <c r="S1112" i="22" s="1"/>
  <c r="U1112" i="22" s="1"/>
  <c r="J1112" i="22"/>
  <c r="R1111" i="22"/>
  <c r="O1111" i="22"/>
  <c r="N1111" i="22"/>
  <c r="J1111" i="22"/>
  <c r="R1110" i="22"/>
  <c r="O1110" i="22"/>
  <c r="N1110" i="22"/>
  <c r="J1110" i="22"/>
  <c r="R1109" i="22"/>
  <c r="O1109" i="22"/>
  <c r="N1109" i="22"/>
  <c r="P1109" i="22" s="1"/>
  <c r="J1109" i="22"/>
  <c r="R1108" i="22"/>
  <c r="O1108" i="22"/>
  <c r="N1108" i="22"/>
  <c r="S1108" i="22" s="1"/>
  <c r="U1108" i="22" s="1"/>
  <c r="J1108" i="22"/>
  <c r="R1107" i="22"/>
  <c r="O1107" i="22"/>
  <c r="N1107" i="22"/>
  <c r="J1107" i="22"/>
  <c r="R1106" i="22"/>
  <c r="O1106" i="22"/>
  <c r="N1106" i="22"/>
  <c r="P1106" i="22" s="1"/>
  <c r="J1106" i="22"/>
  <c r="R1105" i="22"/>
  <c r="O1105" i="22"/>
  <c r="N1105" i="22"/>
  <c r="J1105" i="22"/>
  <c r="R1104" i="22"/>
  <c r="O1104" i="22"/>
  <c r="N1104" i="22"/>
  <c r="P1104" i="22" s="1"/>
  <c r="J1104" i="22"/>
  <c r="R1103" i="22"/>
  <c r="O1103" i="22"/>
  <c r="N1103" i="22"/>
  <c r="J1103" i="22"/>
  <c r="R1102" i="22"/>
  <c r="O1102" i="22"/>
  <c r="N1102" i="22"/>
  <c r="J1102" i="22"/>
  <c r="R1101" i="22"/>
  <c r="O1101" i="22"/>
  <c r="N1101" i="22"/>
  <c r="J1101" i="22"/>
  <c r="R1100" i="22"/>
  <c r="O1100" i="22"/>
  <c r="N1100" i="22"/>
  <c r="P1100" i="22" s="1"/>
  <c r="J1100" i="22"/>
  <c r="R1099" i="22"/>
  <c r="O1099" i="22"/>
  <c r="N1099" i="22"/>
  <c r="J1099" i="22"/>
  <c r="R1098" i="22"/>
  <c r="O1098" i="22"/>
  <c r="N1098" i="22"/>
  <c r="J1098" i="22"/>
  <c r="R1097" i="22"/>
  <c r="O1097" i="22"/>
  <c r="N1097" i="22"/>
  <c r="J1097" i="22"/>
  <c r="R1096" i="22"/>
  <c r="O1096" i="22"/>
  <c r="N1096" i="22"/>
  <c r="P1096" i="22" s="1"/>
  <c r="J1096" i="22"/>
  <c r="R1095" i="22"/>
  <c r="O1095" i="22"/>
  <c r="N1095" i="22"/>
  <c r="J1095" i="22"/>
  <c r="R1094" i="22"/>
  <c r="O1094" i="22"/>
  <c r="N1094" i="22"/>
  <c r="P1094" i="22" s="1"/>
  <c r="J1094" i="22"/>
  <c r="R1093" i="22"/>
  <c r="O1093" i="22"/>
  <c r="N1093" i="22"/>
  <c r="J1093" i="22"/>
  <c r="R1092" i="22"/>
  <c r="O1092" i="22"/>
  <c r="N1092" i="22"/>
  <c r="P1092" i="22" s="1"/>
  <c r="J1092" i="22"/>
  <c r="R1091" i="22"/>
  <c r="O1091" i="22"/>
  <c r="N1091" i="22"/>
  <c r="J1091" i="22"/>
  <c r="R1090" i="22"/>
  <c r="O1090" i="22"/>
  <c r="N1090" i="22"/>
  <c r="P1090" i="22" s="1"/>
  <c r="J1090" i="22"/>
  <c r="R1089" i="22"/>
  <c r="O1089" i="22"/>
  <c r="N1089" i="22"/>
  <c r="J1089" i="22"/>
  <c r="R1088" i="22"/>
  <c r="O1088" i="22"/>
  <c r="N1088" i="22"/>
  <c r="P1088" i="22" s="1"/>
  <c r="J1088" i="22"/>
  <c r="R1087" i="22"/>
  <c r="O1087" i="22"/>
  <c r="N1087" i="22"/>
  <c r="J1087" i="22"/>
  <c r="R1086" i="22"/>
  <c r="O1086" i="22"/>
  <c r="N1086" i="22"/>
  <c r="J1086" i="22"/>
  <c r="R1085" i="22"/>
  <c r="O1085" i="22"/>
  <c r="N1085" i="22"/>
  <c r="J1085" i="22"/>
  <c r="R1084" i="22"/>
  <c r="O1084" i="22"/>
  <c r="N1084" i="22"/>
  <c r="P1084" i="22" s="1"/>
  <c r="J1084" i="22"/>
  <c r="R1083" i="22"/>
  <c r="O1083" i="22"/>
  <c r="N1083" i="22"/>
  <c r="J1083" i="22"/>
  <c r="R1082" i="22"/>
  <c r="O1082" i="22"/>
  <c r="N1082" i="22"/>
  <c r="J1082" i="22"/>
  <c r="R1081" i="22"/>
  <c r="O1081" i="22"/>
  <c r="N1081" i="22"/>
  <c r="J1081" i="22"/>
  <c r="R1080" i="22"/>
  <c r="O1080" i="22"/>
  <c r="N1080" i="22"/>
  <c r="J1080" i="22"/>
  <c r="R1079" i="22"/>
  <c r="O1079" i="22"/>
  <c r="N1079" i="22"/>
  <c r="J1079" i="22"/>
  <c r="R1078" i="22"/>
  <c r="O1078" i="22"/>
  <c r="N1078" i="22"/>
  <c r="P1078" i="22" s="1"/>
  <c r="J1078" i="22"/>
  <c r="R1077" i="22"/>
  <c r="O1077" i="22"/>
  <c r="N1077" i="22"/>
  <c r="J1077" i="22"/>
  <c r="R1076" i="22"/>
  <c r="O1076" i="22"/>
  <c r="N1076" i="22"/>
  <c r="P1076" i="22" s="1"/>
  <c r="J1076" i="22"/>
  <c r="R1075" i="22"/>
  <c r="O1075" i="22"/>
  <c r="N1075" i="22"/>
  <c r="J1075" i="22"/>
  <c r="R1074" i="22"/>
  <c r="O1074" i="22"/>
  <c r="N1074" i="22"/>
  <c r="J1074" i="22"/>
  <c r="R1073" i="22"/>
  <c r="O1073" i="22"/>
  <c r="N1073" i="22"/>
  <c r="J1073" i="22"/>
  <c r="R1072" i="22"/>
  <c r="O1072" i="22"/>
  <c r="N1072" i="22"/>
  <c r="P1072" i="22" s="1"/>
  <c r="J1072" i="22"/>
  <c r="R1071" i="22"/>
  <c r="O1071" i="22"/>
  <c r="N1071" i="22"/>
  <c r="J1071" i="22"/>
  <c r="R1070" i="22"/>
  <c r="O1070" i="22"/>
  <c r="N1070" i="22"/>
  <c r="J1070" i="22"/>
  <c r="R1069" i="22"/>
  <c r="O1069" i="22"/>
  <c r="N1069" i="22"/>
  <c r="J1069" i="22"/>
  <c r="R1068" i="22"/>
  <c r="O1068" i="22"/>
  <c r="N1068" i="22"/>
  <c r="P1068" i="22" s="1"/>
  <c r="J1068" i="22"/>
  <c r="R1067" i="22"/>
  <c r="O1067" i="22"/>
  <c r="N1067" i="22"/>
  <c r="J1067" i="22"/>
  <c r="R1066" i="22"/>
  <c r="O1066" i="22"/>
  <c r="N1066" i="22"/>
  <c r="J1066" i="22"/>
  <c r="R1065" i="22"/>
  <c r="O1065" i="22"/>
  <c r="N1065" i="22"/>
  <c r="J1065" i="22"/>
  <c r="R1064" i="22"/>
  <c r="O1064" i="22"/>
  <c r="N1064" i="22"/>
  <c r="P1064" i="22" s="1"/>
  <c r="J1064" i="22"/>
  <c r="R1063" i="22"/>
  <c r="O1063" i="22"/>
  <c r="N1063" i="22"/>
  <c r="J1063" i="22"/>
  <c r="R1062" i="22"/>
  <c r="O1062" i="22"/>
  <c r="N1062" i="22"/>
  <c r="P1062" i="22" s="1"/>
  <c r="J1062" i="22"/>
  <c r="R1061" i="22"/>
  <c r="O1061" i="22"/>
  <c r="N1061" i="22"/>
  <c r="J1061" i="22"/>
  <c r="R1060" i="22"/>
  <c r="O1060" i="22"/>
  <c r="N1060" i="22"/>
  <c r="P1060" i="22" s="1"/>
  <c r="J1060" i="22"/>
  <c r="R1059" i="22"/>
  <c r="O1059" i="22"/>
  <c r="N1059" i="22"/>
  <c r="P1059" i="22" s="1"/>
  <c r="J1059" i="22"/>
  <c r="R1058" i="22"/>
  <c r="O1058" i="22"/>
  <c r="N1058" i="22"/>
  <c r="P1058" i="22" s="1"/>
  <c r="J1058" i="22"/>
  <c r="R1057" i="22"/>
  <c r="O1057" i="22"/>
  <c r="N1057" i="22"/>
  <c r="P1057" i="22" s="1"/>
  <c r="J1057" i="22"/>
  <c r="R1056" i="22"/>
  <c r="O1056" i="22"/>
  <c r="N1056" i="22"/>
  <c r="P1056" i="22" s="1"/>
  <c r="J1056" i="22"/>
  <c r="R1055" i="22"/>
  <c r="O1055" i="22"/>
  <c r="N1055" i="22"/>
  <c r="P1055" i="22" s="1"/>
  <c r="J1055" i="22"/>
  <c r="R1054" i="22"/>
  <c r="O1054" i="22"/>
  <c r="N1054" i="22"/>
  <c r="P1054" i="22" s="1"/>
  <c r="J1054" i="22"/>
  <c r="R1053" i="22"/>
  <c r="O1053" i="22"/>
  <c r="N1053" i="22"/>
  <c r="P1053" i="22" s="1"/>
  <c r="J1053" i="22"/>
  <c r="R1052" i="22"/>
  <c r="O1052" i="22"/>
  <c r="N1052" i="22"/>
  <c r="P1052" i="22" s="1"/>
  <c r="J1052" i="22"/>
  <c r="R1051" i="22"/>
  <c r="O1051" i="22"/>
  <c r="N1051" i="22"/>
  <c r="P1051" i="22" s="1"/>
  <c r="J1051" i="22"/>
  <c r="R1050" i="22"/>
  <c r="O1050" i="22"/>
  <c r="N1050" i="22"/>
  <c r="J1050" i="22"/>
  <c r="R1049" i="22"/>
  <c r="O1049" i="22"/>
  <c r="N1049" i="22"/>
  <c r="J1049" i="22"/>
  <c r="R1048" i="22"/>
  <c r="O1048" i="22"/>
  <c r="N1048" i="22"/>
  <c r="P1048" i="22" s="1"/>
  <c r="J1048" i="22"/>
  <c r="R1047" i="22"/>
  <c r="O1047" i="22"/>
  <c r="N1047" i="22"/>
  <c r="P1047" i="22" s="1"/>
  <c r="J1047" i="22"/>
  <c r="R1046" i="22"/>
  <c r="O1046" i="22"/>
  <c r="N1046" i="22"/>
  <c r="P1046" i="22" s="1"/>
  <c r="J1046" i="22"/>
  <c r="R1045" i="22"/>
  <c r="O1045" i="22"/>
  <c r="N1045" i="22"/>
  <c r="J1045" i="22"/>
  <c r="R1044" i="22"/>
  <c r="O1044" i="22"/>
  <c r="N1044" i="22"/>
  <c r="P1044" i="22" s="1"/>
  <c r="J1044" i="22"/>
  <c r="R1043" i="22"/>
  <c r="O1043" i="22"/>
  <c r="N1043" i="22"/>
  <c r="P1043" i="22" s="1"/>
  <c r="J1043" i="22"/>
  <c r="R1042" i="22"/>
  <c r="O1042" i="22"/>
  <c r="N1042" i="22"/>
  <c r="J1042" i="22"/>
  <c r="R1041" i="22"/>
  <c r="O1041" i="22"/>
  <c r="N1041" i="22"/>
  <c r="J1041" i="22"/>
  <c r="R1040" i="22"/>
  <c r="O1040" i="22"/>
  <c r="N1040" i="22"/>
  <c r="J1040" i="22"/>
  <c r="R1039" i="22"/>
  <c r="O1039" i="22"/>
  <c r="N1039" i="22"/>
  <c r="J1039" i="22"/>
  <c r="R1038" i="22"/>
  <c r="O1038" i="22"/>
  <c r="N1038" i="22"/>
  <c r="J1038" i="22"/>
  <c r="R1037" i="22"/>
  <c r="O1037" i="22"/>
  <c r="N1037" i="22"/>
  <c r="J1037" i="22"/>
  <c r="R1036" i="22"/>
  <c r="O1036" i="22"/>
  <c r="N1036" i="22"/>
  <c r="J1036" i="22"/>
  <c r="R1035" i="22"/>
  <c r="O1035" i="22"/>
  <c r="N1035" i="22"/>
  <c r="J1035" i="22"/>
  <c r="R1034" i="22"/>
  <c r="O1034" i="22"/>
  <c r="N1034" i="22"/>
  <c r="J1034" i="22"/>
  <c r="R1033" i="22"/>
  <c r="O1033" i="22"/>
  <c r="N1033" i="22"/>
  <c r="J1033" i="22"/>
  <c r="R1032" i="22"/>
  <c r="O1032" i="22"/>
  <c r="N1032" i="22"/>
  <c r="J1032" i="22"/>
  <c r="R1031" i="22"/>
  <c r="O1031" i="22"/>
  <c r="N1031" i="22"/>
  <c r="J1031" i="22"/>
  <c r="R1030" i="22"/>
  <c r="O1030" i="22"/>
  <c r="N1030" i="22"/>
  <c r="J1030" i="22"/>
  <c r="R1029" i="22"/>
  <c r="O1029" i="22"/>
  <c r="N1029" i="22"/>
  <c r="J1029" i="22"/>
  <c r="R1028" i="22"/>
  <c r="O1028" i="22"/>
  <c r="N1028" i="22"/>
  <c r="J1028" i="22"/>
  <c r="R1027" i="22"/>
  <c r="O1027" i="22"/>
  <c r="N1027" i="22"/>
  <c r="J1027" i="22"/>
  <c r="R1026" i="22"/>
  <c r="O1026" i="22"/>
  <c r="N1026" i="22"/>
  <c r="J1026" i="22"/>
  <c r="R1025" i="22"/>
  <c r="O1025" i="22"/>
  <c r="N1025" i="22"/>
  <c r="J1025" i="22"/>
  <c r="R1024" i="22"/>
  <c r="O1024" i="22"/>
  <c r="N1024" i="22"/>
  <c r="J1024" i="22"/>
  <c r="R1023" i="22"/>
  <c r="O1023" i="22"/>
  <c r="N1023" i="22"/>
  <c r="J1023" i="22"/>
  <c r="R1022" i="22"/>
  <c r="O1022" i="22"/>
  <c r="N1022" i="22"/>
  <c r="J1022" i="22"/>
  <c r="R1021" i="22"/>
  <c r="O1021" i="22"/>
  <c r="N1021" i="22"/>
  <c r="J1021" i="22"/>
  <c r="R1020" i="22"/>
  <c r="O1020" i="22"/>
  <c r="N1020" i="22"/>
  <c r="J1020" i="22"/>
  <c r="R1019" i="22"/>
  <c r="O1019" i="22"/>
  <c r="N1019" i="22"/>
  <c r="J1019" i="22"/>
  <c r="R1018" i="22"/>
  <c r="O1018" i="22"/>
  <c r="N1018" i="22"/>
  <c r="J1018" i="22"/>
  <c r="R1017" i="22"/>
  <c r="O1017" i="22"/>
  <c r="N1017" i="22"/>
  <c r="J1017" i="22"/>
  <c r="R1016" i="22"/>
  <c r="O1016" i="22"/>
  <c r="N1016" i="22"/>
  <c r="J1016" i="22"/>
  <c r="R1015" i="22"/>
  <c r="O1015" i="22"/>
  <c r="N1015" i="22"/>
  <c r="J1015" i="22"/>
  <c r="R1014" i="22"/>
  <c r="O1014" i="22"/>
  <c r="N1014" i="22"/>
  <c r="J1014" i="22"/>
  <c r="R1013" i="22"/>
  <c r="O1013" i="22"/>
  <c r="N1013" i="22"/>
  <c r="J1013" i="22"/>
  <c r="R1012" i="22"/>
  <c r="O1012" i="22"/>
  <c r="N1012" i="22"/>
  <c r="J1012" i="22"/>
  <c r="R1011" i="22"/>
  <c r="O1011" i="22"/>
  <c r="N1011" i="22"/>
  <c r="J1011" i="22"/>
  <c r="R1010" i="22"/>
  <c r="O1010" i="22"/>
  <c r="N1010" i="22"/>
  <c r="J1010" i="22"/>
  <c r="R1009" i="22"/>
  <c r="O1009" i="22"/>
  <c r="N1009" i="22"/>
  <c r="J1009" i="22"/>
  <c r="R1008" i="22"/>
  <c r="O1008" i="22"/>
  <c r="N1008" i="22"/>
  <c r="J1008" i="22"/>
  <c r="R1007" i="22"/>
  <c r="O1007" i="22"/>
  <c r="N1007" i="22"/>
  <c r="J1007" i="22"/>
  <c r="R1006" i="22"/>
  <c r="O1006" i="22"/>
  <c r="N1006" i="22"/>
  <c r="J1006" i="22"/>
  <c r="R1005" i="22"/>
  <c r="O1005" i="22"/>
  <c r="N1005" i="22"/>
  <c r="J1005" i="22"/>
  <c r="R1004" i="22"/>
  <c r="O1004" i="22"/>
  <c r="N1004" i="22"/>
  <c r="J1004" i="22"/>
  <c r="R1003" i="22"/>
  <c r="O1003" i="22"/>
  <c r="N1003" i="22"/>
  <c r="J1003" i="22"/>
  <c r="R1002" i="22"/>
  <c r="O1002" i="22"/>
  <c r="N1002" i="22"/>
  <c r="J1002" i="22"/>
  <c r="R1001" i="22"/>
  <c r="O1001" i="22"/>
  <c r="N1001" i="22"/>
  <c r="J1001" i="22"/>
  <c r="R1000" i="22"/>
  <c r="O1000" i="22"/>
  <c r="N1000" i="22"/>
  <c r="J1000" i="22"/>
  <c r="R999" i="22"/>
  <c r="O999" i="22"/>
  <c r="N999" i="22"/>
  <c r="J999" i="22"/>
  <c r="R998" i="22"/>
  <c r="O998" i="22"/>
  <c r="N998" i="22"/>
  <c r="J998" i="22"/>
  <c r="R997" i="22"/>
  <c r="O997" i="22"/>
  <c r="N997" i="22"/>
  <c r="J997" i="22"/>
  <c r="R996" i="22"/>
  <c r="O996" i="22"/>
  <c r="N996" i="22"/>
  <c r="J996" i="22"/>
  <c r="R995" i="22"/>
  <c r="O995" i="22"/>
  <c r="N995" i="22"/>
  <c r="P995" i="22" s="1"/>
  <c r="J995" i="22"/>
  <c r="R994" i="22"/>
  <c r="O994" i="22"/>
  <c r="N994" i="22"/>
  <c r="J994" i="22"/>
  <c r="R993" i="22"/>
  <c r="O993" i="22"/>
  <c r="N993" i="22"/>
  <c r="P993" i="22" s="1"/>
  <c r="J993" i="22"/>
  <c r="R992" i="22"/>
  <c r="O992" i="22"/>
  <c r="N992" i="22"/>
  <c r="J992" i="22"/>
  <c r="R991" i="22"/>
  <c r="O991" i="22"/>
  <c r="N991" i="22"/>
  <c r="P991" i="22" s="1"/>
  <c r="J991" i="22"/>
  <c r="R990" i="22"/>
  <c r="O990" i="22"/>
  <c r="N990" i="22"/>
  <c r="S990" i="22" s="1"/>
  <c r="J990" i="22"/>
  <c r="R989" i="22"/>
  <c r="O989" i="22"/>
  <c r="N989" i="22"/>
  <c r="S989" i="22" s="1"/>
  <c r="J989" i="22"/>
  <c r="R988" i="22"/>
  <c r="O988" i="22"/>
  <c r="N988" i="22"/>
  <c r="J988" i="22"/>
  <c r="R987" i="22"/>
  <c r="O987" i="22"/>
  <c r="N987" i="22"/>
  <c r="S987" i="22" s="1"/>
  <c r="J987" i="22"/>
  <c r="R986" i="22"/>
  <c r="O986" i="22"/>
  <c r="N986" i="22"/>
  <c r="S986" i="22" s="1"/>
  <c r="J986" i="22"/>
  <c r="R985" i="22"/>
  <c r="O985" i="22"/>
  <c r="N985" i="22"/>
  <c r="S985" i="22" s="1"/>
  <c r="J985" i="22"/>
  <c r="R984" i="22"/>
  <c r="O984" i="22"/>
  <c r="N984" i="22"/>
  <c r="S984" i="22" s="1"/>
  <c r="J984" i="22"/>
  <c r="R983" i="22"/>
  <c r="O983" i="22"/>
  <c r="N983" i="22"/>
  <c r="S983" i="22" s="1"/>
  <c r="J983" i="22"/>
  <c r="R982" i="22"/>
  <c r="O982" i="22"/>
  <c r="N982" i="22"/>
  <c r="J982" i="22"/>
  <c r="R981" i="22"/>
  <c r="O981" i="22"/>
  <c r="N981" i="22"/>
  <c r="S981" i="22" s="1"/>
  <c r="J981" i="22"/>
  <c r="R980" i="22"/>
  <c r="O980" i="22"/>
  <c r="N980" i="22"/>
  <c r="S980" i="22" s="1"/>
  <c r="J980" i="22"/>
  <c r="R979" i="22"/>
  <c r="O979" i="22"/>
  <c r="N979" i="22"/>
  <c r="J979" i="22"/>
  <c r="R978" i="22"/>
  <c r="O978" i="22"/>
  <c r="N978" i="22"/>
  <c r="S978" i="22" s="1"/>
  <c r="J978" i="22"/>
  <c r="R977" i="22"/>
  <c r="O977" i="22"/>
  <c r="N977" i="22"/>
  <c r="S977" i="22" s="1"/>
  <c r="J977" i="22"/>
  <c r="R976" i="22"/>
  <c r="O976" i="22"/>
  <c r="N976" i="22"/>
  <c r="S976" i="22" s="1"/>
  <c r="J976" i="22"/>
  <c r="R975" i="22"/>
  <c r="O975" i="22"/>
  <c r="N975" i="22"/>
  <c r="J975" i="22"/>
  <c r="R974" i="22"/>
  <c r="O974" i="22"/>
  <c r="N974" i="22"/>
  <c r="S974" i="22" s="1"/>
  <c r="U974" i="22" s="1"/>
  <c r="J974" i="22"/>
  <c r="R973" i="22"/>
  <c r="O973" i="22"/>
  <c r="N973" i="22"/>
  <c r="P973" i="22" s="1"/>
  <c r="J973" i="22"/>
  <c r="R972" i="22"/>
  <c r="O972" i="22"/>
  <c r="N972" i="22"/>
  <c r="P972" i="22" s="1"/>
  <c r="J972" i="22"/>
  <c r="R971" i="22"/>
  <c r="O971" i="22"/>
  <c r="N971" i="22"/>
  <c r="P971" i="22" s="1"/>
  <c r="J971" i="22"/>
  <c r="R970" i="22"/>
  <c r="O970" i="22"/>
  <c r="N970" i="22"/>
  <c r="S970" i="22" s="1"/>
  <c r="U970" i="22" s="1"/>
  <c r="J970" i="22"/>
  <c r="R969" i="22"/>
  <c r="O969" i="22"/>
  <c r="N969" i="22"/>
  <c r="J969" i="22"/>
  <c r="R968" i="22"/>
  <c r="O968" i="22"/>
  <c r="N968" i="22"/>
  <c r="S968" i="22" s="1"/>
  <c r="J968" i="22"/>
  <c r="R967" i="22"/>
  <c r="O967" i="22"/>
  <c r="N967" i="22"/>
  <c r="S967" i="22" s="1"/>
  <c r="J967" i="22"/>
  <c r="R966" i="22"/>
  <c r="O966" i="22"/>
  <c r="N966" i="22"/>
  <c r="S966" i="22" s="1"/>
  <c r="U966" i="22" s="1"/>
  <c r="J966" i="22"/>
  <c r="R965" i="22"/>
  <c r="O965" i="22"/>
  <c r="N965" i="22"/>
  <c r="J965" i="22"/>
  <c r="R964" i="22"/>
  <c r="O964" i="22"/>
  <c r="N964" i="22"/>
  <c r="J964" i="22"/>
  <c r="R963" i="22"/>
  <c r="O963" i="22"/>
  <c r="N963" i="22"/>
  <c r="S963" i="22" s="1"/>
  <c r="J963" i="22"/>
  <c r="R962" i="22"/>
  <c r="O962" i="22"/>
  <c r="N962" i="22"/>
  <c r="S962" i="22" s="1"/>
  <c r="U962" i="22" s="1"/>
  <c r="J962" i="22"/>
  <c r="R961" i="22"/>
  <c r="O961" i="22"/>
  <c r="N961" i="22"/>
  <c r="J961" i="22"/>
  <c r="R960" i="22"/>
  <c r="O960" i="22"/>
  <c r="N960" i="22"/>
  <c r="S960" i="22" s="1"/>
  <c r="J960" i="22"/>
  <c r="R959" i="22"/>
  <c r="O959" i="22"/>
  <c r="N959" i="22"/>
  <c r="S959" i="22" s="1"/>
  <c r="J959" i="22"/>
  <c r="R958" i="22"/>
  <c r="O958" i="22"/>
  <c r="N958" i="22"/>
  <c r="S958" i="22" s="1"/>
  <c r="U958" i="22" s="1"/>
  <c r="J958" i="22"/>
  <c r="R957" i="22"/>
  <c r="O957" i="22"/>
  <c r="N957" i="22"/>
  <c r="P957" i="22" s="1"/>
  <c r="J957" i="22"/>
  <c r="R956" i="22"/>
  <c r="O956" i="22"/>
  <c r="N956" i="22"/>
  <c r="P956" i="22" s="1"/>
  <c r="J956" i="22"/>
  <c r="R955" i="22"/>
  <c r="O955" i="22"/>
  <c r="N955" i="22"/>
  <c r="S955" i="22" s="1"/>
  <c r="J955" i="22"/>
  <c r="R954" i="22"/>
  <c r="O954" i="22"/>
  <c r="N954" i="22"/>
  <c r="P954" i="22" s="1"/>
  <c r="J954" i="22"/>
  <c r="R953" i="22"/>
  <c r="O953" i="22"/>
  <c r="N953" i="22"/>
  <c r="J953" i="22"/>
  <c r="R952" i="22"/>
  <c r="O952" i="22"/>
  <c r="N952" i="22"/>
  <c r="S952" i="22" s="1"/>
  <c r="J952" i="22"/>
  <c r="R951" i="22"/>
  <c r="O951" i="22"/>
  <c r="N951" i="22"/>
  <c r="S951" i="22" s="1"/>
  <c r="J951" i="22"/>
  <c r="R950" i="22"/>
  <c r="O950" i="22"/>
  <c r="N950" i="22"/>
  <c r="S950" i="22" s="1"/>
  <c r="U950" i="22" s="1"/>
  <c r="J950" i="22"/>
  <c r="R949" i="22"/>
  <c r="O949" i="22"/>
  <c r="N949" i="22"/>
  <c r="P949" i="22" s="1"/>
  <c r="J949" i="22"/>
  <c r="R948" i="22"/>
  <c r="O948" i="22"/>
  <c r="N948" i="22"/>
  <c r="P948" i="22" s="1"/>
  <c r="J948" i="22"/>
  <c r="R947" i="22"/>
  <c r="O947" i="22"/>
  <c r="N947" i="22"/>
  <c r="J947" i="22"/>
  <c r="R946" i="22"/>
  <c r="O946" i="22"/>
  <c r="N946" i="22"/>
  <c r="P946" i="22" s="1"/>
  <c r="J946" i="22"/>
  <c r="R945" i="22"/>
  <c r="O945" i="22"/>
  <c r="N945" i="22"/>
  <c r="J945" i="22"/>
  <c r="R944" i="22"/>
  <c r="O944" i="22"/>
  <c r="N944" i="22"/>
  <c r="J944" i="22"/>
  <c r="R943" i="22"/>
  <c r="O943" i="22"/>
  <c r="N943" i="22"/>
  <c r="S943" i="22" s="1"/>
  <c r="J943" i="22"/>
  <c r="R942" i="22"/>
  <c r="O942" i="22"/>
  <c r="N942" i="22"/>
  <c r="S942" i="22" s="1"/>
  <c r="U942" i="22" s="1"/>
  <c r="J942" i="22"/>
  <c r="R941" i="22"/>
  <c r="O941" i="22"/>
  <c r="N941" i="22"/>
  <c r="P941" i="22" s="1"/>
  <c r="J941" i="22"/>
  <c r="R940" i="22"/>
  <c r="O940" i="22"/>
  <c r="N940" i="22"/>
  <c r="J940" i="22"/>
  <c r="R939" i="22"/>
  <c r="O939" i="22"/>
  <c r="N939" i="22"/>
  <c r="J939" i="22"/>
  <c r="R938" i="22"/>
  <c r="O938" i="22"/>
  <c r="N938" i="22"/>
  <c r="P938" i="22" s="1"/>
  <c r="J938" i="22"/>
  <c r="R937" i="22"/>
  <c r="O937" i="22"/>
  <c r="N937" i="22"/>
  <c r="J937" i="22"/>
  <c r="R936" i="22"/>
  <c r="O936" i="22"/>
  <c r="N936" i="22"/>
  <c r="J936" i="22"/>
  <c r="R935" i="22"/>
  <c r="O935" i="22"/>
  <c r="N935" i="22"/>
  <c r="J935" i="22"/>
  <c r="R934" i="22"/>
  <c r="O934" i="22"/>
  <c r="N934" i="22"/>
  <c r="S934" i="22" s="1"/>
  <c r="U934" i="22" s="1"/>
  <c r="J934" i="22"/>
  <c r="R933" i="22"/>
  <c r="O933" i="22"/>
  <c r="N933" i="22"/>
  <c r="P933" i="22" s="1"/>
  <c r="J933" i="22"/>
  <c r="R932" i="22"/>
  <c r="O932" i="22"/>
  <c r="N932" i="22"/>
  <c r="J932" i="22"/>
  <c r="R931" i="22"/>
  <c r="O931" i="22"/>
  <c r="N931" i="22"/>
  <c r="J931" i="22"/>
  <c r="R930" i="22"/>
  <c r="O930" i="22"/>
  <c r="N930" i="22"/>
  <c r="S930" i="22" s="1"/>
  <c r="U930" i="22" s="1"/>
  <c r="J930" i="22"/>
  <c r="R929" i="22"/>
  <c r="O929" i="22"/>
  <c r="N929" i="22"/>
  <c r="J929" i="22"/>
  <c r="R928" i="22"/>
  <c r="O928" i="22"/>
  <c r="N928" i="22"/>
  <c r="J928" i="22"/>
  <c r="R927" i="22"/>
  <c r="O927" i="22"/>
  <c r="N927" i="22"/>
  <c r="S927" i="22" s="1"/>
  <c r="J927" i="22"/>
  <c r="R926" i="22"/>
  <c r="O926" i="22"/>
  <c r="N926" i="22"/>
  <c r="S926" i="22" s="1"/>
  <c r="U926" i="22" s="1"/>
  <c r="J926" i="22"/>
  <c r="R925" i="22"/>
  <c r="O925" i="22"/>
  <c r="N925" i="22"/>
  <c r="J925" i="22"/>
  <c r="R924" i="22"/>
  <c r="O924" i="22"/>
  <c r="N924" i="22"/>
  <c r="J924" i="22"/>
  <c r="R923" i="22"/>
  <c r="O923" i="22"/>
  <c r="N923" i="22"/>
  <c r="P923" i="22" s="1"/>
  <c r="J923" i="22"/>
  <c r="R922" i="22"/>
  <c r="O922" i="22"/>
  <c r="N922" i="22"/>
  <c r="P922" i="22" s="1"/>
  <c r="J922" i="22"/>
  <c r="R921" i="22"/>
  <c r="O921" i="22"/>
  <c r="N921" i="22"/>
  <c r="J921" i="22"/>
  <c r="R920" i="22"/>
  <c r="O920" i="22"/>
  <c r="N920" i="22"/>
  <c r="S920" i="22" s="1"/>
  <c r="J920" i="22"/>
  <c r="R919" i="22"/>
  <c r="O919" i="22"/>
  <c r="N919" i="22"/>
  <c r="S919" i="22" s="1"/>
  <c r="J919" i="22"/>
  <c r="R918" i="22"/>
  <c r="O918" i="22"/>
  <c r="N918" i="22"/>
  <c r="S918" i="22" s="1"/>
  <c r="U918" i="22" s="1"/>
  <c r="J918" i="22"/>
  <c r="R917" i="22"/>
  <c r="O917" i="22"/>
  <c r="N917" i="22"/>
  <c r="P917" i="22" s="1"/>
  <c r="J917" i="22"/>
  <c r="R916" i="22"/>
  <c r="O916" i="22"/>
  <c r="N916" i="22"/>
  <c r="S916" i="22" s="1"/>
  <c r="J916" i="22"/>
  <c r="R915" i="22"/>
  <c r="O915" i="22"/>
  <c r="N915" i="22"/>
  <c r="J915" i="22"/>
  <c r="R914" i="22"/>
  <c r="O914" i="22"/>
  <c r="N914" i="22"/>
  <c r="J914" i="22"/>
  <c r="R913" i="22"/>
  <c r="O913" i="22"/>
  <c r="N913" i="22"/>
  <c r="J913" i="22"/>
  <c r="R912" i="22"/>
  <c r="O912" i="22"/>
  <c r="N912" i="22"/>
  <c r="J912" i="22"/>
  <c r="R911" i="22"/>
  <c r="O911" i="22"/>
  <c r="N911" i="22"/>
  <c r="P911" i="22" s="1"/>
  <c r="J911" i="22"/>
  <c r="R910" i="22"/>
  <c r="O910" i="22"/>
  <c r="N910" i="22"/>
  <c r="S910" i="22" s="1"/>
  <c r="J910" i="22"/>
  <c r="R909" i="22"/>
  <c r="O909" i="22"/>
  <c r="N909" i="22"/>
  <c r="J909" i="22"/>
  <c r="R908" i="22"/>
  <c r="O908" i="22"/>
  <c r="N908" i="22"/>
  <c r="S908" i="22" s="1"/>
  <c r="J908" i="22"/>
  <c r="R907" i="22"/>
  <c r="O907" i="22"/>
  <c r="N907" i="22"/>
  <c r="S907" i="22" s="1"/>
  <c r="J907" i="22"/>
  <c r="R906" i="22"/>
  <c r="O906" i="22"/>
  <c r="N906" i="22"/>
  <c r="S906" i="22" s="1"/>
  <c r="J906" i="22"/>
  <c r="R905" i="22"/>
  <c r="O905" i="22"/>
  <c r="N905" i="22"/>
  <c r="J905" i="22"/>
  <c r="R904" i="22"/>
  <c r="O904" i="22"/>
  <c r="N904" i="22"/>
  <c r="S904" i="22" s="1"/>
  <c r="J904" i="22"/>
  <c r="R903" i="22"/>
  <c r="O903" i="22"/>
  <c r="N903" i="22"/>
  <c r="S903" i="22" s="1"/>
  <c r="J903" i="22"/>
  <c r="R902" i="22"/>
  <c r="O902" i="22"/>
  <c r="N902" i="22"/>
  <c r="S902" i="22" s="1"/>
  <c r="J902" i="22"/>
  <c r="R901" i="22"/>
  <c r="O901" i="22"/>
  <c r="N901" i="22"/>
  <c r="P901" i="22" s="1"/>
  <c r="J901" i="22"/>
  <c r="R900" i="22"/>
  <c r="O900" i="22"/>
  <c r="N900" i="22"/>
  <c r="J900" i="22"/>
  <c r="R899" i="22"/>
  <c r="O899" i="22"/>
  <c r="N899" i="22"/>
  <c r="S899" i="22" s="1"/>
  <c r="J899" i="22"/>
  <c r="R898" i="22"/>
  <c r="O898" i="22"/>
  <c r="N898" i="22"/>
  <c r="S898" i="22" s="1"/>
  <c r="J898" i="22"/>
  <c r="R897" i="22"/>
  <c r="O897" i="22"/>
  <c r="N897" i="22"/>
  <c r="J897" i="22"/>
  <c r="R896" i="22"/>
  <c r="O896" i="22"/>
  <c r="N896" i="22"/>
  <c r="S896" i="22" s="1"/>
  <c r="J896" i="22"/>
  <c r="R895" i="22"/>
  <c r="O895" i="22"/>
  <c r="N895" i="22"/>
  <c r="S895" i="22" s="1"/>
  <c r="J895" i="22"/>
  <c r="R894" i="22"/>
  <c r="O894" i="22"/>
  <c r="N894" i="22"/>
  <c r="S894" i="22" s="1"/>
  <c r="J894" i="22"/>
  <c r="R893" i="22"/>
  <c r="O893" i="22"/>
  <c r="N893" i="22"/>
  <c r="P893" i="22" s="1"/>
  <c r="J893" i="22"/>
  <c r="R892" i="22"/>
  <c r="O892" i="22"/>
  <c r="N892" i="22"/>
  <c r="S892" i="22" s="1"/>
  <c r="J892" i="22"/>
  <c r="R891" i="22"/>
  <c r="O891" i="22"/>
  <c r="N891" i="22"/>
  <c r="S891" i="22" s="1"/>
  <c r="J891" i="22"/>
  <c r="R890" i="22"/>
  <c r="O890" i="22"/>
  <c r="N890" i="22"/>
  <c r="S890" i="22" s="1"/>
  <c r="J890" i="22"/>
  <c r="R889" i="22"/>
  <c r="O889" i="22"/>
  <c r="N889" i="22"/>
  <c r="S889" i="22" s="1"/>
  <c r="J889" i="22"/>
  <c r="R888" i="22"/>
  <c r="O888" i="22"/>
  <c r="N888" i="22"/>
  <c r="S888" i="22" s="1"/>
  <c r="J888" i="22"/>
  <c r="R887" i="22"/>
  <c r="O887" i="22"/>
  <c r="N887" i="22"/>
  <c r="S887" i="22" s="1"/>
  <c r="J887" i="22"/>
  <c r="R886" i="22"/>
  <c r="O886" i="22"/>
  <c r="N886" i="22"/>
  <c r="J886" i="22"/>
  <c r="R885" i="22"/>
  <c r="O885" i="22"/>
  <c r="N885" i="22"/>
  <c r="S885" i="22" s="1"/>
  <c r="J885" i="22"/>
  <c r="R884" i="22"/>
  <c r="O884" i="22"/>
  <c r="N884" i="22"/>
  <c r="S884" i="22" s="1"/>
  <c r="J884" i="22"/>
  <c r="R883" i="22"/>
  <c r="O883" i="22"/>
  <c r="N883" i="22"/>
  <c r="S883" i="22" s="1"/>
  <c r="J883" i="22"/>
  <c r="R882" i="22"/>
  <c r="O882" i="22"/>
  <c r="N882" i="22"/>
  <c r="S882" i="22" s="1"/>
  <c r="J882" i="22"/>
  <c r="R881" i="22"/>
  <c r="O881" i="22"/>
  <c r="N881" i="22"/>
  <c r="S881" i="22" s="1"/>
  <c r="J881" i="22"/>
  <c r="R880" i="22"/>
  <c r="O880" i="22"/>
  <c r="N880" i="22"/>
  <c r="J880" i="22"/>
  <c r="R879" i="22"/>
  <c r="O879" i="22"/>
  <c r="N879" i="22"/>
  <c r="J879" i="22"/>
  <c r="R878" i="22"/>
  <c r="O878" i="22"/>
  <c r="N878" i="22"/>
  <c r="S878" i="22" s="1"/>
  <c r="U878" i="22" s="1"/>
  <c r="J878" i="22"/>
  <c r="R877" i="22"/>
  <c r="O877" i="22"/>
  <c r="N877" i="22"/>
  <c r="S877" i="22" s="1"/>
  <c r="J877" i="22"/>
  <c r="R876" i="22"/>
  <c r="O876" i="22"/>
  <c r="N876" i="22"/>
  <c r="J876" i="22"/>
  <c r="R875" i="22"/>
  <c r="O875" i="22"/>
  <c r="N875" i="22"/>
  <c r="S875" i="22" s="1"/>
  <c r="J875" i="22"/>
  <c r="R874" i="22"/>
  <c r="O874" i="22"/>
  <c r="N874" i="22"/>
  <c r="S874" i="22" s="1"/>
  <c r="U874" i="22" s="1"/>
  <c r="J874" i="22"/>
  <c r="R873" i="22"/>
  <c r="O873" i="22"/>
  <c r="N873" i="22"/>
  <c r="S873" i="22" s="1"/>
  <c r="J873" i="22"/>
  <c r="R872" i="22"/>
  <c r="O872" i="22"/>
  <c r="N872" i="22"/>
  <c r="P872" i="22" s="1"/>
  <c r="J872" i="22"/>
  <c r="R871" i="22"/>
  <c r="O871" i="22"/>
  <c r="N871" i="22"/>
  <c r="S871" i="22" s="1"/>
  <c r="J871" i="22"/>
  <c r="R870" i="22"/>
  <c r="O870" i="22"/>
  <c r="N870" i="22"/>
  <c r="J870" i="22"/>
  <c r="R869" i="22"/>
  <c r="O869" i="22"/>
  <c r="N869" i="22"/>
  <c r="S869" i="22" s="1"/>
  <c r="J869" i="22"/>
  <c r="R868" i="22"/>
  <c r="O868" i="22"/>
  <c r="N868" i="22"/>
  <c r="P868" i="22" s="1"/>
  <c r="J868" i="22"/>
  <c r="R867" i="22"/>
  <c r="O867" i="22"/>
  <c r="N867" i="22"/>
  <c r="S867" i="22" s="1"/>
  <c r="J867" i="22"/>
  <c r="R866" i="22"/>
  <c r="O866" i="22"/>
  <c r="N866" i="22"/>
  <c r="S866" i="22" s="1"/>
  <c r="U866" i="22" s="1"/>
  <c r="J866" i="22"/>
  <c r="R865" i="22"/>
  <c r="O865" i="22"/>
  <c r="N865" i="22"/>
  <c r="S865" i="22" s="1"/>
  <c r="J865" i="22"/>
  <c r="R864" i="22"/>
  <c r="O864" i="22"/>
  <c r="N864" i="22"/>
  <c r="S864" i="22" s="1"/>
  <c r="U864" i="22" s="1"/>
  <c r="J864" i="22"/>
  <c r="R863" i="22"/>
  <c r="O863" i="22"/>
  <c r="N863" i="22"/>
  <c r="S863" i="22" s="1"/>
  <c r="J863" i="22"/>
  <c r="R862" i="22"/>
  <c r="O862" i="22"/>
  <c r="N862" i="22"/>
  <c r="S862" i="22" s="1"/>
  <c r="U862" i="22" s="1"/>
  <c r="J862" i="22"/>
  <c r="R861" i="22"/>
  <c r="O861" i="22"/>
  <c r="N861" i="22"/>
  <c r="S861" i="22" s="1"/>
  <c r="J861" i="22"/>
  <c r="R860" i="22"/>
  <c r="O860" i="22"/>
  <c r="N860" i="22"/>
  <c r="J860" i="22"/>
  <c r="R859" i="22"/>
  <c r="O859" i="22"/>
  <c r="N859" i="22"/>
  <c r="J859" i="22"/>
  <c r="R858" i="22"/>
  <c r="O858" i="22"/>
  <c r="N858" i="22"/>
  <c r="S858" i="22" s="1"/>
  <c r="U858" i="22" s="1"/>
  <c r="J858" i="22"/>
  <c r="R857" i="22"/>
  <c r="O857" i="22"/>
  <c r="N857" i="22"/>
  <c r="S857" i="22" s="1"/>
  <c r="J857" i="22"/>
  <c r="R856" i="22"/>
  <c r="O856" i="22"/>
  <c r="N856" i="22"/>
  <c r="P856" i="22" s="1"/>
  <c r="J856" i="22"/>
  <c r="R855" i="22"/>
  <c r="O855" i="22"/>
  <c r="N855" i="22"/>
  <c r="S855" i="22" s="1"/>
  <c r="J855" i="22"/>
  <c r="R854" i="22"/>
  <c r="O854" i="22"/>
  <c r="N854" i="22"/>
  <c r="J854" i="22"/>
  <c r="R853" i="22"/>
  <c r="O853" i="22"/>
  <c r="N853" i="22"/>
  <c r="S853" i="22" s="1"/>
  <c r="J853" i="22"/>
  <c r="R852" i="22"/>
  <c r="O852" i="22"/>
  <c r="N852" i="22"/>
  <c r="S852" i="22" s="1"/>
  <c r="U852" i="22" s="1"/>
  <c r="J852" i="22"/>
  <c r="R851" i="22"/>
  <c r="O851" i="22"/>
  <c r="N851" i="22"/>
  <c r="S851" i="22" s="1"/>
  <c r="J851" i="22"/>
  <c r="R850" i="22"/>
  <c r="O850" i="22"/>
  <c r="N850" i="22"/>
  <c r="S850" i="22" s="1"/>
  <c r="U850" i="22" s="1"/>
  <c r="J850" i="22"/>
  <c r="R849" i="22"/>
  <c r="O849" i="22"/>
  <c r="N849" i="22"/>
  <c r="S849" i="22" s="1"/>
  <c r="J849" i="22"/>
  <c r="R848" i="22"/>
  <c r="O848" i="22"/>
  <c r="N848" i="22"/>
  <c r="S848" i="22" s="1"/>
  <c r="U848" i="22" s="1"/>
  <c r="J848" i="22"/>
  <c r="R847" i="22"/>
  <c r="O847" i="22"/>
  <c r="N847" i="22"/>
  <c r="S847" i="22" s="1"/>
  <c r="J847" i="22"/>
  <c r="R846" i="22"/>
  <c r="O846" i="22"/>
  <c r="N846" i="22"/>
  <c r="S846" i="22" s="1"/>
  <c r="U846" i="22" s="1"/>
  <c r="J846" i="22"/>
  <c r="R845" i="22"/>
  <c r="O845" i="22"/>
  <c r="N845" i="22"/>
  <c r="S845" i="22" s="1"/>
  <c r="J845" i="22"/>
  <c r="R844" i="22"/>
  <c r="O844" i="22"/>
  <c r="N844" i="22"/>
  <c r="J844" i="22"/>
  <c r="R843" i="22"/>
  <c r="O843" i="22"/>
  <c r="N843" i="22"/>
  <c r="J843" i="22"/>
  <c r="R842" i="22"/>
  <c r="O842" i="22"/>
  <c r="N842" i="22"/>
  <c r="S842" i="22" s="1"/>
  <c r="U842" i="22" s="1"/>
  <c r="J842" i="22"/>
  <c r="R841" i="22"/>
  <c r="O841" i="22"/>
  <c r="N841" i="22"/>
  <c r="S841" i="22" s="1"/>
  <c r="J841" i="22"/>
  <c r="U840" i="22"/>
  <c r="T840" i="22"/>
  <c r="P840" i="22"/>
  <c r="O840" i="22"/>
  <c r="R839" i="22"/>
  <c r="O839" i="22"/>
  <c r="N839" i="22"/>
  <c r="K839" i="22"/>
  <c r="R838" i="22"/>
  <c r="O838" i="22"/>
  <c r="N838" i="22"/>
  <c r="S838" i="22" s="1"/>
  <c r="K838" i="22"/>
  <c r="R837" i="22"/>
  <c r="O837" i="22"/>
  <c r="N837" i="22"/>
  <c r="K837" i="22"/>
  <c r="R836" i="22"/>
  <c r="O836" i="22"/>
  <c r="N836" i="22"/>
  <c r="S836" i="22" s="1"/>
  <c r="U836" i="22" s="1"/>
  <c r="Y836" i="22" s="1"/>
  <c r="K836" i="22"/>
  <c r="T836" i="22" s="1"/>
  <c r="R835" i="22"/>
  <c r="O835" i="22"/>
  <c r="N835" i="22"/>
  <c r="P835" i="22" s="1"/>
  <c r="K835" i="22"/>
  <c r="R834" i="22"/>
  <c r="O834" i="22"/>
  <c r="N834" i="22"/>
  <c r="S834" i="22" s="1"/>
  <c r="K834" i="22"/>
  <c r="T834" i="22" s="1"/>
  <c r="R833" i="22"/>
  <c r="O833" i="22"/>
  <c r="N833" i="22"/>
  <c r="K833" i="22"/>
  <c r="R832" i="22"/>
  <c r="O832" i="22"/>
  <c r="N832" i="22"/>
  <c r="S832" i="22" s="1"/>
  <c r="K832" i="22"/>
  <c r="R831" i="22"/>
  <c r="O831" i="22"/>
  <c r="N831" i="22"/>
  <c r="S831" i="22" s="1"/>
  <c r="K831" i="22"/>
  <c r="R830" i="22"/>
  <c r="O830" i="22"/>
  <c r="N830" i="22"/>
  <c r="S830" i="22" s="1"/>
  <c r="U830" i="22" s="1"/>
  <c r="Y830" i="22" s="1"/>
  <c r="K830" i="22"/>
  <c r="T830" i="22" s="1"/>
  <c r="R829" i="22"/>
  <c r="O829" i="22"/>
  <c r="N829" i="22"/>
  <c r="P829" i="22" s="1"/>
  <c r="K829" i="22"/>
  <c r="R828" i="22"/>
  <c r="O828" i="22"/>
  <c r="N828" i="22"/>
  <c r="S828" i="22" s="1"/>
  <c r="K828" i="22"/>
  <c r="R827" i="22"/>
  <c r="O827" i="22"/>
  <c r="N827" i="22"/>
  <c r="S827" i="22" s="1"/>
  <c r="K827" i="22"/>
  <c r="R826" i="22"/>
  <c r="O826" i="22"/>
  <c r="N826" i="22"/>
  <c r="P826" i="22" s="1"/>
  <c r="K826" i="22"/>
  <c r="T826" i="22" s="1"/>
  <c r="R825" i="22"/>
  <c r="O825" i="22"/>
  <c r="N825" i="22"/>
  <c r="K825" i="22"/>
  <c r="R824" i="22"/>
  <c r="O824" i="22"/>
  <c r="N824" i="22"/>
  <c r="S824" i="22" s="1"/>
  <c r="K824" i="22"/>
  <c r="R823" i="22"/>
  <c r="O823" i="22"/>
  <c r="N823" i="22"/>
  <c r="P823" i="22" s="1"/>
  <c r="K823" i="22"/>
  <c r="R822" i="22"/>
  <c r="O822" i="22"/>
  <c r="N822" i="22"/>
  <c r="S822" i="22" s="1"/>
  <c r="U822" i="22" s="1"/>
  <c r="Y822" i="22" s="1"/>
  <c r="K822" i="22"/>
  <c r="T822" i="22" s="1"/>
  <c r="R821" i="22"/>
  <c r="O821" i="22"/>
  <c r="N821" i="22"/>
  <c r="P821" i="22" s="1"/>
  <c r="K821" i="22"/>
  <c r="R820" i="22"/>
  <c r="O820" i="22"/>
  <c r="N820" i="22"/>
  <c r="S820" i="22" s="1"/>
  <c r="K820" i="22"/>
  <c r="R819" i="22"/>
  <c r="O819" i="22"/>
  <c r="N819" i="22"/>
  <c r="K819" i="22"/>
  <c r="R818" i="22"/>
  <c r="O818" i="22"/>
  <c r="N818" i="22"/>
  <c r="S818" i="22" s="1"/>
  <c r="K818" i="22"/>
  <c r="T818" i="22" s="1"/>
  <c r="R817" i="22"/>
  <c r="O817" i="22"/>
  <c r="N817" i="22"/>
  <c r="K817" i="22"/>
  <c r="R816" i="22"/>
  <c r="O816" i="22"/>
  <c r="N816" i="22"/>
  <c r="S816" i="22" s="1"/>
  <c r="K816" i="22"/>
  <c r="R815" i="22"/>
  <c r="O815" i="22"/>
  <c r="N815" i="22"/>
  <c r="S815" i="22" s="1"/>
  <c r="K815" i="22"/>
  <c r="R814" i="22"/>
  <c r="O814" i="22"/>
  <c r="N814" i="22"/>
  <c r="S814" i="22" s="1"/>
  <c r="U814" i="22" s="1"/>
  <c r="Y814" i="22" s="1"/>
  <c r="K814" i="22"/>
  <c r="T814" i="22" s="1"/>
  <c r="R813" i="22"/>
  <c r="O813" i="22"/>
  <c r="N813" i="22"/>
  <c r="P813" i="22" s="1"/>
  <c r="K813" i="22"/>
  <c r="R812" i="22"/>
  <c r="O812" i="22"/>
  <c r="N812" i="22"/>
  <c r="P812" i="22" s="1"/>
  <c r="K812" i="22"/>
  <c r="R811" i="22"/>
  <c r="O811" i="22"/>
  <c r="N811" i="22"/>
  <c r="S811" i="22" s="1"/>
  <c r="K811" i="22"/>
  <c r="R810" i="22"/>
  <c r="O810" i="22"/>
  <c r="N810" i="22"/>
  <c r="S810" i="22" s="1"/>
  <c r="K810" i="22"/>
  <c r="T810" i="22" s="1"/>
  <c r="R809" i="22"/>
  <c r="O809" i="22"/>
  <c r="N809" i="22"/>
  <c r="K809" i="22"/>
  <c r="R808" i="22"/>
  <c r="O808" i="22"/>
  <c r="N808" i="22"/>
  <c r="S808" i="22" s="1"/>
  <c r="K808" i="22"/>
  <c r="U807" i="22"/>
  <c r="T807" i="22"/>
  <c r="P807" i="22"/>
  <c r="O807" i="22"/>
  <c r="N807" i="22"/>
  <c r="R806" i="22"/>
  <c r="O806" i="22"/>
  <c r="N806" i="22"/>
  <c r="P806" i="22" s="1"/>
  <c r="J806" i="22"/>
  <c r="I806" i="22"/>
  <c r="R805" i="22"/>
  <c r="O805" i="22"/>
  <c r="N805" i="22"/>
  <c r="J805" i="22"/>
  <c r="I805" i="22"/>
  <c r="R804" i="22"/>
  <c r="O804" i="22"/>
  <c r="N804" i="22"/>
  <c r="S804" i="22" s="1"/>
  <c r="U804" i="22" s="1"/>
  <c r="I804" i="22"/>
  <c r="R803" i="22"/>
  <c r="O803" i="22"/>
  <c r="N803" i="22"/>
  <c r="S803" i="22" s="1"/>
  <c r="J803" i="22"/>
  <c r="I803" i="22"/>
  <c r="R802" i="22"/>
  <c r="O802" i="22"/>
  <c r="N802" i="22"/>
  <c r="S802" i="22" s="1"/>
  <c r="J802" i="22"/>
  <c r="I802" i="22"/>
  <c r="R801" i="22"/>
  <c r="O801" i="22"/>
  <c r="N801" i="22"/>
  <c r="P801" i="22" s="1"/>
  <c r="I801" i="22"/>
  <c r="J801" i="22" s="1"/>
  <c r="R800" i="22"/>
  <c r="O800" i="22"/>
  <c r="N800" i="22"/>
  <c r="S800" i="22" s="1"/>
  <c r="I800" i="22"/>
  <c r="R799" i="22"/>
  <c r="O799" i="22"/>
  <c r="N799" i="22"/>
  <c r="S799" i="22" s="1"/>
  <c r="U799" i="22" s="1"/>
  <c r="J799" i="22"/>
  <c r="I799" i="22"/>
  <c r="R798" i="22"/>
  <c r="O798" i="22"/>
  <c r="N798" i="22"/>
  <c r="S798" i="22" s="1"/>
  <c r="J798" i="22"/>
  <c r="I798" i="22"/>
  <c r="R797" i="22"/>
  <c r="O797" i="22"/>
  <c r="N797" i="22"/>
  <c r="P797" i="22" s="1"/>
  <c r="J797" i="22"/>
  <c r="R796" i="22"/>
  <c r="O796" i="22"/>
  <c r="N796" i="22"/>
  <c r="P796" i="22" s="1"/>
  <c r="J796" i="22"/>
  <c r="R795" i="22"/>
  <c r="O795" i="22"/>
  <c r="N795" i="22"/>
  <c r="P795" i="22" s="1"/>
  <c r="J795" i="22"/>
  <c r="R794" i="22"/>
  <c r="J794" i="22"/>
  <c r="R793" i="22"/>
  <c r="O793" i="22"/>
  <c r="N793" i="22"/>
  <c r="P793" i="22" s="1"/>
  <c r="J793" i="22"/>
  <c r="R792" i="22"/>
  <c r="O792" i="22"/>
  <c r="N792" i="22"/>
  <c r="P792" i="22" s="1"/>
  <c r="J792" i="22"/>
  <c r="R791" i="22"/>
  <c r="O791" i="22"/>
  <c r="N791" i="22"/>
  <c r="P791" i="22" s="1"/>
  <c r="J791" i="22"/>
  <c r="R790" i="22"/>
  <c r="O790" i="22"/>
  <c r="N790" i="22"/>
  <c r="P790" i="22" s="1"/>
  <c r="J790" i="22"/>
  <c r="R789" i="22"/>
  <c r="O789" i="22"/>
  <c r="N789" i="22"/>
  <c r="P789" i="22" s="1"/>
  <c r="J789" i="22"/>
  <c r="U788" i="22"/>
  <c r="T788" i="22"/>
  <c r="O788" i="22"/>
  <c r="N788" i="22"/>
  <c r="P788" i="22" s="1"/>
  <c r="K788" i="22"/>
  <c r="H788" i="22"/>
  <c r="U787" i="22"/>
  <c r="T787" i="22"/>
  <c r="O787" i="22"/>
  <c r="N787" i="22"/>
  <c r="P787" i="22" s="1"/>
  <c r="K787" i="22"/>
  <c r="H787" i="22"/>
  <c r="U786" i="22"/>
  <c r="T786" i="22"/>
  <c r="O786" i="22"/>
  <c r="N786" i="22"/>
  <c r="P786" i="22" s="1"/>
  <c r="K786" i="22"/>
  <c r="H786" i="22"/>
  <c r="R785" i="22"/>
  <c r="O785" i="22"/>
  <c r="N785" i="22"/>
  <c r="S785" i="22" s="1"/>
  <c r="U785" i="22" s="1"/>
  <c r="U784" i="22"/>
  <c r="T784" i="22"/>
  <c r="O784" i="22"/>
  <c r="N784" i="22"/>
  <c r="P784" i="22" s="1"/>
  <c r="K784" i="22"/>
  <c r="H784" i="22"/>
  <c r="U783" i="22"/>
  <c r="T783" i="22"/>
  <c r="O783" i="22"/>
  <c r="N783" i="22"/>
  <c r="P783" i="22" s="1"/>
  <c r="K783" i="22"/>
  <c r="H783" i="22"/>
  <c r="U782" i="22"/>
  <c r="T782" i="22"/>
  <c r="O782" i="22"/>
  <c r="N782" i="22"/>
  <c r="P782" i="22" s="1"/>
  <c r="K782" i="22"/>
  <c r="H782" i="22"/>
  <c r="R781" i="22"/>
  <c r="O781" i="22"/>
  <c r="N781" i="22"/>
  <c r="S781" i="22" s="1"/>
  <c r="U780" i="22"/>
  <c r="T780" i="22"/>
  <c r="P780" i="22"/>
  <c r="O780" i="22"/>
  <c r="R779" i="22"/>
  <c r="O779" i="22"/>
  <c r="N779" i="22"/>
  <c r="S779" i="22" s="1"/>
  <c r="U779" i="22" s="1"/>
  <c r="K779" i="22"/>
  <c r="R778" i="22"/>
  <c r="O778" i="22"/>
  <c r="N778" i="22"/>
  <c r="P778" i="22" s="1"/>
  <c r="K778" i="22"/>
  <c r="T778" i="22" s="1"/>
  <c r="R777" i="22"/>
  <c r="O777" i="22"/>
  <c r="N777" i="22"/>
  <c r="P777" i="22" s="1"/>
  <c r="K777" i="22"/>
  <c r="R776" i="22"/>
  <c r="O776" i="22"/>
  <c r="N776" i="22"/>
  <c r="S776" i="22" s="1"/>
  <c r="K776" i="22"/>
  <c r="R775" i="22"/>
  <c r="O775" i="22"/>
  <c r="N775" i="22"/>
  <c r="S775" i="22" s="1"/>
  <c r="U775" i="22" s="1"/>
  <c r="K775" i="22"/>
  <c r="R774" i="22"/>
  <c r="O774" i="22"/>
  <c r="N774" i="22"/>
  <c r="K774" i="22"/>
  <c r="T774" i="22" s="1"/>
  <c r="R773" i="22"/>
  <c r="O773" i="22"/>
  <c r="N773" i="22"/>
  <c r="P773" i="22" s="1"/>
  <c r="K773" i="22"/>
  <c r="R772" i="22"/>
  <c r="O772" i="22"/>
  <c r="N772" i="22"/>
  <c r="S772" i="22" s="1"/>
  <c r="U772" i="22" s="1"/>
  <c r="K772" i="22"/>
  <c r="R771" i="22"/>
  <c r="O771" i="22"/>
  <c r="N771" i="22"/>
  <c r="S771" i="22" s="1"/>
  <c r="U771" i="22" s="1"/>
  <c r="K771" i="22"/>
  <c r="R770" i="22"/>
  <c r="O770" i="22"/>
  <c r="N770" i="22"/>
  <c r="P770" i="22" s="1"/>
  <c r="K770" i="22"/>
  <c r="T770" i="22" s="1"/>
  <c r="R769" i="22"/>
  <c r="O769" i="22"/>
  <c r="N769" i="22"/>
  <c r="P769" i="22" s="1"/>
  <c r="K769" i="22"/>
  <c r="R768" i="22"/>
  <c r="O768" i="22"/>
  <c r="N768" i="22"/>
  <c r="S768" i="22" s="1"/>
  <c r="K768" i="22"/>
  <c r="R767" i="22"/>
  <c r="O767" i="22"/>
  <c r="N767" i="22"/>
  <c r="S767" i="22" s="1"/>
  <c r="U767" i="22" s="1"/>
  <c r="K767" i="22"/>
  <c r="R766" i="22"/>
  <c r="O766" i="22"/>
  <c r="N766" i="22"/>
  <c r="K766" i="22"/>
  <c r="T766" i="22" s="1"/>
  <c r="R765" i="22"/>
  <c r="O765" i="22"/>
  <c r="N765" i="22"/>
  <c r="P765" i="22" s="1"/>
  <c r="K765" i="22"/>
  <c r="R764" i="22"/>
  <c r="O764" i="22"/>
  <c r="N764" i="22"/>
  <c r="S764" i="22" s="1"/>
  <c r="U764" i="22" s="1"/>
  <c r="K764" i="22"/>
  <c r="R763" i="22"/>
  <c r="O763" i="22"/>
  <c r="N763" i="22"/>
  <c r="P763" i="22" s="1"/>
  <c r="K763" i="22"/>
  <c r="R762" i="22"/>
  <c r="O762" i="22"/>
  <c r="N762" i="22"/>
  <c r="P762" i="22" s="1"/>
  <c r="K762" i="22"/>
  <c r="T762" i="22" s="1"/>
  <c r="R761" i="22"/>
  <c r="O761" i="22"/>
  <c r="N761" i="22"/>
  <c r="P761" i="22" s="1"/>
  <c r="K761" i="22"/>
  <c r="R760" i="22"/>
  <c r="O760" i="22"/>
  <c r="N760" i="22"/>
  <c r="S760" i="22" s="1"/>
  <c r="K760" i="22"/>
  <c r="R759" i="22"/>
  <c r="O759" i="22"/>
  <c r="N759" i="22"/>
  <c r="S759" i="22" s="1"/>
  <c r="U759" i="22" s="1"/>
  <c r="K759" i="22"/>
  <c r="R758" i="22"/>
  <c r="O758" i="22"/>
  <c r="N758" i="22"/>
  <c r="K758" i="22"/>
  <c r="T758" i="22" s="1"/>
  <c r="R757" i="22"/>
  <c r="O757" i="22"/>
  <c r="N757" i="22"/>
  <c r="P757" i="22" s="1"/>
  <c r="K757" i="22"/>
  <c r="R756" i="22"/>
  <c r="O756" i="22"/>
  <c r="N756" i="22"/>
  <c r="S756" i="22" s="1"/>
  <c r="U756" i="22" s="1"/>
  <c r="K756" i="22"/>
  <c r="R755" i="22"/>
  <c r="O755" i="22"/>
  <c r="N755" i="22"/>
  <c r="S755" i="22" s="1"/>
  <c r="U755" i="22" s="1"/>
  <c r="K755" i="22"/>
  <c r="R754" i="22"/>
  <c r="O754" i="22"/>
  <c r="N754" i="22"/>
  <c r="P754" i="22" s="1"/>
  <c r="K754" i="22"/>
  <c r="T754" i="22" s="1"/>
  <c r="R753" i="22"/>
  <c r="O753" i="22"/>
  <c r="N753" i="22"/>
  <c r="P753" i="22" s="1"/>
  <c r="K753" i="22"/>
  <c r="R752" i="22"/>
  <c r="O752" i="22"/>
  <c r="N752" i="22"/>
  <c r="S752" i="22" s="1"/>
  <c r="K752" i="22"/>
  <c r="R751" i="22"/>
  <c r="O751" i="22"/>
  <c r="N751" i="22"/>
  <c r="K751" i="22"/>
  <c r="R750" i="22"/>
  <c r="O750" i="22"/>
  <c r="N750" i="22"/>
  <c r="P750" i="22" s="1"/>
  <c r="K750" i="22"/>
  <c r="T750" i="22" s="1"/>
  <c r="R749" i="22"/>
  <c r="O749" i="22"/>
  <c r="N749" i="22"/>
  <c r="P749" i="22" s="1"/>
  <c r="K749" i="22"/>
  <c r="R748" i="22"/>
  <c r="U747" i="22"/>
  <c r="T747" i="22"/>
  <c r="O747" i="22"/>
  <c r="N747" i="22"/>
  <c r="P747" i="22" s="1"/>
  <c r="R746" i="22"/>
  <c r="O746" i="22"/>
  <c r="N746" i="22"/>
  <c r="S746" i="22" s="1"/>
  <c r="J746" i="22"/>
  <c r="R745" i="22"/>
  <c r="O745" i="22"/>
  <c r="N745" i="22"/>
  <c r="S745" i="22" s="1"/>
  <c r="J745" i="22"/>
  <c r="R744" i="22"/>
  <c r="O744" i="22"/>
  <c r="N744" i="22"/>
  <c r="S744" i="22" s="1"/>
  <c r="J744" i="22"/>
  <c r="R743" i="22"/>
  <c r="O743" i="22"/>
  <c r="N743" i="22"/>
  <c r="S743" i="22" s="1"/>
  <c r="J743" i="22"/>
  <c r="R742" i="22"/>
  <c r="J742" i="22"/>
  <c r="R741" i="22"/>
  <c r="O741" i="22"/>
  <c r="N741" i="22"/>
  <c r="S741" i="22" s="1"/>
  <c r="U741" i="22" s="1"/>
  <c r="J741" i="22"/>
  <c r="R740" i="22"/>
  <c r="O740" i="22"/>
  <c r="N740" i="22"/>
  <c r="P740" i="22" s="1"/>
  <c r="J740" i="22"/>
  <c r="R739" i="22"/>
  <c r="O739" i="22"/>
  <c r="N739" i="22"/>
  <c r="S739" i="22" s="1"/>
  <c r="U739" i="22" s="1"/>
  <c r="J739" i="22"/>
  <c r="R738" i="22"/>
  <c r="O738" i="22"/>
  <c r="N738" i="22"/>
  <c r="S738" i="22" s="1"/>
  <c r="J738" i="22"/>
  <c r="R737" i="22"/>
  <c r="O737" i="22"/>
  <c r="N737" i="22"/>
  <c r="S737" i="22" s="1"/>
  <c r="U737" i="22" s="1"/>
  <c r="J737" i="22"/>
  <c r="R736" i="22"/>
  <c r="O736" i="22"/>
  <c r="N736" i="22"/>
  <c r="P736" i="22" s="1"/>
  <c r="J736" i="22"/>
  <c r="R735" i="22"/>
  <c r="O735" i="22"/>
  <c r="N735" i="22"/>
  <c r="S735" i="22" s="1"/>
  <c r="U735" i="22" s="1"/>
  <c r="Z735" i="22" s="1"/>
  <c r="J735" i="22"/>
  <c r="R734" i="22"/>
  <c r="O734" i="22"/>
  <c r="N734" i="22"/>
  <c r="S734" i="22" s="1"/>
  <c r="J734" i="22"/>
  <c r="R733" i="22"/>
  <c r="O733" i="22"/>
  <c r="N733" i="22"/>
  <c r="J733" i="22"/>
  <c r="H733" i="22"/>
  <c r="R732" i="22"/>
  <c r="O732" i="22"/>
  <c r="N732" i="22"/>
  <c r="P732" i="22" s="1"/>
  <c r="H732" i="22"/>
  <c r="J732" i="22" s="1"/>
  <c r="R731" i="22"/>
  <c r="O731" i="22"/>
  <c r="N731" i="22"/>
  <c r="P731" i="22" s="1"/>
  <c r="H731" i="22"/>
  <c r="J731" i="22" s="1"/>
  <c r="R730" i="22"/>
  <c r="O730" i="22"/>
  <c r="N730" i="22"/>
  <c r="S730" i="22" s="1"/>
  <c r="U730" i="22" s="1"/>
  <c r="H730" i="22"/>
  <c r="J730" i="22" s="1"/>
  <c r="R729" i="22"/>
  <c r="O729" i="22"/>
  <c r="N729" i="22"/>
  <c r="P729" i="22" s="1"/>
  <c r="H729" i="22"/>
  <c r="J729" i="22" s="1"/>
  <c r="R728" i="22"/>
  <c r="O728" i="22"/>
  <c r="N728" i="22"/>
  <c r="P728" i="22" s="1"/>
  <c r="J728" i="22"/>
  <c r="H728" i="22"/>
  <c r="R727" i="22"/>
  <c r="O727" i="22"/>
  <c r="N727" i="22"/>
  <c r="P727" i="22" s="1"/>
  <c r="H727" i="22"/>
  <c r="J727" i="22" s="1"/>
  <c r="R726" i="22"/>
  <c r="O726" i="22"/>
  <c r="N726" i="22"/>
  <c r="S726" i="22" s="1"/>
  <c r="H726" i="22"/>
  <c r="J726" i="22" s="1"/>
  <c r="G726" i="22"/>
  <c r="R725" i="22"/>
  <c r="O725" i="22"/>
  <c r="N725" i="22"/>
  <c r="G725" i="22"/>
  <c r="H725" i="22" s="1"/>
  <c r="J725" i="22" s="1"/>
  <c r="R724" i="22"/>
  <c r="O724" i="22"/>
  <c r="N724" i="22"/>
  <c r="S724" i="22" s="1"/>
  <c r="U724" i="22" s="1"/>
  <c r="Y724" i="22" s="1"/>
  <c r="H724" i="22"/>
  <c r="J724" i="22" s="1"/>
  <c r="G724" i="22"/>
  <c r="R723" i="22"/>
  <c r="O723" i="22"/>
  <c r="N723" i="22"/>
  <c r="P723" i="22" s="1"/>
  <c r="G723" i="22"/>
  <c r="H723" i="22" s="1"/>
  <c r="J723" i="22" s="1"/>
  <c r="R722" i="22"/>
  <c r="O722" i="22"/>
  <c r="N722" i="22"/>
  <c r="J722" i="22"/>
  <c r="H722" i="22"/>
  <c r="G722" i="22"/>
  <c r="R721" i="22"/>
  <c r="O721" i="22"/>
  <c r="N721" i="22"/>
  <c r="P721" i="22" s="1"/>
  <c r="G721" i="22"/>
  <c r="H721" i="22" s="1"/>
  <c r="J721" i="22" s="1"/>
  <c r="R720" i="22"/>
  <c r="O720" i="22"/>
  <c r="N720" i="22"/>
  <c r="S720" i="22" s="1"/>
  <c r="H720" i="22"/>
  <c r="J720" i="22" s="1"/>
  <c r="R719" i="22"/>
  <c r="O719" i="22"/>
  <c r="N719" i="22"/>
  <c r="S719" i="22" s="1"/>
  <c r="J719" i="22"/>
  <c r="H719" i="22"/>
  <c r="R718" i="22"/>
  <c r="O718" i="22"/>
  <c r="N718" i="22"/>
  <c r="J718" i="22"/>
  <c r="H718" i="22"/>
  <c r="R717" i="22"/>
  <c r="O717" i="22"/>
  <c r="N717" i="22"/>
  <c r="P717" i="22" s="1"/>
  <c r="H717" i="22"/>
  <c r="J717" i="22" s="1"/>
  <c r="R716" i="22"/>
  <c r="O716" i="22"/>
  <c r="N716" i="22"/>
  <c r="P716" i="22" s="1"/>
  <c r="H716" i="22"/>
  <c r="J716" i="22" s="1"/>
  <c r="N715" i="22"/>
  <c r="P715" i="22" s="1"/>
  <c r="M715" i="22"/>
  <c r="H715" i="22"/>
  <c r="U714" i="22"/>
  <c r="T714" i="22"/>
  <c r="O714" i="22"/>
  <c r="N714" i="22"/>
  <c r="P714" i="22" s="1"/>
  <c r="H714" i="22"/>
  <c r="G714" i="22"/>
  <c r="U713" i="22"/>
  <c r="T713" i="22"/>
  <c r="O713" i="22"/>
  <c r="N713" i="22"/>
  <c r="P713" i="22" s="1"/>
  <c r="H713" i="22"/>
  <c r="U712" i="22"/>
  <c r="T712" i="22"/>
  <c r="O712" i="22"/>
  <c r="N712" i="22"/>
  <c r="P712" i="22" s="1"/>
  <c r="H712" i="22"/>
  <c r="U711" i="22"/>
  <c r="T711" i="22"/>
  <c r="O711" i="22"/>
  <c r="N711" i="22"/>
  <c r="P711" i="22" s="1"/>
  <c r="H711" i="22"/>
  <c r="R710" i="22"/>
  <c r="O710" i="22"/>
  <c r="N710" i="22"/>
  <c r="P710" i="22" s="1"/>
  <c r="M709" i="22"/>
  <c r="N709" i="22" s="1"/>
  <c r="S709" i="22" s="1"/>
  <c r="H709" i="22"/>
  <c r="U708" i="22"/>
  <c r="T708" i="22"/>
  <c r="O708" i="22"/>
  <c r="N708" i="22"/>
  <c r="P708" i="22" s="1"/>
  <c r="H708" i="22"/>
  <c r="G708" i="22"/>
  <c r="U707" i="22"/>
  <c r="T707" i="22"/>
  <c r="O707" i="22"/>
  <c r="N707" i="22"/>
  <c r="P707" i="22" s="1"/>
  <c r="H707" i="22"/>
  <c r="U706" i="22"/>
  <c r="T706" i="22"/>
  <c r="O706" i="22"/>
  <c r="N706" i="22"/>
  <c r="P706" i="22" s="1"/>
  <c r="H706" i="22"/>
  <c r="H704" i="22" s="1"/>
  <c r="J704" i="22" s="1"/>
  <c r="U705" i="22"/>
  <c r="T705" i="22"/>
  <c r="O705" i="22"/>
  <c r="N705" i="22"/>
  <c r="P705" i="22" s="1"/>
  <c r="H705" i="22"/>
  <c r="R704" i="22"/>
  <c r="O704" i="22"/>
  <c r="N704" i="22"/>
  <c r="P704" i="22" s="1"/>
  <c r="R703" i="22"/>
  <c r="N703" i="22"/>
  <c r="M703" i="22"/>
  <c r="H703" i="22"/>
  <c r="U702" i="22"/>
  <c r="T702" i="22"/>
  <c r="O702" i="22"/>
  <c r="N702" i="22"/>
  <c r="P702" i="22" s="1"/>
  <c r="H702" i="22"/>
  <c r="G702" i="22"/>
  <c r="U701" i="22"/>
  <c r="T701" i="22"/>
  <c r="O701" i="22"/>
  <c r="N701" i="22"/>
  <c r="P701" i="22" s="1"/>
  <c r="H701" i="22"/>
  <c r="U700" i="22"/>
  <c r="T700" i="22"/>
  <c r="O700" i="22"/>
  <c r="N700" i="22"/>
  <c r="P700" i="22" s="1"/>
  <c r="H700" i="22"/>
  <c r="U699" i="22"/>
  <c r="T699" i="22"/>
  <c r="O699" i="22"/>
  <c r="N699" i="22"/>
  <c r="P699" i="22" s="1"/>
  <c r="H699" i="22"/>
  <c r="J699" i="22" s="1"/>
  <c r="R698" i="22"/>
  <c r="O698" i="22"/>
  <c r="N698" i="22"/>
  <c r="S698" i="22" s="1"/>
  <c r="M697" i="22"/>
  <c r="N697" i="22" s="1"/>
  <c r="P697" i="22" s="1"/>
  <c r="H697" i="22"/>
  <c r="U696" i="22"/>
  <c r="T696" i="22"/>
  <c r="O696" i="22"/>
  <c r="N696" i="22"/>
  <c r="P696" i="22" s="1"/>
  <c r="H696" i="22"/>
  <c r="U695" i="22"/>
  <c r="T695" i="22"/>
  <c r="O695" i="22"/>
  <c r="N695" i="22"/>
  <c r="P695" i="22" s="1"/>
  <c r="H695" i="22"/>
  <c r="U694" i="22"/>
  <c r="T694" i="22"/>
  <c r="O694" i="22"/>
  <c r="N694" i="22"/>
  <c r="P694" i="22" s="1"/>
  <c r="H694" i="22"/>
  <c r="U693" i="22"/>
  <c r="T693" i="22"/>
  <c r="O693" i="22"/>
  <c r="N693" i="22"/>
  <c r="P693" i="22" s="1"/>
  <c r="J693" i="22"/>
  <c r="H693" i="22"/>
  <c r="R692" i="22"/>
  <c r="R697" i="22" s="1"/>
  <c r="O692" i="22"/>
  <c r="N692" i="22"/>
  <c r="S692" i="22" s="1"/>
  <c r="U692" i="22" s="1"/>
  <c r="M691" i="22"/>
  <c r="H691" i="22"/>
  <c r="U690" i="22"/>
  <c r="T690" i="22"/>
  <c r="O690" i="22"/>
  <c r="N690" i="22"/>
  <c r="P690" i="22" s="1"/>
  <c r="H690" i="22"/>
  <c r="G690" i="22"/>
  <c r="U689" i="22"/>
  <c r="T689" i="22"/>
  <c r="O689" i="22"/>
  <c r="N689" i="22"/>
  <c r="P689" i="22" s="1"/>
  <c r="H689" i="22"/>
  <c r="U688" i="22"/>
  <c r="T688" i="22"/>
  <c r="O688" i="22"/>
  <c r="N688" i="22"/>
  <c r="P688" i="22" s="1"/>
  <c r="H688" i="22"/>
  <c r="U687" i="22"/>
  <c r="T687" i="22"/>
  <c r="O687" i="22"/>
  <c r="N687" i="22"/>
  <c r="P687" i="22" s="1"/>
  <c r="H687" i="22"/>
  <c r="R686" i="22"/>
  <c r="O686" i="22"/>
  <c r="N686" i="22"/>
  <c r="P686" i="22" s="1"/>
  <c r="N685" i="22"/>
  <c r="S685" i="22" s="1"/>
  <c r="U685" i="22" s="1"/>
  <c r="M685" i="22"/>
  <c r="H685" i="22"/>
  <c r="U684" i="22"/>
  <c r="T684" i="22"/>
  <c r="O684" i="22"/>
  <c r="N684" i="22"/>
  <c r="P684" i="22" s="1"/>
  <c r="H684" i="22"/>
  <c r="G684" i="22"/>
  <c r="U683" i="22"/>
  <c r="T683" i="22"/>
  <c r="O683" i="22"/>
  <c r="N683" i="22"/>
  <c r="P683" i="22" s="1"/>
  <c r="H683" i="22"/>
  <c r="U682" i="22"/>
  <c r="T682" i="22"/>
  <c r="O682" i="22"/>
  <c r="N682" i="22"/>
  <c r="P682" i="22" s="1"/>
  <c r="H682" i="22"/>
  <c r="J682" i="22" s="1"/>
  <c r="U681" i="22"/>
  <c r="T681" i="22"/>
  <c r="O681" i="22"/>
  <c r="N681" i="22"/>
  <c r="P681" i="22" s="1"/>
  <c r="H681" i="22"/>
  <c r="R680" i="22"/>
  <c r="R685" i="22" s="1"/>
  <c r="O680" i="22"/>
  <c r="N680" i="22"/>
  <c r="S680" i="22" s="1"/>
  <c r="U680" i="22" s="1"/>
  <c r="N679" i="22"/>
  <c r="M679" i="22"/>
  <c r="H679" i="22"/>
  <c r="U678" i="22"/>
  <c r="T678" i="22"/>
  <c r="O678" i="22"/>
  <c r="N678" i="22"/>
  <c r="P678" i="22" s="1"/>
  <c r="G678" i="22"/>
  <c r="H678" i="22" s="1"/>
  <c r="U677" i="22"/>
  <c r="T677" i="22"/>
  <c r="O677" i="22"/>
  <c r="N677" i="22"/>
  <c r="P677" i="22" s="1"/>
  <c r="H677" i="22"/>
  <c r="U676" i="22"/>
  <c r="T676" i="22"/>
  <c r="O676" i="22"/>
  <c r="N676" i="22"/>
  <c r="P676" i="22" s="1"/>
  <c r="J676" i="22"/>
  <c r="H676" i="22"/>
  <c r="U675" i="22"/>
  <c r="T675" i="22"/>
  <c r="O675" i="22"/>
  <c r="N675" i="22"/>
  <c r="P675" i="22" s="1"/>
  <c r="H675" i="22"/>
  <c r="R674" i="22"/>
  <c r="R679" i="22" s="1"/>
  <c r="O674" i="22"/>
  <c r="N674" i="22"/>
  <c r="P674" i="22" s="1"/>
  <c r="R673" i="22"/>
  <c r="N673" i="22"/>
  <c r="S673" i="22" s="1"/>
  <c r="M673" i="22"/>
  <c r="H673" i="22"/>
  <c r="U672" i="22"/>
  <c r="T672" i="22"/>
  <c r="O672" i="22"/>
  <c r="N672" i="22"/>
  <c r="P672" i="22" s="1"/>
  <c r="H672" i="22"/>
  <c r="G672" i="22"/>
  <c r="U671" i="22"/>
  <c r="T671" i="22"/>
  <c r="O671" i="22"/>
  <c r="N671" i="22"/>
  <c r="P671" i="22" s="1"/>
  <c r="H671" i="22"/>
  <c r="U670" i="22"/>
  <c r="T670" i="22"/>
  <c r="O670" i="22"/>
  <c r="N670" i="22"/>
  <c r="P670" i="22" s="1"/>
  <c r="H670" i="22"/>
  <c r="J670" i="22" s="1"/>
  <c r="U669" i="22"/>
  <c r="T669" i="22"/>
  <c r="O669" i="22"/>
  <c r="N669" i="22"/>
  <c r="P669" i="22" s="1"/>
  <c r="H669" i="22"/>
  <c r="R668" i="22"/>
  <c r="O668" i="22"/>
  <c r="N668" i="22"/>
  <c r="S668" i="22" s="1"/>
  <c r="M667" i="22"/>
  <c r="H667" i="22"/>
  <c r="U666" i="22"/>
  <c r="T666" i="22"/>
  <c r="O666" i="22"/>
  <c r="N666" i="22"/>
  <c r="P666" i="22" s="1"/>
  <c r="G666" i="22"/>
  <c r="H666" i="22" s="1"/>
  <c r="U665" i="22"/>
  <c r="T665" i="22"/>
  <c r="O665" i="22"/>
  <c r="N665" i="22"/>
  <c r="P665" i="22" s="1"/>
  <c r="H665" i="22"/>
  <c r="U664" i="22"/>
  <c r="T664" i="22"/>
  <c r="O664" i="22"/>
  <c r="N664" i="22"/>
  <c r="P664" i="22" s="1"/>
  <c r="J664" i="22"/>
  <c r="H664" i="22"/>
  <c r="U663" i="22"/>
  <c r="T663" i="22"/>
  <c r="O663" i="22"/>
  <c r="N663" i="22"/>
  <c r="P663" i="22" s="1"/>
  <c r="H663" i="22"/>
  <c r="R662" i="22"/>
  <c r="R667" i="22" s="1"/>
  <c r="O662" i="22"/>
  <c r="N662" i="22"/>
  <c r="S662" i="22" s="1"/>
  <c r="U662" i="22" s="1"/>
  <c r="N661" i="22"/>
  <c r="S661" i="22" s="1"/>
  <c r="M661" i="22"/>
  <c r="H661" i="22"/>
  <c r="U660" i="22"/>
  <c r="T660" i="22"/>
  <c r="O660" i="22"/>
  <c r="N660" i="22"/>
  <c r="P660" i="22" s="1"/>
  <c r="G660" i="22"/>
  <c r="H660" i="22" s="1"/>
  <c r="U659" i="22"/>
  <c r="T659" i="22"/>
  <c r="O659" i="22"/>
  <c r="N659" i="22"/>
  <c r="P659" i="22" s="1"/>
  <c r="H659" i="22"/>
  <c r="U658" i="22"/>
  <c r="T658" i="22"/>
  <c r="O658" i="22"/>
  <c r="N658" i="22"/>
  <c r="P658" i="22" s="1"/>
  <c r="H658" i="22"/>
  <c r="J658" i="22" s="1"/>
  <c r="U657" i="22"/>
  <c r="T657" i="22"/>
  <c r="O657" i="22"/>
  <c r="N657" i="22"/>
  <c r="P657" i="22" s="1"/>
  <c r="J657" i="22"/>
  <c r="H657" i="22"/>
  <c r="R656" i="22"/>
  <c r="O656" i="22"/>
  <c r="N656" i="22"/>
  <c r="P656" i="22" s="1"/>
  <c r="R655" i="22"/>
  <c r="N655" i="22"/>
  <c r="M655" i="22"/>
  <c r="H655" i="22"/>
  <c r="U654" i="22"/>
  <c r="T654" i="22"/>
  <c r="O654" i="22"/>
  <c r="N654" i="22"/>
  <c r="P654" i="22" s="1"/>
  <c r="H654" i="22"/>
  <c r="G654" i="22"/>
  <c r="U653" i="22"/>
  <c r="T653" i="22"/>
  <c r="O653" i="22"/>
  <c r="N653" i="22"/>
  <c r="P653" i="22" s="1"/>
  <c r="H653" i="22"/>
  <c r="U652" i="22"/>
  <c r="T652" i="22"/>
  <c r="O652" i="22"/>
  <c r="N652" i="22"/>
  <c r="P652" i="22" s="1"/>
  <c r="J652" i="22"/>
  <c r="H652" i="22"/>
  <c r="U651" i="22"/>
  <c r="T651" i="22"/>
  <c r="O651" i="22"/>
  <c r="N651" i="22"/>
  <c r="P651" i="22" s="1"/>
  <c r="H651" i="22"/>
  <c r="J651" i="22" s="1"/>
  <c r="R650" i="22"/>
  <c r="O650" i="22"/>
  <c r="N650" i="22"/>
  <c r="S650" i="22" s="1"/>
  <c r="M649" i="22"/>
  <c r="H649" i="22"/>
  <c r="U648" i="22"/>
  <c r="T648" i="22"/>
  <c r="O648" i="22"/>
  <c r="N648" i="22"/>
  <c r="P648" i="22" s="1"/>
  <c r="G648" i="22"/>
  <c r="H648" i="22" s="1"/>
  <c r="U647" i="22"/>
  <c r="T647" i="22"/>
  <c r="O647" i="22"/>
  <c r="N647" i="22"/>
  <c r="P647" i="22" s="1"/>
  <c r="H647" i="22"/>
  <c r="U646" i="22"/>
  <c r="T646" i="22"/>
  <c r="O646" i="22"/>
  <c r="N646" i="22"/>
  <c r="P646" i="22" s="1"/>
  <c r="H646" i="22"/>
  <c r="J646" i="22" s="1"/>
  <c r="U645" i="22"/>
  <c r="T645" i="22"/>
  <c r="O645" i="22"/>
  <c r="N645" i="22"/>
  <c r="P645" i="22" s="1"/>
  <c r="J645" i="22"/>
  <c r="H645" i="22"/>
  <c r="R644" i="22"/>
  <c r="O644" i="22"/>
  <c r="N644" i="22"/>
  <c r="S644" i="22" s="1"/>
  <c r="M643" i="22"/>
  <c r="H643" i="22"/>
  <c r="U642" i="22"/>
  <c r="T642" i="22"/>
  <c r="O642" i="22"/>
  <c r="N642" i="22"/>
  <c r="P642" i="22" s="1"/>
  <c r="H642" i="22"/>
  <c r="H641" i="22" s="1"/>
  <c r="R641" i="22"/>
  <c r="O641" i="22"/>
  <c r="N641" i="22"/>
  <c r="S641" i="22" s="1"/>
  <c r="J641" i="22"/>
  <c r="R640" i="22"/>
  <c r="N640" i="22"/>
  <c r="P640" i="22" s="1"/>
  <c r="M640" i="22"/>
  <c r="H640" i="22"/>
  <c r="R639" i="22"/>
  <c r="O639" i="22"/>
  <c r="N639" i="22"/>
  <c r="P639" i="22" s="1"/>
  <c r="J639" i="22"/>
  <c r="N638" i="22"/>
  <c r="S638" i="22" s="1"/>
  <c r="M638" i="22"/>
  <c r="H638" i="22"/>
  <c r="R637" i="22"/>
  <c r="O637" i="22"/>
  <c r="N637" i="22"/>
  <c r="P637" i="22" s="1"/>
  <c r="J637" i="22"/>
  <c r="M636" i="22"/>
  <c r="N636" i="22" s="1"/>
  <c r="S636" i="22" s="1"/>
  <c r="H636" i="22"/>
  <c r="R635" i="22"/>
  <c r="R636" i="22" s="1"/>
  <c r="O635" i="22"/>
  <c r="N635" i="22"/>
  <c r="S635" i="22" s="1"/>
  <c r="U635" i="22" s="1"/>
  <c r="Z635" i="22" s="1"/>
  <c r="J635" i="22"/>
  <c r="R634" i="22"/>
  <c r="M634" i="22"/>
  <c r="N634" i="22" s="1"/>
  <c r="S634" i="22" s="1"/>
  <c r="H634" i="22"/>
  <c r="R633" i="22"/>
  <c r="O633" i="22"/>
  <c r="N633" i="22"/>
  <c r="P633" i="22" s="1"/>
  <c r="J633" i="22"/>
  <c r="R632" i="22"/>
  <c r="O632" i="22"/>
  <c r="N632" i="22"/>
  <c r="S632" i="22" s="1"/>
  <c r="H632" i="22"/>
  <c r="J632" i="22" s="1"/>
  <c r="R631" i="22"/>
  <c r="O631" i="22"/>
  <c r="N631" i="22"/>
  <c r="S631" i="22" s="1"/>
  <c r="H631" i="22"/>
  <c r="J631" i="22" s="1"/>
  <c r="R630" i="22"/>
  <c r="O630" i="22"/>
  <c r="N630" i="22"/>
  <c r="P630" i="22" s="1"/>
  <c r="J630" i="22"/>
  <c r="H630" i="22"/>
  <c r="R629" i="22"/>
  <c r="O629" i="22"/>
  <c r="N629" i="22"/>
  <c r="S629" i="22" s="1"/>
  <c r="H629" i="22"/>
  <c r="J629" i="22" s="1"/>
  <c r="R628" i="22"/>
  <c r="O628" i="22"/>
  <c r="N628" i="22"/>
  <c r="P628" i="22" s="1"/>
  <c r="H628" i="22"/>
  <c r="J628" i="22" s="1"/>
  <c r="R627" i="22"/>
  <c r="O627" i="22"/>
  <c r="N627" i="22"/>
  <c r="S627" i="22" s="1"/>
  <c r="H627" i="22"/>
  <c r="J627" i="22" s="1"/>
  <c r="R626" i="22"/>
  <c r="O626" i="22"/>
  <c r="N626" i="22"/>
  <c r="H626" i="22"/>
  <c r="J626" i="22" s="1"/>
  <c r="R625" i="22"/>
  <c r="O625" i="22"/>
  <c r="N625" i="22"/>
  <c r="H625" i="22"/>
  <c r="J625" i="22" s="1"/>
  <c r="R624" i="22"/>
  <c r="O624" i="22"/>
  <c r="N624" i="22"/>
  <c r="S624" i="22" s="1"/>
  <c r="H624" i="22"/>
  <c r="J624" i="22" s="1"/>
  <c r="G624" i="22"/>
  <c r="R623" i="22"/>
  <c r="O623" i="22"/>
  <c r="N623" i="22"/>
  <c r="G623" i="22"/>
  <c r="H623" i="22" s="1"/>
  <c r="J623" i="22" s="1"/>
  <c r="R622" i="22"/>
  <c r="O622" i="22"/>
  <c r="N622" i="22"/>
  <c r="J622" i="22"/>
  <c r="H622" i="22"/>
  <c r="R621" i="22"/>
  <c r="O621" i="22"/>
  <c r="N621" i="22"/>
  <c r="S621" i="22" s="1"/>
  <c r="H621" i="22"/>
  <c r="J621" i="22" s="1"/>
  <c r="U620" i="22"/>
  <c r="T620" i="22"/>
  <c r="O620" i="22"/>
  <c r="N620" i="22"/>
  <c r="P620" i="22" s="1"/>
  <c r="H620" i="22"/>
  <c r="G620" i="22"/>
  <c r="U619" i="22"/>
  <c r="T619" i="22"/>
  <c r="O619" i="22"/>
  <c r="N619" i="22"/>
  <c r="P619" i="22" s="1"/>
  <c r="H619" i="22"/>
  <c r="G619" i="22"/>
  <c r="U618" i="22"/>
  <c r="T618" i="22"/>
  <c r="O618" i="22"/>
  <c r="N618" i="22"/>
  <c r="P618" i="22" s="1"/>
  <c r="H618" i="22"/>
  <c r="H617" i="22" s="1"/>
  <c r="J617" i="22" s="1"/>
  <c r="G618" i="22"/>
  <c r="R617" i="22"/>
  <c r="O617" i="22"/>
  <c r="N617" i="22"/>
  <c r="P617" i="22" s="1"/>
  <c r="U616" i="22"/>
  <c r="T616" i="22"/>
  <c r="O616" i="22"/>
  <c r="N616" i="22"/>
  <c r="P616" i="22" s="1"/>
  <c r="K616" i="22"/>
  <c r="J616" i="22"/>
  <c r="G616" i="22"/>
  <c r="H616" i="22" s="1"/>
  <c r="U615" i="22"/>
  <c r="T615" i="22"/>
  <c r="O615" i="22"/>
  <c r="N615" i="22"/>
  <c r="P615" i="22" s="1"/>
  <c r="K615" i="22"/>
  <c r="J615" i="22"/>
  <c r="H615" i="22"/>
  <c r="G615" i="22"/>
  <c r="U614" i="22"/>
  <c r="T614" i="22"/>
  <c r="O614" i="22"/>
  <c r="N614" i="22"/>
  <c r="P614" i="22" s="1"/>
  <c r="K614" i="22"/>
  <c r="J614" i="22"/>
  <c r="H614" i="22"/>
  <c r="G614" i="22"/>
  <c r="R613" i="22"/>
  <c r="O613" i="22"/>
  <c r="N613" i="22"/>
  <c r="U612" i="22"/>
  <c r="T612" i="22"/>
  <c r="O612" i="22"/>
  <c r="N612" i="22"/>
  <c r="P612" i="22" s="1"/>
  <c r="K612" i="22"/>
  <c r="J612" i="22"/>
  <c r="G612" i="22"/>
  <c r="H612" i="22" s="1"/>
  <c r="U611" i="22"/>
  <c r="T611" i="22"/>
  <c r="O611" i="22"/>
  <c r="N611" i="22"/>
  <c r="P611" i="22" s="1"/>
  <c r="K611" i="22"/>
  <c r="J611" i="22"/>
  <c r="G611" i="22"/>
  <c r="H611" i="22" s="1"/>
  <c r="U610" i="22"/>
  <c r="T610" i="22"/>
  <c r="O610" i="22"/>
  <c r="N610" i="22"/>
  <c r="P610" i="22" s="1"/>
  <c r="K610" i="22"/>
  <c r="J610" i="22"/>
  <c r="H610" i="22"/>
  <c r="G610" i="22"/>
  <c r="R609" i="22"/>
  <c r="O609" i="22"/>
  <c r="N609" i="22"/>
  <c r="P609" i="22" s="1"/>
  <c r="U608" i="22"/>
  <c r="T608" i="22"/>
  <c r="O608" i="22"/>
  <c r="N608" i="22"/>
  <c r="P608" i="22" s="1"/>
  <c r="K608" i="22"/>
  <c r="J608" i="22"/>
  <c r="G608" i="22"/>
  <c r="H608" i="22" s="1"/>
  <c r="U607" i="22"/>
  <c r="T607" i="22"/>
  <c r="O607" i="22"/>
  <c r="N607" i="22"/>
  <c r="P607" i="22" s="1"/>
  <c r="K607" i="22"/>
  <c r="J607" i="22"/>
  <c r="H607" i="22"/>
  <c r="G607" i="22"/>
  <c r="U606" i="22"/>
  <c r="T606" i="22"/>
  <c r="O606" i="22"/>
  <c r="N606" i="22"/>
  <c r="P606" i="22" s="1"/>
  <c r="K606" i="22"/>
  <c r="J606" i="22"/>
  <c r="H606" i="22"/>
  <c r="G606" i="22"/>
  <c r="R605" i="22"/>
  <c r="R604" i="22"/>
  <c r="O604" i="22"/>
  <c r="N604" i="22"/>
  <c r="P604" i="22" s="1"/>
  <c r="H604" i="22"/>
  <c r="J604" i="22" s="1"/>
  <c r="R603" i="22"/>
  <c r="O603" i="22"/>
  <c r="N603" i="22"/>
  <c r="S603" i="22" s="1"/>
  <c r="U603" i="22" s="1"/>
  <c r="H603" i="22"/>
  <c r="J603" i="22" s="1"/>
  <c r="R602" i="22"/>
  <c r="O602" i="22"/>
  <c r="N602" i="22"/>
  <c r="S602" i="22" s="1"/>
  <c r="J602" i="22"/>
  <c r="H602" i="22"/>
  <c r="R601" i="22"/>
  <c r="O601" i="22"/>
  <c r="N601" i="22"/>
  <c r="P601" i="22" s="1"/>
  <c r="H601" i="22"/>
  <c r="J601" i="22" s="1"/>
  <c r="R600" i="22"/>
  <c r="O600" i="22"/>
  <c r="N600" i="22"/>
  <c r="S600" i="22" s="1"/>
  <c r="H600" i="22"/>
  <c r="J600" i="22" s="1"/>
  <c r="R599" i="22"/>
  <c r="O599" i="22"/>
  <c r="N599" i="22"/>
  <c r="P599" i="22" s="1"/>
  <c r="J599" i="22"/>
  <c r="H599" i="22"/>
  <c r="G599" i="22"/>
  <c r="R598" i="22"/>
  <c r="O598" i="22"/>
  <c r="N598" i="22"/>
  <c r="P598" i="22" s="1"/>
  <c r="J598" i="22"/>
  <c r="H598" i="22"/>
  <c r="R597" i="22"/>
  <c r="O597" i="22"/>
  <c r="N597" i="22"/>
  <c r="S597" i="22" s="1"/>
  <c r="H597" i="22"/>
  <c r="J597" i="22" s="1"/>
  <c r="U596" i="22"/>
  <c r="T596" i="22"/>
  <c r="O596" i="22"/>
  <c r="N596" i="22"/>
  <c r="P596" i="22" s="1"/>
  <c r="H596" i="22"/>
  <c r="U595" i="22"/>
  <c r="T595" i="22"/>
  <c r="O595" i="22"/>
  <c r="N595" i="22"/>
  <c r="P595" i="22" s="1"/>
  <c r="H595" i="22"/>
  <c r="U594" i="22"/>
  <c r="T594" i="22"/>
  <c r="O594" i="22"/>
  <c r="N594" i="22"/>
  <c r="P594" i="22" s="1"/>
  <c r="H594" i="22"/>
  <c r="R593" i="22"/>
  <c r="O593" i="22"/>
  <c r="N593" i="22"/>
  <c r="S593" i="22" s="1"/>
  <c r="U593" i="22" s="1"/>
  <c r="R592" i="22"/>
  <c r="J592" i="22"/>
  <c r="H592" i="22"/>
  <c r="R591" i="22"/>
  <c r="O591" i="22"/>
  <c r="N591" i="22"/>
  <c r="S591" i="22" s="1"/>
  <c r="U591" i="22" s="1"/>
  <c r="H591" i="22"/>
  <c r="J591" i="22" s="1"/>
  <c r="R590" i="22"/>
  <c r="J590" i="22"/>
  <c r="H590" i="22"/>
  <c r="R589" i="22"/>
  <c r="O589" i="22"/>
  <c r="N589" i="22"/>
  <c r="S589" i="22" s="1"/>
  <c r="H589" i="22"/>
  <c r="J589" i="22" s="1"/>
  <c r="R588" i="22"/>
  <c r="O588" i="22"/>
  <c r="N588" i="22"/>
  <c r="H588" i="22"/>
  <c r="J588" i="22" s="1"/>
  <c r="R587" i="22"/>
  <c r="O587" i="22"/>
  <c r="N587" i="22"/>
  <c r="P587" i="22" s="1"/>
  <c r="H587" i="22"/>
  <c r="J587" i="22" s="1"/>
  <c r="G587" i="22"/>
  <c r="R586" i="22"/>
  <c r="O586" i="22"/>
  <c r="N586" i="22"/>
  <c r="S586" i="22" s="1"/>
  <c r="J586" i="22"/>
  <c r="H586" i="22"/>
  <c r="G586" i="22"/>
  <c r="R585" i="22"/>
  <c r="O585" i="22"/>
  <c r="N585" i="22"/>
  <c r="S585" i="22" s="1"/>
  <c r="G585" i="22"/>
  <c r="H585" i="22" s="1"/>
  <c r="J585" i="22" s="1"/>
  <c r="R584" i="22"/>
  <c r="O584" i="22"/>
  <c r="N584" i="22"/>
  <c r="S584" i="22" s="1"/>
  <c r="J584" i="22"/>
  <c r="H584" i="22"/>
  <c r="G584" i="22"/>
  <c r="U583" i="22"/>
  <c r="T583" i="22"/>
  <c r="P583" i="22"/>
  <c r="O583" i="22"/>
  <c r="R582" i="22"/>
  <c r="O582" i="22"/>
  <c r="N582" i="22"/>
  <c r="S582" i="22" s="1"/>
  <c r="K582" i="22"/>
  <c r="R581" i="22"/>
  <c r="O581" i="22"/>
  <c r="N581" i="22"/>
  <c r="S581" i="22" s="1"/>
  <c r="U581" i="22" s="1"/>
  <c r="K581" i="22"/>
  <c r="T581" i="22" s="1"/>
  <c r="R580" i="22"/>
  <c r="O580" i="22"/>
  <c r="N580" i="22"/>
  <c r="P580" i="22" s="1"/>
  <c r="K580" i="22"/>
  <c r="R579" i="22"/>
  <c r="O579" i="22"/>
  <c r="N579" i="22"/>
  <c r="K579" i="22"/>
  <c r="R578" i="22"/>
  <c r="O578" i="22"/>
  <c r="N578" i="22"/>
  <c r="S578" i="22" s="1"/>
  <c r="K578" i="22"/>
  <c r="R577" i="22"/>
  <c r="O577" i="22"/>
  <c r="N577" i="22"/>
  <c r="K577" i="22"/>
  <c r="T577" i="22" s="1"/>
  <c r="R576" i="22"/>
  <c r="O576" i="22"/>
  <c r="N576" i="22"/>
  <c r="S576" i="22" s="1"/>
  <c r="K576" i="22"/>
  <c r="R575" i="22"/>
  <c r="O575" i="22"/>
  <c r="N575" i="22"/>
  <c r="P575" i="22" s="1"/>
  <c r="K575" i="22"/>
  <c r="R574" i="22"/>
  <c r="O574" i="22"/>
  <c r="N574" i="22"/>
  <c r="S574" i="22" s="1"/>
  <c r="K574" i="22"/>
  <c r="R573" i="22"/>
  <c r="O573" i="22"/>
  <c r="N573" i="22"/>
  <c r="S573" i="22" s="1"/>
  <c r="U573" i="22" s="1"/>
  <c r="K573" i="22"/>
  <c r="T573" i="22" s="1"/>
  <c r="R572" i="22"/>
  <c r="O572" i="22"/>
  <c r="N572" i="22"/>
  <c r="P572" i="22" s="1"/>
  <c r="K572" i="22"/>
  <c r="R571" i="22"/>
  <c r="O571" i="22"/>
  <c r="N571" i="22"/>
  <c r="K571" i="22"/>
  <c r="R570" i="22"/>
  <c r="O570" i="22"/>
  <c r="N570" i="22"/>
  <c r="S570" i="22" s="1"/>
  <c r="K570" i="22"/>
  <c r="R569" i="22"/>
  <c r="O569" i="22"/>
  <c r="N569" i="22"/>
  <c r="K569" i="22"/>
  <c r="T569" i="22" s="1"/>
  <c r="R568" i="22"/>
  <c r="O568" i="22"/>
  <c r="N568" i="22"/>
  <c r="S568" i="22" s="1"/>
  <c r="K568" i="22"/>
  <c r="R567" i="22"/>
  <c r="O567" i="22"/>
  <c r="N567" i="22"/>
  <c r="P567" i="22" s="1"/>
  <c r="K567" i="22"/>
  <c r="R566" i="22"/>
  <c r="O566" i="22"/>
  <c r="N566" i="22"/>
  <c r="P566" i="22" s="1"/>
  <c r="K566" i="22"/>
  <c r="R565" i="22"/>
  <c r="O565" i="22"/>
  <c r="N565" i="22"/>
  <c r="S565" i="22" s="1"/>
  <c r="U565" i="22" s="1"/>
  <c r="K565" i="22"/>
  <c r="T565" i="22" s="1"/>
  <c r="R564" i="22"/>
  <c r="O564" i="22"/>
  <c r="N564" i="22"/>
  <c r="P564" i="22" s="1"/>
  <c r="K564" i="22"/>
  <c r="R563" i="22"/>
  <c r="O563" i="22"/>
  <c r="N563" i="22"/>
  <c r="K563" i="22"/>
  <c r="R562" i="22"/>
  <c r="O562" i="22"/>
  <c r="N562" i="22"/>
  <c r="S562" i="22" s="1"/>
  <c r="K562" i="22"/>
  <c r="R561" i="22"/>
  <c r="O561" i="22"/>
  <c r="N561" i="22"/>
  <c r="S561" i="22" s="1"/>
  <c r="U561" i="22" s="1"/>
  <c r="K561" i="22"/>
  <c r="T561" i="22" s="1"/>
  <c r="R560" i="22"/>
  <c r="O560" i="22"/>
  <c r="N560" i="22"/>
  <c r="S560" i="22" s="1"/>
  <c r="K560" i="22"/>
  <c r="R559" i="22"/>
  <c r="O559" i="22"/>
  <c r="N559" i="22"/>
  <c r="P559" i="22" s="1"/>
  <c r="K559" i="22"/>
  <c r="R558" i="22"/>
  <c r="O558" i="22"/>
  <c r="N558" i="22"/>
  <c r="S558" i="22" s="1"/>
  <c r="K558" i="22"/>
  <c r="U557" i="22"/>
  <c r="T557" i="22"/>
  <c r="O557" i="22"/>
  <c r="N557" i="22"/>
  <c r="P557" i="22" s="1"/>
  <c r="R556" i="22"/>
  <c r="O556" i="22"/>
  <c r="N556" i="22"/>
  <c r="S556" i="22" s="1"/>
  <c r="J556" i="22"/>
  <c r="H556" i="22"/>
  <c r="U555" i="22"/>
  <c r="T555" i="22"/>
  <c r="O555" i="22"/>
  <c r="N555" i="22"/>
  <c r="P555" i="22" s="1"/>
  <c r="H555" i="22"/>
  <c r="G555" i="22"/>
  <c r="U554" i="22"/>
  <c r="T554" i="22"/>
  <c r="O554" i="22"/>
  <c r="N554" i="22"/>
  <c r="P554" i="22" s="1"/>
  <c r="H554" i="22"/>
  <c r="G554" i="22"/>
  <c r="U553" i="22"/>
  <c r="T553" i="22"/>
  <c r="O553" i="22"/>
  <c r="N553" i="22"/>
  <c r="P553" i="22" s="1"/>
  <c r="H553" i="22"/>
  <c r="G553" i="22"/>
  <c r="R552" i="22"/>
  <c r="O552" i="22"/>
  <c r="N552" i="22"/>
  <c r="P552" i="22" s="1"/>
  <c r="R551" i="22"/>
  <c r="O551" i="22"/>
  <c r="N551" i="22"/>
  <c r="S551" i="22" s="1"/>
  <c r="H551" i="22"/>
  <c r="J551" i="22" s="1"/>
  <c r="U550" i="22"/>
  <c r="T550" i="22"/>
  <c r="O550" i="22"/>
  <c r="N550" i="22"/>
  <c r="P550" i="22" s="1"/>
  <c r="G550" i="22"/>
  <c r="H550" i="22" s="1"/>
  <c r="U549" i="22"/>
  <c r="T549" i="22"/>
  <c r="O549" i="22"/>
  <c r="N549" i="22"/>
  <c r="P549" i="22" s="1"/>
  <c r="G549" i="22"/>
  <c r="H549" i="22" s="1"/>
  <c r="U548" i="22"/>
  <c r="T548" i="22"/>
  <c r="O548" i="22"/>
  <c r="N548" i="22"/>
  <c r="P548" i="22" s="1"/>
  <c r="G548" i="22"/>
  <c r="H548" i="22" s="1"/>
  <c r="R547" i="22"/>
  <c r="O547" i="22"/>
  <c r="N547" i="22"/>
  <c r="S547" i="22" s="1"/>
  <c r="U547" i="22" s="1"/>
  <c r="R546" i="22"/>
  <c r="O546" i="22"/>
  <c r="N546" i="22"/>
  <c r="S546" i="22" s="1"/>
  <c r="J546" i="22"/>
  <c r="H546" i="22"/>
  <c r="U545" i="22"/>
  <c r="T545" i="22"/>
  <c r="O545" i="22"/>
  <c r="N545" i="22"/>
  <c r="P545" i="22" s="1"/>
  <c r="H545" i="22"/>
  <c r="G545" i="22"/>
  <c r="U544" i="22"/>
  <c r="T544" i="22"/>
  <c r="O544" i="22"/>
  <c r="N544" i="22"/>
  <c r="P544" i="22" s="1"/>
  <c r="H544" i="22"/>
  <c r="G544" i="22"/>
  <c r="U543" i="22"/>
  <c r="T543" i="22"/>
  <c r="O543" i="22"/>
  <c r="N543" i="22"/>
  <c r="P543" i="22" s="1"/>
  <c r="H543" i="22"/>
  <c r="G543" i="22"/>
  <c r="R542" i="22"/>
  <c r="O542" i="22"/>
  <c r="N542" i="22"/>
  <c r="R541" i="22"/>
  <c r="O541" i="22"/>
  <c r="N541" i="22"/>
  <c r="P541" i="22" s="1"/>
  <c r="H541" i="22"/>
  <c r="J541" i="22" s="1"/>
  <c r="U540" i="22"/>
  <c r="T540" i="22"/>
  <c r="O540" i="22"/>
  <c r="N540" i="22"/>
  <c r="P540" i="22" s="1"/>
  <c r="G540" i="22"/>
  <c r="H540" i="22" s="1"/>
  <c r="U539" i="22"/>
  <c r="T539" i="22"/>
  <c r="O539" i="22"/>
  <c r="N539" i="22"/>
  <c r="P539" i="22" s="1"/>
  <c r="G539" i="22"/>
  <c r="H539" i="22" s="1"/>
  <c r="U538" i="22"/>
  <c r="T538" i="22"/>
  <c r="O538" i="22"/>
  <c r="N538" i="22"/>
  <c r="P538" i="22" s="1"/>
  <c r="G538" i="22"/>
  <c r="H538" i="22" s="1"/>
  <c r="R537" i="22"/>
  <c r="O537" i="22"/>
  <c r="N537" i="22"/>
  <c r="S537" i="22" s="1"/>
  <c r="U537" i="22" s="1"/>
  <c r="R536" i="22"/>
  <c r="O536" i="22"/>
  <c r="N536" i="22"/>
  <c r="S536" i="22" s="1"/>
  <c r="J536" i="22"/>
  <c r="H536" i="22"/>
  <c r="G536" i="22"/>
  <c r="U535" i="22"/>
  <c r="T535" i="22"/>
  <c r="O535" i="22"/>
  <c r="N535" i="22"/>
  <c r="P535" i="22" s="1"/>
  <c r="G535" i="22"/>
  <c r="H535" i="22" s="1"/>
  <c r="U534" i="22"/>
  <c r="T534" i="22"/>
  <c r="O534" i="22"/>
  <c r="N534" i="22"/>
  <c r="P534" i="22" s="1"/>
  <c r="G534" i="22"/>
  <c r="H534" i="22" s="1"/>
  <c r="U533" i="22"/>
  <c r="T533" i="22"/>
  <c r="O533" i="22"/>
  <c r="N533" i="22"/>
  <c r="P533" i="22" s="1"/>
  <c r="G533" i="22"/>
  <c r="H533" i="22" s="1"/>
  <c r="R532" i="22"/>
  <c r="O532" i="22"/>
  <c r="N532" i="22"/>
  <c r="P532" i="22" s="1"/>
  <c r="R531" i="22"/>
  <c r="O531" i="22"/>
  <c r="N531" i="22"/>
  <c r="S531" i="22" s="1"/>
  <c r="H531" i="22"/>
  <c r="J531" i="22" s="1"/>
  <c r="R530" i="22"/>
  <c r="O530" i="22"/>
  <c r="N530" i="22"/>
  <c r="S530" i="22" s="1"/>
  <c r="U530" i="22" s="1"/>
  <c r="Z530" i="22" s="1"/>
  <c r="J530" i="22"/>
  <c r="R529" i="22"/>
  <c r="O529" i="22"/>
  <c r="N529" i="22"/>
  <c r="S529" i="22" s="1"/>
  <c r="J529" i="22"/>
  <c r="U528" i="22"/>
  <c r="T528" i="22"/>
  <c r="P528" i="22"/>
  <c r="O528" i="22"/>
  <c r="R527" i="22"/>
  <c r="O527" i="22"/>
  <c r="N527" i="22"/>
  <c r="S527" i="22" s="1"/>
  <c r="K527" i="22"/>
  <c r="R526" i="22"/>
  <c r="O526" i="22"/>
  <c r="N526" i="22"/>
  <c r="P526" i="22" s="1"/>
  <c r="K526" i="22"/>
  <c r="R525" i="22"/>
  <c r="O525" i="22"/>
  <c r="N525" i="22"/>
  <c r="S525" i="22" s="1"/>
  <c r="K525" i="22"/>
  <c r="R524" i="22"/>
  <c r="O524" i="22"/>
  <c r="N524" i="22"/>
  <c r="S524" i="22" s="1"/>
  <c r="U524" i="22" s="1"/>
  <c r="K524" i="22"/>
  <c r="T524" i="22" s="1"/>
  <c r="R523" i="22"/>
  <c r="O523" i="22"/>
  <c r="N523" i="22"/>
  <c r="S523" i="22" s="1"/>
  <c r="K523" i="22"/>
  <c r="R522" i="22"/>
  <c r="O522" i="22"/>
  <c r="N522" i="22"/>
  <c r="K522" i="22"/>
  <c r="R521" i="22"/>
  <c r="O521" i="22"/>
  <c r="N521" i="22"/>
  <c r="K521" i="22"/>
  <c r="R520" i="22"/>
  <c r="O520" i="22"/>
  <c r="N520" i="22"/>
  <c r="S520" i="22" s="1"/>
  <c r="U520" i="22" s="1"/>
  <c r="K520" i="22"/>
  <c r="T520" i="22" s="1"/>
  <c r="R519" i="22"/>
  <c r="O519" i="22"/>
  <c r="N519" i="22"/>
  <c r="S519" i="22" s="1"/>
  <c r="K519" i="22"/>
  <c r="R518" i="22"/>
  <c r="O518" i="22"/>
  <c r="N518" i="22"/>
  <c r="K518" i="22"/>
  <c r="R517" i="22"/>
  <c r="O517" i="22"/>
  <c r="N517" i="22"/>
  <c r="S517" i="22" s="1"/>
  <c r="K517" i="22"/>
  <c r="R516" i="22"/>
  <c r="O516" i="22"/>
  <c r="N516" i="22"/>
  <c r="S516" i="22" s="1"/>
  <c r="K516" i="22"/>
  <c r="T516" i="22" s="1"/>
  <c r="R515" i="22"/>
  <c r="O515" i="22"/>
  <c r="N515" i="22"/>
  <c r="S515" i="22" s="1"/>
  <c r="K515" i="22"/>
  <c r="R514" i="22"/>
  <c r="O514" i="22"/>
  <c r="N514" i="22"/>
  <c r="K514" i="22"/>
  <c r="R513" i="22"/>
  <c r="O513" i="22"/>
  <c r="N513" i="22"/>
  <c r="S513" i="22" s="1"/>
  <c r="K513" i="22"/>
  <c r="R512" i="22"/>
  <c r="O512" i="22"/>
  <c r="N512" i="22"/>
  <c r="S512" i="22" s="1"/>
  <c r="U512" i="22" s="1"/>
  <c r="K512" i="22"/>
  <c r="T512" i="22" s="1"/>
  <c r="R511" i="22"/>
  <c r="O511" i="22"/>
  <c r="N511" i="22"/>
  <c r="S511" i="22" s="1"/>
  <c r="K511" i="22"/>
  <c r="R510" i="22"/>
  <c r="O510" i="22"/>
  <c r="N510" i="22"/>
  <c r="K510" i="22"/>
  <c r="R509" i="22"/>
  <c r="O509" i="22"/>
  <c r="N509" i="22"/>
  <c r="S509" i="22" s="1"/>
  <c r="K509" i="22"/>
  <c r="R508" i="22"/>
  <c r="O508" i="22"/>
  <c r="N508" i="22"/>
  <c r="S508" i="22" s="1"/>
  <c r="K508" i="22"/>
  <c r="T508" i="22" s="1"/>
  <c r="R507" i="22"/>
  <c r="O507" i="22"/>
  <c r="N507" i="22"/>
  <c r="S507" i="22" s="1"/>
  <c r="K507" i="22"/>
  <c r="R506" i="22"/>
  <c r="O506" i="22"/>
  <c r="N506" i="22"/>
  <c r="K506" i="22"/>
  <c r="R505" i="22"/>
  <c r="O505" i="22"/>
  <c r="N505" i="22"/>
  <c r="P505" i="22" s="1"/>
  <c r="K505" i="22"/>
  <c r="R504" i="22"/>
  <c r="O504" i="22"/>
  <c r="N504" i="22"/>
  <c r="S504" i="22" s="1"/>
  <c r="U504" i="22" s="1"/>
  <c r="K504" i="22"/>
  <c r="R503" i="22"/>
  <c r="O503" i="22"/>
  <c r="N503" i="22"/>
  <c r="S503" i="22" s="1"/>
  <c r="K503" i="22"/>
  <c r="U502" i="22"/>
  <c r="T502" i="22"/>
  <c r="P502" i="22"/>
  <c r="O502" i="22"/>
  <c r="N502" i="22"/>
  <c r="R501" i="22"/>
  <c r="O501" i="22"/>
  <c r="N501" i="22"/>
  <c r="S501" i="22" s="1"/>
  <c r="H501" i="22"/>
  <c r="J501" i="22" s="1"/>
  <c r="R500" i="22"/>
  <c r="O500" i="22"/>
  <c r="N500" i="22"/>
  <c r="S500" i="22" s="1"/>
  <c r="H500" i="22"/>
  <c r="J500" i="22" s="1"/>
  <c r="R499" i="22"/>
  <c r="O499" i="22"/>
  <c r="N499" i="22"/>
  <c r="S499" i="22" s="1"/>
  <c r="H499" i="22"/>
  <c r="J499" i="22" s="1"/>
  <c r="R498" i="22"/>
  <c r="O498" i="22"/>
  <c r="N498" i="22"/>
  <c r="S498" i="22" s="1"/>
  <c r="U498" i="22" s="1"/>
  <c r="H498" i="22"/>
  <c r="J498" i="22" s="1"/>
  <c r="R497" i="22"/>
  <c r="O497" i="22"/>
  <c r="N497" i="22"/>
  <c r="S497" i="22" s="1"/>
  <c r="H497" i="22"/>
  <c r="J497" i="22" s="1"/>
  <c r="R496" i="22"/>
  <c r="O496" i="22"/>
  <c r="N496" i="22"/>
  <c r="S496" i="22" s="1"/>
  <c r="J496" i="22"/>
  <c r="H496" i="22"/>
  <c r="R495" i="22"/>
  <c r="O495" i="22"/>
  <c r="N495" i="22"/>
  <c r="P495" i="22" s="1"/>
  <c r="H495" i="22"/>
  <c r="J495" i="22" s="1"/>
  <c r="R494" i="22"/>
  <c r="O494" i="22"/>
  <c r="N494" i="22"/>
  <c r="J494" i="22"/>
  <c r="H494" i="22"/>
  <c r="R493" i="22"/>
  <c r="O493" i="22"/>
  <c r="N493" i="22"/>
  <c r="S493" i="22" s="1"/>
  <c r="H493" i="22"/>
  <c r="J493" i="22" s="1"/>
  <c r="R492" i="22"/>
  <c r="O492" i="22"/>
  <c r="N492" i="22"/>
  <c r="H492" i="22"/>
  <c r="J492" i="22" s="1"/>
  <c r="R491" i="22"/>
  <c r="O491" i="22"/>
  <c r="N491" i="22"/>
  <c r="S491" i="22" s="1"/>
  <c r="U491" i="22" s="1"/>
  <c r="H491" i="22"/>
  <c r="J491" i="22" s="1"/>
  <c r="R490" i="22"/>
  <c r="O490" i="22"/>
  <c r="N490" i="22"/>
  <c r="P490" i="22" s="1"/>
  <c r="G490" i="22"/>
  <c r="H490" i="22" s="1"/>
  <c r="J490" i="22" s="1"/>
  <c r="R489" i="22"/>
  <c r="O489" i="22"/>
  <c r="N489" i="22"/>
  <c r="S489" i="22" s="1"/>
  <c r="H489" i="22"/>
  <c r="J489" i="22" s="1"/>
  <c r="G489" i="22"/>
  <c r="R488" i="22"/>
  <c r="O488" i="22"/>
  <c r="N488" i="22"/>
  <c r="H488" i="22"/>
  <c r="J488" i="22" s="1"/>
  <c r="G488" i="22"/>
  <c r="R487" i="22"/>
  <c r="O487" i="22"/>
  <c r="N487" i="22"/>
  <c r="S487" i="22" s="1"/>
  <c r="J487" i="22"/>
  <c r="G487" i="22"/>
  <c r="H487" i="22" s="1"/>
  <c r="R486" i="22"/>
  <c r="O486" i="22"/>
  <c r="N486" i="22"/>
  <c r="P486" i="22" s="1"/>
  <c r="G486" i="22"/>
  <c r="H486" i="22" s="1"/>
  <c r="J486" i="22" s="1"/>
  <c r="R485" i="22"/>
  <c r="O485" i="22"/>
  <c r="N485" i="22"/>
  <c r="H485" i="22"/>
  <c r="J485" i="22" s="1"/>
  <c r="G485" i="22"/>
  <c r="R484" i="22"/>
  <c r="O484" i="22"/>
  <c r="N484" i="22"/>
  <c r="G484" i="22"/>
  <c r="H484" i="22" s="1"/>
  <c r="J484" i="22" s="1"/>
  <c r="R483" i="22"/>
  <c r="O483" i="22"/>
  <c r="N483" i="22"/>
  <c r="S483" i="22" s="1"/>
  <c r="J483" i="22"/>
  <c r="G483" i="22"/>
  <c r="H483" i="22" s="1"/>
  <c r="R482" i="22"/>
  <c r="O482" i="22"/>
  <c r="N482" i="22"/>
  <c r="P482" i="22" s="1"/>
  <c r="G482" i="22"/>
  <c r="H482" i="22" s="1"/>
  <c r="J482" i="22" s="1"/>
  <c r="U481" i="22"/>
  <c r="T481" i="22"/>
  <c r="O481" i="22"/>
  <c r="N481" i="22"/>
  <c r="P481" i="22" s="1"/>
  <c r="G481" i="22"/>
  <c r="H481" i="22" s="1"/>
  <c r="U480" i="22"/>
  <c r="T480" i="22"/>
  <c r="O480" i="22"/>
  <c r="N480" i="22"/>
  <c r="P480" i="22" s="1"/>
  <c r="H480" i="22"/>
  <c r="U479" i="22"/>
  <c r="T479" i="22"/>
  <c r="O479" i="22"/>
  <c r="N479" i="22"/>
  <c r="P479" i="22" s="1"/>
  <c r="H479" i="22"/>
  <c r="U478" i="22"/>
  <c r="T478" i="22"/>
  <c r="O478" i="22"/>
  <c r="N478" i="22"/>
  <c r="P478" i="22" s="1"/>
  <c r="H478" i="22"/>
  <c r="R477" i="22"/>
  <c r="O477" i="22"/>
  <c r="N477" i="22"/>
  <c r="U476" i="22"/>
  <c r="T476" i="22"/>
  <c r="O476" i="22"/>
  <c r="N476" i="22"/>
  <c r="P476" i="22" s="1"/>
  <c r="G476" i="22"/>
  <c r="H476" i="22" s="1"/>
  <c r="U475" i="22"/>
  <c r="T475" i="22"/>
  <c r="O475" i="22"/>
  <c r="N475" i="22"/>
  <c r="P475" i="22" s="1"/>
  <c r="H475" i="22"/>
  <c r="U474" i="22"/>
  <c r="T474" i="22"/>
  <c r="O474" i="22"/>
  <c r="N474" i="22"/>
  <c r="P474" i="22" s="1"/>
  <c r="H474" i="22"/>
  <c r="U473" i="22"/>
  <c r="T473" i="22"/>
  <c r="O473" i="22"/>
  <c r="N473" i="22"/>
  <c r="P473" i="22" s="1"/>
  <c r="H473" i="22"/>
  <c r="R472" i="22"/>
  <c r="O472" i="22"/>
  <c r="N472" i="22"/>
  <c r="S472" i="22" s="1"/>
  <c r="R471" i="22"/>
  <c r="O471" i="22"/>
  <c r="N471" i="22"/>
  <c r="S471" i="22" s="1"/>
  <c r="U471" i="22" s="1"/>
  <c r="J471" i="22"/>
  <c r="H471" i="22"/>
  <c r="R470" i="22"/>
  <c r="O470" i="22"/>
  <c r="N470" i="22"/>
  <c r="P470" i="22" s="1"/>
  <c r="H470" i="22"/>
  <c r="J470" i="22" s="1"/>
  <c r="R469" i="22"/>
  <c r="O469" i="22"/>
  <c r="N469" i="22"/>
  <c r="H469" i="22"/>
  <c r="J469" i="22" s="1"/>
  <c r="R468" i="22"/>
  <c r="O468" i="22"/>
  <c r="N468" i="22"/>
  <c r="S468" i="22" s="1"/>
  <c r="H468" i="22"/>
  <c r="J468" i="22" s="1"/>
  <c r="R467" i="22"/>
  <c r="O467" i="22"/>
  <c r="N467" i="22"/>
  <c r="S467" i="22" s="1"/>
  <c r="H467" i="22"/>
  <c r="J467" i="22" s="1"/>
  <c r="R466" i="22"/>
  <c r="O466" i="22"/>
  <c r="N466" i="22"/>
  <c r="S466" i="22" s="1"/>
  <c r="H466" i="22"/>
  <c r="J466" i="22" s="1"/>
  <c r="R465" i="22"/>
  <c r="O465" i="22"/>
  <c r="N465" i="22"/>
  <c r="P465" i="22" s="1"/>
  <c r="H465" i="22"/>
  <c r="J465" i="22" s="1"/>
  <c r="R464" i="22"/>
  <c r="O464" i="22"/>
  <c r="N464" i="22"/>
  <c r="S464" i="22" s="1"/>
  <c r="H464" i="22"/>
  <c r="J464" i="22" s="1"/>
  <c r="R463" i="22"/>
  <c r="O463" i="22"/>
  <c r="N463" i="22"/>
  <c r="S463" i="22" s="1"/>
  <c r="J463" i="22"/>
  <c r="H463" i="22"/>
  <c r="R462" i="22"/>
  <c r="O462" i="22"/>
  <c r="N462" i="22"/>
  <c r="S462" i="22" s="1"/>
  <c r="H462" i="22"/>
  <c r="J462" i="22" s="1"/>
  <c r="R461" i="22"/>
  <c r="O461" i="22"/>
  <c r="N461" i="22"/>
  <c r="H461" i="22"/>
  <c r="J461" i="22" s="1"/>
  <c r="R460" i="22"/>
  <c r="O460" i="22"/>
  <c r="N460" i="22"/>
  <c r="S460" i="22" s="1"/>
  <c r="U460" i="22" s="1"/>
  <c r="H460" i="22"/>
  <c r="J460" i="22" s="1"/>
  <c r="R459" i="22"/>
  <c r="O459" i="22"/>
  <c r="N459" i="22"/>
  <c r="S459" i="22" s="1"/>
  <c r="H459" i="22"/>
  <c r="J459" i="22" s="1"/>
  <c r="R458" i="22"/>
  <c r="O458" i="22"/>
  <c r="N458" i="22"/>
  <c r="S458" i="22" s="1"/>
  <c r="H458" i="22"/>
  <c r="J458" i="22" s="1"/>
  <c r="U457" i="22"/>
  <c r="T457" i="22"/>
  <c r="O457" i="22"/>
  <c r="N457" i="22"/>
  <c r="P457" i="22" s="1"/>
  <c r="G457" i="22"/>
  <c r="H457" i="22" s="1"/>
  <c r="U456" i="22"/>
  <c r="T456" i="22"/>
  <c r="O456" i="22"/>
  <c r="N456" i="22"/>
  <c r="P456" i="22" s="1"/>
  <c r="H456" i="22"/>
  <c r="U455" i="22"/>
  <c r="T455" i="22"/>
  <c r="O455" i="22"/>
  <c r="N455" i="22"/>
  <c r="P455" i="22" s="1"/>
  <c r="H455" i="22"/>
  <c r="U454" i="22"/>
  <c r="T454" i="22"/>
  <c r="O454" i="22"/>
  <c r="N454" i="22"/>
  <c r="P454" i="22" s="1"/>
  <c r="H454" i="22"/>
  <c r="R453" i="22"/>
  <c r="O453" i="22"/>
  <c r="N453" i="22"/>
  <c r="P453" i="22" s="1"/>
  <c r="U452" i="22"/>
  <c r="T452" i="22"/>
  <c r="O452" i="22"/>
  <c r="N452" i="22"/>
  <c r="P452" i="22" s="1"/>
  <c r="G452" i="22"/>
  <c r="H452" i="22" s="1"/>
  <c r="U451" i="22"/>
  <c r="T451" i="22"/>
  <c r="O451" i="22"/>
  <c r="N451" i="22"/>
  <c r="P451" i="22" s="1"/>
  <c r="H451" i="22"/>
  <c r="U450" i="22"/>
  <c r="T450" i="22"/>
  <c r="O450" i="22"/>
  <c r="N450" i="22"/>
  <c r="P450" i="22" s="1"/>
  <c r="H450" i="22"/>
  <c r="U449" i="22"/>
  <c r="T449" i="22"/>
  <c r="O449" i="22"/>
  <c r="N449" i="22"/>
  <c r="P449" i="22" s="1"/>
  <c r="H449" i="22"/>
  <c r="R448" i="22"/>
  <c r="O448" i="22"/>
  <c r="N448" i="22"/>
  <c r="P448" i="22" s="1"/>
  <c r="U447" i="22"/>
  <c r="T447" i="22"/>
  <c r="O447" i="22"/>
  <c r="N447" i="22"/>
  <c r="P447" i="22" s="1"/>
  <c r="G447" i="22"/>
  <c r="H447" i="22" s="1"/>
  <c r="U446" i="22"/>
  <c r="T446" i="22"/>
  <c r="O446" i="22"/>
  <c r="N446" i="22"/>
  <c r="P446" i="22" s="1"/>
  <c r="H446" i="22"/>
  <c r="U445" i="22"/>
  <c r="T445" i="22"/>
  <c r="O445" i="22"/>
  <c r="N445" i="22"/>
  <c r="P445" i="22" s="1"/>
  <c r="H445" i="22"/>
  <c r="U444" i="22"/>
  <c r="T444" i="22"/>
  <c r="O444" i="22"/>
  <c r="N444" i="22"/>
  <c r="P444" i="22" s="1"/>
  <c r="H444" i="22"/>
  <c r="R443" i="22"/>
  <c r="O443" i="22"/>
  <c r="N443" i="22"/>
  <c r="S443" i="22" s="1"/>
  <c r="H443" i="22"/>
  <c r="J443" i="22" s="1"/>
  <c r="M442" i="22"/>
  <c r="H442" i="22"/>
  <c r="U441" i="22"/>
  <c r="T441" i="22"/>
  <c r="O441" i="22"/>
  <c r="N441" i="22"/>
  <c r="P441" i="22" s="1"/>
  <c r="H441" i="22"/>
  <c r="G441" i="22"/>
  <c r="U440" i="22"/>
  <c r="T440" i="22"/>
  <c r="O440" i="22"/>
  <c r="N440" i="22"/>
  <c r="P440" i="22" s="1"/>
  <c r="H440" i="22"/>
  <c r="U439" i="22"/>
  <c r="T439" i="22"/>
  <c r="O439" i="22"/>
  <c r="N439" i="22"/>
  <c r="P439" i="22" s="1"/>
  <c r="H439" i="22"/>
  <c r="U438" i="22"/>
  <c r="T438" i="22"/>
  <c r="O438" i="22"/>
  <c r="N438" i="22"/>
  <c r="P438" i="22" s="1"/>
  <c r="H438" i="22"/>
  <c r="H437" i="22" s="1"/>
  <c r="J437" i="22" s="1"/>
  <c r="R437" i="22"/>
  <c r="R442" i="22" s="1"/>
  <c r="O437" i="22"/>
  <c r="N437" i="22"/>
  <c r="P437" i="22" s="1"/>
  <c r="M436" i="22"/>
  <c r="H436" i="22"/>
  <c r="U435" i="22"/>
  <c r="T435" i="22"/>
  <c r="O435" i="22"/>
  <c r="N435" i="22"/>
  <c r="P435" i="22" s="1"/>
  <c r="G435" i="22"/>
  <c r="H435" i="22" s="1"/>
  <c r="U434" i="22"/>
  <c r="T434" i="22"/>
  <c r="O434" i="22"/>
  <c r="N434" i="22"/>
  <c r="P434" i="22" s="1"/>
  <c r="H434" i="22"/>
  <c r="U433" i="22"/>
  <c r="T433" i="22"/>
  <c r="O433" i="22"/>
  <c r="N433" i="22"/>
  <c r="P433" i="22" s="1"/>
  <c r="H433" i="22"/>
  <c r="U432" i="22"/>
  <c r="T432" i="22"/>
  <c r="O432" i="22"/>
  <c r="N432" i="22"/>
  <c r="P432" i="22" s="1"/>
  <c r="H432" i="22"/>
  <c r="R431" i="22"/>
  <c r="R436" i="22" s="1"/>
  <c r="O431" i="22"/>
  <c r="N431" i="22"/>
  <c r="P431" i="22" s="1"/>
  <c r="M430" i="22"/>
  <c r="N430" i="22" s="1"/>
  <c r="P430" i="22" s="1"/>
  <c r="H430" i="22"/>
  <c r="U429" i="22"/>
  <c r="T429" i="22"/>
  <c r="O429" i="22"/>
  <c r="N429" i="22"/>
  <c r="P429" i="22" s="1"/>
  <c r="G429" i="22"/>
  <c r="H429" i="22" s="1"/>
  <c r="U428" i="22"/>
  <c r="T428" i="22"/>
  <c r="O428" i="22"/>
  <c r="N428" i="22"/>
  <c r="P428" i="22" s="1"/>
  <c r="H428" i="22"/>
  <c r="U427" i="22"/>
  <c r="T427" i="22"/>
  <c r="O427" i="22"/>
  <c r="N427" i="22"/>
  <c r="P427" i="22" s="1"/>
  <c r="H427" i="22"/>
  <c r="U426" i="22"/>
  <c r="T426" i="22"/>
  <c r="O426" i="22"/>
  <c r="N426" i="22"/>
  <c r="P426" i="22" s="1"/>
  <c r="H426" i="22"/>
  <c r="R425" i="22"/>
  <c r="R430" i="22" s="1"/>
  <c r="O425" i="22"/>
  <c r="N425" i="22"/>
  <c r="M424" i="22"/>
  <c r="H424" i="22"/>
  <c r="U423" i="22"/>
  <c r="T423" i="22"/>
  <c r="O423" i="22"/>
  <c r="N423" i="22"/>
  <c r="P423" i="22" s="1"/>
  <c r="G423" i="22"/>
  <c r="H423" i="22" s="1"/>
  <c r="H419" i="22" s="1"/>
  <c r="J419" i="22" s="1"/>
  <c r="U422" i="22"/>
  <c r="T422" i="22"/>
  <c r="O422" i="22"/>
  <c r="N422" i="22"/>
  <c r="P422" i="22" s="1"/>
  <c r="H422" i="22"/>
  <c r="U421" i="22"/>
  <c r="T421" i="22"/>
  <c r="O421" i="22"/>
  <c r="N421" i="22"/>
  <c r="P421" i="22" s="1"/>
  <c r="H421" i="22"/>
  <c r="U420" i="22"/>
  <c r="T420" i="22"/>
  <c r="O420" i="22"/>
  <c r="N420" i="22"/>
  <c r="P420" i="22" s="1"/>
  <c r="H420" i="22"/>
  <c r="R419" i="22"/>
  <c r="R424" i="22" s="1"/>
  <c r="O419" i="22"/>
  <c r="N419" i="22"/>
  <c r="S419" i="22" s="1"/>
  <c r="N418" i="22"/>
  <c r="P418" i="22" s="1"/>
  <c r="M418" i="22"/>
  <c r="H418" i="22"/>
  <c r="U417" i="22"/>
  <c r="T417" i="22"/>
  <c r="O417" i="22"/>
  <c r="N417" i="22"/>
  <c r="P417" i="22" s="1"/>
  <c r="G417" i="22"/>
  <c r="H417" i="22" s="1"/>
  <c r="U416" i="22"/>
  <c r="T416" i="22"/>
  <c r="O416" i="22"/>
  <c r="N416" i="22"/>
  <c r="P416" i="22" s="1"/>
  <c r="H416" i="22"/>
  <c r="U415" i="22"/>
  <c r="T415" i="22"/>
  <c r="O415" i="22"/>
  <c r="N415" i="22"/>
  <c r="P415" i="22" s="1"/>
  <c r="H415" i="22"/>
  <c r="U414" i="22"/>
  <c r="T414" i="22"/>
  <c r="O414" i="22"/>
  <c r="N414" i="22"/>
  <c r="P414" i="22" s="1"/>
  <c r="H414" i="22"/>
  <c r="R413" i="22"/>
  <c r="R418" i="22" s="1"/>
  <c r="O413" i="22"/>
  <c r="N413" i="22"/>
  <c r="N412" i="22"/>
  <c r="S412" i="22" s="1"/>
  <c r="M412" i="22"/>
  <c r="H412" i="22"/>
  <c r="U411" i="22"/>
  <c r="T411" i="22"/>
  <c r="O411" i="22"/>
  <c r="N411" i="22"/>
  <c r="P411" i="22" s="1"/>
  <c r="H411" i="22"/>
  <c r="G411" i="22"/>
  <c r="U410" i="22"/>
  <c r="T410" i="22"/>
  <c r="O410" i="22"/>
  <c r="N410" i="22"/>
  <c r="P410" i="22" s="1"/>
  <c r="H410" i="22"/>
  <c r="U409" i="22"/>
  <c r="T409" i="22"/>
  <c r="O409" i="22"/>
  <c r="N409" i="22"/>
  <c r="P409" i="22" s="1"/>
  <c r="H409" i="22"/>
  <c r="U408" i="22"/>
  <c r="T408" i="22"/>
  <c r="O408" i="22"/>
  <c r="N408" i="22"/>
  <c r="P408" i="22" s="1"/>
  <c r="H408" i="22"/>
  <c r="R407" i="22"/>
  <c r="R412" i="22" s="1"/>
  <c r="O407" i="22"/>
  <c r="N407" i="22"/>
  <c r="N406" i="22"/>
  <c r="P406" i="22" s="1"/>
  <c r="M406" i="22"/>
  <c r="H406" i="22"/>
  <c r="U405" i="22"/>
  <c r="T405" i="22"/>
  <c r="O405" i="22"/>
  <c r="N405" i="22"/>
  <c r="P405" i="22" s="1"/>
  <c r="H405" i="22"/>
  <c r="G405" i="22"/>
  <c r="U404" i="22"/>
  <c r="T404" i="22"/>
  <c r="O404" i="22"/>
  <c r="N404" i="22"/>
  <c r="P404" i="22" s="1"/>
  <c r="H404" i="22"/>
  <c r="U403" i="22"/>
  <c r="T403" i="22"/>
  <c r="O403" i="22"/>
  <c r="N403" i="22"/>
  <c r="P403" i="22" s="1"/>
  <c r="H403" i="22"/>
  <c r="U402" i="22"/>
  <c r="T402" i="22"/>
  <c r="O402" i="22"/>
  <c r="N402" i="22"/>
  <c r="P402" i="22" s="1"/>
  <c r="H402" i="22"/>
  <c r="R401" i="22"/>
  <c r="R406" i="22" s="1"/>
  <c r="O401" i="22"/>
  <c r="N401" i="22"/>
  <c r="P401" i="22" s="1"/>
  <c r="M400" i="22"/>
  <c r="H400" i="22"/>
  <c r="U399" i="22"/>
  <c r="T399" i="22"/>
  <c r="O399" i="22"/>
  <c r="N399" i="22"/>
  <c r="P399" i="22" s="1"/>
  <c r="H399" i="22"/>
  <c r="G399" i="22"/>
  <c r="U398" i="22"/>
  <c r="T398" i="22"/>
  <c r="O398" i="22"/>
  <c r="N398" i="22"/>
  <c r="P398" i="22" s="1"/>
  <c r="H398" i="22"/>
  <c r="U397" i="22"/>
  <c r="T397" i="22"/>
  <c r="O397" i="22"/>
  <c r="N397" i="22"/>
  <c r="P397" i="22" s="1"/>
  <c r="H397" i="22"/>
  <c r="U396" i="22"/>
  <c r="T396" i="22"/>
  <c r="O396" i="22"/>
  <c r="N396" i="22"/>
  <c r="P396" i="22" s="1"/>
  <c r="H396" i="22"/>
  <c r="H395" i="22" s="1"/>
  <c r="J395" i="22" s="1"/>
  <c r="R395" i="22"/>
  <c r="R400" i="22" s="1"/>
  <c r="M394" i="22"/>
  <c r="H394" i="22"/>
  <c r="U393" i="22"/>
  <c r="T393" i="22"/>
  <c r="O393" i="22"/>
  <c r="N393" i="22"/>
  <c r="P393" i="22" s="1"/>
  <c r="G393" i="22"/>
  <c r="H393" i="22" s="1"/>
  <c r="U392" i="22"/>
  <c r="T392" i="22"/>
  <c r="O392" i="22"/>
  <c r="N392" i="22"/>
  <c r="P392" i="22" s="1"/>
  <c r="H392" i="22"/>
  <c r="U391" i="22"/>
  <c r="T391" i="22"/>
  <c r="O391" i="22"/>
  <c r="N391" i="22"/>
  <c r="P391" i="22" s="1"/>
  <c r="H391" i="22"/>
  <c r="U390" i="22"/>
  <c r="T390" i="22"/>
  <c r="O390" i="22"/>
  <c r="N390" i="22"/>
  <c r="P390" i="22" s="1"/>
  <c r="H390" i="22"/>
  <c r="R389" i="22"/>
  <c r="N388" i="22"/>
  <c r="P388" i="22" s="1"/>
  <c r="M388" i="22"/>
  <c r="H388" i="22"/>
  <c r="U387" i="22"/>
  <c r="T387" i="22"/>
  <c r="O387" i="22"/>
  <c r="N387" i="22"/>
  <c r="P387" i="22" s="1"/>
  <c r="H387" i="22"/>
  <c r="G387" i="22"/>
  <c r="U386" i="22"/>
  <c r="T386" i="22"/>
  <c r="O386" i="22"/>
  <c r="N386" i="22"/>
  <c r="P386" i="22" s="1"/>
  <c r="H386" i="22"/>
  <c r="U385" i="22"/>
  <c r="T385" i="22"/>
  <c r="O385" i="22"/>
  <c r="N385" i="22"/>
  <c r="P385" i="22" s="1"/>
  <c r="H385" i="22"/>
  <c r="J385" i="22" s="1"/>
  <c r="U384" i="22"/>
  <c r="T384" i="22"/>
  <c r="O384" i="22"/>
  <c r="N384" i="22"/>
  <c r="P384" i="22" s="1"/>
  <c r="H384" i="22"/>
  <c r="H383" i="22" s="1"/>
  <c r="J383" i="22" s="1"/>
  <c r="R383" i="22"/>
  <c r="R388" i="22" s="1"/>
  <c r="O383" i="22"/>
  <c r="N383" i="22"/>
  <c r="S383" i="22" s="1"/>
  <c r="R382" i="22"/>
  <c r="M382" i="22"/>
  <c r="H382" i="22"/>
  <c r="U381" i="22"/>
  <c r="T381" i="22"/>
  <c r="O381" i="22"/>
  <c r="N381" i="22"/>
  <c r="P381" i="22" s="1"/>
  <c r="G381" i="22"/>
  <c r="H381" i="22" s="1"/>
  <c r="U380" i="22"/>
  <c r="T380" i="22"/>
  <c r="O380" i="22"/>
  <c r="N380" i="22"/>
  <c r="P380" i="22" s="1"/>
  <c r="H380" i="22"/>
  <c r="U379" i="22"/>
  <c r="T379" i="22"/>
  <c r="O379" i="22"/>
  <c r="N379" i="22"/>
  <c r="P379" i="22" s="1"/>
  <c r="H379" i="22"/>
  <c r="J379" i="22" s="1"/>
  <c r="U378" i="22"/>
  <c r="T378" i="22"/>
  <c r="O378" i="22"/>
  <c r="N378" i="22"/>
  <c r="P378" i="22" s="1"/>
  <c r="H378" i="22"/>
  <c r="R377" i="22"/>
  <c r="O377" i="22"/>
  <c r="N377" i="22"/>
  <c r="S377" i="22" s="1"/>
  <c r="N376" i="22"/>
  <c r="S376" i="22" s="1"/>
  <c r="M376" i="22"/>
  <c r="H376" i="22"/>
  <c r="U375" i="22"/>
  <c r="T375" i="22"/>
  <c r="O375" i="22"/>
  <c r="N375" i="22"/>
  <c r="P375" i="22" s="1"/>
  <c r="H375" i="22"/>
  <c r="G375" i="22"/>
  <c r="U374" i="22"/>
  <c r="T374" i="22"/>
  <c r="O374" i="22"/>
  <c r="N374" i="22"/>
  <c r="P374" i="22" s="1"/>
  <c r="H374" i="22"/>
  <c r="U373" i="22"/>
  <c r="T373" i="22"/>
  <c r="O373" i="22"/>
  <c r="N373" i="22"/>
  <c r="P373" i="22" s="1"/>
  <c r="H373" i="22"/>
  <c r="U372" i="22"/>
  <c r="T372" i="22"/>
  <c r="O372" i="22"/>
  <c r="N372" i="22"/>
  <c r="P372" i="22" s="1"/>
  <c r="H372" i="22"/>
  <c r="H371" i="22" s="1"/>
  <c r="J371" i="22" s="1"/>
  <c r="R371" i="22"/>
  <c r="R376" i="22" s="1"/>
  <c r="O371" i="22"/>
  <c r="N371" i="22"/>
  <c r="M370" i="22"/>
  <c r="N370" i="22" s="1"/>
  <c r="S370" i="22" s="1"/>
  <c r="H370" i="22"/>
  <c r="U369" i="22"/>
  <c r="T369" i="22"/>
  <c r="O369" i="22"/>
  <c r="N369" i="22"/>
  <c r="P369" i="22" s="1"/>
  <c r="H369" i="22"/>
  <c r="G369" i="22"/>
  <c r="U368" i="22"/>
  <c r="T368" i="22"/>
  <c r="O368" i="22"/>
  <c r="N368" i="22"/>
  <c r="P368" i="22" s="1"/>
  <c r="H368" i="22"/>
  <c r="U367" i="22"/>
  <c r="T367" i="22"/>
  <c r="O367" i="22"/>
  <c r="N367" i="22"/>
  <c r="P367" i="22" s="1"/>
  <c r="H367" i="22"/>
  <c r="H365" i="22" s="1"/>
  <c r="J365" i="22" s="1"/>
  <c r="U366" i="22"/>
  <c r="T366" i="22"/>
  <c r="O366" i="22"/>
  <c r="N366" i="22"/>
  <c r="P366" i="22" s="1"/>
  <c r="H366" i="22"/>
  <c r="R365" i="22"/>
  <c r="R370" i="22" s="1"/>
  <c r="O365" i="22"/>
  <c r="N365" i="22"/>
  <c r="P365" i="22" s="1"/>
  <c r="M364" i="22"/>
  <c r="H364" i="22"/>
  <c r="U363" i="22"/>
  <c r="T363" i="22"/>
  <c r="O363" i="22"/>
  <c r="N363" i="22"/>
  <c r="P363" i="22" s="1"/>
  <c r="H363" i="22"/>
  <c r="G363" i="22"/>
  <c r="U362" i="22"/>
  <c r="T362" i="22"/>
  <c r="O362" i="22"/>
  <c r="N362" i="22"/>
  <c r="P362" i="22" s="1"/>
  <c r="H362" i="22"/>
  <c r="U361" i="22"/>
  <c r="T361" i="22"/>
  <c r="O361" i="22"/>
  <c r="N361" i="22"/>
  <c r="P361" i="22" s="1"/>
  <c r="H361" i="22"/>
  <c r="U360" i="22"/>
  <c r="T360" i="22"/>
  <c r="O360" i="22"/>
  <c r="N360" i="22"/>
  <c r="P360" i="22" s="1"/>
  <c r="J360" i="22"/>
  <c r="H360" i="22"/>
  <c r="R359" i="22"/>
  <c r="O359" i="22"/>
  <c r="N359" i="22"/>
  <c r="S359" i="22" s="1"/>
  <c r="M358" i="22"/>
  <c r="N358" i="22" s="1"/>
  <c r="H358" i="22"/>
  <c r="U357" i="22"/>
  <c r="T357" i="22"/>
  <c r="O357" i="22"/>
  <c r="N357" i="22"/>
  <c r="P357" i="22" s="1"/>
  <c r="H357" i="22"/>
  <c r="U356" i="22"/>
  <c r="T356" i="22"/>
  <c r="O356" i="22"/>
  <c r="N356" i="22"/>
  <c r="P356" i="22" s="1"/>
  <c r="H356" i="22"/>
  <c r="U355" i="22"/>
  <c r="T355" i="22"/>
  <c r="O355" i="22"/>
  <c r="N355" i="22"/>
  <c r="P355" i="22" s="1"/>
  <c r="H355" i="22"/>
  <c r="U354" i="22"/>
  <c r="T354" i="22"/>
  <c r="O354" i="22"/>
  <c r="N354" i="22"/>
  <c r="P354" i="22" s="1"/>
  <c r="H354" i="22"/>
  <c r="J354" i="22" s="1"/>
  <c r="R353" i="22"/>
  <c r="R358" i="22" s="1"/>
  <c r="O353" i="22"/>
  <c r="N353" i="22"/>
  <c r="P353" i="22" s="1"/>
  <c r="M352" i="22"/>
  <c r="N352" i="22" s="1"/>
  <c r="S352" i="22" s="1"/>
  <c r="H352" i="22"/>
  <c r="U351" i="22"/>
  <c r="T351" i="22"/>
  <c r="O351" i="22"/>
  <c r="N351" i="22"/>
  <c r="P351" i="22" s="1"/>
  <c r="G351" i="22"/>
  <c r="H351" i="22" s="1"/>
  <c r="U350" i="22"/>
  <c r="T350" i="22"/>
  <c r="O350" i="22"/>
  <c r="N350" i="22"/>
  <c r="P350" i="22" s="1"/>
  <c r="H350" i="22"/>
  <c r="U349" i="22"/>
  <c r="T349" i="22"/>
  <c r="O349" i="22"/>
  <c r="N349" i="22"/>
  <c r="P349" i="22" s="1"/>
  <c r="H349" i="22"/>
  <c r="H347" i="22" s="1"/>
  <c r="J347" i="22" s="1"/>
  <c r="U348" i="22"/>
  <c r="T348" i="22"/>
  <c r="O348" i="22"/>
  <c r="N348" i="22"/>
  <c r="P348" i="22" s="1"/>
  <c r="H348" i="22"/>
  <c r="R347" i="22"/>
  <c r="R352" i="22" s="1"/>
  <c r="O347" i="22"/>
  <c r="N347" i="22"/>
  <c r="S347" i="22" s="1"/>
  <c r="M346" i="22"/>
  <c r="N346" i="22" s="1"/>
  <c r="H346" i="22"/>
  <c r="U345" i="22"/>
  <c r="T345" i="22"/>
  <c r="O345" i="22"/>
  <c r="N345" i="22"/>
  <c r="P345" i="22" s="1"/>
  <c r="H345" i="22"/>
  <c r="G345" i="22"/>
  <c r="U344" i="22"/>
  <c r="T344" i="22"/>
  <c r="O344" i="22"/>
  <c r="N344" i="22"/>
  <c r="P344" i="22" s="1"/>
  <c r="H344" i="22"/>
  <c r="U343" i="22"/>
  <c r="T343" i="22"/>
  <c r="O343" i="22"/>
  <c r="N343" i="22"/>
  <c r="P343" i="22" s="1"/>
  <c r="H343" i="22"/>
  <c r="J343" i="22" s="1"/>
  <c r="U342" i="22"/>
  <c r="T342" i="22"/>
  <c r="O342" i="22"/>
  <c r="N342" i="22"/>
  <c r="P342" i="22" s="1"/>
  <c r="H342" i="22"/>
  <c r="H341" i="22" s="1"/>
  <c r="J341" i="22" s="1"/>
  <c r="R341" i="22"/>
  <c r="R346" i="22" s="1"/>
  <c r="O341" i="22"/>
  <c r="N341" i="22"/>
  <c r="P341" i="22" s="1"/>
  <c r="N340" i="22"/>
  <c r="S340" i="22" s="1"/>
  <c r="M340" i="22"/>
  <c r="H340" i="22"/>
  <c r="U339" i="22"/>
  <c r="T339" i="22"/>
  <c r="O339" i="22"/>
  <c r="N339" i="22"/>
  <c r="P339" i="22" s="1"/>
  <c r="G339" i="22"/>
  <c r="H339" i="22" s="1"/>
  <c r="U338" i="22"/>
  <c r="T338" i="22"/>
  <c r="O338" i="22"/>
  <c r="N338" i="22"/>
  <c r="P338" i="22" s="1"/>
  <c r="H338" i="22"/>
  <c r="H335" i="22" s="1"/>
  <c r="J335" i="22" s="1"/>
  <c r="U337" i="22"/>
  <c r="T337" i="22"/>
  <c r="O337" i="22"/>
  <c r="N337" i="22"/>
  <c r="P337" i="22" s="1"/>
  <c r="H337" i="22"/>
  <c r="J337" i="22" s="1"/>
  <c r="U336" i="22"/>
  <c r="T336" i="22"/>
  <c r="O336" i="22"/>
  <c r="N336" i="22"/>
  <c r="P336" i="22" s="1"/>
  <c r="H336" i="22"/>
  <c r="R335" i="22"/>
  <c r="R340" i="22" s="1"/>
  <c r="O335" i="22"/>
  <c r="N335" i="22"/>
  <c r="P335" i="22" s="1"/>
  <c r="M334" i="22"/>
  <c r="H334" i="22"/>
  <c r="U333" i="22"/>
  <c r="T333" i="22"/>
  <c r="O333" i="22"/>
  <c r="N333" i="22"/>
  <c r="P333" i="22" s="1"/>
  <c r="H333" i="22"/>
  <c r="G333" i="22"/>
  <c r="U332" i="22"/>
  <c r="T332" i="22"/>
  <c r="O332" i="22"/>
  <c r="N332" i="22"/>
  <c r="P332" i="22" s="1"/>
  <c r="H332" i="22"/>
  <c r="U331" i="22"/>
  <c r="T331" i="22"/>
  <c r="O331" i="22"/>
  <c r="N331" i="22"/>
  <c r="P331" i="22" s="1"/>
  <c r="J331" i="22"/>
  <c r="H331" i="22"/>
  <c r="U330" i="22"/>
  <c r="T330" i="22"/>
  <c r="O330" i="22"/>
  <c r="N330" i="22"/>
  <c r="P330" i="22" s="1"/>
  <c r="H330" i="22"/>
  <c r="R329" i="22"/>
  <c r="O329" i="22"/>
  <c r="N329" i="22"/>
  <c r="S329" i="22" s="1"/>
  <c r="M328" i="22"/>
  <c r="N328" i="22" s="1"/>
  <c r="H328" i="22"/>
  <c r="U327" i="22"/>
  <c r="T327" i="22"/>
  <c r="O327" i="22"/>
  <c r="N327" i="22"/>
  <c r="P327" i="22" s="1"/>
  <c r="H327" i="22"/>
  <c r="G327" i="22"/>
  <c r="U326" i="22"/>
  <c r="T326" i="22"/>
  <c r="O326" i="22"/>
  <c r="N326" i="22"/>
  <c r="P326" i="22" s="1"/>
  <c r="H326" i="22"/>
  <c r="U325" i="22"/>
  <c r="T325" i="22"/>
  <c r="O325" i="22"/>
  <c r="N325" i="22"/>
  <c r="P325" i="22" s="1"/>
  <c r="H325" i="22"/>
  <c r="J325" i="22" s="1"/>
  <c r="U324" i="22"/>
  <c r="T324" i="22"/>
  <c r="O324" i="22"/>
  <c r="N324" i="22"/>
  <c r="P324" i="22" s="1"/>
  <c r="H324" i="22"/>
  <c r="R323" i="22"/>
  <c r="R328" i="22" s="1"/>
  <c r="O323" i="22"/>
  <c r="N323" i="22"/>
  <c r="R322" i="22"/>
  <c r="M322" i="22"/>
  <c r="H322" i="22"/>
  <c r="U321" i="22"/>
  <c r="T321" i="22"/>
  <c r="O321" i="22"/>
  <c r="N321" i="22"/>
  <c r="P321" i="22" s="1"/>
  <c r="G321" i="22"/>
  <c r="H321" i="22" s="1"/>
  <c r="U320" i="22"/>
  <c r="T320" i="22"/>
  <c r="O320" i="22"/>
  <c r="N320" i="22"/>
  <c r="P320" i="22" s="1"/>
  <c r="H320" i="22"/>
  <c r="U319" i="22"/>
  <c r="T319" i="22"/>
  <c r="O319" i="22"/>
  <c r="N319" i="22"/>
  <c r="P319" i="22" s="1"/>
  <c r="J319" i="22"/>
  <c r="H319" i="22"/>
  <c r="U318" i="22"/>
  <c r="T318" i="22"/>
  <c r="O318" i="22"/>
  <c r="N318" i="22"/>
  <c r="P318" i="22" s="1"/>
  <c r="J318" i="22"/>
  <c r="H318" i="22"/>
  <c r="R317" i="22"/>
  <c r="O317" i="22"/>
  <c r="N317" i="22"/>
  <c r="P317" i="22" s="1"/>
  <c r="R316" i="22"/>
  <c r="M316" i="22"/>
  <c r="H316" i="22"/>
  <c r="U315" i="22"/>
  <c r="T315" i="22"/>
  <c r="O315" i="22"/>
  <c r="N315" i="22"/>
  <c r="P315" i="22" s="1"/>
  <c r="H315" i="22"/>
  <c r="G315" i="22"/>
  <c r="U314" i="22"/>
  <c r="T314" i="22"/>
  <c r="O314" i="22"/>
  <c r="N314" i="22"/>
  <c r="P314" i="22" s="1"/>
  <c r="H314" i="22"/>
  <c r="U313" i="22"/>
  <c r="T313" i="22"/>
  <c r="O313" i="22"/>
  <c r="N313" i="22"/>
  <c r="P313" i="22" s="1"/>
  <c r="J313" i="22"/>
  <c r="H313" i="22"/>
  <c r="U312" i="22"/>
  <c r="T312" i="22"/>
  <c r="O312" i="22"/>
  <c r="N312" i="22"/>
  <c r="P312" i="22" s="1"/>
  <c r="H312" i="22"/>
  <c r="J312" i="22" s="1"/>
  <c r="R311" i="22"/>
  <c r="O311" i="22"/>
  <c r="N311" i="22"/>
  <c r="S311" i="22" s="1"/>
  <c r="N310" i="22"/>
  <c r="S310" i="22" s="1"/>
  <c r="M310" i="22"/>
  <c r="H310" i="22"/>
  <c r="U309" i="22"/>
  <c r="T309" i="22"/>
  <c r="O309" i="22"/>
  <c r="N309" i="22"/>
  <c r="P309" i="22" s="1"/>
  <c r="G309" i="22"/>
  <c r="H309" i="22" s="1"/>
  <c r="U308" i="22"/>
  <c r="T308" i="22"/>
  <c r="O308" i="22"/>
  <c r="N308" i="22"/>
  <c r="P308" i="22" s="1"/>
  <c r="H308" i="22"/>
  <c r="U307" i="22"/>
  <c r="T307" i="22"/>
  <c r="O307" i="22"/>
  <c r="N307" i="22"/>
  <c r="P307" i="22" s="1"/>
  <c r="J307" i="22"/>
  <c r="H307" i="22"/>
  <c r="U306" i="22"/>
  <c r="T306" i="22"/>
  <c r="O306" i="22"/>
  <c r="N306" i="22"/>
  <c r="P306" i="22" s="1"/>
  <c r="H306" i="22"/>
  <c r="R305" i="22"/>
  <c r="O305" i="22"/>
  <c r="N305" i="22"/>
  <c r="S305" i="22" s="1"/>
  <c r="R304" i="22"/>
  <c r="N304" i="22"/>
  <c r="S304" i="22" s="1"/>
  <c r="M304" i="22"/>
  <c r="H304" i="22"/>
  <c r="U303" i="22"/>
  <c r="T303" i="22"/>
  <c r="O303" i="22"/>
  <c r="N303" i="22"/>
  <c r="P303" i="22" s="1"/>
  <c r="H303" i="22"/>
  <c r="H302" i="22" s="1"/>
  <c r="J302" i="22" s="1"/>
  <c r="R302" i="22"/>
  <c r="O302" i="22"/>
  <c r="N302" i="22"/>
  <c r="P302" i="22" s="1"/>
  <c r="M301" i="22"/>
  <c r="H301" i="22"/>
  <c r="U300" i="22"/>
  <c r="T300" i="22"/>
  <c r="O300" i="22"/>
  <c r="N300" i="22"/>
  <c r="P300" i="22" s="1"/>
  <c r="H300" i="22"/>
  <c r="H299" i="22" s="1"/>
  <c r="J299" i="22" s="1"/>
  <c r="R299" i="22"/>
  <c r="R301" i="22" s="1"/>
  <c r="O299" i="22"/>
  <c r="N299" i="22"/>
  <c r="S299" i="22" s="1"/>
  <c r="M298" i="22"/>
  <c r="N298" i="22" s="1"/>
  <c r="H298" i="22"/>
  <c r="U297" i="22"/>
  <c r="T297" i="22"/>
  <c r="O297" i="22"/>
  <c r="N297" i="22"/>
  <c r="P297" i="22" s="1"/>
  <c r="H297" i="22"/>
  <c r="H296" i="22" s="1"/>
  <c r="J296" i="22" s="1"/>
  <c r="R296" i="22"/>
  <c r="R298" i="22" s="1"/>
  <c r="O296" i="22"/>
  <c r="N296" i="22"/>
  <c r="S296" i="22" s="1"/>
  <c r="N295" i="22"/>
  <c r="S295" i="22" s="1"/>
  <c r="M295" i="22"/>
  <c r="H295" i="22"/>
  <c r="U294" i="22"/>
  <c r="T294" i="22"/>
  <c r="O294" i="22"/>
  <c r="N294" i="22"/>
  <c r="P294" i="22" s="1"/>
  <c r="H294" i="22"/>
  <c r="H293" i="22" s="1"/>
  <c r="J293" i="22" s="1"/>
  <c r="R293" i="22"/>
  <c r="O293" i="22"/>
  <c r="N293" i="22"/>
  <c r="S293" i="22" s="1"/>
  <c r="M292" i="22"/>
  <c r="N292" i="22" s="1"/>
  <c r="H292" i="22"/>
  <c r="U291" i="22"/>
  <c r="T291" i="22"/>
  <c r="O291" i="22"/>
  <c r="N291" i="22"/>
  <c r="P291" i="22" s="1"/>
  <c r="H291" i="22"/>
  <c r="H290" i="22" s="1"/>
  <c r="J290" i="22" s="1"/>
  <c r="R290" i="22"/>
  <c r="R292" i="22" s="1"/>
  <c r="O290" i="22"/>
  <c r="N290" i="22"/>
  <c r="S290" i="22" s="1"/>
  <c r="U290" i="22" s="1"/>
  <c r="R289" i="22"/>
  <c r="M289" i="22"/>
  <c r="N289" i="22" s="1"/>
  <c r="H289" i="22"/>
  <c r="U288" i="22"/>
  <c r="T288" i="22"/>
  <c r="O288" i="22"/>
  <c r="N288" i="22"/>
  <c r="P288" i="22" s="1"/>
  <c r="H288" i="22"/>
  <c r="H287" i="22" s="1"/>
  <c r="J287" i="22" s="1"/>
  <c r="R287" i="22"/>
  <c r="O287" i="22"/>
  <c r="N287" i="22"/>
  <c r="P287" i="22" s="1"/>
  <c r="M286" i="22"/>
  <c r="H286" i="22"/>
  <c r="U285" i="22"/>
  <c r="T285" i="22"/>
  <c r="O285" i="22"/>
  <c r="N285" i="22"/>
  <c r="P285" i="22" s="1"/>
  <c r="H285" i="22"/>
  <c r="R284" i="22"/>
  <c r="O284" i="22"/>
  <c r="N284" i="22"/>
  <c r="J284" i="22"/>
  <c r="H284" i="22"/>
  <c r="M283" i="22"/>
  <c r="N283" i="22" s="1"/>
  <c r="S283" i="22" s="1"/>
  <c r="H283" i="22"/>
  <c r="U282" i="22"/>
  <c r="T282" i="22"/>
  <c r="O282" i="22"/>
  <c r="N282" i="22"/>
  <c r="P282" i="22" s="1"/>
  <c r="H282" i="22"/>
  <c r="H281" i="22" s="1"/>
  <c r="J281" i="22" s="1"/>
  <c r="R281" i="22"/>
  <c r="O281" i="22"/>
  <c r="N281" i="22"/>
  <c r="P281" i="22" s="1"/>
  <c r="R280" i="22"/>
  <c r="N280" i="22"/>
  <c r="S280" i="22" s="1"/>
  <c r="M280" i="22"/>
  <c r="H280" i="22"/>
  <c r="U279" i="22"/>
  <c r="T279" i="22"/>
  <c r="O279" i="22"/>
  <c r="N279" i="22"/>
  <c r="P279" i="22" s="1"/>
  <c r="H279" i="22"/>
  <c r="H278" i="22" s="1"/>
  <c r="R278" i="22"/>
  <c r="O278" i="22"/>
  <c r="N278" i="22"/>
  <c r="P278" i="22" s="1"/>
  <c r="J278" i="22"/>
  <c r="M277" i="22"/>
  <c r="H277" i="22"/>
  <c r="U276" i="22"/>
  <c r="T276" i="22"/>
  <c r="O276" i="22"/>
  <c r="N276" i="22"/>
  <c r="P276" i="22" s="1"/>
  <c r="H276" i="22"/>
  <c r="H275" i="22" s="1"/>
  <c r="J275" i="22" s="1"/>
  <c r="R275" i="22"/>
  <c r="R277" i="22" s="1"/>
  <c r="O275" i="22"/>
  <c r="N275" i="22"/>
  <c r="S275" i="22" s="1"/>
  <c r="R274" i="22"/>
  <c r="M274" i="22"/>
  <c r="N274" i="22" s="1"/>
  <c r="H274" i="22"/>
  <c r="U273" i="22"/>
  <c r="T273" i="22"/>
  <c r="O273" i="22"/>
  <c r="N273" i="22"/>
  <c r="P273" i="22" s="1"/>
  <c r="H273" i="22"/>
  <c r="U272" i="22"/>
  <c r="T272" i="22"/>
  <c r="O272" i="22"/>
  <c r="N272" i="22"/>
  <c r="P272" i="22" s="1"/>
  <c r="H272" i="22"/>
  <c r="U271" i="22"/>
  <c r="T271" i="22"/>
  <c r="O271" i="22"/>
  <c r="N271" i="22"/>
  <c r="P271" i="22" s="1"/>
  <c r="H271" i="22"/>
  <c r="R270" i="22"/>
  <c r="O270" i="22"/>
  <c r="N270" i="22"/>
  <c r="S270" i="22" s="1"/>
  <c r="U270" i="22" s="1"/>
  <c r="R269" i="22"/>
  <c r="N269" i="22"/>
  <c r="M269" i="22"/>
  <c r="H269" i="22"/>
  <c r="U268" i="22"/>
  <c r="T268" i="22"/>
  <c r="O268" i="22"/>
  <c r="N268" i="22"/>
  <c r="P268" i="22" s="1"/>
  <c r="H268" i="22"/>
  <c r="U267" i="22"/>
  <c r="T267" i="22"/>
  <c r="O267" i="22"/>
  <c r="N267" i="22"/>
  <c r="H267" i="22"/>
  <c r="U266" i="22"/>
  <c r="T266" i="22"/>
  <c r="O266" i="22"/>
  <c r="N266" i="22"/>
  <c r="P266" i="22" s="1"/>
  <c r="H266" i="22"/>
  <c r="R265" i="22"/>
  <c r="O265" i="22"/>
  <c r="N265" i="22"/>
  <c r="S265" i="22" s="1"/>
  <c r="M264" i="22"/>
  <c r="H264" i="22"/>
  <c r="U263" i="22"/>
  <c r="T263" i="22"/>
  <c r="O263" i="22"/>
  <c r="N263" i="22"/>
  <c r="P263" i="22" s="1"/>
  <c r="H263" i="22"/>
  <c r="U262" i="22"/>
  <c r="T262" i="22"/>
  <c r="O262" i="22"/>
  <c r="N262" i="22"/>
  <c r="P262" i="22" s="1"/>
  <c r="H262" i="22"/>
  <c r="U261" i="22"/>
  <c r="T261" i="22"/>
  <c r="O261" i="22"/>
  <c r="N261" i="22"/>
  <c r="P261" i="22" s="1"/>
  <c r="H261" i="22"/>
  <c r="H260" i="22" s="1"/>
  <c r="J260" i="22" s="1"/>
  <c r="R260" i="22"/>
  <c r="O260" i="22"/>
  <c r="N260" i="22"/>
  <c r="S260" i="22" s="1"/>
  <c r="M259" i="22"/>
  <c r="N259" i="22" s="1"/>
  <c r="H259" i="22"/>
  <c r="U258" i="22"/>
  <c r="T258" i="22"/>
  <c r="O258" i="22"/>
  <c r="N258" i="22"/>
  <c r="P258" i="22" s="1"/>
  <c r="H258" i="22"/>
  <c r="U257" i="22"/>
  <c r="T257" i="22"/>
  <c r="O257" i="22"/>
  <c r="N257" i="22"/>
  <c r="P257" i="22" s="1"/>
  <c r="H257" i="22"/>
  <c r="U256" i="22"/>
  <c r="T256" i="22"/>
  <c r="O256" i="22"/>
  <c r="N256" i="22"/>
  <c r="P256" i="22" s="1"/>
  <c r="H256" i="22"/>
  <c r="R255" i="22"/>
  <c r="O255" i="22"/>
  <c r="N255" i="22"/>
  <c r="R254" i="22"/>
  <c r="O254" i="22"/>
  <c r="N254" i="22"/>
  <c r="S254" i="22" s="1"/>
  <c r="H254" i="22"/>
  <c r="J254" i="22" s="1"/>
  <c r="R253" i="22"/>
  <c r="O253" i="22"/>
  <c r="N253" i="22"/>
  <c r="S253" i="22" s="1"/>
  <c r="H253" i="22"/>
  <c r="J253" i="22" s="1"/>
  <c r="R252" i="22"/>
  <c r="O252" i="22"/>
  <c r="N252" i="22"/>
  <c r="S252" i="22" s="1"/>
  <c r="H252" i="22"/>
  <c r="J252" i="22" s="1"/>
  <c r="R251" i="22"/>
  <c r="O251" i="22"/>
  <c r="N251" i="22"/>
  <c r="P251" i="22" s="1"/>
  <c r="H251" i="22"/>
  <c r="J251" i="22" s="1"/>
  <c r="R250" i="22"/>
  <c r="O250" i="22"/>
  <c r="N250" i="22"/>
  <c r="P250" i="22" s="1"/>
  <c r="H250" i="22"/>
  <c r="J250" i="22" s="1"/>
  <c r="R249" i="22"/>
  <c r="O249" i="22"/>
  <c r="N249" i="22"/>
  <c r="S249" i="22" s="1"/>
  <c r="J249" i="22"/>
  <c r="H249" i="22"/>
  <c r="R248" i="22"/>
  <c r="O248" i="22"/>
  <c r="N248" i="22"/>
  <c r="S248" i="22" s="1"/>
  <c r="J248" i="22"/>
  <c r="H248" i="22"/>
  <c r="R247" i="22"/>
  <c r="O247" i="22"/>
  <c r="N247" i="22"/>
  <c r="G247" i="22"/>
  <c r="H247" i="22" s="1"/>
  <c r="J247" i="22" s="1"/>
  <c r="R246" i="22"/>
  <c r="O246" i="22"/>
  <c r="N246" i="22"/>
  <c r="P246" i="22" s="1"/>
  <c r="J246" i="22"/>
  <c r="G246" i="22"/>
  <c r="H246" i="22" s="1"/>
  <c r="R245" i="22"/>
  <c r="O245" i="22"/>
  <c r="N245" i="22"/>
  <c r="S245" i="22" s="1"/>
  <c r="G245" i="22"/>
  <c r="H245" i="22" s="1"/>
  <c r="J245" i="22" s="1"/>
  <c r="R244" i="22"/>
  <c r="O244" i="22"/>
  <c r="N244" i="22"/>
  <c r="S244" i="22" s="1"/>
  <c r="H244" i="22"/>
  <c r="J244" i="22" s="1"/>
  <c r="G244" i="22"/>
  <c r="R243" i="22"/>
  <c r="O243" i="22"/>
  <c r="N243" i="22"/>
  <c r="G243" i="22"/>
  <c r="H243" i="22" s="1"/>
  <c r="J243" i="22" s="1"/>
  <c r="R242" i="22"/>
  <c r="O242" i="22"/>
  <c r="N242" i="22"/>
  <c r="P242" i="22" s="1"/>
  <c r="J242" i="22"/>
  <c r="G242" i="22"/>
  <c r="H242" i="22" s="1"/>
  <c r="R241" i="22"/>
  <c r="O241" i="22"/>
  <c r="N241" i="22"/>
  <c r="J241" i="22"/>
  <c r="H241" i="22"/>
  <c r="R240" i="22"/>
  <c r="O240" i="22"/>
  <c r="N240" i="22"/>
  <c r="P240" i="22" s="1"/>
  <c r="J240" i="22"/>
  <c r="R239" i="22"/>
  <c r="O239" i="22"/>
  <c r="N239" i="22"/>
  <c r="S239" i="22" s="1"/>
  <c r="J239" i="22"/>
  <c r="R238" i="22"/>
  <c r="O238" i="22"/>
  <c r="N238" i="22"/>
  <c r="P238" i="22" s="1"/>
  <c r="H238" i="22"/>
  <c r="J238" i="22" s="1"/>
  <c r="R237" i="22"/>
  <c r="O237" i="22"/>
  <c r="N237" i="22"/>
  <c r="S237" i="22" s="1"/>
  <c r="J237" i="22"/>
  <c r="H237" i="22"/>
  <c r="R236" i="22"/>
  <c r="M236" i="22"/>
  <c r="H236" i="22"/>
  <c r="R235" i="22"/>
  <c r="J235" i="22"/>
  <c r="N234" i="22"/>
  <c r="S234" i="22" s="1"/>
  <c r="M234" i="22"/>
  <c r="H234" i="22"/>
  <c r="R233" i="22"/>
  <c r="O233" i="22"/>
  <c r="N233" i="22"/>
  <c r="S233" i="22" s="1"/>
  <c r="J233" i="22"/>
  <c r="M232" i="22"/>
  <c r="H232" i="22"/>
  <c r="R231" i="22"/>
  <c r="R232" i="22" s="1"/>
  <c r="O231" i="22"/>
  <c r="N231" i="22"/>
  <c r="S231" i="22" s="1"/>
  <c r="J231" i="22"/>
  <c r="M230" i="22"/>
  <c r="N230" i="22" s="1"/>
  <c r="H230" i="22"/>
  <c r="R229" i="22"/>
  <c r="O229" i="22"/>
  <c r="N229" i="22"/>
  <c r="S229" i="22" s="1"/>
  <c r="J229" i="22"/>
  <c r="R228" i="22"/>
  <c r="J228" i="22"/>
  <c r="U227" i="22"/>
  <c r="T227" i="22"/>
  <c r="P227" i="22"/>
  <c r="O227" i="22"/>
  <c r="R226" i="22"/>
  <c r="O226" i="22"/>
  <c r="N226" i="22"/>
  <c r="P226" i="22" s="1"/>
  <c r="K226" i="22"/>
  <c r="T226" i="22" s="1"/>
  <c r="R225" i="22"/>
  <c r="O225" i="22"/>
  <c r="N225" i="22"/>
  <c r="S225" i="22" s="1"/>
  <c r="K225" i="22"/>
  <c r="R224" i="22"/>
  <c r="O224" i="22"/>
  <c r="N224" i="22"/>
  <c r="P224" i="22" s="1"/>
  <c r="K224" i="22"/>
  <c r="T224" i="22" s="1"/>
  <c r="R223" i="22"/>
  <c r="O223" i="22"/>
  <c r="N223" i="22"/>
  <c r="S223" i="22" s="1"/>
  <c r="K223" i="22"/>
  <c r="R222" i="22"/>
  <c r="O222" i="22"/>
  <c r="N222" i="22"/>
  <c r="S222" i="22" s="1"/>
  <c r="K222" i="22"/>
  <c r="T222" i="22" s="1"/>
  <c r="R221" i="22"/>
  <c r="O221" i="22"/>
  <c r="N221" i="22"/>
  <c r="K221" i="22"/>
  <c r="R220" i="22"/>
  <c r="O220" i="22"/>
  <c r="N220" i="22"/>
  <c r="S220" i="22" s="1"/>
  <c r="K220" i="22"/>
  <c r="R219" i="22"/>
  <c r="O219" i="22"/>
  <c r="N219" i="22"/>
  <c r="S219" i="22" s="1"/>
  <c r="K219" i="22"/>
  <c r="R218" i="22"/>
  <c r="O218" i="22"/>
  <c r="N218" i="22"/>
  <c r="P218" i="22" s="1"/>
  <c r="K218" i="22"/>
  <c r="T218" i="22" s="1"/>
  <c r="R217" i="22"/>
  <c r="O217" i="22"/>
  <c r="N217" i="22"/>
  <c r="P217" i="22" s="1"/>
  <c r="K217" i="22"/>
  <c r="R216" i="22"/>
  <c r="O216" i="22"/>
  <c r="N216" i="22"/>
  <c r="K216" i="22"/>
  <c r="T216" i="22" s="1"/>
  <c r="R215" i="22"/>
  <c r="O215" i="22"/>
  <c r="N215" i="22"/>
  <c r="S215" i="22" s="1"/>
  <c r="K215" i="22"/>
  <c r="R214" i="22"/>
  <c r="O214" i="22"/>
  <c r="N214" i="22"/>
  <c r="S214" i="22" s="1"/>
  <c r="K214" i="22"/>
  <c r="T214" i="22" s="1"/>
  <c r="R213" i="22"/>
  <c r="O213" i="22"/>
  <c r="N213" i="22"/>
  <c r="K213" i="22"/>
  <c r="R212" i="22"/>
  <c r="O212" i="22"/>
  <c r="N212" i="22"/>
  <c r="S212" i="22" s="1"/>
  <c r="K212" i="22"/>
  <c r="R211" i="22"/>
  <c r="O211" i="22"/>
  <c r="N211" i="22"/>
  <c r="S211" i="22" s="1"/>
  <c r="K211" i="22"/>
  <c r="R210" i="22"/>
  <c r="O210" i="22"/>
  <c r="N210" i="22"/>
  <c r="P210" i="22" s="1"/>
  <c r="K210" i="22"/>
  <c r="T210" i="22" s="1"/>
  <c r="R209" i="22"/>
  <c r="O209" i="22"/>
  <c r="N209" i="22"/>
  <c r="S209" i="22" s="1"/>
  <c r="K209" i="22"/>
  <c r="R208" i="22"/>
  <c r="O208" i="22"/>
  <c r="N208" i="22"/>
  <c r="S208" i="22" s="1"/>
  <c r="K208" i="22"/>
  <c r="T208" i="22" s="1"/>
  <c r="R207" i="22"/>
  <c r="O207" i="22"/>
  <c r="N207" i="22"/>
  <c r="S207" i="22" s="1"/>
  <c r="K207" i="22"/>
  <c r="R206" i="22"/>
  <c r="O206" i="22"/>
  <c r="N206" i="22"/>
  <c r="S206" i="22" s="1"/>
  <c r="K206" i="22"/>
  <c r="T206" i="22" s="1"/>
  <c r="R205" i="22"/>
  <c r="O205" i="22"/>
  <c r="N205" i="22"/>
  <c r="K205" i="22"/>
  <c r="R204" i="22"/>
  <c r="O204" i="22"/>
  <c r="N204" i="22"/>
  <c r="S204" i="22" s="1"/>
  <c r="K204" i="22"/>
  <c r="R203" i="22"/>
  <c r="O203" i="22"/>
  <c r="N203" i="22"/>
  <c r="S203" i="22" s="1"/>
  <c r="K203" i="22"/>
  <c r="R202" i="22"/>
  <c r="O202" i="22"/>
  <c r="N202" i="22"/>
  <c r="P202" i="22" s="1"/>
  <c r="K202" i="22"/>
  <c r="T202" i="22" s="1"/>
  <c r="U201" i="22"/>
  <c r="T201" i="22"/>
  <c r="P201" i="22"/>
  <c r="O201" i="22"/>
  <c r="N201" i="22"/>
  <c r="R200" i="22"/>
  <c r="O200" i="22"/>
  <c r="N200" i="22"/>
  <c r="S200" i="22" s="1"/>
  <c r="H200" i="22"/>
  <c r="J200" i="22" s="1"/>
  <c r="R199" i="22"/>
  <c r="O199" i="22"/>
  <c r="N199" i="22"/>
  <c r="S199" i="22" s="1"/>
  <c r="H199" i="22"/>
  <c r="J199" i="22" s="1"/>
  <c r="U198" i="22"/>
  <c r="T198" i="22"/>
  <c r="O198" i="22"/>
  <c r="N198" i="22"/>
  <c r="P198" i="22" s="1"/>
  <c r="H198" i="22"/>
  <c r="U197" i="22"/>
  <c r="T197" i="22"/>
  <c r="O197" i="22"/>
  <c r="N197" i="22"/>
  <c r="P197" i="22" s="1"/>
  <c r="H197" i="22"/>
  <c r="H196" i="22" s="1"/>
  <c r="J196" i="22" s="1"/>
  <c r="R196" i="22"/>
  <c r="O196" i="22"/>
  <c r="N196" i="22"/>
  <c r="S196" i="22" s="1"/>
  <c r="U195" i="22"/>
  <c r="T195" i="22"/>
  <c r="O195" i="22"/>
  <c r="N195" i="22"/>
  <c r="P195" i="22" s="1"/>
  <c r="H195" i="22"/>
  <c r="U194" i="22"/>
  <c r="T194" i="22"/>
  <c r="O194" i="22"/>
  <c r="N194" i="22"/>
  <c r="P194" i="22" s="1"/>
  <c r="H194" i="22"/>
  <c r="R193" i="22"/>
  <c r="O193" i="22"/>
  <c r="N193" i="22"/>
  <c r="U192" i="22"/>
  <c r="T192" i="22"/>
  <c r="O192" i="22"/>
  <c r="N192" i="22"/>
  <c r="P192" i="22" s="1"/>
  <c r="H192" i="22"/>
  <c r="U191" i="22"/>
  <c r="T191" i="22"/>
  <c r="O191" i="22"/>
  <c r="N191" i="22"/>
  <c r="P191" i="22" s="1"/>
  <c r="H191" i="22"/>
  <c r="U190" i="22"/>
  <c r="T190" i="22"/>
  <c r="O190" i="22"/>
  <c r="N190" i="22"/>
  <c r="P190" i="22" s="1"/>
  <c r="H190" i="22"/>
  <c r="H189" i="22" s="1"/>
  <c r="J189" i="22" s="1"/>
  <c r="R189" i="22"/>
  <c r="O189" i="22"/>
  <c r="N189" i="22"/>
  <c r="S189" i="22" s="1"/>
  <c r="U189" i="22" s="1"/>
  <c r="R188" i="22"/>
  <c r="O188" i="22"/>
  <c r="N188" i="22"/>
  <c r="S188" i="22" s="1"/>
  <c r="H188" i="22"/>
  <c r="J188" i="22" s="1"/>
  <c r="R187" i="22"/>
  <c r="O187" i="22"/>
  <c r="N187" i="22"/>
  <c r="J187" i="22"/>
  <c r="H187" i="22"/>
  <c r="R186" i="22"/>
  <c r="O186" i="22"/>
  <c r="N186" i="22"/>
  <c r="S186" i="22" s="1"/>
  <c r="H186" i="22"/>
  <c r="J186" i="22" s="1"/>
  <c r="R185" i="22"/>
  <c r="O185" i="22"/>
  <c r="N185" i="22"/>
  <c r="S185" i="22" s="1"/>
  <c r="H185" i="22"/>
  <c r="J185" i="22" s="1"/>
  <c r="R184" i="22"/>
  <c r="O184" i="22"/>
  <c r="N184" i="22"/>
  <c r="S184" i="22" s="1"/>
  <c r="H184" i="22"/>
  <c r="J184" i="22" s="1"/>
  <c r="R183" i="22"/>
  <c r="O183" i="22"/>
  <c r="N183" i="22"/>
  <c r="P183" i="22" s="1"/>
  <c r="J183" i="22"/>
  <c r="H183" i="22"/>
  <c r="U182" i="22"/>
  <c r="T182" i="22"/>
  <c r="O182" i="22"/>
  <c r="N182" i="22"/>
  <c r="P182" i="22" s="1"/>
  <c r="H182" i="22"/>
  <c r="U181" i="22"/>
  <c r="T181" i="22"/>
  <c r="O181" i="22"/>
  <c r="N181" i="22"/>
  <c r="P181" i="22" s="1"/>
  <c r="H181" i="22"/>
  <c r="U180" i="22"/>
  <c r="T180" i="22"/>
  <c r="O180" i="22"/>
  <c r="N180" i="22"/>
  <c r="P180" i="22" s="1"/>
  <c r="H180" i="22"/>
  <c r="R179" i="22"/>
  <c r="O179" i="22"/>
  <c r="N179" i="22"/>
  <c r="S179" i="22" s="1"/>
  <c r="U179" i="22" s="1"/>
  <c r="U178" i="22"/>
  <c r="T178" i="22"/>
  <c r="O178" i="22"/>
  <c r="N178" i="22"/>
  <c r="P178" i="22" s="1"/>
  <c r="H178" i="22"/>
  <c r="U177" i="22"/>
  <c r="T177" i="22"/>
  <c r="O177" i="22"/>
  <c r="N177" i="22"/>
  <c r="P177" i="22" s="1"/>
  <c r="H177" i="22"/>
  <c r="U176" i="22"/>
  <c r="T176" i="22"/>
  <c r="O176" i="22"/>
  <c r="N176" i="22"/>
  <c r="P176" i="22" s="1"/>
  <c r="H176" i="22"/>
  <c r="R175" i="22"/>
  <c r="O175" i="22"/>
  <c r="N175" i="22"/>
  <c r="U174" i="22"/>
  <c r="T174" i="22"/>
  <c r="O174" i="22"/>
  <c r="N174" i="22"/>
  <c r="P174" i="22" s="1"/>
  <c r="H174" i="22"/>
  <c r="U173" i="22"/>
  <c r="T173" i="22"/>
  <c r="O173" i="22"/>
  <c r="N173" i="22"/>
  <c r="P173" i="22" s="1"/>
  <c r="H173" i="22"/>
  <c r="U172" i="22"/>
  <c r="T172" i="22"/>
  <c r="O172" i="22"/>
  <c r="N172" i="22"/>
  <c r="P172" i="22" s="1"/>
  <c r="H172" i="22"/>
  <c r="H171" i="22" s="1"/>
  <c r="J171" i="22" s="1"/>
  <c r="R171" i="22"/>
  <c r="O171" i="22"/>
  <c r="N171" i="22"/>
  <c r="S171" i="22" s="1"/>
  <c r="U170" i="22"/>
  <c r="T170" i="22"/>
  <c r="O170" i="22"/>
  <c r="N170" i="22"/>
  <c r="P170" i="22" s="1"/>
  <c r="K170" i="22"/>
  <c r="H170" i="22"/>
  <c r="U169" i="22"/>
  <c r="T169" i="22"/>
  <c r="O169" i="22"/>
  <c r="N169" i="22"/>
  <c r="P169" i="22" s="1"/>
  <c r="K169" i="22"/>
  <c r="H169" i="22"/>
  <c r="U168" i="22"/>
  <c r="T168" i="22"/>
  <c r="O168" i="22"/>
  <c r="N168" i="22"/>
  <c r="P168" i="22" s="1"/>
  <c r="K168" i="22"/>
  <c r="H168" i="22"/>
  <c r="R167" i="22"/>
  <c r="O167" i="22"/>
  <c r="N167" i="22"/>
  <c r="S167" i="22" s="1"/>
  <c r="U166" i="22"/>
  <c r="T166" i="22"/>
  <c r="O166" i="22"/>
  <c r="N166" i="22"/>
  <c r="P166" i="22" s="1"/>
  <c r="K166" i="22"/>
  <c r="H166" i="22"/>
  <c r="U165" i="22"/>
  <c r="T165" i="22"/>
  <c r="O165" i="22"/>
  <c r="N165" i="22"/>
  <c r="P165" i="22" s="1"/>
  <c r="K165" i="22"/>
  <c r="H165" i="22"/>
  <c r="U164" i="22"/>
  <c r="T164" i="22"/>
  <c r="O164" i="22"/>
  <c r="N164" i="22"/>
  <c r="P164" i="22" s="1"/>
  <c r="K164" i="22"/>
  <c r="H164" i="22"/>
  <c r="R163" i="22"/>
  <c r="O163" i="22"/>
  <c r="N163" i="22"/>
  <c r="U162" i="22"/>
  <c r="T162" i="22"/>
  <c r="O162" i="22"/>
  <c r="N162" i="22"/>
  <c r="P162" i="22" s="1"/>
  <c r="K162" i="22"/>
  <c r="H162" i="22"/>
  <c r="U161" i="22"/>
  <c r="T161" i="22"/>
  <c r="O161" i="22"/>
  <c r="N161" i="22"/>
  <c r="P161" i="22" s="1"/>
  <c r="K161" i="22"/>
  <c r="H161" i="22"/>
  <c r="U160" i="22"/>
  <c r="T160" i="22"/>
  <c r="O160" i="22"/>
  <c r="N160" i="22"/>
  <c r="P160" i="22" s="1"/>
  <c r="K160" i="22"/>
  <c r="H160" i="22"/>
  <c r="R159" i="22"/>
  <c r="O159" i="22"/>
  <c r="N159" i="22"/>
  <c r="U158" i="22"/>
  <c r="T158" i="22"/>
  <c r="O158" i="22"/>
  <c r="N158" i="22"/>
  <c r="P158" i="22" s="1"/>
  <c r="K158" i="22"/>
  <c r="H158" i="22"/>
  <c r="U157" i="22"/>
  <c r="T157" i="22"/>
  <c r="O157" i="22"/>
  <c r="N157" i="22"/>
  <c r="P157" i="22" s="1"/>
  <c r="K157" i="22"/>
  <c r="H157" i="22"/>
  <c r="H156" i="22" s="1"/>
  <c r="J156" i="22" s="1"/>
  <c r="R156" i="22"/>
  <c r="O156" i="22"/>
  <c r="N156" i="22"/>
  <c r="S156" i="22" s="1"/>
  <c r="U156" i="22" s="1"/>
  <c r="U155" i="22"/>
  <c r="T155" i="22"/>
  <c r="O155" i="22"/>
  <c r="N155" i="22"/>
  <c r="P155" i="22" s="1"/>
  <c r="K155" i="22"/>
  <c r="H155" i="22"/>
  <c r="U154" i="22"/>
  <c r="T154" i="22"/>
  <c r="O154" i="22"/>
  <c r="N154" i="22"/>
  <c r="P154" i="22" s="1"/>
  <c r="K154" i="22"/>
  <c r="H154" i="22"/>
  <c r="R153" i="22"/>
  <c r="O153" i="22"/>
  <c r="N153" i="22"/>
  <c r="S153" i="22" s="1"/>
  <c r="U152" i="22"/>
  <c r="T152" i="22"/>
  <c r="O152" i="22"/>
  <c r="N152" i="22"/>
  <c r="P152" i="22" s="1"/>
  <c r="H152" i="22"/>
  <c r="H150" i="22" s="1"/>
  <c r="J150" i="22" s="1"/>
  <c r="U151" i="22"/>
  <c r="T151" i="22"/>
  <c r="O151" i="22"/>
  <c r="N151" i="22"/>
  <c r="P151" i="22" s="1"/>
  <c r="H151" i="22"/>
  <c r="R150" i="22"/>
  <c r="O150" i="22"/>
  <c r="N150" i="22"/>
  <c r="P150" i="22" s="1"/>
  <c r="U149" i="22"/>
  <c r="T149" i="22"/>
  <c r="O149" i="22"/>
  <c r="N149" i="22"/>
  <c r="P149" i="22" s="1"/>
  <c r="H149" i="22"/>
  <c r="U148" i="22"/>
  <c r="T148" i="22"/>
  <c r="O148" i="22"/>
  <c r="N148" i="22"/>
  <c r="P148" i="22" s="1"/>
  <c r="H148" i="22"/>
  <c r="H147" i="22" s="1"/>
  <c r="J147" i="22" s="1"/>
  <c r="R147" i="22"/>
  <c r="O147" i="22"/>
  <c r="N147" i="22"/>
  <c r="S147" i="22" s="1"/>
  <c r="U146" i="22"/>
  <c r="T146" i="22"/>
  <c r="O146" i="22"/>
  <c r="N146" i="22"/>
  <c r="P146" i="22" s="1"/>
  <c r="H146" i="22"/>
  <c r="U145" i="22"/>
  <c r="T145" i="22"/>
  <c r="O145" i="22"/>
  <c r="N145" i="22"/>
  <c r="P145" i="22" s="1"/>
  <c r="H145" i="22"/>
  <c r="H144" i="22" s="1"/>
  <c r="J144" i="22" s="1"/>
  <c r="R144" i="22"/>
  <c r="O144" i="22"/>
  <c r="N144" i="22"/>
  <c r="S144" i="22" s="1"/>
  <c r="U143" i="22"/>
  <c r="T143" i="22"/>
  <c r="O143" i="22"/>
  <c r="N143" i="22"/>
  <c r="P143" i="22" s="1"/>
  <c r="H143" i="22"/>
  <c r="H141" i="22" s="1"/>
  <c r="J141" i="22" s="1"/>
  <c r="U142" i="22"/>
  <c r="T142" i="22"/>
  <c r="O142" i="22"/>
  <c r="N142" i="22"/>
  <c r="P142" i="22" s="1"/>
  <c r="H142" i="22"/>
  <c r="R141" i="22"/>
  <c r="O141" i="22"/>
  <c r="N141" i="22"/>
  <c r="S141" i="22" s="1"/>
  <c r="U141" i="22" s="1"/>
  <c r="Y141" i="22" s="1"/>
  <c r="R140" i="22"/>
  <c r="O140" i="22"/>
  <c r="N140" i="22"/>
  <c r="S140" i="22" s="1"/>
  <c r="H140" i="22"/>
  <c r="J140" i="22" s="1"/>
  <c r="R139" i="22"/>
  <c r="O139" i="22"/>
  <c r="N139" i="22"/>
  <c r="P139" i="22" s="1"/>
  <c r="H139" i="22"/>
  <c r="J139" i="22" s="1"/>
  <c r="R138" i="22"/>
  <c r="O138" i="22"/>
  <c r="N138" i="22"/>
  <c r="P138" i="22" s="1"/>
  <c r="H138" i="22"/>
  <c r="J138" i="22" s="1"/>
  <c r="R137" i="22"/>
  <c r="O137" i="22"/>
  <c r="N137" i="22"/>
  <c r="P137" i="22" s="1"/>
  <c r="J137" i="22"/>
  <c r="R136" i="22"/>
  <c r="O136" i="22"/>
  <c r="N136" i="22"/>
  <c r="S136" i="22" s="1"/>
  <c r="J136" i="22"/>
  <c r="R135" i="22"/>
  <c r="O135" i="22"/>
  <c r="N135" i="22"/>
  <c r="S135" i="22" s="1"/>
  <c r="U135" i="22" s="1"/>
  <c r="J135" i="22"/>
  <c r="R134" i="22"/>
  <c r="O134" i="22"/>
  <c r="N134" i="22"/>
  <c r="S134" i="22" s="1"/>
  <c r="J134" i="22"/>
  <c r="R133" i="22"/>
  <c r="O133" i="22"/>
  <c r="N133" i="22"/>
  <c r="H133" i="22"/>
  <c r="J133" i="22" s="1"/>
  <c r="R132" i="22"/>
  <c r="O132" i="22"/>
  <c r="N132" i="22"/>
  <c r="P132" i="22" s="1"/>
  <c r="H132" i="22"/>
  <c r="J132" i="22" s="1"/>
  <c r="R131" i="22"/>
  <c r="O131" i="22"/>
  <c r="N131" i="22"/>
  <c r="J131" i="22"/>
  <c r="R130" i="22"/>
  <c r="O130" i="22"/>
  <c r="N130" i="22"/>
  <c r="S130" i="22" s="1"/>
  <c r="H130" i="22"/>
  <c r="J130" i="22" s="1"/>
  <c r="R129" i="22"/>
  <c r="O129" i="22"/>
  <c r="N129" i="22"/>
  <c r="P129" i="22" s="1"/>
  <c r="G129" i="22"/>
  <c r="H129" i="22" s="1"/>
  <c r="J129" i="22" s="1"/>
  <c r="R128" i="22"/>
  <c r="O128" i="22"/>
  <c r="N128" i="22"/>
  <c r="H128" i="22"/>
  <c r="J128" i="22" s="1"/>
  <c r="R127" i="22"/>
  <c r="O127" i="22"/>
  <c r="N127" i="22"/>
  <c r="S127" i="22" s="1"/>
  <c r="H127" i="22"/>
  <c r="J127" i="22" s="1"/>
  <c r="U126" i="22"/>
  <c r="T126" i="22"/>
  <c r="O126" i="22"/>
  <c r="N126" i="22"/>
  <c r="P126" i="22" s="1"/>
  <c r="H126" i="22"/>
  <c r="U125" i="22"/>
  <c r="T125" i="22"/>
  <c r="O125" i="22"/>
  <c r="N125" i="22"/>
  <c r="P125" i="22" s="1"/>
  <c r="H125" i="22"/>
  <c r="U124" i="22"/>
  <c r="T124" i="22"/>
  <c r="O124" i="22"/>
  <c r="N124" i="22"/>
  <c r="P124" i="22" s="1"/>
  <c r="H124" i="22"/>
  <c r="R123" i="22"/>
  <c r="O123" i="22"/>
  <c r="N123" i="22"/>
  <c r="S123" i="22" s="1"/>
  <c r="R122" i="22"/>
  <c r="O122" i="22"/>
  <c r="N122" i="22"/>
  <c r="S122" i="22" s="1"/>
  <c r="H122" i="22"/>
  <c r="J122" i="22" s="1"/>
  <c r="R121" i="22"/>
  <c r="O121" i="22"/>
  <c r="N121" i="22"/>
  <c r="S121" i="22" s="1"/>
  <c r="H121" i="22"/>
  <c r="J121" i="22" s="1"/>
  <c r="R120" i="22"/>
  <c r="O120" i="22"/>
  <c r="N120" i="22"/>
  <c r="P120" i="22" s="1"/>
  <c r="H120" i="22"/>
  <c r="J120" i="22" s="1"/>
  <c r="R119" i="22"/>
  <c r="O119" i="22"/>
  <c r="N119" i="22"/>
  <c r="S119" i="22" s="1"/>
  <c r="J119" i="22"/>
  <c r="H119" i="22"/>
  <c r="R118" i="22"/>
  <c r="O118" i="22"/>
  <c r="N118" i="22"/>
  <c r="G118" i="22"/>
  <c r="H118" i="22" s="1"/>
  <c r="J118" i="22" s="1"/>
  <c r="R117" i="22"/>
  <c r="O117" i="22"/>
  <c r="N117" i="22"/>
  <c r="P117" i="22" s="1"/>
  <c r="H117" i="22"/>
  <c r="J117" i="22" s="1"/>
  <c r="G117" i="22"/>
  <c r="U116" i="22"/>
  <c r="T116" i="22"/>
  <c r="P116" i="22"/>
  <c r="O116" i="22"/>
  <c r="R115" i="22"/>
  <c r="O115" i="22"/>
  <c r="N115" i="22"/>
  <c r="P115" i="22" s="1"/>
  <c r="K115" i="22"/>
  <c r="T115" i="22" s="1"/>
  <c r="R114" i="22"/>
  <c r="O114" i="22"/>
  <c r="N114" i="22"/>
  <c r="P114" i="22" s="1"/>
  <c r="K114" i="22"/>
  <c r="R113" i="22"/>
  <c r="O113" i="22"/>
  <c r="N113" i="22"/>
  <c r="S113" i="22" s="1"/>
  <c r="K113" i="22"/>
  <c r="R112" i="22"/>
  <c r="O112" i="22"/>
  <c r="N112" i="22"/>
  <c r="S112" i="22" s="1"/>
  <c r="U112" i="22" s="1"/>
  <c r="Z112" i="22" s="1"/>
  <c r="K112" i="22"/>
  <c r="R111" i="22"/>
  <c r="O111" i="22"/>
  <c r="N111" i="22"/>
  <c r="K111" i="22"/>
  <c r="R110" i="22"/>
  <c r="O110" i="22"/>
  <c r="N110" i="22"/>
  <c r="P110" i="22" s="1"/>
  <c r="K110" i="22"/>
  <c r="R109" i="22"/>
  <c r="O109" i="22"/>
  <c r="N109" i="22"/>
  <c r="S109" i="22" s="1"/>
  <c r="K109" i="22"/>
  <c r="R108" i="22"/>
  <c r="O108" i="22"/>
  <c r="N108" i="22"/>
  <c r="S108" i="22" s="1"/>
  <c r="U108" i="22" s="1"/>
  <c r="K108" i="22"/>
  <c r="R107" i="22"/>
  <c r="O107" i="22"/>
  <c r="N107" i="22"/>
  <c r="P107" i="22" s="1"/>
  <c r="K107" i="22"/>
  <c r="T107" i="22" s="1"/>
  <c r="R106" i="22"/>
  <c r="O106" i="22"/>
  <c r="N106" i="22"/>
  <c r="S106" i="22" s="1"/>
  <c r="K106" i="22"/>
  <c r="R105" i="22"/>
  <c r="O105" i="22"/>
  <c r="N105" i="22"/>
  <c r="S105" i="22" s="1"/>
  <c r="K105" i="22"/>
  <c r="T105" i="22" s="1"/>
  <c r="R104" i="22"/>
  <c r="O104" i="22"/>
  <c r="N104" i="22"/>
  <c r="S104" i="22" s="1"/>
  <c r="U104" i="22" s="1"/>
  <c r="Z104" i="22" s="1"/>
  <c r="K104" i="22"/>
  <c r="R103" i="22"/>
  <c r="O103" i="22"/>
  <c r="N103" i="22"/>
  <c r="K103" i="22"/>
  <c r="T103" i="22" s="1"/>
  <c r="R102" i="22"/>
  <c r="O102" i="22"/>
  <c r="N102" i="22"/>
  <c r="P102" i="22" s="1"/>
  <c r="K102" i="22"/>
  <c r="R101" i="22"/>
  <c r="O101" i="22"/>
  <c r="N101" i="22"/>
  <c r="S101" i="22" s="1"/>
  <c r="K101" i="22"/>
  <c r="R100" i="22"/>
  <c r="O100" i="22"/>
  <c r="N100" i="22"/>
  <c r="S100" i="22" s="1"/>
  <c r="U100" i="22" s="1"/>
  <c r="Y100" i="22" s="1"/>
  <c r="K100" i="22"/>
  <c r="R99" i="22"/>
  <c r="O99" i="22"/>
  <c r="N99" i="22"/>
  <c r="P99" i="22" s="1"/>
  <c r="K99" i="22"/>
  <c r="T99" i="22" s="1"/>
  <c r="R98" i="22"/>
  <c r="O98" i="22"/>
  <c r="N98" i="22"/>
  <c r="S98" i="22" s="1"/>
  <c r="K98" i="22"/>
  <c r="R97" i="22"/>
  <c r="O97" i="22"/>
  <c r="N97" i="22"/>
  <c r="S97" i="22" s="1"/>
  <c r="K97" i="22"/>
  <c r="T97" i="22" s="1"/>
  <c r="R96" i="22"/>
  <c r="O96" i="22"/>
  <c r="N96" i="22"/>
  <c r="S96" i="22" s="1"/>
  <c r="U96" i="22" s="1"/>
  <c r="K96" i="22"/>
  <c r="R95" i="22"/>
  <c r="O95" i="22"/>
  <c r="N95" i="22"/>
  <c r="P95" i="22" s="1"/>
  <c r="K95" i="22"/>
  <c r="R94" i="22"/>
  <c r="O94" i="22"/>
  <c r="N94" i="22"/>
  <c r="P94" i="22" s="1"/>
  <c r="K94" i="22"/>
  <c r="R93" i="22"/>
  <c r="O93" i="22"/>
  <c r="N93" i="22"/>
  <c r="P93" i="22" s="1"/>
  <c r="K93" i="22"/>
  <c r="R92" i="22"/>
  <c r="O92" i="22"/>
  <c r="N92" i="22"/>
  <c r="S92" i="22" s="1"/>
  <c r="U92" i="22" s="1"/>
  <c r="K92" i="22"/>
  <c r="R91" i="22"/>
  <c r="O91" i="22"/>
  <c r="N91" i="22"/>
  <c r="P91" i="22" s="1"/>
  <c r="K91" i="22"/>
  <c r="T91" i="22" s="1"/>
  <c r="U90" i="22"/>
  <c r="T90" i="22"/>
  <c r="P90" i="22"/>
  <c r="O90" i="22"/>
  <c r="N90" i="22"/>
  <c r="R89" i="22"/>
  <c r="O89" i="22"/>
  <c r="N89" i="22"/>
  <c r="P89" i="22" s="1"/>
  <c r="H89" i="22"/>
  <c r="J89" i="22" s="1"/>
  <c r="R88" i="22"/>
  <c r="O88" i="22"/>
  <c r="N88" i="22"/>
  <c r="S88" i="22" s="1"/>
  <c r="J88" i="22"/>
  <c r="H88" i="22"/>
  <c r="R87" i="22"/>
  <c r="O87" i="22"/>
  <c r="N87" i="22"/>
  <c r="S87" i="22" s="1"/>
  <c r="U87" i="22" s="1"/>
  <c r="J87" i="22"/>
  <c r="R86" i="22"/>
  <c r="O86" i="22"/>
  <c r="N86" i="22"/>
  <c r="P86" i="22" s="1"/>
  <c r="J86" i="22"/>
  <c r="H86" i="22"/>
  <c r="R85" i="22"/>
  <c r="O85" i="22"/>
  <c r="N85" i="22"/>
  <c r="P85" i="22" s="1"/>
  <c r="J85" i="22"/>
  <c r="H85" i="22"/>
  <c r="R84" i="22"/>
  <c r="O84" i="22"/>
  <c r="N84" i="22"/>
  <c r="P84" i="22" s="1"/>
  <c r="H84" i="22"/>
  <c r="J84" i="22" s="1"/>
  <c r="R83" i="22"/>
  <c r="O83" i="22"/>
  <c r="N83" i="22"/>
  <c r="S83" i="22" s="1"/>
  <c r="J83" i="22"/>
  <c r="R82" i="22"/>
  <c r="O82" i="22"/>
  <c r="N82" i="22"/>
  <c r="S82" i="22" s="1"/>
  <c r="J82" i="22"/>
  <c r="R81" i="22"/>
  <c r="O81" i="22"/>
  <c r="N81" i="22"/>
  <c r="S81" i="22" s="1"/>
  <c r="J81" i="22"/>
  <c r="R80" i="22"/>
  <c r="O80" i="22"/>
  <c r="N80" i="22"/>
  <c r="S80" i="22" s="1"/>
  <c r="J80" i="22"/>
  <c r="R79" i="22"/>
  <c r="O79" i="22"/>
  <c r="N79" i="22"/>
  <c r="P79" i="22" s="1"/>
  <c r="J79" i="22"/>
  <c r="R78" i="22"/>
  <c r="O78" i="22"/>
  <c r="N78" i="22"/>
  <c r="S78" i="22" s="1"/>
  <c r="J78" i="22"/>
  <c r="R77" i="22"/>
  <c r="O77" i="22"/>
  <c r="N77" i="22"/>
  <c r="P77" i="22" s="1"/>
  <c r="J77" i="22"/>
  <c r="R76" i="22"/>
  <c r="O76" i="22"/>
  <c r="N76" i="22"/>
  <c r="S76" i="22" s="1"/>
  <c r="J76" i="22"/>
  <c r="H76" i="22"/>
  <c r="R75" i="22"/>
  <c r="O75" i="22"/>
  <c r="N75" i="22"/>
  <c r="S75" i="22" s="1"/>
  <c r="J75" i="22"/>
  <c r="R74" i="22"/>
  <c r="O74" i="22"/>
  <c r="N74" i="22"/>
  <c r="P74" i="22" s="1"/>
  <c r="J74" i="22"/>
  <c r="R73" i="22"/>
  <c r="O73" i="22"/>
  <c r="N73" i="22"/>
  <c r="S73" i="22" s="1"/>
  <c r="J73" i="22"/>
  <c r="R72" i="22"/>
  <c r="O72" i="22"/>
  <c r="N72" i="22"/>
  <c r="P72" i="22" s="1"/>
  <c r="J72" i="22"/>
  <c r="R71" i="22"/>
  <c r="O71" i="22"/>
  <c r="N71" i="22"/>
  <c r="S71" i="22" s="1"/>
  <c r="J71" i="22"/>
  <c r="R70" i="22"/>
  <c r="O70" i="22"/>
  <c r="N70" i="22"/>
  <c r="J70" i="22"/>
  <c r="R69" i="22"/>
  <c r="O69" i="22"/>
  <c r="N69" i="22"/>
  <c r="S69" i="22" s="1"/>
  <c r="H69" i="22"/>
  <c r="J69" i="22" s="1"/>
  <c r="U68" i="22"/>
  <c r="T68" i="22"/>
  <c r="P68" i="22"/>
  <c r="O68" i="22"/>
  <c r="R67" i="22"/>
  <c r="O67" i="22"/>
  <c r="N67" i="22"/>
  <c r="P67" i="22" s="1"/>
  <c r="K67" i="22"/>
  <c r="R66" i="22"/>
  <c r="O66" i="22"/>
  <c r="N66" i="22"/>
  <c r="P66" i="22" s="1"/>
  <c r="K66" i="22"/>
  <c r="R65" i="22"/>
  <c r="O65" i="22"/>
  <c r="N65" i="22"/>
  <c r="S65" i="22" s="1"/>
  <c r="K65" i="22"/>
  <c r="R64" i="22"/>
  <c r="O64" i="22"/>
  <c r="N64" i="22"/>
  <c r="S64" i="22" s="1"/>
  <c r="K64" i="22"/>
  <c r="T64" i="22" s="1"/>
  <c r="R63" i="22"/>
  <c r="O63" i="22"/>
  <c r="N63" i="22"/>
  <c r="S63" i="22" s="1"/>
  <c r="K63" i="22"/>
  <c r="R62" i="22"/>
  <c r="O62" i="22"/>
  <c r="N62" i="22"/>
  <c r="S62" i="22" s="1"/>
  <c r="K62" i="22"/>
  <c r="R61" i="22"/>
  <c r="O61" i="22"/>
  <c r="N61" i="22"/>
  <c r="S61" i="22" s="1"/>
  <c r="K61" i="22"/>
  <c r="R60" i="22"/>
  <c r="O60" i="22"/>
  <c r="N60" i="22"/>
  <c r="P60" i="22" s="1"/>
  <c r="K60" i="22"/>
  <c r="T60" i="22" s="1"/>
  <c r="R59" i="22"/>
  <c r="O59" i="22"/>
  <c r="N59" i="22"/>
  <c r="P59" i="22" s="1"/>
  <c r="K59" i="22"/>
  <c r="R58" i="22"/>
  <c r="O58" i="22"/>
  <c r="N58" i="22"/>
  <c r="S58" i="22" s="1"/>
  <c r="K58" i="22"/>
  <c r="R57" i="22"/>
  <c r="O57" i="22"/>
  <c r="N57" i="22"/>
  <c r="S57" i="22" s="1"/>
  <c r="K57" i="22"/>
  <c r="R56" i="22"/>
  <c r="O56" i="22"/>
  <c r="N56" i="22"/>
  <c r="S56" i="22" s="1"/>
  <c r="K56" i="22"/>
  <c r="T56" i="22" s="1"/>
  <c r="R55" i="22"/>
  <c r="O55" i="22"/>
  <c r="N55" i="22"/>
  <c r="S55" i="22" s="1"/>
  <c r="K55" i="22"/>
  <c r="R54" i="22"/>
  <c r="O54" i="22"/>
  <c r="N54" i="22"/>
  <c r="S54" i="22" s="1"/>
  <c r="K54" i="22"/>
  <c r="R53" i="22"/>
  <c r="O53" i="22"/>
  <c r="N53" i="22"/>
  <c r="K53" i="22"/>
  <c r="R52" i="22"/>
  <c r="O52" i="22"/>
  <c r="N52" i="22"/>
  <c r="P52" i="22" s="1"/>
  <c r="K52" i="22"/>
  <c r="T52" i="22" s="1"/>
  <c r="R51" i="22"/>
  <c r="O51" i="22"/>
  <c r="N51" i="22"/>
  <c r="P51" i="22" s="1"/>
  <c r="K51" i="22"/>
  <c r="R50" i="22"/>
  <c r="O50" i="22"/>
  <c r="N50" i="22"/>
  <c r="S50" i="22" s="1"/>
  <c r="K50" i="22"/>
  <c r="R49" i="22"/>
  <c r="O49" i="22"/>
  <c r="N49" i="22"/>
  <c r="S49" i="22" s="1"/>
  <c r="K49" i="22"/>
  <c r="R48" i="22"/>
  <c r="O48" i="22"/>
  <c r="N48" i="22"/>
  <c r="S48" i="22" s="1"/>
  <c r="K48" i="22"/>
  <c r="T48" i="22" s="1"/>
  <c r="R47" i="22"/>
  <c r="O47" i="22"/>
  <c r="N47" i="22"/>
  <c r="S47" i="22" s="1"/>
  <c r="K47" i="22"/>
  <c r="R46" i="22"/>
  <c r="O46" i="22"/>
  <c r="N46" i="22"/>
  <c r="S46" i="22" s="1"/>
  <c r="K46" i="22"/>
  <c r="R45" i="22"/>
  <c r="O45" i="22"/>
  <c r="N45" i="22"/>
  <c r="S45" i="22" s="1"/>
  <c r="K45" i="22"/>
  <c r="R44" i="22"/>
  <c r="O44" i="22"/>
  <c r="N44" i="22"/>
  <c r="P44" i="22" s="1"/>
  <c r="K44" i="22"/>
  <c r="T44" i="22" s="1"/>
  <c r="R43" i="22"/>
  <c r="O43" i="22"/>
  <c r="N43" i="22"/>
  <c r="P43" i="22" s="1"/>
  <c r="K43" i="22"/>
  <c r="U42" i="22"/>
  <c r="T42" i="22"/>
  <c r="O42" i="22"/>
  <c r="N42" i="22"/>
  <c r="P42" i="22" s="1"/>
  <c r="R41" i="22"/>
  <c r="O41" i="22"/>
  <c r="N41" i="22"/>
  <c r="S41" i="22" s="1"/>
  <c r="J41" i="22"/>
  <c r="R40" i="22"/>
  <c r="O40" i="22"/>
  <c r="N40" i="22"/>
  <c r="P40" i="22" s="1"/>
  <c r="J40" i="22"/>
  <c r="R39" i="22"/>
  <c r="O39" i="22"/>
  <c r="N39" i="22"/>
  <c r="S39" i="22" s="1"/>
  <c r="J39" i="22"/>
  <c r="R38" i="22"/>
  <c r="O38" i="22"/>
  <c r="N38" i="22"/>
  <c r="J38" i="22"/>
  <c r="R37" i="22"/>
  <c r="O37" i="22"/>
  <c r="N37" i="22"/>
  <c r="S37" i="22" s="1"/>
  <c r="J37" i="22"/>
  <c r="R36" i="22"/>
  <c r="O36" i="22"/>
  <c r="N36" i="22"/>
  <c r="P36" i="22" s="1"/>
  <c r="J36" i="22"/>
  <c r="R35" i="22"/>
  <c r="O35" i="22"/>
  <c r="N35" i="22"/>
  <c r="S35" i="22" s="1"/>
  <c r="J35" i="22"/>
  <c r="R34" i="22"/>
  <c r="O34" i="22"/>
  <c r="N34" i="22"/>
  <c r="P34" i="22" s="1"/>
  <c r="J34" i="22"/>
  <c r="R33" i="22"/>
  <c r="J33" i="22"/>
  <c r="R32" i="22"/>
  <c r="O32" i="22"/>
  <c r="N32" i="22"/>
  <c r="P32" i="22" s="1"/>
  <c r="J32" i="22"/>
  <c r="R31" i="22"/>
  <c r="O31" i="22"/>
  <c r="N31" i="22"/>
  <c r="S31" i="22" s="1"/>
  <c r="J31" i="22"/>
  <c r="R30" i="22"/>
  <c r="O30" i="22"/>
  <c r="N30" i="22"/>
  <c r="P30" i="22" s="1"/>
  <c r="J30" i="22"/>
  <c r="R29" i="22"/>
  <c r="O29" i="22"/>
  <c r="N29" i="22"/>
  <c r="S29" i="22" s="1"/>
  <c r="J29" i="22"/>
  <c r="R28" i="22"/>
  <c r="O28" i="22"/>
  <c r="N28" i="22"/>
  <c r="P28" i="22" s="1"/>
  <c r="G28" i="22"/>
  <c r="H28" i="22" s="1"/>
  <c r="J28" i="22" s="1"/>
  <c r="R27" i="22"/>
  <c r="O27" i="22"/>
  <c r="N27" i="22"/>
  <c r="S27" i="22" s="1"/>
  <c r="H27" i="22"/>
  <c r="J27" i="22" s="1"/>
  <c r="G27" i="22"/>
  <c r="R26" i="22"/>
  <c r="O26" i="22"/>
  <c r="N26" i="22"/>
  <c r="S26" i="22" s="1"/>
  <c r="G26" i="22"/>
  <c r="H26" i="22" s="1"/>
  <c r="J26" i="22" s="1"/>
  <c r="R25" i="22"/>
  <c r="O25" i="22"/>
  <c r="N25" i="22"/>
  <c r="S25" i="22" s="1"/>
  <c r="G25" i="22"/>
  <c r="H25" i="22" s="1"/>
  <c r="J25" i="22" s="1"/>
  <c r="R24" i="22"/>
  <c r="O24" i="22"/>
  <c r="N24" i="22"/>
  <c r="P24" i="22" s="1"/>
  <c r="J24" i="22"/>
  <c r="H24" i="22"/>
  <c r="R23" i="22"/>
  <c r="O23" i="22"/>
  <c r="N23" i="22"/>
  <c r="P23" i="22" s="1"/>
  <c r="H23" i="22"/>
  <c r="J23" i="22" s="1"/>
  <c r="R22" i="22"/>
  <c r="O22" i="22"/>
  <c r="N22" i="22"/>
  <c r="S22" i="22" s="1"/>
  <c r="J22" i="22"/>
  <c r="R21" i="22"/>
  <c r="O21" i="22"/>
  <c r="N21" i="22"/>
  <c r="S21" i="22" s="1"/>
  <c r="U21" i="22" s="1"/>
  <c r="J21" i="22"/>
  <c r="R20" i="22"/>
  <c r="O20" i="22"/>
  <c r="N20" i="22"/>
  <c r="P20" i="22" s="1"/>
  <c r="J20" i="22"/>
  <c r="R19" i="22"/>
  <c r="O19" i="22"/>
  <c r="N19" i="22"/>
  <c r="S19" i="22" s="1"/>
  <c r="U19" i="22" s="1"/>
  <c r="J19" i="22"/>
  <c r="N2694" i="21"/>
  <c r="F3" i="7"/>
  <c r="F2" i="7"/>
  <c r="B3" i="7"/>
  <c r="B2" i="7"/>
  <c r="N20" i="21"/>
  <c r="S20" i="21" s="1"/>
  <c r="N21" i="21"/>
  <c r="P21" i="21" s="1"/>
  <c r="N22" i="21"/>
  <c r="S22" i="21" s="1"/>
  <c r="N23" i="21"/>
  <c r="S23" i="21" s="1"/>
  <c r="N24" i="21"/>
  <c r="S24" i="21" s="1"/>
  <c r="N25" i="21"/>
  <c r="S25" i="21" s="1"/>
  <c r="N26" i="21"/>
  <c r="S26" i="21" s="1"/>
  <c r="N27" i="21"/>
  <c r="P27" i="21" s="1"/>
  <c r="N28" i="21"/>
  <c r="P28" i="21" s="1"/>
  <c r="N29" i="21"/>
  <c r="S29" i="21" s="1"/>
  <c r="N30" i="21"/>
  <c r="S30" i="21" s="1"/>
  <c r="N31" i="21"/>
  <c r="P31" i="21" s="1"/>
  <c r="N32" i="21"/>
  <c r="P32" i="21" s="1"/>
  <c r="N34" i="21"/>
  <c r="S34" i="21" s="1"/>
  <c r="N35" i="21"/>
  <c r="P35" i="21" s="1"/>
  <c r="N36" i="21"/>
  <c r="S36" i="21" s="1"/>
  <c r="N37" i="21"/>
  <c r="S37" i="21" s="1"/>
  <c r="N38" i="21"/>
  <c r="P38" i="21" s="1"/>
  <c r="N39" i="21"/>
  <c r="S39" i="21" s="1"/>
  <c r="N40" i="21"/>
  <c r="S40" i="21" s="1"/>
  <c r="N41" i="21"/>
  <c r="S41" i="21" s="1"/>
  <c r="N42" i="21"/>
  <c r="N43" i="21"/>
  <c r="S43" i="21" s="1"/>
  <c r="N44" i="21"/>
  <c r="S44" i="21" s="1"/>
  <c r="N45" i="21"/>
  <c r="P45" i="21" s="1"/>
  <c r="N46" i="21"/>
  <c r="P46" i="21" s="1"/>
  <c r="N47" i="21"/>
  <c r="S47" i="21" s="1"/>
  <c r="N48" i="21"/>
  <c r="P48" i="21" s="1"/>
  <c r="N49" i="21"/>
  <c r="S49" i="21" s="1"/>
  <c r="N50" i="21"/>
  <c r="S50" i="21" s="1"/>
  <c r="N51" i="21"/>
  <c r="P51" i="21" s="1"/>
  <c r="N52" i="21"/>
  <c r="P52" i="21" s="1"/>
  <c r="N53" i="21"/>
  <c r="S53" i="21" s="1"/>
  <c r="N54" i="21"/>
  <c r="P54" i="21" s="1"/>
  <c r="N55" i="21"/>
  <c r="S55" i="21" s="1"/>
  <c r="N56" i="21"/>
  <c r="S56" i="21" s="1"/>
  <c r="N57" i="21"/>
  <c r="S57" i="21" s="1"/>
  <c r="N58" i="21"/>
  <c r="P58" i="21" s="1"/>
  <c r="N59" i="21"/>
  <c r="S59" i="21" s="1"/>
  <c r="N60" i="21"/>
  <c r="S60" i="21" s="1"/>
  <c r="N61" i="21"/>
  <c r="S61" i="21" s="1"/>
  <c r="N62" i="21"/>
  <c r="S62" i="21" s="1"/>
  <c r="N63" i="21"/>
  <c r="S63" i="21" s="1"/>
  <c r="N64" i="21"/>
  <c r="P64" i="21" s="1"/>
  <c r="N65" i="21"/>
  <c r="S65" i="21" s="1"/>
  <c r="N66" i="21"/>
  <c r="S66" i="21" s="1"/>
  <c r="N67" i="21"/>
  <c r="S67" i="21" s="1"/>
  <c r="P68" i="21"/>
  <c r="N69" i="21"/>
  <c r="P69" i="21" s="1"/>
  <c r="N70" i="21"/>
  <c r="S70" i="21" s="1"/>
  <c r="N71" i="21"/>
  <c r="S71" i="21" s="1"/>
  <c r="N72" i="21"/>
  <c r="S72" i="21" s="1"/>
  <c r="N73" i="21"/>
  <c r="S73" i="21" s="1"/>
  <c r="N74" i="21"/>
  <c r="P74" i="21" s="1"/>
  <c r="N75" i="21"/>
  <c r="S75" i="21" s="1"/>
  <c r="N76" i="21"/>
  <c r="P76" i="21" s="1"/>
  <c r="N77" i="21"/>
  <c r="S77" i="21" s="1"/>
  <c r="N78" i="21"/>
  <c r="S78" i="21" s="1"/>
  <c r="N79" i="21"/>
  <c r="S79" i="21" s="1"/>
  <c r="N80" i="21"/>
  <c r="S80" i="21" s="1"/>
  <c r="N81" i="21"/>
  <c r="S81" i="21" s="1"/>
  <c r="N82" i="21"/>
  <c r="S82" i="21" s="1"/>
  <c r="N83" i="21"/>
  <c r="P83" i="21" s="1"/>
  <c r="N84" i="21"/>
  <c r="S84" i="21" s="1"/>
  <c r="N85" i="21"/>
  <c r="P85" i="21" s="1"/>
  <c r="N86" i="21"/>
  <c r="S86" i="21" s="1"/>
  <c r="N87" i="21"/>
  <c r="S87" i="21" s="1"/>
  <c r="N88" i="21"/>
  <c r="P88" i="21" s="1"/>
  <c r="N89" i="21"/>
  <c r="S89" i="21" s="1"/>
  <c r="N90" i="21"/>
  <c r="P90" i="21" s="1"/>
  <c r="N91" i="21"/>
  <c r="P91" i="21" s="1"/>
  <c r="N92" i="21"/>
  <c r="P92" i="21" s="1"/>
  <c r="N93" i="21"/>
  <c r="S93" i="21" s="1"/>
  <c r="N94" i="21"/>
  <c r="S94" i="21" s="1"/>
  <c r="N95" i="21"/>
  <c r="P95" i="21" s="1"/>
  <c r="N96" i="21"/>
  <c r="S96" i="21" s="1"/>
  <c r="N97" i="21"/>
  <c r="P97" i="21" s="1"/>
  <c r="N98" i="21"/>
  <c r="P98" i="21" s="1"/>
  <c r="N99" i="21"/>
  <c r="S99" i="21" s="1"/>
  <c r="N100" i="21"/>
  <c r="S100" i="21" s="1"/>
  <c r="N101" i="21"/>
  <c r="P101" i="21" s="1"/>
  <c r="N102" i="21"/>
  <c r="P102" i="21" s="1"/>
  <c r="N103" i="21"/>
  <c r="P103" i="21" s="1"/>
  <c r="N104" i="21"/>
  <c r="P104" i="21" s="1"/>
  <c r="N105" i="21"/>
  <c r="P105" i="21" s="1"/>
  <c r="N106" i="21"/>
  <c r="P106" i="21" s="1"/>
  <c r="N107" i="21"/>
  <c r="P107" i="21" s="1"/>
  <c r="N108" i="21"/>
  <c r="S108" i="21" s="1"/>
  <c r="N109" i="21"/>
  <c r="P109" i="21" s="1"/>
  <c r="N110" i="21"/>
  <c r="P110" i="21" s="1"/>
  <c r="N111" i="21"/>
  <c r="P111" i="21" s="1"/>
  <c r="N112" i="21"/>
  <c r="S112" i="21" s="1"/>
  <c r="N113" i="21"/>
  <c r="P113" i="21" s="1"/>
  <c r="N114" i="21"/>
  <c r="S114" i="21" s="1"/>
  <c r="N115" i="21"/>
  <c r="S115" i="21" s="1"/>
  <c r="P116" i="21"/>
  <c r="N117" i="21"/>
  <c r="S117" i="21" s="1"/>
  <c r="N118" i="21"/>
  <c r="S118" i="21" s="1"/>
  <c r="N119" i="21"/>
  <c r="P119" i="21" s="1"/>
  <c r="N120" i="21"/>
  <c r="P120" i="21" s="1"/>
  <c r="N121" i="21"/>
  <c r="P121" i="21" s="1"/>
  <c r="N122" i="21"/>
  <c r="S122" i="21" s="1"/>
  <c r="N123" i="21"/>
  <c r="P123" i="21" s="1"/>
  <c r="N124" i="21"/>
  <c r="P124" i="21" s="1"/>
  <c r="N125" i="21"/>
  <c r="P125" i="21" s="1"/>
  <c r="N126" i="21"/>
  <c r="P126" i="21" s="1"/>
  <c r="N127" i="21"/>
  <c r="S127" i="21" s="1"/>
  <c r="N128" i="21"/>
  <c r="S128" i="21" s="1"/>
  <c r="N129" i="21"/>
  <c r="P129" i="21" s="1"/>
  <c r="N130" i="21"/>
  <c r="S130" i="21" s="1"/>
  <c r="N131" i="21"/>
  <c r="S131" i="21" s="1"/>
  <c r="N132" i="21"/>
  <c r="S132" i="21" s="1"/>
  <c r="N133" i="21"/>
  <c r="S133" i="21" s="1"/>
  <c r="N134" i="21"/>
  <c r="S134" i="21" s="1"/>
  <c r="N135" i="21"/>
  <c r="P135" i="21" s="1"/>
  <c r="N136" i="21"/>
  <c r="P136" i="21" s="1"/>
  <c r="N137" i="21"/>
  <c r="P137" i="21" s="1"/>
  <c r="N138" i="21"/>
  <c r="S138" i="21" s="1"/>
  <c r="N139" i="21"/>
  <c r="S139" i="21" s="1"/>
  <c r="N140" i="21"/>
  <c r="P140" i="21" s="1"/>
  <c r="N141" i="21"/>
  <c r="S141" i="21" s="1"/>
  <c r="N142" i="21"/>
  <c r="P142" i="21" s="1"/>
  <c r="N143" i="21"/>
  <c r="P143" i="21" s="1"/>
  <c r="N144" i="21"/>
  <c r="P144" i="21" s="1"/>
  <c r="N145" i="21"/>
  <c r="P145" i="21" s="1"/>
  <c r="N146" i="21"/>
  <c r="P146" i="21" s="1"/>
  <c r="N147" i="21"/>
  <c r="S147" i="21" s="1"/>
  <c r="N148" i="21"/>
  <c r="P148" i="21" s="1"/>
  <c r="N149" i="21"/>
  <c r="P149" i="21" s="1"/>
  <c r="N150" i="21"/>
  <c r="S150" i="21" s="1"/>
  <c r="N151" i="21"/>
  <c r="P151" i="21" s="1"/>
  <c r="N152" i="21"/>
  <c r="P152" i="21" s="1"/>
  <c r="N153" i="21"/>
  <c r="S153" i="21" s="1"/>
  <c r="N154" i="21"/>
  <c r="P154" i="21" s="1"/>
  <c r="N155" i="21"/>
  <c r="P155" i="21" s="1"/>
  <c r="N156" i="21"/>
  <c r="S156" i="21" s="1"/>
  <c r="N157" i="21"/>
  <c r="P157" i="21" s="1"/>
  <c r="N158" i="21"/>
  <c r="P158" i="21" s="1"/>
  <c r="N159" i="21"/>
  <c r="S159" i="21" s="1"/>
  <c r="N160" i="21"/>
  <c r="P160" i="21" s="1"/>
  <c r="N161" i="21"/>
  <c r="P161" i="21" s="1"/>
  <c r="N162" i="21"/>
  <c r="P162" i="21" s="1"/>
  <c r="N163" i="21"/>
  <c r="S163" i="21" s="1"/>
  <c r="N164" i="21"/>
  <c r="P164" i="21" s="1"/>
  <c r="N165" i="21"/>
  <c r="P165" i="21" s="1"/>
  <c r="N166" i="21"/>
  <c r="P166" i="21" s="1"/>
  <c r="N167" i="21"/>
  <c r="S167" i="21" s="1"/>
  <c r="N168" i="21"/>
  <c r="P168" i="21" s="1"/>
  <c r="N169" i="21"/>
  <c r="P169" i="21" s="1"/>
  <c r="N170" i="21"/>
  <c r="P170" i="21" s="1"/>
  <c r="N171" i="21"/>
  <c r="S171" i="21" s="1"/>
  <c r="N172" i="21"/>
  <c r="P172" i="21" s="1"/>
  <c r="N173" i="21"/>
  <c r="P173" i="21" s="1"/>
  <c r="N174" i="21"/>
  <c r="P174" i="21" s="1"/>
  <c r="N175" i="21"/>
  <c r="S175" i="21" s="1"/>
  <c r="N176" i="21"/>
  <c r="P176" i="21" s="1"/>
  <c r="N177" i="21"/>
  <c r="P177" i="21" s="1"/>
  <c r="N178" i="21"/>
  <c r="P178" i="21" s="1"/>
  <c r="N179" i="21"/>
  <c r="S179" i="21" s="1"/>
  <c r="N180" i="21"/>
  <c r="P180" i="21" s="1"/>
  <c r="N181" i="21"/>
  <c r="P181" i="21" s="1"/>
  <c r="N182" i="21"/>
  <c r="P182" i="21" s="1"/>
  <c r="N183" i="21"/>
  <c r="S183" i="21" s="1"/>
  <c r="N184" i="21"/>
  <c r="S184" i="21" s="1"/>
  <c r="N185" i="21"/>
  <c r="P185" i="21" s="1"/>
  <c r="N186" i="21"/>
  <c r="S186" i="21" s="1"/>
  <c r="N187" i="21"/>
  <c r="S187" i="21" s="1"/>
  <c r="N188" i="21"/>
  <c r="S188" i="21" s="1"/>
  <c r="N189" i="21"/>
  <c r="S189" i="21" s="1"/>
  <c r="N190" i="21"/>
  <c r="P190" i="21" s="1"/>
  <c r="N191" i="21"/>
  <c r="P191" i="21" s="1"/>
  <c r="N192" i="21"/>
  <c r="P192" i="21" s="1"/>
  <c r="N193" i="21"/>
  <c r="S193" i="21" s="1"/>
  <c r="N194" i="21"/>
  <c r="P194" i="21" s="1"/>
  <c r="N195" i="21"/>
  <c r="P195" i="21" s="1"/>
  <c r="N196" i="21"/>
  <c r="S196" i="21" s="1"/>
  <c r="N197" i="21"/>
  <c r="P197" i="21" s="1"/>
  <c r="N198" i="21"/>
  <c r="P198" i="21" s="1"/>
  <c r="N199" i="21"/>
  <c r="S199" i="21" s="1"/>
  <c r="N200" i="21"/>
  <c r="S200" i="21" s="1"/>
  <c r="N201" i="21"/>
  <c r="P201" i="21" s="1"/>
  <c r="N202" i="21"/>
  <c r="S202" i="21" s="1"/>
  <c r="N203" i="21"/>
  <c r="S203" i="21" s="1"/>
  <c r="N204" i="21"/>
  <c r="S204" i="21" s="1"/>
  <c r="N205" i="21"/>
  <c r="P205" i="21" s="1"/>
  <c r="N206" i="21"/>
  <c r="P206" i="21" s="1"/>
  <c r="N207" i="21"/>
  <c r="S207" i="21" s="1"/>
  <c r="N208" i="21"/>
  <c r="P208" i="21" s="1"/>
  <c r="N209" i="21"/>
  <c r="S209" i="21" s="1"/>
  <c r="N210" i="21"/>
  <c r="P210" i="21" s="1"/>
  <c r="N211" i="21"/>
  <c r="S211" i="21" s="1"/>
  <c r="N212" i="21"/>
  <c r="S212" i="21" s="1"/>
  <c r="N213" i="21"/>
  <c r="S213" i="21" s="1"/>
  <c r="N214" i="21"/>
  <c r="P214" i="21" s="1"/>
  <c r="N215" i="21"/>
  <c r="S215" i="21" s="1"/>
  <c r="N216" i="21"/>
  <c r="S216" i="21" s="1"/>
  <c r="N217" i="21"/>
  <c r="S217" i="21" s="1"/>
  <c r="N218" i="21"/>
  <c r="P218" i="21" s="1"/>
  <c r="N219" i="21"/>
  <c r="S219" i="21" s="1"/>
  <c r="N220" i="21"/>
  <c r="S220" i="21" s="1"/>
  <c r="N221" i="21"/>
  <c r="S221" i="21" s="1"/>
  <c r="N222" i="21"/>
  <c r="S222" i="21" s="1"/>
  <c r="N223" i="21"/>
  <c r="S223" i="21" s="1"/>
  <c r="N224" i="21"/>
  <c r="P224" i="21" s="1"/>
  <c r="N225" i="21"/>
  <c r="S225" i="21" s="1"/>
  <c r="N226" i="21"/>
  <c r="P226" i="21" s="1"/>
  <c r="P227" i="21"/>
  <c r="N229" i="21"/>
  <c r="P229" i="21" s="1"/>
  <c r="N231" i="21"/>
  <c r="S231" i="21" s="1"/>
  <c r="N233" i="21"/>
  <c r="S233" i="21" s="1"/>
  <c r="N237" i="21"/>
  <c r="S237" i="21" s="1"/>
  <c r="N238" i="21"/>
  <c r="S238" i="21" s="1"/>
  <c r="N239" i="21"/>
  <c r="S239" i="21" s="1"/>
  <c r="N240" i="21"/>
  <c r="P240" i="21" s="1"/>
  <c r="N241" i="21"/>
  <c r="S241" i="21" s="1"/>
  <c r="N242" i="21"/>
  <c r="S242" i="21" s="1"/>
  <c r="N243" i="21"/>
  <c r="P243" i="21" s="1"/>
  <c r="N244" i="21"/>
  <c r="P244" i="21" s="1"/>
  <c r="N245" i="21"/>
  <c r="S245" i="21" s="1"/>
  <c r="N246" i="21"/>
  <c r="S246" i="21" s="1"/>
  <c r="N247" i="21"/>
  <c r="S247" i="21" s="1"/>
  <c r="N248" i="21"/>
  <c r="S248" i="21" s="1"/>
  <c r="N249" i="21"/>
  <c r="S249" i="21" s="1"/>
  <c r="N250" i="21"/>
  <c r="S250" i="21" s="1"/>
  <c r="N251" i="21"/>
  <c r="P251" i="21" s="1"/>
  <c r="N252" i="21"/>
  <c r="P252" i="21" s="1"/>
  <c r="N253" i="21"/>
  <c r="S253" i="21" s="1"/>
  <c r="N254" i="21"/>
  <c r="S254" i="21" s="1"/>
  <c r="N255" i="21"/>
  <c r="P255" i="21" s="1"/>
  <c r="N256" i="21"/>
  <c r="P256" i="21" s="1"/>
  <c r="N257" i="21"/>
  <c r="P257" i="21" s="1"/>
  <c r="N258" i="21"/>
  <c r="P258" i="21" s="1"/>
  <c r="N260" i="21"/>
  <c r="P260" i="21" s="1"/>
  <c r="N261" i="21"/>
  <c r="P261" i="21" s="1"/>
  <c r="N262" i="21"/>
  <c r="P262" i="21" s="1"/>
  <c r="N263" i="21"/>
  <c r="P263" i="21" s="1"/>
  <c r="N265" i="21"/>
  <c r="P265" i="21" s="1"/>
  <c r="N266" i="21"/>
  <c r="P266" i="21" s="1"/>
  <c r="N267" i="21"/>
  <c r="N268" i="21"/>
  <c r="P268" i="21" s="1"/>
  <c r="N270" i="21"/>
  <c r="S270" i="21" s="1"/>
  <c r="N271" i="21"/>
  <c r="P271" i="21" s="1"/>
  <c r="N272" i="21"/>
  <c r="P272" i="21" s="1"/>
  <c r="N273" i="21"/>
  <c r="P273" i="21" s="1"/>
  <c r="N275" i="21"/>
  <c r="S275" i="21" s="1"/>
  <c r="N276" i="21"/>
  <c r="P276" i="21" s="1"/>
  <c r="N278" i="21"/>
  <c r="S278" i="21" s="1"/>
  <c r="N279" i="21"/>
  <c r="P279" i="21" s="1"/>
  <c r="N281" i="21"/>
  <c r="P281" i="21" s="1"/>
  <c r="N282" i="21"/>
  <c r="P282" i="21" s="1"/>
  <c r="N284" i="21"/>
  <c r="S284" i="21" s="1"/>
  <c r="N285" i="21"/>
  <c r="P285" i="21" s="1"/>
  <c r="N287" i="21"/>
  <c r="S287" i="21" s="1"/>
  <c r="N288" i="21"/>
  <c r="P288" i="21" s="1"/>
  <c r="N290" i="21"/>
  <c r="S290" i="21" s="1"/>
  <c r="N291" i="21"/>
  <c r="P291" i="21" s="1"/>
  <c r="N293" i="21"/>
  <c r="S293" i="21" s="1"/>
  <c r="N294" i="21"/>
  <c r="P294" i="21" s="1"/>
  <c r="N296" i="21"/>
  <c r="S296" i="21" s="1"/>
  <c r="N297" i="21"/>
  <c r="P297" i="21" s="1"/>
  <c r="N299" i="21"/>
  <c r="P299" i="21" s="1"/>
  <c r="N300" i="21"/>
  <c r="N302" i="21"/>
  <c r="S302" i="21" s="1"/>
  <c r="N303" i="21"/>
  <c r="P303" i="21" s="1"/>
  <c r="N305" i="21"/>
  <c r="S305" i="21" s="1"/>
  <c r="N306" i="21"/>
  <c r="P306" i="21" s="1"/>
  <c r="N307" i="21"/>
  <c r="P307" i="21" s="1"/>
  <c r="N308" i="21"/>
  <c r="P308" i="21" s="1"/>
  <c r="N309" i="21"/>
  <c r="P309" i="21" s="1"/>
  <c r="N311" i="21"/>
  <c r="S311" i="21" s="1"/>
  <c r="N312" i="21"/>
  <c r="P312" i="21" s="1"/>
  <c r="N313" i="21"/>
  <c r="P313" i="21" s="1"/>
  <c r="N314" i="21"/>
  <c r="P314" i="21" s="1"/>
  <c r="N315" i="21"/>
  <c r="P315" i="21" s="1"/>
  <c r="N317" i="21"/>
  <c r="S317" i="21" s="1"/>
  <c r="N318" i="21"/>
  <c r="P318" i="21" s="1"/>
  <c r="N319" i="21"/>
  <c r="P319" i="21" s="1"/>
  <c r="N320" i="21"/>
  <c r="P320" i="21" s="1"/>
  <c r="N321" i="21"/>
  <c r="P321" i="21" s="1"/>
  <c r="N323" i="21"/>
  <c r="S323" i="21" s="1"/>
  <c r="N324" i="21"/>
  <c r="P324" i="21" s="1"/>
  <c r="N325" i="21"/>
  <c r="P325" i="21" s="1"/>
  <c r="N326" i="21"/>
  <c r="P326" i="21" s="1"/>
  <c r="N327" i="21"/>
  <c r="P327" i="21" s="1"/>
  <c r="N329" i="21"/>
  <c r="S329" i="21" s="1"/>
  <c r="N330" i="21"/>
  <c r="P330" i="21" s="1"/>
  <c r="N331" i="21"/>
  <c r="P331" i="21" s="1"/>
  <c r="N332" i="21"/>
  <c r="P332" i="21" s="1"/>
  <c r="N333" i="21"/>
  <c r="P333" i="21" s="1"/>
  <c r="N335" i="21"/>
  <c r="S335" i="21" s="1"/>
  <c r="N336" i="21"/>
  <c r="P336" i="21" s="1"/>
  <c r="N337" i="21"/>
  <c r="P337" i="21" s="1"/>
  <c r="N338" i="21"/>
  <c r="P338" i="21" s="1"/>
  <c r="N339" i="21"/>
  <c r="P339" i="21" s="1"/>
  <c r="N341" i="21"/>
  <c r="S341" i="21" s="1"/>
  <c r="N342" i="21"/>
  <c r="P342" i="21" s="1"/>
  <c r="N343" i="21"/>
  <c r="P343" i="21" s="1"/>
  <c r="N344" i="21"/>
  <c r="P344" i="21" s="1"/>
  <c r="N345" i="21"/>
  <c r="P345" i="21" s="1"/>
  <c r="N347" i="21"/>
  <c r="S347" i="21" s="1"/>
  <c r="N348" i="21"/>
  <c r="P348" i="21" s="1"/>
  <c r="N349" i="21"/>
  <c r="P349" i="21" s="1"/>
  <c r="N350" i="21"/>
  <c r="P350" i="21" s="1"/>
  <c r="N351" i="21"/>
  <c r="P351" i="21" s="1"/>
  <c r="N353" i="21"/>
  <c r="S353" i="21" s="1"/>
  <c r="N354" i="21"/>
  <c r="P354" i="21" s="1"/>
  <c r="N355" i="21"/>
  <c r="P355" i="21" s="1"/>
  <c r="N356" i="21"/>
  <c r="P356" i="21" s="1"/>
  <c r="N357" i="21"/>
  <c r="P357" i="21" s="1"/>
  <c r="N359" i="21"/>
  <c r="S359" i="21" s="1"/>
  <c r="N360" i="21"/>
  <c r="P360" i="21" s="1"/>
  <c r="N361" i="21"/>
  <c r="P361" i="21" s="1"/>
  <c r="N362" i="21"/>
  <c r="P362" i="21" s="1"/>
  <c r="N363" i="21"/>
  <c r="P363" i="21" s="1"/>
  <c r="N365" i="21"/>
  <c r="P365" i="21" s="1"/>
  <c r="N366" i="21"/>
  <c r="P366" i="21" s="1"/>
  <c r="N367" i="21"/>
  <c r="P367" i="21" s="1"/>
  <c r="N368" i="21"/>
  <c r="P368" i="21" s="1"/>
  <c r="N369" i="21"/>
  <c r="P369" i="21" s="1"/>
  <c r="N371" i="21"/>
  <c r="P371" i="21" s="1"/>
  <c r="N372" i="21"/>
  <c r="P372" i="21" s="1"/>
  <c r="N373" i="21"/>
  <c r="P373" i="21" s="1"/>
  <c r="N374" i="21"/>
  <c r="P374" i="21" s="1"/>
  <c r="N375" i="21"/>
  <c r="P375" i="21" s="1"/>
  <c r="N377" i="21"/>
  <c r="S377" i="21" s="1"/>
  <c r="N378" i="21"/>
  <c r="P378" i="21" s="1"/>
  <c r="N379" i="21"/>
  <c r="P379" i="21" s="1"/>
  <c r="N380" i="21"/>
  <c r="P380" i="21" s="1"/>
  <c r="N381" i="21"/>
  <c r="P381" i="21" s="1"/>
  <c r="N383" i="21"/>
  <c r="S383" i="21" s="1"/>
  <c r="N384" i="21"/>
  <c r="P384" i="21" s="1"/>
  <c r="N385" i="21"/>
  <c r="P385" i="21" s="1"/>
  <c r="N386" i="21"/>
  <c r="P386" i="21" s="1"/>
  <c r="N387" i="21"/>
  <c r="P387" i="21" s="1"/>
  <c r="N390" i="21"/>
  <c r="P390" i="21" s="1"/>
  <c r="N391" i="21"/>
  <c r="P391" i="21" s="1"/>
  <c r="N392" i="21"/>
  <c r="P392" i="21" s="1"/>
  <c r="N393" i="21"/>
  <c r="P393" i="21" s="1"/>
  <c r="N396" i="21"/>
  <c r="P396" i="21" s="1"/>
  <c r="N397" i="21"/>
  <c r="P397" i="21" s="1"/>
  <c r="N398" i="21"/>
  <c r="P398" i="21" s="1"/>
  <c r="N399" i="21"/>
  <c r="P399" i="21" s="1"/>
  <c r="N401" i="21"/>
  <c r="S401" i="21" s="1"/>
  <c r="N402" i="21"/>
  <c r="P402" i="21" s="1"/>
  <c r="N403" i="21"/>
  <c r="P403" i="21" s="1"/>
  <c r="N404" i="21"/>
  <c r="P404" i="21" s="1"/>
  <c r="N405" i="21"/>
  <c r="P405" i="21" s="1"/>
  <c r="N407" i="21"/>
  <c r="S407" i="21" s="1"/>
  <c r="N408" i="21"/>
  <c r="P408" i="21" s="1"/>
  <c r="N409" i="21"/>
  <c r="P409" i="21" s="1"/>
  <c r="N410" i="21"/>
  <c r="P410" i="21" s="1"/>
  <c r="N411" i="21"/>
  <c r="P411" i="21" s="1"/>
  <c r="N413" i="21"/>
  <c r="S413" i="21" s="1"/>
  <c r="N414" i="21"/>
  <c r="P414" i="21" s="1"/>
  <c r="N415" i="21"/>
  <c r="P415" i="21" s="1"/>
  <c r="N416" i="21"/>
  <c r="P416" i="21" s="1"/>
  <c r="N417" i="21"/>
  <c r="P417" i="21" s="1"/>
  <c r="N419" i="21"/>
  <c r="S419" i="21" s="1"/>
  <c r="N420" i="21"/>
  <c r="P420" i="21" s="1"/>
  <c r="N421" i="21"/>
  <c r="P421" i="21" s="1"/>
  <c r="N422" i="21"/>
  <c r="P422" i="21" s="1"/>
  <c r="N423" i="21"/>
  <c r="P423" i="21" s="1"/>
  <c r="N425" i="21"/>
  <c r="P425" i="21" s="1"/>
  <c r="N426" i="21"/>
  <c r="P426" i="21" s="1"/>
  <c r="N427" i="21"/>
  <c r="P427" i="21" s="1"/>
  <c r="N428" i="21"/>
  <c r="P428" i="21" s="1"/>
  <c r="N429" i="21"/>
  <c r="P429" i="21" s="1"/>
  <c r="N431" i="21"/>
  <c r="P431" i="21" s="1"/>
  <c r="N432" i="21"/>
  <c r="P432" i="21" s="1"/>
  <c r="N433" i="21"/>
  <c r="P433" i="21" s="1"/>
  <c r="N434" i="21"/>
  <c r="P434" i="21" s="1"/>
  <c r="N435" i="21"/>
  <c r="N437" i="21"/>
  <c r="P437" i="21" s="1"/>
  <c r="N438" i="21"/>
  <c r="P438" i="21" s="1"/>
  <c r="N439" i="21"/>
  <c r="P439" i="21" s="1"/>
  <c r="N440" i="21"/>
  <c r="P440" i="21" s="1"/>
  <c r="N441" i="21"/>
  <c r="P441" i="21" s="1"/>
  <c r="N443" i="21"/>
  <c r="S443" i="21" s="1"/>
  <c r="N444" i="21"/>
  <c r="P444" i="21" s="1"/>
  <c r="N445" i="21"/>
  <c r="P445" i="21" s="1"/>
  <c r="N446" i="21"/>
  <c r="P446" i="21" s="1"/>
  <c r="N447" i="21"/>
  <c r="P447" i="21" s="1"/>
  <c r="N448" i="21"/>
  <c r="P448" i="21" s="1"/>
  <c r="N449" i="21"/>
  <c r="P449" i="21" s="1"/>
  <c r="N450" i="21"/>
  <c r="P450" i="21" s="1"/>
  <c r="N451" i="21"/>
  <c r="P451" i="21" s="1"/>
  <c r="N452" i="21"/>
  <c r="P452" i="21" s="1"/>
  <c r="N453" i="21"/>
  <c r="S453" i="21" s="1"/>
  <c r="N454" i="21"/>
  <c r="P454" i="21" s="1"/>
  <c r="N455" i="21"/>
  <c r="P455" i="21" s="1"/>
  <c r="N456" i="21"/>
  <c r="P456" i="21" s="1"/>
  <c r="N457" i="21"/>
  <c r="P457" i="21" s="1"/>
  <c r="N458" i="21"/>
  <c r="P458" i="21" s="1"/>
  <c r="N459" i="21"/>
  <c r="S459" i="21" s="1"/>
  <c r="N460" i="21"/>
  <c r="P460" i="21" s="1"/>
  <c r="N461" i="21"/>
  <c r="P461" i="21" s="1"/>
  <c r="N462" i="21"/>
  <c r="S462" i="21" s="1"/>
  <c r="N463" i="21"/>
  <c r="S463" i="21" s="1"/>
  <c r="N464" i="21"/>
  <c r="S464" i="21" s="1"/>
  <c r="N465" i="21"/>
  <c r="S465" i="21" s="1"/>
  <c r="N466" i="21"/>
  <c r="S466" i="21" s="1"/>
  <c r="N467" i="21"/>
  <c r="S467" i="21" s="1"/>
  <c r="N468" i="21"/>
  <c r="S468" i="21" s="1"/>
  <c r="N469" i="21"/>
  <c r="S469" i="21" s="1"/>
  <c r="N470" i="21"/>
  <c r="S470" i="21" s="1"/>
  <c r="N471" i="21"/>
  <c r="P471" i="21" s="1"/>
  <c r="N472" i="21"/>
  <c r="S472" i="21" s="1"/>
  <c r="N473" i="21"/>
  <c r="P473" i="21" s="1"/>
  <c r="N474" i="21"/>
  <c r="P474" i="21" s="1"/>
  <c r="N475" i="21"/>
  <c r="P475" i="21" s="1"/>
  <c r="N476" i="21"/>
  <c r="P476" i="21" s="1"/>
  <c r="N477" i="21"/>
  <c r="S477" i="21" s="1"/>
  <c r="N478" i="21"/>
  <c r="P478" i="21" s="1"/>
  <c r="N479" i="21"/>
  <c r="P479" i="21" s="1"/>
  <c r="N480" i="21"/>
  <c r="P480" i="21" s="1"/>
  <c r="N481" i="21"/>
  <c r="P481" i="21" s="1"/>
  <c r="N482" i="21"/>
  <c r="S482" i="21" s="1"/>
  <c r="N483" i="21"/>
  <c r="S483" i="21" s="1"/>
  <c r="N484" i="21"/>
  <c r="P484" i="21" s="1"/>
  <c r="N485" i="21"/>
  <c r="P485" i="21" s="1"/>
  <c r="N486" i="21"/>
  <c r="P486" i="21" s="1"/>
  <c r="N487" i="21"/>
  <c r="S487" i="21" s="1"/>
  <c r="N488" i="21"/>
  <c r="S488" i="21" s="1"/>
  <c r="N489" i="21"/>
  <c r="P489" i="21" s="1"/>
  <c r="N490" i="21"/>
  <c r="S490" i="21" s="1"/>
  <c r="N491" i="21"/>
  <c r="S491" i="21" s="1"/>
  <c r="N492" i="21"/>
  <c r="S492" i="21" s="1"/>
  <c r="N493" i="21"/>
  <c r="S493" i="21" s="1"/>
  <c r="N494" i="21"/>
  <c r="S494" i="21" s="1"/>
  <c r="N495" i="21"/>
  <c r="S495" i="21" s="1"/>
  <c r="N496" i="21"/>
  <c r="S496" i="21" s="1"/>
  <c r="N497" i="21"/>
  <c r="S497" i="21" s="1"/>
  <c r="N498" i="21"/>
  <c r="S498" i="21" s="1"/>
  <c r="N499" i="21"/>
  <c r="S499" i="21" s="1"/>
  <c r="N500" i="21"/>
  <c r="S500" i="21" s="1"/>
  <c r="N501" i="21"/>
  <c r="S501" i="21" s="1"/>
  <c r="N502" i="21"/>
  <c r="P502" i="21" s="1"/>
  <c r="N503" i="21"/>
  <c r="S503" i="21" s="1"/>
  <c r="N504" i="21"/>
  <c r="P504" i="21" s="1"/>
  <c r="N505" i="21"/>
  <c r="P505" i="21" s="1"/>
  <c r="N506" i="21"/>
  <c r="S506" i="21" s="1"/>
  <c r="N507" i="21"/>
  <c r="S507" i="21" s="1"/>
  <c r="N508" i="21"/>
  <c r="S508" i="21" s="1"/>
  <c r="N509" i="21"/>
  <c r="P509" i="21" s="1"/>
  <c r="N510" i="21"/>
  <c r="P510" i="21" s="1"/>
  <c r="N511" i="21"/>
  <c r="S511" i="21" s="1"/>
  <c r="N512" i="21"/>
  <c r="S512" i="21" s="1"/>
  <c r="N513" i="21"/>
  <c r="S513" i="21" s="1"/>
  <c r="N514" i="21"/>
  <c r="S514" i="21" s="1"/>
  <c r="N515" i="21"/>
  <c r="S515" i="21" s="1"/>
  <c r="N516" i="21"/>
  <c r="S516" i="21" s="1"/>
  <c r="N517" i="21"/>
  <c r="S517" i="21" s="1"/>
  <c r="N518" i="21"/>
  <c r="S518" i="21" s="1"/>
  <c r="N519" i="21"/>
  <c r="S519" i="21" s="1"/>
  <c r="N520" i="21"/>
  <c r="S520" i="21" s="1"/>
  <c r="N521" i="21"/>
  <c r="P521" i="21" s="1"/>
  <c r="N522" i="21"/>
  <c r="S522" i="21" s="1"/>
  <c r="N523" i="21"/>
  <c r="P523" i="21" s="1"/>
  <c r="N524" i="21"/>
  <c r="P524" i="21" s="1"/>
  <c r="N525" i="21"/>
  <c r="S525" i="21" s="1"/>
  <c r="N526" i="21"/>
  <c r="S526" i="21" s="1"/>
  <c r="N527" i="21"/>
  <c r="S527" i="21" s="1"/>
  <c r="N529" i="21"/>
  <c r="S529" i="21" s="1"/>
  <c r="N530" i="21"/>
  <c r="S530" i="21" s="1"/>
  <c r="N531" i="21"/>
  <c r="S531" i="21" s="1"/>
  <c r="N532" i="21"/>
  <c r="P532" i="21" s="1"/>
  <c r="N533" i="21"/>
  <c r="P533" i="21" s="1"/>
  <c r="N534" i="21"/>
  <c r="P534" i="21" s="1"/>
  <c r="N535" i="21"/>
  <c r="P535" i="21" s="1"/>
  <c r="N536" i="21"/>
  <c r="S536" i="21" s="1"/>
  <c r="N537" i="21"/>
  <c r="P537" i="21" s="1"/>
  <c r="N538" i="21"/>
  <c r="P538" i="21" s="1"/>
  <c r="N539" i="21"/>
  <c r="P539" i="21" s="1"/>
  <c r="N540" i="21"/>
  <c r="P540" i="21" s="1"/>
  <c r="N541" i="21"/>
  <c r="S541" i="21" s="1"/>
  <c r="N542" i="21"/>
  <c r="P542" i="21" s="1"/>
  <c r="N543" i="21"/>
  <c r="P543" i="21" s="1"/>
  <c r="N544" i="21"/>
  <c r="P544" i="21" s="1"/>
  <c r="N545" i="21"/>
  <c r="P545" i="21" s="1"/>
  <c r="N546" i="21"/>
  <c r="S546" i="21" s="1"/>
  <c r="N547" i="21"/>
  <c r="S547" i="21" s="1"/>
  <c r="N548" i="21"/>
  <c r="P548" i="21" s="1"/>
  <c r="N549" i="21"/>
  <c r="P549" i="21" s="1"/>
  <c r="N550" i="21"/>
  <c r="P550" i="21" s="1"/>
  <c r="N551" i="21"/>
  <c r="S551" i="21" s="1"/>
  <c r="N552" i="21"/>
  <c r="P552" i="21" s="1"/>
  <c r="N553" i="21"/>
  <c r="P553" i="21" s="1"/>
  <c r="N554" i="21"/>
  <c r="P554" i="21" s="1"/>
  <c r="N555" i="21"/>
  <c r="P555" i="21" s="1"/>
  <c r="N556" i="21"/>
  <c r="S556" i="21" s="1"/>
  <c r="N557" i="21"/>
  <c r="P557" i="21" s="1"/>
  <c r="N558" i="21"/>
  <c r="P558" i="21" s="1"/>
  <c r="N559" i="21"/>
  <c r="S559" i="21" s="1"/>
  <c r="N560" i="21"/>
  <c r="S560" i="21" s="1"/>
  <c r="N561" i="21"/>
  <c r="P561" i="21" s="1"/>
  <c r="N562" i="21"/>
  <c r="S562" i="21" s="1"/>
  <c r="N563" i="21"/>
  <c r="S563" i="21" s="1"/>
  <c r="N564" i="21"/>
  <c r="S564" i="21" s="1"/>
  <c r="N565" i="21"/>
  <c r="S565" i="21" s="1"/>
  <c r="N566" i="21"/>
  <c r="S566" i="21" s="1"/>
  <c r="N567" i="21"/>
  <c r="S567" i="21" s="1"/>
  <c r="N568" i="21"/>
  <c r="S568" i="21" s="1"/>
  <c r="N569" i="21"/>
  <c r="S569" i="21" s="1"/>
  <c r="N570" i="21"/>
  <c r="S570" i="21" s="1"/>
  <c r="N571" i="21"/>
  <c r="S571" i="21" s="1"/>
  <c r="N572" i="21"/>
  <c r="S572" i="21" s="1"/>
  <c r="N573" i="21"/>
  <c r="P573" i="21" s="1"/>
  <c r="N574" i="21"/>
  <c r="P574" i="21" s="1"/>
  <c r="N575" i="21"/>
  <c r="S575" i="21" s="1"/>
  <c r="N576" i="21"/>
  <c r="S576" i="21" s="1"/>
  <c r="N577" i="21"/>
  <c r="P577" i="21" s="1"/>
  <c r="N578" i="21"/>
  <c r="S578" i="21" s="1"/>
  <c r="N579" i="21"/>
  <c r="S579" i="21" s="1"/>
  <c r="N580" i="21"/>
  <c r="P580" i="21" s="1"/>
  <c r="N581" i="21"/>
  <c r="S581" i="21" s="1"/>
  <c r="N582" i="21"/>
  <c r="S582" i="21" s="1"/>
  <c r="N584" i="21"/>
  <c r="S584" i="21" s="1"/>
  <c r="N585" i="21"/>
  <c r="S585" i="21" s="1"/>
  <c r="N586" i="21"/>
  <c r="S586" i="21" s="1"/>
  <c r="N587" i="21"/>
  <c r="P587" i="21" s="1"/>
  <c r="N588" i="21"/>
  <c r="S588" i="21" s="1"/>
  <c r="N589" i="21"/>
  <c r="P589" i="21" s="1"/>
  <c r="N591" i="21"/>
  <c r="S591" i="21" s="1"/>
  <c r="N593" i="21"/>
  <c r="S593" i="21" s="1"/>
  <c r="N594" i="21"/>
  <c r="P594" i="21" s="1"/>
  <c r="N595" i="21"/>
  <c r="P595" i="21" s="1"/>
  <c r="N596" i="21"/>
  <c r="P596" i="21" s="1"/>
  <c r="N597" i="21"/>
  <c r="S597" i="21" s="1"/>
  <c r="N598" i="21"/>
  <c r="S598" i="21" s="1"/>
  <c r="N599" i="21"/>
  <c r="S599" i="21" s="1"/>
  <c r="N600" i="21"/>
  <c r="S600" i="21" s="1"/>
  <c r="N601" i="21"/>
  <c r="S601" i="21" s="1"/>
  <c r="N602" i="21"/>
  <c r="S602" i="21" s="1"/>
  <c r="N603" i="21"/>
  <c r="S603" i="21" s="1"/>
  <c r="N604" i="21"/>
  <c r="P604" i="21" s="1"/>
  <c r="N606" i="21"/>
  <c r="P606" i="21" s="1"/>
  <c r="N607" i="21"/>
  <c r="P607" i="21" s="1"/>
  <c r="N608" i="21"/>
  <c r="P608" i="21" s="1"/>
  <c r="N609" i="21"/>
  <c r="P609" i="21" s="1"/>
  <c r="N610" i="21"/>
  <c r="P610" i="21" s="1"/>
  <c r="N611" i="21"/>
  <c r="P611" i="21" s="1"/>
  <c r="N612" i="21"/>
  <c r="P612" i="21" s="1"/>
  <c r="N613" i="21"/>
  <c r="S613" i="21" s="1"/>
  <c r="N614" i="21"/>
  <c r="P614" i="21" s="1"/>
  <c r="N615" i="21"/>
  <c r="N616" i="21"/>
  <c r="P616" i="21" s="1"/>
  <c r="N617" i="21"/>
  <c r="S617" i="21" s="1"/>
  <c r="N618" i="21"/>
  <c r="P618" i="21" s="1"/>
  <c r="N619" i="21"/>
  <c r="P619" i="21" s="1"/>
  <c r="N620" i="21"/>
  <c r="P620" i="21" s="1"/>
  <c r="N621" i="21"/>
  <c r="P621" i="21" s="1"/>
  <c r="N622" i="21"/>
  <c r="P622" i="21" s="1"/>
  <c r="N623" i="21"/>
  <c r="N624" i="21"/>
  <c r="S624" i="21" s="1"/>
  <c r="N625" i="21"/>
  <c r="S625" i="21" s="1"/>
  <c r="N626" i="21"/>
  <c r="S626" i="21" s="1"/>
  <c r="N627" i="21"/>
  <c r="S627" i="21" s="1"/>
  <c r="N628" i="21"/>
  <c r="S628" i="21" s="1"/>
  <c r="N629" i="21"/>
  <c r="S629" i="21" s="1"/>
  <c r="N630" i="21"/>
  <c r="S630" i="21" s="1"/>
  <c r="N631" i="21"/>
  <c r="N632" i="21"/>
  <c r="S632" i="21" s="1"/>
  <c r="N633" i="21"/>
  <c r="P633" i="21" s="1"/>
  <c r="N635" i="21"/>
  <c r="S635" i="21" s="1"/>
  <c r="N637" i="21"/>
  <c r="P637" i="21" s="1"/>
  <c r="N639" i="21"/>
  <c r="S639" i="21" s="1"/>
  <c r="N641" i="21"/>
  <c r="S641" i="21" s="1"/>
  <c r="N642" i="21"/>
  <c r="P642" i="21" s="1"/>
  <c r="N644" i="21"/>
  <c r="S644" i="21" s="1"/>
  <c r="N645" i="21"/>
  <c r="P645" i="21" s="1"/>
  <c r="N646" i="21"/>
  <c r="P646" i="21" s="1"/>
  <c r="N647" i="21"/>
  <c r="P647" i="21" s="1"/>
  <c r="N648" i="21"/>
  <c r="P648" i="21" s="1"/>
  <c r="N650" i="21"/>
  <c r="S650" i="21" s="1"/>
  <c r="N651" i="21"/>
  <c r="P651" i="21" s="1"/>
  <c r="N652" i="21"/>
  <c r="P652" i="21" s="1"/>
  <c r="N653" i="21"/>
  <c r="N654" i="21"/>
  <c r="P654" i="21" s="1"/>
  <c r="N656" i="21"/>
  <c r="S656" i="21" s="1"/>
  <c r="N657" i="21"/>
  <c r="P657" i="21" s="1"/>
  <c r="N658" i="21"/>
  <c r="P658" i="21" s="1"/>
  <c r="N659" i="21"/>
  <c r="P659" i="21" s="1"/>
  <c r="N660" i="21"/>
  <c r="P660" i="21" s="1"/>
  <c r="N662" i="21"/>
  <c r="P662" i="21" s="1"/>
  <c r="N663" i="21"/>
  <c r="P663" i="21" s="1"/>
  <c r="N664" i="21"/>
  <c r="P664" i="21" s="1"/>
  <c r="N665" i="21"/>
  <c r="P665" i="21" s="1"/>
  <c r="N666" i="21"/>
  <c r="P666" i="21" s="1"/>
  <c r="N668" i="21"/>
  <c r="P668" i="21" s="1"/>
  <c r="N669" i="21"/>
  <c r="P669" i="21" s="1"/>
  <c r="N670" i="21"/>
  <c r="P670" i="21" s="1"/>
  <c r="N671" i="21"/>
  <c r="P671" i="21" s="1"/>
  <c r="N672" i="21"/>
  <c r="N674" i="21"/>
  <c r="S674" i="21" s="1"/>
  <c r="N675" i="21"/>
  <c r="P675" i="21" s="1"/>
  <c r="N676" i="21"/>
  <c r="P676" i="21" s="1"/>
  <c r="N677" i="21"/>
  <c r="P677" i="21" s="1"/>
  <c r="N678" i="21"/>
  <c r="P678" i="21" s="1"/>
  <c r="N680" i="21"/>
  <c r="S680" i="21" s="1"/>
  <c r="N681" i="21"/>
  <c r="P681" i="21" s="1"/>
  <c r="N682" i="21"/>
  <c r="N683" i="21"/>
  <c r="P683" i="21" s="1"/>
  <c r="N684" i="21"/>
  <c r="P684" i="21" s="1"/>
  <c r="N686" i="21"/>
  <c r="S686" i="21" s="1"/>
  <c r="N687" i="21"/>
  <c r="P687" i="21" s="1"/>
  <c r="N688" i="21"/>
  <c r="P688" i="21" s="1"/>
  <c r="N689" i="21"/>
  <c r="P689" i="21" s="1"/>
  <c r="N690" i="21"/>
  <c r="P690" i="21" s="1"/>
  <c r="N692" i="21"/>
  <c r="P692" i="21" s="1"/>
  <c r="N693" i="21"/>
  <c r="P693" i="21" s="1"/>
  <c r="N694" i="21"/>
  <c r="P694" i="21" s="1"/>
  <c r="N695" i="21"/>
  <c r="P695" i="21" s="1"/>
  <c r="N696" i="21"/>
  <c r="P696" i="21" s="1"/>
  <c r="N698" i="21"/>
  <c r="P698" i="21" s="1"/>
  <c r="N699" i="21"/>
  <c r="P699" i="21" s="1"/>
  <c r="N700" i="21"/>
  <c r="P700" i="21" s="1"/>
  <c r="N701" i="21"/>
  <c r="N702" i="21"/>
  <c r="P702" i="21" s="1"/>
  <c r="N704" i="21"/>
  <c r="S704" i="21" s="1"/>
  <c r="N705" i="21"/>
  <c r="P705" i="21" s="1"/>
  <c r="N706" i="21"/>
  <c r="P706" i="21" s="1"/>
  <c r="N707" i="21"/>
  <c r="P707" i="21" s="1"/>
  <c r="N708" i="21"/>
  <c r="P708" i="21" s="1"/>
  <c r="N710" i="21"/>
  <c r="S710" i="21" s="1"/>
  <c r="N711" i="21"/>
  <c r="N712" i="21"/>
  <c r="P712" i="21" s="1"/>
  <c r="N713" i="21"/>
  <c r="P713" i="21" s="1"/>
  <c r="N714" i="21"/>
  <c r="P714" i="21" s="1"/>
  <c r="N716" i="21"/>
  <c r="S716" i="21" s="1"/>
  <c r="N717" i="21"/>
  <c r="S717" i="21" s="1"/>
  <c r="N718" i="21"/>
  <c r="P718" i="21" s="1"/>
  <c r="N719" i="21"/>
  <c r="S719" i="21" s="1"/>
  <c r="N720" i="21"/>
  <c r="N721" i="21"/>
  <c r="S721" i="21" s="1"/>
  <c r="N722" i="21"/>
  <c r="P722" i="21" s="1"/>
  <c r="N723" i="21"/>
  <c r="S723" i="21" s="1"/>
  <c r="N724" i="21"/>
  <c r="P724" i="21" s="1"/>
  <c r="N725" i="21"/>
  <c r="P725" i="21" s="1"/>
  <c r="N726" i="21"/>
  <c r="S726" i="21" s="1"/>
  <c r="N727" i="21"/>
  <c r="S727" i="21" s="1"/>
  <c r="N728" i="21"/>
  <c r="P728" i="21" s="1"/>
  <c r="N729" i="21"/>
  <c r="P729" i="21" s="1"/>
  <c r="N730" i="21"/>
  <c r="S730" i="21" s="1"/>
  <c r="N731" i="21"/>
  <c r="S731" i="21" s="1"/>
  <c r="N732" i="21"/>
  <c r="S732" i="21" s="1"/>
  <c r="N733" i="21"/>
  <c r="S733" i="21" s="1"/>
  <c r="N734" i="21"/>
  <c r="S734" i="21" s="1"/>
  <c r="N735" i="21"/>
  <c r="S735" i="21" s="1"/>
  <c r="N736" i="21"/>
  <c r="S736" i="21" s="1"/>
  <c r="N737" i="21"/>
  <c r="S737" i="21" s="1"/>
  <c r="N738" i="21"/>
  <c r="P738" i="21" s="1"/>
  <c r="N739" i="21"/>
  <c r="S739" i="21" s="1"/>
  <c r="N740" i="21"/>
  <c r="S740" i="21" s="1"/>
  <c r="N741" i="21"/>
  <c r="P741" i="21" s="1"/>
  <c r="N743" i="21"/>
  <c r="S743" i="21" s="1"/>
  <c r="N744" i="21"/>
  <c r="S744" i="21" s="1"/>
  <c r="N745" i="21"/>
  <c r="S745" i="21" s="1"/>
  <c r="N746" i="21"/>
  <c r="S746" i="21" s="1"/>
  <c r="N747" i="21"/>
  <c r="P747" i="21" s="1"/>
  <c r="N749" i="21"/>
  <c r="P749" i="21" s="1"/>
  <c r="N750" i="21"/>
  <c r="P750" i="21" s="1"/>
  <c r="N751" i="21"/>
  <c r="S751" i="21" s="1"/>
  <c r="N752" i="21"/>
  <c r="S752" i="21" s="1"/>
  <c r="N753" i="21"/>
  <c r="S753" i="21" s="1"/>
  <c r="N754" i="21"/>
  <c r="P754" i="21" s="1"/>
  <c r="N755" i="21"/>
  <c r="P755" i="21" s="1"/>
  <c r="N756" i="21"/>
  <c r="S756" i="21" s="1"/>
  <c r="N757" i="21"/>
  <c r="S757" i="21" s="1"/>
  <c r="N758" i="21"/>
  <c r="S758" i="21" s="1"/>
  <c r="N759" i="21"/>
  <c r="S759" i="21" s="1"/>
  <c r="N760" i="21"/>
  <c r="S760" i="21" s="1"/>
  <c r="N761" i="21"/>
  <c r="S761" i="21" s="1"/>
  <c r="N762" i="21"/>
  <c r="S762" i="21" s="1"/>
  <c r="N763" i="21"/>
  <c r="S763" i="21" s="1"/>
  <c r="N764" i="21"/>
  <c r="S764" i="21" s="1"/>
  <c r="N765" i="21"/>
  <c r="P765" i="21" s="1"/>
  <c r="N766" i="21"/>
  <c r="S766" i="21" s="1"/>
  <c r="N767" i="21"/>
  <c r="S767" i="21" s="1"/>
  <c r="N768" i="21"/>
  <c r="S768" i="21" s="1"/>
  <c r="N769" i="21"/>
  <c r="S769" i="21" s="1"/>
  <c r="N770" i="21"/>
  <c r="P770" i="21" s="1"/>
  <c r="N771" i="21"/>
  <c r="S771" i="21" s="1"/>
  <c r="N772" i="21"/>
  <c r="S772" i="21" s="1"/>
  <c r="N773" i="21"/>
  <c r="P773" i="21" s="1"/>
  <c r="N774" i="21"/>
  <c r="S774" i="21" s="1"/>
  <c r="N775" i="21"/>
  <c r="S775" i="21" s="1"/>
  <c r="N776" i="21"/>
  <c r="P776" i="21" s="1"/>
  <c r="N777" i="21"/>
  <c r="S777" i="21" s="1"/>
  <c r="N778" i="21"/>
  <c r="P778" i="21" s="1"/>
  <c r="N779" i="21"/>
  <c r="S779" i="21" s="1"/>
  <c r="N781" i="21"/>
  <c r="P781" i="21" s="1"/>
  <c r="N782" i="21"/>
  <c r="P782" i="21" s="1"/>
  <c r="N783" i="21"/>
  <c r="P783" i="21" s="1"/>
  <c r="N784" i="21"/>
  <c r="P784" i="21" s="1"/>
  <c r="N785" i="21"/>
  <c r="S785" i="21" s="1"/>
  <c r="N786" i="21"/>
  <c r="P786" i="21" s="1"/>
  <c r="N787" i="21"/>
  <c r="P787" i="21" s="1"/>
  <c r="N788" i="21"/>
  <c r="P788" i="21" s="1"/>
  <c r="N789" i="21"/>
  <c r="S789" i="21" s="1"/>
  <c r="N790" i="21"/>
  <c r="S790" i="21" s="1"/>
  <c r="N791" i="21"/>
  <c r="S791" i="21" s="1"/>
  <c r="N792" i="21"/>
  <c r="S792" i="21" s="1"/>
  <c r="N793" i="21"/>
  <c r="S793" i="21" s="1"/>
  <c r="N795" i="21"/>
  <c r="P795" i="21" s="1"/>
  <c r="N796" i="21"/>
  <c r="S796" i="21" s="1"/>
  <c r="N797" i="21"/>
  <c r="P797" i="21" s="1"/>
  <c r="N798" i="21"/>
  <c r="S798" i="21" s="1"/>
  <c r="N799" i="21"/>
  <c r="P799" i="21" s="1"/>
  <c r="N800" i="21"/>
  <c r="S800" i="21" s="1"/>
  <c r="N801" i="21"/>
  <c r="S801" i="21" s="1"/>
  <c r="N802" i="21"/>
  <c r="S802" i="21" s="1"/>
  <c r="N803" i="21"/>
  <c r="S803" i="21" s="1"/>
  <c r="N804" i="21"/>
  <c r="P804" i="21" s="1"/>
  <c r="N805" i="21"/>
  <c r="P805" i="21" s="1"/>
  <c r="N806" i="21"/>
  <c r="S806" i="21" s="1"/>
  <c r="N807" i="21"/>
  <c r="P807" i="21" s="1"/>
  <c r="N808" i="21"/>
  <c r="S808" i="21" s="1"/>
  <c r="N809" i="21"/>
  <c r="S809" i="21" s="1"/>
  <c r="N810" i="21"/>
  <c r="P810" i="21" s="1"/>
  <c r="N811" i="21"/>
  <c r="S811" i="21" s="1"/>
  <c r="N812" i="21"/>
  <c r="S812" i="21" s="1"/>
  <c r="N813" i="21"/>
  <c r="S813" i="21" s="1"/>
  <c r="N814" i="21"/>
  <c r="S814" i="21" s="1"/>
  <c r="N815" i="21"/>
  <c r="S815" i="21" s="1"/>
  <c r="N816" i="21"/>
  <c r="P816" i="21" s="1"/>
  <c r="N817" i="21"/>
  <c r="S817" i="21" s="1"/>
  <c r="N818" i="21"/>
  <c r="S818" i="21" s="1"/>
  <c r="N819" i="21"/>
  <c r="S819" i="21" s="1"/>
  <c r="N820" i="21"/>
  <c r="P820" i="21" s="1"/>
  <c r="N821" i="21"/>
  <c r="S821" i="21" s="1"/>
  <c r="N822" i="21"/>
  <c r="S822" i="21" s="1"/>
  <c r="N823" i="21"/>
  <c r="S823" i="21" s="1"/>
  <c r="N824" i="21"/>
  <c r="S824" i="21" s="1"/>
  <c r="N825" i="21"/>
  <c r="S825" i="21" s="1"/>
  <c r="N826" i="21"/>
  <c r="P826" i="21" s="1"/>
  <c r="N827" i="21"/>
  <c r="P827" i="21" s="1"/>
  <c r="N828" i="21"/>
  <c r="S828" i="21" s="1"/>
  <c r="N829" i="21"/>
  <c r="P829" i="21" s="1"/>
  <c r="N830" i="21"/>
  <c r="S830" i="21" s="1"/>
  <c r="N831" i="21"/>
  <c r="S831" i="21" s="1"/>
  <c r="N832" i="21"/>
  <c r="S832" i="21" s="1"/>
  <c r="N833" i="21"/>
  <c r="P833" i="21" s="1"/>
  <c r="N834" i="21"/>
  <c r="S834" i="21" s="1"/>
  <c r="N835" i="21"/>
  <c r="S835" i="21" s="1"/>
  <c r="N836" i="21"/>
  <c r="S836" i="21" s="1"/>
  <c r="N837" i="21"/>
  <c r="S837" i="21" s="1"/>
  <c r="N838" i="21"/>
  <c r="S838" i="21" s="1"/>
  <c r="N839" i="21"/>
  <c r="P839" i="21" s="1"/>
  <c r="N841" i="21"/>
  <c r="S841" i="21" s="1"/>
  <c r="N842" i="21"/>
  <c r="S842" i="21" s="1"/>
  <c r="N843" i="21"/>
  <c r="S843" i="21" s="1"/>
  <c r="N844" i="21"/>
  <c r="S844" i="21" s="1"/>
  <c r="N845" i="21"/>
  <c r="S845" i="21" s="1"/>
  <c r="N846" i="21"/>
  <c r="S846" i="21" s="1"/>
  <c r="N847" i="21"/>
  <c r="S847" i="21" s="1"/>
  <c r="N848" i="21"/>
  <c r="S848" i="21" s="1"/>
  <c r="N849" i="21"/>
  <c r="S849" i="21" s="1"/>
  <c r="N850" i="21"/>
  <c r="S850" i="21" s="1"/>
  <c r="N851" i="21"/>
  <c r="S851" i="21" s="1"/>
  <c r="N852" i="21"/>
  <c r="S852" i="21" s="1"/>
  <c r="N853" i="21"/>
  <c r="P853" i="21" s="1"/>
  <c r="N854" i="21"/>
  <c r="S854" i="21" s="1"/>
  <c r="N855" i="21"/>
  <c r="S855" i="21" s="1"/>
  <c r="N856" i="21"/>
  <c r="S856" i="21" s="1"/>
  <c r="N857" i="21"/>
  <c r="S857" i="21" s="1"/>
  <c r="N858" i="21"/>
  <c r="S858" i="21" s="1"/>
  <c r="N859" i="21"/>
  <c r="P859" i="21" s="1"/>
  <c r="N860" i="21"/>
  <c r="S860" i="21" s="1"/>
  <c r="N861" i="21"/>
  <c r="S861" i="21" s="1"/>
  <c r="N862" i="21"/>
  <c r="P862" i="21" s="1"/>
  <c r="N863" i="21"/>
  <c r="S863" i="21" s="1"/>
  <c r="N864" i="21"/>
  <c r="S864" i="21" s="1"/>
  <c r="N865" i="21"/>
  <c r="S865" i="21" s="1"/>
  <c r="N866" i="21"/>
  <c r="S866" i="21" s="1"/>
  <c r="N867" i="21"/>
  <c r="S867" i="21" s="1"/>
  <c r="N868" i="21"/>
  <c r="S868" i="21" s="1"/>
  <c r="N869" i="21"/>
  <c r="S869" i="21" s="1"/>
  <c r="N870" i="21"/>
  <c r="P870" i="21" s="1"/>
  <c r="N871" i="21"/>
  <c r="S871" i="21" s="1"/>
  <c r="N872" i="21"/>
  <c r="S872" i="21" s="1"/>
  <c r="N873" i="21"/>
  <c r="S873" i="21" s="1"/>
  <c r="N874" i="21"/>
  <c r="S874" i="21" s="1"/>
  <c r="N875" i="21"/>
  <c r="S875" i="21" s="1"/>
  <c r="N876" i="21"/>
  <c r="S876" i="21" s="1"/>
  <c r="N877" i="21"/>
  <c r="P877" i="21" s="1"/>
  <c r="N878" i="21"/>
  <c r="S878" i="21" s="1"/>
  <c r="N879" i="21"/>
  <c r="S879" i="21" s="1"/>
  <c r="N880" i="21"/>
  <c r="P880" i="21" s="1"/>
  <c r="N881" i="21"/>
  <c r="S881" i="21" s="1"/>
  <c r="N882" i="21"/>
  <c r="S882" i="21" s="1"/>
  <c r="N883" i="21"/>
  <c r="S883" i="21" s="1"/>
  <c r="N884" i="21"/>
  <c r="S884" i="21" s="1"/>
  <c r="N885" i="21"/>
  <c r="S885" i="21" s="1"/>
  <c r="N886" i="21"/>
  <c r="S886" i="21" s="1"/>
  <c r="N887" i="21"/>
  <c r="S887" i="21" s="1"/>
  <c r="N888" i="21"/>
  <c r="P888" i="21" s="1"/>
  <c r="N889" i="21"/>
  <c r="S889" i="21" s="1"/>
  <c r="N890" i="21"/>
  <c r="S890" i="21" s="1"/>
  <c r="N891" i="21"/>
  <c r="P891" i="21" s="1"/>
  <c r="N892" i="21"/>
  <c r="S892" i="21" s="1"/>
  <c r="N893" i="21"/>
  <c r="S893" i="21" s="1"/>
  <c r="N894" i="21"/>
  <c r="S894" i="21" s="1"/>
  <c r="N895" i="21"/>
  <c r="P895" i="21" s="1"/>
  <c r="N896" i="21"/>
  <c r="S896" i="21" s="1"/>
  <c r="N897" i="21"/>
  <c r="S897" i="21" s="1"/>
  <c r="N898" i="21"/>
  <c r="S898" i="21" s="1"/>
  <c r="N899" i="21"/>
  <c r="S899" i="21" s="1"/>
  <c r="N900" i="21"/>
  <c r="S900" i="21" s="1"/>
  <c r="N901" i="21"/>
  <c r="S901" i="21" s="1"/>
  <c r="N902" i="21"/>
  <c r="S902" i="21" s="1"/>
  <c r="N903" i="21"/>
  <c r="S903" i="21" s="1"/>
  <c r="N904" i="21"/>
  <c r="S904" i="21" s="1"/>
  <c r="N905" i="21"/>
  <c r="S905" i="21" s="1"/>
  <c r="N906" i="21"/>
  <c r="S906" i="21" s="1"/>
  <c r="N907" i="21"/>
  <c r="S907" i="21" s="1"/>
  <c r="N908" i="21"/>
  <c r="P908" i="21" s="1"/>
  <c r="N909" i="21"/>
  <c r="S909" i="21" s="1"/>
  <c r="N910" i="21"/>
  <c r="S910" i="21" s="1"/>
  <c r="N911" i="21"/>
  <c r="S911" i="21" s="1"/>
  <c r="N912" i="21"/>
  <c r="S912" i="21" s="1"/>
  <c r="N913" i="21"/>
  <c r="S913" i="21" s="1"/>
  <c r="N914" i="21"/>
  <c r="S914" i="21" s="1"/>
  <c r="N915" i="21"/>
  <c r="S915" i="21" s="1"/>
  <c r="N916" i="21"/>
  <c r="P916" i="21" s="1"/>
  <c r="N917" i="21"/>
  <c r="S917" i="21" s="1"/>
  <c r="N918" i="21"/>
  <c r="S918" i="21" s="1"/>
  <c r="N919" i="21"/>
  <c r="S919" i="21" s="1"/>
  <c r="N920" i="21"/>
  <c r="S920" i="21" s="1"/>
  <c r="N921" i="21"/>
  <c r="S921" i="21" s="1"/>
  <c r="N922" i="21"/>
  <c r="S922" i="21" s="1"/>
  <c r="N923" i="21"/>
  <c r="P923" i="21" s="1"/>
  <c r="N924" i="21"/>
  <c r="S924" i="21" s="1"/>
  <c r="N925" i="21"/>
  <c r="S925" i="21" s="1"/>
  <c r="N926" i="21"/>
  <c r="S926" i="21" s="1"/>
  <c r="N927" i="21"/>
  <c r="S927" i="21" s="1"/>
  <c r="N928" i="21"/>
  <c r="P928" i="21" s="1"/>
  <c r="N929" i="21"/>
  <c r="S929" i="21" s="1"/>
  <c r="N930" i="21"/>
  <c r="S930" i="21" s="1"/>
  <c r="N931" i="21"/>
  <c r="S931" i="21" s="1"/>
  <c r="N932" i="21"/>
  <c r="S932" i="21" s="1"/>
  <c r="N933" i="21"/>
  <c r="P933" i="21" s="1"/>
  <c r="N934" i="21"/>
  <c r="S934" i="21" s="1"/>
  <c r="N935" i="21"/>
  <c r="S935" i="21" s="1"/>
  <c r="N936" i="21"/>
  <c r="S936" i="21" s="1"/>
  <c r="N937" i="21"/>
  <c r="S937" i="21" s="1"/>
  <c r="N938" i="21"/>
  <c r="S938" i="21" s="1"/>
  <c r="N939" i="21"/>
  <c r="S939" i="21" s="1"/>
  <c r="N940" i="21"/>
  <c r="S940" i="21" s="1"/>
  <c r="N941" i="21"/>
  <c r="S941" i="21" s="1"/>
  <c r="N942" i="21"/>
  <c r="P942" i="21" s="1"/>
  <c r="N943" i="21"/>
  <c r="S943" i="21" s="1"/>
  <c r="N944" i="21"/>
  <c r="S944" i="21" s="1"/>
  <c r="N945" i="21"/>
  <c r="S945" i="21" s="1"/>
  <c r="N946" i="21"/>
  <c r="S946" i="21" s="1"/>
  <c r="N947" i="21"/>
  <c r="S947" i="21" s="1"/>
  <c r="N948" i="21"/>
  <c r="S948" i="21" s="1"/>
  <c r="N949" i="21"/>
  <c r="S949" i="21" s="1"/>
  <c r="N950" i="21"/>
  <c r="P950" i="21" s="1"/>
  <c r="N951" i="21"/>
  <c r="S951" i="21" s="1"/>
  <c r="N952" i="21"/>
  <c r="P952" i="21" s="1"/>
  <c r="N953" i="21"/>
  <c r="S953" i="21" s="1"/>
  <c r="N954" i="21"/>
  <c r="S954" i="21" s="1"/>
  <c r="N955" i="21"/>
  <c r="P955" i="21" s="1"/>
  <c r="N956" i="21"/>
  <c r="S956" i="21" s="1"/>
  <c r="N957" i="21"/>
  <c r="P957" i="21" s="1"/>
  <c r="N958" i="21"/>
  <c r="P958" i="21" s="1"/>
  <c r="N959" i="21"/>
  <c r="S959" i="21" s="1"/>
  <c r="N960" i="21"/>
  <c r="S960" i="21" s="1"/>
  <c r="N961" i="21"/>
  <c r="S961" i="21" s="1"/>
  <c r="N962" i="21"/>
  <c r="P962" i="21" s="1"/>
  <c r="N963" i="21"/>
  <c r="S963" i="21" s="1"/>
  <c r="N964" i="21"/>
  <c r="S964" i="21" s="1"/>
  <c r="N965" i="21"/>
  <c r="S965" i="21" s="1"/>
  <c r="N966" i="21"/>
  <c r="S966" i="21" s="1"/>
  <c r="N967" i="21"/>
  <c r="S967" i="21" s="1"/>
  <c r="N968" i="21"/>
  <c r="S968" i="21" s="1"/>
  <c r="N969" i="21"/>
  <c r="S969" i="21" s="1"/>
  <c r="N970" i="21"/>
  <c r="P970" i="21" s="1"/>
  <c r="N971" i="21"/>
  <c r="S971" i="21" s="1"/>
  <c r="N972" i="21"/>
  <c r="P972" i="21" s="1"/>
  <c r="N973" i="21"/>
  <c r="S973" i="21" s="1"/>
  <c r="N974" i="21"/>
  <c r="S974" i="21" s="1"/>
  <c r="N975" i="21"/>
  <c r="P975" i="21" s="1"/>
  <c r="N976" i="21"/>
  <c r="S976" i="21" s="1"/>
  <c r="N977" i="21"/>
  <c r="S977" i="21" s="1"/>
  <c r="N978" i="21"/>
  <c r="P978" i="21" s="1"/>
  <c r="N979" i="21"/>
  <c r="S979" i="21" s="1"/>
  <c r="N980" i="21"/>
  <c r="P980" i="21" s="1"/>
  <c r="N981" i="21"/>
  <c r="P981" i="21" s="1"/>
  <c r="N982" i="21"/>
  <c r="S982" i="21" s="1"/>
  <c r="N983" i="21"/>
  <c r="P983" i="21" s="1"/>
  <c r="N984" i="21"/>
  <c r="P984" i="21" s="1"/>
  <c r="N985" i="21"/>
  <c r="S985" i="21" s="1"/>
  <c r="N986" i="21"/>
  <c r="P986" i="21" s="1"/>
  <c r="N987" i="21"/>
  <c r="P987" i="21" s="1"/>
  <c r="N988" i="21"/>
  <c r="S988" i="21" s="1"/>
  <c r="N989" i="21"/>
  <c r="P989" i="21" s="1"/>
  <c r="N990" i="21"/>
  <c r="S990" i="21" s="1"/>
  <c r="N991" i="21"/>
  <c r="S991" i="21" s="1"/>
  <c r="N992" i="21"/>
  <c r="S992" i="21" s="1"/>
  <c r="N993" i="21"/>
  <c r="P993" i="21" s="1"/>
  <c r="N994" i="21"/>
  <c r="P994" i="21" s="1"/>
  <c r="N995" i="21"/>
  <c r="S995" i="21" s="1"/>
  <c r="N996" i="21"/>
  <c r="S996" i="21" s="1"/>
  <c r="N997" i="21"/>
  <c r="S997" i="21" s="1"/>
  <c r="N998" i="21"/>
  <c r="S998" i="21" s="1"/>
  <c r="N999" i="21"/>
  <c r="P999" i="21" s="1"/>
  <c r="N1000" i="21"/>
  <c r="P1000" i="21" s="1"/>
  <c r="N1001" i="21"/>
  <c r="P1001" i="21" s="1"/>
  <c r="N1002" i="21"/>
  <c r="S1002" i="21" s="1"/>
  <c r="N1003" i="21"/>
  <c r="S1003" i="21" s="1"/>
  <c r="N1004" i="21"/>
  <c r="S1004" i="21" s="1"/>
  <c r="N1005" i="21"/>
  <c r="S1005" i="21" s="1"/>
  <c r="N1006" i="21"/>
  <c r="S1006" i="21" s="1"/>
  <c r="N1007" i="21"/>
  <c r="S1007" i="21" s="1"/>
  <c r="N1008" i="21"/>
  <c r="P1008" i="21" s="1"/>
  <c r="N1009" i="21"/>
  <c r="P1009" i="21" s="1"/>
  <c r="N1010" i="21"/>
  <c r="S1010" i="21" s="1"/>
  <c r="N1011" i="21"/>
  <c r="S1011" i="21" s="1"/>
  <c r="N1012" i="21"/>
  <c r="S1012" i="21" s="1"/>
  <c r="N1013" i="21"/>
  <c r="S1013" i="21" s="1"/>
  <c r="N1014" i="21"/>
  <c r="P1014" i="21" s="1"/>
  <c r="N1015" i="21"/>
  <c r="S1015" i="21" s="1"/>
  <c r="N1016" i="21"/>
  <c r="S1016" i="21" s="1"/>
  <c r="N1017" i="21"/>
  <c r="P1017" i="21" s="1"/>
  <c r="N1018" i="21"/>
  <c r="P1018" i="21" s="1"/>
  <c r="N1019" i="21"/>
  <c r="S1019" i="21" s="1"/>
  <c r="N1020" i="21"/>
  <c r="S1020" i="21" s="1"/>
  <c r="N1021" i="21"/>
  <c r="S1021" i="21" s="1"/>
  <c r="N1022" i="21"/>
  <c r="S1022" i="21" s="1"/>
  <c r="N1023" i="21"/>
  <c r="S1023" i="21" s="1"/>
  <c r="N1024" i="21"/>
  <c r="S1024" i="21" s="1"/>
  <c r="N1025" i="21"/>
  <c r="P1025" i="21" s="1"/>
  <c r="N1026" i="21"/>
  <c r="S1026" i="21" s="1"/>
  <c r="N1027" i="21"/>
  <c r="S1027" i="21" s="1"/>
  <c r="N1028" i="21"/>
  <c r="S1028" i="21" s="1"/>
  <c r="N1029" i="21"/>
  <c r="S1029" i="21" s="1"/>
  <c r="N1030" i="21"/>
  <c r="S1030" i="21" s="1"/>
  <c r="N1031" i="21"/>
  <c r="S1031" i="21" s="1"/>
  <c r="N1032" i="21"/>
  <c r="S1032" i="21" s="1"/>
  <c r="N1033" i="21"/>
  <c r="P1033" i="21" s="1"/>
  <c r="N1034" i="21"/>
  <c r="S1034" i="21" s="1"/>
  <c r="N1035" i="21"/>
  <c r="S1035" i="21" s="1"/>
  <c r="N1036" i="21"/>
  <c r="S1036" i="21" s="1"/>
  <c r="N1037" i="21"/>
  <c r="P1037" i="21" s="1"/>
  <c r="N1038" i="21"/>
  <c r="S1038" i="21" s="1"/>
  <c r="N1039" i="21"/>
  <c r="S1039" i="21" s="1"/>
  <c r="N1040" i="21"/>
  <c r="P1040" i="21" s="1"/>
  <c r="N1041" i="21"/>
  <c r="P1041" i="21" s="1"/>
  <c r="N1042" i="21"/>
  <c r="S1042" i="21" s="1"/>
  <c r="N1043" i="21"/>
  <c r="P1043" i="21" s="1"/>
  <c r="N1044" i="21"/>
  <c r="P1044" i="21" s="1"/>
  <c r="N1045" i="21"/>
  <c r="P1045" i="21" s="1"/>
  <c r="N1046" i="21"/>
  <c r="S1046" i="21" s="1"/>
  <c r="N1047" i="21"/>
  <c r="S1047" i="21" s="1"/>
  <c r="N1048" i="21"/>
  <c r="S1048" i="21" s="1"/>
  <c r="N1049" i="21"/>
  <c r="P1049" i="21" s="1"/>
  <c r="N1050" i="21"/>
  <c r="S1050" i="21" s="1"/>
  <c r="N1051" i="21"/>
  <c r="S1051" i="21" s="1"/>
  <c r="N1052" i="21"/>
  <c r="S1052" i="21" s="1"/>
  <c r="N1053" i="21"/>
  <c r="S1053" i="21" s="1"/>
  <c r="N1054" i="21"/>
  <c r="P1054" i="21" s="1"/>
  <c r="N1055" i="21"/>
  <c r="S1055" i="21" s="1"/>
  <c r="N1056" i="21"/>
  <c r="P1056" i="21" s="1"/>
  <c r="N1057" i="21"/>
  <c r="P1057" i="21" s="1"/>
  <c r="N1058" i="21"/>
  <c r="S1058" i="21" s="1"/>
  <c r="N1059" i="21"/>
  <c r="S1059" i="21" s="1"/>
  <c r="N1060" i="21"/>
  <c r="S1060" i="21" s="1"/>
  <c r="N1061" i="21"/>
  <c r="P1061" i="21" s="1"/>
  <c r="N1062" i="21"/>
  <c r="P1062" i="21" s="1"/>
  <c r="N1063" i="21"/>
  <c r="S1063" i="21" s="1"/>
  <c r="N1064" i="21"/>
  <c r="P1064" i="21" s="1"/>
  <c r="N1065" i="21"/>
  <c r="S1065" i="21" s="1"/>
  <c r="N1066" i="21"/>
  <c r="S1066" i="21" s="1"/>
  <c r="N1067" i="21"/>
  <c r="S1067" i="21" s="1"/>
  <c r="N1068" i="21"/>
  <c r="S1068" i="21" s="1"/>
  <c r="N1069" i="21"/>
  <c r="S1069" i="21" s="1"/>
  <c r="N1070" i="21"/>
  <c r="S1070" i="21" s="1"/>
  <c r="N1071" i="21"/>
  <c r="S1071" i="21" s="1"/>
  <c r="N1072" i="21"/>
  <c r="S1072" i="21" s="1"/>
  <c r="N1073" i="21"/>
  <c r="S1073" i="21" s="1"/>
  <c r="N1074" i="21"/>
  <c r="S1074" i="21" s="1"/>
  <c r="N1075" i="21"/>
  <c r="P1075" i="21" s="1"/>
  <c r="N1076" i="21"/>
  <c r="S1076" i="21" s="1"/>
  <c r="N1077" i="21"/>
  <c r="S1077" i="21" s="1"/>
  <c r="N1078" i="21"/>
  <c r="S1078" i="21" s="1"/>
  <c r="N1079" i="21"/>
  <c r="P1079" i="21" s="1"/>
  <c r="N1080" i="21"/>
  <c r="S1080" i="21" s="1"/>
  <c r="N1081" i="21"/>
  <c r="N1082" i="21"/>
  <c r="P1082" i="21" s="1"/>
  <c r="N1083" i="21"/>
  <c r="S1083" i="21" s="1"/>
  <c r="N1084" i="21"/>
  <c r="S1084" i="21" s="1"/>
  <c r="N1085" i="21"/>
  <c r="S1085" i="21" s="1"/>
  <c r="N1086" i="21"/>
  <c r="S1086" i="21" s="1"/>
  <c r="N1087" i="21"/>
  <c r="S1087" i="21" s="1"/>
  <c r="N1088" i="21"/>
  <c r="S1088" i="21" s="1"/>
  <c r="N1089" i="21"/>
  <c r="N1090" i="21"/>
  <c r="P1090" i="21" s="1"/>
  <c r="N1091" i="21"/>
  <c r="S1091" i="21" s="1"/>
  <c r="N1092" i="21"/>
  <c r="S1092" i="21" s="1"/>
  <c r="N1093" i="21"/>
  <c r="S1093" i="21" s="1"/>
  <c r="N1094" i="21"/>
  <c r="S1094" i="21" s="1"/>
  <c r="N1095" i="21"/>
  <c r="S1095" i="21" s="1"/>
  <c r="N1096" i="21"/>
  <c r="P1096" i="21" s="1"/>
  <c r="N1097" i="21"/>
  <c r="N1098" i="21"/>
  <c r="P1098" i="21" s="1"/>
  <c r="N1099" i="21"/>
  <c r="S1099" i="21" s="1"/>
  <c r="N1100" i="21"/>
  <c r="S1100" i="21" s="1"/>
  <c r="N1101" i="21"/>
  <c r="S1101" i="21" s="1"/>
  <c r="N1102" i="21"/>
  <c r="S1102" i="21" s="1"/>
  <c r="N1103" i="21"/>
  <c r="S1103" i="21" s="1"/>
  <c r="N1104" i="21"/>
  <c r="S1104" i="21" s="1"/>
  <c r="N1105" i="21"/>
  <c r="N1106" i="21"/>
  <c r="P1106" i="21" s="1"/>
  <c r="N1107" i="21"/>
  <c r="P1107" i="21" s="1"/>
  <c r="N1108" i="21"/>
  <c r="S1108" i="21" s="1"/>
  <c r="N1109" i="21"/>
  <c r="S1109" i="21" s="1"/>
  <c r="N1110" i="21"/>
  <c r="S1110" i="21" s="1"/>
  <c r="N1111" i="21"/>
  <c r="S1111" i="21" s="1"/>
  <c r="N1112" i="21"/>
  <c r="S1112" i="21" s="1"/>
  <c r="N1113" i="21"/>
  <c r="N1114" i="21"/>
  <c r="P1114" i="21" s="1"/>
  <c r="N1115" i="21"/>
  <c r="S1115" i="21" s="1"/>
  <c r="N1116" i="21"/>
  <c r="P1116" i="21" s="1"/>
  <c r="N1117" i="21"/>
  <c r="P1117" i="21" s="1"/>
  <c r="N1118" i="21"/>
  <c r="S1118" i="21" s="1"/>
  <c r="N1119" i="21"/>
  <c r="S1119" i="21" s="1"/>
  <c r="N1120" i="21"/>
  <c r="P1120" i="21" s="1"/>
  <c r="N1121" i="21"/>
  <c r="N1122" i="21"/>
  <c r="P1122" i="21" s="1"/>
  <c r="N1123" i="21"/>
  <c r="S1123" i="21" s="1"/>
  <c r="N1124" i="21"/>
  <c r="S1124" i="21" s="1"/>
  <c r="N1125" i="21"/>
  <c r="S1125" i="21" s="1"/>
  <c r="N1126" i="21"/>
  <c r="S1126" i="21" s="1"/>
  <c r="N1127" i="21"/>
  <c r="S1127" i="21" s="1"/>
  <c r="N1128" i="21"/>
  <c r="S1128" i="21" s="1"/>
  <c r="N1129" i="21"/>
  <c r="N1130" i="21"/>
  <c r="P1130" i="21" s="1"/>
  <c r="N1131" i="21"/>
  <c r="S1131" i="21" s="1"/>
  <c r="N1132" i="21"/>
  <c r="S1132" i="21" s="1"/>
  <c r="N1133" i="21"/>
  <c r="S1133" i="21" s="1"/>
  <c r="N1134" i="21"/>
  <c r="S1134" i="21" s="1"/>
  <c r="N1135" i="21"/>
  <c r="S1135" i="21" s="1"/>
  <c r="N1136" i="21"/>
  <c r="S1136" i="21" s="1"/>
  <c r="N1137" i="21"/>
  <c r="N1138" i="21"/>
  <c r="P1138" i="21" s="1"/>
  <c r="N1139" i="21"/>
  <c r="P1139" i="21" s="1"/>
  <c r="N1140" i="21"/>
  <c r="S1140" i="21" s="1"/>
  <c r="N1141" i="21"/>
  <c r="P1141" i="21" s="1"/>
  <c r="N1142" i="21"/>
  <c r="S1142" i="21" s="1"/>
  <c r="N1143" i="21"/>
  <c r="S1143" i="21" s="1"/>
  <c r="N1144" i="21"/>
  <c r="S1144" i="21" s="1"/>
  <c r="N1145" i="21"/>
  <c r="N1146" i="21"/>
  <c r="P1146" i="21" s="1"/>
  <c r="N1147" i="21"/>
  <c r="S1147" i="21" s="1"/>
  <c r="N1148" i="21"/>
  <c r="S1148" i="21" s="1"/>
  <c r="N1149" i="21"/>
  <c r="P1149" i="21" s="1"/>
  <c r="N1150" i="21"/>
  <c r="S1150" i="21" s="1"/>
  <c r="N1151" i="21"/>
  <c r="S1151" i="21" s="1"/>
  <c r="N1152" i="21"/>
  <c r="S1152" i="21" s="1"/>
  <c r="N1153" i="21"/>
  <c r="N1154" i="21"/>
  <c r="P1154" i="21" s="1"/>
  <c r="N1155" i="21"/>
  <c r="S1155" i="21" s="1"/>
  <c r="N1156" i="21"/>
  <c r="P1156" i="21" s="1"/>
  <c r="N1157" i="21"/>
  <c r="S1157" i="21" s="1"/>
  <c r="N1158" i="21"/>
  <c r="P1158" i="21" s="1"/>
  <c r="N1159" i="21"/>
  <c r="P1159" i="21" s="1"/>
  <c r="N1160" i="21"/>
  <c r="S1160" i="21" s="1"/>
  <c r="N1161" i="21"/>
  <c r="N1162" i="21"/>
  <c r="P1162" i="21" s="1"/>
  <c r="N1163" i="21"/>
  <c r="S1163" i="21" s="1"/>
  <c r="N1164" i="21"/>
  <c r="P1164" i="21" s="1"/>
  <c r="N1165" i="21"/>
  <c r="P1165" i="21" s="1"/>
  <c r="N1166" i="21"/>
  <c r="P1166" i="21" s="1"/>
  <c r="N1167" i="21"/>
  <c r="S1167" i="21" s="1"/>
  <c r="N1168" i="21"/>
  <c r="P1168" i="21" s="1"/>
  <c r="N1169" i="21"/>
  <c r="N1170" i="21"/>
  <c r="P1170" i="21" s="1"/>
  <c r="N1171" i="21"/>
  <c r="P1171" i="21" s="1"/>
  <c r="N1172" i="21"/>
  <c r="P1172" i="21" s="1"/>
  <c r="N1173" i="21"/>
  <c r="P1173" i="21" s="1"/>
  <c r="N1174" i="21"/>
  <c r="S1174" i="21" s="1"/>
  <c r="N1175" i="21"/>
  <c r="S1175" i="21" s="1"/>
  <c r="N1176" i="21"/>
  <c r="P1176" i="21" s="1"/>
  <c r="N1177" i="21"/>
  <c r="N1178" i="21"/>
  <c r="S1178" i="21" s="1"/>
  <c r="N1179" i="21"/>
  <c r="S1179" i="21" s="1"/>
  <c r="N1180" i="21"/>
  <c r="S1180" i="21" s="1"/>
  <c r="N1181" i="21"/>
  <c r="S1181" i="21" s="1"/>
  <c r="N1182" i="21"/>
  <c r="S1182" i="21" s="1"/>
  <c r="N1183" i="21"/>
  <c r="P1183" i="21" s="1"/>
  <c r="N1184" i="21"/>
  <c r="S1184" i="21" s="1"/>
  <c r="N1185" i="21"/>
  <c r="N1186" i="21"/>
  <c r="P1186" i="21" s="1"/>
  <c r="N1187" i="21"/>
  <c r="S1187" i="21" s="1"/>
  <c r="N1188" i="21"/>
  <c r="S1188" i="21" s="1"/>
  <c r="N1189" i="21"/>
  <c r="P1189" i="21" s="1"/>
  <c r="N1190" i="21"/>
  <c r="S1190" i="21" s="1"/>
  <c r="N1191" i="21"/>
  <c r="P1191" i="21" s="1"/>
  <c r="N1192" i="21"/>
  <c r="S1192" i="21" s="1"/>
  <c r="N1193" i="21"/>
  <c r="N1194" i="21"/>
  <c r="S1194" i="21" s="1"/>
  <c r="N1195" i="21"/>
  <c r="S1195" i="21" s="1"/>
  <c r="N1196" i="21"/>
  <c r="S1196" i="21" s="1"/>
  <c r="N1197" i="21"/>
  <c r="S1197" i="21" s="1"/>
  <c r="N1198" i="21"/>
  <c r="S1198" i="21" s="1"/>
  <c r="N1199" i="21"/>
  <c r="S1199" i="21" s="1"/>
  <c r="N1200" i="21"/>
  <c r="S1200" i="21" s="1"/>
  <c r="N1201" i="21"/>
  <c r="N1202" i="21"/>
  <c r="P1202" i="21" s="1"/>
  <c r="N1203" i="21"/>
  <c r="P1203" i="21" s="1"/>
  <c r="N1204" i="21"/>
  <c r="S1204" i="21" s="1"/>
  <c r="N1205" i="21"/>
  <c r="S1205" i="21" s="1"/>
  <c r="N1206" i="21"/>
  <c r="S1206" i="21" s="1"/>
  <c r="N1207" i="21"/>
  <c r="P1207" i="21" s="1"/>
  <c r="N1208" i="21"/>
  <c r="S1208" i="21" s="1"/>
  <c r="N1209" i="21"/>
  <c r="N1210" i="21"/>
  <c r="S1210" i="21" s="1"/>
  <c r="N1211" i="21"/>
  <c r="S1211" i="21" s="1"/>
  <c r="N1212" i="21"/>
  <c r="S1212" i="21" s="1"/>
  <c r="N1213" i="21"/>
  <c r="S1213" i="21" s="1"/>
  <c r="N1214" i="21"/>
  <c r="S1214" i="21" s="1"/>
  <c r="N1215" i="21"/>
  <c r="P1215" i="21" s="1"/>
  <c r="N1216" i="21"/>
  <c r="S1216" i="21" s="1"/>
  <c r="N1217" i="21"/>
  <c r="N1218" i="21"/>
  <c r="S1218" i="21" s="1"/>
  <c r="N1219" i="21"/>
  <c r="S1219" i="21" s="1"/>
  <c r="N1220" i="21"/>
  <c r="S1220" i="21" s="1"/>
  <c r="N1221" i="21"/>
  <c r="S1221" i="21" s="1"/>
  <c r="N1222" i="21"/>
  <c r="P1222" i="21" s="1"/>
  <c r="N1223" i="21"/>
  <c r="S1223" i="21" s="1"/>
  <c r="N1224" i="21"/>
  <c r="P1224" i="21" s="1"/>
  <c r="N1225" i="21"/>
  <c r="N1226" i="21"/>
  <c r="S1226" i="21" s="1"/>
  <c r="N1227" i="21"/>
  <c r="S1227" i="21" s="1"/>
  <c r="N1228" i="21"/>
  <c r="S1228" i="21" s="1"/>
  <c r="N1229" i="21"/>
  <c r="S1229" i="21" s="1"/>
  <c r="N1230" i="21"/>
  <c r="P1230" i="21" s="1"/>
  <c r="N1231" i="21"/>
  <c r="P1231" i="21" s="1"/>
  <c r="N1232" i="21"/>
  <c r="S1232" i="21" s="1"/>
  <c r="N1233" i="21"/>
  <c r="N1234" i="21"/>
  <c r="S1234" i="21" s="1"/>
  <c r="N1235" i="21"/>
  <c r="P1235" i="21" s="1"/>
  <c r="N1236" i="21"/>
  <c r="P1236" i="21" s="1"/>
  <c r="N1237" i="21"/>
  <c r="S1237" i="21" s="1"/>
  <c r="N1238" i="21"/>
  <c r="S1238" i="21" s="1"/>
  <c r="N1239" i="21"/>
  <c r="S1239" i="21" s="1"/>
  <c r="N1240" i="21"/>
  <c r="P1240" i="21" s="1"/>
  <c r="N1241" i="21"/>
  <c r="N1242" i="21"/>
  <c r="S1242" i="21" s="1"/>
  <c r="N1243" i="21"/>
  <c r="S1243" i="21" s="1"/>
  <c r="N1244" i="21"/>
  <c r="S1244" i="21" s="1"/>
  <c r="N1245" i="21"/>
  <c r="S1245" i="21" s="1"/>
  <c r="N1246" i="21"/>
  <c r="S1246" i="21" s="1"/>
  <c r="N1247" i="21"/>
  <c r="S1247" i="21" s="1"/>
  <c r="N1248" i="21"/>
  <c r="S1248" i="21" s="1"/>
  <c r="N1249" i="21"/>
  <c r="N1250" i="21"/>
  <c r="S1250" i="21" s="1"/>
  <c r="N1251" i="21"/>
  <c r="S1251" i="21" s="1"/>
  <c r="N1252" i="21"/>
  <c r="S1252" i="21" s="1"/>
  <c r="N1253" i="21"/>
  <c r="P1253" i="21" s="1"/>
  <c r="N1254" i="21"/>
  <c r="S1254" i="21" s="1"/>
  <c r="N1255" i="21"/>
  <c r="P1255" i="21" s="1"/>
  <c r="N1256" i="21"/>
  <c r="S1256" i="21" s="1"/>
  <c r="N1257" i="21"/>
  <c r="N1258" i="21"/>
  <c r="S1258" i="21" s="1"/>
  <c r="N1259" i="21"/>
  <c r="S1259" i="21" s="1"/>
  <c r="N1260" i="21"/>
  <c r="P1260" i="21" s="1"/>
  <c r="N1261" i="21"/>
  <c r="P1261" i="21" s="1"/>
  <c r="N1262" i="21"/>
  <c r="S1262" i="21" s="1"/>
  <c r="N1263" i="21"/>
  <c r="S1263" i="21" s="1"/>
  <c r="N1264" i="21"/>
  <c r="P1264" i="21" s="1"/>
  <c r="N1265" i="21"/>
  <c r="P1265" i="21" s="1"/>
  <c r="N1266" i="21"/>
  <c r="N1267" i="21"/>
  <c r="P1267" i="21" s="1"/>
  <c r="N1268" i="21"/>
  <c r="S1268" i="21" s="1"/>
  <c r="N1269" i="21"/>
  <c r="P1269" i="21" s="1"/>
  <c r="N1270" i="21"/>
  <c r="S1270" i="21" s="1"/>
  <c r="N1271" i="21"/>
  <c r="S1271" i="21" s="1"/>
  <c r="N1272" i="21"/>
  <c r="S1272" i="21" s="1"/>
  <c r="N1273" i="21"/>
  <c r="P1273" i="21" s="1"/>
  <c r="N1274" i="21"/>
  <c r="S1274" i="21" s="1"/>
  <c r="N1275" i="21"/>
  <c r="S1275" i="21" s="1"/>
  <c r="N1276" i="21"/>
  <c r="S1276" i="21" s="1"/>
  <c r="N1277" i="21"/>
  <c r="S1277" i="21" s="1"/>
  <c r="N1278" i="21"/>
  <c r="S1278" i="21" s="1"/>
  <c r="N1279" i="21"/>
  <c r="P1279" i="21" s="1"/>
  <c r="N1280" i="21"/>
  <c r="P1280" i="21" s="1"/>
  <c r="N1281" i="21"/>
  <c r="P1281" i="21" s="1"/>
  <c r="N1282" i="21"/>
  <c r="S1282" i="21" s="1"/>
  <c r="N1283" i="21"/>
  <c r="S1283" i="21" s="1"/>
  <c r="N1284" i="21"/>
  <c r="S1284" i="21" s="1"/>
  <c r="N1285" i="21"/>
  <c r="S1285" i="21" s="1"/>
  <c r="N1286" i="21"/>
  <c r="S1286" i="21" s="1"/>
  <c r="N1287" i="21"/>
  <c r="S1287" i="21" s="1"/>
  <c r="N1288" i="21"/>
  <c r="P1288" i="21" s="1"/>
  <c r="N1289" i="21"/>
  <c r="P1289" i="21" s="1"/>
  <c r="N1290" i="21"/>
  <c r="S1290" i="21" s="1"/>
  <c r="N1291" i="21"/>
  <c r="S1291" i="21" s="1"/>
  <c r="N1292" i="21"/>
  <c r="P1292" i="21" s="1"/>
  <c r="N1293" i="21"/>
  <c r="S1293" i="21" s="1"/>
  <c r="N1294" i="21"/>
  <c r="S1294" i="21" s="1"/>
  <c r="N1295" i="21"/>
  <c r="S1295" i="21" s="1"/>
  <c r="N1296" i="21"/>
  <c r="P1296" i="21" s="1"/>
  <c r="N1297" i="21"/>
  <c r="N1298" i="21"/>
  <c r="P1298" i="21" s="1"/>
  <c r="N1299" i="21"/>
  <c r="P1299" i="21" s="1"/>
  <c r="N1300" i="21"/>
  <c r="S1300" i="21" s="1"/>
  <c r="N1301" i="21"/>
  <c r="S1301" i="21" s="1"/>
  <c r="N1302" i="21"/>
  <c r="S1302" i="21" s="1"/>
  <c r="N1303" i="21"/>
  <c r="P1303" i="21" s="1"/>
  <c r="N1304" i="21"/>
  <c r="P1304" i="21" s="1"/>
  <c r="N1305" i="21"/>
  <c r="P1305" i="21" s="1"/>
  <c r="N1306" i="21"/>
  <c r="P1306" i="21" s="1"/>
  <c r="N1307" i="21"/>
  <c r="S1307" i="21" s="1"/>
  <c r="N1308" i="21"/>
  <c r="S1308" i="21" s="1"/>
  <c r="N1309" i="21"/>
  <c r="P1309" i="21" s="1"/>
  <c r="N1310" i="21"/>
  <c r="S1310" i="21" s="1"/>
  <c r="N1311" i="21"/>
  <c r="S1311" i="21" s="1"/>
  <c r="N1312" i="21"/>
  <c r="P1312" i="21" s="1"/>
  <c r="N1313" i="21"/>
  <c r="P1313" i="21" s="1"/>
  <c r="N1314" i="21"/>
  <c r="P1314" i="21" s="1"/>
  <c r="N1315" i="21"/>
  <c r="S1315" i="21" s="1"/>
  <c r="N1316" i="21"/>
  <c r="P1316" i="21" s="1"/>
  <c r="N1317" i="21"/>
  <c r="S1317" i="21" s="1"/>
  <c r="N1318" i="21"/>
  <c r="S1318" i="21" s="1"/>
  <c r="N1319" i="21"/>
  <c r="S1319" i="21" s="1"/>
  <c r="N1320" i="21"/>
  <c r="P1320" i="21" s="1"/>
  <c r="N1321" i="21"/>
  <c r="P1321" i="21" s="1"/>
  <c r="N1322" i="21"/>
  <c r="P1322" i="21" s="1"/>
  <c r="N1323" i="21"/>
  <c r="S1323" i="21" s="1"/>
  <c r="N1324" i="21"/>
  <c r="P1324" i="21" s="1"/>
  <c r="N1325" i="21"/>
  <c r="S1325" i="21" s="1"/>
  <c r="N1326" i="21"/>
  <c r="S1326" i="21" s="1"/>
  <c r="N1327" i="21"/>
  <c r="P1327" i="21" s="1"/>
  <c r="N1328" i="21"/>
  <c r="S1328" i="21" s="1"/>
  <c r="N1329" i="21"/>
  <c r="P1329" i="21" s="1"/>
  <c r="N1330" i="21"/>
  <c r="P1330" i="21" s="1"/>
  <c r="N1331" i="21"/>
  <c r="P1331" i="21" s="1"/>
  <c r="N1332" i="21"/>
  <c r="S1332" i="21" s="1"/>
  <c r="N1333" i="21"/>
  <c r="S1333" i="21" s="1"/>
  <c r="N1334" i="21"/>
  <c r="S1334" i="21" s="1"/>
  <c r="N1335" i="21"/>
  <c r="S1335" i="21" s="1"/>
  <c r="N1336" i="21"/>
  <c r="S1336" i="21" s="1"/>
  <c r="N1337" i="21"/>
  <c r="P1337" i="21" s="1"/>
  <c r="N1338" i="21"/>
  <c r="N1339" i="21"/>
  <c r="S1339" i="21" s="1"/>
  <c r="N1340" i="21"/>
  <c r="S1340" i="21" s="1"/>
  <c r="N1341" i="21"/>
  <c r="S1341" i="21" s="1"/>
  <c r="N1342" i="21"/>
  <c r="S1342" i="21" s="1"/>
  <c r="N1343" i="21"/>
  <c r="S1343" i="21" s="1"/>
  <c r="N1344" i="21"/>
  <c r="S1344" i="21" s="1"/>
  <c r="N1345" i="21"/>
  <c r="P1345" i="21" s="1"/>
  <c r="N1346" i="21"/>
  <c r="P1346" i="21" s="1"/>
  <c r="N1347" i="21"/>
  <c r="S1347" i="21" s="1"/>
  <c r="N1348" i="21"/>
  <c r="P1348" i="21" s="1"/>
  <c r="N1349" i="21"/>
  <c r="P1349" i="21" s="1"/>
  <c r="N1350" i="21"/>
  <c r="S1350" i="21" s="1"/>
  <c r="N1351" i="21"/>
  <c r="S1351" i="21" s="1"/>
  <c r="N1352" i="21"/>
  <c r="S1352" i="21" s="1"/>
  <c r="N1353" i="21"/>
  <c r="P1353" i="21" s="1"/>
  <c r="N1354" i="21"/>
  <c r="P1354" i="21" s="1"/>
  <c r="N1355" i="21"/>
  <c r="S1355" i="21" s="1"/>
  <c r="N1356" i="21"/>
  <c r="S1356" i="21" s="1"/>
  <c r="N1357" i="21"/>
  <c r="S1357" i="21" s="1"/>
  <c r="N1358" i="21"/>
  <c r="S1358" i="21" s="1"/>
  <c r="N1359" i="21"/>
  <c r="P1359" i="21" s="1"/>
  <c r="N1360" i="21"/>
  <c r="S1360" i="21" s="1"/>
  <c r="N1361" i="21"/>
  <c r="P1361" i="21" s="1"/>
  <c r="N1362" i="21"/>
  <c r="S1362" i="21" s="1"/>
  <c r="N1363" i="21"/>
  <c r="S1363" i="21" s="1"/>
  <c r="N1364" i="21"/>
  <c r="S1364" i="21" s="1"/>
  <c r="N1365" i="21"/>
  <c r="S1365" i="21" s="1"/>
  <c r="N1366" i="21"/>
  <c r="S1366" i="21" s="1"/>
  <c r="N1367" i="21"/>
  <c r="S1367" i="21" s="1"/>
  <c r="N1368" i="21"/>
  <c r="S1368" i="21" s="1"/>
  <c r="N1369" i="21"/>
  <c r="P1369" i="21" s="1"/>
  <c r="N1370" i="21"/>
  <c r="P1370" i="21" s="1"/>
  <c r="N1371" i="21"/>
  <c r="P1371" i="21" s="1"/>
  <c r="N1372" i="21"/>
  <c r="S1372" i="21" s="1"/>
  <c r="N1373" i="21"/>
  <c r="P1373" i="21" s="1"/>
  <c r="N1374" i="21"/>
  <c r="S1374" i="21" s="1"/>
  <c r="N1375" i="21"/>
  <c r="P1375" i="21" s="1"/>
  <c r="N1376" i="21"/>
  <c r="S1376" i="21" s="1"/>
  <c r="N1377" i="21"/>
  <c r="P1377" i="21" s="1"/>
  <c r="N1378" i="21"/>
  <c r="S1378" i="21" s="1"/>
  <c r="N1379" i="21"/>
  <c r="S1379" i="21" s="1"/>
  <c r="N1380" i="21"/>
  <c r="P1380" i="21" s="1"/>
  <c r="N1381" i="21"/>
  <c r="P1381" i="21" s="1"/>
  <c r="N1382" i="21"/>
  <c r="S1382" i="21" s="1"/>
  <c r="N1383" i="21"/>
  <c r="S1383" i="21" s="1"/>
  <c r="N1384" i="21"/>
  <c r="S1384" i="21" s="1"/>
  <c r="N1385" i="21"/>
  <c r="P1385" i="21" s="1"/>
  <c r="N1386" i="21"/>
  <c r="N1387" i="21"/>
  <c r="S1387" i="21" s="1"/>
  <c r="N1388" i="21"/>
  <c r="S1388" i="21" s="1"/>
  <c r="N1389" i="21"/>
  <c r="S1389" i="21" s="1"/>
  <c r="N1390" i="21"/>
  <c r="S1390" i="21" s="1"/>
  <c r="N1391" i="21"/>
  <c r="P1391" i="21" s="1"/>
  <c r="N1392" i="21"/>
  <c r="P1392" i="21" s="1"/>
  <c r="N1393" i="21"/>
  <c r="P1393" i="21" s="1"/>
  <c r="N1394" i="21"/>
  <c r="S1394" i="21" s="1"/>
  <c r="N1395" i="21"/>
  <c r="S1395" i="21" s="1"/>
  <c r="N1396" i="21"/>
  <c r="S1396" i="21" s="1"/>
  <c r="N1397" i="21"/>
  <c r="S1397" i="21" s="1"/>
  <c r="N1398" i="21"/>
  <c r="S1398" i="21" s="1"/>
  <c r="N1399" i="21"/>
  <c r="S1399" i="21" s="1"/>
  <c r="N1400" i="21"/>
  <c r="S1400" i="21" s="1"/>
  <c r="N1401" i="21"/>
  <c r="P1401" i="21" s="1"/>
  <c r="N1402" i="21"/>
  <c r="P1402" i="21" s="1"/>
  <c r="N1403" i="21"/>
  <c r="P1403" i="21" s="1"/>
  <c r="N1404" i="21"/>
  <c r="S1404" i="21" s="1"/>
  <c r="N1405" i="21"/>
  <c r="S1405" i="21" s="1"/>
  <c r="N1406" i="21"/>
  <c r="S1406" i="21" s="1"/>
  <c r="N1407" i="21"/>
  <c r="S1407" i="21" s="1"/>
  <c r="N1408" i="21"/>
  <c r="S1408" i="21" s="1"/>
  <c r="N1409" i="21"/>
  <c r="P1409" i="21" s="1"/>
  <c r="N1410" i="21"/>
  <c r="S1410" i="21" s="1"/>
  <c r="N1411" i="21"/>
  <c r="S1411" i="21" s="1"/>
  <c r="N1412" i="21"/>
  <c r="P1412" i="21" s="1"/>
  <c r="N1413" i="21"/>
  <c r="S1413" i="21" s="1"/>
  <c r="N1414" i="21"/>
  <c r="S1414" i="21" s="1"/>
  <c r="N1415" i="21"/>
  <c r="S1415" i="21" s="1"/>
  <c r="N1416" i="21"/>
  <c r="P1416" i="21" s="1"/>
  <c r="N1417" i="21"/>
  <c r="P1417" i="21" s="1"/>
  <c r="N1418" i="21"/>
  <c r="P1418" i="21" s="1"/>
  <c r="N1419" i="21"/>
  <c r="S1419" i="21" s="1"/>
  <c r="N1420" i="21"/>
  <c r="S1420" i="21" s="1"/>
  <c r="N1421" i="21"/>
  <c r="P1421" i="21" s="1"/>
  <c r="N1422" i="21"/>
  <c r="S1422" i="21" s="1"/>
  <c r="N1423" i="21"/>
  <c r="S1423" i="21" s="1"/>
  <c r="N1424" i="21"/>
  <c r="S1424" i="21" s="1"/>
  <c r="N1425" i="21"/>
  <c r="P1425" i="21" s="1"/>
  <c r="N1426" i="21"/>
  <c r="S1426" i="21" s="1"/>
  <c r="N1427" i="21"/>
  <c r="S1427" i="21" s="1"/>
  <c r="N1428" i="21"/>
  <c r="S1428" i="21" s="1"/>
  <c r="N1429" i="21"/>
  <c r="S1429" i="21" s="1"/>
  <c r="N1430" i="21"/>
  <c r="S1430" i="21" s="1"/>
  <c r="N1431" i="21"/>
  <c r="P1431" i="21" s="1"/>
  <c r="N1432" i="21"/>
  <c r="S1432" i="21" s="1"/>
  <c r="N1433" i="21"/>
  <c r="P1433" i="21" s="1"/>
  <c r="N1434" i="21"/>
  <c r="S1434" i="21" s="1"/>
  <c r="N1435" i="21"/>
  <c r="P1435" i="21" s="1"/>
  <c r="N1436" i="21"/>
  <c r="P1436" i="21" s="1"/>
  <c r="N1437" i="21"/>
  <c r="S1437" i="21" s="1"/>
  <c r="N1438" i="21"/>
  <c r="S1438" i="21" s="1"/>
  <c r="N1439" i="21"/>
  <c r="S1439" i="21" s="1"/>
  <c r="N1440" i="21"/>
  <c r="S1440" i="21" s="1"/>
  <c r="N1441" i="21"/>
  <c r="P1441" i="21" s="1"/>
  <c r="N1442" i="21"/>
  <c r="S1442" i="21" s="1"/>
  <c r="N1443" i="21"/>
  <c r="S1443" i="21" s="1"/>
  <c r="N1444" i="21"/>
  <c r="S1444" i="21" s="1"/>
  <c r="N1445" i="21"/>
  <c r="S1445" i="21" s="1"/>
  <c r="N1446" i="21"/>
  <c r="S1446" i="21" s="1"/>
  <c r="N1447" i="21"/>
  <c r="S1447" i="21" s="1"/>
  <c r="N1448" i="21"/>
  <c r="S1448" i="21" s="1"/>
  <c r="N1449" i="21"/>
  <c r="N1450" i="21"/>
  <c r="S1450" i="21" s="1"/>
  <c r="N1451" i="21"/>
  <c r="S1451" i="21" s="1"/>
  <c r="N1452" i="21"/>
  <c r="S1452" i="21" s="1"/>
  <c r="N1453" i="21"/>
  <c r="P1453" i="21" s="1"/>
  <c r="N1454" i="21"/>
  <c r="S1454" i="21" s="1"/>
  <c r="N1455" i="21"/>
  <c r="P1455" i="21" s="1"/>
  <c r="N1456" i="21"/>
  <c r="S1456" i="21" s="1"/>
  <c r="N1457" i="21"/>
  <c r="N1458" i="21"/>
  <c r="S1458" i="21" s="1"/>
  <c r="N1459" i="21"/>
  <c r="S1459" i="21" s="1"/>
  <c r="N1460" i="21"/>
  <c r="S1460" i="21" s="1"/>
  <c r="N1461" i="21"/>
  <c r="S1461" i="21" s="1"/>
  <c r="N1462" i="21"/>
  <c r="S1462" i="21" s="1"/>
  <c r="N1463" i="21"/>
  <c r="S1463" i="21" s="1"/>
  <c r="N1464" i="21"/>
  <c r="P1464" i="21" s="1"/>
  <c r="N1465" i="21"/>
  <c r="N1466" i="21"/>
  <c r="N1467" i="21"/>
  <c r="S1467" i="21" s="1"/>
  <c r="N1468" i="21"/>
  <c r="P1468" i="21" s="1"/>
  <c r="N1469" i="21"/>
  <c r="S1469" i="21" s="1"/>
  <c r="N1470" i="21"/>
  <c r="S1470" i="21" s="1"/>
  <c r="N1471" i="21"/>
  <c r="S1471" i="21" s="1"/>
  <c r="N1472" i="21"/>
  <c r="P1472" i="21" s="1"/>
  <c r="N1473" i="21"/>
  <c r="N1474" i="21"/>
  <c r="S1474" i="21" s="1"/>
  <c r="N1475" i="21"/>
  <c r="S1475" i="21" s="1"/>
  <c r="N1476" i="21"/>
  <c r="S1476" i="21" s="1"/>
  <c r="N1477" i="21"/>
  <c r="S1477" i="21" s="1"/>
  <c r="N1478" i="21"/>
  <c r="P1478" i="21" s="1"/>
  <c r="N1479" i="21"/>
  <c r="P1479" i="21" s="1"/>
  <c r="N1480" i="21"/>
  <c r="S1480" i="21" s="1"/>
  <c r="N1481" i="21"/>
  <c r="N1482" i="21"/>
  <c r="S1482" i="21" s="1"/>
  <c r="N1483" i="21"/>
  <c r="S1483" i="21" s="1"/>
  <c r="N1484" i="21"/>
  <c r="S1484" i="21" s="1"/>
  <c r="N1485" i="21"/>
  <c r="S1485" i="21" s="1"/>
  <c r="N1486" i="21"/>
  <c r="P1486" i="21" s="1"/>
  <c r="N1487" i="21"/>
  <c r="S1487" i="21" s="1"/>
  <c r="N1488" i="21"/>
  <c r="P1488" i="21" s="1"/>
  <c r="N1489" i="21"/>
  <c r="N1490" i="21"/>
  <c r="N1491" i="21"/>
  <c r="S1491" i="21" s="1"/>
  <c r="N1492" i="21"/>
  <c r="P1492" i="21" s="1"/>
  <c r="N1493" i="21"/>
  <c r="S1493" i="21" s="1"/>
  <c r="N1494" i="21"/>
  <c r="S1494" i="21" s="1"/>
  <c r="N1495" i="21"/>
  <c r="S1495" i="21" s="1"/>
  <c r="N1496" i="21"/>
  <c r="S1496" i="21" s="1"/>
  <c r="N1497" i="21"/>
  <c r="N1498" i="21"/>
  <c r="N1499" i="21"/>
  <c r="S1499" i="21" s="1"/>
  <c r="N1500" i="21"/>
  <c r="S1500" i="21" s="1"/>
  <c r="N1501" i="21"/>
  <c r="S1501" i="21" s="1"/>
  <c r="N1502" i="21"/>
  <c r="S1502" i="21" s="1"/>
  <c r="N1503" i="21"/>
  <c r="P1503" i="21" s="1"/>
  <c r="N1504" i="21"/>
  <c r="P1504" i="21" s="1"/>
  <c r="N1505" i="21"/>
  <c r="N1506" i="21"/>
  <c r="N1507" i="21"/>
  <c r="P1507" i="21" s="1"/>
  <c r="N1508" i="21"/>
  <c r="S1508" i="21" s="1"/>
  <c r="N1509" i="21"/>
  <c r="P1509" i="21" s="1"/>
  <c r="N1510" i="21"/>
  <c r="S1510" i="21" s="1"/>
  <c r="N1511" i="21"/>
  <c r="S1511" i="21" s="1"/>
  <c r="N1512" i="21"/>
  <c r="S1512" i="21" s="1"/>
  <c r="N1513" i="21"/>
  <c r="S1513" i="21" s="1"/>
  <c r="N1514" i="21"/>
  <c r="N1515" i="21"/>
  <c r="P1515" i="21" s="1"/>
  <c r="N1516" i="21"/>
  <c r="P1516" i="21" s="1"/>
  <c r="N1517" i="21"/>
  <c r="P1517" i="21" s="1"/>
  <c r="N1518" i="21"/>
  <c r="S1518" i="21" s="1"/>
  <c r="N1519" i="21"/>
  <c r="P1519" i="21" s="1"/>
  <c r="N1520" i="21"/>
  <c r="P1520" i="21" s="1"/>
  <c r="N1521" i="21"/>
  <c r="N1522" i="21"/>
  <c r="N1523" i="21"/>
  <c r="S1523" i="21" s="1"/>
  <c r="N1524" i="21"/>
  <c r="S1524" i="21" s="1"/>
  <c r="N1525" i="21"/>
  <c r="S1525" i="21" s="1"/>
  <c r="N1526" i="21"/>
  <c r="S1526" i="21" s="1"/>
  <c r="N1527" i="21"/>
  <c r="S1527" i="21" s="1"/>
  <c r="N1528" i="21"/>
  <c r="S1528" i="21" s="1"/>
  <c r="N1529" i="21"/>
  <c r="S1529" i="21" s="1"/>
  <c r="N1530" i="21"/>
  <c r="N1531" i="21"/>
  <c r="S1531" i="21" s="1"/>
  <c r="N1532" i="21"/>
  <c r="S1532" i="21" s="1"/>
  <c r="N1533" i="21"/>
  <c r="S1533" i="21" s="1"/>
  <c r="N1534" i="21"/>
  <c r="S1534" i="21" s="1"/>
  <c r="N1535" i="21"/>
  <c r="P1535" i="21" s="1"/>
  <c r="N1536" i="21"/>
  <c r="P1536" i="21" s="1"/>
  <c r="N1537" i="21"/>
  <c r="N1538" i="21"/>
  <c r="N1539" i="21"/>
  <c r="S1539" i="21" s="1"/>
  <c r="N1540" i="21"/>
  <c r="P1540" i="21" s="1"/>
  <c r="N1541" i="21"/>
  <c r="S1541" i="21" s="1"/>
  <c r="N1542" i="21"/>
  <c r="S1542" i="21" s="1"/>
  <c r="N1543" i="21"/>
  <c r="P1543" i="21" s="1"/>
  <c r="N1544" i="21"/>
  <c r="S1544" i="21" s="1"/>
  <c r="N1545" i="21"/>
  <c r="N1546" i="21"/>
  <c r="N1547" i="21"/>
  <c r="N1548" i="21"/>
  <c r="S1548" i="21" s="1"/>
  <c r="N1549" i="21"/>
  <c r="S1549" i="21" s="1"/>
  <c r="N1550" i="21"/>
  <c r="S1550" i="21" s="1"/>
  <c r="N1551" i="21"/>
  <c r="S1551" i="21" s="1"/>
  <c r="N1552" i="21"/>
  <c r="P1552" i="21" s="1"/>
  <c r="N1553" i="21"/>
  <c r="N1554" i="21"/>
  <c r="N1555" i="21"/>
  <c r="N1556" i="21"/>
  <c r="S1556" i="21" s="1"/>
  <c r="N1557" i="21"/>
  <c r="S1557" i="21" s="1"/>
  <c r="N1558" i="21"/>
  <c r="P1558" i="21" s="1"/>
  <c r="N1559" i="21"/>
  <c r="S1559" i="21" s="1"/>
  <c r="N1560" i="21"/>
  <c r="S1560" i="21" s="1"/>
  <c r="N1561" i="21"/>
  <c r="N1562" i="21"/>
  <c r="N1563" i="21"/>
  <c r="N1564" i="21"/>
  <c r="P1564" i="21" s="1"/>
  <c r="N1565" i="21"/>
  <c r="S1565" i="21" s="1"/>
  <c r="N1566" i="21"/>
  <c r="P1566" i="21" s="1"/>
  <c r="N1567" i="21"/>
  <c r="P1567" i="21" s="1"/>
  <c r="N1568" i="21"/>
  <c r="S1568" i="21" s="1"/>
  <c r="N1569" i="21"/>
  <c r="N1570" i="21"/>
  <c r="N1571" i="21"/>
  <c r="N1572" i="21"/>
  <c r="S1572" i="21" s="1"/>
  <c r="N1573" i="21"/>
  <c r="P1573" i="21" s="1"/>
  <c r="N1574" i="21"/>
  <c r="P1574" i="21" s="1"/>
  <c r="N1575" i="21"/>
  <c r="S1575" i="21" s="1"/>
  <c r="N1576" i="21"/>
  <c r="S1576" i="21" s="1"/>
  <c r="N1577" i="21"/>
  <c r="N1578" i="21"/>
  <c r="N1579" i="21"/>
  <c r="N1580" i="21"/>
  <c r="S1580" i="21" s="1"/>
  <c r="N1581" i="21"/>
  <c r="P1581" i="21" s="1"/>
  <c r="N1582" i="21"/>
  <c r="S1582" i="21" s="1"/>
  <c r="N1583" i="21"/>
  <c r="P1583" i="21" s="1"/>
  <c r="N1584" i="21"/>
  <c r="P1584" i="21" s="1"/>
  <c r="N1585" i="21"/>
  <c r="N1586" i="21"/>
  <c r="N1587" i="21"/>
  <c r="N1588" i="21"/>
  <c r="S1588" i="21" s="1"/>
  <c r="N1589" i="21"/>
  <c r="S1589" i="21" s="1"/>
  <c r="N1590" i="21"/>
  <c r="S1590" i="21" s="1"/>
  <c r="N1591" i="21"/>
  <c r="S1591" i="21" s="1"/>
  <c r="N1592" i="21"/>
  <c r="S1592" i="21" s="1"/>
  <c r="N1593" i="21"/>
  <c r="N1594" i="21"/>
  <c r="P1594" i="21" s="1"/>
  <c r="N1595" i="21"/>
  <c r="N1596" i="21"/>
  <c r="P1596" i="21" s="1"/>
  <c r="N1597" i="21"/>
  <c r="S1597" i="21" s="1"/>
  <c r="N1598" i="21"/>
  <c r="S1598" i="21" s="1"/>
  <c r="N1599" i="21"/>
  <c r="P1599" i="21" s="1"/>
  <c r="N1600" i="21"/>
  <c r="S1600" i="21" s="1"/>
  <c r="N1601" i="21"/>
  <c r="N1602" i="21"/>
  <c r="P1602" i="21" s="1"/>
  <c r="N1603" i="21"/>
  <c r="N1604" i="21"/>
  <c r="S1604" i="21" s="1"/>
  <c r="N1605" i="21"/>
  <c r="S1605" i="21" s="1"/>
  <c r="N1606" i="21"/>
  <c r="S1606" i="21" s="1"/>
  <c r="N1607" i="21"/>
  <c r="S1607" i="21" s="1"/>
  <c r="N1608" i="21"/>
  <c r="S1608" i="21" s="1"/>
  <c r="N1609" i="21"/>
  <c r="N1610" i="21"/>
  <c r="P1610" i="21" s="1"/>
  <c r="N1611" i="21"/>
  <c r="N1612" i="21"/>
  <c r="S1612" i="21" s="1"/>
  <c r="N1613" i="21"/>
  <c r="S1613" i="21" s="1"/>
  <c r="N1614" i="21"/>
  <c r="S1614" i="21" s="1"/>
  <c r="N1615" i="21"/>
  <c r="S1615" i="21" s="1"/>
  <c r="N1616" i="21"/>
  <c r="P1616" i="21" s="1"/>
  <c r="N1617" i="21"/>
  <c r="N1618" i="21"/>
  <c r="P1618" i="21" s="1"/>
  <c r="N1619" i="21"/>
  <c r="N1620" i="21"/>
  <c r="P1620" i="21" s="1"/>
  <c r="N1621" i="21"/>
  <c r="S1621" i="21" s="1"/>
  <c r="N1622" i="21"/>
  <c r="S1622" i="21" s="1"/>
  <c r="N1623" i="21"/>
  <c r="S1623" i="21" s="1"/>
  <c r="N1624" i="21"/>
  <c r="P1624" i="21" s="1"/>
  <c r="N1625" i="21"/>
  <c r="P1625" i="21" s="1"/>
  <c r="N1626" i="21"/>
  <c r="P1626" i="21" s="1"/>
  <c r="N1627" i="21"/>
  <c r="N1628" i="21"/>
  <c r="S1628" i="21" s="1"/>
  <c r="N1629" i="21"/>
  <c r="P1629" i="21" s="1"/>
  <c r="N1630" i="21"/>
  <c r="S1630" i="21" s="1"/>
  <c r="N1631" i="21"/>
  <c r="P1631" i="21" s="1"/>
  <c r="N1632" i="21"/>
  <c r="S1632" i="21" s="1"/>
  <c r="N1633" i="21"/>
  <c r="N1634" i="21"/>
  <c r="P1634" i="21" s="1"/>
  <c r="N1635" i="21"/>
  <c r="N1636" i="21"/>
  <c r="S1636" i="21" s="1"/>
  <c r="N1637" i="21"/>
  <c r="P1637" i="21" s="1"/>
  <c r="N1638" i="21"/>
  <c r="S1638" i="21" s="1"/>
  <c r="N1639" i="21"/>
  <c r="P1639" i="21" s="1"/>
  <c r="N1640" i="21"/>
  <c r="P1640" i="21" s="1"/>
  <c r="N1641" i="21"/>
  <c r="S1641" i="21" s="1"/>
  <c r="N1642" i="21"/>
  <c r="P1642" i="21" s="1"/>
  <c r="N1643" i="21"/>
  <c r="N1644" i="21"/>
  <c r="P1644" i="21" s="1"/>
  <c r="N1645" i="21"/>
  <c r="S1645" i="21" s="1"/>
  <c r="N1646" i="21"/>
  <c r="S1646" i="21" s="1"/>
  <c r="N1647" i="21"/>
  <c r="S1647" i="21" s="1"/>
  <c r="N1648" i="21"/>
  <c r="P1648" i="21" s="1"/>
  <c r="N1649" i="21"/>
  <c r="N1650" i="21"/>
  <c r="P1650" i="21" s="1"/>
  <c r="N1651" i="21"/>
  <c r="N1652" i="21"/>
  <c r="S1652" i="21" s="1"/>
  <c r="N1653" i="21"/>
  <c r="S1653" i="21" s="1"/>
  <c r="N1654" i="21"/>
  <c r="S1654" i="21" s="1"/>
  <c r="N1655" i="21"/>
  <c r="P1655" i="21" s="1"/>
  <c r="N1656" i="21"/>
  <c r="S1656" i="21" s="1"/>
  <c r="N1657" i="21"/>
  <c r="P1657" i="21" s="1"/>
  <c r="N1658" i="21"/>
  <c r="N1659" i="21"/>
  <c r="N1660" i="21"/>
  <c r="S1660" i="21" s="1"/>
  <c r="N1661" i="21"/>
  <c r="S1661" i="21" s="1"/>
  <c r="N1662" i="21"/>
  <c r="S1662" i="21" s="1"/>
  <c r="N1663" i="21"/>
  <c r="S1663" i="21" s="1"/>
  <c r="N1664" i="21"/>
  <c r="S1664" i="21" s="1"/>
  <c r="N1665" i="21"/>
  <c r="N1666" i="21"/>
  <c r="N1667" i="21"/>
  <c r="N1668" i="21"/>
  <c r="S1668" i="21" s="1"/>
  <c r="N1669" i="21"/>
  <c r="S1669" i="21" s="1"/>
  <c r="N1670" i="21"/>
  <c r="P1670" i="21" s="1"/>
  <c r="N1671" i="21"/>
  <c r="P1671" i="21" s="1"/>
  <c r="N1672" i="21"/>
  <c r="P1672" i="21" s="1"/>
  <c r="N1673" i="21"/>
  <c r="N1674" i="21"/>
  <c r="N1675" i="21"/>
  <c r="N1676" i="21"/>
  <c r="S1676" i="21" s="1"/>
  <c r="N1677" i="21"/>
  <c r="S1677" i="21" s="1"/>
  <c r="N1678" i="21"/>
  <c r="P1678" i="21" s="1"/>
  <c r="N1679" i="21"/>
  <c r="S1679" i="21" s="1"/>
  <c r="N1680" i="21"/>
  <c r="S1680" i="21" s="1"/>
  <c r="N1681" i="21"/>
  <c r="N1682" i="21"/>
  <c r="N1683" i="21"/>
  <c r="N1684" i="21"/>
  <c r="S1684" i="21" s="1"/>
  <c r="N1685" i="21"/>
  <c r="S1685" i="21" s="1"/>
  <c r="N1686" i="21"/>
  <c r="S1686" i="21" s="1"/>
  <c r="N1687" i="21"/>
  <c r="P1687" i="21" s="1"/>
  <c r="N1688" i="21"/>
  <c r="S1688" i="21" s="1"/>
  <c r="N1689" i="21"/>
  <c r="P1690" i="21"/>
  <c r="N1691" i="21"/>
  <c r="S1691" i="21" s="1"/>
  <c r="N1692" i="21"/>
  <c r="S1692" i="21" s="1"/>
  <c r="N1693" i="21"/>
  <c r="P1693" i="21" s="1"/>
  <c r="N1694" i="21"/>
  <c r="S1694" i="21" s="1"/>
  <c r="N1695" i="21"/>
  <c r="S1695" i="21" s="1"/>
  <c r="N1696" i="21"/>
  <c r="P1696" i="21" s="1"/>
  <c r="N1697" i="21"/>
  <c r="N1698" i="21"/>
  <c r="P1698" i="21" s="1"/>
  <c r="N1699" i="21"/>
  <c r="N1700" i="21"/>
  <c r="P1700" i="21" s="1"/>
  <c r="N1701" i="21"/>
  <c r="P1701" i="21" s="1"/>
  <c r="N1702" i="21"/>
  <c r="P1702" i="21" s="1"/>
  <c r="N1703" i="21"/>
  <c r="S1703" i="21" s="1"/>
  <c r="N1704" i="21"/>
  <c r="P1704" i="21" s="1"/>
  <c r="N1705" i="21"/>
  <c r="N1706" i="21"/>
  <c r="N1707" i="21"/>
  <c r="S1707" i="21" s="1"/>
  <c r="N1708" i="21"/>
  <c r="P1708" i="21" s="1"/>
  <c r="N1709" i="21"/>
  <c r="P1709" i="21" s="1"/>
  <c r="N1710" i="21"/>
  <c r="P1710" i="21" s="1"/>
  <c r="N1711" i="21"/>
  <c r="S1711" i="21" s="1"/>
  <c r="N1712" i="21"/>
  <c r="P1712" i="21" s="1"/>
  <c r="N1713" i="21"/>
  <c r="P1713" i="21" s="1"/>
  <c r="N1714" i="21"/>
  <c r="P1714" i="21" s="1"/>
  <c r="N1715" i="21"/>
  <c r="P1715" i="21" s="1"/>
  <c r="N1716" i="21"/>
  <c r="P1716" i="21" s="1"/>
  <c r="N1717" i="21"/>
  <c r="P1717" i="21" s="1"/>
  <c r="N1718" i="21"/>
  <c r="P1718" i="21" s="1"/>
  <c r="N1719" i="21"/>
  <c r="S1719" i="21" s="1"/>
  <c r="N1720" i="21"/>
  <c r="P1720" i="21" s="1"/>
  <c r="N1721" i="21"/>
  <c r="P1721" i="21" s="1"/>
  <c r="N1722" i="21"/>
  <c r="P1722" i="21" s="1"/>
  <c r="N1723" i="21"/>
  <c r="N1724" i="21"/>
  <c r="P1724" i="21" s="1"/>
  <c r="N1725" i="21"/>
  <c r="P1725" i="21" s="1"/>
  <c r="N1726" i="21"/>
  <c r="P1726" i="21" s="1"/>
  <c r="N1727" i="21"/>
  <c r="P1727" i="21" s="1"/>
  <c r="N1728" i="21"/>
  <c r="S1728" i="21" s="1"/>
  <c r="N1729" i="21"/>
  <c r="N1730" i="21"/>
  <c r="S1730" i="21" s="1"/>
  <c r="N1731" i="21"/>
  <c r="N1732" i="21"/>
  <c r="S1732" i="21" s="1"/>
  <c r="N1733" i="21"/>
  <c r="P1733" i="21" s="1"/>
  <c r="N1734" i="21"/>
  <c r="S1734" i="21" s="1"/>
  <c r="N1735" i="21"/>
  <c r="P1735" i="21" s="1"/>
  <c r="N1736" i="21"/>
  <c r="P1736" i="21" s="1"/>
  <c r="N1737" i="21"/>
  <c r="N1738" i="21"/>
  <c r="S1738" i="21" s="1"/>
  <c r="N1739" i="21"/>
  <c r="N1740" i="21"/>
  <c r="S1740" i="21" s="1"/>
  <c r="N1741" i="21"/>
  <c r="P1741" i="21" s="1"/>
  <c r="N1742" i="21"/>
  <c r="P1742" i="21" s="1"/>
  <c r="N1743" i="21"/>
  <c r="S1743" i="21" s="1"/>
  <c r="N1744" i="21"/>
  <c r="P1744" i="21" s="1"/>
  <c r="N1745" i="21"/>
  <c r="N1746" i="21"/>
  <c r="N1747" i="21"/>
  <c r="P1747" i="21" s="1"/>
  <c r="N1748" i="21"/>
  <c r="S1748" i="21" s="1"/>
  <c r="N1749" i="21"/>
  <c r="P1749" i="21" s="1"/>
  <c r="N1750" i="21"/>
  <c r="P1750" i="21" s="1"/>
  <c r="N1751" i="21"/>
  <c r="S1751" i="21" s="1"/>
  <c r="N1752" i="21"/>
  <c r="P1752" i="21" s="1"/>
  <c r="N1753" i="21"/>
  <c r="N1754" i="21"/>
  <c r="S1754" i="21" s="1"/>
  <c r="N1755" i="21"/>
  <c r="N1756" i="21"/>
  <c r="P1756" i="21" s="1"/>
  <c r="N1757" i="21"/>
  <c r="S1757" i="21" s="1"/>
  <c r="N1758" i="21"/>
  <c r="S1758" i="21" s="1"/>
  <c r="N1759" i="21"/>
  <c r="N1760" i="21"/>
  <c r="P1760" i="21" s="1"/>
  <c r="N1761" i="21"/>
  <c r="S1761" i="21" s="1"/>
  <c r="N1762" i="21"/>
  <c r="S1762" i="21" s="1"/>
  <c r="N1763" i="21"/>
  <c r="N1764" i="21"/>
  <c r="S1764" i="21" s="1"/>
  <c r="N1765" i="21"/>
  <c r="P1765" i="21" s="1"/>
  <c r="N1766" i="21"/>
  <c r="S1766" i="21" s="1"/>
  <c r="N1767" i="21"/>
  <c r="P1767" i="21" s="1"/>
  <c r="N1768" i="21"/>
  <c r="S1768" i="21" s="1"/>
  <c r="N1769" i="21"/>
  <c r="N1770" i="21"/>
  <c r="N1771" i="21"/>
  <c r="P1771" i="21" s="1"/>
  <c r="N1772" i="21"/>
  <c r="S1772" i="21" s="1"/>
  <c r="N1773" i="21"/>
  <c r="P1773" i="21" s="1"/>
  <c r="N1774" i="21"/>
  <c r="S1774" i="21" s="1"/>
  <c r="N1775" i="21"/>
  <c r="S1775" i="21" s="1"/>
  <c r="N1776" i="21"/>
  <c r="S1776" i="21" s="1"/>
  <c r="N1777" i="21"/>
  <c r="N1778" i="21"/>
  <c r="N1779" i="21"/>
  <c r="P1779" i="21" s="1"/>
  <c r="N1780" i="21"/>
  <c r="S1780" i="21" s="1"/>
  <c r="N1781" i="21"/>
  <c r="S1781" i="21" s="1"/>
  <c r="N1782" i="21"/>
  <c r="S1782" i="21" s="1"/>
  <c r="N1783" i="21"/>
  <c r="P1783" i="21" s="1"/>
  <c r="N1784" i="21"/>
  <c r="S1784" i="21" s="1"/>
  <c r="P1785" i="21"/>
  <c r="N1786" i="21"/>
  <c r="N1787" i="21"/>
  <c r="S1787" i="21" s="1"/>
  <c r="N1788" i="21"/>
  <c r="S1788" i="21" s="1"/>
  <c r="N1789" i="21"/>
  <c r="P1789" i="21" s="1"/>
  <c r="N1790" i="21"/>
  <c r="P1790" i="21" s="1"/>
  <c r="N1791" i="21"/>
  <c r="P1791" i="21" s="1"/>
  <c r="N1792" i="21"/>
  <c r="S1792" i="21" s="1"/>
  <c r="N1793" i="21"/>
  <c r="N1794" i="21"/>
  <c r="N1795" i="21"/>
  <c r="S1795" i="21" s="1"/>
  <c r="N1796" i="21"/>
  <c r="S1796" i="21" s="1"/>
  <c r="N1797" i="21"/>
  <c r="S1797" i="21" s="1"/>
  <c r="N1798" i="21"/>
  <c r="S1798" i="21" s="1"/>
  <c r="N1799" i="21"/>
  <c r="P1799" i="21" s="1"/>
  <c r="N1800" i="21"/>
  <c r="P1800" i="21" s="1"/>
  <c r="N1801" i="21"/>
  <c r="N1802" i="21"/>
  <c r="N1803" i="21"/>
  <c r="P1803" i="21" s="1"/>
  <c r="N1804" i="21"/>
  <c r="P1804" i="21" s="1"/>
  <c r="N1805" i="21"/>
  <c r="P1805" i="21" s="1"/>
  <c r="N1806" i="21"/>
  <c r="P1806" i="21" s="1"/>
  <c r="N1807" i="21"/>
  <c r="P1807" i="21" s="1"/>
  <c r="N1808" i="21"/>
  <c r="S1808" i="21" s="1"/>
  <c r="N1809" i="21"/>
  <c r="P1809" i="21" s="1"/>
  <c r="N1810" i="21"/>
  <c r="P1810" i="21" s="1"/>
  <c r="N1811" i="21"/>
  <c r="N1812" i="21"/>
  <c r="P1812" i="21" s="1"/>
  <c r="N1813" i="21"/>
  <c r="P1813" i="21" s="1"/>
  <c r="N1814" i="21"/>
  <c r="S1814" i="21" s="1"/>
  <c r="N1815" i="21"/>
  <c r="P1815" i="21" s="1"/>
  <c r="N1816" i="21"/>
  <c r="P1816" i="21" s="1"/>
  <c r="N1817" i="21"/>
  <c r="N1818" i="21"/>
  <c r="P1818" i="21" s="1"/>
  <c r="N1819" i="21"/>
  <c r="P1819" i="21" s="1"/>
  <c r="N1820" i="21"/>
  <c r="S1820" i="21" s="1"/>
  <c r="N1821" i="21"/>
  <c r="P1821" i="21" s="1"/>
  <c r="N1822" i="21"/>
  <c r="P1822" i="21" s="1"/>
  <c r="N1823" i="21"/>
  <c r="S1823" i="21" s="1"/>
  <c r="N1824" i="21"/>
  <c r="P1824" i="21" s="1"/>
  <c r="N1825" i="21"/>
  <c r="N1826" i="21"/>
  <c r="N1827" i="21"/>
  <c r="N1828" i="21"/>
  <c r="S1828" i="21" s="1"/>
  <c r="N1829" i="21"/>
  <c r="S1829" i="21" s="1"/>
  <c r="N1830" i="21"/>
  <c r="S1830" i="21" s="1"/>
  <c r="N1831" i="21"/>
  <c r="P1831" i="21" s="1"/>
  <c r="N1832" i="21"/>
  <c r="P1832" i="21" s="1"/>
  <c r="N1833" i="21"/>
  <c r="P1833" i="21" s="1"/>
  <c r="N1834" i="21"/>
  <c r="P1834" i="21" s="1"/>
  <c r="N1835" i="21"/>
  <c r="P1835" i="21" s="1"/>
  <c r="N1836" i="21"/>
  <c r="P1836" i="21" s="1"/>
  <c r="N1837" i="21"/>
  <c r="S1837" i="21" s="1"/>
  <c r="N1838" i="21"/>
  <c r="P1838" i="21" s="1"/>
  <c r="N1839" i="21"/>
  <c r="S1839" i="21" s="1"/>
  <c r="N1840" i="21"/>
  <c r="S1840" i="21" s="1"/>
  <c r="N1841" i="21"/>
  <c r="P1841" i="21" s="1"/>
  <c r="N1842" i="21"/>
  <c r="P1842" i="21" s="1"/>
  <c r="N1843" i="21"/>
  <c r="P1843" i="21" s="1"/>
  <c r="N1844" i="21"/>
  <c r="P1844" i="21" s="1"/>
  <c r="N1845" i="21"/>
  <c r="P1845" i="21" s="1"/>
  <c r="N1846" i="21"/>
  <c r="S1846" i="21" s="1"/>
  <c r="N1847" i="21"/>
  <c r="S1847" i="21" s="1"/>
  <c r="N1848" i="21"/>
  <c r="P1848" i="21" s="1"/>
  <c r="N1849" i="21"/>
  <c r="P1849" i="21" s="1"/>
  <c r="N1850" i="21"/>
  <c r="P1850" i="21" s="1"/>
  <c r="N1851" i="21"/>
  <c r="P1851" i="21" s="1"/>
  <c r="N1852" i="21"/>
  <c r="P1852" i="21" s="1"/>
  <c r="N1853" i="21"/>
  <c r="S1853" i="21" s="1"/>
  <c r="N1854" i="21"/>
  <c r="P1854" i="21" s="1"/>
  <c r="N1855" i="21"/>
  <c r="P1855" i="21" s="1"/>
  <c r="N1856" i="21"/>
  <c r="S1856" i="21" s="1"/>
  <c r="N1857" i="21"/>
  <c r="P1857" i="21" s="1"/>
  <c r="N1858" i="21"/>
  <c r="P1858" i="21" s="1"/>
  <c r="N1859" i="21"/>
  <c r="P1859" i="21" s="1"/>
  <c r="N1860" i="21"/>
  <c r="S1860" i="21" s="1"/>
  <c r="N1861" i="21"/>
  <c r="P1861" i="21" s="1"/>
  <c r="N1862" i="21"/>
  <c r="P1862" i="21" s="1"/>
  <c r="N1863" i="21"/>
  <c r="P1863" i="21" s="1"/>
  <c r="N1864" i="21"/>
  <c r="P1864" i="21" s="1"/>
  <c r="N1865" i="21"/>
  <c r="P1865" i="21" s="1"/>
  <c r="N1866" i="21"/>
  <c r="P1866" i="21" s="1"/>
  <c r="N1867" i="21"/>
  <c r="P1867" i="21" s="1"/>
  <c r="N1868" i="21"/>
  <c r="S1868" i="21" s="1"/>
  <c r="N1869" i="21"/>
  <c r="P1869" i="21" s="1"/>
  <c r="N1870" i="21"/>
  <c r="P1870" i="21" s="1"/>
  <c r="N1871" i="21"/>
  <c r="P1871" i="21" s="1"/>
  <c r="N1872" i="21"/>
  <c r="P1872" i="21" s="1"/>
  <c r="N1873" i="21"/>
  <c r="P1873" i="21" s="1"/>
  <c r="N1874" i="21"/>
  <c r="P1874" i="21" s="1"/>
  <c r="N1875" i="21"/>
  <c r="P1875" i="21" s="1"/>
  <c r="N1876" i="21"/>
  <c r="S1876" i="21" s="1"/>
  <c r="N1877" i="21"/>
  <c r="P1877" i="21" s="1"/>
  <c r="N1878" i="21"/>
  <c r="P1878" i="21" s="1"/>
  <c r="N1879" i="21"/>
  <c r="P1879" i="21" s="1"/>
  <c r="N1880" i="21"/>
  <c r="S1880" i="21" s="1"/>
  <c r="N1881" i="21"/>
  <c r="P1881" i="21" s="1"/>
  <c r="N1882" i="21"/>
  <c r="P1882" i="21" s="1"/>
  <c r="N1883" i="21"/>
  <c r="P1883" i="21" s="1"/>
  <c r="N1884" i="21"/>
  <c r="S1884" i="21" s="1"/>
  <c r="N1885" i="21"/>
  <c r="P1885" i="21" s="1"/>
  <c r="N1886" i="21"/>
  <c r="P1886" i="21" s="1"/>
  <c r="N1887" i="21"/>
  <c r="P1887" i="21" s="1"/>
  <c r="N1888" i="21"/>
  <c r="S1888" i="21" s="1"/>
  <c r="N1889" i="21"/>
  <c r="P1889" i="21" s="1"/>
  <c r="N1890" i="21"/>
  <c r="P1890" i="21" s="1"/>
  <c r="N1891" i="21"/>
  <c r="P1891" i="21" s="1"/>
  <c r="N1892" i="21"/>
  <c r="S1892" i="21" s="1"/>
  <c r="N1893" i="21"/>
  <c r="P1893" i="21" s="1"/>
  <c r="N1894" i="21"/>
  <c r="P1894" i="21" s="1"/>
  <c r="N1895" i="21"/>
  <c r="P1895" i="21" s="1"/>
  <c r="N1896" i="21"/>
  <c r="P1896" i="21" s="1"/>
  <c r="N1897" i="21"/>
  <c r="P1897" i="21" s="1"/>
  <c r="N1898" i="21"/>
  <c r="P1898" i="21" s="1"/>
  <c r="N1899" i="21"/>
  <c r="P1899" i="21" s="1"/>
  <c r="N1900" i="21"/>
  <c r="P1900" i="21" s="1"/>
  <c r="N1901" i="21"/>
  <c r="P1901" i="21" s="1"/>
  <c r="N1902" i="21"/>
  <c r="P1902" i="21" s="1"/>
  <c r="N1903" i="21"/>
  <c r="P1903" i="21" s="1"/>
  <c r="N1904" i="21"/>
  <c r="P1904" i="21" s="1"/>
  <c r="N1905" i="21"/>
  <c r="P1905" i="21" s="1"/>
  <c r="N1906" i="21"/>
  <c r="P1906" i="21" s="1"/>
  <c r="N1907" i="21"/>
  <c r="P1907" i="21" s="1"/>
  <c r="N1908" i="21"/>
  <c r="P1908" i="21" s="1"/>
  <c r="N1909" i="21"/>
  <c r="S1909" i="21" s="1"/>
  <c r="N1910" i="21"/>
  <c r="P1910" i="21" s="1"/>
  <c r="N1911" i="21"/>
  <c r="P1911" i="21" s="1"/>
  <c r="N1912" i="21"/>
  <c r="P1912" i="21" s="1"/>
  <c r="N1913" i="21"/>
  <c r="N1914" i="21"/>
  <c r="P1914" i="21" s="1"/>
  <c r="N1915" i="21"/>
  <c r="P1915" i="21" s="1"/>
  <c r="N1916" i="21"/>
  <c r="P1916" i="21" s="1"/>
  <c r="N1917" i="21"/>
  <c r="P1917" i="21" s="1"/>
  <c r="N1918" i="21"/>
  <c r="P1918" i="21" s="1"/>
  <c r="N1919" i="21"/>
  <c r="P1919" i="21" s="1"/>
  <c r="N1920" i="21"/>
  <c r="P1920" i="21" s="1"/>
  <c r="N1921" i="21"/>
  <c r="N1922" i="21"/>
  <c r="P1922" i="21" s="1"/>
  <c r="N1923" i="21"/>
  <c r="P1923" i="21" s="1"/>
  <c r="N1924" i="21"/>
  <c r="P1924" i="21" s="1"/>
  <c r="N1925" i="21"/>
  <c r="P1925" i="21" s="1"/>
  <c r="N1926" i="21"/>
  <c r="P1926" i="21" s="1"/>
  <c r="N1927" i="21"/>
  <c r="P1927" i="21" s="1"/>
  <c r="N1928" i="21"/>
  <c r="P1928" i="21" s="1"/>
  <c r="N1929" i="21"/>
  <c r="N1930" i="21"/>
  <c r="P1930" i="21" s="1"/>
  <c r="N1931" i="21"/>
  <c r="P1931" i="21" s="1"/>
  <c r="N1932" i="21"/>
  <c r="P1932" i="21" s="1"/>
  <c r="N1933" i="21"/>
  <c r="S1933" i="21" s="1"/>
  <c r="N1934" i="21"/>
  <c r="P1934" i="21" s="1"/>
  <c r="N1935" i="21"/>
  <c r="P1935" i="21" s="1"/>
  <c r="N1936" i="21"/>
  <c r="P1936" i="21" s="1"/>
  <c r="N1937" i="21"/>
  <c r="S1937" i="21" s="1"/>
  <c r="N1938" i="21"/>
  <c r="P1938" i="21" s="1"/>
  <c r="N1939" i="21"/>
  <c r="P1939" i="21" s="1"/>
  <c r="N1940" i="21"/>
  <c r="P1940" i="21" s="1"/>
  <c r="N1941" i="21"/>
  <c r="S1941" i="21" s="1"/>
  <c r="N1942" i="21"/>
  <c r="P1942" i="21" s="1"/>
  <c r="N1943" i="21"/>
  <c r="P1943" i="21" s="1"/>
  <c r="N1944" i="21"/>
  <c r="P1944" i="21" s="1"/>
  <c r="N1945" i="21"/>
  <c r="N1946" i="21"/>
  <c r="P1946" i="21" s="1"/>
  <c r="N1947" i="21"/>
  <c r="P1947" i="21" s="1"/>
  <c r="N1948" i="21"/>
  <c r="P1948" i="21" s="1"/>
  <c r="N1949" i="21"/>
  <c r="P1949" i="21" s="1"/>
  <c r="N1950" i="21"/>
  <c r="P1950" i="21" s="1"/>
  <c r="N1951" i="21"/>
  <c r="P1951" i="21" s="1"/>
  <c r="N1952" i="21"/>
  <c r="P1952" i="21" s="1"/>
  <c r="N1953" i="21"/>
  <c r="S1953" i="21" s="1"/>
  <c r="N1954" i="21"/>
  <c r="P1954" i="21" s="1"/>
  <c r="N1955" i="21"/>
  <c r="P1955" i="21" s="1"/>
  <c r="N1956" i="21"/>
  <c r="P1956" i="21" s="1"/>
  <c r="N1957" i="21"/>
  <c r="P1957" i="21" s="1"/>
  <c r="N1958" i="21"/>
  <c r="P1958" i="21" s="1"/>
  <c r="N1959" i="21"/>
  <c r="P1959" i="21" s="1"/>
  <c r="N1960" i="21"/>
  <c r="P1960" i="21" s="1"/>
  <c r="N1961" i="21"/>
  <c r="N1962" i="21"/>
  <c r="P1962" i="21" s="1"/>
  <c r="N1963" i="21"/>
  <c r="P1963" i="21" s="1"/>
  <c r="N1964" i="21"/>
  <c r="P1964" i="21" s="1"/>
  <c r="N1965" i="21"/>
  <c r="P1965" i="21" s="1"/>
  <c r="N1966" i="21"/>
  <c r="P1966" i="21" s="1"/>
  <c r="N1967" i="21"/>
  <c r="P1967" i="21" s="1"/>
  <c r="N1968" i="21"/>
  <c r="P1968" i="21" s="1"/>
  <c r="N1969" i="21"/>
  <c r="N1970" i="21"/>
  <c r="P1970" i="21" s="1"/>
  <c r="N1971" i="21"/>
  <c r="P1971" i="21" s="1"/>
  <c r="N1972" i="21"/>
  <c r="P1972" i="21" s="1"/>
  <c r="N1973" i="21"/>
  <c r="S1973" i="21" s="1"/>
  <c r="N1974" i="21"/>
  <c r="P1974" i="21" s="1"/>
  <c r="N1975" i="21"/>
  <c r="P1975" i="21" s="1"/>
  <c r="N1976" i="21"/>
  <c r="P1976" i="21" s="1"/>
  <c r="N1977" i="21"/>
  <c r="N1978" i="21"/>
  <c r="P1978" i="21" s="1"/>
  <c r="N1979" i="21"/>
  <c r="P1979" i="21" s="1"/>
  <c r="N1980" i="21"/>
  <c r="P1980" i="21" s="1"/>
  <c r="N1981" i="21"/>
  <c r="S1981" i="21" s="1"/>
  <c r="N1982" i="21"/>
  <c r="P1982" i="21" s="1"/>
  <c r="N1983" i="21"/>
  <c r="P1983" i="21" s="1"/>
  <c r="N1984" i="21"/>
  <c r="P1984" i="21" s="1"/>
  <c r="N1985" i="21"/>
  <c r="N1986" i="21"/>
  <c r="P1986" i="21" s="1"/>
  <c r="N1987" i="21"/>
  <c r="P1987" i="21" s="1"/>
  <c r="N1988" i="21"/>
  <c r="P1988" i="21" s="1"/>
  <c r="N1989" i="21"/>
  <c r="S1989" i="21" s="1"/>
  <c r="N1990" i="21"/>
  <c r="P1990" i="21" s="1"/>
  <c r="N1991" i="21"/>
  <c r="P1991" i="21" s="1"/>
  <c r="N1992" i="21"/>
  <c r="P1992" i="21" s="1"/>
  <c r="N1993" i="21"/>
  <c r="P1993" i="21" s="1"/>
  <c r="N1994" i="21"/>
  <c r="P1994" i="21" s="1"/>
  <c r="N1995" i="21"/>
  <c r="P1995" i="21" s="1"/>
  <c r="N1996" i="21"/>
  <c r="P1996" i="21" s="1"/>
  <c r="N1997" i="21"/>
  <c r="P1997" i="21" s="1"/>
  <c r="N1998" i="21"/>
  <c r="P1998" i="21" s="1"/>
  <c r="N1999" i="21"/>
  <c r="P1999" i="21" s="1"/>
  <c r="N2000" i="21"/>
  <c r="P2000" i="21" s="1"/>
  <c r="N2001" i="21"/>
  <c r="S2001" i="21" s="1"/>
  <c r="N2002" i="21"/>
  <c r="P2002" i="21" s="1"/>
  <c r="N2003" i="21"/>
  <c r="P2003" i="21" s="1"/>
  <c r="N2004" i="21"/>
  <c r="P2004" i="21" s="1"/>
  <c r="N2005" i="21"/>
  <c r="P2005" i="21" s="1"/>
  <c r="N2006" i="21"/>
  <c r="P2006" i="21" s="1"/>
  <c r="N2007" i="21"/>
  <c r="P2007" i="21" s="1"/>
  <c r="N2008" i="21"/>
  <c r="P2008" i="21" s="1"/>
  <c r="N2009" i="21"/>
  <c r="N2010" i="21"/>
  <c r="P2010" i="21" s="1"/>
  <c r="N2011" i="21"/>
  <c r="P2011" i="21" s="1"/>
  <c r="N2012" i="21"/>
  <c r="P2012" i="21" s="1"/>
  <c r="N2013" i="21"/>
  <c r="P2013" i="21" s="1"/>
  <c r="N2014" i="21"/>
  <c r="P2014" i="21" s="1"/>
  <c r="N2015" i="21"/>
  <c r="P2015" i="21" s="1"/>
  <c r="N2016" i="21"/>
  <c r="P2016" i="21" s="1"/>
  <c r="N2017" i="21"/>
  <c r="N2018" i="21"/>
  <c r="P2018" i="21" s="1"/>
  <c r="N2019" i="21"/>
  <c r="P2019" i="21" s="1"/>
  <c r="N2020" i="21"/>
  <c r="P2020" i="21" s="1"/>
  <c r="N2021" i="21"/>
  <c r="P2021" i="21" s="1"/>
  <c r="N2022" i="21"/>
  <c r="P2022" i="21" s="1"/>
  <c r="N2023" i="21"/>
  <c r="P2023" i="21" s="1"/>
  <c r="N2024" i="21"/>
  <c r="P2024" i="21" s="1"/>
  <c r="N2025" i="21"/>
  <c r="N2026" i="21"/>
  <c r="P2026" i="21" s="1"/>
  <c r="N2027" i="21"/>
  <c r="P2027" i="21" s="1"/>
  <c r="N2028" i="21"/>
  <c r="P2028" i="21" s="1"/>
  <c r="N2029" i="21"/>
  <c r="P2029" i="21" s="1"/>
  <c r="N2030" i="21"/>
  <c r="P2030" i="21" s="1"/>
  <c r="N2031" i="21"/>
  <c r="P2031" i="21" s="1"/>
  <c r="N2032" i="21"/>
  <c r="P2032" i="21" s="1"/>
  <c r="N2033" i="21"/>
  <c r="N2034" i="21"/>
  <c r="P2034" i="21" s="1"/>
  <c r="N2035" i="21"/>
  <c r="P2035" i="21" s="1"/>
  <c r="N2036" i="21"/>
  <c r="P2036" i="21" s="1"/>
  <c r="N2037" i="21"/>
  <c r="P2037" i="21" s="1"/>
  <c r="N2038" i="21"/>
  <c r="P2038" i="21" s="1"/>
  <c r="N2039" i="21"/>
  <c r="P2039" i="21" s="1"/>
  <c r="N2040" i="21"/>
  <c r="P2040" i="21" s="1"/>
  <c r="N2041" i="21"/>
  <c r="N2042" i="21"/>
  <c r="P2042" i="21" s="1"/>
  <c r="N2043" i="21"/>
  <c r="P2043" i="21" s="1"/>
  <c r="N2044" i="21"/>
  <c r="P2044" i="21" s="1"/>
  <c r="N2045" i="21"/>
  <c r="P2045" i="21" s="1"/>
  <c r="N2046" i="21"/>
  <c r="P2046" i="21" s="1"/>
  <c r="N2047" i="21"/>
  <c r="P2047" i="21" s="1"/>
  <c r="N2048" i="21"/>
  <c r="P2048" i="21" s="1"/>
  <c r="N2049" i="21"/>
  <c r="N2050" i="21"/>
  <c r="P2050" i="21" s="1"/>
  <c r="N2051" i="21"/>
  <c r="P2051" i="21" s="1"/>
  <c r="N2052" i="21"/>
  <c r="P2052" i="21" s="1"/>
  <c r="N2053" i="21"/>
  <c r="P2053" i="21" s="1"/>
  <c r="N2054" i="21"/>
  <c r="P2054" i="21" s="1"/>
  <c r="N2055" i="21"/>
  <c r="P2055" i="21" s="1"/>
  <c r="N2056" i="21"/>
  <c r="P2056" i="21" s="1"/>
  <c r="N2057" i="21"/>
  <c r="N2058" i="21"/>
  <c r="P2058" i="21" s="1"/>
  <c r="N2059" i="21"/>
  <c r="P2059" i="21" s="1"/>
  <c r="N2060" i="21"/>
  <c r="P2060" i="21" s="1"/>
  <c r="N2061" i="21"/>
  <c r="P2061" i="21" s="1"/>
  <c r="N2062" i="21"/>
  <c r="P2062" i="21" s="1"/>
  <c r="N2063" i="21"/>
  <c r="P2063" i="21" s="1"/>
  <c r="N2064" i="21"/>
  <c r="P2064" i="21" s="1"/>
  <c r="N2065" i="21"/>
  <c r="N2066" i="21"/>
  <c r="P2066" i="21" s="1"/>
  <c r="N2067" i="21"/>
  <c r="P2067" i="21" s="1"/>
  <c r="N2068" i="21"/>
  <c r="P2068" i="21" s="1"/>
  <c r="N2069" i="21"/>
  <c r="P2069" i="21" s="1"/>
  <c r="N2070" i="21"/>
  <c r="P2070" i="21" s="1"/>
  <c r="N2071" i="21"/>
  <c r="N2072" i="21"/>
  <c r="P2072" i="21" s="1"/>
  <c r="N2073" i="21"/>
  <c r="N2074" i="21"/>
  <c r="P2074" i="21" s="1"/>
  <c r="N2075" i="21"/>
  <c r="P2075" i="21" s="1"/>
  <c r="N2076" i="21"/>
  <c r="P2076" i="21" s="1"/>
  <c r="N2077" i="21"/>
  <c r="P2077" i="21" s="1"/>
  <c r="N2078" i="21"/>
  <c r="P2078" i="21" s="1"/>
  <c r="N2079" i="21"/>
  <c r="P2079" i="21" s="1"/>
  <c r="N2080" i="21"/>
  <c r="P2080" i="21" s="1"/>
  <c r="N2081" i="21"/>
  <c r="N2082" i="21"/>
  <c r="P2082" i="21" s="1"/>
  <c r="N2083" i="21"/>
  <c r="P2083" i="21" s="1"/>
  <c r="N2084" i="21"/>
  <c r="P2084" i="21" s="1"/>
  <c r="N2085" i="21"/>
  <c r="P2085" i="21" s="1"/>
  <c r="N2086" i="21"/>
  <c r="P2086" i="21" s="1"/>
  <c r="N2087" i="21"/>
  <c r="P2087" i="21" s="1"/>
  <c r="N2088" i="21"/>
  <c r="P2088" i="21" s="1"/>
  <c r="N2089" i="21"/>
  <c r="N2090" i="21"/>
  <c r="P2090" i="21" s="1"/>
  <c r="N2091" i="21"/>
  <c r="P2091" i="21" s="1"/>
  <c r="N2092" i="21"/>
  <c r="P2092" i="21" s="1"/>
  <c r="N2093" i="21"/>
  <c r="P2093" i="21" s="1"/>
  <c r="N2094" i="21"/>
  <c r="P2094" i="21" s="1"/>
  <c r="N2095" i="21"/>
  <c r="P2095" i="21" s="1"/>
  <c r="N2096" i="21"/>
  <c r="P2096" i="21" s="1"/>
  <c r="N2097" i="21"/>
  <c r="N2098" i="21"/>
  <c r="P2098" i="21" s="1"/>
  <c r="N2099" i="21"/>
  <c r="P2099" i="21" s="1"/>
  <c r="N2100" i="21"/>
  <c r="P2100" i="21" s="1"/>
  <c r="N2101" i="21"/>
  <c r="P2101" i="21" s="1"/>
  <c r="N2102" i="21"/>
  <c r="P2102" i="21" s="1"/>
  <c r="N2103" i="21"/>
  <c r="P2103" i="21" s="1"/>
  <c r="N2104" i="21"/>
  <c r="P2104" i="21" s="1"/>
  <c r="N2105" i="21"/>
  <c r="N2106" i="21"/>
  <c r="P2106" i="21" s="1"/>
  <c r="N2107" i="21"/>
  <c r="P2107" i="21" s="1"/>
  <c r="N2108" i="21"/>
  <c r="P2108" i="21" s="1"/>
  <c r="N2109" i="21"/>
  <c r="S2109" i="21" s="1"/>
  <c r="N2110" i="21"/>
  <c r="P2110" i="21" s="1"/>
  <c r="N2111" i="21"/>
  <c r="P2111" i="21" s="1"/>
  <c r="N2112" i="21"/>
  <c r="P2112" i="21" s="1"/>
  <c r="N2113" i="21"/>
  <c r="N2114" i="21"/>
  <c r="P2114" i="21" s="1"/>
  <c r="N2115" i="21"/>
  <c r="P2115" i="21" s="1"/>
  <c r="N2116" i="21"/>
  <c r="P2116" i="21" s="1"/>
  <c r="N2117" i="21"/>
  <c r="P2117" i="21" s="1"/>
  <c r="N2118" i="21"/>
  <c r="S2118" i="21" s="1"/>
  <c r="N2119" i="21"/>
  <c r="P2119" i="21" s="1"/>
  <c r="N2120" i="21"/>
  <c r="P2120" i="21" s="1"/>
  <c r="N2121" i="21"/>
  <c r="P2121" i="21" s="1"/>
  <c r="N2122" i="21"/>
  <c r="P2122" i="21" s="1"/>
  <c r="N2123" i="21"/>
  <c r="P2123" i="21" s="1"/>
  <c r="N2124" i="21"/>
  <c r="P2124" i="21" s="1"/>
  <c r="N2125" i="21"/>
  <c r="P2125" i="21" s="1"/>
  <c r="N2126" i="21"/>
  <c r="P2126" i="21" s="1"/>
  <c r="N2127" i="21"/>
  <c r="P2127" i="21" s="1"/>
  <c r="N2128" i="21"/>
  <c r="S2128" i="21" s="1"/>
  <c r="N2129" i="21"/>
  <c r="P2129" i="21" s="1"/>
  <c r="N2130" i="21"/>
  <c r="P2130" i="21" s="1"/>
  <c r="N2131" i="21"/>
  <c r="P2131" i="21" s="1"/>
  <c r="N2132" i="21"/>
  <c r="P2132" i="21" s="1"/>
  <c r="N2133" i="21"/>
  <c r="P2133" i="21" s="1"/>
  <c r="N2134" i="21"/>
  <c r="P2134" i="21" s="1"/>
  <c r="N2135" i="21"/>
  <c r="P2135" i="21" s="1"/>
  <c r="N2136" i="21"/>
  <c r="P2136" i="21" s="1"/>
  <c r="N2137" i="21"/>
  <c r="P2137" i="21" s="1"/>
  <c r="N2138" i="21"/>
  <c r="N2139" i="21"/>
  <c r="P2139" i="21" s="1"/>
  <c r="N2140" i="21"/>
  <c r="P2140" i="21" s="1"/>
  <c r="N2141" i="21"/>
  <c r="P2141" i="21" s="1"/>
  <c r="N2142" i="21"/>
  <c r="P2142" i="21" s="1"/>
  <c r="N2143" i="21"/>
  <c r="S2143" i="21" s="1"/>
  <c r="N2144" i="21"/>
  <c r="P2144" i="21" s="1"/>
  <c r="N2145" i="21"/>
  <c r="P2145" i="21" s="1"/>
  <c r="N2146" i="21"/>
  <c r="P2146" i="21" s="1"/>
  <c r="N2147" i="21"/>
  <c r="P2147" i="21" s="1"/>
  <c r="N2148" i="21"/>
  <c r="P2148" i="21" s="1"/>
  <c r="N2149" i="21"/>
  <c r="P2149" i="21" s="1"/>
  <c r="N2150" i="21"/>
  <c r="P2150" i="21" s="1"/>
  <c r="N2151" i="21"/>
  <c r="P2151" i="21" s="1"/>
  <c r="N2152" i="21"/>
  <c r="P2152" i="21" s="1"/>
  <c r="N2153" i="21"/>
  <c r="S2153" i="21" s="1"/>
  <c r="N2154" i="21"/>
  <c r="P2154" i="21" s="1"/>
  <c r="N2155" i="21"/>
  <c r="P2155" i="21" s="1"/>
  <c r="N2156" i="21"/>
  <c r="P2156" i="21" s="1"/>
  <c r="N2157" i="21"/>
  <c r="P2157" i="21" s="1"/>
  <c r="N2158" i="21"/>
  <c r="P2158" i="21" s="1"/>
  <c r="N2159" i="21"/>
  <c r="P2159" i="21" s="1"/>
  <c r="N2160" i="21"/>
  <c r="P2160" i="21" s="1"/>
  <c r="N2161" i="21"/>
  <c r="P2161" i="21" s="1"/>
  <c r="N2162" i="21"/>
  <c r="P2162" i="21" s="1"/>
  <c r="N2163" i="21"/>
  <c r="P2163" i="21" s="1"/>
  <c r="N2164" i="21"/>
  <c r="P2164" i="21" s="1"/>
  <c r="N2165" i="21"/>
  <c r="P2165" i="21" s="1"/>
  <c r="N2166" i="21"/>
  <c r="P2166" i="21" s="1"/>
  <c r="N2167" i="21"/>
  <c r="P2167" i="21" s="1"/>
  <c r="N2168" i="21"/>
  <c r="S2168" i="21" s="1"/>
  <c r="N2169" i="21"/>
  <c r="P2169" i="21" s="1"/>
  <c r="N2170" i="21"/>
  <c r="P2170" i="21" s="1"/>
  <c r="N2171" i="21"/>
  <c r="P2171" i="21" s="1"/>
  <c r="N2172" i="21"/>
  <c r="P2172" i="21" s="1"/>
  <c r="N2173" i="21"/>
  <c r="P2173" i="21" s="1"/>
  <c r="N2174" i="21"/>
  <c r="S2174" i="21" s="1"/>
  <c r="N2175" i="21"/>
  <c r="P2175" i="21" s="1"/>
  <c r="N2176" i="21"/>
  <c r="P2176" i="21" s="1"/>
  <c r="N2177" i="21"/>
  <c r="P2177" i="21" s="1"/>
  <c r="N2178" i="21"/>
  <c r="P2178" i="21" s="1"/>
  <c r="N2179" i="21"/>
  <c r="P2179" i="21" s="1"/>
  <c r="N2180" i="21"/>
  <c r="S2180" i="21" s="1"/>
  <c r="N2181" i="21"/>
  <c r="P2181" i="21" s="1"/>
  <c r="N2182" i="21"/>
  <c r="P2182" i="21" s="1"/>
  <c r="N2183" i="21"/>
  <c r="P2183" i="21" s="1"/>
  <c r="N2184" i="21"/>
  <c r="P2184" i="21" s="1"/>
  <c r="N2185" i="21"/>
  <c r="P2185" i="21" s="1"/>
  <c r="N2186" i="21"/>
  <c r="P2186" i="21" s="1"/>
  <c r="N2187" i="21"/>
  <c r="P2187" i="21" s="1"/>
  <c r="N2188" i="21"/>
  <c r="P2188" i="21" s="1"/>
  <c r="N2189" i="21"/>
  <c r="P2189" i="21" s="1"/>
  <c r="N2190" i="21"/>
  <c r="P2190" i="21" s="1"/>
  <c r="N2191" i="21"/>
  <c r="N2192" i="21"/>
  <c r="S2192" i="21" s="1"/>
  <c r="N2193" i="21"/>
  <c r="P2193" i="21" s="1"/>
  <c r="N2194" i="21"/>
  <c r="P2194" i="21" s="1"/>
  <c r="N2195" i="21"/>
  <c r="P2195" i="21" s="1"/>
  <c r="N2196" i="21"/>
  <c r="P2196" i="21" s="1"/>
  <c r="N2197" i="21"/>
  <c r="P2197" i="21" s="1"/>
  <c r="N2198" i="21"/>
  <c r="P2198" i="21" s="1"/>
  <c r="N2199" i="21"/>
  <c r="P2199" i="21" s="1"/>
  <c r="N2200" i="21"/>
  <c r="P2200" i="21" s="1"/>
  <c r="N2201" i="21"/>
  <c r="P2201" i="21" s="1"/>
  <c r="N2202" i="21"/>
  <c r="P2202" i="21" s="1"/>
  <c r="N2203" i="21"/>
  <c r="P2203" i="21" s="1"/>
  <c r="N2204" i="21"/>
  <c r="N2205" i="21"/>
  <c r="P2205" i="21" s="1"/>
  <c r="N2206" i="21"/>
  <c r="P2206" i="21" s="1"/>
  <c r="N2207" i="21"/>
  <c r="P2207" i="21" s="1"/>
  <c r="N2208" i="21"/>
  <c r="P2208" i="21" s="1"/>
  <c r="N2209" i="21"/>
  <c r="P2209" i="21" s="1"/>
  <c r="N2210" i="21"/>
  <c r="S2210" i="21" s="1"/>
  <c r="N2211" i="21"/>
  <c r="P2211" i="21" s="1"/>
  <c r="N2212" i="21"/>
  <c r="P2212" i="21" s="1"/>
  <c r="N2213" i="21"/>
  <c r="P2213" i="21" s="1"/>
  <c r="N2214" i="21"/>
  <c r="P2214" i="21" s="1"/>
  <c r="N2215" i="21"/>
  <c r="P2215" i="21" s="1"/>
  <c r="N2216" i="21"/>
  <c r="S2216" i="21" s="1"/>
  <c r="N2217" i="21"/>
  <c r="P2217" i="21" s="1"/>
  <c r="N2218" i="21"/>
  <c r="P2218" i="21" s="1"/>
  <c r="N2219" i="21"/>
  <c r="P2219" i="21" s="1"/>
  <c r="N2220" i="21"/>
  <c r="P2220" i="21" s="1"/>
  <c r="N2221" i="21"/>
  <c r="P2221" i="21" s="1"/>
  <c r="N2222" i="21"/>
  <c r="S2222" i="21" s="1"/>
  <c r="N2223" i="21"/>
  <c r="P2223" i="21" s="1"/>
  <c r="N2224" i="21"/>
  <c r="P2224" i="21" s="1"/>
  <c r="N2225" i="21"/>
  <c r="P2225" i="21" s="1"/>
  <c r="N2226" i="21"/>
  <c r="P2226" i="21" s="1"/>
  <c r="N2227" i="21"/>
  <c r="P2227" i="21" s="1"/>
  <c r="N2228" i="21"/>
  <c r="N2229" i="21"/>
  <c r="P2229" i="21" s="1"/>
  <c r="N2230" i="21"/>
  <c r="P2230" i="21" s="1"/>
  <c r="N2231" i="21"/>
  <c r="P2231" i="21" s="1"/>
  <c r="N2232" i="21"/>
  <c r="P2232" i="21" s="1"/>
  <c r="N2233" i="21"/>
  <c r="P2233" i="21" s="1"/>
  <c r="N2234" i="21"/>
  <c r="N2235" i="21"/>
  <c r="P2235" i="21" s="1"/>
  <c r="N2236" i="21"/>
  <c r="P2236" i="21" s="1"/>
  <c r="N2237" i="21"/>
  <c r="P2237" i="21" s="1"/>
  <c r="N2238" i="21"/>
  <c r="P2238" i="21" s="1"/>
  <c r="N2239" i="21"/>
  <c r="P2239" i="21" s="1"/>
  <c r="N2240" i="21"/>
  <c r="P2240" i="21" s="1"/>
  <c r="N2241" i="21"/>
  <c r="P2241" i="21" s="1"/>
  <c r="N2242" i="21"/>
  <c r="P2242" i="21" s="1"/>
  <c r="N2243" i="21"/>
  <c r="P2243" i="21" s="1"/>
  <c r="N2244" i="21"/>
  <c r="P2244" i="21" s="1"/>
  <c r="N2245" i="21"/>
  <c r="P2245" i="21" s="1"/>
  <c r="N2246" i="21"/>
  <c r="P2246" i="21" s="1"/>
  <c r="N2247" i="21"/>
  <c r="P2247" i="21" s="1"/>
  <c r="N2248" i="21"/>
  <c r="P2248" i="21" s="1"/>
  <c r="N2249" i="21"/>
  <c r="P2249" i="21" s="1"/>
  <c r="N2250" i="21"/>
  <c r="P2250" i="21" s="1"/>
  <c r="N2251" i="21"/>
  <c r="P2251" i="21" s="1"/>
  <c r="N2252" i="21"/>
  <c r="N2253" i="21"/>
  <c r="P2253" i="21" s="1"/>
  <c r="N2254" i="21"/>
  <c r="P2254" i="21" s="1"/>
  <c r="N2255" i="21"/>
  <c r="P2255" i="21" s="1"/>
  <c r="N2256" i="21"/>
  <c r="P2256" i="21" s="1"/>
  <c r="N2257" i="21"/>
  <c r="P2257" i="21" s="1"/>
  <c r="N2258" i="21"/>
  <c r="N2259" i="21"/>
  <c r="P2259" i="21" s="1"/>
  <c r="N2260" i="21"/>
  <c r="P2260" i="21" s="1"/>
  <c r="N2261" i="21"/>
  <c r="P2261" i="21" s="1"/>
  <c r="N2262" i="21"/>
  <c r="P2262" i="21" s="1"/>
  <c r="N2263" i="21"/>
  <c r="P2263" i="21" s="1"/>
  <c r="N2264" i="21"/>
  <c r="S2264" i="21" s="1"/>
  <c r="N2265" i="21"/>
  <c r="P2265" i="21" s="1"/>
  <c r="N2266" i="21"/>
  <c r="P2266" i="21" s="1"/>
  <c r="N2267" i="21"/>
  <c r="P2267" i="21" s="1"/>
  <c r="N2268" i="21"/>
  <c r="P2268" i="21" s="1"/>
  <c r="N2269" i="21"/>
  <c r="P2269" i="21" s="1"/>
  <c r="N2270" i="21"/>
  <c r="S2270" i="21" s="1"/>
  <c r="N2271" i="21"/>
  <c r="P2271" i="21" s="1"/>
  <c r="N2272" i="21"/>
  <c r="P2272" i="21" s="1"/>
  <c r="N2273" i="21"/>
  <c r="P2273" i="21" s="1"/>
  <c r="N2274" i="21"/>
  <c r="P2274" i="21" s="1"/>
  <c r="N2275" i="21"/>
  <c r="P2275" i="21" s="1"/>
  <c r="N2276" i="21"/>
  <c r="P2276" i="21" s="1"/>
  <c r="N2277" i="21"/>
  <c r="P2277" i="21" s="1"/>
  <c r="N2278" i="21"/>
  <c r="P2278" i="21" s="1"/>
  <c r="N2279" i="21"/>
  <c r="P2279" i="21" s="1"/>
  <c r="N2280" i="21"/>
  <c r="P2280" i="21" s="1"/>
  <c r="N2281" i="21"/>
  <c r="P2281" i="21" s="1"/>
  <c r="N2282" i="21"/>
  <c r="P2282" i="21" s="1"/>
  <c r="N2283" i="21"/>
  <c r="P2283" i="21" s="1"/>
  <c r="N2284" i="21"/>
  <c r="P2284" i="21" s="1"/>
  <c r="N2285" i="21"/>
  <c r="P2285" i="21" s="1"/>
  <c r="N2286" i="21"/>
  <c r="P2286" i="21" s="1"/>
  <c r="N2287" i="21"/>
  <c r="P2287" i="21" s="1"/>
  <c r="N2288" i="21"/>
  <c r="P2288" i="21" s="1"/>
  <c r="N2289" i="21"/>
  <c r="P2289" i="21" s="1"/>
  <c r="N2290" i="21"/>
  <c r="P2290" i="21" s="1"/>
  <c r="N2291" i="21"/>
  <c r="P2291" i="21" s="1"/>
  <c r="N2292" i="21"/>
  <c r="P2292" i="21" s="1"/>
  <c r="N2293" i="21"/>
  <c r="P2293" i="21" s="1"/>
  <c r="N2294" i="21"/>
  <c r="S2294" i="21" s="1"/>
  <c r="N2295" i="21"/>
  <c r="P2295" i="21" s="1"/>
  <c r="N2296" i="21"/>
  <c r="P2296" i="21" s="1"/>
  <c r="N2297" i="21"/>
  <c r="P2297" i="21" s="1"/>
  <c r="N2298" i="21"/>
  <c r="P2298" i="21" s="1"/>
  <c r="N2299" i="21"/>
  <c r="P2299" i="21" s="1"/>
  <c r="N2300" i="21"/>
  <c r="N2301" i="21"/>
  <c r="P2301" i="21" s="1"/>
  <c r="N2302" i="21"/>
  <c r="P2302" i="21" s="1"/>
  <c r="N2303" i="21"/>
  <c r="P2303" i="21" s="1"/>
  <c r="N2304" i="21"/>
  <c r="P2304" i="21" s="1"/>
  <c r="N2305" i="21"/>
  <c r="P2305" i="21" s="1"/>
  <c r="N2306" i="21"/>
  <c r="N2307" i="21"/>
  <c r="P2307" i="21" s="1"/>
  <c r="N2308" i="21"/>
  <c r="P2308" i="21" s="1"/>
  <c r="N2309" i="21"/>
  <c r="P2309" i="21" s="1"/>
  <c r="N2310" i="21"/>
  <c r="P2310" i="21" s="1"/>
  <c r="N2311" i="21"/>
  <c r="P2311" i="21" s="1"/>
  <c r="N2312" i="21"/>
  <c r="S2312" i="21" s="1"/>
  <c r="N2313" i="21"/>
  <c r="P2313" i="21" s="1"/>
  <c r="N2314" i="21"/>
  <c r="P2314" i="21" s="1"/>
  <c r="N2315" i="21"/>
  <c r="P2315" i="21" s="1"/>
  <c r="N2316" i="21"/>
  <c r="P2316" i="21" s="1"/>
  <c r="N2317" i="21"/>
  <c r="P2317" i="21" s="1"/>
  <c r="N2318" i="21"/>
  <c r="S2318" i="21" s="1"/>
  <c r="N2319" i="21"/>
  <c r="P2319" i="21" s="1"/>
  <c r="N2320" i="21"/>
  <c r="P2320" i="21" s="1"/>
  <c r="N2321" i="21"/>
  <c r="P2321" i="21" s="1"/>
  <c r="N2322" i="21"/>
  <c r="P2322" i="21" s="1"/>
  <c r="N2323" i="21"/>
  <c r="P2323" i="21" s="1"/>
  <c r="N2324" i="21"/>
  <c r="N2325" i="21"/>
  <c r="P2325" i="21" s="1"/>
  <c r="N2326" i="21"/>
  <c r="P2326" i="21" s="1"/>
  <c r="N2327" i="21"/>
  <c r="P2327" i="21" s="1"/>
  <c r="N2328" i="21"/>
  <c r="P2328" i="21" s="1"/>
  <c r="N2329" i="21"/>
  <c r="P2329" i="21" s="1"/>
  <c r="N2330" i="21"/>
  <c r="S2330" i="21" s="1"/>
  <c r="N2331" i="21"/>
  <c r="P2331" i="21" s="1"/>
  <c r="N2332" i="21"/>
  <c r="P2332" i="21" s="1"/>
  <c r="N2333" i="21"/>
  <c r="P2333" i="21" s="1"/>
  <c r="N2334" i="21"/>
  <c r="P2334" i="21" s="1"/>
  <c r="N2335" i="21"/>
  <c r="P2335" i="21" s="1"/>
  <c r="N2336" i="21"/>
  <c r="S2336" i="21" s="1"/>
  <c r="N2337" i="21"/>
  <c r="P2337" i="21" s="1"/>
  <c r="N2338" i="21"/>
  <c r="P2338" i="21" s="1"/>
  <c r="N2339" i="21"/>
  <c r="P2339" i="21" s="1"/>
  <c r="N2340" i="21"/>
  <c r="P2340" i="21" s="1"/>
  <c r="N2341" i="21"/>
  <c r="P2341" i="21" s="1"/>
  <c r="N2342" i="21"/>
  <c r="P2342" i="21" s="1"/>
  <c r="N2343" i="21"/>
  <c r="P2343" i="21" s="1"/>
  <c r="N2344" i="21"/>
  <c r="P2344" i="21" s="1"/>
  <c r="N2345" i="21"/>
  <c r="P2345" i="21" s="1"/>
  <c r="N2346" i="21"/>
  <c r="P2346" i="21" s="1"/>
  <c r="N2347" i="21"/>
  <c r="P2347" i="21" s="1"/>
  <c r="N2348" i="21"/>
  <c r="P2348" i="21" s="1"/>
  <c r="N2349" i="21"/>
  <c r="P2349" i="21" s="1"/>
  <c r="N2350" i="21"/>
  <c r="P2350" i="21" s="1"/>
  <c r="N2351" i="21"/>
  <c r="P2351" i="21" s="1"/>
  <c r="N2352" i="21"/>
  <c r="P2352" i="21" s="1"/>
  <c r="N2353" i="21"/>
  <c r="P2353" i="21" s="1"/>
  <c r="N2354" i="21"/>
  <c r="P2354" i="21" s="1"/>
  <c r="N2355" i="21"/>
  <c r="P2355" i="21" s="1"/>
  <c r="N2356" i="21"/>
  <c r="P2356" i="21" s="1"/>
  <c r="N2357" i="21"/>
  <c r="P2357" i="21" s="1"/>
  <c r="N2358" i="21"/>
  <c r="P2358" i="21" s="1"/>
  <c r="N2359" i="21"/>
  <c r="P2359" i="21" s="1"/>
  <c r="N2360" i="21"/>
  <c r="S2360" i="21" s="1"/>
  <c r="N2361" i="21"/>
  <c r="P2361" i="21" s="1"/>
  <c r="N2362" i="21"/>
  <c r="P2362" i="21" s="1"/>
  <c r="N2363" i="21"/>
  <c r="P2363" i="21" s="1"/>
  <c r="N2364" i="21"/>
  <c r="P2364" i="21" s="1"/>
  <c r="N2365" i="21"/>
  <c r="P2365" i="21" s="1"/>
  <c r="N2366" i="21"/>
  <c r="P2366" i="21" s="1"/>
  <c r="N2367" i="21"/>
  <c r="P2367" i="21" s="1"/>
  <c r="N2368" i="21"/>
  <c r="P2368" i="21" s="1"/>
  <c r="N2369" i="21"/>
  <c r="P2369" i="21" s="1"/>
  <c r="N2370" i="21"/>
  <c r="P2370" i="21" s="1"/>
  <c r="N2371" i="21"/>
  <c r="P2371" i="21" s="1"/>
  <c r="N2372" i="21"/>
  <c r="N2373" i="21"/>
  <c r="P2373" i="21" s="1"/>
  <c r="N2374" i="21"/>
  <c r="P2374" i="21" s="1"/>
  <c r="N2375" i="21"/>
  <c r="P2375" i="21" s="1"/>
  <c r="N2376" i="21"/>
  <c r="P2376" i="21" s="1"/>
  <c r="N2377" i="21"/>
  <c r="P2377" i="21" s="1"/>
  <c r="N2378" i="21"/>
  <c r="N2379" i="21"/>
  <c r="P2379" i="21" s="1"/>
  <c r="N2380" i="21"/>
  <c r="P2380" i="21" s="1"/>
  <c r="N2381" i="21"/>
  <c r="P2381" i="21" s="1"/>
  <c r="N2382" i="21"/>
  <c r="P2382" i="21" s="1"/>
  <c r="N2383" i="21"/>
  <c r="P2383" i="21" s="1"/>
  <c r="N2384" i="21"/>
  <c r="S2384" i="21" s="1"/>
  <c r="N2385" i="21"/>
  <c r="P2385" i="21" s="1"/>
  <c r="N2386" i="21"/>
  <c r="P2386" i="21" s="1"/>
  <c r="N2387" i="21"/>
  <c r="P2387" i="21" s="1"/>
  <c r="N2388" i="21"/>
  <c r="P2388" i="21" s="1"/>
  <c r="N2389" i="21"/>
  <c r="P2389" i="21" s="1"/>
  <c r="N2390" i="21"/>
  <c r="S2390" i="21" s="1"/>
  <c r="N2391" i="21"/>
  <c r="P2391" i="21" s="1"/>
  <c r="N2392" i="21"/>
  <c r="P2392" i="21" s="1"/>
  <c r="N2393" i="21"/>
  <c r="P2393" i="21" s="1"/>
  <c r="N2394" i="21"/>
  <c r="P2394" i="21" s="1"/>
  <c r="N2395" i="21"/>
  <c r="P2395" i="21" s="1"/>
  <c r="N2396" i="21"/>
  <c r="N2397" i="21"/>
  <c r="P2397" i="21" s="1"/>
  <c r="N2398" i="21"/>
  <c r="P2398" i="21" s="1"/>
  <c r="N2399" i="21"/>
  <c r="P2399" i="21" s="1"/>
  <c r="N2400" i="21"/>
  <c r="P2400" i="21" s="1"/>
  <c r="N2401" i="21"/>
  <c r="P2401" i="21" s="1"/>
  <c r="N2402" i="21"/>
  <c r="S2402" i="21" s="1"/>
  <c r="N2403" i="21"/>
  <c r="P2403" i="21" s="1"/>
  <c r="N2404" i="21"/>
  <c r="P2404" i="21" s="1"/>
  <c r="N2405" i="21"/>
  <c r="P2405" i="21" s="1"/>
  <c r="N2406" i="21"/>
  <c r="P2406" i="21" s="1"/>
  <c r="N2407" i="21"/>
  <c r="P2407" i="21" s="1"/>
  <c r="N2408" i="21"/>
  <c r="S2408" i="21" s="1"/>
  <c r="N2409" i="21"/>
  <c r="P2409" i="21" s="1"/>
  <c r="N2410" i="21"/>
  <c r="P2410" i="21" s="1"/>
  <c r="N2411" i="21"/>
  <c r="P2411" i="21" s="1"/>
  <c r="N2412" i="21"/>
  <c r="P2412" i="21" s="1"/>
  <c r="N2413" i="21"/>
  <c r="P2413" i="21" s="1"/>
  <c r="N2414" i="21"/>
  <c r="S2414" i="21" s="1"/>
  <c r="N2415" i="21"/>
  <c r="P2415" i="21" s="1"/>
  <c r="N2416" i="21"/>
  <c r="P2416" i="21" s="1"/>
  <c r="N2417" i="21"/>
  <c r="P2417" i="21" s="1"/>
  <c r="N2418" i="21"/>
  <c r="P2418" i="21" s="1"/>
  <c r="N2419" i="21"/>
  <c r="P2419" i="21" s="1"/>
  <c r="N2420" i="21"/>
  <c r="N2421" i="21"/>
  <c r="P2421" i="21" s="1"/>
  <c r="N2422" i="21"/>
  <c r="P2422" i="21" s="1"/>
  <c r="N2423" i="21"/>
  <c r="P2423" i="21" s="1"/>
  <c r="N2424" i="21"/>
  <c r="P2424" i="21" s="1"/>
  <c r="N2425" i="21"/>
  <c r="P2425" i="21" s="1"/>
  <c r="N2426" i="21"/>
  <c r="S2426" i="21" s="1"/>
  <c r="N2427" i="21"/>
  <c r="P2427" i="21" s="1"/>
  <c r="N2428" i="21"/>
  <c r="P2428" i="21" s="1"/>
  <c r="N2429" i="21"/>
  <c r="P2429" i="21" s="1"/>
  <c r="N2430" i="21"/>
  <c r="P2430" i="21" s="1"/>
  <c r="N2431" i="21"/>
  <c r="P2431" i="21" s="1"/>
  <c r="N2432" i="21"/>
  <c r="P2432" i="21" s="1"/>
  <c r="N2433" i="21"/>
  <c r="P2433" i="21" s="1"/>
  <c r="N2434" i="21"/>
  <c r="P2434" i="21" s="1"/>
  <c r="N2435" i="21"/>
  <c r="P2435" i="21" s="1"/>
  <c r="N2436" i="21"/>
  <c r="P2436" i="21" s="1"/>
  <c r="N2437" i="21"/>
  <c r="P2437" i="21" s="1"/>
  <c r="N2438" i="21"/>
  <c r="S2438" i="21" s="1"/>
  <c r="N2439" i="21"/>
  <c r="P2439" i="21" s="1"/>
  <c r="N2440" i="21"/>
  <c r="P2440" i="21" s="1"/>
  <c r="N2441" i="21"/>
  <c r="P2441" i="21" s="1"/>
  <c r="N2442" i="21"/>
  <c r="P2442" i="21" s="1"/>
  <c r="N2443" i="21"/>
  <c r="P2443" i="21" s="1"/>
  <c r="N2444" i="21"/>
  <c r="N2445" i="21"/>
  <c r="P2445" i="21" s="1"/>
  <c r="N2446" i="21"/>
  <c r="P2446" i="21" s="1"/>
  <c r="N2447" i="21"/>
  <c r="P2447" i="21" s="1"/>
  <c r="N2448" i="21"/>
  <c r="P2448" i="21" s="1"/>
  <c r="N2449" i="21"/>
  <c r="P2449" i="21" s="1"/>
  <c r="N2450" i="21"/>
  <c r="P2450" i="21" s="1"/>
  <c r="N2451" i="21"/>
  <c r="P2451" i="21" s="1"/>
  <c r="N2452" i="21"/>
  <c r="P2452" i="21" s="1"/>
  <c r="N2453" i="21"/>
  <c r="P2453" i="21" s="1"/>
  <c r="N2454" i="21"/>
  <c r="P2454" i="21" s="1"/>
  <c r="N2455" i="21"/>
  <c r="P2455" i="21" s="1"/>
  <c r="N2456" i="21"/>
  <c r="P2456" i="21" s="1"/>
  <c r="N2457" i="21"/>
  <c r="P2457" i="21" s="1"/>
  <c r="N2458" i="21"/>
  <c r="P2458" i="21" s="1"/>
  <c r="N2459" i="21"/>
  <c r="P2459" i="21" s="1"/>
  <c r="N2460" i="21"/>
  <c r="P2460" i="21" s="1"/>
  <c r="N2461" i="21"/>
  <c r="P2461" i="21" s="1"/>
  <c r="N2462" i="21"/>
  <c r="S2462" i="21" s="1"/>
  <c r="N2463" i="21"/>
  <c r="P2463" i="21" s="1"/>
  <c r="N2464" i="21"/>
  <c r="P2464" i="21" s="1"/>
  <c r="N2465" i="21"/>
  <c r="P2465" i="21" s="1"/>
  <c r="N2466" i="21"/>
  <c r="P2466" i="21" s="1"/>
  <c r="N2467" i="21"/>
  <c r="P2467" i="21" s="1"/>
  <c r="N2468" i="21"/>
  <c r="S2468" i="21" s="1"/>
  <c r="N2469" i="21"/>
  <c r="P2469" i="21" s="1"/>
  <c r="N2470" i="21"/>
  <c r="P2470" i="21" s="1"/>
  <c r="N2471" i="21"/>
  <c r="P2471" i="21" s="1"/>
  <c r="N2472" i="21"/>
  <c r="P2472" i="21" s="1"/>
  <c r="N2473" i="21"/>
  <c r="P2473" i="21" s="1"/>
  <c r="N2474" i="21"/>
  <c r="S2474" i="21" s="1"/>
  <c r="N2475" i="21"/>
  <c r="P2475" i="21" s="1"/>
  <c r="N2476" i="21"/>
  <c r="P2476" i="21" s="1"/>
  <c r="N2477" i="21"/>
  <c r="P2477" i="21" s="1"/>
  <c r="N2478" i="21"/>
  <c r="P2478" i="21" s="1"/>
  <c r="N2479" i="21"/>
  <c r="P2479" i="21" s="1"/>
  <c r="N2480" i="21"/>
  <c r="P2480" i="21" s="1"/>
  <c r="N2481" i="21"/>
  <c r="P2481" i="21" s="1"/>
  <c r="N2482" i="21"/>
  <c r="P2482" i="21" s="1"/>
  <c r="N2483" i="21"/>
  <c r="P2483" i="21" s="1"/>
  <c r="N2484" i="21"/>
  <c r="P2484" i="21" s="1"/>
  <c r="N2485" i="21"/>
  <c r="P2485" i="21" s="1"/>
  <c r="N2486" i="21"/>
  <c r="P2486" i="21" s="1"/>
  <c r="N2487" i="21"/>
  <c r="P2487" i="21" s="1"/>
  <c r="N2488" i="21"/>
  <c r="P2488" i="21" s="1"/>
  <c r="N2489" i="21"/>
  <c r="P2489" i="21" s="1"/>
  <c r="N2490" i="21"/>
  <c r="P2490" i="21" s="1"/>
  <c r="N2491" i="21"/>
  <c r="P2491" i="21" s="1"/>
  <c r="N2492" i="21"/>
  <c r="P2492" i="21" s="1"/>
  <c r="N2493" i="21"/>
  <c r="P2493" i="21" s="1"/>
  <c r="N2494" i="21"/>
  <c r="P2494" i="21" s="1"/>
  <c r="N2495" i="21"/>
  <c r="P2495" i="21" s="1"/>
  <c r="N2496" i="21"/>
  <c r="P2496" i="21" s="1"/>
  <c r="N2497" i="21"/>
  <c r="P2497" i="21" s="1"/>
  <c r="N2498" i="21"/>
  <c r="N2499" i="21"/>
  <c r="P2499" i="21" s="1"/>
  <c r="N2500" i="21"/>
  <c r="P2500" i="21" s="1"/>
  <c r="N2501" i="21"/>
  <c r="P2501" i="21" s="1"/>
  <c r="N2502" i="21"/>
  <c r="P2502" i="21" s="1"/>
  <c r="N2503" i="21"/>
  <c r="P2503" i="21" s="1"/>
  <c r="N2504" i="21"/>
  <c r="P2504" i="21" s="1"/>
  <c r="N2505" i="21"/>
  <c r="P2505" i="21" s="1"/>
  <c r="N2506" i="21"/>
  <c r="P2506" i="21" s="1"/>
  <c r="N2507" i="21"/>
  <c r="P2507" i="21" s="1"/>
  <c r="N2508" i="21"/>
  <c r="P2508" i="21" s="1"/>
  <c r="N2509" i="21"/>
  <c r="P2509" i="21" s="1"/>
  <c r="N2510" i="21"/>
  <c r="P2510" i="21" s="1"/>
  <c r="N2511" i="21"/>
  <c r="P2511" i="21" s="1"/>
  <c r="N2512" i="21"/>
  <c r="P2512" i="21" s="1"/>
  <c r="N2513" i="21"/>
  <c r="P2513" i="21" s="1"/>
  <c r="N2514" i="21"/>
  <c r="P2514" i="21" s="1"/>
  <c r="N2515" i="21"/>
  <c r="P2515" i="21" s="1"/>
  <c r="N2516" i="21"/>
  <c r="N2517" i="21"/>
  <c r="P2517" i="21" s="1"/>
  <c r="N2518" i="21"/>
  <c r="P2518" i="21" s="1"/>
  <c r="N2519" i="21"/>
  <c r="P2519" i="21" s="1"/>
  <c r="N2520" i="21"/>
  <c r="P2520" i="21" s="1"/>
  <c r="N2521" i="21"/>
  <c r="P2521" i="21" s="1"/>
  <c r="N2522" i="21"/>
  <c r="N2523" i="21"/>
  <c r="P2523" i="21" s="1"/>
  <c r="N2524" i="21"/>
  <c r="P2524" i="21" s="1"/>
  <c r="N2525" i="21"/>
  <c r="P2525" i="21" s="1"/>
  <c r="N2526" i="21"/>
  <c r="P2526" i="21" s="1"/>
  <c r="N2527" i="21"/>
  <c r="P2527" i="21" s="1"/>
  <c r="N2528" i="21"/>
  <c r="N2529" i="21"/>
  <c r="P2529" i="21" s="1"/>
  <c r="N2530" i="21"/>
  <c r="P2530" i="21" s="1"/>
  <c r="N2531" i="21"/>
  <c r="P2531" i="21" s="1"/>
  <c r="N2532" i="21"/>
  <c r="P2532" i="21" s="1"/>
  <c r="N2533" i="21"/>
  <c r="P2533" i="21" s="1"/>
  <c r="N2534" i="21"/>
  <c r="P2534" i="21" s="1"/>
  <c r="N2535" i="21"/>
  <c r="P2535" i="21" s="1"/>
  <c r="N2536" i="21"/>
  <c r="P2536" i="21" s="1"/>
  <c r="N2537" i="21"/>
  <c r="P2537" i="21" s="1"/>
  <c r="N2538" i="21"/>
  <c r="P2538" i="21" s="1"/>
  <c r="N2539" i="21"/>
  <c r="P2539" i="21" s="1"/>
  <c r="N2540" i="21"/>
  <c r="N2541" i="21"/>
  <c r="P2541" i="21" s="1"/>
  <c r="N2542" i="21"/>
  <c r="P2542" i="21" s="1"/>
  <c r="N2543" i="21"/>
  <c r="P2543" i="21" s="1"/>
  <c r="N2544" i="21"/>
  <c r="P2544" i="21" s="1"/>
  <c r="N2545" i="21"/>
  <c r="P2545" i="21" s="1"/>
  <c r="N2546" i="21"/>
  <c r="N2547" i="21"/>
  <c r="P2547" i="21" s="1"/>
  <c r="N2548" i="21"/>
  <c r="P2548" i="21" s="1"/>
  <c r="N2549" i="21"/>
  <c r="P2549" i="21" s="1"/>
  <c r="N2550" i="21"/>
  <c r="P2550" i="21" s="1"/>
  <c r="N2551" i="21"/>
  <c r="P2551" i="21" s="1"/>
  <c r="N2552" i="21"/>
  <c r="S2552" i="21" s="1"/>
  <c r="N2553" i="21"/>
  <c r="P2553" i="21" s="1"/>
  <c r="N2554" i="21"/>
  <c r="P2554" i="21" s="1"/>
  <c r="N2555" i="21"/>
  <c r="P2555" i="21" s="1"/>
  <c r="N2556" i="21"/>
  <c r="P2556" i="21" s="1"/>
  <c r="N2557" i="21"/>
  <c r="P2557" i="21" s="1"/>
  <c r="N2558" i="21"/>
  <c r="P2558" i="21" s="1"/>
  <c r="N2559" i="21"/>
  <c r="P2559" i="21" s="1"/>
  <c r="N2560" i="21"/>
  <c r="P2560" i="21" s="1"/>
  <c r="N2561" i="21"/>
  <c r="P2561" i="21" s="1"/>
  <c r="N2562" i="21"/>
  <c r="P2562" i="21" s="1"/>
  <c r="N2563" i="21"/>
  <c r="P2563" i="21" s="1"/>
  <c r="N2564" i="21"/>
  <c r="N2565" i="21"/>
  <c r="P2565" i="21" s="1"/>
  <c r="N2566" i="21"/>
  <c r="P2566" i="21" s="1"/>
  <c r="N2567" i="21"/>
  <c r="P2567" i="21" s="1"/>
  <c r="N2568" i="21"/>
  <c r="P2568" i="21" s="1"/>
  <c r="N2569" i="21"/>
  <c r="P2569" i="21" s="1"/>
  <c r="N2570" i="21"/>
  <c r="S2570" i="21" s="1"/>
  <c r="N2571" i="21"/>
  <c r="P2571" i="21" s="1"/>
  <c r="N2572" i="21"/>
  <c r="P2572" i="21" s="1"/>
  <c r="N2573" i="21"/>
  <c r="P2573" i="21" s="1"/>
  <c r="N2574" i="21"/>
  <c r="P2574" i="21" s="1"/>
  <c r="N2575" i="21"/>
  <c r="P2575" i="21" s="1"/>
  <c r="N2576" i="21"/>
  <c r="S2576" i="21" s="1"/>
  <c r="N2577" i="21"/>
  <c r="P2577" i="21" s="1"/>
  <c r="N2578" i="21"/>
  <c r="P2578" i="21" s="1"/>
  <c r="N2579" i="21"/>
  <c r="P2579" i="21" s="1"/>
  <c r="N2580" i="21"/>
  <c r="P2580" i="21" s="1"/>
  <c r="N2581" i="21"/>
  <c r="P2581" i="21" s="1"/>
  <c r="N2582" i="21"/>
  <c r="P2582" i="21" s="1"/>
  <c r="N2583" i="21"/>
  <c r="P2583" i="21" s="1"/>
  <c r="N2584" i="21"/>
  <c r="P2584" i="21" s="1"/>
  <c r="N2585" i="21"/>
  <c r="P2585" i="21" s="1"/>
  <c r="N2586" i="21"/>
  <c r="P2586" i="21" s="1"/>
  <c r="N2587" i="21"/>
  <c r="P2587" i="21" s="1"/>
  <c r="N2588" i="21"/>
  <c r="N2589" i="21"/>
  <c r="P2589" i="21" s="1"/>
  <c r="N2590" i="21"/>
  <c r="P2590" i="21" s="1"/>
  <c r="N2591" i="21"/>
  <c r="P2591" i="21" s="1"/>
  <c r="N2592" i="21"/>
  <c r="P2592" i="21" s="1"/>
  <c r="N2593" i="21"/>
  <c r="P2593" i="21" s="1"/>
  <c r="N2594" i="21"/>
  <c r="N2595" i="21"/>
  <c r="P2595" i="21" s="1"/>
  <c r="N2596" i="21"/>
  <c r="P2596" i="21" s="1"/>
  <c r="N2597" i="21"/>
  <c r="P2597" i="21" s="1"/>
  <c r="N2598" i="21"/>
  <c r="P2598" i="21" s="1"/>
  <c r="N2599" i="21"/>
  <c r="P2599" i="21" s="1"/>
  <c r="N2600" i="21"/>
  <c r="P2600" i="21" s="1"/>
  <c r="N2601" i="21"/>
  <c r="P2601" i="21" s="1"/>
  <c r="N2602" i="21"/>
  <c r="P2602" i="21" s="1"/>
  <c r="N2603" i="21"/>
  <c r="P2603" i="21" s="1"/>
  <c r="N2604" i="21"/>
  <c r="P2604" i="21" s="1"/>
  <c r="N2605" i="21"/>
  <c r="P2605" i="21" s="1"/>
  <c r="N2606" i="21"/>
  <c r="P2606" i="21" s="1"/>
  <c r="N2607" i="21"/>
  <c r="P2607" i="21" s="1"/>
  <c r="N2608" i="21"/>
  <c r="P2608" i="21" s="1"/>
  <c r="N2609" i="21"/>
  <c r="P2609" i="21" s="1"/>
  <c r="N2610" i="21"/>
  <c r="P2610" i="21" s="1"/>
  <c r="N2611" i="21"/>
  <c r="P2611" i="21" s="1"/>
  <c r="N2612" i="21"/>
  <c r="N2613" i="21"/>
  <c r="P2613" i="21" s="1"/>
  <c r="N2614" i="21"/>
  <c r="P2614" i="21" s="1"/>
  <c r="N2615" i="21"/>
  <c r="P2615" i="21" s="1"/>
  <c r="N2616" i="21"/>
  <c r="P2616" i="21" s="1"/>
  <c r="N2617" i="21"/>
  <c r="P2617" i="21" s="1"/>
  <c r="N2618" i="21"/>
  <c r="P2618" i="21" s="1"/>
  <c r="N2619" i="21"/>
  <c r="P2619" i="21" s="1"/>
  <c r="N2620" i="21"/>
  <c r="P2620" i="21" s="1"/>
  <c r="N2621" i="21"/>
  <c r="P2621" i="21" s="1"/>
  <c r="N2622" i="21"/>
  <c r="P2622" i="21" s="1"/>
  <c r="N2623" i="21"/>
  <c r="P2623" i="21" s="1"/>
  <c r="N2624" i="21"/>
  <c r="P2624" i="21" s="1"/>
  <c r="N2625" i="21"/>
  <c r="P2625" i="21" s="1"/>
  <c r="N2626" i="21"/>
  <c r="P2626" i="21" s="1"/>
  <c r="N2627" i="21"/>
  <c r="P2627" i="21" s="1"/>
  <c r="N2628" i="21"/>
  <c r="P2628" i="21" s="1"/>
  <c r="N2629" i="21"/>
  <c r="P2629" i="21" s="1"/>
  <c r="N2630" i="21"/>
  <c r="P2630" i="21" s="1"/>
  <c r="N2631" i="21"/>
  <c r="S2631" i="21" s="1"/>
  <c r="N2632" i="21"/>
  <c r="N2633" i="21"/>
  <c r="N2634" i="21"/>
  <c r="P2634" i="21" s="1"/>
  <c r="N2635" i="21"/>
  <c r="N2636" i="21"/>
  <c r="N2637" i="21"/>
  <c r="P2637" i="21" s="1"/>
  <c r="N2638" i="21"/>
  <c r="S2638" i="21" s="1"/>
  <c r="N2639" i="21"/>
  <c r="S2639" i="21" s="1"/>
  <c r="N2640" i="21"/>
  <c r="N2641" i="21"/>
  <c r="N2642" i="21"/>
  <c r="S2642" i="21" s="1"/>
  <c r="N2643" i="21"/>
  <c r="N2644" i="21"/>
  <c r="S2644" i="21" s="1"/>
  <c r="N2645" i="21"/>
  <c r="S2645" i="21" s="1"/>
  <c r="N2646" i="21"/>
  <c r="S2646" i="21" s="1"/>
  <c r="N2647" i="21"/>
  <c r="P2647" i="21" s="1"/>
  <c r="N2648" i="21"/>
  <c r="S2648" i="21" s="1"/>
  <c r="N2649" i="21"/>
  <c r="N2650" i="21"/>
  <c r="S2650" i="21" s="1"/>
  <c r="N2651" i="21"/>
  <c r="P2651" i="21" s="1"/>
  <c r="N2652" i="21"/>
  <c r="S2652" i="21" s="1"/>
  <c r="N2653" i="21"/>
  <c r="S2653" i="21" s="1"/>
  <c r="N2654" i="21"/>
  <c r="P2654" i="21" s="1"/>
  <c r="N2655" i="21"/>
  <c r="P2655" i="21" s="1"/>
  <c r="N2656" i="21"/>
  <c r="N2657" i="21"/>
  <c r="N2658" i="21"/>
  <c r="S2658" i="21" s="1"/>
  <c r="N2659" i="21"/>
  <c r="P2659" i="21" s="1"/>
  <c r="N2660" i="21"/>
  <c r="N2661" i="21"/>
  <c r="S2661" i="21" s="1"/>
  <c r="P2662" i="21"/>
  <c r="N2663" i="21"/>
  <c r="P2663" i="21" s="1"/>
  <c r="N2664" i="21"/>
  <c r="P2664" i="21" s="1"/>
  <c r="N2665" i="21"/>
  <c r="N2666" i="21"/>
  <c r="S2666" i="21" s="1"/>
  <c r="N2667" i="21"/>
  <c r="N2669" i="21"/>
  <c r="S2669" i="21" s="1"/>
  <c r="N2673" i="21"/>
  <c r="N2676" i="21"/>
  <c r="N2677" i="21"/>
  <c r="S2677" i="21" s="1"/>
  <c r="N2678" i="21"/>
  <c r="S2678" i="21" s="1"/>
  <c r="N2679" i="21"/>
  <c r="S2679" i="21" s="1"/>
  <c r="N2680" i="21"/>
  <c r="N2681" i="21"/>
  <c r="S2681" i="21" s="1"/>
  <c r="N2682" i="21"/>
  <c r="N2683" i="21"/>
  <c r="N2684" i="21"/>
  <c r="N2685" i="21"/>
  <c r="S2685" i="21" s="1"/>
  <c r="N2686" i="21"/>
  <c r="P2686" i="21" s="1"/>
  <c r="N2687" i="21"/>
  <c r="P2687" i="21" s="1"/>
  <c r="N2688" i="21"/>
  <c r="S2688" i="21" s="1"/>
  <c r="N2689" i="21"/>
  <c r="P2689" i="21" s="1"/>
  <c r="N2690" i="21"/>
  <c r="P2690" i="21" s="1"/>
  <c r="N2691" i="21"/>
  <c r="N2692" i="21"/>
  <c r="P2692" i="21" s="1"/>
  <c r="N2693" i="21"/>
  <c r="S2693" i="21" s="1"/>
  <c r="N2695" i="21"/>
  <c r="S2695" i="21" s="1"/>
  <c r="N2696" i="21"/>
  <c r="P2696" i="21" s="1"/>
  <c r="N2697" i="21"/>
  <c r="N2698" i="21"/>
  <c r="P2698" i="21" s="1"/>
  <c r="N2699" i="21"/>
  <c r="N2700" i="21"/>
  <c r="P2700" i="21" s="1"/>
  <c r="N2701" i="21"/>
  <c r="N2702" i="21"/>
  <c r="P2702" i="21" s="1"/>
  <c r="N2703" i="21"/>
  <c r="S2703" i="21" s="1"/>
  <c r="N2704" i="21"/>
  <c r="P2704" i="21" s="1"/>
  <c r="N2705" i="21"/>
  <c r="N2706" i="21"/>
  <c r="S2706" i="21" s="1"/>
  <c r="N2707" i="21"/>
  <c r="N19" i="21"/>
  <c r="S19" i="21" s="1"/>
  <c r="J2717" i="21"/>
  <c r="J2716" i="21"/>
  <c r="J2715" i="21"/>
  <c r="J2714" i="21"/>
  <c r="J2713" i="21"/>
  <c r="J2712" i="21"/>
  <c r="J2710" i="21"/>
  <c r="R2707" i="21"/>
  <c r="O2707" i="21"/>
  <c r="K2707" i="21"/>
  <c r="R2706" i="21"/>
  <c r="O2706" i="21"/>
  <c r="K2706" i="21"/>
  <c r="R2705" i="21"/>
  <c r="O2705" i="21"/>
  <c r="K2705" i="21"/>
  <c r="R2704" i="21"/>
  <c r="O2704" i="21"/>
  <c r="K2704" i="21"/>
  <c r="R2703" i="21"/>
  <c r="O2703" i="21"/>
  <c r="K2703" i="21"/>
  <c r="R2702" i="21"/>
  <c r="O2702" i="21"/>
  <c r="K2702" i="21"/>
  <c r="R2701" i="21"/>
  <c r="O2701" i="21"/>
  <c r="K2701" i="21"/>
  <c r="R2700" i="21"/>
  <c r="O2700" i="21"/>
  <c r="K2700" i="21"/>
  <c r="R2699" i="21"/>
  <c r="O2699" i="21"/>
  <c r="K2699" i="21"/>
  <c r="R2698" i="21"/>
  <c r="O2698" i="21"/>
  <c r="K2698" i="21"/>
  <c r="R2697" i="21"/>
  <c r="O2697" i="21"/>
  <c r="K2697" i="21"/>
  <c r="R2696" i="21"/>
  <c r="O2696" i="21"/>
  <c r="K2696" i="21"/>
  <c r="R2695" i="21"/>
  <c r="O2695" i="21"/>
  <c r="K2695" i="21"/>
  <c r="R2694" i="21"/>
  <c r="O2694" i="21"/>
  <c r="K2694" i="21"/>
  <c r="R2693" i="21"/>
  <c r="O2693" i="21"/>
  <c r="K2693" i="21"/>
  <c r="R2692" i="21"/>
  <c r="O2692" i="21"/>
  <c r="K2692" i="21"/>
  <c r="R2691" i="21"/>
  <c r="O2691" i="21"/>
  <c r="K2691" i="21"/>
  <c r="R2690" i="21"/>
  <c r="O2690" i="21"/>
  <c r="K2690" i="21"/>
  <c r="R2689" i="21"/>
  <c r="O2689" i="21"/>
  <c r="K2689" i="21"/>
  <c r="R2688" i="21"/>
  <c r="O2688" i="21"/>
  <c r="K2688" i="21"/>
  <c r="R2687" i="21"/>
  <c r="O2687" i="21"/>
  <c r="K2687" i="21"/>
  <c r="R2686" i="21"/>
  <c r="O2686" i="21"/>
  <c r="K2686" i="21"/>
  <c r="R2685" i="21"/>
  <c r="O2685" i="21"/>
  <c r="K2685" i="21"/>
  <c r="R2684" i="21"/>
  <c r="O2684" i="21"/>
  <c r="K2684" i="21"/>
  <c r="R2683" i="21"/>
  <c r="O2683" i="21"/>
  <c r="K2683" i="21"/>
  <c r="R2682" i="21"/>
  <c r="O2682" i="21"/>
  <c r="K2682" i="21"/>
  <c r="R2681" i="21"/>
  <c r="O2681" i="21"/>
  <c r="K2681" i="21"/>
  <c r="R2680" i="21"/>
  <c r="O2680" i="21"/>
  <c r="K2680" i="21"/>
  <c r="R2679" i="21"/>
  <c r="O2679" i="21"/>
  <c r="K2679" i="21"/>
  <c r="R2678" i="21"/>
  <c r="O2678" i="21"/>
  <c r="K2678" i="21"/>
  <c r="R2677" i="21"/>
  <c r="O2677" i="21"/>
  <c r="K2677" i="21"/>
  <c r="R2675" i="21"/>
  <c r="J2675" i="21"/>
  <c r="R2674" i="21"/>
  <c r="J2674" i="21"/>
  <c r="R2673" i="21"/>
  <c r="J2673" i="21"/>
  <c r="R2672" i="21"/>
  <c r="J2672" i="21"/>
  <c r="R2671" i="21"/>
  <c r="J2671" i="21"/>
  <c r="R2670" i="21"/>
  <c r="J2670" i="21"/>
  <c r="R2669" i="21"/>
  <c r="O2669" i="21"/>
  <c r="J2669" i="21"/>
  <c r="R2668" i="21"/>
  <c r="J2668" i="21"/>
  <c r="R2667" i="21"/>
  <c r="O2667" i="21"/>
  <c r="J2667" i="21"/>
  <c r="R2666" i="21"/>
  <c r="O2666" i="21"/>
  <c r="J2666" i="21"/>
  <c r="R2665" i="21"/>
  <c r="O2665" i="21"/>
  <c r="J2665" i="21"/>
  <c r="R2664" i="21"/>
  <c r="O2664" i="21"/>
  <c r="J2664" i="21"/>
  <c r="R2663" i="21"/>
  <c r="O2663" i="21"/>
  <c r="J2663" i="21"/>
  <c r="U2662" i="21"/>
  <c r="T2662" i="21"/>
  <c r="O2662" i="21"/>
  <c r="R2661" i="21"/>
  <c r="O2661" i="21"/>
  <c r="K2661" i="21"/>
  <c r="R2660" i="21"/>
  <c r="O2660" i="21"/>
  <c r="K2660" i="21"/>
  <c r="R2659" i="21"/>
  <c r="O2659" i="21"/>
  <c r="K2659" i="21"/>
  <c r="R2658" i="21"/>
  <c r="O2658" i="21"/>
  <c r="K2658" i="21"/>
  <c r="R2657" i="21"/>
  <c r="O2657" i="21"/>
  <c r="K2657" i="21"/>
  <c r="R2656" i="21"/>
  <c r="O2656" i="21"/>
  <c r="K2656" i="21"/>
  <c r="R2655" i="21"/>
  <c r="O2655" i="21"/>
  <c r="K2655" i="21"/>
  <c r="R2654" i="21"/>
  <c r="O2654" i="21"/>
  <c r="K2654" i="21"/>
  <c r="R2653" i="21"/>
  <c r="O2653" i="21"/>
  <c r="K2653" i="21"/>
  <c r="R2652" i="21"/>
  <c r="O2652" i="21"/>
  <c r="K2652" i="21"/>
  <c r="R2651" i="21"/>
  <c r="O2651" i="21"/>
  <c r="K2651" i="21"/>
  <c r="R2650" i="21"/>
  <c r="O2650" i="21"/>
  <c r="K2650" i="21"/>
  <c r="R2649" i="21"/>
  <c r="O2649" i="21"/>
  <c r="K2649" i="21"/>
  <c r="R2648" i="21"/>
  <c r="O2648" i="21"/>
  <c r="K2648" i="21"/>
  <c r="R2647" i="21"/>
  <c r="O2647" i="21"/>
  <c r="K2647" i="21"/>
  <c r="R2646" i="21"/>
  <c r="O2646" i="21"/>
  <c r="K2646" i="21"/>
  <c r="R2645" i="21"/>
  <c r="O2645" i="21"/>
  <c r="K2645" i="21"/>
  <c r="R2644" i="21"/>
  <c r="O2644" i="21"/>
  <c r="K2644" i="21"/>
  <c r="R2643" i="21"/>
  <c r="O2643" i="21"/>
  <c r="K2643" i="21"/>
  <c r="R2642" i="21"/>
  <c r="O2642" i="21"/>
  <c r="K2642" i="21"/>
  <c r="R2641" i="21"/>
  <c r="O2641" i="21"/>
  <c r="K2641" i="21"/>
  <c r="R2640" i="21"/>
  <c r="O2640" i="21"/>
  <c r="K2640" i="21"/>
  <c r="R2639" i="21"/>
  <c r="O2639" i="21"/>
  <c r="K2639" i="21"/>
  <c r="R2638" i="21"/>
  <c r="O2638" i="21"/>
  <c r="K2638" i="21"/>
  <c r="R2637" i="21"/>
  <c r="O2637" i="21"/>
  <c r="K2637" i="21"/>
  <c r="R2636" i="21"/>
  <c r="O2636" i="21"/>
  <c r="K2636" i="21"/>
  <c r="R2635" i="21"/>
  <c r="O2635" i="21"/>
  <c r="K2635" i="21"/>
  <c r="R2634" i="21"/>
  <c r="O2634" i="21"/>
  <c r="K2634" i="21"/>
  <c r="R2633" i="21"/>
  <c r="O2633" i="21"/>
  <c r="K2633" i="21"/>
  <c r="R2632" i="21"/>
  <c r="O2632" i="21"/>
  <c r="K2632" i="21"/>
  <c r="R2631" i="21"/>
  <c r="O2631" i="21"/>
  <c r="K2631" i="21"/>
  <c r="U2630" i="21"/>
  <c r="T2630" i="21"/>
  <c r="O2630" i="21"/>
  <c r="U2629" i="21"/>
  <c r="T2629" i="21"/>
  <c r="O2629" i="21"/>
  <c r="K2629" i="21"/>
  <c r="J2629" i="21"/>
  <c r="U2628" i="21"/>
  <c r="T2628" i="21"/>
  <c r="O2628" i="21"/>
  <c r="K2628" i="21"/>
  <c r="J2628" i="21"/>
  <c r="U2627" i="21"/>
  <c r="T2627" i="21"/>
  <c r="O2627" i="21"/>
  <c r="K2627" i="21"/>
  <c r="J2627" i="21"/>
  <c r="U2626" i="21"/>
  <c r="T2626" i="21"/>
  <c r="O2626" i="21"/>
  <c r="K2626" i="21"/>
  <c r="J2626" i="21"/>
  <c r="U2625" i="21"/>
  <c r="T2625" i="21"/>
  <c r="O2625" i="21"/>
  <c r="K2625" i="21"/>
  <c r="J2625" i="21"/>
  <c r="R2624" i="21"/>
  <c r="O2624" i="21"/>
  <c r="D2624" i="21"/>
  <c r="G2629" i="21" s="1"/>
  <c r="H2629" i="21" s="1"/>
  <c r="U2623" i="21"/>
  <c r="T2623" i="21"/>
  <c r="O2623" i="21"/>
  <c r="K2623" i="21"/>
  <c r="J2623" i="21"/>
  <c r="U2622" i="21"/>
  <c r="T2622" i="21"/>
  <c r="O2622" i="21"/>
  <c r="K2622" i="21"/>
  <c r="J2622" i="21"/>
  <c r="U2621" i="21"/>
  <c r="T2621" i="21"/>
  <c r="O2621" i="21"/>
  <c r="K2621" i="21"/>
  <c r="J2621" i="21"/>
  <c r="U2620" i="21"/>
  <c r="T2620" i="21"/>
  <c r="O2620" i="21"/>
  <c r="K2620" i="21"/>
  <c r="J2620" i="21"/>
  <c r="U2619" i="21"/>
  <c r="T2619" i="21"/>
  <c r="O2619" i="21"/>
  <c r="K2619" i="21"/>
  <c r="J2619" i="21"/>
  <c r="R2618" i="21"/>
  <c r="O2618" i="21"/>
  <c r="D2618" i="21"/>
  <c r="U2617" i="21"/>
  <c r="T2617" i="21"/>
  <c r="O2617" i="21"/>
  <c r="K2617" i="21"/>
  <c r="J2617" i="21"/>
  <c r="U2616" i="21"/>
  <c r="T2616" i="21"/>
  <c r="O2616" i="21"/>
  <c r="K2616" i="21"/>
  <c r="J2616" i="21"/>
  <c r="U2615" i="21"/>
  <c r="T2615" i="21"/>
  <c r="O2615" i="21"/>
  <c r="K2615" i="21"/>
  <c r="J2615" i="21"/>
  <c r="U2614" i="21"/>
  <c r="T2614" i="21"/>
  <c r="O2614" i="21"/>
  <c r="K2614" i="21"/>
  <c r="J2614" i="21"/>
  <c r="U2613" i="21"/>
  <c r="T2613" i="21"/>
  <c r="O2613" i="21"/>
  <c r="K2613" i="21"/>
  <c r="J2613" i="21"/>
  <c r="R2612" i="21"/>
  <c r="O2612" i="21"/>
  <c r="D2612" i="21"/>
  <c r="G2617" i="21" s="1"/>
  <c r="H2617" i="21" s="1"/>
  <c r="U2611" i="21"/>
  <c r="T2611" i="21"/>
  <c r="O2611" i="21"/>
  <c r="K2611" i="21"/>
  <c r="J2611" i="21"/>
  <c r="U2610" i="21"/>
  <c r="T2610" i="21"/>
  <c r="O2610" i="21"/>
  <c r="K2610" i="21"/>
  <c r="J2610" i="21"/>
  <c r="U2609" i="21"/>
  <c r="T2609" i="21"/>
  <c r="O2609" i="21"/>
  <c r="K2609" i="21"/>
  <c r="J2609" i="21"/>
  <c r="U2608" i="21"/>
  <c r="T2608" i="21"/>
  <c r="O2608" i="21"/>
  <c r="K2608" i="21"/>
  <c r="J2608" i="21"/>
  <c r="U2607" i="21"/>
  <c r="T2607" i="21"/>
  <c r="O2607" i="21"/>
  <c r="K2607" i="21"/>
  <c r="J2607" i="21"/>
  <c r="R2606" i="21"/>
  <c r="O2606" i="21"/>
  <c r="D2606" i="21"/>
  <c r="G2609" i="21" s="1"/>
  <c r="H2609" i="21" s="1"/>
  <c r="U2605" i="21"/>
  <c r="T2605" i="21"/>
  <c r="O2605" i="21"/>
  <c r="K2605" i="21"/>
  <c r="J2605" i="21"/>
  <c r="U2604" i="21"/>
  <c r="T2604" i="21"/>
  <c r="O2604" i="21"/>
  <c r="K2604" i="21"/>
  <c r="J2604" i="21"/>
  <c r="U2603" i="21"/>
  <c r="T2603" i="21"/>
  <c r="O2603" i="21"/>
  <c r="K2603" i="21"/>
  <c r="J2603" i="21"/>
  <c r="U2602" i="21"/>
  <c r="T2602" i="21"/>
  <c r="O2602" i="21"/>
  <c r="K2602" i="21"/>
  <c r="J2602" i="21"/>
  <c r="U2601" i="21"/>
  <c r="T2601" i="21"/>
  <c r="O2601" i="21"/>
  <c r="K2601" i="21"/>
  <c r="J2601" i="21"/>
  <c r="R2600" i="21"/>
  <c r="O2600" i="21"/>
  <c r="D2600" i="21"/>
  <c r="I2600" i="21" s="1"/>
  <c r="U2599" i="21"/>
  <c r="T2599" i="21"/>
  <c r="O2599" i="21"/>
  <c r="K2599" i="21"/>
  <c r="J2599" i="21"/>
  <c r="U2598" i="21"/>
  <c r="T2598" i="21"/>
  <c r="O2598" i="21"/>
  <c r="K2598" i="21"/>
  <c r="J2598" i="21"/>
  <c r="U2597" i="21"/>
  <c r="T2597" i="21"/>
  <c r="O2597" i="21"/>
  <c r="K2597" i="21"/>
  <c r="J2597" i="21"/>
  <c r="U2596" i="21"/>
  <c r="T2596" i="21"/>
  <c r="O2596" i="21"/>
  <c r="K2596" i="21"/>
  <c r="J2596" i="21"/>
  <c r="U2595" i="21"/>
  <c r="T2595" i="21"/>
  <c r="O2595" i="21"/>
  <c r="K2595" i="21"/>
  <c r="J2595" i="21"/>
  <c r="R2594" i="21"/>
  <c r="O2594" i="21"/>
  <c r="D2594" i="21"/>
  <c r="G2598" i="21" s="1"/>
  <c r="H2598" i="21" s="1"/>
  <c r="U2593" i="21"/>
  <c r="T2593" i="21"/>
  <c r="O2593" i="21"/>
  <c r="K2593" i="21"/>
  <c r="J2593" i="21"/>
  <c r="U2592" i="21"/>
  <c r="T2592" i="21"/>
  <c r="O2592" i="21"/>
  <c r="K2592" i="21"/>
  <c r="J2592" i="21"/>
  <c r="U2591" i="21"/>
  <c r="T2591" i="21"/>
  <c r="O2591" i="21"/>
  <c r="K2591" i="21"/>
  <c r="J2591" i="21"/>
  <c r="U2590" i="21"/>
  <c r="T2590" i="21"/>
  <c r="O2590" i="21"/>
  <c r="K2590" i="21"/>
  <c r="J2590" i="21"/>
  <c r="U2589" i="21"/>
  <c r="T2589" i="21"/>
  <c r="O2589" i="21"/>
  <c r="K2589" i="21"/>
  <c r="J2589" i="21"/>
  <c r="R2588" i="21"/>
  <c r="O2588" i="21"/>
  <c r="D2588" i="21"/>
  <c r="G2592" i="21" s="1"/>
  <c r="H2592" i="21" s="1"/>
  <c r="U2587" i="21"/>
  <c r="T2587" i="21"/>
  <c r="O2587" i="21"/>
  <c r="K2587" i="21"/>
  <c r="J2587" i="21"/>
  <c r="U2586" i="21"/>
  <c r="T2586" i="21"/>
  <c r="O2586" i="21"/>
  <c r="K2586" i="21"/>
  <c r="J2586" i="21"/>
  <c r="U2585" i="21"/>
  <c r="T2585" i="21"/>
  <c r="O2585" i="21"/>
  <c r="K2585" i="21"/>
  <c r="J2585" i="21"/>
  <c r="U2584" i="21"/>
  <c r="T2584" i="21"/>
  <c r="O2584" i="21"/>
  <c r="K2584" i="21"/>
  <c r="J2584" i="21"/>
  <c r="U2583" i="21"/>
  <c r="T2583" i="21"/>
  <c r="O2583" i="21"/>
  <c r="K2583" i="21"/>
  <c r="J2583" i="21"/>
  <c r="R2582" i="21"/>
  <c r="O2582" i="21"/>
  <c r="D2582" i="21"/>
  <c r="G2587" i="21" s="1"/>
  <c r="H2587" i="21" s="1"/>
  <c r="U2581" i="21"/>
  <c r="T2581" i="21"/>
  <c r="O2581" i="21"/>
  <c r="K2581" i="21"/>
  <c r="J2581" i="21"/>
  <c r="U2580" i="21"/>
  <c r="T2580" i="21"/>
  <c r="O2580" i="21"/>
  <c r="K2580" i="21"/>
  <c r="J2580" i="21"/>
  <c r="U2579" i="21"/>
  <c r="T2579" i="21"/>
  <c r="O2579" i="21"/>
  <c r="K2579" i="21"/>
  <c r="J2579" i="21"/>
  <c r="U2578" i="21"/>
  <c r="T2578" i="21"/>
  <c r="O2578" i="21"/>
  <c r="K2578" i="21"/>
  <c r="J2578" i="21"/>
  <c r="U2577" i="21"/>
  <c r="T2577" i="21"/>
  <c r="O2577" i="21"/>
  <c r="K2577" i="21"/>
  <c r="J2577" i="21"/>
  <c r="R2576" i="21"/>
  <c r="O2576" i="21"/>
  <c r="D2576" i="21"/>
  <c r="G2580" i="21" s="1"/>
  <c r="H2580" i="21" s="1"/>
  <c r="U2575" i="21"/>
  <c r="T2575" i="21"/>
  <c r="O2575" i="21"/>
  <c r="K2575" i="21"/>
  <c r="J2575" i="21"/>
  <c r="U2574" i="21"/>
  <c r="T2574" i="21"/>
  <c r="O2574" i="21"/>
  <c r="K2574" i="21"/>
  <c r="J2574" i="21"/>
  <c r="U2573" i="21"/>
  <c r="T2573" i="21"/>
  <c r="O2573" i="21"/>
  <c r="K2573" i="21"/>
  <c r="J2573" i="21"/>
  <c r="U2572" i="21"/>
  <c r="T2572" i="21"/>
  <c r="O2572" i="21"/>
  <c r="K2572" i="21"/>
  <c r="J2572" i="21"/>
  <c r="U2571" i="21"/>
  <c r="T2571" i="21"/>
  <c r="O2571" i="21"/>
  <c r="K2571" i="21"/>
  <c r="J2571" i="21"/>
  <c r="R2570" i="21"/>
  <c r="O2570" i="21"/>
  <c r="D2570" i="21"/>
  <c r="G2574" i="21" s="1"/>
  <c r="H2574" i="21" s="1"/>
  <c r="U2569" i="21"/>
  <c r="T2569" i="21"/>
  <c r="O2569" i="21"/>
  <c r="K2569" i="21"/>
  <c r="G2569" i="21"/>
  <c r="H2569" i="21" s="1"/>
  <c r="U2568" i="21"/>
  <c r="T2568" i="21"/>
  <c r="O2568" i="21"/>
  <c r="K2568" i="21"/>
  <c r="G2568" i="21"/>
  <c r="H2568" i="21" s="1"/>
  <c r="U2567" i="21"/>
  <c r="T2567" i="21"/>
  <c r="O2567" i="21"/>
  <c r="K2567" i="21"/>
  <c r="G2567" i="21"/>
  <c r="H2567" i="21" s="1"/>
  <c r="U2566" i="21"/>
  <c r="T2566" i="21"/>
  <c r="O2566" i="21"/>
  <c r="K2566" i="21"/>
  <c r="G2566" i="21"/>
  <c r="H2566" i="21" s="1"/>
  <c r="U2565" i="21"/>
  <c r="T2565" i="21"/>
  <c r="O2565" i="21"/>
  <c r="K2565" i="21"/>
  <c r="G2565" i="21"/>
  <c r="H2565" i="21" s="1"/>
  <c r="R2564" i="21"/>
  <c r="O2564" i="21"/>
  <c r="I2564" i="21"/>
  <c r="U2563" i="21"/>
  <c r="T2563" i="21"/>
  <c r="O2563" i="21"/>
  <c r="K2563" i="21"/>
  <c r="G2563" i="21"/>
  <c r="H2563" i="21" s="1"/>
  <c r="U2562" i="21"/>
  <c r="T2562" i="21"/>
  <c r="O2562" i="21"/>
  <c r="K2562" i="21"/>
  <c r="G2562" i="21"/>
  <c r="H2562" i="21" s="1"/>
  <c r="U2561" i="21"/>
  <c r="T2561" i="21"/>
  <c r="O2561" i="21"/>
  <c r="K2561" i="21"/>
  <c r="G2561" i="21"/>
  <c r="H2561" i="21" s="1"/>
  <c r="U2560" i="21"/>
  <c r="T2560" i="21"/>
  <c r="O2560" i="21"/>
  <c r="K2560" i="21"/>
  <c r="G2560" i="21"/>
  <c r="H2560" i="21" s="1"/>
  <c r="U2559" i="21"/>
  <c r="T2559" i="21"/>
  <c r="O2559" i="21"/>
  <c r="K2559" i="21"/>
  <c r="G2559" i="21"/>
  <c r="H2559" i="21" s="1"/>
  <c r="R2558" i="21"/>
  <c r="O2558" i="21"/>
  <c r="I2558" i="21"/>
  <c r="U2557" i="21"/>
  <c r="T2557" i="21"/>
  <c r="O2557" i="21"/>
  <c r="K2557" i="21"/>
  <c r="G2557" i="21"/>
  <c r="H2557" i="21" s="1"/>
  <c r="U2556" i="21"/>
  <c r="T2556" i="21"/>
  <c r="O2556" i="21"/>
  <c r="K2556" i="21"/>
  <c r="G2556" i="21"/>
  <c r="H2556" i="21" s="1"/>
  <c r="U2555" i="21"/>
  <c r="T2555" i="21"/>
  <c r="O2555" i="21"/>
  <c r="K2555" i="21"/>
  <c r="G2555" i="21"/>
  <c r="H2555" i="21" s="1"/>
  <c r="U2554" i="21"/>
  <c r="T2554" i="21"/>
  <c r="O2554" i="21"/>
  <c r="K2554" i="21"/>
  <c r="G2554" i="21"/>
  <c r="H2554" i="21" s="1"/>
  <c r="U2553" i="21"/>
  <c r="T2553" i="21"/>
  <c r="O2553" i="21"/>
  <c r="K2553" i="21"/>
  <c r="G2553" i="21"/>
  <c r="H2553" i="21" s="1"/>
  <c r="R2552" i="21"/>
  <c r="O2552" i="21"/>
  <c r="I2552" i="21"/>
  <c r="U2551" i="21"/>
  <c r="T2551" i="21"/>
  <c r="O2551" i="21"/>
  <c r="K2551" i="21"/>
  <c r="G2551" i="21"/>
  <c r="H2551" i="21" s="1"/>
  <c r="U2550" i="21"/>
  <c r="T2550" i="21"/>
  <c r="O2550" i="21"/>
  <c r="K2550" i="21"/>
  <c r="G2550" i="21"/>
  <c r="H2550" i="21" s="1"/>
  <c r="U2549" i="21"/>
  <c r="T2549" i="21"/>
  <c r="O2549" i="21"/>
  <c r="K2549" i="21"/>
  <c r="G2549" i="21"/>
  <c r="H2549" i="21" s="1"/>
  <c r="U2548" i="21"/>
  <c r="T2548" i="21"/>
  <c r="O2548" i="21"/>
  <c r="K2548" i="21"/>
  <c r="G2548" i="21"/>
  <c r="H2548" i="21" s="1"/>
  <c r="U2547" i="21"/>
  <c r="T2547" i="21"/>
  <c r="O2547" i="21"/>
  <c r="K2547" i="21"/>
  <c r="G2547" i="21"/>
  <c r="H2547" i="21" s="1"/>
  <c r="R2546" i="21"/>
  <c r="O2546" i="21"/>
  <c r="I2546" i="21"/>
  <c r="U2545" i="21"/>
  <c r="T2545" i="21"/>
  <c r="O2545" i="21"/>
  <c r="K2545" i="21"/>
  <c r="G2545" i="21"/>
  <c r="H2545" i="21" s="1"/>
  <c r="U2544" i="21"/>
  <c r="T2544" i="21"/>
  <c r="O2544" i="21"/>
  <c r="K2544" i="21"/>
  <c r="G2544" i="21"/>
  <c r="H2544" i="21" s="1"/>
  <c r="U2543" i="21"/>
  <c r="T2543" i="21"/>
  <c r="O2543" i="21"/>
  <c r="K2543" i="21"/>
  <c r="G2543" i="21"/>
  <c r="H2543" i="21" s="1"/>
  <c r="U2542" i="21"/>
  <c r="T2542" i="21"/>
  <c r="O2542" i="21"/>
  <c r="K2542" i="21"/>
  <c r="G2542" i="21"/>
  <c r="H2542" i="21" s="1"/>
  <c r="U2541" i="21"/>
  <c r="T2541" i="21"/>
  <c r="O2541" i="21"/>
  <c r="K2541" i="21"/>
  <c r="G2541" i="21"/>
  <c r="H2541" i="21" s="1"/>
  <c r="R2540" i="21"/>
  <c r="O2540" i="21"/>
  <c r="I2540" i="21"/>
  <c r="U2539" i="21"/>
  <c r="T2539" i="21"/>
  <c r="O2539" i="21"/>
  <c r="K2539" i="21"/>
  <c r="G2539" i="21"/>
  <c r="H2539" i="21" s="1"/>
  <c r="U2538" i="21"/>
  <c r="T2538" i="21"/>
  <c r="O2538" i="21"/>
  <c r="K2538" i="21"/>
  <c r="G2538" i="21"/>
  <c r="H2538" i="21" s="1"/>
  <c r="U2537" i="21"/>
  <c r="T2537" i="21"/>
  <c r="O2537" i="21"/>
  <c r="K2537" i="21"/>
  <c r="G2537" i="21"/>
  <c r="H2537" i="21" s="1"/>
  <c r="U2536" i="21"/>
  <c r="T2536" i="21"/>
  <c r="O2536" i="21"/>
  <c r="K2536" i="21"/>
  <c r="G2536" i="21"/>
  <c r="H2536" i="21" s="1"/>
  <c r="U2535" i="21"/>
  <c r="T2535" i="21"/>
  <c r="O2535" i="21"/>
  <c r="K2535" i="21"/>
  <c r="G2535" i="21"/>
  <c r="H2535" i="21" s="1"/>
  <c r="R2534" i="21"/>
  <c r="O2534" i="21"/>
  <c r="I2534" i="21"/>
  <c r="U2533" i="21"/>
  <c r="T2533" i="21"/>
  <c r="O2533" i="21"/>
  <c r="K2533" i="21"/>
  <c r="G2533" i="21"/>
  <c r="H2533" i="21" s="1"/>
  <c r="U2532" i="21"/>
  <c r="T2532" i="21"/>
  <c r="O2532" i="21"/>
  <c r="K2532" i="21"/>
  <c r="G2532" i="21"/>
  <c r="H2532" i="21" s="1"/>
  <c r="U2531" i="21"/>
  <c r="T2531" i="21"/>
  <c r="O2531" i="21"/>
  <c r="K2531" i="21"/>
  <c r="G2531" i="21"/>
  <c r="H2531" i="21" s="1"/>
  <c r="U2530" i="21"/>
  <c r="T2530" i="21"/>
  <c r="O2530" i="21"/>
  <c r="K2530" i="21"/>
  <c r="G2530" i="21"/>
  <c r="H2530" i="21" s="1"/>
  <c r="U2529" i="21"/>
  <c r="T2529" i="21"/>
  <c r="O2529" i="21"/>
  <c r="K2529" i="21"/>
  <c r="G2529" i="21"/>
  <c r="H2529" i="21" s="1"/>
  <c r="R2528" i="21"/>
  <c r="O2528" i="21"/>
  <c r="I2528" i="21"/>
  <c r="U2527" i="21"/>
  <c r="T2527" i="21"/>
  <c r="O2527" i="21"/>
  <c r="K2527" i="21"/>
  <c r="G2527" i="21"/>
  <c r="H2527" i="21" s="1"/>
  <c r="U2526" i="21"/>
  <c r="T2526" i="21"/>
  <c r="O2526" i="21"/>
  <c r="K2526" i="21"/>
  <c r="G2526" i="21"/>
  <c r="H2526" i="21" s="1"/>
  <c r="U2525" i="21"/>
  <c r="T2525" i="21"/>
  <c r="O2525" i="21"/>
  <c r="K2525" i="21"/>
  <c r="G2525" i="21"/>
  <c r="H2525" i="21" s="1"/>
  <c r="U2524" i="21"/>
  <c r="T2524" i="21"/>
  <c r="O2524" i="21"/>
  <c r="K2524" i="21"/>
  <c r="G2524" i="21"/>
  <c r="H2524" i="21" s="1"/>
  <c r="U2523" i="21"/>
  <c r="T2523" i="21"/>
  <c r="O2523" i="21"/>
  <c r="K2523" i="21"/>
  <c r="G2523" i="21"/>
  <c r="H2523" i="21" s="1"/>
  <c r="R2522" i="21"/>
  <c r="O2522" i="21"/>
  <c r="I2522" i="21"/>
  <c r="U2521" i="21"/>
  <c r="T2521" i="21"/>
  <c r="O2521" i="21"/>
  <c r="K2521" i="21"/>
  <c r="G2521" i="21"/>
  <c r="H2521" i="21" s="1"/>
  <c r="U2520" i="21"/>
  <c r="T2520" i="21"/>
  <c r="O2520" i="21"/>
  <c r="K2520" i="21"/>
  <c r="G2520" i="21"/>
  <c r="H2520" i="21" s="1"/>
  <c r="U2519" i="21"/>
  <c r="T2519" i="21"/>
  <c r="O2519" i="21"/>
  <c r="K2519" i="21"/>
  <c r="G2519" i="21"/>
  <c r="H2519" i="21" s="1"/>
  <c r="U2518" i="21"/>
  <c r="T2518" i="21"/>
  <c r="O2518" i="21"/>
  <c r="K2518" i="21"/>
  <c r="G2518" i="21"/>
  <c r="H2518" i="21" s="1"/>
  <c r="U2517" i="21"/>
  <c r="T2517" i="21"/>
  <c r="O2517" i="21"/>
  <c r="K2517" i="21"/>
  <c r="G2517" i="21"/>
  <c r="H2517" i="21" s="1"/>
  <c r="R2516" i="21"/>
  <c r="O2516" i="21"/>
  <c r="I2516" i="21"/>
  <c r="U2515" i="21"/>
  <c r="T2515" i="21"/>
  <c r="O2515" i="21"/>
  <c r="K2515" i="21"/>
  <c r="G2515" i="21"/>
  <c r="H2515" i="21" s="1"/>
  <c r="U2514" i="21"/>
  <c r="T2514" i="21"/>
  <c r="O2514" i="21"/>
  <c r="K2514" i="21"/>
  <c r="G2514" i="21"/>
  <c r="H2514" i="21" s="1"/>
  <c r="U2513" i="21"/>
  <c r="T2513" i="21"/>
  <c r="O2513" i="21"/>
  <c r="K2513" i="21"/>
  <c r="G2513" i="21"/>
  <c r="H2513" i="21" s="1"/>
  <c r="U2512" i="21"/>
  <c r="T2512" i="21"/>
  <c r="O2512" i="21"/>
  <c r="K2512" i="21"/>
  <c r="G2512" i="21"/>
  <c r="H2512" i="21" s="1"/>
  <c r="U2511" i="21"/>
  <c r="T2511" i="21"/>
  <c r="O2511" i="21"/>
  <c r="K2511" i="21"/>
  <c r="G2511" i="21"/>
  <c r="H2511" i="21" s="1"/>
  <c r="R2510" i="21"/>
  <c r="O2510" i="21"/>
  <c r="I2510" i="21"/>
  <c r="U2509" i="21"/>
  <c r="T2509" i="21"/>
  <c r="O2509" i="21"/>
  <c r="K2509" i="21"/>
  <c r="G2509" i="21"/>
  <c r="H2509" i="21" s="1"/>
  <c r="U2508" i="21"/>
  <c r="T2508" i="21"/>
  <c r="O2508" i="21"/>
  <c r="K2508" i="21"/>
  <c r="G2508" i="21"/>
  <c r="H2508" i="21" s="1"/>
  <c r="U2507" i="21"/>
  <c r="T2507" i="21"/>
  <c r="O2507" i="21"/>
  <c r="K2507" i="21"/>
  <c r="G2507" i="21"/>
  <c r="H2507" i="21" s="1"/>
  <c r="U2506" i="21"/>
  <c r="T2506" i="21"/>
  <c r="O2506" i="21"/>
  <c r="K2506" i="21"/>
  <c r="G2506" i="21"/>
  <c r="H2506" i="21" s="1"/>
  <c r="U2505" i="21"/>
  <c r="T2505" i="21"/>
  <c r="O2505" i="21"/>
  <c r="K2505" i="21"/>
  <c r="G2505" i="21"/>
  <c r="H2505" i="21" s="1"/>
  <c r="R2504" i="21"/>
  <c r="O2504" i="21"/>
  <c r="I2504" i="21"/>
  <c r="U2503" i="21"/>
  <c r="T2503" i="21"/>
  <c r="O2503" i="21"/>
  <c r="K2503" i="21"/>
  <c r="G2503" i="21"/>
  <c r="H2503" i="21" s="1"/>
  <c r="U2502" i="21"/>
  <c r="T2502" i="21"/>
  <c r="O2502" i="21"/>
  <c r="K2502" i="21"/>
  <c r="G2502" i="21"/>
  <c r="H2502" i="21" s="1"/>
  <c r="U2501" i="21"/>
  <c r="T2501" i="21"/>
  <c r="O2501" i="21"/>
  <c r="K2501" i="21"/>
  <c r="G2501" i="21"/>
  <c r="H2501" i="21" s="1"/>
  <c r="U2500" i="21"/>
  <c r="T2500" i="21"/>
  <c r="O2500" i="21"/>
  <c r="K2500" i="21"/>
  <c r="G2500" i="21"/>
  <c r="H2500" i="21" s="1"/>
  <c r="U2499" i="21"/>
  <c r="T2499" i="21"/>
  <c r="O2499" i="21"/>
  <c r="K2499" i="21"/>
  <c r="G2499" i="21"/>
  <c r="H2499" i="21" s="1"/>
  <c r="R2498" i="21"/>
  <c r="O2498" i="21"/>
  <c r="I2498" i="21"/>
  <c r="U2497" i="21"/>
  <c r="T2497" i="21"/>
  <c r="O2497" i="21"/>
  <c r="K2497" i="21"/>
  <c r="G2497" i="21"/>
  <c r="H2497" i="21" s="1"/>
  <c r="U2496" i="21"/>
  <c r="T2496" i="21"/>
  <c r="O2496" i="21"/>
  <c r="K2496" i="21"/>
  <c r="G2496" i="21"/>
  <c r="H2496" i="21" s="1"/>
  <c r="U2495" i="21"/>
  <c r="T2495" i="21"/>
  <c r="O2495" i="21"/>
  <c r="K2495" i="21"/>
  <c r="G2495" i="21"/>
  <c r="H2495" i="21" s="1"/>
  <c r="U2494" i="21"/>
  <c r="T2494" i="21"/>
  <c r="O2494" i="21"/>
  <c r="K2494" i="21"/>
  <c r="G2494" i="21"/>
  <c r="H2494" i="21" s="1"/>
  <c r="U2493" i="21"/>
  <c r="T2493" i="21"/>
  <c r="O2493" i="21"/>
  <c r="K2493" i="21"/>
  <c r="G2493" i="21"/>
  <c r="H2493" i="21" s="1"/>
  <c r="R2492" i="21"/>
  <c r="O2492" i="21"/>
  <c r="I2492" i="21"/>
  <c r="U2491" i="21"/>
  <c r="T2491" i="21"/>
  <c r="O2491" i="21"/>
  <c r="K2491" i="21"/>
  <c r="G2491" i="21"/>
  <c r="H2491" i="21" s="1"/>
  <c r="U2490" i="21"/>
  <c r="T2490" i="21"/>
  <c r="O2490" i="21"/>
  <c r="K2490" i="21"/>
  <c r="G2490" i="21"/>
  <c r="H2490" i="21" s="1"/>
  <c r="U2489" i="21"/>
  <c r="T2489" i="21"/>
  <c r="O2489" i="21"/>
  <c r="K2489" i="21"/>
  <c r="G2489" i="21"/>
  <c r="H2489" i="21" s="1"/>
  <c r="U2488" i="21"/>
  <c r="T2488" i="21"/>
  <c r="O2488" i="21"/>
  <c r="K2488" i="21"/>
  <c r="G2488" i="21"/>
  <c r="H2488" i="21" s="1"/>
  <c r="U2487" i="21"/>
  <c r="T2487" i="21"/>
  <c r="O2487" i="21"/>
  <c r="K2487" i="21"/>
  <c r="G2487" i="21"/>
  <c r="H2487" i="21" s="1"/>
  <c r="R2486" i="21"/>
  <c r="O2486" i="21"/>
  <c r="I2486" i="21"/>
  <c r="U2485" i="21"/>
  <c r="T2485" i="21"/>
  <c r="O2485" i="21"/>
  <c r="K2485" i="21"/>
  <c r="G2485" i="21"/>
  <c r="H2485" i="21" s="1"/>
  <c r="U2484" i="21"/>
  <c r="T2484" i="21"/>
  <c r="O2484" i="21"/>
  <c r="K2484" i="21"/>
  <c r="G2484" i="21"/>
  <c r="H2484" i="21" s="1"/>
  <c r="U2483" i="21"/>
  <c r="T2483" i="21"/>
  <c r="O2483" i="21"/>
  <c r="K2483" i="21"/>
  <c r="G2483" i="21"/>
  <c r="H2483" i="21" s="1"/>
  <c r="U2482" i="21"/>
  <c r="T2482" i="21"/>
  <c r="O2482" i="21"/>
  <c r="K2482" i="21"/>
  <c r="G2482" i="21"/>
  <c r="H2482" i="21" s="1"/>
  <c r="U2481" i="21"/>
  <c r="T2481" i="21"/>
  <c r="O2481" i="21"/>
  <c r="K2481" i="21"/>
  <c r="G2481" i="21"/>
  <c r="H2481" i="21" s="1"/>
  <c r="R2480" i="21"/>
  <c r="O2480" i="21"/>
  <c r="I2480" i="21"/>
  <c r="U2479" i="21"/>
  <c r="T2479" i="21"/>
  <c r="O2479" i="21"/>
  <c r="K2479" i="21"/>
  <c r="G2479" i="21"/>
  <c r="H2479" i="21" s="1"/>
  <c r="U2478" i="21"/>
  <c r="T2478" i="21"/>
  <c r="O2478" i="21"/>
  <c r="K2478" i="21"/>
  <c r="G2478" i="21"/>
  <c r="H2478" i="21" s="1"/>
  <c r="U2477" i="21"/>
  <c r="T2477" i="21"/>
  <c r="O2477" i="21"/>
  <c r="K2477" i="21"/>
  <c r="G2477" i="21"/>
  <c r="H2477" i="21" s="1"/>
  <c r="U2476" i="21"/>
  <c r="T2476" i="21"/>
  <c r="O2476" i="21"/>
  <c r="K2476" i="21"/>
  <c r="G2476" i="21"/>
  <c r="H2476" i="21" s="1"/>
  <c r="U2475" i="21"/>
  <c r="T2475" i="21"/>
  <c r="O2475" i="21"/>
  <c r="K2475" i="21"/>
  <c r="G2475" i="21"/>
  <c r="H2475" i="21" s="1"/>
  <c r="R2474" i="21"/>
  <c r="O2474" i="21"/>
  <c r="I2474" i="21"/>
  <c r="U2473" i="21"/>
  <c r="T2473" i="21"/>
  <c r="O2473" i="21"/>
  <c r="K2473" i="21"/>
  <c r="G2473" i="21"/>
  <c r="H2473" i="21" s="1"/>
  <c r="U2472" i="21"/>
  <c r="T2472" i="21"/>
  <c r="O2472" i="21"/>
  <c r="K2472" i="21"/>
  <c r="G2472" i="21"/>
  <c r="H2472" i="21" s="1"/>
  <c r="U2471" i="21"/>
  <c r="T2471" i="21"/>
  <c r="O2471" i="21"/>
  <c r="K2471" i="21"/>
  <c r="G2471" i="21"/>
  <c r="H2471" i="21" s="1"/>
  <c r="U2470" i="21"/>
  <c r="T2470" i="21"/>
  <c r="O2470" i="21"/>
  <c r="K2470" i="21"/>
  <c r="G2470" i="21"/>
  <c r="H2470" i="21" s="1"/>
  <c r="U2469" i="21"/>
  <c r="T2469" i="21"/>
  <c r="O2469" i="21"/>
  <c r="K2469" i="21"/>
  <c r="G2469" i="21"/>
  <c r="H2469" i="21" s="1"/>
  <c r="R2468" i="21"/>
  <c r="O2468" i="21"/>
  <c r="I2468" i="21"/>
  <c r="U2467" i="21"/>
  <c r="T2467" i="21"/>
  <c r="O2467" i="21"/>
  <c r="K2467" i="21"/>
  <c r="G2467" i="21"/>
  <c r="H2467" i="21" s="1"/>
  <c r="U2466" i="21"/>
  <c r="T2466" i="21"/>
  <c r="O2466" i="21"/>
  <c r="K2466" i="21"/>
  <c r="G2466" i="21"/>
  <c r="H2466" i="21" s="1"/>
  <c r="U2465" i="21"/>
  <c r="T2465" i="21"/>
  <c r="O2465" i="21"/>
  <c r="K2465" i="21"/>
  <c r="G2465" i="21"/>
  <c r="H2465" i="21" s="1"/>
  <c r="U2464" i="21"/>
  <c r="T2464" i="21"/>
  <c r="O2464" i="21"/>
  <c r="K2464" i="21"/>
  <c r="G2464" i="21"/>
  <c r="H2464" i="21" s="1"/>
  <c r="U2463" i="21"/>
  <c r="T2463" i="21"/>
  <c r="O2463" i="21"/>
  <c r="K2463" i="21"/>
  <c r="G2463" i="21"/>
  <c r="H2463" i="21" s="1"/>
  <c r="R2462" i="21"/>
  <c r="O2462" i="21"/>
  <c r="I2462" i="21"/>
  <c r="U2461" i="21"/>
  <c r="T2461" i="21"/>
  <c r="O2461" i="21"/>
  <c r="K2461" i="21"/>
  <c r="G2461" i="21"/>
  <c r="H2461" i="21" s="1"/>
  <c r="U2460" i="21"/>
  <c r="T2460" i="21"/>
  <c r="O2460" i="21"/>
  <c r="K2460" i="21"/>
  <c r="G2460" i="21"/>
  <c r="H2460" i="21" s="1"/>
  <c r="U2459" i="21"/>
  <c r="T2459" i="21"/>
  <c r="O2459" i="21"/>
  <c r="K2459" i="21"/>
  <c r="G2459" i="21"/>
  <c r="H2459" i="21" s="1"/>
  <c r="U2458" i="21"/>
  <c r="T2458" i="21"/>
  <c r="O2458" i="21"/>
  <c r="K2458" i="21"/>
  <c r="G2458" i="21"/>
  <c r="H2458" i="21" s="1"/>
  <c r="U2457" i="21"/>
  <c r="T2457" i="21"/>
  <c r="O2457" i="21"/>
  <c r="K2457" i="21"/>
  <c r="G2457" i="21"/>
  <c r="H2457" i="21" s="1"/>
  <c r="R2456" i="21"/>
  <c r="O2456" i="21"/>
  <c r="I2456" i="21"/>
  <c r="U2455" i="21"/>
  <c r="T2455" i="21"/>
  <c r="O2455" i="21"/>
  <c r="K2455" i="21"/>
  <c r="G2455" i="21"/>
  <c r="H2455" i="21" s="1"/>
  <c r="U2454" i="21"/>
  <c r="T2454" i="21"/>
  <c r="O2454" i="21"/>
  <c r="K2454" i="21"/>
  <c r="G2454" i="21"/>
  <c r="H2454" i="21" s="1"/>
  <c r="U2453" i="21"/>
  <c r="T2453" i="21"/>
  <c r="O2453" i="21"/>
  <c r="K2453" i="21"/>
  <c r="G2453" i="21"/>
  <c r="H2453" i="21" s="1"/>
  <c r="U2452" i="21"/>
  <c r="T2452" i="21"/>
  <c r="O2452" i="21"/>
  <c r="K2452" i="21"/>
  <c r="G2452" i="21"/>
  <c r="H2452" i="21" s="1"/>
  <c r="U2451" i="21"/>
  <c r="T2451" i="21"/>
  <c r="O2451" i="21"/>
  <c r="K2451" i="21"/>
  <c r="G2451" i="21"/>
  <c r="H2451" i="21" s="1"/>
  <c r="R2450" i="21"/>
  <c r="O2450" i="21"/>
  <c r="I2450" i="21"/>
  <c r="U2449" i="21"/>
  <c r="T2449" i="21"/>
  <c r="O2449" i="21"/>
  <c r="K2449" i="21"/>
  <c r="G2449" i="21"/>
  <c r="H2449" i="21" s="1"/>
  <c r="U2448" i="21"/>
  <c r="T2448" i="21"/>
  <c r="O2448" i="21"/>
  <c r="K2448" i="21"/>
  <c r="G2448" i="21"/>
  <c r="H2448" i="21" s="1"/>
  <c r="U2447" i="21"/>
  <c r="T2447" i="21"/>
  <c r="O2447" i="21"/>
  <c r="K2447" i="21"/>
  <c r="G2447" i="21"/>
  <c r="H2447" i="21" s="1"/>
  <c r="U2446" i="21"/>
  <c r="T2446" i="21"/>
  <c r="O2446" i="21"/>
  <c r="K2446" i="21"/>
  <c r="G2446" i="21"/>
  <c r="H2446" i="21" s="1"/>
  <c r="U2445" i="21"/>
  <c r="T2445" i="21"/>
  <c r="O2445" i="21"/>
  <c r="K2445" i="21"/>
  <c r="G2445" i="21"/>
  <c r="H2445" i="21" s="1"/>
  <c r="R2444" i="21"/>
  <c r="O2444" i="21"/>
  <c r="I2444" i="21"/>
  <c r="U2443" i="21"/>
  <c r="T2443" i="21"/>
  <c r="O2443" i="21"/>
  <c r="K2443" i="21"/>
  <c r="G2443" i="21"/>
  <c r="H2443" i="21" s="1"/>
  <c r="U2442" i="21"/>
  <c r="T2442" i="21"/>
  <c r="O2442" i="21"/>
  <c r="K2442" i="21"/>
  <c r="G2442" i="21"/>
  <c r="H2442" i="21" s="1"/>
  <c r="U2441" i="21"/>
  <c r="T2441" i="21"/>
  <c r="O2441" i="21"/>
  <c r="K2441" i="21"/>
  <c r="G2441" i="21"/>
  <c r="H2441" i="21" s="1"/>
  <c r="U2440" i="21"/>
  <c r="T2440" i="21"/>
  <c r="O2440" i="21"/>
  <c r="K2440" i="21"/>
  <c r="G2440" i="21"/>
  <c r="H2440" i="21" s="1"/>
  <c r="U2439" i="21"/>
  <c r="T2439" i="21"/>
  <c r="O2439" i="21"/>
  <c r="K2439" i="21"/>
  <c r="G2439" i="21"/>
  <c r="H2439" i="21" s="1"/>
  <c r="R2438" i="21"/>
  <c r="O2438" i="21"/>
  <c r="I2438" i="21"/>
  <c r="U2437" i="21"/>
  <c r="T2437" i="21"/>
  <c r="O2437" i="21"/>
  <c r="K2437" i="21"/>
  <c r="G2437" i="21"/>
  <c r="H2437" i="21" s="1"/>
  <c r="U2436" i="21"/>
  <c r="T2436" i="21"/>
  <c r="O2436" i="21"/>
  <c r="K2436" i="21"/>
  <c r="G2436" i="21"/>
  <c r="H2436" i="21" s="1"/>
  <c r="U2435" i="21"/>
  <c r="T2435" i="21"/>
  <c r="O2435" i="21"/>
  <c r="K2435" i="21"/>
  <c r="G2435" i="21"/>
  <c r="H2435" i="21" s="1"/>
  <c r="U2434" i="21"/>
  <c r="T2434" i="21"/>
  <c r="O2434" i="21"/>
  <c r="K2434" i="21"/>
  <c r="G2434" i="21"/>
  <c r="H2434" i="21" s="1"/>
  <c r="U2433" i="21"/>
  <c r="T2433" i="21"/>
  <c r="O2433" i="21"/>
  <c r="K2433" i="21"/>
  <c r="G2433" i="21"/>
  <c r="H2433" i="21" s="1"/>
  <c r="R2432" i="21"/>
  <c r="O2432" i="21"/>
  <c r="I2432" i="21"/>
  <c r="U2431" i="21"/>
  <c r="T2431" i="21"/>
  <c r="O2431" i="21"/>
  <c r="K2431" i="21"/>
  <c r="G2431" i="21"/>
  <c r="H2431" i="21" s="1"/>
  <c r="U2430" i="21"/>
  <c r="T2430" i="21"/>
  <c r="O2430" i="21"/>
  <c r="K2430" i="21"/>
  <c r="G2430" i="21"/>
  <c r="H2430" i="21" s="1"/>
  <c r="U2429" i="21"/>
  <c r="T2429" i="21"/>
  <c r="O2429" i="21"/>
  <c r="K2429" i="21"/>
  <c r="G2429" i="21"/>
  <c r="H2429" i="21" s="1"/>
  <c r="U2428" i="21"/>
  <c r="T2428" i="21"/>
  <c r="O2428" i="21"/>
  <c r="K2428" i="21"/>
  <c r="G2428" i="21"/>
  <c r="H2428" i="21" s="1"/>
  <c r="U2427" i="21"/>
  <c r="T2427" i="21"/>
  <c r="O2427" i="21"/>
  <c r="K2427" i="21"/>
  <c r="G2427" i="21"/>
  <c r="H2427" i="21" s="1"/>
  <c r="R2426" i="21"/>
  <c r="O2426" i="21"/>
  <c r="I2426" i="21"/>
  <c r="U2425" i="21"/>
  <c r="T2425" i="21"/>
  <c r="O2425" i="21"/>
  <c r="K2425" i="21"/>
  <c r="G2425" i="21"/>
  <c r="H2425" i="21" s="1"/>
  <c r="U2424" i="21"/>
  <c r="T2424" i="21"/>
  <c r="O2424" i="21"/>
  <c r="K2424" i="21"/>
  <c r="G2424" i="21"/>
  <c r="H2424" i="21" s="1"/>
  <c r="U2423" i="21"/>
  <c r="T2423" i="21"/>
  <c r="O2423" i="21"/>
  <c r="K2423" i="21"/>
  <c r="G2423" i="21"/>
  <c r="H2423" i="21" s="1"/>
  <c r="U2422" i="21"/>
  <c r="T2422" i="21"/>
  <c r="O2422" i="21"/>
  <c r="K2422" i="21"/>
  <c r="G2422" i="21"/>
  <c r="H2422" i="21" s="1"/>
  <c r="U2421" i="21"/>
  <c r="T2421" i="21"/>
  <c r="O2421" i="21"/>
  <c r="K2421" i="21"/>
  <c r="G2421" i="21"/>
  <c r="H2421" i="21" s="1"/>
  <c r="R2420" i="21"/>
  <c r="O2420" i="21"/>
  <c r="I2420" i="21"/>
  <c r="U2419" i="21"/>
  <c r="T2419" i="21"/>
  <c r="O2419" i="21"/>
  <c r="K2419" i="21"/>
  <c r="G2419" i="21"/>
  <c r="H2419" i="21" s="1"/>
  <c r="U2418" i="21"/>
  <c r="T2418" i="21"/>
  <c r="O2418" i="21"/>
  <c r="K2418" i="21"/>
  <c r="G2418" i="21"/>
  <c r="H2418" i="21" s="1"/>
  <c r="U2417" i="21"/>
  <c r="T2417" i="21"/>
  <c r="O2417" i="21"/>
  <c r="K2417" i="21"/>
  <c r="G2417" i="21"/>
  <c r="H2417" i="21" s="1"/>
  <c r="U2416" i="21"/>
  <c r="T2416" i="21"/>
  <c r="O2416" i="21"/>
  <c r="K2416" i="21"/>
  <c r="G2416" i="21"/>
  <c r="H2416" i="21" s="1"/>
  <c r="U2415" i="21"/>
  <c r="T2415" i="21"/>
  <c r="O2415" i="21"/>
  <c r="K2415" i="21"/>
  <c r="G2415" i="21"/>
  <c r="H2415" i="21" s="1"/>
  <c r="R2414" i="21"/>
  <c r="O2414" i="21"/>
  <c r="I2414" i="21"/>
  <c r="U2413" i="21"/>
  <c r="T2413" i="21"/>
  <c r="O2413" i="21"/>
  <c r="K2413" i="21"/>
  <c r="G2413" i="21"/>
  <c r="H2413" i="21" s="1"/>
  <c r="U2412" i="21"/>
  <c r="T2412" i="21"/>
  <c r="O2412" i="21"/>
  <c r="K2412" i="21"/>
  <c r="G2412" i="21"/>
  <c r="H2412" i="21" s="1"/>
  <c r="U2411" i="21"/>
  <c r="T2411" i="21"/>
  <c r="O2411" i="21"/>
  <c r="K2411" i="21"/>
  <c r="G2411" i="21"/>
  <c r="H2411" i="21" s="1"/>
  <c r="U2410" i="21"/>
  <c r="T2410" i="21"/>
  <c r="O2410" i="21"/>
  <c r="K2410" i="21"/>
  <c r="G2410" i="21"/>
  <c r="H2410" i="21" s="1"/>
  <c r="U2409" i="21"/>
  <c r="T2409" i="21"/>
  <c r="O2409" i="21"/>
  <c r="K2409" i="21"/>
  <c r="G2409" i="21"/>
  <c r="H2409" i="21" s="1"/>
  <c r="R2408" i="21"/>
  <c r="O2408" i="21"/>
  <c r="I2408" i="21"/>
  <c r="U2407" i="21"/>
  <c r="T2407" i="21"/>
  <c r="O2407" i="21"/>
  <c r="K2407" i="21"/>
  <c r="G2407" i="21"/>
  <c r="H2407" i="21" s="1"/>
  <c r="U2406" i="21"/>
  <c r="T2406" i="21"/>
  <c r="O2406" i="21"/>
  <c r="K2406" i="21"/>
  <c r="G2406" i="21"/>
  <c r="H2406" i="21" s="1"/>
  <c r="U2405" i="21"/>
  <c r="T2405" i="21"/>
  <c r="O2405" i="21"/>
  <c r="K2405" i="21"/>
  <c r="G2405" i="21"/>
  <c r="H2405" i="21" s="1"/>
  <c r="U2404" i="21"/>
  <c r="T2404" i="21"/>
  <c r="O2404" i="21"/>
  <c r="K2404" i="21"/>
  <c r="G2404" i="21"/>
  <c r="H2404" i="21" s="1"/>
  <c r="U2403" i="21"/>
  <c r="T2403" i="21"/>
  <c r="O2403" i="21"/>
  <c r="K2403" i="21"/>
  <c r="G2403" i="21"/>
  <c r="H2403" i="21" s="1"/>
  <c r="R2402" i="21"/>
  <c r="O2402" i="21"/>
  <c r="I2402" i="21"/>
  <c r="U2401" i="21"/>
  <c r="T2401" i="21"/>
  <c r="O2401" i="21"/>
  <c r="K2401" i="21"/>
  <c r="G2401" i="21"/>
  <c r="H2401" i="21" s="1"/>
  <c r="U2400" i="21"/>
  <c r="T2400" i="21"/>
  <c r="O2400" i="21"/>
  <c r="K2400" i="21"/>
  <c r="G2400" i="21"/>
  <c r="H2400" i="21" s="1"/>
  <c r="U2399" i="21"/>
  <c r="T2399" i="21"/>
  <c r="O2399" i="21"/>
  <c r="K2399" i="21"/>
  <c r="G2399" i="21"/>
  <c r="H2399" i="21" s="1"/>
  <c r="U2398" i="21"/>
  <c r="T2398" i="21"/>
  <c r="O2398" i="21"/>
  <c r="K2398" i="21"/>
  <c r="G2398" i="21"/>
  <c r="H2398" i="21" s="1"/>
  <c r="U2397" i="21"/>
  <c r="T2397" i="21"/>
  <c r="O2397" i="21"/>
  <c r="K2397" i="21"/>
  <c r="G2397" i="21"/>
  <c r="H2397" i="21" s="1"/>
  <c r="R2396" i="21"/>
  <c r="O2396" i="21"/>
  <c r="I2396" i="21"/>
  <c r="U2395" i="21"/>
  <c r="T2395" i="21"/>
  <c r="O2395" i="21"/>
  <c r="K2395" i="21"/>
  <c r="G2395" i="21"/>
  <c r="H2395" i="21" s="1"/>
  <c r="U2394" i="21"/>
  <c r="T2394" i="21"/>
  <c r="O2394" i="21"/>
  <c r="K2394" i="21"/>
  <c r="G2394" i="21"/>
  <c r="H2394" i="21" s="1"/>
  <c r="U2393" i="21"/>
  <c r="T2393" i="21"/>
  <c r="O2393" i="21"/>
  <c r="K2393" i="21"/>
  <c r="G2393" i="21"/>
  <c r="H2393" i="21" s="1"/>
  <c r="U2392" i="21"/>
  <c r="T2392" i="21"/>
  <c r="O2392" i="21"/>
  <c r="K2392" i="21"/>
  <c r="G2392" i="21"/>
  <c r="H2392" i="21" s="1"/>
  <c r="U2391" i="21"/>
  <c r="T2391" i="21"/>
  <c r="O2391" i="21"/>
  <c r="K2391" i="21"/>
  <c r="G2391" i="21"/>
  <c r="H2391" i="21" s="1"/>
  <c r="R2390" i="21"/>
  <c r="O2390" i="21"/>
  <c r="I2390" i="21"/>
  <c r="U2389" i="21"/>
  <c r="T2389" i="21"/>
  <c r="O2389" i="21"/>
  <c r="K2389" i="21"/>
  <c r="G2389" i="21"/>
  <c r="H2389" i="21" s="1"/>
  <c r="U2388" i="21"/>
  <c r="T2388" i="21"/>
  <c r="O2388" i="21"/>
  <c r="K2388" i="21"/>
  <c r="G2388" i="21"/>
  <c r="H2388" i="21" s="1"/>
  <c r="U2387" i="21"/>
  <c r="T2387" i="21"/>
  <c r="O2387" i="21"/>
  <c r="K2387" i="21"/>
  <c r="G2387" i="21"/>
  <c r="H2387" i="21" s="1"/>
  <c r="U2386" i="21"/>
  <c r="T2386" i="21"/>
  <c r="O2386" i="21"/>
  <c r="K2386" i="21"/>
  <c r="G2386" i="21"/>
  <c r="H2386" i="21" s="1"/>
  <c r="U2385" i="21"/>
  <c r="T2385" i="21"/>
  <c r="O2385" i="21"/>
  <c r="K2385" i="21"/>
  <c r="G2385" i="21"/>
  <c r="H2385" i="21" s="1"/>
  <c r="R2384" i="21"/>
  <c r="O2384" i="21"/>
  <c r="I2384" i="21"/>
  <c r="U2383" i="21"/>
  <c r="T2383" i="21"/>
  <c r="O2383" i="21"/>
  <c r="K2383" i="21"/>
  <c r="G2383" i="21"/>
  <c r="H2383" i="21" s="1"/>
  <c r="U2382" i="21"/>
  <c r="T2382" i="21"/>
  <c r="O2382" i="21"/>
  <c r="K2382" i="21"/>
  <c r="G2382" i="21"/>
  <c r="H2382" i="21" s="1"/>
  <c r="U2381" i="21"/>
  <c r="T2381" i="21"/>
  <c r="O2381" i="21"/>
  <c r="K2381" i="21"/>
  <c r="G2381" i="21"/>
  <c r="H2381" i="21" s="1"/>
  <c r="U2380" i="21"/>
  <c r="T2380" i="21"/>
  <c r="O2380" i="21"/>
  <c r="K2380" i="21"/>
  <c r="G2380" i="21"/>
  <c r="H2380" i="21" s="1"/>
  <c r="U2379" i="21"/>
  <c r="T2379" i="21"/>
  <c r="O2379" i="21"/>
  <c r="K2379" i="21"/>
  <c r="G2379" i="21"/>
  <c r="H2379" i="21" s="1"/>
  <c r="R2378" i="21"/>
  <c r="O2378" i="21"/>
  <c r="I2378" i="21"/>
  <c r="U2377" i="21"/>
  <c r="T2377" i="21"/>
  <c r="O2377" i="21"/>
  <c r="K2377" i="21"/>
  <c r="G2377" i="21"/>
  <c r="H2377" i="21" s="1"/>
  <c r="U2376" i="21"/>
  <c r="T2376" i="21"/>
  <c r="O2376" i="21"/>
  <c r="K2376" i="21"/>
  <c r="G2376" i="21"/>
  <c r="H2376" i="21" s="1"/>
  <c r="U2375" i="21"/>
  <c r="T2375" i="21"/>
  <c r="O2375" i="21"/>
  <c r="K2375" i="21"/>
  <c r="G2375" i="21"/>
  <c r="H2375" i="21" s="1"/>
  <c r="U2374" i="21"/>
  <c r="T2374" i="21"/>
  <c r="O2374" i="21"/>
  <c r="K2374" i="21"/>
  <c r="G2374" i="21"/>
  <c r="H2374" i="21" s="1"/>
  <c r="U2373" i="21"/>
  <c r="T2373" i="21"/>
  <c r="O2373" i="21"/>
  <c r="K2373" i="21"/>
  <c r="G2373" i="21"/>
  <c r="H2373" i="21" s="1"/>
  <c r="R2372" i="21"/>
  <c r="O2372" i="21"/>
  <c r="I2372" i="21"/>
  <c r="U2371" i="21"/>
  <c r="T2371" i="21"/>
  <c r="O2371" i="21"/>
  <c r="K2371" i="21"/>
  <c r="G2371" i="21"/>
  <c r="H2371" i="21" s="1"/>
  <c r="U2370" i="21"/>
  <c r="T2370" i="21"/>
  <c r="O2370" i="21"/>
  <c r="K2370" i="21"/>
  <c r="G2370" i="21"/>
  <c r="H2370" i="21" s="1"/>
  <c r="U2369" i="21"/>
  <c r="T2369" i="21"/>
  <c r="O2369" i="21"/>
  <c r="K2369" i="21"/>
  <c r="G2369" i="21"/>
  <c r="H2369" i="21" s="1"/>
  <c r="U2368" i="21"/>
  <c r="T2368" i="21"/>
  <c r="O2368" i="21"/>
  <c r="K2368" i="21"/>
  <c r="G2368" i="21"/>
  <c r="H2368" i="21" s="1"/>
  <c r="U2367" i="21"/>
  <c r="T2367" i="21"/>
  <c r="O2367" i="21"/>
  <c r="K2367" i="21"/>
  <c r="G2367" i="21"/>
  <c r="H2367" i="21" s="1"/>
  <c r="R2366" i="21"/>
  <c r="O2366" i="21"/>
  <c r="I2366" i="21"/>
  <c r="U2365" i="21"/>
  <c r="T2365" i="21"/>
  <c r="O2365" i="21"/>
  <c r="K2365" i="21"/>
  <c r="G2365" i="21"/>
  <c r="H2365" i="21" s="1"/>
  <c r="U2364" i="21"/>
  <c r="T2364" i="21"/>
  <c r="O2364" i="21"/>
  <c r="K2364" i="21"/>
  <c r="G2364" i="21"/>
  <c r="H2364" i="21" s="1"/>
  <c r="U2363" i="21"/>
  <c r="T2363" i="21"/>
  <c r="O2363" i="21"/>
  <c r="K2363" i="21"/>
  <c r="G2363" i="21"/>
  <c r="H2363" i="21" s="1"/>
  <c r="U2362" i="21"/>
  <c r="T2362" i="21"/>
  <c r="O2362" i="21"/>
  <c r="K2362" i="21"/>
  <c r="G2362" i="21"/>
  <c r="H2362" i="21" s="1"/>
  <c r="U2361" i="21"/>
  <c r="T2361" i="21"/>
  <c r="O2361" i="21"/>
  <c r="K2361" i="21"/>
  <c r="G2361" i="21"/>
  <c r="H2361" i="21" s="1"/>
  <c r="R2360" i="21"/>
  <c r="O2360" i="21"/>
  <c r="I2360" i="21"/>
  <c r="U2359" i="21"/>
  <c r="T2359" i="21"/>
  <c r="O2359" i="21"/>
  <c r="K2359" i="21"/>
  <c r="G2359" i="21"/>
  <c r="H2359" i="21" s="1"/>
  <c r="U2358" i="21"/>
  <c r="T2358" i="21"/>
  <c r="O2358" i="21"/>
  <c r="K2358" i="21"/>
  <c r="G2358" i="21"/>
  <c r="H2358" i="21" s="1"/>
  <c r="U2357" i="21"/>
  <c r="T2357" i="21"/>
  <c r="O2357" i="21"/>
  <c r="K2357" i="21"/>
  <c r="G2357" i="21"/>
  <c r="H2357" i="21" s="1"/>
  <c r="U2356" i="21"/>
  <c r="T2356" i="21"/>
  <c r="O2356" i="21"/>
  <c r="K2356" i="21"/>
  <c r="G2356" i="21"/>
  <c r="H2356" i="21" s="1"/>
  <c r="U2355" i="21"/>
  <c r="T2355" i="21"/>
  <c r="O2355" i="21"/>
  <c r="K2355" i="21"/>
  <c r="G2355" i="21"/>
  <c r="H2355" i="21" s="1"/>
  <c r="R2354" i="21"/>
  <c r="O2354" i="21"/>
  <c r="I2354" i="21"/>
  <c r="U2353" i="21"/>
  <c r="T2353" i="21"/>
  <c r="O2353" i="21"/>
  <c r="K2353" i="21"/>
  <c r="G2353" i="21"/>
  <c r="H2353" i="21" s="1"/>
  <c r="U2352" i="21"/>
  <c r="T2352" i="21"/>
  <c r="O2352" i="21"/>
  <c r="K2352" i="21"/>
  <c r="G2352" i="21"/>
  <c r="H2352" i="21" s="1"/>
  <c r="U2351" i="21"/>
  <c r="T2351" i="21"/>
  <c r="O2351" i="21"/>
  <c r="K2351" i="21"/>
  <c r="G2351" i="21"/>
  <c r="H2351" i="21" s="1"/>
  <c r="U2350" i="21"/>
  <c r="T2350" i="21"/>
  <c r="O2350" i="21"/>
  <c r="K2350" i="21"/>
  <c r="G2350" i="21"/>
  <c r="H2350" i="21" s="1"/>
  <c r="U2349" i="21"/>
  <c r="T2349" i="21"/>
  <c r="O2349" i="21"/>
  <c r="K2349" i="21"/>
  <c r="G2349" i="21"/>
  <c r="H2349" i="21" s="1"/>
  <c r="R2348" i="21"/>
  <c r="O2348" i="21"/>
  <c r="I2348" i="21"/>
  <c r="U2347" i="21"/>
  <c r="T2347" i="21"/>
  <c r="O2347" i="21"/>
  <c r="K2347" i="21"/>
  <c r="G2347" i="21"/>
  <c r="H2347" i="21" s="1"/>
  <c r="U2346" i="21"/>
  <c r="T2346" i="21"/>
  <c r="O2346" i="21"/>
  <c r="K2346" i="21"/>
  <c r="G2346" i="21"/>
  <c r="H2346" i="21" s="1"/>
  <c r="U2345" i="21"/>
  <c r="T2345" i="21"/>
  <c r="O2345" i="21"/>
  <c r="K2345" i="21"/>
  <c r="G2345" i="21"/>
  <c r="H2345" i="21" s="1"/>
  <c r="U2344" i="21"/>
  <c r="T2344" i="21"/>
  <c r="O2344" i="21"/>
  <c r="K2344" i="21"/>
  <c r="G2344" i="21"/>
  <c r="H2344" i="21" s="1"/>
  <c r="U2343" i="21"/>
  <c r="T2343" i="21"/>
  <c r="O2343" i="21"/>
  <c r="K2343" i="21"/>
  <c r="G2343" i="21"/>
  <c r="H2343" i="21" s="1"/>
  <c r="R2342" i="21"/>
  <c r="O2342" i="21"/>
  <c r="I2342" i="21"/>
  <c r="U2341" i="21"/>
  <c r="T2341" i="21"/>
  <c r="O2341" i="21"/>
  <c r="K2341" i="21"/>
  <c r="G2341" i="21"/>
  <c r="H2341" i="21" s="1"/>
  <c r="U2340" i="21"/>
  <c r="T2340" i="21"/>
  <c r="O2340" i="21"/>
  <c r="K2340" i="21"/>
  <c r="G2340" i="21"/>
  <c r="H2340" i="21" s="1"/>
  <c r="U2339" i="21"/>
  <c r="T2339" i="21"/>
  <c r="O2339" i="21"/>
  <c r="K2339" i="21"/>
  <c r="G2339" i="21"/>
  <c r="H2339" i="21" s="1"/>
  <c r="U2338" i="21"/>
  <c r="T2338" i="21"/>
  <c r="O2338" i="21"/>
  <c r="K2338" i="21"/>
  <c r="G2338" i="21"/>
  <c r="H2338" i="21" s="1"/>
  <c r="U2337" i="21"/>
  <c r="T2337" i="21"/>
  <c r="O2337" i="21"/>
  <c r="K2337" i="21"/>
  <c r="G2337" i="21"/>
  <c r="H2337" i="21" s="1"/>
  <c r="R2336" i="21"/>
  <c r="O2336" i="21"/>
  <c r="I2336" i="21"/>
  <c r="U2335" i="21"/>
  <c r="T2335" i="21"/>
  <c r="O2335" i="21"/>
  <c r="K2335" i="21"/>
  <c r="G2335" i="21"/>
  <c r="H2335" i="21" s="1"/>
  <c r="U2334" i="21"/>
  <c r="T2334" i="21"/>
  <c r="O2334" i="21"/>
  <c r="K2334" i="21"/>
  <c r="G2334" i="21"/>
  <c r="H2334" i="21" s="1"/>
  <c r="U2333" i="21"/>
  <c r="T2333" i="21"/>
  <c r="O2333" i="21"/>
  <c r="K2333" i="21"/>
  <c r="G2333" i="21"/>
  <c r="H2333" i="21" s="1"/>
  <c r="U2332" i="21"/>
  <c r="T2332" i="21"/>
  <c r="O2332" i="21"/>
  <c r="K2332" i="21"/>
  <c r="G2332" i="21"/>
  <c r="H2332" i="21" s="1"/>
  <c r="U2331" i="21"/>
  <c r="T2331" i="21"/>
  <c r="O2331" i="21"/>
  <c r="K2331" i="21"/>
  <c r="G2331" i="21"/>
  <c r="H2331" i="21" s="1"/>
  <c r="R2330" i="21"/>
  <c r="O2330" i="21"/>
  <c r="I2330" i="21"/>
  <c r="U2329" i="21"/>
  <c r="T2329" i="21"/>
  <c r="O2329" i="21"/>
  <c r="K2329" i="21"/>
  <c r="G2329" i="21"/>
  <c r="H2329" i="21" s="1"/>
  <c r="U2328" i="21"/>
  <c r="T2328" i="21"/>
  <c r="O2328" i="21"/>
  <c r="K2328" i="21"/>
  <c r="G2328" i="21"/>
  <c r="H2328" i="21" s="1"/>
  <c r="U2327" i="21"/>
  <c r="T2327" i="21"/>
  <c r="O2327" i="21"/>
  <c r="K2327" i="21"/>
  <c r="G2327" i="21"/>
  <c r="H2327" i="21" s="1"/>
  <c r="U2326" i="21"/>
  <c r="T2326" i="21"/>
  <c r="O2326" i="21"/>
  <c r="K2326" i="21"/>
  <c r="G2326" i="21"/>
  <c r="H2326" i="21" s="1"/>
  <c r="U2325" i="21"/>
  <c r="T2325" i="21"/>
  <c r="O2325" i="21"/>
  <c r="K2325" i="21"/>
  <c r="G2325" i="21"/>
  <c r="H2325" i="21" s="1"/>
  <c r="R2324" i="21"/>
  <c r="O2324" i="21"/>
  <c r="I2324" i="21"/>
  <c r="U2323" i="21"/>
  <c r="T2323" i="21"/>
  <c r="O2323" i="21"/>
  <c r="K2323" i="21"/>
  <c r="G2323" i="21"/>
  <c r="H2323" i="21" s="1"/>
  <c r="U2322" i="21"/>
  <c r="T2322" i="21"/>
  <c r="O2322" i="21"/>
  <c r="K2322" i="21"/>
  <c r="G2322" i="21"/>
  <c r="H2322" i="21" s="1"/>
  <c r="U2321" i="21"/>
  <c r="T2321" i="21"/>
  <c r="O2321" i="21"/>
  <c r="K2321" i="21"/>
  <c r="G2321" i="21"/>
  <c r="H2321" i="21" s="1"/>
  <c r="U2320" i="21"/>
  <c r="T2320" i="21"/>
  <c r="O2320" i="21"/>
  <c r="K2320" i="21"/>
  <c r="G2320" i="21"/>
  <c r="H2320" i="21" s="1"/>
  <c r="U2319" i="21"/>
  <c r="T2319" i="21"/>
  <c r="O2319" i="21"/>
  <c r="K2319" i="21"/>
  <c r="G2319" i="21"/>
  <c r="H2319" i="21" s="1"/>
  <c r="R2318" i="21"/>
  <c r="O2318" i="21"/>
  <c r="I2318" i="21"/>
  <c r="U2317" i="21"/>
  <c r="T2317" i="21"/>
  <c r="O2317" i="21"/>
  <c r="K2317" i="21"/>
  <c r="G2317" i="21"/>
  <c r="H2317" i="21" s="1"/>
  <c r="U2316" i="21"/>
  <c r="T2316" i="21"/>
  <c r="O2316" i="21"/>
  <c r="K2316" i="21"/>
  <c r="G2316" i="21"/>
  <c r="H2316" i="21" s="1"/>
  <c r="U2315" i="21"/>
  <c r="T2315" i="21"/>
  <c r="O2315" i="21"/>
  <c r="K2315" i="21"/>
  <c r="G2315" i="21"/>
  <c r="H2315" i="21" s="1"/>
  <c r="U2314" i="21"/>
  <c r="T2314" i="21"/>
  <c r="O2314" i="21"/>
  <c r="K2314" i="21"/>
  <c r="G2314" i="21"/>
  <c r="H2314" i="21" s="1"/>
  <c r="U2313" i="21"/>
  <c r="T2313" i="21"/>
  <c r="O2313" i="21"/>
  <c r="K2313" i="21"/>
  <c r="G2313" i="21"/>
  <c r="H2313" i="21" s="1"/>
  <c r="R2312" i="21"/>
  <c r="O2312" i="21"/>
  <c r="I2312" i="21"/>
  <c r="U2311" i="21"/>
  <c r="T2311" i="21"/>
  <c r="O2311" i="21"/>
  <c r="K2311" i="21"/>
  <c r="G2311" i="21"/>
  <c r="H2311" i="21" s="1"/>
  <c r="U2310" i="21"/>
  <c r="T2310" i="21"/>
  <c r="O2310" i="21"/>
  <c r="K2310" i="21"/>
  <c r="G2310" i="21"/>
  <c r="H2310" i="21" s="1"/>
  <c r="U2309" i="21"/>
  <c r="T2309" i="21"/>
  <c r="O2309" i="21"/>
  <c r="K2309" i="21"/>
  <c r="G2309" i="21"/>
  <c r="H2309" i="21" s="1"/>
  <c r="U2308" i="21"/>
  <c r="T2308" i="21"/>
  <c r="O2308" i="21"/>
  <c r="K2308" i="21"/>
  <c r="G2308" i="21"/>
  <c r="H2308" i="21" s="1"/>
  <c r="U2307" i="21"/>
  <c r="T2307" i="21"/>
  <c r="O2307" i="21"/>
  <c r="K2307" i="21"/>
  <c r="G2307" i="21"/>
  <c r="H2307" i="21" s="1"/>
  <c r="R2306" i="21"/>
  <c r="O2306" i="21"/>
  <c r="I2306" i="21"/>
  <c r="U2305" i="21"/>
  <c r="T2305" i="21"/>
  <c r="O2305" i="21"/>
  <c r="K2305" i="21"/>
  <c r="G2305" i="21"/>
  <c r="H2305" i="21" s="1"/>
  <c r="U2304" i="21"/>
  <c r="T2304" i="21"/>
  <c r="O2304" i="21"/>
  <c r="K2304" i="21"/>
  <c r="G2304" i="21"/>
  <c r="H2304" i="21" s="1"/>
  <c r="U2303" i="21"/>
  <c r="T2303" i="21"/>
  <c r="O2303" i="21"/>
  <c r="K2303" i="21"/>
  <c r="G2303" i="21"/>
  <c r="H2303" i="21" s="1"/>
  <c r="U2302" i="21"/>
  <c r="T2302" i="21"/>
  <c r="O2302" i="21"/>
  <c r="K2302" i="21"/>
  <c r="G2302" i="21"/>
  <c r="H2302" i="21" s="1"/>
  <c r="U2301" i="21"/>
  <c r="T2301" i="21"/>
  <c r="O2301" i="21"/>
  <c r="K2301" i="21"/>
  <c r="G2301" i="21"/>
  <c r="H2301" i="21" s="1"/>
  <c r="R2300" i="21"/>
  <c r="O2300" i="21"/>
  <c r="I2300" i="21"/>
  <c r="U2299" i="21"/>
  <c r="T2299" i="21"/>
  <c r="O2299" i="21"/>
  <c r="K2299" i="21"/>
  <c r="G2299" i="21"/>
  <c r="H2299" i="21" s="1"/>
  <c r="U2298" i="21"/>
  <c r="T2298" i="21"/>
  <c r="O2298" i="21"/>
  <c r="K2298" i="21"/>
  <c r="G2298" i="21"/>
  <c r="H2298" i="21" s="1"/>
  <c r="U2297" i="21"/>
  <c r="T2297" i="21"/>
  <c r="O2297" i="21"/>
  <c r="K2297" i="21"/>
  <c r="G2297" i="21"/>
  <c r="H2297" i="21" s="1"/>
  <c r="U2296" i="21"/>
  <c r="T2296" i="21"/>
  <c r="O2296" i="21"/>
  <c r="K2296" i="21"/>
  <c r="G2296" i="21"/>
  <c r="H2296" i="21" s="1"/>
  <c r="U2295" i="21"/>
  <c r="T2295" i="21"/>
  <c r="O2295" i="21"/>
  <c r="K2295" i="21"/>
  <c r="G2295" i="21"/>
  <c r="H2295" i="21" s="1"/>
  <c r="R2294" i="21"/>
  <c r="O2294" i="21"/>
  <c r="I2294" i="21"/>
  <c r="U2293" i="21"/>
  <c r="T2293" i="21"/>
  <c r="O2293" i="21"/>
  <c r="K2293" i="21"/>
  <c r="G2293" i="21"/>
  <c r="H2293" i="21" s="1"/>
  <c r="U2292" i="21"/>
  <c r="T2292" i="21"/>
  <c r="O2292" i="21"/>
  <c r="K2292" i="21"/>
  <c r="G2292" i="21"/>
  <c r="H2292" i="21" s="1"/>
  <c r="U2291" i="21"/>
  <c r="T2291" i="21"/>
  <c r="O2291" i="21"/>
  <c r="K2291" i="21"/>
  <c r="G2291" i="21"/>
  <c r="H2291" i="21" s="1"/>
  <c r="U2290" i="21"/>
  <c r="T2290" i="21"/>
  <c r="O2290" i="21"/>
  <c r="K2290" i="21"/>
  <c r="G2290" i="21"/>
  <c r="H2290" i="21" s="1"/>
  <c r="U2289" i="21"/>
  <c r="T2289" i="21"/>
  <c r="O2289" i="21"/>
  <c r="K2289" i="21"/>
  <c r="G2289" i="21"/>
  <c r="H2289" i="21" s="1"/>
  <c r="R2288" i="21"/>
  <c r="O2288" i="21"/>
  <c r="I2288" i="21"/>
  <c r="U2287" i="21"/>
  <c r="T2287" i="21"/>
  <c r="O2287" i="21"/>
  <c r="K2287" i="21"/>
  <c r="G2287" i="21"/>
  <c r="H2287" i="21" s="1"/>
  <c r="U2286" i="21"/>
  <c r="T2286" i="21"/>
  <c r="O2286" i="21"/>
  <c r="K2286" i="21"/>
  <c r="G2286" i="21"/>
  <c r="H2286" i="21" s="1"/>
  <c r="U2285" i="21"/>
  <c r="T2285" i="21"/>
  <c r="O2285" i="21"/>
  <c r="K2285" i="21"/>
  <c r="G2285" i="21"/>
  <c r="H2285" i="21" s="1"/>
  <c r="U2284" i="21"/>
  <c r="T2284" i="21"/>
  <c r="O2284" i="21"/>
  <c r="K2284" i="21"/>
  <c r="G2284" i="21"/>
  <c r="H2284" i="21" s="1"/>
  <c r="U2283" i="21"/>
  <c r="T2283" i="21"/>
  <c r="O2283" i="21"/>
  <c r="K2283" i="21"/>
  <c r="G2283" i="21"/>
  <c r="H2283" i="21" s="1"/>
  <c r="R2282" i="21"/>
  <c r="O2282" i="21"/>
  <c r="I2282" i="21"/>
  <c r="U2281" i="21"/>
  <c r="T2281" i="21"/>
  <c r="O2281" i="21"/>
  <c r="K2281" i="21"/>
  <c r="G2281" i="21"/>
  <c r="H2281" i="21" s="1"/>
  <c r="U2280" i="21"/>
  <c r="T2280" i="21"/>
  <c r="O2280" i="21"/>
  <c r="K2280" i="21"/>
  <c r="G2280" i="21"/>
  <c r="H2280" i="21" s="1"/>
  <c r="U2279" i="21"/>
  <c r="T2279" i="21"/>
  <c r="O2279" i="21"/>
  <c r="K2279" i="21"/>
  <c r="G2279" i="21"/>
  <c r="H2279" i="21" s="1"/>
  <c r="U2278" i="21"/>
  <c r="T2278" i="21"/>
  <c r="O2278" i="21"/>
  <c r="K2278" i="21"/>
  <c r="G2278" i="21"/>
  <c r="H2278" i="21" s="1"/>
  <c r="U2277" i="21"/>
  <c r="T2277" i="21"/>
  <c r="O2277" i="21"/>
  <c r="K2277" i="21"/>
  <c r="G2277" i="21"/>
  <c r="H2277" i="21" s="1"/>
  <c r="R2276" i="21"/>
  <c r="O2276" i="21"/>
  <c r="I2276" i="21"/>
  <c r="U2275" i="21"/>
  <c r="T2275" i="21"/>
  <c r="O2275" i="21"/>
  <c r="K2275" i="21"/>
  <c r="G2275" i="21"/>
  <c r="H2275" i="21" s="1"/>
  <c r="U2274" i="21"/>
  <c r="T2274" i="21"/>
  <c r="O2274" i="21"/>
  <c r="K2274" i="21"/>
  <c r="G2274" i="21"/>
  <c r="H2274" i="21" s="1"/>
  <c r="U2273" i="21"/>
  <c r="T2273" i="21"/>
  <c r="O2273" i="21"/>
  <c r="K2273" i="21"/>
  <c r="G2273" i="21"/>
  <c r="H2273" i="21" s="1"/>
  <c r="U2272" i="21"/>
  <c r="T2272" i="21"/>
  <c r="O2272" i="21"/>
  <c r="K2272" i="21"/>
  <c r="G2272" i="21"/>
  <c r="H2272" i="21" s="1"/>
  <c r="U2271" i="21"/>
  <c r="T2271" i="21"/>
  <c r="O2271" i="21"/>
  <c r="K2271" i="21"/>
  <c r="G2271" i="21"/>
  <c r="H2271" i="21" s="1"/>
  <c r="R2270" i="21"/>
  <c r="O2270" i="21"/>
  <c r="I2270" i="21"/>
  <c r="U2269" i="21"/>
  <c r="T2269" i="21"/>
  <c r="O2269" i="21"/>
  <c r="K2269" i="21"/>
  <c r="G2269" i="21"/>
  <c r="H2269" i="21" s="1"/>
  <c r="U2268" i="21"/>
  <c r="T2268" i="21"/>
  <c r="O2268" i="21"/>
  <c r="K2268" i="21"/>
  <c r="G2268" i="21"/>
  <c r="H2268" i="21" s="1"/>
  <c r="U2267" i="21"/>
  <c r="T2267" i="21"/>
  <c r="O2267" i="21"/>
  <c r="K2267" i="21"/>
  <c r="G2267" i="21"/>
  <c r="H2267" i="21" s="1"/>
  <c r="U2266" i="21"/>
  <c r="T2266" i="21"/>
  <c r="O2266" i="21"/>
  <c r="K2266" i="21"/>
  <c r="G2266" i="21"/>
  <c r="H2266" i="21" s="1"/>
  <c r="U2265" i="21"/>
  <c r="T2265" i="21"/>
  <c r="O2265" i="21"/>
  <c r="K2265" i="21"/>
  <c r="G2265" i="21"/>
  <c r="H2265" i="21" s="1"/>
  <c r="R2264" i="21"/>
  <c r="O2264" i="21"/>
  <c r="I2264" i="21"/>
  <c r="U2263" i="21"/>
  <c r="T2263" i="21"/>
  <c r="O2263" i="21"/>
  <c r="K2263" i="21"/>
  <c r="G2263" i="21"/>
  <c r="H2263" i="21" s="1"/>
  <c r="U2262" i="21"/>
  <c r="T2262" i="21"/>
  <c r="O2262" i="21"/>
  <c r="K2262" i="21"/>
  <c r="G2262" i="21"/>
  <c r="H2262" i="21" s="1"/>
  <c r="U2261" i="21"/>
  <c r="T2261" i="21"/>
  <c r="O2261" i="21"/>
  <c r="K2261" i="21"/>
  <c r="G2261" i="21"/>
  <c r="H2261" i="21" s="1"/>
  <c r="U2260" i="21"/>
  <c r="T2260" i="21"/>
  <c r="O2260" i="21"/>
  <c r="K2260" i="21"/>
  <c r="G2260" i="21"/>
  <c r="H2260" i="21" s="1"/>
  <c r="U2259" i="21"/>
  <c r="T2259" i="21"/>
  <c r="O2259" i="21"/>
  <c r="K2259" i="21"/>
  <c r="G2259" i="21"/>
  <c r="H2259" i="21" s="1"/>
  <c r="R2258" i="21"/>
  <c r="O2258" i="21"/>
  <c r="I2258" i="21"/>
  <c r="U2257" i="21"/>
  <c r="T2257" i="21"/>
  <c r="O2257" i="21"/>
  <c r="K2257" i="21"/>
  <c r="G2257" i="21"/>
  <c r="H2257" i="21" s="1"/>
  <c r="U2256" i="21"/>
  <c r="T2256" i="21"/>
  <c r="O2256" i="21"/>
  <c r="K2256" i="21"/>
  <c r="G2256" i="21"/>
  <c r="H2256" i="21" s="1"/>
  <c r="U2255" i="21"/>
  <c r="T2255" i="21"/>
  <c r="O2255" i="21"/>
  <c r="K2255" i="21"/>
  <c r="G2255" i="21"/>
  <c r="H2255" i="21" s="1"/>
  <c r="U2254" i="21"/>
  <c r="T2254" i="21"/>
  <c r="O2254" i="21"/>
  <c r="K2254" i="21"/>
  <c r="G2254" i="21"/>
  <c r="H2254" i="21" s="1"/>
  <c r="U2253" i="21"/>
  <c r="T2253" i="21"/>
  <c r="O2253" i="21"/>
  <c r="K2253" i="21"/>
  <c r="G2253" i="21"/>
  <c r="H2253" i="21" s="1"/>
  <c r="R2252" i="21"/>
  <c r="O2252" i="21"/>
  <c r="I2252" i="21"/>
  <c r="U2251" i="21"/>
  <c r="T2251" i="21"/>
  <c r="O2251" i="21"/>
  <c r="K2251" i="21"/>
  <c r="G2251" i="21"/>
  <c r="H2251" i="21" s="1"/>
  <c r="U2250" i="21"/>
  <c r="T2250" i="21"/>
  <c r="O2250" i="21"/>
  <c r="K2250" i="21"/>
  <c r="G2250" i="21"/>
  <c r="H2250" i="21" s="1"/>
  <c r="U2249" i="21"/>
  <c r="T2249" i="21"/>
  <c r="O2249" i="21"/>
  <c r="K2249" i="21"/>
  <c r="G2249" i="21"/>
  <c r="H2249" i="21" s="1"/>
  <c r="U2248" i="21"/>
  <c r="T2248" i="21"/>
  <c r="O2248" i="21"/>
  <c r="K2248" i="21"/>
  <c r="G2248" i="21"/>
  <c r="H2248" i="21" s="1"/>
  <c r="U2247" i="21"/>
  <c r="T2247" i="21"/>
  <c r="O2247" i="21"/>
  <c r="K2247" i="21"/>
  <c r="G2247" i="21"/>
  <c r="H2247" i="21" s="1"/>
  <c r="R2246" i="21"/>
  <c r="O2246" i="21"/>
  <c r="I2246" i="21"/>
  <c r="U2245" i="21"/>
  <c r="T2245" i="21"/>
  <c r="O2245" i="21"/>
  <c r="K2245" i="21"/>
  <c r="G2245" i="21"/>
  <c r="H2245" i="21" s="1"/>
  <c r="U2244" i="21"/>
  <c r="T2244" i="21"/>
  <c r="O2244" i="21"/>
  <c r="K2244" i="21"/>
  <c r="G2244" i="21"/>
  <c r="H2244" i="21" s="1"/>
  <c r="U2243" i="21"/>
  <c r="T2243" i="21"/>
  <c r="O2243" i="21"/>
  <c r="K2243" i="21"/>
  <c r="G2243" i="21"/>
  <c r="H2243" i="21" s="1"/>
  <c r="U2242" i="21"/>
  <c r="T2242" i="21"/>
  <c r="O2242" i="21"/>
  <c r="K2242" i="21"/>
  <c r="G2242" i="21"/>
  <c r="H2242" i="21" s="1"/>
  <c r="U2241" i="21"/>
  <c r="T2241" i="21"/>
  <c r="O2241" i="21"/>
  <c r="K2241" i="21"/>
  <c r="G2241" i="21"/>
  <c r="H2241" i="21" s="1"/>
  <c r="R2240" i="21"/>
  <c r="O2240" i="21"/>
  <c r="I2240" i="21"/>
  <c r="U2239" i="21"/>
  <c r="T2239" i="21"/>
  <c r="O2239" i="21"/>
  <c r="K2239" i="21"/>
  <c r="G2239" i="21"/>
  <c r="H2239" i="21" s="1"/>
  <c r="U2238" i="21"/>
  <c r="T2238" i="21"/>
  <c r="O2238" i="21"/>
  <c r="K2238" i="21"/>
  <c r="G2238" i="21"/>
  <c r="H2238" i="21" s="1"/>
  <c r="U2237" i="21"/>
  <c r="T2237" i="21"/>
  <c r="O2237" i="21"/>
  <c r="K2237" i="21"/>
  <c r="G2237" i="21"/>
  <c r="H2237" i="21" s="1"/>
  <c r="U2236" i="21"/>
  <c r="T2236" i="21"/>
  <c r="O2236" i="21"/>
  <c r="K2236" i="21"/>
  <c r="G2236" i="21"/>
  <c r="H2236" i="21" s="1"/>
  <c r="U2235" i="21"/>
  <c r="T2235" i="21"/>
  <c r="O2235" i="21"/>
  <c r="K2235" i="21"/>
  <c r="G2235" i="21"/>
  <c r="H2235" i="21" s="1"/>
  <c r="R2234" i="21"/>
  <c r="O2234" i="21"/>
  <c r="I2234" i="21"/>
  <c r="U2233" i="21"/>
  <c r="T2233" i="21"/>
  <c r="O2233" i="21"/>
  <c r="K2233" i="21"/>
  <c r="G2233" i="21"/>
  <c r="H2233" i="21" s="1"/>
  <c r="U2232" i="21"/>
  <c r="T2232" i="21"/>
  <c r="O2232" i="21"/>
  <c r="K2232" i="21"/>
  <c r="G2232" i="21"/>
  <c r="H2232" i="21" s="1"/>
  <c r="U2231" i="21"/>
  <c r="T2231" i="21"/>
  <c r="O2231" i="21"/>
  <c r="K2231" i="21"/>
  <c r="G2231" i="21"/>
  <c r="H2231" i="21" s="1"/>
  <c r="U2230" i="21"/>
  <c r="T2230" i="21"/>
  <c r="O2230" i="21"/>
  <c r="K2230" i="21"/>
  <c r="G2230" i="21"/>
  <c r="H2230" i="21" s="1"/>
  <c r="U2229" i="21"/>
  <c r="T2229" i="21"/>
  <c r="O2229" i="21"/>
  <c r="K2229" i="21"/>
  <c r="G2229" i="21"/>
  <c r="H2229" i="21" s="1"/>
  <c r="R2228" i="21"/>
  <c r="O2228" i="21"/>
  <c r="I2228" i="21"/>
  <c r="U2227" i="21"/>
  <c r="T2227" i="21"/>
  <c r="O2227" i="21"/>
  <c r="K2227" i="21"/>
  <c r="G2227" i="21"/>
  <c r="H2227" i="21" s="1"/>
  <c r="U2226" i="21"/>
  <c r="T2226" i="21"/>
  <c r="O2226" i="21"/>
  <c r="K2226" i="21"/>
  <c r="G2226" i="21"/>
  <c r="H2226" i="21" s="1"/>
  <c r="U2225" i="21"/>
  <c r="T2225" i="21"/>
  <c r="O2225" i="21"/>
  <c r="K2225" i="21"/>
  <c r="G2225" i="21"/>
  <c r="H2225" i="21" s="1"/>
  <c r="U2224" i="21"/>
  <c r="T2224" i="21"/>
  <c r="O2224" i="21"/>
  <c r="K2224" i="21"/>
  <c r="G2224" i="21"/>
  <c r="H2224" i="21" s="1"/>
  <c r="U2223" i="21"/>
  <c r="T2223" i="21"/>
  <c r="O2223" i="21"/>
  <c r="K2223" i="21"/>
  <c r="G2223" i="21"/>
  <c r="H2223" i="21" s="1"/>
  <c r="R2222" i="21"/>
  <c r="O2222" i="21"/>
  <c r="I2222" i="21"/>
  <c r="U2221" i="21"/>
  <c r="T2221" i="21"/>
  <c r="O2221" i="21"/>
  <c r="K2221" i="21"/>
  <c r="G2221" i="21"/>
  <c r="H2221" i="21" s="1"/>
  <c r="U2220" i="21"/>
  <c r="T2220" i="21"/>
  <c r="O2220" i="21"/>
  <c r="K2220" i="21"/>
  <c r="G2220" i="21"/>
  <c r="H2220" i="21" s="1"/>
  <c r="U2219" i="21"/>
  <c r="T2219" i="21"/>
  <c r="O2219" i="21"/>
  <c r="K2219" i="21"/>
  <c r="G2219" i="21"/>
  <c r="H2219" i="21" s="1"/>
  <c r="U2218" i="21"/>
  <c r="T2218" i="21"/>
  <c r="O2218" i="21"/>
  <c r="K2218" i="21"/>
  <c r="G2218" i="21"/>
  <c r="H2218" i="21" s="1"/>
  <c r="U2217" i="21"/>
  <c r="T2217" i="21"/>
  <c r="O2217" i="21"/>
  <c r="K2217" i="21"/>
  <c r="G2217" i="21"/>
  <c r="H2217" i="21" s="1"/>
  <c r="R2216" i="21"/>
  <c r="O2216" i="21"/>
  <c r="I2216" i="21"/>
  <c r="U2215" i="21"/>
  <c r="T2215" i="21"/>
  <c r="O2215" i="21"/>
  <c r="K2215" i="21"/>
  <c r="G2215" i="21"/>
  <c r="H2215" i="21" s="1"/>
  <c r="U2214" i="21"/>
  <c r="T2214" i="21"/>
  <c r="O2214" i="21"/>
  <c r="K2214" i="21"/>
  <c r="G2214" i="21"/>
  <c r="H2214" i="21" s="1"/>
  <c r="U2213" i="21"/>
  <c r="T2213" i="21"/>
  <c r="O2213" i="21"/>
  <c r="K2213" i="21"/>
  <c r="G2213" i="21"/>
  <c r="H2213" i="21" s="1"/>
  <c r="U2212" i="21"/>
  <c r="T2212" i="21"/>
  <c r="O2212" i="21"/>
  <c r="K2212" i="21"/>
  <c r="G2212" i="21"/>
  <c r="H2212" i="21" s="1"/>
  <c r="U2211" i="21"/>
  <c r="T2211" i="21"/>
  <c r="O2211" i="21"/>
  <c r="K2211" i="21"/>
  <c r="G2211" i="21"/>
  <c r="H2211" i="21" s="1"/>
  <c r="R2210" i="21"/>
  <c r="O2210" i="21"/>
  <c r="I2210" i="21"/>
  <c r="G2210" i="21"/>
  <c r="H2210" i="21" s="1"/>
  <c r="U2209" i="21"/>
  <c r="T2209" i="21"/>
  <c r="O2209" i="21"/>
  <c r="K2209" i="21"/>
  <c r="G2209" i="21"/>
  <c r="H2209" i="21" s="1"/>
  <c r="U2208" i="21"/>
  <c r="T2208" i="21"/>
  <c r="O2208" i="21"/>
  <c r="K2208" i="21"/>
  <c r="G2208" i="21"/>
  <c r="H2208" i="21" s="1"/>
  <c r="U2207" i="21"/>
  <c r="T2207" i="21"/>
  <c r="O2207" i="21"/>
  <c r="K2207" i="21"/>
  <c r="G2207" i="21"/>
  <c r="H2207" i="21" s="1"/>
  <c r="U2206" i="21"/>
  <c r="T2206" i="21"/>
  <c r="O2206" i="21"/>
  <c r="K2206" i="21"/>
  <c r="G2206" i="21"/>
  <c r="H2206" i="21" s="1"/>
  <c r="U2205" i="21"/>
  <c r="T2205" i="21"/>
  <c r="O2205" i="21"/>
  <c r="K2205" i="21"/>
  <c r="G2205" i="21"/>
  <c r="H2205" i="21" s="1"/>
  <c r="R2204" i="21"/>
  <c r="O2204" i="21"/>
  <c r="I2204" i="21"/>
  <c r="G2204" i="21"/>
  <c r="U2203" i="21"/>
  <c r="T2203" i="21"/>
  <c r="O2203" i="21"/>
  <c r="K2203" i="21"/>
  <c r="G2203" i="21"/>
  <c r="H2203" i="21" s="1"/>
  <c r="U2202" i="21"/>
  <c r="T2202" i="21"/>
  <c r="O2202" i="21"/>
  <c r="K2202" i="21"/>
  <c r="G2202" i="21"/>
  <c r="H2202" i="21" s="1"/>
  <c r="U2201" i="21"/>
  <c r="T2201" i="21"/>
  <c r="O2201" i="21"/>
  <c r="K2201" i="21"/>
  <c r="G2201" i="21"/>
  <c r="H2201" i="21" s="1"/>
  <c r="U2200" i="21"/>
  <c r="T2200" i="21"/>
  <c r="O2200" i="21"/>
  <c r="K2200" i="21"/>
  <c r="G2200" i="21"/>
  <c r="H2200" i="21" s="1"/>
  <c r="U2199" i="21"/>
  <c r="T2199" i="21"/>
  <c r="O2199" i="21"/>
  <c r="K2199" i="21"/>
  <c r="G2199" i="21"/>
  <c r="H2199" i="21" s="1"/>
  <c r="R2198" i="21"/>
  <c r="O2198" i="21"/>
  <c r="I2198" i="21"/>
  <c r="G2198" i="21"/>
  <c r="U2197" i="21"/>
  <c r="T2197" i="21"/>
  <c r="O2197" i="21"/>
  <c r="K2197" i="21"/>
  <c r="G2197" i="21"/>
  <c r="H2197" i="21" s="1"/>
  <c r="U2196" i="21"/>
  <c r="T2196" i="21"/>
  <c r="O2196" i="21"/>
  <c r="K2196" i="21"/>
  <c r="G2196" i="21"/>
  <c r="H2196" i="21" s="1"/>
  <c r="U2195" i="21"/>
  <c r="T2195" i="21"/>
  <c r="O2195" i="21"/>
  <c r="K2195" i="21"/>
  <c r="G2195" i="21"/>
  <c r="H2195" i="21" s="1"/>
  <c r="U2194" i="21"/>
  <c r="T2194" i="21"/>
  <c r="O2194" i="21"/>
  <c r="K2194" i="21"/>
  <c r="G2194" i="21"/>
  <c r="H2194" i="21" s="1"/>
  <c r="U2193" i="21"/>
  <c r="T2193" i="21"/>
  <c r="O2193" i="21"/>
  <c r="K2193" i="21"/>
  <c r="G2193" i="21"/>
  <c r="H2193" i="21" s="1"/>
  <c r="R2192" i="21"/>
  <c r="O2192" i="21"/>
  <c r="I2192" i="21"/>
  <c r="U2191" i="21"/>
  <c r="T2191" i="21"/>
  <c r="P2191" i="21"/>
  <c r="O2191" i="21"/>
  <c r="K2191" i="21"/>
  <c r="G2191" i="21"/>
  <c r="H2191" i="21" s="1"/>
  <c r="U2190" i="21"/>
  <c r="T2190" i="21"/>
  <c r="O2190" i="21"/>
  <c r="K2190" i="21"/>
  <c r="G2190" i="21"/>
  <c r="H2190" i="21" s="1"/>
  <c r="U2189" i="21"/>
  <c r="T2189" i="21"/>
  <c r="O2189" i="21"/>
  <c r="K2189" i="21"/>
  <c r="G2189" i="21"/>
  <c r="H2189" i="21" s="1"/>
  <c r="U2188" i="21"/>
  <c r="T2188" i="21"/>
  <c r="O2188" i="21"/>
  <c r="K2188" i="21"/>
  <c r="G2188" i="21"/>
  <c r="H2188" i="21" s="1"/>
  <c r="U2187" i="21"/>
  <c r="T2187" i="21"/>
  <c r="O2187" i="21"/>
  <c r="K2187" i="21"/>
  <c r="G2187" i="21"/>
  <c r="H2187" i="21" s="1"/>
  <c r="R2186" i="21"/>
  <c r="O2186" i="21"/>
  <c r="I2186" i="21"/>
  <c r="U2185" i="21"/>
  <c r="T2185" i="21"/>
  <c r="O2185" i="21"/>
  <c r="K2185" i="21"/>
  <c r="G2185" i="21"/>
  <c r="H2185" i="21" s="1"/>
  <c r="U2184" i="21"/>
  <c r="T2184" i="21"/>
  <c r="O2184" i="21"/>
  <c r="K2184" i="21"/>
  <c r="G2184" i="21"/>
  <c r="H2184" i="21" s="1"/>
  <c r="U2183" i="21"/>
  <c r="T2183" i="21"/>
  <c r="O2183" i="21"/>
  <c r="K2183" i="21"/>
  <c r="G2183" i="21"/>
  <c r="H2183" i="21" s="1"/>
  <c r="U2182" i="21"/>
  <c r="T2182" i="21"/>
  <c r="O2182" i="21"/>
  <c r="K2182" i="21"/>
  <c r="G2182" i="21"/>
  <c r="H2182" i="21" s="1"/>
  <c r="U2181" i="21"/>
  <c r="T2181" i="21"/>
  <c r="O2181" i="21"/>
  <c r="K2181" i="21"/>
  <c r="G2181" i="21"/>
  <c r="H2181" i="21" s="1"/>
  <c r="R2180" i="21"/>
  <c r="O2180" i="21"/>
  <c r="I2180" i="21"/>
  <c r="U2179" i="21"/>
  <c r="T2179" i="21"/>
  <c r="O2179" i="21"/>
  <c r="K2179" i="21"/>
  <c r="G2179" i="21"/>
  <c r="H2179" i="21" s="1"/>
  <c r="U2178" i="21"/>
  <c r="T2178" i="21"/>
  <c r="O2178" i="21"/>
  <c r="K2178" i="21"/>
  <c r="G2178" i="21"/>
  <c r="H2178" i="21" s="1"/>
  <c r="U2177" i="21"/>
  <c r="T2177" i="21"/>
  <c r="O2177" i="21"/>
  <c r="K2177" i="21"/>
  <c r="G2177" i="21"/>
  <c r="H2177" i="21" s="1"/>
  <c r="U2176" i="21"/>
  <c r="T2176" i="21"/>
  <c r="O2176" i="21"/>
  <c r="K2176" i="21"/>
  <c r="G2176" i="21"/>
  <c r="H2176" i="21" s="1"/>
  <c r="U2175" i="21"/>
  <c r="T2175" i="21"/>
  <c r="O2175" i="21"/>
  <c r="K2175" i="21"/>
  <c r="G2175" i="21"/>
  <c r="H2175" i="21" s="1"/>
  <c r="R2174" i="21"/>
  <c r="O2174" i="21"/>
  <c r="I2174" i="21"/>
  <c r="U2173" i="21"/>
  <c r="T2173" i="21"/>
  <c r="O2173" i="21"/>
  <c r="K2173" i="21"/>
  <c r="G2173" i="21"/>
  <c r="H2173" i="21" s="1"/>
  <c r="U2172" i="21"/>
  <c r="T2172" i="21"/>
  <c r="O2172" i="21"/>
  <c r="K2172" i="21"/>
  <c r="G2172" i="21"/>
  <c r="H2172" i="21" s="1"/>
  <c r="U2171" i="21"/>
  <c r="T2171" i="21"/>
  <c r="O2171" i="21"/>
  <c r="K2171" i="21"/>
  <c r="G2171" i="21"/>
  <c r="H2171" i="21" s="1"/>
  <c r="U2170" i="21"/>
  <c r="T2170" i="21"/>
  <c r="O2170" i="21"/>
  <c r="K2170" i="21"/>
  <c r="G2170" i="21"/>
  <c r="H2170" i="21" s="1"/>
  <c r="U2169" i="21"/>
  <c r="T2169" i="21"/>
  <c r="O2169" i="21"/>
  <c r="K2169" i="21"/>
  <c r="G2169" i="21"/>
  <c r="H2169" i="21" s="1"/>
  <c r="R2168" i="21"/>
  <c r="O2168" i="21"/>
  <c r="I2168" i="21"/>
  <c r="U2167" i="21"/>
  <c r="T2167" i="21"/>
  <c r="O2167" i="21"/>
  <c r="K2167" i="21"/>
  <c r="H2167" i="21"/>
  <c r="U2166" i="21"/>
  <c r="T2166" i="21"/>
  <c r="O2166" i="21"/>
  <c r="K2166" i="21"/>
  <c r="H2166" i="21"/>
  <c r="U2165" i="21"/>
  <c r="T2165" i="21"/>
  <c r="O2165" i="21"/>
  <c r="K2165" i="21"/>
  <c r="H2165" i="21"/>
  <c r="U2164" i="21"/>
  <c r="T2164" i="21"/>
  <c r="O2164" i="21"/>
  <c r="K2164" i="21"/>
  <c r="H2164" i="21"/>
  <c r="R2163" i="21"/>
  <c r="O2163" i="21"/>
  <c r="U2162" i="21"/>
  <c r="T2162" i="21"/>
  <c r="O2162" i="21"/>
  <c r="K2162" i="21"/>
  <c r="H2162" i="21"/>
  <c r="U2161" i="21"/>
  <c r="T2161" i="21"/>
  <c r="O2161" i="21"/>
  <c r="K2161" i="21"/>
  <c r="H2161" i="21"/>
  <c r="U2160" i="21"/>
  <c r="T2160" i="21"/>
  <c r="O2160" i="21"/>
  <c r="K2160" i="21"/>
  <c r="H2160" i="21"/>
  <c r="U2159" i="21"/>
  <c r="T2159" i="21"/>
  <c r="O2159" i="21"/>
  <c r="K2159" i="21"/>
  <c r="H2159" i="21"/>
  <c r="R2158" i="21"/>
  <c r="O2158" i="21"/>
  <c r="U2157" i="21"/>
  <c r="T2157" i="21"/>
  <c r="O2157" i="21"/>
  <c r="K2157" i="21"/>
  <c r="H2157" i="21"/>
  <c r="U2156" i="21"/>
  <c r="T2156" i="21"/>
  <c r="O2156" i="21"/>
  <c r="K2156" i="21"/>
  <c r="H2156" i="21"/>
  <c r="U2155" i="21"/>
  <c r="T2155" i="21"/>
  <c r="O2155" i="21"/>
  <c r="K2155" i="21"/>
  <c r="H2155" i="21"/>
  <c r="U2154" i="21"/>
  <c r="T2154" i="21"/>
  <c r="O2154" i="21"/>
  <c r="K2154" i="21"/>
  <c r="H2154" i="21"/>
  <c r="R2153" i="21"/>
  <c r="O2153" i="21"/>
  <c r="U2152" i="21"/>
  <c r="T2152" i="21"/>
  <c r="O2152" i="21"/>
  <c r="K2152" i="21"/>
  <c r="H2152" i="21"/>
  <c r="U2151" i="21"/>
  <c r="T2151" i="21"/>
  <c r="O2151" i="21"/>
  <c r="K2151" i="21"/>
  <c r="H2151" i="21"/>
  <c r="U2150" i="21"/>
  <c r="T2150" i="21"/>
  <c r="O2150" i="21"/>
  <c r="K2150" i="21"/>
  <c r="H2150" i="21"/>
  <c r="U2149" i="21"/>
  <c r="T2149" i="21"/>
  <c r="O2149" i="21"/>
  <c r="K2149" i="21"/>
  <c r="H2149" i="21"/>
  <c r="R2148" i="21"/>
  <c r="O2148" i="21"/>
  <c r="U2147" i="21"/>
  <c r="T2147" i="21"/>
  <c r="O2147" i="21"/>
  <c r="K2147" i="21"/>
  <c r="H2147" i="21"/>
  <c r="U2146" i="21"/>
  <c r="T2146" i="21"/>
  <c r="O2146" i="21"/>
  <c r="K2146" i="21"/>
  <c r="H2146" i="21"/>
  <c r="U2145" i="21"/>
  <c r="T2145" i="21"/>
  <c r="O2145" i="21"/>
  <c r="K2145" i="21"/>
  <c r="H2145" i="21"/>
  <c r="U2144" i="21"/>
  <c r="T2144" i="21"/>
  <c r="O2144" i="21"/>
  <c r="K2144" i="21"/>
  <c r="H2144" i="21"/>
  <c r="R2143" i="21"/>
  <c r="O2143" i="21"/>
  <c r="U2142" i="21"/>
  <c r="T2142" i="21"/>
  <c r="O2142" i="21"/>
  <c r="K2142" i="21"/>
  <c r="H2142" i="21"/>
  <c r="U2141" i="21"/>
  <c r="T2141" i="21"/>
  <c r="O2141" i="21"/>
  <c r="K2141" i="21"/>
  <c r="H2141" i="21"/>
  <c r="U2140" i="21"/>
  <c r="T2140" i="21"/>
  <c r="O2140" i="21"/>
  <c r="K2140" i="21"/>
  <c r="H2140" i="21"/>
  <c r="U2139" i="21"/>
  <c r="T2139" i="21"/>
  <c r="O2139" i="21"/>
  <c r="K2139" i="21"/>
  <c r="H2139" i="21"/>
  <c r="R2138" i="21"/>
  <c r="O2138" i="21"/>
  <c r="U2137" i="21"/>
  <c r="T2137" i="21"/>
  <c r="O2137" i="21"/>
  <c r="K2137" i="21"/>
  <c r="H2137" i="21"/>
  <c r="U2136" i="21"/>
  <c r="T2136" i="21"/>
  <c r="O2136" i="21"/>
  <c r="K2136" i="21"/>
  <c r="H2136" i="21"/>
  <c r="U2135" i="21"/>
  <c r="T2135" i="21"/>
  <c r="O2135" i="21"/>
  <c r="K2135" i="21"/>
  <c r="H2135" i="21"/>
  <c r="U2134" i="21"/>
  <c r="T2134" i="21"/>
  <c r="O2134" i="21"/>
  <c r="K2134" i="21"/>
  <c r="H2134" i="21"/>
  <c r="R2133" i="21"/>
  <c r="O2133" i="21"/>
  <c r="U2132" i="21"/>
  <c r="T2132" i="21"/>
  <c r="O2132" i="21"/>
  <c r="K2132" i="21"/>
  <c r="H2132" i="21"/>
  <c r="U2131" i="21"/>
  <c r="T2131" i="21"/>
  <c r="O2131" i="21"/>
  <c r="K2131" i="21"/>
  <c r="H2131" i="21"/>
  <c r="U2130" i="21"/>
  <c r="T2130" i="21"/>
  <c r="O2130" i="21"/>
  <c r="K2130" i="21"/>
  <c r="H2130" i="21"/>
  <c r="U2129" i="21"/>
  <c r="T2129" i="21"/>
  <c r="O2129" i="21"/>
  <c r="K2129" i="21"/>
  <c r="H2129" i="21"/>
  <c r="R2128" i="21"/>
  <c r="O2128" i="21"/>
  <c r="U2127" i="21"/>
  <c r="T2127" i="21"/>
  <c r="O2127" i="21"/>
  <c r="K2127" i="21"/>
  <c r="H2127" i="21"/>
  <c r="U2126" i="21"/>
  <c r="T2126" i="21"/>
  <c r="O2126" i="21"/>
  <c r="K2126" i="21"/>
  <c r="H2126" i="21"/>
  <c r="U2125" i="21"/>
  <c r="T2125" i="21"/>
  <c r="O2125" i="21"/>
  <c r="K2125" i="21"/>
  <c r="H2125" i="21"/>
  <c r="U2124" i="21"/>
  <c r="T2124" i="21"/>
  <c r="O2124" i="21"/>
  <c r="K2124" i="21"/>
  <c r="H2124" i="21"/>
  <c r="R2123" i="21"/>
  <c r="O2123" i="21"/>
  <c r="U2122" i="21"/>
  <c r="T2122" i="21"/>
  <c r="O2122" i="21"/>
  <c r="K2122" i="21"/>
  <c r="H2122" i="21"/>
  <c r="U2121" i="21"/>
  <c r="T2121" i="21"/>
  <c r="O2121" i="21"/>
  <c r="K2121" i="21"/>
  <c r="H2121" i="21"/>
  <c r="U2120" i="21"/>
  <c r="T2120" i="21"/>
  <c r="O2120" i="21"/>
  <c r="K2120" i="21"/>
  <c r="H2120" i="21"/>
  <c r="U2119" i="21"/>
  <c r="T2119" i="21"/>
  <c r="O2119" i="21"/>
  <c r="K2119" i="21"/>
  <c r="H2119" i="21"/>
  <c r="R2118" i="21"/>
  <c r="O2118" i="21"/>
  <c r="U2117" i="21"/>
  <c r="T2117" i="21"/>
  <c r="O2117" i="21"/>
  <c r="K2117" i="21"/>
  <c r="H2117" i="21"/>
  <c r="U2116" i="21"/>
  <c r="T2116" i="21"/>
  <c r="O2116" i="21"/>
  <c r="K2116" i="21"/>
  <c r="H2116" i="21"/>
  <c r="U2115" i="21"/>
  <c r="T2115" i="21"/>
  <c r="O2115" i="21"/>
  <c r="K2115" i="21"/>
  <c r="H2115" i="21"/>
  <c r="U2114" i="21"/>
  <c r="T2114" i="21"/>
  <c r="O2114" i="21"/>
  <c r="K2114" i="21"/>
  <c r="H2114" i="21"/>
  <c r="R2113" i="21"/>
  <c r="O2113" i="21"/>
  <c r="U2112" i="21"/>
  <c r="T2112" i="21"/>
  <c r="O2112" i="21"/>
  <c r="K2112" i="21"/>
  <c r="H2112" i="21"/>
  <c r="U2111" i="21"/>
  <c r="T2111" i="21"/>
  <c r="O2111" i="21"/>
  <c r="K2111" i="21"/>
  <c r="H2111" i="21"/>
  <c r="U2110" i="21"/>
  <c r="T2110" i="21"/>
  <c r="O2110" i="21"/>
  <c r="K2110" i="21"/>
  <c r="H2110" i="21"/>
  <c r="R2109" i="21"/>
  <c r="O2109" i="21"/>
  <c r="U2108" i="21"/>
  <c r="T2108" i="21"/>
  <c r="O2108" i="21"/>
  <c r="K2108" i="21"/>
  <c r="H2108" i="21"/>
  <c r="U2107" i="21"/>
  <c r="T2107" i="21"/>
  <c r="O2107" i="21"/>
  <c r="K2107" i="21"/>
  <c r="H2107" i="21"/>
  <c r="U2106" i="21"/>
  <c r="T2106" i="21"/>
  <c r="O2106" i="21"/>
  <c r="K2106" i="21"/>
  <c r="H2106" i="21"/>
  <c r="R2105" i="21"/>
  <c r="O2105" i="21"/>
  <c r="U2104" i="21"/>
  <c r="T2104" i="21"/>
  <c r="O2104" i="21"/>
  <c r="K2104" i="21"/>
  <c r="J2104" i="21"/>
  <c r="H2104" i="21"/>
  <c r="U2103" i="21"/>
  <c r="T2103" i="21"/>
  <c r="O2103" i="21"/>
  <c r="K2103" i="21"/>
  <c r="J2103" i="21"/>
  <c r="H2103" i="21"/>
  <c r="U2102" i="21"/>
  <c r="T2102" i="21"/>
  <c r="O2102" i="21"/>
  <c r="K2102" i="21"/>
  <c r="J2102" i="21"/>
  <c r="H2102" i="21"/>
  <c r="R2101" i="21"/>
  <c r="O2101" i="21"/>
  <c r="U2100" i="21"/>
  <c r="T2100" i="21"/>
  <c r="O2100" i="21"/>
  <c r="K2100" i="21"/>
  <c r="H2100" i="21"/>
  <c r="U2099" i="21"/>
  <c r="T2099" i="21"/>
  <c r="O2099" i="21"/>
  <c r="K2099" i="21"/>
  <c r="H2099" i="21"/>
  <c r="U2098" i="21"/>
  <c r="T2098" i="21"/>
  <c r="O2098" i="21"/>
  <c r="K2098" i="21"/>
  <c r="H2098" i="21"/>
  <c r="R2097" i="21"/>
  <c r="O2097" i="21"/>
  <c r="U2096" i="21"/>
  <c r="T2096" i="21"/>
  <c r="O2096" i="21"/>
  <c r="K2096" i="21"/>
  <c r="H2096" i="21"/>
  <c r="U2095" i="21"/>
  <c r="T2095" i="21"/>
  <c r="O2095" i="21"/>
  <c r="K2095" i="21"/>
  <c r="H2095" i="21"/>
  <c r="U2094" i="21"/>
  <c r="T2094" i="21"/>
  <c r="O2094" i="21"/>
  <c r="K2094" i="21"/>
  <c r="H2094" i="21"/>
  <c r="R2093" i="21"/>
  <c r="O2093" i="21"/>
  <c r="U2092" i="21"/>
  <c r="T2092" i="21"/>
  <c r="O2092" i="21"/>
  <c r="K2092" i="21"/>
  <c r="H2092" i="21"/>
  <c r="U2091" i="21"/>
  <c r="T2091" i="21"/>
  <c r="O2091" i="21"/>
  <c r="K2091" i="21"/>
  <c r="H2091" i="21"/>
  <c r="U2090" i="21"/>
  <c r="T2090" i="21"/>
  <c r="O2090" i="21"/>
  <c r="K2090" i="21"/>
  <c r="H2090" i="21"/>
  <c r="R2089" i="21"/>
  <c r="O2089" i="21"/>
  <c r="U2088" i="21"/>
  <c r="T2088" i="21"/>
  <c r="O2088" i="21"/>
  <c r="K2088" i="21"/>
  <c r="H2088" i="21"/>
  <c r="U2087" i="21"/>
  <c r="T2087" i="21"/>
  <c r="O2087" i="21"/>
  <c r="K2087" i="21"/>
  <c r="H2087" i="21"/>
  <c r="U2086" i="21"/>
  <c r="T2086" i="21"/>
  <c r="O2086" i="21"/>
  <c r="K2086" i="21"/>
  <c r="H2086" i="21"/>
  <c r="R2085" i="21"/>
  <c r="O2085" i="21"/>
  <c r="U2084" i="21"/>
  <c r="T2084" i="21"/>
  <c r="O2084" i="21"/>
  <c r="K2084" i="21"/>
  <c r="H2084" i="21"/>
  <c r="U2083" i="21"/>
  <c r="T2083" i="21"/>
  <c r="O2083" i="21"/>
  <c r="K2083" i="21"/>
  <c r="H2083" i="21"/>
  <c r="U2082" i="21"/>
  <c r="T2082" i="21"/>
  <c r="O2082" i="21"/>
  <c r="K2082" i="21"/>
  <c r="H2082" i="21"/>
  <c r="R2081" i="21"/>
  <c r="O2081" i="21"/>
  <c r="U2080" i="21"/>
  <c r="T2080" i="21"/>
  <c r="O2080" i="21"/>
  <c r="K2080" i="21"/>
  <c r="H2080" i="21"/>
  <c r="U2079" i="21"/>
  <c r="T2079" i="21"/>
  <c r="O2079" i="21"/>
  <c r="K2079" i="21"/>
  <c r="H2079" i="21"/>
  <c r="U2078" i="21"/>
  <c r="T2078" i="21"/>
  <c r="O2078" i="21"/>
  <c r="K2078" i="21"/>
  <c r="H2078" i="21"/>
  <c r="R2077" i="21"/>
  <c r="O2077" i="21"/>
  <c r="U2076" i="21"/>
  <c r="T2076" i="21"/>
  <c r="O2076" i="21"/>
  <c r="K2076" i="21"/>
  <c r="H2076" i="21"/>
  <c r="U2075" i="21"/>
  <c r="T2075" i="21"/>
  <c r="O2075" i="21"/>
  <c r="K2075" i="21"/>
  <c r="H2075" i="21"/>
  <c r="U2074" i="21"/>
  <c r="T2074" i="21"/>
  <c r="O2074" i="21"/>
  <c r="K2074" i="21"/>
  <c r="H2074" i="21"/>
  <c r="R2073" i="21"/>
  <c r="O2073" i="21"/>
  <c r="U2072" i="21"/>
  <c r="T2072" i="21"/>
  <c r="O2072" i="21"/>
  <c r="K2072" i="21"/>
  <c r="H2072" i="21"/>
  <c r="U2071" i="21"/>
  <c r="T2071" i="21"/>
  <c r="P2071" i="21"/>
  <c r="O2071" i="21"/>
  <c r="K2071" i="21"/>
  <c r="H2071" i="21"/>
  <c r="U2070" i="21"/>
  <c r="T2070" i="21"/>
  <c r="O2070" i="21"/>
  <c r="K2070" i="21"/>
  <c r="H2070" i="21"/>
  <c r="R2069" i="21"/>
  <c r="O2069" i="21"/>
  <c r="U2068" i="21"/>
  <c r="T2068" i="21"/>
  <c r="O2068" i="21"/>
  <c r="K2068" i="21"/>
  <c r="H2068" i="21"/>
  <c r="U2067" i="21"/>
  <c r="T2067" i="21"/>
  <c r="O2067" i="21"/>
  <c r="K2067" i="21"/>
  <c r="H2067" i="21"/>
  <c r="U2066" i="21"/>
  <c r="T2066" i="21"/>
  <c r="O2066" i="21"/>
  <c r="K2066" i="21"/>
  <c r="H2066" i="21"/>
  <c r="R2065" i="21"/>
  <c r="O2065" i="21"/>
  <c r="U2064" i="21"/>
  <c r="T2064" i="21"/>
  <c r="O2064" i="21"/>
  <c r="K2064" i="21"/>
  <c r="H2064" i="21"/>
  <c r="U2063" i="21"/>
  <c r="T2063" i="21"/>
  <c r="O2063" i="21"/>
  <c r="K2063" i="21"/>
  <c r="H2063" i="21"/>
  <c r="U2062" i="21"/>
  <c r="T2062" i="21"/>
  <c r="O2062" i="21"/>
  <c r="K2062" i="21"/>
  <c r="H2062" i="21"/>
  <c r="R2061" i="21"/>
  <c r="O2061" i="21"/>
  <c r="U2060" i="21"/>
  <c r="T2060" i="21"/>
  <c r="O2060" i="21"/>
  <c r="K2060" i="21"/>
  <c r="H2060" i="21"/>
  <c r="U2059" i="21"/>
  <c r="T2059" i="21"/>
  <c r="O2059" i="21"/>
  <c r="K2059" i="21"/>
  <c r="H2059" i="21"/>
  <c r="U2058" i="21"/>
  <c r="T2058" i="21"/>
  <c r="O2058" i="21"/>
  <c r="K2058" i="21"/>
  <c r="H2058" i="21"/>
  <c r="R2057" i="21"/>
  <c r="O2057" i="21"/>
  <c r="U2056" i="21"/>
  <c r="T2056" i="21"/>
  <c r="O2056" i="21"/>
  <c r="K2056" i="21"/>
  <c r="H2056" i="21"/>
  <c r="U2055" i="21"/>
  <c r="T2055" i="21"/>
  <c r="O2055" i="21"/>
  <c r="K2055" i="21"/>
  <c r="H2055" i="21"/>
  <c r="U2054" i="21"/>
  <c r="T2054" i="21"/>
  <c r="O2054" i="21"/>
  <c r="K2054" i="21"/>
  <c r="H2054" i="21"/>
  <c r="R2053" i="21"/>
  <c r="O2053" i="21"/>
  <c r="U2052" i="21"/>
  <c r="T2052" i="21"/>
  <c r="O2052" i="21"/>
  <c r="K2052" i="21"/>
  <c r="H2052" i="21"/>
  <c r="U2051" i="21"/>
  <c r="T2051" i="21"/>
  <c r="O2051" i="21"/>
  <c r="K2051" i="21"/>
  <c r="H2051" i="21"/>
  <c r="U2050" i="21"/>
  <c r="T2050" i="21"/>
  <c r="O2050" i="21"/>
  <c r="K2050" i="21"/>
  <c r="H2050" i="21"/>
  <c r="R2049" i="21"/>
  <c r="O2049" i="21"/>
  <c r="U2048" i="21"/>
  <c r="T2048" i="21"/>
  <c r="O2048" i="21"/>
  <c r="K2048" i="21"/>
  <c r="H2048" i="21"/>
  <c r="U2047" i="21"/>
  <c r="T2047" i="21"/>
  <c r="O2047" i="21"/>
  <c r="K2047" i="21"/>
  <c r="H2047" i="21"/>
  <c r="U2046" i="21"/>
  <c r="T2046" i="21"/>
  <c r="O2046" i="21"/>
  <c r="K2046" i="21"/>
  <c r="H2046" i="21"/>
  <c r="R2045" i="21"/>
  <c r="O2045" i="21"/>
  <c r="U2044" i="21"/>
  <c r="T2044" i="21"/>
  <c r="O2044" i="21"/>
  <c r="K2044" i="21"/>
  <c r="H2044" i="21"/>
  <c r="U2043" i="21"/>
  <c r="T2043" i="21"/>
  <c r="O2043" i="21"/>
  <c r="K2043" i="21"/>
  <c r="H2043" i="21"/>
  <c r="U2042" i="21"/>
  <c r="T2042" i="21"/>
  <c r="O2042" i="21"/>
  <c r="K2042" i="21"/>
  <c r="H2042" i="21"/>
  <c r="R2041" i="21"/>
  <c r="O2041" i="21"/>
  <c r="U2040" i="21"/>
  <c r="T2040" i="21"/>
  <c r="O2040" i="21"/>
  <c r="K2040" i="21"/>
  <c r="H2040" i="21"/>
  <c r="U2039" i="21"/>
  <c r="T2039" i="21"/>
  <c r="O2039" i="21"/>
  <c r="K2039" i="21"/>
  <c r="H2039" i="21"/>
  <c r="U2038" i="21"/>
  <c r="T2038" i="21"/>
  <c r="O2038" i="21"/>
  <c r="K2038" i="21"/>
  <c r="H2038" i="21"/>
  <c r="R2037" i="21"/>
  <c r="O2037" i="21"/>
  <c r="U2036" i="21"/>
  <c r="T2036" i="21"/>
  <c r="O2036" i="21"/>
  <c r="K2036" i="21"/>
  <c r="H2036" i="21"/>
  <c r="U2035" i="21"/>
  <c r="T2035" i="21"/>
  <c r="O2035" i="21"/>
  <c r="K2035" i="21"/>
  <c r="H2035" i="21"/>
  <c r="U2034" i="21"/>
  <c r="T2034" i="21"/>
  <c r="O2034" i="21"/>
  <c r="K2034" i="21"/>
  <c r="H2034" i="21"/>
  <c r="R2033" i="21"/>
  <c r="O2033" i="21"/>
  <c r="U2032" i="21"/>
  <c r="T2032" i="21"/>
  <c r="O2032" i="21"/>
  <c r="K2032" i="21"/>
  <c r="H2032" i="21"/>
  <c r="U2031" i="21"/>
  <c r="T2031" i="21"/>
  <c r="O2031" i="21"/>
  <c r="K2031" i="21"/>
  <c r="H2031" i="21"/>
  <c r="U2030" i="21"/>
  <c r="T2030" i="21"/>
  <c r="O2030" i="21"/>
  <c r="K2030" i="21"/>
  <c r="H2030" i="21"/>
  <c r="R2029" i="21"/>
  <c r="O2029" i="21"/>
  <c r="U2028" i="21"/>
  <c r="T2028" i="21"/>
  <c r="O2028" i="21"/>
  <c r="K2028" i="21"/>
  <c r="H2028" i="21"/>
  <c r="U2027" i="21"/>
  <c r="T2027" i="21"/>
  <c r="O2027" i="21"/>
  <c r="K2027" i="21"/>
  <c r="H2027" i="21"/>
  <c r="U2026" i="21"/>
  <c r="T2026" i="21"/>
  <c r="O2026" i="21"/>
  <c r="K2026" i="21"/>
  <c r="H2026" i="21"/>
  <c r="R2025" i="21"/>
  <c r="O2025" i="21"/>
  <c r="U2024" i="21"/>
  <c r="T2024" i="21"/>
  <c r="O2024" i="21"/>
  <c r="K2024" i="21"/>
  <c r="H2024" i="21"/>
  <c r="U2023" i="21"/>
  <c r="T2023" i="21"/>
  <c r="O2023" i="21"/>
  <c r="K2023" i="21"/>
  <c r="H2023" i="21"/>
  <c r="U2022" i="21"/>
  <c r="T2022" i="21"/>
  <c r="O2022" i="21"/>
  <c r="K2022" i="21"/>
  <c r="H2022" i="21"/>
  <c r="R2021" i="21"/>
  <c r="O2021" i="21"/>
  <c r="U2020" i="21"/>
  <c r="T2020" i="21"/>
  <c r="O2020" i="21"/>
  <c r="K2020" i="21"/>
  <c r="H2020" i="21"/>
  <c r="U2019" i="21"/>
  <c r="T2019" i="21"/>
  <c r="O2019" i="21"/>
  <c r="K2019" i="21"/>
  <c r="H2019" i="21"/>
  <c r="U2018" i="21"/>
  <c r="T2018" i="21"/>
  <c r="O2018" i="21"/>
  <c r="K2018" i="21"/>
  <c r="H2018" i="21"/>
  <c r="R2017" i="21"/>
  <c r="O2017" i="21"/>
  <c r="U2016" i="21"/>
  <c r="T2016" i="21"/>
  <c r="O2016" i="21"/>
  <c r="K2016" i="21"/>
  <c r="H2016" i="21"/>
  <c r="U2015" i="21"/>
  <c r="T2015" i="21"/>
  <c r="O2015" i="21"/>
  <c r="K2015" i="21"/>
  <c r="H2015" i="21"/>
  <c r="U2014" i="21"/>
  <c r="T2014" i="21"/>
  <c r="O2014" i="21"/>
  <c r="K2014" i="21"/>
  <c r="H2014" i="21"/>
  <c r="R2013" i="21"/>
  <c r="O2013" i="21"/>
  <c r="U2012" i="21"/>
  <c r="T2012" i="21"/>
  <c r="O2012" i="21"/>
  <c r="K2012" i="21"/>
  <c r="H2012" i="21"/>
  <c r="U2011" i="21"/>
  <c r="T2011" i="21"/>
  <c r="O2011" i="21"/>
  <c r="K2011" i="21"/>
  <c r="H2011" i="21"/>
  <c r="U2010" i="21"/>
  <c r="T2010" i="21"/>
  <c r="O2010" i="21"/>
  <c r="K2010" i="21"/>
  <c r="H2010" i="21"/>
  <c r="R2009" i="21"/>
  <c r="O2009" i="21"/>
  <c r="U2008" i="21"/>
  <c r="T2008" i="21"/>
  <c r="O2008" i="21"/>
  <c r="K2008" i="21"/>
  <c r="H2008" i="21"/>
  <c r="U2007" i="21"/>
  <c r="T2007" i="21"/>
  <c r="O2007" i="21"/>
  <c r="K2007" i="21"/>
  <c r="H2007" i="21"/>
  <c r="U2006" i="21"/>
  <c r="T2006" i="21"/>
  <c r="O2006" i="21"/>
  <c r="K2006" i="21"/>
  <c r="H2006" i="21"/>
  <c r="R2005" i="21"/>
  <c r="O2005" i="21"/>
  <c r="U2004" i="21"/>
  <c r="T2004" i="21"/>
  <c r="O2004" i="21"/>
  <c r="K2004" i="21"/>
  <c r="H2004" i="21"/>
  <c r="U2003" i="21"/>
  <c r="T2003" i="21"/>
  <c r="O2003" i="21"/>
  <c r="K2003" i="21"/>
  <c r="H2003" i="21"/>
  <c r="U2002" i="21"/>
  <c r="T2002" i="21"/>
  <c r="O2002" i="21"/>
  <c r="K2002" i="21"/>
  <c r="H2002" i="21"/>
  <c r="R2001" i="21"/>
  <c r="O2001" i="21"/>
  <c r="U2000" i="21"/>
  <c r="T2000" i="21"/>
  <c r="O2000" i="21"/>
  <c r="K2000" i="21"/>
  <c r="H2000" i="21"/>
  <c r="U1999" i="21"/>
  <c r="T1999" i="21"/>
  <c r="O1999" i="21"/>
  <c r="K1999" i="21"/>
  <c r="H1999" i="21"/>
  <c r="U1998" i="21"/>
  <c r="T1998" i="21"/>
  <c r="O1998" i="21"/>
  <c r="K1998" i="21"/>
  <c r="H1998" i="21"/>
  <c r="R1997" i="21"/>
  <c r="O1997" i="21"/>
  <c r="U1996" i="21"/>
  <c r="T1996" i="21"/>
  <c r="O1996" i="21"/>
  <c r="K1996" i="21"/>
  <c r="H1996" i="21"/>
  <c r="U1995" i="21"/>
  <c r="T1995" i="21"/>
  <c r="O1995" i="21"/>
  <c r="K1995" i="21"/>
  <c r="H1995" i="21"/>
  <c r="U1994" i="21"/>
  <c r="T1994" i="21"/>
  <c r="O1994" i="21"/>
  <c r="K1994" i="21"/>
  <c r="H1994" i="21"/>
  <c r="R1993" i="21"/>
  <c r="O1993" i="21"/>
  <c r="U1992" i="21"/>
  <c r="T1992" i="21"/>
  <c r="O1992" i="21"/>
  <c r="H1992" i="21"/>
  <c r="U1991" i="21"/>
  <c r="T1991" i="21"/>
  <c r="O1991" i="21"/>
  <c r="H1991" i="21"/>
  <c r="U1990" i="21"/>
  <c r="T1990" i="21"/>
  <c r="O1990" i="21"/>
  <c r="H1990" i="21"/>
  <c r="R1989" i="21"/>
  <c r="O1989" i="21"/>
  <c r="U1988" i="21"/>
  <c r="T1988" i="21"/>
  <c r="O1988" i="21"/>
  <c r="H1988" i="21"/>
  <c r="U1987" i="21"/>
  <c r="T1987" i="21"/>
  <c r="O1987" i="21"/>
  <c r="H1987" i="21"/>
  <c r="U1986" i="21"/>
  <c r="T1986" i="21"/>
  <c r="O1986" i="21"/>
  <c r="H1986" i="21"/>
  <c r="R1985" i="21"/>
  <c r="O1985" i="21"/>
  <c r="U1984" i="21"/>
  <c r="T1984" i="21"/>
  <c r="O1984" i="21"/>
  <c r="H1984" i="21"/>
  <c r="U1983" i="21"/>
  <c r="T1983" i="21"/>
  <c r="O1983" i="21"/>
  <c r="H1983" i="21"/>
  <c r="U1982" i="21"/>
  <c r="T1982" i="21"/>
  <c r="O1982" i="21"/>
  <c r="H1982" i="21"/>
  <c r="R1981" i="21"/>
  <c r="O1981" i="21"/>
  <c r="U1980" i="21"/>
  <c r="T1980" i="21"/>
  <c r="O1980" i="21"/>
  <c r="H1980" i="21"/>
  <c r="U1979" i="21"/>
  <c r="T1979" i="21"/>
  <c r="O1979" i="21"/>
  <c r="H1979" i="21"/>
  <c r="U1978" i="21"/>
  <c r="T1978" i="21"/>
  <c r="O1978" i="21"/>
  <c r="H1978" i="21"/>
  <c r="R1977" i="21"/>
  <c r="O1977" i="21"/>
  <c r="U1976" i="21"/>
  <c r="T1976" i="21"/>
  <c r="O1976" i="21"/>
  <c r="H1976" i="21"/>
  <c r="U1975" i="21"/>
  <c r="T1975" i="21"/>
  <c r="O1975" i="21"/>
  <c r="H1975" i="21"/>
  <c r="U1974" i="21"/>
  <c r="T1974" i="21"/>
  <c r="O1974" i="21"/>
  <c r="H1974" i="21"/>
  <c r="R1973" i="21"/>
  <c r="O1973" i="21"/>
  <c r="U1972" i="21"/>
  <c r="T1972" i="21"/>
  <c r="O1972" i="21"/>
  <c r="H1972" i="21"/>
  <c r="U1971" i="21"/>
  <c r="T1971" i="21"/>
  <c r="O1971" i="21"/>
  <c r="H1971" i="21"/>
  <c r="U1970" i="21"/>
  <c r="T1970" i="21"/>
  <c r="O1970" i="21"/>
  <c r="H1970" i="21"/>
  <c r="R1969" i="21"/>
  <c r="O1969" i="21"/>
  <c r="U1968" i="21"/>
  <c r="T1968" i="21"/>
  <c r="O1968" i="21"/>
  <c r="H1968" i="21"/>
  <c r="U1967" i="21"/>
  <c r="T1967" i="21"/>
  <c r="O1967" i="21"/>
  <c r="H1967" i="21"/>
  <c r="U1966" i="21"/>
  <c r="T1966" i="21"/>
  <c r="O1966" i="21"/>
  <c r="H1966" i="21"/>
  <c r="R1965" i="21"/>
  <c r="O1965" i="21"/>
  <c r="U1964" i="21"/>
  <c r="T1964" i="21"/>
  <c r="O1964" i="21"/>
  <c r="H1964" i="21"/>
  <c r="U1963" i="21"/>
  <c r="T1963" i="21"/>
  <c r="O1963" i="21"/>
  <c r="H1963" i="21"/>
  <c r="U1962" i="21"/>
  <c r="T1962" i="21"/>
  <c r="O1962" i="21"/>
  <c r="H1962" i="21"/>
  <c r="R1961" i="21"/>
  <c r="O1961" i="21"/>
  <c r="U1960" i="21"/>
  <c r="T1960" i="21"/>
  <c r="O1960" i="21"/>
  <c r="H1960" i="21"/>
  <c r="U1959" i="21"/>
  <c r="T1959" i="21"/>
  <c r="O1959" i="21"/>
  <c r="H1959" i="21"/>
  <c r="U1958" i="21"/>
  <c r="T1958" i="21"/>
  <c r="O1958" i="21"/>
  <c r="H1958" i="21"/>
  <c r="R1957" i="21"/>
  <c r="O1957" i="21"/>
  <c r="U1956" i="21"/>
  <c r="T1956" i="21"/>
  <c r="O1956" i="21"/>
  <c r="H1956" i="21"/>
  <c r="U1955" i="21"/>
  <c r="T1955" i="21"/>
  <c r="O1955" i="21"/>
  <c r="H1955" i="21"/>
  <c r="U1954" i="21"/>
  <c r="T1954" i="21"/>
  <c r="O1954" i="21"/>
  <c r="H1954" i="21"/>
  <c r="R1953" i="21"/>
  <c r="O1953" i="21"/>
  <c r="U1952" i="21"/>
  <c r="T1952" i="21"/>
  <c r="O1952" i="21"/>
  <c r="H1952" i="21"/>
  <c r="U1951" i="21"/>
  <c r="T1951" i="21"/>
  <c r="O1951" i="21"/>
  <c r="H1951" i="21"/>
  <c r="U1950" i="21"/>
  <c r="T1950" i="21"/>
  <c r="O1950" i="21"/>
  <c r="H1950" i="21"/>
  <c r="R1949" i="21"/>
  <c r="O1949" i="21"/>
  <c r="U1948" i="21"/>
  <c r="T1948" i="21"/>
  <c r="O1948" i="21"/>
  <c r="H1948" i="21"/>
  <c r="U1947" i="21"/>
  <c r="T1947" i="21"/>
  <c r="O1947" i="21"/>
  <c r="H1947" i="21"/>
  <c r="U1946" i="21"/>
  <c r="T1946" i="21"/>
  <c r="O1946" i="21"/>
  <c r="H1946" i="21"/>
  <c r="R1945" i="21"/>
  <c r="O1945" i="21"/>
  <c r="U1944" i="21"/>
  <c r="T1944" i="21"/>
  <c r="O1944" i="21"/>
  <c r="H1944" i="21"/>
  <c r="U1943" i="21"/>
  <c r="T1943" i="21"/>
  <c r="O1943" i="21"/>
  <c r="H1943" i="21"/>
  <c r="U1942" i="21"/>
  <c r="T1942" i="21"/>
  <c r="O1942" i="21"/>
  <c r="H1942" i="21"/>
  <c r="R1941" i="21"/>
  <c r="O1941" i="21"/>
  <c r="U1940" i="21"/>
  <c r="T1940" i="21"/>
  <c r="O1940" i="21"/>
  <c r="H1940" i="21"/>
  <c r="U1939" i="21"/>
  <c r="T1939" i="21"/>
  <c r="O1939" i="21"/>
  <c r="H1939" i="21"/>
  <c r="U1938" i="21"/>
  <c r="T1938" i="21"/>
  <c r="O1938" i="21"/>
  <c r="H1938" i="21"/>
  <c r="R1937" i="21"/>
  <c r="O1937" i="21"/>
  <c r="U1936" i="21"/>
  <c r="T1936" i="21"/>
  <c r="O1936" i="21"/>
  <c r="H1936" i="21"/>
  <c r="U1935" i="21"/>
  <c r="T1935" i="21"/>
  <c r="O1935" i="21"/>
  <c r="H1935" i="21"/>
  <c r="U1934" i="21"/>
  <c r="T1934" i="21"/>
  <c r="O1934" i="21"/>
  <c r="H1934" i="21"/>
  <c r="R1933" i="21"/>
  <c r="O1933" i="21"/>
  <c r="U1932" i="21"/>
  <c r="T1932" i="21"/>
  <c r="O1932" i="21"/>
  <c r="H1932" i="21"/>
  <c r="U1931" i="21"/>
  <c r="T1931" i="21"/>
  <c r="O1931" i="21"/>
  <c r="H1931" i="21"/>
  <c r="U1930" i="21"/>
  <c r="T1930" i="21"/>
  <c r="O1930" i="21"/>
  <c r="H1930" i="21"/>
  <c r="R1929" i="21"/>
  <c r="O1929" i="21"/>
  <c r="U1928" i="21"/>
  <c r="T1928" i="21"/>
  <c r="O1928" i="21"/>
  <c r="H1928" i="21"/>
  <c r="U1927" i="21"/>
  <c r="T1927" i="21"/>
  <c r="O1927" i="21"/>
  <c r="H1927" i="21"/>
  <c r="U1926" i="21"/>
  <c r="T1926" i="21"/>
  <c r="O1926" i="21"/>
  <c r="H1926" i="21"/>
  <c r="R1925" i="21"/>
  <c r="O1925" i="21"/>
  <c r="U1924" i="21"/>
  <c r="T1924" i="21"/>
  <c r="O1924" i="21"/>
  <c r="H1924" i="21"/>
  <c r="U1923" i="21"/>
  <c r="T1923" i="21"/>
  <c r="O1923" i="21"/>
  <c r="H1923" i="21"/>
  <c r="U1922" i="21"/>
  <c r="T1922" i="21"/>
  <c r="O1922" i="21"/>
  <c r="H1922" i="21"/>
  <c r="R1921" i="21"/>
  <c r="O1921" i="21"/>
  <c r="U1920" i="21"/>
  <c r="T1920" i="21"/>
  <c r="O1920" i="21"/>
  <c r="H1920" i="21"/>
  <c r="U1919" i="21"/>
  <c r="T1919" i="21"/>
  <c r="O1919" i="21"/>
  <c r="H1919" i="21"/>
  <c r="U1918" i="21"/>
  <c r="T1918" i="21"/>
  <c r="O1918" i="21"/>
  <c r="H1918" i="21"/>
  <c r="R1917" i="21"/>
  <c r="O1917" i="21"/>
  <c r="U1916" i="21"/>
  <c r="T1916" i="21"/>
  <c r="O1916" i="21"/>
  <c r="H1916" i="21"/>
  <c r="U1915" i="21"/>
  <c r="T1915" i="21"/>
  <c r="O1915" i="21"/>
  <c r="H1915" i="21"/>
  <c r="U1914" i="21"/>
  <c r="T1914" i="21"/>
  <c r="O1914" i="21"/>
  <c r="H1914" i="21"/>
  <c r="R1913" i="21"/>
  <c r="O1913" i="21"/>
  <c r="U1912" i="21"/>
  <c r="T1912" i="21"/>
  <c r="O1912" i="21"/>
  <c r="H1912" i="21"/>
  <c r="U1911" i="21"/>
  <c r="T1911" i="21"/>
  <c r="O1911" i="21"/>
  <c r="H1911" i="21"/>
  <c r="U1910" i="21"/>
  <c r="T1910" i="21"/>
  <c r="O1910" i="21"/>
  <c r="H1910" i="21"/>
  <c r="R1909" i="21"/>
  <c r="O1909" i="21"/>
  <c r="U1908" i="21"/>
  <c r="T1908" i="21"/>
  <c r="O1908" i="21"/>
  <c r="H1908" i="21"/>
  <c r="U1907" i="21"/>
  <c r="T1907" i="21"/>
  <c r="O1907" i="21"/>
  <c r="H1907" i="21"/>
  <c r="U1906" i="21"/>
  <c r="T1906" i="21"/>
  <c r="O1906" i="21"/>
  <c r="H1906" i="21"/>
  <c r="U1905" i="21"/>
  <c r="T1905" i="21"/>
  <c r="O1905" i="21"/>
  <c r="H1905" i="21"/>
  <c r="R1904" i="21"/>
  <c r="O1904" i="21"/>
  <c r="U1903" i="21"/>
  <c r="T1903" i="21"/>
  <c r="O1903" i="21"/>
  <c r="H1903" i="21"/>
  <c r="U1902" i="21"/>
  <c r="T1902" i="21"/>
  <c r="O1902" i="21"/>
  <c r="H1902" i="21"/>
  <c r="U1901" i="21"/>
  <c r="T1901" i="21"/>
  <c r="O1901" i="21"/>
  <c r="H1901" i="21"/>
  <c r="R1900" i="21"/>
  <c r="O1900" i="21"/>
  <c r="U1899" i="21"/>
  <c r="T1899" i="21"/>
  <c r="O1899" i="21"/>
  <c r="H1899" i="21"/>
  <c r="U1898" i="21"/>
  <c r="T1898" i="21"/>
  <c r="O1898" i="21"/>
  <c r="H1898" i="21"/>
  <c r="U1897" i="21"/>
  <c r="T1897" i="21"/>
  <c r="O1897" i="21"/>
  <c r="H1897" i="21"/>
  <c r="R1896" i="21"/>
  <c r="O1896" i="21"/>
  <c r="U1895" i="21"/>
  <c r="T1895" i="21"/>
  <c r="O1895" i="21"/>
  <c r="H1895" i="21"/>
  <c r="U1894" i="21"/>
  <c r="T1894" i="21"/>
  <c r="O1894" i="21"/>
  <c r="H1894" i="21"/>
  <c r="U1893" i="21"/>
  <c r="T1893" i="21"/>
  <c r="O1893" i="21"/>
  <c r="H1893" i="21"/>
  <c r="R1892" i="21"/>
  <c r="O1892" i="21"/>
  <c r="U1891" i="21"/>
  <c r="T1891" i="21"/>
  <c r="O1891" i="21"/>
  <c r="H1891" i="21"/>
  <c r="U1890" i="21"/>
  <c r="T1890" i="21"/>
  <c r="O1890" i="21"/>
  <c r="H1890" i="21"/>
  <c r="U1889" i="21"/>
  <c r="T1889" i="21"/>
  <c r="O1889" i="21"/>
  <c r="H1889" i="21"/>
  <c r="R1888" i="21"/>
  <c r="O1888" i="21"/>
  <c r="U1887" i="21"/>
  <c r="T1887" i="21"/>
  <c r="O1887" i="21"/>
  <c r="H1887" i="21"/>
  <c r="U1886" i="21"/>
  <c r="T1886" i="21"/>
  <c r="O1886" i="21"/>
  <c r="H1886" i="21"/>
  <c r="U1885" i="21"/>
  <c r="T1885" i="21"/>
  <c r="O1885" i="21"/>
  <c r="H1885" i="21"/>
  <c r="R1884" i="21"/>
  <c r="O1884" i="21"/>
  <c r="U1883" i="21"/>
  <c r="T1883" i="21"/>
  <c r="O1883" i="21"/>
  <c r="H1883" i="21"/>
  <c r="U1882" i="21"/>
  <c r="T1882" i="21"/>
  <c r="O1882" i="21"/>
  <c r="H1882" i="21"/>
  <c r="U1881" i="21"/>
  <c r="T1881" i="21"/>
  <c r="O1881" i="21"/>
  <c r="H1881" i="21"/>
  <c r="R1880" i="21"/>
  <c r="O1880" i="21"/>
  <c r="U1879" i="21"/>
  <c r="T1879" i="21"/>
  <c r="O1879" i="21"/>
  <c r="H1879" i="21"/>
  <c r="U1878" i="21"/>
  <c r="T1878" i="21"/>
  <c r="O1878" i="21"/>
  <c r="H1878" i="21"/>
  <c r="U1877" i="21"/>
  <c r="T1877" i="21"/>
  <c r="O1877" i="21"/>
  <c r="H1877" i="21"/>
  <c r="R1876" i="21"/>
  <c r="O1876" i="21"/>
  <c r="U1875" i="21"/>
  <c r="T1875" i="21"/>
  <c r="O1875" i="21"/>
  <c r="K1875" i="21"/>
  <c r="H1875" i="21"/>
  <c r="U1874" i="21"/>
  <c r="T1874" i="21"/>
  <c r="O1874" i="21"/>
  <c r="K1874" i="21"/>
  <c r="H1874" i="21"/>
  <c r="U1873" i="21"/>
  <c r="T1873" i="21"/>
  <c r="O1873" i="21"/>
  <c r="K1873" i="21"/>
  <c r="H1873" i="21"/>
  <c r="R1872" i="21"/>
  <c r="O1872" i="21"/>
  <c r="U1871" i="21"/>
  <c r="T1871" i="21"/>
  <c r="O1871" i="21"/>
  <c r="K1871" i="21"/>
  <c r="H1871" i="21"/>
  <c r="U1870" i="21"/>
  <c r="T1870" i="21"/>
  <c r="O1870" i="21"/>
  <c r="K1870" i="21"/>
  <c r="H1870" i="21"/>
  <c r="U1869" i="21"/>
  <c r="T1869" i="21"/>
  <c r="O1869" i="21"/>
  <c r="K1869" i="21"/>
  <c r="H1869" i="21"/>
  <c r="R1868" i="21"/>
  <c r="O1868" i="21"/>
  <c r="U1867" i="21"/>
  <c r="T1867" i="21"/>
  <c r="O1867" i="21"/>
  <c r="K1867" i="21"/>
  <c r="H1867" i="21"/>
  <c r="U1866" i="21"/>
  <c r="T1866" i="21"/>
  <c r="O1866" i="21"/>
  <c r="K1866" i="21"/>
  <c r="H1866" i="21"/>
  <c r="U1865" i="21"/>
  <c r="T1865" i="21"/>
  <c r="O1865" i="21"/>
  <c r="K1865" i="21"/>
  <c r="H1865" i="21"/>
  <c r="R1864" i="21"/>
  <c r="O1864" i="21"/>
  <c r="U1863" i="21"/>
  <c r="T1863" i="21"/>
  <c r="O1863" i="21"/>
  <c r="K1863" i="21"/>
  <c r="H1863" i="21"/>
  <c r="U1862" i="21"/>
  <c r="T1862" i="21"/>
  <c r="O1862" i="21"/>
  <c r="K1862" i="21"/>
  <c r="H1862" i="21"/>
  <c r="U1861" i="21"/>
  <c r="T1861" i="21"/>
  <c r="O1861" i="21"/>
  <c r="K1861" i="21"/>
  <c r="H1861" i="21"/>
  <c r="R1860" i="21"/>
  <c r="O1860" i="21"/>
  <c r="U1859" i="21"/>
  <c r="T1859" i="21"/>
  <c r="O1859" i="21"/>
  <c r="K1859" i="21"/>
  <c r="H1859" i="21"/>
  <c r="U1858" i="21"/>
  <c r="T1858" i="21"/>
  <c r="O1858" i="21"/>
  <c r="K1858" i="21"/>
  <c r="H1858" i="21"/>
  <c r="U1857" i="21"/>
  <c r="T1857" i="21"/>
  <c r="O1857" i="21"/>
  <c r="K1857" i="21"/>
  <c r="H1857" i="21"/>
  <c r="R1856" i="21"/>
  <c r="O1856" i="21"/>
  <c r="U1855" i="21"/>
  <c r="T1855" i="21"/>
  <c r="O1855" i="21"/>
  <c r="K1855" i="21"/>
  <c r="H1855" i="21"/>
  <c r="U1854" i="21"/>
  <c r="T1854" i="21"/>
  <c r="O1854" i="21"/>
  <c r="K1854" i="21"/>
  <c r="H1854" i="21"/>
  <c r="R1853" i="21"/>
  <c r="O1853" i="21"/>
  <c r="U1852" i="21"/>
  <c r="T1852" i="21"/>
  <c r="O1852" i="21"/>
  <c r="K1852" i="21"/>
  <c r="H1852" i="21"/>
  <c r="U1851" i="21"/>
  <c r="T1851" i="21"/>
  <c r="O1851" i="21"/>
  <c r="K1851" i="21"/>
  <c r="H1851" i="21"/>
  <c r="R1850" i="21"/>
  <c r="O1850" i="21"/>
  <c r="U1849" i="21"/>
  <c r="T1849" i="21"/>
  <c r="O1849" i="21"/>
  <c r="K1849" i="21"/>
  <c r="H1849" i="21"/>
  <c r="U1848" i="21"/>
  <c r="T1848" i="21"/>
  <c r="O1848" i="21"/>
  <c r="K1848" i="21"/>
  <c r="H1848" i="21"/>
  <c r="R1847" i="21"/>
  <c r="O1847" i="21"/>
  <c r="R1846" i="21"/>
  <c r="O1846" i="21"/>
  <c r="H1846" i="21"/>
  <c r="J1846" i="21" s="1"/>
  <c r="R1845" i="21"/>
  <c r="O1845" i="21"/>
  <c r="H1845" i="21"/>
  <c r="J1845" i="21" s="1"/>
  <c r="U1844" i="21"/>
  <c r="T1844" i="21"/>
  <c r="O1844" i="21"/>
  <c r="H1844" i="21"/>
  <c r="U1843" i="21"/>
  <c r="T1843" i="21"/>
  <c r="O1843" i="21"/>
  <c r="H1843" i="21"/>
  <c r="U1842" i="21"/>
  <c r="T1842" i="21"/>
  <c r="O1842" i="21"/>
  <c r="H1842" i="21"/>
  <c r="R1841" i="21"/>
  <c r="O1841" i="21"/>
  <c r="R1840" i="21"/>
  <c r="O1840" i="21"/>
  <c r="H1840" i="21"/>
  <c r="J1840" i="21" s="1"/>
  <c r="R1839" i="21"/>
  <c r="O1839" i="21"/>
  <c r="H1839" i="21"/>
  <c r="J1839" i="21" s="1"/>
  <c r="R1838" i="21"/>
  <c r="O1838" i="21"/>
  <c r="H1838" i="21"/>
  <c r="J1838" i="21" s="1"/>
  <c r="R1837" i="21"/>
  <c r="O1837" i="21"/>
  <c r="H1837" i="21"/>
  <c r="J1837" i="21" s="1"/>
  <c r="U1836" i="21"/>
  <c r="T1836" i="21"/>
  <c r="O1836" i="21"/>
  <c r="K1836" i="21"/>
  <c r="H1836" i="21"/>
  <c r="U1835" i="21"/>
  <c r="T1835" i="21"/>
  <c r="O1835" i="21"/>
  <c r="K1835" i="21"/>
  <c r="H1835" i="21"/>
  <c r="U1834" i="21"/>
  <c r="T1834" i="21"/>
  <c r="O1834" i="21"/>
  <c r="K1834" i="21"/>
  <c r="H1834" i="21"/>
  <c r="R1833" i="21"/>
  <c r="O1833" i="21"/>
  <c r="R1832" i="21"/>
  <c r="O1832" i="21"/>
  <c r="H1832" i="21"/>
  <c r="J1832" i="21" s="1"/>
  <c r="R1831" i="21"/>
  <c r="O1831" i="21"/>
  <c r="H1831" i="21"/>
  <c r="J1831" i="21" s="1"/>
  <c r="R1830" i="21"/>
  <c r="O1830" i="21"/>
  <c r="H1830" i="21"/>
  <c r="J1830" i="21" s="1"/>
  <c r="R1829" i="21"/>
  <c r="O1829" i="21"/>
  <c r="H1829" i="21"/>
  <c r="J1829" i="21" s="1"/>
  <c r="R1828" i="21"/>
  <c r="O1828" i="21"/>
  <c r="H1828" i="21"/>
  <c r="J1828" i="21" s="1"/>
  <c r="R1827" i="21"/>
  <c r="O1827" i="21"/>
  <c r="J1827" i="21"/>
  <c r="R1826" i="21"/>
  <c r="O1826" i="21"/>
  <c r="J1826" i="21"/>
  <c r="R1825" i="21"/>
  <c r="O1825" i="21"/>
  <c r="J1825" i="21"/>
  <c r="R1824" i="21"/>
  <c r="O1824" i="21"/>
  <c r="J1824" i="21"/>
  <c r="R1823" i="21"/>
  <c r="O1823" i="21"/>
  <c r="J1823" i="21"/>
  <c r="U1822" i="21"/>
  <c r="T1822" i="21"/>
  <c r="O1822" i="21"/>
  <c r="K1822" i="21"/>
  <c r="H1822" i="21"/>
  <c r="U1821" i="21"/>
  <c r="T1821" i="21"/>
  <c r="O1821" i="21"/>
  <c r="K1821" i="21"/>
  <c r="H1821" i="21"/>
  <c r="R1820" i="21"/>
  <c r="O1820" i="21"/>
  <c r="U1819" i="21"/>
  <c r="T1819" i="21"/>
  <c r="O1819" i="21"/>
  <c r="K1819" i="21"/>
  <c r="H1819" i="21"/>
  <c r="U1818" i="21"/>
  <c r="T1818" i="21"/>
  <c r="O1818" i="21"/>
  <c r="K1818" i="21"/>
  <c r="H1818" i="21"/>
  <c r="R1817" i="21"/>
  <c r="O1817" i="21"/>
  <c r="U1816" i="21"/>
  <c r="T1816" i="21"/>
  <c r="O1816" i="21"/>
  <c r="K1816" i="21"/>
  <c r="H1816" i="21"/>
  <c r="U1815" i="21"/>
  <c r="T1815" i="21"/>
  <c r="O1815" i="21"/>
  <c r="K1815" i="21"/>
  <c r="H1815" i="21"/>
  <c r="R1814" i="21"/>
  <c r="O1814" i="21"/>
  <c r="U1813" i="21"/>
  <c r="T1813" i="21"/>
  <c r="O1813" i="21"/>
  <c r="K1813" i="21"/>
  <c r="H1813" i="21"/>
  <c r="U1812" i="21"/>
  <c r="T1812" i="21"/>
  <c r="O1812" i="21"/>
  <c r="K1812" i="21"/>
  <c r="H1812" i="21"/>
  <c r="R1811" i="21"/>
  <c r="O1811" i="21"/>
  <c r="U1810" i="21"/>
  <c r="T1810" i="21"/>
  <c r="O1810" i="21"/>
  <c r="K1810" i="21"/>
  <c r="H1810" i="21"/>
  <c r="U1809" i="21"/>
  <c r="T1809" i="21"/>
  <c r="O1809" i="21"/>
  <c r="K1809" i="21"/>
  <c r="H1809" i="21"/>
  <c r="R1808" i="21"/>
  <c r="O1808" i="21"/>
  <c r="U1807" i="21"/>
  <c r="T1807" i="21"/>
  <c r="O1807" i="21"/>
  <c r="K1807" i="21"/>
  <c r="H1807" i="21"/>
  <c r="U1806" i="21"/>
  <c r="T1806" i="21"/>
  <c r="O1806" i="21"/>
  <c r="K1806" i="21"/>
  <c r="H1806" i="21"/>
  <c r="R1805" i="21"/>
  <c r="O1805" i="21"/>
  <c r="U1804" i="21"/>
  <c r="T1804" i="21"/>
  <c r="O1804" i="21"/>
  <c r="K1804" i="21"/>
  <c r="H1804" i="21"/>
  <c r="U1803" i="21"/>
  <c r="T1803" i="21"/>
  <c r="O1803" i="21"/>
  <c r="K1803" i="21"/>
  <c r="H1803" i="21"/>
  <c r="R1802" i="21"/>
  <c r="O1802" i="21"/>
  <c r="R1801" i="21"/>
  <c r="O1801" i="21"/>
  <c r="H1801" i="21"/>
  <c r="J1801" i="21" s="1"/>
  <c r="R1800" i="21"/>
  <c r="O1800" i="21"/>
  <c r="H1800" i="21"/>
  <c r="J1800" i="21" s="1"/>
  <c r="S1799" i="21"/>
  <c r="R1799" i="21"/>
  <c r="O1799" i="21"/>
  <c r="H1799" i="21"/>
  <c r="J1799" i="21" s="1"/>
  <c r="R1798" i="21"/>
  <c r="O1798" i="21"/>
  <c r="H1798" i="21"/>
  <c r="J1798" i="21" s="1"/>
  <c r="R1797" i="21"/>
  <c r="O1797" i="21"/>
  <c r="H1797" i="21"/>
  <c r="J1797" i="21" s="1"/>
  <c r="R1796" i="21"/>
  <c r="O1796" i="21"/>
  <c r="H1796" i="21"/>
  <c r="J1796" i="21" s="1"/>
  <c r="R1795" i="21"/>
  <c r="O1795" i="21"/>
  <c r="H1795" i="21"/>
  <c r="J1795" i="21" s="1"/>
  <c r="R1794" i="21"/>
  <c r="O1794" i="21"/>
  <c r="H1794" i="21"/>
  <c r="J1794" i="21" s="1"/>
  <c r="R1793" i="21"/>
  <c r="O1793" i="21"/>
  <c r="H1793" i="21"/>
  <c r="J1793" i="21" s="1"/>
  <c r="R1792" i="21"/>
  <c r="O1792" i="21"/>
  <c r="H1792" i="21"/>
  <c r="J1792" i="21" s="1"/>
  <c r="R1791" i="21"/>
  <c r="O1791" i="21"/>
  <c r="H1791" i="21"/>
  <c r="J1791" i="21" s="1"/>
  <c r="R1790" i="21"/>
  <c r="O1790" i="21"/>
  <c r="H1790" i="21"/>
  <c r="J1790" i="21" s="1"/>
  <c r="R1789" i="21"/>
  <c r="O1789" i="21"/>
  <c r="H1789" i="21"/>
  <c r="J1789" i="21" s="1"/>
  <c r="R1788" i="21"/>
  <c r="O1788" i="21"/>
  <c r="H1788" i="21"/>
  <c r="J1788" i="21" s="1"/>
  <c r="R1787" i="21"/>
  <c r="O1787" i="21"/>
  <c r="H1787" i="21"/>
  <c r="J1787" i="21" s="1"/>
  <c r="R1786" i="21"/>
  <c r="O1786" i="21"/>
  <c r="H1786" i="21"/>
  <c r="J1786" i="21" s="1"/>
  <c r="U1785" i="21"/>
  <c r="T1785" i="21"/>
  <c r="O1785" i="21"/>
  <c r="R1784" i="21"/>
  <c r="P1784" i="21"/>
  <c r="O1784" i="21"/>
  <c r="K1784" i="21"/>
  <c r="R1783" i="21"/>
  <c r="O1783" i="21"/>
  <c r="K1783" i="21"/>
  <c r="R1782" i="21"/>
  <c r="O1782" i="21"/>
  <c r="K1782" i="21"/>
  <c r="R1781" i="21"/>
  <c r="O1781" i="21"/>
  <c r="K1781" i="21"/>
  <c r="R1780" i="21"/>
  <c r="O1780" i="21"/>
  <c r="K1780" i="21"/>
  <c r="R1779" i="21"/>
  <c r="O1779" i="21"/>
  <c r="K1779" i="21"/>
  <c r="R1778" i="21"/>
  <c r="O1778" i="21"/>
  <c r="K1778" i="21"/>
  <c r="R1777" i="21"/>
  <c r="O1777" i="21"/>
  <c r="K1777" i="21"/>
  <c r="R1776" i="21"/>
  <c r="O1776" i="21"/>
  <c r="K1776" i="21"/>
  <c r="R1775" i="21"/>
  <c r="O1775" i="21"/>
  <c r="K1775" i="21"/>
  <c r="R1774" i="21"/>
  <c r="O1774" i="21"/>
  <c r="K1774" i="21"/>
  <c r="R1773" i="21"/>
  <c r="O1773" i="21"/>
  <c r="K1773" i="21"/>
  <c r="R1772" i="21"/>
  <c r="O1772" i="21"/>
  <c r="K1772" i="21"/>
  <c r="R1771" i="21"/>
  <c r="O1771" i="21"/>
  <c r="K1771" i="21"/>
  <c r="R1770" i="21"/>
  <c r="O1770" i="21"/>
  <c r="K1770" i="21"/>
  <c r="R1769" i="21"/>
  <c r="O1769" i="21"/>
  <c r="K1769" i="21"/>
  <c r="R1768" i="21"/>
  <c r="O1768" i="21"/>
  <c r="K1768" i="21"/>
  <c r="R1767" i="21"/>
  <c r="O1767" i="21"/>
  <c r="K1767" i="21"/>
  <c r="R1766" i="21"/>
  <c r="O1766" i="21"/>
  <c r="K1766" i="21"/>
  <c r="R1765" i="21"/>
  <c r="O1765" i="21"/>
  <c r="K1765" i="21"/>
  <c r="R1764" i="21"/>
  <c r="O1764" i="21"/>
  <c r="K1764" i="21"/>
  <c r="R1763" i="21"/>
  <c r="O1763" i="21"/>
  <c r="K1763" i="21"/>
  <c r="R1762" i="21"/>
  <c r="O1762" i="21"/>
  <c r="K1762" i="21"/>
  <c r="R1761" i="21"/>
  <c r="O1761" i="21"/>
  <c r="K1761" i="21"/>
  <c r="R1760" i="21"/>
  <c r="O1760" i="21"/>
  <c r="K1760" i="21"/>
  <c r="R1759" i="21"/>
  <c r="O1759" i="21"/>
  <c r="K1759" i="21"/>
  <c r="R1758" i="21"/>
  <c r="O1758" i="21"/>
  <c r="K1758" i="21"/>
  <c r="R1757" i="21"/>
  <c r="O1757" i="21"/>
  <c r="K1757" i="21"/>
  <c r="R1756" i="21"/>
  <c r="O1756" i="21"/>
  <c r="K1756" i="21"/>
  <c r="R1755" i="21"/>
  <c r="O1755" i="21"/>
  <c r="K1755" i="21"/>
  <c r="R1754" i="21"/>
  <c r="O1754" i="21"/>
  <c r="K1754" i="21"/>
  <c r="R1753" i="21"/>
  <c r="O1753" i="21"/>
  <c r="K1753" i="21"/>
  <c r="U1752" i="21"/>
  <c r="T1752" i="21"/>
  <c r="O1752" i="21"/>
  <c r="R1751" i="21"/>
  <c r="O1751" i="21"/>
  <c r="J1751" i="21"/>
  <c r="R1750" i="21"/>
  <c r="O1750" i="21"/>
  <c r="J1750" i="21"/>
  <c r="R1749" i="21"/>
  <c r="O1749" i="21"/>
  <c r="J1749" i="21"/>
  <c r="R1748" i="21"/>
  <c r="O1748" i="21"/>
  <c r="H1748" i="21"/>
  <c r="J1748" i="21" s="1"/>
  <c r="R1747" i="21"/>
  <c r="O1747" i="21"/>
  <c r="J1747" i="21"/>
  <c r="R1746" i="21"/>
  <c r="O1746" i="21"/>
  <c r="J1746" i="21"/>
  <c r="R1745" i="21"/>
  <c r="O1745" i="21"/>
  <c r="J1745" i="21"/>
  <c r="R1744" i="21"/>
  <c r="O1744" i="21"/>
  <c r="J1744" i="21"/>
  <c r="R1743" i="21"/>
  <c r="O1743" i="21"/>
  <c r="J1743" i="21"/>
  <c r="R1742" i="21"/>
  <c r="O1742" i="21"/>
  <c r="J1742" i="21"/>
  <c r="R1741" i="21"/>
  <c r="O1741" i="21"/>
  <c r="J1741" i="21"/>
  <c r="R1740" i="21"/>
  <c r="O1740" i="21"/>
  <c r="J1740" i="21"/>
  <c r="R1739" i="21"/>
  <c r="O1739" i="21"/>
  <c r="J1739" i="21"/>
  <c r="R1738" i="21"/>
  <c r="O1738" i="21"/>
  <c r="H1738" i="21"/>
  <c r="J1738" i="21" s="1"/>
  <c r="R1737" i="21"/>
  <c r="O1737" i="21"/>
  <c r="H1737" i="21"/>
  <c r="J1737" i="21" s="1"/>
  <c r="R1736" i="21"/>
  <c r="O1736" i="21"/>
  <c r="J1736" i="21"/>
  <c r="R1735" i="21"/>
  <c r="O1735" i="21"/>
  <c r="J1735" i="21"/>
  <c r="R1734" i="21"/>
  <c r="O1734" i="21"/>
  <c r="J1734" i="21"/>
  <c r="R1733" i="21"/>
  <c r="O1733" i="21"/>
  <c r="J1733" i="21"/>
  <c r="R1732" i="21"/>
  <c r="O1732" i="21"/>
  <c r="J1732" i="21"/>
  <c r="R1731" i="21"/>
  <c r="O1731" i="21"/>
  <c r="J1731" i="21"/>
  <c r="R1730" i="21"/>
  <c r="O1730" i="21"/>
  <c r="J1730" i="21"/>
  <c r="R1729" i="21"/>
  <c r="O1729" i="21"/>
  <c r="J1729" i="21"/>
  <c r="R1728" i="21"/>
  <c r="O1728" i="21"/>
  <c r="J1728" i="21"/>
  <c r="R1727" i="21"/>
  <c r="O1727" i="21"/>
  <c r="J1727" i="21"/>
  <c r="U1726" i="21"/>
  <c r="T1726" i="21"/>
  <c r="O1726" i="21"/>
  <c r="H1726" i="21"/>
  <c r="U1725" i="21"/>
  <c r="T1725" i="21"/>
  <c r="O1725" i="21"/>
  <c r="H1725" i="21"/>
  <c r="U1724" i="21"/>
  <c r="T1724" i="21"/>
  <c r="O1724" i="21"/>
  <c r="H1724" i="21"/>
  <c r="R1723" i="21"/>
  <c r="O1723" i="21"/>
  <c r="U1722" i="21"/>
  <c r="T1722" i="21"/>
  <c r="O1722" i="21"/>
  <c r="H1722" i="21"/>
  <c r="U1721" i="21"/>
  <c r="T1721" i="21"/>
  <c r="O1721" i="21"/>
  <c r="H1721" i="21"/>
  <c r="U1720" i="21"/>
  <c r="T1720" i="21"/>
  <c r="O1720" i="21"/>
  <c r="H1720" i="21"/>
  <c r="R1719" i="21"/>
  <c r="O1719" i="21"/>
  <c r="U1718" i="21"/>
  <c r="T1718" i="21"/>
  <c r="O1718" i="21"/>
  <c r="H1718" i="21"/>
  <c r="U1717" i="21"/>
  <c r="T1717" i="21"/>
  <c r="O1717" i="21"/>
  <c r="H1717" i="21"/>
  <c r="U1716" i="21"/>
  <c r="T1716" i="21"/>
  <c r="O1716" i="21"/>
  <c r="H1716" i="21"/>
  <c r="R1715" i="21"/>
  <c r="O1715" i="21"/>
  <c r="U1714" i="21"/>
  <c r="T1714" i="21"/>
  <c r="O1714" i="21"/>
  <c r="H1714" i="21"/>
  <c r="U1713" i="21"/>
  <c r="T1713" i="21"/>
  <c r="O1713" i="21"/>
  <c r="H1713" i="21"/>
  <c r="U1712" i="21"/>
  <c r="T1712" i="21"/>
  <c r="O1712" i="21"/>
  <c r="H1712" i="21"/>
  <c r="R1711" i="21"/>
  <c r="O1711" i="21"/>
  <c r="U1710" i="21"/>
  <c r="T1710" i="21"/>
  <c r="O1710" i="21"/>
  <c r="H1710" i="21"/>
  <c r="U1709" i="21"/>
  <c r="T1709" i="21"/>
  <c r="O1709" i="21"/>
  <c r="H1709" i="21"/>
  <c r="U1708" i="21"/>
  <c r="T1708" i="21"/>
  <c r="O1708" i="21"/>
  <c r="H1708" i="21"/>
  <c r="R1707" i="21"/>
  <c r="O1707" i="21"/>
  <c r="R1706" i="21"/>
  <c r="O1706" i="21"/>
  <c r="H1706" i="21"/>
  <c r="J1706" i="21" s="1"/>
  <c r="R1705" i="21"/>
  <c r="O1705" i="21"/>
  <c r="G1705" i="21"/>
  <c r="H1705" i="21" s="1"/>
  <c r="J1705" i="21" s="1"/>
  <c r="R1704" i="21"/>
  <c r="O1704" i="21"/>
  <c r="H1704" i="21"/>
  <c r="J1704" i="21" s="1"/>
  <c r="R1703" i="21"/>
  <c r="O1703" i="21"/>
  <c r="H1703" i="21"/>
  <c r="J1703" i="21" s="1"/>
  <c r="U1702" i="21"/>
  <c r="T1702" i="21"/>
  <c r="O1702" i="21"/>
  <c r="H1702" i="21"/>
  <c r="U1701" i="21"/>
  <c r="T1701" i="21"/>
  <c r="O1701" i="21"/>
  <c r="H1701" i="21"/>
  <c r="U1700" i="21"/>
  <c r="T1700" i="21"/>
  <c r="O1700" i="21"/>
  <c r="H1700" i="21"/>
  <c r="R1699" i="21"/>
  <c r="O1699" i="21"/>
  <c r="R1698" i="21"/>
  <c r="O1698" i="21"/>
  <c r="H1698" i="21"/>
  <c r="J1698" i="21" s="1"/>
  <c r="R1697" i="21"/>
  <c r="O1697" i="21"/>
  <c r="H1697" i="21"/>
  <c r="J1697" i="21" s="1"/>
  <c r="R1696" i="21"/>
  <c r="O1696" i="21"/>
  <c r="H1696" i="21"/>
  <c r="J1696" i="21" s="1"/>
  <c r="G1696" i="21"/>
  <c r="R1695" i="21"/>
  <c r="O1695" i="21"/>
  <c r="G1695" i="21"/>
  <c r="H1695" i="21" s="1"/>
  <c r="J1695" i="21" s="1"/>
  <c r="R1694" i="21"/>
  <c r="O1694" i="21"/>
  <c r="J1694" i="21"/>
  <c r="R1693" i="21"/>
  <c r="O1693" i="21"/>
  <c r="J1693" i="21"/>
  <c r="R1692" i="21"/>
  <c r="O1692" i="21"/>
  <c r="J1692" i="21"/>
  <c r="R1691" i="21"/>
  <c r="O1691" i="21"/>
  <c r="H1691" i="21"/>
  <c r="J1691" i="21" s="1"/>
  <c r="U1690" i="21"/>
  <c r="T1690" i="21"/>
  <c r="O1690" i="21"/>
  <c r="R1689" i="21"/>
  <c r="O1689" i="21"/>
  <c r="K1689" i="21"/>
  <c r="R1688" i="21"/>
  <c r="O1688" i="21"/>
  <c r="K1688" i="21"/>
  <c r="R1687" i="21"/>
  <c r="O1687" i="21"/>
  <c r="K1687" i="21"/>
  <c r="R1686" i="21"/>
  <c r="O1686" i="21"/>
  <c r="K1686" i="21"/>
  <c r="R1685" i="21"/>
  <c r="O1685" i="21"/>
  <c r="K1685" i="21"/>
  <c r="R1684" i="21"/>
  <c r="O1684" i="21"/>
  <c r="K1684" i="21"/>
  <c r="R1683" i="21"/>
  <c r="O1683" i="21"/>
  <c r="K1683" i="21"/>
  <c r="R1682" i="21"/>
  <c r="O1682" i="21"/>
  <c r="K1682" i="21"/>
  <c r="R1681" i="21"/>
  <c r="O1681" i="21"/>
  <c r="K1681" i="21"/>
  <c r="R1680" i="21"/>
  <c r="O1680" i="21"/>
  <c r="K1680" i="21"/>
  <c r="R1679" i="21"/>
  <c r="O1679" i="21"/>
  <c r="K1679" i="21"/>
  <c r="R1678" i="21"/>
  <c r="O1678" i="21"/>
  <c r="K1678" i="21"/>
  <c r="R1677" i="21"/>
  <c r="O1677" i="21"/>
  <c r="K1677" i="21"/>
  <c r="R1676" i="21"/>
  <c r="O1676" i="21"/>
  <c r="K1676" i="21"/>
  <c r="R1675" i="21"/>
  <c r="O1675" i="21"/>
  <c r="K1675" i="21"/>
  <c r="R1674" i="21"/>
  <c r="O1674" i="21"/>
  <c r="K1674" i="21"/>
  <c r="R1673" i="21"/>
  <c r="O1673" i="21"/>
  <c r="K1673" i="21"/>
  <c r="R1672" i="21"/>
  <c r="O1672" i="21"/>
  <c r="K1672" i="21"/>
  <c r="R1671" i="21"/>
  <c r="O1671" i="21"/>
  <c r="K1671" i="21"/>
  <c r="R1670" i="21"/>
  <c r="O1670" i="21"/>
  <c r="K1670" i="21"/>
  <c r="R1669" i="21"/>
  <c r="O1669" i="21"/>
  <c r="K1669" i="21"/>
  <c r="R1668" i="21"/>
  <c r="O1668" i="21"/>
  <c r="K1668" i="21"/>
  <c r="R1667" i="21"/>
  <c r="O1667" i="21"/>
  <c r="K1667" i="21"/>
  <c r="R1666" i="21"/>
  <c r="O1666" i="21"/>
  <c r="K1666" i="21"/>
  <c r="R1665" i="21"/>
  <c r="O1665" i="21"/>
  <c r="K1665" i="21"/>
  <c r="R1664" i="21"/>
  <c r="O1664" i="21"/>
  <c r="K1664" i="21"/>
  <c r="R1663" i="21"/>
  <c r="O1663" i="21"/>
  <c r="K1663" i="21"/>
  <c r="R1662" i="21"/>
  <c r="O1662" i="21"/>
  <c r="K1662" i="21"/>
  <c r="R1661" i="21"/>
  <c r="O1661" i="21"/>
  <c r="K1661" i="21"/>
  <c r="R1660" i="21"/>
  <c r="O1660" i="21"/>
  <c r="K1660" i="21"/>
  <c r="R1659" i="21"/>
  <c r="O1659" i="21"/>
  <c r="K1659" i="21"/>
  <c r="R1658" i="21"/>
  <c r="O1658" i="21"/>
  <c r="K1658" i="21"/>
  <c r="U1657" i="21"/>
  <c r="T1657" i="21"/>
  <c r="O1657" i="21"/>
  <c r="R1656" i="21"/>
  <c r="O1656" i="21"/>
  <c r="J1656" i="21"/>
  <c r="R1655" i="21"/>
  <c r="O1655" i="21"/>
  <c r="J1655" i="21"/>
  <c r="R1654" i="21"/>
  <c r="O1654" i="21"/>
  <c r="J1654" i="21"/>
  <c r="R1653" i="21"/>
  <c r="O1653" i="21"/>
  <c r="J1653" i="21"/>
  <c r="R1652" i="21"/>
  <c r="O1652" i="21"/>
  <c r="J1652" i="21"/>
  <c r="R1651" i="21"/>
  <c r="O1651" i="21"/>
  <c r="J1651" i="21"/>
  <c r="R1650" i="21"/>
  <c r="O1650" i="21"/>
  <c r="J1650" i="21"/>
  <c r="R1649" i="21"/>
  <c r="O1649" i="21"/>
  <c r="J1649" i="21"/>
  <c r="R1648" i="21"/>
  <c r="O1648" i="21"/>
  <c r="J1648" i="21"/>
  <c r="R1647" i="21"/>
  <c r="O1647" i="21"/>
  <c r="J1647" i="21"/>
  <c r="R1646" i="21"/>
  <c r="O1646" i="21"/>
  <c r="J1646" i="21"/>
  <c r="R1645" i="21"/>
  <c r="O1645" i="21"/>
  <c r="J1645" i="21"/>
  <c r="R1644" i="21"/>
  <c r="O1644" i="21"/>
  <c r="J1644" i="21"/>
  <c r="R1643" i="21"/>
  <c r="O1643" i="21"/>
  <c r="J1643" i="21"/>
  <c r="R1642" i="21"/>
  <c r="O1642" i="21"/>
  <c r="J1642" i="21"/>
  <c r="R1641" i="21"/>
  <c r="O1641" i="21"/>
  <c r="J1641" i="21"/>
  <c r="R1640" i="21"/>
  <c r="O1640" i="21"/>
  <c r="J1640" i="21"/>
  <c r="R1639" i="21"/>
  <c r="O1639" i="21"/>
  <c r="J1639" i="21"/>
  <c r="R1638" i="21"/>
  <c r="O1638" i="21"/>
  <c r="J1638" i="21"/>
  <c r="R1637" i="21"/>
  <c r="O1637" i="21"/>
  <c r="J1637" i="21"/>
  <c r="R1636" i="21"/>
  <c r="O1636" i="21"/>
  <c r="J1636" i="21"/>
  <c r="R1635" i="21"/>
  <c r="O1635" i="21"/>
  <c r="J1635" i="21"/>
  <c r="R1634" i="21"/>
  <c r="O1634" i="21"/>
  <c r="J1634" i="21"/>
  <c r="R1633" i="21"/>
  <c r="O1633" i="21"/>
  <c r="J1633" i="21"/>
  <c r="R1632" i="21"/>
  <c r="O1632" i="21"/>
  <c r="J1632" i="21"/>
  <c r="R1631" i="21"/>
  <c r="O1631" i="21"/>
  <c r="J1631" i="21"/>
  <c r="R1630" i="21"/>
  <c r="O1630" i="21"/>
  <c r="J1630" i="21"/>
  <c r="R1629" i="21"/>
  <c r="O1629" i="21"/>
  <c r="J1629" i="21"/>
  <c r="R1628" i="21"/>
  <c r="O1628" i="21"/>
  <c r="J1628" i="21"/>
  <c r="R1627" i="21"/>
  <c r="O1627" i="21"/>
  <c r="J1627" i="21"/>
  <c r="R1626" i="21"/>
  <c r="O1626" i="21"/>
  <c r="J1626" i="21"/>
  <c r="R1625" i="21"/>
  <c r="O1625" i="21"/>
  <c r="J1625" i="21"/>
  <c r="R1624" i="21"/>
  <c r="O1624" i="21"/>
  <c r="J1624" i="21"/>
  <c r="R1623" i="21"/>
  <c r="O1623" i="21"/>
  <c r="J1623" i="21"/>
  <c r="R1622" i="21"/>
  <c r="O1622" i="21"/>
  <c r="J1622" i="21"/>
  <c r="R1621" i="21"/>
  <c r="O1621" i="21"/>
  <c r="J1621" i="21"/>
  <c r="R1620" i="21"/>
  <c r="O1620" i="21"/>
  <c r="J1620" i="21"/>
  <c r="R1619" i="21"/>
  <c r="O1619" i="21"/>
  <c r="J1619" i="21"/>
  <c r="R1618" i="21"/>
  <c r="O1618" i="21"/>
  <c r="J1618" i="21"/>
  <c r="R1617" i="21"/>
  <c r="O1617" i="21"/>
  <c r="J1617" i="21"/>
  <c r="R1616" i="21"/>
  <c r="O1616" i="21"/>
  <c r="J1616" i="21"/>
  <c r="R1615" i="21"/>
  <c r="O1615" i="21"/>
  <c r="J1615" i="21"/>
  <c r="R1614" i="21"/>
  <c r="O1614" i="21"/>
  <c r="J1614" i="21"/>
  <c r="R1613" i="21"/>
  <c r="O1613" i="21"/>
  <c r="J1613" i="21"/>
  <c r="R1612" i="21"/>
  <c r="O1612" i="21"/>
  <c r="J1612" i="21"/>
  <c r="R1611" i="21"/>
  <c r="O1611" i="21"/>
  <c r="J1611" i="21"/>
  <c r="R1610" i="21"/>
  <c r="O1610" i="21"/>
  <c r="J1610" i="21"/>
  <c r="R1609" i="21"/>
  <c r="O1609" i="21"/>
  <c r="J1609" i="21"/>
  <c r="R1608" i="21"/>
  <c r="O1608" i="21"/>
  <c r="J1608" i="21"/>
  <c r="R1607" i="21"/>
  <c r="O1607" i="21"/>
  <c r="J1607" i="21"/>
  <c r="R1606" i="21"/>
  <c r="O1606" i="21"/>
  <c r="J1606" i="21"/>
  <c r="R1605" i="21"/>
  <c r="O1605" i="21"/>
  <c r="J1605" i="21"/>
  <c r="R1604" i="21"/>
  <c r="O1604" i="21"/>
  <c r="J1604" i="21"/>
  <c r="R1603" i="21"/>
  <c r="O1603" i="21"/>
  <c r="J1603" i="21"/>
  <c r="R1602" i="21"/>
  <c r="O1602" i="21"/>
  <c r="J1602" i="21"/>
  <c r="R1601" i="21"/>
  <c r="O1601" i="21"/>
  <c r="J1601" i="21"/>
  <c r="R1600" i="21"/>
  <c r="O1600" i="21"/>
  <c r="J1600" i="21"/>
  <c r="R1599" i="21"/>
  <c r="O1599" i="21"/>
  <c r="J1599" i="21"/>
  <c r="R1598" i="21"/>
  <c r="O1598" i="21"/>
  <c r="J1598" i="21"/>
  <c r="R1597" i="21"/>
  <c r="O1597" i="21"/>
  <c r="J1597" i="21"/>
  <c r="R1596" i="21"/>
  <c r="O1596" i="21"/>
  <c r="J1596" i="21"/>
  <c r="R1595" i="21"/>
  <c r="O1595" i="21"/>
  <c r="J1595" i="21"/>
  <c r="R1594" i="21"/>
  <c r="O1594" i="21"/>
  <c r="J1594" i="21"/>
  <c r="R1593" i="21"/>
  <c r="O1593" i="21"/>
  <c r="J1593" i="21"/>
  <c r="R1592" i="21"/>
  <c r="O1592" i="21"/>
  <c r="J1592" i="21"/>
  <c r="R1591" i="21"/>
  <c r="O1591" i="21"/>
  <c r="J1591" i="21"/>
  <c r="R1590" i="21"/>
  <c r="O1590" i="21"/>
  <c r="J1590" i="21"/>
  <c r="R1589" i="21"/>
  <c r="O1589" i="21"/>
  <c r="J1589" i="21"/>
  <c r="R1588" i="21"/>
  <c r="O1588" i="21"/>
  <c r="J1588" i="21"/>
  <c r="R1587" i="21"/>
  <c r="O1587" i="21"/>
  <c r="J1587" i="21"/>
  <c r="R1586" i="21"/>
  <c r="O1586" i="21"/>
  <c r="J1586" i="21"/>
  <c r="R1585" i="21"/>
  <c r="O1585" i="21"/>
  <c r="J1585" i="21"/>
  <c r="R1584" i="21"/>
  <c r="O1584" i="21"/>
  <c r="J1584" i="21"/>
  <c r="R1583" i="21"/>
  <c r="O1583" i="21"/>
  <c r="J1583" i="21"/>
  <c r="R1582" i="21"/>
  <c r="O1582" i="21"/>
  <c r="J1582" i="21"/>
  <c r="R1581" i="21"/>
  <c r="O1581" i="21"/>
  <c r="J1581" i="21"/>
  <c r="R1580" i="21"/>
  <c r="O1580" i="21"/>
  <c r="J1580" i="21"/>
  <c r="R1579" i="21"/>
  <c r="O1579" i="21"/>
  <c r="J1579" i="21"/>
  <c r="R1578" i="21"/>
  <c r="O1578" i="21"/>
  <c r="J1578" i="21"/>
  <c r="R1577" i="21"/>
  <c r="O1577" i="21"/>
  <c r="J1577" i="21"/>
  <c r="R1576" i="21"/>
  <c r="O1576" i="21"/>
  <c r="J1576" i="21"/>
  <c r="R1575" i="21"/>
  <c r="O1575" i="21"/>
  <c r="J1575" i="21"/>
  <c r="R1574" i="21"/>
  <c r="O1574" i="21"/>
  <c r="J1574" i="21"/>
  <c r="R1573" i="21"/>
  <c r="O1573" i="21"/>
  <c r="J1573" i="21"/>
  <c r="R1572" i="21"/>
  <c r="O1572" i="21"/>
  <c r="J1572" i="21"/>
  <c r="R1571" i="21"/>
  <c r="O1571" i="21"/>
  <c r="J1571" i="21"/>
  <c r="R1570" i="21"/>
  <c r="O1570" i="21"/>
  <c r="J1570" i="21"/>
  <c r="R1569" i="21"/>
  <c r="O1569" i="21"/>
  <c r="J1569" i="21"/>
  <c r="R1568" i="21"/>
  <c r="O1568" i="21"/>
  <c r="J1568" i="21"/>
  <c r="R1567" i="21"/>
  <c r="O1567" i="21"/>
  <c r="J1567" i="21"/>
  <c r="R1566" i="21"/>
  <c r="O1566" i="21"/>
  <c r="J1566" i="21"/>
  <c r="R1565" i="21"/>
  <c r="O1565" i="21"/>
  <c r="J1565" i="21"/>
  <c r="R1564" i="21"/>
  <c r="O1564" i="21"/>
  <c r="J1564" i="21"/>
  <c r="R1563" i="21"/>
  <c r="O1563" i="21"/>
  <c r="J1563" i="21"/>
  <c r="R1562" i="21"/>
  <c r="O1562" i="21"/>
  <c r="J1562" i="21"/>
  <c r="R1561" i="21"/>
  <c r="O1561" i="21"/>
  <c r="J1561" i="21"/>
  <c r="R1560" i="21"/>
  <c r="O1560" i="21"/>
  <c r="J1560" i="21"/>
  <c r="R1559" i="21"/>
  <c r="O1559" i="21"/>
  <c r="J1559" i="21"/>
  <c r="R1558" i="21"/>
  <c r="O1558" i="21"/>
  <c r="J1558" i="21"/>
  <c r="R1557" i="21"/>
  <c r="O1557" i="21"/>
  <c r="J1557" i="21"/>
  <c r="R1556" i="21"/>
  <c r="O1556" i="21"/>
  <c r="J1556" i="21"/>
  <c r="R1555" i="21"/>
  <c r="O1555" i="21"/>
  <c r="J1555" i="21"/>
  <c r="R1554" i="21"/>
  <c r="O1554" i="21"/>
  <c r="J1554" i="21"/>
  <c r="R1553" i="21"/>
  <c r="O1553" i="21"/>
  <c r="J1553" i="21"/>
  <c r="R1552" i="21"/>
  <c r="O1552" i="21"/>
  <c r="J1552" i="21"/>
  <c r="R1551" i="21"/>
  <c r="P1551" i="21"/>
  <c r="O1551" i="21"/>
  <c r="J1551" i="21"/>
  <c r="R1550" i="21"/>
  <c r="O1550" i="21"/>
  <c r="J1550" i="21"/>
  <c r="R1549" i="21"/>
  <c r="O1549" i="21"/>
  <c r="J1549" i="21"/>
  <c r="R1548" i="21"/>
  <c r="O1548" i="21"/>
  <c r="J1548" i="21"/>
  <c r="R1547" i="21"/>
  <c r="O1547" i="21"/>
  <c r="J1547" i="21"/>
  <c r="R1546" i="21"/>
  <c r="O1546" i="21"/>
  <c r="J1546" i="21"/>
  <c r="R1545" i="21"/>
  <c r="O1545" i="21"/>
  <c r="J1545" i="21"/>
  <c r="R1544" i="21"/>
  <c r="O1544" i="21"/>
  <c r="J1544" i="21"/>
  <c r="S1543" i="21"/>
  <c r="R1543" i="21"/>
  <c r="O1543" i="21"/>
  <c r="J1543" i="21"/>
  <c r="R1542" i="21"/>
  <c r="O1542" i="21"/>
  <c r="J1542" i="21"/>
  <c r="R1541" i="21"/>
  <c r="O1541" i="21"/>
  <c r="J1541" i="21"/>
  <c r="R1540" i="21"/>
  <c r="O1540" i="21"/>
  <c r="J1540" i="21"/>
  <c r="R1539" i="21"/>
  <c r="O1539" i="21"/>
  <c r="J1539" i="21"/>
  <c r="R1538" i="21"/>
  <c r="O1538" i="21"/>
  <c r="J1538" i="21"/>
  <c r="R1537" i="21"/>
  <c r="O1537" i="21"/>
  <c r="J1537" i="21"/>
  <c r="R1536" i="21"/>
  <c r="O1536" i="21"/>
  <c r="J1536" i="21"/>
  <c r="R1535" i="21"/>
  <c r="O1535" i="21"/>
  <c r="J1535" i="21"/>
  <c r="R1534" i="21"/>
  <c r="O1534" i="21"/>
  <c r="J1534" i="21"/>
  <c r="R1533" i="21"/>
  <c r="O1533" i="21"/>
  <c r="J1533" i="21"/>
  <c r="R1532" i="21"/>
  <c r="O1532" i="21"/>
  <c r="J1532" i="21"/>
  <c r="R1531" i="21"/>
  <c r="O1531" i="21"/>
  <c r="J1531" i="21"/>
  <c r="R1530" i="21"/>
  <c r="O1530" i="21"/>
  <c r="J1530" i="21"/>
  <c r="R1529" i="21"/>
  <c r="O1529" i="21"/>
  <c r="J1529" i="21"/>
  <c r="R1528" i="21"/>
  <c r="O1528" i="21"/>
  <c r="J1528" i="21"/>
  <c r="R1527" i="21"/>
  <c r="O1527" i="21"/>
  <c r="J1527" i="21"/>
  <c r="R1526" i="21"/>
  <c r="O1526" i="21"/>
  <c r="J1526" i="21"/>
  <c r="R1525" i="21"/>
  <c r="O1525" i="21"/>
  <c r="J1525" i="21"/>
  <c r="R1524" i="21"/>
  <c r="O1524" i="21"/>
  <c r="J1524" i="21"/>
  <c r="R1523" i="21"/>
  <c r="O1523" i="21"/>
  <c r="J1523" i="21"/>
  <c r="R1522" i="21"/>
  <c r="O1522" i="21"/>
  <c r="J1522" i="21"/>
  <c r="R1521" i="21"/>
  <c r="O1521" i="21"/>
  <c r="J1521" i="21"/>
  <c r="R1520" i="21"/>
  <c r="O1520" i="21"/>
  <c r="J1520" i="21"/>
  <c r="R1519" i="21"/>
  <c r="O1519" i="21"/>
  <c r="J1519" i="21"/>
  <c r="R1518" i="21"/>
  <c r="O1518" i="21"/>
  <c r="J1518" i="21"/>
  <c r="R1517" i="21"/>
  <c r="O1517" i="21"/>
  <c r="J1517" i="21"/>
  <c r="R1516" i="21"/>
  <c r="O1516" i="21"/>
  <c r="J1516" i="21"/>
  <c r="R1515" i="21"/>
  <c r="O1515" i="21"/>
  <c r="J1515" i="21"/>
  <c r="R1514" i="21"/>
  <c r="O1514" i="21"/>
  <c r="J1514" i="21"/>
  <c r="R1513" i="21"/>
  <c r="O1513" i="21"/>
  <c r="J1513" i="21"/>
  <c r="R1512" i="21"/>
  <c r="O1512" i="21"/>
  <c r="J1512" i="21"/>
  <c r="R1511" i="21"/>
  <c r="O1511" i="21"/>
  <c r="J1511" i="21"/>
  <c r="R1510" i="21"/>
  <c r="O1510" i="21"/>
  <c r="J1510" i="21"/>
  <c r="R1509" i="21"/>
  <c r="O1509" i="21"/>
  <c r="J1509" i="21"/>
  <c r="R1508" i="21"/>
  <c r="O1508" i="21"/>
  <c r="J1508" i="21"/>
  <c r="R1507" i="21"/>
  <c r="O1507" i="21"/>
  <c r="J1507" i="21"/>
  <c r="R1506" i="21"/>
  <c r="O1506" i="21"/>
  <c r="J1506" i="21"/>
  <c r="R1505" i="21"/>
  <c r="O1505" i="21"/>
  <c r="J1505" i="21"/>
  <c r="R1504" i="21"/>
  <c r="O1504" i="21"/>
  <c r="J1504" i="21"/>
  <c r="R1503" i="21"/>
  <c r="O1503" i="21"/>
  <c r="J1503" i="21"/>
  <c r="R1502" i="21"/>
  <c r="O1502" i="21"/>
  <c r="J1502" i="21"/>
  <c r="R1501" i="21"/>
  <c r="O1501" i="21"/>
  <c r="J1501" i="21"/>
  <c r="R1500" i="21"/>
  <c r="O1500" i="21"/>
  <c r="J1500" i="21"/>
  <c r="R1499" i="21"/>
  <c r="O1499" i="21"/>
  <c r="J1499" i="21"/>
  <c r="R1498" i="21"/>
  <c r="O1498" i="21"/>
  <c r="J1498" i="21"/>
  <c r="R1497" i="21"/>
  <c r="O1497" i="21"/>
  <c r="J1497" i="21"/>
  <c r="R1496" i="21"/>
  <c r="O1496" i="21"/>
  <c r="J1496" i="21"/>
  <c r="R1495" i="21"/>
  <c r="O1495" i="21"/>
  <c r="J1495" i="21"/>
  <c r="R1494" i="21"/>
  <c r="O1494" i="21"/>
  <c r="J1494" i="21"/>
  <c r="R1493" i="21"/>
  <c r="O1493" i="21"/>
  <c r="J1493" i="21"/>
  <c r="R1492" i="21"/>
  <c r="O1492" i="21"/>
  <c r="J1492" i="21"/>
  <c r="R1491" i="21"/>
  <c r="O1491" i="21"/>
  <c r="J1491" i="21"/>
  <c r="R1490" i="21"/>
  <c r="O1490" i="21"/>
  <c r="J1490" i="21"/>
  <c r="R1489" i="21"/>
  <c r="O1489" i="21"/>
  <c r="J1489" i="21"/>
  <c r="R1488" i="21"/>
  <c r="O1488" i="21"/>
  <c r="J1488" i="21"/>
  <c r="R1487" i="21"/>
  <c r="O1487" i="21"/>
  <c r="J1487" i="21"/>
  <c r="R1486" i="21"/>
  <c r="O1486" i="21"/>
  <c r="J1486" i="21"/>
  <c r="R1485" i="21"/>
  <c r="O1485" i="21"/>
  <c r="J1485" i="21"/>
  <c r="R1484" i="21"/>
  <c r="O1484" i="21"/>
  <c r="J1484" i="21"/>
  <c r="R1483" i="21"/>
  <c r="O1483" i="21"/>
  <c r="J1483" i="21"/>
  <c r="R1482" i="21"/>
  <c r="O1482" i="21"/>
  <c r="J1482" i="21"/>
  <c r="R1481" i="21"/>
  <c r="O1481" i="21"/>
  <c r="J1481" i="21"/>
  <c r="R1480" i="21"/>
  <c r="O1480" i="21"/>
  <c r="J1480" i="21"/>
  <c r="R1479" i="21"/>
  <c r="O1479" i="21"/>
  <c r="J1479" i="21"/>
  <c r="R1478" i="21"/>
  <c r="O1478" i="21"/>
  <c r="J1478" i="21"/>
  <c r="R1477" i="21"/>
  <c r="O1477" i="21"/>
  <c r="J1477" i="21"/>
  <c r="R1476" i="21"/>
  <c r="O1476" i="21"/>
  <c r="J1476" i="21"/>
  <c r="R1475" i="21"/>
  <c r="O1475" i="21"/>
  <c r="J1475" i="21"/>
  <c r="R1474" i="21"/>
  <c r="O1474" i="21"/>
  <c r="J1474" i="21"/>
  <c r="R1473" i="21"/>
  <c r="O1473" i="21"/>
  <c r="J1473" i="21"/>
  <c r="R1472" i="21"/>
  <c r="O1472" i="21"/>
  <c r="J1472" i="21"/>
  <c r="R1471" i="21"/>
  <c r="O1471" i="21"/>
  <c r="J1471" i="21"/>
  <c r="R1470" i="21"/>
  <c r="O1470" i="21"/>
  <c r="J1470" i="21"/>
  <c r="R1469" i="21"/>
  <c r="O1469" i="21"/>
  <c r="J1469" i="21"/>
  <c r="R1468" i="21"/>
  <c r="O1468" i="21"/>
  <c r="J1468" i="21"/>
  <c r="R1467" i="21"/>
  <c r="O1467" i="21"/>
  <c r="J1467" i="21"/>
  <c r="R1466" i="21"/>
  <c r="O1466" i="21"/>
  <c r="J1466" i="21"/>
  <c r="R1465" i="21"/>
  <c r="O1465" i="21"/>
  <c r="J1465" i="21"/>
  <c r="R1464" i="21"/>
  <c r="O1464" i="21"/>
  <c r="J1464" i="21"/>
  <c r="R1463" i="21"/>
  <c r="O1463" i="21"/>
  <c r="J1463" i="21"/>
  <c r="R1462" i="21"/>
  <c r="O1462" i="21"/>
  <c r="J1462" i="21"/>
  <c r="R1461" i="21"/>
  <c r="O1461" i="21"/>
  <c r="J1461" i="21"/>
  <c r="R1460" i="21"/>
  <c r="O1460" i="21"/>
  <c r="J1460" i="21"/>
  <c r="R1459" i="21"/>
  <c r="O1459" i="21"/>
  <c r="J1459" i="21"/>
  <c r="R1458" i="21"/>
  <c r="O1458" i="21"/>
  <c r="J1458" i="21"/>
  <c r="R1457" i="21"/>
  <c r="O1457" i="21"/>
  <c r="J1457" i="21"/>
  <c r="R1456" i="21"/>
  <c r="O1456" i="21"/>
  <c r="J1456" i="21"/>
  <c r="R1455" i="21"/>
  <c r="O1455" i="21"/>
  <c r="J1455" i="21"/>
  <c r="R1454" i="21"/>
  <c r="O1454" i="21"/>
  <c r="J1454" i="21"/>
  <c r="R1453" i="21"/>
  <c r="O1453" i="21"/>
  <c r="J1453" i="21"/>
  <c r="R1452" i="21"/>
  <c r="O1452" i="21"/>
  <c r="J1452" i="21"/>
  <c r="R1451" i="21"/>
  <c r="O1451" i="21"/>
  <c r="J1451" i="21"/>
  <c r="R1450" i="21"/>
  <c r="O1450" i="21"/>
  <c r="J1450" i="21"/>
  <c r="R1449" i="21"/>
  <c r="O1449" i="21"/>
  <c r="J1449" i="21"/>
  <c r="R1448" i="21"/>
  <c r="O1448" i="21"/>
  <c r="J1448" i="21"/>
  <c r="R1447" i="21"/>
  <c r="O1447" i="21"/>
  <c r="J1447" i="21"/>
  <c r="R1446" i="21"/>
  <c r="O1446" i="21"/>
  <c r="J1446" i="21"/>
  <c r="R1445" i="21"/>
  <c r="O1445" i="21"/>
  <c r="J1445" i="21"/>
  <c r="R1444" i="21"/>
  <c r="O1444" i="21"/>
  <c r="J1444" i="21"/>
  <c r="R1443" i="21"/>
  <c r="O1443" i="21"/>
  <c r="J1443" i="21"/>
  <c r="R1442" i="21"/>
  <c r="O1442" i="21"/>
  <c r="J1442" i="21"/>
  <c r="R1441" i="21"/>
  <c r="O1441" i="21"/>
  <c r="J1441" i="21"/>
  <c r="R1440" i="21"/>
  <c r="O1440" i="21"/>
  <c r="J1440" i="21"/>
  <c r="R1439" i="21"/>
  <c r="O1439" i="21"/>
  <c r="J1439" i="21"/>
  <c r="R1438" i="21"/>
  <c r="O1438" i="21"/>
  <c r="J1438" i="21"/>
  <c r="R1437" i="21"/>
  <c r="O1437" i="21"/>
  <c r="J1437" i="21"/>
  <c r="R1436" i="21"/>
  <c r="O1436" i="21"/>
  <c r="J1436" i="21"/>
  <c r="R1435" i="21"/>
  <c r="O1435" i="21"/>
  <c r="J1435" i="21"/>
  <c r="R1434" i="21"/>
  <c r="O1434" i="21"/>
  <c r="J1434" i="21"/>
  <c r="R1433" i="21"/>
  <c r="O1433" i="21"/>
  <c r="J1433" i="21"/>
  <c r="R1432" i="21"/>
  <c r="O1432" i="21"/>
  <c r="J1432" i="21"/>
  <c r="R1431" i="21"/>
  <c r="O1431" i="21"/>
  <c r="J1431" i="21"/>
  <c r="R1430" i="21"/>
  <c r="O1430" i="21"/>
  <c r="J1430" i="21"/>
  <c r="R1429" i="21"/>
  <c r="O1429" i="21"/>
  <c r="J1429" i="21"/>
  <c r="R1428" i="21"/>
  <c r="O1428" i="21"/>
  <c r="J1428" i="21"/>
  <c r="R1427" i="21"/>
  <c r="O1427" i="21"/>
  <c r="J1427" i="21"/>
  <c r="R1426" i="21"/>
  <c r="O1426" i="21"/>
  <c r="J1426" i="21"/>
  <c r="R1425" i="21"/>
  <c r="O1425" i="21"/>
  <c r="J1425" i="21"/>
  <c r="R1424" i="21"/>
  <c r="O1424" i="21"/>
  <c r="J1424" i="21"/>
  <c r="R1423" i="21"/>
  <c r="O1423" i="21"/>
  <c r="J1423" i="21"/>
  <c r="R1422" i="21"/>
  <c r="O1422" i="21"/>
  <c r="J1422" i="21"/>
  <c r="R1421" i="21"/>
  <c r="O1421" i="21"/>
  <c r="J1421" i="21"/>
  <c r="R1420" i="21"/>
  <c r="O1420" i="21"/>
  <c r="J1420" i="21"/>
  <c r="R1419" i="21"/>
  <c r="O1419" i="21"/>
  <c r="J1419" i="21"/>
  <c r="R1418" i="21"/>
  <c r="O1418" i="21"/>
  <c r="J1418" i="21"/>
  <c r="R1417" i="21"/>
  <c r="O1417" i="21"/>
  <c r="J1417" i="21"/>
  <c r="R1416" i="21"/>
  <c r="O1416" i="21"/>
  <c r="J1416" i="21"/>
  <c r="R1415" i="21"/>
  <c r="O1415" i="21"/>
  <c r="J1415" i="21"/>
  <c r="R1414" i="21"/>
  <c r="O1414" i="21"/>
  <c r="J1414" i="21"/>
  <c r="R1413" i="21"/>
  <c r="O1413" i="21"/>
  <c r="J1413" i="21"/>
  <c r="R1412" i="21"/>
  <c r="O1412" i="21"/>
  <c r="J1412" i="21"/>
  <c r="R1411" i="21"/>
  <c r="O1411" i="21"/>
  <c r="J1411" i="21"/>
  <c r="R1410" i="21"/>
  <c r="O1410" i="21"/>
  <c r="J1410" i="21"/>
  <c r="R1409" i="21"/>
  <c r="O1409" i="21"/>
  <c r="J1409" i="21"/>
  <c r="R1408" i="21"/>
  <c r="O1408" i="21"/>
  <c r="J1408" i="21"/>
  <c r="R1407" i="21"/>
  <c r="O1407" i="21"/>
  <c r="J1407" i="21"/>
  <c r="R1406" i="21"/>
  <c r="O1406" i="21"/>
  <c r="J1406" i="21"/>
  <c r="R1405" i="21"/>
  <c r="O1405" i="21"/>
  <c r="J1405" i="21"/>
  <c r="R1404" i="21"/>
  <c r="O1404" i="21"/>
  <c r="J1404" i="21"/>
  <c r="R1403" i="21"/>
  <c r="O1403" i="21"/>
  <c r="J1403" i="21"/>
  <c r="R1402" i="21"/>
  <c r="O1402" i="21"/>
  <c r="J1402" i="21"/>
  <c r="R1401" i="21"/>
  <c r="O1401" i="21"/>
  <c r="J1401" i="21"/>
  <c r="R1400" i="21"/>
  <c r="O1400" i="21"/>
  <c r="J1400" i="21"/>
  <c r="R1399" i="21"/>
  <c r="P1399" i="21"/>
  <c r="O1399" i="21"/>
  <c r="J1399" i="21"/>
  <c r="R1398" i="21"/>
  <c r="O1398" i="21"/>
  <c r="J1398" i="21"/>
  <c r="R1397" i="21"/>
  <c r="O1397" i="21"/>
  <c r="J1397" i="21"/>
  <c r="R1396" i="21"/>
  <c r="O1396" i="21"/>
  <c r="J1396" i="21"/>
  <c r="R1395" i="21"/>
  <c r="O1395" i="21"/>
  <c r="J1395" i="21"/>
  <c r="R1394" i="21"/>
  <c r="O1394" i="21"/>
  <c r="J1394" i="21"/>
  <c r="R1393" i="21"/>
  <c r="O1393" i="21"/>
  <c r="J1393" i="21"/>
  <c r="R1392" i="21"/>
  <c r="O1392" i="21"/>
  <c r="J1392" i="21"/>
  <c r="S1391" i="21"/>
  <c r="R1391" i="21"/>
  <c r="O1391" i="21"/>
  <c r="J1391" i="21"/>
  <c r="R1390" i="21"/>
  <c r="O1390" i="21"/>
  <c r="J1390" i="21"/>
  <c r="R1389" i="21"/>
  <c r="O1389" i="21"/>
  <c r="J1389" i="21"/>
  <c r="R1388" i="21"/>
  <c r="O1388" i="21"/>
  <c r="J1388" i="21"/>
  <c r="R1387" i="21"/>
  <c r="O1387" i="21"/>
  <c r="J1387" i="21"/>
  <c r="R1386" i="21"/>
  <c r="O1386" i="21"/>
  <c r="J1386" i="21"/>
  <c r="R1385" i="21"/>
  <c r="O1385" i="21"/>
  <c r="J1385" i="21"/>
  <c r="R1384" i="21"/>
  <c r="O1384" i="21"/>
  <c r="J1384" i="21"/>
  <c r="R1383" i="21"/>
  <c r="O1383" i="21"/>
  <c r="J1383" i="21"/>
  <c r="R1382" i="21"/>
  <c r="O1382" i="21"/>
  <c r="J1382" i="21"/>
  <c r="R1381" i="21"/>
  <c r="O1381" i="21"/>
  <c r="J1381" i="21"/>
  <c r="R1380" i="21"/>
  <c r="O1380" i="21"/>
  <c r="J1380" i="21"/>
  <c r="R1379" i="21"/>
  <c r="O1379" i="21"/>
  <c r="J1379" i="21"/>
  <c r="R1378" i="21"/>
  <c r="O1378" i="21"/>
  <c r="J1378" i="21"/>
  <c r="R1377" i="21"/>
  <c r="O1377" i="21"/>
  <c r="J1377" i="21"/>
  <c r="R1376" i="21"/>
  <c r="O1376" i="21"/>
  <c r="J1376" i="21"/>
  <c r="R1375" i="21"/>
  <c r="O1375" i="21"/>
  <c r="J1375" i="21"/>
  <c r="R1374" i="21"/>
  <c r="O1374" i="21"/>
  <c r="J1374" i="21"/>
  <c r="R1373" i="21"/>
  <c r="O1373" i="21"/>
  <c r="J1373" i="21"/>
  <c r="R1372" i="21"/>
  <c r="O1372" i="21"/>
  <c r="J1372" i="21"/>
  <c r="R1371" i="21"/>
  <c r="O1371" i="21"/>
  <c r="J1371" i="21"/>
  <c r="R1370" i="21"/>
  <c r="O1370" i="21"/>
  <c r="J1370" i="21"/>
  <c r="R1369" i="21"/>
  <c r="O1369" i="21"/>
  <c r="J1369" i="21"/>
  <c r="R1368" i="21"/>
  <c r="O1368" i="21"/>
  <c r="J1368" i="21"/>
  <c r="R1367" i="21"/>
  <c r="P1367" i="21"/>
  <c r="O1367" i="21"/>
  <c r="J1367" i="21"/>
  <c r="R1366" i="21"/>
  <c r="O1366" i="21"/>
  <c r="J1366" i="21"/>
  <c r="R1365" i="21"/>
  <c r="O1365" i="21"/>
  <c r="J1365" i="21"/>
  <c r="R1364" i="21"/>
  <c r="O1364" i="21"/>
  <c r="J1364" i="21"/>
  <c r="R1363" i="21"/>
  <c r="O1363" i="21"/>
  <c r="J1363" i="21"/>
  <c r="R1362" i="21"/>
  <c r="O1362" i="21"/>
  <c r="J1362" i="21"/>
  <c r="R1361" i="21"/>
  <c r="O1361" i="21"/>
  <c r="J1361" i="21"/>
  <c r="R1360" i="21"/>
  <c r="O1360" i="21"/>
  <c r="J1360" i="21"/>
  <c r="S1359" i="21"/>
  <c r="R1359" i="21"/>
  <c r="O1359" i="21"/>
  <c r="J1359" i="21"/>
  <c r="R1358" i="21"/>
  <c r="O1358" i="21"/>
  <c r="J1358" i="21"/>
  <c r="R1357" i="21"/>
  <c r="O1357" i="21"/>
  <c r="J1357" i="21"/>
  <c r="R1356" i="21"/>
  <c r="O1356" i="21"/>
  <c r="J1356" i="21"/>
  <c r="R1355" i="21"/>
  <c r="O1355" i="21"/>
  <c r="J1355" i="21"/>
  <c r="R1354" i="21"/>
  <c r="O1354" i="21"/>
  <c r="J1354" i="21"/>
  <c r="R1353" i="21"/>
  <c r="O1353" i="21"/>
  <c r="J1353" i="21"/>
  <c r="R1352" i="21"/>
  <c r="O1352" i="21"/>
  <c r="J1352" i="21"/>
  <c r="R1351" i="21"/>
  <c r="O1351" i="21"/>
  <c r="J1351" i="21"/>
  <c r="R1350" i="21"/>
  <c r="O1350" i="21"/>
  <c r="J1350" i="21"/>
  <c r="R1349" i="21"/>
  <c r="O1349" i="21"/>
  <c r="J1349" i="21"/>
  <c r="R1348" i="21"/>
  <c r="O1348" i="21"/>
  <c r="J1348" i="21"/>
  <c r="R1347" i="21"/>
  <c r="O1347" i="21"/>
  <c r="J1347" i="21"/>
  <c r="R1346" i="21"/>
  <c r="O1346" i="21"/>
  <c r="J1346" i="21"/>
  <c r="R1345" i="21"/>
  <c r="O1345" i="21"/>
  <c r="J1345" i="21"/>
  <c r="R1344" i="21"/>
  <c r="O1344" i="21"/>
  <c r="J1344" i="21"/>
  <c r="R1343" i="21"/>
  <c r="O1343" i="21"/>
  <c r="J1343" i="21"/>
  <c r="R1342" i="21"/>
  <c r="O1342" i="21"/>
  <c r="J1342" i="21"/>
  <c r="R1341" i="21"/>
  <c r="O1341" i="21"/>
  <c r="J1341" i="21"/>
  <c r="R1340" i="21"/>
  <c r="O1340" i="21"/>
  <c r="J1340" i="21"/>
  <c r="R1339" i="21"/>
  <c r="O1339" i="21"/>
  <c r="J1339" i="21"/>
  <c r="R1338" i="21"/>
  <c r="O1338" i="21"/>
  <c r="J1338" i="21"/>
  <c r="R1337" i="21"/>
  <c r="O1337" i="21"/>
  <c r="J1337" i="21"/>
  <c r="R1336" i="21"/>
  <c r="O1336" i="21"/>
  <c r="J1336" i="21"/>
  <c r="R1335" i="21"/>
  <c r="P1335" i="21"/>
  <c r="O1335" i="21"/>
  <c r="J1335" i="21"/>
  <c r="R1334" i="21"/>
  <c r="O1334" i="21"/>
  <c r="J1334" i="21"/>
  <c r="R1333" i="21"/>
  <c r="O1333" i="21"/>
  <c r="J1333" i="21"/>
  <c r="R1332" i="21"/>
  <c r="O1332" i="21"/>
  <c r="J1332" i="21"/>
  <c r="R1331" i="21"/>
  <c r="O1331" i="21"/>
  <c r="J1331" i="21"/>
  <c r="R1330" i="21"/>
  <c r="O1330" i="21"/>
  <c r="J1330" i="21"/>
  <c r="R1329" i="21"/>
  <c r="O1329" i="21"/>
  <c r="J1329" i="21"/>
  <c r="R1328" i="21"/>
  <c r="O1328" i="21"/>
  <c r="J1328" i="21"/>
  <c r="S1327" i="21"/>
  <c r="R1327" i="21"/>
  <c r="O1327" i="21"/>
  <c r="J1327" i="21"/>
  <c r="R1326" i="21"/>
  <c r="O1326" i="21"/>
  <c r="J1326" i="21"/>
  <c r="R1325" i="21"/>
  <c r="O1325" i="21"/>
  <c r="J1325" i="21"/>
  <c r="R1324" i="21"/>
  <c r="O1324" i="21"/>
  <c r="J1324" i="21"/>
  <c r="R1323" i="21"/>
  <c r="O1323" i="21"/>
  <c r="J1323" i="21"/>
  <c r="R1322" i="21"/>
  <c r="O1322" i="21"/>
  <c r="J1322" i="21"/>
  <c r="R1321" i="21"/>
  <c r="O1321" i="21"/>
  <c r="J1321" i="21"/>
  <c r="R1320" i="21"/>
  <c r="O1320" i="21"/>
  <c r="J1320" i="21"/>
  <c r="R1319" i="21"/>
  <c r="O1319" i="21"/>
  <c r="J1319" i="21"/>
  <c r="R1318" i="21"/>
  <c r="O1318" i="21"/>
  <c r="J1318" i="21"/>
  <c r="R1317" i="21"/>
  <c r="O1317" i="21"/>
  <c r="J1317" i="21"/>
  <c r="R1316" i="21"/>
  <c r="O1316" i="21"/>
  <c r="J1316" i="21"/>
  <c r="R1315" i="21"/>
  <c r="O1315" i="21"/>
  <c r="J1315" i="21"/>
  <c r="R1314" i="21"/>
  <c r="O1314" i="21"/>
  <c r="J1314" i="21"/>
  <c r="R1313" i="21"/>
  <c r="O1313" i="21"/>
  <c r="J1313" i="21"/>
  <c r="R1312" i="21"/>
  <c r="O1312" i="21"/>
  <c r="J1312" i="21"/>
  <c r="R1311" i="21"/>
  <c r="O1311" i="21"/>
  <c r="J1311" i="21"/>
  <c r="R1310" i="21"/>
  <c r="O1310" i="21"/>
  <c r="J1310" i="21"/>
  <c r="R1309" i="21"/>
  <c r="O1309" i="21"/>
  <c r="J1309" i="21"/>
  <c r="R1308" i="21"/>
  <c r="O1308" i="21"/>
  <c r="J1308" i="21"/>
  <c r="R1307" i="21"/>
  <c r="O1307" i="21"/>
  <c r="J1307" i="21"/>
  <c r="R1306" i="21"/>
  <c r="O1306" i="21"/>
  <c r="J1306" i="21"/>
  <c r="R1305" i="21"/>
  <c r="O1305" i="21"/>
  <c r="J1305" i="21"/>
  <c r="R1304" i="21"/>
  <c r="O1304" i="21"/>
  <c r="J1304" i="21"/>
  <c r="R1303" i="21"/>
  <c r="O1303" i="21"/>
  <c r="J1303" i="21"/>
  <c r="R1302" i="21"/>
  <c r="O1302" i="21"/>
  <c r="J1302" i="21"/>
  <c r="R1301" i="21"/>
  <c r="O1301" i="21"/>
  <c r="J1301" i="21"/>
  <c r="R1300" i="21"/>
  <c r="O1300" i="21"/>
  <c r="J1300" i="21"/>
  <c r="R1299" i="21"/>
  <c r="O1299" i="21"/>
  <c r="J1299" i="21"/>
  <c r="R1298" i="21"/>
  <c r="O1298" i="21"/>
  <c r="J1298" i="21"/>
  <c r="R1297" i="21"/>
  <c r="O1297" i="21"/>
  <c r="J1297" i="21"/>
  <c r="R1296" i="21"/>
  <c r="O1296" i="21"/>
  <c r="J1296" i="21"/>
  <c r="R1295" i="21"/>
  <c r="O1295" i="21"/>
  <c r="J1295" i="21"/>
  <c r="R1294" i="21"/>
  <c r="O1294" i="21"/>
  <c r="J1294" i="21"/>
  <c r="R1293" i="21"/>
  <c r="O1293" i="21"/>
  <c r="J1293" i="21"/>
  <c r="R1292" i="21"/>
  <c r="O1292" i="21"/>
  <c r="J1292" i="21"/>
  <c r="R1291" i="21"/>
  <c r="O1291" i="21"/>
  <c r="J1291" i="21"/>
  <c r="R1290" i="21"/>
  <c r="O1290" i="21"/>
  <c r="J1290" i="21"/>
  <c r="R1289" i="21"/>
  <c r="O1289" i="21"/>
  <c r="J1289" i="21"/>
  <c r="R1288" i="21"/>
  <c r="O1288" i="21"/>
  <c r="J1288" i="21"/>
  <c r="R1287" i="21"/>
  <c r="O1287" i="21"/>
  <c r="J1287" i="21"/>
  <c r="R1286" i="21"/>
  <c r="O1286" i="21"/>
  <c r="J1286" i="21"/>
  <c r="R1285" i="21"/>
  <c r="O1285" i="21"/>
  <c r="J1285" i="21"/>
  <c r="R1284" i="21"/>
  <c r="O1284" i="21"/>
  <c r="J1284" i="21"/>
  <c r="R1283" i="21"/>
  <c r="O1283" i="21"/>
  <c r="J1283" i="21"/>
  <c r="R1282" i="21"/>
  <c r="O1282" i="21"/>
  <c r="J1282" i="21"/>
  <c r="R1281" i="21"/>
  <c r="O1281" i="21"/>
  <c r="J1281" i="21"/>
  <c r="R1280" i="21"/>
  <c r="O1280" i="21"/>
  <c r="J1280" i="21"/>
  <c r="R1279" i="21"/>
  <c r="O1279" i="21"/>
  <c r="J1279" i="21"/>
  <c r="R1278" i="21"/>
  <c r="O1278" i="21"/>
  <c r="J1278" i="21"/>
  <c r="R1277" i="21"/>
  <c r="O1277" i="21"/>
  <c r="J1277" i="21"/>
  <c r="R1276" i="21"/>
  <c r="O1276" i="21"/>
  <c r="J1276" i="21"/>
  <c r="R1275" i="21"/>
  <c r="O1275" i="21"/>
  <c r="J1275" i="21"/>
  <c r="R1274" i="21"/>
  <c r="O1274" i="21"/>
  <c r="J1274" i="21"/>
  <c r="R1273" i="21"/>
  <c r="O1273" i="21"/>
  <c r="J1273" i="21"/>
  <c r="R1272" i="21"/>
  <c r="O1272" i="21"/>
  <c r="J1272" i="21"/>
  <c r="R1271" i="21"/>
  <c r="O1271" i="21"/>
  <c r="J1271" i="21"/>
  <c r="R1270" i="21"/>
  <c r="O1270" i="21"/>
  <c r="J1270" i="21"/>
  <c r="R1269" i="21"/>
  <c r="O1269" i="21"/>
  <c r="J1269" i="21"/>
  <c r="R1268" i="21"/>
  <c r="O1268" i="21"/>
  <c r="J1268" i="21"/>
  <c r="R1267" i="21"/>
  <c r="O1267" i="21"/>
  <c r="J1267" i="21"/>
  <c r="R1266" i="21"/>
  <c r="O1266" i="21"/>
  <c r="J1266" i="21"/>
  <c r="R1265" i="21"/>
  <c r="O1265" i="21"/>
  <c r="J1265" i="21"/>
  <c r="R1264" i="21"/>
  <c r="O1264" i="21"/>
  <c r="J1264" i="21"/>
  <c r="R1263" i="21"/>
  <c r="O1263" i="21"/>
  <c r="J1263" i="21"/>
  <c r="R1262" i="21"/>
  <c r="O1262" i="21"/>
  <c r="J1262" i="21"/>
  <c r="R1261" i="21"/>
  <c r="O1261" i="21"/>
  <c r="J1261" i="21"/>
  <c r="R1260" i="21"/>
  <c r="O1260" i="21"/>
  <c r="J1260" i="21"/>
  <c r="R1259" i="21"/>
  <c r="O1259" i="21"/>
  <c r="J1259" i="21"/>
  <c r="R1258" i="21"/>
  <c r="O1258" i="21"/>
  <c r="J1258" i="21"/>
  <c r="R1257" i="21"/>
  <c r="O1257" i="21"/>
  <c r="J1257" i="21"/>
  <c r="R1256" i="21"/>
  <c r="O1256" i="21"/>
  <c r="J1256" i="21"/>
  <c r="R1255" i="21"/>
  <c r="O1255" i="21"/>
  <c r="J1255" i="21"/>
  <c r="R1254" i="21"/>
  <c r="O1254" i="21"/>
  <c r="J1254" i="21"/>
  <c r="R1253" i="21"/>
  <c r="O1253" i="21"/>
  <c r="J1253" i="21"/>
  <c r="R1252" i="21"/>
  <c r="O1252" i="21"/>
  <c r="J1252" i="21"/>
  <c r="R1251" i="21"/>
  <c r="O1251" i="21"/>
  <c r="J1251" i="21"/>
  <c r="R1250" i="21"/>
  <c r="O1250" i="21"/>
  <c r="J1250" i="21"/>
  <c r="R1249" i="21"/>
  <c r="O1249" i="21"/>
  <c r="J1249" i="21"/>
  <c r="R1248" i="21"/>
  <c r="O1248" i="21"/>
  <c r="J1248" i="21"/>
  <c r="R1247" i="21"/>
  <c r="O1247" i="21"/>
  <c r="J1247" i="21"/>
  <c r="R1246" i="21"/>
  <c r="O1246" i="21"/>
  <c r="J1246" i="21"/>
  <c r="R1245" i="21"/>
  <c r="O1245" i="21"/>
  <c r="J1245" i="21"/>
  <c r="R1244" i="21"/>
  <c r="O1244" i="21"/>
  <c r="J1244" i="21"/>
  <c r="R1243" i="21"/>
  <c r="O1243" i="21"/>
  <c r="J1243" i="21"/>
  <c r="R1242" i="21"/>
  <c r="O1242" i="21"/>
  <c r="J1242" i="21"/>
  <c r="R1241" i="21"/>
  <c r="O1241" i="21"/>
  <c r="J1241" i="21"/>
  <c r="R1240" i="21"/>
  <c r="O1240" i="21"/>
  <c r="J1240" i="21"/>
  <c r="R1239" i="21"/>
  <c r="O1239" i="21"/>
  <c r="J1239" i="21"/>
  <c r="R1238" i="21"/>
  <c r="O1238" i="21"/>
  <c r="J1238" i="21"/>
  <c r="R1237" i="21"/>
  <c r="O1237" i="21"/>
  <c r="J1237" i="21"/>
  <c r="R1236" i="21"/>
  <c r="O1236" i="21"/>
  <c r="J1236" i="21"/>
  <c r="R1235" i="21"/>
  <c r="O1235" i="21"/>
  <c r="J1235" i="21"/>
  <c r="R1234" i="21"/>
  <c r="O1234" i="21"/>
  <c r="J1234" i="21"/>
  <c r="R1233" i="21"/>
  <c r="O1233" i="21"/>
  <c r="J1233" i="21"/>
  <c r="R1232" i="21"/>
  <c r="O1232" i="21"/>
  <c r="J1232" i="21"/>
  <c r="R1231" i="21"/>
  <c r="O1231" i="21"/>
  <c r="J1231" i="21"/>
  <c r="R1230" i="21"/>
  <c r="O1230" i="21"/>
  <c r="J1230" i="21"/>
  <c r="R1229" i="21"/>
  <c r="O1229" i="21"/>
  <c r="J1229" i="21"/>
  <c r="R1228" i="21"/>
  <c r="O1228" i="21"/>
  <c r="J1228" i="21"/>
  <c r="R1227" i="21"/>
  <c r="O1227" i="21"/>
  <c r="J1227" i="21"/>
  <c r="R1226" i="21"/>
  <c r="O1226" i="21"/>
  <c r="J1226" i="21"/>
  <c r="R1225" i="21"/>
  <c r="O1225" i="21"/>
  <c r="J1225" i="21"/>
  <c r="R1224" i="21"/>
  <c r="O1224" i="21"/>
  <c r="J1224" i="21"/>
  <c r="R1223" i="21"/>
  <c r="O1223" i="21"/>
  <c r="J1223" i="21"/>
  <c r="R1222" i="21"/>
  <c r="O1222" i="21"/>
  <c r="J1222" i="21"/>
  <c r="R1221" i="21"/>
  <c r="O1221" i="21"/>
  <c r="J1221" i="21"/>
  <c r="R1220" i="21"/>
  <c r="O1220" i="21"/>
  <c r="J1220" i="21"/>
  <c r="R1219" i="21"/>
  <c r="O1219" i="21"/>
  <c r="J1219" i="21"/>
  <c r="R1218" i="21"/>
  <c r="O1218" i="21"/>
  <c r="J1218" i="21"/>
  <c r="R1217" i="21"/>
  <c r="O1217" i="21"/>
  <c r="J1217" i="21"/>
  <c r="R1216" i="21"/>
  <c r="O1216" i="21"/>
  <c r="J1216" i="21"/>
  <c r="R1215" i="21"/>
  <c r="O1215" i="21"/>
  <c r="J1215" i="21"/>
  <c r="R1214" i="21"/>
  <c r="O1214" i="21"/>
  <c r="J1214" i="21"/>
  <c r="R1213" i="21"/>
  <c r="O1213" i="21"/>
  <c r="J1213" i="21"/>
  <c r="R1212" i="21"/>
  <c r="O1212" i="21"/>
  <c r="J1212" i="21"/>
  <c r="R1211" i="21"/>
  <c r="O1211" i="21"/>
  <c r="J1211" i="21"/>
  <c r="R1210" i="21"/>
  <c r="O1210" i="21"/>
  <c r="J1210" i="21"/>
  <c r="R1209" i="21"/>
  <c r="O1209" i="21"/>
  <c r="J1209" i="21"/>
  <c r="R1208" i="21"/>
  <c r="O1208" i="21"/>
  <c r="J1208" i="21"/>
  <c r="S1207" i="21"/>
  <c r="R1207" i="21"/>
  <c r="O1207" i="21"/>
  <c r="J1207" i="21"/>
  <c r="R1206" i="21"/>
  <c r="O1206" i="21"/>
  <c r="J1206" i="21"/>
  <c r="R1205" i="21"/>
  <c r="O1205" i="21"/>
  <c r="J1205" i="21"/>
  <c r="R1204" i="21"/>
  <c r="O1204" i="21"/>
  <c r="J1204" i="21"/>
  <c r="R1203" i="21"/>
  <c r="O1203" i="21"/>
  <c r="J1203" i="21"/>
  <c r="R1202" i="21"/>
  <c r="O1202" i="21"/>
  <c r="J1202" i="21"/>
  <c r="R1201" i="21"/>
  <c r="O1201" i="21"/>
  <c r="J1201" i="21"/>
  <c r="R1200" i="21"/>
  <c r="O1200" i="21"/>
  <c r="J1200" i="21"/>
  <c r="R1199" i="21"/>
  <c r="O1199" i="21"/>
  <c r="J1199" i="21"/>
  <c r="R1198" i="21"/>
  <c r="O1198" i="21"/>
  <c r="J1198" i="21"/>
  <c r="R1197" i="21"/>
  <c r="O1197" i="21"/>
  <c r="J1197" i="21"/>
  <c r="R1196" i="21"/>
  <c r="O1196" i="21"/>
  <c r="J1196" i="21"/>
  <c r="R1195" i="21"/>
  <c r="O1195" i="21"/>
  <c r="J1195" i="21"/>
  <c r="R1194" i="21"/>
  <c r="O1194" i="21"/>
  <c r="J1194" i="21"/>
  <c r="R1193" i="21"/>
  <c r="O1193" i="21"/>
  <c r="J1193" i="21"/>
  <c r="R1192" i="21"/>
  <c r="O1192" i="21"/>
  <c r="J1192" i="21"/>
  <c r="R1191" i="21"/>
  <c r="O1191" i="21"/>
  <c r="J1191" i="21"/>
  <c r="R1190" i="21"/>
  <c r="O1190" i="21"/>
  <c r="J1190" i="21"/>
  <c r="R1189" i="21"/>
  <c r="O1189" i="21"/>
  <c r="J1189" i="21"/>
  <c r="R1188" i="21"/>
  <c r="O1188" i="21"/>
  <c r="J1188" i="21"/>
  <c r="R1187" i="21"/>
  <c r="O1187" i="21"/>
  <c r="J1187" i="21"/>
  <c r="R1186" i="21"/>
  <c r="O1186" i="21"/>
  <c r="J1186" i="21"/>
  <c r="R1185" i="21"/>
  <c r="O1185" i="21"/>
  <c r="J1185" i="21"/>
  <c r="R1184" i="21"/>
  <c r="O1184" i="21"/>
  <c r="J1184" i="21"/>
  <c r="S1183" i="21"/>
  <c r="R1183" i="21"/>
  <c r="O1183" i="21"/>
  <c r="J1183" i="21"/>
  <c r="R1182" i="21"/>
  <c r="O1182" i="21"/>
  <c r="J1182" i="21"/>
  <c r="R1181" i="21"/>
  <c r="O1181" i="21"/>
  <c r="J1181" i="21"/>
  <c r="R1180" i="21"/>
  <c r="O1180" i="21"/>
  <c r="J1180" i="21"/>
  <c r="R1179" i="21"/>
  <c r="O1179" i="21"/>
  <c r="J1179" i="21"/>
  <c r="R1178" i="21"/>
  <c r="O1178" i="21"/>
  <c r="J1178" i="21"/>
  <c r="R1177" i="21"/>
  <c r="O1177" i="21"/>
  <c r="J1177" i="21"/>
  <c r="R1176" i="21"/>
  <c r="O1176" i="21"/>
  <c r="J1176" i="21"/>
  <c r="R1175" i="21"/>
  <c r="O1175" i="21"/>
  <c r="J1175" i="21"/>
  <c r="R1174" i="21"/>
  <c r="O1174" i="21"/>
  <c r="J1174" i="21"/>
  <c r="R1173" i="21"/>
  <c r="O1173" i="21"/>
  <c r="J1173" i="21"/>
  <c r="R1172" i="21"/>
  <c r="O1172" i="21"/>
  <c r="J1172" i="21"/>
  <c r="R1171" i="21"/>
  <c r="O1171" i="21"/>
  <c r="J1171" i="21"/>
  <c r="R1170" i="21"/>
  <c r="O1170" i="21"/>
  <c r="J1170" i="21"/>
  <c r="R1169" i="21"/>
  <c r="O1169" i="21"/>
  <c r="J1169" i="21"/>
  <c r="R1168" i="21"/>
  <c r="O1168" i="21"/>
  <c r="J1168" i="21"/>
  <c r="R1167" i="21"/>
  <c r="P1167" i="21"/>
  <c r="O1167" i="21"/>
  <c r="J1167" i="21"/>
  <c r="R1166" i="21"/>
  <c r="O1166" i="21"/>
  <c r="J1166" i="21"/>
  <c r="R1165" i="21"/>
  <c r="O1165" i="21"/>
  <c r="J1165" i="21"/>
  <c r="R1164" i="21"/>
  <c r="O1164" i="21"/>
  <c r="J1164" i="21"/>
  <c r="R1163" i="21"/>
  <c r="O1163" i="21"/>
  <c r="J1163" i="21"/>
  <c r="R1162" i="21"/>
  <c r="O1162" i="21"/>
  <c r="J1162" i="21"/>
  <c r="R1161" i="21"/>
  <c r="O1161" i="21"/>
  <c r="J1161" i="21"/>
  <c r="R1160" i="21"/>
  <c r="O1160" i="21"/>
  <c r="J1160" i="21"/>
  <c r="S1159" i="21"/>
  <c r="R1159" i="21"/>
  <c r="O1159" i="21"/>
  <c r="J1159" i="21"/>
  <c r="R1158" i="21"/>
  <c r="O1158" i="21"/>
  <c r="J1158" i="21"/>
  <c r="R1157" i="21"/>
  <c r="O1157" i="21"/>
  <c r="J1157" i="21"/>
  <c r="R1156" i="21"/>
  <c r="O1156" i="21"/>
  <c r="J1156" i="21"/>
  <c r="R1155" i="21"/>
  <c r="O1155" i="21"/>
  <c r="J1155" i="21"/>
  <c r="R1154" i="21"/>
  <c r="O1154" i="21"/>
  <c r="J1154" i="21"/>
  <c r="R1153" i="21"/>
  <c r="O1153" i="21"/>
  <c r="J1153" i="21"/>
  <c r="R1152" i="21"/>
  <c r="O1152" i="21"/>
  <c r="J1152" i="21"/>
  <c r="R1151" i="21"/>
  <c r="O1151" i="21"/>
  <c r="J1151" i="21"/>
  <c r="R1150" i="21"/>
  <c r="O1150" i="21"/>
  <c r="J1150" i="21"/>
  <c r="R1149" i="21"/>
  <c r="O1149" i="21"/>
  <c r="J1149" i="21"/>
  <c r="R1148" i="21"/>
  <c r="O1148" i="21"/>
  <c r="J1148" i="21"/>
  <c r="R1147" i="21"/>
  <c r="O1147" i="21"/>
  <c r="J1147" i="21"/>
  <c r="R1146" i="21"/>
  <c r="O1146" i="21"/>
  <c r="J1146" i="21"/>
  <c r="R1145" i="21"/>
  <c r="O1145" i="21"/>
  <c r="J1145" i="21"/>
  <c r="R1144" i="21"/>
  <c r="O1144" i="21"/>
  <c r="J1144" i="21"/>
  <c r="R1143" i="21"/>
  <c r="O1143" i="21"/>
  <c r="J1143" i="21"/>
  <c r="R1142" i="21"/>
  <c r="O1142" i="21"/>
  <c r="J1142" i="21"/>
  <c r="R1141" i="21"/>
  <c r="O1141" i="21"/>
  <c r="J1141" i="21"/>
  <c r="R1140" i="21"/>
  <c r="O1140" i="21"/>
  <c r="J1140" i="21"/>
  <c r="R1139" i="21"/>
  <c r="O1139" i="21"/>
  <c r="J1139" i="21"/>
  <c r="R1138" i="21"/>
  <c r="O1138" i="21"/>
  <c r="J1138" i="21"/>
  <c r="R1137" i="21"/>
  <c r="O1137" i="21"/>
  <c r="J1137" i="21"/>
  <c r="R1136" i="21"/>
  <c r="O1136" i="21"/>
  <c r="J1136" i="21"/>
  <c r="R1135" i="21"/>
  <c r="O1135" i="21"/>
  <c r="J1135" i="21"/>
  <c r="R1134" i="21"/>
  <c r="O1134" i="21"/>
  <c r="J1134" i="21"/>
  <c r="R1133" i="21"/>
  <c r="O1133" i="21"/>
  <c r="J1133" i="21"/>
  <c r="R1132" i="21"/>
  <c r="O1132" i="21"/>
  <c r="J1132" i="21"/>
  <c r="R1131" i="21"/>
  <c r="O1131" i="21"/>
  <c r="J1131" i="21"/>
  <c r="R1130" i="21"/>
  <c r="O1130" i="21"/>
  <c r="J1130" i="21"/>
  <c r="R1129" i="21"/>
  <c r="O1129" i="21"/>
  <c r="J1129" i="21"/>
  <c r="R1128" i="21"/>
  <c r="O1128" i="21"/>
  <c r="J1128" i="21"/>
  <c r="R1127" i="21"/>
  <c r="O1127" i="21"/>
  <c r="J1127" i="21"/>
  <c r="R1126" i="21"/>
  <c r="O1126" i="21"/>
  <c r="J1126" i="21"/>
  <c r="R1125" i="21"/>
  <c r="O1125" i="21"/>
  <c r="J1125" i="21"/>
  <c r="R1124" i="21"/>
  <c r="O1124" i="21"/>
  <c r="J1124" i="21"/>
  <c r="R1123" i="21"/>
  <c r="O1123" i="21"/>
  <c r="J1123" i="21"/>
  <c r="R1122" i="21"/>
  <c r="O1122" i="21"/>
  <c r="J1122" i="21"/>
  <c r="R1121" i="21"/>
  <c r="O1121" i="21"/>
  <c r="J1121" i="21"/>
  <c r="R1120" i="21"/>
  <c r="O1120" i="21"/>
  <c r="J1120" i="21"/>
  <c r="R1119" i="21"/>
  <c r="O1119" i="21"/>
  <c r="J1119" i="21"/>
  <c r="R1118" i="21"/>
  <c r="O1118" i="21"/>
  <c r="J1118" i="21"/>
  <c r="R1117" i="21"/>
  <c r="O1117" i="21"/>
  <c r="J1117" i="21"/>
  <c r="R1116" i="21"/>
  <c r="O1116" i="21"/>
  <c r="J1116" i="21"/>
  <c r="R1115" i="21"/>
  <c r="O1115" i="21"/>
  <c r="J1115" i="21"/>
  <c r="R1114" i="21"/>
  <c r="O1114" i="21"/>
  <c r="J1114" i="21"/>
  <c r="R1113" i="21"/>
  <c r="O1113" i="21"/>
  <c r="J1113" i="21"/>
  <c r="R1112" i="21"/>
  <c r="O1112" i="21"/>
  <c r="J1112" i="21"/>
  <c r="R1111" i="21"/>
  <c r="O1111" i="21"/>
  <c r="J1111" i="21"/>
  <c r="R1110" i="21"/>
  <c r="O1110" i="21"/>
  <c r="J1110" i="21"/>
  <c r="R1109" i="21"/>
  <c r="O1109" i="21"/>
  <c r="J1109" i="21"/>
  <c r="R1108" i="21"/>
  <c r="O1108" i="21"/>
  <c r="J1108" i="21"/>
  <c r="R1107" i="21"/>
  <c r="O1107" i="21"/>
  <c r="J1107" i="21"/>
  <c r="R1106" i="21"/>
  <c r="O1106" i="21"/>
  <c r="J1106" i="21"/>
  <c r="R1105" i="21"/>
  <c r="O1105" i="21"/>
  <c r="J1105" i="21"/>
  <c r="R1104" i="21"/>
  <c r="O1104" i="21"/>
  <c r="J1104" i="21"/>
  <c r="R1103" i="21"/>
  <c r="O1103" i="21"/>
  <c r="J1103" i="21"/>
  <c r="R1102" i="21"/>
  <c r="O1102" i="21"/>
  <c r="J1102" i="21"/>
  <c r="R1101" i="21"/>
  <c r="O1101" i="21"/>
  <c r="J1101" i="21"/>
  <c r="R1100" i="21"/>
  <c r="O1100" i="21"/>
  <c r="J1100" i="21"/>
  <c r="R1099" i="21"/>
  <c r="O1099" i="21"/>
  <c r="J1099" i="21"/>
  <c r="R1098" i="21"/>
  <c r="O1098" i="21"/>
  <c r="J1098" i="21"/>
  <c r="R1097" i="21"/>
  <c r="O1097" i="21"/>
  <c r="J1097" i="21"/>
  <c r="R1096" i="21"/>
  <c r="O1096" i="21"/>
  <c r="J1096" i="21"/>
  <c r="R1095" i="21"/>
  <c r="P1095" i="21"/>
  <c r="O1095" i="21"/>
  <c r="J1095" i="21"/>
  <c r="R1094" i="21"/>
  <c r="O1094" i="21"/>
  <c r="J1094" i="21"/>
  <c r="R1093" i="21"/>
  <c r="O1093" i="21"/>
  <c r="J1093" i="21"/>
  <c r="R1092" i="21"/>
  <c r="O1092" i="21"/>
  <c r="J1092" i="21"/>
  <c r="R1091" i="21"/>
  <c r="O1091" i="21"/>
  <c r="J1091" i="21"/>
  <c r="R1090" i="21"/>
  <c r="O1090" i="21"/>
  <c r="J1090" i="21"/>
  <c r="R1089" i="21"/>
  <c r="O1089" i="21"/>
  <c r="J1089" i="21"/>
  <c r="R1088" i="21"/>
  <c r="O1088" i="21"/>
  <c r="J1088" i="21"/>
  <c r="R1087" i="21"/>
  <c r="O1087" i="21"/>
  <c r="J1087" i="21"/>
  <c r="R1086" i="21"/>
  <c r="O1086" i="21"/>
  <c r="J1086" i="21"/>
  <c r="R1085" i="21"/>
  <c r="O1085" i="21"/>
  <c r="J1085" i="21"/>
  <c r="R1084" i="21"/>
  <c r="O1084" i="21"/>
  <c r="J1084" i="21"/>
  <c r="R1083" i="21"/>
  <c r="O1083" i="21"/>
  <c r="J1083" i="21"/>
  <c r="R1082" i="21"/>
  <c r="O1082" i="21"/>
  <c r="J1082" i="21"/>
  <c r="R1081" i="21"/>
  <c r="O1081" i="21"/>
  <c r="J1081" i="21"/>
  <c r="R1080" i="21"/>
  <c r="O1080" i="21"/>
  <c r="J1080" i="21"/>
  <c r="R1079" i="21"/>
  <c r="O1079" i="21"/>
  <c r="J1079" i="21"/>
  <c r="R1078" i="21"/>
  <c r="O1078" i="21"/>
  <c r="J1078" i="21"/>
  <c r="R1077" i="21"/>
  <c r="O1077" i="21"/>
  <c r="J1077" i="21"/>
  <c r="R1076" i="21"/>
  <c r="O1076" i="21"/>
  <c r="J1076" i="21"/>
  <c r="R1075" i="21"/>
  <c r="O1075" i="21"/>
  <c r="J1075" i="21"/>
  <c r="R1074" i="21"/>
  <c r="O1074" i="21"/>
  <c r="J1074" i="21"/>
  <c r="R1073" i="21"/>
  <c r="O1073" i="21"/>
  <c r="J1073" i="21"/>
  <c r="R1072" i="21"/>
  <c r="O1072" i="21"/>
  <c r="J1072" i="21"/>
  <c r="R1071" i="21"/>
  <c r="P1071" i="21"/>
  <c r="O1071" i="21"/>
  <c r="J1071" i="21"/>
  <c r="R1070" i="21"/>
  <c r="O1070" i="21"/>
  <c r="J1070" i="21"/>
  <c r="R1069" i="21"/>
  <c r="O1069" i="21"/>
  <c r="J1069" i="21"/>
  <c r="R1068" i="21"/>
  <c r="O1068" i="21"/>
  <c r="J1068" i="21"/>
  <c r="R1067" i="21"/>
  <c r="O1067" i="21"/>
  <c r="J1067" i="21"/>
  <c r="R1066" i="21"/>
  <c r="O1066" i="21"/>
  <c r="J1066" i="21"/>
  <c r="R1065" i="21"/>
  <c r="O1065" i="21"/>
  <c r="J1065" i="21"/>
  <c r="R1064" i="21"/>
  <c r="O1064" i="21"/>
  <c r="J1064" i="21"/>
  <c r="R1063" i="21"/>
  <c r="O1063" i="21"/>
  <c r="J1063" i="21"/>
  <c r="R1062" i="21"/>
  <c r="O1062" i="21"/>
  <c r="J1062" i="21"/>
  <c r="R1061" i="21"/>
  <c r="O1061" i="21"/>
  <c r="J1061" i="21"/>
  <c r="R1060" i="21"/>
  <c r="O1060" i="21"/>
  <c r="J1060" i="21"/>
  <c r="R1059" i="21"/>
  <c r="O1059" i="21"/>
  <c r="J1059" i="21"/>
  <c r="R1058" i="21"/>
  <c r="O1058" i="21"/>
  <c r="J1058" i="21"/>
  <c r="R1057" i="21"/>
  <c r="O1057" i="21"/>
  <c r="J1057" i="21"/>
  <c r="R1056" i="21"/>
  <c r="O1056" i="21"/>
  <c r="J1056" i="21"/>
  <c r="R1055" i="21"/>
  <c r="O1055" i="21"/>
  <c r="J1055" i="21"/>
  <c r="R1054" i="21"/>
  <c r="O1054" i="21"/>
  <c r="J1054" i="21"/>
  <c r="R1053" i="21"/>
  <c r="O1053" i="21"/>
  <c r="J1053" i="21"/>
  <c r="R1052" i="21"/>
  <c r="O1052" i="21"/>
  <c r="J1052" i="21"/>
  <c r="R1051" i="21"/>
  <c r="O1051" i="21"/>
  <c r="J1051" i="21"/>
  <c r="R1050" i="21"/>
  <c r="O1050" i="21"/>
  <c r="J1050" i="21"/>
  <c r="R1049" i="21"/>
  <c r="O1049" i="21"/>
  <c r="J1049" i="21"/>
  <c r="R1048" i="21"/>
  <c r="O1048" i="21"/>
  <c r="J1048" i="21"/>
  <c r="R1047" i="21"/>
  <c r="O1047" i="21"/>
  <c r="J1047" i="21"/>
  <c r="R1046" i="21"/>
  <c r="O1046" i="21"/>
  <c r="J1046" i="21"/>
  <c r="R1045" i="21"/>
  <c r="O1045" i="21"/>
  <c r="J1045" i="21"/>
  <c r="R1044" i="21"/>
  <c r="O1044" i="21"/>
  <c r="J1044" i="21"/>
  <c r="R1043" i="21"/>
  <c r="O1043" i="21"/>
  <c r="J1043" i="21"/>
  <c r="R1042" i="21"/>
  <c r="O1042" i="21"/>
  <c r="J1042" i="21"/>
  <c r="R1041" i="21"/>
  <c r="O1041" i="21"/>
  <c r="J1041" i="21"/>
  <c r="R1040" i="21"/>
  <c r="O1040" i="21"/>
  <c r="J1040" i="21"/>
  <c r="R1039" i="21"/>
  <c r="O1039" i="21"/>
  <c r="J1039" i="21"/>
  <c r="R1038" i="21"/>
  <c r="O1038" i="21"/>
  <c r="J1038" i="21"/>
  <c r="R1037" i="21"/>
  <c r="O1037" i="21"/>
  <c r="J1037" i="21"/>
  <c r="R1036" i="21"/>
  <c r="O1036" i="21"/>
  <c r="J1036" i="21"/>
  <c r="R1035" i="21"/>
  <c r="O1035" i="21"/>
  <c r="J1035" i="21"/>
  <c r="R1034" i="21"/>
  <c r="O1034" i="21"/>
  <c r="J1034" i="21"/>
  <c r="R1033" i="21"/>
  <c r="O1033" i="21"/>
  <c r="J1033" i="21"/>
  <c r="R1032" i="21"/>
  <c r="O1032" i="21"/>
  <c r="J1032" i="21"/>
  <c r="R1031" i="21"/>
  <c r="O1031" i="21"/>
  <c r="J1031" i="21"/>
  <c r="R1030" i="21"/>
  <c r="O1030" i="21"/>
  <c r="J1030" i="21"/>
  <c r="R1029" i="21"/>
  <c r="O1029" i="21"/>
  <c r="J1029" i="21"/>
  <c r="R1028" i="21"/>
  <c r="O1028" i="21"/>
  <c r="J1028" i="21"/>
  <c r="R1027" i="21"/>
  <c r="O1027" i="21"/>
  <c r="J1027" i="21"/>
  <c r="R1026" i="21"/>
  <c r="O1026" i="21"/>
  <c r="J1026" i="21"/>
  <c r="R1025" i="21"/>
  <c r="O1025" i="21"/>
  <c r="J1025" i="21"/>
  <c r="R1024" i="21"/>
  <c r="O1024" i="21"/>
  <c r="J1024" i="21"/>
  <c r="R1023" i="21"/>
  <c r="O1023" i="21"/>
  <c r="J1023" i="21"/>
  <c r="R1022" i="21"/>
  <c r="O1022" i="21"/>
  <c r="J1022" i="21"/>
  <c r="R1021" i="21"/>
  <c r="O1021" i="21"/>
  <c r="J1021" i="21"/>
  <c r="R1020" i="21"/>
  <c r="O1020" i="21"/>
  <c r="J1020" i="21"/>
  <c r="R1019" i="21"/>
  <c r="O1019" i="21"/>
  <c r="J1019" i="21"/>
  <c r="R1018" i="21"/>
  <c r="O1018" i="21"/>
  <c r="J1018" i="21"/>
  <c r="R1017" i="21"/>
  <c r="O1017" i="21"/>
  <c r="J1017" i="21"/>
  <c r="R1016" i="21"/>
  <c r="O1016" i="21"/>
  <c r="J1016" i="21"/>
  <c r="R1015" i="21"/>
  <c r="O1015" i="21"/>
  <c r="J1015" i="21"/>
  <c r="R1014" i="21"/>
  <c r="O1014" i="21"/>
  <c r="J1014" i="21"/>
  <c r="R1013" i="21"/>
  <c r="O1013" i="21"/>
  <c r="J1013" i="21"/>
  <c r="R1012" i="21"/>
  <c r="O1012" i="21"/>
  <c r="J1012" i="21"/>
  <c r="R1011" i="21"/>
  <c r="O1011" i="21"/>
  <c r="J1011" i="21"/>
  <c r="R1010" i="21"/>
  <c r="O1010" i="21"/>
  <c r="J1010" i="21"/>
  <c r="R1009" i="21"/>
  <c r="O1009" i="21"/>
  <c r="J1009" i="21"/>
  <c r="R1008" i="21"/>
  <c r="O1008" i="21"/>
  <c r="J1008" i="21"/>
  <c r="R1007" i="21"/>
  <c r="P1007" i="21"/>
  <c r="O1007" i="21"/>
  <c r="J1007" i="21"/>
  <c r="R1006" i="21"/>
  <c r="O1006" i="21"/>
  <c r="J1006" i="21"/>
  <c r="R1005" i="21"/>
  <c r="O1005" i="21"/>
  <c r="J1005" i="21"/>
  <c r="R1004" i="21"/>
  <c r="O1004" i="21"/>
  <c r="J1004" i="21"/>
  <c r="R1003" i="21"/>
  <c r="O1003" i="21"/>
  <c r="J1003" i="21"/>
  <c r="R1002" i="21"/>
  <c r="O1002" i="21"/>
  <c r="J1002" i="21"/>
  <c r="R1001" i="21"/>
  <c r="O1001" i="21"/>
  <c r="J1001" i="21"/>
  <c r="R1000" i="21"/>
  <c r="O1000" i="21"/>
  <c r="J1000" i="21"/>
  <c r="S999" i="21"/>
  <c r="R999" i="21"/>
  <c r="O999" i="21"/>
  <c r="J999" i="21"/>
  <c r="R998" i="21"/>
  <c r="O998" i="21"/>
  <c r="J998" i="21"/>
  <c r="R997" i="21"/>
  <c r="O997" i="21"/>
  <c r="J997" i="21"/>
  <c r="R996" i="21"/>
  <c r="O996" i="21"/>
  <c r="J996" i="21"/>
  <c r="R995" i="21"/>
  <c r="O995" i="21"/>
  <c r="J995" i="21"/>
  <c r="R994" i="21"/>
  <c r="O994" i="21"/>
  <c r="J994" i="21"/>
  <c r="R993" i="21"/>
  <c r="O993" i="21"/>
  <c r="J993" i="21"/>
  <c r="R992" i="21"/>
  <c r="O992" i="21"/>
  <c r="J992" i="21"/>
  <c r="R991" i="21"/>
  <c r="O991" i="21"/>
  <c r="J991" i="21"/>
  <c r="R990" i="21"/>
  <c r="O990" i="21"/>
  <c r="J990" i="21"/>
  <c r="R989" i="21"/>
  <c r="O989" i="21"/>
  <c r="J989" i="21"/>
  <c r="R988" i="21"/>
  <c r="O988" i="21"/>
  <c r="J988" i="21"/>
  <c r="R987" i="21"/>
  <c r="O987" i="21"/>
  <c r="J987" i="21"/>
  <c r="R986" i="21"/>
  <c r="O986" i="21"/>
  <c r="J986" i="21"/>
  <c r="R985" i="21"/>
  <c r="O985" i="21"/>
  <c r="J985" i="21"/>
  <c r="R984" i="21"/>
  <c r="O984" i="21"/>
  <c r="J984" i="21"/>
  <c r="R983" i="21"/>
  <c r="O983" i="21"/>
  <c r="J983" i="21"/>
  <c r="R982" i="21"/>
  <c r="O982" i="21"/>
  <c r="J982" i="21"/>
  <c r="R981" i="21"/>
  <c r="O981" i="21"/>
  <c r="J981" i="21"/>
  <c r="R980" i="21"/>
  <c r="O980" i="21"/>
  <c r="J980" i="21"/>
  <c r="R979" i="21"/>
  <c r="O979" i="21"/>
  <c r="J979" i="21"/>
  <c r="R978" i="21"/>
  <c r="O978" i="21"/>
  <c r="J978" i="21"/>
  <c r="R977" i="21"/>
  <c r="O977" i="21"/>
  <c r="J977" i="21"/>
  <c r="R976" i="21"/>
  <c r="O976" i="21"/>
  <c r="J976" i="21"/>
  <c r="R975" i="21"/>
  <c r="O975" i="21"/>
  <c r="J975" i="21"/>
  <c r="R974" i="21"/>
  <c r="O974" i="21"/>
  <c r="J974" i="21"/>
  <c r="R973" i="21"/>
  <c r="O973" i="21"/>
  <c r="J973" i="21"/>
  <c r="R972" i="21"/>
  <c r="O972" i="21"/>
  <c r="J972" i="21"/>
  <c r="R971" i="21"/>
  <c r="O971" i="21"/>
  <c r="J971" i="21"/>
  <c r="R970" i="21"/>
  <c r="O970" i="21"/>
  <c r="J970" i="21"/>
  <c r="R969" i="21"/>
  <c r="O969" i="21"/>
  <c r="J969" i="21"/>
  <c r="R968" i="21"/>
  <c r="O968" i="21"/>
  <c r="J968" i="21"/>
  <c r="R967" i="21"/>
  <c r="O967" i="21"/>
  <c r="J967" i="21"/>
  <c r="R966" i="21"/>
  <c r="O966" i="21"/>
  <c r="J966" i="21"/>
  <c r="R965" i="21"/>
  <c r="O965" i="21"/>
  <c r="J965" i="21"/>
  <c r="R964" i="21"/>
  <c r="O964" i="21"/>
  <c r="J964" i="21"/>
  <c r="R963" i="21"/>
  <c r="O963" i="21"/>
  <c r="J963" i="21"/>
  <c r="R962" i="21"/>
  <c r="O962" i="21"/>
  <c r="J962" i="21"/>
  <c r="R961" i="21"/>
  <c r="O961" i="21"/>
  <c r="J961" i="21"/>
  <c r="R960" i="21"/>
  <c r="O960" i="21"/>
  <c r="J960" i="21"/>
  <c r="R959" i="21"/>
  <c r="P959" i="21"/>
  <c r="O959" i="21"/>
  <c r="J959" i="21"/>
  <c r="R958" i="21"/>
  <c r="O958" i="21"/>
  <c r="J958" i="21"/>
  <c r="R957" i="21"/>
  <c r="O957" i="21"/>
  <c r="J957" i="21"/>
  <c r="R956" i="21"/>
  <c r="O956" i="21"/>
  <c r="J956" i="21"/>
  <c r="R955" i="21"/>
  <c r="O955" i="21"/>
  <c r="J955" i="21"/>
  <c r="R954" i="21"/>
  <c r="O954" i="21"/>
  <c r="J954" i="21"/>
  <c r="R953" i="21"/>
  <c r="O953" i="21"/>
  <c r="J953" i="21"/>
  <c r="R952" i="21"/>
  <c r="O952" i="21"/>
  <c r="J952" i="21"/>
  <c r="R951" i="21"/>
  <c r="O951" i="21"/>
  <c r="J951" i="21"/>
  <c r="R950" i="21"/>
  <c r="O950" i="21"/>
  <c r="J950" i="21"/>
  <c r="R949" i="21"/>
  <c r="O949" i="21"/>
  <c r="J949" i="21"/>
  <c r="R948" i="21"/>
  <c r="O948" i="21"/>
  <c r="J948" i="21"/>
  <c r="R947" i="21"/>
  <c r="O947" i="21"/>
  <c r="J947" i="21"/>
  <c r="R946" i="21"/>
  <c r="O946" i="21"/>
  <c r="J946" i="21"/>
  <c r="R945" i="21"/>
  <c r="O945" i="21"/>
  <c r="J945" i="21"/>
  <c r="R944" i="21"/>
  <c r="O944" i="21"/>
  <c r="J944" i="21"/>
  <c r="R943" i="21"/>
  <c r="O943" i="21"/>
  <c r="J943" i="21"/>
  <c r="R942" i="21"/>
  <c r="O942" i="21"/>
  <c r="J942" i="21"/>
  <c r="R941" i="21"/>
  <c r="O941" i="21"/>
  <c r="J941" i="21"/>
  <c r="R940" i="21"/>
  <c r="O940" i="21"/>
  <c r="J940" i="21"/>
  <c r="R939" i="21"/>
  <c r="O939" i="21"/>
  <c r="J939" i="21"/>
  <c r="R938" i="21"/>
  <c r="O938" i="21"/>
  <c r="J938" i="21"/>
  <c r="R937" i="21"/>
  <c r="O937" i="21"/>
  <c r="J937" i="21"/>
  <c r="R936" i="21"/>
  <c r="O936" i="21"/>
  <c r="J936" i="21"/>
  <c r="R935" i="21"/>
  <c r="O935" i="21"/>
  <c r="J935" i="21"/>
  <c r="R934" i="21"/>
  <c r="O934" i="21"/>
  <c r="J934" i="21"/>
  <c r="R933" i="21"/>
  <c r="O933" i="21"/>
  <c r="J933" i="21"/>
  <c r="R932" i="21"/>
  <c r="O932" i="21"/>
  <c r="J932" i="21"/>
  <c r="R931" i="21"/>
  <c r="O931" i="21"/>
  <c r="J931" i="21"/>
  <c r="R930" i="21"/>
  <c r="O930" i="21"/>
  <c r="J930" i="21"/>
  <c r="R929" i="21"/>
  <c r="O929" i="21"/>
  <c r="J929" i="21"/>
  <c r="R928" i="21"/>
  <c r="O928" i="21"/>
  <c r="J928" i="21"/>
  <c r="R927" i="21"/>
  <c r="O927" i="21"/>
  <c r="J927" i="21"/>
  <c r="R926" i="21"/>
  <c r="O926" i="21"/>
  <c r="J926" i="21"/>
  <c r="R925" i="21"/>
  <c r="O925" i="21"/>
  <c r="J925" i="21"/>
  <c r="R924" i="21"/>
  <c r="O924" i="21"/>
  <c r="J924" i="21"/>
  <c r="R923" i="21"/>
  <c r="O923" i="21"/>
  <c r="J923" i="21"/>
  <c r="R922" i="21"/>
  <c r="P922" i="21"/>
  <c r="O922" i="21"/>
  <c r="J922" i="21"/>
  <c r="R921" i="21"/>
  <c r="O921" i="21"/>
  <c r="J921" i="21"/>
  <c r="R920" i="21"/>
  <c r="O920" i="21"/>
  <c r="J920" i="21"/>
  <c r="R919" i="21"/>
  <c r="O919" i="21"/>
  <c r="J919" i="21"/>
  <c r="R918" i="21"/>
  <c r="O918" i="21"/>
  <c r="J918" i="21"/>
  <c r="R917" i="21"/>
  <c r="O917" i="21"/>
  <c r="J917" i="21"/>
  <c r="R916" i="21"/>
  <c r="O916" i="21"/>
  <c r="J916" i="21"/>
  <c r="R915" i="21"/>
  <c r="O915" i="21"/>
  <c r="J915" i="21"/>
  <c r="R914" i="21"/>
  <c r="O914" i="21"/>
  <c r="J914" i="21"/>
  <c r="R913" i="21"/>
  <c r="O913" i="21"/>
  <c r="J913" i="21"/>
  <c r="R912" i="21"/>
  <c r="O912" i="21"/>
  <c r="J912" i="21"/>
  <c r="R911" i="21"/>
  <c r="O911" i="21"/>
  <c r="J911" i="21"/>
  <c r="R910" i="21"/>
  <c r="O910" i="21"/>
  <c r="J910" i="21"/>
  <c r="R909" i="21"/>
  <c r="O909" i="21"/>
  <c r="J909" i="21"/>
  <c r="R908" i="21"/>
  <c r="O908" i="21"/>
  <c r="J908" i="21"/>
  <c r="R907" i="21"/>
  <c r="O907" i="21"/>
  <c r="J907" i="21"/>
  <c r="R906" i="21"/>
  <c r="O906" i="21"/>
  <c r="J906" i="21"/>
  <c r="R905" i="21"/>
  <c r="O905" i="21"/>
  <c r="J905" i="21"/>
  <c r="R904" i="21"/>
  <c r="O904" i="21"/>
  <c r="J904" i="21"/>
  <c r="R903" i="21"/>
  <c r="O903" i="21"/>
  <c r="J903" i="21"/>
  <c r="R902" i="21"/>
  <c r="O902" i="21"/>
  <c r="J902" i="21"/>
  <c r="R901" i="21"/>
  <c r="O901" i="21"/>
  <c r="J901" i="21"/>
  <c r="R900" i="21"/>
  <c r="O900" i="21"/>
  <c r="J900" i="21"/>
  <c r="R899" i="21"/>
  <c r="O899" i="21"/>
  <c r="J899" i="21"/>
  <c r="R898" i="21"/>
  <c r="O898" i="21"/>
  <c r="J898" i="21"/>
  <c r="R897" i="21"/>
  <c r="O897" i="21"/>
  <c r="J897" i="21"/>
  <c r="R896" i="21"/>
  <c r="O896" i="21"/>
  <c r="J896" i="21"/>
  <c r="R895" i="21"/>
  <c r="O895" i="21"/>
  <c r="J895" i="21"/>
  <c r="R894" i="21"/>
  <c r="O894" i="21"/>
  <c r="J894" i="21"/>
  <c r="R893" i="21"/>
  <c r="O893" i="21"/>
  <c r="J893" i="21"/>
  <c r="R892" i="21"/>
  <c r="O892" i="21"/>
  <c r="J892" i="21"/>
  <c r="R891" i="21"/>
  <c r="O891" i="21"/>
  <c r="J891" i="21"/>
  <c r="R890" i="21"/>
  <c r="O890" i="21"/>
  <c r="J890" i="21"/>
  <c r="R889" i="21"/>
  <c r="O889" i="21"/>
  <c r="J889" i="21"/>
  <c r="R888" i="21"/>
  <c r="O888" i="21"/>
  <c r="J888" i="21"/>
  <c r="R887" i="21"/>
  <c r="O887" i="21"/>
  <c r="J887" i="21"/>
  <c r="R886" i="21"/>
  <c r="O886" i="21"/>
  <c r="J886" i="21"/>
  <c r="R885" i="21"/>
  <c r="O885" i="21"/>
  <c r="J885" i="21"/>
  <c r="R884" i="21"/>
  <c r="O884" i="21"/>
  <c r="J884" i="21"/>
  <c r="R883" i="21"/>
  <c r="O883" i="21"/>
  <c r="J883" i="21"/>
  <c r="R882" i="21"/>
  <c r="O882" i="21"/>
  <c r="J882" i="21"/>
  <c r="R881" i="21"/>
  <c r="O881" i="21"/>
  <c r="J881" i="21"/>
  <c r="R880" i="21"/>
  <c r="O880" i="21"/>
  <c r="J880" i="21"/>
  <c r="R879" i="21"/>
  <c r="O879" i="21"/>
  <c r="J879" i="21"/>
  <c r="R878" i="21"/>
  <c r="O878" i="21"/>
  <c r="J878" i="21"/>
  <c r="R877" i="21"/>
  <c r="O877" i="21"/>
  <c r="J877" i="21"/>
  <c r="R876" i="21"/>
  <c r="O876" i="21"/>
  <c r="J876" i="21"/>
  <c r="R875" i="21"/>
  <c r="O875" i="21"/>
  <c r="J875" i="21"/>
  <c r="R874" i="21"/>
  <c r="O874" i="21"/>
  <c r="J874" i="21"/>
  <c r="R873" i="21"/>
  <c r="O873" i="21"/>
  <c r="J873" i="21"/>
  <c r="R872" i="21"/>
  <c r="O872" i="21"/>
  <c r="J872" i="21"/>
  <c r="R871" i="21"/>
  <c r="O871" i="21"/>
  <c r="J871" i="21"/>
  <c r="R870" i="21"/>
  <c r="O870" i="21"/>
  <c r="J870" i="21"/>
  <c r="R869" i="21"/>
  <c r="O869" i="21"/>
  <c r="J869" i="21"/>
  <c r="R868" i="21"/>
  <c r="O868" i="21"/>
  <c r="J868" i="21"/>
  <c r="R867" i="21"/>
  <c r="O867" i="21"/>
  <c r="J867" i="21"/>
  <c r="R866" i="21"/>
  <c r="O866" i="21"/>
  <c r="J866" i="21"/>
  <c r="R865" i="21"/>
  <c r="O865" i="21"/>
  <c r="J865" i="21"/>
  <c r="R864" i="21"/>
  <c r="O864" i="21"/>
  <c r="J864" i="21"/>
  <c r="R863" i="21"/>
  <c r="O863" i="21"/>
  <c r="J863" i="21"/>
  <c r="R862" i="21"/>
  <c r="O862" i="21"/>
  <c r="J862" i="21"/>
  <c r="R861" i="21"/>
  <c r="O861" i="21"/>
  <c r="J861" i="21"/>
  <c r="R860" i="21"/>
  <c r="O860" i="21"/>
  <c r="J860" i="21"/>
  <c r="R859" i="21"/>
  <c r="O859" i="21"/>
  <c r="J859" i="21"/>
  <c r="R858" i="21"/>
  <c r="O858" i="21"/>
  <c r="J858" i="21"/>
  <c r="R857" i="21"/>
  <c r="O857" i="21"/>
  <c r="J857" i="21"/>
  <c r="R856" i="21"/>
  <c r="O856" i="21"/>
  <c r="J856" i="21"/>
  <c r="R855" i="21"/>
  <c r="O855" i="21"/>
  <c r="J855" i="21"/>
  <c r="R854" i="21"/>
  <c r="O854" i="21"/>
  <c r="J854" i="21"/>
  <c r="R853" i="21"/>
  <c r="O853" i="21"/>
  <c r="J853" i="21"/>
  <c r="R852" i="21"/>
  <c r="O852" i="21"/>
  <c r="J852" i="21"/>
  <c r="R851" i="21"/>
  <c r="O851" i="21"/>
  <c r="J851" i="21"/>
  <c r="R850" i="21"/>
  <c r="O850" i="21"/>
  <c r="J850" i="21"/>
  <c r="R849" i="21"/>
  <c r="O849" i="21"/>
  <c r="J849" i="21"/>
  <c r="R848" i="21"/>
  <c r="O848" i="21"/>
  <c r="J848" i="21"/>
  <c r="R847" i="21"/>
  <c r="O847" i="21"/>
  <c r="J847" i="21"/>
  <c r="R846" i="21"/>
  <c r="O846" i="21"/>
  <c r="J846" i="21"/>
  <c r="R845" i="21"/>
  <c r="O845" i="21"/>
  <c r="J845" i="21"/>
  <c r="R844" i="21"/>
  <c r="O844" i="21"/>
  <c r="J844" i="21"/>
  <c r="R843" i="21"/>
  <c r="O843" i="21"/>
  <c r="J843" i="21"/>
  <c r="R842" i="21"/>
  <c r="O842" i="21"/>
  <c r="J842" i="21"/>
  <c r="R841" i="21"/>
  <c r="O841" i="21"/>
  <c r="J841" i="21"/>
  <c r="U840" i="21"/>
  <c r="T840" i="21"/>
  <c r="P840" i="21"/>
  <c r="O840" i="21"/>
  <c r="R839" i="21"/>
  <c r="O839" i="21"/>
  <c r="K839" i="21"/>
  <c r="R838" i="21"/>
  <c r="O838" i="21"/>
  <c r="K838" i="21"/>
  <c r="R837" i="21"/>
  <c r="O837" i="21"/>
  <c r="K837" i="21"/>
  <c r="R836" i="21"/>
  <c r="O836" i="21"/>
  <c r="K836" i="21"/>
  <c r="R835" i="21"/>
  <c r="O835" i="21"/>
  <c r="K835" i="21"/>
  <c r="R834" i="21"/>
  <c r="O834" i="21"/>
  <c r="K834" i="21"/>
  <c r="R833" i="21"/>
  <c r="O833" i="21"/>
  <c r="K833" i="21"/>
  <c r="R832" i="21"/>
  <c r="O832" i="21"/>
  <c r="K832" i="21"/>
  <c r="R831" i="21"/>
  <c r="O831" i="21"/>
  <c r="K831" i="21"/>
  <c r="R830" i="21"/>
  <c r="O830" i="21"/>
  <c r="K830" i="21"/>
  <c r="R829" i="21"/>
  <c r="O829" i="21"/>
  <c r="K829" i="21"/>
  <c r="R828" i="21"/>
  <c r="O828" i="21"/>
  <c r="K828" i="21"/>
  <c r="R827" i="21"/>
  <c r="O827" i="21"/>
  <c r="K827" i="21"/>
  <c r="R826" i="21"/>
  <c r="O826" i="21"/>
  <c r="K826" i="21"/>
  <c r="R825" i="21"/>
  <c r="O825" i="21"/>
  <c r="K825" i="21"/>
  <c r="R824" i="21"/>
  <c r="O824" i="21"/>
  <c r="K824" i="21"/>
  <c r="R823" i="21"/>
  <c r="O823" i="21"/>
  <c r="K823" i="21"/>
  <c r="R822" i="21"/>
  <c r="O822" i="21"/>
  <c r="K822" i="21"/>
  <c r="R821" i="21"/>
  <c r="O821" i="21"/>
  <c r="K821" i="21"/>
  <c r="R820" i="21"/>
  <c r="O820" i="21"/>
  <c r="K820" i="21"/>
  <c r="R819" i="21"/>
  <c r="O819" i="21"/>
  <c r="K819" i="21"/>
  <c r="R818" i="21"/>
  <c r="O818" i="21"/>
  <c r="K818" i="21"/>
  <c r="R817" i="21"/>
  <c r="O817" i="21"/>
  <c r="K817" i="21"/>
  <c r="R816" i="21"/>
  <c r="O816" i="21"/>
  <c r="K816" i="21"/>
  <c r="R815" i="21"/>
  <c r="O815" i="21"/>
  <c r="K815" i="21"/>
  <c r="R814" i="21"/>
  <c r="O814" i="21"/>
  <c r="K814" i="21"/>
  <c r="R813" i="21"/>
  <c r="O813" i="21"/>
  <c r="K813" i="21"/>
  <c r="R812" i="21"/>
  <c r="O812" i="21"/>
  <c r="K812" i="21"/>
  <c r="R811" i="21"/>
  <c r="O811" i="21"/>
  <c r="K811" i="21"/>
  <c r="R810" i="21"/>
  <c r="O810" i="21"/>
  <c r="K810" i="21"/>
  <c r="R809" i="21"/>
  <c r="O809" i="21"/>
  <c r="K809" i="21"/>
  <c r="R808" i="21"/>
  <c r="O808" i="21"/>
  <c r="U807" i="21"/>
  <c r="T807" i="21"/>
  <c r="O807" i="21"/>
  <c r="R806" i="21"/>
  <c r="O806" i="21"/>
  <c r="I806" i="21"/>
  <c r="J806" i="21" s="1"/>
  <c r="R805" i="21"/>
  <c r="O805" i="21"/>
  <c r="I805" i="21"/>
  <c r="J805" i="21" s="1"/>
  <c r="R804" i="21"/>
  <c r="O804" i="21"/>
  <c r="J804" i="21"/>
  <c r="I804" i="21"/>
  <c r="R803" i="21"/>
  <c r="O803" i="21"/>
  <c r="I803" i="21"/>
  <c r="J803" i="21" s="1"/>
  <c r="R802" i="21"/>
  <c r="O802" i="21"/>
  <c r="I802" i="21"/>
  <c r="J802" i="21" s="1"/>
  <c r="R801" i="21"/>
  <c r="O801" i="21"/>
  <c r="I801" i="21"/>
  <c r="J801" i="21" s="1"/>
  <c r="R800" i="21"/>
  <c r="O800" i="21"/>
  <c r="I800" i="21"/>
  <c r="J800" i="21" s="1"/>
  <c r="R799" i="21"/>
  <c r="O799" i="21"/>
  <c r="I799" i="21"/>
  <c r="J799" i="21" s="1"/>
  <c r="R798" i="21"/>
  <c r="O798" i="21"/>
  <c r="I798" i="21"/>
  <c r="J798" i="21" s="1"/>
  <c r="R797" i="21"/>
  <c r="O797" i="21"/>
  <c r="J797" i="21"/>
  <c r="R796" i="21"/>
  <c r="O796" i="21"/>
  <c r="J796" i="21"/>
  <c r="R795" i="21"/>
  <c r="O795" i="21"/>
  <c r="J795" i="21"/>
  <c r="R794" i="21"/>
  <c r="J794" i="21"/>
  <c r="R793" i="21"/>
  <c r="O793" i="21"/>
  <c r="J793" i="21"/>
  <c r="R792" i="21"/>
  <c r="O792" i="21"/>
  <c r="J792" i="21"/>
  <c r="R791" i="21"/>
  <c r="O791" i="21"/>
  <c r="J791" i="21"/>
  <c r="R790" i="21"/>
  <c r="O790" i="21"/>
  <c r="J790" i="21"/>
  <c r="R789" i="21"/>
  <c r="O789" i="21"/>
  <c r="J789" i="21"/>
  <c r="U788" i="21"/>
  <c r="T788" i="21"/>
  <c r="O788" i="21"/>
  <c r="K788" i="21"/>
  <c r="H788" i="21"/>
  <c r="U787" i="21"/>
  <c r="T787" i="21"/>
  <c r="O787" i="21"/>
  <c r="K787" i="21"/>
  <c r="H787" i="21"/>
  <c r="U786" i="21"/>
  <c r="T786" i="21"/>
  <c r="O786" i="21"/>
  <c r="K786" i="21"/>
  <c r="H786" i="21"/>
  <c r="R785" i="21"/>
  <c r="O785" i="21"/>
  <c r="U784" i="21"/>
  <c r="T784" i="21"/>
  <c r="O784" i="21"/>
  <c r="K784" i="21"/>
  <c r="H784" i="21"/>
  <c r="U783" i="21"/>
  <c r="T783" i="21"/>
  <c r="O783" i="21"/>
  <c r="K783" i="21"/>
  <c r="H783" i="21"/>
  <c r="U782" i="21"/>
  <c r="T782" i="21"/>
  <c r="O782" i="21"/>
  <c r="K782" i="21"/>
  <c r="H782" i="21"/>
  <c r="R781" i="21"/>
  <c r="O781" i="21"/>
  <c r="U780" i="21"/>
  <c r="T780" i="21"/>
  <c r="P780" i="21"/>
  <c r="O780" i="21"/>
  <c r="R779" i="21"/>
  <c r="O779" i="21"/>
  <c r="K779" i="21"/>
  <c r="R778" i="21"/>
  <c r="O778" i="21"/>
  <c r="K778" i="21"/>
  <c r="R777" i="21"/>
  <c r="O777" i="21"/>
  <c r="K777" i="21"/>
  <c r="R776" i="21"/>
  <c r="O776" i="21"/>
  <c r="K776" i="21"/>
  <c r="R775" i="21"/>
  <c r="O775" i="21"/>
  <c r="K775" i="21"/>
  <c r="R774" i="21"/>
  <c r="O774" i="21"/>
  <c r="K774" i="21"/>
  <c r="R773" i="21"/>
  <c r="O773" i="21"/>
  <c r="K773" i="21"/>
  <c r="R772" i="21"/>
  <c r="O772" i="21"/>
  <c r="K772" i="21"/>
  <c r="R771" i="21"/>
  <c r="O771" i="21"/>
  <c r="K771" i="21"/>
  <c r="R770" i="21"/>
  <c r="O770" i="21"/>
  <c r="K770" i="21"/>
  <c r="R769" i="21"/>
  <c r="O769" i="21"/>
  <c r="K769" i="21"/>
  <c r="R768" i="21"/>
  <c r="O768" i="21"/>
  <c r="K768" i="21"/>
  <c r="R767" i="21"/>
  <c r="O767" i="21"/>
  <c r="K767" i="21"/>
  <c r="R766" i="21"/>
  <c r="O766" i="21"/>
  <c r="K766" i="21"/>
  <c r="R765" i="21"/>
  <c r="O765" i="21"/>
  <c r="K765" i="21"/>
  <c r="R764" i="21"/>
  <c r="O764" i="21"/>
  <c r="K764" i="21"/>
  <c r="R763" i="21"/>
  <c r="O763" i="21"/>
  <c r="K763" i="21"/>
  <c r="R762" i="21"/>
  <c r="O762" i="21"/>
  <c r="K762" i="21"/>
  <c r="R761" i="21"/>
  <c r="O761" i="21"/>
  <c r="K761" i="21"/>
  <c r="R760" i="21"/>
  <c r="O760" i="21"/>
  <c r="K760" i="21"/>
  <c r="R759" i="21"/>
  <c r="O759" i="21"/>
  <c r="K759" i="21"/>
  <c r="R758" i="21"/>
  <c r="O758" i="21"/>
  <c r="K758" i="21"/>
  <c r="R757" i="21"/>
  <c r="O757" i="21"/>
  <c r="K757" i="21"/>
  <c r="R756" i="21"/>
  <c r="O756" i="21"/>
  <c r="K756" i="21"/>
  <c r="R755" i="21"/>
  <c r="O755" i="21"/>
  <c r="K755" i="21"/>
  <c r="R754" i="21"/>
  <c r="O754" i="21"/>
  <c r="K754" i="21"/>
  <c r="R753" i="21"/>
  <c r="O753" i="21"/>
  <c r="K753" i="21"/>
  <c r="R752" i="21"/>
  <c r="P752" i="21"/>
  <c r="O752" i="21"/>
  <c r="K752" i="21"/>
  <c r="R751" i="21"/>
  <c r="O751" i="21"/>
  <c r="K751" i="21"/>
  <c r="R750" i="21"/>
  <c r="O750" i="21"/>
  <c r="K750" i="21"/>
  <c r="R749" i="21"/>
  <c r="O749" i="21"/>
  <c r="K749" i="21"/>
  <c r="R748" i="21"/>
  <c r="U747" i="21"/>
  <c r="T747" i="21"/>
  <c r="O747" i="21"/>
  <c r="R746" i="21"/>
  <c r="O746" i="21"/>
  <c r="J746" i="21"/>
  <c r="R745" i="21"/>
  <c r="O745" i="21"/>
  <c r="J745" i="21"/>
  <c r="R744" i="21"/>
  <c r="O744" i="21"/>
  <c r="J744" i="21"/>
  <c r="R743" i="21"/>
  <c r="O743" i="21"/>
  <c r="J743" i="21"/>
  <c r="R742" i="21"/>
  <c r="J742" i="21"/>
  <c r="R741" i="21"/>
  <c r="O741" i="21"/>
  <c r="J741" i="21"/>
  <c r="R740" i="21"/>
  <c r="O740" i="21"/>
  <c r="J740" i="21"/>
  <c r="R739" i="21"/>
  <c r="O739" i="21"/>
  <c r="J739" i="21"/>
  <c r="R738" i="21"/>
  <c r="O738" i="21"/>
  <c r="J738" i="21"/>
  <c r="R737" i="21"/>
  <c r="O737" i="21"/>
  <c r="J737" i="21"/>
  <c r="R736" i="21"/>
  <c r="P736" i="21"/>
  <c r="O736" i="21"/>
  <c r="J736" i="21"/>
  <c r="R735" i="21"/>
  <c r="O735" i="21"/>
  <c r="J735" i="21"/>
  <c r="R734" i="21"/>
  <c r="O734" i="21"/>
  <c r="J734" i="21"/>
  <c r="R733" i="21"/>
  <c r="O733" i="21"/>
  <c r="H733" i="21"/>
  <c r="J733" i="21" s="1"/>
  <c r="R732" i="21"/>
  <c r="O732" i="21"/>
  <c r="H732" i="21"/>
  <c r="J732" i="21" s="1"/>
  <c r="R731" i="21"/>
  <c r="O731" i="21"/>
  <c r="H731" i="21"/>
  <c r="J731" i="21" s="1"/>
  <c r="R730" i="21"/>
  <c r="O730" i="21"/>
  <c r="H730" i="21"/>
  <c r="J730" i="21" s="1"/>
  <c r="R729" i="21"/>
  <c r="O729" i="21"/>
  <c r="H729" i="21"/>
  <c r="J729" i="21" s="1"/>
  <c r="S728" i="21"/>
  <c r="R728" i="21"/>
  <c r="O728" i="21"/>
  <c r="H728" i="21"/>
  <c r="J728" i="21" s="1"/>
  <c r="R727" i="21"/>
  <c r="O727" i="21"/>
  <c r="H727" i="21"/>
  <c r="J727" i="21" s="1"/>
  <c r="R726" i="21"/>
  <c r="O726" i="21"/>
  <c r="G726" i="21"/>
  <c r="H726" i="21" s="1"/>
  <c r="J726" i="21" s="1"/>
  <c r="R725" i="21"/>
  <c r="O725" i="21"/>
  <c r="H725" i="21"/>
  <c r="J725" i="21" s="1"/>
  <c r="G725" i="21"/>
  <c r="R724" i="21"/>
  <c r="O724" i="21"/>
  <c r="G724" i="21"/>
  <c r="H724" i="21" s="1"/>
  <c r="J724" i="21" s="1"/>
  <c r="R723" i="21"/>
  <c r="O723" i="21"/>
  <c r="G723" i="21"/>
  <c r="H723" i="21" s="1"/>
  <c r="J723" i="21" s="1"/>
  <c r="R722" i="21"/>
  <c r="O722" i="21"/>
  <c r="G722" i="21"/>
  <c r="H722" i="21" s="1"/>
  <c r="J722" i="21" s="1"/>
  <c r="R721" i="21"/>
  <c r="O721" i="21"/>
  <c r="G721" i="21"/>
  <c r="H721" i="21" s="1"/>
  <c r="J721" i="21" s="1"/>
  <c r="S720" i="21"/>
  <c r="R720" i="21"/>
  <c r="P720" i="21"/>
  <c r="O720" i="21"/>
  <c r="H720" i="21"/>
  <c r="J720" i="21" s="1"/>
  <c r="R719" i="21"/>
  <c r="O719" i="21"/>
  <c r="H719" i="21"/>
  <c r="J719" i="21" s="1"/>
  <c r="R718" i="21"/>
  <c r="O718" i="21"/>
  <c r="H718" i="21"/>
  <c r="J718" i="21" s="1"/>
  <c r="R717" i="21"/>
  <c r="O717" i="21"/>
  <c r="H717" i="21"/>
  <c r="J717" i="21" s="1"/>
  <c r="R716" i="21"/>
  <c r="O716" i="21"/>
  <c r="H716" i="21"/>
  <c r="J716" i="21" s="1"/>
  <c r="M715" i="21"/>
  <c r="N715" i="21" s="1"/>
  <c r="P715" i="21" s="1"/>
  <c r="H715" i="21"/>
  <c r="U714" i="21"/>
  <c r="T714" i="21"/>
  <c r="O714" i="21"/>
  <c r="G714" i="21"/>
  <c r="H714" i="21" s="1"/>
  <c r="U713" i="21"/>
  <c r="T713" i="21"/>
  <c r="O713" i="21"/>
  <c r="H713" i="21"/>
  <c r="U712" i="21"/>
  <c r="T712" i="21"/>
  <c r="O712" i="21"/>
  <c r="H712" i="21"/>
  <c r="U711" i="21"/>
  <c r="T711" i="21"/>
  <c r="P711" i="21"/>
  <c r="O711" i="21"/>
  <c r="H711" i="21"/>
  <c r="R710" i="21"/>
  <c r="R715" i="21" s="1"/>
  <c r="O710" i="21"/>
  <c r="M709" i="21"/>
  <c r="N709" i="21" s="1"/>
  <c r="P709" i="21" s="1"/>
  <c r="H709" i="21"/>
  <c r="U708" i="21"/>
  <c r="T708" i="21"/>
  <c r="O708" i="21"/>
  <c r="G708" i="21"/>
  <c r="H708" i="21" s="1"/>
  <c r="U707" i="21"/>
  <c r="T707" i="21"/>
  <c r="O707" i="21"/>
  <c r="H707" i="21"/>
  <c r="U706" i="21"/>
  <c r="T706" i="21"/>
  <c r="O706" i="21"/>
  <c r="H706" i="21"/>
  <c r="U705" i="21"/>
  <c r="T705" i="21"/>
  <c r="O705" i="21"/>
  <c r="H705" i="21"/>
  <c r="R704" i="21"/>
  <c r="O704" i="21"/>
  <c r="M703" i="21"/>
  <c r="N703" i="21" s="1"/>
  <c r="P703" i="21" s="1"/>
  <c r="H703" i="21"/>
  <c r="U702" i="21"/>
  <c r="T702" i="21"/>
  <c r="O702" i="21"/>
  <c r="G702" i="21"/>
  <c r="H702" i="21" s="1"/>
  <c r="U701" i="21"/>
  <c r="T701" i="21"/>
  <c r="P701" i="21"/>
  <c r="O701" i="21"/>
  <c r="H701" i="21"/>
  <c r="U700" i="21"/>
  <c r="T700" i="21"/>
  <c r="O700" i="21"/>
  <c r="H700" i="21"/>
  <c r="U699" i="21"/>
  <c r="T699" i="21"/>
  <c r="O699" i="21"/>
  <c r="H699" i="21"/>
  <c r="J699" i="21" s="1"/>
  <c r="R698" i="21"/>
  <c r="R703" i="21" s="1"/>
  <c r="O698" i="21"/>
  <c r="M697" i="21"/>
  <c r="N697" i="21" s="1"/>
  <c r="S697" i="21" s="1"/>
  <c r="H697" i="21"/>
  <c r="U696" i="21"/>
  <c r="T696" i="21"/>
  <c r="O696" i="21"/>
  <c r="H696" i="21"/>
  <c r="U695" i="21"/>
  <c r="T695" i="21"/>
  <c r="O695" i="21"/>
  <c r="H695" i="21"/>
  <c r="U694" i="21"/>
  <c r="T694" i="21"/>
  <c r="O694" i="21"/>
  <c r="H694" i="21"/>
  <c r="U693" i="21"/>
  <c r="T693" i="21"/>
  <c r="O693" i="21"/>
  <c r="H693" i="21"/>
  <c r="J693" i="21" s="1"/>
  <c r="S692" i="21"/>
  <c r="R692" i="21"/>
  <c r="O692" i="21"/>
  <c r="M691" i="21"/>
  <c r="N691" i="21" s="1"/>
  <c r="P691" i="21" s="1"/>
  <c r="H691" i="21"/>
  <c r="U690" i="21"/>
  <c r="T690" i="21"/>
  <c r="O690" i="21"/>
  <c r="G690" i="21"/>
  <c r="H690" i="21" s="1"/>
  <c r="U689" i="21"/>
  <c r="T689" i="21"/>
  <c r="O689" i="21"/>
  <c r="H689" i="21"/>
  <c r="U688" i="21"/>
  <c r="T688" i="21"/>
  <c r="O688" i="21"/>
  <c r="H688" i="21"/>
  <c r="U687" i="21"/>
  <c r="T687" i="21"/>
  <c r="O687" i="21"/>
  <c r="H687" i="21"/>
  <c r="R686" i="21"/>
  <c r="O686" i="21"/>
  <c r="M685" i="21"/>
  <c r="N685" i="21" s="1"/>
  <c r="P685" i="21" s="1"/>
  <c r="H685" i="21"/>
  <c r="U684" i="21"/>
  <c r="T684" i="21"/>
  <c r="O684" i="21"/>
  <c r="G684" i="21"/>
  <c r="H684" i="21" s="1"/>
  <c r="U683" i="21"/>
  <c r="T683" i="21"/>
  <c r="O683" i="21"/>
  <c r="H683" i="21"/>
  <c r="U682" i="21"/>
  <c r="T682" i="21"/>
  <c r="P682" i="21"/>
  <c r="O682" i="21"/>
  <c r="H682" i="21"/>
  <c r="J682" i="21" s="1"/>
  <c r="U681" i="21"/>
  <c r="T681" i="21"/>
  <c r="O681" i="21"/>
  <c r="H681" i="21"/>
  <c r="R680" i="21"/>
  <c r="O680" i="21"/>
  <c r="M679" i="21"/>
  <c r="N679" i="21" s="1"/>
  <c r="P679" i="21" s="1"/>
  <c r="H679" i="21"/>
  <c r="U678" i="21"/>
  <c r="T678" i="21"/>
  <c r="O678" i="21"/>
  <c r="G678" i="21"/>
  <c r="H678" i="21" s="1"/>
  <c r="U677" i="21"/>
  <c r="T677" i="21"/>
  <c r="O677" i="21"/>
  <c r="H677" i="21"/>
  <c r="U676" i="21"/>
  <c r="T676" i="21"/>
  <c r="O676" i="21"/>
  <c r="H676" i="21"/>
  <c r="J676" i="21" s="1"/>
  <c r="U675" i="21"/>
  <c r="T675" i="21"/>
  <c r="O675" i="21"/>
  <c r="H675" i="21"/>
  <c r="R674" i="21"/>
  <c r="O674" i="21"/>
  <c r="M673" i="21"/>
  <c r="N673" i="21" s="1"/>
  <c r="S673" i="21" s="1"/>
  <c r="H673" i="21"/>
  <c r="U672" i="21"/>
  <c r="T672" i="21"/>
  <c r="P672" i="21"/>
  <c r="O672" i="21"/>
  <c r="G672" i="21"/>
  <c r="H672" i="21" s="1"/>
  <c r="U671" i="21"/>
  <c r="T671" i="21"/>
  <c r="O671" i="21"/>
  <c r="H671" i="21"/>
  <c r="U670" i="21"/>
  <c r="T670" i="21"/>
  <c r="O670" i="21"/>
  <c r="H670" i="21"/>
  <c r="J670" i="21" s="1"/>
  <c r="U669" i="21"/>
  <c r="T669" i="21"/>
  <c r="O669" i="21"/>
  <c r="H669" i="21"/>
  <c r="R668" i="21"/>
  <c r="R673" i="21" s="1"/>
  <c r="O668" i="21"/>
  <c r="M667" i="21"/>
  <c r="N667" i="21" s="1"/>
  <c r="P667" i="21" s="1"/>
  <c r="H667" i="21"/>
  <c r="U666" i="21"/>
  <c r="T666" i="21"/>
  <c r="O666" i="21"/>
  <c r="G666" i="21"/>
  <c r="H666" i="21" s="1"/>
  <c r="U665" i="21"/>
  <c r="T665" i="21"/>
  <c r="O665" i="21"/>
  <c r="H665" i="21"/>
  <c r="U664" i="21"/>
  <c r="T664" i="21"/>
  <c r="O664" i="21"/>
  <c r="H664" i="21"/>
  <c r="J664" i="21" s="1"/>
  <c r="U663" i="21"/>
  <c r="T663" i="21"/>
  <c r="O663" i="21"/>
  <c r="H663" i="21"/>
  <c r="R662" i="21"/>
  <c r="O662" i="21"/>
  <c r="M661" i="21"/>
  <c r="N661" i="21" s="1"/>
  <c r="S661" i="21" s="1"/>
  <c r="H661" i="21"/>
  <c r="U660" i="21"/>
  <c r="T660" i="21"/>
  <c r="O660" i="21"/>
  <c r="G660" i="21"/>
  <c r="H660" i="21" s="1"/>
  <c r="U659" i="21"/>
  <c r="T659" i="21"/>
  <c r="O659" i="21"/>
  <c r="H659" i="21"/>
  <c r="U658" i="21"/>
  <c r="T658" i="21"/>
  <c r="O658" i="21"/>
  <c r="H658" i="21"/>
  <c r="J658" i="21" s="1"/>
  <c r="U657" i="21"/>
  <c r="T657" i="21"/>
  <c r="O657" i="21"/>
  <c r="H657" i="21"/>
  <c r="J657" i="21" s="1"/>
  <c r="R656" i="21"/>
  <c r="O656" i="21"/>
  <c r="M655" i="21"/>
  <c r="N655" i="21" s="1"/>
  <c r="S655" i="21" s="1"/>
  <c r="H655" i="21"/>
  <c r="U654" i="21"/>
  <c r="T654" i="21"/>
  <c r="O654" i="21"/>
  <c r="G654" i="21"/>
  <c r="H654" i="21" s="1"/>
  <c r="U653" i="21"/>
  <c r="T653" i="21"/>
  <c r="P653" i="21"/>
  <c r="O653" i="21"/>
  <c r="H653" i="21"/>
  <c r="U652" i="21"/>
  <c r="T652" i="21"/>
  <c r="O652" i="21"/>
  <c r="H652" i="21"/>
  <c r="J652" i="21" s="1"/>
  <c r="U651" i="21"/>
  <c r="T651" i="21"/>
  <c r="O651" i="21"/>
  <c r="H651" i="21"/>
  <c r="J651" i="21" s="1"/>
  <c r="R650" i="21"/>
  <c r="O650" i="21"/>
  <c r="M649" i="21"/>
  <c r="N649" i="21" s="1"/>
  <c r="H649" i="21"/>
  <c r="U648" i="21"/>
  <c r="T648" i="21"/>
  <c r="O648" i="21"/>
  <c r="G648" i="21"/>
  <c r="H648" i="21" s="1"/>
  <c r="U647" i="21"/>
  <c r="T647" i="21"/>
  <c r="O647" i="21"/>
  <c r="H647" i="21"/>
  <c r="U646" i="21"/>
  <c r="T646" i="21"/>
  <c r="O646" i="21"/>
  <c r="H646" i="21"/>
  <c r="J646" i="21" s="1"/>
  <c r="U645" i="21"/>
  <c r="T645" i="21"/>
  <c r="O645" i="21"/>
  <c r="H645" i="21"/>
  <c r="R644" i="21"/>
  <c r="R649" i="21" s="1"/>
  <c r="P644" i="21"/>
  <c r="O644" i="21"/>
  <c r="M643" i="21"/>
  <c r="N643" i="21" s="1"/>
  <c r="S643" i="21" s="1"/>
  <c r="H643" i="21"/>
  <c r="U642" i="21"/>
  <c r="T642" i="21"/>
  <c r="O642" i="21"/>
  <c r="H642" i="21"/>
  <c r="H641" i="21" s="1"/>
  <c r="J641" i="21" s="1"/>
  <c r="R641" i="21"/>
  <c r="R643" i="21" s="1"/>
  <c r="O641" i="21"/>
  <c r="M640" i="21"/>
  <c r="N640" i="21" s="1"/>
  <c r="S640" i="21" s="1"/>
  <c r="H640" i="21"/>
  <c r="R639" i="21"/>
  <c r="R640" i="21" s="1"/>
  <c r="O639" i="21"/>
  <c r="J639" i="21"/>
  <c r="M638" i="21"/>
  <c r="N638" i="21" s="1"/>
  <c r="P638" i="21" s="1"/>
  <c r="H638" i="21"/>
  <c r="R637" i="21"/>
  <c r="R638" i="21" s="1"/>
  <c r="O637" i="21"/>
  <c r="J637" i="21"/>
  <c r="M636" i="21"/>
  <c r="N636" i="21" s="1"/>
  <c r="S636" i="21" s="1"/>
  <c r="H636" i="21"/>
  <c r="R635" i="21"/>
  <c r="R636" i="21" s="1"/>
  <c r="O635" i="21"/>
  <c r="J635" i="21"/>
  <c r="M634" i="21"/>
  <c r="N634" i="21" s="1"/>
  <c r="S634" i="21" s="1"/>
  <c r="H634" i="21"/>
  <c r="R633" i="21"/>
  <c r="R634" i="21" s="1"/>
  <c r="O633" i="21"/>
  <c r="J633" i="21"/>
  <c r="R632" i="21"/>
  <c r="O632" i="21"/>
  <c r="H632" i="21"/>
  <c r="J632" i="21" s="1"/>
  <c r="S631" i="21"/>
  <c r="R631" i="21"/>
  <c r="P631" i="21"/>
  <c r="O631" i="21"/>
  <c r="H631" i="21"/>
  <c r="J631" i="21" s="1"/>
  <c r="R630" i="21"/>
  <c r="O630" i="21"/>
  <c r="H630" i="21"/>
  <c r="J630" i="21" s="1"/>
  <c r="R629" i="21"/>
  <c r="O629" i="21"/>
  <c r="H629" i="21"/>
  <c r="J629" i="21" s="1"/>
  <c r="R628" i="21"/>
  <c r="O628" i="21"/>
  <c r="H628" i="21"/>
  <c r="J628" i="21" s="1"/>
  <c r="R627" i="21"/>
  <c r="O627" i="21"/>
  <c r="H627" i="21"/>
  <c r="J627" i="21" s="1"/>
  <c r="R626" i="21"/>
  <c r="O626" i="21"/>
  <c r="H626" i="21"/>
  <c r="J626" i="21" s="1"/>
  <c r="R625" i="21"/>
  <c r="O625" i="21"/>
  <c r="H625" i="21"/>
  <c r="J625" i="21" s="1"/>
  <c r="R624" i="21"/>
  <c r="O624" i="21"/>
  <c r="G624" i="21"/>
  <c r="H624" i="21" s="1"/>
  <c r="J624" i="21" s="1"/>
  <c r="S623" i="21"/>
  <c r="R623" i="21"/>
  <c r="P623" i="21"/>
  <c r="O623" i="21"/>
  <c r="G623" i="21"/>
  <c r="H623" i="21" s="1"/>
  <c r="J623" i="21" s="1"/>
  <c r="R622" i="21"/>
  <c r="O622" i="21"/>
  <c r="H622" i="21"/>
  <c r="J622" i="21" s="1"/>
  <c r="R621" i="21"/>
  <c r="O621" i="21"/>
  <c r="H621" i="21"/>
  <c r="J621" i="21" s="1"/>
  <c r="U620" i="21"/>
  <c r="T620" i="21"/>
  <c r="O620" i="21"/>
  <c r="G620" i="21"/>
  <c r="H620" i="21" s="1"/>
  <c r="U619" i="21"/>
  <c r="T619" i="21"/>
  <c r="O619" i="21"/>
  <c r="G619" i="21"/>
  <c r="H619" i="21" s="1"/>
  <c r="U618" i="21"/>
  <c r="T618" i="21"/>
  <c r="O618" i="21"/>
  <c r="G618" i="21"/>
  <c r="H618" i="21" s="1"/>
  <c r="R617" i="21"/>
  <c r="O617" i="21"/>
  <c r="U616" i="21"/>
  <c r="T616" i="21"/>
  <c r="O616" i="21"/>
  <c r="K616" i="21"/>
  <c r="J616" i="21"/>
  <c r="G616" i="21"/>
  <c r="H616" i="21" s="1"/>
  <c r="U615" i="21"/>
  <c r="T615" i="21"/>
  <c r="P615" i="21"/>
  <c r="O615" i="21"/>
  <c r="K615" i="21"/>
  <c r="J615" i="21"/>
  <c r="G615" i="21"/>
  <c r="H615" i="21" s="1"/>
  <c r="U614" i="21"/>
  <c r="T614" i="21"/>
  <c r="O614" i="21"/>
  <c r="K614" i="21"/>
  <c r="J614" i="21"/>
  <c r="G614" i="21"/>
  <c r="H614" i="21" s="1"/>
  <c r="R613" i="21"/>
  <c r="O613" i="21"/>
  <c r="U612" i="21"/>
  <c r="T612" i="21"/>
  <c r="O612" i="21"/>
  <c r="K612" i="21"/>
  <c r="J612" i="21"/>
  <c r="G612" i="21"/>
  <c r="H612" i="21" s="1"/>
  <c r="U611" i="21"/>
  <c r="T611" i="21"/>
  <c r="O611" i="21"/>
  <c r="K611" i="21"/>
  <c r="J611" i="21"/>
  <c r="G611" i="21"/>
  <c r="H611" i="21" s="1"/>
  <c r="U610" i="21"/>
  <c r="T610" i="21"/>
  <c r="O610" i="21"/>
  <c r="K610" i="21"/>
  <c r="J610" i="21"/>
  <c r="H610" i="21"/>
  <c r="G610" i="21"/>
  <c r="R609" i="21"/>
  <c r="O609" i="21"/>
  <c r="U608" i="21"/>
  <c r="T608" i="21"/>
  <c r="O608" i="21"/>
  <c r="K608" i="21"/>
  <c r="J608" i="21"/>
  <c r="G608" i="21"/>
  <c r="H608" i="21" s="1"/>
  <c r="U607" i="21"/>
  <c r="T607" i="21"/>
  <c r="O607" i="21"/>
  <c r="K607" i="21"/>
  <c r="J607" i="21"/>
  <c r="G607" i="21"/>
  <c r="H607" i="21" s="1"/>
  <c r="U606" i="21"/>
  <c r="T606" i="21"/>
  <c r="O606" i="21"/>
  <c r="K606" i="21"/>
  <c r="J606" i="21"/>
  <c r="G606" i="21"/>
  <c r="H606" i="21" s="1"/>
  <c r="R605" i="21"/>
  <c r="R604" i="21"/>
  <c r="O604" i="21"/>
  <c r="H604" i="21"/>
  <c r="J604" i="21" s="1"/>
  <c r="R603" i="21"/>
  <c r="O603" i="21"/>
  <c r="H603" i="21"/>
  <c r="J603" i="21" s="1"/>
  <c r="R602" i="21"/>
  <c r="O602" i="21"/>
  <c r="H602" i="21"/>
  <c r="J602" i="21" s="1"/>
  <c r="R601" i="21"/>
  <c r="O601" i="21"/>
  <c r="H601" i="21"/>
  <c r="J601" i="21" s="1"/>
  <c r="R600" i="21"/>
  <c r="O600" i="21"/>
  <c r="H600" i="21"/>
  <c r="J600" i="21" s="1"/>
  <c r="R599" i="21"/>
  <c r="O599" i="21"/>
  <c r="G599" i="21"/>
  <c r="H599" i="21" s="1"/>
  <c r="J599" i="21" s="1"/>
  <c r="R598" i="21"/>
  <c r="O598" i="21"/>
  <c r="H598" i="21"/>
  <c r="J598" i="21" s="1"/>
  <c r="R597" i="21"/>
  <c r="O597" i="21"/>
  <c r="H597" i="21"/>
  <c r="J597" i="21" s="1"/>
  <c r="U596" i="21"/>
  <c r="T596" i="21"/>
  <c r="O596" i="21"/>
  <c r="H596" i="21"/>
  <c r="U595" i="21"/>
  <c r="T595" i="21"/>
  <c r="O595" i="21"/>
  <c r="H595" i="21"/>
  <c r="U594" i="21"/>
  <c r="T594" i="21"/>
  <c r="O594" i="21"/>
  <c r="H594" i="21"/>
  <c r="R593" i="21"/>
  <c r="O593" i="21"/>
  <c r="R592" i="21"/>
  <c r="H592" i="21"/>
  <c r="J592" i="21" s="1"/>
  <c r="R591" i="21"/>
  <c r="O591" i="21"/>
  <c r="H591" i="21"/>
  <c r="J591" i="21" s="1"/>
  <c r="R590" i="21"/>
  <c r="H590" i="21"/>
  <c r="J590" i="21" s="1"/>
  <c r="R589" i="21"/>
  <c r="O589" i="21"/>
  <c r="H589" i="21"/>
  <c r="J589" i="21" s="1"/>
  <c r="R588" i="21"/>
  <c r="O588" i="21"/>
  <c r="H588" i="21"/>
  <c r="J588" i="21" s="1"/>
  <c r="R587" i="21"/>
  <c r="O587" i="21"/>
  <c r="H587" i="21"/>
  <c r="J587" i="21" s="1"/>
  <c r="G587" i="21"/>
  <c r="R586" i="21"/>
  <c r="O586" i="21"/>
  <c r="G586" i="21"/>
  <c r="H586" i="21" s="1"/>
  <c r="J586" i="21" s="1"/>
  <c r="R585" i="21"/>
  <c r="O585" i="21"/>
  <c r="G585" i="21"/>
  <c r="H585" i="21" s="1"/>
  <c r="J585" i="21" s="1"/>
  <c r="R584" i="21"/>
  <c r="O584" i="21"/>
  <c r="G584" i="21"/>
  <c r="H584" i="21" s="1"/>
  <c r="J584" i="21" s="1"/>
  <c r="U583" i="21"/>
  <c r="T583" i="21"/>
  <c r="P583" i="21"/>
  <c r="O583" i="21"/>
  <c r="R582" i="21"/>
  <c r="P582" i="21"/>
  <c r="O582" i="21"/>
  <c r="K582" i="21"/>
  <c r="R581" i="21"/>
  <c r="O581" i="21"/>
  <c r="K581" i="21"/>
  <c r="R580" i="21"/>
  <c r="O580" i="21"/>
  <c r="K580" i="21"/>
  <c r="R579" i="21"/>
  <c r="O579" i="21"/>
  <c r="K579" i="21"/>
  <c r="R578" i="21"/>
  <c r="O578" i="21"/>
  <c r="K578" i="21"/>
  <c r="R577" i="21"/>
  <c r="O577" i="21"/>
  <c r="K577" i="21"/>
  <c r="R576" i="21"/>
  <c r="O576" i="21"/>
  <c r="K576" i="21"/>
  <c r="R575" i="21"/>
  <c r="O575" i="21"/>
  <c r="K575" i="21"/>
  <c r="S574" i="21"/>
  <c r="R574" i="21"/>
  <c r="O574" i="21"/>
  <c r="K574" i="21"/>
  <c r="R573" i="21"/>
  <c r="O573" i="21"/>
  <c r="K573" i="21"/>
  <c r="R572" i="21"/>
  <c r="O572" i="21"/>
  <c r="K572" i="21"/>
  <c r="R571" i="21"/>
  <c r="O571" i="21"/>
  <c r="K571" i="21"/>
  <c r="R570" i="21"/>
  <c r="O570" i="21"/>
  <c r="K570" i="21"/>
  <c r="R569" i="21"/>
  <c r="O569" i="21"/>
  <c r="K569" i="21"/>
  <c r="R568" i="21"/>
  <c r="O568" i="21"/>
  <c r="K568" i="21"/>
  <c r="R567" i="21"/>
  <c r="O567" i="21"/>
  <c r="K567" i="21"/>
  <c r="R566" i="21"/>
  <c r="P566" i="21"/>
  <c r="O566" i="21"/>
  <c r="K566" i="21"/>
  <c r="R565" i="21"/>
  <c r="O565" i="21"/>
  <c r="K565" i="21"/>
  <c r="R564" i="21"/>
  <c r="O564" i="21"/>
  <c r="K564" i="21"/>
  <c r="R563" i="21"/>
  <c r="O563" i="21"/>
  <c r="K563" i="21"/>
  <c r="R562" i="21"/>
  <c r="O562" i="21"/>
  <c r="K562" i="21"/>
  <c r="R561" i="21"/>
  <c r="O561" i="21"/>
  <c r="K561" i="21"/>
  <c r="R560" i="21"/>
  <c r="O560" i="21"/>
  <c r="K560" i="21"/>
  <c r="R559" i="21"/>
  <c r="O559" i="21"/>
  <c r="K559" i="21"/>
  <c r="S558" i="21"/>
  <c r="R558" i="21"/>
  <c r="O558" i="21"/>
  <c r="K558" i="21"/>
  <c r="U557" i="21"/>
  <c r="T557" i="21"/>
  <c r="O557" i="21"/>
  <c r="R556" i="21"/>
  <c r="O556" i="21"/>
  <c r="H556" i="21"/>
  <c r="J556" i="21" s="1"/>
  <c r="U555" i="21"/>
  <c r="T555" i="21"/>
  <c r="O555" i="21"/>
  <c r="G555" i="21"/>
  <c r="H555" i="21" s="1"/>
  <c r="U554" i="21"/>
  <c r="T554" i="21"/>
  <c r="O554" i="21"/>
  <c r="G554" i="21"/>
  <c r="H554" i="21" s="1"/>
  <c r="U553" i="21"/>
  <c r="T553" i="21"/>
  <c r="O553" i="21"/>
  <c r="H553" i="21"/>
  <c r="G553" i="21"/>
  <c r="R552" i="21"/>
  <c r="O552" i="21"/>
  <c r="R551" i="21"/>
  <c r="O551" i="21"/>
  <c r="H551" i="21"/>
  <c r="J551" i="21" s="1"/>
  <c r="U550" i="21"/>
  <c r="T550" i="21"/>
  <c r="O550" i="21"/>
  <c r="G550" i="21"/>
  <c r="H550" i="21" s="1"/>
  <c r="U549" i="21"/>
  <c r="T549" i="21"/>
  <c r="O549" i="21"/>
  <c r="G549" i="21"/>
  <c r="H549" i="21" s="1"/>
  <c r="U548" i="21"/>
  <c r="T548" i="21"/>
  <c r="O548" i="21"/>
  <c r="G548" i="21"/>
  <c r="H548" i="21" s="1"/>
  <c r="R547" i="21"/>
  <c r="O547" i="21"/>
  <c r="R546" i="21"/>
  <c r="O546" i="21"/>
  <c r="H546" i="21"/>
  <c r="J546" i="21" s="1"/>
  <c r="U545" i="21"/>
  <c r="T545" i="21"/>
  <c r="O545" i="21"/>
  <c r="G545" i="21"/>
  <c r="H545" i="21" s="1"/>
  <c r="U544" i="21"/>
  <c r="T544" i="21"/>
  <c r="O544" i="21"/>
  <c r="G544" i="21"/>
  <c r="H544" i="21" s="1"/>
  <c r="U543" i="21"/>
  <c r="T543" i="21"/>
  <c r="O543" i="21"/>
  <c r="G543" i="21"/>
  <c r="H543" i="21" s="1"/>
  <c r="R542" i="21"/>
  <c r="O542" i="21"/>
  <c r="R541" i="21"/>
  <c r="O541" i="21"/>
  <c r="H541" i="21"/>
  <c r="J541" i="21" s="1"/>
  <c r="U540" i="21"/>
  <c r="T540" i="21"/>
  <c r="O540" i="21"/>
  <c r="H540" i="21"/>
  <c r="G540" i="21"/>
  <c r="U539" i="21"/>
  <c r="T539" i="21"/>
  <c r="O539" i="21"/>
  <c r="G539" i="21"/>
  <c r="H539" i="21" s="1"/>
  <c r="U538" i="21"/>
  <c r="T538" i="21"/>
  <c r="O538" i="21"/>
  <c r="H538" i="21"/>
  <c r="G538" i="21"/>
  <c r="R537" i="21"/>
  <c r="O537" i="21"/>
  <c r="R536" i="21"/>
  <c r="O536" i="21"/>
  <c r="G536" i="21"/>
  <c r="H536" i="21" s="1"/>
  <c r="J536" i="21" s="1"/>
  <c r="U535" i="21"/>
  <c r="T535" i="21"/>
  <c r="O535" i="21"/>
  <c r="G535" i="21"/>
  <c r="H535" i="21" s="1"/>
  <c r="U534" i="21"/>
  <c r="T534" i="21"/>
  <c r="O534" i="21"/>
  <c r="G534" i="21"/>
  <c r="H534" i="21" s="1"/>
  <c r="U533" i="21"/>
  <c r="T533" i="21"/>
  <c r="O533" i="21"/>
  <c r="G533" i="21"/>
  <c r="H533" i="21" s="1"/>
  <c r="R532" i="21"/>
  <c r="O532" i="21"/>
  <c r="R531" i="21"/>
  <c r="O531" i="21"/>
  <c r="H531" i="21"/>
  <c r="J531" i="21" s="1"/>
  <c r="R530" i="21"/>
  <c r="O530" i="21"/>
  <c r="J530" i="21"/>
  <c r="R529" i="21"/>
  <c r="O529" i="21"/>
  <c r="J529" i="21"/>
  <c r="U528" i="21"/>
  <c r="T528" i="21"/>
  <c r="P528" i="21"/>
  <c r="O528" i="21"/>
  <c r="R527" i="21"/>
  <c r="O527" i="21"/>
  <c r="K527" i="21"/>
  <c r="R526" i="21"/>
  <c r="O526" i="21"/>
  <c r="K526" i="21"/>
  <c r="R525" i="21"/>
  <c r="O525" i="21"/>
  <c r="K525" i="21"/>
  <c r="R524" i="21"/>
  <c r="O524" i="21"/>
  <c r="K524" i="21"/>
  <c r="R523" i="21"/>
  <c r="O523" i="21"/>
  <c r="K523" i="21"/>
  <c r="R522" i="21"/>
  <c r="O522" i="21"/>
  <c r="K522" i="21"/>
  <c r="R521" i="21"/>
  <c r="O521" i="21"/>
  <c r="K521" i="21"/>
  <c r="R520" i="21"/>
  <c r="O520" i="21"/>
  <c r="K520" i="21"/>
  <c r="R519" i="21"/>
  <c r="O519" i="21"/>
  <c r="K519" i="21"/>
  <c r="R518" i="21"/>
  <c r="O518" i="21"/>
  <c r="K518" i="21"/>
  <c r="R517" i="21"/>
  <c r="O517" i="21"/>
  <c r="K517" i="21"/>
  <c r="R516" i="21"/>
  <c r="O516" i="21"/>
  <c r="K516" i="21"/>
  <c r="R515" i="21"/>
  <c r="O515" i="21"/>
  <c r="K515" i="21"/>
  <c r="R514" i="21"/>
  <c r="O514" i="21"/>
  <c r="K514" i="21"/>
  <c r="R513" i="21"/>
  <c r="O513" i="21"/>
  <c r="K513" i="21"/>
  <c r="R512" i="21"/>
  <c r="O512" i="21"/>
  <c r="K512" i="21"/>
  <c r="R511" i="21"/>
  <c r="O511" i="21"/>
  <c r="K511" i="21"/>
  <c r="R510" i="21"/>
  <c r="O510" i="21"/>
  <c r="K510" i="21"/>
  <c r="R509" i="21"/>
  <c r="O509" i="21"/>
  <c r="K509" i="21"/>
  <c r="R508" i="21"/>
  <c r="O508" i="21"/>
  <c r="K508" i="21"/>
  <c r="R507" i="21"/>
  <c r="O507" i="21"/>
  <c r="K507" i="21"/>
  <c r="R506" i="21"/>
  <c r="O506" i="21"/>
  <c r="K506" i="21"/>
  <c r="R505" i="21"/>
  <c r="O505" i="21"/>
  <c r="K505" i="21"/>
  <c r="S504" i="21"/>
  <c r="R504" i="21"/>
  <c r="O504" i="21"/>
  <c r="K504" i="21"/>
  <c r="R503" i="21"/>
  <c r="O503" i="21"/>
  <c r="K503" i="21"/>
  <c r="U502" i="21"/>
  <c r="T502" i="21"/>
  <c r="O502" i="21"/>
  <c r="R501" i="21"/>
  <c r="O501" i="21"/>
  <c r="H501" i="21"/>
  <c r="J501" i="21" s="1"/>
  <c r="R500" i="21"/>
  <c r="O500" i="21"/>
  <c r="H500" i="21"/>
  <c r="J500" i="21" s="1"/>
  <c r="R499" i="21"/>
  <c r="O499" i="21"/>
  <c r="H499" i="21"/>
  <c r="J499" i="21" s="1"/>
  <c r="R498" i="21"/>
  <c r="O498" i="21"/>
  <c r="H498" i="21"/>
  <c r="J498" i="21" s="1"/>
  <c r="R497" i="21"/>
  <c r="O497" i="21"/>
  <c r="H497" i="21"/>
  <c r="J497" i="21" s="1"/>
  <c r="R496" i="21"/>
  <c r="O496" i="21"/>
  <c r="H496" i="21"/>
  <c r="J496" i="21" s="1"/>
  <c r="R495" i="21"/>
  <c r="O495" i="21"/>
  <c r="H495" i="21"/>
  <c r="J495" i="21" s="1"/>
  <c r="R494" i="21"/>
  <c r="O494" i="21"/>
  <c r="H494" i="21"/>
  <c r="J494" i="21" s="1"/>
  <c r="R493" i="21"/>
  <c r="O493" i="21"/>
  <c r="H493" i="21"/>
  <c r="J493" i="21" s="1"/>
  <c r="R492" i="21"/>
  <c r="O492" i="21"/>
  <c r="H492" i="21"/>
  <c r="J492" i="21" s="1"/>
  <c r="R491" i="21"/>
  <c r="O491" i="21"/>
  <c r="H491" i="21"/>
  <c r="J491" i="21" s="1"/>
  <c r="R490" i="21"/>
  <c r="O490" i="21"/>
  <c r="G490" i="21"/>
  <c r="H490" i="21" s="1"/>
  <c r="J490" i="21" s="1"/>
  <c r="R489" i="21"/>
  <c r="O489" i="21"/>
  <c r="G489" i="21"/>
  <c r="H489" i="21" s="1"/>
  <c r="J489" i="21" s="1"/>
  <c r="R488" i="21"/>
  <c r="O488" i="21"/>
  <c r="H488" i="21"/>
  <c r="J488" i="21" s="1"/>
  <c r="G488" i="21"/>
  <c r="R487" i="21"/>
  <c r="O487" i="21"/>
  <c r="G487" i="21"/>
  <c r="H487" i="21" s="1"/>
  <c r="J487" i="21" s="1"/>
  <c r="R486" i="21"/>
  <c r="O486" i="21"/>
  <c r="G486" i="21"/>
  <c r="H486" i="21" s="1"/>
  <c r="J486" i="21" s="1"/>
  <c r="R485" i="21"/>
  <c r="O485" i="21"/>
  <c r="G485" i="21"/>
  <c r="H485" i="21" s="1"/>
  <c r="J485" i="21" s="1"/>
  <c r="R484" i="21"/>
  <c r="O484" i="21"/>
  <c r="G484" i="21"/>
  <c r="H484" i="21" s="1"/>
  <c r="J484" i="21" s="1"/>
  <c r="R483" i="21"/>
  <c r="O483" i="21"/>
  <c r="G483" i="21"/>
  <c r="H483" i="21" s="1"/>
  <c r="J483" i="21" s="1"/>
  <c r="R482" i="21"/>
  <c r="O482" i="21"/>
  <c r="G482" i="21"/>
  <c r="H482" i="21" s="1"/>
  <c r="J482" i="21" s="1"/>
  <c r="U481" i="21"/>
  <c r="T481" i="21"/>
  <c r="O481" i="21"/>
  <c r="G481" i="21"/>
  <c r="H481" i="21" s="1"/>
  <c r="U480" i="21"/>
  <c r="T480" i="21"/>
  <c r="O480" i="21"/>
  <c r="H480" i="21"/>
  <c r="U479" i="21"/>
  <c r="T479" i="21"/>
  <c r="O479" i="21"/>
  <c r="H479" i="21"/>
  <c r="U478" i="21"/>
  <c r="T478" i="21"/>
  <c r="O478" i="21"/>
  <c r="H478" i="21"/>
  <c r="R477" i="21"/>
  <c r="O477" i="21"/>
  <c r="U476" i="21"/>
  <c r="T476" i="21"/>
  <c r="O476" i="21"/>
  <c r="G476" i="21"/>
  <c r="H476" i="21" s="1"/>
  <c r="U475" i="21"/>
  <c r="T475" i="21"/>
  <c r="O475" i="21"/>
  <c r="H475" i="21"/>
  <c r="U474" i="21"/>
  <c r="T474" i="21"/>
  <c r="O474" i="21"/>
  <c r="H474" i="21"/>
  <c r="U473" i="21"/>
  <c r="T473" i="21"/>
  <c r="O473" i="21"/>
  <c r="H473" i="21"/>
  <c r="R472" i="21"/>
  <c r="O472" i="21"/>
  <c r="R471" i="21"/>
  <c r="O471" i="21"/>
  <c r="H471" i="21"/>
  <c r="J471" i="21" s="1"/>
  <c r="R470" i="21"/>
  <c r="O470" i="21"/>
  <c r="H470" i="21"/>
  <c r="J470" i="21" s="1"/>
  <c r="R469" i="21"/>
  <c r="O469" i="21"/>
  <c r="H469" i="21"/>
  <c r="J469" i="21" s="1"/>
  <c r="R468" i="21"/>
  <c r="O468" i="21"/>
  <c r="H468" i="21"/>
  <c r="J468" i="21" s="1"/>
  <c r="R467" i="21"/>
  <c r="O467" i="21"/>
  <c r="H467" i="21"/>
  <c r="J467" i="21" s="1"/>
  <c r="R466" i="21"/>
  <c r="O466" i="21"/>
  <c r="H466" i="21"/>
  <c r="J466" i="21" s="1"/>
  <c r="R465" i="21"/>
  <c r="O465" i="21"/>
  <c r="H465" i="21"/>
  <c r="J465" i="21" s="1"/>
  <c r="R464" i="21"/>
  <c r="O464" i="21"/>
  <c r="H464" i="21"/>
  <c r="J464" i="21" s="1"/>
  <c r="R463" i="21"/>
  <c r="O463" i="21"/>
  <c r="H463" i="21"/>
  <c r="J463" i="21" s="1"/>
  <c r="R462" i="21"/>
  <c r="O462" i="21"/>
  <c r="H462" i="21"/>
  <c r="J462" i="21" s="1"/>
  <c r="R461" i="21"/>
  <c r="O461" i="21"/>
  <c r="H461" i="21"/>
  <c r="J461" i="21" s="1"/>
  <c r="R460" i="21"/>
  <c r="O460" i="21"/>
  <c r="H460" i="21"/>
  <c r="J460" i="21" s="1"/>
  <c r="R459" i="21"/>
  <c r="O459" i="21"/>
  <c r="H459" i="21"/>
  <c r="J459" i="21" s="1"/>
  <c r="R458" i="21"/>
  <c r="O458" i="21"/>
  <c r="H458" i="21"/>
  <c r="J458" i="21" s="1"/>
  <c r="U457" i="21"/>
  <c r="T457" i="21"/>
  <c r="O457" i="21"/>
  <c r="G457" i="21"/>
  <c r="H457" i="21" s="1"/>
  <c r="U456" i="21"/>
  <c r="T456" i="21"/>
  <c r="O456" i="21"/>
  <c r="H456" i="21"/>
  <c r="U455" i="21"/>
  <c r="T455" i="21"/>
  <c r="O455" i="21"/>
  <c r="H455" i="21"/>
  <c r="U454" i="21"/>
  <c r="T454" i="21"/>
  <c r="O454" i="21"/>
  <c r="H454" i="21"/>
  <c r="R453" i="21"/>
  <c r="O453" i="21"/>
  <c r="U452" i="21"/>
  <c r="T452" i="21"/>
  <c r="O452" i="21"/>
  <c r="G452" i="21"/>
  <c r="H452" i="21" s="1"/>
  <c r="U451" i="21"/>
  <c r="T451" i="21"/>
  <c r="O451" i="21"/>
  <c r="H451" i="21"/>
  <c r="U450" i="21"/>
  <c r="T450" i="21"/>
  <c r="O450" i="21"/>
  <c r="H450" i="21"/>
  <c r="U449" i="21"/>
  <c r="T449" i="21"/>
  <c r="O449" i="21"/>
  <c r="H449" i="21"/>
  <c r="R448" i="21"/>
  <c r="O448" i="21"/>
  <c r="U447" i="21"/>
  <c r="T447" i="21"/>
  <c r="O447" i="21"/>
  <c r="G447" i="21"/>
  <c r="H447" i="21" s="1"/>
  <c r="U446" i="21"/>
  <c r="T446" i="21"/>
  <c r="O446" i="21"/>
  <c r="H446" i="21"/>
  <c r="U445" i="21"/>
  <c r="T445" i="21"/>
  <c r="O445" i="21"/>
  <c r="H445" i="21"/>
  <c r="U444" i="21"/>
  <c r="T444" i="21"/>
  <c r="O444" i="21"/>
  <c r="H444" i="21"/>
  <c r="R443" i="21"/>
  <c r="O443" i="21"/>
  <c r="M442" i="21"/>
  <c r="N442" i="21" s="1"/>
  <c r="P442" i="21" s="1"/>
  <c r="H442" i="21"/>
  <c r="U441" i="21"/>
  <c r="T441" i="21"/>
  <c r="O441" i="21"/>
  <c r="G441" i="21"/>
  <c r="H441" i="21" s="1"/>
  <c r="U440" i="21"/>
  <c r="T440" i="21"/>
  <c r="O440" i="21"/>
  <c r="H440" i="21"/>
  <c r="U439" i="21"/>
  <c r="T439" i="21"/>
  <c r="O439" i="21"/>
  <c r="H439" i="21"/>
  <c r="U438" i="21"/>
  <c r="T438" i="21"/>
  <c r="O438" i="21"/>
  <c r="H438" i="21"/>
  <c r="R437" i="21"/>
  <c r="R442" i="21" s="1"/>
  <c r="O437" i="21"/>
  <c r="M436" i="21"/>
  <c r="N436" i="21" s="1"/>
  <c r="P436" i="21" s="1"/>
  <c r="H436" i="21"/>
  <c r="U435" i="21"/>
  <c r="T435" i="21"/>
  <c r="P435" i="21"/>
  <c r="O435" i="21"/>
  <c r="G435" i="21"/>
  <c r="H435" i="21" s="1"/>
  <c r="U434" i="21"/>
  <c r="T434" i="21"/>
  <c r="O434" i="21"/>
  <c r="H434" i="21"/>
  <c r="U433" i="21"/>
  <c r="T433" i="21"/>
  <c r="O433" i="21"/>
  <c r="H433" i="21"/>
  <c r="U432" i="21"/>
  <c r="T432" i="21"/>
  <c r="O432" i="21"/>
  <c r="H432" i="21"/>
  <c r="R431" i="21"/>
  <c r="R436" i="21" s="1"/>
  <c r="O431" i="21"/>
  <c r="M430" i="21"/>
  <c r="N430" i="21" s="1"/>
  <c r="S430" i="21" s="1"/>
  <c r="H430" i="21"/>
  <c r="U429" i="21"/>
  <c r="T429" i="21"/>
  <c r="O429" i="21"/>
  <c r="G429" i="21"/>
  <c r="H429" i="21" s="1"/>
  <c r="U428" i="21"/>
  <c r="T428" i="21"/>
  <c r="O428" i="21"/>
  <c r="H428" i="21"/>
  <c r="U427" i="21"/>
  <c r="T427" i="21"/>
  <c r="O427" i="21"/>
  <c r="H427" i="21"/>
  <c r="U426" i="21"/>
  <c r="T426" i="21"/>
  <c r="O426" i="21"/>
  <c r="H426" i="21"/>
  <c r="R425" i="21"/>
  <c r="O425" i="21"/>
  <c r="M424" i="21"/>
  <c r="N424" i="21" s="1"/>
  <c r="S424" i="21" s="1"/>
  <c r="H424" i="21"/>
  <c r="U423" i="21"/>
  <c r="T423" i="21"/>
  <c r="O423" i="21"/>
  <c r="G423" i="21"/>
  <c r="H423" i="21" s="1"/>
  <c r="U422" i="21"/>
  <c r="T422" i="21"/>
  <c r="O422" i="21"/>
  <c r="H422" i="21"/>
  <c r="U421" i="21"/>
  <c r="T421" i="21"/>
  <c r="O421" i="21"/>
  <c r="H421" i="21"/>
  <c r="U420" i="21"/>
  <c r="T420" i="21"/>
  <c r="O420" i="21"/>
  <c r="H420" i="21"/>
  <c r="R419" i="21"/>
  <c r="R424" i="21" s="1"/>
  <c r="O419" i="21"/>
  <c r="M418" i="21"/>
  <c r="N418" i="21" s="1"/>
  <c r="S418" i="21" s="1"/>
  <c r="H418" i="21"/>
  <c r="U417" i="21"/>
  <c r="T417" i="21"/>
  <c r="O417" i="21"/>
  <c r="G417" i="21"/>
  <c r="H417" i="21" s="1"/>
  <c r="U416" i="21"/>
  <c r="T416" i="21"/>
  <c r="O416" i="21"/>
  <c r="H416" i="21"/>
  <c r="U415" i="21"/>
  <c r="T415" i="21"/>
  <c r="O415" i="21"/>
  <c r="H415" i="21"/>
  <c r="U414" i="21"/>
  <c r="T414" i="21"/>
  <c r="O414" i="21"/>
  <c r="H414" i="21"/>
  <c r="R413" i="21"/>
  <c r="O413" i="21"/>
  <c r="M412" i="21"/>
  <c r="N412" i="21" s="1"/>
  <c r="P412" i="21" s="1"/>
  <c r="H412" i="21"/>
  <c r="U411" i="21"/>
  <c r="T411" i="21"/>
  <c r="O411" i="21"/>
  <c r="G411" i="21"/>
  <c r="H411" i="21" s="1"/>
  <c r="U410" i="21"/>
  <c r="T410" i="21"/>
  <c r="O410" i="21"/>
  <c r="H410" i="21"/>
  <c r="U409" i="21"/>
  <c r="T409" i="21"/>
  <c r="O409" i="21"/>
  <c r="H409" i="21"/>
  <c r="U408" i="21"/>
  <c r="T408" i="21"/>
  <c r="O408" i="21"/>
  <c r="H408" i="21"/>
  <c r="R407" i="21"/>
  <c r="R412" i="21" s="1"/>
  <c r="P407" i="21"/>
  <c r="O407" i="21"/>
  <c r="M406" i="21"/>
  <c r="N406" i="21" s="1"/>
  <c r="S406" i="21" s="1"/>
  <c r="H406" i="21"/>
  <c r="U405" i="21"/>
  <c r="T405" i="21"/>
  <c r="O405" i="21"/>
  <c r="G405" i="21"/>
  <c r="H405" i="21" s="1"/>
  <c r="U404" i="21"/>
  <c r="T404" i="21"/>
  <c r="O404" i="21"/>
  <c r="H404" i="21"/>
  <c r="U403" i="21"/>
  <c r="T403" i="21"/>
  <c r="O403" i="21"/>
  <c r="H403" i="21"/>
  <c r="U402" i="21"/>
  <c r="T402" i="21"/>
  <c r="O402" i="21"/>
  <c r="H402" i="21"/>
  <c r="R401" i="21"/>
  <c r="O401" i="21"/>
  <c r="M400" i="21"/>
  <c r="H400" i="21"/>
  <c r="U399" i="21"/>
  <c r="T399" i="21"/>
  <c r="O399" i="21"/>
  <c r="G399" i="21"/>
  <c r="H399" i="21" s="1"/>
  <c r="U398" i="21"/>
  <c r="T398" i="21"/>
  <c r="O398" i="21"/>
  <c r="H398" i="21"/>
  <c r="U397" i="21"/>
  <c r="T397" i="21"/>
  <c r="O397" i="21"/>
  <c r="H397" i="21"/>
  <c r="U396" i="21"/>
  <c r="T396" i="21"/>
  <c r="O396" i="21"/>
  <c r="H396" i="21"/>
  <c r="R395" i="21"/>
  <c r="M394" i="21"/>
  <c r="H394" i="21"/>
  <c r="U393" i="21"/>
  <c r="T393" i="21"/>
  <c r="O393" i="21"/>
  <c r="G393" i="21"/>
  <c r="H393" i="21" s="1"/>
  <c r="U392" i="21"/>
  <c r="T392" i="21"/>
  <c r="O392" i="21"/>
  <c r="H392" i="21"/>
  <c r="U391" i="21"/>
  <c r="T391" i="21"/>
  <c r="O391" i="21"/>
  <c r="H391" i="21"/>
  <c r="U390" i="21"/>
  <c r="T390" i="21"/>
  <c r="O390" i="21"/>
  <c r="H390" i="21"/>
  <c r="R389" i="21"/>
  <c r="M388" i="21"/>
  <c r="N388" i="21" s="1"/>
  <c r="P388" i="21" s="1"/>
  <c r="H388" i="21"/>
  <c r="U387" i="21"/>
  <c r="T387" i="21"/>
  <c r="O387" i="21"/>
  <c r="G387" i="21"/>
  <c r="H387" i="21" s="1"/>
  <c r="U386" i="21"/>
  <c r="T386" i="21"/>
  <c r="O386" i="21"/>
  <c r="H386" i="21"/>
  <c r="U385" i="21"/>
  <c r="T385" i="21"/>
  <c r="O385" i="21"/>
  <c r="H385" i="21"/>
  <c r="J385" i="21" s="1"/>
  <c r="U384" i="21"/>
  <c r="T384" i="21"/>
  <c r="O384" i="21"/>
  <c r="H384" i="21"/>
  <c r="R383" i="21"/>
  <c r="R388" i="21" s="1"/>
  <c r="O383" i="21"/>
  <c r="M382" i="21"/>
  <c r="N382" i="21" s="1"/>
  <c r="P382" i="21" s="1"/>
  <c r="H382" i="21"/>
  <c r="U381" i="21"/>
  <c r="T381" i="21"/>
  <c r="O381" i="21"/>
  <c r="G381" i="21"/>
  <c r="H381" i="21" s="1"/>
  <c r="U380" i="21"/>
  <c r="T380" i="21"/>
  <c r="O380" i="21"/>
  <c r="H380" i="21"/>
  <c r="U379" i="21"/>
  <c r="T379" i="21"/>
  <c r="O379" i="21"/>
  <c r="H379" i="21"/>
  <c r="J379" i="21" s="1"/>
  <c r="U378" i="21"/>
  <c r="T378" i="21"/>
  <c r="O378" i="21"/>
  <c r="H378" i="21"/>
  <c r="R377" i="21"/>
  <c r="R382" i="21" s="1"/>
  <c r="O377" i="21"/>
  <c r="M376" i="21"/>
  <c r="N376" i="21" s="1"/>
  <c r="S376" i="21" s="1"/>
  <c r="H376" i="21"/>
  <c r="U375" i="21"/>
  <c r="T375" i="21"/>
  <c r="O375" i="21"/>
  <c r="G375" i="21"/>
  <c r="H375" i="21" s="1"/>
  <c r="U374" i="21"/>
  <c r="T374" i="21"/>
  <c r="O374" i="21"/>
  <c r="H374" i="21"/>
  <c r="U373" i="21"/>
  <c r="T373" i="21"/>
  <c r="O373" i="21"/>
  <c r="H373" i="21"/>
  <c r="U372" i="21"/>
  <c r="T372" i="21"/>
  <c r="O372" i="21"/>
  <c r="H372" i="21"/>
  <c r="R371" i="21"/>
  <c r="R376" i="21" s="1"/>
  <c r="O371" i="21"/>
  <c r="M370" i="21"/>
  <c r="N370" i="21" s="1"/>
  <c r="S370" i="21" s="1"/>
  <c r="H370" i="21"/>
  <c r="U369" i="21"/>
  <c r="T369" i="21"/>
  <c r="O369" i="21"/>
  <c r="G369" i="21"/>
  <c r="H369" i="21" s="1"/>
  <c r="U368" i="21"/>
  <c r="T368" i="21"/>
  <c r="O368" i="21"/>
  <c r="H368" i="21"/>
  <c r="U367" i="21"/>
  <c r="T367" i="21"/>
  <c r="O367" i="21"/>
  <c r="H367" i="21"/>
  <c r="U366" i="21"/>
  <c r="T366" i="21"/>
  <c r="O366" i="21"/>
  <c r="H366" i="21"/>
  <c r="R365" i="21"/>
  <c r="O365" i="21"/>
  <c r="M364" i="21"/>
  <c r="N364" i="21" s="1"/>
  <c r="S364" i="21" s="1"/>
  <c r="H364" i="21"/>
  <c r="U363" i="21"/>
  <c r="T363" i="21"/>
  <c r="O363" i="21"/>
  <c r="G363" i="21"/>
  <c r="H363" i="21" s="1"/>
  <c r="U362" i="21"/>
  <c r="T362" i="21"/>
  <c r="O362" i="21"/>
  <c r="H362" i="21"/>
  <c r="U361" i="21"/>
  <c r="T361" i="21"/>
  <c r="O361" i="21"/>
  <c r="H361" i="21"/>
  <c r="U360" i="21"/>
  <c r="T360" i="21"/>
  <c r="O360" i="21"/>
  <c r="H360" i="21"/>
  <c r="R359" i="21"/>
  <c r="O359" i="21"/>
  <c r="M358" i="21"/>
  <c r="N358" i="21" s="1"/>
  <c r="P358" i="21" s="1"/>
  <c r="H358" i="21"/>
  <c r="U357" i="21"/>
  <c r="T357" i="21"/>
  <c r="O357" i="21"/>
  <c r="H357" i="21"/>
  <c r="U356" i="21"/>
  <c r="T356" i="21"/>
  <c r="O356" i="21"/>
  <c r="H356" i="21"/>
  <c r="U355" i="21"/>
  <c r="T355" i="21"/>
  <c r="O355" i="21"/>
  <c r="H355" i="21"/>
  <c r="U354" i="21"/>
  <c r="T354" i="21"/>
  <c r="O354" i="21"/>
  <c r="H354" i="21"/>
  <c r="J354" i="21" s="1"/>
  <c r="R353" i="21"/>
  <c r="R358" i="21" s="1"/>
  <c r="P353" i="21"/>
  <c r="O353" i="21"/>
  <c r="M352" i="21"/>
  <c r="N352" i="21" s="1"/>
  <c r="S352" i="21" s="1"/>
  <c r="H352" i="21"/>
  <c r="U351" i="21"/>
  <c r="T351" i="21"/>
  <c r="O351" i="21"/>
  <c r="G351" i="21"/>
  <c r="H351" i="21" s="1"/>
  <c r="U350" i="21"/>
  <c r="T350" i="21"/>
  <c r="O350" i="21"/>
  <c r="H350" i="21"/>
  <c r="U349" i="21"/>
  <c r="T349" i="21"/>
  <c r="O349" i="21"/>
  <c r="H349" i="21"/>
  <c r="U348" i="21"/>
  <c r="T348" i="21"/>
  <c r="O348" i="21"/>
  <c r="H348" i="21"/>
  <c r="R347" i="21"/>
  <c r="O347" i="21"/>
  <c r="M346" i="21"/>
  <c r="N346" i="21" s="1"/>
  <c r="P346" i="21" s="1"/>
  <c r="H346" i="21"/>
  <c r="U345" i="21"/>
  <c r="T345" i="21"/>
  <c r="O345" i="21"/>
  <c r="G345" i="21"/>
  <c r="H345" i="21" s="1"/>
  <c r="U344" i="21"/>
  <c r="T344" i="21"/>
  <c r="O344" i="21"/>
  <c r="H344" i="21"/>
  <c r="U343" i="21"/>
  <c r="T343" i="21"/>
  <c r="O343" i="21"/>
  <c r="H343" i="21"/>
  <c r="J343" i="21" s="1"/>
  <c r="U342" i="21"/>
  <c r="T342" i="21"/>
  <c r="O342" i="21"/>
  <c r="H342" i="21"/>
  <c r="R341" i="21"/>
  <c r="O341" i="21"/>
  <c r="M340" i="21"/>
  <c r="N340" i="21" s="1"/>
  <c r="S340" i="21" s="1"/>
  <c r="H340" i="21"/>
  <c r="U339" i="21"/>
  <c r="T339" i="21"/>
  <c r="O339" i="21"/>
  <c r="G339" i="21"/>
  <c r="H339" i="21" s="1"/>
  <c r="U338" i="21"/>
  <c r="T338" i="21"/>
  <c r="O338" i="21"/>
  <c r="H338" i="21"/>
  <c r="U337" i="21"/>
  <c r="T337" i="21"/>
  <c r="O337" i="21"/>
  <c r="H337" i="21"/>
  <c r="J337" i="21" s="1"/>
  <c r="U336" i="21"/>
  <c r="T336" i="21"/>
  <c r="O336" i="21"/>
  <c r="H336" i="21"/>
  <c r="R335" i="21"/>
  <c r="R340" i="21" s="1"/>
  <c r="O335" i="21"/>
  <c r="M334" i="21"/>
  <c r="N334" i="21" s="1"/>
  <c r="S334" i="21" s="1"/>
  <c r="H334" i="21"/>
  <c r="U333" i="21"/>
  <c r="T333" i="21"/>
  <c r="O333" i="21"/>
  <c r="G333" i="21"/>
  <c r="H333" i="21" s="1"/>
  <c r="U332" i="21"/>
  <c r="T332" i="21"/>
  <c r="O332" i="21"/>
  <c r="H332" i="21"/>
  <c r="U331" i="21"/>
  <c r="T331" i="21"/>
  <c r="O331" i="21"/>
  <c r="H331" i="21"/>
  <c r="J331" i="21" s="1"/>
  <c r="U330" i="21"/>
  <c r="T330" i="21"/>
  <c r="O330" i="21"/>
  <c r="H330" i="21"/>
  <c r="R329" i="21"/>
  <c r="O329" i="21"/>
  <c r="M328" i="21"/>
  <c r="N328" i="21" s="1"/>
  <c r="S328" i="21" s="1"/>
  <c r="H328" i="21"/>
  <c r="U327" i="21"/>
  <c r="T327" i="21"/>
  <c r="O327" i="21"/>
  <c r="G327" i="21"/>
  <c r="H327" i="21" s="1"/>
  <c r="U326" i="21"/>
  <c r="T326" i="21"/>
  <c r="O326" i="21"/>
  <c r="H326" i="21"/>
  <c r="U325" i="21"/>
  <c r="T325" i="21"/>
  <c r="O325" i="21"/>
  <c r="H325" i="21"/>
  <c r="J325" i="21" s="1"/>
  <c r="U324" i="21"/>
  <c r="T324" i="21"/>
  <c r="O324" i="21"/>
  <c r="H324" i="21"/>
  <c r="R323" i="21"/>
  <c r="R328" i="21" s="1"/>
  <c r="O323" i="21"/>
  <c r="M322" i="21"/>
  <c r="N322" i="21" s="1"/>
  <c r="P322" i="21" s="1"/>
  <c r="H322" i="21"/>
  <c r="U321" i="21"/>
  <c r="T321" i="21"/>
  <c r="O321" i="21"/>
  <c r="G321" i="21"/>
  <c r="H321" i="21" s="1"/>
  <c r="U320" i="21"/>
  <c r="T320" i="21"/>
  <c r="O320" i="21"/>
  <c r="H320" i="21"/>
  <c r="U319" i="21"/>
  <c r="T319" i="21"/>
  <c r="O319" i="21"/>
  <c r="H319" i="21"/>
  <c r="J319" i="21" s="1"/>
  <c r="U318" i="21"/>
  <c r="T318" i="21"/>
  <c r="O318" i="21"/>
  <c r="H318" i="21"/>
  <c r="R317" i="21"/>
  <c r="O317" i="21"/>
  <c r="M316" i="21"/>
  <c r="N316" i="21" s="1"/>
  <c r="P316" i="21" s="1"/>
  <c r="H316" i="21"/>
  <c r="U315" i="21"/>
  <c r="T315" i="21"/>
  <c r="O315" i="21"/>
  <c r="G315" i="21"/>
  <c r="H315" i="21" s="1"/>
  <c r="U314" i="21"/>
  <c r="T314" i="21"/>
  <c r="O314" i="21"/>
  <c r="H314" i="21"/>
  <c r="U313" i="21"/>
  <c r="T313" i="21"/>
  <c r="O313" i="21"/>
  <c r="H313" i="21"/>
  <c r="J313" i="21" s="1"/>
  <c r="U312" i="21"/>
  <c r="T312" i="21"/>
  <c r="O312" i="21"/>
  <c r="H312" i="21"/>
  <c r="R311" i="21"/>
  <c r="R316" i="21" s="1"/>
  <c r="O311" i="21"/>
  <c r="M310" i="21"/>
  <c r="N310" i="21" s="1"/>
  <c r="P310" i="21" s="1"/>
  <c r="H310" i="21"/>
  <c r="U309" i="21"/>
  <c r="T309" i="21"/>
  <c r="O309" i="21"/>
  <c r="G309" i="21"/>
  <c r="H309" i="21" s="1"/>
  <c r="U308" i="21"/>
  <c r="T308" i="21"/>
  <c r="O308" i="21"/>
  <c r="H308" i="21"/>
  <c r="U307" i="21"/>
  <c r="T307" i="21"/>
  <c r="O307" i="21"/>
  <c r="H307" i="21"/>
  <c r="J307" i="21" s="1"/>
  <c r="U306" i="21"/>
  <c r="T306" i="21"/>
  <c r="O306" i="21"/>
  <c r="H306" i="21"/>
  <c r="J306" i="21" s="1"/>
  <c r="R305" i="21"/>
  <c r="R310" i="21" s="1"/>
  <c r="O305" i="21"/>
  <c r="M304" i="21"/>
  <c r="N304" i="21" s="1"/>
  <c r="S304" i="21" s="1"/>
  <c r="H304" i="21"/>
  <c r="U303" i="21"/>
  <c r="T303" i="21"/>
  <c r="O303" i="21"/>
  <c r="H303" i="21"/>
  <c r="H302" i="21" s="1"/>
  <c r="J302" i="21" s="1"/>
  <c r="R302" i="21"/>
  <c r="O302" i="21"/>
  <c r="M301" i="21"/>
  <c r="N301" i="21" s="1"/>
  <c r="P301" i="21" s="1"/>
  <c r="H301" i="21"/>
  <c r="U300" i="21"/>
  <c r="T300" i="21"/>
  <c r="P300" i="21"/>
  <c r="O300" i="21"/>
  <c r="H300" i="21"/>
  <c r="H299" i="21" s="1"/>
  <c r="J299" i="21" s="1"/>
  <c r="R299" i="21"/>
  <c r="R301" i="21" s="1"/>
  <c r="O299" i="21"/>
  <c r="M298" i="21"/>
  <c r="N298" i="21" s="1"/>
  <c r="S298" i="21" s="1"/>
  <c r="H298" i="21"/>
  <c r="U297" i="21"/>
  <c r="T297" i="21"/>
  <c r="O297" i="21"/>
  <c r="H297" i="21"/>
  <c r="H296" i="21" s="1"/>
  <c r="J296" i="21" s="1"/>
  <c r="R296" i="21"/>
  <c r="O296" i="21"/>
  <c r="M295" i="21"/>
  <c r="N295" i="21" s="1"/>
  <c r="P295" i="21" s="1"/>
  <c r="H295" i="21"/>
  <c r="U294" i="21"/>
  <c r="T294" i="21"/>
  <c r="O294" i="21"/>
  <c r="H294" i="21"/>
  <c r="H293" i="21" s="1"/>
  <c r="J293" i="21" s="1"/>
  <c r="R293" i="21"/>
  <c r="R295" i="21" s="1"/>
  <c r="O293" i="21"/>
  <c r="M292" i="21"/>
  <c r="N292" i="21" s="1"/>
  <c r="P292" i="21" s="1"/>
  <c r="H292" i="21"/>
  <c r="U291" i="21"/>
  <c r="T291" i="21"/>
  <c r="O291" i="21"/>
  <c r="H291" i="21"/>
  <c r="H290" i="21" s="1"/>
  <c r="J290" i="21" s="1"/>
  <c r="R290" i="21"/>
  <c r="O290" i="21"/>
  <c r="M289" i="21"/>
  <c r="N289" i="21" s="1"/>
  <c r="H289" i="21"/>
  <c r="U288" i="21"/>
  <c r="T288" i="21"/>
  <c r="O288" i="21"/>
  <c r="H288" i="21"/>
  <c r="H287" i="21" s="1"/>
  <c r="J287" i="21" s="1"/>
  <c r="R287" i="21"/>
  <c r="R289" i="21" s="1"/>
  <c r="O287" i="21"/>
  <c r="M286" i="21"/>
  <c r="N286" i="21" s="1"/>
  <c r="S286" i="21" s="1"/>
  <c r="H286" i="21"/>
  <c r="U285" i="21"/>
  <c r="T285" i="21"/>
  <c r="O285" i="21"/>
  <c r="H285" i="21"/>
  <c r="H284" i="21" s="1"/>
  <c r="J284" i="21" s="1"/>
  <c r="R284" i="21"/>
  <c r="O284" i="21"/>
  <c r="M283" i="21"/>
  <c r="N283" i="21" s="1"/>
  <c r="S283" i="21" s="1"/>
  <c r="H283" i="21"/>
  <c r="U282" i="21"/>
  <c r="T282" i="21"/>
  <c r="O282" i="21"/>
  <c r="H282" i="21"/>
  <c r="H281" i="21" s="1"/>
  <c r="J281" i="21" s="1"/>
  <c r="R281" i="21"/>
  <c r="R283" i="21" s="1"/>
  <c r="O281" i="21"/>
  <c r="M280" i="21"/>
  <c r="N280" i="21" s="1"/>
  <c r="S280" i="21" s="1"/>
  <c r="H280" i="21"/>
  <c r="U279" i="21"/>
  <c r="T279" i="21"/>
  <c r="O279" i="21"/>
  <c r="H279" i="21"/>
  <c r="H278" i="21" s="1"/>
  <c r="J278" i="21" s="1"/>
  <c r="R278" i="21"/>
  <c r="O278" i="21"/>
  <c r="M277" i="21"/>
  <c r="N277" i="21" s="1"/>
  <c r="S277" i="21" s="1"/>
  <c r="H277" i="21"/>
  <c r="U276" i="21"/>
  <c r="T276" i="21"/>
  <c r="O276" i="21"/>
  <c r="H276" i="21"/>
  <c r="H275" i="21" s="1"/>
  <c r="J275" i="21" s="1"/>
  <c r="R275" i="21"/>
  <c r="O275" i="21"/>
  <c r="M274" i="21"/>
  <c r="N274" i="21" s="1"/>
  <c r="P274" i="21" s="1"/>
  <c r="H274" i="21"/>
  <c r="U273" i="21"/>
  <c r="T273" i="21"/>
  <c r="O273" i="21"/>
  <c r="H273" i="21"/>
  <c r="U272" i="21"/>
  <c r="T272" i="21"/>
  <c r="O272" i="21"/>
  <c r="H272" i="21"/>
  <c r="U271" i="21"/>
  <c r="T271" i="21"/>
  <c r="O271" i="21"/>
  <c r="H271" i="21"/>
  <c r="R270" i="21"/>
  <c r="O270" i="21"/>
  <c r="M269" i="21"/>
  <c r="N269" i="21" s="1"/>
  <c r="P269" i="21" s="1"/>
  <c r="H269" i="21"/>
  <c r="U268" i="21"/>
  <c r="T268" i="21"/>
  <c r="O268" i="21"/>
  <c r="H268" i="21"/>
  <c r="U267" i="21"/>
  <c r="T267" i="21"/>
  <c r="O267" i="21"/>
  <c r="H267" i="21"/>
  <c r="U266" i="21"/>
  <c r="T266" i="21"/>
  <c r="O266" i="21"/>
  <c r="H266" i="21"/>
  <c r="R265" i="21"/>
  <c r="O265" i="21"/>
  <c r="M264" i="21"/>
  <c r="N264" i="21" s="1"/>
  <c r="P264" i="21" s="1"/>
  <c r="H264" i="21"/>
  <c r="U263" i="21"/>
  <c r="T263" i="21"/>
  <c r="O263" i="21"/>
  <c r="H263" i="21"/>
  <c r="U262" i="21"/>
  <c r="T262" i="21"/>
  <c r="O262" i="21"/>
  <c r="H262" i="21"/>
  <c r="U261" i="21"/>
  <c r="T261" i="21"/>
  <c r="O261" i="21"/>
  <c r="H261" i="21"/>
  <c r="R260" i="21"/>
  <c r="O260" i="21"/>
  <c r="M259" i="21"/>
  <c r="N259" i="21" s="1"/>
  <c r="S259" i="21" s="1"/>
  <c r="H259" i="21"/>
  <c r="U258" i="21"/>
  <c r="T258" i="21"/>
  <c r="O258" i="21"/>
  <c r="H258" i="21"/>
  <c r="U257" i="21"/>
  <c r="T257" i="21"/>
  <c r="O257" i="21"/>
  <c r="H257" i="21"/>
  <c r="U256" i="21"/>
  <c r="T256" i="21"/>
  <c r="O256" i="21"/>
  <c r="H256" i="21"/>
  <c r="R255" i="21"/>
  <c r="O255" i="21"/>
  <c r="R254" i="21"/>
  <c r="O254" i="21"/>
  <c r="H254" i="21"/>
  <c r="J254" i="21" s="1"/>
  <c r="R253" i="21"/>
  <c r="O253" i="21"/>
  <c r="H253" i="21"/>
  <c r="J253" i="21" s="1"/>
  <c r="R252" i="21"/>
  <c r="O252" i="21"/>
  <c r="H252" i="21"/>
  <c r="J252" i="21" s="1"/>
  <c r="R251" i="21"/>
  <c r="O251" i="21"/>
  <c r="H251" i="21"/>
  <c r="J251" i="21" s="1"/>
  <c r="R250" i="21"/>
  <c r="O250" i="21"/>
  <c r="H250" i="21"/>
  <c r="J250" i="21" s="1"/>
  <c r="R249" i="21"/>
  <c r="O249" i="21"/>
  <c r="H249" i="21"/>
  <c r="J249" i="21" s="1"/>
  <c r="R248" i="21"/>
  <c r="O248" i="21"/>
  <c r="H248" i="21"/>
  <c r="J248" i="21" s="1"/>
  <c r="R247" i="21"/>
  <c r="O247" i="21"/>
  <c r="H247" i="21"/>
  <c r="J247" i="21" s="1"/>
  <c r="G247" i="21"/>
  <c r="R246" i="21"/>
  <c r="O246" i="21"/>
  <c r="G246" i="21"/>
  <c r="H246" i="21" s="1"/>
  <c r="J246" i="21" s="1"/>
  <c r="R245" i="21"/>
  <c r="O245" i="21"/>
  <c r="G245" i="21"/>
  <c r="H245" i="21" s="1"/>
  <c r="J245" i="21" s="1"/>
  <c r="R244" i="21"/>
  <c r="O244" i="21"/>
  <c r="G244" i="21"/>
  <c r="H244" i="21" s="1"/>
  <c r="J244" i="21" s="1"/>
  <c r="S243" i="21"/>
  <c r="R243" i="21"/>
  <c r="O243" i="21"/>
  <c r="G243" i="21"/>
  <c r="H243" i="21" s="1"/>
  <c r="J243" i="21" s="1"/>
  <c r="R242" i="21"/>
  <c r="O242" i="21"/>
  <c r="G242" i="21"/>
  <c r="H242" i="21" s="1"/>
  <c r="J242" i="21" s="1"/>
  <c r="R241" i="21"/>
  <c r="O241" i="21"/>
  <c r="H241" i="21"/>
  <c r="J241" i="21" s="1"/>
  <c r="R240" i="21"/>
  <c r="O240" i="21"/>
  <c r="J240" i="21"/>
  <c r="R239" i="21"/>
  <c r="O239" i="21"/>
  <c r="J239" i="21"/>
  <c r="R238" i="21"/>
  <c r="O238" i="21"/>
  <c r="H238" i="21"/>
  <c r="J238" i="21" s="1"/>
  <c r="R237" i="21"/>
  <c r="O237" i="21"/>
  <c r="H237" i="21"/>
  <c r="J237" i="21" s="1"/>
  <c r="M236" i="21"/>
  <c r="H236" i="21"/>
  <c r="R235" i="21"/>
  <c r="J235" i="21"/>
  <c r="M234" i="21"/>
  <c r="N234" i="21" s="1"/>
  <c r="P234" i="21" s="1"/>
  <c r="H234" i="21"/>
  <c r="R233" i="21"/>
  <c r="O233" i="21"/>
  <c r="J233" i="21"/>
  <c r="M232" i="21"/>
  <c r="N232" i="21" s="1"/>
  <c r="S232" i="21" s="1"/>
  <c r="H232" i="21"/>
  <c r="R231" i="21"/>
  <c r="R232" i="21" s="1"/>
  <c r="O231" i="21"/>
  <c r="J231" i="21"/>
  <c r="M230" i="21"/>
  <c r="N230" i="21" s="1"/>
  <c r="S230" i="21" s="1"/>
  <c r="H230" i="21"/>
  <c r="R229" i="21"/>
  <c r="O229" i="21"/>
  <c r="J229" i="21"/>
  <c r="R228" i="21"/>
  <c r="J228" i="21"/>
  <c r="U227" i="21"/>
  <c r="T227" i="21"/>
  <c r="O227" i="21"/>
  <c r="R226" i="21"/>
  <c r="O226" i="21"/>
  <c r="K226" i="21"/>
  <c r="R225" i="21"/>
  <c r="O225" i="21"/>
  <c r="K225" i="21"/>
  <c r="R224" i="21"/>
  <c r="O224" i="21"/>
  <c r="K224" i="21"/>
  <c r="R223" i="21"/>
  <c r="O223" i="21"/>
  <c r="K223" i="21"/>
  <c r="R222" i="21"/>
  <c r="O222" i="21"/>
  <c r="K222" i="21"/>
  <c r="R221" i="21"/>
  <c r="O221" i="21"/>
  <c r="K221" i="21"/>
  <c r="R220" i="21"/>
  <c r="O220" i="21"/>
  <c r="K220" i="21"/>
  <c r="R219" i="21"/>
  <c r="O219" i="21"/>
  <c r="K219" i="21"/>
  <c r="R218" i="21"/>
  <c r="O218" i="21"/>
  <c r="K218" i="21"/>
  <c r="R217" i="21"/>
  <c r="O217" i="21"/>
  <c r="K217" i="21"/>
  <c r="R216" i="21"/>
  <c r="O216" i="21"/>
  <c r="K216" i="21"/>
  <c r="R215" i="21"/>
  <c r="O215" i="21"/>
  <c r="K215" i="21"/>
  <c r="R214" i="21"/>
  <c r="O214" i="21"/>
  <c r="K214" i="21"/>
  <c r="R213" i="21"/>
  <c r="O213" i="21"/>
  <c r="K213" i="21"/>
  <c r="R212" i="21"/>
  <c r="O212" i="21"/>
  <c r="K212" i="21"/>
  <c r="R211" i="21"/>
  <c r="O211" i="21"/>
  <c r="K211" i="21"/>
  <c r="R210" i="21"/>
  <c r="O210" i="21"/>
  <c r="K210" i="21"/>
  <c r="R209" i="21"/>
  <c r="O209" i="21"/>
  <c r="K209" i="21"/>
  <c r="R208" i="21"/>
  <c r="O208" i="21"/>
  <c r="K208" i="21"/>
  <c r="R207" i="21"/>
  <c r="O207" i="21"/>
  <c r="K207" i="21"/>
  <c r="R206" i="21"/>
  <c r="O206" i="21"/>
  <c r="K206" i="21"/>
  <c r="R205" i="21"/>
  <c r="O205" i="21"/>
  <c r="K205" i="21"/>
  <c r="R204" i="21"/>
  <c r="O204" i="21"/>
  <c r="K204" i="21"/>
  <c r="R203" i="21"/>
  <c r="O203" i="21"/>
  <c r="K203" i="21"/>
  <c r="R202" i="21"/>
  <c r="O202" i="21"/>
  <c r="K202" i="21"/>
  <c r="U201" i="21"/>
  <c r="T201" i="21"/>
  <c r="O201" i="21"/>
  <c r="R200" i="21"/>
  <c r="O200" i="21"/>
  <c r="H200" i="21"/>
  <c r="J200" i="21" s="1"/>
  <c r="R199" i="21"/>
  <c r="O199" i="21"/>
  <c r="H199" i="21"/>
  <c r="J199" i="21" s="1"/>
  <c r="U198" i="21"/>
  <c r="T198" i="21"/>
  <c r="O198" i="21"/>
  <c r="H198" i="21"/>
  <c r="U197" i="21"/>
  <c r="T197" i="21"/>
  <c r="O197" i="21"/>
  <c r="H197" i="21"/>
  <c r="R196" i="21"/>
  <c r="O196" i="21"/>
  <c r="U195" i="21"/>
  <c r="T195" i="21"/>
  <c r="O195" i="21"/>
  <c r="H195" i="21"/>
  <c r="U194" i="21"/>
  <c r="T194" i="21"/>
  <c r="O194" i="21"/>
  <c r="H194" i="21"/>
  <c r="R193" i="21"/>
  <c r="O193" i="21"/>
  <c r="U192" i="21"/>
  <c r="T192" i="21"/>
  <c r="O192" i="21"/>
  <c r="H192" i="21"/>
  <c r="U191" i="21"/>
  <c r="T191" i="21"/>
  <c r="O191" i="21"/>
  <c r="H191" i="21"/>
  <c r="U190" i="21"/>
  <c r="T190" i="21"/>
  <c r="O190" i="21"/>
  <c r="H190" i="21"/>
  <c r="R189" i="21"/>
  <c r="O189" i="21"/>
  <c r="R188" i="21"/>
  <c r="O188" i="21"/>
  <c r="H188" i="21"/>
  <c r="J188" i="21" s="1"/>
  <c r="R187" i="21"/>
  <c r="O187" i="21"/>
  <c r="H187" i="21"/>
  <c r="J187" i="21" s="1"/>
  <c r="R186" i="21"/>
  <c r="O186" i="21"/>
  <c r="H186" i="21"/>
  <c r="J186" i="21" s="1"/>
  <c r="R185" i="21"/>
  <c r="O185" i="21"/>
  <c r="H185" i="21"/>
  <c r="J185" i="21" s="1"/>
  <c r="R184" i="21"/>
  <c r="O184" i="21"/>
  <c r="H184" i="21"/>
  <c r="J184" i="21" s="1"/>
  <c r="R183" i="21"/>
  <c r="O183" i="21"/>
  <c r="H183" i="21"/>
  <c r="J183" i="21" s="1"/>
  <c r="U182" i="21"/>
  <c r="T182" i="21"/>
  <c r="O182" i="21"/>
  <c r="H182" i="21"/>
  <c r="U181" i="21"/>
  <c r="T181" i="21"/>
  <c r="O181" i="21"/>
  <c r="H181" i="21"/>
  <c r="U180" i="21"/>
  <c r="T180" i="21"/>
  <c r="O180" i="21"/>
  <c r="H180" i="21"/>
  <c r="R179" i="21"/>
  <c r="O179" i="21"/>
  <c r="U178" i="21"/>
  <c r="T178" i="21"/>
  <c r="O178" i="21"/>
  <c r="H178" i="21"/>
  <c r="U177" i="21"/>
  <c r="T177" i="21"/>
  <c r="O177" i="21"/>
  <c r="H177" i="21"/>
  <c r="U176" i="21"/>
  <c r="T176" i="21"/>
  <c r="O176" i="21"/>
  <c r="H176" i="21"/>
  <c r="R175" i="21"/>
  <c r="O175" i="21"/>
  <c r="U174" i="21"/>
  <c r="T174" i="21"/>
  <c r="O174" i="21"/>
  <c r="H174" i="21"/>
  <c r="U173" i="21"/>
  <c r="T173" i="21"/>
  <c r="O173" i="21"/>
  <c r="H173" i="21"/>
  <c r="U172" i="21"/>
  <c r="T172" i="21"/>
  <c r="O172" i="21"/>
  <c r="H172" i="21"/>
  <c r="R171" i="21"/>
  <c r="O171" i="21"/>
  <c r="U170" i="21"/>
  <c r="T170" i="21"/>
  <c r="O170" i="21"/>
  <c r="K170" i="21"/>
  <c r="H170" i="21"/>
  <c r="U169" i="21"/>
  <c r="T169" i="21"/>
  <c r="O169" i="21"/>
  <c r="K169" i="21"/>
  <c r="H169" i="21"/>
  <c r="U168" i="21"/>
  <c r="T168" i="21"/>
  <c r="O168" i="21"/>
  <c r="K168" i="21"/>
  <c r="H168" i="21"/>
  <c r="R167" i="21"/>
  <c r="P167" i="21"/>
  <c r="O167" i="21"/>
  <c r="U166" i="21"/>
  <c r="T166" i="21"/>
  <c r="O166" i="21"/>
  <c r="K166" i="21"/>
  <c r="H166" i="21"/>
  <c r="U165" i="21"/>
  <c r="T165" i="21"/>
  <c r="O165" i="21"/>
  <c r="K165" i="21"/>
  <c r="H165" i="21"/>
  <c r="U164" i="21"/>
  <c r="T164" i="21"/>
  <c r="O164" i="21"/>
  <c r="K164" i="21"/>
  <c r="H164" i="21"/>
  <c r="R163" i="21"/>
  <c r="O163" i="21"/>
  <c r="U162" i="21"/>
  <c r="T162" i="21"/>
  <c r="O162" i="21"/>
  <c r="K162" i="21"/>
  <c r="H162" i="21"/>
  <c r="U161" i="21"/>
  <c r="T161" i="21"/>
  <c r="O161" i="21"/>
  <c r="K161" i="21"/>
  <c r="H161" i="21"/>
  <c r="U160" i="21"/>
  <c r="T160" i="21"/>
  <c r="O160" i="21"/>
  <c r="K160" i="21"/>
  <c r="H160" i="21"/>
  <c r="R159" i="21"/>
  <c r="O159" i="21"/>
  <c r="U158" i="21"/>
  <c r="T158" i="21"/>
  <c r="O158" i="21"/>
  <c r="K158" i="21"/>
  <c r="H158" i="21"/>
  <c r="U157" i="21"/>
  <c r="T157" i="21"/>
  <c r="O157" i="21"/>
  <c r="K157" i="21"/>
  <c r="H157" i="21"/>
  <c r="R156" i="21"/>
  <c r="O156" i="21"/>
  <c r="U155" i="21"/>
  <c r="T155" i="21"/>
  <c r="O155" i="21"/>
  <c r="K155" i="21"/>
  <c r="H155" i="21"/>
  <c r="U154" i="21"/>
  <c r="T154" i="21"/>
  <c r="O154" i="21"/>
  <c r="K154" i="21"/>
  <c r="H154" i="21"/>
  <c r="R153" i="21"/>
  <c r="O153" i="21"/>
  <c r="U152" i="21"/>
  <c r="T152" i="21"/>
  <c r="O152" i="21"/>
  <c r="H152" i="21"/>
  <c r="U151" i="21"/>
  <c r="T151" i="21"/>
  <c r="O151" i="21"/>
  <c r="H151" i="21"/>
  <c r="R150" i="21"/>
  <c r="O150" i="21"/>
  <c r="U149" i="21"/>
  <c r="T149" i="21"/>
  <c r="O149" i="21"/>
  <c r="H149" i="21"/>
  <c r="U148" i="21"/>
  <c r="T148" i="21"/>
  <c r="O148" i="21"/>
  <c r="H148" i="21"/>
  <c r="R147" i="21"/>
  <c r="O147" i="21"/>
  <c r="U146" i="21"/>
  <c r="T146" i="21"/>
  <c r="O146" i="21"/>
  <c r="H146" i="21"/>
  <c r="U145" i="21"/>
  <c r="T145" i="21"/>
  <c r="O145" i="21"/>
  <c r="H145" i="21"/>
  <c r="R144" i="21"/>
  <c r="O144" i="21"/>
  <c r="U143" i="21"/>
  <c r="T143" i="21"/>
  <c r="O143" i="21"/>
  <c r="H143" i="21"/>
  <c r="U142" i="21"/>
  <c r="T142" i="21"/>
  <c r="O142" i="21"/>
  <c r="H142" i="21"/>
  <c r="R141" i="21"/>
  <c r="O141" i="21"/>
  <c r="R140" i="21"/>
  <c r="O140" i="21"/>
  <c r="H140" i="21"/>
  <c r="J140" i="21" s="1"/>
  <c r="R139" i="21"/>
  <c r="O139" i="21"/>
  <c r="H139" i="21"/>
  <c r="J139" i="21" s="1"/>
  <c r="R138" i="21"/>
  <c r="O138" i="21"/>
  <c r="H138" i="21"/>
  <c r="J138" i="21" s="1"/>
  <c r="R137" i="21"/>
  <c r="O137" i="21"/>
  <c r="J137" i="21"/>
  <c r="R136" i="21"/>
  <c r="O136" i="21"/>
  <c r="J136" i="21"/>
  <c r="R135" i="21"/>
  <c r="O135" i="21"/>
  <c r="J135" i="21"/>
  <c r="R134" i="21"/>
  <c r="O134" i="21"/>
  <c r="J134" i="21"/>
  <c r="R133" i="21"/>
  <c r="O133" i="21"/>
  <c r="H133" i="21"/>
  <c r="J133" i="21" s="1"/>
  <c r="R132" i="21"/>
  <c r="O132" i="21"/>
  <c r="H132" i="21"/>
  <c r="J132" i="21" s="1"/>
  <c r="R131" i="21"/>
  <c r="O131" i="21"/>
  <c r="J131" i="21"/>
  <c r="R130" i="21"/>
  <c r="O130" i="21"/>
  <c r="H130" i="21"/>
  <c r="J130" i="21" s="1"/>
  <c r="R129" i="21"/>
  <c r="O129" i="21"/>
  <c r="G129" i="21"/>
  <c r="H129" i="21" s="1"/>
  <c r="J129" i="21" s="1"/>
  <c r="R128" i="21"/>
  <c r="O128" i="21"/>
  <c r="H128" i="21"/>
  <c r="J128" i="21" s="1"/>
  <c r="R127" i="21"/>
  <c r="O127" i="21"/>
  <c r="H127" i="21"/>
  <c r="J127" i="21" s="1"/>
  <c r="U126" i="21"/>
  <c r="T126" i="21"/>
  <c r="O126" i="21"/>
  <c r="H126" i="21"/>
  <c r="U125" i="21"/>
  <c r="T125" i="21"/>
  <c r="O125" i="21"/>
  <c r="H125" i="21"/>
  <c r="U124" i="21"/>
  <c r="T124" i="21"/>
  <c r="O124" i="21"/>
  <c r="H124" i="21"/>
  <c r="R123" i="21"/>
  <c r="O123" i="21"/>
  <c r="R122" i="21"/>
  <c r="O122" i="21"/>
  <c r="H122" i="21"/>
  <c r="J122" i="21" s="1"/>
  <c r="R121" i="21"/>
  <c r="O121" i="21"/>
  <c r="H121" i="21"/>
  <c r="J121" i="21" s="1"/>
  <c r="R120" i="21"/>
  <c r="O120" i="21"/>
  <c r="H120" i="21"/>
  <c r="J120" i="21" s="1"/>
  <c r="R119" i="21"/>
  <c r="O119" i="21"/>
  <c r="H119" i="21"/>
  <c r="J119" i="21" s="1"/>
  <c r="R118" i="21"/>
  <c r="O118" i="21"/>
  <c r="G118" i="21"/>
  <c r="H118" i="21" s="1"/>
  <c r="J118" i="21" s="1"/>
  <c r="R117" i="21"/>
  <c r="O117" i="21"/>
  <c r="H117" i="21"/>
  <c r="J117" i="21" s="1"/>
  <c r="G117" i="21"/>
  <c r="U116" i="21"/>
  <c r="T116" i="21"/>
  <c r="O116" i="21"/>
  <c r="R115" i="21"/>
  <c r="O115" i="21"/>
  <c r="K115" i="21"/>
  <c r="R114" i="21"/>
  <c r="O114" i="21"/>
  <c r="K114" i="21"/>
  <c r="R113" i="21"/>
  <c r="O113" i="21"/>
  <c r="K113" i="21"/>
  <c r="R112" i="21"/>
  <c r="O112" i="21"/>
  <c r="K112" i="21"/>
  <c r="S111" i="21"/>
  <c r="R111" i="21"/>
  <c r="O111" i="21"/>
  <c r="K111" i="21"/>
  <c r="R110" i="21"/>
  <c r="O110" i="21"/>
  <c r="K110" i="21"/>
  <c r="R109" i="21"/>
  <c r="O109" i="21"/>
  <c r="K109" i="21"/>
  <c r="R108" i="21"/>
  <c r="O108" i="21"/>
  <c r="K108" i="21"/>
  <c r="R107" i="21"/>
  <c r="O107" i="21"/>
  <c r="K107" i="21"/>
  <c r="R106" i="21"/>
  <c r="O106" i="21"/>
  <c r="K106" i="21"/>
  <c r="R105" i="21"/>
  <c r="O105" i="21"/>
  <c r="K105" i="21"/>
  <c r="R104" i="21"/>
  <c r="O104" i="21"/>
  <c r="K104" i="21"/>
  <c r="R103" i="21"/>
  <c r="O103" i="21"/>
  <c r="K103" i="21"/>
  <c r="R102" i="21"/>
  <c r="O102" i="21"/>
  <c r="K102" i="21"/>
  <c r="R101" i="21"/>
  <c r="O101" i="21"/>
  <c r="K101" i="21"/>
  <c r="R100" i="21"/>
  <c r="O100" i="21"/>
  <c r="K100" i="21"/>
  <c r="R99" i="21"/>
  <c r="O99" i="21"/>
  <c r="K99" i="21"/>
  <c r="R98" i="21"/>
  <c r="O98" i="21"/>
  <c r="K98" i="21"/>
  <c r="R97" i="21"/>
  <c r="O97" i="21"/>
  <c r="K97" i="21"/>
  <c r="R96" i="21"/>
  <c r="O96" i="21"/>
  <c r="K96" i="21"/>
  <c r="R95" i="21"/>
  <c r="O95" i="21"/>
  <c r="K95" i="21"/>
  <c r="R94" i="21"/>
  <c r="O94" i="21"/>
  <c r="K94" i="21"/>
  <c r="R93" i="21"/>
  <c r="O93" i="21"/>
  <c r="K93" i="21"/>
  <c r="R92" i="21"/>
  <c r="O92" i="21"/>
  <c r="K92" i="21"/>
  <c r="R91" i="21"/>
  <c r="O91" i="21"/>
  <c r="K91" i="21"/>
  <c r="U90" i="21"/>
  <c r="T90" i="21"/>
  <c r="O90" i="21"/>
  <c r="R89" i="21"/>
  <c r="O89" i="21"/>
  <c r="H89" i="21"/>
  <c r="J89" i="21" s="1"/>
  <c r="R88" i="21"/>
  <c r="O88" i="21"/>
  <c r="H88" i="21"/>
  <c r="J88" i="21" s="1"/>
  <c r="R87" i="21"/>
  <c r="O87" i="21"/>
  <c r="J87" i="21"/>
  <c r="R86" i="21"/>
  <c r="O86" i="21"/>
  <c r="H86" i="21"/>
  <c r="J86" i="21" s="1"/>
  <c r="R85" i="21"/>
  <c r="O85" i="21"/>
  <c r="H85" i="21"/>
  <c r="J85" i="21" s="1"/>
  <c r="R84" i="21"/>
  <c r="O84" i="21"/>
  <c r="H84" i="21"/>
  <c r="J84" i="21" s="1"/>
  <c r="R83" i="21"/>
  <c r="O83" i="21"/>
  <c r="J83" i="21"/>
  <c r="R82" i="21"/>
  <c r="O82" i="21"/>
  <c r="J82" i="21"/>
  <c r="R81" i="21"/>
  <c r="O81" i="21"/>
  <c r="J81" i="21"/>
  <c r="R80" i="21"/>
  <c r="O80" i="21"/>
  <c r="J80" i="21"/>
  <c r="R79" i="21"/>
  <c r="O79" i="21"/>
  <c r="J79" i="21"/>
  <c r="R78" i="21"/>
  <c r="O78" i="21"/>
  <c r="J78" i="21"/>
  <c r="R77" i="21"/>
  <c r="O77" i="21"/>
  <c r="J77" i="21"/>
  <c r="R76" i="21"/>
  <c r="O76" i="21"/>
  <c r="H76" i="21"/>
  <c r="J76" i="21" s="1"/>
  <c r="R75" i="21"/>
  <c r="O75" i="21"/>
  <c r="J75" i="21"/>
  <c r="R74" i="21"/>
  <c r="O74" i="21"/>
  <c r="J74" i="21"/>
  <c r="R73" i="21"/>
  <c r="O73" i="21"/>
  <c r="J73" i="21"/>
  <c r="R72" i="21"/>
  <c r="O72" i="21"/>
  <c r="J72" i="21"/>
  <c r="R71" i="21"/>
  <c r="O71" i="21"/>
  <c r="J71" i="21"/>
  <c r="R70" i="21"/>
  <c r="O70" i="21"/>
  <c r="J70" i="21"/>
  <c r="R69" i="21"/>
  <c r="O69" i="21"/>
  <c r="H69" i="21"/>
  <c r="J69" i="21" s="1"/>
  <c r="U68" i="21"/>
  <c r="T68" i="21"/>
  <c r="O68" i="21"/>
  <c r="R67" i="21"/>
  <c r="O67" i="21"/>
  <c r="K67" i="21"/>
  <c r="R66" i="21"/>
  <c r="O66" i="21"/>
  <c r="K66" i="21"/>
  <c r="R65" i="21"/>
  <c r="O65" i="21"/>
  <c r="K65" i="21"/>
  <c r="R64" i="21"/>
  <c r="O64" i="21"/>
  <c r="K64" i="21"/>
  <c r="R63" i="21"/>
  <c r="O63" i="21"/>
  <c r="K63" i="21"/>
  <c r="R62" i="21"/>
  <c r="O62" i="21"/>
  <c r="K62" i="21"/>
  <c r="R61" i="21"/>
  <c r="O61" i="21"/>
  <c r="K61" i="21"/>
  <c r="R60" i="21"/>
  <c r="O60" i="21"/>
  <c r="K60" i="21"/>
  <c r="R59" i="21"/>
  <c r="O59" i="21"/>
  <c r="K59" i="21"/>
  <c r="R58" i="21"/>
  <c r="O58" i="21"/>
  <c r="K58" i="21"/>
  <c r="R57" i="21"/>
  <c r="O57" i="21"/>
  <c r="K57" i="21"/>
  <c r="R56" i="21"/>
  <c r="O56" i="21"/>
  <c r="K56" i="21"/>
  <c r="R55" i="21"/>
  <c r="O55" i="21"/>
  <c r="K55" i="21"/>
  <c r="R54" i="21"/>
  <c r="O54" i="21"/>
  <c r="K54" i="21"/>
  <c r="R53" i="21"/>
  <c r="O53" i="21"/>
  <c r="K53" i="21"/>
  <c r="R52" i="21"/>
  <c r="O52" i="21"/>
  <c r="K52" i="21"/>
  <c r="R51" i="21"/>
  <c r="O51" i="21"/>
  <c r="K51" i="21"/>
  <c r="R50" i="21"/>
  <c r="O50" i="21"/>
  <c r="K50" i="21"/>
  <c r="R49" i="21"/>
  <c r="O49" i="21"/>
  <c r="K49" i="21"/>
  <c r="R48" i="21"/>
  <c r="O48" i="21"/>
  <c r="K48" i="21"/>
  <c r="R47" i="21"/>
  <c r="O47" i="21"/>
  <c r="K47" i="21"/>
  <c r="R46" i="21"/>
  <c r="O46" i="21"/>
  <c r="K46" i="21"/>
  <c r="R45" i="21"/>
  <c r="O45" i="21"/>
  <c r="K45" i="21"/>
  <c r="R44" i="21"/>
  <c r="O44" i="21"/>
  <c r="K44" i="21"/>
  <c r="R43" i="21"/>
  <c r="O43" i="21"/>
  <c r="K43" i="21"/>
  <c r="U42" i="21"/>
  <c r="T42" i="21"/>
  <c r="P42" i="21"/>
  <c r="O42" i="21"/>
  <c r="R41" i="21"/>
  <c r="O41" i="21"/>
  <c r="J41" i="21"/>
  <c r="R40" i="21"/>
  <c r="O40" i="21"/>
  <c r="J40" i="21"/>
  <c r="R39" i="21"/>
  <c r="O39" i="21"/>
  <c r="J39" i="21"/>
  <c r="R38" i="21"/>
  <c r="O38" i="21"/>
  <c r="J38" i="21"/>
  <c r="R37" i="21"/>
  <c r="O37" i="21"/>
  <c r="J37" i="21"/>
  <c r="R36" i="21"/>
  <c r="O36" i="21"/>
  <c r="J36" i="21"/>
  <c r="R35" i="21"/>
  <c r="O35" i="21"/>
  <c r="J35" i="21"/>
  <c r="R34" i="21"/>
  <c r="O34" i="21"/>
  <c r="J34" i="21"/>
  <c r="R33" i="21"/>
  <c r="J33" i="21"/>
  <c r="R32" i="21"/>
  <c r="O32" i="21"/>
  <c r="J32" i="21"/>
  <c r="S31" i="21"/>
  <c r="R31" i="21"/>
  <c r="O31" i="21"/>
  <c r="J31" i="21"/>
  <c r="R30" i="21"/>
  <c r="O30" i="21"/>
  <c r="J30" i="21"/>
  <c r="R29" i="21"/>
  <c r="O29" i="21"/>
  <c r="J29" i="21"/>
  <c r="R28" i="21"/>
  <c r="O28" i="21"/>
  <c r="G28" i="21"/>
  <c r="H28" i="21" s="1"/>
  <c r="J28" i="21" s="1"/>
  <c r="R27" i="21"/>
  <c r="O27" i="21"/>
  <c r="G27" i="21"/>
  <c r="H27" i="21" s="1"/>
  <c r="J27" i="21" s="1"/>
  <c r="R26" i="21"/>
  <c r="O26" i="21"/>
  <c r="G26" i="21"/>
  <c r="H26" i="21" s="1"/>
  <c r="J26" i="21" s="1"/>
  <c r="R25" i="21"/>
  <c r="O25" i="21"/>
  <c r="G25" i="21"/>
  <c r="H25" i="21" s="1"/>
  <c r="J25" i="21" s="1"/>
  <c r="R24" i="21"/>
  <c r="O24" i="21"/>
  <c r="H24" i="21"/>
  <c r="J24" i="21" s="1"/>
  <c r="R23" i="21"/>
  <c r="O23" i="21"/>
  <c r="H23" i="21"/>
  <c r="J23" i="21" s="1"/>
  <c r="R22" i="21"/>
  <c r="O22" i="21"/>
  <c r="J22" i="21"/>
  <c r="R21" i="21"/>
  <c r="O21" i="21"/>
  <c r="J21" i="21"/>
  <c r="R20" i="21"/>
  <c r="O20" i="21"/>
  <c r="J20" i="21"/>
  <c r="R19" i="21"/>
  <c r="O19" i="21"/>
  <c r="J19" i="21"/>
  <c r="S509" i="21" l="1"/>
  <c r="S542" i="21"/>
  <c r="P1080" i="21"/>
  <c r="S765" i="21"/>
  <c r="P1688" i="21"/>
  <c r="S461" i="21"/>
  <c r="P469" i="21"/>
  <c r="S1008" i="21"/>
  <c r="P1024" i="21"/>
  <c r="P1152" i="21"/>
  <c r="S1176" i="21"/>
  <c r="P1456" i="21"/>
  <c r="S1306" i="21"/>
  <c r="S1618" i="21"/>
  <c r="S101" i="21"/>
  <c r="S251" i="21"/>
  <c r="P531" i="21"/>
  <c r="P599" i="21"/>
  <c r="P847" i="21"/>
  <c r="S975" i="21"/>
  <c r="P1143" i="21"/>
  <c r="P1218" i="21"/>
  <c r="P1239" i="21"/>
  <c r="S1583" i="21"/>
  <c r="P1591" i="21"/>
  <c r="P1500" i="24"/>
  <c r="P1034" i="21"/>
  <c r="P1762" i="21"/>
  <c r="P87" i="21"/>
  <c r="P159" i="21"/>
  <c r="P591" i="21"/>
  <c r="P127" i="21"/>
  <c r="P79" i="21"/>
  <c r="S952" i="21"/>
  <c r="S1280" i="21"/>
  <c r="P1424" i="21"/>
  <c r="S1904" i="21"/>
  <c r="S218" i="21"/>
  <c r="S106" i="21"/>
  <c r="P968" i="21"/>
  <c r="S1064" i="21"/>
  <c r="S1296" i="21"/>
  <c r="P1440" i="21"/>
  <c r="S1760" i="21"/>
  <c r="P122" i="21"/>
  <c r="P872" i="21"/>
  <c r="P1208" i="21"/>
  <c r="S1472" i="21"/>
  <c r="S799" i="21"/>
  <c r="S880" i="21"/>
  <c r="P912" i="21"/>
  <c r="S1120" i="21"/>
  <c r="S1536" i="21"/>
  <c r="P639" i="21"/>
  <c r="S741" i="21"/>
  <c r="S140" i="21"/>
  <c r="P744" i="21"/>
  <c r="P212" i="21"/>
  <c r="S52" i="21"/>
  <c r="S92" i="21"/>
  <c r="U92" i="21" s="1"/>
  <c r="P100" i="21"/>
  <c r="H605" i="24"/>
  <c r="J605" i="24" s="1"/>
  <c r="U216" i="24"/>
  <c r="H335" i="24"/>
  <c r="J335" i="24" s="1"/>
  <c r="U407" i="24"/>
  <c r="H419" i="24"/>
  <c r="J419" i="24" s="1"/>
  <c r="U448" i="24"/>
  <c r="Y448" i="24" s="1"/>
  <c r="U470" i="24"/>
  <c r="Y470" i="24" s="1"/>
  <c r="T505" i="24"/>
  <c r="T513" i="24"/>
  <c r="T521" i="24"/>
  <c r="T527" i="24"/>
  <c r="T561" i="24"/>
  <c r="T565" i="24"/>
  <c r="T569" i="24"/>
  <c r="T573" i="24"/>
  <c r="T581" i="24"/>
  <c r="U601" i="24"/>
  <c r="H686" i="24"/>
  <c r="J686" i="24" s="1"/>
  <c r="H1860" i="24"/>
  <c r="J1860" i="24" s="1"/>
  <c r="H1868" i="24"/>
  <c r="J1868" i="24" s="1"/>
  <c r="H2204" i="24"/>
  <c r="H2300" i="24"/>
  <c r="H2318" i="24"/>
  <c r="J2318" i="24" s="1"/>
  <c r="T48" i="24"/>
  <c r="T50" i="24"/>
  <c r="T56" i="24"/>
  <c r="T58" i="24"/>
  <c r="T64" i="24"/>
  <c r="T66" i="24"/>
  <c r="H141" i="24"/>
  <c r="J141" i="24" s="1"/>
  <c r="H156" i="24"/>
  <c r="J156" i="24" s="1"/>
  <c r="U241" i="24"/>
  <c r="H265" i="24"/>
  <c r="J265" i="24" s="1"/>
  <c r="H311" i="24"/>
  <c r="J311" i="24" s="1"/>
  <c r="H323" i="24"/>
  <c r="J323" i="24" s="1"/>
  <c r="U347" i="24"/>
  <c r="H359" i="24"/>
  <c r="J359" i="24" s="1"/>
  <c r="U484" i="24"/>
  <c r="U494" i="24"/>
  <c r="U505" i="24"/>
  <c r="U513" i="24"/>
  <c r="Y513" i="24" s="1"/>
  <c r="U521" i="24"/>
  <c r="Z521" i="24" s="1"/>
  <c r="U529" i="24"/>
  <c r="Y529" i="24" s="1"/>
  <c r="H532" i="24"/>
  <c r="J532" i="24" s="1"/>
  <c r="H547" i="24"/>
  <c r="J547" i="24" s="1"/>
  <c r="U563" i="24"/>
  <c r="U567" i="24"/>
  <c r="U571" i="24"/>
  <c r="U575" i="24"/>
  <c r="U579" i="24"/>
  <c r="H674" i="24"/>
  <c r="J674" i="24" s="1"/>
  <c r="H1715" i="24"/>
  <c r="J1715" i="24" s="1"/>
  <c r="J2534" i="24"/>
  <c r="U32" i="24"/>
  <c r="U34" i="24"/>
  <c r="U46" i="24"/>
  <c r="Y46" i="24" s="1"/>
  <c r="U54" i="24"/>
  <c r="Y54" i="24" s="1"/>
  <c r="H167" i="24"/>
  <c r="J167" i="24" s="1"/>
  <c r="U184" i="24"/>
  <c r="H401" i="24"/>
  <c r="J401" i="24" s="1"/>
  <c r="H472" i="24"/>
  <c r="J472" i="24" s="1"/>
  <c r="U498" i="24"/>
  <c r="U609" i="24"/>
  <c r="H668" i="24"/>
  <c r="J668" i="24" s="1"/>
  <c r="U720" i="24"/>
  <c r="T94" i="24"/>
  <c r="T96" i="24"/>
  <c r="T98" i="24"/>
  <c r="T102" i="24"/>
  <c r="T104" i="24"/>
  <c r="T106" i="24"/>
  <c r="T110" i="24"/>
  <c r="T112" i="24"/>
  <c r="T114" i="24"/>
  <c r="H189" i="24"/>
  <c r="J189" i="24" s="1"/>
  <c r="T205" i="24"/>
  <c r="T207" i="24"/>
  <c r="T213" i="24"/>
  <c r="T215" i="24"/>
  <c r="T221" i="24"/>
  <c r="T223" i="24"/>
  <c r="U371" i="24"/>
  <c r="H377" i="24"/>
  <c r="J377" i="24" s="1"/>
  <c r="H407" i="24"/>
  <c r="J407" i="24" s="1"/>
  <c r="H425" i="24"/>
  <c r="J425" i="24" s="1"/>
  <c r="H448" i="24"/>
  <c r="J448" i="24" s="1"/>
  <c r="U469" i="24"/>
  <c r="H552" i="24"/>
  <c r="J552" i="24" s="1"/>
  <c r="U799" i="24"/>
  <c r="H1699" i="24"/>
  <c r="J1699" i="24" s="1"/>
  <c r="H2065" i="24"/>
  <c r="J2065" i="24" s="1"/>
  <c r="U88" i="24"/>
  <c r="U96" i="24"/>
  <c r="U104" i="24"/>
  <c r="H123" i="24"/>
  <c r="J123" i="24" s="1"/>
  <c r="H159" i="24"/>
  <c r="J159" i="24" s="1"/>
  <c r="U209" i="24"/>
  <c r="H341" i="24"/>
  <c r="J341" i="24" s="1"/>
  <c r="H347" i="24"/>
  <c r="J347" i="24" s="1"/>
  <c r="U353" i="24"/>
  <c r="H353" i="24"/>
  <c r="J353" i="24" s="1"/>
  <c r="U431" i="24"/>
  <c r="T504" i="24"/>
  <c r="T508" i="24"/>
  <c r="T512" i="24"/>
  <c r="T516" i="24"/>
  <c r="T520" i="24"/>
  <c r="T524" i="24"/>
  <c r="H542" i="24"/>
  <c r="J542" i="24" s="1"/>
  <c r="T558" i="24"/>
  <c r="T560" i="24"/>
  <c r="T562" i="24"/>
  <c r="T566" i="24"/>
  <c r="T568" i="24"/>
  <c r="T570" i="24"/>
  <c r="T574" i="24"/>
  <c r="T576" i="24"/>
  <c r="T578" i="24"/>
  <c r="T582" i="24"/>
  <c r="H593" i="24"/>
  <c r="J593" i="24" s="1"/>
  <c r="U617" i="24"/>
  <c r="H2053" i="24"/>
  <c r="J2053" i="24" s="1"/>
  <c r="H2138" i="24"/>
  <c r="J2138" i="24" s="1"/>
  <c r="H2390" i="24"/>
  <c r="H179" i="24"/>
  <c r="J179" i="24" s="1"/>
  <c r="H255" i="24"/>
  <c r="J255" i="24" s="1"/>
  <c r="H365" i="24"/>
  <c r="J365" i="24" s="1"/>
  <c r="U466" i="24"/>
  <c r="U488" i="24"/>
  <c r="U495" i="24"/>
  <c r="U510" i="24"/>
  <c r="Z510" i="24" s="1"/>
  <c r="U556" i="24"/>
  <c r="U562" i="24"/>
  <c r="U570" i="24"/>
  <c r="U578" i="24"/>
  <c r="U710" i="24"/>
  <c r="H2025" i="24"/>
  <c r="J2025" i="24" s="1"/>
  <c r="P2093" i="24"/>
  <c r="H2093" i="24"/>
  <c r="J2093" i="24" s="1"/>
  <c r="H2270" i="24"/>
  <c r="J2270" i="24" s="1"/>
  <c r="H2462" i="24"/>
  <c r="J2462" i="24" s="1"/>
  <c r="H537" i="24"/>
  <c r="J537" i="24" s="1"/>
  <c r="U668" i="24"/>
  <c r="Z668" i="24" s="1"/>
  <c r="H710" i="24"/>
  <c r="J710" i="24" s="1"/>
  <c r="U751" i="24"/>
  <c r="Y751" i="24" s="1"/>
  <c r="U759" i="24"/>
  <c r="Y759" i="24" s="1"/>
  <c r="U767" i="24"/>
  <c r="U775" i="24"/>
  <c r="U779" i="24"/>
  <c r="P1093" i="24"/>
  <c r="U1623" i="24"/>
  <c r="U1631" i="24"/>
  <c r="U1637" i="24"/>
  <c r="U1639" i="24"/>
  <c r="U1645" i="24"/>
  <c r="U1647" i="24"/>
  <c r="U1655" i="24"/>
  <c r="U1659" i="24"/>
  <c r="U1663" i="24"/>
  <c r="U1683" i="24"/>
  <c r="U1693" i="24"/>
  <c r="H1719" i="24"/>
  <c r="J1719" i="24" s="1"/>
  <c r="U1766" i="24"/>
  <c r="U1770" i="24"/>
  <c r="U1774" i="24"/>
  <c r="U1778" i="24"/>
  <c r="U1780" i="24"/>
  <c r="H1884" i="24"/>
  <c r="J1884" i="24" s="1"/>
  <c r="H1892" i="24"/>
  <c r="J1892" i="24" s="1"/>
  <c r="H1921" i="24"/>
  <c r="J1921" i="24" s="1"/>
  <c r="H1961" i="24"/>
  <c r="J1961" i="24" s="1"/>
  <c r="H2057" i="24"/>
  <c r="J2057" i="24" s="1"/>
  <c r="U2073" i="24"/>
  <c r="H2077" i="24"/>
  <c r="J2077" i="24" s="1"/>
  <c r="H2133" i="24"/>
  <c r="J2133" i="24" s="1"/>
  <c r="H2153" i="24"/>
  <c r="J2153" i="24" s="1"/>
  <c r="H2252" i="24"/>
  <c r="U2264" i="24"/>
  <c r="U2288" i="24"/>
  <c r="Z2288" i="24" s="1"/>
  <c r="H2306" i="24"/>
  <c r="H2348" i="24"/>
  <c r="U2360" i="24"/>
  <c r="U2522" i="24"/>
  <c r="J2564" i="24"/>
  <c r="T2678" i="24"/>
  <c r="T2686" i="24"/>
  <c r="T2694" i="24"/>
  <c r="T2702" i="24"/>
  <c r="T818" i="24"/>
  <c r="T820" i="24"/>
  <c r="T822" i="24"/>
  <c r="T824" i="24"/>
  <c r="T826" i="24"/>
  <c r="T830" i="24"/>
  <c r="T836" i="24"/>
  <c r="U1704" i="24"/>
  <c r="H1707" i="24"/>
  <c r="J1707" i="24" s="1"/>
  <c r="U1805" i="24"/>
  <c r="U1817" i="24"/>
  <c r="H1876" i="24"/>
  <c r="J1876" i="24" s="1"/>
  <c r="H1917" i="24"/>
  <c r="J1917" i="24" s="1"/>
  <c r="U1949" i="24"/>
  <c r="Z1949" i="24" s="1"/>
  <c r="H2037" i="24"/>
  <c r="J2037" i="24" s="1"/>
  <c r="H2049" i="24"/>
  <c r="J2049" i="24" s="1"/>
  <c r="H2061" i="24"/>
  <c r="J2061" i="24" s="1"/>
  <c r="H2216" i="24"/>
  <c r="J2216" i="24" s="1"/>
  <c r="U2222" i="24"/>
  <c r="H2342" i="24"/>
  <c r="J2342" i="24" s="1"/>
  <c r="H2540" i="24"/>
  <c r="J2540" i="24" s="1"/>
  <c r="U2546" i="24"/>
  <c r="U1032" i="24"/>
  <c r="Z1032" i="24" s="1"/>
  <c r="U1056" i="24"/>
  <c r="Z1056" i="24" s="1"/>
  <c r="U1086" i="24"/>
  <c r="U1090" i="24"/>
  <c r="U1092" i="24"/>
  <c r="H1711" i="24"/>
  <c r="J1711" i="24" s="1"/>
  <c r="H1723" i="24"/>
  <c r="J1723" i="24" s="1"/>
  <c r="U1735" i="24"/>
  <c r="U1797" i="24"/>
  <c r="H1900" i="24"/>
  <c r="J1900" i="24" s="1"/>
  <c r="H1937" i="24"/>
  <c r="J1937" i="24" s="1"/>
  <c r="H1965" i="24"/>
  <c r="J1965" i="24" s="1"/>
  <c r="H1973" i="24"/>
  <c r="J1973" i="24" s="1"/>
  <c r="H2045" i="24"/>
  <c r="J2045" i="24" s="1"/>
  <c r="H2276" i="24"/>
  <c r="H2480" i="24"/>
  <c r="J2480" i="24" s="1"/>
  <c r="U2510" i="24"/>
  <c r="H2546" i="24"/>
  <c r="J2546" i="24" s="1"/>
  <c r="T2632" i="24"/>
  <c r="T2640" i="24"/>
  <c r="T2648" i="24"/>
  <c r="T2656" i="24"/>
  <c r="U1490" i="24"/>
  <c r="U1496" i="24"/>
  <c r="Y1496" i="24" s="1"/>
  <c r="U1498" i="24"/>
  <c r="U1739" i="24"/>
  <c r="U1743" i="24"/>
  <c r="Y1743" i="24" s="1"/>
  <c r="U1747" i="24"/>
  <c r="U1880" i="24"/>
  <c r="H1933" i="24"/>
  <c r="J1933" i="24" s="1"/>
  <c r="H2021" i="24"/>
  <c r="J2021" i="24" s="1"/>
  <c r="H2041" i="24"/>
  <c r="J2041" i="24" s="1"/>
  <c r="U2163" i="24"/>
  <c r="H2168" i="24"/>
  <c r="J2168" i="24" s="1"/>
  <c r="H2438" i="24"/>
  <c r="J2438" i="24" s="1"/>
  <c r="U2462" i="24"/>
  <c r="U2650" i="24"/>
  <c r="U2656" i="24"/>
  <c r="U613" i="24"/>
  <c r="U656" i="24"/>
  <c r="U692" i="24"/>
  <c r="U756" i="24"/>
  <c r="U760" i="24"/>
  <c r="U772" i="24"/>
  <c r="U776" i="24"/>
  <c r="H1904" i="24"/>
  <c r="J1904" i="24" s="1"/>
  <c r="J2204" i="24"/>
  <c r="J2348" i="24"/>
  <c r="H2366" i="24"/>
  <c r="J2366" i="24" s="1"/>
  <c r="H2498" i="24"/>
  <c r="J2498" i="24" s="1"/>
  <c r="H2564" i="24"/>
  <c r="T2677" i="24"/>
  <c r="T2685" i="24"/>
  <c r="T2693" i="24"/>
  <c r="T2701" i="24"/>
  <c r="H2336" i="24"/>
  <c r="J2336" i="24" s="1"/>
  <c r="U2348" i="24"/>
  <c r="H2354" i="24"/>
  <c r="U2504" i="24"/>
  <c r="Y2504" i="24" s="1"/>
  <c r="H698" i="24"/>
  <c r="J698" i="24" s="1"/>
  <c r="H1833" i="24"/>
  <c r="J1833" i="24" s="1"/>
  <c r="H1841" i="24"/>
  <c r="J1841" i="24" s="1"/>
  <c r="H1925" i="24"/>
  <c r="J1925" i="24" s="1"/>
  <c r="H1949" i="24"/>
  <c r="J1949" i="24" s="1"/>
  <c r="H2001" i="24"/>
  <c r="J2001" i="24" s="1"/>
  <c r="H2005" i="24"/>
  <c r="J2005" i="24" s="1"/>
  <c r="H2029" i="24"/>
  <c r="J2029" i="24" s="1"/>
  <c r="H2081" i="24"/>
  <c r="J2081" i="24" s="1"/>
  <c r="H2118" i="24"/>
  <c r="J2118" i="24" s="1"/>
  <c r="H2163" i="24"/>
  <c r="J2163" i="24" s="1"/>
  <c r="H2174" i="24"/>
  <c r="J2174" i="24" s="1"/>
  <c r="H2282" i="24"/>
  <c r="H2474" i="24"/>
  <c r="J2474" i="24" s="1"/>
  <c r="T2631" i="24"/>
  <c r="T2633" i="24"/>
  <c r="T2639" i="24"/>
  <c r="T2641" i="24"/>
  <c r="T2647" i="24"/>
  <c r="T2649" i="24"/>
  <c r="T2655" i="24"/>
  <c r="T2657" i="24"/>
  <c r="S2658" i="24"/>
  <c r="U2658" i="24" s="1"/>
  <c r="S776" i="21"/>
  <c r="P858" i="21"/>
  <c r="P938" i="21"/>
  <c r="S978" i="21"/>
  <c r="P1050" i="21"/>
  <c r="S1106" i="21"/>
  <c r="U1106" i="21" s="1"/>
  <c r="P1234" i="21"/>
  <c r="S1322" i="21"/>
  <c r="P1482" i="21"/>
  <c r="P760" i="21"/>
  <c r="S994" i="21"/>
  <c r="U994" i="21" s="1"/>
  <c r="Z994" i="21" s="1"/>
  <c r="S1170" i="21"/>
  <c r="S1402" i="21"/>
  <c r="S1850" i="21"/>
  <c r="U1850" i="21" s="1"/>
  <c r="S580" i="21"/>
  <c r="S833" i="21"/>
  <c r="P874" i="21"/>
  <c r="P954" i="21"/>
  <c r="P1066" i="21"/>
  <c r="S1122" i="21"/>
  <c r="P1250" i="21"/>
  <c r="S1418" i="21"/>
  <c r="U1418" i="21" s="1"/>
  <c r="S1138" i="21"/>
  <c r="S1354" i="21"/>
  <c r="P1434" i="21"/>
  <c r="P768" i="21"/>
  <c r="P890" i="21"/>
  <c r="P1010" i="21"/>
  <c r="S1186" i="21"/>
  <c r="P1282" i="21"/>
  <c r="P906" i="21"/>
  <c r="S962" i="21"/>
  <c r="S1202" i="21"/>
  <c r="P1450" i="21"/>
  <c r="P1754" i="21"/>
  <c r="P443" i="21"/>
  <c r="P842" i="21"/>
  <c r="S1018" i="21"/>
  <c r="U1018" i="21" s="1"/>
  <c r="Z1018" i="21" s="1"/>
  <c r="S1090" i="21"/>
  <c r="S1154" i="21"/>
  <c r="S1370" i="21"/>
  <c r="P472" i="21"/>
  <c r="S1640" i="21"/>
  <c r="P1664" i="21"/>
  <c r="S877" i="21"/>
  <c r="U877" i="21" s="1"/>
  <c r="P189" i="21"/>
  <c r="P290" i="21"/>
  <c r="S85" i="21"/>
  <c r="U597" i="21"/>
  <c r="Y597" i="21" s="1"/>
  <c r="S437" i="21"/>
  <c r="U437" i="21" s="1"/>
  <c r="P341" i="21"/>
  <c r="P600" i="21"/>
  <c r="P249" i="21"/>
  <c r="J693" i="23"/>
  <c r="H692" i="23"/>
  <c r="J692" i="23" s="1"/>
  <c r="H335" i="23"/>
  <c r="J335" i="23" s="1"/>
  <c r="H305" i="23"/>
  <c r="J305" i="23" s="1"/>
  <c r="J306" i="23"/>
  <c r="H644" i="23"/>
  <c r="J644" i="23" s="1"/>
  <c r="H2468" i="23"/>
  <c r="J2468" i="23" s="1"/>
  <c r="H2492" i="23"/>
  <c r="J2492" i="23" s="1"/>
  <c r="T46" i="23"/>
  <c r="T48" i="23"/>
  <c r="T50" i="23"/>
  <c r="T54" i="23"/>
  <c r="T56" i="23"/>
  <c r="T58" i="23"/>
  <c r="T62" i="23"/>
  <c r="T64" i="23"/>
  <c r="T66" i="23"/>
  <c r="U89" i="23"/>
  <c r="U103" i="23"/>
  <c r="U277" i="23"/>
  <c r="H359" i="23"/>
  <c r="J359" i="23" s="1"/>
  <c r="H710" i="23"/>
  <c r="J710" i="23" s="1"/>
  <c r="H159" i="23"/>
  <c r="J159" i="23" s="1"/>
  <c r="H2234" i="23"/>
  <c r="J2234" i="23" s="1"/>
  <c r="U245" i="23"/>
  <c r="U443" i="23"/>
  <c r="Y443" i="23" s="1"/>
  <c r="H443" i="23"/>
  <c r="J443" i="23" s="1"/>
  <c r="U703" i="23"/>
  <c r="H2222" i="23"/>
  <c r="U25" i="23"/>
  <c r="T94" i="23"/>
  <c r="T98" i="23"/>
  <c r="T102" i="23"/>
  <c r="T106" i="23"/>
  <c r="T110" i="23"/>
  <c r="T114" i="23"/>
  <c r="U123" i="23"/>
  <c r="U296" i="23"/>
  <c r="H437" i="23"/>
  <c r="J437" i="23" s="1"/>
  <c r="P1744" i="23"/>
  <c r="S1744" i="23"/>
  <c r="U1744" i="23" s="1"/>
  <c r="H2240" i="23"/>
  <c r="J2240" i="23" s="1"/>
  <c r="U673" i="23"/>
  <c r="H680" i="23"/>
  <c r="J680" i="23" s="1"/>
  <c r="H1808" i="23"/>
  <c r="J1808" i="23" s="1"/>
  <c r="H1820" i="23"/>
  <c r="J1820" i="23" s="1"/>
  <c r="H1853" i="23"/>
  <c r="J1853" i="23" s="1"/>
  <c r="H2077" i="23"/>
  <c r="J2077" i="23" s="1"/>
  <c r="H2101" i="23"/>
  <c r="J2101" i="23" s="1"/>
  <c r="H2216" i="23"/>
  <c r="H2252" i="23"/>
  <c r="J2252" i="23" s="1"/>
  <c r="H2354" i="23"/>
  <c r="J2354" i="23" s="1"/>
  <c r="T107" i="23"/>
  <c r="T109" i="23"/>
  <c r="T111" i="23"/>
  <c r="T115" i="23"/>
  <c r="H123" i="23"/>
  <c r="J123" i="23" s="1"/>
  <c r="H175" i="23"/>
  <c r="J175" i="23" s="1"/>
  <c r="H189" i="23"/>
  <c r="J189" i="23" s="1"/>
  <c r="H317" i="23"/>
  <c r="J317" i="23" s="1"/>
  <c r="H341" i="23"/>
  <c r="J341" i="23" s="1"/>
  <c r="H395" i="23"/>
  <c r="J395" i="23" s="1"/>
  <c r="H448" i="23"/>
  <c r="J448" i="23" s="1"/>
  <c r="H453" i="23"/>
  <c r="J453" i="23" s="1"/>
  <c r="H593" i="23"/>
  <c r="J593" i="23" s="1"/>
  <c r="H613" i="23"/>
  <c r="J613" i="23" s="1"/>
  <c r="T749" i="23"/>
  <c r="T753" i="23"/>
  <c r="T757" i="23"/>
  <c r="T761" i="23"/>
  <c r="T765" i="23"/>
  <c r="T769" i="23"/>
  <c r="T773" i="23"/>
  <c r="T777" i="23"/>
  <c r="H1707" i="23"/>
  <c r="J1707" i="23" s="1"/>
  <c r="H1723" i="23"/>
  <c r="J1723" i="23" s="1"/>
  <c r="H1805" i="23"/>
  <c r="J1805" i="23" s="1"/>
  <c r="H1841" i="23"/>
  <c r="J1841" i="23" s="1"/>
  <c r="H1892" i="23"/>
  <c r="J1892" i="23" s="1"/>
  <c r="H1945" i="23"/>
  <c r="J1945" i="23" s="1"/>
  <c r="H1949" i="23"/>
  <c r="J1949" i="23" s="1"/>
  <c r="H2009" i="23"/>
  <c r="J2009" i="23" s="1"/>
  <c r="H2021" i="23"/>
  <c r="J2021" i="23" s="1"/>
  <c r="U2288" i="23"/>
  <c r="U2312" i="23"/>
  <c r="U2504" i="23"/>
  <c r="Y2504" i="23" s="1"/>
  <c r="U2564" i="23"/>
  <c r="U127" i="23"/>
  <c r="U241" i="23"/>
  <c r="U251" i="23"/>
  <c r="U290" i="23"/>
  <c r="H371" i="23"/>
  <c r="J371" i="23" s="1"/>
  <c r="U464" i="23"/>
  <c r="U489" i="23"/>
  <c r="H668" i="23"/>
  <c r="J668" i="23" s="1"/>
  <c r="U674" i="23"/>
  <c r="H686" i="23"/>
  <c r="J686" i="23" s="1"/>
  <c r="U718" i="23"/>
  <c r="Z718" i="23" s="1"/>
  <c r="U722" i="23"/>
  <c r="U749" i="23"/>
  <c r="U753" i="23"/>
  <c r="Z753" i="23" s="1"/>
  <c r="U755" i="23"/>
  <c r="U761" i="23"/>
  <c r="Z761" i="23" s="1"/>
  <c r="U763" i="23"/>
  <c r="U765" i="23"/>
  <c r="U771" i="23"/>
  <c r="U773" i="23"/>
  <c r="U777" i="23"/>
  <c r="Z777" i="23" s="1"/>
  <c r="U779" i="23"/>
  <c r="H785" i="23"/>
  <c r="J785" i="23" s="1"/>
  <c r="U1715" i="23"/>
  <c r="U1743" i="23"/>
  <c r="Z1743" i="23" s="1"/>
  <c r="H1833" i="23"/>
  <c r="J1833" i="23" s="1"/>
  <c r="H1880" i="23"/>
  <c r="J1880" i="23" s="1"/>
  <c r="U1884" i="23"/>
  <c r="U1900" i="23"/>
  <c r="H2013" i="23"/>
  <c r="J2013" i="23" s="1"/>
  <c r="H2057" i="23"/>
  <c r="J2057" i="23" s="1"/>
  <c r="H2118" i="23"/>
  <c r="J2118" i="23" s="1"/>
  <c r="H2148" i="23"/>
  <c r="J2148" i="23" s="1"/>
  <c r="H2258" i="23"/>
  <c r="J2258" i="23" s="1"/>
  <c r="H2270" i="23"/>
  <c r="J2270" i="23" s="1"/>
  <c r="U2360" i="23"/>
  <c r="U2420" i="23"/>
  <c r="H2456" i="23"/>
  <c r="J2456" i="23" s="1"/>
  <c r="H2498" i="23"/>
  <c r="J2498" i="23" s="1"/>
  <c r="H2516" i="23"/>
  <c r="J2516" i="23" s="1"/>
  <c r="H2522" i="23"/>
  <c r="J2522" i="23" s="1"/>
  <c r="U147" i="23"/>
  <c r="H179" i="23"/>
  <c r="J179" i="23" s="1"/>
  <c r="U186" i="23"/>
  <c r="H193" i="23"/>
  <c r="J193" i="23" s="1"/>
  <c r="H265" i="23"/>
  <c r="J265" i="23" s="1"/>
  <c r="H347" i="23"/>
  <c r="J347" i="23" s="1"/>
  <c r="U353" i="23"/>
  <c r="H389" i="23"/>
  <c r="J389" i="23" s="1"/>
  <c r="U425" i="23"/>
  <c r="U437" i="23"/>
  <c r="T559" i="23"/>
  <c r="T561" i="23"/>
  <c r="T563" i="23"/>
  <c r="T567" i="23"/>
  <c r="T569" i="23"/>
  <c r="T571" i="23"/>
  <c r="T575" i="23"/>
  <c r="T577" i="23"/>
  <c r="T579" i="23"/>
  <c r="U726" i="23"/>
  <c r="H1711" i="23"/>
  <c r="J1711" i="23" s="1"/>
  <c r="T1753" i="23"/>
  <c r="T1757" i="23"/>
  <c r="T1761" i="23"/>
  <c r="T1763" i="23"/>
  <c r="T1765" i="23"/>
  <c r="T1769" i="23"/>
  <c r="T1771" i="23"/>
  <c r="T1773" i="23"/>
  <c r="T1777" i="23"/>
  <c r="T1779" i="23"/>
  <c r="T1781" i="23"/>
  <c r="U1868" i="23"/>
  <c r="H1872" i="23"/>
  <c r="J1872" i="23" s="1"/>
  <c r="H1896" i="23"/>
  <c r="J1896" i="23" s="1"/>
  <c r="H1913" i="23"/>
  <c r="J1913" i="23" s="1"/>
  <c r="H1917" i="23"/>
  <c r="J1917" i="23" s="1"/>
  <c r="H2061" i="23"/>
  <c r="J2061" i="23" s="1"/>
  <c r="H2085" i="23"/>
  <c r="J2085" i="23" s="1"/>
  <c r="H2113" i="23"/>
  <c r="J2113" i="23" s="1"/>
  <c r="H2143" i="23"/>
  <c r="J2143" i="23" s="1"/>
  <c r="H2163" i="23"/>
  <c r="J2163" i="23" s="1"/>
  <c r="J2390" i="23"/>
  <c r="J2414" i="23"/>
  <c r="J2438" i="23"/>
  <c r="U2444" i="23"/>
  <c r="T2680" i="23"/>
  <c r="T2682" i="23"/>
  <c r="T2688" i="23"/>
  <c r="T2690" i="23"/>
  <c r="T2696" i="23"/>
  <c r="T2698" i="23"/>
  <c r="T2704" i="23"/>
  <c r="T2706" i="23"/>
  <c r="H353" i="23"/>
  <c r="J353" i="23" s="1"/>
  <c r="H419" i="23"/>
  <c r="J419" i="23" s="1"/>
  <c r="U483" i="23"/>
  <c r="U493" i="23"/>
  <c r="Y493" i="23" s="1"/>
  <c r="U593" i="23"/>
  <c r="U600" i="23"/>
  <c r="U625" i="23"/>
  <c r="Z625" i="23" s="1"/>
  <c r="U629" i="23"/>
  <c r="H656" i="23"/>
  <c r="J656" i="23" s="1"/>
  <c r="H704" i="23"/>
  <c r="J704" i="23" s="1"/>
  <c r="U1719" i="23"/>
  <c r="U1757" i="23"/>
  <c r="Z1757" i="23" s="1"/>
  <c r="U1765" i="23"/>
  <c r="Z1765" i="23" s="1"/>
  <c r="U1781" i="23"/>
  <c r="U1789" i="23"/>
  <c r="U1830" i="23"/>
  <c r="H1860" i="23"/>
  <c r="J1860" i="23" s="1"/>
  <c r="H1868" i="23"/>
  <c r="J1868" i="23" s="1"/>
  <c r="H1965" i="23"/>
  <c r="J1965" i="23" s="1"/>
  <c r="H1993" i="23"/>
  <c r="J1993" i="23" s="1"/>
  <c r="H2005" i="23"/>
  <c r="J2005" i="23" s="1"/>
  <c r="H2089" i="23"/>
  <c r="J2089" i="23" s="1"/>
  <c r="H2128" i="23"/>
  <c r="J2128" i="23" s="1"/>
  <c r="H2158" i="23"/>
  <c r="J2158" i="23" s="1"/>
  <c r="U2168" i="23"/>
  <c r="H2264" i="23"/>
  <c r="J2264" i="23" s="1"/>
  <c r="H2348" i="23"/>
  <c r="U2426" i="23"/>
  <c r="H2450" i="23"/>
  <c r="J2450" i="23" s="1"/>
  <c r="H2564" i="23"/>
  <c r="J2564" i="23" s="1"/>
  <c r="U2698" i="23"/>
  <c r="Y2698" i="23" s="1"/>
  <c r="U2706" i="23"/>
  <c r="H605" i="23"/>
  <c r="J605" i="23" s="1"/>
  <c r="H674" i="23"/>
  <c r="J674" i="23" s="1"/>
  <c r="T750" i="23"/>
  <c r="T752" i="23"/>
  <c r="T756" i="23"/>
  <c r="T758" i="23"/>
  <c r="T760" i="23"/>
  <c r="T764" i="23"/>
  <c r="T766" i="23"/>
  <c r="T768" i="23"/>
  <c r="T772" i="23"/>
  <c r="T774" i="23"/>
  <c r="T776" i="23"/>
  <c r="U1688" i="23"/>
  <c r="H1864" i="23"/>
  <c r="J1864" i="23" s="1"/>
  <c r="H2041" i="23"/>
  <c r="J2041" i="23" s="1"/>
  <c r="H2053" i="23"/>
  <c r="J2053" i="23" s="1"/>
  <c r="H2093" i="23"/>
  <c r="J2093" i="23" s="1"/>
  <c r="H2186" i="23"/>
  <c r="J2186" i="23" s="1"/>
  <c r="U2216" i="23"/>
  <c r="U2276" i="23"/>
  <c r="U2300" i="23"/>
  <c r="J2336" i="23"/>
  <c r="U2348" i="23"/>
  <c r="J2396" i="23"/>
  <c r="J2420" i="23"/>
  <c r="H2426" i="23"/>
  <c r="J2426" i="23" s="1"/>
  <c r="H2486" i="23"/>
  <c r="J2486" i="23" s="1"/>
  <c r="U2492" i="23"/>
  <c r="U2540" i="23"/>
  <c r="U79" i="23"/>
  <c r="U139" i="23"/>
  <c r="H144" i="23"/>
  <c r="J144" i="23" s="1"/>
  <c r="U167" i="23"/>
  <c r="H171" i="23"/>
  <c r="J171" i="23" s="1"/>
  <c r="H255" i="23"/>
  <c r="J255" i="23" s="1"/>
  <c r="U299" i="23"/>
  <c r="H365" i="23"/>
  <c r="J365" i="23" s="1"/>
  <c r="H552" i="23"/>
  <c r="J552" i="23" s="1"/>
  <c r="T560" i="23"/>
  <c r="T564" i="23"/>
  <c r="T568" i="23"/>
  <c r="T572" i="23"/>
  <c r="T576" i="23"/>
  <c r="T580" i="23"/>
  <c r="U597" i="23"/>
  <c r="U604" i="23"/>
  <c r="Z604" i="23" s="1"/>
  <c r="H617" i="23"/>
  <c r="J617" i="23" s="1"/>
  <c r="H662" i="23"/>
  <c r="J662" i="23" s="1"/>
  <c r="U686" i="23"/>
  <c r="H1715" i="23"/>
  <c r="J1715" i="23" s="1"/>
  <c r="H1719" i="23"/>
  <c r="J1719" i="23" s="1"/>
  <c r="T1754" i="23"/>
  <c r="T1756" i="23"/>
  <c r="T1762" i="23"/>
  <c r="T1764" i="23"/>
  <c r="T1770" i="23"/>
  <c r="T1772" i="23"/>
  <c r="T1778" i="23"/>
  <c r="T1780" i="23"/>
  <c r="H1888" i="23"/>
  <c r="J1888" i="23" s="1"/>
  <c r="H1904" i="23"/>
  <c r="J1904" i="23" s="1"/>
  <c r="H1909" i="23"/>
  <c r="J1909" i="23" s="1"/>
  <c r="H1977" i="23"/>
  <c r="J1977" i="23" s="1"/>
  <c r="H1981" i="23"/>
  <c r="J1981" i="23" s="1"/>
  <c r="H2029" i="23"/>
  <c r="J2029" i="23" s="1"/>
  <c r="H2073" i="23"/>
  <c r="J2073" i="23" s="1"/>
  <c r="H2168" i="23"/>
  <c r="H2180" i="23"/>
  <c r="J2180" i="23" s="1"/>
  <c r="U2258" i="23"/>
  <c r="U2282" i="23"/>
  <c r="H2366" i="23"/>
  <c r="J2366" i="23" s="1"/>
  <c r="U2456" i="23"/>
  <c r="S880" i="22"/>
  <c r="U880" i="22" s="1"/>
  <c r="P880" i="22"/>
  <c r="X880" i="22" s="1"/>
  <c r="U25" i="22"/>
  <c r="Z25" i="22" s="1"/>
  <c r="U80" i="22"/>
  <c r="U82" i="22"/>
  <c r="U101" i="22"/>
  <c r="Y101" i="22" s="1"/>
  <c r="U109" i="22"/>
  <c r="Y109" i="22" s="1"/>
  <c r="H153" i="22"/>
  <c r="J153" i="22" s="1"/>
  <c r="H167" i="22"/>
  <c r="J167" i="22" s="1"/>
  <c r="U249" i="22"/>
  <c r="U265" i="22"/>
  <c r="H329" i="22"/>
  <c r="J329" i="22" s="1"/>
  <c r="H453" i="22"/>
  <c r="J453" i="22" s="1"/>
  <c r="H542" i="22"/>
  <c r="J542" i="22" s="1"/>
  <c r="H552" i="22"/>
  <c r="J552" i="22" s="1"/>
  <c r="U624" i="22"/>
  <c r="H674" i="22"/>
  <c r="J674" i="22" s="1"/>
  <c r="H2204" i="22"/>
  <c r="H2270" i="22"/>
  <c r="H377" i="22"/>
  <c r="J377" i="22" s="1"/>
  <c r="U27" i="22"/>
  <c r="T45" i="22"/>
  <c r="T49" i="22"/>
  <c r="T53" i="22"/>
  <c r="T57" i="22"/>
  <c r="T61" i="22"/>
  <c r="T65" i="22"/>
  <c r="S72" i="22"/>
  <c r="U123" i="22"/>
  <c r="Y123" i="22" s="1"/>
  <c r="H123" i="22"/>
  <c r="J123" i="22" s="1"/>
  <c r="H193" i="22"/>
  <c r="J193" i="22" s="1"/>
  <c r="U244" i="22"/>
  <c r="U253" i="22"/>
  <c r="H270" i="22"/>
  <c r="J270" i="22" s="1"/>
  <c r="H448" i="22"/>
  <c r="J448" i="22" s="1"/>
  <c r="H472" i="22"/>
  <c r="J472" i="22" s="1"/>
  <c r="H477" i="22"/>
  <c r="J477" i="22" s="1"/>
  <c r="H532" i="22"/>
  <c r="J532" i="22" s="1"/>
  <c r="U585" i="22"/>
  <c r="Y585" i="22" s="1"/>
  <c r="U600" i="22"/>
  <c r="Y600" i="22" s="1"/>
  <c r="U631" i="22"/>
  <c r="Z631" i="22" s="1"/>
  <c r="H662" i="22"/>
  <c r="J662" i="22" s="1"/>
  <c r="U668" i="22"/>
  <c r="U698" i="22"/>
  <c r="U720" i="22"/>
  <c r="H785" i="22"/>
  <c r="J785" i="22" s="1"/>
  <c r="H2128" i="22"/>
  <c r="J2128" i="22" s="1"/>
  <c r="U45" i="22"/>
  <c r="Z45" i="22" s="1"/>
  <c r="U49" i="22"/>
  <c r="U57" i="22"/>
  <c r="U61" i="22"/>
  <c r="Z61" i="22" s="1"/>
  <c r="U65" i="22"/>
  <c r="U119" i="22"/>
  <c r="Y119" i="22" s="1"/>
  <c r="U134" i="22"/>
  <c r="Z134" i="22" s="1"/>
  <c r="U136" i="22"/>
  <c r="Z136" i="22" s="1"/>
  <c r="H159" i="22"/>
  <c r="J159" i="22" s="1"/>
  <c r="H175" i="22"/>
  <c r="J175" i="22" s="1"/>
  <c r="H179" i="22"/>
  <c r="J179" i="22" s="1"/>
  <c r="U199" i="22"/>
  <c r="T203" i="22"/>
  <c r="T207" i="22"/>
  <c r="T211" i="22"/>
  <c r="T215" i="22"/>
  <c r="T219" i="22"/>
  <c r="T223" i="22"/>
  <c r="U237" i="22"/>
  <c r="H407" i="22"/>
  <c r="J407" i="22" s="1"/>
  <c r="W480" i="22"/>
  <c r="T507" i="22"/>
  <c r="T515" i="22"/>
  <c r="T517" i="22"/>
  <c r="T523" i="22"/>
  <c r="T527" i="22"/>
  <c r="T560" i="22"/>
  <c r="T564" i="22"/>
  <c r="T568" i="22"/>
  <c r="T572" i="22"/>
  <c r="T576" i="22"/>
  <c r="T580" i="22"/>
  <c r="H593" i="22"/>
  <c r="J593" i="22" s="1"/>
  <c r="U597" i="22"/>
  <c r="Y597" i="22" s="1"/>
  <c r="H2288" i="22"/>
  <c r="J2288" i="22" s="1"/>
  <c r="U22" i="22"/>
  <c r="Z22" i="22" s="1"/>
  <c r="U88" i="22"/>
  <c r="Z88" i="22" s="1"/>
  <c r="T92" i="22"/>
  <c r="T96" i="22"/>
  <c r="T100" i="22"/>
  <c r="T104" i="22"/>
  <c r="T108" i="22"/>
  <c r="T112" i="22"/>
  <c r="H163" i="22"/>
  <c r="J163" i="22" s="1"/>
  <c r="U171" i="22"/>
  <c r="U185" i="22"/>
  <c r="U203" i="22"/>
  <c r="U207" i="22"/>
  <c r="U211" i="22"/>
  <c r="U215" i="22"/>
  <c r="U219" i="22"/>
  <c r="U223" i="22"/>
  <c r="H265" i="22"/>
  <c r="J265" i="22" s="1"/>
  <c r="H317" i="22"/>
  <c r="J317" i="22" s="1"/>
  <c r="U463" i="22"/>
  <c r="U483" i="22"/>
  <c r="U517" i="22"/>
  <c r="U525" i="22"/>
  <c r="U531" i="22"/>
  <c r="U546" i="22"/>
  <c r="U558" i="22"/>
  <c r="U574" i="22"/>
  <c r="Z574" i="22" s="1"/>
  <c r="U576" i="22"/>
  <c r="Y576" i="22" s="1"/>
  <c r="U582" i="22"/>
  <c r="Z582" i="22" s="1"/>
  <c r="U602" i="22"/>
  <c r="Z602" i="22" s="1"/>
  <c r="U650" i="22"/>
  <c r="H656" i="22"/>
  <c r="J656" i="22" s="1"/>
  <c r="U673" i="22"/>
  <c r="H680" i="22"/>
  <c r="J680" i="22" s="1"/>
  <c r="T751" i="22"/>
  <c r="T755" i="22"/>
  <c r="T759" i="22"/>
  <c r="U811" i="22"/>
  <c r="U815" i="22"/>
  <c r="U827" i="22"/>
  <c r="U831" i="22"/>
  <c r="U841" i="22"/>
  <c r="U845" i="22"/>
  <c r="U847" i="22"/>
  <c r="U849" i="22"/>
  <c r="U851" i="22"/>
  <c r="U853" i="22"/>
  <c r="U855" i="22"/>
  <c r="U857" i="22"/>
  <c r="U861" i="22"/>
  <c r="U863" i="22"/>
  <c r="U865" i="22"/>
  <c r="U867" i="22"/>
  <c r="U869" i="22"/>
  <c r="U871" i="22"/>
  <c r="U873" i="22"/>
  <c r="U875" i="22"/>
  <c r="U877" i="22"/>
  <c r="U881" i="22"/>
  <c r="U883" i="22"/>
  <c r="U885" i="22"/>
  <c r="U887" i="22"/>
  <c r="U889" i="22"/>
  <c r="U891" i="22"/>
  <c r="U895" i="22"/>
  <c r="U899" i="22"/>
  <c r="U903" i="22"/>
  <c r="U907" i="22"/>
  <c r="U919" i="22"/>
  <c r="U927" i="22"/>
  <c r="U943" i="22"/>
  <c r="U951" i="22"/>
  <c r="H2118" i="22"/>
  <c r="J2118" i="22" s="1"/>
  <c r="H425" i="22"/>
  <c r="J425" i="22" s="1"/>
  <c r="H644" i="22"/>
  <c r="J644" i="22" s="1"/>
  <c r="H2186" i="22"/>
  <c r="U153" i="22"/>
  <c r="H359" i="22"/>
  <c r="J359" i="22" s="1"/>
  <c r="H389" i="22"/>
  <c r="J389" i="22" s="1"/>
  <c r="H413" i="22"/>
  <c r="J413" i="22" s="1"/>
  <c r="U487" i="22"/>
  <c r="U496" i="22"/>
  <c r="U584" i="22"/>
  <c r="Z584" i="22" s="1"/>
  <c r="U632" i="22"/>
  <c r="U726" i="22"/>
  <c r="H781" i="22"/>
  <c r="J781" i="22" s="1"/>
  <c r="H2462" i="22"/>
  <c r="H2123" i="22"/>
  <c r="J2123" i="22" s="1"/>
  <c r="H2133" i="22"/>
  <c r="J2133" i="22" s="1"/>
  <c r="U2148" i="22"/>
  <c r="U2192" i="22"/>
  <c r="H2390" i="22"/>
  <c r="J2390" i="22" s="1"/>
  <c r="U719" i="22"/>
  <c r="U803" i="22"/>
  <c r="U882" i="22"/>
  <c r="U884" i="22"/>
  <c r="U888" i="22"/>
  <c r="U890" i="22"/>
  <c r="U894" i="22"/>
  <c r="U898" i="22"/>
  <c r="U902" i="22"/>
  <c r="U906" i="22"/>
  <c r="U910" i="22"/>
  <c r="U1368" i="22"/>
  <c r="U1376" i="22"/>
  <c r="U1384" i="22"/>
  <c r="U1392" i="22"/>
  <c r="U1400" i="22"/>
  <c r="U1408" i="22"/>
  <c r="U1416" i="22"/>
  <c r="U1424" i="22"/>
  <c r="U1666" i="22"/>
  <c r="U1734" i="22"/>
  <c r="H1808" i="22"/>
  <c r="J1808" i="22" s="1"/>
  <c r="H1847" i="22"/>
  <c r="J1847" i="22" s="1"/>
  <c r="U1896" i="22"/>
  <c r="H1937" i="22"/>
  <c r="J1937" i="22" s="1"/>
  <c r="U1969" i="22"/>
  <c r="H2009" i="22"/>
  <c r="J2009" i="22" s="1"/>
  <c r="H2033" i="22"/>
  <c r="J2033" i="22" s="1"/>
  <c r="H2041" i="22"/>
  <c r="J2041" i="22" s="1"/>
  <c r="U2061" i="22"/>
  <c r="U2109" i="22"/>
  <c r="H2113" i="22"/>
  <c r="J2113" i="22" s="1"/>
  <c r="H2294" i="22"/>
  <c r="H2414" i="22"/>
  <c r="J2414" i="22" s="1"/>
  <c r="H2498" i="22"/>
  <c r="J2498" i="22" s="1"/>
  <c r="H2522" i="22"/>
  <c r="H2546" i="22"/>
  <c r="T2704" i="22"/>
  <c r="T763" i="22"/>
  <c r="T767" i="22"/>
  <c r="T771" i="22"/>
  <c r="T775" i="22"/>
  <c r="T779" i="22"/>
  <c r="H1719" i="22"/>
  <c r="J1719" i="22" s="1"/>
  <c r="U1787" i="22"/>
  <c r="U1814" i="22"/>
  <c r="U1823" i="22"/>
  <c r="U1825" i="22"/>
  <c r="Z1825" i="22" s="1"/>
  <c r="U1832" i="22"/>
  <c r="U1872" i="22"/>
  <c r="H1876" i="22"/>
  <c r="J1876" i="22" s="1"/>
  <c r="H1892" i="22"/>
  <c r="J1892" i="22" s="1"/>
  <c r="H1913" i="22"/>
  <c r="J1913" i="22" s="1"/>
  <c r="H1949" i="22"/>
  <c r="J1949" i="22" s="1"/>
  <c r="H1989" i="22"/>
  <c r="J1989" i="22" s="1"/>
  <c r="H1993" i="22"/>
  <c r="J1993" i="22" s="1"/>
  <c r="H2053" i="22"/>
  <c r="J2053" i="22" s="1"/>
  <c r="H2312" i="22"/>
  <c r="H2384" i="22"/>
  <c r="J2384" i="22" s="1"/>
  <c r="H2402" i="22"/>
  <c r="J2402" i="22" s="1"/>
  <c r="T809" i="22"/>
  <c r="T811" i="22"/>
  <c r="T815" i="22"/>
  <c r="T817" i="22"/>
  <c r="T819" i="22"/>
  <c r="T823" i="22"/>
  <c r="T825" i="22"/>
  <c r="T827" i="22"/>
  <c r="T831" i="22"/>
  <c r="T833" i="22"/>
  <c r="T837" i="22"/>
  <c r="T839" i="22"/>
  <c r="T1756" i="22"/>
  <c r="T1764" i="22"/>
  <c r="T1768" i="22"/>
  <c r="T1770" i="22"/>
  <c r="T1772" i="22"/>
  <c r="T1776" i="22"/>
  <c r="T1778" i="22"/>
  <c r="T1780" i="22"/>
  <c r="H1820" i="22"/>
  <c r="J1820" i="22" s="1"/>
  <c r="H1864" i="22"/>
  <c r="J1864" i="22" s="1"/>
  <c r="H1945" i="22"/>
  <c r="J1945" i="22" s="1"/>
  <c r="H2017" i="22"/>
  <c r="J2017" i="22" s="1"/>
  <c r="H2174" i="22"/>
  <c r="J2174" i="22" s="1"/>
  <c r="H2234" i="22"/>
  <c r="J2234" i="22" s="1"/>
  <c r="H2252" i="22"/>
  <c r="J2252" i="22" s="1"/>
  <c r="H2348" i="22"/>
  <c r="H2432" i="22"/>
  <c r="H2480" i="22"/>
  <c r="J2480" i="22" s="1"/>
  <c r="H2504" i="22"/>
  <c r="J2504" i="22" s="1"/>
  <c r="H2510" i="22"/>
  <c r="J2510" i="22" s="1"/>
  <c r="T1661" i="22"/>
  <c r="T1665" i="22"/>
  <c r="T1669" i="22"/>
  <c r="T1673" i="22"/>
  <c r="T1677" i="22"/>
  <c r="T1681" i="22"/>
  <c r="T1685" i="22"/>
  <c r="T1689" i="22"/>
  <c r="U1764" i="22"/>
  <c r="Z1764" i="22" s="1"/>
  <c r="U1768" i="22"/>
  <c r="U1772" i="22"/>
  <c r="U1774" i="22"/>
  <c r="U1841" i="22"/>
  <c r="H1868" i="22"/>
  <c r="J1868" i="22" s="1"/>
  <c r="H1880" i="22"/>
  <c r="J1880" i="22" s="1"/>
  <c r="H1896" i="22"/>
  <c r="J1896" i="22" s="1"/>
  <c r="H1929" i="22"/>
  <c r="J1929" i="22" s="1"/>
  <c r="H2037" i="22"/>
  <c r="J2037" i="22" s="1"/>
  <c r="H2222" i="22"/>
  <c r="U2258" i="22"/>
  <c r="U2282" i="22"/>
  <c r="H2450" i="22"/>
  <c r="J2450" i="22" s="1"/>
  <c r="H2540" i="22"/>
  <c r="U2552" i="22"/>
  <c r="U955" i="22"/>
  <c r="Z955" i="22" s="1"/>
  <c r="U959" i="22"/>
  <c r="U963" i="22"/>
  <c r="Z963" i="22" s="1"/>
  <c r="U967" i="22"/>
  <c r="U977" i="22"/>
  <c r="U981" i="22"/>
  <c r="U983" i="22"/>
  <c r="U985" i="22"/>
  <c r="U987" i="22"/>
  <c r="U989" i="22"/>
  <c r="U1279" i="22"/>
  <c r="U1353" i="22"/>
  <c r="U1357" i="22"/>
  <c r="U1365" i="22"/>
  <c r="U1373" i="22"/>
  <c r="U1377" i="22"/>
  <c r="Z1377" i="22" s="1"/>
  <c r="U1381" i="22"/>
  <c r="U1389" i="22"/>
  <c r="U1393" i="22"/>
  <c r="Z1393" i="22" s="1"/>
  <c r="U1397" i="22"/>
  <c r="U1401" i="22"/>
  <c r="Z1401" i="22" s="1"/>
  <c r="U1409" i="22"/>
  <c r="Z1409" i="22" s="1"/>
  <c r="U1413" i="22"/>
  <c r="U1417" i="22"/>
  <c r="Z1417" i="22" s="1"/>
  <c r="U1421" i="22"/>
  <c r="U1429" i="22"/>
  <c r="U1621" i="22"/>
  <c r="Y1621" i="22" s="1"/>
  <c r="U1643" i="22"/>
  <c r="U1649" i="22"/>
  <c r="U1651" i="22"/>
  <c r="U1655" i="22"/>
  <c r="U1661" i="22"/>
  <c r="U1665" i="22"/>
  <c r="U1669" i="22"/>
  <c r="U1673" i="22"/>
  <c r="U1685" i="22"/>
  <c r="U1696" i="22"/>
  <c r="U1703" i="22"/>
  <c r="H1711" i="22"/>
  <c r="J1711" i="22" s="1"/>
  <c r="U1733" i="22"/>
  <c r="H1872" i="22"/>
  <c r="J1872" i="22" s="1"/>
  <c r="U1888" i="22"/>
  <c r="U1904" i="22"/>
  <c r="H1981" i="22"/>
  <c r="J1981" i="22" s="1"/>
  <c r="H2001" i="22"/>
  <c r="J2001" i="22" s="1"/>
  <c r="H2057" i="22"/>
  <c r="J2057" i="22" s="1"/>
  <c r="H2105" i="22"/>
  <c r="J2105" i="22" s="1"/>
  <c r="H2264" i="22"/>
  <c r="J2264" i="22" s="1"/>
  <c r="H2354" i="22"/>
  <c r="J2354" i="22" s="1"/>
  <c r="H2408" i="22"/>
  <c r="H2420" i="22"/>
  <c r="T2679" i="22"/>
  <c r="T2683" i="22"/>
  <c r="T2687" i="22"/>
  <c r="T2691" i="22"/>
  <c r="T2695" i="22"/>
  <c r="T2699" i="22"/>
  <c r="T2703" i="22"/>
  <c r="T2707" i="22"/>
  <c r="H1833" i="22"/>
  <c r="J1833" i="22" s="1"/>
  <c r="H1853" i="22"/>
  <c r="J1853" i="22" s="1"/>
  <c r="H2045" i="22"/>
  <c r="J2045" i="22" s="1"/>
  <c r="H2258" i="22"/>
  <c r="H2366" i="22"/>
  <c r="J2366" i="22" s="1"/>
  <c r="U2679" i="22"/>
  <c r="U2695" i="22"/>
  <c r="U2703" i="22"/>
  <c r="H2486" i="22"/>
  <c r="J2486" i="22" s="1"/>
  <c r="H2552" i="22"/>
  <c r="J2552" i="22" s="1"/>
  <c r="P19" i="21"/>
  <c r="P1814" i="22"/>
  <c r="S69" i="21"/>
  <c r="P77" i="21"/>
  <c r="P93" i="21"/>
  <c r="S109" i="21"/>
  <c r="S205" i="21"/>
  <c r="P302" i="21"/>
  <c r="S486" i="21"/>
  <c r="S510" i="21"/>
  <c r="P518" i="21"/>
  <c r="P559" i="21"/>
  <c r="P575" i="21"/>
  <c r="P624" i="21"/>
  <c r="S810" i="21"/>
  <c r="S728" i="23"/>
  <c r="U728" i="23" s="1"/>
  <c r="Z728" i="23" s="1"/>
  <c r="S21" i="21"/>
  <c r="P29" i="21"/>
  <c r="S45" i="21"/>
  <c r="U45" i="21" s="1"/>
  <c r="X45" i="21" s="1"/>
  <c r="P213" i="21"/>
  <c r="S229" i="21"/>
  <c r="U229" i="21" s="1"/>
  <c r="P241" i="21"/>
  <c r="P462" i="21"/>
  <c r="P494" i="21"/>
  <c r="P551" i="21"/>
  <c r="P584" i="21"/>
  <c r="P674" i="21"/>
  <c r="S826" i="21"/>
  <c r="S163" i="23"/>
  <c r="U163" i="23" s="1"/>
  <c r="P501" i="23"/>
  <c r="S1090" i="23"/>
  <c r="P53" i="21"/>
  <c r="P117" i="21"/>
  <c r="P133" i="21"/>
  <c r="P278" i="21"/>
  <c r="P526" i="21"/>
  <c r="P745" i="21"/>
  <c r="S1223" i="22"/>
  <c r="P37" i="21"/>
  <c r="P61" i="21"/>
  <c r="P141" i="21"/>
  <c r="P221" i="21"/>
  <c r="P470" i="21"/>
  <c r="P567" i="21"/>
  <c r="P598" i="21"/>
  <c r="P632" i="21"/>
  <c r="S729" i="21"/>
  <c r="P530" i="24"/>
  <c r="P136" i="24"/>
  <c r="P737" i="21"/>
  <c r="P1311" i="21"/>
  <c r="S1479" i="21"/>
  <c r="U1479" i="21" s="1"/>
  <c r="S1599" i="21"/>
  <c r="P1607" i="21"/>
  <c r="P1719" i="21"/>
  <c r="P1839" i="21"/>
  <c r="P1397" i="22"/>
  <c r="P855" i="21"/>
  <c r="P943" i="21"/>
  <c r="P1103" i="21"/>
  <c r="P1151" i="21"/>
  <c r="P1343" i="21"/>
  <c r="P579" i="21"/>
  <c r="S604" i="21"/>
  <c r="S698" i="21"/>
  <c r="P967" i="21"/>
  <c r="S983" i="21"/>
  <c r="P991" i="21"/>
  <c r="P1127" i="21"/>
  <c r="P1175" i="21"/>
  <c r="S1191" i="21"/>
  <c r="U1191" i="21" s="1"/>
  <c r="X1191" i="21" s="1"/>
  <c r="P1199" i="21"/>
  <c r="S1215" i="21"/>
  <c r="P1287" i="21"/>
  <c r="S1431" i="21"/>
  <c r="S1455" i="21"/>
  <c r="U1455" i="21" s="1"/>
  <c r="Y1455" i="21" s="1"/>
  <c r="P1487" i="21"/>
  <c r="S1519" i="21"/>
  <c r="P1527" i="21"/>
  <c r="S1639" i="21"/>
  <c r="S988" i="23"/>
  <c r="P919" i="21"/>
  <c r="P1031" i="21"/>
  <c r="P1055" i="21"/>
  <c r="P1407" i="21"/>
  <c r="P790" i="21"/>
  <c r="P879" i="21"/>
  <c r="S895" i="21"/>
  <c r="P903" i="21"/>
  <c r="P951" i="21"/>
  <c r="P1015" i="21"/>
  <c r="P1063" i="21"/>
  <c r="S1079" i="21"/>
  <c r="P1223" i="21"/>
  <c r="P1319" i="21"/>
  <c r="P1351" i="21"/>
  <c r="S1375" i="21"/>
  <c r="P1383" i="21"/>
  <c r="P1415" i="21"/>
  <c r="P1439" i="21"/>
  <c r="S1567" i="21"/>
  <c r="P1575" i="21"/>
  <c r="P1615" i="21"/>
  <c r="P1647" i="21"/>
  <c r="P1703" i="21"/>
  <c r="P1120" i="22"/>
  <c r="X1120" i="22" s="1"/>
  <c r="P1442" i="23"/>
  <c r="P1559" i="21"/>
  <c r="P571" i="21"/>
  <c r="P863" i="21"/>
  <c r="P927" i="21"/>
  <c r="P1039" i="21"/>
  <c r="P1087" i="21"/>
  <c r="P1111" i="21"/>
  <c r="P1135" i="21"/>
  <c r="S1255" i="21"/>
  <c r="U1255" i="21" s="1"/>
  <c r="P1263" i="21"/>
  <c r="P1295" i="21"/>
  <c r="P1463" i="21"/>
  <c r="P1495" i="21"/>
  <c r="S1535" i="21"/>
  <c r="P1604" i="23"/>
  <c r="X1604" i="23" s="1"/>
  <c r="S1386" i="24"/>
  <c r="P1424" i="24"/>
  <c r="P1247" i="21"/>
  <c r="P1461" i="21"/>
  <c r="S1765" i="21"/>
  <c r="U1765" i="21" s="1"/>
  <c r="S1791" i="21"/>
  <c r="S1949" i="21"/>
  <c r="P547" i="21"/>
  <c r="P563" i="21"/>
  <c r="P871" i="21"/>
  <c r="P887" i="21"/>
  <c r="P911" i="21"/>
  <c r="P935" i="21"/>
  <c r="P1023" i="21"/>
  <c r="P1047" i="21"/>
  <c r="P1119" i="21"/>
  <c r="S1231" i="21"/>
  <c r="P1271" i="21"/>
  <c r="P1423" i="21"/>
  <c r="P1447" i="21"/>
  <c r="P1471" i="21"/>
  <c r="S1503" i="21"/>
  <c r="P1511" i="21"/>
  <c r="P1623" i="21"/>
  <c r="S1671" i="21"/>
  <c r="P1679" i="21"/>
  <c r="P1203" i="24"/>
  <c r="S725" i="21"/>
  <c r="S1279" i="21"/>
  <c r="U1279" i="21" s="1"/>
  <c r="S1303" i="21"/>
  <c r="S1631" i="21"/>
  <c r="P1495" i="23"/>
  <c r="X1495" i="23" s="1"/>
  <c r="S1687" i="21"/>
  <c r="S1735" i="21"/>
  <c r="U1735" i="21" s="1"/>
  <c r="P1743" i="21"/>
  <c r="S1767" i="21"/>
  <c r="P1775" i="21"/>
  <c r="S1831" i="21"/>
  <c r="P1847" i="21"/>
  <c r="P2143" i="21"/>
  <c r="S1282" i="23"/>
  <c r="S1655" i="21"/>
  <c r="P1663" i="21"/>
  <c r="P1695" i="21"/>
  <c r="P1711" i="21"/>
  <c r="S901" i="22"/>
  <c r="S1310" i="23"/>
  <c r="P744" i="24"/>
  <c r="P1751" i="21"/>
  <c r="S1783" i="21"/>
  <c r="S628" i="22"/>
  <c r="U628" i="22" s="1"/>
  <c r="S1055" i="22"/>
  <c r="S1346" i="23"/>
  <c r="S2675" i="23"/>
  <c r="U2675" i="23" s="1"/>
  <c r="Z2675" i="23" s="1"/>
  <c r="S591" i="24"/>
  <c r="U591" i="24" s="1"/>
  <c r="S1016" i="24"/>
  <c r="U1016" i="24" s="1"/>
  <c r="Z1016" i="24" s="1"/>
  <c r="P1020" i="24"/>
  <c r="Z1532" i="24"/>
  <c r="P1823" i="21"/>
  <c r="P2113" i="23"/>
  <c r="X2113" i="23" s="1"/>
  <c r="P710" i="21"/>
  <c r="S1727" i="21"/>
  <c r="S1232" i="24"/>
  <c r="U1232" i="24" s="1"/>
  <c r="X1232" i="24" s="1"/>
  <c r="S2324" i="24"/>
  <c r="U2324" i="24" s="1"/>
  <c r="X2324" i="24" s="1"/>
  <c r="P800" i="22"/>
  <c r="P1558" i="23"/>
  <c r="S88" i="21"/>
  <c r="S2318" i="22"/>
  <c r="S819" i="23"/>
  <c r="S1038" i="23"/>
  <c r="S2700" i="23"/>
  <c r="U2700" i="23" s="1"/>
  <c r="P537" i="24"/>
  <c r="P732" i="21"/>
  <c r="P513" i="21"/>
  <c r="S30" i="22"/>
  <c r="S857" i="23"/>
  <c r="U857" i="23" s="1"/>
  <c r="X857" i="23" s="1"/>
  <c r="S1560" i="24"/>
  <c r="U1560" i="24" s="1"/>
  <c r="U1775" i="24"/>
  <c r="P56" i="21"/>
  <c r="P80" i="21"/>
  <c r="S973" i="23"/>
  <c r="U973" i="23" s="1"/>
  <c r="Y973" i="23" s="1"/>
  <c r="S1182" i="23"/>
  <c r="S1446" i="22"/>
  <c r="P571" i="24"/>
  <c r="X571" i="24" s="1"/>
  <c r="S886" i="24"/>
  <c r="U886" i="24" s="1"/>
  <c r="P964" i="24"/>
  <c r="P1157" i="24"/>
  <c r="S514" i="24"/>
  <c r="U514" i="24" s="1"/>
  <c r="P1476" i="24"/>
  <c r="P1184" i="21"/>
  <c r="P1568" i="21"/>
  <c r="P2576" i="21"/>
  <c r="P498" i="22"/>
  <c r="P1621" i="22"/>
  <c r="P1872" i="23"/>
  <c r="P483" i="21"/>
  <c r="P1248" i="21"/>
  <c r="S1872" i="21"/>
  <c r="U1872" i="21" s="1"/>
  <c r="Z1872" i="21" s="1"/>
  <c r="P50" i="21"/>
  <c r="S58" i="21"/>
  <c r="S74" i="21"/>
  <c r="U74" i="21" s="1"/>
  <c r="S98" i="21"/>
  <c r="P114" i="21"/>
  <c r="P138" i="21"/>
  <c r="P186" i="21"/>
  <c r="S210" i="21"/>
  <c r="U210" i="21" s="1"/>
  <c r="Y210" i="21" s="1"/>
  <c r="P499" i="21"/>
  <c r="S523" i="21"/>
  <c r="S589" i="21"/>
  <c r="U589" i="21" s="1"/>
  <c r="X589" i="21" s="1"/>
  <c r="P756" i="21"/>
  <c r="P791" i="21"/>
  <c r="P848" i="21"/>
  <c r="P904" i="21"/>
  <c r="S928" i="21"/>
  <c r="U928" i="21" s="1"/>
  <c r="Z928" i="21" s="1"/>
  <c r="P960" i="21"/>
  <c r="S984" i="21"/>
  <c r="P1016" i="21"/>
  <c r="S1040" i="21"/>
  <c r="P1070" i="21"/>
  <c r="S1096" i="21"/>
  <c r="U1096" i="21" s="1"/>
  <c r="X1096" i="21" s="1"/>
  <c r="P1128" i="21"/>
  <c r="S1168" i="21"/>
  <c r="U1168" i="21" s="1"/>
  <c r="P1200" i="21"/>
  <c r="S1224" i="21"/>
  <c r="P1272" i="21"/>
  <c r="S1304" i="21"/>
  <c r="S1320" i="21"/>
  <c r="P1376" i="21"/>
  <c r="P1448" i="21"/>
  <c r="P1528" i="21"/>
  <c r="S1584" i="21"/>
  <c r="P1608" i="21"/>
  <c r="S1624" i="21"/>
  <c r="U1624" i="21" s="1"/>
  <c r="X1624" i="21" s="1"/>
  <c r="S1648" i="21"/>
  <c r="P1768" i="21"/>
  <c r="P1792" i="21"/>
  <c r="S1832" i="21"/>
  <c r="S793" i="22"/>
  <c r="P855" i="22"/>
  <c r="S922" i="22"/>
  <c r="U922" i="22" s="1"/>
  <c r="S1420" i="22"/>
  <c r="U1420" i="22" s="1"/>
  <c r="Z1420" i="22" s="1"/>
  <c r="S1106" i="23"/>
  <c r="S1860" i="23"/>
  <c r="U1860" i="23" s="1"/>
  <c r="X1860" i="23" s="1"/>
  <c r="S2546" i="23"/>
  <c r="U2546" i="23" s="1"/>
  <c r="X2546" i="23" s="1"/>
  <c r="P957" i="24"/>
  <c r="P1036" i="24"/>
  <c r="S1097" i="24"/>
  <c r="U1097" i="24" s="1"/>
  <c r="Y1097" i="24" s="1"/>
  <c r="P1123" i="24"/>
  <c r="Z1297" i="24"/>
  <c r="P1532" i="24"/>
  <c r="X1532" i="24" s="1"/>
  <c r="P1896" i="24"/>
  <c r="P254" i="21"/>
  <c r="P758" i="21"/>
  <c r="P815" i="21"/>
  <c r="P944" i="21"/>
  <c r="P1112" i="21"/>
  <c r="S1264" i="21"/>
  <c r="U1264" i="21" s="1"/>
  <c r="S1520" i="21"/>
  <c r="P34" i="21"/>
  <c r="S226" i="21"/>
  <c r="U226" i="21" s="1"/>
  <c r="X226" i="21" s="1"/>
  <c r="P246" i="21"/>
  <c r="P467" i="21"/>
  <c r="S587" i="21"/>
  <c r="P823" i="21"/>
  <c r="S839" i="21"/>
  <c r="U839" i="21" s="1"/>
  <c r="P864" i="21"/>
  <c r="S888" i="21"/>
  <c r="U888" i="21" s="1"/>
  <c r="P920" i="21"/>
  <c r="P976" i="21"/>
  <c r="S1000" i="21"/>
  <c r="U1000" i="21" s="1"/>
  <c r="X1000" i="21" s="1"/>
  <c r="P1032" i="21"/>
  <c r="S1056" i="21"/>
  <c r="P1072" i="21"/>
  <c r="P1088" i="21"/>
  <c r="P1144" i="21"/>
  <c r="P1216" i="21"/>
  <c r="P1232" i="21"/>
  <c r="S1288" i="21"/>
  <c r="U1288" i="21" s="1"/>
  <c r="P1344" i="21"/>
  <c r="P1360" i="21"/>
  <c r="S1392" i="21"/>
  <c r="P1432" i="21"/>
  <c r="S1504" i="21"/>
  <c r="U1504" i="21" s="1"/>
  <c r="P1592" i="21"/>
  <c r="P1632" i="21"/>
  <c r="P1656" i="21"/>
  <c r="S1672" i="21"/>
  <c r="P1808" i="21"/>
  <c r="P2192" i="21"/>
  <c r="S2600" i="21"/>
  <c r="P1669" i="22"/>
  <c r="P81" i="24"/>
  <c r="P465" i="24"/>
  <c r="S729" i="24"/>
  <c r="U729" i="24" s="1"/>
  <c r="S860" i="24"/>
  <c r="U860" i="24" s="1"/>
  <c r="Y860" i="24" s="1"/>
  <c r="P874" i="24"/>
  <c r="U1066" i="24"/>
  <c r="P1068" i="24"/>
  <c r="P1544" i="21"/>
  <c r="P66" i="21"/>
  <c r="P202" i="21"/>
  <c r="P515" i="21"/>
  <c r="P936" i="21"/>
  <c r="P992" i="21"/>
  <c r="P1048" i="21"/>
  <c r="P1104" i="21"/>
  <c r="P1160" i="21"/>
  <c r="P1328" i="21"/>
  <c r="P1400" i="21"/>
  <c r="S1464" i="21"/>
  <c r="U1464" i="21" s="1"/>
  <c r="X1464" i="21" s="1"/>
  <c r="P1680" i="21"/>
  <c r="S1744" i="21"/>
  <c r="S2240" i="21"/>
  <c r="S2624" i="21"/>
  <c r="S674" i="22"/>
  <c r="S1104" i="22"/>
  <c r="S1291" i="22"/>
  <c r="S1496" i="22"/>
  <c r="S2033" i="22"/>
  <c r="S932" i="23"/>
  <c r="S1278" i="23"/>
  <c r="S1572" i="23"/>
  <c r="U1572" i="23" s="1"/>
  <c r="Z1572" i="23" s="1"/>
  <c r="S1127" i="24"/>
  <c r="U1127" i="24" s="1"/>
  <c r="S1840" i="24"/>
  <c r="U1840" i="24" s="1"/>
  <c r="Z1840" i="24" s="1"/>
  <c r="P1408" i="21"/>
  <c r="P1256" i="21"/>
  <c r="S1416" i="21"/>
  <c r="S1488" i="21"/>
  <c r="P1512" i="21"/>
  <c r="S1552" i="21"/>
  <c r="P1776" i="21"/>
  <c r="S1864" i="21"/>
  <c r="P2264" i="21"/>
  <c r="S1118" i="22"/>
  <c r="U1118" i="22" s="1"/>
  <c r="Z1118" i="22" s="1"/>
  <c r="S1570" i="22"/>
  <c r="P900" i="24"/>
  <c r="P82" i="21"/>
  <c r="P130" i="21"/>
  <c r="P238" i="21"/>
  <c r="P347" i="21"/>
  <c r="P459" i="21"/>
  <c r="P491" i="21"/>
  <c r="P507" i="21"/>
  <c r="P831" i="21"/>
  <c r="P856" i="21"/>
  <c r="P896" i="21"/>
  <c r="P1136" i="21"/>
  <c r="P1192" i="21"/>
  <c r="S1312" i="21"/>
  <c r="P1352" i="21"/>
  <c r="P1368" i="21"/>
  <c r="P1384" i="21"/>
  <c r="P1496" i="21"/>
  <c r="P1560" i="21"/>
  <c r="S1574" i="21"/>
  <c r="P1576" i="21"/>
  <c r="P1600" i="21"/>
  <c r="S1616" i="21"/>
  <c r="U1616" i="21" s="1"/>
  <c r="S1800" i="21"/>
  <c r="P1786" i="22"/>
  <c r="S589" i="23"/>
  <c r="U589" i="23" s="1"/>
  <c r="X589" i="23" s="1"/>
  <c r="S1533" i="23"/>
  <c r="U1533" i="23" s="1"/>
  <c r="Z1533" i="23" s="1"/>
  <c r="S30" i="24"/>
  <c r="U30" i="24" s="1"/>
  <c r="P584" i="24"/>
  <c r="S1185" i="24"/>
  <c r="U1185" i="24" s="1"/>
  <c r="P1193" i="24"/>
  <c r="S1622" i="24"/>
  <c r="U1622" i="24" s="1"/>
  <c r="X1622" i="24" s="1"/>
  <c r="S119" i="24"/>
  <c r="U119" i="24" s="1"/>
  <c r="X119" i="24" s="1"/>
  <c r="S1763" i="24"/>
  <c r="U1763" i="24" s="1"/>
  <c r="S621" i="21"/>
  <c r="S1240" i="21"/>
  <c r="P1336" i="21"/>
  <c r="P1480" i="21"/>
  <c r="P1856" i="21"/>
  <c r="P2128" i="21"/>
  <c r="S1074" i="23"/>
  <c r="U1074" i="23" s="1"/>
  <c r="S662" i="21"/>
  <c r="U662" i="21" s="1"/>
  <c r="W665" i="21" s="1"/>
  <c r="P808" i="21"/>
  <c r="U29" i="22"/>
  <c r="P847" i="22"/>
  <c r="P1178" i="22"/>
  <c r="P493" i="23"/>
  <c r="P650" i="23"/>
  <c r="P827" i="23"/>
  <c r="P946" i="23"/>
  <c r="P1511" i="23"/>
  <c r="P1588" i="23"/>
  <c r="X1588" i="23" s="1"/>
  <c r="P1731" i="23"/>
  <c r="S1512" i="22"/>
  <c r="P205" i="23"/>
  <c r="S1110" i="23"/>
  <c r="U1110" i="23" s="1"/>
  <c r="S1406" i="23"/>
  <c r="U136" i="24"/>
  <c r="P179" i="24"/>
  <c r="S208" i="24"/>
  <c r="U208" i="24" s="1"/>
  <c r="X208" i="24" s="1"/>
  <c r="P861" i="24"/>
  <c r="P924" i="24"/>
  <c r="X924" i="24" s="1"/>
  <c r="P1076" i="24"/>
  <c r="P1113" i="24"/>
  <c r="X1113" i="24" s="1"/>
  <c r="S1298" i="24"/>
  <c r="U1298" i="24" s="1"/>
  <c r="S1401" i="24"/>
  <c r="U1401" i="24" s="1"/>
  <c r="Z1401" i="24" s="1"/>
  <c r="S1572" i="24"/>
  <c r="U1572" i="24" s="1"/>
  <c r="Y1572" i="24" s="1"/>
  <c r="S1730" i="24"/>
  <c r="U1730" i="24" s="1"/>
  <c r="Z1730" i="24" s="1"/>
  <c r="P630" i="21"/>
  <c r="U71" i="22"/>
  <c r="P990" i="22"/>
  <c r="P1618" i="22"/>
  <c r="P2109" i="22"/>
  <c r="P76" i="23"/>
  <c r="P89" i="23"/>
  <c r="P419" i="23"/>
  <c r="P460" i="23"/>
  <c r="S599" i="23"/>
  <c r="P877" i="23"/>
  <c r="U2336" i="23"/>
  <c r="S2450" i="23"/>
  <c r="U2450" i="23" s="1"/>
  <c r="P2661" i="23"/>
  <c r="P546" i="24"/>
  <c r="P932" i="24"/>
  <c r="X932" i="24" s="1"/>
  <c r="P1119" i="24"/>
  <c r="P1233" i="24"/>
  <c r="P1360" i="24"/>
  <c r="S1578" i="24"/>
  <c r="U1578" i="24" s="1"/>
  <c r="Y1578" i="24" s="1"/>
  <c r="P1582" i="24"/>
  <c r="P1925" i="24"/>
  <c r="S1025" i="21"/>
  <c r="S317" i="22"/>
  <c r="U317" i="22" s="1"/>
  <c r="W320" i="22" s="1"/>
  <c r="P743" i="22"/>
  <c r="P881" i="22"/>
  <c r="S1465" i="22"/>
  <c r="S1808" i="22"/>
  <c r="S401" i="23"/>
  <c r="U401" i="23" s="1"/>
  <c r="X401" i="23" s="1"/>
  <c r="S980" i="23"/>
  <c r="S1214" i="23"/>
  <c r="S1466" i="23"/>
  <c r="U1466" i="23" s="1"/>
  <c r="Y1466" i="23" s="1"/>
  <c r="S1630" i="23"/>
  <c r="U1630" i="23" s="1"/>
  <c r="Z1630" i="23" s="1"/>
  <c r="S79" i="24"/>
  <c r="U79" i="24" s="1"/>
  <c r="S359" i="24"/>
  <c r="U359" i="24" s="1"/>
  <c r="P755" i="22"/>
  <c r="P1764" i="22"/>
  <c r="X1764" i="22" s="1"/>
  <c r="S1246" i="23"/>
  <c r="S1670" i="23"/>
  <c r="U1670" i="23" s="1"/>
  <c r="Z1670" i="23" s="1"/>
  <c r="P2498" i="23"/>
  <c r="P44" i="24"/>
  <c r="P466" i="24"/>
  <c r="P100" i="22"/>
  <c r="X100" i="22" s="1"/>
  <c r="P1691" i="22"/>
  <c r="S2270" i="23"/>
  <c r="U2270" i="23" s="1"/>
  <c r="P1491" i="24"/>
  <c r="P1650" i="24"/>
  <c r="S483" i="24"/>
  <c r="P1089" i="24"/>
  <c r="S1325" i="24"/>
  <c r="P1448" i="24"/>
  <c r="P1495" i="24"/>
  <c r="P1546" i="24"/>
  <c r="U1674" i="24"/>
  <c r="P1164" i="22"/>
  <c r="S140" i="23"/>
  <c r="U1215" i="23"/>
  <c r="P353" i="24"/>
  <c r="W355" i="24" s="1"/>
  <c r="P1468" i="24"/>
  <c r="P1611" i="24"/>
  <c r="S328" i="23"/>
  <c r="P655" i="24"/>
  <c r="S310" i="24"/>
  <c r="P772" i="21"/>
  <c r="S942" i="21"/>
  <c r="P744" i="22"/>
  <c r="P831" i="22"/>
  <c r="X831" i="22" s="1"/>
  <c r="P848" i="22"/>
  <c r="X848" i="22" s="1"/>
  <c r="P874" i="22"/>
  <c r="P903" i="22"/>
  <c r="P1130" i="22"/>
  <c r="X1130" i="22" s="1"/>
  <c r="P1666" i="22"/>
  <c r="P1711" i="22"/>
  <c r="P67" i="23"/>
  <c r="X67" i="23" s="1"/>
  <c r="P861" i="23"/>
  <c r="P938" i="23"/>
  <c r="S244" i="21"/>
  <c r="U244" i="21" s="1"/>
  <c r="S489" i="21"/>
  <c r="U489" i="21" s="1"/>
  <c r="S668" i="21"/>
  <c r="S724" i="21"/>
  <c r="S797" i="21"/>
  <c r="P1182" i="21"/>
  <c r="S1838" i="21"/>
  <c r="U47" i="22"/>
  <c r="P209" i="22"/>
  <c r="U515" i="22"/>
  <c r="P525" i="22"/>
  <c r="X525" i="22" s="1"/>
  <c r="S806" i="22"/>
  <c r="P865" i="22"/>
  <c r="P1142" i="22"/>
  <c r="X1142" i="22" s="1"/>
  <c r="S1363" i="22"/>
  <c r="S1568" i="22"/>
  <c r="S2037" i="22"/>
  <c r="S2348" i="22"/>
  <c r="U2348" i="22" s="1"/>
  <c r="U23" i="23"/>
  <c r="P223" i="23"/>
  <c r="X223" i="23" s="1"/>
  <c r="S286" i="23"/>
  <c r="U286" i="23" s="1"/>
  <c r="S1050" i="23"/>
  <c r="U1050" i="23" s="1"/>
  <c r="S1198" i="23"/>
  <c r="S1350" i="23"/>
  <c r="S1602" i="23"/>
  <c r="U1602" i="23" s="1"/>
  <c r="P1868" i="23"/>
  <c r="P1209" i="24"/>
  <c r="S1370" i="24"/>
  <c r="S1454" i="24"/>
  <c r="P1775" i="24"/>
  <c r="S252" i="21"/>
  <c r="U252" i="21" s="1"/>
  <c r="P1086" i="21"/>
  <c r="P184" i="21"/>
  <c r="P335" i="21"/>
  <c r="P383" i="21"/>
  <c r="S637" i="21"/>
  <c r="P878" i="21"/>
  <c r="S1222" i="21"/>
  <c r="U1222" i="21" s="1"/>
  <c r="P1470" i="21"/>
  <c r="S1486" i="21"/>
  <c r="U1486" i="21" s="1"/>
  <c r="X1486" i="21" s="1"/>
  <c r="P1550" i="21"/>
  <c r="S1566" i="21"/>
  <c r="S1750" i="21"/>
  <c r="P1814" i="21"/>
  <c r="P167" i="22"/>
  <c r="P818" i="22"/>
  <c r="P869" i="22"/>
  <c r="P1162" i="22"/>
  <c r="X1162" i="22" s="1"/>
  <c r="S1205" i="22"/>
  <c r="P1344" i="22"/>
  <c r="P1409" i="22"/>
  <c r="U1633" i="22"/>
  <c r="P1740" i="22"/>
  <c r="X1740" i="22" s="1"/>
  <c r="P2468" i="22"/>
  <c r="P2681" i="22"/>
  <c r="S459" i="23"/>
  <c r="T562" i="23"/>
  <c r="P625" i="23"/>
  <c r="P686" i="23"/>
  <c r="P773" i="23"/>
  <c r="X773" i="23" s="1"/>
  <c r="P796" i="23"/>
  <c r="X796" i="23" s="1"/>
  <c r="U1135" i="23"/>
  <c r="U1151" i="23"/>
  <c r="P1475" i="23"/>
  <c r="S1802" i="23"/>
  <c r="U1802" i="23" s="1"/>
  <c r="S99" i="24"/>
  <c r="U99" i="24" s="1"/>
  <c r="P241" i="24"/>
  <c r="P486" i="24"/>
  <c r="P563" i="24"/>
  <c r="X563" i="24" s="1"/>
  <c r="P601" i="24"/>
  <c r="P831" i="24"/>
  <c r="P872" i="24"/>
  <c r="P952" i="24"/>
  <c r="X952" i="24" s="1"/>
  <c r="P1137" i="24"/>
  <c r="P1213" i="24"/>
  <c r="S1460" i="24"/>
  <c r="U1460" i="24" s="1"/>
  <c r="P1464" i="24"/>
  <c r="S1597" i="24"/>
  <c r="U1597" i="24" s="1"/>
  <c r="P128" i="21"/>
  <c r="S120" i="21"/>
  <c r="U120" i="21" s="1"/>
  <c r="P603" i="21"/>
  <c r="P716" i="21"/>
  <c r="P740" i="21"/>
  <c r="P764" i="21"/>
  <c r="P1078" i="21"/>
  <c r="S1158" i="21"/>
  <c r="U1158" i="21" s="1"/>
  <c r="P1734" i="21"/>
  <c r="P92" i="22"/>
  <c r="S762" i="22"/>
  <c r="U762" i="22" s="1"/>
  <c r="Y762" i="22" s="1"/>
  <c r="P871" i="22"/>
  <c r="S1221" i="22"/>
  <c r="S1448" i="22"/>
  <c r="S1574" i="22"/>
  <c r="P1610" i="22"/>
  <c r="S2661" i="22"/>
  <c r="U2661" i="22" s="1"/>
  <c r="P66" i="23"/>
  <c r="S644" i="23"/>
  <c r="U644" i="23" s="1"/>
  <c r="T779" i="23"/>
  <c r="U800" i="23"/>
  <c r="P809" i="23"/>
  <c r="X809" i="23" s="1"/>
  <c r="U836" i="23"/>
  <c r="Z836" i="23" s="1"/>
  <c r="S905" i="23"/>
  <c r="S1078" i="23"/>
  <c r="S1238" i="23"/>
  <c r="U1311" i="23"/>
  <c r="Y1311" i="23" s="1"/>
  <c r="U1313" i="23"/>
  <c r="S1414" i="23"/>
  <c r="P1589" i="23"/>
  <c r="S1805" i="23"/>
  <c r="U1805" i="23" s="1"/>
  <c r="W1806" i="23" s="1"/>
  <c r="Z1806" i="23" s="1"/>
  <c r="T2707" i="23"/>
  <c r="S1048" i="24"/>
  <c r="U1048" i="24" s="1"/>
  <c r="Z1048" i="24" s="1"/>
  <c r="S1280" i="24"/>
  <c r="U1280" i="24" s="1"/>
  <c r="S1337" i="24"/>
  <c r="U1337" i="24" s="1"/>
  <c r="X1337" i="24" s="1"/>
  <c r="S1781" i="24"/>
  <c r="U1781" i="24" s="1"/>
  <c r="Y1781" i="24" s="1"/>
  <c r="S1953" i="24"/>
  <c r="S2270" i="24"/>
  <c r="U2270" i="24" s="1"/>
  <c r="Z2270" i="24" s="1"/>
  <c r="T2634" i="24"/>
  <c r="P72" i="21"/>
  <c r="S1790" i="21"/>
  <c r="S64" i="21"/>
  <c r="U64" i="21" s="1"/>
  <c r="Z64" i="21" s="1"/>
  <c r="P112" i="21"/>
  <c r="S521" i="21"/>
  <c r="S870" i="21"/>
  <c r="P974" i="21"/>
  <c r="P1174" i="21"/>
  <c r="S1468" i="21"/>
  <c r="P1782" i="21"/>
  <c r="U254" i="22"/>
  <c r="P864" i="22"/>
  <c r="X864" i="22" s="1"/>
  <c r="S923" i="22"/>
  <c r="U923" i="22" s="1"/>
  <c r="Z923" i="22" s="1"/>
  <c r="P963" i="22"/>
  <c r="P1421" i="22"/>
  <c r="X1421" i="22" s="1"/>
  <c r="S1525" i="22"/>
  <c r="S2691" i="22"/>
  <c r="U2691" i="22" s="1"/>
  <c r="P1462" i="23"/>
  <c r="X1462" i="23" s="1"/>
  <c r="P1491" i="23"/>
  <c r="P214" i="24"/>
  <c r="P1161" i="24"/>
  <c r="P1764" i="24"/>
  <c r="S32" i="21"/>
  <c r="S144" i="21"/>
  <c r="S224" i="21"/>
  <c r="U224" i="21" s="1"/>
  <c r="P627" i="21"/>
  <c r="S950" i="21"/>
  <c r="U950" i="21" s="1"/>
  <c r="S1054" i="21"/>
  <c r="U1054" i="21" s="1"/>
  <c r="X1054" i="21" s="1"/>
  <c r="S2654" i="21"/>
  <c r="P832" i="22"/>
  <c r="P853" i="22"/>
  <c r="P908" i="22"/>
  <c r="S1090" i="22"/>
  <c r="S1235" i="22"/>
  <c r="S1480" i="22"/>
  <c r="P1772" i="22"/>
  <c r="S2101" i="22"/>
  <c r="S2636" i="22"/>
  <c r="P29" i="23"/>
  <c r="P2216" i="23"/>
  <c r="P2348" i="23"/>
  <c r="S51" i="24"/>
  <c r="U51" i="24" s="1"/>
  <c r="P130" i="24"/>
  <c r="S133" i="24"/>
  <c r="U133" i="24" s="1"/>
  <c r="P431" i="24"/>
  <c r="P482" i="24"/>
  <c r="P808" i="24"/>
  <c r="P992" i="24"/>
  <c r="X992" i="24" s="1"/>
  <c r="P1103" i="24"/>
  <c r="X1103" i="24" s="1"/>
  <c r="P1177" i="24"/>
  <c r="P1428" i="24"/>
  <c r="P1484" i="24"/>
  <c r="P1703" i="24"/>
  <c r="P2065" i="24"/>
  <c r="P2695" i="24"/>
  <c r="S218" i="24"/>
  <c r="U218" i="24" s="1"/>
  <c r="Y218" i="24" s="1"/>
  <c r="P542" i="24"/>
  <c r="T752" i="24"/>
  <c r="P1092" i="24"/>
  <c r="X1092" i="24" s="1"/>
  <c r="Y1273" i="24"/>
  <c r="P1488" i="24"/>
  <c r="P1517" i="24"/>
  <c r="Z1536" i="24"/>
  <c r="P1540" i="24"/>
  <c r="X1540" i="24" s="1"/>
  <c r="P1671" i="24"/>
  <c r="P1755" i="24"/>
  <c r="P2049" i="24"/>
  <c r="P216" i="21"/>
  <c r="S862" i="21"/>
  <c r="P966" i="21"/>
  <c r="S1230" i="21"/>
  <c r="P1662" i="21"/>
  <c r="S1678" i="21"/>
  <c r="S598" i="22"/>
  <c r="P857" i="22"/>
  <c r="U1603" i="22"/>
  <c r="Z1603" i="22" s="1"/>
  <c r="P1662" i="22"/>
  <c r="X1662" i="22" s="1"/>
  <c r="P718" i="23"/>
  <c r="X718" i="23" s="1"/>
  <c r="S949" i="23"/>
  <c r="U949" i="23" s="1"/>
  <c r="Y949" i="23" s="1"/>
  <c r="S1034" i="23"/>
  <c r="S1170" i="23"/>
  <c r="U2656" i="23"/>
  <c r="U207" i="24"/>
  <c r="S226" i="24"/>
  <c r="U226" i="24" s="1"/>
  <c r="Y226" i="24" s="1"/>
  <c r="P566" i="24"/>
  <c r="S1387" i="24"/>
  <c r="U1387" i="24" s="1"/>
  <c r="Z1387" i="24" s="1"/>
  <c r="S1606" i="24"/>
  <c r="U1606" i="24" s="1"/>
  <c r="P1282" i="22"/>
  <c r="S1282" i="22"/>
  <c r="S1961" i="22"/>
  <c r="P1961" i="22"/>
  <c r="S1601" i="23"/>
  <c r="U1601" i="23" s="1"/>
  <c r="P1601" i="23"/>
  <c r="S1756" i="21"/>
  <c r="P1796" i="21"/>
  <c r="P1049" i="22"/>
  <c r="S1049" i="22"/>
  <c r="S757" i="23"/>
  <c r="U757" i="23" s="1"/>
  <c r="P757" i="23"/>
  <c r="P1410" i="23"/>
  <c r="S1410" i="23"/>
  <c r="S46" i="21"/>
  <c r="U46" i="21" s="1"/>
  <c r="S102" i="21"/>
  <c r="S206" i="21"/>
  <c r="U206" i="21" s="1"/>
  <c r="S754" i="21"/>
  <c r="U754" i="21" s="1"/>
  <c r="Z754" i="21" s="1"/>
  <c r="P1036" i="21"/>
  <c r="S1172" i="21"/>
  <c r="S2148" i="21"/>
  <c r="S99" i="22"/>
  <c r="T110" i="22"/>
  <c r="P283" i="22"/>
  <c r="S859" i="22"/>
  <c r="U859" i="22" s="1"/>
  <c r="P859" i="22"/>
  <c r="P932" i="22"/>
  <c r="S932" i="22"/>
  <c r="P1704" i="22"/>
  <c r="S1704" i="22"/>
  <c r="S513" i="23"/>
  <c r="P513" i="23"/>
  <c r="P1528" i="23"/>
  <c r="S1528" i="23"/>
  <c r="P62" i="21"/>
  <c r="P222" i="21"/>
  <c r="S471" i="21"/>
  <c r="P900" i="21"/>
  <c r="S1164" i="21"/>
  <c r="P1668" i="21"/>
  <c r="P1884" i="21"/>
  <c r="U304" i="22"/>
  <c r="S679" i="22"/>
  <c r="P679" i="22"/>
  <c r="P1154" i="22"/>
  <c r="S1154" i="22"/>
  <c r="U1154" i="22" s="1"/>
  <c r="Z1154" i="22" s="1"/>
  <c r="P1312" i="22"/>
  <c r="S1312" i="22"/>
  <c r="P1611" i="22"/>
  <c r="P1699" i="23"/>
  <c r="S1699" i="23"/>
  <c r="P1195" i="22"/>
  <c r="S1195" i="22"/>
  <c r="S1432" i="22"/>
  <c r="U1432" i="22" s="1"/>
  <c r="P1432" i="22"/>
  <c r="P1481" i="22"/>
  <c r="S1481" i="22"/>
  <c r="P964" i="21"/>
  <c r="P1460" i="21"/>
  <c r="U26" i="22"/>
  <c r="P45" i="22"/>
  <c r="X45" i="22" s="1"/>
  <c r="P510" i="22"/>
  <c r="S510" i="22"/>
  <c r="S843" i="22"/>
  <c r="U843" i="22" s="1"/>
  <c r="P843" i="22"/>
  <c r="P1590" i="22"/>
  <c r="S1590" i="22"/>
  <c r="S1604" i="22"/>
  <c r="U1604" i="22" s="1"/>
  <c r="P1604" i="22"/>
  <c r="S237" i="23"/>
  <c r="P237" i="23"/>
  <c r="P490" i="23"/>
  <c r="S490" i="23"/>
  <c r="P1122" i="23"/>
  <c r="S1122" i="23"/>
  <c r="P1286" i="23"/>
  <c r="S1286" i="23"/>
  <c r="U1286" i="23" s="1"/>
  <c r="P1582" i="23"/>
  <c r="S1582" i="23"/>
  <c r="U1582" i="23" s="1"/>
  <c r="Z1509" i="24"/>
  <c r="Y1509" i="24"/>
  <c r="P118" i="21"/>
  <c r="S1116" i="21"/>
  <c r="T111" i="22"/>
  <c r="P141" i="22"/>
  <c r="X141" i="22" s="1"/>
  <c r="P171" i="22"/>
  <c r="P668" i="22"/>
  <c r="P1074" i="22"/>
  <c r="S1074" i="22"/>
  <c r="P1362" i="22"/>
  <c r="S1362" i="22"/>
  <c r="P1476" i="22"/>
  <c r="S1476" i="22"/>
  <c r="P774" i="23"/>
  <c r="S774" i="23"/>
  <c r="S477" i="22"/>
  <c r="P477" i="22"/>
  <c r="S110" i="21"/>
  <c r="U110" i="21" s="1"/>
  <c r="S916" i="21"/>
  <c r="S1292" i="21"/>
  <c r="S1412" i="21"/>
  <c r="P1692" i="21"/>
  <c r="P1772" i="21"/>
  <c r="S413" i="22"/>
  <c r="P413" i="22"/>
  <c r="S879" i="22"/>
  <c r="U879" i="22" s="1"/>
  <c r="P879" i="22"/>
  <c r="P1253" i="22"/>
  <c r="S1253" i="22"/>
  <c r="U1253" i="22" s="1"/>
  <c r="P1275" i="22"/>
  <c r="S1275" i="22"/>
  <c r="U1275" i="22" s="1"/>
  <c r="Z1275" i="22" s="1"/>
  <c r="S1378" i="22"/>
  <c r="P1378" i="22"/>
  <c r="P1433" i="22"/>
  <c r="S1433" i="22"/>
  <c r="U1433" i="22" s="1"/>
  <c r="Y1433" i="22" s="1"/>
  <c r="S1674" i="22"/>
  <c r="U1674" i="22" s="1"/>
  <c r="P1674" i="22"/>
  <c r="P1042" i="23"/>
  <c r="S1042" i="23"/>
  <c r="P1459" i="23"/>
  <c r="S1459" i="23"/>
  <c r="S1044" i="21"/>
  <c r="U1044" i="21" s="1"/>
  <c r="Z1044" i="21" s="1"/>
  <c r="P1108" i="21"/>
  <c r="P1148" i="21"/>
  <c r="S2348" i="21"/>
  <c r="S40" i="22"/>
  <c r="T51" i="22"/>
  <c r="P104" i="22"/>
  <c r="P119" i="22"/>
  <c r="P310" i="22"/>
  <c r="S492" i="22"/>
  <c r="P492" i="22"/>
  <c r="P1331" i="22"/>
  <c r="S1331" i="22"/>
  <c r="P1508" i="22"/>
  <c r="S1508" i="22"/>
  <c r="P1824" i="22"/>
  <c r="S1824" i="22"/>
  <c r="P2402" i="22"/>
  <c r="S2402" i="22"/>
  <c r="P215" i="23"/>
  <c r="S215" i="23"/>
  <c r="U215" i="23" s="1"/>
  <c r="P1206" i="23"/>
  <c r="S1206" i="23"/>
  <c r="P1856" i="23"/>
  <c r="S1856" i="23"/>
  <c r="U1856" i="23" s="1"/>
  <c r="U1167" i="23"/>
  <c r="Z1167" i="23" s="1"/>
  <c r="U1231" i="23"/>
  <c r="U1343" i="23"/>
  <c r="U1345" i="23"/>
  <c r="P641" i="22"/>
  <c r="P875" i="22"/>
  <c r="P1413" i="22"/>
  <c r="P1426" i="22"/>
  <c r="P1439" i="22"/>
  <c r="U1611" i="22"/>
  <c r="Z1611" i="22" s="1"/>
  <c r="S1705" i="22"/>
  <c r="P2192" i="22"/>
  <c r="X2192" i="22" s="1"/>
  <c r="P2552" i="22"/>
  <c r="U2664" i="22"/>
  <c r="P275" i="23"/>
  <c r="P495" i="23"/>
  <c r="T574" i="23"/>
  <c r="U778" i="23"/>
  <c r="P2330" i="23"/>
  <c r="P2637" i="23"/>
  <c r="S752" i="24"/>
  <c r="U752" i="24" s="1"/>
  <c r="X752" i="24" s="1"/>
  <c r="P915" i="24"/>
  <c r="P1432" i="24"/>
  <c r="P1509" i="24"/>
  <c r="P1542" i="24"/>
  <c r="X1542" i="24" s="1"/>
  <c r="S1677" i="24"/>
  <c r="P1756" i="24"/>
  <c r="U1872" i="24"/>
  <c r="S1904" i="24"/>
  <c r="U1904" i="24" s="1"/>
  <c r="W1907" i="24" s="1"/>
  <c r="S2624" i="24"/>
  <c r="U2624" i="24" s="1"/>
  <c r="X2624" i="24" s="1"/>
  <c r="S490" i="22"/>
  <c r="S729" i="22"/>
  <c r="S868" i="22"/>
  <c r="U868" i="22" s="1"/>
  <c r="S917" i="22"/>
  <c r="S1072" i="22"/>
  <c r="S1109" i="22"/>
  <c r="U1109" i="22" s="1"/>
  <c r="S1259" i="22"/>
  <c r="U1259" i="22" s="1"/>
  <c r="X1259" i="22" s="1"/>
  <c r="S1489" i="22"/>
  <c r="P2492" i="22"/>
  <c r="P39" i="23"/>
  <c r="S461" i="23"/>
  <c r="U461" i="23" s="1"/>
  <c r="P463" i="23"/>
  <c r="P600" i="23"/>
  <c r="X600" i="23" s="1"/>
  <c r="P765" i="23"/>
  <c r="P974" i="23"/>
  <c r="S995" i="23"/>
  <c r="U995" i="23" s="1"/>
  <c r="S1134" i="23"/>
  <c r="U1183" i="23"/>
  <c r="P1463" i="23"/>
  <c r="P1534" i="23"/>
  <c r="P1636" i="23"/>
  <c r="X1636" i="23" s="1"/>
  <c r="P1696" i="23"/>
  <c r="X1696" i="23" s="1"/>
  <c r="P2180" i="23"/>
  <c r="W2185" i="23" s="1"/>
  <c r="P96" i="24"/>
  <c r="S114" i="24"/>
  <c r="P223" i="24"/>
  <c r="U244" i="24"/>
  <c r="S568" i="24"/>
  <c r="P570" i="24"/>
  <c r="S892" i="24"/>
  <c r="U892" i="24" s="1"/>
  <c r="P921" i="24"/>
  <c r="S936" i="24"/>
  <c r="U936" i="24" s="1"/>
  <c r="Y936" i="24" s="1"/>
  <c r="P1007" i="24"/>
  <c r="P1131" i="24"/>
  <c r="P1187" i="24"/>
  <c r="P1217" i="24"/>
  <c r="S1363" i="24"/>
  <c r="U1363" i="24" s="1"/>
  <c r="Z1363" i="24" s="1"/>
  <c r="P1472" i="24"/>
  <c r="P1498" i="24"/>
  <c r="S1594" i="24"/>
  <c r="U1594" i="24" s="1"/>
  <c r="Y1594" i="24" s="1"/>
  <c r="P1664" i="24"/>
  <c r="S1695" i="24"/>
  <c r="P1728" i="24"/>
  <c r="P1753" i="24"/>
  <c r="P1797" i="24"/>
  <c r="P1817" i="24"/>
  <c r="P1825" i="24"/>
  <c r="P2053" i="24"/>
  <c r="P2306" i="24"/>
  <c r="P443" i="22"/>
  <c r="P976" i="22"/>
  <c r="P1279" i="22"/>
  <c r="P1353" i="22"/>
  <c r="P1937" i="22"/>
  <c r="P2001" i="22"/>
  <c r="S2653" i="22"/>
  <c r="U2653" i="22" s="1"/>
  <c r="Y2653" i="22" s="1"/>
  <c r="P2692" i="22"/>
  <c r="X2692" i="22" s="1"/>
  <c r="T43" i="23"/>
  <c r="U74" i="23"/>
  <c r="S94" i="23"/>
  <c r="S129" i="23"/>
  <c r="U129" i="23" s="1"/>
  <c r="Z129" i="23" s="1"/>
  <c r="S150" i="23"/>
  <c r="U260" i="23"/>
  <c r="Y260" i="23" s="1"/>
  <c r="S413" i="23"/>
  <c r="U413" i="23" s="1"/>
  <c r="W415" i="23" s="1"/>
  <c r="T767" i="23"/>
  <c r="U814" i="23"/>
  <c r="U816" i="23"/>
  <c r="S829" i="23"/>
  <c r="U829" i="23" s="1"/>
  <c r="Z829" i="23" s="1"/>
  <c r="T831" i="23"/>
  <c r="S1058" i="23"/>
  <c r="S1150" i="23"/>
  <c r="U1150" i="23" s="1"/>
  <c r="X1150" i="23" s="1"/>
  <c r="S1218" i="23"/>
  <c r="U1218" i="23" s="1"/>
  <c r="X1218" i="23" s="1"/>
  <c r="U1279" i="23"/>
  <c r="U1281" i="23"/>
  <c r="S1314" i="23"/>
  <c r="U1375" i="23"/>
  <c r="U1377" i="23"/>
  <c r="Z1377" i="23" s="1"/>
  <c r="S1438" i="23"/>
  <c r="S1515" i="23"/>
  <c r="U1515" i="23" s="1"/>
  <c r="P1523" i="23"/>
  <c r="P1546" i="23"/>
  <c r="P1575" i="23"/>
  <c r="X1575" i="23" s="1"/>
  <c r="P1594" i="23"/>
  <c r="T1759" i="23"/>
  <c r="S107" i="24"/>
  <c r="U107" i="24" s="1"/>
  <c r="Y107" i="24" s="1"/>
  <c r="S290" i="24"/>
  <c r="U290" i="24" s="1"/>
  <c r="S636" i="24"/>
  <c r="S821" i="24"/>
  <c r="S846" i="24"/>
  <c r="U846" i="24" s="1"/>
  <c r="S868" i="24"/>
  <c r="U868" i="24" s="1"/>
  <c r="S896" i="24"/>
  <c r="U896" i="24" s="1"/>
  <c r="S1268" i="24"/>
  <c r="U1268" i="24" s="1"/>
  <c r="P1412" i="24"/>
  <c r="S1436" i="24"/>
  <c r="S1544" i="24"/>
  <c r="U1544" i="24" s="1"/>
  <c r="Y1544" i="24" s="1"/>
  <c r="S1621" i="24"/>
  <c r="U1621" i="24" s="1"/>
  <c r="S1203" i="22"/>
  <c r="S1326" i="22"/>
  <c r="S1497" i="22"/>
  <c r="S1536" i="22"/>
  <c r="S185" i="23"/>
  <c r="U185" i="23" s="1"/>
  <c r="X185" i="23" s="1"/>
  <c r="P573" i="23"/>
  <c r="S1154" i="23"/>
  <c r="U1154" i="23" s="1"/>
  <c r="S1230" i="23"/>
  <c r="U1230" i="23" s="1"/>
  <c r="S1342" i="23"/>
  <c r="U1407" i="23"/>
  <c r="P1506" i="23"/>
  <c r="P1613" i="23"/>
  <c r="S1660" i="23"/>
  <c r="U1660" i="23" s="1"/>
  <c r="X1660" i="23" s="1"/>
  <c r="S1759" i="23"/>
  <c r="P510" i="24"/>
  <c r="X510" i="24" s="1"/>
  <c r="P734" i="24"/>
  <c r="P812" i="24"/>
  <c r="P891" i="24"/>
  <c r="P1015" i="24"/>
  <c r="S1340" i="24"/>
  <c r="P1511" i="24"/>
  <c r="S1518" i="24"/>
  <c r="U1518" i="24" s="1"/>
  <c r="P1528" i="24"/>
  <c r="X1528" i="24" s="1"/>
  <c r="P739" i="22"/>
  <c r="P816" i="22"/>
  <c r="S821" i="22"/>
  <c r="P842" i="22"/>
  <c r="P849" i="22"/>
  <c r="P858" i="22"/>
  <c r="X858" i="22" s="1"/>
  <c r="P885" i="22"/>
  <c r="S1059" i="22"/>
  <c r="S1457" i="22"/>
  <c r="S1566" i="22"/>
  <c r="P1603" i="22"/>
  <c r="P1614" i="22"/>
  <c r="U1629" i="22"/>
  <c r="P1633" i="22"/>
  <c r="P1762" i="22"/>
  <c r="S1775" i="22"/>
  <c r="U1777" i="22"/>
  <c r="Z1777" i="22" s="1"/>
  <c r="P1781" i="22"/>
  <c r="S199" i="23"/>
  <c r="U199" i="23" s="1"/>
  <c r="P347" i="23"/>
  <c r="S908" i="23"/>
  <c r="S1556" i="23"/>
  <c r="U1556" i="23" s="1"/>
  <c r="Z1556" i="23" s="1"/>
  <c r="P1900" i="23"/>
  <c r="U1961" i="23"/>
  <c r="Z1961" i="23" s="1"/>
  <c r="P2420" i="23"/>
  <c r="S52" i="24"/>
  <c r="P66" i="24"/>
  <c r="P104" i="24"/>
  <c r="X104" i="24" s="1"/>
  <c r="P122" i="24"/>
  <c r="P199" i="24"/>
  <c r="P407" i="24"/>
  <c r="W412" i="24" s="1"/>
  <c r="U537" i="24"/>
  <c r="P558" i="24"/>
  <c r="P635" i="24"/>
  <c r="X635" i="24" s="1"/>
  <c r="P719" i="24"/>
  <c r="P755" i="24"/>
  <c r="P820" i="24"/>
  <c r="P835" i="24"/>
  <c r="S856" i="24"/>
  <c r="U856" i="24" s="1"/>
  <c r="P858" i="24"/>
  <c r="X858" i="24" s="1"/>
  <c r="P867" i="24"/>
  <c r="S910" i="24"/>
  <c r="U910" i="24" s="1"/>
  <c r="P979" i="24"/>
  <c r="S1022" i="24"/>
  <c r="P1032" i="24"/>
  <c r="P1145" i="24"/>
  <c r="P1197" i="24"/>
  <c r="P1416" i="24"/>
  <c r="P1456" i="24"/>
  <c r="P1497" i="24"/>
  <c r="P1515" i="24"/>
  <c r="X1572" i="24"/>
  <c r="T1659" i="24"/>
  <c r="P1663" i="24"/>
  <c r="U66" i="24"/>
  <c r="S960" i="24"/>
  <c r="U960" i="24" s="1"/>
  <c r="Y960" i="24" s="1"/>
  <c r="P962" i="24"/>
  <c r="X962" i="24" s="1"/>
  <c r="P991" i="24"/>
  <c r="S1006" i="24"/>
  <c r="P1115" i="24"/>
  <c r="S1241" i="24"/>
  <c r="U1241" i="24" s="1"/>
  <c r="Z1241" i="24" s="1"/>
  <c r="S1282" i="24"/>
  <c r="U1282" i="24" s="1"/>
  <c r="X1282" i="24" s="1"/>
  <c r="S1486" i="24"/>
  <c r="P1776" i="24"/>
  <c r="S566" i="22"/>
  <c r="U566" i="22" s="1"/>
  <c r="Z566" i="22" s="1"/>
  <c r="P603" i="22"/>
  <c r="X603" i="22" s="1"/>
  <c r="U634" i="22"/>
  <c r="S1706" i="22"/>
  <c r="U1706" i="22" s="1"/>
  <c r="S2516" i="22"/>
  <c r="P633" i="23"/>
  <c r="S656" i="23"/>
  <c r="U656" i="23" s="1"/>
  <c r="X656" i="23" s="1"/>
  <c r="P698" i="23"/>
  <c r="U733" i="23"/>
  <c r="Z733" i="23" s="1"/>
  <c r="U741" i="23"/>
  <c r="P836" i="23"/>
  <c r="S1186" i="23"/>
  <c r="S1374" i="23"/>
  <c r="U1439" i="23"/>
  <c r="Z1439" i="23" s="1"/>
  <c r="S2690" i="23"/>
  <c r="U2690" i="23" s="1"/>
  <c r="Y2690" i="23" s="1"/>
  <c r="S1294" i="24"/>
  <c r="U1294" i="24" s="1"/>
  <c r="S1761" i="24"/>
  <c r="U1761" i="24" s="1"/>
  <c r="P2097" i="24"/>
  <c r="S2246" i="24"/>
  <c r="U2246" i="24" s="1"/>
  <c r="P2612" i="24"/>
  <c r="P1324" i="22"/>
  <c r="S1324" i="22"/>
  <c r="P71" i="21"/>
  <c r="S95" i="21"/>
  <c r="U95" i="21" s="1"/>
  <c r="Z95" i="21" s="1"/>
  <c r="S103" i="21"/>
  <c r="S119" i="21"/>
  <c r="U119" i="21" s="1"/>
  <c r="S135" i="21"/>
  <c r="U135" i="21" s="1"/>
  <c r="P215" i="21"/>
  <c r="P223" i="21"/>
  <c r="S260" i="21"/>
  <c r="S281" i="21"/>
  <c r="S448" i="21"/>
  <c r="U448" i="21" s="1"/>
  <c r="P464" i="21"/>
  <c r="P496" i="21"/>
  <c r="P796" i="21"/>
  <c r="S804" i="21"/>
  <c r="S820" i="21"/>
  <c r="P836" i="21"/>
  <c r="S1061" i="21"/>
  <c r="P1317" i="21"/>
  <c r="S437" i="22"/>
  <c r="U437" i="22" s="1"/>
  <c r="X437" i="22" s="1"/>
  <c r="P720" i="22"/>
  <c r="S763" i="22"/>
  <c r="U763" i="22" s="1"/>
  <c r="P887" i="22"/>
  <c r="P896" i="22"/>
  <c r="S946" i="22"/>
  <c r="U946" i="22" s="1"/>
  <c r="S972" i="22"/>
  <c r="S1106" i="22"/>
  <c r="P1449" i="22"/>
  <c r="S1449" i="22"/>
  <c r="P1505" i="22"/>
  <c r="S1505" i="22"/>
  <c r="P1558" i="22"/>
  <c r="S1558" i="22"/>
  <c r="S2634" i="22"/>
  <c r="U2634" i="22" s="1"/>
  <c r="Y2634" i="22" s="1"/>
  <c r="P2634" i="22"/>
  <c r="S21" i="23"/>
  <c r="U21" i="23" s="1"/>
  <c r="Z21" i="23" s="1"/>
  <c r="P21" i="23"/>
  <c r="P65" i="23"/>
  <c r="S65" i="23"/>
  <c r="S189" i="23"/>
  <c r="P189" i="23"/>
  <c r="S269" i="23"/>
  <c r="U269" i="23" s="1"/>
  <c r="P269" i="23"/>
  <c r="P820" i="23"/>
  <c r="S820" i="23"/>
  <c r="U820" i="23" s="1"/>
  <c r="P841" i="23"/>
  <c r="S841" i="23"/>
  <c r="P1469" i="23"/>
  <c r="S1469" i="23"/>
  <c r="U1469" i="23" s="1"/>
  <c r="S1579" i="23"/>
  <c r="U1579" i="23" s="1"/>
  <c r="Y1579" i="23" s="1"/>
  <c r="P1579" i="23"/>
  <c r="S1609" i="23"/>
  <c r="U1609" i="23" s="1"/>
  <c r="P1609" i="23"/>
  <c r="S1675" i="23"/>
  <c r="P1675" i="23"/>
  <c r="P1698" i="23"/>
  <c r="S1698" i="23"/>
  <c r="U1698" i="23" s="1"/>
  <c r="X1698" i="23" s="1"/>
  <c r="P1773" i="23"/>
  <c r="S1773" i="23"/>
  <c r="U1773" i="23" s="1"/>
  <c r="Z1773" i="23" s="1"/>
  <c r="P1787" i="23"/>
  <c r="S1787" i="23"/>
  <c r="P1824" i="23"/>
  <c r="S1824" i="23"/>
  <c r="S586" i="23"/>
  <c r="P586" i="23"/>
  <c r="P1334" i="23"/>
  <c r="S1334" i="23"/>
  <c r="P1394" i="24"/>
  <c r="S1394" i="24"/>
  <c r="P55" i="21"/>
  <c r="P63" i="21"/>
  <c r="P207" i="21"/>
  <c r="P488" i="21"/>
  <c r="P1005" i="21"/>
  <c r="P1221" i="21"/>
  <c r="P1589" i="21"/>
  <c r="P1645" i="21"/>
  <c r="S1693" i="21"/>
  <c r="U1693" i="21" s="1"/>
  <c r="S1733" i="21"/>
  <c r="P1941" i="21"/>
  <c r="P1973" i="21"/>
  <c r="S2133" i="21"/>
  <c r="U37" i="22"/>
  <c r="P82" i="22"/>
  <c r="X82" i="22" s="1"/>
  <c r="S137" i="22"/>
  <c r="U137" i="22" s="1"/>
  <c r="Y137" i="22" s="1"/>
  <c r="S202" i="22"/>
  <c r="U202" i="22" s="1"/>
  <c r="X202" i="22" s="1"/>
  <c r="P529" i="22"/>
  <c r="S541" i="22"/>
  <c r="P631" i="22"/>
  <c r="S717" i="22"/>
  <c r="U717" i="22" s="1"/>
  <c r="S740" i="22"/>
  <c r="U740" i="22" s="1"/>
  <c r="X740" i="22" s="1"/>
  <c r="P776" i="22"/>
  <c r="P803" i="22"/>
  <c r="P815" i="22"/>
  <c r="X815" i="22" s="1"/>
  <c r="S823" i="22"/>
  <c r="U823" i="22" s="1"/>
  <c r="P852" i="22"/>
  <c r="P862" i="22"/>
  <c r="X862" i="22" s="1"/>
  <c r="P884" i="22"/>
  <c r="X884" i="22" s="1"/>
  <c r="S948" i="22"/>
  <c r="P1114" i="22"/>
  <c r="X1114" i="22" s="1"/>
  <c r="S1758" i="22"/>
  <c r="P1758" i="22"/>
  <c r="P477" i="23"/>
  <c r="S477" i="23"/>
  <c r="U477" i="23" s="1"/>
  <c r="S775" i="23"/>
  <c r="U775" i="23" s="1"/>
  <c r="P775" i="23"/>
  <c r="S910" i="23"/>
  <c r="P910" i="23"/>
  <c r="P1086" i="23"/>
  <c r="S1086" i="23"/>
  <c r="S1689" i="23"/>
  <c r="U1689" i="23" s="1"/>
  <c r="P1689" i="23"/>
  <c r="P1351" i="22"/>
  <c r="S1351" i="22"/>
  <c r="U1351" i="22" s="1"/>
  <c r="P2021" i="22"/>
  <c r="S2021" i="22"/>
  <c r="P738" i="23"/>
  <c r="S738" i="23"/>
  <c r="U738" i="23" s="1"/>
  <c r="S785" i="23"/>
  <c r="P785" i="23"/>
  <c r="P23" i="21"/>
  <c r="P47" i="21"/>
  <c r="P175" i="21"/>
  <c r="P199" i="21"/>
  <c r="P270" i="21"/>
  <c r="P305" i="21"/>
  <c r="P812" i="21"/>
  <c r="P1197" i="21"/>
  <c r="S1573" i="21"/>
  <c r="S2021" i="21"/>
  <c r="P65" i="22"/>
  <c r="X65" i="22" s="1"/>
  <c r="P109" i="22"/>
  <c r="X109" i="22" s="1"/>
  <c r="S139" i="22"/>
  <c r="S183" i="22"/>
  <c r="P185" i="22"/>
  <c r="U239" i="22"/>
  <c r="S302" i="22"/>
  <c r="U302" i="22" s="1"/>
  <c r="P509" i="22"/>
  <c r="S559" i="22"/>
  <c r="U559" i="22" s="1"/>
  <c r="P561" i="22"/>
  <c r="X561" i="22" s="1"/>
  <c r="T574" i="22"/>
  <c r="S587" i="22"/>
  <c r="U587" i="22" s="1"/>
  <c r="P820" i="22"/>
  <c r="S872" i="22"/>
  <c r="U872" i="22" s="1"/>
  <c r="X872" i="22" s="1"/>
  <c r="S933" i="22"/>
  <c r="S1062" i="22"/>
  <c r="P1492" i="22"/>
  <c r="S1492" i="22"/>
  <c r="S1616" i="22"/>
  <c r="U1616" i="22" s="1"/>
  <c r="P1616" i="22"/>
  <c r="P1695" i="22"/>
  <c r="S1695" i="22"/>
  <c r="P2624" i="22"/>
  <c r="S2624" i="22"/>
  <c r="P1250" i="23"/>
  <c r="S1250" i="23"/>
  <c r="U1250" i="23" s="1"/>
  <c r="P1566" i="23"/>
  <c r="S1566" i="23"/>
  <c r="U1566" i="23" s="1"/>
  <c r="P1277" i="22"/>
  <c r="S1277" i="22"/>
  <c r="S1330" i="24"/>
  <c r="P1330" i="24"/>
  <c r="P183" i="21"/>
  <c r="P520" i="21"/>
  <c r="P828" i="21"/>
  <c r="S1253" i="21"/>
  <c r="U1253" i="21" s="1"/>
  <c r="X1253" i="21" s="1"/>
  <c r="P1389" i="21"/>
  <c r="S1629" i="21"/>
  <c r="P212" i="22"/>
  <c r="S217" i="22"/>
  <c r="U280" i="22"/>
  <c r="S580" i="22"/>
  <c r="U580" i="22" s="1"/>
  <c r="P635" i="22"/>
  <c r="X635" i="22" s="1"/>
  <c r="P1227" i="22"/>
  <c r="S1227" i="22"/>
  <c r="S1385" i="22"/>
  <c r="U1385" i="22" s="1"/>
  <c r="Z1385" i="22" s="1"/>
  <c r="P1385" i="22"/>
  <c r="S1653" i="22"/>
  <c r="U1653" i="22" s="1"/>
  <c r="P1653" i="22"/>
  <c r="S1741" i="22"/>
  <c r="P1741" i="22"/>
  <c r="P1892" i="22"/>
  <c r="S1892" i="22"/>
  <c r="S95" i="23"/>
  <c r="U95" i="23" s="1"/>
  <c r="P95" i="23"/>
  <c r="X95" i="23" s="1"/>
  <c r="P305" i="23"/>
  <c r="S305" i="23"/>
  <c r="P887" i="23"/>
  <c r="S887" i="23"/>
  <c r="P1398" i="23"/>
  <c r="S1398" i="23"/>
  <c r="S1645" i="23"/>
  <c r="U1645" i="23" s="1"/>
  <c r="P1645" i="23"/>
  <c r="X1645" i="23" s="1"/>
  <c r="S1758" i="23"/>
  <c r="U1758" i="23" s="1"/>
  <c r="Z1758" i="23" s="1"/>
  <c r="P1758" i="23"/>
  <c r="P1544" i="23"/>
  <c r="S1544" i="23"/>
  <c r="P39" i="21"/>
  <c r="P293" i="21"/>
  <c r="P401" i="21"/>
  <c r="P512" i="21"/>
  <c r="P885" i="21"/>
  <c r="P909" i="21"/>
  <c r="P1021" i="21"/>
  <c r="S1165" i="21"/>
  <c r="U1165" i="21" s="1"/>
  <c r="Y1165" i="21" s="1"/>
  <c r="P1277" i="21"/>
  <c r="P1525" i="21"/>
  <c r="S1773" i="21"/>
  <c r="P1933" i="21"/>
  <c r="P58" i="22"/>
  <c r="P582" i="22"/>
  <c r="X582" i="22" s="1"/>
  <c r="S633" i="22"/>
  <c r="U633" i="22" s="1"/>
  <c r="S686" i="22"/>
  <c r="U686" i="22" s="1"/>
  <c r="X686" i="22" s="1"/>
  <c r="S769" i="22"/>
  <c r="P1124" i="22"/>
  <c r="X1124" i="22" s="1"/>
  <c r="S1880" i="22"/>
  <c r="U1880" i="22" s="1"/>
  <c r="P1880" i="22"/>
  <c r="P56" i="23"/>
  <c r="S56" i="23"/>
  <c r="U56" i="23" s="1"/>
  <c r="S570" i="23"/>
  <c r="P570" i="23"/>
  <c r="P1202" i="23"/>
  <c r="S1202" i="23"/>
  <c r="S537" i="21"/>
  <c r="P1093" i="21"/>
  <c r="S1373" i="21"/>
  <c r="S1741" i="21"/>
  <c r="U1741" i="21" s="1"/>
  <c r="S1957" i="21"/>
  <c r="P21" i="22"/>
  <c r="P62" i="22"/>
  <c r="P113" i="22"/>
  <c r="P245" i="22"/>
  <c r="P359" i="22"/>
  <c r="P517" i="22"/>
  <c r="X517" i="22" s="1"/>
  <c r="P602" i="22"/>
  <c r="X602" i="22" s="1"/>
  <c r="S609" i="22"/>
  <c r="U609" i="22" s="1"/>
  <c r="P644" i="22"/>
  <c r="P680" i="22"/>
  <c r="P724" i="22"/>
  <c r="P734" i="22"/>
  <c r="P752" i="22"/>
  <c r="S812" i="22"/>
  <c r="U812" i="22" s="1"/>
  <c r="P846" i="22"/>
  <c r="X846" i="22" s="1"/>
  <c r="P878" i="22"/>
  <c r="X878" i="22" s="1"/>
  <c r="P899" i="22"/>
  <c r="P955" i="22"/>
  <c r="P970" i="22"/>
  <c r="X970" i="22" s="1"/>
  <c r="P983" i="22"/>
  <c r="X983" i="22" s="1"/>
  <c r="P1173" i="22"/>
  <c r="S1173" i="22"/>
  <c r="U1173" i="22" s="1"/>
  <c r="P1286" i="22"/>
  <c r="S1286" i="22"/>
  <c r="S1337" i="22"/>
  <c r="U1337" i="22" s="1"/>
  <c r="P1337" i="22"/>
  <c r="P1411" i="22"/>
  <c r="S1411" i="22"/>
  <c r="P1464" i="22"/>
  <c r="S1464" i="22"/>
  <c r="P2480" i="22"/>
  <c r="S2480" i="22"/>
  <c r="U2480" i="22" s="1"/>
  <c r="P795" i="23"/>
  <c r="S795" i="23"/>
  <c r="U795" i="23" s="1"/>
  <c r="Z795" i="23" s="1"/>
  <c r="P956" i="23"/>
  <c r="S956" i="23"/>
  <c r="U956" i="23" s="1"/>
  <c r="S1678" i="23"/>
  <c r="U1678" i="23" s="1"/>
  <c r="Z1678" i="23" s="1"/>
  <c r="P1678" i="23"/>
  <c r="P529" i="21"/>
  <c r="P569" i="21"/>
  <c r="S577" i="21"/>
  <c r="U577" i="21" s="1"/>
  <c r="S853" i="21"/>
  <c r="U853" i="21" s="1"/>
  <c r="Z853" i="21" s="1"/>
  <c r="S1189" i="21"/>
  <c r="S1261" i="21"/>
  <c r="S1509" i="21"/>
  <c r="S1637" i="21"/>
  <c r="S120" i="22"/>
  <c r="P122" i="22"/>
  <c r="P140" i="22"/>
  <c r="P211" i="22"/>
  <c r="P252" i="22"/>
  <c r="S552" i="22"/>
  <c r="P593" i="22"/>
  <c r="X593" i="22" s="1"/>
  <c r="P632" i="22"/>
  <c r="X632" i="22" s="1"/>
  <c r="P779" i="22"/>
  <c r="X779" i="22" s="1"/>
  <c r="S826" i="22"/>
  <c r="P841" i="22"/>
  <c r="S856" i="22"/>
  <c r="U856" i="22" s="1"/>
  <c r="P863" i="22"/>
  <c r="P873" i="22"/>
  <c r="P890" i="22"/>
  <c r="P916" i="22"/>
  <c r="P959" i="22"/>
  <c r="P987" i="22"/>
  <c r="S1048" i="22"/>
  <c r="U1048" i="22" s="1"/>
  <c r="X1048" i="22" s="1"/>
  <c r="S1092" i="22"/>
  <c r="S1126" i="22"/>
  <c r="U1126" i="22" s="1"/>
  <c r="Z1126" i="22" s="1"/>
  <c r="S1644" i="22"/>
  <c r="U1644" i="22" s="1"/>
  <c r="P1644" i="22"/>
  <c r="S2085" i="22"/>
  <c r="U2085" i="22" s="1"/>
  <c r="P2085" i="22"/>
  <c r="S2651" i="22"/>
  <c r="P2651" i="22"/>
  <c r="P204" i="23"/>
  <c r="S204" i="23"/>
  <c r="P1142" i="23"/>
  <c r="S1142" i="23"/>
  <c r="U1142" i="23" s="1"/>
  <c r="S1486" i="23"/>
  <c r="U1486" i="23" s="1"/>
  <c r="P1486" i="23"/>
  <c r="S1299" i="22"/>
  <c r="S1356" i="22"/>
  <c r="U1356" i="22" s="1"/>
  <c r="S1425" i="22"/>
  <c r="U1425" i="22" s="1"/>
  <c r="Z1425" i="22" s="1"/>
  <c r="S1460" i="22"/>
  <c r="S1473" i="22"/>
  <c r="S1510" i="22"/>
  <c r="S1527" i="22"/>
  <c r="U1527" i="22" s="1"/>
  <c r="S1538" i="22"/>
  <c r="S1598" i="22"/>
  <c r="P1600" i="22"/>
  <c r="X1600" i="22" s="1"/>
  <c r="P1607" i="22"/>
  <c r="S1634" i="22"/>
  <c r="U1634" i="22" s="1"/>
  <c r="S1686" i="22"/>
  <c r="U1686" i="22" s="1"/>
  <c r="X1686" i="22" s="1"/>
  <c r="P1696" i="22"/>
  <c r="S1723" i="22"/>
  <c r="U1723" i="22" s="1"/>
  <c r="P1765" i="22"/>
  <c r="P1969" i="22"/>
  <c r="S2049" i="22"/>
  <c r="U2049" i="22" s="1"/>
  <c r="S2053" i="22"/>
  <c r="P2276" i="22"/>
  <c r="P2432" i="22"/>
  <c r="W2436" i="22" s="1"/>
  <c r="P2456" i="22"/>
  <c r="X2456" i="22" s="1"/>
  <c r="S2546" i="22"/>
  <c r="U2681" i="22"/>
  <c r="T2700" i="22"/>
  <c r="P31" i="23"/>
  <c r="S59" i="23"/>
  <c r="U59" i="23" s="1"/>
  <c r="U63" i="23"/>
  <c r="Z63" i="23" s="1"/>
  <c r="P211" i="23"/>
  <c r="U575" i="23"/>
  <c r="Z575" i="23" s="1"/>
  <c r="P577" i="23"/>
  <c r="S613" i="23"/>
  <c r="U613" i="23" s="1"/>
  <c r="P627" i="23"/>
  <c r="P720" i="23"/>
  <c r="S725" i="23"/>
  <c r="U725" i="23" s="1"/>
  <c r="Z725" i="23" s="1"/>
  <c r="P732" i="23"/>
  <c r="T751" i="23"/>
  <c r="P753" i="23"/>
  <c r="X753" i="23" s="1"/>
  <c r="S758" i="23"/>
  <c r="U758" i="23" s="1"/>
  <c r="X758" i="23" s="1"/>
  <c r="P811" i="23"/>
  <c r="S818" i="23"/>
  <c r="U818" i="23" s="1"/>
  <c r="S821" i="23"/>
  <c r="U821" i="23" s="1"/>
  <c r="Z821" i="23" s="1"/>
  <c r="S835" i="23"/>
  <c r="U835" i="23" s="1"/>
  <c r="Z835" i="23" s="1"/>
  <c r="S873" i="23"/>
  <c r="U873" i="23" s="1"/>
  <c r="X873" i="23" s="1"/>
  <c r="S1378" i="23"/>
  <c r="U1378" i="23" s="1"/>
  <c r="X1378" i="23" s="1"/>
  <c r="S1512" i="23"/>
  <c r="S1549" i="23"/>
  <c r="U1549" i="23" s="1"/>
  <c r="S1560" i="23"/>
  <c r="U1560" i="23" s="1"/>
  <c r="Z1560" i="23" s="1"/>
  <c r="P1564" i="23"/>
  <c r="P1591" i="23"/>
  <c r="S1624" i="23"/>
  <c r="U1624" i="23" s="1"/>
  <c r="Z1624" i="23" s="1"/>
  <c r="P1628" i="23"/>
  <c r="X1628" i="23" s="1"/>
  <c r="P1637" i="23"/>
  <c r="X1637" i="23" s="1"/>
  <c r="S1662" i="23"/>
  <c r="U1662" i="23" s="1"/>
  <c r="Z1662" i="23" s="1"/>
  <c r="P1765" i="23"/>
  <c r="X1765" i="23" s="1"/>
  <c r="P1937" i="23"/>
  <c r="S1937" i="23"/>
  <c r="U1937" i="23" s="1"/>
  <c r="S2017" i="23"/>
  <c r="U2017" i="23" s="1"/>
  <c r="P2017" i="23"/>
  <c r="P113" i="24"/>
  <c r="S115" i="24"/>
  <c r="U115" i="24" s="1"/>
  <c r="Y115" i="24" s="1"/>
  <c r="P115" i="24"/>
  <c r="P1223" i="24"/>
  <c r="S1223" i="24"/>
  <c r="U1223" i="24" s="1"/>
  <c r="S1444" i="24"/>
  <c r="P1444" i="24"/>
  <c r="S1169" i="22"/>
  <c r="S1462" i="22"/>
  <c r="S1529" i="22"/>
  <c r="S1542" i="22"/>
  <c r="S2270" i="22"/>
  <c r="U2270" i="22" s="1"/>
  <c r="S2342" i="22"/>
  <c r="T104" i="23"/>
  <c r="S159" i="23"/>
  <c r="U159" i="23" s="1"/>
  <c r="S218" i="23"/>
  <c r="T815" i="23"/>
  <c r="S1138" i="23"/>
  <c r="U1138" i="23" s="1"/>
  <c r="X1138" i="23" s="1"/>
  <c r="U1295" i="23"/>
  <c r="Z1295" i="23" s="1"/>
  <c r="U1297" i="23"/>
  <c r="Z1297" i="23" s="1"/>
  <c r="S1318" i="23"/>
  <c r="U1359" i="23"/>
  <c r="U1361" i="23"/>
  <c r="S1382" i="23"/>
  <c r="U1423" i="23"/>
  <c r="Z1423" i="23" s="1"/>
  <c r="S1480" i="23"/>
  <c r="U1480" i="23" s="1"/>
  <c r="X1480" i="23" s="1"/>
  <c r="S1514" i="23"/>
  <c r="U1514" i="23" s="1"/>
  <c r="Y1514" i="23" s="1"/>
  <c r="S1685" i="23"/>
  <c r="U1685" i="23" s="1"/>
  <c r="X1685" i="23" s="1"/>
  <c r="U1824" i="23"/>
  <c r="S185" i="24"/>
  <c r="U185" i="24" s="1"/>
  <c r="P185" i="24"/>
  <c r="S253" i="24"/>
  <c r="U253" i="24" s="1"/>
  <c r="P253" i="24"/>
  <c r="S850" i="24"/>
  <c r="U850" i="24" s="1"/>
  <c r="Y850" i="24" s="1"/>
  <c r="P850" i="24"/>
  <c r="S927" i="24"/>
  <c r="U927" i="24" s="1"/>
  <c r="P927" i="24"/>
  <c r="S1105" i="24"/>
  <c r="U1105" i="24" s="1"/>
  <c r="P1105" i="24"/>
  <c r="S1480" i="24"/>
  <c r="P1480" i="24"/>
  <c r="S1558" i="24"/>
  <c r="U1558" i="24" s="1"/>
  <c r="Y1558" i="24" s="1"/>
  <c r="P1558" i="24"/>
  <c r="P92" i="23"/>
  <c r="U189" i="23"/>
  <c r="T215" i="23"/>
  <c r="P504" i="23"/>
  <c r="P529" i="23"/>
  <c r="P603" i="23"/>
  <c r="U635" i="23"/>
  <c r="Z635" i="23" s="1"/>
  <c r="T755" i="23"/>
  <c r="T775" i="23"/>
  <c r="P845" i="23"/>
  <c r="P889" i="23"/>
  <c r="T1659" i="23"/>
  <c r="T1758" i="23"/>
  <c r="S736" i="24"/>
  <c r="U736" i="24" s="1"/>
  <c r="Z736" i="24" s="1"/>
  <c r="P736" i="24"/>
  <c r="S1139" i="24"/>
  <c r="U1139" i="24" s="1"/>
  <c r="P1139" i="24"/>
  <c r="P1136" i="22"/>
  <c r="X1136" i="22" s="1"/>
  <c r="S1346" i="22"/>
  <c r="S1387" i="22"/>
  <c r="P1389" i="22"/>
  <c r="P1408" i="22"/>
  <c r="P1417" i="22"/>
  <c r="S1444" i="22"/>
  <c r="S1494" i="22"/>
  <c r="P1648" i="22"/>
  <c r="P1692" i="22"/>
  <c r="P284" i="23"/>
  <c r="P464" i="23"/>
  <c r="P565" i="23"/>
  <c r="P704" i="23"/>
  <c r="S740" i="23"/>
  <c r="U740" i="23" s="1"/>
  <c r="Y740" i="23" s="1"/>
  <c r="S768" i="23"/>
  <c r="U768" i="23" s="1"/>
  <c r="Z768" i="23" s="1"/>
  <c r="U808" i="23"/>
  <c r="P853" i="23"/>
  <c r="S916" i="23"/>
  <c r="S964" i="23"/>
  <c r="P970" i="23"/>
  <c r="P2665" i="23"/>
  <c r="S2665" i="23"/>
  <c r="U2665" i="23" s="1"/>
  <c r="Z2665" i="23" s="1"/>
  <c r="P46" i="24"/>
  <c r="S224" i="24"/>
  <c r="U224" i="24" s="1"/>
  <c r="P224" i="24"/>
  <c r="P296" i="24"/>
  <c r="P298" i="24"/>
  <c r="S298" i="24"/>
  <c r="U298" i="24" s="1"/>
  <c r="S1087" i="24"/>
  <c r="P1087" i="24"/>
  <c r="S1257" i="24"/>
  <c r="U1257" i="24" s="1"/>
  <c r="P1257" i="24"/>
  <c r="S1368" i="24"/>
  <c r="P1368" i="24"/>
  <c r="P1422" i="24"/>
  <c r="S1422" i="24"/>
  <c r="U1422" i="24" s="1"/>
  <c r="P1138" i="22"/>
  <c r="S1153" i="22"/>
  <c r="S1249" i="22"/>
  <c r="U1249" i="22" s="1"/>
  <c r="X1249" i="22" s="1"/>
  <c r="S1319" i="22"/>
  <c r="S1328" i="22"/>
  <c r="S1339" i="22"/>
  <c r="S1348" i="22"/>
  <c r="U1348" i="22" s="1"/>
  <c r="X1348" i="22" s="1"/>
  <c r="P1624" i="22"/>
  <c r="P1643" i="22"/>
  <c r="P1665" i="22"/>
  <c r="X1665" i="22" s="1"/>
  <c r="S1729" i="22"/>
  <c r="P1789" i="22"/>
  <c r="P1837" i="22"/>
  <c r="P1953" i="22"/>
  <c r="W1956" i="22" s="1"/>
  <c r="U2037" i="22"/>
  <c r="Z2037" i="22" s="1"/>
  <c r="P2657" i="22"/>
  <c r="X2657" i="22" s="1"/>
  <c r="P186" i="23"/>
  <c r="P585" i="23"/>
  <c r="X585" i="23" s="1"/>
  <c r="P597" i="23"/>
  <c r="X597" i="23" s="1"/>
  <c r="U633" i="23"/>
  <c r="T759" i="23"/>
  <c r="P792" i="23"/>
  <c r="X792" i="23" s="1"/>
  <c r="P1502" i="23"/>
  <c r="P1539" i="23"/>
  <c r="P1595" i="23"/>
  <c r="P1665" i="23"/>
  <c r="S1677" i="23"/>
  <c r="U1677" i="23" s="1"/>
  <c r="X1677" i="23" s="1"/>
  <c r="S1684" i="23"/>
  <c r="U1684" i="23" s="1"/>
  <c r="X1684" i="23" s="1"/>
  <c r="P1755" i="23"/>
  <c r="S1909" i="23"/>
  <c r="U1909" i="23" s="1"/>
  <c r="P1909" i="23"/>
  <c r="P346" i="24"/>
  <c r="S346" i="24"/>
  <c r="U346" i="24" s="1"/>
  <c r="P503" i="24"/>
  <c r="S503" i="24"/>
  <c r="U503" i="24" s="1"/>
  <c r="Y503" i="24" s="1"/>
  <c r="Y724" i="24"/>
  <c r="Z724" i="24"/>
  <c r="S947" i="24"/>
  <c r="U947" i="24" s="1"/>
  <c r="P947" i="24"/>
  <c r="S1251" i="22"/>
  <c r="U1251" i="22" s="1"/>
  <c r="X1251" i="22" s="1"/>
  <c r="S1302" i="22"/>
  <c r="S1323" i="22"/>
  <c r="P2009" i="22"/>
  <c r="S2633" i="22"/>
  <c r="U2633" i="22" s="1"/>
  <c r="S2640" i="22"/>
  <c r="T2684" i="22"/>
  <c r="P2688" i="22"/>
  <c r="X2688" i="22" s="1"/>
  <c r="P38" i="23"/>
  <c r="X38" i="23" s="1"/>
  <c r="U49" i="23"/>
  <c r="S64" i="23"/>
  <c r="U64" i="23" s="1"/>
  <c r="S91" i="23"/>
  <c r="U91" i="23" s="1"/>
  <c r="S99" i="23"/>
  <c r="U137" i="23"/>
  <c r="U175" i="23"/>
  <c r="P214" i="23"/>
  <c r="P239" i="23"/>
  <c r="X239" i="23" s="1"/>
  <c r="P290" i="23"/>
  <c r="P335" i="23"/>
  <c r="U1199" i="23"/>
  <c r="Z1199" i="23" s="1"/>
  <c r="U1247" i="23"/>
  <c r="U1249" i="23"/>
  <c r="U1327" i="23"/>
  <c r="U1329" i="23"/>
  <c r="U1391" i="23"/>
  <c r="Z1391" i="23" s="1"/>
  <c r="P1530" i="23"/>
  <c r="P1592" i="23"/>
  <c r="U1665" i="23"/>
  <c r="Z1665" i="23" s="1"/>
  <c r="T1667" i="23"/>
  <c r="P2061" i="23"/>
  <c r="S153" i="24"/>
  <c r="U153" i="24" s="1"/>
  <c r="P153" i="24"/>
  <c r="P716" i="24"/>
  <c r="S716" i="24"/>
  <c r="S1052" i="24"/>
  <c r="P1052" i="24"/>
  <c r="S1169" i="24"/>
  <c r="U1169" i="24" s="1"/>
  <c r="P1169" i="24"/>
  <c r="P1349" i="24"/>
  <c r="S1349" i="24"/>
  <c r="S1304" i="22"/>
  <c r="P1401" i="22"/>
  <c r="S1441" i="22"/>
  <c r="S1478" i="22"/>
  <c r="S1513" i="22"/>
  <c r="S1534" i="22"/>
  <c r="P1985" i="22"/>
  <c r="W1988" i="22" s="1"/>
  <c r="P2069" i="22"/>
  <c r="Z2657" i="22"/>
  <c r="S73" i="23"/>
  <c r="P96" i="23"/>
  <c r="X96" i="23" s="1"/>
  <c r="S107" i="23"/>
  <c r="U107" i="23" s="1"/>
  <c r="P115" i="23"/>
  <c r="S188" i="23"/>
  <c r="S466" i="23"/>
  <c r="U466" i="23" s="1"/>
  <c r="Z466" i="23" s="1"/>
  <c r="P562" i="23"/>
  <c r="S578" i="23"/>
  <c r="U578" i="23" s="1"/>
  <c r="X578" i="23" s="1"/>
  <c r="P822" i="23"/>
  <c r="P833" i="23"/>
  <c r="X833" i="23" s="1"/>
  <c r="P869" i="23"/>
  <c r="S940" i="23"/>
  <c r="P942" i="23"/>
  <c r="S999" i="23"/>
  <c r="S1118" i="23"/>
  <c r="S1174" i="23"/>
  <c r="U1174" i="23" s="1"/>
  <c r="S1222" i="23"/>
  <c r="U1263" i="23"/>
  <c r="Y1263" i="23" s="1"/>
  <c r="U1265" i="23"/>
  <c r="Z1265" i="23" s="1"/>
  <c r="S1302" i="23"/>
  <c r="S1366" i="23"/>
  <c r="S1430" i="23"/>
  <c r="P2186" i="23"/>
  <c r="S2186" i="23"/>
  <c r="U2186" i="23" s="1"/>
  <c r="P2456" i="23"/>
  <c r="P91" i="24"/>
  <c r="S91" i="24"/>
  <c r="U91" i="24" s="1"/>
  <c r="Z91" i="24" s="1"/>
  <c r="P127" i="24"/>
  <c r="S127" i="24"/>
  <c r="P202" i="24"/>
  <c r="S202" i="24"/>
  <c r="U202" i="24" s="1"/>
  <c r="S491" i="24"/>
  <c r="U491" i="24" s="1"/>
  <c r="Z491" i="24" s="1"/>
  <c r="P491" i="24"/>
  <c r="S536" i="24"/>
  <c r="U536" i="24" s="1"/>
  <c r="P536" i="24"/>
  <c r="S1072" i="24"/>
  <c r="P1072" i="24"/>
  <c r="Y1281" i="24"/>
  <c r="Z1281" i="24"/>
  <c r="S1505" i="24"/>
  <c r="U1505" i="24" s="1"/>
  <c r="Z1505" i="24" s="1"/>
  <c r="P1505" i="24"/>
  <c r="P2312" i="23"/>
  <c r="X2312" i="23" s="1"/>
  <c r="P2540" i="23"/>
  <c r="X2540" i="23" s="1"/>
  <c r="P2582" i="23"/>
  <c r="P2656" i="23"/>
  <c r="P59" i="24"/>
  <c r="X59" i="24" s="1"/>
  <c r="U113" i="24"/>
  <c r="P209" i="24"/>
  <c r="X209" i="24" s="1"/>
  <c r="S460" i="24"/>
  <c r="T506" i="24"/>
  <c r="S511" i="24"/>
  <c r="S633" i="24"/>
  <c r="S639" i="24"/>
  <c r="U639" i="24" s="1"/>
  <c r="S704" i="24"/>
  <c r="S768" i="24"/>
  <c r="U768" i="24" s="1"/>
  <c r="X768" i="24" s="1"/>
  <c r="P956" i="24"/>
  <c r="P970" i="24"/>
  <c r="X970" i="24" s="1"/>
  <c r="P1125" i="24"/>
  <c r="S1258" i="24"/>
  <c r="U1258" i="24" s="1"/>
  <c r="S1324" i="24"/>
  <c r="S1371" i="24"/>
  <c r="U1371" i="24" s="1"/>
  <c r="Z1371" i="24" s="1"/>
  <c r="S1403" i="24"/>
  <c r="S1438" i="24"/>
  <c r="P1440" i="24"/>
  <c r="P1496" i="24"/>
  <c r="P1536" i="24"/>
  <c r="X1536" i="24" s="1"/>
  <c r="P1620" i="24"/>
  <c r="S1654" i="24"/>
  <c r="U1654" i="24" s="1"/>
  <c r="Y1654" i="24" s="1"/>
  <c r="P1678" i="24"/>
  <c r="T1759" i="24"/>
  <c r="P1766" i="24"/>
  <c r="S1831" i="24"/>
  <c r="U1831" i="24" s="1"/>
  <c r="P1941" i="24"/>
  <c r="X1941" i="24" s="1"/>
  <c r="S1973" i="24"/>
  <c r="U1973" i="24" s="1"/>
  <c r="Y1973" i="24" s="1"/>
  <c r="P2077" i="24"/>
  <c r="P2426" i="24"/>
  <c r="S2450" i="24"/>
  <c r="S2045" i="23"/>
  <c r="U2658" i="23"/>
  <c r="Z2658" i="23" s="1"/>
  <c r="S98" i="24"/>
  <c r="T108" i="24"/>
  <c r="T211" i="24"/>
  <c r="S765" i="24"/>
  <c r="T772" i="24"/>
  <c r="U1050" i="24"/>
  <c r="S1057" i="24"/>
  <c r="S1070" i="24"/>
  <c r="U1070" i="24" s="1"/>
  <c r="S1296" i="24"/>
  <c r="U1296" i="24" s="1"/>
  <c r="X1296" i="24" s="1"/>
  <c r="Z1299" i="24"/>
  <c r="S1409" i="24"/>
  <c r="U1409" i="24" s="1"/>
  <c r="Z1409" i="24" s="1"/>
  <c r="S1420" i="24"/>
  <c r="S1554" i="24"/>
  <c r="U1554" i="24" s="1"/>
  <c r="P1592" i="24"/>
  <c r="S1627" i="24"/>
  <c r="U1627" i="24" s="1"/>
  <c r="P1645" i="24"/>
  <c r="S1662" i="24"/>
  <c r="U1662" i="24" s="1"/>
  <c r="X1662" i="24" s="1"/>
  <c r="T1680" i="24"/>
  <c r="P1739" i="24"/>
  <c r="X1739" i="24" s="1"/>
  <c r="P1779" i="24"/>
  <c r="P2504" i="24"/>
  <c r="X2504" i="24" s="1"/>
  <c r="P2546" i="24"/>
  <c r="X2546" i="24" s="1"/>
  <c r="P2702" i="24"/>
  <c r="P1796" i="23"/>
  <c r="P1840" i="23"/>
  <c r="X1840" i="23" s="1"/>
  <c r="P1845" i="23"/>
  <c r="P1957" i="23"/>
  <c r="W1958" i="23" s="1"/>
  <c r="P2462" i="23"/>
  <c r="P2492" i="23"/>
  <c r="W2494" i="23" s="1"/>
  <c r="P2632" i="23"/>
  <c r="T226" i="24"/>
  <c r="P609" i="24"/>
  <c r="T756" i="24"/>
  <c r="P817" i="24"/>
  <c r="P920" i="24"/>
  <c r="P958" i="24"/>
  <c r="P980" i="24"/>
  <c r="P1047" i="24"/>
  <c r="X1047" i="24" s="1"/>
  <c r="P1056" i="24"/>
  <c r="P1111" i="24"/>
  <c r="X1111" i="24" s="1"/>
  <c r="P1141" i="24"/>
  <c r="P1173" i="24"/>
  <c r="P1225" i="24"/>
  <c r="S1682" i="24"/>
  <c r="U1682" i="24" s="1"/>
  <c r="S1754" i="24"/>
  <c r="U1754" i="24" s="1"/>
  <c r="X1754" i="24" s="1"/>
  <c r="S2153" i="24"/>
  <c r="U2153" i="24" s="1"/>
  <c r="X2153" i="24" s="1"/>
  <c r="P1817" i="23"/>
  <c r="P1832" i="23"/>
  <c r="P2282" i="23"/>
  <c r="X30" i="24"/>
  <c r="P54" i="24"/>
  <c r="U95" i="24"/>
  <c r="P184" i="24"/>
  <c r="X184" i="24" s="1"/>
  <c r="P335" i="24"/>
  <c r="P347" i="24"/>
  <c r="W350" i="24" s="1"/>
  <c r="U418" i="24"/>
  <c r="P505" i="24"/>
  <c r="X505" i="24" s="1"/>
  <c r="S560" i="24"/>
  <c r="U560" i="24" s="1"/>
  <c r="S597" i="24"/>
  <c r="S758" i="24"/>
  <c r="P832" i="24"/>
  <c r="P847" i="24"/>
  <c r="X847" i="24" s="1"/>
  <c r="P911" i="24"/>
  <c r="X911" i="24" s="1"/>
  <c r="P933" i="24"/>
  <c r="S942" i="24"/>
  <c r="U942" i="24" s="1"/>
  <c r="X942" i="24" s="1"/>
  <c r="P953" i="24"/>
  <c r="S999" i="24"/>
  <c r="U999" i="24" s="1"/>
  <c r="S1017" i="24"/>
  <c r="S1030" i="24"/>
  <c r="U1030" i="24" s="1"/>
  <c r="S1065" i="24"/>
  <c r="U1065" i="24" s="1"/>
  <c r="S1321" i="24"/>
  <c r="U1321" i="24" s="1"/>
  <c r="X1321" i="24" s="1"/>
  <c r="S1969" i="23"/>
  <c r="U1969" i="23" s="1"/>
  <c r="W1972" i="23" s="1"/>
  <c r="P2318" i="23"/>
  <c r="W2322" i="23" s="1"/>
  <c r="P2336" i="23"/>
  <c r="W2341" i="23" s="1"/>
  <c r="S2692" i="23"/>
  <c r="X51" i="24"/>
  <c r="P88" i="24"/>
  <c r="X88" i="24" s="1"/>
  <c r="S100" i="24"/>
  <c r="U100" i="24" s="1"/>
  <c r="S219" i="24"/>
  <c r="U219" i="24" s="1"/>
  <c r="X219" i="24" s="1"/>
  <c r="S269" i="24"/>
  <c r="U269" i="24" s="1"/>
  <c r="P401" i="24"/>
  <c r="Z448" i="24"/>
  <c r="S462" i="24"/>
  <c r="U462" i="24" s="1"/>
  <c r="X462" i="24" s="1"/>
  <c r="P495" i="24"/>
  <c r="X495" i="24" s="1"/>
  <c r="P509" i="24"/>
  <c r="S519" i="24"/>
  <c r="U519" i="24" s="1"/>
  <c r="S1001" i="24"/>
  <c r="U1001" i="24" s="1"/>
  <c r="P1080" i="24"/>
  <c r="S1274" i="24"/>
  <c r="U1274" i="24" s="1"/>
  <c r="P1452" i="24"/>
  <c r="P1516" i="24"/>
  <c r="Z1528" i="24"/>
  <c r="P1530" i="24"/>
  <c r="X1530" i="24" s="1"/>
  <c r="P1602" i="24"/>
  <c r="S2606" i="24"/>
  <c r="U2606" i="24" s="1"/>
  <c r="S2680" i="24"/>
  <c r="U2680" i="24" s="1"/>
  <c r="U1042" i="24"/>
  <c r="P1044" i="24"/>
  <c r="P1060" i="24"/>
  <c r="P1153" i="24"/>
  <c r="S1244" i="24"/>
  <c r="U1244" i="24" s="1"/>
  <c r="U1246" i="24"/>
  <c r="P1273" i="24"/>
  <c r="X1273" i="24" s="1"/>
  <c r="T1769" i="24"/>
  <c r="P1771" i="24"/>
  <c r="S1796" i="24"/>
  <c r="S2643" i="24"/>
  <c r="U2643" i="24" s="1"/>
  <c r="X2643" i="24" s="1"/>
  <c r="S2664" i="24"/>
  <c r="S2688" i="24"/>
  <c r="U2688" i="24" s="1"/>
  <c r="P1788" i="23"/>
  <c r="S1837" i="23"/>
  <c r="U1837" i="23" s="1"/>
  <c r="S1941" i="23"/>
  <c r="U1941" i="23" s="1"/>
  <c r="W1942" i="23" s="1"/>
  <c r="P207" i="24"/>
  <c r="T225" i="24"/>
  <c r="S461" i="24"/>
  <c r="U461" i="24" s="1"/>
  <c r="Z461" i="24" s="1"/>
  <c r="P739" i="24"/>
  <c r="X739" i="24" s="1"/>
  <c r="S766" i="24"/>
  <c r="U766" i="24" s="1"/>
  <c r="P777" i="24"/>
  <c r="U798" i="24"/>
  <c r="P805" i="24"/>
  <c r="S814" i="24"/>
  <c r="S1023" i="24"/>
  <c r="U1023" i="24" s="1"/>
  <c r="X1023" i="24" s="1"/>
  <c r="X1131" i="24"/>
  <c r="P1133" i="24"/>
  <c r="S1316" i="24"/>
  <c r="P1352" i="24"/>
  <c r="S1378" i="24"/>
  <c r="S1470" i="24"/>
  <c r="T1663" i="24"/>
  <c r="P2033" i="24"/>
  <c r="P2138" i="24"/>
  <c r="S2204" i="24"/>
  <c r="U2204" i="24" s="1"/>
  <c r="W2208" i="24" s="1"/>
  <c r="S2300" i="24"/>
  <c r="U2300" i="24" s="1"/>
  <c r="W2302" i="24" s="1"/>
  <c r="S2540" i="24"/>
  <c r="U2540" i="24" s="1"/>
  <c r="U2677" i="24"/>
  <c r="S2588" i="21"/>
  <c r="P2588" i="21"/>
  <c r="S2300" i="21"/>
  <c r="P2300" i="21"/>
  <c r="S1622" i="22"/>
  <c r="P1622" i="22"/>
  <c r="Y1832" i="22"/>
  <c r="Z1832" i="22"/>
  <c r="S2504" i="22"/>
  <c r="U2504" i="22" s="1"/>
  <c r="P2504" i="22"/>
  <c r="S38" i="21"/>
  <c r="S54" i="21"/>
  <c r="P70" i="21"/>
  <c r="S214" i="21"/>
  <c r="P242" i="21"/>
  <c r="S371" i="21"/>
  <c r="U371" i="21" s="1"/>
  <c r="P419" i="21"/>
  <c r="P487" i="21"/>
  <c r="S552" i="21"/>
  <c r="P585" i="21"/>
  <c r="P593" i="21"/>
  <c r="S633" i="21"/>
  <c r="U633" i="21" s="1"/>
  <c r="X633" i="21" s="1"/>
  <c r="S908" i="21"/>
  <c r="P948" i="21"/>
  <c r="P956" i="21"/>
  <c r="S972" i="21"/>
  <c r="S980" i="21"/>
  <c r="P1020" i="21"/>
  <c r="P1028" i="21"/>
  <c r="P1100" i="21"/>
  <c r="S1156" i="21"/>
  <c r="P1220" i="21"/>
  <c r="P1228" i="21"/>
  <c r="S1236" i="21"/>
  <c r="S1260" i="21"/>
  <c r="P1284" i="21"/>
  <c r="S1316" i="21"/>
  <c r="S1324" i="21"/>
  <c r="U1324" i="21" s="1"/>
  <c r="Y1324" i="21" s="1"/>
  <c r="P1340" i="21"/>
  <c r="S1348" i="21"/>
  <c r="U1348" i="21" s="1"/>
  <c r="Z1348" i="21" s="1"/>
  <c r="P1372" i="21"/>
  <c r="S1380" i="21"/>
  <c r="P1404" i="21"/>
  <c r="P1428" i="21"/>
  <c r="S1436" i="21"/>
  <c r="U1436" i="21" s="1"/>
  <c r="Y1436" i="21" s="1"/>
  <c r="P1484" i="21"/>
  <c r="S1492" i="21"/>
  <c r="P1508" i="21"/>
  <c r="S1516" i="21"/>
  <c r="S1540" i="21"/>
  <c r="S1564" i="21"/>
  <c r="P1588" i="21"/>
  <c r="S1596" i="21"/>
  <c r="U1596" i="21" s="1"/>
  <c r="P1612" i="21"/>
  <c r="S1620" i="21"/>
  <c r="P1636" i="21"/>
  <c r="S1644" i="21"/>
  <c r="P1748" i="21"/>
  <c r="S2276" i="21"/>
  <c r="Z96" i="22"/>
  <c r="Y96" i="22"/>
  <c r="S118" i="22"/>
  <c r="U118" i="22" s="1"/>
  <c r="Y118" i="22" s="1"/>
  <c r="P118" i="22"/>
  <c r="S241" i="22"/>
  <c r="U241" i="22" s="1"/>
  <c r="P241" i="22"/>
  <c r="P900" i="22"/>
  <c r="S900" i="22"/>
  <c r="S935" i="22"/>
  <c r="U935" i="22" s="1"/>
  <c r="P935" i="22"/>
  <c r="P1504" i="22"/>
  <c r="S1504" i="22"/>
  <c r="S1650" i="22"/>
  <c r="U1650" i="22" s="1"/>
  <c r="Y1650" i="22" s="1"/>
  <c r="P1650" i="22"/>
  <c r="S1993" i="22"/>
  <c r="U1993" i="22" s="1"/>
  <c r="P1993" i="22"/>
  <c r="S2638" i="22"/>
  <c r="U2638" i="22" s="1"/>
  <c r="P2638" i="22"/>
  <c r="P97" i="23"/>
  <c r="S97" i="23"/>
  <c r="U97" i="23" s="1"/>
  <c r="P494" i="23"/>
  <c r="S494" i="23"/>
  <c r="U494" i="23" s="1"/>
  <c r="Y494" i="23" s="1"/>
  <c r="S541" i="23"/>
  <c r="U541" i="23" s="1"/>
  <c r="P541" i="23"/>
  <c r="S2636" i="21"/>
  <c r="P2636" i="21"/>
  <c r="S2372" i="21"/>
  <c r="P2372" i="21"/>
  <c r="P22" i="21"/>
  <c r="P78" i="21"/>
  <c r="P503" i="21"/>
  <c r="P536" i="21"/>
  <c r="P560" i="21"/>
  <c r="P568" i="21"/>
  <c r="P868" i="21"/>
  <c r="P876" i="21"/>
  <c r="P884" i="21"/>
  <c r="P892" i="21"/>
  <c r="P940" i="21"/>
  <c r="P1004" i="21"/>
  <c r="P1012" i="21"/>
  <c r="P1084" i="21"/>
  <c r="P1092" i="21"/>
  <c r="P1140" i="21"/>
  <c r="P1212" i="21"/>
  <c r="P1252" i="21"/>
  <c r="P1276" i="21"/>
  <c r="P1308" i="21"/>
  <c r="P1364" i="21"/>
  <c r="P1532" i="21"/>
  <c r="P1556" i="21"/>
  <c r="P1660" i="21"/>
  <c r="P1764" i="21"/>
  <c r="P1788" i="21"/>
  <c r="P1820" i="21"/>
  <c r="P1828" i="21"/>
  <c r="P1876" i="21"/>
  <c r="P625" i="22"/>
  <c r="S625" i="22"/>
  <c r="U625" i="22" s="1"/>
  <c r="S722" i="22"/>
  <c r="U722" i="22" s="1"/>
  <c r="P722" i="22"/>
  <c r="P1157" i="22"/>
  <c r="S1157" i="22"/>
  <c r="P1287" i="22"/>
  <c r="S1287" i="22"/>
  <c r="S1352" i="22"/>
  <c r="U1352" i="22" s="1"/>
  <c r="P1352" i="22"/>
  <c r="P1456" i="22"/>
  <c r="S1456" i="22"/>
  <c r="P1586" i="22"/>
  <c r="S1586" i="22"/>
  <c r="S1617" i="22"/>
  <c r="P1617" i="22"/>
  <c r="S2228" i="21"/>
  <c r="P2228" i="21"/>
  <c r="S128" i="22"/>
  <c r="P128" i="22"/>
  <c r="S518" i="22"/>
  <c r="P518" i="22"/>
  <c r="S1606" i="22"/>
  <c r="U1606" i="22" s="1"/>
  <c r="Y1606" i="22" s="1"/>
  <c r="P1606" i="22"/>
  <c r="P766" i="23"/>
  <c r="S766" i="23"/>
  <c r="U766" i="23" s="1"/>
  <c r="S2707" i="23"/>
  <c r="U2707" i="23" s="1"/>
  <c r="P2707" i="23"/>
  <c r="P43" i="24"/>
  <c r="S43" i="24"/>
  <c r="U43" i="24" s="1"/>
  <c r="Z43" i="24" s="1"/>
  <c r="P976" i="24"/>
  <c r="S976" i="24"/>
  <c r="U976" i="24" s="1"/>
  <c r="Z976" i="24" s="1"/>
  <c r="P134" i="21"/>
  <c r="P150" i="21"/>
  <c r="P250" i="21"/>
  <c r="P495" i="21"/>
  <c r="P511" i="21"/>
  <c r="P576" i="21"/>
  <c r="S770" i="21"/>
  <c r="P852" i="21"/>
  <c r="P860" i="21"/>
  <c r="P932" i="21"/>
  <c r="P1076" i="21"/>
  <c r="P1132" i="21"/>
  <c r="P1396" i="21"/>
  <c r="P1452" i="21"/>
  <c r="P1684" i="21"/>
  <c r="P1740" i="21"/>
  <c r="P38" i="22"/>
  <c r="S38" i="22"/>
  <c r="U38" i="22" s="1"/>
  <c r="P323" i="22"/>
  <c r="S323" i="22"/>
  <c r="U323" i="22" s="1"/>
  <c r="X498" i="22"/>
  <c r="S569" i="22"/>
  <c r="U569" i="22" s="1"/>
  <c r="P569" i="22"/>
  <c r="S854" i="22"/>
  <c r="U854" i="22" s="1"/>
  <c r="P854" i="22"/>
  <c r="S886" i="22"/>
  <c r="U886" i="22" s="1"/>
  <c r="P886" i="22"/>
  <c r="P1080" i="22"/>
  <c r="S1080" i="22"/>
  <c r="P1211" i="22"/>
  <c r="S1211" i="22"/>
  <c r="S1405" i="22"/>
  <c r="U1405" i="22" s="1"/>
  <c r="P1405" i="22"/>
  <c r="S1645" i="22"/>
  <c r="U1645" i="22" s="1"/>
  <c r="P1645" i="22"/>
  <c r="S1697" i="22"/>
  <c r="U1697" i="22" s="1"/>
  <c r="Y1697" i="22" s="1"/>
  <c r="P1697" i="22"/>
  <c r="P1746" i="22"/>
  <c r="S1746" i="22"/>
  <c r="S2128" i="22"/>
  <c r="U2128" i="22" s="1"/>
  <c r="P2128" i="22"/>
  <c r="S2684" i="21"/>
  <c r="U2684" i="21" s="1"/>
  <c r="P2684" i="21"/>
  <c r="P2516" i="21"/>
  <c r="S2516" i="21"/>
  <c r="S2420" i="21"/>
  <c r="P2420" i="21"/>
  <c r="S2324" i="21"/>
  <c r="P2324" i="21"/>
  <c r="P914" i="23"/>
  <c r="S914" i="23"/>
  <c r="U914" i="23" s="1"/>
  <c r="P86" i="21"/>
  <c r="P231" i="21"/>
  <c r="P519" i="21"/>
  <c r="P601" i="21"/>
  <c r="S738" i="21"/>
  <c r="P996" i="21"/>
  <c r="P1060" i="21"/>
  <c r="P1068" i="21"/>
  <c r="P1196" i="21"/>
  <c r="P1204" i="21"/>
  <c r="P1244" i="21"/>
  <c r="P1300" i="21"/>
  <c r="P1332" i="21"/>
  <c r="P1388" i="21"/>
  <c r="P1420" i="21"/>
  <c r="P1476" i="21"/>
  <c r="P1500" i="21"/>
  <c r="P1524" i="21"/>
  <c r="P1548" i="21"/>
  <c r="P1580" i="21"/>
  <c r="P1604" i="21"/>
  <c r="P1628" i="21"/>
  <c r="P1868" i="21"/>
  <c r="S216" i="22"/>
  <c r="P216" i="22"/>
  <c r="S485" i="22"/>
  <c r="P485" i="22"/>
  <c r="P577" i="22"/>
  <c r="S577" i="22"/>
  <c r="U577" i="22" s="1"/>
  <c r="S844" i="22"/>
  <c r="U844" i="22" s="1"/>
  <c r="P844" i="22"/>
  <c r="X856" i="22"/>
  <c r="S876" i="22"/>
  <c r="U876" i="22" s="1"/>
  <c r="P876" i="22"/>
  <c r="P1271" i="22"/>
  <c r="S1271" i="22"/>
  <c r="U1271" i="22" s="1"/>
  <c r="P1488" i="22"/>
  <c r="S1488" i="22"/>
  <c r="P1693" i="22"/>
  <c r="S1693" i="22"/>
  <c r="P1925" i="22"/>
  <c r="S1925" i="22"/>
  <c r="U1925" i="22" s="1"/>
  <c r="P2701" i="21"/>
  <c r="S2701" i="21"/>
  <c r="P2612" i="21"/>
  <c r="S2612" i="21"/>
  <c r="U2612" i="21" s="1"/>
  <c r="P2564" i="21"/>
  <c r="S2564" i="21"/>
  <c r="S2396" i="21"/>
  <c r="U2396" i="21" s="1"/>
  <c r="Z2396" i="21" s="1"/>
  <c r="P2396" i="21"/>
  <c r="P94" i="21"/>
  <c r="P323" i="21"/>
  <c r="P463" i="21"/>
  <c r="P527" i="21"/>
  <c r="P656" i="21"/>
  <c r="P730" i="21"/>
  <c r="P844" i="21"/>
  <c r="P924" i="21"/>
  <c r="P988" i="21"/>
  <c r="P1052" i="21"/>
  <c r="P1124" i="21"/>
  <c r="P1180" i="21"/>
  <c r="P1188" i="21"/>
  <c r="P1268" i="21"/>
  <c r="P1356" i="21"/>
  <c r="P1444" i="21"/>
  <c r="P1572" i="21"/>
  <c r="P1652" i="21"/>
  <c r="P1676" i="21"/>
  <c r="P1732" i="21"/>
  <c r="P1780" i="21"/>
  <c r="P1860" i="21"/>
  <c r="S1900" i="21"/>
  <c r="U1900" i="21" s="1"/>
  <c r="P2180" i="21"/>
  <c r="P70" i="22"/>
  <c r="S70" i="22"/>
  <c r="S622" i="22"/>
  <c r="U622" i="22" s="1"/>
  <c r="P622" i="22"/>
  <c r="S819" i="22"/>
  <c r="U819" i="22" s="1"/>
  <c r="P819" i="22"/>
  <c r="P837" i="22"/>
  <c r="S837" i="22"/>
  <c r="U837" i="22" s="1"/>
  <c r="P940" i="22"/>
  <c r="S940" i="22"/>
  <c r="P1065" i="22"/>
  <c r="S1065" i="22"/>
  <c r="P1554" i="22"/>
  <c r="S1554" i="22"/>
  <c r="S1609" i="22"/>
  <c r="P1609" i="22"/>
  <c r="Y1665" i="22"/>
  <c r="Z1665" i="22"/>
  <c r="S1847" i="22"/>
  <c r="U1847" i="22" s="1"/>
  <c r="P1847" i="22"/>
  <c r="P2660" i="21"/>
  <c r="S2660" i="21"/>
  <c r="S2540" i="21"/>
  <c r="U2540" i="21" s="1"/>
  <c r="P2540" i="21"/>
  <c r="S2204" i="21"/>
  <c r="P2204" i="21"/>
  <c r="S163" i="22"/>
  <c r="U163" i="22" s="1"/>
  <c r="P163" i="22"/>
  <c r="S1110" i="22"/>
  <c r="U1110" i="22" s="1"/>
  <c r="Z1110" i="22" s="1"/>
  <c r="P1110" i="22"/>
  <c r="P1892" i="21"/>
  <c r="S53" i="22"/>
  <c r="U53" i="22" s="1"/>
  <c r="Z53" i="22" s="1"/>
  <c r="P53" i="22"/>
  <c r="S133" i="22"/>
  <c r="U133" i="22" s="1"/>
  <c r="Y133" i="22" s="1"/>
  <c r="P133" i="22"/>
  <c r="S521" i="22"/>
  <c r="P521" i="22"/>
  <c r="P703" i="22"/>
  <c r="S703" i="22"/>
  <c r="U703" i="22" s="1"/>
  <c r="P1307" i="22"/>
  <c r="S1307" i="22"/>
  <c r="S2168" i="22"/>
  <c r="U2168" i="22" s="1"/>
  <c r="P2168" i="22"/>
  <c r="P2444" i="21"/>
  <c r="S2444" i="21"/>
  <c r="U2444" i="21" s="1"/>
  <c r="P2252" i="21"/>
  <c r="S2252" i="21"/>
  <c r="U2252" i="21" s="1"/>
  <c r="W2256" i="21" s="1"/>
  <c r="S751" i="22"/>
  <c r="U751" i="22" s="1"/>
  <c r="P751" i="22"/>
  <c r="S860" i="22"/>
  <c r="U860" i="22" s="1"/>
  <c r="P860" i="22"/>
  <c r="S1637" i="22"/>
  <c r="U1637" i="22" s="1"/>
  <c r="P1637" i="22"/>
  <c r="S2153" i="22"/>
  <c r="U2153" i="22" s="1"/>
  <c r="P2153" i="22"/>
  <c r="P625" i="21"/>
  <c r="Y804" i="22"/>
  <c r="Z804" i="22"/>
  <c r="S870" i="22"/>
  <c r="U870" i="22" s="1"/>
  <c r="P870" i="22"/>
  <c r="P1243" i="22"/>
  <c r="S1243" i="22"/>
  <c r="U1243" i="22" s="1"/>
  <c r="P1296" i="22"/>
  <c r="S1296" i="22"/>
  <c r="P1372" i="22"/>
  <c r="S1372" i="22"/>
  <c r="U1372" i="22" s="1"/>
  <c r="P1472" i="22"/>
  <c r="S1472" i="22"/>
  <c r="S2354" i="22"/>
  <c r="P2354" i="22"/>
  <c r="P25" i="22"/>
  <c r="S32" i="22"/>
  <c r="U32" i="22" s="1"/>
  <c r="P46" i="22"/>
  <c r="P54" i="22"/>
  <c r="S59" i="22"/>
  <c r="U59" i="22" s="1"/>
  <c r="P61" i="22"/>
  <c r="X61" i="22" s="1"/>
  <c r="T93" i="22"/>
  <c r="P101" i="22"/>
  <c r="P199" i="22"/>
  <c r="X199" i="22" s="1"/>
  <c r="P208" i="22"/>
  <c r="P223" i="22"/>
  <c r="X223" i="22" s="1"/>
  <c r="P233" i="22"/>
  <c r="S242" i="22"/>
  <c r="U242" i="22" s="1"/>
  <c r="X242" i="22" s="1"/>
  <c r="P265" i="22"/>
  <c r="W268" i="22" s="1"/>
  <c r="P305" i="22"/>
  <c r="P562" i="22"/>
  <c r="P574" i="22"/>
  <c r="X574" i="22" s="1"/>
  <c r="P586" i="22"/>
  <c r="X628" i="22"/>
  <c r="U629" i="22"/>
  <c r="Y629" i="22" s="1"/>
  <c r="S639" i="22"/>
  <c r="U639" i="22" s="1"/>
  <c r="Y639" i="22" s="1"/>
  <c r="S716" i="22"/>
  <c r="U716" i="22" s="1"/>
  <c r="P719" i="22"/>
  <c r="P798" i="22"/>
  <c r="P834" i="22"/>
  <c r="S835" i="22"/>
  <c r="P845" i="22"/>
  <c r="P851" i="22"/>
  <c r="P861" i="22"/>
  <c r="P867" i="22"/>
  <c r="P877" i="22"/>
  <c r="P883" i="22"/>
  <c r="P907" i="22"/>
  <c r="X907" i="22" s="1"/>
  <c r="S938" i="22"/>
  <c r="U938" i="22" s="1"/>
  <c r="X938" i="22" s="1"/>
  <c r="P978" i="22"/>
  <c r="S1237" i="22"/>
  <c r="S1261" i="22"/>
  <c r="U1261" i="22" s="1"/>
  <c r="X1261" i="22" s="1"/>
  <c r="S1292" i="22"/>
  <c r="S1314" i="22"/>
  <c r="S1380" i="22"/>
  <c r="U1380" i="22" s="1"/>
  <c r="Z1380" i="22" s="1"/>
  <c r="P1384" i="22"/>
  <c r="P1393" i="22"/>
  <c r="S1396" i="22"/>
  <c r="U1396" i="22" s="1"/>
  <c r="Z1396" i="22" s="1"/>
  <c r="S1427" i="22"/>
  <c r="P1429" i="22"/>
  <c r="S1452" i="22"/>
  <c r="S1468" i="22"/>
  <c r="S1484" i="22"/>
  <c r="S1500" i="22"/>
  <c r="S1516" i="22"/>
  <c r="S1550" i="22"/>
  <c r="S1582" i="22"/>
  <c r="U1607" i="22"/>
  <c r="Z1607" i="22" s="1"/>
  <c r="P1625" i="22"/>
  <c r="P1632" i="22"/>
  <c r="P1635" i="22"/>
  <c r="P1640" i="22"/>
  <c r="X1640" i="22" s="1"/>
  <c r="S1671" i="22"/>
  <c r="P1685" i="22"/>
  <c r="X1685" i="22" s="1"/>
  <c r="S1698" i="22"/>
  <c r="S1739" i="22"/>
  <c r="U1739" i="22" s="1"/>
  <c r="S1749" i="22"/>
  <c r="U1749" i="22" s="1"/>
  <c r="Y1749" i="22" s="1"/>
  <c r="P1768" i="22"/>
  <c r="X1768" i="22" s="1"/>
  <c r="S1771" i="22"/>
  <c r="S1831" i="22"/>
  <c r="S1909" i="22"/>
  <c r="U1909" i="22" s="1"/>
  <c r="W1910" i="22" s="1"/>
  <c r="P2077" i="22"/>
  <c r="S2081" i="22"/>
  <c r="W2112" i="22"/>
  <c r="P2252" i="22"/>
  <c r="P2699" i="22"/>
  <c r="S2699" i="22"/>
  <c r="U2699" i="22" s="1"/>
  <c r="S30" i="23"/>
  <c r="U30" i="23" s="1"/>
  <c r="P30" i="23"/>
  <c r="S62" i="23"/>
  <c r="P62" i="23"/>
  <c r="S230" i="23"/>
  <c r="U230" i="23" s="1"/>
  <c r="P230" i="23"/>
  <c r="S289" i="23"/>
  <c r="P289" i="23"/>
  <c r="S317" i="23"/>
  <c r="U317" i="23" s="1"/>
  <c r="Z317" i="23" s="1"/>
  <c r="P317" i="23"/>
  <c r="Y489" i="23"/>
  <c r="Z489" i="23"/>
  <c r="S20" i="22"/>
  <c r="U20" i="22" s="1"/>
  <c r="Z20" i="22" s="1"/>
  <c r="S34" i="22"/>
  <c r="U34" i="22" s="1"/>
  <c r="S43" i="22"/>
  <c r="U43" i="22" s="1"/>
  <c r="U46" i="22"/>
  <c r="U48" i="22"/>
  <c r="U56" i="22"/>
  <c r="S66" i="22"/>
  <c r="S77" i="22"/>
  <c r="U77" i="22" s="1"/>
  <c r="X77" i="22" s="1"/>
  <c r="S86" i="22"/>
  <c r="S93" i="22"/>
  <c r="T95" i="22"/>
  <c r="S226" i="22"/>
  <c r="U226" i="22" s="1"/>
  <c r="S278" i="22"/>
  <c r="U278" i="22" s="1"/>
  <c r="S287" i="22"/>
  <c r="U287" i="22" s="1"/>
  <c r="P370" i="22"/>
  <c r="S431" i="22"/>
  <c r="S526" i="22"/>
  <c r="S567" i="22"/>
  <c r="S575" i="22"/>
  <c r="S656" i="22"/>
  <c r="S710" i="22"/>
  <c r="S736" i="22"/>
  <c r="U736" i="22" s="1"/>
  <c r="X736" i="22" s="1"/>
  <c r="S761" i="22"/>
  <c r="S770" i="22"/>
  <c r="U770" i="22" s="1"/>
  <c r="Y770" i="22" s="1"/>
  <c r="S954" i="22"/>
  <c r="U954" i="22" s="1"/>
  <c r="X954" i="22" s="1"/>
  <c r="S1076" i="22"/>
  <c r="S1207" i="22"/>
  <c r="S1239" i="22"/>
  <c r="S1269" i="22"/>
  <c r="U1269" i="22" s="1"/>
  <c r="S1294" i="22"/>
  <c r="S1318" i="22"/>
  <c r="S1370" i="22"/>
  <c r="S1403" i="22"/>
  <c r="S1454" i="22"/>
  <c r="S1470" i="22"/>
  <c r="S1486" i="22"/>
  <c r="S1502" i="22"/>
  <c r="S1552" i="22"/>
  <c r="U1552" i="22" s="1"/>
  <c r="S1584" i="22"/>
  <c r="U1584" i="22" s="1"/>
  <c r="U1715" i="22"/>
  <c r="S1736" i="22"/>
  <c r="S1756" i="22"/>
  <c r="U1756" i="22" s="1"/>
  <c r="X1756" i="22" s="1"/>
  <c r="U1917" i="22"/>
  <c r="S1941" i="22"/>
  <c r="U1941" i="22" s="1"/>
  <c r="S1973" i="22"/>
  <c r="S1997" i="22"/>
  <c r="S2005" i="22"/>
  <c r="U2105" i="22"/>
  <c r="P2558" i="22"/>
  <c r="S2558" i="22"/>
  <c r="U2558" i="22" s="1"/>
  <c r="Z2558" i="22" s="1"/>
  <c r="P2635" i="22"/>
  <c r="S2635" i="22"/>
  <c r="U2635" i="22" s="1"/>
  <c r="S135" i="23"/>
  <c r="U135" i="23" s="1"/>
  <c r="P135" i="23"/>
  <c r="P221" i="23"/>
  <c r="S221" i="23"/>
  <c r="S485" i="23"/>
  <c r="U485" i="23" s="1"/>
  <c r="Y485" i="23" s="1"/>
  <c r="P485" i="23"/>
  <c r="S668" i="23"/>
  <c r="P668" i="23"/>
  <c r="S810" i="23"/>
  <c r="P810" i="23"/>
  <c r="P855" i="23"/>
  <c r="S855" i="23"/>
  <c r="U72" i="22"/>
  <c r="X72" i="22" s="1"/>
  <c r="P225" i="22"/>
  <c r="P249" i="22"/>
  <c r="X249" i="22" s="1"/>
  <c r="P260" i="22"/>
  <c r="P377" i="22"/>
  <c r="P513" i="22"/>
  <c r="U523" i="22"/>
  <c r="P537" i="22"/>
  <c r="T566" i="22"/>
  <c r="P636" i="22"/>
  <c r="P638" i="22"/>
  <c r="P673" i="22"/>
  <c r="P767" i="22"/>
  <c r="P772" i="22"/>
  <c r="X963" i="22"/>
  <c r="P1112" i="22"/>
  <c r="X1112" i="22" s="1"/>
  <c r="P1122" i="22"/>
  <c r="P1168" i="22"/>
  <c r="X1168" i="22" s="1"/>
  <c r="S249" i="23"/>
  <c r="U249" i="23" s="1"/>
  <c r="P249" i="23"/>
  <c r="X413" i="23"/>
  <c r="S503" i="23"/>
  <c r="U503" i="23" s="1"/>
  <c r="Z503" i="23" s="1"/>
  <c r="P503" i="23"/>
  <c r="S621" i="23"/>
  <c r="P621" i="23"/>
  <c r="P1290" i="23"/>
  <c r="S1290" i="23"/>
  <c r="P1294" i="23"/>
  <c r="S1294" i="23"/>
  <c r="U1294" i="23" s="1"/>
  <c r="P1354" i="23"/>
  <c r="S1354" i="23"/>
  <c r="P1358" i="23"/>
  <c r="S1358" i="23"/>
  <c r="P1418" i="23"/>
  <c r="S1418" i="23"/>
  <c r="U1418" i="23" s="1"/>
  <c r="P1422" i="23"/>
  <c r="S1422" i="23"/>
  <c r="U1422" i="23" s="1"/>
  <c r="S1451" i="23"/>
  <c r="P1451" i="23"/>
  <c r="P1485" i="23"/>
  <c r="S1485" i="23"/>
  <c r="U1485" i="23" s="1"/>
  <c r="Z1485" i="23" s="1"/>
  <c r="S1576" i="23"/>
  <c r="P1576" i="23"/>
  <c r="P105" i="22"/>
  <c r="P112" i="22"/>
  <c r="X112" i="22" s="1"/>
  <c r="S482" i="22"/>
  <c r="U482" i="22" s="1"/>
  <c r="P730" i="22"/>
  <c r="X730" i="22" s="1"/>
  <c r="P741" i="22"/>
  <c r="P764" i="22"/>
  <c r="X764" i="22" s="1"/>
  <c r="P781" i="22"/>
  <c r="P850" i="22"/>
  <c r="X850" i="22" s="1"/>
  <c r="P866" i="22"/>
  <c r="X866" i="22" s="1"/>
  <c r="P882" i="22"/>
  <c r="X882" i="22" s="1"/>
  <c r="P888" i="22"/>
  <c r="X888" i="22" s="1"/>
  <c r="P920" i="22"/>
  <c r="S949" i="22"/>
  <c r="P951" i="22"/>
  <c r="P960" i="22"/>
  <c r="S973" i="22"/>
  <c r="U973" i="22" s="1"/>
  <c r="S1088" i="22"/>
  <c r="S1129" i="22"/>
  <c r="U1129" i="22" s="1"/>
  <c r="S1134" i="22"/>
  <c r="U1134" i="22" s="1"/>
  <c r="Z1134" i="22" s="1"/>
  <c r="S1141" i="22"/>
  <c r="S1161" i="22"/>
  <c r="U1161" i="22" s="1"/>
  <c r="S1219" i="22"/>
  <c r="P2300" i="22"/>
  <c r="S560" i="23"/>
  <c r="U560" i="23" s="1"/>
  <c r="Z560" i="23" s="1"/>
  <c r="P560" i="23"/>
  <c r="S24" i="22"/>
  <c r="U24" i="22" s="1"/>
  <c r="S52" i="22"/>
  <c r="U52" i="22" s="1"/>
  <c r="S115" i="22"/>
  <c r="U115" i="22" s="1"/>
  <c r="S132" i="22"/>
  <c r="U132" i="22" s="1"/>
  <c r="Z132" i="22" s="1"/>
  <c r="P188" i="22"/>
  <c r="S218" i="22"/>
  <c r="U218" i="22" s="1"/>
  <c r="X218" i="22" s="1"/>
  <c r="S238" i="22"/>
  <c r="U238" i="22" s="1"/>
  <c r="S246" i="22"/>
  <c r="U246" i="22" s="1"/>
  <c r="X246" i="22" s="1"/>
  <c r="P624" i="22"/>
  <c r="X624" i="22" s="1"/>
  <c r="P627" i="22"/>
  <c r="P746" i="22"/>
  <c r="X823" i="22"/>
  <c r="P962" i="22"/>
  <c r="X962" i="22" s="1"/>
  <c r="P1435" i="22"/>
  <c r="P1904" i="22"/>
  <c r="P1913" i="22"/>
  <c r="P1929" i="22"/>
  <c r="P2017" i="22"/>
  <c r="P2093" i="22"/>
  <c r="S2210" i="22"/>
  <c r="U2210" i="22" s="1"/>
  <c r="X2210" i="22" s="1"/>
  <c r="S2246" i="22"/>
  <c r="S2522" i="22"/>
  <c r="P2522" i="22"/>
  <c r="P2606" i="22"/>
  <c r="S2606" i="22"/>
  <c r="U2606" i="22" s="1"/>
  <c r="S2643" i="22"/>
  <c r="P2643" i="22"/>
  <c r="P24" i="23"/>
  <c r="S24" i="23"/>
  <c r="U24" i="23" s="1"/>
  <c r="Y24" i="23" s="1"/>
  <c r="S83" i="23"/>
  <c r="U83" i="23" s="1"/>
  <c r="Z83" i="23" s="1"/>
  <c r="P83" i="23"/>
  <c r="P122" i="23"/>
  <c r="S122" i="23"/>
  <c r="U122" i="23" s="1"/>
  <c r="S383" i="23"/>
  <c r="U383" i="23" s="1"/>
  <c r="P383" i="23"/>
  <c r="S532" i="23"/>
  <c r="U532" i="23" s="1"/>
  <c r="P532" i="23"/>
  <c r="S723" i="23"/>
  <c r="U723" i="23" s="1"/>
  <c r="P723" i="23"/>
  <c r="X835" i="23"/>
  <c r="P871" i="23"/>
  <c r="S871" i="23"/>
  <c r="P556" i="22"/>
  <c r="P565" i="22"/>
  <c r="X565" i="22" s="1"/>
  <c r="X852" i="22"/>
  <c r="X868" i="22"/>
  <c r="P1174" i="22"/>
  <c r="P1626" i="22"/>
  <c r="X1626" i="22" s="1"/>
  <c r="U1743" i="22"/>
  <c r="U1745" i="22"/>
  <c r="P1832" i="22"/>
  <c r="X1832" i="22" s="1"/>
  <c r="P1872" i="22"/>
  <c r="X1872" i="22" s="1"/>
  <c r="S2234" i="22"/>
  <c r="U2234" i="22" s="1"/>
  <c r="P19" i="23"/>
  <c r="S19" i="23"/>
  <c r="P102" i="23"/>
  <c r="S102" i="23"/>
  <c r="U102" i="23" s="1"/>
  <c r="P187" i="23"/>
  <c r="S187" i="23"/>
  <c r="U187" i="23" s="1"/>
  <c r="S246" i="23"/>
  <c r="U246" i="23" s="1"/>
  <c r="P246" i="23"/>
  <c r="P255" i="23"/>
  <c r="S255" i="23"/>
  <c r="U255" i="23" s="1"/>
  <c r="S568" i="23"/>
  <c r="U568" i="23" s="1"/>
  <c r="Z568" i="23" s="1"/>
  <c r="P568" i="23"/>
  <c r="S662" i="23"/>
  <c r="U662" i="23" s="1"/>
  <c r="Z662" i="23" s="1"/>
  <c r="P662" i="23"/>
  <c r="P971" i="23"/>
  <c r="S971" i="23"/>
  <c r="U971" i="23" s="1"/>
  <c r="U30" i="22"/>
  <c r="S224" i="22"/>
  <c r="U224" i="22" s="1"/>
  <c r="P237" i="22"/>
  <c r="X237" i="22" s="1"/>
  <c r="S281" i="22"/>
  <c r="U281" i="22" s="1"/>
  <c r="U370" i="22"/>
  <c r="S453" i="22"/>
  <c r="U503" i="22"/>
  <c r="Y503" i="22" s="1"/>
  <c r="P536" i="22"/>
  <c r="P570" i="22"/>
  <c r="S599" i="22"/>
  <c r="U599" i="22" s="1"/>
  <c r="X599" i="22" s="1"/>
  <c r="P919" i="22"/>
  <c r="X919" i="22" s="1"/>
  <c r="S1053" i="22"/>
  <c r="S1096" i="22"/>
  <c r="S1121" i="22"/>
  <c r="U1121" i="22" s="1"/>
  <c r="S1133" i="22"/>
  <c r="U1133" i="22" s="1"/>
  <c r="S1145" i="22"/>
  <c r="P1176" i="22"/>
  <c r="X1176" i="22" s="1"/>
  <c r="S1757" i="22"/>
  <c r="U1757" i="22" s="1"/>
  <c r="T1774" i="22"/>
  <c r="S1801" i="22"/>
  <c r="U1801" i="22" s="1"/>
  <c r="Z1801" i="22" s="1"/>
  <c r="P1841" i="22"/>
  <c r="X1841" i="22" s="1"/>
  <c r="P1888" i="22"/>
  <c r="S1921" i="22"/>
  <c r="U1921" i="22" s="1"/>
  <c r="S2689" i="22"/>
  <c r="P2689" i="22"/>
  <c r="S119" i="23"/>
  <c r="U119" i="23" s="1"/>
  <c r="P119" i="23"/>
  <c r="S240" i="23"/>
  <c r="U240" i="23" s="1"/>
  <c r="P240" i="23"/>
  <c r="P736" i="23"/>
  <c r="S736" i="23"/>
  <c r="U736" i="23" s="1"/>
  <c r="S813" i="23"/>
  <c r="U813" i="23" s="1"/>
  <c r="Z813" i="23" s="1"/>
  <c r="P813" i="23"/>
  <c r="P2641" i="22"/>
  <c r="S2648" i="22"/>
  <c r="U2648" i="22" s="1"/>
  <c r="U2667" i="22"/>
  <c r="S2697" i="22"/>
  <c r="U2697" i="22" s="1"/>
  <c r="S28" i="23"/>
  <c r="U28" i="23" s="1"/>
  <c r="X28" i="23" s="1"/>
  <c r="U35" i="23"/>
  <c r="S40" i="23"/>
  <c r="U40" i="23" s="1"/>
  <c r="X40" i="23" s="1"/>
  <c r="U92" i="23"/>
  <c r="P100" i="23"/>
  <c r="S105" i="23"/>
  <c r="U105" i="23" s="1"/>
  <c r="S110" i="23"/>
  <c r="U110" i="23" s="1"/>
  <c r="T112" i="23"/>
  <c r="S136" i="23"/>
  <c r="U136" i="23" s="1"/>
  <c r="X136" i="23" s="1"/>
  <c r="U153" i="23"/>
  <c r="P219" i="23"/>
  <c r="U226" i="23"/>
  <c r="S247" i="23"/>
  <c r="U247" i="23" s="1"/>
  <c r="S250" i="23"/>
  <c r="U250" i="23" s="1"/>
  <c r="S253" i="23"/>
  <c r="U253" i="23" s="1"/>
  <c r="X253" i="23" s="1"/>
  <c r="U284" i="23"/>
  <c r="Z284" i="23" s="1"/>
  <c r="S292" i="23"/>
  <c r="P323" i="23"/>
  <c r="S341" i="23"/>
  <c r="U341" i="23" s="1"/>
  <c r="X341" i="23" s="1"/>
  <c r="S388" i="23"/>
  <c r="U388" i="23" s="1"/>
  <c r="P425" i="23"/>
  <c r="X425" i="23" s="1"/>
  <c r="S431" i="23"/>
  <c r="U431" i="23" s="1"/>
  <c r="W436" i="23" s="1"/>
  <c r="S471" i="23"/>
  <c r="U471" i="23" s="1"/>
  <c r="X471" i="23" s="1"/>
  <c r="S496" i="23"/>
  <c r="U496" i="23" s="1"/>
  <c r="U504" i="23"/>
  <c r="S505" i="23"/>
  <c r="T509" i="23"/>
  <c r="S521" i="23"/>
  <c r="P523" i="23"/>
  <c r="X523" i="23" s="1"/>
  <c r="P551" i="23"/>
  <c r="X551" i="23" s="1"/>
  <c r="S561" i="23"/>
  <c r="U561" i="23" s="1"/>
  <c r="S579" i="23"/>
  <c r="U579" i="23" s="1"/>
  <c r="X579" i="23" s="1"/>
  <c r="U601" i="23"/>
  <c r="P604" i="23"/>
  <c r="P629" i="23"/>
  <c r="X629" i="23" s="1"/>
  <c r="S639" i="23"/>
  <c r="U639" i="23" s="1"/>
  <c r="S641" i="23"/>
  <c r="U641" i="23" s="1"/>
  <c r="W642" i="23" s="1"/>
  <c r="Z642" i="23" s="1"/>
  <c r="S724" i="23"/>
  <c r="U724" i="23" s="1"/>
  <c r="X724" i="23" s="1"/>
  <c r="S752" i="23"/>
  <c r="U752" i="23" s="1"/>
  <c r="T771" i="23"/>
  <c r="S781" i="23"/>
  <c r="U781" i="23" s="1"/>
  <c r="S791" i="23"/>
  <c r="U791" i="23" s="1"/>
  <c r="Z791" i="23" s="1"/>
  <c r="T811" i="23"/>
  <c r="S849" i="23"/>
  <c r="S865" i="23"/>
  <c r="U865" i="23" s="1"/>
  <c r="S881" i="23"/>
  <c r="U881" i="23" s="1"/>
  <c r="P895" i="23"/>
  <c r="S895" i="23"/>
  <c r="U895" i="23" s="1"/>
  <c r="S897" i="23"/>
  <c r="P897" i="23"/>
  <c r="P1130" i="23"/>
  <c r="S1130" i="23"/>
  <c r="S1166" i="23"/>
  <c r="U1166" i="23" s="1"/>
  <c r="X1166" i="23" s="1"/>
  <c r="P1178" i="23"/>
  <c r="S1178" i="23"/>
  <c r="P1226" i="23"/>
  <c r="S1226" i="23"/>
  <c r="S1470" i="23"/>
  <c r="U1470" i="23" s="1"/>
  <c r="P1470" i="23"/>
  <c r="S1629" i="23"/>
  <c r="U1629" i="23" s="1"/>
  <c r="Z1629" i="23" s="1"/>
  <c r="P1629" i="23"/>
  <c r="P1654" i="23"/>
  <c r="S1654" i="23"/>
  <c r="U1654" i="23" s="1"/>
  <c r="Z1654" i="23" s="1"/>
  <c r="P1656" i="23"/>
  <c r="S1656" i="23"/>
  <c r="U1656" i="23" s="1"/>
  <c r="Z1656" i="23" s="1"/>
  <c r="S1686" i="23"/>
  <c r="U1686" i="23" s="1"/>
  <c r="Z1686" i="23" s="1"/>
  <c r="P1686" i="23"/>
  <c r="P1738" i="23"/>
  <c r="S1738" i="23"/>
  <c r="U1738" i="23" s="1"/>
  <c r="Y1738" i="23" s="1"/>
  <c r="X1744" i="23"/>
  <c r="S1770" i="23"/>
  <c r="P1770" i="23"/>
  <c r="S1772" i="23"/>
  <c r="P1772" i="23"/>
  <c r="P2198" i="23"/>
  <c r="S2198" i="23"/>
  <c r="U2198" i="23" s="1"/>
  <c r="Z2198" i="23" s="1"/>
  <c r="S2384" i="23"/>
  <c r="U2384" i="23" s="1"/>
  <c r="P2384" i="23"/>
  <c r="Y2660" i="23"/>
  <c r="Z2660" i="23"/>
  <c r="S2534" i="22"/>
  <c r="U2534" i="22" s="1"/>
  <c r="W2536" i="22" s="1"/>
  <c r="S2682" i="22"/>
  <c r="T2706" i="22"/>
  <c r="U46" i="23"/>
  <c r="Z46" i="23" s="1"/>
  <c r="S51" i="23"/>
  <c r="U51" i="23" s="1"/>
  <c r="X51" i="23" s="1"/>
  <c r="U65" i="23"/>
  <c r="Y65" i="23" s="1"/>
  <c r="U94" i="23"/>
  <c r="X94" i="23" s="1"/>
  <c r="U133" i="23"/>
  <c r="U156" i="23"/>
  <c r="Z156" i="23" s="1"/>
  <c r="U202" i="23"/>
  <c r="Y202" i="23" s="1"/>
  <c r="T207" i="23"/>
  <c r="P370" i="23"/>
  <c r="S468" i="23"/>
  <c r="U468" i="23" s="1"/>
  <c r="S514" i="23"/>
  <c r="U514" i="23" s="1"/>
  <c r="Y514" i="23" s="1"/>
  <c r="T558" i="23"/>
  <c r="T566" i="23"/>
  <c r="U598" i="23"/>
  <c r="Z598" i="23" s="1"/>
  <c r="P649" i="23"/>
  <c r="S734" i="23"/>
  <c r="U734" i="23" s="1"/>
  <c r="X734" i="23" s="1"/>
  <c r="S798" i="23"/>
  <c r="U798" i="23" s="1"/>
  <c r="Y798" i="23" s="1"/>
  <c r="T837" i="23"/>
  <c r="P924" i="23"/>
  <c r="S924" i="23"/>
  <c r="S930" i="23"/>
  <c r="P930" i="23"/>
  <c r="S948" i="23"/>
  <c r="S962" i="23"/>
  <c r="P962" i="23"/>
  <c r="P1000" i="23"/>
  <c r="S1000" i="23"/>
  <c r="S1070" i="23"/>
  <c r="P1082" i="23"/>
  <c r="S1082" i="23"/>
  <c r="U1082" i="23" s="1"/>
  <c r="S1584" i="23"/>
  <c r="U1584" i="23" s="1"/>
  <c r="P1584" i="23"/>
  <c r="S1586" i="23"/>
  <c r="U1586" i="23" s="1"/>
  <c r="Z1586" i="23" s="1"/>
  <c r="P1586" i="23"/>
  <c r="P1620" i="23"/>
  <c r="S1620" i="23"/>
  <c r="U1620" i="23" s="1"/>
  <c r="P1622" i="23"/>
  <c r="S1622" i="23"/>
  <c r="U1622" i="23" s="1"/>
  <c r="Z1622" i="23" s="1"/>
  <c r="P1782" i="23"/>
  <c r="S1782" i="23"/>
  <c r="U1782" i="23" s="1"/>
  <c r="Y1782" i="23" s="1"/>
  <c r="S1933" i="23"/>
  <c r="U1933" i="23" s="1"/>
  <c r="P1933" i="23"/>
  <c r="P2372" i="23"/>
  <c r="S2372" i="23"/>
  <c r="U2372" i="23" s="1"/>
  <c r="S2570" i="23"/>
  <c r="P2570" i="23"/>
  <c r="S2636" i="23"/>
  <c r="U2636" i="23" s="1"/>
  <c r="Z2636" i="23" s="1"/>
  <c r="P2636" i="23"/>
  <c r="P2655" i="23"/>
  <c r="S2655" i="23"/>
  <c r="U2655" i="23" s="1"/>
  <c r="Z2655" i="23" s="1"/>
  <c r="U140" i="23"/>
  <c r="Z140" i="23" s="1"/>
  <c r="X163" i="23"/>
  <c r="U204" i="23"/>
  <c r="P754" i="23"/>
  <c r="P778" i="23"/>
  <c r="P790" i="23"/>
  <c r="X790" i="23" s="1"/>
  <c r="P800" i="23"/>
  <c r="P826" i="23"/>
  <c r="P1194" i="23"/>
  <c r="S1194" i="23"/>
  <c r="P1242" i="23"/>
  <c r="S1242" i="23"/>
  <c r="P1499" i="23"/>
  <c r="S1499" i="23"/>
  <c r="P1501" i="23"/>
  <c r="S1501" i="23"/>
  <c r="U1501" i="23" s="1"/>
  <c r="S1527" i="23"/>
  <c r="U1527" i="23" s="1"/>
  <c r="P1527" i="23"/>
  <c r="P1676" i="23"/>
  <c r="S1676" i="23"/>
  <c r="U1676" i="23" s="1"/>
  <c r="Z1676" i="23" s="1"/>
  <c r="S1681" i="23"/>
  <c r="U1681" i="23" s="1"/>
  <c r="P1681" i="23"/>
  <c r="P1729" i="23"/>
  <c r="S1729" i="23"/>
  <c r="P1888" i="23"/>
  <c r="S1888" i="23"/>
  <c r="S1997" i="23"/>
  <c r="U1997" i="23" s="1"/>
  <c r="P1997" i="23"/>
  <c r="T223" i="23"/>
  <c r="P1098" i="23"/>
  <c r="S1098" i="23"/>
  <c r="P1146" i="23"/>
  <c r="S1146" i="23"/>
  <c r="U1146" i="23" s="1"/>
  <c r="P1322" i="23"/>
  <c r="S1322" i="23"/>
  <c r="U1322" i="23" s="1"/>
  <c r="P1326" i="23"/>
  <c r="S1326" i="23"/>
  <c r="P1386" i="23"/>
  <c r="S1386" i="23"/>
  <c r="P1390" i="23"/>
  <c r="S1390" i="23"/>
  <c r="U1390" i="23" s="1"/>
  <c r="S1596" i="23"/>
  <c r="U1596" i="23" s="1"/>
  <c r="Y1596" i="23" s="1"/>
  <c r="P1596" i="23"/>
  <c r="S1607" i="23"/>
  <c r="U1607" i="23" s="1"/>
  <c r="P1607" i="23"/>
  <c r="S1641" i="23"/>
  <c r="U1641" i="23" s="1"/>
  <c r="P1641" i="23"/>
  <c r="Y1744" i="23"/>
  <c r="Z1744" i="23"/>
  <c r="S1763" i="23"/>
  <c r="U1763" i="23" s="1"/>
  <c r="P1763" i="23"/>
  <c r="S1953" i="23"/>
  <c r="U1953" i="23" s="1"/>
  <c r="P1953" i="23"/>
  <c r="S2516" i="23"/>
  <c r="U2516" i="23" s="1"/>
  <c r="P2516" i="23"/>
  <c r="S2702" i="23"/>
  <c r="P2702" i="23"/>
  <c r="Y2706" i="23"/>
  <c r="Z2706" i="23"/>
  <c r="Y720" i="24"/>
  <c r="Z720" i="24"/>
  <c r="S827" i="24"/>
  <c r="U827" i="24" s="1"/>
  <c r="P827" i="24"/>
  <c r="Y831" i="24"/>
  <c r="Z831" i="24"/>
  <c r="P283" i="23"/>
  <c r="P1046" i="23"/>
  <c r="S1046" i="23"/>
  <c r="U1046" i="23" s="1"/>
  <c r="P1258" i="23"/>
  <c r="S1258" i="23"/>
  <c r="P1262" i="23"/>
  <c r="S1262" i="23"/>
  <c r="P1490" i="23"/>
  <c r="S1490" i="23"/>
  <c r="U1490" i="23" s="1"/>
  <c r="Y1490" i="23" s="1"/>
  <c r="P1557" i="23"/>
  <c r="S1557" i="23"/>
  <c r="U1557" i="23" s="1"/>
  <c r="S1581" i="23"/>
  <c r="U1581" i="23" s="1"/>
  <c r="P1581" i="23"/>
  <c r="S1593" i="23"/>
  <c r="U1593" i="23" s="1"/>
  <c r="P1593" i="23"/>
  <c r="P1668" i="23"/>
  <c r="S1668" i="23"/>
  <c r="U1668" i="23" s="1"/>
  <c r="S1673" i="23"/>
  <c r="U1673" i="23" s="1"/>
  <c r="P1673" i="23"/>
  <c r="P1808" i="23"/>
  <c r="S1808" i="23"/>
  <c r="U1808" i="23" s="1"/>
  <c r="P2033" i="23"/>
  <c r="S2033" i="23"/>
  <c r="U2033" i="23" s="1"/>
  <c r="S2618" i="23"/>
  <c r="U2618" i="23" s="1"/>
  <c r="P2618" i="23"/>
  <c r="S2689" i="23"/>
  <c r="U2689" i="23" s="1"/>
  <c r="P2689" i="23"/>
  <c r="X2689" i="23" s="1"/>
  <c r="Y904" i="24"/>
  <c r="Z904" i="24"/>
  <c r="S2582" i="22"/>
  <c r="U2582" i="22" s="1"/>
  <c r="P2654" i="22"/>
  <c r="P2659" i="22"/>
  <c r="S2698" i="22"/>
  <c r="S2705" i="22"/>
  <c r="U2705" i="22" s="1"/>
  <c r="P26" i="23"/>
  <c r="U29" i="23"/>
  <c r="U80" i="23"/>
  <c r="Z80" i="23" s="1"/>
  <c r="S87" i="23"/>
  <c r="U87" i="23" s="1"/>
  <c r="P123" i="23"/>
  <c r="W126" i="23" s="1"/>
  <c r="P179" i="23"/>
  <c r="X179" i="23" s="1"/>
  <c r="P254" i="23"/>
  <c r="X254" i="23" s="1"/>
  <c r="P299" i="23"/>
  <c r="W300" i="23" s="1"/>
  <c r="S358" i="23"/>
  <c r="U358" i="23" s="1"/>
  <c r="S364" i="23"/>
  <c r="U364" i="23" s="1"/>
  <c r="P424" i="23"/>
  <c r="P443" i="23"/>
  <c r="W446" i="23" s="1"/>
  <c r="P512" i="23"/>
  <c r="P531" i="23"/>
  <c r="P572" i="23"/>
  <c r="X572" i="23" s="1"/>
  <c r="U577" i="23"/>
  <c r="Z577" i="23" s="1"/>
  <c r="U630" i="23"/>
  <c r="W689" i="23"/>
  <c r="P777" i="23"/>
  <c r="X777" i="23" s="1"/>
  <c r="P804" i="23"/>
  <c r="U838" i="23"/>
  <c r="Z838" i="23" s="1"/>
  <c r="P1162" i="23"/>
  <c r="S1162" i="23"/>
  <c r="P1210" i="23"/>
  <c r="S1210" i="23"/>
  <c r="U1210" i="23" s="1"/>
  <c r="S1632" i="23"/>
  <c r="U1632" i="23" s="1"/>
  <c r="Z1632" i="23" s="1"/>
  <c r="P1632" i="23"/>
  <c r="S229" i="24"/>
  <c r="U229" i="24" s="1"/>
  <c r="P229" i="24"/>
  <c r="X229" i="24" s="1"/>
  <c r="T2654" i="22"/>
  <c r="S2683" i="22"/>
  <c r="U2683" i="22" s="1"/>
  <c r="P47" i="23"/>
  <c r="S54" i="23"/>
  <c r="U54" i="23" s="1"/>
  <c r="S69" i="23"/>
  <c r="U69" i="23" s="1"/>
  <c r="P103" i="23"/>
  <c r="X103" i="23" s="1"/>
  <c r="P120" i="23"/>
  <c r="P171" i="23"/>
  <c r="P270" i="23"/>
  <c r="W273" i="23" s="1"/>
  <c r="P287" i="23"/>
  <c r="S316" i="23"/>
  <c r="U316" i="23" s="1"/>
  <c r="U328" i="23"/>
  <c r="S334" i="23"/>
  <c r="U334" i="23" s="1"/>
  <c r="S436" i="23"/>
  <c r="U436" i="23" s="1"/>
  <c r="P483" i="23"/>
  <c r="X483" i="23" s="1"/>
  <c r="T517" i="23"/>
  <c r="T524" i="23"/>
  <c r="U526" i="23"/>
  <c r="Z526" i="23" s="1"/>
  <c r="P536" i="23"/>
  <c r="S542" i="23"/>
  <c r="U542" i="23" s="1"/>
  <c r="Z542" i="23" s="1"/>
  <c r="P564" i="23"/>
  <c r="P667" i="23"/>
  <c r="P674" i="23"/>
  <c r="X674" i="23" s="1"/>
  <c r="S710" i="23"/>
  <c r="U710" i="23" s="1"/>
  <c r="S719" i="23"/>
  <c r="U719" i="23" s="1"/>
  <c r="X719" i="23" s="1"/>
  <c r="P730" i="23"/>
  <c r="P750" i="23"/>
  <c r="P767" i="23"/>
  <c r="S799" i="23"/>
  <c r="U799" i="23" s="1"/>
  <c r="P814" i="23"/>
  <c r="X814" i="23" s="1"/>
  <c r="S828" i="23"/>
  <c r="U828" i="23" s="1"/>
  <c r="X828" i="23" s="1"/>
  <c r="S847" i="23"/>
  <c r="S863" i="23"/>
  <c r="S879" i="23"/>
  <c r="S986" i="23"/>
  <c r="U986" i="23" s="1"/>
  <c r="P986" i="23"/>
  <c r="P1066" i="23"/>
  <c r="S1066" i="23"/>
  <c r="U1066" i="23" s="1"/>
  <c r="S1102" i="23"/>
  <c r="P1114" i="23"/>
  <c r="S1114" i="23"/>
  <c r="S1550" i="23"/>
  <c r="U1550" i="23" s="1"/>
  <c r="Z1550" i="23" s="1"/>
  <c r="P1550" i="23"/>
  <c r="S1554" i="23"/>
  <c r="U1554" i="23" s="1"/>
  <c r="P1554" i="23"/>
  <c r="S1590" i="23"/>
  <c r="U1590" i="23" s="1"/>
  <c r="Z1590" i="23" s="1"/>
  <c r="P1590" i="23"/>
  <c r="P1691" i="23"/>
  <c r="S1691" i="23"/>
  <c r="U1691" i="23" s="1"/>
  <c r="Z1691" i="23" s="1"/>
  <c r="P1904" i="23"/>
  <c r="S1904" i="23"/>
  <c r="U1904" i="23" s="1"/>
  <c r="S2234" i="23"/>
  <c r="U2234" i="23" s="1"/>
  <c r="P2234" i="23"/>
  <c r="P2396" i="23"/>
  <c r="S2396" i="23"/>
  <c r="U2396" i="23" s="1"/>
  <c r="P120" i="24"/>
  <c r="S120" i="24"/>
  <c r="U120" i="24" s="1"/>
  <c r="Z120" i="24" s="1"/>
  <c r="S163" i="24"/>
  <c r="U163" i="24" s="1"/>
  <c r="Y163" i="24" s="1"/>
  <c r="P163" i="24"/>
  <c r="S254" i="24"/>
  <c r="P254" i="24"/>
  <c r="P629" i="24"/>
  <c r="S629" i="24"/>
  <c r="U629" i="24" s="1"/>
  <c r="P746" i="24"/>
  <c r="S746" i="24"/>
  <c r="U746" i="24" s="1"/>
  <c r="S844" i="24"/>
  <c r="U844" i="24" s="1"/>
  <c r="Y844" i="24" s="1"/>
  <c r="P844" i="24"/>
  <c r="Y856" i="24"/>
  <c r="Z856" i="24"/>
  <c r="S887" i="24"/>
  <c r="U887" i="24" s="1"/>
  <c r="Y887" i="24" s="1"/>
  <c r="P887" i="24"/>
  <c r="S940" i="24"/>
  <c r="U940" i="24" s="1"/>
  <c r="P940" i="24"/>
  <c r="P1024" i="24"/>
  <c r="S1024" i="24"/>
  <c r="U1024" i="24" s="1"/>
  <c r="Z1024" i="24" s="1"/>
  <c r="S1510" i="24"/>
  <c r="U1510" i="24" s="1"/>
  <c r="P1510" i="24"/>
  <c r="P1526" i="24"/>
  <c r="S1526" i="24"/>
  <c r="U1526" i="24" s="1"/>
  <c r="Y1538" i="24"/>
  <c r="Z1538" i="24"/>
  <c r="S1062" i="23"/>
  <c r="U1062" i="23" s="1"/>
  <c r="X1062" i="23" s="1"/>
  <c r="S1094" i="23"/>
  <c r="U1094" i="23" s="1"/>
  <c r="X1094" i="23" s="1"/>
  <c r="S1126" i="23"/>
  <c r="S1158" i="23"/>
  <c r="U1158" i="23" s="1"/>
  <c r="S1190" i="23"/>
  <c r="U1190" i="23" s="1"/>
  <c r="U1241" i="23"/>
  <c r="S1254" i="23"/>
  <c r="U1273" i="23"/>
  <c r="U1305" i="23"/>
  <c r="Z1305" i="23" s="1"/>
  <c r="U1337" i="23"/>
  <c r="Z1337" i="23" s="1"/>
  <c r="U1369" i="23"/>
  <c r="U1401" i="23"/>
  <c r="Z1401" i="23" s="1"/>
  <c r="U1433" i="23"/>
  <c r="Z1433" i="23" s="1"/>
  <c r="X1624" i="23"/>
  <c r="S1652" i="23"/>
  <c r="U1652" i="23" s="1"/>
  <c r="Z1652" i="23" s="1"/>
  <c r="U1734" i="23"/>
  <c r="T1766" i="23"/>
  <c r="U1965" i="23"/>
  <c r="S117" i="24"/>
  <c r="U117" i="24" s="1"/>
  <c r="Z117" i="24" s="1"/>
  <c r="P117" i="24"/>
  <c r="X407" i="24"/>
  <c r="X831" i="24"/>
  <c r="P902" i="24"/>
  <c r="S902" i="24"/>
  <c r="U902" i="24" s="1"/>
  <c r="S926" i="24"/>
  <c r="U926" i="24" s="1"/>
  <c r="Y926" i="24" s="1"/>
  <c r="P926" i="24"/>
  <c r="S988" i="24"/>
  <c r="P988" i="24"/>
  <c r="S1201" i="24"/>
  <c r="U1201" i="24" s="1"/>
  <c r="P1201" i="24"/>
  <c r="S1287" i="24"/>
  <c r="U1287" i="24" s="1"/>
  <c r="P1287" i="24"/>
  <c r="U2073" i="23"/>
  <c r="U2680" i="23"/>
  <c r="P2698" i="23"/>
  <c r="P2699" i="23"/>
  <c r="X2699" i="23" s="1"/>
  <c r="P2706" i="23"/>
  <c r="X2706" i="23" s="1"/>
  <c r="P32" i="24"/>
  <c r="X32" i="24" s="1"/>
  <c r="S87" i="24"/>
  <c r="U87" i="24" s="1"/>
  <c r="P87" i="24"/>
  <c r="X296" i="24"/>
  <c r="S383" i="24"/>
  <c r="U383" i="24" s="1"/>
  <c r="P383" i="24"/>
  <c r="S425" i="24"/>
  <c r="U425" i="24" s="1"/>
  <c r="P425" i="24"/>
  <c r="P437" i="24"/>
  <c r="S437" i="24"/>
  <c r="U437" i="24" s="1"/>
  <c r="P506" i="24"/>
  <c r="S506" i="24"/>
  <c r="U506" i="24" s="1"/>
  <c r="S598" i="24"/>
  <c r="U598" i="24" s="1"/>
  <c r="P598" i="24"/>
  <c r="S869" i="24"/>
  <c r="U869" i="24" s="1"/>
  <c r="Y869" i="24" s="1"/>
  <c r="P869" i="24"/>
  <c r="S965" i="24"/>
  <c r="U965" i="24" s="1"/>
  <c r="Z965" i="24" s="1"/>
  <c r="P965" i="24"/>
  <c r="S1091" i="24"/>
  <c r="P1091" i="24"/>
  <c r="S1098" i="24"/>
  <c r="U1098" i="24" s="1"/>
  <c r="P1098" i="24"/>
  <c r="U1451" i="23"/>
  <c r="Z1451" i="23" s="1"/>
  <c r="T1686" i="23"/>
  <c r="T1775" i="23"/>
  <c r="W2544" i="23"/>
  <c r="Y2544" i="23" s="1"/>
  <c r="P2606" i="23"/>
  <c r="P2643" i="23"/>
  <c r="X2643" i="23" s="1"/>
  <c r="P2648" i="23"/>
  <c r="P2691" i="23"/>
  <c r="T2699" i="23"/>
  <c r="P27" i="24"/>
  <c r="S36" i="24"/>
  <c r="U36" i="24" s="1"/>
  <c r="Y36" i="24" s="1"/>
  <c r="P36" i="24"/>
  <c r="P106" i="24"/>
  <c r="S106" i="24"/>
  <c r="U122" i="24"/>
  <c r="S129" i="24"/>
  <c r="U129" i="24" s="1"/>
  <c r="S245" i="24"/>
  <c r="U245" i="24" s="1"/>
  <c r="Z245" i="24" s="1"/>
  <c r="P245" i="24"/>
  <c r="P289" i="24"/>
  <c r="S289" i="24"/>
  <c r="U289" i="24" s="1"/>
  <c r="P626" i="24"/>
  <c r="S626" i="24"/>
  <c r="U626" i="24" s="1"/>
  <c r="S828" i="24"/>
  <c r="U828" i="24" s="1"/>
  <c r="P828" i="24"/>
  <c r="S893" i="24"/>
  <c r="U893" i="24" s="1"/>
  <c r="Z893" i="24" s="1"/>
  <c r="P893" i="24"/>
  <c r="S946" i="24"/>
  <c r="U946" i="24" s="1"/>
  <c r="P946" i="24"/>
  <c r="Y962" i="24"/>
  <c r="Z962" i="24"/>
  <c r="S1234" i="23"/>
  <c r="S1266" i="23"/>
  <c r="S1298" i="23"/>
  <c r="U1298" i="23" s="1"/>
  <c r="X1298" i="23" s="1"/>
  <c r="S1330" i="23"/>
  <c r="S1362" i="23"/>
  <c r="U1362" i="23" s="1"/>
  <c r="X1362" i="23" s="1"/>
  <c r="S1394" i="23"/>
  <c r="S1426" i="23"/>
  <c r="S1448" i="23"/>
  <c r="P1450" i="23"/>
  <c r="P1487" i="23"/>
  <c r="S1746" i="23"/>
  <c r="U1746" i="23" s="1"/>
  <c r="Y1746" i="23" s="1"/>
  <c r="U1755" i="23"/>
  <c r="X1755" i="23" s="1"/>
  <c r="P1781" i="23"/>
  <c r="X1781" i="23" s="1"/>
  <c r="P1797" i="23"/>
  <c r="X1797" i="23" s="1"/>
  <c r="U1832" i="23"/>
  <c r="S1973" i="23"/>
  <c r="U1973" i="23" s="1"/>
  <c r="W1975" i="23" s="1"/>
  <c r="P2468" i="23"/>
  <c r="P2564" i="23"/>
  <c r="X2564" i="23" s="1"/>
  <c r="T2633" i="23"/>
  <c r="P2635" i="23"/>
  <c r="S2669" i="23"/>
  <c r="U2669" i="23" s="1"/>
  <c r="Z2669" i="23" s="1"/>
  <c r="S2684" i="23"/>
  <c r="U2684" i="23" s="1"/>
  <c r="S22" i="24"/>
  <c r="U22" i="24" s="1"/>
  <c r="Y22" i="24" s="1"/>
  <c r="U27" i="24"/>
  <c r="Z27" i="24" s="1"/>
  <c r="P34" i="24"/>
  <c r="S89" i="24"/>
  <c r="U89" i="24" s="1"/>
  <c r="P89" i="24"/>
  <c r="S111" i="24"/>
  <c r="P111" i="24"/>
  <c r="P121" i="24"/>
  <c r="S121" i="24"/>
  <c r="P128" i="24"/>
  <c r="S128" i="24"/>
  <c r="U128" i="24" s="1"/>
  <c r="S240" i="24"/>
  <c r="U240" i="24" s="1"/>
  <c r="X240" i="24" s="1"/>
  <c r="P680" i="24"/>
  <c r="S680" i="24"/>
  <c r="P709" i="24"/>
  <c r="S709" i="24"/>
  <c r="P738" i="24"/>
  <c r="S738" i="24"/>
  <c r="U738" i="24" s="1"/>
  <c r="P793" i="24"/>
  <c r="S793" i="24"/>
  <c r="U793" i="24" s="1"/>
  <c r="P839" i="24"/>
  <c r="S839" i="24"/>
  <c r="P852" i="24"/>
  <c r="S852" i="24"/>
  <c r="U852" i="24" s="1"/>
  <c r="Y852" i="24" s="1"/>
  <c r="S1064" i="24"/>
  <c r="U1064" i="24" s="1"/>
  <c r="Z1064" i="24" s="1"/>
  <c r="P1064" i="24"/>
  <c r="P2148" i="24"/>
  <c r="S2148" i="24"/>
  <c r="P2372" i="24"/>
  <c r="S2372" i="24"/>
  <c r="S903" i="23"/>
  <c r="S917" i="23"/>
  <c r="U917" i="23" s="1"/>
  <c r="U1257" i="23"/>
  <c r="S1270" i="23"/>
  <c r="U1289" i="23"/>
  <c r="U1321" i="23"/>
  <c r="U1353" i="23"/>
  <c r="Z1353" i="23" s="1"/>
  <c r="U1385" i="23"/>
  <c r="U1417" i="23"/>
  <c r="Z1417" i="23" s="1"/>
  <c r="S1453" i="23"/>
  <c r="U1453" i="23" s="1"/>
  <c r="X1453" i="23" s="1"/>
  <c r="P1482" i="23"/>
  <c r="S1496" i="23"/>
  <c r="U1496" i="23" s="1"/>
  <c r="X1496" i="23" s="1"/>
  <c r="P1526" i="23"/>
  <c r="X1526" i="23" s="1"/>
  <c r="P1570" i="23"/>
  <c r="S1740" i="23"/>
  <c r="U1740" i="23" s="1"/>
  <c r="X1740" i="23" s="1"/>
  <c r="P1742" i="23"/>
  <c r="P1850" i="23"/>
  <c r="X1850" i="23" s="1"/>
  <c r="P1892" i="23"/>
  <c r="W1893" i="23" s="1"/>
  <c r="U2025" i="23"/>
  <c r="P2288" i="23"/>
  <c r="X2288" i="23" s="1"/>
  <c r="P2594" i="23"/>
  <c r="P2666" i="23"/>
  <c r="X2666" i="23" s="1"/>
  <c r="S2677" i="23"/>
  <c r="U2677" i="23" s="1"/>
  <c r="Z2677" i="23" s="1"/>
  <c r="T2695" i="23"/>
  <c r="T47" i="24"/>
  <c r="P49" i="24"/>
  <c r="S239" i="24"/>
  <c r="U239" i="24" s="1"/>
  <c r="P239" i="24"/>
  <c r="Z470" i="24"/>
  <c r="Y578" i="24"/>
  <c r="Z578" i="24"/>
  <c r="S630" i="24"/>
  <c r="U630" i="24" s="1"/>
  <c r="P630" i="24"/>
  <c r="P749" i="24"/>
  <c r="S749" i="24"/>
  <c r="S914" i="24"/>
  <c r="U914" i="24" s="1"/>
  <c r="Y914" i="24" s="1"/>
  <c r="P914" i="24"/>
  <c r="P1000" i="24"/>
  <c r="S1000" i="24"/>
  <c r="U1000" i="24" s="1"/>
  <c r="Z1000" i="24" s="1"/>
  <c r="S1652" i="24"/>
  <c r="U1652" i="24" s="1"/>
  <c r="P1652" i="24"/>
  <c r="P1687" i="24"/>
  <c r="S1687" i="24"/>
  <c r="U1687" i="24" s="1"/>
  <c r="S1274" i="23"/>
  <c r="S1306" i="23"/>
  <c r="S1338" i="23"/>
  <c r="S1370" i="23"/>
  <c r="U1370" i="23" s="1"/>
  <c r="S1402" i="23"/>
  <c r="U1402" i="23" s="1"/>
  <c r="S1434" i="23"/>
  <c r="P1447" i="23"/>
  <c r="X1447" i="23" s="1"/>
  <c r="S1464" i="23"/>
  <c r="S1517" i="23"/>
  <c r="P1565" i="23"/>
  <c r="S1638" i="23"/>
  <c r="U1638" i="23" s="1"/>
  <c r="Z1638" i="23" s="1"/>
  <c r="X1652" i="23"/>
  <c r="S1705" i="23"/>
  <c r="U1705" i="23" s="1"/>
  <c r="Z1705" i="23" s="1"/>
  <c r="P1745" i="23"/>
  <c r="P1774" i="23"/>
  <c r="X1774" i="23" s="1"/>
  <c r="T1783" i="23"/>
  <c r="S1876" i="23"/>
  <c r="U1876" i="23" s="1"/>
  <c r="X1876" i="23" s="1"/>
  <c r="U2045" i="23"/>
  <c r="S2049" i="23"/>
  <c r="U2049" i="23" s="1"/>
  <c r="S2138" i="23"/>
  <c r="U2138" i="23" s="1"/>
  <c r="W2139" i="23" s="1"/>
  <c r="S2522" i="23"/>
  <c r="U2522" i="23" s="1"/>
  <c r="X2522" i="23" s="1"/>
  <c r="S2647" i="23"/>
  <c r="U2647" i="23" s="1"/>
  <c r="Z2647" i="23" s="1"/>
  <c r="T2703" i="23"/>
  <c r="T63" i="24"/>
  <c r="S84" i="24"/>
  <c r="P84" i="24"/>
  <c r="S108" i="24"/>
  <c r="U108" i="24" s="1"/>
  <c r="Z108" i="24" s="1"/>
  <c r="P108" i="24"/>
  <c r="S141" i="24"/>
  <c r="U141" i="24" s="1"/>
  <c r="P141" i="24"/>
  <c r="P299" i="24"/>
  <c r="S299" i="24"/>
  <c r="S317" i="24"/>
  <c r="P317" i="24"/>
  <c r="S525" i="24"/>
  <c r="U525" i="24" s="1"/>
  <c r="P525" i="24"/>
  <c r="S764" i="24"/>
  <c r="U764" i="24" s="1"/>
  <c r="P764" i="24"/>
  <c r="S959" i="24"/>
  <c r="U959" i="24" s="1"/>
  <c r="P959" i="24"/>
  <c r="P1612" i="24"/>
  <c r="S1612" i="24"/>
  <c r="U1612" i="24" s="1"/>
  <c r="T567" i="24"/>
  <c r="X964" i="24"/>
  <c r="P1155" i="24"/>
  <c r="S1155" i="24"/>
  <c r="U1155" i="24" s="1"/>
  <c r="P1374" i="24"/>
  <c r="S1374" i="24"/>
  <c r="S1566" i="24"/>
  <c r="U1566" i="24" s="1"/>
  <c r="Y1566" i="24" s="1"/>
  <c r="P1566" i="24"/>
  <c r="S2648" i="24"/>
  <c r="U2648" i="24" s="1"/>
  <c r="P2648" i="24"/>
  <c r="P57" i="24"/>
  <c r="T62" i="24"/>
  <c r="T92" i="24"/>
  <c r="T100" i="24"/>
  <c r="P105" i="24"/>
  <c r="P139" i="24"/>
  <c r="S183" i="24"/>
  <c r="U183" i="24" s="1"/>
  <c r="Z183" i="24" s="1"/>
  <c r="P186" i="24"/>
  <c r="U199" i="24"/>
  <c r="S225" i="24"/>
  <c r="U225" i="24" s="1"/>
  <c r="S249" i="24"/>
  <c r="U249" i="24" s="1"/>
  <c r="S430" i="24"/>
  <c r="S527" i="24"/>
  <c r="P562" i="24"/>
  <c r="P575" i="24"/>
  <c r="X575" i="24" s="1"/>
  <c r="P692" i="24"/>
  <c r="W697" i="24" s="1"/>
  <c r="P735" i="24"/>
  <c r="X735" i="24" s="1"/>
  <c r="P743" i="24"/>
  <c r="X743" i="24" s="1"/>
  <c r="Z759" i="24"/>
  <c r="P772" i="24"/>
  <c r="X772" i="24" s="1"/>
  <c r="U777" i="24"/>
  <c r="P790" i="24"/>
  <c r="S822" i="24"/>
  <c r="U822" i="24" s="1"/>
  <c r="P863" i="24"/>
  <c r="X863" i="24" s="1"/>
  <c r="P876" i="24"/>
  <c r="P879" i="24"/>
  <c r="P897" i="24"/>
  <c r="P931" i="24"/>
  <c r="S934" i="24"/>
  <c r="U934" i="24" s="1"/>
  <c r="P937" i="24"/>
  <c r="P943" i="24"/>
  <c r="X943" i="24" s="1"/>
  <c r="S990" i="24"/>
  <c r="U990" i="24" s="1"/>
  <c r="S1079" i="24"/>
  <c r="U1079" i="24" s="1"/>
  <c r="P1079" i="24"/>
  <c r="X1119" i="24"/>
  <c r="P1215" i="24"/>
  <c r="S1215" i="24"/>
  <c r="U1215" i="24" s="1"/>
  <c r="P1399" i="24"/>
  <c r="S1399" i="24"/>
  <c r="U1399" i="24" s="1"/>
  <c r="Y1399" i="24" s="1"/>
  <c r="S1523" i="24"/>
  <c r="P1523" i="24"/>
  <c r="S1626" i="24"/>
  <c r="U1626" i="24" s="1"/>
  <c r="P1626" i="24"/>
  <c r="P1820" i="24"/>
  <c r="S1820" i="24"/>
  <c r="P2105" i="24"/>
  <c r="S2105" i="24"/>
  <c r="U2105" i="24" s="1"/>
  <c r="P2174" i="24"/>
  <c r="S2174" i="24"/>
  <c r="U2174" i="24" s="1"/>
  <c r="P2516" i="24"/>
  <c r="S2516" i="24"/>
  <c r="U2516" i="24" s="1"/>
  <c r="P2704" i="24"/>
  <c r="S2704" i="24"/>
  <c r="U2704" i="24" s="1"/>
  <c r="U57" i="24"/>
  <c r="Z57" i="24" s="1"/>
  <c r="S62" i="24"/>
  <c r="U62" i="24" s="1"/>
  <c r="Z62" i="24" s="1"/>
  <c r="S67" i="24"/>
  <c r="U67" i="24" s="1"/>
  <c r="X67" i="24" s="1"/>
  <c r="S92" i="24"/>
  <c r="U92" i="24" s="1"/>
  <c r="P494" i="24"/>
  <c r="X494" i="24" s="1"/>
  <c r="P517" i="24"/>
  <c r="P556" i="24"/>
  <c r="X556" i="24" s="1"/>
  <c r="P561" i="24"/>
  <c r="P574" i="24"/>
  <c r="T575" i="24"/>
  <c r="P622" i="24"/>
  <c r="P656" i="24"/>
  <c r="W658" i="24" s="1"/>
  <c r="P710" i="24"/>
  <c r="X710" i="24" s="1"/>
  <c r="U716" i="24"/>
  <c r="P740" i="24"/>
  <c r="P756" i="24"/>
  <c r="X756" i="24" s="1"/>
  <c r="P771" i="24"/>
  <c r="P792" i="24"/>
  <c r="P799" i="24"/>
  <c r="X799" i="24" s="1"/>
  <c r="P854" i="24"/>
  <c r="P878" i="24"/>
  <c r="P889" i="24"/>
  <c r="P904" i="24"/>
  <c r="X904" i="24" s="1"/>
  <c r="P905" i="24"/>
  <c r="P925" i="24"/>
  <c r="X925" i="24" s="1"/>
  <c r="P930" i="24"/>
  <c r="X930" i="24" s="1"/>
  <c r="P971" i="24"/>
  <c r="X971" i="24" s="1"/>
  <c r="P1028" i="24"/>
  <c r="P1260" i="24"/>
  <c r="S1260" i="24"/>
  <c r="U1260" i="24" s="1"/>
  <c r="S1277" i="24"/>
  <c r="U1277" i="24" s="1"/>
  <c r="P1277" i="24"/>
  <c r="S1644" i="24"/>
  <c r="U1644" i="24" s="1"/>
  <c r="P1644" i="24"/>
  <c r="P1661" i="24"/>
  <c r="S1661" i="24"/>
  <c r="P1736" i="24"/>
  <c r="S1736" i="24"/>
  <c r="S504" i="24"/>
  <c r="U504" i="24" s="1"/>
  <c r="X504" i="24" s="1"/>
  <c r="U517" i="24"/>
  <c r="Y517" i="24" s="1"/>
  <c r="S522" i="24"/>
  <c r="U574" i="24"/>
  <c r="S577" i="24"/>
  <c r="S674" i="24"/>
  <c r="U771" i="24"/>
  <c r="S774" i="24"/>
  <c r="U774" i="24" s="1"/>
  <c r="S802" i="24"/>
  <c r="U802" i="24" s="1"/>
  <c r="X802" i="24" s="1"/>
  <c r="T821" i="24"/>
  <c r="S826" i="24"/>
  <c r="S838" i="24"/>
  <c r="U838" i="24" s="1"/>
  <c r="S918" i="24"/>
  <c r="U918" i="24" s="1"/>
  <c r="Z958" i="24"/>
  <c r="S985" i="24"/>
  <c r="S1009" i="24"/>
  <c r="S1109" i="24"/>
  <c r="U1109" i="24" s="1"/>
  <c r="P1109" i="24"/>
  <c r="S1121" i="24"/>
  <c r="U1121" i="24" s="1"/>
  <c r="X1121" i="24" s="1"/>
  <c r="P1362" i="24"/>
  <c r="S1362" i="24"/>
  <c r="Y1530" i="24"/>
  <c r="Z1530" i="24"/>
  <c r="P2641" i="24"/>
  <c r="S2641" i="24"/>
  <c r="U2641" i="24" s="1"/>
  <c r="P513" i="24"/>
  <c r="X513" i="24" s="1"/>
  <c r="T514" i="24"/>
  <c r="U558" i="24"/>
  <c r="Y558" i="24" s="1"/>
  <c r="U568" i="24"/>
  <c r="X568" i="24" s="1"/>
  <c r="T571" i="24"/>
  <c r="P599" i="24"/>
  <c r="U755" i="24"/>
  <c r="X755" i="24" s="1"/>
  <c r="T768" i="24"/>
  <c r="P801" i="24"/>
  <c r="P842" i="24"/>
  <c r="X842" i="24" s="1"/>
  <c r="P845" i="24"/>
  <c r="Z860" i="24"/>
  <c r="P883" i="24"/>
  <c r="P888" i="24"/>
  <c r="X888" i="24" s="1"/>
  <c r="P909" i="24"/>
  <c r="X909" i="24" s="1"/>
  <c r="P941" i="24"/>
  <c r="P968" i="24"/>
  <c r="X968" i="24" s="1"/>
  <c r="P984" i="24"/>
  <c r="X984" i="24" s="1"/>
  <c r="S1040" i="24"/>
  <c r="U1040" i="24" s="1"/>
  <c r="Z1040" i="24" s="1"/>
  <c r="P1040" i="24"/>
  <c r="P1171" i="24"/>
  <c r="S1171" i="24"/>
  <c r="U1171" i="24" s="1"/>
  <c r="Y1171" i="24" s="1"/>
  <c r="P1311" i="24"/>
  <c r="S1311" i="24"/>
  <c r="U1311" i="24" s="1"/>
  <c r="S1328" i="24"/>
  <c r="P1328" i="24"/>
  <c r="P1390" i="24"/>
  <c r="S1390" i="24"/>
  <c r="S1550" i="24"/>
  <c r="U1550" i="24" s="1"/>
  <c r="Y1550" i="24" s="1"/>
  <c r="P1550" i="24"/>
  <c r="P1773" i="24"/>
  <c r="S1773" i="24"/>
  <c r="S2474" i="24"/>
  <c r="U2474" i="24" s="1"/>
  <c r="P2474" i="24"/>
  <c r="P2694" i="24"/>
  <c r="S2694" i="24"/>
  <c r="U2694" i="24" s="1"/>
  <c r="U130" i="24"/>
  <c r="U808" i="24"/>
  <c r="X808" i="24" s="1"/>
  <c r="S837" i="24"/>
  <c r="U837" i="24" s="1"/>
  <c r="Y837" i="24" s="1"/>
  <c r="S954" i="24"/>
  <c r="U954" i="24" s="1"/>
  <c r="S977" i="24"/>
  <c r="S1025" i="24"/>
  <c r="U1025" i="24" s="1"/>
  <c r="X1127" i="24"/>
  <c r="S1267" i="24"/>
  <c r="U1267" i="24" s="1"/>
  <c r="P1267" i="24"/>
  <c r="P1355" i="24"/>
  <c r="S1355" i="24"/>
  <c r="U1355" i="24" s="1"/>
  <c r="Z1355" i="24" s="1"/>
  <c r="P1590" i="24"/>
  <c r="S1590" i="24"/>
  <c r="U1590" i="24" s="1"/>
  <c r="Y1590" i="24" s="1"/>
  <c r="P1605" i="24"/>
  <c r="S1605" i="24"/>
  <c r="U1605" i="24" s="1"/>
  <c r="S1635" i="24"/>
  <c r="U1635" i="24" s="1"/>
  <c r="P1635" i="24"/>
  <c r="P2081" i="24"/>
  <c r="S2081" i="24"/>
  <c r="U2081" i="24" s="1"/>
  <c r="S2534" i="24"/>
  <c r="U2534" i="24" s="1"/>
  <c r="P2534" i="24"/>
  <c r="S135" i="24"/>
  <c r="U135" i="24" s="1"/>
  <c r="X135" i="24" s="1"/>
  <c r="S140" i="24"/>
  <c r="U140" i="24" s="1"/>
  <c r="X140" i="24" s="1"/>
  <c r="S147" i="24"/>
  <c r="S150" i="24"/>
  <c r="U150" i="24" s="1"/>
  <c r="X150" i="24" s="1"/>
  <c r="S189" i="24"/>
  <c r="U189" i="24" s="1"/>
  <c r="W190" i="24" s="1"/>
  <c r="U214" i="24"/>
  <c r="T218" i="24"/>
  <c r="S255" i="24"/>
  <c r="U255" i="24" s="1"/>
  <c r="X255" i="24" s="1"/>
  <c r="S260" i="24"/>
  <c r="U260" i="24" s="1"/>
  <c r="S265" i="24"/>
  <c r="U265" i="24" s="1"/>
  <c r="X265" i="24" s="1"/>
  <c r="S270" i="24"/>
  <c r="U270" i="24" s="1"/>
  <c r="P418" i="24"/>
  <c r="S443" i="24"/>
  <c r="U443" i="24" s="1"/>
  <c r="X443" i="24" s="1"/>
  <c r="S487" i="24"/>
  <c r="U509" i="24"/>
  <c r="S723" i="24"/>
  <c r="S864" i="24"/>
  <c r="U864" i="24" s="1"/>
  <c r="Y864" i="24" s="1"/>
  <c r="S912" i="24"/>
  <c r="U912" i="24" s="1"/>
  <c r="Z912" i="24" s="1"/>
  <c r="S1095" i="24"/>
  <c r="U1095" i="24" s="1"/>
  <c r="P1095" i="24"/>
  <c r="P1408" i="24"/>
  <c r="S1408" i="24"/>
  <c r="S1697" i="24"/>
  <c r="P1697" i="24"/>
  <c r="S1768" i="24"/>
  <c r="U1768" i="24" s="1"/>
  <c r="P1768" i="24"/>
  <c r="P2687" i="24"/>
  <c r="S2687" i="24"/>
  <c r="U2687" i="24" s="1"/>
  <c r="S1183" i="24"/>
  <c r="U1183" i="24" s="1"/>
  <c r="Z1183" i="24" s="1"/>
  <c r="S1211" i="24"/>
  <c r="U1211" i="24" s="1"/>
  <c r="P1245" i="24"/>
  <c r="S1265" i="24"/>
  <c r="U1265" i="24" s="1"/>
  <c r="X1265" i="24" s="1"/>
  <c r="S1270" i="24"/>
  <c r="U1270" i="24" s="1"/>
  <c r="S1278" i="24"/>
  <c r="U1278" i="24" s="1"/>
  <c r="S1305" i="24"/>
  <c r="U1305" i="24" s="1"/>
  <c r="Z1305" i="24" s="1"/>
  <c r="S1314" i="24"/>
  <c r="S1333" i="24"/>
  <c r="U1333" i="24" s="1"/>
  <c r="X1333" i="24" s="1"/>
  <c r="S1338" i="24"/>
  <c r="S1358" i="24"/>
  <c r="S1379" i="24"/>
  <c r="U1379" i="24" s="1"/>
  <c r="Z1379" i="24" s="1"/>
  <c r="S1395" i="24"/>
  <c r="U1395" i="24" s="1"/>
  <c r="Z1395" i="24" s="1"/>
  <c r="P1404" i="24"/>
  <c r="S1504" i="24"/>
  <c r="U1504" i="24" s="1"/>
  <c r="Y1504" i="24" s="1"/>
  <c r="S1524" i="24"/>
  <c r="U1524" i="24" s="1"/>
  <c r="Y1524" i="24" s="1"/>
  <c r="S1548" i="24"/>
  <c r="U1548" i="24" s="1"/>
  <c r="Y1548" i="24" s="1"/>
  <c r="S1576" i="24"/>
  <c r="U1576" i="24" s="1"/>
  <c r="S1588" i="24"/>
  <c r="U1588" i="24" s="1"/>
  <c r="X1588" i="24" s="1"/>
  <c r="S1598" i="24"/>
  <c r="U1598" i="24" s="1"/>
  <c r="X1598" i="24" s="1"/>
  <c r="S1629" i="24"/>
  <c r="U1629" i="24" s="1"/>
  <c r="S1636" i="24"/>
  <c r="U1636" i="24" s="1"/>
  <c r="S1688" i="24"/>
  <c r="U1688" i="24" s="1"/>
  <c r="Z1688" i="24" s="1"/>
  <c r="T1764" i="24"/>
  <c r="U1771" i="24"/>
  <c r="P1833" i="24"/>
  <c r="U1925" i="24"/>
  <c r="W1926" i="24" s="1"/>
  <c r="U1933" i="24"/>
  <c r="S1957" i="24"/>
  <c r="U1957" i="24" s="1"/>
  <c r="S2276" i="24"/>
  <c r="U2276" i="24" s="1"/>
  <c r="P2330" i="24"/>
  <c r="P2348" i="24"/>
  <c r="X2348" i="24" s="1"/>
  <c r="P2438" i="24"/>
  <c r="S2552" i="24"/>
  <c r="S2644" i="24"/>
  <c r="U2644" i="24" s="1"/>
  <c r="X2644" i="24" s="1"/>
  <c r="S1199" i="24"/>
  <c r="U1199" i="24" s="1"/>
  <c r="U1238" i="24"/>
  <c r="S1272" i="24"/>
  <c r="U1272" i="24" s="1"/>
  <c r="W2626" i="24"/>
  <c r="T1666" i="24"/>
  <c r="U1753" i="24"/>
  <c r="Z1753" i="24" s="1"/>
  <c r="P1760" i="24"/>
  <c r="U1827" i="24"/>
  <c r="P1839" i="24"/>
  <c r="U1981" i="24"/>
  <c r="P2234" i="24"/>
  <c r="P2390" i="24"/>
  <c r="P2594" i="24"/>
  <c r="P2640" i="24"/>
  <c r="P2650" i="24"/>
  <c r="X2650" i="24" s="1"/>
  <c r="P1219" i="24"/>
  <c r="P1293" i="24"/>
  <c r="X1293" i="24" s="1"/>
  <c r="P1322" i="24"/>
  <c r="P1490" i="24"/>
  <c r="P1506" i="24"/>
  <c r="P1538" i="24"/>
  <c r="X1538" i="24" s="1"/>
  <c r="P1556" i="24"/>
  <c r="X1556" i="24" s="1"/>
  <c r="P1584" i="24"/>
  <c r="X1584" i="24" s="1"/>
  <c r="P1604" i="24"/>
  <c r="U1611" i="24"/>
  <c r="X1611" i="24" s="1"/>
  <c r="P1637" i="24"/>
  <c r="Z1654" i="24"/>
  <c r="P1658" i="24"/>
  <c r="P1686" i="24"/>
  <c r="P1693" i="24"/>
  <c r="X1693" i="24" s="1"/>
  <c r="P1696" i="24"/>
  <c r="S1731" i="24"/>
  <c r="P1735" i="24"/>
  <c r="P1740" i="24"/>
  <c r="X1740" i="24" s="1"/>
  <c r="S1782" i="24"/>
  <c r="U1782" i="24" s="1"/>
  <c r="S1791" i="24"/>
  <c r="U1791" i="24" s="1"/>
  <c r="Y1791" i="24" s="1"/>
  <c r="X1797" i="24"/>
  <c r="P1805" i="24"/>
  <c r="W1807" i="24" s="1"/>
  <c r="P1841" i="24"/>
  <c r="S1888" i="24"/>
  <c r="U1888" i="24" s="1"/>
  <c r="W1891" i="24" s="1"/>
  <c r="P2180" i="24"/>
  <c r="S2396" i="24"/>
  <c r="U2396" i="24" s="1"/>
  <c r="P2414" i="24"/>
  <c r="S2420" i="24"/>
  <c r="U2420" i="24" s="1"/>
  <c r="X2420" i="24" s="1"/>
  <c r="S2558" i="24"/>
  <c r="U2594" i="24"/>
  <c r="Z2594" i="24" s="1"/>
  <c r="S2618" i="24"/>
  <c r="X2688" i="24"/>
  <c r="S1135" i="24"/>
  <c r="U1135" i="24" s="1"/>
  <c r="X1135" i="24" s="1"/>
  <c r="S1191" i="24"/>
  <c r="U1191" i="24" s="1"/>
  <c r="S1207" i="24"/>
  <c r="U1207" i="24" s="1"/>
  <c r="Y1207" i="24" s="1"/>
  <c r="S1266" i="24"/>
  <c r="U1266" i="24" s="1"/>
  <c r="Z1266" i="24" s="1"/>
  <c r="S1276" i="24"/>
  <c r="U1276" i="24" s="1"/>
  <c r="X1276" i="24" s="1"/>
  <c r="S1284" i="24"/>
  <c r="U1284" i="24" s="1"/>
  <c r="S1301" i="24"/>
  <c r="S1308" i="24"/>
  <c r="S1327" i="24"/>
  <c r="U1327" i="24" s="1"/>
  <c r="S1354" i="24"/>
  <c r="S1366" i="24"/>
  <c r="S1410" i="24"/>
  <c r="U1410" i="24" s="1"/>
  <c r="S1426" i="24"/>
  <c r="U1426" i="24" s="1"/>
  <c r="S1442" i="24"/>
  <c r="S1458" i="24"/>
  <c r="S1474" i="24"/>
  <c r="S1522" i="24"/>
  <c r="U1522" i="24" s="1"/>
  <c r="S1596" i="24"/>
  <c r="U1596" i="24" s="1"/>
  <c r="Y1596" i="24" s="1"/>
  <c r="S1630" i="24"/>
  <c r="U1630" i="24" s="1"/>
  <c r="X1630" i="24" s="1"/>
  <c r="T1672" i="24"/>
  <c r="T1772" i="24"/>
  <c r="S1786" i="24"/>
  <c r="U1786" i="24" s="1"/>
  <c r="S1832" i="24"/>
  <c r="U1832" i="24" s="1"/>
  <c r="Y1832" i="24" s="1"/>
  <c r="U1841" i="24"/>
  <c r="S1913" i="24"/>
  <c r="U1913" i="24" s="1"/>
  <c r="S2582" i="24"/>
  <c r="T2652" i="24"/>
  <c r="P1099" i="24"/>
  <c r="X1099" i="24" s="1"/>
  <c r="P1117" i="24"/>
  <c r="X1117" i="24" s="1"/>
  <c r="S1147" i="24"/>
  <c r="U1147" i="24" s="1"/>
  <c r="P1149" i="24"/>
  <c r="S1163" i="24"/>
  <c r="U1163" i="24" s="1"/>
  <c r="P1165" i="24"/>
  <c r="S1179" i="24"/>
  <c r="U1179" i="24" s="1"/>
  <c r="P1181" i="24"/>
  <c r="X1181" i="24" s="1"/>
  <c r="S1228" i="24"/>
  <c r="U1228" i="24" s="1"/>
  <c r="X1228" i="24" s="1"/>
  <c r="S1248" i="24"/>
  <c r="U1248" i="24" s="1"/>
  <c r="X1248" i="24" s="1"/>
  <c r="Z1293" i="24"/>
  <c r="S1303" i="24"/>
  <c r="U1303" i="24" s="1"/>
  <c r="P1312" i="24"/>
  <c r="S1317" i="24"/>
  <c r="S1343" i="24"/>
  <c r="U1343" i="24" s="1"/>
  <c r="Z1343" i="24" s="1"/>
  <c r="S1382" i="24"/>
  <c r="Z1500" i="24"/>
  <c r="Y1517" i="24"/>
  <c r="P1527" i="24"/>
  <c r="Z1572" i="24"/>
  <c r="P1574" i="24"/>
  <c r="P1601" i="24"/>
  <c r="P1613" i="24"/>
  <c r="S1646" i="24"/>
  <c r="U1646" i="24" s="1"/>
  <c r="X1646" i="24" s="1"/>
  <c r="U1667" i="24"/>
  <c r="S1676" i="24"/>
  <c r="U1676" i="24" s="1"/>
  <c r="P1801" i="24"/>
  <c r="X1840" i="24"/>
  <c r="S1850" i="24"/>
  <c r="U1850" i="24" s="1"/>
  <c r="X1850" i="24" s="1"/>
  <c r="S1860" i="24"/>
  <c r="U1860" i="24" s="1"/>
  <c r="U1884" i="24"/>
  <c r="S2186" i="24"/>
  <c r="U2186" i="24" s="1"/>
  <c r="P2228" i="24"/>
  <c r="W2231" i="24" s="1"/>
  <c r="S2366" i="24"/>
  <c r="U2366" i="24" s="1"/>
  <c r="W2368" i="24" s="1"/>
  <c r="P2633" i="24"/>
  <c r="S2652" i="24"/>
  <c r="U2652" i="24" s="1"/>
  <c r="S2659" i="24"/>
  <c r="U2659" i="24" s="1"/>
  <c r="X2659" i="24" s="1"/>
  <c r="U2663" i="24"/>
  <c r="S2696" i="24"/>
  <c r="U2696" i="24" s="1"/>
  <c r="Y771" i="22"/>
  <c r="Z771" i="22"/>
  <c r="Y108" i="22"/>
  <c r="Z108" i="22"/>
  <c r="X323" i="22"/>
  <c r="X719" i="22"/>
  <c r="Y135" i="22"/>
  <c r="Z135" i="22"/>
  <c r="X631" i="22"/>
  <c r="Y755" i="22"/>
  <c r="Z755" i="22"/>
  <c r="P1082" i="22"/>
  <c r="S1082" i="22"/>
  <c r="S1152" i="22"/>
  <c r="U1152" i="22" s="1"/>
  <c r="P1152" i="22"/>
  <c r="P1327" i="22"/>
  <c r="S1327" i="22"/>
  <c r="P1495" i="22"/>
  <c r="S1495" i="22"/>
  <c r="S2384" i="22"/>
  <c r="U2384" i="22" s="1"/>
  <c r="P2384" i="22"/>
  <c r="S51" i="21"/>
  <c r="S91" i="21"/>
  <c r="P139" i="21"/>
  <c r="S622" i="21"/>
  <c r="U622" i="21" s="1"/>
  <c r="S816" i="21"/>
  <c r="P1641" i="21"/>
  <c r="S44" i="22"/>
  <c r="U44" i="22" s="1"/>
  <c r="S51" i="22"/>
  <c r="U51" i="22" s="1"/>
  <c r="X51" i="22" s="1"/>
  <c r="P57" i="22"/>
  <c r="Y104" i="22"/>
  <c r="S107" i="22"/>
  <c r="X171" i="22"/>
  <c r="U216" i="22"/>
  <c r="X216" i="22" s="1"/>
  <c r="S250" i="22"/>
  <c r="U250" i="22" s="1"/>
  <c r="X250" i="22" s="1"/>
  <c r="S251" i="22"/>
  <c r="P329" i="22"/>
  <c r="S335" i="22"/>
  <c r="U335" i="22" s="1"/>
  <c r="S341" i="22"/>
  <c r="U341" i="22" s="1"/>
  <c r="S353" i="22"/>
  <c r="S388" i="22"/>
  <c r="U458" i="22"/>
  <c r="S465" i="22"/>
  <c r="P467" i="22"/>
  <c r="S486" i="22"/>
  <c r="P489" i="22"/>
  <c r="T504" i="22"/>
  <c r="U511" i="22"/>
  <c r="P516" i="22"/>
  <c r="P530" i="22"/>
  <c r="X530" i="22" s="1"/>
  <c r="P531" i="22"/>
  <c r="X531" i="22" s="1"/>
  <c r="P546" i="22"/>
  <c r="X546" i="22" s="1"/>
  <c r="P558" i="22"/>
  <c r="S572" i="22"/>
  <c r="U572" i="22" s="1"/>
  <c r="P584" i="22"/>
  <c r="X584" i="22" s="1"/>
  <c r="P589" i="22"/>
  <c r="Z597" i="22"/>
  <c r="P662" i="22"/>
  <c r="X662" i="22" s="1"/>
  <c r="Y735" i="22"/>
  <c r="P738" i="22"/>
  <c r="P756" i="22"/>
  <c r="X756" i="22" s="1"/>
  <c r="S757" i="22"/>
  <c r="P760" i="22"/>
  <c r="P768" i="22"/>
  <c r="S795" i="22"/>
  <c r="P808" i="22"/>
  <c r="P811" i="22"/>
  <c r="X811" i="22" s="1"/>
  <c r="U818" i="22"/>
  <c r="S893" i="22"/>
  <c r="P895" i="22"/>
  <c r="P898" i="22"/>
  <c r="X898" i="22" s="1"/>
  <c r="P904" i="22"/>
  <c r="S939" i="22"/>
  <c r="U939" i="22" s="1"/>
  <c r="Z939" i="22" s="1"/>
  <c r="P939" i="22"/>
  <c r="S944" i="22"/>
  <c r="P944" i="22"/>
  <c r="S979" i="22"/>
  <c r="U979" i="22" s="1"/>
  <c r="P979" i="22"/>
  <c r="P986" i="22"/>
  <c r="P1045" i="22"/>
  <c r="S1045" i="22"/>
  <c r="P1322" i="22"/>
  <c r="S1322" i="22"/>
  <c r="S1601" i="22"/>
  <c r="P1601" i="22"/>
  <c r="S1642" i="22"/>
  <c r="P1642" i="22"/>
  <c r="P1667" i="22"/>
  <c r="S1667" i="22"/>
  <c r="S1790" i="22"/>
  <c r="P1790" i="22"/>
  <c r="S2228" i="22"/>
  <c r="U2228" i="22" s="1"/>
  <c r="P2228" i="22"/>
  <c r="S2240" i="22"/>
  <c r="U2240" i="22" s="1"/>
  <c r="P2240" i="22"/>
  <c r="S111" i="23"/>
  <c r="U111" i="23" s="1"/>
  <c r="P111" i="23"/>
  <c r="U58" i="22"/>
  <c r="U305" i="22"/>
  <c r="X842" i="22"/>
  <c r="X874" i="22"/>
  <c r="P1217" i="22"/>
  <c r="S1217" i="22"/>
  <c r="P1447" i="22"/>
  <c r="S1447" i="22"/>
  <c r="Y1661" i="22"/>
  <c r="Z1661" i="22"/>
  <c r="S524" i="21"/>
  <c r="P775" i="21"/>
  <c r="S28" i="22"/>
  <c r="U28" i="22" s="1"/>
  <c r="S36" i="22"/>
  <c r="U36" i="22" s="1"/>
  <c r="X36" i="22" s="1"/>
  <c r="U41" i="22"/>
  <c r="P50" i="22"/>
  <c r="T67" i="22"/>
  <c r="S74" i="22"/>
  <c r="U74" i="22" s="1"/>
  <c r="X74" i="22" s="1"/>
  <c r="P98" i="22"/>
  <c r="Y112" i="22"/>
  <c r="S138" i="22"/>
  <c r="U138" i="22" s="1"/>
  <c r="P147" i="22"/>
  <c r="P153" i="22"/>
  <c r="P184" i="22"/>
  <c r="U208" i="22"/>
  <c r="X208" i="22" s="1"/>
  <c r="P215" i="22"/>
  <c r="X215" i="22" s="1"/>
  <c r="P270" i="22"/>
  <c r="P290" i="22"/>
  <c r="X290" i="22" s="1"/>
  <c r="P295" i="22"/>
  <c r="P311" i="22"/>
  <c r="S418" i="22"/>
  <c r="P462" i="22"/>
  <c r="U489" i="22"/>
  <c r="U499" i="22"/>
  <c r="P508" i="22"/>
  <c r="U519" i="22"/>
  <c r="Y519" i="22" s="1"/>
  <c r="P524" i="22"/>
  <c r="T558" i="22"/>
  <c r="S564" i="22"/>
  <c r="U564" i="22" s="1"/>
  <c r="X564" i="22" s="1"/>
  <c r="Z585" i="22"/>
  <c r="P650" i="22"/>
  <c r="X650" i="22" s="1"/>
  <c r="W670" i="22"/>
  <c r="P685" i="22"/>
  <c r="P726" i="22"/>
  <c r="S731" i="22"/>
  <c r="P745" i="22"/>
  <c r="S754" i="22"/>
  <c r="U754" i="22" s="1"/>
  <c r="X754" i="22" s="1"/>
  <c r="T756" i="22"/>
  <c r="P759" i="22"/>
  <c r="X759" i="22" s="1"/>
  <c r="P771" i="22"/>
  <c r="X771" i="22" s="1"/>
  <c r="P775" i="22"/>
  <c r="S797" i="22"/>
  <c r="P810" i="22"/>
  <c r="P828" i="22"/>
  <c r="S829" i="22"/>
  <c r="U829" i="22" s="1"/>
  <c r="Z836" i="22"/>
  <c r="P889" i="22"/>
  <c r="P892" i="22"/>
  <c r="P906" i="22"/>
  <c r="P931" i="22"/>
  <c r="S931" i="22"/>
  <c r="U931" i="22" s="1"/>
  <c r="Z931" i="22" s="1"/>
  <c r="S936" i="22"/>
  <c r="P936" i="22"/>
  <c r="P952" i="22"/>
  <c r="S988" i="22"/>
  <c r="P988" i="22"/>
  <c r="X1122" i="22"/>
  <c r="S1170" i="22"/>
  <c r="U1170" i="22" s="1"/>
  <c r="Z1170" i="22" s="1"/>
  <c r="P1170" i="22"/>
  <c r="P1300" i="22"/>
  <c r="S1300" i="22"/>
  <c r="P1379" i="22"/>
  <c r="S1379" i="22"/>
  <c r="P1388" i="22"/>
  <c r="S1388" i="22"/>
  <c r="U1388" i="22" s="1"/>
  <c r="Z1388" i="22" s="1"/>
  <c r="P1532" i="22"/>
  <c r="S1532" i="22"/>
  <c r="P1564" i="22"/>
  <c r="S1564" i="22"/>
  <c r="P1596" i="22"/>
  <c r="S1596" i="22"/>
  <c r="X1634" i="22"/>
  <c r="P1684" i="22"/>
  <c r="S1684" i="22"/>
  <c r="P1707" i="22"/>
  <c r="S1707" i="22"/>
  <c r="U1707" i="22" s="1"/>
  <c r="S1744" i="22"/>
  <c r="U1744" i="22" s="1"/>
  <c r="P1744" i="22"/>
  <c r="S78" i="23"/>
  <c r="P78" i="23"/>
  <c r="P1511" i="22"/>
  <c r="S1511" i="22"/>
  <c r="Y1669" i="22"/>
  <c r="Z1669" i="22"/>
  <c r="S2396" i="22"/>
  <c r="U2396" i="22" s="1"/>
  <c r="P2396" i="22"/>
  <c r="S27" i="21"/>
  <c r="P179" i="21"/>
  <c r="S265" i="21"/>
  <c r="P719" i="21"/>
  <c r="P727" i="21"/>
  <c r="P735" i="21"/>
  <c r="P767" i="21"/>
  <c r="P792" i="21"/>
  <c r="P800" i="21"/>
  <c r="S1361" i="21"/>
  <c r="U1361" i="21" s="1"/>
  <c r="S1425" i="21"/>
  <c r="U50" i="22"/>
  <c r="S60" i="22"/>
  <c r="U60" i="22" s="1"/>
  <c r="S67" i="22"/>
  <c r="U67" i="22" s="1"/>
  <c r="S79" i="22"/>
  <c r="U79" i="22" s="1"/>
  <c r="P106" i="22"/>
  <c r="P127" i="22"/>
  <c r="P130" i="22"/>
  <c r="P135" i="22"/>
  <c r="X135" i="22" s="1"/>
  <c r="P136" i="22"/>
  <c r="X136" i="22" s="1"/>
  <c r="P144" i="22"/>
  <c r="S150" i="22"/>
  <c r="U184" i="22"/>
  <c r="P189" i="22"/>
  <c r="X189" i="22" s="1"/>
  <c r="P207" i="22"/>
  <c r="X207" i="22" s="1"/>
  <c r="P219" i="22"/>
  <c r="P220" i="22"/>
  <c r="P229" i="22"/>
  <c r="S240" i="22"/>
  <c r="U240" i="22" s="1"/>
  <c r="P244" i="22"/>
  <c r="X244" i="22" s="1"/>
  <c r="P248" i="22"/>
  <c r="P253" i="22"/>
  <c r="X253" i="22" s="1"/>
  <c r="U311" i="22"/>
  <c r="S430" i="22"/>
  <c r="U430" i="22" s="1"/>
  <c r="U508" i="22"/>
  <c r="U541" i="22"/>
  <c r="S601" i="22"/>
  <c r="S617" i="22"/>
  <c r="S630" i="22"/>
  <c r="S637" i="22"/>
  <c r="U637" i="22" s="1"/>
  <c r="Y637" i="22" s="1"/>
  <c r="S727" i="22"/>
  <c r="U727" i="22" s="1"/>
  <c r="S750" i="22"/>
  <c r="S778" i="22"/>
  <c r="U778" i="22" s="1"/>
  <c r="U810" i="22"/>
  <c r="U821" i="22"/>
  <c r="U828" i="22"/>
  <c r="U835" i="22"/>
  <c r="S911" i="22"/>
  <c r="U911" i="22" s="1"/>
  <c r="X911" i="22" s="1"/>
  <c r="S915" i="22"/>
  <c r="U915" i="22" s="1"/>
  <c r="P915" i="22"/>
  <c r="S924" i="22"/>
  <c r="P924" i="22"/>
  <c r="S957" i="22"/>
  <c r="S993" i="22"/>
  <c r="P1257" i="22"/>
  <c r="S1257" i="22"/>
  <c r="U1257" i="22" s="1"/>
  <c r="S1349" i="22"/>
  <c r="P1349" i="22"/>
  <c r="S1369" i="22"/>
  <c r="U1369" i="22" s="1"/>
  <c r="P1369" i="22"/>
  <c r="P1523" i="22"/>
  <c r="S1523" i="22"/>
  <c r="S1627" i="22"/>
  <c r="U1627" i="22" s="1"/>
  <c r="P1627" i="22"/>
  <c r="S1677" i="22"/>
  <c r="U1677" i="22" s="1"/>
  <c r="P1677" i="22"/>
  <c r="S1689" i="22"/>
  <c r="U1689" i="22" s="1"/>
  <c r="P1689" i="22"/>
  <c r="S1753" i="22"/>
  <c r="U1753" i="22" s="1"/>
  <c r="Z1753" i="22" s="1"/>
  <c r="P1753" i="22"/>
  <c r="S1773" i="22"/>
  <c r="P1773" i="22"/>
  <c r="S1817" i="22"/>
  <c r="U1817" i="22" s="1"/>
  <c r="P1817" i="22"/>
  <c r="P2600" i="22"/>
  <c r="S2600" i="22"/>
  <c r="U2600" i="22" s="1"/>
  <c r="P2639" i="22"/>
  <c r="S2639" i="22"/>
  <c r="U2639" i="22" s="1"/>
  <c r="P2656" i="22"/>
  <c r="S2656" i="22"/>
  <c r="U2656" i="22" s="1"/>
  <c r="Z2656" i="22" s="1"/>
  <c r="U477" i="22"/>
  <c r="X477" i="22" s="1"/>
  <c r="W689" i="22"/>
  <c r="P1436" i="22"/>
  <c r="S1436" i="22"/>
  <c r="P1463" i="22"/>
  <c r="S1463" i="22"/>
  <c r="S1678" i="22"/>
  <c r="U1678" i="22" s="1"/>
  <c r="P1678" i="22"/>
  <c r="S1828" i="22"/>
  <c r="U1828" i="22" s="1"/>
  <c r="P1828" i="22"/>
  <c r="P67" i="21"/>
  <c r="S107" i="21"/>
  <c r="U107" i="21" s="1"/>
  <c r="Z107" i="21" s="1"/>
  <c r="S299" i="21"/>
  <c r="P751" i="21"/>
  <c r="P759" i="21"/>
  <c r="P832" i="21"/>
  <c r="P19" i="22"/>
  <c r="P27" i="22"/>
  <c r="X27" i="22" s="1"/>
  <c r="U35" i="22"/>
  <c r="P49" i="22"/>
  <c r="X49" i="22" s="1"/>
  <c r="P83" i="22"/>
  <c r="P87" i="22"/>
  <c r="X87" i="22" s="1"/>
  <c r="T94" i="22"/>
  <c r="P96" i="22"/>
  <c r="X96" i="22" s="1"/>
  <c r="P97" i="22"/>
  <c r="T102" i="22"/>
  <c r="S114" i="22"/>
  <c r="S117" i="22"/>
  <c r="U229" i="22"/>
  <c r="U340" i="22"/>
  <c r="P352" i="22"/>
  <c r="T764" i="22"/>
  <c r="T772" i="22"/>
  <c r="U800" i="22"/>
  <c r="Y800" i="22" s="1"/>
  <c r="S928" i="22"/>
  <c r="P928" i="22"/>
  <c r="S964" i="22"/>
  <c r="P964" i="22"/>
  <c r="P992" i="22"/>
  <c r="S992" i="22"/>
  <c r="P1066" i="22"/>
  <c r="S1066" i="22"/>
  <c r="P1070" i="22"/>
  <c r="S1070" i="22"/>
  <c r="P1098" i="22"/>
  <c r="S1098" i="22"/>
  <c r="P1102" i="22"/>
  <c r="S1102" i="22"/>
  <c r="P1149" i="22"/>
  <c r="S1149" i="22"/>
  <c r="U1149" i="22" s="1"/>
  <c r="S1158" i="22"/>
  <c r="U1158" i="22" s="1"/>
  <c r="Z1158" i="22" s="1"/>
  <c r="P1158" i="22"/>
  <c r="P1201" i="22"/>
  <c r="S1201" i="22"/>
  <c r="P1233" i="22"/>
  <c r="S1233" i="22"/>
  <c r="P1295" i="22"/>
  <c r="S1295" i="22"/>
  <c r="S1360" i="22"/>
  <c r="U1360" i="22" s="1"/>
  <c r="P1360" i="22"/>
  <c r="S1418" i="22"/>
  <c r="P1418" i="22"/>
  <c r="P1455" i="22"/>
  <c r="S1455" i="22"/>
  <c r="P1471" i="22"/>
  <c r="S1471" i="22"/>
  <c r="P1487" i="22"/>
  <c r="S1487" i="22"/>
  <c r="P1503" i="22"/>
  <c r="S1503" i="22"/>
  <c r="S1608" i="22"/>
  <c r="U1608" i="22" s="1"/>
  <c r="P1608" i="22"/>
  <c r="S1719" i="22"/>
  <c r="P1719" i="22"/>
  <c r="P1738" i="22"/>
  <c r="S1738" i="22"/>
  <c r="S1802" i="22"/>
  <c r="U1802" i="22" s="1"/>
  <c r="P1802" i="22"/>
  <c r="S255" i="21"/>
  <c r="U255" i="21" s="1"/>
  <c r="P743" i="21"/>
  <c r="P824" i="21"/>
  <c r="P22" i="22"/>
  <c r="X22" i="22" s="1"/>
  <c r="S23" i="22"/>
  <c r="U23" i="22" s="1"/>
  <c r="U40" i="22"/>
  <c r="X40" i="22" s="1"/>
  <c r="T59" i="22"/>
  <c r="U66" i="22"/>
  <c r="U83" i="22"/>
  <c r="X104" i="22"/>
  <c r="P108" i="22"/>
  <c r="Y136" i="22"/>
  <c r="P179" i="22"/>
  <c r="X179" i="22" s="1"/>
  <c r="U186" i="22"/>
  <c r="P203" i="22"/>
  <c r="P204" i="22"/>
  <c r="P296" i="22"/>
  <c r="U377" i="22"/>
  <c r="X377" i="22" s="1"/>
  <c r="P459" i="22"/>
  <c r="P581" i="22"/>
  <c r="P621" i="22"/>
  <c r="P661" i="22"/>
  <c r="P698" i="22"/>
  <c r="X698" i="22" s="1"/>
  <c r="P735" i="22"/>
  <c r="X735" i="22" s="1"/>
  <c r="U820" i="22"/>
  <c r="X820" i="22" s="1"/>
  <c r="P824" i="22"/>
  <c r="P827" i="22"/>
  <c r="X827" i="22" s="1"/>
  <c r="U834" i="22"/>
  <c r="P891" i="22"/>
  <c r="X891" i="22" s="1"/>
  <c r="S982" i="22"/>
  <c r="P982" i="22"/>
  <c r="S994" i="22"/>
  <c r="P994" i="22"/>
  <c r="X1174" i="22"/>
  <c r="P1290" i="22"/>
  <c r="S1290" i="22"/>
  <c r="S1681" i="22"/>
  <c r="U1681" i="22" s="1"/>
  <c r="P1681" i="22"/>
  <c r="Z1697" i="22"/>
  <c r="S1735" i="22"/>
  <c r="U1735" i="22" s="1"/>
  <c r="P1735" i="22"/>
  <c r="S1760" i="22"/>
  <c r="P1760" i="22"/>
  <c r="S1779" i="22"/>
  <c r="P1779" i="22"/>
  <c r="P1799" i="22"/>
  <c r="S1799" i="22"/>
  <c r="U1799" i="22" s="1"/>
  <c r="S1856" i="22"/>
  <c r="U1856" i="22" s="1"/>
  <c r="P1856" i="22"/>
  <c r="S1977" i="22"/>
  <c r="U1977" i="22" s="1"/>
  <c r="P1977" i="22"/>
  <c r="X25" i="22"/>
  <c r="X119" i="22"/>
  <c r="X886" i="22"/>
  <c r="P909" i="22"/>
  <c r="S909" i="22"/>
  <c r="X955" i="22"/>
  <c r="S1146" i="22"/>
  <c r="U1146" i="22" s="1"/>
  <c r="Z1146" i="22" s="1"/>
  <c r="P1146" i="22"/>
  <c r="P1479" i="22"/>
  <c r="S1479" i="22"/>
  <c r="P211" i="21"/>
  <c r="U75" i="22"/>
  <c r="P156" i="22"/>
  <c r="U200" i="22"/>
  <c r="Z200" i="22" s="1"/>
  <c r="U252" i="22"/>
  <c r="S365" i="22"/>
  <c r="U453" i="22"/>
  <c r="Z453" i="22" s="1"/>
  <c r="U468" i="22"/>
  <c r="P500" i="22"/>
  <c r="S532" i="22"/>
  <c r="U532" i="22" s="1"/>
  <c r="P547" i="22"/>
  <c r="P573" i="22"/>
  <c r="X573" i="22" s="1"/>
  <c r="P578" i="22"/>
  <c r="S604" i="22"/>
  <c r="U604" i="22" s="1"/>
  <c r="X604" i="22" s="1"/>
  <c r="S789" i="22"/>
  <c r="P799" i="22"/>
  <c r="P802" i="22"/>
  <c r="S813" i="22"/>
  <c r="U813" i="22" s="1"/>
  <c r="P838" i="22"/>
  <c r="S912" i="22"/>
  <c r="P912" i="22"/>
  <c r="S914" i="22"/>
  <c r="U914" i="22" s="1"/>
  <c r="P914" i="22"/>
  <c r="X923" i="22"/>
  <c r="P930" i="22"/>
  <c r="X930" i="22" s="1"/>
  <c r="S941" i="22"/>
  <c r="U941" i="22" s="1"/>
  <c r="P943" i="22"/>
  <c r="S975" i="22"/>
  <c r="U975" i="22" s="1"/>
  <c r="P975" i="22"/>
  <c r="X987" i="22"/>
  <c r="P1061" i="22"/>
  <c r="S1061" i="22"/>
  <c r="S1274" i="22"/>
  <c r="U1274" i="22" s="1"/>
  <c r="P1274" i="22"/>
  <c r="X1385" i="22"/>
  <c r="S1394" i="22"/>
  <c r="P1394" i="22"/>
  <c r="P1548" i="22"/>
  <c r="S1548" i="22"/>
  <c r="P1580" i="22"/>
  <c r="S1580" i="22"/>
  <c r="S1623" i="22"/>
  <c r="U1623" i="22" s="1"/>
  <c r="P1623" i="22"/>
  <c r="S1646" i="22"/>
  <c r="U1646" i="22" s="1"/>
  <c r="P1646" i="22"/>
  <c r="S1750" i="22"/>
  <c r="U1750" i="22" s="1"/>
  <c r="P1750" i="22"/>
  <c r="P1796" i="22"/>
  <c r="S1796" i="22"/>
  <c r="P965" i="22"/>
  <c r="S965" i="22"/>
  <c r="P1086" i="22"/>
  <c r="S1086" i="22"/>
  <c r="P1247" i="22"/>
  <c r="S1247" i="22"/>
  <c r="U1247" i="22" s="1"/>
  <c r="P1412" i="22"/>
  <c r="S1412" i="22"/>
  <c r="U1412" i="22" s="1"/>
  <c r="Z1412" i="22" s="1"/>
  <c r="S993" i="21"/>
  <c r="S1001" i="21"/>
  <c r="S1009" i="21"/>
  <c r="U1009" i="21" s="1"/>
  <c r="X1009" i="21" s="1"/>
  <c r="S1017" i="21"/>
  <c r="S1033" i="21"/>
  <c r="U70" i="22"/>
  <c r="U99" i="22"/>
  <c r="Y99" i="22" s="1"/>
  <c r="U113" i="22"/>
  <c r="X113" i="22" s="1"/>
  <c r="U120" i="22"/>
  <c r="S129" i="22"/>
  <c r="Y134" i="22"/>
  <c r="S210" i="22"/>
  <c r="U210" i="22" s="1"/>
  <c r="P293" i="22"/>
  <c r="X724" i="22"/>
  <c r="S791" i="22"/>
  <c r="U806" i="22"/>
  <c r="U826" i="22"/>
  <c r="P925" i="22"/>
  <c r="S925" i="22"/>
  <c r="U925" i="22" s="1"/>
  <c r="X925" i="22" s="1"/>
  <c r="S947" i="22"/>
  <c r="U947" i="22" s="1"/>
  <c r="Z947" i="22" s="1"/>
  <c r="P947" i="22"/>
  <c r="P1063" i="22"/>
  <c r="S1063" i="22"/>
  <c r="S1182" i="22"/>
  <c r="P1182" i="22"/>
  <c r="S1345" i="22"/>
  <c r="U1345" i="22" s="1"/>
  <c r="P1345" i="22"/>
  <c r="S1615" i="22"/>
  <c r="U1615" i="22" s="1"/>
  <c r="Z1615" i="22" s="1"/>
  <c r="P1615" i="22"/>
  <c r="S1630" i="22"/>
  <c r="U1630" i="22" s="1"/>
  <c r="Y1630" i="22" s="1"/>
  <c r="P1630" i="22"/>
  <c r="S1638" i="22"/>
  <c r="U1638" i="22" s="1"/>
  <c r="P1638" i="22"/>
  <c r="Y1685" i="22"/>
  <c r="Z1685" i="22"/>
  <c r="S1811" i="22"/>
  <c r="P1811" i="22"/>
  <c r="P927" i="22"/>
  <c r="X927" i="22" s="1"/>
  <c r="S956" i="22"/>
  <c r="P967" i="22"/>
  <c r="S971" i="22"/>
  <c r="U971" i="22" s="1"/>
  <c r="Z971" i="22" s="1"/>
  <c r="P980" i="22"/>
  <c r="P1116" i="22"/>
  <c r="P1128" i="22"/>
  <c r="X1128" i="22" s="1"/>
  <c r="P1140" i="22"/>
  <c r="X1140" i="22" s="1"/>
  <c r="S1150" i="22"/>
  <c r="U1150" i="22" s="1"/>
  <c r="Z1150" i="22" s="1"/>
  <c r="S1165" i="22"/>
  <c r="U1165" i="22" s="1"/>
  <c r="P1180" i="22"/>
  <c r="S1197" i="22"/>
  <c r="S1213" i="22"/>
  <c r="S1229" i="22"/>
  <c r="S1255" i="22"/>
  <c r="U1255" i="22" s="1"/>
  <c r="X1255" i="22" s="1"/>
  <c r="S1265" i="22"/>
  <c r="U1265" i="22" s="1"/>
  <c r="X1265" i="22" s="1"/>
  <c r="X1269" i="22"/>
  <c r="S1276" i="22"/>
  <c r="U1276" i="22" s="1"/>
  <c r="S1298" i="22"/>
  <c r="S1303" i="22"/>
  <c r="S1308" i="22"/>
  <c r="P1336" i="22"/>
  <c r="S1340" i="22"/>
  <c r="U1340" i="22" s="1"/>
  <c r="X1340" i="22" s="1"/>
  <c r="S1361" i="22"/>
  <c r="U1361" i="22" s="1"/>
  <c r="X1361" i="22" s="1"/>
  <c r="S1367" i="22"/>
  <c r="P1373" i="22"/>
  <c r="X1373" i="22" s="1"/>
  <c r="S1386" i="22"/>
  <c r="S1395" i="22"/>
  <c r="U1395" i="22" s="1"/>
  <c r="P1400" i="22"/>
  <c r="S1404" i="22"/>
  <c r="U1404" i="22" s="1"/>
  <c r="Z1404" i="22" s="1"/>
  <c r="S1410" i="22"/>
  <c r="S1419" i="22"/>
  <c r="U1419" i="22" s="1"/>
  <c r="P1424" i="22"/>
  <c r="S1428" i="22"/>
  <c r="U1428" i="22" s="1"/>
  <c r="Z1428" i="22" s="1"/>
  <c r="S1437" i="22"/>
  <c r="U1437" i="22" s="1"/>
  <c r="S1445" i="22"/>
  <c r="S1453" i="22"/>
  <c r="S1461" i="22"/>
  <c r="S1469" i="22"/>
  <c r="S1477" i="22"/>
  <c r="S1485" i="22"/>
  <c r="S1493" i="22"/>
  <c r="S1501" i="22"/>
  <c r="S1509" i="22"/>
  <c r="S1519" i="22"/>
  <c r="U1519" i="22" s="1"/>
  <c r="Z1519" i="22" s="1"/>
  <c r="S1544" i="22"/>
  <c r="U1544" i="22" s="1"/>
  <c r="S1560" i="22"/>
  <c r="U1560" i="22" s="1"/>
  <c r="S1576" i="22"/>
  <c r="U1576" i="22" s="1"/>
  <c r="S1592" i="22"/>
  <c r="U1592" i="22" s="1"/>
  <c r="P1605" i="22"/>
  <c r="P1612" i="22"/>
  <c r="X1612" i="22" s="1"/>
  <c r="P1619" i="22"/>
  <c r="S1620" i="22"/>
  <c r="U1620" i="22" s="1"/>
  <c r="P1631" i="22"/>
  <c r="P1639" i="22"/>
  <c r="P1649" i="22"/>
  <c r="X1649" i="22" s="1"/>
  <c r="P1654" i="22"/>
  <c r="X1654" i="22" s="1"/>
  <c r="P1682" i="22"/>
  <c r="S1731" i="22"/>
  <c r="U1731" i="22" s="1"/>
  <c r="S1751" i="22"/>
  <c r="U1765" i="22"/>
  <c r="Z1765" i="22" s="1"/>
  <c r="S1766" i="22"/>
  <c r="U1766" i="22" s="1"/>
  <c r="Z1766" i="22" s="1"/>
  <c r="S1770" i="22"/>
  <c r="U1770" i="22" s="1"/>
  <c r="X1770" i="22" s="1"/>
  <c r="S1780" i="22"/>
  <c r="U1780" i="22" s="1"/>
  <c r="Y1780" i="22" s="1"/>
  <c r="S1794" i="22"/>
  <c r="U1794" i="22" s="1"/>
  <c r="S1826" i="22"/>
  <c r="P1838" i="22"/>
  <c r="X1838" i="22" s="1"/>
  <c r="S1850" i="22"/>
  <c r="P1864" i="22"/>
  <c r="X1864" i="22" s="1"/>
  <c r="S1876" i="22"/>
  <c r="U1933" i="22"/>
  <c r="P1945" i="22"/>
  <c r="S2025" i="22"/>
  <c r="P2025" i="22"/>
  <c r="S2312" i="22"/>
  <c r="P2312" i="22"/>
  <c r="S2687" i="22"/>
  <c r="U2687" i="22" s="1"/>
  <c r="P2687" i="22"/>
  <c r="X59" i="23"/>
  <c r="P71" i="23"/>
  <c r="S71" i="23"/>
  <c r="U71" i="23" s="1"/>
  <c r="U85" i="23"/>
  <c r="Z85" i="23" s="1"/>
  <c r="P220" i="23"/>
  <c r="S220" i="23"/>
  <c r="U220" i="23" s="1"/>
  <c r="S244" i="23"/>
  <c r="U244" i="23" s="1"/>
  <c r="P244" i="23"/>
  <c r="S1068" i="22"/>
  <c r="S1084" i="22"/>
  <c r="S1100" i="22"/>
  <c r="S1113" i="22"/>
  <c r="U1113" i="22" s="1"/>
  <c r="X1113" i="22" s="1"/>
  <c r="S1125" i="22"/>
  <c r="U1125" i="22" s="1"/>
  <c r="S1137" i="22"/>
  <c r="U1137" i="22" s="1"/>
  <c r="X1137" i="22" s="1"/>
  <c r="S1177" i="22"/>
  <c r="U1177" i="22" s="1"/>
  <c r="S1199" i="22"/>
  <c r="S1215" i="22"/>
  <c r="S1231" i="22"/>
  <c r="S1245" i="22"/>
  <c r="U1245" i="22" s="1"/>
  <c r="X1245" i="22" s="1"/>
  <c r="S1267" i="22"/>
  <c r="U1267" i="22" s="1"/>
  <c r="X1267" i="22" s="1"/>
  <c r="S1283" i="22"/>
  <c r="S1288" i="22"/>
  <c r="S1310" i="22"/>
  <c r="S1315" i="22"/>
  <c r="S1320" i="22"/>
  <c r="S1364" i="22"/>
  <c r="U1364" i="22" s="1"/>
  <c r="X1364" i="22" s="1"/>
  <c r="S1442" i="22"/>
  <c r="S1450" i="22"/>
  <c r="S1458" i="22"/>
  <c r="S1466" i="22"/>
  <c r="S1474" i="22"/>
  <c r="S1482" i="22"/>
  <c r="S1490" i="22"/>
  <c r="S1498" i="22"/>
  <c r="S1506" i="22"/>
  <c r="S1514" i="22"/>
  <c r="S1521" i="22"/>
  <c r="U1523" i="22"/>
  <c r="Z1523" i="22" s="1"/>
  <c r="S1546" i="22"/>
  <c r="S1562" i="22"/>
  <c r="S1578" i="22"/>
  <c r="S1594" i="22"/>
  <c r="U1619" i="22"/>
  <c r="Z1619" i="22" s="1"/>
  <c r="U1631" i="22"/>
  <c r="U1684" i="22"/>
  <c r="S1747" i="22"/>
  <c r="U1747" i="22" s="1"/>
  <c r="X1747" i="22" s="1"/>
  <c r="S1776" i="22"/>
  <c r="U1776" i="22" s="1"/>
  <c r="X1801" i="22"/>
  <c r="S1833" i="22"/>
  <c r="U1945" i="22"/>
  <c r="Z1945" i="22" s="1"/>
  <c r="S2041" i="22"/>
  <c r="X2109" i="22"/>
  <c r="S2198" i="22"/>
  <c r="P2198" i="22"/>
  <c r="Z2456" i="22"/>
  <c r="X2480" i="22"/>
  <c r="P2576" i="22"/>
  <c r="S2576" i="22"/>
  <c r="U2576" i="22" s="1"/>
  <c r="S33" i="23"/>
  <c r="U33" i="23" s="1"/>
  <c r="P33" i="23"/>
  <c r="S108" i="23"/>
  <c r="U108" i="23" s="1"/>
  <c r="P108" i="23"/>
  <c r="X199" i="23"/>
  <c r="X1393" i="22"/>
  <c r="X1417" i="22"/>
  <c r="X1420" i="22"/>
  <c r="X1706" i="22"/>
  <c r="X1749" i="22"/>
  <c r="U1773" i="22"/>
  <c r="S2097" i="22"/>
  <c r="P2097" i="22"/>
  <c r="S2288" i="22"/>
  <c r="P2288" i="22"/>
  <c r="S2336" i="22"/>
  <c r="P2336" i="22"/>
  <c r="S2360" i="22"/>
  <c r="U2360" i="22" s="1"/>
  <c r="P2360" i="22"/>
  <c r="Y2661" i="22"/>
  <c r="Z2661" i="22"/>
  <c r="S84" i="23"/>
  <c r="U84" i="23" s="1"/>
  <c r="Z84" i="23" s="1"/>
  <c r="P84" i="23"/>
  <c r="X922" i="22"/>
  <c r="U1282" i="22"/>
  <c r="Y1282" i="22" s="1"/>
  <c r="X1344" i="22"/>
  <c r="U1536" i="22"/>
  <c r="U1568" i="22"/>
  <c r="U1622" i="22"/>
  <c r="Z1622" i="22" s="1"/>
  <c r="X1666" i="22"/>
  <c r="T1674" i="22"/>
  <c r="U1704" i="22"/>
  <c r="U1746" i="22"/>
  <c r="Z1838" i="22"/>
  <c r="U1973" i="22"/>
  <c r="S27" i="23"/>
  <c r="U27" i="23" s="1"/>
  <c r="P27" i="23"/>
  <c r="S55" i="23"/>
  <c r="P55" i="23"/>
  <c r="S77" i="23"/>
  <c r="U77" i="23" s="1"/>
  <c r="P77" i="23"/>
  <c r="S238" i="23"/>
  <c r="U238" i="23" s="1"/>
  <c r="P238" i="23"/>
  <c r="S278" i="23"/>
  <c r="U278" i="23" s="1"/>
  <c r="P278" i="23"/>
  <c r="S1599" i="23"/>
  <c r="U1599" i="23" s="1"/>
  <c r="P1599" i="23"/>
  <c r="P1606" i="23"/>
  <c r="S1606" i="23"/>
  <c r="U1606" i="23" s="1"/>
  <c r="S1621" i="23"/>
  <c r="U1621" i="23" s="1"/>
  <c r="P1621" i="23"/>
  <c r="X1621" i="23" s="1"/>
  <c r="S1653" i="23"/>
  <c r="U1653" i="23" s="1"/>
  <c r="Y1653" i="23" s="1"/>
  <c r="P1653" i="23"/>
  <c r="P1108" i="22"/>
  <c r="X1108" i="22" s="1"/>
  <c r="U1145" i="22"/>
  <c r="X1145" i="22" s="1"/>
  <c r="P1148" i="22"/>
  <c r="U1157" i="22"/>
  <c r="P1160" i="22"/>
  <c r="X1160" i="22" s="1"/>
  <c r="P1166" i="22"/>
  <c r="X1166" i="22" s="1"/>
  <c r="P1172" i="22"/>
  <c r="X1172" i="22" s="1"/>
  <c r="X1253" i="22"/>
  <c r="P1338" i="22"/>
  <c r="P1354" i="22"/>
  <c r="X1356" i="22"/>
  <c r="P1357" i="22"/>
  <c r="P1368" i="22"/>
  <c r="P1377" i="22"/>
  <c r="X1377" i="22" s="1"/>
  <c r="P1381" i="22"/>
  <c r="X1381" i="22" s="1"/>
  <c r="U1387" i="22"/>
  <c r="P1392" i="22"/>
  <c r="P1402" i="22"/>
  <c r="P1416" i="22"/>
  <c r="X1416" i="22" s="1"/>
  <c r="X1621" i="22"/>
  <c r="P1629" i="22"/>
  <c r="P1636" i="22"/>
  <c r="P1641" i="22"/>
  <c r="P1652" i="22"/>
  <c r="X1652" i="22" s="1"/>
  <c r="P1656" i="22"/>
  <c r="X1656" i="22" s="1"/>
  <c r="P1661" i="22"/>
  <c r="P1670" i="22"/>
  <c r="P1673" i="22"/>
  <c r="P1703" i="22"/>
  <c r="X1703" i="22" s="1"/>
  <c r="P1734" i="22"/>
  <c r="X1734" i="22" s="1"/>
  <c r="P1755" i="22"/>
  <c r="U1778" i="22"/>
  <c r="P1788" i="22"/>
  <c r="U1798" i="22"/>
  <c r="P1820" i="22"/>
  <c r="P1827" i="22"/>
  <c r="S2372" i="22"/>
  <c r="U2372" i="22" s="1"/>
  <c r="P2372" i="22"/>
  <c r="S2408" i="22"/>
  <c r="U2408" i="22" s="1"/>
  <c r="P2408" i="22"/>
  <c r="P48" i="23"/>
  <c r="S48" i="23"/>
  <c r="U48" i="23" s="1"/>
  <c r="X1126" i="22"/>
  <c r="X1138" i="22"/>
  <c r="X1178" i="22"/>
  <c r="X1279" i="22"/>
  <c r="X1401" i="22"/>
  <c r="X1425" i="22"/>
  <c r="X1632" i="22"/>
  <c r="U1636" i="22"/>
  <c r="X1781" i="22"/>
  <c r="X1814" i="22"/>
  <c r="U1937" i="22"/>
  <c r="S2264" i="22"/>
  <c r="U2264" i="22" s="1"/>
  <c r="P2264" i="22"/>
  <c r="S2420" i="22"/>
  <c r="U2420" i="22" s="1"/>
  <c r="P2420" i="22"/>
  <c r="S2564" i="22"/>
  <c r="U2564" i="22" s="1"/>
  <c r="P2564" i="22"/>
  <c r="S2666" i="22"/>
  <c r="U2666" i="22" s="1"/>
  <c r="Z2666" i="22" s="1"/>
  <c r="P2666" i="22"/>
  <c r="S32" i="23"/>
  <c r="U32" i="23" s="1"/>
  <c r="Z32" i="23" s="1"/>
  <c r="P32" i="23"/>
  <c r="S1479" i="23"/>
  <c r="U1479" i="23" s="1"/>
  <c r="Z1479" i="23" s="1"/>
  <c r="P1479" i="23"/>
  <c r="X1479" i="23" s="1"/>
  <c r="P1504" i="23"/>
  <c r="S1504" i="23"/>
  <c r="P968" i="22"/>
  <c r="P984" i="22"/>
  <c r="S1057" i="22"/>
  <c r="S1078" i="22"/>
  <c r="S1094" i="22"/>
  <c r="S1117" i="22"/>
  <c r="U1117" i="22" s="1"/>
  <c r="P1132" i="22"/>
  <c r="U1141" i="22"/>
  <c r="X1141" i="22" s="1"/>
  <c r="P1144" i="22"/>
  <c r="X1144" i="22" s="1"/>
  <c r="P1156" i="22"/>
  <c r="X1156" i="22" s="1"/>
  <c r="S1209" i="22"/>
  <c r="S1225" i="22"/>
  <c r="S1241" i="22"/>
  <c r="S1263" i="22"/>
  <c r="U1263" i="22" s="1"/>
  <c r="X1263" i="22" s="1"/>
  <c r="S1284" i="22"/>
  <c r="S1306" i="22"/>
  <c r="S1311" i="22"/>
  <c r="S1316" i="22"/>
  <c r="P1341" i="22"/>
  <c r="P1365" i="22"/>
  <c r="P1376" i="22"/>
  <c r="X1376" i="22" s="1"/>
  <c r="S1443" i="22"/>
  <c r="S1451" i="22"/>
  <c r="S1459" i="22"/>
  <c r="S1467" i="22"/>
  <c r="S1475" i="22"/>
  <c r="S1483" i="22"/>
  <c r="S1491" i="22"/>
  <c r="S1499" i="22"/>
  <c r="S1507" i="22"/>
  <c r="S1515" i="22"/>
  <c r="S1540" i="22"/>
  <c r="S1556" i="22"/>
  <c r="S1572" i="22"/>
  <c r="S1588" i="22"/>
  <c r="P1602" i="22"/>
  <c r="P1613" i="22"/>
  <c r="U1625" i="22"/>
  <c r="P1628" i="22"/>
  <c r="X1628" i="22" s="1"/>
  <c r="P1647" i="22"/>
  <c r="P1651" i="22"/>
  <c r="P1655" i="22"/>
  <c r="P1658" i="22"/>
  <c r="P1694" i="22"/>
  <c r="S1727" i="22"/>
  <c r="U1727" i="22" s="1"/>
  <c r="P1745" i="22"/>
  <c r="T1771" i="22"/>
  <c r="P1777" i="22"/>
  <c r="S1782" i="22"/>
  <c r="P1787" i="22"/>
  <c r="X1787" i="22" s="1"/>
  <c r="S1805" i="22"/>
  <c r="U1805" i="22" s="1"/>
  <c r="P1896" i="22"/>
  <c r="X1896" i="22" s="1"/>
  <c r="P2065" i="22"/>
  <c r="S2065" i="22"/>
  <c r="Y2691" i="22"/>
  <c r="Z2691" i="22"/>
  <c r="S104" i="23"/>
  <c r="U104" i="23" s="1"/>
  <c r="Y104" i="23" s="1"/>
  <c r="P104" i="23"/>
  <c r="S805" i="23"/>
  <c r="U805" i="23" s="1"/>
  <c r="Z805" i="23" s="1"/>
  <c r="P805" i="23"/>
  <c r="S922" i="23"/>
  <c r="U922" i="23" s="1"/>
  <c r="P922" i="23"/>
  <c r="P957" i="23"/>
  <c r="S957" i="23"/>
  <c r="U957" i="23" s="1"/>
  <c r="S1454" i="23"/>
  <c r="U1454" i="23" s="1"/>
  <c r="Y1454" i="23" s="1"/>
  <c r="P1454" i="23"/>
  <c r="X2661" i="22"/>
  <c r="P233" i="23"/>
  <c r="S233" i="23"/>
  <c r="P626" i="23"/>
  <c r="S626" i="23"/>
  <c r="U626" i="23" s="1"/>
  <c r="S717" i="23"/>
  <c r="P717" i="23"/>
  <c r="S759" i="23"/>
  <c r="U759" i="23" s="1"/>
  <c r="P759" i="23"/>
  <c r="P925" i="23"/>
  <c r="S925" i="23"/>
  <c r="U925" i="23" s="1"/>
  <c r="X973" i="23"/>
  <c r="S1443" i="23"/>
  <c r="U1443" i="23" s="1"/>
  <c r="P1443" i="23"/>
  <c r="S1498" i="23"/>
  <c r="U1498" i="23" s="1"/>
  <c r="Y1498" i="23" s="1"/>
  <c r="P1498" i="23"/>
  <c r="S1706" i="23"/>
  <c r="U1706" i="23" s="1"/>
  <c r="P1706" i="23"/>
  <c r="P23" i="24"/>
  <c r="S23" i="24"/>
  <c r="U2093" i="22"/>
  <c r="Y2093" i="22" s="1"/>
  <c r="S2118" i="22"/>
  <c r="U2118" i="22" s="1"/>
  <c r="W2122" i="22" s="1"/>
  <c r="P2148" i="22"/>
  <c r="X2148" i="22" s="1"/>
  <c r="S2158" i="22"/>
  <c r="S2180" i="22"/>
  <c r="U2180" i="22" s="1"/>
  <c r="Z2180" i="22" s="1"/>
  <c r="S2216" i="22"/>
  <c r="S2426" i="22"/>
  <c r="U2426" i="22" s="1"/>
  <c r="S2444" i="22"/>
  <c r="U2444" i="22" s="1"/>
  <c r="S2540" i="22"/>
  <c r="U2540" i="22" s="1"/>
  <c r="S2588" i="22"/>
  <c r="U2588" i="22" s="1"/>
  <c r="S2594" i="22"/>
  <c r="U2594" i="22" s="1"/>
  <c r="S2612" i="22"/>
  <c r="U2612" i="22" s="1"/>
  <c r="W2617" i="22" s="1"/>
  <c r="P2631" i="22"/>
  <c r="T2634" i="22"/>
  <c r="T2638" i="22"/>
  <c r="P2646" i="22"/>
  <c r="P2679" i="22"/>
  <c r="U2689" i="22"/>
  <c r="X2691" i="22"/>
  <c r="P2695" i="22"/>
  <c r="P2704" i="22"/>
  <c r="S36" i="23"/>
  <c r="U36" i="23" s="1"/>
  <c r="X36" i="23" s="1"/>
  <c r="P41" i="23"/>
  <c r="P50" i="23"/>
  <c r="X50" i="23" s="1"/>
  <c r="S57" i="23"/>
  <c r="U57" i="23" s="1"/>
  <c r="T67" i="23"/>
  <c r="S81" i="23"/>
  <c r="U81" i="23" s="1"/>
  <c r="X81" i="23" s="1"/>
  <c r="T96" i="23"/>
  <c r="S117" i="23"/>
  <c r="U117" i="23" s="1"/>
  <c r="U120" i="23"/>
  <c r="S131" i="23"/>
  <c r="U131" i="23" s="1"/>
  <c r="S134" i="23"/>
  <c r="U134" i="23" s="1"/>
  <c r="X134" i="23" s="1"/>
  <c r="S138" i="23"/>
  <c r="U138" i="23" s="1"/>
  <c r="Y138" i="23" s="1"/>
  <c r="S141" i="23"/>
  <c r="U141" i="23" s="1"/>
  <c r="W182" i="23" s="1"/>
  <c r="S144" i="23"/>
  <c r="U144" i="23" s="1"/>
  <c r="S193" i="23"/>
  <c r="U193" i="23" s="1"/>
  <c r="Z193" i="23" s="1"/>
  <c r="P200" i="23"/>
  <c r="X200" i="23" s="1"/>
  <c r="P203" i="23"/>
  <c r="S207" i="23"/>
  <c r="U207" i="23" s="1"/>
  <c r="X207" i="23" s="1"/>
  <c r="S210" i="23"/>
  <c r="U210" i="23" s="1"/>
  <c r="Y210" i="23" s="1"/>
  <c r="P212" i="23"/>
  <c r="S212" i="23"/>
  <c r="U212" i="23" s="1"/>
  <c r="Y212" i="23" s="1"/>
  <c r="S213" i="23"/>
  <c r="U213" i="23" s="1"/>
  <c r="U216" i="23"/>
  <c r="Y216" i="23" s="1"/>
  <c r="P231" i="23"/>
  <c r="X231" i="23" s="1"/>
  <c r="S243" i="23"/>
  <c r="U243" i="23" s="1"/>
  <c r="S265" i="23"/>
  <c r="P265" i="23"/>
  <c r="X290" i="23"/>
  <c r="S302" i="23"/>
  <c r="U302" i="23" s="1"/>
  <c r="P302" i="23"/>
  <c r="S365" i="23"/>
  <c r="U365" i="23" s="1"/>
  <c r="P365" i="23"/>
  <c r="P499" i="23"/>
  <c r="S499" i="23"/>
  <c r="U499" i="23" s="1"/>
  <c r="Z499" i="23" s="1"/>
  <c r="X725" i="23"/>
  <c r="P746" i="23"/>
  <c r="S746" i="23"/>
  <c r="U746" i="23" s="1"/>
  <c r="Y746" i="23" s="1"/>
  <c r="S770" i="23"/>
  <c r="U770" i="23" s="1"/>
  <c r="P770" i="23"/>
  <c r="P1056" i="23"/>
  <c r="S1056" i="23"/>
  <c r="P1088" i="23"/>
  <c r="S1088" i="23"/>
  <c r="P1120" i="23"/>
  <c r="S1120" i="23"/>
  <c r="P1152" i="23"/>
  <c r="S1152" i="23"/>
  <c r="U1152" i="23" s="1"/>
  <c r="P1184" i="23"/>
  <c r="S1184" i="23"/>
  <c r="P1216" i="23"/>
  <c r="S1216" i="23"/>
  <c r="U1216" i="23" s="1"/>
  <c r="P1248" i="23"/>
  <c r="S1248" i="23"/>
  <c r="U1248" i="23" s="1"/>
  <c r="P1280" i="23"/>
  <c r="S1280" i="23"/>
  <c r="U1280" i="23" s="1"/>
  <c r="P1312" i="23"/>
  <c r="S1312" i="23"/>
  <c r="P1344" i="23"/>
  <c r="S1344" i="23"/>
  <c r="U1344" i="23" s="1"/>
  <c r="P1376" i="23"/>
  <c r="S1376" i="23"/>
  <c r="U1376" i="23" s="1"/>
  <c r="P1408" i="23"/>
  <c r="S1408" i="23"/>
  <c r="U1408" i="23" s="1"/>
  <c r="P1440" i="23"/>
  <c r="S1440" i="23"/>
  <c r="S1583" i="23"/>
  <c r="U1583" i="23" s="1"/>
  <c r="Y1583" i="23" s="1"/>
  <c r="P1583" i="23"/>
  <c r="Y1830" i="23"/>
  <c r="Z1830" i="23"/>
  <c r="X2037" i="22"/>
  <c r="S2123" i="22"/>
  <c r="U2123" i="22" s="1"/>
  <c r="X2123" i="22" s="1"/>
  <c r="S2174" i="22"/>
  <c r="U2174" i="22" s="1"/>
  <c r="X2174" i="22" s="1"/>
  <c r="U2631" i="22"/>
  <c r="P2637" i="22"/>
  <c r="U2646" i="22"/>
  <c r="P2658" i="22"/>
  <c r="P2664" i="22"/>
  <c r="X2664" i="22" s="1"/>
  <c r="T2682" i="22"/>
  <c r="T2698" i="22"/>
  <c r="P34" i="23"/>
  <c r="X34" i="23" s="1"/>
  <c r="P35" i="23"/>
  <c r="U41" i="23"/>
  <c r="Y41" i="23" s="1"/>
  <c r="P43" i="23"/>
  <c r="X43" i="23" s="1"/>
  <c r="P46" i="23"/>
  <c r="P49" i="23"/>
  <c r="X49" i="23" s="1"/>
  <c r="U60" i="23"/>
  <c r="P63" i="23"/>
  <c r="U72" i="23"/>
  <c r="Y72" i="23" s="1"/>
  <c r="S75" i="23"/>
  <c r="U75" i="23" s="1"/>
  <c r="P79" i="23"/>
  <c r="X79" i="23" s="1"/>
  <c r="P80" i="23"/>
  <c r="P85" i="23"/>
  <c r="P88" i="23"/>
  <c r="X88" i="23" s="1"/>
  <c r="U99" i="23"/>
  <c r="X99" i="23" s="1"/>
  <c r="U109" i="23"/>
  <c r="Z109" i="23" s="1"/>
  <c r="P112" i="23"/>
  <c r="X112" i="23" s="1"/>
  <c r="S113" i="23"/>
  <c r="U113" i="23" s="1"/>
  <c r="P133" i="23"/>
  <c r="P137" i="23"/>
  <c r="X137" i="23" s="1"/>
  <c r="U150" i="23"/>
  <c r="W152" i="23" s="1"/>
  <c r="P153" i="23"/>
  <c r="W155" i="23" s="1"/>
  <c r="P175" i="23"/>
  <c r="P202" i="23"/>
  <c r="U203" i="23"/>
  <c r="Y203" i="23" s="1"/>
  <c r="P206" i="23"/>
  <c r="X206" i="23" s="1"/>
  <c r="U221" i="23"/>
  <c r="Z221" i="23" s="1"/>
  <c r="P226" i="23"/>
  <c r="X226" i="23" s="1"/>
  <c r="U233" i="23"/>
  <c r="S242" i="23"/>
  <c r="U242" i="23" s="1"/>
  <c r="P242" i="23"/>
  <c r="P252" i="23"/>
  <c r="S252" i="23"/>
  <c r="U252" i="23" s="1"/>
  <c r="S259" i="23"/>
  <c r="U259" i="23" s="1"/>
  <c r="S281" i="23"/>
  <c r="S515" i="23"/>
  <c r="U515" i="23" s="1"/>
  <c r="P515" i="23"/>
  <c r="S587" i="23"/>
  <c r="U587" i="23" s="1"/>
  <c r="Z587" i="23" s="1"/>
  <c r="P587" i="23"/>
  <c r="X829" i="23"/>
  <c r="P998" i="23"/>
  <c r="S998" i="23"/>
  <c r="U998" i="23" s="1"/>
  <c r="P1493" i="23"/>
  <c r="S1493" i="23"/>
  <c r="U1493" i="23" s="1"/>
  <c r="Z1493" i="23" s="1"/>
  <c r="S1507" i="23"/>
  <c r="U1507" i="23" s="1"/>
  <c r="P1507" i="23"/>
  <c r="S1917" i="23"/>
  <c r="P1917" i="23"/>
  <c r="S1985" i="23"/>
  <c r="U1985" i="23" s="1"/>
  <c r="P1985" i="23"/>
  <c r="S2378" i="23"/>
  <c r="U2378" i="23" s="1"/>
  <c r="P2378" i="23"/>
  <c r="S2402" i="23"/>
  <c r="U2402" i="23" s="1"/>
  <c r="Y2402" i="23" s="1"/>
  <c r="P2402" i="23"/>
  <c r="Z2480" i="23"/>
  <c r="T2692" i="22"/>
  <c r="T59" i="23"/>
  <c r="U62" i="23"/>
  <c r="U115" i="23"/>
  <c r="X204" i="23"/>
  <c r="U205" i="23"/>
  <c r="Y205" i="23" s="1"/>
  <c r="S622" i="23"/>
  <c r="U622" i="23" s="1"/>
  <c r="P622" i="23"/>
  <c r="S632" i="23"/>
  <c r="P632" i="23"/>
  <c r="P972" i="23"/>
  <c r="S972" i="23"/>
  <c r="U972" i="23" s="1"/>
  <c r="P1697" i="23"/>
  <c r="S1697" i="23"/>
  <c r="U1697" i="23" s="1"/>
  <c r="Y1774" i="23"/>
  <c r="Z1774" i="23"/>
  <c r="U2069" i="22"/>
  <c r="U2669" i="22"/>
  <c r="X2683" i="22"/>
  <c r="U52" i="23"/>
  <c r="X564" i="23"/>
  <c r="S721" i="23"/>
  <c r="U721" i="23" s="1"/>
  <c r="Z721" i="23" s="1"/>
  <c r="P721" i="23"/>
  <c r="S769" i="23"/>
  <c r="U769" i="23" s="1"/>
  <c r="Z769" i="23" s="1"/>
  <c r="P769" i="23"/>
  <c r="P812" i="23"/>
  <c r="S812" i="23"/>
  <c r="U812" i="23" s="1"/>
  <c r="Z812" i="23" s="1"/>
  <c r="P1072" i="23"/>
  <c r="S1072" i="23"/>
  <c r="U1072" i="23" s="1"/>
  <c r="P1104" i="23"/>
  <c r="S1104" i="23"/>
  <c r="P1136" i="23"/>
  <c r="S1136" i="23"/>
  <c r="U1136" i="23" s="1"/>
  <c r="P1168" i="23"/>
  <c r="S1168" i="23"/>
  <c r="P1200" i="23"/>
  <c r="S1200" i="23"/>
  <c r="U1200" i="23" s="1"/>
  <c r="P1232" i="23"/>
  <c r="S1232" i="23"/>
  <c r="P1264" i="23"/>
  <c r="S1264" i="23"/>
  <c r="P1296" i="23"/>
  <c r="S1296" i="23"/>
  <c r="P1328" i="23"/>
  <c r="S1328" i="23"/>
  <c r="U1328" i="23" s="1"/>
  <c r="P1360" i="23"/>
  <c r="S1360" i="23"/>
  <c r="P1392" i="23"/>
  <c r="S1392" i="23"/>
  <c r="P1424" i="23"/>
  <c r="S1424" i="23"/>
  <c r="S1518" i="23"/>
  <c r="U1518" i="23" s="1"/>
  <c r="P1518" i="23"/>
  <c r="S1543" i="23"/>
  <c r="U1543" i="23" s="1"/>
  <c r="P1543" i="23"/>
  <c r="S1587" i="23"/>
  <c r="U1587" i="23" s="1"/>
  <c r="P1587" i="23"/>
  <c r="S1612" i="23"/>
  <c r="U1612" i="23" s="1"/>
  <c r="Z1612" i="23" s="1"/>
  <c r="P1612" i="23"/>
  <c r="S1627" i="23"/>
  <c r="U1627" i="23" s="1"/>
  <c r="Z1627" i="23" s="1"/>
  <c r="P1627" i="23"/>
  <c r="S1644" i="23"/>
  <c r="U1644" i="23" s="1"/>
  <c r="Z1644" i="23" s="1"/>
  <c r="P1644" i="23"/>
  <c r="S1692" i="23"/>
  <c r="U1692" i="23" s="1"/>
  <c r="Y1692" i="23" s="1"/>
  <c r="P1692" i="23"/>
  <c r="T2632" i="22"/>
  <c r="P2642" i="22"/>
  <c r="P2647" i="22"/>
  <c r="X2647" i="22" s="1"/>
  <c r="P2650" i="22"/>
  <c r="T2660" i="22"/>
  <c r="T2690" i="22"/>
  <c r="P58" i="23"/>
  <c r="X58" i="23" s="1"/>
  <c r="S222" i="23"/>
  <c r="U222" i="23" s="1"/>
  <c r="Z222" i="23" s="1"/>
  <c r="P222" i="23"/>
  <c r="U287" i="23"/>
  <c r="U335" i="23"/>
  <c r="Z335" i="23" s="1"/>
  <c r="S430" i="23"/>
  <c r="U430" i="23" s="1"/>
  <c r="P430" i="23"/>
  <c r="P491" i="23"/>
  <c r="S491" i="23"/>
  <c r="U491" i="23" s="1"/>
  <c r="Z491" i="23" s="1"/>
  <c r="S547" i="23"/>
  <c r="P547" i="23"/>
  <c r="S591" i="23"/>
  <c r="U591" i="23" s="1"/>
  <c r="P591" i="23"/>
  <c r="X591" i="23" s="1"/>
  <c r="U750" i="23"/>
  <c r="Y750" i="23" s="1"/>
  <c r="P776" i="23"/>
  <c r="S776" i="23"/>
  <c r="U776" i="23" s="1"/>
  <c r="S825" i="23"/>
  <c r="U825" i="23" s="1"/>
  <c r="Y825" i="23" s="1"/>
  <c r="P825" i="23"/>
  <c r="S954" i="23"/>
  <c r="U954" i="23" s="1"/>
  <c r="P954" i="23"/>
  <c r="P1040" i="23"/>
  <c r="S1040" i="23"/>
  <c r="P1618" i="23"/>
  <c r="S1618" i="23"/>
  <c r="U1618" i="23" s="1"/>
  <c r="Y1618" i="23" s="1"/>
  <c r="P1650" i="23"/>
  <c r="S1650" i="23"/>
  <c r="U1650" i="23" s="1"/>
  <c r="Z1650" i="23" s="1"/>
  <c r="P1661" i="23"/>
  <c r="S1661" i="23"/>
  <c r="U1661" i="23" s="1"/>
  <c r="U2053" i="22"/>
  <c r="X2077" i="22"/>
  <c r="Z2168" i="22"/>
  <c r="U2246" i="22"/>
  <c r="P2282" i="22"/>
  <c r="X2282" i="22" s="1"/>
  <c r="S2570" i="22"/>
  <c r="S2618" i="22"/>
  <c r="U2618" i="22" s="1"/>
  <c r="X2618" i="22" s="1"/>
  <c r="T2635" i="22"/>
  <c r="U2642" i="22"/>
  <c r="T2647" i="22"/>
  <c r="U2650" i="22"/>
  <c r="P2680" i="22"/>
  <c r="P2684" i="22"/>
  <c r="S2690" i="22"/>
  <c r="P2696" i="22"/>
  <c r="P2700" i="22"/>
  <c r="U19" i="23"/>
  <c r="Z19" i="23" s="1"/>
  <c r="P37" i="23"/>
  <c r="T51" i="23"/>
  <c r="U73" i="23"/>
  <c r="X73" i="23" s="1"/>
  <c r="P82" i="23"/>
  <c r="S128" i="23"/>
  <c r="U128" i="23" s="1"/>
  <c r="S184" i="23"/>
  <c r="U184" i="23" s="1"/>
  <c r="U188" i="23"/>
  <c r="X188" i="23" s="1"/>
  <c r="P196" i="23"/>
  <c r="X196" i="23" s="1"/>
  <c r="P563" i="23"/>
  <c r="S563" i="23"/>
  <c r="U563" i="23" s="1"/>
  <c r="P729" i="23"/>
  <c r="S729" i="23"/>
  <c r="U729" i="23" s="1"/>
  <c r="Z1677" i="23"/>
  <c r="U219" i="23"/>
  <c r="U237" i="23"/>
  <c r="X237" i="23" s="1"/>
  <c r="P371" i="23"/>
  <c r="S377" i="23"/>
  <c r="X461" i="23"/>
  <c r="S484" i="23"/>
  <c r="U484" i="23" s="1"/>
  <c r="Y484" i="23" s="1"/>
  <c r="P487" i="23"/>
  <c r="P492" i="23"/>
  <c r="X492" i="23" s="1"/>
  <c r="P500" i="23"/>
  <c r="P507" i="23"/>
  <c r="P508" i="23"/>
  <c r="X508" i="23" s="1"/>
  <c r="P511" i="23"/>
  <c r="X511" i="23" s="1"/>
  <c r="U512" i="23"/>
  <c r="Z512" i="23" s="1"/>
  <c r="P516" i="23"/>
  <c r="X516" i="23" s="1"/>
  <c r="U567" i="23"/>
  <c r="Z567" i="23" s="1"/>
  <c r="S623" i="23"/>
  <c r="U623" i="23" s="1"/>
  <c r="Y623" i="23" s="1"/>
  <c r="U735" i="23"/>
  <c r="Z735" i="23" s="1"/>
  <c r="P749" i="23"/>
  <c r="X749" i="23" s="1"/>
  <c r="U754" i="23"/>
  <c r="Y754" i="23" s="1"/>
  <c r="U756" i="23"/>
  <c r="Z756" i="23" s="1"/>
  <c r="S760" i="23"/>
  <c r="U760" i="23" s="1"/>
  <c r="X760" i="23" s="1"/>
  <c r="T823" i="23"/>
  <c r="U826" i="23"/>
  <c r="Y826" i="23" s="1"/>
  <c r="P830" i="23"/>
  <c r="P839" i="23"/>
  <c r="X839" i="23" s="1"/>
  <c r="S885" i="23"/>
  <c r="S893" i="23"/>
  <c r="S901" i="23"/>
  <c r="U901" i="23" s="1"/>
  <c r="P918" i="23"/>
  <c r="U930" i="23"/>
  <c r="S933" i="23"/>
  <c r="U933" i="23" s="1"/>
  <c r="Y933" i="23" s="1"/>
  <c r="P950" i="23"/>
  <c r="U962" i="23"/>
  <c r="S965" i="23"/>
  <c r="U965" i="23" s="1"/>
  <c r="S978" i="23"/>
  <c r="U978" i="23" s="1"/>
  <c r="S981" i="23"/>
  <c r="U981" i="23" s="1"/>
  <c r="Y981" i="23" s="1"/>
  <c r="S989" i="23"/>
  <c r="U989" i="23" s="1"/>
  <c r="Y989" i="23" s="1"/>
  <c r="S994" i="23"/>
  <c r="U994" i="23" s="1"/>
  <c r="S1036" i="23"/>
  <c r="S1052" i="23"/>
  <c r="S1068" i="23"/>
  <c r="U1068" i="23" s="1"/>
  <c r="S1084" i="23"/>
  <c r="S1100" i="23"/>
  <c r="S1116" i="23"/>
  <c r="U1116" i="23" s="1"/>
  <c r="S1132" i="23"/>
  <c r="U1132" i="23" s="1"/>
  <c r="U1141" i="23"/>
  <c r="Z1141" i="23" s="1"/>
  <c r="S1148" i="23"/>
  <c r="U1157" i="23"/>
  <c r="Z1157" i="23" s="1"/>
  <c r="S1164" i="23"/>
  <c r="U1164" i="23" s="1"/>
  <c r="X1164" i="23" s="1"/>
  <c r="U1173" i="23"/>
  <c r="S1180" i="23"/>
  <c r="U1189" i="23"/>
  <c r="Z1189" i="23" s="1"/>
  <c r="S1196" i="23"/>
  <c r="U1196" i="23" s="1"/>
  <c r="X1196" i="23" s="1"/>
  <c r="U1205" i="23"/>
  <c r="S1212" i="23"/>
  <c r="U1221" i="23"/>
  <c r="Y1221" i="23" s="1"/>
  <c r="S1228" i="23"/>
  <c r="U1228" i="23" s="1"/>
  <c r="X1228" i="23" s="1"/>
  <c r="S1244" i="23"/>
  <c r="S1260" i="23"/>
  <c r="S1276" i="23"/>
  <c r="U1276" i="23" s="1"/>
  <c r="X1276" i="23" s="1"/>
  <c r="S1292" i="23"/>
  <c r="U1292" i="23" s="1"/>
  <c r="X1292" i="23" s="1"/>
  <c r="S1308" i="23"/>
  <c r="U1308" i="23" s="1"/>
  <c r="X1308" i="23" s="1"/>
  <c r="S1324" i="23"/>
  <c r="S1340" i="23"/>
  <c r="S1356" i="23"/>
  <c r="U1356" i="23" s="1"/>
  <c r="X1356" i="23" s="1"/>
  <c r="S1372" i="23"/>
  <c r="S1388" i="23"/>
  <c r="S1404" i="23"/>
  <c r="U1404" i="23" s="1"/>
  <c r="X1404" i="23" s="1"/>
  <c r="S1420" i="23"/>
  <c r="U1420" i="23" s="1"/>
  <c r="X1420" i="23" s="1"/>
  <c r="S1436" i="23"/>
  <c r="U1436" i="23" s="1"/>
  <c r="X1436" i="23" s="1"/>
  <c r="P1446" i="23"/>
  <c r="P1471" i="23"/>
  <c r="X1471" i="23" s="1"/>
  <c r="S1474" i="23"/>
  <c r="U1474" i="23" s="1"/>
  <c r="Y1474" i="23" s="1"/>
  <c r="S1477" i="23"/>
  <c r="U1477" i="23" s="1"/>
  <c r="X1477" i="23" s="1"/>
  <c r="S1483" i="23"/>
  <c r="U1483" i="23" s="1"/>
  <c r="S1488" i="23"/>
  <c r="U1488" i="23" s="1"/>
  <c r="X1488" i="23" s="1"/>
  <c r="U1491" i="23"/>
  <c r="X1491" i="23" s="1"/>
  <c r="P1510" i="23"/>
  <c r="P1535" i="23"/>
  <c r="S1538" i="23"/>
  <c r="U1538" i="23" s="1"/>
  <c r="Y1538" i="23" s="1"/>
  <c r="S1541" i="23"/>
  <c r="U1541" i="23" s="1"/>
  <c r="X1541" i="23" s="1"/>
  <c r="S1547" i="23"/>
  <c r="U1547" i="23" s="1"/>
  <c r="X1547" i="23" s="1"/>
  <c r="S1552" i="23"/>
  <c r="U1552" i="23" s="1"/>
  <c r="Z1552" i="23" s="1"/>
  <c r="S1561" i="23"/>
  <c r="S1580" i="23"/>
  <c r="U1580" i="23" s="1"/>
  <c r="X1580" i="23" s="1"/>
  <c r="S1600" i="23"/>
  <c r="U1600" i="23" s="1"/>
  <c r="X1600" i="23" s="1"/>
  <c r="X1602" i="23"/>
  <c r="P1603" i="23"/>
  <c r="X1603" i="23" s="1"/>
  <c r="S1610" i="23"/>
  <c r="U1610" i="23" s="1"/>
  <c r="X1610" i="23" s="1"/>
  <c r="S1615" i="23"/>
  <c r="U1615" i="23" s="1"/>
  <c r="P1615" i="23"/>
  <c r="S1616" i="23"/>
  <c r="U1616" i="23" s="1"/>
  <c r="P1633" i="23"/>
  <c r="X1633" i="23" s="1"/>
  <c r="X1638" i="23"/>
  <c r="S1642" i="23"/>
  <c r="U1642" i="23" s="1"/>
  <c r="Z1642" i="23" s="1"/>
  <c r="S1647" i="23"/>
  <c r="U1647" i="23" s="1"/>
  <c r="Y1647" i="23" s="1"/>
  <c r="P1647" i="23"/>
  <c r="X1647" i="23" s="1"/>
  <c r="S1648" i="23"/>
  <c r="U1648" i="23" s="1"/>
  <c r="Z1648" i="23" s="1"/>
  <c r="S1658" i="23"/>
  <c r="U1658" i="23" s="1"/>
  <c r="Y1658" i="23" s="1"/>
  <c r="P1658" i="23"/>
  <c r="S1659" i="23"/>
  <c r="U1659" i="23" s="1"/>
  <c r="S1669" i="23"/>
  <c r="U1669" i="23" s="1"/>
  <c r="S1683" i="23"/>
  <c r="U1683" i="23" s="1"/>
  <c r="S1711" i="23"/>
  <c r="U1711" i="23" s="1"/>
  <c r="W1713" i="23" s="1"/>
  <c r="Z1713" i="23" s="1"/>
  <c r="S1749" i="23"/>
  <c r="U1749" i="23" s="1"/>
  <c r="Z1749" i="23" s="1"/>
  <c r="P1749" i="23"/>
  <c r="S2093" i="23"/>
  <c r="U2093" i="23" s="1"/>
  <c r="P2093" i="23"/>
  <c r="S2148" i="23"/>
  <c r="U2148" i="23" s="1"/>
  <c r="W2150" i="23" s="1"/>
  <c r="P2148" i="23"/>
  <c r="S2306" i="23"/>
  <c r="U2306" i="23" s="1"/>
  <c r="Y2306" i="23" s="1"/>
  <c r="P2306" i="23"/>
  <c r="W2308" i="23" s="1"/>
  <c r="P2645" i="23"/>
  <c r="S2645" i="23"/>
  <c r="U2645" i="23" s="1"/>
  <c r="Y2652" i="23"/>
  <c r="Z2652" i="23"/>
  <c r="U218" i="23"/>
  <c r="X218" i="23" s="1"/>
  <c r="U487" i="23"/>
  <c r="S506" i="23"/>
  <c r="U506" i="23" s="1"/>
  <c r="T508" i="23"/>
  <c r="T516" i="23"/>
  <c r="S522" i="23"/>
  <c r="U522" i="23" s="1"/>
  <c r="T525" i="23"/>
  <c r="S571" i="23"/>
  <c r="U571" i="23" s="1"/>
  <c r="X571" i="23" s="1"/>
  <c r="T578" i="23"/>
  <c r="T582" i="23"/>
  <c r="S588" i="23"/>
  <c r="U588" i="23" s="1"/>
  <c r="X588" i="23" s="1"/>
  <c r="U599" i="23"/>
  <c r="Y599" i="23" s="1"/>
  <c r="X710" i="23"/>
  <c r="S744" i="23"/>
  <c r="U744" i="23" s="1"/>
  <c r="T763" i="23"/>
  <c r="S806" i="23"/>
  <c r="U806" i="23" s="1"/>
  <c r="X806" i="23" s="1"/>
  <c r="T819" i="23"/>
  <c r="S1001" i="23"/>
  <c r="U1001" i="23" s="1"/>
  <c r="S1054" i="23"/>
  <c r="U1143" i="23"/>
  <c r="U1159" i="23"/>
  <c r="Z1159" i="23" s="1"/>
  <c r="U1175" i="23"/>
  <c r="U1191" i="23"/>
  <c r="Y1191" i="23" s="1"/>
  <c r="U1207" i="23"/>
  <c r="Z1207" i="23" s="1"/>
  <c r="U1223" i="23"/>
  <c r="Z1223" i="23" s="1"/>
  <c r="U1239" i="23"/>
  <c r="Z1239" i="23" s="1"/>
  <c r="U1255" i="23"/>
  <c r="U1271" i="23"/>
  <c r="Y1271" i="23" s="1"/>
  <c r="U1287" i="23"/>
  <c r="Y1287" i="23" s="1"/>
  <c r="U1303" i="23"/>
  <c r="U1319" i="23"/>
  <c r="Z1319" i="23" s="1"/>
  <c r="U1335" i="23"/>
  <c r="Z1335" i="23" s="1"/>
  <c r="U1351" i="23"/>
  <c r="Y1351" i="23" s="1"/>
  <c r="U1367" i="23"/>
  <c r="Y1367" i="23" s="1"/>
  <c r="U1383" i="23"/>
  <c r="U1399" i="23"/>
  <c r="U1415" i="23"/>
  <c r="Z1415" i="23" s="1"/>
  <c r="U1431" i="23"/>
  <c r="U1499" i="23"/>
  <c r="Z1499" i="23" s="1"/>
  <c r="S1635" i="23"/>
  <c r="U1635" i="23" s="1"/>
  <c r="Y1635" i="23" s="1"/>
  <c r="P1635" i="23"/>
  <c r="T1670" i="23"/>
  <c r="S1780" i="23"/>
  <c r="U1780" i="23" s="1"/>
  <c r="P1780" i="23"/>
  <c r="S1853" i="23"/>
  <c r="P1853" i="23"/>
  <c r="P2654" i="23"/>
  <c r="S2654" i="23"/>
  <c r="U2654" i="23" s="1"/>
  <c r="Y2654" i="23" s="1"/>
  <c r="X2691" i="23"/>
  <c r="P20" i="24"/>
  <c r="S20" i="24"/>
  <c r="U20" i="24" s="1"/>
  <c r="Y120" i="24"/>
  <c r="X639" i="23"/>
  <c r="X728" i="23"/>
  <c r="X768" i="23"/>
  <c r="S1623" i="23"/>
  <c r="U1623" i="23" s="1"/>
  <c r="Y1623" i="23" s="1"/>
  <c r="P1623" i="23"/>
  <c r="S1655" i="23"/>
  <c r="U1655" i="23" s="1"/>
  <c r="P1655" i="23"/>
  <c r="X1655" i="23" s="1"/>
  <c r="S1766" i="23"/>
  <c r="U1766" i="23" s="1"/>
  <c r="Y1766" i="23" s="1"/>
  <c r="P1766" i="23"/>
  <c r="S2204" i="23"/>
  <c r="U2204" i="23" s="1"/>
  <c r="P2204" i="23"/>
  <c r="X2204" i="23" s="1"/>
  <c r="T505" i="23"/>
  <c r="Y511" i="23"/>
  <c r="T570" i="23"/>
  <c r="P697" i="23"/>
  <c r="X738" i="23"/>
  <c r="X821" i="23"/>
  <c r="O2714" i="23"/>
  <c r="X1594" i="23"/>
  <c r="S1611" i="23"/>
  <c r="U1611" i="23" s="1"/>
  <c r="X1611" i="23" s="1"/>
  <c r="P1611" i="23"/>
  <c r="S1643" i="23"/>
  <c r="U1643" i="23" s="1"/>
  <c r="Y1643" i="23" s="1"/>
  <c r="P1643" i="23"/>
  <c r="T1662" i="23"/>
  <c r="P1707" i="23"/>
  <c r="S1707" i="23"/>
  <c r="U1707" i="23" s="1"/>
  <c r="W1709" i="23" s="1"/>
  <c r="S1846" i="23"/>
  <c r="U1846" i="23" s="1"/>
  <c r="Z1846" i="23" s="1"/>
  <c r="P1846" i="23"/>
  <c r="S2163" i="23"/>
  <c r="P2163" i="23"/>
  <c r="S2681" i="23"/>
  <c r="U2681" i="23" s="1"/>
  <c r="Y2681" i="23" s="1"/>
  <c r="P2681" i="23"/>
  <c r="S97" i="24"/>
  <c r="U97" i="24" s="1"/>
  <c r="P97" i="24"/>
  <c r="U292" i="23"/>
  <c r="S442" i="23"/>
  <c r="U442" i="23" s="1"/>
  <c r="U463" i="23"/>
  <c r="X463" i="23" s="1"/>
  <c r="P467" i="23"/>
  <c r="X467" i="23" s="1"/>
  <c r="P489" i="23"/>
  <c r="X489" i="23" s="1"/>
  <c r="P520" i="23"/>
  <c r="P524" i="23"/>
  <c r="P537" i="23"/>
  <c r="P556" i="23"/>
  <c r="P569" i="23"/>
  <c r="P576" i="23"/>
  <c r="X576" i="23" s="1"/>
  <c r="P580" i="23"/>
  <c r="X580" i="23" s="1"/>
  <c r="P581" i="23"/>
  <c r="P624" i="23"/>
  <c r="P628" i="23"/>
  <c r="P637" i="23"/>
  <c r="P727" i="23"/>
  <c r="P731" i="23"/>
  <c r="P751" i="23"/>
  <c r="P761" i="23"/>
  <c r="X761" i="23" s="1"/>
  <c r="P762" i="23"/>
  <c r="P789" i="23"/>
  <c r="X789" i="23" s="1"/>
  <c r="P793" i="23"/>
  <c r="X793" i="23" s="1"/>
  <c r="P797" i="23"/>
  <c r="X797" i="23" s="1"/>
  <c r="P801" i="23"/>
  <c r="X801" i="23" s="1"/>
  <c r="P817" i="23"/>
  <c r="P834" i="23"/>
  <c r="P843" i="23"/>
  <c r="P851" i="23"/>
  <c r="P859" i="23"/>
  <c r="P867" i="23"/>
  <c r="P875" i="23"/>
  <c r="P883" i="23"/>
  <c r="P891" i="23"/>
  <c r="P899" i="23"/>
  <c r="P934" i="23"/>
  <c r="U946" i="23"/>
  <c r="P966" i="23"/>
  <c r="S1044" i="23"/>
  <c r="U1044" i="23" s="1"/>
  <c r="S1060" i="23"/>
  <c r="U1060" i="23" s="1"/>
  <c r="S1076" i="23"/>
  <c r="U1076" i="23" s="1"/>
  <c r="X1076" i="23" s="1"/>
  <c r="S1092" i="23"/>
  <c r="S1108" i="23"/>
  <c r="S1124" i="23"/>
  <c r="U1133" i="23"/>
  <c r="Z1133" i="23" s="1"/>
  <c r="S1140" i="23"/>
  <c r="U1140" i="23" s="1"/>
  <c r="X1140" i="23" s="1"/>
  <c r="U1149" i="23"/>
  <c r="Z1149" i="23" s="1"/>
  <c r="S1156" i="23"/>
  <c r="U1156" i="23" s="1"/>
  <c r="X1156" i="23" s="1"/>
  <c r="U1165" i="23"/>
  <c r="Z1165" i="23" s="1"/>
  <c r="S1172" i="23"/>
  <c r="U1181" i="23"/>
  <c r="S1188" i="23"/>
  <c r="U1188" i="23" s="1"/>
  <c r="X1188" i="23" s="1"/>
  <c r="U1197" i="23"/>
  <c r="Y1197" i="23" s="1"/>
  <c r="S1204" i="23"/>
  <c r="U1204" i="23" s="1"/>
  <c r="X1204" i="23" s="1"/>
  <c r="U1213" i="23"/>
  <c r="Z1213" i="23" s="1"/>
  <c r="S1220" i="23"/>
  <c r="U1220" i="23" s="1"/>
  <c r="X1220" i="23" s="1"/>
  <c r="U1229" i="23"/>
  <c r="Z1229" i="23" s="1"/>
  <c r="S1236" i="23"/>
  <c r="S1252" i="23"/>
  <c r="S1268" i="23"/>
  <c r="U1268" i="23" s="1"/>
  <c r="S1284" i="23"/>
  <c r="U1284" i="23" s="1"/>
  <c r="X1284" i="23" s="1"/>
  <c r="S1300" i="23"/>
  <c r="U1300" i="23" s="1"/>
  <c r="S1316" i="23"/>
  <c r="U1316" i="23" s="1"/>
  <c r="X1316" i="23" s="1"/>
  <c r="S1332" i="23"/>
  <c r="S1348" i="23"/>
  <c r="U1348" i="23" s="1"/>
  <c r="X1348" i="23" s="1"/>
  <c r="S1364" i="23"/>
  <c r="S1380" i="23"/>
  <c r="S1396" i="23"/>
  <c r="S1412" i="23"/>
  <c r="U1412" i="23" s="1"/>
  <c r="X1412" i="23" s="1"/>
  <c r="S1428" i="23"/>
  <c r="U1428" i="23" s="1"/>
  <c r="S1445" i="23"/>
  <c r="U1445" i="23" s="1"/>
  <c r="X1445" i="23" s="1"/>
  <c r="S1456" i="23"/>
  <c r="U1456" i="23" s="1"/>
  <c r="X1456" i="23" s="1"/>
  <c r="P1458" i="23"/>
  <c r="X1458" i="23" s="1"/>
  <c r="U1459" i="23"/>
  <c r="P1467" i="23"/>
  <c r="P1478" i="23"/>
  <c r="X1478" i="23" s="1"/>
  <c r="P1503" i="23"/>
  <c r="X1503" i="23" s="1"/>
  <c r="S1509" i="23"/>
  <c r="U1509" i="23" s="1"/>
  <c r="X1509" i="23" s="1"/>
  <c r="U1517" i="23"/>
  <c r="X1517" i="23" s="1"/>
  <c r="S1520" i="23"/>
  <c r="P1522" i="23"/>
  <c r="X1522" i="23" s="1"/>
  <c r="U1523" i="23"/>
  <c r="P1531" i="23"/>
  <c r="P1542" i="23"/>
  <c r="X1542" i="23" s="1"/>
  <c r="P1562" i="23"/>
  <c r="X1562" i="23" s="1"/>
  <c r="P1568" i="23"/>
  <c r="P1574" i="23"/>
  <c r="X1574" i="23" s="1"/>
  <c r="P1578" i="23"/>
  <c r="S1585" i="23"/>
  <c r="U1585" i="23" s="1"/>
  <c r="Y1585" i="23" s="1"/>
  <c r="P1585" i="23"/>
  <c r="S1598" i="23"/>
  <c r="U1598" i="23" s="1"/>
  <c r="X1598" i="23" s="1"/>
  <c r="P1605" i="23"/>
  <c r="X1605" i="23" s="1"/>
  <c r="P1608" i="23"/>
  <c r="X1608" i="23" s="1"/>
  <c r="P1617" i="23"/>
  <c r="S1626" i="23"/>
  <c r="U1626" i="23" s="1"/>
  <c r="Z1626" i="23" s="1"/>
  <c r="S1631" i="23"/>
  <c r="U1631" i="23" s="1"/>
  <c r="P1631" i="23"/>
  <c r="X1631" i="23" s="1"/>
  <c r="P1640" i="23"/>
  <c r="X1640" i="23" s="1"/>
  <c r="P1649" i="23"/>
  <c r="X1649" i="23" s="1"/>
  <c r="P1667" i="23"/>
  <c r="S1674" i="23"/>
  <c r="U1674" i="23" s="1"/>
  <c r="Z1674" i="23" s="1"/>
  <c r="P1674" i="23"/>
  <c r="P1695" i="23"/>
  <c r="S1695" i="23"/>
  <c r="U1695" i="23" s="1"/>
  <c r="Z1892" i="23"/>
  <c r="P1989" i="23"/>
  <c r="S1989" i="23"/>
  <c r="U1989" i="23" s="1"/>
  <c r="P2644" i="23"/>
  <c r="S2644" i="23"/>
  <c r="U2644" i="23" s="1"/>
  <c r="P237" i="24"/>
  <c r="S237" i="24"/>
  <c r="U237" i="24" s="1"/>
  <c r="U520" i="23"/>
  <c r="U537" i="23"/>
  <c r="W540" i="23" s="1"/>
  <c r="U569" i="23"/>
  <c r="U628" i="23"/>
  <c r="U731" i="23"/>
  <c r="Z731" i="23" s="1"/>
  <c r="U834" i="23"/>
  <c r="U1467" i="23"/>
  <c r="U1531" i="23"/>
  <c r="S1614" i="23"/>
  <c r="U1614" i="23" s="1"/>
  <c r="X1614" i="23" s="1"/>
  <c r="S1619" i="23"/>
  <c r="U1619" i="23" s="1"/>
  <c r="Y1619" i="23" s="1"/>
  <c r="P1619" i="23"/>
  <c r="S1646" i="23"/>
  <c r="U1646" i="23" s="1"/>
  <c r="Z1646" i="23" s="1"/>
  <c r="S1651" i="23"/>
  <c r="U1651" i="23" s="1"/>
  <c r="P1651" i="23"/>
  <c r="S1737" i="23"/>
  <c r="U1737" i="23" s="1"/>
  <c r="Z1737" i="23" s="1"/>
  <c r="P1737" i="23"/>
  <c r="S1762" i="23"/>
  <c r="U1762" i="23" s="1"/>
  <c r="P1762" i="23"/>
  <c r="S2366" i="23"/>
  <c r="P2366" i="23"/>
  <c r="P40" i="24"/>
  <c r="S40" i="24"/>
  <c r="U40" i="24" s="1"/>
  <c r="U459" i="23"/>
  <c r="Y459" i="23" s="1"/>
  <c r="Y503" i="23"/>
  <c r="T513" i="23"/>
  <c r="X686" i="23"/>
  <c r="U774" i="23"/>
  <c r="X774" i="23" s="1"/>
  <c r="U810" i="23"/>
  <c r="Y810" i="23" s="1"/>
  <c r="T827" i="23"/>
  <c r="S909" i="23"/>
  <c r="U909" i="23" s="1"/>
  <c r="Y909" i="23" s="1"/>
  <c r="P926" i="23"/>
  <c r="U938" i="23"/>
  <c r="X938" i="23" s="1"/>
  <c r="S941" i="23"/>
  <c r="U941" i="23" s="1"/>
  <c r="P958" i="23"/>
  <c r="U970" i="23"/>
  <c r="S979" i="23"/>
  <c r="U979" i="23" s="1"/>
  <c r="X979" i="23" s="1"/>
  <c r="P982" i="23"/>
  <c r="S987" i="23"/>
  <c r="U987" i="23" s="1"/>
  <c r="X987" i="23" s="1"/>
  <c r="S1032" i="23"/>
  <c r="U1032" i="23" s="1"/>
  <c r="S1048" i="23"/>
  <c r="U1048" i="23" s="1"/>
  <c r="S1064" i="23"/>
  <c r="U1064" i="23" s="1"/>
  <c r="S1080" i="23"/>
  <c r="U1080" i="23" s="1"/>
  <c r="S1096" i="23"/>
  <c r="S1112" i="23"/>
  <c r="U1112" i="23" s="1"/>
  <c r="X1112" i="23" s="1"/>
  <c r="S1128" i="23"/>
  <c r="U1128" i="23" s="1"/>
  <c r="S1144" i="23"/>
  <c r="U1144" i="23" s="1"/>
  <c r="S1160" i="23"/>
  <c r="S1176" i="23"/>
  <c r="U1176" i="23" s="1"/>
  <c r="X1176" i="23" s="1"/>
  <c r="S1192" i="23"/>
  <c r="U1192" i="23" s="1"/>
  <c r="X1192" i="23" s="1"/>
  <c r="S1208" i="23"/>
  <c r="U1208" i="23" s="1"/>
  <c r="X1208" i="23" s="1"/>
  <c r="S1224" i="23"/>
  <c r="S1240" i="23"/>
  <c r="U1240" i="23" s="1"/>
  <c r="X1240" i="23" s="1"/>
  <c r="S1256" i="23"/>
  <c r="U1256" i="23" s="1"/>
  <c r="S1272" i="23"/>
  <c r="S1288" i="23"/>
  <c r="U1288" i="23" s="1"/>
  <c r="X1288" i="23" s="1"/>
  <c r="S1304" i="23"/>
  <c r="U1304" i="23" s="1"/>
  <c r="S1320" i="23"/>
  <c r="U1320" i="23" s="1"/>
  <c r="S1336" i="23"/>
  <c r="U1336" i="23" s="1"/>
  <c r="S1352" i="23"/>
  <c r="S1368" i="23"/>
  <c r="U1368" i="23" s="1"/>
  <c r="X1368" i="23" s="1"/>
  <c r="S1384" i="23"/>
  <c r="U1384" i="23" s="1"/>
  <c r="U1393" i="23"/>
  <c r="Z1393" i="23" s="1"/>
  <c r="S1400" i="23"/>
  <c r="U1400" i="23" s="1"/>
  <c r="U1409" i="23"/>
  <c r="S1416" i="23"/>
  <c r="U1425" i="23"/>
  <c r="Y1425" i="23" s="1"/>
  <c r="S1432" i="23"/>
  <c r="P1455" i="23"/>
  <c r="X1455" i="23" s="1"/>
  <c r="S1461" i="23"/>
  <c r="U1461" i="23" s="1"/>
  <c r="S1472" i="23"/>
  <c r="U1472" i="23" s="1"/>
  <c r="U1475" i="23"/>
  <c r="P1494" i="23"/>
  <c r="X1494" i="23" s="1"/>
  <c r="P1519" i="23"/>
  <c r="X1519" i="23" s="1"/>
  <c r="S1525" i="23"/>
  <c r="U1525" i="23" s="1"/>
  <c r="Z1525" i="23" s="1"/>
  <c r="S1536" i="23"/>
  <c r="U1536" i="23" s="1"/>
  <c r="U1539" i="23"/>
  <c r="S1553" i="23"/>
  <c r="S1577" i="23"/>
  <c r="U1577" i="23" s="1"/>
  <c r="P1577" i="23"/>
  <c r="P1597" i="23"/>
  <c r="P1625" i="23"/>
  <c r="X1630" i="23"/>
  <c r="S1634" i="23"/>
  <c r="U1634" i="23" s="1"/>
  <c r="Z1634" i="23" s="1"/>
  <c r="S1639" i="23"/>
  <c r="U1639" i="23" s="1"/>
  <c r="Y1639" i="23" s="1"/>
  <c r="P1639" i="23"/>
  <c r="S1666" i="23"/>
  <c r="U1666" i="23" s="1"/>
  <c r="Z1666" i="23" s="1"/>
  <c r="P1666" i="23"/>
  <c r="T1678" i="23"/>
  <c r="S1693" i="23"/>
  <c r="U1693" i="23" s="1"/>
  <c r="Z1693" i="23" s="1"/>
  <c r="S2029" i="23"/>
  <c r="U2029" i="23" s="1"/>
  <c r="P2029" i="23"/>
  <c r="P2097" i="23"/>
  <c r="S2097" i="23"/>
  <c r="U2097" i="23" s="1"/>
  <c r="Z2097" i="23" s="1"/>
  <c r="S2528" i="23"/>
  <c r="U2528" i="23" s="1"/>
  <c r="Z2528" i="23" s="1"/>
  <c r="P2528" i="23"/>
  <c r="S217" i="24"/>
  <c r="U217" i="24" s="1"/>
  <c r="Z217" i="24" s="1"/>
  <c r="P217" i="24"/>
  <c r="P1682" i="23"/>
  <c r="X1682" i="23" s="1"/>
  <c r="P1694" i="23"/>
  <c r="X1694" i="23" s="1"/>
  <c r="S1703" i="23"/>
  <c r="U1703" i="23" s="1"/>
  <c r="X1703" i="23" s="1"/>
  <c r="S1727" i="23"/>
  <c r="U1732" i="23"/>
  <c r="Z1732" i="23" s="1"/>
  <c r="S1735" i="23"/>
  <c r="P1747" i="23"/>
  <c r="X1747" i="23" s="1"/>
  <c r="S1756" i="23"/>
  <c r="U1756" i="23" s="1"/>
  <c r="T1767" i="23"/>
  <c r="U1770" i="23"/>
  <c r="X1770" i="23" s="1"/>
  <c r="T1774" i="23"/>
  <c r="S1775" i="23"/>
  <c r="U1775" i="23" s="1"/>
  <c r="P1789" i="23"/>
  <c r="S1792" i="23"/>
  <c r="U1792" i="23" s="1"/>
  <c r="X1792" i="23" s="1"/>
  <c r="S1793" i="23"/>
  <c r="U1793" i="23" s="1"/>
  <c r="X1793" i="23" s="1"/>
  <c r="S1794" i="23"/>
  <c r="U1794" i="23" s="1"/>
  <c r="S1800" i="23"/>
  <c r="U1800" i="23" s="1"/>
  <c r="S1801" i="23"/>
  <c r="U1801" i="23" s="1"/>
  <c r="Y1801" i="23" s="1"/>
  <c r="P1833" i="23"/>
  <c r="S1838" i="23"/>
  <c r="U1838" i="23" s="1"/>
  <c r="U1872" i="23"/>
  <c r="Y1872" i="23" s="1"/>
  <c r="P1884" i="23"/>
  <c r="X1884" i="23" s="1"/>
  <c r="S1921" i="23"/>
  <c r="U1921" i="23" s="1"/>
  <c r="Z1921" i="23" s="1"/>
  <c r="S1925" i="23"/>
  <c r="U1925" i="23" s="1"/>
  <c r="W1926" i="23" s="1"/>
  <c r="U1945" i="23"/>
  <c r="X1973" i="23"/>
  <c r="U1993" i="23"/>
  <c r="Z1993" i="23" s="1"/>
  <c r="S2001" i="23"/>
  <c r="U2001" i="23" s="1"/>
  <c r="S2005" i="23"/>
  <c r="U2005" i="23" s="1"/>
  <c r="X2005" i="23" s="1"/>
  <c r="P2013" i="23"/>
  <c r="X2049" i="23"/>
  <c r="U2061" i="23"/>
  <c r="X2061" i="23" s="1"/>
  <c r="S2065" i="23"/>
  <c r="U2065" i="23" s="1"/>
  <c r="S2153" i="23"/>
  <c r="U2153" i="23" s="1"/>
  <c r="X2153" i="23" s="1"/>
  <c r="S2294" i="23"/>
  <c r="U2294" i="23" s="1"/>
  <c r="W2298" i="23" s="1"/>
  <c r="U2330" i="23"/>
  <c r="S2342" i="23"/>
  <c r="U2342" i="23" s="1"/>
  <c r="X2342" i="23" s="1"/>
  <c r="S2438" i="23"/>
  <c r="U2438" i="23" s="1"/>
  <c r="W2439" i="23" s="1"/>
  <c r="S2639" i="23"/>
  <c r="U2639" i="23" s="1"/>
  <c r="X2647" i="23"/>
  <c r="P2660" i="23"/>
  <c r="X2660" i="23" s="1"/>
  <c r="T2679" i="23"/>
  <c r="S2682" i="23"/>
  <c r="U2682" i="23" s="1"/>
  <c r="S2685" i="23"/>
  <c r="U2685" i="23" s="1"/>
  <c r="Z2685" i="23" s="1"/>
  <c r="T2691" i="23"/>
  <c r="P2693" i="23"/>
  <c r="S2693" i="23"/>
  <c r="U2693" i="23" s="1"/>
  <c r="Z2693" i="23" s="1"/>
  <c r="P2694" i="23"/>
  <c r="P2705" i="23"/>
  <c r="X2705" i="23" s="1"/>
  <c r="S38" i="24"/>
  <c r="U38" i="24" s="1"/>
  <c r="X38" i="24" s="1"/>
  <c r="P45" i="24"/>
  <c r="S45" i="24"/>
  <c r="U45" i="24" s="1"/>
  <c r="Y45" i="24" s="1"/>
  <c r="S50" i="24"/>
  <c r="U50" i="24" s="1"/>
  <c r="P50" i="24"/>
  <c r="X92" i="24"/>
  <c r="X100" i="24"/>
  <c r="S112" i="24"/>
  <c r="U112" i="24" s="1"/>
  <c r="Y112" i="24" s="1"/>
  <c r="P112" i="24"/>
  <c r="S251" i="24"/>
  <c r="U251" i="24" s="1"/>
  <c r="P251" i="24"/>
  <c r="Y290" i="24"/>
  <c r="W292" i="24"/>
  <c r="Y970" i="24"/>
  <c r="Z970" i="24"/>
  <c r="U1663" i="23"/>
  <c r="U1671" i="23"/>
  <c r="U1679" i="23"/>
  <c r="Z1679" i="23" s="1"/>
  <c r="U1687" i="23"/>
  <c r="Z1687" i="23" s="1"/>
  <c r="S1704" i="23"/>
  <c r="U1704" i="23" s="1"/>
  <c r="S1723" i="23"/>
  <c r="U1723" i="23" s="1"/>
  <c r="Y1723" i="23" s="1"/>
  <c r="S1767" i="23"/>
  <c r="U1767" i="23" s="1"/>
  <c r="X1767" i="23" s="1"/>
  <c r="S1786" i="23"/>
  <c r="U2009" i="23"/>
  <c r="Z2009" i="23" s="1"/>
  <c r="U2013" i="23"/>
  <c r="Z2013" i="23" s="1"/>
  <c r="S2021" i="23"/>
  <c r="U2021" i="23" s="1"/>
  <c r="P2638" i="23"/>
  <c r="S2638" i="23"/>
  <c r="U2638" i="23" s="1"/>
  <c r="T2645" i="23"/>
  <c r="S2659" i="23"/>
  <c r="U2659" i="23" s="1"/>
  <c r="P2659" i="23"/>
  <c r="X2659" i="23" s="1"/>
  <c r="S2663" i="23"/>
  <c r="U2663" i="23" s="1"/>
  <c r="S24" i="24"/>
  <c r="U24" i="24" s="1"/>
  <c r="X24" i="24" s="1"/>
  <c r="T54" i="24"/>
  <c r="S65" i="24"/>
  <c r="U65" i="24" s="1"/>
  <c r="P65" i="24"/>
  <c r="S77" i="24"/>
  <c r="U77" i="24" s="1"/>
  <c r="P77" i="24"/>
  <c r="P137" i="24"/>
  <c r="S137" i="24"/>
  <c r="U137" i="24" s="1"/>
  <c r="Z137" i="24" s="1"/>
  <c r="S200" i="24"/>
  <c r="U200" i="24" s="1"/>
  <c r="P200" i="24"/>
  <c r="P278" i="24"/>
  <c r="S278" i="24"/>
  <c r="U278" i="24" s="1"/>
  <c r="Y908" i="24"/>
  <c r="Z908" i="24"/>
  <c r="X2045" i="23"/>
  <c r="U2163" i="23"/>
  <c r="Z2163" i="23" s="1"/>
  <c r="T2657" i="23"/>
  <c r="P2673" i="23"/>
  <c r="S2673" i="23"/>
  <c r="U2673" i="23" s="1"/>
  <c r="S2678" i="23"/>
  <c r="U2678" i="23" s="1"/>
  <c r="P2678" i="23"/>
  <c r="T2687" i="23"/>
  <c r="P53" i="24"/>
  <c r="S53" i="24"/>
  <c r="U53" i="24" s="1"/>
  <c r="Y53" i="24" s="1"/>
  <c r="P210" i="24"/>
  <c r="S210" i="24"/>
  <c r="U210" i="24" s="1"/>
  <c r="Z253" i="24"/>
  <c r="Y253" i="24"/>
  <c r="W1877" i="23"/>
  <c r="Z1877" i="23" s="1"/>
  <c r="W2566" i="23"/>
  <c r="Z2566" i="23" s="1"/>
  <c r="P2631" i="23"/>
  <c r="S2631" i="23"/>
  <c r="U2631" i="23" s="1"/>
  <c r="Z2631" i="23" s="1"/>
  <c r="U114" i="24"/>
  <c r="X120" i="24"/>
  <c r="S123" i="24"/>
  <c r="U123" i="24" s="1"/>
  <c r="P123" i="24"/>
  <c r="S134" i="24"/>
  <c r="P134" i="24"/>
  <c r="S206" i="24"/>
  <c r="U206" i="24" s="1"/>
  <c r="P206" i="24"/>
  <c r="S250" i="24"/>
  <c r="U250" i="24" s="1"/>
  <c r="P250" i="24"/>
  <c r="S301" i="24"/>
  <c r="P301" i="24"/>
  <c r="S824" i="24"/>
  <c r="U824" i="24" s="1"/>
  <c r="P824" i="24"/>
  <c r="S857" i="24"/>
  <c r="U857" i="24" s="1"/>
  <c r="P857" i="24"/>
  <c r="Y882" i="24"/>
  <c r="Z882" i="24"/>
  <c r="P1719" i="23"/>
  <c r="X1719" i="23" s="1"/>
  <c r="P1733" i="23"/>
  <c r="P1751" i="23"/>
  <c r="P1754" i="23"/>
  <c r="X1754" i="23" s="1"/>
  <c r="P1757" i="23"/>
  <c r="X1757" i="23" s="1"/>
  <c r="P1764" i="23"/>
  <c r="P1779" i="23"/>
  <c r="P1795" i="23"/>
  <c r="P1820" i="23"/>
  <c r="P1826" i="23"/>
  <c r="P1829" i="23"/>
  <c r="P1830" i="23"/>
  <c r="X1830" i="23" s="1"/>
  <c r="P1831" i="23"/>
  <c r="Z1876" i="23"/>
  <c r="P2077" i="23"/>
  <c r="P2109" i="23"/>
  <c r="P2480" i="23"/>
  <c r="W2482" i="23" s="1"/>
  <c r="Z2482" i="23" s="1"/>
  <c r="P2646" i="23"/>
  <c r="S2646" i="23"/>
  <c r="U2646" i="23" s="1"/>
  <c r="P2652" i="23"/>
  <c r="X2652" i="23" s="1"/>
  <c r="P2667" i="23"/>
  <c r="S2667" i="23"/>
  <c r="U2667" i="23" s="1"/>
  <c r="Z2667" i="23" s="1"/>
  <c r="S2686" i="23"/>
  <c r="U2686" i="23" s="1"/>
  <c r="P2686" i="23"/>
  <c r="S21" i="24"/>
  <c r="U21" i="24" s="1"/>
  <c r="P21" i="24"/>
  <c r="S74" i="24"/>
  <c r="P74" i="24"/>
  <c r="Y202" i="24"/>
  <c r="Z202" i="24"/>
  <c r="Y371" i="24"/>
  <c r="Z371" i="24"/>
  <c r="S811" i="24"/>
  <c r="U811" i="24" s="1"/>
  <c r="P811" i="24"/>
  <c r="U1764" i="23"/>
  <c r="P1771" i="23"/>
  <c r="U1779" i="23"/>
  <c r="U1820" i="23"/>
  <c r="X1820" i="23" s="1"/>
  <c r="U1831" i="23"/>
  <c r="P1839" i="23"/>
  <c r="P1949" i="23"/>
  <c r="P1981" i="23"/>
  <c r="U2077" i="23"/>
  <c r="S2081" i="23"/>
  <c r="U2081" i="23" s="1"/>
  <c r="P2105" i="23"/>
  <c r="X2105" i="23" s="1"/>
  <c r="U2109" i="23"/>
  <c r="P2123" i="23"/>
  <c r="U2158" i="23"/>
  <c r="Z2158" i="23" s="1"/>
  <c r="S2210" i="23"/>
  <c r="U2210" i="23" s="1"/>
  <c r="W2211" i="23" s="1"/>
  <c r="S2474" i="23"/>
  <c r="U2474" i="23" s="1"/>
  <c r="X2474" i="23" s="1"/>
  <c r="P2552" i="23"/>
  <c r="P2640" i="23"/>
  <c r="S2651" i="23"/>
  <c r="U2651" i="23" s="1"/>
  <c r="P2651" i="23"/>
  <c r="S2653" i="23"/>
  <c r="U2653" i="23" s="1"/>
  <c r="P2683" i="23"/>
  <c r="X2683" i="23" s="1"/>
  <c r="U2692" i="23"/>
  <c r="X2692" i="23" s="1"/>
  <c r="P2697" i="23"/>
  <c r="X2697" i="23" s="1"/>
  <c r="S28" i="24"/>
  <c r="U28" i="24" s="1"/>
  <c r="X28" i="24" s="1"/>
  <c r="S70" i="24"/>
  <c r="U70" i="24" s="1"/>
  <c r="X70" i="24" s="1"/>
  <c r="X81" i="24"/>
  <c r="S83" i="24"/>
  <c r="U83" i="24" s="1"/>
  <c r="P83" i="24"/>
  <c r="Y91" i="24"/>
  <c r="Z226" i="24"/>
  <c r="P252" i="24"/>
  <c r="S252" i="24"/>
  <c r="U252" i="24" s="1"/>
  <c r="Z462" i="24"/>
  <c r="T1675" i="23"/>
  <c r="T1683" i="23"/>
  <c r="U1730" i="23"/>
  <c r="Z1730" i="23" s="1"/>
  <c r="P1778" i="23"/>
  <c r="X1778" i="23" s="1"/>
  <c r="T1782" i="23"/>
  <c r="U1839" i="23"/>
  <c r="Y1839" i="23" s="1"/>
  <c r="U1888" i="23"/>
  <c r="W1891" i="23" s="1"/>
  <c r="U1929" i="23"/>
  <c r="P1965" i="23"/>
  <c r="S2264" i="23"/>
  <c r="U2264" i="23" s="1"/>
  <c r="Y2264" i="23" s="1"/>
  <c r="S2354" i="23"/>
  <c r="U2354" i="23" s="1"/>
  <c r="X2354" i="23" s="1"/>
  <c r="P2360" i="23"/>
  <c r="W2363" i="23" s="1"/>
  <c r="P2576" i="23"/>
  <c r="P2588" i="23"/>
  <c r="P2600" i="23"/>
  <c r="P2612" i="23"/>
  <c r="P2624" i="23"/>
  <c r="U2637" i="23"/>
  <c r="X2637" i="23" s="1"/>
  <c r="P2664" i="23"/>
  <c r="T2683" i="23"/>
  <c r="Z2698" i="23"/>
  <c r="S60" i="24"/>
  <c r="S72" i="24"/>
  <c r="Y99" i="24"/>
  <c r="Z99" i="24"/>
  <c r="S275" i="24"/>
  <c r="U275" i="24" s="1"/>
  <c r="P275" i="24"/>
  <c r="P468" i="24"/>
  <c r="S468" i="24"/>
  <c r="X153" i="24"/>
  <c r="P463" i="24"/>
  <c r="S463" i="24"/>
  <c r="U463" i="24" s="1"/>
  <c r="Z463" i="24" s="1"/>
  <c r="Y589" i="24"/>
  <c r="Z589" i="24"/>
  <c r="S631" i="24"/>
  <c r="P631" i="24"/>
  <c r="S750" i="24"/>
  <c r="P750" i="24"/>
  <c r="Z776" i="24"/>
  <c r="Y776" i="24"/>
  <c r="P833" i="24"/>
  <c r="S833" i="24"/>
  <c r="U833" i="24" s="1"/>
  <c r="S843" i="24"/>
  <c r="U843" i="24" s="1"/>
  <c r="P843" i="24"/>
  <c r="X843" i="24" s="1"/>
  <c r="S899" i="24"/>
  <c r="U899" i="24" s="1"/>
  <c r="P899" i="24"/>
  <c r="Y912" i="24"/>
  <c r="Y940" i="24"/>
  <c r="Z940" i="24"/>
  <c r="P944" i="24"/>
  <c r="S944" i="24"/>
  <c r="U944" i="24" s="1"/>
  <c r="Y956" i="24"/>
  <c r="Z956" i="24"/>
  <c r="T2649" i="23"/>
  <c r="T2661" i="23"/>
  <c r="U2694" i="23"/>
  <c r="X2694" i="23" s="1"/>
  <c r="S2701" i="23"/>
  <c r="U2701" i="23" s="1"/>
  <c r="S25" i="24"/>
  <c r="U25" i="24" s="1"/>
  <c r="T46" i="24"/>
  <c r="U49" i="24"/>
  <c r="S61" i="24"/>
  <c r="U61" i="24" s="1"/>
  <c r="Y61" i="24" s="1"/>
  <c r="U105" i="24"/>
  <c r="X105" i="24" s="1"/>
  <c r="S138" i="24"/>
  <c r="U138" i="24" s="1"/>
  <c r="U186" i="24"/>
  <c r="Z186" i="24" s="1"/>
  <c r="T210" i="24"/>
  <c r="S211" i="24"/>
  <c r="U211" i="24" s="1"/>
  <c r="X211" i="24" s="1"/>
  <c r="P234" i="24"/>
  <c r="S238" i="24"/>
  <c r="U238" i="24" s="1"/>
  <c r="X238" i="24" s="1"/>
  <c r="X249" i="24"/>
  <c r="S281" i="24"/>
  <c r="U281" i="24" s="1"/>
  <c r="X290" i="24"/>
  <c r="P352" i="24"/>
  <c r="S352" i="24"/>
  <c r="U352" i="24" s="1"/>
  <c r="X639" i="24"/>
  <c r="S806" i="24"/>
  <c r="U806" i="24" s="1"/>
  <c r="P806" i="24"/>
  <c r="S829" i="24"/>
  <c r="P829" i="24"/>
  <c r="S916" i="24"/>
  <c r="U916" i="24" s="1"/>
  <c r="P916" i="24"/>
  <c r="S1012" i="24"/>
  <c r="P1012" i="24"/>
  <c r="P1014" i="24"/>
  <c r="S1014" i="24"/>
  <c r="U1014" i="24" s="1"/>
  <c r="T2641" i="23"/>
  <c r="T2653" i="23"/>
  <c r="X2675" i="23"/>
  <c r="U2688" i="23"/>
  <c r="Z2688" i="23" s="1"/>
  <c r="X129" i="24"/>
  <c r="P144" i="24"/>
  <c r="P167" i="24"/>
  <c r="T203" i="24"/>
  <c r="P216" i="24"/>
  <c r="X216" i="24" s="1"/>
  <c r="T217" i="24"/>
  <c r="X226" i="24"/>
  <c r="P287" i="24"/>
  <c r="P371" i="24"/>
  <c r="X371" i="24" s="1"/>
  <c r="S458" i="24"/>
  <c r="U458" i="24" s="1"/>
  <c r="Z458" i="24" s="1"/>
  <c r="P458" i="24"/>
  <c r="S731" i="24"/>
  <c r="U731" i="24" s="1"/>
  <c r="P731" i="24"/>
  <c r="S870" i="24"/>
  <c r="U870" i="24" s="1"/>
  <c r="P870" i="24"/>
  <c r="Y872" i="24"/>
  <c r="Z872" i="24"/>
  <c r="S875" i="24"/>
  <c r="U875" i="24" s="1"/>
  <c r="Z875" i="24" s="1"/>
  <c r="P875" i="24"/>
  <c r="Y886" i="24"/>
  <c r="Z886" i="24"/>
  <c r="S894" i="24"/>
  <c r="U894" i="24" s="1"/>
  <c r="P894" i="24"/>
  <c r="X896" i="24"/>
  <c r="Y920" i="24"/>
  <c r="Z920" i="24"/>
  <c r="X940" i="24"/>
  <c r="Y954" i="24"/>
  <c r="Z954" i="24"/>
  <c r="S967" i="24"/>
  <c r="U967" i="24" s="1"/>
  <c r="P967" i="24"/>
  <c r="S1259" i="24"/>
  <c r="U1259" i="24" s="1"/>
  <c r="Z1259" i="24" s="1"/>
  <c r="P1259" i="24"/>
  <c r="U144" i="24"/>
  <c r="W145" i="24" s="1"/>
  <c r="U167" i="24"/>
  <c r="T202" i="24"/>
  <c r="S203" i="24"/>
  <c r="U203" i="24" s="1"/>
  <c r="X203" i="24" s="1"/>
  <c r="S242" i="24"/>
  <c r="U242" i="24" s="1"/>
  <c r="X242" i="24" s="1"/>
  <c r="S246" i="24"/>
  <c r="U246" i="24" s="1"/>
  <c r="P424" i="24"/>
  <c r="S424" i="24"/>
  <c r="U424" i="24" s="1"/>
  <c r="P551" i="24"/>
  <c r="S551" i="24"/>
  <c r="U551" i="24" s="1"/>
  <c r="S588" i="24"/>
  <c r="U588" i="24" s="1"/>
  <c r="Z588" i="24" s="1"/>
  <c r="P588" i="24"/>
  <c r="S644" i="24"/>
  <c r="P644" i="24"/>
  <c r="Y820" i="24"/>
  <c r="Z820" i="24"/>
  <c r="S823" i="24"/>
  <c r="U823" i="24" s="1"/>
  <c r="Y823" i="24" s="1"/>
  <c r="P823" i="24"/>
  <c r="S848" i="24"/>
  <c r="U848" i="24" s="1"/>
  <c r="P848" i="24"/>
  <c r="S853" i="24"/>
  <c r="U853" i="24" s="1"/>
  <c r="P853" i="24"/>
  <c r="Y892" i="24"/>
  <c r="Z892" i="24"/>
  <c r="Y934" i="24"/>
  <c r="Z934" i="24"/>
  <c r="T209" i="24"/>
  <c r="P329" i="24"/>
  <c r="S329" i="24"/>
  <c r="P493" i="24"/>
  <c r="S493" i="24"/>
  <c r="U493" i="24" s="1"/>
  <c r="X493" i="24" s="1"/>
  <c r="P508" i="24"/>
  <c r="S508" i="24"/>
  <c r="U508" i="24" s="1"/>
  <c r="P585" i="24"/>
  <c r="S585" i="24"/>
  <c r="U585" i="24" s="1"/>
  <c r="Y880" i="24"/>
  <c r="Z880" i="24"/>
  <c r="S898" i="24"/>
  <c r="U898" i="24" s="1"/>
  <c r="P898" i="24"/>
  <c r="Y900" i="24"/>
  <c r="Z900" i="24"/>
  <c r="S903" i="24"/>
  <c r="U903" i="24" s="1"/>
  <c r="P903" i="24"/>
  <c r="X903" i="24" s="1"/>
  <c r="Y918" i="24"/>
  <c r="Z918" i="24"/>
  <c r="Y948" i="24"/>
  <c r="Z948" i="24"/>
  <c r="P1078" i="24"/>
  <c r="S1078" i="24"/>
  <c r="U1078" i="24" s="1"/>
  <c r="P1081" i="24"/>
  <c r="S1081" i="24"/>
  <c r="P58" i="24"/>
  <c r="P85" i="24"/>
  <c r="P103" i="24"/>
  <c r="P196" i="24"/>
  <c r="P215" i="24"/>
  <c r="P222" i="24"/>
  <c r="P231" i="24"/>
  <c r="P448" i="24"/>
  <c r="S477" i="24"/>
  <c r="U477" i="24" s="1"/>
  <c r="P477" i="24"/>
  <c r="P484" i="24"/>
  <c r="P499" i="24"/>
  <c r="S559" i="24"/>
  <c r="U559" i="24" s="1"/>
  <c r="P559" i="24"/>
  <c r="Y779" i="24"/>
  <c r="Z779" i="24"/>
  <c r="Y890" i="24"/>
  <c r="Z890" i="24"/>
  <c r="Y896" i="24"/>
  <c r="Z896" i="24"/>
  <c r="Y910" i="24"/>
  <c r="Z910" i="24"/>
  <c r="S917" i="24"/>
  <c r="U917" i="24" s="1"/>
  <c r="P917" i="24"/>
  <c r="X917" i="24" s="1"/>
  <c r="Y924" i="24"/>
  <c r="Z924" i="24"/>
  <c r="Y952" i="24"/>
  <c r="Z952" i="24"/>
  <c r="S987" i="24"/>
  <c r="U987" i="24" s="1"/>
  <c r="P987" i="24"/>
  <c r="T55" i="24"/>
  <c r="U58" i="24"/>
  <c r="U85" i="24"/>
  <c r="P95" i="24"/>
  <c r="X95" i="24" s="1"/>
  <c r="U121" i="24"/>
  <c r="S171" i="24"/>
  <c r="U171" i="24" s="1"/>
  <c r="W172" i="24" s="1"/>
  <c r="U196" i="24"/>
  <c r="T219" i="24"/>
  <c r="U222" i="24"/>
  <c r="P244" i="24"/>
  <c r="X244" i="24" s="1"/>
  <c r="S277" i="24"/>
  <c r="S293" i="24"/>
  <c r="U293" i="24" s="1"/>
  <c r="P311" i="24"/>
  <c r="X311" i="24" s="1"/>
  <c r="P322" i="24"/>
  <c r="S365" i="24"/>
  <c r="P365" i="24"/>
  <c r="Y407" i="24"/>
  <c r="Z407" i="24"/>
  <c r="P469" i="24"/>
  <c r="X469" i="24" s="1"/>
  <c r="S490" i="24"/>
  <c r="P490" i="24"/>
  <c r="S871" i="24"/>
  <c r="U871" i="24" s="1"/>
  <c r="P871" i="24"/>
  <c r="Y876" i="24"/>
  <c r="Z876" i="24"/>
  <c r="S884" i="24"/>
  <c r="U884" i="24" s="1"/>
  <c r="P884" i="24"/>
  <c r="Z888" i="24"/>
  <c r="Y932" i="24"/>
  <c r="Z932" i="24"/>
  <c r="S966" i="24"/>
  <c r="U966" i="24" s="1"/>
  <c r="P966" i="24"/>
  <c r="Y968" i="24"/>
  <c r="Z968" i="24"/>
  <c r="P982" i="24"/>
  <c r="S982" i="24"/>
  <c r="U982" i="24" s="1"/>
  <c r="P470" i="24"/>
  <c r="X470" i="24" s="1"/>
  <c r="P488" i="24"/>
  <c r="X488" i="24" s="1"/>
  <c r="Z513" i="24"/>
  <c r="P521" i="24"/>
  <c r="X521" i="24" s="1"/>
  <c r="P529" i="24"/>
  <c r="X529" i="24" s="1"/>
  <c r="U530" i="24"/>
  <c r="Y530" i="24" s="1"/>
  <c r="T563" i="24"/>
  <c r="U566" i="24"/>
  <c r="P569" i="24"/>
  <c r="P579" i="24"/>
  <c r="X579" i="24" s="1"/>
  <c r="P582" i="24"/>
  <c r="S593" i="24"/>
  <c r="U593" i="24" s="1"/>
  <c r="U599" i="24"/>
  <c r="X599" i="24" s="1"/>
  <c r="P602" i="24"/>
  <c r="P613" i="24"/>
  <c r="P623" i="24"/>
  <c r="S628" i="24"/>
  <c r="U628" i="24" s="1"/>
  <c r="X628" i="24" s="1"/>
  <c r="S722" i="24"/>
  <c r="U722" i="24" s="1"/>
  <c r="S726" i="24"/>
  <c r="U726" i="24" s="1"/>
  <c r="X726" i="24" s="1"/>
  <c r="S732" i="24"/>
  <c r="U732" i="24" s="1"/>
  <c r="X732" i="24" s="1"/>
  <c r="Z751" i="24"/>
  <c r="P760" i="24"/>
  <c r="X760" i="24" s="1"/>
  <c r="P763" i="24"/>
  <c r="T764" i="24"/>
  <c r="P789" i="24"/>
  <c r="P809" i="24"/>
  <c r="P815" i="24"/>
  <c r="P816" i="24"/>
  <c r="T817" i="24"/>
  <c r="P825" i="24"/>
  <c r="X825" i="24" s="1"/>
  <c r="P849" i="24"/>
  <c r="P862" i="24"/>
  <c r="X862" i="24" s="1"/>
  <c r="P866" i="24"/>
  <c r="P880" i="24"/>
  <c r="X880" i="24" s="1"/>
  <c r="P881" i="24"/>
  <c r="P885" i="24"/>
  <c r="X885" i="24" s="1"/>
  <c r="P890" i="24"/>
  <c r="X890" i="24" s="1"/>
  <c r="P895" i="24"/>
  <c r="P908" i="24"/>
  <c r="X908" i="24" s="1"/>
  <c r="X912" i="24"/>
  <c r="S928" i="24"/>
  <c r="U928" i="24" s="1"/>
  <c r="X928" i="24" s="1"/>
  <c r="S935" i="24"/>
  <c r="U935" i="24" s="1"/>
  <c r="Z935" i="24" s="1"/>
  <c r="P935" i="24"/>
  <c r="P948" i="24"/>
  <c r="X948" i="24" s="1"/>
  <c r="P949" i="24"/>
  <c r="S955" i="24"/>
  <c r="U955" i="24" s="1"/>
  <c r="Y955" i="24" s="1"/>
  <c r="P955" i="24"/>
  <c r="P963" i="24"/>
  <c r="Y964" i="24"/>
  <c r="Z964" i="24"/>
  <c r="P993" i="24"/>
  <c r="S993" i="24"/>
  <c r="P1038" i="24"/>
  <c r="S1038" i="24"/>
  <c r="U1038" i="24" s="1"/>
  <c r="Z1038" i="24" s="1"/>
  <c r="P1054" i="24"/>
  <c r="S1054" i="24"/>
  <c r="U1054" i="24" s="1"/>
  <c r="P1071" i="24"/>
  <c r="X1071" i="24" s="1"/>
  <c r="P1252" i="24"/>
  <c r="S1252" i="24"/>
  <c r="U1252" i="24" s="1"/>
  <c r="Y1570" i="24"/>
  <c r="Z1570" i="24"/>
  <c r="P442" i="24"/>
  <c r="S471" i="24"/>
  <c r="S576" i="24"/>
  <c r="U576" i="24" s="1"/>
  <c r="T579" i="24"/>
  <c r="U582" i="24"/>
  <c r="U602" i="24"/>
  <c r="Z602" i="24" s="1"/>
  <c r="S757" i="24"/>
  <c r="U757" i="24" s="1"/>
  <c r="T760" i="24"/>
  <c r="U763" i="24"/>
  <c r="S773" i="24"/>
  <c r="U773" i="24" s="1"/>
  <c r="X773" i="24" s="1"/>
  <c r="S785" i="24"/>
  <c r="U785" i="24" s="1"/>
  <c r="X785" i="24" s="1"/>
  <c r="S797" i="24"/>
  <c r="U797" i="24" s="1"/>
  <c r="T809" i="24"/>
  <c r="U816" i="24"/>
  <c r="Y816" i="24" s="1"/>
  <c r="S836" i="24"/>
  <c r="X920" i="24"/>
  <c r="S923" i="24"/>
  <c r="U923" i="24" s="1"/>
  <c r="P923" i="24"/>
  <c r="S939" i="24"/>
  <c r="U939" i="24" s="1"/>
  <c r="Y939" i="24" s="1"/>
  <c r="P939" i="24"/>
  <c r="S951" i="24"/>
  <c r="U951" i="24" s="1"/>
  <c r="P951" i="24"/>
  <c r="U1017" i="24"/>
  <c r="P1031" i="24"/>
  <c r="S1031" i="24"/>
  <c r="U1031" i="24" s="1"/>
  <c r="Y1031" i="24" s="1"/>
  <c r="X1032" i="24"/>
  <c r="X1048" i="24"/>
  <c r="X1115" i="24"/>
  <c r="S1151" i="24"/>
  <c r="U1151" i="24" s="1"/>
  <c r="Y1151" i="24" s="1"/>
  <c r="P1151" i="24"/>
  <c r="S1167" i="24"/>
  <c r="U1167" i="24" s="1"/>
  <c r="P1167" i="24"/>
  <c r="S1195" i="24"/>
  <c r="U1195" i="24" s="1"/>
  <c r="P1195" i="24"/>
  <c r="S1295" i="24"/>
  <c r="U1295" i="24" s="1"/>
  <c r="P1295" i="24"/>
  <c r="U483" i="24"/>
  <c r="U487" i="24"/>
  <c r="Z487" i="24" s="1"/>
  <c r="T526" i="24"/>
  <c r="T559" i="24"/>
  <c r="U631" i="24"/>
  <c r="X656" i="24"/>
  <c r="X856" i="24"/>
  <c r="S865" i="24"/>
  <c r="U865" i="24" s="1"/>
  <c r="P865" i="24"/>
  <c r="X874" i="24"/>
  <c r="X878" i="24"/>
  <c r="X902" i="24"/>
  <c r="S907" i="24"/>
  <c r="U907" i="24" s="1"/>
  <c r="P907" i="24"/>
  <c r="S919" i="24"/>
  <c r="U919" i="24" s="1"/>
  <c r="Z919" i="24" s="1"/>
  <c r="P919" i="24"/>
  <c r="X934" i="24"/>
  <c r="X954" i="24"/>
  <c r="X958" i="24"/>
  <c r="S961" i="24"/>
  <c r="U961" i="24" s="1"/>
  <c r="P961" i="24"/>
  <c r="S972" i="24"/>
  <c r="P972" i="24"/>
  <c r="P974" i="24"/>
  <c r="S974" i="24"/>
  <c r="U974" i="24" s="1"/>
  <c r="X1056" i="24"/>
  <c r="P1073" i="24"/>
  <c r="S1073" i="24"/>
  <c r="S1129" i="24"/>
  <c r="U1129" i="24" s="1"/>
  <c r="Y1129" i="24" s="1"/>
  <c r="P1129" i="24"/>
  <c r="P1290" i="24"/>
  <c r="S1290" i="24"/>
  <c r="U1290" i="24" s="1"/>
  <c r="P1430" i="24"/>
  <c r="S1430" i="24"/>
  <c r="U1430" i="24" s="1"/>
  <c r="X719" i="24"/>
  <c r="X860" i="24"/>
  <c r="S929" i="24"/>
  <c r="U929" i="24" s="1"/>
  <c r="P929" i="24"/>
  <c r="S969" i="24"/>
  <c r="U969" i="24" s="1"/>
  <c r="Z969" i="24" s="1"/>
  <c r="P969" i="24"/>
  <c r="P1033" i="24"/>
  <c r="S1033" i="24"/>
  <c r="U1033" i="24" s="1"/>
  <c r="P1046" i="24"/>
  <c r="S1046" i="24"/>
  <c r="U1046" i="24" s="1"/>
  <c r="P1049" i="24"/>
  <c r="S1049" i="24"/>
  <c r="U1049" i="24" s="1"/>
  <c r="S1227" i="24"/>
  <c r="U1227" i="24" s="1"/>
  <c r="P1227" i="24"/>
  <c r="P1418" i="24"/>
  <c r="S1418" i="24"/>
  <c r="U1418" i="24" s="1"/>
  <c r="P1482" i="24"/>
  <c r="S1482" i="24"/>
  <c r="U597" i="24"/>
  <c r="Z597" i="24" s="1"/>
  <c r="U723" i="24"/>
  <c r="X723" i="24" s="1"/>
  <c r="U749" i="24"/>
  <c r="U765" i="24"/>
  <c r="X765" i="24" s="1"/>
  <c r="X846" i="24"/>
  <c r="S855" i="24"/>
  <c r="U855" i="24" s="1"/>
  <c r="P855" i="24"/>
  <c r="X892" i="24"/>
  <c r="X910" i="24"/>
  <c r="X918" i="24"/>
  <c r="P998" i="24"/>
  <c r="S998" i="24"/>
  <c r="U998" i="24" s="1"/>
  <c r="Z998" i="24" s="1"/>
  <c r="S1388" i="24"/>
  <c r="U1388" i="24" s="1"/>
  <c r="P1388" i="24"/>
  <c r="S1521" i="24"/>
  <c r="U1521" i="24" s="1"/>
  <c r="P1521" i="24"/>
  <c r="P617" i="24"/>
  <c r="X617" i="24" s="1"/>
  <c r="P841" i="24"/>
  <c r="X841" i="24" s="1"/>
  <c r="P851" i="24"/>
  <c r="X851" i="24" s="1"/>
  <c r="P859" i="24"/>
  <c r="X859" i="24" s="1"/>
  <c r="P873" i="24"/>
  <c r="X873" i="24" s="1"/>
  <c r="P877" i="24"/>
  <c r="P882" i="24"/>
  <c r="X882" i="24" s="1"/>
  <c r="P901" i="24"/>
  <c r="X901" i="24" s="1"/>
  <c r="Y902" i="24"/>
  <c r="Z902" i="24"/>
  <c r="S945" i="24"/>
  <c r="U945" i="24" s="1"/>
  <c r="Y945" i="24" s="1"/>
  <c r="P945" i="24"/>
  <c r="S1008" i="24"/>
  <c r="U1008" i="24" s="1"/>
  <c r="Z1008" i="24" s="1"/>
  <c r="P1008" i="24"/>
  <c r="S1088" i="24"/>
  <c r="U1088" i="24" s="1"/>
  <c r="Z1088" i="24" s="1"/>
  <c r="P1088" i="24"/>
  <c r="S1143" i="24"/>
  <c r="U1143" i="24" s="1"/>
  <c r="P1143" i="24"/>
  <c r="S1159" i="24"/>
  <c r="U1159" i="24" s="1"/>
  <c r="Z1159" i="24" s="1"/>
  <c r="P1159" i="24"/>
  <c r="S1175" i="24"/>
  <c r="U1175" i="24" s="1"/>
  <c r="Y1175" i="24" s="1"/>
  <c r="P1175" i="24"/>
  <c r="P1383" i="24"/>
  <c r="S1383" i="24"/>
  <c r="U1383" i="24" s="1"/>
  <c r="Z1383" i="24" s="1"/>
  <c r="Y1516" i="24"/>
  <c r="Z1516" i="24"/>
  <c r="X1516" i="24"/>
  <c r="Y510" i="24"/>
  <c r="T522" i="24"/>
  <c r="P567" i="24"/>
  <c r="X567" i="24" s="1"/>
  <c r="S600" i="24"/>
  <c r="U600" i="24" s="1"/>
  <c r="U655" i="24"/>
  <c r="U674" i="24"/>
  <c r="P733" i="24"/>
  <c r="X733" i="24" s="1"/>
  <c r="P737" i="24"/>
  <c r="X737" i="24" s="1"/>
  <c r="P741" i="24"/>
  <c r="X741" i="24" s="1"/>
  <c r="P745" i="24"/>
  <c r="X745" i="24" s="1"/>
  <c r="U758" i="24"/>
  <c r="Z758" i="24" s="1"/>
  <c r="P798" i="24"/>
  <c r="S813" i="24"/>
  <c r="U813" i="24" s="1"/>
  <c r="Z813" i="24" s="1"/>
  <c r="X872" i="24"/>
  <c r="X876" i="24"/>
  <c r="Z878" i="24"/>
  <c r="X886" i="24"/>
  <c r="X900" i="24"/>
  <c r="S906" i="24"/>
  <c r="U906" i="24" s="1"/>
  <c r="X906" i="24" s="1"/>
  <c r="S913" i="24"/>
  <c r="U913" i="24" s="1"/>
  <c r="P913" i="24"/>
  <c r="S922" i="24"/>
  <c r="U922" i="24" s="1"/>
  <c r="Z930" i="24"/>
  <c r="S938" i="24"/>
  <c r="U938" i="24" s="1"/>
  <c r="X938" i="24" s="1"/>
  <c r="S950" i="24"/>
  <c r="U950" i="24" s="1"/>
  <c r="X956" i="24"/>
  <c r="S975" i="24"/>
  <c r="U975" i="24" s="1"/>
  <c r="P975" i="24"/>
  <c r="S983" i="24"/>
  <c r="U983" i="24" s="1"/>
  <c r="X983" i="24" s="1"/>
  <c r="S1205" i="24"/>
  <c r="U1205" i="24" s="1"/>
  <c r="P1205" i="24"/>
  <c r="S1279" i="24"/>
  <c r="U1279" i="24" s="1"/>
  <c r="P1279" i="24"/>
  <c r="S1503" i="24"/>
  <c r="U1503" i="24" s="1"/>
  <c r="P1503" i="24"/>
  <c r="U985" i="24"/>
  <c r="P996" i="24"/>
  <c r="U1002" i="24"/>
  <c r="P1004" i="24"/>
  <c r="X1017" i="24"/>
  <c r="U1022" i="24"/>
  <c r="X1022" i="24" s="1"/>
  <c r="P1041" i="24"/>
  <c r="S1041" i="24"/>
  <c r="P1254" i="24"/>
  <c r="S1254" i="24"/>
  <c r="U1254" i="24" s="1"/>
  <c r="P1285" i="24"/>
  <c r="X1285" i="24" s="1"/>
  <c r="P1292" i="24"/>
  <c r="S1292" i="24"/>
  <c r="U1292" i="24" s="1"/>
  <c r="Z1292" i="24" s="1"/>
  <c r="P1320" i="24"/>
  <c r="P1359" i="24"/>
  <c r="X1359" i="24" s="1"/>
  <c r="S1359" i="24"/>
  <c r="U1359" i="24" s="1"/>
  <c r="Z1359" i="24" s="1"/>
  <c r="S1364" i="24"/>
  <c r="P1364" i="24"/>
  <c r="P1376" i="24"/>
  <c r="S1392" i="24"/>
  <c r="P1392" i="24"/>
  <c r="S1414" i="24"/>
  <c r="U1414" i="24" s="1"/>
  <c r="Z1414" i="24" s="1"/>
  <c r="S1466" i="24"/>
  <c r="U1466" i="24" s="1"/>
  <c r="S1478" i="24"/>
  <c r="S1489" i="24"/>
  <c r="U1489" i="24" s="1"/>
  <c r="P1489" i="24"/>
  <c r="Y1554" i="24"/>
  <c r="X1554" i="24"/>
  <c r="X1594" i="24"/>
  <c r="U1096" i="24"/>
  <c r="P1236" i="24"/>
  <c r="X1236" i="24" s="1"/>
  <c r="S1236" i="24"/>
  <c r="U1236" i="24" s="1"/>
  <c r="P1240" i="24"/>
  <c r="S1240" i="24"/>
  <c r="U1240" i="24" s="1"/>
  <c r="P1300" i="24"/>
  <c r="S1300" i="24"/>
  <c r="P1319" i="24"/>
  <c r="S1319" i="24"/>
  <c r="U1319" i="24" s="1"/>
  <c r="P1332" i="24"/>
  <c r="S1332" i="24"/>
  <c r="P1351" i="24"/>
  <c r="S1351" i="24"/>
  <c r="U1351" i="24" s="1"/>
  <c r="Z1351" i="24" s="1"/>
  <c r="P1494" i="24"/>
  <c r="S1494" i="24"/>
  <c r="U1494" i="24" s="1"/>
  <c r="X1546" i="24"/>
  <c r="S1711" i="24"/>
  <c r="U1711" i="24" s="1"/>
  <c r="P1711" i="24"/>
  <c r="W1712" i="24" s="1"/>
  <c r="U1080" i="24"/>
  <c r="U1087" i="24"/>
  <c r="X1105" i="24"/>
  <c r="X1123" i="24"/>
  <c r="X1245" i="24"/>
  <c r="P1309" i="24"/>
  <c r="S1309" i="24"/>
  <c r="P1375" i="24"/>
  <c r="S1375" i="24"/>
  <c r="U1375" i="24" s="1"/>
  <c r="Z1375" i="24" s="1"/>
  <c r="S1380" i="24"/>
  <c r="P1380" i="24"/>
  <c r="S1520" i="24"/>
  <c r="U1520" i="24" s="1"/>
  <c r="P1520" i="24"/>
  <c r="X1560" i="24"/>
  <c r="P1643" i="24"/>
  <c r="S1643" i="24"/>
  <c r="U1643" i="24" s="1"/>
  <c r="P1286" i="24"/>
  <c r="S1286" i="24"/>
  <c r="U1286" i="24" s="1"/>
  <c r="Z1286" i="24" s="1"/>
  <c r="Z1289" i="24"/>
  <c r="Y1289" i="24"/>
  <c r="P1329" i="24"/>
  <c r="S1329" i="24"/>
  <c r="U1329" i="24" s="1"/>
  <c r="S1356" i="24"/>
  <c r="P1356" i="24"/>
  <c r="S1396" i="24"/>
  <c r="P1396" i="24"/>
  <c r="S1499" i="24"/>
  <c r="U1499" i="24" s="1"/>
  <c r="P1499" i="24"/>
  <c r="X1524" i="24"/>
  <c r="U1009" i="24"/>
  <c r="X1009" i="24" s="1"/>
  <c r="P1039" i="24"/>
  <c r="X1039" i="24" s="1"/>
  <c r="P1055" i="24"/>
  <c r="X1055" i="24" s="1"/>
  <c r="P1063" i="24"/>
  <c r="X1063" i="24" s="1"/>
  <c r="U1072" i="24"/>
  <c r="X1072" i="24" s="1"/>
  <c r="U1082" i="24"/>
  <c r="P1084" i="24"/>
  <c r="S1094" i="24"/>
  <c r="U1094" i="24" s="1"/>
  <c r="P1094" i="24"/>
  <c r="P1101" i="24"/>
  <c r="P1107" i="24"/>
  <c r="X1107" i="24" s="1"/>
  <c r="S1304" i="24"/>
  <c r="U1304" i="24" s="1"/>
  <c r="P1304" i="24"/>
  <c r="P1313" i="24"/>
  <c r="S1313" i="24"/>
  <c r="U1313" i="24" s="1"/>
  <c r="P1336" i="24"/>
  <c r="P1341" i="24"/>
  <c r="S1341" i="24"/>
  <c r="P1346" i="24"/>
  <c r="P1348" i="24"/>
  <c r="S1348" i="24"/>
  <c r="P1400" i="24"/>
  <c r="S1400" i="24"/>
  <c r="U1400" i="24" s="1"/>
  <c r="S1434" i="24"/>
  <c r="U1434" i="24" s="1"/>
  <c r="S1446" i="24"/>
  <c r="Z1497" i="24"/>
  <c r="Y1564" i="24"/>
  <c r="Z1564" i="24"/>
  <c r="S1610" i="24"/>
  <c r="U1610" i="24" s="1"/>
  <c r="Z1610" i="24" s="1"/>
  <c r="P1610" i="24"/>
  <c r="P1189" i="24"/>
  <c r="X1189" i="24" s="1"/>
  <c r="P1221" i="24"/>
  <c r="P1237" i="24"/>
  <c r="S1237" i="24"/>
  <c r="U1237" i="24" s="1"/>
  <c r="P1262" i="24"/>
  <c r="S1262" i="24"/>
  <c r="U1262" i="24" s="1"/>
  <c r="P1345" i="24"/>
  <c r="S1345" i="24"/>
  <c r="U1345" i="24" s="1"/>
  <c r="P1367" i="24"/>
  <c r="S1367" i="24"/>
  <c r="U1367" i="24" s="1"/>
  <c r="Z1367" i="24" s="1"/>
  <c r="S1372" i="24"/>
  <c r="P1372" i="24"/>
  <c r="P1384" i="24"/>
  <c r="S1525" i="24"/>
  <c r="U1525" i="24" s="1"/>
  <c r="P1525" i="24"/>
  <c r="Y1560" i="24"/>
  <c r="Z1560" i="24"/>
  <c r="P1603" i="24"/>
  <c r="S1603" i="24"/>
  <c r="U1603" i="24" s="1"/>
  <c r="P1062" i="24"/>
  <c r="S1062" i="24"/>
  <c r="U1062" i="24" s="1"/>
  <c r="Y1062" i="24" s="1"/>
  <c r="Y1285" i="24"/>
  <c r="Z1285" i="24"/>
  <c r="P1288" i="24"/>
  <c r="S1288" i="24"/>
  <c r="U1288" i="24" s="1"/>
  <c r="Z1288" i="24" s="1"/>
  <c r="Z1321" i="24"/>
  <c r="Y1321" i="24"/>
  <c r="P1335" i="24"/>
  <c r="S1335" i="24"/>
  <c r="U1335" i="24" s="1"/>
  <c r="S1450" i="24"/>
  <c r="U1450" i="24" s="1"/>
  <c r="S1462" i="24"/>
  <c r="U1462" i="24" s="1"/>
  <c r="Z1496" i="24"/>
  <c r="S1501" i="24"/>
  <c r="U1501" i="24" s="1"/>
  <c r="X1501" i="24" s="1"/>
  <c r="P1501" i="24"/>
  <c r="S1508" i="24"/>
  <c r="U1508" i="24" s="1"/>
  <c r="Z1513" i="24"/>
  <c r="Y1513" i="24"/>
  <c r="S1534" i="24"/>
  <c r="U1534" i="24" s="1"/>
  <c r="Y1534" i="24" s="1"/>
  <c r="S1562" i="24"/>
  <c r="U1562" i="24" s="1"/>
  <c r="U1006" i="24"/>
  <c r="U1081" i="24"/>
  <c r="Z1081" i="24" s="1"/>
  <c r="P1229" i="24"/>
  <c r="X1229" i="24" s="1"/>
  <c r="P1249" i="24"/>
  <c r="X1249" i="24" s="1"/>
  <c r="Y1275" i="24"/>
  <c r="X1298" i="24"/>
  <c r="S1306" i="24"/>
  <c r="P1344" i="24"/>
  <c r="S1391" i="24"/>
  <c r="U1391" i="24" s="1"/>
  <c r="Z1391" i="24" s="1"/>
  <c r="P1402" i="24"/>
  <c r="S1492" i="24"/>
  <c r="U1492" i="24" s="1"/>
  <c r="P1502" i="24"/>
  <c r="X1502" i="24" s="1"/>
  <c r="P1507" i="24"/>
  <c r="S1512" i="24"/>
  <c r="U1512" i="24" s="1"/>
  <c r="X1512" i="24" s="1"/>
  <c r="S1514" i="24"/>
  <c r="U1514" i="24" s="1"/>
  <c r="Y1514" i="24" s="1"/>
  <c r="P1519" i="24"/>
  <c r="P1552" i="24"/>
  <c r="X1552" i="24" s="1"/>
  <c r="P1564" i="24"/>
  <c r="X1564" i="24" s="1"/>
  <c r="S1568" i="24"/>
  <c r="U1568" i="24" s="1"/>
  <c r="P1570" i="24"/>
  <c r="X1570" i="24" s="1"/>
  <c r="S1580" i="24"/>
  <c r="U1580" i="24" s="1"/>
  <c r="S1586" i="24"/>
  <c r="U1586" i="24" s="1"/>
  <c r="S1651" i="24"/>
  <c r="U1651" i="24" s="1"/>
  <c r="P1651" i="24"/>
  <c r="S1679" i="24"/>
  <c r="U1679" i="24" s="1"/>
  <c r="P1679" i="24"/>
  <c r="S1706" i="24"/>
  <c r="U1706" i="24" s="1"/>
  <c r="P1706" i="24"/>
  <c r="S1744" i="24"/>
  <c r="U1744" i="24" s="1"/>
  <c r="Z1744" i="24" s="1"/>
  <c r="P1744" i="24"/>
  <c r="X1888" i="24"/>
  <c r="Y1606" i="24"/>
  <c r="Z1606" i="24"/>
  <c r="S1772" i="24"/>
  <c r="U1772" i="24" s="1"/>
  <c r="P1772" i="24"/>
  <c r="X1241" i="24"/>
  <c r="X1280" i="24"/>
  <c r="X1327" i="24"/>
  <c r="P1638" i="24"/>
  <c r="S1638" i="24"/>
  <c r="U1638" i="24" s="1"/>
  <c r="Z1683" i="24"/>
  <c r="Y1683" i="24"/>
  <c r="S1793" i="24"/>
  <c r="P1793" i="24"/>
  <c r="P1614" i="24"/>
  <c r="S1614" i="24"/>
  <c r="U1614" i="24" s="1"/>
  <c r="P1769" i="24"/>
  <c r="S1769" i="24"/>
  <c r="S1790" i="24"/>
  <c r="U1790" i="24" s="1"/>
  <c r="Z1790" i="24" s="1"/>
  <c r="P1790" i="24"/>
  <c r="X1790" i="24" s="1"/>
  <c r="X1311" i="24"/>
  <c r="U1354" i="24"/>
  <c r="U1412" i="24"/>
  <c r="X1412" i="24" s="1"/>
  <c r="U1420" i="24"/>
  <c r="U1428" i="24"/>
  <c r="U1436" i="24"/>
  <c r="Y1436" i="24" s="1"/>
  <c r="U1444" i="24"/>
  <c r="U1452" i="24"/>
  <c r="U1468" i="24"/>
  <c r="U1476" i="24"/>
  <c r="U1484" i="24"/>
  <c r="Z1484" i="24" s="1"/>
  <c r="S1493" i="24"/>
  <c r="U1493" i="24" s="1"/>
  <c r="P1493" i="24"/>
  <c r="S1618" i="24"/>
  <c r="U1618" i="24" s="1"/>
  <c r="P1618" i="24"/>
  <c r="S1741" i="24"/>
  <c r="U1741" i="24" s="1"/>
  <c r="Y1741" i="24" s="1"/>
  <c r="P1741" i="24"/>
  <c r="P1749" i="24"/>
  <c r="S1749" i="24"/>
  <c r="U1749" i="24" s="1"/>
  <c r="S1798" i="24"/>
  <c r="U1798" i="24" s="1"/>
  <c r="P1798" i="24"/>
  <c r="S1814" i="24"/>
  <c r="U1814" i="24" s="1"/>
  <c r="P1814" i="24"/>
  <c r="S2456" i="24"/>
  <c r="U2456" i="24" s="1"/>
  <c r="P2456" i="24"/>
  <c r="S1694" i="24"/>
  <c r="U1694" i="24" s="1"/>
  <c r="P1694" i="24"/>
  <c r="U1230" i="24"/>
  <c r="X1244" i="24"/>
  <c r="P1275" i="24"/>
  <c r="X1275" i="24" s="1"/>
  <c r="P1407" i="24"/>
  <c r="S1407" i="24"/>
  <c r="U1407" i="24" s="1"/>
  <c r="P1513" i="24"/>
  <c r="P1787" i="24"/>
  <c r="S1787" i="24"/>
  <c r="U1787" i="24" s="1"/>
  <c r="Y1787" i="24" s="1"/>
  <c r="P1837" i="24"/>
  <c r="S1837" i="24"/>
  <c r="U1837" i="24" s="1"/>
  <c r="U1402" i="24"/>
  <c r="U1416" i="24"/>
  <c r="Y1416" i="24" s="1"/>
  <c r="U1424" i="24"/>
  <c r="U1432" i="24"/>
  <c r="U1456" i="24"/>
  <c r="U1464" i="24"/>
  <c r="U1472" i="24"/>
  <c r="U1480" i="24"/>
  <c r="U1488" i="24"/>
  <c r="S1619" i="24"/>
  <c r="U1619" i="24" s="1"/>
  <c r="Z1619" i="24" s="1"/>
  <c r="S1628" i="24"/>
  <c r="U1628" i="24" s="1"/>
  <c r="P1642" i="24"/>
  <c r="S1653" i="24"/>
  <c r="U1653" i="24" s="1"/>
  <c r="Y1653" i="24" s="1"/>
  <c r="U1661" i="24"/>
  <c r="P1667" i="24"/>
  <c r="X1667" i="24" s="1"/>
  <c r="S1668" i="24"/>
  <c r="U1668" i="24" s="1"/>
  <c r="U1728" i="24"/>
  <c r="P1747" i="24"/>
  <c r="X1747" i="24" s="1"/>
  <c r="U1776" i="24"/>
  <c r="Z1776" i="24" s="1"/>
  <c r="S1788" i="24"/>
  <c r="U1788" i="24" s="1"/>
  <c r="X1788" i="24" s="1"/>
  <c r="S1794" i="24"/>
  <c r="U1794" i="24" s="1"/>
  <c r="X1794" i="24" s="1"/>
  <c r="S1799" i="24"/>
  <c r="P1823" i="24"/>
  <c r="X1823" i="24" s="1"/>
  <c r="X1832" i="24"/>
  <c r="U1833" i="24"/>
  <c r="W1836" i="24" s="1"/>
  <c r="U1839" i="24"/>
  <c r="P1846" i="24"/>
  <c r="S1856" i="24"/>
  <c r="U1856" i="24" s="1"/>
  <c r="X1856" i="24" s="1"/>
  <c r="S1900" i="24"/>
  <c r="S1909" i="24"/>
  <c r="U1909" i="24" s="1"/>
  <c r="W1911" i="24" s="1"/>
  <c r="S1961" i="24"/>
  <c r="U1961" i="24" s="1"/>
  <c r="S2192" i="24"/>
  <c r="U2192" i="24" s="1"/>
  <c r="P2192" i="24"/>
  <c r="S2378" i="24"/>
  <c r="P2378" i="24"/>
  <c r="S2634" i="24"/>
  <c r="U2634" i="24" s="1"/>
  <c r="P2634" i="24"/>
  <c r="X1606" i="24"/>
  <c r="T1682" i="24"/>
  <c r="U1695" i="24"/>
  <c r="X1695" i="24" s="1"/>
  <c r="U1736" i="24"/>
  <c r="S1742" i="24"/>
  <c r="U1742" i="24" s="1"/>
  <c r="T1782" i="24"/>
  <c r="S1802" i="24"/>
  <c r="U1802" i="24" s="1"/>
  <c r="U1823" i="24"/>
  <c r="S1826" i="24"/>
  <c r="U1826" i="24" s="1"/>
  <c r="S1838" i="24"/>
  <c r="U1838" i="24" s="1"/>
  <c r="X1838" i="24" s="1"/>
  <c r="S1989" i="24"/>
  <c r="U1989" i="24" s="1"/>
  <c r="S2045" i="24"/>
  <c r="P2045" i="24"/>
  <c r="S2354" i="24"/>
  <c r="U2354" i="24" s="1"/>
  <c r="P2354" i="24"/>
  <c r="S2492" i="24"/>
  <c r="U2492" i="24" s="1"/>
  <c r="P2492" i="24"/>
  <c r="P2689" i="24"/>
  <c r="S2689" i="24"/>
  <c r="U2689" i="24" s="1"/>
  <c r="Y2689" i="24" s="1"/>
  <c r="X1654" i="24"/>
  <c r="T1689" i="24"/>
  <c r="X1817" i="24"/>
  <c r="X1957" i="24"/>
  <c r="T1768" i="24"/>
  <c r="S1985" i="24"/>
  <c r="P1985" i="24"/>
  <c r="S2069" i="24"/>
  <c r="U2069" i="24" s="1"/>
  <c r="P2069" i="24"/>
  <c r="Y2270" i="24"/>
  <c r="W2274" i="24"/>
  <c r="Y2534" i="24"/>
  <c r="W2539" i="24"/>
  <c r="Y2539" i="24" s="1"/>
  <c r="S2564" i="24"/>
  <c r="U2564" i="24" s="1"/>
  <c r="P2564" i="24"/>
  <c r="S2576" i="24"/>
  <c r="U2576" i="24" s="1"/>
  <c r="P2576" i="24"/>
  <c r="S2703" i="24"/>
  <c r="U2703" i="24" s="1"/>
  <c r="P2703" i="24"/>
  <c r="Z1832" i="24"/>
  <c r="Y1850" i="24"/>
  <c r="S1969" i="24"/>
  <c r="P1969" i="24"/>
  <c r="S2649" i="24"/>
  <c r="U2649" i="24" s="1"/>
  <c r="P2649" i="24"/>
  <c r="T1757" i="24"/>
  <c r="U1760" i="24"/>
  <c r="Z1760" i="24" s="1"/>
  <c r="P1780" i="24"/>
  <c r="X1780" i="24" s="1"/>
  <c r="P1830" i="24"/>
  <c r="P1921" i="24"/>
  <c r="S2123" i="24"/>
  <c r="U2123" i="24" s="1"/>
  <c r="P2123" i="24"/>
  <c r="S2143" i="24"/>
  <c r="U2143" i="24" s="1"/>
  <c r="P2143" i="24"/>
  <c r="S2198" i="24"/>
  <c r="U2198" i="24" s="1"/>
  <c r="X2198" i="24" s="1"/>
  <c r="P2198" i="24"/>
  <c r="P1634" i="24"/>
  <c r="P1659" i="24"/>
  <c r="S1672" i="24"/>
  <c r="U1672" i="24" s="1"/>
  <c r="P1674" i="24"/>
  <c r="P1683" i="24"/>
  <c r="X1683" i="24" s="1"/>
  <c r="P1692" i="24"/>
  <c r="S1729" i="24"/>
  <c r="U1729" i="24" s="1"/>
  <c r="P1734" i="24"/>
  <c r="S1757" i="24"/>
  <c r="U1757" i="24" s="1"/>
  <c r="X1757" i="24" s="1"/>
  <c r="P1770" i="24"/>
  <c r="U1820" i="24"/>
  <c r="S1824" i="24"/>
  <c r="U1824" i="24" s="1"/>
  <c r="P1827" i="24"/>
  <c r="U1868" i="24"/>
  <c r="P1872" i="24"/>
  <c r="W1874" i="24" s="1"/>
  <c r="P1884" i="24"/>
  <c r="S1892" i="24"/>
  <c r="U1892" i="24" s="1"/>
  <c r="X1892" i="24" s="1"/>
  <c r="P1933" i="24"/>
  <c r="P1977" i="24"/>
  <c r="S1977" i="24"/>
  <c r="U1977" i="24" s="1"/>
  <c r="S1997" i="24"/>
  <c r="U1997" i="24" s="1"/>
  <c r="P1997" i="24"/>
  <c r="S2021" i="24"/>
  <c r="U2021" i="24" s="1"/>
  <c r="U2033" i="24"/>
  <c r="S2037" i="24"/>
  <c r="U2037" i="24" s="1"/>
  <c r="S2113" i="24"/>
  <c r="U2113" i="24" s="1"/>
  <c r="X2113" i="24" s="1"/>
  <c r="P2222" i="24"/>
  <c r="S2252" i="24"/>
  <c r="U2252" i="24" s="1"/>
  <c r="W2254" i="24" s="1"/>
  <c r="S2384" i="24"/>
  <c r="U2384" i="24" s="1"/>
  <c r="S2402" i="24"/>
  <c r="U2402" i="24" s="1"/>
  <c r="S2498" i="24"/>
  <c r="U2498" i="24" s="1"/>
  <c r="U2552" i="24"/>
  <c r="S2570" i="24"/>
  <c r="U2570" i="24" s="1"/>
  <c r="S2588" i="24"/>
  <c r="U2588" i="24" s="1"/>
  <c r="X2588" i="24" s="1"/>
  <c r="S2635" i="24"/>
  <c r="U2635" i="24" s="1"/>
  <c r="T2644" i="24"/>
  <c r="T2650" i="24"/>
  <c r="S2666" i="24"/>
  <c r="U2666" i="24" s="1"/>
  <c r="S2681" i="24"/>
  <c r="U2681" i="24" s="1"/>
  <c r="Y2681" i="24" s="1"/>
  <c r="S2686" i="24"/>
  <c r="U2686" i="24" s="1"/>
  <c r="U2695" i="24"/>
  <c r="Z2695" i="24" s="1"/>
  <c r="T2698" i="24"/>
  <c r="T2704" i="24"/>
  <c r="U2061" i="24"/>
  <c r="U2372" i="24"/>
  <c r="X2652" i="24"/>
  <c r="U2655" i="24"/>
  <c r="W2328" i="24"/>
  <c r="X2328" i="24" s="1"/>
  <c r="T2646" i="24"/>
  <c r="T2680" i="24"/>
  <c r="T2706" i="24"/>
  <c r="T2658" i="24"/>
  <c r="P2679" i="24"/>
  <c r="U2693" i="24"/>
  <c r="P2005" i="24"/>
  <c r="P2017" i="24"/>
  <c r="P2073" i="24"/>
  <c r="W2074" i="24" s="1"/>
  <c r="P2312" i="24"/>
  <c r="U2330" i="24"/>
  <c r="P2360" i="24"/>
  <c r="X2360" i="24" s="1"/>
  <c r="U2414" i="24"/>
  <c r="W2418" i="24" s="1"/>
  <c r="U2426" i="24"/>
  <c r="U2438" i="24"/>
  <c r="W2443" i="24" s="1"/>
  <c r="P2600" i="24"/>
  <c r="U2612" i="24"/>
  <c r="W2617" i="24" s="1"/>
  <c r="Y2617" i="24" s="1"/>
  <c r="U2633" i="24"/>
  <c r="T2636" i="24"/>
  <c r="P2642" i="24"/>
  <c r="P2657" i="24"/>
  <c r="U2667" i="24"/>
  <c r="P2678" i="24"/>
  <c r="X2678" i="24" s="1"/>
  <c r="U2679" i="24"/>
  <c r="Z2679" i="24" s="1"/>
  <c r="T2682" i="24"/>
  <c r="T2688" i="24"/>
  <c r="S2697" i="24"/>
  <c r="U2697" i="24" s="1"/>
  <c r="U2017" i="24"/>
  <c r="P2089" i="24"/>
  <c r="X2089" i="24" s="1"/>
  <c r="W2099" i="24"/>
  <c r="X2099" i="24" s="1"/>
  <c r="P2168" i="24"/>
  <c r="P2210" i="24"/>
  <c r="S2408" i="24"/>
  <c r="U2408" i="24" s="1"/>
  <c r="S2444" i="24"/>
  <c r="U2444" i="24" s="1"/>
  <c r="X2444" i="24" s="1"/>
  <c r="P2462" i="24"/>
  <c r="U2600" i="24"/>
  <c r="S2636" i="24"/>
  <c r="U2636" i="24" s="1"/>
  <c r="X2636" i="24" s="1"/>
  <c r="T2642" i="24"/>
  <c r="T2654" i="24"/>
  <c r="U2657" i="24"/>
  <c r="Z2657" i="24" s="1"/>
  <c r="U2669" i="24"/>
  <c r="P2109" i="24"/>
  <c r="X2109" i="24" s="1"/>
  <c r="P2163" i="24"/>
  <c r="U2168" i="24"/>
  <c r="P2264" i="24"/>
  <c r="W2268" i="24" s="1"/>
  <c r="P2336" i="24"/>
  <c r="X2396" i="24"/>
  <c r="S2432" i="24"/>
  <c r="U2432" i="24" s="1"/>
  <c r="W2435" i="24" s="1"/>
  <c r="P2522" i="24"/>
  <c r="X2522" i="24" s="1"/>
  <c r="U2582" i="24"/>
  <c r="T2638" i="24"/>
  <c r="S2651" i="24"/>
  <c r="U2651" i="24" s="1"/>
  <c r="P2656" i="24"/>
  <c r="X2656" i="24" s="1"/>
  <c r="T2660" i="24"/>
  <c r="U2664" i="24"/>
  <c r="T2690" i="24"/>
  <c r="T2696" i="24"/>
  <c r="X2704" i="24"/>
  <c r="S2705" i="24"/>
  <c r="U2705" i="24" s="1"/>
  <c r="H401" i="22"/>
  <c r="J401" i="22" s="1"/>
  <c r="S406" i="22"/>
  <c r="U406" i="22" s="1"/>
  <c r="S401" i="22"/>
  <c r="U37" i="23"/>
  <c r="X37" i="23" s="1"/>
  <c r="U70" i="23"/>
  <c r="U82" i="23"/>
  <c r="U86" i="23"/>
  <c r="U93" i="23"/>
  <c r="Z206" i="23"/>
  <c r="Y206" i="23"/>
  <c r="Z209" i="23"/>
  <c r="Y209" i="23"/>
  <c r="U224" i="23"/>
  <c r="Z231" i="23"/>
  <c r="Y231" i="23"/>
  <c r="Z241" i="23"/>
  <c r="Y241" i="23"/>
  <c r="S274" i="23"/>
  <c r="P274" i="23"/>
  <c r="Z296" i="23"/>
  <c r="Y296" i="23"/>
  <c r="P376" i="23"/>
  <c r="S376" i="23"/>
  <c r="U376" i="23" s="1"/>
  <c r="U424" i="23"/>
  <c r="Y480" i="23"/>
  <c r="Z480" i="23"/>
  <c r="X480" i="23"/>
  <c r="U26" i="23"/>
  <c r="U31" i="23"/>
  <c r="X31" i="23" s="1"/>
  <c r="U44" i="23"/>
  <c r="U47" i="23"/>
  <c r="Z66" i="23"/>
  <c r="Y66" i="23"/>
  <c r="X66" i="23"/>
  <c r="U76" i="23"/>
  <c r="Z89" i="23"/>
  <c r="Y89" i="23"/>
  <c r="X89" i="23"/>
  <c r="Z95" i="23"/>
  <c r="Y95" i="23"/>
  <c r="U100" i="23"/>
  <c r="Y113" i="23"/>
  <c r="Z120" i="23"/>
  <c r="Y120" i="23"/>
  <c r="Z130" i="23"/>
  <c r="Y130" i="23"/>
  <c r="X140" i="23"/>
  <c r="X150" i="23"/>
  <c r="W276" i="23"/>
  <c r="Z275" i="23"/>
  <c r="W277" i="23"/>
  <c r="Y275" i="23"/>
  <c r="X275" i="23"/>
  <c r="Y460" i="23"/>
  <c r="Z460" i="23"/>
  <c r="X460" i="23"/>
  <c r="Z20" i="23"/>
  <c r="Y20" i="23"/>
  <c r="Z72" i="23"/>
  <c r="Z98" i="23"/>
  <c r="Y98" i="23"/>
  <c r="Y109" i="23"/>
  <c r="Z182" i="23"/>
  <c r="Y182" i="23"/>
  <c r="X182" i="23"/>
  <c r="Y150" i="23"/>
  <c r="Z186" i="23"/>
  <c r="Y186" i="23"/>
  <c r="X186" i="23"/>
  <c r="Z203" i="23"/>
  <c r="Z225" i="23"/>
  <c r="Y225" i="23"/>
  <c r="Z226" i="23"/>
  <c r="Y226" i="23"/>
  <c r="Z245" i="23"/>
  <c r="Y245" i="23"/>
  <c r="P280" i="23"/>
  <c r="S280" i="23"/>
  <c r="X284" i="23"/>
  <c r="S298" i="23"/>
  <c r="U298" i="23" s="1"/>
  <c r="P298" i="23"/>
  <c r="Z353" i="23"/>
  <c r="Y353" i="23"/>
  <c r="Y468" i="23"/>
  <c r="Z468" i="23"/>
  <c r="Y492" i="23"/>
  <c r="Z492" i="23"/>
  <c r="Z497" i="23"/>
  <c r="Y497" i="23"/>
  <c r="X29" i="23"/>
  <c r="Z35" i="23"/>
  <c r="Y35" i="23"/>
  <c r="Z45" i="23"/>
  <c r="Y45" i="23"/>
  <c r="Z49" i="23"/>
  <c r="Y49" i="23"/>
  <c r="Y80" i="23"/>
  <c r="Z111" i="23"/>
  <c r="Y111" i="23"/>
  <c r="X111" i="23"/>
  <c r="X115" i="23"/>
  <c r="Z133" i="23"/>
  <c r="Y133" i="23"/>
  <c r="Z137" i="23"/>
  <c r="Y137" i="23"/>
  <c r="Z153" i="23"/>
  <c r="Y153" i="23"/>
  <c r="Z175" i="23"/>
  <c r="Y175" i="23"/>
  <c r="Z202" i="23"/>
  <c r="W285" i="23"/>
  <c r="Z287" i="23"/>
  <c r="Y287" i="23"/>
  <c r="U329" i="23"/>
  <c r="S346" i="23"/>
  <c r="U346" i="23" s="1"/>
  <c r="P346" i="23"/>
  <c r="Z437" i="23"/>
  <c r="Y437" i="23"/>
  <c r="Z472" i="23"/>
  <c r="Y472" i="23"/>
  <c r="Y523" i="23"/>
  <c r="Z523" i="23"/>
  <c r="Z22" i="23"/>
  <c r="Y22" i="23"/>
  <c r="Z23" i="23"/>
  <c r="Y23" i="23"/>
  <c r="Z29" i="23"/>
  <c r="Y29" i="23"/>
  <c r="Z58" i="23"/>
  <c r="Y58" i="23"/>
  <c r="Z61" i="23"/>
  <c r="Y61" i="23"/>
  <c r="Z74" i="23"/>
  <c r="Y74" i="23"/>
  <c r="Z92" i="23"/>
  <c r="Y92" i="23"/>
  <c r="Z114" i="23"/>
  <c r="Y114" i="23"/>
  <c r="Z115" i="23"/>
  <c r="Y115" i="23"/>
  <c r="Z139" i="23"/>
  <c r="Y139" i="23"/>
  <c r="Y156" i="23"/>
  <c r="Z167" i="23"/>
  <c r="Y167" i="23"/>
  <c r="Z189" i="23"/>
  <c r="Y189" i="23"/>
  <c r="Z239" i="23"/>
  <c r="Y239" i="23"/>
  <c r="Z251" i="23"/>
  <c r="Y251" i="23"/>
  <c r="Z299" i="23"/>
  <c r="Y299" i="23"/>
  <c r="X299" i="23"/>
  <c r="W352" i="23"/>
  <c r="W348" i="23"/>
  <c r="Z347" i="23"/>
  <c r="Y347" i="23"/>
  <c r="W350" i="23"/>
  <c r="X347" i="23"/>
  <c r="W349" i="23"/>
  <c r="W351" i="23"/>
  <c r="S382" i="23"/>
  <c r="U382" i="23" s="1"/>
  <c r="P382" i="23"/>
  <c r="P412" i="23"/>
  <c r="S412" i="23"/>
  <c r="Z464" i="23"/>
  <c r="Y464" i="23"/>
  <c r="U39" i="23"/>
  <c r="X39" i="23" s="1"/>
  <c r="Z65" i="23"/>
  <c r="Z94" i="23"/>
  <c r="Y94" i="23"/>
  <c r="U101" i="23"/>
  <c r="Z121" i="23"/>
  <c r="Y121" i="23"/>
  <c r="U132" i="23"/>
  <c r="Z196" i="23"/>
  <c r="Y196" i="23"/>
  <c r="Z214" i="23"/>
  <c r="Y214" i="23"/>
  <c r="X214" i="23"/>
  <c r="Z217" i="23"/>
  <c r="Y217" i="23"/>
  <c r="Y218" i="23"/>
  <c r="U248" i="23"/>
  <c r="U283" i="23"/>
  <c r="U293" i="23"/>
  <c r="P304" i="23"/>
  <c r="S304" i="23"/>
  <c r="Z311" i="23"/>
  <c r="Y311" i="23"/>
  <c r="U359" i="23"/>
  <c r="W388" i="23"/>
  <c r="W384" i="23"/>
  <c r="Z383" i="23"/>
  <c r="W386" i="23"/>
  <c r="Y383" i="23"/>
  <c r="X383" i="23"/>
  <c r="W385" i="23"/>
  <c r="W387" i="23"/>
  <c r="Z425" i="23"/>
  <c r="W426" i="23"/>
  <c r="Y425" i="23"/>
  <c r="Y487" i="23"/>
  <c r="Z487" i="23"/>
  <c r="U55" i="23"/>
  <c r="U78" i="23"/>
  <c r="Z103" i="23"/>
  <c r="Y103" i="23"/>
  <c r="U118" i="23"/>
  <c r="Y204" i="23"/>
  <c r="Z204" i="23"/>
  <c r="U208" i="23"/>
  <c r="P234" i="23"/>
  <c r="S234" i="23"/>
  <c r="U370" i="23"/>
  <c r="Z25" i="23"/>
  <c r="Y25" i="23"/>
  <c r="Z50" i="23"/>
  <c r="Y50" i="23"/>
  <c r="Z53" i="23"/>
  <c r="Y53" i="23"/>
  <c r="Z106" i="23"/>
  <c r="Y106" i="23"/>
  <c r="Z127" i="23"/>
  <c r="Y127" i="23"/>
  <c r="Z147" i="23"/>
  <c r="Y147" i="23"/>
  <c r="U171" i="23"/>
  <c r="X171" i="23" s="1"/>
  <c r="Z183" i="23"/>
  <c r="Y183" i="23"/>
  <c r="Z188" i="23"/>
  <c r="Z200" i="23"/>
  <c r="Y200" i="23"/>
  <c r="U211" i="23"/>
  <c r="U232" i="23"/>
  <c r="Z254" i="23"/>
  <c r="Y254" i="23"/>
  <c r="U323" i="23"/>
  <c r="P340" i="23"/>
  <c r="S340" i="23"/>
  <c r="U406" i="23"/>
  <c r="Z461" i="23"/>
  <c r="Y461" i="23"/>
  <c r="P20" i="23"/>
  <c r="X20" i="23" s="1"/>
  <c r="P22" i="23"/>
  <c r="X22" i="23" s="1"/>
  <c r="P25" i="23"/>
  <c r="X25" i="23" s="1"/>
  <c r="Y28" i="23"/>
  <c r="Y30" i="23"/>
  <c r="Y34" i="23"/>
  <c r="Y36" i="23"/>
  <c r="Y38" i="23"/>
  <c r="Y43" i="23"/>
  <c r="T44" i="23"/>
  <c r="P45" i="23"/>
  <c r="X45" i="23" s="1"/>
  <c r="T52" i="23"/>
  <c r="P53" i="23"/>
  <c r="X53" i="23" s="1"/>
  <c r="Y59" i="23"/>
  <c r="T60" i="23"/>
  <c r="P61" i="23"/>
  <c r="X61" i="23" s="1"/>
  <c r="Y67" i="23"/>
  <c r="Y77" i="23"/>
  <c r="Y79" i="23"/>
  <c r="Y88" i="23"/>
  <c r="Y96" i="23"/>
  <c r="T97" i="23"/>
  <c r="P98" i="23"/>
  <c r="X98" i="23" s="1"/>
  <c r="T105" i="23"/>
  <c r="P106" i="23"/>
  <c r="X106" i="23" s="1"/>
  <c r="Y112" i="23"/>
  <c r="T113" i="23"/>
  <c r="P114" i="23"/>
  <c r="X114" i="23" s="1"/>
  <c r="P121" i="23"/>
  <c r="X121" i="23" s="1"/>
  <c r="Y123" i="23"/>
  <c r="P127" i="23"/>
  <c r="X127" i="23" s="1"/>
  <c r="P130" i="23"/>
  <c r="X130" i="23" s="1"/>
  <c r="Y134" i="23"/>
  <c r="Y136" i="23"/>
  <c r="P139" i="23"/>
  <c r="X139" i="23" s="1"/>
  <c r="Y141" i="23"/>
  <c r="P147" i="23"/>
  <c r="Y163" i="23"/>
  <c r="P167" i="23"/>
  <c r="W169" i="23" s="1"/>
  <c r="Y179" i="23"/>
  <c r="P183" i="23"/>
  <c r="X183" i="23" s="1"/>
  <c r="Y199" i="23"/>
  <c r="T208" i="23"/>
  <c r="P209" i="23"/>
  <c r="X209" i="23" s="1"/>
  <c r="Y215" i="23"/>
  <c r="T216" i="23"/>
  <c r="P217" i="23"/>
  <c r="X217" i="23" s="1"/>
  <c r="Y223" i="23"/>
  <c r="T224" i="23"/>
  <c r="P225" i="23"/>
  <c r="X225" i="23" s="1"/>
  <c r="R234" i="23"/>
  <c r="P241" i="23"/>
  <c r="X241" i="23" s="1"/>
  <c r="P245" i="23"/>
  <c r="X245" i="23" s="1"/>
  <c r="P251" i="23"/>
  <c r="X251" i="23" s="1"/>
  <c r="P264" i="23"/>
  <c r="Y270" i="23"/>
  <c r="P277" i="23"/>
  <c r="R280" i="23"/>
  <c r="Y290" i="23"/>
  <c r="W292" i="23"/>
  <c r="N295" i="23"/>
  <c r="P296" i="23"/>
  <c r="X296" i="23" s="1"/>
  <c r="P301" i="23"/>
  <c r="R304" i="23"/>
  <c r="N310" i="23"/>
  <c r="P311" i="23"/>
  <c r="X311" i="23" s="1"/>
  <c r="P322" i="23"/>
  <c r="R340" i="23"/>
  <c r="N352" i="23"/>
  <c r="P353" i="23"/>
  <c r="X353" i="23" s="1"/>
  <c r="U371" i="23"/>
  <c r="N418" i="23"/>
  <c r="P437" i="23"/>
  <c r="X437" i="23" s="1"/>
  <c r="Z443" i="23"/>
  <c r="P448" i="23"/>
  <c r="U453" i="23"/>
  <c r="Z467" i="23"/>
  <c r="S469" i="23"/>
  <c r="U469" i="23" s="1"/>
  <c r="S482" i="23"/>
  <c r="U482" i="23" s="1"/>
  <c r="X482" i="23" s="1"/>
  <c r="S488" i="23"/>
  <c r="U488" i="23" s="1"/>
  <c r="X493" i="23"/>
  <c r="P497" i="23"/>
  <c r="X497" i="23" s="1"/>
  <c r="Z501" i="23"/>
  <c r="Z507" i="23"/>
  <c r="S518" i="23"/>
  <c r="U518" i="23" s="1"/>
  <c r="P518" i="23"/>
  <c r="P519" i="23"/>
  <c r="X519" i="23" s="1"/>
  <c r="T521" i="23"/>
  <c r="U524" i="23"/>
  <c r="P527" i="23"/>
  <c r="X527" i="23" s="1"/>
  <c r="Y551" i="23"/>
  <c r="S574" i="23"/>
  <c r="U574" i="23" s="1"/>
  <c r="P574" i="23"/>
  <c r="S582" i="23"/>
  <c r="U582" i="23" s="1"/>
  <c r="P582" i="23"/>
  <c r="Z585" i="23"/>
  <c r="Y585" i="23"/>
  <c r="Z597" i="23"/>
  <c r="Y597" i="23"/>
  <c r="Z600" i="23"/>
  <c r="Y600" i="23"/>
  <c r="U649" i="23"/>
  <c r="W715" i="23"/>
  <c r="W711" i="23"/>
  <c r="Z710" i="23"/>
  <c r="Y710" i="23"/>
  <c r="W713" i="23"/>
  <c r="W712" i="23"/>
  <c r="W714" i="23"/>
  <c r="Y734" i="23"/>
  <c r="U743" i="23"/>
  <c r="Z771" i="23"/>
  <c r="Y771" i="23"/>
  <c r="W782" i="23"/>
  <c r="Z781" i="23"/>
  <c r="Y781" i="23"/>
  <c r="W784" i="23"/>
  <c r="W783" i="23"/>
  <c r="U785" i="23"/>
  <c r="Z803" i="23"/>
  <c r="Y803" i="23"/>
  <c r="U804" i="23"/>
  <c r="X817" i="23"/>
  <c r="U822" i="23"/>
  <c r="U824" i="23"/>
  <c r="Z828" i="23"/>
  <c r="Y828" i="23"/>
  <c r="Z833" i="23"/>
  <c r="Y833" i="23"/>
  <c r="Z848" i="23"/>
  <c r="Y848" i="23"/>
  <c r="Z856" i="23"/>
  <c r="Y856" i="23"/>
  <c r="Z864" i="23"/>
  <c r="Y864" i="23"/>
  <c r="Z872" i="23"/>
  <c r="Y872" i="23"/>
  <c r="Z880" i="23"/>
  <c r="Y880" i="23"/>
  <c r="Z888" i="23"/>
  <c r="Y888" i="23"/>
  <c r="Z896" i="23"/>
  <c r="Y896" i="23"/>
  <c r="Z904" i="23"/>
  <c r="Y904" i="23"/>
  <c r="Z28" i="23"/>
  <c r="Z30" i="23"/>
  <c r="Z34" i="23"/>
  <c r="Z36" i="23"/>
  <c r="Z38" i="23"/>
  <c r="Z43" i="23"/>
  <c r="T47" i="23"/>
  <c r="T55" i="23"/>
  <c r="Z59" i="23"/>
  <c r="T63" i="23"/>
  <c r="Z67" i="23"/>
  <c r="Z77" i="23"/>
  <c r="Z79" i="23"/>
  <c r="P86" i="23"/>
  <c r="Z88" i="23"/>
  <c r="T92" i="23"/>
  <c r="P93" i="23"/>
  <c r="Z96" i="23"/>
  <c r="T100" i="23"/>
  <c r="P101" i="23"/>
  <c r="T108" i="23"/>
  <c r="P109" i="23"/>
  <c r="X109" i="23" s="1"/>
  <c r="Z112" i="23"/>
  <c r="P118" i="23"/>
  <c r="Z123" i="23"/>
  <c r="P132" i="23"/>
  <c r="Z136" i="23"/>
  <c r="Z141" i="23"/>
  <c r="W142" i="23"/>
  <c r="P156" i="23"/>
  <c r="W162" i="23"/>
  <c r="Z163" i="23"/>
  <c r="W164" i="23"/>
  <c r="W178" i="23"/>
  <c r="Z179" i="23"/>
  <c r="W180" i="23"/>
  <c r="Z199" i="23"/>
  <c r="T203" i="23"/>
  <c r="T211" i="23"/>
  <c r="Z215" i="23"/>
  <c r="T219" i="23"/>
  <c r="Z223" i="23"/>
  <c r="U229" i="23"/>
  <c r="P248" i="23"/>
  <c r="X248" i="23" s="1"/>
  <c r="Z253" i="23"/>
  <c r="P260" i="23"/>
  <c r="R264" i="23"/>
  <c r="Z270" i="23"/>
  <c r="W271" i="23"/>
  <c r="U281" i="23"/>
  <c r="X281" i="23" s="1"/>
  <c r="Z290" i="23"/>
  <c r="W291" i="23"/>
  <c r="P293" i="23"/>
  <c r="U305" i="23"/>
  <c r="R322" i="23"/>
  <c r="H323" i="23"/>
  <c r="J323" i="23" s="1"/>
  <c r="P329" i="23"/>
  <c r="P359" i="23"/>
  <c r="U377" i="23"/>
  <c r="X377" i="23" s="1"/>
  <c r="P407" i="23"/>
  <c r="W417" i="23"/>
  <c r="U419" i="23"/>
  <c r="W432" i="23"/>
  <c r="U448" i="23"/>
  <c r="P462" i="23"/>
  <c r="S465" i="23"/>
  <c r="U465" i="23" s="1"/>
  <c r="P470" i="23"/>
  <c r="H477" i="23"/>
  <c r="J477" i="23" s="1"/>
  <c r="S509" i="23"/>
  <c r="U509" i="23" s="1"/>
  <c r="P509" i="23"/>
  <c r="S530" i="23"/>
  <c r="U530" i="23" s="1"/>
  <c r="P530" i="23"/>
  <c r="X541" i="23"/>
  <c r="W545" i="23"/>
  <c r="S558" i="23"/>
  <c r="U558" i="23" s="1"/>
  <c r="P558" i="23"/>
  <c r="U559" i="23"/>
  <c r="Y560" i="23"/>
  <c r="Z572" i="23"/>
  <c r="Y572" i="23"/>
  <c r="Z580" i="23"/>
  <c r="Y580" i="23"/>
  <c r="U609" i="23"/>
  <c r="U617" i="23"/>
  <c r="U624" i="23"/>
  <c r="Y628" i="23"/>
  <c r="Z628" i="23"/>
  <c r="U638" i="23"/>
  <c r="Z639" i="23"/>
  <c r="Y639" i="23"/>
  <c r="X704" i="23"/>
  <c r="Z726" i="23"/>
  <c r="Y726" i="23"/>
  <c r="U727" i="23"/>
  <c r="Y731" i="23"/>
  <c r="Z736" i="23"/>
  <c r="Y736" i="23"/>
  <c r="U745" i="23"/>
  <c r="X757" i="23"/>
  <c r="U762" i="23"/>
  <c r="U764" i="23"/>
  <c r="Z773" i="23"/>
  <c r="Y773" i="23"/>
  <c r="Z792" i="23"/>
  <c r="Y792" i="23"/>
  <c r="Z796" i="23"/>
  <c r="Y796" i="23"/>
  <c r="Z809" i="23"/>
  <c r="Y809" i="23"/>
  <c r="Z837" i="23"/>
  <c r="Y837" i="23"/>
  <c r="Z909" i="23"/>
  <c r="R236" i="23"/>
  <c r="U265" i="23"/>
  <c r="R274" i="23"/>
  <c r="R400" i="23"/>
  <c r="R412" i="23"/>
  <c r="U407" i="23"/>
  <c r="H413" i="23"/>
  <c r="J413" i="23" s="1"/>
  <c r="S458" i="23"/>
  <c r="U458" i="23" s="1"/>
  <c r="U462" i="23"/>
  <c r="U470" i="23"/>
  <c r="S486" i="23"/>
  <c r="U486" i="23" s="1"/>
  <c r="S498" i="23"/>
  <c r="U498" i="23" s="1"/>
  <c r="X498" i="23" s="1"/>
  <c r="S517" i="23"/>
  <c r="U517" i="23" s="1"/>
  <c r="P517" i="23"/>
  <c r="S546" i="23"/>
  <c r="U546" i="23" s="1"/>
  <c r="P546" i="23"/>
  <c r="U547" i="23"/>
  <c r="Z576" i="23"/>
  <c r="Y576" i="23"/>
  <c r="S584" i="23"/>
  <c r="U584" i="23" s="1"/>
  <c r="P584" i="23"/>
  <c r="Z602" i="23"/>
  <c r="Y602" i="23"/>
  <c r="U603" i="23"/>
  <c r="Z656" i="23"/>
  <c r="S715" i="23"/>
  <c r="U715" i="23" s="1"/>
  <c r="P715" i="23"/>
  <c r="Z722" i="23"/>
  <c r="Y722" i="23"/>
  <c r="Z738" i="23"/>
  <c r="Y738" i="23"/>
  <c r="Z749" i="23"/>
  <c r="Y749" i="23"/>
  <c r="Y774" i="23"/>
  <c r="Z823" i="23"/>
  <c r="Y823" i="23"/>
  <c r="Z839" i="23"/>
  <c r="Y839" i="23"/>
  <c r="Z842" i="23"/>
  <c r="Y842" i="23"/>
  <c r="Z850" i="23"/>
  <c r="Y850" i="23"/>
  <c r="Z858" i="23"/>
  <c r="Y858" i="23"/>
  <c r="Z866" i="23"/>
  <c r="Y866" i="23"/>
  <c r="Z874" i="23"/>
  <c r="Y874" i="23"/>
  <c r="Z882" i="23"/>
  <c r="Y882" i="23"/>
  <c r="Z890" i="23"/>
  <c r="Y890" i="23"/>
  <c r="Z898" i="23"/>
  <c r="Y898" i="23"/>
  <c r="Z906" i="23"/>
  <c r="Y906" i="23"/>
  <c r="W174" i="23"/>
  <c r="W192" i="23"/>
  <c r="H311" i="23"/>
  <c r="J311" i="23" s="1"/>
  <c r="U490" i="23"/>
  <c r="X503" i="23"/>
  <c r="X507" i="23"/>
  <c r="Y519" i="23"/>
  <c r="S525" i="23"/>
  <c r="U525" i="23" s="1"/>
  <c r="P525" i="23"/>
  <c r="Y527" i="23"/>
  <c r="U531" i="23"/>
  <c r="U565" i="23"/>
  <c r="T565" i="23"/>
  <c r="Y569" i="23"/>
  <c r="Z569" i="23"/>
  <c r="Y577" i="23"/>
  <c r="Z591" i="23"/>
  <c r="Y591" i="23"/>
  <c r="Z593" i="23"/>
  <c r="Y593" i="23"/>
  <c r="Z630" i="23"/>
  <c r="Y630" i="23"/>
  <c r="Y633" i="23"/>
  <c r="Z633" i="23"/>
  <c r="S640" i="23"/>
  <c r="U640" i="23" s="1"/>
  <c r="P640" i="23"/>
  <c r="S679" i="23"/>
  <c r="U679" i="23" s="1"/>
  <c r="P679" i="23"/>
  <c r="S709" i="23"/>
  <c r="U709" i="23" s="1"/>
  <c r="P709" i="23"/>
  <c r="Z719" i="23"/>
  <c r="Y719" i="23"/>
  <c r="Y733" i="23"/>
  <c r="X750" i="23"/>
  <c r="Z750" i="23"/>
  <c r="Z763" i="23"/>
  <c r="Y763" i="23"/>
  <c r="Z778" i="23"/>
  <c r="Y778" i="23"/>
  <c r="X778" i="23"/>
  <c r="Y800" i="23"/>
  <c r="X800" i="23"/>
  <c r="Z800" i="23"/>
  <c r="Z814" i="23"/>
  <c r="Y814" i="23"/>
  <c r="Z816" i="23"/>
  <c r="Y816" i="23"/>
  <c r="Z820" i="23"/>
  <c r="Y820" i="23"/>
  <c r="Y965" i="23"/>
  <c r="X965" i="23"/>
  <c r="Z965" i="23"/>
  <c r="W143" i="23"/>
  <c r="W165" i="23"/>
  <c r="W181" i="23"/>
  <c r="W272" i="23"/>
  <c r="W478" i="23"/>
  <c r="Z477" i="23"/>
  <c r="X501" i="23"/>
  <c r="Y504" i="23"/>
  <c r="Z504" i="23"/>
  <c r="Z541" i="23"/>
  <c r="Y541" i="23"/>
  <c r="U552" i="23"/>
  <c r="X613" i="23"/>
  <c r="Z623" i="23"/>
  <c r="Z629" i="23"/>
  <c r="Y629" i="23"/>
  <c r="S636" i="23"/>
  <c r="P636" i="23"/>
  <c r="U643" i="23"/>
  <c r="H650" i="23"/>
  <c r="J650" i="23" s="1"/>
  <c r="U697" i="23"/>
  <c r="Z732" i="23"/>
  <c r="Y732" i="23"/>
  <c r="X752" i="23"/>
  <c r="Z754" i="23"/>
  <c r="Z765" i="23"/>
  <c r="Y765" i="23"/>
  <c r="Z844" i="23"/>
  <c r="Y844" i="23"/>
  <c r="Z852" i="23"/>
  <c r="Y852" i="23"/>
  <c r="Z860" i="23"/>
  <c r="Y860" i="23"/>
  <c r="Z868" i="23"/>
  <c r="Y868" i="23"/>
  <c r="Z876" i="23"/>
  <c r="Y876" i="23"/>
  <c r="Z884" i="23"/>
  <c r="Y884" i="23"/>
  <c r="Z892" i="23"/>
  <c r="Y892" i="23"/>
  <c r="Z900" i="23"/>
  <c r="Y900" i="23"/>
  <c r="P23" i="23"/>
  <c r="X23" i="23" s="1"/>
  <c r="P44" i="23"/>
  <c r="P52" i="23"/>
  <c r="P60" i="23"/>
  <c r="P70" i="23"/>
  <c r="X70" i="23" s="1"/>
  <c r="P72" i="23"/>
  <c r="P74" i="23"/>
  <c r="X74" i="23" s="1"/>
  <c r="W170" i="23"/>
  <c r="P208" i="23"/>
  <c r="P216" i="23"/>
  <c r="P224" i="23"/>
  <c r="P229" i="23"/>
  <c r="P232" i="23"/>
  <c r="R289" i="23"/>
  <c r="P406" i="23"/>
  <c r="P453" i="23"/>
  <c r="X466" i="23"/>
  <c r="X468" i="23"/>
  <c r="P472" i="23"/>
  <c r="X472" i="23" s="1"/>
  <c r="X477" i="23"/>
  <c r="Z493" i="23"/>
  <c r="U495" i="23"/>
  <c r="U500" i="23"/>
  <c r="H547" i="23"/>
  <c r="J547" i="23" s="1"/>
  <c r="S655" i="23"/>
  <c r="U655" i="23" s="1"/>
  <c r="P655" i="23"/>
  <c r="W679" i="23"/>
  <c r="W675" i="23"/>
  <c r="Z674" i="23"/>
  <c r="W677" i="23"/>
  <c r="Y674" i="23"/>
  <c r="W676" i="23"/>
  <c r="W678" i="23"/>
  <c r="Z680" i="23"/>
  <c r="Y680" i="23"/>
  <c r="Z689" i="23"/>
  <c r="Y689" i="23"/>
  <c r="X689" i="23"/>
  <c r="H698" i="23"/>
  <c r="J698" i="23" s="1"/>
  <c r="U737" i="23"/>
  <c r="Z779" i="23"/>
  <c r="Y779" i="23"/>
  <c r="X781" i="23"/>
  <c r="Z790" i="23"/>
  <c r="Y790" i="23"/>
  <c r="U802" i="23"/>
  <c r="Z815" i="23"/>
  <c r="Y815" i="23"/>
  <c r="U830" i="23"/>
  <c r="U832" i="23"/>
  <c r="W274" i="23"/>
  <c r="W416" i="23"/>
  <c r="Y477" i="23"/>
  <c r="W479" i="23"/>
  <c r="Y483" i="23"/>
  <c r="Z483" i="23"/>
  <c r="Y508" i="23"/>
  <c r="Z564" i="23"/>
  <c r="Y564" i="23"/>
  <c r="S566" i="23"/>
  <c r="U566" i="23" s="1"/>
  <c r="P566" i="23"/>
  <c r="U573" i="23"/>
  <c r="T573" i="23"/>
  <c r="U581" i="23"/>
  <c r="T581" i="23"/>
  <c r="Z631" i="23"/>
  <c r="Y631" i="23"/>
  <c r="U632" i="23"/>
  <c r="P634" i="23"/>
  <c r="S634" i="23"/>
  <c r="Z716" i="23"/>
  <c r="Y716" i="23"/>
  <c r="U717" i="23"/>
  <c r="Z729" i="23"/>
  <c r="Y729" i="23"/>
  <c r="X732" i="23"/>
  <c r="U739" i="23"/>
  <c r="Z746" i="23"/>
  <c r="Z755" i="23"/>
  <c r="Y755" i="23"/>
  <c r="X765" i="23"/>
  <c r="U772" i="23"/>
  <c r="Z801" i="23"/>
  <c r="Y801" i="23"/>
  <c r="Z808" i="23"/>
  <c r="Y808" i="23"/>
  <c r="Y812" i="23"/>
  <c r="Z817" i="23"/>
  <c r="Y817" i="23"/>
  <c r="Z846" i="23"/>
  <c r="Y846" i="23"/>
  <c r="Z854" i="23"/>
  <c r="Y854" i="23"/>
  <c r="Z862" i="23"/>
  <c r="Y862" i="23"/>
  <c r="Z870" i="23"/>
  <c r="Y870" i="23"/>
  <c r="Z878" i="23"/>
  <c r="Y878" i="23"/>
  <c r="Z886" i="23"/>
  <c r="Y886" i="23"/>
  <c r="Z894" i="23"/>
  <c r="Y894" i="23"/>
  <c r="Z902" i="23"/>
  <c r="Y902" i="23"/>
  <c r="X141" i="23"/>
  <c r="W166" i="23"/>
  <c r="X270" i="23"/>
  <c r="X464" i="23"/>
  <c r="Y471" i="23"/>
  <c r="Z471" i="23"/>
  <c r="S510" i="23"/>
  <c r="U510" i="23" s="1"/>
  <c r="P510" i="23"/>
  <c r="Y516" i="23"/>
  <c r="Z601" i="23"/>
  <c r="Y601" i="23"/>
  <c r="Z613" i="23"/>
  <c r="W615" i="23"/>
  <c r="Y613" i="23"/>
  <c r="W616" i="23"/>
  <c r="W614" i="23"/>
  <c r="U667" i="23"/>
  <c r="S691" i="23"/>
  <c r="U691" i="23" s="1"/>
  <c r="P691" i="23"/>
  <c r="W708" i="23"/>
  <c r="W709" i="23"/>
  <c r="W705" i="23"/>
  <c r="Z704" i="23"/>
  <c r="Y704" i="23"/>
  <c r="W707" i="23"/>
  <c r="W706" i="23"/>
  <c r="Z723" i="23"/>
  <c r="Z741" i="23"/>
  <c r="Y741" i="23"/>
  <c r="Z752" i="23"/>
  <c r="Y752" i="23"/>
  <c r="Z757" i="23"/>
  <c r="Y757" i="23"/>
  <c r="Z831" i="23"/>
  <c r="Y831" i="23"/>
  <c r="U505" i="23"/>
  <c r="U513" i="23"/>
  <c r="X513" i="23" s="1"/>
  <c r="U521" i="23"/>
  <c r="U529" i="23"/>
  <c r="U536" i="23"/>
  <c r="U556" i="23"/>
  <c r="U562" i="23"/>
  <c r="X562" i="23" s="1"/>
  <c r="U570" i="23"/>
  <c r="X570" i="23" s="1"/>
  <c r="U586" i="23"/>
  <c r="Y587" i="23"/>
  <c r="P593" i="23"/>
  <c r="X593" i="23" s="1"/>
  <c r="P602" i="23"/>
  <c r="X602" i="23" s="1"/>
  <c r="Y604" i="23"/>
  <c r="U621" i="23"/>
  <c r="Y625" i="23"/>
  <c r="U627" i="23"/>
  <c r="X627" i="23" s="1"/>
  <c r="P631" i="23"/>
  <c r="X631" i="23" s="1"/>
  <c r="R634" i="23"/>
  <c r="Y641" i="23"/>
  <c r="U650" i="23"/>
  <c r="U668" i="23"/>
  <c r="P673" i="23"/>
  <c r="P680" i="23"/>
  <c r="X680" i="23" s="1"/>
  <c r="Y686" i="23"/>
  <c r="U698" i="23"/>
  <c r="X698" i="23" s="1"/>
  <c r="P703" i="23"/>
  <c r="P716" i="23"/>
  <c r="X716" i="23" s="1"/>
  <c r="Y718" i="23"/>
  <c r="U720" i="23"/>
  <c r="P722" i="23"/>
  <c r="X722" i="23" s="1"/>
  <c r="Y725" i="23"/>
  <c r="P726" i="23"/>
  <c r="X726" i="23" s="1"/>
  <c r="Y728" i="23"/>
  <c r="U730" i="23"/>
  <c r="U751" i="23"/>
  <c r="Y753" i="23"/>
  <c r="T754" i="23"/>
  <c r="P755" i="23"/>
  <c r="X755" i="23" s="1"/>
  <c r="Y761" i="23"/>
  <c r="T762" i="23"/>
  <c r="P763" i="23"/>
  <c r="X763" i="23" s="1"/>
  <c r="U767" i="23"/>
  <c r="X767" i="23" s="1"/>
  <c r="T770" i="23"/>
  <c r="P771" i="23"/>
  <c r="X771" i="23" s="1"/>
  <c r="Y777" i="23"/>
  <c r="T778" i="23"/>
  <c r="P779" i="23"/>
  <c r="X779" i="23" s="1"/>
  <c r="Y789" i="23"/>
  <c r="Y791" i="23"/>
  <c r="Y793" i="23"/>
  <c r="Y795" i="23"/>
  <c r="Y797" i="23"/>
  <c r="P803" i="23"/>
  <c r="X803" i="23" s="1"/>
  <c r="U811" i="23"/>
  <c r="X811" i="23" s="1"/>
  <c r="Y813" i="23"/>
  <c r="T814" i="23"/>
  <c r="P815" i="23"/>
  <c r="X815" i="23" s="1"/>
  <c r="U819" i="23"/>
  <c r="Y821" i="23"/>
  <c r="T822" i="23"/>
  <c r="P823" i="23"/>
  <c r="X823" i="23" s="1"/>
  <c r="U827" i="23"/>
  <c r="X827" i="23" s="1"/>
  <c r="Y829" i="23"/>
  <c r="T830" i="23"/>
  <c r="P831" i="23"/>
  <c r="X831" i="23" s="1"/>
  <c r="Y835" i="23"/>
  <c r="T836" i="23"/>
  <c r="P837" i="23"/>
  <c r="X837" i="23" s="1"/>
  <c r="U841" i="23"/>
  <c r="X841" i="23" s="1"/>
  <c r="P842" i="23"/>
  <c r="X842" i="23" s="1"/>
  <c r="U843" i="23"/>
  <c r="P844" i="23"/>
  <c r="X844" i="23" s="1"/>
  <c r="U845" i="23"/>
  <c r="P846" i="23"/>
  <c r="X846" i="23" s="1"/>
  <c r="U847" i="23"/>
  <c r="X847" i="23" s="1"/>
  <c r="P848" i="23"/>
  <c r="X848" i="23" s="1"/>
  <c r="U849" i="23"/>
  <c r="P850" i="23"/>
  <c r="X850" i="23" s="1"/>
  <c r="U851" i="23"/>
  <c r="P852" i="23"/>
  <c r="X852" i="23" s="1"/>
  <c r="U853" i="23"/>
  <c r="P854" i="23"/>
  <c r="X854" i="23" s="1"/>
  <c r="U855" i="23"/>
  <c r="X855" i="23" s="1"/>
  <c r="P856" i="23"/>
  <c r="X856" i="23" s="1"/>
  <c r="P858" i="23"/>
  <c r="X858" i="23" s="1"/>
  <c r="U859" i="23"/>
  <c r="P860" i="23"/>
  <c r="X860" i="23" s="1"/>
  <c r="U861" i="23"/>
  <c r="P862" i="23"/>
  <c r="X862" i="23" s="1"/>
  <c r="U863" i="23"/>
  <c r="X863" i="23" s="1"/>
  <c r="P864" i="23"/>
  <c r="X864" i="23" s="1"/>
  <c r="P866" i="23"/>
  <c r="X866" i="23" s="1"/>
  <c r="U867" i="23"/>
  <c r="P868" i="23"/>
  <c r="X868" i="23" s="1"/>
  <c r="U869" i="23"/>
  <c r="P870" i="23"/>
  <c r="X870" i="23" s="1"/>
  <c r="U871" i="23"/>
  <c r="P872" i="23"/>
  <c r="X872" i="23" s="1"/>
  <c r="P874" i="23"/>
  <c r="X874" i="23" s="1"/>
  <c r="U875" i="23"/>
  <c r="P876" i="23"/>
  <c r="X876" i="23" s="1"/>
  <c r="U877" i="23"/>
  <c r="P878" i="23"/>
  <c r="X878" i="23" s="1"/>
  <c r="U879" i="23"/>
  <c r="X879" i="23" s="1"/>
  <c r="P880" i="23"/>
  <c r="X880" i="23" s="1"/>
  <c r="P882" i="23"/>
  <c r="X882" i="23" s="1"/>
  <c r="U883" i="23"/>
  <c r="P884" i="23"/>
  <c r="X884" i="23" s="1"/>
  <c r="U885" i="23"/>
  <c r="P886" i="23"/>
  <c r="X886" i="23" s="1"/>
  <c r="U887" i="23"/>
  <c r="P888" i="23"/>
  <c r="X888" i="23" s="1"/>
  <c r="U889" i="23"/>
  <c r="X889" i="23" s="1"/>
  <c r="P890" i="23"/>
  <c r="X890" i="23" s="1"/>
  <c r="U891" i="23"/>
  <c r="P892" i="23"/>
  <c r="X892" i="23" s="1"/>
  <c r="U893" i="23"/>
  <c r="P894" i="23"/>
  <c r="X894" i="23" s="1"/>
  <c r="P896" i="23"/>
  <c r="X896" i="23" s="1"/>
  <c r="U897" i="23"/>
  <c r="P898" i="23"/>
  <c r="X898" i="23" s="1"/>
  <c r="U899" i="23"/>
  <c r="P900" i="23"/>
  <c r="X900" i="23" s="1"/>
  <c r="P902" i="23"/>
  <c r="X902" i="23" s="1"/>
  <c r="U903" i="23"/>
  <c r="X903" i="23" s="1"/>
  <c r="P904" i="23"/>
  <c r="X904" i="23" s="1"/>
  <c r="U905" i="23"/>
  <c r="X905" i="23" s="1"/>
  <c r="P906" i="23"/>
  <c r="X906" i="23" s="1"/>
  <c r="U908" i="23"/>
  <c r="U916" i="23"/>
  <c r="U924" i="23"/>
  <c r="U932" i="23"/>
  <c r="X932" i="23" s="1"/>
  <c r="U940" i="23"/>
  <c r="U948" i="23"/>
  <c r="U964" i="23"/>
  <c r="X964" i="23" s="1"/>
  <c r="Z973" i="23"/>
  <c r="U980" i="23"/>
  <c r="X980" i="23" s="1"/>
  <c r="Z981" i="23"/>
  <c r="U988" i="23"/>
  <c r="S996" i="23"/>
  <c r="U996" i="23" s="1"/>
  <c r="X996" i="23" s="1"/>
  <c r="U1036" i="23"/>
  <c r="U1052" i="23"/>
  <c r="X1052" i="23" s="1"/>
  <c r="U1084" i="23"/>
  <c r="X1084" i="23" s="1"/>
  <c r="U1092" i="23"/>
  <c r="U1098" i="23"/>
  <c r="U1109" i="23"/>
  <c r="U1114" i="23"/>
  <c r="X1114" i="23" s="1"/>
  <c r="U1125" i="23"/>
  <c r="U1130" i="23"/>
  <c r="U1137" i="23"/>
  <c r="U1153" i="23"/>
  <c r="U1169" i="23"/>
  <c r="U1172" i="23"/>
  <c r="X1172" i="23" s="1"/>
  <c r="U1185" i="23"/>
  <c r="U1201" i="23"/>
  <c r="U1217" i="23"/>
  <c r="U1233" i="23"/>
  <c r="U1245" i="23"/>
  <c r="U1261" i="23"/>
  <c r="U1277" i="23"/>
  <c r="U1293" i="23"/>
  <c r="U1309" i="23"/>
  <c r="U1325" i="23"/>
  <c r="U1341" i="23"/>
  <c r="U1357" i="23"/>
  <c r="U1373" i="23"/>
  <c r="U1389" i="23"/>
  <c r="U1405" i="23"/>
  <c r="U1421" i="23"/>
  <c r="U1437" i="23"/>
  <c r="Z1455" i="23"/>
  <c r="Y1455" i="23"/>
  <c r="Z1459" i="23"/>
  <c r="Y1459" i="23"/>
  <c r="Z1494" i="23"/>
  <c r="Y1494" i="23"/>
  <c r="Z1519" i="23"/>
  <c r="Y1519" i="23"/>
  <c r="Z1523" i="23"/>
  <c r="Y1523" i="23"/>
  <c r="Z1587" i="23"/>
  <c r="U637" i="23"/>
  <c r="Z686" i="23"/>
  <c r="W687" i="23"/>
  <c r="S911" i="23"/>
  <c r="U911" i="23" s="1"/>
  <c r="S919" i="23"/>
  <c r="U919" i="23" s="1"/>
  <c r="S927" i="23"/>
  <c r="U927" i="23" s="1"/>
  <c r="S935" i="23"/>
  <c r="U935" i="23" s="1"/>
  <c r="S943" i="23"/>
  <c r="U943" i="23" s="1"/>
  <c r="S951" i="23"/>
  <c r="U951" i="23" s="1"/>
  <c r="S959" i="23"/>
  <c r="U959" i="23" s="1"/>
  <c r="S967" i="23"/>
  <c r="U967" i="23" s="1"/>
  <c r="S975" i="23"/>
  <c r="U975" i="23" s="1"/>
  <c r="S983" i="23"/>
  <c r="U983" i="23" s="1"/>
  <c r="S991" i="23"/>
  <c r="U991" i="23" s="1"/>
  <c r="S997" i="23"/>
  <c r="U997" i="23" s="1"/>
  <c r="S1033" i="23"/>
  <c r="U1033" i="23" s="1"/>
  <c r="P1033" i="23"/>
  <c r="S1041" i="23"/>
  <c r="P1041" i="23"/>
  <c r="S1049" i="23"/>
  <c r="U1049" i="23" s="1"/>
  <c r="P1049" i="23"/>
  <c r="S1057" i="23"/>
  <c r="U1057" i="23" s="1"/>
  <c r="P1057" i="23"/>
  <c r="S1065" i="23"/>
  <c r="U1065" i="23" s="1"/>
  <c r="P1065" i="23"/>
  <c r="S1073" i="23"/>
  <c r="U1073" i="23" s="1"/>
  <c r="P1073" i="23"/>
  <c r="S1081" i="23"/>
  <c r="U1081" i="23" s="1"/>
  <c r="P1081" i="23"/>
  <c r="S1089" i="23"/>
  <c r="U1089" i="23" s="1"/>
  <c r="P1089" i="23"/>
  <c r="U1103" i="23"/>
  <c r="U1108" i="23"/>
  <c r="X1108" i="23" s="1"/>
  <c r="U1119" i="23"/>
  <c r="U1124" i="23"/>
  <c r="U1162" i="23"/>
  <c r="X1162" i="23" s="1"/>
  <c r="Z1175" i="23"/>
  <c r="Y1175" i="23"/>
  <c r="U1178" i="23"/>
  <c r="Z1191" i="23"/>
  <c r="U1194" i="23"/>
  <c r="X1194" i="23" s="1"/>
  <c r="Y1223" i="23"/>
  <c r="U1226" i="23"/>
  <c r="X1226" i="23" s="1"/>
  <c r="Z1247" i="23"/>
  <c r="Y1247" i="23"/>
  <c r="Z1279" i="23"/>
  <c r="Y1279" i="23"/>
  <c r="Y1295" i="23"/>
  <c r="Z1311" i="23"/>
  <c r="Z1327" i="23"/>
  <c r="Y1327" i="23"/>
  <c r="Z1343" i="23"/>
  <c r="Y1343" i="23"/>
  <c r="Z1359" i="23"/>
  <c r="Y1359" i="23"/>
  <c r="Z1375" i="23"/>
  <c r="Y1375" i="23"/>
  <c r="Y1391" i="23"/>
  <c r="Z1407" i="23"/>
  <c r="Y1407" i="23"/>
  <c r="Y1439" i="23"/>
  <c r="Z1463" i="23"/>
  <c r="Y1463" i="23"/>
  <c r="X1463" i="23"/>
  <c r="Z1467" i="23"/>
  <c r="Y1467" i="23"/>
  <c r="Z1502" i="23"/>
  <c r="Y1502" i="23"/>
  <c r="Y1525" i="23"/>
  <c r="Z1527" i="23"/>
  <c r="Y1527" i="23"/>
  <c r="X1527" i="23"/>
  <c r="Z1558" i="23"/>
  <c r="Y1558" i="23"/>
  <c r="Y1591" i="23"/>
  <c r="Z1591" i="23"/>
  <c r="R636" i="23"/>
  <c r="N661" i="23"/>
  <c r="N685" i="23"/>
  <c r="W691" i="23"/>
  <c r="J801" i="23"/>
  <c r="U1034" i="23"/>
  <c r="U1042" i="23"/>
  <c r="U1058" i="23"/>
  <c r="U1090" i="23"/>
  <c r="U1097" i="23"/>
  <c r="U1102" i="23"/>
  <c r="U1113" i="23"/>
  <c r="U1118" i="23"/>
  <c r="U1129" i="23"/>
  <c r="Y1149" i="23"/>
  <c r="U1168" i="23"/>
  <c r="Z1181" i="23"/>
  <c r="Y1181" i="23"/>
  <c r="U1184" i="23"/>
  <c r="U1232" i="23"/>
  <c r="Z1249" i="23"/>
  <c r="Y1249" i="23"/>
  <c r="Z1281" i="23"/>
  <c r="Y1281" i="23"/>
  <c r="Y1297" i="23"/>
  <c r="Z1313" i="23"/>
  <c r="Y1313" i="23"/>
  <c r="Z1329" i="23"/>
  <c r="Y1329" i="23"/>
  <c r="Z1345" i="23"/>
  <c r="Y1345" i="23"/>
  <c r="Z1361" i="23"/>
  <c r="Y1361" i="23"/>
  <c r="Y1377" i="23"/>
  <c r="Z1425" i="23"/>
  <c r="Z1446" i="23"/>
  <c r="Y1446" i="23"/>
  <c r="Z1471" i="23"/>
  <c r="Y1471" i="23"/>
  <c r="Z1510" i="23"/>
  <c r="Y1510" i="23"/>
  <c r="Z1535" i="23"/>
  <c r="Y1535" i="23"/>
  <c r="X1535" i="23"/>
  <c r="Z1539" i="23"/>
  <c r="Y1539" i="23"/>
  <c r="Z1568" i="23"/>
  <c r="Y1568" i="23"/>
  <c r="Y1581" i="23"/>
  <c r="Z1581" i="23"/>
  <c r="X1581" i="23"/>
  <c r="P526" i="23"/>
  <c r="P552" i="23"/>
  <c r="P559" i="23"/>
  <c r="P567" i="23"/>
  <c r="P575" i="23"/>
  <c r="X575" i="23" s="1"/>
  <c r="P598" i="23"/>
  <c r="X598" i="23" s="1"/>
  <c r="P601" i="23"/>
  <c r="X601" i="23" s="1"/>
  <c r="P609" i="23"/>
  <c r="X609" i="23" s="1"/>
  <c r="P617" i="23"/>
  <c r="P630" i="23"/>
  <c r="X630" i="23" s="1"/>
  <c r="P635" i="23"/>
  <c r="P638" i="23"/>
  <c r="P643" i="23"/>
  <c r="W690" i="23"/>
  <c r="P692" i="23"/>
  <c r="P733" i="23"/>
  <c r="P735" i="23"/>
  <c r="P737" i="23"/>
  <c r="P739" i="23"/>
  <c r="P741" i="23"/>
  <c r="X741" i="23" s="1"/>
  <c r="P743" i="23"/>
  <c r="P745" i="23"/>
  <c r="P756" i="23"/>
  <c r="P764" i="23"/>
  <c r="P772" i="23"/>
  <c r="P802" i="23"/>
  <c r="P808" i="23"/>
  <c r="P816" i="23"/>
  <c r="X816" i="23" s="1"/>
  <c r="P824" i="23"/>
  <c r="P832" i="23"/>
  <c r="X832" i="23" s="1"/>
  <c r="P838" i="23"/>
  <c r="P912" i="23"/>
  <c r="P920" i="23"/>
  <c r="P928" i="23"/>
  <c r="P936" i="23"/>
  <c r="P944" i="23"/>
  <c r="P952" i="23"/>
  <c r="P960" i="23"/>
  <c r="P968" i="23"/>
  <c r="P976" i="23"/>
  <c r="P984" i="23"/>
  <c r="P992" i="23"/>
  <c r="U999" i="23"/>
  <c r="S1031" i="23"/>
  <c r="U1031" i="23" s="1"/>
  <c r="P1031" i="23"/>
  <c r="S1039" i="23"/>
  <c r="U1039" i="23" s="1"/>
  <c r="P1039" i="23"/>
  <c r="U1041" i="23"/>
  <c r="S1047" i="23"/>
  <c r="U1047" i="23" s="1"/>
  <c r="P1047" i="23"/>
  <c r="S1055" i="23"/>
  <c r="U1055" i="23" s="1"/>
  <c r="P1055" i="23"/>
  <c r="S1063" i="23"/>
  <c r="U1063" i="23" s="1"/>
  <c r="P1063" i="23"/>
  <c r="S1071" i="23"/>
  <c r="U1071" i="23" s="1"/>
  <c r="P1071" i="23"/>
  <c r="S1079" i="23"/>
  <c r="U1079" i="23" s="1"/>
  <c r="P1079" i="23"/>
  <c r="S1087" i="23"/>
  <c r="U1087" i="23" s="1"/>
  <c r="P1087" i="23"/>
  <c r="U1096" i="23"/>
  <c r="U1107" i="23"/>
  <c r="U1123" i="23"/>
  <c r="U1139" i="23"/>
  <c r="U1155" i="23"/>
  <c r="U1171" i="23"/>
  <c r="U1187" i="23"/>
  <c r="U1203" i="23"/>
  <c r="U1206" i="23"/>
  <c r="X1206" i="23" s="1"/>
  <c r="U1219" i="23"/>
  <c r="U1222" i="23"/>
  <c r="U1235" i="23"/>
  <c r="U1251" i="23"/>
  <c r="U1267" i="23"/>
  <c r="U1283" i="23"/>
  <c r="U1299" i="23"/>
  <c r="U1315" i="23"/>
  <c r="U1331" i="23"/>
  <c r="U1347" i="23"/>
  <c r="U1363" i="23"/>
  <c r="U1379" i="23"/>
  <c r="U1395" i="23"/>
  <c r="U1411" i="23"/>
  <c r="U1427" i="23"/>
  <c r="Z1454" i="23"/>
  <c r="Z1477" i="23"/>
  <c r="Y1477" i="23"/>
  <c r="X1502" i="23"/>
  <c r="Z1547" i="23"/>
  <c r="Y1547" i="23"/>
  <c r="X1558" i="23"/>
  <c r="Z1563" i="23"/>
  <c r="Y1563" i="23"/>
  <c r="W688" i="23"/>
  <c r="U912" i="23"/>
  <c r="U920" i="23"/>
  <c r="U928" i="23"/>
  <c r="U936" i="23"/>
  <c r="U944" i="23"/>
  <c r="U952" i="23"/>
  <c r="U960" i="23"/>
  <c r="U968" i="23"/>
  <c r="U976" i="23"/>
  <c r="U984" i="23"/>
  <c r="U992" i="23"/>
  <c r="U1000" i="23"/>
  <c r="U1040" i="23"/>
  <c r="U1056" i="23"/>
  <c r="U1088" i="23"/>
  <c r="U1101" i="23"/>
  <c r="U1106" i="23"/>
  <c r="U1117" i="23"/>
  <c r="U1122" i="23"/>
  <c r="U1145" i="23"/>
  <c r="U1148" i="23"/>
  <c r="X1148" i="23" s="1"/>
  <c r="U1161" i="23"/>
  <c r="U1177" i="23"/>
  <c r="U1180" i="23"/>
  <c r="U1193" i="23"/>
  <c r="U1209" i="23"/>
  <c r="U1212" i="23"/>
  <c r="U1225" i="23"/>
  <c r="U1237" i="23"/>
  <c r="U1253" i="23"/>
  <c r="U1269" i="23"/>
  <c r="U1285" i="23"/>
  <c r="U1301" i="23"/>
  <c r="U1317" i="23"/>
  <c r="U1333" i="23"/>
  <c r="U1349" i="23"/>
  <c r="U1365" i="23"/>
  <c r="U1381" i="23"/>
  <c r="U1397" i="23"/>
  <c r="U1413" i="23"/>
  <c r="U1429" i="23"/>
  <c r="X1446" i="23"/>
  <c r="Z1462" i="23"/>
  <c r="Y1462" i="23"/>
  <c r="Z1487" i="23"/>
  <c r="Y1487" i="23"/>
  <c r="X1487" i="23"/>
  <c r="X1510" i="23"/>
  <c r="Z1526" i="23"/>
  <c r="Y1526" i="23"/>
  <c r="Z1554" i="23"/>
  <c r="Y1554" i="23"/>
  <c r="J651" i="23"/>
  <c r="J699" i="23"/>
  <c r="S907" i="23"/>
  <c r="U907" i="23" s="1"/>
  <c r="S915" i="23"/>
  <c r="U915" i="23" s="1"/>
  <c r="S923" i="23"/>
  <c r="U923" i="23" s="1"/>
  <c r="S931" i="23"/>
  <c r="U931" i="23" s="1"/>
  <c r="S939" i="23"/>
  <c r="U939" i="23" s="1"/>
  <c r="S947" i="23"/>
  <c r="U947" i="23" s="1"/>
  <c r="S955" i="23"/>
  <c r="U955" i="23" s="1"/>
  <c r="S963" i="23"/>
  <c r="U963" i="23" s="1"/>
  <c r="P990" i="23"/>
  <c r="S1037" i="23"/>
  <c r="U1037" i="23" s="1"/>
  <c r="P1037" i="23"/>
  <c r="S1045" i="23"/>
  <c r="U1045" i="23" s="1"/>
  <c r="P1045" i="23"/>
  <c r="S1053" i="23"/>
  <c r="U1053" i="23" s="1"/>
  <c r="P1053" i="23"/>
  <c r="S1061" i="23"/>
  <c r="U1061" i="23" s="1"/>
  <c r="P1061" i="23"/>
  <c r="S1069" i="23"/>
  <c r="U1069" i="23" s="1"/>
  <c r="P1069" i="23"/>
  <c r="S1077" i="23"/>
  <c r="U1077" i="23" s="1"/>
  <c r="P1077" i="23"/>
  <c r="S1085" i="23"/>
  <c r="U1085" i="23" s="1"/>
  <c r="P1085" i="23"/>
  <c r="S1093" i="23"/>
  <c r="U1093" i="23" s="1"/>
  <c r="P1093" i="23"/>
  <c r="U1095" i="23"/>
  <c r="U1100" i="23"/>
  <c r="U1111" i="23"/>
  <c r="U1127" i="23"/>
  <c r="Z1135" i="23"/>
  <c r="Y1135" i="23"/>
  <c r="Z1151" i="23"/>
  <c r="Y1151" i="23"/>
  <c r="U1170" i="23"/>
  <c r="X1170" i="23" s="1"/>
  <c r="Z1183" i="23"/>
  <c r="Y1183" i="23"/>
  <c r="U1186" i="23"/>
  <c r="X1186" i="23" s="1"/>
  <c r="U1202" i="23"/>
  <c r="X1202" i="23" s="1"/>
  <c r="Z1215" i="23"/>
  <c r="Y1215" i="23"/>
  <c r="Z1231" i="23"/>
  <c r="Y1231" i="23"/>
  <c r="U1234" i="23"/>
  <c r="Z1255" i="23"/>
  <c r="Y1255" i="23"/>
  <c r="Z1303" i="23"/>
  <c r="Y1303" i="23"/>
  <c r="Z1367" i="23"/>
  <c r="Z1383" i="23"/>
  <c r="Y1383" i="23"/>
  <c r="Z1431" i="23"/>
  <c r="Y1431" i="23"/>
  <c r="Z1470" i="23"/>
  <c r="Y1470" i="23"/>
  <c r="Z1495" i="23"/>
  <c r="Y1495" i="23"/>
  <c r="Z1534" i="23"/>
  <c r="Y1534" i="23"/>
  <c r="Z1570" i="23"/>
  <c r="Y1570" i="23"/>
  <c r="Y1593" i="23"/>
  <c r="Z1593" i="23"/>
  <c r="U910" i="23"/>
  <c r="U918" i="23"/>
  <c r="U926" i="23"/>
  <c r="U934" i="23"/>
  <c r="U942" i="23"/>
  <c r="U950" i="23"/>
  <c r="U958" i="23"/>
  <c r="U966" i="23"/>
  <c r="U974" i="23"/>
  <c r="U982" i="23"/>
  <c r="U990" i="23"/>
  <c r="U1038" i="23"/>
  <c r="U1054" i="23"/>
  <c r="U1070" i="23"/>
  <c r="X1070" i="23" s="1"/>
  <c r="U1078" i="23"/>
  <c r="X1078" i="23" s="1"/>
  <c r="U1086" i="23"/>
  <c r="U1105" i="23"/>
  <c r="U1121" i="23"/>
  <c r="U1126" i="23"/>
  <c r="X1126" i="23" s="1"/>
  <c r="U1160" i="23"/>
  <c r="X1160" i="23" s="1"/>
  <c r="Z1173" i="23"/>
  <c r="Y1173" i="23"/>
  <c r="Z1221" i="23"/>
  <c r="U1224" i="23"/>
  <c r="Z1241" i="23"/>
  <c r="Y1241" i="23"/>
  <c r="Z1257" i="23"/>
  <c r="Y1257" i="23"/>
  <c r="Z1273" i="23"/>
  <c r="Y1273" i="23"/>
  <c r="Z1289" i="23"/>
  <c r="Y1289" i="23"/>
  <c r="Z1321" i="23"/>
  <c r="Y1321" i="23"/>
  <c r="Z1369" i="23"/>
  <c r="Y1369" i="23"/>
  <c r="Z1385" i="23"/>
  <c r="Y1385" i="23"/>
  <c r="Z1478" i="23"/>
  <c r="Y1478" i="23"/>
  <c r="Z1503" i="23"/>
  <c r="Y1503" i="23"/>
  <c r="Z1542" i="23"/>
  <c r="Y1542" i="23"/>
  <c r="Z1562" i="23"/>
  <c r="Y1562" i="23"/>
  <c r="U692" i="23"/>
  <c r="S913" i="23"/>
  <c r="U913" i="23" s="1"/>
  <c r="S921" i="23"/>
  <c r="U921" i="23" s="1"/>
  <c r="S929" i="23"/>
  <c r="U929" i="23" s="1"/>
  <c r="S937" i="23"/>
  <c r="U937" i="23" s="1"/>
  <c r="S945" i="23"/>
  <c r="U945" i="23" s="1"/>
  <c r="S953" i="23"/>
  <c r="U953" i="23" s="1"/>
  <c r="S961" i="23"/>
  <c r="U961" i="23" s="1"/>
  <c r="S969" i="23"/>
  <c r="U969" i="23" s="1"/>
  <c r="S977" i="23"/>
  <c r="U977" i="23" s="1"/>
  <c r="S985" i="23"/>
  <c r="U985" i="23" s="1"/>
  <c r="S993" i="23"/>
  <c r="U993" i="23" s="1"/>
  <c r="S1002" i="23"/>
  <c r="U1002" i="23" s="1"/>
  <c r="S1003" i="23"/>
  <c r="U1003" i="23" s="1"/>
  <c r="S1004" i="23"/>
  <c r="U1004" i="23" s="1"/>
  <c r="S1005" i="23"/>
  <c r="U1005" i="23" s="1"/>
  <c r="S1006" i="23"/>
  <c r="U1006" i="23" s="1"/>
  <c r="S1007" i="23"/>
  <c r="U1007" i="23" s="1"/>
  <c r="S1008" i="23"/>
  <c r="U1008" i="23" s="1"/>
  <c r="S1009" i="23"/>
  <c r="U1009" i="23" s="1"/>
  <c r="S1010" i="23"/>
  <c r="U1010" i="23" s="1"/>
  <c r="S1011" i="23"/>
  <c r="U1011" i="23" s="1"/>
  <c r="S1012" i="23"/>
  <c r="U1012" i="23" s="1"/>
  <c r="S1013" i="23"/>
  <c r="U1013" i="23" s="1"/>
  <c r="S1014" i="23"/>
  <c r="U1014" i="23" s="1"/>
  <c r="S1015" i="23"/>
  <c r="U1015" i="23" s="1"/>
  <c r="S1016" i="23"/>
  <c r="U1016" i="23" s="1"/>
  <c r="X1016" i="23" s="1"/>
  <c r="S1017" i="23"/>
  <c r="U1017" i="23" s="1"/>
  <c r="X1017" i="23" s="1"/>
  <c r="S1018" i="23"/>
  <c r="U1018" i="23" s="1"/>
  <c r="S1019" i="23"/>
  <c r="U1019" i="23" s="1"/>
  <c r="S1020" i="23"/>
  <c r="U1020" i="23" s="1"/>
  <c r="S1021" i="23"/>
  <c r="U1021" i="23" s="1"/>
  <c r="S1022" i="23"/>
  <c r="U1022" i="23" s="1"/>
  <c r="S1023" i="23"/>
  <c r="U1023" i="23" s="1"/>
  <c r="S1024" i="23"/>
  <c r="U1024" i="23" s="1"/>
  <c r="S1025" i="23"/>
  <c r="U1025" i="23" s="1"/>
  <c r="S1026" i="23"/>
  <c r="U1026" i="23" s="1"/>
  <c r="S1027" i="23"/>
  <c r="U1027" i="23" s="1"/>
  <c r="S1028" i="23"/>
  <c r="U1028" i="23" s="1"/>
  <c r="S1029" i="23"/>
  <c r="U1029" i="23" s="1"/>
  <c r="S1030" i="23"/>
  <c r="U1030" i="23" s="1"/>
  <c r="S1035" i="23"/>
  <c r="U1035" i="23" s="1"/>
  <c r="P1035" i="23"/>
  <c r="S1043" i="23"/>
  <c r="U1043" i="23" s="1"/>
  <c r="P1043" i="23"/>
  <c r="S1051" i="23"/>
  <c r="U1051" i="23" s="1"/>
  <c r="P1051" i="23"/>
  <c r="S1059" i="23"/>
  <c r="U1059" i="23" s="1"/>
  <c r="P1059" i="23"/>
  <c r="S1067" i="23"/>
  <c r="U1067" i="23" s="1"/>
  <c r="P1067" i="23"/>
  <c r="S1075" i="23"/>
  <c r="U1075" i="23" s="1"/>
  <c r="P1075" i="23"/>
  <c r="S1083" i="23"/>
  <c r="U1083" i="23" s="1"/>
  <c r="P1083" i="23"/>
  <c r="S1091" i="23"/>
  <c r="U1091" i="23" s="1"/>
  <c r="P1091" i="23"/>
  <c r="U1099" i="23"/>
  <c r="U1104" i="23"/>
  <c r="U1115" i="23"/>
  <c r="U1120" i="23"/>
  <c r="U1131" i="23"/>
  <c r="U1134" i="23"/>
  <c r="X1134" i="23" s="1"/>
  <c r="U1147" i="23"/>
  <c r="U1163" i="23"/>
  <c r="U1179" i="23"/>
  <c r="U1182" i="23"/>
  <c r="X1182" i="23" s="1"/>
  <c r="U1195" i="23"/>
  <c r="U1198" i="23"/>
  <c r="U1211" i="23"/>
  <c r="U1214" i="23"/>
  <c r="X1214" i="23" s="1"/>
  <c r="U1227" i="23"/>
  <c r="U1243" i="23"/>
  <c r="U1259" i="23"/>
  <c r="U1275" i="23"/>
  <c r="U1291" i="23"/>
  <c r="U1307" i="23"/>
  <c r="U1323" i="23"/>
  <c r="U1339" i="23"/>
  <c r="U1355" i="23"/>
  <c r="U1371" i="23"/>
  <c r="U1387" i="23"/>
  <c r="U1403" i="23"/>
  <c r="U1419" i="23"/>
  <c r="U1435" i="23"/>
  <c r="Z1447" i="23"/>
  <c r="Y1447" i="23"/>
  <c r="Z1486" i="23"/>
  <c r="Y1486" i="23"/>
  <c r="Z1509" i="23"/>
  <c r="Y1509" i="23"/>
  <c r="Z1511" i="23"/>
  <c r="Y1511" i="23"/>
  <c r="X1511" i="23"/>
  <c r="X1525" i="23"/>
  <c r="X1534" i="23"/>
  <c r="P1095" i="23"/>
  <c r="P1097" i="23"/>
  <c r="P1099" i="23"/>
  <c r="P1101" i="23"/>
  <c r="P1103" i="23"/>
  <c r="P1105" i="23"/>
  <c r="P1107" i="23"/>
  <c r="P1109" i="23"/>
  <c r="P1111" i="23"/>
  <c r="P1113" i="23"/>
  <c r="X1113" i="23" s="1"/>
  <c r="P1115" i="23"/>
  <c r="P1117" i="23"/>
  <c r="P1119" i="23"/>
  <c r="P1121" i="23"/>
  <c r="P1123" i="23"/>
  <c r="P1125" i="23"/>
  <c r="P1127" i="23"/>
  <c r="P1129" i="23"/>
  <c r="P1131" i="23"/>
  <c r="P1133" i="23"/>
  <c r="P1135" i="23"/>
  <c r="X1135" i="23" s="1"/>
  <c r="P1137" i="23"/>
  <c r="P1139" i="23"/>
  <c r="P1141" i="23"/>
  <c r="P1143" i="23"/>
  <c r="P1145" i="23"/>
  <c r="P1147" i="23"/>
  <c r="P1149" i="23"/>
  <c r="P1151" i="23"/>
  <c r="X1151" i="23" s="1"/>
  <c r="P1153" i="23"/>
  <c r="P1155" i="23"/>
  <c r="P1157" i="23"/>
  <c r="P1159" i="23"/>
  <c r="P1161" i="23"/>
  <c r="P1163" i="23"/>
  <c r="P1165" i="23"/>
  <c r="P1167" i="23"/>
  <c r="P1169" i="23"/>
  <c r="P1171" i="23"/>
  <c r="P1173" i="23"/>
  <c r="X1173" i="23" s="1"/>
  <c r="P1175" i="23"/>
  <c r="X1175" i="23" s="1"/>
  <c r="P1177" i="23"/>
  <c r="P1179" i="23"/>
  <c r="P1181" i="23"/>
  <c r="X1181" i="23" s="1"/>
  <c r="P1183" i="23"/>
  <c r="X1183" i="23" s="1"/>
  <c r="P1185" i="23"/>
  <c r="P1187" i="23"/>
  <c r="P1189" i="23"/>
  <c r="P1191" i="23"/>
  <c r="P1193" i="23"/>
  <c r="P1195" i="23"/>
  <c r="P1197" i="23"/>
  <c r="P1199" i="23"/>
  <c r="P1201" i="23"/>
  <c r="P1203" i="23"/>
  <c r="P1205" i="23"/>
  <c r="P1207" i="23"/>
  <c r="P1209" i="23"/>
  <c r="P1211" i="23"/>
  <c r="P1213" i="23"/>
  <c r="P1215" i="23"/>
  <c r="X1215" i="23" s="1"/>
  <c r="P1217" i="23"/>
  <c r="P1219" i="23"/>
  <c r="P1221" i="23"/>
  <c r="P1223" i="23"/>
  <c r="P1225" i="23"/>
  <c r="P1227" i="23"/>
  <c r="P1229" i="23"/>
  <c r="P1231" i="23"/>
  <c r="X1231" i="23" s="1"/>
  <c r="P1233" i="23"/>
  <c r="P1235" i="23"/>
  <c r="U1236" i="23"/>
  <c r="P1237" i="23"/>
  <c r="U1238" i="23"/>
  <c r="X1238" i="23" s="1"/>
  <c r="P1239" i="23"/>
  <c r="P1241" i="23"/>
  <c r="X1241" i="23" s="1"/>
  <c r="U1242" i="23"/>
  <c r="P1243" i="23"/>
  <c r="U1244" i="23"/>
  <c r="X1244" i="23" s="1"/>
  <c r="P1245" i="23"/>
  <c r="U1246" i="23"/>
  <c r="X1246" i="23" s="1"/>
  <c r="P1247" i="23"/>
  <c r="X1247" i="23" s="1"/>
  <c r="P1249" i="23"/>
  <c r="X1249" i="23" s="1"/>
  <c r="P1251" i="23"/>
  <c r="U1252" i="23"/>
  <c r="X1252" i="23" s="1"/>
  <c r="P1253" i="23"/>
  <c r="U1254" i="23"/>
  <c r="P1255" i="23"/>
  <c r="X1255" i="23" s="1"/>
  <c r="P1257" i="23"/>
  <c r="X1257" i="23" s="1"/>
  <c r="U1258" i="23"/>
  <c r="P1259" i="23"/>
  <c r="U1260" i="23"/>
  <c r="X1260" i="23" s="1"/>
  <c r="P1261" i="23"/>
  <c r="U1262" i="23"/>
  <c r="P1263" i="23"/>
  <c r="X1263" i="23" s="1"/>
  <c r="U1264" i="23"/>
  <c r="P1265" i="23"/>
  <c r="U1266" i="23"/>
  <c r="P1267" i="23"/>
  <c r="P1269" i="23"/>
  <c r="U1270" i="23"/>
  <c r="X1270" i="23" s="1"/>
  <c r="P1271" i="23"/>
  <c r="U1272" i="23"/>
  <c r="P1273" i="23"/>
  <c r="X1273" i="23" s="1"/>
  <c r="U1274" i="23"/>
  <c r="P1275" i="23"/>
  <c r="P1277" i="23"/>
  <c r="U1278" i="23"/>
  <c r="X1278" i="23" s="1"/>
  <c r="P1279" i="23"/>
  <c r="X1279" i="23" s="1"/>
  <c r="P1281" i="23"/>
  <c r="X1281" i="23" s="1"/>
  <c r="U1282" i="23"/>
  <c r="X1282" i="23" s="1"/>
  <c r="P1283" i="23"/>
  <c r="P1285" i="23"/>
  <c r="P1287" i="23"/>
  <c r="P1289" i="23"/>
  <c r="X1289" i="23" s="1"/>
  <c r="U1290" i="23"/>
  <c r="P1291" i="23"/>
  <c r="P1293" i="23"/>
  <c r="P1295" i="23"/>
  <c r="X1295" i="23" s="1"/>
  <c r="U1296" i="23"/>
  <c r="P1297" i="23"/>
  <c r="P1299" i="23"/>
  <c r="P1301" i="23"/>
  <c r="U1302" i="23"/>
  <c r="X1302" i="23" s="1"/>
  <c r="P1303" i="23"/>
  <c r="X1303" i="23" s="1"/>
  <c r="P1305" i="23"/>
  <c r="U1306" i="23"/>
  <c r="P1307" i="23"/>
  <c r="P1309" i="23"/>
  <c r="X1309" i="23" s="1"/>
  <c r="U1310" i="23"/>
  <c r="X1310" i="23" s="1"/>
  <c r="P1311" i="23"/>
  <c r="X1311" i="23" s="1"/>
  <c r="U1312" i="23"/>
  <c r="P1313" i="23"/>
  <c r="X1313" i="23" s="1"/>
  <c r="U1314" i="23"/>
  <c r="X1314" i="23" s="1"/>
  <c r="P1315" i="23"/>
  <c r="P1317" i="23"/>
  <c r="U1318" i="23"/>
  <c r="P1319" i="23"/>
  <c r="P1321" i="23"/>
  <c r="X1321" i="23" s="1"/>
  <c r="P1323" i="23"/>
  <c r="U1324" i="23"/>
  <c r="X1324" i="23" s="1"/>
  <c r="P1325" i="23"/>
  <c r="X1325" i="23" s="1"/>
  <c r="U1326" i="23"/>
  <c r="P1327" i="23"/>
  <c r="X1327" i="23" s="1"/>
  <c r="P1329" i="23"/>
  <c r="X1329" i="23" s="1"/>
  <c r="U1330" i="23"/>
  <c r="P1331" i="23"/>
  <c r="U1332" i="23"/>
  <c r="P1333" i="23"/>
  <c r="U1334" i="23"/>
  <c r="P1335" i="23"/>
  <c r="P1337" i="23"/>
  <c r="U1338" i="23"/>
  <c r="P1339" i="23"/>
  <c r="U1340" i="23"/>
  <c r="X1340" i="23" s="1"/>
  <c r="P1341" i="23"/>
  <c r="U1342" i="23"/>
  <c r="X1342" i="23" s="1"/>
  <c r="P1343" i="23"/>
  <c r="X1343" i="23" s="1"/>
  <c r="P1345" i="23"/>
  <c r="X1345" i="23" s="1"/>
  <c r="U1346" i="23"/>
  <c r="X1346" i="23" s="1"/>
  <c r="P1347" i="23"/>
  <c r="P1349" i="23"/>
  <c r="U1350" i="23"/>
  <c r="P1351" i="23"/>
  <c r="U1352" i="23"/>
  <c r="P1353" i="23"/>
  <c r="U1354" i="23"/>
  <c r="P1355" i="23"/>
  <c r="P1357" i="23"/>
  <c r="U1358" i="23"/>
  <c r="P1359" i="23"/>
  <c r="X1359" i="23" s="1"/>
  <c r="U1360" i="23"/>
  <c r="P1361" i="23"/>
  <c r="X1361" i="23" s="1"/>
  <c r="P1363" i="23"/>
  <c r="U1364" i="23"/>
  <c r="P1365" i="23"/>
  <c r="U1366" i="23"/>
  <c r="X1366" i="23" s="1"/>
  <c r="P1367" i="23"/>
  <c r="X1367" i="23" s="1"/>
  <c r="P1369" i="23"/>
  <c r="X1369" i="23" s="1"/>
  <c r="P1371" i="23"/>
  <c r="X1371" i="23" s="1"/>
  <c r="U1372" i="23"/>
  <c r="X1372" i="23" s="1"/>
  <c r="P1373" i="23"/>
  <c r="U1374" i="23"/>
  <c r="X1374" i="23" s="1"/>
  <c r="P1375" i="23"/>
  <c r="X1375" i="23" s="1"/>
  <c r="P1377" i="23"/>
  <c r="P1379" i="23"/>
  <c r="U1380" i="23"/>
  <c r="X1380" i="23" s="1"/>
  <c r="P1381" i="23"/>
  <c r="U1382" i="23"/>
  <c r="P1383" i="23"/>
  <c r="X1383" i="23" s="1"/>
  <c r="P1385" i="23"/>
  <c r="X1385" i="23" s="1"/>
  <c r="U1386" i="23"/>
  <c r="P1387" i="23"/>
  <c r="U1388" i="23"/>
  <c r="X1388" i="23" s="1"/>
  <c r="P1389" i="23"/>
  <c r="P1391" i="23"/>
  <c r="U1392" i="23"/>
  <c r="P1393" i="23"/>
  <c r="U1394" i="23"/>
  <c r="P1395" i="23"/>
  <c r="U1396" i="23"/>
  <c r="P1397" i="23"/>
  <c r="U1398" i="23"/>
  <c r="X1398" i="23" s="1"/>
  <c r="P1399" i="23"/>
  <c r="P1401" i="23"/>
  <c r="P1403" i="23"/>
  <c r="P1405" i="23"/>
  <c r="U1406" i="23"/>
  <c r="X1406" i="23" s="1"/>
  <c r="P1407" i="23"/>
  <c r="X1407" i="23" s="1"/>
  <c r="P1409" i="23"/>
  <c r="U1410" i="23"/>
  <c r="P1411" i="23"/>
  <c r="P1413" i="23"/>
  <c r="U1414" i="23"/>
  <c r="P1415" i="23"/>
  <c r="U1416" i="23"/>
  <c r="X1416" i="23" s="1"/>
  <c r="P1417" i="23"/>
  <c r="X1417" i="23" s="1"/>
  <c r="P1419" i="23"/>
  <c r="P1421" i="23"/>
  <c r="P1423" i="23"/>
  <c r="U1424" i="23"/>
  <c r="P1425" i="23"/>
  <c r="U1426" i="23"/>
  <c r="X1426" i="23" s="1"/>
  <c r="P1427" i="23"/>
  <c r="P1429" i="23"/>
  <c r="U1430" i="23"/>
  <c r="X1430" i="23" s="1"/>
  <c r="P1431" i="23"/>
  <c r="X1431" i="23" s="1"/>
  <c r="U1432" i="23"/>
  <c r="P1433" i="23"/>
  <c r="U1434" i="23"/>
  <c r="P1435" i="23"/>
  <c r="P1437" i="23"/>
  <c r="U1438" i="23"/>
  <c r="X1438" i="23" s="1"/>
  <c r="P1439" i="23"/>
  <c r="Z1442" i="23"/>
  <c r="P1444" i="23"/>
  <c r="Z1450" i="23"/>
  <c r="P1452" i="23"/>
  <c r="Z1458" i="23"/>
  <c r="P1460" i="23"/>
  <c r="Z1466" i="23"/>
  <c r="P1468" i="23"/>
  <c r="Z1474" i="23"/>
  <c r="P1476" i="23"/>
  <c r="Z1482" i="23"/>
  <c r="P1484" i="23"/>
  <c r="P1492" i="23"/>
  <c r="Z1498" i="23"/>
  <c r="P1500" i="23"/>
  <c r="Z1506" i="23"/>
  <c r="P1508" i="23"/>
  <c r="Z1514" i="23"/>
  <c r="P1516" i="23"/>
  <c r="Z1522" i="23"/>
  <c r="P1524" i="23"/>
  <c r="Z1530" i="23"/>
  <c r="P1532" i="23"/>
  <c r="P1540" i="23"/>
  <c r="Z1546" i="23"/>
  <c r="P1548" i="23"/>
  <c r="P1551" i="23"/>
  <c r="P1555" i="23"/>
  <c r="P1559" i="23"/>
  <c r="Z1588" i="23"/>
  <c r="Y1588" i="23"/>
  <c r="X1597" i="23"/>
  <c r="Z1598" i="23"/>
  <c r="X1601" i="23"/>
  <c r="Z1602" i="23"/>
  <c r="Y1602" i="23"/>
  <c r="Z1606" i="23"/>
  <c r="Y1606" i="23"/>
  <c r="X1613" i="23"/>
  <c r="Z1614" i="23"/>
  <c r="Y1614" i="23"/>
  <c r="X1617" i="23"/>
  <c r="Z1618" i="23"/>
  <c r="X1625" i="23"/>
  <c r="X1641" i="23"/>
  <c r="Z1660" i="23"/>
  <c r="Z1668" i="23"/>
  <c r="Y1668" i="23"/>
  <c r="Y1676" i="23"/>
  <c r="Z1684" i="23"/>
  <c r="Y1684" i="23"/>
  <c r="Z1698" i="23"/>
  <c r="U1728" i="23"/>
  <c r="U1736" i="23"/>
  <c r="S1441" i="23"/>
  <c r="U1441" i="23" s="1"/>
  <c r="S1449" i="23"/>
  <c r="U1449" i="23" s="1"/>
  <c r="X1449" i="23" s="1"/>
  <c r="S1457" i="23"/>
  <c r="U1457" i="23" s="1"/>
  <c r="X1457" i="23" s="1"/>
  <c r="S1465" i="23"/>
  <c r="U1465" i="23" s="1"/>
  <c r="X1465" i="23" s="1"/>
  <c r="S1473" i="23"/>
  <c r="U1473" i="23" s="1"/>
  <c r="S1481" i="23"/>
  <c r="U1481" i="23" s="1"/>
  <c r="X1481" i="23" s="1"/>
  <c r="S1489" i="23"/>
  <c r="U1489" i="23" s="1"/>
  <c r="X1489" i="23" s="1"/>
  <c r="S1497" i="23"/>
  <c r="U1497" i="23" s="1"/>
  <c r="X1497" i="23" s="1"/>
  <c r="S1505" i="23"/>
  <c r="U1505" i="23" s="1"/>
  <c r="S1513" i="23"/>
  <c r="U1513" i="23" s="1"/>
  <c r="X1513" i="23" s="1"/>
  <c r="S1521" i="23"/>
  <c r="U1521" i="23" s="1"/>
  <c r="X1521" i="23" s="1"/>
  <c r="S1529" i="23"/>
  <c r="U1529" i="23" s="1"/>
  <c r="S1537" i="23"/>
  <c r="U1537" i="23" s="1"/>
  <c r="S1545" i="23"/>
  <c r="U1545" i="23" s="1"/>
  <c r="X1545" i="23" s="1"/>
  <c r="Z1582" i="23"/>
  <c r="Y1582" i="23"/>
  <c r="X1591" i="23"/>
  <c r="X1590" i="23"/>
  <c r="Z1592" i="23"/>
  <c r="Y1592" i="23"/>
  <c r="Y1599" i="23"/>
  <c r="Z1599" i="23"/>
  <c r="Y1603" i="23"/>
  <c r="Z1603" i="23"/>
  <c r="Z1607" i="23"/>
  <c r="Z1611" i="23"/>
  <c r="Y1615" i="23"/>
  <c r="Z1615" i="23"/>
  <c r="Y1627" i="23"/>
  <c r="Y1631" i="23"/>
  <c r="Z1631" i="23"/>
  <c r="Y1651" i="23"/>
  <c r="Z1651" i="23"/>
  <c r="Y1655" i="23"/>
  <c r="Z1655" i="23"/>
  <c r="Y1682" i="23"/>
  <c r="Z1682" i="23"/>
  <c r="Y1694" i="23"/>
  <c r="Z1694" i="23"/>
  <c r="Z1695" i="23"/>
  <c r="Y1695" i="23"/>
  <c r="Z1715" i="23"/>
  <c r="Y1715" i="23"/>
  <c r="X1723" i="23"/>
  <c r="Z1747" i="23"/>
  <c r="Y1747" i="23"/>
  <c r="U1444" i="23"/>
  <c r="U1452" i="23"/>
  <c r="U1460" i="23"/>
  <c r="U1468" i="23"/>
  <c r="U1476" i="23"/>
  <c r="U1484" i="23"/>
  <c r="U1492" i="23"/>
  <c r="U1500" i="23"/>
  <c r="U1508" i="23"/>
  <c r="U1516" i="23"/>
  <c r="U1524" i="23"/>
  <c r="U1532" i="23"/>
  <c r="U1540" i="23"/>
  <c r="U1548" i="23"/>
  <c r="U1551" i="23"/>
  <c r="U1555" i="23"/>
  <c r="U1559" i="23"/>
  <c r="U1564" i="23"/>
  <c r="U1565" i="23"/>
  <c r="P1567" i="23"/>
  <c r="X1567" i="23" s="1"/>
  <c r="X1568" i="23"/>
  <c r="P1569" i="23"/>
  <c r="X1569" i="23" s="1"/>
  <c r="X1570" i="23"/>
  <c r="P1571" i="23"/>
  <c r="X1571" i="23" s="1"/>
  <c r="P1573" i="23"/>
  <c r="X1573" i="23" s="1"/>
  <c r="U1578" i="23"/>
  <c r="X1584" i="23"/>
  <c r="X1595" i="23"/>
  <c r="Y1575" i="23"/>
  <c r="Z1575" i="23"/>
  <c r="U1576" i="23"/>
  <c r="X1576" i="23" s="1"/>
  <c r="X1589" i="23"/>
  <c r="Z1596" i="23"/>
  <c r="Z1600" i="23"/>
  <c r="Y1600" i="23"/>
  <c r="Z1604" i="23"/>
  <c r="Y1604" i="23"/>
  <c r="Z1608" i="23"/>
  <c r="Y1608" i="23"/>
  <c r="Z1620" i="23"/>
  <c r="Y1620" i="23"/>
  <c r="X1623" i="23"/>
  <c r="X1635" i="23"/>
  <c r="Y1732" i="23"/>
  <c r="Z1566" i="23"/>
  <c r="Y1566" i="23"/>
  <c r="Y1573" i="23"/>
  <c r="Z1573" i="23"/>
  <c r="Z1574" i="23"/>
  <c r="Y1574" i="23"/>
  <c r="Y1590" i="23"/>
  <c r="Y1595" i="23"/>
  <c r="Z1595" i="23"/>
  <c r="Z1671" i="23"/>
  <c r="Y1671" i="23"/>
  <c r="X1742" i="23"/>
  <c r="Z1742" i="23"/>
  <c r="Y1742" i="23"/>
  <c r="Z1745" i="23"/>
  <c r="Y1745" i="23"/>
  <c r="X1442" i="23"/>
  <c r="X1450" i="23"/>
  <c r="X1482" i="23"/>
  <c r="X1506" i="23"/>
  <c r="X1514" i="23"/>
  <c r="X1530" i="23"/>
  <c r="X1546" i="23"/>
  <c r="X1560" i="23"/>
  <c r="X1566" i="23"/>
  <c r="Z1584" i="23"/>
  <c r="Y1584" i="23"/>
  <c r="Y1589" i="23"/>
  <c r="Z1589" i="23"/>
  <c r="X1593" i="23"/>
  <c r="Y1597" i="23"/>
  <c r="Z1597" i="23"/>
  <c r="Y1601" i="23"/>
  <c r="Z1601" i="23"/>
  <c r="Y1605" i="23"/>
  <c r="Z1605" i="23"/>
  <c r="Y1613" i="23"/>
  <c r="Z1613" i="23"/>
  <c r="Y1617" i="23"/>
  <c r="Z1617" i="23"/>
  <c r="Y1621" i="23"/>
  <c r="Z1621" i="23"/>
  <c r="Y1625" i="23"/>
  <c r="Z1625" i="23"/>
  <c r="Y1629" i="23"/>
  <c r="Y1633" i="23"/>
  <c r="Z1633" i="23"/>
  <c r="Y1637" i="23"/>
  <c r="Z1637" i="23"/>
  <c r="Y1641" i="23"/>
  <c r="Z1641" i="23"/>
  <c r="Y1645" i="23"/>
  <c r="Z1645" i="23"/>
  <c r="Y1649" i="23"/>
  <c r="Z1649" i="23"/>
  <c r="Y1719" i="23"/>
  <c r="W1721" i="23"/>
  <c r="Z1719" i="23"/>
  <c r="Z1734" i="23"/>
  <c r="Y1734" i="23"/>
  <c r="U1440" i="23"/>
  <c r="U1448" i="23"/>
  <c r="X1448" i="23" s="1"/>
  <c r="U1464" i="23"/>
  <c r="X1464" i="23" s="1"/>
  <c r="U1504" i="23"/>
  <c r="U1512" i="23"/>
  <c r="X1512" i="23" s="1"/>
  <c r="U1520" i="23"/>
  <c r="X1520" i="23" s="1"/>
  <c r="U1528" i="23"/>
  <c r="X1528" i="23" s="1"/>
  <c r="U1544" i="23"/>
  <c r="U1553" i="23"/>
  <c r="Y1560" i="23"/>
  <c r="U1561" i="23"/>
  <c r="P1563" i="23"/>
  <c r="X1563" i="23" s="1"/>
  <c r="Y1567" i="23"/>
  <c r="Y1569" i="23"/>
  <c r="Y1571" i="23"/>
  <c r="X1592" i="23"/>
  <c r="Z1594" i="23"/>
  <c r="Y1594" i="23"/>
  <c r="Z1664" i="23"/>
  <c r="Y1664" i="23"/>
  <c r="Y1665" i="23"/>
  <c r="Z1672" i="23"/>
  <c r="Y1672" i="23"/>
  <c r="Z1680" i="23"/>
  <c r="Y1680" i="23"/>
  <c r="Z1688" i="23"/>
  <c r="Y1688" i="23"/>
  <c r="P1663" i="23"/>
  <c r="U1667" i="23"/>
  <c r="P1671" i="23"/>
  <c r="X1671" i="23" s="1"/>
  <c r="U1675" i="23"/>
  <c r="P1679" i="23"/>
  <c r="X1679" i="23" s="1"/>
  <c r="P1687" i="23"/>
  <c r="U1699" i="23"/>
  <c r="U1727" i="23"/>
  <c r="P1728" i="23"/>
  <c r="U1729" i="23"/>
  <c r="P1730" i="23"/>
  <c r="U1731" i="23"/>
  <c r="P1732" i="23"/>
  <c r="U1733" i="23"/>
  <c r="P1734" i="23"/>
  <c r="X1734" i="23" s="1"/>
  <c r="U1735" i="23"/>
  <c r="P1736" i="23"/>
  <c r="S1739" i="23"/>
  <c r="U1739" i="23" s="1"/>
  <c r="S1741" i="23"/>
  <c r="U1741" i="23" s="1"/>
  <c r="X1741" i="23" s="1"/>
  <c r="S1753" i="23"/>
  <c r="U1753" i="23" s="1"/>
  <c r="P1753" i="23"/>
  <c r="Z1762" i="23"/>
  <c r="Y1762" i="23"/>
  <c r="Z1766" i="23"/>
  <c r="S1768" i="23"/>
  <c r="U1768" i="23" s="1"/>
  <c r="P1768" i="23"/>
  <c r="S1777" i="23"/>
  <c r="U1777" i="23" s="1"/>
  <c r="P1777" i="23"/>
  <c r="X1817" i="23"/>
  <c r="S1825" i="23"/>
  <c r="U1825" i="23" s="1"/>
  <c r="P1825" i="23"/>
  <c r="U1826" i="23"/>
  <c r="Z1832" i="23"/>
  <c r="Y1832" i="23"/>
  <c r="Z1840" i="23"/>
  <c r="Y1840" i="23"/>
  <c r="U1845" i="23"/>
  <c r="X1845" i="23" s="1"/>
  <c r="S1847" i="23"/>
  <c r="U1847" i="23" s="1"/>
  <c r="P1847" i="23"/>
  <c r="Y1877" i="23"/>
  <c r="X1877" i="23"/>
  <c r="Y1969" i="23"/>
  <c r="W1974" i="23"/>
  <c r="W2115" i="23"/>
  <c r="W2117" i="23"/>
  <c r="W2114" i="23"/>
  <c r="Z2113" i="23"/>
  <c r="Y2113" i="23"/>
  <c r="W2116" i="23"/>
  <c r="U2143" i="23"/>
  <c r="U2174" i="23"/>
  <c r="H2192" i="23"/>
  <c r="H2204" i="23"/>
  <c r="J2204" i="23" s="1"/>
  <c r="J2216" i="23"/>
  <c r="Z2258" i="23"/>
  <c r="Y2258" i="23"/>
  <c r="X1745" i="23"/>
  <c r="Z1775" i="23"/>
  <c r="Y1775" i="23"/>
  <c r="Y1831" i="23"/>
  <c r="Z1831" i="23"/>
  <c r="U1880" i="23"/>
  <c r="W2079" i="23"/>
  <c r="W2084" i="23"/>
  <c r="Y2109" i="23"/>
  <c r="Z2180" i="23"/>
  <c r="Y2180" i="23"/>
  <c r="W2182" i="23"/>
  <c r="Y1749" i="23"/>
  <c r="S1761" i="23"/>
  <c r="U1761" i="23" s="1"/>
  <c r="P1761" i="23"/>
  <c r="T1768" i="23"/>
  <c r="U1772" i="23"/>
  <c r="Y1773" i="23"/>
  <c r="U1786" i="23"/>
  <c r="U1787" i="23"/>
  <c r="U1788" i="23"/>
  <c r="S1791" i="23"/>
  <c r="U1791" i="23" s="1"/>
  <c r="P1791" i="23"/>
  <c r="U1795" i="23"/>
  <c r="U1796" i="23"/>
  <c r="X1796" i="23" s="1"/>
  <c r="S1799" i="23"/>
  <c r="U1799" i="23" s="1"/>
  <c r="P1799" i="23"/>
  <c r="Y1846" i="23"/>
  <c r="U1853" i="23"/>
  <c r="W1889" i="23"/>
  <c r="Z1888" i="23"/>
  <c r="Y1888" i="23"/>
  <c r="W1890" i="23"/>
  <c r="U1949" i="23"/>
  <c r="U1981" i="23"/>
  <c r="Z2073" i="23"/>
  <c r="Y2073" i="23"/>
  <c r="U2123" i="23"/>
  <c r="Z2168" i="23"/>
  <c r="Y2168" i="23"/>
  <c r="H2174" i="23"/>
  <c r="J2174" i="23" s="1"/>
  <c r="Y1624" i="23"/>
  <c r="Y1628" i="23"/>
  <c r="Y1630" i="23"/>
  <c r="Y1632" i="23"/>
  <c r="Y1636" i="23"/>
  <c r="Y1638" i="23"/>
  <c r="Y1640" i="23"/>
  <c r="Y1642" i="23"/>
  <c r="Y1648" i="23"/>
  <c r="Y1650" i="23"/>
  <c r="Y1652" i="23"/>
  <c r="Y1656" i="23"/>
  <c r="Y1662" i="23"/>
  <c r="T1663" i="23"/>
  <c r="P1664" i="23"/>
  <c r="X1664" i="23" s="1"/>
  <c r="Y1670" i="23"/>
  <c r="T1671" i="23"/>
  <c r="P1672" i="23"/>
  <c r="X1672" i="23" s="1"/>
  <c r="T1679" i="23"/>
  <c r="P1680" i="23"/>
  <c r="X1680" i="23" s="1"/>
  <c r="T1687" i="23"/>
  <c r="P1688" i="23"/>
  <c r="X1688" i="23" s="1"/>
  <c r="Y1691" i="23"/>
  <c r="Y1693" i="23"/>
  <c r="Y1696" i="23"/>
  <c r="Y1705" i="23"/>
  <c r="P1715" i="23"/>
  <c r="X1715" i="23" s="1"/>
  <c r="Y1743" i="23"/>
  <c r="U1759" i="23"/>
  <c r="X1759" i="23" s="1"/>
  <c r="S1776" i="23"/>
  <c r="U1776" i="23" s="1"/>
  <c r="P1776" i="23"/>
  <c r="S1790" i="23"/>
  <c r="U1790" i="23" s="1"/>
  <c r="P1790" i="23"/>
  <c r="Y1794" i="23"/>
  <c r="X1794" i="23"/>
  <c r="S1798" i="23"/>
  <c r="U1798" i="23" s="1"/>
  <c r="P1798" i="23"/>
  <c r="S1814" i="23"/>
  <c r="U1814" i="23" s="1"/>
  <c r="P1814" i="23"/>
  <c r="S1827" i="23"/>
  <c r="U1827" i="23" s="1"/>
  <c r="P1827" i="23"/>
  <c r="U1828" i="23"/>
  <c r="Z1829" i="23"/>
  <c r="Y1829" i="23"/>
  <c r="X1829" i="23"/>
  <c r="Z1850" i="23"/>
  <c r="Y1850" i="23"/>
  <c r="Z1872" i="23"/>
  <c r="W1901" i="23"/>
  <c r="Z1900" i="23"/>
  <c r="Y1900" i="23"/>
  <c r="W1903" i="23"/>
  <c r="W1902" i="23"/>
  <c r="Y1921" i="23"/>
  <c r="W1922" i="23"/>
  <c r="Z2133" i="23"/>
  <c r="Y2133" i="23"/>
  <c r="U2222" i="23"/>
  <c r="Y1757" i="23"/>
  <c r="X1766" i="23"/>
  <c r="U1771" i="23"/>
  <c r="Z1792" i="23"/>
  <c r="Z1794" i="23"/>
  <c r="Y1805" i="23"/>
  <c r="W1809" i="23"/>
  <c r="Z1808" i="23"/>
  <c r="Y1808" i="23"/>
  <c r="X1808" i="23"/>
  <c r="W1810" i="23"/>
  <c r="S1913" i="23"/>
  <c r="U1913" i="23" s="1"/>
  <c r="P1913" i="23"/>
  <c r="Y1993" i="23"/>
  <c r="Y2001" i="23"/>
  <c r="W2004" i="23"/>
  <c r="X2001" i="23"/>
  <c r="W2003" i="23"/>
  <c r="W2002" i="23"/>
  <c r="Z2001" i="23"/>
  <c r="W2063" i="23"/>
  <c r="W2062" i="23"/>
  <c r="Z2061" i="23"/>
  <c r="Y2061" i="23"/>
  <c r="W2064" i="23"/>
  <c r="Z2153" i="23"/>
  <c r="Y2153" i="23"/>
  <c r="Z2240" i="23"/>
  <c r="Y2240" i="23"/>
  <c r="S1750" i="23"/>
  <c r="U1750" i="23" s="1"/>
  <c r="P1750" i="23"/>
  <c r="S1760" i="23"/>
  <c r="U1760" i="23" s="1"/>
  <c r="P1760" i="23"/>
  <c r="S1769" i="23"/>
  <c r="U1769" i="23" s="1"/>
  <c r="P1769" i="23"/>
  <c r="X1775" i="23"/>
  <c r="T1776" i="23"/>
  <c r="Y1781" i="23"/>
  <c r="S1784" i="23"/>
  <c r="U1784" i="23" s="1"/>
  <c r="P1784" i="23"/>
  <c r="Z1789" i="23"/>
  <c r="Y1789" i="23"/>
  <c r="Z1797" i="23"/>
  <c r="Y1797" i="23"/>
  <c r="X1806" i="23"/>
  <c r="Y1820" i="23"/>
  <c r="S1823" i="23"/>
  <c r="U1823" i="23" s="1"/>
  <c r="P1823" i="23"/>
  <c r="Y1824" i="23"/>
  <c r="X1824" i="23"/>
  <c r="Z1824" i="23"/>
  <c r="S1841" i="23"/>
  <c r="U1841" i="23" s="1"/>
  <c r="P1841" i="23"/>
  <c r="U1864" i="23"/>
  <c r="W1869" i="23"/>
  <c r="Z1868" i="23"/>
  <c r="Y1868" i="23"/>
  <c r="W1871" i="23"/>
  <c r="W1870" i="23"/>
  <c r="U1896" i="23"/>
  <c r="X1900" i="23"/>
  <c r="X1926" i="23"/>
  <c r="Z1926" i="23"/>
  <c r="Y1926" i="23"/>
  <c r="U1977" i="23"/>
  <c r="Y2009" i="23"/>
  <c r="Y2017" i="23"/>
  <c r="W2020" i="23"/>
  <c r="X2017" i="23"/>
  <c r="W2019" i="23"/>
  <c r="W2018" i="23"/>
  <c r="Z2017" i="23"/>
  <c r="U2057" i="23"/>
  <c r="U2118" i="23"/>
  <c r="Z2192" i="23"/>
  <c r="Y2192" i="23"/>
  <c r="W2217" i="23"/>
  <c r="Z2216" i="23"/>
  <c r="Y2216" i="23"/>
  <c r="O2715" i="23"/>
  <c r="P1743" i="23"/>
  <c r="X1743" i="23" s="1"/>
  <c r="Z1754" i="23"/>
  <c r="Y1754" i="23"/>
  <c r="Y1767" i="23"/>
  <c r="Z1778" i="23"/>
  <c r="Y1778" i="23"/>
  <c r="Z1781" i="23"/>
  <c r="Z1801" i="23"/>
  <c r="W1818" i="23"/>
  <c r="Z1817" i="23"/>
  <c r="Y1817" i="23"/>
  <c r="W1819" i="23"/>
  <c r="U1833" i="23"/>
  <c r="Z1839" i="23"/>
  <c r="Z1891" i="23"/>
  <c r="Y1891" i="23"/>
  <c r="X1891" i="23"/>
  <c r="U1917" i="23"/>
  <c r="Y1961" i="23"/>
  <c r="Z2025" i="23"/>
  <c r="Y2025" i="23"/>
  <c r="W2035" i="23"/>
  <c r="W2203" i="23"/>
  <c r="W2199" i="23"/>
  <c r="Z2204" i="23"/>
  <c r="Y2204" i="23"/>
  <c r="H2228" i="23"/>
  <c r="J2228" i="23" s="1"/>
  <c r="Z2246" i="23"/>
  <c r="Y2246" i="23"/>
  <c r="S1748" i="23"/>
  <c r="U1748" i="23" s="1"/>
  <c r="P1748" i="23"/>
  <c r="Y1751" i="23"/>
  <c r="X1751" i="23"/>
  <c r="Z1755" i="23"/>
  <c r="Y1755" i="23"/>
  <c r="T1760" i="23"/>
  <c r="Y1765" i="23"/>
  <c r="Z1779" i="23"/>
  <c r="Y1779" i="23"/>
  <c r="T1784" i="23"/>
  <c r="X1789" i="23"/>
  <c r="S1811" i="23"/>
  <c r="U1811" i="23" s="1"/>
  <c r="P1811" i="23"/>
  <c r="X1868" i="23"/>
  <c r="Z1884" i="23"/>
  <c r="Y1884" i="23"/>
  <c r="W1910" i="23"/>
  <c r="Z1909" i="23"/>
  <c r="Y1909" i="23"/>
  <c r="W1912" i="23"/>
  <c r="X1909" i="23"/>
  <c r="W1911" i="23"/>
  <c r="W1990" i="23"/>
  <c r="U2041" i="23"/>
  <c r="W2047" i="23"/>
  <c r="W2046" i="23"/>
  <c r="Z2045" i="23"/>
  <c r="Y2045" i="23"/>
  <c r="W2048" i="23"/>
  <c r="Y2049" i="23"/>
  <c r="W2052" i="23"/>
  <c r="W2051" i="23"/>
  <c r="W2050" i="23"/>
  <c r="Z2049" i="23"/>
  <c r="U2089" i="23"/>
  <c r="W2106" i="23"/>
  <c r="Z2105" i="23"/>
  <c r="Y2105" i="23"/>
  <c r="W2108" i="23"/>
  <c r="W2107" i="23"/>
  <c r="X2180" i="23"/>
  <c r="H2198" i="23"/>
  <c r="J2198" i="23" s="1"/>
  <c r="P2133" i="23"/>
  <c r="X2133" i="23" s="1"/>
  <c r="P2168" i="23"/>
  <c r="X2168" i="23" s="1"/>
  <c r="P2192" i="23"/>
  <c r="X2192" i="23" s="1"/>
  <c r="P2240" i="23"/>
  <c r="X2240" i="23" s="1"/>
  <c r="W2274" i="23"/>
  <c r="W2272" i="23"/>
  <c r="W2275" i="23"/>
  <c r="W2273" i="23"/>
  <c r="W2271" i="23"/>
  <c r="Z2270" i="23"/>
  <c r="Y2270" i="23"/>
  <c r="Z2360" i="23"/>
  <c r="Y2360" i="23"/>
  <c r="Z2390" i="23"/>
  <c r="Y2390" i="23"/>
  <c r="Z2450" i="23"/>
  <c r="W2455" i="23"/>
  <c r="W2454" i="23"/>
  <c r="W2453" i="23"/>
  <c r="W2452" i="23"/>
  <c r="W2451" i="23"/>
  <c r="Y2450" i="23"/>
  <c r="S1783" i="23"/>
  <c r="U1783" i="23" s="1"/>
  <c r="W1879" i="23"/>
  <c r="W1927" i="23"/>
  <c r="W1943" i="23"/>
  <c r="W1959" i="23"/>
  <c r="W1991" i="23"/>
  <c r="W2007" i="23"/>
  <c r="S2037" i="23"/>
  <c r="U2037" i="23" s="1"/>
  <c r="X2037" i="23" s="1"/>
  <c r="S2053" i="23"/>
  <c r="U2053" i="23" s="1"/>
  <c r="S2069" i="23"/>
  <c r="U2069" i="23" s="1"/>
  <c r="X2069" i="23" s="1"/>
  <c r="S2085" i="23"/>
  <c r="U2085" i="23" s="1"/>
  <c r="S2101" i="23"/>
  <c r="U2101" i="23" s="1"/>
  <c r="S2128" i="23"/>
  <c r="U2128" i="23" s="1"/>
  <c r="X2128" i="23" s="1"/>
  <c r="J2222" i="23"/>
  <c r="S2228" i="23"/>
  <c r="U2228" i="23" s="1"/>
  <c r="S2252" i="23"/>
  <c r="U2252" i="23" s="1"/>
  <c r="X2252" i="23" s="1"/>
  <c r="W2287" i="23"/>
  <c r="W2285" i="23"/>
  <c r="W2283" i="23"/>
  <c r="Z2282" i="23"/>
  <c r="Y2282" i="23"/>
  <c r="W2286" i="23"/>
  <c r="W2284" i="23"/>
  <c r="Z2300" i="23"/>
  <c r="Y2300" i="23"/>
  <c r="H2306" i="23"/>
  <c r="J2306" i="23" s="1"/>
  <c r="Y2312" i="23"/>
  <c r="W2316" i="23"/>
  <c r="W2314" i="23"/>
  <c r="W2317" i="23"/>
  <c r="W2315" i="23"/>
  <c r="W2313" i="23"/>
  <c r="Z2312" i="23"/>
  <c r="H2324" i="23"/>
  <c r="Z2456" i="23"/>
  <c r="Y2456" i="23"/>
  <c r="W2461" i="23"/>
  <c r="W2460" i="23"/>
  <c r="W2459" i="23"/>
  <c r="W2458" i="23"/>
  <c r="W2457" i="23"/>
  <c r="W2467" i="23"/>
  <c r="Z2462" i="23"/>
  <c r="W2466" i="23"/>
  <c r="W2465" i="23"/>
  <c r="W2464" i="23"/>
  <c r="W2463" i="23"/>
  <c r="Y2462" i="23"/>
  <c r="O2716" i="23"/>
  <c r="P1828" i="23"/>
  <c r="X1828" i="23" s="1"/>
  <c r="P1864" i="23"/>
  <c r="Y1876" i="23"/>
  <c r="P1880" i="23"/>
  <c r="Y1892" i="23"/>
  <c r="P1896" i="23"/>
  <c r="P2143" i="23"/>
  <c r="P2174" i="23"/>
  <c r="P2246" i="23"/>
  <c r="X2246" i="23" s="1"/>
  <c r="P2258" i="23"/>
  <c r="X2258" i="23" s="1"/>
  <c r="H2312" i="23"/>
  <c r="J2312" i="23" s="1"/>
  <c r="H2318" i="23"/>
  <c r="J2318" i="23" s="1"/>
  <c r="Z2354" i="23"/>
  <c r="W2356" i="23"/>
  <c r="W2359" i="23"/>
  <c r="W2355" i="23"/>
  <c r="Y2354" i="23"/>
  <c r="W2358" i="23"/>
  <c r="W2357" i="23"/>
  <c r="Z2444" i="23"/>
  <c r="Y2444" i="23"/>
  <c r="Z2372" i="23"/>
  <c r="W2377" i="23"/>
  <c r="W2376" i="23"/>
  <c r="W2375" i="23"/>
  <c r="W2374" i="23"/>
  <c r="W2373" i="23"/>
  <c r="Y2372" i="23"/>
  <c r="Z2396" i="23"/>
  <c r="Y2396" i="23"/>
  <c r="W2398" i="23"/>
  <c r="Z2408" i="23"/>
  <c r="Y2408" i="23"/>
  <c r="X1925" i="23"/>
  <c r="W1928" i="23"/>
  <c r="X1941" i="23"/>
  <c r="W1944" i="23"/>
  <c r="X1957" i="23"/>
  <c r="W1960" i="23"/>
  <c r="W1992" i="23"/>
  <c r="W2008" i="23"/>
  <c r="J2168" i="23"/>
  <c r="J2192" i="23"/>
  <c r="Z2276" i="23"/>
  <c r="Y2276" i="23"/>
  <c r="H2300" i="23"/>
  <c r="J2300" i="23" s="1"/>
  <c r="W2335" i="23"/>
  <c r="W2333" i="23"/>
  <c r="W2331" i="23"/>
  <c r="Z2330" i="23"/>
  <c r="Y2330" i="23"/>
  <c r="W2334" i="23"/>
  <c r="W2332" i="23"/>
  <c r="W2346" i="23"/>
  <c r="W2343" i="23"/>
  <c r="W2347" i="23"/>
  <c r="W2353" i="23"/>
  <c r="W2352" i="23"/>
  <c r="W2351" i="23"/>
  <c r="Z2348" i="23"/>
  <c r="W2350" i="23"/>
  <c r="W2349" i="23"/>
  <c r="Y2348" i="23"/>
  <c r="Z2420" i="23"/>
  <c r="Y2420" i="23"/>
  <c r="W2425" i="23"/>
  <c r="W2424" i="23"/>
  <c r="W2423" i="23"/>
  <c r="W2422" i="23"/>
  <c r="W2421" i="23"/>
  <c r="W2440" i="23"/>
  <c r="Y1925" i="23"/>
  <c r="P1929" i="23"/>
  <c r="X1929" i="23" s="1"/>
  <c r="Y1941" i="23"/>
  <c r="P1945" i="23"/>
  <c r="Y1957" i="23"/>
  <c r="P1961" i="23"/>
  <c r="X1961" i="23" s="1"/>
  <c r="P1977" i="23"/>
  <c r="Y1989" i="23"/>
  <c r="P1993" i="23"/>
  <c r="Y2005" i="23"/>
  <c r="P2009" i="23"/>
  <c r="P2025" i="23"/>
  <c r="X2025" i="23" s="1"/>
  <c r="P2041" i="23"/>
  <c r="P2057" i="23"/>
  <c r="P2073" i="23"/>
  <c r="X2073" i="23" s="1"/>
  <c r="P2089" i="23"/>
  <c r="P2118" i="23"/>
  <c r="P2158" i="23"/>
  <c r="P2222" i="23"/>
  <c r="H2282" i="23"/>
  <c r="J2282" i="23" s="1"/>
  <c r="Y2288" i="23"/>
  <c r="W2293" i="23"/>
  <c r="W2291" i="23"/>
  <c r="W2289" i="23"/>
  <c r="Z2288" i="23"/>
  <c r="Z2298" i="23"/>
  <c r="Y2298" i="23"/>
  <c r="X2298" i="23"/>
  <c r="H2342" i="23"/>
  <c r="J2342" i="23" s="1"/>
  <c r="W2387" i="23"/>
  <c r="W2386" i="23"/>
  <c r="Z2414" i="23"/>
  <c r="Y2414" i="23"/>
  <c r="Z2468" i="23"/>
  <c r="Y2468" i="23"/>
  <c r="W2472" i="23"/>
  <c r="W2471" i="23"/>
  <c r="W2473" i="23"/>
  <c r="W2470" i="23"/>
  <c r="W2469" i="23"/>
  <c r="T1755" i="23"/>
  <c r="Z1925" i="23"/>
  <c r="Z1941" i="23"/>
  <c r="Z1957" i="23"/>
  <c r="Z1973" i="23"/>
  <c r="Z1989" i="23"/>
  <c r="X2270" i="23"/>
  <c r="H2288" i="23"/>
  <c r="J2288" i="23" s="1"/>
  <c r="H2294" i="23"/>
  <c r="J2294" i="23" s="1"/>
  <c r="Z2324" i="23"/>
  <c r="Y2324" i="23"/>
  <c r="Z2432" i="23"/>
  <c r="Y2432" i="23"/>
  <c r="H2276" i="23"/>
  <c r="J2276" i="23" s="1"/>
  <c r="Y2336" i="23"/>
  <c r="Z2378" i="23"/>
  <c r="W2381" i="23"/>
  <c r="W2380" i="23"/>
  <c r="W2379" i="23"/>
  <c r="Y2378" i="23"/>
  <c r="W2383" i="23"/>
  <c r="W2382" i="23"/>
  <c r="Z2426" i="23"/>
  <c r="Y2426" i="23"/>
  <c r="X2294" i="23"/>
  <c r="X2318" i="23"/>
  <c r="X2348" i="23"/>
  <c r="X2462" i="23"/>
  <c r="X2492" i="23"/>
  <c r="W2521" i="23"/>
  <c r="W2519" i="23"/>
  <c r="W2517" i="23"/>
  <c r="Z2516" i="23"/>
  <c r="Y2516" i="23"/>
  <c r="H2528" i="23"/>
  <c r="J2528" i="23" s="1"/>
  <c r="S2558" i="23"/>
  <c r="U2558" i="23" s="1"/>
  <c r="P2558" i="23"/>
  <c r="X2631" i="23"/>
  <c r="U2640" i="23"/>
  <c r="U2642" i="23"/>
  <c r="Z2657" i="23"/>
  <c r="Y2657" i="23"/>
  <c r="Z2664" i="23"/>
  <c r="Y2664" i="23"/>
  <c r="Z2681" i="23"/>
  <c r="Z2707" i="23"/>
  <c r="Y2707" i="23"/>
  <c r="Y2294" i="23"/>
  <c r="Y2318" i="23"/>
  <c r="J2324" i="23"/>
  <c r="X2378" i="23"/>
  <c r="W2495" i="23"/>
  <c r="W2496" i="23"/>
  <c r="H2510" i="23"/>
  <c r="J2510" i="23" s="1"/>
  <c r="W2551" i="23"/>
  <c r="W2549" i="23"/>
  <c r="W2547" i="23"/>
  <c r="Z2546" i="23"/>
  <c r="Y2546" i="23"/>
  <c r="W2550" i="23"/>
  <c r="W2548" i="23"/>
  <c r="Z2649" i="23"/>
  <c r="Y2649" i="23"/>
  <c r="Z2654" i="23"/>
  <c r="Z2659" i="23"/>
  <c r="Y2659" i="23"/>
  <c r="Z2699" i="23"/>
  <c r="Y2699" i="23"/>
  <c r="Z2294" i="23"/>
  <c r="Z2318" i="23"/>
  <c r="P2390" i="23"/>
  <c r="X2390" i="23" s="1"/>
  <c r="P2408" i="23"/>
  <c r="X2408" i="23" s="1"/>
  <c r="Y2480" i="23"/>
  <c r="W2493" i="23"/>
  <c r="Z2504" i="23"/>
  <c r="W2526" i="23"/>
  <c r="W2523" i="23"/>
  <c r="S2534" i="23"/>
  <c r="U2534" i="23" s="1"/>
  <c r="P2534" i="23"/>
  <c r="W2541" i="23"/>
  <c r="Z2540" i="23"/>
  <c r="Y2540" i="23"/>
  <c r="Z2552" i="23"/>
  <c r="Y2552" i="23"/>
  <c r="W2556" i="23"/>
  <c r="W2569" i="23"/>
  <c r="W2567" i="23"/>
  <c r="W2565" i="23"/>
  <c r="Z2564" i="23"/>
  <c r="Y2564" i="23"/>
  <c r="U2632" i="23"/>
  <c r="X2632" i="23" s="1"/>
  <c r="U2634" i="23"/>
  <c r="Z2641" i="23"/>
  <c r="Y2641" i="23"/>
  <c r="Z2651" i="23"/>
  <c r="Y2651" i="23"/>
  <c r="X2661" i="23"/>
  <c r="X2664" i="23"/>
  <c r="X2681" i="23"/>
  <c r="Z2691" i="23"/>
  <c r="Y2691" i="23"/>
  <c r="U2702" i="23"/>
  <c r="U2704" i="23"/>
  <c r="W2295" i="23"/>
  <c r="W2299" i="23"/>
  <c r="W2319" i="23"/>
  <c r="W2323" i="23"/>
  <c r="X2420" i="23"/>
  <c r="W2497" i="23"/>
  <c r="Z2492" i="23"/>
  <c r="Y2492" i="23"/>
  <c r="H2540" i="23"/>
  <c r="J2540" i="23" s="1"/>
  <c r="G2571" i="23"/>
  <c r="H2571" i="23" s="1"/>
  <c r="G2574" i="23"/>
  <c r="H2574" i="23" s="1"/>
  <c r="G2572" i="23"/>
  <c r="H2572" i="23" s="1"/>
  <c r="G2575" i="23"/>
  <c r="H2575" i="23" s="1"/>
  <c r="I2570" i="23"/>
  <c r="G2573" i="23"/>
  <c r="H2573" i="23" s="1"/>
  <c r="G2577" i="23"/>
  <c r="H2577" i="23" s="1"/>
  <c r="G2580" i="23"/>
  <c r="H2580" i="23" s="1"/>
  <c r="G2578" i="23"/>
  <c r="H2578" i="23" s="1"/>
  <c r="G2581" i="23"/>
  <c r="H2581" i="23" s="1"/>
  <c r="I2576" i="23"/>
  <c r="G2579" i="23"/>
  <c r="H2579" i="23" s="1"/>
  <c r="G2583" i="23"/>
  <c r="H2583" i="23" s="1"/>
  <c r="G2586" i="23"/>
  <c r="H2586" i="23" s="1"/>
  <c r="G2584" i="23"/>
  <c r="H2584" i="23" s="1"/>
  <c r="G2587" i="23"/>
  <c r="H2587" i="23" s="1"/>
  <c r="I2582" i="23"/>
  <c r="G2585" i="23"/>
  <c r="H2585" i="23" s="1"/>
  <c r="G2589" i="23"/>
  <c r="H2589" i="23" s="1"/>
  <c r="G2592" i="23"/>
  <c r="H2592" i="23" s="1"/>
  <c r="G2590" i="23"/>
  <c r="H2590" i="23" s="1"/>
  <c r="G2593" i="23"/>
  <c r="H2593" i="23" s="1"/>
  <c r="I2588" i="23"/>
  <c r="G2591" i="23"/>
  <c r="H2591" i="23" s="1"/>
  <c r="G2595" i="23"/>
  <c r="H2595" i="23" s="1"/>
  <c r="G2598" i="23"/>
  <c r="H2598" i="23" s="1"/>
  <c r="G2596" i="23"/>
  <c r="H2596" i="23" s="1"/>
  <c r="G2599" i="23"/>
  <c r="H2599" i="23" s="1"/>
  <c r="I2594" i="23"/>
  <c r="G2597" i="23"/>
  <c r="H2597" i="23" s="1"/>
  <c r="G2601" i="23"/>
  <c r="H2601" i="23" s="1"/>
  <c r="G2604" i="23"/>
  <c r="H2604" i="23" s="1"/>
  <c r="G2602" i="23"/>
  <c r="H2602" i="23" s="1"/>
  <c r="G2605" i="23"/>
  <c r="H2605" i="23" s="1"/>
  <c r="I2600" i="23"/>
  <c r="G2603" i="23"/>
  <c r="H2603" i="23" s="1"/>
  <c r="G2607" i="23"/>
  <c r="H2607" i="23" s="1"/>
  <c r="G2610" i="23"/>
  <c r="H2610" i="23" s="1"/>
  <c r="G2608" i="23"/>
  <c r="H2608" i="23" s="1"/>
  <c r="G2611" i="23"/>
  <c r="H2611" i="23" s="1"/>
  <c r="I2606" i="23"/>
  <c r="G2609" i="23"/>
  <c r="H2609" i="23" s="1"/>
  <c r="G2613" i="23"/>
  <c r="H2613" i="23" s="1"/>
  <c r="G2616" i="23"/>
  <c r="H2616" i="23" s="1"/>
  <c r="G2614" i="23"/>
  <c r="H2614" i="23" s="1"/>
  <c r="G2617" i="23"/>
  <c r="H2617" i="23" s="1"/>
  <c r="I2612" i="23"/>
  <c r="G2615" i="23"/>
  <c r="H2615" i="23" s="1"/>
  <c r="U2624" i="23"/>
  <c r="Z2643" i="23"/>
  <c r="Y2643" i="23"/>
  <c r="X2653" i="23"/>
  <c r="Z2666" i="23"/>
  <c r="Y2666" i="23"/>
  <c r="Z2683" i="23"/>
  <c r="Y2683" i="23"/>
  <c r="U2696" i="23"/>
  <c r="U2366" i="23"/>
  <c r="P2414" i="23"/>
  <c r="X2414" i="23" s="1"/>
  <c r="P2432" i="23"/>
  <c r="X2432" i="23" s="1"/>
  <c r="P2504" i="23"/>
  <c r="W2506" i="23" s="1"/>
  <c r="S2510" i="23"/>
  <c r="U2510" i="23" s="1"/>
  <c r="P2510" i="23"/>
  <c r="W2520" i="23"/>
  <c r="Y2528" i="23"/>
  <c r="Z2544" i="23"/>
  <c r="H2558" i="23"/>
  <c r="J2558" i="23" s="1"/>
  <c r="Z2633" i="23"/>
  <c r="Y2633" i="23"/>
  <c r="Z2661" i="23"/>
  <c r="Y2661" i="23"/>
  <c r="Z2703" i="23"/>
  <c r="Y2703" i="23"/>
  <c r="P2276" i="23"/>
  <c r="X2276" i="23" s="1"/>
  <c r="P2300" i="23"/>
  <c r="X2300" i="23" s="1"/>
  <c r="P2324" i="23"/>
  <c r="X2324" i="23" s="1"/>
  <c r="J2348" i="23"/>
  <c r="P2426" i="23"/>
  <c r="X2426" i="23" s="1"/>
  <c r="P2444" i="23"/>
  <c r="X2444" i="23" s="1"/>
  <c r="X2498" i="23"/>
  <c r="X2516" i="23"/>
  <c r="Z2635" i="23"/>
  <c r="Y2635" i="23"/>
  <c r="Z2653" i="23"/>
  <c r="Y2653" i="23"/>
  <c r="X2656" i="23"/>
  <c r="Z2680" i="23"/>
  <c r="Y2680" i="23"/>
  <c r="Z2695" i="23"/>
  <c r="Y2695" i="23"/>
  <c r="Z2705" i="23"/>
  <c r="Y2705" i="23"/>
  <c r="Z2306" i="23"/>
  <c r="X2372" i="23"/>
  <c r="X2456" i="23"/>
  <c r="X2468" i="23"/>
  <c r="S2486" i="23"/>
  <c r="U2486" i="23" s="1"/>
  <c r="H2552" i="23"/>
  <c r="J2552" i="23" s="1"/>
  <c r="Z2656" i="23"/>
  <c r="Y2656" i="23"/>
  <c r="Z2687" i="23"/>
  <c r="Y2687" i="23"/>
  <c r="Z2697" i="23"/>
  <c r="Y2697" i="23"/>
  <c r="W2296" i="23"/>
  <c r="W2309" i="23"/>
  <c r="W2320" i="23"/>
  <c r="X2450" i="23"/>
  <c r="Z2498" i="23"/>
  <c r="Y2498" i="23"/>
  <c r="W2502" i="23"/>
  <c r="W2500" i="23"/>
  <c r="W2499" i="23"/>
  <c r="W2501" i="23"/>
  <c r="W2503" i="23"/>
  <c r="H2504" i="23"/>
  <c r="J2504" i="23" s="1"/>
  <c r="U2570" i="23"/>
  <c r="U2576" i="23"/>
  <c r="X2576" i="23" s="1"/>
  <c r="U2582" i="23"/>
  <c r="X2582" i="23" s="1"/>
  <c r="U2588" i="23"/>
  <c r="U2594" i="23"/>
  <c r="U2600" i="23"/>
  <c r="X2600" i="23" s="1"/>
  <c r="U2606" i="23"/>
  <c r="X2606" i="23" s="1"/>
  <c r="U2612" i="23"/>
  <c r="W2622" i="23"/>
  <c r="X2635" i="23"/>
  <c r="U2648" i="23"/>
  <c r="X2648" i="23" s="1"/>
  <c r="U2650" i="23"/>
  <c r="Z2679" i="23"/>
  <c r="Y2679" i="23"/>
  <c r="Z2689" i="23"/>
  <c r="Y2689" i="23"/>
  <c r="S33" i="24"/>
  <c r="U33" i="24" s="1"/>
  <c r="P33" i="24"/>
  <c r="S41" i="24"/>
  <c r="U41" i="24" s="1"/>
  <c r="P41" i="24"/>
  <c r="P71" i="24"/>
  <c r="S71" i="24"/>
  <c r="U71" i="24" s="1"/>
  <c r="Z77" i="24"/>
  <c r="Y77" i="24"/>
  <c r="Z95" i="24"/>
  <c r="Y95" i="24"/>
  <c r="S102" i="24"/>
  <c r="U102" i="24" s="1"/>
  <c r="P102" i="24"/>
  <c r="S110" i="24"/>
  <c r="U110" i="24" s="1"/>
  <c r="P110" i="24"/>
  <c r="W168" i="24"/>
  <c r="Z167" i="24"/>
  <c r="Y167" i="24"/>
  <c r="X167" i="24"/>
  <c r="W169" i="24"/>
  <c r="S187" i="24"/>
  <c r="U187" i="24" s="1"/>
  <c r="P187" i="24"/>
  <c r="Z199" i="24"/>
  <c r="Y199" i="24"/>
  <c r="Z224" i="24"/>
  <c r="Y224" i="24"/>
  <c r="Z244" i="24"/>
  <c r="Y244" i="24"/>
  <c r="S247" i="24"/>
  <c r="U247" i="24" s="1"/>
  <c r="P247" i="24"/>
  <c r="W273" i="24"/>
  <c r="W272" i="24"/>
  <c r="W274" i="24"/>
  <c r="W271" i="24"/>
  <c r="Z270" i="24"/>
  <c r="S413" i="24"/>
  <c r="U413" i="24" s="1"/>
  <c r="P413" i="24"/>
  <c r="Z483" i="24"/>
  <c r="Y483" i="24"/>
  <c r="S526" i="24"/>
  <c r="U526" i="24" s="1"/>
  <c r="P526" i="24"/>
  <c r="G2621" i="23"/>
  <c r="H2621" i="23" s="1"/>
  <c r="G2627" i="23"/>
  <c r="H2627" i="23" s="1"/>
  <c r="Y2636" i="23"/>
  <c r="T2637" i="23"/>
  <c r="P19" i="24"/>
  <c r="Z22" i="24"/>
  <c r="Z28" i="24"/>
  <c r="Y28" i="24"/>
  <c r="Z36" i="24"/>
  <c r="S47" i="24"/>
  <c r="U47" i="24" s="1"/>
  <c r="P47" i="24"/>
  <c r="S55" i="24"/>
  <c r="U55" i="24" s="1"/>
  <c r="P55" i="24"/>
  <c r="S63" i="24"/>
  <c r="U63" i="24" s="1"/>
  <c r="P63" i="24"/>
  <c r="P69" i="24"/>
  <c r="S69" i="24"/>
  <c r="U69" i="24" s="1"/>
  <c r="U74" i="24"/>
  <c r="S80" i="24"/>
  <c r="U80" i="24" s="1"/>
  <c r="P80" i="24"/>
  <c r="U84" i="24"/>
  <c r="Z92" i="24"/>
  <c r="Y92" i="24"/>
  <c r="U98" i="24"/>
  <c r="X98" i="24" s="1"/>
  <c r="U103" i="24"/>
  <c r="U111" i="24"/>
  <c r="U139" i="24"/>
  <c r="Z140" i="24"/>
  <c r="Y140" i="24"/>
  <c r="Z209" i="24"/>
  <c r="Y209" i="24"/>
  <c r="Z216" i="24"/>
  <c r="Y216" i="24"/>
  <c r="T220" i="24"/>
  <c r="X224" i="24"/>
  <c r="S230" i="24"/>
  <c r="U230" i="24" s="1"/>
  <c r="P230" i="24"/>
  <c r="R234" i="24"/>
  <c r="X246" i="24"/>
  <c r="X252" i="24"/>
  <c r="Y270" i="24"/>
  <c r="S520" i="24"/>
  <c r="U520" i="24" s="1"/>
  <c r="P520" i="24"/>
  <c r="I2618" i="23"/>
  <c r="I2624" i="23"/>
  <c r="Y2631" i="23"/>
  <c r="T2632" i="23"/>
  <c r="P2633" i="23"/>
  <c r="X2633" i="23" s="1"/>
  <c r="Y2639" i="23"/>
  <c r="T2640" i="23"/>
  <c r="P2641" i="23"/>
  <c r="X2641" i="23" s="1"/>
  <c r="Y2647" i="23"/>
  <c r="T2648" i="23"/>
  <c r="P2649" i="23"/>
  <c r="X2649" i="23" s="1"/>
  <c r="Y2655" i="23"/>
  <c r="T2656" i="23"/>
  <c r="P2657" i="23"/>
  <c r="X2657" i="23" s="1"/>
  <c r="Y2665" i="23"/>
  <c r="Y2667" i="23"/>
  <c r="Y2669" i="23"/>
  <c r="Y2675" i="23"/>
  <c r="T2678" i="23"/>
  <c r="P2679" i="23"/>
  <c r="X2679" i="23" s="1"/>
  <c r="Y2685" i="23"/>
  <c r="T2686" i="23"/>
  <c r="P2687" i="23"/>
  <c r="X2687" i="23" s="1"/>
  <c r="Y2693" i="23"/>
  <c r="T2694" i="23"/>
  <c r="P2695" i="23"/>
  <c r="X2695" i="23" s="1"/>
  <c r="T2702" i="23"/>
  <c r="P2703" i="23"/>
  <c r="X2703" i="23" s="1"/>
  <c r="U19" i="24"/>
  <c r="Y24" i="24"/>
  <c r="Y27" i="24"/>
  <c r="S31" i="24"/>
  <c r="U31" i="24" s="1"/>
  <c r="P31" i="24"/>
  <c r="S39" i="24"/>
  <c r="U39" i="24" s="1"/>
  <c r="P39" i="24"/>
  <c r="X45" i="24"/>
  <c r="Y57" i="24"/>
  <c r="X61" i="24"/>
  <c r="U72" i="24"/>
  <c r="Z83" i="24"/>
  <c r="Y83" i="24"/>
  <c r="Z100" i="24"/>
  <c r="Y100" i="24"/>
  <c r="U106" i="24"/>
  <c r="X106" i="24" s="1"/>
  <c r="X114" i="24"/>
  <c r="Z122" i="24"/>
  <c r="Y122" i="24"/>
  <c r="X133" i="24"/>
  <c r="W155" i="24"/>
  <c r="W154" i="24"/>
  <c r="Z153" i="24"/>
  <c r="Y153" i="24"/>
  <c r="Z184" i="24"/>
  <c r="Y184" i="24"/>
  <c r="Z208" i="24"/>
  <c r="Y208" i="24"/>
  <c r="T212" i="24"/>
  <c r="U223" i="24"/>
  <c r="X223" i="24" s="1"/>
  <c r="X253" i="24"/>
  <c r="W258" i="24"/>
  <c r="W259" i="24"/>
  <c r="W257" i="24"/>
  <c r="Z255" i="24"/>
  <c r="W256" i="24"/>
  <c r="Y255" i="24"/>
  <c r="Z466" i="24"/>
  <c r="Y466" i="24"/>
  <c r="G2623" i="23"/>
  <c r="H2623" i="23" s="1"/>
  <c r="G2629" i="23"/>
  <c r="H2629" i="23" s="1"/>
  <c r="Z34" i="24"/>
  <c r="Y34" i="24"/>
  <c r="X46" i="24"/>
  <c r="X54" i="24"/>
  <c r="S78" i="24"/>
  <c r="U78" i="24" s="1"/>
  <c r="P78" i="24"/>
  <c r="Z88" i="24"/>
  <c r="Y88" i="24"/>
  <c r="Z96" i="24"/>
  <c r="Y96" i="24"/>
  <c r="Z114" i="24"/>
  <c r="Y114" i="24"/>
  <c r="Z121" i="24"/>
  <c r="Y121" i="24"/>
  <c r="U134" i="24"/>
  <c r="S175" i="24"/>
  <c r="U175" i="24" s="1"/>
  <c r="P175" i="24"/>
  <c r="U179" i="24"/>
  <c r="T204" i="24"/>
  <c r="U215" i="24"/>
  <c r="X215" i="24" s="1"/>
  <c r="S221" i="24"/>
  <c r="U221" i="24" s="1"/>
  <c r="P221" i="24"/>
  <c r="U254" i="24"/>
  <c r="X254" i="24" s="1"/>
  <c r="W433" i="24"/>
  <c r="W435" i="24"/>
  <c r="W436" i="24"/>
  <c r="W432" i="24"/>
  <c r="Z431" i="24"/>
  <c r="Y431" i="24"/>
  <c r="W434" i="24"/>
  <c r="W538" i="24"/>
  <c r="Y537" i="24"/>
  <c r="G2620" i="23"/>
  <c r="H2620" i="23" s="1"/>
  <c r="G2626" i="23"/>
  <c r="H2626" i="23" s="1"/>
  <c r="T2638" i="23"/>
  <c r="T2646" i="23"/>
  <c r="T2654" i="23"/>
  <c r="T2684" i="23"/>
  <c r="T2692" i="23"/>
  <c r="T2700" i="23"/>
  <c r="X22" i="24"/>
  <c r="S29" i="24"/>
  <c r="U29" i="24" s="1"/>
  <c r="P29" i="24"/>
  <c r="X34" i="24"/>
  <c r="S37" i="24"/>
  <c r="U37" i="24" s="1"/>
  <c r="P37" i="24"/>
  <c r="Z81" i="24"/>
  <c r="Y81" i="24"/>
  <c r="P86" i="24"/>
  <c r="S86" i="24"/>
  <c r="U86" i="24" s="1"/>
  <c r="Z104" i="24"/>
  <c r="Y104" i="24"/>
  <c r="Z105" i="24"/>
  <c r="Y105" i="24"/>
  <c r="Z113" i="24"/>
  <c r="Y113" i="24"/>
  <c r="X122" i="24"/>
  <c r="Z130" i="24"/>
  <c r="Y130" i="24"/>
  <c r="X130" i="24"/>
  <c r="Y137" i="24"/>
  <c r="W151" i="24"/>
  <c r="S159" i="24"/>
  <c r="U159" i="24" s="1"/>
  <c r="P159" i="24"/>
  <c r="S193" i="24"/>
  <c r="U193" i="24" s="1"/>
  <c r="P193" i="24"/>
  <c r="X202" i="24"/>
  <c r="Z207" i="24"/>
  <c r="Y207" i="24"/>
  <c r="S213" i="24"/>
  <c r="U213" i="24" s="1"/>
  <c r="P213" i="24"/>
  <c r="X214" i="24"/>
  <c r="Z222" i="24"/>
  <c r="Y222" i="24"/>
  <c r="N232" i="24"/>
  <c r="Y242" i="24"/>
  <c r="Z252" i="24"/>
  <c r="Y252" i="24"/>
  <c r="W266" i="24"/>
  <c r="Z265" i="24"/>
  <c r="W268" i="24"/>
  <c r="W269" i="24"/>
  <c r="W267" i="24"/>
  <c r="Y265" i="24"/>
  <c r="P286" i="24"/>
  <c r="S286" i="24"/>
  <c r="U286" i="24" s="1"/>
  <c r="P2634" i="23"/>
  <c r="P2642" i="23"/>
  <c r="P2650" i="23"/>
  <c r="P2658" i="23"/>
  <c r="P2680" i="23"/>
  <c r="X2680" i="23" s="1"/>
  <c r="P2688" i="23"/>
  <c r="P2696" i="23"/>
  <c r="P2704" i="23"/>
  <c r="Z32" i="24"/>
  <c r="Y32" i="24"/>
  <c r="U44" i="24"/>
  <c r="U52" i="24"/>
  <c r="U60" i="24"/>
  <c r="S76" i="24"/>
  <c r="U76" i="24" s="1"/>
  <c r="P76" i="24"/>
  <c r="T93" i="24"/>
  <c r="X96" i="24"/>
  <c r="Z119" i="24"/>
  <c r="Y119" i="24"/>
  <c r="X136" i="24"/>
  <c r="Z163" i="24"/>
  <c r="S205" i="24"/>
  <c r="U205" i="24" s="1"/>
  <c r="P205" i="24"/>
  <c r="Z214" i="24"/>
  <c r="Y214" i="24"/>
  <c r="Y219" i="24"/>
  <c r="Z241" i="24"/>
  <c r="Y241" i="24"/>
  <c r="X241" i="24"/>
  <c r="Z246" i="24"/>
  <c r="Y246" i="24"/>
  <c r="R301" i="24"/>
  <c r="U299" i="24"/>
  <c r="G2622" i="23"/>
  <c r="H2622" i="23" s="1"/>
  <c r="G2628" i="23"/>
  <c r="H2628" i="23" s="1"/>
  <c r="S26" i="24"/>
  <c r="U26" i="24" s="1"/>
  <c r="P26" i="24"/>
  <c r="S35" i="24"/>
  <c r="U35" i="24" s="1"/>
  <c r="P35" i="24"/>
  <c r="P75" i="24"/>
  <c r="S75" i="24"/>
  <c r="U75" i="24" s="1"/>
  <c r="Z79" i="24"/>
  <c r="Y79" i="24"/>
  <c r="T101" i="24"/>
  <c r="T109" i="24"/>
  <c r="Z133" i="24"/>
  <c r="Y133" i="24"/>
  <c r="Z136" i="24"/>
  <c r="Y136" i="24"/>
  <c r="W173" i="24"/>
  <c r="Z229" i="24"/>
  <c r="Y229" i="24"/>
  <c r="X270" i="24"/>
  <c r="W283" i="24"/>
  <c r="W282" i="24"/>
  <c r="Z281" i="24"/>
  <c r="Y281" i="24"/>
  <c r="N283" i="24"/>
  <c r="P295" i="24"/>
  <c r="S295" i="24"/>
  <c r="U295" i="24" s="1"/>
  <c r="U23" i="24"/>
  <c r="X27" i="24"/>
  <c r="Z30" i="24"/>
  <c r="Y30" i="24"/>
  <c r="Y38" i="24"/>
  <c r="Y43" i="24"/>
  <c r="Z45" i="24"/>
  <c r="Z46" i="24"/>
  <c r="P48" i="24"/>
  <c r="S48" i="24"/>
  <c r="U48" i="24" s="1"/>
  <c r="Z51" i="24"/>
  <c r="Y51" i="24"/>
  <c r="Z53" i="24"/>
  <c r="Z54" i="24"/>
  <c r="P56" i="24"/>
  <c r="S56" i="24"/>
  <c r="U56" i="24" s="1"/>
  <c r="X57" i="24"/>
  <c r="Z58" i="24"/>
  <c r="Y58" i="24"/>
  <c r="Z59" i="24"/>
  <c r="Y59" i="24"/>
  <c r="Z61" i="24"/>
  <c r="P64" i="24"/>
  <c r="S64" i="24"/>
  <c r="U64" i="24" s="1"/>
  <c r="Z66" i="24"/>
  <c r="Y66" i="24"/>
  <c r="Z67" i="24"/>
  <c r="P73" i="24"/>
  <c r="S73" i="24"/>
  <c r="U73" i="24" s="1"/>
  <c r="X79" i="24"/>
  <c r="S82" i="24"/>
  <c r="U82" i="24" s="1"/>
  <c r="P82" i="24"/>
  <c r="S94" i="24"/>
  <c r="U94" i="24" s="1"/>
  <c r="P94" i="24"/>
  <c r="U127" i="24"/>
  <c r="S131" i="24"/>
  <c r="U131" i="24" s="1"/>
  <c r="P131" i="24"/>
  <c r="U147" i="24"/>
  <c r="X147" i="24" s="1"/>
  <c r="Z196" i="24"/>
  <c r="Y196" i="24"/>
  <c r="X199" i="24"/>
  <c r="Z203" i="24"/>
  <c r="Y203" i="24"/>
  <c r="Z225" i="24"/>
  <c r="Y225" i="24"/>
  <c r="X225" i="24"/>
  <c r="S243" i="24"/>
  <c r="U243" i="24" s="1"/>
  <c r="P243" i="24"/>
  <c r="Z249" i="24"/>
  <c r="Y249" i="24"/>
  <c r="W280" i="24"/>
  <c r="X281" i="24"/>
  <c r="Z575" i="24"/>
  <c r="Y575" i="24"/>
  <c r="W595" i="24"/>
  <c r="W594" i="24"/>
  <c r="Z593" i="24"/>
  <c r="Y593" i="24"/>
  <c r="W596" i="24"/>
  <c r="Z740" i="24"/>
  <c r="Y740" i="24"/>
  <c r="Z744" i="24"/>
  <c r="Y744" i="24"/>
  <c r="U781" i="24"/>
  <c r="S93" i="24"/>
  <c r="U93" i="24" s="1"/>
  <c r="S101" i="24"/>
  <c r="U101" i="24" s="1"/>
  <c r="S109" i="24"/>
  <c r="U109" i="24" s="1"/>
  <c r="S118" i="24"/>
  <c r="U118" i="24" s="1"/>
  <c r="S132" i="24"/>
  <c r="U132" i="24" s="1"/>
  <c r="X132" i="24" s="1"/>
  <c r="S156" i="24"/>
  <c r="U156" i="24" s="1"/>
  <c r="X156" i="24" s="1"/>
  <c r="S188" i="24"/>
  <c r="U188" i="24" s="1"/>
  <c r="S204" i="24"/>
  <c r="U204" i="24" s="1"/>
  <c r="X204" i="24" s="1"/>
  <c r="S212" i="24"/>
  <c r="U212" i="24" s="1"/>
  <c r="S220" i="24"/>
  <c r="U220" i="24" s="1"/>
  <c r="U231" i="24"/>
  <c r="X231" i="24" s="1"/>
  <c r="S233" i="24"/>
  <c r="U233" i="24" s="1"/>
  <c r="S248" i="24"/>
  <c r="U248" i="24" s="1"/>
  <c r="S264" i="24"/>
  <c r="U264" i="24" s="1"/>
  <c r="S274" i="24"/>
  <c r="U274" i="24" s="1"/>
  <c r="S280" i="24"/>
  <c r="U280" i="24" s="1"/>
  <c r="S284" i="24"/>
  <c r="U284" i="24" s="1"/>
  <c r="X284" i="24" s="1"/>
  <c r="N292" i="24"/>
  <c r="X293" i="24"/>
  <c r="S302" i="24"/>
  <c r="U302" i="24" s="1"/>
  <c r="S305" i="24"/>
  <c r="U305" i="24" s="1"/>
  <c r="P305" i="24"/>
  <c r="W316" i="24"/>
  <c r="Z311" i="24"/>
  <c r="Y311" i="24"/>
  <c r="S316" i="24"/>
  <c r="U316" i="24" s="1"/>
  <c r="P316" i="24"/>
  <c r="R322" i="24"/>
  <c r="U317" i="24"/>
  <c r="H329" i="24"/>
  <c r="J329" i="24" s="1"/>
  <c r="H383" i="24"/>
  <c r="J383" i="24" s="1"/>
  <c r="H395" i="24"/>
  <c r="J395" i="24" s="1"/>
  <c r="H413" i="24"/>
  <c r="J413" i="24" s="1"/>
  <c r="S419" i="24"/>
  <c r="U419" i="24" s="1"/>
  <c r="P419" i="24"/>
  <c r="X431" i="24"/>
  <c r="U442" i="24"/>
  <c r="X466" i="24"/>
  <c r="Z469" i="24"/>
  <c r="Y469" i="24"/>
  <c r="W480" i="24"/>
  <c r="U486" i="24"/>
  <c r="X486" i="24" s="1"/>
  <c r="Z488" i="24"/>
  <c r="Y488" i="24"/>
  <c r="S492" i="24"/>
  <c r="U492" i="24" s="1"/>
  <c r="P492" i="24"/>
  <c r="U499" i="24"/>
  <c r="P523" i="24"/>
  <c r="S523" i="24"/>
  <c r="U523" i="24" s="1"/>
  <c r="P532" i="24"/>
  <c r="S532" i="24"/>
  <c r="U532" i="24" s="1"/>
  <c r="Z568" i="24"/>
  <c r="Y568" i="24"/>
  <c r="Y730" i="24"/>
  <c r="Z730" i="24"/>
  <c r="H781" i="24"/>
  <c r="J781" i="24" s="1"/>
  <c r="Z917" i="24"/>
  <c r="Y917" i="24"/>
  <c r="Z949" i="24"/>
  <c r="Y949" i="24"/>
  <c r="H317" i="24"/>
  <c r="J317" i="24" s="1"/>
  <c r="S323" i="24"/>
  <c r="U323" i="24" s="1"/>
  <c r="P323" i="24"/>
  <c r="S364" i="24"/>
  <c r="P364" i="24"/>
  <c r="R370" i="24"/>
  <c r="U365" i="24"/>
  <c r="X365" i="24" s="1"/>
  <c r="H453" i="24"/>
  <c r="J453" i="24" s="1"/>
  <c r="Y505" i="24"/>
  <c r="Z505" i="24"/>
  <c r="Z506" i="24"/>
  <c r="Y506" i="24"/>
  <c r="Z567" i="24"/>
  <c r="Y567" i="24"/>
  <c r="Z626" i="24"/>
  <c r="Y626" i="24"/>
  <c r="H692" i="24"/>
  <c r="J692" i="24" s="1"/>
  <c r="J693" i="24"/>
  <c r="Z849" i="24"/>
  <c r="Y849" i="24"/>
  <c r="W152" i="24"/>
  <c r="X251" i="24"/>
  <c r="W291" i="24"/>
  <c r="Z290" i="24"/>
  <c r="W295" i="24"/>
  <c r="Y293" i="24"/>
  <c r="W297" i="24"/>
  <c r="Z296" i="24"/>
  <c r="W298" i="24"/>
  <c r="Y296" i="24"/>
  <c r="W349" i="24"/>
  <c r="W351" i="24"/>
  <c r="W352" i="24"/>
  <c r="W348" i="24"/>
  <c r="Z347" i="24"/>
  <c r="Y347" i="24"/>
  <c r="W357" i="24"/>
  <c r="W358" i="24"/>
  <c r="W354" i="24"/>
  <c r="Z353" i="24"/>
  <c r="W356" i="24"/>
  <c r="Y353" i="24"/>
  <c r="S377" i="24"/>
  <c r="U377" i="24" s="1"/>
  <c r="P377" i="24"/>
  <c r="U430" i="24"/>
  <c r="S464" i="24"/>
  <c r="U464" i="24" s="1"/>
  <c r="P464" i="24"/>
  <c r="S472" i="24"/>
  <c r="U472" i="24" s="1"/>
  <c r="P472" i="24"/>
  <c r="U482" i="24"/>
  <c r="X482" i="24" s="1"/>
  <c r="Z484" i="24"/>
  <c r="Y484" i="24"/>
  <c r="Z498" i="24"/>
  <c r="Y498" i="24"/>
  <c r="S512" i="24"/>
  <c r="U512" i="24" s="1"/>
  <c r="P512" i="24"/>
  <c r="Z601" i="24"/>
  <c r="Y601" i="24"/>
  <c r="S624" i="24"/>
  <c r="U624" i="24" s="1"/>
  <c r="P624" i="24"/>
  <c r="S661" i="24"/>
  <c r="P661" i="24"/>
  <c r="U287" i="24"/>
  <c r="W294" i="24"/>
  <c r="N304" i="24"/>
  <c r="U329" i="24"/>
  <c r="S334" i="24"/>
  <c r="U334" i="24" s="1"/>
  <c r="P334" i="24"/>
  <c r="R340" i="24"/>
  <c r="U335" i="24"/>
  <c r="N340" i="24"/>
  <c r="X347" i="24"/>
  <c r="U364" i="24"/>
  <c r="N406" i="24"/>
  <c r="W408" i="24"/>
  <c r="N412" i="24"/>
  <c r="W427" i="24"/>
  <c r="W430" i="24"/>
  <c r="H443" i="24"/>
  <c r="J443" i="24" s="1"/>
  <c r="U465" i="24"/>
  <c r="X465" i="24" s="1"/>
  <c r="X484" i="24"/>
  <c r="X491" i="24"/>
  <c r="Y494" i="24"/>
  <c r="Z494" i="24"/>
  <c r="S496" i="24"/>
  <c r="U496" i="24" s="1"/>
  <c r="P496" i="24"/>
  <c r="P500" i="24"/>
  <c r="S500" i="24"/>
  <c r="U500" i="24" s="1"/>
  <c r="P516" i="24"/>
  <c r="S516" i="24"/>
  <c r="U516" i="24" s="1"/>
  <c r="Z559" i="24"/>
  <c r="Y559" i="24"/>
  <c r="X559" i="24"/>
  <c r="W676" i="24"/>
  <c r="W677" i="24"/>
  <c r="Y674" i="24"/>
  <c r="Y722" i="24"/>
  <c r="Z764" i="24"/>
  <c r="Y764" i="24"/>
  <c r="S770" i="24"/>
  <c r="U770" i="24" s="1"/>
  <c r="P770" i="24"/>
  <c r="Y824" i="24"/>
  <c r="Z824" i="24"/>
  <c r="R277" i="24"/>
  <c r="W279" i="24"/>
  <c r="Z278" i="24"/>
  <c r="S453" i="24"/>
  <c r="U453" i="24" s="1"/>
  <c r="P453" i="24"/>
  <c r="S459" i="24"/>
  <c r="U459" i="24" s="1"/>
  <c r="P459" i="24"/>
  <c r="S489" i="24"/>
  <c r="U489" i="24" s="1"/>
  <c r="P489" i="24"/>
  <c r="Y521" i="24"/>
  <c r="P524" i="24"/>
  <c r="S524" i="24"/>
  <c r="U524" i="24" s="1"/>
  <c r="P531" i="24"/>
  <c r="S531" i="24"/>
  <c r="U531" i="24" s="1"/>
  <c r="W545" i="24"/>
  <c r="W543" i="24"/>
  <c r="Z542" i="24"/>
  <c r="Y542" i="24"/>
  <c r="W544" i="24"/>
  <c r="S717" i="24"/>
  <c r="U717" i="24" s="1"/>
  <c r="P717" i="24"/>
  <c r="Y767" i="24"/>
  <c r="Z767" i="24"/>
  <c r="Z795" i="24"/>
  <c r="Y795" i="24"/>
  <c r="T44" i="24"/>
  <c r="T52" i="24"/>
  <c r="T60" i="24"/>
  <c r="X91" i="24"/>
  <c r="T97" i="24"/>
  <c r="X99" i="24"/>
  <c r="T105" i="24"/>
  <c r="X107" i="24"/>
  <c r="X115" i="24"/>
  <c r="X117" i="24"/>
  <c r="N259" i="24"/>
  <c r="Z293" i="24"/>
  <c r="S382" i="24"/>
  <c r="U382" i="24" s="1"/>
  <c r="W449" i="24"/>
  <c r="U460" i="24"/>
  <c r="X460" i="24" s="1"/>
  <c r="S467" i="24"/>
  <c r="U467" i="24" s="1"/>
  <c r="P467" i="24"/>
  <c r="X483" i="24"/>
  <c r="Z514" i="24"/>
  <c r="Y514" i="24"/>
  <c r="U546" i="24"/>
  <c r="X546" i="24" s="1"/>
  <c r="Y556" i="24"/>
  <c r="Z556" i="24"/>
  <c r="T580" i="24"/>
  <c r="W616" i="24"/>
  <c r="W614" i="24"/>
  <c r="Z613" i="24"/>
  <c r="W615" i="24"/>
  <c r="Y613" i="24"/>
  <c r="T761" i="24"/>
  <c r="Y278" i="24"/>
  <c r="U310" i="24"/>
  <c r="S341" i="24"/>
  <c r="U341" i="24" s="1"/>
  <c r="P341" i="24"/>
  <c r="N370" i="24"/>
  <c r="N376" i="24"/>
  <c r="W385" i="24"/>
  <c r="W387" i="24"/>
  <c r="W388" i="24"/>
  <c r="W384" i="24"/>
  <c r="Z383" i="24"/>
  <c r="W386" i="24"/>
  <c r="Y383" i="24"/>
  <c r="R400" i="24"/>
  <c r="R406" i="24"/>
  <c r="U401" i="24"/>
  <c r="X401" i="24" s="1"/>
  <c r="U468" i="24"/>
  <c r="U471" i="24"/>
  <c r="S485" i="24"/>
  <c r="U485" i="24" s="1"/>
  <c r="P485" i="24"/>
  <c r="U490" i="24"/>
  <c r="Z495" i="24"/>
  <c r="Y495" i="24"/>
  <c r="S518" i="24"/>
  <c r="U518" i="24" s="1"/>
  <c r="P518" i="24"/>
  <c r="X537" i="24"/>
  <c r="N667" i="24"/>
  <c r="Z757" i="24"/>
  <c r="Y757" i="24"/>
  <c r="X757" i="24"/>
  <c r="W375" i="24"/>
  <c r="W411" i="24"/>
  <c r="P515" i="24"/>
  <c r="S515" i="24"/>
  <c r="U515" i="24" s="1"/>
  <c r="U527" i="24"/>
  <c r="T564" i="24"/>
  <c r="T572" i="24"/>
  <c r="S581" i="24"/>
  <c r="U581" i="24" s="1"/>
  <c r="P581" i="24"/>
  <c r="Y588" i="24"/>
  <c r="X601" i="24"/>
  <c r="H613" i="24"/>
  <c r="J613" i="24" s="1"/>
  <c r="Z617" i="24"/>
  <c r="Y617" i="24"/>
  <c r="W619" i="24"/>
  <c r="X623" i="24"/>
  <c r="R643" i="24"/>
  <c r="U644" i="24"/>
  <c r="X644" i="24" s="1"/>
  <c r="Y650" i="24"/>
  <c r="Y668" i="24"/>
  <c r="S685" i="24"/>
  <c r="U685" i="24" s="1"/>
  <c r="P685" i="24"/>
  <c r="W712" i="24"/>
  <c r="W714" i="24"/>
  <c r="W715" i="24"/>
  <c r="W711" i="24"/>
  <c r="Z710" i="24"/>
  <c r="Y710" i="24"/>
  <c r="W713" i="24"/>
  <c r="X729" i="24"/>
  <c r="X734" i="24"/>
  <c r="X738" i="24"/>
  <c r="X746" i="24"/>
  <c r="U750" i="24"/>
  <c r="X750" i="24" s="1"/>
  <c r="Z756" i="24"/>
  <c r="Y756" i="24"/>
  <c r="X764" i="24"/>
  <c r="Z771" i="24"/>
  <c r="Y771" i="24"/>
  <c r="X797" i="24"/>
  <c r="X798" i="24"/>
  <c r="Z891" i="24"/>
  <c r="Y891" i="24"/>
  <c r="Z897" i="24"/>
  <c r="Y897" i="24"/>
  <c r="Z1082" i="24"/>
  <c r="Y1082" i="24"/>
  <c r="W373" i="24"/>
  <c r="W409" i="24"/>
  <c r="W450" i="24"/>
  <c r="P507" i="24"/>
  <c r="S507" i="24"/>
  <c r="U507" i="24" s="1"/>
  <c r="T523" i="24"/>
  <c r="Z552" i="24"/>
  <c r="X558" i="24"/>
  <c r="Y562" i="24"/>
  <c r="X562" i="24"/>
  <c r="Y570" i="24"/>
  <c r="X570" i="24"/>
  <c r="Y582" i="24"/>
  <c r="S632" i="24"/>
  <c r="U632" i="24" s="1"/>
  <c r="P632" i="24"/>
  <c r="U633" i="24"/>
  <c r="X633" i="24" s="1"/>
  <c r="Z635" i="24"/>
  <c r="Y635" i="24"/>
  <c r="U636" i="24"/>
  <c r="Z639" i="24"/>
  <c r="Y639" i="24"/>
  <c r="S673" i="24"/>
  <c r="U673" i="24" s="1"/>
  <c r="P673" i="24"/>
  <c r="S691" i="24"/>
  <c r="P691" i="24"/>
  <c r="Z733" i="24"/>
  <c r="Y733" i="24"/>
  <c r="Z737" i="24"/>
  <c r="Y737" i="24"/>
  <c r="Z741" i="24"/>
  <c r="Y741" i="24"/>
  <c r="Z745" i="24"/>
  <c r="Y745" i="24"/>
  <c r="Z749" i="24"/>
  <c r="Y749" i="24"/>
  <c r="T753" i="24"/>
  <c r="S762" i="24"/>
  <c r="U762" i="24" s="1"/>
  <c r="P762" i="24"/>
  <c r="T778" i="24"/>
  <c r="U789" i="24"/>
  <c r="X789" i="24" s="1"/>
  <c r="S791" i="24"/>
  <c r="U791" i="24" s="1"/>
  <c r="P791" i="24"/>
  <c r="Y798" i="24"/>
  <c r="Z798" i="24"/>
  <c r="P804" i="24"/>
  <c r="S804" i="24"/>
  <c r="U804" i="24" s="1"/>
  <c r="J324" i="24"/>
  <c r="X509" i="24"/>
  <c r="U511" i="24"/>
  <c r="T515" i="24"/>
  <c r="T518" i="24"/>
  <c r="X536" i="24"/>
  <c r="Z558" i="24"/>
  <c r="S565" i="24"/>
  <c r="U565" i="24" s="1"/>
  <c r="P565" i="24"/>
  <c r="X566" i="24"/>
  <c r="S573" i="24"/>
  <c r="U573" i="24" s="1"/>
  <c r="P573" i="24"/>
  <c r="X574" i="24"/>
  <c r="Z579" i="24"/>
  <c r="Y579" i="24"/>
  <c r="S603" i="24"/>
  <c r="U603" i="24" s="1"/>
  <c r="P603" i="24"/>
  <c r="W618" i="24"/>
  <c r="U622" i="24"/>
  <c r="X622" i="24" s="1"/>
  <c r="W660" i="24"/>
  <c r="W661" i="24"/>
  <c r="W657" i="24"/>
  <c r="W659" i="24"/>
  <c r="Z656" i="24"/>
  <c r="Y656" i="24"/>
  <c r="N697" i="24"/>
  <c r="U709" i="24"/>
  <c r="Z716" i="24"/>
  <c r="Y716" i="24"/>
  <c r="P800" i="24"/>
  <c r="S800" i="24"/>
  <c r="U800" i="24" s="1"/>
  <c r="Y808" i="24"/>
  <c r="Z503" i="24"/>
  <c r="T507" i="24"/>
  <c r="T510" i="24"/>
  <c r="X514" i="24"/>
  <c r="T519" i="24"/>
  <c r="T525" i="24"/>
  <c r="P552" i="24"/>
  <c r="W553" i="24" s="1"/>
  <c r="Z566" i="24"/>
  <c r="Y566" i="24"/>
  <c r="Z574" i="24"/>
  <c r="Y574" i="24"/>
  <c r="Z598" i="24"/>
  <c r="Y598" i="24"/>
  <c r="Z609" i="24"/>
  <c r="W611" i="24"/>
  <c r="Y609" i="24"/>
  <c r="W612" i="24"/>
  <c r="W610" i="24"/>
  <c r="X613" i="24"/>
  <c r="Z623" i="24"/>
  <c r="Y623" i="24"/>
  <c r="X626" i="24"/>
  <c r="H656" i="24"/>
  <c r="J656" i="24" s="1"/>
  <c r="Z692" i="24"/>
  <c r="Y692" i="24"/>
  <c r="W696" i="24"/>
  <c r="Z729" i="24"/>
  <c r="Y729" i="24"/>
  <c r="Z734" i="24"/>
  <c r="Y734" i="24"/>
  <c r="Z738" i="24"/>
  <c r="Y738" i="24"/>
  <c r="Z746" i="24"/>
  <c r="Y746" i="24"/>
  <c r="S754" i="24"/>
  <c r="U754" i="24" s="1"/>
  <c r="P754" i="24"/>
  <c r="Z760" i="24"/>
  <c r="Y760" i="24"/>
  <c r="Z773" i="24"/>
  <c r="Y773" i="24"/>
  <c r="Z777" i="24"/>
  <c r="Y777" i="24"/>
  <c r="S796" i="24"/>
  <c r="U796" i="24" s="1"/>
  <c r="P796" i="24"/>
  <c r="Z855" i="24"/>
  <c r="Y855" i="24"/>
  <c r="Z865" i="24"/>
  <c r="Y865" i="24"/>
  <c r="Y868" i="24"/>
  <c r="Z868" i="24"/>
  <c r="N328" i="24"/>
  <c r="N358" i="24"/>
  <c r="W374" i="24"/>
  <c r="N388" i="24"/>
  <c r="W410" i="24"/>
  <c r="N436" i="24"/>
  <c r="W451" i="24"/>
  <c r="S497" i="24"/>
  <c r="U497" i="24" s="1"/>
  <c r="S501" i="24"/>
  <c r="U501" i="24" s="1"/>
  <c r="X501" i="24" s="1"/>
  <c r="X506" i="24"/>
  <c r="T511" i="24"/>
  <c r="T517" i="24"/>
  <c r="Z529" i="24"/>
  <c r="P541" i="24"/>
  <c r="S541" i="24"/>
  <c r="U541" i="24" s="1"/>
  <c r="X542" i="24"/>
  <c r="S547" i="24"/>
  <c r="U547" i="24" s="1"/>
  <c r="P547" i="24"/>
  <c r="Z563" i="24"/>
  <c r="Y563" i="24"/>
  <c r="Z571" i="24"/>
  <c r="Y571" i="24"/>
  <c r="Z586" i="24"/>
  <c r="H617" i="24"/>
  <c r="J617" i="24" s="1"/>
  <c r="Z627" i="24"/>
  <c r="S637" i="24"/>
  <c r="U637" i="24" s="1"/>
  <c r="P637" i="24"/>
  <c r="S640" i="24"/>
  <c r="P640" i="24"/>
  <c r="R667" i="24"/>
  <c r="S703" i="24"/>
  <c r="U703" i="24" s="1"/>
  <c r="P703" i="24"/>
  <c r="S727" i="24"/>
  <c r="U727" i="24" s="1"/>
  <c r="P727" i="24"/>
  <c r="Z732" i="24"/>
  <c r="Y732" i="24"/>
  <c r="X736" i="24"/>
  <c r="X740" i="24"/>
  <c r="X744" i="24"/>
  <c r="Z772" i="24"/>
  <c r="Y772" i="24"/>
  <c r="T810" i="24"/>
  <c r="Y812" i="24"/>
  <c r="Z812" i="24"/>
  <c r="X812" i="24"/>
  <c r="Z815" i="24"/>
  <c r="Y815" i="24"/>
  <c r="X824" i="24"/>
  <c r="Z885" i="24"/>
  <c r="Y885" i="24"/>
  <c r="P498" i="24"/>
  <c r="X498" i="24" s="1"/>
  <c r="T503" i="24"/>
  <c r="T509" i="24"/>
  <c r="U522" i="24"/>
  <c r="U561" i="24"/>
  <c r="X561" i="24" s="1"/>
  <c r="Z562" i="24"/>
  <c r="U569" i="24"/>
  <c r="Z570" i="24"/>
  <c r="U577" i="24"/>
  <c r="U584" i="24"/>
  <c r="X584" i="24" s="1"/>
  <c r="X593" i="24"/>
  <c r="X598" i="24"/>
  <c r="X609" i="24"/>
  <c r="Z621" i="24"/>
  <c r="Z630" i="24"/>
  <c r="Y630" i="24"/>
  <c r="Z631" i="24"/>
  <c r="Y631" i="24"/>
  <c r="S634" i="24"/>
  <c r="U634" i="24" s="1"/>
  <c r="P634" i="24"/>
  <c r="N649" i="24"/>
  <c r="H662" i="24"/>
  <c r="J662" i="24" s="1"/>
  <c r="R691" i="24"/>
  <c r="Y698" i="24"/>
  <c r="Z719" i="24"/>
  <c r="Y719" i="24"/>
  <c r="Z723" i="24"/>
  <c r="Y723" i="24"/>
  <c r="Z735" i="24"/>
  <c r="Y735" i="24"/>
  <c r="Z739" i="24"/>
  <c r="Y739" i="24"/>
  <c r="Z743" i="24"/>
  <c r="Y743" i="24"/>
  <c r="Z752" i="24"/>
  <c r="Y752" i="24"/>
  <c r="Y765" i="24"/>
  <c r="T769" i="24"/>
  <c r="Z775" i="24"/>
  <c r="Y775" i="24"/>
  <c r="Z799" i="24"/>
  <c r="Y799" i="24"/>
  <c r="Z825" i="24"/>
  <c r="Y825" i="24"/>
  <c r="Z881" i="24"/>
  <c r="Y881" i="24"/>
  <c r="S564" i="24"/>
  <c r="U564" i="24" s="1"/>
  <c r="S572" i="24"/>
  <c r="U572" i="24" s="1"/>
  <c r="T577" i="24"/>
  <c r="P578" i="24"/>
  <c r="X578" i="24" s="1"/>
  <c r="S580" i="24"/>
  <c r="U580" i="24" s="1"/>
  <c r="P586" i="24"/>
  <c r="X586" i="24" s="1"/>
  <c r="S587" i="24"/>
  <c r="U587" i="24" s="1"/>
  <c r="P589" i="24"/>
  <c r="X589" i="24" s="1"/>
  <c r="S604" i="24"/>
  <c r="U604" i="24" s="1"/>
  <c r="X604" i="24" s="1"/>
  <c r="P621" i="24"/>
  <c r="X621" i="24" s="1"/>
  <c r="S625" i="24"/>
  <c r="U625" i="24" s="1"/>
  <c r="P627" i="24"/>
  <c r="X627" i="24" s="1"/>
  <c r="S641" i="24"/>
  <c r="U641" i="24" s="1"/>
  <c r="H644" i="24"/>
  <c r="J644" i="24" s="1"/>
  <c r="P650" i="24"/>
  <c r="W651" i="24" s="1"/>
  <c r="S662" i="24"/>
  <c r="U662" i="24" s="1"/>
  <c r="P668" i="24"/>
  <c r="W670" i="24" s="1"/>
  <c r="S679" i="24"/>
  <c r="U679" i="24" s="1"/>
  <c r="U680" i="24"/>
  <c r="S686" i="24"/>
  <c r="U686" i="24" s="1"/>
  <c r="P698" i="24"/>
  <c r="X698" i="24" s="1"/>
  <c r="S715" i="24"/>
  <c r="U715" i="24" s="1"/>
  <c r="S718" i="24"/>
  <c r="U718" i="24" s="1"/>
  <c r="P720" i="24"/>
  <c r="X720" i="24" s="1"/>
  <c r="S721" i="24"/>
  <c r="U721" i="24" s="1"/>
  <c r="P724" i="24"/>
  <c r="X724" i="24" s="1"/>
  <c r="S725" i="24"/>
  <c r="U725" i="24" s="1"/>
  <c r="S728" i="24"/>
  <c r="U728" i="24" s="1"/>
  <c r="P730" i="24"/>
  <c r="X730" i="24" s="1"/>
  <c r="T750" i="24"/>
  <c r="P751" i="24"/>
  <c r="X751" i="24" s="1"/>
  <c r="S753" i="24"/>
  <c r="U753" i="24" s="1"/>
  <c r="T758" i="24"/>
  <c r="P759" i="24"/>
  <c r="X759" i="24" s="1"/>
  <c r="S761" i="24"/>
  <c r="U761" i="24" s="1"/>
  <c r="T766" i="24"/>
  <c r="P767" i="24"/>
  <c r="X767" i="24" s="1"/>
  <c r="S769" i="24"/>
  <c r="U769" i="24" s="1"/>
  <c r="X769" i="24" s="1"/>
  <c r="T774" i="24"/>
  <c r="P775" i="24"/>
  <c r="X775" i="24" s="1"/>
  <c r="S778" i="24"/>
  <c r="U778" i="24" s="1"/>
  <c r="P779" i="24"/>
  <c r="X779" i="24" s="1"/>
  <c r="P795" i="24"/>
  <c r="X795" i="24" s="1"/>
  <c r="T808" i="24"/>
  <c r="S810" i="24"/>
  <c r="U810" i="24" s="1"/>
  <c r="P819" i="24"/>
  <c r="S819" i="24"/>
  <c r="U819" i="24" s="1"/>
  <c r="U829" i="24"/>
  <c r="X829" i="24" s="1"/>
  <c r="T829" i="24"/>
  <c r="S830" i="24"/>
  <c r="U830" i="24" s="1"/>
  <c r="T832" i="24"/>
  <c r="U832" i="24"/>
  <c r="X837" i="24"/>
  <c r="X845" i="24"/>
  <c r="Z847" i="24"/>
  <c r="Y847" i="24"/>
  <c r="Y858" i="24"/>
  <c r="Z858" i="24"/>
  <c r="Z861" i="24"/>
  <c r="Y861" i="24"/>
  <c r="Z867" i="24"/>
  <c r="Y867" i="24"/>
  <c r="Y874" i="24"/>
  <c r="Z874" i="24"/>
  <c r="Z877" i="24"/>
  <c r="Y877" i="24"/>
  <c r="X879" i="24"/>
  <c r="X889" i="24"/>
  <c r="Z913" i="24"/>
  <c r="Y913" i="24"/>
  <c r="Z955" i="24"/>
  <c r="R661" i="24"/>
  <c r="J798" i="24"/>
  <c r="S803" i="24"/>
  <c r="U803" i="24" s="1"/>
  <c r="X803" i="24" s="1"/>
  <c r="J806" i="24"/>
  <c r="P818" i="24"/>
  <c r="S818" i="24"/>
  <c r="U818" i="24" s="1"/>
  <c r="T828" i="24"/>
  <c r="Y846" i="24"/>
  <c r="Z846" i="24"/>
  <c r="Z866" i="24"/>
  <c r="Z883" i="24"/>
  <c r="Y883" i="24"/>
  <c r="Z887" i="24"/>
  <c r="Z909" i="24"/>
  <c r="Y909" i="24"/>
  <c r="Z941" i="24"/>
  <c r="Y941" i="24"/>
  <c r="Z985" i="24"/>
  <c r="Y985" i="24"/>
  <c r="U988" i="24"/>
  <c r="X988" i="24" s="1"/>
  <c r="Z1009" i="24"/>
  <c r="Y1009" i="24"/>
  <c r="Z1066" i="24"/>
  <c r="Y1066" i="24"/>
  <c r="R640" i="24"/>
  <c r="P776" i="24"/>
  <c r="X776" i="24" s="1"/>
  <c r="U790" i="24"/>
  <c r="U809" i="24"/>
  <c r="T813" i="24"/>
  <c r="U814" i="24"/>
  <c r="S834" i="24"/>
  <c r="U834" i="24" s="1"/>
  <c r="P834" i="24"/>
  <c r="U835" i="24"/>
  <c r="T838" i="24"/>
  <c r="X853" i="24"/>
  <c r="X861" i="24"/>
  <c r="Z863" i="24"/>
  <c r="Y863" i="24"/>
  <c r="X877" i="24"/>
  <c r="Y893" i="24"/>
  <c r="X895" i="24"/>
  <c r="Z905" i="24"/>
  <c r="Y905" i="24"/>
  <c r="Z911" i="24"/>
  <c r="Y911" i="24"/>
  <c r="Z915" i="24"/>
  <c r="Y915" i="24"/>
  <c r="Z937" i="24"/>
  <c r="Y937" i="24"/>
  <c r="Z947" i="24"/>
  <c r="Y947" i="24"/>
  <c r="H650" i="24"/>
  <c r="J650" i="24" s="1"/>
  <c r="X815" i="24"/>
  <c r="Z841" i="24"/>
  <c r="Y841" i="24"/>
  <c r="Y862" i="24"/>
  <c r="Z862" i="24"/>
  <c r="Z879" i="24"/>
  <c r="Y879" i="24"/>
  <c r="Z933" i="24"/>
  <c r="Y933" i="24"/>
  <c r="S1077" i="24"/>
  <c r="U1077" i="24" s="1"/>
  <c r="P1077" i="24"/>
  <c r="Z838" i="24"/>
  <c r="Y838" i="24"/>
  <c r="Z843" i="24"/>
  <c r="Y843" i="24"/>
  <c r="X848" i="24"/>
  <c r="X849" i="24"/>
  <c r="X868" i="24"/>
  <c r="Z903" i="24"/>
  <c r="Y903" i="24"/>
  <c r="Y929" i="24"/>
  <c r="S1037" i="24"/>
  <c r="U1037" i="24" s="1"/>
  <c r="P1037" i="24"/>
  <c r="S1148" i="24"/>
  <c r="P1148" i="24"/>
  <c r="N638" i="24"/>
  <c r="N643" i="24"/>
  <c r="J803" i="24"/>
  <c r="U805" i="24"/>
  <c r="X813" i="24"/>
  <c r="T834" i="24"/>
  <c r="Z837" i="24"/>
  <c r="X838" i="24"/>
  <c r="Z853" i="24"/>
  <c r="Y853" i="24"/>
  <c r="Z854" i="24"/>
  <c r="Z873" i="24"/>
  <c r="Y873" i="24"/>
  <c r="Z895" i="24"/>
  <c r="Y895" i="24"/>
  <c r="Z899" i="24"/>
  <c r="Y899" i="24"/>
  <c r="Z925" i="24"/>
  <c r="Y925" i="24"/>
  <c r="Z957" i="24"/>
  <c r="Y957" i="24"/>
  <c r="U1052" i="24"/>
  <c r="Y1087" i="24"/>
  <c r="Z1087" i="24"/>
  <c r="X1087" i="24"/>
  <c r="Z1249" i="24"/>
  <c r="Y1249" i="24"/>
  <c r="U704" i="24"/>
  <c r="P781" i="24"/>
  <c r="U792" i="24"/>
  <c r="U801" i="24"/>
  <c r="J804" i="24"/>
  <c r="Y813" i="24"/>
  <c r="U817" i="24"/>
  <c r="X817" i="24" s="1"/>
  <c r="X820" i="24"/>
  <c r="U821" i="24"/>
  <c r="T833" i="24"/>
  <c r="Y842" i="24"/>
  <c r="Z842" i="24"/>
  <c r="Z845" i="24"/>
  <c r="Y845" i="24"/>
  <c r="Z851" i="24"/>
  <c r="Y851" i="24"/>
  <c r="Z852" i="24"/>
  <c r="Z859" i="24"/>
  <c r="Y859" i="24"/>
  <c r="X865" i="24"/>
  <c r="Z869" i="24"/>
  <c r="Z889" i="24"/>
  <c r="Y889" i="24"/>
  <c r="X891" i="24"/>
  <c r="Z901" i="24"/>
  <c r="Y901" i="24"/>
  <c r="Z921" i="24"/>
  <c r="Y921" i="24"/>
  <c r="Z927" i="24"/>
  <c r="Y927" i="24"/>
  <c r="Z931" i="24"/>
  <c r="Y931" i="24"/>
  <c r="Z963" i="24"/>
  <c r="Y963" i="24"/>
  <c r="Z1015" i="24"/>
  <c r="Y1015" i="24"/>
  <c r="Z1051" i="24"/>
  <c r="Y1051" i="24"/>
  <c r="Z1086" i="24"/>
  <c r="Y1086" i="24"/>
  <c r="T825" i="24"/>
  <c r="U826" i="24"/>
  <c r="X826" i="24" s="1"/>
  <c r="X827" i="24"/>
  <c r="U836" i="24"/>
  <c r="X836" i="24" s="1"/>
  <c r="U839" i="24"/>
  <c r="T839" i="24"/>
  <c r="X850" i="24"/>
  <c r="X866" i="24"/>
  <c r="X867" i="24"/>
  <c r="X883" i="24"/>
  <c r="S973" i="24"/>
  <c r="U973" i="24" s="1"/>
  <c r="P973" i="24"/>
  <c r="X985" i="24"/>
  <c r="U993" i="24"/>
  <c r="X993" i="24" s="1"/>
  <c r="Z999" i="24"/>
  <c r="Y999" i="24"/>
  <c r="X1015" i="24"/>
  <c r="S1021" i="24"/>
  <c r="U1021" i="24" s="1"/>
  <c r="P1021" i="24"/>
  <c r="Z1035" i="24"/>
  <c r="Y1035" i="24"/>
  <c r="U1036" i="24"/>
  <c r="X1036" i="24" s="1"/>
  <c r="Z1050" i="24"/>
  <c r="Y1050" i="24"/>
  <c r="U1057" i="24"/>
  <c r="X1057" i="24" s="1"/>
  <c r="Z1063" i="24"/>
  <c r="Y1063" i="24"/>
  <c r="Z1075" i="24"/>
  <c r="Y1075" i="24"/>
  <c r="U1076" i="24"/>
  <c r="X1076" i="24" s="1"/>
  <c r="Z1090" i="24"/>
  <c r="Y1090" i="24"/>
  <c r="U1091" i="24"/>
  <c r="Z1098" i="24"/>
  <c r="Y1098" i="24"/>
  <c r="Z1223" i="24"/>
  <c r="Y1223" i="24"/>
  <c r="X1223" i="24"/>
  <c r="X881" i="24"/>
  <c r="X897" i="24"/>
  <c r="X905" i="24"/>
  <c r="X913" i="24"/>
  <c r="X921" i="24"/>
  <c r="X937" i="24"/>
  <c r="X953" i="24"/>
  <c r="U978" i="24"/>
  <c r="Z987" i="24"/>
  <c r="Y987" i="24"/>
  <c r="X991" i="24"/>
  <c r="S997" i="24"/>
  <c r="U997" i="24" s="1"/>
  <c r="P997" i="24"/>
  <c r="Z1011" i="24"/>
  <c r="Y1011" i="24"/>
  <c r="U1012" i="24"/>
  <c r="U1026" i="24"/>
  <c r="Y1038" i="24"/>
  <c r="Z1039" i="24"/>
  <c r="Y1039" i="24"/>
  <c r="S1061" i="24"/>
  <c r="U1061" i="24" s="1"/>
  <c r="P1061" i="24"/>
  <c r="U1073" i="24"/>
  <c r="X1073" i="24" s="1"/>
  <c r="Z1079" i="24"/>
  <c r="Y1079" i="24"/>
  <c r="Y1095" i="24"/>
  <c r="Z1095" i="24"/>
  <c r="S1118" i="24"/>
  <c r="U1118" i="24" s="1"/>
  <c r="P1118" i="24"/>
  <c r="Z945" i="24"/>
  <c r="Z953" i="24"/>
  <c r="Y953" i="24"/>
  <c r="Z961" i="24"/>
  <c r="Y961" i="24"/>
  <c r="Z979" i="24"/>
  <c r="Y979" i="24"/>
  <c r="Z991" i="24"/>
  <c r="Y991" i="24"/>
  <c r="X1007" i="24"/>
  <c r="S1013" i="24"/>
  <c r="U1013" i="24" s="1"/>
  <c r="P1013" i="24"/>
  <c r="Z1027" i="24"/>
  <c r="Y1027" i="24"/>
  <c r="U1028" i="24"/>
  <c r="Z1042" i="24"/>
  <c r="Y1042" i="24"/>
  <c r="Z1055" i="24"/>
  <c r="Y1055" i="24"/>
  <c r="Y1072" i="24"/>
  <c r="X1081" i="24"/>
  <c r="Z1092" i="24"/>
  <c r="Y1092" i="24"/>
  <c r="S1136" i="24"/>
  <c r="U1136" i="24" s="1"/>
  <c r="P1136" i="24"/>
  <c r="S1164" i="24"/>
  <c r="U1164" i="24" s="1"/>
  <c r="P1164" i="24"/>
  <c r="Z1284" i="24"/>
  <c r="Y1284" i="24"/>
  <c r="U977" i="24"/>
  <c r="U980" i="24"/>
  <c r="X980" i="24" s="1"/>
  <c r="S989" i="24"/>
  <c r="U989" i="24" s="1"/>
  <c r="P989" i="24"/>
  <c r="Z1003" i="24"/>
  <c r="Y1003" i="24"/>
  <c r="U1004" i="24"/>
  <c r="X1004" i="24" s="1"/>
  <c r="U1018" i="24"/>
  <c r="Z1031" i="24"/>
  <c r="S1053" i="24"/>
  <c r="U1053" i="24" s="1"/>
  <c r="P1053" i="24"/>
  <c r="Z1067" i="24"/>
  <c r="Y1067" i="24"/>
  <c r="U1068" i="24"/>
  <c r="Z1083" i="24"/>
  <c r="Y1083" i="24"/>
  <c r="U1084" i="24"/>
  <c r="S1110" i="24"/>
  <c r="U1110" i="24" s="1"/>
  <c r="P1110" i="24"/>
  <c r="X1159" i="24"/>
  <c r="S1180" i="24"/>
  <c r="U1180" i="24" s="1"/>
  <c r="P1180" i="24"/>
  <c r="Z1233" i="24"/>
  <c r="Y1233" i="24"/>
  <c r="Y1265" i="24"/>
  <c r="X933" i="24"/>
  <c r="X941" i="24"/>
  <c r="Z943" i="24"/>
  <c r="Y943" i="24"/>
  <c r="X949" i="24"/>
  <c r="Z951" i="24"/>
  <c r="Y951" i="24"/>
  <c r="X957" i="24"/>
  <c r="Z959" i="24"/>
  <c r="Y959" i="24"/>
  <c r="Z967" i="24"/>
  <c r="Y967" i="24"/>
  <c r="Z971" i="24"/>
  <c r="Y971" i="24"/>
  <c r="Z983" i="24"/>
  <c r="Y983" i="24"/>
  <c r="U994" i="24"/>
  <c r="Z1007" i="24"/>
  <c r="Y1007" i="24"/>
  <c r="S1029" i="24"/>
  <c r="U1029" i="24" s="1"/>
  <c r="P1029" i="24"/>
  <c r="Z1043" i="24"/>
  <c r="Y1043" i="24"/>
  <c r="U1044" i="24"/>
  <c r="X1044" i="24" s="1"/>
  <c r="U1058" i="24"/>
  <c r="Y1065" i="24"/>
  <c r="Z1071" i="24"/>
  <c r="Y1071" i="24"/>
  <c r="Y1081" i="24"/>
  <c r="Z1133" i="24"/>
  <c r="Y1133" i="24"/>
  <c r="X1133" i="24"/>
  <c r="Z1175" i="24"/>
  <c r="S1196" i="24"/>
  <c r="U1196" i="24" s="1"/>
  <c r="P1196" i="24"/>
  <c r="X854" i="24"/>
  <c r="X871" i="24"/>
  <c r="U972" i="24"/>
  <c r="S981" i="24"/>
  <c r="U981" i="24" s="1"/>
  <c r="P981" i="24"/>
  <c r="X999" i="24"/>
  <c r="S1005" i="24"/>
  <c r="U1005" i="24" s="1"/>
  <c r="P1005" i="24"/>
  <c r="Z1019" i="24"/>
  <c r="Y1019" i="24"/>
  <c r="U1020" i="24"/>
  <c r="X1020" i="24" s="1"/>
  <c r="U1034" i="24"/>
  <c r="U1041" i="24"/>
  <c r="Z1047" i="24"/>
  <c r="Y1047" i="24"/>
  <c r="S1069" i="24"/>
  <c r="U1069" i="24" s="1"/>
  <c r="P1069" i="24"/>
  <c r="U1074" i="24"/>
  <c r="S1085" i="24"/>
  <c r="U1085" i="24" s="1"/>
  <c r="P1085" i="24"/>
  <c r="X1095" i="24"/>
  <c r="Z1191" i="24"/>
  <c r="Y1191" i="24"/>
  <c r="X1191" i="24"/>
  <c r="S1212" i="24"/>
  <c r="U1212" i="24" s="1"/>
  <c r="P1212" i="24"/>
  <c r="Z1257" i="24"/>
  <c r="Y1257" i="24"/>
  <c r="X915" i="24"/>
  <c r="X923" i="24"/>
  <c r="X931" i="24"/>
  <c r="X947" i="24"/>
  <c r="X963" i="24"/>
  <c r="Z975" i="24"/>
  <c r="Y975" i="24"/>
  <c r="X979" i="24"/>
  <c r="U986" i="24"/>
  <c r="Z995" i="24"/>
  <c r="Y995" i="24"/>
  <c r="U996" i="24"/>
  <c r="X996" i="24" s="1"/>
  <c r="U1010" i="24"/>
  <c r="Z1017" i="24"/>
  <c r="Y1017" i="24"/>
  <c r="Z1022" i="24"/>
  <c r="Y1022" i="24"/>
  <c r="Z1023" i="24"/>
  <c r="Y1023" i="24"/>
  <c r="S1045" i="24"/>
  <c r="U1045" i="24" s="1"/>
  <c r="P1045" i="24"/>
  <c r="Z1059" i="24"/>
  <c r="Y1059" i="24"/>
  <c r="U1060" i="24"/>
  <c r="X1060" i="24" s="1"/>
  <c r="Z1080" i="24"/>
  <c r="Y1080" i="24"/>
  <c r="Z1207" i="24"/>
  <c r="Y976" i="24"/>
  <c r="P978" i="24"/>
  <c r="Y984" i="24"/>
  <c r="P986" i="24"/>
  <c r="Y992" i="24"/>
  <c r="P994" i="24"/>
  <c r="P1002" i="24"/>
  <c r="X1002" i="24" s="1"/>
  <c r="Y1008" i="24"/>
  <c r="P1010" i="24"/>
  <c r="Y1016" i="24"/>
  <c r="P1018" i="24"/>
  <c r="Y1024" i="24"/>
  <c r="P1026" i="24"/>
  <c r="Y1032" i="24"/>
  <c r="P1034" i="24"/>
  <c r="Y1040" i="24"/>
  <c r="P1042" i="24"/>
  <c r="X1042" i="24" s="1"/>
  <c r="Y1048" i="24"/>
  <c r="P1050" i="24"/>
  <c r="X1050" i="24" s="1"/>
  <c r="Y1056" i="24"/>
  <c r="P1058" i="24"/>
  <c r="Y1064" i="24"/>
  <c r="P1066" i="24"/>
  <c r="X1066" i="24" s="1"/>
  <c r="P1074" i="24"/>
  <c r="P1082" i="24"/>
  <c r="X1082" i="24" s="1"/>
  <c r="P1100" i="24"/>
  <c r="P1102" i="24"/>
  <c r="Z1105" i="24"/>
  <c r="Y1105" i="24"/>
  <c r="Z1113" i="24"/>
  <c r="Y1113" i="24"/>
  <c r="Z1121" i="24"/>
  <c r="Y1121" i="24"/>
  <c r="Z1127" i="24"/>
  <c r="Y1127" i="24"/>
  <c r="S1130" i="24"/>
  <c r="U1130" i="24" s="1"/>
  <c r="P1130" i="24"/>
  <c r="Z1149" i="24"/>
  <c r="Y1149" i="24"/>
  <c r="X1149" i="24"/>
  <c r="S1154" i="24"/>
  <c r="U1154" i="24" s="1"/>
  <c r="P1154" i="24"/>
  <c r="Z1165" i="24"/>
  <c r="Y1165" i="24"/>
  <c r="X1165" i="24"/>
  <c r="S1170" i="24"/>
  <c r="U1170" i="24" s="1"/>
  <c r="P1170" i="24"/>
  <c r="Z1181" i="24"/>
  <c r="Y1181" i="24"/>
  <c r="S1186" i="24"/>
  <c r="U1186" i="24" s="1"/>
  <c r="P1186" i="24"/>
  <c r="Z1197" i="24"/>
  <c r="Y1197" i="24"/>
  <c r="X1197" i="24"/>
  <c r="S1202" i="24"/>
  <c r="U1202" i="24" s="1"/>
  <c r="P1202" i="24"/>
  <c r="Z1213" i="24"/>
  <c r="Y1213" i="24"/>
  <c r="X1213" i="24"/>
  <c r="S1218" i="24"/>
  <c r="U1218" i="24" s="1"/>
  <c r="P1218" i="24"/>
  <c r="Z1232" i="24"/>
  <c r="Y1232" i="24"/>
  <c r="U1242" i="24"/>
  <c r="S1253" i="24"/>
  <c r="U1253" i="24" s="1"/>
  <c r="P1253" i="24"/>
  <c r="S1261" i="24"/>
  <c r="U1261" i="24" s="1"/>
  <c r="P1261" i="24"/>
  <c r="X1267" i="24"/>
  <c r="S1269" i="24"/>
  <c r="U1269" i="24" s="1"/>
  <c r="P1269" i="24"/>
  <c r="S1108" i="24"/>
  <c r="U1108" i="24" s="1"/>
  <c r="P1108" i="24"/>
  <c r="S1116" i="24"/>
  <c r="U1116" i="24" s="1"/>
  <c r="P1116" i="24"/>
  <c r="S1124" i="24"/>
  <c r="U1124" i="24" s="1"/>
  <c r="P1124" i="24"/>
  <c r="Z1137" i="24"/>
  <c r="Y1137" i="24"/>
  <c r="S1140" i="24"/>
  <c r="U1140" i="24" s="1"/>
  <c r="P1140" i="24"/>
  <c r="S1144" i="24"/>
  <c r="U1144" i="24" s="1"/>
  <c r="P1144" i="24"/>
  <c r="U1148" i="24"/>
  <c r="Z1155" i="24"/>
  <c r="Y1155" i="24"/>
  <c r="X1155" i="24"/>
  <c r="S1160" i="24"/>
  <c r="U1160" i="24" s="1"/>
  <c r="P1160" i="24"/>
  <c r="Z1171" i="24"/>
  <c r="X1171" i="24"/>
  <c r="S1176" i="24"/>
  <c r="U1176" i="24" s="1"/>
  <c r="P1176" i="24"/>
  <c r="Z1187" i="24"/>
  <c r="Y1187" i="24"/>
  <c r="X1187" i="24"/>
  <c r="S1192" i="24"/>
  <c r="U1192" i="24" s="1"/>
  <c r="P1192" i="24"/>
  <c r="Z1203" i="24"/>
  <c r="Y1203" i="24"/>
  <c r="X1203" i="24"/>
  <c r="S1208" i="24"/>
  <c r="U1208" i="24" s="1"/>
  <c r="P1208" i="24"/>
  <c r="Z1219" i="24"/>
  <c r="Y1219" i="24"/>
  <c r="X1219" i="24"/>
  <c r="S1224" i="24"/>
  <c r="U1224" i="24" s="1"/>
  <c r="P1224" i="24"/>
  <c r="Z1294" i="24"/>
  <c r="Y1294" i="24"/>
  <c r="U1100" i="24"/>
  <c r="U1102" i="24"/>
  <c r="Z1103" i="24"/>
  <c r="Y1103" i="24"/>
  <c r="Z1111" i="24"/>
  <c r="Y1111" i="24"/>
  <c r="Z1119" i="24"/>
  <c r="Y1119" i="24"/>
  <c r="Z1131" i="24"/>
  <c r="Y1131" i="24"/>
  <c r="S1134" i="24"/>
  <c r="U1134" i="24" s="1"/>
  <c r="P1134" i="24"/>
  <c r="X1137" i="24"/>
  <c r="Z1145" i="24"/>
  <c r="Y1145" i="24"/>
  <c r="X1145" i="24"/>
  <c r="S1150" i="24"/>
  <c r="U1150" i="24" s="1"/>
  <c r="P1150" i="24"/>
  <c r="Z1161" i="24"/>
  <c r="Y1161" i="24"/>
  <c r="X1161" i="24"/>
  <c r="S1166" i="24"/>
  <c r="U1166" i="24" s="1"/>
  <c r="P1166" i="24"/>
  <c r="Z1177" i="24"/>
  <c r="Y1177" i="24"/>
  <c r="X1177" i="24"/>
  <c r="S1182" i="24"/>
  <c r="U1182" i="24" s="1"/>
  <c r="P1182" i="24"/>
  <c r="Z1193" i="24"/>
  <c r="Y1193" i="24"/>
  <c r="X1193" i="24"/>
  <c r="S1198" i="24"/>
  <c r="U1198" i="24" s="1"/>
  <c r="P1198" i="24"/>
  <c r="Z1209" i="24"/>
  <c r="Y1209" i="24"/>
  <c r="X1209" i="24"/>
  <c r="S1214" i="24"/>
  <c r="U1214" i="24" s="1"/>
  <c r="P1214" i="24"/>
  <c r="Z1225" i="24"/>
  <c r="Y1225" i="24"/>
  <c r="X1225" i="24"/>
  <c r="Y1228" i="24"/>
  <c r="Y1229" i="24"/>
  <c r="Z1238" i="24"/>
  <c r="Y1238" i="24"/>
  <c r="Z1244" i="24"/>
  <c r="Y1244" i="24"/>
  <c r="Y1245" i="24"/>
  <c r="Z1272" i="24"/>
  <c r="Y1272" i="24"/>
  <c r="Z1276" i="24"/>
  <c r="Y1276" i="24"/>
  <c r="P1323" i="24"/>
  <c r="S1323" i="24"/>
  <c r="U1323" i="24" s="1"/>
  <c r="U1330" i="24"/>
  <c r="X1330" i="24" s="1"/>
  <c r="P995" i="24"/>
  <c r="X995" i="24" s="1"/>
  <c r="P1003" i="24"/>
  <c r="X1003" i="24" s="1"/>
  <c r="P1011" i="24"/>
  <c r="X1011" i="24" s="1"/>
  <c r="P1019" i="24"/>
  <c r="X1019" i="24" s="1"/>
  <c r="P1027" i="24"/>
  <c r="X1027" i="24" s="1"/>
  <c r="P1035" i="24"/>
  <c r="X1035" i="24" s="1"/>
  <c r="P1043" i="24"/>
  <c r="X1043" i="24" s="1"/>
  <c r="P1051" i="24"/>
  <c r="X1051" i="24" s="1"/>
  <c r="P1059" i="24"/>
  <c r="X1059" i="24" s="1"/>
  <c r="P1067" i="24"/>
  <c r="X1067" i="24" s="1"/>
  <c r="P1075" i="24"/>
  <c r="X1075" i="24" s="1"/>
  <c r="P1083" i="24"/>
  <c r="X1083" i="24" s="1"/>
  <c r="P1086" i="24"/>
  <c r="X1086" i="24" s="1"/>
  <c r="P1090" i="24"/>
  <c r="X1090" i="24" s="1"/>
  <c r="Z1099" i="24"/>
  <c r="Y1099" i="24"/>
  <c r="Z1101" i="24"/>
  <c r="Y1101" i="24"/>
  <c r="S1106" i="24"/>
  <c r="U1106" i="24" s="1"/>
  <c r="P1106" i="24"/>
  <c r="S1114" i="24"/>
  <c r="U1114" i="24" s="1"/>
  <c r="P1114" i="24"/>
  <c r="S1122" i="24"/>
  <c r="U1122" i="24" s="1"/>
  <c r="P1122" i="24"/>
  <c r="Z1125" i="24"/>
  <c r="Y1125" i="24"/>
  <c r="S1128" i="24"/>
  <c r="U1128" i="24" s="1"/>
  <c r="P1128" i="24"/>
  <c r="Z1141" i="24"/>
  <c r="Y1141" i="24"/>
  <c r="Z1151" i="24"/>
  <c r="S1156" i="24"/>
  <c r="U1156" i="24" s="1"/>
  <c r="P1156" i="24"/>
  <c r="Z1167" i="24"/>
  <c r="Y1167" i="24"/>
  <c r="S1172" i="24"/>
  <c r="U1172" i="24" s="1"/>
  <c r="P1172" i="24"/>
  <c r="Y1183" i="24"/>
  <c r="S1188" i="24"/>
  <c r="U1188" i="24" s="1"/>
  <c r="P1188" i="24"/>
  <c r="Z1199" i="24"/>
  <c r="Y1199" i="24"/>
  <c r="X1199" i="24"/>
  <c r="S1204" i="24"/>
  <c r="U1204" i="24" s="1"/>
  <c r="P1204" i="24"/>
  <c r="Z1215" i="24"/>
  <c r="Y1215" i="24"/>
  <c r="X1215" i="24"/>
  <c r="S1220" i="24"/>
  <c r="U1220" i="24" s="1"/>
  <c r="P1220" i="24"/>
  <c r="P1353" i="24"/>
  <c r="S1353" i="24"/>
  <c r="U1353" i="24" s="1"/>
  <c r="T835" i="24"/>
  <c r="U1089" i="24"/>
  <c r="X1089" i="24" s="1"/>
  <c r="U1093" i="24"/>
  <c r="X1101" i="24"/>
  <c r="Z1109" i="24"/>
  <c r="Z1117" i="24"/>
  <c r="Y1117" i="24"/>
  <c r="X1125" i="24"/>
  <c r="Z1135" i="24"/>
  <c r="Y1135" i="24"/>
  <c r="S1138" i="24"/>
  <c r="U1138" i="24" s="1"/>
  <c r="P1138" i="24"/>
  <c r="X1141" i="24"/>
  <c r="S1146" i="24"/>
  <c r="U1146" i="24" s="1"/>
  <c r="P1146" i="24"/>
  <c r="Z1157" i="24"/>
  <c r="Y1157" i="24"/>
  <c r="X1157" i="24"/>
  <c r="S1162" i="24"/>
  <c r="U1162" i="24" s="1"/>
  <c r="P1162" i="24"/>
  <c r="Z1173" i="24"/>
  <c r="Y1173" i="24"/>
  <c r="X1173" i="24"/>
  <c r="S1178" i="24"/>
  <c r="U1178" i="24" s="1"/>
  <c r="P1178" i="24"/>
  <c r="Z1189" i="24"/>
  <c r="Y1189" i="24"/>
  <c r="S1194" i="24"/>
  <c r="U1194" i="24" s="1"/>
  <c r="P1194" i="24"/>
  <c r="X1205" i="24"/>
  <c r="S1210" i="24"/>
  <c r="U1210" i="24" s="1"/>
  <c r="P1210" i="24"/>
  <c r="Z1221" i="24"/>
  <c r="Y1221" i="24"/>
  <c r="X1221" i="24"/>
  <c r="S1226" i="24"/>
  <c r="U1226" i="24" s="1"/>
  <c r="P1226" i="24"/>
  <c r="U1234" i="24"/>
  <c r="Z1240" i="24"/>
  <c r="Y1240" i="24"/>
  <c r="Y1241" i="24"/>
  <c r="U1250" i="24"/>
  <c r="Y1255" i="24"/>
  <c r="Z1258" i="24"/>
  <c r="Y1258" i="24"/>
  <c r="Y1263" i="24"/>
  <c r="Y1271" i="24"/>
  <c r="O2714" i="24"/>
  <c r="P1096" i="24"/>
  <c r="S1104" i="24"/>
  <c r="U1104" i="24" s="1"/>
  <c r="P1104" i="24"/>
  <c r="S1112" i="24"/>
  <c r="U1112" i="24" s="1"/>
  <c r="P1112" i="24"/>
  <c r="S1120" i="24"/>
  <c r="U1120" i="24" s="1"/>
  <c r="P1120" i="24"/>
  <c r="Z1129" i="24"/>
  <c r="S1132" i="24"/>
  <c r="U1132" i="24" s="1"/>
  <c r="P1132" i="24"/>
  <c r="Z1147" i="24"/>
  <c r="Y1147" i="24"/>
  <c r="X1147" i="24"/>
  <c r="S1152" i="24"/>
  <c r="U1152" i="24" s="1"/>
  <c r="P1152" i="24"/>
  <c r="Z1163" i="24"/>
  <c r="Y1163" i="24"/>
  <c r="X1163" i="24"/>
  <c r="S1168" i="24"/>
  <c r="U1168" i="24" s="1"/>
  <c r="P1168" i="24"/>
  <c r="Z1179" i="24"/>
  <c r="Y1179" i="24"/>
  <c r="X1179" i="24"/>
  <c r="S1184" i="24"/>
  <c r="U1184" i="24" s="1"/>
  <c r="P1184" i="24"/>
  <c r="S1200" i="24"/>
  <c r="U1200" i="24" s="1"/>
  <c r="P1200" i="24"/>
  <c r="Z1211" i="24"/>
  <c r="Y1211" i="24"/>
  <c r="X1211" i="24"/>
  <c r="S1216" i="24"/>
  <c r="U1216" i="24" s="1"/>
  <c r="P1216" i="24"/>
  <c r="Z1227" i="24"/>
  <c r="Y1227" i="24"/>
  <c r="X1227" i="24"/>
  <c r="X1233" i="24"/>
  <c r="X1257" i="24"/>
  <c r="Z1278" i="24"/>
  <c r="Y1278" i="24"/>
  <c r="U1309" i="24"/>
  <c r="Z1107" i="24"/>
  <c r="Y1107" i="24"/>
  <c r="Z1115" i="24"/>
  <c r="Y1115" i="24"/>
  <c r="Z1123" i="24"/>
  <c r="Y1123" i="24"/>
  <c r="S1126" i="24"/>
  <c r="U1126" i="24" s="1"/>
  <c r="P1126" i="24"/>
  <c r="Z1139" i="24"/>
  <c r="Y1139" i="24"/>
  <c r="S1142" i="24"/>
  <c r="U1142" i="24" s="1"/>
  <c r="P1142" i="24"/>
  <c r="Z1153" i="24"/>
  <c r="Y1153" i="24"/>
  <c r="X1153" i="24"/>
  <c r="S1158" i="24"/>
  <c r="U1158" i="24" s="1"/>
  <c r="P1158" i="24"/>
  <c r="Z1169" i="24"/>
  <c r="Y1169" i="24"/>
  <c r="X1169" i="24"/>
  <c r="S1174" i="24"/>
  <c r="U1174" i="24" s="1"/>
  <c r="P1174" i="24"/>
  <c r="Z1185" i="24"/>
  <c r="Y1185" i="24"/>
  <c r="X1185" i="24"/>
  <c r="S1190" i="24"/>
  <c r="U1190" i="24" s="1"/>
  <c r="P1190" i="24"/>
  <c r="Z1201" i="24"/>
  <c r="Y1201" i="24"/>
  <c r="X1201" i="24"/>
  <c r="S1206" i="24"/>
  <c r="U1206" i="24" s="1"/>
  <c r="P1206" i="24"/>
  <c r="Z1217" i="24"/>
  <c r="Y1217" i="24"/>
  <c r="X1217" i="24"/>
  <c r="S1222" i="24"/>
  <c r="U1222" i="24" s="1"/>
  <c r="P1222" i="24"/>
  <c r="Z1230" i="24"/>
  <c r="Y1230" i="24"/>
  <c r="Z1236" i="24"/>
  <c r="Y1236" i="24"/>
  <c r="Z1246" i="24"/>
  <c r="Y1246" i="24"/>
  <c r="Z1260" i="24"/>
  <c r="Y1260" i="24"/>
  <c r="Z1267" i="24"/>
  <c r="Y1267" i="24"/>
  <c r="Z1268" i="24"/>
  <c r="Y1268" i="24"/>
  <c r="Z1274" i="24"/>
  <c r="Y1274" i="24"/>
  <c r="S1231" i="24"/>
  <c r="U1231" i="24" s="1"/>
  <c r="X1231" i="24" s="1"/>
  <c r="S1235" i="24"/>
  <c r="U1235" i="24" s="1"/>
  <c r="X1235" i="24" s="1"/>
  <c r="S1239" i="24"/>
  <c r="U1239" i="24" s="1"/>
  <c r="X1239" i="24" s="1"/>
  <c r="S1243" i="24"/>
  <c r="U1243" i="24" s="1"/>
  <c r="X1243" i="24" s="1"/>
  <c r="S1247" i="24"/>
  <c r="U1247" i="24" s="1"/>
  <c r="X1247" i="24" s="1"/>
  <c r="S1251" i="24"/>
  <c r="U1251" i="24" s="1"/>
  <c r="P1281" i="24"/>
  <c r="X1281" i="24" s="1"/>
  <c r="Y1283" i="24"/>
  <c r="P1289" i="24"/>
  <c r="X1289" i="24" s="1"/>
  <c r="Y1291" i="24"/>
  <c r="P1297" i="24"/>
  <c r="X1297" i="24" s="1"/>
  <c r="S1302" i="24"/>
  <c r="U1302" i="24" s="1"/>
  <c r="P1302" i="24"/>
  <c r="P1369" i="24"/>
  <c r="S1369" i="24"/>
  <c r="U1369" i="24" s="1"/>
  <c r="P1385" i="24"/>
  <c r="S1385" i="24"/>
  <c r="U1385" i="24" s="1"/>
  <c r="U1403" i="24"/>
  <c r="X1403" i="24" s="1"/>
  <c r="P1405" i="24"/>
  <c r="S1405" i="24"/>
  <c r="U1405" i="24" s="1"/>
  <c r="Z1464" i="24"/>
  <c r="Y1464" i="24"/>
  <c r="Z1480" i="24"/>
  <c r="Y1480" i="24"/>
  <c r="Y1488" i="24"/>
  <c r="Z1488" i="24"/>
  <c r="X1278" i="24"/>
  <c r="X1294" i="24"/>
  <c r="P1307" i="24"/>
  <c r="S1307" i="24"/>
  <c r="U1307" i="24" s="1"/>
  <c r="U1314" i="24"/>
  <c r="S1326" i="24"/>
  <c r="U1326" i="24" s="1"/>
  <c r="P1326" i="24"/>
  <c r="S1441" i="24"/>
  <c r="U1441" i="24" s="1"/>
  <c r="P1441" i="24"/>
  <c r="Z1629" i="24"/>
  <c r="Y1629" i="24"/>
  <c r="X1272" i="24"/>
  <c r="X1274" i="24"/>
  <c r="Z1282" i="24"/>
  <c r="Y1282" i="24"/>
  <c r="Z1290" i="24"/>
  <c r="Y1290" i="24"/>
  <c r="Z1298" i="24"/>
  <c r="Y1298" i="24"/>
  <c r="U1317" i="24"/>
  <c r="X1317" i="24" s="1"/>
  <c r="P1331" i="24"/>
  <c r="S1331" i="24"/>
  <c r="U1331" i="24" s="1"/>
  <c r="U1338" i="24"/>
  <c r="X1338" i="24" s="1"/>
  <c r="U1341" i="24"/>
  <c r="X1341" i="24" s="1"/>
  <c r="U1346" i="24"/>
  <c r="U1349" i="24"/>
  <c r="X1349" i="24" s="1"/>
  <c r="P1365" i="24"/>
  <c r="S1365" i="24"/>
  <c r="U1365" i="24" s="1"/>
  <c r="P1381" i="24"/>
  <c r="S1381" i="24"/>
  <c r="U1381" i="24" s="1"/>
  <c r="P1397" i="24"/>
  <c r="S1397" i="24"/>
  <c r="U1397" i="24" s="1"/>
  <c r="X1402" i="24"/>
  <c r="Y1432" i="24"/>
  <c r="Z1432" i="24"/>
  <c r="Y1444" i="24"/>
  <c r="Z1444" i="24"/>
  <c r="Z1494" i="24"/>
  <c r="U1519" i="24"/>
  <c r="P1255" i="24"/>
  <c r="X1255" i="24" s="1"/>
  <c r="P1263" i="24"/>
  <c r="X1263" i="24" s="1"/>
  <c r="P1271" i="24"/>
  <c r="X1271" i="24" s="1"/>
  <c r="X1284" i="24"/>
  <c r="Z1303" i="24"/>
  <c r="Y1303" i="24"/>
  <c r="S1310" i="24"/>
  <c r="U1310" i="24" s="1"/>
  <c r="P1310" i="24"/>
  <c r="Z1402" i="24"/>
  <c r="Y1402" i="24"/>
  <c r="Z1422" i="24"/>
  <c r="X1428" i="24"/>
  <c r="S1449" i="24"/>
  <c r="U1449" i="24" s="1"/>
  <c r="P1449" i="24"/>
  <c r="P1230" i="24"/>
  <c r="P1234" i="24"/>
  <c r="P1238" i="24"/>
  <c r="X1238" i="24" s="1"/>
  <c r="P1242" i="24"/>
  <c r="P1246" i="24"/>
  <c r="X1246" i="24" s="1"/>
  <c r="P1250" i="24"/>
  <c r="X1258" i="24"/>
  <c r="Z1280" i="24"/>
  <c r="Y1280" i="24"/>
  <c r="Y1288" i="24"/>
  <c r="Z1296" i="24"/>
  <c r="Y1296" i="24"/>
  <c r="U1301" i="24"/>
  <c r="X1301" i="24" s="1"/>
  <c r="P1315" i="24"/>
  <c r="S1315" i="24"/>
  <c r="U1315" i="24" s="1"/>
  <c r="U1322" i="24"/>
  <c r="Z1327" i="24"/>
  <c r="Y1327" i="24"/>
  <c r="S1334" i="24"/>
  <c r="U1334" i="24" s="1"/>
  <c r="P1334" i="24"/>
  <c r="P1361" i="24"/>
  <c r="S1361" i="24"/>
  <c r="U1361" i="24" s="1"/>
  <c r="P1377" i="24"/>
  <c r="S1377" i="24"/>
  <c r="U1377" i="24" s="1"/>
  <c r="P1393" i="24"/>
  <c r="S1393" i="24"/>
  <c r="U1393" i="24" s="1"/>
  <c r="Y1428" i="24"/>
  <c r="Z1428" i="24"/>
  <c r="Y1452" i="24"/>
  <c r="Z1468" i="24"/>
  <c r="Z1476" i="24"/>
  <c r="Y1476" i="24"/>
  <c r="Y1484" i="24"/>
  <c r="U1491" i="24"/>
  <c r="X1491" i="24" s="1"/>
  <c r="S1256" i="24"/>
  <c r="U1256" i="24" s="1"/>
  <c r="X1256" i="24" s="1"/>
  <c r="S1264" i="24"/>
  <c r="U1264" i="24" s="1"/>
  <c r="X1264" i="24" s="1"/>
  <c r="U1325" i="24"/>
  <c r="X1325" i="24" s="1"/>
  <c r="P1339" i="24"/>
  <c r="S1339" i="24"/>
  <c r="U1339" i="24" s="1"/>
  <c r="P1347" i="24"/>
  <c r="S1347" i="24"/>
  <c r="U1347" i="24" s="1"/>
  <c r="X1260" i="24"/>
  <c r="X1268" i="24"/>
  <c r="P1283" i="24"/>
  <c r="X1283" i="24" s="1"/>
  <c r="P1291" i="24"/>
  <c r="X1291" i="24" s="1"/>
  <c r="P1299" i="24"/>
  <c r="X1299" i="24" s="1"/>
  <c r="X1303" i="24"/>
  <c r="U1306" i="24"/>
  <c r="Z1311" i="24"/>
  <c r="Y1311" i="24"/>
  <c r="S1318" i="24"/>
  <c r="U1318" i="24" s="1"/>
  <c r="P1318" i="24"/>
  <c r="P1357" i="24"/>
  <c r="S1357" i="24"/>
  <c r="U1357" i="24" s="1"/>
  <c r="P1373" i="24"/>
  <c r="S1373" i="24"/>
  <c r="U1373" i="24" s="1"/>
  <c r="P1389" i="24"/>
  <c r="S1389" i="24"/>
  <c r="U1389" i="24" s="1"/>
  <c r="U1352" i="24"/>
  <c r="U1356" i="24"/>
  <c r="U1360" i="24"/>
  <c r="X1360" i="24" s="1"/>
  <c r="U1364" i="24"/>
  <c r="X1364" i="24" s="1"/>
  <c r="U1368" i="24"/>
  <c r="X1368" i="24" s="1"/>
  <c r="U1372" i="24"/>
  <c r="X1372" i="24" s="1"/>
  <c r="U1376" i="24"/>
  <c r="U1380" i="24"/>
  <c r="U1384" i="24"/>
  <c r="U1392" i="24"/>
  <c r="U1396" i="24"/>
  <c r="Y1490" i="24"/>
  <c r="Z1490" i="24"/>
  <c r="Y1502" i="24"/>
  <c r="Z1502" i="24"/>
  <c r="Y1510" i="24"/>
  <c r="Z1510" i="24"/>
  <c r="X1510" i="24"/>
  <c r="Y1568" i="24"/>
  <c r="Z1568" i="24"/>
  <c r="X1568" i="24"/>
  <c r="Y1584" i="24"/>
  <c r="Z1584" i="24"/>
  <c r="Z1631" i="24"/>
  <c r="Y1631" i="24"/>
  <c r="Z1668" i="24"/>
  <c r="Y1668" i="24"/>
  <c r="U1312" i="24"/>
  <c r="U1320" i="24"/>
  <c r="U1328" i="24"/>
  <c r="U1336" i="24"/>
  <c r="U1344" i="24"/>
  <c r="Y1351" i="24"/>
  <c r="Y1355" i="24"/>
  <c r="Y1359" i="24"/>
  <c r="Y1363" i="24"/>
  <c r="Y1367" i="24"/>
  <c r="Y1371" i="24"/>
  <c r="Y1375" i="24"/>
  <c r="Y1387" i="24"/>
  <c r="Y1391" i="24"/>
  <c r="Y1395" i="24"/>
  <c r="Y1401" i="24"/>
  <c r="U1404" i="24"/>
  <c r="Y1409" i="24"/>
  <c r="S1439" i="24"/>
  <c r="U1439" i="24" s="1"/>
  <c r="P1439" i="24"/>
  <c r="U1442" i="24"/>
  <c r="X1442" i="24" s="1"/>
  <c r="S1447" i="24"/>
  <c r="U1447" i="24" s="1"/>
  <c r="P1447" i="24"/>
  <c r="Y1518" i="24"/>
  <c r="Z1518" i="24"/>
  <c r="X1518" i="24"/>
  <c r="U1527" i="24"/>
  <c r="X1527" i="24" s="1"/>
  <c r="Z1602" i="24"/>
  <c r="Y1602" i="24"/>
  <c r="X1602" i="24"/>
  <c r="Z1626" i="24"/>
  <c r="Y1626" i="24"/>
  <c r="X1626" i="24"/>
  <c r="Z1655" i="24"/>
  <c r="Y1655" i="24"/>
  <c r="P1342" i="24"/>
  <c r="Y1343" i="24"/>
  <c r="P1350" i="24"/>
  <c r="P1398" i="24"/>
  <c r="P1406" i="24"/>
  <c r="S1453" i="24"/>
  <c r="U1453" i="24" s="1"/>
  <c r="P1453" i="24"/>
  <c r="S1457" i="24"/>
  <c r="U1457" i="24" s="1"/>
  <c r="P1457" i="24"/>
  <c r="S1461" i="24"/>
  <c r="U1461" i="24" s="1"/>
  <c r="P1461" i="24"/>
  <c r="S1465" i="24"/>
  <c r="U1465" i="24" s="1"/>
  <c r="P1465" i="24"/>
  <c r="S1469" i="24"/>
  <c r="U1469" i="24" s="1"/>
  <c r="P1469" i="24"/>
  <c r="S1473" i="24"/>
  <c r="U1473" i="24" s="1"/>
  <c r="P1473" i="24"/>
  <c r="S1477" i="24"/>
  <c r="U1477" i="24" s="1"/>
  <c r="P1477" i="24"/>
  <c r="S1481" i="24"/>
  <c r="U1481" i="24" s="1"/>
  <c r="P1481" i="24"/>
  <c r="S1485" i="24"/>
  <c r="U1485" i="24" s="1"/>
  <c r="P1485" i="24"/>
  <c r="X1490" i="24"/>
  <c r="U1507" i="24"/>
  <c r="X1507" i="24" s="1"/>
  <c r="U1515" i="24"/>
  <c r="X1515" i="24" s="1"/>
  <c r="Z1639" i="24"/>
  <c r="Y1639" i="24"/>
  <c r="U1342" i="24"/>
  <c r="U1350" i="24"/>
  <c r="X1351" i="24"/>
  <c r="X1355" i="24"/>
  <c r="X1363" i="24"/>
  <c r="X1371" i="24"/>
  <c r="X1375" i="24"/>
  <c r="X1379" i="24"/>
  <c r="X1387" i="24"/>
  <c r="X1391" i="24"/>
  <c r="X1395" i="24"/>
  <c r="U1398" i="24"/>
  <c r="X1401" i="24"/>
  <c r="U1406" i="24"/>
  <c r="X1409" i="24"/>
  <c r="S1437" i="24"/>
  <c r="U1437" i="24" s="1"/>
  <c r="P1437" i="24"/>
  <c r="U1440" i="24"/>
  <c r="X1440" i="24" s="1"/>
  <c r="S1445" i="24"/>
  <c r="U1445" i="24" s="1"/>
  <c r="P1445" i="24"/>
  <c r="U1448" i="24"/>
  <c r="U1454" i="24"/>
  <c r="X1454" i="24" s="1"/>
  <c r="U1458" i="24"/>
  <c r="X1458" i="24" s="1"/>
  <c r="U1470" i="24"/>
  <c r="U1474" i="24"/>
  <c r="X1474" i="24" s="1"/>
  <c r="U1478" i="24"/>
  <c r="X1478" i="24" s="1"/>
  <c r="U1482" i="24"/>
  <c r="U1486" i="24"/>
  <c r="X1486" i="24" s="1"/>
  <c r="Y1526" i="24"/>
  <c r="Z1526" i="24"/>
  <c r="X1526" i="24"/>
  <c r="P1529" i="24"/>
  <c r="S1529" i="24"/>
  <c r="U1529" i="24" s="1"/>
  <c r="Z1636" i="24"/>
  <c r="Y1636" i="24"/>
  <c r="X1636" i="24"/>
  <c r="Z1666" i="24"/>
  <c r="Y1666" i="24"/>
  <c r="Z1682" i="24"/>
  <c r="Y1682" i="24"/>
  <c r="U1358" i="24"/>
  <c r="U1362" i="24"/>
  <c r="U1366" i="24"/>
  <c r="U1370" i="24"/>
  <c r="X1370" i="24" s="1"/>
  <c r="U1374" i="24"/>
  <c r="U1378" i="24"/>
  <c r="U1382" i="24"/>
  <c r="U1386" i="24"/>
  <c r="X1386" i="24" s="1"/>
  <c r="U1390" i="24"/>
  <c r="U1394" i="24"/>
  <c r="S1411" i="24"/>
  <c r="U1411" i="24" s="1"/>
  <c r="P1411" i="24"/>
  <c r="S1413" i="24"/>
  <c r="U1413" i="24" s="1"/>
  <c r="P1413" i="24"/>
  <c r="S1415" i="24"/>
  <c r="U1415" i="24" s="1"/>
  <c r="P1415" i="24"/>
  <c r="S1417" i="24"/>
  <c r="U1417" i="24" s="1"/>
  <c r="P1417" i="24"/>
  <c r="S1419" i="24"/>
  <c r="U1419" i="24" s="1"/>
  <c r="P1419" i="24"/>
  <c r="S1421" i="24"/>
  <c r="U1421" i="24" s="1"/>
  <c r="P1421" i="24"/>
  <c r="S1423" i="24"/>
  <c r="U1423" i="24" s="1"/>
  <c r="P1423" i="24"/>
  <c r="S1425" i="24"/>
  <c r="U1425" i="24" s="1"/>
  <c r="P1425" i="24"/>
  <c r="S1427" i="24"/>
  <c r="U1427" i="24" s="1"/>
  <c r="P1427" i="24"/>
  <c r="S1429" i="24"/>
  <c r="U1429" i="24" s="1"/>
  <c r="P1429" i="24"/>
  <c r="S1431" i="24"/>
  <c r="U1431" i="24" s="1"/>
  <c r="P1431" i="24"/>
  <c r="S1433" i="24"/>
  <c r="U1433" i="24" s="1"/>
  <c r="P1433" i="24"/>
  <c r="S1435" i="24"/>
  <c r="U1435" i="24" s="1"/>
  <c r="P1435" i="24"/>
  <c r="Y1498" i="24"/>
  <c r="Z1498" i="24"/>
  <c r="X1498" i="24"/>
  <c r="Y1506" i="24"/>
  <c r="Z1506" i="24"/>
  <c r="X1506" i="24"/>
  <c r="X1514" i="24"/>
  <c r="U1523" i="24"/>
  <c r="X1523" i="24" s="1"/>
  <c r="P1537" i="24"/>
  <c r="S1537" i="24"/>
  <c r="U1537" i="24" s="1"/>
  <c r="Y1576" i="24"/>
  <c r="Z1576" i="24"/>
  <c r="X1576" i="24"/>
  <c r="Y1592" i="24"/>
  <c r="Z1592" i="24"/>
  <c r="X1592" i="24"/>
  <c r="U1300" i="24"/>
  <c r="U1308" i="24"/>
  <c r="U1316" i="24"/>
  <c r="X1316" i="24" s="1"/>
  <c r="U1324" i="24"/>
  <c r="U1332" i="24"/>
  <c r="X1332" i="24" s="1"/>
  <c r="U1340" i="24"/>
  <c r="X1340" i="24" s="1"/>
  <c r="U1348" i="24"/>
  <c r="U1408" i="24"/>
  <c r="U1438" i="24"/>
  <c r="X1438" i="24" s="1"/>
  <c r="S1443" i="24"/>
  <c r="U1443" i="24" s="1"/>
  <c r="P1443" i="24"/>
  <c r="U1446" i="24"/>
  <c r="X1446" i="24" s="1"/>
  <c r="S1451" i="24"/>
  <c r="U1451" i="24" s="1"/>
  <c r="P1451" i="24"/>
  <c r="Z1623" i="24"/>
  <c r="Y1623" i="24"/>
  <c r="X1444" i="24"/>
  <c r="S1455" i="24"/>
  <c r="U1455" i="24" s="1"/>
  <c r="P1455" i="24"/>
  <c r="S1459" i="24"/>
  <c r="U1459" i="24" s="1"/>
  <c r="P1459" i="24"/>
  <c r="S1463" i="24"/>
  <c r="U1463" i="24" s="1"/>
  <c r="P1463" i="24"/>
  <c r="S1467" i="24"/>
  <c r="U1467" i="24" s="1"/>
  <c r="P1467" i="24"/>
  <c r="S1471" i="24"/>
  <c r="U1471" i="24" s="1"/>
  <c r="P1471" i="24"/>
  <c r="X1472" i="24"/>
  <c r="S1475" i="24"/>
  <c r="U1475" i="24" s="1"/>
  <c r="P1475" i="24"/>
  <c r="X1476" i="24"/>
  <c r="S1479" i="24"/>
  <c r="U1479" i="24" s="1"/>
  <c r="P1479" i="24"/>
  <c r="X1480" i="24"/>
  <c r="S1483" i="24"/>
  <c r="U1483" i="24" s="1"/>
  <c r="P1483" i="24"/>
  <c r="X1484" i="24"/>
  <c r="S1487" i="24"/>
  <c r="U1487" i="24" s="1"/>
  <c r="P1487" i="24"/>
  <c r="X1488" i="24"/>
  <c r="U1495" i="24"/>
  <c r="X1495" i="24" s="1"/>
  <c r="U1511" i="24"/>
  <c r="X1511" i="24" s="1"/>
  <c r="Y1522" i="24"/>
  <c r="Z1522" i="24"/>
  <c r="X1522" i="24"/>
  <c r="Z1605" i="24"/>
  <c r="Y1605" i="24"/>
  <c r="S1649" i="24"/>
  <c r="U1649" i="24" s="1"/>
  <c r="P1649" i="24"/>
  <c r="Z1693" i="24"/>
  <c r="Y1693" i="24"/>
  <c r="Z1696" i="24"/>
  <c r="Y1696" i="24"/>
  <c r="X1696" i="24"/>
  <c r="Z1540" i="24"/>
  <c r="Z1542" i="24"/>
  <c r="Z1544" i="24"/>
  <c r="Z1546" i="24"/>
  <c r="Z1548" i="24"/>
  <c r="Z1550" i="24"/>
  <c r="Z1552" i="24"/>
  <c r="Z1554" i="24"/>
  <c r="Z1556" i="24"/>
  <c r="Z1558" i="24"/>
  <c r="Z1618" i="24"/>
  <c r="Y1618" i="24"/>
  <c r="X1618" i="24"/>
  <c r="Z1621" i="24"/>
  <c r="Y1621" i="24"/>
  <c r="Y1628" i="24"/>
  <c r="S1641" i="24"/>
  <c r="U1641" i="24" s="1"/>
  <c r="P1641" i="24"/>
  <c r="Y1658" i="24"/>
  <c r="X1664" i="24"/>
  <c r="S1680" i="24"/>
  <c r="U1680" i="24" s="1"/>
  <c r="P1680" i="24"/>
  <c r="Z1686" i="24"/>
  <c r="Y1686" i="24"/>
  <c r="X1686" i="24"/>
  <c r="S1691" i="24"/>
  <c r="U1691" i="24" s="1"/>
  <c r="P1691" i="24"/>
  <c r="U1692" i="24"/>
  <c r="S1707" i="24"/>
  <c r="U1707" i="24" s="1"/>
  <c r="P1707" i="24"/>
  <c r="Z1736" i="24"/>
  <c r="Y1736" i="24"/>
  <c r="X1736" i="24"/>
  <c r="Y1776" i="24"/>
  <c r="P1784" i="24"/>
  <c r="S1784" i="24"/>
  <c r="U1784" i="24" s="1"/>
  <c r="U1921" i="24"/>
  <c r="X1921" i="24" s="1"/>
  <c r="P1531" i="24"/>
  <c r="S1531" i="24"/>
  <c r="U1531" i="24" s="1"/>
  <c r="P1539" i="24"/>
  <c r="S1539" i="24"/>
  <c r="U1539" i="24" s="1"/>
  <c r="X1610" i="24"/>
  <c r="Z1613" i="24"/>
  <c r="Y1613" i="24"/>
  <c r="Z1620" i="24"/>
  <c r="Y1620" i="24"/>
  <c r="S1633" i="24"/>
  <c r="U1633" i="24" s="1"/>
  <c r="P1633" i="24"/>
  <c r="Z1647" i="24"/>
  <c r="Y1647" i="24"/>
  <c r="Z1667" i="24"/>
  <c r="Y1667" i="24"/>
  <c r="U1671" i="24"/>
  <c r="X1671" i="24" s="1"/>
  <c r="T1671" i="24"/>
  <c r="Z1674" i="24"/>
  <c r="Y1674" i="24"/>
  <c r="S1684" i="24"/>
  <c r="U1684" i="24" s="1"/>
  <c r="P1684" i="24"/>
  <c r="P1715" i="24"/>
  <c r="S1715" i="24"/>
  <c r="U1715" i="24" s="1"/>
  <c r="W1887" i="24"/>
  <c r="W1885" i="24"/>
  <c r="Z1884" i="24"/>
  <c r="Y1884" i="24"/>
  <c r="W1886" i="24"/>
  <c r="X1489" i="24"/>
  <c r="X1497" i="24"/>
  <c r="X1505" i="24"/>
  <c r="X1509" i="24"/>
  <c r="X1513" i="24"/>
  <c r="X1517" i="24"/>
  <c r="X1521" i="24"/>
  <c r="P1541" i="24"/>
  <c r="S1541" i="24"/>
  <c r="U1541" i="24" s="1"/>
  <c r="P1543" i="24"/>
  <c r="S1543" i="24"/>
  <c r="U1543" i="24" s="1"/>
  <c r="P1545" i="24"/>
  <c r="S1545" i="24"/>
  <c r="U1545" i="24" s="1"/>
  <c r="P1547" i="24"/>
  <c r="S1547" i="24"/>
  <c r="U1547" i="24" s="1"/>
  <c r="P1549" i="24"/>
  <c r="S1549" i="24"/>
  <c r="U1549" i="24" s="1"/>
  <c r="P1551" i="24"/>
  <c r="S1551" i="24"/>
  <c r="U1551" i="24" s="1"/>
  <c r="P1553" i="24"/>
  <c r="S1553" i="24"/>
  <c r="U1553" i="24" s="1"/>
  <c r="P1555" i="24"/>
  <c r="S1555" i="24"/>
  <c r="U1555" i="24" s="1"/>
  <c r="P1557" i="24"/>
  <c r="S1557" i="24"/>
  <c r="U1557" i="24" s="1"/>
  <c r="P1559" i="24"/>
  <c r="S1559" i="24"/>
  <c r="U1559" i="24" s="1"/>
  <c r="X1566" i="24"/>
  <c r="X1574" i="24"/>
  <c r="X1582" i="24"/>
  <c r="X1590" i="24"/>
  <c r="X1604" i="24"/>
  <c r="Z1611" i="24"/>
  <c r="Y1611" i="24"/>
  <c r="Z1612" i="24"/>
  <c r="Y1612" i="24"/>
  <c r="X1620" i="24"/>
  <c r="S1625" i="24"/>
  <c r="U1625" i="24" s="1"/>
  <c r="P1625" i="24"/>
  <c r="T1660" i="24"/>
  <c r="Z1664" i="24"/>
  <c r="Y1664" i="24"/>
  <c r="S1669" i="24"/>
  <c r="U1669" i="24" s="1"/>
  <c r="P1669" i="24"/>
  <c r="Y1802" i="24"/>
  <c r="W1804" i="24"/>
  <c r="W1803" i="24"/>
  <c r="Z1802" i="24"/>
  <c r="P1533" i="24"/>
  <c r="S1533" i="24"/>
  <c r="U1533" i="24" s="1"/>
  <c r="Z1566" i="24"/>
  <c r="Z1574" i="24"/>
  <c r="Z1582" i="24"/>
  <c r="Z1590" i="24"/>
  <c r="U1601" i="24"/>
  <c r="X1601" i="24" s="1"/>
  <c r="Z1604" i="24"/>
  <c r="S1607" i="24"/>
  <c r="U1607" i="24" s="1"/>
  <c r="P1607" i="24"/>
  <c r="X1612" i="24"/>
  <c r="S1617" i="24"/>
  <c r="U1617" i="24" s="1"/>
  <c r="P1617" i="24"/>
  <c r="S1698" i="24"/>
  <c r="U1698" i="24" s="1"/>
  <c r="P1698" i="24"/>
  <c r="Y1744" i="24"/>
  <c r="S1767" i="24"/>
  <c r="U1767" i="24" s="1"/>
  <c r="P1767" i="24"/>
  <c r="Z1597" i="24"/>
  <c r="Y1597" i="24"/>
  <c r="S1609" i="24"/>
  <c r="U1609" i="24" s="1"/>
  <c r="P1609" i="24"/>
  <c r="Z1650" i="24"/>
  <c r="Y1650" i="24"/>
  <c r="X1650" i="24"/>
  <c r="X1659" i="24"/>
  <c r="Y1663" i="24"/>
  <c r="Z1663" i="24"/>
  <c r="X1663" i="24"/>
  <c r="P1665" i="24"/>
  <c r="S1665" i="24"/>
  <c r="U1665" i="24" s="1"/>
  <c r="Z1670" i="24"/>
  <c r="Y1670" i="24"/>
  <c r="Z1678" i="24"/>
  <c r="Y1678" i="24"/>
  <c r="X1678" i="24"/>
  <c r="X1492" i="24"/>
  <c r="X1496" i="24"/>
  <c r="X1500" i="24"/>
  <c r="X1504" i="24"/>
  <c r="X1508" i="24"/>
  <c r="P1535" i="24"/>
  <c r="S1535" i="24"/>
  <c r="U1535" i="24" s="1"/>
  <c r="S1599" i="24"/>
  <c r="U1599" i="24" s="1"/>
  <c r="P1599" i="24"/>
  <c r="Z1615" i="24"/>
  <c r="Y1615" i="24"/>
  <c r="Z1642" i="24"/>
  <c r="Y1642" i="24"/>
  <c r="X1642" i="24"/>
  <c r="Z1645" i="24"/>
  <c r="Y1645" i="24"/>
  <c r="Z1652" i="24"/>
  <c r="Y1652" i="24"/>
  <c r="Z1662" i="24"/>
  <c r="Y1662" i="24"/>
  <c r="Z1634" i="24"/>
  <c r="Y1634" i="24"/>
  <c r="X1634" i="24"/>
  <c r="Z1637" i="24"/>
  <c r="Y1637" i="24"/>
  <c r="Z1644" i="24"/>
  <c r="Y1644" i="24"/>
  <c r="Z1659" i="24"/>
  <c r="Y1659" i="24"/>
  <c r="X1668" i="24"/>
  <c r="U1675" i="24"/>
  <c r="T1675" i="24"/>
  <c r="Z1704" i="24"/>
  <c r="Y1704" i="24"/>
  <c r="Z1791" i="24"/>
  <c r="S1561" i="24"/>
  <c r="U1561" i="24" s="1"/>
  <c r="S1563" i="24"/>
  <c r="U1563" i="24" s="1"/>
  <c r="S1565" i="24"/>
  <c r="U1565" i="24" s="1"/>
  <c r="S1567" i="24"/>
  <c r="U1567" i="24" s="1"/>
  <c r="X1567" i="24" s="1"/>
  <c r="S1569" i="24"/>
  <c r="U1569" i="24" s="1"/>
  <c r="S1571" i="24"/>
  <c r="U1571" i="24" s="1"/>
  <c r="X1571" i="24" s="1"/>
  <c r="S1573" i="24"/>
  <c r="U1573" i="24" s="1"/>
  <c r="S1575" i="24"/>
  <c r="U1575" i="24" s="1"/>
  <c r="S1577" i="24"/>
  <c r="U1577" i="24" s="1"/>
  <c r="S1579" i="24"/>
  <c r="U1579" i="24" s="1"/>
  <c r="X1579" i="24" s="1"/>
  <c r="S1581" i="24"/>
  <c r="U1581" i="24" s="1"/>
  <c r="S1583" i="24"/>
  <c r="U1583" i="24" s="1"/>
  <c r="S1585" i="24"/>
  <c r="U1585" i="24" s="1"/>
  <c r="S1587" i="24"/>
  <c r="U1587" i="24" s="1"/>
  <c r="S1589" i="24"/>
  <c r="U1589" i="24" s="1"/>
  <c r="S1591" i="24"/>
  <c r="U1591" i="24" s="1"/>
  <c r="S1593" i="24"/>
  <c r="U1593" i="24" s="1"/>
  <c r="S1595" i="24"/>
  <c r="U1595" i="24" s="1"/>
  <c r="X1595" i="24" s="1"/>
  <c r="S1600" i="24"/>
  <c r="U1600" i="24" s="1"/>
  <c r="S1608" i="24"/>
  <c r="U1608" i="24" s="1"/>
  <c r="X1608" i="24" s="1"/>
  <c r="S1616" i="24"/>
  <c r="U1616" i="24" s="1"/>
  <c r="S1624" i="24"/>
  <c r="U1624" i="24" s="1"/>
  <c r="X1624" i="24" s="1"/>
  <c r="S1632" i="24"/>
  <c r="U1632" i="24" s="1"/>
  <c r="X1632" i="24" s="1"/>
  <c r="S1640" i="24"/>
  <c r="U1640" i="24" s="1"/>
  <c r="X1640" i="24" s="1"/>
  <c r="S1648" i="24"/>
  <c r="U1648" i="24" s="1"/>
  <c r="X1648" i="24" s="1"/>
  <c r="S1656" i="24"/>
  <c r="U1656" i="24" s="1"/>
  <c r="S1660" i="24"/>
  <c r="U1660" i="24" s="1"/>
  <c r="T1664" i="24"/>
  <c r="U1697" i="24"/>
  <c r="S1705" i="24"/>
  <c r="U1705" i="24" s="1"/>
  <c r="X1705" i="24" s="1"/>
  <c r="S1719" i="24"/>
  <c r="U1719" i="24" s="1"/>
  <c r="P1719" i="24"/>
  <c r="X1735" i="24"/>
  <c r="S1738" i="24"/>
  <c r="U1738" i="24" s="1"/>
  <c r="P1738" i="24"/>
  <c r="Z1743" i="24"/>
  <c r="Z1757" i="24"/>
  <c r="Y1757" i="24"/>
  <c r="Z1778" i="24"/>
  <c r="Y1778" i="24"/>
  <c r="X1787" i="24"/>
  <c r="P1795" i="24"/>
  <c r="S1795" i="24"/>
  <c r="U1795" i="24" s="1"/>
  <c r="W1821" i="24"/>
  <c r="X1911" i="24"/>
  <c r="Z1911" i="24"/>
  <c r="Y1911" i="24"/>
  <c r="Z1728" i="24"/>
  <c r="Y1728" i="24"/>
  <c r="Y1763" i="24"/>
  <c r="X1763" i="24"/>
  <c r="Z1766" i="24"/>
  <c r="Y1766" i="24"/>
  <c r="Z1770" i="24"/>
  <c r="Y1770" i="24"/>
  <c r="Y1771" i="24"/>
  <c r="Z1771" i="24"/>
  <c r="Z1774" i="24"/>
  <c r="Y1774" i="24"/>
  <c r="X1775" i="24"/>
  <c r="Z1775" i="24"/>
  <c r="Y1782" i="24"/>
  <c r="Z1782" i="24"/>
  <c r="W1842" i="24"/>
  <c r="Z1841" i="24"/>
  <c r="Y1841" i="24"/>
  <c r="W1844" i="24"/>
  <c r="W1843" i="24"/>
  <c r="Z1880" i="24"/>
  <c r="Y1880" i="24"/>
  <c r="X1658" i="24"/>
  <c r="P1699" i="24"/>
  <c r="S1699" i="24"/>
  <c r="U1699" i="24" s="1"/>
  <c r="Z1747" i="24"/>
  <c r="Y1747" i="24"/>
  <c r="Z1768" i="24"/>
  <c r="Y1768" i="24"/>
  <c r="Y1775" i="24"/>
  <c r="Z1780" i="24"/>
  <c r="Y1780" i="24"/>
  <c r="Z1977" i="24"/>
  <c r="Y1977" i="24"/>
  <c r="P1615" i="24"/>
  <c r="X1615" i="24" s="1"/>
  <c r="P1623" i="24"/>
  <c r="X1623" i="24" s="1"/>
  <c r="P1631" i="24"/>
  <c r="X1631" i="24" s="1"/>
  <c r="P1639" i="24"/>
  <c r="X1639" i="24" s="1"/>
  <c r="P1647" i="24"/>
  <c r="X1647" i="24" s="1"/>
  <c r="P1655" i="24"/>
  <c r="X1655" i="24" s="1"/>
  <c r="T1661" i="24"/>
  <c r="T1665" i="24"/>
  <c r="P1666" i="24"/>
  <c r="X1666" i="24" s="1"/>
  <c r="P1670" i="24"/>
  <c r="X1670" i="24" s="1"/>
  <c r="S1673" i="24"/>
  <c r="U1673" i="24" s="1"/>
  <c r="T1676" i="24"/>
  <c r="U1677" i="24"/>
  <c r="X1677" i="24" s="1"/>
  <c r="P1685" i="24"/>
  <c r="T1687" i="24"/>
  <c r="T1688" i="24"/>
  <c r="U1703" i="24"/>
  <c r="X1703" i="24" s="1"/>
  <c r="P1704" i="24"/>
  <c r="X1704" i="24" s="1"/>
  <c r="S1723" i="24"/>
  <c r="U1723" i="24" s="1"/>
  <c r="P1723" i="24"/>
  <c r="X1728" i="24"/>
  <c r="S1733" i="24"/>
  <c r="U1733" i="24" s="1"/>
  <c r="P1733" i="24"/>
  <c r="U1734" i="24"/>
  <c r="X1734" i="24" s="1"/>
  <c r="Z1740" i="24"/>
  <c r="Y1740" i="24"/>
  <c r="Z1754" i="24"/>
  <c r="Y1754" i="24"/>
  <c r="Z1763" i="24"/>
  <c r="X1766" i="24"/>
  <c r="X1770" i="24"/>
  <c r="X1771" i="24"/>
  <c r="S1783" i="24"/>
  <c r="U1783" i="24" s="1"/>
  <c r="P1783" i="24"/>
  <c r="Z1787" i="24"/>
  <c r="W1834" i="24"/>
  <c r="Y1833" i="24"/>
  <c r="X1674" i="24"/>
  <c r="S1681" i="24"/>
  <c r="U1681" i="24" s="1"/>
  <c r="U1685" i="24"/>
  <c r="T1758" i="24"/>
  <c r="Y1786" i="24"/>
  <c r="X1786" i="24"/>
  <c r="S1789" i="24"/>
  <c r="U1789" i="24" s="1"/>
  <c r="P1789" i="24"/>
  <c r="Z1826" i="24"/>
  <c r="Y1826" i="24"/>
  <c r="W1873" i="24"/>
  <c r="Z1872" i="24"/>
  <c r="Y1872" i="24"/>
  <c r="W1875" i="24"/>
  <c r="U1896" i="24"/>
  <c r="Y1926" i="24"/>
  <c r="Z1926" i="24"/>
  <c r="X1926" i="24"/>
  <c r="X1597" i="24"/>
  <c r="X1605" i="24"/>
  <c r="X1613" i="24"/>
  <c r="X1621" i="24"/>
  <c r="X1629" i="24"/>
  <c r="X1637" i="24"/>
  <c r="X1645" i="24"/>
  <c r="X1682" i="24"/>
  <c r="S1689" i="24"/>
  <c r="U1689" i="24" s="1"/>
  <c r="Z1739" i="24"/>
  <c r="Y1739" i="24"/>
  <c r="Z1741" i="24"/>
  <c r="S1746" i="24"/>
  <c r="U1746" i="24" s="1"/>
  <c r="P1746" i="24"/>
  <c r="Z1786" i="24"/>
  <c r="U1793" i="24"/>
  <c r="W1806" i="24"/>
  <c r="Z1805" i="24"/>
  <c r="Y1805" i="24"/>
  <c r="P1675" i="24"/>
  <c r="T1685" i="24"/>
  <c r="Z1735" i="24"/>
  <c r="Y1735" i="24"/>
  <c r="U1737" i="24"/>
  <c r="P1751" i="24"/>
  <c r="S1751" i="24"/>
  <c r="U1751" i="24" s="1"/>
  <c r="U1773" i="24"/>
  <c r="X1773" i="24" s="1"/>
  <c r="O2715" i="24"/>
  <c r="S1727" i="24"/>
  <c r="U1727" i="24" s="1"/>
  <c r="X1727" i="24" s="1"/>
  <c r="S1732" i="24"/>
  <c r="U1732" i="24" s="1"/>
  <c r="P1743" i="24"/>
  <c r="X1743" i="24" s="1"/>
  <c r="S1745" i="24"/>
  <c r="U1745" i="24" s="1"/>
  <c r="X1745" i="24" s="1"/>
  <c r="P1748" i="24"/>
  <c r="S1750" i="24"/>
  <c r="U1750" i="24" s="1"/>
  <c r="Y1753" i="24"/>
  <c r="S1758" i="24"/>
  <c r="U1758" i="24" s="1"/>
  <c r="P1759" i="24"/>
  <c r="X1759" i="24" s="1"/>
  <c r="S1762" i="24"/>
  <c r="U1762" i="24" s="1"/>
  <c r="X1762" i="24" s="1"/>
  <c r="T1773" i="24"/>
  <c r="P1774" i="24"/>
  <c r="X1774" i="24" s="1"/>
  <c r="U1779" i="24"/>
  <c r="T1780" i="24"/>
  <c r="X1824" i="24"/>
  <c r="U1828" i="24"/>
  <c r="X1831" i="24"/>
  <c r="X1837" i="24"/>
  <c r="S1864" i="24"/>
  <c r="U1864" i="24" s="1"/>
  <c r="P1864" i="24"/>
  <c r="U1748" i="24"/>
  <c r="X1782" i="24"/>
  <c r="T1783" i="24"/>
  <c r="X1791" i="24"/>
  <c r="U1825" i="24"/>
  <c r="Z1839" i="24"/>
  <c r="Y1839" i="24"/>
  <c r="X1839" i="24"/>
  <c r="S1800" i="24"/>
  <c r="U1800" i="24" s="1"/>
  <c r="P1800" i="24"/>
  <c r="X1802" i="24"/>
  <c r="S1808" i="24"/>
  <c r="U1808" i="24" s="1"/>
  <c r="P1808" i="24"/>
  <c r="W1819" i="24"/>
  <c r="W1895" i="24"/>
  <c r="W1894" i="24"/>
  <c r="Z1892" i="24"/>
  <c r="W1893" i="24"/>
  <c r="Y1892" i="24"/>
  <c r="S2029" i="24"/>
  <c r="U2029" i="24" s="1"/>
  <c r="P2029" i="24"/>
  <c r="X1744" i="24"/>
  <c r="T1756" i="24"/>
  <c r="S1792" i="24"/>
  <c r="U1792" i="24" s="1"/>
  <c r="P1792" i="24"/>
  <c r="U1796" i="24"/>
  <c r="U1799" i="24"/>
  <c r="X1799" i="24" s="1"/>
  <c r="X1826" i="24"/>
  <c r="W1862" i="24"/>
  <c r="W1861" i="24"/>
  <c r="Z1860" i="24"/>
  <c r="Y1860" i="24"/>
  <c r="X1860" i="24"/>
  <c r="W1863" i="24"/>
  <c r="Z1868" i="24"/>
  <c r="Y1868" i="24"/>
  <c r="Y1891" i="24"/>
  <c r="Z1891" i="24"/>
  <c r="X1891" i="24"/>
  <c r="W2106" i="24"/>
  <c r="Z2105" i="24"/>
  <c r="Y2105" i="24"/>
  <c r="X2105" i="24"/>
  <c r="W2107" i="24"/>
  <c r="W2108" i="24"/>
  <c r="Z2168" i="24"/>
  <c r="W2169" i="24"/>
  <c r="W2171" i="24"/>
  <c r="Y2168" i="24"/>
  <c r="T1775" i="24"/>
  <c r="X1776" i="24"/>
  <c r="X1781" i="24"/>
  <c r="Z1824" i="24"/>
  <c r="Y1824" i="24"/>
  <c r="Z1827" i="24"/>
  <c r="Y1827" i="24"/>
  <c r="S1829" i="24"/>
  <c r="U1829" i="24" s="1"/>
  <c r="P1829" i="24"/>
  <c r="Z1831" i="24"/>
  <c r="Y1831" i="24"/>
  <c r="Z1837" i="24"/>
  <c r="Y1837" i="24"/>
  <c r="Y1949" i="24"/>
  <c r="X1755" i="24"/>
  <c r="U1756" i="24"/>
  <c r="Y1759" i="24"/>
  <c r="T1760" i="24"/>
  <c r="T1771" i="24"/>
  <c r="P1777" i="24"/>
  <c r="Z1781" i="24"/>
  <c r="Y1790" i="24"/>
  <c r="X1805" i="24"/>
  <c r="S1811" i="24"/>
  <c r="U1811" i="24" s="1"/>
  <c r="P1811" i="24"/>
  <c r="Z1823" i="24"/>
  <c r="Y1823" i="24"/>
  <c r="U1830" i="24"/>
  <c r="X1830" i="24" s="1"/>
  <c r="U1846" i="24"/>
  <c r="Y1925" i="24"/>
  <c r="W1928" i="24"/>
  <c r="Z1925" i="24"/>
  <c r="W1927" i="24"/>
  <c r="Y1730" i="24"/>
  <c r="U1731" i="24"/>
  <c r="P1737" i="24"/>
  <c r="T1753" i="24"/>
  <c r="Z1755" i="24"/>
  <c r="U1764" i="24"/>
  <c r="S1765" i="24"/>
  <c r="U1765" i="24" s="1"/>
  <c r="U1769" i="24"/>
  <c r="U1777" i="24"/>
  <c r="P1778" i="24"/>
  <c r="X1778" i="24" s="1"/>
  <c r="Z1797" i="24"/>
  <c r="Y1797" i="24"/>
  <c r="U1801" i="24"/>
  <c r="X1841" i="24"/>
  <c r="X1872" i="24"/>
  <c r="S1876" i="24"/>
  <c r="U1876" i="24" s="1"/>
  <c r="P1876" i="24"/>
  <c r="X1884" i="24"/>
  <c r="Y1907" i="24"/>
  <c r="Z1907" i="24"/>
  <c r="X1907" i="24"/>
  <c r="Y1817" i="24"/>
  <c r="Y1840" i="24"/>
  <c r="Y1845" i="24"/>
  <c r="Z1850" i="24"/>
  <c r="W1851" i="24"/>
  <c r="Y1853" i="24"/>
  <c r="H1864" i="24"/>
  <c r="J1864" i="24" s="1"/>
  <c r="Y1888" i="24"/>
  <c r="W1962" i="24"/>
  <c r="Z1961" i="24"/>
  <c r="U2005" i="24"/>
  <c r="X2005" i="24" s="1"/>
  <c r="Y2053" i="24"/>
  <c r="W2056" i="24"/>
  <c r="W2055" i="24"/>
  <c r="W2054" i="24"/>
  <c r="Z2053" i="24"/>
  <c r="X2053" i="24"/>
  <c r="X2073" i="24"/>
  <c r="Z1817" i="24"/>
  <c r="W1818" i="24"/>
  <c r="Z1853" i="24"/>
  <c r="W1890" i="24"/>
  <c r="X1933" i="24"/>
  <c r="Y1941" i="24"/>
  <c r="W1942" i="24"/>
  <c r="Z1941" i="24"/>
  <c r="W1944" i="24"/>
  <c r="W1943" i="24"/>
  <c r="S1945" i="24"/>
  <c r="U1945" i="24" s="1"/>
  <c r="X1945" i="24" s="1"/>
  <c r="S2041" i="24"/>
  <c r="U2041" i="24" s="1"/>
  <c r="P2041" i="24"/>
  <c r="W2191" i="24"/>
  <c r="W2190" i="24"/>
  <c r="W2189" i="24"/>
  <c r="W2188" i="24"/>
  <c r="Z2186" i="24"/>
  <c r="W2187" i="24"/>
  <c r="Y2186" i="24"/>
  <c r="Y1909" i="24"/>
  <c r="W1912" i="24"/>
  <c r="W1935" i="24"/>
  <c r="W1936" i="24"/>
  <c r="W1934" i="24"/>
  <c r="Z1933" i="24"/>
  <c r="S2013" i="24"/>
  <c r="U2013" i="24" s="1"/>
  <c r="P2013" i="24"/>
  <c r="S2133" i="24"/>
  <c r="U2133" i="24" s="1"/>
  <c r="P2133" i="24"/>
  <c r="P1845" i="24"/>
  <c r="X1845" i="24" s="1"/>
  <c r="S1847" i="24"/>
  <c r="U1847" i="24" s="1"/>
  <c r="P1853" i="24"/>
  <c r="H1880" i="24"/>
  <c r="J1880" i="24" s="1"/>
  <c r="U1900" i="24"/>
  <c r="X1900" i="24" s="1"/>
  <c r="W1906" i="24"/>
  <c r="H1941" i="24"/>
  <c r="J1941" i="24" s="1"/>
  <c r="H1953" i="24"/>
  <c r="J1953" i="24" s="1"/>
  <c r="S1965" i="24"/>
  <c r="U1965" i="24" s="1"/>
  <c r="P1965" i="24"/>
  <c r="Y2037" i="24"/>
  <c r="W2040" i="24"/>
  <c r="W2039" i="24"/>
  <c r="W2038" i="24"/>
  <c r="Z2037" i="24"/>
  <c r="X2037" i="24"/>
  <c r="O2716" i="24"/>
  <c r="P1828" i="24"/>
  <c r="P1868" i="24"/>
  <c r="X1868" i="24" s="1"/>
  <c r="P1880" i="24"/>
  <c r="X1880" i="24" s="1"/>
  <c r="Y1933" i="24"/>
  <c r="P1949" i="24"/>
  <c r="W1952" i="24" s="1"/>
  <c r="Y1957" i="24"/>
  <c r="W1960" i="24"/>
  <c r="W1959" i="24"/>
  <c r="W1958" i="24"/>
  <c r="Z1957" i="24"/>
  <c r="H1985" i="24"/>
  <c r="J1985" i="24" s="1"/>
  <c r="H2013" i="24"/>
  <c r="J2013" i="24" s="1"/>
  <c r="Y2081" i="24"/>
  <c r="W2083" i="24"/>
  <c r="W2082" i="24"/>
  <c r="Z2081" i="24"/>
  <c r="X2081" i="24"/>
  <c r="W2084" i="24"/>
  <c r="H1896" i="24"/>
  <c r="J1896" i="24" s="1"/>
  <c r="W1905" i="24"/>
  <c r="Z1904" i="24"/>
  <c r="Y1904" i="24"/>
  <c r="W1908" i="24"/>
  <c r="X1909" i="24"/>
  <c r="S1917" i="24"/>
  <c r="U1917" i="24" s="1"/>
  <c r="P1917" i="24"/>
  <c r="X1925" i="24"/>
  <c r="Y2099" i="24"/>
  <c r="W1889" i="24"/>
  <c r="Z1888" i="24"/>
  <c r="X1904" i="24"/>
  <c r="Z1909" i="24"/>
  <c r="W1910" i="24"/>
  <c r="P1937" i="24"/>
  <c r="S1937" i="24"/>
  <c r="U1937" i="24" s="1"/>
  <c r="Z1981" i="24"/>
  <c r="Y1981" i="24"/>
  <c r="W2075" i="24"/>
  <c r="Y2073" i="24"/>
  <c r="W2076" i="24"/>
  <c r="Z2073" i="24"/>
  <c r="S2118" i="24"/>
  <c r="U2118" i="24" s="1"/>
  <c r="P2118" i="24"/>
  <c r="U1985" i="24"/>
  <c r="S1993" i="24"/>
  <c r="U1993" i="24" s="1"/>
  <c r="X1993" i="24" s="1"/>
  <c r="S2057" i="24"/>
  <c r="U2057" i="24" s="1"/>
  <c r="P2057" i="24"/>
  <c r="P2085" i="24"/>
  <c r="S2085" i="24"/>
  <c r="U2085" i="24" s="1"/>
  <c r="H2158" i="24"/>
  <c r="J2158" i="24" s="1"/>
  <c r="W2165" i="24"/>
  <c r="W2167" i="24"/>
  <c r="Z2163" i="24"/>
  <c r="Y2163" i="24"/>
  <c r="Z2208" i="24"/>
  <c r="Y2208" i="24"/>
  <c r="X2208" i="24"/>
  <c r="U1953" i="24"/>
  <c r="X1953" i="24" s="1"/>
  <c r="Z2017" i="24"/>
  <c r="W2071" i="24"/>
  <c r="Y2069" i="24"/>
  <c r="W2112" i="24"/>
  <c r="W2111" i="24"/>
  <c r="W2110" i="24"/>
  <c r="Z2109" i="24"/>
  <c r="Y2109" i="24"/>
  <c r="Y2192" i="24"/>
  <c r="W2194" i="24"/>
  <c r="Z2192" i="24"/>
  <c r="W1975" i="24"/>
  <c r="W2034" i="24"/>
  <c r="Z2033" i="24"/>
  <c r="Y2033" i="24"/>
  <c r="Y2097" i="24"/>
  <c r="W2098" i="24"/>
  <c r="Z2097" i="24"/>
  <c r="X2097" i="24"/>
  <c r="W2100" i="24"/>
  <c r="S1929" i="24"/>
  <c r="U1929" i="24" s="1"/>
  <c r="U1969" i="24"/>
  <c r="P1981" i="24"/>
  <c r="X1981" i="24" s="1"/>
  <c r="S2009" i="24"/>
  <c r="U2009" i="24" s="1"/>
  <c r="P2009" i="24"/>
  <c r="U2045" i="24"/>
  <c r="U2049" i="24"/>
  <c r="P2061" i="24"/>
  <c r="X2061" i="24" s="1"/>
  <c r="Z2069" i="24"/>
  <c r="W2072" i="24"/>
  <c r="H2180" i="24"/>
  <c r="J2180" i="24" s="1"/>
  <c r="W1976" i="24"/>
  <c r="P2001" i="24"/>
  <c r="W2035" i="24"/>
  <c r="Z2061" i="24"/>
  <c r="U2065" i="24"/>
  <c r="W2091" i="24"/>
  <c r="W2092" i="24"/>
  <c r="W2090" i="24"/>
  <c r="Z2089" i="24"/>
  <c r="W2157" i="24"/>
  <c r="W2154" i="24"/>
  <c r="Z2153" i="24"/>
  <c r="Y2153" i="24"/>
  <c r="W2156" i="24"/>
  <c r="W2155" i="24"/>
  <c r="U2001" i="24"/>
  <c r="X2033" i="24"/>
  <c r="Y2123" i="24"/>
  <c r="W2125" i="24"/>
  <c r="W2124" i="24"/>
  <c r="U2138" i="24"/>
  <c r="Z2254" i="24"/>
  <c r="Y2254" i="24"/>
  <c r="X2254" i="24"/>
  <c r="W2266" i="24"/>
  <c r="W2265" i="24"/>
  <c r="Z2264" i="24"/>
  <c r="Y2264" i="24"/>
  <c r="S2025" i="24"/>
  <c r="U2025" i="24" s="1"/>
  <c r="P2025" i="24"/>
  <c r="W2036" i="24"/>
  <c r="Y2061" i="24"/>
  <c r="H2109" i="24"/>
  <c r="J2109" i="24" s="1"/>
  <c r="Z2123" i="24"/>
  <c r="U2158" i="24"/>
  <c r="W2175" i="24"/>
  <c r="Z2174" i="24"/>
  <c r="Y2174" i="24"/>
  <c r="W2178" i="24"/>
  <c r="W2177" i="24"/>
  <c r="H2186" i="24"/>
  <c r="J2186" i="24" s="1"/>
  <c r="H2192" i="24"/>
  <c r="J2192" i="24" s="1"/>
  <c r="S2128" i="24"/>
  <c r="U2128" i="24" s="1"/>
  <c r="X2174" i="24"/>
  <c r="H2198" i="24"/>
  <c r="J2198" i="24" s="1"/>
  <c r="U2210" i="24"/>
  <c r="H2264" i="24"/>
  <c r="J2264" i="24" s="1"/>
  <c r="U2077" i="24"/>
  <c r="X2077" i="24" s="1"/>
  <c r="X2204" i="24"/>
  <c r="H2228" i="24"/>
  <c r="J2228" i="24" s="1"/>
  <c r="H2240" i="24"/>
  <c r="J2240" i="24" s="1"/>
  <c r="X2252" i="24"/>
  <c r="W2225" i="24"/>
  <c r="W2224" i="24"/>
  <c r="Z2222" i="24"/>
  <c r="Y2222" i="24"/>
  <c r="W2226" i="24"/>
  <c r="U2234" i="24"/>
  <c r="X2234" i="24" s="1"/>
  <c r="W2251" i="24"/>
  <c r="W2249" i="24"/>
  <c r="W2247" i="24"/>
  <c r="W2250" i="24"/>
  <c r="W2248" i="24"/>
  <c r="Z2246" i="24"/>
  <c r="Y2246" i="24"/>
  <c r="Z2276" i="24"/>
  <c r="Y2276" i="24"/>
  <c r="W2279" i="24"/>
  <c r="W2278" i="24"/>
  <c r="W2281" i="24"/>
  <c r="W2277" i="24"/>
  <c r="X2276" i="24"/>
  <c r="W2280" i="24"/>
  <c r="S2101" i="24"/>
  <c r="U2101" i="24" s="1"/>
  <c r="H2234" i="24"/>
  <c r="Z2252" i="24"/>
  <c r="Y2252" i="24"/>
  <c r="W2257" i="24"/>
  <c r="W2253" i="24"/>
  <c r="W2256" i="24"/>
  <c r="W2255" i="24"/>
  <c r="Y2318" i="24"/>
  <c r="Z2318" i="24"/>
  <c r="U2093" i="24"/>
  <c r="U2148" i="24"/>
  <c r="W2209" i="24"/>
  <c r="W2207" i="24"/>
  <c r="W2205" i="24"/>
  <c r="Z2204" i="24"/>
  <c r="W2206" i="24"/>
  <c r="X2222" i="24"/>
  <c r="H2294" i="24"/>
  <c r="J2294" i="24" s="1"/>
  <c r="H2113" i="24"/>
  <c r="J2113" i="24" s="1"/>
  <c r="X2186" i="24"/>
  <c r="U2216" i="24"/>
  <c r="J2276" i="24"/>
  <c r="Y2288" i="24"/>
  <c r="P2158" i="24"/>
  <c r="U2180" i="24"/>
  <c r="Y2204" i="24"/>
  <c r="H2222" i="24"/>
  <c r="J2222" i="24" s="1"/>
  <c r="X2246" i="24"/>
  <c r="P2216" i="24"/>
  <c r="P2240" i="24"/>
  <c r="J2258" i="24"/>
  <c r="P2282" i="24"/>
  <c r="U2306" i="24"/>
  <c r="X2306" i="24" s="1"/>
  <c r="H2324" i="24"/>
  <c r="J2324" i="24" s="1"/>
  <c r="W2430" i="24"/>
  <c r="W2427" i="24"/>
  <c r="W2429" i="24"/>
  <c r="Z2426" i="24"/>
  <c r="W2431" i="24"/>
  <c r="Y2426" i="24"/>
  <c r="W2428" i="24"/>
  <c r="U2282" i="24"/>
  <c r="H2288" i="24"/>
  <c r="J2288" i="24" s="1"/>
  <c r="H2312" i="24"/>
  <c r="J2312" i="24" s="1"/>
  <c r="Y2342" i="24"/>
  <c r="W2377" i="24"/>
  <c r="W2375" i="24"/>
  <c r="W2373" i="24"/>
  <c r="Y2372" i="24"/>
  <c r="W2374" i="24"/>
  <c r="Z2372" i="24"/>
  <c r="W2230" i="24"/>
  <c r="U2240" i="24"/>
  <c r="J2300" i="24"/>
  <c r="W2305" i="24"/>
  <c r="W2303" i="24"/>
  <c r="W2301" i="24"/>
  <c r="Z2300" i="24"/>
  <c r="Y2300" i="24"/>
  <c r="J2330" i="24"/>
  <c r="J2210" i="24"/>
  <c r="J2234" i="24"/>
  <c r="J2252" i="24"/>
  <c r="P2258" i="24"/>
  <c r="X2274" i="24"/>
  <c r="P2288" i="24"/>
  <c r="X2288" i="24" s="1"/>
  <c r="S2294" i="24"/>
  <c r="U2294" i="24" s="1"/>
  <c r="P2294" i="24"/>
  <c r="X2300" i="24"/>
  <c r="W2497" i="24"/>
  <c r="W2495" i="24"/>
  <c r="W2493" i="24"/>
  <c r="Z2492" i="24"/>
  <c r="Y2492" i="24"/>
  <c r="W2494" i="24"/>
  <c r="W2496" i="24"/>
  <c r="U2258" i="24"/>
  <c r="W2275" i="24"/>
  <c r="W2273" i="24"/>
  <c r="W2271" i="24"/>
  <c r="J2306" i="24"/>
  <c r="Z2342" i="24"/>
  <c r="H2372" i="24"/>
  <c r="J2372" i="24" s="1"/>
  <c r="X2264" i="24"/>
  <c r="J2282" i="24"/>
  <c r="J2354" i="24"/>
  <c r="W2362" i="24"/>
  <c r="W2365" i="24"/>
  <c r="W2361" i="24"/>
  <c r="Z2360" i="24"/>
  <c r="Y2360" i="24"/>
  <c r="W2364" i="24"/>
  <c r="W2401" i="24"/>
  <c r="W2400" i="24"/>
  <c r="W2397" i="24"/>
  <c r="Z2396" i="24"/>
  <c r="Y2396" i="24"/>
  <c r="W2399" i="24"/>
  <c r="W2398" i="24"/>
  <c r="X2435" i="24"/>
  <c r="Z2435" i="24"/>
  <c r="Y2435" i="24"/>
  <c r="Z2228" i="24"/>
  <c r="Y2228" i="24"/>
  <c r="W2232" i="24"/>
  <c r="U2312" i="24"/>
  <c r="X2312" i="24" s="1"/>
  <c r="Y2328" i="24"/>
  <c r="W2333" i="24"/>
  <c r="W2331" i="24"/>
  <c r="W2334" i="24"/>
  <c r="W2332" i="24"/>
  <c r="U2336" i="24"/>
  <c r="W2363" i="24"/>
  <c r="H2378" i="24"/>
  <c r="J2378" i="24" s="1"/>
  <c r="P2318" i="24"/>
  <c r="X2318" i="24" s="1"/>
  <c r="Y2324" i="24"/>
  <c r="P2342" i="24"/>
  <c r="X2342" i="24" s="1"/>
  <c r="Y2348" i="24"/>
  <c r="Y2366" i="24"/>
  <c r="W2386" i="24"/>
  <c r="W2403" i="24"/>
  <c r="X2408" i="24"/>
  <c r="H2450" i="24"/>
  <c r="J2450" i="24" s="1"/>
  <c r="H2492" i="24"/>
  <c r="J2492" i="24" s="1"/>
  <c r="Z2324" i="24"/>
  <c r="Z2348" i="24"/>
  <c r="U2378" i="24"/>
  <c r="X2378" i="24" s="1"/>
  <c r="X2414" i="24"/>
  <c r="X2432" i="24"/>
  <c r="W2447" i="24"/>
  <c r="W2446" i="24"/>
  <c r="W2449" i="24"/>
  <c r="W2448" i="24"/>
  <c r="W2445" i="24"/>
  <c r="Z2444" i="24"/>
  <c r="Y2444" i="24"/>
  <c r="Z2474" i="24"/>
  <c r="W2478" i="24"/>
  <c r="W2476" i="24"/>
  <c r="W2475" i="24"/>
  <c r="Y2474" i="24"/>
  <c r="W2479" i="24"/>
  <c r="W2325" i="24"/>
  <c r="W2327" i="24"/>
  <c r="W2329" i="24"/>
  <c r="W2349" i="24"/>
  <c r="W2351" i="24"/>
  <c r="W2353" i="24"/>
  <c r="W2370" i="24"/>
  <c r="W2389" i="24"/>
  <c r="Z2414" i="24"/>
  <c r="W2417" i="24"/>
  <c r="Y2414" i="24"/>
  <c r="W2419" i="24"/>
  <c r="W2416" i="24"/>
  <c r="W2423" i="24"/>
  <c r="W2422" i="24"/>
  <c r="W2425" i="24"/>
  <c r="W2424" i="24"/>
  <c r="W2421" i="24"/>
  <c r="Z2420" i="24"/>
  <c r="Y2420" i="24"/>
  <c r="H2444" i="24"/>
  <c r="U2390" i="24"/>
  <c r="W2410" i="24"/>
  <c r="W2415" i="24"/>
  <c r="H2420" i="24"/>
  <c r="J2420" i="24" s="1"/>
  <c r="Y2456" i="24"/>
  <c r="S2468" i="24"/>
  <c r="U2468" i="24" s="1"/>
  <c r="P2468" i="24"/>
  <c r="H2360" i="24"/>
  <c r="J2360" i="24" s="1"/>
  <c r="X2402" i="24"/>
  <c r="W2409" i="24"/>
  <c r="Z2408" i="24"/>
  <c r="W2412" i="24"/>
  <c r="Y2408" i="24"/>
  <c r="J2444" i="24"/>
  <c r="H2456" i="24"/>
  <c r="W2477" i="24"/>
  <c r="H2486" i="24"/>
  <c r="J2486" i="24" s="1"/>
  <c r="X2372" i="24"/>
  <c r="W2406" i="24"/>
  <c r="W2405" i="24"/>
  <c r="Z2402" i="24"/>
  <c r="W2407" i="24"/>
  <c r="Z2418" i="24"/>
  <c r="Y2418" i="24"/>
  <c r="X2418" i="24"/>
  <c r="W2437" i="24"/>
  <c r="W2434" i="24"/>
  <c r="W2433" i="24"/>
  <c r="Z2432" i="24"/>
  <c r="W2436" i="24"/>
  <c r="Y2432" i="24"/>
  <c r="Z2462" i="24"/>
  <c r="W2466" i="24"/>
  <c r="Y2462" i="24"/>
  <c r="W2465" i="24"/>
  <c r="W2467" i="24"/>
  <c r="Z2480" i="24"/>
  <c r="Y2480" i="24"/>
  <c r="W2326" i="24"/>
  <c r="W2350" i="24"/>
  <c r="W2371" i="24"/>
  <c r="W2369" i="24"/>
  <c r="W2367" i="24"/>
  <c r="Z2366" i="24"/>
  <c r="W2388" i="24"/>
  <c r="Y2384" i="24"/>
  <c r="X2384" i="24"/>
  <c r="J2390" i="24"/>
  <c r="J2396" i="24"/>
  <c r="X2426" i="24"/>
  <c r="P2480" i="24"/>
  <c r="X2480" i="24" s="1"/>
  <c r="W2509" i="24"/>
  <c r="Z2504" i="24"/>
  <c r="W2508" i="24"/>
  <c r="W2506" i="24"/>
  <c r="H2510" i="24"/>
  <c r="J2510" i="24" s="1"/>
  <c r="X2540" i="24"/>
  <c r="S2486" i="24"/>
  <c r="U2486" i="24" s="1"/>
  <c r="P2486" i="24"/>
  <c r="J2456" i="24"/>
  <c r="W2507" i="24"/>
  <c r="W2521" i="24"/>
  <c r="W2517" i="24"/>
  <c r="Z2516" i="24"/>
  <c r="Y2516" i="24"/>
  <c r="W2520" i="24"/>
  <c r="W2519" i="24"/>
  <c r="W2518" i="24"/>
  <c r="Z2522" i="24"/>
  <c r="W2524" i="24"/>
  <c r="W2527" i="24"/>
  <c r="W2523" i="24"/>
  <c r="Y2522" i="24"/>
  <c r="W2526" i="24"/>
  <c r="W2525" i="24"/>
  <c r="Z2564" i="24"/>
  <c r="Y2564" i="24"/>
  <c r="W2569" i="24"/>
  <c r="W2566" i="24"/>
  <c r="W2505" i="24"/>
  <c r="H2516" i="24"/>
  <c r="J2516" i="24" s="1"/>
  <c r="U2528" i="24"/>
  <c r="W2545" i="24"/>
  <c r="W2543" i="24"/>
  <c r="W2541" i="24"/>
  <c r="W2542" i="24"/>
  <c r="Z2540" i="24"/>
  <c r="Y2540" i="24"/>
  <c r="W2544" i="24"/>
  <c r="W2601" i="24"/>
  <c r="W2602" i="24"/>
  <c r="Y2600" i="24"/>
  <c r="W2603" i="24"/>
  <c r="Z2600" i="24"/>
  <c r="W2605" i="24"/>
  <c r="W2604" i="24"/>
  <c r="Z2510" i="24"/>
  <c r="Y2510" i="24"/>
  <c r="X2564" i="24"/>
  <c r="X2492" i="24"/>
  <c r="H2504" i="24"/>
  <c r="J2504" i="24" s="1"/>
  <c r="W2550" i="24"/>
  <c r="W2551" i="24"/>
  <c r="W2549" i="24"/>
  <c r="W2547" i="24"/>
  <c r="Z2546" i="24"/>
  <c r="Y2546" i="24"/>
  <c r="W2548" i="24"/>
  <c r="U2450" i="24"/>
  <c r="P2510" i="24"/>
  <c r="H2522" i="24"/>
  <c r="J2522" i="24" s="1"/>
  <c r="Z2539" i="24"/>
  <c r="X2539" i="24"/>
  <c r="X2552" i="24"/>
  <c r="W2536" i="24"/>
  <c r="Z2552" i="24"/>
  <c r="Y2552" i="24"/>
  <c r="W2557" i="24"/>
  <c r="W2554" i="24"/>
  <c r="Z2617" i="24"/>
  <c r="X2534" i="24"/>
  <c r="W2537" i="24"/>
  <c r="W2553" i="24"/>
  <c r="U2558" i="24"/>
  <c r="S2632" i="24"/>
  <c r="U2632" i="24" s="1"/>
  <c r="P2632" i="24"/>
  <c r="P2528" i="24"/>
  <c r="W2538" i="24"/>
  <c r="J2552" i="24"/>
  <c r="H2552" i="24"/>
  <c r="X2600" i="24"/>
  <c r="G2571" i="24"/>
  <c r="H2571" i="24" s="1"/>
  <c r="W2571" i="24"/>
  <c r="W2574" i="24"/>
  <c r="G2577" i="24"/>
  <c r="H2577" i="24" s="1"/>
  <c r="Z2633" i="24"/>
  <c r="Y2633" i="24"/>
  <c r="X2633" i="24"/>
  <c r="Z2663" i="24"/>
  <c r="Y2663" i="24"/>
  <c r="Z2698" i="24"/>
  <c r="Y2698" i="24"/>
  <c r="Z2694" i="24"/>
  <c r="Y2694" i="24"/>
  <c r="S2631" i="24"/>
  <c r="U2631" i="24" s="1"/>
  <c r="P2631" i="24"/>
  <c r="Z2658" i="24"/>
  <c r="Y2658" i="24"/>
  <c r="Z2660" i="24"/>
  <c r="Y2660" i="24"/>
  <c r="T2691" i="24"/>
  <c r="W2572" i="24"/>
  <c r="Y2570" i="24"/>
  <c r="W2578" i="24"/>
  <c r="Y2576" i="24"/>
  <c r="W2583" i="24"/>
  <c r="W2584" i="24"/>
  <c r="Y2582" i="24"/>
  <c r="W2595" i="24"/>
  <c r="W2596" i="24"/>
  <c r="Y2594" i="24"/>
  <c r="W2607" i="24"/>
  <c r="Z2642" i="24"/>
  <c r="Y2642" i="24"/>
  <c r="T2645" i="24"/>
  <c r="Y2657" i="24"/>
  <c r="X2626" i="24"/>
  <c r="Z2626" i="24"/>
  <c r="Y2626" i="24"/>
  <c r="Z2682" i="24"/>
  <c r="Y2682" i="24"/>
  <c r="G2575" i="24"/>
  <c r="H2575" i="24" s="1"/>
  <c r="G2573" i="24"/>
  <c r="H2573" i="24" s="1"/>
  <c r="G2581" i="24"/>
  <c r="H2581" i="24" s="1"/>
  <c r="G2579" i="24"/>
  <c r="H2579" i="24" s="1"/>
  <c r="U2618" i="24"/>
  <c r="X2618" i="24" s="1"/>
  <c r="S2646" i="24"/>
  <c r="U2646" i="24" s="1"/>
  <c r="P2646" i="24"/>
  <c r="Y2666" i="24"/>
  <c r="Z2666" i="24"/>
  <c r="Z2678" i="24"/>
  <c r="Y2678" i="24"/>
  <c r="I2570" i="24"/>
  <c r="I2576" i="24"/>
  <c r="T2707" i="24"/>
  <c r="X2658" i="24"/>
  <c r="X2666" i="24"/>
  <c r="Z2667" i="24"/>
  <c r="Y2667" i="24"/>
  <c r="Y2679" i="24"/>
  <c r="S2684" i="24"/>
  <c r="U2684" i="24" s="1"/>
  <c r="P2684" i="24"/>
  <c r="X2694" i="24"/>
  <c r="S2700" i="24"/>
  <c r="U2700" i="24" s="1"/>
  <c r="P2700" i="24"/>
  <c r="X2634" i="24"/>
  <c r="X2640" i="24"/>
  <c r="U2647" i="24"/>
  <c r="Z2652" i="24"/>
  <c r="Y2652" i="24"/>
  <c r="Z2656" i="24"/>
  <c r="Y2656" i="24"/>
  <c r="T2661" i="24"/>
  <c r="Z2664" i="24"/>
  <c r="U2673" i="24"/>
  <c r="X2681" i="24"/>
  <c r="Z2705" i="24"/>
  <c r="G2622" i="24"/>
  <c r="H2622" i="24" s="1"/>
  <c r="G2620" i="24"/>
  <c r="H2620" i="24" s="1"/>
  <c r="G2623" i="24"/>
  <c r="H2623" i="24" s="1"/>
  <c r="Z2634" i="24"/>
  <c r="Y2634" i="24"/>
  <c r="T2637" i="24"/>
  <c r="Z2669" i="24"/>
  <c r="Y2669" i="24"/>
  <c r="Z2677" i="24"/>
  <c r="Y2677" i="24"/>
  <c r="Z2688" i="24"/>
  <c r="Y2688" i="24"/>
  <c r="Z2693" i="24"/>
  <c r="Y2693" i="24"/>
  <c r="Z2704" i="24"/>
  <c r="Y2704" i="24"/>
  <c r="U2639" i="24"/>
  <c r="Z2644" i="24"/>
  <c r="Y2644" i="24"/>
  <c r="Z2648" i="24"/>
  <c r="Y2648" i="24"/>
  <c r="U2675" i="24"/>
  <c r="X2680" i="24"/>
  <c r="X2686" i="24"/>
  <c r="S2692" i="24"/>
  <c r="U2692" i="24" s="1"/>
  <c r="P2692" i="24"/>
  <c r="X2696" i="24"/>
  <c r="X2702" i="24"/>
  <c r="G2585" i="24"/>
  <c r="H2585" i="24" s="1"/>
  <c r="H2582" i="24" s="1"/>
  <c r="J2582" i="24" s="1"/>
  <c r="G2591" i="24"/>
  <c r="H2591" i="24" s="1"/>
  <c r="H2588" i="24" s="1"/>
  <c r="J2588" i="24" s="1"/>
  <c r="G2597" i="24"/>
  <c r="H2597" i="24" s="1"/>
  <c r="H2594" i="24" s="1"/>
  <c r="J2594" i="24" s="1"/>
  <c r="G2603" i="24"/>
  <c r="H2603" i="24" s="1"/>
  <c r="H2600" i="24" s="1"/>
  <c r="J2600" i="24" s="1"/>
  <c r="G2609" i="24"/>
  <c r="H2609" i="24" s="1"/>
  <c r="H2606" i="24" s="1"/>
  <c r="J2606" i="24" s="1"/>
  <c r="G2615" i="24"/>
  <c r="H2615" i="24" s="1"/>
  <c r="H2612" i="24" s="1"/>
  <c r="J2612" i="24" s="1"/>
  <c r="I2618" i="24"/>
  <c r="Z2624" i="24"/>
  <c r="W2629" i="24"/>
  <c r="W2625" i="24"/>
  <c r="W2627" i="24"/>
  <c r="S2638" i="24"/>
  <c r="U2638" i="24" s="1"/>
  <c r="P2638" i="24"/>
  <c r="Z2649" i="24"/>
  <c r="Y2649" i="24"/>
  <c r="Z2650" i="24"/>
  <c r="Y2650" i="24"/>
  <c r="T2653" i="24"/>
  <c r="U2665" i="24"/>
  <c r="Z2681" i="24"/>
  <c r="W2628" i="24"/>
  <c r="X2642" i="24"/>
  <c r="Z2655" i="24"/>
  <c r="Y2655" i="24"/>
  <c r="T2683" i="24"/>
  <c r="Z2686" i="24"/>
  <c r="Y2686" i="24"/>
  <c r="Z2690" i="24"/>
  <c r="Y2690" i="24"/>
  <c r="T2699" i="24"/>
  <c r="Z2702" i="24"/>
  <c r="Y2702" i="24"/>
  <c r="Z2706" i="24"/>
  <c r="Y2706" i="24"/>
  <c r="G2619" i="24"/>
  <c r="H2619" i="24" s="1"/>
  <c r="G2621" i="24"/>
  <c r="H2621" i="24" s="1"/>
  <c r="Y2624" i="24"/>
  <c r="Z2636" i="24"/>
  <c r="Y2636" i="24"/>
  <c r="Z2640" i="24"/>
  <c r="Y2640" i="24"/>
  <c r="S2654" i="24"/>
  <c r="U2654" i="24" s="1"/>
  <c r="P2654" i="24"/>
  <c r="Z2680" i="24"/>
  <c r="Y2680" i="24"/>
  <c r="U2685" i="24"/>
  <c r="Z2696" i="24"/>
  <c r="Y2696" i="24"/>
  <c r="U2701" i="24"/>
  <c r="S2637" i="24"/>
  <c r="U2637" i="24" s="1"/>
  <c r="S2645" i="24"/>
  <c r="U2645" i="24" s="1"/>
  <c r="S2653" i="24"/>
  <c r="U2653" i="24" s="1"/>
  <c r="S2661" i="24"/>
  <c r="U2661" i="24" s="1"/>
  <c r="S2683" i="24"/>
  <c r="U2683" i="24" s="1"/>
  <c r="X2683" i="24" s="1"/>
  <c r="S2691" i="24"/>
  <c r="U2691" i="24" s="1"/>
  <c r="S2699" i="24"/>
  <c r="U2699" i="24" s="1"/>
  <c r="S2707" i="24"/>
  <c r="U2707" i="24" s="1"/>
  <c r="G2629" i="24"/>
  <c r="H2629" i="24" s="1"/>
  <c r="T2635" i="24"/>
  <c r="T2643" i="24"/>
  <c r="T2651" i="24"/>
  <c r="T2659" i="24"/>
  <c r="P2660" i="24"/>
  <c r="X2660" i="24" s="1"/>
  <c r="T2681" i="24"/>
  <c r="P2682" i="24"/>
  <c r="X2682" i="24" s="1"/>
  <c r="T2689" i="24"/>
  <c r="P2690" i="24"/>
  <c r="X2690" i="24" s="1"/>
  <c r="T2697" i="24"/>
  <c r="P2698" i="24"/>
  <c r="X2698" i="24" s="1"/>
  <c r="T2705" i="24"/>
  <c r="P2706" i="24"/>
  <c r="X2706" i="24" s="1"/>
  <c r="G2626" i="24"/>
  <c r="H2626" i="24" s="1"/>
  <c r="H2624" i="24" s="1"/>
  <c r="J2624" i="24" s="1"/>
  <c r="P2639" i="24"/>
  <c r="P2647" i="24"/>
  <c r="P2655" i="24"/>
  <c r="X2655" i="24" s="1"/>
  <c r="P2663" i="24"/>
  <c r="P2665" i="24"/>
  <c r="P2667" i="24"/>
  <c r="X2667" i="24" s="1"/>
  <c r="P2669" i="24"/>
  <c r="X2669" i="24" s="1"/>
  <c r="P2673" i="24"/>
  <c r="P2675" i="24"/>
  <c r="P2677" i="24"/>
  <c r="T2684" i="24"/>
  <c r="P2685" i="24"/>
  <c r="T2692" i="24"/>
  <c r="P2693" i="24"/>
  <c r="X2693" i="24" s="1"/>
  <c r="T2700" i="24"/>
  <c r="P2701" i="24"/>
  <c r="T2679" i="24"/>
  <c r="T2687" i="24"/>
  <c r="T2695" i="24"/>
  <c r="T2703" i="24"/>
  <c r="Z34" i="22"/>
  <c r="Y34" i="22"/>
  <c r="Z46" i="22"/>
  <c r="Y46" i="22"/>
  <c r="X46" i="22"/>
  <c r="Z48" i="22"/>
  <c r="Y48" i="22"/>
  <c r="Z57" i="22"/>
  <c r="Y57" i="22"/>
  <c r="Y70" i="22"/>
  <c r="Z70" i="22"/>
  <c r="X21" i="22"/>
  <c r="U31" i="22"/>
  <c r="U39" i="22"/>
  <c r="U55" i="22"/>
  <c r="X58" i="22"/>
  <c r="Z58" i="22"/>
  <c r="Y58" i="22"/>
  <c r="X67" i="22"/>
  <c r="Y72" i="22"/>
  <c r="Z72" i="22"/>
  <c r="X79" i="22"/>
  <c r="X30" i="22"/>
  <c r="Z36" i="22"/>
  <c r="Y36" i="22"/>
  <c r="Z51" i="22"/>
  <c r="Y51" i="22"/>
  <c r="X57" i="22"/>
  <c r="U62" i="22"/>
  <c r="U64" i="22"/>
  <c r="Y74" i="22"/>
  <c r="Z74" i="22"/>
  <c r="Z77" i="22"/>
  <c r="Y77" i="22"/>
  <c r="Y92" i="22"/>
  <c r="Z92" i="22"/>
  <c r="Z19" i="22"/>
  <c r="Y19" i="22"/>
  <c r="Z27" i="22"/>
  <c r="Y27" i="22"/>
  <c r="Y41" i="22"/>
  <c r="Z41" i="22"/>
  <c r="Z49" i="22"/>
  <c r="Y49" i="22"/>
  <c r="Y26" i="22"/>
  <c r="Z26" i="22"/>
  <c r="Z30" i="22"/>
  <c r="Y30" i="22"/>
  <c r="Y47" i="22"/>
  <c r="Z47" i="22"/>
  <c r="X50" i="22"/>
  <c r="Z50" i="22"/>
  <c r="Y50" i="22"/>
  <c r="X59" i="22"/>
  <c r="Z67" i="22"/>
  <c r="Y67" i="22"/>
  <c r="U69" i="22"/>
  <c r="U76" i="22"/>
  <c r="Z79" i="22"/>
  <c r="Y79" i="22"/>
  <c r="U81" i="22"/>
  <c r="Z35" i="22"/>
  <c r="Y35" i="22"/>
  <c r="U54" i="22"/>
  <c r="Z56" i="22"/>
  <c r="Y56" i="22"/>
  <c r="Z65" i="22"/>
  <c r="Y65" i="22"/>
  <c r="Z71" i="22"/>
  <c r="Y71" i="22"/>
  <c r="X34" i="22"/>
  <c r="Z40" i="22"/>
  <c r="Y40" i="22"/>
  <c r="U63" i="22"/>
  <c r="X66" i="22"/>
  <c r="Z66" i="22"/>
  <c r="Y66" i="22"/>
  <c r="X70" i="22"/>
  <c r="U73" i="22"/>
  <c r="U78" i="22"/>
  <c r="Y80" i="22"/>
  <c r="Z80" i="22"/>
  <c r="Z82" i="22"/>
  <c r="Y82" i="22"/>
  <c r="Y83" i="22"/>
  <c r="Z320" i="22"/>
  <c r="Y320" i="22"/>
  <c r="X320" i="22"/>
  <c r="Z21" i="22"/>
  <c r="Y21" i="22"/>
  <c r="Y29" i="22"/>
  <c r="Z29" i="22"/>
  <c r="Y37" i="22"/>
  <c r="Z37" i="22"/>
  <c r="Z59" i="22"/>
  <c r="Y59" i="22"/>
  <c r="Z75" i="22"/>
  <c r="Y75" i="22"/>
  <c r="U188" i="22"/>
  <c r="S284" i="22"/>
  <c r="U284" i="22" s="1"/>
  <c r="P284" i="22"/>
  <c r="W312" i="22"/>
  <c r="W314" i="22"/>
  <c r="Z311" i="22"/>
  <c r="Y311" i="22"/>
  <c r="X311" i="22"/>
  <c r="W313" i="22"/>
  <c r="W315" i="22"/>
  <c r="S1579" i="22"/>
  <c r="U1579" i="22" s="1"/>
  <c r="P1579" i="22"/>
  <c r="S1595" i="22"/>
  <c r="U1595" i="22" s="1"/>
  <c r="P1595" i="22"/>
  <c r="T43" i="22"/>
  <c r="S85" i="22"/>
  <c r="U85" i="22" s="1"/>
  <c r="Y88" i="22"/>
  <c r="S94" i="22"/>
  <c r="U94" i="22" s="1"/>
  <c r="S95" i="22"/>
  <c r="U95" i="22" s="1"/>
  <c r="U98" i="22"/>
  <c r="X98" i="22" s="1"/>
  <c r="U105" i="22"/>
  <c r="X105" i="22" s="1"/>
  <c r="T109" i="22"/>
  <c r="T113" i="22"/>
  <c r="X133" i="22"/>
  <c r="P134" i="22"/>
  <c r="X134" i="22" s="1"/>
  <c r="U139" i="22"/>
  <c r="X139" i="22" s="1"/>
  <c r="U140" i="22"/>
  <c r="X140" i="22" s="1"/>
  <c r="X153" i="22"/>
  <c r="X163" i="22"/>
  <c r="U183" i="22"/>
  <c r="Z207" i="22"/>
  <c r="Y207" i="22"/>
  <c r="U209" i="22"/>
  <c r="Z215" i="22"/>
  <c r="Y215" i="22"/>
  <c r="U217" i="22"/>
  <c r="Z223" i="22"/>
  <c r="Y223" i="22"/>
  <c r="U225" i="22"/>
  <c r="Z237" i="22"/>
  <c r="Y237" i="22"/>
  <c r="Z242" i="22"/>
  <c r="Y242" i="22"/>
  <c r="Z244" i="22"/>
  <c r="Y244" i="22"/>
  <c r="U245" i="22"/>
  <c r="U251" i="22"/>
  <c r="H255" i="22"/>
  <c r="J255" i="22" s="1"/>
  <c r="U293" i="22"/>
  <c r="R295" i="22"/>
  <c r="W307" i="22"/>
  <c r="W309" i="22"/>
  <c r="W310" i="22"/>
  <c r="W306" i="22"/>
  <c r="W308" i="22"/>
  <c r="Z305" i="22"/>
  <c r="Y305" i="22"/>
  <c r="W316" i="22"/>
  <c r="N334" i="22"/>
  <c r="P346" i="22"/>
  <c r="S346" i="22"/>
  <c r="U346" i="22" s="1"/>
  <c r="Z229" i="22"/>
  <c r="Y229" i="22"/>
  <c r="Z252" i="22"/>
  <c r="Y252" i="22"/>
  <c r="S1531" i="22"/>
  <c r="U1531" i="22" s="1"/>
  <c r="P1531" i="22"/>
  <c r="Y20" i="22"/>
  <c r="Y22" i="22"/>
  <c r="Y25" i="22"/>
  <c r="P26" i="22"/>
  <c r="X26" i="22" s="1"/>
  <c r="P29" i="22"/>
  <c r="X29" i="22" s="1"/>
  <c r="P31" i="22"/>
  <c r="P35" i="22"/>
  <c r="X35" i="22" s="1"/>
  <c r="P37" i="22"/>
  <c r="X37" i="22" s="1"/>
  <c r="P39" i="22"/>
  <c r="P41" i="22"/>
  <c r="X41" i="22" s="1"/>
  <c r="Y45" i="22"/>
  <c r="T46" i="22"/>
  <c r="P47" i="22"/>
  <c r="X47" i="22" s="1"/>
  <c r="Y53" i="22"/>
  <c r="T54" i="22"/>
  <c r="P55" i="22"/>
  <c r="Y61" i="22"/>
  <c r="T62" i="22"/>
  <c r="P63" i="22"/>
  <c r="P76" i="22"/>
  <c r="P78" i="22"/>
  <c r="P80" i="22"/>
  <c r="X80" i="22" s="1"/>
  <c r="U93" i="22"/>
  <c r="U97" i="22"/>
  <c r="T101" i="22"/>
  <c r="S110" i="22"/>
  <c r="U110" i="22" s="1"/>
  <c r="X110" i="22" s="1"/>
  <c r="U129" i="22"/>
  <c r="X129" i="22" s="1"/>
  <c r="U147" i="22"/>
  <c r="W173" i="22"/>
  <c r="W172" i="22"/>
  <c r="Z171" i="22"/>
  <c r="Y171" i="22"/>
  <c r="Z208" i="22"/>
  <c r="Y208" i="22"/>
  <c r="Z216" i="22"/>
  <c r="Y216" i="22"/>
  <c r="X229" i="22"/>
  <c r="Z246" i="22"/>
  <c r="Y246" i="22"/>
  <c r="X252" i="22"/>
  <c r="R264" i="22"/>
  <c r="U260" i="22"/>
  <c r="X270" i="22"/>
  <c r="X278" i="22"/>
  <c r="S292" i="22"/>
  <c r="U292" i="22" s="1"/>
  <c r="P292" i="22"/>
  <c r="U296" i="22"/>
  <c r="X317" i="22"/>
  <c r="W327" i="22"/>
  <c r="W328" i="22"/>
  <c r="W324" i="22"/>
  <c r="W326" i="22"/>
  <c r="Z323" i="22"/>
  <c r="Y323" i="22"/>
  <c r="N364" i="22"/>
  <c r="W379" i="22"/>
  <c r="W381" i="22"/>
  <c r="W382" i="22"/>
  <c r="W378" i="22"/>
  <c r="Z377" i="22"/>
  <c r="W380" i="22"/>
  <c r="Y377" i="22"/>
  <c r="R394" i="22"/>
  <c r="U412" i="22"/>
  <c r="X547" i="22"/>
  <c r="W548" i="22"/>
  <c r="W550" i="22"/>
  <c r="Z241" i="22"/>
  <c r="X99" i="22"/>
  <c r="S102" i="22"/>
  <c r="U102" i="22" s="1"/>
  <c r="X102" i="22" s="1"/>
  <c r="Z123" i="22"/>
  <c r="U127" i="22"/>
  <c r="X127" i="22" s="1"/>
  <c r="U128" i="22"/>
  <c r="U130" i="22"/>
  <c r="Y132" i="22"/>
  <c r="X132" i="22"/>
  <c r="W157" i="22"/>
  <c r="Z156" i="22"/>
  <c r="Y156" i="22"/>
  <c r="X156" i="22"/>
  <c r="W158" i="22"/>
  <c r="Z186" i="22"/>
  <c r="Y186" i="22"/>
  <c r="R234" i="22"/>
  <c r="U233" i="22"/>
  <c r="Z239" i="22"/>
  <c r="Y239" i="22"/>
  <c r="S243" i="22"/>
  <c r="U243" i="22" s="1"/>
  <c r="P243" i="22"/>
  <c r="Z254" i="22"/>
  <c r="Y254" i="22"/>
  <c r="N286" i="22"/>
  <c r="S289" i="22"/>
  <c r="U289" i="22" s="1"/>
  <c r="P289" i="22"/>
  <c r="P298" i="22"/>
  <c r="S298" i="22"/>
  <c r="U298" i="22" s="1"/>
  <c r="H323" i="22"/>
  <c r="J323" i="22" s="1"/>
  <c r="R334" i="22"/>
  <c r="U329" i="22"/>
  <c r="Z463" i="22"/>
  <c r="Y463" i="22"/>
  <c r="Z508" i="22"/>
  <c r="Y508" i="22"/>
  <c r="Z558" i="22"/>
  <c r="Y558" i="22"/>
  <c r="X558" i="22"/>
  <c r="Y591" i="22"/>
  <c r="Z591" i="22"/>
  <c r="Z670" i="22"/>
  <c r="Y670" i="22"/>
  <c r="X670" i="22"/>
  <c r="Z203" i="22"/>
  <c r="Y203" i="22"/>
  <c r="Z99" i="22"/>
  <c r="W155" i="22"/>
  <c r="Y153" i="22"/>
  <c r="S159" i="22"/>
  <c r="U159" i="22" s="1"/>
  <c r="P159" i="22"/>
  <c r="Z185" i="22"/>
  <c r="Y185" i="22"/>
  <c r="S193" i="22"/>
  <c r="U193" i="22" s="1"/>
  <c r="P193" i="22"/>
  <c r="X203" i="22"/>
  <c r="X211" i="22"/>
  <c r="X219" i="22"/>
  <c r="S230" i="22"/>
  <c r="P230" i="22"/>
  <c r="S247" i="22"/>
  <c r="U247" i="22" s="1"/>
  <c r="P247" i="22"/>
  <c r="Z253" i="22"/>
  <c r="Y253" i="22"/>
  <c r="S259" i="22"/>
  <c r="P259" i="22"/>
  <c r="H305" i="22"/>
  <c r="J305" i="22" s="1"/>
  <c r="S371" i="22"/>
  <c r="U371" i="22" s="1"/>
  <c r="P371" i="22"/>
  <c r="Z487" i="22"/>
  <c r="Y487" i="22"/>
  <c r="Z512" i="22"/>
  <c r="Y512" i="22"/>
  <c r="W684" i="22"/>
  <c r="W681" i="22"/>
  <c r="Z680" i="22"/>
  <c r="Y680" i="22"/>
  <c r="W685" i="22"/>
  <c r="W683" i="22"/>
  <c r="W682" i="22"/>
  <c r="Z951" i="22"/>
  <c r="Y951" i="22"/>
  <c r="Z184" i="22"/>
  <c r="Y184" i="22"/>
  <c r="Z211" i="22"/>
  <c r="Y211" i="22"/>
  <c r="Z219" i="22"/>
  <c r="Y219" i="22"/>
  <c r="W303" i="22"/>
  <c r="Z302" i="22"/>
  <c r="W304" i="22"/>
  <c r="Y302" i="22"/>
  <c r="S407" i="22"/>
  <c r="U407" i="22" s="1"/>
  <c r="P407" i="22"/>
  <c r="S1547" i="22"/>
  <c r="U1547" i="22" s="1"/>
  <c r="P1547" i="22"/>
  <c r="X19" i="22"/>
  <c r="T47" i="22"/>
  <c r="P48" i="22"/>
  <c r="X48" i="22" s="1"/>
  <c r="T55" i="22"/>
  <c r="P56" i="22"/>
  <c r="X56" i="22" s="1"/>
  <c r="T63" i="22"/>
  <c r="P64" i="22"/>
  <c r="P69" i="22"/>
  <c r="P71" i="22"/>
  <c r="X71" i="22" s="1"/>
  <c r="P73" i="22"/>
  <c r="P75" i="22"/>
  <c r="X75" i="22" s="1"/>
  <c r="P81" i="22"/>
  <c r="U86" i="22"/>
  <c r="P88" i="22"/>
  <c r="X88" i="22" s="1"/>
  <c r="Z100" i="22"/>
  <c r="X101" i="22"/>
  <c r="Z109" i="22"/>
  <c r="X118" i="22"/>
  <c r="P121" i="22"/>
  <c r="P123" i="22"/>
  <c r="X123" i="22" s="1"/>
  <c r="Z133" i="22"/>
  <c r="W178" i="22"/>
  <c r="W162" i="22"/>
  <c r="W142" i="22"/>
  <c r="Z141" i="22"/>
  <c r="W182" i="22"/>
  <c r="W166" i="22"/>
  <c r="W170" i="22"/>
  <c r="W143" i="22"/>
  <c r="W192" i="22"/>
  <c r="W174" i="22"/>
  <c r="U150" i="22"/>
  <c r="X150" i="22" s="1"/>
  <c r="Z153" i="22"/>
  <c r="W154" i="22"/>
  <c r="U167" i="22"/>
  <c r="W180" i="22"/>
  <c r="Z179" i="22"/>
  <c r="Y179" i="22"/>
  <c r="W181" i="22"/>
  <c r="Z199" i="22"/>
  <c r="Y199" i="22"/>
  <c r="U204" i="22"/>
  <c r="T204" i="22"/>
  <c r="U212" i="22"/>
  <c r="T212" i="22"/>
  <c r="U220" i="22"/>
  <c r="T220" i="22"/>
  <c r="N232" i="22"/>
  <c r="U248" i="22"/>
  <c r="Z249" i="22"/>
  <c r="Y249" i="22"/>
  <c r="S255" i="22"/>
  <c r="U255" i="22" s="1"/>
  <c r="P255" i="22"/>
  <c r="S269" i="22"/>
  <c r="U269" i="22" s="1"/>
  <c r="P269" i="22"/>
  <c r="W279" i="22"/>
  <c r="Z278" i="22"/>
  <c r="W280" i="22"/>
  <c r="Y278" i="22"/>
  <c r="X302" i="22"/>
  <c r="Y317" i="22"/>
  <c r="W319" i="22"/>
  <c r="W321" i="22"/>
  <c r="W322" i="22"/>
  <c r="W318" i="22"/>
  <c r="S328" i="22"/>
  <c r="U328" i="22" s="1"/>
  <c r="P328" i="22"/>
  <c r="R364" i="22"/>
  <c r="U359" i="22"/>
  <c r="U418" i="22"/>
  <c r="Z483" i="22"/>
  <c r="Y483" i="22"/>
  <c r="Z541" i="22"/>
  <c r="Y541" i="22"/>
  <c r="Z113" i="22"/>
  <c r="Y113" i="22"/>
  <c r="W271" i="22"/>
  <c r="Z270" i="22"/>
  <c r="Y270" i="22"/>
  <c r="W273" i="22"/>
  <c r="W274" i="22"/>
  <c r="W272" i="22"/>
  <c r="Z496" i="22"/>
  <c r="Y496" i="22"/>
  <c r="T50" i="22"/>
  <c r="T58" i="22"/>
  <c r="T66" i="22"/>
  <c r="S91" i="22"/>
  <c r="U91" i="22" s="1"/>
  <c r="X92" i="22"/>
  <c r="Z101" i="22"/>
  <c r="S111" i="22"/>
  <c r="U111" i="22" s="1"/>
  <c r="P111" i="22"/>
  <c r="Z118" i="22"/>
  <c r="U121" i="22"/>
  <c r="U144" i="22"/>
  <c r="X185" i="22"/>
  <c r="U196" i="22"/>
  <c r="U206" i="22"/>
  <c r="U214" i="22"/>
  <c r="U222" i="22"/>
  <c r="W291" i="22"/>
  <c r="Z290" i="22"/>
  <c r="W292" i="22"/>
  <c r="Y290" i="22"/>
  <c r="Z317" i="22"/>
  <c r="U352" i="22"/>
  <c r="U376" i="22"/>
  <c r="U388" i="22"/>
  <c r="Z471" i="22"/>
  <c r="Y471" i="22"/>
  <c r="Z480" i="22"/>
  <c r="Y480" i="22"/>
  <c r="X480" i="22"/>
  <c r="Z523" i="22"/>
  <c r="Y523" i="22"/>
  <c r="S579" i="22"/>
  <c r="U579" i="22" s="1"/>
  <c r="P579" i="22"/>
  <c r="J804" i="22"/>
  <c r="U816" i="22"/>
  <c r="T816" i="22"/>
  <c r="U106" i="22"/>
  <c r="P274" i="22"/>
  <c r="S274" i="22"/>
  <c r="U274" i="22" s="1"/>
  <c r="Z569" i="22"/>
  <c r="Y569" i="22"/>
  <c r="Z1429" i="22"/>
  <c r="Y1429" i="22"/>
  <c r="S1563" i="22"/>
  <c r="P1563" i="22"/>
  <c r="S84" i="22"/>
  <c r="U84" i="22" s="1"/>
  <c r="Z87" i="22"/>
  <c r="Y87" i="22"/>
  <c r="S89" i="22"/>
  <c r="U89" i="22" s="1"/>
  <c r="S103" i="22"/>
  <c r="U103" i="22" s="1"/>
  <c r="P103" i="22"/>
  <c r="U107" i="22"/>
  <c r="X108" i="22"/>
  <c r="U114" i="22"/>
  <c r="U117" i="22"/>
  <c r="Z119" i="22"/>
  <c r="X120" i="22"/>
  <c r="U122" i="22"/>
  <c r="X122" i="22" s="1"/>
  <c r="S131" i="22"/>
  <c r="U131" i="22" s="1"/>
  <c r="P131" i="22"/>
  <c r="W164" i="22"/>
  <c r="Z163" i="22"/>
  <c r="Y163" i="22"/>
  <c r="W165" i="22"/>
  <c r="S175" i="22"/>
  <c r="U175" i="22" s="1"/>
  <c r="P175" i="22"/>
  <c r="S187" i="22"/>
  <c r="U187" i="22" s="1"/>
  <c r="P187" i="22"/>
  <c r="Z189" i="22"/>
  <c r="Y189" i="22"/>
  <c r="S205" i="22"/>
  <c r="U205" i="22" s="1"/>
  <c r="P205" i="22"/>
  <c r="S213" i="22"/>
  <c r="U213" i="22" s="1"/>
  <c r="P213" i="22"/>
  <c r="S221" i="22"/>
  <c r="U221" i="22" s="1"/>
  <c r="P221" i="22"/>
  <c r="W269" i="22"/>
  <c r="W267" i="22"/>
  <c r="W266" i="22"/>
  <c r="Z265" i="22"/>
  <c r="Y265" i="22"/>
  <c r="N316" i="22"/>
  <c r="S358" i="22"/>
  <c r="U358" i="22" s="1"/>
  <c r="P358" i="22"/>
  <c r="Z504" i="22"/>
  <c r="Y504" i="22"/>
  <c r="W540" i="22"/>
  <c r="W538" i="22"/>
  <c r="Z537" i="22"/>
  <c r="Y537" i="22"/>
  <c r="W539" i="22"/>
  <c r="Z633" i="22"/>
  <c r="Y633" i="22"/>
  <c r="T98" i="22"/>
  <c r="T106" i="22"/>
  <c r="T114" i="22"/>
  <c r="T209" i="22"/>
  <c r="T217" i="22"/>
  <c r="T225" i="22"/>
  <c r="U231" i="22"/>
  <c r="U275" i="22"/>
  <c r="U299" i="22"/>
  <c r="R310" i="22"/>
  <c r="H311" i="22"/>
  <c r="J311" i="22" s="1"/>
  <c r="U347" i="22"/>
  <c r="H353" i="22"/>
  <c r="J353" i="22" s="1"/>
  <c r="U383" i="22"/>
  <c r="U466" i="22"/>
  <c r="X482" i="22"/>
  <c r="U486" i="22"/>
  <c r="X486" i="22" s="1"/>
  <c r="U490" i="22"/>
  <c r="U493" i="22"/>
  <c r="U500" i="22"/>
  <c r="X500" i="22" s="1"/>
  <c r="T505" i="22"/>
  <c r="S522" i="22"/>
  <c r="U522" i="22" s="1"/>
  <c r="P522" i="22"/>
  <c r="Z525" i="22"/>
  <c r="Y525" i="22"/>
  <c r="U526" i="22"/>
  <c r="X526" i="22" s="1"/>
  <c r="Z546" i="22"/>
  <c r="Y546" i="22"/>
  <c r="Z565" i="22"/>
  <c r="Y565" i="22"/>
  <c r="U567" i="22"/>
  <c r="X567" i="22" s="1"/>
  <c r="Z576" i="22"/>
  <c r="Z577" i="22"/>
  <c r="Y577" i="22"/>
  <c r="U601" i="22"/>
  <c r="X601" i="22" s="1"/>
  <c r="U630" i="22"/>
  <c r="U636" i="22"/>
  <c r="X636" i="22" s="1"/>
  <c r="X668" i="22"/>
  <c r="R715" i="22"/>
  <c r="U710" i="22"/>
  <c r="X710" i="22" s="1"/>
  <c r="X739" i="22"/>
  <c r="Y778" i="22"/>
  <c r="Z778" i="22"/>
  <c r="Z841" i="22"/>
  <c r="Y841" i="22"/>
  <c r="Z845" i="22"/>
  <c r="Y845" i="22"/>
  <c r="Z849" i="22"/>
  <c r="Y849" i="22"/>
  <c r="Z853" i="22"/>
  <c r="Y853" i="22"/>
  <c r="Z857" i="22"/>
  <c r="Y857" i="22"/>
  <c r="Z861" i="22"/>
  <c r="Y861" i="22"/>
  <c r="Z865" i="22"/>
  <c r="Y865" i="22"/>
  <c r="Z869" i="22"/>
  <c r="Y869" i="22"/>
  <c r="Z873" i="22"/>
  <c r="Y873" i="22"/>
  <c r="Z877" i="22"/>
  <c r="Y877" i="22"/>
  <c r="Z881" i="22"/>
  <c r="Y881" i="22"/>
  <c r="Z885" i="22"/>
  <c r="Y885" i="22"/>
  <c r="Z890" i="22"/>
  <c r="Y890" i="22"/>
  <c r="Z910" i="22"/>
  <c r="Y910" i="22"/>
  <c r="S913" i="22"/>
  <c r="U913" i="22" s="1"/>
  <c r="P913" i="22"/>
  <c r="R230" i="22"/>
  <c r="R259" i="22"/>
  <c r="U353" i="22"/>
  <c r="U507" i="22"/>
  <c r="U510" i="22"/>
  <c r="X510" i="22" s="1"/>
  <c r="U516" i="22"/>
  <c r="X516" i="22" s="1"/>
  <c r="Z520" i="22"/>
  <c r="Y520" i="22"/>
  <c r="U529" i="22"/>
  <c r="X529" i="22" s="1"/>
  <c r="X537" i="22"/>
  <c r="H547" i="22"/>
  <c r="J547" i="22" s="1"/>
  <c r="U552" i="22"/>
  <c r="X552" i="22" s="1"/>
  <c r="U556" i="22"/>
  <c r="Z573" i="22"/>
  <c r="Y573" i="22"/>
  <c r="U575" i="22"/>
  <c r="S613" i="22"/>
  <c r="U613" i="22" s="1"/>
  <c r="P613" i="22"/>
  <c r="U617" i="22"/>
  <c r="U621" i="22"/>
  <c r="Z622" i="22"/>
  <c r="Y622" i="22"/>
  <c r="Z624" i="22"/>
  <c r="Y624" i="22"/>
  <c r="X680" i="22"/>
  <c r="Z689" i="22"/>
  <c r="Y689" i="22"/>
  <c r="R709" i="22"/>
  <c r="Z717" i="22"/>
  <c r="Y717" i="22"/>
  <c r="P725" i="22"/>
  <c r="S725" i="22"/>
  <c r="U725" i="22" s="1"/>
  <c r="Z727" i="22"/>
  <c r="Y727" i="22"/>
  <c r="S733" i="22"/>
  <c r="U733" i="22" s="1"/>
  <c r="P733" i="22"/>
  <c r="Z736" i="22"/>
  <c r="Y736" i="22"/>
  <c r="T749" i="22"/>
  <c r="S766" i="22"/>
  <c r="U766" i="22" s="1"/>
  <c r="P766" i="22"/>
  <c r="U808" i="22"/>
  <c r="T808" i="22"/>
  <c r="Z935" i="22"/>
  <c r="Y935" i="22"/>
  <c r="X951" i="22"/>
  <c r="Z966" i="22"/>
  <c r="Y966" i="22"/>
  <c r="Z967" i="22"/>
  <c r="Y967" i="22"/>
  <c r="P1050" i="22"/>
  <c r="S1050" i="22"/>
  <c r="U1050" i="22" s="1"/>
  <c r="Z1117" i="22"/>
  <c r="Y1117" i="22"/>
  <c r="U465" i="22"/>
  <c r="X465" i="22" s="1"/>
  <c r="Z468" i="22"/>
  <c r="Y468" i="22"/>
  <c r="S488" i="22"/>
  <c r="U488" i="22" s="1"/>
  <c r="P488" i="22"/>
  <c r="X489" i="22"/>
  <c r="Z499" i="22"/>
  <c r="Y499" i="22"/>
  <c r="S506" i="22"/>
  <c r="U506" i="22" s="1"/>
  <c r="P506" i="22"/>
  <c r="U513" i="22"/>
  <c r="X513" i="22" s="1"/>
  <c r="T513" i="22"/>
  <c r="Z524" i="22"/>
  <c r="Y524" i="22"/>
  <c r="S542" i="22"/>
  <c r="U542" i="22" s="1"/>
  <c r="P542" i="22"/>
  <c r="Z581" i="22"/>
  <c r="Y581" i="22"/>
  <c r="U586" i="22"/>
  <c r="X586" i="22" s="1"/>
  <c r="H609" i="22"/>
  <c r="J609" i="22" s="1"/>
  <c r="U644" i="22"/>
  <c r="R649" i="22"/>
  <c r="H668" i="22"/>
  <c r="J668" i="22" s="1"/>
  <c r="Y720" i="22"/>
  <c r="Z720" i="22"/>
  <c r="Z741" i="22"/>
  <c r="Y741" i="22"/>
  <c r="X741" i="22"/>
  <c r="Z772" i="22"/>
  <c r="Y772" i="22"/>
  <c r="X772" i="22"/>
  <c r="Z799" i="22"/>
  <c r="Y799" i="22"/>
  <c r="Z835" i="22"/>
  <c r="Y835" i="22"/>
  <c r="Z959" i="22"/>
  <c r="Y959" i="22"/>
  <c r="N264" i="22"/>
  <c r="N277" i="22"/>
  <c r="R286" i="22"/>
  <c r="N301" i="22"/>
  <c r="J306" i="22"/>
  <c r="N322" i="22"/>
  <c r="S461" i="22"/>
  <c r="U461" i="22" s="1"/>
  <c r="P461" i="22"/>
  <c r="U462" i="22"/>
  <c r="X462" i="22" s="1"/>
  <c r="Z482" i="22"/>
  <c r="Y482" i="22"/>
  <c r="S484" i="22"/>
  <c r="U484" i="22" s="1"/>
  <c r="P484" i="22"/>
  <c r="Z489" i="22"/>
  <c r="Y489" i="22"/>
  <c r="Z515" i="22"/>
  <c r="Y515" i="22"/>
  <c r="Z519" i="22"/>
  <c r="T525" i="22"/>
  <c r="U562" i="22"/>
  <c r="X562" i="22" s="1"/>
  <c r="T562" i="22"/>
  <c r="X569" i="22"/>
  <c r="T582" i="22"/>
  <c r="S623" i="22"/>
  <c r="U623" i="22" s="1"/>
  <c r="P623" i="22"/>
  <c r="Y634" i="22"/>
  <c r="Z634" i="22"/>
  <c r="N667" i="22"/>
  <c r="Y726" i="22"/>
  <c r="Z726" i="22"/>
  <c r="U738" i="22"/>
  <c r="U832" i="22"/>
  <c r="T832" i="22"/>
  <c r="U904" i="22"/>
  <c r="X904" i="22" s="1"/>
  <c r="P186" i="22"/>
  <c r="X186" i="22" s="1"/>
  <c r="P196" i="22"/>
  <c r="X196" i="22" s="1"/>
  <c r="P200" i="22"/>
  <c r="T205" i="22"/>
  <c r="P206" i="22"/>
  <c r="T213" i="22"/>
  <c r="P214" i="22"/>
  <c r="T221" i="22"/>
  <c r="P222" i="22"/>
  <c r="P231" i="22"/>
  <c r="P234" i="22"/>
  <c r="P239" i="22"/>
  <c r="X239" i="22" s="1"/>
  <c r="P254" i="22"/>
  <c r="X254" i="22" s="1"/>
  <c r="P275" i="22"/>
  <c r="P280" i="22"/>
  <c r="R283" i="22"/>
  <c r="P299" i="22"/>
  <c r="P304" i="22"/>
  <c r="J324" i="22"/>
  <c r="P340" i="22"/>
  <c r="P347" i="22"/>
  <c r="U365" i="22"/>
  <c r="X365" i="22" s="1"/>
  <c r="P376" i="22"/>
  <c r="N382" i="22"/>
  <c r="P383" i="22"/>
  <c r="U401" i="22"/>
  <c r="P412" i="22"/>
  <c r="S425" i="22"/>
  <c r="U425" i="22" s="1"/>
  <c r="P425" i="22"/>
  <c r="H431" i="22"/>
  <c r="J431" i="22" s="1"/>
  <c r="X453" i="22"/>
  <c r="U459" i="22"/>
  <c r="W479" i="22"/>
  <c r="W481" i="22"/>
  <c r="W478" i="22"/>
  <c r="Z477" i="22"/>
  <c r="Y477" i="22"/>
  <c r="U485" i="22"/>
  <c r="X485" i="22" s="1"/>
  <c r="Z491" i="22"/>
  <c r="Y491" i="22"/>
  <c r="U492" i="22"/>
  <c r="S494" i="22"/>
  <c r="U494" i="22" s="1"/>
  <c r="P494" i="22"/>
  <c r="U501" i="22"/>
  <c r="U509" i="22"/>
  <c r="S514" i="22"/>
  <c r="U514" i="22" s="1"/>
  <c r="P514" i="22"/>
  <c r="Z517" i="22"/>
  <c r="Y517" i="22"/>
  <c r="X524" i="22"/>
  <c r="Z531" i="22"/>
  <c r="Y531" i="22"/>
  <c r="H537" i="22"/>
  <c r="J537" i="22" s="1"/>
  <c r="U560" i="22"/>
  <c r="Z564" i="22"/>
  <c r="Y564" i="22"/>
  <c r="U570" i="22"/>
  <c r="X570" i="22" s="1"/>
  <c r="T570" i="22"/>
  <c r="X581" i="22"/>
  <c r="S588" i="22"/>
  <c r="U588" i="22" s="1"/>
  <c r="P588" i="22"/>
  <c r="U598" i="22"/>
  <c r="Z604" i="22"/>
  <c r="Y604" i="22"/>
  <c r="H605" i="22"/>
  <c r="J605" i="22" s="1"/>
  <c r="X633" i="22"/>
  <c r="R661" i="22"/>
  <c r="U656" i="22"/>
  <c r="U679" i="22"/>
  <c r="X689" i="22"/>
  <c r="W701" i="22"/>
  <c r="P718" i="22"/>
  <c r="S718" i="22"/>
  <c r="U718" i="22" s="1"/>
  <c r="X720" i="22"/>
  <c r="Y763" i="22"/>
  <c r="Z763" i="22"/>
  <c r="Z943" i="22"/>
  <c r="Y943" i="22"/>
  <c r="U944" i="22"/>
  <c r="X944" i="22" s="1"/>
  <c r="S961" i="22"/>
  <c r="U961" i="22" s="1"/>
  <c r="P961" i="22"/>
  <c r="W439" i="22"/>
  <c r="W441" i="22"/>
  <c r="W442" i="22"/>
  <c r="W438" i="22"/>
  <c r="Z437" i="22"/>
  <c r="Y437" i="22"/>
  <c r="W440" i="22"/>
  <c r="U464" i="22"/>
  <c r="S469" i="22"/>
  <c r="U469" i="22" s="1"/>
  <c r="P469" i="22"/>
  <c r="U472" i="22"/>
  <c r="U497" i="22"/>
  <c r="Z498" i="22"/>
  <c r="Y498" i="22"/>
  <c r="U518" i="22"/>
  <c r="U527" i="22"/>
  <c r="U536" i="22"/>
  <c r="X541" i="22"/>
  <c r="Z547" i="22"/>
  <c r="Y547" i="22"/>
  <c r="W549" i="22"/>
  <c r="U551" i="22"/>
  <c r="S563" i="22"/>
  <c r="U563" i="22" s="1"/>
  <c r="P563" i="22"/>
  <c r="U568" i="22"/>
  <c r="U578" i="22"/>
  <c r="X578" i="22" s="1"/>
  <c r="T578" i="22"/>
  <c r="U589" i="22"/>
  <c r="X589" i="22" s="1"/>
  <c r="Z603" i="22"/>
  <c r="Y603" i="22"/>
  <c r="S626" i="22"/>
  <c r="U626" i="22" s="1"/>
  <c r="P626" i="22"/>
  <c r="Z632" i="22"/>
  <c r="Y632" i="22"/>
  <c r="N643" i="22"/>
  <c r="N691" i="22"/>
  <c r="Y730" i="22"/>
  <c r="Z730" i="22"/>
  <c r="Z775" i="22"/>
  <c r="Y775" i="22"/>
  <c r="U824" i="22"/>
  <c r="T824" i="22"/>
  <c r="Z899" i="22"/>
  <c r="Y899" i="22"/>
  <c r="U413" i="22"/>
  <c r="U443" i="22"/>
  <c r="Y453" i="22"/>
  <c r="W456" i="22"/>
  <c r="W455" i="22"/>
  <c r="W457" i="22"/>
  <c r="W454" i="22"/>
  <c r="Z458" i="22"/>
  <c r="Y458" i="22"/>
  <c r="Z460" i="22"/>
  <c r="Y460" i="22"/>
  <c r="U467" i="22"/>
  <c r="X467" i="22" s="1"/>
  <c r="X508" i="22"/>
  <c r="U521" i="22"/>
  <c r="T521" i="22"/>
  <c r="Z561" i="22"/>
  <c r="Y561" i="22"/>
  <c r="S571" i="22"/>
  <c r="U571" i="22" s="1"/>
  <c r="P571" i="22"/>
  <c r="Z599" i="22"/>
  <c r="Y599" i="22"/>
  <c r="H613" i="22"/>
  <c r="J613" i="22" s="1"/>
  <c r="U627" i="22"/>
  <c r="X627" i="22" s="1"/>
  <c r="Z628" i="22"/>
  <c r="Y628" i="22"/>
  <c r="S655" i="22"/>
  <c r="U655" i="22" s="1"/>
  <c r="P655" i="22"/>
  <c r="W673" i="22"/>
  <c r="W672" i="22"/>
  <c r="Z668" i="22"/>
  <c r="W669" i="22"/>
  <c r="Y668" i="22"/>
  <c r="W671" i="22"/>
  <c r="Z737" i="22"/>
  <c r="Y737" i="22"/>
  <c r="Z739" i="22"/>
  <c r="Y739" i="22"/>
  <c r="U760" i="22"/>
  <c r="T760" i="22"/>
  <c r="Z767" i="22"/>
  <c r="Y767" i="22"/>
  <c r="U798" i="22"/>
  <c r="P805" i="22"/>
  <c r="S805" i="22"/>
  <c r="U805" i="22" s="1"/>
  <c r="P419" i="22"/>
  <c r="S448" i="22"/>
  <c r="U448" i="22" s="1"/>
  <c r="P464" i="22"/>
  <c r="S470" i="22"/>
  <c r="U470" i="22" s="1"/>
  <c r="X470" i="22" s="1"/>
  <c r="P472" i="22"/>
  <c r="S495" i="22"/>
  <c r="U495" i="22" s="1"/>
  <c r="P497" i="22"/>
  <c r="P503" i="22"/>
  <c r="S505" i="22"/>
  <c r="U505" i="22" s="1"/>
  <c r="T510" i="22"/>
  <c r="P511" i="22"/>
  <c r="X511" i="22" s="1"/>
  <c r="T518" i="22"/>
  <c r="P519" i="22"/>
  <c r="X519" i="22" s="1"/>
  <c r="T526" i="22"/>
  <c r="P527" i="22"/>
  <c r="Y530" i="22"/>
  <c r="P551" i="22"/>
  <c r="T559" i="22"/>
  <c r="P560" i="22"/>
  <c r="Y566" i="22"/>
  <c r="T567" i="22"/>
  <c r="P568" i="22"/>
  <c r="Y574" i="22"/>
  <c r="T575" i="22"/>
  <c r="P576" i="22"/>
  <c r="X576" i="22" s="1"/>
  <c r="Y582" i="22"/>
  <c r="Y584" i="22"/>
  <c r="P585" i="22"/>
  <c r="X585" i="22" s="1"/>
  <c r="P591" i="22"/>
  <c r="X591" i="22" s="1"/>
  <c r="Y593" i="22"/>
  <c r="P597" i="22"/>
  <c r="X597" i="22" s="1"/>
  <c r="P600" i="22"/>
  <c r="X600" i="22" s="1"/>
  <c r="Y602" i="22"/>
  <c r="P629" i="22"/>
  <c r="X629" i="22" s="1"/>
  <c r="Y631" i="22"/>
  <c r="P634" i="22"/>
  <c r="X634" i="22" s="1"/>
  <c r="Y635" i="22"/>
  <c r="R638" i="22"/>
  <c r="Z639" i="22"/>
  <c r="S640" i="22"/>
  <c r="U640" i="22" s="1"/>
  <c r="Y650" i="22"/>
  <c r="W654" i="22"/>
  <c r="Y662" i="22"/>
  <c r="U674" i="22"/>
  <c r="Y686" i="22"/>
  <c r="Y692" i="22"/>
  <c r="S704" i="22"/>
  <c r="U704" i="22" s="1"/>
  <c r="S721" i="22"/>
  <c r="U721" i="22" s="1"/>
  <c r="S732" i="22"/>
  <c r="U732" i="22" s="1"/>
  <c r="S749" i="22"/>
  <c r="U749" i="22" s="1"/>
  <c r="X767" i="22"/>
  <c r="U768" i="22"/>
  <c r="X768" i="22" s="1"/>
  <c r="T768" i="22"/>
  <c r="Z770" i="22"/>
  <c r="S774" i="22"/>
  <c r="U774" i="22" s="1"/>
  <c r="P774" i="22"/>
  <c r="S777" i="22"/>
  <c r="U777" i="22" s="1"/>
  <c r="Z800" i="22"/>
  <c r="X810" i="22"/>
  <c r="X818" i="22"/>
  <c r="X826" i="22"/>
  <c r="X834" i="22"/>
  <c r="X889" i="22"/>
  <c r="U893" i="22"/>
  <c r="X893" i="22" s="1"/>
  <c r="X906" i="22"/>
  <c r="Z911" i="22"/>
  <c r="Y911" i="22"/>
  <c r="U933" i="22"/>
  <c r="X933" i="22" s="1"/>
  <c r="U936" i="22"/>
  <c r="X943" i="22"/>
  <c r="X946" i="22"/>
  <c r="S953" i="22"/>
  <c r="U953" i="22" s="1"/>
  <c r="P953" i="22"/>
  <c r="Z958" i="22"/>
  <c r="Y958" i="22"/>
  <c r="Z970" i="22"/>
  <c r="Y970" i="22"/>
  <c r="S1075" i="22"/>
  <c r="U1075" i="22" s="1"/>
  <c r="P1075" i="22"/>
  <c r="S1091" i="22"/>
  <c r="U1091" i="22" s="1"/>
  <c r="P1091" i="22"/>
  <c r="S1107" i="22"/>
  <c r="U1107" i="22" s="1"/>
  <c r="P1107" i="22"/>
  <c r="Z1116" i="22"/>
  <c r="Y1116" i="22"/>
  <c r="X1116" i="22"/>
  <c r="S1171" i="22"/>
  <c r="U1171" i="22" s="1"/>
  <c r="P1171" i="22"/>
  <c r="Z1180" i="22"/>
  <c r="Y1180" i="22"/>
  <c r="X1180" i="22"/>
  <c r="N424" i="22"/>
  <c r="Z593" i="22"/>
  <c r="W594" i="22"/>
  <c r="Z650" i="22"/>
  <c r="W651" i="22"/>
  <c r="Z662" i="22"/>
  <c r="W663" i="22"/>
  <c r="W666" i="22"/>
  <c r="Z686" i="22"/>
  <c r="W687" i="22"/>
  <c r="W690" i="22"/>
  <c r="Z692" i="22"/>
  <c r="S728" i="22"/>
  <c r="U728" i="22" s="1"/>
  <c r="Z751" i="22"/>
  <c r="Y751" i="22"/>
  <c r="X775" i="22"/>
  <c r="U776" i="22"/>
  <c r="T776" i="22"/>
  <c r="Z779" i="22"/>
  <c r="Y779" i="22"/>
  <c r="S792" i="22"/>
  <c r="U792" i="22" s="1"/>
  <c r="S796" i="22"/>
  <c r="U796" i="22" s="1"/>
  <c r="X796" i="22" s="1"/>
  <c r="J800" i="22"/>
  <c r="S809" i="22"/>
  <c r="U809" i="22" s="1"/>
  <c r="P809" i="22"/>
  <c r="Z810" i="22"/>
  <c r="Y810" i="22"/>
  <c r="X813" i="22"/>
  <c r="S817" i="22"/>
  <c r="U817" i="22" s="1"/>
  <c r="P817" i="22"/>
  <c r="Z818" i="22"/>
  <c r="Y818" i="22"/>
  <c r="X821" i="22"/>
  <c r="S825" i="22"/>
  <c r="U825" i="22" s="1"/>
  <c r="P825" i="22"/>
  <c r="Z826" i="22"/>
  <c r="Y826" i="22"/>
  <c r="X829" i="22"/>
  <c r="S833" i="22"/>
  <c r="U833" i="22" s="1"/>
  <c r="P833" i="22"/>
  <c r="X841" i="22"/>
  <c r="Z842" i="22"/>
  <c r="Y842" i="22"/>
  <c r="X845" i="22"/>
  <c r="Z846" i="22"/>
  <c r="Y846" i="22"/>
  <c r="X849" i="22"/>
  <c r="Z850" i="22"/>
  <c r="Y850" i="22"/>
  <c r="X853" i="22"/>
  <c r="Z854" i="22"/>
  <c r="Y854" i="22"/>
  <c r="X857" i="22"/>
  <c r="Z858" i="22"/>
  <c r="Y858" i="22"/>
  <c r="X861" i="22"/>
  <c r="Z862" i="22"/>
  <c r="Y862" i="22"/>
  <c r="X865" i="22"/>
  <c r="Z866" i="22"/>
  <c r="Y866" i="22"/>
  <c r="X869" i="22"/>
  <c r="Z870" i="22"/>
  <c r="Y870" i="22"/>
  <c r="X873" i="22"/>
  <c r="Z874" i="22"/>
  <c r="Y874" i="22"/>
  <c r="X877" i="22"/>
  <c r="Z878" i="22"/>
  <c r="Y878" i="22"/>
  <c r="X881" i="22"/>
  <c r="Z882" i="22"/>
  <c r="Y882" i="22"/>
  <c r="X885" i="22"/>
  <c r="Z886" i="22"/>
  <c r="Y886" i="22"/>
  <c r="Z891" i="22"/>
  <c r="Y891" i="22"/>
  <c r="X895" i="22"/>
  <c r="U896" i="22"/>
  <c r="X896" i="22" s="1"/>
  <c r="X899" i="22"/>
  <c r="Z902" i="22"/>
  <c r="Y902" i="22"/>
  <c r="S905" i="22"/>
  <c r="U905" i="22" s="1"/>
  <c r="P905" i="22"/>
  <c r="Z914" i="22"/>
  <c r="Y914" i="22"/>
  <c r="U928" i="22"/>
  <c r="X935" i="22"/>
  <c r="S945" i="22"/>
  <c r="U945" i="22" s="1"/>
  <c r="P945" i="22"/>
  <c r="Z950" i="22"/>
  <c r="Y950" i="22"/>
  <c r="Z962" i="22"/>
  <c r="Y962" i="22"/>
  <c r="Z1165" i="22"/>
  <c r="Y1165" i="22"/>
  <c r="P458" i="22"/>
  <c r="X458" i="22" s="1"/>
  <c r="P466" i="22"/>
  <c r="P491" i="22"/>
  <c r="X491" i="22" s="1"/>
  <c r="P499" i="22"/>
  <c r="X499" i="22" s="1"/>
  <c r="H686" i="22"/>
  <c r="J686" i="22" s="1"/>
  <c r="H692" i="22"/>
  <c r="J692" i="22" s="1"/>
  <c r="H698" i="22"/>
  <c r="J698" i="22" s="1"/>
  <c r="W702" i="22"/>
  <c r="W703" i="22"/>
  <c r="Z740" i="22"/>
  <c r="Y740" i="22"/>
  <c r="X755" i="22"/>
  <c r="U757" i="22"/>
  <c r="X757" i="22" s="1"/>
  <c r="T757" i="22"/>
  <c r="Z759" i="22"/>
  <c r="Y759" i="22"/>
  <c r="Z785" i="22"/>
  <c r="U791" i="22"/>
  <c r="U795" i="22"/>
  <c r="Z806" i="22"/>
  <c r="Y806" i="22"/>
  <c r="Z814" i="22"/>
  <c r="Z815" i="22"/>
  <c r="Y815" i="22"/>
  <c r="Z822" i="22"/>
  <c r="Z823" i="22"/>
  <c r="Y823" i="22"/>
  <c r="Z830" i="22"/>
  <c r="Z831" i="22"/>
  <c r="Y831" i="22"/>
  <c r="X837" i="22"/>
  <c r="Z903" i="22"/>
  <c r="Y903" i="22"/>
  <c r="U917" i="22"/>
  <c r="X917" i="22" s="1"/>
  <c r="U920" i="22"/>
  <c r="X920" i="22" s="1"/>
  <c r="S937" i="22"/>
  <c r="U937" i="22" s="1"/>
  <c r="P937" i="22"/>
  <c r="Z942" i="22"/>
  <c r="Y942" i="22"/>
  <c r="Z954" i="22"/>
  <c r="Y954" i="22"/>
  <c r="P996" i="22"/>
  <c r="S996" i="22"/>
  <c r="U996" i="22" s="1"/>
  <c r="P998" i="22"/>
  <c r="S998" i="22"/>
  <c r="U998" i="22" s="1"/>
  <c r="P1000" i="22"/>
  <c r="S1000" i="22"/>
  <c r="U1000" i="22" s="1"/>
  <c r="P1002" i="22"/>
  <c r="S1002" i="22"/>
  <c r="U1002" i="22" s="1"/>
  <c r="P1004" i="22"/>
  <c r="S1004" i="22"/>
  <c r="U1004" i="22" s="1"/>
  <c r="P1006" i="22"/>
  <c r="S1006" i="22"/>
  <c r="U1006" i="22" s="1"/>
  <c r="P1008" i="22"/>
  <c r="S1008" i="22"/>
  <c r="U1008" i="22" s="1"/>
  <c r="P1010" i="22"/>
  <c r="S1010" i="22"/>
  <c r="U1010" i="22" s="1"/>
  <c r="P1012" i="22"/>
  <c r="S1012" i="22"/>
  <c r="U1012" i="22" s="1"/>
  <c r="P1014" i="22"/>
  <c r="S1014" i="22"/>
  <c r="U1014" i="22" s="1"/>
  <c r="P1016" i="22"/>
  <c r="S1016" i="22"/>
  <c r="U1016" i="22" s="1"/>
  <c r="P1018" i="22"/>
  <c r="S1018" i="22"/>
  <c r="U1018" i="22" s="1"/>
  <c r="P1020" i="22"/>
  <c r="S1020" i="22"/>
  <c r="U1020" i="22" s="1"/>
  <c r="P1022" i="22"/>
  <c r="S1022" i="22"/>
  <c r="U1022" i="22" s="1"/>
  <c r="P1024" i="22"/>
  <c r="S1024" i="22"/>
  <c r="U1024" i="22" s="1"/>
  <c r="P1026" i="22"/>
  <c r="S1026" i="22"/>
  <c r="U1026" i="22" s="1"/>
  <c r="P1028" i="22"/>
  <c r="S1028" i="22"/>
  <c r="U1028" i="22" s="1"/>
  <c r="P1030" i="22"/>
  <c r="S1030" i="22"/>
  <c r="U1030" i="22" s="1"/>
  <c r="P1032" i="22"/>
  <c r="S1032" i="22"/>
  <c r="U1032" i="22" s="1"/>
  <c r="P1034" i="22"/>
  <c r="S1034" i="22"/>
  <c r="U1034" i="22" s="1"/>
  <c r="P1036" i="22"/>
  <c r="S1036" i="22"/>
  <c r="U1036" i="22" s="1"/>
  <c r="P1038" i="22"/>
  <c r="S1038" i="22"/>
  <c r="U1038" i="22" s="1"/>
  <c r="P1040" i="22"/>
  <c r="S1040" i="22"/>
  <c r="U1040" i="22" s="1"/>
  <c r="P1042" i="22"/>
  <c r="S1042" i="22"/>
  <c r="U1042" i="22" s="1"/>
  <c r="S1155" i="22"/>
  <c r="U1155" i="22" s="1"/>
  <c r="P1155" i="22"/>
  <c r="Z1164" i="22"/>
  <c r="Y1164" i="22"/>
  <c r="X1164" i="22"/>
  <c r="N436" i="22"/>
  <c r="P463" i="22"/>
  <c r="X463" i="22" s="1"/>
  <c r="P471" i="22"/>
  <c r="X471" i="22" s="1"/>
  <c r="P483" i="22"/>
  <c r="X483" i="22" s="1"/>
  <c r="P487" i="22"/>
  <c r="X487" i="22" s="1"/>
  <c r="P496" i="22"/>
  <c r="X496" i="22" s="1"/>
  <c r="T503" i="22"/>
  <c r="P504" i="22"/>
  <c r="X504" i="22" s="1"/>
  <c r="T511" i="22"/>
  <c r="P512" i="22"/>
  <c r="X512" i="22" s="1"/>
  <c r="T519" i="22"/>
  <c r="P520" i="22"/>
  <c r="X520" i="22" s="1"/>
  <c r="R643" i="22"/>
  <c r="W652" i="22"/>
  <c r="H710" i="22"/>
  <c r="J710" i="22" s="1"/>
  <c r="X726" i="22"/>
  <c r="X727" i="22"/>
  <c r="U743" i="22"/>
  <c r="X743" i="22" s="1"/>
  <c r="X763" i="22"/>
  <c r="T765" i="22"/>
  <c r="X770" i="22"/>
  <c r="U781" i="22"/>
  <c r="X803" i="22"/>
  <c r="Z813" i="22"/>
  <c r="Y813" i="22"/>
  <c r="Z821" i="22"/>
  <c r="Y821" i="22"/>
  <c r="Z829" i="22"/>
  <c r="Y829" i="22"/>
  <c r="U838" i="22"/>
  <c r="T838" i="22"/>
  <c r="Z843" i="22"/>
  <c r="Y843" i="22"/>
  <c r="Z847" i="22"/>
  <c r="Y847" i="22"/>
  <c r="Z851" i="22"/>
  <c r="Y851" i="22"/>
  <c r="Z855" i="22"/>
  <c r="Y855" i="22"/>
  <c r="Z859" i="22"/>
  <c r="Y859" i="22"/>
  <c r="Z863" i="22"/>
  <c r="Y863" i="22"/>
  <c r="Z867" i="22"/>
  <c r="Y867" i="22"/>
  <c r="Z871" i="22"/>
  <c r="Y871" i="22"/>
  <c r="Z875" i="22"/>
  <c r="Y875" i="22"/>
  <c r="Z879" i="22"/>
  <c r="Y879" i="22"/>
  <c r="Z883" i="22"/>
  <c r="Y883" i="22"/>
  <c r="Z887" i="22"/>
  <c r="Y887" i="22"/>
  <c r="Z894" i="22"/>
  <c r="Y894" i="22"/>
  <c r="S897" i="22"/>
  <c r="U897" i="22" s="1"/>
  <c r="P897" i="22"/>
  <c r="Z906" i="22"/>
  <c r="Y906" i="22"/>
  <c r="Z915" i="22"/>
  <c r="Y915" i="22"/>
  <c r="S929" i="22"/>
  <c r="U929" i="22" s="1"/>
  <c r="P929" i="22"/>
  <c r="Z934" i="22"/>
  <c r="Y934" i="22"/>
  <c r="Z946" i="22"/>
  <c r="Y946" i="22"/>
  <c r="U976" i="22"/>
  <c r="X976" i="22" s="1"/>
  <c r="U980" i="22"/>
  <c r="U984" i="22"/>
  <c r="U988" i="22"/>
  <c r="Z1149" i="22"/>
  <c r="Y1149" i="22"/>
  <c r="Z1276" i="22"/>
  <c r="Y1276" i="22"/>
  <c r="U419" i="22"/>
  <c r="N442" i="22"/>
  <c r="P460" i="22"/>
  <c r="X460" i="22" s="1"/>
  <c r="P468" i="22"/>
  <c r="X468" i="22" s="1"/>
  <c r="P493" i="22"/>
  <c r="P501" i="22"/>
  <c r="T506" i="22"/>
  <c r="P507" i="22"/>
  <c r="X507" i="22" s="1"/>
  <c r="T514" i="22"/>
  <c r="P515" i="22"/>
  <c r="X515" i="22" s="1"/>
  <c r="T522" i="22"/>
  <c r="P523" i="22"/>
  <c r="X523" i="22" s="1"/>
  <c r="T563" i="22"/>
  <c r="T571" i="22"/>
  <c r="T579" i="22"/>
  <c r="N649" i="22"/>
  <c r="R691" i="22"/>
  <c r="W688" i="22"/>
  <c r="P692" i="22"/>
  <c r="X692" i="22" s="1"/>
  <c r="Y698" i="22"/>
  <c r="W699" i="22"/>
  <c r="P709" i="22"/>
  <c r="S715" i="22"/>
  <c r="X716" i="22"/>
  <c r="X717" i="22"/>
  <c r="Z724" i="22"/>
  <c r="U744" i="22"/>
  <c r="U745" i="22"/>
  <c r="S765" i="22"/>
  <c r="U765" i="22" s="1"/>
  <c r="T773" i="22"/>
  <c r="X778" i="22"/>
  <c r="X800" i="22"/>
  <c r="X806" i="22"/>
  <c r="Z888" i="22"/>
  <c r="Y888" i="22"/>
  <c r="Z895" i="22"/>
  <c r="Y895" i="22"/>
  <c r="U909" i="22"/>
  <c r="X909" i="22" s="1"/>
  <c r="S921" i="22"/>
  <c r="U921" i="22" s="1"/>
  <c r="P921" i="22"/>
  <c r="Z926" i="22"/>
  <c r="Y926" i="22"/>
  <c r="Z927" i="22"/>
  <c r="Y927" i="22"/>
  <c r="Z938" i="22"/>
  <c r="Y938" i="22"/>
  <c r="U965" i="22"/>
  <c r="X965" i="22" s="1"/>
  <c r="U968" i="22"/>
  <c r="X975" i="22"/>
  <c r="S1067" i="22"/>
  <c r="U1067" i="22" s="1"/>
  <c r="P1067" i="22"/>
  <c r="S1083" i="22"/>
  <c r="U1083" i="22" s="1"/>
  <c r="P1083" i="22"/>
  <c r="S1099" i="22"/>
  <c r="U1099" i="22" s="1"/>
  <c r="P1099" i="22"/>
  <c r="S1139" i="22"/>
  <c r="U1139" i="22" s="1"/>
  <c r="P1139" i="22"/>
  <c r="Z1148" i="22"/>
  <c r="Y1148" i="22"/>
  <c r="X1148" i="22"/>
  <c r="T509" i="22"/>
  <c r="U641" i="22"/>
  <c r="H650" i="22"/>
  <c r="J650" i="22" s="1"/>
  <c r="W653" i="22"/>
  <c r="W691" i="22"/>
  <c r="S697" i="22"/>
  <c r="U697" i="22" s="1"/>
  <c r="Z698" i="22"/>
  <c r="W700" i="22"/>
  <c r="S723" i="22"/>
  <c r="U723" i="22" s="1"/>
  <c r="U729" i="22"/>
  <c r="U734" i="22"/>
  <c r="P737" i="22"/>
  <c r="X737" i="22" s="1"/>
  <c r="U746" i="22"/>
  <c r="S753" i="22"/>
  <c r="U753" i="22" s="1"/>
  <c r="Z756" i="22"/>
  <c r="Y756" i="22"/>
  <c r="U761" i="22"/>
  <c r="S773" i="22"/>
  <c r="U773" i="22" s="1"/>
  <c r="S790" i="22"/>
  <c r="U790" i="22" s="1"/>
  <c r="S801" i="22"/>
  <c r="U801" i="22" s="1"/>
  <c r="U802" i="22"/>
  <c r="Z811" i="22"/>
  <c r="Y811" i="22"/>
  <c r="Z819" i="22"/>
  <c r="Y819" i="22"/>
  <c r="Z820" i="22"/>
  <c r="Z827" i="22"/>
  <c r="Y827" i="22"/>
  <c r="Z828" i="22"/>
  <c r="Y828" i="22"/>
  <c r="X835" i="22"/>
  <c r="S839" i="22"/>
  <c r="U839" i="22" s="1"/>
  <c r="P839" i="22"/>
  <c r="X843" i="22"/>
  <c r="Z844" i="22"/>
  <c r="Y844" i="22"/>
  <c r="X847" i="22"/>
  <c r="Z848" i="22"/>
  <c r="Y848" i="22"/>
  <c r="X851" i="22"/>
  <c r="Z852" i="22"/>
  <c r="Y852" i="22"/>
  <c r="X855" i="22"/>
  <c r="Z856" i="22"/>
  <c r="Y856" i="22"/>
  <c r="X859" i="22"/>
  <c r="Z860" i="22"/>
  <c r="Y860" i="22"/>
  <c r="X863" i="22"/>
  <c r="Z864" i="22"/>
  <c r="Y864" i="22"/>
  <c r="X867" i="22"/>
  <c r="Z868" i="22"/>
  <c r="Y868" i="22"/>
  <c r="X871" i="22"/>
  <c r="Z872" i="22"/>
  <c r="Y872" i="22"/>
  <c r="X875" i="22"/>
  <c r="Z876" i="22"/>
  <c r="Y876" i="22"/>
  <c r="X879" i="22"/>
  <c r="Z880" i="22"/>
  <c r="Y880" i="22"/>
  <c r="X883" i="22"/>
  <c r="Z884" i="22"/>
  <c r="Y884" i="22"/>
  <c r="X887" i="22"/>
  <c r="X890" i="22"/>
  <c r="Z898" i="22"/>
  <c r="Y898" i="22"/>
  <c r="Z907" i="22"/>
  <c r="Y907" i="22"/>
  <c r="U912" i="22"/>
  <c r="X912" i="22" s="1"/>
  <c r="X915" i="22"/>
  <c r="Z918" i="22"/>
  <c r="Y918" i="22"/>
  <c r="Z919" i="22"/>
  <c r="Y919" i="22"/>
  <c r="Z930" i="22"/>
  <c r="Y930" i="22"/>
  <c r="U957" i="22"/>
  <c r="X957" i="22" s="1"/>
  <c r="U960" i="22"/>
  <c r="X967" i="22"/>
  <c r="Z977" i="22"/>
  <c r="Y977" i="22"/>
  <c r="Z981" i="22"/>
  <c r="Y981" i="22"/>
  <c r="Z985" i="22"/>
  <c r="Y985" i="22"/>
  <c r="Z989" i="22"/>
  <c r="Y989" i="22"/>
  <c r="U993" i="22"/>
  <c r="U431" i="22"/>
  <c r="W665" i="22"/>
  <c r="W667" i="22"/>
  <c r="Z719" i="22"/>
  <c r="Y719" i="22"/>
  <c r="U731" i="22"/>
  <c r="X731" i="22" s="1"/>
  <c r="U750" i="22"/>
  <c r="U752" i="22"/>
  <c r="T752" i="22"/>
  <c r="S758" i="22"/>
  <c r="U758" i="22" s="1"/>
  <c r="P758" i="22"/>
  <c r="Z764" i="22"/>
  <c r="Y764" i="22"/>
  <c r="U769" i="22"/>
  <c r="Y785" i="22"/>
  <c r="U789" i="22"/>
  <c r="X789" i="22" s="1"/>
  <c r="U793" i="22"/>
  <c r="X793" i="22" s="1"/>
  <c r="U797" i="22"/>
  <c r="X797" i="22" s="1"/>
  <c r="X799" i="22"/>
  <c r="Z803" i="22"/>
  <c r="Y803" i="22"/>
  <c r="Z837" i="22"/>
  <c r="Y837" i="22"/>
  <c r="Z889" i="22"/>
  <c r="Y889" i="22"/>
  <c r="U901" i="22"/>
  <c r="Z922" i="22"/>
  <c r="Y922" i="22"/>
  <c r="U949" i="22"/>
  <c r="U952" i="22"/>
  <c r="X952" i="22" s="1"/>
  <c r="X959" i="22"/>
  <c r="S969" i="22"/>
  <c r="U969" i="22" s="1"/>
  <c r="P969" i="22"/>
  <c r="Z974" i="22"/>
  <c r="Y974" i="22"/>
  <c r="Z975" i="22"/>
  <c r="Y975" i="22"/>
  <c r="Z979" i="22"/>
  <c r="Y979" i="22"/>
  <c r="Z983" i="22"/>
  <c r="Y983" i="22"/>
  <c r="Z987" i="22"/>
  <c r="Y987" i="22"/>
  <c r="P997" i="22"/>
  <c r="S997" i="22"/>
  <c r="U997" i="22" s="1"/>
  <c r="P999" i="22"/>
  <c r="S999" i="22"/>
  <c r="U999" i="22" s="1"/>
  <c r="P1001" i="22"/>
  <c r="S1001" i="22"/>
  <c r="U1001" i="22" s="1"/>
  <c r="P1003" i="22"/>
  <c r="S1003" i="22"/>
  <c r="U1003" i="22" s="1"/>
  <c r="P1005" i="22"/>
  <c r="S1005" i="22"/>
  <c r="U1005" i="22" s="1"/>
  <c r="P1007" i="22"/>
  <c r="S1007" i="22"/>
  <c r="U1007" i="22" s="1"/>
  <c r="P1009" i="22"/>
  <c r="S1009" i="22"/>
  <c r="U1009" i="22" s="1"/>
  <c r="P1011" i="22"/>
  <c r="S1011" i="22"/>
  <c r="U1011" i="22" s="1"/>
  <c r="P1013" i="22"/>
  <c r="S1013" i="22"/>
  <c r="U1013" i="22" s="1"/>
  <c r="P1015" i="22"/>
  <c r="S1015" i="22"/>
  <c r="U1015" i="22" s="1"/>
  <c r="P1017" i="22"/>
  <c r="S1017" i="22"/>
  <c r="U1017" i="22" s="1"/>
  <c r="P1019" i="22"/>
  <c r="S1019" i="22"/>
  <c r="U1019" i="22" s="1"/>
  <c r="P1021" i="22"/>
  <c r="S1021" i="22"/>
  <c r="U1021" i="22" s="1"/>
  <c r="P1023" i="22"/>
  <c r="S1023" i="22"/>
  <c r="U1023" i="22" s="1"/>
  <c r="P1025" i="22"/>
  <c r="S1025" i="22"/>
  <c r="U1025" i="22" s="1"/>
  <c r="P1027" i="22"/>
  <c r="S1027" i="22"/>
  <c r="U1027" i="22" s="1"/>
  <c r="P1029" i="22"/>
  <c r="S1029" i="22"/>
  <c r="U1029" i="22" s="1"/>
  <c r="P1031" i="22"/>
  <c r="S1031" i="22"/>
  <c r="U1031" i="22" s="1"/>
  <c r="P1033" i="22"/>
  <c r="S1033" i="22"/>
  <c r="U1033" i="22" s="1"/>
  <c r="P1035" i="22"/>
  <c r="S1035" i="22"/>
  <c r="U1035" i="22" s="1"/>
  <c r="P1037" i="22"/>
  <c r="S1037" i="22"/>
  <c r="U1037" i="22" s="1"/>
  <c r="P1039" i="22"/>
  <c r="S1039" i="22"/>
  <c r="U1039" i="22" s="1"/>
  <c r="P1041" i="22"/>
  <c r="S1041" i="22"/>
  <c r="U1041" i="22" s="1"/>
  <c r="S1123" i="22"/>
  <c r="U1123" i="22" s="1"/>
  <c r="P1123" i="22"/>
  <c r="Z1132" i="22"/>
  <c r="Y1132" i="22"/>
  <c r="X1132" i="22"/>
  <c r="P1185" i="22"/>
  <c r="S1185" i="22"/>
  <c r="U1185" i="22" s="1"/>
  <c r="P1187" i="22"/>
  <c r="S1187" i="22"/>
  <c r="U1187" i="22" s="1"/>
  <c r="P1189" i="22"/>
  <c r="S1189" i="22"/>
  <c r="U1189" i="22" s="1"/>
  <c r="P1191" i="22"/>
  <c r="S1191" i="22"/>
  <c r="U1191" i="22" s="1"/>
  <c r="P1193" i="22"/>
  <c r="S1193" i="22"/>
  <c r="U1193" i="22" s="1"/>
  <c r="T753" i="22"/>
  <c r="T761" i="22"/>
  <c r="T769" i="22"/>
  <c r="T777" i="22"/>
  <c r="P785" i="22"/>
  <c r="X785" i="22" s="1"/>
  <c r="P804" i="22"/>
  <c r="X804" i="22" s="1"/>
  <c r="T813" i="22"/>
  <c r="P814" i="22"/>
  <c r="X814" i="22" s="1"/>
  <c r="T821" i="22"/>
  <c r="P822" i="22"/>
  <c r="X822" i="22" s="1"/>
  <c r="T829" i="22"/>
  <c r="P830" i="22"/>
  <c r="X830" i="22" s="1"/>
  <c r="T835" i="22"/>
  <c r="P836" i="22"/>
  <c r="X836" i="22" s="1"/>
  <c r="P894" i="22"/>
  <c r="X894" i="22" s="1"/>
  <c r="P902" i="22"/>
  <c r="X902" i="22" s="1"/>
  <c r="P910" i="22"/>
  <c r="X910" i="22" s="1"/>
  <c r="P918" i="22"/>
  <c r="X918" i="22" s="1"/>
  <c r="P926" i="22"/>
  <c r="X926" i="22" s="1"/>
  <c r="P934" i="22"/>
  <c r="X934" i="22" s="1"/>
  <c r="P942" i="22"/>
  <c r="X942" i="22" s="1"/>
  <c r="P950" i="22"/>
  <c r="X950" i="22" s="1"/>
  <c r="P958" i="22"/>
  <c r="X958" i="22" s="1"/>
  <c r="P966" i="22"/>
  <c r="X966" i="22" s="1"/>
  <c r="P974" i="22"/>
  <c r="X974" i="22" s="1"/>
  <c r="P977" i="22"/>
  <c r="X977" i="22" s="1"/>
  <c r="P981" i="22"/>
  <c r="X981" i="22" s="1"/>
  <c r="P985" i="22"/>
  <c r="X985" i="22" s="1"/>
  <c r="P989" i="22"/>
  <c r="X989" i="22" s="1"/>
  <c r="U994" i="22"/>
  <c r="S1044" i="22"/>
  <c r="U1044" i="22" s="1"/>
  <c r="S1052" i="22"/>
  <c r="U1052" i="22" s="1"/>
  <c r="U1070" i="22"/>
  <c r="U1078" i="22"/>
  <c r="X1078" i="22" s="1"/>
  <c r="U1086" i="22"/>
  <c r="X1086" i="22" s="1"/>
  <c r="U1094" i="22"/>
  <c r="X1094" i="22" s="1"/>
  <c r="U1102" i="22"/>
  <c r="X1102" i="22" s="1"/>
  <c r="S1285" i="22"/>
  <c r="U1285" i="22" s="1"/>
  <c r="P1285" i="22"/>
  <c r="O2714" i="22"/>
  <c r="S995" i="22"/>
  <c r="U995" i="22" s="1"/>
  <c r="S1043" i="22"/>
  <c r="U1043" i="22" s="1"/>
  <c r="S1051" i="22"/>
  <c r="U1051" i="22" s="1"/>
  <c r="X1051" i="22" s="1"/>
  <c r="S1056" i="22"/>
  <c r="U1056" i="22" s="1"/>
  <c r="S1060" i="22"/>
  <c r="U1060" i="22" s="1"/>
  <c r="X1060" i="22" s="1"/>
  <c r="S1064" i="22"/>
  <c r="U1064" i="22" s="1"/>
  <c r="X1064" i="22" s="1"/>
  <c r="S1069" i="22"/>
  <c r="U1069" i="22" s="1"/>
  <c r="P1069" i="22"/>
  <c r="S1077" i="22"/>
  <c r="U1077" i="22" s="1"/>
  <c r="P1077" i="22"/>
  <c r="S1085" i="22"/>
  <c r="U1085" i="22" s="1"/>
  <c r="P1085" i="22"/>
  <c r="S1093" i="22"/>
  <c r="U1093" i="22" s="1"/>
  <c r="P1093" i="22"/>
  <c r="S1101" i="22"/>
  <c r="U1101" i="22" s="1"/>
  <c r="P1101" i="22"/>
  <c r="Z1112" i="22"/>
  <c r="Y1112" i="22"/>
  <c r="Z1113" i="22"/>
  <c r="Y1113" i="22"/>
  <c r="S1119" i="22"/>
  <c r="U1119" i="22" s="1"/>
  <c r="P1119" i="22"/>
  <c r="X1125" i="22"/>
  <c r="Z1128" i="22"/>
  <c r="Y1128" i="22"/>
  <c r="Z1129" i="22"/>
  <c r="S1135" i="22"/>
  <c r="U1135" i="22" s="1"/>
  <c r="P1135" i="22"/>
  <c r="Z1144" i="22"/>
  <c r="Y1144" i="22"/>
  <c r="Z1145" i="22"/>
  <c r="Y1145" i="22"/>
  <c r="S1151" i="22"/>
  <c r="U1151" i="22" s="1"/>
  <c r="P1151" i="22"/>
  <c r="X1157" i="22"/>
  <c r="Z1160" i="22"/>
  <c r="Y1160" i="22"/>
  <c r="S1167" i="22"/>
  <c r="U1167" i="22" s="1"/>
  <c r="P1167" i="22"/>
  <c r="Z1176" i="22"/>
  <c r="Y1176" i="22"/>
  <c r="U1195" i="22"/>
  <c r="Z1389" i="22"/>
  <c r="Y1389" i="22"/>
  <c r="U1049" i="22"/>
  <c r="U1055" i="22"/>
  <c r="U1059" i="22"/>
  <c r="U1063" i="22"/>
  <c r="U1072" i="22"/>
  <c r="X1072" i="22" s="1"/>
  <c r="U1080" i="22"/>
  <c r="X1080" i="22" s="1"/>
  <c r="U1088" i="22"/>
  <c r="X1088" i="22" s="1"/>
  <c r="U1096" i="22"/>
  <c r="X1096" i="22" s="1"/>
  <c r="U1104" i="22"/>
  <c r="X1104" i="22" s="1"/>
  <c r="S1071" i="22"/>
  <c r="U1071" i="22" s="1"/>
  <c r="P1071" i="22"/>
  <c r="S1079" i="22"/>
  <c r="U1079" i="22" s="1"/>
  <c r="P1079" i="22"/>
  <c r="S1087" i="22"/>
  <c r="U1087" i="22" s="1"/>
  <c r="P1087" i="22"/>
  <c r="S1095" i="22"/>
  <c r="U1095" i="22" s="1"/>
  <c r="P1095" i="22"/>
  <c r="S1103" i="22"/>
  <c r="U1103" i="22" s="1"/>
  <c r="P1103" i="22"/>
  <c r="Z1108" i="22"/>
  <c r="Y1108" i="22"/>
  <c r="S1115" i="22"/>
  <c r="U1115" i="22" s="1"/>
  <c r="P1115" i="22"/>
  <c r="Z1124" i="22"/>
  <c r="Y1124" i="22"/>
  <c r="Z1125" i="22"/>
  <c r="Y1125" i="22"/>
  <c r="S1131" i="22"/>
  <c r="U1131" i="22" s="1"/>
  <c r="P1131" i="22"/>
  <c r="Z1140" i="22"/>
  <c r="Y1140" i="22"/>
  <c r="S1147" i="22"/>
  <c r="U1147" i="22" s="1"/>
  <c r="P1147" i="22"/>
  <c r="Z1156" i="22"/>
  <c r="Y1156" i="22"/>
  <c r="Z1157" i="22"/>
  <c r="Y1157" i="22"/>
  <c r="S1163" i="22"/>
  <c r="U1163" i="22" s="1"/>
  <c r="P1163" i="22"/>
  <c r="Z1172" i="22"/>
  <c r="Y1172" i="22"/>
  <c r="S1179" i="22"/>
  <c r="U1179" i="22" s="1"/>
  <c r="P1179" i="22"/>
  <c r="P1186" i="22"/>
  <c r="S1186" i="22"/>
  <c r="U1186" i="22" s="1"/>
  <c r="P1188" i="22"/>
  <c r="S1188" i="22"/>
  <c r="U1188" i="22" s="1"/>
  <c r="P1190" i="22"/>
  <c r="S1190" i="22"/>
  <c r="U1190" i="22" s="1"/>
  <c r="P1192" i="22"/>
  <c r="S1192" i="22"/>
  <c r="U1192" i="22" s="1"/>
  <c r="Z1282" i="22"/>
  <c r="X1282" i="22"/>
  <c r="Z1360" i="22"/>
  <c r="Y1360" i="22"/>
  <c r="U1062" i="22"/>
  <c r="U1066" i="22"/>
  <c r="U1074" i="22"/>
  <c r="X1074" i="22" s="1"/>
  <c r="U1082" i="22"/>
  <c r="U1090" i="22"/>
  <c r="U1098" i="22"/>
  <c r="U1106" i="22"/>
  <c r="X1106" i="22" s="1"/>
  <c r="T812" i="22"/>
  <c r="T820" i="22"/>
  <c r="T828" i="22"/>
  <c r="U892" i="22"/>
  <c r="U900" i="22"/>
  <c r="U908" i="22"/>
  <c r="U916" i="22"/>
  <c r="Y923" i="22"/>
  <c r="U924" i="22"/>
  <c r="Y931" i="22"/>
  <c r="U932" i="22"/>
  <c r="Y939" i="22"/>
  <c r="U940" i="22"/>
  <c r="Y947" i="22"/>
  <c r="U948" i="22"/>
  <c r="Y955" i="22"/>
  <c r="U956" i="22"/>
  <c r="Y963" i="22"/>
  <c r="U964" i="22"/>
  <c r="Y971" i="22"/>
  <c r="U972" i="22"/>
  <c r="U978" i="22"/>
  <c r="U982" i="22"/>
  <c r="U986" i="22"/>
  <c r="U990" i="22"/>
  <c r="S991" i="22"/>
  <c r="U991" i="22" s="1"/>
  <c r="S1047" i="22"/>
  <c r="U1047" i="22" s="1"/>
  <c r="S1054" i="22"/>
  <c r="U1054" i="22" s="1"/>
  <c r="X1054" i="22" s="1"/>
  <c r="S1058" i="22"/>
  <c r="U1058" i="22" s="1"/>
  <c r="S1073" i="22"/>
  <c r="U1073" i="22" s="1"/>
  <c r="P1073" i="22"/>
  <c r="S1081" i="22"/>
  <c r="U1081" i="22" s="1"/>
  <c r="P1081" i="22"/>
  <c r="S1089" i="22"/>
  <c r="U1089" i="22" s="1"/>
  <c r="P1089" i="22"/>
  <c r="S1097" i="22"/>
  <c r="U1097" i="22" s="1"/>
  <c r="P1097" i="22"/>
  <c r="S1105" i="22"/>
  <c r="U1105" i="22" s="1"/>
  <c r="P1105" i="22"/>
  <c r="S1111" i="22"/>
  <c r="U1111" i="22" s="1"/>
  <c r="P1111" i="22"/>
  <c r="X1117" i="22"/>
  <c r="Z1120" i="22"/>
  <c r="Y1120" i="22"/>
  <c r="S1127" i="22"/>
  <c r="U1127" i="22" s="1"/>
  <c r="P1127" i="22"/>
  <c r="Z1136" i="22"/>
  <c r="Y1136" i="22"/>
  <c r="Z1137" i="22"/>
  <c r="Y1137" i="22"/>
  <c r="S1143" i="22"/>
  <c r="U1143" i="22" s="1"/>
  <c r="P1143" i="22"/>
  <c r="X1149" i="22"/>
  <c r="Z1152" i="22"/>
  <c r="Y1152" i="22"/>
  <c r="U1153" i="22"/>
  <c r="X1153" i="22" s="1"/>
  <c r="S1159" i="22"/>
  <c r="U1159" i="22" s="1"/>
  <c r="P1159" i="22"/>
  <c r="X1165" i="22"/>
  <c r="Z1168" i="22"/>
  <c r="Y1168" i="22"/>
  <c r="U1169" i="22"/>
  <c r="X1169" i="22" s="1"/>
  <c r="S1175" i="22"/>
  <c r="U1175" i="22" s="1"/>
  <c r="P1175" i="22"/>
  <c r="U1182" i="22"/>
  <c r="X1182" i="22" s="1"/>
  <c r="U992" i="22"/>
  <c r="U1045" i="22"/>
  <c r="X1045" i="22" s="1"/>
  <c r="S1046" i="22"/>
  <c r="U1046" i="22" s="1"/>
  <c r="U1053" i="22"/>
  <c r="U1057" i="22"/>
  <c r="X1057" i="22" s="1"/>
  <c r="U1061" i="22"/>
  <c r="X1061" i="22" s="1"/>
  <c r="U1065" i="22"/>
  <c r="X1065" i="22" s="1"/>
  <c r="U1068" i="22"/>
  <c r="X1070" i="22"/>
  <c r="U1076" i="22"/>
  <c r="U1084" i="22"/>
  <c r="X1084" i="22" s="1"/>
  <c r="U1092" i="22"/>
  <c r="X1092" i="22" s="1"/>
  <c r="U1100" i="22"/>
  <c r="S1183" i="22"/>
  <c r="U1183" i="22" s="1"/>
  <c r="P1184" i="22"/>
  <c r="S1200" i="22"/>
  <c r="U1200" i="22" s="1"/>
  <c r="P1200" i="22"/>
  <c r="Z1278" i="22"/>
  <c r="Y1278" i="22"/>
  <c r="S1281" i="22"/>
  <c r="U1281" i="22" s="1"/>
  <c r="P1281" i="22"/>
  <c r="U1302" i="22"/>
  <c r="U1318" i="22"/>
  <c r="U1349" i="22"/>
  <c r="X1349" i="22" s="1"/>
  <c r="Z1392" i="22"/>
  <c r="Y1392" i="22"/>
  <c r="Z1400" i="22"/>
  <c r="Y1400" i="22"/>
  <c r="U1184" i="22"/>
  <c r="U1201" i="22"/>
  <c r="X1201" i="22" s="1"/>
  <c r="S1204" i="22"/>
  <c r="U1204" i="22" s="1"/>
  <c r="P1204" i="22"/>
  <c r="U1205" i="22"/>
  <c r="X1205" i="22" s="1"/>
  <c r="S1208" i="22"/>
  <c r="U1208" i="22" s="1"/>
  <c r="P1208" i="22"/>
  <c r="U1209" i="22"/>
  <c r="X1209" i="22" s="1"/>
  <c r="S1212" i="22"/>
  <c r="U1212" i="22" s="1"/>
  <c r="P1212" i="22"/>
  <c r="U1213" i="22"/>
  <c r="X1213" i="22" s="1"/>
  <c r="S1216" i="22"/>
  <c r="U1216" i="22" s="1"/>
  <c r="P1216" i="22"/>
  <c r="U1217" i="22"/>
  <c r="X1217" i="22" s="1"/>
  <c r="S1220" i="22"/>
  <c r="U1220" i="22" s="1"/>
  <c r="P1220" i="22"/>
  <c r="U1221" i="22"/>
  <c r="S1224" i="22"/>
  <c r="U1224" i="22" s="1"/>
  <c r="P1224" i="22"/>
  <c r="U1225" i="22"/>
  <c r="S1228" i="22"/>
  <c r="U1228" i="22" s="1"/>
  <c r="P1228" i="22"/>
  <c r="U1229" i="22"/>
  <c r="X1229" i="22" s="1"/>
  <c r="S1232" i="22"/>
  <c r="U1232" i="22" s="1"/>
  <c r="P1232" i="22"/>
  <c r="U1233" i="22"/>
  <c r="S1236" i="22"/>
  <c r="U1236" i="22" s="1"/>
  <c r="P1236" i="22"/>
  <c r="U1237" i="22"/>
  <c r="S1240" i="22"/>
  <c r="U1240" i="22" s="1"/>
  <c r="P1240" i="22"/>
  <c r="U1241" i="22"/>
  <c r="S1244" i="22"/>
  <c r="U1244" i="22" s="1"/>
  <c r="P1244" i="22"/>
  <c r="S1248" i="22"/>
  <c r="U1248" i="22" s="1"/>
  <c r="P1248" i="22"/>
  <c r="S1252" i="22"/>
  <c r="U1252" i="22" s="1"/>
  <c r="P1252" i="22"/>
  <c r="S1256" i="22"/>
  <c r="U1256" i="22" s="1"/>
  <c r="P1256" i="22"/>
  <c r="S1260" i="22"/>
  <c r="U1260" i="22" s="1"/>
  <c r="P1260" i="22"/>
  <c r="S1264" i="22"/>
  <c r="U1264" i="22" s="1"/>
  <c r="P1264" i="22"/>
  <c r="S1268" i="22"/>
  <c r="U1268" i="22" s="1"/>
  <c r="P1268" i="22"/>
  <c r="S1272" i="22"/>
  <c r="U1272" i="22" s="1"/>
  <c r="P1272" i="22"/>
  <c r="Z1274" i="22"/>
  <c r="Y1274" i="22"/>
  <c r="Z1279" i="22"/>
  <c r="Y1279" i="22"/>
  <c r="Z1357" i="22"/>
  <c r="Y1357" i="22"/>
  <c r="Z1384" i="22"/>
  <c r="Y1384" i="22"/>
  <c r="Z1413" i="22"/>
  <c r="Y1413" i="22"/>
  <c r="S1198" i="22"/>
  <c r="U1198" i="22" s="1"/>
  <c r="P1198" i="22"/>
  <c r="Z1245" i="22"/>
  <c r="Y1245" i="22"/>
  <c r="Z1249" i="22"/>
  <c r="Y1249" i="22"/>
  <c r="Z1253" i="22"/>
  <c r="Y1253" i="22"/>
  <c r="Z1257" i="22"/>
  <c r="Y1257" i="22"/>
  <c r="Z1261" i="22"/>
  <c r="Y1261" i="22"/>
  <c r="Z1265" i="22"/>
  <c r="Y1265" i="22"/>
  <c r="Z1269" i="22"/>
  <c r="Y1269" i="22"/>
  <c r="U1288" i="22"/>
  <c r="U1298" i="22"/>
  <c r="U1314" i="22"/>
  <c r="Y1336" i="22"/>
  <c r="Z1336" i="22"/>
  <c r="P1347" i="22"/>
  <c r="S1347" i="22"/>
  <c r="U1347" i="22" s="1"/>
  <c r="Z1368" i="22"/>
  <c r="Y1368" i="22"/>
  <c r="Z1424" i="22"/>
  <c r="Y1424" i="22"/>
  <c r="U1199" i="22"/>
  <c r="X1199" i="22" s="1"/>
  <c r="S1280" i="22"/>
  <c r="U1280" i="22" s="1"/>
  <c r="P1280" i="22"/>
  <c r="U1284" i="22"/>
  <c r="U1341" i="22"/>
  <c r="X1341" i="22" s="1"/>
  <c r="U1354" i="22"/>
  <c r="Y1110" i="22"/>
  <c r="Y1114" i="22"/>
  <c r="Y1118" i="22"/>
  <c r="Y1122" i="22"/>
  <c r="Y1126" i="22"/>
  <c r="Y1130" i="22"/>
  <c r="Y1134" i="22"/>
  <c r="Y1138" i="22"/>
  <c r="Y1142" i="22"/>
  <c r="Y1146" i="22"/>
  <c r="Y1150" i="22"/>
  <c r="Y1154" i="22"/>
  <c r="Y1158" i="22"/>
  <c r="Y1162" i="22"/>
  <c r="Y1166" i="22"/>
  <c r="Y1170" i="22"/>
  <c r="Y1174" i="22"/>
  <c r="Y1178" i="22"/>
  <c r="S1196" i="22"/>
  <c r="U1196" i="22" s="1"/>
  <c r="P1196" i="22"/>
  <c r="U1294" i="22"/>
  <c r="U1310" i="22"/>
  <c r="U1326" i="22"/>
  <c r="Z1365" i="22"/>
  <c r="Y1365" i="22"/>
  <c r="Z1369" i="22"/>
  <c r="Y1369" i="22"/>
  <c r="Z1408" i="22"/>
  <c r="Y1408" i="22"/>
  <c r="U1197" i="22"/>
  <c r="S1202" i="22"/>
  <c r="U1202" i="22" s="1"/>
  <c r="P1202" i="22"/>
  <c r="U1203" i="22"/>
  <c r="S1206" i="22"/>
  <c r="U1206" i="22" s="1"/>
  <c r="P1206" i="22"/>
  <c r="U1207" i="22"/>
  <c r="S1210" i="22"/>
  <c r="U1210" i="22" s="1"/>
  <c r="P1210" i="22"/>
  <c r="U1211" i="22"/>
  <c r="S1214" i="22"/>
  <c r="U1214" i="22" s="1"/>
  <c r="P1214" i="22"/>
  <c r="U1215" i="22"/>
  <c r="S1218" i="22"/>
  <c r="U1218" i="22" s="1"/>
  <c r="P1218" i="22"/>
  <c r="U1219" i="22"/>
  <c r="S1222" i="22"/>
  <c r="U1222" i="22" s="1"/>
  <c r="P1222" i="22"/>
  <c r="U1223" i="22"/>
  <c r="S1226" i="22"/>
  <c r="U1226" i="22" s="1"/>
  <c r="P1226" i="22"/>
  <c r="U1227" i="22"/>
  <c r="S1230" i="22"/>
  <c r="U1230" i="22" s="1"/>
  <c r="P1230" i="22"/>
  <c r="U1231" i="22"/>
  <c r="S1234" i="22"/>
  <c r="U1234" i="22" s="1"/>
  <c r="P1234" i="22"/>
  <c r="U1235" i="22"/>
  <c r="S1238" i="22"/>
  <c r="U1238" i="22" s="1"/>
  <c r="P1238" i="22"/>
  <c r="U1239" i="22"/>
  <c r="S1242" i="22"/>
  <c r="U1242" i="22" s="1"/>
  <c r="P1242" i="22"/>
  <c r="S1246" i="22"/>
  <c r="U1246" i="22" s="1"/>
  <c r="P1246" i="22"/>
  <c r="S1250" i="22"/>
  <c r="U1250" i="22" s="1"/>
  <c r="P1250" i="22"/>
  <c r="S1254" i="22"/>
  <c r="U1254" i="22" s="1"/>
  <c r="P1254" i="22"/>
  <c r="S1258" i="22"/>
  <c r="U1258" i="22" s="1"/>
  <c r="P1258" i="22"/>
  <c r="S1262" i="22"/>
  <c r="U1262" i="22" s="1"/>
  <c r="P1262" i="22"/>
  <c r="S1266" i="22"/>
  <c r="U1266" i="22" s="1"/>
  <c r="P1266" i="22"/>
  <c r="S1270" i="22"/>
  <c r="U1270" i="22" s="1"/>
  <c r="P1270" i="22"/>
  <c r="X1276" i="22"/>
  <c r="U1277" i="22"/>
  <c r="U1290" i="22"/>
  <c r="S1383" i="22"/>
  <c r="U1383" i="22" s="1"/>
  <c r="P1383" i="22"/>
  <c r="S1181" i="22"/>
  <c r="U1181" i="22" s="1"/>
  <c r="X1181" i="22" s="1"/>
  <c r="S1194" i="22"/>
  <c r="U1194" i="22" s="1"/>
  <c r="P1194" i="22"/>
  <c r="Z1243" i="22"/>
  <c r="Y1243" i="22"/>
  <c r="Z1247" i="22"/>
  <c r="Y1247" i="22"/>
  <c r="Z1251" i="22"/>
  <c r="Y1251" i="22"/>
  <c r="Z1255" i="22"/>
  <c r="Y1255" i="22"/>
  <c r="Z1259" i="22"/>
  <c r="Y1259" i="22"/>
  <c r="Z1263" i="22"/>
  <c r="Y1263" i="22"/>
  <c r="Z1267" i="22"/>
  <c r="Y1267" i="22"/>
  <c r="Z1271" i="22"/>
  <c r="Y1271" i="22"/>
  <c r="S1273" i="22"/>
  <c r="U1273" i="22" s="1"/>
  <c r="P1273" i="22"/>
  <c r="U1286" i="22"/>
  <c r="S1289" i="22"/>
  <c r="U1289" i="22" s="1"/>
  <c r="P1289" i="22"/>
  <c r="U1306" i="22"/>
  <c r="U1322" i="22"/>
  <c r="Z1397" i="22"/>
  <c r="Y1397" i="22"/>
  <c r="Z1405" i="22"/>
  <c r="Y1405" i="22"/>
  <c r="Y1275" i="22"/>
  <c r="S1332" i="22"/>
  <c r="U1332" i="22" s="1"/>
  <c r="S1333" i="22"/>
  <c r="U1333" i="22" s="1"/>
  <c r="X1333" i="22" s="1"/>
  <c r="S1334" i="22"/>
  <c r="U1334" i="22" s="1"/>
  <c r="S1335" i="22"/>
  <c r="U1335" i="22" s="1"/>
  <c r="U1339" i="22"/>
  <c r="X1352" i="22"/>
  <c r="U1363" i="22"/>
  <c r="X1363" i="22" s="1"/>
  <c r="Z1364" i="22"/>
  <c r="Y1364" i="22"/>
  <c r="U1367" i="22"/>
  <c r="X1367" i="22" s="1"/>
  <c r="S1375" i="22"/>
  <c r="U1375" i="22" s="1"/>
  <c r="P1375" i="22"/>
  <c r="X1395" i="22"/>
  <c r="U1411" i="22"/>
  <c r="X1411" i="22" s="1"/>
  <c r="X1432" i="22"/>
  <c r="U1436" i="22"/>
  <c r="X1436" i="22" s="1"/>
  <c r="U1283" i="22"/>
  <c r="X1283" i="22" s="1"/>
  <c r="U1287" i="22"/>
  <c r="U1291" i="22"/>
  <c r="X1291" i="22" s="1"/>
  <c r="U1295" i="22"/>
  <c r="U1299" i="22"/>
  <c r="X1299" i="22" s="1"/>
  <c r="U1303" i="22"/>
  <c r="U1307" i="22"/>
  <c r="X1307" i="22" s="1"/>
  <c r="U1311" i="22"/>
  <c r="U1315" i="22"/>
  <c r="X1315" i="22" s="1"/>
  <c r="U1319" i="22"/>
  <c r="X1319" i="22" s="1"/>
  <c r="U1323" i="22"/>
  <c r="X1323" i="22" s="1"/>
  <c r="U1327" i="22"/>
  <c r="U1338" i="22"/>
  <c r="X1338" i="22" s="1"/>
  <c r="Z1340" i="22"/>
  <c r="Y1340" i="22"/>
  <c r="Z1348" i="22"/>
  <c r="Y1348" i="22"/>
  <c r="Z1353" i="22"/>
  <c r="Y1353" i="22"/>
  <c r="X1357" i="22"/>
  <c r="Z1373" i="22"/>
  <c r="Y1373" i="22"/>
  <c r="Z1376" i="22"/>
  <c r="Y1376" i="22"/>
  <c r="Z1381" i="22"/>
  <c r="Y1381" i="22"/>
  <c r="X1387" i="22"/>
  <c r="U1403" i="22"/>
  <c r="X1403" i="22" s="1"/>
  <c r="X1424" i="22"/>
  <c r="X1429" i="22"/>
  <c r="S1431" i="22"/>
  <c r="U1431" i="22" s="1"/>
  <c r="P1431" i="22"/>
  <c r="T1670" i="22"/>
  <c r="U1670" i="22"/>
  <c r="X1670" i="22" s="1"/>
  <c r="W1807" i="22"/>
  <c r="W1806" i="22"/>
  <c r="Z1805" i="22"/>
  <c r="Y1805" i="22"/>
  <c r="U1820" i="22"/>
  <c r="Z1337" i="22"/>
  <c r="Y1337" i="22"/>
  <c r="Z1352" i="22"/>
  <c r="Y1352" i="22"/>
  <c r="U1362" i="22"/>
  <c r="X1362" i="22" s="1"/>
  <c r="Z1395" i="22"/>
  <c r="Y1395" i="22"/>
  <c r="S1423" i="22"/>
  <c r="U1423" i="22" s="1"/>
  <c r="P1423" i="22"/>
  <c r="Z1432" i="22"/>
  <c r="Y1432" i="22"/>
  <c r="Z1696" i="22"/>
  <c r="Y1696" i="22"/>
  <c r="X1696" i="22"/>
  <c r="Z1748" i="22"/>
  <c r="Y1748" i="22"/>
  <c r="P1278" i="22"/>
  <c r="X1278" i="22" s="1"/>
  <c r="X1337" i="22"/>
  <c r="P1342" i="22"/>
  <c r="S1342" i="22"/>
  <c r="U1342" i="22" s="1"/>
  <c r="U1346" i="22"/>
  <c r="P1350" i="22"/>
  <c r="S1350" i="22"/>
  <c r="U1350" i="22" s="1"/>
  <c r="X1360" i="22"/>
  <c r="Z1372" i="22"/>
  <c r="Y1372" i="22"/>
  <c r="Z1387" i="22"/>
  <c r="Y1387" i="22"/>
  <c r="X1408" i="22"/>
  <c r="X1413" i="22"/>
  <c r="S1415" i="22"/>
  <c r="U1415" i="22" s="1"/>
  <c r="P1415" i="22"/>
  <c r="S1438" i="22"/>
  <c r="U1438" i="22" s="1"/>
  <c r="P1438" i="22"/>
  <c r="S1539" i="22"/>
  <c r="U1539" i="22" s="1"/>
  <c r="P1539" i="22"/>
  <c r="S1555" i="22"/>
  <c r="U1555" i="22" s="1"/>
  <c r="P1555" i="22"/>
  <c r="S1571" i="22"/>
  <c r="U1571" i="22" s="1"/>
  <c r="P1571" i="22"/>
  <c r="S1587" i="22"/>
  <c r="U1587" i="22" s="1"/>
  <c r="P1587" i="22"/>
  <c r="Z1731" i="22"/>
  <c r="Y1731" i="22"/>
  <c r="U1292" i="22"/>
  <c r="P1293" i="22"/>
  <c r="U1296" i="22"/>
  <c r="P1297" i="22"/>
  <c r="U1300" i="22"/>
  <c r="P1301" i="22"/>
  <c r="U1304" i="22"/>
  <c r="P1305" i="22"/>
  <c r="U1308" i="22"/>
  <c r="P1309" i="22"/>
  <c r="U1312" i="22"/>
  <c r="P1313" i="22"/>
  <c r="U1316" i="22"/>
  <c r="P1317" i="22"/>
  <c r="U1320" i="22"/>
  <c r="P1321" i="22"/>
  <c r="U1324" i="22"/>
  <c r="P1325" i="22"/>
  <c r="U1328" i="22"/>
  <c r="S1343" i="22"/>
  <c r="U1343" i="22" s="1"/>
  <c r="Z1344" i="22"/>
  <c r="Y1344" i="22"/>
  <c r="Z1345" i="22"/>
  <c r="Y1345" i="22"/>
  <c r="Z1361" i="22"/>
  <c r="Y1361" i="22"/>
  <c r="X1365" i="22"/>
  <c r="X1369" i="22"/>
  <c r="S1371" i="22"/>
  <c r="U1371" i="22" s="1"/>
  <c r="U1379" i="22"/>
  <c r="X1400" i="22"/>
  <c r="X1405" i="22"/>
  <c r="S1407" i="22"/>
  <c r="U1407" i="22" s="1"/>
  <c r="P1407" i="22"/>
  <c r="Z1416" i="22"/>
  <c r="Y1416" i="22"/>
  <c r="Z1421" i="22"/>
  <c r="Y1421" i="22"/>
  <c r="S1434" i="22"/>
  <c r="U1434" i="22" s="1"/>
  <c r="P1434" i="22"/>
  <c r="U1635" i="22"/>
  <c r="U1293" i="22"/>
  <c r="U1297" i="22"/>
  <c r="U1301" i="22"/>
  <c r="U1305" i="22"/>
  <c r="U1309" i="22"/>
  <c r="U1313" i="22"/>
  <c r="U1317" i="22"/>
  <c r="U1321" i="22"/>
  <c r="U1325" i="22"/>
  <c r="S1329" i="22"/>
  <c r="U1329" i="22" s="1"/>
  <c r="Z1356" i="22"/>
  <c r="Y1356" i="22"/>
  <c r="U1370" i="22"/>
  <c r="X1370" i="22" s="1"/>
  <c r="X1392" i="22"/>
  <c r="X1397" i="22"/>
  <c r="S1399" i="22"/>
  <c r="U1399" i="22" s="1"/>
  <c r="P1399" i="22"/>
  <c r="Y1631" i="22"/>
  <c r="Z1631" i="22"/>
  <c r="X1631" i="22"/>
  <c r="Y1684" i="22"/>
  <c r="Z1684" i="22"/>
  <c r="S1330" i="22"/>
  <c r="U1330" i="22" s="1"/>
  <c r="U1331" i="22"/>
  <c r="X1336" i="22"/>
  <c r="X1353" i="22"/>
  <c r="S1355" i="22"/>
  <c r="U1355" i="22" s="1"/>
  <c r="S1359" i="22"/>
  <c r="U1359" i="22" s="1"/>
  <c r="X1359" i="22" s="1"/>
  <c r="X1368" i="22"/>
  <c r="X1384" i="22"/>
  <c r="X1389" i="22"/>
  <c r="S1391" i="22"/>
  <c r="U1391" i="22" s="1"/>
  <c r="P1391" i="22"/>
  <c r="U1427" i="22"/>
  <c r="X1427" i="22" s="1"/>
  <c r="S1358" i="22"/>
  <c r="U1358" i="22" s="1"/>
  <c r="X1358" i="22" s="1"/>
  <c r="S1366" i="22"/>
  <c r="U1366" i="22" s="1"/>
  <c r="S1374" i="22"/>
  <c r="U1374" i="22" s="1"/>
  <c r="S1382" i="22"/>
  <c r="U1382" i="22" s="1"/>
  <c r="S1390" i="22"/>
  <c r="U1390" i="22" s="1"/>
  <c r="S1398" i="22"/>
  <c r="U1398" i="22" s="1"/>
  <c r="X1398" i="22" s="1"/>
  <c r="S1406" i="22"/>
  <c r="U1406" i="22" s="1"/>
  <c r="S1414" i="22"/>
  <c r="U1414" i="22" s="1"/>
  <c r="S1422" i="22"/>
  <c r="U1422" i="22" s="1"/>
  <c r="S1430" i="22"/>
  <c r="U1430" i="22" s="1"/>
  <c r="X1430" i="22" s="1"/>
  <c r="X1519" i="22"/>
  <c r="X1523" i="22"/>
  <c r="U1534" i="22"/>
  <c r="X1536" i="22"/>
  <c r="U1542" i="22"/>
  <c r="X1542" i="22" s="1"/>
  <c r="X1544" i="22"/>
  <c r="U1550" i="22"/>
  <c r="X1550" i="22" s="1"/>
  <c r="U1558" i="22"/>
  <c r="X1558" i="22" s="1"/>
  <c r="X1560" i="22"/>
  <c r="U1566" i="22"/>
  <c r="X1568" i="22"/>
  <c r="U1574" i="22"/>
  <c r="X1574" i="22" s="1"/>
  <c r="X1576" i="22"/>
  <c r="U1582" i="22"/>
  <c r="X1582" i="22" s="1"/>
  <c r="U1590" i="22"/>
  <c r="X1590" i="22" s="1"/>
  <c r="X1592" i="22"/>
  <c r="U1598" i="22"/>
  <c r="Y1622" i="22"/>
  <c r="X1622" i="22"/>
  <c r="Y1623" i="22"/>
  <c r="Z1623" i="22"/>
  <c r="X1638" i="22"/>
  <c r="U1639" i="22"/>
  <c r="X1639" i="22" s="1"/>
  <c r="X1643" i="22"/>
  <c r="Y1646" i="22"/>
  <c r="Z1646" i="22"/>
  <c r="X1646" i="22"/>
  <c r="U1647" i="22"/>
  <c r="X1647" i="22" s="1"/>
  <c r="X1651" i="22"/>
  <c r="Z1652" i="22"/>
  <c r="Y1652" i="22"/>
  <c r="X1655" i="22"/>
  <c r="Z1656" i="22"/>
  <c r="Y1656" i="22"/>
  <c r="Z1678" i="22"/>
  <c r="Y1678" i="22"/>
  <c r="Z1745" i="22"/>
  <c r="Y1745" i="22"/>
  <c r="X1745" i="22"/>
  <c r="S1769" i="22"/>
  <c r="U1769" i="22" s="1"/>
  <c r="P1769" i="22"/>
  <c r="S1520" i="22"/>
  <c r="U1520" i="22" s="1"/>
  <c r="S1524" i="22"/>
  <c r="U1524" i="22" s="1"/>
  <c r="S1528" i="22"/>
  <c r="U1528" i="22" s="1"/>
  <c r="S1533" i="22"/>
  <c r="U1533" i="22" s="1"/>
  <c r="P1533" i="22"/>
  <c r="S1541" i="22"/>
  <c r="U1541" i="22" s="1"/>
  <c r="P1541" i="22"/>
  <c r="S1549" i="22"/>
  <c r="U1549" i="22" s="1"/>
  <c r="P1549" i="22"/>
  <c r="S1557" i="22"/>
  <c r="U1557" i="22" s="1"/>
  <c r="P1557" i="22"/>
  <c r="U1563" i="22"/>
  <c r="S1565" i="22"/>
  <c r="U1565" i="22" s="1"/>
  <c r="P1565" i="22"/>
  <c r="S1573" i="22"/>
  <c r="U1573" i="22" s="1"/>
  <c r="P1573" i="22"/>
  <c r="S1581" i="22"/>
  <c r="U1581" i="22" s="1"/>
  <c r="P1581" i="22"/>
  <c r="S1589" i="22"/>
  <c r="U1589" i="22" s="1"/>
  <c r="P1589" i="22"/>
  <c r="S1597" i="22"/>
  <c r="U1597" i="22" s="1"/>
  <c r="P1597" i="22"/>
  <c r="U1601" i="22"/>
  <c r="U1605" i="22"/>
  <c r="X1605" i="22" s="1"/>
  <c r="U1609" i="22"/>
  <c r="X1609" i="22" s="1"/>
  <c r="U1613" i="22"/>
  <c r="X1613" i="22" s="1"/>
  <c r="U1617" i="22"/>
  <c r="Y1677" i="22"/>
  <c r="Z1677" i="22"/>
  <c r="Z1536" i="22"/>
  <c r="Y1536" i="22"/>
  <c r="Z1544" i="22"/>
  <c r="Y1544" i="22"/>
  <c r="Z1560" i="22"/>
  <c r="Y1560" i="22"/>
  <c r="Z1568" i="22"/>
  <c r="Y1568" i="22"/>
  <c r="Z1576" i="22"/>
  <c r="Y1576" i="22"/>
  <c r="Z1592" i="22"/>
  <c r="Y1592" i="22"/>
  <c r="X1625" i="22"/>
  <c r="X1629" i="22"/>
  <c r="X1633" i="22"/>
  <c r="Y1634" i="22"/>
  <c r="Z1634" i="22"/>
  <c r="Z1643" i="22"/>
  <c r="Y1643" i="22"/>
  <c r="Z1651" i="22"/>
  <c r="Y1651" i="22"/>
  <c r="Z1655" i="22"/>
  <c r="Y1655" i="22"/>
  <c r="S1535" i="22"/>
  <c r="U1535" i="22" s="1"/>
  <c r="P1535" i="22"/>
  <c r="S1543" i="22"/>
  <c r="U1543" i="22" s="1"/>
  <c r="P1543" i="22"/>
  <c r="S1551" i="22"/>
  <c r="U1551" i="22" s="1"/>
  <c r="P1551" i="22"/>
  <c r="S1559" i="22"/>
  <c r="U1559" i="22" s="1"/>
  <c r="P1559" i="22"/>
  <c r="S1567" i="22"/>
  <c r="U1567" i="22" s="1"/>
  <c r="P1567" i="22"/>
  <c r="S1575" i="22"/>
  <c r="U1575" i="22" s="1"/>
  <c r="P1575" i="22"/>
  <c r="S1583" i="22"/>
  <c r="U1583" i="22" s="1"/>
  <c r="P1583" i="22"/>
  <c r="S1591" i="22"/>
  <c r="U1591" i="22" s="1"/>
  <c r="P1591" i="22"/>
  <c r="S1599" i="22"/>
  <c r="U1599" i="22" s="1"/>
  <c r="P1599" i="22"/>
  <c r="Y1620" i="22"/>
  <c r="Z1620" i="22"/>
  <c r="X1620" i="22"/>
  <c r="Y1625" i="22"/>
  <c r="Z1625" i="22"/>
  <c r="Y1629" i="22"/>
  <c r="Z1629" i="22"/>
  <c r="Y1633" i="22"/>
  <c r="Z1633" i="22"/>
  <c r="Y1638" i="22"/>
  <c r="Z1638" i="22"/>
  <c r="P1659" i="22"/>
  <c r="S1659" i="22"/>
  <c r="U1659" i="22" s="1"/>
  <c r="Z1689" i="22"/>
  <c r="Y1689" i="22"/>
  <c r="U1439" i="22"/>
  <c r="S1518" i="22"/>
  <c r="U1518" i="22" s="1"/>
  <c r="Y1519" i="22"/>
  <c r="Y1523" i="22"/>
  <c r="U1538" i="22"/>
  <c r="X1538" i="22" s="1"/>
  <c r="U1546" i="22"/>
  <c r="U1554" i="22"/>
  <c r="X1554" i="22" s="1"/>
  <c r="U1562" i="22"/>
  <c r="X1562" i="22" s="1"/>
  <c r="U1570" i="22"/>
  <c r="X1570" i="22" s="1"/>
  <c r="U1578" i="22"/>
  <c r="U1586" i="22"/>
  <c r="X1586" i="22" s="1"/>
  <c r="U1594" i="22"/>
  <c r="X1594" i="22" s="1"/>
  <c r="Y1600" i="22"/>
  <c r="Z1600" i="22"/>
  <c r="Y1604" i="22"/>
  <c r="Z1604" i="22"/>
  <c r="Y1608" i="22"/>
  <c r="Z1608" i="22"/>
  <c r="Y1612" i="22"/>
  <c r="Z1612" i="22"/>
  <c r="Y1616" i="22"/>
  <c r="Z1616" i="22"/>
  <c r="Y1636" i="22"/>
  <c r="Z1636" i="22"/>
  <c r="X1636" i="22"/>
  <c r="U1641" i="22"/>
  <c r="X1653" i="22"/>
  <c r="Z1654" i="22"/>
  <c r="Y1654" i="22"/>
  <c r="Y1673" i="22"/>
  <c r="Z1673" i="22"/>
  <c r="X1674" i="22"/>
  <c r="Y1377" i="22"/>
  <c r="U1378" i="22"/>
  <c r="X1378" i="22" s="1"/>
  <c r="Y1380" i="22"/>
  <c r="Y1385" i="22"/>
  <c r="U1386" i="22"/>
  <c r="X1386" i="22" s="1"/>
  <c r="Y1388" i="22"/>
  <c r="Y1393" i="22"/>
  <c r="U1394" i="22"/>
  <c r="X1394" i="22" s="1"/>
  <c r="Y1396" i="22"/>
  <c r="Y1401" i="22"/>
  <c r="U1402" i="22"/>
  <c r="X1402" i="22" s="1"/>
  <c r="Y1404" i="22"/>
  <c r="Y1409" i="22"/>
  <c r="U1410" i="22"/>
  <c r="Y1412" i="22"/>
  <c r="Y1417" i="22"/>
  <c r="U1418" i="22"/>
  <c r="Y1420" i="22"/>
  <c r="Y1425" i="22"/>
  <c r="U1426" i="22"/>
  <c r="X1426" i="22" s="1"/>
  <c r="Y1428" i="22"/>
  <c r="S1440" i="22"/>
  <c r="U1440" i="22" s="1"/>
  <c r="U1516" i="22"/>
  <c r="X1516" i="22" s="1"/>
  <c r="S1517" i="22"/>
  <c r="U1517" i="22" s="1"/>
  <c r="S1522" i="22"/>
  <c r="U1522" i="22" s="1"/>
  <c r="S1526" i="22"/>
  <c r="U1526" i="22" s="1"/>
  <c r="S1530" i="22"/>
  <c r="U1530" i="22" s="1"/>
  <c r="S1537" i="22"/>
  <c r="U1537" i="22" s="1"/>
  <c r="P1537" i="22"/>
  <c r="S1545" i="22"/>
  <c r="U1545" i="22" s="1"/>
  <c r="P1545" i="22"/>
  <c r="S1553" i="22"/>
  <c r="U1553" i="22" s="1"/>
  <c r="P1553" i="22"/>
  <c r="S1561" i="22"/>
  <c r="U1561" i="22" s="1"/>
  <c r="P1561" i="22"/>
  <c r="S1569" i="22"/>
  <c r="U1569" i="22" s="1"/>
  <c r="P1569" i="22"/>
  <c r="S1577" i="22"/>
  <c r="U1577" i="22" s="1"/>
  <c r="P1577" i="22"/>
  <c r="S1585" i="22"/>
  <c r="U1585" i="22" s="1"/>
  <c r="P1585" i="22"/>
  <c r="S1593" i="22"/>
  <c r="U1593" i="22" s="1"/>
  <c r="P1593" i="22"/>
  <c r="Y1603" i="22"/>
  <c r="X1603" i="22"/>
  <c r="Y1607" i="22"/>
  <c r="X1607" i="22"/>
  <c r="Y1611" i="22"/>
  <c r="X1611" i="22"/>
  <c r="Y1615" i="22"/>
  <c r="X1615" i="22"/>
  <c r="Y1619" i="22"/>
  <c r="X1619" i="22"/>
  <c r="U1624" i="22"/>
  <c r="Z1662" i="22"/>
  <c r="Y1662" i="22"/>
  <c r="Z1778" i="22"/>
  <c r="Y1778" i="22"/>
  <c r="S1795" i="22"/>
  <c r="U1795" i="22" s="1"/>
  <c r="P1795" i="22"/>
  <c r="U1435" i="22"/>
  <c r="U1441" i="22"/>
  <c r="X1441" i="22" s="1"/>
  <c r="U1442" i="22"/>
  <c r="U1443" i="22"/>
  <c r="U1444" i="22"/>
  <c r="U1445" i="22"/>
  <c r="U1446" i="22"/>
  <c r="U1447" i="22"/>
  <c r="U1448" i="22"/>
  <c r="U1449" i="22"/>
  <c r="U1450" i="22"/>
  <c r="U1451" i="22"/>
  <c r="U1452" i="22"/>
  <c r="X1452" i="22" s="1"/>
  <c r="U1453" i="22"/>
  <c r="X1453" i="22" s="1"/>
  <c r="U1454" i="22"/>
  <c r="U1455" i="22"/>
  <c r="U1456" i="22"/>
  <c r="X1456" i="22" s="1"/>
  <c r="U1457" i="22"/>
  <c r="U1458" i="22"/>
  <c r="U1459" i="22"/>
  <c r="U1460" i="22"/>
  <c r="X1460" i="22" s="1"/>
  <c r="U1461" i="22"/>
  <c r="X1461" i="22" s="1"/>
  <c r="U1462" i="22"/>
  <c r="U1463" i="22"/>
  <c r="U1464" i="22"/>
  <c r="X1464" i="22" s="1"/>
  <c r="U1465" i="22"/>
  <c r="U1466" i="22"/>
  <c r="U1467" i="22"/>
  <c r="U1468" i="22"/>
  <c r="X1468" i="22" s="1"/>
  <c r="U1469" i="22"/>
  <c r="X1469" i="22" s="1"/>
  <c r="U1470" i="22"/>
  <c r="X1470" i="22" s="1"/>
  <c r="U1471" i="22"/>
  <c r="U1472" i="22"/>
  <c r="X1472" i="22" s="1"/>
  <c r="U1473" i="22"/>
  <c r="U1474" i="22"/>
  <c r="U1475" i="22"/>
  <c r="U1476" i="22"/>
  <c r="X1476" i="22" s="1"/>
  <c r="U1477" i="22"/>
  <c r="X1477" i="22" s="1"/>
  <c r="U1478" i="22"/>
  <c r="X1478" i="22" s="1"/>
  <c r="U1479" i="22"/>
  <c r="U1480" i="22"/>
  <c r="X1480" i="22" s="1"/>
  <c r="U1481" i="22"/>
  <c r="X1481" i="22" s="1"/>
  <c r="U1482" i="22"/>
  <c r="U1483" i="22"/>
  <c r="U1484" i="22"/>
  <c r="X1484" i="22" s="1"/>
  <c r="U1485" i="22"/>
  <c r="U1486" i="22"/>
  <c r="U1487" i="22"/>
  <c r="U1488" i="22"/>
  <c r="X1488" i="22" s="1"/>
  <c r="U1489" i="22"/>
  <c r="X1489" i="22" s="1"/>
  <c r="U1490" i="22"/>
  <c r="X1490" i="22" s="1"/>
  <c r="U1491" i="22"/>
  <c r="U1492" i="22"/>
  <c r="X1492" i="22" s="1"/>
  <c r="U1493" i="22"/>
  <c r="U1494" i="22"/>
  <c r="U1495" i="22"/>
  <c r="U1496" i="22"/>
  <c r="X1496" i="22" s="1"/>
  <c r="U1497" i="22"/>
  <c r="X1497" i="22" s="1"/>
  <c r="U1498" i="22"/>
  <c r="X1498" i="22" s="1"/>
  <c r="U1499" i="22"/>
  <c r="U1500" i="22"/>
  <c r="U1501" i="22"/>
  <c r="U1502" i="22"/>
  <c r="U1503" i="22"/>
  <c r="U1504" i="22"/>
  <c r="U1505" i="22"/>
  <c r="X1505" i="22" s="1"/>
  <c r="U1506" i="22"/>
  <c r="U1507" i="22"/>
  <c r="U1508" i="22"/>
  <c r="U1509" i="22"/>
  <c r="U1510" i="22"/>
  <c r="U1511" i="22"/>
  <c r="U1512" i="22"/>
  <c r="U1513" i="22"/>
  <c r="U1514" i="22"/>
  <c r="U1515" i="22"/>
  <c r="U1521" i="22"/>
  <c r="X1521" i="22" s="1"/>
  <c r="U1525" i="22"/>
  <c r="U1529" i="22"/>
  <c r="X1529" i="22" s="1"/>
  <c r="U1532" i="22"/>
  <c r="U1540" i="22"/>
  <c r="X1540" i="22" s="1"/>
  <c r="U1548" i="22"/>
  <c r="X1548" i="22" s="1"/>
  <c r="U1556" i="22"/>
  <c r="X1556" i="22" s="1"/>
  <c r="U1564" i="22"/>
  <c r="U1572" i="22"/>
  <c r="X1572" i="22" s="1"/>
  <c r="U1580" i="22"/>
  <c r="X1580" i="22" s="1"/>
  <c r="U1588" i="22"/>
  <c r="X1588" i="22" s="1"/>
  <c r="U1596" i="22"/>
  <c r="Z1653" i="22"/>
  <c r="Y1653" i="22"/>
  <c r="Z1674" i="22"/>
  <c r="Y1674" i="22"/>
  <c r="T1687" i="22"/>
  <c r="Z1733" i="22"/>
  <c r="Y1733" i="22"/>
  <c r="Z1774" i="22"/>
  <c r="Y1774" i="22"/>
  <c r="W1889" i="22"/>
  <c r="Z1888" i="22"/>
  <c r="Y1888" i="22"/>
  <c r="W1891" i="22"/>
  <c r="W1890" i="22"/>
  <c r="Z1626" i="22"/>
  <c r="Z1630" i="22"/>
  <c r="Z1650" i="22"/>
  <c r="X1661" i="22"/>
  <c r="T1663" i="22"/>
  <c r="S1664" i="22"/>
  <c r="U1664" i="22" s="1"/>
  <c r="T1666" i="22"/>
  <c r="T1686" i="22"/>
  <c r="S1687" i="22"/>
  <c r="U1687" i="22" s="1"/>
  <c r="O2715" i="22"/>
  <c r="H1699" i="22"/>
  <c r="J1699" i="22" s="1"/>
  <c r="S1730" i="22"/>
  <c r="U1730" i="22" s="1"/>
  <c r="P1730" i="22"/>
  <c r="X1744" i="22"/>
  <c r="Y1765" i="22"/>
  <c r="X1765" i="22"/>
  <c r="X1780" i="22"/>
  <c r="S1784" i="22"/>
  <c r="U1784" i="22" s="1"/>
  <c r="P1784" i="22"/>
  <c r="Z1799" i="22"/>
  <c r="Y1799" i="22"/>
  <c r="Z1823" i="22"/>
  <c r="Y1823" i="22"/>
  <c r="U1824" i="22"/>
  <c r="T1659" i="22"/>
  <c r="S1660" i="22"/>
  <c r="U1660" i="22" s="1"/>
  <c r="X1660" i="22" s="1"/>
  <c r="S1663" i="22"/>
  <c r="U1663" i="22" s="1"/>
  <c r="Z1666" i="22"/>
  <c r="Y1666" i="22"/>
  <c r="S1683" i="22"/>
  <c r="U1683" i="22" s="1"/>
  <c r="U1741" i="22"/>
  <c r="Z1747" i="22"/>
  <c r="Y1747" i="22"/>
  <c r="S1754" i="22"/>
  <c r="U1754" i="22" s="1"/>
  <c r="P1754" i="22"/>
  <c r="Z1756" i="22"/>
  <c r="Y1756" i="22"/>
  <c r="U1760" i="22"/>
  <c r="T1760" i="22"/>
  <c r="Z1768" i="22"/>
  <c r="Y1768" i="22"/>
  <c r="X1776" i="22"/>
  <c r="X1777" i="22"/>
  <c r="U1782" i="22"/>
  <c r="X1782" i="22" s="1"/>
  <c r="U1808" i="22"/>
  <c r="Y1828" i="22"/>
  <c r="Z1828" i="22"/>
  <c r="Z1910" i="22"/>
  <c r="Y1910" i="22"/>
  <c r="X1910" i="22"/>
  <c r="Z1645" i="22"/>
  <c r="Y1645" i="22"/>
  <c r="T1662" i="22"/>
  <c r="Z1686" i="22"/>
  <c r="Y1686" i="22"/>
  <c r="U1695" i="22"/>
  <c r="X1695" i="22" s="1"/>
  <c r="Z1715" i="22"/>
  <c r="Y1715" i="22"/>
  <c r="U1719" i="22"/>
  <c r="S1732" i="22"/>
  <c r="U1732" i="22" s="1"/>
  <c r="P1732" i="22"/>
  <c r="Z1735" i="22"/>
  <c r="Y1735" i="22"/>
  <c r="U1736" i="22"/>
  <c r="U1751" i="22"/>
  <c r="Z1772" i="22"/>
  <c r="Y1772" i="22"/>
  <c r="S1793" i="22"/>
  <c r="U1793" i="22" s="1"/>
  <c r="P1793" i="22"/>
  <c r="S1797" i="22"/>
  <c r="U1797" i="22" s="1"/>
  <c r="P1797" i="22"/>
  <c r="Z1798" i="22"/>
  <c r="Y1798" i="22"/>
  <c r="T1658" i="22"/>
  <c r="X1677" i="22"/>
  <c r="U1682" i="22"/>
  <c r="T1682" i="22"/>
  <c r="S1688" i="22"/>
  <c r="U1688" i="22" s="1"/>
  <c r="P1688" i="22"/>
  <c r="U1705" i="22"/>
  <c r="U1711" i="22"/>
  <c r="Z1739" i="22"/>
  <c r="Z1743" i="22"/>
  <c r="Y1743" i="22"/>
  <c r="Z1770" i="22"/>
  <c r="Y1770" i="22"/>
  <c r="Y1773" i="22"/>
  <c r="Z1773" i="22"/>
  <c r="Z1776" i="22"/>
  <c r="Y1776" i="22"/>
  <c r="Z1787" i="22"/>
  <c r="Y1787" i="22"/>
  <c r="U1790" i="22"/>
  <c r="X1602" i="22"/>
  <c r="X1606" i="22"/>
  <c r="X1610" i="22"/>
  <c r="X1614" i="22"/>
  <c r="X1618" i="22"/>
  <c r="Z1621" i="22"/>
  <c r="Z1628" i="22"/>
  <c r="Z1632" i="22"/>
  <c r="Z1640" i="22"/>
  <c r="U1648" i="22"/>
  <c r="X1648" i="22" s="1"/>
  <c r="U1658" i="22"/>
  <c r="T1675" i="22"/>
  <c r="S1676" i="22"/>
  <c r="U1676" i="22" s="1"/>
  <c r="T1679" i="22"/>
  <c r="S1680" i="22"/>
  <c r="U1680" i="22" s="1"/>
  <c r="X1689" i="22"/>
  <c r="U1692" i="22"/>
  <c r="U1694" i="22"/>
  <c r="X1694" i="22" s="1"/>
  <c r="Z1703" i="22"/>
  <c r="Y1703" i="22"/>
  <c r="Z1734" i="22"/>
  <c r="Y1734" i="22"/>
  <c r="S1742" i="22"/>
  <c r="U1742" i="22" s="1"/>
  <c r="P1742" i="22"/>
  <c r="Z1746" i="22"/>
  <c r="Y1746" i="22"/>
  <c r="X1753" i="22"/>
  <c r="X1772" i="22"/>
  <c r="U1788" i="22"/>
  <c r="U1789" i="22"/>
  <c r="U1837" i="22"/>
  <c r="Z1602" i="22"/>
  <c r="Z1606" i="22"/>
  <c r="Z1610" i="22"/>
  <c r="Z1614" i="22"/>
  <c r="Z1618" i="22"/>
  <c r="U1642" i="22"/>
  <c r="X1669" i="22"/>
  <c r="X1673" i="22"/>
  <c r="S1675" i="22"/>
  <c r="U1675" i="22" s="1"/>
  <c r="T1678" i="22"/>
  <c r="S1679" i="22"/>
  <c r="U1679" i="22" s="1"/>
  <c r="X1684" i="22"/>
  <c r="U1691" i="22"/>
  <c r="U1693" i="22"/>
  <c r="U1698" i="22"/>
  <c r="S1699" i="22"/>
  <c r="U1699" i="22" s="1"/>
  <c r="Z1706" i="22"/>
  <c r="Y1706" i="22"/>
  <c r="U1729" i="22"/>
  <c r="X1729" i="22" s="1"/>
  <c r="X1731" i="22"/>
  <c r="U1762" i="22"/>
  <c r="X1773" i="22"/>
  <c r="U1779" i="22"/>
  <c r="T1779" i="22"/>
  <c r="Z1780" i="22"/>
  <c r="Y1781" i="22"/>
  <c r="Z1781" i="22"/>
  <c r="X1805" i="22"/>
  <c r="Y1977" i="22"/>
  <c r="Z1637" i="22"/>
  <c r="Y1637" i="22"/>
  <c r="Z1649" i="22"/>
  <c r="Y1649" i="22"/>
  <c r="U1667" i="22"/>
  <c r="T1667" i="22"/>
  <c r="S1668" i="22"/>
  <c r="U1668" i="22" s="1"/>
  <c r="X1668" i="22" s="1"/>
  <c r="U1671" i="22"/>
  <c r="T1671" i="22"/>
  <c r="S1672" i="22"/>
  <c r="U1672" i="22" s="1"/>
  <c r="Z1681" i="22"/>
  <c r="Y1681" i="22"/>
  <c r="S1728" i="22"/>
  <c r="U1728" i="22" s="1"/>
  <c r="P1728" i="22"/>
  <c r="X1735" i="22"/>
  <c r="P1737" i="22"/>
  <c r="S1737" i="22"/>
  <c r="U1737" i="22" s="1"/>
  <c r="U1738" i="22"/>
  <c r="X1738" i="22" s="1"/>
  <c r="Z1744" i="22"/>
  <c r="Y1744" i="22"/>
  <c r="U1775" i="22"/>
  <c r="T1783" i="22"/>
  <c r="U1786" i="22"/>
  <c r="S1791" i="22"/>
  <c r="U1791" i="22" s="1"/>
  <c r="P1791" i="22"/>
  <c r="U1811" i="22"/>
  <c r="W1848" i="22"/>
  <c r="Z1847" i="22"/>
  <c r="Y1847" i="22"/>
  <c r="W1849" i="22"/>
  <c r="X1847" i="22"/>
  <c r="T1683" i="22"/>
  <c r="Y1740" i="22"/>
  <c r="P1761" i="22"/>
  <c r="X1761" i="22" s="1"/>
  <c r="Y1766" i="22"/>
  <c r="T1775" i="22"/>
  <c r="S1783" i="22"/>
  <c r="U1783" i="22" s="1"/>
  <c r="O2716" i="22"/>
  <c r="P1825" i="22"/>
  <c r="X1825" i="22" s="1"/>
  <c r="S1839" i="22"/>
  <c r="U1839" i="22" s="1"/>
  <c r="S1868" i="22"/>
  <c r="U1868" i="22" s="1"/>
  <c r="P1868" i="22"/>
  <c r="W1873" i="22"/>
  <c r="Z1872" i="22"/>
  <c r="Y1872" i="22"/>
  <c r="W1875" i="22"/>
  <c r="W1874" i="22"/>
  <c r="U1892" i="22"/>
  <c r="X1892" i="22" s="1"/>
  <c r="X1909" i="22"/>
  <c r="X1925" i="22"/>
  <c r="X1945" i="22"/>
  <c r="X1969" i="22"/>
  <c r="S1830" i="22"/>
  <c r="U1830" i="22" s="1"/>
  <c r="S1840" i="22"/>
  <c r="U1840" i="22" s="1"/>
  <c r="W1857" i="22"/>
  <c r="Z1856" i="22"/>
  <c r="Y1856" i="22"/>
  <c r="W1859" i="22"/>
  <c r="W1858" i="22"/>
  <c r="W1866" i="22"/>
  <c r="W1865" i="22"/>
  <c r="Z1864" i="22"/>
  <c r="Y1864" i="22"/>
  <c r="W1867" i="22"/>
  <c r="X1888" i="22"/>
  <c r="W1898" i="22"/>
  <c r="W1897" i="22"/>
  <c r="Z1896" i="22"/>
  <c r="Y1896" i="22"/>
  <c r="W1899" i="22"/>
  <c r="Y1945" i="22"/>
  <c r="W1947" i="22"/>
  <c r="W1948" i="22"/>
  <c r="W1946" i="22"/>
  <c r="W1816" i="22"/>
  <c r="U1833" i="22"/>
  <c r="W1842" i="22"/>
  <c r="Z1841" i="22"/>
  <c r="Y1841" i="22"/>
  <c r="W1843" i="22"/>
  <c r="U1850" i="22"/>
  <c r="X1850" i="22" s="1"/>
  <c r="S1884" i="22"/>
  <c r="U1884" i="22" s="1"/>
  <c r="P1884" i="22"/>
  <c r="W1905" i="22"/>
  <c r="Z1904" i="22"/>
  <c r="Y1904" i="22"/>
  <c r="W1907" i="22"/>
  <c r="W1906" i="22"/>
  <c r="Z1917" i="22"/>
  <c r="Y1917" i="22"/>
  <c r="Z1933" i="22"/>
  <c r="Y1933" i="22"/>
  <c r="W1939" i="22"/>
  <c r="W1940" i="22"/>
  <c r="W1938" i="22"/>
  <c r="Z1937" i="22"/>
  <c r="Y1937" i="22"/>
  <c r="W1971" i="22"/>
  <c r="Y1969" i="22"/>
  <c r="W1972" i="22"/>
  <c r="W1970" i="22"/>
  <c r="Z1969" i="22"/>
  <c r="U2001" i="22"/>
  <c r="U2198" i="22"/>
  <c r="T1758" i="22"/>
  <c r="W1818" i="22"/>
  <c r="Z1817" i="22"/>
  <c r="X1828" i="22"/>
  <c r="S1845" i="22"/>
  <c r="U1845" i="22" s="1"/>
  <c r="P1845" i="22"/>
  <c r="Y1909" i="22"/>
  <c r="W1912" i="22"/>
  <c r="W1911" i="22"/>
  <c r="Y1925" i="22"/>
  <c r="W1928" i="22"/>
  <c r="W1927" i="22"/>
  <c r="U1961" i="22"/>
  <c r="P1981" i="22"/>
  <c r="S1981" i="22"/>
  <c r="U1981" i="22" s="1"/>
  <c r="P1715" i="22"/>
  <c r="X1715" i="22" s="1"/>
  <c r="P1733" i="22"/>
  <c r="X1733" i="22" s="1"/>
  <c r="P1743" i="22"/>
  <c r="X1743" i="22" s="1"/>
  <c r="P1748" i="22"/>
  <c r="X1748" i="22" s="1"/>
  <c r="Y1753" i="22"/>
  <c r="T1754" i="22"/>
  <c r="U1755" i="22"/>
  <c r="P1763" i="22"/>
  <c r="Y1764" i="22"/>
  <c r="T1765" i="22"/>
  <c r="T1766" i="22"/>
  <c r="P1774" i="22"/>
  <c r="X1774" i="22" s="1"/>
  <c r="T1777" i="22"/>
  <c r="P1778" i="22"/>
  <c r="X1778" i="22" s="1"/>
  <c r="T1784" i="22"/>
  <c r="Y1814" i="22"/>
  <c r="P1823" i="22"/>
  <c r="X1823" i="22" s="1"/>
  <c r="Y1825" i="22"/>
  <c r="U1826" i="22"/>
  <c r="U1827" i="22"/>
  <c r="U1831" i="22"/>
  <c r="S1860" i="22"/>
  <c r="U1860" i="22" s="1"/>
  <c r="U1876" i="22"/>
  <c r="X1876" i="22" s="1"/>
  <c r="X1904" i="22"/>
  <c r="Z1909" i="22"/>
  <c r="U1913" i="22"/>
  <c r="Z1925" i="22"/>
  <c r="U1929" i="22"/>
  <c r="X1937" i="22"/>
  <c r="H2013" i="22"/>
  <c r="J2013" i="22" s="1"/>
  <c r="Z1749" i="22"/>
  <c r="U1758" i="22"/>
  <c r="S1759" i="22"/>
  <c r="U1759" i="22" s="1"/>
  <c r="X1759" i="22" s="1"/>
  <c r="Y1761" i="22"/>
  <c r="T1762" i="22"/>
  <c r="U1763" i="22"/>
  <c r="T1773" i="22"/>
  <c r="P1798" i="22"/>
  <c r="X1798" i="22" s="1"/>
  <c r="S1800" i="22"/>
  <c r="U1800" i="22" s="1"/>
  <c r="Y1801" i="22"/>
  <c r="Z1814" i="22"/>
  <c r="W1815" i="22"/>
  <c r="Y1817" i="22"/>
  <c r="S1846" i="22"/>
  <c r="U1846" i="22" s="1"/>
  <c r="S1853" i="22"/>
  <c r="U1853" i="22" s="1"/>
  <c r="P1853" i="22"/>
  <c r="S1900" i="22"/>
  <c r="U1900" i="22" s="1"/>
  <c r="P1900" i="22"/>
  <c r="P1949" i="22"/>
  <c r="S1949" i="22"/>
  <c r="U1949" i="22" s="1"/>
  <c r="S1767" i="22"/>
  <c r="U1767" i="22" s="1"/>
  <c r="U1771" i="22"/>
  <c r="T1782" i="22"/>
  <c r="S1792" i="22"/>
  <c r="U1792" i="22" s="1"/>
  <c r="U1796" i="22"/>
  <c r="X1796" i="22" s="1"/>
  <c r="W1819" i="22"/>
  <c r="S1829" i="22"/>
  <c r="U1829" i="22" s="1"/>
  <c r="X1829" i="22" s="1"/>
  <c r="W1882" i="22"/>
  <c r="W1881" i="22"/>
  <c r="Z1880" i="22"/>
  <c r="Y1880" i="22"/>
  <c r="W1883" i="22"/>
  <c r="W1908" i="22"/>
  <c r="X1977" i="22"/>
  <c r="X1988" i="22"/>
  <c r="Z1988" i="22"/>
  <c r="Y1988" i="22"/>
  <c r="U2009" i="22"/>
  <c r="S2029" i="22"/>
  <c r="U2029" i="22" s="1"/>
  <c r="P2029" i="22"/>
  <c r="S1957" i="22"/>
  <c r="U1957" i="22" s="1"/>
  <c r="Z1973" i="22"/>
  <c r="W1975" i="22"/>
  <c r="S1989" i="22"/>
  <c r="U1989" i="22" s="1"/>
  <c r="U2033" i="22"/>
  <c r="Z2061" i="22"/>
  <c r="Y2061" i="22"/>
  <c r="W2095" i="22"/>
  <c r="W2096" i="22"/>
  <c r="W2094" i="22"/>
  <c r="Z2093" i="22"/>
  <c r="S2113" i="22"/>
  <c r="U2113" i="22" s="1"/>
  <c r="P2113" i="22"/>
  <c r="X2180" i="22"/>
  <c r="W2183" i="22"/>
  <c r="W2185" i="22"/>
  <c r="W2181" i="22"/>
  <c r="Y2069" i="22"/>
  <c r="W2070" i="22"/>
  <c r="Z2069" i="22"/>
  <c r="X2069" i="22"/>
  <c r="W2072" i="22"/>
  <c r="W2071" i="22"/>
  <c r="W2080" i="22"/>
  <c r="Y2112" i="22"/>
  <c r="Z2112" i="22"/>
  <c r="X2112" i="22"/>
  <c r="W2126" i="22"/>
  <c r="W1976" i="22"/>
  <c r="S2013" i="22"/>
  <c r="U2013" i="22" s="1"/>
  <c r="P2013" i="22"/>
  <c r="U2021" i="22"/>
  <c r="X2021" i="22" s="1"/>
  <c r="U2041" i="22"/>
  <c r="Z2105" i="22"/>
  <c r="Y2105" i="22"/>
  <c r="Z2228" i="22"/>
  <c r="Y2228" i="22"/>
  <c r="W2233" i="22"/>
  <c r="W2232" i="22"/>
  <c r="W2231" i="22"/>
  <c r="W2230" i="22"/>
  <c r="W2229" i="22"/>
  <c r="W1955" i="22"/>
  <c r="Y1953" i="22"/>
  <c r="W1987" i="22"/>
  <c r="Y1985" i="22"/>
  <c r="S2045" i="22"/>
  <c r="U2045" i="22" s="1"/>
  <c r="P2045" i="22"/>
  <c r="P2057" i="22"/>
  <c r="S2057" i="22"/>
  <c r="U2057" i="22" s="1"/>
  <c r="W2154" i="22"/>
  <c r="Z2153" i="22"/>
  <c r="Y2153" i="22"/>
  <c r="W2156" i="22"/>
  <c r="W2157" i="22"/>
  <c r="W2155" i="22"/>
  <c r="P1917" i="22"/>
  <c r="X1917" i="22" s="1"/>
  <c r="P1933" i="22"/>
  <c r="X1933" i="22" s="1"/>
  <c r="X1953" i="22"/>
  <c r="X1985" i="22"/>
  <c r="U2017" i="22"/>
  <c r="Y2037" i="22"/>
  <c r="W2040" i="22"/>
  <c r="W2039" i="22"/>
  <c r="Y2053" i="22"/>
  <c r="W2055" i="22"/>
  <c r="W2054" i="22"/>
  <c r="Z2053" i="22"/>
  <c r="X2053" i="22"/>
  <c r="W2056" i="22"/>
  <c r="Z1953" i="22"/>
  <c r="W1954" i="22"/>
  <c r="Z1985" i="22"/>
  <c r="W1986" i="22"/>
  <c r="U2005" i="22"/>
  <c r="U2025" i="22"/>
  <c r="Y2085" i="22"/>
  <c r="W2087" i="22"/>
  <c r="W2086" i="22"/>
  <c r="Z2085" i="22"/>
  <c r="U2101" i="22"/>
  <c r="W2124" i="22"/>
  <c r="Z2123" i="22"/>
  <c r="W2125" i="22"/>
  <c r="Y2123" i="22"/>
  <c r="W2127" i="22"/>
  <c r="S2133" i="22"/>
  <c r="U2133" i="22" s="1"/>
  <c r="P2133" i="22"/>
  <c r="W2152" i="22"/>
  <c r="W2149" i="22"/>
  <c r="Z2148" i="22"/>
  <c r="Y2148" i="22"/>
  <c r="W2150" i="22"/>
  <c r="P2163" i="22"/>
  <c r="S2163" i="22"/>
  <c r="U2163" i="22" s="1"/>
  <c r="S1965" i="22"/>
  <c r="U1965" i="22" s="1"/>
  <c r="U1997" i="22"/>
  <c r="W2038" i="22"/>
  <c r="W2130" i="22"/>
  <c r="S2089" i="22"/>
  <c r="U2089" i="22" s="1"/>
  <c r="W2120" i="22"/>
  <c r="S2143" i="22"/>
  <c r="U2143" i="22" s="1"/>
  <c r="X2168" i="22"/>
  <c r="W2172" i="22"/>
  <c r="U2081" i="22"/>
  <c r="U2158" i="22"/>
  <c r="X2158" i="22" s="1"/>
  <c r="W2170" i="22"/>
  <c r="W2197" i="22"/>
  <c r="W2195" i="22"/>
  <c r="W2193" i="22"/>
  <c r="Z2192" i="22"/>
  <c r="Y2192" i="22"/>
  <c r="W2213" i="22"/>
  <c r="W2079" i="22"/>
  <c r="S2138" i="22"/>
  <c r="U2138" i="22" s="1"/>
  <c r="P2138" i="22"/>
  <c r="W2173" i="22"/>
  <c r="Y2168" i="22"/>
  <c r="W2169" i="22"/>
  <c r="H2192" i="22"/>
  <c r="J2192" i="22" s="1"/>
  <c r="W2110" i="22"/>
  <c r="Z2109" i="22"/>
  <c r="W2121" i="22"/>
  <c r="H2180" i="22"/>
  <c r="J2180" i="22" s="1"/>
  <c r="W2196" i="22"/>
  <c r="S2204" i="22"/>
  <c r="U2204" i="22" s="1"/>
  <c r="P2204" i="22"/>
  <c r="P2061" i="22"/>
  <c r="X2061" i="22" s="1"/>
  <c r="Y2077" i="22"/>
  <c r="U2097" i="22"/>
  <c r="P2105" i="22"/>
  <c r="X2105" i="22" s="1"/>
  <c r="H2143" i="22"/>
  <c r="J2143" i="22" s="1"/>
  <c r="H2163" i="22"/>
  <c r="J2163" i="22" s="1"/>
  <c r="H2168" i="22"/>
  <c r="J2168" i="22" s="1"/>
  <c r="J2186" i="22"/>
  <c r="W2215" i="22"/>
  <c r="W2212" i="22"/>
  <c r="Z2210" i="22"/>
  <c r="W2211" i="22"/>
  <c r="Y2210" i="22"/>
  <c r="W2214" i="22"/>
  <c r="S2073" i="22"/>
  <c r="U2073" i="22" s="1"/>
  <c r="Z2077" i="22"/>
  <c r="W2078" i="22"/>
  <c r="Y2109" i="22"/>
  <c r="Y2118" i="22"/>
  <c r="X2122" i="22"/>
  <c r="X2153" i="22"/>
  <c r="S2186" i="22"/>
  <c r="U2186" i="22" s="1"/>
  <c r="P2186" i="22"/>
  <c r="Z2222" i="22"/>
  <c r="Y2222" i="22"/>
  <c r="U2065" i="22"/>
  <c r="X2065" i="22" s="1"/>
  <c r="W2111" i="22"/>
  <c r="Z2118" i="22"/>
  <c r="W2119" i="22"/>
  <c r="W2179" i="22"/>
  <c r="W2177" i="22"/>
  <c r="W2175" i="22"/>
  <c r="Z2174" i="22"/>
  <c r="Y2174" i="22"/>
  <c r="W2178" i="22"/>
  <c r="W2176" i="22"/>
  <c r="W2194" i="22"/>
  <c r="X2234" i="22"/>
  <c r="U2252" i="22"/>
  <c r="X2252" i="22" s="1"/>
  <c r="W2287" i="22"/>
  <c r="W2285" i="22"/>
  <c r="W2283" i="22"/>
  <c r="Z2282" i="22"/>
  <c r="Y2282" i="22"/>
  <c r="W2286" i="22"/>
  <c r="H2324" i="22"/>
  <c r="J2324" i="22" s="1"/>
  <c r="H2336" i="22"/>
  <c r="J2336" i="22" s="1"/>
  <c r="J2222" i="22"/>
  <c r="H2228" i="22"/>
  <c r="J2228" i="22" s="1"/>
  <c r="W2244" i="22"/>
  <c r="W2245" i="22"/>
  <c r="W2243" i="22"/>
  <c r="W2241" i="22"/>
  <c r="Z2240" i="22"/>
  <c r="Y2240" i="22"/>
  <c r="H2246" i="22"/>
  <c r="J2246" i="22" s="1"/>
  <c r="U2300" i="22"/>
  <c r="X2300" i="22" s="1"/>
  <c r="W2284" i="22"/>
  <c r="W2365" i="22"/>
  <c r="W2362" i="22"/>
  <c r="W2364" i="22"/>
  <c r="Y2360" i="22"/>
  <c r="W2363" i="22"/>
  <c r="W2361" i="22"/>
  <c r="Z2360" i="22"/>
  <c r="W2182" i="22"/>
  <c r="W2184" i="22"/>
  <c r="W2238" i="22"/>
  <c r="W2236" i="22"/>
  <c r="W2239" i="22"/>
  <c r="W2237" i="22"/>
  <c r="W2235" i="22"/>
  <c r="H2240" i="22"/>
  <c r="J2240" i="22" s="1"/>
  <c r="Y2258" i="22"/>
  <c r="U2216" i="22"/>
  <c r="X2216" i="22" s="1"/>
  <c r="P2222" i="22"/>
  <c r="W2224" i="22" s="1"/>
  <c r="Y2234" i="22"/>
  <c r="X2246" i="22"/>
  <c r="J2270" i="22"/>
  <c r="U2276" i="22"/>
  <c r="X2276" i="22" s="1"/>
  <c r="U2288" i="22"/>
  <c r="X2288" i="22" s="1"/>
  <c r="Y2180" i="22"/>
  <c r="J2204" i="22"/>
  <c r="J2210" i="22"/>
  <c r="X2228" i="22"/>
  <c r="Z2234" i="22"/>
  <c r="H2282" i="22"/>
  <c r="W2251" i="22"/>
  <c r="W2249" i="22"/>
  <c r="W2247" i="22"/>
  <c r="Z2246" i="22"/>
  <c r="Y2246" i="22"/>
  <c r="W2250" i="22"/>
  <c r="W2248" i="22"/>
  <c r="Z2258" i="22"/>
  <c r="H2276" i="22"/>
  <c r="J2276" i="22" s="1"/>
  <c r="H2306" i="22"/>
  <c r="J2306" i="22" s="1"/>
  <c r="P2258" i="22"/>
  <c r="X2258" i="22" s="1"/>
  <c r="Y2264" i="22"/>
  <c r="P2294" i="22"/>
  <c r="J2312" i="22"/>
  <c r="J2348" i="22"/>
  <c r="H2378" i="22"/>
  <c r="J2378" i="22" s="1"/>
  <c r="Z2264" i="22"/>
  <c r="U2294" i="22"/>
  <c r="S2306" i="22"/>
  <c r="U2306" i="22" s="1"/>
  <c r="X2306" i="22" s="1"/>
  <c r="S2324" i="22"/>
  <c r="U2324" i="22" s="1"/>
  <c r="P2324" i="22"/>
  <c r="H2330" i="22"/>
  <c r="J2330" i="22" s="1"/>
  <c r="H2342" i="22"/>
  <c r="J2342" i="22" s="1"/>
  <c r="W2265" i="22"/>
  <c r="W2267" i="22"/>
  <c r="W2269" i="22"/>
  <c r="U2468" i="22"/>
  <c r="X2348" i="22"/>
  <c r="W2353" i="22"/>
  <c r="W2389" i="22"/>
  <c r="W2386" i="22"/>
  <c r="W2388" i="22"/>
  <c r="Y2384" i="22"/>
  <c r="W2387" i="22"/>
  <c r="W2385" i="22"/>
  <c r="Z2384" i="22"/>
  <c r="J2258" i="22"/>
  <c r="J2282" i="22"/>
  <c r="J2294" i="22"/>
  <c r="S2330" i="22"/>
  <c r="U2330" i="22" s="1"/>
  <c r="H2360" i="22"/>
  <c r="J2360" i="22" s="1"/>
  <c r="S2378" i="22"/>
  <c r="U2378" i="22" s="1"/>
  <c r="P2378" i="22"/>
  <c r="W2401" i="22"/>
  <c r="W2399" i="22"/>
  <c r="W2398" i="22"/>
  <c r="Z2396" i="22"/>
  <c r="W2397" i="22"/>
  <c r="Y2396" i="22"/>
  <c r="W2400" i="22"/>
  <c r="H2300" i="22"/>
  <c r="J2300" i="22" s="1"/>
  <c r="U2312" i="22"/>
  <c r="X2312" i="22" s="1"/>
  <c r="H2318" i="22"/>
  <c r="J2318" i="22" s="1"/>
  <c r="U2342" i="22"/>
  <c r="S2366" i="22"/>
  <c r="U2366" i="22" s="1"/>
  <c r="P2366" i="22"/>
  <c r="Z2426" i="22"/>
  <c r="W2428" i="22"/>
  <c r="W2430" i="22"/>
  <c r="W2427" i="22"/>
  <c r="Y2426" i="22"/>
  <c r="W2429" i="22"/>
  <c r="W2431" i="22"/>
  <c r="W2266" i="22"/>
  <c r="U2336" i="22"/>
  <c r="X2336" i="22" s="1"/>
  <c r="W2374" i="22"/>
  <c r="W2376" i="22"/>
  <c r="W2373" i="22"/>
  <c r="Z2372" i="22"/>
  <c r="Y2372" i="22"/>
  <c r="W2377" i="22"/>
  <c r="Z2436" i="22"/>
  <c r="U2318" i="22"/>
  <c r="J2372" i="22"/>
  <c r="H2396" i="22"/>
  <c r="S2438" i="22"/>
  <c r="U2438" i="22" s="1"/>
  <c r="P2438" i="22"/>
  <c r="W2448" i="22"/>
  <c r="W2445" i="22"/>
  <c r="Z2444" i="22"/>
  <c r="W2449" i="22"/>
  <c r="W2447" i="22"/>
  <c r="W2446" i="22"/>
  <c r="Y2444" i="22"/>
  <c r="J2396" i="22"/>
  <c r="J2408" i="22"/>
  <c r="W2350" i="22"/>
  <c r="W2352" i="22"/>
  <c r="W2349" i="22"/>
  <c r="Z2348" i="22"/>
  <c r="Y2348" i="22"/>
  <c r="W2351" i="22"/>
  <c r="X2384" i="22"/>
  <c r="W2435" i="22"/>
  <c r="W2434" i="22"/>
  <c r="Z2432" i="22"/>
  <c r="W2433" i="22"/>
  <c r="Y2432" i="22"/>
  <c r="W2437" i="22"/>
  <c r="J2444" i="22"/>
  <c r="X2372" i="22"/>
  <c r="S2390" i="22"/>
  <c r="U2390" i="22" s="1"/>
  <c r="X2396" i="22"/>
  <c r="X2408" i="22"/>
  <c r="W2425" i="22"/>
  <c r="W2424" i="22"/>
  <c r="W2423" i="22"/>
  <c r="W2422" i="22"/>
  <c r="Z2420" i="22"/>
  <c r="W2421" i="22"/>
  <c r="Y2420" i="22"/>
  <c r="X2432" i="22"/>
  <c r="U2354" i="22"/>
  <c r="X2354" i="22" s="1"/>
  <c r="X2360" i="22"/>
  <c r="U2402" i="22"/>
  <c r="X2402" i="22" s="1"/>
  <c r="S2414" i="22"/>
  <c r="U2414" i="22" s="1"/>
  <c r="X2426" i="22"/>
  <c r="H2456" i="22"/>
  <c r="J2456" i="22" s="1"/>
  <c r="W2411" i="22"/>
  <c r="W2410" i="22"/>
  <c r="Z2408" i="22"/>
  <c r="W2409" i="22"/>
  <c r="Y2408" i="22"/>
  <c r="W2413" i="22"/>
  <c r="J2420" i="22"/>
  <c r="H2474" i="22"/>
  <c r="J2474" i="22" s="1"/>
  <c r="S2462" i="22"/>
  <c r="U2462" i="22" s="1"/>
  <c r="X2462" i="22" s="1"/>
  <c r="S2486" i="22"/>
  <c r="U2486" i="22" s="1"/>
  <c r="P2486" i="22"/>
  <c r="W2508" i="22"/>
  <c r="W2509" i="22"/>
  <c r="W2505" i="22"/>
  <c r="Z2504" i="22"/>
  <c r="Y2504" i="22"/>
  <c r="W2507" i="22"/>
  <c r="X2504" i="22"/>
  <c r="W2506" i="22"/>
  <c r="X2420" i="22"/>
  <c r="X2444" i="22"/>
  <c r="S2474" i="22"/>
  <c r="U2474" i="22" s="1"/>
  <c r="P2474" i="22"/>
  <c r="J2432" i="22"/>
  <c r="W2460" i="22"/>
  <c r="Y2456" i="22"/>
  <c r="H2468" i="22"/>
  <c r="J2468" i="22" s="1"/>
  <c r="S2450" i="22"/>
  <c r="U2450" i="22" s="1"/>
  <c r="J2462" i="22"/>
  <c r="W2485" i="22"/>
  <c r="W2482" i="22"/>
  <c r="Y2492" i="22"/>
  <c r="W2497" i="22"/>
  <c r="W2496" i="22"/>
  <c r="W2495" i="22"/>
  <c r="W2494" i="22"/>
  <c r="Z2492" i="22"/>
  <c r="W2493" i="22"/>
  <c r="Y2480" i="22"/>
  <c r="W2484" i="22"/>
  <c r="S2510" i="22"/>
  <c r="U2510" i="22" s="1"/>
  <c r="H2534" i="22"/>
  <c r="J2534" i="22" s="1"/>
  <c r="Z2480" i="22"/>
  <c r="W2481" i="22"/>
  <c r="J2492" i="22"/>
  <c r="S2528" i="22"/>
  <c r="U2528" i="22" s="1"/>
  <c r="P2528" i="22"/>
  <c r="W2544" i="22"/>
  <c r="W2545" i="22"/>
  <c r="W2543" i="22"/>
  <c r="Z2540" i="22"/>
  <c r="Y2540" i="22"/>
  <c r="W2541" i="22"/>
  <c r="W2542" i="22"/>
  <c r="P2498" i="22"/>
  <c r="U2498" i="22"/>
  <c r="U2516" i="22"/>
  <c r="X2516" i="22" s="1"/>
  <c r="Z2534" i="22"/>
  <c r="W2539" i="22"/>
  <c r="W2537" i="22"/>
  <c r="W2535" i="22"/>
  <c r="Y2534" i="22"/>
  <c r="X2534" i="22"/>
  <c r="W2538" i="22"/>
  <c r="J2540" i="22"/>
  <c r="X2492" i="22"/>
  <c r="Z2536" i="22"/>
  <c r="Y2536" i="22"/>
  <c r="X2536" i="22"/>
  <c r="X2564" i="22"/>
  <c r="Y2617" i="22"/>
  <c r="X2617" i="22"/>
  <c r="Z2617" i="22"/>
  <c r="W2608" i="22"/>
  <c r="Y2606" i="22"/>
  <c r="H2528" i="22"/>
  <c r="J2528" i="22" s="1"/>
  <c r="W2557" i="22"/>
  <c r="W2555" i="22"/>
  <c r="W2553" i="22"/>
  <c r="Y2552" i="22"/>
  <c r="W2556" i="22"/>
  <c r="W2554" i="22"/>
  <c r="W2579" i="22"/>
  <c r="W2580" i="22"/>
  <c r="Y2576" i="22"/>
  <c r="W2578" i="22"/>
  <c r="W2577" i="22"/>
  <c r="W2581" i="22"/>
  <c r="Z2576" i="22"/>
  <c r="X2540" i="22"/>
  <c r="W2569" i="22"/>
  <c r="Y2564" i="22"/>
  <c r="W2566" i="22"/>
  <c r="W2568" i="22"/>
  <c r="W2565" i="22"/>
  <c r="W2567" i="22"/>
  <c r="Z2564" i="22"/>
  <c r="G2592" i="22"/>
  <c r="H2592" i="22" s="1"/>
  <c r="I2588" i="22"/>
  <c r="G2591" i="22"/>
  <c r="H2591" i="22" s="1"/>
  <c r="G2589" i="22"/>
  <c r="H2589" i="22" s="1"/>
  <c r="G2593" i="22"/>
  <c r="H2593" i="22" s="1"/>
  <c r="G2590" i="22"/>
  <c r="H2590" i="22" s="1"/>
  <c r="U2522" i="22"/>
  <c r="U2546" i="22"/>
  <c r="X2552" i="22"/>
  <c r="H2558" i="22"/>
  <c r="J2558" i="22" s="1"/>
  <c r="W2622" i="22"/>
  <c r="Z2618" i="22"/>
  <c r="W2620" i="22"/>
  <c r="Y2618" i="22"/>
  <c r="W2623" i="22"/>
  <c r="W2621" i="22"/>
  <c r="W2619" i="22"/>
  <c r="H2564" i="22"/>
  <c r="J2564" i="22" s="1"/>
  <c r="G2580" i="22"/>
  <c r="H2580" i="22" s="1"/>
  <c r="I2576" i="22"/>
  <c r="G2577" i="22"/>
  <c r="H2577" i="22" s="1"/>
  <c r="G2581" i="22"/>
  <c r="H2581" i="22" s="1"/>
  <c r="G2579" i="22"/>
  <c r="H2579" i="22" s="1"/>
  <c r="G2578" i="22"/>
  <c r="H2578" i="22" s="1"/>
  <c r="Z2552" i="22"/>
  <c r="X2576" i="22"/>
  <c r="J2522" i="22"/>
  <c r="J2546" i="22"/>
  <c r="W2559" i="22"/>
  <c r="W2561" i="22"/>
  <c r="W2563" i="22"/>
  <c r="U2624" i="22"/>
  <c r="X2624" i="22" s="1"/>
  <c r="G2575" i="22"/>
  <c r="H2575" i="22" s="1"/>
  <c r="G2586" i="22"/>
  <c r="H2586" i="22" s="1"/>
  <c r="I2582" i="22"/>
  <c r="G2585" i="22"/>
  <c r="H2585" i="22" s="1"/>
  <c r="G2583" i="22"/>
  <c r="H2583" i="22" s="1"/>
  <c r="G2598" i="22"/>
  <c r="H2598" i="22" s="1"/>
  <c r="I2594" i="22"/>
  <c r="G2597" i="22"/>
  <c r="H2597" i="22" s="1"/>
  <c r="G2595" i="22"/>
  <c r="H2595" i="22" s="1"/>
  <c r="G2610" i="22"/>
  <c r="H2610" i="22" s="1"/>
  <c r="I2606" i="22"/>
  <c r="G2609" i="22"/>
  <c r="H2609" i="22" s="1"/>
  <c r="G2607" i="22"/>
  <c r="H2607" i="22" s="1"/>
  <c r="G2623" i="22"/>
  <c r="H2623" i="22" s="1"/>
  <c r="G2622" i="22"/>
  <c r="H2622" i="22" s="1"/>
  <c r="I2618" i="22"/>
  <c r="G2621" i="22"/>
  <c r="H2621" i="22" s="1"/>
  <c r="G2619" i="22"/>
  <c r="H2619" i="22" s="1"/>
  <c r="Z2631" i="22"/>
  <c r="Y2631" i="22"/>
  <c r="X2631" i="22"/>
  <c r="Y2646" i="22"/>
  <c r="Z2646" i="22"/>
  <c r="X2646" i="22"/>
  <c r="G2572" i="22"/>
  <c r="H2572" i="22" s="1"/>
  <c r="Z2633" i="22"/>
  <c r="Y2633" i="22"/>
  <c r="X2639" i="22"/>
  <c r="U2570" i="22"/>
  <c r="G2584" i="22"/>
  <c r="H2584" i="22" s="1"/>
  <c r="G2587" i="22"/>
  <c r="H2587" i="22" s="1"/>
  <c r="G2596" i="22"/>
  <c r="H2596" i="22" s="1"/>
  <c r="G2599" i="22"/>
  <c r="H2599" i="22" s="1"/>
  <c r="G2608" i="22"/>
  <c r="H2608" i="22" s="1"/>
  <c r="G2611" i="22"/>
  <c r="H2611" i="22" s="1"/>
  <c r="G2620" i="22"/>
  <c r="H2620" i="22" s="1"/>
  <c r="Z2647" i="22"/>
  <c r="Y2647" i="22"/>
  <c r="W2560" i="22"/>
  <c r="W2562" i="22"/>
  <c r="Z2588" i="22"/>
  <c r="W2590" i="22"/>
  <c r="Y2588" i="22"/>
  <c r="W2591" i="22"/>
  <c r="W2592" i="22"/>
  <c r="Z2600" i="22"/>
  <c r="W2602" i="22"/>
  <c r="Y2600" i="22"/>
  <c r="W2603" i="22"/>
  <c r="W2604" i="22"/>
  <c r="Z2612" i="22"/>
  <c r="W2614" i="22"/>
  <c r="Y2612" i="22"/>
  <c r="W2615" i="22"/>
  <c r="W2616" i="22"/>
  <c r="G2604" i="22"/>
  <c r="H2604" i="22" s="1"/>
  <c r="I2600" i="22"/>
  <c r="G2603" i="22"/>
  <c r="H2603" i="22" s="1"/>
  <c r="G2601" i="22"/>
  <c r="H2601" i="22" s="1"/>
  <c r="X2600" i="22"/>
  <c r="W2601" i="22"/>
  <c r="G2616" i="22"/>
  <c r="H2616" i="22" s="1"/>
  <c r="I2612" i="22"/>
  <c r="G2615" i="22"/>
  <c r="H2615" i="22" s="1"/>
  <c r="G2613" i="22"/>
  <c r="H2613" i="22" s="1"/>
  <c r="X2612" i="22"/>
  <c r="W2613" i="22"/>
  <c r="Y2638" i="22"/>
  <c r="Z2638" i="22"/>
  <c r="X2638" i="22"/>
  <c r="Z2639" i="22"/>
  <c r="Y2639" i="22"/>
  <c r="Z2641" i="22"/>
  <c r="Y2641" i="22"/>
  <c r="Y2558" i="22"/>
  <c r="Y2642" i="22"/>
  <c r="Z2642" i="22"/>
  <c r="Y2649" i="22"/>
  <c r="Z2649" i="22"/>
  <c r="Z2650" i="22"/>
  <c r="Y2650" i="22"/>
  <c r="G2574" i="22"/>
  <c r="H2574" i="22" s="1"/>
  <c r="G2602" i="22"/>
  <c r="H2602" i="22" s="1"/>
  <c r="G2605" i="22"/>
  <c r="H2605" i="22" s="1"/>
  <c r="G2614" i="22"/>
  <c r="H2614" i="22" s="1"/>
  <c r="G2617" i="22"/>
  <c r="H2617" i="22" s="1"/>
  <c r="X2633" i="22"/>
  <c r="Z2635" i="22"/>
  <c r="Y2635" i="22"/>
  <c r="Z2637" i="22"/>
  <c r="Y2637" i="22"/>
  <c r="T2639" i="22"/>
  <c r="U2640" i="22"/>
  <c r="S2645" i="22"/>
  <c r="U2645" i="22" s="1"/>
  <c r="U2654" i="22"/>
  <c r="X2654" i="22" s="1"/>
  <c r="X2656" i="22"/>
  <c r="U2659" i="22"/>
  <c r="T2659" i="22"/>
  <c r="Y2664" i="22"/>
  <c r="Z2664" i="22"/>
  <c r="U2673" i="22"/>
  <c r="X2679" i="22"/>
  <c r="Z2688" i="22"/>
  <c r="Y2688" i="22"/>
  <c r="Y2689" i="22"/>
  <c r="X2689" i="22"/>
  <c r="Z2689" i="22"/>
  <c r="Z2692" i="22"/>
  <c r="Y2692" i="22"/>
  <c r="X2695" i="22"/>
  <c r="X2704" i="22"/>
  <c r="X2641" i="22"/>
  <c r="Z2703" i="22"/>
  <c r="Y2703" i="22"/>
  <c r="T2646" i="22"/>
  <c r="Z2653" i="22"/>
  <c r="S2655" i="22"/>
  <c r="U2655" i="22" s="1"/>
  <c r="P2655" i="22"/>
  <c r="Z2658" i="22"/>
  <c r="Y2658" i="22"/>
  <c r="U2663" i="22"/>
  <c r="Z2667" i="22"/>
  <c r="Y2667" i="22"/>
  <c r="Z2687" i="22"/>
  <c r="Y2687" i="22"/>
  <c r="U2636" i="22"/>
  <c r="X2636" i="22" s="1"/>
  <c r="P2649" i="22"/>
  <c r="X2649" i="22" s="1"/>
  <c r="X2658" i="22"/>
  <c r="U2678" i="22"/>
  <c r="U2685" i="22"/>
  <c r="U2694" i="22"/>
  <c r="U2701" i="22"/>
  <c r="X2637" i="22"/>
  <c r="T2655" i="22"/>
  <c r="Y2666" i="22"/>
  <c r="Z2669" i="22"/>
  <c r="Y2669" i="22"/>
  <c r="Z2680" i="22"/>
  <c r="Y2680" i="22"/>
  <c r="Y2681" i="22"/>
  <c r="X2681" i="22"/>
  <c r="Z2681" i="22"/>
  <c r="Z2684" i="22"/>
  <c r="Y2684" i="22"/>
  <c r="Z2696" i="22"/>
  <c r="Y2696" i="22"/>
  <c r="Z2700" i="22"/>
  <c r="Y2700" i="22"/>
  <c r="T2642" i="22"/>
  <c r="T2643" i="22"/>
  <c r="U2651" i="22"/>
  <c r="X2651" i="22" s="1"/>
  <c r="T2651" i="22"/>
  <c r="S2652" i="22"/>
  <c r="U2652" i="22" s="1"/>
  <c r="X2652" i="22" s="1"/>
  <c r="X2653" i="22"/>
  <c r="Y2656" i="22"/>
  <c r="G2629" i="22"/>
  <c r="H2629" i="22" s="1"/>
  <c r="G2625" i="22"/>
  <c r="H2625" i="22" s="1"/>
  <c r="T2631" i="22"/>
  <c r="Z2634" i="22"/>
  <c r="S2644" i="22"/>
  <c r="U2644" i="22" s="1"/>
  <c r="T2650" i="22"/>
  <c r="U2665" i="22"/>
  <c r="X2666" i="22"/>
  <c r="Z2679" i="22"/>
  <c r="Y2679" i="22"/>
  <c r="X2680" i="22"/>
  <c r="X2684" i="22"/>
  <c r="Z2695" i="22"/>
  <c r="Y2695" i="22"/>
  <c r="X2696" i="22"/>
  <c r="X2700" i="22"/>
  <c r="Z2704" i="22"/>
  <c r="Y2704" i="22"/>
  <c r="S2632" i="22"/>
  <c r="U2632" i="22" s="1"/>
  <c r="U2643" i="22"/>
  <c r="T2644" i="22"/>
  <c r="S2660" i="22"/>
  <c r="U2660" i="22" s="1"/>
  <c r="U2677" i="22"/>
  <c r="U2686" i="22"/>
  <c r="U2693" i="22"/>
  <c r="U2702" i="22"/>
  <c r="T2677" i="22"/>
  <c r="P2678" i="22"/>
  <c r="U2682" i="22"/>
  <c r="X2682" i="22" s="1"/>
  <c r="T2685" i="22"/>
  <c r="P2686" i="22"/>
  <c r="U2690" i="22"/>
  <c r="X2690" i="22" s="1"/>
  <c r="T2693" i="22"/>
  <c r="P2694" i="22"/>
  <c r="U2698" i="22"/>
  <c r="T2701" i="22"/>
  <c r="P2702" i="22"/>
  <c r="U2706" i="22"/>
  <c r="S2707" i="22"/>
  <c r="U2707" i="22" s="1"/>
  <c r="X2707" i="22" s="1"/>
  <c r="T2702" i="22"/>
  <c r="P2703" i="22"/>
  <c r="X2703" i="22" s="1"/>
  <c r="T2681" i="22"/>
  <c r="T2689" i="22"/>
  <c r="T2697" i="22"/>
  <c r="T2705" i="22"/>
  <c r="P2706" i="22"/>
  <c r="P2663" i="22"/>
  <c r="P2665" i="22"/>
  <c r="P2667" i="22"/>
  <c r="X2667" i="22" s="1"/>
  <c r="P2669" i="22"/>
  <c r="X2669" i="22" s="1"/>
  <c r="P2673" i="22"/>
  <c r="P2677" i="22"/>
  <c r="P2685" i="22"/>
  <c r="P2693" i="22"/>
  <c r="P2701" i="22"/>
  <c r="G2573" i="21"/>
  <c r="H2573" i="21" s="1"/>
  <c r="I2582" i="21"/>
  <c r="G2584" i="21"/>
  <c r="H2584" i="21" s="1"/>
  <c r="P2390" i="21"/>
  <c r="G2575" i="21"/>
  <c r="H2575" i="21" s="1"/>
  <c r="S2582" i="21"/>
  <c r="S2198" i="21"/>
  <c r="G2586" i="21"/>
  <c r="H2586" i="21" s="1"/>
  <c r="P60" i="21"/>
  <c r="S76" i="21"/>
  <c r="U76" i="21" s="1"/>
  <c r="P188" i="21"/>
  <c r="S240" i="21"/>
  <c r="U240" i="21" s="1"/>
  <c r="Z240" i="21" s="1"/>
  <c r="P311" i="21"/>
  <c r="P359" i="21"/>
  <c r="S485" i="21"/>
  <c r="P517" i="21"/>
  <c r="S573" i="21"/>
  <c r="U573" i="21" s="1"/>
  <c r="P629" i="21"/>
  <c r="S718" i="21"/>
  <c r="U718" i="21" s="1"/>
  <c r="P726" i="21"/>
  <c r="S750" i="21"/>
  <c r="P766" i="21"/>
  <c r="P886" i="21"/>
  <c r="S958" i="21"/>
  <c r="U958" i="21" s="1"/>
  <c r="Z958" i="21" s="1"/>
  <c r="P982" i="21"/>
  <c r="P990" i="21"/>
  <c r="S1014" i="21"/>
  <c r="U1014" i="21" s="1"/>
  <c r="S1062" i="21"/>
  <c r="U1062" i="21" s="1"/>
  <c r="S1166" i="21"/>
  <c r="U1166" i="21" s="1"/>
  <c r="P1342" i="21"/>
  <c r="P1350" i="21"/>
  <c r="P1358" i="21"/>
  <c r="P1366" i="21"/>
  <c r="P1414" i="21"/>
  <c r="P1422" i="21"/>
  <c r="P1430" i="21"/>
  <c r="P1438" i="21"/>
  <c r="P1446" i="21"/>
  <c r="P1454" i="21"/>
  <c r="P1462" i="21"/>
  <c r="S1478" i="21"/>
  <c r="P1542" i="21"/>
  <c r="S1558" i="21"/>
  <c r="U1558" i="21" s="1"/>
  <c r="Y1558" i="21" s="1"/>
  <c r="P1638" i="21"/>
  <c r="P1654" i="21"/>
  <c r="S1670" i="21"/>
  <c r="S1742" i="21"/>
  <c r="S2158" i="21"/>
  <c r="U2158" i="21" s="1"/>
  <c r="W2160" i="21" s="1"/>
  <c r="S2342" i="21"/>
  <c r="S2366" i="21"/>
  <c r="U2366" i="21" s="1"/>
  <c r="Z2366" i="21" s="1"/>
  <c r="P2414" i="21"/>
  <c r="S2534" i="21"/>
  <c r="U2534" i="21" s="1"/>
  <c r="S2606" i="21"/>
  <c r="U2606" i="21" s="1"/>
  <c r="X2606" i="21" s="1"/>
  <c r="P20" i="21"/>
  <c r="P36" i="21"/>
  <c r="P680" i="21"/>
  <c r="P774" i="21"/>
  <c r="P798" i="21"/>
  <c r="P814" i="21"/>
  <c r="P822" i="21"/>
  <c r="P894" i="21"/>
  <c r="P902" i="21"/>
  <c r="P1022" i="21"/>
  <c r="P1094" i="21"/>
  <c r="P1102" i="21"/>
  <c r="P1190" i="21"/>
  <c r="P1294" i="21"/>
  <c r="P1302" i="21"/>
  <c r="P1310" i="21"/>
  <c r="P1318" i="21"/>
  <c r="P1334" i="21"/>
  <c r="P1382" i="21"/>
  <c r="P1390" i="21"/>
  <c r="P1398" i="21"/>
  <c r="P1406" i="21"/>
  <c r="P1534" i="21"/>
  <c r="P1614" i="21"/>
  <c r="P1622" i="21"/>
  <c r="P1630" i="21"/>
  <c r="P1646" i="21"/>
  <c r="P1774" i="21"/>
  <c r="P2438" i="21"/>
  <c r="P2462" i="21"/>
  <c r="S2510" i="21"/>
  <c r="U2510" i="21" s="1"/>
  <c r="P2638" i="21"/>
  <c r="S28" i="21"/>
  <c r="U28" i="21" s="1"/>
  <c r="P44" i="21"/>
  <c r="P84" i="21"/>
  <c r="P108" i="21"/>
  <c r="P132" i="21"/>
  <c r="P156" i="21"/>
  <c r="P196" i="21"/>
  <c r="P220" i="21"/>
  <c r="P248" i="21"/>
  <c r="P453" i="21"/>
  <c r="P477" i="21"/>
  <c r="P493" i="21"/>
  <c r="P581" i="21"/>
  <c r="P597" i="21"/>
  <c r="P734" i="21"/>
  <c r="P806" i="21"/>
  <c r="P830" i="21"/>
  <c r="P998" i="21"/>
  <c r="P1030" i="21"/>
  <c r="P1110" i="21"/>
  <c r="P1118" i="21"/>
  <c r="P1198" i="21"/>
  <c r="P1270" i="21"/>
  <c r="P1278" i="21"/>
  <c r="P1286" i="21"/>
  <c r="P1326" i="21"/>
  <c r="P1374" i="21"/>
  <c r="P1518" i="21"/>
  <c r="P1526" i="21"/>
  <c r="P1606" i="21"/>
  <c r="P1766" i="21"/>
  <c r="P2222" i="21"/>
  <c r="P2270" i="21"/>
  <c r="S2486" i="21"/>
  <c r="U2486" i="21" s="1"/>
  <c r="P565" i="21"/>
  <c r="P838" i="21"/>
  <c r="P846" i="21"/>
  <c r="P910" i="21"/>
  <c r="P918" i="21"/>
  <c r="P1126" i="21"/>
  <c r="P1134" i="21"/>
  <c r="P1206" i="21"/>
  <c r="P1214" i="21"/>
  <c r="P1246" i="21"/>
  <c r="P1262" i="21"/>
  <c r="P1502" i="21"/>
  <c r="P1510" i="21"/>
  <c r="P1598" i="21"/>
  <c r="P1758" i="21"/>
  <c r="P1830" i="21"/>
  <c r="P2118" i="21"/>
  <c r="S2246" i="21"/>
  <c r="U2246" i="21" s="1"/>
  <c r="P2646" i="21"/>
  <c r="P204" i="21"/>
  <c r="P501" i="21"/>
  <c r="P525" i="21"/>
  <c r="P541" i="21"/>
  <c r="P613" i="21"/>
  <c r="P641" i="21"/>
  <c r="P854" i="21"/>
  <c r="P926" i="21"/>
  <c r="P934" i="21"/>
  <c r="P1006" i="21"/>
  <c r="P1038" i="21"/>
  <c r="P1046" i="21"/>
  <c r="P1142" i="21"/>
  <c r="P1150" i="21"/>
  <c r="P1238" i="21"/>
  <c r="P1254" i="21"/>
  <c r="P1494" i="21"/>
  <c r="P1582" i="21"/>
  <c r="P1590" i="21"/>
  <c r="P1686" i="21"/>
  <c r="P1694" i="21"/>
  <c r="P1798" i="21"/>
  <c r="P1846" i="21"/>
  <c r="P2174" i="21"/>
  <c r="P2294" i="21"/>
  <c r="P2318" i="21"/>
  <c r="S2558" i="21"/>
  <c r="U2558" i="21" s="1"/>
  <c r="P2661" i="21"/>
  <c r="U222" i="21"/>
  <c r="Z222" i="21" s="1"/>
  <c r="U1838" i="21"/>
  <c r="Y1838" i="21" s="1"/>
  <c r="S2637" i="21"/>
  <c r="S35" i="21"/>
  <c r="U35" i="21" s="1"/>
  <c r="P516" i="21"/>
  <c r="P556" i="21"/>
  <c r="P650" i="21"/>
  <c r="S1349" i="21"/>
  <c r="P1357" i="21"/>
  <c r="S1381" i="21"/>
  <c r="U1381" i="21" s="1"/>
  <c r="X1381" i="21" s="1"/>
  <c r="S1421" i="21"/>
  <c r="U1421" i="21" s="1"/>
  <c r="P1429" i="21"/>
  <c r="S1453" i="21"/>
  <c r="U1453" i="21" s="1"/>
  <c r="X1453" i="21" s="1"/>
  <c r="P1469" i="21"/>
  <c r="S1517" i="21"/>
  <c r="P1533" i="21"/>
  <c r="S1581" i="21"/>
  <c r="U1581" i="21" s="1"/>
  <c r="P1597" i="21"/>
  <c r="P1653" i="21"/>
  <c r="S1749" i="21"/>
  <c r="U1749" i="21" s="1"/>
  <c r="Z1749" i="21" s="1"/>
  <c r="S1805" i="21"/>
  <c r="P1829" i="21"/>
  <c r="S1917" i="21"/>
  <c r="U1917" i="21" s="1"/>
  <c r="S1925" i="21"/>
  <c r="S1965" i="21"/>
  <c r="U1965" i="21" s="1"/>
  <c r="Z1965" i="21" s="1"/>
  <c r="S2053" i="21"/>
  <c r="U2053" i="21" s="1"/>
  <c r="S2077" i="21"/>
  <c r="U2077" i="21" s="1"/>
  <c r="P733" i="21"/>
  <c r="P813" i="21"/>
  <c r="P837" i="21"/>
  <c r="U900" i="21"/>
  <c r="P917" i="21"/>
  <c r="P941" i="21"/>
  <c r="P965" i="21"/>
  <c r="P1101" i="21"/>
  <c r="P1125" i="21"/>
  <c r="P1229" i="21"/>
  <c r="P1285" i="21"/>
  <c r="P1397" i="21"/>
  <c r="P1477" i="21"/>
  <c r="P1541" i="21"/>
  <c r="P1605" i="21"/>
  <c r="P1661" i="21"/>
  <c r="P1853" i="21"/>
  <c r="P1981" i="21"/>
  <c r="S2013" i="21"/>
  <c r="U2013" i="21" s="1"/>
  <c r="W2014" i="21" s="1"/>
  <c r="S2069" i="21"/>
  <c r="U2069" i="21" s="1"/>
  <c r="P2109" i="21"/>
  <c r="U2645" i="21"/>
  <c r="Z2645" i="21" s="1"/>
  <c r="P2677" i="21"/>
  <c r="S123" i="21"/>
  <c r="U123" i="21" s="1"/>
  <c r="P500" i="21"/>
  <c r="P572" i="21"/>
  <c r="P861" i="21"/>
  <c r="P1069" i="21"/>
  <c r="S1117" i="21"/>
  <c r="U1117" i="21" s="1"/>
  <c r="S1141" i="21"/>
  <c r="U1141" i="21" s="1"/>
  <c r="P43" i="21"/>
  <c r="P163" i="21"/>
  <c r="P59" i="21"/>
  <c r="P115" i="21"/>
  <c r="P147" i="21"/>
  <c r="P377" i="21"/>
  <c r="S425" i="21"/>
  <c r="S460" i="21"/>
  <c r="U460" i="21" s="1"/>
  <c r="S532" i="21"/>
  <c r="U532" i="21" s="1"/>
  <c r="Y532" i="21" s="1"/>
  <c r="P588" i="21"/>
  <c r="P717" i="21"/>
  <c r="S749" i="21"/>
  <c r="U749" i="21" s="1"/>
  <c r="Z749" i="21" s="1"/>
  <c r="S773" i="21"/>
  <c r="U773" i="21" s="1"/>
  <c r="S781" i="21"/>
  <c r="U781" i="21" s="1"/>
  <c r="P789" i="21"/>
  <c r="S805" i="21"/>
  <c r="U805" i="21" s="1"/>
  <c r="X805" i="21" s="1"/>
  <c r="P869" i="21"/>
  <c r="P893" i="21"/>
  <c r="S989" i="21"/>
  <c r="U989" i="21" s="1"/>
  <c r="Y989" i="21" s="1"/>
  <c r="P1029" i="21"/>
  <c r="S1045" i="21"/>
  <c r="U1045" i="21" s="1"/>
  <c r="Y1045" i="21" s="1"/>
  <c r="P1077" i="21"/>
  <c r="S1149" i="21"/>
  <c r="U1149" i="21" s="1"/>
  <c r="X1149" i="21" s="1"/>
  <c r="S1173" i="21"/>
  <c r="U1173" i="21" s="1"/>
  <c r="X1173" i="21" s="1"/>
  <c r="P1181" i="21"/>
  <c r="P1205" i="21"/>
  <c r="P1237" i="21"/>
  <c r="P1293" i="21"/>
  <c r="P1325" i="21"/>
  <c r="P1365" i="21"/>
  <c r="P1437" i="21"/>
  <c r="P1485" i="21"/>
  <c r="P1549" i="21"/>
  <c r="P1613" i="21"/>
  <c r="P1669" i="21"/>
  <c r="P1989" i="21"/>
  <c r="S2045" i="21"/>
  <c r="U2045" i="21" s="1"/>
  <c r="S2101" i="21"/>
  <c r="U2101" i="21" s="1"/>
  <c r="P2669" i="21"/>
  <c r="S2702" i="21"/>
  <c r="U2702" i="21" s="1"/>
  <c r="X2702" i="21" s="1"/>
  <c r="S1309" i="21"/>
  <c r="U1309" i="21" s="1"/>
  <c r="P99" i="21"/>
  <c r="P247" i="21"/>
  <c r="P75" i="21"/>
  <c r="S83" i="21"/>
  <c r="U83" i="21" s="1"/>
  <c r="Z83" i="21" s="1"/>
  <c r="P131" i="21"/>
  <c r="P171" i="21"/>
  <c r="P203" i="21"/>
  <c r="P239" i="21"/>
  <c r="P508" i="21"/>
  <c r="P564" i="21"/>
  <c r="P628" i="21"/>
  <c r="P757" i="21"/>
  <c r="P821" i="21"/>
  <c r="P845" i="21"/>
  <c r="P949" i="21"/>
  <c r="P973" i="21"/>
  <c r="P1013" i="21"/>
  <c r="P1053" i="21"/>
  <c r="P1133" i="21"/>
  <c r="P1157" i="21"/>
  <c r="P1245" i="21"/>
  <c r="P1333" i="21"/>
  <c r="P1405" i="21"/>
  <c r="P1493" i="21"/>
  <c r="P1557" i="21"/>
  <c r="P1677" i="21"/>
  <c r="S2005" i="21"/>
  <c r="U2005" i="21" s="1"/>
  <c r="W2006" i="21" s="1"/>
  <c r="P2653" i="21"/>
  <c r="P2693" i="21"/>
  <c r="S933" i="21"/>
  <c r="U933" i="21" s="1"/>
  <c r="Y933" i="21" s="1"/>
  <c r="P187" i="21"/>
  <c r="P219" i="21"/>
  <c r="P275" i="21"/>
  <c r="P287" i="21"/>
  <c r="P329" i="21"/>
  <c r="P468" i="21"/>
  <c r="P492" i="21"/>
  <c r="P901" i="21"/>
  <c r="P925" i="21"/>
  <c r="P997" i="21"/>
  <c r="P1085" i="21"/>
  <c r="P1109" i="21"/>
  <c r="P1213" i="21"/>
  <c r="P1301" i="21"/>
  <c r="P1341" i="21"/>
  <c r="P1413" i="21"/>
  <c r="P1445" i="21"/>
  <c r="P1501" i="21"/>
  <c r="P1565" i="21"/>
  <c r="P1621" i="21"/>
  <c r="P1685" i="21"/>
  <c r="P1797" i="21"/>
  <c r="P1837" i="21"/>
  <c r="P1909" i="21"/>
  <c r="S2037" i="21"/>
  <c r="U2037" i="21" s="1"/>
  <c r="S2061" i="21"/>
  <c r="S2093" i="21"/>
  <c r="U2093" i="21" s="1"/>
  <c r="Y2093" i="21" s="1"/>
  <c r="U2653" i="21"/>
  <c r="Y2653" i="21" s="1"/>
  <c r="S829" i="21"/>
  <c r="U829" i="21" s="1"/>
  <c r="U1079" i="21"/>
  <c r="Y1079" i="21" s="1"/>
  <c r="P1781" i="21"/>
  <c r="S1789" i="21"/>
  <c r="U1789" i="21" s="1"/>
  <c r="Z1789" i="21" s="1"/>
  <c r="S2029" i="21"/>
  <c r="U2029" i="21" s="1"/>
  <c r="Y2029" i="21" s="1"/>
  <c r="S484" i="21"/>
  <c r="U484" i="21" s="1"/>
  <c r="Y484" i="21" s="1"/>
  <c r="S957" i="21"/>
  <c r="U957" i="21" s="1"/>
  <c r="S981" i="21"/>
  <c r="U981" i="21" s="1"/>
  <c r="X981" i="21" s="1"/>
  <c r="S1037" i="21"/>
  <c r="U1037" i="21" s="1"/>
  <c r="X1037" i="21" s="1"/>
  <c r="S1269" i="21"/>
  <c r="U1269" i="21" s="1"/>
  <c r="P1757" i="21"/>
  <c r="S1845" i="21"/>
  <c r="S1997" i="21"/>
  <c r="S2085" i="21"/>
  <c r="U2085" i="21" s="1"/>
  <c r="P30" i="21"/>
  <c r="P26" i="21"/>
  <c r="P24" i="21"/>
  <c r="S2680" i="21"/>
  <c r="U2680" i="21" s="1"/>
  <c r="P2680" i="21"/>
  <c r="P2656" i="21"/>
  <c r="S2656" i="21"/>
  <c r="S2640" i="21"/>
  <c r="U2640" i="21" s="1"/>
  <c r="P2640" i="21"/>
  <c r="S2632" i="21"/>
  <c r="P2632" i="21"/>
  <c r="S2528" i="21"/>
  <c r="U2528" i="21" s="1"/>
  <c r="P2528" i="21"/>
  <c r="P1840" i="21"/>
  <c r="P1880" i="21"/>
  <c r="P2168" i="21"/>
  <c r="S2288" i="21"/>
  <c r="S2480" i="21"/>
  <c r="S2696" i="21"/>
  <c r="U2696" i="21" s="1"/>
  <c r="P1759" i="21"/>
  <c r="S1759" i="21"/>
  <c r="U1759" i="21" s="1"/>
  <c r="S1696" i="21"/>
  <c r="S1704" i="21"/>
  <c r="P1728" i="21"/>
  <c r="P1888" i="21"/>
  <c r="P2336" i="21"/>
  <c r="S1896" i="21"/>
  <c r="U1896" i="21" s="1"/>
  <c r="P2552" i="21"/>
  <c r="P2648" i="21"/>
  <c r="S2664" i="21"/>
  <c r="S1736" i="21"/>
  <c r="U1736" i="21" s="1"/>
  <c r="S1824" i="21"/>
  <c r="U1824" i="21" s="1"/>
  <c r="X1824" i="21" s="1"/>
  <c r="P2312" i="21"/>
  <c r="P2384" i="21"/>
  <c r="S2456" i="21"/>
  <c r="U2456" i="21" s="1"/>
  <c r="X2456" i="21" s="1"/>
  <c r="U1672" i="21"/>
  <c r="X1672" i="21" s="1"/>
  <c r="S2504" i="21"/>
  <c r="U2504" i="21" s="1"/>
  <c r="S1466" i="21"/>
  <c r="P1466" i="21"/>
  <c r="P1386" i="21"/>
  <c r="S1386" i="21"/>
  <c r="P1338" i="21"/>
  <c r="S1338" i="21"/>
  <c r="U1338" i="21" s="1"/>
  <c r="S1266" i="21"/>
  <c r="U1266" i="21" s="1"/>
  <c r="P1266" i="21"/>
  <c r="P2216" i="21"/>
  <c r="P2360" i="21"/>
  <c r="P2408" i="21"/>
  <c r="S2432" i="21"/>
  <c r="P1297" i="21"/>
  <c r="S1297" i="21"/>
  <c r="U1297" i="21" s="1"/>
  <c r="U1364" i="21"/>
  <c r="X1364" i="21" s="1"/>
  <c r="T1689" i="21"/>
  <c r="U1751" i="21"/>
  <c r="Z1751" i="21" s="1"/>
  <c r="P2468" i="21"/>
  <c r="S2492" i="21"/>
  <c r="U2492" i="21" s="1"/>
  <c r="X2492" i="21" s="1"/>
  <c r="P915" i="21"/>
  <c r="P1026" i="21"/>
  <c r="S1075" i="21"/>
  <c r="U1075" i="21" s="1"/>
  <c r="Y1075" i="21" s="1"/>
  <c r="P1194" i="21"/>
  <c r="P1362" i="21"/>
  <c r="P1378" i="21"/>
  <c r="P1394" i="21"/>
  <c r="P1410" i="21"/>
  <c r="S1626" i="21"/>
  <c r="S1698" i="21"/>
  <c r="P762" i="21"/>
  <c r="P818" i="21"/>
  <c r="P1178" i="21"/>
  <c r="S48" i="21"/>
  <c r="P96" i="21"/>
  <c r="S136" i="21"/>
  <c r="U136" i="21" s="1"/>
  <c r="Z136" i="21" s="1"/>
  <c r="P200" i="21"/>
  <c r="S431" i="21"/>
  <c r="U431" i="21" s="1"/>
  <c r="Z431" i="21" s="1"/>
  <c r="S505" i="21"/>
  <c r="U505" i="21" s="1"/>
  <c r="X505" i="21" s="1"/>
  <c r="S561" i="21"/>
  <c r="U561" i="21" s="1"/>
  <c r="Y561" i="21" s="1"/>
  <c r="S609" i="21"/>
  <c r="U609" i="21" s="1"/>
  <c r="P617" i="21"/>
  <c r="P802" i="21"/>
  <c r="P850" i="21"/>
  <c r="P866" i="21"/>
  <c r="P882" i="21"/>
  <c r="P898" i="21"/>
  <c r="P914" i="21"/>
  <c r="S970" i="21"/>
  <c r="U970" i="21" s="1"/>
  <c r="X970" i="21" s="1"/>
  <c r="S986" i="21"/>
  <c r="P1002" i="21"/>
  <c r="S1082" i="21"/>
  <c r="U1082" i="21" s="1"/>
  <c r="S1098" i="21"/>
  <c r="S1114" i="21"/>
  <c r="U1114" i="21" s="1"/>
  <c r="S1130" i="21"/>
  <c r="U1130" i="21" s="1"/>
  <c r="Z1130" i="21" s="1"/>
  <c r="S1146" i="21"/>
  <c r="U1146" i="21" s="1"/>
  <c r="X1146" i="21" s="1"/>
  <c r="S1162" i="21"/>
  <c r="U1162" i="21" s="1"/>
  <c r="P1210" i="21"/>
  <c r="P1226" i="21"/>
  <c r="P1242" i="21"/>
  <c r="P1258" i="21"/>
  <c r="P1274" i="21"/>
  <c r="P1290" i="21"/>
  <c r="S1298" i="21"/>
  <c r="U1298" i="21" s="1"/>
  <c r="X1298" i="21" s="1"/>
  <c r="S1314" i="21"/>
  <c r="U1314" i="21" s="1"/>
  <c r="S1330" i="21"/>
  <c r="S1346" i="21"/>
  <c r="P1426" i="21"/>
  <c r="P1442" i="21"/>
  <c r="P1458" i="21"/>
  <c r="P1474" i="21"/>
  <c r="P746" i="21"/>
  <c r="S104" i="21"/>
  <c r="U104" i="21" s="1"/>
  <c r="Z104" i="21" s="1"/>
  <c r="S208" i="21"/>
  <c r="P40" i="21"/>
  <c r="P465" i="21"/>
  <c r="P497" i="21"/>
  <c r="P704" i="21"/>
  <c r="S722" i="21"/>
  <c r="U722" i="21" s="1"/>
  <c r="X722" i="21" s="1"/>
  <c r="S778" i="21"/>
  <c r="U778" i="21" s="1"/>
  <c r="S827" i="21"/>
  <c r="U827" i="21" s="1"/>
  <c r="P834" i="21"/>
  <c r="P930" i="21"/>
  <c r="P946" i="21"/>
  <c r="P1035" i="21"/>
  <c r="P1042" i="21"/>
  <c r="P1058" i="21"/>
  <c r="P1074" i="21"/>
  <c r="S1203" i="21"/>
  <c r="U1203" i="21" s="1"/>
  <c r="S1610" i="21"/>
  <c r="S1650" i="21"/>
  <c r="U1650" i="21" s="1"/>
  <c r="T1668" i="21"/>
  <c r="P1738" i="21"/>
  <c r="P2426" i="21"/>
  <c r="S2694" i="21"/>
  <c r="U2694" i="21" s="1"/>
  <c r="Z2694" i="21" s="1"/>
  <c r="P2694" i="21"/>
  <c r="P1291" i="21"/>
  <c r="S1634" i="21"/>
  <c r="P2210" i="21"/>
  <c r="S129" i="21"/>
  <c r="U129" i="21" s="1"/>
  <c r="Z129" i="21" s="1"/>
  <c r="U1085" i="21"/>
  <c r="S955" i="21"/>
  <c r="P1163" i="21"/>
  <c r="S1594" i="21"/>
  <c r="U1594" i="21" s="1"/>
  <c r="U1620" i="21"/>
  <c r="Y1620" i="21" s="1"/>
  <c r="U756" i="21"/>
  <c r="Z756" i="21" s="1"/>
  <c r="S1770" i="21"/>
  <c r="P1770" i="21"/>
  <c r="S1746" i="21"/>
  <c r="P1746" i="21"/>
  <c r="U1533" i="21"/>
  <c r="Z1533" i="21" s="1"/>
  <c r="S1602" i="21"/>
  <c r="U1602" i="21" s="1"/>
  <c r="Z1602" i="21" s="1"/>
  <c r="S1642" i="21"/>
  <c r="U1642" i="21" s="1"/>
  <c r="P1730" i="21"/>
  <c r="U1762" i="21"/>
  <c r="U1427" i="21"/>
  <c r="Z1427" i="21" s="1"/>
  <c r="U1387" i="21"/>
  <c r="U245" i="21"/>
  <c r="Z245" i="21" s="1"/>
  <c r="U944" i="21"/>
  <c r="X944" i="21" s="1"/>
  <c r="U863" i="21"/>
  <c r="Z863" i="21" s="1"/>
  <c r="U1404" i="21"/>
  <c r="Y1404" i="21" s="1"/>
  <c r="U2318" i="21"/>
  <c r="U85" i="21"/>
  <c r="Z85" i="21" s="1"/>
  <c r="U196" i="21"/>
  <c r="Z196" i="21" s="1"/>
  <c r="U503" i="21"/>
  <c r="U43" i="21"/>
  <c r="Z43" i="21" s="1"/>
  <c r="T823" i="21"/>
  <c r="U924" i="21"/>
  <c r="Z924" i="21" s="1"/>
  <c r="P2650" i="21"/>
  <c r="U1456" i="21"/>
  <c r="Z1456" i="21" s="1"/>
  <c r="U77" i="21"/>
  <c r="P779" i="21"/>
  <c r="P1395" i="21"/>
  <c r="P89" i="21"/>
  <c r="P482" i="21"/>
  <c r="P819" i="21"/>
  <c r="S859" i="21"/>
  <c r="P947" i="21"/>
  <c r="S987" i="21"/>
  <c r="U987" i="21" s="1"/>
  <c r="U1040" i="21"/>
  <c r="Y1040" i="21" s="1"/>
  <c r="P1067" i="21"/>
  <c r="S1107" i="21"/>
  <c r="P1195" i="21"/>
  <c r="S1235" i="21"/>
  <c r="U1235" i="21" s="1"/>
  <c r="X1235" i="21" s="1"/>
  <c r="T1670" i="21"/>
  <c r="P81" i="21"/>
  <c r="T203" i="21"/>
  <c r="U751" i="21"/>
  <c r="Z751" i="21" s="1"/>
  <c r="U1325" i="21"/>
  <c r="Y1325" i="21" s="1"/>
  <c r="P73" i="21"/>
  <c r="U323" i="21"/>
  <c r="Y323" i="21" s="1"/>
  <c r="T809" i="21"/>
  <c r="U828" i="21"/>
  <c r="Z828" i="21" s="1"/>
  <c r="P851" i="21"/>
  <c r="S891" i="21"/>
  <c r="U954" i="21"/>
  <c r="Z954" i="21" s="1"/>
  <c r="P979" i="21"/>
  <c r="P1099" i="21"/>
  <c r="S1139" i="21"/>
  <c r="U1139" i="21" s="1"/>
  <c r="P1227" i="21"/>
  <c r="S1267" i="21"/>
  <c r="U1267" i="21" s="1"/>
  <c r="Z1267" i="21" s="1"/>
  <c r="P284" i="21"/>
  <c r="S755" i="21"/>
  <c r="S1371" i="21"/>
  <c r="U1371" i="21" s="1"/>
  <c r="H1985" i="21"/>
  <c r="J1985" i="21" s="1"/>
  <c r="U2133" i="21"/>
  <c r="U202" i="21"/>
  <c r="Z202" i="21" s="1"/>
  <c r="P586" i="21"/>
  <c r="P883" i="21"/>
  <c r="S923" i="21"/>
  <c r="U923" i="21" s="1"/>
  <c r="S1043" i="21"/>
  <c r="P1131" i="21"/>
  <c r="S1171" i="21"/>
  <c r="P1259" i="21"/>
  <c r="U1366" i="21"/>
  <c r="Z1366" i="21" s="1"/>
  <c r="P2678" i="21"/>
  <c r="S137" i="21"/>
  <c r="U137" i="21" s="1"/>
  <c r="S295" i="21"/>
  <c r="U295" i="21" s="1"/>
  <c r="U1087" i="21"/>
  <c r="Y1087" i="21" s="1"/>
  <c r="P1363" i="21"/>
  <c r="S1403" i="21"/>
  <c r="U1403" i="21" s="1"/>
  <c r="Z1403" i="21" s="1"/>
  <c r="P49" i="21"/>
  <c r="P57" i="21"/>
  <c r="P65" i="21"/>
  <c r="S97" i="21"/>
  <c r="S105" i="21"/>
  <c r="U105" i="21" s="1"/>
  <c r="S113" i="21"/>
  <c r="S121" i="21"/>
  <c r="U121" i="21" s="1"/>
  <c r="P153" i="21"/>
  <c r="S185" i="21"/>
  <c r="U185" i="21" s="1"/>
  <c r="Z185" i="21" s="1"/>
  <c r="P237" i="21"/>
  <c r="P245" i="21"/>
  <c r="P277" i="21"/>
  <c r="P317" i="21"/>
  <c r="S365" i="21"/>
  <c r="U365" i="21" s="1"/>
  <c r="S685" i="21"/>
  <c r="T776" i="21"/>
  <c r="S795" i="21"/>
  <c r="U795" i="21" s="1"/>
  <c r="U844" i="21"/>
  <c r="Z844" i="21" s="1"/>
  <c r="U898" i="21"/>
  <c r="Z898" i="21" s="1"/>
  <c r="P1027" i="21"/>
  <c r="U1124" i="21"/>
  <c r="X1124" i="21" s="1"/>
  <c r="U1227" i="21"/>
  <c r="U1272" i="21"/>
  <c r="Y1272" i="21" s="1"/>
  <c r="S1299" i="21"/>
  <c r="U1299" i="21" s="1"/>
  <c r="P1323" i="21"/>
  <c r="S1331" i="21"/>
  <c r="U1331" i="21" s="1"/>
  <c r="P1355" i="21"/>
  <c r="P1427" i="21"/>
  <c r="S1435" i="21"/>
  <c r="U1435" i="21" s="1"/>
  <c r="S1507" i="21"/>
  <c r="U1507" i="21" s="1"/>
  <c r="X1507" i="21" s="1"/>
  <c r="U1768" i="21"/>
  <c r="Z1768" i="21" s="1"/>
  <c r="P25" i="21"/>
  <c r="P41" i="21"/>
  <c r="H189" i="21"/>
  <c r="J189" i="21" s="1"/>
  <c r="P253" i="21"/>
  <c r="P578" i="21"/>
  <c r="P739" i="21"/>
  <c r="P771" i="21"/>
  <c r="P811" i="21"/>
  <c r="P843" i="21"/>
  <c r="P875" i="21"/>
  <c r="P907" i="21"/>
  <c r="P939" i="21"/>
  <c r="P971" i="21"/>
  <c r="P1019" i="21"/>
  <c r="P1059" i="21"/>
  <c r="U1072" i="21"/>
  <c r="Z1072" i="21" s="1"/>
  <c r="P1091" i="21"/>
  <c r="U1104" i="21"/>
  <c r="X1104" i="21" s="1"/>
  <c r="P1123" i="21"/>
  <c r="P1155" i="21"/>
  <c r="P1187" i="21"/>
  <c r="P1219" i="21"/>
  <c r="P1251" i="21"/>
  <c r="P1283" i="21"/>
  <c r="P1387" i="21"/>
  <c r="P1419" i="21"/>
  <c r="P209" i="21"/>
  <c r="P217" i="21"/>
  <c r="P225" i="21"/>
  <c r="P570" i="21"/>
  <c r="P626" i="21"/>
  <c r="P686" i="21"/>
  <c r="P723" i="21"/>
  <c r="P731" i="21"/>
  <c r="P1011" i="21"/>
  <c r="U1234" i="21"/>
  <c r="U1244" i="21"/>
  <c r="Y1244" i="21" s="1"/>
  <c r="U1296" i="21"/>
  <c r="P1315" i="21"/>
  <c r="P1347" i="21"/>
  <c r="U1597" i="21"/>
  <c r="Z1597" i="21" s="1"/>
  <c r="H1872" i="21"/>
  <c r="J1872" i="21" s="1"/>
  <c r="T2682" i="21"/>
  <c r="P562" i="21"/>
  <c r="P763" i="21"/>
  <c r="P867" i="21"/>
  <c r="P899" i="21"/>
  <c r="P931" i="21"/>
  <c r="P963" i="21"/>
  <c r="P1003" i="21"/>
  <c r="P1051" i="21"/>
  <c r="U1069" i="21"/>
  <c r="P1083" i="21"/>
  <c r="P1115" i="21"/>
  <c r="P1147" i="21"/>
  <c r="P1179" i="21"/>
  <c r="P1211" i="21"/>
  <c r="P1243" i="21"/>
  <c r="P1275" i="21"/>
  <c r="P1379" i="21"/>
  <c r="P1411" i="21"/>
  <c r="U1636" i="21"/>
  <c r="P193" i="21"/>
  <c r="S274" i="21"/>
  <c r="P296" i="21"/>
  <c r="P803" i="21"/>
  <c r="P835" i="21"/>
  <c r="P995" i="21"/>
  <c r="U1179" i="21"/>
  <c r="P1307" i="21"/>
  <c r="P1339" i="21"/>
  <c r="P1459" i="21"/>
  <c r="U1088" i="21"/>
  <c r="X1088" i="21" s="1"/>
  <c r="U1216" i="21"/>
  <c r="X1216" i="21" s="1"/>
  <c r="P2688" i="21"/>
  <c r="P413" i="21"/>
  <c r="U847" i="21"/>
  <c r="U1334" i="21"/>
  <c r="Z1334" i="21" s="1"/>
  <c r="U1428" i="21"/>
  <c r="Y1428" i="21" s="1"/>
  <c r="P1531" i="21"/>
  <c r="P1787" i="21"/>
  <c r="U1790" i="21"/>
  <c r="Z1790" i="21" s="1"/>
  <c r="U498" i="21"/>
  <c r="U466" i="21"/>
  <c r="Y466" i="21" s="1"/>
  <c r="U495" i="21"/>
  <c r="Z495" i="21" s="1"/>
  <c r="U820" i="21"/>
  <c r="Z820" i="21" s="1"/>
  <c r="U852" i="21"/>
  <c r="Y852" i="21" s="1"/>
  <c r="U884" i="21"/>
  <c r="U904" i="21"/>
  <c r="X904" i="21" s="1"/>
  <c r="U968" i="21"/>
  <c r="Z968" i="21" s="1"/>
  <c r="H141" i="21"/>
  <c r="J141" i="21" s="1"/>
  <c r="P232" i="21"/>
  <c r="S269" i="21"/>
  <c r="U1043" i="21"/>
  <c r="X1043" i="21" s="1"/>
  <c r="U1100" i="21"/>
  <c r="Z1100" i="21" s="1"/>
  <c r="U1218" i="21"/>
  <c r="U1300" i="21"/>
  <c r="Z1300" i="21" s="1"/>
  <c r="U1487" i="21"/>
  <c r="U737" i="21"/>
  <c r="P352" i="21"/>
  <c r="P376" i="21"/>
  <c r="H609" i="21"/>
  <c r="J609" i="21" s="1"/>
  <c r="U864" i="21"/>
  <c r="X864" i="21" s="1"/>
  <c r="U1540" i="21"/>
  <c r="U1560" i="21"/>
  <c r="Y1560" i="21" s="1"/>
  <c r="H2037" i="21"/>
  <c r="J2037" i="21" s="1"/>
  <c r="U39" i="21"/>
  <c r="Y39" i="21" s="1"/>
  <c r="T59" i="21"/>
  <c r="U79" i="21"/>
  <c r="Z79" i="21" s="1"/>
  <c r="P418" i="21"/>
  <c r="U1210" i="21"/>
  <c r="H2069" i="21"/>
  <c r="J2069" i="21" s="1"/>
  <c r="H2085" i="21"/>
  <c r="J2085" i="21" s="1"/>
  <c r="T2631" i="21"/>
  <c r="T210" i="21"/>
  <c r="P643" i="21"/>
  <c r="T1774" i="21"/>
  <c r="H1817" i="21"/>
  <c r="J1817" i="21" s="1"/>
  <c r="U30" i="21"/>
  <c r="Z30" i="21" s="1"/>
  <c r="H193" i="21"/>
  <c r="J193" i="21" s="1"/>
  <c r="S316" i="21"/>
  <c r="P340" i="21"/>
  <c r="T524" i="21"/>
  <c r="P634" i="21"/>
  <c r="U1059" i="21"/>
  <c r="Z1059" i="21" s="1"/>
  <c r="U1676" i="21"/>
  <c r="X1676" i="21" s="1"/>
  <c r="T50" i="21"/>
  <c r="S301" i="21"/>
  <c r="U301" i="21" s="1"/>
  <c r="P364" i="21"/>
  <c r="T765" i="21"/>
  <c r="U803" i="21"/>
  <c r="U1150" i="21"/>
  <c r="U1224" i="21"/>
  <c r="X1224" i="21" s="1"/>
  <c r="U1612" i="21"/>
  <c r="Y1612" i="21" s="1"/>
  <c r="H1892" i="21"/>
  <c r="J1892" i="21" s="1"/>
  <c r="U1761" i="21"/>
  <c r="Z1761" i="21" s="1"/>
  <c r="U96" i="21"/>
  <c r="Z96" i="21" s="1"/>
  <c r="T108" i="21"/>
  <c r="U141" i="21"/>
  <c r="Z141" i="21" s="1"/>
  <c r="U156" i="21"/>
  <c r="Z156" i="21" s="1"/>
  <c r="P280" i="21"/>
  <c r="P286" i="21"/>
  <c r="S292" i="21"/>
  <c r="S388" i="21"/>
  <c r="U388" i="21" s="1"/>
  <c r="S436" i="21"/>
  <c r="U436" i="21" s="1"/>
  <c r="S458" i="21"/>
  <c r="U458" i="21" s="1"/>
  <c r="P466" i="21"/>
  <c r="P490" i="21"/>
  <c r="P546" i="21"/>
  <c r="P602" i="21"/>
  <c r="P636" i="21"/>
  <c r="S679" i="21"/>
  <c r="S715" i="21"/>
  <c r="U715" i="21" s="1"/>
  <c r="P753" i="21"/>
  <c r="P761" i="21"/>
  <c r="P769" i="21"/>
  <c r="P777" i="21"/>
  <c r="U1030" i="21"/>
  <c r="Z1030" i="21" s="1"/>
  <c r="U1038" i="21"/>
  <c r="S1041" i="21"/>
  <c r="U1041" i="21" s="1"/>
  <c r="X1041" i="21" s="1"/>
  <c r="S1049" i="21"/>
  <c r="U1049" i="21" s="1"/>
  <c r="S1057" i="21"/>
  <c r="U1182" i="21"/>
  <c r="U1211" i="21"/>
  <c r="U1231" i="21"/>
  <c r="Y1231" i="21" s="1"/>
  <c r="U1236" i="21"/>
  <c r="X1236" i="21" s="1"/>
  <c r="U1284" i="21"/>
  <c r="X1284" i="21" s="1"/>
  <c r="S1289" i="21"/>
  <c r="U1289" i="21" s="1"/>
  <c r="Y1289" i="21" s="1"/>
  <c r="S1353" i="21"/>
  <c r="U1353" i="21" s="1"/>
  <c r="U1407" i="21"/>
  <c r="S1417" i="21"/>
  <c r="U1417" i="21" s="1"/>
  <c r="Z1417" i="21" s="1"/>
  <c r="H1949" i="21"/>
  <c r="J1949" i="21" s="1"/>
  <c r="P1953" i="21"/>
  <c r="U2348" i="21"/>
  <c r="Y2348" i="21" s="1"/>
  <c r="P2644" i="21"/>
  <c r="P2652" i="21"/>
  <c r="T2679" i="21"/>
  <c r="S2692" i="21"/>
  <c r="T98" i="21"/>
  <c r="H153" i="21"/>
  <c r="J153" i="21" s="1"/>
  <c r="H260" i="21"/>
  <c r="J260" i="21" s="1"/>
  <c r="P328" i="21"/>
  <c r="P498" i="21"/>
  <c r="X498" i="21" s="1"/>
  <c r="P506" i="21"/>
  <c r="P514" i="21"/>
  <c r="P522" i="21"/>
  <c r="P530" i="21"/>
  <c r="S638" i="21"/>
  <c r="U638" i="21" s="1"/>
  <c r="P640" i="21"/>
  <c r="P785" i="21"/>
  <c r="U1132" i="21"/>
  <c r="Z1132" i="21" s="1"/>
  <c r="S1281" i="21"/>
  <c r="S1345" i="21"/>
  <c r="U1345" i="21" s="1"/>
  <c r="X1345" i="21" s="1"/>
  <c r="U1376" i="21"/>
  <c r="Y1376" i="21" s="1"/>
  <c r="S1409" i="21"/>
  <c r="U1409" i="21" s="1"/>
  <c r="S1625" i="21"/>
  <c r="U1625" i="21" s="1"/>
  <c r="S412" i="21"/>
  <c r="U412" i="21" s="1"/>
  <c r="S703" i="21"/>
  <c r="U703" i="21" s="1"/>
  <c r="U861" i="21"/>
  <c r="Z861" i="21" s="1"/>
  <c r="U1080" i="21"/>
  <c r="S1273" i="21"/>
  <c r="U1273" i="21" s="1"/>
  <c r="U1278" i="21"/>
  <c r="Z1278" i="21" s="1"/>
  <c r="S1337" i="21"/>
  <c r="U1337" i="21" s="1"/>
  <c r="U1347" i="21"/>
  <c r="Z1347" i="21" s="1"/>
  <c r="U1396" i="21"/>
  <c r="Y1396" i="21" s="1"/>
  <c r="S1401" i="21"/>
  <c r="U1401" i="21" s="1"/>
  <c r="X1401" i="21" s="1"/>
  <c r="U1429" i="21"/>
  <c r="P1529" i="21"/>
  <c r="T1773" i="21"/>
  <c r="H1884" i="21"/>
  <c r="J1884" i="21" s="1"/>
  <c r="J2210" i="21"/>
  <c r="U2600" i="21"/>
  <c r="Y2600" i="21" s="1"/>
  <c r="S2663" i="21"/>
  <c r="U2663" i="21" s="1"/>
  <c r="X2663" i="21" s="1"/>
  <c r="P2679" i="21"/>
  <c r="P2681" i="21"/>
  <c r="P230" i="21"/>
  <c r="S234" i="21"/>
  <c r="P283" i="21"/>
  <c r="P430" i="21"/>
  <c r="S442" i="21"/>
  <c r="U442" i="21" s="1"/>
  <c r="U492" i="21"/>
  <c r="P635" i="21"/>
  <c r="S667" i="21"/>
  <c r="U850" i="21"/>
  <c r="U874" i="21"/>
  <c r="U1048" i="21"/>
  <c r="Y1048" i="21" s="1"/>
  <c r="S1265" i="21"/>
  <c r="U1265" i="21" s="1"/>
  <c r="S1329" i="21"/>
  <c r="U1329" i="21" s="1"/>
  <c r="X1329" i="21" s="1"/>
  <c r="S1393" i="21"/>
  <c r="U1393" i="21" s="1"/>
  <c r="Z1393" i="21" s="1"/>
  <c r="S1841" i="21"/>
  <c r="U1841" i="21" s="1"/>
  <c r="H1933" i="21"/>
  <c r="J1933" i="21" s="1"/>
  <c r="P1937" i="21"/>
  <c r="T205" i="21"/>
  <c r="T221" i="21"/>
  <c r="H437" i="21"/>
  <c r="J437" i="21" s="1"/>
  <c r="T573" i="21"/>
  <c r="U585" i="21"/>
  <c r="Z585" i="21" s="1"/>
  <c r="P655" i="21"/>
  <c r="P721" i="21"/>
  <c r="P793" i="21"/>
  <c r="P801" i="21"/>
  <c r="P809" i="21"/>
  <c r="P817" i="21"/>
  <c r="P825" i="21"/>
  <c r="P841" i="21"/>
  <c r="P849" i="21"/>
  <c r="P857" i="21"/>
  <c r="P865" i="21"/>
  <c r="P873" i="21"/>
  <c r="P881" i="21"/>
  <c r="P889" i="21"/>
  <c r="P897" i="21"/>
  <c r="P905" i="21"/>
  <c r="P913" i="21"/>
  <c r="P921" i="21"/>
  <c r="P929" i="21"/>
  <c r="P937" i="21"/>
  <c r="P945" i="21"/>
  <c r="P953" i="21"/>
  <c r="P961" i="21"/>
  <c r="P969" i="21"/>
  <c r="P977" i="21"/>
  <c r="P985" i="21"/>
  <c r="U1077" i="21"/>
  <c r="U1242" i="21"/>
  <c r="S1321" i="21"/>
  <c r="U1321" i="21" s="1"/>
  <c r="S1385" i="21"/>
  <c r="U1385" i="21" s="1"/>
  <c r="Z1385" i="21" s="1"/>
  <c r="U1757" i="21"/>
  <c r="S1833" i="21"/>
  <c r="U1833" i="21" s="1"/>
  <c r="H1876" i="21"/>
  <c r="J1876" i="21" s="1"/>
  <c r="H552" i="21"/>
  <c r="J552" i="21" s="1"/>
  <c r="S691" i="21"/>
  <c r="S709" i="21"/>
  <c r="U873" i="21"/>
  <c r="U881" i="21"/>
  <c r="Y881" i="21" s="1"/>
  <c r="U953" i="21"/>
  <c r="Z953" i="21" s="1"/>
  <c r="U1126" i="21"/>
  <c r="U1280" i="21"/>
  <c r="S1313" i="21"/>
  <c r="U1313" i="21" s="1"/>
  <c r="Z1313" i="21" s="1"/>
  <c r="S1377" i="21"/>
  <c r="U1377" i="21" s="1"/>
  <c r="X1377" i="21" s="1"/>
  <c r="U1382" i="21"/>
  <c r="S1441" i="21"/>
  <c r="U1441" i="21" s="1"/>
  <c r="P1513" i="21"/>
  <c r="P2153" i="21"/>
  <c r="U19" i="21"/>
  <c r="X19" i="21" s="1"/>
  <c r="U70" i="21"/>
  <c r="Z70" i="21" s="1"/>
  <c r="U144" i="21"/>
  <c r="H265" i="21"/>
  <c r="J265" i="21" s="1"/>
  <c r="U311" i="21"/>
  <c r="U453" i="21"/>
  <c r="Y453" i="21" s="1"/>
  <c r="U470" i="21"/>
  <c r="U804" i="21"/>
  <c r="Z804" i="21" s="1"/>
  <c r="U862" i="21"/>
  <c r="X862" i="21" s="1"/>
  <c r="P1065" i="21"/>
  <c r="P1073" i="21"/>
  <c r="S1305" i="21"/>
  <c r="S1369" i="21"/>
  <c r="U1369" i="21" s="1"/>
  <c r="U1374" i="21"/>
  <c r="U1397" i="21"/>
  <c r="Z1397" i="21" s="1"/>
  <c r="U1423" i="21"/>
  <c r="Y1423" i="21" s="1"/>
  <c r="S1433" i="21"/>
  <c r="U1599" i="21"/>
  <c r="X1599" i="21" s="1"/>
  <c r="T1672" i="21"/>
  <c r="P1761" i="21"/>
  <c r="U1772" i="21"/>
  <c r="Y1772" i="21" s="1"/>
  <c r="S1993" i="21"/>
  <c r="U1993" i="21" s="1"/>
  <c r="W1996" i="21" s="1"/>
  <c r="P2001" i="21"/>
  <c r="U2174" i="21"/>
  <c r="W2177" i="21" s="1"/>
  <c r="P2631" i="21"/>
  <c r="P2639" i="21"/>
  <c r="S2647" i="21"/>
  <c r="U2647" i="21" s="1"/>
  <c r="S649" i="21"/>
  <c r="U649" i="21" s="1"/>
  <c r="P649" i="21"/>
  <c r="S289" i="21"/>
  <c r="U289" i="21" s="1"/>
  <c r="P289" i="21"/>
  <c r="T757" i="21"/>
  <c r="U247" i="21"/>
  <c r="Z247" i="21" s="1"/>
  <c r="U49" i="21"/>
  <c r="U94" i="21"/>
  <c r="Z94" i="21" s="1"/>
  <c r="U159" i="21"/>
  <c r="U179" i="21"/>
  <c r="Z179" i="21" s="1"/>
  <c r="U200" i="21"/>
  <c r="Z200" i="21" s="1"/>
  <c r="U239" i="21"/>
  <c r="Z239" i="21" s="1"/>
  <c r="U260" i="21"/>
  <c r="W264" i="21" s="1"/>
  <c r="U511" i="21"/>
  <c r="U563" i="21"/>
  <c r="U674" i="21"/>
  <c r="U686" i="21"/>
  <c r="U762" i="21"/>
  <c r="U770" i="21"/>
  <c r="Y770" i="21" s="1"/>
  <c r="U796" i="21"/>
  <c r="U819" i="21"/>
  <c r="U860" i="21"/>
  <c r="U895" i="21"/>
  <c r="Z895" i="21" s="1"/>
  <c r="U908" i="21"/>
  <c r="Z908" i="21" s="1"/>
  <c r="U916" i="21"/>
  <c r="Z916" i="21" s="1"/>
  <c r="U919" i="21"/>
  <c r="Z919" i="21" s="1"/>
  <c r="U943" i="21"/>
  <c r="X943" i="21" s="1"/>
  <c r="P298" i="21"/>
  <c r="P334" i="21"/>
  <c r="P370" i="21"/>
  <c r="P424" i="21"/>
  <c r="U588" i="21"/>
  <c r="Z588" i="21" s="1"/>
  <c r="U100" i="21"/>
  <c r="X100" i="21" s="1"/>
  <c r="P233" i="21"/>
  <c r="U241" i="21"/>
  <c r="Z241" i="21" s="1"/>
  <c r="P259" i="21"/>
  <c r="S264" i="21"/>
  <c r="S310" i="21"/>
  <c r="U310" i="21" s="1"/>
  <c r="S322" i="21"/>
  <c r="S346" i="21"/>
  <c r="U353" i="21"/>
  <c r="W357" i="21" s="1"/>
  <c r="S358" i="21"/>
  <c r="U358" i="21" s="1"/>
  <c r="S382" i="21"/>
  <c r="U382" i="21" s="1"/>
  <c r="U493" i="21"/>
  <c r="Z493" i="21" s="1"/>
  <c r="H593" i="21"/>
  <c r="J593" i="21" s="1"/>
  <c r="U625" i="21"/>
  <c r="Y625" i="21" s="1"/>
  <c r="U726" i="21"/>
  <c r="Y726" i="21" s="1"/>
  <c r="T755" i="21"/>
  <c r="T759" i="21"/>
  <c r="T767" i="21"/>
  <c r="H2077" i="21"/>
  <c r="J2077" i="21" s="1"/>
  <c r="T94" i="21"/>
  <c r="P304" i="21"/>
  <c r="H377" i="21"/>
  <c r="J377" i="21" s="1"/>
  <c r="P406" i="21"/>
  <c r="T559" i="21"/>
  <c r="U587" i="21"/>
  <c r="Z587" i="21" s="1"/>
  <c r="P661" i="21"/>
  <c r="U673" i="21"/>
  <c r="P673" i="21"/>
  <c r="P697" i="21"/>
  <c r="U734" i="21"/>
  <c r="Z734" i="21" s="1"/>
  <c r="U768" i="21"/>
  <c r="U772" i="21"/>
  <c r="Z772" i="21" s="1"/>
  <c r="U776" i="21"/>
  <c r="Z776" i="21" s="1"/>
  <c r="T815" i="21"/>
  <c r="T819" i="21"/>
  <c r="U833" i="21"/>
  <c r="Z833" i="21" s="1"/>
  <c r="S2689" i="21"/>
  <c r="U2689" i="21" s="1"/>
  <c r="U570" i="21"/>
  <c r="Z570" i="21" s="1"/>
  <c r="U29" i="21"/>
  <c r="Z29" i="21" s="1"/>
  <c r="U34" i="21"/>
  <c r="X34" i="21" s="1"/>
  <c r="T46" i="21"/>
  <c r="U72" i="21"/>
  <c r="Z72" i="21" s="1"/>
  <c r="U80" i="21"/>
  <c r="Z80" i="21" s="1"/>
  <c r="U88" i="21"/>
  <c r="Z88" i="21" s="1"/>
  <c r="U99" i="21"/>
  <c r="Z99" i="21" s="1"/>
  <c r="U108" i="21"/>
  <c r="T110" i="21"/>
  <c r="U118" i="21"/>
  <c r="Z118" i="21" s="1"/>
  <c r="H144" i="21"/>
  <c r="J144" i="21" s="1"/>
  <c r="H196" i="21"/>
  <c r="J196" i="21" s="1"/>
  <c r="U973" i="21"/>
  <c r="U1008" i="21"/>
  <c r="Y1008" i="21" s="1"/>
  <c r="U1016" i="21"/>
  <c r="Y1016" i="21" s="1"/>
  <c r="U1024" i="21"/>
  <c r="Y1024" i="21" s="1"/>
  <c r="U1032" i="21"/>
  <c r="Y1032" i="21" s="1"/>
  <c r="S2705" i="21"/>
  <c r="P2705" i="21"/>
  <c r="P2697" i="21"/>
  <c r="S2697" i="21"/>
  <c r="U2697" i="21" s="1"/>
  <c r="Z2697" i="21" s="1"/>
  <c r="S2673" i="21"/>
  <c r="U2673" i="21" s="1"/>
  <c r="P2673" i="21"/>
  <c r="S2665" i="21"/>
  <c r="P2665" i="21"/>
  <c r="S2657" i="21"/>
  <c r="P2657" i="21"/>
  <c r="S2649" i="21"/>
  <c r="U2649" i="21" s="1"/>
  <c r="P2649" i="21"/>
  <c r="S2641" i="21"/>
  <c r="U2641" i="21" s="1"/>
  <c r="P2641" i="21"/>
  <c r="S2633" i="21"/>
  <c r="U2633" i="21" s="1"/>
  <c r="P2633" i="21"/>
  <c r="S2113" i="21"/>
  <c r="P2113" i="21"/>
  <c r="S2105" i="21"/>
  <c r="U2105" i="21" s="1"/>
  <c r="Y2105" i="21" s="1"/>
  <c r="P2105" i="21"/>
  <c r="S2097" i="21"/>
  <c r="U2097" i="21" s="1"/>
  <c r="P2097" i="21"/>
  <c r="S2089" i="21"/>
  <c r="P2089" i="21"/>
  <c r="P2081" i="21"/>
  <c r="S2081" i="21"/>
  <c r="U2081" i="21" s="1"/>
  <c r="S2073" i="21"/>
  <c r="U2073" i="21" s="1"/>
  <c r="P2073" i="21"/>
  <c r="S2065" i="21"/>
  <c r="U2065" i="21" s="1"/>
  <c r="P2065" i="21"/>
  <c r="P2057" i="21"/>
  <c r="S2057" i="21"/>
  <c r="U2057" i="21" s="1"/>
  <c r="S2049" i="21"/>
  <c r="U2049" i="21" s="1"/>
  <c r="P2049" i="21"/>
  <c r="S2041" i="21"/>
  <c r="U2041" i="21" s="1"/>
  <c r="Y2041" i="21" s="1"/>
  <c r="P2041" i="21"/>
  <c r="S2033" i="21"/>
  <c r="U2033" i="21" s="1"/>
  <c r="P2033" i="21"/>
  <c r="P2025" i="21"/>
  <c r="S2025" i="21"/>
  <c r="U2025" i="21" s="1"/>
  <c r="S2017" i="21"/>
  <c r="U2017" i="21" s="1"/>
  <c r="P2017" i="21"/>
  <c r="S2009" i="21"/>
  <c r="P2009" i="21"/>
  <c r="S1985" i="21"/>
  <c r="U1985" i="21" s="1"/>
  <c r="P1985" i="21"/>
  <c r="S1977" i="21"/>
  <c r="U1977" i="21" s="1"/>
  <c r="P1977" i="21"/>
  <c r="S1969" i="21"/>
  <c r="U1969" i="21" s="1"/>
  <c r="P1969" i="21"/>
  <c r="S1961" i="21"/>
  <c r="U1961" i="21" s="1"/>
  <c r="P1961" i="21"/>
  <c r="S1945" i="21"/>
  <c r="U1945" i="21" s="1"/>
  <c r="Y1945" i="21" s="1"/>
  <c r="P1945" i="21"/>
  <c r="S1929" i="21"/>
  <c r="U1929" i="21" s="1"/>
  <c r="P1929" i="21"/>
  <c r="P1921" i="21"/>
  <c r="S1921" i="21"/>
  <c r="U1921" i="21" s="1"/>
  <c r="S1913" i="21"/>
  <c r="U1913" i="21" s="1"/>
  <c r="P1913" i="21"/>
  <c r="S1825" i="21"/>
  <c r="U1825" i="21" s="1"/>
  <c r="P1825" i="21"/>
  <c r="S1817" i="21"/>
  <c r="U1817" i="21" s="1"/>
  <c r="P1817" i="21"/>
  <c r="S1801" i="21"/>
  <c r="P1801" i="21"/>
  <c r="S1793" i="21"/>
  <c r="U1793" i="21" s="1"/>
  <c r="P1793" i="21"/>
  <c r="S1777" i="21"/>
  <c r="U1777" i="21" s="1"/>
  <c r="P1777" i="21"/>
  <c r="S1769" i="21"/>
  <c r="U1769" i="21" s="1"/>
  <c r="P1769" i="21"/>
  <c r="S1753" i="21"/>
  <c r="P1753" i="21"/>
  <c r="P1745" i="21"/>
  <c r="S1745" i="21"/>
  <c r="U1745" i="21" s="1"/>
  <c r="S1737" i="21"/>
  <c r="U1737" i="21" s="1"/>
  <c r="P1737" i="21"/>
  <c r="S1729" i="21"/>
  <c r="U1729" i="21" s="1"/>
  <c r="P1729" i="21"/>
  <c r="S1705" i="21"/>
  <c r="P1705" i="21"/>
  <c r="P1697" i="21"/>
  <c r="S1697" i="21"/>
  <c r="U1697" i="21" s="1"/>
  <c r="S1689" i="21"/>
  <c r="U1689" i="21" s="1"/>
  <c r="P1689" i="21"/>
  <c r="S1681" i="21"/>
  <c r="U1681" i="21" s="1"/>
  <c r="Z1681" i="21" s="1"/>
  <c r="P1681" i="21"/>
  <c r="S1673" i="21"/>
  <c r="P1673" i="21"/>
  <c r="S1665" i="21"/>
  <c r="U1665" i="21" s="1"/>
  <c r="P1665" i="21"/>
  <c r="S1649" i="21"/>
  <c r="P1649" i="21"/>
  <c r="S1633" i="21"/>
  <c r="P1633" i="21"/>
  <c r="S1617" i="21"/>
  <c r="P1617" i="21"/>
  <c r="S1609" i="21"/>
  <c r="P1609" i="21"/>
  <c r="P1601" i="21"/>
  <c r="S1601" i="21"/>
  <c r="U1601" i="21" s="1"/>
  <c r="S1593" i="21"/>
  <c r="U1593" i="21" s="1"/>
  <c r="Z1593" i="21" s="1"/>
  <c r="P1593" i="21"/>
  <c r="S1585" i="21"/>
  <c r="P1585" i="21"/>
  <c r="S1577" i="21"/>
  <c r="U1577" i="21" s="1"/>
  <c r="P1577" i="21"/>
  <c r="S1569" i="21"/>
  <c r="U1569" i="21" s="1"/>
  <c r="P1569" i="21"/>
  <c r="S1561" i="21"/>
  <c r="P1561" i="21"/>
  <c r="S1553" i="21"/>
  <c r="P1553" i="21"/>
  <c r="S1545" i="21"/>
  <c r="U1545" i="21" s="1"/>
  <c r="P1545" i="21"/>
  <c r="S1537" i="21"/>
  <c r="U1537" i="21" s="1"/>
  <c r="P1537" i="21"/>
  <c r="S1521" i="21"/>
  <c r="U1521" i="21" s="1"/>
  <c r="Z1521" i="21" s="1"/>
  <c r="P1521" i="21"/>
  <c r="S1505" i="21"/>
  <c r="P1505" i="21"/>
  <c r="P1497" i="21"/>
  <c r="S1497" i="21"/>
  <c r="U1497" i="21" s="1"/>
  <c r="S1489" i="21"/>
  <c r="U1489" i="21" s="1"/>
  <c r="P1489" i="21"/>
  <c r="S1481" i="21"/>
  <c r="U1481" i="21" s="1"/>
  <c r="Z1481" i="21" s="1"/>
  <c r="P1481" i="21"/>
  <c r="P1473" i="21"/>
  <c r="S1473" i="21"/>
  <c r="U1473" i="21" s="1"/>
  <c r="S1465" i="21"/>
  <c r="U1465" i="21" s="1"/>
  <c r="Z1465" i="21" s="1"/>
  <c r="P1465" i="21"/>
  <c r="S1457" i="21"/>
  <c r="U1457" i="21" s="1"/>
  <c r="P1457" i="21"/>
  <c r="S1449" i="21"/>
  <c r="U1449" i="21" s="1"/>
  <c r="Z1449" i="21" s="1"/>
  <c r="P1449" i="21"/>
  <c r="S1257" i="21"/>
  <c r="P1257" i="21"/>
  <c r="S1249" i="21"/>
  <c r="P1249" i="21"/>
  <c r="S1241" i="21"/>
  <c r="U1241" i="21" s="1"/>
  <c r="P1241" i="21"/>
  <c r="S1233" i="21"/>
  <c r="P1233" i="21"/>
  <c r="S1225" i="21"/>
  <c r="P1225" i="21"/>
  <c r="S1217" i="21"/>
  <c r="U1217" i="21" s="1"/>
  <c r="P1217" i="21"/>
  <c r="S1209" i="21"/>
  <c r="U1209" i="21" s="1"/>
  <c r="P1209" i="21"/>
  <c r="S1201" i="21"/>
  <c r="P1201" i="21"/>
  <c r="S1193" i="21"/>
  <c r="P1193" i="21"/>
  <c r="S1185" i="21"/>
  <c r="U1185" i="21" s="1"/>
  <c r="P1185" i="21"/>
  <c r="S1177" i="21"/>
  <c r="U1177" i="21" s="1"/>
  <c r="P1177" i="21"/>
  <c r="S1169" i="21"/>
  <c r="U1169" i="21" s="1"/>
  <c r="Z1169" i="21" s="1"/>
  <c r="P1169" i="21"/>
  <c r="S1161" i="21"/>
  <c r="P1161" i="21"/>
  <c r="S1153" i="21"/>
  <c r="U1153" i="21" s="1"/>
  <c r="P1153" i="21"/>
  <c r="S1145" i="21"/>
  <c r="U1145" i="21" s="1"/>
  <c r="P1145" i="21"/>
  <c r="S1137" i="21"/>
  <c r="U1137" i="21" s="1"/>
  <c r="P1137" i="21"/>
  <c r="S1129" i="21"/>
  <c r="P1129" i="21"/>
  <c r="S1121" i="21"/>
  <c r="U1121" i="21" s="1"/>
  <c r="P1121" i="21"/>
  <c r="S1113" i="21"/>
  <c r="U1113" i="21" s="1"/>
  <c r="Y1113" i="21" s="1"/>
  <c r="P1113" i="21"/>
  <c r="S1105" i="21"/>
  <c r="U1105" i="21" s="1"/>
  <c r="P1105" i="21"/>
  <c r="S1097" i="21"/>
  <c r="P1097" i="21"/>
  <c r="S1089" i="21"/>
  <c r="U1089" i="21" s="1"/>
  <c r="P1089" i="21"/>
  <c r="S1081" i="21"/>
  <c r="U1081" i="21" s="1"/>
  <c r="P1081" i="21"/>
  <c r="U547" i="21"/>
  <c r="Y547" i="21" s="1"/>
  <c r="T44" i="21"/>
  <c r="H341" i="21"/>
  <c r="J341" i="21" s="1"/>
  <c r="U500" i="21"/>
  <c r="Y500" i="21" s="1"/>
  <c r="T582" i="21"/>
  <c r="U759" i="21"/>
  <c r="Y759" i="21" s="1"/>
  <c r="U767" i="21"/>
  <c r="U771" i="21"/>
  <c r="Z771" i="21" s="1"/>
  <c r="U775" i="21"/>
  <c r="Y775" i="21" s="1"/>
  <c r="U858" i="21"/>
  <c r="Z858" i="21" s="1"/>
  <c r="U906" i="21"/>
  <c r="U922" i="21"/>
  <c r="Z922" i="21" s="1"/>
  <c r="U946" i="21"/>
  <c r="U1005" i="21"/>
  <c r="U1013" i="21"/>
  <c r="U1294" i="21"/>
  <c r="Y1294" i="21" s="1"/>
  <c r="U1318" i="21"/>
  <c r="U1326" i="21"/>
  <c r="X1326" i="21" s="1"/>
  <c r="U1448" i="21"/>
  <c r="Z1448" i="21" s="1"/>
  <c r="U1485" i="21"/>
  <c r="U1520" i="21"/>
  <c r="Z1520" i="21" s="1"/>
  <c r="U1529" i="21"/>
  <c r="U1608" i="21"/>
  <c r="X1608" i="21" s="1"/>
  <c r="U1615" i="21"/>
  <c r="U1742" i="21"/>
  <c r="H1941" i="21"/>
  <c r="J1941" i="21" s="1"/>
  <c r="H1965" i="21"/>
  <c r="J1965" i="21" s="1"/>
  <c r="U2001" i="21"/>
  <c r="U2681" i="21"/>
  <c r="Z2681" i="21" s="1"/>
  <c r="T2690" i="21"/>
  <c r="U1098" i="21"/>
  <c r="Z1098" i="21" s="1"/>
  <c r="U1109" i="21"/>
  <c r="Y1109" i="21" s="1"/>
  <c r="U1138" i="21"/>
  <c r="Z1138" i="21" s="1"/>
  <c r="U1312" i="21"/>
  <c r="U1336" i="21"/>
  <c r="Z1336" i="21" s="1"/>
  <c r="U1526" i="21"/>
  <c r="H2049" i="21"/>
  <c r="J2049" i="21" s="1"/>
  <c r="T2646" i="21"/>
  <c r="T2698" i="21"/>
  <c r="S2704" i="21"/>
  <c r="U2704" i="21" s="1"/>
  <c r="U2639" i="21"/>
  <c r="U1503" i="21"/>
  <c r="X1503" i="21" s="1"/>
  <c r="T1665" i="21"/>
  <c r="U2270" i="21"/>
  <c r="H2408" i="21"/>
  <c r="J2408" i="21" s="1"/>
  <c r="S2634" i="21"/>
  <c r="U2634" i="21" s="1"/>
  <c r="Y2634" i="21" s="1"/>
  <c r="U1103" i="21"/>
  <c r="U1274" i="21"/>
  <c r="U1290" i="21"/>
  <c r="U1389" i="21"/>
  <c r="Z1389" i="21" s="1"/>
  <c r="T1753" i="21"/>
  <c r="T1760" i="21"/>
  <c r="T1777" i="21"/>
  <c r="U1798" i="21"/>
  <c r="Z1798" i="21" s="1"/>
  <c r="U1808" i="21"/>
  <c r="X1808" i="21" s="1"/>
  <c r="U1892" i="21"/>
  <c r="H1957" i="21"/>
  <c r="J1957" i="21" s="1"/>
  <c r="H1969" i="21"/>
  <c r="J1969" i="21" s="1"/>
  <c r="H2021" i="21"/>
  <c r="J2021" i="21" s="1"/>
  <c r="H2053" i="21"/>
  <c r="J2053" i="21" s="1"/>
  <c r="U2414" i="21"/>
  <c r="Z2414" i="21" s="1"/>
  <c r="T2654" i="21"/>
  <c r="S2686" i="21"/>
  <c r="U2686" i="21" s="1"/>
  <c r="Z2686" i="21" s="1"/>
  <c r="T2691" i="21"/>
  <c r="U2661" i="21"/>
  <c r="Z2661" i="21" s="1"/>
  <c r="U1188" i="21"/>
  <c r="Z1188" i="21" s="1"/>
  <c r="U1196" i="21"/>
  <c r="Z1196" i="21" s="1"/>
  <c r="U1204" i="21"/>
  <c r="Z1204" i="21" s="1"/>
  <c r="U1212" i="21"/>
  <c r="Z1212" i="21" s="1"/>
  <c r="U1220" i="21"/>
  <c r="Z1220" i="21" s="1"/>
  <c r="U1282" i="21"/>
  <c r="U1640" i="21"/>
  <c r="H2009" i="21"/>
  <c r="J2009" i="21" s="1"/>
  <c r="U2516" i="21"/>
  <c r="T2650" i="21"/>
  <c r="T2658" i="21"/>
  <c r="T2687" i="21"/>
  <c r="U1268" i="21"/>
  <c r="Z1268" i="21" s="1"/>
  <c r="U1388" i="21"/>
  <c r="H1715" i="21"/>
  <c r="J1715" i="21" s="1"/>
  <c r="T1778" i="21"/>
  <c r="H1989" i="21"/>
  <c r="J1989" i="21" s="1"/>
  <c r="H2041" i="21"/>
  <c r="J2041" i="21" s="1"/>
  <c r="U1523" i="21"/>
  <c r="Z1523" i="21" s="1"/>
  <c r="U1483" i="21"/>
  <c r="U1451" i="21"/>
  <c r="Y1451" i="21" s="1"/>
  <c r="U1064" i="21"/>
  <c r="X1064" i="21" s="1"/>
  <c r="U1446" i="21"/>
  <c r="Z1446" i="21" s="1"/>
  <c r="U1461" i="21"/>
  <c r="U1495" i="21"/>
  <c r="X1495" i="21" s="1"/>
  <c r="U1518" i="21"/>
  <c r="Z1518" i="21" s="1"/>
  <c r="U1589" i="21"/>
  <c r="Z1589" i="21" s="1"/>
  <c r="U1743" i="21"/>
  <c r="T1776" i="21"/>
  <c r="U1828" i="21"/>
  <c r="Z1828" i="21" s="1"/>
  <c r="U1839" i="21"/>
  <c r="Y1839" i="21" s="1"/>
  <c r="U2204" i="21"/>
  <c r="W2207" i="21" s="1"/>
  <c r="U2342" i="21"/>
  <c r="W2345" i="21" s="1"/>
  <c r="U2420" i="21"/>
  <c r="W2425" i="21" s="1"/>
  <c r="U1746" i="21"/>
  <c r="Z1746" i="21" s="1"/>
  <c r="U207" i="21"/>
  <c r="T211" i="21"/>
  <c r="U574" i="21"/>
  <c r="Z574" i="21" s="1"/>
  <c r="U855" i="21"/>
  <c r="Y855" i="21" s="1"/>
  <c r="U1046" i="21"/>
  <c r="Z1046" i="21" s="1"/>
  <c r="U1151" i="21"/>
  <c r="U1644" i="21"/>
  <c r="Z1644" i="21" s="1"/>
  <c r="T1676" i="21"/>
  <c r="T1688" i="21"/>
  <c r="U1800" i="21"/>
  <c r="Y1800" i="21" s="1"/>
  <c r="P2645" i="21"/>
  <c r="S2687" i="21"/>
  <c r="U2687" i="21" s="1"/>
  <c r="S2700" i="21"/>
  <c r="U89" i="21"/>
  <c r="Y89" i="21" s="1"/>
  <c r="T109" i="21"/>
  <c r="U732" i="21"/>
  <c r="X732" i="21" s="1"/>
  <c r="U849" i="21"/>
  <c r="Y849" i="21" s="1"/>
  <c r="U876" i="21"/>
  <c r="Z876" i="21" s="1"/>
  <c r="U935" i="21"/>
  <c r="U962" i="21"/>
  <c r="Z962" i="21" s="1"/>
  <c r="U1021" i="21"/>
  <c r="Z1021" i="21" s="1"/>
  <c r="U1301" i="21"/>
  <c r="Y1301" i="21" s="1"/>
  <c r="U1320" i="21"/>
  <c r="U1344" i="21"/>
  <c r="Y1344" i="21" s="1"/>
  <c r="U1352" i="21"/>
  <c r="Y1352" i="21" s="1"/>
  <c r="U1368" i="21"/>
  <c r="X1368" i="21" s="1"/>
  <c r="U1379" i="21"/>
  <c r="X1379" i="21" s="1"/>
  <c r="U1419" i="21"/>
  <c r="T1669" i="21"/>
  <c r="T206" i="21"/>
  <c r="T214" i="21"/>
  <c r="T521" i="21"/>
  <c r="U536" i="21"/>
  <c r="U565" i="21"/>
  <c r="T569" i="21"/>
  <c r="U1632" i="21"/>
  <c r="Y1632" i="21" s="1"/>
  <c r="T752" i="21"/>
  <c r="U1252" i="21"/>
  <c r="T1756" i="21"/>
  <c r="U1856" i="21"/>
  <c r="U2118" i="21"/>
  <c r="Z2118" i="21" s="1"/>
  <c r="T2651" i="21"/>
  <c r="P2695" i="21"/>
  <c r="T504" i="21"/>
  <c r="T560" i="21"/>
  <c r="U572" i="21"/>
  <c r="Z572" i="21" s="1"/>
  <c r="T576" i="21"/>
  <c r="T760" i="21"/>
  <c r="T837" i="21"/>
  <c r="U1195" i="21"/>
  <c r="U1276" i="21"/>
  <c r="T1680" i="21"/>
  <c r="P2666" i="21"/>
  <c r="P2703" i="21"/>
  <c r="T62" i="21"/>
  <c r="U802" i="21"/>
  <c r="Z802" i="21" s="1"/>
  <c r="U808" i="21"/>
  <c r="T828" i="21"/>
  <c r="U845" i="21"/>
  <c r="Z845" i="21" s="1"/>
  <c r="U1184" i="21"/>
  <c r="U1200" i="21"/>
  <c r="Y1200" i="21" s="1"/>
  <c r="U1383" i="21"/>
  <c r="U1391" i="21"/>
  <c r="Y1391" i="21" s="1"/>
  <c r="U1439" i="21"/>
  <c r="U1631" i="21"/>
  <c r="X1631" i="21" s="1"/>
  <c r="U1652" i="21"/>
  <c r="Z1652" i="21" s="1"/>
  <c r="U1661" i="21"/>
  <c r="U1677" i="21"/>
  <c r="U2408" i="21"/>
  <c r="Z2408" i="21" s="1"/>
  <c r="S2655" i="21"/>
  <c r="U2655" i="21" s="1"/>
  <c r="X2655" i="21" s="1"/>
  <c r="T2659" i="21"/>
  <c r="U204" i="21"/>
  <c r="Z204" i="21" s="1"/>
  <c r="U253" i="21"/>
  <c r="Z253" i="21" s="1"/>
  <c r="U425" i="21"/>
  <c r="U494" i="21"/>
  <c r="T523" i="21"/>
  <c r="U537" i="21"/>
  <c r="T571" i="21"/>
  <c r="U836" i="21"/>
  <c r="U842" i="21"/>
  <c r="Z842" i="21" s="1"/>
  <c r="U960" i="21"/>
  <c r="U971" i="21"/>
  <c r="U979" i="21"/>
  <c r="U998" i="21"/>
  <c r="U1213" i="21"/>
  <c r="U41" i="21"/>
  <c r="Z41" i="21" s="1"/>
  <c r="T57" i="21"/>
  <c r="U65" i="21"/>
  <c r="Z65" i="21" s="1"/>
  <c r="U721" i="21"/>
  <c r="X721" i="21" s="1"/>
  <c r="U746" i="21"/>
  <c r="Z746" i="21" s="1"/>
  <c r="U890" i="21"/>
  <c r="Z890" i="21" s="1"/>
  <c r="U1170" i="21"/>
  <c r="Z1170" i="21" s="1"/>
  <c r="U1178" i="21"/>
  <c r="Z1178" i="21" s="1"/>
  <c r="U1256" i="21"/>
  <c r="Z1256" i="21" s="1"/>
  <c r="S2707" i="21"/>
  <c r="U2707" i="21" s="1"/>
  <c r="P2707" i="21"/>
  <c r="S2699" i="21"/>
  <c r="U2699" i="21" s="1"/>
  <c r="P2699" i="21"/>
  <c r="S2691" i="21"/>
  <c r="U2691" i="21" s="1"/>
  <c r="P2691" i="21"/>
  <c r="S2683" i="21"/>
  <c r="U2683" i="21" s="1"/>
  <c r="P2683" i="21"/>
  <c r="S2667" i="21"/>
  <c r="U2667" i="21" s="1"/>
  <c r="P2667" i="21"/>
  <c r="S2643" i="21"/>
  <c r="U2643" i="21" s="1"/>
  <c r="P2643" i="21"/>
  <c r="S2635" i="21"/>
  <c r="U2635" i="21" s="1"/>
  <c r="P2635" i="21"/>
  <c r="S1827" i="21"/>
  <c r="U1827" i="21" s="1"/>
  <c r="P1827" i="21"/>
  <c r="S1811" i="21"/>
  <c r="U1811" i="21" s="1"/>
  <c r="Z1811" i="21" s="1"/>
  <c r="P1811" i="21"/>
  <c r="S1763" i="21"/>
  <c r="P1763" i="21"/>
  <c r="S1755" i="21"/>
  <c r="U1755" i="21" s="1"/>
  <c r="P1755" i="21"/>
  <c r="S1739" i="21"/>
  <c r="P1739" i="21"/>
  <c r="S1731" i="21"/>
  <c r="U1731" i="21" s="1"/>
  <c r="P1731" i="21"/>
  <c r="S1723" i="21"/>
  <c r="U1723" i="21" s="1"/>
  <c r="P1723" i="21"/>
  <c r="S1699" i="21"/>
  <c r="U1699" i="21" s="1"/>
  <c r="P1699" i="21"/>
  <c r="S1683" i="21"/>
  <c r="U1683" i="21" s="1"/>
  <c r="Z1683" i="21" s="1"/>
  <c r="P1683" i="21"/>
  <c r="S1675" i="21"/>
  <c r="U1675" i="21" s="1"/>
  <c r="P1675" i="21"/>
  <c r="S1667" i="21"/>
  <c r="U1667" i="21" s="1"/>
  <c r="P1667" i="21"/>
  <c r="S1659" i="21"/>
  <c r="U1659" i="21" s="1"/>
  <c r="P1659" i="21"/>
  <c r="S1651" i="21"/>
  <c r="U1651" i="21" s="1"/>
  <c r="P1651" i="21"/>
  <c r="S1643" i="21"/>
  <c r="U1643" i="21" s="1"/>
  <c r="P1643" i="21"/>
  <c r="S1635" i="21"/>
  <c r="U1635" i="21" s="1"/>
  <c r="P1635" i="21"/>
  <c r="S1627" i="21"/>
  <c r="U1627" i="21" s="1"/>
  <c r="P1627" i="21"/>
  <c r="S1619" i="21"/>
  <c r="U1619" i="21" s="1"/>
  <c r="P1619" i="21"/>
  <c r="S1611" i="21"/>
  <c r="U1611" i="21" s="1"/>
  <c r="P1611" i="21"/>
  <c r="S1603" i="21"/>
  <c r="U1603" i="21" s="1"/>
  <c r="P1603" i="21"/>
  <c r="S1595" i="21"/>
  <c r="U1595" i="21" s="1"/>
  <c r="P1595" i="21"/>
  <c r="S1587" i="21"/>
  <c r="U1587" i="21" s="1"/>
  <c r="P1587" i="21"/>
  <c r="S1579" i="21"/>
  <c r="U1579" i="21" s="1"/>
  <c r="P1579" i="21"/>
  <c r="S1571" i="21"/>
  <c r="U1571" i="21" s="1"/>
  <c r="P1571" i="21"/>
  <c r="S1563" i="21"/>
  <c r="U1563" i="21" s="1"/>
  <c r="P1563" i="21"/>
  <c r="S1555" i="21"/>
  <c r="U1555" i="21" s="1"/>
  <c r="P1555" i="21"/>
  <c r="S1547" i="21"/>
  <c r="U1547" i="21" s="1"/>
  <c r="P1547" i="21"/>
  <c r="S2659" i="21"/>
  <c r="U2659" i="21" s="1"/>
  <c r="S2682" i="21"/>
  <c r="U2682" i="21" s="1"/>
  <c r="Y2682" i="21" s="1"/>
  <c r="P2682" i="21"/>
  <c r="S2594" i="21"/>
  <c r="U2594" i="21" s="1"/>
  <c r="P2594" i="21"/>
  <c r="S2546" i="21"/>
  <c r="U2546" i="21" s="1"/>
  <c r="P2546" i="21"/>
  <c r="S2522" i="21"/>
  <c r="U2522" i="21" s="1"/>
  <c r="P2522" i="21"/>
  <c r="S2498" i="21"/>
  <c r="U2498" i="21" s="1"/>
  <c r="Z2498" i="21" s="1"/>
  <c r="P2498" i="21"/>
  <c r="S2378" i="21"/>
  <c r="U2378" i="21" s="1"/>
  <c r="P2378" i="21"/>
  <c r="S2306" i="21"/>
  <c r="U2306" i="21" s="1"/>
  <c r="Y2306" i="21" s="1"/>
  <c r="P2306" i="21"/>
  <c r="S2258" i="21"/>
  <c r="U2258" i="21" s="1"/>
  <c r="Y2258" i="21" s="1"/>
  <c r="P2258" i="21"/>
  <c r="S2234" i="21"/>
  <c r="U2234" i="21" s="1"/>
  <c r="P2234" i="21"/>
  <c r="S2138" i="21"/>
  <c r="U2138" i="21" s="1"/>
  <c r="Z2138" i="21" s="1"/>
  <c r="P2138" i="21"/>
  <c r="S1826" i="21"/>
  <c r="U1826" i="21" s="1"/>
  <c r="Z1826" i="21" s="1"/>
  <c r="P1826" i="21"/>
  <c r="S1802" i="21"/>
  <c r="U1802" i="21" s="1"/>
  <c r="P1802" i="21"/>
  <c r="S1794" i="21"/>
  <c r="U1794" i="21" s="1"/>
  <c r="Z1794" i="21" s="1"/>
  <c r="P1794" i="21"/>
  <c r="S1786" i="21"/>
  <c r="U1786" i="21" s="1"/>
  <c r="P1786" i="21"/>
  <c r="S1778" i="21"/>
  <c r="U1778" i="21" s="1"/>
  <c r="Z1778" i="21" s="1"/>
  <c r="P1778" i="21"/>
  <c r="S1706" i="21"/>
  <c r="U1706" i="21" s="1"/>
  <c r="Z1706" i="21" s="1"/>
  <c r="P1706" i="21"/>
  <c r="S1682" i="21"/>
  <c r="U1682" i="21" s="1"/>
  <c r="P1682" i="21"/>
  <c r="S1674" i="21"/>
  <c r="P1674" i="21"/>
  <c r="S1666" i="21"/>
  <c r="U1666" i="21" s="1"/>
  <c r="P1666" i="21"/>
  <c r="S1658" i="21"/>
  <c r="U1658" i="21" s="1"/>
  <c r="P1658" i="21"/>
  <c r="S1586" i="21"/>
  <c r="U1586" i="21" s="1"/>
  <c r="P1586" i="21"/>
  <c r="S1578" i="21"/>
  <c r="U1578" i="21" s="1"/>
  <c r="P1578" i="21"/>
  <c r="S1570" i="21"/>
  <c r="U1570" i="21" s="1"/>
  <c r="P1570" i="21"/>
  <c r="S1562" i="21"/>
  <c r="U1562" i="21" s="1"/>
  <c r="Y1562" i="21" s="1"/>
  <c r="P1562" i="21"/>
  <c r="S1554" i="21"/>
  <c r="U1554" i="21" s="1"/>
  <c r="P1554" i="21"/>
  <c r="S1546" i="21"/>
  <c r="U1546" i="21" s="1"/>
  <c r="P1546" i="21"/>
  <c r="S1538" i="21"/>
  <c r="U1538" i="21" s="1"/>
  <c r="P1538" i="21"/>
  <c r="S1530" i="21"/>
  <c r="P1530" i="21"/>
  <c r="S1522" i="21"/>
  <c r="U1522" i="21" s="1"/>
  <c r="P1522" i="21"/>
  <c r="S1514" i="21"/>
  <c r="U1514" i="21" s="1"/>
  <c r="P1514" i="21"/>
  <c r="S1506" i="21"/>
  <c r="U1506" i="21" s="1"/>
  <c r="P1506" i="21"/>
  <c r="S1498" i="21"/>
  <c r="U1498" i="21" s="1"/>
  <c r="P1498" i="21"/>
  <c r="S1490" i="21"/>
  <c r="U1490" i="21" s="1"/>
  <c r="Z1490" i="21" s="1"/>
  <c r="P1490" i="21"/>
  <c r="U628" i="21"/>
  <c r="Z628" i="21" s="1"/>
  <c r="U729" i="21"/>
  <c r="Y729" i="21" s="1"/>
  <c r="U743" i="21"/>
  <c r="U932" i="21"/>
  <c r="U940" i="21"/>
  <c r="U1010" i="21"/>
  <c r="Z1010" i="21" s="1"/>
  <c r="U1051" i="21"/>
  <c r="U1108" i="21"/>
  <c r="Z1108" i="21" s="1"/>
  <c r="U1116" i="21"/>
  <c r="U1154" i="21"/>
  <c r="Z1154" i="21" s="1"/>
  <c r="U1189" i="21"/>
  <c r="X1189" i="21" s="1"/>
  <c r="U1425" i="21"/>
  <c r="Y1425" i="21" s="1"/>
  <c r="U1460" i="21"/>
  <c r="Y1460" i="21" s="1"/>
  <c r="P1499" i="21"/>
  <c r="S1715" i="21"/>
  <c r="U1715" i="21" s="1"/>
  <c r="S2163" i="21"/>
  <c r="U2163" i="21" s="1"/>
  <c r="S2450" i="21"/>
  <c r="U2450" i="21" s="1"/>
  <c r="S2698" i="21"/>
  <c r="U2698" i="21" s="1"/>
  <c r="Y2698" i="21" s="1"/>
  <c r="U27" i="21"/>
  <c r="Z27" i="21" s="1"/>
  <c r="U122" i="21"/>
  <c r="Z122" i="21" s="1"/>
  <c r="U138" i="21"/>
  <c r="U359" i="21"/>
  <c r="X359" i="21" s="1"/>
  <c r="U467" i="21"/>
  <c r="Z467" i="21" s="1"/>
  <c r="U508" i="21"/>
  <c r="Z508" i="21" s="1"/>
  <c r="U598" i="21"/>
  <c r="U634" i="21"/>
  <c r="Z634" i="21" s="1"/>
  <c r="U1186" i="21"/>
  <c r="Z1186" i="21" s="1"/>
  <c r="U1194" i="21"/>
  <c r="U1202" i="21"/>
  <c r="X1202" i="21" s="1"/>
  <c r="U1240" i="21"/>
  <c r="Z1240" i="21" s="1"/>
  <c r="U1292" i="21"/>
  <c r="U1341" i="21"/>
  <c r="Y1341" i="21" s="1"/>
  <c r="U1384" i="21"/>
  <c r="U1422" i="21"/>
  <c r="Y1422" i="21" s="1"/>
  <c r="P1443" i="21"/>
  <c r="P1451" i="21"/>
  <c r="U1499" i="21"/>
  <c r="Z1499" i="21" s="1"/>
  <c r="P1523" i="21"/>
  <c r="U1556" i="21"/>
  <c r="P1691" i="21"/>
  <c r="S2123" i="21"/>
  <c r="U2123" i="21" s="1"/>
  <c r="P2706" i="21"/>
  <c r="U24" i="21"/>
  <c r="Z24" i="21" s="1"/>
  <c r="U40" i="21"/>
  <c r="Z40" i="21" s="1"/>
  <c r="U78" i="21"/>
  <c r="Z78" i="21" s="1"/>
  <c r="U215" i="21"/>
  <c r="Y215" i="21" s="1"/>
  <c r="U564" i="21"/>
  <c r="U630" i="21"/>
  <c r="Y630" i="21" s="1"/>
  <c r="U636" i="21"/>
  <c r="Z636" i="21" s="1"/>
  <c r="U869" i="21"/>
  <c r="U969" i="21"/>
  <c r="Z969" i="21" s="1"/>
  <c r="U1199" i="21"/>
  <c r="Y1199" i="21" s="1"/>
  <c r="U1251" i="21"/>
  <c r="Z1251" i="21" s="1"/>
  <c r="P1491" i="21"/>
  <c r="S1779" i="21"/>
  <c r="U1779" i="21" s="1"/>
  <c r="X1779" i="21" s="1"/>
  <c r="P2330" i="21"/>
  <c r="S2618" i="21"/>
  <c r="U2618" i="21" s="1"/>
  <c r="P2642" i="21"/>
  <c r="P2658" i="21"/>
  <c r="U2706" i="21"/>
  <c r="Z2706" i="21" s="1"/>
  <c r="U469" i="21"/>
  <c r="U790" i="21"/>
  <c r="X790" i="21" s="1"/>
  <c r="U798" i="21"/>
  <c r="Z798" i="21" s="1"/>
  <c r="U814" i="21"/>
  <c r="Y814" i="21" s="1"/>
  <c r="U822" i="21"/>
  <c r="Y822" i="21" s="1"/>
  <c r="U835" i="21"/>
  <c r="U866" i="21"/>
  <c r="X866" i="21" s="1"/>
  <c r="U966" i="21"/>
  <c r="Z966" i="21" s="1"/>
  <c r="U974" i="21"/>
  <c r="U1042" i="21"/>
  <c r="Z1042" i="21" s="1"/>
  <c r="U1058" i="21"/>
  <c r="Z1058" i="21" s="1"/>
  <c r="U1083" i="21"/>
  <c r="U1091" i="21"/>
  <c r="Z1091" i="21" s="1"/>
  <c r="U1131" i="21"/>
  <c r="Y1131" i="21" s="1"/>
  <c r="U1142" i="21"/>
  <c r="U1228" i="21"/>
  <c r="Z1228" i="21" s="1"/>
  <c r="U1239" i="21"/>
  <c r="X1239" i="21" s="1"/>
  <c r="U1305" i="21"/>
  <c r="Y1305" i="21" s="1"/>
  <c r="U1424" i="21"/>
  <c r="Z1424" i="21" s="1"/>
  <c r="P1467" i="21"/>
  <c r="U1470" i="21"/>
  <c r="P1475" i="21"/>
  <c r="P1483" i="21"/>
  <c r="U1491" i="21"/>
  <c r="Y1491" i="21" s="1"/>
  <c r="P1539" i="21"/>
  <c r="P1707" i="21"/>
  <c r="S2186" i="21"/>
  <c r="U2186" i="21" s="1"/>
  <c r="P2402" i="21"/>
  <c r="U2438" i="21"/>
  <c r="U2642" i="21"/>
  <c r="S2651" i="21"/>
  <c r="U2651" i="21" s="1"/>
  <c r="Z2651" i="21" s="1"/>
  <c r="S2690" i="21"/>
  <c r="U2690" i="21" s="1"/>
  <c r="Z2690" i="21" s="1"/>
  <c r="U232" i="21"/>
  <c r="Z232" i="21" s="1"/>
  <c r="U586" i="21"/>
  <c r="Z586" i="21" s="1"/>
  <c r="U624" i="21"/>
  <c r="X624" i="21" s="1"/>
  <c r="U725" i="21"/>
  <c r="U882" i="21"/>
  <c r="Z882" i="21" s="1"/>
  <c r="U990" i="21"/>
  <c r="U1332" i="21"/>
  <c r="X1332" i="21" s="1"/>
  <c r="S1515" i="21"/>
  <c r="U1515" i="21" s="1"/>
  <c r="X1515" i="21" s="1"/>
  <c r="S1747" i="21"/>
  <c r="U1747" i="21" s="1"/>
  <c r="S1771" i="21"/>
  <c r="U1771" i="21" s="1"/>
  <c r="X1771" i="21" s="1"/>
  <c r="P1795" i="21"/>
  <c r="P2474" i="21"/>
  <c r="U23" i="21"/>
  <c r="Z23" i="21" s="1"/>
  <c r="U54" i="21"/>
  <c r="Z54" i="21" s="1"/>
  <c r="U58" i="21"/>
  <c r="Z58" i="21" s="1"/>
  <c r="U66" i="21"/>
  <c r="Z66" i="21" s="1"/>
  <c r="U69" i="21"/>
  <c r="U134" i="21"/>
  <c r="U163" i="21"/>
  <c r="U209" i="21"/>
  <c r="Y209" i="21" s="1"/>
  <c r="U213" i="21"/>
  <c r="U249" i="21"/>
  <c r="Z249" i="21" s="1"/>
  <c r="U459" i="21"/>
  <c r="Z459" i="21" s="1"/>
  <c r="U487" i="21"/>
  <c r="Z487" i="21" s="1"/>
  <c r="U506" i="21"/>
  <c r="Y506" i="21" s="1"/>
  <c r="U558" i="21"/>
  <c r="U643" i="21"/>
  <c r="U764" i="21"/>
  <c r="U792" i="21"/>
  <c r="U800" i="21"/>
  <c r="U821" i="21"/>
  <c r="Y821" i="21" s="1"/>
  <c r="U825" i="21"/>
  <c r="Z825" i="21" s="1"/>
  <c r="U830" i="21"/>
  <c r="Y830" i="21" s="1"/>
  <c r="U868" i="21"/>
  <c r="U879" i="21"/>
  <c r="Z879" i="21" s="1"/>
  <c r="U887" i="21"/>
  <c r="X887" i="21" s="1"/>
  <c r="U901" i="21"/>
  <c r="U909" i="21"/>
  <c r="U925" i="21"/>
  <c r="Z925" i="21" s="1"/>
  <c r="U949" i="21"/>
  <c r="Z949" i="21" s="1"/>
  <c r="U995" i="21"/>
  <c r="X995" i="21" s="1"/>
  <c r="U1003" i="21"/>
  <c r="Y1003" i="21" s="1"/>
  <c r="U1027" i="21"/>
  <c r="X1027" i="21" s="1"/>
  <c r="U1101" i="21"/>
  <c r="Y1101" i="21" s="1"/>
  <c r="U1206" i="21"/>
  <c r="U1250" i="21"/>
  <c r="X1250" i="21" s="1"/>
  <c r="U1277" i="21"/>
  <c r="Y1277" i="21" s="1"/>
  <c r="U1380" i="21"/>
  <c r="Y1380" i="21" s="1"/>
  <c r="U1564" i="21"/>
  <c r="Y1564" i="21" s="1"/>
  <c r="U1580" i="21"/>
  <c r="S2282" i="21"/>
  <c r="U2282" i="21" s="1"/>
  <c r="S2354" i="21"/>
  <c r="U2354" i="21" s="1"/>
  <c r="P2570" i="21"/>
  <c r="U1493" i="21"/>
  <c r="U1531" i="21"/>
  <c r="U1707" i="21"/>
  <c r="Z1707" i="21" s="1"/>
  <c r="U2109" i="21"/>
  <c r="Z2109" i="21" s="1"/>
  <c r="U2330" i="21"/>
  <c r="U2703" i="21"/>
  <c r="U2390" i="21"/>
  <c r="U2582" i="21"/>
  <c r="W2583" i="21" s="1"/>
  <c r="U1508" i="21"/>
  <c r="U1519" i="21"/>
  <c r="Z1519" i="21" s="1"/>
  <c r="U1973" i="21"/>
  <c r="X1973" i="21" s="1"/>
  <c r="P2685" i="21"/>
  <c r="U1513" i="21"/>
  <c r="U1820" i="21"/>
  <c r="U1567" i="21"/>
  <c r="Z1567" i="21" s="1"/>
  <c r="U1583" i="21"/>
  <c r="U1840" i="21"/>
  <c r="Y1840" i="21" s="1"/>
  <c r="U1876" i="21"/>
  <c r="W1877" i="21" s="1"/>
  <c r="U1933" i="21"/>
  <c r="U2222" i="21"/>
  <c r="Y2222" i="21" s="1"/>
  <c r="U2294" i="21"/>
  <c r="U2384" i="21"/>
  <c r="Y2384" i="21" s="1"/>
  <c r="U2564" i="21"/>
  <c r="Y2564" i="21" s="1"/>
  <c r="T66" i="21"/>
  <c r="U26" i="21"/>
  <c r="U51" i="21"/>
  <c r="X51" i="21" s="1"/>
  <c r="U93" i="21"/>
  <c r="Y93" i="21" s="1"/>
  <c r="U102" i="21"/>
  <c r="T106" i="21"/>
  <c r="U115" i="21"/>
  <c r="Y115" i="21" s="1"/>
  <c r="H123" i="21"/>
  <c r="J123" i="21" s="1"/>
  <c r="U140" i="21"/>
  <c r="U147" i="21"/>
  <c r="Z147" i="21" s="1"/>
  <c r="H179" i="21"/>
  <c r="J179" i="21" s="1"/>
  <c r="U184" i="21"/>
  <c r="Y184" i="21" s="1"/>
  <c r="H171" i="21"/>
  <c r="J171" i="21" s="1"/>
  <c r="H613" i="21"/>
  <c r="J613" i="21" s="1"/>
  <c r="U779" i="21"/>
  <c r="Z779" i="21" s="1"/>
  <c r="T779" i="21"/>
  <c r="U20" i="21"/>
  <c r="U37" i="21"/>
  <c r="Z37" i="21" s="1"/>
  <c r="U44" i="21"/>
  <c r="T53" i="21"/>
  <c r="U55" i="21"/>
  <c r="Z55" i="21" s="1"/>
  <c r="T63" i="21"/>
  <c r="T114" i="21"/>
  <c r="U128" i="21"/>
  <c r="X128" i="21" s="1"/>
  <c r="U175" i="21"/>
  <c r="H359" i="21"/>
  <c r="J359" i="21" s="1"/>
  <c r="J360" i="21"/>
  <c r="H448" i="21"/>
  <c r="J448" i="21" s="1"/>
  <c r="Y819" i="21"/>
  <c r="Z819" i="21"/>
  <c r="U25" i="21"/>
  <c r="Z25" i="21" s="1"/>
  <c r="U48" i="21"/>
  <c r="Y48" i="21" s="1"/>
  <c r="U67" i="21"/>
  <c r="X67" i="21" s="1"/>
  <c r="U91" i="21"/>
  <c r="Z91" i="21" s="1"/>
  <c r="T102" i="21"/>
  <c r="U153" i="21"/>
  <c r="H175" i="21"/>
  <c r="J175" i="21" s="1"/>
  <c r="U188" i="21"/>
  <c r="T47" i="21"/>
  <c r="U53" i="21"/>
  <c r="Z53" i="21" s="1"/>
  <c r="U132" i="21"/>
  <c r="Z132" i="21" s="1"/>
  <c r="U413" i="21"/>
  <c r="R418" i="21"/>
  <c r="U418" i="21" s="1"/>
  <c r="H156" i="21"/>
  <c r="J156" i="21" s="1"/>
  <c r="H255" i="21"/>
  <c r="J255" i="21" s="1"/>
  <c r="H389" i="21"/>
  <c r="J389" i="21" s="1"/>
  <c r="U462" i="21"/>
  <c r="X462" i="21" s="1"/>
  <c r="U465" i="21"/>
  <c r="Z465" i="21" s="1"/>
  <c r="U519" i="21"/>
  <c r="U523" i="21"/>
  <c r="Z523" i="21" s="1"/>
  <c r="U567" i="21"/>
  <c r="U576" i="21"/>
  <c r="X576" i="21" s="1"/>
  <c r="U581" i="21"/>
  <c r="U641" i="21"/>
  <c r="Z641" i="21" s="1"/>
  <c r="H686" i="21"/>
  <c r="J686" i="21" s="1"/>
  <c r="T768" i="21"/>
  <c r="T822" i="21"/>
  <c r="T830" i="21"/>
  <c r="T836" i="21"/>
  <c r="U936" i="21"/>
  <c r="Z936" i="21" s="1"/>
  <c r="U948" i="21"/>
  <c r="U1134" i="21"/>
  <c r="Z1134" i="21" s="1"/>
  <c r="U1148" i="21"/>
  <c r="X1148" i="21" s="1"/>
  <c r="U193" i="21"/>
  <c r="W194" i="21" s="1"/>
  <c r="T209" i="21"/>
  <c r="H413" i="21"/>
  <c r="J413" i="21" s="1"/>
  <c r="U461" i="21"/>
  <c r="X461" i="21" s="1"/>
  <c r="U477" i="21"/>
  <c r="Z477" i="21" s="1"/>
  <c r="T527" i="21"/>
  <c r="T561" i="21"/>
  <c r="U566" i="21"/>
  <c r="X566" i="21" s="1"/>
  <c r="T570" i="21"/>
  <c r="U580" i="21"/>
  <c r="H656" i="21"/>
  <c r="J656" i="21" s="1"/>
  <c r="U680" i="21"/>
  <c r="U740" i="21"/>
  <c r="X740" i="21" s="1"/>
  <c r="T764" i="21"/>
  <c r="U774" i="21"/>
  <c r="X774" i="21" s="1"/>
  <c r="U806" i="21"/>
  <c r="Z806" i="21" s="1"/>
  <c r="T831" i="21"/>
  <c r="U857" i="21"/>
  <c r="U870" i="21"/>
  <c r="X870" i="21" s="1"/>
  <c r="U897" i="21"/>
  <c r="Z897" i="21" s="1"/>
  <c r="U903" i="21"/>
  <c r="Z903" i="21" s="1"/>
  <c r="U914" i="21"/>
  <c r="X914" i="21" s="1"/>
  <c r="U926" i="21"/>
  <c r="Z926" i="21" s="1"/>
  <c r="U938" i="21"/>
  <c r="Z938" i="21" s="1"/>
  <c r="U956" i="21"/>
  <c r="Y956" i="21" s="1"/>
  <c r="U992" i="21"/>
  <c r="Y992" i="21" s="1"/>
  <c r="U1001" i="21"/>
  <c r="X1001" i="21" s="1"/>
  <c r="U1056" i="21"/>
  <c r="X1056" i="21" s="1"/>
  <c r="U1122" i="21"/>
  <c r="U1128" i="21"/>
  <c r="Y1128" i="21" s="1"/>
  <c r="U1568" i="21"/>
  <c r="Y1568" i="21" s="1"/>
  <c r="T216" i="21"/>
  <c r="U220" i="21"/>
  <c r="T224" i="21"/>
  <c r="U328" i="21"/>
  <c r="U443" i="21"/>
  <c r="W446" i="21" s="1"/>
  <c r="U471" i="21"/>
  <c r="H477" i="21"/>
  <c r="J477" i="21" s="1"/>
  <c r="U482" i="21"/>
  <c r="Y482" i="21" s="1"/>
  <c r="U541" i="21"/>
  <c r="U571" i="21"/>
  <c r="Z571" i="21" s="1"/>
  <c r="H692" i="21"/>
  <c r="J692" i="21" s="1"/>
  <c r="U720" i="21"/>
  <c r="Y720" i="21" s="1"/>
  <c r="U730" i="21"/>
  <c r="Z730" i="21" s="1"/>
  <c r="U745" i="21"/>
  <c r="Y745" i="21" s="1"/>
  <c r="T756" i="21"/>
  <c r="U809" i="21"/>
  <c r="U817" i="21"/>
  <c r="Y817" i="21" s="1"/>
  <c r="T827" i="21"/>
  <c r="U841" i="21"/>
  <c r="Z841" i="21" s="1"/>
  <c r="U854" i="21"/>
  <c r="U911" i="21"/>
  <c r="U976" i="21"/>
  <c r="Y976" i="21" s="1"/>
  <c r="U997" i="21"/>
  <c r="U1017" i="21"/>
  <c r="U1035" i="21"/>
  <c r="Z1035" i="21" s="1"/>
  <c r="U1050" i="21"/>
  <c r="Z1050" i="21" s="1"/>
  <c r="U1090" i="21"/>
  <c r="Z1090" i="21" s="1"/>
  <c r="U1093" i="21"/>
  <c r="U1147" i="21"/>
  <c r="Y1147" i="21" s="1"/>
  <c r="U1500" i="21"/>
  <c r="H2081" i="21"/>
  <c r="J2081" i="21" s="1"/>
  <c r="H395" i="21"/>
  <c r="J395" i="21" s="1"/>
  <c r="U407" i="21"/>
  <c r="Z407" i="21" s="1"/>
  <c r="U491" i="21"/>
  <c r="Z491" i="21" s="1"/>
  <c r="U517" i="21"/>
  <c r="T558" i="21"/>
  <c r="T567" i="21"/>
  <c r="T581" i="21"/>
  <c r="U735" i="21"/>
  <c r="Z735" i="21" s="1"/>
  <c r="U760" i="21"/>
  <c r="Z760" i="21" s="1"/>
  <c r="T762" i="21"/>
  <c r="U766" i="21"/>
  <c r="U793" i="21"/>
  <c r="Z793" i="21" s="1"/>
  <c r="U812" i="21"/>
  <c r="Z812" i="21" s="1"/>
  <c r="U816" i="21"/>
  <c r="Y816" i="21" s="1"/>
  <c r="U872" i="21"/>
  <c r="U952" i="21"/>
  <c r="U982" i="21"/>
  <c r="X982" i="21" s="1"/>
  <c r="U1029" i="21"/>
  <c r="U1067" i="21"/>
  <c r="U1070" i="21"/>
  <c r="X1070" i="21" s="1"/>
  <c r="U1084" i="21"/>
  <c r="Z1084" i="21" s="1"/>
  <c r="U1095" i="21"/>
  <c r="Y1095" i="21" s="1"/>
  <c r="U1127" i="21"/>
  <c r="U1685" i="21"/>
  <c r="Z1685" i="21" s="1"/>
  <c r="T1685" i="21"/>
  <c r="U203" i="21"/>
  <c r="Y203" i="21" s="1"/>
  <c r="T215" i="21"/>
  <c r="U377" i="21"/>
  <c r="Z377" i="21" s="1"/>
  <c r="R430" i="21"/>
  <c r="W480" i="21"/>
  <c r="U490" i="21"/>
  <c r="U497" i="21"/>
  <c r="Z497" i="21" s="1"/>
  <c r="T506" i="21"/>
  <c r="T520" i="21"/>
  <c r="T568" i="21"/>
  <c r="T578" i="21"/>
  <c r="U602" i="21"/>
  <c r="Z602" i="21" s="1"/>
  <c r="U716" i="21"/>
  <c r="X716" i="21" s="1"/>
  <c r="T770" i="21"/>
  <c r="T825" i="21"/>
  <c r="T833" i="21"/>
  <c r="T839" i="21"/>
  <c r="U910" i="21"/>
  <c r="Z910" i="21" s="1"/>
  <c r="U921" i="21"/>
  <c r="Z921" i="21" s="1"/>
  <c r="U930" i="21"/>
  <c r="U996" i="21"/>
  <c r="Z996" i="21" s="1"/>
  <c r="U1019" i="21"/>
  <c r="U1034" i="21"/>
  <c r="Z1034" i="21" s="1"/>
  <c r="U1115" i="21"/>
  <c r="U1129" i="21"/>
  <c r="Z1129" i="21" s="1"/>
  <c r="T208" i="21"/>
  <c r="T222" i="21"/>
  <c r="U251" i="21"/>
  <c r="Z251" i="21" s="1"/>
  <c r="U317" i="21"/>
  <c r="U496" i="21"/>
  <c r="Z496" i="21" s="1"/>
  <c r="T507" i="21"/>
  <c r="T511" i="21"/>
  <c r="U524" i="21"/>
  <c r="H537" i="21"/>
  <c r="J537" i="21" s="1"/>
  <c r="U542" i="21"/>
  <c r="W545" i="21" s="1"/>
  <c r="U626" i="21"/>
  <c r="X626" i="21" s="1"/>
  <c r="U632" i="21"/>
  <c r="U640" i="21"/>
  <c r="Z640" i="21" s="1"/>
  <c r="U728" i="21"/>
  <c r="X728" i="21" s="1"/>
  <c r="U738" i="21"/>
  <c r="Z738" i="21" s="1"/>
  <c r="U757" i="21"/>
  <c r="T763" i="21"/>
  <c r="U765" i="21"/>
  <c r="U789" i="21"/>
  <c r="X789" i="21" s="1"/>
  <c r="U811" i="21"/>
  <c r="Z811" i="21" s="1"/>
  <c r="T820" i="21"/>
  <c r="U865" i="21"/>
  <c r="U871" i="21"/>
  <c r="Z871" i="21" s="1"/>
  <c r="U892" i="21"/>
  <c r="U927" i="21"/>
  <c r="U951" i="21"/>
  <c r="Z951" i="21" s="1"/>
  <c r="U984" i="21"/>
  <c r="U1002" i="21"/>
  <c r="Z1002" i="21" s="1"/>
  <c r="U1006" i="21"/>
  <c r="Z1006" i="21" s="1"/>
  <c r="U1022" i="21"/>
  <c r="Z1022" i="21" s="1"/>
  <c r="U1097" i="21"/>
  <c r="Z1097" i="21" s="1"/>
  <c r="U1123" i="21"/>
  <c r="U1358" i="21"/>
  <c r="Z1358" i="21" s="1"/>
  <c r="U1360" i="21"/>
  <c r="Z1360" i="21" s="1"/>
  <c r="U1438" i="21"/>
  <c r="U1492" i="21"/>
  <c r="Z1492" i="21" s="1"/>
  <c r="U1510" i="21"/>
  <c r="U1527" i="21"/>
  <c r="U1536" i="21"/>
  <c r="U1600" i="21"/>
  <c r="X1600" i="21" s="1"/>
  <c r="U1633" i="21"/>
  <c r="Y1633" i="21" s="1"/>
  <c r="U1655" i="21"/>
  <c r="Z1655" i="21" s="1"/>
  <c r="U1660" i="21"/>
  <c r="X1660" i="21" s="1"/>
  <c r="U1668" i="21"/>
  <c r="X1668" i="21" s="1"/>
  <c r="T1684" i="21"/>
  <c r="U1695" i="21"/>
  <c r="Y1695" i="21" s="1"/>
  <c r="H1699" i="21"/>
  <c r="J1699" i="21" s="1"/>
  <c r="U1732" i="21"/>
  <c r="U1760" i="21"/>
  <c r="Z1760" i="21" s="1"/>
  <c r="H1868" i="21"/>
  <c r="J1868" i="21" s="1"/>
  <c r="U1884" i="21"/>
  <c r="H1904" i="21"/>
  <c r="J1904" i="21" s="1"/>
  <c r="H2109" i="21"/>
  <c r="J2109" i="21" s="1"/>
  <c r="H2113" i="21"/>
  <c r="J2113" i="21" s="1"/>
  <c r="U2288" i="21"/>
  <c r="W2291" i="21" s="1"/>
  <c r="U2402" i="21"/>
  <c r="W2407" i="21" s="1"/>
  <c r="U2462" i="21"/>
  <c r="H2540" i="21"/>
  <c r="J2540" i="21" s="1"/>
  <c r="U2552" i="21"/>
  <c r="X2552" i="21" s="1"/>
  <c r="G2597" i="21"/>
  <c r="H2597" i="21" s="1"/>
  <c r="G2605" i="21"/>
  <c r="H2605" i="21" s="1"/>
  <c r="T2634" i="21"/>
  <c r="T2635" i="21"/>
  <c r="U2638" i="21"/>
  <c r="Z2638" i="21" s="1"/>
  <c r="T2657" i="21"/>
  <c r="U2660" i="21"/>
  <c r="Y2660" i="21" s="1"/>
  <c r="U2665" i="21"/>
  <c r="Z2665" i="21" s="1"/>
  <c r="U2678" i="21"/>
  <c r="Z2678" i="21" s="1"/>
  <c r="T2699" i="21"/>
  <c r="U1152" i="21"/>
  <c r="U1174" i="21"/>
  <c r="Z1174" i="21" s="1"/>
  <c r="U1219" i="21"/>
  <c r="U1316" i="21"/>
  <c r="Y1316" i="21" s="1"/>
  <c r="X1334" i="21"/>
  <c r="U1392" i="21"/>
  <c r="Z1392" i="21" s="1"/>
  <c r="U1400" i="21"/>
  <c r="X1400" i="21" s="1"/>
  <c r="U1408" i="21"/>
  <c r="Z1408" i="21" s="1"/>
  <c r="U1416" i="21"/>
  <c r="U1541" i="21"/>
  <c r="U1575" i="21"/>
  <c r="X1575" i="21" s="1"/>
  <c r="U1630" i="21"/>
  <c r="Z1630" i="21" s="1"/>
  <c r="H1913" i="21"/>
  <c r="J1913" i="21" s="1"/>
  <c r="U2240" i="21"/>
  <c r="W2242" i="21" s="1"/>
  <c r="X2242" i="21" s="1"/>
  <c r="U2300" i="21"/>
  <c r="X2300" i="21" s="1"/>
  <c r="U2312" i="21"/>
  <c r="W2317" i="21" s="1"/>
  <c r="U2324" i="21"/>
  <c r="U2336" i="21"/>
  <c r="G2571" i="21"/>
  <c r="H2571" i="21" s="1"/>
  <c r="T2642" i="21"/>
  <c r="U2646" i="21"/>
  <c r="Y2646" i="21" s="1"/>
  <c r="U2654" i="21"/>
  <c r="Y2654" i="21" s="1"/>
  <c r="U2695" i="21"/>
  <c r="Z2695" i="21" s="1"/>
  <c r="T1681" i="21"/>
  <c r="H1847" i="21"/>
  <c r="J1847" i="21" s="1"/>
  <c r="H1850" i="21"/>
  <c r="J1850" i="21" s="1"/>
  <c r="H1900" i="21"/>
  <c r="J1900" i="21" s="1"/>
  <c r="G2616" i="21"/>
  <c r="H2616" i="21" s="1"/>
  <c r="U2677" i="21"/>
  <c r="Z2677" i="21" s="1"/>
  <c r="U1207" i="21"/>
  <c r="Y1207" i="21" s="1"/>
  <c r="U1328" i="21"/>
  <c r="Y1328" i="21" s="1"/>
  <c r="U1356" i="21"/>
  <c r="U1432" i="21"/>
  <c r="U1443" i="21"/>
  <c r="Z1443" i="21" s="1"/>
  <c r="U1463" i="21"/>
  <c r="Z1463" i="21" s="1"/>
  <c r="U1535" i="21"/>
  <c r="Y1535" i="21" s="1"/>
  <c r="U1549" i="21"/>
  <c r="U1648" i="21"/>
  <c r="X1648" i="21" s="1"/>
  <c r="T1666" i="21"/>
  <c r="U1680" i="21"/>
  <c r="X1680" i="21" s="1"/>
  <c r="H1711" i="21"/>
  <c r="J1711" i="21" s="1"/>
  <c r="U1748" i="21"/>
  <c r="U1756" i="21"/>
  <c r="Z1756" i="21" s="1"/>
  <c r="H1896" i="21"/>
  <c r="J1896" i="21" s="1"/>
  <c r="H1909" i="21"/>
  <c r="J1909" i="21" s="1"/>
  <c r="H1945" i="21"/>
  <c r="J1945" i="21" s="1"/>
  <c r="U1989" i="21"/>
  <c r="H2073" i="21"/>
  <c r="J2073" i="21" s="1"/>
  <c r="H2118" i="21"/>
  <c r="J2118" i="21" s="1"/>
  <c r="H2128" i="21"/>
  <c r="J2128" i="21" s="1"/>
  <c r="U2372" i="21"/>
  <c r="Z2372" i="21" s="1"/>
  <c r="I2576" i="21"/>
  <c r="I2612" i="21"/>
  <c r="U1181" i="21"/>
  <c r="Y1181" i="21" s="1"/>
  <c r="U1192" i="21"/>
  <c r="X1192" i="21" s="1"/>
  <c r="U1232" i="21"/>
  <c r="U1285" i="21"/>
  <c r="U1293" i="21"/>
  <c r="U1307" i="21"/>
  <c r="Z1307" i="21" s="1"/>
  <c r="U1333" i="21"/>
  <c r="Y1334" i="21"/>
  <c r="U1350" i="21"/>
  <c r="U1372" i="21"/>
  <c r="X1372" i="21" s="1"/>
  <c r="U1399" i="21"/>
  <c r="U1442" i="21"/>
  <c r="X1442" i="21" s="1"/>
  <c r="U1468" i="21"/>
  <c r="U1528" i="21"/>
  <c r="U1551" i="21"/>
  <c r="Y1551" i="21" s="1"/>
  <c r="U1591" i="21"/>
  <c r="Z1591" i="21" s="1"/>
  <c r="U1604" i="21"/>
  <c r="Y1604" i="21" s="1"/>
  <c r="U1607" i="21"/>
  <c r="X1607" i="21" s="1"/>
  <c r="U1618" i="21"/>
  <c r="U1621" i="21"/>
  <c r="Y1621" i="21" s="1"/>
  <c r="U1656" i="21"/>
  <c r="U1664" i="21"/>
  <c r="Y1664" i="21" s="1"/>
  <c r="U1673" i="21"/>
  <c r="Y1673" i="21" s="1"/>
  <c r="T1677" i="21"/>
  <c r="U1705" i="21"/>
  <c r="H1723" i="21"/>
  <c r="J1723" i="21" s="1"/>
  <c r="U1728" i="21"/>
  <c r="U1758" i="21"/>
  <c r="Z1758" i="21" s="1"/>
  <c r="U1764" i="21"/>
  <c r="Z1764" i="21" s="1"/>
  <c r="T1781" i="21"/>
  <c r="U1787" i="21"/>
  <c r="X1787" i="21" s="1"/>
  <c r="H1833" i="21"/>
  <c r="J1833" i="21" s="1"/>
  <c r="H1937" i="21"/>
  <c r="J1937" i="21" s="1"/>
  <c r="U1981" i="21"/>
  <c r="H2017" i="21"/>
  <c r="J2017" i="21" s="1"/>
  <c r="H2029" i="21"/>
  <c r="J2029" i="21" s="1"/>
  <c r="U2148" i="21"/>
  <c r="W2150" i="21" s="1"/>
  <c r="U2637" i="21"/>
  <c r="Z2637" i="21" s="1"/>
  <c r="U2664" i="21"/>
  <c r="U2685" i="21"/>
  <c r="Z2685" i="21" s="1"/>
  <c r="T2694" i="21"/>
  <c r="U2631" i="21"/>
  <c r="T2639" i="21"/>
  <c r="U2650" i="21"/>
  <c r="Y2650" i="21" s="1"/>
  <c r="U2658" i="21"/>
  <c r="U1156" i="21"/>
  <c r="U1159" i="21"/>
  <c r="Z1159" i="21" s="1"/>
  <c r="U1223" i="21"/>
  <c r="Y1223" i="21" s="1"/>
  <c r="U1226" i="21"/>
  <c r="Y1226" i="21" s="1"/>
  <c r="U1243" i="21"/>
  <c r="Z1243" i="21" s="1"/>
  <c r="U1304" i="21"/>
  <c r="Z1304" i="21" s="1"/>
  <c r="U1431" i="21"/>
  <c r="U1511" i="21"/>
  <c r="Y1511" i="21" s="1"/>
  <c r="U1525" i="21"/>
  <c r="Z1525" i="21" s="1"/>
  <c r="T1673" i="21"/>
  <c r="H1719" i="21"/>
  <c r="J1719" i="21" s="1"/>
  <c r="U1733" i="21"/>
  <c r="U1744" i="21"/>
  <c r="Z1744" i="21" s="1"/>
  <c r="T1782" i="21"/>
  <c r="H1805" i="21"/>
  <c r="J1805" i="21" s="1"/>
  <c r="H1929" i="21"/>
  <c r="J1929" i="21" s="1"/>
  <c r="H1981" i="21"/>
  <c r="J1981" i="21" s="1"/>
  <c r="H2013" i="21"/>
  <c r="J2013" i="21" s="1"/>
  <c r="U2113" i="21"/>
  <c r="Y2113" i="21" s="1"/>
  <c r="T2647" i="21"/>
  <c r="T2702" i="21"/>
  <c r="U1164" i="21"/>
  <c r="Z1164" i="21" s="1"/>
  <c r="U1208" i="21"/>
  <c r="U1260" i="21"/>
  <c r="U1414" i="21"/>
  <c r="Z1414" i="21" s="1"/>
  <c r="X1461" i="21"/>
  <c r="U1467" i="21"/>
  <c r="Z1467" i="21" s="1"/>
  <c r="U1539" i="21"/>
  <c r="Z1539" i="21" s="1"/>
  <c r="U1576" i="21"/>
  <c r="U1738" i="21"/>
  <c r="Y1738" i="21" s="1"/>
  <c r="U1754" i="21"/>
  <c r="U1792" i="21"/>
  <c r="U1814" i="21"/>
  <c r="X1814" i="21" s="1"/>
  <c r="H1814" i="21"/>
  <c r="J1814" i="21" s="1"/>
  <c r="U1845" i="21"/>
  <c r="Y1845" i="21" s="1"/>
  <c r="U1953" i="21"/>
  <c r="Z1953" i="21" s="1"/>
  <c r="H2158" i="21"/>
  <c r="J2158" i="21" s="1"/>
  <c r="H2468" i="21"/>
  <c r="J2468" i="21" s="1"/>
  <c r="H2480" i="21"/>
  <c r="J2480" i="21" s="1"/>
  <c r="T2641" i="21"/>
  <c r="Y77" i="21"/>
  <c r="T61" i="21"/>
  <c r="U22" i="21"/>
  <c r="Z22" i="21" s="1"/>
  <c r="U32" i="21"/>
  <c r="Z32" i="21" s="1"/>
  <c r="U36" i="21"/>
  <c r="T49" i="21"/>
  <c r="U50" i="21"/>
  <c r="X50" i="21" s="1"/>
  <c r="U56" i="21"/>
  <c r="Y56" i="21" s="1"/>
  <c r="U57" i="21"/>
  <c r="T58" i="21"/>
  <c r="U62" i="21"/>
  <c r="Z62" i="21" s="1"/>
  <c r="T67" i="21"/>
  <c r="U75" i="21"/>
  <c r="Z75" i="21" s="1"/>
  <c r="U81" i="21"/>
  <c r="U109" i="21"/>
  <c r="X109" i="21" s="1"/>
  <c r="T55" i="21"/>
  <c r="U63" i="21"/>
  <c r="Z63" i="21" s="1"/>
  <c r="U101" i="21"/>
  <c r="X101" i="21" s="1"/>
  <c r="U113" i="21"/>
  <c r="Y113" i="21" s="1"/>
  <c r="U114" i="21"/>
  <c r="X114" i="21" s="1"/>
  <c r="T115" i="21"/>
  <c r="U187" i="21"/>
  <c r="U117" i="21"/>
  <c r="Z117" i="21" s="1"/>
  <c r="T45" i="21"/>
  <c r="U61" i="21"/>
  <c r="T101" i="21"/>
  <c r="U106" i="21"/>
  <c r="X106" i="21" s="1"/>
  <c r="T107" i="21"/>
  <c r="T112" i="21"/>
  <c r="U112" i="21"/>
  <c r="Z112" i="21" s="1"/>
  <c r="U21" i="21"/>
  <c r="Y21" i="21" s="1"/>
  <c r="U31" i="21"/>
  <c r="U38" i="21"/>
  <c r="X38" i="21" s="1"/>
  <c r="T43" i="21"/>
  <c r="T51" i="21"/>
  <c r="T54" i="21"/>
  <c r="U60" i="21"/>
  <c r="X60" i="21" s="1"/>
  <c r="T60" i="21"/>
  <c r="T65" i="21"/>
  <c r="U84" i="21"/>
  <c r="T93" i="21"/>
  <c r="U97" i="21"/>
  <c r="Y97" i="21" s="1"/>
  <c r="U98" i="21"/>
  <c r="X98" i="21" s="1"/>
  <c r="T99" i="21"/>
  <c r="T104" i="21"/>
  <c r="U223" i="21"/>
  <c r="X223" i="21" s="1"/>
  <c r="T223" i="21"/>
  <c r="U47" i="21"/>
  <c r="Z47" i="21" s="1"/>
  <c r="U59" i="21"/>
  <c r="U82" i="21"/>
  <c r="U87" i="21"/>
  <c r="T91" i="21"/>
  <c r="T96" i="21"/>
  <c r="U111" i="21"/>
  <c r="Z111" i="21" s="1"/>
  <c r="T111" i="21"/>
  <c r="U130" i="21"/>
  <c r="Z130" i="21" s="1"/>
  <c r="U52" i="21"/>
  <c r="X52" i="21" s="1"/>
  <c r="T52" i="21"/>
  <c r="U73" i="21"/>
  <c r="Z73" i="21" s="1"/>
  <c r="T100" i="21"/>
  <c r="U103" i="21"/>
  <c r="T103" i="21"/>
  <c r="T92" i="21"/>
  <c r="T95" i="21"/>
  <c r="U71" i="21"/>
  <c r="X71" i="21" s="1"/>
  <c r="U86" i="21"/>
  <c r="U133" i="21"/>
  <c r="Z133" i="21" s="1"/>
  <c r="H159" i="21"/>
  <c r="J159" i="21" s="1"/>
  <c r="H163" i="21"/>
  <c r="J163" i="21" s="1"/>
  <c r="U183" i="21"/>
  <c r="Z183" i="21" s="1"/>
  <c r="U186" i="21"/>
  <c r="T202" i="21"/>
  <c r="U205" i="21"/>
  <c r="U221" i="21"/>
  <c r="U233" i="21"/>
  <c r="Z233" i="21" s="1"/>
  <c r="R236" i="21"/>
  <c r="U243" i="21"/>
  <c r="U246" i="21"/>
  <c r="U254" i="21"/>
  <c r="U265" i="21"/>
  <c r="X265" i="21" s="1"/>
  <c r="U283" i="21"/>
  <c r="R394" i="21"/>
  <c r="U472" i="21"/>
  <c r="Y472" i="21" s="1"/>
  <c r="T505" i="21"/>
  <c r="T508" i="21"/>
  <c r="T519" i="21"/>
  <c r="U520" i="21"/>
  <c r="Y520" i="21" s="1"/>
  <c r="U559" i="21"/>
  <c r="U582" i="21"/>
  <c r="X582" i="21" s="1"/>
  <c r="U604" i="21"/>
  <c r="X604" i="21" s="1"/>
  <c r="Z855" i="21"/>
  <c r="H150" i="21"/>
  <c r="J150" i="21" s="1"/>
  <c r="R259" i="21"/>
  <c r="U259" i="21" s="1"/>
  <c r="H425" i="21"/>
  <c r="J425" i="21" s="1"/>
  <c r="T517" i="21"/>
  <c r="U208" i="21"/>
  <c r="Y208" i="21" s="1"/>
  <c r="U216" i="21"/>
  <c r="Z216" i="21" s="1"/>
  <c r="T218" i="21"/>
  <c r="U250" i="21"/>
  <c r="H401" i="21"/>
  <c r="J401" i="21" s="1"/>
  <c r="U419" i="21"/>
  <c r="W420" i="21" s="1"/>
  <c r="H443" i="21"/>
  <c r="J443" i="21" s="1"/>
  <c r="U499" i="21"/>
  <c r="T503" i="21"/>
  <c r="T509" i="21"/>
  <c r="T512" i="21"/>
  <c r="T515" i="21"/>
  <c r="U575" i="21"/>
  <c r="U127" i="21"/>
  <c r="Y127" i="21" s="1"/>
  <c r="U131" i="21"/>
  <c r="Y131" i="21" s="1"/>
  <c r="H147" i="21"/>
  <c r="J147" i="21" s="1"/>
  <c r="U150" i="21"/>
  <c r="U171" i="21"/>
  <c r="X171" i="21" s="1"/>
  <c r="U199" i="21"/>
  <c r="T207" i="21"/>
  <c r="U214" i="21"/>
  <c r="X214" i="21" s="1"/>
  <c r="U219" i="21"/>
  <c r="U231" i="21"/>
  <c r="H329" i="21"/>
  <c r="J329" i="21" s="1"/>
  <c r="U340" i="21"/>
  <c r="H365" i="21"/>
  <c r="J365" i="21" s="1"/>
  <c r="R370" i="21"/>
  <c r="U370" i="21" s="1"/>
  <c r="U464" i="21"/>
  <c r="H472" i="21"/>
  <c r="J472" i="21" s="1"/>
  <c r="U504" i="21"/>
  <c r="U531" i="21"/>
  <c r="X531" i="21" s="1"/>
  <c r="U551" i="21"/>
  <c r="X551" i="21" s="1"/>
  <c r="T566" i="21"/>
  <c r="T572" i="21"/>
  <c r="T574" i="21"/>
  <c r="U600" i="21"/>
  <c r="Z600" i="21" s="1"/>
  <c r="U212" i="21"/>
  <c r="H305" i="21"/>
  <c r="J305" i="21" s="1"/>
  <c r="U347" i="21"/>
  <c r="X347" i="21" s="1"/>
  <c r="H353" i="21"/>
  <c r="J353" i="21" s="1"/>
  <c r="U463" i="21"/>
  <c r="U488" i="21"/>
  <c r="Z488" i="21" s="1"/>
  <c r="U510" i="21"/>
  <c r="X510" i="21" s="1"/>
  <c r="U516" i="21"/>
  <c r="U522" i="21"/>
  <c r="Y522" i="21" s="1"/>
  <c r="U546" i="21"/>
  <c r="Z546" i="21" s="1"/>
  <c r="T562" i="21"/>
  <c r="U584" i="21"/>
  <c r="U593" i="21"/>
  <c r="U623" i="21"/>
  <c r="X623" i="21" s="1"/>
  <c r="X863" i="21"/>
  <c r="U139" i="21"/>
  <c r="X139" i="21" s="1"/>
  <c r="H167" i="21"/>
  <c r="J167" i="21" s="1"/>
  <c r="U211" i="21"/>
  <c r="X211" i="21" s="1"/>
  <c r="U218" i="21"/>
  <c r="Z218" i="21" s="1"/>
  <c r="T226" i="21"/>
  <c r="U237" i="21"/>
  <c r="Z237" i="21" s="1"/>
  <c r="H407" i="21"/>
  <c r="J407" i="21" s="1"/>
  <c r="H431" i="21"/>
  <c r="J431" i="21" s="1"/>
  <c r="H453" i="21"/>
  <c r="J453" i="21" s="1"/>
  <c r="U483" i="21"/>
  <c r="U509" i="21"/>
  <c r="X509" i="21" s="1"/>
  <c r="U514" i="21"/>
  <c r="Y514" i="21" s="1"/>
  <c r="U515" i="21"/>
  <c r="T516" i="21"/>
  <c r="T522" i="21"/>
  <c r="T525" i="21"/>
  <c r="U560" i="21"/>
  <c r="X560" i="21" s="1"/>
  <c r="U562" i="21"/>
  <c r="Y562" i="21" s="1"/>
  <c r="T565" i="21"/>
  <c r="U569" i="21"/>
  <c r="Y569" i="21" s="1"/>
  <c r="T575" i="21"/>
  <c r="U248" i="21"/>
  <c r="R352" i="21"/>
  <c r="U352" i="21" s="1"/>
  <c r="U468" i="21"/>
  <c r="U486" i="21"/>
  <c r="X486" i="21" s="1"/>
  <c r="U501" i="21"/>
  <c r="U507" i="21"/>
  <c r="X507" i="21" s="1"/>
  <c r="U521" i="21"/>
  <c r="U527" i="21"/>
  <c r="Y527" i="21" s="1"/>
  <c r="T564" i="21"/>
  <c r="U568" i="21"/>
  <c r="Y568" i="21" s="1"/>
  <c r="H605" i="21"/>
  <c r="J605" i="21" s="1"/>
  <c r="U525" i="21"/>
  <c r="T577" i="21"/>
  <c r="U629" i="21"/>
  <c r="X629" i="21" s="1"/>
  <c r="H674" i="21"/>
  <c r="J674" i="21" s="1"/>
  <c r="R691" i="21"/>
  <c r="U723" i="21"/>
  <c r="Y723" i="21" s="1"/>
  <c r="T772" i="21"/>
  <c r="T775" i="21"/>
  <c r="T778" i="21"/>
  <c r="T811" i="21"/>
  <c r="T814" i="21"/>
  <c r="T817" i="21"/>
  <c r="U831" i="21"/>
  <c r="X831" i="21" s="1"/>
  <c r="U848" i="21"/>
  <c r="U896" i="21"/>
  <c r="U917" i="21"/>
  <c r="Z917" i="21" s="1"/>
  <c r="U942" i="21"/>
  <c r="X942" i="21" s="1"/>
  <c r="Y968" i="21"/>
  <c r="U1004" i="21"/>
  <c r="X1004" i="21" s="1"/>
  <c r="U1012" i="21"/>
  <c r="Z1012" i="21" s="1"/>
  <c r="H662" i="21"/>
  <c r="J662" i="21" s="1"/>
  <c r="U801" i="21"/>
  <c r="U824" i="21"/>
  <c r="X824" i="21" s="1"/>
  <c r="U838" i="21"/>
  <c r="X838" i="21" s="1"/>
  <c r="U846" i="21"/>
  <c r="X846" i="21" s="1"/>
  <c r="U913" i="21"/>
  <c r="U1011" i="21"/>
  <c r="X1034" i="21"/>
  <c r="U978" i="21"/>
  <c r="X978" i="21" s="1"/>
  <c r="U986" i="21"/>
  <c r="Z986" i="21" s="1"/>
  <c r="U1026" i="21"/>
  <c r="Z1026" i="21" s="1"/>
  <c r="U627" i="21"/>
  <c r="Y627" i="21" s="1"/>
  <c r="U698" i="21"/>
  <c r="U704" i="21"/>
  <c r="U710" i="21"/>
  <c r="Y710" i="21" s="1"/>
  <c r="U785" i="21"/>
  <c r="U799" i="21"/>
  <c r="Y799" i="21" s="1"/>
  <c r="U823" i="21"/>
  <c r="Y823" i="21" s="1"/>
  <c r="U837" i="21"/>
  <c r="U856" i="21"/>
  <c r="Z856" i="21" s="1"/>
  <c r="U905" i="21"/>
  <c r="Y905" i="21" s="1"/>
  <c r="U920" i="21"/>
  <c r="Z920" i="21" s="1"/>
  <c r="U934" i="21"/>
  <c r="Z934" i="21" s="1"/>
  <c r="U631" i="21"/>
  <c r="X631" i="21" s="1"/>
  <c r="U644" i="21"/>
  <c r="W646" i="21" s="1"/>
  <c r="U668" i="21"/>
  <c r="Z668" i="21" s="1"/>
  <c r="H710" i="21"/>
  <c r="J710" i="21" s="1"/>
  <c r="U752" i="21"/>
  <c r="Z752" i="21" s="1"/>
  <c r="H781" i="21"/>
  <c r="J781" i="21" s="1"/>
  <c r="H785" i="21"/>
  <c r="J785" i="21" s="1"/>
  <c r="U797" i="21"/>
  <c r="Y797" i="21" s="1"/>
  <c r="U813" i="21"/>
  <c r="U878" i="21"/>
  <c r="X878" i="21" s="1"/>
  <c r="U889" i="21"/>
  <c r="Z889" i="21" s="1"/>
  <c r="U893" i="21"/>
  <c r="Y893" i="21" s="1"/>
  <c r="U912" i="21"/>
  <c r="Z912" i="21" s="1"/>
  <c r="U918" i="21"/>
  <c r="U937" i="21"/>
  <c r="Y937" i="21" s="1"/>
  <c r="U965" i="21"/>
  <c r="Y965" i="21" s="1"/>
  <c r="U977" i="21"/>
  <c r="Z977" i="21" s="1"/>
  <c r="U985" i="21"/>
  <c r="X1234" i="21"/>
  <c r="Y1234" i="21"/>
  <c r="H680" i="21"/>
  <c r="J680" i="21" s="1"/>
  <c r="H704" i="21"/>
  <c r="J704" i="21" s="1"/>
  <c r="U733" i="21"/>
  <c r="T749" i="21"/>
  <c r="T754" i="21"/>
  <c r="U763" i="21"/>
  <c r="T771" i="21"/>
  <c r="T773" i="21"/>
  <c r="T812" i="21"/>
  <c r="U815" i="21"/>
  <c r="Z815" i="21" s="1"/>
  <c r="U832" i="21"/>
  <c r="X832" i="21" s="1"/>
  <c r="U885" i="21"/>
  <c r="U929" i="21"/>
  <c r="Z929" i="21" s="1"/>
  <c r="U972" i="21"/>
  <c r="U1036" i="21"/>
  <c r="H668" i="21"/>
  <c r="J668" i="21" s="1"/>
  <c r="R685" i="21"/>
  <c r="H698" i="21"/>
  <c r="J698" i="21" s="1"/>
  <c r="T751" i="21"/>
  <c r="Y1097" i="21"/>
  <c r="U880" i="21"/>
  <c r="U886" i="21"/>
  <c r="Z886" i="21" s="1"/>
  <c r="U894" i="21"/>
  <c r="Z894" i="21" s="1"/>
  <c r="U902" i="21"/>
  <c r="U941" i="21"/>
  <c r="Z941" i="21" s="1"/>
  <c r="U945" i="21"/>
  <c r="Z945" i="21" s="1"/>
  <c r="U963" i="21"/>
  <c r="U980" i="21"/>
  <c r="X980" i="21" s="1"/>
  <c r="U988" i="21"/>
  <c r="U993" i="21"/>
  <c r="U1020" i="21"/>
  <c r="Z1020" i="21" s="1"/>
  <c r="U1025" i="21"/>
  <c r="U1061" i="21"/>
  <c r="X1061" i="21" s="1"/>
  <c r="U1068" i="21"/>
  <c r="X1068" i="21" s="1"/>
  <c r="U1071" i="21"/>
  <c r="Y1071" i="21" s="1"/>
  <c r="U1074" i="21"/>
  <c r="Z1074" i="21" s="1"/>
  <c r="U1078" i="21"/>
  <c r="X1087" i="21"/>
  <c r="U1092" i="21"/>
  <c r="Y1092" i="21" s="1"/>
  <c r="U1112" i="21"/>
  <c r="Z1112" i="21" s="1"/>
  <c r="U1133" i="21"/>
  <c r="U1248" i="21"/>
  <c r="X1248" i="21" s="1"/>
  <c r="Y1242" i="21"/>
  <c r="Z1382" i="21"/>
  <c r="Y1382" i="21"/>
  <c r="T1784" i="21"/>
  <c r="U1784" i="21"/>
  <c r="X1784" i="21" s="1"/>
  <c r="U1028" i="21"/>
  <c r="U1033" i="21"/>
  <c r="X1033" i="21" s="1"/>
  <c r="U1053" i="21"/>
  <c r="Y1053" i="21" s="1"/>
  <c r="U1060" i="21"/>
  <c r="U1063" i="21"/>
  <c r="U1111" i="21"/>
  <c r="Y1111" i="21" s="1"/>
  <c r="Y1123" i="21"/>
  <c r="U1160" i="21"/>
  <c r="U1163" i="21"/>
  <c r="U1180" i="21"/>
  <c r="Z1180" i="21" s="1"/>
  <c r="U1247" i="21"/>
  <c r="X1247" i="21" s="1"/>
  <c r="U1055" i="21"/>
  <c r="U1066" i="21"/>
  <c r="Y1066" i="21" s="1"/>
  <c r="Z1223" i="21"/>
  <c r="Y1360" i="21"/>
  <c r="Y1387" i="21"/>
  <c r="Z1387" i="21"/>
  <c r="U1076" i="21"/>
  <c r="X1076" i="21" s="1"/>
  <c r="U1086" i="21"/>
  <c r="Z1086" i="21" s="1"/>
  <c r="U1118" i="21"/>
  <c r="Z1118" i="21" s="1"/>
  <c r="U1172" i="21"/>
  <c r="U1176" i="21"/>
  <c r="U1110" i="21"/>
  <c r="Z1110" i="21" s="1"/>
  <c r="U1161" i="21"/>
  <c r="Z1161" i="21" s="1"/>
  <c r="X1204" i="21"/>
  <c r="U1205" i="21"/>
  <c r="X1205" i="21" s="1"/>
  <c r="U1215" i="21"/>
  <c r="X1215" i="21" s="1"/>
  <c r="U1258" i="21"/>
  <c r="Z1258" i="21" s="1"/>
  <c r="X1276" i="21"/>
  <c r="Z1276" i="21"/>
  <c r="Y1276" i="21"/>
  <c r="Z1282" i="21"/>
  <c r="Z1350" i="21"/>
  <c r="U1340" i="21"/>
  <c r="X1340" i="21" s="1"/>
  <c r="U1413" i="21"/>
  <c r="Z1413" i="21" s="1"/>
  <c r="Y1697" i="21"/>
  <c r="U1125" i="21"/>
  <c r="Y1125" i="21" s="1"/>
  <c r="U1140" i="21"/>
  <c r="X1140" i="21" s="1"/>
  <c r="U1187" i="21"/>
  <c r="Y1187" i="21" s="1"/>
  <c r="U1221" i="21"/>
  <c r="U1229" i="21"/>
  <c r="Z1229" i="21" s="1"/>
  <c r="U1237" i="21"/>
  <c r="Y1237" i="21" s="1"/>
  <c r="U1245" i="21"/>
  <c r="X1384" i="21"/>
  <c r="U1395" i="21"/>
  <c r="Z1395" i="21" s="1"/>
  <c r="U1406" i="21"/>
  <c r="Z1406" i="21" s="1"/>
  <c r="U1452" i="21"/>
  <c r="X1452" i="21" s="1"/>
  <c r="U1484" i="21"/>
  <c r="U1557" i="21"/>
  <c r="X1557" i="21" s="1"/>
  <c r="U1639" i="21"/>
  <c r="U1261" i="21"/>
  <c r="X1261" i="21" s="1"/>
  <c r="U1339" i="21"/>
  <c r="Z1339" i="21" s="1"/>
  <c r="U1363" i="21"/>
  <c r="U1390" i="21"/>
  <c r="Z1390" i="21" s="1"/>
  <c r="U1440" i="21"/>
  <c r="X1440" i="21" s="1"/>
  <c r="H1880" i="21"/>
  <c r="J1880" i="21" s="1"/>
  <c r="U1420" i="21"/>
  <c r="Z1420" i="21" s="1"/>
  <c r="U1475" i="21"/>
  <c r="X1475" i="21" s="1"/>
  <c r="U1544" i="21"/>
  <c r="U1553" i="21"/>
  <c r="U1565" i="21"/>
  <c r="U1572" i="21"/>
  <c r="Y1572" i="21" s="1"/>
  <c r="Z1892" i="21"/>
  <c r="U1308" i="21"/>
  <c r="Y1308" i="21" s="1"/>
  <c r="X1448" i="21"/>
  <c r="Z1451" i="21"/>
  <c r="U1459" i="21"/>
  <c r="Z1459" i="21" s="1"/>
  <c r="Y1523" i="21"/>
  <c r="U1197" i="21"/>
  <c r="X1197" i="21" s="1"/>
  <c r="U1214" i="21"/>
  <c r="U1230" i="21"/>
  <c r="X1230" i="21" s="1"/>
  <c r="U1238" i="21"/>
  <c r="X1238" i="21" s="1"/>
  <c r="U1259" i="21"/>
  <c r="U1355" i="21"/>
  <c r="U1410" i="21"/>
  <c r="U1411" i="21"/>
  <c r="Z1411" i="21" s="1"/>
  <c r="U1445" i="21"/>
  <c r="Z1445" i="21" s="1"/>
  <c r="U1454" i="21"/>
  <c r="Z1454" i="21" s="1"/>
  <c r="U1496" i="21"/>
  <c r="Z1496" i="21" s="1"/>
  <c r="U1532" i="21"/>
  <c r="Z1532" i="21" s="1"/>
  <c r="U1552" i="21"/>
  <c r="X1743" i="21"/>
  <c r="H1864" i="21"/>
  <c r="J1864" i="21" s="1"/>
  <c r="H1888" i="21"/>
  <c r="J1888" i="21" s="1"/>
  <c r="U1476" i="21"/>
  <c r="U1542" i="21"/>
  <c r="Z1542" i="21" s="1"/>
  <c r="U1623" i="21"/>
  <c r="U1626" i="21"/>
  <c r="U1629" i="21"/>
  <c r="X1629" i="21" s="1"/>
  <c r="U1637" i="21"/>
  <c r="Y1637" i="21" s="1"/>
  <c r="U1641" i="21"/>
  <c r="U1698" i="21"/>
  <c r="X1698" i="21" s="1"/>
  <c r="U1750" i="21"/>
  <c r="Y1750" i="21" s="1"/>
  <c r="U1753" i="21"/>
  <c r="Z1753" i="21" s="1"/>
  <c r="U1774" i="21"/>
  <c r="H1808" i="21"/>
  <c r="J1808" i="21" s="1"/>
  <c r="H1841" i="21"/>
  <c r="J1841" i="21" s="1"/>
  <c r="U1846" i="21"/>
  <c r="X1846" i="21" s="1"/>
  <c r="U1860" i="21"/>
  <c r="W1862" i="21" s="1"/>
  <c r="Y1862" i="21" s="1"/>
  <c r="H2204" i="21"/>
  <c r="J2204" i="21" s="1"/>
  <c r="H2264" i="21"/>
  <c r="H2444" i="21"/>
  <c r="J2444" i="21" s="1"/>
  <c r="W2608" i="21"/>
  <c r="U1904" i="21"/>
  <c r="H2438" i="21"/>
  <c r="J2438" i="21" s="1"/>
  <c r="U1605" i="21"/>
  <c r="U1628" i="21"/>
  <c r="Z1628" i="21" s="1"/>
  <c r="U1647" i="21"/>
  <c r="X1647" i="21" s="1"/>
  <c r="U1654" i="21"/>
  <c r="X1654" i="21" s="1"/>
  <c r="X1661" i="21"/>
  <c r="T1679" i="21"/>
  <c r="T1683" i="21"/>
  <c r="U1684" i="21"/>
  <c r="T1687" i="21"/>
  <c r="U1688" i="21"/>
  <c r="X1688" i="21" s="1"/>
  <c r="U1696" i="21"/>
  <c r="X1696" i="21" s="1"/>
  <c r="U1719" i="21"/>
  <c r="U1766" i="21"/>
  <c r="Z1766" i="21" s="1"/>
  <c r="U1770" i="21"/>
  <c r="T1780" i="21"/>
  <c r="U1781" i="21"/>
  <c r="Z1781" i="21" s="1"/>
  <c r="U1796" i="21"/>
  <c r="X1796" i="21" s="1"/>
  <c r="H1811" i="21"/>
  <c r="J1811" i="21" s="1"/>
  <c r="U2360" i="21"/>
  <c r="W2361" i="21" s="1"/>
  <c r="H1853" i="21"/>
  <c r="J1853" i="21" s="1"/>
  <c r="H1860" i="21"/>
  <c r="J1860" i="21" s="1"/>
  <c r="U1480" i="21"/>
  <c r="Y1480" i="21" s="1"/>
  <c r="U1524" i="21"/>
  <c r="Y1524" i="21" s="1"/>
  <c r="U1561" i="21"/>
  <c r="U1679" i="21"/>
  <c r="U1687" i="21"/>
  <c r="U1691" i="21"/>
  <c r="U1704" i="21"/>
  <c r="X1704" i="21" s="1"/>
  <c r="U1727" i="21"/>
  <c r="Y1727" i="21" s="1"/>
  <c r="T1765" i="21"/>
  <c r="T1766" i="21"/>
  <c r="T1769" i="21"/>
  <c r="T1770" i="21"/>
  <c r="U1773" i="21"/>
  <c r="U1780" i="21"/>
  <c r="Z1780" i="21" s="1"/>
  <c r="X1840" i="21"/>
  <c r="U1550" i="21"/>
  <c r="T1660" i="21"/>
  <c r="T1661" i="21"/>
  <c r="T1664" i="21"/>
  <c r="U1694" i="21"/>
  <c r="Y1694" i="21" s="1"/>
  <c r="U1703" i="21"/>
  <c r="Y1703" i="21" s="1"/>
  <c r="U1734" i="21"/>
  <c r="X1734" i="21" s="1"/>
  <c r="T1762" i="21"/>
  <c r="T1768" i="21"/>
  <c r="T1772" i="21"/>
  <c r="U1776" i="21"/>
  <c r="H1820" i="21"/>
  <c r="J1820" i="21" s="1"/>
  <c r="U1888" i="21"/>
  <c r="X1888" i="21" s="1"/>
  <c r="H1917" i="21"/>
  <c r="J1917" i="21" s="1"/>
  <c r="H2101" i="21"/>
  <c r="J2101" i="21" s="1"/>
  <c r="H2504" i="21"/>
  <c r="J2504" i="21" s="1"/>
  <c r="U1512" i="21"/>
  <c r="U1543" i="21"/>
  <c r="X1543" i="21" s="1"/>
  <c r="U1588" i="21"/>
  <c r="X1588" i="21" s="1"/>
  <c r="T1659" i="21"/>
  <c r="U1670" i="21"/>
  <c r="Z1670" i="21" s="1"/>
  <c r="H1707" i="21"/>
  <c r="J1707" i="21" s="1"/>
  <c r="T1754" i="21"/>
  <c r="T1757" i="21"/>
  <c r="T1758" i="21"/>
  <c r="T1761" i="21"/>
  <c r="T1764" i="21"/>
  <c r="U1782" i="21"/>
  <c r="H1802" i="21"/>
  <c r="J1802" i="21" s="1"/>
  <c r="U1805" i="21"/>
  <c r="Z1805" i="21" s="1"/>
  <c r="X1838" i="21"/>
  <c r="H1921" i="21"/>
  <c r="J1921" i="21" s="1"/>
  <c r="Y2318" i="21"/>
  <c r="H2384" i="21"/>
  <c r="U2474" i="21"/>
  <c r="H2546" i="21"/>
  <c r="G2607" i="21"/>
  <c r="H2607" i="21" s="1"/>
  <c r="H2061" i="21"/>
  <c r="J2061" i="21" s="1"/>
  <c r="W2152" i="21"/>
  <c r="X2152" i="21" s="1"/>
  <c r="H2148" i="21"/>
  <c r="J2148" i="21" s="1"/>
  <c r="U2198" i="21"/>
  <c r="W2203" i="21" s="1"/>
  <c r="U2210" i="21"/>
  <c r="W2213" i="21" s="1"/>
  <c r="H2396" i="21"/>
  <c r="G2581" i="21"/>
  <c r="H2581" i="21" s="1"/>
  <c r="G2603" i="21"/>
  <c r="H2603" i="21" s="1"/>
  <c r="I2606" i="21"/>
  <c r="T2661" i="21"/>
  <c r="U2679" i="21"/>
  <c r="U2693" i="21"/>
  <c r="Z2693" i="21" s="1"/>
  <c r="T2706" i="21"/>
  <c r="U2021" i="21"/>
  <c r="H2093" i="21"/>
  <c r="J2093" i="21" s="1"/>
  <c r="H2138" i="21"/>
  <c r="J2138" i="21" s="1"/>
  <c r="H2163" i="21"/>
  <c r="J2163" i="21" s="1"/>
  <c r="H2234" i="21"/>
  <c r="J2234" i="21" s="1"/>
  <c r="H2246" i="21"/>
  <c r="J2246" i="21" s="1"/>
  <c r="X2270" i="21"/>
  <c r="U2276" i="21"/>
  <c r="W2279" i="21" s="1"/>
  <c r="H2312" i="21"/>
  <c r="H2492" i="21"/>
  <c r="J2492" i="21" s="1"/>
  <c r="G2614" i="21"/>
  <c r="H2614" i="21" s="1"/>
  <c r="U2657" i="21"/>
  <c r="T2678" i="21"/>
  <c r="T2695" i="21"/>
  <c r="H1977" i="21"/>
  <c r="J1977" i="21" s="1"/>
  <c r="H2065" i="21"/>
  <c r="J2065" i="21" s="1"/>
  <c r="H2123" i="21"/>
  <c r="J2123" i="21" s="1"/>
  <c r="H2133" i="21"/>
  <c r="J2133" i="21" s="1"/>
  <c r="H2180" i="21"/>
  <c r="J2180" i="21" s="1"/>
  <c r="H2198" i="21"/>
  <c r="J2198" i="21" s="1"/>
  <c r="U2228" i="21"/>
  <c r="Y2228" i="21" s="1"/>
  <c r="H2276" i="21"/>
  <c r="J2276" i="21" s="1"/>
  <c r="H2306" i="21"/>
  <c r="J2306" i="21" s="1"/>
  <c r="H2354" i="21"/>
  <c r="U2426" i="21"/>
  <c r="Y2426" i="21" s="1"/>
  <c r="H2486" i="21"/>
  <c r="J2486" i="21" s="1"/>
  <c r="H2564" i="21"/>
  <c r="J2564" i="21" s="1"/>
  <c r="G2579" i="21"/>
  <c r="H2579" i="21" s="1"/>
  <c r="G2595" i="21"/>
  <c r="H2595" i="21" s="1"/>
  <c r="U2624" i="21"/>
  <c r="U2632" i="21"/>
  <c r="U2644" i="21"/>
  <c r="X2644" i="21" s="1"/>
  <c r="U2652" i="21"/>
  <c r="Z2652" i="21" s="1"/>
  <c r="H1973" i="21"/>
  <c r="J1973" i="21" s="1"/>
  <c r="H2045" i="21"/>
  <c r="J2045" i="21" s="1"/>
  <c r="H2097" i="21"/>
  <c r="J2097" i="21" s="1"/>
  <c r="H2228" i="21"/>
  <c r="J2228" i="21" s="1"/>
  <c r="H2300" i="21"/>
  <c r="J2300" i="21" s="1"/>
  <c r="H2348" i="21"/>
  <c r="H2360" i="21"/>
  <c r="J2360" i="21" s="1"/>
  <c r="H2414" i="21"/>
  <c r="H2432" i="21"/>
  <c r="J2432" i="21" s="1"/>
  <c r="H2456" i="21"/>
  <c r="J2456" i="21" s="1"/>
  <c r="U2588" i="21"/>
  <c r="X2588" i="21" s="1"/>
  <c r="G2601" i="21"/>
  <c r="H2601" i="21" s="1"/>
  <c r="G2577" i="21"/>
  <c r="H2577" i="21" s="1"/>
  <c r="G2599" i="21"/>
  <c r="H2599" i="21" s="1"/>
  <c r="T2633" i="21"/>
  <c r="T2638" i="21"/>
  <c r="T2643" i="21"/>
  <c r="T2655" i="21"/>
  <c r="T2683" i="21"/>
  <c r="U2701" i="21"/>
  <c r="Z2701" i="21" s="1"/>
  <c r="U1941" i="21"/>
  <c r="H1953" i="21"/>
  <c r="J1953" i="21" s="1"/>
  <c r="H1961" i="21"/>
  <c r="J1961" i="21" s="1"/>
  <c r="H2033" i="21"/>
  <c r="J2033" i="21" s="1"/>
  <c r="U2128" i="21"/>
  <c r="Z2128" i="21" s="1"/>
  <c r="U2143" i="21"/>
  <c r="Y2143" i="21" s="1"/>
  <c r="U2153" i="21"/>
  <c r="H2192" i="21"/>
  <c r="J2192" i="21" s="1"/>
  <c r="H2270" i="21"/>
  <c r="J2270" i="21" s="1"/>
  <c r="H2342" i="21"/>
  <c r="J2342" i="21" s="1"/>
  <c r="H2402" i="21"/>
  <c r="H2558" i="21"/>
  <c r="J2558" i="21" s="1"/>
  <c r="U2570" i="21"/>
  <c r="Y2570" i="21" s="1"/>
  <c r="G2610" i="21"/>
  <c r="H2610" i="21" s="1"/>
  <c r="G2611" i="21"/>
  <c r="H2611" i="21" s="1"/>
  <c r="T2686" i="21"/>
  <c r="T2703" i="21"/>
  <c r="T2707" i="21"/>
  <c r="U1937" i="21"/>
  <c r="W1939" i="21" s="1"/>
  <c r="U1949" i="21"/>
  <c r="Z1949" i="21" s="1"/>
  <c r="H1993" i="21"/>
  <c r="J1993" i="21" s="1"/>
  <c r="U1997" i="21"/>
  <c r="W2000" i="21" s="1"/>
  <c r="H2005" i="21"/>
  <c r="J2005" i="21" s="1"/>
  <c r="U2061" i="21"/>
  <c r="W2064" i="21" s="1"/>
  <c r="H2105" i="21"/>
  <c r="J2105" i="21" s="1"/>
  <c r="H2143" i="21"/>
  <c r="J2143" i="21" s="1"/>
  <c r="H2216" i="21"/>
  <c r="J2216" i="21" s="1"/>
  <c r="U2264" i="21"/>
  <c r="X2264" i="21" s="1"/>
  <c r="U2480" i="21"/>
  <c r="Y2480" i="21" s="1"/>
  <c r="H2516" i="21"/>
  <c r="J2516" i="21" s="1"/>
  <c r="G2608" i="21"/>
  <c r="H2608" i="21" s="1"/>
  <c r="U2705" i="21"/>
  <c r="Y2705" i="21" s="1"/>
  <c r="Z89" i="21"/>
  <c r="Z186" i="21"/>
  <c r="X186" i="21"/>
  <c r="Y186" i="21"/>
  <c r="X216" i="21"/>
  <c r="Z243" i="21"/>
  <c r="Y243" i="21"/>
  <c r="X243" i="21"/>
  <c r="X250" i="21"/>
  <c r="Z39" i="21"/>
  <c r="Y102" i="21"/>
  <c r="Y34" i="21"/>
  <c r="X99" i="21"/>
  <c r="Z250" i="21"/>
  <c r="Y250" i="21"/>
  <c r="Y76" i="21"/>
  <c r="Y118" i="21"/>
  <c r="X131" i="21"/>
  <c r="Y219" i="21"/>
  <c r="Y82" i="21"/>
  <c r="Z82" i="21"/>
  <c r="Y105" i="21"/>
  <c r="X105" i="21"/>
  <c r="Z105" i="21"/>
  <c r="X30" i="21"/>
  <c r="Z184" i="21"/>
  <c r="Z193" i="21"/>
  <c r="Z44" i="21"/>
  <c r="Y44" i="21"/>
  <c r="X44" i="21"/>
  <c r="Z61" i="21"/>
  <c r="Z139" i="21"/>
  <c r="W165" i="21"/>
  <c r="H270" i="21"/>
  <c r="J270" i="21" s="1"/>
  <c r="U284" i="21"/>
  <c r="R286" i="21"/>
  <c r="R406" i="21"/>
  <c r="U401" i="21"/>
  <c r="Y531" i="21"/>
  <c r="W782" i="21"/>
  <c r="W261" i="21"/>
  <c r="J324" i="21"/>
  <c r="H323" i="21"/>
  <c r="J323" i="21" s="1"/>
  <c r="W145" i="21"/>
  <c r="W170" i="21"/>
  <c r="T213" i="21"/>
  <c r="U217" i="21"/>
  <c r="T217" i="21"/>
  <c r="R234" i="21"/>
  <c r="Y245" i="21"/>
  <c r="U302" i="21"/>
  <c r="R304" i="21"/>
  <c r="U316" i="21"/>
  <c r="H317" i="21"/>
  <c r="J317" i="21" s="1"/>
  <c r="J318" i="21"/>
  <c r="U341" i="21"/>
  <c r="R346" i="21"/>
  <c r="W417" i="21"/>
  <c r="W436" i="21"/>
  <c r="Y496" i="21"/>
  <c r="Y541" i="21"/>
  <c r="U552" i="21"/>
  <c r="X552" i="21" s="1"/>
  <c r="X600" i="21"/>
  <c r="U650" i="21"/>
  <c r="X650" i="21" s="1"/>
  <c r="R655" i="21"/>
  <c r="W166" i="21"/>
  <c r="Y490" i="21"/>
  <c r="U530" i="21"/>
  <c r="Z260" i="21"/>
  <c r="W263" i="21"/>
  <c r="W142" i="21"/>
  <c r="T220" i="21"/>
  <c r="Y260" i="21"/>
  <c r="Y41" i="21"/>
  <c r="T48" i="21"/>
  <c r="T56" i="21"/>
  <c r="T64" i="21"/>
  <c r="T97" i="21"/>
  <c r="T105" i="21"/>
  <c r="T113" i="21"/>
  <c r="Y117" i="21"/>
  <c r="Y141" i="21"/>
  <c r="W143" i="21"/>
  <c r="U167" i="21"/>
  <c r="W178" i="21"/>
  <c r="U189" i="21"/>
  <c r="W192" i="21"/>
  <c r="T219" i="21"/>
  <c r="U238" i="21"/>
  <c r="X238" i="21" s="1"/>
  <c r="U242" i="21"/>
  <c r="Y247" i="21"/>
  <c r="U296" i="21"/>
  <c r="R298" i="21"/>
  <c r="H311" i="21"/>
  <c r="J311" i="21" s="1"/>
  <c r="J312" i="21"/>
  <c r="U329" i="21"/>
  <c r="R334" i="21"/>
  <c r="H347" i="21"/>
  <c r="J347" i="21" s="1"/>
  <c r="U376" i="21"/>
  <c r="Y377" i="21"/>
  <c r="Y413" i="21"/>
  <c r="Z413" i="21"/>
  <c r="W416" i="21"/>
  <c r="W418" i="21"/>
  <c r="U430" i="21"/>
  <c r="Y468" i="21"/>
  <c r="Z468" i="21"/>
  <c r="U599" i="21"/>
  <c r="X599" i="21" s="1"/>
  <c r="W182" i="21"/>
  <c r="U225" i="21"/>
  <c r="T225" i="21"/>
  <c r="R277" i="21"/>
  <c r="U275" i="21"/>
  <c r="U278" i="21"/>
  <c r="R280" i="21"/>
  <c r="H371" i="21"/>
  <c r="J371" i="21" s="1"/>
  <c r="R400" i="21"/>
  <c r="Z480" i="21"/>
  <c r="U529" i="21"/>
  <c r="T204" i="21"/>
  <c r="Y220" i="21"/>
  <c r="Y239" i="21"/>
  <c r="R264" i="21"/>
  <c r="R274" i="21"/>
  <c r="U270" i="21"/>
  <c r="H383" i="21"/>
  <c r="J383" i="21" s="1"/>
  <c r="U424" i="21"/>
  <c r="Y493" i="21"/>
  <c r="Y498" i="21"/>
  <c r="Z498" i="21"/>
  <c r="Y504" i="21"/>
  <c r="X504" i="21"/>
  <c r="Z504" i="21"/>
  <c r="W162" i="21"/>
  <c r="W262" i="21"/>
  <c r="W160" i="21"/>
  <c r="W174" i="21"/>
  <c r="T212" i="21"/>
  <c r="R230" i="21"/>
  <c r="X260" i="21"/>
  <c r="R269" i="21"/>
  <c r="U290" i="21"/>
  <c r="R292" i="21"/>
  <c r="H335" i="21"/>
  <c r="J335" i="21" s="1"/>
  <c r="R364" i="21"/>
  <c r="H419" i="21"/>
  <c r="J419" i="21" s="1"/>
  <c r="Y503" i="21"/>
  <c r="Z503" i="21"/>
  <c r="X503" i="21"/>
  <c r="T513" i="21"/>
  <c r="Z514" i="21"/>
  <c r="X514" i="21"/>
  <c r="Y537" i="21"/>
  <c r="W540" i="21"/>
  <c r="X537" i="21"/>
  <c r="W539" i="21"/>
  <c r="W538" i="21"/>
  <c r="T579" i="21"/>
  <c r="H617" i="21"/>
  <c r="J617" i="21" s="1"/>
  <c r="U955" i="21"/>
  <c r="X955" i="21" s="1"/>
  <c r="Z1176" i="21"/>
  <c r="Y1176" i="21"/>
  <c r="R322" i="21"/>
  <c r="X493" i="21"/>
  <c r="X499" i="21"/>
  <c r="H532" i="21"/>
  <c r="J532" i="21" s="1"/>
  <c r="Z537" i="21"/>
  <c r="Y563" i="21"/>
  <c r="Z593" i="21"/>
  <c r="U601" i="21"/>
  <c r="X601" i="21" s="1"/>
  <c r="Y602" i="21"/>
  <c r="Z823" i="21"/>
  <c r="Z874" i="21"/>
  <c r="Y874" i="21"/>
  <c r="X874" i="21"/>
  <c r="Y1103" i="21"/>
  <c r="U281" i="21"/>
  <c r="U287" i="21"/>
  <c r="U293" i="21"/>
  <c r="U299" i="21"/>
  <c r="U305" i="21"/>
  <c r="U335" i="21"/>
  <c r="U512" i="21"/>
  <c r="U513" i="21"/>
  <c r="T514" i="21"/>
  <c r="Y523" i="21"/>
  <c r="H547" i="21"/>
  <c r="J547" i="21" s="1"/>
  <c r="U556" i="21"/>
  <c r="Z568" i="21"/>
  <c r="U578" i="21"/>
  <c r="U579" i="21"/>
  <c r="T580" i="21"/>
  <c r="U591" i="21"/>
  <c r="X591" i="21" s="1"/>
  <c r="Y593" i="21"/>
  <c r="U656" i="21"/>
  <c r="R661" i="21"/>
  <c r="U485" i="21"/>
  <c r="X485" i="21" s="1"/>
  <c r="W534" i="21"/>
  <c r="Y586" i="21"/>
  <c r="U613" i="21"/>
  <c r="U617" i="21"/>
  <c r="Y634" i="21"/>
  <c r="H644" i="21"/>
  <c r="J644" i="21" s="1"/>
  <c r="U891" i="21"/>
  <c r="X891" i="21" s="1"/>
  <c r="Y803" i="21"/>
  <c r="Z803" i="21"/>
  <c r="U383" i="21"/>
  <c r="X383" i="21" s="1"/>
  <c r="X523" i="21"/>
  <c r="U526" i="21"/>
  <c r="T563" i="21"/>
  <c r="U621" i="21"/>
  <c r="H650" i="21"/>
  <c r="J650" i="21" s="1"/>
  <c r="Y746" i="21"/>
  <c r="Z848" i="21"/>
  <c r="Y848" i="21"/>
  <c r="U851" i="21"/>
  <c r="X511" i="21"/>
  <c r="U518" i="21"/>
  <c r="Z536" i="21"/>
  <c r="H542" i="21"/>
  <c r="J542" i="21" s="1"/>
  <c r="Z559" i="21"/>
  <c r="Y559" i="21"/>
  <c r="X580" i="21"/>
  <c r="U603" i="21"/>
  <c r="Z604" i="21"/>
  <c r="Y604" i="21"/>
  <c r="X625" i="21"/>
  <c r="Z716" i="21"/>
  <c r="Y716" i="21"/>
  <c r="Y801" i="21"/>
  <c r="Z801" i="21"/>
  <c r="Z906" i="21"/>
  <c r="Y906" i="21"/>
  <c r="X906" i="21"/>
  <c r="U635" i="21"/>
  <c r="U637" i="21"/>
  <c r="U639" i="21"/>
  <c r="X639" i="21" s="1"/>
  <c r="R667" i="21"/>
  <c r="R679" i="21"/>
  <c r="K808" i="21"/>
  <c r="T808" i="21" s="1"/>
  <c r="U834" i="21"/>
  <c r="X834" i="21" s="1"/>
  <c r="T834" i="21"/>
  <c r="Z1166" i="21"/>
  <c r="Y1166" i="21"/>
  <c r="U719" i="21"/>
  <c r="Z785" i="21"/>
  <c r="Y785" i="21"/>
  <c r="U810" i="21"/>
  <c r="X810" i="21" s="1"/>
  <c r="T810" i="21"/>
  <c r="Z817" i="21"/>
  <c r="U867" i="21"/>
  <c r="X867" i="21" s="1"/>
  <c r="Y882" i="21"/>
  <c r="U899" i="21"/>
  <c r="X899" i="21" s="1"/>
  <c r="U931" i="21"/>
  <c r="J645" i="21"/>
  <c r="U724" i="21"/>
  <c r="X752" i="21"/>
  <c r="U843" i="21"/>
  <c r="Z862" i="21"/>
  <c r="Y862" i="21"/>
  <c r="Z885" i="21"/>
  <c r="Y885" i="21"/>
  <c r="X885" i="21"/>
  <c r="U736" i="21"/>
  <c r="X736" i="21" s="1"/>
  <c r="U739" i="21"/>
  <c r="U741" i="21"/>
  <c r="X746" i="21"/>
  <c r="U750" i="21"/>
  <c r="T750" i="21"/>
  <c r="U753" i="21"/>
  <c r="T753" i="21"/>
  <c r="U755" i="21"/>
  <c r="X755" i="21" s="1"/>
  <c r="U826" i="21"/>
  <c r="X826" i="21" s="1"/>
  <c r="T826" i="21"/>
  <c r="Y850" i="21"/>
  <c r="U875" i="21"/>
  <c r="X880" i="21"/>
  <c r="Y890" i="21"/>
  <c r="X902" i="21"/>
  <c r="Y904" i="21"/>
  <c r="U907" i="21"/>
  <c r="Z913" i="21"/>
  <c r="U939" i="21"/>
  <c r="X954" i="21"/>
  <c r="U961" i="21"/>
  <c r="Z988" i="21"/>
  <c r="Y988" i="21"/>
  <c r="U744" i="21"/>
  <c r="X744" i="21" s="1"/>
  <c r="U758" i="21"/>
  <c r="X758" i="21" s="1"/>
  <c r="T758" i="21"/>
  <c r="U761" i="21"/>
  <c r="X761" i="21" s="1"/>
  <c r="T761" i="21"/>
  <c r="U769" i="21"/>
  <c r="X769" i="21" s="1"/>
  <c r="T769" i="21"/>
  <c r="U777" i="21"/>
  <c r="T777" i="21"/>
  <c r="Z809" i="21"/>
  <c r="Y809" i="21"/>
  <c r="X809" i="21"/>
  <c r="Z831" i="21"/>
  <c r="U859" i="21"/>
  <c r="X859" i="21" s="1"/>
  <c r="Z870" i="21"/>
  <c r="Z902" i="21"/>
  <c r="Y902" i="21"/>
  <c r="T510" i="21"/>
  <c r="T518" i="21"/>
  <c r="T526" i="21"/>
  <c r="R709" i="21"/>
  <c r="Z720" i="21"/>
  <c r="Z725" i="21"/>
  <c r="Y734" i="21"/>
  <c r="Z762" i="21"/>
  <c r="X823" i="21"/>
  <c r="Z880" i="21"/>
  <c r="Y880" i="21"/>
  <c r="U883" i="21"/>
  <c r="U915" i="21"/>
  <c r="X915" i="21" s="1"/>
  <c r="Y944" i="21"/>
  <c r="U947" i="21"/>
  <c r="Z1036" i="21"/>
  <c r="Y1036" i="21"/>
  <c r="Z1227" i="21"/>
  <c r="Y1227" i="21"/>
  <c r="Y674" i="21"/>
  <c r="U692" i="21"/>
  <c r="R697" i="21"/>
  <c r="U717" i="21"/>
  <c r="U727" i="21"/>
  <c r="U731" i="21"/>
  <c r="X731" i="21" s="1"/>
  <c r="Y743" i="21"/>
  <c r="Y762" i="21"/>
  <c r="U791" i="21"/>
  <c r="X801" i="21"/>
  <c r="U818" i="21"/>
  <c r="T818" i="21"/>
  <c r="Z835" i="21"/>
  <c r="Y835" i="21"/>
  <c r="Z901" i="21"/>
  <c r="Y901" i="21"/>
  <c r="X901" i="21"/>
  <c r="Y910" i="21"/>
  <c r="Z933" i="21"/>
  <c r="Y996" i="21"/>
  <c r="Z998" i="21"/>
  <c r="Y998" i="21"/>
  <c r="X998" i="21"/>
  <c r="U1047" i="21"/>
  <c r="X1047" i="21" s="1"/>
  <c r="X1080" i="21"/>
  <c r="Z1080" i="21"/>
  <c r="Y1080" i="21"/>
  <c r="Z1182" i="21"/>
  <c r="Y1182" i="21"/>
  <c r="X1017" i="21"/>
  <c r="X1025" i="21"/>
  <c r="Z1048" i="21"/>
  <c r="U1057" i="21"/>
  <c r="Z1071" i="21"/>
  <c r="Z1137" i="21"/>
  <c r="Y1150" i="21"/>
  <c r="Z1150" i="21"/>
  <c r="U1171" i="21"/>
  <c r="Z1280" i="21"/>
  <c r="Y1280" i="21"/>
  <c r="U959" i="21"/>
  <c r="X959" i="21" s="1"/>
  <c r="Z985" i="21"/>
  <c r="Y985" i="21"/>
  <c r="Z1017" i="21"/>
  <c r="Y1017" i="21"/>
  <c r="Z1025" i="21"/>
  <c r="Y1025" i="21"/>
  <c r="U1039" i="21"/>
  <c r="X1039" i="21" s="1"/>
  <c r="U1065" i="21"/>
  <c r="Z1160" i="21"/>
  <c r="Y1160" i="21"/>
  <c r="Y765" i="21"/>
  <c r="T766" i="21"/>
  <c r="T774" i="21"/>
  <c r="Y802" i="21"/>
  <c r="T813" i="21"/>
  <c r="T821" i="21"/>
  <c r="Y828" i="21"/>
  <c r="T829" i="21"/>
  <c r="T835" i="21"/>
  <c r="Y845" i="21"/>
  <c r="Y986" i="21"/>
  <c r="Y1002" i="21"/>
  <c r="Y1070" i="21"/>
  <c r="U1073" i="21"/>
  <c r="X1073" i="21" s="1"/>
  <c r="Z1087" i="21"/>
  <c r="X1114" i="21"/>
  <c r="U1119" i="21"/>
  <c r="Y1137" i="21"/>
  <c r="U1270" i="21"/>
  <c r="U1302" i="21"/>
  <c r="U1342" i="21"/>
  <c r="T816" i="21"/>
  <c r="T824" i="21"/>
  <c r="T832" i="21"/>
  <c r="T838" i="21"/>
  <c r="O2714" i="21"/>
  <c r="U964" i="21"/>
  <c r="X968" i="21"/>
  <c r="U983" i="21"/>
  <c r="X983" i="21" s="1"/>
  <c r="U991" i="21"/>
  <c r="U999" i="21"/>
  <c r="U1007" i="21"/>
  <c r="X1007" i="21" s="1"/>
  <c r="U1015" i="21"/>
  <c r="U1023" i="21"/>
  <c r="X1023" i="21" s="1"/>
  <c r="U1031" i="21"/>
  <c r="X1031" i="21" s="1"/>
  <c r="X1046" i="21"/>
  <c r="U1052" i="21"/>
  <c r="X1052" i="21" s="1"/>
  <c r="Z1095" i="21"/>
  <c r="Z1114" i="21"/>
  <c r="Y1114" i="21"/>
  <c r="Z1124" i="21"/>
  <c r="Y1124" i="21"/>
  <c r="Z1152" i="21"/>
  <c r="Y1152" i="21"/>
  <c r="X1008" i="21"/>
  <c r="X1024" i="21"/>
  <c r="Z1024" i="21"/>
  <c r="Y1056" i="21"/>
  <c r="Y1069" i="21"/>
  <c r="Z1069" i="21"/>
  <c r="X1093" i="21"/>
  <c r="U1155" i="21"/>
  <c r="U967" i="21"/>
  <c r="U975" i="21"/>
  <c r="X975" i="21" s="1"/>
  <c r="Z1038" i="21"/>
  <c r="Y1038" i="21"/>
  <c r="X1038" i="21"/>
  <c r="Y1077" i="21"/>
  <c r="Z1077" i="21"/>
  <c r="Y1093" i="21"/>
  <c r="Z1093" i="21"/>
  <c r="U1135" i="21"/>
  <c r="Y1174" i="21"/>
  <c r="X976" i="21"/>
  <c r="X988" i="21"/>
  <c r="X1028" i="21"/>
  <c r="X1036" i="21"/>
  <c r="X1077" i="21"/>
  <c r="Y1085" i="21"/>
  <c r="Z1085" i="21"/>
  <c r="Y1112" i="21"/>
  <c r="U1143" i="21"/>
  <c r="U1167" i="21"/>
  <c r="Z1179" i="21"/>
  <c r="Y1179" i="21"/>
  <c r="U1201" i="21"/>
  <c r="Y1206" i="21"/>
  <c r="Z1221" i="21"/>
  <c r="Y1221" i="21"/>
  <c r="Z1232" i="21"/>
  <c r="Y1232" i="21"/>
  <c r="Z1274" i="21"/>
  <c r="Y1274" i="21"/>
  <c r="X1166" i="21"/>
  <c r="X1176" i="21"/>
  <c r="Z1192" i="21"/>
  <c r="Y1192" i="21"/>
  <c r="U1225" i="21"/>
  <c r="Y1235" i="21"/>
  <c r="U1120" i="21"/>
  <c r="X1120" i="21" s="1"/>
  <c r="U1136" i="21"/>
  <c r="X1136" i="21" s="1"/>
  <c r="U1144" i="21"/>
  <c r="U1175" i="21"/>
  <c r="Y1180" i="21"/>
  <c r="U1190" i="21"/>
  <c r="X1190" i="21" s="1"/>
  <c r="Y1216" i="21"/>
  <c r="U1249" i="21"/>
  <c r="U1254" i="21"/>
  <c r="X1254" i="21" s="1"/>
  <c r="Y1259" i="21"/>
  <c r="U1281" i="21"/>
  <c r="U1286" i="21"/>
  <c r="Z1296" i="21"/>
  <c r="Y1296" i="21"/>
  <c r="U1444" i="21"/>
  <c r="X1444" i="21" s="1"/>
  <c r="U1094" i="21"/>
  <c r="X1138" i="21"/>
  <c r="U1183" i="21"/>
  <c r="U1343" i="21"/>
  <c r="U1357" i="21"/>
  <c r="X1357" i="21" s="1"/>
  <c r="X1152" i="21"/>
  <c r="Z1163" i="21"/>
  <c r="Y1163" i="21"/>
  <c r="Y1178" i="21"/>
  <c r="X1182" i="21"/>
  <c r="Z1189" i="21"/>
  <c r="Y1189" i="21"/>
  <c r="U1233" i="21"/>
  <c r="Y1285" i="21"/>
  <c r="Z1285" i="21"/>
  <c r="Z1290" i="21"/>
  <c r="Y1290" i="21"/>
  <c r="U1310" i="21"/>
  <c r="Z1318" i="21"/>
  <c r="Y1318" i="21"/>
  <c r="X1318" i="21"/>
  <c r="U1437" i="21"/>
  <c r="X1437" i="21" s="1"/>
  <c r="U1099" i="21"/>
  <c r="U1102" i="21"/>
  <c r="U1157" i="21"/>
  <c r="X1172" i="21"/>
  <c r="U1193" i="21"/>
  <c r="U1198" i="21"/>
  <c r="Y1213" i="21"/>
  <c r="X1232" i="21"/>
  <c r="U1257" i="21"/>
  <c r="U1262" i="21"/>
  <c r="X1274" i="21"/>
  <c r="U1330" i="21"/>
  <c r="X1330" i="21" s="1"/>
  <c r="U1107" i="21"/>
  <c r="X1107" i="21" s="1"/>
  <c r="U1246" i="21"/>
  <c r="X1246" i="21" s="1"/>
  <c r="Y1251" i="21"/>
  <c r="U1346" i="21"/>
  <c r="X1346" i="21" s="1"/>
  <c r="Z1485" i="21"/>
  <c r="Z1218" i="21"/>
  <c r="Z1226" i="21"/>
  <c r="Z1234" i="21"/>
  <c r="Z1242" i="21"/>
  <c r="Z1250" i="21"/>
  <c r="U1263" i="21"/>
  <c r="X1263" i="21" s="1"/>
  <c r="U1271" i="21"/>
  <c r="U1287" i="21"/>
  <c r="U1303" i="21"/>
  <c r="U1311" i="21"/>
  <c r="U1370" i="21"/>
  <c r="Z1429" i="21"/>
  <c r="Y1429" i="21"/>
  <c r="U1433" i="21"/>
  <c r="U1447" i="21"/>
  <c r="X1447" i="21" s="1"/>
  <c r="X1304" i="21"/>
  <c r="U1322" i="21"/>
  <c r="U1323" i="21"/>
  <c r="U1367" i="21"/>
  <c r="U1378" i="21"/>
  <c r="X1378" i="21" s="1"/>
  <c r="U1405" i="21"/>
  <c r="X1405" i="21" s="1"/>
  <c r="U1412" i="21"/>
  <c r="X1412" i="21" s="1"/>
  <c r="X1432" i="21"/>
  <c r="U1472" i="21"/>
  <c r="X1472" i="21" s="1"/>
  <c r="X1476" i="21"/>
  <c r="Y1484" i="21"/>
  <c r="Z1484" i="21"/>
  <c r="U1283" i="21"/>
  <c r="U1335" i="21"/>
  <c r="U1354" i="21"/>
  <c r="X1354" i="21" s="1"/>
  <c r="U1365" i="21"/>
  <c r="X1365" i="21" s="1"/>
  <c r="U1415" i="21"/>
  <c r="X1415" i="21" s="1"/>
  <c r="U1458" i="21"/>
  <c r="X1458" i="21" s="1"/>
  <c r="U1462" i="21"/>
  <c r="U1494" i="21"/>
  <c r="X1300" i="21"/>
  <c r="U1315" i="21"/>
  <c r="U1351" i="21"/>
  <c r="Z1356" i="21"/>
  <c r="Y1356" i="21"/>
  <c r="Z1383" i="21"/>
  <c r="Y1383" i="21"/>
  <c r="U1295" i="21"/>
  <c r="U1327" i="21"/>
  <c r="U1349" i="21"/>
  <c r="U1375" i="21"/>
  <c r="U1426" i="21"/>
  <c r="U1430" i="21"/>
  <c r="Z1432" i="21"/>
  <c r="Y1432" i="21"/>
  <c r="Z1439" i="21"/>
  <c r="Y1439" i="21"/>
  <c r="U1471" i="21"/>
  <c r="Z1487" i="21"/>
  <c r="Y1487" i="21"/>
  <c r="X1280" i="21"/>
  <c r="X1296" i="21"/>
  <c r="U1306" i="21"/>
  <c r="U1362" i="21"/>
  <c r="U1373" i="21"/>
  <c r="X1373" i="21" s="1"/>
  <c r="Z1388" i="21"/>
  <c r="U1275" i="21"/>
  <c r="U1291" i="21"/>
  <c r="U1317" i="21"/>
  <c r="U1319" i="21"/>
  <c r="Z1325" i="21"/>
  <c r="U1359" i="21"/>
  <c r="U1394" i="21"/>
  <c r="X1394" i="21" s="1"/>
  <c r="U1398" i="21"/>
  <c r="Z1407" i="21"/>
  <c r="Y1407" i="21"/>
  <c r="Z1461" i="21"/>
  <c r="Y1461" i="21"/>
  <c r="Y1385" i="21"/>
  <c r="Y1417" i="21"/>
  <c r="Y1449" i="21"/>
  <c r="U1502" i="21"/>
  <c r="U1509" i="21"/>
  <c r="X1509" i="21" s="1"/>
  <c r="Z1513" i="21"/>
  <c r="Y1513" i="21"/>
  <c r="X1399" i="21"/>
  <c r="U1402" i="21"/>
  <c r="U1434" i="21"/>
  <c r="U1474" i="21"/>
  <c r="U1516" i="21"/>
  <c r="X1516" i="21" s="1"/>
  <c r="Z1526" i="21"/>
  <c r="Y1526" i="21"/>
  <c r="X1526" i="21"/>
  <c r="U1548" i="21"/>
  <c r="U1609" i="21"/>
  <c r="Z1612" i="21"/>
  <c r="U1634" i="21"/>
  <c r="Y1508" i="21"/>
  <c r="Z1508" i="21"/>
  <c r="Y1533" i="21"/>
  <c r="X1407" i="21"/>
  <c r="X1487" i="21"/>
  <c r="U1488" i="21"/>
  <c r="X1488" i="21" s="1"/>
  <c r="Z1512" i="21"/>
  <c r="Y1512" i="21"/>
  <c r="U1530" i="21"/>
  <c r="X1536" i="21"/>
  <c r="U1469" i="21"/>
  <c r="U1477" i="21"/>
  <c r="X1477" i="21" s="1"/>
  <c r="U1478" i="21"/>
  <c r="U1501" i="21"/>
  <c r="Z1565" i="21"/>
  <c r="Y1565" i="21"/>
  <c r="X1565" i="21"/>
  <c r="U1592" i="21"/>
  <c r="X1592" i="21" s="1"/>
  <c r="U1598" i="21"/>
  <c r="X1598" i="21" s="1"/>
  <c r="U1386" i="21"/>
  <c r="U1450" i="21"/>
  <c r="U1482" i="21"/>
  <c r="Z1529" i="21"/>
  <c r="Y1529" i="21"/>
  <c r="X1529" i="21"/>
  <c r="Z1636" i="21"/>
  <c r="Y1636" i="21"/>
  <c r="T1671" i="21"/>
  <c r="U1671" i="21"/>
  <c r="U1466" i="21"/>
  <c r="X1466" i="21" s="1"/>
  <c r="U1505" i="21"/>
  <c r="U1534" i="21"/>
  <c r="Z1536" i="21"/>
  <c r="Y1536" i="21"/>
  <c r="Y1521" i="21"/>
  <c r="Z1600" i="21"/>
  <c r="U1617" i="21"/>
  <c r="U1645" i="21"/>
  <c r="U1649" i="21"/>
  <c r="X1535" i="21"/>
  <c r="U1585" i="21"/>
  <c r="U1653" i="21"/>
  <c r="X1653" i="21" s="1"/>
  <c r="Y1679" i="21"/>
  <c r="U1584" i="21"/>
  <c r="X1584" i="21" s="1"/>
  <c r="U1606" i="21"/>
  <c r="Z1633" i="21"/>
  <c r="U1638" i="21"/>
  <c r="Y1648" i="21"/>
  <c r="T1663" i="21"/>
  <c r="U1663" i="21"/>
  <c r="T1678" i="21"/>
  <c r="U1678" i="21"/>
  <c r="X1678" i="21" s="1"/>
  <c r="X1695" i="21"/>
  <c r="U1517" i="21"/>
  <c r="U1574" i="21"/>
  <c r="X1574" i="21" s="1"/>
  <c r="X1620" i="21"/>
  <c r="Z1673" i="21"/>
  <c r="Z1732" i="21"/>
  <c r="Y1732" i="21"/>
  <c r="Z1772" i="21"/>
  <c r="U1573" i="21"/>
  <c r="X1573" i="21" s="1"/>
  <c r="Z1647" i="21"/>
  <c r="Y1647" i="21"/>
  <c r="Z1703" i="21"/>
  <c r="T1771" i="21"/>
  <c r="U1837" i="21"/>
  <c r="X1837" i="21" s="1"/>
  <c r="U1566" i="21"/>
  <c r="U1613" i="21"/>
  <c r="X1613" i="21" s="1"/>
  <c r="U1662" i="21"/>
  <c r="T1662" i="21"/>
  <c r="U1559" i="21"/>
  <c r="X1559" i="21" s="1"/>
  <c r="Z1580" i="21"/>
  <c r="Y1580" i="21"/>
  <c r="X1580" i="21"/>
  <c r="X1604" i="21"/>
  <c r="Z1604" i="21"/>
  <c r="U1610" i="21"/>
  <c r="Z1762" i="21"/>
  <c r="Y1762" i="21"/>
  <c r="T1658" i="21"/>
  <c r="Z1661" i="21"/>
  <c r="Y1661" i="21"/>
  <c r="T1667" i="21"/>
  <c r="U1730" i="21"/>
  <c r="X1730" i="21" s="1"/>
  <c r="T1775" i="21"/>
  <c r="U1775" i="21"/>
  <c r="U1795" i="21"/>
  <c r="Z1800" i="21"/>
  <c r="Z1814" i="21"/>
  <c r="W1816" i="21"/>
  <c r="Y1814" i="21"/>
  <c r="W1815" i="21"/>
  <c r="U1582" i="21"/>
  <c r="U1614" i="21"/>
  <c r="U1646" i="21"/>
  <c r="U1669" i="21"/>
  <c r="T1682" i="21"/>
  <c r="Z1688" i="21"/>
  <c r="Y1688" i="21"/>
  <c r="U1692" i="21"/>
  <c r="X1692" i="21" s="1"/>
  <c r="U1711" i="21"/>
  <c r="X1742" i="21"/>
  <c r="Z1743" i="21"/>
  <c r="Y1743" i="21"/>
  <c r="Z1770" i="21"/>
  <c r="Y1770" i="21"/>
  <c r="X1774" i="21"/>
  <c r="T1779" i="21"/>
  <c r="U1847" i="21"/>
  <c r="Y1672" i="21"/>
  <c r="O2715" i="21"/>
  <c r="Z1742" i="21"/>
  <c r="Y1742" i="21"/>
  <c r="Y1761" i="21"/>
  <c r="Z1774" i="21"/>
  <c r="Y1774" i="21"/>
  <c r="T1783" i="21"/>
  <c r="U1783" i="21"/>
  <c r="X1783" i="21" s="1"/>
  <c r="Z1792" i="21"/>
  <c r="Y1792" i="21"/>
  <c r="Z1904" i="21"/>
  <c r="W1906" i="21"/>
  <c r="Y1904" i="21"/>
  <c r="W1905" i="21"/>
  <c r="W1908" i="21"/>
  <c r="W1907" i="21"/>
  <c r="Z1921" i="21"/>
  <c r="U1590" i="21"/>
  <c r="U1622" i="21"/>
  <c r="T1675" i="21"/>
  <c r="T1686" i="21"/>
  <c r="U1686" i="21"/>
  <c r="X1686" i="21" s="1"/>
  <c r="Z1705" i="21"/>
  <c r="Y1705" i="21"/>
  <c r="Y1706" i="21"/>
  <c r="U1740" i="21"/>
  <c r="X1740" i="21" s="1"/>
  <c r="T1755" i="21"/>
  <c r="X1782" i="21"/>
  <c r="U1799" i="21"/>
  <c r="X1799" i="21" s="1"/>
  <c r="W1810" i="21"/>
  <c r="Y1734" i="21"/>
  <c r="X1746" i="21"/>
  <c r="Y1751" i="21"/>
  <c r="X1751" i="21"/>
  <c r="T1759" i="21"/>
  <c r="Y1760" i="21"/>
  <c r="Z1769" i="21"/>
  <c r="Y1769" i="21"/>
  <c r="Z1782" i="21"/>
  <c r="Y1782" i="21"/>
  <c r="T1674" i="21"/>
  <c r="U1674" i="21"/>
  <c r="Z1680" i="21"/>
  <c r="Y1680" i="21"/>
  <c r="X1703" i="21"/>
  <c r="T1763" i="21"/>
  <c r="U1763" i="21"/>
  <c r="U1788" i="21"/>
  <c r="X1788" i="21" s="1"/>
  <c r="U1791" i="21"/>
  <c r="Z1796" i="21"/>
  <c r="Y1798" i="21"/>
  <c r="W1822" i="21"/>
  <c r="U1829" i="21"/>
  <c r="U1830" i="21"/>
  <c r="X1862" i="21"/>
  <c r="U1864" i="21"/>
  <c r="Z1632" i="21"/>
  <c r="Y1733" i="21"/>
  <c r="U1739" i="21"/>
  <c r="X1762" i="21"/>
  <c r="T1767" i="21"/>
  <c r="U1767" i="21"/>
  <c r="X1767" i="21" s="1"/>
  <c r="X1768" i="21"/>
  <c r="H1856" i="21"/>
  <c r="J1856" i="21" s="1"/>
  <c r="U1831" i="21"/>
  <c r="U1868" i="21"/>
  <c r="X1904" i="21"/>
  <c r="U1797" i="21"/>
  <c r="U1801" i="21"/>
  <c r="U1832" i="21"/>
  <c r="Z1839" i="21"/>
  <c r="Z1845" i="21"/>
  <c r="Y1892" i="21"/>
  <c r="U1925" i="21"/>
  <c r="U1853" i="21"/>
  <c r="W1891" i="21"/>
  <c r="O2716" i="21"/>
  <c r="U1823" i="21"/>
  <c r="W1918" i="21"/>
  <c r="H1925" i="21"/>
  <c r="J1925" i="21" s="1"/>
  <c r="W1889" i="21"/>
  <c r="U1957" i="21"/>
  <c r="H1997" i="21"/>
  <c r="J1997" i="21" s="1"/>
  <c r="W2032" i="21"/>
  <c r="Y1977" i="21"/>
  <c r="W2004" i="21"/>
  <c r="Z1977" i="21"/>
  <c r="Z2013" i="21"/>
  <c r="U1880" i="21"/>
  <c r="U1909" i="21"/>
  <c r="X1989" i="21"/>
  <c r="H2001" i="21"/>
  <c r="J2001" i="21" s="1"/>
  <c r="Y1989" i="21"/>
  <c r="Z1989" i="21"/>
  <c r="W2003" i="21"/>
  <c r="Z2001" i="21"/>
  <c r="U2009" i="21"/>
  <c r="X2049" i="21"/>
  <c r="H2057" i="21"/>
  <c r="J2057" i="21" s="1"/>
  <c r="Y2128" i="21"/>
  <c r="W2129" i="21"/>
  <c r="H2168" i="21"/>
  <c r="J2168" i="21" s="1"/>
  <c r="Y2049" i="21"/>
  <c r="W2050" i="21"/>
  <c r="Z2049" i="21"/>
  <c r="H2089" i="21"/>
  <c r="J2089" i="21" s="1"/>
  <c r="Z2105" i="21"/>
  <c r="X2133" i="21"/>
  <c r="W2142" i="21"/>
  <c r="W2135" i="21"/>
  <c r="Z2133" i="21"/>
  <c r="W2137" i="21"/>
  <c r="H2025" i="21"/>
  <c r="J2025" i="21" s="1"/>
  <c r="X2093" i="21"/>
  <c r="W2136" i="21"/>
  <c r="X2177" i="21"/>
  <c r="W2094" i="21"/>
  <c r="W2134" i="21"/>
  <c r="Y2153" i="21"/>
  <c r="U2089" i="21"/>
  <c r="Y2133" i="21"/>
  <c r="X2138" i="21"/>
  <c r="W2139" i="21"/>
  <c r="Z2113" i="21"/>
  <c r="X2128" i="21"/>
  <c r="W2132" i="21"/>
  <c r="W2130" i="21"/>
  <c r="W2131" i="21"/>
  <c r="W2147" i="21"/>
  <c r="Y2174" i="21"/>
  <c r="H2222" i="21"/>
  <c r="J2222" i="21" s="1"/>
  <c r="H2240" i="21"/>
  <c r="J2240" i="21" s="1"/>
  <c r="W2368" i="21"/>
  <c r="U2168" i="21"/>
  <c r="Z2174" i="21"/>
  <c r="W2175" i="21"/>
  <c r="U2180" i="21"/>
  <c r="U2192" i="21"/>
  <c r="H2153" i="21"/>
  <c r="J2153" i="21" s="1"/>
  <c r="H2174" i="21"/>
  <c r="J2174" i="21" s="1"/>
  <c r="W2176" i="21"/>
  <c r="H2186" i="21"/>
  <c r="J2186" i="21" s="1"/>
  <c r="U2216" i="21"/>
  <c r="X2216" i="21" s="1"/>
  <c r="W2265" i="21"/>
  <c r="Y2378" i="21"/>
  <c r="Z2378" i="21"/>
  <c r="W2179" i="21"/>
  <c r="W2178" i="21"/>
  <c r="X2204" i="21"/>
  <c r="X2174" i="21"/>
  <c r="H2252" i="21"/>
  <c r="J2252" i="21" s="1"/>
  <c r="H2318" i="21"/>
  <c r="J2318" i="21" s="1"/>
  <c r="J2348" i="21"/>
  <c r="H2366" i="21"/>
  <c r="J2366" i="21" s="1"/>
  <c r="H2378" i="21"/>
  <c r="J2378" i="21" s="1"/>
  <c r="Z2384" i="21"/>
  <c r="W2385" i="21"/>
  <c r="H2390" i="21"/>
  <c r="J2390" i="21" s="1"/>
  <c r="H2282" i="21"/>
  <c r="J2282" i="21" s="1"/>
  <c r="J2312" i="21"/>
  <c r="H2324" i="21"/>
  <c r="J2324" i="21" s="1"/>
  <c r="W2356" i="21"/>
  <c r="W2271" i="21"/>
  <c r="Z2270" i="21"/>
  <c r="W2273" i="21"/>
  <c r="W2275" i="21"/>
  <c r="W2272" i="21"/>
  <c r="W2274" i="21"/>
  <c r="H2330" i="21"/>
  <c r="J2330" i="21" s="1"/>
  <c r="H2372" i="21"/>
  <c r="J2372" i="21" s="1"/>
  <c r="Y2270" i="21"/>
  <c r="Y2288" i="21"/>
  <c r="H2336" i="21"/>
  <c r="J2336" i="21" s="1"/>
  <c r="X2360" i="21"/>
  <c r="H2288" i="21"/>
  <c r="J2288" i="21" s="1"/>
  <c r="H2294" i="21"/>
  <c r="J2294" i="21" s="1"/>
  <c r="W2302" i="21"/>
  <c r="W2304" i="21"/>
  <c r="W2301" i="21"/>
  <c r="J2264" i="21"/>
  <c r="W2352" i="21"/>
  <c r="H2258" i="21"/>
  <c r="J2258" i="21" s="1"/>
  <c r="J2384" i="21"/>
  <c r="Z2426" i="21"/>
  <c r="H2426" i="21"/>
  <c r="J2426" i="21" s="1"/>
  <c r="H2450" i="21"/>
  <c r="J2450" i="21" s="1"/>
  <c r="W2296" i="21"/>
  <c r="W2403" i="21"/>
  <c r="X2402" i="21"/>
  <c r="J2396" i="21"/>
  <c r="Y2408" i="21"/>
  <c r="W2411" i="21"/>
  <c r="H2420" i="21"/>
  <c r="J2420" i="21" s="1"/>
  <c r="Z2407" i="21"/>
  <c r="Y2407" i="21"/>
  <c r="X2407" i="21"/>
  <c r="Y2294" i="21"/>
  <c r="J2354" i="21"/>
  <c r="Z2294" i="21"/>
  <c r="Z2318" i="21"/>
  <c r="X2638" i="21"/>
  <c r="J2402" i="21"/>
  <c r="W2405" i="21"/>
  <c r="J2414" i="21"/>
  <c r="X2414" i="21"/>
  <c r="H2498" i="21"/>
  <c r="J2498" i="21" s="1"/>
  <c r="H2510" i="21"/>
  <c r="J2510" i="21" s="1"/>
  <c r="Z2516" i="21"/>
  <c r="W2520" i="21"/>
  <c r="Y2516" i="21"/>
  <c r="Y2402" i="21"/>
  <c r="W2439" i="21"/>
  <c r="U2468" i="21"/>
  <c r="H2462" i="21"/>
  <c r="J2462" i="21" s="1"/>
  <c r="H2474" i="21"/>
  <c r="J2474" i="21" s="1"/>
  <c r="U2432" i="21"/>
  <c r="X2432" i="21" s="1"/>
  <c r="H2522" i="21"/>
  <c r="J2522" i="21" s="1"/>
  <c r="H2552" i="21"/>
  <c r="J2552" i="21" s="1"/>
  <c r="H2528" i="21"/>
  <c r="J2528" i="21" s="1"/>
  <c r="H2534" i="21"/>
  <c r="J2534" i="21" s="1"/>
  <c r="J2546" i="21"/>
  <c r="Z2608" i="21"/>
  <c r="Y2608" i="21"/>
  <c r="X2608" i="21"/>
  <c r="W2595" i="21"/>
  <c r="W2597" i="21"/>
  <c r="Z2594" i="21"/>
  <c r="Y2594" i="21"/>
  <c r="Z2660" i="21"/>
  <c r="Z2564" i="21"/>
  <c r="Z2631" i="21"/>
  <c r="Y2631" i="21"/>
  <c r="Z2639" i="21"/>
  <c r="Y2639" i="21"/>
  <c r="Z2643" i="21"/>
  <c r="Y2643" i="21"/>
  <c r="U2576" i="21"/>
  <c r="Y2665" i="21"/>
  <c r="I2570" i="21"/>
  <c r="G2572" i="21"/>
  <c r="H2572" i="21" s="1"/>
  <c r="H2570" i="21" s="1"/>
  <c r="G2583" i="21"/>
  <c r="H2583" i="21" s="1"/>
  <c r="G2585" i="21"/>
  <c r="H2585" i="21" s="1"/>
  <c r="I2594" i="21"/>
  <c r="G2596" i="21"/>
  <c r="H2596" i="21" s="1"/>
  <c r="Y2606" i="21"/>
  <c r="W2607" i="21"/>
  <c r="G2623" i="21"/>
  <c r="H2623" i="21" s="1"/>
  <c r="G2621" i="21"/>
  <c r="H2621" i="21" s="1"/>
  <c r="G2619" i="21"/>
  <c r="H2619" i="21" s="1"/>
  <c r="G2620" i="21"/>
  <c r="H2620" i="21" s="1"/>
  <c r="G2625" i="21"/>
  <c r="H2625" i="21" s="1"/>
  <c r="G2627" i="21"/>
  <c r="H2627" i="21" s="1"/>
  <c r="Z2632" i="21"/>
  <c r="Y2632" i="21"/>
  <c r="Z2642" i="21"/>
  <c r="T2645" i="21"/>
  <c r="Z2679" i="21"/>
  <c r="Y2679" i="21"/>
  <c r="T2684" i="21"/>
  <c r="U2700" i="21"/>
  <c r="X2700" i="21" s="1"/>
  <c r="T2700" i="21"/>
  <c r="I2618" i="21"/>
  <c r="G2622" i="21"/>
  <c r="H2622" i="21" s="1"/>
  <c r="X2631" i="21"/>
  <c r="U2636" i="21"/>
  <c r="Y2642" i="21"/>
  <c r="T2649" i="21"/>
  <c r="Y2663" i="21"/>
  <c r="U2669" i="21"/>
  <c r="G2578" i="21"/>
  <c r="H2578" i="21" s="1"/>
  <c r="H2576" i="21" s="1"/>
  <c r="G2589" i="21"/>
  <c r="H2589" i="21" s="1"/>
  <c r="G2591" i="21"/>
  <c r="H2591" i="21" s="1"/>
  <c r="G2593" i="21"/>
  <c r="H2593" i="21" s="1"/>
  <c r="G2604" i="21"/>
  <c r="H2604" i="21" s="1"/>
  <c r="G2602" i="21"/>
  <c r="H2602" i="21" s="1"/>
  <c r="G2628" i="21"/>
  <c r="H2628" i="21" s="1"/>
  <c r="G2626" i="21"/>
  <c r="H2626" i="21" s="1"/>
  <c r="I2624" i="21"/>
  <c r="T2653" i="21"/>
  <c r="Y2655" i="21"/>
  <c r="Z2683" i="21"/>
  <c r="Y2683" i="21"/>
  <c r="U2688" i="21"/>
  <c r="X2688" i="21" s="1"/>
  <c r="T2688" i="21"/>
  <c r="T2704" i="21"/>
  <c r="W2609" i="21"/>
  <c r="Y2697" i="21"/>
  <c r="X2624" i="21"/>
  <c r="U2648" i="21"/>
  <c r="X2648" i="21" s="1"/>
  <c r="U2692" i="21"/>
  <c r="X2692" i="21" s="1"/>
  <c r="T2692" i="21"/>
  <c r="Z2703" i="21"/>
  <c r="Y2703" i="21"/>
  <c r="X2703" i="21"/>
  <c r="Y2624" i="21"/>
  <c r="W2628" i="21"/>
  <c r="W2626" i="21"/>
  <c r="Z2635" i="21"/>
  <c r="Y2685" i="21"/>
  <c r="I2588" i="21"/>
  <c r="G2590" i="21"/>
  <c r="H2590" i="21" s="1"/>
  <c r="W2610" i="21"/>
  <c r="Z2606" i="21"/>
  <c r="T2637" i="21"/>
  <c r="U2656" i="21"/>
  <c r="U2666" i="21"/>
  <c r="T2680" i="21"/>
  <c r="T2696" i="21"/>
  <c r="T2632" i="21"/>
  <c r="T2636" i="21"/>
  <c r="T2640" i="21"/>
  <c r="T2644" i="21"/>
  <c r="T2648" i="21"/>
  <c r="T2652" i="21"/>
  <c r="T2656" i="21"/>
  <c r="T2660" i="21"/>
  <c r="G2613" i="21"/>
  <c r="H2613" i="21" s="1"/>
  <c r="G2615" i="21"/>
  <c r="H2615" i="21" s="1"/>
  <c r="T2677" i="21"/>
  <c r="T2681" i="21"/>
  <c r="T2685" i="21"/>
  <c r="T2689" i="21"/>
  <c r="T2693" i="21"/>
  <c r="T2697" i="21"/>
  <c r="T2701" i="21"/>
  <c r="T2705" i="21"/>
  <c r="X2163" i="24" l="1"/>
  <c r="W2164" i="24"/>
  <c r="W2166" i="24"/>
  <c r="X2462" i="24"/>
  <c r="W2463" i="24"/>
  <c r="W2464" i="24"/>
  <c r="W2170" i="24"/>
  <c r="W2172" i="24"/>
  <c r="W2173" i="24"/>
  <c r="X2168" i="24"/>
  <c r="Z2330" i="24"/>
  <c r="W2335" i="24"/>
  <c r="Y2330" i="24"/>
  <c r="W2223" i="24"/>
  <c r="W2227" i="24"/>
  <c r="X2123" i="24"/>
  <c r="W2126" i="24"/>
  <c r="W2568" i="24"/>
  <c r="W2565" i="24"/>
  <c r="W2567" i="24"/>
  <c r="X1961" i="24"/>
  <c r="Y1961" i="24"/>
  <c r="W1963" i="24"/>
  <c r="W1964" i="24"/>
  <c r="X1628" i="24"/>
  <c r="Z1628" i="24"/>
  <c r="Z1472" i="24"/>
  <c r="Y1472" i="24"/>
  <c r="X1424" i="24"/>
  <c r="Y1424" i="24"/>
  <c r="Z1424" i="24"/>
  <c r="W2461" i="24"/>
  <c r="Z2456" i="24"/>
  <c r="X1452" i="24"/>
  <c r="Z1452" i="24"/>
  <c r="X1420" i="24"/>
  <c r="Y1420" i="24"/>
  <c r="Z1420" i="24"/>
  <c r="Z1772" i="24"/>
  <c r="Y1772" i="24"/>
  <c r="Z1335" i="24"/>
  <c r="X1335" i="24"/>
  <c r="Y1335" i="24"/>
  <c r="Z1002" i="24"/>
  <c r="Y1002" i="24"/>
  <c r="Z1205" i="24"/>
  <c r="Y1205" i="24"/>
  <c r="W678" i="24"/>
  <c r="W679" i="24"/>
  <c r="X674" i="24"/>
  <c r="Z674" i="24"/>
  <c r="Z929" i="24"/>
  <c r="X929" i="24"/>
  <c r="Z907" i="24"/>
  <c r="Y907" i="24"/>
  <c r="Z1195" i="24"/>
  <c r="Y1195" i="24"/>
  <c r="X582" i="24"/>
  <c r="Z582" i="24"/>
  <c r="X722" i="24"/>
  <c r="Z722" i="24"/>
  <c r="X448" i="24"/>
  <c r="W452" i="24"/>
  <c r="Y848" i="24"/>
  <c r="Z848" i="24"/>
  <c r="Z49" i="24"/>
  <c r="Y49" i="24"/>
  <c r="Z1929" i="23"/>
  <c r="Y1929" i="23"/>
  <c r="W2083" i="23"/>
  <c r="X2081" i="23"/>
  <c r="W2082" i="23"/>
  <c r="Y2081" i="23"/>
  <c r="Z2081" i="23"/>
  <c r="X1203" i="23"/>
  <c r="X1704" i="23"/>
  <c r="Z1704" i="23"/>
  <c r="Y1704" i="23"/>
  <c r="Z1663" i="23"/>
  <c r="Y1663" i="23"/>
  <c r="W1873" i="23"/>
  <c r="X1732" i="23"/>
  <c r="X1663" i="23"/>
  <c r="Z1585" i="23"/>
  <c r="Y1610" i="23"/>
  <c r="X1425" i="23"/>
  <c r="X1393" i="23"/>
  <c r="X1299" i="23"/>
  <c r="Y1393" i="23"/>
  <c r="W539" i="23"/>
  <c r="X909" i="23"/>
  <c r="Z218" i="23"/>
  <c r="Z150" i="23"/>
  <c r="X1499" i="24"/>
  <c r="X1607" i="23"/>
  <c r="X1409" i="22"/>
  <c r="X134" i="24"/>
  <c r="X2612" i="23"/>
  <c r="X2640" i="23"/>
  <c r="W2345" i="23"/>
  <c r="W2344" i="23"/>
  <c r="W2006" i="23"/>
  <c r="W1874" i="23"/>
  <c r="Y1666" i="23"/>
  <c r="Z1610" i="23"/>
  <c r="X1429" i="23"/>
  <c r="X1223" i="23"/>
  <c r="X1159" i="23"/>
  <c r="Z1287" i="23"/>
  <c r="X851" i="23"/>
  <c r="Y987" i="23"/>
  <c r="X93" i="23"/>
  <c r="W151" i="23"/>
  <c r="W2110" i="23"/>
  <c r="X83" i="22"/>
  <c r="Z600" i="22"/>
  <c r="X1230" i="24"/>
  <c r="Z2005" i="23"/>
  <c r="X2009" i="23"/>
  <c r="Y2342" i="23"/>
  <c r="Z2342" i="23"/>
  <c r="Z1635" i="23"/>
  <c r="Z1619" i="23"/>
  <c r="X1427" i="23"/>
  <c r="X1381" i="23"/>
  <c r="X1360" i="23"/>
  <c r="X1312" i="23"/>
  <c r="X1125" i="23"/>
  <c r="Z1351" i="23"/>
  <c r="X735" i="23"/>
  <c r="X72" i="23"/>
  <c r="X203" i="23"/>
  <c r="Z987" i="23"/>
  <c r="X1494" i="24"/>
  <c r="X1033" i="24"/>
  <c r="X1151" i="24"/>
  <c r="X1252" i="24"/>
  <c r="X955" i="24"/>
  <c r="W2167" i="23"/>
  <c r="X287" i="23"/>
  <c r="W2413" i="21"/>
  <c r="X2640" i="21"/>
  <c r="X239" i="21"/>
  <c r="X1798" i="21"/>
  <c r="W2460" i="24"/>
  <c r="W276" i="24"/>
  <c r="X1695" i="23"/>
  <c r="X628" i="23"/>
  <c r="X1732" i="21"/>
  <c r="X1180" i="21"/>
  <c r="X996" i="21"/>
  <c r="W596" i="21"/>
  <c r="X113" i="24"/>
  <c r="X1221" i="21"/>
  <c r="X1582" i="23"/>
  <c r="X1439" i="21"/>
  <c r="W1980" i="24"/>
  <c r="W2015" i="23"/>
  <c r="X771" i="24"/>
  <c r="W2542" i="21"/>
  <c r="X2697" i="21"/>
  <c r="X238" i="23"/>
  <c r="X120" i="23"/>
  <c r="X754" i="23"/>
  <c r="W190" i="23"/>
  <c r="X633" i="23"/>
  <c r="Z229" i="21"/>
  <c r="X229" i="21"/>
  <c r="W2088" i="21"/>
  <c r="X2085" i="21"/>
  <c r="W2087" i="21"/>
  <c r="W2086" i="21"/>
  <c r="Y2085" i="21"/>
  <c r="Z2085" i="21"/>
  <c r="X1309" i="21"/>
  <c r="Z1309" i="21"/>
  <c r="Y1309" i="21"/>
  <c r="X622" i="21"/>
  <c r="Z622" i="21"/>
  <c r="Y622" i="21"/>
  <c r="W2616" i="21"/>
  <c r="Y2612" i="21"/>
  <c r="W2617" i="21"/>
  <c r="W2615" i="21"/>
  <c r="W2613" i="21"/>
  <c r="Z2612" i="21"/>
  <c r="X2612" i="21"/>
  <c r="Z1596" i="21"/>
  <c r="Y1596" i="21"/>
  <c r="X1596" i="21"/>
  <c r="Z448" i="21"/>
  <c r="W452" i="21"/>
  <c r="Y448" i="21"/>
  <c r="X448" i="21"/>
  <c r="W451" i="21"/>
  <c r="W450" i="21"/>
  <c r="Z224" i="21"/>
  <c r="Y224" i="21"/>
  <c r="X224" i="21"/>
  <c r="Y1222" i="21"/>
  <c r="Z1222" i="21"/>
  <c r="X1222" i="21"/>
  <c r="X252" i="21"/>
  <c r="Y252" i="21"/>
  <c r="X1616" i="21"/>
  <c r="Z1616" i="21"/>
  <c r="Y1616" i="21"/>
  <c r="Y1735" i="21"/>
  <c r="Z1735" i="21"/>
  <c r="Y1255" i="21"/>
  <c r="X1255" i="21"/>
  <c r="Y1479" i="21"/>
  <c r="Z1479" i="21"/>
  <c r="Y2414" i="21"/>
  <c r="Y1768" i="21"/>
  <c r="X770" i="21"/>
  <c r="Y954" i="21"/>
  <c r="X532" i="21"/>
  <c r="Z93" i="21"/>
  <c r="X515" i="21"/>
  <c r="W594" i="21"/>
  <c r="X751" i="21"/>
  <c r="W2052" i="21"/>
  <c r="Z2052" i="21" s="1"/>
  <c r="W2108" i="21"/>
  <c r="Y1993" i="21"/>
  <c r="X1662" i="21"/>
  <c r="Y1420" i="21"/>
  <c r="Z1040" i="21"/>
  <c r="Z770" i="21"/>
  <c r="W535" i="21"/>
  <c r="X529" i="21"/>
  <c r="Y196" i="21"/>
  <c r="X80" i="21"/>
  <c r="Y2706" i="21"/>
  <c r="W2106" i="21"/>
  <c r="X2105" i="21"/>
  <c r="Z1838" i="21"/>
  <c r="X1040" i="21"/>
  <c r="Z532" i="21"/>
  <c r="X513" i="21"/>
  <c r="W410" i="21"/>
  <c r="Y80" i="21"/>
  <c r="X2324" i="21"/>
  <c r="X997" i="21"/>
  <c r="X2681" i="21"/>
  <c r="X1426" i="21"/>
  <c r="Y1034" i="21"/>
  <c r="X593" i="21"/>
  <c r="W533" i="21"/>
  <c r="W595" i="21"/>
  <c r="X1679" i="21"/>
  <c r="X219" i="21"/>
  <c r="Y2681" i="21"/>
  <c r="Y1685" i="21"/>
  <c r="Y1427" i="21"/>
  <c r="X571" i="21"/>
  <c r="Y571" i="21"/>
  <c r="W411" i="21"/>
  <c r="Z1043" i="21"/>
  <c r="X860" i="21"/>
  <c r="W2412" i="21"/>
  <c r="Y1811" i="21"/>
  <c r="Y1515" i="21"/>
  <c r="Y200" i="21"/>
  <c r="Y241" i="21"/>
  <c r="X1063" i="21"/>
  <c r="Y751" i="21"/>
  <c r="X241" i="21"/>
  <c r="X1103" i="21"/>
  <c r="X1501" i="21"/>
  <c r="X1055" i="21"/>
  <c r="X1754" i="21"/>
  <c r="X1528" i="21"/>
  <c r="W1859" i="21"/>
  <c r="X2444" i="21"/>
  <c r="X2643" i="21"/>
  <c r="Z1511" i="21"/>
  <c r="X2646" i="21"/>
  <c r="W2111" i="21"/>
  <c r="Y1009" i="21"/>
  <c r="Z2646" i="21"/>
  <c r="Y2148" i="21"/>
  <c r="X2148" i="21"/>
  <c r="Z1009" i="21"/>
  <c r="Y934" i="21"/>
  <c r="X506" i="21"/>
  <c r="W2149" i="21"/>
  <c r="Y2109" i="21"/>
  <c r="Y1764" i="21"/>
  <c r="Y1001" i="21"/>
  <c r="Z937" i="21"/>
  <c r="Z506" i="21"/>
  <c r="X1633" i="21"/>
  <c r="Z2222" i="21"/>
  <c r="Z2148" i="21"/>
  <c r="W2110" i="21"/>
  <c r="Y1307" i="21"/>
  <c r="X1307" i="21"/>
  <c r="Z1001" i="21"/>
  <c r="X937" i="21"/>
  <c r="W172" i="21"/>
  <c r="X2695" i="21"/>
  <c r="X2660" i="21"/>
  <c r="J2576" i="21"/>
  <c r="W2151" i="21"/>
  <c r="Y1766" i="21"/>
  <c r="Y171" i="21"/>
  <c r="X1290" i="21"/>
  <c r="X762" i="21"/>
  <c r="X2632" i="21"/>
  <c r="X1685" i="21"/>
  <c r="W1990" i="21"/>
  <c r="W1984" i="21"/>
  <c r="W2297" i="21"/>
  <c r="X934" i="21"/>
  <c r="W2416" i="21"/>
  <c r="W1893" i="21"/>
  <c r="W2519" i="21"/>
  <c r="X1764" i="21"/>
  <c r="X1636" i="21"/>
  <c r="X1508" i="21"/>
  <c r="X39" i="21"/>
  <c r="X118" i="21"/>
  <c r="X82" i="21"/>
  <c r="X1272" i="21"/>
  <c r="X710" i="21"/>
  <c r="Y870" i="21"/>
  <c r="Z171" i="21"/>
  <c r="Z829" i="21"/>
  <c r="Y829" i="21"/>
  <c r="X829" i="21"/>
  <c r="X1361" i="21"/>
  <c r="Z1361" i="21"/>
  <c r="Y1361" i="21"/>
  <c r="X2256" i="21"/>
  <c r="Y2256" i="21"/>
  <c r="Z1900" i="21"/>
  <c r="Y1900" i="21"/>
  <c r="W1901" i="21"/>
  <c r="Y1901" i="21" s="1"/>
  <c r="W1902" i="21"/>
  <c r="X1900" i="21"/>
  <c r="W1903" i="21"/>
  <c r="W376" i="21"/>
  <c r="W375" i="21"/>
  <c r="Z1693" i="21"/>
  <c r="Y1693" i="21"/>
  <c r="X1693" i="21"/>
  <c r="Y135" i="21"/>
  <c r="X135" i="21"/>
  <c r="Y110" i="21"/>
  <c r="Z110" i="21"/>
  <c r="Y489" i="21"/>
  <c r="X489" i="21"/>
  <c r="Z489" i="21"/>
  <c r="Z839" i="21"/>
  <c r="Y839" i="21"/>
  <c r="X839" i="21"/>
  <c r="X1264" i="21"/>
  <c r="Z1264" i="21"/>
  <c r="Y1264" i="21"/>
  <c r="X74" i="21"/>
  <c r="Y74" i="21"/>
  <c r="Z1106" i="21"/>
  <c r="X1106" i="21"/>
  <c r="Y1106" i="21"/>
  <c r="X1772" i="21"/>
  <c r="Z1425" i="21"/>
  <c r="X1436" i="21"/>
  <c r="Y1339" i="21"/>
  <c r="Z944" i="21"/>
  <c r="Y953" i="21"/>
  <c r="W714" i="21"/>
  <c r="Y600" i="21"/>
  <c r="Y353" i="21"/>
  <c r="Y2661" i="21"/>
  <c r="Z2663" i="21"/>
  <c r="W2353" i="21"/>
  <c r="Y2242" i="21"/>
  <c r="X1981" i="21"/>
  <c r="X1876" i="21"/>
  <c r="X1892" i="21"/>
  <c r="Z1862" i="21"/>
  <c r="W2517" i="21"/>
  <c r="Z2348" i="21"/>
  <c r="Y1828" i="21"/>
  <c r="W1878" i="21"/>
  <c r="X1562" i="21"/>
  <c r="Z1480" i="21"/>
  <c r="Z1436" i="21"/>
  <c r="Y793" i="21"/>
  <c r="Z821" i="21"/>
  <c r="W715" i="21"/>
  <c r="Z52" i="21"/>
  <c r="Y132" i="21"/>
  <c r="X61" i="21"/>
  <c r="X1282" i="21"/>
  <c r="W1895" i="21"/>
  <c r="X1615" i="21"/>
  <c r="X776" i="21"/>
  <c r="Y721" i="21"/>
  <c r="X40" i="21"/>
  <c r="X132" i="21"/>
  <c r="X1397" i="21"/>
  <c r="Z1147" i="21"/>
  <c r="W2521" i="21"/>
  <c r="X1471" i="21"/>
  <c r="W2518" i="21"/>
  <c r="W2350" i="21"/>
  <c r="Z2143" i="21"/>
  <c r="W1894" i="21"/>
  <c r="W1879" i="21"/>
  <c r="X1652" i="21"/>
  <c r="Z1562" i="21"/>
  <c r="X1198" i="21"/>
  <c r="X964" i="21"/>
  <c r="Y566" i="21"/>
  <c r="X1022" i="21"/>
  <c r="X579" i="21"/>
  <c r="Z721" i="21"/>
  <c r="Y40" i="21"/>
  <c r="Z1535" i="21"/>
  <c r="Z728" i="21"/>
  <c r="X1213" i="21"/>
  <c r="W1991" i="21"/>
  <c r="Z1876" i="21"/>
  <c r="X1480" i="21"/>
  <c r="X1130" i="21"/>
  <c r="W2351" i="21"/>
  <c r="W2298" i="21"/>
  <c r="W1863" i="21"/>
  <c r="Z1860" i="21"/>
  <c r="Y1876" i="21"/>
  <c r="Y1676" i="21"/>
  <c r="Y1652" i="21"/>
  <c r="Z1396" i="21"/>
  <c r="X1445" i="21"/>
  <c r="X1308" i="21"/>
  <c r="Z1308" i="21"/>
  <c r="Y1130" i="21"/>
  <c r="X1032" i="21"/>
  <c r="X858" i="21"/>
  <c r="Z566" i="21"/>
  <c r="Y1022" i="21"/>
  <c r="X488" i="21"/>
  <c r="Y776" i="21"/>
  <c r="X353" i="21"/>
  <c r="W1721" i="21"/>
  <c r="X2348" i="21"/>
  <c r="X1133" i="21"/>
  <c r="Y728" i="21"/>
  <c r="X1199" i="21"/>
  <c r="X1356" i="21"/>
  <c r="Z2480" i="21"/>
  <c r="Y1860" i="21"/>
  <c r="Z1676" i="21"/>
  <c r="X1612" i="21"/>
  <c r="Y1445" i="21"/>
  <c r="Y1397" i="21"/>
  <c r="X1339" i="21"/>
  <c r="Y1064" i="21"/>
  <c r="Z1128" i="21"/>
  <c r="W712" i="21"/>
  <c r="W711" i="21"/>
  <c r="Y858" i="21"/>
  <c r="X193" i="21"/>
  <c r="Y30" i="21"/>
  <c r="Z34" i="21"/>
  <c r="X1512" i="21"/>
  <c r="Z1199" i="21"/>
  <c r="X516" i="21"/>
  <c r="Y730" i="21"/>
  <c r="W1992" i="21"/>
  <c r="X2516" i="21"/>
  <c r="W2415" i="21"/>
  <c r="W2349" i="21"/>
  <c r="X2480" i="21"/>
  <c r="W2485" i="21"/>
  <c r="W1861" i="21"/>
  <c r="Y1796" i="21"/>
  <c r="X1706" i="21"/>
  <c r="X1775" i="21"/>
  <c r="X1597" i="21"/>
  <c r="X1100" i="21"/>
  <c r="W2157" i="21"/>
  <c r="X730" i="21"/>
  <c r="X1500" i="21"/>
  <c r="X494" i="21"/>
  <c r="X884" i="21"/>
  <c r="X1694" i="24"/>
  <c r="X777" i="24"/>
  <c r="X207" i="24"/>
  <c r="X2474" i="24"/>
  <c r="W428" i="24"/>
  <c r="Y428" i="24" s="1"/>
  <c r="W1999" i="24"/>
  <c r="X2649" i="24"/>
  <c r="W2577" i="24"/>
  <c r="W2070" i="24"/>
  <c r="X1407" i="24"/>
  <c r="W198" i="24"/>
  <c r="X1109" i="24"/>
  <c r="X870" i="24"/>
  <c r="X1387" i="21"/>
  <c r="X1160" i="21"/>
  <c r="X848" i="21"/>
  <c r="W2146" i="21"/>
  <c r="W679" i="21"/>
  <c r="W2554" i="21"/>
  <c r="X1301" i="21"/>
  <c r="X2653" i="21"/>
  <c r="W2321" i="21"/>
  <c r="X734" i="21"/>
  <c r="W2392" i="21"/>
  <c r="W2565" i="21"/>
  <c r="X1420" i="21"/>
  <c r="X2684" i="21"/>
  <c r="X1484" i="21"/>
  <c r="X496" i="21"/>
  <c r="X184" i="21"/>
  <c r="Z778" i="21"/>
  <c r="X778" i="21"/>
  <c r="Y778" i="21"/>
  <c r="Z2510" i="21"/>
  <c r="W2514" i="21"/>
  <c r="W2513" i="21"/>
  <c r="W2512" i="21"/>
  <c r="W2515" i="21"/>
  <c r="W2535" i="21"/>
  <c r="W2538" i="21"/>
  <c r="X2534" i="21"/>
  <c r="Z2534" i="21"/>
  <c r="W2537" i="21"/>
  <c r="Y2534" i="21"/>
  <c r="W2539" i="21"/>
  <c r="W2536" i="21"/>
  <c r="Z1062" i="21"/>
  <c r="Y1062" i="21"/>
  <c r="X1062" i="21"/>
  <c r="Y577" i="21"/>
  <c r="Z577" i="21"/>
  <c r="X950" i="21"/>
  <c r="Z950" i="21"/>
  <c r="Y950" i="21"/>
  <c r="Y244" i="21"/>
  <c r="Z244" i="21"/>
  <c r="X1504" i="21"/>
  <c r="Z1504" i="21"/>
  <c r="Y1504" i="21"/>
  <c r="Z888" i="21"/>
  <c r="X888" i="21"/>
  <c r="Y888" i="21"/>
  <c r="W2568" i="21"/>
  <c r="W2362" i="21"/>
  <c r="W2323" i="21"/>
  <c r="W2015" i="21"/>
  <c r="Z1808" i="21"/>
  <c r="Y1719" i="21"/>
  <c r="Z1672" i="21"/>
  <c r="Z1515" i="21"/>
  <c r="Y1161" i="21"/>
  <c r="Z1125" i="21"/>
  <c r="X1144" i="21"/>
  <c r="X1079" i="21"/>
  <c r="Z1016" i="21"/>
  <c r="Y771" i="21"/>
  <c r="X856" i="21"/>
  <c r="X656" i="21"/>
  <c r="Z1103" i="21"/>
  <c r="X597" i="21"/>
  <c r="W2394" i="21"/>
  <c r="X2394" i="21" s="1"/>
  <c r="X1060" i="21"/>
  <c r="X1285" i="21"/>
  <c r="Y1059" i="21"/>
  <c r="W2602" i="21"/>
  <c r="W2567" i="21"/>
  <c r="W2557" i="21"/>
  <c r="W2363" i="21"/>
  <c r="W2016" i="21"/>
  <c r="Y1655" i="21"/>
  <c r="X1645" i="21"/>
  <c r="Y1224" i="21"/>
  <c r="Y1364" i="21"/>
  <c r="X1016" i="21"/>
  <c r="Y825" i="21"/>
  <c r="X674" i="21"/>
  <c r="X843" i="21"/>
  <c r="X627" i="21"/>
  <c r="W326" i="21"/>
  <c r="Y128" i="21"/>
  <c r="X2318" i="21"/>
  <c r="W2322" i="21"/>
  <c r="X559" i="21"/>
  <c r="X1792" i="21"/>
  <c r="W2604" i="21"/>
  <c r="X2564" i="21"/>
  <c r="X1644" i="21"/>
  <c r="Z1224" i="21"/>
  <c r="Z1364" i="21"/>
  <c r="Z1301" i="21"/>
  <c r="Z597" i="21"/>
  <c r="W328" i="21"/>
  <c r="Z128" i="21"/>
  <c r="X1366" i="21"/>
  <c r="W2601" i="21"/>
  <c r="W2566" i="21"/>
  <c r="W2391" i="21"/>
  <c r="W2320" i="21"/>
  <c r="X2143" i="21"/>
  <c r="X2013" i="21"/>
  <c r="X1756" i="21"/>
  <c r="Y1644" i="21"/>
  <c r="Y1597" i="21"/>
  <c r="Z1380" i="21"/>
  <c r="Y812" i="21"/>
  <c r="Y864" i="21"/>
  <c r="Z21" i="21"/>
  <c r="Z2600" i="21"/>
  <c r="Z1294" i="21"/>
  <c r="X150" i="21"/>
  <c r="X254" i="21"/>
  <c r="X737" i="21"/>
  <c r="W2569" i="21"/>
  <c r="W2422" i="21"/>
  <c r="Y1758" i="21"/>
  <c r="Y1756" i="21"/>
  <c r="Z1500" i="21"/>
  <c r="Y1100" i="21"/>
  <c r="W675" i="21"/>
  <c r="Y856" i="21"/>
  <c r="Z864" i="21"/>
  <c r="Y886" i="21"/>
  <c r="W361" i="21"/>
  <c r="X21" i="21"/>
  <c r="Y133" i="21"/>
  <c r="W2145" i="21"/>
  <c r="X1776" i="21"/>
  <c r="X501" i="21"/>
  <c r="X1510" i="21"/>
  <c r="W2364" i="21"/>
  <c r="W2423" i="21"/>
  <c r="W2144" i="21"/>
  <c r="Y2013" i="21"/>
  <c r="X1937" i="21"/>
  <c r="Y1805" i="21"/>
  <c r="W1809" i="21"/>
  <c r="X1469" i="21"/>
  <c r="Y1253" i="21"/>
  <c r="W664" i="21"/>
  <c r="Z1079" i="21"/>
  <c r="Z627" i="21"/>
  <c r="X89" i="21"/>
  <c r="X868" i="21"/>
  <c r="X1383" i="21"/>
  <c r="W2319" i="21"/>
  <c r="Z2319" i="21" s="1"/>
  <c r="Y1808" i="21"/>
  <c r="Z1253" i="21"/>
  <c r="Z976" i="21"/>
  <c r="W663" i="21"/>
  <c r="X2228" i="21"/>
  <c r="X1766" i="21"/>
  <c r="X1623" i="21"/>
  <c r="X1227" i="21"/>
  <c r="W2334" i="21"/>
  <c r="X2334" i="21" s="1"/>
  <c r="W2409" i="21"/>
  <c r="X247" i="21"/>
  <c r="W2299" i="21"/>
  <c r="W157" i="21"/>
  <c r="W2417" i="21"/>
  <c r="X159" i="23"/>
  <c r="W161" i="23"/>
  <c r="W160" i="23"/>
  <c r="Z159" i="23"/>
  <c r="Y159" i="23"/>
  <c r="Z1763" i="23"/>
  <c r="Y1763" i="23"/>
  <c r="X561" i="23"/>
  <c r="Y561" i="23"/>
  <c r="Z561" i="23"/>
  <c r="X110" i="23"/>
  <c r="Z110" i="23"/>
  <c r="Y110" i="23"/>
  <c r="X240" i="23"/>
  <c r="Y240" i="23"/>
  <c r="Z240" i="23"/>
  <c r="Z238" i="23"/>
  <c r="Y238" i="23"/>
  <c r="X1942" i="23"/>
  <c r="Z1942" i="23"/>
  <c r="Y1942" i="23"/>
  <c r="H2606" i="23"/>
  <c r="H2582" i="23"/>
  <c r="X2264" i="23"/>
  <c r="Z1820" i="23"/>
  <c r="W1923" i="23"/>
  <c r="W1710" i="23"/>
  <c r="Y1157" i="23"/>
  <c r="Z1263" i="23"/>
  <c r="Z599" i="23"/>
  <c r="Y537" i="23"/>
  <c r="Z514" i="23"/>
  <c r="Y188" i="23"/>
  <c r="Y221" i="23"/>
  <c r="X82" i="23"/>
  <c r="W2407" i="23"/>
  <c r="X499" i="23"/>
  <c r="X2698" i="23"/>
  <c r="X1668" i="23"/>
  <c r="X1490" i="23"/>
  <c r="X1676" i="23"/>
  <c r="X604" i="23"/>
  <c r="X2282" i="23"/>
  <c r="X2216" i="23"/>
  <c r="H2618" i="23"/>
  <c r="W1821" i="23"/>
  <c r="X1921" i="23"/>
  <c r="Y1634" i="23"/>
  <c r="Z1583" i="23"/>
  <c r="X1538" i="23"/>
  <c r="Y1679" i="23"/>
  <c r="X1619" i="23"/>
  <c r="Y1674" i="23"/>
  <c r="X1387" i="23"/>
  <c r="X1127" i="23"/>
  <c r="X599" i="23"/>
  <c r="X224" i="23"/>
  <c r="Y735" i="23"/>
  <c r="Z24" i="23"/>
  <c r="Y253" i="23"/>
  <c r="Z485" i="23"/>
  <c r="Z216" i="23"/>
  <c r="Y140" i="23"/>
  <c r="X1653" i="23"/>
  <c r="X986" i="23"/>
  <c r="X504" i="23"/>
  <c r="H2612" i="23"/>
  <c r="H2588" i="23"/>
  <c r="W1822" i="23"/>
  <c r="W1712" i="23"/>
  <c r="W1924" i="23"/>
  <c r="Y1711" i="23"/>
  <c r="W2112" i="23"/>
  <c r="X1674" i="23"/>
  <c r="Z1490" i="23"/>
  <c r="X1221" i="23"/>
  <c r="X1157" i="23"/>
  <c r="Z1271" i="23"/>
  <c r="Z205" i="23"/>
  <c r="W289" i="23"/>
  <c r="Z41" i="23"/>
  <c r="X2330" i="23"/>
  <c r="X625" i="23"/>
  <c r="X202" i="23"/>
  <c r="X810" i="23"/>
  <c r="X1139" i="23"/>
  <c r="Z810" i="23"/>
  <c r="X2654" i="23"/>
  <c r="Z2109" i="23"/>
  <c r="Y1713" i="23"/>
  <c r="Y1189" i="23"/>
  <c r="Z537" i="23"/>
  <c r="W288" i="23"/>
  <c r="X1587" i="23"/>
  <c r="W1988" i="23"/>
  <c r="Y466" i="23"/>
  <c r="Y499" i="23"/>
  <c r="Z740" i="23"/>
  <c r="W538" i="23"/>
  <c r="H2624" i="23"/>
  <c r="W2267" i="23"/>
  <c r="Z1538" i="23"/>
  <c r="X586" i="23"/>
  <c r="Z134" i="23"/>
  <c r="X1543" i="23"/>
  <c r="X80" i="23"/>
  <c r="W2401" i="23"/>
  <c r="X723" i="23"/>
  <c r="X485" i="23"/>
  <c r="Y1802" i="22"/>
  <c r="W1804" i="22"/>
  <c r="W1803" i="22"/>
  <c r="Z1802" i="22"/>
  <c r="X1802" i="22"/>
  <c r="W1994" i="22"/>
  <c r="W1995" i="22"/>
  <c r="Z1993" i="22"/>
  <c r="Y1993" i="22"/>
  <c r="W1996" i="22"/>
  <c r="X1993" i="22"/>
  <c r="Y1627" i="22"/>
  <c r="Z1627" i="22"/>
  <c r="X1627" i="22"/>
  <c r="W191" i="22"/>
  <c r="X106" i="22"/>
  <c r="X903" i="22"/>
  <c r="X200" i="22"/>
  <c r="X622" i="22"/>
  <c r="Y1141" i="22"/>
  <c r="Z637" i="22"/>
  <c r="Z1141" i="22"/>
  <c r="Y820" i="22"/>
  <c r="X637" i="22"/>
  <c r="Z83" i="22"/>
  <c r="X20" i="22"/>
  <c r="H2570" i="22"/>
  <c r="J2570" i="22" s="1"/>
  <c r="Y200" i="22"/>
  <c r="W190" i="22"/>
  <c r="X77" i="21"/>
  <c r="Z77" i="21"/>
  <c r="W1803" i="23"/>
  <c r="Y1802" i="23"/>
  <c r="X1802" i="23"/>
  <c r="W2410" i="21"/>
  <c r="W1807" i="21"/>
  <c r="Y1790" i="21"/>
  <c r="Z1679" i="21"/>
  <c r="X1411" i="21"/>
  <c r="Z1216" i="21"/>
  <c r="X577" i="21"/>
  <c r="X196" i="21"/>
  <c r="W197" i="21"/>
  <c r="X1770" i="21"/>
  <c r="Y1540" i="21"/>
  <c r="Z1540" i="21"/>
  <c r="X1540" i="21"/>
  <c r="X1853" i="24"/>
  <c r="W1855" i="24"/>
  <c r="Z1469" i="23"/>
  <c r="Y1469" i="23"/>
  <c r="X1469" i="23"/>
  <c r="Z1109" i="22"/>
  <c r="Y1109" i="22"/>
  <c r="X1109" i="22"/>
  <c r="X1790" i="21"/>
  <c r="Y1411" i="21"/>
  <c r="X1128" i="21"/>
  <c r="Y1076" i="21"/>
  <c r="W198" i="21"/>
  <c r="Z1326" i="21"/>
  <c r="Y1326" i="21"/>
  <c r="W182" i="24"/>
  <c r="W166" i="24"/>
  <c r="X1070" i="24"/>
  <c r="Y1070" i="24"/>
  <c r="Z1070" i="24"/>
  <c r="Y2436" i="22"/>
  <c r="X2436" i="22"/>
  <c r="Y1644" i="22"/>
  <c r="Z1644" i="22"/>
  <c r="X1644" i="22"/>
  <c r="W671" i="21"/>
  <c r="Y979" i="21"/>
  <c r="Z979" i="21"/>
  <c r="X1677" i="21"/>
  <c r="Z1320" i="21"/>
  <c r="Y1320" i="21"/>
  <c r="Y2705" i="22"/>
  <c r="X2705" i="22"/>
  <c r="Z2705" i="22"/>
  <c r="W1955" i="23"/>
  <c r="Y1953" i="23"/>
  <c r="X1953" i="23"/>
  <c r="X1386" i="21"/>
  <c r="X1530" i="21"/>
  <c r="X898" i="21"/>
  <c r="Z904" i="21"/>
  <c r="W2418" i="21"/>
  <c r="X2418" i="21" s="1"/>
  <c r="X733" i="21"/>
  <c r="Z792" i="21"/>
  <c r="X792" i="21"/>
  <c r="Y792" i="21"/>
  <c r="Z428" i="24"/>
  <c r="X428" i="24"/>
  <c r="X1949" i="21"/>
  <c r="Y1746" i="21"/>
  <c r="Y1630" i="21"/>
  <c r="X1630" i="21"/>
  <c r="Y898" i="21"/>
  <c r="W670" i="21"/>
  <c r="X136" i="21"/>
  <c r="X2408" i="21"/>
  <c r="X1655" i="21"/>
  <c r="W2295" i="21"/>
  <c r="Y932" i="21"/>
  <c r="X932" i="21"/>
  <c r="Y1704" i="21"/>
  <c r="X1606" i="21"/>
  <c r="X2231" i="24"/>
  <c r="Z2231" i="24"/>
  <c r="Y2231" i="24"/>
  <c r="X1410" i="24"/>
  <c r="Y1410" i="24"/>
  <c r="Z1410" i="24"/>
  <c r="Z1637" i="21"/>
  <c r="Z1704" i="21"/>
  <c r="X1760" i="21"/>
  <c r="X1320" i="21"/>
  <c r="X1427" i="21"/>
  <c r="Z2653" i="21"/>
  <c r="X852" i="21"/>
  <c r="X919" i="21"/>
  <c r="X2657" i="24"/>
  <c r="Z1412" i="24"/>
  <c r="Y1494" i="24"/>
  <c r="X1286" i="24"/>
  <c r="X887" i="24"/>
  <c r="Y1159" i="24"/>
  <c r="Z1072" i="24"/>
  <c r="X839" i="24"/>
  <c r="Y875" i="24"/>
  <c r="Z765" i="24"/>
  <c r="Y487" i="24"/>
  <c r="W313" i="24"/>
  <c r="X487" i="24"/>
  <c r="W429" i="24"/>
  <c r="W146" i="24"/>
  <c r="X217" i="24"/>
  <c r="W2441" i="23"/>
  <c r="W2397" i="23"/>
  <c r="W1885" i="23"/>
  <c r="W2201" i="23"/>
  <c r="Y1687" i="23"/>
  <c r="Y1607" i="23"/>
  <c r="Y1580" i="23"/>
  <c r="Y1698" i="23"/>
  <c r="Y1660" i="23"/>
  <c r="Y1451" i="23"/>
  <c r="Y1335" i="23"/>
  <c r="Y805" i="23"/>
  <c r="X208" i="23"/>
  <c r="X642" i="23"/>
  <c r="Z185" i="23"/>
  <c r="W154" i="23"/>
  <c r="Y63" i="23"/>
  <c r="W2020" i="24"/>
  <c r="X1525" i="24"/>
  <c r="X1262" i="24"/>
  <c r="X1304" i="24"/>
  <c r="X998" i="24"/>
  <c r="X2685" i="23"/>
  <c r="X811" i="24"/>
  <c r="X1651" i="23"/>
  <c r="X1493" i="23"/>
  <c r="X1498" i="23"/>
  <c r="X759" i="23"/>
  <c r="X854" i="22"/>
  <c r="Y1412" i="24"/>
  <c r="Z816" i="24"/>
  <c r="W312" i="24"/>
  <c r="Y211" i="24"/>
  <c r="X171" i="24"/>
  <c r="Y217" i="24"/>
  <c r="W2476" i="23"/>
  <c r="W2442" i="23"/>
  <c r="Z1580" i="23"/>
  <c r="X1349" i="23"/>
  <c r="Y1213" i="23"/>
  <c r="Y642" i="23"/>
  <c r="Z81" i="23"/>
  <c r="W427" i="23"/>
  <c r="W301" i="23"/>
  <c r="X189" i="23"/>
  <c r="W2442" i="24"/>
  <c r="X2228" i="24"/>
  <c r="Z107" i="24"/>
  <c r="X762" i="22"/>
  <c r="X1470" i="23"/>
  <c r="X587" i="21"/>
  <c r="Y587" i="21"/>
  <c r="Y2612" i="24"/>
  <c r="X2617" i="24"/>
  <c r="Y1856" i="24"/>
  <c r="X1653" i="24"/>
  <c r="Y1610" i="24"/>
  <c r="Z1514" i="24"/>
  <c r="Y1252" i="24"/>
  <c r="Y1109" i="24"/>
  <c r="X1183" i="24"/>
  <c r="Z1228" i="24"/>
  <c r="X823" i="24"/>
  <c r="X602" i="24"/>
  <c r="Y599" i="24"/>
  <c r="Z823" i="24"/>
  <c r="Z211" i="24"/>
  <c r="W2478" i="23"/>
  <c r="W2443" i="23"/>
  <c r="W2399" i="23"/>
  <c r="W2200" i="23"/>
  <c r="Z1969" i="23"/>
  <c r="X1377" i="23"/>
  <c r="X838" i="23"/>
  <c r="Z949" i="23"/>
  <c r="Z806" i="23"/>
  <c r="X359" i="23"/>
  <c r="Z798" i="23"/>
  <c r="W429" i="23"/>
  <c r="Y335" i="23"/>
  <c r="W2196" i="24"/>
  <c r="X1730" i="24"/>
  <c r="X1097" i="24"/>
  <c r="X563" i="23"/>
  <c r="X1118" i="22"/>
  <c r="W1967" i="23"/>
  <c r="W164" i="24"/>
  <c r="X1146" i="23"/>
  <c r="X795" i="23"/>
  <c r="Z852" i="21"/>
  <c r="X828" i="21"/>
  <c r="W2614" i="24"/>
  <c r="W1858" i="24"/>
  <c r="Z1252" i="24"/>
  <c r="X1012" i="24"/>
  <c r="X680" i="24"/>
  <c r="Z599" i="24"/>
  <c r="Y458" i="24"/>
  <c r="X499" i="24"/>
  <c r="W191" i="24"/>
  <c r="Z2474" i="23"/>
  <c r="X2677" i="23"/>
  <c r="Z2438" i="23"/>
  <c r="W2400" i="23"/>
  <c r="W2202" i="23"/>
  <c r="X2198" i="23"/>
  <c r="X2013" i="23"/>
  <c r="Y1644" i="23"/>
  <c r="W1970" i="23"/>
  <c r="Y1556" i="23"/>
  <c r="X1433" i="23"/>
  <c r="X1259" i="23"/>
  <c r="X1213" i="23"/>
  <c r="X1149" i="23"/>
  <c r="Y1353" i="23"/>
  <c r="Y1499" i="23"/>
  <c r="Y1543" i="23"/>
  <c r="Y1423" i="23"/>
  <c r="Y1207" i="23"/>
  <c r="Y721" i="23"/>
  <c r="X949" i="23"/>
  <c r="W191" i="23"/>
  <c r="W338" i="23"/>
  <c r="X84" i="23"/>
  <c r="W2376" i="24"/>
  <c r="W2229" i="24"/>
  <c r="Y1337" i="24"/>
  <c r="Z1097" i="24"/>
  <c r="X129" i="23"/>
  <c r="X265" i="22"/>
  <c r="W449" i="21"/>
  <c r="X973" i="21"/>
  <c r="W2616" i="24"/>
  <c r="Z2612" i="24"/>
  <c r="W2591" i="24"/>
  <c r="Z1997" i="24"/>
  <c r="W1859" i="24"/>
  <c r="Y1286" i="24"/>
  <c r="X530" i="24"/>
  <c r="Y425" i="24"/>
  <c r="Y602" i="24"/>
  <c r="W197" i="24"/>
  <c r="X245" i="24"/>
  <c r="Y171" i="24"/>
  <c r="Z219" i="24"/>
  <c r="Y2658" i="23"/>
  <c r="X2396" i="23"/>
  <c r="W2479" i="23"/>
  <c r="W1886" i="23"/>
  <c r="X2148" i="23"/>
  <c r="W1971" i="23"/>
  <c r="Y1740" i="23"/>
  <c r="X1423" i="23"/>
  <c r="X1335" i="23"/>
  <c r="Y1445" i="23"/>
  <c r="Z1543" i="23"/>
  <c r="Y1517" i="23"/>
  <c r="W428" i="23"/>
  <c r="Y84" i="23"/>
  <c r="W2233" i="24"/>
  <c r="Z1337" i="24"/>
  <c r="X1503" i="24"/>
  <c r="X855" i="24"/>
  <c r="X961" i="24"/>
  <c r="X1459" i="23"/>
  <c r="X1079" i="24"/>
  <c r="X49" i="24"/>
  <c r="X121" i="24"/>
  <c r="X92" i="23"/>
  <c r="X577" i="23"/>
  <c r="X1250" i="23"/>
  <c r="X1609" i="23"/>
  <c r="X820" i="23"/>
  <c r="Y919" i="21"/>
  <c r="X854" i="21"/>
  <c r="X953" i="21"/>
  <c r="X413" i="21"/>
  <c r="W2613" i="24"/>
  <c r="W2580" i="24"/>
  <c r="W2590" i="24"/>
  <c r="Z1856" i="24"/>
  <c r="Y1266" i="24"/>
  <c r="Y998" i="24"/>
  <c r="Z530" i="24"/>
  <c r="Z425" i="24"/>
  <c r="Y245" i="24"/>
  <c r="Z171" i="24"/>
  <c r="X62" i="24"/>
  <c r="Y2677" i="23"/>
  <c r="W2475" i="23"/>
  <c r="Z2692" i="23"/>
  <c r="W2477" i="23"/>
  <c r="Y2438" i="23"/>
  <c r="W1887" i="23"/>
  <c r="Y2198" i="23"/>
  <c r="Y2148" i="23"/>
  <c r="W2014" i="23"/>
  <c r="X1788" i="23"/>
  <c r="X1969" i="23"/>
  <c r="X1556" i="23"/>
  <c r="X1466" i="23"/>
  <c r="Z1740" i="23"/>
  <c r="Z1643" i="23"/>
  <c r="X1353" i="23"/>
  <c r="Z1445" i="23"/>
  <c r="Y1433" i="23"/>
  <c r="Z641" i="23"/>
  <c r="Y838" i="23"/>
  <c r="W430" i="23"/>
  <c r="Y129" i="23"/>
  <c r="X1493" i="24"/>
  <c r="X1670" i="23"/>
  <c r="X63" i="23"/>
  <c r="X1152" i="23"/>
  <c r="W2615" i="24"/>
  <c r="X2210" i="24"/>
  <c r="W1857" i="24"/>
  <c r="Z1653" i="24"/>
  <c r="X1266" i="24"/>
  <c r="W426" i="24"/>
  <c r="W314" i="24"/>
  <c r="Y2474" i="23"/>
  <c r="Y2692" i="23"/>
  <c r="X2438" i="23"/>
  <c r="Z2148" i="23"/>
  <c r="Y1792" i="23"/>
  <c r="W2142" i="23"/>
  <c r="Y1737" i="23"/>
  <c r="X1687" i="23"/>
  <c r="X1439" i="23"/>
  <c r="X1391" i="23"/>
  <c r="X1207" i="23"/>
  <c r="W643" i="23"/>
  <c r="Y185" i="23"/>
  <c r="X100" i="23"/>
  <c r="Z1399" i="24"/>
  <c r="Y568" i="23"/>
  <c r="X186" i="24"/>
  <c r="X1652" i="24"/>
  <c r="X1243" i="22"/>
  <c r="X1645" i="22"/>
  <c r="Z1780" i="23"/>
  <c r="Y1780" i="23"/>
  <c r="Y2695" i="21"/>
  <c r="Z2705" i="21"/>
  <c r="W2303" i="21"/>
  <c r="Z1568" i="21"/>
  <c r="Z1202" i="21"/>
  <c r="Z1213" i="21"/>
  <c r="Y1329" i="21"/>
  <c r="X966" i="21"/>
  <c r="Z1064" i="21"/>
  <c r="X1095" i="21"/>
  <c r="X1244" i="21"/>
  <c r="Z1244" i="21"/>
  <c r="Y91" i="23"/>
  <c r="Z91" i="23"/>
  <c r="X1549" i="23"/>
  <c r="Z1549" i="23"/>
  <c r="Y1549" i="23"/>
  <c r="X56" i="23"/>
  <c r="Y56" i="23"/>
  <c r="Z56" i="23"/>
  <c r="Z580" i="22"/>
  <c r="Y580" i="22"/>
  <c r="X580" i="22"/>
  <c r="Z1761" i="24"/>
  <c r="Y1761" i="24"/>
  <c r="Y2300" i="21"/>
  <c r="Z1329" i="21"/>
  <c r="Y994" i="21"/>
  <c r="X1134" i="21"/>
  <c r="Y925" i="21"/>
  <c r="W409" i="21"/>
  <c r="X1352" i="21"/>
  <c r="Y1525" i="21"/>
  <c r="X1223" i="21"/>
  <c r="X525" i="21"/>
  <c r="X560" i="24"/>
  <c r="Z560" i="24"/>
  <c r="Y560" i="24"/>
  <c r="Z2300" i="21"/>
  <c r="Z2276" i="21"/>
  <c r="X2210" i="21"/>
  <c r="Y1134" i="21"/>
  <c r="W414" i="21"/>
  <c r="Y1202" i="21"/>
  <c r="X779" i="21"/>
  <c r="Y766" i="23"/>
  <c r="X766" i="23"/>
  <c r="Z766" i="23"/>
  <c r="Y241" i="22"/>
  <c r="X241" i="22"/>
  <c r="W2610" i="24"/>
  <c r="W2608" i="24"/>
  <c r="Y2606" i="24"/>
  <c r="W2611" i="24"/>
  <c r="X2606" i="24"/>
  <c r="W1940" i="21"/>
  <c r="Z1551" i="21"/>
  <c r="Y1400" i="21"/>
  <c r="Y966" i="21"/>
  <c r="X720" i="21"/>
  <c r="Y815" i="21"/>
  <c r="X459" i="21"/>
  <c r="X572" i="21"/>
  <c r="Y371" i="21"/>
  <c r="Z115" i="21"/>
  <c r="X1188" i="21"/>
  <c r="X1129" i="22"/>
  <c r="Y1129" i="22"/>
  <c r="Z287" i="22"/>
  <c r="W289" i="22"/>
  <c r="W288" i="22"/>
  <c r="Y287" i="22"/>
  <c r="X287" i="22"/>
  <c r="X1739" i="22"/>
  <c r="Y1739" i="22"/>
  <c r="Y716" i="22"/>
  <c r="Z716" i="22"/>
  <c r="Z1937" i="21"/>
  <c r="Z1400" i="21"/>
  <c r="X890" i="21"/>
  <c r="Z625" i="21"/>
  <c r="Y572" i="21"/>
  <c r="Y63" i="21"/>
  <c r="W372" i="21"/>
  <c r="X88" i="21"/>
  <c r="X1385" i="21"/>
  <c r="X1228" i="21"/>
  <c r="X1277" i="21"/>
  <c r="Y1188" i="21"/>
  <c r="Z849" i="21"/>
  <c r="W415" i="21"/>
  <c r="W322" i="21"/>
  <c r="X2683" i="21"/>
  <c r="X1081" i="21"/>
  <c r="X1537" i="21"/>
  <c r="W2036" i="21"/>
  <c r="W2100" i="21"/>
  <c r="X2641" i="21"/>
  <c r="X2679" i="21"/>
  <c r="Q116" i="21"/>
  <c r="X819" i="21"/>
  <c r="X925" i="21"/>
  <c r="X949" i="21"/>
  <c r="X941" i="21"/>
  <c r="X1150" i="21"/>
  <c r="W479" i="21"/>
  <c r="Z479" i="21" s="1"/>
  <c r="X1382" i="21"/>
  <c r="Y477" i="21"/>
  <c r="X371" i="21"/>
  <c r="Z371" i="21"/>
  <c r="Z531" i="21"/>
  <c r="Y60" i="21"/>
  <c r="Z135" i="21"/>
  <c r="W2305" i="21"/>
  <c r="W2214" i="21"/>
  <c r="Z1277" i="21"/>
  <c r="Z1066" i="21"/>
  <c r="Y921" i="21"/>
  <c r="Z466" i="21"/>
  <c r="X466" i="21"/>
  <c r="X1525" i="21"/>
  <c r="X1187" i="21"/>
  <c r="W1908" i="23"/>
  <c r="Z1904" i="23"/>
  <c r="Y1904" i="23"/>
  <c r="Z2618" i="23"/>
  <c r="W2620" i="23"/>
  <c r="Y2618" i="23"/>
  <c r="X2618" i="23"/>
  <c r="W2623" i="23"/>
  <c r="W2621" i="23"/>
  <c r="W2619" i="23"/>
  <c r="X78" i="22"/>
  <c r="Y2588" i="24"/>
  <c r="W2440" i="24"/>
  <c r="X2438" i="24"/>
  <c r="Z2328" i="24"/>
  <c r="W2269" i="24"/>
  <c r="X2192" i="24"/>
  <c r="W1998" i="24"/>
  <c r="W2018" i="24"/>
  <c r="Z1833" i="24"/>
  <c r="Y1262" i="24"/>
  <c r="X1058" i="24"/>
  <c r="X1088" i="24"/>
  <c r="X939" i="24"/>
  <c r="Z808" i="24"/>
  <c r="Y67" i="24"/>
  <c r="X2688" i="23"/>
  <c r="Z112" i="24"/>
  <c r="X2566" i="23"/>
  <c r="W2524" i="23"/>
  <c r="Y2482" i="23"/>
  <c r="W2403" i="23"/>
  <c r="W1956" i="23"/>
  <c r="W2269" i="23"/>
  <c r="X1949" i="23"/>
  <c r="Y1707" i="23"/>
  <c r="X1189" i="23"/>
  <c r="Y1337" i="23"/>
  <c r="Y1479" i="23"/>
  <c r="Y1229" i="23"/>
  <c r="X1168" i="23"/>
  <c r="Y413" i="23"/>
  <c r="X1062" i="24"/>
  <c r="X907" i="24"/>
  <c r="X1195" i="24"/>
  <c r="W1966" i="23"/>
  <c r="X2109" i="23"/>
  <c r="W2542" i="23"/>
  <c r="X2542" i="23" s="1"/>
  <c r="X1622" i="23"/>
  <c r="X1686" i="23"/>
  <c r="X512" i="23"/>
  <c r="Y1677" i="23"/>
  <c r="Z1685" i="23"/>
  <c r="X1210" i="23"/>
  <c r="W2034" i="23"/>
  <c r="W337" i="23"/>
  <c r="W2088" i="22"/>
  <c r="X2088" i="22" s="1"/>
  <c r="W540" i="24"/>
  <c r="X205" i="23"/>
  <c r="Z1262" i="24"/>
  <c r="X1259" i="24"/>
  <c r="Y811" i="24"/>
  <c r="Y2566" i="23"/>
  <c r="Y2637" i="23"/>
  <c r="W2481" i="23"/>
  <c r="Z2402" i="23"/>
  <c r="W2205" i="23"/>
  <c r="W2214" i="23"/>
  <c r="Z1707" i="23"/>
  <c r="X1692" i="23"/>
  <c r="X1337" i="23"/>
  <c r="Y1165" i="23"/>
  <c r="Y1159" i="23"/>
  <c r="X123" i="23"/>
  <c r="Z40" i="23"/>
  <c r="Y1685" i="23"/>
  <c r="X1110" i="22"/>
  <c r="W320" i="23"/>
  <c r="X577" i="22"/>
  <c r="W2589" i="24"/>
  <c r="Y2438" i="24"/>
  <c r="W2457" i="24"/>
  <c r="W2267" i="24"/>
  <c r="X2143" i="24"/>
  <c r="W2195" i="24"/>
  <c r="Z1534" i="24"/>
  <c r="X1348" i="24"/>
  <c r="Z1416" i="24"/>
  <c r="X852" i="24"/>
  <c r="X809" i="24"/>
  <c r="Y755" i="24"/>
  <c r="W694" i="24"/>
  <c r="Z811" i="24"/>
  <c r="X597" i="24"/>
  <c r="X189" i="24"/>
  <c r="Z2637" i="23"/>
  <c r="Y2694" i="23"/>
  <c r="W2543" i="23"/>
  <c r="Y2522" i="23"/>
  <c r="W2207" i="23"/>
  <c r="Y1646" i="23"/>
  <c r="Z1609" i="23"/>
  <c r="W1708" i="23"/>
  <c r="X1409" i="23"/>
  <c r="X1297" i="23"/>
  <c r="Y1199" i="23"/>
  <c r="W414" i="23"/>
  <c r="X1973" i="24"/>
  <c r="X1167" i="24"/>
  <c r="X1892" i="23"/>
  <c r="X895" i="23"/>
  <c r="W2441" i="24"/>
  <c r="W2197" i="24"/>
  <c r="Y1760" i="24"/>
  <c r="X1692" i="24"/>
  <c r="X1619" i="24"/>
  <c r="Y1088" i="24"/>
  <c r="X969" i="24"/>
  <c r="Y919" i="24"/>
  <c r="Z517" i="24"/>
  <c r="Z755" i="24"/>
  <c r="Y597" i="24"/>
  <c r="Z2694" i="23"/>
  <c r="X2402" i="23"/>
  <c r="W2545" i="23"/>
  <c r="Z2522" i="23"/>
  <c r="W2338" i="23"/>
  <c r="W2404" i="23"/>
  <c r="W2209" i="23"/>
  <c r="W2165" i="23"/>
  <c r="Y1609" i="23"/>
  <c r="W1725" i="23"/>
  <c r="Z1658" i="23"/>
  <c r="X1287" i="23"/>
  <c r="X1199" i="23"/>
  <c r="X1167" i="23"/>
  <c r="X772" i="23"/>
  <c r="Y1265" i="23"/>
  <c r="X871" i="23"/>
  <c r="Y598" i="23"/>
  <c r="W125" i="23"/>
  <c r="Z413" i="23"/>
  <c r="W124" i="23"/>
  <c r="Z1973" i="24"/>
  <c r="W1974" i="24"/>
  <c r="X1464" i="24"/>
  <c r="Z1594" i="24"/>
  <c r="X813" i="23"/>
  <c r="X569" i="23"/>
  <c r="W2164" i="23"/>
  <c r="X1650" i="22"/>
  <c r="X936" i="24"/>
  <c r="X81" i="22"/>
  <c r="W2592" i="24"/>
  <c r="W2439" i="24"/>
  <c r="W2458" i="24"/>
  <c r="W1835" i="24"/>
  <c r="Y1259" i="24"/>
  <c r="Y1292" i="24"/>
  <c r="Y969" i="24"/>
  <c r="W693" i="24"/>
  <c r="W695" i="24"/>
  <c r="Y189" i="24"/>
  <c r="W2485" i="23"/>
  <c r="Y2688" i="23"/>
  <c r="W2527" i="23"/>
  <c r="X2482" i="23"/>
  <c r="W2340" i="23"/>
  <c r="X2336" i="23"/>
  <c r="W2405" i="23"/>
  <c r="Z1953" i="23"/>
  <c r="W2206" i="23"/>
  <c r="X2163" i="23"/>
  <c r="Y1965" i="23"/>
  <c r="Y1626" i="23"/>
  <c r="X1544" i="23"/>
  <c r="Z1692" i="23"/>
  <c r="W1726" i="23"/>
  <c r="Y1612" i="23"/>
  <c r="X1415" i="23"/>
  <c r="X1229" i="23"/>
  <c r="X1165" i="23"/>
  <c r="Y1415" i="23"/>
  <c r="X887" i="23"/>
  <c r="Y756" i="23"/>
  <c r="Y768" i="23"/>
  <c r="X1456" i="24"/>
  <c r="X1080" i="24"/>
  <c r="X1831" i="23"/>
  <c r="W1894" i="23"/>
  <c r="X1467" i="23"/>
  <c r="X1627" i="23"/>
  <c r="X959" i="24"/>
  <c r="W2385" i="23"/>
  <c r="X1629" i="23"/>
  <c r="W535" i="23"/>
  <c r="Y2695" i="24"/>
  <c r="W2593" i="24"/>
  <c r="Z2438" i="24"/>
  <c r="W2459" i="24"/>
  <c r="W2193" i="24"/>
  <c r="Z2099" i="24"/>
  <c r="X1833" i="24"/>
  <c r="Y1695" i="24"/>
  <c r="Y1619" i="24"/>
  <c r="X1392" i="24"/>
  <c r="X1292" i="24"/>
  <c r="X1207" i="24"/>
  <c r="X1175" i="24"/>
  <c r="Y935" i="24"/>
  <c r="Z939" i="24"/>
  <c r="X692" i="24"/>
  <c r="Z189" i="24"/>
  <c r="Y186" i="24"/>
  <c r="W2484" i="23"/>
  <c r="X2544" i="23"/>
  <c r="W2406" i="23"/>
  <c r="W1954" i="23"/>
  <c r="W2208" i="23"/>
  <c r="Y2163" i="23"/>
  <c r="Z1965" i="23"/>
  <c r="Y1686" i="23"/>
  <c r="Z1723" i="23"/>
  <c r="X1265" i="23"/>
  <c r="X756" i="23"/>
  <c r="X733" i="23"/>
  <c r="X156" i="23"/>
  <c r="X135" i="23"/>
  <c r="X1016" i="24"/>
  <c r="Z1860" i="23"/>
  <c r="X1523" i="23"/>
  <c r="X930" i="23"/>
  <c r="X219" i="23"/>
  <c r="Y1777" i="22"/>
  <c r="X1763" i="23"/>
  <c r="X1499" i="23"/>
  <c r="X566" i="22"/>
  <c r="Z2689" i="24"/>
  <c r="Z2588" i="24"/>
  <c r="X2456" i="24"/>
  <c r="W2000" i="24"/>
  <c r="Y1997" i="24"/>
  <c r="Z1695" i="24"/>
  <c r="X972" i="24"/>
  <c r="X2704" i="23"/>
  <c r="X53" i="24"/>
  <c r="X2480" i="23"/>
  <c r="W2525" i="23"/>
  <c r="W1895" i="23"/>
  <c r="Y1622" i="23"/>
  <c r="X1357" i="23"/>
  <c r="W418" i="23"/>
  <c r="Y40" i="23"/>
  <c r="Y1630" i="24"/>
  <c r="X508" i="24"/>
  <c r="W2533" i="23"/>
  <c r="X305" i="22"/>
  <c r="Z936" i="24"/>
  <c r="X1777" i="21"/>
  <c r="Y1777" i="21"/>
  <c r="Z1777" i="21"/>
  <c r="X1203" i="21"/>
  <c r="Y1203" i="21"/>
  <c r="Z1203" i="21"/>
  <c r="X2504" i="21"/>
  <c r="W2505" i="21"/>
  <c r="W2040" i="21"/>
  <c r="W2039" i="21"/>
  <c r="Z2037" i="21"/>
  <c r="X2037" i="21"/>
  <c r="Y2037" i="21"/>
  <c r="W2038" i="21"/>
  <c r="X2687" i="24"/>
  <c r="Z2687" i="24"/>
  <c r="Y2687" i="24"/>
  <c r="X64" i="23"/>
  <c r="Y64" i="23"/>
  <c r="Z64" i="23"/>
  <c r="Y1723" i="22"/>
  <c r="W1726" i="22"/>
  <c r="W1725" i="22"/>
  <c r="W1724" i="22"/>
  <c r="Z1527" i="22"/>
  <c r="X1527" i="22"/>
  <c r="Y1527" i="22"/>
  <c r="Z2088" i="22"/>
  <c r="Y2088" i="22"/>
  <c r="X812" i="22"/>
  <c r="Z812" i="22"/>
  <c r="Y812" i="22"/>
  <c r="Z559" i="22"/>
  <c r="Y559" i="22"/>
  <c r="X559" i="22"/>
  <c r="W1859" i="23"/>
  <c r="Z1856" i="23"/>
  <c r="X1856" i="23"/>
  <c r="Y1856" i="23"/>
  <c r="W1858" i="23"/>
  <c r="W1857" i="23"/>
  <c r="X1460" i="24"/>
  <c r="Z1460" i="24"/>
  <c r="Y1460" i="24"/>
  <c r="W361" i="24"/>
  <c r="Z359" i="24"/>
  <c r="W362" i="24"/>
  <c r="Y359" i="24"/>
  <c r="W363" i="24"/>
  <c r="X359" i="24"/>
  <c r="W364" i="24"/>
  <c r="W360" i="24"/>
  <c r="Y2700" i="23"/>
  <c r="Z2700" i="23"/>
  <c r="X2700" i="23"/>
  <c r="X591" i="24"/>
  <c r="Z591" i="24"/>
  <c r="Y591" i="24"/>
  <c r="Z1013" i="21"/>
  <c r="Y1013" i="21"/>
  <c r="Y767" i="21"/>
  <c r="X767" i="21"/>
  <c r="W2543" i="21"/>
  <c r="X2513" i="21"/>
  <c r="X2252" i="21"/>
  <c r="Z2204" i="21"/>
  <c r="W2269" i="21"/>
  <c r="W2156" i="21"/>
  <c r="Z2256" i="21"/>
  <c r="Y1973" i="21"/>
  <c r="Z1608" i="21"/>
  <c r="X1362" i="21"/>
  <c r="X1229" i="21"/>
  <c r="X1094" i="21"/>
  <c r="Z1235" i="21"/>
  <c r="Y1046" i="21"/>
  <c r="Y980" i="21"/>
  <c r="Y508" i="21"/>
  <c r="Y253" i="21"/>
  <c r="Y96" i="21"/>
  <c r="X202" i="21"/>
  <c r="Y52" i="21"/>
  <c r="X924" i="21"/>
  <c r="X973" i="22"/>
  <c r="Z973" i="22"/>
  <c r="Y973" i="22"/>
  <c r="W2129" i="22"/>
  <c r="Y2128" i="22"/>
  <c r="W2132" i="22"/>
  <c r="X2128" i="22"/>
  <c r="W2131" i="22"/>
  <c r="Z2128" i="22"/>
  <c r="X2302" i="24"/>
  <c r="Z2302" i="24"/>
  <c r="Y2302" i="24"/>
  <c r="X766" i="24"/>
  <c r="Z766" i="24"/>
  <c r="Y766" i="24"/>
  <c r="X519" i="24"/>
  <c r="Z519" i="24"/>
  <c r="Y519" i="24"/>
  <c r="Y1608" i="21"/>
  <c r="Y1230" i="21"/>
  <c r="Y1098" i="21"/>
  <c r="Z980" i="21"/>
  <c r="W481" i="21"/>
  <c r="X222" i="21"/>
  <c r="W354" i="21"/>
  <c r="X1691" i="21"/>
  <c r="X1214" i="21"/>
  <c r="X1341" i="21"/>
  <c r="X1212" i="21"/>
  <c r="Y100" i="21"/>
  <c r="X847" i="21"/>
  <c r="Z847" i="21"/>
  <c r="Y847" i="21"/>
  <c r="Z900" i="21"/>
  <c r="Y900" i="21"/>
  <c r="X246" i="23"/>
  <c r="Z246" i="23"/>
  <c r="Y246" i="23"/>
  <c r="W2257" i="21"/>
  <c r="W1974" i="21"/>
  <c r="W1875" i="21"/>
  <c r="Z1230" i="21"/>
  <c r="X1098" i="21"/>
  <c r="Y1074" i="21"/>
  <c r="Y958" i="21"/>
  <c r="Y752" i="21"/>
  <c r="Z353" i="21"/>
  <c r="Y2645" i="21"/>
  <c r="Z100" i="21"/>
  <c r="Z767" i="21"/>
  <c r="Z469" i="21"/>
  <c r="X469" i="21"/>
  <c r="Z563" i="21"/>
  <c r="X563" i="21"/>
  <c r="X1325" i="21"/>
  <c r="X2693" i="21"/>
  <c r="W2205" i="21"/>
  <c r="Y2540" i="21"/>
  <c r="W2266" i="21"/>
  <c r="W1975" i="21"/>
  <c r="Y1872" i="21"/>
  <c r="Z1324" i="21"/>
  <c r="X1404" i="21"/>
  <c r="Z1452" i="21"/>
  <c r="X1072" i="21"/>
  <c r="Y820" i="21"/>
  <c r="X958" i="21"/>
  <c r="W478" i="21"/>
  <c r="Y130" i="21"/>
  <c r="W355" i="21"/>
  <c r="Y1366" i="21"/>
  <c r="Y1304" i="21"/>
  <c r="Y469" i="21"/>
  <c r="W2544" i="21"/>
  <c r="Y2701" i="21"/>
  <c r="Y2693" i="21"/>
  <c r="W2254" i="21"/>
  <c r="W2268" i="21"/>
  <c r="Z2540" i="21"/>
  <c r="W2208" i="21"/>
  <c r="W2267" i="21"/>
  <c r="Y2252" i="21"/>
  <c r="X1872" i="21"/>
  <c r="W1976" i="21"/>
  <c r="W1873" i="21"/>
  <c r="X1591" i="21"/>
  <c r="Y1403" i="21"/>
  <c r="Z1404" i="21"/>
  <c r="Z1495" i="21"/>
  <c r="Y1132" i="21"/>
  <c r="Y861" i="21"/>
  <c r="X920" i="21"/>
  <c r="Y779" i="21"/>
  <c r="Y949" i="21"/>
  <c r="Y941" i="21"/>
  <c r="Y222" i="21"/>
  <c r="Y202" i="21"/>
  <c r="W356" i="21"/>
  <c r="X115" i="21"/>
  <c r="Z1352" i="21"/>
  <c r="W1874" i="21"/>
  <c r="W2209" i="21"/>
  <c r="Z1973" i="21"/>
  <c r="Z1428" i="21"/>
  <c r="W2545" i="21"/>
  <c r="Y2204" i="21"/>
  <c r="W2255" i="21"/>
  <c r="W2541" i="21"/>
  <c r="X2540" i="21"/>
  <c r="Y2264" i="21"/>
  <c r="Z2252" i="21"/>
  <c r="Y2033" i="21"/>
  <c r="Y1787" i="21"/>
  <c r="Y1591" i="21"/>
  <c r="Y1495" i="21"/>
  <c r="Z1341" i="21"/>
  <c r="X1132" i="21"/>
  <c r="Z1053" i="21"/>
  <c r="X1053" i="21"/>
  <c r="Y853" i="21"/>
  <c r="W647" i="21"/>
  <c r="Y831" i="21"/>
  <c r="X815" i="21"/>
  <c r="Y47" i="21"/>
  <c r="W358" i="21"/>
  <c r="Y1228" i="21"/>
  <c r="X895" i="21"/>
  <c r="Z1620" i="21"/>
  <c r="X341" i="22"/>
  <c r="W345" i="22"/>
  <c r="W346" i="22"/>
  <c r="W342" i="22"/>
  <c r="Z341" i="22"/>
  <c r="W344" i="22"/>
  <c r="Y341" i="22"/>
  <c r="W343" i="22"/>
  <c r="X2701" i="21"/>
  <c r="W2206" i="21"/>
  <c r="Z2264" i="21"/>
  <c r="W2253" i="21"/>
  <c r="Z1787" i="21"/>
  <c r="X1781" i="21"/>
  <c r="Z1648" i="21"/>
  <c r="X1324" i="21"/>
  <c r="Z1008" i="21"/>
  <c r="Y804" i="21"/>
  <c r="Z1840" i="21"/>
  <c r="Y924" i="21"/>
  <c r="X2336" i="21"/>
  <c r="W683" i="21"/>
  <c r="Z683" i="21" s="1"/>
  <c r="X1533" i="21"/>
  <c r="X1414" i="24"/>
  <c r="Y1414" i="24"/>
  <c r="X1096" i="24"/>
  <c r="Z38" i="24"/>
  <c r="Z24" i="24"/>
  <c r="W2307" i="23"/>
  <c r="W2532" i="23"/>
  <c r="W2310" i="23"/>
  <c r="X2158" i="23"/>
  <c r="W2151" i="23"/>
  <c r="Z1767" i="23"/>
  <c r="W2156" i="23"/>
  <c r="Y1654" i="23"/>
  <c r="W1722" i="23"/>
  <c r="X1474" i="23"/>
  <c r="X1643" i="23"/>
  <c r="Y723" i="23"/>
  <c r="X118" i="23"/>
  <c r="X740" i="23"/>
  <c r="X2330" i="24"/>
  <c r="W2304" i="24"/>
  <c r="X2270" i="24"/>
  <c r="X1305" i="24"/>
  <c r="X976" i="24"/>
  <c r="X1639" i="23"/>
  <c r="Z579" i="23"/>
  <c r="W2412" i="22"/>
  <c r="Z629" i="22"/>
  <c r="X184" i="22"/>
  <c r="Z1622" i="24"/>
  <c r="X1832" i="23"/>
  <c r="X1142" i="23"/>
  <c r="X1773" i="23"/>
  <c r="Z914" i="24"/>
  <c r="X2665" i="23"/>
  <c r="Y579" i="23"/>
  <c r="X2085" i="22"/>
  <c r="Y1622" i="24"/>
  <c r="X1178" i="23"/>
  <c r="X436" i="23"/>
  <c r="X716" i="24"/>
  <c r="Y1239" i="23"/>
  <c r="Z1504" i="24"/>
  <c r="X1094" i="24"/>
  <c r="X353" i="24"/>
  <c r="W170" i="24"/>
  <c r="X946" i="24"/>
  <c r="X1024" i="24"/>
  <c r="W1905" i="23"/>
  <c r="W1978" i="24"/>
  <c r="X1436" i="24"/>
  <c r="X1396" i="24"/>
  <c r="Y1456" i="24"/>
  <c r="Z1062" i="24"/>
  <c r="X758" i="24"/>
  <c r="W2290" i="23"/>
  <c r="W2166" i="23"/>
  <c r="W2149" i="23"/>
  <c r="W2154" i="23"/>
  <c r="W1968" i="23"/>
  <c r="X1965" i="23"/>
  <c r="X1217" i="23"/>
  <c r="X802" i="23"/>
  <c r="X739" i="23"/>
  <c r="Y19" i="23"/>
  <c r="W336" i="23"/>
  <c r="Y85" i="23"/>
  <c r="X335" i="23"/>
  <c r="W2272" i="24"/>
  <c r="X1519" i="24"/>
  <c r="X1367" i="24"/>
  <c r="X1658" i="23"/>
  <c r="W1844" i="22"/>
  <c r="X1662" i="23"/>
  <c r="Y1383" i="24"/>
  <c r="Z1456" i="24"/>
  <c r="Y144" i="24"/>
  <c r="W2292" i="23"/>
  <c r="Y1973" i="23"/>
  <c r="X1880" i="23"/>
  <c r="W2152" i="23"/>
  <c r="W2157" i="23"/>
  <c r="Y2158" i="23"/>
  <c r="X1437" i="23"/>
  <c r="X329" i="23"/>
  <c r="W340" i="23"/>
  <c r="Y284" i="23"/>
  <c r="X2695" i="24"/>
  <c r="X833" i="24"/>
  <c r="W1875" i="23"/>
  <c r="X1749" i="23"/>
  <c r="X1615" i="23"/>
  <c r="X91" i="23"/>
  <c r="Z503" i="22"/>
  <c r="X1616" i="22"/>
  <c r="X1383" i="24"/>
  <c r="Z1436" i="24"/>
  <c r="Y726" i="24"/>
  <c r="Y758" i="24"/>
  <c r="Z144" i="24"/>
  <c r="W1976" i="23"/>
  <c r="Y1770" i="23"/>
  <c r="W2155" i="23"/>
  <c r="Z1647" i="23"/>
  <c r="X1401" i="23"/>
  <c r="X1283" i="23"/>
  <c r="Y1401" i="23"/>
  <c r="Y1541" i="23"/>
  <c r="X764" i="23"/>
  <c r="X924" i="23"/>
  <c r="X668" i="23"/>
  <c r="Y575" i="23"/>
  <c r="Z774" i="23"/>
  <c r="W339" i="23"/>
  <c r="W286" i="23"/>
  <c r="Y1305" i="24"/>
  <c r="Z960" i="24"/>
  <c r="X1654" i="23"/>
  <c r="X731" i="23"/>
  <c r="X1599" i="23"/>
  <c r="X736" i="23"/>
  <c r="X468" i="21"/>
  <c r="X1346" i="24"/>
  <c r="Z726" i="24"/>
  <c r="Z1770" i="23"/>
  <c r="X1801" i="23"/>
  <c r="X1933" i="23"/>
  <c r="W1720" i="23"/>
  <c r="Y1598" i="23"/>
  <c r="X1239" i="23"/>
  <c r="Z1541" i="23"/>
  <c r="X867" i="23"/>
  <c r="Y1688" i="24"/>
  <c r="X945" i="24"/>
  <c r="X2655" i="23"/>
  <c r="W2531" i="23"/>
  <c r="X1666" i="23"/>
  <c r="X971" i="23"/>
  <c r="X1396" i="22"/>
  <c r="X1550" i="24"/>
  <c r="X2516" i="24"/>
  <c r="X914" i="24"/>
  <c r="W2339" i="23"/>
  <c r="Z1661" i="24"/>
  <c r="Y1661" i="24"/>
  <c r="X600" i="24"/>
  <c r="Z600" i="24"/>
  <c r="Y600" i="24"/>
  <c r="Z1143" i="24"/>
  <c r="Y1143" i="24"/>
  <c r="X1143" i="24"/>
  <c r="W1979" i="24"/>
  <c r="X1977" i="24"/>
  <c r="W1822" i="24"/>
  <c r="Z1820" i="24"/>
  <c r="Y1820" i="24"/>
  <c r="X1820" i="24"/>
  <c r="Z1711" i="24"/>
  <c r="Y1711" i="24"/>
  <c r="W1714" i="24"/>
  <c r="X1711" i="24"/>
  <c r="W1713" i="24"/>
  <c r="X1319" i="24"/>
  <c r="Z1319" i="24"/>
  <c r="Y1319" i="24"/>
  <c r="Z1096" i="24"/>
  <c r="Y1096" i="24"/>
  <c r="Z40" i="24"/>
  <c r="Y40" i="24"/>
  <c r="X1531" i="23"/>
  <c r="Z1531" i="23"/>
  <c r="Y1531" i="23"/>
  <c r="Z237" i="24"/>
  <c r="Y237" i="24"/>
  <c r="X1985" i="23"/>
  <c r="W1987" i="23"/>
  <c r="W1986" i="23"/>
  <c r="Z1985" i="23"/>
  <c r="Y1985" i="23"/>
  <c r="Y515" i="23"/>
  <c r="X515" i="23"/>
  <c r="Y233" i="23"/>
  <c r="Z233" i="23"/>
  <c r="X175" i="23"/>
  <c r="W177" i="23"/>
  <c r="Z60" i="23"/>
  <c r="Y60" i="23"/>
  <c r="Y21" i="23"/>
  <c r="X21" i="23"/>
  <c r="Z626" i="23"/>
  <c r="Y626" i="23"/>
  <c r="Z355" i="24"/>
  <c r="Y355" i="24"/>
  <c r="X355" i="24"/>
  <c r="Z85" i="24"/>
  <c r="X85" i="24"/>
  <c r="Y85" i="24"/>
  <c r="W479" i="24"/>
  <c r="W481" i="24"/>
  <c r="W478" i="24"/>
  <c r="Z477" i="24"/>
  <c r="Y477" i="24"/>
  <c r="X2065" i="23"/>
  <c r="Y2065" i="23"/>
  <c r="W2068" i="23"/>
  <c r="W2067" i="23"/>
  <c r="W2066" i="23"/>
  <c r="Z2065" i="23"/>
  <c r="Z1945" i="23"/>
  <c r="Y1945" i="23"/>
  <c r="Z1800" i="23"/>
  <c r="Y1800" i="23"/>
  <c r="X1800" i="23"/>
  <c r="X2097" i="23"/>
  <c r="Y2097" i="23"/>
  <c r="W2100" i="23"/>
  <c r="W2099" i="23"/>
  <c r="W2098" i="23"/>
  <c r="Y1577" i="23"/>
  <c r="Z1577" i="23"/>
  <c r="X1475" i="23"/>
  <c r="Z1475" i="23"/>
  <c r="Y1475" i="23"/>
  <c r="Z1409" i="23"/>
  <c r="Y1409" i="23"/>
  <c r="Z776" i="23"/>
  <c r="Y776" i="23"/>
  <c r="Z1518" i="23"/>
  <c r="Y1518" i="23"/>
  <c r="Y220" i="23"/>
  <c r="Z220" i="23"/>
  <c r="X1085" i="21"/>
  <c r="Z923" i="24"/>
  <c r="Y923" i="24"/>
  <c r="X763" i="24"/>
  <c r="Z763" i="24"/>
  <c r="Y763" i="24"/>
  <c r="Y463" i="24"/>
  <c r="X463" i="24"/>
  <c r="Z871" i="24"/>
  <c r="Y871" i="24"/>
  <c r="X107" i="23"/>
  <c r="Z107" i="23"/>
  <c r="Y1485" i="23"/>
  <c r="X1485" i="23"/>
  <c r="X1065" i="24"/>
  <c r="Z1065" i="24"/>
  <c r="X1422" i="24"/>
  <c r="Y1422" i="24"/>
  <c r="X1579" i="21"/>
  <c r="Z2663" i="23"/>
  <c r="Y2663" i="23"/>
  <c r="X2663" i="23"/>
  <c r="W2022" i="23"/>
  <c r="W2024" i="23"/>
  <c r="Z2021" i="23"/>
  <c r="W2023" i="23"/>
  <c r="Y2021" i="23"/>
  <c r="Y1205" i="23"/>
  <c r="Z1205" i="23"/>
  <c r="Y525" i="24"/>
  <c r="Z525" i="24"/>
  <c r="X525" i="24"/>
  <c r="Z87" i="23"/>
  <c r="Y87" i="23"/>
  <c r="X87" i="23"/>
  <c r="Y1468" i="24"/>
  <c r="X1468" i="24"/>
  <c r="X1006" i="24"/>
  <c r="Z1006" i="24"/>
  <c r="Y1006" i="24"/>
  <c r="Z857" i="24"/>
  <c r="Y857" i="24"/>
  <c r="Z2673" i="23"/>
  <c r="Y2673" i="23"/>
  <c r="X1616" i="23"/>
  <c r="Z1616" i="23"/>
  <c r="Y1616" i="23"/>
  <c r="X1689" i="23"/>
  <c r="Z1689" i="23"/>
  <c r="Y1689" i="23"/>
  <c r="X771" i="21"/>
  <c r="W173" i="21"/>
  <c r="X2661" i="21"/>
  <c r="Z275" i="24"/>
  <c r="X275" i="24"/>
  <c r="W277" i="24"/>
  <c r="Y275" i="24"/>
  <c r="W2362" i="23"/>
  <c r="W2361" i="23"/>
  <c r="W2365" i="23"/>
  <c r="W2364" i="23"/>
  <c r="X2360" i="23"/>
  <c r="W2554" i="23"/>
  <c r="W2553" i="23"/>
  <c r="W2078" i="23"/>
  <c r="Z2077" i="23"/>
  <c r="Y2077" i="23"/>
  <c r="W2080" i="23"/>
  <c r="X2077" i="23"/>
  <c r="Y1764" i="23"/>
  <c r="Z1764" i="23"/>
  <c r="Y744" i="23"/>
  <c r="Z744" i="23"/>
  <c r="Y522" i="23"/>
  <c r="X522" i="23"/>
  <c r="Z2645" i="23"/>
  <c r="Y2645" i="23"/>
  <c r="Y244" i="23"/>
  <c r="Z244" i="23"/>
  <c r="X222" i="22"/>
  <c r="Z551" i="24"/>
  <c r="Y551" i="24"/>
  <c r="Z2701" i="23"/>
  <c r="Y2701" i="23"/>
  <c r="Z1399" i="23"/>
  <c r="Y1399" i="23"/>
  <c r="Z1143" i="23"/>
  <c r="Y1143" i="23"/>
  <c r="X2634" i="23"/>
  <c r="X2033" i="23"/>
  <c r="W2140" i="23"/>
  <c r="W1851" i="23"/>
  <c r="X1399" i="23"/>
  <c r="X1365" i="23"/>
  <c r="Y1305" i="23"/>
  <c r="Y526" i="23"/>
  <c r="W445" i="23"/>
  <c r="W659" i="23"/>
  <c r="Z431" i="23"/>
  <c r="W318" i="23"/>
  <c r="Z260" i="23"/>
  <c r="W534" i="23"/>
  <c r="X1760" i="24"/>
  <c r="X844" i="24"/>
  <c r="W1861" i="23"/>
  <c r="X2558" i="22"/>
  <c r="X2699" i="22"/>
  <c r="Y1379" i="24"/>
  <c r="X1344" i="24"/>
  <c r="X1309" i="24"/>
  <c r="Z1265" i="24"/>
  <c r="Y768" i="24"/>
  <c r="Y141" i="24"/>
  <c r="Y62" i="24"/>
  <c r="X141" i="24"/>
  <c r="Z537" i="24"/>
  <c r="X183" i="24"/>
  <c r="W2388" i="23"/>
  <c r="W2036" i="23"/>
  <c r="W2219" i="23"/>
  <c r="Y1806" i="23"/>
  <c r="W1807" i="23"/>
  <c r="W2141" i="23"/>
  <c r="Y1678" i="23"/>
  <c r="W2184" i="23"/>
  <c r="X2138" i="23"/>
  <c r="X1904" i="23"/>
  <c r="X1586" i="23"/>
  <c r="X1331" i="23"/>
  <c r="X1315" i="23"/>
  <c r="X1115" i="23"/>
  <c r="Y1167" i="23"/>
  <c r="X635" i="23"/>
  <c r="W657" i="23"/>
  <c r="Z51" i="23"/>
  <c r="W322" i="23"/>
  <c r="Y532" i="23"/>
  <c r="X1432" i="24"/>
  <c r="X2669" i="23"/>
  <c r="W1862" i="23"/>
  <c r="X1336" i="24"/>
  <c r="Y1000" i="24"/>
  <c r="Z768" i="24"/>
  <c r="X335" i="24"/>
  <c r="Y736" i="24"/>
  <c r="Z141" i="24"/>
  <c r="W539" i="24"/>
  <c r="Y183" i="24"/>
  <c r="W2389" i="23"/>
  <c r="X1945" i="23"/>
  <c r="W1863" i="23"/>
  <c r="Y2033" i="23"/>
  <c r="Z1782" i="23"/>
  <c r="W2221" i="23"/>
  <c r="Y2138" i="23"/>
  <c r="X1572" i="23"/>
  <c r="X1177" i="23"/>
  <c r="X1097" i="23"/>
  <c r="Y1417" i="23"/>
  <c r="X559" i="23"/>
  <c r="Y1572" i="23"/>
  <c r="X836" i="23"/>
  <c r="X532" i="23"/>
  <c r="W321" i="23"/>
  <c r="Z532" i="23"/>
  <c r="W2599" i="24"/>
  <c r="Z2599" i="24" s="1"/>
  <c r="Z1578" i="24"/>
  <c r="W1907" i="23"/>
  <c r="X383" i="24"/>
  <c r="X1737" i="24"/>
  <c r="X1356" i="24"/>
  <c r="X1041" i="24"/>
  <c r="X965" i="24"/>
  <c r="Z864" i="24"/>
  <c r="W174" i="24"/>
  <c r="W142" i="24"/>
  <c r="Y108" i="24"/>
  <c r="Y135" i="24"/>
  <c r="X2702" i="23"/>
  <c r="Z2336" i="23"/>
  <c r="Y2384" i="23"/>
  <c r="Y1860" i="23"/>
  <c r="W1906" i="23"/>
  <c r="W2218" i="23"/>
  <c r="X1305" i="23"/>
  <c r="X1237" i="23"/>
  <c r="X883" i="23"/>
  <c r="Y836" i="23"/>
  <c r="W661" i="23"/>
  <c r="W319" i="23"/>
  <c r="X55" i="23"/>
  <c r="W533" i="23"/>
  <c r="W2598" i="24"/>
  <c r="X1416" i="24"/>
  <c r="Z926" i="24"/>
  <c r="X960" i="24"/>
  <c r="Y1758" i="23"/>
  <c r="X65" i="23"/>
  <c r="X1399" i="24"/>
  <c r="X1320" i="24"/>
  <c r="W192" i="24"/>
  <c r="W162" i="24"/>
  <c r="Y491" i="24"/>
  <c r="Z135" i="24"/>
  <c r="X461" i="24"/>
  <c r="W2337" i="23"/>
  <c r="Z2384" i="23"/>
  <c r="W2220" i="23"/>
  <c r="X1782" i="23"/>
  <c r="W2181" i="23"/>
  <c r="Y1550" i="23"/>
  <c r="X1579" i="23"/>
  <c r="W666" i="23"/>
  <c r="X526" i="23"/>
  <c r="W665" i="23"/>
  <c r="W660" i="23"/>
  <c r="W447" i="23"/>
  <c r="X218" i="24"/>
  <c r="Z844" i="24"/>
  <c r="W2111" i="23"/>
  <c r="X798" i="23"/>
  <c r="X870" i="22"/>
  <c r="Y1248" i="24"/>
  <c r="Y965" i="24"/>
  <c r="W143" i="24"/>
  <c r="W178" i="24"/>
  <c r="W165" i="24"/>
  <c r="X2658" i="23"/>
  <c r="X111" i="24"/>
  <c r="Y461" i="24"/>
  <c r="Z2033" i="23"/>
  <c r="Z2138" i="23"/>
  <c r="W1852" i="23"/>
  <c r="W2183" i="23"/>
  <c r="X1728" i="23"/>
  <c r="Y1586" i="23"/>
  <c r="X1419" i="23"/>
  <c r="X1219" i="23"/>
  <c r="Z1579" i="23"/>
  <c r="W663" i="23"/>
  <c r="Y662" i="23"/>
  <c r="W658" i="23"/>
  <c r="Y635" i="23"/>
  <c r="X305" i="23"/>
  <c r="X260" i="23"/>
  <c r="W444" i="23"/>
  <c r="Y317" i="23"/>
  <c r="Z1248" i="24"/>
  <c r="X437" i="24"/>
  <c r="X103" i="24"/>
  <c r="X2384" i="23"/>
  <c r="X1410" i="23"/>
  <c r="X1334" i="23"/>
  <c r="X1233" i="23"/>
  <c r="X1169" i="23"/>
  <c r="X1153" i="23"/>
  <c r="W667" i="23"/>
  <c r="X650" i="23"/>
  <c r="X443" i="23"/>
  <c r="Y656" i="23"/>
  <c r="Y51" i="23"/>
  <c r="W2179" i="24"/>
  <c r="X2648" i="24"/>
  <c r="X108" i="24"/>
  <c r="X86" i="21"/>
  <c r="Z86" i="21"/>
  <c r="Y87" i="21"/>
  <c r="Z87" i="21"/>
  <c r="Y20" i="21"/>
  <c r="X20" i="21"/>
  <c r="Z20" i="21"/>
  <c r="X134" i="21"/>
  <c r="Z134" i="21"/>
  <c r="X2570" i="21"/>
  <c r="W1950" i="21"/>
  <c r="Y1691" i="21"/>
  <c r="X1780" i="21"/>
  <c r="Z521" i="21"/>
  <c r="X521" i="21"/>
  <c r="Y521" i="21"/>
  <c r="X248" i="21"/>
  <c r="Z248" i="21"/>
  <c r="Y1005" i="21"/>
  <c r="Z1005" i="21"/>
  <c r="Z674" i="21"/>
  <c r="W678" i="21"/>
  <c r="X678" i="21" s="1"/>
  <c r="W676" i="21"/>
  <c r="W677" i="21"/>
  <c r="X159" i="21"/>
  <c r="W161" i="21"/>
  <c r="Z159" i="21"/>
  <c r="Y159" i="21"/>
  <c r="X470" i="21"/>
  <c r="Y470" i="21"/>
  <c r="Z470" i="21"/>
  <c r="X492" i="21"/>
  <c r="Y492" i="21"/>
  <c r="Z492" i="21"/>
  <c r="Y1117" i="21"/>
  <c r="Z1117" i="21"/>
  <c r="Z48" i="23"/>
  <c r="X48" i="23"/>
  <c r="Y48" i="23"/>
  <c r="X572" i="22"/>
  <c r="Z572" i="22"/>
  <c r="Y572" i="22"/>
  <c r="Z335" i="22"/>
  <c r="W338" i="22"/>
  <c r="Y335" i="22"/>
  <c r="W337" i="22"/>
  <c r="W339" i="22"/>
  <c r="W340" i="22"/>
  <c r="W336" i="22"/>
  <c r="Z2368" i="24"/>
  <c r="Y2368" i="24"/>
  <c r="X2368" i="24"/>
  <c r="X1676" i="24"/>
  <c r="Z1676" i="24"/>
  <c r="Y1676" i="24"/>
  <c r="X1426" i="24"/>
  <c r="Y1426" i="24"/>
  <c r="Z1426" i="24"/>
  <c r="Y1949" i="21"/>
  <c r="Z1691" i="21"/>
  <c r="Y1780" i="21"/>
  <c r="Z740" i="21"/>
  <c r="Z836" i="21"/>
  <c r="X836" i="21"/>
  <c r="X536" i="21"/>
  <c r="Y536" i="21"/>
  <c r="X574" i="21"/>
  <c r="Y574" i="21"/>
  <c r="Z2246" i="21"/>
  <c r="W2247" i="21"/>
  <c r="X2247" i="21" s="1"/>
  <c r="X247" i="23"/>
  <c r="Z247" i="23"/>
  <c r="Y247" i="23"/>
  <c r="Z119" i="23"/>
  <c r="Y119" i="23"/>
  <c r="Y1757" i="22"/>
  <c r="Z1757" i="22"/>
  <c r="X1757" i="22"/>
  <c r="X281" i="22"/>
  <c r="W282" i="22"/>
  <c r="Z281" i="22"/>
  <c r="W283" i="22"/>
  <c r="Y281" i="22"/>
  <c r="W1951" i="21"/>
  <c r="Z520" i="21"/>
  <c r="Y913" i="21"/>
  <c r="X913" i="21"/>
  <c r="X723" i="21"/>
  <c r="Z723" i="21"/>
  <c r="Z206" i="21"/>
  <c r="Y206" i="21"/>
  <c r="X206" i="21"/>
  <c r="Z914" i="21"/>
  <c r="Y914" i="21"/>
  <c r="Z580" i="21"/>
  <c r="Y580" i="21"/>
  <c r="Z1583" i="21"/>
  <c r="X1583" i="21"/>
  <c r="X731" i="24"/>
  <c r="Z731" i="24"/>
  <c r="Y731" i="24"/>
  <c r="W2572" i="21"/>
  <c r="W1952" i="21"/>
  <c r="Z1003" i="21"/>
  <c r="Z212" i="21"/>
  <c r="X212" i="21"/>
  <c r="Y212" i="21"/>
  <c r="Z490" i="21"/>
  <c r="X490" i="21"/>
  <c r="Z982" i="21"/>
  <c r="Y982" i="21"/>
  <c r="X255" i="23"/>
  <c r="W259" i="23"/>
  <c r="W257" i="23"/>
  <c r="W256" i="23"/>
  <c r="Z255" i="23"/>
  <c r="Y255" i="23"/>
  <c r="W258" i="23"/>
  <c r="X122" i="23"/>
  <c r="Y122" i="23"/>
  <c r="X52" i="22"/>
  <c r="Y52" i="22"/>
  <c r="Z52" i="22"/>
  <c r="Y938" i="21"/>
  <c r="X938" i="21"/>
  <c r="W2574" i="21"/>
  <c r="X1542" i="21"/>
  <c r="Y740" i="21"/>
  <c r="Y31" i="21"/>
  <c r="Z31" i="21"/>
  <c r="Z175" i="21"/>
  <c r="W176" i="21"/>
  <c r="Y1706" i="24"/>
  <c r="Z1706" i="24"/>
  <c r="X2641" i="24"/>
  <c r="Z2641" i="24"/>
  <c r="Y2641" i="24"/>
  <c r="Z1687" i="24"/>
  <c r="X1687" i="24"/>
  <c r="Y1687" i="24"/>
  <c r="X128" i="24"/>
  <c r="Z128" i="24"/>
  <c r="Y128" i="24"/>
  <c r="Z185" i="24"/>
  <c r="Y185" i="24"/>
  <c r="X185" i="24"/>
  <c r="W1939" i="23"/>
  <c r="W1938" i="23"/>
  <c r="Z1937" i="23"/>
  <c r="Y1937" i="23"/>
  <c r="W1940" i="23"/>
  <c r="X1937" i="23"/>
  <c r="Y818" i="23"/>
  <c r="X818" i="23"/>
  <c r="Z818" i="23"/>
  <c r="X2049" i="22"/>
  <c r="Z2049" i="22"/>
  <c r="W2051" i="22"/>
  <c r="Z587" i="22"/>
  <c r="Y587" i="22"/>
  <c r="X587" i="22"/>
  <c r="Y1542" i="21"/>
  <c r="X520" i="21"/>
  <c r="W2553" i="21"/>
  <c r="W2556" i="21"/>
  <c r="X2556" i="21" s="1"/>
  <c r="Z2552" i="21"/>
  <c r="Y2552" i="21"/>
  <c r="Y892" i="21"/>
  <c r="Z892" i="21"/>
  <c r="X268" i="22"/>
  <c r="Z268" i="22"/>
  <c r="Y268" i="22"/>
  <c r="Y722" i="22"/>
  <c r="Z722" i="22"/>
  <c r="X722" i="22"/>
  <c r="Z187" i="21"/>
  <c r="X187" i="21"/>
  <c r="Y187" i="21"/>
  <c r="Z1399" i="21"/>
  <c r="Y1399" i="21"/>
  <c r="Y193" i="21"/>
  <c r="W195" i="21"/>
  <c r="Y567" i="21"/>
  <c r="Z567" i="21"/>
  <c r="Z1384" i="21"/>
  <c r="Y1384" i="21"/>
  <c r="Z598" i="21"/>
  <c r="Y598" i="21"/>
  <c r="X598" i="21"/>
  <c r="W428" i="21"/>
  <c r="X428" i="21" s="1"/>
  <c r="Y425" i="21"/>
  <c r="Y1419" i="21"/>
  <c r="Z1419" i="21"/>
  <c r="Y622" i="23"/>
  <c r="X622" i="23"/>
  <c r="Z622" i="23"/>
  <c r="X2234" i="23"/>
  <c r="W2238" i="23"/>
  <c r="Y2234" i="23"/>
  <c r="Z1681" i="23"/>
  <c r="Y1681" i="23"/>
  <c r="X1681" i="23"/>
  <c r="Z323" i="21"/>
  <c r="W549" i="21"/>
  <c r="Y549" i="21" s="1"/>
  <c r="X1333" i="21"/>
  <c r="X323" i="21"/>
  <c r="Y884" i="21"/>
  <c r="W457" i="21"/>
  <c r="X1058" i="21"/>
  <c r="X1069" i="21"/>
  <c r="W2268" i="23"/>
  <c r="W1724" i="23"/>
  <c r="Z1623" i="23"/>
  <c r="X1411" i="23"/>
  <c r="X1403" i="23"/>
  <c r="X1271" i="23"/>
  <c r="Y1491" i="23"/>
  <c r="X453" i="23"/>
  <c r="Z104" i="23"/>
  <c r="Y758" i="23"/>
  <c r="Y207" i="23"/>
  <c r="Y222" i="23"/>
  <c r="Y99" i="23"/>
  <c r="X1827" i="24"/>
  <c r="X2366" i="24"/>
  <c r="Z1524" i="24"/>
  <c r="X749" i="24"/>
  <c r="X133" i="23"/>
  <c r="X1768" i="24"/>
  <c r="X36" i="24"/>
  <c r="Z762" i="22"/>
  <c r="X1697" i="22"/>
  <c r="X1880" i="22"/>
  <c r="X1433" i="22"/>
  <c r="X1604" i="22"/>
  <c r="X1154" i="22"/>
  <c r="W324" i="21"/>
  <c r="X110" i="21"/>
  <c r="X141" i="21"/>
  <c r="Z1272" i="21"/>
  <c r="X581" i="21"/>
  <c r="X2665" i="24"/>
  <c r="X1074" i="24"/>
  <c r="W2266" i="23"/>
  <c r="X1730" i="23"/>
  <c r="X1143" i="23"/>
  <c r="Y1141" i="23"/>
  <c r="Z1491" i="23"/>
  <c r="X1533" i="23"/>
  <c r="Y1453" i="23"/>
  <c r="X101" i="23"/>
  <c r="Z515" i="23"/>
  <c r="W197" i="23"/>
  <c r="Z99" i="23"/>
  <c r="Y117" i="24"/>
  <c r="X641" i="23"/>
  <c r="X1780" i="23"/>
  <c r="W327" i="21"/>
  <c r="Y495" i="21"/>
  <c r="Y1138" i="21"/>
  <c r="Y863" i="21"/>
  <c r="W2112" i="21"/>
  <c r="X1675" i="24"/>
  <c r="X2089" i="23"/>
  <c r="Z2264" i="23"/>
  <c r="W2213" i="23"/>
  <c r="Y1730" i="23"/>
  <c r="X1351" i="23"/>
  <c r="X1277" i="23"/>
  <c r="X1205" i="23"/>
  <c r="X1141" i="23"/>
  <c r="X1109" i="23"/>
  <c r="X824" i="23"/>
  <c r="X1232" i="23"/>
  <c r="Z522" i="23"/>
  <c r="Z207" i="23"/>
  <c r="X19" i="23"/>
  <c r="Y32" i="23"/>
  <c r="Z73" i="23"/>
  <c r="W2321" i="23"/>
  <c r="X35" i="23"/>
  <c r="W325" i="21"/>
  <c r="X245" i="21"/>
  <c r="X910" i="21"/>
  <c r="W2419" i="21"/>
  <c r="Y2419" i="21" s="1"/>
  <c r="X493" i="22"/>
  <c r="W2265" i="23"/>
  <c r="W2215" i="23"/>
  <c r="X1235" i="23"/>
  <c r="X1171" i="23"/>
  <c r="X1107" i="23"/>
  <c r="Y1133" i="23"/>
  <c r="Z825" i="23"/>
  <c r="X812" i="23"/>
  <c r="Y73" i="23"/>
  <c r="X233" i="23"/>
  <c r="X1040" i="24"/>
  <c r="X744" i="23"/>
  <c r="X1705" i="23"/>
  <c r="X222" i="23"/>
  <c r="X1380" i="22"/>
  <c r="Y436" i="23"/>
  <c r="X119" i="23"/>
  <c r="X662" i="23"/>
  <c r="Y1599" i="21"/>
  <c r="Z1255" i="21"/>
  <c r="X886" i="21"/>
  <c r="X547" i="21"/>
  <c r="X1119" i="23"/>
  <c r="Y1533" i="23"/>
  <c r="X60" i="23"/>
  <c r="Y979" i="23"/>
  <c r="W198" i="23"/>
  <c r="Y219" i="23"/>
  <c r="X1761" i="24"/>
  <c r="X2667" i="23"/>
  <c r="X495" i="21"/>
  <c r="X1220" i="21"/>
  <c r="Z1599" i="21"/>
  <c r="Z547" i="21"/>
  <c r="W548" i="21"/>
  <c r="Z548" i="21" s="1"/>
  <c r="X1350" i="21"/>
  <c r="X1405" i="23"/>
  <c r="X1363" i="23"/>
  <c r="X1117" i="23"/>
  <c r="X1101" i="23"/>
  <c r="Y512" i="23"/>
  <c r="X52" i="23"/>
  <c r="Z979" i="23"/>
  <c r="Z219" i="23"/>
  <c r="W176" i="23"/>
  <c r="W1852" i="24"/>
  <c r="Y61" i="21"/>
  <c r="Z1575" i="21"/>
  <c r="Y1332" i="21"/>
  <c r="Z1332" i="21"/>
  <c r="X806" i="24"/>
  <c r="Y806" i="24"/>
  <c r="Z806" i="24"/>
  <c r="X32" i="22"/>
  <c r="Z32" i="22"/>
  <c r="Y32" i="22"/>
  <c r="X1030" i="24"/>
  <c r="Z1030" i="24"/>
  <c r="Y1030" i="24"/>
  <c r="X1627" i="24"/>
  <c r="Z1627" i="24"/>
  <c r="Y1627" i="24"/>
  <c r="W2191" i="23"/>
  <c r="W2189" i="23"/>
  <c r="W2187" i="23"/>
  <c r="Z2186" i="23"/>
  <c r="Y2186" i="23"/>
  <c r="X2186" i="23"/>
  <c r="W2190" i="23"/>
  <c r="W2188" i="23"/>
  <c r="Z1351" i="22"/>
  <c r="X1351" i="22"/>
  <c r="Y1351" i="22"/>
  <c r="X2600" i="21"/>
  <c r="W2605" i="21"/>
  <c r="Z1236" i="21"/>
  <c r="Y1236" i="21"/>
  <c r="X1584" i="22"/>
  <c r="Z1584" i="22"/>
  <c r="Y1584" i="22"/>
  <c r="Z207" i="21"/>
  <c r="X207" i="21"/>
  <c r="X1067" i="21"/>
  <c r="W1978" i="22"/>
  <c r="W1979" i="22"/>
  <c r="W1980" i="22"/>
  <c r="Z1977" i="22"/>
  <c r="Y811" i="21"/>
  <c r="Z1298" i="21"/>
  <c r="Y1298" i="21"/>
  <c r="Y1503" i="21"/>
  <c r="Z1503" i="21"/>
  <c r="X793" i="24"/>
  <c r="Z793" i="24"/>
  <c r="Y793" i="24"/>
  <c r="Z89" i="24"/>
  <c r="Y89" i="24"/>
  <c r="X250" i="23"/>
  <c r="Z250" i="23"/>
  <c r="Y250" i="23"/>
  <c r="X105" i="23"/>
  <c r="Z105" i="23"/>
  <c r="Y105" i="23"/>
  <c r="Z927" i="21"/>
  <c r="Y927" i="21"/>
  <c r="X927" i="21"/>
  <c r="Z1029" i="21"/>
  <c r="X1029" i="21"/>
  <c r="X940" i="21"/>
  <c r="Y940" i="21"/>
  <c r="Y144" i="21"/>
  <c r="X144" i="21"/>
  <c r="Z1376" i="21"/>
  <c r="X1376" i="21"/>
  <c r="X1218" i="21"/>
  <c r="Y1218" i="21"/>
  <c r="X1242" i="21"/>
  <c r="X814" i="21"/>
  <c r="W279" i="23"/>
  <c r="X278" i="23"/>
  <c r="Z74" i="21"/>
  <c r="Z624" i="21"/>
  <c r="Y624" i="21"/>
  <c r="X1083" i="21"/>
  <c r="Z1083" i="21"/>
  <c r="Y957" i="23"/>
  <c r="X957" i="23"/>
  <c r="Z957" i="23"/>
  <c r="Z1045" i="21"/>
  <c r="X1045" i="21"/>
  <c r="Y895" i="21"/>
  <c r="Y207" i="21"/>
  <c r="Z995" i="21"/>
  <c r="Y995" i="21"/>
  <c r="X630" i="21"/>
  <c r="Z630" i="21"/>
  <c r="X1443" i="23"/>
  <c r="Z1443" i="23"/>
  <c r="Y1443" i="23"/>
  <c r="Y1575" i="21"/>
  <c r="Y1467" i="21"/>
  <c r="Y1029" i="21"/>
  <c r="Y948" i="21"/>
  <c r="Z948" i="21"/>
  <c r="Y92" i="21"/>
  <c r="Z92" i="21"/>
  <c r="X92" i="21"/>
  <c r="Y1418" i="24"/>
  <c r="Z1418" i="24"/>
  <c r="X1418" i="24"/>
  <c r="Z2179" i="24"/>
  <c r="Y2179" i="24"/>
  <c r="X2179" i="24"/>
  <c r="X990" i="24"/>
  <c r="Z990" i="24"/>
  <c r="Y990" i="24"/>
  <c r="Z1673" i="23"/>
  <c r="Y1673" i="23"/>
  <c r="X1673" i="23"/>
  <c r="W2609" i="22"/>
  <c r="W2610" i="22"/>
  <c r="W2611" i="22"/>
  <c r="W2607" i="22"/>
  <c r="X2606" i="22"/>
  <c r="Z2606" i="22"/>
  <c r="X2486" i="24"/>
  <c r="X1764" i="23"/>
  <c r="X1395" i="23"/>
  <c r="X1347" i="23"/>
  <c r="X1267" i="23"/>
  <c r="X1187" i="23"/>
  <c r="X1123" i="23"/>
  <c r="Z1517" i="23"/>
  <c r="X216" i="23"/>
  <c r="Z218" i="24"/>
  <c r="Z1805" i="23"/>
  <c r="Y462" i="24"/>
  <c r="Z1738" i="23"/>
  <c r="W1878" i="23"/>
  <c r="X302" i="23"/>
  <c r="X1428" i="22"/>
  <c r="Z1433" i="22"/>
  <c r="X1578" i="24"/>
  <c r="X230" i="23"/>
  <c r="X971" i="21"/>
  <c r="X568" i="22"/>
  <c r="X978" i="24"/>
  <c r="X637" i="24"/>
  <c r="W2239" i="23"/>
  <c r="W2212" i="23"/>
  <c r="X1552" i="23"/>
  <c r="X1713" i="23"/>
  <c r="X1185" i="23"/>
  <c r="Y1493" i="23"/>
  <c r="X737" i="23"/>
  <c r="X567" i="23"/>
  <c r="X899" i="23"/>
  <c r="Y769" i="23"/>
  <c r="Y806" i="23"/>
  <c r="Y107" i="23"/>
  <c r="Z459" i="23"/>
  <c r="Z1630" i="24"/>
  <c r="X1129" i="24"/>
  <c r="X1758" i="23"/>
  <c r="X1103" i="23"/>
  <c r="W2457" i="22"/>
  <c r="X2457" i="22" s="1"/>
  <c r="Z115" i="24"/>
  <c r="X1758" i="21"/>
  <c r="X1621" i="21"/>
  <c r="X757" i="21"/>
  <c r="X188" i="21"/>
  <c r="X26" i="21"/>
  <c r="X850" i="21"/>
  <c r="X466" i="22"/>
  <c r="W675" i="24"/>
  <c r="X2642" i="23"/>
  <c r="Z242" i="24"/>
  <c r="W2529" i="23"/>
  <c r="W2530" i="23"/>
  <c r="X1993" i="23"/>
  <c r="W2235" i="23"/>
  <c r="Z1711" i="23"/>
  <c r="Y2210" i="23"/>
  <c r="Y1552" i="23"/>
  <c r="Z1653" i="23"/>
  <c r="Y1611" i="23"/>
  <c r="X1197" i="23"/>
  <c r="X1133" i="23"/>
  <c r="X617" i="23"/>
  <c r="Y1587" i="23"/>
  <c r="Z1453" i="23"/>
  <c r="X431" i="23"/>
  <c r="X86" i="23"/>
  <c r="Z734" i="23"/>
  <c r="Y431" i="23"/>
  <c r="Y83" i="23"/>
  <c r="Z1746" i="23"/>
  <c r="X1539" i="23"/>
  <c r="W2459" i="22"/>
  <c r="W2461" i="22"/>
  <c r="W596" i="22"/>
  <c r="Y1505" i="24"/>
  <c r="X2690" i="23"/>
  <c r="X763" i="21"/>
  <c r="W360" i="21"/>
  <c r="X1429" i="21"/>
  <c r="X131" i="22"/>
  <c r="X63" i="22"/>
  <c r="W2062" i="24"/>
  <c r="X1555" i="24"/>
  <c r="X1547" i="24"/>
  <c r="W2016" i="23"/>
  <c r="W2236" i="23"/>
  <c r="W1714" i="23"/>
  <c r="Z1639" i="23"/>
  <c r="X1319" i="23"/>
  <c r="Y1319" i="23"/>
  <c r="Z989" i="23"/>
  <c r="W434" i="23"/>
  <c r="Y760" i="23"/>
  <c r="W544" i="23"/>
  <c r="Y46" i="23"/>
  <c r="Z850" i="24"/>
  <c r="X2634" i="22"/>
  <c r="X1704" i="22"/>
  <c r="W2458" i="22"/>
  <c r="W595" i="22"/>
  <c r="X860" i="22"/>
  <c r="X1139" i="24"/>
  <c r="X927" i="24"/>
  <c r="W2483" i="22"/>
  <c r="X2483" i="22" s="1"/>
  <c r="X66" i="24"/>
  <c r="X215" i="23"/>
  <c r="X1163" i="21"/>
  <c r="U691" i="21"/>
  <c r="X1126" i="21"/>
  <c r="X2366" i="23"/>
  <c r="X1896" i="23"/>
  <c r="X2210" i="23"/>
  <c r="Y2013" i="23"/>
  <c r="W2237" i="23"/>
  <c r="Z2210" i="23"/>
  <c r="X1225" i="23"/>
  <c r="X1161" i="23"/>
  <c r="X1129" i="23"/>
  <c r="X745" i="23"/>
  <c r="Z1197" i="23"/>
  <c r="Y567" i="23"/>
  <c r="X232" i="23"/>
  <c r="Z760" i="23"/>
  <c r="Y542" i="23"/>
  <c r="X132" i="23"/>
  <c r="Z758" i="23"/>
  <c r="W2176" i="24"/>
  <c r="Z2690" i="23"/>
  <c r="X1711" i="23"/>
  <c r="X1805" i="23"/>
  <c r="X1665" i="23"/>
  <c r="X59" i="21"/>
  <c r="X835" i="21"/>
  <c r="X1451" i="21"/>
  <c r="Z2234" i="23"/>
  <c r="X1413" i="23"/>
  <c r="X1389" i="23"/>
  <c r="X1373" i="23"/>
  <c r="X1341" i="23"/>
  <c r="X1333" i="23"/>
  <c r="X1285" i="23"/>
  <c r="X1261" i="23"/>
  <c r="X1245" i="23"/>
  <c r="X1191" i="23"/>
  <c r="X743" i="23"/>
  <c r="X825" i="23"/>
  <c r="X229" i="23"/>
  <c r="W433" i="23"/>
  <c r="W543" i="23"/>
  <c r="Z543" i="23" s="1"/>
  <c r="Y491" i="23"/>
  <c r="W435" i="23"/>
  <c r="X970" i="23"/>
  <c r="X1678" i="23"/>
  <c r="X221" i="23"/>
  <c r="X46" i="23"/>
  <c r="X1372" i="22"/>
  <c r="X53" i="22"/>
  <c r="Y636" i="21"/>
  <c r="X636" i="21"/>
  <c r="X638" i="23"/>
  <c r="U685" i="21"/>
  <c r="X1679" i="24"/>
  <c r="Y1679" i="24"/>
  <c r="Z1679" i="24"/>
  <c r="X1643" i="24"/>
  <c r="Z1643" i="24"/>
  <c r="Y1643" i="24"/>
  <c r="X1049" i="24"/>
  <c r="Z1049" i="24"/>
  <c r="Y1049" i="24"/>
  <c r="Z1014" i="24"/>
  <c r="Y1014" i="24"/>
  <c r="X1014" i="24"/>
  <c r="Y71" i="23"/>
  <c r="Z71" i="23"/>
  <c r="W1924" i="22"/>
  <c r="X1921" i="22"/>
  <c r="W1923" i="22"/>
  <c r="W1922" i="22"/>
  <c r="Z1921" i="22"/>
  <c r="Y1921" i="22"/>
  <c r="Z1133" i="22"/>
  <c r="Y1133" i="22"/>
  <c r="X1133" i="22"/>
  <c r="Z629" i="24"/>
  <c r="Y629" i="24"/>
  <c r="W610" i="22"/>
  <c r="Z609" i="22"/>
  <c r="W611" i="22"/>
  <c r="X609" i="22"/>
  <c r="Y609" i="22"/>
  <c r="W612" i="22"/>
  <c r="Z1651" i="24"/>
  <c r="Y1651" i="24"/>
  <c r="X1651" i="24"/>
  <c r="Y2646" i="23"/>
  <c r="Z2646" i="23"/>
  <c r="Y206" i="24"/>
  <c r="X206" i="24"/>
  <c r="Z206" i="24"/>
  <c r="Z27" i="23"/>
  <c r="Y27" i="23"/>
  <c r="Y365" i="21"/>
  <c r="W368" i="21"/>
  <c r="W370" i="21"/>
  <c r="W367" i="21"/>
  <c r="Z365" i="21"/>
  <c r="X365" i="21"/>
  <c r="W366" i="21"/>
  <c r="W369" i="21"/>
  <c r="Z2101" i="21"/>
  <c r="Y2101" i="21"/>
  <c r="W2104" i="21"/>
  <c r="X2101" i="21"/>
  <c r="W2103" i="21"/>
  <c r="W2102" i="21"/>
  <c r="W2070" i="21"/>
  <c r="W2072" i="21"/>
  <c r="Y2069" i="21"/>
  <c r="W2071" i="21"/>
  <c r="Z2069" i="21"/>
  <c r="X2069" i="21"/>
  <c r="X260" i="24"/>
  <c r="W262" i="24"/>
  <c r="W261" i="24"/>
  <c r="W264" i="24"/>
  <c r="Z264" i="24" s="1"/>
  <c r="W263" i="24"/>
  <c r="Y260" i="24"/>
  <c r="Z260" i="24"/>
  <c r="X774" i="24"/>
  <c r="Z774" i="24"/>
  <c r="Y774" i="24"/>
  <c r="Z1337" i="21"/>
  <c r="Y1337" i="21"/>
  <c r="X1337" i="21"/>
  <c r="X200" i="24"/>
  <c r="Z200" i="24"/>
  <c r="Y200" i="24"/>
  <c r="Y925" i="23"/>
  <c r="X925" i="23"/>
  <c r="Z925" i="23"/>
  <c r="X1552" i="22"/>
  <c r="Z1552" i="22"/>
  <c r="Y1552" i="22"/>
  <c r="Z2678" i="23"/>
  <c r="Y2678" i="23"/>
  <c r="Z941" i="22"/>
  <c r="Y941" i="22"/>
  <c r="X941" i="22"/>
  <c r="X1430" i="24"/>
  <c r="Y1430" i="24"/>
  <c r="Z1430" i="24"/>
  <c r="X2686" i="23"/>
  <c r="Z2686" i="23"/>
  <c r="Y2686" i="23"/>
  <c r="X102" i="23"/>
  <c r="Z102" i="23"/>
  <c r="Y102" i="23"/>
  <c r="Y1452" i="21"/>
  <c r="X1118" i="21"/>
  <c r="X977" i="21"/>
  <c r="Y175" i="21"/>
  <c r="X175" i="21"/>
  <c r="Y589" i="21"/>
  <c r="X853" i="21"/>
  <c r="X2639" i="24"/>
  <c r="X1723" i="24"/>
  <c r="Y971" i="23"/>
  <c r="Z122" i="23"/>
  <c r="X1275" i="22"/>
  <c r="X43" i="24"/>
  <c r="X2097" i="21"/>
  <c r="Y1543" i="21"/>
  <c r="Z1340" i="21"/>
  <c r="Y1118" i="21"/>
  <c r="X917" i="21"/>
  <c r="Z799" i="21"/>
  <c r="Z589" i="21"/>
  <c r="Y71" i="21"/>
  <c r="X1178" i="21"/>
  <c r="X1211" i="23"/>
  <c r="X1131" i="23"/>
  <c r="X623" i="23"/>
  <c r="Z971" i="23"/>
  <c r="Y278" i="23"/>
  <c r="X1343" i="24"/>
  <c r="X791" i="23"/>
  <c r="Z1543" i="21"/>
  <c r="Y1340" i="21"/>
  <c r="X799" i="21"/>
  <c r="Y917" i="21"/>
  <c r="W673" i="21"/>
  <c r="X240" i="21"/>
  <c r="X1021" i="21"/>
  <c r="Y43" i="21"/>
  <c r="X472" i="22"/>
  <c r="X1209" i="23"/>
  <c r="Y588" i="23"/>
  <c r="Z826" i="23"/>
  <c r="Z933" i="23"/>
  <c r="W280" i="23"/>
  <c r="X41" i="23"/>
  <c r="Z463" i="23"/>
  <c r="X153" i="23"/>
  <c r="X1637" i="21"/>
  <c r="Y1197" i="21"/>
  <c r="X1066" i="21"/>
  <c r="Y977" i="21"/>
  <c r="Y668" i="21"/>
  <c r="X31" i="21"/>
  <c r="X1380" i="21"/>
  <c r="X1664" i="21"/>
  <c r="X129" i="21"/>
  <c r="X43" i="21"/>
  <c r="W2331" i="21"/>
  <c r="X821" i="21"/>
  <c r="X819" i="24"/>
  <c r="X1421" i="23"/>
  <c r="X1317" i="23"/>
  <c r="X1301" i="23"/>
  <c r="X1293" i="23"/>
  <c r="Z588" i="23"/>
  <c r="X826" i="23"/>
  <c r="X933" i="23"/>
  <c r="Y237" i="23"/>
  <c r="Z278" i="23"/>
  <c r="Y463" i="23"/>
  <c r="X77" i="24"/>
  <c r="X1644" i="23"/>
  <c r="X1746" i="22"/>
  <c r="X1681" i="22"/>
  <c r="Z137" i="22"/>
  <c r="X926" i="24"/>
  <c r="X163" i="24"/>
  <c r="X1550" i="23"/>
  <c r="X1637" i="22"/>
  <c r="Z1197" i="21"/>
  <c r="Y878" i="21"/>
  <c r="W669" i="21"/>
  <c r="W2477" i="21"/>
  <c r="Z1131" i="21"/>
  <c r="Y1539" i="21"/>
  <c r="Z1191" i="21"/>
  <c r="X253" i="21"/>
  <c r="W146" i="21"/>
  <c r="X900" i="21"/>
  <c r="X2694" i="22"/>
  <c r="X2158" i="24"/>
  <c r="Z237" i="23"/>
  <c r="X459" i="23"/>
  <c r="Z1596" i="24"/>
  <c r="X857" i="24"/>
  <c r="X137" i="22"/>
  <c r="X1287" i="24"/>
  <c r="W481" i="23"/>
  <c r="Z878" i="21"/>
  <c r="W672" i="21"/>
  <c r="X1435" i="23"/>
  <c r="X1379" i="23"/>
  <c r="X1291" i="23"/>
  <c r="X1251" i="23"/>
  <c r="X1678" i="22"/>
  <c r="X668" i="21"/>
  <c r="Z317" i="21"/>
  <c r="W177" i="21"/>
  <c r="X111" i="21"/>
  <c r="X1131" i="21"/>
  <c r="X1201" i="23"/>
  <c r="X1137" i="23"/>
  <c r="Y81" i="23"/>
  <c r="X1623" i="22"/>
  <c r="X568" i="23"/>
  <c r="Z1750" i="22"/>
  <c r="Y1750" i="22"/>
  <c r="X239" i="24"/>
  <c r="Z239" i="24"/>
  <c r="Y239" i="24"/>
  <c r="X38" i="22"/>
  <c r="Z38" i="22"/>
  <c r="Y38" i="22"/>
  <c r="X1515" i="23"/>
  <c r="Z1515" i="23"/>
  <c r="Y1515" i="23"/>
  <c r="Z1507" i="23"/>
  <c r="X1507" i="23"/>
  <c r="Y1507" i="23"/>
  <c r="Y1635" i="24"/>
  <c r="X1635" i="24"/>
  <c r="Z1635" i="24"/>
  <c r="Y625" i="22"/>
  <c r="X625" i="22"/>
  <c r="Z625" i="22"/>
  <c r="Z1859" i="23"/>
  <c r="Y1859" i="23"/>
  <c r="X1859" i="23"/>
  <c r="Z21" i="24"/>
  <c r="X21" i="24"/>
  <c r="Y21" i="24"/>
  <c r="X2093" i="23"/>
  <c r="W2094" i="23"/>
  <c r="Z2094" i="23" s="1"/>
  <c r="Z2093" i="23"/>
  <c r="Y2093" i="23"/>
  <c r="W2096" i="23"/>
  <c r="W2095" i="23"/>
  <c r="Z249" i="23"/>
  <c r="Y249" i="23"/>
  <c r="X249" i="23"/>
  <c r="Z773" i="21"/>
  <c r="X773" i="21"/>
  <c r="Z2558" i="21"/>
  <c r="W2562" i="21"/>
  <c r="Y2562" i="21" s="1"/>
  <c r="X2558" i="21"/>
  <c r="Z1078" i="24"/>
  <c r="Y1078" i="24"/>
  <c r="X97" i="24"/>
  <c r="Z97" i="24"/>
  <c r="Y97" i="24"/>
  <c r="W1914" i="24"/>
  <c r="Z1913" i="24"/>
  <c r="W1916" i="24"/>
  <c r="W1915" i="24"/>
  <c r="Y1913" i="24"/>
  <c r="X1913" i="24"/>
  <c r="Z2703" i="24"/>
  <c r="Y2703" i="24"/>
  <c r="W124" i="24"/>
  <c r="Z123" i="24"/>
  <c r="Y123" i="24"/>
  <c r="W126" i="24"/>
  <c r="W125" i="24"/>
  <c r="X123" i="24"/>
  <c r="Y2638" i="23"/>
  <c r="Z2638" i="23"/>
  <c r="Y50" i="24"/>
  <c r="Z50" i="24"/>
  <c r="Z1707" i="22"/>
  <c r="W1710" i="22"/>
  <c r="W1709" i="22"/>
  <c r="W1708" i="22"/>
  <c r="Y1707" i="22"/>
  <c r="X44" i="22"/>
  <c r="Y44" i="22"/>
  <c r="Z44" i="22"/>
  <c r="X214" i="22"/>
  <c r="X55" i="22"/>
  <c r="X2685" i="24"/>
  <c r="X2118" i="22"/>
  <c r="W2242" i="22"/>
  <c r="Y836" i="21"/>
  <c r="X2678" i="22"/>
  <c r="X64" i="22"/>
  <c r="X1369" i="24"/>
  <c r="X552" i="23"/>
  <c r="X944" i="24"/>
  <c r="X630" i="24"/>
  <c r="X869" i="24"/>
  <c r="X425" i="24"/>
  <c r="X1746" i="23"/>
  <c r="X1596" i="23"/>
  <c r="X1193" i="23"/>
  <c r="X1145" i="23"/>
  <c r="X1031" i="24"/>
  <c r="X2701" i="23"/>
  <c r="X1738" i="24"/>
  <c r="X1406" i="24"/>
  <c r="X1397" i="23"/>
  <c r="X1269" i="23"/>
  <c r="X1095" i="23"/>
  <c r="W2311" i="23"/>
  <c r="X335" i="22"/>
  <c r="X1433" i="24"/>
  <c r="X1425" i="24"/>
  <c r="X1417" i="24"/>
  <c r="X1445" i="24"/>
  <c r="X2143" i="23"/>
  <c r="P2715" i="23"/>
  <c r="W2352" i="24"/>
  <c r="X1558" i="24"/>
  <c r="X1544" i="24"/>
  <c r="X1339" i="23"/>
  <c r="X1155" i="23"/>
  <c r="X383" i="22"/>
  <c r="X2632" i="24"/>
  <c r="X1607" i="24"/>
  <c r="X1638" i="24"/>
  <c r="X1772" i="24"/>
  <c r="X914" i="22"/>
  <c r="X1146" i="22"/>
  <c r="Z350" i="24"/>
  <c r="Y350" i="24"/>
  <c r="X350" i="24"/>
  <c r="Z2053" i="21"/>
  <c r="W2054" i="21"/>
  <c r="Y2053" i="21"/>
  <c r="X2053" i="21"/>
  <c r="W2056" i="21"/>
  <c r="W2055" i="21"/>
  <c r="W2501" i="24"/>
  <c r="W2503" i="24"/>
  <c r="Z2498" i="24"/>
  <c r="Y2498" i="24"/>
  <c r="W2502" i="24"/>
  <c r="Z2502" i="24" s="1"/>
  <c r="W2499" i="24"/>
  <c r="W2500" i="24"/>
  <c r="W2272" i="22"/>
  <c r="W2275" i="22"/>
  <c r="W2273" i="22"/>
  <c r="W2271" i="22"/>
  <c r="Z2270" i="22"/>
  <c r="Y2270" i="22"/>
  <c r="X2270" i="22"/>
  <c r="W2274" i="22"/>
  <c r="W2597" i="22"/>
  <c r="W2598" i="22"/>
  <c r="W2599" i="22"/>
  <c r="W2595" i="22"/>
  <c r="Z2594" i="22"/>
  <c r="X2594" i="22"/>
  <c r="W2596" i="22"/>
  <c r="Y2594" i="22"/>
  <c r="X1727" i="22"/>
  <c r="Z1727" i="22"/>
  <c r="Y1727" i="22"/>
  <c r="Y2494" i="23"/>
  <c r="X2494" i="23"/>
  <c r="Z2494" i="23"/>
  <c r="Y1173" i="22"/>
  <c r="X1173" i="22"/>
  <c r="Z1173" i="22"/>
  <c r="Y252" i="23"/>
  <c r="X252" i="23"/>
  <c r="Z252" i="23"/>
  <c r="X532" i="22"/>
  <c r="W535" i="22"/>
  <c r="W533" i="22"/>
  <c r="Z532" i="22"/>
  <c r="Y532" i="22"/>
  <c r="W534" i="22"/>
  <c r="Y238" i="22"/>
  <c r="Z238" i="22"/>
  <c r="X238" i="22"/>
  <c r="X1958" i="23"/>
  <c r="Z1958" i="23"/>
  <c r="Y1958" i="23"/>
  <c r="X1956" i="22"/>
  <c r="Z1956" i="22"/>
  <c r="Y1956" i="22"/>
  <c r="Y2635" i="24"/>
  <c r="X2635" i="24"/>
  <c r="Z2635" i="24"/>
  <c r="X2029" i="23"/>
  <c r="W2031" i="23"/>
  <c r="W2030" i="23"/>
  <c r="Z2029" i="23"/>
  <c r="Y2029" i="23"/>
  <c r="W2032" i="23"/>
  <c r="Y60" i="22"/>
  <c r="Z60" i="22"/>
  <c r="X60" i="22"/>
  <c r="X1121" i="22"/>
  <c r="Z1121" i="22"/>
  <c r="Y1121" i="22"/>
  <c r="X1001" i="24"/>
  <c r="Z1001" i="24"/>
  <c r="Y1001" i="24"/>
  <c r="Z2322" i="23"/>
  <c r="Y2322" i="23"/>
  <c r="X2322" i="23"/>
  <c r="Z2354" i="24"/>
  <c r="X2354" i="24"/>
  <c r="Y2354" i="24"/>
  <c r="W2358" i="24"/>
  <c r="W2356" i="24"/>
  <c r="W2359" i="24"/>
  <c r="W2357" i="24"/>
  <c r="W2355" i="24"/>
  <c r="X1210" i="21"/>
  <c r="X299" i="22"/>
  <c r="X2528" i="24"/>
  <c r="X1361" i="24"/>
  <c r="X1381" i="24"/>
  <c r="X1253" i="23"/>
  <c r="X1240" i="24"/>
  <c r="X893" i="24"/>
  <c r="X1098" i="24"/>
  <c r="X503" i="24"/>
  <c r="X1486" i="23"/>
  <c r="X1559" i="24"/>
  <c r="X1551" i="24"/>
  <c r="X1543" i="24"/>
  <c r="X1342" i="24"/>
  <c r="X1026" i="24"/>
  <c r="X994" i="24"/>
  <c r="X1290" i="24"/>
  <c r="X477" i="24"/>
  <c r="X196" i="24"/>
  <c r="W1926" i="22"/>
  <c r="X876" i="22"/>
  <c r="X2133" i="22"/>
  <c r="X1748" i="24"/>
  <c r="X1599" i="24"/>
  <c r="X1250" i="24"/>
  <c r="X581" i="24"/>
  <c r="X1864" i="23"/>
  <c r="X1323" i="23"/>
  <c r="X1307" i="23"/>
  <c r="X1577" i="23"/>
  <c r="X1856" i="22"/>
  <c r="X2594" i="24"/>
  <c r="X1548" i="24"/>
  <c r="W2404" i="21"/>
  <c r="X275" i="22"/>
  <c r="X1828" i="24"/>
  <c r="X1463" i="24"/>
  <c r="X1762" i="23"/>
  <c r="X1518" i="23"/>
  <c r="X805" i="23"/>
  <c r="X2264" i="22"/>
  <c r="X1630" i="22"/>
  <c r="X1554" i="23"/>
  <c r="W2518" i="23"/>
  <c r="X24" i="23"/>
  <c r="X560" i="23"/>
  <c r="X819" i="22"/>
  <c r="X1733" i="24"/>
  <c r="X1242" i="24"/>
  <c r="W2418" i="23"/>
  <c r="X1329" i="24"/>
  <c r="X966" i="24"/>
  <c r="X2021" i="23"/>
  <c r="X237" i="24"/>
  <c r="X587" i="23"/>
  <c r="X30" i="23"/>
  <c r="W2262" i="22"/>
  <c r="X464" i="22"/>
  <c r="X1179" i="23"/>
  <c r="X1571" i="21"/>
  <c r="X686" i="21"/>
  <c r="X501" i="22"/>
  <c r="X231" i="22"/>
  <c r="X1405" i="24"/>
  <c r="X1606" i="23"/>
  <c r="Z436" i="23"/>
  <c r="Y942" i="24"/>
  <c r="Z942" i="24"/>
  <c r="Y536" i="24"/>
  <c r="Z536" i="24"/>
  <c r="X1749" i="24"/>
  <c r="Z1749" i="24"/>
  <c r="Y1749" i="24"/>
  <c r="Z576" i="24"/>
  <c r="Y576" i="24"/>
  <c r="X576" i="24"/>
  <c r="Y138" i="22"/>
  <c r="Z138" i="22"/>
  <c r="Z1025" i="24"/>
  <c r="Y1025" i="24"/>
  <c r="X1025" i="24"/>
  <c r="Z1893" i="23"/>
  <c r="Y1893" i="23"/>
  <c r="X1893" i="23"/>
  <c r="Y917" i="23"/>
  <c r="X917" i="23"/>
  <c r="Z917" i="23"/>
  <c r="X224" i="22"/>
  <c r="Z224" i="22"/>
  <c r="Y224" i="22"/>
  <c r="Z43" i="22"/>
  <c r="Y43" i="22"/>
  <c r="X43" i="22"/>
  <c r="Z1603" i="24"/>
  <c r="Y1603" i="24"/>
  <c r="X1603" i="24"/>
  <c r="X1483" i="23"/>
  <c r="Z1483" i="23"/>
  <c r="Y1483" i="23"/>
  <c r="Z658" i="24"/>
  <c r="Y658" i="24"/>
  <c r="X658" i="24"/>
  <c r="Y2684" i="23"/>
  <c r="Z2684" i="23"/>
  <c r="X2684" i="23"/>
  <c r="Y69" i="23"/>
  <c r="Z69" i="23"/>
  <c r="X69" i="23"/>
  <c r="Z126" i="23"/>
  <c r="Y126" i="23"/>
  <c r="X126" i="23"/>
  <c r="X496" i="23"/>
  <c r="Y496" i="23"/>
  <c r="Z496" i="23"/>
  <c r="Y2697" i="22"/>
  <c r="X2697" i="22"/>
  <c r="Z2697" i="22"/>
  <c r="Z1054" i="24"/>
  <c r="X1054" i="24"/>
  <c r="Y1054" i="24"/>
  <c r="X1838" i="23"/>
  <c r="Y1838" i="23"/>
  <c r="Z1838" i="23"/>
  <c r="Y1461" i="23"/>
  <c r="Z1461" i="23"/>
  <c r="X1461" i="23"/>
  <c r="Y240" i="22"/>
  <c r="X240" i="22"/>
  <c r="Z240" i="22"/>
  <c r="Z28" i="22"/>
  <c r="Y28" i="22"/>
  <c r="X28" i="22"/>
  <c r="Y2697" i="24"/>
  <c r="X2697" i="24"/>
  <c r="Z2697" i="24"/>
  <c r="X1729" i="24"/>
  <c r="Z1729" i="24"/>
  <c r="Y1729" i="24"/>
  <c r="Z1742" i="24"/>
  <c r="Y1742" i="24"/>
  <c r="X1742" i="24"/>
  <c r="X75" i="23"/>
  <c r="Y75" i="23"/>
  <c r="Z75" i="23"/>
  <c r="Z144" i="23"/>
  <c r="Y144" i="23"/>
  <c r="X144" i="23"/>
  <c r="W146" i="23"/>
  <c r="W145" i="23"/>
  <c r="W2586" i="22"/>
  <c r="W2587" i="22"/>
  <c r="W2583" i="22"/>
  <c r="Z2582" i="22"/>
  <c r="X2582" i="22"/>
  <c r="W2584" i="22"/>
  <c r="Y2582" i="22"/>
  <c r="W2585" i="22"/>
  <c r="Z2648" i="22"/>
  <c r="Y2648" i="22"/>
  <c r="X2648" i="22"/>
  <c r="Z1161" i="22"/>
  <c r="Y1161" i="22"/>
  <c r="X1161" i="22"/>
  <c r="Y1434" i="24"/>
  <c r="Z1434" i="24"/>
  <c r="X1434" i="24"/>
  <c r="Z1254" i="24"/>
  <c r="X1254" i="24"/>
  <c r="Y1254" i="24"/>
  <c r="Z1177" i="22"/>
  <c r="X1177" i="22"/>
  <c r="Y1177" i="22"/>
  <c r="Z273" i="23"/>
  <c r="Y273" i="23"/>
  <c r="X273" i="23"/>
  <c r="Y115" i="22"/>
  <c r="Z115" i="22"/>
  <c r="X115" i="22"/>
  <c r="X1941" i="22"/>
  <c r="Y1941" i="22"/>
  <c r="W1942" i="22"/>
  <c r="Z1941" i="22"/>
  <c r="W1943" i="22"/>
  <c r="W1944" i="22"/>
  <c r="W1815" i="24"/>
  <c r="X1814" i="24"/>
  <c r="Z1814" i="24"/>
  <c r="Y1814" i="24"/>
  <c r="W1816" i="24"/>
  <c r="Z1046" i="24"/>
  <c r="Y1046" i="24"/>
  <c r="Z982" i="24"/>
  <c r="Y982" i="24"/>
  <c r="Z585" i="24"/>
  <c r="Y585" i="24"/>
  <c r="Z65" i="24"/>
  <c r="X65" i="24"/>
  <c r="Y65" i="24"/>
  <c r="Y1794" i="22"/>
  <c r="Z1794" i="22"/>
  <c r="X1794" i="22"/>
  <c r="Z974" i="24"/>
  <c r="Y974" i="24"/>
  <c r="Z941" i="23"/>
  <c r="Y941" i="23"/>
  <c r="X941" i="23"/>
  <c r="X1419" i="22"/>
  <c r="Z1419" i="22"/>
  <c r="Y1419" i="22"/>
  <c r="X24" i="22"/>
  <c r="Z24" i="22"/>
  <c r="Y24" i="22"/>
  <c r="Y243" i="23"/>
  <c r="X243" i="23"/>
  <c r="Z243" i="23"/>
  <c r="Z23" i="22"/>
  <c r="X23" i="22"/>
  <c r="Y23" i="22"/>
  <c r="X1270" i="24"/>
  <c r="Z1270" i="24"/>
  <c r="Y1270" i="24"/>
  <c r="X828" i="24"/>
  <c r="Z828" i="24"/>
  <c r="Y828" i="24"/>
  <c r="X1501" i="23"/>
  <c r="Z1501" i="23"/>
  <c r="Y1501" i="23"/>
  <c r="Y226" i="22"/>
  <c r="Z226" i="22"/>
  <c r="X226" i="22"/>
  <c r="X2685" i="22"/>
  <c r="W2226" i="22"/>
  <c r="X1196" i="22"/>
  <c r="X1192" i="22"/>
  <c r="X73" i="22"/>
  <c r="X1393" i="24"/>
  <c r="X293" i="23"/>
  <c r="W316" i="23"/>
  <c r="X1614" i="24"/>
  <c r="X974" i="24"/>
  <c r="X1642" i="23"/>
  <c r="X2644" i="23"/>
  <c r="X2645" i="23"/>
  <c r="Y509" i="24"/>
  <c r="Z509" i="24"/>
  <c r="W2535" i="24"/>
  <c r="Z2534" i="24"/>
  <c r="X517" i="24"/>
  <c r="X1688" i="24"/>
  <c r="X89" i="24"/>
  <c r="X2045" i="22"/>
  <c r="X2646" i="24"/>
  <c r="X1800" i="24"/>
  <c r="X1339" i="24"/>
  <c r="X1010" i="24"/>
  <c r="X762" i="24"/>
  <c r="X516" i="24"/>
  <c r="X1111" i="23"/>
  <c r="X919" i="24"/>
  <c r="X894" i="24"/>
  <c r="X83" i="24"/>
  <c r="X2646" i="23"/>
  <c r="X1737" i="23"/>
  <c r="X85" i="23"/>
  <c r="X1706" i="23"/>
  <c r="X244" i="23"/>
  <c r="X947" i="22"/>
  <c r="X1247" i="22"/>
  <c r="X1644" i="24"/>
  <c r="Y240" i="24"/>
  <c r="Z240" i="24"/>
  <c r="Y946" i="24"/>
  <c r="Z946" i="24"/>
  <c r="X629" i="24"/>
  <c r="X317" i="23"/>
  <c r="W2171" i="22"/>
  <c r="X2204" i="22"/>
  <c r="W2393" i="23"/>
  <c r="W2151" i="22"/>
  <c r="X1134" i="22"/>
  <c r="X751" i="22"/>
  <c r="X2673" i="22"/>
  <c r="X1236" i="22"/>
  <c r="X527" i="22"/>
  <c r="X497" i="22"/>
  <c r="W2481" i="24"/>
  <c r="X1665" i="24"/>
  <c r="X1479" i="24"/>
  <c r="X1034" i="24"/>
  <c r="X500" i="24"/>
  <c r="X213" i="24"/>
  <c r="X2558" i="23"/>
  <c r="W2394" i="23"/>
  <c r="X1355" i="23"/>
  <c r="X1275" i="23"/>
  <c r="X1243" i="23"/>
  <c r="X1997" i="24"/>
  <c r="X1661" i="24"/>
  <c r="X975" i="24"/>
  <c r="X884" i="24"/>
  <c r="X769" i="23"/>
  <c r="X1274" i="22"/>
  <c r="W2605" i="22"/>
  <c r="Y150" i="24"/>
  <c r="Z150" i="24"/>
  <c r="X1277" i="24"/>
  <c r="X1064" i="24"/>
  <c r="Z1287" i="24"/>
  <c r="Y1287" i="24"/>
  <c r="X1632" i="23"/>
  <c r="X1738" i="23"/>
  <c r="X2635" i="22"/>
  <c r="Y2699" i="22"/>
  <c r="Z2699" i="22"/>
  <c r="W2568" i="23"/>
  <c r="X1271" i="22"/>
  <c r="X1449" i="21"/>
  <c r="X1521" i="21"/>
  <c r="X1729" i="21"/>
  <c r="X2057" i="21"/>
  <c r="X2654" i="24"/>
  <c r="X526" i="24"/>
  <c r="W442" i="23"/>
  <c r="X1520" i="24"/>
  <c r="X2678" i="23"/>
  <c r="X1753" i="24"/>
  <c r="Y1277" i="24"/>
  <c r="Z1277" i="24"/>
  <c r="Y129" i="24"/>
  <c r="Z129" i="24"/>
  <c r="X2009" i="24"/>
  <c r="X1481" i="24"/>
  <c r="X64" i="24"/>
  <c r="W2391" i="23"/>
  <c r="X1295" i="24"/>
  <c r="X588" i="24"/>
  <c r="X875" i="24"/>
  <c r="X458" i="24"/>
  <c r="X250" i="24"/>
  <c r="X1650" i="23"/>
  <c r="X746" i="23"/>
  <c r="X77" i="23"/>
  <c r="X1799" i="22"/>
  <c r="X931" i="22"/>
  <c r="W2597" i="24"/>
  <c r="Y1598" i="24"/>
  <c r="Z1598" i="24"/>
  <c r="X864" i="24"/>
  <c r="Z827" i="24"/>
  <c r="Y827" i="24"/>
  <c r="X1620" i="23"/>
  <c r="W664" i="23"/>
  <c r="X1451" i="23"/>
  <c r="X514" i="23"/>
  <c r="W325" i="22"/>
  <c r="X2707" i="23"/>
  <c r="X2528" i="22"/>
  <c r="W1716" i="22"/>
  <c r="W2392" i="23"/>
  <c r="W2483" i="23"/>
  <c r="X212" i="23"/>
  <c r="X71" i="23"/>
  <c r="Y1646" i="24"/>
  <c r="Z1646" i="24"/>
  <c r="Y1588" i="24"/>
  <c r="Z1588" i="24"/>
  <c r="X1596" i="24"/>
  <c r="X542" i="23"/>
  <c r="X494" i="23"/>
  <c r="Z494" i="23"/>
  <c r="X639" i="22"/>
  <c r="X1603" i="21"/>
  <c r="W1725" i="21"/>
  <c r="W1988" i="21"/>
  <c r="W1717" i="22"/>
  <c r="X1539" i="22"/>
  <c r="X560" i="22"/>
  <c r="X1398" i="24"/>
  <c r="X1147" i="23"/>
  <c r="X1099" i="23"/>
  <c r="X407" i="23"/>
  <c r="X1345" i="24"/>
  <c r="X1313" i="24"/>
  <c r="W376" i="24"/>
  <c r="X2673" i="23"/>
  <c r="X1000" i="24"/>
  <c r="X1691" i="23"/>
  <c r="Y2683" i="22"/>
  <c r="Z2683" i="22"/>
  <c r="X2636" i="23"/>
  <c r="X1656" i="23"/>
  <c r="X83" i="23"/>
  <c r="X844" i="22"/>
  <c r="W2382" i="21"/>
  <c r="X2594" i="21"/>
  <c r="X1059" i="21"/>
  <c r="W2531" i="21"/>
  <c r="X2686" i="22"/>
  <c r="X2498" i="22"/>
  <c r="X2474" i="22"/>
  <c r="X1769" i="22"/>
  <c r="X1587" i="22"/>
  <c r="X1187" i="22"/>
  <c r="X1035" i="22"/>
  <c r="X1027" i="22"/>
  <c r="X1019" i="22"/>
  <c r="X1011" i="22"/>
  <c r="X1003" i="22"/>
  <c r="Z932" i="21"/>
  <c r="X2633" i="21"/>
  <c r="W2555" i="21"/>
  <c r="X2693" i="22"/>
  <c r="X2665" i="22"/>
  <c r="X2186" i="22"/>
  <c r="X1559" i="22"/>
  <c r="X1143" i="22"/>
  <c r="X1111" i="22"/>
  <c r="X1077" i="22"/>
  <c r="X921" i="22"/>
  <c r="X1038" i="22"/>
  <c r="X1030" i="22"/>
  <c r="X1022" i="22"/>
  <c r="X1014" i="22"/>
  <c r="X1006" i="22"/>
  <c r="X998" i="22"/>
  <c r="X1797" i="22"/>
  <c r="X1188" i="22"/>
  <c r="X1103" i="22"/>
  <c r="X1193" i="22"/>
  <c r="X1185" i="22"/>
  <c r="X1041" i="22"/>
  <c r="X1033" i="22"/>
  <c r="X1025" i="22"/>
  <c r="X1017" i="22"/>
  <c r="X1009" i="22"/>
  <c r="X1001" i="22"/>
  <c r="X1575" i="22"/>
  <c r="W1919" i="22"/>
  <c r="X1793" i="22"/>
  <c r="X1795" i="22"/>
  <c r="X1565" i="22"/>
  <c r="X1555" i="22"/>
  <c r="X1260" i="22"/>
  <c r="X1228" i="22"/>
  <c r="X1186" i="22"/>
  <c r="X1131" i="22"/>
  <c r="X1083" i="22"/>
  <c r="X461" i="22"/>
  <c r="X849" i="21"/>
  <c r="W2063" i="22"/>
  <c r="X1321" i="22"/>
  <c r="X1210" i="22"/>
  <c r="X494" i="22"/>
  <c r="X96" i="21"/>
  <c r="X1268" i="22"/>
  <c r="X1204" i="22"/>
  <c r="X1189" i="22"/>
  <c r="X1040" i="22"/>
  <c r="X1032" i="22"/>
  <c r="X1024" i="22"/>
  <c r="X1016" i="22"/>
  <c r="X1008" i="22"/>
  <c r="X1000" i="22"/>
  <c r="W90" i="22"/>
  <c r="X39" i="22"/>
  <c r="X2675" i="24"/>
  <c r="X733" i="22"/>
  <c r="X506" i="22"/>
  <c r="X76" i="22"/>
  <c r="X2638" i="24"/>
  <c r="X284" i="22"/>
  <c r="W2484" i="24"/>
  <c r="X2258" i="24"/>
  <c r="X2240" i="24"/>
  <c r="X1876" i="24"/>
  <c r="X1811" i="24"/>
  <c r="X1808" i="24"/>
  <c r="X1746" i="24"/>
  <c r="X1431" i="24"/>
  <c r="X1423" i="24"/>
  <c r="X1415" i="24"/>
  <c r="X1447" i="24"/>
  <c r="X1373" i="24"/>
  <c r="X1365" i="24"/>
  <c r="X1118" i="24"/>
  <c r="X2216" i="24"/>
  <c r="W2289" i="24"/>
  <c r="W1854" i="24"/>
  <c r="X1465" i="24"/>
  <c r="X603" i="24"/>
  <c r="X1789" i="24"/>
  <c r="X1459" i="24"/>
  <c r="X1429" i="24"/>
  <c r="X1421" i="24"/>
  <c r="X1413" i="24"/>
  <c r="X1120" i="24"/>
  <c r="X1353" i="24"/>
  <c r="X1134" i="24"/>
  <c r="X1180" i="24"/>
  <c r="W699" i="24"/>
  <c r="Z699" i="24" s="1"/>
  <c r="W2290" i="24"/>
  <c r="X1699" i="24"/>
  <c r="X1609" i="24"/>
  <c r="X1461" i="24"/>
  <c r="X1196" i="24"/>
  <c r="W702" i="24"/>
  <c r="X515" i="24"/>
  <c r="X1917" i="24"/>
  <c r="X1557" i="24"/>
  <c r="X1549" i="24"/>
  <c r="X1541" i="24"/>
  <c r="X1331" i="24"/>
  <c r="X1307" i="24"/>
  <c r="X1114" i="24"/>
  <c r="X1323" i="24"/>
  <c r="X2468" i="24"/>
  <c r="X2282" i="24"/>
  <c r="W2320" i="24"/>
  <c r="Y2320" i="24" s="1"/>
  <c r="X1829" i="24"/>
  <c r="W1869" i="24"/>
  <c r="X1487" i="24"/>
  <c r="X1455" i="24"/>
  <c r="X1457" i="24"/>
  <c r="W701" i="24"/>
  <c r="W554" i="24"/>
  <c r="W1870" i="24"/>
  <c r="X1777" i="24"/>
  <c r="W1871" i="24"/>
  <c r="X1784" i="24"/>
  <c r="X1315" i="24"/>
  <c r="W502" i="24"/>
  <c r="Y502" i="24" s="1"/>
  <c r="X624" i="24"/>
  <c r="X55" i="24"/>
  <c r="X247" i="24"/>
  <c r="X2057" i="23"/>
  <c r="X1977" i="23"/>
  <c r="X1827" i="23"/>
  <c r="W1717" i="23"/>
  <c r="X2534" i="23"/>
  <c r="X770" i="24"/>
  <c r="W90" i="24"/>
  <c r="X2510" i="23"/>
  <c r="W2415" i="23"/>
  <c r="W2416" i="23"/>
  <c r="W2137" i="23"/>
  <c r="X31" i="24"/>
  <c r="X71" i="24"/>
  <c r="W2136" i="23"/>
  <c r="Y2136" i="23" s="1"/>
  <c r="P2716" i="23"/>
  <c r="W1718" i="23"/>
  <c r="Z1718" i="23" s="1"/>
  <c r="X1468" i="23"/>
  <c r="X1033" i="23"/>
  <c r="X1532" i="23"/>
  <c r="X1073" i="23"/>
  <c r="X530" i="23"/>
  <c r="X1484" i="23"/>
  <c r="X976" i="23"/>
  <c r="X912" i="23"/>
  <c r="X1049" i="23"/>
  <c r="X1548" i="23"/>
  <c r="X1089" i="23"/>
  <c r="X1500" i="23"/>
  <c r="X1227" i="23"/>
  <c r="X1195" i="23"/>
  <c r="X1163" i="23"/>
  <c r="X1065" i="23"/>
  <c r="P2714" i="23"/>
  <c r="X952" i="23"/>
  <c r="X1041" i="23"/>
  <c r="X1516" i="23"/>
  <c r="X1452" i="23"/>
  <c r="X944" i="23"/>
  <c r="X1081" i="23"/>
  <c r="X1057" i="23"/>
  <c r="X509" i="23"/>
  <c r="Y1669" i="23"/>
  <c r="Z1669" i="23"/>
  <c r="X1669" i="23"/>
  <c r="X113" i="23"/>
  <c r="Z113" i="23"/>
  <c r="Y25" i="24"/>
  <c r="Z25" i="24"/>
  <c r="X25" i="24"/>
  <c r="Z2639" i="23"/>
  <c r="X2639" i="23"/>
  <c r="Y520" i="23"/>
  <c r="Z520" i="23"/>
  <c r="Z954" i="23"/>
  <c r="Y954" i="23"/>
  <c r="Z97" i="23"/>
  <c r="Y97" i="23"/>
  <c r="X97" i="23"/>
  <c r="Y193" i="23"/>
  <c r="W195" i="23"/>
  <c r="W194" i="23"/>
  <c r="X193" i="23"/>
  <c r="Z117" i="23"/>
  <c r="Y117" i="23"/>
  <c r="X117" i="23"/>
  <c r="W2575" i="24"/>
  <c r="Z2570" i="24"/>
  <c r="W2573" i="24"/>
  <c r="X2570" i="24"/>
  <c r="X2552" i="23"/>
  <c r="W2555" i="23"/>
  <c r="W2557" i="23"/>
  <c r="X187" i="23"/>
  <c r="Z187" i="23"/>
  <c r="Y187" i="23"/>
  <c r="X213" i="23"/>
  <c r="Z213" i="23"/>
  <c r="Y213" i="23"/>
  <c r="Z1723" i="22"/>
  <c r="X1723" i="22"/>
  <c r="Y2651" i="24"/>
  <c r="Z2651" i="24"/>
  <c r="X2651" i="24"/>
  <c r="W2555" i="24"/>
  <c r="W2556" i="24"/>
  <c r="Y922" i="24"/>
  <c r="Z922" i="24"/>
  <c r="X922" i="24"/>
  <c r="Z52" i="23"/>
  <c r="Y52" i="23"/>
  <c r="Y2664" i="24"/>
  <c r="X2664" i="24"/>
  <c r="Z484" i="23"/>
  <c r="X484" i="23"/>
  <c r="X167" i="23"/>
  <c r="W168" i="23"/>
  <c r="W2404" i="24"/>
  <c r="Y2402" i="24"/>
  <c r="W2581" i="24"/>
  <c r="Z2576" i="24"/>
  <c r="W2579" i="24"/>
  <c r="X995" i="23"/>
  <c r="Z995" i="23"/>
  <c r="Y995" i="23"/>
  <c r="Z978" i="23"/>
  <c r="Y978" i="23"/>
  <c r="X978" i="23"/>
  <c r="X184" i="23"/>
  <c r="Z184" i="23"/>
  <c r="Y184" i="23"/>
  <c r="X62" i="23"/>
  <c r="Z62" i="23"/>
  <c r="Y62" i="23"/>
  <c r="X210" i="23"/>
  <c r="Z210" i="23"/>
  <c r="X138" i="23"/>
  <c r="Z138" i="23"/>
  <c r="Y2705" i="24"/>
  <c r="X2705" i="24"/>
  <c r="Y1798" i="24"/>
  <c r="Z1798" i="24"/>
  <c r="Y506" i="23"/>
  <c r="Z506" i="23"/>
  <c r="X506" i="23"/>
  <c r="Z128" i="23"/>
  <c r="X128" i="23"/>
  <c r="Y128" i="23"/>
  <c r="X54" i="23"/>
  <c r="Z54" i="23"/>
  <c r="Y54" i="23"/>
  <c r="Z57" i="23"/>
  <c r="Y57" i="23"/>
  <c r="X57" i="23"/>
  <c r="Z922" i="23"/>
  <c r="Y922" i="23"/>
  <c r="X147" i="23"/>
  <c r="W148" i="23"/>
  <c r="Y1489" i="24"/>
  <c r="Z1489" i="24"/>
  <c r="X131" i="23"/>
  <c r="Z131" i="23"/>
  <c r="Y131" i="23"/>
  <c r="W313" i="23"/>
  <c r="Y2659" i="24"/>
  <c r="Z2659" i="24"/>
  <c r="X2498" i="24"/>
  <c r="X2689" i="24"/>
  <c r="Z1493" i="24"/>
  <c r="Y1493" i="24"/>
  <c r="Z1094" i="24"/>
  <c r="Y1094" i="24"/>
  <c r="Z1329" i="24"/>
  <c r="Y1329" i="24"/>
  <c r="X951" i="24"/>
  <c r="X816" i="24"/>
  <c r="W620" i="24"/>
  <c r="X916" i="24"/>
  <c r="Y944" i="24"/>
  <c r="Z944" i="24"/>
  <c r="W1804" i="23"/>
  <c r="Z1802" i="23"/>
  <c r="Z250" i="24"/>
  <c r="Y250" i="24"/>
  <c r="X50" i="24"/>
  <c r="X2693" i="23"/>
  <c r="Y1793" i="23"/>
  <c r="Z1793" i="23"/>
  <c r="X1989" i="23"/>
  <c r="X1872" i="23"/>
  <c r="Y20" i="24"/>
  <c r="Z20" i="24"/>
  <c r="X1626" i="23"/>
  <c r="Y1661" i="23"/>
  <c r="Z1661" i="23"/>
  <c r="X491" i="23"/>
  <c r="X2650" i="22"/>
  <c r="W2052" i="22"/>
  <c r="Y2049" i="22"/>
  <c r="W2050" i="22"/>
  <c r="W2375" i="22"/>
  <c r="Z1048" i="22"/>
  <c r="Y1048" i="22"/>
  <c r="X2093" i="22"/>
  <c r="X1750" i="22"/>
  <c r="X1257" i="22"/>
  <c r="W664" i="22"/>
  <c r="W438" i="23"/>
  <c r="W2585" i="24"/>
  <c r="Z2582" i="24"/>
  <c r="W2587" i="24"/>
  <c r="W2586" i="24"/>
  <c r="X2679" i="24"/>
  <c r="X2703" i="24"/>
  <c r="X2612" i="24"/>
  <c r="Z1694" i="24"/>
  <c r="Y1694" i="24"/>
  <c r="Y1638" i="24"/>
  <c r="Z1638" i="24"/>
  <c r="X1706" i="24"/>
  <c r="Y1586" i="24"/>
  <c r="Z1586" i="24"/>
  <c r="Y1512" i="24"/>
  <c r="Z1512" i="24"/>
  <c r="Y1508" i="24"/>
  <c r="Z1508" i="24"/>
  <c r="Z1345" i="24"/>
  <c r="Y1345" i="24"/>
  <c r="Z1313" i="24"/>
  <c r="Y1313" i="24"/>
  <c r="X1279" i="24"/>
  <c r="Z1521" i="24"/>
  <c r="Y1521" i="24"/>
  <c r="X935" i="24"/>
  <c r="Y966" i="24"/>
  <c r="Z966" i="24"/>
  <c r="X1078" i="24"/>
  <c r="X967" i="24"/>
  <c r="Y916" i="24"/>
  <c r="Z916" i="24"/>
  <c r="X278" i="24"/>
  <c r="X2638" i="23"/>
  <c r="Z938" i="23"/>
  <c r="Y938" i="23"/>
  <c r="X834" i="23"/>
  <c r="X1846" i="23"/>
  <c r="X1634" i="23"/>
  <c r="X20" i="24"/>
  <c r="X2306" i="23"/>
  <c r="Z930" i="23"/>
  <c r="Y930" i="23"/>
  <c r="X1661" i="23"/>
  <c r="X776" i="23"/>
  <c r="X1612" i="23"/>
  <c r="X721" i="23"/>
  <c r="X1583" i="23"/>
  <c r="X1454" i="23"/>
  <c r="X1404" i="22"/>
  <c r="X1973" i="22"/>
  <c r="Y1973" i="22"/>
  <c r="W1974" i="22"/>
  <c r="X2687" i="22"/>
  <c r="X1345" i="22"/>
  <c r="Y202" i="22"/>
  <c r="Z202" i="22"/>
  <c r="X1412" i="22"/>
  <c r="Y250" i="22"/>
  <c r="Z250" i="22"/>
  <c r="X1608" i="22"/>
  <c r="X1158" i="22"/>
  <c r="X1388" i="22"/>
  <c r="X2240" i="22"/>
  <c r="V68" i="23"/>
  <c r="W2387" i="24"/>
  <c r="W2385" i="24"/>
  <c r="Z2384" i="24"/>
  <c r="Y2274" i="24"/>
  <c r="Z2274" i="24"/>
  <c r="Y1838" i="24"/>
  <c r="Z1838" i="24"/>
  <c r="X2582" i="24"/>
  <c r="Z1407" i="24"/>
  <c r="Y1407" i="24"/>
  <c r="X1741" i="24"/>
  <c r="Y1614" i="24"/>
  <c r="Z1614" i="24"/>
  <c r="Y1580" i="24"/>
  <c r="Z1580" i="24"/>
  <c r="Z1525" i="24"/>
  <c r="Y1525" i="24"/>
  <c r="Z1279" i="24"/>
  <c r="Y1279" i="24"/>
  <c r="Y906" i="24"/>
  <c r="Z906" i="24"/>
  <c r="Z504" i="24"/>
  <c r="Y504" i="24"/>
  <c r="Z797" i="24"/>
  <c r="Y797" i="24"/>
  <c r="X222" i="24"/>
  <c r="X58" i="24"/>
  <c r="X898" i="24"/>
  <c r="X631" i="24"/>
  <c r="X2651" i="23"/>
  <c r="X1888" i="23"/>
  <c r="X1585" i="23"/>
  <c r="Z946" i="23"/>
  <c r="Y946" i="23"/>
  <c r="Y571" i="23"/>
  <c r="Z571" i="23"/>
  <c r="Y563" i="23"/>
  <c r="Z563" i="23"/>
  <c r="X2642" i="22"/>
  <c r="W2593" i="22"/>
  <c r="W2589" i="22"/>
  <c r="X2588" i="22"/>
  <c r="X1580" i="24"/>
  <c r="Z1437" i="22"/>
  <c r="Y1437" i="22"/>
  <c r="X1766" i="22"/>
  <c r="Y511" i="22"/>
  <c r="Z511" i="22"/>
  <c r="Y2017" i="24"/>
  <c r="W2019" i="24"/>
  <c r="Z1354" i="24"/>
  <c r="X1354" i="24"/>
  <c r="Y1354" i="24"/>
  <c r="Z1501" i="24"/>
  <c r="Y1501" i="24"/>
  <c r="Y950" i="24"/>
  <c r="Z950" i="24"/>
  <c r="Y928" i="24"/>
  <c r="Z928" i="24"/>
  <c r="Y898" i="24"/>
  <c r="Z898" i="24"/>
  <c r="X585" i="24"/>
  <c r="Y238" i="24"/>
  <c r="Z238" i="24"/>
  <c r="W315" i="24"/>
  <c r="Y210" i="24"/>
  <c r="Z210" i="24"/>
  <c r="Z251" i="24"/>
  <c r="Y251" i="24"/>
  <c r="Y2682" i="23"/>
  <c r="Z2682" i="23"/>
  <c r="X537" i="23"/>
  <c r="X946" i="23"/>
  <c r="X954" i="23"/>
  <c r="X989" i="23"/>
  <c r="Y1697" i="23"/>
  <c r="Z1697" i="23"/>
  <c r="X981" i="23"/>
  <c r="X138" i="22"/>
  <c r="Y210" i="22"/>
  <c r="Z210" i="22"/>
  <c r="X1150" i="22"/>
  <c r="X1707" i="22"/>
  <c r="X939" i="22"/>
  <c r="W655" i="22"/>
  <c r="Z655" i="22" s="1"/>
  <c r="Z212" i="23"/>
  <c r="X2017" i="24"/>
  <c r="Y2643" i="24"/>
  <c r="Z2643" i="24"/>
  <c r="W2127" i="24"/>
  <c r="X2576" i="24"/>
  <c r="Y1492" i="24"/>
  <c r="Z1492" i="24"/>
  <c r="X1288" i="24"/>
  <c r="X1586" i="24"/>
  <c r="Y1520" i="24"/>
  <c r="Z1520" i="24"/>
  <c r="Y938" i="24"/>
  <c r="Z938" i="24"/>
  <c r="X950" i="24"/>
  <c r="Z508" i="24"/>
  <c r="Y508" i="24"/>
  <c r="Y894" i="24"/>
  <c r="Z894" i="24"/>
  <c r="Y870" i="24"/>
  <c r="Z870" i="24"/>
  <c r="X1839" i="23"/>
  <c r="X210" i="24"/>
  <c r="X112" i="24"/>
  <c r="X2528" i="23"/>
  <c r="X40" i="24"/>
  <c r="Y2644" i="23"/>
  <c r="Z2644" i="23"/>
  <c r="Z914" i="23"/>
  <c r="Y914" i="23"/>
  <c r="X1707" i="23"/>
  <c r="X914" i="23"/>
  <c r="X1648" i="23"/>
  <c r="X1697" i="23"/>
  <c r="X626" i="23"/>
  <c r="X220" i="23"/>
  <c r="X971" i="22"/>
  <c r="Y1794" i="24"/>
  <c r="Z1794" i="24"/>
  <c r="Y1562" i="24"/>
  <c r="Z1562" i="24"/>
  <c r="Z1237" i="24"/>
  <c r="Y1237" i="24"/>
  <c r="X1562" i="24"/>
  <c r="X1046" i="24"/>
  <c r="X982" i="24"/>
  <c r="Y138" i="24"/>
  <c r="Z138" i="24"/>
  <c r="Y1703" i="23"/>
  <c r="Z1703" i="23"/>
  <c r="X520" i="23"/>
  <c r="X1693" i="23"/>
  <c r="X1646" i="23"/>
  <c r="Y2122" i="22"/>
  <c r="Z2122" i="22"/>
  <c r="X27" i="23"/>
  <c r="Y1704" i="22"/>
  <c r="Z1704" i="22"/>
  <c r="X1437" i="22"/>
  <c r="X1817" i="22"/>
  <c r="X828" i="22"/>
  <c r="Y754" i="22"/>
  <c r="Z754" i="22"/>
  <c r="X1152" i="22"/>
  <c r="X582" i="23"/>
  <c r="W312" i="23"/>
  <c r="W441" i="23"/>
  <c r="V18" i="23"/>
  <c r="X2599" i="24"/>
  <c r="Y2599" i="24"/>
  <c r="W2413" i="24"/>
  <c r="W2411" i="24"/>
  <c r="W2609" i="24"/>
  <c r="Z2606" i="24"/>
  <c r="X2069" i="24"/>
  <c r="X1798" i="24"/>
  <c r="X1237" i="24"/>
  <c r="X1534" i="24"/>
  <c r="X1008" i="24"/>
  <c r="Z1295" i="24"/>
  <c r="Y1295" i="24"/>
  <c r="X1038" i="24"/>
  <c r="Y884" i="24"/>
  <c r="Z884" i="24"/>
  <c r="X138" i="24"/>
  <c r="X987" i="24"/>
  <c r="X551" i="24"/>
  <c r="Y70" i="24"/>
  <c r="Z70" i="24"/>
  <c r="X144" i="24"/>
  <c r="X899" i="24"/>
  <c r="W372" i="24"/>
  <c r="X1779" i="23"/>
  <c r="X137" i="24"/>
  <c r="Z970" i="23"/>
  <c r="Y970" i="23"/>
  <c r="W2297" i="23"/>
  <c r="Z962" i="23"/>
  <c r="Y962" i="23"/>
  <c r="X487" i="23"/>
  <c r="X729" i="23"/>
  <c r="X1618" i="23"/>
  <c r="X2682" i="23"/>
  <c r="X962" i="23"/>
  <c r="Y1706" i="23"/>
  <c r="Z1706" i="23"/>
  <c r="X922" i="23"/>
  <c r="X104" i="23"/>
  <c r="X32" i="23"/>
  <c r="W2268" i="22"/>
  <c r="Y120" i="22"/>
  <c r="Z120" i="22"/>
  <c r="Y218" i="22"/>
  <c r="Z218" i="22"/>
  <c r="X210" i="22"/>
  <c r="X1170" i="22"/>
  <c r="X979" i="22"/>
  <c r="Z2661" i="24"/>
  <c r="Y2661" i="24"/>
  <c r="X2661" i="24"/>
  <c r="Z1591" i="24"/>
  <c r="Y1591" i="24"/>
  <c r="X1591" i="24"/>
  <c r="Z1575" i="24"/>
  <c r="Y1575" i="24"/>
  <c r="X1575" i="24"/>
  <c r="U2715" i="24"/>
  <c r="Y1649" i="24"/>
  <c r="Z1649" i="24"/>
  <c r="Z1529" i="24"/>
  <c r="Y1529" i="24"/>
  <c r="Z1104" i="24"/>
  <c r="Y1104" i="24"/>
  <c r="Z1154" i="24"/>
  <c r="Y1154" i="24"/>
  <c r="Z830" i="24"/>
  <c r="Y830" i="24"/>
  <c r="X830" i="24"/>
  <c r="Z541" i="24"/>
  <c r="Y541" i="24"/>
  <c r="W557" i="24"/>
  <c r="Z485" i="24"/>
  <c r="Y485" i="24"/>
  <c r="Z492" i="24"/>
  <c r="Y492" i="24"/>
  <c r="Z118" i="24"/>
  <c r="Y118" i="24"/>
  <c r="V116" i="24"/>
  <c r="X118" i="24"/>
  <c r="U2715" i="23"/>
  <c r="Z1067" i="23"/>
  <c r="Y1067" i="23"/>
  <c r="Z1027" i="23"/>
  <c r="Y1027" i="23"/>
  <c r="X1027" i="23"/>
  <c r="Z1019" i="23"/>
  <c r="Y1019" i="23"/>
  <c r="X1019" i="23"/>
  <c r="Z1011" i="23"/>
  <c r="Y1011" i="23"/>
  <c r="X1011" i="23"/>
  <c r="Z1003" i="23"/>
  <c r="Y1003" i="23"/>
  <c r="X1003" i="23"/>
  <c r="Z969" i="23"/>
  <c r="Y969" i="23"/>
  <c r="X969" i="23"/>
  <c r="Z1093" i="23"/>
  <c r="Y1093" i="23"/>
  <c r="Z915" i="23"/>
  <c r="Y915" i="23"/>
  <c r="X915" i="23"/>
  <c r="Z1087" i="23"/>
  <c r="Y1087" i="23"/>
  <c r="Z1071" i="23"/>
  <c r="Y1071" i="23"/>
  <c r="Z1055" i="23"/>
  <c r="Y1055" i="23"/>
  <c r="Z1039" i="23"/>
  <c r="Y1039" i="23"/>
  <c r="W502" i="23"/>
  <c r="Z2653" i="24"/>
  <c r="Y2653" i="24"/>
  <c r="X2653" i="24"/>
  <c r="W1721" i="24"/>
  <c r="W1720" i="24"/>
  <c r="Z1719" i="24"/>
  <c r="W1722" i="24"/>
  <c r="Y1719" i="24"/>
  <c r="Z1589" i="24"/>
  <c r="Y1589" i="24"/>
  <c r="X1589" i="24"/>
  <c r="Z1573" i="24"/>
  <c r="Y1573" i="24"/>
  <c r="X1573" i="24"/>
  <c r="Z1170" i="24"/>
  <c r="Y1170" i="24"/>
  <c r="Z1212" i="24"/>
  <c r="Y1212" i="24"/>
  <c r="Z761" i="24"/>
  <c r="Y761" i="24"/>
  <c r="X761" i="24"/>
  <c r="Z728" i="24"/>
  <c r="Y728" i="24"/>
  <c r="X728" i="24"/>
  <c r="W691" i="24"/>
  <c r="W687" i="24"/>
  <c r="Z686" i="24"/>
  <c r="Y686" i="24"/>
  <c r="W689" i="24"/>
  <c r="W688" i="24"/>
  <c r="W690" i="24"/>
  <c r="X686" i="24"/>
  <c r="W642" i="24"/>
  <c r="Z641" i="24"/>
  <c r="W643" i="24"/>
  <c r="Y641" i="24"/>
  <c r="X641" i="24"/>
  <c r="Z497" i="24"/>
  <c r="Y497" i="24"/>
  <c r="X497" i="24"/>
  <c r="Z502" i="24"/>
  <c r="X502" i="24"/>
  <c r="Z220" i="24"/>
  <c r="Y220" i="24"/>
  <c r="X220" i="24"/>
  <c r="Z109" i="24"/>
  <c r="Y109" i="24"/>
  <c r="X109" i="24"/>
  <c r="Z26" i="24"/>
  <c r="Y26" i="24"/>
  <c r="Z1043" i="23"/>
  <c r="Y1043" i="23"/>
  <c r="Z1026" i="23"/>
  <c r="Y1026" i="23"/>
  <c r="X1026" i="23"/>
  <c r="Z1018" i="23"/>
  <c r="Y1018" i="23"/>
  <c r="X1018" i="23"/>
  <c r="Z1010" i="23"/>
  <c r="Y1010" i="23"/>
  <c r="X1010" i="23"/>
  <c r="Z1002" i="23"/>
  <c r="Y1002" i="23"/>
  <c r="X1002" i="23"/>
  <c r="Z961" i="23"/>
  <c r="Y961" i="23"/>
  <c r="X961" i="23"/>
  <c r="Z1069" i="23"/>
  <c r="Y1069" i="23"/>
  <c r="Z907" i="23"/>
  <c r="Y907" i="23"/>
  <c r="U2714" i="23"/>
  <c r="X907" i="23"/>
  <c r="Z510" i="23"/>
  <c r="Y510" i="23"/>
  <c r="Z486" i="23"/>
  <c r="Y486" i="23"/>
  <c r="X486" i="23"/>
  <c r="Z2645" i="24"/>
  <c r="Y2645" i="24"/>
  <c r="X2645" i="24"/>
  <c r="Y2085" i="24"/>
  <c r="W2088" i="24"/>
  <c r="W2087" i="24"/>
  <c r="W2086" i="24"/>
  <c r="Z2085" i="24"/>
  <c r="Z1792" i="24"/>
  <c r="Y1792" i="24"/>
  <c r="U2716" i="24"/>
  <c r="Z1758" i="24"/>
  <c r="Y1758" i="24"/>
  <c r="X1758" i="24"/>
  <c r="Z1587" i="24"/>
  <c r="Y1587" i="24"/>
  <c r="X1587" i="24"/>
  <c r="Z1698" i="24"/>
  <c r="Y1698" i="24"/>
  <c r="Y1641" i="24"/>
  <c r="Z1641" i="24"/>
  <c r="Z1142" i="24"/>
  <c r="Y1142" i="24"/>
  <c r="Z1126" i="24"/>
  <c r="Y1126" i="24"/>
  <c r="Z1226" i="24"/>
  <c r="Y1226" i="24"/>
  <c r="Z1210" i="24"/>
  <c r="Y1210" i="24"/>
  <c r="Z1194" i="24"/>
  <c r="Y1194" i="24"/>
  <c r="Z1178" i="24"/>
  <c r="Y1178" i="24"/>
  <c r="Z1162" i="24"/>
  <c r="Y1162" i="24"/>
  <c r="Z1146" i="24"/>
  <c r="Y1146" i="24"/>
  <c r="Z1186" i="24"/>
  <c r="Y1186" i="24"/>
  <c r="Z818" i="24"/>
  <c r="Y818" i="24"/>
  <c r="Z572" i="24"/>
  <c r="Y572" i="24"/>
  <c r="X572" i="24"/>
  <c r="Z212" i="24"/>
  <c r="Y212" i="24"/>
  <c r="X212" i="24"/>
  <c r="Z101" i="24"/>
  <c r="Y101" i="24"/>
  <c r="X101" i="24"/>
  <c r="Z73" i="24"/>
  <c r="Y73" i="24"/>
  <c r="Z56" i="24"/>
  <c r="Y56" i="24"/>
  <c r="Z75" i="24"/>
  <c r="Y75" i="24"/>
  <c r="W1813" i="23"/>
  <c r="W1812" i="23"/>
  <c r="Z1811" i="23"/>
  <c r="Y1811" i="23"/>
  <c r="Z1748" i="23"/>
  <c r="Y1748" i="23"/>
  <c r="Z1083" i="23"/>
  <c r="Y1083" i="23"/>
  <c r="Z953" i="23"/>
  <c r="Y953" i="23"/>
  <c r="X953" i="23"/>
  <c r="Z1045" i="23"/>
  <c r="Y1045" i="23"/>
  <c r="Z963" i="23"/>
  <c r="Y963" i="23"/>
  <c r="X963" i="23"/>
  <c r="Z2637" i="24"/>
  <c r="Y2637" i="24"/>
  <c r="X2637" i="24"/>
  <c r="Z2700" i="24"/>
  <c r="Y2700" i="24"/>
  <c r="W1967" i="24"/>
  <c r="Y1965" i="24"/>
  <c r="W1968" i="24"/>
  <c r="Z1965" i="24"/>
  <c r="W1966" i="24"/>
  <c r="X1847" i="24"/>
  <c r="W1849" i="24"/>
  <c r="W1848" i="24"/>
  <c r="Z1847" i="24"/>
  <c r="Y1847" i="24"/>
  <c r="Z1765" i="24"/>
  <c r="Y1765" i="24"/>
  <c r="X1765" i="24"/>
  <c r="Z1732" i="24"/>
  <c r="Y1732" i="24"/>
  <c r="X1732" i="24"/>
  <c r="Z1585" i="24"/>
  <c r="Y1585" i="24"/>
  <c r="X1585" i="24"/>
  <c r="Z1569" i="24"/>
  <c r="Y1569" i="24"/>
  <c r="X1569" i="24"/>
  <c r="Z1535" i="24"/>
  <c r="Y1535" i="24"/>
  <c r="Y1625" i="24"/>
  <c r="Z1625" i="24"/>
  <c r="Z1158" i="24"/>
  <c r="Y1158" i="24"/>
  <c r="Z1132" i="24"/>
  <c r="Y1132" i="24"/>
  <c r="Z1202" i="24"/>
  <c r="Y1202" i="24"/>
  <c r="Z778" i="24"/>
  <c r="Y778" i="24"/>
  <c r="X778" i="24"/>
  <c r="Z564" i="24"/>
  <c r="Y564" i="24"/>
  <c r="X564" i="24"/>
  <c r="Z553" i="24"/>
  <c r="Y553" i="24"/>
  <c r="X553" i="24"/>
  <c r="Z243" i="24"/>
  <c r="Y243" i="24"/>
  <c r="Z90" i="24"/>
  <c r="Y90" i="24"/>
  <c r="X90" i="24"/>
  <c r="Z48" i="24"/>
  <c r="Y48" i="24"/>
  <c r="Z1784" i="23"/>
  <c r="Y1784" i="23"/>
  <c r="Z1769" i="23"/>
  <c r="Y1769" i="23"/>
  <c r="Z1777" i="23"/>
  <c r="Y1777" i="23"/>
  <c r="Z1753" i="23"/>
  <c r="Y1753" i="23"/>
  <c r="Z1059" i="23"/>
  <c r="Y1059" i="23"/>
  <c r="Z945" i="23"/>
  <c r="Y945" i="23"/>
  <c r="X945" i="23"/>
  <c r="Z1085" i="23"/>
  <c r="Y1085" i="23"/>
  <c r="Z955" i="23"/>
  <c r="Y955" i="23"/>
  <c r="X955" i="23"/>
  <c r="Z2707" i="24"/>
  <c r="Y2707" i="24"/>
  <c r="X2707" i="24"/>
  <c r="Z1952" i="24"/>
  <c r="X1952" i="24"/>
  <c r="Y1952" i="24"/>
  <c r="Z1750" i="24"/>
  <c r="Y1750" i="24"/>
  <c r="X1750" i="24"/>
  <c r="Z1583" i="24"/>
  <c r="Y1583" i="24"/>
  <c r="X1583" i="24"/>
  <c r="Z1174" i="24"/>
  <c r="Y1174" i="24"/>
  <c r="Z1216" i="24"/>
  <c r="Y1216" i="24"/>
  <c r="Z1200" i="24"/>
  <c r="Y1200" i="24"/>
  <c r="Z1184" i="24"/>
  <c r="Y1184" i="24"/>
  <c r="Z1168" i="24"/>
  <c r="Y1168" i="24"/>
  <c r="Z1152" i="24"/>
  <c r="Y1152" i="24"/>
  <c r="Z1218" i="24"/>
  <c r="Y1218" i="24"/>
  <c r="Z753" i="24"/>
  <c r="Y753" i="24"/>
  <c r="X753" i="24"/>
  <c r="Z721" i="24"/>
  <c r="Y721" i="24"/>
  <c r="X721" i="24"/>
  <c r="Z670" i="24"/>
  <c r="Y670" i="24"/>
  <c r="X670" i="24"/>
  <c r="Z248" i="24"/>
  <c r="Y248" i="24"/>
  <c r="X248" i="24"/>
  <c r="Z94" i="24"/>
  <c r="Y94" i="24"/>
  <c r="W42" i="24"/>
  <c r="W195" i="24"/>
  <c r="W194" i="24"/>
  <c r="Z193" i="24"/>
  <c r="Y193" i="24"/>
  <c r="Z86" i="24"/>
  <c r="Y86" i="24"/>
  <c r="Z69" i="24"/>
  <c r="V68" i="24"/>
  <c r="Y69" i="24"/>
  <c r="W1849" i="23"/>
  <c r="W1848" i="23"/>
  <c r="Z1847" i="23"/>
  <c r="Y1847" i="23"/>
  <c r="Z1035" i="23"/>
  <c r="Y1035" i="23"/>
  <c r="Z1023" i="23"/>
  <c r="Y1023" i="23"/>
  <c r="X1023" i="23"/>
  <c r="Z1015" i="23"/>
  <c r="Y1015" i="23"/>
  <c r="X1015" i="23"/>
  <c r="Z1007" i="23"/>
  <c r="Y1007" i="23"/>
  <c r="X1007" i="23"/>
  <c r="Z937" i="23"/>
  <c r="Y937" i="23"/>
  <c r="X937" i="23"/>
  <c r="Z1061" i="23"/>
  <c r="Y1061" i="23"/>
  <c r="Z947" i="23"/>
  <c r="Y947" i="23"/>
  <c r="X947" i="23"/>
  <c r="Z1079" i="23"/>
  <c r="Y1079" i="23"/>
  <c r="Z1063" i="23"/>
  <c r="Y1063" i="23"/>
  <c r="Z1047" i="23"/>
  <c r="Y1047" i="23"/>
  <c r="Z1031" i="23"/>
  <c r="Y1031" i="23"/>
  <c r="Z2699" i="24"/>
  <c r="Y2699" i="24"/>
  <c r="X2699" i="24"/>
  <c r="W2060" i="24"/>
  <c r="W2059" i="24"/>
  <c r="W2058" i="24"/>
  <c r="Z2057" i="24"/>
  <c r="Y2057" i="24"/>
  <c r="Z1660" i="24"/>
  <c r="Y1660" i="24"/>
  <c r="X1660" i="24"/>
  <c r="Z1565" i="24"/>
  <c r="Y1565" i="24"/>
  <c r="X1565" i="24"/>
  <c r="Z1326" i="24"/>
  <c r="Y1326" i="24"/>
  <c r="Z1190" i="24"/>
  <c r="Y1190" i="24"/>
  <c r="Z1112" i="24"/>
  <c r="Y1112" i="24"/>
  <c r="Y810" i="24"/>
  <c r="Z810" i="24"/>
  <c r="X810" i="24"/>
  <c r="W663" i="24"/>
  <c r="Z662" i="24"/>
  <c r="W665" i="24"/>
  <c r="Y662" i="24"/>
  <c r="W664" i="24"/>
  <c r="W666" i="24"/>
  <c r="W667" i="24"/>
  <c r="X662" i="24"/>
  <c r="Z587" i="24"/>
  <c r="Y587" i="24"/>
  <c r="X587" i="24"/>
  <c r="Z188" i="24"/>
  <c r="Y188" i="24"/>
  <c r="X188" i="24"/>
  <c r="Z2506" i="23"/>
  <c r="X2506" i="23"/>
  <c r="Y2506" i="23"/>
  <c r="Z1739" i="23"/>
  <c r="Y1739" i="23"/>
  <c r="X1739" i="23"/>
  <c r="Z1075" i="23"/>
  <c r="Y1075" i="23"/>
  <c r="Z1030" i="23"/>
  <c r="Y1030" i="23"/>
  <c r="X1030" i="23"/>
  <c r="Z1022" i="23"/>
  <c r="Y1022" i="23"/>
  <c r="X1022" i="23"/>
  <c r="Z1014" i="23"/>
  <c r="Y1014" i="23"/>
  <c r="X1014" i="23"/>
  <c r="Z1006" i="23"/>
  <c r="Y1006" i="23"/>
  <c r="X1006" i="23"/>
  <c r="Z993" i="23"/>
  <c r="Y993" i="23"/>
  <c r="X993" i="23"/>
  <c r="Z929" i="23"/>
  <c r="Y929" i="23"/>
  <c r="X929" i="23"/>
  <c r="Z1037" i="23"/>
  <c r="Y1037" i="23"/>
  <c r="Z939" i="23"/>
  <c r="Y939" i="23"/>
  <c r="X939" i="23"/>
  <c r="Z640" i="23"/>
  <c r="Y640" i="23"/>
  <c r="Z465" i="23"/>
  <c r="Y465" i="23"/>
  <c r="X465" i="23"/>
  <c r="Z2691" i="24"/>
  <c r="Y2691" i="24"/>
  <c r="X2691" i="24"/>
  <c r="Z1563" i="24"/>
  <c r="Y1563" i="24"/>
  <c r="X1563" i="24"/>
  <c r="Y1633" i="24"/>
  <c r="Z1633" i="24"/>
  <c r="Z1206" i="24"/>
  <c r="Y1206" i="24"/>
  <c r="Z625" i="24"/>
  <c r="Y625" i="24"/>
  <c r="X625" i="24"/>
  <c r="Z804" i="24"/>
  <c r="Y804" i="24"/>
  <c r="W325" i="24"/>
  <c r="W327" i="24"/>
  <c r="W328" i="24"/>
  <c r="W324" i="24"/>
  <c r="W326" i="24"/>
  <c r="Z323" i="24"/>
  <c r="Y323" i="24"/>
  <c r="W303" i="24"/>
  <c r="Z302" i="24"/>
  <c r="W304" i="24"/>
  <c r="Y302" i="24"/>
  <c r="X302" i="24"/>
  <c r="Z233" i="24"/>
  <c r="Y233" i="24"/>
  <c r="X233" i="24"/>
  <c r="Z131" i="24"/>
  <c r="Y131" i="24"/>
  <c r="Z205" i="24"/>
  <c r="Y205" i="24"/>
  <c r="Z1776" i="23"/>
  <c r="Y1776" i="23"/>
  <c r="Z1051" i="23"/>
  <c r="Y1051" i="23"/>
  <c r="Z985" i="23"/>
  <c r="Y985" i="23"/>
  <c r="X985" i="23"/>
  <c r="Z921" i="23"/>
  <c r="Y921" i="23"/>
  <c r="X921" i="23"/>
  <c r="Z1077" i="23"/>
  <c r="Y1077" i="23"/>
  <c r="Z931" i="23"/>
  <c r="Y931" i="23"/>
  <c r="X931" i="23"/>
  <c r="Z517" i="23"/>
  <c r="Y517" i="23"/>
  <c r="W2104" i="24"/>
  <c r="W2102" i="24"/>
  <c r="W2103" i="24"/>
  <c r="Z2101" i="24"/>
  <c r="Y2101" i="24"/>
  <c r="X2101" i="24"/>
  <c r="W2134" i="24"/>
  <c r="Z2133" i="24"/>
  <c r="W2136" i="24"/>
  <c r="W2135" i="24"/>
  <c r="W2137" i="24"/>
  <c r="Y2133" i="24"/>
  <c r="Z1577" i="24"/>
  <c r="Y1577" i="24"/>
  <c r="X1577" i="24"/>
  <c r="Z1222" i="24"/>
  <c r="Y1222" i="24"/>
  <c r="Z1110" i="24"/>
  <c r="Y1110" i="24"/>
  <c r="Z651" i="24"/>
  <c r="Y651" i="24"/>
  <c r="X651" i="24"/>
  <c r="Z580" i="24"/>
  <c r="Y580" i="24"/>
  <c r="X580" i="24"/>
  <c r="Z467" i="24"/>
  <c r="Y467" i="24"/>
  <c r="Z35" i="24"/>
  <c r="Y35" i="24"/>
  <c r="Z187" i="24"/>
  <c r="Y187" i="24"/>
  <c r="Z1750" i="23"/>
  <c r="Y1750" i="23"/>
  <c r="Z1799" i="23"/>
  <c r="Y1799" i="23"/>
  <c r="U2716" i="23"/>
  <c r="Z1091" i="23"/>
  <c r="Y1091" i="23"/>
  <c r="Z1028" i="23"/>
  <c r="Y1028" i="23"/>
  <c r="X1028" i="23"/>
  <c r="Z1020" i="23"/>
  <c r="Y1020" i="23"/>
  <c r="X1020" i="23"/>
  <c r="Z1012" i="23"/>
  <c r="Y1012" i="23"/>
  <c r="X1012" i="23"/>
  <c r="Z1004" i="23"/>
  <c r="Y1004" i="23"/>
  <c r="X1004" i="23"/>
  <c r="Z977" i="23"/>
  <c r="Y977" i="23"/>
  <c r="X977" i="23"/>
  <c r="Z913" i="23"/>
  <c r="Y913" i="23"/>
  <c r="X913" i="23"/>
  <c r="Z1053" i="23"/>
  <c r="Y1053" i="23"/>
  <c r="Z923" i="23"/>
  <c r="Y923" i="23"/>
  <c r="X923" i="23"/>
  <c r="X2663" i="24"/>
  <c r="Z2613" i="24"/>
  <c r="Y2613" i="24"/>
  <c r="X2613" i="24"/>
  <c r="Z2584" i="24"/>
  <c r="Y2584" i="24"/>
  <c r="X2584" i="24"/>
  <c r="H2570" i="24"/>
  <c r="J2570" i="24" s="1"/>
  <c r="Z2589" i="24"/>
  <c r="X2589" i="24"/>
  <c r="Y2589" i="24"/>
  <c r="X2547" i="24"/>
  <c r="Z2547" i="24"/>
  <c r="Y2547" i="24"/>
  <c r="Z2542" i="24"/>
  <c r="Y2542" i="24"/>
  <c r="X2542" i="24"/>
  <c r="X2525" i="24"/>
  <c r="Z2525" i="24"/>
  <c r="Y2525" i="24"/>
  <c r="Z2519" i="24"/>
  <c r="X2519" i="24"/>
  <c r="Y2519" i="24"/>
  <c r="W2491" i="24"/>
  <c r="W2489" i="24"/>
  <c r="W2487" i="24"/>
  <c r="Z2486" i="24"/>
  <c r="W2490" i="24"/>
  <c r="W2488" i="24"/>
  <c r="Y2486" i="24"/>
  <c r="Z2508" i="24"/>
  <c r="X2508" i="24"/>
  <c r="Y2508" i="24"/>
  <c r="Y2388" i="24"/>
  <c r="Z2388" i="24"/>
  <c r="X2388" i="24"/>
  <c r="W2483" i="24"/>
  <c r="Z2464" i="24"/>
  <c r="Y2464" i="24"/>
  <c r="X2464" i="24"/>
  <c r="Z2443" i="24"/>
  <c r="Y2443" i="24"/>
  <c r="X2443" i="24"/>
  <c r="X2433" i="24"/>
  <c r="Z2433" i="24"/>
  <c r="Y2433" i="24"/>
  <c r="Y2415" i="24"/>
  <c r="Z2415" i="24"/>
  <c r="X2415" i="24"/>
  <c r="Y2329" i="24"/>
  <c r="X2329" i="24"/>
  <c r="Z2329" i="24"/>
  <c r="Y2335" i="24"/>
  <c r="X2335" i="24"/>
  <c r="Z2335" i="24"/>
  <c r="X2398" i="24"/>
  <c r="Z2398" i="24"/>
  <c r="Y2398" i="24"/>
  <c r="W2242" i="24"/>
  <c r="W2245" i="24"/>
  <c r="W2241" i="24"/>
  <c r="Z2240" i="24"/>
  <c r="Y2240" i="24"/>
  <c r="W2244" i="24"/>
  <c r="W2243" i="24"/>
  <c r="Z2377" i="24"/>
  <c r="Y2377" i="24"/>
  <c r="X2377" i="24"/>
  <c r="W2343" i="24"/>
  <c r="Z2282" i="24"/>
  <c r="W2286" i="24"/>
  <c r="W2284" i="24"/>
  <c r="W2283" i="24"/>
  <c r="Y2282" i="24"/>
  <c r="W2287" i="24"/>
  <c r="W2285" i="24"/>
  <c r="Z2427" i="24"/>
  <c r="Y2427" i="24"/>
  <c r="X2427" i="24"/>
  <c r="Z2180" i="24"/>
  <c r="W2185" i="24"/>
  <c r="W2182" i="24"/>
  <c r="W2184" i="24"/>
  <c r="W2181" i="24"/>
  <c r="Y2180" i="24"/>
  <c r="W2183" i="24"/>
  <c r="X2180" i="24"/>
  <c r="W2293" i="24"/>
  <c r="Y2209" i="24"/>
  <c r="Z2209" i="24"/>
  <c r="X2209" i="24"/>
  <c r="W2323" i="24"/>
  <c r="X2277" i="24"/>
  <c r="Z2277" i="24"/>
  <c r="Y2277" i="24"/>
  <c r="Z2248" i="24"/>
  <c r="Y2248" i="24"/>
  <c r="X2248" i="24"/>
  <c r="X2178" i="24"/>
  <c r="Z2178" i="24"/>
  <c r="Y2178" i="24"/>
  <c r="Y2021" i="24"/>
  <c r="W2024" i="24"/>
  <c r="W2023" i="24"/>
  <c r="W2022" i="24"/>
  <c r="Z2021" i="24"/>
  <c r="X2021" i="24"/>
  <c r="Z2267" i="24"/>
  <c r="Y2267" i="24"/>
  <c r="X2267" i="24"/>
  <c r="Z2091" i="24"/>
  <c r="Y2091" i="24"/>
  <c r="X2091" i="24"/>
  <c r="W2146" i="24"/>
  <c r="W2144" i="24"/>
  <c r="Z2143" i="24"/>
  <c r="Y2143" i="24"/>
  <c r="W2147" i="24"/>
  <c r="W2145" i="24"/>
  <c r="W2050" i="24"/>
  <c r="Z2049" i="24"/>
  <c r="Y2049" i="24"/>
  <c r="W2051" i="24"/>
  <c r="W2052" i="24"/>
  <c r="Y2071" i="24"/>
  <c r="Z2071" i="24"/>
  <c r="X2071" i="24"/>
  <c r="Z2166" i="24"/>
  <c r="Y2166" i="24"/>
  <c r="X2166" i="24"/>
  <c r="X2057" i="24"/>
  <c r="X2118" i="24"/>
  <c r="X2049" i="24"/>
  <c r="Z1959" i="24"/>
  <c r="X1959" i="24"/>
  <c r="Y1959" i="24"/>
  <c r="W1903" i="24"/>
  <c r="W1901" i="24"/>
  <c r="Z1900" i="24"/>
  <c r="W1902" i="24"/>
  <c r="Y1900" i="24"/>
  <c r="W2117" i="24"/>
  <c r="W2114" i="24"/>
  <c r="Z2113" i="24"/>
  <c r="Y2113" i="24"/>
  <c r="W2116" i="24"/>
  <c r="W2115" i="24"/>
  <c r="X1944" i="24"/>
  <c r="Z1944" i="24"/>
  <c r="Y1944" i="24"/>
  <c r="Z1818" i="24"/>
  <c r="Y1818" i="24"/>
  <c r="X1818" i="24"/>
  <c r="Y2054" i="24"/>
  <c r="X2054" i="24"/>
  <c r="Z2054" i="24"/>
  <c r="Z1777" i="24"/>
  <c r="Y1777" i="24"/>
  <c r="Z1731" i="24"/>
  <c r="Y1731" i="24"/>
  <c r="X1731" i="24"/>
  <c r="Z2170" i="24"/>
  <c r="X2170" i="24"/>
  <c r="Y2170" i="24"/>
  <c r="Z1816" i="24"/>
  <c r="Y1816" i="24"/>
  <c r="X1816" i="24"/>
  <c r="X1792" i="24"/>
  <c r="Z1737" i="24"/>
  <c r="Y1737" i="24"/>
  <c r="Y1746" i="24"/>
  <c r="Z1746" i="24"/>
  <c r="Z1734" i="24"/>
  <c r="Y1734" i="24"/>
  <c r="Z1979" i="24"/>
  <c r="Y1979" i="24"/>
  <c r="X1979" i="24"/>
  <c r="W1881" i="24"/>
  <c r="Z1705" i="24"/>
  <c r="Y1705" i="24"/>
  <c r="Z1640" i="24"/>
  <c r="Y1640" i="24"/>
  <c r="Z1608" i="24"/>
  <c r="Y1608" i="24"/>
  <c r="Z1607" i="24"/>
  <c r="Y1607" i="24"/>
  <c r="Y1803" i="24"/>
  <c r="X1803" i="24"/>
  <c r="Z1803" i="24"/>
  <c r="X1625" i="24"/>
  <c r="Z1559" i="24"/>
  <c r="Y1559" i="24"/>
  <c r="Z1551" i="24"/>
  <c r="Y1551" i="24"/>
  <c r="Z1543" i="24"/>
  <c r="Y1543" i="24"/>
  <c r="X1715" i="24"/>
  <c r="X1633" i="24"/>
  <c r="Z1784" i="24"/>
  <c r="Y1784" i="24"/>
  <c r="X1680" i="24"/>
  <c r="X1641" i="24"/>
  <c r="Z1479" i="24"/>
  <c r="Y1479" i="24"/>
  <c r="X1467" i="24"/>
  <c r="Z1408" i="24"/>
  <c r="Y1408" i="24"/>
  <c r="Z1308" i="24"/>
  <c r="Y1308" i="24"/>
  <c r="X1308" i="24"/>
  <c r="Z1433" i="24"/>
  <c r="Y1433" i="24"/>
  <c r="Z1425" i="24"/>
  <c r="Y1425" i="24"/>
  <c r="Z1417" i="24"/>
  <c r="Y1417" i="24"/>
  <c r="Z1394" i="24"/>
  <c r="Y1394" i="24"/>
  <c r="X1394" i="24"/>
  <c r="Z1362" i="24"/>
  <c r="Y1362" i="24"/>
  <c r="X1362" i="24"/>
  <c r="Z1474" i="24"/>
  <c r="Y1474" i="24"/>
  <c r="Z1445" i="24"/>
  <c r="Y1445" i="24"/>
  <c r="Z1481" i="24"/>
  <c r="Y1481" i="24"/>
  <c r="X1469" i="24"/>
  <c r="Z1527" i="24"/>
  <c r="Y1527" i="24"/>
  <c r="Y1450" i="24"/>
  <c r="Z1450" i="24"/>
  <c r="Z1404" i="24"/>
  <c r="Y1404" i="24"/>
  <c r="Z1336" i="24"/>
  <c r="Y1336" i="24"/>
  <c r="X1450" i="24"/>
  <c r="Z1388" i="24"/>
  <c r="Y1388" i="24"/>
  <c r="Z1356" i="24"/>
  <c r="Y1356" i="24"/>
  <c r="X1357" i="24"/>
  <c r="X1404" i="24"/>
  <c r="Z1325" i="24"/>
  <c r="Y1325" i="24"/>
  <c r="X1377" i="24"/>
  <c r="Z1301" i="24"/>
  <c r="Y1301" i="24"/>
  <c r="X1449" i="24"/>
  <c r="X1388" i="24"/>
  <c r="X1397" i="24"/>
  <c r="Z1349" i="24"/>
  <c r="Y1349" i="24"/>
  <c r="Z1338" i="24"/>
  <c r="Y1338" i="24"/>
  <c r="X1441" i="24"/>
  <c r="Z1231" i="24"/>
  <c r="Y1231" i="24"/>
  <c r="Z1309" i="24"/>
  <c r="Y1309" i="24"/>
  <c r="X1132" i="24"/>
  <c r="X1269" i="24"/>
  <c r="X1253" i="24"/>
  <c r="X986" i="24"/>
  <c r="X1045" i="24"/>
  <c r="Z996" i="24"/>
  <c r="Y996" i="24"/>
  <c r="Z1074" i="24"/>
  <c r="Y1074" i="24"/>
  <c r="Z1034" i="24"/>
  <c r="Y1034" i="24"/>
  <c r="Z1058" i="24"/>
  <c r="Y1058" i="24"/>
  <c r="Z1076" i="24"/>
  <c r="Y1076" i="24"/>
  <c r="Z1057" i="24"/>
  <c r="Y1057" i="24"/>
  <c r="X1021" i="24"/>
  <c r="W788" i="24"/>
  <c r="W787" i="24"/>
  <c r="Z785" i="24"/>
  <c r="W786" i="24"/>
  <c r="Y785" i="24"/>
  <c r="S638" i="24"/>
  <c r="U638" i="24" s="1"/>
  <c r="P638" i="24"/>
  <c r="X834" i="24"/>
  <c r="Y832" i="24"/>
  <c r="Z832" i="24"/>
  <c r="S328" i="24"/>
  <c r="U328" i="24" s="1"/>
  <c r="P328" i="24"/>
  <c r="Z694" i="24"/>
  <c r="Y694" i="24"/>
  <c r="X694" i="24"/>
  <c r="Z610" i="24"/>
  <c r="Y610" i="24"/>
  <c r="X610" i="24"/>
  <c r="Y802" i="24"/>
  <c r="Z802" i="24"/>
  <c r="Z618" i="24"/>
  <c r="Y618" i="24"/>
  <c r="X618" i="24"/>
  <c r="X565" i="24"/>
  <c r="Z515" i="24"/>
  <c r="Y515" i="24"/>
  <c r="Z628" i="24"/>
  <c r="Y628" i="24"/>
  <c r="Z409" i="24"/>
  <c r="Y409" i="24"/>
  <c r="X409" i="24"/>
  <c r="Z713" i="24"/>
  <c r="Y713" i="24"/>
  <c r="X713" i="24"/>
  <c r="Z581" i="24"/>
  <c r="Y581" i="24"/>
  <c r="Z471" i="24"/>
  <c r="Y471" i="24"/>
  <c r="Z384" i="24"/>
  <c r="Y384" i="24"/>
  <c r="X384" i="24"/>
  <c r="X467" i="24"/>
  <c r="X717" i="24"/>
  <c r="X459" i="24"/>
  <c r="Z679" i="24"/>
  <c r="Y679" i="24"/>
  <c r="X679" i="24"/>
  <c r="Z516" i="24"/>
  <c r="Y516" i="24"/>
  <c r="Z465" i="24"/>
  <c r="Y465" i="24"/>
  <c r="Z624" i="24"/>
  <c r="Y624" i="24"/>
  <c r="X357" i="24"/>
  <c r="Z357" i="24"/>
  <c r="Y357" i="24"/>
  <c r="Z152" i="24"/>
  <c r="Y152" i="24"/>
  <c r="X152" i="24"/>
  <c r="W366" i="24"/>
  <c r="Z365" i="24"/>
  <c r="Y365" i="24"/>
  <c r="W368" i="24"/>
  <c r="W367" i="24"/>
  <c r="W369" i="24"/>
  <c r="W370" i="24"/>
  <c r="X323" i="24"/>
  <c r="X492" i="24"/>
  <c r="Z231" i="24"/>
  <c r="Y231" i="24"/>
  <c r="Z594" i="24"/>
  <c r="Y594" i="24"/>
  <c r="X594" i="24"/>
  <c r="X131" i="24"/>
  <c r="S283" i="24"/>
  <c r="U283" i="24" s="1"/>
  <c r="P283" i="24"/>
  <c r="X173" i="24"/>
  <c r="Z173" i="24"/>
  <c r="Y173" i="24"/>
  <c r="Z143" i="24"/>
  <c r="Y143" i="24"/>
  <c r="X143" i="24"/>
  <c r="Z178" i="24"/>
  <c r="Y178" i="24"/>
  <c r="X178" i="24"/>
  <c r="X75" i="24"/>
  <c r="U301" i="24"/>
  <c r="X2650" i="23"/>
  <c r="X193" i="24"/>
  <c r="Z151" i="24"/>
  <c r="Y151" i="24"/>
  <c r="X151" i="24"/>
  <c r="Z223" i="24"/>
  <c r="Y223" i="24"/>
  <c r="Z98" i="24"/>
  <c r="Y98" i="24"/>
  <c r="X273" i="24"/>
  <c r="Z273" i="24"/>
  <c r="Y273" i="24"/>
  <c r="X33" i="24"/>
  <c r="Z2485" i="23"/>
  <c r="Y2485" i="23"/>
  <c r="X2485" i="23"/>
  <c r="Z2531" i="23"/>
  <c r="Y2531" i="23"/>
  <c r="X2531" i="23"/>
  <c r="Z2295" i="23"/>
  <c r="Y2295" i="23"/>
  <c r="X2295" i="23"/>
  <c r="Z2702" i="23"/>
  <c r="Y2702" i="23"/>
  <c r="Z2569" i="23"/>
  <c r="Y2569" i="23"/>
  <c r="X2569" i="23"/>
  <c r="Z2541" i="23"/>
  <c r="Y2541" i="23"/>
  <c r="X2541" i="23"/>
  <c r="Z2526" i="23"/>
  <c r="Y2526" i="23"/>
  <c r="X2526" i="23"/>
  <c r="Z2533" i="23"/>
  <c r="Y2533" i="23"/>
  <c r="X2533" i="23"/>
  <c r="Z2382" i="23"/>
  <c r="X2382" i="23"/>
  <c r="Y2382" i="23"/>
  <c r="X2337" i="23"/>
  <c r="Z2337" i="23"/>
  <c r="Y2337" i="23"/>
  <c r="W2434" i="23"/>
  <c r="Z2471" i="23"/>
  <c r="X2471" i="23"/>
  <c r="Y2471" i="23"/>
  <c r="W2417" i="23"/>
  <c r="Z2389" i="23"/>
  <c r="X2389" i="23"/>
  <c r="Y2389" i="23"/>
  <c r="X2222" i="23"/>
  <c r="X2041" i="23"/>
  <c r="Z2422" i="23"/>
  <c r="X2422" i="23"/>
  <c r="Y2422" i="23"/>
  <c r="X2350" i="23"/>
  <c r="Z2350" i="23"/>
  <c r="Y2350" i="23"/>
  <c r="Z2343" i="23"/>
  <c r="Y2343" i="23"/>
  <c r="X2343" i="23"/>
  <c r="Z2331" i="23"/>
  <c r="Y2331" i="23"/>
  <c r="X2331" i="23"/>
  <c r="W2280" i="23"/>
  <c r="W2413" i="23"/>
  <c r="X2403" i="23"/>
  <c r="Z2403" i="23"/>
  <c r="Y2403" i="23"/>
  <c r="X2174" i="23"/>
  <c r="X2464" i="23"/>
  <c r="Z2464" i="23"/>
  <c r="Y2464" i="23"/>
  <c r="Z2460" i="23"/>
  <c r="X2460" i="23"/>
  <c r="Y2460" i="23"/>
  <c r="Z2284" i="23"/>
  <c r="Y2284" i="23"/>
  <c r="X2284" i="23"/>
  <c r="Z2252" i="23"/>
  <c r="W2256" i="23"/>
  <c r="W2257" i="23"/>
  <c r="W2255" i="23"/>
  <c r="W2254" i="23"/>
  <c r="W2253" i="23"/>
  <c r="Y2252" i="23"/>
  <c r="Z2007" i="23"/>
  <c r="Y2007" i="23"/>
  <c r="X2007" i="23"/>
  <c r="Z1863" i="23"/>
  <c r="X1863" i="23"/>
  <c r="Y1863" i="23"/>
  <c r="X2361" i="23"/>
  <c r="Z2361" i="23"/>
  <c r="Y2361" i="23"/>
  <c r="Z2046" i="23"/>
  <c r="Y2046" i="23"/>
  <c r="X2046" i="23"/>
  <c r="Z1986" i="23"/>
  <c r="Y1986" i="23"/>
  <c r="X1986" i="23"/>
  <c r="Z1955" i="23"/>
  <c r="Y1955" i="23"/>
  <c r="X1955" i="23"/>
  <c r="W2251" i="23"/>
  <c r="X2209" i="23"/>
  <c r="Z2209" i="23"/>
  <c r="Y2209" i="23"/>
  <c r="Z2165" i="23"/>
  <c r="Y2165" i="23"/>
  <c r="X2165" i="23"/>
  <c r="W1962" i="23"/>
  <c r="X1908" i="23"/>
  <c r="Z1908" i="23"/>
  <c r="Y1908" i="23"/>
  <c r="Z2221" i="23"/>
  <c r="Y2221" i="23"/>
  <c r="X2221" i="23"/>
  <c r="X2006" i="23"/>
  <c r="Z2006" i="23"/>
  <c r="Y2006" i="23"/>
  <c r="X1841" i="23"/>
  <c r="W2241" i="23"/>
  <c r="Z2239" i="23"/>
  <c r="X2239" i="23"/>
  <c r="Y2239" i="23"/>
  <c r="X2155" i="23"/>
  <c r="Z2155" i="23"/>
  <c r="Y2155" i="23"/>
  <c r="Z2064" i="23"/>
  <c r="Y2064" i="23"/>
  <c r="X2064" i="23"/>
  <c r="W1948" i="23"/>
  <c r="W2135" i="23"/>
  <c r="Y1874" i="23"/>
  <c r="X1874" i="23"/>
  <c r="Z1874" i="23"/>
  <c r="Z1852" i="23"/>
  <c r="Y1852" i="23"/>
  <c r="X1852" i="23"/>
  <c r="Z1828" i="23"/>
  <c r="Y1828" i="23"/>
  <c r="X1798" i="23"/>
  <c r="Z1759" i="23"/>
  <c r="Y1759" i="23"/>
  <c r="Z2265" i="23"/>
  <c r="X2265" i="23"/>
  <c r="Y2265" i="23"/>
  <c r="W2173" i="23"/>
  <c r="W1930" i="23"/>
  <c r="Z1796" i="23"/>
  <c r="Y1796" i="23"/>
  <c r="Z1787" i="23"/>
  <c r="Y1787" i="23"/>
  <c r="X1787" i="23"/>
  <c r="Z2211" i="23"/>
  <c r="Y2211" i="23"/>
  <c r="X2211" i="23"/>
  <c r="Z2182" i="23"/>
  <c r="Y2182" i="23"/>
  <c r="X2182" i="23"/>
  <c r="W2161" i="23"/>
  <c r="Z2083" i="23"/>
  <c r="Y2083" i="23"/>
  <c r="X2083" i="23"/>
  <c r="W2263" i="23"/>
  <c r="X2115" i="23"/>
  <c r="Z2115" i="23"/>
  <c r="Y2115" i="23"/>
  <c r="Z1845" i="23"/>
  <c r="Y1845" i="23"/>
  <c r="X1825" i="23"/>
  <c r="X1777" i="23"/>
  <c r="W1752" i="23"/>
  <c r="X1753" i="23"/>
  <c r="Z1557" i="23"/>
  <c r="Y1557" i="23"/>
  <c r="Z1536" i="23"/>
  <c r="Y1536" i="23"/>
  <c r="Z1504" i="23"/>
  <c r="Y1504" i="23"/>
  <c r="Z1472" i="23"/>
  <c r="Y1472" i="23"/>
  <c r="Z1440" i="23"/>
  <c r="Y1440" i="23"/>
  <c r="Z1720" i="23"/>
  <c r="Y1720" i="23"/>
  <c r="X1720" i="23"/>
  <c r="Z1726" i="23"/>
  <c r="Y1726" i="23"/>
  <c r="X1726" i="23"/>
  <c r="Z1532" i="23"/>
  <c r="Y1532" i="23"/>
  <c r="Z1500" i="23"/>
  <c r="Y1500" i="23"/>
  <c r="Z1468" i="23"/>
  <c r="Y1468" i="23"/>
  <c r="X1551" i="23"/>
  <c r="X1508" i="23"/>
  <c r="X1444" i="23"/>
  <c r="Z1434" i="23"/>
  <c r="Y1434" i="23"/>
  <c r="Z1426" i="23"/>
  <c r="Y1426" i="23"/>
  <c r="Z1418" i="23"/>
  <c r="Y1418" i="23"/>
  <c r="Z1410" i="23"/>
  <c r="Y1410" i="23"/>
  <c r="Z1402" i="23"/>
  <c r="Y1402" i="23"/>
  <c r="Z1394" i="23"/>
  <c r="Y1394" i="23"/>
  <c r="Z1386" i="23"/>
  <c r="Y1386" i="23"/>
  <c r="Z1378" i="23"/>
  <c r="Y1378" i="23"/>
  <c r="Z1370" i="23"/>
  <c r="Y1370" i="23"/>
  <c r="Z1362" i="23"/>
  <c r="Y1362" i="23"/>
  <c r="Z1354" i="23"/>
  <c r="Y1354" i="23"/>
  <c r="Z1346" i="23"/>
  <c r="Y1346" i="23"/>
  <c r="Z1338" i="23"/>
  <c r="Y1338" i="23"/>
  <c r="Z1330" i="23"/>
  <c r="Y1330" i="23"/>
  <c r="Z1322" i="23"/>
  <c r="Y1322" i="23"/>
  <c r="Z1314" i="23"/>
  <c r="Y1314" i="23"/>
  <c r="Z1306" i="23"/>
  <c r="Y1306" i="23"/>
  <c r="Z1298" i="23"/>
  <c r="Y1298" i="23"/>
  <c r="Z1290" i="23"/>
  <c r="Y1290" i="23"/>
  <c r="Z1282" i="23"/>
  <c r="Y1282" i="23"/>
  <c r="Z1274" i="23"/>
  <c r="Y1274" i="23"/>
  <c r="Z1266" i="23"/>
  <c r="Y1266" i="23"/>
  <c r="Z1258" i="23"/>
  <c r="Y1258" i="23"/>
  <c r="Z1250" i="23"/>
  <c r="Y1250" i="23"/>
  <c r="Z1242" i="23"/>
  <c r="Y1242" i="23"/>
  <c r="X1121" i="23"/>
  <c r="X1105" i="23"/>
  <c r="X1472" i="23"/>
  <c r="Z1371" i="23"/>
  <c r="Y1371" i="23"/>
  <c r="Z1243" i="23"/>
  <c r="Y1243" i="23"/>
  <c r="Z1176" i="23"/>
  <c r="Y1176" i="23"/>
  <c r="Z934" i="23"/>
  <c r="Y934" i="23"/>
  <c r="X934" i="23"/>
  <c r="Z1234" i="23"/>
  <c r="Y1234" i="23"/>
  <c r="Z1111" i="23"/>
  <c r="Y1111" i="23"/>
  <c r="X1394" i="23"/>
  <c r="Z1349" i="23"/>
  <c r="Y1349" i="23"/>
  <c r="X1266" i="23"/>
  <c r="Z1225" i="23"/>
  <c r="Y1225" i="23"/>
  <c r="Z1193" i="23"/>
  <c r="Y1193" i="23"/>
  <c r="Z1161" i="23"/>
  <c r="Y1161" i="23"/>
  <c r="Z1122" i="23"/>
  <c r="Y1122" i="23"/>
  <c r="X1122" i="23"/>
  <c r="Z1088" i="23"/>
  <c r="Y1088" i="23"/>
  <c r="X1088" i="23"/>
  <c r="Z1056" i="23"/>
  <c r="Y1056" i="23"/>
  <c r="X1056" i="23"/>
  <c r="Y1000" i="23"/>
  <c r="X1000" i="23"/>
  <c r="Z1000" i="23"/>
  <c r="Z944" i="23"/>
  <c r="Y944" i="23"/>
  <c r="Z1315" i="23"/>
  <c r="Y1315" i="23"/>
  <c r="X1234" i="23"/>
  <c r="Z1107" i="23"/>
  <c r="Y1107" i="23"/>
  <c r="Z1081" i="23"/>
  <c r="Y1081" i="23"/>
  <c r="Z1065" i="23"/>
  <c r="Y1065" i="23"/>
  <c r="Z1049" i="23"/>
  <c r="Y1049" i="23"/>
  <c r="Z1033" i="23"/>
  <c r="Y1033" i="23"/>
  <c r="X960" i="23"/>
  <c r="X692" i="23"/>
  <c r="Z1168" i="23"/>
  <c r="Y1168" i="23"/>
  <c r="Z1129" i="23"/>
  <c r="Y1129" i="23"/>
  <c r="Z1097" i="23"/>
  <c r="Y1097" i="23"/>
  <c r="S685" i="23"/>
  <c r="U685" i="23" s="1"/>
  <c r="P685" i="23"/>
  <c r="Z1210" i="23"/>
  <c r="Y1210" i="23"/>
  <c r="Z1103" i="23"/>
  <c r="Y1103" i="23"/>
  <c r="Z943" i="23"/>
  <c r="Y943" i="23"/>
  <c r="X943" i="23"/>
  <c r="Z663" i="23"/>
  <c r="Y663" i="23"/>
  <c r="X663" i="23"/>
  <c r="X1434" i="23"/>
  <c r="Z1389" i="23"/>
  <c r="Y1389" i="23"/>
  <c r="X1306" i="23"/>
  <c r="Z1261" i="23"/>
  <c r="Y1261" i="23"/>
  <c r="Z1220" i="23"/>
  <c r="Y1220" i="23"/>
  <c r="Z1188" i="23"/>
  <c r="Y1188" i="23"/>
  <c r="Z1156" i="23"/>
  <c r="Y1156" i="23"/>
  <c r="Z1130" i="23"/>
  <c r="Y1130" i="23"/>
  <c r="Z1098" i="23"/>
  <c r="Y1098" i="23"/>
  <c r="Z1068" i="23"/>
  <c r="Y1068" i="23"/>
  <c r="Z1036" i="23"/>
  <c r="Y1036" i="23"/>
  <c r="Z980" i="23"/>
  <c r="Y980" i="23"/>
  <c r="Z767" i="23"/>
  <c r="Y767" i="23"/>
  <c r="Z751" i="23"/>
  <c r="Y751" i="23"/>
  <c r="Z562" i="23"/>
  <c r="Y562" i="23"/>
  <c r="X709" i="23"/>
  <c r="Z709" i="23"/>
  <c r="Y709" i="23"/>
  <c r="Z581" i="23"/>
  <c r="Y581" i="23"/>
  <c r="X581" i="23"/>
  <c r="Z678" i="23"/>
  <c r="Y678" i="23"/>
  <c r="X678" i="23"/>
  <c r="W554" i="23"/>
  <c r="W555" i="23"/>
  <c r="W553" i="23"/>
  <c r="Z552" i="23"/>
  <c r="Y552" i="23"/>
  <c r="X640" i="23"/>
  <c r="Z445" i="23"/>
  <c r="Y445" i="23"/>
  <c r="X445" i="23"/>
  <c r="Z174" i="23"/>
  <c r="Y174" i="23"/>
  <c r="X174" i="23"/>
  <c r="W550" i="23"/>
  <c r="W548" i="23"/>
  <c r="Y547" i="23"/>
  <c r="X547" i="23"/>
  <c r="W549" i="23"/>
  <c r="Z547" i="23"/>
  <c r="Y543" i="23"/>
  <c r="Z509" i="23"/>
  <c r="Y509" i="23"/>
  <c r="Z271" i="23"/>
  <c r="Y271" i="23"/>
  <c r="X271" i="23"/>
  <c r="X1130" i="23"/>
  <c r="X574" i="23"/>
  <c r="Y524" i="23"/>
  <c r="X524" i="23"/>
  <c r="Z524" i="23"/>
  <c r="Z469" i="23"/>
  <c r="Y469" i="23"/>
  <c r="X469" i="23"/>
  <c r="Z444" i="23"/>
  <c r="Y444" i="23"/>
  <c r="X444" i="23"/>
  <c r="U234" i="23"/>
  <c r="W149" i="23"/>
  <c r="Z208" i="23"/>
  <c r="Y208" i="23"/>
  <c r="Z55" i="23"/>
  <c r="Y55" i="23"/>
  <c r="Y429" i="23"/>
  <c r="X429" i="23"/>
  <c r="Z429" i="23"/>
  <c r="X384" i="23"/>
  <c r="Z384" i="23"/>
  <c r="Y384" i="23"/>
  <c r="W315" i="23"/>
  <c r="Y248" i="23"/>
  <c r="Z248" i="23"/>
  <c r="Z351" i="23"/>
  <c r="Y351" i="23"/>
  <c r="X351" i="23"/>
  <c r="Z160" i="23"/>
  <c r="Y160" i="23"/>
  <c r="X160" i="23"/>
  <c r="W440" i="23"/>
  <c r="Y339" i="23"/>
  <c r="X339" i="23"/>
  <c r="Z339" i="23"/>
  <c r="W262" i="23"/>
  <c r="Z194" i="23"/>
  <c r="Y194" i="23"/>
  <c r="X194" i="23"/>
  <c r="W2676" i="24"/>
  <c r="X2677" i="24"/>
  <c r="Z2701" i="24"/>
  <c r="Y2701" i="24"/>
  <c r="Z2692" i="24"/>
  <c r="Y2692" i="24"/>
  <c r="X2615" i="24"/>
  <c r="Z2615" i="24"/>
  <c r="Y2615" i="24"/>
  <c r="Z2608" i="24"/>
  <c r="Y2608" i="24"/>
  <c r="X2608" i="24"/>
  <c r="Z2583" i="24"/>
  <c r="X2583" i="24"/>
  <c r="Y2583" i="24"/>
  <c r="X2510" i="24"/>
  <c r="W2511" i="24"/>
  <c r="W2512" i="24"/>
  <c r="X2549" i="24"/>
  <c r="Z2549" i="24"/>
  <c r="Y2549" i="24"/>
  <c r="W2514" i="24"/>
  <c r="X2603" i="24"/>
  <c r="Z2603" i="24"/>
  <c r="Y2603" i="24"/>
  <c r="Z2541" i="24"/>
  <c r="X2541" i="24"/>
  <c r="Y2541" i="24"/>
  <c r="Z2566" i="24"/>
  <c r="Y2566" i="24"/>
  <c r="X2566" i="24"/>
  <c r="Z2526" i="24"/>
  <c r="Y2526" i="24"/>
  <c r="X2526" i="24"/>
  <c r="Z2520" i="24"/>
  <c r="Y2520" i="24"/>
  <c r="X2520" i="24"/>
  <c r="Z2481" i="24"/>
  <c r="Y2481" i="24"/>
  <c r="X2481" i="24"/>
  <c r="Z2467" i="24"/>
  <c r="Y2467" i="24"/>
  <c r="X2467" i="24"/>
  <c r="Y2434" i="24"/>
  <c r="X2434" i="24"/>
  <c r="Z2434" i="24"/>
  <c r="Y2412" i="24"/>
  <c r="X2412" i="24"/>
  <c r="Z2412" i="24"/>
  <c r="X2457" i="24"/>
  <c r="Z2457" i="24"/>
  <c r="Y2457" i="24"/>
  <c r="Y2410" i="24"/>
  <c r="Z2410" i="24"/>
  <c r="X2410" i="24"/>
  <c r="Z2421" i="24"/>
  <c r="Y2421" i="24"/>
  <c r="X2421" i="24"/>
  <c r="Z2417" i="24"/>
  <c r="X2417" i="24"/>
  <c r="Y2417" i="24"/>
  <c r="Y2327" i="24"/>
  <c r="X2327" i="24"/>
  <c r="Z2327" i="24"/>
  <c r="W2341" i="24"/>
  <c r="W2339" i="24"/>
  <c r="W2337" i="24"/>
  <c r="Z2336" i="24"/>
  <c r="Y2336" i="24"/>
  <c r="W2340" i="24"/>
  <c r="W2338" i="24"/>
  <c r="Z2232" i="24"/>
  <c r="Y2232" i="24"/>
  <c r="X2232" i="24"/>
  <c r="Z2399" i="24"/>
  <c r="Y2399" i="24"/>
  <c r="X2399" i="24"/>
  <c r="Z2230" i="24"/>
  <c r="Y2230" i="24"/>
  <c r="X2230" i="24"/>
  <c r="Z2356" i="24"/>
  <c r="Y2356" i="24"/>
  <c r="X2356" i="24"/>
  <c r="W2345" i="24"/>
  <c r="Z2430" i="24"/>
  <c r="Y2430" i="24"/>
  <c r="X2430" i="24"/>
  <c r="X2290" i="24"/>
  <c r="Z2290" i="24"/>
  <c r="Y2290" i="24"/>
  <c r="X2281" i="24"/>
  <c r="Z2281" i="24"/>
  <c r="Y2281" i="24"/>
  <c r="X2250" i="24"/>
  <c r="Z2250" i="24"/>
  <c r="Y2250" i="24"/>
  <c r="Z2154" i="24"/>
  <c r="Y2154" i="24"/>
  <c r="X2154" i="24"/>
  <c r="X2020" i="24"/>
  <c r="Z2020" i="24"/>
  <c r="Y2020" i="24"/>
  <c r="W2046" i="24"/>
  <c r="Z2045" i="24"/>
  <c r="W2048" i="24"/>
  <c r="W2047" i="24"/>
  <c r="Y2045" i="24"/>
  <c r="W1972" i="24"/>
  <c r="W1971" i="24"/>
  <c r="Z1969" i="24"/>
  <c r="Y1969" i="24"/>
  <c r="W1970" i="24"/>
  <c r="Y2098" i="24"/>
  <c r="Z2098" i="24"/>
  <c r="X2098" i="24"/>
  <c r="Y2034" i="24"/>
  <c r="Z2034" i="24"/>
  <c r="X2034" i="24"/>
  <c r="X2195" i="24"/>
  <c r="Z2195" i="24"/>
  <c r="Y2195" i="24"/>
  <c r="W2120" i="24"/>
  <c r="W2121" i="24"/>
  <c r="Y2118" i="24"/>
  <c r="W2122" i="24"/>
  <c r="W2119" i="24"/>
  <c r="Z2118" i="24"/>
  <c r="X1960" i="24"/>
  <c r="Z1960" i="24"/>
  <c r="Y1960" i="24"/>
  <c r="Y1864" i="24"/>
  <c r="W1867" i="24"/>
  <c r="W1866" i="24"/>
  <c r="Z1864" i="24"/>
  <c r="W1865" i="24"/>
  <c r="Y2038" i="24"/>
  <c r="X2038" i="24"/>
  <c r="Z2038" i="24"/>
  <c r="X1969" i="24"/>
  <c r="Z1934" i="24"/>
  <c r="Y1934" i="24"/>
  <c r="X1934" i="24"/>
  <c r="X2055" i="24"/>
  <c r="Z2055" i="24"/>
  <c r="Y2055" i="24"/>
  <c r="Y1801" i="24"/>
  <c r="Z1801" i="24"/>
  <c r="Z1769" i="24"/>
  <c r="Y1769" i="24"/>
  <c r="Z1846" i="24"/>
  <c r="Y1846" i="24"/>
  <c r="Z1894" i="24"/>
  <c r="Y1894" i="24"/>
  <c r="X1894" i="24"/>
  <c r="Z1779" i="24"/>
  <c r="Y1779" i="24"/>
  <c r="Z1689" i="24"/>
  <c r="Y1689" i="24"/>
  <c r="Y1875" i="24"/>
  <c r="Z1875" i="24"/>
  <c r="X1875" i="24"/>
  <c r="P2716" i="24"/>
  <c r="Z1836" i="24"/>
  <c r="Y1836" i="24"/>
  <c r="X1836" i="24"/>
  <c r="Z1672" i="24"/>
  <c r="Y1672" i="24"/>
  <c r="Z1980" i="24"/>
  <c r="Y1980" i="24"/>
  <c r="X1980" i="24"/>
  <c r="W1882" i="24"/>
  <c r="Z1795" i="24"/>
  <c r="Y1795" i="24"/>
  <c r="Z1697" i="24"/>
  <c r="Y1697" i="24"/>
  <c r="X1698" i="24"/>
  <c r="X1804" i="24"/>
  <c r="Z1804" i="24"/>
  <c r="Y1804" i="24"/>
  <c r="Z1886" i="24"/>
  <c r="Y1886" i="24"/>
  <c r="X1886" i="24"/>
  <c r="W1701" i="24"/>
  <c r="W1702" i="24"/>
  <c r="W1700" i="24"/>
  <c r="Z1699" i="24"/>
  <c r="Y1699" i="24"/>
  <c r="Z1581" i="24"/>
  <c r="Y1581" i="24"/>
  <c r="Y1539" i="24"/>
  <c r="Z1539" i="24"/>
  <c r="Y1714" i="24"/>
  <c r="X1714" i="24"/>
  <c r="Z1714" i="24"/>
  <c r="Y1680" i="24"/>
  <c r="Z1680" i="24"/>
  <c r="X1581" i="24"/>
  <c r="Z1467" i="24"/>
  <c r="Y1467" i="24"/>
  <c r="Z1300" i="24"/>
  <c r="Y1300" i="24"/>
  <c r="Z1390" i="24"/>
  <c r="Y1390" i="24"/>
  <c r="Z1358" i="24"/>
  <c r="Y1358" i="24"/>
  <c r="Z1470" i="24"/>
  <c r="Y1470" i="24"/>
  <c r="Y1440" i="24"/>
  <c r="Z1440" i="24"/>
  <c r="Z1350" i="24"/>
  <c r="Y1350" i="24"/>
  <c r="Z1567" i="24"/>
  <c r="Y1567" i="24"/>
  <c r="Z1499" i="24"/>
  <c r="Y1499" i="24"/>
  <c r="Z1469" i="24"/>
  <c r="Y1469" i="24"/>
  <c r="X1350" i="24"/>
  <c r="Z1328" i="24"/>
  <c r="Y1328" i="24"/>
  <c r="Z1384" i="24"/>
  <c r="Y1384" i="24"/>
  <c r="Z1352" i="24"/>
  <c r="Y1352" i="24"/>
  <c r="Z1389" i="24"/>
  <c r="Y1389" i="24"/>
  <c r="Z1306" i="24"/>
  <c r="Y1306" i="24"/>
  <c r="X1384" i="24"/>
  <c r="Z1491" i="24"/>
  <c r="Y1491" i="24"/>
  <c r="Z1449" i="24"/>
  <c r="Y1449" i="24"/>
  <c r="Z1441" i="24"/>
  <c r="Y1441" i="24"/>
  <c r="Z1314" i="24"/>
  <c r="Y1314" i="24"/>
  <c r="Z1385" i="24"/>
  <c r="Y1385" i="24"/>
  <c r="X1216" i="24"/>
  <c r="X1200" i="24"/>
  <c r="X1184" i="24"/>
  <c r="X1168" i="24"/>
  <c r="X1152" i="24"/>
  <c r="X1104" i="24"/>
  <c r="Z1234" i="24"/>
  <c r="Y1234" i="24"/>
  <c r="Z1214" i="24"/>
  <c r="Y1214" i="24"/>
  <c r="Z1198" i="24"/>
  <c r="Y1198" i="24"/>
  <c r="Z1182" i="24"/>
  <c r="Y1182" i="24"/>
  <c r="Z1166" i="24"/>
  <c r="Y1166" i="24"/>
  <c r="Z1150" i="24"/>
  <c r="Y1150" i="24"/>
  <c r="Y1069" i="24"/>
  <c r="Z1069" i="24"/>
  <c r="Y1037" i="24"/>
  <c r="Z1037" i="24"/>
  <c r="Y1005" i="24"/>
  <c r="Z1005" i="24"/>
  <c r="Y973" i="24"/>
  <c r="Z973" i="24"/>
  <c r="Z1140" i="24"/>
  <c r="Y1140" i="24"/>
  <c r="Z1124" i="24"/>
  <c r="Y1124" i="24"/>
  <c r="Z1269" i="24"/>
  <c r="Y1269" i="24"/>
  <c r="Z1253" i="24"/>
  <c r="Y1253" i="24"/>
  <c r="Z1120" i="24"/>
  <c r="Y1120" i="24"/>
  <c r="X989" i="24"/>
  <c r="X1136" i="24"/>
  <c r="Z1028" i="24"/>
  <c r="Y1028" i="24"/>
  <c r="X973" i="24"/>
  <c r="Q840" i="24"/>
  <c r="X781" i="24"/>
  <c r="Z1052" i="24"/>
  <c r="Y1052" i="24"/>
  <c r="Z790" i="24"/>
  <c r="Y790" i="24"/>
  <c r="U661" i="24"/>
  <c r="X650" i="24"/>
  <c r="W653" i="24"/>
  <c r="S649" i="24"/>
  <c r="U649" i="24" s="1"/>
  <c r="P649" i="24"/>
  <c r="W421" i="24"/>
  <c r="W423" i="24"/>
  <c r="W424" i="24"/>
  <c r="W420" i="24"/>
  <c r="Z419" i="24"/>
  <c r="W422" i="24"/>
  <c r="Y419" i="24"/>
  <c r="X541" i="24"/>
  <c r="W416" i="24"/>
  <c r="W415" i="24"/>
  <c r="W417" i="24"/>
  <c r="W418" i="24"/>
  <c r="Z413" i="24"/>
  <c r="Y413" i="24"/>
  <c r="W414" i="24"/>
  <c r="Z612" i="24"/>
  <c r="Y612" i="24"/>
  <c r="X612" i="24"/>
  <c r="Z659" i="24"/>
  <c r="Y659" i="24"/>
  <c r="X659" i="24"/>
  <c r="Z565" i="24"/>
  <c r="Y565" i="24"/>
  <c r="Y512" i="24"/>
  <c r="Z512" i="24"/>
  <c r="Z636" i="24"/>
  <c r="Y636" i="24"/>
  <c r="Z523" i="24"/>
  <c r="Y523" i="24"/>
  <c r="Z373" i="24"/>
  <c r="Y373" i="24"/>
  <c r="X373" i="24"/>
  <c r="Z750" i="24"/>
  <c r="Y750" i="24"/>
  <c r="W655" i="24"/>
  <c r="X636" i="24"/>
  <c r="Z490" i="24"/>
  <c r="Y490" i="24"/>
  <c r="S370" i="24"/>
  <c r="U370" i="24" s="1"/>
  <c r="P370" i="24"/>
  <c r="X790" i="24"/>
  <c r="Z717" i="24"/>
  <c r="Y717" i="24"/>
  <c r="Z544" i="24"/>
  <c r="Y544" i="24"/>
  <c r="X544" i="24"/>
  <c r="Z531" i="24"/>
  <c r="Y531" i="24"/>
  <c r="V528" i="24"/>
  <c r="Y678" i="24"/>
  <c r="X678" i="24"/>
  <c r="Z678" i="24"/>
  <c r="Z408" i="24"/>
  <c r="Y408" i="24"/>
  <c r="X408" i="24"/>
  <c r="W334" i="24"/>
  <c r="W330" i="24"/>
  <c r="Z329" i="24"/>
  <c r="W332" i="24"/>
  <c r="Y329" i="24"/>
  <c r="W331" i="24"/>
  <c r="W333" i="24"/>
  <c r="W289" i="24"/>
  <c r="Y287" i="24"/>
  <c r="W288" i="24"/>
  <c r="Z287" i="24"/>
  <c r="X287" i="24"/>
  <c r="X512" i="24"/>
  <c r="Z295" i="24"/>
  <c r="Y295" i="24"/>
  <c r="X295" i="24"/>
  <c r="X532" i="24"/>
  <c r="X419" i="24"/>
  <c r="Z314" i="24"/>
  <c r="Y314" i="24"/>
  <c r="X314" i="24"/>
  <c r="S292" i="24"/>
  <c r="U292" i="24" s="1"/>
  <c r="P292" i="24"/>
  <c r="Z595" i="24"/>
  <c r="Y595" i="24"/>
  <c r="X595" i="24"/>
  <c r="X243" i="24"/>
  <c r="Z29" i="24"/>
  <c r="Y29" i="24"/>
  <c r="W161" i="24"/>
  <c r="W160" i="24"/>
  <c r="Z159" i="24"/>
  <c r="Y159" i="24"/>
  <c r="Z170" i="24"/>
  <c r="Y170" i="24"/>
  <c r="X170" i="24"/>
  <c r="Z363" i="24"/>
  <c r="Y363" i="24"/>
  <c r="X363" i="24"/>
  <c r="Y60" i="24"/>
  <c r="X60" i="24"/>
  <c r="Z60" i="24"/>
  <c r="Z267" i="24"/>
  <c r="Y267" i="24"/>
  <c r="X267" i="24"/>
  <c r="Z63" i="24"/>
  <c r="Y63" i="24"/>
  <c r="Z434" i="24"/>
  <c r="Y434" i="24"/>
  <c r="X434" i="24"/>
  <c r="X258" i="24"/>
  <c r="Z258" i="24"/>
  <c r="Y258" i="24"/>
  <c r="Z154" i="24"/>
  <c r="Y154" i="24"/>
  <c r="X154" i="24"/>
  <c r="Z110" i="24"/>
  <c r="Y110" i="24"/>
  <c r="J2618" i="23"/>
  <c r="Z139" i="24"/>
  <c r="Y139" i="24"/>
  <c r="X139" i="24"/>
  <c r="Y74" i="24"/>
  <c r="Z74" i="24"/>
  <c r="X74" i="24"/>
  <c r="X110" i="24"/>
  <c r="Z33" i="24"/>
  <c r="Y33" i="24"/>
  <c r="Z2622" i="23"/>
  <c r="Y2622" i="23"/>
  <c r="X2622" i="23"/>
  <c r="W2598" i="23"/>
  <c r="Z2594" i="23"/>
  <c r="W2596" i="23"/>
  <c r="Y2594" i="23"/>
  <c r="W2599" i="23"/>
  <c r="W2597" i="23"/>
  <c r="W2595" i="23"/>
  <c r="W2574" i="23"/>
  <c r="Z2570" i="23"/>
  <c r="W2572" i="23"/>
  <c r="Y2570" i="23"/>
  <c r="W2575" i="23"/>
  <c r="W2573" i="23"/>
  <c r="W2571" i="23"/>
  <c r="X2503" i="23"/>
  <c r="Z2503" i="23"/>
  <c r="Y2503" i="23"/>
  <c r="Z2484" i="23"/>
  <c r="X2484" i="23"/>
  <c r="Y2484" i="23"/>
  <c r="X2570" i="23"/>
  <c r="Z2553" i="23"/>
  <c r="Y2553" i="23"/>
  <c r="X2553" i="23"/>
  <c r="Z2634" i="23"/>
  <c r="Y2634" i="23"/>
  <c r="Z2543" i="23"/>
  <c r="Y2543" i="23"/>
  <c r="X2543" i="23"/>
  <c r="Z2496" i="23"/>
  <c r="Y2496" i="23"/>
  <c r="X2496" i="23"/>
  <c r="Z2642" i="23"/>
  <c r="Y2642" i="23"/>
  <c r="W2427" i="23"/>
  <c r="X2383" i="23"/>
  <c r="Z2383" i="23"/>
  <c r="Y2383" i="23"/>
  <c r="X2338" i="23"/>
  <c r="Z2338" i="23"/>
  <c r="Y2338" i="23"/>
  <c r="W2435" i="23"/>
  <c r="Z2472" i="23"/>
  <c r="Y2472" i="23"/>
  <c r="X2472" i="23"/>
  <c r="X2418" i="23"/>
  <c r="Z2418" i="23"/>
  <c r="Y2418" i="23"/>
  <c r="Z2289" i="23"/>
  <c r="Y2289" i="23"/>
  <c r="X2289" i="23"/>
  <c r="Z2439" i="23"/>
  <c r="X2439" i="23"/>
  <c r="Y2439" i="23"/>
  <c r="Z2423" i="23"/>
  <c r="X2423" i="23"/>
  <c r="Y2423" i="23"/>
  <c r="Z2346" i="23"/>
  <c r="Y2346" i="23"/>
  <c r="X2346" i="23"/>
  <c r="Z2333" i="23"/>
  <c r="Y2333" i="23"/>
  <c r="X2333" i="23"/>
  <c r="Z2024" i="23"/>
  <c r="Y2024" i="23"/>
  <c r="X2024" i="23"/>
  <c r="Z1928" i="23"/>
  <c r="Y1928" i="23"/>
  <c r="X1928" i="23"/>
  <c r="W2445" i="23"/>
  <c r="X2357" i="23"/>
  <c r="Z2357" i="23"/>
  <c r="Y2357" i="23"/>
  <c r="Z2465" i="23"/>
  <c r="X2465" i="23"/>
  <c r="Y2465" i="23"/>
  <c r="Z2461" i="23"/>
  <c r="X2461" i="23"/>
  <c r="Y2461" i="23"/>
  <c r="W2302" i="23"/>
  <c r="Z2286" i="23"/>
  <c r="Y2286" i="23"/>
  <c r="X2286" i="23"/>
  <c r="Z1991" i="23"/>
  <c r="Y1991" i="23"/>
  <c r="X1991" i="23"/>
  <c r="Z1783" i="23"/>
  <c r="Y1783" i="23"/>
  <c r="Z2050" i="23"/>
  <c r="Y2050" i="23"/>
  <c r="X2050" i="23"/>
  <c r="Y2047" i="23"/>
  <c r="X2047" i="23"/>
  <c r="Z2047" i="23"/>
  <c r="Z1987" i="23"/>
  <c r="Y1987" i="23"/>
  <c r="X1987" i="23"/>
  <c r="X1910" i="23"/>
  <c r="Z1910" i="23"/>
  <c r="Y1910" i="23"/>
  <c r="Z1823" i="23"/>
  <c r="Y1823" i="23"/>
  <c r="Z2206" i="23"/>
  <c r="Y2206" i="23"/>
  <c r="X2206" i="23"/>
  <c r="Z2034" i="23"/>
  <c r="Y2034" i="23"/>
  <c r="X2034" i="23"/>
  <c r="Z2030" i="23"/>
  <c r="Y2030" i="23"/>
  <c r="X2030" i="23"/>
  <c r="W1963" i="23"/>
  <c r="W1835" i="23"/>
  <c r="W1834" i="23"/>
  <c r="Z1833" i="23"/>
  <c r="Y1833" i="23"/>
  <c r="W1836" i="23"/>
  <c r="Z2218" i="23"/>
  <c r="Y2218" i="23"/>
  <c r="X2218" i="23"/>
  <c r="Z2018" i="23"/>
  <c r="Y2018" i="23"/>
  <c r="X2018" i="23"/>
  <c r="Z2014" i="23"/>
  <c r="Y2014" i="23"/>
  <c r="X2014" i="23"/>
  <c r="X1940" i="23"/>
  <c r="Z1940" i="23"/>
  <c r="Y1940" i="23"/>
  <c r="W1816" i="23"/>
  <c r="W1815" i="23"/>
  <c r="Z1814" i="23"/>
  <c r="Y1814" i="23"/>
  <c r="X1784" i="23"/>
  <c r="W2242" i="23"/>
  <c r="W1999" i="23"/>
  <c r="W1998" i="23"/>
  <c r="Z1997" i="23"/>
  <c r="Y1997" i="23"/>
  <c r="W2000" i="23"/>
  <c r="X1807" i="23"/>
  <c r="Z1807" i="23"/>
  <c r="Y1807" i="23"/>
  <c r="Z1756" i="23"/>
  <c r="Y1756" i="23"/>
  <c r="X1756" i="23"/>
  <c r="X2136" i="23"/>
  <c r="Z2136" i="23"/>
  <c r="X1924" i="23"/>
  <c r="Z1924" i="23"/>
  <c r="Y1924" i="23"/>
  <c r="Z2267" i="23"/>
  <c r="Y2267" i="23"/>
  <c r="X2267" i="23"/>
  <c r="W2170" i="23"/>
  <c r="W1983" i="23"/>
  <c r="W1982" i="23"/>
  <c r="Z1981" i="23"/>
  <c r="Y1981" i="23"/>
  <c r="W1984" i="23"/>
  <c r="W1931" i="23"/>
  <c r="Z1825" i="23"/>
  <c r="Y1825" i="23"/>
  <c r="Z1795" i="23"/>
  <c r="Y1795" i="23"/>
  <c r="X1795" i="23"/>
  <c r="Y1786" i="23"/>
  <c r="V1785" i="23"/>
  <c r="V2716" i="23" s="1"/>
  <c r="Z1786" i="23"/>
  <c r="Z1768" i="23"/>
  <c r="Y1768" i="23"/>
  <c r="Z2213" i="23"/>
  <c r="Y2213" i="23"/>
  <c r="X2213" i="23"/>
  <c r="Z2184" i="23"/>
  <c r="Y2184" i="23"/>
  <c r="X2184" i="23"/>
  <c r="Z2112" i="23"/>
  <c r="Y2112" i="23"/>
  <c r="X2112" i="23"/>
  <c r="X2084" i="23"/>
  <c r="Z2084" i="23"/>
  <c r="Y2084" i="23"/>
  <c r="W2146" i="23"/>
  <c r="W2145" i="23"/>
  <c r="W2147" i="23"/>
  <c r="W2144" i="23"/>
  <c r="Z2143" i="23"/>
  <c r="Y2143" i="23"/>
  <c r="Z1970" i="23"/>
  <c r="Y1970" i="23"/>
  <c r="X1970" i="23"/>
  <c r="Z1731" i="23"/>
  <c r="Y1731" i="23"/>
  <c r="X1731" i="23"/>
  <c r="Z1683" i="23"/>
  <c r="Y1683" i="23"/>
  <c r="X1683" i="23"/>
  <c r="Z1721" i="23"/>
  <c r="Y1721" i="23"/>
  <c r="X1721" i="23"/>
  <c r="Z1578" i="23"/>
  <c r="Y1578" i="23"/>
  <c r="Z1555" i="23"/>
  <c r="Y1555" i="23"/>
  <c r="X1708" i="23"/>
  <c r="Z1708" i="23"/>
  <c r="Y1708" i="23"/>
  <c r="Z1537" i="23"/>
  <c r="Y1537" i="23"/>
  <c r="Z1505" i="23"/>
  <c r="Y1505" i="23"/>
  <c r="Z1473" i="23"/>
  <c r="Y1473" i="23"/>
  <c r="Z1441" i="23"/>
  <c r="Y1441" i="23"/>
  <c r="X1578" i="23"/>
  <c r="Z1323" i="23"/>
  <c r="Y1323" i="23"/>
  <c r="Z1211" i="23"/>
  <c r="Y1211" i="23"/>
  <c r="Z1179" i="23"/>
  <c r="Y1179" i="23"/>
  <c r="Z1147" i="23"/>
  <c r="Y1147" i="23"/>
  <c r="X1091" i="23"/>
  <c r="X1075" i="23"/>
  <c r="X1059" i="23"/>
  <c r="X1043" i="23"/>
  <c r="Z1224" i="23"/>
  <c r="Y1224" i="23"/>
  <c r="Z1086" i="23"/>
  <c r="Y1086" i="23"/>
  <c r="Z1054" i="23"/>
  <c r="Y1054" i="23"/>
  <c r="Z974" i="23"/>
  <c r="Y974" i="23"/>
  <c r="X974" i="23"/>
  <c r="Z910" i="23"/>
  <c r="Y910" i="23"/>
  <c r="X910" i="23"/>
  <c r="Z1154" i="23"/>
  <c r="Y1154" i="23"/>
  <c r="Z1100" i="23"/>
  <c r="Y1100" i="23"/>
  <c r="X1100" i="23"/>
  <c r="X1085" i="23"/>
  <c r="X1069" i="23"/>
  <c r="X1053" i="23"/>
  <c r="X1037" i="23"/>
  <c r="Z1429" i="23"/>
  <c r="Y1429" i="23"/>
  <c r="Z1301" i="23"/>
  <c r="Y1301" i="23"/>
  <c r="X1224" i="23"/>
  <c r="Z936" i="23"/>
  <c r="Y936" i="23"/>
  <c r="X1440" i="23"/>
  <c r="Z1395" i="23"/>
  <c r="Y1395" i="23"/>
  <c r="Z1267" i="23"/>
  <c r="Y1267" i="23"/>
  <c r="Z1222" i="23"/>
  <c r="Y1222" i="23"/>
  <c r="Z1190" i="23"/>
  <c r="Y1190" i="23"/>
  <c r="Z1158" i="23"/>
  <c r="Y1158" i="23"/>
  <c r="Z1128" i="23"/>
  <c r="Y1128" i="23"/>
  <c r="Z1096" i="23"/>
  <c r="Y1096" i="23"/>
  <c r="X1096" i="23"/>
  <c r="X1079" i="23"/>
  <c r="X1063" i="23"/>
  <c r="X1047" i="23"/>
  <c r="X1031" i="23"/>
  <c r="Z690" i="23"/>
  <c r="Y690" i="23"/>
  <c r="X690" i="23"/>
  <c r="Z1216" i="23"/>
  <c r="Y1216" i="23"/>
  <c r="Z1118" i="23"/>
  <c r="Y1118" i="23"/>
  <c r="X1118" i="23"/>
  <c r="Z1090" i="23"/>
  <c r="Y1090" i="23"/>
  <c r="X1090" i="23"/>
  <c r="Z1058" i="23"/>
  <c r="Y1058" i="23"/>
  <c r="X1058" i="23"/>
  <c r="Z998" i="23"/>
  <c r="Y998" i="23"/>
  <c r="X998" i="23"/>
  <c r="S661" i="23"/>
  <c r="U661" i="23" s="1"/>
  <c r="Z661" i="23" s="1"/>
  <c r="P661" i="23"/>
  <c r="X1190" i="23"/>
  <c r="Z1124" i="23"/>
  <c r="Y1124" i="23"/>
  <c r="Z997" i="23"/>
  <c r="Y997" i="23"/>
  <c r="X997" i="23"/>
  <c r="Z935" i="23"/>
  <c r="Y935" i="23"/>
  <c r="X935" i="23"/>
  <c r="X1386" i="23"/>
  <c r="Z1341" i="23"/>
  <c r="Y1341" i="23"/>
  <c r="X1258" i="23"/>
  <c r="Z948" i="23"/>
  <c r="Y948" i="23"/>
  <c r="Z916" i="23"/>
  <c r="Y916" i="23"/>
  <c r="Z901" i="23"/>
  <c r="Y901" i="23"/>
  <c r="Z893" i="23"/>
  <c r="Y893" i="23"/>
  <c r="Z885" i="23"/>
  <c r="Y885" i="23"/>
  <c r="Z877" i="23"/>
  <c r="Y877" i="23"/>
  <c r="Z869" i="23"/>
  <c r="Y869" i="23"/>
  <c r="Z861" i="23"/>
  <c r="Y861" i="23"/>
  <c r="Z853" i="23"/>
  <c r="Y853" i="23"/>
  <c r="Z845" i="23"/>
  <c r="Y845" i="23"/>
  <c r="Z819" i="23"/>
  <c r="Y819" i="23"/>
  <c r="Z730" i="23"/>
  <c r="Y730" i="23"/>
  <c r="Z720" i="23"/>
  <c r="Y720" i="23"/>
  <c r="W654" i="23"/>
  <c r="W655" i="23"/>
  <c r="W651" i="23"/>
  <c r="W653" i="23"/>
  <c r="Z650" i="23"/>
  <c r="Y650" i="23"/>
  <c r="W652" i="23"/>
  <c r="Z556" i="23"/>
  <c r="Y556" i="23"/>
  <c r="X720" i="23"/>
  <c r="Z708" i="23"/>
  <c r="Y708" i="23"/>
  <c r="X708" i="23"/>
  <c r="Y615" i="23"/>
  <c r="X615" i="23"/>
  <c r="Z615" i="23"/>
  <c r="W367" i="23"/>
  <c r="W369" i="23"/>
  <c r="W370" i="23"/>
  <c r="W366" i="23"/>
  <c r="Z365" i="23"/>
  <c r="Y365" i="23"/>
  <c r="W368" i="23"/>
  <c r="X416" i="23"/>
  <c r="Z416" i="23"/>
  <c r="Y416" i="23"/>
  <c r="Z737" i="23"/>
  <c r="Y737" i="23"/>
  <c r="W685" i="23"/>
  <c r="Z676" i="23"/>
  <c r="Y676" i="23"/>
  <c r="X676" i="23"/>
  <c r="Y500" i="23"/>
  <c r="Z500" i="23"/>
  <c r="X500" i="23"/>
  <c r="U289" i="23"/>
  <c r="Y538" i="23"/>
  <c r="X538" i="23"/>
  <c r="Z538" i="23"/>
  <c r="X901" i="23"/>
  <c r="X885" i="23"/>
  <c r="X869" i="23"/>
  <c r="X853" i="23"/>
  <c r="X730" i="23"/>
  <c r="Z660" i="23"/>
  <c r="Y660" i="23"/>
  <c r="X660" i="23"/>
  <c r="X546" i="23"/>
  <c r="Z462" i="23"/>
  <c r="Y462" i="23"/>
  <c r="W267" i="23"/>
  <c r="W266" i="23"/>
  <c r="Z265" i="23"/>
  <c r="Y265" i="23"/>
  <c r="W268" i="23"/>
  <c r="W269" i="23"/>
  <c r="Z764" i="23"/>
  <c r="Y764" i="23"/>
  <c r="Z624" i="23"/>
  <c r="Y624" i="23"/>
  <c r="X624" i="23"/>
  <c r="Z545" i="23"/>
  <c r="Y545" i="23"/>
  <c r="X545" i="23"/>
  <c r="W450" i="23"/>
  <c r="Z448" i="23"/>
  <c r="W452" i="23"/>
  <c r="W449" i="23"/>
  <c r="Y448" i="23"/>
  <c r="W451" i="23"/>
  <c r="W421" i="23"/>
  <c r="W424" i="23"/>
  <c r="W422" i="23"/>
  <c r="W420" i="23"/>
  <c r="Z419" i="23"/>
  <c r="Y419" i="23"/>
  <c r="W423" i="23"/>
  <c r="Z178" i="23"/>
  <c r="Y178" i="23"/>
  <c r="X178" i="23"/>
  <c r="X916" i="23"/>
  <c r="Z824" i="23"/>
  <c r="Y824" i="23"/>
  <c r="X751" i="23"/>
  <c r="X711" i="23"/>
  <c r="Z711" i="23"/>
  <c r="Y711" i="23"/>
  <c r="Z574" i="23"/>
  <c r="Y574" i="23"/>
  <c r="U280" i="23"/>
  <c r="X321" i="23"/>
  <c r="Z321" i="23"/>
  <c r="Y321" i="23"/>
  <c r="Z259" i="23"/>
  <c r="Y259" i="23"/>
  <c r="X259" i="23"/>
  <c r="Y118" i="23"/>
  <c r="Z118" i="23"/>
  <c r="Z388" i="23"/>
  <c r="Y388" i="23"/>
  <c r="X388" i="23"/>
  <c r="Z313" i="23"/>
  <c r="Y313" i="23"/>
  <c r="X313" i="23"/>
  <c r="W295" i="23"/>
  <c r="Y293" i="23"/>
  <c r="W294" i="23"/>
  <c r="Z293" i="23"/>
  <c r="Z349" i="23"/>
  <c r="Y349" i="23"/>
  <c r="X349" i="23"/>
  <c r="Y190" i="23"/>
  <c r="X190" i="23"/>
  <c r="Z190" i="23"/>
  <c r="X161" i="23"/>
  <c r="Z161" i="23"/>
  <c r="Y161" i="23"/>
  <c r="Z442" i="23"/>
  <c r="Y442" i="23"/>
  <c r="X442" i="23"/>
  <c r="X337" i="23"/>
  <c r="Z337" i="23"/>
  <c r="Y337" i="23"/>
  <c r="Z286" i="23"/>
  <c r="Y286" i="23"/>
  <c r="X286" i="23"/>
  <c r="W90" i="23"/>
  <c r="W264" i="23"/>
  <c r="Z100" i="23"/>
  <c r="Y100" i="23"/>
  <c r="Z76" i="23"/>
  <c r="Y76" i="23"/>
  <c r="Z47" i="23"/>
  <c r="Y47" i="23"/>
  <c r="X534" i="23"/>
  <c r="Z534" i="23"/>
  <c r="Y534" i="23"/>
  <c r="X195" i="23"/>
  <c r="Z195" i="23"/>
  <c r="Y195" i="23"/>
  <c r="Y93" i="23"/>
  <c r="Z93" i="23"/>
  <c r="X2647" i="24"/>
  <c r="Z2654" i="24"/>
  <c r="Y2654" i="24"/>
  <c r="H2618" i="24"/>
  <c r="J2618" i="24" s="1"/>
  <c r="Z2618" i="24"/>
  <c r="W2623" i="24"/>
  <c r="Y2618" i="24"/>
  <c r="W2620" i="24"/>
  <c r="W2622" i="24"/>
  <c r="W2619" i="24"/>
  <c r="W2621" i="24"/>
  <c r="Z2611" i="24"/>
  <c r="X2611" i="24"/>
  <c r="Y2611" i="24"/>
  <c r="Y2610" i="24"/>
  <c r="X2610" i="24"/>
  <c r="Z2610" i="24"/>
  <c r="Y2592" i="24"/>
  <c r="X2592" i="24"/>
  <c r="Z2592" i="24"/>
  <c r="W2560" i="24"/>
  <c r="W2559" i="24"/>
  <c r="W2561" i="24"/>
  <c r="Z2558" i="24"/>
  <c r="Y2558" i="24"/>
  <c r="X2558" i="24"/>
  <c r="W2563" i="24"/>
  <c r="W2562" i="24"/>
  <c r="Z2450" i="24"/>
  <c r="W2455" i="24"/>
  <c r="W2452" i="24"/>
  <c r="W2454" i="24"/>
  <c r="W2451" i="24"/>
  <c r="Y2450" i="24"/>
  <c r="W2453" i="24"/>
  <c r="X2450" i="24"/>
  <c r="X2551" i="24"/>
  <c r="Z2551" i="24"/>
  <c r="Y2551" i="24"/>
  <c r="Z2543" i="24"/>
  <c r="X2543" i="24"/>
  <c r="Y2543" i="24"/>
  <c r="X2567" i="24"/>
  <c r="Z2567" i="24"/>
  <c r="Y2567" i="24"/>
  <c r="Z2509" i="24"/>
  <c r="Y2509" i="24"/>
  <c r="X2509" i="24"/>
  <c r="Z2465" i="24"/>
  <c r="Y2465" i="24"/>
  <c r="X2465" i="24"/>
  <c r="Z2441" i="24"/>
  <c r="Y2441" i="24"/>
  <c r="X2441" i="24"/>
  <c r="X2437" i="24"/>
  <c r="Z2437" i="24"/>
  <c r="Y2437" i="24"/>
  <c r="X2424" i="24"/>
  <c r="Z2424" i="24"/>
  <c r="Y2424" i="24"/>
  <c r="Y2325" i="24"/>
  <c r="X2325" i="24"/>
  <c r="Z2325" i="24"/>
  <c r="W2381" i="24"/>
  <c r="Z2378" i="24"/>
  <c r="W2380" i="24"/>
  <c r="W2379" i="24"/>
  <c r="W2383" i="24"/>
  <c r="Y2378" i="24"/>
  <c r="W2382" i="24"/>
  <c r="Z2332" i="24"/>
  <c r="Y2332" i="24"/>
  <c r="X2332" i="24"/>
  <c r="Y2361" i="24"/>
  <c r="X2361" i="24"/>
  <c r="Z2361" i="24"/>
  <c r="Z2271" i="24"/>
  <c r="X2271" i="24"/>
  <c r="Y2271" i="24"/>
  <c r="Z2493" i="24"/>
  <c r="X2493" i="24"/>
  <c r="Y2493" i="24"/>
  <c r="Z2358" i="24"/>
  <c r="Y2358" i="24"/>
  <c r="X2358" i="24"/>
  <c r="W2347" i="24"/>
  <c r="W2292" i="24"/>
  <c r="W2322" i="24"/>
  <c r="Z2278" i="24"/>
  <c r="Y2278" i="24"/>
  <c r="X2278" i="24"/>
  <c r="Z2247" i="24"/>
  <c r="X2247" i="24"/>
  <c r="Y2247" i="24"/>
  <c r="Z2223" i="24"/>
  <c r="X2223" i="24"/>
  <c r="Y2223" i="24"/>
  <c r="X2268" i="24"/>
  <c r="Z2268" i="24"/>
  <c r="Y2268" i="24"/>
  <c r="Y2138" i="24"/>
  <c r="X2138" i="24"/>
  <c r="W2141" i="24"/>
  <c r="W2142" i="24"/>
  <c r="W2139" i="24"/>
  <c r="Z2138" i="24"/>
  <c r="W2140" i="24"/>
  <c r="Z2157" i="24"/>
  <c r="Y2157" i="24"/>
  <c r="X2157" i="24"/>
  <c r="W2066" i="24"/>
  <c r="Z2065" i="24"/>
  <c r="Y2065" i="24"/>
  <c r="W2067" i="24"/>
  <c r="W2068" i="24"/>
  <c r="X2065" i="24"/>
  <c r="W2030" i="24"/>
  <c r="Z2029" i="24"/>
  <c r="W2032" i="24"/>
  <c r="W2031" i="24"/>
  <c r="Y2029" i="24"/>
  <c r="Y2197" i="24"/>
  <c r="Z2197" i="24"/>
  <c r="X2197" i="24"/>
  <c r="Z1889" i="24"/>
  <c r="Y1889" i="24"/>
  <c r="X1889" i="24"/>
  <c r="Z1908" i="24"/>
  <c r="Y1908" i="24"/>
  <c r="X1908" i="24"/>
  <c r="X2084" i="24"/>
  <c r="Z2084" i="24"/>
  <c r="Y2084" i="24"/>
  <c r="X2039" i="24"/>
  <c r="Z2039" i="24"/>
  <c r="Y2039" i="24"/>
  <c r="X1965" i="24"/>
  <c r="Z1936" i="24"/>
  <c r="Y1936" i="24"/>
  <c r="X1936" i="24"/>
  <c r="X2187" i="24"/>
  <c r="Z2187" i="24"/>
  <c r="Y2187" i="24"/>
  <c r="Z1942" i="24"/>
  <c r="Y1942" i="24"/>
  <c r="X1942" i="24"/>
  <c r="Z2056" i="24"/>
  <c r="X2056" i="24"/>
  <c r="Y2056" i="24"/>
  <c r="X1962" i="24"/>
  <c r="Z1962" i="24"/>
  <c r="Y1962" i="24"/>
  <c r="Z1915" i="24"/>
  <c r="Y1915" i="24"/>
  <c r="X1915" i="24"/>
  <c r="W1810" i="24"/>
  <c r="W1809" i="24"/>
  <c r="Z1808" i="24"/>
  <c r="Y1808" i="24"/>
  <c r="Y2108" i="24"/>
  <c r="Z2108" i="24"/>
  <c r="X2108" i="24"/>
  <c r="Y1861" i="24"/>
  <c r="Z1861" i="24"/>
  <c r="X1861" i="24"/>
  <c r="Z1895" i="24"/>
  <c r="Y1895" i="24"/>
  <c r="X1895" i="24"/>
  <c r="Z1828" i="24"/>
  <c r="Y1828" i="24"/>
  <c r="Z1745" i="24"/>
  <c r="Y1745" i="24"/>
  <c r="X1806" i="24"/>
  <c r="Z1806" i="24"/>
  <c r="Y1806" i="24"/>
  <c r="Y1733" i="24"/>
  <c r="Z1733" i="24"/>
  <c r="Y1703" i="24"/>
  <c r="Z1703" i="24"/>
  <c r="Z1843" i="24"/>
  <c r="Y1843" i="24"/>
  <c r="X1843" i="24"/>
  <c r="X1795" i="24"/>
  <c r="Z1632" i="24"/>
  <c r="Y1632" i="24"/>
  <c r="Z1600" i="24"/>
  <c r="Y1600" i="24"/>
  <c r="Z1675" i="24"/>
  <c r="Y1675" i="24"/>
  <c r="X1767" i="24"/>
  <c r="Z1557" i="24"/>
  <c r="Y1557" i="24"/>
  <c r="Z1549" i="24"/>
  <c r="Y1549" i="24"/>
  <c r="Z1541" i="24"/>
  <c r="Y1541" i="24"/>
  <c r="X1684" i="24"/>
  <c r="X1539" i="24"/>
  <c r="Z1692" i="24"/>
  <c r="Y1692" i="24"/>
  <c r="X1649" i="24"/>
  <c r="Z1487" i="24"/>
  <c r="Y1487" i="24"/>
  <c r="X1475" i="24"/>
  <c r="Z1455" i="24"/>
  <c r="Y1455" i="24"/>
  <c r="X1451" i="24"/>
  <c r="Z1400" i="24"/>
  <c r="Y1400" i="24"/>
  <c r="X1400" i="24"/>
  <c r="Z1431" i="24"/>
  <c r="Y1431" i="24"/>
  <c r="Z1423" i="24"/>
  <c r="Y1423" i="24"/>
  <c r="Z1415" i="24"/>
  <c r="Y1415" i="24"/>
  <c r="Z1386" i="24"/>
  <c r="Y1386" i="24"/>
  <c r="Z1466" i="24"/>
  <c r="Y1466" i="24"/>
  <c r="X1437" i="24"/>
  <c r="Y1406" i="24"/>
  <c r="Z1406" i="24"/>
  <c r="Z1342" i="24"/>
  <c r="Y1342" i="24"/>
  <c r="X1477" i="24"/>
  <c r="X1466" i="24"/>
  <c r="Z1457" i="24"/>
  <c r="Y1457" i="24"/>
  <c r="Z1447" i="24"/>
  <c r="Y1447" i="24"/>
  <c r="Z1320" i="24"/>
  <c r="Y1320" i="24"/>
  <c r="Z1380" i="24"/>
  <c r="Y1380" i="24"/>
  <c r="X1389" i="24"/>
  <c r="Z1361" i="24"/>
  <c r="Y1361" i="24"/>
  <c r="Z1519" i="24"/>
  <c r="Y1519" i="24"/>
  <c r="Z1381" i="24"/>
  <c r="Y1381" i="24"/>
  <c r="Y1331" i="24"/>
  <c r="Z1331" i="24"/>
  <c r="Y1307" i="24"/>
  <c r="Z1307" i="24"/>
  <c r="X1385" i="24"/>
  <c r="Z1333" i="24"/>
  <c r="Y1333" i="24"/>
  <c r="X1222" i="24"/>
  <c r="X1206" i="24"/>
  <c r="X1190" i="24"/>
  <c r="X1174" i="24"/>
  <c r="X1158" i="24"/>
  <c r="X1142" i="24"/>
  <c r="X1126" i="24"/>
  <c r="Z1116" i="24"/>
  <c r="Y1116" i="24"/>
  <c r="X1122" i="24"/>
  <c r="X1106" i="24"/>
  <c r="X1214" i="24"/>
  <c r="X1198" i="24"/>
  <c r="X1182" i="24"/>
  <c r="X1166" i="24"/>
  <c r="X1150" i="24"/>
  <c r="Z1196" i="24"/>
  <c r="Y1196" i="24"/>
  <c r="Z1180" i="24"/>
  <c r="Y1180" i="24"/>
  <c r="Z1164" i="24"/>
  <c r="Y1164" i="24"/>
  <c r="Z1148" i="24"/>
  <c r="Y1148" i="24"/>
  <c r="X1116" i="24"/>
  <c r="X1069" i="24"/>
  <c r="Z972" i="24"/>
  <c r="Y972" i="24"/>
  <c r="Z994" i="24"/>
  <c r="Y994" i="24"/>
  <c r="X997" i="24"/>
  <c r="Z978" i="24"/>
  <c r="Y978" i="24"/>
  <c r="Z833" i="24"/>
  <c r="Y833" i="24"/>
  <c r="W706" i="24"/>
  <c r="W708" i="24"/>
  <c r="W709" i="24"/>
  <c r="W705" i="24"/>
  <c r="Z704" i="24"/>
  <c r="Y704" i="24"/>
  <c r="X704" i="24"/>
  <c r="W707" i="24"/>
  <c r="X1148" i="24"/>
  <c r="Y814" i="24"/>
  <c r="X814" i="24"/>
  <c r="Z814" i="24"/>
  <c r="X818" i="24"/>
  <c r="W703" i="24"/>
  <c r="Z584" i="24"/>
  <c r="Y584" i="24"/>
  <c r="X727" i="24"/>
  <c r="Z637" i="24"/>
  <c r="Y637" i="24"/>
  <c r="X410" i="24"/>
  <c r="Z410" i="24"/>
  <c r="Y410" i="24"/>
  <c r="X796" i="24"/>
  <c r="X695" i="24"/>
  <c r="Z695" i="24"/>
  <c r="Y695" i="24"/>
  <c r="X552" i="24"/>
  <c r="W555" i="24"/>
  <c r="Z657" i="24"/>
  <c r="Y657" i="24"/>
  <c r="X657" i="24"/>
  <c r="Z604" i="24"/>
  <c r="Y604" i="24"/>
  <c r="Z511" i="24"/>
  <c r="Y511" i="24"/>
  <c r="X511" i="24"/>
  <c r="X791" i="24"/>
  <c r="Z520" i="24"/>
  <c r="Y520" i="24"/>
  <c r="W673" i="24"/>
  <c r="W654" i="24"/>
  <c r="Z619" i="24"/>
  <c r="Y619" i="24"/>
  <c r="X619" i="24"/>
  <c r="S667" i="24"/>
  <c r="P667" i="24"/>
  <c r="X518" i="24"/>
  <c r="Z489" i="24"/>
  <c r="Y489" i="24"/>
  <c r="X387" i="24"/>
  <c r="Z387" i="24"/>
  <c r="Y387" i="24"/>
  <c r="Z615" i="24"/>
  <c r="Y615" i="24"/>
  <c r="X615" i="24"/>
  <c r="X531" i="24"/>
  <c r="Q528" i="24"/>
  <c r="W528" i="24" s="1"/>
  <c r="X676" i="24"/>
  <c r="Z676" i="24"/>
  <c r="Y676" i="24"/>
  <c r="Z500" i="24"/>
  <c r="Y500" i="24"/>
  <c r="Z426" i="24"/>
  <c r="Y426" i="24"/>
  <c r="X426" i="24"/>
  <c r="S406" i="24"/>
  <c r="U406" i="24" s="1"/>
  <c r="P406" i="24"/>
  <c r="S340" i="24"/>
  <c r="P340" i="24"/>
  <c r="W444" i="24"/>
  <c r="Z443" i="24"/>
  <c r="Y443" i="24"/>
  <c r="W446" i="24"/>
  <c r="W447" i="24"/>
  <c r="W445" i="24"/>
  <c r="W320" i="24"/>
  <c r="Z317" i="24"/>
  <c r="Y317" i="24"/>
  <c r="W319" i="24"/>
  <c r="W321" i="24"/>
  <c r="W322" i="24"/>
  <c r="W318" i="24"/>
  <c r="Z316" i="24"/>
  <c r="Y316" i="24"/>
  <c r="X316" i="24"/>
  <c r="W783" i="24"/>
  <c r="W782" i="24"/>
  <c r="Z781" i="24"/>
  <c r="Y781" i="24"/>
  <c r="W784" i="24"/>
  <c r="Z276" i="24"/>
  <c r="Y276" i="24"/>
  <c r="X276" i="24"/>
  <c r="Z197" i="24"/>
  <c r="Y197" i="24"/>
  <c r="X197" i="24"/>
  <c r="Z127" i="24"/>
  <c r="Y127" i="24"/>
  <c r="X127" i="24"/>
  <c r="X82" i="24"/>
  <c r="Z213" i="24"/>
  <c r="Y213" i="24"/>
  <c r="Z190" i="24"/>
  <c r="Y190" i="24"/>
  <c r="X190" i="24"/>
  <c r="Y166" i="24"/>
  <c r="X166" i="24"/>
  <c r="Z166" i="24"/>
  <c r="W177" i="24"/>
  <c r="W176" i="24"/>
  <c r="Z175" i="24"/>
  <c r="Y175" i="24"/>
  <c r="Z93" i="24"/>
  <c r="Y93" i="24"/>
  <c r="Y52" i="24"/>
  <c r="X52" i="24"/>
  <c r="Z52" i="24"/>
  <c r="Z31" i="24"/>
  <c r="Y31" i="24"/>
  <c r="Z269" i="24"/>
  <c r="Y269" i="24"/>
  <c r="X269" i="24"/>
  <c r="Z55" i="24"/>
  <c r="Y55" i="24"/>
  <c r="X540" i="24"/>
  <c r="Z540" i="24"/>
  <c r="Y540" i="24"/>
  <c r="Q116" i="24"/>
  <c r="W116" i="24" s="1"/>
  <c r="X93" i="24"/>
  <c r="X155" i="24"/>
  <c r="Z155" i="24"/>
  <c r="Y155" i="24"/>
  <c r="X520" i="24"/>
  <c r="X230" i="24"/>
  <c r="X413" i="24"/>
  <c r="X187" i="24"/>
  <c r="Y168" i="24"/>
  <c r="X168" i="24"/>
  <c r="Z168" i="24"/>
  <c r="X2501" i="23"/>
  <c r="Z2501" i="23"/>
  <c r="Y2501" i="23"/>
  <c r="Z2320" i="23"/>
  <c r="Y2320" i="23"/>
  <c r="X2320" i="23"/>
  <c r="Z2520" i="23"/>
  <c r="Y2520" i="23"/>
  <c r="X2520" i="23"/>
  <c r="W2628" i="23"/>
  <c r="Z2624" i="23"/>
  <c r="W2626" i="23"/>
  <c r="Y2624" i="23"/>
  <c r="W2629" i="23"/>
  <c r="W2627" i="23"/>
  <c r="W2625" i="23"/>
  <c r="Z2632" i="23"/>
  <c r="Y2632" i="23"/>
  <c r="Z2554" i="23"/>
  <c r="Y2554" i="23"/>
  <c r="X2554" i="23"/>
  <c r="Z2545" i="23"/>
  <c r="Y2545" i="23"/>
  <c r="X2545" i="23"/>
  <c r="X2547" i="23"/>
  <c r="Z2547" i="23"/>
  <c r="Y2547" i="23"/>
  <c r="Z2495" i="23"/>
  <c r="X2495" i="23"/>
  <c r="Y2495" i="23"/>
  <c r="Z2640" i="23"/>
  <c r="Y2640" i="23"/>
  <c r="W2428" i="23"/>
  <c r="X2339" i="23"/>
  <c r="Z2339" i="23"/>
  <c r="Y2339" i="23"/>
  <c r="W2436" i="23"/>
  <c r="W2325" i="23"/>
  <c r="W2419" i="23"/>
  <c r="Z2291" i="23"/>
  <c r="Y2291" i="23"/>
  <c r="X2291" i="23"/>
  <c r="X2440" i="23"/>
  <c r="Z2440" i="23"/>
  <c r="Y2440" i="23"/>
  <c r="Z2424" i="23"/>
  <c r="X2424" i="23"/>
  <c r="Y2424" i="23"/>
  <c r="Z2351" i="23"/>
  <c r="X2351" i="23"/>
  <c r="Y2351" i="23"/>
  <c r="Z2344" i="23"/>
  <c r="Y2344" i="23"/>
  <c r="X2344" i="23"/>
  <c r="Z2335" i="23"/>
  <c r="Y2335" i="23"/>
  <c r="X2335" i="23"/>
  <c r="Z2008" i="23"/>
  <c r="Y2008" i="23"/>
  <c r="X2008" i="23"/>
  <c r="Z2397" i="23"/>
  <c r="X2397" i="23"/>
  <c r="Y2397" i="23"/>
  <c r="W2446" i="23"/>
  <c r="Z2358" i="23"/>
  <c r="Y2358" i="23"/>
  <c r="X2358" i="23"/>
  <c r="X2466" i="23"/>
  <c r="Z2466" i="23"/>
  <c r="Y2466" i="23"/>
  <c r="Z2313" i="23"/>
  <c r="Y2313" i="23"/>
  <c r="X2313" i="23"/>
  <c r="W2304" i="23"/>
  <c r="W2231" i="23"/>
  <c r="W2229" i="23"/>
  <c r="Z2228" i="23"/>
  <c r="W2233" i="23"/>
  <c r="Y2228" i="23"/>
  <c r="W2230" i="23"/>
  <c r="W2232" i="23"/>
  <c r="W2104" i="23"/>
  <c r="W2102" i="23"/>
  <c r="Z2101" i="23"/>
  <c r="Y2101" i="23"/>
  <c r="W2103" i="23"/>
  <c r="Z1975" i="23"/>
  <c r="Y1975" i="23"/>
  <c r="X1975" i="23"/>
  <c r="Z2393" i="23"/>
  <c r="X2393" i="23"/>
  <c r="Y2393" i="23"/>
  <c r="X2187" i="23"/>
  <c r="Z2187" i="23"/>
  <c r="Y2187" i="23"/>
  <c r="Z2107" i="23"/>
  <c r="Y2107" i="23"/>
  <c r="X2107" i="23"/>
  <c r="Z2051" i="23"/>
  <c r="Y2051" i="23"/>
  <c r="X2051" i="23"/>
  <c r="W2043" i="23"/>
  <c r="W2042" i="23"/>
  <c r="Z2041" i="23"/>
  <c r="Y2041" i="23"/>
  <c r="W2044" i="23"/>
  <c r="X1956" i="23"/>
  <c r="Z1956" i="23"/>
  <c r="Y1956" i="23"/>
  <c r="Z1886" i="23"/>
  <c r="Y1886" i="23"/>
  <c r="X1886" i="23"/>
  <c r="X1811" i="23"/>
  <c r="W2247" i="23"/>
  <c r="Z2208" i="23"/>
  <c r="Y2208" i="23"/>
  <c r="X2208" i="23"/>
  <c r="Z2166" i="23"/>
  <c r="Y2166" i="23"/>
  <c r="X2166" i="23"/>
  <c r="Z2149" i="23"/>
  <c r="Y2149" i="23"/>
  <c r="X2149" i="23"/>
  <c r="Z2098" i="23"/>
  <c r="Y2098" i="23"/>
  <c r="X2098" i="23"/>
  <c r="Y2095" i="23"/>
  <c r="X2095" i="23"/>
  <c r="Z2095" i="23"/>
  <c r="Z2035" i="23"/>
  <c r="Y2035" i="23"/>
  <c r="X2035" i="23"/>
  <c r="Y2031" i="23"/>
  <c r="X2031" i="23"/>
  <c r="Z2031" i="23"/>
  <c r="W1919" i="23"/>
  <c r="W1918" i="23"/>
  <c r="Z1917" i="23"/>
  <c r="Y1917" i="23"/>
  <c r="W1920" i="23"/>
  <c r="Z2220" i="23"/>
  <c r="Y2220" i="23"/>
  <c r="X2220" i="23"/>
  <c r="W2059" i="23"/>
  <c r="W2058" i="23"/>
  <c r="Z2057" i="23"/>
  <c r="Y2057" i="23"/>
  <c r="W2060" i="23"/>
  <c r="Z2019" i="23"/>
  <c r="Y2019" i="23"/>
  <c r="X2019" i="23"/>
  <c r="Y2015" i="23"/>
  <c r="X2015" i="23"/>
  <c r="Z2015" i="23"/>
  <c r="W1899" i="23"/>
  <c r="W1898" i="23"/>
  <c r="W1897" i="23"/>
  <c r="Z1896" i="23"/>
  <c r="Y1896" i="23"/>
  <c r="W1867" i="23"/>
  <c r="W1866" i="23"/>
  <c r="W1865" i="23"/>
  <c r="Z1864" i="23"/>
  <c r="Y1864" i="23"/>
  <c r="X1833" i="23"/>
  <c r="X1823" i="23"/>
  <c r="X1769" i="23"/>
  <c r="W2243" i="23"/>
  <c r="Z2235" i="23"/>
  <c r="X2235" i="23"/>
  <c r="Y2235" i="23"/>
  <c r="W1996" i="23"/>
  <c r="Y1803" i="23"/>
  <c r="X1803" i="23"/>
  <c r="Z1803" i="23"/>
  <c r="Z1791" i="23"/>
  <c r="Y1791" i="23"/>
  <c r="Z2139" i="23"/>
  <c r="Y2139" i="23"/>
  <c r="X2139" i="23"/>
  <c r="Z2269" i="23"/>
  <c r="Y2269" i="23"/>
  <c r="X2269" i="23"/>
  <c r="W2172" i="23"/>
  <c r="W2076" i="23"/>
  <c r="Y1890" i="23"/>
  <c r="X1890" i="23"/>
  <c r="Z1890" i="23"/>
  <c r="Z2215" i="23"/>
  <c r="Y2215" i="23"/>
  <c r="X2215" i="23"/>
  <c r="Z1971" i="23"/>
  <c r="Y1971" i="23"/>
  <c r="X1971" i="23"/>
  <c r="X1768" i="23"/>
  <c r="Z1528" i="23"/>
  <c r="Y1528" i="23"/>
  <c r="Z1496" i="23"/>
  <c r="Y1496" i="23"/>
  <c r="Z1464" i="23"/>
  <c r="Y1464" i="23"/>
  <c r="X1722" i="23"/>
  <c r="Z1722" i="23"/>
  <c r="Y1722" i="23"/>
  <c r="Z1524" i="23"/>
  <c r="Y1524" i="23"/>
  <c r="Z1492" i="23"/>
  <c r="Y1492" i="23"/>
  <c r="Z1460" i="23"/>
  <c r="Y1460" i="23"/>
  <c r="X1524" i="23"/>
  <c r="X1460" i="23"/>
  <c r="Z1432" i="23"/>
  <c r="Y1432" i="23"/>
  <c r="Z1424" i="23"/>
  <c r="Y1424" i="23"/>
  <c r="Z1416" i="23"/>
  <c r="Y1416" i="23"/>
  <c r="Z1408" i="23"/>
  <c r="Y1408" i="23"/>
  <c r="Z1400" i="23"/>
  <c r="Y1400" i="23"/>
  <c r="Z1392" i="23"/>
  <c r="Y1392" i="23"/>
  <c r="Z1384" i="23"/>
  <c r="Y1384" i="23"/>
  <c r="Z1376" i="23"/>
  <c r="Y1376" i="23"/>
  <c r="Z1368" i="23"/>
  <c r="Y1368" i="23"/>
  <c r="Z1360" i="23"/>
  <c r="Y1360" i="23"/>
  <c r="Z1352" i="23"/>
  <c r="Y1352" i="23"/>
  <c r="Z1344" i="23"/>
  <c r="Y1344" i="23"/>
  <c r="Z1336" i="23"/>
  <c r="Y1336" i="23"/>
  <c r="Z1328" i="23"/>
  <c r="Y1328" i="23"/>
  <c r="Z1320" i="23"/>
  <c r="Y1320" i="23"/>
  <c r="Z1312" i="23"/>
  <c r="Y1312" i="23"/>
  <c r="Z1304" i="23"/>
  <c r="Y1304" i="23"/>
  <c r="Z1296" i="23"/>
  <c r="Y1296" i="23"/>
  <c r="Z1288" i="23"/>
  <c r="Y1288" i="23"/>
  <c r="Z1280" i="23"/>
  <c r="Y1280" i="23"/>
  <c r="Z1272" i="23"/>
  <c r="Y1272" i="23"/>
  <c r="Z1264" i="23"/>
  <c r="Y1264" i="23"/>
  <c r="Z1256" i="23"/>
  <c r="Y1256" i="23"/>
  <c r="Z1248" i="23"/>
  <c r="Y1248" i="23"/>
  <c r="Z1240" i="23"/>
  <c r="Y1240" i="23"/>
  <c r="Z1403" i="23"/>
  <c r="Y1403" i="23"/>
  <c r="X1320" i="23"/>
  <c r="Z1275" i="23"/>
  <c r="Y1275" i="23"/>
  <c r="Z1115" i="23"/>
  <c r="Y1115" i="23"/>
  <c r="Z1144" i="23"/>
  <c r="Y1144" i="23"/>
  <c r="Z1121" i="23"/>
  <c r="Y1121" i="23"/>
  <c r="Z1029" i="23"/>
  <c r="Y1029" i="23"/>
  <c r="Z1025" i="23"/>
  <c r="Y1025" i="23"/>
  <c r="Z1021" i="23"/>
  <c r="Y1021" i="23"/>
  <c r="Z1017" i="23"/>
  <c r="Y1017" i="23"/>
  <c r="Z1013" i="23"/>
  <c r="Y1013" i="23"/>
  <c r="Z1009" i="23"/>
  <c r="Y1009" i="23"/>
  <c r="Z1005" i="23"/>
  <c r="Y1005" i="23"/>
  <c r="Z950" i="23"/>
  <c r="Y950" i="23"/>
  <c r="X950" i="23"/>
  <c r="Z1202" i="23"/>
  <c r="Y1202" i="23"/>
  <c r="Y644" i="23"/>
  <c r="X644" i="23"/>
  <c r="W646" i="23"/>
  <c r="W648" i="23"/>
  <c r="W649" i="23"/>
  <c r="W645" i="23"/>
  <c r="W647" i="23"/>
  <c r="Z644" i="23"/>
  <c r="X1537" i="23"/>
  <c r="Z1381" i="23"/>
  <c r="Y1381" i="23"/>
  <c r="Z1253" i="23"/>
  <c r="Y1253" i="23"/>
  <c r="Z1212" i="23"/>
  <c r="Y1212" i="23"/>
  <c r="Z1180" i="23"/>
  <c r="Y1180" i="23"/>
  <c r="Z1148" i="23"/>
  <c r="Y1148" i="23"/>
  <c r="Z1080" i="23"/>
  <c r="Y1080" i="23"/>
  <c r="X1080" i="23"/>
  <c r="Z1048" i="23"/>
  <c r="Y1048" i="23"/>
  <c r="X1048" i="23"/>
  <c r="Z992" i="23"/>
  <c r="Y992" i="23"/>
  <c r="Z928" i="23"/>
  <c r="Y928" i="23"/>
  <c r="X1392" i="23"/>
  <c r="Z1347" i="23"/>
  <c r="Y1347" i="23"/>
  <c r="X1264" i="23"/>
  <c r="Z1136" i="23"/>
  <c r="Y1136" i="23"/>
  <c r="U636" i="23"/>
  <c r="Z1178" i="23"/>
  <c r="Y1178" i="23"/>
  <c r="Z991" i="23"/>
  <c r="Y991" i="23"/>
  <c r="X991" i="23"/>
  <c r="Z927" i="23"/>
  <c r="Y927" i="23"/>
  <c r="X927" i="23"/>
  <c r="X1505" i="23"/>
  <c r="Z1421" i="23"/>
  <c r="Y1421" i="23"/>
  <c r="X1338" i="23"/>
  <c r="Z1293" i="23"/>
  <c r="Y1293" i="23"/>
  <c r="Z1217" i="23"/>
  <c r="Y1217" i="23"/>
  <c r="Z1185" i="23"/>
  <c r="Y1185" i="23"/>
  <c r="Z1153" i="23"/>
  <c r="Y1153" i="23"/>
  <c r="Z1092" i="23"/>
  <c r="Y1092" i="23"/>
  <c r="Z1060" i="23"/>
  <c r="Y1060" i="23"/>
  <c r="Z799" i="23"/>
  <c r="Y799" i="23"/>
  <c r="Z643" i="23"/>
  <c r="Y643" i="23"/>
  <c r="X643" i="23"/>
  <c r="Z627" i="23"/>
  <c r="Y627" i="23"/>
  <c r="Z589" i="23"/>
  <c r="Y589" i="23"/>
  <c r="Z536" i="23"/>
  <c r="Y536" i="23"/>
  <c r="Z166" i="23"/>
  <c r="Y166" i="23"/>
  <c r="X166" i="23"/>
  <c r="Z573" i="23"/>
  <c r="Y573" i="23"/>
  <c r="X573" i="23"/>
  <c r="X446" i="23"/>
  <c r="Y446" i="23"/>
  <c r="Z446" i="23"/>
  <c r="X1124" i="23"/>
  <c r="W684" i="23"/>
  <c r="Z272" i="23"/>
  <c r="Y272" i="23"/>
  <c r="X272" i="23"/>
  <c r="Z181" i="23"/>
  <c r="Y181" i="23"/>
  <c r="X181" i="23"/>
  <c r="X1029" i="23"/>
  <c r="X1013" i="23"/>
  <c r="W595" i="23"/>
  <c r="Y540" i="23"/>
  <c r="X540" i="23"/>
  <c r="Z540" i="23"/>
  <c r="Z433" i="23"/>
  <c r="Y433" i="23"/>
  <c r="X433" i="23"/>
  <c r="X1086" i="23"/>
  <c r="Z658" i="23"/>
  <c r="Y658" i="23"/>
  <c r="X658" i="23"/>
  <c r="Z546" i="23"/>
  <c r="Y546" i="23"/>
  <c r="X1068" i="23"/>
  <c r="Z762" i="23"/>
  <c r="Y762" i="23"/>
  <c r="X762" i="23"/>
  <c r="Z559" i="23"/>
  <c r="Y559" i="23"/>
  <c r="Z498" i="23"/>
  <c r="Y498" i="23"/>
  <c r="Y417" i="23"/>
  <c r="Z417" i="23"/>
  <c r="X417" i="23"/>
  <c r="W381" i="23"/>
  <c r="W382" i="23"/>
  <c r="W378" i="23"/>
  <c r="Z377" i="23"/>
  <c r="W380" i="23"/>
  <c r="Y377" i="23"/>
  <c r="W379" i="23"/>
  <c r="Z291" i="23"/>
  <c r="Y291" i="23"/>
  <c r="X291" i="23"/>
  <c r="Z142" i="23"/>
  <c r="Y142" i="23"/>
  <c r="X142" i="23"/>
  <c r="X1098" i="23"/>
  <c r="Z822" i="23"/>
  <c r="Y822" i="23"/>
  <c r="X822" i="23"/>
  <c r="Z743" i="23"/>
  <c r="Y743" i="23"/>
  <c r="Z715" i="23"/>
  <c r="Y715" i="23"/>
  <c r="X715" i="23"/>
  <c r="Z319" i="23"/>
  <c r="Y319" i="23"/>
  <c r="X319" i="23"/>
  <c r="Z258" i="23"/>
  <c r="Y258" i="23"/>
  <c r="X258" i="23"/>
  <c r="Z108" i="23"/>
  <c r="Y108" i="23"/>
  <c r="Z33" i="23"/>
  <c r="Y33" i="23"/>
  <c r="Z428" i="23"/>
  <c r="Y428" i="23"/>
  <c r="X428" i="23"/>
  <c r="Z387" i="23"/>
  <c r="Y387" i="23"/>
  <c r="X387" i="23"/>
  <c r="Z198" i="23"/>
  <c r="Y198" i="23"/>
  <c r="X198" i="23"/>
  <c r="X78" i="23"/>
  <c r="Z169" i="23"/>
  <c r="Y169" i="23"/>
  <c r="X169" i="23"/>
  <c r="W473" i="23"/>
  <c r="Z441" i="23"/>
  <c r="Y441" i="23"/>
  <c r="X441" i="23"/>
  <c r="W332" i="23"/>
  <c r="Y329" i="23"/>
  <c r="W331" i="23"/>
  <c r="W333" i="23"/>
  <c r="W334" i="23"/>
  <c r="W330" i="23"/>
  <c r="Z329" i="23"/>
  <c r="Y154" i="23"/>
  <c r="X154" i="23"/>
  <c r="Z154" i="23"/>
  <c r="W354" i="23"/>
  <c r="W263" i="23"/>
  <c r="Z151" i="23"/>
  <c r="Y151" i="23"/>
  <c r="X151" i="23"/>
  <c r="Z242" i="23"/>
  <c r="Y242" i="23"/>
  <c r="Z44" i="23"/>
  <c r="Y44" i="23"/>
  <c r="W298" i="23"/>
  <c r="Y86" i="23"/>
  <c r="Z86" i="23"/>
  <c r="X47" i="23"/>
  <c r="X2701" i="24"/>
  <c r="X2673" i="24"/>
  <c r="Z2665" i="24"/>
  <c r="Y2665" i="24"/>
  <c r="X2684" i="24"/>
  <c r="Z2607" i="24"/>
  <c r="X2607" i="24"/>
  <c r="Y2607" i="24"/>
  <c r="Z2578" i="24"/>
  <c r="Y2578" i="24"/>
  <c r="X2578" i="24"/>
  <c r="Y2580" i="24"/>
  <c r="Z2580" i="24"/>
  <c r="X2580" i="24"/>
  <c r="X2593" i="24"/>
  <c r="Z2593" i="24"/>
  <c r="Y2593" i="24"/>
  <c r="X2536" i="24"/>
  <c r="Z2536" i="24"/>
  <c r="Y2536" i="24"/>
  <c r="Z2550" i="24"/>
  <c r="Y2550" i="24"/>
  <c r="X2550" i="24"/>
  <c r="Z2602" i="24"/>
  <c r="Y2602" i="24"/>
  <c r="X2602" i="24"/>
  <c r="Z2545" i="24"/>
  <c r="X2545" i="24"/>
  <c r="Y2545" i="24"/>
  <c r="Z2568" i="24"/>
  <c r="X2568" i="24"/>
  <c r="Y2568" i="24"/>
  <c r="X2523" i="24"/>
  <c r="Z2523" i="24"/>
  <c r="Y2523" i="24"/>
  <c r="Z2367" i="24"/>
  <c r="Y2367" i="24"/>
  <c r="X2367" i="24"/>
  <c r="W2485" i="24"/>
  <c r="Y2439" i="24"/>
  <c r="X2439" i="24"/>
  <c r="Z2439" i="24"/>
  <c r="X2477" i="24"/>
  <c r="Z2477" i="24"/>
  <c r="Y2477" i="24"/>
  <c r="X2409" i="24"/>
  <c r="Y2409" i="24"/>
  <c r="Z2409" i="24"/>
  <c r="X2458" i="24"/>
  <c r="Z2458" i="24"/>
  <c r="Y2458" i="24"/>
  <c r="Z2390" i="24"/>
  <c r="W2393" i="24"/>
  <c r="Y2390" i="24"/>
  <c r="W2392" i="24"/>
  <c r="W2391" i="24"/>
  <c r="X2390" i="24"/>
  <c r="W2395" i="24"/>
  <c r="W2394" i="24"/>
  <c r="Z2425" i="24"/>
  <c r="Y2425" i="24"/>
  <c r="X2425" i="24"/>
  <c r="X2389" i="24"/>
  <c r="Z2389" i="24"/>
  <c r="Y2389" i="24"/>
  <c r="X2479" i="24"/>
  <c r="Z2479" i="24"/>
  <c r="Y2479" i="24"/>
  <c r="Z2445" i="24"/>
  <c r="Y2445" i="24"/>
  <c r="X2445" i="24"/>
  <c r="Z2403" i="24"/>
  <c r="Y2403" i="24"/>
  <c r="X2403" i="24"/>
  <c r="Z2334" i="24"/>
  <c r="Y2334" i="24"/>
  <c r="X2334" i="24"/>
  <c r="Y2365" i="24"/>
  <c r="X2365" i="24"/>
  <c r="Z2365" i="24"/>
  <c r="Z2273" i="24"/>
  <c r="X2273" i="24"/>
  <c r="Y2273" i="24"/>
  <c r="Z2495" i="24"/>
  <c r="X2495" i="24"/>
  <c r="Y2495" i="24"/>
  <c r="W2344" i="24"/>
  <c r="Z2428" i="24"/>
  <c r="Y2428" i="24"/>
  <c r="X2428" i="24"/>
  <c r="W2219" i="24"/>
  <c r="Z2216" i="24"/>
  <c r="W2221" i="24"/>
  <c r="W2218" i="24"/>
  <c r="W2217" i="24"/>
  <c r="Y2216" i="24"/>
  <c r="W2220" i="24"/>
  <c r="W2151" i="24"/>
  <c r="W2150" i="24"/>
  <c r="Z2148" i="24"/>
  <c r="W2152" i="24"/>
  <c r="W2149" i="24"/>
  <c r="Y2148" i="24"/>
  <c r="X2148" i="24"/>
  <c r="W2200" i="24"/>
  <c r="W2199" i="24"/>
  <c r="Z2198" i="24"/>
  <c r="Y2198" i="24"/>
  <c r="W2203" i="24"/>
  <c r="W2202" i="24"/>
  <c r="W2201" i="24"/>
  <c r="X2279" i="24"/>
  <c r="Y2279" i="24"/>
  <c r="Z2279" i="24"/>
  <c r="Z2249" i="24"/>
  <c r="X2249" i="24"/>
  <c r="Y2249" i="24"/>
  <c r="X2224" i="24"/>
  <c r="Z2224" i="24"/>
  <c r="Y2224" i="24"/>
  <c r="W2132" i="24"/>
  <c r="W2129" i="24"/>
  <c r="Z2128" i="24"/>
  <c r="Y2128" i="24"/>
  <c r="W2130" i="24"/>
  <c r="W2131" i="24"/>
  <c r="X2175" i="24"/>
  <c r="Z2175" i="24"/>
  <c r="Y2175" i="24"/>
  <c r="Y2124" i="24"/>
  <c r="Z2124" i="24"/>
  <c r="X2124" i="24"/>
  <c r="X2128" i="24"/>
  <c r="W2063" i="24"/>
  <c r="X2001" i="24"/>
  <c r="Z2072" i="24"/>
  <c r="Y2072" i="24"/>
  <c r="X2072" i="24"/>
  <c r="W2014" i="24"/>
  <c r="Z2013" i="24"/>
  <c r="W2015" i="24"/>
  <c r="W2016" i="24"/>
  <c r="Y2013" i="24"/>
  <c r="Y2018" i="24"/>
  <c r="Z2018" i="24"/>
  <c r="X2018" i="24"/>
  <c r="Z2074" i="24"/>
  <c r="X2074" i="24"/>
  <c r="Y2074" i="24"/>
  <c r="W1984" i="24"/>
  <c r="X1937" i="24"/>
  <c r="Z1855" i="24"/>
  <c r="Y1855" i="24"/>
  <c r="X1855" i="24"/>
  <c r="W1996" i="24"/>
  <c r="W1995" i="24"/>
  <c r="W1994" i="24"/>
  <c r="Z1993" i="24"/>
  <c r="Y1993" i="24"/>
  <c r="X1949" i="24"/>
  <c r="W1950" i="24"/>
  <c r="Z2040" i="24"/>
  <c r="X2040" i="24"/>
  <c r="Y2040" i="24"/>
  <c r="Y1935" i="24"/>
  <c r="Z1935" i="24"/>
  <c r="X1935" i="24"/>
  <c r="Z1963" i="24"/>
  <c r="Y1963" i="24"/>
  <c r="X1963" i="24"/>
  <c r="Z1851" i="24"/>
  <c r="Y1851" i="24"/>
  <c r="X1851" i="24"/>
  <c r="Z1764" i="24"/>
  <c r="Y1764" i="24"/>
  <c r="X1764" i="24"/>
  <c r="Z1916" i="24"/>
  <c r="Y1916" i="24"/>
  <c r="X1916" i="24"/>
  <c r="Z1830" i="24"/>
  <c r="Y1830" i="24"/>
  <c r="X1756" i="24"/>
  <c r="Z1756" i="24"/>
  <c r="Y1756" i="24"/>
  <c r="X1801" i="24"/>
  <c r="Y2173" i="24"/>
  <c r="X2173" i="24"/>
  <c r="Z2173" i="24"/>
  <c r="Y2107" i="24"/>
  <c r="X2107" i="24"/>
  <c r="Z2107" i="24"/>
  <c r="W1919" i="24"/>
  <c r="Y1917" i="24"/>
  <c r="Z1917" i="24"/>
  <c r="W1920" i="24"/>
  <c r="W1918" i="24"/>
  <c r="Z1869" i="24"/>
  <c r="Y1869" i="24"/>
  <c r="X1869" i="24"/>
  <c r="Z1862" i="24"/>
  <c r="Y1862" i="24"/>
  <c r="X1862" i="24"/>
  <c r="Z1815" i="24"/>
  <c r="Y1815" i="24"/>
  <c r="X1815" i="24"/>
  <c r="Z1825" i="24"/>
  <c r="Y1825" i="24"/>
  <c r="X1825" i="24"/>
  <c r="Y1751" i="24"/>
  <c r="Z1751" i="24"/>
  <c r="Y1793" i="24"/>
  <c r="Z1793" i="24"/>
  <c r="Z1874" i="24"/>
  <c r="Y1874" i="24"/>
  <c r="X1874" i="24"/>
  <c r="X1769" i="24"/>
  <c r="Y1669" i="24"/>
  <c r="Z1669" i="24"/>
  <c r="Z1844" i="24"/>
  <c r="Y1844" i="24"/>
  <c r="X1844" i="24"/>
  <c r="Q1785" i="24"/>
  <c r="Y1767" i="24"/>
  <c r="Z1767" i="24"/>
  <c r="Y1601" i="24"/>
  <c r="Z1601" i="24"/>
  <c r="Z1579" i="24"/>
  <c r="Y1579" i="24"/>
  <c r="Z1533" i="24"/>
  <c r="Y1533" i="24"/>
  <c r="Y1531" i="24"/>
  <c r="Z1531" i="24"/>
  <c r="X1691" i="24"/>
  <c r="Q1690" i="24"/>
  <c r="Z1511" i="24"/>
  <c r="Y1511" i="24"/>
  <c r="Z1475" i="24"/>
  <c r="Y1475" i="24"/>
  <c r="Z1451" i="24"/>
  <c r="Y1451" i="24"/>
  <c r="Z1348" i="24"/>
  <c r="Y1348" i="24"/>
  <c r="Z1382" i="24"/>
  <c r="Y1382" i="24"/>
  <c r="X1382" i="24"/>
  <c r="Z1462" i="24"/>
  <c r="Y1462" i="24"/>
  <c r="Z1437" i="24"/>
  <c r="Y1437" i="24"/>
  <c r="Z1334" i="24"/>
  <c r="Y1334" i="24"/>
  <c r="Z1477" i="24"/>
  <c r="Y1477" i="24"/>
  <c r="Y1442" i="24"/>
  <c r="Z1442" i="24"/>
  <c r="Z1312" i="24"/>
  <c r="Y1312" i="24"/>
  <c r="Z1376" i="24"/>
  <c r="Y1376" i="24"/>
  <c r="Y1347" i="24"/>
  <c r="Z1347" i="24"/>
  <c r="X1306" i="24"/>
  <c r="Z1322" i="24"/>
  <c r="Y1322" i="24"/>
  <c r="X1234" i="24"/>
  <c r="Z1346" i="24"/>
  <c r="Y1346" i="24"/>
  <c r="X1328" i="24"/>
  <c r="Z1251" i="24"/>
  <c r="Y1251" i="24"/>
  <c r="X1226" i="24"/>
  <c r="X1210" i="24"/>
  <c r="X1194" i="24"/>
  <c r="X1178" i="24"/>
  <c r="X1162" i="24"/>
  <c r="X1146" i="24"/>
  <c r="Z1134" i="24"/>
  <c r="Y1134" i="24"/>
  <c r="Y1093" i="24"/>
  <c r="Z1093" i="24"/>
  <c r="Y1061" i="24"/>
  <c r="Z1061" i="24"/>
  <c r="Y1029" i="24"/>
  <c r="Z1029" i="24"/>
  <c r="Y997" i="24"/>
  <c r="Z997" i="24"/>
  <c r="Z1122" i="24"/>
  <c r="Y1122" i="24"/>
  <c r="Z1106" i="24"/>
  <c r="Y1106" i="24"/>
  <c r="Z1136" i="24"/>
  <c r="Y1136" i="24"/>
  <c r="Z986" i="24"/>
  <c r="Y986" i="24"/>
  <c r="Z1020" i="24"/>
  <c r="Y1020" i="24"/>
  <c r="Z1044" i="24"/>
  <c r="Y1044" i="24"/>
  <c r="Z1068" i="24"/>
  <c r="Y1068" i="24"/>
  <c r="Z1018" i="24"/>
  <c r="Y1018" i="24"/>
  <c r="X1052" i="24"/>
  <c r="Z1033" i="24"/>
  <c r="Y1033" i="24"/>
  <c r="Z839" i="24"/>
  <c r="Y839" i="24"/>
  <c r="Z801" i="24"/>
  <c r="Y801" i="24"/>
  <c r="X801" i="24"/>
  <c r="X1077" i="24"/>
  <c r="U640" i="24"/>
  <c r="X640" i="24" s="1"/>
  <c r="X1028" i="24"/>
  <c r="Z718" i="24"/>
  <c r="Y718" i="24"/>
  <c r="Z702" i="24"/>
  <c r="Y702" i="24"/>
  <c r="X702" i="24"/>
  <c r="U691" i="24"/>
  <c r="Z577" i="24"/>
  <c r="Y577" i="24"/>
  <c r="Z522" i="24"/>
  <c r="Y522" i="24"/>
  <c r="Z727" i="24"/>
  <c r="Y727" i="24"/>
  <c r="X577" i="24"/>
  <c r="S388" i="24"/>
  <c r="U388" i="24" s="1"/>
  <c r="Y388" i="24" s="1"/>
  <c r="P388" i="24"/>
  <c r="X611" i="24"/>
  <c r="Z611" i="24"/>
  <c r="Y611" i="24"/>
  <c r="Y507" i="24"/>
  <c r="Z507" i="24"/>
  <c r="X800" i="24"/>
  <c r="X661" i="24"/>
  <c r="Z661" i="24"/>
  <c r="Y661" i="24"/>
  <c r="Z791" i="24"/>
  <c r="Y791" i="24"/>
  <c r="Z554" i="24"/>
  <c r="X554" i="24"/>
  <c r="Y554" i="24"/>
  <c r="Z711" i="24"/>
  <c r="Y711" i="24"/>
  <c r="X711" i="24"/>
  <c r="W672" i="24"/>
  <c r="W652" i="24"/>
  <c r="Z452" i="24"/>
  <c r="Y452" i="24"/>
  <c r="X452" i="24"/>
  <c r="Z518" i="24"/>
  <c r="Y518" i="24"/>
  <c r="Z468" i="24"/>
  <c r="Y468" i="24"/>
  <c r="Z385" i="24"/>
  <c r="X385" i="24"/>
  <c r="Y385" i="24"/>
  <c r="X341" i="24"/>
  <c r="X490" i="24"/>
  <c r="Z524" i="24"/>
  <c r="Y524" i="24"/>
  <c r="W474" i="24"/>
  <c r="W476" i="24"/>
  <c r="W473" i="24"/>
  <c r="Z472" i="24"/>
  <c r="Y472" i="24"/>
  <c r="W475" i="24"/>
  <c r="X453" i="24"/>
  <c r="Z430" i="24"/>
  <c r="Y430" i="24"/>
  <c r="X430" i="24"/>
  <c r="X464" i="24"/>
  <c r="Z348" i="24"/>
  <c r="Y348" i="24"/>
  <c r="X348" i="24"/>
  <c r="W307" i="24"/>
  <c r="W310" i="24"/>
  <c r="W306" i="24"/>
  <c r="Z305" i="24"/>
  <c r="Y305" i="24"/>
  <c r="W308" i="24"/>
  <c r="W309" i="24"/>
  <c r="X523" i="24"/>
  <c r="Z478" i="24"/>
  <c r="Y478" i="24"/>
  <c r="X478" i="24"/>
  <c r="U322" i="24"/>
  <c r="X305" i="24"/>
  <c r="Z261" i="24"/>
  <c r="Y261" i="24"/>
  <c r="X261" i="24"/>
  <c r="Z198" i="24"/>
  <c r="Y198" i="24"/>
  <c r="X198" i="24"/>
  <c r="Z82" i="24"/>
  <c r="Y82" i="24"/>
  <c r="Y23" i="24"/>
  <c r="Z23" i="24"/>
  <c r="X23" i="24"/>
  <c r="X191" i="24"/>
  <c r="Z191" i="24"/>
  <c r="Y191" i="24"/>
  <c r="Y182" i="24"/>
  <c r="X182" i="24"/>
  <c r="Z182" i="24"/>
  <c r="X35" i="24"/>
  <c r="Z362" i="24"/>
  <c r="Y362" i="24"/>
  <c r="X362" i="24"/>
  <c r="Z165" i="24"/>
  <c r="Y165" i="24"/>
  <c r="X165" i="24"/>
  <c r="Y44" i="24"/>
  <c r="X44" i="24"/>
  <c r="Z44" i="24"/>
  <c r="Z268" i="24"/>
  <c r="X268" i="24"/>
  <c r="Y268" i="24"/>
  <c r="Z47" i="24"/>
  <c r="Y47" i="24"/>
  <c r="X221" i="24"/>
  <c r="W180" i="24"/>
  <c r="Z179" i="24"/>
  <c r="Y179" i="24"/>
  <c r="W181" i="24"/>
  <c r="Y72" i="24"/>
  <c r="Z72" i="24"/>
  <c r="X72" i="24"/>
  <c r="Y230" i="24"/>
  <c r="Z230" i="24"/>
  <c r="Z125" i="24"/>
  <c r="Y125" i="24"/>
  <c r="X125" i="24"/>
  <c r="Z2619" i="23"/>
  <c r="Y2619" i="23"/>
  <c r="X2619" i="23"/>
  <c r="W2616" i="23"/>
  <c r="Z2612" i="23"/>
  <c r="W2614" i="23"/>
  <c r="Y2612" i="23"/>
  <c r="W2617" i="23"/>
  <c r="W2615" i="23"/>
  <c r="W2613" i="23"/>
  <c r="W2592" i="23"/>
  <c r="Z2588" i="23"/>
  <c r="W2590" i="23"/>
  <c r="Y2588" i="23"/>
  <c r="W2593" i="23"/>
  <c r="W2591" i="23"/>
  <c r="W2589" i="23"/>
  <c r="X2499" i="23"/>
  <c r="Z2499" i="23"/>
  <c r="Y2499" i="23"/>
  <c r="X2475" i="23"/>
  <c r="Z2475" i="23"/>
  <c r="Y2475" i="23"/>
  <c r="Z2309" i="23"/>
  <c r="Y2309" i="23"/>
  <c r="X2309" i="23"/>
  <c r="Z2366" i="23"/>
  <c r="W2371" i="23"/>
  <c r="W2367" i="23"/>
  <c r="Y2366" i="23"/>
  <c r="W2370" i="23"/>
  <c r="W2369" i="23"/>
  <c r="W2368" i="23"/>
  <c r="J2606" i="23"/>
  <c r="H2594" i="23"/>
  <c r="J2582" i="23"/>
  <c r="H2570" i="23"/>
  <c r="Z2323" i="23"/>
  <c r="Y2323" i="23"/>
  <c r="X2323" i="23"/>
  <c r="X2624" i="23"/>
  <c r="Z2556" i="23"/>
  <c r="Y2556" i="23"/>
  <c r="X2556" i="23"/>
  <c r="X2527" i="23"/>
  <c r="Z2527" i="23"/>
  <c r="Y2527" i="23"/>
  <c r="X2549" i="23"/>
  <c r="Z2549" i="23"/>
  <c r="Y2549" i="23"/>
  <c r="W2429" i="23"/>
  <c r="X2379" i="23"/>
  <c r="Z2379" i="23"/>
  <c r="Y2379" i="23"/>
  <c r="X2340" i="23"/>
  <c r="Z2340" i="23"/>
  <c r="Y2340" i="23"/>
  <c r="W2437" i="23"/>
  <c r="W2327" i="23"/>
  <c r="Z2293" i="23"/>
  <c r="Y2293" i="23"/>
  <c r="X2293" i="23"/>
  <c r="Z2441" i="23"/>
  <c r="X2441" i="23"/>
  <c r="Y2441" i="23"/>
  <c r="Z2425" i="23"/>
  <c r="X2425" i="23"/>
  <c r="Y2425" i="23"/>
  <c r="X2352" i="23"/>
  <c r="Y2352" i="23"/>
  <c r="Z2352" i="23"/>
  <c r="W2277" i="23"/>
  <c r="Z1992" i="23"/>
  <c r="Y1992" i="23"/>
  <c r="X1992" i="23"/>
  <c r="Z2404" i="23"/>
  <c r="X2404" i="23"/>
  <c r="Y2404" i="23"/>
  <c r="Z2398" i="23"/>
  <c r="X2398" i="23"/>
  <c r="Y2398" i="23"/>
  <c r="Z2373" i="23"/>
  <c r="X2373" i="23"/>
  <c r="Y2373" i="23"/>
  <c r="W2447" i="23"/>
  <c r="Z2315" i="23"/>
  <c r="Y2315" i="23"/>
  <c r="X2315" i="23"/>
  <c r="W2086" i="23"/>
  <c r="Z2085" i="23"/>
  <c r="Y2085" i="23"/>
  <c r="W2088" i="23"/>
  <c r="W2087" i="23"/>
  <c r="Z1959" i="23"/>
  <c r="Y1959" i="23"/>
  <c r="X1959" i="23"/>
  <c r="X2451" i="23"/>
  <c r="Z2451" i="23"/>
  <c r="Y2451" i="23"/>
  <c r="X2394" i="23"/>
  <c r="Z2394" i="23"/>
  <c r="Y2394" i="23"/>
  <c r="Z2271" i="23"/>
  <c r="X2271" i="23"/>
  <c r="Y2271" i="23"/>
  <c r="X2189" i="23"/>
  <c r="Z2189" i="23"/>
  <c r="Y2189" i="23"/>
  <c r="Y2108" i="23"/>
  <c r="X2108" i="23"/>
  <c r="Z2108" i="23"/>
  <c r="X2052" i="23"/>
  <c r="Z2052" i="23"/>
  <c r="Y2052" i="23"/>
  <c r="X1988" i="23"/>
  <c r="Z1988" i="23"/>
  <c r="Y1988" i="23"/>
  <c r="Y1887" i="23"/>
  <c r="X1887" i="23"/>
  <c r="Z1887" i="23"/>
  <c r="W1843" i="23"/>
  <c r="W1842" i="23"/>
  <c r="Z1841" i="23"/>
  <c r="W1844" i="23"/>
  <c r="Y1841" i="23"/>
  <c r="W2248" i="23"/>
  <c r="Z2199" i="23"/>
  <c r="Y2199" i="23"/>
  <c r="X2199" i="23"/>
  <c r="Z2152" i="23"/>
  <c r="Y2152" i="23"/>
  <c r="X2152" i="23"/>
  <c r="Z2099" i="23"/>
  <c r="Y2099" i="23"/>
  <c r="X2099" i="23"/>
  <c r="X2085" i="23"/>
  <c r="W2028" i="23"/>
  <c r="W1915" i="23"/>
  <c r="W1914" i="23"/>
  <c r="Z1913" i="23"/>
  <c r="W1916" i="23"/>
  <c r="Y1913" i="23"/>
  <c r="Z1819" i="23"/>
  <c r="Y1819" i="23"/>
  <c r="X1819" i="23"/>
  <c r="W2193" i="23"/>
  <c r="W2012" i="23"/>
  <c r="W1979" i="23"/>
  <c r="W1978" i="23"/>
  <c r="Z1977" i="23"/>
  <c r="Y1977" i="23"/>
  <c r="W1980" i="23"/>
  <c r="Z1870" i="23"/>
  <c r="Y1870" i="23"/>
  <c r="X1870" i="23"/>
  <c r="Y1858" i="23"/>
  <c r="X1858" i="23"/>
  <c r="Z1858" i="23"/>
  <c r="Z1798" i="23"/>
  <c r="Y1798" i="23"/>
  <c r="W2244" i="23"/>
  <c r="Z2236" i="23"/>
  <c r="Y2236" i="23"/>
  <c r="X2236" i="23"/>
  <c r="Z2156" i="23"/>
  <c r="Y2156" i="23"/>
  <c r="X2156" i="23"/>
  <c r="Z2062" i="23"/>
  <c r="Y2062" i="23"/>
  <c r="X2062" i="23"/>
  <c r="W1946" i="23"/>
  <c r="Z1810" i="23"/>
  <c r="X1810" i="23"/>
  <c r="Y1810" i="23"/>
  <c r="Z1712" i="23"/>
  <c r="Y1712" i="23"/>
  <c r="X1712" i="23"/>
  <c r="Z2142" i="23"/>
  <c r="Y2142" i="23"/>
  <c r="X2142" i="23"/>
  <c r="Z1968" i="23"/>
  <c r="Y1968" i="23"/>
  <c r="X1968" i="23"/>
  <c r="Z1902" i="23"/>
  <c r="Y1902" i="23"/>
  <c r="X1902" i="23"/>
  <c r="Y1873" i="23"/>
  <c r="X1873" i="23"/>
  <c r="Z1873" i="23"/>
  <c r="Z1851" i="23"/>
  <c r="Y1851" i="23"/>
  <c r="X1851" i="23"/>
  <c r="X1814" i="23"/>
  <c r="W1855" i="23"/>
  <c r="W1854" i="23"/>
  <c r="Z1853" i="23"/>
  <c r="Y1853" i="23"/>
  <c r="Z1714" i="23"/>
  <c r="Y1714" i="23"/>
  <c r="X1714" i="23"/>
  <c r="Y2212" i="23"/>
  <c r="X2212" i="23"/>
  <c r="Z2212" i="23"/>
  <c r="W2159" i="23"/>
  <c r="Z2080" i="23"/>
  <c r="Y2080" i="23"/>
  <c r="X2080" i="23"/>
  <c r="X1981" i="23"/>
  <c r="W2259" i="23"/>
  <c r="Z2116" i="23"/>
  <c r="Y2116" i="23"/>
  <c r="X2116" i="23"/>
  <c r="Y1837" i="23"/>
  <c r="X1837" i="23"/>
  <c r="Z1837" i="23"/>
  <c r="Z1729" i="23"/>
  <c r="Y1729" i="23"/>
  <c r="X1729" i="23"/>
  <c r="Z1675" i="23"/>
  <c r="Y1675" i="23"/>
  <c r="X1675" i="23"/>
  <c r="Z1553" i="23"/>
  <c r="Y1553" i="23"/>
  <c r="X1724" i="23"/>
  <c r="Z1724" i="23"/>
  <c r="Y1724" i="23"/>
  <c r="Z1551" i="23"/>
  <c r="Y1551" i="23"/>
  <c r="Z1529" i="23"/>
  <c r="Y1529" i="23"/>
  <c r="Z1497" i="23"/>
  <c r="Y1497" i="23"/>
  <c r="Z1465" i="23"/>
  <c r="Y1465" i="23"/>
  <c r="Z1736" i="23"/>
  <c r="Y1736" i="23"/>
  <c r="X1400" i="23"/>
  <c r="Z1355" i="23"/>
  <c r="Y1355" i="23"/>
  <c r="X1272" i="23"/>
  <c r="Z1230" i="23"/>
  <c r="Y1230" i="23"/>
  <c r="Z1198" i="23"/>
  <c r="Y1198" i="23"/>
  <c r="Z1166" i="23"/>
  <c r="Y1166" i="23"/>
  <c r="Z1134" i="23"/>
  <c r="Y1134" i="23"/>
  <c r="Z1104" i="23"/>
  <c r="Y1104" i="23"/>
  <c r="X1104" i="23"/>
  <c r="W694" i="23"/>
  <c r="W696" i="23"/>
  <c r="W697" i="23"/>
  <c r="W693" i="23"/>
  <c r="Z692" i="23"/>
  <c r="W695" i="23"/>
  <c r="Y692" i="23"/>
  <c r="Z1192" i="23"/>
  <c r="Y1192" i="23"/>
  <c r="Z1110" i="23"/>
  <c r="Y1110" i="23"/>
  <c r="Z1078" i="23"/>
  <c r="Y1078" i="23"/>
  <c r="Z1046" i="23"/>
  <c r="Y1046" i="23"/>
  <c r="Z1024" i="23"/>
  <c r="Y1024" i="23"/>
  <c r="Z1016" i="23"/>
  <c r="Y1016" i="23"/>
  <c r="Z1008" i="23"/>
  <c r="Y1008" i="23"/>
  <c r="Z990" i="23"/>
  <c r="Y990" i="23"/>
  <c r="Z926" i="23"/>
  <c r="Y926" i="23"/>
  <c r="X926" i="23"/>
  <c r="Z1333" i="23"/>
  <c r="Y1333" i="23"/>
  <c r="Z1117" i="23"/>
  <c r="Y1117" i="23"/>
  <c r="Z984" i="23"/>
  <c r="Y984" i="23"/>
  <c r="Z920" i="23"/>
  <c r="Y920" i="23"/>
  <c r="Z1427" i="23"/>
  <c r="Y1427" i="23"/>
  <c r="X1344" i="23"/>
  <c r="Z1299" i="23"/>
  <c r="Y1299" i="23"/>
  <c r="Z1219" i="23"/>
  <c r="Y1219" i="23"/>
  <c r="Z1187" i="23"/>
  <c r="Y1187" i="23"/>
  <c r="Z1155" i="23"/>
  <c r="Y1155" i="23"/>
  <c r="Z999" i="23"/>
  <c r="Y999" i="23"/>
  <c r="X999" i="23"/>
  <c r="X936" i="23"/>
  <c r="W807" i="23"/>
  <c r="X808" i="23"/>
  <c r="Z667" i="23"/>
  <c r="Y667" i="23"/>
  <c r="X667" i="23"/>
  <c r="Z1184" i="23"/>
  <c r="Y1184" i="23"/>
  <c r="Z1082" i="23"/>
  <c r="Y1082" i="23"/>
  <c r="X1082" i="23"/>
  <c r="Z1050" i="23"/>
  <c r="Y1050" i="23"/>
  <c r="X1050" i="23"/>
  <c r="Z994" i="23"/>
  <c r="Y994" i="23"/>
  <c r="Z1226" i="23"/>
  <c r="Y1226" i="23"/>
  <c r="X1158" i="23"/>
  <c r="Z983" i="23"/>
  <c r="Y983" i="23"/>
  <c r="X983" i="23"/>
  <c r="Z919" i="23"/>
  <c r="Y919" i="23"/>
  <c r="X919" i="23"/>
  <c r="Z637" i="23"/>
  <c r="Y637" i="23"/>
  <c r="X637" i="23"/>
  <c r="X1418" i="23"/>
  <c r="Z1373" i="23"/>
  <c r="Y1373" i="23"/>
  <c r="X1290" i="23"/>
  <c r="Z1245" i="23"/>
  <c r="Y1245" i="23"/>
  <c r="X1216" i="23"/>
  <c r="X1184" i="23"/>
  <c r="Z1125" i="23"/>
  <c r="Y1125" i="23"/>
  <c r="Z972" i="23"/>
  <c r="Y972" i="23"/>
  <c r="Z940" i="23"/>
  <c r="Y940" i="23"/>
  <c r="Z908" i="23"/>
  <c r="Y908" i="23"/>
  <c r="Z899" i="23"/>
  <c r="Y899" i="23"/>
  <c r="Z891" i="23"/>
  <c r="Y891" i="23"/>
  <c r="Z883" i="23"/>
  <c r="Y883" i="23"/>
  <c r="Z875" i="23"/>
  <c r="Y875" i="23"/>
  <c r="Z867" i="23"/>
  <c r="Y867" i="23"/>
  <c r="Z859" i="23"/>
  <c r="Y859" i="23"/>
  <c r="Z851" i="23"/>
  <c r="Y851" i="23"/>
  <c r="Z843" i="23"/>
  <c r="Y843" i="23"/>
  <c r="Z529" i="23"/>
  <c r="V528" i="23"/>
  <c r="Y529" i="23"/>
  <c r="Z706" i="23"/>
  <c r="Y706" i="23"/>
  <c r="X706" i="23"/>
  <c r="X1046" i="23"/>
  <c r="X479" i="23"/>
  <c r="Y479" i="23"/>
  <c r="Z479" i="23"/>
  <c r="W682" i="23"/>
  <c r="Z677" i="23"/>
  <c r="Y677" i="23"/>
  <c r="X677" i="23"/>
  <c r="Z495" i="23"/>
  <c r="X495" i="23"/>
  <c r="Y495" i="23"/>
  <c r="X819" i="23"/>
  <c r="Z165" i="23"/>
  <c r="Y165" i="23"/>
  <c r="X165" i="23"/>
  <c r="W596" i="23"/>
  <c r="Y539" i="23"/>
  <c r="Z539" i="23"/>
  <c r="X539" i="23"/>
  <c r="Z490" i="23"/>
  <c r="Y490" i="23"/>
  <c r="Z603" i="23"/>
  <c r="Y603" i="23"/>
  <c r="X603" i="23"/>
  <c r="X584" i="23"/>
  <c r="W619" i="23"/>
  <c r="W620" i="23"/>
  <c r="W618" i="23"/>
  <c r="Z617" i="23"/>
  <c r="Y617" i="23"/>
  <c r="X558" i="23"/>
  <c r="W557" i="23"/>
  <c r="Z414" i="23"/>
  <c r="Y414" i="23"/>
  <c r="X414" i="23"/>
  <c r="U264" i="23"/>
  <c r="Z164" i="23"/>
  <c r="Y164" i="23"/>
  <c r="X164" i="23"/>
  <c r="X948" i="23"/>
  <c r="X782" i="23"/>
  <c r="Z782" i="23"/>
  <c r="Y782" i="23"/>
  <c r="W455" i="23"/>
  <c r="W456" i="23"/>
  <c r="W454" i="23"/>
  <c r="Z453" i="23"/>
  <c r="Y453" i="23"/>
  <c r="W457" i="23"/>
  <c r="S352" i="23"/>
  <c r="U352" i="23" s="1"/>
  <c r="P352" i="23"/>
  <c r="W324" i="23"/>
  <c r="W326" i="23"/>
  <c r="Z323" i="23"/>
  <c r="Y323" i="23"/>
  <c r="W325" i="23"/>
  <c r="W327" i="23"/>
  <c r="W328" i="23"/>
  <c r="Z148" i="23"/>
  <c r="Y148" i="23"/>
  <c r="X148" i="23"/>
  <c r="X430" i="23"/>
  <c r="Z430" i="23"/>
  <c r="Y430" i="23"/>
  <c r="Z385" i="23"/>
  <c r="Y385" i="23"/>
  <c r="X385" i="23"/>
  <c r="Z350" i="23"/>
  <c r="Y350" i="23"/>
  <c r="X350" i="23"/>
  <c r="Y301" i="23"/>
  <c r="X301" i="23"/>
  <c r="Z301" i="23"/>
  <c r="W157" i="23"/>
  <c r="Z285" i="23"/>
  <c r="Y285" i="23"/>
  <c r="X285" i="23"/>
  <c r="W358" i="23"/>
  <c r="Z280" i="23"/>
  <c r="Y280" i="23"/>
  <c r="X280" i="23"/>
  <c r="Y152" i="23"/>
  <c r="X152" i="23"/>
  <c r="Z152" i="23"/>
  <c r="Z224" i="23"/>
  <c r="Y224" i="23"/>
  <c r="Z82" i="23"/>
  <c r="Y82" i="23"/>
  <c r="Z37" i="23"/>
  <c r="Y37" i="23"/>
  <c r="Z2685" i="24"/>
  <c r="Y2685" i="24"/>
  <c r="Z2638" i="24"/>
  <c r="Y2638" i="24"/>
  <c r="Z2675" i="24"/>
  <c r="Y2675" i="24"/>
  <c r="Z2639" i="24"/>
  <c r="Y2639" i="24"/>
  <c r="X2631" i="24"/>
  <c r="W2630" i="24"/>
  <c r="Z2577" i="24"/>
  <c r="X2577" i="24"/>
  <c r="Y2577" i="24"/>
  <c r="Y2553" i="24"/>
  <c r="Z2553" i="24"/>
  <c r="X2553" i="24"/>
  <c r="W2515" i="24"/>
  <c r="Z2601" i="24"/>
  <c r="X2601" i="24"/>
  <c r="Y2601" i="24"/>
  <c r="Z2528" i="24"/>
  <c r="W2531" i="24"/>
  <c r="W2530" i="24"/>
  <c r="W2533" i="24"/>
  <c r="W2529" i="24"/>
  <c r="Y2528" i="24"/>
  <c r="W2532" i="24"/>
  <c r="X2569" i="24"/>
  <c r="Z2569" i="24"/>
  <c r="Y2569" i="24"/>
  <c r="X2527" i="24"/>
  <c r="Z2527" i="24"/>
  <c r="Y2527" i="24"/>
  <c r="Z2517" i="24"/>
  <c r="X2517" i="24"/>
  <c r="Y2517" i="24"/>
  <c r="Z2369" i="24"/>
  <c r="Y2369" i="24"/>
  <c r="X2369" i="24"/>
  <c r="W2482" i="24"/>
  <c r="Z2463" i="24"/>
  <c r="X2463" i="24"/>
  <c r="Y2463" i="24"/>
  <c r="Z2407" i="24"/>
  <c r="X2407" i="24"/>
  <c r="Y2407" i="24"/>
  <c r="X2459" i="24"/>
  <c r="Z2459" i="24"/>
  <c r="Y2459" i="24"/>
  <c r="X2422" i="24"/>
  <c r="Z2422" i="24"/>
  <c r="Y2422" i="24"/>
  <c r="Z2370" i="24"/>
  <c r="Y2370" i="24"/>
  <c r="X2370" i="24"/>
  <c r="X2448" i="24"/>
  <c r="Z2448" i="24"/>
  <c r="Y2448" i="24"/>
  <c r="Z2386" i="24"/>
  <c r="Y2386" i="24"/>
  <c r="X2386" i="24"/>
  <c r="Y2397" i="24"/>
  <c r="Z2397" i="24"/>
  <c r="X2397" i="24"/>
  <c r="Y2362" i="24"/>
  <c r="X2362" i="24"/>
  <c r="Z2362" i="24"/>
  <c r="Z2275" i="24"/>
  <c r="X2275" i="24"/>
  <c r="Y2275" i="24"/>
  <c r="Z2497" i="24"/>
  <c r="X2497" i="24"/>
  <c r="Y2497" i="24"/>
  <c r="X2294" i="24"/>
  <c r="X2301" i="24"/>
  <c r="Z2301" i="24"/>
  <c r="Y2301" i="24"/>
  <c r="Y2374" i="24"/>
  <c r="X2374" i="24"/>
  <c r="Z2374" i="24"/>
  <c r="W2346" i="24"/>
  <c r="Y2206" i="24"/>
  <c r="X2206" i="24"/>
  <c r="Z2206" i="24"/>
  <c r="W2095" i="24"/>
  <c r="Z2093" i="24"/>
  <c r="W2094" i="24"/>
  <c r="Y2093" i="24"/>
  <c r="X2093" i="24"/>
  <c r="W2096" i="24"/>
  <c r="X2255" i="24"/>
  <c r="Z2255" i="24"/>
  <c r="Y2255" i="24"/>
  <c r="Z2251" i="24"/>
  <c r="X2251" i="24"/>
  <c r="Y2251" i="24"/>
  <c r="Z2225" i="24"/>
  <c r="X2225" i="24"/>
  <c r="Y2225" i="24"/>
  <c r="Z2125" i="24"/>
  <c r="Y2125" i="24"/>
  <c r="X2125" i="24"/>
  <c r="W2064" i="24"/>
  <c r="X2070" i="24"/>
  <c r="Z2070" i="24"/>
  <c r="Y2070" i="24"/>
  <c r="Z1999" i="24"/>
  <c r="Y1999" i="24"/>
  <c r="X1999" i="24"/>
  <c r="Y2193" i="24"/>
  <c r="X2193" i="24"/>
  <c r="Z2193" i="24"/>
  <c r="Y2110" i="24"/>
  <c r="Z2110" i="24"/>
  <c r="X2110" i="24"/>
  <c r="Z1953" i="24"/>
  <c r="W1956" i="24"/>
  <c r="Y1953" i="24"/>
  <c r="W1954" i="24"/>
  <c r="W1955" i="24"/>
  <c r="Z2076" i="24"/>
  <c r="X2076" i="24"/>
  <c r="Y2076" i="24"/>
  <c r="W1983" i="24"/>
  <c r="X1846" i="24"/>
  <c r="X2188" i="24"/>
  <c r="Z2188" i="24"/>
  <c r="Y2188" i="24"/>
  <c r="X2041" i="24"/>
  <c r="Y2005" i="24"/>
  <c r="W2007" i="24"/>
  <c r="W2006" i="24"/>
  <c r="Z2005" i="24"/>
  <c r="W2008" i="24"/>
  <c r="W1879" i="24"/>
  <c r="W1878" i="24"/>
  <c r="Z1876" i="24"/>
  <c r="Y1876" i="24"/>
  <c r="W1877" i="24"/>
  <c r="X1793" i="24"/>
  <c r="Y1927" i="24"/>
  <c r="X1927" i="24"/>
  <c r="Z1927" i="24"/>
  <c r="W1951" i="24"/>
  <c r="Z1870" i="24"/>
  <c r="X1870" i="24"/>
  <c r="Y1870" i="24"/>
  <c r="Z1799" i="24"/>
  <c r="Y1799" i="24"/>
  <c r="X2029" i="24"/>
  <c r="Z1800" i="24"/>
  <c r="Y1800" i="24"/>
  <c r="Z1858" i="24"/>
  <c r="Y1858" i="24"/>
  <c r="X1858" i="24"/>
  <c r="Z1762" i="24"/>
  <c r="Y1762" i="24"/>
  <c r="X1751" i="24"/>
  <c r="Z1789" i="24"/>
  <c r="Y1789" i="24"/>
  <c r="P2715" i="24"/>
  <c r="Y1834" i="24"/>
  <c r="X1834" i="24"/>
  <c r="Z1834" i="24"/>
  <c r="X1783" i="24"/>
  <c r="W1752" i="24"/>
  <c r="Y1738" i="24"/>
  <c r="Z1738" i="24"/>
  <c r="Z1656" i="24"/>
  <c r="Y1656" i="24"/>
  <c r="Z1624" i="24"/>
  <c r="Y1624" i="24"/>
  <c r="Y1665" i="24"/>
  <c r="Z1665" i="24"/>
  <c r="Y1599" i="24"/>
  <c r="Z1599" i="24"/>
  <c r="X1617" i="24"/>
  <c r="X1600" i="24"/>
  <c r="X1533" i="24"/>
  <c r="X1656" i="24"/>
  <c r="Z1555" i="24"/>
  <c r="Y1555" i="24"/>
  <c r="Z1547" i="24"/>
  <c r="Y1547" i="24"/>
  <c r="X1885" i="24"/>
  <c r="Z1885" i="24"/>
  <c r="Y1885" i="24"/>
  <c r="X1531" i="24"/>
  <c r="Y1712" i="24"/>
  <c r="Z1712" i="24"/>
  <c r="X1712" i="24"/>
  <c r="Z1691" i="24"/>
  <c r="V1690" i="24"/>
  <c r="V2715" i="24" s="1"/>
  <c r="Y1691" i="24"/>
  <c r="X1483" i="24"/>
  <c r="Z1463" i="24"/>
  <c r="Y1463" i="24"/>
  <c r="Y1446" i="24"/>
  <c r="Z1446" i="24"/>
  <c r="Z1340" i="24"/>
  <c r="Y1340" i="24"/>
  <c r="X1537" i="24"/>
  <c r="Z1429" i="24"/>
  <c r="Y1429" i="24"/>
  <c r="Z1421" i="24"/>
  <c r="Y1421" i="24"/>
  <c r="Z1413" i="24"/>
  <c r="Y1413" i="24"/>
  <c r="Z1378" i="24"/>
  <c r="Y1378" i="24"/>
  <c r="X1378" i="24"/>
  <c r="Z1458" i="24"/>
  <c r="Y1458" i="24"/>
  <c r="Y1398" i="24"/>
  <c r="Z1398" i="24"/>
  <c r="X1485" i="24"/>
  <c r="Z1465" i="24"/>
  <c r="Y1465" i="24"/>
  <c r="X1453" i="24"/>
  <c r="X1439" i="24"/>
  <c r="Z1304" i="24"/>
  <c r="Y1304" i="24"/>
  <c r="Z1372" i="24"/>
  <c r="Y1372" i="24"/>
  <c r="Z1373" i="24"/>
  <c r="Y1373" i="24"/>
  <c r="X1318" i="24"/>
  <c r="X1347" i="24"/>
  <c r="Z1393" i="24"/>
  <c r="Y1393" i="24"/>
  <c r="X1352" i="24"/>
  <c r="X1326" i="24"/>
  <c r="Z1405" i="24"/>
  <c r="Y1405" i="24"/>
  <c r="Z1369" i="24"/>
  <c r="Y1369" i="24"/>
  <c r="Z1247" i="24"/>
  <c r="Y1247" i="24"/>
  <c r="X1380" i="24"/>
  <c r="X1390" i="24"/>
  <c r="Z1250" i="24"/>
  <c r="Y1250" i="24"/>
  <c r="Y1089" i="24"/>
  <c r="Z1089" i="24"/>
  <c r="X1408" i="24"/>
  <c r="X1128" i="24"/>
  <c r="Z1330" i="24"/>
  <c r="Y1330" i="24"/>
  <c r="Z1118" i="24"/>
  <c r="Y1118" i="24"/>
  <c r="Z1102" i="24"/>
  <c r="Y1102" i="24"/>
  <c r="X1300" i="24"/>
  <c r="X1224" i="24"/>
  <c r="X1208" i="24"/>
  <c r="X1192" i="24"/>
  <c r="X1176" i="24"/>
  <c r="X1160" i="24"/>
  <c r="X1144" i="24"/>
  <c r="X1261" i="24"/>
  <c r="X1218" i="24"/>
  <c r="X1202" i="24"/>
  <c r="X1186" i="24"/>
  <c r="X1170" i="24"/>
  <c r="X1154" i="24"/>
  <c r="X1102" i="24"/>
  <c r="X1018" i="24"/>
  <c r="X1212" i="24"/>
  <c r="Z980" i="24"/>
  <c r="Y980" i="24"/>
  <c r="X1164" i="24"/>
  <c r="X1068" i="24"/>
  <c r="X1013" i="24"/>
  <c r="Z1026" i="24"/>
  <c r="Y1026" i="24"/>
  <c r="X1251" i="24"/>
  <c r="Y1091" i="24"/>
  <c r="Z1091" i="24"/>
  <c r="X1091" i="24"/>
  <c r="Y836" i="24"/>
  <c r="Z836" i="24"/>
  <c r="Z821" i="24"/>
  <c r="Y821" i="24"/>
  <c r="X821" i="24"/>
  <c r="Z805" i="24"/>
  <c r="Y805" i="24"/>
  <c r="X1093" i="24"/>
  <c r="V840" i="24"/>
  <c r="V2714" i="24" s="1"/>
  <c r="Z809" i="24"/>
  <c r="Y809" i="24"/>
  <c r="Z988" i="24"/>
  <c r="Y988" i="24"/>
  <c r="Z829" i="24"/>
  <c r="Y829" i="24"/>
  <c r="W684" i="24"/>
  <c r="W685" i="24"/>
  <c r="W681" i="24"/>
  <c r="Z680" i="24"/>
  <c r="W683" i="24"/>
  <c r="Y680" i="24"/>
  <c r="W682" i="24"/>
  <c r="W700" i="24"/>
  <c r="X634" i="24"/>
  <c r="U667" i="24"/>
  <c r="W379" i="24"/>
  <c r="W381" i="24"/>
  <c r="W382" i="24"/>
  <c r="Z377" i="24"/>
  <c r="Y377" i="24"/>
  <c r="W378" i="24"/>
  <c r="W380" i="24"/>
  <c r="Z660" i="24"/>
  <c r="Y660" i="24"/>
  <c r="X660" i="24"/>
  <c r="Z603" i="24"/>
  <c r="Y603" i="24"/>
  <c r="Z789" i="24"/>
  <c r="Y789" i="24"/>
  <c r="Z762" i="24"/>
  <c r="Y762" i="24"/>
  <c r="Z633" i="24"/>
  <c r="Y633" i="24"/>
  <c r="Z715" i="24"/>
  <c r="Y715" i="24"/>
  <c r="X715" i="24"/>
  <c r="W441" i="24"/>
  <c r="W442" i="24"/>
  <c r="W438" i="24"/>
  <c r="Z437" i="24"/>
  <c r="Y437" i="24"/>
  <c r="W440" i="24"/>
  <c r="W439" i="24"/>
  <c r="X485" i="24"/>
  <c r="Z459" i="24"/>
  <c r="Y459" i="24"/>
  <c r="W402" i="24"/>
  <c r="Z401" i="24"/>
  <c r="Y401" i="24"/>
  <c r="W404" i="24"/>
  <c r="W403" i="24"/>
  <c r="W406" i="24"/>
  <c r="W405" i="24"/>
  <c r="Y614" i="24"/>
  <c r="X614" i="24"/>
  <c r="Z614" i="24"/>
  <c r="Z546" i="24"/>
  <c r="Y546" i="24"/>
  <c r="Z543" i="24"/>
  <c r="Y543" i="24"/>
  <c r="X543" i="24"/>
  <c r="X524" i="24"/>
  <c r="X471" i="24"/>
  <c r="Z770" i="24"/>
  <c r="Y770" i="24"/>
  <c r="X496" i="24"/>
  <c r="Y429" i="24"/>
  <c r="X429" i="24"/>
  <c r="Z429" i="24"/>
  <c r="Z356" i="24"/>
  <c r="Y356" i="24"/>
  <c r="X356" i="24"/>
  <c r="Z352" i="24"/>
  <c r="Y352" i="24"/>
  <c r="X352" i="24"/>
  <c r="X291" i="24"/>
  <c r="Z291" i="24"/>
  <c r="Y291" i="24"/>
  <c r="Z493" i="24"/>
  <c r="Y493" i="24"/>
  <c r="X481" i="24"/>
  <c r="Z481" i="24"/>
  <c r="Y481" i="24"/>
  <c r="X282" i="24"/>
  <c r="Z282" i="24"/>
  <c r="Y282" i="24"/>
  <c r="Z145" i="24"/>
  <c r="Y145" i="24"/>
  <c r="X145" i="24"/>
  <c r="X205" i="24"/>
  <c r="Z87" i="24"/>
  <c r="Y87" i="24"/>
  <c r="X87" i="24"/>
  <c r="X2696" i="23"/>
  <c r="S232" i="24"/>
  <c r="U232" i="24" s="1"/>
  <c r="P232" i="24"/>
  <c r="X159" i="24"/>
  <c r="X86" i="24"/>
  <c r="X37" i="24"/>
  <c r="X538" i="24"/>
  <c r="Z538" i="24"/>
  <c r="Y538" i="24"/>
  <c r="Z432" i="24"/>
  <c r="Y432" i="24"/>
  <c r="X432" i="24"/>
  <c r="X175" i="24"/>
  <c r="Z247" i="24"/>
  <c r="Y247" i="24"/>
  <c r="X179" i="24"/>
  <c r="Z106" i="24"/>
  <c r="Y106" i="24"/>
  <c r="Z71" i="24"/>
  <c r="Y71" i="24"/>
  <c r="X39" i="24"/>
  <c r="Z84" i="24"/>
  <c r="Y84" i="24"/>
  <c r="X69" i="24"/>
  <c r="Q68" i="24"/>
  <c r="W68" i="24" s="1"/>
  <c r="X47" i="24"/>
  <c r="Z526" i="24"/>
  <c r="Y526" i="24"/>
  <c r="Y126" i="24"/>
  <c r="X126" i="24"/>
  <c r="Z126" i="24"/>
  <c r="Z2621" i="23"/>
  <c r="Y2621" i="23"/>
  <c r="X2621" i="23"/>
  <c r="Z2500" i="23"/>
  <c r="Y2500" i="23"/>
  <c r="X2500" i="23"/>
  <c r="Z2307" i="23"/>
  <c r="Y2307" i="23"/>
  <c r="X2307" i="23"/>
  <c r="W2515" i="23"/>
  <c r="W2513" i="23"/>
  <c r="W2511" i="23"/>
  <c r="Z2510" i="23"/>
  <c r="W2514" i="23"/>
  <c r="W2512" i="23"/>
  <c r="Y2510" i="23"/>
  <c r="Z2497" i="23"/>
  <c r="X2497" i="23"/>
  <c r="Y2497" i="23"/>
  <c r="Z2319" i="23"/>
  <c r="Y2319" i="23"/>
  <c r="X2319" i="23"/>
  <c r="X84" i="24"/>
  <c r="W2538" i="23"/>
  <c r="W2536" i="23"/>
  <c r="W2539" i="23"/>
  <c r="W2537" i="23"/>
  <c r="W2535" i="23"/>
  <c r="Z2534" i="23"/>
  <c r="Y2534" i="23"/>
  <c r="X2551" i="23"/>
  <c r="Z2551" i="23"/>
  <c r="Y2551" i="23"/>
  <c r="Z2481" i="23"/>
  <c r="Y2481" i="23"/>
  <c r="X2481" i="23"/>
  <c r="W2630" i="23"/>
  <c r="Z2517" i="23"/>
  <c r="X2517" i="23"/>
  <c r="Y2517" i="23"/>
  <c r="W2430" i="23"/>
  <c r="Z2380" i="23"/>
  <c r="X2380" i="23"/>
  <c r="Y2380" i="23"/>
  <c r="X2341" i="23"/>
  <c r="Z2341" i="23"/>
  <c r="Y2341" i="23"/>
  <c r="X2477" i="23"/>
  <c r="Z2477" i="23"/>
  <c r="Y2477" i="23"/>
  <c r="W2329" i="23"/>
  <c r="Z2385" i="23"/>
  <c r="X2385" i="23"/>
  <c r="Y2385" i="23"/>
  <c r="Y2290" i="23"/>
  <c r="X2290" i="23"/>
  <c r="Z2290" i="23"/>
  <c r="X2118" i="23"/>
  <c r="X2442" i="23"/>
  <c r="Z2442" i="23"/>
  <c r="Y2442" i="23"/>
  <c r="Z2353" i="23"/>
  <c r="X2353" i="23"/>
  <c r="Y2353" i="23"/>
  <c r="Z2332" i="23"/>
  <c r="Y2332" i="23"/>
  <c r="X2332" i="23"/>
  <c r="W2279" i="23"/>
  <c r="Z1976" i="23"/>
  <c r="Y1976" i="23"/>
  <c r="X1976" i="23"/>
  <c r="W2409" i="23"/>
  <c r="X2405" i="23"/>
  <c r="Z2405" i="23"/>
  <c r="Y2405" i="23"/>
  <c r="Z2399" i="23"/>
  <c r="X2399" i="23"/>
  <c r="Y2399" i="23"/>
  <c r="Z2374" i="23"/>
  <c r="X2374" i="23"/>
  <c r="Y2374" i="23"/>
  <c r="W2448" i="23"/>
  <c r="X2355" i="23"/>
  <c r="Z2355" i="23"/>
  <c r="Y2355" i="23"/>
  <c r="Z2467" i="23"/>
  <c r="X2467" i="23"/>
  <c r="Y2467" i="23"/>
  <c r="Z2317" i="23"/>
  <c r="Y2317" i="23"/>
  <c r="X2317" i="23"/>
  <c r="Z2283" i="23"/>
  <c r="Y2283" i="23"/>
  <c r="X2283" i="23"/>
  <c r="W2070" i="23"/>
  <c r="Z2069" i="23"/>
  <c r="Y2069" i="23"/>
  <c r="W2072" i="23"/>
  <c r="W2071" i="23"/>
  <c r="Z1943" i="23"/>
  <c r="Y1943" i="23"/>
  <c r="X1943" i="23"/>
  <c r="Z2452" i="23"/>
  <c r="X2452" i="23"/>
  <c r="Y2452" i="23"/>
  <c r="W2395" i="23"/>
  <c r="Z2362" i="23"/>
  <c r="X2362" i="23"/>
  <c r="Y2362" i="23"/>
  <c r="Z2273" i="23"/>
  <c r="Y2273" i="23"/>
  <c r="X2273" i="23"/>
  <c r="X2191" i="23"/>
  <c r="Z2191" i="23"/>
  <c r="Y2191" i="23"/>
  <c r="Z1911" i="23"/>
  <c r="X1911" i="23"/>
  <c r="Y1911" i="23"/>
  <c r="W2249" i="23"/>
  <c r="Z2201" i="23"/>
  <c r="Y2201" i="23"/>
  <c r="X2201" i="23"/>
  <c r="Y2150" i="23"/>
  <c r="X2150" i="23"/>
  <c r="Z2150" i="23"/>
  <c r="X2100" i="23"/>
  <c r="Z2100" i="23"/>
  <c r="Y2100" i="23"/>
  <c r="X2036" i="23"/>
  <c r="Z2036" i="23"/>
  <c r="Y2036" i="23"/>
  <c r="Y1906" i="23"/>
  <c r="X1906" i="23"/>
  <c r="Z1906" i="23"/>
  <c r="W2195" i="23"/>
  <c r="X2020" i="23"/>
  <c r="Z2020" i="23"/>
  <c r="Y2020" i="23"/>
  <c r="Y1871" i="23"/>
  <c r="X1871" i="23"/>
  <c r="Z1871" i="23"/>
  <c r="X1760" i="23"/>
  <c r="W2245" i="23"/>
  <c r="Z2237" i="23"/>
  <c r="X2237" i="23"/>
  <c r="Y2237" i="23"/>
  <c r="Z2066" i="23"/>
  <c r="Y2066" i="23"/>
  <c r="X2066" i="23"/>
  <c r="Y2063" i="23"/>
  <c r="X2063" i="23"/>
  <c r="Z2063" i="23"/>
  <c r="Z2002" i="23"/>
  <c r="Y2002" i="23"/>
  <c r="X2002" i="23"/>
  <c r="W1947" i="23"/>
  <c r="Z1771" i="23"/>
  <c r="Y1771" i="23"/>
  <c r="X1771" i="23"/>
  <c r="Z2140" i="23"/>
  <c r="Y2140" i="23"/>
  <c r="X2140" i="23"/>
  <c r="W2134" i="23"/>
  <c r="Y1903" i="23"/>
  <c r="X1903" i="23"/>
  <c r="Z1903" i="23"/>
  <c r="X1790" i="23"/>
  <c r="X2228" i="23"/>
  <c r="W1951" i="23"/>
  <c r="W1950" i="23"/>
  <c r="Z1949" i="23"/>
  <c r="Y1949" i="23"/>
  <c r="W1952" i="23"/>
  <c r="X1791" i="23"/>
  <c r="X1761" i="23"/>
  <c r="Y2214" i="23"/>
  <c r="X2214" i="23"/>
  <c r="Z2214" i="23"/>
  <c r="Z2181" i="23"/>
  <c r="Y2181" i="23"/>
  <c r="X2181" i="23"/>
  <c r="W2162" i="23"/>
  <c r="Y2110" i="23"/>
  <c r="X2110" i="23"/>
  <c r="Z2110" i="23"/>
  <c r="W2260" i="23"/>
  <c r="X1972" i="23"/>
  <c r="Z1972" i="23"/>
  <c r="Y1972" i="23"/>
  <c r="Q1785" i="23"/>
  <c r="X1736" i="23"/>
  <c r="Z1520" i="23"/>
  <c r="Y1520" i="23"/>
  <c r="Z1488" i="23"/>
  <c r="Y1488" i="23"/>
  <c r="Z1456" i="23"/>
  <c r="Y1456" i="23"/>
  <c r="Z1565" i="23"/>
  <c r="Y1565" i="23"/>
  <c r="Z1548" i="23"/>
  <c r="Y1548" i="23"/>
  <c r="Z1516" i="23"/>
  <c r="Y1516" i="23"/>
  <c r="Z1484" i="23"/>
  <c r="Y1484" i="23"/>
  <c r="Z1452" i="23"/>
  <c r="Y1452" i="23"/>
  <c r="W1716" i="23"/>
  <c r="Z1728" i="23"/>
  <c r="Y1728" i="23"/>
  <c r="X1540" i="23"/>
  <c r="X1476" i="23"/>
  <c r="Z1438" i="23"/>
  <c r="Y1438" i="23"/>
  <c r="Z1430" i="23"/>
  <c r="Y1430" i="23"/>
  <c r="Z1422" i="23"/>
  <c r="Y1422" i="23"/>
  <c r="Z1414" i="23"/>
  <c r="Y1414" i="23"/>
  <c r="Z1406" i="23"/>
  <c r="Y1406" i="23"/>
  <c r="Z1398" i="23"/>
  <c r="Y1398" i="23"/>
  <c r="Z1390" i="23"/>
  <c r="Y1390" i="23"/>
  <c r="Z1382" i="23"/>
  <c r="Y1382" i="23"/>
  <c r="Z1374" i="23"/>
  <c r="Y1374" i="23"/>
  <c r="Z1366" i="23"/>
  <c r="Y1366" i="23"/>
  <c r="Z1358" i="23"/>
  <c r="Y1358" i="23"/>
  <c r="Z1350" i="23"/>
  <c r="Y1350" i="23"/>
  <c r="Z1342" i="23"/>
  <c r="Y1342" i="23"/>
  <c r="Z1334" i="23"/>
  <c r="Y1334" i="23"/>
  <c r="Z1326" i="23"/>
  <c r="Y1326" i="23"/>
  <c r="Z1318" i="23"/>
  <c r="Y1318" i="23"/>
  <c r="Z1310" i="23"/>
  <c r="Y1310" i="23"/>
  <c r="Z1302" i="23"/>
  <c r="Y1302" i="23"/>
  <c r="Z1294" i="23"/>
  <c r="Y1294" i="23"/>
  <c r="Z1286" i="23"/>
  <c r="Y1286" i="23"/>
  <c r="Z1278" i="23"/>
  <c r="Y1278" i="23"/>
  <c r="Z1270" i="23"/>
  <c r="Y1270" i="23"/>
  <c r="Z1262" i="23"/>
  <c r="Y1262" i="23"/>
  <c r="Z1254" i="23"/>
  <c r="Y1254" i="23"/>
  <c r="Z1246" i="23"/>
  <c r="Y1246" i="23"/>
  <c r="Z1238" i="23"/>
  <c r="Y1238" i="23"/>
  <c r="Z1435" i="23"/>
  <c r="Y1435" i="23"/>
  <c r="X1352" i="23"/>
  <c r="Z1307" i="23"/>
  <c r="Y1307" i="23"/>
  <c r="X1414" i="23"/>
  <c r="X1382" i="23"/>
  <c r="X1350" i="23"/>
  <c r="X1318" i="23"/>
  <c r="X1286" i="23"/>
  <c r="X1254" i="23"/>
  <c r="Z966" i="23"/>
  <c r="Y966" i="23"/>
  <c r="X966" i="23"/>
  <c r="X1230" i="23"/>
  <c r="Z1170" i="23"/>
  <c r="Y1170" i="23"/>
  <c r="Z1127" i="23"/>
  <c r="Y1127" i="23"/>
  <c r="Z1095" i="23"/>
  <c r="Y1095" i="23"/>
  <c r="X1557" i="23"/>
  <c r="Z1413" i="23"/>
  <c r="Y1413" i="23"/>
  <c r="X1330" i="23"/>
  <c r="Z1285" i="23"/>
  <c r="Y1285" i="23"/>
  <c r="Z1209" i="23"/>
  <c r="Y1209" i="23"/>
  <c r="Z1177" i="23"/>
  <c r="Y1177" i="23"/>
  <c r="Z1145" i="23"/>
  <c r="Y1145" i="23"/>
  <c r="Z1106" i="23"/>
  <c r="Y1106" i="23"/>
  <c r="X1106" i="23"/>
  <c r="Z1072" i="23"/>
  <c r="Y1072" i="23"/>
  <c r="X1072" i="23"/>
  <c r="Z1040" i="23"/>
  <c r="Y1040" i="23"/>
  <c r="X1040" i="23"/>
  <c r="Z976" i="23"/>
  <c r="Y976" i="23"/>
  <c r="Z912" i="23"/>
  <c r="Y912" i="23"/>
  <c r="X1424" i="23"/>
  <c r="Z1379" i="23"/>
  <c r="Y1379" i="23"/>
  <c r="X1296" i="23"/>
  <c r="Z1251" i="23"/>
  <c r="Y1251" i="23"/>
  <c r="X1154" i="23"/>
  <c r="Z1123" i="23"/>
  <c r="Y1123" i="23"/>
  <c r="Z1089" i="23"/>
  <c r="Y1089" i="23"/>
  <c r="Z1073" i="23"/>
  <c r="Y1073" i="23"/>
  <c r="Z1057" i="23"/>
  <c r="Y1057" i="23"/>
  <c r="Z1041" i="23"/>
  <c r="Y1041" i="23"/>
  <c r="X992" i="23"/>
  <c r="X928" i="23"/>
  <c r="Z1232" i="23"/>
  <c r="Y1232" i="23"/>
  <c r="Z1113" i="23"/>
  <c r="Y1113" i="23"/>
  <c r="Z986" i="23"/>
  <c r="Y986" i="23"/>
  <c r="Z1146" i="23"/>
  <c r="Y1146" i="23"/>
  <c r="Z1119" i="23"/>
  <c r="Y1119" i="23"/>
  <c r="Z975" i="23"/>
  <c r="Y975" i="23"/>
  <c r="X975" i="23"/>
  <c r="Z911" i="23"/>
  <c r="Y911" i="23"/>
  <c r="X911" i="23"/>
  <c r="X1370" i="23"/>
  <c r="Z1325" i="23"/>
  <c r="Y1325" i="23"/>
  <c r="X1242" i="23"/>
  <c r="Z1204" i="23"/>
  <c r="Y1204" i="23"/>
  <c r="Z1172" i="23"/>
  <c r="Y1172" i="23"/>
  <c r="Z1140" i="23"/>
  <c r="Y1140" i="23"/>
  <c r="Z1114" i="23"/>
  <c r="Y1114" i="23"/>
  <c r="Z1084" i="23"/>
  <c r="Y1084" i="23"/>
  <c r="Z1052" i="23"/>
  <c r="Y1052" i="23"/>
  <c r="Z775" i="23"/>
  <c r="Y775" i="23"/>
  <c r="Z759" i="23"/>
  <c r="Y759" i="23"/>
  <c r="W670" i="23"/>
  <c r="W672" i="23"/>
  <c r="W673" i="23"/>
  <c r="W669" i="23"/>
  <c r="Z668" i="23"/>
  <c r="W671" i="23"/>
  <c r="Y668" i="23"/>
  <c r="Z586" i="23"/>
  <c r="Y586" i="23"/>
  <c r="Z521" i="23"/>
  <c r="Y521" i="23"/>
  <c r="X1024" i="23"/>
  <c r="X1008" i="23"/>
  <c r="X775" i="23"/>
  <c r="Z707" i="23"/>
  <c r="Y707" i="23"/>
  <c r="X707" i="23"/>
  <c r="Z717" i="23"/>
  <c r="Y717" i="23"/>
  <c r="X717" i="23"/>
  <c r="X1092" i="23"/>
  <c r="Z802" i="23"/>
  <c r="Y802" i="23"/>
  <c r="W42" i="23"/>
  <c r="X44" i="23"/>
  <c r="X415" i="23"/>
  <c r="Z415" i="23"/>
  <c r="Y415" i="23"/>
  <c r="X1025" i="23"/>
  <c r="X1009" i="23"/>
  <c r="X525" i="23"/>
  <c r="X1054" i="23"/>
  <c r="Z584" i="23"/>
  <c r="Y584" i="23"/>
  <c r="Z518" i="23"/>
  <c r="Y518" i="23"/>
  <c r="Z407" i="23"/>
  <c r="W411" i="23"/>
  <c r="W408" i="23"/>
  <c r="Y407" i="23"/>
  <c r="W412" i="23"/>
  <c r="W410" i="23"/>
  <c r="W409" i="23"/>
  <c r="X1036" i="23"/>
  <c r="W612" i="23"/>
  <c r="W610" i="23"/>
  <c r="Z609" i="23"/>
  <c r="W611" i="23"/>
  <c r="Y609" i="23"/>
  <c r="Z558" i="23"/>
  <c r="Y558" i="23"/>
  <c r="Z530" i="23"/>
  <c r="Y530" i="23"/>
  <c r="X470" i="23"/>
  <c r="Z435" i="23"/>
  <c r="Y435" i="23"/>
  <c r="X435" i="23"/>
  <c r="U322" i="23"/>
  <c r="Y322" i="23" s="1"/>
  <c r="Z229" i="23"/>
  <c r="Y229" i="23"/>
  <c r="Z124" i="23"/>
  <c r="Y124" i="23"/>
  <c r="X124" i="23"/>
  <c r="X891" i="23"/>
  <c r="X875" i="23"/>
  <c r="X859" i="23"/>
  <c r="X843" i="23"/>
  <c r="Z714" i="23"/>
  <c r="Y714" i="23"/>
  <c r="X714" i="23"/>
  <c r="P418" i="23"/>
  <c r="S418" i="23"/>
  <c r="U418" i="23" s="1"/>
  <c r="Y418" i="23" s="1"/>
  <c r="S295" i="23"/>
  <c r="U295" i="23" s="1"/>
  <c r="P295" i="23"/>
  <c r="Z135" i="23"/>
  <c r="Y135" i="23"/>
  <c r="X521" i="23"/>
  <c r="X234" i="23"/>
  <c r="X365" i="23"/>
  <c r="W314" i="23"/>
  <c r="X108" i="23"/>
  <c r="Z39" i="23"/>
  <c r="Y39" i="23"/>
  <c r="W158" i="23"/>
  <c r="W474" i="23"/>
  <c r="W439" i="23"/>
  <c r="Z338" i="23"/>
  <c r="Y338" i="23"/>
  <c r="X338" i="23"/>
  <c r="Z176" i="23"/>
  <c r="Y176" i="23"/>
  <c r="X176" i="23"/>
  <c r="W357" i="23"/>
  <c r="Y277" i="23"/>
  <c r="X277" i="23"/>
  <c r="Z277" i="23"/>
  <c r="W201" i="23"/>
  <c r="Q68" i="23"/>
  <c r="W68" i="23" s="1"/>
  <c r="Z31" i="23"/>
  <c r="Y31" i="23"/>
  <c r="Z533" i="23"/>
  <c r="X533" i="23"/>
  <c r="Y533" i="23"/>
  <c r="W297" i="23"/>
  <c r="X242" i="23"/>
  <c r="Z145" i="23"/>
  <c r="Y145" i="23"/>
  <c r="X145" i="23"/>
  <c r="Y2627" i="24"/>
  <c r="X2627" i="24"/>
  <c r="Z2627" i="24"/>
  <c r="X2692" i="24"/>
  <c r="Z2631" i="24"/>
  <c r="Y2631" i="24"/>
  <c r="X2700" i="24"/>
  <c r="Z2596" i="24"/>
  <c r="Y2596" i="24"/>
  <c r="X2596" i="24"/>
  <c r="Z2572" i="24"/>
  <c r="Y2572" i="24"/>
  <c r="X2572" i="24"/>
  <c r="H2576" i="24"/>
  <c r="X2591" i="24"/>
  <c r="Z2591" i="24"/>
  <c r="Y2591" i="24"/>
  <c r="X2538" i="24"/>
  <c r="Y2538" i="24"/>
  <c r="Z2538" i="24"/>
  <c r="Z2548" i="24"/>
  <c r="Y2548" i="24"/>
  <c r="X2548" i="24"/>
  <c r="Z2544" i="24"/>
  <c r="Y2544" i="24"/>
  <c r="X2544" i="24"/>
  <c r="Z2524" i="24"/>
  <c r="Y2524" i="24"/>
  <c r="X2524" i="24"/>
  <c r="Z2521" i="24"/>
  <c r="X2521" i="24"/>
  <c r="Y2521" i="24"/>
  <c r="Y2371" i="24"/>
  <c r="X2371" i="24"/>
  <c r="Z2371" i="24"/>
  <c r="Z2484" i="24"/>
  <c r="X2484" i="24"/>
  <c r="Y2484" i="24"/>
  <c r="Z2466" i="24"/>
  <c r="Y2466" i="24"/>
  <c r="X2466" i="24"/>
  <c r="X2460" i="24"/>
  <c r="Y2460" i="24"/>
  <c r="Z2460" i="24"/>
  <c r="Z2423" i="24"/>
  <c r="Y2423" i="24"/>
  <c r="X2423" i="24"/>
  <c r="Z2353" i="24"/>
  <c r="Y2353" i="24"/>
  <c r="X2353" i="24"/>
  <c r="X2475" i="24"/>
  <c r="Z2475" i="24"/>
  <c r="Y2475" i="24"/>
  <c r="X2449" i="24"/>
  <c r="Z2449" i="24"/>
  <c r="Y2449" i="24"/>
  <c r="W2317" i="24"/>
  <c r="Y2312" i="24"/>
  <c r="W2316" i="24"/>
  <c r="W2314" i="24"/>
  <c r="W2315" i="24"/>
  <c r="W2313" i="24"/>
  <c r="Z2312" i="24"/>
  <c r="X2400" i="24"/>
  <c r="Z2400" i="24"/>
  <c r="Y2400" i="24"/>
  <c r="Z2258" i="24"/>
  <c r="W2262" i="24"/>
  <c r="W2260" i="24"/>
  <c r="W2263" i="24"/>
  <c r="W2261" i="24"/>
  <c r="W2259" i="24"/>
  <c r="Y2258" i="24"/>
  <c r="W2299" i="24"/>
  <c r="W2297" i="24"/>
  <c r="W2295" i="24"/>
  <c r="W2298" i="24"/>
  <c r="W2296" i="24"/>
  <c r="Z2294" i="24"/>
  <c r="Y2294" i="24"/>
  <c r="X2303" i="24"/>
  <c r="Y2303" i="24"/>
  <c r="Z2303" i="24"/>
  <c r="Y2355" i="24"/>
  <c r="X2355" i="24"/>
  <c r="Z2355" i="24"/>
  <c r="Z2431" i="24"/>
  <c r="Y2431" i="24"/>
  <c r="X2431" i="24"/>
  <c r="Z2289" i="24"/>
  <c r="Y2289" i="24"/>
  <c r="X2289" i="24"/>
  <c r="Z2256" i="24"/>
  <c r="Y2256" i="24"/>
  <c r="X2256" i="24"/>
  <c r="Z2227" i="24"/>
  <c r="X2227" i="24"/>
  <c r="Y2227" i="24"/>
  <c r="W2160" i="24"/>
  <c r="W2159" i="24"/>
  <c r="Z2158" i="24"/>
  <c r="Y2158" i="24"/>
  <c r="W2162" i="24"/>
  <c r="W2161" i="24"/>
  <c r="Y2036" i="24"/>
  <c r="X2036" i="24"/>
  <c r="Z2036" i="24"/>
  <c r="Z2265" i="24"/>
  <c r="Y2265" i="24"/>
  <c r="X2265" i="24"/>
  <c r="Y2126" i="24"/>
  <c r="X2126" i="24"/>
  <c r="Z2126" i="24"/>
  <c r="X2155" i="24"/>
  <c r="Z2155" i="24"/>
  <c r="Y2155" i="24"/>
  <c r="X1976" i="24"/>
  <c r="Z1976" i="24"/>
  <c r="Y1976" i="24"/>
  <c r="Y2196" i="24"/>
  <c r="X2196" i="24"/>
  <c r="Z2196" i="24"/>
  <c r="Z2111" i="24"/>
  <c r="Y2111" i="24"/>
  <c r="X2111" i="24"/>
  <c r="Y2164" i="24"/>
  <c r="Z2164" i="24"/>
  <c r="X2164" i="24"/>
  <c r="W1988" i="24"/>
  <c r="Z1985" i="24"/>
  <c r="W1987" i="24"/>
  <c r="Y1985" i="24"/>
  <c r="W1986" i="24"/>
  <c r="X1905" i="24"/>
  <c r="Z1905" i="24"/>
  <c r="Y1905" i="24"/>
  <c r="Z2082" i="24"/>
  <c r="Y2082" i="24"/>
  <c r="X2082" i="24"/>
  <c r="X2013" i="24"/>
  <c r="X2189" i="24"/>
  <c r="Z2189" i="24"/>
  <c r="Y2189" i="24"/>
  <c r="W2044" i="24"/>
  <c r="W2043" i="24"/>
  <c r="W2042" i="24"/>
  <c r="Z2041" i="24"/>
  <c r="Y2041" i="24"/>
  <c r="Y1989" i="24"/>
  <c r="W1991" i="24"/>
  <c r="W1990" i="24"/>
  <c r="Z1989" i="24"/>
  <c r="X1989" i="24"/>
  <c r="W1992" i="24"/>
  <c r="X1914" i="24"/>
  <c r="Z1914" i="24"/>
  <c r="Y1914" i="24"/>
  <c r="Z2171" i="24"/>
  <c r="X2171" i="24"/>
  <c r="Y2171" i="24"/>
  <c r="Z1871" i="24"/>
  <c r="Y1871" i="24"/>
  <c r="X1871" i="24"/>
  <c r="Y1819" i="24"/>
  <c r="X1819" i="24"/>
  <c r="Z1819" i="24"/>
  <c r="Y1859" i="24"/>
  <c r="X1859" i="24"/>
  <c r="Z1859" i="24"/>
  <c r="X1864" i="24"/>
  <c r="Y1873" i="24"/>
  <c r="X1873" i="24"/>
  <c r="Z1873" i="24"/>
  <c r="Z1685" i="24"/>
  <c r="Y1685" i="24"/>
  <c r="Z1727" i="24"/>
  <c r="Y1727" i="24"/>
  <c r="X1685" i="24"/>
  <c r="W1883" i="24"/>
  <c r="Z1561" i="24"/>
  <c r="Y1561" i="24"/>
  <c r="Y1609" i="24"/>
  <c r="Z1609" i="24"/>
  <c r="X1672" i="24"/>
  <c r="Z1684" i="24"/>
  <c r="Y1684" i="24"/>
  <c r="Z1595" i="24"/>
  <c r="Y1595" i="24"/>
  <c r="Z1887" i="24"/>
  <c r="Y1887" i="24"/>
  <c r="X1887" i="24"/>
  <c r="X1707" i="24"/>
  <c r="Z1537" i="24"/>
  <c r="Y1537" i="24"/>
  <c r="Z1503" i="24"/>
  <c r="Y1503" i="24"/>
  <c r="Z1483" i="24"/>
  <c r="Y1483" i="24"/>
  <c r="X1471" i="24"/>
  <c r="X1697" i="24"/>
  <c r="X1443" i="24"/>
  <c r="Z1332" i="24"/>
  <c r="Y1332" i="24"/>
  <c r="X1435" i="24"/>
  <c r="X1427" i="24"/>
  <c r="X1419" i="24"/>
  <c r="X1411" i="24"/>
  <c r="Z1374" i="24"/>
  <c r="Y1374" i="24"/>
  <c r="X1529" i="24"/>
  <c r="Z1486" i="24"/>
  <c r="Y1486" i="24"/>
  <c r="Z1454" i="24"/>
  <c r="Y1454" i="24"/>
  <c r="Z1318" i="24"/>
  <c r="Y1318" i="24"/>
  <c r="Z1515" i="24"/>
  <c r="Y1515" i="24"/>
  <c r="Z1485" i="24"/>
  <c r="Y1485" i="24"/>
  <c r="X1473" i="24"/>
  <c r="X1462" i="24"/>
  <c r="Z1453" i="24"/>
  <c r="Y1453" i="24"/>
  <c r="X1689" i="24"/>
  <c r="Z1439" i="24"/>
  <c r="Y1439" i="24"/>
  <c r="Z1368" i="24"/>
  <c r="Y1368" i="24"/>
  <c r="Y1339" i="24"/>
  <c r="Z1339" i="24"/>
  <c r="Z1264" i="24"/>
  <c r="Y1264" i="24"/>
  <c r="Y1315" i="24"/>
  <c r="Z1315" i="24"/>
  <c r="X1322" i="24"/>
  <c r="Z1365" i="24"/>
  <c r="Y1365" i="24"/>
  <c r="Z1341" i="24"/>
  <c r="Y1341" i="24"/>
  <c r="Z1317" i="24"/>
  <c r="Y1317" i="24"/>
  <c r="X1314" i="24"/>
  <c r="Z1243" i="24"/>
  <c r="Y1243" i="24"/>
  <c r="X1374" i="24"/>
  <c r="Z1128" i="24"/>
  <c r="Y1128" i="24"/>
  <c r="X1112" i="24"/>
  <c r="Y1085" i="24"/>
  <c r="Z1085" i="24"/>
  <c r="Y1053" i="24"/>
  <c r="Z1053" i="24"/>
  <c r="Y1021" i="24"/>
  <c r="Z1021" i="24"/>
  <c r="Y989" i="24"/>
  <c r="Z989" i="24"/>
  <c r="Z1353" i="24"/>
  <c r="Y1353" i="24"/>
  <c r="Z1224" i="24"/>
  <c r="Y1224" i="24"/>
  <c r="Z1208" i="24"/>
  <c r="Y1208" i="24"/>
  <c r="Z1192" i="24"/>
  <c r="Y1192" i="24"/>
  <c r="Z1176" i="24"/>
  <c r="Y1176" i="24"/>
  <c r="Z1160" i="24"/>
  <c r="Y1160" i="24"/>
  <c r="Z1144" i="24"/>
  <c r="Y1144" i="24"/>
  <c r="Y1323" i="24"/>
  <c r="Z1323" i="24"/>
  <c r="Z1100" i="24"/>
  <c r="Y1100" i="24"/>
  <c r="U2714" i="24"/>
  <c r="Z1261" i="24"/>
  <c r="Y1261" i="24"/>
  <c r="Z1242" i="24"/>
  <c r="Y1242" i="24"/>
  <c r="X1130" i="24"/>
  <c r="X1100" i="24"/>
  <c r="Z1060" i="24"/>
  <c r="Y1060" i="24"/>
  <c r="Z1010" i="24"/>
  <c r="Y1010" i="24"/>
  <c r="Z977" i="24"/>
  <c r="Y977" i="24"/>
  <c r="Z1073" i="24"/>
  <c r="Y1073" i="24"/>
  <c r="Z1036" i="24"/>
  <c r="Y1036" i="24"/>
  <c r="Z993" i="24"/>
  <c r="Y993" i="24"/>
  <c r="P2714" i="24"/>
  <c r="Z796" i="24"/>
  <c r="Y796" i="24"/>
  <c r="Z803" i="24"/>
  <c r="Y803" i="24"/>
  <c r="Z819" i="24"/>
  <c r="Y819" i="24"/>
  <c r="Z769" i="24"/>
  <c r="Y769" i="24"/>
  <c r="Z634" i="24"/>
  <c r="Y634" i="24"/>
  <c r="Z569" i="24"/>
  <c r="Y569" i="24"/>
  <c r="X547" i="24"/>
  <c r="X374" i="24"/>
  <c r="Z374" i="24"/>
  <c r="Y374" i="24"/>
  <c r="X754" i="24"/>
  <c r="X718" i="24"/>
  <c r="Z725" i="24"/>
  <c r="Y725" i="24"/>
  <c r="X573" i="24"/>
  <c r="X522" i="24"/>
  <c r="Y496" i="24"/>
  <c r="Z496" i="24"/>
  <c r="X632" i="24"/>
  <c r="X725" i="24"/>
  <c r="Y714" i="24"/>
  <c r="X714" i="24"/>
  <c r="Z714" i="24"/>
  <c r="W645" i="24"/>
  <c r="W647" i="24"/>
  <c r="Z644" i="24"/>
  <c r="Y644" i="24"/>
  <c r="W646" i="24"/>
  <c r="W648" i="24"/>
  <c r="W649" i="24"/>
  <c r="Z411" i="24"/>
  <c r="Y411" i="24"/>
  <c r="X411" i="24"/>
  <c r="W455" i="24"/>
  <c r="W457" i="24"/>
  <c r="W454" i="24"/>
  <c r="Z453" i="24"/>
  <c r="W456" i="24"/>
  <c r="Y453" i="24"/>
  <c r="S376" i="24"/>
  <c r="U376" i="24" s="1"/>
  <c r="P376" i="24"/>
  <c r="Z616" i="24"/>
  <c r="Y616" i="24"/>
  <c r="X616" i="24"/>
  <c r="Z313" i="24"/>
  <c r="Y313" i="24"/>
  <c r="X313" i="24"/>
  <c r="Z545" i="24"/>
  <c r="Y545" i="24"/>
  <c r="X545" i="24"/>
  <c r="X468" i="24"/>
  <c r="X279" i="24"/>
  <c r="Z279" i="24"/>
  <c r="Y279" i="24"/>
  <c r="Z677" i="24"/>
  <c r="Y677" i="24"/>
  <c r="X677" i="24"/>
  <c r="X427" i="24"/>
  <c r="Z427" i="24"/>
  <c r="Y427" i="24"/>
  <c r="W336" i="24"/>
  <c r="Z335" i="24"/>
  <c r="W338" i="24"/>
  <c r="Y335" i="24"/>
  <c r="W337" i="24"/>
  <c r="W339" i="24"/>
  <c r="W340" i="24"/>
  <c r="S304" i="24"/>
  <c r="U304" i="24" s="1"/>
  <c r="P304" i="24"/>
  <c r="Y351" i="24"/>
  <c r="X351" i="24"/>
  <c r="Z351" i="24"/>
  <c r="Z298" i="24"/>
  <c r="X298" i="24"/>
  <c r="Y298" i="24"/>
  <c r="Z486" i="24"/>
  <c r="Y486" i="24"/>
  <c r="Z479" i="24"/>
  <c r="X479" i="24"/>
  <c r="Y479" i="24"/>
  <c r="Z284" i="24"/>
  <c r="W285" i="24"/>
  <c r="Y284" i="24"/>
  <c r="W286" i="24"/>
  <c r="Z596" i="24"/>
  <c r="Y596" i="24"/>
  <c r="X596" i="24"/>
  <c r="Y262" i="24"/>
  <c r="Z262" i="24"/>
  <c r="X262" i="24"/>
  <c r="W148" i="24"/>
  <c r="Z147" i="24"/>
  <c r="Y147" i="24"/>
  <c r="W149" i="24"/>
  <c r="Y283" i="24"/>
  <c r="Z283" i="24"/>
  <c r="X283" i="24"/>
  <c r="Y146" i="24"/>
  <c r="X146" i="24"/>
  <c r="Z146" i="24"/>
  <c r="X26" i="24"/>
  <c r="X360" i="24"/>
  <c r="Z360" i="24"/>
  <c r="Y360" i="24"/>
  <c r="Z266" i="24"/>
  <c r="Y266" i="24"/>
  <c r="X266" i="24"/>
  <c r="W201" i="24"/>
  <c r="Y254" i="24"/>
  <c r="Z254" i="24"/>
  <c r="Z215" i="24"/>
  <c r="Y215" i="24"/>
  <c r="Y256" i="24"/>
  <c r="Z256" i="24"/>
  <c r="X256" i="24"/>
  <c r="Z102" i="24"/>
  <c r="Y102" i="24"/>
  <c r="Z19" i="24"/>
  <c r="V18" i="24"/>
  <c r="Y19" i="24"/>
  <c r="Z64" i="24"/>
  <c r="Y64" i="24"/>
  <c r="X19" i="24"/>
  <c r="Q18" i="24"/>
  <c r="Z271" i="24"/>
  <c r="Y271" i="24"/>
  <c r="X271" i="24"/>
  <c r="X102" i="24"/>
  <c r="Z2623" i="23"/>
  <c r="Y2623" i="23"/>
  <c r="X2623" i="23"/>
  <c r="W2610" i="23"/>
  <c r="Z2606" i="23"/>
  <c r="W2608" i="23"/>
  <c r="Y2606" i="23"/>
  <c r="W2611" i="23"/>
  <c r="W2609" i="23"/>
  <c r="W2607" i="23"/>
  <c r="W2586" i="23"/>
  <c r="Z2582" i="23"/>
  <c r="W2584" i="23"/>
  <c r="Y2582" i="23"/>
  <c r="W2587" i="23"/>
  <c r="W2585" i="23"/>
  <c r="W2583" i="23"/>
  <c r="Z2502" i="23"/>
  <c r="Y2502" i="23"/>
  <c r="X2502" i="23"/>
  <c r="Z2296" i="23"/>
  <c r="Y2296" i="23"/>
  <c r="X2296" i="23"/>
  <c r="X2594" i="23"/>
  <c r="W2491" i="23"/>
  <c r="W2489" i="23"/>
  <c r="W2487" i="23"/>
  <c r="Z2486" i="23"/>
  <c r="W2490" i="23"/>
  <c r="W2488" i="23"/>
  <c r="Y2486" i="23"/>
  <c r="X2504" i="23"/>
  <c r="W2505" i="23"/>
  <c r="W2507" i="23"/>
  <c r="W2509" i="23"/>
  <c r="J2612" i="23"/>
  <c r="H2600" i="23"/>
  <c r="J2600" i="23" s="1"/>
  <c r="J2588" i="23"/>
  <c r="H2576" i="23"/>
  <c r="J2576" i="23" s="1"/>
  <c r="X2486" i="23"/>
  <c r="Z2310" i="23"/>
  <c r="Y2310" i="23"/>
  <c r="X2310" i="23"/>
  <c r="X2525" i="23"/>
  <c r="Z2525" i="23"/>
  <c r="Y2525" i="23"/>
  <c r="W2508" i="23"/>
  <c r="Z2519" i="23"/>
  <c r="X2519" i="23"/>
  <c r="Y2519" i="23"/>
  <c r="W2431" i="23"/>
  <c r="X2381" i="23"/>
  <c r="Z2381" i="23"/>
  <c r="Y2381" i="23"/>
  <c r="Z2469" i="23"/>
  <c r="X2469" i="23"/>
  <c r="Y2469" i="23"/>
  <c r="Z2386" i="23"/>
  <c r="X2386" i="23"/>
  <c r="Y2386" i="23"/>
  <c r="Y2292" i="23"/>
  <c r="X2292" i="23"/>
  <c r="Z2292" i="23"/>
  <c r="Z2443" i="23"/>
  <c r="X2443" i="23"/>
  <c r="Y2443" i="23"/>
  <c r="Z2347" i="23"/>
  <c r="Y2347" i="23"/>
  <c r="X2347" i="23"/>
  <c r="Z2334" i="23"/>
  <c r="Y2334" i="23"/>
  <c r="X2334" i="23"/>
  <c r="W2281" i="23"/>
  <c r="Z1960" i="23"/>
  <c r="Y1960" i="23"/>
  <c r="X1960" i="23"/>
  <c r="W2410" i="23"/>
  <c r="Z2406" i="23"/>
  <c r="X2406" i="23"/>
  <c r="Y2406" i="23"/>
  <c r="Z2400" i="23"/>
  <c r="X2400" i="23"/>
  <c r="Y2400" i="23"/>
  <c r="Z2375" i="23"/>
  <c r="X2375" i="23"/>
  <c r="Y2375" i="23"/>
  <c r="W2449" i="23"/>
  <c r="X2359" i="23"/>
  <c r="Z2359" i="23"/>
  <c r="Y2359" i="23"/>
  <c r="X2479" i="23"/>
  <c r="Z2479" i="23"/>
  <c r="Y2479" i="23"/>
  <c r="Z2457" i="23"/>
  <c r="X2457" i="23"/>
  <c r="Y2457" i="23"/>
  <c r="Y2314" i="23"/>
  <c r="X2314" i="23"/>
  <c r="Z2314" i="23"/>
  <c r="W2301" i="23"/>
  <c r="Z2285" i="23"/>
  <c r="Y2285" i="23"/>
  <c r="X2285" i="23"/>
  <c r="W2054" i="23"/>
  <c r="Z2053" i="23"/>
  <c r="Y2053" i="23"/>
  <c r="W2056" i="23"/>
  <c r="W2055" i="23"/>
  <c r="Z1927" i="23"/>
  <c r="Y1927" i="23"/>
  <c r="X1927" i="23"/>
  <c r="X2453" i="23"/>
  <c r="Z2453" i="23"/>
  <c r="Y2453" i="23"/>
  <c r="X2363" i="23"/>
  <c r="Z2363" i="23"/>
  <c r="Y2363" i="23"/>
  <c r="Z2275" i="23"/>
  <c r="Y2275" i="23"/>
  <c r="X2275" i="23"/>
  <c r="Z2188" i="23"/>
  <c r="Y2188" i="23"/>
  <c r="X2188" i="23"/>
  <c r="Z2048" i="23"/>
  <c r="Y2048" i="23"/>
  <c r="X2048" i="23"/>
  <c r="X1748" i="23"/>
  <c r="W2250" i="23"/>
  <c r="Z2203" i="23"/>
  <c r="Y2203" i="23"/>
  <c r="X2203" i="23"/>
  <c r="Y2164" i="23"/>
  <c r="X2164" i="23"/>
  <c r="Z2164" i="23"/>
  <c r="W1964" i="23"/>
  <c r="W2197" i="23"/>
  <c r="W2120" i="23"/>
  <c r="W2122" i="23"/>
  <c r="W2119" i="23"/>
  <c r="Z2118" i="23"/>
  <c r="Y2118" i="23"/>
  <c r="W2121" i="23"/>
  <c r="Z2067" i="23"/>
  <c r="Y2067" i="23"/>
  <c r="X2067" i="23"/>
  <c r="X2053" i="23"/>
  <c r="Z2003" i="23"/>
  <c r="Y2003" i="23"/>
  <c r="X2003" i="23"/>
  <c r="W1994" i="23"/>
  <c r="X2141" i="23"/>
  <c r="Z2141" i="23"/>
  <c r="Y2141" i="23"/>
  <c r="Y2268" i="23"/>
  <c r="X2268" i="23"/>
  <c r="Z2268" i="23"/>
  <c r="W2074" i="23"/>
  <c r="W1932" i="23"/>
  <c r="Y1889" i="23"/>
  <c r="X1889" i="23"/>
  <c r="Z1889" i="23"/>
  <c r="X1799" i="23"/>
  <c r="W1657" i="23"/>
  <c r="Z2183" i="23"/>
  <c r="Y2183" i="23"/>
  <c r="X2183" i="23"/>
  <c r="W2160" i="23"/>
  <c r="W2262" i="23"/>
  <c r="X1786" i="23"/>
  <c r="Z1735" i="23"/>
  <c r="Y1735" i="23"/>
  <c r="X1735" i="23"/>
  <c r="Z1727" i="23"/>
  <c r="Y1727" i="23"/>
  <c r="X1727" i="23"/>
  <c r="Z1667" i="23"/>
  <c r="Y1667" i="23"/>
  <c r="X1667" i="23"/>
  <c r="Z1561" i="23"/>
  <c r="Y1561" i="23"/>
  <c r="Z1564" i="23"/>
  <c r="Y1564" i="23"/>
  <c r="X1564" i="23"/>
  <c r="Y1717" i="23"/>
  <c r="X1717" i="23"/>
  <c r="Z1717" i="23"/>
  <c r="Z1709" i="23"/>
  <c r="Y1709" i="23"/>
  <c r="X1709" i="23"/>
  <c r="Z1521" i="23"/>
  <c r="Y1521" i="23"/>
  <c r="Z1489" i="23"/>
  <c r="Y1489" i="23"/>
  <c r="Z1457" i="23"/>
  <c r="Y1457" i="23"/>
  <c r="X1536" i="23"/>
  <c r="X1432" i="23"/>
  <c r="Z1387" i="23"/>
  <c r="Y1387" i="23"/>
  <c r="X1304" i="23"/>
  <c r="Z1259" i="23"/>
  <c r="Y1259" i="23"/>
  <c r="Z1227" i="23"/>
  <c r="Y1227" i="23"/>
  <c r="Z1195" i="23"/>
  <c r="Y1195" i="23"/>
  <c r="Z1163" i="23"/>
  <c r="Y1163" i="23"/>
  <c r="X1083" i="23"/>
  <c r="X1067" i="23"/>
  <c r="X1051" i="23"/>
  <c r="X1035" i="23"/>
  <c r="Z996" i="23"/>
  <c r="Y996" i="23"/>
  <c r="Z1160" i="23"/>
  <c r="Y1160" i="23"/>
  <c r="Z1070" i="23"/>
  <c r="Y1070" i="23"/>
  <c r="Z1038" i="23"/>
  <c r="Y1038" i="23"/>
  <c r="Z942" i="23"/>
  <c r="Y942" i="23"/>
  <c r="X942" i="23"/>
  <c r="Z1218" i="23"/>
  <c r="Y1218" i="23"/>
  <c r="Z1116" i="23"/>
  <c r="Y1116" i="23"/>
  <c r="X1116" i="23"/>
  <c r="X1093" i="23"/>
  <c r="X1077" i="23"/>
  <c r="X1061" i="23"/>
  <c r="X1045" i="23"/>
  <c r="Z1001" i="23"/>
  <c r="Y1001" i="23"/>
  <c r="Z1365" i="23"/>
  <c r="Y1365" i="23"/>
  <c r="Z1237" i="23"/>
  <c r="Y1237" i="23"/>
  <c r="X1144" i="23"/>
  <c r="Z968" i="23"/>
  <c r="Y968" i="23"/>
  <c r="Z688" i="23"/>
  <c r="Y688" i="23"/>
  <c r="X688" i="23"/>
  <c r="X1504" i="23"/>
  <c r="X1376" i="23"/>
  <c r="Z1331" i="23"/>
  <c r="Y1331" i="23"/>
  <c r="X1248" i="23"/>
  <c r="Z1206" i="23"/>
  <c r="Y1206" i="23"/>
  <c r="Z1174" i="23"/>
  <c r="Y1174" i="23"/>
  <c r="Z1142" i="23"/>
  <c r="Y1142" i="23"/>
  <c r="Z1112" i="23"/>
  <c r="Y1112" i="23"/>
  <c r="X1087" i="23"/>
  <c r="X1071" i="23"/>
  <c r="X1055" i="23"/>
  <c r="X1039" i="23"/>
  <c r="X984" i="23"/>
  <c r="X920" i="23"/>
  <c r="X1212" i="23"/>
  <c r="Z1152" i="23"/>
  <c r="Y1152" i="23"/>
  <c r="Z1102" i="23"/>
  <c r="Y1102" i="23"/>
  <c r="X1102" i="23"/>
  <c r="Z1074" i="23"/>
  <c r="Y1074" i="23"/>
  <c r="X1074" i="23"/>
  <c r="Z1042" i="23"/>
  <c r="Y1042" i="23"/>
  <c r="X1042" i="23"/>
  <c r="Z1194" i="23"/>
  <c r="Y1194" i="23"/>
  <c r="Z1108" i="23"/>
  <c r="Y1108" i="23"/>
  <c r="Z967" i="23"/>
  <c r="Y967" i="23"/>
  <c r="X967" i="23"/>
  <c r="Z1405" i="23"/>
  <c r="Y1405" i="23"/>
  <c r="X1322" i="23"/>
  <c r="Z1277" i="23"/>
  <c r="Y1277" i="23"/>
  <c r="Z988" i="23"/>
  <c r="Y988" i="23"/>
  <c r="Z964" i="23"/>
  <c r="Y964" i="23"/>
  <c r="Z932" i="23"/>
  <c r="Y932" i="23"/>
  <c r="Z905" i="23"/>
  <c r="Y905" i="23"/>
  <c r="Z897" i="23"/>
  <c r="Y897" i="23"/>
  <c r="Z889" i="23"/>
  <c r="Y889" i="23"/>
  <c r="Z881" i="23"/>
  <c r="Y881" i="23"/>
  <c r="Z873" i="23"/>
  <c r="Y873" i="23"/>
  <c r="Z865" i="23"/>
  <c r="Y865" i="23"/>
  <c r="Z857" i="23"/>
  <c r="Y857" i="23"/>
  <c r="Z849" i="23"/>
  <c r="Y849" i="23"/>
  <c r="Z841" i="23"/>
  <c r="V840" i="23"/>
  <c r="V2714" i="23" s="1"/>
  <c r="Y841" i="23"/>
  <c r="Z827" i="23"/>
  <c r="Y827" i="23"/>
  <c r="Z811" i="23"/>
  <c r="Y811" i="23"/>
  <c r="Z665" i="23"/>
  <c r="Y665" i="23"/>
  <c r="X665" i="23"/>
  <c r="Z621" i="23"/>
  <c r="Y621" i="23"/>
  <c r="Z513" i="23"/>
  <c r="Y513" i="23"/>
  <c r="X621" i="23"/>
  <c r="X510" i="23"/>
  <c r="Z482" i="23"/>
  <c r="Y482" i="23"/>
  <c r="X566" i="23"/>
  <c r="Z434" i="23"/>
  <c r="X434" i="23"/>
  <c r="Y434" i="23"/>
  <c r="Z832" i="23"/>
  <c r="Y832" i="23"/>
  <c r="W683" i="23"/>
  <c r="Y675" i="23"/>
  <c r="X675" i="23"/>
  <c r="Z675" i="23"/>
  <c r="Q528" i="23"/>
  <c r="W528" i="23" s="1"/>
  <c r="X799" i="23"/>
  <c r="X536" i="23"/>
  <c r="Z525" i="23"/>
  <c r="Y525" i="23"/>
  <c r="Z192" i="23"/>
  <c r="Y192" i="23"/>
  <c r="X192" i="23"/>
  <c r="X1038" i="23"/>
  <c r="X908" i="23"/>
  <c r="X893" i="23"/>
  <c r="X877" i="23"/>
  <c r="X861" i="23"/>
  <c r="X845" i="23"/>
  <c r="X659" i="23"/>
  <c r="Z659" i="23"/>
  <c r="Y659" i="23"/>
  <c r="X517" i="23"/>
  <c r="Z470" i="23"/>
  <c r="Y470" i="23"/>
  <c r="Z458" i="23"/>
  <c r="Y458" i="23"/>
  <c r="U412" i="23"/>
  <c r="Z745" i="23"/>
  <c r="Y745" i="23"/>
  <c r="Z727" i="23"/>
  <c r="Y727" i="23"/>
  <c r="X727" i="23"/>
  <c r="Z638" i="23"/>
  <c r="Y638" i="23"/>
  <c r="X432" i="23"/>
  <c r="Z432" i="23"/>
  <c r="Y432" i="23"/>
  <c r="W282" i="23"/>
  <c r="Z281" i="23"/>
  <c r="W283" i="23"/>
  <c r="Y281" i="23"/>
  <c r="Z162" i="23"/>
  <c r="Y162" i="23"/>
  <c r="X162" i="23"/>
  <c r="Z804" i="23"/>
  <c r="Y804" i="23"/>
  <c r="X804" i="23"/>
  <c r="W787" i="23"/>
  <c r="W786" i="23"/>
  <c r="Z785" i="23"/>
  <c r="Y785" i="23"/>
  <c r="W788" i="23"/>
  <c r="X785" i="23"/>
  <c r="Z712" i="23"/>
  <c r="Y712" i="23"/>
  <c r="X712" i="23"/>
  <c r="X518" i="23"/>
  <c r="X448" i="23"/>
  <c r="S310" i="23"/>
  <c r="U310" i="23" s="1"/>
  <c r="P310" i="23"/>
  <c r="Z292" i="23"/>
  <c r="Y292" i="23"/>
  <c r="X292" i="23"/>
  <c r="X419" i="23"/>
  <c r="Z256" i="23"/>
  <c r="Y256" i="23"/>
  <c r="X256" i="23"/>
  <c r="Y426" i="23"/>
  <c r="Z426" i="23"/>
  <c r="X426" i="23"/>
  <c r="W362" i="23"/>
  <c r="Y359" i="23"/>
  <c r="W361" i="23"/>
  <c r="W363" i="23"/>
  <c r="W364" i="23"/>
  <c r="W360" i="23"/>
  <c r="Z359" i="23"/>
  <c r="Y101" i="23"/>
  <c r="Z101" i="23"/>
  <c r="X33" i="23"/>
  <c r="X300" i="23"/>
  <c r="Z300" i="23"/>
  <c r="Y300" i="23"/>
  <c r="Z168" i="23"/>
  <c r="Y168" i="23"/>
  <c r="X168" i="23"/>
  <c r="W475" i="23"/>
  <c r="Z289" i="23"/>
  <c r="Y289" i="23"/>
  <c r="X289" i="23"/>
  <c r="X177" i="23"/>
  <c r="Z177" i="23"/>
  <c r="Y177" i="23"/>
  <c r="W355" i="23"/>
  <c r="Y279" i="23"/>
  <c r="X279" i="23"/>
  <c r="Z279" i="23"/>
  <c r="Z535" i="23"/>
  <c r="X535" i="23"/>
  <c r="Y535" i="23"/>
  <c r="Z146" i="23"/>
  <c r="Y146" i="23"/>
  <c r="X146" i="23"/>
  <c r="V116" i="23"/>
  <c r="X76" i="23"/>
  <c r="Z2625" i="24"/>
  <c r="Y2625" i="24"/>
  <c r="X2625" i="24"/>
  <c r="Z2673" i="24"/>
  <c r="Y2673" i="24"/>
  <c r="J2576" i="24"/>
  <c r="Z2646" i="24"/>
  <c r="Y2646" i="24"/>
  <c r="Z2614" i="24"/>
  <c r="Y2614" i="24"/>
  <c r="X2614" i="24"/>
  <c r="Z2595" i="24"/>
  <c r="X2595" i="24"/>
  <c r="Y2595" i="24"/>
  <c r="Y2574" i="24"/>
  <c r="Z2574" i="24"/>
  <c r="X2574" i="24"/>
  <c r="Z2632" i="24"/>
  <c r="Y2632" i="24"/>
  <c r="Z2537" i="24"/>
  <c r="Y2537" i="24"/>
  <c r="X2537" i="24"/>
  <c r="Z2554" i="24"/>
  <c r="Y2554" i="24"/>
  <c r="X2554" i="24"/>
  <c r="X2503" i="24"/>
  <c r="Z2503" i="24"/>
  <c r="Y2503" i="24"/>
  <c r="W2513" i="24"/>
  <c r="Y2604" i="24"/>
  <c r="X2604" i="24"/>
  <c r="Z2604" i="24"/>
  <c r="Z2505" i="24"/>
  <c r="Y2505" i="24"/>
  <c r="X2505" i="24"/>
  <c r="X2565" i="24"/>
  <c r="Y2565" i="24"/>
  <c r="Z2565" i="24"/>
  <c r="Z2507" i="24"/>
  <c r="Y2507" i="24"/>
  <c r="X2507" i="24"/>
  <c r="Z2350" i="24"/>
  <c r="Y2350" i="24"/>
  <c r="X2350" i="24"/>
  <c r="Z2436" i="24"/>
  <c r="Y2436" i="24"/>
  <c r="X2436" i="24"/>
  <c r="Z2405" i="24"/>
  <c r="Y2405" i="24"/>
  <c r="X2405" i="24"/>
  <c r="X2461" i="24"/>
  <c r="Z2461" i="24"/>
  <c r="Y2461" i="24"/>
  <c r="Z2416" i="24"/>
  <c r="Y2416" i="24"/>
  <c r="X2416" i="24"/>
  <c r="Z2351" i="24"/>
  <c r="Y2351" i="24"/>
  <c r="X2351" i="24"/>
  <c r="Z2476" i="24"/>
  <c r="X2476" i="24"/>
  <c r="Y2476" i="24"/>
  <c r="X2446" i="24"/>
  <c r="Z2446" i="24"/>
  <c r="Y2446" i="24"/>
  <c r="Y2363" i="24"/>
  <c r="X2363" i="24"/>
  <c r="Z2363" i="24"/>
  <c r="Y2331" i="24"/>
  <c r="Z2331" i="24"/>
  <c r="X2331" i="24"/>
  <c r="Z2401" i="24"/>
  <c r="Y2401" i="24"/>
  <c r="X2401" i="24"/>
  <c r="Z2496" i="24"/>
  <c r="Y2496" i="24"/>
  <c r="X2496" i="24"/>
  <c r="X2305" i="24"/>
  <c r="Z2305" i="24"/>
  <c r="Y2305" i="24"/>
  <c r="Z2373" i="24"/>
  <c r="Y2373" i="24"/>
  <c r="X2373" i="24"/>
  <c r="Y2357" i="24"/>
  <c r="X2357" i="24"/>
  <c r="Z2357" i="24"/>
  <c r="W2311" i="24"/>
  <c r="W2309" i="24"/>
  <c r="Z2306" i="24"/>
  <c r="Y2306" i="24"/>
  <c r="W2310" i="24"/>
  <c r="W2308" i="24"/>
  <c r="W2307" i="24"/>
  <c r="W2291" i="24"/>
  <c r="Y2205" i="24"/>
  <c r="X2205" i="24"/>
  <c r="Z2205" i="24"/>
  <c r="W2319" i="24"/>
  <c r="X2253" i="24"/>
  <c r="Z2253" i="24"/>
  <c r="Y2253" i="24"/>
  <c r="Z2280" i="24"/>
  <c r="Y2280" i="24"/>
  <c r="X2280" i="24"/>
  <c r="Z2234" i="24"/>
  <c r="W2238" i="24"/>
  <c r="W2236" i="24"/>
  <c r="W2237" i="24"/>
  <c r="W2235" i="24"/>
  <c r="Y2234" i="24"/>
  <c r="W2239" i="24"/>
  <c r="X2025" i="24"/>
  <c r="Z2269" i="24"/>
  <c r="Y2269" i="24"/>
  <c r="X2269" i="24"/>
  <c r="W2004" i="24"/>
  <c r="W2003" i="24"/>
  <c r="Z2001" i="24"/>
  <c r="W2002" i="24"/>
  <c r="Y2001" i="24"/>
  <c r="Z2156" i="24"/>
  <c r="Y2156" i="24"/>
  <c r="X2156" i="24"/>
  <c r="Z2090" i="24"/>
  <c r="X2090" i="24"/>
  <c r="Y2090" i="24"/>
  <c r="Z2062" i="24"/>
  <c r="X2062" i="24"/>
  <c r="Y2062" i="24"/>
  <c r="W2012" i="24"/>
  <c r="W2011" i="24"/>
  <c r="W2010" i="24"/>
  <c r="Z2009" i="24"/>
  <c r="Y2009" i="24"/>
  <c r="X2100" i="24"/>
  <c r="Z2100" i="24"/>
  <c r="Y2100" i="24"/>
  <c r="X2045" i="24"/>
  <c r="Z1998" i="24"/>
  <c r="Y1998" i="24"/>
  <c r="X1998" i="24"/>
  <c r="Y2194" i="24"/>
  <c r="Z2194" i="24"/>
  <c r="X2194" i="24"/>
  <c r="Z2112" i="24"/>
  <c r="Y2112" i="24"/>
  <c r="X2112" i="24"/>
  <c r="X2167" i="24"/>
  <c r="Z2167" i="24"/>
  <c r="Y2167" i="24"/>
  <c r="X2085" i="24"/>
  <c r="Z2075" i="24"/>
  <c r="Y2075" i="24"/>
  <c r="X2075" i="24"/>
  <c r="W1982" i="24"/>
  <c r="X1910" i="24"/>
  <c r="Z1910" i="24"/>
  <c r="Y1910" i="24"/>
  <c r="Y2083" i="24"/>
  <c r="X2083" i="24"/>
  <c r="Z2083" i="24"/>
  <c r="X1906" i="24"/>
  <c r="Z1906" i="24"/>
  <c r="Y1906" i="24"/>
  <c r="X2133" i="24"/>
  <c r="X1912" i="24"/>
  <c r="Z1912" i="24"/>
  <c r="Y1912" i="24"/>
  <c r="X2190" i="24"/>
  <c r="Y2190" i="24"/>
  <c r="Z2190" i="24"/>
  <c r="W1947" i="24"/>
  <c r="Y1945" i="24"/>
  <c r="Z1945" i="24"/>
  <c r="W1946" i="24"/>
  <c r="W1948" i="24"/>
  <c r="Z1890" i="24"/>
  <c r="Y1890" i="24"/>
  <c r="X1890" i="24"/>
  <c r="W1938" i="24"/>
  <c r="Y1937" i="24"/>
  <c r="Z1937" i="24"/>
  <c r="W1940" i="24"/>
  <c r="W1939" i="24"/>
  <c r="X1928" i="24"/>
  <c r="Y1928" i="24"/>
  <c r="Z1928" i="24"/>
  <c r="Z2169" i="24"/>
  <c r="Y2169" i="24"/>
  <c r="X2169" i="24"/>
  <c r="Z1863" i="24"/>
  <c r="Y1863" i="24"/>
  <c r="X1863" i="24"/>
  <c r="Z1796" i="24"/>
  <c r="Y1796" i="24"/>
  <c r="X1796" i="24"/>
  <c r="Z1748" i="24"/>
  <c r="Y1748" i="24"/>
  <c r="X1779" i="24"/>
  <c r="Z1681" i="24"/>
  <c r="Y1681" i="24"/>
  <c r="X1681" i="24"/>
  <c r="W1813" i="24"/>
  <c r="W1812" i="24"/>
  <c r="Z1811" i="24"/>
  <c r="Y1811" i="24"/>
  <c r="Z1677" i="24"/>
  <c r="Y1677" i="24"/>
  <c r="W1657" i="24"/>
  <c r="X1842" i="24"/>
  <c r="Z1842" i="24"/>
  <c r="Y1842" i="24"/>
  <c r="X1719" i="24"/>
  <c r="Z1648" i="24"/>
  <c r="Y1648" i="24"/>
  <c r="Z1616" i="24"/>
  <c r="Y1616" i="24"/>
  <c r="Z1593" i="24"/>
  <c r="Y1593" i="24"/>
  <c r="X1673" i="24"/>
  <c r="Z1673" i="24"/>
  <c r="Y1673" i="24"/>
  <c r="X1593" i="24"/>
  <c r="Z1571" i="24"/>
  <c r="Y1571" i="24"/>
  <c r="X1669" i="24"/>
  <c r="Z1553" i="24"/>
  <c r="Y1553" i="24"/>
  <c r="Z1545" i="24"/>
  <c r="Y1545" i="24"/>
  <c r="X1561" i="24"/>
  <c r="W1923" i="24"/>
  <c r="W1922" i="24"/>
  <c r="Y1921" i="24"/>
  <c r="Z1921" i="24"/>
  <c r="W1924" i="24"/>
  <c r="W1710" i="24"/>
  <c r="W1708" i="24"/>
  <c r="Z1707" i="24"/>
  <c r="Y1707" i="24"/>
  <c r="W1709" i="24"/>
  <c r="Z1471" i="24"/>
  <c r="Y1471" i="24"/>
  <c r="Z1443" i="24"/>
  <c r="Y1443" i="24"/>
  <c r="Z1324" i="24"/>
  <c r="Y1324" i="24"/>
  <c r="X1324" i="24"/>
  <c r="Z1523" i="24"/>
  <c r="Y1523" i="24"/>
  <c r="Z1435" i="24"/>
  <c r="Y1435" i="24"/>
  <c r="Z1427" i="24"/>
  <c r="Y1427" i="24"/>
  <c r="Z1419" i="24"/>
  <c r="Y1419" i="24"/>
  <c r="Z1411" i="24"/>
  <c r="Y1411" i="24"/>
  <c r="Z1370" i="24"/>
  <c r="Y1370" i="24"/>
  <c r="Z1482" i="24"/>
  <c r="Y1482" i="24"/>
  <c r="Y1448" i="24"/>
  <c r="Z1448" i="24"/>
  <c r="Y1310" i="24"/>
  <c r="Z1310" i="24"/>
  <c r="X1482" i="24"/>
  <c r="Z1473" i="24"/>
  <c r="Y1473" i="24"/>
  <c r="X1448" i="24"/>
  <c r="Z1396" i="24"/>
  <c r="Y1396" i="24"/>
  <c r="Z1364" i="24"/>
  <c r="Y1364" i="24"/>
  <c r="X1334" i="24"/>
  <c r="X1310" i="24"/>
  <c r="X1312" i="24"/>
  <c r="X1302" i="24"/>
  <c r="Z1239" i="24"/>
  <c r="Y1239" i="24"/>
  <c r="X1358" i="24"/>
  <c r="X1138" i="24"/>
  <c r="Z1108" i="24"/>
  <c r="Y1108" i="24"/>
  <c r="Z1130" i="24"/>
  <c r="Y1130" i="24"/>
  <c r="X1140" i="24"/>
  <c r="X1124" i="24"/>
  <c r="X1108" i="24"/>
  <c r="X1085" i="24"/>
  <c r="X1005" i="24"/>
  <c r="X1029" i="24"/>
  <c r="X1110" i="24"/>
  <c r="Z1084" i="24"/>
  <c r="Y1084" i="24"/>
  <c r="X1084" i="24"/>
  <c r="X1053" i="24"/>
  <c r="Z1004" i="24"/>
  <c r="Y1004" i="24"/>
  <c r="X1061" i="24"/>
  <c r="Z826" i="24"/>
  <c r="Y826" i="24"/>
  <c r="Z817" i="24"/>
  <c r="Y817" i="24"/>
  <c r="Z792" i="24"/>
  <c r="Y792" i="24"/>
  <c r="X792" i="24"/>
  <c r="X1037" i="24"/>
  <c r="Z800" i="24"/>
  <c r="Y800" i="24"/>
  <c r="X668" i="24"/>
  <c r="W669" i="24"/>
  <c r="Z701" i="24"/>
  <c r="Y701" i="24"/>
  <c r="X701" i="24"/>
  <c r="X569" i="24"/>
  <c r="W550" i="24"/>
  <c r="W548" i="24"/>
  <c r="Z547" i="24"/>
  <c r="Y547" i="24"/>
  <c r="W549" i="24"/>
  <c r="X451" i="24"/>
  <c r="Z451" i="24"/>
  <c r="Y451" i="24"/>
  <c r="S358" i="24"/>
  <c r="U358" i="24" s="1"/>
  <c r="Y358" i="24" s="1"/>
  <c r="P358" i="24"/>
  <c r="Z754" i="24"/>
  <c r="Y754" i="24"/>
  <c r="Z573" i="24"/>
  <c r="Y573" i="24"/>
  <c r="X804" i="24"/>
  <c r="Z632" i="24"/>
  <c r="Y632" i="24"/>
  <c r="X507" i="24"/>
  <c r="X805" i="24"/>
  <c r="X712" i="24"/>
  <c r="Z712" i="24"/>
  <c r="Y712" i="24"/>
  <c r="W671" i="24"/>
  <c r="Z527" i="24"/>
  <c r="Y527" i="24"/>
  <c r="Z386" i="24"/>
  <c r="Y386" i="24"/>
  <c r="X386" i="24"/>
  <c r="Z460" i="24"/>
  <c r="Y460" i="24"/>
  <c r="S259" i="24"/>
  <c r="U259" i="24" s="1"/>
  <c r="Z259" i="24" s="1"/>
  <c r="P259" i="24"/>
  <c r="U277" i="24"/>
  <c r="Z277" i="24" s="1"/>
  <c r="U340" i="24"/>
  <c r="Z482" i="24"/>
  <c r="Y482" i="24"/>
  <c r="X377" i="24"/>
  <c r="Y354" i="24"/>
  <c r="X354" i="24"/>
  <c r="Z354" i="24"/>
  <c r="X349" i="24"/>
  <c r="Z349" i="24"/>
  <c r="Y349" i="24"/>
  <c r="Y499" i="24"/>
  <c r="Z499" i="24"/>
  <c r="Z480" i="24"/>
  <c r="Y480" i="24"/>
  <c r="X480" i="24"/>
  <c r="X94" i="24"/>
  <c r="X73" i="24"/>
  <c r="X56" i="24"/>
  <c r="Z37" i="24"/>
  <c r="Y37" i="24"/>
  <c r="Z174" i="24"/>
  <c r="Y174" i="24"/>
  <c r="X174" i="24"/>
  <c r="Z142" i="24"/>
  <c r="Y142" i="24"/>
  <c r="X142" i="24"/>
  <c r="Z364" i="24"/>
  <c r="Y364" i="24"/>
  <c r="X364" i="24"/>
  <c r="Z221" i="24"/>
  <c r="Y221" i="24"/>
  <c r="Z164" i="24"/>
  <c r="Y164" i="24"/>
  <c r="X164" i="24"/>
  <c r="X76" i="24"/>
  <c r="Y539" i="24"/>
  <c r="X539" i="24"/>
  <c r="Z539" i="24"/>
  <c r="X435" i="24"/>
  <c r="Y435" i="24"/>
  <c r="Z435" i="24"/>
  <c r="Z134" i="24"/>
  <c r="Y134" i="24"/>
  <c r="X78" i="24"/>
  <c r="Z111" i="24"/>
  <c r="Y111" i="24"/>
  <c r="X80" i="24"/>
  <c r="X63" i="24"/>
  <c r="Z274" i="24"/>
  <c r="Y274" i="24"/>
  <c r="X274" i="24"/>
  <c r="Z169" i="24"/>
  <c r="Y169" i="24"/>
  <c r="X169" i="24"/>
  <c r="X41" i="24"/>
  <c r="Z2650" i="23"/>
  <c r="Y2650" i="23"/>
  <c r="X2588" i="23"/>
  <c r="Z2476" i="23"/>
  <c r="X2476" i="23"/>
  <c r="Y2476" i="23"/>
  <c r="Z2530" i="23"/>
  <c r="Y2530" i="23"/>
  <c r="X2530" i="23"/>
  <c r="W2676" i="23"/>
  <c r="Z2308" i="23"/>
  <c r="Y2308" i="23"/>
  <c r="X2308" i="23"/>
  <c r="Z2565" i="23"/>
  <c r="Y2565" i="23"/>
  <c r="X2565" i="23"/>
  <c r="X2523" i="23"/>
  <c r="Z2523" i="23"/>
  <c r="Y2523" i="23"/>
  <c r="Z2548" i="23"/>
  <c r="Y2548" i="23"/>
  <c r="X2548" i="23"/>
  <c r="W2562" i="23"/>
  <c r="W2560" i="23"/>
  <c r="W2563" i="23"/>
  <c r="W2561" i="23"/>
  <c r="W2559" i="23"/>
  <c r="Z2558" i="23"/>
  <c r="Y2558" i="23"/>
  <c r="Z2521" i="23"/>
  <c r="X2521" i="23"/>
  <c r="Y2521" i="23"/>
  <c r="W2326" i="23"/>
  <c r="Z2470" i="23"/>
  <c r="Y2470" i="23"/>
  <c r="X2470" i="23"/>
  <c r="Z2415" i="23"/>
  <c r="X2415" i="23"/>
  <c r="Y2415" i="23"/>
  <c r="Z2387" i="23"/>
  <c r="X2387" i="23"/>
  <c r="Y2387" i="23"/>
  <c r="Z2345" i="23"/>
  <c r="Y2345" i="23"/>
  <c r="X2345" i="23"/>
  <c r="W2411" i="23"/>
  <c r="X2407" i="23"/>
  <c r="Z2407" i="23"/>
  <c r="Y2407" i="23"/>
  <c r="Z2401" i="23"/>
  <c r="X2401" i="23"/>
  <c r="Y2401" i="23"/>
  <c r="Z2376" i="23"/>
  <c r="X2376" i="23"/>
  <c r="Y2376" i="23"/>
  <c r="Z2356" i="23"/>
  <c r="X2356" i="23"/>
  <c r="Y2356" i="23"/>
  <c r="Z2458" i="23"/>
  <c r="X2458" i="23"/>
  <c r="Y2458" i="23"/>
  <c r="Y2316" i="23"/>
  <c r="X2316" i="23"/>
  <c r="Z2316" i="23"/>
  <c r="W2303" i="23"/>
  <c r="Z2287" i="23"/>
  <c r="Y2287" i="23"/>
  <c r="X2287" i="23"/>
  <c r="W2038" i="23"/>
  <c r="Z2037" i="23"/>
  <c r="Y2037" i="23"/>
  <c r="W2040" i="23"/>
  <c r="W2039" i="23"/>
  <c r="Z1895" i="23"/>
  <c r="X1895" i="23"/>
  <c r="Y1895" i="23"/>
  <c r="Z2454" i="23"/>
  <c r="X2454" i="23"/>
  <c r="Y2454" i="23"/>
  <c r="Z2391" i="23"/>
  <c r="X2391" i="23"/>
  <c r="Y2391" i="23"/>
  <c r="Z2364" i="23"/>
  <c r="X2364" i="23"/>
  <c r="Y2364" i="23"/>
  <c r="Z2272" i="23"/>
  <c r="Y2272" i="23"/>
  <c r="X2272" i="23"/>
  <c r="Z2190" i="23"/>
  <c r="Y2190" i="23"/>
  <c r="X2190" i="23"/>
  <c r="Z2106" i="23"/>
  <c r="Y2106" i="23"/>
  <c r="X2106" i="23"/>
  <c r="X1990" i="23"/>
  <c r="Z1990" i="23"/>
  <c r="Y1990" i="23"/>
  <c r="Z1912" i="23"/>
  <c r="Y1912" i="23"/>
  <c r="X1912" i="23"/>
  <c r="Z1885" i="23"/>
  <c r="Y1885" i="23"/>
  <c r="X1885" i="23"/>
  <c r="Z1760" i="23"/>
  <c r="Y1760" i="23"/>
  <c r="X2205" i="23"/>
  <c r="Z2205" i="23"/>
  <c r="Y2205" i="23"/>
  <c r="Z2200" i="23"/>
  <c r="Y2200" i="23"/>
  <c r="X2200" i="23"/>
  <c r="X2167" i="23"/>
  <c r="Z2167" i="23"/>
  <c r="Y2167" i="23"/>
  <c r="Z2096" i="23"/>
  <c r="Y2096" i="23"/>
  <c r="X2096" i="23"/>
  <c r="Z2032" i="23"/>
  <c r="Y2032" i="23"/>
  <c r="X2032" i="23"/>
  <c r="W2026" i="23"/>
  <c r="Z1818" i="23"/>
  <c r="Y1818" i="23"/>
  <c r="X1818" i="23"/>
  <c r="Z2217" i="23"/>
  <c r="Y2217" i="23"/>
  <c r="X2217" i="23"/>
  <c r="W2194" i="23"/>
  <c r="Z2016" i="23"/>
  <c r="Y2016" i="23"/>
  <c r="X2016" i="23"/>
  <c r="W2010" i="23"/>
  <c r="Z1938" i="23"/>
  <c r="Y1938" i="23"/>
  <c r="X1938" i="23"/>
  <c r="X1917" i="23"/>
  <c r="Y1857" i="23"/>
  <c r="X1857" i="23"/>
  <c r="Z1857" i="23"/>
  <c r="Z1827" i="23"/>
  <c r="Y1827" i="23"/>
  <c r="Z1821" i="23"/>
  <c r="Y1821" i="23"/>
  <c r="X1821" i="23"/>
  <c r="Z1790" i="23"/>
  <c r="Y1790" i="23"/>
  <c r="X1750" i="23"/>
  <c r="Z2154" i="23"/>
  <c r="Y2154" i="23"/>
  <c r="X2154" i="23"/>
  <c r="X2068" i="23"/>
  <c r="Z2068" i="23"/>
  <c r="Y2068" i="23"/>
  <c r="W1995" i="23"/>
  <c r="X1913" i="23"/>
  <c r="Z1761" i="23"/>
  <c r="Y1761" i="23"/>
  <c r="X1997" i="23"/>
  <c r="Z1966" i="23"/>
  <c r="Y1966" i="23"/>
  <c r="X1966" i="23"/>
  <c r="Z1922" i="23"/>
  <c r="Y1922" i="23"/>
  <c r="X1922" i="23"/>
  <c r="X1776" i="23"/>
  <c r="V1690" i="23"/>
  <c r="V2715" i="23" s="1"/>
  <c r="Y2266" i="23"/>
  <c r="X2266" i="23"/>
  <c r="Z2266" i="23"/>
  <c r="W2169" i="23"/>
  <c r="W2075" i="23"/>
  <c r="Z2185" i="23"/>
  <c r="Y2185" i="23"/>
  <c r="X2185" i="23"/>
  <c r="Z2078" i="23"/>
  <c r="Y2078" i="23"/>
  <c r="X2078" i="23"/>
  <c r="W1883" i="23"/>
  <c r="W1882" i="23"/>
  <c r="W1881" i="23"/>
  <c r="Z1880" i="23"/>
  <c r="Y1880" i="23"/>
  <c r="W2178" i="23"/>
  <c r="W2176" i="23"/>
  <c r="W2179" i="23"/>
  <c r="W2177" i="23"/>
  <c r="W2175" i="23"/>
  <c r="Z2174" i="23"/>
  <c r="Y2174" i="23"/>
  <c r="Z2114" i="23"/>
  <c r="Y2114" i="23"/>
  <c r="X2114" i="23"/>
  <c r="W1935" i="23"/>
  <c r="W1934" i="23"/>
  <c r="Z1933" i="23"/>
  <c r="Y1933" i="23"/>
  <c r="W1936" i="23"/>
  <c r="X1847" i="23"/>
  <c r="X1783" i="23"/>
  <c r="W1701" i="23"/>
  <c r="W1700" i="23"/>
  <c r="Z1699" i="23"/>
  <c r="Y1699" i="23"/>
  <c r="W1702" i="23"/>
  <c r="X1699" i="23"/>
  <c r="Z1544" i="23"/>
  <c r="Y1544" i="23"/>
  <c r="Z1512" i="23"/>
  <c r="Y1512" i="23"/>
  <c r="Z1480" i="23"/>
  <c r="Y1480" i="23"/>
  <c r="Z1448" i="23"/>
  <c r="Y1448" i="23"/>
  <c r="Z1576" i="23"/>
  <c r="Y1576" i="23"/>
  <c r="Z1540" i="23"/>
  <c r="Y1540" i="23"/>
  <c r="Z1508" i="23"/>
  <c r="Y1508" i="23"/>
  <c r="Z1476" i="23"/>
  <c r="Y1476" i="23"/>
  <c r="Z1444" i="23"/>
  <c r="Y1444" i="23"/>
  <c r="Z1710" i="23"/>
  <c r="Y1710" i="23"/>
  <c r="X1710" i="23"/>
  <c r="X1559" i="23"/>
  <c r="X1492" i="23"/>
  <c r="Z1436" i="23"/>
  <c r="Y1436" i="23"/>
  <c r="Z1428" i="23"/>
  <c r="Y1428" i="23"/>
  <c r="Z1420" i="23"/>
  <c r="Y1420" i="23"/>
  <c r="Z1412" i="23"/>
  <c r="Y1412" i="23"/>
  <c r="Z1404" i="23"/>
  <c r="Y1404" i="23"/>
  <c r="Z1396" i="23"/>
  <c r="Y1396" i="23"/>
  <c r="Z1388" i="23"/>
  <c r="Y1388" i="23"/>
  <c r="Z1380" i="23"/>
  <c r="Y1380" i="23"/>
  <c r="Z1372" i="23"/>
  <c r="Y1372" i="23"/>
  <c r="Z1364" i="23"/>
  <c r="Y1364" i="23"/>
  <c r="Z1356" i="23"/>
  <c r="Y1356" i="23"/>
  <c r="Z1348" i="23"/>
  <c r="Y1348" i="23"/>
  <c r="Z1340" i="23"/>
  <c r="Y1340" i="23"/>
  <c r="Z1332" i="23"/>
  <c r="Y1332" i="23"/>
  <c r="Z1324" i="23"/>
  <c r="Y1324" i="23"/>
  <c r="Z1316" i="23"/>
  <c r="Y1316" i="23"/>
  <c r="Z1308" i="23"/>
  <c r="Y1308" i="23"/>
  <c r="Z1300" i="23"/>
  <c r="Y1300" i="23"/>
  <c r="Z1292" i="23"/>
  <c r="Y1292" i="23"/>
  <c r="Z1284" i="23"/>
  <c r="Y1284" i="23"/>
  <c r="Z1276" i="23"/>
  <c r="Y1276" i="23"/>
  <c r="Z1268" i="23"/>
  <c r="Y1268" i="23"/>
  <c r="Z1260" i="23"/>
  <c r="Y1260" i="23"/>
  <c r="Z1252" i="23"/>
  <c r="Y1252" i="23"/>
  <c r="Z1244" i="23"/>
  <c r="Y1244" i="23"/>
  <c r="Z1236" i="23"/>
  <c r="Y1236" i="23"/>
  <c r="X1565" i="23"/>
  <c r="X1384" i="23"/>
  <c r="Z1339" i="23"/>
  <c r="Y1339" i="23"/>
  <c r="X1256" i="23"/>
  <c r="Z1131" i="23"/>
  <c r="Y1131" i="23"/>
  <c r="Z1099" i="23"/>
  <c r="Y1099" i="23"/>
  <c r="Z1208" i="23"/>
  <c r="Y1208" i="23"/>
  <c r="Z1105" i="23"/>
  <c r="Y1105" i="23"/>
  <c r="Z982" i="23"/>
  <c r="Y982" i="23"/>
  <c r="X982" i="23"/>
  <c r="Z918" i="23"/>
  <c r="Y918" i="23"/>
  <c r="X918" i="23"/>
  <c r="X1198" i="23"/>
  <c r="Z1138" i="23"/>
  <c r="Y1138" i="23"/>
  <c r="X1473" i="23"/>
  <c r="Z1317" i="23"/>
  <c r="Y1317" i="23"/>
  <c r="Z1228" i="23"/>
  <c r="Y1228" i="23"/>
  <c r="Z1196" i="23"/>
  <c r="Y1196" i="23"/>
  <c r="Z1164" i="23"/>
  <c r="Y1164" i="23"/>
  <c r="Z1132" i="23"/>
  <c r="Y1132" i="23"/>
  <c r="Z1064" i="23"/>
  <c r="Y1064" i="23"/>
  <c r="X1064" i="23"/>
  <c r="Z1032" i="23"/>
  <c r="Y1032" i="23"/>
  <c r="X1032" i="23"/>
  <c r="Z960" i="23"/>
  <c r="Y960" i="23"/>
  <c r="Z666" i="23"/>
  <c r="Y666" i="23"/>
  <c r="X666" i="23"/>
  <c r="X1529" i="23"/>
  <c r="Z1411" i="23"/>
  <c r="Y1411" i="23"/>
  <c r="X1328" i="23"/>
  <c r="Z1283" i="23"/>
  <c r="Y1283" i="23"/>
  <c r="X1422" i="23"/>
  <c r="X1390" i="23"/>
  <c r="X1358" i="23"/>
  <c r="X1326" i="23"/>
  <c r="X1294" i="23"/>
  <c r="X1262" i="23"/>
  <c r="Z1200" i="23"/>
  <c r="Y1200" i="23"/>
  <c r="X1132" i="23"/>
  <c r="X1174" i="23"/>
  <c r="Z959" i="23"/>
  <c r="Y959" i="23"/>
  <c r="X959" i="23"/>
  <c r="Z687" i="23"/>
  <c r="Y687" i="23"/>
  <c r="X687" i="23"/>
  <c r="X1441" i="23"/>
  <c r="X1402" i="23"/>
  <c r="Z1357" i="23"/>
  <c r="Y1357" i="23"/>
  <c r="X1274" i="23"/>
  <c r="Z1233" i="23"/>
  <c r="Y1233" i="23"/>
  <c r="Z1201" i="23"/>
  <c r="Y1201" i="23"/>
  <c r="Z1169" i="23"/>
  <c r="Y1169" i="23"/>
  <c r="Z1137" i="23"/>
  <c r="Y1137" i="23"/>
  <c r="Z1076" i="23"/>
  <c r="Y1076" i="23"/>
  <c r="Z1044" i="23"/>
  <c r="Y1044" i="23"/>
  <c r="Q840" i="23"/>
  <c r="Z724" i="23"/>
  <c r="Y724" i="23"/>
  <c r="Z578" i="23"/>
  <c r="Y578" i="23"/>
  <c r="Z505" i="23"/>
  <c r="Y505" i="23"/>
  <c r="X505" i="23"/>
  <c r="Z614" i="23"/>
  <c r="Y614" i="23"/>
  <c r="X614" i="23"/>
  <c r="Z772" i="23"/>
  <c r="Y772" i="23"/>
  <c r="Z739" i="23"/>
  <c r="Y739" i="23"/>
  <c r="Z566" i="23"/>
  <c r="Y566" i="23"/>
  <c r="X1060" i="23"/>
  <c r="Z830" i="23"/>
  <c r="Y830" i="23"/>
  <c r="X830" i="23"/>
  <c r="Z679" i="23"/>
  <c r="Y679" i="23"/>
  <c r="X679" i="23"/>
  <c r="X529" i="23"/>
  <c r="Y170" i="23"/>
  <c r="X170" i="23"/>
  <c r="Z170" i="23"/>
  <c r="X478" i="23"/>
  <c r="Z478" i="23"/>
  <c r="Y478" i="23"/>
  <c r="Z143" i="23"/>
  <c r="Y143" i="23"/>
  <c r="X143" i="23"/>
  <c r="X1021" i="23"/>
  <c r="X1005" i="23"/>
  <c r="X972" i="23"/>
  <c r="W594" i="23"/>
  <c r="Y565" i="23"/>
  <c r="X565" i="23"/>
  <c r="Z565" i="23"/>
  <c r="X1001" i="23"/>
  <c r="Z657" i="23"/>
  <c r="Y657" i="23"/>
  <c r="X657" i="23"/>
  <c r="Y544" i="23"/>
  <c r="Z544" i="23"/>
  <c r="X544" i="23"/>
  <c r="X490" i="23"/>
  <c r="W310" i="23"/>
  <c r="W306" i="23"/>
  <c r="W308" i="23"/>
  <c r="Z305" i="23"/>
  <c r="Y305" i="23"/>
  <c r="W307" i="23"/>
  <c r="W309" i="23"/>
  <c r="Z783" i="23"/>
  <c r="Y783" i="23"/>
  <c r="X783" i="23"/>
  <c r="Z713" i="23"/>
  <c r="Y713" i="23"/>
  <c r="X713" i="23"/>
  <c r="Z488" i="23"/>
  <c r="Y488" i="23"/>
  <c r="X488" i="23"/>
  <c r="Z447" i="23"/>
  <c r="Y447" i="23"/>
  <c r="X447" i="23"/>
  <c r="Z320" i="23"/>
  <c r="Y320" i="23"/>
  <c r="X320" i="23"/>
  <c r="Z232" i="23"/>
  <c r="Y232" i="23"/>
  <c r="X257" i="23"/>
  <c r="Z257" i="23"/>
  <c r="Y257" i="23"/>
  <c r="Z78" i="23"/>
  <c r="Y78" i="23"/>
  <c r="Q18" i="23"/>
  <c r="Y386" i="23"/>
  <c r="X386" i="23"/>
  <c r="Z386" i="23"/>
  <c r="Z312" i="23"/>
  <c r="Y312" i="23"/>
  <c r="X312" i="23"/>
  <c r="X197" i="23"/>
  <c r="Z197" i="23"/>
  <c r="Y197" i="23"/>
  <c r="X348" i="23"/>
  <c r="Z348" i="23"/>
  <c r="Y348" i="23"/>
  <c r="Z191" i="23"/>
  <c r="Y191" i="23"/>
  <c r="X191" i="23"/>
  <c r="W476" i="23"/>
  <c r="Y438" i="23"/>
  <c r="X438" i="23"/>
  <c r="Z438" i="23"/>
  <c r="Z336" i="23"/>
  <c r="Y336" i="23"/>
  <c r="X336" i="23"/>
  <c r="X276" i="23"/>
  <c r="Z276" i="23"/>
  <c r="Y276" i="23"/>
  <c r="Z26" i="23"/>
  <c r="Y26" i="23"/>
  <c r="Z70" i="23"/>
  <c r="Y70" i="23"/>
  <c r="X26" i="23"/>
  <c r="Z2683" i="24"/>
  <c r="Y2683" i="24"/>
  <c r="X2628" i="24"/>
  <c r="Y2628" i="24"/>
  <c r="Z2628" i="24"/>
  <c r="Y2629" i="24"/>
  <c r="Z2629" i="24"/>
  <c r="X2629" i="24"/>
  <c r="Z2647" i="24"/>
  <c r="Y2647" i="24"/>
  <c r="Z2684" i="24"/>
  <c r="Y2684" i="24"/>
  <c r="Z2616" i="24"/>
  <c r="Y2616" i="24"/>
  <c r="X2616" i="24"/>
  <c r="Z2571" i="24"/>
  <c r="X2571" i="24"/>
  <c r="Y2571" i="24"/>
  <c r="Z2590" i="24"/>
  <c r="Y2590" i="24"/>
  <c r="X2590" i="24"/>
  <c r="Y2557" i="24"/>
  <c r="X2557" i="24"/>
  <c r="Z2557" i="24"/>
  <c r="X2605" i="24"/>
  <c r="Z2605" i="24"/>
  <c r="Y2605" i="24"/>
  <c r="X2499" i="24"/>
  <c r="Z2499" i="24"/>
  <c r="Y2499" i="24"/>
  <c r="Z2518" i="24"/>
  <c r="Y2518" i="24"/>
  <c r="X2518" i="24"/>
  <c r="Z2500" i="24"/>
  <c r="Y2500" i="24"/>
  <c r="X2500" i="24"/>
  <c r="Z2506" i="24"/>
  <c r="X2506" i="24"/>
  <c r="Y2506" i="24"/>
  <c r="Z2326" i="24"/>
  <c r="Y2326" i="24"/>
  <c r="X2326" i="24"/>
  <c r="Z2440" i="24"/>
  <c r="Y2440" i="24"/>
  <c r="X2440" i="24"/>
  <c r="Z2406" i="24"/>
  <c r="Y2406" i="24"/>
  <c r="X2406" i="24"/>
  <c r="W2472" i="24"/>
  <c r="W2471" i="24"/>
  <c r="Z2468" i="24"/>
  <c r="W2470" i="24"/>
  <c r="W2469" i="24"/>
  <c r="Y2468" i="24"/>
  <c r="W2473" i="24"/>
  <c r="Z2419" i="24"/>
  <c r="Y2419" i="24"/>
  <c r="X2419" i="24"/>
  <c r="Z2349" i="24"/>
  <c r="Y2349" i="24"/>
  <c r="X2349" i="24"/>
  <c r="Z2478" i="24"/>
  <c r="Y2478" i="24"/>
  <c r="X2478" i="24"/>
  <c r="Z2447" i="24"/>
  <c r="Y2447" i="24"/>
  <c r="X2447" i="24"/>
  <c r="Y2333" i="24"/>
  <c r="X2333" i="24"/>
  <c r="Z2333" i="24"/>
  <c r="Z2364" i="24"/>
  <c r="Y2364" i="24"/>
  <c r="X2364" i="24"/>
  <c r="X2336" i="24"/>
  <c r="Z2494" i="24"/>
  <c r="Y2494" i="24"/>
  <c r="X2494" i="24"/>
  <c r="Y2375" i="24"/>
  <c r="X2375" i="24"/>
  <c r="Z2375" i="24"/>
  <c r="Y2359" i="24"/>
  <c r="X2359" i="24"/>
  <c r="Z2359" i="24"/>
  <c r="Z2429" i="24"/>
  <c r="Y2429" i="24"/>
  <c r="X2429" i="24"/>
  <c r="X2207" i="24"/>
  <c r="Z2207" i="24"/>
  <c r="Y2207" i="24"/>
  <c r="W2321" i="24"/>
  <c r="X2257" i="24"/>
  <c r="Z2257" i="24"/>
  <c r="Y2257" i="24"/>
  <c r="Z2226" i="24"/>
  <c r="Y2226" i="24"/>
  <c r="X2226" i="24"/>
  <c r="Z2077" i="24"/>
  <c r="W2079" i="24"/>
  <c r="W2080" i="24"/>
  <c r="Y2077" i="24"/>
  <c r="W2078" i="24"/>
  <c r="W2215" i="24"/>
  <c r="W2214" i="24"/>
  <c r="W2211" i="24"/>
  <c r="Z2210" i="24"/>
  <c r="Y2210" i="24"/>
  <c r="W2213" i="24"/>
  <c r="W2212" i="24"/>
  <c r="X2177" i="24"/>
  <c r="Y2177" i="24"/>
  <c r="Z2177" i="24"/>
  <c r="W2028" i="24"/>
  <c r="W2027" i="24"/>
  <c r="W2026" i="24"/>
  <c r="Z2025" i="24"/>
  <c r="Y2025" i="24"/>
  <c r="X2266" i="24"/>
  <c r="Z2266" i="24"/>
  <c r="Y2266" i="24"/>
  <c r="Y2000" i="24"/>
  <c r="X2000" i="24"/>
  <c r="Z2000" i="24"/>
  <c r="Z2092" i="24"/>
  <c r="X2092" i="24"/>
  <c r="Y2092" i="24"/>
  <c r="Y2035" i="24"/>
  <c r="Z2035" i="24"/>
  <c r="X2035" i="24"/>
  <c r="X1975" i="24"/>
  <c r="Z1975" i="24"/>
  <c r="Y1975" i="24"/>
  <c r="Z2165" i="24"/>
  <c r="Y2165" i="24"/>
  <c r="X2165" i="24"/>
  <c r="Z1958" i="24"/>
  <c r="X1958" i="24"/>
  <c r="Y1958" i="24"/>
  <c r="X1985" i="24"/>
  <c r="X2191" i="24"/>
  <c r="Z2191" i="24"/>
  <c r="Y2191" i="24"/>
  <c r="Z1943" i="24"/>
  <c r="Y1943" i="24"/>
  <c r="X1943" i="24"/>
  <c r="Z1964" i="24"/>
  <c r="Y1964" i="24"/>
  <c r="X1964" i="24"/>
  <c r="Z1829" i="24"/>
  <c r="Y1829" i="24"/>
  <c r="Z1854" i="24"/>
  <c r="Y1854" i="24"/>
  <c r="X1854" i="24"/>
  <c r="X1929" i="24"/>
  <c r="W1930" i="24"/>
  <c r="Z1929" i="24"/>
  <c r="W1932" i="24"/>
  <c r="W1931" i="24"/>
  <c r="Y1929" i="24"/>
  <c r="Z2172" i="24"/>
  <c r="Y2172" i="24"/>
  <c r="X2172" i="24"/>
  <c r="X2106" i="24"/>
  <c r="Z2106" i="24"/>
  <c r="Y2106" i="24"/>
  <c r="Y1893" i="24"/>
  <c r="Z1893" i="24"/>
  <c r="X1893" i="24"/>
  <c r="Z1783" i="24"/>
  <c r="Y1783" i="24"/>
  <c r="Z1857" i="24"/>
  <c r="Y1857" i="24"/>
  <c r="X1857" i="24"/>
  <c r="Z1788" i="24"/>
  <c r="Y1788" i="24"/>
  <c r="Z1773" i="24"/>
  <c r="Y1773" i="24"/>
  <c r="Z1807" i="24"/>
  <c r="X1807" i="24"/>
  <c r="Y1807" i="24"/>
  <c r="W1897" i="24"/>
  <c r="Z1896" i="24"/>
  <c r="Y1896" i="24"/>
  <c r="X1896" i="24"/>
  <c r="W1899" i="24"/>
  <c r="W1898" i="24"/>
  <c r="V1785" i="24"/>
  <c r="V2716" i="24" s="1"/>
  <c r="Z1835" i="24"/>
  <c r="Y1835" i="24"/>
  <c r="X1835" i="24"/>
  <c r="W1726" i="24"/>
  <c r="W1725" i="24"/>
  <c r="W1724" i="24"/>
  <c r="Z1723" i="24"/>
  <c r="Y1723" i="24"/>
  <c r="X1978" i="24"/>
  <c r="Z1978" i="24"/>
  <c r="Y1978" i="24"/>
  <c r="Y1821" i="24"/>
  <c r="X1821" i="24"/>
  <c r="Z1821" i="24"/>
  <c r="Y1617" i="24"/>
  <c r="Z1617" i="24"/>
  <c r="X1535" i="24"/>
  <c r="X1553" i="24"/>
  <c r="X1545" i="24"/>
  <c r="W1718" i="24"/>
  <c r="W1717" i="24"/>
  <c r="Z1715" i="24"/>
  <c r="W1716" i="24"/>
  <c r="Y1715" i="24"/>
  <c r="Y1671" i="24"/>
  <c r="Z1671" i="24"/>
  <c r="X1713" i="24"/>
  <c r="Z1713" i="24"/>
  <c r="Y1713" i="24"/>
  <c r="Z1495" i="24"/>
  <c r="Y1495" i="24"/>
  <c r="Z1459" i="24"/>
  <c r="Y1459" i="24"/>
  <c r="Y1438" i="24"/>
  <c r="Z1438" i="24"/>
  <c r="Z1316" i="24"/>
  <c r="Y1316" i="24"/>
  <c r="Z1366" i="24"/>
  <c r="Y1366" i="24"/>
  <c r="X1366" i="24"/>
  <c r="Z1478" i="24"/>
  <c r="Y1478" i="24"/>
  <c r="Z1302" i="24"/>
  <c r="Y1302" i="24"/>
  <c r="Z1507" i="24"/>
  <c r="Y1507" i="24"/>
  <c r="X1470" i="24"/>
  <c r="Z1461" i="24"/>
  <c r="Y1461" i="24"/>
  <c r="Z1344" i="24"/>
  <c r="Y1344" i="24"/>
  <c r="Z1392" i="24"/>
  <c r="Y1392" i="24"/>
  <c r="Z1360" i="24"/>
  <c r="Y1360" i="24"/>
  <c r="Z1357" i="24"/>
  <c r="Y1357" i="24"/>
  <c r="Z1256" i="24"/>
  <c r="Y1256" i="24"/>
  <c r="Z1377" i="24"/>
  <c r="Y1377" i="24"/>
  <c r="Z1397" i="24"/>
  <c r="Y1397" i="24"/>
  <c r="X1616" i="24"/>
  <c r="X1376" i="24"/>
  <c r="Z1403" i="24"/>
  <c r="Y1403" i="24"/>
  <c r="Z1235" i="24"/>
  <c r="Y1235" i="24"/>
  <c r="Z1138" i="24"/>
  <c r="Y1138" i="24"/>
  <c r="Z1220" i="24"/>
  <c r="Y1220" i="24"/>
  <c r="Z1204" i="24"/>
  <c r="Y1204" i="24"/>
  <c r="Z1188" i="24"/>
  <c r="Y1188" i="24"/>
  <c r="Z1172" i="24"/>
  <c r="Y1172" i="24"/>
  <c r="Z1156" i="24"/>
  <c r="Y1156" i="24"/>
  <c r="Y1077" i="24"/>
  <c r="Z1077" i="24"/>
  <c r="Y1045" i="24"/>
  <c r="Z1045" i="24"/>
  <c r="Y1013" i="24"/>
  <c r="Z1013" i="24"/>
  <c r="Y981" i="24"/>
  <c r="Z981" i="24"/>
  <c r="X1220" i="24"/>
  <c r="X1204" i="24"/>
  <c r="X1188" i="24"/>
  <c r="X1172" i="24"/>
  <c r="X1156" i="24"/>
  <c r="Z1114" i="24"/>
  <c r="Y1114" i="24"/>
  <c r="Z1041" i="24"/>
  <c r="Y1041" i="24"/>
  <c r="X981" i="24"/>
  <c r="Z1012" i="24"/>
  <c r="Y1012" i="24"/>
  <c r="X977" i="24"/>
  <c r="S643" i="24"/>
  <c r="U643" i="24" s="1"/>
  <c r="P643" i="24"/>
  <c r="Y822" i="24"/>
  <c r="X822" i="24"/>
  <c r="Z822" i="24"/>
  <c r="Z835" i="24"/>
  <c r="Y835" i="24"/>
  <c r="X835" i="24"/>
  <c r="Z693" i="24"/>
  <c r="Y693" i="24"/>
  <c r="X693" i="24"/>
  <c r="Z561" i="24"/>
  <c r="Y561" i="24"/>
  <c r="S436" i="24"/>
  <c r="U436" i="24" s="1"/>
  <c r="Y436" i="24" s="1"/>
  <c r="P436" i="24"/>
  <c r="W343" i="24"/>
  <c r="W345" i="24"/>
  <c r="W346" i="24"/>
  <c r="W344" i="24"/>
  <c r="Z341" i="24"/>
  <c r="Y341" i="24"/>
  <c r="W342" i="24"/>
  <c r="Z696" i="24"/>
  <c r="Y696" i="24"/>
  <c r="X696" i="24"/>
  <c r="Z501" i="24"/>
  <c r="Y501" i="24"/>
  <c r="S697" i="24"/>
  <c r="U697" i="24" s="1"/>
  <c r="Y697" i="24" s="1"/>
  <c r="P697" i="24"/>
  <c r="Z622" i="24"/>
  <c r="Y622" i="24"/>
  <c r="W535" i="24"/>
  <c r="W533" i="24"/>
  <c r="W534" i="24"/>
  <c r="Z532" i="24"/>
  <c r="Y532" i="24"/>
  <c r="Z450" i="24"/>
  <c r="Y450" i="24"/>
  <c r="X450" i="24"/>
  <c r="Z375" i="24"/>
  <c r="Y375" i="24"/>
  <c r="X375" i="24"/>
  <c r="Y312" i="24"/>
  <c r="X312" i="24"/>
  <c r="Z312" i="24"/>
  <c r="Z449" i="24"/>
  <c r="Y449" i="24"/>
  <c r="X449" i="24"/>
  <c r="X489" i="24"/>
  <c r="Z464" i="24"/>
  <c r="Y464" i="24"/>
  <c r="Y263" i="24"/>
  <c r="X263" i="24"/>
  <c r="Z263" i="24"/>
  <c r="Z675" i="24"/>
  <c r="Y675" i="24"/>
  <c r="X675" i="24"/>
  <c r="X527" i="24"/>
  <c r="S412" i="24"/>
  <c r="U412" i="24" s="1"/>
  <c r="P412" i="24"/>
  <c r="Y294" i="24"/>
  <c r="X294" i="24"/>
  <c r="Z294" i="24"/>
  <c r="X832" i="24"/>
  <c r="X472" i="24"/>
  <c r="Z297" i="24"/>
  <c r="Y297" i="24"/>
  <c r="X297" i="24"/>
  <c r="X329" i="24"/>
  <c r="W807" i="24"/>
  <c r="X280" i="24"/>
  <c r="Z280" i="24"/>
  <c r="Y280" i="24"/>
  <c r="Z132" i="24"/>
  <c r="Y132" i="24"/>
  <c r="X48" i="24"/>
  <c r="Z172" i="24"/>
  <c r="Y172" i="24"/>
  <c r="X172" i="24"/>
  <c r="Z192" i="24"/>
  <c r="Y192" i="24"/>
  <c r="X192" i="24"/>
  <c r="Z162" i="24"/>
  <c r="Y162" i="24"/>
  <c r="X162" i="24"/>
  <c r="W300" i="24"/>
  <c r="Z299" i="24"/>
  <c r="W301" i="24"/>
  <c r="Y299" i="24"/>
  <c r="X299" i="24"/>
  <c r="Z76" i="24"/>
  <c r="Y76" i="24"/>
  <c r="Z39" i="24"/>
  <c r="Y39" i="24"/>
  <c r="W157" i="24"/>
  <c r="Z156" i="24"/>
  <c r="Y156" i="24"/>
  <c r="W158" i="24"/>
  <c r="Z80" i="24"/>
  <c r="Y80" i="24"/>
  <c r="X29" i="24"/>
  <c r="Z433" i="24"/>
  <c r="Y433" i="24"/>
  <c r="X433" i="24"/>
  <c r="Z204" i="24"/>
  <c r="Y204" i="24"/>
  <c r="Z78" i="24"/>
  <c r="Y78" i="24"/>
  <c r="Z257" i="24"/>
  <c r="Y257" i="24"/>
  <c r="X257" i="24"/>
  <c r="J2624" i="23"/>
  <c r="U234" i="24"/>
  <c r="Z103" i="24"/>
  <c r="Y103" i="24"/>
  <c r="X317" i="24"/>
  <c r="X272" i="24"/>
  <c r="Z272" i="24"/>
  <c r="Y272" i="24"/>
  <c r="Z124" i="24"/>
  <c r="Y124" i="24"/>
  <c r="X124" i="24"/>
  <c r="Z41" i="24"/>
  <c r="Y41" i="24"/>
  <c r="Z2648" i="23"/>
  <c r="Y2648" i="23"/>
  <c r="Y2620" i="23"/>
  <c r="X2620" i="23"/>
  <c r="Z2620" i="23"/>
  <c r="W2604" i="23"/>
  <c r="Z2600" i="23"/>
  <c r="W2602" i="23"/>
  <c r="Y2600" i="23"/>
  <c r="W2605" i="23"/>
  <c r="W2603" i="23"/>
  <c r="W2601" i="23"/>
  <c r="W2580" i="23"/>
  <c r="Z2576" i="23"/>
  <c r="W2578" i="23"/>
  <c r="Y2576" i="23"/>
  <c r="W2581" i="23"/>
  <c r="W2579" i="23"/>
  <c r="W2577" i="23"/>
  <c r="Z2529" i="23"/>
  <c r="Y2529" i="23"/>
  <c r="X2529" i="23"/>
  <c r="Z2478" i="23"/>
  <c r="X2478" i="23"/>
  <c r="Y2478" i="23"/>
  <c r="Z2532" i="23"/>
  <c r="Y2532" i="23"/>
  <c r="X2532" i="23"/>
  <c r="Z2696" i="23"/>
  <c r="Y2696" i="23"/>
  <c r="J2594" i="23"/>
  <c r="J2570" i="23"/>
  <c r="Z2299" i="23"/>
  <c r="Y2299" i="23"/>
  <c r="X2299" i="23"/>
  <c r="Z2704" i="23"/>
  <c r="Y2704" i="23"/>
  <c r="Z2567" i="23"/>
  <c r="Y2567" i="23"/>
  <c r="X2567" i="23"/>
  <c r="Z2524" i="23"/>
  <c r="Y2524" i="23"/>
  <c r="X2524" i="23"/>
  <c r="Z2493" i="23"/>
  <c r="X2493" i="23"/>
  <c r="Y2493" i="23"/>
  <c r="Z2550" i="23"/>
  <c r="Y2550" i="23"/>
  <c r="X2550" i="23"/>
  <c r="W2433" i="23"/>
  <c r="W2328" i="23"/>
  <c r="Z2473" i="23"/>
  <c r="X2473" i="23"/>
  <c r="Y2473" i="23"/>
  <c r="X2416" i="23"/>
  <c r="Z2416" i="23"/>
  <c r="Y2416" i="23"/>
  <c r="Z2388" i="23"/>
  <c r="X2388" i="23"/>
  <c r="Y2388" i="23"/>
  <c r="Z2421" i="23"/>
  <c r="X2421" i="23"/>
  <c r="Y2421" i="23"/>
  <c r="Z2349" i="23"/>
  <c r="X2349" i="23"/>
  <c r="Y2349" i="23"/>
  <c r="W2278" i="23"/>
  <c r="Z1944" i="23"/>
  <c r="Y1944" i="23"/>
  <c r="X1944" i="23"/>
  <c r="W2412" i="23"/>
  <c r="Z2377" i="23"/>
  <c r="X2377" i="23"/>
  <c r="Y2377" i="23"/>
  <c r="Z2463" i="23"/>
  <c r="X2463" i="23"/>
  <c r="Y2463" i="23"/>
  <c r="Z2459" i="23"/>
  <c r="X2459" i="23"/>
  <c r="Y2459" i="23"/>
  <c r="W2305" i="23"/>
  <c r="W2132" i="23"/>
  <c r="W2129" i="23"/>
  <c r="Z2128" i="23"/>
  <c r="Y2128" i="23"/>
  <c r="W2131" i="23"/>
  <c r="W2130" i="23"/>
  <c r="Z2023" i="23"/>
  <c r="Y2023" i="23"/>
  <c r="X2023" i="23"/>
  <c r="Z1879" i="23"/>
  <c r="X1879" i="23"/>
  <c r="Y1879" i="23"/>
  <c r="X2455" i="23"/>
  <c r="Z2455" i="23"/>
  <c r="Y2455" i="23"/>
  <c r="X2392" i="23"/>
  <c r="Z2392" i="23"/>
  <c r="Y2392" i="23"/>
  <c r="X2365" i="23"/>
  <c r="Z2365" i="23"/>
  <c r="Y2365" i="23"/>
  <c r="Z2274" i="23"/>
  <c r="Y2274" i="23"/>
  <c r="X2274" i="23"/>
  <c r="W2091" i="23"/>
  <c r="W2090" i="23"/>
  <c r="Z2089" i="23"/>
  <c r="Y2089" i="23"/>
  <c r="W2092" i="23"/>
  <c r="Z1954" i="23"/>
  <c r="Y1954" i="23"/>
  <c r="X1954" i="23"/>
  <c r="X2207" i="23"/>
  <c r="Z2207" i="23"/>
  <c r="Y2207" i="23"/>
  <c r="Z2202" i="23"/>
  <c r="Y2202" i="23"/>
  <c r="X2202" i="23"/>
  <c r="Z2151" i="23"/>
  <c r="Y2151" i="23"/>
  <c r="X2151" i="23"/>
  <c r="W2027" i="23"/>
  <c r="Y1905" i="23"/>
  <c r="X1905" i="23"/>
  <c r="Z1905" i="23"/>
  <c r="Z2219" i="23"/>
  <c r="Y2219" i="23"/>
  <c r="X2219" i="23"/>
  <c r="W2196" i="23"/>
  <c r="W2011" i="23"/>
  <c r="Z1939" i="23"/>
  <c r="Y1939" i="23"/>
  <c r="X1939" i="23"/>
  <c r="Z1869" i="23"/>
  <c r="Y1869" i="23"/>
  <c r="X1869" i="23"/>
  <c r="Y1822" i="23"/>
  <c r="X1822" i="23"/>
  <c r="Z1822" i="23"/>
  <c r="Z2238" i="23"/>
  <c r="X2238" i="23"/>
  <c r="Y2238" i="23"/>
  <c r="Z2157" i="23"/>
  <c r="Y2157" i="23"/>
  <c r="X2157" i="23"/>
  <c r="X2004" i="23"/>
  <c r="Z2004" i="23"/>
  <c r="Y2004" i="23"/>
  <c r="X1809" i="23"/>
  <c r="Z1809" i="23"/>
  <c r="Y1809" i="23"/>
  <c r="W2227" i="23"/>
  <c r="W2225" i="23"/>
  <c r="W2223" i="23"/>
  <c r="Z2222" i="23"/>
  <c r="Y2222" i="23"/>
  <c r="W2226" i="23"/>
  <c r="W2224" i="23"/>
  <c r="Z2137" i="23"/>
  <c r="Y2137" i="23"/>
  <c r="X2137" i="23"/>
  <c r="X2101" i="23"/>
  <c r="Y1967" i="23"/>
  <c r="X1967" i="23"/>
  <c r="Z1967" i="23"/>
  <c r="Z1923" i="23"/>
  <c r="Y1923" i="23"/>
  <c r="X1923" i="23"/>
  <c r="Z1901" i="23"/>
  <c r="Y1901" i="23"/>
  <c r="X1901" i="23"/>
  <c r="W2171" i="23"/>
  <c r="W2127" i="23"/>
  <c r="W2124" i="23"/>
  <c r="Z2123" i="23"/>
  <c r="Y2123" i="23"/>
  <c r="W2126" i="23"/>
  <c r="X2123" i="23"/>
  <c r="W2125" i="23"/>
  <c r="Z1788" i="23"/>
  <c r="Y1788" i="23"/>
  <c r="Z1772" i="23"/>
  <c r="Y1772" i="23"/>
  <c r="X1772" i="23"/>
  <c r="Z2111" i="23"/>
  <c r="Y2111" i="23"/>
  <c r="X2111" i="23"/>
  <c r="Z2082" i="23"/>
  <c r="Y2082" i="23"/>
  <c r="X2082" i="23"/>
  <c r="Y2079" i="23"/>
  <c r="X2079" i="23"/>
  <c r="Z2079" i="23"/>
  <c r="X1853" i="23"/>
  <c r="W2261" i="23"/>
  <c r="Z2117" i="23"/>
  <c r="Y2117" i="23"/>
  <c r="X2117" i="23"/>
  <c r="X1974" i="23"/>
  <c r="Z1974" i="23"/>
  <c r="Y1974" i="23"/>
  <c r="Y1826" i="23"/>
  <c r="X1826" i="23"/>
  <c r="Z1826" i="23"/>
  <c r="Z1733" i="23"/>
  <c r="Y1733" i="23"/>
  <c r="X1733" i="23"/>
  <c r="Q1690" i="23"/>
  <c r="Z1659" i="23"/>
  <c r="Y1659" i="23"/>
  <c r="X1659" i="23"/>
  <c r="Z1741" i="23"/>
  <c r="Y1741" i="23"/>
  <c r="Z1725" i="23"/>
  <c r="Y1725" i="23"/>
  <c r="X1725" i="23"/>
  <c r="Z1559" i="23"/>
  <c r="Y1559" i="23"/>
  <c r="Z1545" i="23"/>
  <c r="Y1545" i="23"/>
  <c r="Z1513" i="23"/>
  <c r="Y1513" i="23"/>
  <c r="Z1481" i="23"/>
  <c r="Y1481" i="23"/>
  <c r="Z1449" i="23"/>
  <c r="Y1449" i="23"/>
  <c r="X1555" i="23"/>
  <c r="X1553" i="23"/>
  <c r="Z1419" i="23"/>
  <c r="Y1419" i="23"/>
  <c r="X1336" i="23"/>
  <c r="Z1291" i="23"/>
  <c r="Y1291" i="23"/>
  <c r="Z1214" i="23"/>
  <c r="Y1214" i="23"/>
  <c r="Z1182" i="23"/>
  <c r="Y1182" i="23"/>
  <c r="Z1150" i="23"/>
  <c r="Y1150" i="23"/>
  <c r="Z1120" i="23"/>
  <c r="Y1120" i="23"/>
  <c r="X1120" i="23"/>
  <c r="Z1126" i="23"/>
  <c r="Y1126" i="23"/>
  <c r="Z1094" i="23"/>
  <c r="Y1094" i="23"/>
  <c r="Z1062" i="23"/>
  <c r="Y1062" i="23"/>
  <c r="Z958" i="23"/>
  <c r="Y958" i="23"/>
  <c r="X958" i="23"/>
  <c r="X1428" i="23"/>
  <c r="X1396" i="23"/>
  <c r="X1364" i="23"/>
  <c r="X1332" i="23"/>
  <c r="X1300" i="23"/>
  <c r="X1268" i="23"/>
  <c r="X1236" i="23"/>
  <c r="Z1186" i="23"/>
  <c r="Y1186" i="23"/>
  <c r="X990" i="23"/>
  <c r="Z1397" i="23"/>
  <c r="Y1397" i="23"/>
  <c r="Z1269" i="23"/>
  <c r="Y1269" i="23"/>
  <c r="Z1101" i="23"/>
  <c r="Y1101" i="23"/>
  <c r="Z952" i="23"/>
  <c r="Y952" i="23"/>
  <c r="X1408" i="23"/>
  <c r="Z1363" i="23"/>
  <c r="Y1363" i="23"/>
  <c r="X1280" i="23"/>
  <c r="Z1235" i="23"/>
  <c r="Y1235" i="23"/>
  <c r="Z1203" i="23"/>
  <c r="Y1203" i="23"/>
  <c r="Z1171" i="23"/>
  <c r="Y1171" i="23"/>
  <c r="Z1139" i="23"/>
  <c r="Y1139" i="23"/>
  <c r="X968" i="23"/>
  <c r="X1180" i="23"/>
  <c r="Z1066" i="23"/>
  <c r="Y1066" i="23"/>
  <c r="X1066" i="23"/>
  <c r="Z1034" i="23"/>
  <c r="Y1034" i="23"/>
  <c r="X1034" i="23"/>
  <c r="Z691" i="23"/>
  <c r="Y691" i="23"/>
  <c r="X691" i="23"/>
  <c r="X1561" i="23"/>
  <c r="X1222" i="23"/>
  <c r="Z1162" i="23"/>
  <c r="Y1162" i="23"/>
  <c r="Z951" i="23"/>
  <c r="Y951" i="23"/>
  <c r="X951" i="23"/>
  <c r="Z1437" i="23"/>
  <c r="Y1437" i="23"/>
  <c r="X1354" i="23"/>
  <c r="Z1309" i="23"/>
  <c r="Y1309" i="23"/>
  <c r="X1200" i="23"/>
  <c r="X1136" i="23"/>
  <c r="Z1109" i="23"/>
  <c r="Y1109" i="23"/>
  <c r="Z956" i="23"/>
  <c r="Y956" i="23"/>
  <c r="Z924" i="23"/>
  <c r="Y924" i="23"/>
  <c r="Z903" i="23"/>
  <c r="Y903" i="23"/>
  <c r="Z895" i="23"/>
  <c r="Y895" i="23"/>
  <c r="Z887" i="23"/>
  <c r="Y887" i="23"/>
  <c r="Z879" i="23"/>
  <c r="Y879" i="23"/>
  <c r="Z871" i="23"/>
  <c r="Y871" i="23"/>
  <c r="Z863" i="23"/>
  <c r="Y863" i="23"/>
  <c r="Z855" i="23"/>
  <c r="Y855" i="23"/>
  <c r="Z847" i="23"/>
  <c r="Y847" i="23"/>
  <c r="W700" i="23"/>
  <c r="W702" i="23"/>
  <c r="W703" i="23"/>
  <c r="W699" i="23"/>
  <c r="Z698" i="23"/>
  <c r="W701" i="23"/>
  <c r="Y698" i="23"/>
  <c r="U634" i="23"/>
  <c r="X634" i="23" s="1"/>
  <c r="Z570" i="23"/>
  <c r="Y570" i="23"/>
  <c r="X1128" i="23"/>
  <c r="Y705" i="23"/>
  <c r="X705" i="23"/>
  <c r="Z705" i="23"/>
  <c r="Z616" i="23"/>
  <c r="Y616" i="23"/>
  <c r="X616" i="23"/>
  <c r="X556" i="23"/>
  <c r="X1110" i="23"/>
  <c r="X956" i="23"/>
  <c r="X897" i="23"/>
  <c r="X881" i="23"/>
  <c r="X865" i="23"/>
  <c r="X849" i="23"/>
  <c r="Z770" i="23"/>
  <c r="Y770" i="23"/>
  <c r="X770" i="23"/>
  <c r="Z632" i="23"/>
  <c r="Y632" i="23"/>
  <c r="X632" i="23"/>
  <c r="X1044" i="23"/>
  <c r="W681" i="23"/>
  <c r="X988" i="23"/>
  <c r="X636" i="23"/>
  <c r="Z125" i="23"/>
  <c r="Y125" i="23"/>
  <c r="X125" i="23"/>
  <c r="Y531" i="23"/>
  <c r="X531" i="23"/>
  <c r="Z531" i="23"/>
  <c r="X994" i="23"/>
  <c r="X940" i="23"/>
  <c r="U274" i="23"/>
  <c r="X274" i="23" s="1"/>
  <c r="X462" i="23"/>
  <c r="W404" i="23"/>
  <c r="W403" i="23"/>
  <c r="W405" i="23"/>
  <c r="W402" i="23"/>
  <c r="Z401" i="23"/>
  <c r="Y401" i="23"/>
  <c r="W406" i="23"/>
  <c r="W345" i="23"/>
  <c r="W346" i="23"/>
  <c r="W342" i="23"/>
  <c r="Z341" i="23"/>
  <c r="W344" i="23"/>
  <c r="Y341" i="23"/>
  <c r="W343" i="23"/>
  <c r="Z180" i="23"/>
  <c r="Y180" i="23"/>
  <c r="X180" i="23"/>
  <c r="Z784" i="23"/>
  <c r="Y784" i="23"/>
  <c r="X784" i="23"/>
  <c r="Z582" i="23"/>
  <c r="Y582" i="23"/>
  <c r="W373" i="23"/>
  <c r="W375" i="23"/>
  <c r="W376" i="23"/>
  <c r="W372" i="23"/>
  <c r="Z371" i="23"/>
  <c r="Y371" i="23"/>
  <c r="W374" i="23"/>
  <c r="U340" i="23"/>
  <c r="Y340" i="23" s="1"/>
  <c r="U304" i="23"/>
  <c r="Z318" i="23"/>
  <c r="Y318" i="23"/>
  <c r="X318" i="23"/>
  <c r="Z211" i="23"/>
  <c r="Y211" i="23"/>
  <c r="W172" i="23"/>
  <c r="Z171" i="23"/>
  <c r="Y171" i="23"/>
  <c r="W173" i="23"/>
  <c r="Q116" i="23"/>
  <c r="W116" i="23" s="1"/>
  <c r="X323" i="23"/>
  <c r="X211" i="23"/>
  <c r="Z427" i="23"/>
  <c r="Y427" i="23"/>
  <c r="X427" i="23"/>
  <c r="Z316" i="23"/>
  <c r="Y316" i="23"/>
  <c r="X316" i="23"/>
  <c r="W303" i="23"/>
  <c r="Z302" i="23"/>
  <c r="W304" i="23"/>
  <c r="Y302" i="23"/>
  <c r="Y132" i="23"/>
  <c r="Z132" i="23"/>
  <c r="X371" i="23"/>
  <c r="Z352" i="23"/>
  <c r="Y352" i="23"/>
  <c r="X458" i="23"/>
  <c r="Z288" i="23"/>
  <c r="Y288" i="23"/>
  <c r="X288" i="23"/>
  <c r="Z155" i="23"/>
  <c r="Y155" i="23"/>
  <c r="X155" i="23"/>
  <c r="W356" i="23"/>
  <c r="W261" i="23"/>
  <c r="Z230" i="23"/>
  <c r="Y230" i="23"/>
  <c r="X265" i="23"/>
  <c r="Z2390" i="22"/>
  <c r="W2391" i="22"/>
  <c r="W2392" i="22"/>
  <c r="W2394" i="22"/>
  <c r="W2393" i="22"/>
  <c r="Y2390" i="22"/>
  <c r="W2395" i="22"/>
  <c r="X2390" i="22"/>
  <c r="W1960" i="22"/>
  <c r="W1959" i="22"/>
  <c r="Z1957" i="22"/>
  <c r="W1958" i="22"/>
  <c r="Y1957" i="22"/>
  <c r="X1957" i="22"/>
  <c r="W1887" i="22"/>
  <c r="W1886" i="22"/>
  <c r="W1885" i="22"/>
  <c r="Z1884" i="22"/>
  <c r="Y1884" i="22"/>
  <c r="Z1589" i="22"/>
  <c r="Y1589" i="22"/>
  <c r="Z1524" i="22"/>
  <c r="Y1524" i="22"/>
  <c r="X1524" i="22"/>
  <c r="Z1391" i="22"/>
  <c r="Y1391" i="22"/>
  <c r="Z1334" i="22"/>
  <c r="Y1334" i="22"/>
  <c r="X1334" i="22"/>
  <c r="Z1266" i="22"/>
  <c r="Y1266" i="22"/>
  <c r="Z1234" i="22"/>
  <c r="Y1234" i="22"/>
  <c r="Z1240" i="22"/>
  <c r="Y1240" i="22"/>
  <c r="Z1208" i="22"/>
  <c r="Y1208" i="22"/>
  <c r="Z1115" i="22"/>
  <c r="Y1115" i="22"/>
  <c r="Z1093" i="22"/>
  <c r="Y1093" i="22"/>
  <c r="Z945" i="22"/>
  <c r="Y945" i="22"/>
  <c r="Z721" i="22"/>
  <c r="Y721" i="22"/>
  <c r="X721" i="22"/>
  <c r="Z640" i="22"/>
  <c r="Y640" i="22"/>
  <c r="X640" i="22"/>
  <c r="Z95" i="22"/>
  <c r="Y95" i="22"/>
  <c r="X95" i="22"/>
  <c r="Z2632" i="22"/>
  <c r="Y2632" i="22"/>
  <c r="X2632" i="22"/>
  <c r="Z2655" i="22"/>
  <c r="Y2655" i="22"/>
  <c r="Z2414" i="22"/>
  <c r="Y2414" i="22"/>
  <c r="W2417" i="22"/>
  <c r="W2419" i="22"/>
  <c r="W2416" i="22"/>
  <c r="W2418" i="22"/>
  <c r="W2415" i="22"/>
  <c r="X2414" i="22"/>
  <c r="Z1767" i="22"/>
  <c r="Y1767" i="22"/>
  <c r="X1767" i="22"/>
  <c r="W1752" i="22"/>
  <c r="W1871" i="22"/>
  <c r="W1870" i="22"/>
  <c r="W1869" i="22"/>
  <c r="Z1868" i="22"/>
  <c r="Y1868" i="22"/>
  <c r="Z1783" i="22"/>
  <c r="Y1783" i="22"/>
  <c r="X1783" i="22"/>
  <c r="Z1664" i="22"/>
  <c r="Y1664" i="22"/>
  <c r="X1664" i="22"/>
  <c r="Z1577" i="22"/>
  <c r="Y1577" i="22"/>
  <c r="Z1553" i="22"/>
  <c r="Y1553" i="22"/>
  <c r="Z1522" i="22"/>
  <c r="Y1522" i="22"/>
  <c r="X1522" i="22"/>
  <c r="Y1599" i="22"/>
  <c r="Z1599" i="22"/>
  <c r="Z1551" i="22"/>
  <c r="Y1551" i="22"/>
  <c r="Z1520" i="22"/>
  <c r="Y1520" i="22"/>
  <c r="X1520" i="22"/>
  <c r="Z1414" i="22"/>
  <c r="Y1414" i="22"/>
  <c r="X1414" i="22"/>
  <c r="Z1350" i="22"/>
  <c r="Y1350" i="22"/>
  <c r="Z1383" i="22"/>
  <c r="Y1383" i="22"/>
  <c r="Z1254" i="22"/>
  <c r="Y1254" i="22"/>
  <c r="Z1105" i="22"/>
  <c r="Y1105" i="22"/>
  <c r="Z1047" i="22"/>
  <c r="Y1047" i="22"/>
  <c r="X1047" i="22"/>
  <c r="Z929" i="22"/>
  <c r="Y929" i="22"/>
  <c r="Z897" i="22"/>
  <c r="Y897" i="22"/>
  <c r="Z833" i="22"/>
  <c r="Y833" i="22"/>
  <c r="Z728" i="22"/>
  <c r="Y728" i="22"/>
  <c r="X728" i="22"/>
  <c r="W709" i="22"/>
  <c r="W705" i="22"/>
  <c r="Z704" i="22"/>
  <c r="W708" i="22"/>
  <c r="Y704" i="22"/>
  <c r="W707" i="22"/>
  <c r="X704" i="22"/>
  <c r="W706" i="22"/>
  <c r="Z571" i="22"/>
  <c r="Y571" i="22"/>
  <c r="Z725" i="22"/>
  <c r="Y725" i="22"/>
  <c r="Z213" i="22"/>
  <c r="Y213" i="22"/>
  <c r="X91" i="22"/>
  <c r="Z91" i="22"/>
  <c r="Y91" i="22"/>
  <c r="Y1737" i="22"/>
  <c r="Z1737" i="22"/>
  <c r="Z1688" i="22"/>
  <c r="Y1688" i="22"/>
  <c r="Y1732" i="22"/>
  <c r="Z1732" i="22"/>
  <c r="Z1730" i="22"/>
  <c r="Y1730" i="22"/>
  <c r="Z1517" i="22"/>
  <c r="Y1517" i="22"/>
  <c r="X1517" i="22"/>
  <c r="Z1242" i="22"/>
  <c r="Y1242" i="22"/>
  <c r="Z1248" i="22"/>
  <c r="Y1248" i="22"/>
  <c r="Z1216" i="22"/>
  <c r="Y1216" i="22"/>
  <c r="Z1044" i="22"/>
  <c r="Y1044" i="22"/>
  <c r="X1044" i="22"/>
  <c r="Z718" i="22"/>
  <c r="Y718" i="22"/>
  <c r="Z187" i="22"/>
  <c r="Y187" i="22"/>
  <c r="Y2057" i="22"/>
  <c r="W2060" i="22"/>
  <c r="W2059" i="22"/>
  <c r="Z2057" i="22"/>
  <c r="W2058" i="22"/>
  <c r="Z1845" i="22"/>
  <c r="Y1845" i="22"/>
  <c r="Z1840" i="22"/>
  <c r="Y1840" i="22"/>
  <c r="X1840" i="22"/>
  <c r="Z1839" i="22"/>
  <c r="Y1839" i="22"/>
  <c r="X1839" i="22"/>
  <c r="Z1679" i="22"/>
  <c r="X1679" i="22"/>
  <c r="Y1679" i="22"/>
  <c r="Z1545" i="22"/>
  <c r="Y1545" i="22"/>
  <c r="Z1518" i="22"/>
  <c r="Y1518" i="22"/>
  <c r="X1518" i="22"/>
  <c r="Z1567" i="22"/>
  <c r="Y1567" i="22"/>
  <c r="Z1581" i="22"/>
  <c r="Y1581" i="22"/>
  <c r="Z1423" i="22"/>
  <c r="Y1423" i="22"/>
  <c r="Z1375" i="22"/>
  <c r="Y1375" i="22"/>
  <c r="Z1194" i="22"/>
  <c r="Y1194" i="22"/>
  <c r="Z1262" i="22"/>
  <c r="Y1262" i="22"/>
  <c r="Z1230" i="22"/>
  <c r="Y1230" i="22"/>
  <c r="Z1198" i="22"/>
  <c r="Y1198" i="22"/>
  <c r="Z1087" i="22"/>
  <c r="Y1087" i="22"/>
  <c r="Z839" i="22"/>
  <c r="Y839" i="22"/>
  <c r="Z801" i="22"/>
  <c r="Y801" i="22"/>
  <c r="X801" i="22"/>
  <c r="Z1067" i="22"/>
  <c r="Y1067" i="22"/>
  <c r="Z777" i="22"/>
  <c r="Y777" i="22"/>
  <c r="X777" i="22"/>
  <c r="Z749" i="22"/>
  <c r="Y749" i="22"/>
  <c r="X749" i="22"/>
  <c r="Z626" i="22"/>
  <c r="Y626" i="22"/>
  <c r="Z205" i="22"/>
  <c r="Y205" i="22"/>
  <c r="Z85" i="22"/>
  <c r="Y85" i="22"/>
  <c r="X85" i="22"/>
  <c r="Z2438" i="22"/>
  <c r="Y2438" i="22"/>
  <c r="W2441" i="22"/>
  <c r="W2443" i="22"/>
  <c r="W2440" i="22"/>
  <c r="W2442" i="22"/>
  <c r="W2439" i="22"/>
  <c r="W2090" i="22"/>
  <c r="Z2089" i="22"/>
  <c r="Y2089" i="22"/>
  <c r="X2089" i="22"/>
  <c r="W2092" i="22"/>
  <c r="W2091" i="22"/>
  <c r="W1968" i="22"/>
  <c r="W1967" i="22"/>
  <c r="Z1965" i="22"/>
  <c r="W1966" i="22"/>
  <c r="Y1965" i="22"/>
  <c r="X1965" i="22"/>
  <c r="W1903" i="22"/>
  <c r="W1902" i="22"/>
  <c r="W1901" i="22"/>
  <c r="Z1900" i="22"/>
  <c r="Y1900" i="22"/>
  <c r="Z1672" i="22"/>
  <c r="Y1672" i="22"/>
  <c r="X1672" i="22"/>
  <c r="Y1680" i="22"/>
  <c r="Z1680" i="22"/>
  <c r="X1680" i="22"/>
  <c r="Z1593" i="22"/>
  <c r="Y1593" i="22"/>
  <c r="Z1569" i="22"/>
  <c r="Y1569" i="22"/>
  <c r="Z1343" i="22"/>
  <c r="Y1343" i="22"/>
  <c r="X1343" i="22"/>
  <c r="Z1289" i="22"/>
  <c r="Y1289" i="22"/>
  <c r="Z1250" i="22"/>
  <c r="Y1250" i="22"/>
  <c r="Z1218" i="22"/>
  <c r="Y1218" i="22"/>
  <c r="Z1256" i="22"/>
  <c r="Y1256" i="22"/>
  <c r="Z1224" i="22"/>
  <c r="Y1224" i="22"/>
  <c r="Z1097" i="22"/>
  <c r="Y1097" i="22"/>
  <c r="Z1073" i="22"/>
  <c r="Y1073" i="22"/>
  <c r="Z1056" i="22"/>
  <c r="Y1056" i="22"/>
  <c r="X1056" i="22"/>
  <c r="Z469" i="22"/>
  <c r="Y469" i="22"/>
  <c r="Z522" i="22"/>
  <c r="Y522" i="22"/>
  <c r="W177" i="22"/>
  <c r="W176" i="22"/>
  <c r="Z175" i="22"/>
  <c r="Y175" i="22"/>
  <c r="Z90" i="22"/>
  <c r="X90" i="22"/>
  <c r="Y90" i="22"/>
  <c r="Z1792" i="22"/>
  <c r="Y1792" i="22"/>
  <c r="X1792" i="22"/>
  <c r="W1700" i="22"/>
  <c r="Z1699" i="22"/>
  <c r="X1699" i="22"/>
  <c r="W1702" i="22"/>
  <c r="W1701" i="22"/>
  <c r="Y1699" i="22"/>
  <c r="Z1675" i="22"/>
  <c r="X1675" i="22"/>
  <c r="Y1675" i="22"/>
  <c r="Z1687" i="22"/>
  <c r="Y1687" i="22"/>
  <c r="X1687" i="22"/>
  <c r="Z1440" i="22"/>
  <c r="Y1440" i="22"/>
  <c r="X1440" i="22"/>
  <c r="Z1366" i="22"/>
  <c r="Y1366" i="22"/>
  <c r="X1366" i="22"/>
  <c r="Z1329" i="22"/>
  <c r="Y1329" i="22"/>
  <c r="X1329" i="22"/>
  <c r="Z1270" i="22"/>
  <c r="Y1270" i="22"/>
  <c r="Z1238" i="22"/>
  <c r="Y1238" i="22"/>
  <c r="Z1206" i="22"/>
  <c r="Y1206" i="22"/>
  <c r="Z1244" i="22"/>
  <c r="Y1244" i="22"/>
  <c r="Z1212" i="22"/>
  <c r="Y1212" i="22"/>
  <c r="Z1167" i="22"/>
  <c r="Y1167" i="22"/>
  <c r="Z1135" i="22"/>
  <c r="Y1135" i="22"/>
  <c r="Z1101" i="22"/>
  <c r="Y1101" i="22"/>
  <c r="Z758" i="22"/>
  <c r="Y758" i="22"/>
  <c r="Z790" i="22"/>
  <c r="Y790" i="22"/>
  <c r="X790" i="22"/>
  <c r="Z792" i="22"/>
  <c r="Y792" i="22"/>
  <c r="X792" i="22"/>
  <c r="Z774" i="22"/>
  <c r="Y774" i="22"/>
  <c r="Z505" i="22"/>
  <c r="Y505" i="22"/>
  <c r="X505" i="22"/>
  <c r="Z563" i="22"/>
  <c r="Y563" i="22"/>
  <c r="Z103" i="22"/>
  <c r="Y103" i="22"/>
  <c r="Z2660" i="22"/>
  <c r="Y2660" i="22"/>
  <c r="X2660" i="22"/>
  <c r="Z2644" i="22"/>
  <c r="Y2644" i="22"/>
  <c r="X2644" i="22"/>
  <c r="W2015" i="22"/>
  <c r="W2016" i="22"/>
  <c r="W2014" i="22"/>
  <c r="Y2013" i="22"/>
  <c r="Z2013" i="22"/>
  <c r="W2031" i="22"/>
  <c r="W2032" i="22"/>
  <c r="Z2029" i="22"/>
  <c r="W2030" i="22"/>
  <c r="Y2029" i="22"/>
  <c r="W1855" i="22"/>
  <c r="Z1853" i="22"/>
  <c r="W1854" i="22"/>
  <c r="Y1853" i="22"/>
  <c r="Z1728" i="22"/>
  <c r="Y1728" i="22"/>
  <c r="Z1663" i="22"/>
  <c r="Y1663" i="22"/>
  <c r="X1663" i="22"/>
  <c r="W1657" i="22"/>
  <c r="Z1561" i="22"/>
  <c r="Y1561" i="22"/>
  <c r="Z1537" i="22"/>
  <c r="Y1537" i="22"/>
  <c r="Z1583" i="22"/>
  <c r="Y1583" i="22"/>
  <c r="Z1535" i="22"/>
  <c r="Y1535" i="22"/>
  <c r="Y1342" i="22"/>
  <c r="Z1342" i="22"/>
  <c r="Z1258" i="22"/>
  <c r="Y1258" i="22"/>
  <c r="Z1226" i="22"/>
  <c r="Y1226" i="22"/>
  <c r="Z1264" i="22"/>
  <c r="Y1264" i="22"/>
  <c r="Z1232" i="22"/>
  <c r="Y1232" i="22"/>
  <c r="Z1058" i="22"/>
  <c r="Y1058" i="22"/>
  <c r="X1058" i="22"/>
  <c r="Z969" i="22"/>
  <c r="Y969" i="22"/>
  <c r="Z773" i="22"/>
  <c r="Y773" i="22"/>
  <c r="X773" i="22"/>
  <c r="Z765" i="22"/>
  <c r="Y765" i="22"/>
  <c r="X765" i="22"/>
  <c r="Z89" i="22"/>
  <c r="Y89" i="22"/>
  <c r="X89" i="22"/>
  <c r="Z579" i="22"/>
  <c r="Y579" i="22"/>
  <c r="Z111" i="22"/>
  <c r="Y111" i="22"/>
  <c r="Y1791" i="22"/>
  <c r="Z1791" i="22"/>
  <c r="U2716" i="22"/>
  <c r="Z1585" i="22"/>
  <c r="Y1585" i="22"/>
  <c r="Z1530" i="22"/>
  <c r="Y1530" i="22"/>
  <c r="X1530" i="22"/>
  <c r="Z1549" i="22"/>
  <c r="Y1549" i="22"/>
  <c r="Z1528" i="22"/>
  <c r="Y1528" i="22"/>
  <c r="X1528" i="22"/>
  <c r="Z1422" i="22"/>
  <c r="Y1422" i="22"/>
  <c r="X1422" i="22"/>
  <c r="Z1273" i="22"/>
  <c r="Y1273" i="22"/>
  <c r="Z1246" i="22"/>
  <c r="Y1246" i="22"/>
  <c r="Z1214" i="22"/>
  <c r="Y1214" i="22"/>
  <c r="Z1183" i="22"/>
  <c r="Y1183" i="22"/>
  <c r="X1183" i="22"/>
  <c r="Z1089" i="22"/>
  <c r="Y1089" i="22"/>
  <c r="Z1043" i="22"/>
  <c r="Y1043" i="22"/>
  <c r="X1043" i="22"/>
  <c r="Z1052" i="22"/>
  <c r="Y1052" i="22"/>
  <c r="X1052" i="22"/>
  <c r="W449" i="22"/>
  <c r="Z448" i="22"/>
  <c r="Y448" i="22"/>
  <c r="W451" i="22"/>
  <c r="W450" i="22"/>
  <c r="W452" i="22"/>
  <c r="X448" i="22"/>
  <c r="Z623" i="22"/>
  <c r="Y623" i="22"/>
  <c r="Z221" i="22"/>
  <c r="Y221" i="22"/>
  <c r="Z2706" i="22"/>
  <c r="Y2706" i="22"/>
  <c r="Z2645" i="22"/>
  <c r="Y2645" i="22"/>
  <c r="Z2616" i="22"/>
  <c r="Y2616" i="22"/>
  <c r="X2616" i="22"/>
  <c r="X2602" i="22"/>
  <c r="Y2602" i="22"/>
  <c r="Z2602" i="22"/>
  <c r="Z2560" i="22"/>
  <c r="Y2560" i="22"/>
  <c r="X2560" i="22"/>
  <c r="H2594" i="22"/>
  <c r="Z2621" i="22"/>
  <c r="Y2621" i="22"/>
  <c r="X2621" i="22"/>
  <c r="W2551" i="22"/>
  <c r="W2549" i="22"/>
  <c r="W2547" i="22"/>
  <c r="Z2546" i="22"/>
  <c r="Y2546" i="22"/>
  <c r="W2550" i="22"/>
  <c r="W2548" i="22"/>
  <c r="Z2566" i="22"/>
  <c r="Y2566" i="22"/>
  <c r="X2566" i="22"/>
  <c r="X2578" i="22"/>
  <c r="Y2578" i="22"/>
  <c r="Z2578" i="22"/>
  <c r="X2553" i="22"/>
  <c r="Z2553" i="22"/>
  <c r="Y2553" i="22"/>
  <c r="X2584" i="22"/>
  <c r="Y2584" i="22"/>
  <c r="Z2584" i="22"/>
  <c r="X2481" i="22"/>
  <c r="Z2481" i="22"/>
  <c r="Y2481" i="22"/>
  <c r="Y2494" i="22"/>
  <c r="X2494" i="22"/>
  <c r="Z2494" i="22"/>
  <c r="W2454" i="22"/>
  <c r="W2453" i="22"/>
  <c r="W2452" i="22"/>
  <c r="W2455" i="22"/>
  <c r="W2451" i="22"/>
  <c r="Z2450" i="22"/>
  <c r="Y2450" i="22"/>
  <c r="Z2486" i="22"/>
  <c r="W2491" i="22"/>
  <c r="W2488" i="22"/>
  <c r="W2490" i="22"/>
  <c r="W2487" i="22"/>
  <c r="Y2486" i="22"/>
  <c r="W2489" i="22"/>
  <c r="X2437" i="22"/>
  <c r="Z2437" i="22"/>
  <c r="Y2437" i="22"/>
  <c r="W2379" i="22"/>
  <c r="W2380" i="22"/>
  <c r="Z2378" i="22"/>
  <c r="Y2378" i="22"/>
  <c r="W2383" i="22"/>
  <c r="W2382" i="22"/>
  <c r="W2381" i="22"/>
  <c r="W2322" i="22"/>
  <c r="W2320" i="22"/>
  <c r="W2321" i="22"/>
  <c r="Z2318" i="22"/>
  <c r="W2323" i="22"/>
  <c r="W2319" i="22"/>
  <c r="Y2318" i="22"/>
  <c r="Z2373" i="22"/>
  <c r="Y2373" i="22"/>
  <c r="X2373" i="22"/>
  <c r="X2378" i="22"/>
  <c r="W2329" i="22"/>
  <c r="Y2324" i="22"/>
  <c r="W2325" i="22"/>
  <c r="Z2324" i="22"/>
  <c r="W2328" i="22"/>
  <c r="W2327" i="22"/>
  <c r="W2326" i="22"/>
  <c r="Z2250" i="22"/>
  <c r="Y2250" i="22"/>
  <c r="X2250" i="22"/>
  <c r="Y2262" i="22"/>
  <c r="X2262" i="22"/>
  <c r="Z2262" i="22"/>
  <c r="Z2239" i="22"/>
  <c r="Y2239" i="22"/>
  <c r="X2239" i="22"/>
  <c r="X2363" i="22"/>
  <c r="Z2363" i="22"/>
  <c r="Y2363" i="22"/>
  <c r="X2175" i="22"/>
  <c r="Z2175" i="22"/>
  <c r="Y2175" i="22"/>
  <c r="Y2271" i="22"/>
  <c r="X2271" i="22"/>
  <c r="Z2271" i="22"/>
  <c r="X2212" i="22"/>
  <c r="Z2212" i="22"/>
  <c r="Y2212" i="22"/>
  <c r="W2140" i="22"/>
  <c r="W2142" i="22"/>
  <c r="W2141" i="22"/>
  <c r="Z2138" i="22"/>
  <c r="Y2138" i="22"/>
  <c r="W2139" i="22"/>
  <c r="Y2051" i="22"/>
  <c r="Z2051" i="22"/>
  <c r="X2051" i="22"/>
  <c r="Z2197" i="22"/>
  <c r="Y2197" i="22"/>
  <c r="X2197" i="22"/>
  <c r="W2147" i="22"/>
  <c r="W2144" i="22"/>
  <c r="Z2143" i="22"/>
  <c r="W2146" i="22"/>
  <c r="Y2143" i="22"/>
  <c r="W2145" i="22"/>
  <c r="X2143" i="22"/>
  <c r="Z2132" i="22"/>
  <c r="Y2132" i="22"/>
  <c r="X2132" i="22"/>
  <c r="Y2125" i="22"/>
  <c r="X2125" i="22"/>
  <c r="Z2125" i="22"/>
  <c r="Y2005" i="22"/>
  <c r="W2008" i="22"/>
  <c r="W2007" i="22"/>
  <c r="Z2005" i="22"/>
  <c r="W2006" i="22"/>
  <c r="X2056" i="22"/>
  <c r="Z2056" i="22"/>
  <c r="Y2056" i="22"/>
  <c r="Z2155" i="22"/>
  <c r="Y2155" i="22"/>
  <c r="X2155" i="22"/>
  <c r="Z1987" i="22"/>
  <c r="Y1987" i="22"/>
  <c r="X1987" i="22"/>
  <c r="Z2080" i="22"/>
  <c r="Y2080" i="22"/>
  <c r="X2080" i="22"/>
  <c r="Z2094" i="22"/>
  <c r="Y2094" i="22"/>
  <c r="X2094" i="22"/>
  <c r="Z2063" i="22"/>
  <c r="Y2063" i="22"/>
  <c r="X2063" i="22"/>
  <c r="Z1846" i="22"/>
  <c r="Y1846" i="22"/>
  <c r="Z1927" i="22"/>
  <c r="Y1927" i="22"/>
  <c r="X1927" i="22"/>
  <c r="W1861" i="22"/>
  <c r="Z1860" i="22"/>
  <c r="W1863" i="22"/>
  <c r="Y1860" i="22"/>
  <c r="W1862" i="22"/>
  <c r="Y1818" i="22"/>
  <c r="X1818" i="22"/>
  <c r="Z1818" i="22"/>
  <c r="W2003" i="22"/>
  <c r="W2002" i="22"/>
  <c r="Z2001" i="22"/>
  <c r="Y2001" i="22"/>
  <c r="W2004" i="22"/>
  <c r="Z1938" i="22"/>
  <c r="Y1938" i="22"/>
  <c r="X1938" i="22"/>
  <c r="Z1919" i="22"/>
  <c r="Y1919" i="22"/>
  <c r="X1919" i="22"/>
  <c r="Z1947" i="22"/>
  <c r="Y1947" i="22"/>
  <c r="X1947" i="22"/>
  <c r="Z1897" i="22"/>
  <c r="Y1897" i="22"/>
  <c r="X1897" i="22"/>
  <c r="X1860" i="22"/>
  <c r="P2715" i="22"/>
  <c r="Z1671" i="22"/>
  <c r="Y1671" i="22"/>
  <c r="Z1692" i="22"/>
  <c r="Y1692" i="22"/>
  <c r="Z1658" i="22"/>
  <c r="Y1658" i="22"/>
  <c r="Z1705" i="22"/>
  <c r="Y1705" i="22"/>
  <c r="X1705" i="22"/>
  <c r="Z1682" i="22"/>
  <c r="Y1682" i="22"/>
  <c r="Z1736" i="22"/>
  <c r="Y1736" i="22"/>
  <c r="W1810" i="22"/>
  <c r="W1809" i="22"/>
  <c r="Z1808" i="22"/>
  <c r="Y1808" i="22"/>
  <c r="X1808" i="22"/>
  <c r="Z1760" i="22"/>
  <c r="Y1760" i="22"/>
  <c r="Z1741" i="22"/>
  <c r="Y1741" i="22"/>
  <c r="X1741" i="22"/>
  <c r="Z1709" i="22"/>
  <c r="Y1709" i="22"/>
  <c r="X1709" i="22"/>
  <c r="X1730" i="22"/>
  <c r="Z1683" i="22"/>
  <c r="Y1683" i="22"/>
  <c r="Z1596" i="22"/>
  <c r="Y1596" i="22"/>
  <c r="Z1564" i="22"/>
  <c r="Y1564" i="22"/>
  <c r="Z1532" i="22"/>
  <c r="Y1532" i="22"/>
  <c r="Z1515" i="22"/>
  <c r="Y1515" i="22"/>
  <c r="Z1511" i="22"/>
  <c r="Y1511" i="22"/>
  <c r="Z1507" i="22"/>
  <c r="Y1507" i="22"/>
  <c r="Z1503" i="22"/>
  <c r="Y1503" i="22"/>
  <c r="Z1499" i="22"/>
  <c r="Y1499" i="22"/>
  <c r="Z1495" i="22"/>
  <c r="Y1495" i="22"/>
  <c r="Z1491" i="22"/>
  <c r="Y1491" i="22"/>
  <c r="Z1487" i="22"/>
  <c r="Y1487" i="22"/>
  <c r="Z1483" i="22"/>
  <c r="Y1483" i="22"/>
  <c r="Z1479" i="22"/>
  <c r="Y1479" i="22"/>
  <c r="Z1475" i="22"/>
  <c r="Y1475" i="22"/>
  <c r="Z1471" i="22"/>
  <c r="Y1471" i="22"/>
  <c r="Z1467" i="22"/>
  <c r="Y1467" i="22"/>
  <c r="Z1463" i="22"/>
  <c r="Y1463" i="22"/>
  <c r="Z1459" i="22"/>
  <c r="Y1459" i="22"/>
  <c r="Z1455" i="22"/>
  <c r="Y1455" i="22"/>
  <c r="Z1451" i="22"/>
  <c r="Y1451" i="22"/>
  <c r="Z1447" i="22"/>
  <c r="Y1447" i="22"/>
  <c r="Z1443" i="22"/>
  <c r="Y1443" i="22"/>
  <c r="Y1624" i="22"/>
  <c r="Z1624" i="22"/>
  <c r="X1624" i="22"/>
  <c r="X1561" i="22"/>
  <c r="Z1543" i="22"/>
  <c r="Y1543" i="22"/>
  <c r="X1692" i="22"/>
  <c r="Z1541" i="22"/>
  <c r="Y1541" i="22"/>
  <c r="X1671" i="22"/>
  <c r="Z1547" i="22"/>
  <c r="Y1547" i="22"/>
  <c r="X1658" i="22"/>
  <c r="Z1598" i="22"/>
  <c r="Y1598" i="22"/>
  <c r="Z1566" i="22"/>
  <c r="Y1566" i="22"/>
  <c r="Z1534" i="22"/>
  <c r="Y1534" i="22"/>
  <c r="Z1309" i="22"/>
  <c r="Y1309" i="22"/>
  <c r="X1507" i="22"/>
  <c r="X1443" i="22"/>
  <c r="Z1390" i="22"/>
  <c r="Y1390" i="22"/>
  <c r="Y1324" i="22"/>
  <c r="X1324" i="22"/>
  <c r="Z1324" i="22"/>
  <c r="Y1308" i="22"/>
  <c r="X1308" i="22"/>
  <c r="Z1308" i="22"/>
  <c r="Y1292" i="22"/>
  <c r="X1292" i="22"/>
  <c r="Z1292" i="22"/>
  <c r="Z1431" i="22"/>
  <c r="Y1431" i="22"/>
  <c r="Z1371" i="22"/>
  <c r="Y1371" i="22"/>
  <c r="Z1406" i="22"/>
  <c r="Y1406" i="22"/>
  <c r="X1431" i="22"/>
  <c r="Z1311" i="22"/>
  <c r="Y1311" i="22"/>
  <c r="X1487" i="22"/>
  <c r="Z1399" i="22"/>
  <c r="Y1399" i="22"/>
  <c r="Z1286" i="22"/>
  <c r="X1286" i="22"/>
  <c r="Y1286" i="22"/>
  <c r="X1258" i="22"/>
  <c r="X1226" i="22"/>
  <c r="Z1215" i="22"/>
  <c r="Y1215" i="22"/>
  <c r="X1215" i="22"/>
  <c r="Z1332" i="22"/>
  <c r="Y1332" i="22"/>
  <c r="X1332" i="22"/>
  <c r="Z1151" i="22"/>
  <c r="Y1151" i="22"/>
  <c r="Z1119" i="22"/>
  <c r="Y1119" i="22"/>
  <c r="Z1354" i="22"/>
  <c r="Y1354" i="22"/>
  <c r="Y1272" i="22"/>
  <c r="Z1272" i="22"/>
  <c r="Z1225" i="22"/>
  <c r="Y1225" i="22"/>
  <c r="Z1335" i="22"/>
  <c r="Y1335" i="22"/>
  <c r="Z1076" i="22"/>
  <c r="Y1076" i="22"/>
  <c r="X1097" i="22"/>
  <c r="Z1079" i="22"/>
  <c r="Y1079" i="22"/>
  <c r="Z1046" i="22"/>
  <c r="Y1046" i="22"/>
  <c r="X1046" i="22"/>
  <c r="Z978" i="22"/>
  <c r="X978" i="22"/>
  <c r="Y978" i="22"/>
  <c r="X932" i="22"/>
  <c r="Z932" i="22"/>
  <c r="Y932" i="22"/>
  <c r="X908" i="22"/>
  <c r="Z908" i="22"/>
  <c r="Y908" i="22"/>
  <c r="Z1202" i="22"/>
  <c r="Y1202" i="22"/>
  <c r="Z1098" i="22"/>
  <c r="Y1098" i="22"/>
  <c r="Z1066" i="22"/>
  <c r="Y1066" i="22"/>
  <c r="Z1222" i="22"/>
  <c r="Y1222" i="22"/>
  <c r="Z1085" i="22"/>
  <c r="Y1085" i="22"/>
  <c r="X1225" i="22"/>
  <c r="Z949" i="22"/>
  <c r="Y949" i="22"/>
  <c r="Z750" i="22"/>
  <c r="Y750" i="22"/>
  <c r="Z1081" i="22"/>
  <c r="Y1081" i="22"/>
  <c r="Z746" i="22"/>
  <c r="Y746" i="22"/>
  <c r="X746" i="22"/>
  <c r="Z753" i="22"/>
  <c r="X753" i="22"/>
  <c r="Y753" i="22"/>
  <c r="Z980" i="22"/>
  <c r="Y980" i="22"/>
  <c r="Z838" i="22"/>
  <c r="Y838" i="22"/>
  <c r="X838" i="22"/>
  <c r="X980" i="22"/>
  <c r="Z795" i="22"/>
  <c r="Y795" i="22"/>
  <c r="X809" i="22"/>
  <c r="W807" i="22"/>
  <c r="X666" i="22"/>
  <c r="Z666" i="22"/>
  <c r="Y666" i="22"/>
  <c r="Z732" i="22"/>
  <c r="Y732" i="22"/>
  <c r="X732" i="22"/>
  <c r="Z588" i="22"/>
  <c r="Y588" i="22"/>
  <c r="Z454" i="22"/>
  <c r="Y454" i="22"/>
  <c r="X454" i="22"/>
  <c r="P691" i="22"/>
  <c r="S691" i="22"/>
  <c r="Z536" i="22"/>
  <c r="Y536" i="22"/>
  <c r="W410" i="22"/>
  <c r="W409" i="22"/>
  <c r="W411" i="22"/>
  <c r="W412" i="22"/>
  <c r="W408" i="22"/>
  <c r="Z407" i="22"/>
  <c r="Y407" i="22"/>
  <c r="X718" i="22"/>
  <c r="Y656" i="22"/>
  <c r="W660" i="22"/>
  <c r="W657" i="22"/>
  <c r="Z656" i="22"/>
  <c r="W661" i="22"/>
  <c r="W659" i="22"/>
  <c r="W658" i="22"/>
  <c r="W544" i="22"/>
  <c r="W545" i="22"/>
  <c r="W543" i="22"/>
  <c r="Z542" i="22"/>
  <c r="Y542" i="22"/>
  <c r="Z459" i="22"/>
  <c r="Y459" i="22"/>
  <c r="Z832" i="22"/>
  <c r="Y832" i="22"/>
  <c r="X832" i="22"/>
  <c r="Z556" i="22"/>
  <c r="Y556" i="22"/>
  <c r="U259" i="22"/>
  <c r="U715" i="22"/>
  <c r="Z630" i="22"/>
  <c r="Y630" i="22"/>
  <c r="X556" i="22"/>
  <c r="Z493" i="22"/>
  <c r="Y493" i="22"/>
  <c r="W349" i="22"/>
  <c r="W351" i="22"/>
  <c r="W352" i="22"/>
  <c r="W348" i="22"/>
  <c r="Z347" i="22"/>
  <c r="Y347" i="22"/>
  <c r="W350" i="22"/>
  <c r="Y267" i="22"/>
  <c r="X267" i="22"/>
  <c r="Z267" i="22"/>
  <c r="X213" i="22"/>
  <c r="X191" i="22"/>
  <c r="Z191" i="22"/>
  <c r="Y191" i="22"/>
  <c r="Z114" i="22"/>
  <c r="Y114" i="22"/>
  <c r="Z291" i="22"/>
  <c r="Y291" i="22"/>
  <c r="X291" i="22"/>
  <c r="Z206" i="22"/>
  <c r="Y206" i="22"/>
  <c r="W161" i="22"/>
  <c r="W160" i="22"/>
  <c r="Z159" i="22"/>
  <c r="Y159" i="22"/>
  <c r="Z84" i="22"/>
  <c r="Y84" i="22"/>
  <c r="Z272" i="22"/>
  <c r="Y272" i="22"/>
  <c r="X272" i="22"/>
  <c r="Z337" i="22"/>
  <c r="Y337" i="22"/>
  <c r="X337" i="22"/>
  <c r="Z220" i="22"/>
  <c r="Y220" i="22"/>
  <c r="X220" i="22"/>
  <c r="Z192" i="22"/>
  <c r="Y192" i="22"/>
  <c r="X192" i="22"/>
  <c r="Z178" i="22"/>
  <c r="Y178" i="22"/>
  <c r="X178" i="22"/>
  <c r="Q116" i="22"/>
  <c r="X407" i="22"/>
  <c r="Z684" i="22"/>
  <c r="Y684" i="22"/>
  <c r="X684" i="22"/>
  <c r="Z288" i="22"/>
  <c r="Y288" i="22"/>
  <c r="X288" i="22"/>
  <c r="Z158" i="22"/>
  <c r="X158" i="22"/>
  <c r="Y158" i="22"/>
  <c r="Z289" i="22"/>
  <c r="Y289" i="22"/>
  <c r="X289" i="22"/>
  <c r="S364" i="22"/>
  <c r="U364" i="22" s="1"/>
  <c r="P364" i="22"/>
  <c r="Z324" i="22"/>
  <c r="Y324" i="22"/>
  <c r="X324" i="22"/>
  <c r="Z183" i="22"/>
  <c r="Y183" i="22"/>
  <c r="X183" i="22"/>
  <c r="Y31" i="22"/>
  <c r="Z31" i="22"/>
  <c r="X2663" i="22"/>
  <c r="X2702" i="22"/>
  <c r="Z2682" i="22"/>
  <c r="Y2682" i="22"/>
  <c r="Z2651" i="22"/>
  <c r="Y2651" i="22"/>
  <c r="Z2685" i="22"/>
  <c r="Y2685" i="22"/>
  <c r="Y2636" i="22"/>
  <c r="Z2636" i="22"/>
  <c r="Z2663" i="22"/>
  <c r="Y2663" i="22"/>
  <c r="Z2673" i="22"/>
  <c r="Y2673" i="22"/>
  <c r="Z2640" i="22"/>
  <c r="Y2640" i="22"/>
  <c r="X2640" i="22"/>
  <c r="Y2601" i="22"/>
  <c r="X2601" i="22"/>
  <c r="Z2601" i="22"/>
  <c r="Z2615" i="22"/>
  <c r="Y2615" i="22"/>
  <c r="X2615" i="22"/>
  <c r="Z2623" i="22"/>
  <c r="Y2623" i="22"/>
  <c r="X2623" i="22"/>
  <c r="X2555" i="22"/>
  <c r="Z2555" i="22"/>
  <c r="Y2555" i="22"/>
  <c r="X2608" i="22"/>
  <c r="Y2608" i="22"/>
  <c r="Z2608" i="22"/>
  <c r="Z2535" i="22"/>
  <c r="X2535" i="22"/>
  <c r="Y2535" i="22"/>
  <c r="X2543" i="22"/>
  <c r="Z2543" i="22"/>
  <c r="Y2543" i="22"/>
  <c r="X2495" i="22"/>
  <c r="Z2495" i="22"/>
  <c r="Y2495" i="22"/>
  <c r="W2476" i="22"/>
  <c r="W2478" i="22"/>
  <c r="W2475" i="22"/>
  <c r="W2479" i="22"/>
  <c r="Y2474" i="22"/>
  <c r="W2477" i="22"/>
  <c r="Z2474" i="22"/>
  <c r="X2507" i="22"/>
  <c r="Z2507" i="22"/>
  <c r="Y2507" i="22"/>
  <c r="Z2445" i="22"/>
  <c r="Y2445" i="22"/>
  <c r="X2445" i="22"/>
  <c r="X2376" i="22"/>
  <c r="Z2376" i="22"/>
  <c r="Y2376" i="22"/>
  <c r="Z2427" i="22"/>
  <c r="Y2427" i="22"/>
  <c r="X2427" i="22"/>
  <c r="X2400" i="22"/>
  <c r="Z2400" i="22"/>
  <c r="Y2400" i="22"/>
  <c r="Z2388" i="22"/>
  <c r="X2388" i="22"/>
  <c r="Y2388" i="22"/>
  <c r="Z2269" i="22"/>
  <c r="Y2269" i="22"/>
  <c r="X2269" i="22"/>
  <c r="W2311" i="22"/>
  <c r="W2309" i="22"/>
  <c r="W2307" i="22"/>
  <c r="Z2306" i="22"/>
  <c r="Y2306" i="22"/>
  <c r="W2310" i="22"/>
  <c r="W2308" i="22"/>
  <c r="X2294" i="22"/>
  <c r="X2236" i="22"/>
  <c r="Z2236" i="22"/>
  <c r="Y2236" i="22"/>
  <c r="X2286" i="22"/>
  <c r="Z2286" i="22"/>
  <c r="Y2286" i="22"/>
  <c r="W2257" i="22"/>
  <c r="W2255" i="22"/>
  <c r="W2253" i="22"/>
  <c r="Z2252" i="22"/>
  <c r="Y2252" i="22"/>
  <c r="W2256" i="22"/>
  <c r="W2254" i="22"/>
  <c r="X2177" i="22"/>
  <c r="Z2177" i="22"/>
  <c r="Y2177" i="22"/>
  <c r="W2075" i="22"/>
  <c r="W2074" i="22"/>
  <c r="Z2073" i="22"/>
  <c r="Y2073" i="22"/>
  <c r="W2076" i="22"/>
  <c r="Y2273" i="22"/>
  <c r="X2273" i="22"/>
  <c r="Z2273" i="22"/>
  <c r="X2215" i="22"/>
  <c r="Z2215" i="22"/>
  <c r="Y2215" i="22"/>
  <c r="Y2170" i="22"/>
  <c r="X2170" i="22"/>
  <c r="Z2170" i="22"/>
  <c r="Z2120" i="22"/>
  <c r="Y2120" i="22"/>
  <c r="X2120" i="22"/>
  <c r="W1999" i="22"/>
  <c r="W2000" i="22"/>
  <c r="Z1997" i="22"/>
  <c r="W1998" i="22"/>
  <c r="Y1997" i="22"/>
  <c r="X2149" i="22"/>
  <c r="Z2149" i="22"/>
  <c r="Y2149" i="22"/>
  <c r="Z2086" i="22"/>
  <c r="Y2086" i="22"/>
  <c r="X2086" i="22"/>
  <c r="Z1986" i="22"/>
  <c r="X1986" i="22"/>
  <c r="Y1986" i="22"/>
  <c r="X2157" i="22"/>
  <c r="Z2157" i="22"/>
  <c r="Y2157" i="22"/>
  <c r="X2073" i="22"/>
  <c r="Z2096" i="22"/>
  <c r="Y2096" i="22"/>
  <c r="X2096" i="22"/>
  <c r="Y1943" i="22"/>
  <c r="Z1943" i="22"/>
  <c r="X1943" i="22"/>
  <c r="W2010" i="22"/>
  <c r="Z2009" i="22"/>
  <c r="Y2009" i="22"/>
  <c r="W2011" i="22"/>
  <c r="X2009" i="22"/>
  <c r="W2012" i="22"/>
  <c r="Z1881" i="22"/>
  <c r="Y1881" i="22"/>
  <c r="X1881" i="22"/>
  <c r="Z1796" i="22"/>
  <c r="Y1796" i="22"/>
  <c r="Y1793" i="22"/>
  <c r="Z1793" i="22"/>
  <c r="X1928" i="22"/>
  <c r="Z1928" i="22"/>
  <c r="Y1928" i="22"/>
  <c r="X1940" i="22"/>
  <c r="Z1940" i="22"/>
  <c r="Y1940" i="22"/>
  <c r="Z1906" i="22"/>
  <c r="Y1906" i="22"/>
  <c r="X1906" i="22"/>
  <c r="X1898" i="22"/>
  <c r="Z1898" i="22"/>
  <c r="Y1898" i="22"/>
  <c r="Z1858" i="22"/>
  <c r="X1858" i="22"/>
  <c r="Y1858" i="22"/>
  <c r="Z1874" i="22"/>
  <c r="Y1874" i="22"/>
  <c r="X1874" i="22"/>
  <c r="Y1786" i="22"/>
  <c r="V1785" i="22"/>
  <c r="V2716" i="22" s="1"/>
  <c r="Z1786" i="22"/>
  <c r="X1786" i="22"/>
  <c r="X1980" i="22"/>
  <c r="Z1980" i="22"/>
  <c r="Y1980" i="22"/>
  <c r="Y1698" i="22"/>
  <c r="Z1698" i="22"/>
  <c r="Y1648" i="22"/>
  <c r="Z1648" i="22"/>
  <c r="X1698" i="22"/>
  <c r="Z1782" i="22"/>
  <c r="Y1782" i="22"/>
  <c r="X1710" i="22"/>
  <c r="Z1710" i="22"/>
  <c r="Y1710" i="22"/>
  <c r="Z1529" i="22"/>
  <c r="Y1529" i="22"/>
  <c r="Z1795" i="22"/>
  <c r="Y1795" i="22"/>
  <c r="X1537" i="22"/>
  <c r="Z1516" i="22"/>
  <c r="Y1516" i="22"/>
  <c r="Z1418" i="22"/>
  <c r="Y1418" i="22"/>
  <c r="Z1402" i="22"/>
  <c r="Y1402" i="22"/>
  <c r="Z1386" i="22"/>
  <c r="Y1386" i="22"/>
  <c r="Z1586" i="22"/>
  <c r="Y1586" i="22"/>
  <c r="Z1554" i="22"/>
  <c r="Y1554" i="22"/>
  <c r="X1599" i="22"/>
  <c r="X1535" i="22"/>
  <c r="Y1605" i="22"/>
  <c r="Z1605" i="22"/>
  <c r="Z1587" i="22"/>
  <c r="Y1587" i="22"/>
  <c r="X1541" i="22"/>
  <c r="Z1382" i="22"/>
  <c r="Y1382" i="22"/>
  <c r="Z1305" i="22"/>
  <c r="Y1305" i="22"/>
  <c r="X1499" i="22"/>
  <c r="X1434" i="22"/>
  <c r="X1305" i="22"/>
  <c r="X1350" i="22"/>
  <c r="Z1806" i="22"/>
  <c r="Y1806" i="22"/>
  <c r="X1806" i="22"/>
  <c r="Z1403" i="22"/>
  <c r="Y1403" i="22"/>
  <c r="Z1307" i="22"/>
  <c r="Y1307" i="22"/>
  <c r="X1479" i="22"/>
  <c r="Z1363" i="22"/>
  <c r="Y1363" i="22"/>
  <c r="X1273" i="22"/>
  <c r="Z1290" i="22"/>
  <c r="X1290" i="22"/>
  <c r="Y1290" i="22"/>
  <c r="X1246" i="22"/>
  <c r="Z1235" i="22"/>
  <c r="Y1235" i="22"/>
  <c r="X1235" i="22"/>
  <c r="X1214" i="22"/>
  <c r="Z1203" i="22"/>
  <c r="Y1203" i="22"/>
  <c r="X1203" i="22"/>
  <c r="Z1326" i="22"/>
  <c r="Y1326" i="22"/>
  <c r="X1326" i="22"/>
  <c r="Z1171" i="22"/>
  <c r="Y1171" i="22"/>
  <c r="Z1139" i="22"/>
  <c r="Y1139" i="22"/>
  <c r="Z1107" i="22"/>
  <c r="Y1107" i="22"/>
  <c r="Y1284" i="22"/>
  <c r="X1284" i="22"/>
  <c r="Z1284" i="22"/>
  <c r="Z1314" i="22"/>
  <c r="Y1314" i="22"/>
  <c r="X1314" i="22"/>
  <c r="X1256" i="22"/>
  <c r="X1224" i="22"/>
  <c r="Z1213" i="22"/>
  <c r="Y1213" i="22"/>
  <c r="Z1191" i="22"/>
  <c r="Y1191" i="22"/>
  <c r="Z1187" i="22"/>
  <c r="Y1187" i="22"/>
  <c r="X1073" i="22"/>
  <c r="Z991" i="22"/>
  <c r="Y991" i="22"/>
  <c r="X991" i="22"/>
  <c r="X972" i="22"/>
  <c r="Z972" i="22"/>
  <c r="Y972" i="22"/>
  <c r="X1115" i="22"/>
  <c r="X1079" i="22"/>
  <c r="Z1104" i="22"/>
  <c r="Y1104" i="22"/>
  <c r="Z1072" i="22"/>
  <c r="Y1072" i="22"/>
  <c r="Z1099" i="22"/>
  <c r="Y1099" i="22"/>
  <c r="Z1040" i="22"/>
  <c r="Y1040" i="22"/>
  <c r="Z1036" i="22"/>
  <c r="Y1036" i="22"/>
  <c r="Z1032" i="22"/>
  <c r="Y1032" i="22"/>
  <c r="Z1028" i="22"/>
  <c r="Y1028" i="22"/>
  <c r="Z1024" i="22"/>
  <c r="Y1024" i="22"/>
  <c r="Z1020" i="22"/>
  <c r="Y1020" i="22"/>
  <c r="Z1016" i="22"/>
  <c r="Y1016" i="22"/>
  <c r="Z1012" i="22"/>
  <c r="Y1012" i="22"/>
  <c r="Z1008" i="22"/>
  <c r="Y1008" i="22"/>
  <c r="Z1004" i="22"/>
  <c r="Y1004" i="22"/>
  <c r="Z1000" i="22"/>
  <c r="Y1000" i="22"/>
  <c r="Z996" i="22"/>
  <c r="Y996" i="22"/>
  <c r="Z1102" i="22"/>
  <c r="Y1102" i="22"/>
  <c r="Z1070" i="22"/>
  <c r="Y1070" i="22"/>
  <c r="Z994" i="22"/>
  <c r="Y994" i="22"/>
  <c r="Z797" i="22"/>
  <c r="Y797" i="22"/>
  <c r="Z769" i="22"/>
  <c r="Y769" i="22"/>
  <c r="X750" i="22"/>
  <c r="X688" i="22"/>
  <c r="Z688" i="22"/>
  <c r="Y688" i="22"/>
  <c r="P442" i="22"/>
  <c r="S442" i="22"/>
  <c r="U442" i="22" s="1"/>
  <c r="Y442" i="22" s="1"/>
  <c r="Z652" i="22"/>
  <c r="Y652" i="22"/>
  <c r="X652" i="22"/>
  <c r="X1155" i="22"/>
  <c r="Z913" i="22"/>
  <c r="Y913" i="22"/>
  <c r="X833" i="22"/>
  <c r="Z663" i="22"/>
  <c r="Y663" i="22"/>
  <c r="X663" i="22"/>
  <c r="X1107" i="22"/>
  <c r="Z936" i="22"/>
  <c r="Y936" i="22"/>
  <c r="X774" i="22"/>
  <c r="W697" i="22"/>
  <c r="X419" i="22"/>
  <c r="Z457" i="22"/>
  <c r="Y457" i="22"/>
  <c r="X457" i="22"/>
  <c r="Y464" i="22"/>
  <c r="Z464" i="22"/>
  <c r="Z701" i="22"/>
  <c r="Y701" i="22"/>
  <c r="X701" i="22"/>
  <c r="U661" i="22"/>
  <c r="X514" i="22"/>
  <c r="Y401" i="22"/>
  <c r="W404" i="22"/>
  <c r="W403" i="22"/>
  <c r="W405" i="22"/>
  <c r="W406" i="22"/>
  <c r="Z401" i="22"/>
  <c r="W402" i="22"/>
  <c r="X484" i="22"/>
  <c r="P277" i="22"/>
  <c r="S277" i="22"/>
  <c r="U277" i="22" s="1"/>
  <c r="X542" i="22"/>
  <c r="X725" i="22"/>
  <c r="W555" i="22"/>
  <c r="W553" i="22"/>
  <c r="Z552" i="22"/>
  <c r="Y552" i="22"/>
  <c r="W554" i="22"/>
  <c r="U230" i="22"/>
  <c r="Z269" i="22"/>
  <c r="Y269" i="22"/>
  <c r="X269" i="22"/>
  <c r="X187" i="22"/>
  <c r="Z164" i="22"/>
  <c r="Y164" i="22"/>
  <c r="X164" i="22"/>
  <c r="W198" i="22"/>
  <c r="W197" i="22"/>
  <c r="Z196" i="22"/>
  <c r="Y196" i="22"/>
  <c r="X111" i="22"/>
  <c r="Z274" i="22"/>
  <c r="Y274" i="22"/>
  <c r="X274" i="22"/>
  <c r="Z248" i="22"/>
  <c r="Y248" i="22"/>
  <c r="X248" i="22"/>
  <c r="Z143" i="22"/>
  <c r="Y143" i="22"/>
  <c r="X143" i="22"/>
  <c r="X159" i="22"/>
  <c r="Z611" i="22"/>
  <c r="Y611" i="22"/>
  <c r="X611" i="22"/>
  <c r="S286" i="22"/>
  <c r="U286" i="22" s="1"/>
  <c r="P286" i="22"/>
  <c r="Z233" i="22"/>
  <c r="Y233" i="22"/>
  <c r="X233" i="22"/>
  <c r="Z130" i="22"/>
  <c r="Y130" i="22"/>
  <c r="Z102" i="22"/>
  <c r="Y102" i="22"/>
  <c r="Z380" i="22"/>
  <c r="Y380" i="22"/>
  <c r="X380" i="22"/>
  <c r="Z342" i="22"/>
  <c r="Y342" i="22"/>
  <c r="X342" i="22"/>
  <c r="X328" i="22"/>
  <c r="Z328" i="22"/>
  <c r="Y328" i="22"/>
  <c r="Z172" i="22"/>
  <c r="Y172" i="22"/>
  <c r="X172" i="22"/>
  <c r="W294" i="22"/>
  <c r="Z293" i="22"/>
  <c r="W295" i="22"/>
  <c r="Y293" i="22"/>
  <c r="X293" i="22"/>
  <c r="Z245" i="22"/>
  <c r="Y245" i="22"/>
  <c r="X245" i="22"/>
  <c r="Z315" i="22"/>
  <c r="Y315" i="22"/>
  <c r="X315" i="22"/>
  <c r="Y78" i="22"/>
  <c r="Z78" i="22"/>
  <c r="W2676" i="22"/>
  <c r="X2677" i="22"/>
  <c r="X2706" i="22"/>
  <c r="Z2702" i="22"/>
  <c r="Y2702" i="22"/>
  <c r="Z2678" i="22"/>
  <c r="Y2678" i="22"/>
  <c r="Z2592" i="22"/>
  <c r="Y2592" i="22"/>
  <c r="X2592" i="22"/>
  <c r="X2645" i="22"/>
  <c r="J2594" i="22"/>
  <c r="W2630" i="22"/>
  <c r="Y2595" i="22"/>
  <c r="X2595" i="22"/>
  <c r="Z2595" i="22"/>
  <c r="H2576" i="22"/>
  <c r="Z2522" i="22"/>
  <c r="W2526" i="22"/>
  <c r="W2524" i="22"/>
  <c r="W2527" i="22"/>
  <c r="Y2522" i="22"/>
  <c r="W2525" i="22"/>
  <c r="W2523" i="22"/>
  <c r="Z2569" i="22"/>
  <c r="Y2569" i="22"/>
  <c r="X2569" i="22"/>
  <c r="Z2580" i="22"/>
  <c r="Y2580" i="22"/>
  <c r="X2580" i="22"/>
  <c r="X2557" i="22"/>
  <c r="Z2557" i="22"/>
  <c r="Y2557" i="22"/>
  <c r="Z2537" i="22"/>
  <c r="X2537" i="22"/>
  <c r="Y2537" i="22"/>
  <c r="X2545" i="22"/>
  <c r="Y2545" i="22"/>
  <c r="Z2545" i="22"/>
  <c r="Y2496" i="22"/>
  <c r="X2496" i="22"/>
  <c r="Z2496" i="22"/>
  <c r="X2413" i="22"/>
  <c r="Z2413" i="22"/>
  <c r="Y2413" i="22"/>
  <c r="X2421" i="22"/>
  <c r="Z2421" i="22"/>
  <c r="Y2421" i="22"/>
  <c r="X2433" i="22"/>
  <c r="Z2433" i="22"/>
  <c r="Y2433" i="22"/>
  <c r="Z2351" i="22"/>
  <c r="Y2351" i="22"/>
  <c r="X2351" i="22"/>
  <c r="X2448" i="22"/>
  <c r="Z2448" i="22"/>
  <c r="Y2448" i="22"/>
  <c r="X2374" i="22"/>
  <c r="Z2374" i="22"/>
  <c r="Y2374" i="22"/>
  <c r="Z2430" i="22"/>
  <c r="Y2430" i="22"/>
  <c r="X2430" i="22"/>
  <c r="W2343" i="22"/>
  <c r="W2344" i="22"/>
  <c r="W2345" i="22"/>
  <c r="Z2342" i="22"/>
  <c r="W2347" i="22"/>
  <c r="W2346" i="22"/>
  <c r="Y2342" i="22"/>
  <c r="Y2386" i="22"/>
  <c r="X2386" i="22"/>
  <c r="Z2386" i="22"/>
  <c r="Z2267" i="22"/>
  <c r="Y2267" i="22"/>
  <c r="X2267" i="22"/>
  <c r="W2298" i="22"/>
  <c r="W2296" i="22"/>
  <c r="W2299" i="22"/>
  <c r="W2295" i="22"/>
  <c r="Z2294" i="22"/>
  <c r="Y2294" i="22"/>
  <c r="W2297" i="22"/>
  <c r="X2318" i="22"/>
  <c r="X2238" i="22"/>
  <c r="Z2238" i="22"/>
  <c r="Y2238" i="22"/>
  <c r="Z2364" i="22"/>
  <c r="Y2364" i="22"/>
  <c r="X2364" i="22"/>
  <c r="X2179" i="22"/>
  <c r="Z2179" i="22"/>
  <c r="Y2179" i="22"/>
  <c r="Z2224" i="22"/>
  <c r="X2224" i="22"/>
  <c r="Y2224" i="22"/>
  <c r="Y2275" i="22"/>
  <c r="X2275" i="22"/>
  <c r="Z2275" i="22"/>
  <c r="Z2196" i="22"/>
  <c r="Y2196" i="22"/>
  <c r="X2196" i="22"/>
  <c r="Z2169" i="22"/>
  <c r="Y2169" i="22"/>
  <c r="X2169" i="22"/>
  <c r="X2213" i="22"/>
  <c r="Z2213" i="22"/>
  <c r="Y2213" i="22"/>
  <c r="X2130" i="22"/>
  <c r="Z2130" i="22"/>
  <c r="Y2130" i="22"/>
  <c r="Y2152" i="22"/>
  <c r="Z2152" i="22"/>
  <c r="X2152" i="22"/>
  <c r="Z2124" i="22"/>
  <c r="Y2124" i="22"/>
  <c r="X2124" i="22"/>
  <c r="Y2087" i="22"/>
  <c r="X2087" i="22"/>
  <c r="Z2087" i="22"/>
  <c r="Y2156" i="22"/>
  <c r="X2156" i="22"/>
  <c r="Z2156" i="22"/>
  <c r="X2057" i="22"/>
  <c r="Z1955" i="22"/>
  <c r="Y1955" i="22"/>
  <c r="X1955" i="22"/>
  <c r="Z1976" i="22"/>
  <c r="Y1976" i="22"/>
  <c r="X1976" i="22"/>
  <c r="Z2071" i="22"/>
  <c r="Y2071" i="22"/>
  <c r="X2071" i="22"/>
  <c r="Z2095" i="22"/>
  <c r="Y2095" i="22"/>
  <c r="X2095" i="22"/>
  <c r="Z1924" i="22"/>
  <c r="Y1924" i="22"/>
  <c r="X1924" i="22"/>
  <c r="X1882" i="22"/>
  <c r="Z1882" i="22"/>
  <c r="Y1882" i="22"/>
  <c r="X1900" i="22"/>
  <c r="Z1831" i="22"/>
  <c r="Y1831" i="22"/>
  <c r="Y1742" i="22"/>
  <c r="Z1742" i="22"/>
  <c r="X1845" i="22"/>
  <c r="Z1970" i="22"/>
  <c r="Y1970" i="22"/>
  <c r="X1970" i="22"/>
  <c r="Z1939" i="22"/>
  <c r="Y1939" i="22"/>
  <c r="X1939" i="22"/>
  <c r="Z1922" i="22"/>
  <c r="Y1922" i="22"/>
  <c r="X1922" i="22"/>
  <c r="Y1907" i="22"/>
  <c r="X1907" i="22"/>
  <c r="Z1907" i="22"/>
  <c r="X1842" i="22"/>
  <c r="Z1842" i="22"/>
  <c r="Y1842" i="22"/>
  <c r="Z1994" i="22"/>
  <c r="Y1994" i="22"/>
  <c r="X1994" i="22"/>
  <c r="Y1859" i="22"/>
  <c r="X1859" i="22"/>
  <c r="Z1859" i="22"/>
  <c r="Y1875" i="22"/>
  <c r="X1875" i="22"/>
  <c r="Z1875" i="22"/>
  <c r="W1812" i="22"/>
  <c r="Z1811" i="22"/>
  <c r="Y1811" i="22"/>
  <c r="W1813" i="22"/>
  <c r="Z1979" i="22"/>
  <c r="Y1979" i="22"/>
  <c r="X1979" i="22"/>
  <c r="Y1642" i="22"/>
  <c r="X1642" i="22"/>
  <c r="Z1642" i="22"/>
  <c r="Z1789" i="22"/>
  <c r="Y1789" i="22"/>
  <c r="X1789" i="22"/>
  <c r="Z1803" i="22"/>
  <c r="Y1803" i="22"/>
  <c r="X1803" i="22"/>
  <c r="Z1716" i="22"/>
  <c r="Y1716" i="22"/>
  <c r="X1716" i="22"/>
  <c r="Z1588" i="22"/>
  <c r="Y1588" i="22"/>
  <c r="Z1556" i="22"/>
  <c r="Y1556" i="22"/>
  <c r="Z1514" i="22"/>
  <c r="Y1514" i="22"/>
  <c r="Z1510" i="22"/>
  <c r="Y1510" i="22"/>
  <c r="Z1506" i="22"/>
  <c r="Y1506" i="22"/>
  <c r="Z1502" i="22"/>
  <c r="Y1502" i="22"/>
  <c r="Z1498" i="22"/>
  <c r="Y1498" i="22"/>
  <c r="Z1494" i="22"/>
  <c r="Y1494" i="22"/>
  <c r="Z1490" i="22"/>
  <c r="Y1490" i="22"/>
  <c r="Z1486" i="22"/>
  <c r="Y1486" i="22"/>
  <c r="Z1482" i="22"/>
  <c r="Y1482" i="22"/>
  <c r="Z1478" i="22"/>
  <c r="Y1478" i="22"/>
  <c r="Z1474" i="22"/>
  <c r="Y1474" i="22"/>
  <c r="Z1470" i="22"/>
  <c r="Y1470" i="22"/>
  <c r="Z1466" i="22"/>
  <c r="Y1466" i="22"/>
  <c r="Z1462" i="22"/>
  <c r="Y1462" i="22"/>
  <c r="Z1458" i="22"/>
  <c r="Y1458" i="22"/>
  <c r="Z1454" i="22"/>
  <c r="Y1454" i="22"/>
  <c r="Z1450" i="22"/>
  <c r="Y1450" i="22"/>
  <c r="Z1446" i="22"/>
  <c r="Y1446" i="22"/>
  <c r="Z1442" i="22"/>
  <c r="Y1442" i="22"/>
  <c r="X1577" i="22"/>
  <c r="Z1559" i="22"/>
  <c r="Y1559" i="22"/>
  <c r="Z1526" i="22"/>
  <c r="Y1526" i="22"/>
  <c r="Z1557" i="22"/>
  <c r="Y1557" i="22"/>
  <c r="X1683" i="22"/>
  <c r="X1581" i="22"/>
  <c r="Z1563" i="22"/>
  <c r="Y1563" i="22"/>
  <c r="Z1590" i="22"/>
  <c r="Y1590" i="22"/>
  <c r="Z1558" i="22"/>
  <c r="Y1558" i="22"/>
  <c r="Z1374" i="22"/>
  <c r="Y1374" i="22"/>
  <c r="Z1331" i="22"/>
  <c r="Y1331" i="22"/>
  <c r="X1331" i="22"/>
  <c r="Z1415" i="22"/>
  <c r="Y1415" i="22"/>
  <c r="Z1355" i="22"/>
  <c r="Y1355" i="22"/>
  <c r="Z1330" i="22"/>
  <c r="Y1330" i="22"/>
  <c r="X1330" i="22"/>
  <c r="Z1301" i="22"/>
  <c r="Y1301" i="22"/>
  <c r="Y1635" i="22"/>
  <c r="Z1635" i="22"/>
  <c r="X1491" i="22"/>
  <c r="Z1434" i="22"/>
  <c r="Y1434" i="22"/>
  <c r="Y1320" i="22"/>
  <c r="X1320" i="22"/>
  <c r="Z1320" i="22"/>
  <c r="Y1304" i="22"/>
  <c r="X1304" i="22"/>
  <c r="Z1304" i="22"/>
  <c r="X1462" i="22"/>
  <c r="X1415" i="22"/>
  <c r="Z1362" i="22"/>
  <c r="Y1362" i="22"/>
  <c r="X1807" i="22"/>
  <c r="Z1807" i="22"/>
  <c r="Y1807" i="22"/>
  <c r="Z1338" i="22"/>
  <c r="Y1338" i="22"/>
  <c r="Z1303" i="22"/>
  <c r="Y1303" i="22"/>
  <c r="X1471" i="22"/>
  <c r="Z1358" i="22"/>
  <c r="Y1358" i="22"/>
  <c r="Y1280" i="22"/>
  <c r="Z1280" i="22"/>
  <c r="X1266" i="22"/>
  <c r="X1234" i="22"/>
  <c r="Z1223" i="22"/>
  <c r="Y1223" i="22"/>
  <c r="X1223" i="22"/>
  <c r="X1202" i="22"/>
  <c r="Z1310" i="22"/>
  <c r="Y1310" i="22"/>
  <c r="X1310" i="22"/>
  <c r="Z1159" i="22"/>
  <c r="Y1159" i="22"/>
  <c r="Z1127" i="22"/>
  <c r="Y1127" i="22"/>
  <c r="Z1341" i="22"/>
  <c r="Y1341" i="22"/>
  <c r="X1482" i="22"/>
  <c r="Z1298" i="22"/>
  <c r="Y1298" i="22"/>
  <c r="X1298" i="22"/>
  <c r="X1244" i="22"/>
  <c r="Z1233" i="22"/>
  <c r="Y1233" i="22"/>
  <c r="X1212" i="22"/>
  <c r="Z1333" i="22"/>
  <c r="Y1333" i="22"/>
  <c r="Z1100" i="22"/>
  <c r="Y1100" i="22"/>
  <c r="Z1068" i="22"/>
  <c r="Y1068" i="22"/>
  <c r="Z1053" i="22"/>
  <c r="Y1053" i="22"/>
  <c r="Z992" i="22"/>
  <c r="Y992" i="22"/>
  <c r="Z1182" i="22"/>
  <c r="Y1182" i="22"/>
  <c r="X1127" i="22"/>
  <c r="Z1095" i="22"/>
  <c r="Y1095" i="22"/>
  <c r="Z990" i="22"/>
  <c r="X990" i="22"/>
  <c r="Y990" i="22"/>
  <c r="X948" i="22"/>
  <c r="Z948" i="22"/>
  <c r="Y948" i="22"/>
  <c r="X900" i="22"/>
  <c r="Z900" i="22"/>
  <c r="Y900" i="22"/>
  <c r="Z1090" i="22"/>
  <c r="Y1090" i="22"/>
  <c r="Z1062" i="22"/>
  <c r="Y1062" i="22"/>
  <c r="Z1210" i="22"/>
  <c r="Y1210" i="22"/>
  <c r="X1098" i="22"/>
  <c r="X1066" i="22"/>
  <c r="Z1049" i="22"/>
  <c r="Y1049" i="22"/>
  <c r="X1093" i="22"/>
  <c r="Z1075" i="22"/>
  <c r="Y1075" i="22"/>
  <c r="Z1050" i="22"/>
  <c r="Y1050" i="22"/>
  <c r="Z995" i="22"/>
  <c r="Y995" i="22"/>
  <c r="X995" i="22"/>
  <c r="Z1064" i="22"/>
  <c r="Y1064" i="22"/>
  <c r="Z1051" i="22"/>
  <c r="Y1051" i="22"/>
  <c r="X969" i="22"/>
  <c r="Z901" i="22"/>
  <c r="Y901" i="22"/>
  <c r="Z731" i="22"/>
  <c r="Y731" i="22"/>
  <c r="Z665" i="22"/>
  <c r="Y665" i="22"/>
  <c r="X665" i="22"/>
  <c r="Z993" i="22"/>
  <c r="Y993" i="22"/>
  <c r="X1067" i="22"/>
  <c r="Z968" i="22"/>
  <c r="Y968" i="22"/>
  <c r="Z745" i="22"/>
  <c r="Y745" i="22"/>
  <c r="Y419" i="22"/>
  <c r="W422" i="22"/>
  <c r="W421" i="22"/>
  <c r="W423" i="22"/>
  <c r="W424" i="22"/>
  <c r="Z419" i="22"/>
  <c r="W420" i="22"/>
  <c r="Z976" i="22"/>
  <c r="Y976" i="22"/>
  <c r="Z809" i="22"/>
  <c r="Y809" i="22"/>
  <c r="X937" i="22"/>
  <c r="Z791" i="22"/>
  <c r="Y791" i="22"/>
  <c r="X905" i="22"/>
  <c r="Z805" i="22"/>
  <c r="Y805" i="22"/>
  <c r="U638" i="22"/>
  <c r="Z760" i="22"/>
  <c r="Y760" i="22"/>
  <c r="Z671" i="22"/>
  <c r="Y671" i="22"/>
  <c r="X671" i="22"/>
  <c r="Z627" i="22"/>
  <c r="Y627" i="22"/>
  <c r="Z455" i="22"/>
  <c r="Y455" i="22"/>
  <c r="X455" i="22"/>
  <c r="X760" i="22"/>
  <c r="X626" i="22"/>
  <c r="Z578" i="22"/>
  <c r="Y578" i="22"/>
  <c r="Y551" i="22"/>
  <c r="Z551" i="22"/>
  <c r="Y527" i="22"/>
  <c r="Z527" i="22"/>
  <c r="Z438" i="22"/>
  <c r="Y438" i="22"/>
  <c r="X438" i="22"/>
  <c r="Z598" i="22"/>
  <c r="Y598" i="22"/>
  <c r="Z492" i="22"/>
  <c r="Y492" i="22"/>
  <c r="Z478" i="22"/>
  <c r="Y478" i="22"/>
  <c r="X478" i="22"/>
  <c r="Z738" i="22"/>
  <c r="Y738" i="22"/>
  <c r="S667" i="22"/>
  <c r="U667" i="22" s="1"/>
  <c r="Y667" i="22" s="1"/>
  <c r="P667" i="22"/>
  <c r="Y533" i="22"/>
  <c r="X533" i="22"/>
  <c r="Z533" i="22"/>
  <c r="Z495" i="22"/>
  <c r="Y495" i="22"/>
  <c r="X459" i="22"/>
  <c r="P264" i="22"/>
  <c r="S264" i="22"/>
  <c r="U264" i="22" s="1"/>
  <c r="W646" i="22"/>
  <c r="W648" i="22"/>
  <c r="W645" i="22"/>
  <c r="Z644" i="22"/>
  <c r="Y644" i="22"/>
  <c r="W649" i="22"/>
  <c r="W647" i="22"/>
  <c r="X644" i="22"/>
  <c r="Z621" i="22"/>
  <c r="Y621" i="22"/>
  <c r="Z516" i="22"/>
  <c r="Y516" i="22"/>
  <c r="X936" i="22"/>
  <c r="Z490" i="22"/>
  <c r="Y490" i="22"/>
  <c r="Z538" i="22"/>
  <c r="Y538" i="22"/>
  <c r="X538" i="22"/>
  <c r="X205" i="22"/>
  <c r="Z247" i="22"/>
  <c r="Y247" i="22"/>
  <c r="W195" i="22"/>
  <c r="W194" i="22"/>
  <c r="Z193" i="22"/>
  <c r="Y193" i="22"/>
  <c r="Y273" i="22"/>
  <c r="X273" i="22"/>
  <c r="Z273" i="22"/>
  <c r="Z338" i="22"/>
  <c r="Y338" i="22"/>
  <c r="X338" i="22"/>
  <c r="Z318" i="22"/>
  <c r="Y318" i="22"/>
  <c r="X318" i="22"/>
  <c r="Z212" i="22"/>
  <c r="Y212" i="22"/>
  <c r="X212" i="22"/>
  <c r="Z180" i="22"/>
  <c r="Y180" i="22"/>
  <c r="X180" i="22"/>
  <c r="Z170" i="22"/>
  <c r="Y170" i="22"/>
  <c r="X170" i="22"/>
  <c r="Y682" i="22"/>
  <c r="Z682" i="22"/>
  <c r="X682" i="22"/>
  <c r="X193" i="22"/>
  <c r="X84" i="22"/>
  <c r="X243" i="22"/>
  <c r="U234" i="22"/>
  <c r="Z128" i="22"/>
  <c r="Y128" i="22"/>
  <c r="Z346" i="22"/>
  <c r="Y346" i="22"/>
  <c r="X346" i="22"/>
  <c r="Z327" i="22"/>
  <c r="Y327" i="22"/>
  <c r="X327" i="22"/>
  <c r="W261" i="22"/>
  <c r="Z260" i="22"/>
  <c r="Y260" i="22"/>
  <c r="W263" i="22"/>
  <c r="X260" i="22"/>
  <c r="W264" i="22"/>
  <c r="W262" i="22"/>
  <c r="X173" i="22"/>
  <c r="Z173" i="22"/>
  <c r="Y173" i="22"/>
  <c r="Z308" i="22"/>
  <c r="Y308" i="22"/>
  <c r="X308" i="22"/>
  <c r="Z225" i="22"/>
  <c r="Y225" i="22"/>
  <c r="X225" i="22"/>
  <c r="Z209" i="22"/>
  <c r="Y209" i="22"/>
  <c r="X209" i="22"/>
  <c r="Z313" i="22"/>
  <c r="Y313" i="22"/>
  <c r="X313" i="22"/>
  <c r="Z73" i="22"/>
  <c r="Y73" i="22"/>
  <c r="Z54" i="22"/>
  <c r="Y54" i="22"/>
  <c r="X54" i="22"/>
  <c r="Z81" i="22"/>
  <c r="Y81" i="22"/>
  <c r="X128" i="22"/>
  <c r="W42" i="22"/>
  <c r="Z2698" i="22"/>
  <c r="Y2698" i="22"/>
  <c r="X2698" i="22"/>
  <c r="Y2613" i="22"/>
  <c r="X2613" i="22"/>
  <c r="Z2613" i="22"/>
  <c r="H2600" i="22"/>
  <c r="X2614" i="22"/>
  <c r="Y2614" i="22"/>
  <c r="Z2614" i="22"/>
  <c r="Z2591" i="22"/>
  <c r="Y2591" i="22"/>
  <c r="X2591" i="22"/>
  <c r="Y2599" i="22"/>
  <c r="X2599" i="22"/>
  <c r="Z2599" i="22"/>
  <c r="J2576" i="22"/>
  <c r="X2620" i="22"/>
  <c r="Y2620" i="22"/>
  <c r="Z2620" i="22"/>
  <c r="X2546" i="22"/>
  <c r="Z2579" i="22"/>
  <c r="Y2579" i="22"/>
  <c r="X2579" i="22"/>
  <c r="Y2583" i="22"/>
  <c r="X2583" i="22"/>
  <c r="Z2583" i="22"/>
  <c r="Z2539" i="22"/>
  <c r="X2539" i="22"/>
  <c r="Y2539" i="22"/>
  <c r="X2544" i="22"/>
  <c r="Z2544" i="22"/>
  <c r="Y2544" i="22"/>
  <c r="Z2510" i="22"/>
  <c r="W2515" i="22"/>
  <c r="W2513" i="22"/>
  <c r="W2514" i="22"/>
  <c r="W2512" i="22"/>
  <c r="Y2510" i="22"/>
  <c r="W2511" i="22"/>
  <c r="X2497" i="22"/>
  <c r="Z2497" i="22"/>
  <c r="Y2497" i="22"/>
  <c r="Z2460" i="22"/>
  <c r="Y2460" i="22"/>
  <c r="X2460" i="22"/>
  <c r="X2450" i="22"/>
  <c r="X2438" i="22"/>
  <c r="Y2336" i="22"/>
  <c r="W2337" i="22"/>
  <c r="W2340" i="22"/>
  <c r="W2339" i="22"/>
  <c r="W2338" i="22"/>
  <c r="Z2336" i="22"/>
  <c r="W2341" i="22"/>
  <c r="Z2428" i="22"/>
  <c r="Y2428" i="22"/>
  <c r="X2428" i="22"/>
  <c r="X2397" i="22"/>
  <c r="Z2397" i="22"/>
  <c r="Y2397" i="22"/>
  <c r="W2335" i="22"/>
  <c r="W2333" i="22"/>
  <c r="W2331" i="22"/>
  <c r="W2332" i="22"/>
  <c r="Y2330" i="22"/>
  <c r="X2330" i="22"/>
  <c r="W2334" i="22"/>
  <c r="Z2330" i="22"/>
  <c r="X2389" i="22"/>
  <c r="Z2389" i="22"/>
  <c r="Y2389" i="22"/>
  <c r="W2471" i="22"/>
  <c r="W2472" i="22"/>
  <c r="W2469" i="22"/>
  <c r="Z2468" i="22"/>
  <c r="W2470" i="22"/>
  <c r="Y2468" i="22"/>
  <c r="W2473" i="22"/>
  <c r="Z2265" i="22"/>
  <c r="Y2265" i="22"/>
  <c r="X2265" i="22"/>
  <c r="Y2247" i="22"/>
  <c r="X2247" i="22"/>
  <c r="Z2247" i="22"/>
  <c r="Z2184" i="22"/>
  <c r="Y2184" i="22"/>
  <c r="X2184" i="22"/>
  <c r="Z2362" i="22"/>
  <c r="Y2362" i="22"/>
  <c r="X2362" i="22"/>
  <c r="Z2241" i="22"/>
  <c r="Y2241" i="22"/>
  <c r="X2241" i="22"/>
  <c r="Z2194" i="22"/>
  <c r="Y2194" i="22"/>
  <c r="X2194" i="22"/>
  <c r="Z2226" i="22"/>
  <c r="X2226" i="22"/>
  <c r="Y2226" i="22"/>
  <c r="W2100" i="22"/>
  <c r="W2099" i="22"/>
  <c r="Z2097" i="22"/>
  <c r="W2098" i="22"/>
  <c r="Y2097" i="22"/>
  <c r="X2097" i="22"/>
  <c r="W2166" i="22"/>
  <c r="W2167" i="22"/>
  <c r="W2164" i="22"/>
  <c r="Z2163" i="22"/>
  <c r="Y2163" i="22"/>
  <c r="W2165" i="22"/>
  <c r="W2190" i="22"/>
  <c r="W2188" i="22"/>
  <c r="W2191" i="22"/>
  <c r="W2189" i="22"/>
  <c r="W2187" i="22"/>
  <c r="Z2186" i="22"/>
  <c r="Y2186" i="22"/>
  <c r="Z2054" i="22"/>
  <c r="Y2054" i="22"/>
  <c r="X2054" i="22"/>
  <c r="W2019" i="22"/>
  <c r="W2018" i="22"/>
  <c r="Z2017" i="22"/>
  <c r="Y2017" i="22"/>
  <c r="W2020" i="22"/>
  <c r="Z2229" i="22"/>
  <c r="Y2229" i="22"/>
  <c r="X2229" i="22"/>
  <c r="Z1944" i="22"/>
  <c r="Y1944" i="22"/>
  <c r="X1944" i="22"/>
  <c r="X2072" i="22"/>
  <c r="Z2072" i="22"/>
  <c r="Y2072" i="22"/>
  <c r="W1983" i="22"/>
  <c r="Z1981" i="22"/>
  <c r="W1982" i="22"/>
  <c r="Y1981" i="22"/>
  <c r="W1984" i="22"/>
  <c r="W2035" i="22"/>
  <c r="W2034" i="22"/>
  <c r="Z2033" i="22"/>
  <c r="Y2033" i="22"/>
  <c r="X2033" i="22"/>
  <c r="W2036" i="22"/>
  <c r="Z1908" i="22"/>
  <c r="Y1908" i="22"/>
  <c r="X1908" i="22"/>
  <c r="X2017" i="22"/>
  <c r="Z1815" i="22"/>
  <c r="X1815" i="22"/>
  <c r="Y1815" i="22"/>
  <c r="Z1763" i="22"/>
  <c r="Y1763" i="22"/>
  <c r="W1930" i="22"/>
  <c r="Z1929" i="22"/>
  <c r="Y1929" i="22"/>
  <c r="W1932" i="22"/>
  <c r="X1929" i="22"/>
  <c r="W1931" i="22"/>
  <c r="W1877" i="22"/>
  <c r="Z1876" i="22"/>
  <c r="Y1876" i="22"/>
  <c r="W1879" i="22"/>
  <c r="W1878" i="22"/>
  <c r="Z1827" i="22"/>
  <c r="Y1827" i="22"/>
  <c r="X1763" i="22"/>
  <c r="Z1911" i="22"/>
  <c r="Y1911" i="22"/>
  <c r="X1911" i="22"/>
  <c r="X1972" i="22"/>
  <c r="Z1972" i="22"/>
  <c r="Y1972" i="22"/>
  <c r="W1936" i="22"/>
  <c r="Y1923" i="22"/>
  <c r="X1923" i="22"/>
  <c r="Z1923" i="22"/>
  <c r="W1836" i="22"/>
  <c r="W1835" i="22"/>
  <c r="Z1833" i="22"/>
  <c r="W1834" i="22"/>
  <c r="Y1833" i="22"/>
  <c r="Z1867" i="22"/>
  <c r="Y1867" i="22"/>
  <c r="X1867" i="22"/>
  <c r="X1849" i="22"/>
  <c r="Z1849" i="22"/>
  <c r="Y1849" i="22"/>
  <c r="Z1738" i="22"/>
  <c r="Y1738" i="22"/>
  <c r="Z1667" i="22"/>
  <c r="Y1667" i="22"/>
  <c r="Z1779" i="22"/>
  <c r="Y1779" i="22"/>
  <c r="X1779" i="22"/>
  <c r="Z1729" i="22"/>
  <c r="Y1729" i="22"/>
  <c r="Z1693" i="22"/>
  <c r="Y1693" i="22"/>
  <c r="X1693" i="22"/>
  <c r="Z1790" i="22"/>
  <c r="Y1790" i="22"/>
  <c r="X1790" i="22"/>
  <c r="Y1676" i="22"/>
  <c r="Z1676" i="22"/>
  <c r="X1804" i="22"/>
  <c r="Z1804" i="22"/>
  <c r="Y1804" i="22"/>
  <c r="X1732" i="22"/>
  <c r="Z1717" i="22"/>
  <c r="Y1717" i="22"/>
  <c r="X1717" i="22"/>
  <c r="X1831" i="22"/>
  <c r="X1754" i="22"/>
  <c r="Z1724" i="22"/>
  <c r="Y1724" i="22"/>
  <c r="X1724" i="22"/>
  <c r="Z1659" i="22"/>
  <c r="Y1659" i="22"/>
  <c r="Z1890" i="22"/>
  <c r="Y1890" i="22"/>
  <c r="X1890" i="22"/>
  <c r="Z1525" i="22"/>
  <c r="Y1525" i="22"/>
  <c r="X1553" i="22"/>
  <c r="Z1578" i="22"/>
  <c r="Y1578" i="22"/>
  <c r="Z1546" i="22"/>
  <c r="Y1546" i="22"/>
  <c r="X1525" i="22"/>
  <c r="Z1597" i="22"/>
  <c r="Y1597" i="22"/>
  <c r="X1551" i="22"/>
  <c r="Z1533" i="22"/>
  <c r="Y1533" i="22"/>
  <c r="X1578" i="22"/>
  <c r="Y1617" i="22"/>
  <c r="Z1617" i="22"/>
  <c r="Y1601" i="22"/>
  <c r="Z1601" i="22"/>
  <c r="X1557" i="22"/>
  <c r="Z1539" i="22"/>
  <c r="Y1539" i="22"/>
  <c r="X1617" i="22"/>
  <c r="Z1407" i="22"/>
  <c r="Y1407" i="22"/>
  <c r="Z1297" i="22"/>
  <c r="Y1297" i="22"/>
  <c r="X1483" i="22"/>
  <c r="X1407" i="22"/>
  <c r="X1317" i="22"/>
  <c r="X1301" i="22"/>
  <c r="X1454" i="22"/>
  <c r="Z1346" i="22"/>
  <c r="Y1346" i="22"/>
  <c r="Z1670" i="22"/>
  <c r="Y1670" i="22"/>
  <c r="Z1299" i="22"/>
  <c r="Y1299" i="22"/>
  <c r="X1463" i="22"/>
  <c r="X1418" i="22"/>
  <c r="X1375" i="22"/>
  <c r="Z1430" i="22"/>
  <c r="Y1430" i="22"/>
  <c r="X1383" i="22"/>
  <c r="X1254" i="22"/>
  <c r="X1222" i="22"/>
  <c r="Z1211" i="22"/>
  <c r="Y1211" i="22"/>
  <c r="X1211" i="22"/>
  <c r="Z1294" i="22"/>
  <c r="Y1294" i="22"/>
  <c r="X1294" i="22"/>
  <c r="Z1179" i="22"/>
  <c r="Y1179" i="22"/>
  <c r="Z1147" i="22"/>
  <c r="Y1147" i="22"/>
  <c r="Z1268" i="22"/>
  <c r="Y1268" i="22"/>
  <c r="Z1252" i="22"/>
  <c r="Y1252" i="22"/>
  <c r="Z1236" i="22"/>
  <c r="Y1236" i="22"/>
  <c r="Z1220" i="22"/>
  <c r="Y1220" i="22"/>
  <c r="Z1204" i="22"/>
  <c r="Y1204" i="22"/>
  <c r="X1474" i="22"/>
  <c r="X1264" i="22"/>
  <c r="X1232" i="22"/>
  <c r="Z1221" i="22"/>
  <c r="Y1221" i="22"/>
  <c r="Z1201" i="22"/>
  <c r="Y1201" i="22"/>
  <c r="Z1190" i="22"/>
  <c r="Y1190" i="22"/>
  <c r="Z1186" i="22"/>
  <c r="Y1186" i="22"/>
  <c r="Z1318" i="22"/>
  <c r="Y1318" i="22"/>
  <c r="X1318" i="22"/>
  <c r="X1200" i="22"/>
  <c r="X1311" i="22"/>
  <c r="Z1065" i="22"/>
  <c r="Y1065" i="22"/>
  <c r="X1159" i="22"/>
  <c r="X1089" i="22"/>
  <c r="Z1071" i="22"/>
  <c r="Y1071" i="22"/>
  <c r="X924" i="22"/>
  <c r="Z924" i="22"/>
  <c r="Y924" i="22"/>
  <c r="X1179" i="22"/>
  <c r="X1163" i="22"/>
  <c r="X1147" i="22"/>
  <c r="X1095" i="22"/>
  <c r="Z1077" i="22"/>
  <c r="Y1077" i="22"/>
  <c r="Z1096" i="22"/>
  <c r="Y1096" i="22"/>
  <c r="Z1063" i="22"/>
  <c r="Y1063" i="22"/>
  <c r="X1069" i="22"/>
  <c r="Z1039" i="22"/>
  <c r="Y1039" i="22"/>
  <c r="Z1035" i="22"/>
  <c r="Y1035" i="22"/>
  <c r="Z1031" i="22"/>
  <c r="Y1031" i="22"/>
  <c r="Z1027" i="22"/>
  <c r="Y1027" i="22"/>
  <c r="Z1023" i="22"/>
  <c r="Y1023" i="22"/>
  <c r="Z1019" i="22"/>
  <c r="Y1019" i="22"/>
  <c r="Z1015" i="22"/>
  <c r="Y1015" i="22"/>
  <c r="Z1011" i="22"/>
  <c r="Y1011" i="22"/>
  <c r="Z1007" i="22"/>
  <c r="Y1007" i="22"/>
  <c r="Z1003" i="22"/>
  <c r="Y1003" i="22"/>
  <c r="Z999" i="22"/>
  <c r="Y999" i="22"/>
  <c r="X1285" i="22"/>
  <c r="Z1094" i="22"/>
  <c r="Y1094" i="22"/>
  <c r="X1063" i="22"/>
  <c r="X1049" i="22"/>
  <c r="Z793" i="22"/>
  <c r="Y793" i="22"/>
  <c r="Z734" i="22"/>
  <c r="Y734" i="22"/>
  <c r="X734" i="22"/>
  <c r="X1139" i="22"/>
  <c r="Z937" i="22"/>
  <c r="Y937" i="22"/>
  <c r="Z744" i="22"/>
  <c r="Y744" i="22"/>
  <c r="X744" i="22"/>
  <c r="U691" i="22"/>
  <c r="Z691" i="22" s="1"/>
  <c r="X993" i="22"/>
  <c r="Z757" i="22"/>
  <c r="Y757" i="22"/>
  <c r="Z928" i="22"/>
  <c r="Y928" i="22"/>
  <c r="X817" i="22"/>
  <c r="Z776" i="22"/>
  <c r="Y776" i="22"/>
  <c r="X776" i="22"/>
  <c r="W693" i="22"/>
  <c r="X651" i="22"/>
  <c r="Z651" i="22"/>
  <c r="Y651" i="22"/>
  <c r="X1171" i="22"/>
  <c r="X1091" i="22"/>
  <c r="Z933" i="22"/>
  <c r="Y933" i="22"/>
  <c r="X805" i="22"/>
  <c r="Z521" i="22"/>
  <c r="Y521" i="22"/>
  <c r="Z467" i="22"/>
  <c r="Y467" i="22"/>
  <c r="X456" i="22"/>
  <c r="Z456" i="22"/>
  <c r="Y456" i="22"/>
  <c r="Z549" i="22"/>
  <c r="Y549" i="22"/>
  <c r="X549" i="22"/>
  <c r="X521" i="22"/>
  <c r="Z484" i="22"/>
  <c r="Y484" i="22"/>
  <c r="Z461" i="22"/>
  <c r="Y461" i="22"/>
  <c r="Z442" i="22"/>
  <c r="X961" i="22"/>
  <c r="Z570" i="22"/>
  <c r="Y570" i="22"/>
  <c r="X536" i="22"/>
  <c r="Z509" i="22"/>
  <c r="Y509" i="22"/>
  <c r="X509" i="22"/>
  <c r="Z481" i="22"/>
  <c r="Y481" i="22"/>
  <c r="X481" i="22"/>
  <c r="P382" i="22"/>
  <c r="S382" i="22"/>
  <c r="U382" i="22" s="1"/>
  <c r="Z382" i="22" s="1"/>
  <c r="X623" i="22"/>
  <c r="Y535" i="22"/>
  <c r="X535" i="22"/>
  <c r="Z535" i="22"/>
  <c r="Z586" i="22"/>
  <c r="Y586" i="22"/>
  <c r="X1050" i="22"/>
  <c r="U709" i="22"/>
  <c r="W620" i="22"/>
  <c r="W618" i="22"/>
  <c r="Z617" i="22"/>
  <c r="Y617" i="22"/>
  <c r="W619" i="22"/>
  <c r="Z575" i="22"/>
  <c r="Y575" i="22"/>
  <c r="X913" i="22"/>
  <c r="Z486" i="22"/>
  <c r="Y486" i="22"/>
  <c r="Z231" i="22"/>
  <c r="Y231" i="22"/>
  <c r="Z540" i="22"/>
  <c r="Y540" i="22"/>
  <c r="X540" i="22"/>
  <c r="W258" i="22"/>
  <c r="W259" i="22"/>
  <c r="W257" i="22"/>
  <c r="W256" i="22"/>
  <c r="Z255" i="22"/>
  <c r="Y255" i="22"/>
  <c r="X175" i="22"/>
  <c r="Z131" i="22"/>
  <c r="Y131" i="22"/>
  <c r="Y107" i="22"/>
  <c r="Z107" i="22"/>
  <c r="X107" i="22"/>
  <c r="W146" i="22"/>
  <c r="W145" i="22"/>
  <c r="Z144" i="22"/>
  <c r="Y144" i="22"/>
  <c r="X144" i="22"/>
  <c r="W360" i="22"/>
  <c r="Z359" i="22"/>
  <c r="W362" i="22"/>
  <c r="Y359" i="22"/>
  <c r="X359" i="22"/>
  <c r="W361" i="22"/>
  <c r="W363" i="22"/>
  <c r="W364" i="22"/>
  <c r="Z243" i="22"/>
  <c r="Y243" i="22"/>
  <c r="W168" i="22"/>
  <c r="Z167" i="22"/>
  <c r="Y167" i="22"/>
  <c r="X167" i="22"/>
  <c r="W169" i="22"/>
  <c r="Y166" i="22"/>
  <c r="X166" i="22"/>
  <c r="Z166" i="22"/>
  <c r="Z683" i="22"/>
  <c r="Y683" i="22"/>
  <c r="X683" i="22"/>
  <c r="Z610" i="22"/>
  <c r="Y610" i="22"/>
  <c r="X610" i="22"/>
  <c r="Z127" i="22"/>
  <c r="Y127" i="22"/>
  <c r="Z378" i="22"/>
  <c r="Y378" i="22"/>
  <c r="X378" i="22"/>
  <c r="Y345" i="22"/>
  <c r="X345" i="22"/>
  <c r="Z345" i="22"/>
  <c r="Z110" i="22"/>
  <c r="Y110" i="22"/>
  <c r="S334" i="22"/>
  <c r="U334" i="22" s="1"/>
  <c r="P334" i="22"/>
  <c r="Z306" i="22"/>
  <c r="Y306" i="22"/>
  <c r="X306" i="22"/>
  <c r="Z188" i="22"/>
  <c r="Y188" i="22"/>
  <c r="X188" i="22"/>
  <c r="Z2693" i="22"/>
  <c r="Y2693" i="22"/>
  <c r="Z2652" i="22"/>
  <c r="Y2652" i="22"/>
  <c r="W2573" i="22"/>
  <c r="W2574" i="22"/>
  <c r="W2571" i="22"/>
  <c r="Z2570" i="22"/>
  <c r="X2570" i="22"/>
  <c r="W2575" i="22"/>
  <c r="W2572" i="22"/>
  <c r="Y2570" i="22"/>
  <c r="H2606" i="22"/>
  <c r="H2582" i="22"/>
  <c r="W2628" i="22"/>
  <c r="W2629" i="22"/>
  <c r="W2626" i="22"/>
  <c r="W2625" i="22"/>
  <c r="W2627" i="22"/>
  <c r="Y2624" i="22"/>
  <c r="Z2624" i="22"/>
  <c r="Z2598" i="22"/>
  <c r="Y2598" i="22"/>
  <c r="X2598" i="22"/>
  <c r="Y2607" i="22"/>
  <c r="X2607" i="22"/>
  <c r="Z2607" i="22"/>
  <c r="Y2587" i="22"/>
  <c r="X2587" i="22"/>
  <c r="Z2587" i="22"/>
  <c r="Z2484" i="22"/>
  <c r="X2484" i="22"/>
  <c r="Y2484" i="22"/>
  <c r="X2505" i="22"/>
  <c r="Z2505" i="22"/>
  <c r="Y2505" i="22"/>
  <c r="X2409" i="22"/>
  <c r="Z2409" i="22"/>
  <c r="Y2409" i="22"/>
  <c r="Z2402" i="22"/>
  <c r="W2404" i="22"/>
  <c r="W2406" i="22"/>
  <c r="Y2402" i="22"/>
  <c r="W2405" i="22"/>
  <c r="W2403" i="22"/>
  <c r="W2407" i="22"/>
  <c r="X2422" i="22"/>
  <c r="Z2422" i="22"/>
  <c r="Y2422" i="22"/>
  <c r="Z2366" i="22"/>
  <c r="W2367" i="22"/>
  <c r="W2368" i="22"/>
  <c r="W2371" i="22"/>
  <c r="W2370" i="22"/>
  <c r="W2369" i="22"/>
  <c r="Y2366" i="22"/>
  <c r="X2434" i="22"/>
  <c r="Y2434" i="22"/>
  <c r="Z2434" i="22"/>
  <c r="Y2312" i="22"/>
  <c r="W2313" i="22"/>
  <c r="W2316" i="22"/>
  <c r="W2315" i="22"/>
  <c r="W2314" i="22"/>
  <c r="Z2312" i="22"/>
  <c r="W2317" i="22"/>
  <c r="X2353" i="22"/>
  <c r="Z2353" i="22"/>
  <c r="Y2353" i="22"/>
  <c r="Y2249" i="22"/>
  <c r="X2249" i="22"/>
  <c r="Z2249" i="22"/>
  <c r="Y2288" i="22"/>
  <c r="W2292" i="22"/>
  <c r="W2289" i="22"/>
  <c r="Z2288" i="22"/>
  <c r="W2291" i="22"/>
  <c r="W2293" i="22"/>
  <c r="W2290" i="22"/>
  <c r="X2222" i="22"/>
  <c r="W2223" i="22"/>
  <c r="W2259" i="22"/>
  <c r="Z2182" i="22"/>
  <c r="Y2182" i="22"/>
  <c r="X2182" i="22"/>
  <c r="X2365" i="22"/>
  <c r="Z2365" i="22"/>
  <c r="Y2365" i="22"/>
  <c r="Z2243" i="22"/>
  <c r="Y2243" i="22"/>
  <c r="X2243" i="22"/>
  <c r="Y2283" i="22"/>
  <c r="X2283" i="22"/>
  <c r="Z2283" i="22"/>
  <c r="Z2176" i="22"/>
  <c r="Y2176" i="22"/>
  <c r="X2176" i="22"/>
  <c r="X2119" i="22"/>
  <c r="Z2119" i="22"/>
  <c r="Y2119" i="22"/>
  <c r="Z2272" i="22"/>
  <c r="Y2272" i="22"/>
  <c r="X2272" i="22"/>
  <c r="X2214" i="22"/>
  <c r="Z2214" i="22"/>
  <c r="Y2214" i="22"/>
  <c r="Z2173" i="22"/>
  <c r="Y2173" i="22"/>
  <c r="X2173" i="22"/>
  <c r="Y2158" i="22"/>
  <c r="W2161" i="22"/>
  <c r="W2162" i="22"/>
  <c r="W2160" i="22"/>
  <c r="Z2158" i="22"/>
  <c r="W2159" i="22"/>
  <c r="W2135" i="22"/>
  <c r="W2136" i="22"/>
  <c r="W2134" i="22"/>
  <c r="Z2133" i="22"/>
  <c r="Y2133" i="22"/>
  <c r="W2137" i="22"/>
  <c r="Y2101" i="22"/>
  <c r="W2102" i="22"/>
  <c r="W2104" i="22"/>
  <c r="Z2101" i="22"/>
  <c r="X2101" i="22"/>
  <c r="W2103" i="22"/>
  <c r="Z2055" i="22"/>
  <c r="Y2055" i="22"/>
  <c r="X2055" i="22"/>
  <c r="Z2230" i="22"/>
  <c r="Y2230" i="22"/>
  <c r="X2230" i="22"/>
  <c r="W2106" i="22"/>
  <c r="Y2126" i="22"/>
  <c r="Z2126" i="22"/>
  <c r="X2126" i="22"/>
  <c r="W1951" i="22"/>
  <c r="Z1949" i="22"/>
  <c r="W1950" i="22"/>
  <c r="Y1949" i="22"/>
  <c r="W1952" i="22"/>
  <c r="X1853" i="22"/>
  <c r="Z1826" i="22"/>
  <c r="Y1826" i="22"/>
  <c r="Z1755" i="22"/>
  <c r="Y1755" i="22"/>
  <c r="X1755" i="22"/>
  <c r="X1981" i="22"/>
  <c r="X1912" i="22"/>
  <c r="Z1912" i="22"/>
  <c r="Y1912" i="22"/>
  <c r="W1920" i="22"/>
  <c r="W1851" i="22"/>
  <c r="Z1850" i="22"/>
  <c r="Y1850" i="22"/>
  <c r="W1852" i="22"/>
  <c r="X2001" i="22"/>
  <c r="P2716" i="22"/>
  <c r="Z1775" i="22"/>
  <c r="Y1775" i="22"/>
  <c r="X1775" i="22"/>
  <c r="Z1691" i="22"/>
  <c r="Y1691" i="22"/>
  <c r="V1690" i="22"/>
  <c r="V2715" i="22" s="1"/>
  <c r="X1691" i="22"/>
  <c r="Z1788" i="22"/>
  <c r="Y1788" i="22"/>
  <c r="X1788" i="22"/>
  <c r="X1742" i="22"/>
  <c r="Z1754" i="22"/>
  <c r="Y1754" i="22"/>
  <c r="U2715" i="22"/>
  <c r="Y1784" i="22"/>
  <c r="Z1784" i="22"/>
  <c r="Y1769" i="22"/>
  <c r="Z1769" i="22"/>
  <c r="Z1725" i="22"/>
  <c r="Y1725" i="22"/>
  <c r="X1725" i="22"/>
  <c r="Y1891" i="22"/>
  <c r="X1891" i="22"/>
  <c r="Z1891" i="22"/>
  <c r="Z1580" i="22"/>
  <c r="Y1580" i="22"/>
  <c r="Z1548" i="22"/>
  <c r="Y1548" i="22"/>
  <c r="Z1513" i="22"/>
  <c r="Y1513" i="22"/>
  <c r="Z1509" i="22"/>
  <c r="Y1509" i="22"/>
  <c r="Z1505" i="22"/>
  <c r="Y1505" i="22"/>
  <c r="Z1501" i="22"/>
  <c r="Y1501" i="22"/>
  <c r="Z1497" i="22"/>
  <c r="Y1497" i="22"/>
  <c r="Z1493" i="22"/>
  <c r="Y1493" i="22"/>
  <c r="Z1489" i="22"/>
  <c r="Y1489" i="22"/>
  <c r="Z1485" i="22"/>
  <c r="Y1485" i="22"/>
  <c r="Z1481" i="22"/>
  <c r="Y1481" i="22"/>
  <c r="Z1477" i="22"/>
  <c r="Y1477" i="22"/>
  <c r="Z1473" i="22"/>
  <c r="Y1473" i="22"/>
  <c r="Z1469" i="22"/>
  <c r="Y1469" i="22"/>
  <c r="Z1465" i="22"/>
  <c r="Y1465" i="22"/>
  <c r="Z1461" i="22"/>
  <c r="Y1461" i="22"/>
  <c r="Z1457" i="22"/>
  <c r="Y1457" i="22"/>
  <c r="Z1453" i="22"/>
  <c r="Y1453" i="22"/>
  <c r="Z1449" i="22"/>
  <c r="Y1449" i="22"/>
  <c r="Z1445" i="22"/>
  <c r="Y1445" i="22"/>
  <c r="Z1441" i="22"/>
  <c r="Y1441" i="22"/>
  <c r="X1593" i="22"/>
  <c r="Z1575" i="22"/>
  <c r="Y1575" i="22"/>
  <c r="Z1439" i="22"/>
  <c r="Y1439" i="22"/>
  <c r="X1659" i="22"/>
  <c r="X1591" i="22"/>
  <c r="Z1573" i="22"/>
  <c r="Y1573" i="22"/>
  <c r="X1597" i="22"/>
  <c r="Z1579" i="22"/>
  <c r="Y1579" i="22"/>
  <c r="X1533" i="22"/>
  <c r="Z1582" i="22"/>
  <c r="Y1582" i="22"/>
  <c r="Z1550" i="22"/>
  <c r="Y1550" i="22"/>
  <c r="X1509" i="22"/>
  <c r="X1445" i="22"/>
  <c r="X1399" i="22"/>
  <c r="Z1370" i="22"/>
  <c r="Y1370" i="22"/>
  <c r="Z1325" i="22"/>
  <c r="Y1325" i="22"/>
  <c r="Z1293" i="22"/>
  <c r="Y1293" i="22"/>
  <c r="X1475" i="22"/>
  <c r="Z1379" i="22"/>
  <c r="Y1379" i="22"/>
  <c r="Y1316" i="22"/>
  <c r="X1316" i="22"/>
  <c r="Z1316" i="22"/>
  <c r="Y1300" i="22"/>
  <c r="X1300" i="22"/>
  <c r="Z1300" i="22"/>
  <c r="X1510" i="22"/>
  <c r="X1446" i="22"/>
  <c r="X1473" i="22"/>
  <c r="X1371" i="22"/>
  <c r="Z1327" i="22"/>
  <c r="Y1327" i="22"/>
  <c r="Z1295" i="22"/>
  <c r="Y1295" i="22"/>
  <c r="X1455" i="22"/>
  <c r="Z1322" i="22"/>
  <c r="Y1322" i="22"/>
  <c r="X1322" i="22"/>
  <c r="Z1196" i="22"/>
  <c r="Y1196" i="22"/>
  <c r="Z1277" i="22"/>
  <c r="Y1277" i="22"/>
  <c r="X1242" i="22"/>
  <c r="Z1231" i="22"/>
  <c r="Y1231" i="22"/>
  <c r="X1231" i="22"/>
  <c r="X1280" i="22"/>
  <c r="X1466" i="22"/>
  <c r="Y1288" i="22"/>
  <c r="X1288" i="22"/>
  <c r="Z1288" i="22"/>
  <c r="X1252" i="22"/>
  <c r="Z1241" i="22"/>
  <c r="Y1241" i="22"/>
  <c r="X1220" i="22"/>
  <c r="Z1209" i="22"/>
  <c r="Y1209" i="22"/>
  <c r="Z1302" i="22"/>
  <c r="Y1302" i="22"/>
  <c r="X1302" i="22"/>
  <c r="Z1092" i="22"/>
  <c r="Y1092" i="22"/>
  <c r="X1175" i="22"/>
  <c r="Z986" i="22"/>
  <c r="X986" i="22"/>
  <c r="Y986" i="22"/>
  <c r="X964" i="22"/>
  <c r="Z964" i="22"/>
  <c r="Y964" i="22"/>
  <c r="X892" i="22"/>
  <c r="Z892" i="22"/>
  <c r="Y892" i="22"/>
  <c r="Z1082" i="22"/>
  <c r="Y1082" i="22"/>
  <c r="X1071" i="22"/>
  <c r="X1090" i="22"/>
  <c r="X1062" i="22"/>
  <c r="P2714" i="22"/>
  <c r="Z1091" i="22"/>
  <c r="Y1091" i="22"/>
  <c r="Z1060" i="22"/>
  <c r="Y1060" i="22"/>
  <c r="X1191" i="22"/>
  <c r="X1039" i="22"/>
  <c r="X1031" i="22"/>
  <c r="X1023" i="22"/>
  <c r="X1015" i="22"/>
  <c r="X1007" i="22"/>
  <c r="X999" i="22"/>
  <c r="X758" i="22"/>
  <c r="W433" i="22"/>
  <c r="W435" i="22"/>
  <c r="W436" i="22"/>
  <c r="W432" i="22"/>
  <c r="Z431" i="22"/>
  <c r="Y431" i="22"/>
  <c r="W434" i="22"/>
  <c r="X431" i="22"/>
  <c r="Z912" i="22"/>
  <c r="Y912" i="22"/>
  <c r="Z761" i="22"/>
  <c r="Y761" i="22"/>
  <c r="X761" i="22"/>
  <c r="Z729" i="22"/>
  <c r="Y729" i="22"/>
  <c r="X729" i="22"/>
  <c r="Y653" i="22"/>
  <c r="X653" i="22"/>
  <c r="Z653" i="22"/>
  <c r="Z965" i="22"/>
  <c r="Y965" i="22"/>
  <c r="Z909" i="22"/>
  <c r="Y909" i="22"/>
  <c r="Z988" i="22"/>
  <c r="Y988" i="22"/>
  <c r="Z825" i="22"/>
  <c r="Y825" i="22"/>
  <c r="X1036" i="22"/>
  <c r="X1028" i="22"/>
  <c r="X1020" i="22"/>
  <c r="X1012" i="22"/>
  <c r="X1004" i="22"/>
  <c r="X996" i="22"/>
  <c r="X703" i="22"/>
  <c r="Z703" i="22"/>
  <c r="Y703" i="22"/>
  <c r="Z961" i="22"/>
  <c r="Y961" i="22"/>
  <c r="X953" i="22"/>
  <c r="X928" i="22"/>
  <c r="Z893" i="22"/>
  <c r="Y893" i="22"/>
  <c r="Z796" i="22"/>
  <c r="Y796" i="22"/>
  <c r="W675" i="22"/>
  <c r="Z674" i="22"/>
  <c r="W676" i="22"/>
  <c r="W678" i="22"/>
  <c r="Y674" i="22"/>
  <c r="W677" i="22"/>
  <c r="W679" i="22"/>
  <c r="Y669" i="22"/>
  <c r="Z669" i="22"/>
  <c r="X669" i="22"/>
  <c r="X571" i="22"/>
  <c r="Z514" i="22"/>
  <c r="Y514" i="22"/>
  <c r="S643" i="22"/>
  <c r="U643" i="22" s="1"/>
  <c r="P643" i="22"/>
  <c r="Z518" i="22"/>
  <c r="Y518" i="22"/>
  <c r="X518" i="22"/>
  <c r="Y441" i="22"/>
  <c r="X441" i="22"/>
  <c r="Z441" i="22"/>
  <c r="X588" i="22"/>
  <c r="Z506" i="22"/>
  <c r="Y506" i="22"/>
  <c r="Y479" i="22"/>
  <c r="X479" i="22"/>
  <c r="Z479" i="22"/>
  <c r="X656" i="22"/>
  <c r="X492" i="22"/>
  <c r="Z808" i="22"/>
  <c r="Y808" i="22"/>
  <c r="X808" i="22"/>
  <c r="X613" i="22"/>
  <c r="Z510" i="22"/>
  <c r="Y510" i="22"/>
  <c r="V840" i="22"/>
  <c r="V2714" i="22" s="1"/>
  <c r="Z526" i="22"/>
  <c r="Y526" i="22"/>
  <c r="Z500" i="22"/>
  <c r="Y500" i="22"/>
  <c r="U310" i="22"/>
  <c r="X310" i="22" s="1"/>
  <c r="X617" i="22"/>
  <c r="Z122" i="22"/>
  <c r="Y122" i="22"/>
  <c r="X103" i="22"/>
  <c r="X1563" i="22"/>
  <c r="Z106" i="22"/>
  <c r="Y106" i="22"/>
  <c r="Z321" i="22"/>
  <c r="Y321" i="22"/>
  <c r="X321" i="22"/>
  <c r="Z280" i="22"/>
  <c r="Y280" i="22"/>
  <c r="X280" i="22"/>
  <c r="X255" i="22"/>
  <c r="Z204" i="22"/>
  <c r="Y204" i="22"/>
  <c r="X204" i="22"/>
  <c r="Z154" i="22"/>
  <c r="Y154" i="22"/>
  <c r="X154" i="22"/>
  <c r="Y182" i="22"/>
  <c r="X182" i="22"/>
  <c r="Z182" i="22"/>
  <c r="Z304" i="22"/>
  <c r="Y304" i="22"/>
  <c r="X304" i="22"/>
  <c r="Z685" i="22"/>
  <c r="Y685" i="22"/>
  <c r="X685" i="22"/>
  <c r="X247" i="22"/>
  <c r="X155" i="22"/>
  <c r="Z155" i="22"/>
  <c r="Y155" i="22"/>
  <c r="X157" i="22"/>
  <c r="Z157" i="22"/>
  <c r="Y157" i="22"/>
  <c r="W125" i="22"/>
  <c r="Z550" i="22"/>
  <c r="Y550" i="22"/>
  <c r="X550" i="22"/>
  <c r="X343" i="22"/>
  <c r="Z343" i="22"/>
  <c r="Y343" i="22"/>
  <c r="W285" i="22"/>
  <c r="Z284" i="22"/>
  <c r="W286" i="22"/>
  <c r="Y284" i="22"/>
  <c r="X1531" i="22"/>
  <c r="X114" i="22"/>
  <c r="Z64" i="22"/>
  <c r="Y64" i="22"/>
  <c r="Y55" i="22"/>
  <c r="Z55" i="22"/>
  <c r="Z2686" i="22"/>
  <c r="Y2686" i="22"/>
  <c r="Z2643" i="22"/>
  <c r="Y2643" i="22"/>
  <c r="X2655" i="22"/>
  <c r="Y2659" i="22"/>
  <c r="Z2659" i="22"/>
  <c r="X2659" i="22"/>
  <c r="H2612" i="22"/>
  <c r="J2600" i="22"/>
  <c r="Z2604" i="22"/>
  <c r="Y2604" i="22"/>
  <c r="X2604" i="22"/>
  <c r="X2590" i="22"/>
  <c r="Y2590" i="22"/>
  <c r="Z2590" i="22"/>
  <c r="Z2563" i="22"/>
  <c r="Y2563" i="22"/>
  <c r="X2563" i="22"/>
  <c r="Z2597" i="22"/>
  <c r="Y2597" i="22"/>
  <c r="X2597" i="22"/>
  <c r="Z2622" i="22"/>
  <c r="X2622" i="22"/>
  <c r="Y2622" i="22"/>
  <c r="Z2567" i="22"/>
  <c r="Y2567" i="22"/>
  <c r="X2567" i="22"/>
  <c r="Y2554" i="22"/>
  <c r="X2554" i="22"/>
  <c r="Z2554" i="22"/>
  <c r="Y2611" i="22"/>
  <c r="X2611" i="22"/>
  <c r="Z2611" i="22"/>
  <c r="Z2586" i="22"/>
  <c r="Y2586" i="22"/>
  <c r="X2586" i="22"/>
  <c r="Z2516" i="22"/>
  <c r="Y2516" i="22"/>
  <c r="W2520" i="22"/>
  <c r="W2521" i="22"/>
  <c r="W2518" i="22"/>
  <c r="W2517" i="22"/>
  <c r="W2519" i="22"/>
  <c r="X2542" i="22"/>
  <c r="Z2542" i="22"/>
  <c r="Y2542" i="22"/>
  <c r="W2533" i="22"/>
  <c r="W2531" i="22"/>
  <c r="W2532" i="22"/>
  <c r="W2529" i="22"/>
  <c r="Z2528" i="22"/>
  <c r="W2530" i="22"/>
  <c r="Y2528" i="22"/>
  <c r="Z2482" i="22"/>
  <c r="Y2482" i="22"/>
  <c r="X2482" i="22"/>
  <c r="X2509" i="22"/>
  <c r="Z2509" i="22"/>
  <c r="Y2509" i="22"/>
  <c r="X2423" i="22"/>
  <c r="Z2423" i="22"/>
  <c r="Y2423" i="22"/>
  <c r="X2435" i="22"/>
  <c r="Z2435" i="22"/>
  <c r="Y2435" i="22"/>
  <c r="Z2349" i="22"/>
  <c r="X2349" i="22"/>
  <c r="Y2349" i="22"/>
  <c r="X2446" i="22"/>
  <c r="Y2446" i="22"/>
  <c r="Z2446" i="22"/>
  <c r="X2377" i="22"/>
  <c r="Z2377" i="22"/>
  <c r="Y2377" i="22"/>
  <c r="Z2266" i="22"/>
  <c r="Y2266" i="22"/>
  <c r="X2266" i="22"/>
  <c r="X2366" i="22"/>
  <c r="X2398" i="22"/>
  <c r="Y2398" i="22"/>
  <c r="Z2398" i="22"/>
  <c r="Y2251" i="22"/>
  <c r="X2251" i="22"/>
  <c r="Z2251" i="22"/>
  <c r="Z2216" i="22"/>
  <c r="Y2216" i="22"/>
  <c r="W2221" i="22"/>
  <c r="W2217" i="22"/>
  <c r="W2220" i="22"/>
  <c r="W2219" i="22"/>
  <c r="W2218" i="22"/>
  <c r="W2261" i="22"/>
  <c r="X2284" i="22"/>
  <c r="Z2284" i="22"/>
  <c r="Y2284" i="22"/>
  <c r="Z2245" i="22"/>
  <c r="Y2245" i="22"/>
  <c r="X2245" i="22"/>
  <c r="Z2285" i="22"/>
  <c r="Y2285" i="22"/>
  <c r="X2285" i="22"/>
  <c r="Z2178" i="22"/>
  <c r="Y2178" i="22"/>
  <c r="X2178" i="22"/>
  <c r="W2227" i="22"/>
  <c r="Z2274" i="22"/>
  <c r="Y2274" i="22"/>
  <c r="X2274" i="22"/>
  <c r="Z2121" i="22"/>
  <c r="Y2121" i="22"/>
  <c r="X2121" i="22"/>
  <c r="X2138" i="22"/>
  <c r="Z2081" i="22"/>
  <c r="W2082" i="22"/>
  <c r="Y2081" i="22"/>
  <c r="W2084" i="22"/>
  <c r="W2083" i="22"/>
  <c r="X2163" i="22"/>
  <c r="Z1954" i="22"/>
  <c r="X1954" i="22"/>
  <c r="Y1954" i="22"/>
  <c r="X1997" i="22"/>
  <c r="Y2154" i="22"/>
  <c r="Z2154" i="22"/>
  <c r="X2154" i="22"/>
  <c r="X2005" i="22"/>
  <c r="Z2231" i="22"/>
  <c r="Y2231" i="22"/>
  <c r="X2231" i="22"/>
  <c r="W2107" i="22"/>
  <c r="W2043" i="22"/>
  <c r="W2042" i="22"/>
  <c r="Z2041" i="22"/>
  <c r="X2041" i="22"/>
  <c r="W2044" i="22"/>
  <c r="Y2041" i="22"/>
  <c r="Z2181" i="22"/>
  <c r="Y2181" i="22"/>
  <c r="X2181" i="22"/>
  <c r="X2113" i="22"/>
  <c r="Z1829" i="22"/>
  <c r="Y1829" i="22"/>
  <c r="Z1771" i="22"/>
  <c r="Y1771" i="22"/>
  <c r="X2081" i="22"/>
  <c r="W2203" i="22"/>
  <c r="W2201" i="22"/>
  <c r="W2199" i="22"/>
  <c r="Z2198" i="22"/>
  <c r="Y2198" i="22"/>
  <c r="X2198" i="22"/>
  <c r="W2202" i="22"/>
  <c r="W2200" i="22"/>
  <c r="Z1971" i="22"/>
  <c r="Y1971" i="22"/>
  <c r="X1971" i="22"/>
  <c r="Z1905" i="22"/>
  <c r="Y1905" i="22"/>
  <c r="X1905" i="22"/>
  <c r="X1846" i="22"/>
  <c r="Z1899" i="22"/>
  <c r="Y1899" i="22"/>
  <c r="X1899" i="22"/>
  <c r="Z1857" i="22"/>
  <c r="Y1857" i="22"/>
  <c r="X1857" i="22"/>
  <c r="Z1873" i="22"/>
  <c r="Y1873" i="22"/>
  <c r="X1873" i="22"/>
  <c r="X1833" i="22"/>
  <c r="X1737" i="22"/>
  <c r="X1771" i="22"/>
  <c r="Z1837" i="22"/>
  <c r="Y1837" i="22"/>
  <c r="X1837" i="22"/>
  <c r="X1688" i="22"/>
  <c r="X1726" i="22"/>
  <c r="Z1726" i="22"/>
  <c r="Y1726" i="22"/>
  <c r="X1676" i="22"/>
  <c r="X1635" i="22"/>
  <c r="Z1521" i="22"/>
  <c r="Y1521" i="22"/>
  <c r="X1569" i="22"/>
  <c r="Z1426" i="22"/>
  <c r="Y1426" i="22"/>
  <c r="Z1410" i="22"/>
  <c r="Y1410" i="22"/>
  <c r="Z1394" i="22"/>
  <c r="Y1394" i="22"/>
  <c r="Z1378" i="22"/>
  <c r="Y1378" i="22"/>
  <c r="Z1641" i="22"/>
  <c r="Y1641" i="22"/>
  <c r="Z1570" i="22"/>
  <c r="Y1570" i="22"/>
  <c r="Z1538" i="22"/>
  <c r="Y1538" i="22"/>
  <c r="X1641" i="22"/>
  <c r="X1567" i="22"/>
  <c r="X1667" i="22"/>
  <c r="Y1613" i="22"/>
  <c r="Z1613" i="22"/>
  <c r="X1573" i="22"/>
  <c r="Z1555" i="22"/>
  <c r="Y1555" i="22"/>
  <c r="Z1639" i="22"/>
  <c r="Y1639" i="22"/>
  <c r="X1501" i="22"/>
  <c r="X1391" i="22"/>
  <c r="X1354" i="22"/>
  <c r="Z1321" i="22"/>
  <c r="Y1321" i="22"/>
  <c r="X1467" i="22"/>
  <c r="X1374" i="22"/>
  <c r="X1313" i="22"/>
  <c r="X1297" i="22"/>
  <c r="X1502" i="22"/>
  <c r="X1438" i="22"/>
  <c r="X1382" i="22"/>
  <c r="X1465" i="22"/>
  <c r="X1423" i="22"/>
  <c r="Z1323" i="22"/>
  <c r="Y1323" i="22"/>
  <c r="Z1291" i="22"/>
  <c r="Y1291" i="22"/>
  <c r="X1511" i="22"/>
  <c r="X1447" i="22"/>
  <c r="Z1411" i="22"/>
  <c r="Y1411" i="22"/>
  <c r="Z1306" i="22"/>
  <c r="Y1306" i="22"/>
  <c r="X1306" i="22"/>
  <c r="X1194" i="22"/>
  <c r="X1262" i="22"/>
  <c r="X1230" i="22"/>
  <c r="Z1219" i="22"/>
  <c r="Y1219" i="22"/>
  <c r="X1219" i="22"/>
  <c r="Z1197" i="22"/>
  <c r="Y1197" i="22"/>
  <c r="X1197" i="22"/>
  <c r="Z1155" i="22"/>
  <c r="Y1155" i="22"/>
  <c r="Z1123" i="22"/>
  <c r="Y1123" i="22"/>
  <c r="Z1199" i="22"/>
  <c r="Y1199" i="22"/>
  <c r="X1458" i="22"/>
  <c r="X1272" i="22"/>
  <c r="X1240" i="22"/>
  <c r="Z1229" i="22"/>
  <c r="Y1229" i="22"/>
  <c r="X1208" i="22"/>
  <c r="Z1193" i="22"/>
  <c r="Y1193" i="22"/>
  <c r="Z1189" i="22"/>
  <c r="Y1189" i="22"/>
  <c r="Z1185" i="22"/>
  <c r="Y1185" i="22"/>
  <c r="Z1349" i="22"/>
  <c r="Y1349" i="22"/>
  <c r="X1281" i="22"/>
  <c r="Z1061" i="22"/>
  <c r="Y1061" i="22"/>
  <c r="X1233" i="22"/>
  <c r="X1105" i="22"/>
  <c r="X940" i="22"/>
  <c r="Z940" i="22"/>
  <c r="Y940" i="22"/>
  <c r="U2714" i="22"/>
  <c r="X1076" i="22"/>
  <c r="Z1088" i="22"/>
  <c r="Y1088" i="22"/>
  <c r="Z1059" i="22"/>
  <c r="Y1059" i="22"/>
  <c r="X1085" i="22"/>
  <c r="Z1042" i="22"/>
  <c r="Y1042" i="22"/>
  <c r="Z1038" i="22"/>
  <c r="Y1038" i="22"/>
  <c r="Z1034" i="22"/>
  <c r="Y1034" i="22"/>
  <c r="Z1030" i="22"/>
  <c r="Y1030" i="22"/>
  <c r="Z1026" i="22"/>
  <c r="Y1026" i="22"/>
  <c r="Z1022" i="22"/>
  <c r="Y1022" i="22"/>
  <c r="Z1018" i="22"/>
  <c r="Y1018" i="22"/>
  <c r="Z1014" i="22"/>
  <c r="Y1014" i="22"/>
  <c r="Z1010" i="22"/>
  <c r="Y1010" i="22"/>
  <c r="Z1006" i="22"/>
  <c r="Y1006" i="22"/>
  <c r="Z1002" i="22"/>
  <c r="Y1002" i="22"/>
  <c r="Z998" i="22"/>
  <c r="Y998" i="22"/>
  <c r="Z1086" i="22"/>
  <c r="Y1086" i="22"/>
  <c r="X1059" i="22"/>
  <c r="Z789" i="22"/>
  <c r="Y789" i="22"/>
  <c r="Z960" i="22"/>
  <c r="Y960" i="22"/>
  <c r="X960" i="22"/>
  <c r="P436" i="22"/>
  <c r="S436" i="22"/>
  <c r="U436" i="22" s="1"/>
  <c r="X994" i="22"/>
  <c r="Z920" i="22"/>
  <c r="Y920" i="22"/>
  <c r="Z702" i="22"/>
  <c r="Y702" i="22"/>
  <c r="X702" i="22"/>
  <c r="Z925" i="22"/>
  <c r="Y925" i="22"/>
  <c r="Z766" i="22"/>
  <c r="Y766" i="22"/>
  <c r="Y690" i="22"/>
  <c r="Z690" i="22"/>
  <c r="X690" i="22"/>
  <c r="Z594" i="22"/>
  <c r="Y594" i="22"/>
  <c r="X594" i="22"/>
  <c r="X1075" i="22"/>
  <c r="X795" i="22"/>
  <c r="Z768" i="22"/>
  <c r="Y768" i="22"/>
  <c r="Z798" i="22"/>
  <c r="Y798" i="22"/>
  <c r="X798" i="22"/>
  <c r="Y568" i="22"/>
  <c r="Z568" i="22"/>
  <c r="Y472" i="22"/>
  <c r="W475" i="22"/>
  <c r="W474" i="22"/>
  <c r="W476" i="22"/>
  <c r="Z472" i="22"/>
  <c r="W473" i="22"/>
  <c r="X439" i="22"/>
  <c r="Z439" i="22"/>
  <c r="Y439" i="22"/>
  <c r="Z944" i="22"/>
  <c r="Y944" i="22"/>
  <c r="X745" i="22"/>
  <c r="Z501" i="22"/>
  <c r="Y501" i="22"/>
  <c r="X425" i="22"/>
  <c r="X206" i="22"/>
  <c r="Z904" i="22"/>
  <c r="Y904" i="22"/>
  <c r="Z562" i="22"/>
  <c r="Y562" i="22"/>
  <c r="P322" i="22"/>
  <c r="S322" i="22"/>
  <c r="U322" i="22" s="1"/>
  <c r="Z322" i="22" s="1"/>
  <c r="W696" i="22"/>
  <c r="Z733" i="22"/>
  <c r="Y733" i="22"/>
  <c r="Z507" i="22"/>
  <c r="Y507" i="22"/>
  <c r="Z636" i="22"/>
  <c r="Y636" i="22"/>
  <c r="X621" i="22"/>
  <c r="Z567" i="22"/>
  <c r="Y567" i="22"/>
  <c r="W387" i="22"/>
  <c r="W388" i="22"/>
  <c r="W384" i="22"/>
  <c r="Z383" i="22"/>
  <c r="W386" i="22"/>
  <c r="Y383" i="22"/>
  <c r="W385" i="22"/>
  <c r="W300" i="22"/>
  <c r="Z299" i="22"/>
  <c r="W301" i="22"/>
  <c r="Y299" i="22"/>
  <c r="X575" i="22"/>
  <c r="Z282" i="22"/>
  <c r="Y282" i="22"/>
  <c r="X282" i="22"/>
  <c r="Z271" i="22"/>
  <c r="Y271" i="22"/>
  <c r="X271" i="22"/>
  <c r="Z336" i="22"/>
  <c r="Y336" i="22"/>
  <c r="X336" i="22"/>
  <c r="Y319" i="22"/>
  <c r="X319" i="22"/>
  <c r="Z319" i="22"/>
  <c r="S232" i="22"/>
  <c r="U232" i="22" s="1"/>
  <c r="P232" i="22"/>
  <c r="X69" i="22"/>
  <c r="Q68" i="22"/>
  <c r="W201" i="22"/>
  <c r="W330" i="22"/>
  <c r="Z329" i="22"/>
  <c r="W332" i="22"/>
  <c r="Y329" i="22"/>
  <c r="X329" i="22"/>
  <c r="W331" i="22"/>
  <c r="W333" i="22"/>
  <c r="W334" i="22"/>
  <c r="W126" i="22"/>
  <c r="Z548" i="22"/>
  <c r="Y548" i="22"/>
  <c r="X548" i="22"/>
  <c r="Y381" i="22"/>
  <c r="X381" i="22"/>
  <c r="Z381" i="22"/>
  <c r="W148" i="22"/>
  <c r="Z147" i="22"/>
  <c r="Y147" i="22"/>
  <c r="W149" i="22"/>
  <c r="X147" i="22"/>
  <c r="Z97" i="22"/>
  <c r="Y97" i="22"/>
  <c r="X97" i="22"/>
  <c r="X401" i="22"/>
  <c r="X309" i="22"/>
  <c r="Z309" i="22"/>
  <c r="Y309" i="22"/>
  <c r="Z140" i="22"/>
  <c r="Y140" i="22"/>
  <c r="Z105" i="22"/>
  <c r="Y105" i="22"/>
  <c r="X1595" i="22"/>
  <c r="Z76" i="22"/>
  <c r="Y76" i="22"/>
  <c r="Z62" i="22"/>
  <c r="Y62" i="22"/>
  <c r="X62" i="22"/>
  <c r="Z2690" i="22"/>
  <c r="Y2690" i="22"/>
  <c r="Z2701" i="22"/>
  <c r="Y2701" i="22"/>
  <c r="Z2603" i="22"/>
  <c r="Y2603" i="22"/>
  <c r="X2603" i="22"/>
  <c r="J2606" i="22"/>
  <c r="J2582" i="22"/>
  <c r="Z2561" i="22"/>
  <c r="Y2561" i="22"/>
  <c r="X2561" i="22"/>
  <c r="Z2565" i="22"/>
  <c r="Y2565" i="22"/>
  <c r="X2565" i="22"/>
  <c r="Y2581" i="22"/>
  <c r="X2581" i="22"/>
  <c r="Z2581" i="22"/>
  <c r="Y2556" i="22"/>
  <c r="X2556" i="22"/>
  <c r="Z2556" i="22"/>
  <c r="Z2610" i="22"/>
  <c r="Y2610" i="22"/>
  <c r="X2610" i="22"/>
  <c r="Z2585" i="22"/>
  <c r="Y2585" i="22"/>
  <c r="X2585" i="22"/>
  <c r="Z2538" i="22"/>
  <c r="Y2538" i="22"/>
  <c r="X2538" i="22"/>
  <c r="X2510" i="22"/>
  <c r="X2541" i="22"/>
  <c r="Z2541" i="22"/>
  <c r="Y2541" i="22"/>
  <c r="X2493" i="22"/>
  <c r="Z2493" i="22"/>
  <c r="Y2493" i="22"/>
  <c r="X2485" i="22"/>
  <c r="Z2485" i="22"/>
  <c r="Y2485" i="22"/>
  <c r="X2522" i="22"/>
  <c r="Z2508" i="22"/>
  <c r="Y2508" i="22"/>
  <c r="X2508" i="22"/>
  <c r="Z2462" i="22"/>
  <c r="W2467" i="22"/>
  <c r="W2466" i="22"/>
  <c r="W2465" i="22"/>
  <c r="W2464" i="22"/>
  <c r="Y2462" i="22"/>
  <c r="W2463" i="22"/>
  <c r="X2410" i="22"/>
  <c r="Y2410" i="22"/>
  <c r="Z2410" i="22"/>
  <c r="W2355" i="22"/>
  <c r="W2359" i="22"/>
  <c r="W2358" i="22"/>
  <c r="W2357" i="22"/>
  <c r="Z2354" i="22"/>
  <c r="W2356" i="22"/>
  <c r="Y2354" i="22"/>
  <c r="X2424" i="22"/>
  <c r="Z2424" i="22"/>
  <c r="Y2424" i="22"/>
  <c r="X2352" i="22"/>
  <c r="Z2352" i="22"/>
  <c r="Y2352" i="22"/>
  <c r="Z2447" i="22"/>
  <c r="Y2447" i="22"/>
  <c r="X2447" i="22"/>
  <c r="Z2431" i="22"/>
  <c r="Y2431" i="22"/>
  <c r="X2431" i="22"/>
  <c r="X2399" i="22"/>
  <c r="Z2399" i="22"/>
  <c r="Y2399" i="22"/>
  <c r="X2385" i="22"/>
  <c r="Z2385" i="22"/>
  <c r="Y2385" i="22"/>
  <c r="X2342" i="22"/>
  <c r="W2263" i="22"/>
  <c r="Z2235" i="22"/>
  <c r="X2235" i="22"/>
  <c r="Y2235" i="22"/>
  <c r="Z2244" i="22"/>
  <c r="Y2244" i="22"/>
  <c r="X2244" i="22"/>
  <c r="Y2287" i="22"/>
  <c r="X2287" i="22"/>
  <c r="Z2287" i="22"/>
  <c r="Z2111" i="22"/>
  <c r="Y2111" i="22"/>
  <c r="X2111" i="22"/>
  <c r="X2211" i="22"/>
  <c r="Y2211" i="22"/>
  <c r="Z2211" i="22"/>
  <c r="Z2193" i="22"/>
  <c r="Y2193" i="22"/>
  <c r="X2193" i="22"/>
  <c r="Y2172" i="22"/>
  <c r="X2172" i="22"/>
  <c r="Z2172" i="22"/>
  <c r="X2150" i="22"/>
  <c r="Z2150" i="22"/>
  <c r="Y2150" i="22"/>
  <c r="Z2127" i="22"/>
  <c r="Y2127" i="22"/>
  <c r="X2127" i="22"/>
  <c r="W2047" i="22"/>
  <c r="Y2045" i="22"/>
  <c r="W2048" i="22"/>
  <c r="W2046" i="22"/>
  <c r="Z2045" i="22"/>
  <c r="Z2039" i="22"/>
  <c r="Y2039" i="22"/>
  <c r="X2039" i="22"/>
  <c r="Z2232" i="22"/>
  <c r="Y2232" i="22"/>
  <c r="X2232" i="22"/>
  <c r="W2108" i="22"/>
  <c r="Y2021" i="22"/>
  <c r="W2024" i="22"/>
  <c r="W2023" i="22"/>
  <c r="Z2021" i="22"/>
  <c r="W2022" i="22"/>
  <c r="Z2070" i="22"/>
  <c r="Y2070" i="22"/>
  <c r="X2070" i="22"/>
  <c r="Z2185" i="22"/>
  <c r="Y2185" i="22"/>
  <c r="X2185" i="22"/>
  <c r="W2116" i="22"/>
  <c r="W2115" i="22"/>
  <c r="W2117" i="22"/>
  <c r="W2114" i="22"/>
  <c r="Z2113" i="22"/>
  <c r="Y2113" i="22"/>
  <c r="W2062" i="22"/>
  <c r="Y1975" i="22"/>
  <c r="Z1975" i="22"/>
  <c r="X1975" i="22"/>
  <c r="Z1883" i="22"/>
  <c r="Y1883" i="22"/>
  <c r="X1883" i="22"/>
  <c r="Z1819" i="22"/>
  <c r="Y1819" i="22"/>
  <c r="X1819" i="22"/>
  <c r="Z1800" i="22"/>
  <c r="Y1800" i="22"/>
  <c r="Z1759" i="22"/>
  <c r="Y1759" i="22"/>
  <c r="W1992" i="22"/>
  <c r="W1991" i="22"/>
  <c r="Z1989" i="22"/>
  <c r="W1990" i="22"/>
  <c r="Y1989" i="22"/>
  <c r="X1989" i="22"/>
  <c r="Y1961" i="22"/>
  <c r="W1963" i="22"/>
  <c r="W1964" i="22"/>
  <c r="W1962" i="22"/>
  <c r="Z1961" i="22"/>
  <c r="X1961" i="22"/>
  <c r="W1934" i="22"/>
  <c r="Y1996" i="22"/>
  <c r="X1996" i="22"/>
  <c r="Z1996" i="22"/>
  <c r="Z1946" i="22"/>
  <c r="Y1946" i="22"/>
  <c r="X1946" i="22"/>
  <c r="Z1865" i="22"/>
  <c r="Y1865" i="22"/>
  <c r="X1865" i="22"/>
  <c r="X1848" i="22"/>
  <c r="Z1848" i="22"/>
  <c r="Y1848" i="22"/>
  <c r="X1791" i="22"/>
  <c r="Q1785" i="22"/>
  <c r="Z1762" i="22"/>
  <c r="Y1762" i="22"/>
  <c r="X1762" i="22"/>
  <c r="Z1668" i="22"/>
  <c r="Y1668" i="22"/>
  <c r="Z1694" i="22"/>
  <c r="Y1694" i="22"/>
  <c r="X1800" i="22"/>
  <c r="W1712" i="22"/>
  <c r="Z1711" i="22"/>
  <c r="Y1711" i="22"/>
  <c r="W1714" i="22"/>
  <c r="X1711" i="22"/>
  <c r="W1713" i="22"/>
  <c r="W1721" i="22"/>
  <c r="W1720" i="22"/>
  <c r="Z1719" i="22"/>
  <c r="Y1719" i="22"/>
  <c r="W1722" i="22"/>
  <c r="X1719" i="22"/>
  <c r="Y1695" i="22"/>
  <c r="Z1695" i="22"/>
  <c r="X1827" i="22"/>
  <c r="X1784" i="22"/>
  <c r="Z1660" i="22"/>
  <c r="Y1660" i="22"/>
  <c r="X1682" i="22"/>
  <c r="Z1572" i="22"/>
  <c r="Y1572" i="22"/>
  <c r="Z1540" i="22"/>
  <c r="Y1540" i="22"/>
  <c r="Z1512" i="22"/>
  <c r="Y1512" i="22"/>
  <c r="Z1508" i="22"/>
  <c r="Y1508" i="22"/>
  <c r="Z1504" i="22"/>
  <c r="Y1504" i="22"/>
  <c r="Z1500" i="22"/>
  <c r="Y1500" i="22"/>
  <c r="Z1496" i="22"/>
  <c r="Y1496" i="22"/>
  <c r="Z1492" i="22"/>
  <c r="Y1492" i="22"/>
  <c r="Z1488" i="22"/>
  <c r="Y1488" i="22"/>
  <c r="Z1484" i="22"/>
  <c r="Y1484" i="22"/>
  <c r="Z1480" i="22"/>
  <c r="Y1480" i="22"/>
  <c r="Z1476" i="22"/>
  <c r="Y1476" i="22"/>
  <c r="Z1472" i="22"/>
  <c r="Y1472" i="22"/>
  <c r="Z1468" i="22"/>
  <c r="Y1468" i="22"/>
  <c r="Z1464" i="22"/>
  <c r="Y1464" i="22"/>
  <c r="Z1460" i="22"/>
  <c r="Y1460" i="22"/>
  <c r="Z1456" i="22"/>
  <c r="Y1456" i="22"/>
  <c r="Z1452" i="22"/>
  <c r="Y1452" i="22"/>
  <c r="Z1448" i="22"/>
  <c r="Y1448" i="22"/>
  <c r="Z1444" i="22"/>
  <c r="Y1444" i="22"/>
  <c r="Z1591" i="22"/>
  <c r="Y1591" i="22"/>
  <c r="X1545" i="22"/>
  <c r="X1596" i="22"/>
  <c r="X1564" i="22"/>
  <c r="X1532" i="22"/>
  <c r="X1543" i="22"/>
  <c r="X1526" i="22"/>
  <c r="Z1595" i="22"/>
  <c r="Y1595" i="22"/>
  <c r="X1549" i="22"/>
  <c r="Z1531" i="22"/>
  <c r="Y1531" i="22"/>
  <c r="Z1574" i="22"/>
  <c r="Y1574" i="22"/>
  <c r="Z1542" i="22"/>
  <c r="Y1542" i="22"/>
  <c r="X1493" i="22"/>
  <c r="X1512" i="22"/>
  <c r="X1448" i="22"/>
  <c r="Z1317" i="22"/>
  <c r="Y1317" i="22"/>
  <c r="Z1285" i="22"/>
  <c r="Y1285" i="22"/>
  <c r="X1459" i="22"/>
  <c r="Y1328" i="22"/>
  <c r="X1328" i="22"/>
  <c r="Z1328" i="22"/>
  <c r="Y1312" i="22"/>
  <c r="X1312" i="22"/>
  <c r="Z1312" i="22"/>
  <c r="Y1296" i="22"/>
  <c r="X1296" i="22"/>
  <c r="Z1296" i="22"/>
  <c r="X1571" i="22"/>
  <c r="X1494" i="22"/>
  <c r="Z1438" i="22"/>
  <c r="Y1438" i="22"/>
  <c r="X1355" i="22"/>
  <c r="X1457" i="22"/>
  <c r="X1390" i="22"/>
  <c r="W1822" i="22"/>
  <c r="Z1820" i="22"/>
  <c r="W1821" i="22"/>
  <c r="Y1820" i="22"/>
  <c r="X1820" i="22"/>
  <c r="X1508" i="22"/>
  <c r="X1444" i="22"/>
  <c r="Z1347" i="22"/>
  <c r="Y1347" i="22"/>
  <c r="Z1319" i="22"/>
  <c r="Y1319" i="22"/>
  <c r="Z1287" i="22"/>
  <c r="Y1287" i="22"/>
  <c r="X1503" i="22"/>
  <c r="Z1436" i="22"/>
  <c r="Y1436" i="22"/>
  <c r="X1406" i="22"/>
  <c r="Z1367" i="22"/>
  <c r="Y1367" i="22"/>
  <c r="X1289" i="22"/>
  <c r="X1250" i="22"/>
  <c r="Z1239" i="22"/>
  <c r="Y1239" i="22"/>
  <c r="X1239" i="22"/>
  <c r="X1218" i="22"/>
  <c r="Z1207" i="22"/>
  <c r="Y1207" i="22"/>
  <c r="X1207" i="22"/>
  <c r="Z1175" i="22"/>
  <c r="Y1175" i="22"/>
  <c r="Z1143" i="22"/>
  <c r="Y1143" i="22"/>
  <c r="Z1111" i="22"/>
  <c r="Y1111" i="22"/>
  <c r="X1277" i="22"/>
  <c r="X1514" i="22"/>
  <c r="X1450" i="22"/>
  <c r="X1347" i="22"/>
  <c r="X1287" i="22"/>
  <c r="Z1200" i="22"/>
  <c r="Y1200" i="22"/>
  <c r="Z1217" i="22"/>
  <c r="Y1217" i="22"/>
  <c r="Z1084" i="22"/>
  <c r="Y1084" i="22"/>
  <c r="Z1045" i="22"/>
  <c r="Y1045" i="22"/>
  <c r="Z1153" i="22"/>
  <c r="Y1153" i="22"/>
  <c r="X1081" i="22"/>
  <c r="Z982" i="22"/>
  <c r="X982" i="22"/>
  <c r="Y982" i="22"/>
  <c r="X916" i="22"/>
  <c r="Z916" i="22"/>
  <c r="Y916" i="22"/>
  <c r="X1221" i="22"/>
  <c r="Z1106" i="22"/>
  <c r="Y1106" i="22"/>
  <c r="Z1074" i="22"/>
  <c r="Y1074" i="22"/>
  <c r="Z1054" i="22"/>
  <c r="Y1054" i="22"/>
  <c r="X1241" i="22"/>
  <c r="X1190" i="22"/>
  <c r="X1087" i="22"/>
  <c r="Z1069" i="22"/>
  <c r="Y1069" i="22"/>
  <c r="X1082" i="22"/>
  <c r="X1123" i="22"/>
  <c r="X1037" i="22"/>
  <c r="X1029" i="22"/>
  <c r="X1021" i="22"/>
  <c r="X1013" i="22"/>
  <c r="X1005" i="22"/>
  <c r="X997" i="22"/>
  <c r="Z952" i="22"/>
  <c r="Y952" i="22"/>
  <c r="W787" i="22"/>
  <c r="X700" i="22"/>
  <c r="Z700" i="22"/>
  <c r="Y700" i="22"/>
  <c r="W643" i="22"/>
  <c r="X641" i="22"/>
  <c r="W642" i="22"/>
  <c r="Z641" i="22"/>
  <c r="Y641" i="22"/>
  <c r="X1099" i="22"/>
  <c r="Y699" i="22"/>
  <c r="X699" i="22"/>
  <c r="Z699" i="22"/>
  <c r="Z984" i="22"/>
  <c r="Y984" i="22"/>
  <c r="X968" i="22"/>
  <c r="Z905" i="22"/>
  <c r="Y905" i="22"/>
  <c r="W783" i="22"/>
  <c r="W782" i="22"/>
  <c r="Z781" i="22"/>
  <c r="Y781" i="22"/>
  <c r="X781" i="22"/>
  <c r="W784" i="22"/>
  <c r="Z743" i="22"/>
  <c r="Y743" i="22"/>
  <c r="X1042" i="22"/>
  <c r="X1034" i="22"/>
  <c r="X1026" i="22"/>
  <c r="X1018" i="22"/>
  <c r="X1010" i="22"/>
  <c r="X1002" i="22"/>
  <c r="X988" i="22"/>
  <c r="Q528" i="22"/>
  <c r="X825" i="22"/>
  <c r="Z687" i="22"/>
  <c r="Y687" i="22"/>
  <c r="X687" i="22"/>
  <c r="Z654" i="22"/>
  <c r="Y654" i="22"/>
  <c r="X654" i="22"/>
  <c r="X551" i="22"/>
  <c r="X672" i="22"/>
  <c r="Z672" i="22"/>
  <c r="Y672" i="22"/>
  <c r="X630" i="22"/>
  <c r="W445" i="22"/>
  <c r="W447" i="22"/>
  <c r="W444" i="22"/>
  <c r="Z443" i="22"/>
  <c r="Y443" i="22"/>
  <c r="W446" i="22"/>
  <c r="X563" i="22"/>
  <c r="X469" i="22"/>
  <c r="X443" i="22"/>
  <c r="Y560" i="22"/>
  <c r="Z560" i="22"/>
  <c r="Z488" i="22"/>
  <c r="Y488" i="22"/>
  <c r="Z470" i="22"/>
  <c r="Y470" i="22"/>
  <c r="W428" i="22"/>
  <c r="W427" i="22"/>
  <c r="W429" i="22"/>
  <c r="W430" i="22"/>
  <c r="W426" i="22"/>
  <c r="Z425" i="22"/>
  <c r="Y425" i="22"/>
  <c r="Y365" i="22"/>
  <c r="W368" i="22"/>
  <c r="W367" i="22"/>
  <c r="W369" i="22"/>
  <c r="W370" i="22"/>
  <c r="W366" i="22"/>
  <c r="Z365" i="22"/>
  <c r="U283" i="22"/>
  <c r="Z283" i="22" s="1"/>
  <c r="W616" i="22"/>
  <c r="W614" i="22"/>
  <c r="Z613" i="22"/>
  <c r="W615" i="22"/>
  <c r="Y613" i="22"/>
  <c r="X769" i="22"/>
  <c r="X674" i="22"/>
  <c r="X598" i="22"/>
  <c r="X488" i="22"/>
  <c r="Z465" i="22"/>
  <c r="Y465" i="22"/>
  <c r="X766" i="22"/>
  <c r="W557" i="22"/>
  <c r="W786" i="22"/>
  <c r="S316" i="22"/>
  <c r="U316" i="22" s="1"/>
  <c r="Z316" i="22" s="1"/>
  <c r="P316" i="22"/>
  <c r="X221" i="22"/>
  <c r="Z165" i="22"/>
  <c r="Y165" i="22"/>
  <c r="X165" i="22"/>
  <c r="Z816" i="22"/>
  <c r="Y816" i="22"/>
  <c r="X816" i="22"/>
  <c r="X292" i="22"/>
  <c r="Z292" i="22"/>
  <c r="Y292" i="22"/>
  <c r="Z222" i="22"/>
  <c r="Y222" i="22"/>
  <c r="Z340" i="22"/>
  <c r="Y340" i="22"/>
  <c r="X340" i="22"/>
  <c r="Z279" i="22"/>
  <c r="Y279" i="22"/>
  <c r="X279" i="22"/>
  <c r="Y150" i="22"/>
  <c r="Z150" i="22"/>
  <c r="W152" i="22"/>
  <c r="W151" i="22"/>
  <c r="Z142" i="22"/>
  <c r="Y142" i="22"/>
  <c r="X142" i="22"/>
  <c r="X121" i="22"/>
  <c r="Y86" i="22"/>
  <c r="Z86" i="22"/>
  <c r="X86" i="22"/>
  <c r="X1547" i="22"/>
  <c r="Z303" i="22"/>
  <c r="Y303" i="22"/>
  <c r="X303" i="22"/>
  <c r="X371" i="22"/>
  <c r="X490" i="22"/>
  <c r="X379" i="22"/>
  <c r="Z379" i="22"/>
  <c r="Y379" i="22"/>
  <c r="W297" i="22"/>
  <c r="Z296" i="22"/>
  <c r="W298" i="22"/>
  <c r="Y296" i="22"/>
  <c r="X296" i="22"/>
  <c r="Z94" i="22"/>
  <c r="Y94" i="22"/>
  <c r="X94" i="22"/>
  <c r="X31" i="22"/>
  <c r="Z307" i="22"/>
  <c r="Y307" i="22"/>
  <c r="X307" i="22"/>
  <c r="Z217" i="22"/>
  <c r="Y217" i="22"/>
  <c r="X217" i="22"/>
  <c r="Z139" i="22"/>
  <c r="Y139" i="22"/>
  <c r="Y314" i="22"/>
  <c r="X314" i="22"/>
  <c r="Z314" i="22"/>
  <c r="Z69" i="22"/>
  <c r="Y69" i="22"/>
  <c r="V68" i="22"/>
  <c r="X2701" i="22"/>
  <c r="Z2707" i="22"/>
  <c r="Y2707" i="22"/>
  <c r="Z2677" i="22"/>
  <c r="Y2677" i="22"/>
  <c r="Z2665" i="22"/>
  <c r="Y2665" i="22"/>
  <c r="H2624" i="22"/>
  <c r="J2624" i="22" s="1"/>
  <c r="Z2694" i="22"/>
  <c r="Y2694" i="22"/>
  <c r="Z2654" i="22"/>
  <c r="Y2654" i="22"/>
  <c r="J2612" i="22"/>
  <c r="Z2562" i="22"/>
  <c r="Y2562" i="22"/>
  <c r="X2562" i="22"/>
  <c r="X2643" i="22"/>
  <c r="H2618" i="22"/>
  <c r="J2618" i="22" s="1"/>
  <c r="Z2559" i="22"/>
  <c r="Y2559" i="22"/>
  <c r="X2559" i="22"/>
  <c r="X2596" i="22"/>
  <c r="Y2596" i="22"/>
  <c r="Z2596" i="22"/>
  <c r="Y2619" i="22"/>
  <c r="X2619" i="22"/>
  <c r="Z2619" i="22"/>
  <c r="H2588" i="22"/>
  <c r="J2588" i="22" s="1"/>
  <c r="Z2568" i="22"/>
  <c r="X2568" i="22"/>
  <c r="Y2568" i="22"/>
  <c r="Y2577" i="22"/>
  <c r="Z2577" i="22"/>
  <c r="X2577" i="22"/>
  <c r="Z2609" i="22"/>
  <c r="Y2609" i="22"/>
  <c r="X2609" i="22"/>
  <c r="W2499" i="22"/>
  <c r="W2503" i="22"/>
  <c r="W2502" i="22"/>
  <c r="W2501" i="22"/>
  <c r="W2500" i="22"/>
  <c r="Z2498" i="22"/>
  <c r="Y2498" i="22"/>
  <c r="X2468" i="22"/>
  <c r="Y2506" i="22"/>
  <c r="Z2506" i="22"/>
  <c r="X2506" i="22"/>
  <c r="X2486" i="22"/>
  <c r="X2411" i="22"/>
  <c r="Z2411" i="22"/>
  <c r="Y2411" i="22"/>
  <c r="X2425" i="22"/>
  <c r="Z2425" i="22"/>
  <c r="Y2425" i="22"/>
  <c r="X2350" i="22"/>
  <c r="Y2350" i="22"/>
  <c r="Z2350" i="22"/>
  <c r="Y2449" i="22"/>
  <c r="Z2449" i="22"/>
  <c r="X2449" i="22"/>
  <c r="Z2429" i="22"/>
  <c r="Y2429" i="22"/>
  <c r="X2429" i="22"/>
  <c r="X2401" i="22"/>
  <c r="Z2401" i="22"/>
  <c r="Y2401" i="22"/>
  <c r="X2387" i="22"/>
  <c r="Z2387" i="22"/>
  <c r="Y2387" i="22"/>
  <c r="X2324" i="22"/>
  <c r="Z2248" i="22"/>
  <c r="Y2248" i="22"/>
  <c r="X2248" i="22"/>
  <c r="W2281" i="22"/>
  <c r="W2279" i="22"/>
  <c r="W2277" i="22"/>
  <c r="Z2276" i="22"/>
  <c r="Y2276" i="22"/>
  <c r="W2280" i="22"/>
  <c r="W2278" i="22"/>
  <c r="W2260" i="22"/>
  <c r="Z2237" i="22"/>
  <c r="Y2237" i="22"/>
  <c r="X2237" i="22"/>
  <c r="X2361" i="22"/>
  <c r="Z2361" i="22"/>
  <c r="Y2361" i="22"/>
  <c r="Z2300" i="22"/>
  <c r="W2304" i="22"/>
  <c r="W2301" i="22"/>
  <c r="Y2300" i="22"/>
  <c r="W2303" i="22"/>
  <c r="W2305" i="22"/>
  <c r="W2302" i="22"/>
  <c r="W2067" i="22"/>
  <c r="Z2065" i="22"/>
  <c r="W2066" i="22"/>
  <c r="Y2065" i="22"/>
  <c r="W2068" i="22"/>
  <c r="W2209" i="22"/>
  <c r="W2208" i="22"/>
  <c r="W2206" i="22"/>
  <c r="W2205" i="22"/>
  <c r="W2207" i="22"/>
  <c r="Z2204" i="22"/>
  <c r="Y2204" i="22"/>
  <c r="Z2078" i="22"/>
  <c r="X2078" i="22"/>
  <c r="Y2078" i="22"/>
  <c r="Y2110" i="22"/>
  <c r="X2110" i="22"/>
  <c r="Z2110" i="22"/>
  <c r="Z2079" i="22"/>
  <c r="Y2079" i="22"/>
  <c r="X2079" i="22"/>
  <c r="Z2195" i="22"/>
  <c r="Y2195" i="22"/>
  <c r="X2195" i="22"/>
  <c r="X2131" i="22"/>
  <c r="Z2131" i="22"/>
  <c r="Y2131" i="22"/>
  <c r="Z2038" i="22"/>
  <c r="Y2038" i="22"/>
  <c r="X2038" i="22"/>
  <c r="W2026" i="22"/>
  <c r="Z2025" i="22"/>
  <c r="Y2025" i="22"/>
  <c r="W2027" i="22"/>
  <c r="X2025" i="22"/>
  <c r="W2028" i="22"/>
  <c r="X2040" i="22"/>
  <c r="Z2040" i="22"/>
  <c r="Y2040" i="22"/>
  <c r="W2225" i="22"/>
  <c r="Z2233" i="22"/>
  <c r="Y2233" i="22"/>
  <c r="X2233" i="22"/>
  <c r="X2013" i="22"/>
  <c r="Z2183" i="22"/>
  <c r="Y2183" i="22"/>
  <c r="X2183" i="22"/>
  <c r="W2064" i="22"/>
  <c r="X2029" i="22"/>
  <c r="X1811" i="22"/>
  <c r="X1760" i="22"/>
  <c r="X1949" i="22"/>
  <c r="Z1758" i="22"/>
  <c r="Y1758" i="22"/>
  <c r="W1914" i="22"/>
  <c r="Z1913" i="22"/>
  <c r="Y1913" i="22"/>
  <c r="W1916" i="22"/>
  <c r="X1913" i="22"/>
  <c r="W1915" i="22"/>
  <c r="W1935" i="22"/>
  <c r="W1918" i="22"/>
  <c r="X1884" i="22"/>
  <c r="X1843" i="22"/>
  <c r="Z1843" i="22"/>
  <c r="Y1843" i="22"/>
  <c r="Z1816" i="22"/>
  <c r="Y1816" i="22"/>
  <c r="X1816" i="22"/>
  <c r="X1995" i="22"/>
  <c r="Z1995" i="22"/>
  <c r="Y1995" i="22"/>
  <c r="X1948" i="22"/>
  <c r="Z1948" i="22"/>
  <c r="Y1948" i="22"/>
  <c r="X1866" i="22"/>
  <c r="Z1866" i="22"/>
  <c r="Y1866" i="22"/>
  <c r="W1893" i="22"/>
  <c r="Z1892" i="22"/>
  <c r="Y1892" i="22"/>
  <c r="W1895" i="22"/>
  <c r="W1894" i="22"/>
  <c r="X1868" i="22"/>
  <c r="Z1830" i="22"/>
  <c r="Y1830" i="22"/>
  <c r="X1830" i="22"/>
  <c r="X1728" i="22"/>
  <c r="Z1797" i="22"/>
  <c r="Y1797" i="22"/>
  <c r="X1758" i="22"/>
  <c r="X1826" i="22"/>
  <c r="Y1751" i="22"/>
  <c r="Z1751" i="22"/>
  <c r="X1751" i="22"/>
  <c r="W1718" i="22"/>
  <c r="Q1690" i="22"/>
  <c r="Z1708" i="22"/>
  <c r="Y1708" i="22"/>
  <c r="X1708" i="22"/>
  <c r="Z1824" i="22"/>
  <c r="Y1824" i="22"/>
  <c r="X1824" i="22"/>
  <c r="X1736" i="22"/>
  <c r="Z1889" i="22"/>
  <c r="Y1889" i="22"/>
  <c r="X1889" i="22"/>
  <c r="X1598" i="22"/>
  <c r="X1566" i="22"/>
  <c r="X1534" i="22"/>
  <c r="Z1435" i="22"/>
  <c r="Y1435" i="22"/>
  <c r="X1435" i="22"/>
  <c r="X1585" i="22"/>
  <c r="Z1594" i="22"/>
  <c r="Y1594" i="22"/>
  <c r="Z1562" i="22"/>
  <c r="Y1562" i="22"/>
  <c r="X1583" i="22"/>
  <c r="Z1565" i="22"/>
  <c r="Y1565" i="22"/>
  <c r="X1546" i="22"/>
  <c r="Y1609" i="22"/>
  <c r="Z1609" i="22"/>
  <c r="X1589" i="22"/>
  <c r="Z1571" i="22"/>
  <c r="Y1571" i="22"/>
  <c r="Z1647" i="22"/>
  <c r="Y1647" i="22"/>
  <c r="X1601" i="22"/>
  <c r="X1485" i="22"/>
  <c r="Z1427" i="22"/>
  <c r="Y1427" i="22"/>
  <c r="X1504" i="22"/>
  <c r="Z1359" i="22"/>
  <c r="Y1359" i="22"/>
  <c r="X1335" i="22"/>
  <c r="Z1313" i="22"/>
  <c r="Y1313" i="22"/>
  <c r="Z1281" i="22"/>
  <c r="Y1281" i="22"/>
  <c r="X1515" i="22"/>
  <c r="X1451" i="22"/>
  <c r="X1325" i="22"/>
  <c r="X1309" i="22"/>
  <c r="X1293" i="22"/>
  <c r="X1486" i="22"/>
  <c r="Z1398" i="22"/>
  <c r="Y1398" i="22"/>
  <c r="X1342" i="22"/>
  <c r="X1513" i="22"/>
  <c r="X1449" i="22"/>
  <c r="X1379" i="22"/>
  <c r="X1346" i="22"/>
  <c r="X1500" i="22"/>
  <c r="X1439" i="22"/>
  <c r="X1410" i="22"/>
  <c r="Z1315" i="22"/>
  <c r="Y1315" i="22"/>
  <c r="Z1283" i="22"/>
  <c r="Y1283" i="22"/>
  <c r="X1495" i="22"/>
  <c r="Z1339" i="22"/>
  <c r="Y1339" i="22"/>
  <c r="X1339" i="22"/>
  <c r="Z1181" i="22"/>
  <c r="Y1181" i="22"/>
  <c r="X1270" i="22"/>
  <c r="X1238" i="22"/>
  <c r="Z1227" i="22"/>
  <c r="Y1227" i="22"/>
  <c r="X1227" i="22"/>
  <c r="X1206" i="22"/>
  <c r="Z1163" i="22"/>
  <c r="Y1163" i="22"/>
  <c r="Z1131" i="22"/>
  <c r="Y1131" i="22"/>
  <c r="X1303" i="22"/>
  <c r="Z1260" i="22"/>
  <c r="Y1260" i="22"/>
  <c r="Z1228" i="22"/>
  <c r="Y1228" i="22"/>
  <c r="X1506" i="22"/>
  <c r="X1442" i="22"/>
  <c r="X1198" i="22"/>
  <c r="X1248" i="22"/>
  <c r="Z1237" i="22"/>
  <c r="Y1237" i="22"/>
  <c r="X1216" i="22"/>
  <c r="Z1205" i="22"/>
  <c r="Y1205" i="22"/>
  <c r="Z1192" i="22"/>
  <c r="Y1192" i="22"/>
  <c r="Z1188" i="22"/>
  <c r="Y1188" i="22"/>
  <c r="Z1184" i="22"/>
  <c r="Y1184" i="22"/>
  <c r="X1184" i="22"/>
  <c r="Z1057" i="22"/>
  <c r="Y1057" i="22"/>
  <c r="Z1169" i="22"/>
  <c r="Y1169" i="22"/>
  <c r="Z1103" i="22"/>
  <c r="Y1103" i="22"/>
  <c r="X956" i="22"/>
  <c r="Z956" i="22"/>
  <c r="Y956" i="22"/>
  <c r="X1100" i="22"/>
  <c r="X1068" i="22"/>
  <c r="X1053" i="22"/>
  <c r="X1327" i="22"/>
  <c r="Z1080" i="22"/>
  <c r="Y1080" i="22"/>
  <c r="Z1055" i="22"/>
  <c r="Y1055" i="22"/>
  <c r="X1295" i="22"/>
  <c r="Z1195" i="22"/>
  <c r="Y1195" i="22"/>
  <c r="X1195" i="22"/>
  <c r="X1167" i="22"/>
  <c r="X1151" i="22"/>
  <c r="X1135" i="22"/>
  <c r="X1119" i="22"/>
  <c r="X1101" i="22"/>
  <c r="Z1083" i="22"/>
  <c r="Y1083" i="22"/>
  <c r="Z1041" i="22"/>
  <c r="Y1041" i="22"/>
  <c r="Z1037" i="22"/>
  <c r="Y1037" i="22"/>
  <c r="Z1033" i="22"/>
  <c r="Y1033" i="22"/>
  <c r="Z1029" i="22"/>
  <c r="Y1029" i="22"/>
  <c r="Z1025" i="22"/>
  <c r="Y1025" i="22"/>
  <c r="Z1021" i="22"/>
  <c r="Y1021" i="22"/>
  <c r="Z1017" i="22"/>
  <c r="Y1017" i="22"/>
  <c r="Z1013" i="22"/>
  <c r="Y1013" i="22"/>
  <c r="Z1009" i="22"/>
  <c r="Y1009" i="22"/>
  <c r="Z1005" i="22"/>
  <c r="Y1005" i="22"/>
  <c r="Z1001" i="22"/>
  <c r="Y1001" i="22"/>
  <c r="Z997" i="22"/>
  <c r="Y997" i="22"/>
  <c r="X1237" i="22"/>
  <c r="Z1078" i="22"/>
  <c r="Y1078" i="22"/>
  <c r="X1055" i="22"/>
  <c r="X992" i="22"/>
  <c r="Z921" i="22"/>
  <c r="Y921" i="22"/>
  <c r="W788" i="22"/>
  <c r="Z752" i="22"/>
  <c r="Y752" i="22"/>
  <c r="W694" i="22"/>
  <c r="Z957" i="22"/>
  <c r="Y957" i="22"/>
  <c r="X839" i="22"/>
  <c r="Z802" i="22"/>
  <c r="Y802" i="22"/>
  <c r="X802" i="22"/>
  <c r="X949" i="22"/>
  <c r="X901" i="22"/>
  <c r="Z723" i="22"/>
  <c r="Y723" i="22"/>
  <c r="X723" i="22"/>
  <c r="P649" i="22"/>
  <c r="S649" i="22"/>
  <c r="U649" i="22" s="1"/>
  <c r="X929" i="22"/>
  <c r="X897" i="22"/>
  <c r="Z817" i="22"/>
  <c r="Y817" i="22"/>
  <c r="W695" i="22"/>
  <c r="X984" i="22"/>
  <c r="Z953" i="22"/>
  <c r="Y953" i="22"/>
  <c r="Z917" i="22"/>
  <c r="Y917" i="22"/>
  <c r="X945" i="22"/>
  <c r="Z896" i="22"/>
  <c r="Y896" i="22"/>
  <c r="Q840" i="22"/>
  <c r="S424" i="22"/>
  <c r="U424" i="22" s="1"/>
  <c r="P424" i="22"/>
  <c r="X791" i="22"/>
  <c r="X503" i="22"/>
  <c r="W502" i="22"/>
  <c r="Z673" i="22"/>
  <c r="Y673" i="22"/>
  <c r="X673" i="22"/>
  <c r="Z494" i="22"/>
  <c r="Y494" i="22"/>
  <c r="W415" i="22"/>
  <c r="W417" i="22"/>
  <c r="W418" i="22"/>
  <c r="W414" i="22"/>
  <c r="Z413" i="22"/>
  <c r="Y413" i="22"/>
  <c r="X413" i="22"/>
  <c r="W416" i="22"/>
  <c r="Z824" i="22"/>
  <c r="Y824" i="22"/>
  <c r="X824" i="22"/>
  <c r="Z589" i="22"/>
  <c r="Y589" i="22"/>
  <c r="Y497" i="22"/>
  <c r="Z497" i="22"/>
  <c r="Z440" i="22"/>
  <c r="Y440" i="22"/>
  <c r="X440" i="22"/>
  <c r="Z485" i="22"/>
  <c r="Y485" i="22"/>
  <c r="X347" i="22"/>
  <c r="X234" i="22"/>
  <c r="Z534" i="22"/>
  <c r="Y534" i="22"/>
  <c r="X534" i="22"/>
  <c r="Z462" i="22"/>
  <c r="Y462" i="22"/>
  <c r="P301" i="22"/>
  <c r="S301" i="22"/>
  <c r="U301" i="22" s="1"/>
  <c r="X752" i="22"/>
  <c r="X738" i="22"/>
  <c r="Z513" i="22"/>
  <c r="Y513" i="22"/>
  <c r="Z529" i="22"/>
  <c r="V528" i="22"/>
  <c r="Y529" i="22"/>
  <c r="X495" i="22"/>
  <c r="W357" i="22"/>
  <c r="W358" i="22"/>
  <c r="W354" i="22"/>
  <c r="Z353" i="22"/>
  <c r="W356" i="22"/>
  <c r="Y353" i="22"/>
  <c r="X353" i="22"/>
  <c r="W355" i="22"/>
  <c r="W711" i="22"/>
  <c r="Z710" i="22"/>
  <c r="Y710" i="22"/>
  <c r="W715" i="22"/>
  <c r="W714" i="22"/>
  <c r="W713" i="22"/>
  <c r="W712" i="22"/>
  <c r="Z601" i="22"/>
  <c r="Y601" i="22"/>
  <c r="X522" i="22"/>
  <c r="Z466" i="22"/>
  <c r="Y466" i="22"/>
  <c r="W276" i="22"/>
  <c r="Z275" i="22"/>
  <c r="W277" i="22"/>
  <c r="Y275" i="22"/>
  <c r="Z539" i="22"/>
  <c r="Y539" i="22"/>
  <c r="X539" i="22"/>
  <c r="Z266" i="22"/>
  <c r="Y266" i="22"/>
  <c r="X266" i="22"/>
  <c r="Z190" i="22"/>
  <c r="Y190" i="22"/>
  <c r="X190" i="22"/>
  <c r="Y117" i="22"/>
  <c r="V116" i="22"/>
  <c r="Z117" i="22"/>
  <c r="X117" i="22"/>
  <c r="X579" i="22"/>
  <c r="Z214" i="22"/>
  <c r="Y214" i="22"/>
  <c r="Z121" i="22"/>
  <c r="Y121" i="22"/>
  <c r="Z339" i="22"/>
  <c r="Y339" i="22"/>
  <c r="X339" i="22"/>
  <c r="Z181" i="22"/>
  <c r="Y181" i="22"/>
  <c r="X181" i="22"/>
  <c r="Z174" i="22"/>
  <c r="Y174" i="22"/>
  <c r="X174" i="22"/>
  <c r="Z162" i="22"/>
  <c r="Y162" i="22"/>
  <c r="X162" i="22"/>
  <c r="X681" i="22"/>
  <c r="Z681" i="22"/>
  <c r="Y681" i="22"/>
  <c r="W374" i="22"/>
  <c r="W373" i="22"/>
  <c r="W375" i="22"/>
  <c r="W376" i="22"/>
  <c r="W372" i="22"/>
  <c r="Z371" i="22"/>
  <c r="Y371" i="22"/>
  <c r="X230" i="22"/>
  <c r="Z612" i="22"/>
  <c r="Y612" i="22"/>
  <c r="X612" i="22"/>
  <c r="W124" i="22"/>
  <c r="Z344" i="22"/>
  <c r="Y344" i="22"/>
  <c r="X344" i="22"/>
  <c r="Z326" i="22"/>
  <c r="Y326" i="22"/>
  <c r="X326" i="22"/>
  <c r="Y129" i="22"/>
  <c r="Z129" i="22"/>
  <c r="Y93" i="22"/>
  <c r="Z93" i="22"/>
  <c r="X93" i="22"/>
  <c r="U295" i="22"/>
  <c r="Z251" i="22"/>
  <c r="Y251" i="22"/>
  <c r="X251" i="22"/>
  <c r="Z98" i="22"/>
  <c r="Y98" i="22"/>
  <c r="X1579" i="22"/>
  <c r="X312" i="22"/>
  <c r="Z312" i="22"/>
  <c r="Y312" i="22"/>
  <c r="Y63" i="22"/>
  <c r="Z63" i="22"/>
  <c r="X130" i="22"/>
  <c r="Y39" i="22"/>
  <c r="Z39" i="22"/>
  <c r="X2555" i="21"/>
  <c r="Z2555" i="21"/>
  <c r="Y2555" i="21"/>
  <c r="W2491" i="21"/>
  <c r="W2488" i="21"/>
  <c r="X2420" i="21"/>
  <c r="W2508" i="21"/>
  <c r="W2598" i="21"/>
  <c r="X2384" i="21"/>
  <c r="Y2324" i="21"/>
  <c r="W2231" i="21"/>
  <c r="W2215" i="21"/>
  <c r="W2478" i="21"/>
  <c r="X2378" i="21"/>
  <c r="W2424" i="21"/>
  <c r="W2389" i="21"/>
  <c r="Z2324" i="21"/>
  <c r="Z2228" i="21"/>
  <c r="W2202" i="21"/>
  <c r="W2327" i="21"/>
  <c r="W2212" i="21"/>
  <c r="W2506" i="21"/>
  <c r="W2388" i="21"/>
  <c r="W2379" i="21"/>
  <c r="W2476" i="21"/>
  <c r="Y2420" i="21"/>
  <c r="W2386" i="21"/>
  <c r="W2325" i="21"/>
  <c r="W2380" i="21"/>
  <c r="W2229" i="21"/>
  <c r="Y2210" i="21"/>
  <c r="W2530" i="21"/>
  <c r="W2475" i="21"/>
  <c r="Z2420" i="21"/>
  <c r="W2387" i="21"/>
  <c r="W2211" i="21"/>
  <c r="W2479" i="21"/>
  <c r="W2509" i="21"/>
  <c r="Z2474" i="21"/>
  <c r="Y2504" i="21"/>
  <c r="X2474" i="21"/>
  <c r="W2421" i="21"/>
  <c r="W2326" i="21"/>
  <c r="W2232" i="21"/>
  <c r="Z2210" i="21"/>
  <c r="W2230" i="21"/>
  <c r="W2596" i="21"/>
  <c r="Y2474" i="21"/>
  <c r="W2507" i="21"/>
  <c r="W2328" i="21"/>
  <c r="Z2504" i="21"/>
  <c r="W2329" i="21"/>
  <c r="W2233" i="21"/>
  <c r="X2294" i="21"/>
  <c r="Y2152" i="21"/>
  <c r="Z2152" i="21"/>
  <c r="X121" i="21"/>
  <c r="Y121" i="21"/>
  <c r="Z1162" i="21"/>
  <c r="X1162" i="21"/>
  <c r="X1605" i="21"/>
  <c r="Z1605" i="21"/>
  <c r="X103" i="21"/>
  <c r="Z103" i="21"/>
  <c r="Y103" i="21"/>
  <c r="W2314" i="21"/>
  <c r="W2316" i="21"/>
  <c r="Z2312" i="21"/>
  <c r="Y2312" i="21"/>
  <c r="W2315" i="21"/>
  <c r="Z2315" i="21" s="1"/>
  <c r="X2438" i="21"/>
  <c r="W2443" i="21"/>
  <c r="Y2438" i="21"/>
  <c r="Z2438" i="21"/>
  <c r="W2440" i="21"/>
  <c r="W2442" i="21"/>
  <c r="Z1470" i="21"/>
  <c r="X1470" i="21"/>
  <c r="Y1470" i="21"/>
  <c r="Y1541" i="21"/>
  <c r="X1541" i="21"/>
  <c r="Z1541" i="21"/>
  <c r="X1884" i="21"/>
  <c r="Z1884" i="21"/>
  <c r="W1886" i="21"/>
  <c r="W1887" i="21"/>
  <c r="X1887" i="21" s="1"/>
  <c r="Z564" i="21"/>
  <c r="Y564" i="21"/>
  <c r="Z527" i="21"/>
  <c r="W2441" i="21"/>
  <c r="Z1684" i="21"/>
  <c r="Y1684" i="21"/>
  <c r="X1684" i="21"/>
  <c r="Z1552" i="21"/>
  <c r="Y1552" i="21"/>
  <c r="Z1145" i="21"/>
  <c r="X1145" i="21"/>
  <c r="Y1028" i="21"/>
  <c r="Z1028" i="21"/>
  <c r="Z698" i="21"/>
  <c r="W699" i="21"/>
  <c r="W701" i="21"/>
  <c r="Z701" i="21" s="1"/>
  <c r="W702" i="21"/>
  <c r="Z1549" i="21"/>
  <c r="Y1549" i="21"/>
  <c r="X1549" i="21"/>
  <c r="Y1288" i="21"/>
  <c r="Z1288" i="21"/>
  <c r="X1288" i="21"/>
  <c r="Z1054" i="21"/>
  <c r="Y1054" i="21"/>
  <c r="Y519" i="21"/>
  <c r="Z519" i="21"/>
  <c r="X519" i="21"/>
  <c r="X2390" i="21"/>
  <c r="Y2390" i="21"/>
  <c r="W2393" i="21"/>
  <c r="W2395" i="21"/>
  <c r="Z2390" i="21"/>
  <c r="X1493" i="21"/>
  <c r="Z1493" i="21"/>
  <c r="Y1493" i="21"/>
  <c r="X1353" i="21"/>
  <c r="Z1353" i="21"/>
  <c r="Y1353" i="21"/>
  <c r="Z868" i="21"/>
  <c r="Y868" i="21"/>
  <c r="X558" i="21"/>
  <c r="Z558" i="21"/>
  <c r="Y558" i="21"/>
  <c r="W164" i="21"/>
  <c r="Y163" i="21"/>
  <c r="X163" i="21"/>
  <c r="Z163" i="21"/>
  <c r="Y725" i="21"/>
  <c r="X725" i="21"/>
  <c r="X28" i="21"/>
  <c r="Z28" i="21"/>
  <c r="Y28" i="21"/>
  <c r="Z1556" i="21"/>
  <c r="Y1556" i="21"/>
  <c r="X1556" i="21"/>
  <c r="X1116" i="21"/>
  <c r="Y1116" i="21"/>
  <c r="Z1116" i="21"/>
  <c r="X2312" i="21"/>
  <c r="Y2394" i="21"/>
  <c r="Z2394" i="21"/>
  <c r="Z1561" i="21"/>
  <c r="Y1561" i="21"/>
  <c r="Z837" i="21"/>
  <c r="Y837" i="21"/>
  <c r="X837" i="21"/>
  <c r="Y1468" i="21"/>
  <c r="X1468" i="21"/>
  <c r="Y1293" i="21"/>
  <c r="Z1293" i="21"/>
  <c r="Z1820" i="21"/>
  <c r="Y1820" i="21"/>
  <c r="X1820" i="21"/>
  <c r="W1821" i="21"/>
  <c r="Z2177" i="21"/>
  <c r="Y2177" i="21"/>
  <c r="Y1527" i="21"/>
  <c r="X1527" i="21"/>
  <c r="Z866" i="21"/>
  <c r="Y866" i="21"/>
  <c r="X2163" i="21"/>
  <c r="W2167" i="21"/>
  <c r="Z2167" i="21" s="1"/>
  <c r="Y827" i="21"/>
  <c r="Z827" i="21"/>
  <c r="X827" i="21"/>
  <c r="X460" i="21"/>
  <c r="Z460" i="21"/>
  <c r="Y460" i="21"/>
  <c r="Z1728" i="21"/>
  <c r="Y1728" i="21"/>
  <c r="X1728" i="21"/>
  <c r="X1618" i="21"/>
  <c r="Y1618" i="21"/>
  <c r="Z1618" i="21"/>
  <c r="Y2045" i="21"/>
  <c r="W2048" i="21"/>
  <c r="Z1933" i="21"/>
  <c r="W1936" i="21"/>
  <c r="Z2033" i="21"/>
  <c r="W2034" i="21"/>
  <c r="Y2034" i="21" s="1"/>
  <c r="X2033" i="21"/>
  <c r="W2035" i="21"/>
  <c r="W2465" i="21"/>
  <c r="Y2462" i="21"/>
  <c r="Z2462" i="21"/>
  <c r="W2467" i="21"/>
  <c r="X2462" i="21"/>
  <c r="W2463" i="21"/>
  <c r="X2463" i="21" s="1"/>
  <c r="W2464" i="21"/>
  <c r="W2466" i="21"/>
  <c r="Z1292" i="21"/>
  <c r="X1292" i="21"/>
  <c r="Y2686" i="21"/>
  <c r="X2686" i="21"/>
  <c r="W2313" i="21"/>
  <c r="Y1605" i="21"/>
  <c r="Z1527" i="21"/>
  <c r="Y1776" i="21"/>
  <c r="Z1776" i="21"/>
  <c r="X1626" i="21"/>
  <c r="Z1626" i="21"/>
  <c r="Y1626" i="21"/>
  <c r="X1733" i="21"/>
  <c r="Z1733" i="21"/>
  <c r="Y1371" i="21"/>
  <c r="Z1371" i="21"/>
  <c r="X1371" i="21"/>
  <c r="Y2658" i="21"/>
  <c r="Z2658" i="21"/>
  <c r="Z2664" i="21"/>
  <c r="X2664" i="21"/>
  <c r="Y2664" i="21"/>
  <c r="Z1981" i="21"/>
  <c r="Y1981" i="21"/>
  <c r="W1983" i="21"/>
  <c r="W1982" i="21"/>
  <c r="Y766" i="21"/>
  <c r="X766" i="21"/>
  <c r="Z766" i="21"/>
  <c r="Z102" i="21"/>
  <c r="X102" i="21"/>
  <c r="Z2354" i="21"/>
  <c r="W2359" i="21"/>
  <c r="X2354" i="21"/>
  <c r="Y2354" i="21"/>
  <c r="W2357" i="21"/>
  <c r="W2358" i="21"/>
  <c r="W2355" i="21"/>
  <c r="Y2355" i="21" s="1"/>
  <c r="W2263" i="21"/>
  <c r="W2259" i="21"/>
  <c r="W2260" i="21"/>
  <c r="Z2258" i="21"/>
  <c r="W2261" i="21"/>
  <c r="Y1668" i="21"/>
  <c r="Z1668" i="21"/>
  <c r="Y2556" i="21"/>
  <c r="Z2556" i="21"/>
  <c r="X1289" i="21"/>
  <c r="Z1289" i="21"/>
  <c r="Z1237" i="21"/>
  <c r="X1237" i="21"/>
  <c r="Z1140" i="21"/>
  <c r="Y1140" i="21"/>
  <c r="Z813" i="21"/>
  <c r="Y813" i="21"/>
  <c r="X813" i="21"/>
  <c r="X644" i="21"/>
  <c r="Z644" i="21"/>
  <c r="W645" i="21"/>
  <c r="W648" i="21"/>
  <c r="Y480" i="21"/>
  <c r="X480" i="21"/>
  <c r="Y1127" i="21"/>
  <c r="Z1127" i="21"/>
  <c r="X1127" i="21"/>
  <c r="Z952" i="21"/>
  <c r="X952" i="21"/>
  <c r="Y952" i="21"/>
  <c r="Z1184" i="21"/>
  <c r="Y1184" i="21"/>
  <c r="Z76" i="21"/>
  <c r="X76" i="21"/>
  <c r="Y877" i="21"/>
  <c r="X877" i="21"/>
  <c r="Z877" i="21"/>
  <c r="Z1142" i="21"/>
  <c r="Y1142" i="21"/>
  <c r="X1142" i="21"/>
  <c r="Y1269" i="21"/>
  <c r="X1269" i="21"/>
  <c r="Z1269" i="21"/>
  <c r="X972" i="21"/>
  <c r="Z972" i="21"/>
  <c r="Y972" i="21"/>
  <c r="X575" i="21"/>
  <c r="Y575" i="21"/>
  <c r="Z575" i="21"/>
  <c r="Z81" i="21"/>
  <c r="Y81" i="21"/>
  <c r="X1576" i="21"/>
  <c r="Y1576" i="21"/>
  <c r="Z1576" i="21"/>
  <c r="Z1208" i="21"/>
  <c r="X1208" i="21"/>
  <c r="Y1208" i="21"/>
  <c r="Y632" i="21"/>
  <c r="Z632" i="21"/>
  <c r="X632" i="21"/>
  <c r="Z743" i="21"/>
  <c r="X743" i="21"/>
  <c r="Z1506" i="21"/>
  <c r="Y1506" i="21"/>
  <c r="W2548" i="21"/>
  <c r="Y2546" i="21"/>
  <c r="Z484" i="21"/>
  <c r="X484" i="21"/>
  <c r="Y2678" i="21"/>
  <c r="Y1282" i="21"/>
  <c r="Y1083" i="21"/>
  <c r="Y1191" i="21"/>
  <c r="Z973" i="21"/>
  <c r="W2051" i="21"/>
  <c r="X2051" i="21" s="1"/>
  <c r="Y240" i="21"/>
  <c r="X565" i="21"/>
  <c r="X2645" i="21"/>
  <c r="X1761" i="21"/>
  <c r="X1374" i="21"/>
  <c r="Y111" i="21"/>
  <c r="Z219" i="21"/>
  <c r="Y2702" i="21"/>
  <c r="Z1664" i="21"/>
  <c r="Z1075" i="21"/>
  <c r="H2594" i="21"/>
  <c r="X1795" i="21"/>
  <c r="Y248" i="21"/>
  <c r="Z131" i="21"/>
  <c r="X1360" i="21"/>
  <c r="Y1021" i="21"/>
  <c r="X133" i="21"/>
  <c r="Y465" i="21"/>
  <c r="Y129" i="21"/>
  <c r="X989" i="21"/>
  <c r="Y459" i="21"/>
  <c r="X1226" i="21"/>
  <c r="X1002" i="21"/>
  <c r="X1013" i="21"/>
  <c r="Z127" i="21"/>
  <c r="Y86" i="21"/>
  <c r="X1455" i="21"/>
  <c r="Y229" i="21"/>
  <c r="X249" i="21"/>
  <c r="Y147" i="21"/>
  <c r="X830" i="21"/>
  <c r="X1251" i="21"/>
  <c r="X1195" i="21"/>
  <c r="Z795" i="21"/>
  <c r="X795" i="21"/>
  <c r="Y795" i="21"/>
  <c r="Y1650" i="21"/>
  <c r="X1650" i="21"/>
  <c r="Z1650" i="21"/>
  <c r="Z1736" i="21"/>
  <c r="Y1736" i="21"/>
  <c r="X1736" i="21"/>
  <c r="Y957" i="21"/>
  <c r="Z957" i="21"/>
  <c r="X123" i="21"/>
  <c r="W126" i="21"/>
  <c r="W125" i="21"/>
  <c r="Z123" i="21"/>
  <c r="W124" i="21"/>
  <c r="Y123" i="21"/>
  <c r="W2080" i="21"/>
  <c r="Z2080" i="21" s="1"/>
  <c r="Z2077" i="21"/>
  <c r="W2079" i="21"/>
  <c r="X2077" i="21"/>
  <c r="Y2077" i="21"/>
  <c r="W2078" i="21"/>
  <c r="X1421" i="21"/>
  <c r="Z1421" i="21"/>
  <c r="Y1421" i="21"/>
  <c r="X2659" i="21"/>
  <c r="Z2659" i="21"/>
  <c r="Y2659" i="21"/>
  <c r="X1667" i="21"/>
  <c r="Z1667" i="21"/>
  <c r="Y1667" i="21"/>
  <c r="Z2699" i="21"/>
  <c r="Y2699" i="21"/>
  <c r="X2699" i="21"/>
  <c r="Z2207" i="21"/>
  <c r="X2207" i="21"/>
  <c r="Y2207" i="21"/>
  <c r="Y38" i="21"/>
  <c r="Z71" i="21"/>
  <c r="W2096" i="21"/>
  <c r="X1417" i="21"/>
  <c r="X871" i="21"/>
  <c r="Z940" i="21"/>
  <c r="X2698" i="21"/>
  <c r="Z38" i="21"/>
  <c r="Y1220" i="21"/>
  <c r="X508" i="21"/>
  <c r="X2637" i="21"/>
  <c r="Y2637" i="21"/>
  <c r="X1845" i="21"/>
  <c r="Z2698" i="21"/>
  <c r="X756" i="21"/>
  <c r="X930" i="21"/>
  <c r="Y19" i="21"/>
  <c r="Y871" i="21"/>
  <c r="Z989" i="21"/>
  <c r="Z956" i="21"/>
  <c r="Y756" i="21"/>
  <c r="X2635" i="21"/>
  <c r="Z2702" i="21"/>
  <c r="X1467" i="21"/>
  <c r="X963" i="21"/>
  <c r="X948" i="21"/>
  <c r="X726" i="21"/>
  <c r="X802" i="21"/>
  <c r="Z26" i="21"/>
  <c r="Y1635" i="21"/>
  <c r="X1635" i="21"/>
  <c r="Z1635" i="21"/>
  <c r="Z1435" i="21"/>
  <c r="X1435" i="21"/>
  <c r="Y1435" i="21"/>
  <c r="W1708" i="21"/>
  <c r="Y1708" i="21" s="1"/>
  <c r="X865" i="21"/>
  <c r="X634" i="21"/>
  <c r="X1243" i="21"/>
  <c r="X1419" i="21"/>
  <c r="X57" i="21"/>
  <c r="X81" i="21"/>
  <c r="X2642" i="21"/>
  <c r="X2706" i="21"/>
  <c r="Y1121" i="21"/>
  <c r="Z1121" i="21"/>
  <c r="Y1185" i="21"/>
  <c r="Z1185" i="21"/>
  <c r="W1916" i="21"/>
  <c r="Z1913" i="21"/>
  <c r="Y1913" i="21"/>
  <c r="Y1961" i="21"/>
  <c r="Z1961" i="21"/>
  <c r="W1963" i="21"/>
  <c r="Y2689" i="21"/>
  <c r="X2689" i="21"/>
  <c r="Z2689" i="21"/>
  <c r="X1265" i="21"/>
  <c r="Y1265" i="21"/>
  <c r="Z1265" i="21"/>
  <c r="X1049" i="21"/>
  <c r="Z1049" i="21"/>
  <c r="Y1049" i="21"/>
  <c r="Z1715" i="21"/>
  <c r="Y1715" i="21"/>
  <c r="X2112" i="21"/>
  <c r="Z2112" i="21"/>
  <c r="Y2112" i="21"/>
  <c r="X803" i="21"/>
  <c r="Z60" i="21"/>
  <c r="Z252" i="21"/>
  <c r="Z359" i="21"/>
  <c r="Y136" i="21"/>
  <c r="X78" i="21"/>
  <c r="Z1468" i="21"/>
  <c r="X876" i="21"/>
  <c r="Y973" i="21"/>
  <c r="Y85" i="21"/>
  <c r="Z729" i="21"/>
  <c r="X1097" i="21"/>
  <c r="X1161" i="21"/>
  <c r="X1673" i="21"/>
  <c r="X1705" i="21"/>
  <c r="X1921" i="21"/>
  <c r="W2116" i="21"/>
  <c r="X2116" i="21" s="1"/>
  <c r="X2705" i="21"/>
  <c r="X985" i="21"/>
  <c r="X921" i="21"/>
  <c r="W786" i="21"/>
  <c r="X95" i="21"/>
  <c r="W364" i="21"/>
  <c r="Y78" i="21"/>
  <c r="W2603" i="21"/>
  <c r="Y2603" i="21" s="1"/>
  <c r="X1456" i="21"/>
  <c r="Y1368" i="21"/>
  <c r="Y1108" i="21"/>
  <c r="Y1212" i="21"/>
  <c r="Y876" i="21"/>
  <c r="X916" i="21"/>
  <c r="Y626" i="21"/>
  <c r="X861" i="21"/>
  <c r="Y95" i="21"/>
  <c r="Z97" i="21"/>
  <c r="W151" i="21"/>
  <c r="Z1368" i="21"/>
  <c r="X1396" i="21"/>
  <c r="X820" i="21"/>
  <c r="Z626" i="21"/>
  <c r="X85" i="21"/>
  <c r="X97" i="21"/>
  <c r="Y150" i="21"/>
  <c r="Y359" i="21"/>
  <c r="X66" i="21"/>
  <c r="X1839" i="21"/>
  <c r="Y1456" i="21"/>
  <c r="X1424" i="21"/>
  <c r="Y916" i="21"/>
  <c r="X70" i="21"/>
  <c r="W152" i="21"/>
  <c r="W363" i="21"/>
  <c r="Y99" i="21"/>
  <c r="Y66" i="21"/>
  <c r="X2109" i="21"/>
  <c r="X1293" i="21"/>
  <c r="Z1455" i="21"/>
  <c r="X200" i="21"/>
  <c r="X729" i="21"/>
  <c r="X87" i="21"/>
  <c r="Z150" i="21"/>
  <c r="W362" i="21"/>
  <c r="Z362" i="21" s="1"/>
  <c r="X64" i="21"/>
  <c r="W2095" i="21"/>
  <c r="Y2095" i="21" s="1"/>
  <c r="W2611" i="21"/>
  <c r="X2678" i="21"/>
  <c r="X1108" i="21"/>
  <c r="X855" i="21"/>
  <c r="Y70" i="21"/>
  <c r="X1392" i="21"/>
  <c r="Y488" i="21"/>
  <c r="Y139" i="21"/>
  <c r="Z2093" i="21"/>
  <c r="X1778" i="21"/>
  <c r="X586" i="21"/>
  <c r="Y1499" i="21"/>
  <c r="Y1331" i="21"/>
  <c r="X1331" i="21"/>
  <c r="Z1331" i="21"/>
  <c r="Z2234" i="21"/>
  <c r="W2235" i="21"/>
  <c r="Y2235" i="21" s="1"/>
  <c r="Y2234" i="21"/>
  <c r="X137" i="21"/>
  <c r="Y137" i="21"/>
  <c r="Y987" i="21"/>
  <c r="X987" i="21"/>
  <c r="Z987" i="21"/>
  <c r="X2654" i="21"/>
  <c r="W2532" i="21"/>
  <c r="X2528" i="21"/>
  <c r="W2482" i="21"/>
  <c r="Y2482" i="21" s="1"/>
  <c r="W2481" i="21"/>
  <c r="Z2306" i="21"/>
  <c r="Y2417" i="21"/>
  <c r="Z2242" i="21"/>
  <c r="W2244" i="21"/>
  <c r="Z2244" i="21" s="1"/>
  <c r="X2052" i="21"/>
  <c r="W2115" i="21"/>
  <c r="Y2097" i="21"/>
  <c r="Z1888" i="21"/>
  <c r="W1994" i="21"/>
  <c r="X1993" i="21"/>
  <c r="Z1734" i="21"/>
  <c r="W1716" i="21"/>
  <c r="Z1716" i="21" s="1"/>
  <c r="W1924" i="21"/>
  <c r="Z1621" i="21"/>
  <c r="X1551" i="21"/>
  <c r="X1617" i="21"/>
  <c r="Y1145" i="21"/>
  <c r="Y1170" i="21"/>
  <c r="Y1481" i="21"/>
  <c r="X1086" i="21"/>
  <c r="Y1104" i="21"/>
  <c r="Y1010" i="21"/>
  <c r="X1181" i="21"/>
  <c r="X1048" i="21"/>
  <c r="Y686" i="21"/>
  <c r="Y774" i="21"/>
  <c r="X889" i="21"/>
  <c r="X833" i="21"/>
  <c r="X785" i="21"/>
  <c r="X567" i="21"/>
  <c r="X500" i="21"/>
  <c r="Y179" i="21"/>
  <c r="W351" i="21"/>
  <c r="W318" i="21"/>
  <c r="X204" i="21"/>
  <c r="Z500" i="21"/>
  <c r="Y88" i="21"/>
  <c r="W2559" i="21"/>
  <c r="X2559" i="21" s="1"/>
  <c r="Y1448" i="21"/>
  <c r="Y1196" i="21"/>
  <c r="Y997" i="21"/>
  <c r="Y737" i="21"/>
  <c r="Z19" i="21"/>
  <c r="X1003" i="21"/>
  <c r="X1828" i="21"/>
  <c r="Z2654" i="21"/>
  <c r="X2498" i="21"/>
  <c r="W2561" i="21"/>
  <c r="Y2528" i="21"/>
  <c r="W2484" i="21"/>
  <c r="Y2247" i="21"/>
  <c r="X2240" i="21"/>
  <c r="W2223" i="21"/>
  <c r="W2245" i="21"/>
  <c r="Z2245" i="21" s="1"/>
  <c r="Y2052" i="21"/>
  <c r="W2114" i="21"/>
  <c r="Z1727" i="21"/>
  <c r="W1717" i="21"/>
  <c r="Y1921" i="21"/>
  <c r="Y1723" i="21"/>
  <c r="X1602" i="21"/>
  <c r="X1316" i="21"/>
  <c r="Y1443" i="21"/>
  <c r="Z1210" i="21"/>
  <c r="X1305" i="21"/>
  <c r="Y1195" i="21"/>
  <c r="Z1316" i="21"/>
  <c r="Z1104" i="21"/>
  <c r="Y798" i="21"/>
  <c r="Z1181" i="21"/>
  <c r="Y1042" i="21"/>
  <c r="Z774" i="21"/>
  <c r="Y889" i="21"/>
  <c r="Y833" i="21"/>
  <c r="Y516" i="21"/>
  <c r="W350" i="21"/>
  <c r="X209" i="21"/>
  <c r="W321" i="21"/>
  <c r="Z321" i="21" s="1"/>
  <c r="Z347" i="21"/>
  <c r="X1196" i="21"/>
  <c r="X1428" i="21"/>
  <c r="Y844" i="21"/>
  <c r="X908" i="21"/>
  <c r="X804" i="21"/>
  <c r="Z737" i="21"/>
  <c r="X2685" i="21"/>
  <c r="X1137" i="21"/>
  <c r="X1169" i="21"/>
  <c r="X1481" i="21"/>
  <c r="X1593" i="21"/>
  <c r="W1978" i="21"/>
  <c r="X1978" i="21" s="1"/>
  <c r="X2665" i="21"/>
  <c r="X1513" i="21"/>
  <c r="X969" i="21"/>
  <c r="X905" i="21"/>
  <c r="X602" i="21"/>
  <c r="X1179" i="21"/>
  <c r="X1347" i="21"/>
  <c r="W690" i="21"/>
  <c r="X811" i="21"/>
  <c r="X25" i="21"/>
  <c r="X2486" i="21"/>
  <c r="Y2558" i="21"/>
  <c r="W2490" i="21"/>
  <c r="Z2528" i="21"/>
  <c r="Z2247" i="21"/>
  <c r="W2243" i="21"/>
  <c r="W2117" i="21"/>
  <c r="Z2117" i="21" s="1"/>
  <c r="W1922" i="21"/>
  <c r="W1724" i="21"/>
  <c r="Y1602" i="21"/>
  <c r="X1585" i="21"/>
  <c r="Y1507" i="21"/>
  <c r="X1390" i="21"/>
  <c r="Z1195" i="21"/>
  <c r="Y1284" i="21"/>
  <c r="Z965" i="21"/>
  <c r="X965" i="21"/>
  <c r="Y757" i="21"/>
  <c r="X883" i="21"/>
  <c r="X922" i="21"/>
  <c r="W444" i="21"/>
  <c r="X444" i="21" s="1"/>
  <c r="Z516" i="21"/>
  <c r="Z209" i="21"/>
  <c r="Q68" i="21"/>
  <c r="Y104" i="21"/>
  <c r="Y55" i="21"/>
  <c r="X588" i="21"/>
  <c r="W352" i="21"/>
  <c r="Z352" i="21" s="1"/>
  <c r="X1553" i="21"/>
  <c r="X1344" i="21"/>
  <c r="Y1631" i="21"/>
  <c r="X1147" i="21"/>
  <c r="X1010" i="21"/>
  <c r="Z726" i="21"/>
  <c r="X179" i="21"/>
  <c r="X857" i="21"/>
  <c r="X2639" i="21"/>
  <c r="Q528" i="21"/>
  <c r="X2603" i="21"/>
  <c r="X2677" i="21"/>
  <c r="W2563" i="21"/>
  <c r="W2529" i="21"/>
  <c r="W2227" i="21"/>
  <c r="W2307" i="21"/>
  <c r="Z2307" i="21" s="1"/>
  <c r="W2224" i="21"/>
  <c r="Y2240" i="21"/>
  <c r="P2715" i="21"/>
  <c r="W1923" i="21"/>
  <c r="Z1723" i="21"/>
  <c r="X1723" i="21"/>
  <c r="Z1507" i="21"/>
  <c r="Y1390" i="21"/>
  <c r="Y1347" i="21"/>
  <c r="Z1284" i="21"/>
  <c r="Y1088" i="21"/>
  <c r="Z757" i="21"/>
  <c r="Y922" i="21"/>
  <c r="X569" i="21"/>
  <c r="W447" i="21"/>
  <c r="X218" i="21"/>
  <c r="Y347" i="21"/>
  <c r="Y218" i="21"/>
  <c r="X23" i="21"/>
  <c r="X73" i="21"/>
  <c r="Y226" i="21"/>
  <c r="Y25" i="21"/>
  <c r="Z2486" i="21"/>
  <c r="W2249" i="21"/>
  <c r="Z1631" i="21"/>
  <c r="W787" i="21"/>
  <c r="Z1126" i="21"/>
  <c r="Y908" i="21"/>
  <c r="Y27" i="21"/>
  <c r="X1165" i="21"/>
  <c r="Y2677" i="21"/>
  <c r="W2533" i="21"/>
  <c r="Y2533" i="21" s="1"/>
  <c r="W2248" i="21"/>
  <c r="Y2248" i="21" s="1"/>
  <c r="Z2240" i="21"/>
  <c r="W1995" i="21"/>
  <c r="W1726" i="21"/>
  <c r="Z1726" i="21" s="1"/>
  <c r="Z1738" i="21"/>
  <c r="X1524" i="21"/>
  <c r="Z1305" i="21"/>
  <c r="X1012" i="21"/>
  <c r="Z1088" i="21"/>
  <c r="X842" i="21"/>
  <c r="Y735" i="21"/>
  <c r="Y1012" i="21"/>
  <c r="W788" i="21"/>
  <c r="Y443" i="21"/>
  <c r="Z443" i="21"/>
  <c r="Y505" i="21"/>
  <c r="W319" i="21"/>
  <c r="Z319" i="21" s="1"/>
  <c r="W181" i="21"/>
  <c r="W348" i="21"/>
  <c r="Y23" i="21"/>
  <c r="Z113" i="21"/>
  <c r="Y73" i="21"/>
  <c r="Z226" i="21"/>
  <c r="X2657" i="21"/>
  <c r="Y2486" i="21"/>
  <c r="W2487" i="21"/>
  <c r="Z2487" i="21" s="1"/>
  <c r="X2222" i="21"/>
  <c r="X1170" i="21"/>
  <c r="X903" i="21"/>
  <c r="X844" i="21"/>
  <c r="Y1126" i="21"/>
  <c r="X443" i="21"/>
  <c r="W2250" i="21"/>
  <c r="W2483" i="21"/>
  <c r="W2251" i="21"/>
  <c r="W2241" i="21"/>
  <c r="Z2241" i="21" s="1"/>
  <c r="W2225" i="21"/>
  <c r="Y1888" i="21"/>
  <c r="Z1993" i="21"/>
  <c r="Z1901" i="21"/>
  <c r="W1718" i="21"/>
  <c r="X1738" i="21"/>
  <c r="Z1524" i="21"/>
  <c r="Y1446" i="21"/>
  <c r="X1425" i="21"/>
  <c r="Z992" i="21"/>
  <c r="Y842" i="21"/>
  <c r="W445" i="21"/>
  <c r="Z505" i="21"/>
  <c r="W320" i="21"/>
  <c r="W180" i="21"/>
  <c r="Y588" i="21"/>
  <c r="W349" i="21"/>
  <c r="X113" i="21"/>
  <c r="Z203" i="21"/>
  <c r="Y2246" i="21"/>
  <c r="Y2498" i="21"/>
  <c r="W2489" i="21"/>
  <c r="W2226" i="21"/>
  <c r="X1423" i="21"/>
  <c r="Z1423" i="21"/>
  <c r="Y903" i="21"/>
  <c r="Z686" i="21"/>
  <c r="Y1210" i="21"/>
  <c r="Y2635" i="21"/>
  <c r="W2500" i="21"/>
  <c r="X2113" i="21"/>
  <c r="Y2080" i="21"/>
  <c r="W1890" i="21"/>
  <c r="X1715" i="21"/>
  <c r="X1727" i="21"/>
  <c r="X1800" i="21"/>
  <c r="X992" i="21"/>
  <c r="X735" i="21"/>
  <c r="X851" i="21"/>
  <c r="Y317" i="21"/>
  <c r="Y204" i="21"/>
  <c r="H2606" i="21"/>
  <c r="J2606" i="21" s="1"/>
  <c r="X2246" i="21"/>
  <c r="X892" i="21"/>
  <c r="X104" i="21"/>
  <c r="W2560" i="21"/>
  <c r="X2560" i="21" s="1"/>
  <c r="X1539" i="21"/>
  <c r="X2658" i="21"/>
  <c r="X1443" i="21"/>
  <c r="X1794" i="21"/>
  <c r="X2234" i="21"/>
  <c r="W2499" i="21"/>
  <c r="X2499" i="21" s="1"/>
  <c r="X2647" i="21"/>
  <c r="Z2647" i="21"/>
  <c r="Y2647" i="21"/>
  <c r="Y1625" i="21"/>
  <c r="X1625" i="21"/>
  <c r="Z1625" i="21"/>
  <c r="Z638" i="21"/>
  <c r="Y638" i="21"/>
  <c r="X638" i="21"/>
  <c r="Z2160" i="21"/>
  <c r="Y2160" i="21"/>
  <c r="X2160" i="21"/>
  <c r="Y1729" i="21"/>
  <c r="Z1729" i="21"/>
  <c r="Z1817" i="21"/>
  <c r="W1819" i="21"/>
  <c r="Z1819" i="21" s="1"/>
  <c r="Y1817" i="21"/>
  <c r="W1818" i="21"/>
  <c r="X1817" i="21"/>
  <c r="Z2633" i="21"/>
  <c r="Y2633" i="21"/>
  <c r="Z1547" i="21"/>
  <c r="Y1547" i="21"/>
  <c r="Z2687" i="21"/>
  <c r="Y2687" i="21"/>
  <c r="X2687" i="21"/>
  <c r="W2020" i="21"/>
  <c r="Z2020" i="21" s="1"/>
  <c r="Z2017" i="21"/>
  <c r="W2019" i="21"/>
  <c r="W2018" i="21"/>
  <c r="Y2017" i="21"/>
  <c r="X2017" i="21"/>
  <c r="Y2588" i="21"/>
  <c r="W2397" i="21"/>
  <c r="Z2288" i="21"/>
  <c r="W2236" i="21"/>
  <c r="W2162" i="21"/>
  <c r="W2370" i="21"/>
  <c r="Z2198" i="21"/>
  <c r="Y1859" i="21"/>
  <c r="W1934" i="21"/>
  <c r="Y1781" i="21"/>
  <c r="X1563" i="21"/>
  <c r="W1710" i="21"/>
  <c r="Y1500" i="21"/>
  <c r="Y1440" i="21"/>
  <c r="Y1372" i="21"/>
  <c r="X1020" i="21"/>
  <c r="Z1056" i="21"/>
  <c r="Z1070" i="21"/>
  <c r="Y1248" i="21"/>
  <c r="Y942" i="21"/>
  <c r="X797" i="21"/>
  <c r="Y662" i="21"/>
  <c r="Y854" i="21"/>
  <c r="W667" i="21"/>
  <c r="Z850" i="21"/>
  <c r="W685" i="21"/>
  <c r="W643" i="21"/>
  <c r="X643" i="21" s="1"/>
  <c r="Y491" i="21"/>
  <c r="W435" i="21"/>
  <c r="W454" i="21"/>
  <c r="Y188" i="21"/>
  <c r="Z121" i="21"/>
  <c r="X122" i="21"/>
  <c r="Y64" i="21"/>
  <c r="Y1374" i="21"/>
  <c r="X936" i="21"/>
  <c r="X542" i="21"/>
  <c r="Y72" i="21"/>
  <c r="X1567" i="21"/>
  <c r="Z860" i="21"/>
  <c r="W2586" i="21"/>
  <c r="Z2588" i="21"/>
  <c r="W2344" i="21"/>
  <c r="Y2344" i="21" s="1"/>
  <c r="W2400" i="21"/>
  <c r="X2319" i="21"/>
  <c r="W2289" i="21"/>
  <c r="W2239" i="21"/>
  <c r="X2158" i="21"/>
  <c r="W2369" i="21"/>
  <c r="W2199" i="21"/>
  <c r="W1999" i="21"/>
  <c r="Y1999" i="21" s="1"/>
  <c r="X1933" i="21"/>
  <c r="Y1856" i="21"/>
  <c r="Y1933" i="21"/>
  <c r="X1628" i="21"/>
  <c r="Y1615" i="21"/>
  <c r="X1595" i="21"/>
  <c r="X1313" i="21"/>
  <c r="Y1313" i="21"/>
  <c r="Y1169" i="21"/>
  <c r="Y1465" i="21"/>
  <c r="Y1238" i="21"/>
  <c r="Z1372" i="21"/>
  <c r="X1110" i="21"/>
  <c r="Y773" i="21"/>
  <c r="Z1248" i="21"/>
  <c r="Z942" i="21"/>
  <c r="Z854" i="21"/>
  <c r="X662" i="21"/>
  <c r="Z881" i="21"/>
  <c r="X1030" i="21"/>
  <c r="X931" i="21"/>
  <c r="Y680" i="21"/>
  <c r="Y641" i="21"/>
  <c r="X680" i="21"/>
  <c r="Y431" i="21"/>
  <c r="W455" i="21"/>
  <c r="Y45" i="21"/>
  <c r="Z188" i="21"/>
  <c r="Z48" i="21"/>
  <c r="X1977" i="21"/>
  <c r="Z2582" i="21"/>
  <c r="Y1358" i="21"/>
  <c r="Z1374" i="21"/>
  <c r="Z662" i="21"/>
  <c r="X72" i="21"/>
  <c r="X55" i="21"/>
  <c r="X641" i="21"/>
  <c r="Y1058" i="21"/>
  <c r="Y860" i="21"/>
  <c r="Y585" i="21"/>
  <c r="W2584" i="21"/>
  <c r="W2589" i="21"/>
  <c r="W2502" i="21"/>
  <c r="X2502" i="21" s="1"/>
  <c r="W2398" i="21"/>
  <c r="Y2319" i="21"/>
  <c r="W2292" i="21"/>
  <c r="W2161" i="21"/>
  <c r="Z2161" i="21" s="1"/>
  <c r="Y2366" i="21"/>
  <c r="Z2158" i="21"/>
  <c r="W2201" i="21"/>
  <c r="Y1997" i="21"/>
  <c r="W1998" i="21"/>
  <c r="W1979" i="21"/>
  <c r="W1857" i="21"/>
  <c r="Y1826" i="21"/>
  <c r="W1935" i="21"/>
  <c r="X1560" i="21"/>
  <c r="Z1615" i="21"/>
  <c r="Y1300" i="21"/>
  <c r="Z1238" i="21"/>
  <c r="Z1109" i="21"/>
  <c r="Y1110" i="21"/>
  <c r="Y969" i="21"/>
  <c r="Y806" i="21"/>
  <c r="Z1092" i="21"/>
  <c r="W691" i="21"/>
  <c r="Y1030" i="21"/>
  <c r="X926" i="21"/>
  <c r="W688" i="21"/>
  <c r="Y1020" i="21"/>
  <c r="W681" i="21"/>
  <c r="Z681" i="21" s="1"/>
  <c r="W642" i="21"/>
  <c r="X683" i="21"/>
  <c r="Z494" i="21"/>
  <c r="Y251" i="21"/>
  <c r="W432" i="21"/>
  <c r="Z45" i="21"/>
  <c r="X48" i="21"/>
  <c r="X32" i="21"/>
  <c r="Y2582" i="21"/>
  <c r="Z1660" i="21"/>
  <c r="W666" i="21"/>
  <c r="Z775" i="21"/>
  <c r="X147" i="21"/>
  <c r="X775" i="21"/>
  <c r="Y1567" i="21"/>
  <c r="X585" i="21"/>
  <c r="X2652" i="21"/>
  <c r="W2587" i="21"/>
  <c r="W2591" i="21"/>
  <c r="X2366" i="21"/>
  <c r="W2347" i="21"/>
  <c r="W2401" i="21"/>
  <c r="W2290" i="21"/>
  <c r="W2343" i="21"/>
  <c r="Z2343" i="21" s="1"/>
  <c r="X2288" i="21"/>
  <c r="W2159" i="21"/>
  <c r="X2159" i="21" s="1"/>
  <c r="W2237" i="21"/>
  <c r="Z2237" i="21" s="1"/>
  <c r="W2346" i="21"/>
  <c r="Y2346" i="21" s="1"/>
  <c r="X1997" i="21"/>
  <c r="W1858" i="21"/>
  <c r="Y1628" i="21"/>
  <c r="Z1560" i="21"/>
  <c r="X1479" i="21"/>
  <c r="X1395" i="21"/>
  <c r="X1348" i="21"/>
  <c r="X1109" i="21"/>
  <c r="Y1060" i="21"/>
  <c r="X760" i="21"/>
  <c r="X1006" i="21"/>
  <c r="Y678" i="21"/>
  <c r="X546" i="21"/>
  <c r="W684" i="21"/>
  <c r="Y920" i="21"/>
  <c r="X497" i="21"/>
  <c r="Z797" i="21"/>
  <c r="Y683" i="21"/>
  <c r="Y494" i="21"/>
  <c r="X210" i="21"/>
  <c r="W433" i="21"/>
  <c r="X24" i="21"/>
  <c r="Z210" i="21"/>
  <c r="Y32" i="21"/>
  <c r="W2501" i="21"/>
  <c r="Y1660" i="21"/>
  <c r="Y1278" i="21"/>
  <c r="Y565" i="21"/>
  <c r="X65" i="21"/>
  <c r="Y971" i="21"/>
  <c r="W550" i="21"/>
  <c r="Y2652" i="21"/>
  <c r="W2585" i="21"/>
  <c r="W2593" i="21"/>
  <c r="W2399" i="21"/>
  <c r="X2399" i="21" s="1"/>
  <c r="W2293" i="21"/>
  <c r="W2340" i="21"/>
  <c r="Y2158" i="21"/>
  <c r="W2238" i="21"/>
  <c r="W2371" i="21"/>
  <c r="Z2371" i="21" s="1"/>
  <c r="X2089" i="21"/>
  <c r="X1856" i="21"/>
  <c r="Y1794" i="21"/>
  <c r="X1682" i="21"/>
  <c r="X1749" i="21"/>
  <c r="W1709" i="21"/>
  <c r="Y1709" i="21" s="1"/>
  <c r="Y1395" i="21"/>
  <c r="X1268" i="21"/>
  <c r="Y1348" i="21"/>
  <c r="X1050" i="21"/>
  <c r="Y1026" i="21"/>
  <c r="Z893" i="21"/>
  <c r="Y936" i="21"/>
  <c r="X738" i="21"/>
  <c r="Y926" i="21"/>
  <c r="Y1006" i="21"/>
  <c r="W543" i="21"/>
  <c r="Z678" i="21"/>
  <c r="Z680" i="21"/>
  <c r="Y738" i="21"/>
  <c r="W456" i="21"/>
  <c r="Z462" i="21"/>
  <c r="X94" i="21"/>
  <c r="Y24" i="21"/>
  <c r="X2372" i="21"/>
  <c r="Y1389" i="21"/>
  <c r="X1278" i="21"/>
  <c r="X1389" i="21"/>
  <c r="X1294" i="21"/>
  <c r="Y1392" i="21"/>
  <c r="Z1231" i="21"/>
  <c r="X1231" i="21"/>
  <c r="X962" i="21"/>
  <c r="Z814" i="21"/>
  <c r="X79" i="21"/>
  <c r="Z565" i="21"/>
  <c r="Z971" i="21"/>
  <c r="X1523" i="21"/>
  <c r="X2582" i="21"/>
  <c r="W2590" i="21"/>
  <c r="X2590" i="21" s="1"/>
  <c r="Y2396" i="21"/>
  <c r="W2367" i="21"/>
  <c r="X2198" i="21"/>
  <c r="Z1997" i="21"/>
  <c r="Z1856" i="21"/>
  <c r="X1707" i="21"/>
  <c r="X1753" i="21"/>
  <c r="Y1753" i="21"/>
  <c r="Y1749" i="21"/>
  <c r="X1522" i="21"/>
  <c r="Y1707" i="21"/>
  <c r="Y1623" i="21"/>
  <c r="Z1510" i="21"/>
  <c r="Y1377" i="21"/>
  <c r="Y1072" i="21"/>
  <c r="W689" i="21"/>
  <c r="X881" i="21"/>
  <c r="Z542" i="21"/>
  <c r="W682" i="21"/>
  <c r="Y682" i="21" s="1"/>
  <c r="Y760" i="21"/>
  <c r="Z562" i="21"/>
  <c r="W148" i="21"/>
  <c r="X148" i="21" s="1"/>
  <c r="X453" i="21"/>
  <c r="Z453" i="21"/>
  <c r="Y462" i="21"/>
  <c r="Y79" i="21"/>
  <c r="Y94" i="21"/>
  <c r="Y53" i="21"/>
  <c r="Y1268" i="21"/>
  <c r="W687" i="21"/>
  <c r="X53" i="21"/>
  <c r="Y65" i="21"/>
  <c r="W1980" i="21"/>
  <c r="W2503" i="21"/>
  <c r="W2592" i="21"/>
  <c r="X2592" i="21" s="1"/>
  <c r="Y2198" i="21"/>
  <c r="X1511" i="21"/>
  <c r="Z1623" i="21"/>
  <c r="Y1518" i="21"/>
  <c r="Y1510" i="21"/>
  <c r="Z1460" i="21"/>
  <c r="Z1377" i="21"/>
  <c r="Z1032" i="21"/>
  <c r="Y1018" i="21"/>
  <c r="W544" i="21"/>
  <c r="Y546" i="21"/>
  <c r="X491" i="21"/>
  <c r="X431" i="21"/>
  <c r="W434" i="21"/>
  <c r="W149" i="21"/>
  <c r="X203" i="21"/>
  <c r="X1769" i="21"/>
  <c r="Y962" i="21"/>
  <c r="X251" i="21"/>
  <c r="X1075" i="21"/>
  <c r="Z1027" i="21"/>
  <c r="Z1177" i="21"/>
  <c r="Y1177" i="21"/>
  <c r="X1177" i="21"/>
  <c r="Z1457" i="21"/>
  <c r="Y1457" i="21"/>
  <c r="X1457" i="21"/>
  <c r="Z1489" i="21"/>
  <c r="Y1489" i="21"/>
  <c r="X1489" i="21"/>
  <c r="Z1569" i="21"/>
  <c r="X1569" i="21"/>
  <c r="Y1569" i="21"/>
  <c r="Z1689" i="21"/>
  <c r="X1689" i="21"/>
  <c r="X1737" i="21"/>
  <c r="Z1737" i="21"/>
  <c r="Y1737" i="21"/>
  <c r="X2065" i="21"/>
  <c r="W2068" i="21"/>
  <c r="Y2068" i="21" s="1"/>
  <c r="Z2065" i="21"/>
  <c r="W2067" i="21"/>
  <c r="W2066" i="21"/>
  <c r="Z2066" i="21" s="1"/>
  <c r="Y2065" i="21"/>
  <c r="X2673" i="21"/>
  <c r="Z2673" i="21"/>
  <c r="Y2673" i="21"/>
  <c r="Z1321" i="21"/>
  <c r="X1321" i="21"/>
  <c r="Y1321" i="21"/>
  <c r="Y1969" i="21"/>
  <c r="W1972" i="21"/>
  <c r="W1971" i="21"/>
  <c r="Y1971" i="21" s="1"/>
  <c r="Z1969" i="21"/>
  <c r="X1969" i="21"/>
  <c r="W1970" i="21"/>
  <c r="Z1970" i="21" s="1"/>
  <c r="X127" i="21"/>
  <c r="Y254" i="21"/>
  <c r="X1391" i="21"/>
  <c r="Z1391" i="21"/>
  <c r="X1018" i="21"/>
  <c r="X1005" i="21"/>
  <c r="Z745" i="21"/>
  <c r="Z144" i="21"/>
  <c r="X41" i="21"/>
  <c r="Z884" i="21"/>
  <c r="Z1165" i="21"/>
  <c r="X1121" i="21"/>
  <c r="X1185" i="21"/>
  <c r="X1465" i="21"/>
  <c r="X1609" i="21"/>
  <c r="W2107" i="21"/>
  <c r="Z254" i="21"/>
  <c r="Y1186" i="21"/>
  <c r="Y1050" i="21"/>
  <c r="X156" i="21"/>
  <c r="W158" i="21"/>
  <c r="X237" i="21"/>
  <c r="Y216" i="21"/>
  <c r="Y109" i="21"/>
  <c r="X2306" i="21"/>
  <c r="X2510" i="21"/>
  <c r="X1446" i="21"/>
  <c r="Y1250" i="21"/>
  <c r="X772" i="21"/>
  <c r="Y772" i="21"/>
  <c r="Y156" i="21"/>
  <c r="X1336" i="21"/>
  <c r="Z1491" i="21"/>
  <c r="Z1344" i="21"/>
  <c r="X29" i="21"/>
  <c r="Y237" i="21"/>
  <c r="Z109" i="21"/>
  <c r="Z56" i="21"/>
  <c r="W2511" i="21"/>
  <c r="X1186" i="21"/>
  <c r="Y1336" i="21"/>
  <c r="X1520" i="21"/>
  <c r="Y2510" i="21"/>
  <c r="X56" i="21"/>
  <c r="X22" i="21"/>
  <c r="X1042" i="21"/>
  <c r="Y732" i="21"/>
  <c r="X487" i="21"/>
  <c r="Y134" i="21"/>
  <c r="X759" i="21"/>
  <c r="Y22" i="21"/>
  <c r="X1460" i="21"/>
  <c r="Y1162" i="21"/>
  <c r="Y1043" i="21"/>
  <c r="Y487" i="21"/>
  <c r="Z732" i="21"/>
  <c r="Y497" i="21"/>
  <c r="X798" i="21"/>
  <c r="X979" i="21"/>
  <c r="Z759" i="21"/>
  <c r="Y29" i="21"/>
  <c r="X845" i="21"/>
  <c r="X961" i="21"/>
  <c r="Y1520" i="21"/>
  <c r="Y1204" i="21"/>
  <c r="X1786" i="21"/>
  <c r="X1587" i="21"/>
  <c r="X1619" i="21"/>
  <c r="Y1409" i="21"/>
  <c r="X1409" i="21"/>
  <c r="Z1409" i="21"/>
  <c r="X2021" i="21"/>
  <c r="W2024" i="21"/>
  <c r="W2023" i="21"/>
  <c r="X2023" i="21" s="1"/>
  <c r="Z2021" i="21"/>
  <c r="Z1550" i="21"/>
  <c r="Y1550" i="21"/>
  <c r="X1550" i="21"/>
  <c r="Z1252" i="21"/>
  <c r="X1252" i="21"/>
  <c r="Y1252" i="21"/>
  <c r="W316" i="21"/>
  <c r="X316" i="21" s="1"/>
  <c r="W314" i="21"/>
  <c r="Z314" i="21" s="1"/>
  <c r="W315" i="21"/>
  <c r="Y315" i="21" s="1"/>
  <c r="X311" i="21"/>
  <c r="W312" i="21"/>
  <c r="Z311" i="21"/>
  <c r="Y311" i="21"/>
  <c r="X825" i="21"/>
  <c r="Z573" i="21"/>
  <c r="Y573" i="21"/>
  <c r="X573" i="21"/>
  <c r="Z2655" i="21"/>
  <c r="W2428" i="21"/>
  <c r="Z2428" i="21" s="1"/>
  <c r="W2277" i="21"/>
  <c r="X754" i="21"/>
  <c r="Z1641" i="21"/>
  <c r="X1641" i="21"/>
  <c r="Y1641" i="21"/>
  <c r="Y1476" i="21"/>
  <c r="Z1476" i="21"/>
  <c r="Z1895" i="21"/>
  <c r="Y1895" i="21"/>
  <c r="X1895" i="21"/>
  <c r="X549" i="21"/>
  <c r="Z549" i="21"/>
  <c r="Y483" i="21"/>
  <c r="Z483" i="21"/>
  <c r="X483" i="21"/>
  <c r="Z119" i="21"/>
  <c r="Y119" i="21"/>
  <c r="X119" i="21"/>
  <c r="X1656" i="21"/>
  <c r="Z1656" i="21"/>
  <c r="Y1656" i="21"/>
  <c r="Z1577" i="21"/>
  <c r="Y1577" i="21"/>
  <c r="X872" i="21"/>
  <c r="Z872" i="21"/>
  <c r="Y872" i="21"/>
  <c r="X517" i="21"/>
  <c r="Z517" i="21"/>
  <c r="Y517" i="21"/>
  <c r="Z2045" i="21"/>
  <c r="X2045" i="21"/>
  <c r="W2046" i="21"/>
  <c r="Z2046" i="21" s="1"/>
  <c r="W2047" i="21"/>
  <c r="Z1082" i="21"/>
  <c r="X1082" i="21"/>
  <c r="Y1082" i="21"/>
  <c r="X911" i="21"/>
  <c r="Y911" i="21"/>
  <c r="Z911" i="21"/>
  <c r="Z541" i="21"/>
  <c r="X541" i="21"/>
  <c r="Z220" i="21"/>
  <c r="X220" i="21"/>
  <c r="X1122" i="21"/>
  <c r="Z1122" i="21"/>
  <c r="Y1122" i="21"/>
  <c r="W259" i="21"/>
  <c r="X259" i="21" s="1"/>
  <c r="Z255" i="21"/>
  <c r="Z120" i="21"/>
  <c r="Y120" i="21"/>
  <c r="X120" i="21"/>
  <c r="Y37" i="21"/>
  <c r="X37" i="21"/>
  <c r="X1194" i="21"/>
  <c r="Y1194" i="21"/>
  <c r="Z1194" i="21"/>
  <c r="X138" i="21"/>
  <c r="Z138" i="21"/>
  <c r="Y138" i="21"/>
  <c r="X1051" i="21"/>
  <c r="Y1051" i="21"/>
  <c r="Y2138" i="21"/>
  <c r="W2141" i="21"/>
  <c r="W2381" i="21"/>
  <c r="Y2381" i="21" s="1"/>
  <c r="W2383" i="21"/>
  <c r="Y1651" i="21"/>
  <c r="Z1651" i="21"/>
  <c r="X1651" i="21"/>
  <c r="Y511" i="21"/>
  <c r="Z511" i="21"/>
  <c r="X1765" i="21"/>
  <c r="Y1765" i="21"/>
  <c r="Z1545" i="21"/>
  <c r="Y1545" i="21"/>
  <c r="W2429" i="21"/>
  <c r="Z2429" i="21" s="1"/>
  <c r="X2276" i="21"/>
  <c r="W2281" i="21"/>
  <c r="Z2281" i="21" s="1"/>
  <c r="Y2021" i="21"/>
  <c r="Z84" i="21"/>
  <c r="X84" i="21"/>
  <c r="Y84" i="21"/>
  <c r="Y46" i="21"/>
  <c r="X46" i="21"/>
  <c r="Z46" i="21"/>
  <c r="Y1611" i="21"/>
  <c r="Z1611" i="21"/>
  <c r="Y1438" i="21"/>
  <c r="X1438" i="21"/>
  <c r="Z1438" i="21"/>
  <c r="Y984" i="21"/>
  <c r="X984" i="21"/>
  <c r="Z984" i="21"/>
  <c r="X524" i="21"/>
  <c r="Z524" i="21"/>
  <c r="Y524" i="21"/>
  <c r="Y1115" i="21"/>
  <c r="Z1115" i="21"/>
  <c r="X1115" i="21"/>
  <c r="Z930" i="21"/>
  <c r="Y930" i="21"/>
  <c r="Y2690" i="21"/>
  <c r="X2690" i="21"/>
  <c r="Z869" i="21"/>
  <c r="X869" i="21"/>
  <c r="Y1825" i="21"/>
  <c r="X1825" i="21"/>
  <c r="Z1825" i="21"/>
  <c r="W1947" i="21"/>
  <c r="X1945" i="21"/>
  <c r="W1948" i="21"/>
  <c r="Z1945" i="21"/>
  <c r="W1946" i="21"/>
  <c r="Z1946" i="21" s="1"/>
  <c r="Z943" i="21"/>
  <c r="Y943" i="21"/>
  <c r="X796" i="21"/>
  <c r="Z796" i="21"/>
  <c r="Y796" i="21"/>
  <c r="Y808" i="21"/>
  <c r="X808" i="21"/>
  <c r="Z808" i="21"/>
  <c r="Z1105" i="21"/>
  <c r="X1105" i="21"/>
  <c r="Y1105" i="21"/>
  <c r="Z1369" i="21"/>
  <c r="Y1369" i="21"/>
  <c r="X1369" i="21"/>
  <c r="X1273" i="21"/>
  <c r="Y1273" i="21"/>
  <c r="Z1273" i="21"/>
  <c r="W2431" i="21"/>
  <c r="Y2431" i="21" s="1"/>
  <c r="W2022" i="21"/>
  <c r="Y1681" i="21"/>
  <c r="X1681" i="21"/>
  <c r="Y781" i="21"/>
  <c r="W784" i="21"/>
  <c r="Z784" i="21" s="1"/>
  <c r="X781" i="21"/>
  <c r="W783" i="21"/>
  <c r="Z783" i="21" s="1"/>
  <c r="Z781" i="21"/>
  <c r="X918" i="21"/>
  <c r="Z918" i="21"/>
  <c r="Y918" i="21"/>
  <c r="X896" i="21"/>
  <c r="Z896" i="21"/>
  <c r="Y896" i="21"/>
  <c r="Y464" i="21"/>
  <c r="X464" i="21"/>
  <c r="Z464" i="21"/>
  <c r="Z199" i="21"/>
  <c r="Y199" i="21"/>
  <c r="X199" i="21"/>
  <c r="Z582" i="21"/>
  <c r="Y582" i="21"/>
  <c r="Z221" i="21"/>
  <c r="X221" i="21"/>
  <c r="Y221" i="21"/>
  <c r="X1260" i="21"/>
  <c r="Z1260" i="21"/>
  <c r="Y1260" i="21"/>
  <c r="W2262" i="21"/>
  <c r="X2258" i="21"/>
  <c r="Y1744" i="21"/>
  <c r="X1744" i="21"/>
  <c r="Z1431" i="21"/>
  <c r="X1431" i="21"/>
  <c r="Y1159" i="21"/>
  <c r="X1159" i="21"/>
  <c r="X1594" i="21"/>
  <c r="Z1594" i="21"/>
  <c r="Y1594" i="21"/>
  <c r="Z1328" i="21"/>
  <c r="X1328" i="21"/>
  <c r="W1987" i="21"/>
  <c r="X1987" i="21" s="1"/>
  <c r="Z1985" i="21"/>
  <c r="W1986" i="21"/>
  <c r="X1985" i="21"/>
  <c r="Y1985" i="21"/>
  <c r="X1416" i="21"/>
  <c r="Z1416" i="21"/>
  <c r="Y1416" i="21"/>
  <c r="X1219" i="21"/>
  <c r="Z1219" i="21"/>
  <c r="Y1219" i="21"/>
  <c r="Z2649" i="21"/>
  <c r="Y2649" i="21"/>
  <c r="X1917" i="21"/>
  <c r="Z1917" i="21"/>
  <c r="W1920" i="21"/>
  <c r="W1919" i="21"/>
  <c r="X1919" i="21" s="1"/>
  <c r="Y1917" i="21"/>
  <c r="Z990" i="21"/>
  <c r="Y990" i="21"/>
  <c r="X990" i="21"/>
  <c r="Z974" i="21"/>
  <c r="X974" i="21"/>
  <c r="Z1312" i="21"/>
  <c r="Y1312" i="21"/>
  <c r="X1312" i="21"/>
  <c r="X2001" i="21"/>
  <c r="W2002" i="21"/>
  <c r="Z2002" i="21" s="1"/>
  <c r="Y2001" i="21"/>
  <c r="Y1485" i="21"/>
  <c r="X1485" i="21"/>
  <c r="Z946" i="21"/>
  <c r="Y946" i="21"/>
  <c r="X946" i="21"/>
  <c r="X1545" i="21"/>
  <c r="X1577" i="21"/>
  <c r="X1697" i="21"/>
  <c r="Z1697" i="21"/>
  <c r="Y1745" i="21"/>
  <c r="X1745" i="21"/>
  <c r="Z1745" i="21"/>
  <c r="W1914" i="21"/>
  <c r="Z1914" i="21" s="1"/>
  <c r="X1913" i="21"/>
  <c r="W1915" i="21"/>
  <c r="W1962" i="21"/>
  <c r="Y1962" i="21" s="1"/>
  <c r="X1961" i="21"/>
  <c r="W1964" i="21"/>
  <c r="W2042" i="21"/>
  <c r="Z2042" i="21" s="1"/>
  <c r="W2043" i="21"/>
  <c r="X2649" i="21"/>
  <c r="Y1000" i="21"/>
  <c r="Z1000" i="21"/>
  <c r="Z108" i="21"/>
  <c r="Y108" i="21"/>
  <c r="X108" i="21"/>
  <c r="Y570" i="21"/>
  <c r="X570" i="21"/>
  <c r="Z768" i="21"/>
  <c r="Y768" i="21"/>
  <c r="X768" i="21"/>
  <c r="X1741" i="21"/>
  <c r="Z1741" i="21"/>
  <c r="Y1741" i="21"/>
  <c r="Y873" i="21"/>
  <c r="X873" i="21"/>
  <c r="W1844" i="21"/>
  <c r="Y1844" i="21" s="1"/>
  <c r="W1842" i="21"/>
  <c r="X1842" i="21" s="1"/>
  <c r="Y1841" i="21"/>
  <c r="W1843" i="21"/>
  <c r="Z1843" i="21" s="1"/>
  <c r="Z1841" i="21"/>
  <c r="X1841" i="21"/>
  <c r="Z1211" i="21"/>
  <c r="Y1211" i="21"/>
  <c r="X1211" i="21"/>
  <c r="X2426" i="21"/>
  <c r="Y754" i="21"/>
  <c r="Z1245" i="21"/>
  <c r="X1245" i="21"/>
  <c r="Y1245" i="21"/>
  <c r="X1111" i="21"/>
  <c r="Z1111" i="21"/>
  <c r="Z1784" i="21"/>
  <c r="Y1784" i="21"/>
  <c r="W1955" i="21"/>
  <c r="W1956" i="21"/>
  <c r="X1956" i="21" s="1"/>
  <c r="Y1953" i="21"/>
  <c r="W1954" i="21"/>
  <c r="X1953" i="21"/>
  <c r="X1564" i="21"/>
  <c r="Z1564" i="21"/>
  <c r="X1206" i="21"/>
  <c r="Z1206" i="21"/>
  <c r="Z909" i="21"/>
  <c r="Y909" i="21"/>
  <c r="X909" i="21"/>
  <c r="Z800" i="21"/>
  <c r="X800" i="21"/>
  <c r="Y800" i="21"/>
  <c r="Y69" i="21"/>
  <c r="X69" i="21"/>
  <c r="Z69" i="21"/>
  <c r="Z1014" i="21"/>
  <c r="Y1014" i="21"/>
  <c r="X1014" i="21"/>
  <c r="Y458" i="21"/>
  <c r="Z458" i="21"/>
  <c r="X458" i="21"/>
  <c r="Z49" i="21"/>
  <c r="X49" i="21"/>
  <c r="Y49" i="21"/>
  <c r="X1757" i="21"/>
  <c r="Z1757" i="21"/>
  <c r="Y1757" i="21"/>
  <c r="W2430" i="21"/>
  <c r="Y2430" i="21" s="1"/>
  <c r="W2278" i="21"/>
  <c r="X2278" i="21" s="1"/>
  <c r="X2153" i="21"/>
  <c r="W2155" i="21"/>
  <c r="X2155" i="21" s="1"/>
  <c r="Z2153" i="21"/>
  <c r="W2154" i="21"/>
  <c r="Z2154" i="21" s="1"/>
  <c r="W1943" i="21"/>
  <c r="W1944" i="21"/>
  <c r="W1942" i="21"/>
  <c r="Z1942" i="21" s="1"/>
  <c r="Y1941" i="21"/>
  <c r="Z1941" i="21"/>
  <c r="X1773" i="21"/>
  <c r="Z1773" i="21"/>
  <c r="Y1773" i="21"/>
  <c r="Z1687" i="21"/>
  <c r="Y1687" i="21"/>
  <c r="X1687" i="21"/>
  <c r="Y1454" i="21"/>
  <c r="X1454" i="21"/>
  <c r="X1259" i="21"/>
  <c r="Z1259" i="21"/>
  <c r="Z1078" i="21"/>
  <c r="Y1078" i="21"/>
  <c r="X1078" i="21"/>
  <c r="X993" i="21"/>
  <c r="Z993" i="21"/>
  <c r="Y993" i="21"/>
  <c r="X894" i="21"/>
  <c r="Y894" i="21"/>
  <c r="X1748" i="21"/>
  <c r="Z1748" i="21"/>
  <c r="Y1748" i="21"/>
  <c r="Z1531" i="21"/>
  <c r="Y1531" i="21"/>
  <c r="X1531" i="21"/>
  <c r="X1589" i="21"/>
  <c r="Y1589" i="21"/>
  <c r="Z1483" i="21"/>
  <c r="Y1483" i="21"/>
  <c r="X1388" i="21"/>
  <c r="Y1388" i="21"/>
  <c r="X1640" i="21"/>
  <c r="Y1640" i="21"/>
  <c r="Z1640" i="21"/>
  <c r="Z1113" i="21"/>
  <c r="X1113" i="21"/>
  <c r="X140" i="21"/>
  <c r="Z140" i="21"/>
  <c r="Y140" i="21"/>
  <c r="W2280" i="21"/>
  <c r="Z2280" i="21" s="1"/>
  <c r="Z1765" i="21"/>
  <c r="Z873" i="21"/>
  <c r="W2062" i="21"/>
  <c r="Y2061" i="21"/>
  <c r="X2061" i="21"/>
  <c r="W2063" i="21"/>
  <c r="Z2061" i="21"/>
  <c r="X1558" i="21"/>
  <c r="Z1558" i="21"/>
  <c r="Y1731" i="21"/>
  <c r="Z1731" i="21"/>
  <c r="Z2546" i="21"/>
  <c r="W2547" i="21"/>
  <c r="Z2547" i="21" s="1"/>
  <c r="Y1151" i="21"/>
  <c r="X1151" i="21"/>
  <c r="Z1151" i="21"/>
  <c r="Z2342" i="21"/>
  <c r="Y2342" i="21"/>
  <c r="X2342" i="21"/>
  <c r="Z1441" i="21"/>
  <c r="Y1441" i="21"/>
  <c r="X1441" i="21"/>
  <c r="X2694" i="21"/>
  <c r="Y2694" i="21"/>
  <c r="W2427" i="21"/>
  <c r="Y2427" i="21" s="1"/>
  <c r="Y2276" i="21"/>
  <c r="W313" i="21"/>
  <c r="Y313" i="21" s="1"/>
  <c r="X1158" i="21"/>
  <c r="Y1158" i="21"/>
  <c r="Z1158" i="21"/>
  <c r="X704" i="21"/>
  <c r="W708" i="21"/>
  <c r="X708" i="21" s="1"/>
  <c r="Y704" i="21"/>
  <c r="W707" i="21"/>
  <c r="Z707" i="21" s="1"/>
  <c r="W705" i="21"/>
  <c r="W709" i="21"/>
  <c r="X584" i="21"/>
  <c r="Z584" i="21"/>
  <c r="Y584" i="21"/>
  <c r="Y62" i="21"/>
  <c r="X62" i="21"/>
  <c r="Z36" i="21"/>
  <c r="Y36" i="21"/>
  <c r="X36" i="21"/>
  <c r="Z1168" i="21"/>
  <c r="X1168" i="21"/>
  <c r="Y1168" i="21"/>
  <c r="Z153" i="21"/>
  <c r="Y153" i="21"/>
  <c r="W155" i="21"/>
  <c r="X155" i="21" s="1"/>
  <c r="X153" i="21"/>
  <c r="W154" i="21"/>
  <c r="Y2005" i="21"/>
  <c r="X2005" i="21"/>
  <c r="W2008" i="21"/>
  <c r="Y2008" i="21" s="1"/>
  <c r="Z2005" i="21"/>
  <c r="W2007" i="21"/>
  <c r="Y2007" i="21" s="1"/>
  <c r="Y2667" i="21"/>
  <c r="X2667" i="21"/>
  <c r="Z2667" i="21"/>
  <c r="Z1379" i="21"/>
  <c r="Y1379" i="21"/>
  <c r="Z935" i="21"/>
  <c r="Y935" i="21"/>
  <c r="X935" i="21"/>
  <c r="Z822" i="21"/>
  <c r="X777" i="21"/>
  <c r="X1547" i="21"/>
  <c r="X1643" i="21"/>
  <c r="X1089" i="21"/>
  <c r="Z830" i="21"/>
  <c r="Z1473" i="21"/>
  <c r="X1473" i="21"/>
  <c r="Y1473" i="21"/>
  <c r="X2081" i="21"/>
  <c r="W2082" i="21"/>
  <c r="Z2082" i="21" s="1"/>
  <c r="W2083" i="21"/>
  <c r="Z2081" i="21"/>
  <c r="Y2081" i="21"/>
  <c r="W2084" i="21"/>
  <c r="X2084" i="21" s="1"/>
  <c r="Z1658" i="21"/>
  <c r="Y1658" i="21"/>
  <c r="X1658" i="21"/>
  <c r="X1802" i="21"/>
  <c r="Z1802" i="21"/>
  <c r="W1804" i="21"/>
  <c r="Z1804" i="21" s="1"/>
  <c r="Y1802" i="21"/>
  <c r="W1803" i="21"/>
  <c r="X1803" i="21" s="1"/>
  <c r="W1931" i="21"/>
  <c r="Y1931" i="21" s="1"/>
  <c r="Z1929" i="21"/>
  <c r="X1929" i="21"/>
  <c r="W1930" i="21"/>
  <c r="W1932" i="21"/>
  <c r="Y1929" i="21"/>
  <c r="X1601" i="21"/>
  <c r="Z1601" i="21"/>
  <c r="Y1601" i="21"/>
  <c r="X465" i="21"/>
  <c r="X27" i="21"/>
  <c r="X1403" i="21"/>
  <c r="X1491" i="21"/>
  <c r="X1518" i="21"/>
  <c r="X1117" i="21"/>
  <c r="X1506" i="21"/>
  <c r="X1826" i="21"/>
  <c r="W2310" i="21"/>
  <c r="X2310" i="21" s="1"/>
  <c r="W2549" i="21"/>
  <c r="Y2549" i="21" s="1"/>
  <c r="X1611" i="21"/>
  <c r="X1731" i="21"/>
  <c r="Q1785" i="21"/>
  <c r="Q2716" i="21" s="1"/>
  <c r="Y2123" i="21"/>
  <c r="W2125" i="21"/>
  <c r="X2125" i="21" s="1"/>
  <c r="W2124" i="21"/>
  <c r="Z2124" i="21" s="1"/>
  <c r="W2126" i="21"/>
  <c r="Z2123" i="21"/>
  <c r="X2123" i="21"/>
  <c r="W2127" i="21"/>
  <c r="Z2127" i="21" s="1"/>
  <c r="Y545" i="21"/>
  <c r="Z545" i="21"/>
  <c r="X545" i="21"/>
  <c r="Y1586" i="21"/>
  <c r="X1586" i="21"/>
  <c r="Z1586" i="21"/>
  <c r="Z1699" i="21"/>
  <c r="W1702" i="21"/>
  <c r="Y1702" i="21" s="1"/>
  <c r="W1700" i="21"/>
  <c r="Y1699" i="21"/>
  <c r="X1699" i="21"/>
  <c r="W1701" i="21"/>
  <c r="W2523" i="21"/>
  <c r="Z2523" i="21" s="1"/>
  <c r="X2522" i="21"/>
  <c r="Z2522" i="21"/>
  <c r="W2525" i="21"/>
  <c r="Y2525" i="21" s="1"/>
  <c r="Y2522" i="21"/>
  <c r="W2527" i="21"/>
  <c r="Y2527" i="21" s="1"/>
  <c r="W2524" i="21"/>
  <c r="X2524" i="21" s="1"/>
  <c r="W2526" i="21"/>
  <c r="Z2526" i="21" s="1"/>
  <c r="Z1643" i="21"/>
  <c r="Y1643" i="21"/>
  <c r="Z960" i="21"/>
  <c r="Y960" i="21"/>
  <c r="X2634" i="21"/>
  <c r="Z2562" i="21"/>
  <c r="Y2418" i="21"/>
  <c r="W2332" i="21"/>
  <c r="Z2332" i="21" s="1"/>
  <c r="Y2334" i="21"/>
  <c r="Y2336" i="21"/>
  <c r="W2164" i="21"/>
  <c r="Y2167" i="21"/>
  <c r="Y2118" i="21"/>
  <c r="X2118" i="21"/>
  <c r="Z2095" i="21"/>
  <c r="W2030" i="21"/>
  <c r="X2030" i="21" s="1"/>
  <c r="P2716" i="21"/>
  <c r="Y1583" i="21"/>
  <c r="X1538" i="21"/>
  <c r="X1406" i="21"/>
  <c r="Y1459" i="21"/>
  <c r="Z1422" i="21"/>
  <c r="Y1243" i="21"/>
  <c r="Z1200" i="21"/>
  <c r="Y1148" i="21"/>
  <c r="Y897" i="21"/>
  <c r="X912" i="21"/>
  <c r="Y790" i="21"/>
  <c r="X945" i="21"/>
  <c r="Z623" i="21"/>
  <c r="X425" i="21"/>
  <c r="X185" i="21"/>
  <c r="X54" i="21"/>
  <c r="Z208" i="21"/>
  <c r="X2330" i="21"/>
  <c r="X2682" i="21"/>
  <c r="Z1607" i="21"/>
  <c r="X1256" i="21"/>
  <c r="X1240" i="21"/>
  <c r="X1207" i="21"/>
  <c r="X928" i="21"/>
  <c r="X1568" i="21"/>
  <c r="Z2634" i="21"/>
  <c r="Z2418" i="21"/>
  <c r="Z2419" i="21"/>
  <c r="W2373" i="21"/>
  <c r="Z2373" i="21" s="1"/>
  <c r="X2419" i="21"/>
  <c r="Z2334" i="21"/>
  <c r="Z2336" i="21"/>
  <c r="Y2163" i="21"/>
  <c r="X2167" i="21"/>
  <c r="Z2029" i="21"/>
  <c r="W1813" i="21"/>
  <c r="Z1813" i="21" s="1"/>
  <c r="Y1677" i="21"/>
  <c r="Y1406" i="21"/>
  <c r="Y1408" i="21"/>
  <c r="Y1345" i="21"/>
  <c r="X1408" i="21"/>
  <c r="Y1154" i="21"/>
  <c r="Z1061" i="21"/>
  <c r="Z1148" i="21"/>
  <c r="X1092" i="21"/>
  <c r="Y912" i="21"/>
  <c r="X957" i="21"/>
  <c r="Z790" i="21"/>
  <c r="Y1004" i="21"/>
  <c r="Y945" i="21"/>
  <c r="X817" i="21"/>
  <c r="Y525" i="21"/>
  <c r="W429" i="21"/>
  <c r="Z429" i="21" s="1"/>
  <c r="Y54" i="21"/>
  <c r="X1666" i="21"/>
  <c r="Z2682" i="21"/>
  <c r="Z2163" i="21"/>
  <c r="Y1607" i="21"/>
  <c r="Y1463" i="21"/>
  <c r="Y879" i="21"/>
  <c r="X956" i="21"/>
  <c r="Z1207" i="21"/>
  <c r="Z997" i="21"/>
  <c r="Y542" i="21"/>
  <c r="Y581" i="21"/>
  <c r="Y2638" i="21"/>
  <c r="W2333" i="21"/>
  <c r="Y2333" i="21" s="1"/>
  <c r="Y2372" i="21"/>
  <c r="W2308" i="21"/>
  <c r="W2337" i="21"/>
  <c r="Z2337" i="21" s="1"/>
  <c r="W2031" i="21"/>
  <c r="Y2031" i="21" s="1"/>
  <c r="Z1677" i="21"/>
  <c r="Z1695" i="21"/>
  <c r="X1483" i="21"/>
  <c r="Y1414" i="21"/>
  <c r="Z1345" i="21"/>
  <c r="X1174" i="21"/>
  <c r="Q840" i="21"/>
  <c r="Y1061" i="21"/>
  <c r="Z1004" i="21"/>
  <c r="X882" i="21"/>
  <c r="Z905" i="21"/>
  <c r="Z525" i="21"/>
  <c r="Z425" i="21"/>
  <c r="Y26" i="21"/>
  <c r="W2165" i="21"/>
  <c r="Y1350" i="21"/>
  <c r="X640" i="21"/>
  <c r="Z581" i="21"/>
  <c r="X822" i="21"/>
  <c r="Y1027" i="21"/>
  <c r="X2546" i="21"/>
  <c r="Z2330" i="21"/>
  <c r="W2377" i="21"/>
  <c r="Y2377" i="21" s="1"/>
  <c r="W2309" i="21"/>
  <c r="Y2309" i="21" s="1"/>
  <c r="W2335" i="21"/>
  <c r="Z2335" i="21" s="1"/>
  <c r="W2338" i="21"/>
  <c r="X2338" i="21" s="1"/>
  <c r="W1968" i="21"/>
  <c r="Z1968" i="21" s="1"/>
  <c r="Y1778" i="21"/>
  <c r="X1519" i="21"/>
  <c r="Y1600" i="21"/>
  <c r="Z1187" i="21"/>
  <c r="X1154" i="21"/>
  <c r="Y1240" i="21"/>
  <c r="X1129" i="21"/>
  <c r="Z1060" i="21"/>
  <c r="Y974" i="21"/>
  <c r="Y869" i="21"/>
  <c r="X929" i="21"/>
  <c r="Y763" i="21"/>
  <c r="Y928" i="21"/>
  <c r="Z1076" i="21"/>
  <c r="W473" i="21"/>
  <c r="Y473" i="21" s="1"/>
  <c r="W426" i="21"/>
  <c r="Z569" i="21"/>
  <c r="Y185" i="21"/>
  <c r="Y428" i="21"/>
  <c r="W2551" i="21"/>
  <c r="Y2330" i="21"/>
  <c r="X1414" i="21"/>
  <c r="X1200" i="21"/>
  <c r="X1090" i="21"/>
  <c r="Z137" i="21"/>
  <c r="X879" i="21"/>
  <c r="X2650" i="21"/>
  <c r="Y2651" i="21"/>
  <c r="W2376" i="21"/>
  <c r="Y2376" i="21" s="1"/>
  <c r="W2374" i="21"/>
  <c r="Z2374" i="21" s="1"/>
  <c r="W2341" i="21"/>
  <c r="X2341" i="21" s="1"/>
  <c r="W2122" i="21"/>
  <c r="X2122" i="21" s="1"/>
  <c r="W1967" i="21"/>
  <c r="X1967" i="21" s="1"/>
  <c r="W1966" i="21"/>
  <c r="Y1754" i="21"/>
  <c r="X1750" i="21"/>
  <c r="X1683" i="21"/>
  <c r="Y1629" i="21"/>
  <c r="Y1593" i="21"/>
  <c r="X1463" i="21"/>
  <c r="Y1205" i="21"/>
  <c r="X1413" i="21"/>
  <c r="Y1256" i="21"/>
  <c r="Y929" i="21"/>
  <c r="Z763" i="21"/>
  <c r="X522" i="21"/>
  <c r="X467" i="21"/>
  <c r="W427" i="21"/>
  <c r="Z427" i="21" s="1"/>
  <c r="Z428" i="21"/>
  <c r="Y101" i="21"/>
  <c r="X75" i="21"/>
  <c r="Y1267" i="21"/>
  <c r="W2550" i="21"/>
  <c r="W2140" i="21"/>
  <c r="X2140" i="21" s="1"/>
  <c r="X2651" i="21"/>
  <c r="Y2644" i="21"/>
  <c r="Z2650" i="21"/>
  <c r="X2562" i="21"/>
  <c r="W2311" i="21"/>
  <c r="Z2311" i="21" s="1"/>
  <c r="W2375" i="21"/>
  <c r="Z2375" i="21" s="1"/>
  <c r="W2166" i="21"/>
  <c r="Z2166" i="21" s="1"/>
  <c r="W2121" i="21"/>
  <c r="X2121" i="21" s="1"/>
  <c r="Y1965" i="21"/>
  <c r="X2029" i="21"/>
  <c r="Z1754" i="21"/>
  <c r="Q1690" i="21"/>
  <c r="Q2715" i="21" s="1"/>
  <c r="Y1683" i="21"/>
  <c r="Z1629" i="21"/>
  <c r="Y1519" i="21"/>
  <c r="X1422" i="21"/>
  <c r="Y1129" i="21"/>
  <c r="Y1413" i="21"/>
  <c r="Y1084" i="21"/>
  <c r="Y551" i="21"/>
  <c r="Z522" i="21"/>
  <c r="W430" i="21"/>
  <c r="Z430" i="21" s="1"/>
  <c r="X208" i="21"/>
  <c r="Z101" i="21"/>
  <c r="Y75" i="21"/>
  <c r="W1812" i="21"/>
  <c r="X1084" i="21"/>
  <c r="Y1090" i="21"/>
  <c r="X960" i="21"/>
  <c r="Y467" i="21"/>
  <c r="X1499" i="21"/>
  <c r="X1632" i="21"/>
  <c r="Z2644" i="21"/>
  <c r="W2339" i="21"/>
  <c r="Z2339" i="21" s="1"/>
  <c r="W2119" i="21"/>
  <c r="X2119" i="21" s="1"/>
  <c r="W2120" i="21"/>
  <c r="Z2120" i="21" s="1"/>
  <c r="Z1750" i="21"/>
  <c r="X1459" i="21"/>
  <c r="P2714" i="21"/>
  <c r="X897" i="21"/>
  <c r="Z551" i="21"/>
  <c r="Y623" i="21"/>
  <c r="X1965" i="21"/>
  <c r="X951" i="21"/>
  <c r="X1735" i="21"/>
  <c r="X1358" i="21"/>
  <c r="X1184" i="21"/>
  <c r="Z259" i="21"/>
  <c r="W2283" i="21"/>
  <c r="Z2283" i="21" s="1"/>
  <c r="Z2282" i="21"/>
  <c r="W2285" i="21"/>
  <c r="Y2285" i="21" s="1"/>
  <c r="W2287" i="21"/>
  <c r="Y2287" i="21" s="1"/>
  <c r="W2284" i="21"/>
  <c r="X2284" i="21" s="1"/>
  <c r="W2286" i="21"/>
  <c r="Z2286" i="21" s="1"/>
  <c r="Y2282" i="21"/>
  <c r="X2282" i="21"/>
  <c r="W2189" i="21"/>
  <c r="W2188" i="21"/>
  <c r="Z2188" i="21" s="1"/>
  <c r="W2191" i="21"/>
  <c r="X2191" i="21" s="1"/>
  <c r="W2190" i="21"/>
  <c r="Y2190" i="21" s="1"/>
  <c r="Z2186" i="21"/>
  <c r="W2187" i="21"/>
  <c r="X2187" i="21" s="1"/>
  <c r="Y2186" i="21"/>
  <c r="X2186" i="21"/>
  <c r="Z2691" i="21"/>
  <c r="Y2691" i="21"/>
  <c r="X2691" i="21"/>
  <c r="Y1747" i="21"/>
  <c r="X1747" i="21"/>
  <c r="Z1747" i="21"/>
  <c r="Y2616" i="21"/>
  <c r="Z2616" i="21"/>
  <c r="X2616" i="21"/>
  <c r="W2455" i="21"/>
  <c r="Z2450" i="21"/>
  <c r="W2451" i="21"/>
  <c r="W2452" i="21"/>
  <c r="X2452" i="21" s="1"/>
  <c r="Y2450" i="21"/>
  <c r="W2454" i="21"/>
  <c r="Y2454" i="21" s="1"/>
  <c r="X2450" i="21"/>
  <c r="W2453" i="21"/>
  <c r="Y2453" i="21" s="1"/>
  <c r="X2404" i="21"/>
  <c r="Z2404" i="21"/>
  <c r="Y2404" i="21"/>
  <c r="Y1725" i="21"/>
  <c r="X1725" i="21"/>
  <c r="Z1725" i="21"/>
  <c r="Z1675" i="21"/>
  <c r="X1675" i="21"/>
  <c r="Y1675" i="21"/>
  <c r="X2707" i="21"/>
  <c r="Z2707" i="21"/>
  <c r="Y2707" i="21"/>
  <c r="Y764" i="21"/>
  <c r="Z764" i="21"/>
  <c r="W2098" i="21"/>
  <c r="Y2098" i="21" s="1"/>
  <c r="W1720" i="21"/>
  <c r="Y1720" i="21" s="1"/>
  <c r="X1496" i="21"/>
  <c r="Z1440" i="21"/>
  <c r="X1393" i="21"/>
  <c r="Z1205" i="21"/>
  <c r="Y1068" i="21"/>
  <c r="Y1044" i="21"/>
  <c r="Y1086" i="21"/>
  <c r="X1044" i="21"/>
  <c r="Y407" i="21"/>
  <c r="Z561" i="21"/>
  <c r="X482" i="21"/>
  <c r="W474" i="21"/>
  <c r="Z474" i="21" s="1"/>
  <c r="W378" i="21"/>
  <c r="Z378" i="21" s="1"/>
  <c r="Y249" i="21"/>
  <c r="X233" i="21"/>
  <c r="X183" i="21"/>
  <c r="Y122" i="21"/>
  <c r="X93" i="21"/>
  <c r="W268" i="21"/>
  <c r="X268" i="21" s="1"/>
  <c r="Y50" i="21"/>
  <c r="X1670" i="21"/>
  <c r="Z1051" i="21"/>
  <c r="X255" i="21"/>
  <c r="Y628" i="21"/>
  <c r="X317" i="21"/>
  <c r="Z213" i="21"/>
  <c r="Y213" i="21"/>
  <c r="X213" i="21"/>
  <c r="Z1719" i="21"/>
  <c r="Y1670" i="21"/>
  <c r="Y1496" i="21"/>
  <c r="Y1393" i="21"/>
  <c r="Z1068" i="21"/>
  <c r="Y1033" i="21"/>
  <c r="Y841" i="21"/>
  <c r="W382" i="21"/>
  <c r="Z382" i="21" s="1"/>
  <c r="Y112" i="21"/>
  <c r="Y232" i="21"/>
  <c r="W90" i="21"/>
  <c r="Z90" i="21" s="1"/>
  <c r="W266" i="21"/>
  <c r="X266" i="21" s="1"/>
  <c r="Z50" i="21"/>
  <c r="W2599" i="21"/>
  <c r="W2614" i="21"/>
  <c r="Y1431" i="21"/>
  <c r="X1101" i="21"/>
  <c r="Y1292" i="21"/>
  <c r="Y1424" i="21"/>
  <c r="X841" i="21"/>
  <c r="X628" i="21"/>
  <c r="X112" i="21"/>
  <c r="Z1101" i="21"/>
  <c r="W2200" i="21"/>
  <c r="Z2200" i="21" s="1"/>
  <c r="Z2097" i="21"/>
  <c r="Z1903" i="21"/>
  <c r="X1694" i="21"/>
  <c r="Y1689" i="21"/>
  <c r="Y1214" i="21"/>
  <c r="Z1033" i="21"/>
  <c r="Y846" i="21"/>
  <c r="X562" i="21"/>
  <c r="W475" i="21"/>
  <c r="X475" i="21" s="1"/>
  <c r="Z419" i="21"/>
  <c r="Z215" i="21"/>
  <c r="W42" i="21"/>
  <c r="X91" i="21"/>
  <c r="Y265" i="21"/>
  <c r="Y183" i="21"/>
  <c r="X1789" i="21"/>
  <c r="Z2402" i="21"/>
  <c r="Y1091" i="21"/>
  <c r="Y1453" i="21"/>
  <c r="W412" i="21"/>
  <c r="X1035" i="21"/>
  <c r="W408" i="21"/>
  <c r="X564" i="21"/>
  <c r="W2099" i="21"/>
  <c r="Z2099" i="21" s="1"/>
  <c r="X1490" i="21"/>
  <c r="Z1214" i="21"/>
  <c r="X1112" i="21"/>
  <c r="Y749" i="21"/>
  <c r="Z846" i="21"/>
  <c r="Z805" i="21"/>
  <c r="Z472" i="21"/>
  <c r="W424" i="21"/>
  <c r="X424" i="21" s="1"/>
  <c r="W379" i="21"/>
  <c r="X379" i="21" s="1"/>
  <c r="Y91" i="21"/>
  <c r="Z265" i="21"/>
  <c r="W2406" i="21"/>
  <c r="Y1164" i="21"/>
  <c r="Z1453" i="21"/>
  <c r="X816" i="21"/>
  <c r="Y1035" i="21"/>
  <c r="X407" i="21"/>
  <c r="X764" i="21"/>
  <c r="X83" i="21"/>
  <c r="Y1239" i="21"/>
  <c r="Z1239" i="21"/>
  <c r="X1901" i="21"/>
  <c r="Y1789" i="21"/>
  <c r="Z1694" i="21"/>
  <c r="Y963" i="21"/>
  <c r="X749" i="21"/>
  <c r="Y805" i="21"/>
  <c r="X232" i="21"/>
  <c r="W476" i="21"/>
  <c r="X476" i="21" s="1"/>
  <c r="X419" i="21"/>
  <c r="Y419" i="21"/>
  <c r="W380" i="21"/>
  <c r="Y380" i="21" s="1"/>
  <c r="Z482" i="21"/>
  <c r="W257" i="21"/>
  <c r="Y257" i="21" s="1"/>
  <c r="Y479" i="21"/>
  <c r="X107" i="21"/>
  <c r="W267" i="21"/>
  <c r="Z267" i="21" s="1"/>
  <c r="X58" i="21"/>
  <c r="X1555" i="21"/>
  <c r="Z816" i="21"/>
  <c r="Z887" i="21"/>
  <c r="Y1490" i="21"/>
  <c r="Y1261" i="21"/>
  <c r="Y1229" i="21"/>
  <c r="Z963" i="21"/>
  <c r="X933" i="21"/>
  <c r="X893" i="21"/>
  <c r="Y509" i="21"/>
  <c r="Y640" i="21"/>
  <c r="X472" i="21"/>
  <c r="W381" i="21"/>
  <c r="Z381" i="21" s="1"/>
  <c r="Y255" i="21"/>
  <c r="W256" i="21"/>
  <c r="X256" i="21" s="1"/>
  <c r="X215" i="21"/>
  <c r="X479" i="21"/>
  <c r="Y107" i="21"/>
  <c r="W269" i="21"/>
  <c r="Y58" i="21"/>
  <c r="Y951" i="21"/>
  <c r="X745" i="21"/>
  <c r="Y887" i="21"/>
  <c r="Y83" i="21"/>
  <c r="Z1261" i="21"/>
  <c r="Z509" i="21"/>
  <c r="X377" i="21"/>
  <c r="Y233" i="21"/>
  <c r="W258" i="21"/>
  <c r="V68" i="21"/>
  <c r="X2396" i="21"/>
  <c r="X1164" i="21"/>
  <c r="X1091" i="21"/>
  <c r="Z461" i="21"/>
  <c r="Y461" i="21"/>
  <c r="Z1442" i="21"/>
  <c r="Y1442" i="21"/>
  <c r="Y1333" i="21"/>
  <c r="Z1333" i="21"/>
  <c r="W1885" i="21"/>
  <c r="Y1884" i="21"/>
  <c r="X812" i="21"/>
  <c r="Z67" i="21"/>
  <c r="Y67" i="21"/>
  <c r="V116" i="21"/>
  <c r="Z1156" i="21"/>
  <c r="Y1156" i="21"/>
  <c r="Y1571" i="21"/>
  <c r="Z1571" i="21"/>
  <c r="X1156" i="21"/>
  <c r="Y789" i="21"/>
  <c r="Z789" i="21"/>
  <c r="Z1019" i="21"/>
  <c r="Y1019" i="21"/>
  <c r="X793" i="21"/>
  <c r="Z1067" i="21"/>
  <c r="Y1067" i="21"/>
  <c r="Z471" i="21"/>
  <c r="Y471" i="21"/>
  <c r="Y857" i="21"/>
  <c r="Z857" i="21"/>
  <c r="H2600" i="21"/>
  <c r="J2600" i="21" s="1"/>
  <c r="W502" i="21"/>
  <c r="Z1123" i="21"/>
  <c r="X1123" i="21"/>
  <c r="Z765" i="21"/>
  <c r="X765" i="21"/>
  <c r="Z51" i="21"/>
  <c r="Y51" i="21"/>
  <c r="Y1492" i="21"/>
  <c r="X1492" i="21"/>
  <c r="Z1528" i="21"/>
  <c r="Y1528" i="21"/>
  <c r="Y576" i="21"/>
  <c r="Z576" i="21"/>
  <c r="X244" i="21"/>
  <c r="X477" i="21"/>
  <c r="Y865" i="21"/>
  <c r="Z865" i="21"/>
  <c r="X1267" i="21"/>
  <c r="Z970" i="21"/>
  <c r="Y970" i="21"/>
  <c r="X471" i="21"/>
  <c r="X806" i="21"/>
  <c r="X1019" i="21"/>
  <c r="Y2559" i="21"/>
  <c r="Z2641" i="21"/>
  <c r="Y2641" i="21"/>
  <c r="Z1486" i="21"/>
  <c r="Y1486" i="21"/>
  <c r="W2365" i="21"/>
  <c r="Z2360" i="21"/>
  <c r="Y2360" i="21"/>
  <c r="Y1363" i="21"/>
  <c r="Z1363" i="21"/>
  <c r="X1363" i="21"/>
  <c r="Y631" i="21"/>
  <c r="Z631" i="21"/>
  <c r="Y211" i="21"/>
  <c r="Z211" i="21"/>
  <c r="X527" i="21"/>
  <c r="Z214" i="21"/>
  <c r="Y214" i="21"/>
  <c r="X63" i="21"/>
  <c r="Z59" i="21"/>
  <c r="Y59" i="21"/>
  <c r="Z57" i="21"/>
  <c r="Y57" i="21"/>
  <c r="U2714" i="21"/>
  <c r="Z2051" i="21"/>
  <c r="Y2051" i="21"/>
  <c r="W2044" i="21"/>
  <c r="Z2041" i="21"/>
  <c r="X1805" i="21"/>
  <c r="W1806" i="21"/>
  <c r="X1561" i="21"/>
  <c r="Y1639" i="21"/>
  <c r="Z1639" i="21"/>
  <c r="Y1139" i="21"/>
  <c r="Z1139" i="21"/>
  <c r="X1139" i="21"/>
  <c r="X1639" i="21"/>
  <c r="X1125" i="21"/>
  <c r="Y1037" i="21"/>
  <c r="Z1037" i="21"/>
  <c r="W713" i="21"/>
  <c r="Z710" i="21"/>
  <c r="Z1011" i="21"/>
  <c r="Y1011" i="21"/>
  <c r="X1011" i="21"/>
  <c r="Y223" i="21"/>
  <c r="Z223" i="21"/>
  <c r="W2629" i="21"/>
  <c r="Z2624" i="21"/>
  <c r="W2625" i="21"/>
  <c r="W2627" i="21"/>
  <c r="Y1666" i="21"/>
  <c r="Z1666" i="21"/>
  <c r="Y1698" i="21"/>
  <c r="Z1698" i="21"/>
  <c r="X1552" i="21"/>
  <c r="Z1355" i="21"/>
  <c r="Y1355" i="21"/>
  <c r="X1355" i="21"/>
  <c r="Y1475" i="21"/>
  <c r="Z1475" i="21"/>
  <c r="Z1172" i="21"/>
  <c r="Y1172" i="21"/>
  <c r="Z1146" i="21"/>
  <c r="Y1146" i="21"/>
  <c r="Z704" i="21"/>
  <c r="W706" i="21"/>
  <c r="X994" i="21"/>
  <c r="Z507" i="21"/>
  <c r="Y507" i="21"/>
  <c r="Z499" i="21"/>
  <c r="Y499" i="21"/>
  <c r="Z35" i="21"/>
  <c r="Y35" i="21"/>
  <c r="X1941" i="21"/>
  <c r="Y1603" i="21"/>
  <c r="Z1603" i="21"/>
  <c r="W1722" i="21"/>
  <c r="X1719" i="21"/>
  <c r="Y1555" i="21"/>
  <c r="Z1555" i="21"/>
  <c r="Z1579" i="21"/>
  <c r="Y1579" i="21"/>
  <c r="Y1215" i="21"/>
  <c r="Z1215" i="21"/>
  <c r="Y1133" i="21"/>
  <c r="Z1133" i="21"/>
  <c r="X1074" i="21"/>
  <c r="X698" i="21"/>
  <c r="Y698" i="21"/>
  <c r="W703" i="21"/>
  <c r="W700" i="21"/>
  <c r="X986" i="21"/>
  <c r="Z501" i="21"/>
  <c r="Y501" i="21"/>
  <c r="Y510" i="21"/>
  <c r="Z510" i="21"/>
  <c r="Y449" i="21"/>
  <c r="Z449" i="21"/>
  <c r="X449" i="21"/>
  <c r="W373" i="21"/>
  <c r="W374" i="21"/>
  <c r="X568" i="21"/>
  <c r="X117" i="21"/>
  <c r="W1938" i="21"/>
  <c r="Y1937" i="21"/>
  <c r="X2041" i="21"/>
  <c r="Y1696" i="21"/>
  <c r="Z1696" i="21"/>
  <c r="Y1654" i="21"/>
  <c r="Z1654" i="21"/>
  <c r="Z1572" i="21"/>
  <c r="X1572" i="21"/>
  <c r="Z1557" i="21"/>
  <c r="Y1557" i="21"/>
  <c r="Y1173" i="21"/>
  <c r="Z1173" i="21"/>
  <c r="X1071" i="21"/>
  <c r="Y981" i="21"/>
  <c r="Z981" i="21"/>
  <c r="Y838" i="21"/>
  <c r="Z838" i="21"/>
  <c r="Z246" i="21"/>
  <c r="Y246" i="21"/>
  <c r="X246" i="21"/>
  <c r="X130" i="21"/>
  <c r="Z106" i="21"/>
  <c r="Y106" i="21"/>
  <c r="X47" i="21"/>
  <c r="W201" i="21"/>
  <c r="X201" i="21" s="1"/>
  <c r="W2573" i="21"/>
  <c r="W2575" i="21"/>
  <c r="W2571" i="21"/>
  <c r="Z2570" i="21"/>
  <c r="Y1588" i="21"/>
  <c r="Z1588" i="21"/>
  <c r="Y1824" i="21"/>
  <c r="Z1824" i="21"/>
  <c r="Y1532" i="21"/>
  <c r="X1532" i="21"/>
  <c r="Z1410" i="21"/>
  <c r="Y1410" i="21"/>
  <c r="X1410" i="21"/>
  <c r="Z1464" i="21"/>
  <c r="Y1464" i="21"/>
  <c r="X1860" i="21"/>
  <c r="Y1247" i="21"/>
  <c r="Z1247" i="21"/>
  <c r="Y733" i="21"/>
  <c r="Z733" i="21"/>
  <c r="Z486" i="21"/>
  <c r="Y486" i="21"/>
  <c r="Z515" i="21"/>
  <c r="Y515" i="21"/>
  <c r="X561" i="21"/>
  <c r="Z231" i="21"/>
  <c r="Y231" i="21"/>
  <c r="X231" i="21"/>
  <c r="X205" i="21"/>
  <c r="Z205" i="21"/>
  <c r="Y205" i="21"/>
  <c r="Z114" i="21"/>
  <c r="Y114" i="21"/>
  <c r="Z1846" i="21"/>
  <c r="Y1846" i="21"/>
  <c r="Z1553" i="21"/>
  <c r="Y1553" i="21"/>
  <c r="X1811" i="21"/>
  <c r="X1153" i="21"/>
  <c r="Z1153" i="21"/>
  <c r="Y1153" i="21"/>
  <c r="X1258" i="21"/>
  <c r="Y1258" i="21"/>
  <c r="Y1055" i="21"/>
  <c r="Z1055" i="21"/>
  <c r="Y1063" i="21"/>
  <c r="Z1063" i="21"/>
  <c r="W649" i="21"/>
  <c r="Y644" i="21"/>
  <c r="Z978" i="21"/>
  <c r="Y978" i="21"/>
  <c r="Y824" i="21"/>
  <c r="Z824" i="21"/>
  <c r="Y629" i="21"/>
  <c r="Z629" i="21"/>
  <c r="W423" i="21"/>
  <c r="W421" i="21"/>
  <c r="W422" i="21"/>
  <c r="Z2657" i="21"/>
  <c r="Y2657" i="21"/>
  <c r="X1544" i="21"/>
  <c r="Z1544" i="21"/>
  <c r="Y1544" i="21"/>
  <c r="Y1149" i="21"/>
  <c r="Z1149" i="21"/>
  <c r="Y832" i="21"/>
  <c r="Z832" i="21"/>
  <c r="X1026" i="21"/>
  <c r="Y560" i="21"/>
  <c r="Z560" i="21"/>
  <c r="Z463" i="21"/>
  <c r="Y463" i="21"/>
  <c r="X463" i="21"/>
  <c r="Z98" i="21"/>
  <c r="Y98" i="21"/>
  <c r="X35" i="21"/>
  <c r="Z2692" i="21"/>
  <c r="Y2692" i="21"/>
  <c r="Z2688" i="21"/>
  <c r="Y2688" i="21"/>
  <c r="H2624" i="21"/>
  <c r="J2624" i="21" s="1"/>
  <c r="X2602" i="21"/>
  <c r="Z2602" i="21"/>
  <c r="Y2602" i="21"/>
  <c r="H2582" i="21"/>
  <c r="J2582" i="21" s="1"/>
  <c r="Y2574" i="21"/>
  <c r="X2574" i="21"/>
  <c r="Z2574" i="21"/>
  <c r="Z2488" i="21"/>
  <c r="Y2488" i="21"/>
  <c r="X2488" i="21"/>
  <c r="Z2597" i="21"/>
  <c r="Y2597" i="21"/>
  <c r="X2597" i="21"/>
  <c r="Z2514" i="21"/>
  <c r="Y2514" i="21"/>
  <c r="X2514" i="21"/>
  <c r="Z2509" i="21"/>
  <c r="Y2509" i="21"/>
  <c r="X2509" i="21"/>
  <c r="Y2544" i="21"/>
  <c r="X2544" i="21"/>
  <c r="Z2544" i="21"/>
  <c r="Z2531" i="21"/>
  <c r="Y2531" i="21"/>
  <c r="X2531" i="21"/>
  <c r="W2469" i="21"/>
  <c r="Z2468" i="21"/>
  <c r="Y2468" i="21"/>
  <c r="W2471" i="21"/>
  <c r="W2470" i="21"/>
  <c r="W2473" i="21"/>
  <c r="W2472" i="21"/>
  <c r="X2468" i="21"/>
  <c r="Y2508" i="21"/>
  <c r="X2508" i="21"/>
  <c r="Z2508" i="21"/>
  <c r="Z2466" i="21"/>
  <c r="Y2466" i="21"/>
  <c r="X2466" i="21"/>
  <c r="Z2391" i="21"/>
  <c r="Y2391" i="21"/>
  <c r="X2391" i="21"/>
  <c r="Z2317" i="21"/>
  <c r="Y2317" i="21"/>
  <c r="X2317" i="21"/>
  <c r="X2302" i="21"/>
  <c r="Z2302" i="21"/>
  <c r="Y2302" i="21"/>
  <c r="Z2289" i="21"/>
  <c r="Y2289" i="21"/>
  <c r="X2289" i="21"/>
  <c r="X2248" i="21"/>
  <c r="Z2421" i="21"/>
  <c r="Y2421" i="21"/>
  <c r="X2421" i="21"/>
  <c r="Y2273" i="21"/>
  <c r="Z2273" i="21"/>
  <c r="X2273" i="21"/>
  <c r="Z2356" i="21"/>
  <c r="X2356" i="21"/>
  <c r="Y2356" i="21"/>
  <c r="Z2387" i="21"/>
  <c r="Y2387" i="21"/>
  <c r="X2387" i="21"/>
  <c r="Y2277" i="21"/>
  <c r="Z2277" i="21"/>
  <c r="X2277" i="21"/>
  <c r="Z2209" i="21"/>
  <c r="Y2209" i="21"/>
  <c r="X2209" i="21"/>
  <c r="Y2243" i="21"/>
  <c r="X2243" i="21"/>
  <c r="Z2243" i="21"/>
  <c r="Y2231" i="21"/>
  <c r="Z2231" i="21"/>
  <c r="X2231" i="21"/>
  <c r="Z2268" i="21"/>
  <c r="X2268" i="21"/>
  <c r="Y2268" i="21"/>
  <c r="Y2255" i="21"/>
  <c r="X2255" i="21"/>
  <c r="Z2255" i="21"/>
  <c r="X2162" i="21"/>
  <c r="Z2162" i="21"/>
  <c r="Y2162" i="21"/>
  <c r="Y2146" i="21"/>
  <c r="Z2146" i="21"/>
  <c r="X2146" i="21"/>
  <c r="Y2079" i="21"/>
  <c r="Z2079" i="21"/>
  <c r="X2079" i="21"/>
  <c r="Y2154" i="21"/>
  <c r="Y2078" i="21"/>
  <c r="X2078" i="21"/>
  <c r="Z2078" i="21"/>
  <c r="Z2111" i="21"/>
  <c r="X2111" i="21"/>
  <c r="Y2111" i="21"/>
  <c r="Z2129" i="21"/>
  <c r="Y2129" i="21"/>
  <c r="X2129" i="21"/>
  <c r="X1998" i="21"/>
  <c r="Y1998" i="21"/>
  <c r="Z1998" i="21"/>
  <c r="Z2038" i="21"/>
  <c r="Y2038" i="21"/>
  <c r="X2038" i="21"/>
  <c r="Z2070" i="21"/>
  <c r="Y2070" i="21"/>
  <c r="X2070" i="21"/>
  <c r="X2004" i="21"/>
  <c r="Z2004" i="21"/>
  <c r="Y2004" i="21"/>
  <c r="Z1978" i="21"/>
  <c r="Y1978" i="21"/>
  <c r="Z1861" i="21"/>
  <c r="Y1861" i="21"/>
  <c r="X1861" i="21"/>
  <c r="Z1951" i="21"/>
  <c r="Y1951" i="21"/>
  <c r="X1951" i="21"/>
  <c r="X1914" i="21"/>
  <c r="W1855" i="21"/>
  <c r="W1854" i="21"/>
  <c r="Y1853" i="21"/>
  <c r="X1853" i="21"/>
  <c r="Z1853" i="21"/>
  <c r="Z1994" i="21"/>
  <c r="Y1994" i="21"/>
  <c r="X1994" i="21"/>
  <c r="Z1786" i="21"/>
  <c r="V1785" i="21"/>
  <c r="Y1786" i="21"/>
  <c r="Z1767" i="21"/>
  <c r="Y1767" i="21"/>
  <c r="W1867" i="21"/>
  <c r="W1866" i="21"/>
  <c r="Z1864" i="21"/>
  <c r="W1865" i="21"/>
  <c r="Y1864" i="21"/>
  <c r="X1864" i="21"/>
  <c r="X1844" i="21"/>
  <c r="Z1822" i="21"/>
  <c r="Y1822" i="21"/>
  <c r="X1822" i="21"/>
  <c r="Z1878" i="21"/>
  <c r="X1878" i="21"/>
  <c r="Y1878" i="21"/>
  <c r="Z1907" i="21"/>
  <c r="X1907" i="21"/>
  <c r="Y1907" i="21"/>
  <c r="Z1783" i="21"/>
  <c r="Y1783" i="21"/>
  <c r="Z1724" i="21"/>
  <c r="X1724" i="21"/>
  <c r="Y1724" i="21"/>
  <c r="Z1669" i="21"/>
  <c r="Y1669" i="21"/>
  <c r="X1669" i="21"/>
  <c r="X1875" i="21"/>
  <c r="Z1875" i="21"/>
  <c r="Y1875" i="21"/>
  <c r="Y1546" i="21"/>
  <c r="Z1546" i="21"/>
  <c r="X1546" i="21"/>
  <c r="Y1574" i="21"/>
  <c r="Z1574" i="21"/>
  <c r="Y1538" i="21"/>
  <c r="Z1538" i="21"/>
  <c r="Z1530" i="21"/>
  <c r="Y1530" i="21"/>
  <c r="Z1434" i="21"/>
  <c r="Y1434" i="21"/>
  <c r="X1434" i="21"/>
  <c r="Z1426" i="21"/>
  <c r="Y1426" i="21"/>
  <c r="Z1314" i="21"/>
  <c r="Y1314" i="21"/>
  <c r="X1314" i="21"/>
  <c r="Z1458" i="21"/>
  <c r="Y1458" i="21"/>
  <c r="Z1415" i="21"/>
  <c r="Y1415" i="21"/>
  <c r="Z1323" i="21"/>
  <c r="Y1323" i="21"/>
  <c r="X1323" i="21"/>
  <c r="Z1447" i="21"/>
  <c r="Y1447" i="21"/>
  <c r="Z1330" i="21"/>
  <c r="Y1330" i="21"/>
  <c r="Z1257" i="21"/>
  <c r="Y1257" i="21"/>
  <c r="X1257" i="21"/>
  <c r="Z1193" i="21"/>
  <c r="Y1193" i="21"/>
  <c r="X1193" i="21"/>
  <c r="Z1437" i="21"/>
  <c r="Y1437" i="21"/>
  <c r="Y1281" i="21"/>
  <c r="Z1281" i="21"/>
  <c r="X1281" i="21"/>
  <c r="Z1144" i="21"/>
  <c r="Y1144" i="21"/>
  <c r="Z1089" i="21"/>
  <c r="Y1089" i="21"/>
  <c r="Z1342" i="21"/>
  <c r="Y1342" i="21"/>
  <c r="X1342" i="21"/>
  <c r="X712" i="21"/>
  <c r="Z712" i="21"/>
  <c r="Y712" i="21"/>
  <c r="X791" i="21"/>
  <c r="Y715" i="21"/>
  <c r="X715" i="21"/>
  <c r="Z715" i="21"/>
  <c r="Z646" i="21"/>
  <c r="Y646" i="21"/>
  <c r="X646" i="21"/>
  <c r="X750" i="21"/>
  <c r="Z899" i="21"/>
  <c r="Y899" i="21"/>
  <c r="Z867" i="21"/>
  <c r="Y867" i="21"/>
  <c r="Z676" i="21"/>
  <c r="Y676" i="21"/>
  <c r="X676" i="21"/>
  <c r="Z645" i="21"/>
  <c r="Y645" i="21"/>
  <c r="X645" i="21"/>
  <c r="Z450" i="21"/>
  <c r="Y450" i="21"/>
  <c r="X450" i="21"/>
  <c r="Z685" i="21"/>
  <c r="Y685" i="21"/>
  <c r="X685" i="21"/>
  <c r="W612" i="21"/>
  <c r="W610" i="21"/>
  <c r="Z609" i="21"/>
  <c r="W611" i="21"/>
  <c r="Y609" i="21"/>
  <c r="U661" i="21"/>
  <c r="X481" i="21"/>
  <c r="Z481" i="21"/>
  <c r="Y481" i="21"/>
  <c r="W300" i="21"/>
  <c r="Y299" i="21"/>
  <c r="W301" i="21"/>
  <c r="Z299" i="21"/>
  <c r="X299" i="21"/>
  <c r="Y444" i="21"/>
  <c r="Z444" i="21"/>
  <c r="Z955" i="21"/>
  <c r="Y955" i="21"/>
  <c r="X609" i="21"/>
  <c r="Y319" i="21"/>
  <c r="Y225" i="21"/>
  <c r="X225" i="21"/>
  <c r="Z225" i="21"/>
  <c r="Z143" i="21"/>
  <c r="Y143" i="21"/>
  <c r="X143" i="21"/>
  <c r="Z263" i="21"/>
  <c r="X263" i="21"/>
  <c r="Y263" i="21"/>
  <c r="Y432" i="21"/>
  <c r="X432" i="21"/>
  <c r="Z432" i="21"/>
  <c r="X189" i="21"/>
  <c r="X145" i="21"/>
  <c r="Z145" i="21"/>
  <c r="Y145" i="21"/>
  <c r="Z126" i="21"/>
  <c r="X126" i="21"/>
  <c r="Y126" i="21"/>
  <c r="Z195" i="21"/>
  <c r="X195" i="21"/>
  <c r="Y195" i="21"/>
  <c r="Z356" i="21"/>
  <c r="Y356" i="21"/>
  <c r="X356" i="21"/>
  <c r="Z2680" i="21"/>
  <c r="Y2680" i="21"/>
  <c r="X2680" i="21"/>
  <c r="H2588" i="21"/>
  <c r="J2588" i="21" s="1"/>
  <c r="Z2684" i="21"/>
  <c r="Y2684" i="21"/>
  <c r="X2604" i="21"/>
  <c r="Z2604" i="21"/>
  <c r="Y2604" i="21"/>
  <c r="Z2568" i="21"/>
  <c r="Y2568" i="21"/>
  <c r="X2568" i="21"/>
  <c r="Z2563" i="21"/>
  <c r="Y2563" i="21"/>
  <c r="X2563" i="21"/>
  <c r="Y2595" i="21"/>
  <c r="X2595" i="21"/>
  <c r="Z2595" i="21"/>
  <c r="Y2592" i="21"/>
  <c r="Z2502" i="21"/>
  <c r="Y2502" i="21"/>
  <c r="X2537" i="21"/>
  <c r="Z2537" i="21"/>
  <c r="Y2537" i="21"/>
  <c r="Y2532" i="21"/>
  <c r="Z2532" i="21"/>
  <c r="X2532" i="21"/>
  <c r="Z2465" i="21"/>
  <c r="Y2465" i="21"/>
  <c r="X2465" i="21"/>
  <c r="Z2525" i="21"/>
  <c r="Y2463" i="21"/>
  <c r="Z2517" i="21"/>
  <c r="Y2517" i="21"/>
  <c r="X2517" i="21"/>
  <c r="Z2506" i="21"/>
  <c r="Y2506" i="21"/>
  <c r="X2506" i="21"/>
  <c r="Y2442" i="21"/>
  <c r="X2442" i="21"/>
  <c r="Z2442" i="21"/>
  <c r="X2464" i="21"/>
  <c r="Z2464" i="21"/>
  <c r="Y2464" i="21"/>
  <c r="X2393" i="21"/>
  <c r="Y2393" i="21"/>
  <c r="Z2393" i="21"/>
  <c r="Y2297" i="21"/>
  <c r="X2297" i="21"/>
  <c r="Z2297" i="21"/>
  <c r="Z2299" i="21"/>
  <c r="Y2299" i="21"/>
  <c r="X2299" i="21"/>
  <c r="Y2456" i="21"/>
  <c r="W2459" i="21"/>
  <c r="W2460" i="21"/>
  <c r="W2458" i="21"/>
  <c r="W2457" i="21"/>
  <c r="Z2456" i="21"/>
  <c r="W2461" i="21"/>
  <c r="Y2227" i="21"/>
  <c r="Z2227" i="21"/>
  <c r="X2227" i="21"/>
  <c r="Z2305" i="21"/>
  <c r="Y2305" i="21"/>
  <c r="X2305" i="21"/>
  <c r="Z2292" i="21"/>
  <c r="Y2292" i="21"/>
  <c r="X2292" i="21"/>
  <c r="Z2251" i="21"/>
  <c r="Y2251" i="21"/>
  <c r="X2251" i="21"/>
  <c r="Y2425" i="21"/>
  <c r="X2425" i="21"/>
  <c r="Z2425" i="21"/>
  <c r="Z2325" i="21"/>
  <c r="Y2325" i="21"/>
  <c r="X2325" i="21"/>
  <c r="Z2380" i="21"/>
  <c r="Y2380" i="21"/>
  <c r="X2380" i="21"/>
  <c r="Y2267" i="21"/>
  <c r="X2267" i="21"/>
  <c r="Z2267" i="21"/>
  <c r="X2236" i="21"/>
  <c r="Z2236" i="21"/>
  <c r="Y2236" i="21"/>
  <c r="W2181" i="21"/>
  <c r="Z2180" i="21"/>
  <c r="W2183" i="21"/>
  <c r="W2182" i="21"/>
  <c r="Y2180" i="21"/>
  <c r="W2185" i="21"/>
  <c r="X2180" i="21"/>
  <c r="W2184" i="21"/>
  <c r="X2371" i="21"/>
  <c r="Z2147" i="21"/>
  <c r="Y2147" i="21"/>
  <c r="X2147" i="21"/>
  <c r="Z2048" i="21"/>
  <c r="Y2048" i="21"/>
  <c r="X2048" i="21"/>
  <c r="Z2151" i="21"/>
  <c r="Y2151" i="21"/>
  <c r="X2151" i="21"/>
  <c r="Z2136" i="21"/>
  <c r="Y2136" i="21"/>
  <c r="X2136" i="21"/>
  <c r="X2135" i="21"/>
  <c r="Z2135" i="21"/>
  <c r="Y2135" i="21"/>
  <c r="Z2213" i="21"/>
  <c r="Y2213" i="21"/>
  <c r="X2213" i="21"/>
  <c r="Z2106" i="21"/>
  <c r="Y2106" i="21"/>
  <c r="X2106" i="21"/>
  <c r="Y2063" i="21"/>
  <c r="Z2063" i="21"/>
  <c r="X2063" i="21"/>
  <c r="Z2034" i="21"/>
  <c r="Y2015" i="21"/>
  <c r="Z2015" i="21"/>
  <c r="X2015" i="21"/>
  <c r="Y1954" i="21"/>
  <c r="X1954" i="21"/>
  <c r="Z1954" i="21"/>
  <c r="X1918" i="21"/>
  <c r="Y1918" i="21"/>
  <c r="Z1918" i="21"/>
  <c r="Z1823" i="21"/>
  <c r="X1823" i="21"/>
  <c r="Y1823" i="21"/>
  <c r="Z2008" i="21"/>
  <c r="Z1952" i="21"/>
  <c r="Y1952" i="21"/>
  <c r="X1952" i="21"/>
  <c r="Y1857" i="21"/>
  <c r="Z1857" i="21"/>
  <c r="X1857" i="21"/>
  <c r="X1944" i="21"/>
  <c r="Y1944" i="21"/>
  <c r="Z1944" i="21"/>
  <c r="Z1793" i="21"/>
  <c r="X1793" i="21"/>
  <c r="Y1793" i="21"/>
  <c r="Z1887" i="21"/>
  <c r="Z1759" i="21"/>
  <c r="Y1759" i="21"/>
  <c r="Z1799" i="21"/>
  <c r="Y1799" i="21"/>
  <c r="Z1908" i="21"/>
  <c r="Y1908" i="21"/>
  <c r="X1908" i="21"/>
  <c r="X1818" i="21"/>
  <c r="Z1818" i="21"/>
  <c r="Y1818" i="21"/>
  <c r="Z1665" i="21"/>
  <c r="Y1665" i="21"/>
  <c r="X1665" i="21"/>
  <c r="Z1582" i="21"/>
  <c r="Y1582" i="21"/>
  <c r="X1582" i="21"/>
  <c r="Z1816" i="21"/>
  <c r="Y1816" i="21"/>
  <c r="X1816" i="21"/>
  <c r="Y1837" i="21"/>
  <c r="Z1837" i="21"/>
  <c r="Z1771" i="21"/>
  <c r="Y1771" i="21"/>
  <c r="X1578" i="21"/>
  <c r="Z1578" i="21"/>
  <c r="Y1578" i="21"/>
  <c r="Y1585" i="21"/>
  <c r="Z1585" i="21"/>
  <c r="Z1534" i="21"/>
  <c r="Y1534" i="21"/>
  <c r="X1534" i="21"/>
  <c r="Y1466" i="21"/>
  <c r="Z1466" i="21"/>
  <c r="Z1497" i="21"/>
  <c r="Y1497" i="21"/>
  <c r="X1497" i="21"/>
  <c r="Z1450" i="21"/>
  <c r="Y1450" i="21"/>
  <c r="Z1609" i="21"/>
  <c r="Y1609" i="21"/>
  <c r="Z1275" i="21"/>
  <c r="Y1275" i="21"/>
  <c r="X1275" i="21"/>
  <c r="Z1362" i="21"/>
  <c r="Y1362" i="21"/>
  <c r="Y1349" i="21"/>
  <c r="Z1349" i="21"/>
  <c r="Z1279" i="21"/>
  <c r="Y1279" i="21"/>
  <c r="X1279" i="21"/>
  <c r="Z1354" i="21"/>
  <c r="Y1354" i="21"/>
  <c r="Y1283" i="21"/>
  <c r="X1283" i="21"/>
  <c r="Z1283" i="21"/>
  <c r="Z1287" i="21"/>
  <c r="Y1287" i="21"/>
  <c r="X1287" i="21"/>
  <c r="Z1310" i="21"/>
  <c r="Y1310" i="21"/>
  <c r="X1310" i="21"/>
  <c r="Z1233" i="21"/>
  <c r="Y1233" i="21"/>
  <c r="X1233" i="21"/>
  <c r="Z1209" i="21"/>
  <c r="Y1209" i="21"/>
  <c r="X1209" i="21"/>
  <c r="Y1094" i="21"/>
  <c r="Z1094" i="21"/>
  <c r="Y967" i="21"/>
  <c r="Z967" i="21"/>
  <c r="Z1217" i="21"/>
  <c r="Y1217" i="21"/>
  <c r="X1217" i="21"/>
  <c r="Z1073" i="21"/>
  <c r="Y1073" i="21"/>
  <c r="Z1057" i="21"/>
  <c r="Y1057" i="21"/>
  <c r="Z883" i="21"/>
  <c r="Y883" i="21"/>
  <c r="Y702" i="21"/>
  <c r="X702" i="21"/>
  <c r="Z702" i="21"/>
  <c r="Z907" i="21"/>
  <c r="Y907" i="21"/>
  <c r="Z544" i="21"/>
  <c r="Y544" i="21"/>
  <c r="X544" i="21"/>
  <c r="Z664" i="21"/>
  <c r="Y664" i="21"/>
  <c r="X664" i="21"/>
  <c r="X1057" i="21"/>
  <c r="Y518" i="21"/>
  <c r="Z518" i="21"/>
  <c r="X518" i="21"/>
  <c r="Z451" i="21"/>
  <c r="X451" i="21"/>
  <c r="Y451" i="21"/>
  <c r="Y643" i="21"/>
  <c r="X533" i="21"/>
  <c r="Z533" i="21"/>
  <c r="Y533" i="21"/>
  <c r="W658" i="21"/>
  <c r="W660" i="21"/>
  <c r="W657" i="21"/>
  <c r="Z656" i="21"/>
  <c r="Y656" i="21"/>
  <c r="W661" i="21"/>
  <c r="W659" i="21"/>
  <c r="Y556" i="21"/>
  <c r="X556" i="21"/>
  <c r="Z556" i="21"/>
  <c r="W294" i="21"/>
  <c r="Y293" i="21"/>
  <c r="W295" i="21"/>
  <c r="Z293" i="21"/>
  <c r="X293" i="21"/>
  <c r="Z595" i="21"/>
  <c r="Y595" i="21"/>
  <c r="X595" i="21"/>
  <c r="Z447" i="21"/>
  <c r="Y447" i="21"/>
  <c r="X447" i="21"/>
  <c r="X670" i="21"/>
  <c r="Z670" i="21"/>
  <c r="Y670" i="21"/>
  <c r="Z538" i="21"/>
  <c r="X538" i="21"/>
  <c r="Y538" i="21"/>
  <c r="U292" i="21"/>
  <c r="U269" i="21"/>
  <c r="U264" i="21"/>
  <c r="Z320" i="21"/>
  <c r="Y320" i="21"/>
  <c r="X320" i="21"/>
  <c r="U280" i="21"/>
  <c r="Z418" i="21"/>
  <c r="X418" i="21"/>
  <c r="Y418" i="21"/>
  <c r="X380" i="21"/>
  <c r="Y369" i="21"/>
  <c r="X369" i="21"/>
  <c r="Z369" i="21"/>
  <c r="Z167" i="21"/>
  <c r="W168" i="21"/>
  <c r="Y167" i="21"/>
  <c r="X167" i="21"/>
  <c r="W169" i="21"/>
  <c r="X366" i="21"/>
  <c r="Z366" i="21"/>
  <c r="Y366" i="21"/>
  <c r="Z530" i="21"/>
  <c r="X530" i="21"/>
  <c r="Y530" i="21"/>
  <c r="U655" i="21"/>
  <c r="Z433" i="21"/>
  <c r="Y433" i="21"/>
  <c r="X433" i="21"/>
  <c r="U304" i="21"/>
  <c r="Y217" i="21"/>
  <c r="Z217" i="21"/>
  <c r="X217" i="21"/>
  <c r="Z348" i="21"/>
  <c r="Y348" i="21"/>
  <c r="X348" i="21"/>
  <c r="Z358" i="21"/>
  <c r="Y358" i="21"/>
  <c r="X358" i="21"/>
  <c r="X173" i="21"/>
  <c r="Y173" i="21"/>
  <c r="Z173" i="21"/>
  <c r="Y2491" i="21"/>
  <c r="X2491" i="21"/>
  <c r="Z2491" i="21"/>
  <c r="Z2648" i="21"/>
  <c r="Y2648" i="21"/>
  <c r="Y2586" i="21"/>
  <c r="X2586" i="21"/>
  <c r="Z2586" i="21"/>
  <c r="Y2669" i="21"/>
  <c r="X2669" i="21"/>
  <c r="Z2669" i="21"/>
  <c r="H2618" i="21"/>
  <c r="J2618" i="21" s="1"/>
  <c r="J2570" i="21"/>
  <c r="Y2613" i="21"/>
  <c r="X2613" i="21"/>
  <c r="Z2613" i="21"/>
  <c r="Y2567" i="21"/>
  <c r="X2567" i="21"/>
  <c r="Z2567" i="21"/>
  <c r="Z2557" i="21"/>
  <c r="Y2557" i="21"/>
  <c r="X2557" i="21"/>
  <c r="Z2598" i="21"/>
  <c r="X2598" i="21"/>
  <c r="Y2598" i="21"/>
  <c r="Z2490" i="21"/>
  <c r="Y2490" i="21"/>
  <c r="X2490" i="21"/>
  <c r="Z2545" i="21"/>
  <c r="Y2545" i="21"/>
  <c r="X2545" i="21"/>
  <c r="Y2521" i="21"/>
  <c r="X2521" i="21"/>
  <c r="Z2521" i="21"/>
  <c r="Y2405" i="21"/>
  <c r="X2405" i="21"/>
  <c r="Z2405" i="21"/>
  <c r="Z2482" i="21"/>
  <c r="Z2440" i="21"/>
  <c r="Y2440" i="21"/>
  <c r="X2440" i="21"/>
  <c r="Z2483" i="21"/>
  <c r="Y2483" i="21"/>
  <c r="X2483" i="21"/>
  <c r="Z2467" i="21"/>
  <c r="Y2467" i="21"/>
  <c r="X2467" i="21"/>
  <c r="Z2409" i="21"/>
  <c r="Y2409" i="21"/>
  <c r="X2409" i="21"/>
  <c r="Y2352" i="21"/>
  <c r="X2352" i="21"/>
  <c r="Z2352" i="21"/>
  <c r="X2290" i="21"/>
  <c r="Z2290" i="21"/>
  <c r="Y2290" i="21"/>
  <c r="Z2422" i="21"/>
  <c r="Y2422" i="21"/>
  <c r="X2422" i="21"/>
  <c r="Z2271" i="21"/>
  <c r="Y2271" i="21"/>
  <c r="X2271" i="21"/>
  <c r="Z2328" i="21"/>
  <c r="Y2328" i="21"/>
  <c r="X2328" i="21"/>
  <c r="Y2159" i="21"/>
  <c r="Z2159" i="21"/>
  <c r="Z2208" i="21"/>
  <c r="Y2208" i="21"/>
  <c r="X2208" i="21"/>
  <c r="X2382" i="21"/>
  <c r="Z2382" i="21"/>
  <c r="Y2382" i="21"/>
  <c r="Z2229" i="21"/>
  <c r="Y2229" i="21"/>
  <c r="X2229" i="21"/>
  <c r="Z2239" i="21"/>
  <c r="Y2239" i="21"/>
  <c r="X2239" i="21"/>
  <c r="X2176" i="21"/>
  <c r="Z2176" i="21"/>
  <c r="Y2176" i="21"/>
  <c r="X2175" i="21"/>
  <c r="Z2175" i="21"/>
  <c r="Y2175" i="21"/>
  <c r="Y2367" i="21"/>
  <c r="Z2367" i="21"/>
  <c r="X2367" i="21"/>
  <c r="Z2131" i="21"/>
  <c r="Y2131" i="21"/>
  <c r="X2131" i="21"/>
  <c r="Y2150" i="21"/>
  <c r="X2150" i="21"/>
  <c r="Z2150" i="21"/>
  <c r="Z2057" i="21"/>
  <c r="W2058" i="21"/>
  <c r="Y2057" i="21"/>
  <c r="W2060" i="21"/>
  <c r="W2059" i="21"/>
  <c r="Z2214" i="21"/>
  <c r="X2214" i="21"/>
  <c r="Y2214" i="21"/>
  <c r="Z2202" i="21"/>
  <c r="Y2202" i="21"/>
  <c r="X2202" i="21"/>
  <c r="X2108" i="21"/>
  <c r="Z2108" i="21"/>
  <c r="Y2108" i="21"/>
  <c r="X1982" i="21"/>
  <c r="Z1982" i="21"/>
  <c r="Y1982" i="21"/>
  <c r="Z2100" i="21"/>
  <c r="Y2100" i="21"/>
  <c r="X2100" i="21"/>
  <c r="Z1991" i="21"/>
  <c r="X1991" i="21"/>
  <c r="Y1991" i="21"/>
  <c r="X2102" i="21"/>
  <c r="Z2102" i="21"/>
  <c r="Y2102" i="21"/>
  <c r="Z2068" i="21"/>
  <c r="Y1990" i="21"/>
  <c r="X1990" i="21"/>
  <c r="Z1990" i="21"/>
  <c r="Y2018" i="21"/>
  <c r="Z2018" i="21"/>
  <c r="X2018" i="21"/>
  <c r="Z2016" i="21"/>
  <c r="Y2016" i="21"/>
  <c r="X2016" i="21"/>
  <c r="Y2032" i="21"/>
  <c r="X2032" i="21"/>
  <c r="Z2032" i="21"/>
  <c r="Z1974" i="21"/>
  <c r="Y1974" i="21"/>
  <c r="X1974" i="21"/>
  <c r="X1916" i="21"/>
  <c r="Y1916" i="21"/>
  <c r="Z1916" i="21"/>
  <c r="Y1858" i="21"/>
  <c r="X1858" i="21"/>
  <c r="Z1858" i="21"/>
  <c r="X1827" i="21"/>
  <c r="Z1827" i="21"/>
  <c r="Y1827" i="21"/>
  <c r="W1927" i="21"/>
  <c r="Z1925" i="21"/>
  <c r="Y1925" i="21"/>
  <c r="W1926" i="21"/>
  <c r="W1928" i="21"/>
  <c r="W1852" i="21"/>
  <c r="W1851" i="21"/>
  <c r="Y1850" i="21"/>
  <c r="Z1850" i="21"/>
  <c r="X1850" i="21"/>
  <c r="Z1972" i="21"/>
  <c r="X1972" i="21"/>
  <c r="Y1972" i="21"/>
  <c r="X1886" i="21"/>
  <c r="Z1886" i="21"/>
  <c r="Y1886" i="21"/>
  <c r="Y1739" i="21"/>
  <c r="Z1739" i="21"/>
  <c r="Y1830" i="21"/>
  <c r="X1830" i="21"/>
  <c r="Z1830" i="21"/>
  <c r="Z1791" i="21"/>
  <c r="Y1791" i="21"/>
  <c r="Z1718" i="21"/>
  <c r="X1718" i="21"/>
  <c r="Y1718" i="21"/>
  <c r="V1690" i="21"/>
  <c r="Z1879" i="21"/>
  <c r="Y1879" i="21"/>
  <c r="X1879" i="21"/>
  <c r="X1759" i="21"/>
  <c r="X1905" i="21"/>
  <c r="Y1905" i="21"/>
  <c r="Z1905" i="21"/>
  <c r="W1714" i="21"/>
  <c r="W1713" i="21"/>
  <c r="Z1711" i="21"/>
  <c r="Y1711" i="21"/>
  <c r="W1712" i="21"/>
  <c r="X1873" i="21"/>
  <c r="Z1873" i="21"/>
  <c r="Y1873" i="21"/>
  <c r="Z1613" i="21"/>
  <c r="Y1613" i="21"/>
  <c r="Z1595" i="21"/>
  <c r="Y1595" i="21"/>
  <c r="Z1517" i="21"/>
  <c r="Y1517" i="21"/>
  <c r="X1517" i="21"/>
  <c r="Z1678" i="21"/>
  <c r="Y1678" i="21"/>
  <c r="Z1649" i="21"/>
  <c r="Y1649" i="21"/>
  <c r="Z1509" i="21"/>
  <c r="Y1509" i="21"/>
  <c r="Z1359" i="21"/>
  <c r="Y1359" i="21"/>
  <c r="X1359" i="21"/>
  <c r="Z1381" i="21"/>
  <c r="Y1381" i="21"/>
  <c r="X1450" i="21"/>
  <c r="Z1322" i="21"/>
  <c r="Y1322" i="21"/>
  <c r="X1322" i="21"/>
  <c r="Y1157" i="21"/>
  <c r="Z1157" i="21"/>
  <c r="X1157" i="21"/>
  <c r="Y1175" i="21"/>
  <c r="Z1175" i="21"/>
  <c r="X1175" i="21"/>
  <c r="Z1136" i="21"/>
  <c r="Y1136" i="21"/>
  <c r="Z1155" i="21"/>
  <c r="Y1155" i="21"/>
  <c r="X1155" i="21"/>
  <c r="Z1302" i="21"/>
  <c r="Y1302" i="21"/>
  <c r="X1302" i="21"/>
  <c r="V840" i="21"/>
  <c r="Y731" i="21"/>
  <c r="Z731" i="21"/>
  <c r="U697" i="21"/>
  <c r="X690" i="21"/>
  <c r="Z690" i="21"/>
  <c r="Y690" i="21"/>
  <c r="Z859" i="21"/>
  <c r="Y859" i="21"/>
  <c r="Y777" i="21"/>
  <c r="Z777" i="21"/>
  <c r="Y761" i="21"/>
  <c r="Z761" i="21"/>
  <c r="Y741" i="21"/>
  <c r="Z741" i="21"/>
  <c r="X741" i="21"/>
  <c r="Z689" i="21"/>
  <c r="Y689" i="21"/>
  <c r="X689" i="21"/>
  <c r="Z810" i="21"/>
  <c r="Y810" i="21"/>
  <c r="X699" i="21"/>
  <c r="Z699" i="21"/>
  <c r="Y699" i="21"/>
  <c r="Z639" i="21"/>
  <c r="Y639" i="21"/>
  <c r="Y526" i="21"/>
  <c r="Z526" i="21"/>
  <c r="X526" i="21"/>
  <c r="Z579" i="21"/>
  <c r="Y579" i="21"/>
  <c r="Z513" i="21"/>
  <c r="Y513" i="21"/>
  <c r="Z478" i="21"/>
  <c r="X478" i="21"/>
  <c r="Y478" i="21"/>
  <c r="W288" i="21"/>
  <c r="Y287" i="21"/>
  <c r="W289" i="21"/>
  <c r="Z287" i="21"/>
  <c r="X287" i="21"/>
  <c r="X596" i="21"/>
  <c r="Z596" i="21"/>
  <c r="Y596" i="21"/>
  <c r="Z539" i="21"/>
  <c r="X539" i="21"/>
  <c r="Y539" i="21"/>
  <c r="Z326" i="21"/>
  <c r="X326" i="21"/>
  <c r="Y326" i="21"/>
  <c r="X290" i="21"/>
  <c r="W292" i="21"/>
  <c r="Z290" i="21"/>
  <c r="W291" i="21"/>
  <c r="Y290" i="21"/>
  <c r="Z424" i="21"/>
  <c r="X278" i="21"/>
  <c r="W280" i="21"/>
  <c r="Z278" i="21"/>
  <c r="W279" i="21"/>
  <c r="Y278" i="21"/>
  <c r="Y381" i="21"/>
  <c r="X381" i="21"/>
  <c r="Z372" i="21"/>
  <c r="X372" i="21"/>
  <c r="Y372" i="21"/>
  <c r="X154" i="21"/>
  <c r="Z154" i="21"/>
  <c r="Y154" i="21"/>
  <c r="Y312" i="21"/>
  <c r="Z312" i="21"/>
  <c r="X312" i="21"/>
  <c r="X302" i="21"/>
  <c r="W304" i="21"/>
  <c r="Z302" i="21"/>
  <c r="Y302" i="21"/>
  <c r="W303" i="21"/>
  <c r="X783" i="21"/>
  <c r="Z456" i="21"/>
  <c r="X456" i="21"/>
  <c r="Y456" i="21"/>
  <c r="X349" i="21"/>
  <c r="Z349" i="21"/>
  <c r="Y349" i="21"/>
  <c r="Y165" i="21"/>
  <c r="Z165" i="21"/>
  <c r="X165" i="21"/>
  <c r="X357" i="21"/>
  <c r="Z357" i="21"/>
  <c r="Y357" i="21"/>
  <c r="Y363" i="21"/>
  <c r="X363" i="21"/>
  <c r="Z363" i="21"/>
  <c r="Y2584" i="21"/>
  <c r="X2584" i="21"/>
  <c r="Z2584" i="21"/>
  <c r="Z2704" i="21"/>
  <c r="Y2704" i="21"/>
  <c r="X2704" i="21"/>
  <c r="J2594" i="21"/>
  <c r="Y2615" i="21"/>
  <c r="X2615" i="21"/>
  <c r="Z2615" i="21"/>
  <c r="X2549" i="21"/>
  <c r="Z2549" i="21"/>
  <c r="X2566" i="21"/>
  <c r="Z2566" i="21"/>
  <c r="Y2566" i="21"/>
  <c r="Z2515" i="21"/>
  <c r="Y2515" i="21"/>
  <c r="X2515" i="21"/>
  <c r="Y2554" i="21"/>
  <c r="X2554" i="21"/>
  <c r="Z2554" i="21"/>
  <c r="Y2444" i="21"/>
  <c r="W2447" i="21"/>
  <c r="W2448" i="21"/>
  <c r="W2446" i="21"/>
  <c r="W2445" i="21"/>
  <c r="Z2444" i="21"/>
  <c r="W2449" i="21"/>
  <c r="Y2432" i="21"/>
  <c r="W2435" i="21"/>
  <c r="W2437" i="21"/>
  <c r="W2436" i="21"/>
  <c r="W2434" i="21"/>
  <c r="W2433" i="21"/>
  <c r="Z2432" i="21"/>
  <c r="Z2535" i="21"/>
  <c r="Y2535" i="21"/>
  <c r="X2535" i="21"/>
  <c r="X2523" i="21"/>
  <c r="Z2439" i="21"/>
  <c r="Y2439" i="21"/>
  <c r="X2439" i="21"/>
  <c r="X2518" i="21"/>
  <c r="Z2518" i="21"/>
  <c r="Y2518" i="21"/>
  <c r="X2454" i="21"/>
  <c r="Z2454" i="21"/>
  <c r="Z2478" i="21"/>
  <c r="Y2478" i="21"/>
  <c r="X2478" i="21"/>
  <c r="Z2392" i="21"/>
  <c r="Y2392" i="21"/>
  <c r="X2392" i="21"/>
  <c r="Z2362" i="21"/>
  <c r="Y2362" i="21"/>
  <c r="X2362" i="21"/>
  <c r="Z2412" i="21"/>
  <c r="Y2412" i="21"/>
  <c r="X2412" i="21"/>
  <c r="Z2344" i="21"/>
  <c r="Z2397" i="21"/>
  <c r="Y2397" i="21"/>
  <c r="X2397" i="21"/>
  <c r="X2358" i="21"/>
  <c r="Z2358" i="21"/>
  <c r="Y2358" i="21"/>
  <c r="Y2353" i="21"/>
  <c r="Z2353" i="21"/>
  <c r="X2353" i="21"/>
  <c r="Z2303" i="21"/>
  <c r="Y2303" i="21"/>
  <c r="X2303" i="21"/>
  <c r="Y2364" i="21"/>
  <c r="X2364" i="21"/>
  <c r="Z2364" i="21"/>
  <c r="Z2293" i="21"/>
  <c r="Y2293" i="21"/>
  <c r="X2293" i="21"/>
  <c r="X2423" i="21"/>
  <c r="Z2423" i="21"/>
  <c r="Y2423" i="21"/>
  <c r="X2260" i="21"/>
  <c r="Z2260" i="21"/>
  <c r="Y2260" i="21"/>
  <c r="Z2385" i="21"/>
  <c r="Y2385" i="21"/>
  <c r="X2385" i="21"/>
  <c r="X2326" i="21"/>
  <c r="Z2326" i="21"/>
  <c r="Y2326" i="21"/>
  <c r="Z2232" i="21"/>
  <c r="X2232" i="21"/>
  <c r="Y2232" i="21"/>
  <c r="Y2223" i="21"/>
  <c r="X2223" i="21"/>
  <c r="Z2223" i="21"/>
  <c r="X2190" i="21"/>
  <c r="Z2383" i="21"/>
  <c r="Y2383" i="21"/>
  <c r="X2383" i="21"/>
  <c r="X2241" i="21"/>
  <c r="Y2225" i="21"/>
  <c r="X2225" i="21"/>
  <c r="Z2225" i="21"/>
  <c r="Z2253" i="21"/>
  <c r="Y2253" i="21"/>
  <c r="X2253" i="21"/>
  <c r="Z2130" i="21"/>
  <c r="X2130" i="21"/>
  <c r="Y2130" i="21"/>
  <c r="Y2156" i="21"/>
  <c r="Z2156" i="21"/>
  <c r="X2156" i="21"/>
  <c r="Z2083" i="21"/>
  <c r="Y2083" i="21"/>
  <c r="X2083" i="21"/>
  <c r="X2212" i="21"/>
  <c r="Y2212" i="21"/>
  <c r="Z2212" i="21"/>
  <c r="Y2036" i="21"/>
  <c r="X2036" i="21"/>
  <c r="Z2036" i="21"/>
  <c r="Z2103" i="21"/>
  <c r="Y2103" i="21"/>
  <c r="X2103" i="21"/>
  <c r="Z2072" i="21"/>
  <c r="Y2072" i="21"/>
  <c r="X2072" i="21"/>
  <c r="Z2055" i="21"/>
  <c r="Y2055" i="21"/>
  <c r="X2055" i="21"/>
  <c r="X1979" i="21"/>
  <c r="Z1979" i="21"/>
  <c r="Y1979" i="21"/>
  <c r="W1870" i="21"/>
  <c r="W1869" i="21"/>
  <c r="Y1868" i="21"/>
  <c r="X1868" i="21"/>
  <c r="W1871" i="21"/>
  <c r="Z1868" i="21"/>
  <c r="Z1674" i="21"/>
  <c r="Y1674" i="21"/>
  <c r="Z1936" i="21"/>
  <c r="X1936" i="21"/>
  <c r="Y1936" i="21"/>
  <c r="Z1924" i="21"/>
  <c r="Y1924" i="21"/>
  <c r="X1924" i="21"/>
  <c r="Z1646" i="21"/>
  <c r="X1646" i="21"/>
  <c r="Y1646" i="21"/>
  <c r="X1610" i="21"/>
  <c r="Z1610" i="21"/>
  <c r="Y1610" i="21"/>
  <c r="Y1642" i="21"/>
  <c r="X1642" i="21"/>
  <c r="Z1642" i="21"/>
  <c r="Z1573" i="21"/>
  <c r="Y1573" i="21"/>
  <c r="X1514" i="21"/>
  <c r="Z1514" i="21"/>
  <c r="Y1514" i="21"/>
  <c r="Z1653" i="21"/>
  <c r="Y1653" i="21"/>
  <c r="Z1627" i="21"/>
  <c r="Y1627" i="21"/>
  <c r="X1627" i="21"/>
  <c r="Z1634" i="21"/>
  <c r="Y1634" i="21"/>
  <c r="X1634" i="21"/>
  <c r="Z1402" i="21"/>
  <c r="Y1402" i="21"/>
  <c r="X1402" i="21"/>
  <c r="Z1375" i="21"/>
  <c r="Y1375" i="21"/>
  <c r="X1375" i="21"/>
  <c r="Z1494" i="21"/>
  <c r="Y1494" i="21"/>
  <c r="X1494" i="21"/>
  <c r="Z1271" i="21"/>
  <c r="Y1271" i="21"/>
  <c r="X1271" i="21"/>
  <c r="Y1357" i="21"/>
  <c r="Z1357" i="21"/>
  <c r="Z1052" i="21"/>
  <c r="Y1052" i="21"/>
  <c r="Y1031" i="21"/>
  <c r="Z1031" i="21"/>
  <c r="Y1015" i="21"/>
  <c r="Z1015" i="21"/>
  <c r="Y999" i="21"/>
  <c r="Z999" i="21"/>
  <c r="Y983" i="21"/>
  <c r="Z983" i="21"/>
  <c r="Y1119" i="21"/>
  <c r="Z1119" i="21"/>
  <c r="X1119" i="21"/>
  <c r="Y727" i="21"/>
  <c r="Z727" i="21"/>
  <c r="W697" i="21"/>
  <c r="W695" i="21"/>
  <c r="W696" i="21"/>
  <c r="W694" i="21"/>
  <c r="W693" i="21"/>
  <c r="Z692" i="21"/>
  <c r="Y692" i="21"/>
  <c r="X692" i="21"/>
  <c r="Z947" i="21"/>
  <c r="Y947" i="21"/>
  <c r="Z961" i="21"/>
  <c r="Y961" i="21"/>
  <c r="Z755" i="21"/>
  <c r="Y755" i="21"/>
  <c r="Z1041" i="21"/>
  <c r="Y1041" i="21"/>
  <c r="Z719" i="21"/>
  <c r="Y719" i="21"/>
  <c r="X719" i="21"/>
  <c r="Z637" i="21"/>
  <c r="Y637" i="21"/>
  <c r="Z603" i="21"/>
  <c r="Y603" i="21"/>
  <c r="Z452" i="21"/>
  <c r="X452" i="21"/>
  <c r="Y452" i="21"/>
  <c r="Z684" i="21"/>
  <c r="Y684" i="21"/>
  <c r="X684" i="21"/>
  <c r="Z642" i="21"/>
  <c r="Y642" i="21"/>
  <c r="X642" i="21"/>
  <c r="Z891" i="21"/>
  <c r="Y891" i="21"/>
  <c r="Y578" i="21"/>
  <c r="X578" i="21"/>
  <c r="Z578" i="21"/>
  <c r="Y512" i="21"/>
  <c r="X512" i="21"/>
  <c r="Z512" i="21"/>
  <c r="Y411" i="21"/>
  <c r="Z411" i="21"/>
  <c r="X411" i="21"/>
  <c r="W282" i="21"/>
  <c r="Y281" i="21"/>
  <c r="W283" i="21"/>
  <c r="Z281" i="21"/>
  <c r="X281" i="21"/>
  <c r="Y445" i="21"/>
  <c r="Z445" i="21"/>
  <c r="X445" i="21"/>
  <c r="Y328" i="21"/>
  <c r="X328" i="21"/>
  <c r="Z328" i="21"/>
  <c r="Z174" i="21"/>
  <c r="Y174" i="21"/>
  <c r="X174" i="21"/>
  <c r="W441" i="21"/>
  <c r="X437" i="21"/>
  <c r="W442" i="21"/>
  <c r="W440" i="21"/>
  <c r="W439" i="21"/>
  <c r="Z437" i="21"/>
  <c r="Y437" i="21"/>
  <c r="W438" i="21"/>
  <c r="Y416" i="21"/>
  <c r="X416" i="21"/>
  <c r="Z416" i="21"/>
  <c r="U298" i="21"/>
  <c r="Y242" i="21"/>
  <c r="Z242" i="21"/>
  <c r="X242" i="21"/>
  <c r="Z258" i="21"/>
  <c r="X258" i="21"/>
  <c r="Y258" i="21"/>
  <c r="W654" i="21"/>
  <c r="W651" i="21"/>
  <c r="Z650" i="21"/>
  <c r="W655" i="21"/>
  <c r="W653" i="21"/>
  <c r="W652" i="21"/>
  <c r="Y650" i="21"/>
  <c r="X417" i="21"/>
  <c r="Z417" i="21"/>
  <c r="Y417" i="21"/>
  <c r="Z401" i="21"/>
  <c r="W404" i="21"/>
  <c r="W406" i="21"/>
  <c r="W403" i="21"/>
  <c r="Y401" i="21"/>
  <c r="W405" i="21"/>
  <c r="W402" i="21"/>
  <c r="X401" i="21"/>
  <c r="U286" i="21"/>
  <c r="Y124" i="21"/>
  <c r="X124" i="21"/>
  <c r="Z124" i="21"/>
  <c r="X151" i="21"/>
  <c r="Z151" i="21"/>
  <c r="Y151" i="21"/>
  <c r="X362" i="21"/>
  <c r="Z2696" i="21"/>
  <c r="Y2696" i="21"/>
  <c r="W2623" i="21"/>
  <c r="W2621" i="21"/>
  <c r="W2619" i="21"/>
  <c r="Z2618" i="21"/>
  <c r="Y2618" i="21"/>
  <c r="W2622" i="21"/>
  <c r="W2620" i="21"/>
  <c r="X2618" i="21"/>
  <c r="Z2601" i="21"/>
  <c r="X2601" i="21"/>
  <c r="Y2601" i="21"/>
  <c r="Z2636" i="21"/>
  <c r="Y2636" i="21"/>
  <c r="Z2700" i="21"/>
  <c r="Y2700" i="21"/>
  <c r="X2636" i="21"/>
  <c r="Z2587" i="21"/>
  <c r="Y2587" i="21"/>
  <c r="X2587" i="21"/>
  <c r="Y2617" i="21"/>
  <c r="X2617" i="21"/>
  <c r="Z2617" i="21"/>
  <c r="Z2569" i="21"/>
  <c r="Y2569" i="21"/>
  <c r="X2569" i="21"/>
  <c r="Z2503" i="21"/>
  <c r="Y2503" i="21"/>
  <c r="X2503" i="21"/>
  <c r="Z2548" i="21"/>
  <c r="Y2548" i="21"/>
  <c r="X2548" i="21"/>
  <c r="Z2443" i="21"/>
  <c r="Y2443" i="21"/>
  <c r="X2443" i="21"/>
  <c r="Z2541" i="21"/>
  <c r="Y2541" i="21"/>
  <c r="X2541" i="21"/>
  <c r="Z2538" i="21"/>
  <c r="Y2538" i="21"/>
  <c r="X2538" i="21"/>
  <c r="Z2529" i="21"/>
  <c r="Y2529" i="21"/>
  <c r="X2529" i="21"/>
  <c r="Z2507" i="21"/>
  <c r="Y2507" i="21"/>
  <c r="X2507" i="21"/>
  <c r="Z2476" i="21"/>
  <c r="X2476" i="21"/>
  <c r="Y2476" i="21"/>
  <c r="X2363" i="21"/>
  <c r="Z2363" i="21"/>
  <c r="Y2363" i="21"/>
  <c r="Z2410" i="21"/>
  <c r="Y2410" i="21"/>
  <c r="X2410" i="21"/>
  <c r="X2332" i="21"/>
  <c r="Z2400" i="21"/>
  <c r="Y2400" i="21"/>
  <c r="X2400" i="21"/>
  <c r="Z2261" i="21"/>
  <c r="Y2261" i="21"/>
  <c r="X2261" i="21"/>
  <c r="Z2361" i="21"/>
  <c r="Y2361" i="21"/>
  <c r="X2361" i="21"/>
  <c r="Z2263" i="21"/>
  <c r="Y2263" i="21"/>
  <c r="X2263" i="21"/>
  <c r="Z2329" i="21"/>
  <c r="Y2329" i="21"/>
  <c r="X2329" i="21"/>
  <c r="X2224" i="21"/>
  <c r="Z2224" i="21"/>
  <c r="Y2224" i="21"/>
  <c r="Y2206" i="21"/>
  <c r="X2206" i="21"/>
  <c r="Z2206" i="21"/>
  <c r="Z2164" i="21"/>
  <c r="Y2164" i="21"/>
  <c r="X2164" i="21"/>
  <c r="Y2265" i="21"/>
  <c r="Z2265" i="21"/>
  <c r="X2265" i="21"/>
  <c r="W2217" i="21"/>
  <c r="Z2216" i="21"/>
  <c r="W2219" i="21"/>
  <c r="W2221" i="21"/>
  <c r="W2220" i="21"/>
  <c r="Y2216" i="21"/>
  <c r="W2218" i="21"/>
  <c r="W2169" i="21"/>
  <c r="Z2168" i="21"/>
  <c r="W2171" i="21"/>
  <c r="W2170" i="21"/>
  <c r="Y2168" i="21"/>
  <c r="W2173" i="21"/>
  <c r="X2168" i="21"/>
  <c r="W2172" i="21"/>
  <c r="Z2368" i="21"/>
  <c r="Y2368" i="21"/>
  <c r="X2368" i="21"/>
  <c r="X2132" i="21"/>
  <c r="Z2132" i="21"/>
  <c r="Y2132" i="21"/>
  <c r="X2139" i="21"/>
  <c r="Z2139" i="21"/>
  <c r="Y2139" i="21"/>
  <c r="W2090" i="21"/>
  <c r="Y2089" i="21"/>
  <c r="W2092" i="21"/>
  <c r="W2091" i="21"/>
  <c r="Z2089" i="21"/>
  <c r="Y2157" i="21"/>
  <c r="X2157" i="21"/>
  <c r="Z2157" i="21"/>
  <c r="Z2134" i="21"/>
  <c r="Y2134" i="21"/>
  <c r="X2134" i="21"/>
  <c r="X2082" i="21"/>
  <c r="Z2215" i="21"/>
  <c r="Y2215" i="21"/>
  <c r="X2215" i="21"/>
  <c r="Z2199" i="21"/>
  <c r="Y2199" i="21"/>
  <c r="X2199" i="21"/>
  <c r="Z2062" i="21"/>
  <c r="Y2062" i="21"/>
  <c r="X2062" i="21"/>
  <c r="Z2035" i="21"/>
  <c r="Y2035" i="21"/>
  <c r="X2035" i="21"/>
  <c r="Z2104" i="21"/>
  <c r="X2104" i="21"/>
  <c r="Y2104" i="21"/>
  <c r="X1966" i="21"/>
  <c r="Z1966" i="21"/>
  <c r="Y1966" i="21"/>
  <c r="Z2056" i="21"/>
  <c r="Y2056" i="21"/>
  <c r="X2056" i="21"/>
  <c r="Z2000" i="21"/>
  <c r="Y2000" i="21"/>
  <c r="X2000" i="21"/>
  <c r="X2024" i="21"/>
  <c r="Z2024" i="21"/>
  <c r="Y2024" i="21"/>
  <c r="X1946" i="21"/>
  <c r="X1889" i="21"/>
  <c r="Y1889" i="21"/>
  <c r="Z1889" i="21"/>
  <c r="X2006" i="21"/>
  <c r="Z2006" i="21"/>
  <c r="Y2006" i="21"/>
  <c r="Z1975" i="21"/>
  <c r="Y1975" i="21"/>
  <c r="X1975" i="21"/>
  <c r="W1898" i="21"/>
  <c r="Z1896" i="21"/>
  <c r="Y1896" i="21"/>
  <c r="W1897" i="21"/>
  <c r="W1899" i="21"/>
  <c r="Y1987" i="21"/>
  <c r="X1896" i="21"/>
  <c r="X1995" i="21"/>
  <c r="Z1995" i="21"/>
  <c r="Y1995" i="21"/>
  <c r="Z1829" i="21"/>
  <c r="Y1829" i="21"/>
  <c r="X1829" i="21"/>
  <c r="Y1788" i="21"/>
  <c r="Z1788" i="21"/>
  <c r="X1934" i="21"/>
  <c r="Y1934" i="21"/>
  <c r="Z1934" i="21"/>
  <c r="Z1877" i="21"/>
  <c r="X1877" i="21"/>
  <c r="Y1877" i="21"/>
  <c r="X1809" i="21"/>
  <c r="Y1809" i="21"/>
  <c r="Z1809" i="21"/>
  <c r="Z1721" i="21"/>
  <c r="X1721" i="21"/>
  <c r="Y1721" i="21"/>
  <c r="X1622" i="21"/>
  <c r="Z1622" i="21"/>
  <c r="Y1622" i="21"/>
  <c r="Z1906" i="21"/>
  <c r="X1906" i="21"/>
  <c r="Y1906" i="21"/>
  <c r="W1849" i="21"/>
  <c r="W1848" i="21"/>
  <c r="Y1847" i="21"/>
  <c r="Z1847" i="21"/>
  <c r="X1847" i="21"/>
  <c r="Z1682" i="21"/>
  <c r="Y1682" i="21"/>
  <c r="Z1775" i="21"/>
  <c r="Y1775" i="21"/>
  <c r="Z1570" i="21"/>
  <c r="Y1570" i="21"/>
  <c r="X1570" i="21"/>
  <c r="U2716" i="21"/>
  <c r="Z1663" i="21"/>
  <c r="Y1663" i="21"/>
  <c r="X1663" i="21"/>
  <c r="Z1638" i="21"/>
  <c r="Y1638" i="21"/>
  <c r="Y1606" i="21"/>
  <c r="Z1606" i="21"/>
  <c r="X1638" i="21"/>
  <c r="Y1554" i="21"/>
  <c r="Z1554" i="21"/>
  <c r="Z1418" i="21"/>
  <c r="Y1418" i="21"/>
  <c r="Z1598" i="21"/>
  <c r="Y1598" i="21"/>
  <c r="Y1478" i="21"/>
  <c r="X1478" i="21"/>
  <c r="Z1478" i="21"/>
  <c r="Z1474" i="21"/>
  <c r="Y1474" i="21"/>
  <c r="X1474" i="21"/>
  <c r="X1418" i="21"/>
  <c r="Y1373" i="21"/>
  <c r="Z1373" i="21"/>
  <c r="X1327" i="21"/>
  <c r="Z1327" i="21"/>
  <c r="Y1327" i="21"/>
  <c r="Z1401" i="21"/>
  <c r="Y1401" i="21"/>
  <c r="X1335" i="21"/>
  <c r="Z1335" i="21"/>
  <c r="Y1335" i="21"/>
  <c r="Y1412" i="21"/>
  <c r="Z1412" i="21"/>
  <c r="Z1433" i="21"/>
  <c r="Y1433" i="21"/>
  <c r="Z1370" i="21"/>
  <c r="Y1370" i="21"/>
  <c r="X1311" i="21"/>
  <c r="Z1311" i="21"/>
  <c r="Y1311" i="21"/>
  <c r="Z1246" i="21"/>
  <c r="Y1246" i="21"/>
  <c r="X1433" i="21"/>
  <c r="Y1102" i="21"/>
  <c r="Z1102" i="21"/>
  <c r="X1102" i="21"/>
  <c r="Y1183" i="21"/>
  <c r="X1183" i="21"/>
  <c r="Z1183" i="21"/>
  <c r="Y1444" i="21"/>
  <c r="Z1444" i="21"/>
  <c r="Z1254" i="21"/>
  <c r="Y1254" i="21"/>
  <c r="Z1190" i="21"/>
  <c r="Y1190" i="21"/>
  <c r="Y1143" i="21"/>
  <c r="Z1143" i="21"/>
  <c r="X1143" i="21"/>
  <c r="Y1135" i="21"/>
  <c r="Z1135" i="21"/>
  <c r="X1135" i="21"/>
  <c r="Z964" i="21"/>
  <c r="Y964" i="21"/>
  <c r="Z1270" i="21"/>
  <c r="Y1270" i="21"/>
  <c r="X1270" i="21"/>
  <c r="X999" i="21"/>
  <c r="Z1065" i="21"/>
  <c r="Y1065" i="21"/>
  <c r="Y1039" i="21"/>
  <c r="Z1039" i="21"/>
  <c r="Y722" i="21"/>
  <c r="Z722" i="21"/>
  <c r="Z711" i="21"/>
  <c r="X711" i="21"/>
  <c r="Y711" i="21"/>
  <c r="X947" i="21"/>
  <c r="Z758" i="21"/>
  <c r="Y758" i="21"/>
  <c r="Z939" i="21"/>
  <c r="Y939" i="21"/>
  <c r="Y739" i="21"/>
  <c r="Z739" i="21"/>
  <c r="X739" i="21"/>
  <c r="X701" i="21"/>
  <c r="Z788" i="21"/>
  <c r="Y788" i="21"/>
  <c r="X788" i="21"/>
  <c r="Z688" i="21"/>
  <c r="Y688" i="21"/>
  <c r="X688" i="21"/>
  <c r="Z635" i="21"/>
  <c r="Y635" i="21"/>
  <c r="X635" i="21"/>
  <c r="Z851" i="21"/>
  <c r="Y851" i="21"/>
  <c r="W618" i="21"/>
  <c r="Z617" i="21"/>
  <c r="W620" i="21"/>
  <c r="W619" i="21"/>
  <c r="Y617" i="21"/>
  <c r="Z485" i="21"/>
  <c r="Y485" i="21"/>
  <c r="Z591" i="21"/>
  <c r="Y591" i="21"/>
  <c r="Z446" i="21"/>
  <c r="Y446" i="21"/>
  <c r="X446" i="21"/>
  <c r="X1370" i="21"/>
  <c r="Z673" i="21"/>
  <c r="Y673" i="21"/>
  <c r="X673" i="21"/>
  <c r="X540" i="21"/>
  <c r="Z540" i="21"/>
  <c r="Y540" i="21"/>
  <c r="X160" i="21"/>
  <c r="Z160" i="21"/>
  <c r="Y160" i="21"/>
  <c r="Z420" i="21"/>
  <c r="X420" i="21"/>
  <c r="Y420" i="21"/>
  <c r="Z370" i="21"/>
  <c r="X370" i="21"/>
  <c r="Y370" i="21"/>
  <c r="Z318" i="21"/>
  <c r="Y318" i="21"/>
  <c r="X318" i="21"/>
  <c r="W276" i="21"/>
  <c r="Y275" i="21"/>
  <c r="W277" i="21"/>
  <c r="X275" i="21"/>
  <c r="Z275" i="21"/>
  <c r="X296" i="21"/>
  <c r="W298" i="21"/>
  <c r="Z296" i="21"/>
  <c r="Y296" i="21"/>
  <c r="W297" i="21"/>
  <c r="Z192" i="21"/>
  <c r="X192" i="21"/>
  <c r="Y192" i="21"/>
  <c r="Y376" i="21"/>
  <c r="Z376" i="21"/>
  <c r="X376" i="21"/>
  <c r="Z434" i="21"/>
  <c r="X434" i="21"/>
  <c r="Y434" i="21"/>
  <c r="U234" i="21"/>
  <c r="X170" i="21"/>
  <c r="Y170" i="21"/>
  <c r="Z170" i="21"/>
  <c r="X261" i="21"/>
  <c r="Z261" i="21"/>
  <c r="Y261" i="21"/>
  <c r="Z457" i="21"/>
  <c r="X457" i="21"/>
  <c r="Y457" i="21"/>
  <c r="U406" i="21"/>
  <c r="X284" i="21"/>
  <c r="W286" i="21"/>
  <c r="Z284" i="21"/>
  <c r="Y284" i="21"/>
  <c r="W285" i="21"/>
  <c r="X164" i="21"/>
  <c r="Z164" i="21"/>
  <c r="Y164" i="21"/>
  <c r="Z360" i="21"/>
  <c r="X360" i="21"/>
  <c r="Y360" i="21"/>
  <c r="Z2666" i="21"/>
  <c r="Y2666" i="21"/>
  <c r="Y2626" i="21"/>
  <c r="X2626" i="21"/>
  <c r="Z2626" i="21"/>
  <c r="Z2609" i="21"/>
  <c r="Y2609" i="21"/>
  <c r="X2609" i="21"/>
  <c r="Y2585" i="21"/>
  <c r="X2585" i="21"/>
  <c r="Z2585" i="21"/>
  <c r="X2596" i="21"/>
  <c r="Z2596" i="21"/>
  <c r="Y2596" i="21"/>
  <c r="X2542" i="21"/>
  <c r="Z2542" i="21"/>
  <c r="Y2542" i="21"/>
  <c r="X2536" i="21"/>
  <c r="Z2536" i="21"/>
  <c r="Y2536" i="21"/>
  <c r="X2533" i="21"/>
  <c r="Y2524" i="21"/>
  <c r="Z2475" i="21"/>
  <c r="Y2475" i="21"/>
  <c r="X2475" i="21"/>
  <c r="Z2519" i="21"/>
  <c r="Y2519" i="21"/>
  <c r="X2519" i="21"/>
  <c r="Y2479" i="21"/>
  <c r="Z2479" i="21"/>
  <c r="X2479" i="21"/>
  <c r="Y2481" i="21"/>
  <c r="Z2481" i="21"/>
  <c r="X2481" i="21"/>
  <c r="Y2345" i="21"/>
  <c r="X2345" i="21"/>
  <c r="Z2345" i="21"/>
  <c r="Z2413" i="21"/>
  <c r="Y2413" i="21"/>
  <c r="X2413" i="21"/>
  <c r="Z2347" i="21"/>
  <c r="Y2347" i="21"/>
  <c r="X2347" i="21"/>
  <c r="Z2320" i="21"/>
  <c r="Y2320" i="21"/>
  <c r="X2320" i="21"/>
  <c r="Z2398" i="21"/>
  <c r="X2398" i="21"/>
  <c r="Y2398" i="21"/>
  <c r="Z2313" i="21"/>
  <c r="Y2313" i="21"/>
  <c r="X2313" i="21"/>
  <c r="Z2349" i="21"/>
  <c r="Y2349" i="21"/>
  <c r="X2349" i="21"/>
  <c r="Z2259" i="21"/>
  <c r="Y2259" i="21"/>
  <c r="X2259" i="21"/>
  <c r="Z2291" i="21"/>
  <c r="Y2291" i="21"/>
  <c r="X2291" i="21"/>
  <c r="Z2424" i="21"/>
  <c r="Y2424" i="21"/>
  <c r="X2424" i="21"/>
  <c r="Z2340" i="21"/>
  <c r="Y2340" i="21"/>
  <c r="X2340" i="21"/>
  <c r="Z2274" i="21"/>
  <c r="Y2274" i="21"/>
  <c r="X2274" i="21"/>
  <c r="Y2388" i="21"/>
  <c r="X2388" i="21"/>
  <c r="Z2388" i="21"/>
  <c r="Z2331" i="21"/>
  <c r="Y2331" i="21"/>
  <c r="X2331" i="21"/>
  <c r="Y2279" i="21"/>
  <c r="X2279" i="21"/>
  <c r="Z2279" i="21"/>
  <c r="Z2178" i="21"/>
  <c r="X2178" i="21"/>
  <c r="Y2178" i="21"/>
  <c r="Y2233" i="21"/>
  <c r="Z2233" i="21"/>
  <c r="X2233" i="21"/>
  <c r="Z2269" i="21"/>
  <c r="Y2269" i="21"/>
  <c r="X2269" i="21"/>
  <c r="Z2238" i="21"/>
  <c r="Y2238" i="21"/>
  <c r="X2238" i="21"/>
  <c r="X2370" i="21"/>
  <c r="Z2370" i="21"/>
  <c r="Y2370" i="21"/>
  <c r="Z2094" i="21"/>
  <c r="Y2094" i="21"/>
  <c r="X2094" i="21"/>
  <c r="Z2043" i="21"/>
  <c r="Y2043" i="21"/>
  <c r="X2043" i="21"/>
  <c r="Z2064" i="21"/>
  <c r="Y2064" i="21"/>
  <c r="X2064" i="21"/>
  <c r="Z2039" i="21"/>
  <c r="Y2039" i="21"/>
  <c r="X2039" i="21"/>
  <c r="W1911" i="21"/>
  <c r="Z1909" i="21"/>
  <c r="W1910" i="21"/>
  <c r="Y1909" i="21"/>
  <c r="W1912" i="21"/>
  <c r="X1909" i="21"/>
  <c r="Y2019" i="21"/>
  <c r="X2019" i="21"/>
  <c r="Z2019" i="21"/>
  <c r="Z1984" i="21"/>
  <c r="Y1984" i="21"/>
  <c r="X1984" i="21"/>
  <c r="X1931" i="21"/>
  <c r="Z1931" i="21"/>
  <c r="X1976" i="21"/>
  <c r="Z1976" i="21"/>
  <c r="Y1976" i="21"/>
  <c r="Z1890" i="21"/>
  <c r="Y1890" i="21"/>
  <c r="X1890" i="21"/>
  <c r="Z1988" i="21"/>
  <c r="Y1988" i="21"/>
  <c r="X1988" i="21"/>
  <c r="X1963" i="21"/>
  <c r="Y1963" i="21"/>
  <c r="Z1963" i="21"/>
  <c r="Z1801" i="21"/>
  <c r="X1801" i="21"/>
  <c r="Y1801" i="21"/>
  <c r="Z1940" i="21"/>
  <c r="Y1940" i="21"/>
  <c r="X1940" i="21"/>
  <c r="Z1763" i="21"/>
  <c r="Y1763" i="21"/>
  <c r="Z1755" i="21"/>
  <c r="Y1755" i="21"/>
  <c r="Z1740" i="21"/>
  <c r="Y1740" i="21"/>
  <c r="Y1922" i="21"/>
  <c r="Z1922" i="21"/>
  <c r="X1922" i="21"/>
  <c r="Z1730" i="21"/>
  <c r="Y1730" i="21"/>
  <c r="Z1566" i="21"/>
  <c r="Y1566" i="21"/>
  <c r="X1566" i="21"/>
  <c r="X1708" i="21"/>
  <c r="Z1581" i="21"/>
  <c r="Y1581" i="21"/>
  <c r="Y1617" i="21"/>
  <c r="Z1617" i="21"/>
  <c r="Z1505" i="21"/>
  <c r="Y1505" i="21"/>
  <c r="X1671" i="21"/>
  <c r="Z1671" i="21"/>
  <c r="Y1671" i="21"/>
  <c r="Z1482" i="21"/>
  <c r="Y1482" i="21"/>
  <c r="X1482" i="21"/>
  <c r="Z1501" i="21"/>
  <c r="Y1501" i="21"/>
  <c r="Y1477" i="21"/>
  <c r="Z1477" i="21"/>
  <c r="Z1498" i="21"/>
  <c r="Y1498" i="21"/>
  <c r="X1498" i="21"/>
  <c r="Z1619" i="21"/>
  <c r="Y1619" i="21"/>
  <c r="Z1398" i="21"/>
  <c r="Y1398" i="21"/>
  <c r="X1398" i="21"/>
  <c r="Z1291" i="21"/>
  <c r="Y1291" i="21"/>
  <c r="X1291" i="21"/>
  <c r="Z1351" i="21"/>
  <c r="Y1351" i="21"/>
  <c r="X1351" i="21"/>
  <c r="Y1365" i="21"/>
  <c r="Z1365" i="21"/>
  <c r="Z1263" i="21"/>
  <c r="Y1263" i="21"/>
  <c r="Z1266" i="21"/>
  <c r="Y1266" i="21"/>
  <c r="Z1099" i="21"/>
  <c r="Y1099" i="21"/>
  <c r="X1099" i="21"/>
  <c r="X1266" i="21"/>
  <c r="Z1286" i="21"/>
  <c r="Y1286" i="21"/>
  <c r="X1286" i="21"/>
  <c r="Y1167" i="21"/>
  <c r="Z1167" i="21"/>
  <c r="X1167" i="21"/>
  <c r="Y1297" i="21"/>
  <c r="Z1297" i="21"/>
  <c r="X1297" i="21"/>
  <c r="Y959" i="21"/>
  <c r="Z959" i="21"/>
  <c r="Z675" i="21"/>
  <c r="Y675" i="21"/>
  <c r="X675" i="21"/>
  <c r="Y753" i="21"/>
  <c r="Z753" i="21"/>
  <c r="Z691" i="21"/>
  <c r="Y691" i="21"/>
  <c r="X691" i="21"/>
  <c r="Y724" i="21"/>
  <c r="Z724" i="21"/>
  <c r="X724" i="21"/>
  <c r="Z931" i="21"/>
  <c r="Y931" i="21"/>
  <c r="Z714" i="21"/>
  <c r="Y714" i="21"/>
  <c r="X714" i="21"/>
  <c r="U679" i="21"/>
  <c r="Y679" i="21" s="1"/>
  <c r="Z633" i="21"/>
  <c r="Y633" i="21"/>
  <c r="Z621" i="21"/>
  <c r="Y621" i="21"/>
  <c r="Z534" i="21"/>
  <c r="Y534" i="21"/>
  <c r="X534" i="21"/>
  <c r="Z923" i="21"/>
  <c r="Y923" i="21"/>
  <c r="Z718" i="21"/>
  <c r="Y718" i="21"/>
  <c r="X718" i="21"/>
  <c r="Z601" i="21"/>
  <c r="Y601" i="21"/>
  <c r="Y502" i="21"/>
  <c r="Z502" i="21"/>
  <c r="X502" i="21"/>
  <c r="U364" i="21"/>
  <c r="Y364" i="21" s="1"/>
  <c r="Z324" i="21"/>
  <c r="Y324" i="21"/>
  <c r="X324" i="21"/>
  <c r="Z351" i="21"/>
  <c r="X351" i="21"/>
  <c r="Y351" i="21"/>
  <c r="X321" i="21"/>
  <c r="U277" i="21"/>
  <c r="Z182" i="21"/>
  <c r="Y182" i="21"/>
  <c r="X182" i="21"/>
  <c r="Z238" i="21"/>
  <c r="Y238" i="21"/>
  <c r="Z189" i="21"/>
  <c r="Y189" i="21"/>
  <c r="W191" i="21"/>
  <c r="W190" i="21"/>
  <c r="Z375" i="21"/>
  <c r="Y375" i="21"/>
  <c r="X375" i="21"/>
  <c r="X142" i="21"/>
  <c r="Z142" i="21"/>
  <c r="Y142" i="21"/>
  <c r="X621" i="21"/>
  <c r="Z436" i="21"/>
  <c r="Y436" i="21"/>
  <c r="X436" i="21"/>
  <c r="Z161" i="21"/>
  <c r="X161" i="21"/>
  <c r="Y161" i="21"/>
  <c r="X637" i="21"/>
  <c r="Y125" i="21"/>
  <c r="X125" i="21"/>
  <c r="Z125" i="21"/>
  <c r="Y354" i="21"/>
  <c r="X354" i="21"/>
  <c r="Z354" i="21"/>
  <c r="X152" i="21"/>
  <c r="Z152" i="21"/>
  <c r="Y152" i="21"/>
  <c r="Y361" i="21"/>
  <c r="X361" i="21"/>
  <c r="Z361" i="21"/>
  <c r="H2612" i="21"/>
  <c r="J2612" i="21" s="1"/>
  <c r="Z2610" i="21"/>
  <c r="Y2610" i="21"/>
  <c r="X2610" i="21"/>
  <c r="X2696" i="21"/>
  <c r="X2666" i="21"/>
  <c r="Y2628" i="21"/>
  <c r="X2628" i="21"/>
  <c r="Z2628" i="21"/>
  <c r="Z2607" i="21"/>
  <c r="Y2607" i="21"/>
  <c r="X2607" i="21"/>
  <c r="W2581" i="21"/>
  <c r="W2579" i="21"/>
  <c r="W2577" i="21"/>
  <c r="Z2576" i="21"/>
  <c r="W2580" i="21"/>
  <c r="W2578" i="21"/>
  <c r="Y2576" i="21"/>
  <c r="X2576" i="21"/>
  <c r="Z2565" i="21"/>
  <c r="Y2565" i="21"/>
  <c r="X2565" i="21"/>
  <c r="Z2512" i="21"/>
  <c r="Y2512" i="21"/>
  <c r="X2512" i="21"/>
  <c r="Z2591" i="21"/>
  <c r="Y2591" i="21"/>
  <c r="X2591" i="21"/>
  <c r="W2496" i="21"/>
  <c r="W2493" i="21"/>
  <c r="Z2492" i="21"/>
  <c r="Y2492" i="21"/>
  <c r="W2495" i="21"/>
  <c r="W2497" i="21"/>
  <c r="W2494" i="21"/>
  <c r="Z2539" i="21"/>
  <c r="X2539" i="21"/>
  <c r="Y2539" i="21"/>
  <c r="X2530" i="21"/>
  <c r="Z2530" i="21"/>
  <c r="Y2530" i="21"/>
  <c r="X2527" i="21"/>
  <c r="Y2415" i="21"/>
  <c r="Z2415" i="21"/>
  <c r="X2415" i="21"/>
  <c r="X2484" i="21"/>
  <c r="Z2484" i="21"/>
  <c r="Y2484" i="21"/>
  <c r="Z2333" i="21"/>
  <c r="X2357" i="21"/>
  <c r="Z2357" i="21"/>
  <c r="Y2357" i="21"/>
  <c r="X2411" i="21"/>
  <c r="Z2411" i="21"/>
  <c r="Y2411" i="21"/>
  <c r="Z2403" i="21"/>
  <c r="Y2403" i="21"/>
  <c r="X2403" i="21"/>
  <c r="Z2308" i="21"/>
  <c r="Y2308" i="21"/>
  <c r="X2308" i="21"/>
  <c r="Z2401" i="21"/>
  <c r="Y2401" i="21"/>
  <c r="X2401" i="21"/>
  <c r="Z2316" i="21"/>
  <c r="Y2316" i="21"/>
  <c r="X2316" i="21"/>
  <c r="X2350" i="21"/>
  <c r="Z2350" i="21"/>
  <c r="Y2350" i="21"/>
  <c r="Z2359" i="21"/>
  <c r="Y2359" i="21"/>
  <c r="X2359" i="21"/>
  <c r="Z2301" i="21"/>
  <c r="Y2301" i="21"/>
  <c r="X2301" i="21"/>
  <c r="Z2272" i="21"/>
  <c r="X2272" i="21"/>
  <c r="Y2272" i="21"/>
  <c r="Z2389" i="21"/>
  <c r="Y2389" i="21"/>
  <c r="X2389" i="21"/>
  <c r="Z2327" i="21"/>
  <c r="Y2327" i="21"/>
  <c r="X2327" i="21"/>
  <c r="Z2298" i="21"/>
  <c r="Y2298" i="21"/>
  <c r="X2298" i="21"/>
  <c r="Z2179" i="21"/>
  <c r="Y2179" i="21"/>
  <c r="X2179" i="21"/>
  <c r="Z2257" i="21"/>
  <c r="Y2257" i="21"/>
  <c r="X2257" i="21"/>
  <c r="W2193" i="21"/>
  <c r="Z2192" i="21"/>
  <c r="W2195" i="21"/>
  <c r="W2194" i="21"/>
  <c r="Y2192" i="21"/>
  <c r="W2197" i="21"/>
  <c r="X2192" i="21"/>
  <c r="W2196" i="21"/>
  <c r="X2369" i="21"/>
  <c r="Z2369" i="21"/>
  <c r="Y2369" i="21"/>
  <c r="Y2086" i="21"/>
  <c r="X2086" i="21"/>
  <c r="Z2086" i="21"/>
  <c r="W2028" i="21"/>
  <c r="W2027" i="21"/>
  <c r="Z2025" i="21"/>
  <c r="W2026" i="21"/>
  <c r="Y2025" i="21"/>
  <c r="X2025" i="21"/>
  <c r="Z2084" i="21"/>
  <c r="Z2110" i="21"/>
  <c r="X2110" i="21"/>
  <c r="Y2110" i="21"/>
  <c r="Y2203" i="21"/>
  <c r="Z2203" i="21"/>
  <c r="X2203" i="21"/>
  <c r="X2115" i="21"/>
  <c r="Z2115" i="21"/>
  <c r="Y2115" i="21"/>
  <c r="Y2050" i="21"/>
  <c r="Z2050" i="21"/>
  <c r="X2050" i="21"/>
  <c r="W2075" i="21"/>
  <c r="Z2073" i="21"/>
  <c r="W2074" i="21"/>
  <c r="Y2073" i="21"/>
  <c r="X2073" i="21"/>
  <c r="W2076" i="21"/>
  <c r="Z2009" i="21"/>
  <c r="W2010" i="21"/>
  <c r="Y2009" i="21"/>
  <c r="W2012" i="21"/>
  <c r="X2009" i="21"/>
  <c r="W2011" i="21"/>
  <c r="Z2067" i="21"/>
  <c r="Y2067" i="21"/>
  <c r="X2067" i="21"/>
  <c r="Z2040" i="21"/>
  <c r="Y2040" i="21"/>
  <c r="X2040" i="21"/>
  <c r="W1882" i="21"/>
  <c r="Z1880" i="21"/>
  <c r="W1883" i="21"/>
  <c r="Y1880" i="21"/>
  <c r="W1881" i="21"/>
  <c r="X1880" i="21"/>
  <c r="X2071" i="21"/>
  <c r="Z2071" i="21"/>
  <c r="Y2071" i="21"/>
  <c r="Z2022" i="21"/>
  <c r="Y2022" i="21"/>
  <c r="X2022" i="21"/>
  <c r="Z1983" i="21"/>
  <c r="Y1983" i="21"/>
  <c r="X1983" i="21"/>
  <c r="Z1948" i="21"/>
  <c r="Y1948" i="21"/>
  <c r="X1948" i="21"/>
  <c r="Y1863" i="21"/>
  <c r="Z1863" i="21"/>
  <c r="X1863" i="21"/>
  <c r="U2715" i="21"/>
  <c r="X1950" i="21"/>
  <c r="Y1950" i="21"/>
  <c r="Z1950" i="21"/>
  <c r="X1920" i="21"/>
  <c r="Y1920" i="21"/>
  <c r="Z1920" i="21"/>
  <c r="X1891" i="21"/>
  <c r="Y1891" i="21"/>
  <c r="Z1891" i="21"/>
  <c r="Y1893" i="21"/>
  <c r="Z1893" i="21"/>
  <c r="X1893" i="21"/>
  <c r="Y1832" i="21"/>
  <c r="X1832" i="21"/>
  <c r="Z1832" i="21"/>
  <c r="Z1996" i="21"/>
  <c r="Y1996" i="21"/>
  <c r="X1996" i="21"/>
  <c r="Z1702" i="21"/>
  <c r="X1702" i="21"/>
  <c r="Y1831" i="21"/>
  <c r="X1831" i="21"/>
  <c r="Z1831" i="21"/>
  <c r="X1821" i="21"/>
  <c r="Y1821" i="21"/>
  <c r="Z1821" i="21"/>
  <c r="W1657" i="21"/>
  <c r="X1763" i="21"/>
  <c r="X1717" i="21"/>
  <c r="Z1717" i="21"/>
  <c r="Y1717" i="21"/>
  <c r="X1674" i="21"/>
  <c r="Z1935" i="21"/>
  <c r="X1935" i="21"/>
  <c r="Y1935" i="21"/>
  <c r="Z1810" i="21"/>
  <c r="Y1810" i="21"/>
  <c r="X1810" i="21"/>
  <c r="Z1923" i="21"/>
  <c r="Y1923" i="21"/>
  <c r="X1923" i="21"/>
  <c r="X1755" i="21"/>
  <c r="Z1779" i="21"/>
  <c r="Y1779" i="21"/>
  <c r="Z1614" i="21"/>
  <c r="Y1614" i="21"/>
  <c r="X1614" i="21"/>
  <c r="Z1795" i="21"/>
  <c r="Y1795" i="21"/>
  <c r="W1752" i="21"/>
  <c r="Y1624" i="21"/>
  <c r="Z1624" i="21"/>
  <c r="Z1559" i="21"/>
  <c r="Y1559" i="21"/>
  <c r="Z1662" i="21"/>
  <c r="Y1662" i="21"/>
  <c r="Y1584" i="21"/>
  <c r="Z1584" i="21"/>
  <c r="Z1645" i="21"/>
  <c r="Y1645" i="21"/>
  <c r="X1505" i="21"/>
  <c r="Y1592" i="21"/>
  <c r="Z1592" i="21"/>
  <c r="Z1469" i="21"/>
  <c r="Y1469" i="21"/>
  <c r="X1554" i="21"/>
  <c r="Y1548" i="21"/>
  <c r="Z1548" i="21"/>
  <c r="X1548" i="21"/>
  <c r="Y1516" i="21"/>
  <c r="Z1516" i="21"/>
  <c r="Z1587" i="21"/>
  <c r="Y1587" i="21"/>
  <c r="Y1502" i="21"/>
  <c r="X1502" i="21"/>
  <c r="Z1502" i="21"/>
  <c r="X1319" i="21"/>
  <c r="Z1319" i="21"/>
  <c r="Y1319" i="21"/>
  <c r="Z1338" i="21"/>
  <c r="Y1338" i="21"/>
  <c r="X1338" i="21"/>
  <c r="Z1306" i="21"/>
  <c r="Y1306" i="21"/>
  <c r="X1306" i="21"/>
  <c r="Z1430" i="21"/>
  <c r="Y1430" i="21"/>
  <c r="X1430" i="21"/>
  <c r="X1315" i="21"/>
  <c r="Z1315" i="21"/>
  <c r="Y1315" i="21"/>
  <c r="Z1462" i="21"/>
  <c r="Y1462" i="21"/>
  <c r="X1462" i="21"/>
  <c r="Z1472" i="21"/>
  <c r="Y1472" i="21"/>
  <c r="Z1378" i="21"/>
  <c r="Y1378" i="21"/>
  <c r="Z1241" i="21"/>
  <c r="Y1241" i="21"/>
  <c r="X1241" i="21"/>
  <c r="Z1107" i="21"/>
  <c r="Y1107" i="21"/>
  <c r="Z1262" i="21"/>
  <c r="Y1262" i="21"/>
  <c r="Z1198" i="21"/>
  <c r="Y1198" i="21"/>
  <c r="X1262" i="21"/>
  <c r="Z1249" i="21"/>
  <c r="Y1249" i="21"/>
  <c r="X1249" i="21"/>
  <c r="Z1120" i="21"/>
  <c r="Y1120" i="21"/>
  <c r="Z1225" i="21"/>
  <c r="Y1225" i="21"/>
  <c r="X1225" i="21"/>
  <c r="Y975" i="21"/>
  <c r="Z975" i="21"/>
  <c r="X1015" i="21"/>
  <c r="Z1171" i="21"/>
  <c r="Y1171" i="21"/>
  <c r="X1171" i="21"/>
  <c r="Y1047" i="21"/>
  <c r="Z1047" i="21"/>
  <c r="X923" i="21"/>
  <c r="Z915" i="21"/>
  <c r="Y915" i="21"/>
  <c r="X727" i="21"/>
  <c r="U709" i="21"/>
  <c r="X709" i="21" s="1"/>
  <c r="X647" i="21"/>
  <c r="Z647" i="21"/>
  <c r="Y647" i="21"/>
  <c r="Y769" i="21"/>
  <c r="Z769" i="21"/>
  <c r="Z744" i="21"/>
  <c r="Y744" i="21"/>
  <c r="Z875" i="21"/>
  <c r="Y875" i="21"/>
  <c r="Z826" i="21"/>
  <c r="Y826" i="21"/>
  <c r="Z677" i="21"/>
  <c r="Y677" i="21"/>
  <c r="X677" i="21"/>
  <c r="X753" i="21"/>
  <c r="X786" i="21"/>
  <c r="Z786" i="21"/>
  <c r="Y786" i="21"/>
  <c r="Z1096" i="21"/>
  <c r="Y1096" i="21"/>
  <c r="U667" i="21"/>
  <c r="X603" i="21"/>
  <c r="W385" i="21"/>
  <c r="W387" i="21"/>
  <c r="W384" i="21"/>
  <c r="Y383" i="21"/>
  <c r="W388" i="21"/>
  <c r="Z383" i="21"/>
  <c r="W386" i="21"/>
  <c r="W616" i="21"/>
  <c r="W614" i="21"/>
  <c r="Z613" i="21"/>
  <c r="W615" i="21"/>
  <c r="Y613" i="21"/>
  <c r="W337" i="21"/>
  <c r="W339" i="21"/>
  <c r="W336" i="21"/>
  <c r="Y335" i="21"/>
  <c r="W340" i="21"/>
  <c r="W338" i="21"/>
  <c r="Z335" i="21"/>
  <c r="X335" i="21"/>
  <c r="U322" i="21"/>
  <c r="Z669" i="21"/>
  <c r="Y669" i="21"/>
  <c r="X669" i="21"/>
  <c r="Z327" i="21"/>
  <c r="Y327" i="21"/>
  <c r="X327" i="21"/>
  <c r="U230" i="21"/>
  <c r="Z262" i="21"/>
  <c r="Y262" i="21"/>
  <c r="X262" i="21"/>
  <c r="Z473" i="21"/>
  <c r="Y350" i="21"/>
  <c r="X350" i="21"/>
  <c r="Z350" i="21"/>
  <c r="W274" i="21"/>
  <c r="W272" i="21"/>
  <c r="W271" i="21"/>
  <c r="Y270" i="21"/>
  <c r="W273" i="21"/>
  <c r="Z270" i="21"/>
  <c r="X270" i="21"/>
  <c r="X181" i="21"/>
  <c r="Z181" i="21"/>
  <c r="Y181" i="21"/>
  <c r="Z414" i="21"/>
  <c r="Y414" i="21"/>
  <c r="X414" i="21"/>
  <c r="U334" i="21"/>
  <c r="Y367" i="21"/>
  <c r="X367" i="21"/>
  <c r="Z367" i="21"/>
  <c r="Z177" i="21"/>
  <c r="Y177" i="21"/>
  <c r="X177" i="21"/>
  <c r="X613" i="21"/>
  <c r="W554" i="21"/>
  <c r="W553" i="21"/>
  <c r="Z552" i="21"/>
  <c r="W555" i="21"/>
  <c r="Y552" i="21"/>
  <c r="Z435" i="21"/>
  <c r="X435" i="21"/>
  <c r="Y435" i="21"/>
  <c r="U346" i="21"/>
  <c r="X157" i="21"/>
  <c r="Y157" i="21"/>
  <c r="Z157" i="21"/>
  <c r="Y149" i="21"/>
  <c r="Z149" i="21"/>
  <c r="X149" i="21"/>
  <c r="Y454" i="21"/>
  <c r="Z454" i="21"/>
  <c r="X454" i="21"/>
  <c r="Z197" i="21"/>
  <c r="Y197" i="21"/>
  <c r="X197" i="21"/>
  <c r="Z2589" i="21"/>
  <c r="Y2589" i="21"/>
  <c r="X2589" i="21"/>
  <c r="W2676" i="21"/>
  <c r="Z2656" i="21"/>
  <c r="Y2656" i="21"/>
  <c r="X2656" i="21"/>
  <c r="Z2640" i="21"/>
  <c r="Y2640" i="21"/>
  <c r="Y2583" i="21"/>
  <c r="X2583" i="21"/>
  <c r="Z2583" i="21"/>
  <c r="X2561" i="21"/>
  <c r="Z2561" i="21"/>
  <c r="Y2561" i="21"/>
  <c r="Y2572" i="21"/>
  <c r="X2572" i="21"/>
  <c r="Z2572" i="21"/>
  <c r="Z2500" i="21"/>
  <c r="Y2500" i="21"/>
  <c r="X2500" i="21"/>
  <c r="Z2593" i="21"/>
  <c r="Y2593" i="21"/>
  <c r="X2593" i="21"/>
  <c r="Z2543" i="21"/>
  <c r="Y2543" i="21"/>
  <c r="X2543" i="21"/>
  <c r="Y2416" i="21"/>
  <c r="X2416" i="21"/>
  <c r="Z2416" i="21"/>
  <c r="Y2520" i="21"/>
  <c r="Z2520" i="21"/>
  <c r="X2520" i="21"/>
  <c r="Z2485" i="21"/>
  <c r="Y2485" i="21"/>
  <c r="X2485" i="21"/>
  <c r="W2630" i="21"/>
  <c r="Z2505" i="21"/>
  <c r="Y2505" i="21"/>
  <c r="X2505" i="21"/>
  <c r="Z2477" i="21"/>
  <c r="Y2477" i="21"/>
  <c r="X2477" i="21"/>
  <c r="Y2321" i="21"/>
  <c r="X2321" i="21"/>
  <c r="Z2321" i="21"/>
  <c r="Z2323" i="21"/>
  <c r="Y2323" i="21"/>
  <c r="X2323" i="21"/>
  <c r="Z2296" i="21"/>
  <c r="Y2296" i="21"/>
  <c r="X2296" i="21"/>
  <c r="Z2399" i="21"/>
  <c r="X2314" i="21"/>
  <c r="Z2314" i="21"/>
  <c r="Y2314" i="21"/>
  <c r="Z2351" i="21"/>
  <c r="Y2351" i="21"/>
  <c r="X2351" i="21"/>
  <c r="Z2304" i="21"/>
  <c r="Y2304" i="21"/>
  <c r="X2304" i="21"/>
  <c r="Y2275" i="21"/>
  <c r="Z2275" i="21"/>
  <c r="X2275" i="21"/>
  <c r="Z2386" i="21"/>
  <c r="Y2386" i="21"/>
  <c r="X2386" i="21"/>
  <c r="X2205" i="21"/>
  <c r="Z2205" i="21"/>
  <c r="Y2205" i="21"/>
  <c r="Y2379" i="21"/>
  <c r="Z2379" i="21"/>
  <c r="X2379" i="21"/>
  <c r="Z2230" i="21"/>
  <c r="Y2230" i="21"/>
  <c r="X2230" i="21"/>
  <c r="X2266" i="21"/>
  <c r="Z2266" i="21"/>
  <c r="Y2266" i="21"/>
  <c r="Z2254" i="21"/>
  <c r="Y2254" i="21"/>
  <c r="X2254" i="21"/>
  <c r="Z2141" i="21"/>
  <c r="X2141" i="21"/>
  <c r="Y2141" i="21"/>
  <c r="Z2144" i="21"/>
  <c r="Y2144" i="21"/>
  <c r="X2144" i="21"/>
  <c r="X2087" i="21"/>
  <c r="Z2087" i="21"/>
  <c r="Y2087" i="21"/>
  <c r="Y2149" i="21"/>
  <c r="Z2149" i="21"/>
  <c r="X2149" i="21"/>
  <c r="Z2137" i="21"/>
  <c r="X2137" i="21"/>
  <c r="Y2137" i="21"/>
  <c r="X2142" i="21"/>
  <c r="Z2142" i="21"/>
  <c r="Y2142" i="21"/>
  <c r="Y2211" i="21"/>
  <c r="Z2211" i="21"/>
  <c r="X2211" i="21"/>
  <c r="Z2201" i="21"/>
  <c r="Y2201" i="21"/>
  <c r="X2201" i="21"/>
  <c r="Z2114" i="21"/>
  <c r="X2114" i="21"/>
  <c r="Y2114" i="21"/>
  <c r="Z2003" i="21"/>
  <c r="X2003" i="21"/>
  <c r="Y2003" i="21"/>
  <c r="X2054" i="21"/>
  <c r="Z2054" i="21"/>
  <c r="Y2054" i="21"/>
  <c r="Y2014" i="21"/>
  <c r="X2014" i="21"/>
  <c r="Z2014" i="21"/>
  <c r="Y2030" i="21"/>
  <c r="X1902" i="21"/>
  <c r="Z1902" i="21"/>
  <c r="Y1902" i="21"/>
  <c r="W1958" i="21"/>
  <c r="Y1957" i="21"/>
  <c r="X1957" i="21"/>
  <c r="W1960" i="21"/>
  <c r="W1959" i="21"/>
  <c r="Z1957" i="21"/>
  <c r="Z2007" i="21"/>
  <c r="X1986" i="21"/>
  <c r="Z1986" i="21"/>
  <c r="Y1986" i="21"/>
  <c r="Z1964" i="21"/>
  <c r="Y1964" i="21"/>
  <c r="X1964" i="21"/>
  <c r="Z1894" i="21"/>
  <c r="Y1894" i="21"/>
  <c r="X1894" i="21"/>
  <c r="Z1797" i="21"/>
  <c r="X1797" i="21"/>
  <c r="Y1797" i="21"/>
  <c r="Z1939" i="21"/>
  <c r="X1939" i="21"/>
  <c r="Y1939" i="21"/>
  <c r="Z1807" i="21"/>
  <c r="X1807" i="21"/>
  <c r="Y1807" i="21"/>
  <c r="X1925" i="21"/>
  <c r="X1791" i="21"/>
  <c r="W1835" i="21"/>
  <c r="W1836" i="21"/>
  <c r="W1834" i="21"/>
  <c r="Y1833" i="21"/>
  <c r="X1833" i="21"/>
  <c r="Z1833" i="21"/>
  <c r="X1739" i="21"/>
  <c r="Z1686" i="21"/>
  <c r="Y1686" i="21"/>
  <c r="X1590" i="21"/>
  <c r="Z1590" i="21"/>
  <c r="Y1590" i="21"/>
  <c r="Y1692" i="21"/>
  <c r="Z1692" i="21"/>
  <c r="Z1874" i="21"/>
  <c r="X1874" i="21"/>
  <c r="Y1874" i="21"/>
  <c r="X1815" i="21"/>
  <c r="Y1815" i="21"/>
  <c r="Z1815" i="21"/>
  <c r="X1711" i="21"/>
  <c r="Z1659" i="21"/>
  <c r="Y1659" i="21"/>
  <c r="X1659" i="21"/>
  <c r="Z1563" i="21"/>
  <c r="Y1563" i="21"/>
  <c r="Z1522" i="21"/>
  <c r="Y1522" i="21"/>
  <c r="Z1710" i="21"/>
  <c r="Y1710" i="21"/>
  <c r="X1710" i="21"/>
  <c r="X1581" i="21"/>
  <c r="X1649" i="21"/>
  <c r="Z1386" i="21"/>
  <c r="Y1386" i="21"/>
  <c r="Y1488" i="21"/>
  <c r="Z1488" i="21"/>
  <c r="Z1537" i="21"/>
  <c r="Y1537" i="21"/>
  <c r="Z1394" i="21"/>
  <c r="Y1394" i="21"/>
  <c r="Y1317" i="21"/>
  <c r="Z1317" i="21"/>
  <c r="X1317" i="21"/>
  <c r="Z1471" i="21"/>
  <c r="Y1471" i="21"/>
  <c r="Z1295" i="21"/>
  <c r="Y1295" i="21"/>
  <c r="X1295" i="21"/>
  <c r="X1349" i="21"/>
  <c r="Y1299" i="21"/>
  <c r="X1299" i="21"/>
  <c r="Z1299" i="21"/>
  <c r="Z1405" i="21"/>
  <c r="Y1405" i="21"/>
  <c r="Z1367" i="21"/>
  <c r="Y1367" i="21"/>
  <c r="X1367" i="21"/>
  <c r="Z1303" i="21"/>
  <c r="Y1303" i="21"/>
  <c r="X1303" i="21"/>
  <c r="Z1346" i="21"/>
  <c r="Y1346" i="21"/>
  <c r="Y1141" i="21"/>
  <c r="Z1141" i="21"/>
  <c r="X1141" i="21"/>
  <c r="Y1343" i="21"/>
  <c r="X1343" i="21"/>
  <c r="Z1343" i="21"/>
  <c r="Z1201" i="21"/>
  <c r="Y1201" i="21"/>
  <c r="X1201" i="21"/>
  <c r="X967" i="21"/>
  <c r="Z1081" i="21"/>
  <c r="Y1081" i="21"/>
  <c r="Y1023" i="21"/>
  <c r="Z1023" i="21"/>
  <c r="Y1007" i="21"/>
  <c r="Z1007" i="21"/>
  <c r="Y991" i="21"/>
  <c r="Z991" i="21"/>
  <c r="X991" i="21"/>
  <c r="X1065" i="21"/>
  <c r="Z818" i="21"/>
  <c r="Y818" i="21"/>
  <c r="Z791" i="21"/>
  <c r="Y791" i="21"/>
  <c r="Z717" i="21"/>
  <c r="Y717" i="21"/>
  <c r="Z663" i="21"/>
  <c r="Y663" i="21"/>
  <c r="X663" i="21"/>
  <c r="X818" i="21"/>
  <c r="X705" i="21"/>
  <c r="Z705" i="21"/>
  <c r="Y705" i="21"/>
  <c r="Z750" i="21"/>
  <c r="Y750" i="21"/>
  <c r="Z736" i="21"/>
  <c r="Y736" i="21"/>
  <c r="Z665" i="21"/>
  <c r="Y665" i="21"/>
  <c r="X665" i="21"/>
  <c r="X939" i="21"/>
  <c r="X907" i="21"/>
  <c r="X875" i="21"/>
  <c r="Z843" i="21"/>
  <c r="Y843" i="21"/>
  <c r="W807" i="21"/>
  <c r="Z648" i="21"/>
  <c r="Y648" i="21"/>
  <c r="X648" i="21"/>
  <c r="Z543" i="21"/>
  <c r="Y543" i="21"/>
  <c r="X543" i="21"/>
  <c r="Z671" i="21"/>
  <c r="Y671" i="21"/>
  <c r="X671" i="21"/>
  <c r="Z535" i="21"/>
  <c r="Y535" i="21"/>
  <c r="X535" i="21"/>
  <c r="Y305" i="21"/>
  <c r="W308" i="21"/>
  <c r="W310" i="21"/>
  <c r="W309" i="21"/>
  <c r="W307" i="21"/>
  <c r="W306" i="21"/>
  <c r="Z305" i="21"/>
  <c r="X305" i="21"/>
  <c r="Y594" i="21"/>
  <c r="X594" i="21"/>
  <c r="Z594" i="21"/>
  <c r="Y410" i="21"/>
  <c r="X410" i="21"/>
  <c r="Z410" i="21"/>
  <c r="Z672" i="21"/>
  <c r="Y672" i="21"/>
  <c r="X672" i="21"/>
  <c r="Z325" i="21"/>
  <c r="Y325" i="21"/>
  <c r="X325" i="21"/>
  <c r="Z162" i="21"/>
  <c r="Y162" i="21"/>
  <c r="X162" i="21"/>
  <c r="Y426" i="21"/>
  <c r="Z426" i="21"/>
  <c r="X426" i="21"/>
  <c r="X409" i="21"/>
  <c r="Z409" i="21"/>
  <c r="Y409" i="21"/>
  <c r="U274" i="21"/>
  <c r="V528" i="21"/>
  <c r="Z529" i="21"/>
  <c r="Y529" i="21"/>
  <c r="Z180" i="21"/>
  <c r="X180" i="21"/>
  <c r="Y180" i="21"/>
  <c r="Z599" i="21"/>
  <c r="Y599" i="21"/>
  <c r="X617" i="21"/>
  <c r="X329" i="21"/>
  <c r="W334" i="21"/>
  <c r="Z329" i="21"/>
  <c r="Y329" i="21"/>
  <c r="W333" i="21"/>
  <c r="W332" i="21"/>
  <c r="W331" i="21"/>
  <c r="W330" i="21"/>
  <c r="X178" i="21"/>
  <c r="Z178" i="21"/>
  <c r="Y178" i="21"/>
  <c r="X717" i="21"/>
  <c r="Y368" i="21"/>
  <c r="Z368" i="21"/>
  <c r="X368" i="21"/>
  <c r="X176" i="21"/>
  <c r="Z176" i="21"/>
  <c r="Y176" i="21"/>
  <c r="Z42" i="21"/>
  <c r="Y42" i="21"/>
  <c r="X42" i="21"/>
  <c r="W557" i="21"/>
  <c r="Z166" i="21"/>
  <c r="Y166" i="21"/>
  <c r="X166" i="21"/>
  <c r="X341" i="21"/>
  <c r="W346" i="21"/>
  <c r="Z341" i="21"/>
  <c r="Y341" i="21"/>
  <c r="W345" i="21"/>
  <c r="W344" i="21"/>
  <c r="W343" i="21"/>
  <c r="W342" i="21"/>
  <c r="Z782" i="21"/>
  <c r="Y782" i="21"/>
  <c r="X782" i="21"/>
  <c r="Z455" i="21"/>
  <c r="X455" i="21"/>
  <c r="Y455" i="21"/>
  <c r="Z194" i="21"/>
  <c r="Y194" i="21"/>
  <c r="X194" i="21"/>
  <c r="Y355" i="21"/>
  <c r="Z355" i="21"/>
  <c r="X355" i="21"/>
  <c r="Z198" i="21"/>
  <c r="X198" i="21"/>
  <c r="Y198" i="21"/>
  <c r="Z172" i="21"/>
  <c r="Y172" i="21"/>
  <c r="X172" i="21"/>
  <c r="Y268" i="21"/>
  <c r="F7" i="7"/>
  <c r="X2154" i="21" l="1"/>
  <c r="X2431" i="21"/>
  <c r="X1859" i="21"/>
  <c r="Z1859" i="21"/>
  <c r="Z2088" i="21"/>
  <c r="Y2088" i="21"/>
  <c r="X2088" i="21"/>
  <c r="X1992" i="21"/>
  <c r="Z1992" i="21"/>
  <c r="Y1992" i="21"/>
  <c r="Y1903" i="21"/>
  <c r="X1903" i="21"/>
  <c r="Z2322" i="21"/>
  <c r="Y2322" i="21"/>
  <c r="X2322" i="21"/>
  <c r="Y2513" i="21"/>
  <c r="Z2513" i="21"/>
  <c r="X2145" i="21"/>
  <c r="Y2145" i="21"/>
  <c r="Z2145" i="21"/>
  <c r="Z2417" i="21"/>
  <c r="X2417" i="21"/>
  <c r="X2229" i="24"/>
  <c r="Z2229" i="24"/>
  <c r="Y2229" i="24"/>
  <c r="Y2376" i="24"/>
  <c r="X2376" i="24"/>
  <c r="Z2376" i="24"/>
  <c r="Y2442" i="24"/>
  <c r="Z2442" i="24"/>
  <c r="X2442" i="24"/>
  <c r="X2295" i="21"/>
  <c r="Y2295" i="21"/>
  <c r="Z2295" i="21"/>
  <c r="Y2233" i="24"/>
  <c r="X2233" i="24"/>
  <c r="Z2233" i="24"/>
  <c r="Y548" i="21"/>
  <c r="Y259" i="21"/>
  <c r="X2502" i="24"/>
  <c r="Y2457" i="22"/>
  <c r="X707" i="21"/>
  <c r="Y707" i="21"/>
  <c r="Y2187" i="21"/>
  <c r="X699" i="24"/>
  <c r="Y2502" i="24"/>
  <c r="Z2457" i="22"/>
  <c r="Y699" i="24"/>
  <c r="Y2542" i="23"/>
  <c r="Z2542" i="23"/>
  <c r="Z2121" i="21"/>
  <c r="Z1974" i="24"/>
  <c r="Y1974" i="24"/>
  <c r="X1974" i="24"/>
  <c r="Z415" i="21"/>
  <c r="Y415" i="21"/>
  <c r="X415" i="21"/>
  <c r="Y1894" i="23"/>
  <c r="Z1894" i="23"/>
  <c r="X1894" i="23"/>
  <c r="X2304" i="24"/>
  <c r="Z2304" i="24"/>
  <c r="Y2304" i="24"/>
  <c r="Y2129" i="22"/>
  <c r="X2129" i="22"/>
  <c r="Z2129" i="22"/>
  <c r="Z1956" i="21"/>
  <c r="Y382" i="22"/>
  <c r="X2099" i="21"/>
  <c r="Z2346" i="21"/>
  <c r="Y1875" i="23"/>
  <c r="Z1875" i="23"/>
  <c r="X1875" i="23"/>
  <c r="X2412" i="22"/>
  <c r="Z2412" i="22"/>
  <c r="Y2412" i="22"/>
  <c r="Z361" i="24"/>
  <c r="Y361" i="24"/>
  <c r="X361" i="24"/>
  <c r="X1844" i="22"/>
  <c r="Z1844" i="22"/>
  <c r="Y1844" i="22"/>
  <c r="Y424" i="21"/>
  <c r="Z2559" i="21"/>
  <c r="Z2272" i="24"/>
  <c r="Y2272" i="24"/>
  <c r="X2272" i="24"/>
  <c r="Y2483" i="22"/>
  <c r="X1862" i="23"/>
  <c r="Z1862" i="23"/>
  <c r="Y1862" i="23"/>
  <c r="Z2022" i="23"/>
  <c r="Y2022" i="23"/>
  <c r="X2022" i="23"/>
  <c r="X378" i="21"/>
  <c r="X2188" i="21"/>
  <c r="Y2598" i="24"/>
  <c r="X2598" i="24"/>
  <c r="Z2598" i="24"/>
  <c r="Z2187" i="21"/>
  <c r="Y378" i="21"/>
  <c r="Y429" i="21"/>
  <c r="Z1861" i="23"/>
  <c r="Y1861" i="23"/>
  <c r="X1861" i="23"/>
  <c r="X429" i="21"/>
  <c r="Z1907" i="23"/>
  <c r="Y1907" i="23"/>
  <c r="X1907" i="23"/>
  <c r="Y1822" i="24"/>
  <c r="X1822" i="24"/>
  <c r="Z1822" i="24"/>
  <c r="X2286" i="21"/>
  <c r="Y2286" i="21"/>
  <c r="Y2099" i="21"/>
  <c r="X1968" i="21"/>
  <c r="X548" i="21"/>
  <c r="X2333" i="21"/>
  <c r="X2002" i="21"/>
  <c r="Z1852" i="24"/>
  <c r="Y1852" i="24"/>
  <c r="X1852" i="24"/>
  <c r="Y2553" i="21"/>
  <c r="X2553" i="21"/>
  <c r="Z2553" i="21"/>
  <c r="Y2321" i="23"/>
  <c r="X2321" i="23"/>
  <c r="Z2321" i="23"/>
  <c r="X2320" i="24"/>
  <c r="Z2483" i="22"/>
  <c r="Z595" i="22"/>
  <c r="X595" i="22"/>
  <c r="Y595" i="22"/>
  <c r="X1878" i="23"/>
  <c r="Z1878" i="23"/>
  <c r="Y1878" i="23"/>
  <c r="X1718" i="23"/>
  <c r="X2094" i="23"/>
  <c r="Z2320" i="24"/>
  <c r="X264" i="24"/>
  <c r="Y2458" i="22"/>
  <c r="X2458" i="22"/>
  <c r="Z2458" i="22"/>
  <c r="Z1978" i="22"/>
  <c r="Y1978" i="22"/>
  <c r="X1978" i="22"/>
  <c r="Y2523" i="21"/>
  <c r="Z1971" i="21"/>
  <c r="Y2371" i="21"/>
  <c r="Z2248" i="21"/>
  <c r="Y1718" i="23"/>
  <c r="Y2094" i="23"/>
  <c r="Y264" i="24"/>
  <c r="Z596" i="22"/>
  <c r="Y596" i="22"/>
  <c r="X596" i="22"/>
  <c r="Z2605" i="21"/>
  <c r="X2605" i="21"/>
  <c r="Y2605" i="21"/>
  <c r="Z475" i="21"/>
  <c r="X1971" i="21"/>
  <c r="X543" i="23"/>
  <c r="Z2461" i="22"/>
  <c r="X2461" i="22"/>
  <c r="Y2461" i="22"/>
  <c r="Z313" i="21"/>
  <c r="Y475" i="21"/>
  <c r="X2459" i="22"/>
  <c r="Z2459" i="22"/>
  <c r="Y2459" i="22"/>
  <c r="X313" i="21"/>
  <c r="X319" i="21"/>
  <c r="X2346" i="21"/>
  <c r="Z2590" i="21"/>
  <c r="Z2176" i="24"/>
  <c r="Y2176" i="24"/>
  <c r="X2176" i="24"/>
  <c r="Z2431" i="21"/>
  <c r="Z358" i="24"/>
  <c r="X382" i="22"/>
  <c r="X352" i="23"/>
  <c r="Y481" i="23"/>
  <c r="Z481" i="23"/>
  <c r="X481" i="23"/>
  <c r="Y2452" i="21"/>
  <c r="Z146" i="21"/>
  <c r="Y146" i="21"/>
  <c r="X146" i="21"/>
  <c r="Y1968" i="21"/>
  <c r="Y1914" i="21"/>
  <c r="Y2487" i="21"/>
  <c r="X2095" i="21"/>
  <c r="Y2338" i="21"/>
  <c r="Y2375" i="21"/>
  <c r="Z379" i="21"/>
  <c r="Z1844" i="21"/>
  <c r="Y2590" i="21"/>
  <c r="Z2287" i="21"/>
  <c r="X442" i="22"/>
  <c r="Z2242" i="22"/>
  <c r="Y2242" i="22"/>
  <c r="X2242" i="22"/>
  <c r="X2352" i="24"/>
  <c r="Z2352" i="24"/>
  <c r="Y2352" i="24"/>
  <c r="Z2311" i="23"/>
  <c r="Y2311" i="23"/>
  <c r="X2311" i="23"/>
  <c r="Z2338" i="21"/>
  <c r="Y1956" i="21"/>
  <c r="Y2518" i="23"/>
  <c r="X2518" i="23"/>
  <c r="Z2518" i="23"/>
  <c r="Z1926" i="22"/>
  <c r="Y1926" i="22"/>
  <c r="X1926" i="22"/>
  <c r="X473" i="21"/>
  <c r="Y155" i="21"/>
  <c r="Y2191" i="21"/>
  <c r="X2501" i="24"/>
  <c r="Z2501" i="24"/>
  <c r="Y2501" i="24"/>
  <c r="Z340" i="23"/>
  <c r="Z2483" i="23"/>
  <c r="Y2483" i="23"/>
  <c r="X2483" i="23"/>
  <c r="Y664" i="23"/>
  <c r="X664" i="23"/>
  <c r="Z664" i="23"/>
  <c r="Y2605" i="22"/>
  <c r="X2605" i="22"/>
  <c r="Z2605" i="22"/>
  <c r="X2526" i="21"/>
  <c r="Y1843" i="21"/>
  <c r="Y2526" i="21"/>
  <c r="Y2124" i="21"/>
  <c r="Z2151" i="22"/>
  <c r="Y2151" i="22"/>
  <c r="X2151" i="22"/>
  <c r="X2124" i="21"/>
  <c r="Z2603" i="21"/>
  <c r="X436" i="24"/>
  <c r="X358" i="24"/>
  <c r="Y2535" i="24"/>
  <c r="X2535" i="24"/>
  <c r="Z2535" i="24"/>
  <c r="Z325" i="22"/>
  <c r="Y325" i="22"/>
  <c r="X325" i="22"/>
  <c r="Z2568" i="23"/>
  <c r="Y2568" i="23"/>
  <c r="X2568" i="23"/>
  <c r="X2171" i="22"/>
  <c r="Z2171" i="22"/>
  <c r="Y2171" i="22"/>
  <c r="X2597" i="24"/>
  <c r="Z2597" i="24"/>
  <c r="Y2597" i="24"/>
  <c r="X1942" i="22"/>
  <c r="Z1942" i="22"/>
  <c r="Y1942" i="22"/>
  <c r="X2080" i="21"/>
  <c r="Y2116" i="21"/>
  <c r="X667" i="22"/>
  <c r="X412" i="24"/>
  <c r="X388" i="24"/>
  <c r="X661" i="23"/>
  <c r="Y2413" i="24"/>
  <c r="X2413" i="24"/>
  <c r="Z2413" i="24"/>
  <c r="Z2589" i="22"/>
  <c r="Y2589" i="22"/>
  <c r="X2589" i="22"/>
  <c r="X2387" i="24"/>
  <c r="Z2387" i="24"/>
  <c r="Y2387" i="24"/>
  <c r="Y2404" i="24"/>
  <c r="X2404" i="24"/>
  <c r="Z2404" i="24"/>
  <c r="Y2575" i="24"/>
  <c r="Z2575" i="24"/>
  <c r="X2575" i="24"/>
  <c r="Z2116" i="21"/>
  <c r="X232" i="22"/>
  <c r="X340" i="23"/>
  <c r="X372" i="24"/>
  <c r="Z372" i="24"/>
  <c r="Y372" i="24"/>
  <c r="Y2593" i="22"/>
  <c r="X2593" i="22"/>
  <c r="Z2593" i="22"/>
  <c r="X2585" i="24"/>
  <c r="Z2585" i="24"/>
  <c r="Y2585" i="24"/>
  <c r="Z2375" i="22"/>
  <c r="Y2375" i="22"/>
  <c r="X2375" i="22"/>
  <c r="X620" i="24"/>
  <c r="Z620" i="24"/>
  <c r="Y620" i="24"/>
  <c r="X655" i="22"/>
  <c r="Z697" i="24"/>
  <c r="X418" i="23"/>
  <c r="Z2050" i="22"/>
  <c r="Y2050" i="22"/>
  <c r="X2050" i="22"/>
  <c r="Z2557" i="23"/>
  <c r="Y2557" i="23"/>
  <c r="X2557" i="23"/>
  <c r="X232" i="24"/>
  <c r="Y664" i="22"/>
  <c r="Z664" i="22"/>
  <c r="X664" i="22"/>
  <c r="Z2555" i="23"/>
  <c r="Y2555" i="23"/>
  <c r="X2555" i="23"/>
  <c r="Z155" i="21"/>
  <c r="Y2297" i="23"/>
  <c r="X2297" i="23"/>
  <c r="Z2297" i="23"/>
  <c r="Z2052" i="22"/>
  <c r="Y2052" i="22"/>
  <c r="X2052" i="22"/>
  <c r="Z2579" i="24"/>
  <c r="X2579" i="24"/>
  <c r="Y2579" i="24"/>
  <c r="Y655" i="22"/>
  <c r="X316" i="22"/>
  <c r="Z2127" i="24"/>
  <c r="Y2127" i="24"/>
  <c r="X2127" i="24"/>
  <c r="X1974" i="22"/>
  <c r="Z1974" i="22"/>
  <c r="Y1974" i="22"/>
  <c r="Z1804" i="23"/>
  <c r="Y1804" i="23"/>
  <c r="X1804" i="23"/>
  <c r="X2556" i="24"/>
  <c r="Y2556" i="24"/>
  <c r="Z2556" i="24"/>
  <c r="Z310" i="22"/>
  <c r="X2609" i="24"/>
  <c r="Z2609" i="24"/>
  <c r="Y2609" i="24"/>
  <c r="Z315" i="24"/>
  <c r="Y315" i="24"/>
  <c r="X315" i="24"/>
  <c r="Z2586" i="24"/>
  <c r="Y2586" i="24"/>
  <c r="X2586" i="24"/>
  <c r="X2581" i="24"/>
  <c r="Z2581" i="24"/>
  <c r="Y2581" i="24"/>
  <c r="Y2555" i="24"/>
  <c r="Z2555" i="24"/>
  <c r="X2555" i="24"/>
  <c r="Y2573" i="24"/>
  <c r="X2573" i="24"/>
  <c r="Z2573" i="24"/>
  <c r="Y316" i="22"/>
  <c r="X322" i="22"/>
  <c r="Y310" i="22"/>
  <c r="X2268" i="22"/>
  <c r="Z2268" i="22"/>
  <c r="Y2268" i="22"/>
  <c r="X2411" i="24"/>
  <c r="Z2411" i="24"/>
  <c r="Y2411" i="24"/>
  <c r="Y2019" i="24"/>
  <c r="Z2019" i="24"/>
  <c r="X2019" i="24"/>
  <c r="X2385" i="24"/>
  <c r="Y2385" i="24"/>
  <c r="Z2385" i="24"/>
  <c r="X2587" i="24"/>
  <c r="Y2587" i="24"/>
  <c r="Z2587" i="24"/>
  <c r="Y375" i="23"/>
  <c r="X375" i="23"/>
  <c r="Z375" i="23"/>
  <c r="Z345" i="23"/>
  <c r="Y345" i="23"/>
  <c r="X345" i="23"/>
  <c r="Z634" i="23"/>
  <c r="Y634" i="23"/>
  <c r="Q2715" i="23"/>
  <c r="W1690" i="23"/>
  <c r="Y2227" i="23"/>
  <c r="X2227" i="23"/>
  <c r="Z2227" i="23"/>
  <c r="Y2305" i="23"/>
  <c r="X2305" i="23"/>
  <c r="Z2305" i="23"/>
  <c r="Z2577" i="23"/>
  <c r="Y2577" i="23"/>
  <c r="X2577" i="23"/>
  <c r="Z2603" i="23"/>
  <c r="Y2603" i="23"/>
  <c r="X2603" i="23"/>
  <c r="Z1717" i="24"/>
  <c r="X1717" i="24"/>
  <c r="Y1717" i="24"/>
  <c r="Z1725" i="24"/>
  <c r="Y1725" i="24"/>
  <c r="X1725" i="24"/>
  <c r="X2214" i="24"/>
  <c r="Z2214" i="24"/>
  <c r="Y2214" i="24"/>
  <c r="Z2473" i="24"/>
  <c r="X2473" i="24"/>
  <c r="Y2473" i="24"/>
  <c r="Z309" i="23"/>
  <c r="Y309" i="23"/>
  <c r="X309" i="23"/>
  <c r="Z1934" i="23"/>
  <c r="Y1934" i="23"/>
  <c r="X1934" i="23"/>
  <c r="Z2177" i="23"/>
  <c r="Y2177" i="23"/>
  <c r="X2177" i="23"/>
  <c r="Z1883" i="23"/>
  <c r="Y1883" i="23"/>
  <c r="X1883" i="23"/>
  <c r="Z2169" i="23"/>
  <c r="Y2169" i="23"/>
  <c r="X2169" i="23"/>
  <c r="Z1995" i="23"/>
  <c r="Y1995" i="23"/>
  <c r="X1995" i="23"/>
  <c r="Z2561" i="23"/>
  <c r="Y2561" i="23"/>
  <c r="X2561" i="23"/>
  <c r="Y2676" i="23"/>
  <c r="X2676" i="23"/>
  <c r="Z2676" i="23"/>
  <c r="Z671" i="24"/>
  <c r="Y671" i="24"/>
  <c r="X671" i="24"/>
  <c r="Z1813" i="24"/>
  <c r="Y1813" i="24"/>
  <c r="X1813" i="24"/>
  <c r="Z1982" i="24"/>
  <c r="Y1982" i="24"/>
  <c r="X1982" i="24"/>
  <c r="Z2011" i="24"/>
  <c r="Y2011" i="24"/>
  <c r="X2011" i="24"/>
  <c r="Z2236" i="24"/>
  <c r="X2236" i="24"/>
  <c r="Y2236" i="24"/>
  <c r="Z2310" i="24"/>
  <c r="Y2310" i="24"/>
  <c r="X2310" i="24"/>
  <c r="Z355" i="23"/>
  <c r="Y355" i="23"/>
  <c r="X355" i="23"/>
  <c r="Z282" i="23"/>
  <c r="Y282" i="23"/>
  <c r="X282" i="23"/>
  <c r="Z1932" i="23"/>
  <c r="Y1932" i="23"/>
  <c r="X1932" i="23"/>
  <c r="Z1994" i="23"/>
  <c r="Y1994" i="23"/>
  <c r="X1994" i="23"/>
  <c r="Z2121" i="23"/>
  <c r="Y2121" i="23"/>
  <c r="X2121" i="23"/>
  <c r="Z2505" i="23"/>
  <c r="Y2505" i="23"/>
  <c r="X2505" i="23"/>
  <c r="Z2491" i="23"/>
  <c r="X2491" i="23"/>
  <c r="Y2491" i="23"/>
  <c r="Z2583" i="23"/>
  <c r="Y2583" i="23"/>
  <c r="X2583" i="23"/>
  <c r="Z2609" i="23"/>
  <c r="Y2609" i="23"/>
  <c r="X2609" i="23"/>
  <c r="Y285" i="24"/>
  <c r="Z285" i="24"/>
  <c r="X285" i="24"/>
  <c r="Z339" i="24"/>
  <c r="Y339" i="24"/>
  <c r="X339" i="24"/>
  <c r="Z648" i="24"/>
  <c r="Y648" i="24"/>
  <c r="X648" i="24"/>
  <c r="X1991" i="24"/>
  <c r="Z1991" i="24"/>
  <c r="Y1991" i="24"/>
  <c r="Z2296" i="24"/>
  <c r="Y2296" i="24"/>
  <c r="X2296" i="24"/>
  <c r="X2263" i="24"/>
  <c r="Z2263" i="24"/>
  <c r="Y2263" i="24"/>
  <c r="Z2313" i="24"/>
  <c r="Y2313" i="24"/>
  <c r="X2313" i="24"/>
  <c r="Z68" i="23"/>
  <c r="Y68" i="23"/>
  <c r="X68" i="23"/>
  <c r="Y409" i="23"/>
  <c r="Z409" i="23"/>
  <c r="X409" i="23"/>
  <c r="Z670" i="23"/>
  <c r="Y670" i="23"/>
  <c r="X670" i="23"/>
  <c r="Z2245" i="23"/>
  <c r="X2245" i="23"/>
  <c r="Y2245" i="23"/>
  <c r="Z2195" i="23"/>
  <c r="Y2195" i="23"/>
  <c r="X2195" i="23"/>
  <c r="Z2249" i="23"/>
  <c r="X2249" i="23"/>
  <c r="Y2249" i="23"/>
  <c r="X2070" i="23"/>
  <c r="Z2070" i="23"/>
  <c r="Y2070" i="23"/>
  <c r="X2512" i="23"/>
  <c r="Z2512" i="23"/>
  <c r="Y2512" i="23"/>
  <c r="Z405" i="24"/>
  <c r="Y405" i="24"/>
  <c r="X405" i="24"/>
  <c r="Z441" i="24"/>
  <c r="Y441" i="24"/>
  <c r="X441" i="24"/>
  <c r="Z378" i="24"/>
  <c r="Y378" i="24"/>
  <c r="X378" i="24"/>
  <c r="Z684" i="24"/>
  <c r="Y684" i="24"/>
  <c r="X684" i="24"/>
  <c r="Y1879" i="24"/>
  <c r="X1879" i="24"/>
  <c r="Z1879" i="24"/>
  <c r="X1954" i="24"/>
  <c r="Z1954" i="24"/>
  <c r="Y1954" i="24"/>
  <c r="Y2064" i="24"/>
  <c r="Z2064" i="24"/>
  <c r="X2064" i="24"/>
  <c r="Z2094" i="24"/>
  <c r="X2094" i="24"/>
  <c r="Y2094" i="24"/>
  <c r="Z2530" i="24"/>
  <c r="X2530" i="24"/>
  <c r="Y2530" i="24"/>
  <c r="X456" i="23"/>
  <c r="Z456" i="23"/>
  <c r="Y456" i="23"/>
  <c r="Z697" i="23"/>
  <c r="Y697" i="23"/>
  <c r="X697" i="23"/>
  <c r="Z2248" i="23"/>
  <c r="X2248" i="23"/>
  <c r="Y2248" i="23"/>
  <c r="Z2369" i="23"/>
  <c r="Y2369" i="23"/>
  <c r="X2369" i="23"/>
  <c r="Z2591" i="23"/>
  <c r="Y2591" i="23"/>
  <c r="X2591" i="23"/>
  <c r="Z2617" i="23"/>
  <c r="Y2617" i="23"/>
  <c r="X2617" i="23"/>
  <c r="Z181" i="24"/>
  <c r="Y181" i="24"/>
  <c r="X181" i="24"/>
  <c r="Y306" i="24"/>
  <c r="X306" i="24"/>
  <c r="Z306" i="24"/>
  <c r="Y474" i="24"/>
  <c r="X474" i="24"/>
  <c r="Z474" i="24"/>
  <c r="Q2716" i="24"/>
  <c r="W1785" i="24"/>
  <c r="Y1984" i="24"/>
  <c r="Z1984" i="24"/>
  <c r="X1984" i="24"/>
  <c r="Y2016" i="24"/>
  <c r="X2016" i="24"/>
  <c r="Z2016" i="24"/>
  <c r="Z2063" i="24"/>
  <c r="Y2063" i="24"/>
  <c r="X2063" i="24"/>
  <c r="Z2131" i="24"/>
  <c r="Y2131" i="24"/>
  <c r="X2131" i="24"/>
  <c r="Y2202" i="24"/>
  <c r="X2202" i="24"/>
  <c r="Z2202" i="24"/>
  <c r="Z2149" i="24"/>
  <c r="X2149" i="24"/>
  <c r="Y2149" i="24"/>
  <c r="Y2218" i="24"/>
  <c r="X2218" i="24"/>
  <c r="Z2218" i="24"/>
  <c r="Z330" i="23"/>
  <c r="Y330" i="23"/>
  <c r="X330" i="23"/>
  <c r="Y646" i="23"/>
  <c r="X646" i="23"/>
  <c r="Z646" i="23"/>
  <c r="Z2042" i="23"/>
  <c r="Y2042" i="23"/>
  <c r="X2042" i="23"/>
  <c r="Z2419" i="23"/>
  <c r="X2419" i="23"/>
  <c r="Y2419" i="23"/>
  <c r="Z2627" i="23"/>
  <c r="Y2627" i="23"/>
  <c r="X2627" i="23"/>
  <c r="Z320" i="24"/>
  <c r="Y320" i="24"/>
  <c r="X320" i="24"/>
  <c r="Y706" i="24"/>
  <c r="X706" i="24"/>
  <c r="Z706" i="24"/>
  <c r="Z1809" i="24"/>
  <c r="X1809" i="24"/>
  <c r="Y1809" i="24"/>
  <c r="Z2030" i="24"/>
  <c r="Y2030" i="24"/>
  <c r="X2030" i="24"/>
  <c r="X2560" i="24"/>
  <c r="Z2560" i="24"/>
  <c r="Y2560" i="24"/>
  <c r="Y424" i="23"/>
  <c r="Z424" i="23"/>
  <c r="X424" i="23"/>
  <c r="Z269" i="23"/>
  <c r="Y269" i="23"/>
  <c r="X269" i="23"/>
  <c r="Y367" i="23"/>
  <c r="X367" i="23"/>
  <c r="Z367" i="23"/>
  <c r="Z654" i="23"/>
  <c r="Y654" i="23"/>
  <c r="X654" i="23"/>
  <c r="Z2144" i="23"/>
  <c r="Y2144" i="23"/>
  <c r="X2144" i="23"/>
  <c r="Z2170" i="23"/>
  <c r="Y2170" i="23"/>
  <c r="X2170" i="23"/>
  <c r="Z2000" i="23"/>
  <c r="Y2000" i="23"/>
  <c r="X2000" i="23"/>
  <c r="Y2596" i="23"/>
  <c r="X2596" i="23"/>
  <c r="Z2596" i="23"/>
  <c r="Z388" i="24"/>
  <c r="Z416" i="24"/>
  <c r="Y416" i="24"/>
  <c r="X416" i="24"/>
  <c r="Z423" i="24"/>
  <c r="Y423" i="24"/>
  <c r="X423" i="24"/>
  <c r="Z2120" i="24"/>
  <c r="Y2120" i="24"/>
  <c r="X2120" i="24"/>
  <c r="Z2047" i="24"/>
  <c r="Y2047" i="24"/>
  <c r="X2047" i="24"/>
  <c r="Y440" i="23"/>
  <c r="Z440" i="23"/>
  <c r="X440" i="23"/>
  <c r="Y549" i="23"/>
  <c r="X549" i="23"/>
  <c r="Z549" i="23"/>
  <c r="Z418" i="23"/>
  <c r="Z2254" i="23"/>
  <c r="X2254" i="23"/>
  <c r="Y2254" i="23"/>
  <c r="X259" i="24"/>
  <c r="Z367" i="24"/>
  <c r="Y367" i="24"/>
  <c r="X367" i="24"/>
  <c r="Y787" i="24"/>
  <c r="Z787" i="24"/>
  <c r="X787" i="24"/>
  <c r="X1903" i="24"/>
  <c r="Z1903" i="24"/>
  <c r="Y1903" i="24"/>
  <c r="Y2022" i="24"/>
  <c r="X2022" i="24"/>
  <c r="Z2022" i="24"/>
  <c r="Z2185" i="24"/>
  <c r="X2185" i="24"/>
  <c r="Y2185" i="24"/>
  <c r="Y2283" i="24"/>
  <c r="X2283" i="24"/>
  <c r="Z2283" i="24"/>
  <c r="Z2243" i="24"/>
  <c r="Y2243" i="24"/>
  <c r="X2243" i="24"/>
  <c r="Z2489" i="24"/>
  <c r="Y2489" i="24"/>
  <c r="X2489" i="24"/>
  <c r="Y328" i="24"/>
  <c r="X328" i="24"/>
  <c r="Z328" i="24"/>
  <c r="X663" i="24"/>
  <c r="Z663" i="24"/>
  <c r="Y663" i="24"/>
  <c r="Z1849" i="23"/>
  <c r="Y1849" i="23"/>
  <c r="X1849" i="23"/>
  <c r="Z194" i="24"/>
  <c r="Y194" i="24"/>
  <c r="X194" i="24"/>
  <c r="Z1812" i="23"/>
  <c r="X1812" i="23"/>
  <c r="Y1812" i="23"/>
  <c r="Y643" i="24"/>
  <c r="X643" i="24"/>
  <c r="Z643" i="24"/>
  <c r="X557" i="24"/>
  <c r="Z557" i="24"/>
  <c r="Y557" i="24"/>
  <c r="Y172" i="23"/>
  <c r="X172" i="23"/>
  <c r="Z172" i="23"/>
  <c r="X373" i="23"/>
  <c r="Z373" i="23"/>
  <c r="Y373" i="23"/>
  <c r="Z406" i="23"/>
  <c r="Y406" i="23"/>
  <c r="X406" i="23"/>
  <c r="Z2579" i="23"/>
  <c r="Y2579" i="23"/>
  <c r="X2579" i="23"/>
  <c r="Z2605" i="23"/>
  <c r="Y2605" i="23"/>
  <c r="X2605" i="23"/>
  <c r="Y301" i="24"/>
  <c r="X301" i="24"/>
  <c r="Z301" i="24"/>
  <c r="Z342" i="24"/>
  <c r="Y342" i="24"/>
  <c r="X342" i="24"/>
  <c r="Z1718" i="24"/>
  <c r="X1718" i="24"/>
  <c r="Y1718" i="24"/>
  <c r="Z1726" i="24"/>
  <c r="Y1726" i="24"/>
  <c r="X1726" i="24"/>
  <c r="Y2215" i="24"/>
  <c r="Z2215" i="24"/>
  <c r="X2215" i="24"/>
  <c r="Z307" i="23"/>
  <c r="Y307" i="23"/>
  <c r="X307" i="23"/>
  <c r="Z1700" i="23"/>
  <c r="Y1700" i="23"/>
  <c r="X1700" i="23"/>
  <c r="Y1935" i="23"/>
  <c r="X1935" i="23"/>
  <c r="Z1935" i="23"/>
  <c r="Z2179" i="23"/>
  <c r="Y2179" i="23"/>
  <c r="X2179" i="23"/>
  <c r="Z2026" i="23"/>
  <c r="Y2026" i="23"/>
  <c r="X2026" i="23"/>
  <c r="Z2039" i="23"/>
  <c r="Y2039" i="23"/>
  <c r="X2039" i="23"/>
  <c r="Y2303" i="23"/>
  <c r="X2303" i="23"/>
  <c r="Z2303" i="23"/>
  <c r="Z2326" i="23"/>
  <c r="Y2326" i="23"/>
  <c r="X2326" i="23"/>
  <c r="Z2563" i="23"/>
  <c r="Y2563" i="23"/>
  <c r="X2563" i="23"/>
  <c r="Z2012" i="24"/>
  <c r="Y2012" i="24"/>
  <c r="X2012" i="24"/>
  <c r="Z2238" i="24"/>
  <c r="X2238" i="24"/>
  <c r="Y2238" i="24"/>
  <c r="Z2319" i="24"/>
  <c r="Y2319" i="24"/>
  <c r="X2319" i="24"/>
  <c r="Z2074" i="23"/>
  <c r="Y2074" i="23"/>
  <c r="X2074" i="23"/>
  <c r="Z2410" i="23"/>
  <c r="X2410" i="23"/>
  <c r="Y2410" i="23"/>
  <c r="Z2585" i="23"/>
  <c r="Y2585" i="23"/>
  <c r="X2585" i="23"/>
  <c r="Z2611" i="23"/>
  <c r="Y2611" i="23"/>
  <c r="X2611" i="23"/>
  <c r="Z436" i="24"/>
  <c r="Z337" i="24"/>
  <c r="Y337" i="24"/>
  <c r="X337" i="24"/>
  <c r="Z454" i="24"/>
  <c r="Y454" i="24"/>
  <c r="X454" i="24"/>
  <c r="Z646" i="24"/>
  <c r="Y646" i="24"/>
  <c r="X646" i="24"/>
  <c r="Y1986" i="24"/>
  <c r="Z1986" i="24"/>
  <c r="X1986" i="24"/>
  <c r="Y2298" i="24"/>
  <c r="X2298" i="24"/>
  <c r="Z2298" i="24"/>
  <c r="Z2260" i="24"/>
  <c r="X2260" i="24"/>
  <c r="Y2260" i="24"/>
  <c r="Z2315" i="24"/>
  <c r="Y2315" i="24"/>
  <c r="X2315" i="24"/>
  <c r="Z201" i="23"/>
  <c r="Y201" i="23"/>
  <c r="X201" i="23"/>
  <c r="Z611" i="23"/>
  <c r="Y611" i="23"/>
  <c r="X611" i="23"/>
  <c r="Z410" i="23"/>
  <c r="Y410" i="23"/>
  <c r="X410" i="23"/>
  <c r="Q2716" i="23"/>
  <c r="W1785" i="23"/>
  <c r="Y2162" i="23"/>
  <c r="X2162" i="23"/>
  <c r="Z2162" i="23"/>
  <c r="X2514" i="23"/>
  <c r="Z2514" i="23"/>
  <c r="Y2514" i="23"/>
  <c r="X277" i="24"/>
  <c r="Z406" i="24"/>
  <c r="Y406" i="24"/>
  <c r="X406" i="24"/>
  <c r="Z700" i="24"/>
  <c r="Y700" i="24"/>
  <c r="X700" i="24"/>
  <c r="Z1752" i="24"/>
  <c r="X1752" i="24"/>
  <c r="Y1752" i="24"/>
  <c r="Z2008" i="24"/>
  <c r="X2008" i="24"/>
  <c r="Y2008" i="24"/>
  <c r="X2531" i="24"/>
  <c r="Z2531" i="24"/>
  <c r="Y2531" i="24"/>
  <c r="Z157" i="23"/>
  <c r="Y157" i="23"/>
  <c r="X157" i="23"/>
  <c r="Z328" i="23"/>
  <c r="Y328" i="23"/>
  <c r="X328" i="23"/>
  <c r="Z455" i="23"/>
  <c r="Y455" i="23"/>
  <c r="X455" i="23"/>
  <c r="Z807" i="23"/>
  <c r="Y807" i="23"/>
  <c r="X807" i="23"/>
  <c r="Z696" i="23"/>
  <c r="Y696" i="23"/>
  <c r="X696" i="23"/>
  <c r="Z1978" i="23"/>
  <c r="Y1978" i="23"/>
  <c r="X1978" i="23"/>
  <c r="Z1916" i="23"/>
  <c r="Y1916" i="23"/>
  <c r="X1916" i="23"/>
  <c r="Z2087" i="23"/>
  <c r="Y2087" i="23"/>
  <c r="X2087" i="23"/>
  <c r="Z2447" i="23"/>
  <c r="X2447" i="23"/>
  <c r="Y2447" i="23"/>
  <c r="X2370" i="23"/>
  <c r="Z2370" i="23"/>
  <c r="Y2370" i="23"/>
  <c r="Z2593" i="23"/>
  <c r="Y2593" i="23"/>
  <c r="X2593" i="23"/>
  <c r="Z310" i="24"/>
  <c r="Y310" i="24"/>
  <c r="X310" i="24"/>
  <c r="Y652" i="24"/>
  <c r="X652" i="24"/>
  <c r="Z652" i="24"/>
  <c r="X1994" i="24"/>
  <c r="Z1994" i="24"/>
  <c r="Y1994" i="24"/>
  <c r="Y2015" i="24"/>
  <c r="Z2015" i="24"/>
  <c r="X2015" i="24"/>
  <c r="Y2130" i="24"/>
  <c r="X2130" i="24"/>
  <c r="Z2130" i="24"/>
  <c r="Z2203" i="24"/>
  <c r="Y2203" i="24"/>
  <c r="X2203" i="24"/>
  <c r="Z2152" i="24"/>
  <c r="X2152" i="24"/>
  <c r="Y2152" i="24"/>
  <c r="Z2221" i="24"/>
  <c r="X2221" i="24"/>
  <c r="Y2221" i="24"/>
  <c r="Z2393" i="24"/>
  <c r="Y2393" i="24"/>
  <c r="X2393" i="24"/>
  <c r="X298" i="23"/>
  <c r="Z298" i="23"/>
  <c r="Y298" i="23"/>
  <c r="Z334" i="23"/>
  <c r="Y334" i="23"/>
  <c r="X334" i="23"/>
  <c r="Y473" i="23"/>
  <c r="Z473" i="23"/>
  <c r="X473" i="23"/>
  <c r="Z378" i="23"/>
  <c r="Y378" i="23"/>
  <c r="X378" i="23"/>
  <c r="Z2043" i="23"/>
  <c r="Y2043" i="23"/>
  <c r="X2043" i="23"/>
  <c r="Z2103" i="23"/>
  <c r="Y2103" i="23"/>
  <c r="X2103" i="23"/>
  <c r="X2233" i="23"/>
  <c r="Z2233" i="23"/>
  <c r="Y2233" i="23"/>
  <c r="Y2325" i="23"/>
  <c r="X2325" i="23"/>
  <c r="Z2325" i="23"/>
  <c r="Z2629" i="23"/>
  <c r="Y2629" i="23"/>
  <c r="X2629" i="23"/>
  <c r="X784" i="24"/>
  <c r="Z784" i="24"/>
  <c r="Y784" i="24"/>
  <c r="Z707" i="24"/>
  <c r="Y707" i="24"/>
  <c r="X707" i="24"/>
  <c r="Z1810" i="24"/>
  <c r="Y1810" i="24"/>
  <c r="X1810" i="24"/>
  <c r="Z2383" i="24"/>
  <c r="X2383" i="24"/>
  <c r="Y2383" i="24"/>
  <c r="Y2562" i="24"/>
  <c r="X2562" i="24"/>
  <c r="Z2562" i="24"/>
  <c r="Y421" i="23"/>
  <c r="X421" i="23"/>
  <c r="Z421" i="23"/>
  <c r="Z268" i="23"/>
  <c r="Y268" i="23"/>
  <c r="X268" i="23"/>
  <c r="Z2147" i="23"/>
  <c r="Y2147" i="23"/>
  <c r="X2147" i="23"/>
  <c r="Z1815" i="23"/>
  <c r="Y1815" i="23"/>
  <c r="X1815" i="23"/>
  <c r="Z2445" i="23"/>
  <c r="X2445" i="23"/>
  <c r="Y2445" i="23"/>
  <c r="Y2572" i="23"/>
  <c r="X2572" i="23"/>
  <c r="Z2572" i="23"/>
  <c r="Z332" i="24"/>
  <c r="Y332" i="24"/>
  <c r="X332" i="24"/>
  <c r="Y421" i="24"/>
  <c r="X421" i="24"/>
  <c r="Z421" i="24"/>
  <c r="Q2714" i="24"/>
  <c r="W840" i="24"/>
  <c r="X1700" i="24"/>
  <c r="Z1700" i="24"/>
  <c r="Y1700" i="24"/>
  <c r="Y2048" i="24"/>
  <c r="Z2048" i="24"/>
  <c r="X2048" i="24"/>
  <c r="Z2345" i="24"/>
  <c r="Y2345" i="24"/>
  <c r="X2345" i="24"/>
  <c r="Z315" i="23"/>
  <c r="Y315" i="23"/>
  <c r="X315" i="23"/>
  <c r="Z2241" i="23"/>
  <c r="X2241" i="23"/>
  <c r="Y2241" i="23"/>
  <c r="X2255" i="23"/>
  <c r="Z2255" i="23"/>
  <c r="Y2255" i="23"/>
  <c r="Z2434" i="23"/>
  <c r="X2434" i="23"/>
  <c r="Y2434" i="23"/>
  <c r="Y259" i="24"/>
  <c r="Y368" i="24"/>
  <c r="X368" i="24"/>
  <c r="Z368" i="24"/>
  <c r="Z788" i="24"/>
  <c r="Y788" i="24"/>
  <c r="X788" i="24"/>
  <c r="Y2050" i="24"/>
  <c r="Z2050" i="24"/>
  <c r="X2050" i="24"/>
  <c r="X2023" i="24"/>
  <c r="Z2023" i="24"/>
  <c r="Y2023" i="24"/>
  <c r="Z2293" i="24"/>
  <c r="Y2293" i="24"/>
  <c r="X2293" i="24"/>
  <c r="Z2284" i="24"/>
  <c r="X2284" i="24"/>
  <c r="Y2284" i="24"/>
  <c r="X2244" i="24"/>
  <c r="Z2244" i="24"/>
  <c r="Y2244" i="24"/>
  <c r="Z2491" i="24"/>
  <c r="Y2491" i="24"/>
  <c r="X2491" i="24"/>
  <c r="Z304" i="24"/>
  <c r="Y304" i="24"/>
  <c r="X304" i="24"/>
  <c r="X327" i="24"/>
  <c r="Z327" i="24"/>
  <c r="Y327" i="24"/>
  <c r="Z195" i="24"/>
  <c r="Y195" i="24"/>
  <c r="X195" i="24"/>
  <c r="Z1967" i="24"/>
  <c r="Y1967" i="24"/>
  <c r="X1967" i="24"/>
  <c r="Z1813" i="23"/>
  <c r="Y1813" i="23"/>
  <c r="X1813" i="23"/>
  <c r="X687" i="24"/>
  <c r="Z687" i="24"/>
  <c r="Y687" i="24"/>
  <c r="Z304" i="23"/>
  <c r="Y304" i="23"/>
  <c r="X304" i="23"/>
  <c r="Z343" i="23"/>
  <c r="Y343" i="23"/>
  <c r="X343" i="23"/>
  <c r="Z701" i="23"/>
  <c r="Y701" i="23"/>
  <c r="X701" i="23"/>
  <c r="Y2124" i="23"/>
  <c r="X2124" i="23"/>
  <c r="Z2124" i="23"/>
  <c r="Z2224" i="23"/>
  <c r="Y2224" i="23"/>
  <c r="X2224" i="23"/>
  <c r="Z2130" i="23"/>
  <c r="Y2130" i="23"/>
  <c r="X2130" i="23"/>
  <c r="Z2412" i="23"/>
  <c r="X2412" i="23"/>
  <c r="Y2412" i="23"/>
  <c r="Z2581" i="23"/>
  <c r="Y2581" i="23"/>
  <c r="X2581" i="23"/>
  <c r="X157" i="24"/>
  <c r="Z157" i="24"/>
  <c r="Y157" i="24"/>
  <c r="Z412" i="24"/>
  <c r="Y412" i="24"/>
  <c r="X534" i="24"/>
  <c r="Z534" i="24"/>
  <c r="Y534" i="24"/>
  <c r="X1931" i="24"/>
  <c r="Z1931" i="24"/>
  <c r="Y1931" i="24"/>
  <c r="X2078" i="24"/>
  <c r="Z2078" i="24"/>
  <c r="Y2078" i="24"/>
  <c r="Z2469" i="24"/>
  <c r="X2469" i="24"/>
  <c r="Y2469" i="24"/>
  <c r="X1701" i="23"/>
  <c r="Z1701" i="23"/>
  <c r="Y1701" i="23"/>
  <c r="X2176" i="23"/>
  <c r="Z2176" i="23"/>
  <c r="Y2176" i="23"/>
  <c r="Z2194" i="23"/>
  <c r="Y2194" i="23"/>
  <c r="X2194" i="23"/>
  <c r="Z2040" i="23"/>
  <c r="Y2040" i="23"/>
  <c r="X2040" i="23"/>
  <c r="X2560" i="23"/>
  <c r="Z2560" i="23"/>
  <c r="Y2560" i="23"/>
  <c r="X549" i="24"/>
  <c r="Z549" i="24"/>
  <c r="Y549" i="24"/>
  <c r="Z1709" i="24"/>
  <c r="Y1709" i="24"/>
  <c r="X1709" i="24"/>
  <c r="Y1922" i="24"/>
  <c r="Z1922" i="24"/>
  <c r="X1922" i="24"/>
  <c r="Z1657" i="24"/>
  <c r="Y1657" i="24"/>
  <c r="X1657" i="24"/>
  <c r="Z360" i="23"/>
  <c r="Y360" i="23"/>
  <c r="X360" i="23"/>
  <c r="Z788" i="23"/>
  <c r="Y788" i="23"/>
  <c r="X788" i="23"/>
  <c r="Z528" i="23"/>
  <c r="X528" i="23"/>
  <c r="Y528" i="23"/>
  <c r="Z2055" i="23"/>
  <c r="Y2055" i="23"/>
  <c r="X2055" i="23"/>
  <c r="Y2301" i="23"/>
  <c r="X2301" i="23"/>
  <c r="Z2301" i="23"/>
  <c r="Z2587" i="23"/>
  <c r="Y2587" i="23"/>
  <c r="X2587" i="23"/>
  <c r="X376" i="24"/>
  <c r="Z457" i="24"/>
  <c r="Y457" i="24"/>
  <c r="X457" i="24"/>
  <c r="Z2159" i="24"/>
  <c r="Y2159" i="24"/>
  <c r="X2159" i="24"/>
  <c r="Z2295" i="24"/>
  <c r="Y2295" i="24"/>
  <c r="X2295" i="24"/>
  <c r="Z2262" i="24"/>
  <c r="X2262" i="24"/>
  <c r="Y2262" i="24"/>
  <c r="Y2314" i="24"/>
  <c r="X2314" i="24"/>
  <c r="Z2314" i="24"/>
  <c r="Z297" i="23"/>
  <c r="Y297" i="23"/>
  <c r="X297" i="23"/>
  <c r="Z314" i="23"/>
  <c r="Y314" i="23"/>
  <c r="X314" i="23"/>
  <c r="Z412" i="23"/>
  <c r="Y412" i="23"/>
  <c r="X412" i="23"/>
  <c r="Z1952" i="23"/>
  <c r="Y1952" i="23"/>
  <c r="X1952" i="23"/>
  <c r="Y2630" i="23"/>
  <c r="X2630" i="23"/>
  <c r="Z2630" i="23"/>
  <c r="Y277" i="24"/>
  <c r="Z403" i="24"/>
  <c r="Y403" i="24"/>
  <c r="X403" i="24"/>
  <c r="Z439" i="24"/>
  <c r="Y439" i="24"/>
  <c r="X439" i="24"/>
  <c r="Z682" i="24"/>
  <c r="Y682" i="24"/>
  <c r="X682" i="24"/>
  <c r="Z1956" i="24"/>
  <c r="Y1956" i="24"/>
  <c r="X1956" i="24"/>
  <c r="Y2095" i="24"/>
  <c r="X2095" i="24"/>
  <c r="Z2095" i="24"/>
  <c r="Z327" i="23"/>
  <c r="Y327" i="23"/>
  <c r="X327" i="23"/>
  <c r="Z618" i="23"/>
  <c r="Y618" i="23"/>
  <c r="X618" i="23"/>
  <c r="X694" i="23"/>
  <c r="Z694" i="23"/>
  <c r="Y694" i="23"/>
  <c r="Z2159" i="23"/>
  <c r="Y2159" i="23"/>
  <c r="X2159" i="23"/>
  <c r="Z1979" i="23"/>
  <c r="Y1979" i="23"/>
  <c r="X1979" i="23"/>
  <c r="Z1844" i="23"/>
  <c r="Y1844" i="23"/>
  <c r="X1844" i="23"/>
  <c r="Z2088" i="23"/>
  <c r="Y2088" i="23"/>
  <c r="X2088" i="23"/>
  <c r="Y2614" i="23"/>
  <c r="X2614" i="23"/>
  <c r="Z2614" i="23"/>
  <c r="X307" i="24"/>
  <c r="Z307" i="24"/>
  <c r="Y307" i="24"/>
  <c r="Z672" i="24"/>
  <c r="Y672" i="24"/>
  <c r="X672" i="24"/>
  <c r="Z1918" i="24"/>
  <c r="Y1918" i="24"/>
  <c r="X1918" i="24"/>
  <c r="Z1995" i="24"/>
  <c r="Y1995" i="24"/>
  <c r="X1995" i="24"/>
  <c r="X263" i="23"/>
  <c r="Z263" i="23"/>
  <c r="Y263" i="23"/>
  <c r="Z333" i="23"/>
  <c r="Y333" i="23"/>
  <c r="X333" i="23"/>
  <c r="X382" i="23"/>
  <c r="Z382" i="23"/>
  <c r="Y382" i="23"/>
  <c r="Z1897" i="23"/>
  <c r="X1897" i="23"/>
  <c r="Y1897" i="23"/>
  <c r="Z2436" i="23"/>
  <c r="X2436" i="23"/>
  <c r="Y2436" i="23"/>
  <c r="Z318" i="24"/>
  <c r="Y318" i="24"/>
  <c r="X318" i="24"/>
  <c r="Z445" i="24"/>
  <c r="Y445" i="24"/>
  <c r="X445" i="24"/>
  <c r="Y2068" i="24"/>
  <c r="X2068" i="24"/>
  <c r="Z2068" i="24"/>
  <c r="Z2140" i="24"/>
  <c r="Y2140" i="24"/>
  <c r="X2140" i="24"/>
  <c r="Z2379" i="24"/>
  <c r="Y2379" i="24"/>
  <c r="X2379" i="24"/>
  <c r="Z2453" i="24"/>
  <c r="Y2453" i="24"/>
  <c r="X2453" i="24"/>
  <c r="X2563" i="24"/>
  <c r="Z2563" i="24"/>
  <c r="Y2563" i="24"/>
  <c r="Y2621" i="24"/>
  <c r="X2621" i="24"/>
  <c r="Z2621" i="24"/>
  <c r="Z294" i="23"/>
  <c r="Y294" i="23"/>
  <c r="X294" i="23"/>
  <c r="Z451" i="23"/>
  <c r="Y451" i="23"/>
  <c r="X451" i="23"/>
  <c r="Z368" i="23"/>
  <c r="Y368" i="23"/>
  <c r="X368" i="23"/>
  <c r="Z652" i="23"/>
  <c r="Y652" i="23"/>
  <c r="X652" i="23"/>
  <c r="Z2145" i="23"/>
  <c r="Y2145" i="23"/>
  <c r="X2145" i="23"/>
  <c r="Z1931" i="23"/>
  <c r="Y1931" i="23"/>
  <c r="X1931" i="23"/>
  <c r="Z1816" i="23"/>
  <c r="Y1816" i="23"/>
  <c r="X1816" i="23"/>
  <c r="Z1834" i="23"/>
  <c r="Y1834" i="23"/>
  <c r="X1834" i="23"/>
  <c r="Z2598" i="23"/>
  <c r="Y2598" i="23"/>
  <c r="X2598" i="23"/>
  <c r="Z414" i="24"/>
  <c r="Y414" i="24"/>
  <c r="X414" i="24"/>
  <c r="Z1702" i="24"/>
  <c r="Y1702" i="24"/>
  <c r="X1702" i="24"/>
  <c r="Y1970" i="24"/>
  <c r="Z1970" i="24"/>
  <c r="X1970" i="24"/>
  <c r="Z2337" i="24"/>
  <c r="Y2337" i="24"/>
  <c r="X2337" i="24"/>
  <c r="Z234" i="23"/>
  <c r="Y234" i="23"/>
  <c r="Y553" i="23"/>
  <c r="Z553" i="23"/>
  <c r="X553" i="23"/>
  <c r="Z2161" i="23"/>
  <c r="Y2161" i="23"/>
  <c r="X2161" i="23"/>
  <c r="X2257" i="23"/>
  <c r="Z2257" i="23"/>
  <c r="Y2257" i="23"/>
  <c r="Z2413" i="23"/>
  <c r="X2413" i="23"/>
  <c r="Y2413" i="23"/>
  <c r="Y2114" i="24"/>
  <c r="X2114" i="24"/>
  <c r="Z2114" i="24"/>
  <c r="Z2145" i="24"/>
  <c r="X2145" i="24"/>
  <c r="Y2145" i="24"/>
  <c r="Z2024" i="24"/>
  <c r="X2024" i="24"/>
  <c r="Y2024" i="24"/>
  <c r="Z2286" i="24"/>
  <c r="X2286" i="24"/>
  <c r="Y2286" i="24"/>
  <c r="Z325" i="24"/>
  <c r="Y325" i="24"/>
  <c r="X325" i="24"/>
  <c r="Z667" i="24"/>
  <c r="Y667" i="24"/>
  <c r="X667" i="24"/>
  <c r="Z2058" i="24"/>
  <c r="X2058" i="24"/>
  <c r="Y2058" i="24"/>
  <c r="Z42" i="24"/>
  <c r="Y42" i="24"/>
  <c r="X42" i="24"/>
  <c r="X1848" i="24"/>
  <c r="Z1848" i="24"/>
  <c r="Y1848" i="24"/>
  <c r="X642" i="24"/>
  <c r="Z642" i="24"/>
  <c r="Y642" i="24"/>
  <c r="Z691" i="24"/>
  <c r="Y691" i="24"/>
  <c r="X691" i="24"/>
  <c r="Z374" i="23"/>
  <c r="Y374" i="23"/>
  <c r="X374" i="23"/>
  <c r="X2127" i="23"/>
  <c r="Z2127" i="23"/>
  <c r="Y2127" i="23"/>
  <c r="Z2226" i="23"/>
  <c r="Y2226" i="23"/>
  <c r="X2226" i="23"/>
  <c r="Z2092" i="23"/>
  <c r="Y2092" i="23"/>
  <c r="X2092" i="23"/>
  <c r="Z2131" i="23"/>
  <c r="Y2131" i="23"/>
  <c r="X2131" i="23"/>
  <c r="Y2602" i="23"/>
  <c r="X2602" i="23"/>
  <c r="Z2602" i="23"/>
  <c r="Z300" i="24"/>
  <c r="X300" i="24"/>
  <c r="Y300" i="24"/>
  <c r="Z533" i="24"/>
  <c r="Y533" i="24"/>
  <c r="X533" i="24"/>
  <c r="X697" i="24"/>
  <c r="Y1897" i="24"/>
  <c r="X1897" i="24"/>
  <c r="Z1897" i="24"/>
  <c r="Z1932" i="24"/>
  <c r="X1932" i="24"/>
  <c r="Y1932" i="24"/>
  <c r="X2212" i="24"/>
  <c r="Y2212" i="24"/>
  <c r="Z2212" i="24"/>
  <c r="X2470" i="24"/>
  <c r="Y2470" i="24"/>
  <c r="Z2470" i="24"/>
  <c r="X2178" i="23"/>
  <c r="Z2178" i="23"/>
  <c r="Y2178" i="23"/>
  <c r="X2562" i="23"/>
  <c r="Z2562" i="23"/>
  <c r="Y2562" i="23"/>
  <c r="Z669" i="24"/>
  <c r="Y669" i="24"/>
  <c r="X669" i="24"/>
  <c r="Y1923" i="24"/>
  <c r="Z1923" i="24"/>
  <c r="X1923" i="24"/>
  <c r="Y1939" i="24"/>
  <c r="X1939" i="24"/>
  <c r="Z1939" i="24"/>
  <c r="Z1948" i="24"/>
  <c r="Y1948" i="24"/>
  <c r="X1948" i="24"/>
  <c r="Y2309" i="24"/>
  <c r="X2309" i="24"/>
  <c r="Z2309" i="24"/>
  <c r="Z364" i="23"/>
  <c r="Y364" i="23"/>
  <c r="X364" i="23"/>
  <c r="Z1657" i="23"/>
  <c r="Y1657" i="23"/>
  <c r="X1657" i="23"/>
  <c r="Z2119" i="23"/>
  <c r="Y2119" i="23"/>
  <c r="X2119" i="23"/>
  <c r="Z2056" i="23"/>
  <c r="Y2056" i="23"/>
  <c r="X2056" i="23"/>
  <c r="X2431" i="23"/>
  <c r="Z2431" i="23"/>
  <c r="Y2431" i="23"/>
  <c r="X2488" i="23"/>
  <c r="Z2488" i="23"/>
  <c r="Y2488" i="23"/>
  <c r="Y2608" i="23"/>
  <c r="X2608" i="23"/>
  <c r="Z2608" i="23"/>
  <c r="Z149" i="24"/>
  <c r="Y149" i="24"/>
  <c r="X149" i="24"/>
  <c r="X338" i="24"/>
  <c r="Z338" i="24"/>
  <c r="Y338" i="24"/>
  <c r="Z376" i="24"/>
  <c r="Y376" i="24"/>
  <c r="Y455" i="24"/>
  <c r="X455" i="24"/>
  <c r="Z455" i="24"/>
  <c r="Z1883" i="24"/>
  <c r="Y1883" i="24"/>
  <c r="X1883" i="24"/>
  <c r="Y1987" i="24"/>
  <c r="Z1987" i="24"/>
  <c r="X1987" i="24"/>
  <c r="X2160" i="24"/>
  <c r="Z2160" i="24"/>
  <c r="Y2160" i="24"/>
  <c r="Z2297" i="24"/>
  <c r="Y2297" i="24"/>
  <c r="X2297" i="24"/>
  <c r="Y2316" i="24"/>
  <c r="X2316" i="24"/>
  <c r="Z2316" i="24"/>
  <c r="Z610" i="23"/>
  <c r="Y610" i="23"/>
  <c r="X610" i="23"/>
  <c r="Z671" i="23"/>
  <c r="Y671" i="23"/>
  <c r="X671" i="23"/>
  <c r="Z1947" i="23"/>
  <c r="Y1947" i="23"/>
  <c r="X1947" i="23"/>
  <c r="Y2279" i="23"/>
  <c r="X2279" i="23"/>
  <c r="Z2279" i="23"/>
  <c r="Z2535" i="23"/>
  <c r="Y2535" i="23"/>
  <c r="X2535" i="23"/>
  <c r="Z2511" i="23"/>
  <c r="Y2511" i="23"/>
  <c r="X2511" i="23"/>
  <c r="Y404" i="24"/>
  <c r="X404" i="24"/>
  <c r="Z404" i="24"/>
  <c r="Z440" i="24"/>
  <c r="Y440" i="24"/>
  <c r="X440" i="24"/>
  <c r="Z382" i="24"/>
  <c r="Y382" i="24"/>
  <c r="X382" i="24"/>
  <c r="Z2006" i="24"/>
  <c r="Y2006" i="24"/>
  <c r="X2006" i="24"/>
  <c r="Z1983" i="24"/>
  <c r="Y1983" i="24"/>
  <c r="X1983" i="24"/>
  <c r="Z325" i="23"/>
  <c r="Y325" i="23"/>
  <c r="X325" i="23"/>
  <c r="Z620" i="23"/>
  <c r="Y620" i="23"/>
  <c r="X620" i="23"/>
  <c r="Y596" i="23"/>
  <c r="X596" i="23"/>
  <c r="Z596" i="23"/>
  <c r="Z1854" i="23"/>
  <c r="Y1854" i="23"/>
  <c r="X1854" i="23"/>
  <c r="Z1946" i="23"/>
  <c r="Y1946" i="23"/>
  <c r="X1946" i="23"/>
  <c r="Z2012" i="23"/>
  <c r="Y2012" i="23"/>
  <c r="X2012" i="23"/>
  <c r="Z1914" i="23"/>
  <c r="Y1914" i="23"/>
  <c r="X1914" i="23"/>
  <c r="Y2327" i="23"/>
  <c r="X2327" i="23"/>
  <c r="Z2327" i="23"/>
  <c r="X2429" i="23"/>
  <c r="Z2429" i="23"/>
  <c r="Y2429" i="23"/>
  <c r="Z2367" i="23"/>
  <c r="X2367" i="23"/>
  <c r="Y2367" i="23"/>
  <c r="Y2590" i="23"/>
  <c r="X2590" i="23"/>
  <c r="Z2590" i="23"/>
  <c r="Z180" i="24"/>
  <c r="Y180" i="24"/>
  <c r="X180" i="24"/>
  <c r="Z475" i="24"/>
  <c r="Y475" i="24"/>
  <c r="X475" i="24"/>
  <c r="Y1920" i="24"/>
  <c r="Z1920" i="24"/>
  <c r="X1920" i="24"/>
  <c r="Z1996" i="24"/>
  <c r="Y1996" i="24"/>
  <c r="X1996" i="24"/>
  <c r="Z2014" i="24"/>
  <c r="Y2014" i="24"/>
  <c r="X2014" i="24"/>
  <c r="Y2150" i="24"/>
  <c r="Z2150" i="24"/>
  <c r="X2150" i="24"/>
  <c r="Z2219" i="24"/>
  <c r="Y2219" i="24"/>
  <c r="X2219" i="24"/>
  <c r="Z2394" i="24"/>
  <c r="Y2394" i="24"/>
  <c r="X2394" i="24"/>
  <c r="Z354" i="23"/>
  <c r="Y354" i="23"/>
  <c r="X354" i="23"/>
  <c r="Z331" i="23"/>
  <c r="Y331" i="23"/>
  <c r="X331" i="23"/>
  <c r="Z381" i="23"/>
  <c r="Y381" i="23"/>
  <c r="X381" i="23"/>
  <c r="Z1996" i="23"/>
  <c r="Y1996" i="23"/>
  <c r="X1996" i="23"/>
  <c r="Z1898" i="23"/>
  <c r="Y1898" i="23"/>
  <c r="X1898" i="23"/>
  <c r="Z2060" i="23"/>
  <c r="Y2060" i="23"/>
  <c r="X2060" i="23"/>
  <c r="Z1920" i="23"/>
  <c r="Y1920" i="23"/>
  <c r="X1920" i="23"/>
  <c r="Z2229" i="23"/>
  <c r="Y2229" i="23"/>
  <c r="X2229" i="23"/>
  <c r="Y2626" i="23"/>
  <c r="X2626" i="23"/>
  <c r="Z2626" i="23"/>
  <c r="Z116" i="24"/>
  <c r="Y116" i="24"/>
  <c r="X116" i="24"/>
  <c r="Z322" i="24"/>
  <c r="Y322" i="24"/>
  <c r="X322" i="24"/>
  <c r="Z447" i="24"/>
  <c r="Y447" i="24"/>
  <c r="X447" i="24"/>
  <c r="Z555" i="24"/>
  <c r="Y555" i="24"/>
  <c r="X555" i="24"/>
  <c r="Z703" i="24"/>
  <c r="Y703" i="24"/>
  <c r="X703" i="24"/>
  <c r="Y2067" i="24"/>
  <c r="Z2067" i="24"/>
  <c r="X2067" i="24"/>
  <c r="Y2380" i="24"/>
  <c r="X2380" i="24"/>
  <c r="Z2380" i="24"/>
  <c r="Z2619" i="24"/>
  <c r="X2619" i="24"/>
  <c r="Y2619" i="24"/>
  <c r="X423" i="23"/>
  <c r="Z423" i="23"/>
  <c r="Y423" i="23"/>
  <c r="Z2146" i="23"/>
  <c r="Y2146" i="23"/>
  <c r="X2146" i="23"/>
  <c r="Z1984" i="23"/>
  <c r="Y1984" i="23"/>
  <c r="X1984" i="23"/>
  <c r="Z1998" i="23"/>
  <c r="Y1998" i="23"/>
  <c r="X1998" i="23"/>
  <c r="Y1835" i="23"/>
  <c r="X1835" i="23"/>
  <c r="Z1835" i="23"/>
  <c r="Z2574" i="23"/>
  <c r="Y2574" i="23"/>
  <c r="X2574" i="23"/>
  <c r="Z288" i="24"/>
  <c r="X288" i="24"/>
  <c r="Y288" i="24"/>
  <c r="Y330" i="24"/>
  <c r="X330" i="24"/>
  <c r="Z330" i="24"/>
  <c r="Z1701" i="24"/>
  <c r="Y1701" i="24"/>
  <c r="X1701" i="24"/>
  <c r="Z1865" i="24"/>
  <c r="Y1865" i="24"/>
  <c r="X1865" i="24"/>
  <c r="Z2046" i="24"/>
  <c r="Y2046" i="24"/>
  <c r="X2046" i="24"/>
  <c r="Z2339" i="24"/>
  <c r="Y2339" i="24"/>
  <c r="X2339" i="24"/>
  <c r="X2512" i="24"/>
  <c r="Z2512" i="24"/>
  <c r="Y2512" i="24"/>
  <c r="Y548" i="23"/>
  <c r="Z548" i="23"/>
  <c r="X548" i="23"/>
  <c r="Y555" i="23"/>
  <c r="Z555" i="23"/>
  <c r="X555" i="23"/>
  <c r="Y274" i="23"/>
  <c r="Z2251" i="23"/>
  <c r="X2251" i="23"/>
  <c r="Y2251" i="23"/>
  <c r="Z2256" i="23"/>
  <c r="X2256" i="23"/>
  <c r="Y2256" i="23"/>
  <c r="Z2280" i="23"/>
  <c r="Y2280" i="23"/>
  <c r="X2280" i="23"/>
  <c r="X638" i="24"/>
  <c r="Z2117" i="24"/>
  <c r="Y2117" i="24"/>
  <c r="X2117" i="24"/>
  <c r="Z2147" i="24"/>
  <c r="Y2147" i="24"/>
  <c r="X2147" i="24"/>
  <c r="Z2183" i="24"/>
  <c r="Y2183" i="24"/>
  <c r="X2183" i="24"/>
  <c r="Z2137" i="24"/>
  <c r="X2137" i="24"/>
  <c r="Y2137" i="24"/>
  <c r="Y2103" i="24"/>
  <c r="X2103" i="24"/>
  <c r="Z2103" i="24"/>
  <c r="Y303" i="24"/>
  <c r="X303" i="24"/>
  <c r="Z303" i="24"/>
  <c r="Z666" i="24"/>
  <c r="Y666" i="24"/>
  <c r="X666" i="24"/>
  <c r="Z2059" i="24"/>
  <c r="X2059" i="24"/>
  <c r="Y2059" i="24"/>
  <c r="Z1849" i="24"/>
  <c r="Y1849" i="24"/>
  <c r="X1849" i="24"/>
  <c r="X2086" i="24"/>
  <c r="Y2086" i="24"/>
  <c r="Z2086" i="24"/>
  <c r="X502" i="23"/>
  <c r="Z502" i="23"/>
  <c r="Y502" i="23"/>
  <c r="Y303" i="23"/>
  <c r="X303" i="23"/>
  <c r="Z303" i="23"/>
  <c r="Z344" i="23"/>
  <c r="Y344" i="23"/>
  <c r="X344" i="23"/>
  <c r="Z402" i="23"/>
  <c r="Y402" i="23"/>
  <c r="X402" i="23"/>
  <c r="Z699" i="23"/>
  <c r="Y699" i="23"/>
  <c r="X699" i="23"/>
  <c r="Z2171" i="23"/>
  <c r="Y2171" i="23"/>
  <c r="X2171" i="23"/>
  <c r="Y2578" i="23"/>
  <c r="X2578" i="23"/>
  <c r="Z2578" i="23"/>
  <c r="X807" i="24"/>
  <c r="Z807" i="24"/>
  <c r="Y807" i="24"/>
  <c r="Z535" i="24"/>
  <c r="Y535" i="24"/>
  <c r="X535" i="24"/>
  <c r="Z344" i="24"/>
  <c r="Y344" i="24"/>
  <c r="X344" i="24"/>
  <c r="Z2213" i="24"/>
  <c r="Y2213" i="24"/>
  <c r="X2213" i="24"/>
  <c r="Y2080" i="24"/>
  <c r="X2080" i="24"/>
  <c r="Z2080" i="24"/>
  <c r="Z308" i="23"/>
  <c r="Y308" i="23"/>
  <c r="X308" i="23"/>
  <c r="Z2411" i="23"/>
  <c r="X2411" i="23"/>
  <c r="Y2411" i="23"/>
  <c r="Y1940" i="24"/>
  <c r="X1940" i="24"/>
  <c r="Z1940" i="24"/>
  <c r="X1946" i="24"/>
  <c r="Z1946" i="24"/>
  <c r="Y1946" i="24"/>
  <c r="Y2002" i="24"/>
  <c r="Z2002" i="24"/>
  <c r="X2002" i="24"/>
  <c r="Z2239" i="24"/>
  <c r="Y2239" i="24"/>
  <c r="X2239" i="24"/>
  <c r="Z2311" i="24"/>
  <c r="Y2311" i="24"/>
  <c r="X2311" i="24"/>
  <c r="Z363" i="23"/>
  <c r="Y363" i="23"/>
  <c r="X363" i="23"/>
  <c r="Y2122" i="23"/>
  <c r="X2122" i="23"/>
  <c r="Z2122" i="23"/>
  <c r="X2490" i="23"/>
  <c r="Z2490" i="23"/>
  <c r="Y2490" i="23"/>
  <c r="Y2584" i="23"/>
  <c r="X2584" i="23"/>
  <c r="Z2584" i="23"/>
  <c r="Z201" i="24"/>
  <c r="Y201" i="24"/>
  <c r="X201" i="24"/>
  <c r="Y647" i="24"/>
  <c r="X647" i="24"/>
  <c r="Z647" i="24"/>
  <c r="X1992" i="24"/>
  <c r="Z1992" i="24"/>
  <c r="Y1992" i="24"/>
  <c r="Z2042" i="24"/>
  <c r="X2042" i="24"/>
  <c r="Y2042" i="24"/>
  <c r="Z2299" i="24"/>
  <c r="Y2299" i="24"/>
  <c r="X2299" i="24"/>
  <c r="Z439" i="23"/>
  <c r="Y439" i="23"/>
  <c r="X439" i="23"/>
  <c r="X612" i="23"/>
  <c r="Z612" i="23"/>
  <c r="Y612" i="23"/>
  <c r="X408" i="23"/>
  <c r="Z408" i="23"/>
  <c r="Y408" i="23"/>
  <c r="Z42" i="23"/>
  <c r="Y42" i="23"/>
  <c r="X42" i="23"/>
  <c r="Z2134" i="23"/>
  <c r="Y2134" i="23"/>
  <c r="X2134" i="23"/>
  <c r="Z2071" i="23"/>
  <c r="Y2071" i="23"/>
  <c r="X2071" i="23"/>
  <c r="Y2329" i="23"/>
  <c r="X2329" i="23"/>
  <c r="Z2329" i="23"/>
  <c r="Z2537" i="23"/>
  <c r="Y2537" i="23"/>
  <c r="X2537" i="23"/>
  <c r="Z2513" i="23"/>
  <c r="Y2513" i="23"/>
  <c r="X2513" i="23"/>
  <c r="Z232" i="24"/>
  <c r="Y232" i="24"/>
  <c r="Z381" i="24"/>
  <c r="Y381" i="24"/>
  <c r="X381" i="24"/>
  <c r="Z683" i="24"/>
  <c r="Y683" i="24"/>
  <c r="X683" i="24"/>
  <c r="Y1877" i="24"/>
  <c r="Z1877" i="24"/>
  <c r="X1877" i="24"/>
  <c r="X2007" i="24"/>
  <c r="Y2007" i="24"/>
  <c r="Z2007" i="24"/>
  <c r="Z2532" i="24"/>
  <c r="X2532" i="24"/>
  <c r="Y2532" i="24"/>
  <c r="X457" i="23"/>
  <c r="Z457" i="23"/>
  <c r="Y457" i="23"/>
  <c r="Z619" i="23"/>
  <c r="Y619" i="23"/>
  <c r="X619" i="23"/>
  <c r="Y1855" i="23"/>
  <c r="X1855" i="23"/>
  <c r="Z1855" i="23"/>
  <c r="Z2193" i="23"/>
  <c r="Y2193" i="23"/>
  <c r="X2193" i="23"/>
  <c r="Z1915" i="23"/>
  <c r="Y1915" i="23"/>
  <c r="X1915" i="23"/>
  <c r="Z1842" i="23"/>
  <c r="Y1842" i="23"/>
  <c r="X1842" i="23"/>
  <c r="Z2437" i="23"/>
  <c r="X2437" i="23"/>
  <c r="Y2437" i="23"/>
  <c r="Z2371" i="23"/>
  <c r="X2371" i="23"/>
  <c r="Y2371" i="23"/>
  <c r="Z2616" i="23"/>
  <c r="Y2616" i="23"/>
  <c r="X2616" i="23"/>
  <c r="Y309" i="24"/>
  <c r="X309" i="24"/>
  <c r="Z309" i="24"/>
  <c r="Q2715" i="24"/>
  <c r="W1690" i="24"/>
  <c r="X2129" i="24"/>
  <c r="Y2129" i="24"/>
  <c r="Z2129" i="24"/>
  <c r="Z2199" i="24"/>
  <c r="Y2199" i="24"/>
  <c r="X2199" i="24"/>
  <c r="X2151" i="24"/>
  <c r="Z2151" i="24"/>
  <c r="Y2151" i="24"/>
  <c r="X2395" i="24"/>
  <c r="Z2395" i="24"/>
  <c r="Y2395" i="24"/>
  <c r="Z647" i="23"/>
  <c r="Y647" i="23"/>
  <c r="X647" i="23"/>
  <c r="Z1899" i="23"/>
  <c r="Y1899" i="23"/>
  <c r="X1899" i="23"/>
  <c r="Z2102" i="23"/>
  <c r="Y2102" i="23"/>
  <c r="X2102" i="23"/>
  <c r="Z2231" i="23"/>
  <c r="Y2231" i="23"/>
  <c r="X2231" i="23"/>
  <c r="Z782" i="24"/>
  <c r="Y782" i="24"/>
  <c r="X782" i="24"/>
  <c r="Z321" i="24"/>
  <c r="Y321" i="24"/>
  <c r="X321" i="24"/>
  <c r="Z446" i="24"/>
  <c r="Y446" i="24"/>
  <c r="X446" i="24"/>
  <c r="Y528" i="24"/>
  <c r="X528" i="24"/>
  <c r="Z528" i="24"/>
  <c r="Y2139" i="24"/>
  <c r="X2139" i="24"/>
  <c r="Z2139" i="24"/>
  <c r="Z2451" i="24"/>
  <c r="Y2451" i="24"/>
  <c r="X2451" i="24"/>
  <c r="Z2622" i="24"/>
  <c r="Y2622" i="24"/>
  <c r="X2622" i="24"/>
  <c r="Y264" i="23"/>
  <c r="X264" i="23"/>
  <c r="Z264" i="23"/>
  <c r="Z295" i="23"/>
  <c r="Y295" i="23"/>
  <c r="X295" i="23"/>
  <c r="Y449" i="23"/>
  <c r="X449" i="23"/>
  <c r="Z449" i="23"/>
  <c r="Y266" i="23"/>
  <c r="X266" i="23"/>
  <c r="Z266" i="23"/>
  <c r="Y1999" i="23"/>
  <c r="X1999" i="23"/>
  <c r="Z1999" i="23"/>
  <c r="Z1963" i="23"/>
  <c r="Y1963" i="23"/>
  <c r="X1963" i="23"/>
  <c r="X2427" i="23"/>
  <c r="Z2427" i="23"/>
  <c r="Y2427" i="23"/>
  <c r="Z2595" i="23"/>
  <c r="Y2595" i="23"/>
  <c r="X2595" i="23"/>
  <c r="Z160" i="24"/>
  <c r="Y160" i="24"/>
  <c r="X160" i="24"/>
  <c r="X292" i="24"/>
  <c r="Z334" i="24"/>
  <c r="X334" i="24"/>
  <c r="Y334" i="24"/>
  <c r="Z422" i="24"/>
  <c r="Y422" i="24"/>
  <c r="X422" i="24"/>
  <c r="Z2119" i="24"/>
  <c r="Y2119" i="24"/>
  <c r="X2119" i="24"/>
  <c r="Z2341" i="24"/>
  <c r="Y2341" i="24"/>
  <c r="X2341" i="24"/>
  <c r="Z2511" i="24"/>
  <c r="X2511" i="24"/>
  <c r="Y2511" i="24"/>
  <c r="Z262" i="23"/>
  <c r="Y262" i="23"/>
  <c r="X262" i="23"/>
  <c r="Z149" i="23"/>
  <c r="Y149" i="23"/>
  <c r="X149" i="23"/>
  <c r="Y550" i="23"/>
  <c r="Z550" i="23"/>
  <c r="X550" i="23"/>
  <c r="Z554" i="23"/>
  <c r="Y554" i="23"/>
  <c r="X554" i="23"/>
  <c r="Z274" i="23"/>
  <c r="Z1962" i="23"/>
  <c r="Y1962" i="23"/>
  <c r="X1962" i="23"/>
  <c r="Z366" i="24"/>
  <c r="Y366" i="24"/>
  <c r="X366" i="24"/>
  <c r="Z638" i="24"/>
  <c r="Y638" i="24"/>
  <c r="Z2343" i="24"/>
  <c r="Y2343" i="24"/>
  <c r="X2343" i="24"/>
  <c r="Z2241" i="24"/>
  <c r="Y2241" i="24"/>
  <c r="X2241" i="24"/>
  <c r="Z2483" i="24"/>
  <c r="Y2483" i="24"/>
  <c r="X2483" i="24"/>
  <c r="X2488" i="24"/>
  <c r="Z2488" i="24"/>
  <c r="Y2488" i="24"/>
  <c r="Z2135" i="24"/>
  <c r="Y2135" i="24"/>
  <c r="X2135" i="24"/>
  <c r="Z2102" i="24"/>
  <c r="X2102" i="24"/>
  <c r="Y2102" i="24"/>
  <c r="Z664" i="24"/>
  <c r="Y664" i="24"/>
  <c r="X664" i="24"/>
  <c r="Z2060" i="24"/>
  <c r="X2060" i="24"/>
  <c r="Y2060" i="24"/>
  <c r="Y2087" i="24"/>
  <c r="X2087" i="24"/>
  <c r="Z2087" i="24"/>
  <c r="Z690" i="24"/>
  <c r="Y690" i="24"/>
  <c r="X690" i="24"/>
  <c r="Z1722" i="24"/>
  <c r="Y1722" i="24"/>
  <c r="X1722" i="24"/>
  <c r="Z116" i="23"/>
  <c r="Y116" i="23"/>
  <c r="X116" i="23"/>
  <c r="Z405" i="23"/>
  <c r="Y405" i="23"/>
  <c r="X405" i="23"/>
  <c r="Y703" i="23"/>
  <c r="X703" i="23"/>
  <c r="Z703" i="23"/>
  <c r="Z2261" i="23"/>
  <c r="Y2261" i="23"/>
  <c r="X2261" i="23"/>
  <c r="Z2125" i="23"/>
  <c r="Y2125" i="23"/>
  <c r="X2125" i="23"/>
  <c r="Z2604" i="23"/>
  <c r="Y2604" i="23"/>
  <c r="X2604" i="23"/>
  <c r="Z346" i="24"/>
  <c r="Y346" i="24"/>
  <c r="X346" i="24"/>
  <c r="X1930" i="24"/>
  <c r="Y1930" i="24"/>
  <c r="Z1930" i="24"/>
  <c r="Z2026" i="24"/>
  <c r="X2026" i="24"/>
  <c r="Y2026" i="24"/>
  <c r="Y2079" i="24"/>
  <c r="X2079" i="24"/>
  <c r="Z2079" i="24"/>
  <c r="Z2321" i="24"/>
  <c r="Y2321" i="24"/>
  <c r="X2321" i="24"/>
  <c r="Z2471" i="24"/>
  <c r="X2471" i="24"/>
  <c r="Y2471" i="24"/>
  <c r="Y306" i="23"/>
  <c r="X306" i="23"/>
  <c r="Z306" i="23"/>
  <c r="Z594" i="23"/>
  <c r="Y594" i="23"/>
  <c r="X594" i="23"/>
  <c r="Z1936" i="23"/>
  <c r="Y1936" i="23"/>
  <c r="X1936" i="23"/>
  <c r="X2038" i="23"/>
  <c r="Z2038" i="23"/>
  <c r="Y2038" i="23"/>
  <c r="Y548" i="24"/>
  <c r="X548" i="24"/>
  <c r="Z548" i="24"/>
  <c r="Y1708" i="24"/>
  <c r="Z1708" i="24"/>
  <c r="X1708" i="24"/>
  <c r="Z2291" i="24"/>
  <c r="Y2291" i="24"/>
  <c r="X2291" i="24"/>
  <c r="Z361" i="23"/>
  <c r="Y361" i="23"/>
  <c r="X361" i="23"/>
  <c r="Z786" i="23"/>
  <c r="Y786" i="23"/>
  <c r="X786" i="23"/>
  <c r="Z2120" i="23"/>
  <c r="Y2120" i="23"/>
  <c r="X2120" i="23"/>
  <c r="Y2281" i="23"/>
  <c r="X2281" i="23"/>
  <c r="Z2281" i="23"/>
  <c r="Z2610" i="23"/>
  <c r="Y2610" i="23"/>
  <c r="X2610" i="23"/>
  <c r="W18" i="24"/>
  <c r="Z336" i="24"/>
  <c r="Y336" i="24"/>
  <c r="X336" i="24"/>
  <c r="X645" i="24"/>
  <c r="Z645" i="24"/>
  <c r="Y645" i="24"/>
  <c r="Z2043" i="24"/>
  <c r="X2043" i="24"/>
  <c r="Y2043" i="24"/>
  <c r="Z1988" i="24"/>
  <c r="Y1988" i="24"/>
  <c r="X1988" i="24"/>
  <c r="Z2317" i="24"/>
  <c r="Y2317" i="24"/>
  <c r="X2317" i="24"/>
  <c r="Z357" i="23"/>
  <c r="Y357" i="23"/>
  <c r="X357" i="23"/>
  <c r="Z474" i="23"/>
  <c r="Y474" i="23"/>
  <c r="X474" i="23"/>
  <c r="Z411" i="23"/>
  <c r="X411" i="23"/>
  <c r="Y411" i="23"/>
  <c r="Z669" i="23"/>
  <c r="Y669" i="23"/>
  <c r="X669" i="23"/>
  <c r="Z2260" i="23"/>
  <c r="X2260" i="23"/>
  <c r="Y2260" i="23"/>
  <c r="Z1950" i="23"/>
  <c r="Y1950" i="23"/>
  <c r="X1950" i="23"/>
  <c r="Z2395" i="23"/>
  <c r="X2395" i="23"/>
  <c r="Y2395" i="23"/>
  <c r="Z2072" i="23"/>
  <c r="Y2072" i="23"/>
  <c r="X2072" i="23"/>
  <c r="Z2448" i="23"/>
  <c r="X2448" i="23"/>
  <c r="Y2448" i="23"/>
  <c r="Z2539" i="23"/>
  <c r="Y2539" i="23"/>
  <c r="X2539" i="23"/>
  <c r="Z2515" i="23"/>
  <c r="Y2515" i="23"/>
  <c r="X2515" i="23"/>
  <c r="X68" i="24"/>
  <c r="Z68" i="24"/>
  <c r="Y68" i="24"/>
  <c r="Y379" i="24"/>
  <c r="X379" i="24"/>
  <c r="Z379" i="24"/>
  <c r="X2096" i="24"/>
  <c r="Z2096" i="24"/>
  <c r="Y2096" i="24"/>
  <c r="X2630" i="24"/>
  <c r="Z2630" i="24"/>
  <c r="Y2630" i="24"/>
  <c r="Z358" i="23"/>
  <c r="Y358" i="23"/>
  <c r="X358" i="23"/>
  <c r="Z695" i="23"/>
  <c r="Y695" i="23"/>
  <c r="X695" i="23"/>
  <c r="Z2259" i="23"/>
  <c r="Y2259" i="23"/>
  <c r="X2259" i="23"/>
  <c r="X2244" i="23"/>
  <c r="Z2244" i="23"/>
  <c r="Y2244" i="23"/>
  <c r="Z2028" i="23"/>
  <c r="Y2028" i="23"/>
  <c r="X2028" i="23"/>
  <c r="Z1843" i="23"/>
  <c r="Y1843" i="23"/>
  <c r="X1843" i="23"/>
  <c r="X2086" i="23"/>
  <c r="Z2086" i="23"/>
  <c r="Y2086" i="23"/>
  <c r="Z2592" i="23"/>
  <c r="Y2592" i="23"/>
  <c r="X2592" i="23"/>
  <c r="Z308" i="24"/>
  <c r="Y308" i="24"/>
  <c r="X308" i="24"/>
  <c r="Z1950" i="24"/>
  <c r="X1950" i="24"/>
  <c r="Y1950" i="24"/>
  <c r="Z2132" i="24"/>
  <c r="Y2132" i="24"/>
  <c r="X2132" i="24"/>
  <c r="X2200" i="24"/>
  <c r="Z2200" i="24"/>
  <c r="Y2200" i="24"/>
  <c r="Z2220" i="24"/>
  <c r="Y2220" i="24"/>
  <c r="X2220" i="24"/>
  <c r="Z332" i="23"/>
  <c r="Y332" i="23"/>
  <c r="X332" i="23"/>
  <c r="Z379" i="23"/>
  <c r="Y379" i="23"/>
  <c r="X379" i="23"/>
  <c r="Z595" i="23"/>
  <c r="Y595" i="23"/>
  <c r="X595" i="23"/>
  <c r="Z645" i="23"/>
  <c r="Y645" i="23"/>
  <c r="X645" i="23"/>
  <c r="Z1865" i="23"/>
  <c r="X1865" i="23"/>
  <c r="Y1865" i="23"/>
  <c r="Z2247" i="23"/>
  <c r="X2247" i="23"/>
  <c r="Y2247" i="23"/>
  <c r="Z2044" i="23"/>
  <c r="Y2044" i="23"/>
  <c r="X2044" i="23"/>
  <c r="Z2104" i="23"/>
  <c r="Y2104" i="23"/>
  <c r="X2104" i="23"/>
  <c r="Z2304" i="23"/>
  <c r="Y2304" i="23"/>
  <c r="X2304" i="23"/>
  <c r="Z2628" i="23"/>
  <c r="Y2628" i="23"/>
  <c r="X2628" i="23"/>
  <c r="Z176" i="24"/>
  <c r="Y176" i="24"/>
  <c r="X176" i="24"/>
  <c r="Z319" i="24"/>
  <c r="Y319" i="24"/>
  <c r="X319" i="24"/>
  <c r="Z705" i="24"/>
  <c r="Y705" i="24"/>
  <c r="X705" i="24"/>
  <c r="Z2031" i="24"/>
  <c r="Y2031" i="24"/>
  <c r="X2031" i="24"/>
  <c r="Y2142" i="24"/>
  <c r="X2142" i="24"/>
  <c r="Z2142" i="24"/>
  <c r="Y2322" i="24"/>
  <c r="Z2322" i="24"/>
  <c r="X2322" i="24"/>
  <c r="Z2381" i="24"/>
  <c r="Y2381" i="24"/>
  <c r="X2381" i="24"/>
  <c r="Z2454" i="24"/>
  <c r="Y2454" i="24"/>
  <c r="X2454" i="24"/>
  <c r="X2620" i="24"/>
  <c r="Z2620" i="24"/>
  <c r="Y2620" i="24"/>
  <c r="Z452" i="23"/>
  <c r="Y452" i="23"/>
  <c r="X452" i="23"/>
  <c r="Z267" i="23"/>
  <c r="Y267" i="23"/>
  <c r="X267" i="23"/>
  <c r="Z366" i="23"/>
  <c r="Y366" i="23"/>
  <c r="X366" i="23"/>
  <c r="Z653" i="23"/>
  <c r="Y653" i="23"/>
  <c r="X653" i="23"/>
  <c r="X2242" i="23"/>
  <c r="Z2242" i="23"/>
  <c r="Y2242" i="23"/>
  <c r="Z2435" i="23"/>
  <c r="X2435" i="23"/>
  <c r="Y2435" i="23"/>
  <c r="Z2571" i="23"/>
  <c r="Y2571" i="23"/>
  <c r="X2571" i="23"/>
  <c r="Z2597" i="23"/>
  <c r="Y2597" i="23"/>
  <c r="X2597" i="23"/>
  <c r="Z161" i="24"/>
  <c r="Y161" i="24"/>
  <c r="X161" i="24"/>
  <c r="Y292" i="24"/>
  <c r="Z292" i="24"/>
  <c r="X289" i="24"/>
  <c r="Z289" i="24"/>
  <c r="Y289" i="24"/>
  <c r="Z418" i="24"/>
  <c r="Y418" i="24"/>
  <c r="X418" i="24"/>
  <c r="X1866" i="24"/>
  <c r="Z1866" i="24"/>
  <c r="Y1866" i="24"/>
  <c r="Y2122" i="24"/>
  <c r="X2122" i="24"/>
  <c r="Z2122" i="24"/>
  <c r="Y1971" i="24"/>
  <c r="Z1971" i="24"/>
  <c r="X1971" i="24"/>
  <c r="Z322" i="23"/>
  <c r="Z2417" i="23"/>
  <c r="X2417" i="23"/>
  <c r="Y2417" i="23"/>
  <c r="Z1902" i="24"/>
  <c r="Y1902" i="24"/>
  <c r="X1902" i="24"/>
  <c r="Y2052" i="24"/>
  <c r="X2052" i="24"/>
  <c r="Z2052" i="24"/>
  <c r="Z2323" i="24"/>
  <c r="Y2323" i="24"/>
  <c r="X2323" i="24"/>
  <c r="Z2181" i="24"/>
  <c r="Y2181" i="24"/>
  <c r="X2181" i="24"/>
  <c r="Z2285" i="24"/>
  <c r="Y2285" i="24"/>
  <c r="X2285" i="24"/>
  <c r="Z2245" i="24"/>
  <c r="Y2245" i="24"/>
  <c r="X2245" i="24"/>
  <c r="X2490" i="24"/>
  <c r="Z2490" i="24"/>
  <c r="Y2490" i="24"/>
  <c r="Y2136" i="24"/>
  <c r="Z2136" i="24"/>
  <c r="X2136" i="24"/>
  <c r="Y2104" i="24"/>
  <c r="X2104" i="24"/>
  <c r="Z2104" i="24"/>
  <c r="Z1966" i="24"/>
  <c r="Y1966" i="24"/>
  <c r="X1966" i="24"/>
  <c r="Z2088" i="24"/>
  <c r="Y2088" i="24"/>
  <c r="X2088" i="24"/>
  <c r="Z688" i="24"/>
  <c r="Y688" i="24"/>
  <c r="X688" i="24"/>
  <c r="Z261" i="23"/>
  <c r="Y261" i="23"/>
  <c r="X261" i="23"/>
  <c r="Z173" i="23"/>
  <c r="Y173" i="23"/>
  <c r="X173" i="23"/>
  <c r="Z372" i="23"/>
  <c r="Y372" i="23"/>
  <c r="X372" i="23"/>
  <c r="Z342" i="23"/>
  <c r="Y342" i="23"/>
  <c r="X342" i="23"/>
  <c r="Z403" i="23"/>
  <c r="X403" i="23"/>
  <c r="Y403" i="23"/>
  <c r="X702" i="23"/>
  <c r="Z702" i="23"/>
  <c r="Y702" i="23"/>
  <c r="Y2223" i="23"/>
  <c r="X2223" i="23"/>
  <c r="Z2223" i="23"/>
  <c r="Z2011" i="23"/>
  <c r="Y2011" i="23"/>
  <c r="X2011" i="23"/>
  <c r="Z2027" i="23"/>
  <c r="Y2027" i="23"/>
  <c r="X2027" i="23"/>
  <c r="Z2090" i="23"/>
  <c r="Y2090" i="23"/>
  <c r="X2090" i="23"/>
  <c r="X2129" i="23"/>
  <c r="Z2129" i="23"/>
  <c r="Y2129" i="23"/>
  <c r="Z2278" i="23"/>
  <c r="Y2278" i="23"/>
  <c r="X2278" i="23"/>
  <c r="Z2328" i="23"/>
  <c r="Y2328" i="23"/>
  <c r="X2328" i="23"/>
  <c r="Z2580" i="23"/>
  <c r="Y2580" i="23"/>
  <c r="X2580" i="23"/>
  <c r="Z345" i="24"/>
  <c r="Y345" i="24"/>
  <c r="X345" i="24"/>
  <c r="Y1716" i="24"/>
  <c r="X1716" i="24"/>
  <c r="Z1716" i="24"/>
  <c r="X1898" i="24"/>
  <c r="Z1898" i="24"/>
  <c r="Y1898" i="24"/>
  <c r="Z2027" i="24"/>
  <c r="X2027" i="24"/>
  <c r="Y2027" i="24"/>
  <c r="X2472" i="24"/>
  <c r="Z2472" i="24"/>
  <c r="Y2472" i="24"/>
  <c r="X476" i="23"/>
  <c r="Z476" i="23"/>
  <c r="Y476" i="23"/>
  <c r="W18" i="23"/>
  <c r="Z310" i="23"/>
  <c r="Y310" i="23"/>
  <c r="X310" i="23"/>
  <c r="Q2714" i="23"/>
  <c r="W840" i="23"/>
  <c r="Z1702" i="23"/>
  <c r="Y1702" i="23"/>
  <c r="X1702" i="23"/>
  <c r="Z1881" i="23"/>
  <c r="X1881" i="23"/>
  <c r="Y1881" i="23"/>
  <c r="Z2010" i="23"/>
  <c r="Y2010" i="23"/>
  <c r="X2010" i="23"/>
  <c r="Y550" i="24"/>
  <c r="X550" i="24"/>
  <c r="Z550" i="24"/>
  <c r="Y1710" i="24"/>
  <c r="Z1710" i="24"/>
  <c r="X1710" i="24"/>
  <c r="Y2003" i="24"/>
  <c r="Z2003" i="24"/>
  <c r="X2003" i="24"/>
  <c r="Z2235" i="24"/>
  <c r="Y2235" i="24"/>
  <c r="X2235" i="24"/>
  <c r="Z2307" i="24"/>
  <c r="Y2307" i="24"/>
  <c r="X2307" i="24"/>
  <c r="Z2513" i="24"/>
  <c r="Y2513" i="24"/>
  <c r="X2513" i="24"/>
  <c r="Z787" i="23"/>
  <c r="Y787" i="23"/>
  <c r="X787" i="23"/>
  <c r="Z283" i="23"/>
  <c r="Y283" i="23"/>
  <c r="X283" i="23"/>
  <c r="X683" i="23"/>
  <c r="Z683" i="23"/>
  <c r="Y683" i="23"/>
  <c r="Z2262" i="23"/>
  <c r="X2262" i="23"/>
  <c r="Y2262" i="23"/>
  <c r="Z2197" i="23"/>
  <c r="Y2197" i="23"/>
  <c r="X2197" i="23"/>
  <c r="Z2250" i="23"/>
  <c r="X2250" i="23"/>
  <c r="Y2250" i="23"/>
  <c r="X2054" i="23"/>
  <c r="Z2054" i="23"/>
  <c r="Y2054" i="23"/>
  <c r="Z2509" i="23"/>
  <c r="Y2509" i="23"/>
  <c r="X2509" i="23"/>
  <c r="Z2487" i="23"/>
  <c r="X2487" i="23"/>
  <c r="Y2487" i="23"/>
  <c r="Z2586" i="23"/>
  <c r="Y2586" i="23"/>
  <c r="X2586" i="23"/>
  <c r="Y148" i="24"/>
  <c r="X148" i="24"/>
  <c r="Z148" i="24"/>
  <c r="Z286" i="24"/>
  <c r="Y286" i="24"/>
  <c r="X286" i="24"/>
  <c r="Z2044" i="24"/>
  <c r="Y2044" i="24"/>
  <c r="X2044" i="24"/>
  <c r="Y2161" i="24"/>
  <c r="X2161" i="24"/>
  <c r="Z2161" i="24"/>
  <c r="Z2259" i="24"/>
  <c r="Y2259" i="24"/>
  <c r="X2259" i="24"/>
  <c r="Z158" i="23"/>
  <c r="Y158" i="23"/>
  <c r="X158" i="23"/>
  <c r="Y673" i="23"/>
  <c r="X673" i="23"/>
  <c r="Z673" i="23"/>
  <c r="Y1951" i="23"/>
  <c r="X1951" i="23"/>
  <c r="Z1951" i="23"/>
  <c r="Z2430" i="23"/>
  <c r="X2430" i="23"/>
  <c r="Y2430" i="23"/>
  <c r="X2536" i="23"/>
  <c r="Z2536" i="23"/>
  <c r="Y2536" i="23"/>
  <c r="Z402" i="24"/>
  <c r="X402" i="24"/>
  <c r="Y402" i="24"/>
  <c r="Y438" i="24"/>
  <c r="X438" i="24"/>
  <c r="Z438" i="24"/>
  <c r="Z681" i="24"/>
  <c r="Y681" i="24"/>
  <c r="X681" i="24"/>
  <c r="Y2346" i="24"/>
  <c r="X2346" i="24"/>
  <c r="Z2346" i="24"/>
  <c r="Z2529" i="24"/>
  <c r="Y2529" i="24"/>
  <c r="X2529" i="24"/>
  <c r="Z2515" i="24"/>
  <c r="Y2515" i="24"/>
  <c r="X2515" i="24"/>
  <c r="Y326" i="23"/>
  <c r="X326" i="23"/>
  <c r="Z326" i="23"/>
  <c r="Y557" i="23"/>
  <c r="X557" i="23"/>
  <c r="Z557" i="23"/>
  <c r="Z682" i="23"/>
  <c r="Y682" i="23"/>
  <c r="X682" i="23"/>
  <c r="Z1980" i="23"/>
  <c r="Y1980" i="23"/>
  <c r="X1980" i="23"/>
  <c r="Y2277" i="23"/>
  <c r="X2277" i="23"/>
  <c r="Z2277" i="23"/>
  <c r="Z2613" i="23"/>
  <c r="Y2613" i="23"/>
  <c r="X2613" i="23"/>
  <c r="Z473" i="24"/>
  <c r="Y473" i="24"/>
  <c r="X473" i="24"/>
  <c r="Z640" i="24"/>
  <c r="Y640" i="24"/>
  <c r="X1919" i="24"/>
  <c r="Z1919" i="24"/>
  <c r="Y1919" i="24"/>
  <c r="X2391" i="24"/>
  <c r="Z2391" i="24"/>
  <c r="Y2391" i="24"/>
  <c r="Z684" i="23"/>
  <c r="Y684" i="23"/>
  <c r="X684" i="23"/>
  <c r="Z649" i="23"/>
  <c r="Y649" i="23"/>
  <c r="X649" i="23"/>
  <c r="Z2076" i="23"/>
  <c r="Y2076" i="23"/>
  <c r="X2076" i="23"/>
  <c r="Z1866" i="23"/>
  <c r="Y1866" i="23"/>
  <c r="X1866" i="23"/>
  <c r="Z2058" i="23"/>
  <c r="Y2058" i="23"/>
  <c r="X2058" i="23"/>
  <c r="Z1918" i="23"/>
  <c r="Y1918" i="23"/>
  <c r="X1918" i="23"/>
  <c r="Z2232" i="23"/>
  <c r="Y2232" i="23"/>
  <c r="X2232" i="23"/>
  <c r="Z2428" i="23"/>
  <c r="X2428" i="23"/>
  <c r="Y2428" i="23"/>
  <c r="Z177" i="24"/>
  <c r="Y177" i="24"/>
  <c r="X177" i="24"/>
  <c r="X783" i="24"/>
  <c r="Z783" i="24"/>
  <c r="Y783" i="24"/>
  <c r="Z654" i="24"/>
  <c r="Y654" i="24"/>
  <c r="X654" i="24"/>
  <c r="Z709" i="24"/>
  <c r="Y709" i="24"/>
  <c r="X709" i="24"/>
  <c r="Y2032" i="24"/>
  <c r="Z2032" i="24"/>
  <c r="X2032" i="24"/>
  <c r="Y2066" i="24"/>
  <c r="X2066" i="24"/>
  <c r="Z2066" i="24"/>
  <c r="X2141" i="24"/>
  <c r="Y2141" i="24"/>
  <c r="Z2141" i="24"/>
  <c r="X2292" i="24"/>
  <c r="Z2292" i="24"/>
  <c r="Y2292" i="24"/>
  <c r="Z2452" i="24"/>
  <c r="Y2452" i="24"/>
  <c r="X2452" i="24"/>
  <c r="Z2561" i="24"/>
  <c r="Y2561" i="24"/>
  <c r="X2561" i="24"/>
  <c r="Z90" i="23"/>
  <c r="Y90" i="23"/>
  <c r="X90" i="23"/>
  <c r="Z420" i="23"/>
  <c r="Y420" i="23"/>
  <c r="X420" i="23"/>
  <c r="Z370" i="23"/>
  <c r="Y370" i="23"/>
  <c r="X370" i="23"/>
  <c r="Z651" i="23"/>
  <c r="Y651" i="23"/>
  <c r="X651" i="23"/>
  <c r="Z1982" i="23"/>
  <c r="Y1982" i="23"/>
  <c r="X1982" i="23"/>
  <c r="Z2573" i="23"/>
  <c r="Y2573" i="23"/>
  <c r="X2573" i="23"/>
  <c r="Z2599" i="23"/>
  <c r="Y2599" i="23"/>
  <c r="X2599" i="23"/>
  <c r="Z333" i="24"/>
  <c r="Y333" i="24"/>
  <c r="X333" i="24"/>
  <c r="Z655" i="24"/>
  <c r="Y655" i="24"/>
  <c r="X655" i="24"/>
  <c r="Z417" i="24"/>
  <c r="Y417" i="24"/>
  <c r="X417" i="24"/>
  <c r="Z420" i="24"/>
  <c r="Y420" i="24"/>
  <c r="X420" i="24"/>
  <c r="Y1867" i="24"/>
  <c r="X1867" i="24"/>
  <c r="Z1867" i="24"/>
  <c r="Z1972" i="24"/>
  <c r="Y1972" i="24"/>
  <c r="X1972" i="24"/>
  <c r="Z2338" i="24"/>
  <c r="Y2338" i="24"/>
  <c r="X2338" i="24"/>
  <c r="X322" i="23"/>
  <c r="Y661" i="23"/>
  <c r="X1752" i="23"/>
  <c r="Z1752" i="23"/>
  <c r="Y1752" i="23"/>
  <c r="Z2263" i="23"/>
  <c r="Y2263" i="23"/>
  <c r="X2263" i="23"/>
  <c r="Z1930" i="23"/>
  <c r="Y1930" i="23"/>
  <c r="X1930" i="23"/>
  <c r="Z2135" i="23"/>
  <c r="Y2135" i="23"/>
  <c r="X2135" i="23"/>
  <c r="Z370" i="24"/>
  <c r="Y370" i="24"/>
  <c r="X370" i="24"/>
  <c r="X786" i="24"/>
  <c r="Z786" i="24"/>
  <c r="Y786" i="24"/>
  <c r="X2115" i="24"/>
  <c r="Z2115" i="24"/>
  <c r="Y2115" i="24"/>
  <c r="Y2051" i="24"/>
  <c r="X2051" i="24"/>
  <c r="Z2051" i="24"/>
  <c r="X2144" i="24"/>
  <c r="Z2144" i="24"/>
  <c r="Y2144" i="24"/>
  <c r="Z2184" i="24"/>
  <c r="Y2184" i="24"/>
  <c r="X2184" i="24"/>
  <c r="Z2287" i="24"/>
  <c r="Y2287" i="24"/>
  <c r="X2287" i="24"/>
  <c r="X2242" i="24"/>
  <c r="Z2242" i="24"/>
  <c r="Y2242" i="24"/>
  <c r="Z326" i="24"/>
  <c r="Y326" i="24"/>
  <c r="X326" i="24"/>
  <c r="Y665" i="24"/>
  <c r="X665" i="24"/>
  <c r="Z665" i="24"/>
  <c r="Z689" i="24"/>
  <c r="Y689" i="24"/>
  <c r="X689" i="24"/>
  <c r="Z1720" i="24"/>
  <c r="X1720" i="24"/>
  <c r="Y1720" i="24"/>
  <c r="X356" i="23"/>
  <c r="Z356" i="23"/>
  <c r="Y356" i="23"/>
  <c r="Z376" i="23"/>
  <c r="Y376" i="23"/>
  <c r="X376" i="23"/>
  <c r="X346" i="23"/>
  <c r="Z346" i="23"/>
  <c r="Y346" i="23"/>
  <c r="Z404" i="23"/>
  <c r="Y404" i="23"/>
  <c r="X404" i="23"/>
  <c r="Z681" i="23"/>
  <c r="Y681" i="23"/>
  <c r="X681" i="23"/>
  <c r="Z700" i="23"/>
  <c r="Y700" i="23"/>
  <c r="X700" i="23"/>
  <c r="Z2126" i="23"/>
  <c r="Y2126" i="23"/>
  <c r="X2126" i="23"/>
  <c r="Y2225" i="23"/>
  <c r="X2225" i="23"/>
  <c r="Z2225" i="23"/>
  <c r="Z2196" i="23"/>
  <c r="Y2196" i="23"/>
  <c r="X2196" i="23"/>
  <c r="Z2091" i="23"/>
  <c r="Y2091" i="23"/>
  <c r="X2091" i="23"/>
  <c r="Z2132" i="23"/>
  <c r="Y2132" i="23"/>
  <c r="X2132" i="23"/>
  <c r="Z2433" i="23"/>
  <c r="X2433" i="23"/>
  <c r="Y2433" i="23"/>
  <c r="Z2601" i="23"/>
  <c r="Y2601" i="23"/>
  <c r="X2601" i="23"/>
  <c r="Z234" i="24"/>
  <c r="Y234" i="24"/>
  <c r="X234" i="24"/>
  <c r="Z158" i="24"/>
  <c r="Y158" i="24"/>
  <c r="X158" i="24"/>
  <c r="Y343" i="24"/>
  <c r="X343" i="24"/>
  <c r="Z343" i="24"/>
  <c r="Z1724" i="24"/>
  <c r="Y1724" i="24"/>
  <c r="X1724" i="24"/>
  <c r="Z1899" i="24"/>
  <c r="Y1899" i="24"/>
  <c r="X1899" i="24"/>
  <c r="Z2028" i="24"/>
  <c r="Y2028" i="24"/>
  <c r="X2028" i="24"/>
  <c r="Y2211" i="24"/>
  <c r="Z2211" i="24"/>
  <c r="X2211" i="24"/>
  <c r="Z2175" i="23"/>
  <c r="Y2175" i="23"/>
  <c r="X2175" i="23"/>
  <c r="Z1882" i="23"/>
  <c r="Y1882" i="23"/>
  <c r="X1882" i="23"/>
  <c r="Z2075" i="23"/>
  <c r="Y2075" i="23"/>
  <c r="X2075" i="23"/>
  <c r="Z2559" i="23"/>
  <c r="Y2559" i="23"/>
  <c r="X2559" i="23"/>
  <c r="X1924" i="24"/>
  <c r="Z1924" i="24"/>
  <c r="Y1924" i="24"/>
  <c r="Z1812" i="24"/>
  <c r="Y1812" i="24"/>
  <c r="X1812" i="24"/>
  <c r="Z1938" i="24"/>
  <c r="Y1938" i="24"/>
  <c r="X1938" i="24"/>
  <c r="Y1947" i="24"/>
  <c r="Z1947" i="24"/>
  <c r="X1947" i="24"/>
  <c r="Z2010" i="24"/>
  <c r="X2010" i="24"/>
  <c r="Y2010" i="24"/>
  <c r="X2004" i="24"/>
  <c r="Z2004" i="24"/>
  <c r="Y2004" i="24"/>
  <c r="X2237" i="24"/>
  <c r="Z2237" i="24"/>
  <c r="Y2237" i="24"/>
  <c r="Z2308" i="24"/>
  <c r="Y2308" i="24"/>
  <c r="X2308" i="24"/>
  <c r="Z475" i="23"/>
  <c r="Y475" i="23"/>
  <c r="X475" i="23"/>
  <c r="Z362" i="23"/>
  <c r="Y362" i="23"/>
  <c r="X362" i="23"/>
  <c r="Z2160" i="23"/>
  <c r="Y2160" i="23"/>
  <c r="X2160" i="23"/>
  <c r="Z1964" i="23"/>
  <c r="Y1964" i="23"/>
  <c r="X1964" i="23"/>
  <c r="Z2449" i="23"/>
  <c r="X2449" i="23"/>
  <c r="Y2449" i="23"/>
  <c r="Z2508" i="23"/>
  <c r="X2508" i="23"/>
  <c r="Y2508" i="23"/>
  <c r="Z2507" i="23"/>
  <c r="Y2507" i="23"/>
  <c r="X2507" i="23"/>
  <c r="Z2489" i="23"/>
  <c r="X2489" i="23"/>
  <c r="Y2489" i="23"/>
  <c r="Z2607" i="23"/>
  <c r="Y2607" i="23"/>
  <c r="X2607" i="23"/>
  <c r="Z340" i="24"/>
  <c r="Y340" i="24"/>
  <c r="X340" i="24"/>
  <c r="Z456" i="24"/>
  <c r="Y456" i="24"/>
  <c r="X456" i="24"/>
  <c r="Z649" i="24"/>
  <c r="Y649" i="24"/>
  <c r="X649" i="24"/>
  <c r="Z1990" i="24"/>
  <c r="Y1990" i="24"/>
  <c r="X1990" i="24"/>
  <c r="Y2162" i="24"/>
  <c r="Z2162" i="24"/>
  <c r="X2162" i="24"/>
  <c r="Z2261" i="24"/>
  <c r="Y2261" i="24"/>
  <c r="X2261" i="24"/>
  <c r="X672" i="23"/>
  <c r="Z672" i="23"/>
  <c r="Y672" i="23"/>
  <c r="Z1716" i="23"/>
  <c r="Y1716" i="23"/>
  <c r="X1716" i="23"/>
  <c r="Z2409" i="23"/>
  <c r="X2409" i="23"/>
  <c r="Y2409" i="23"/>
  <c r="X2538" i="23"/>
  <c r="Z2538" i="23"/>
  <c r="Y2538" i="23"/>
  <c r="X442" i="24"/>
  <c r="Z442" i="24"/>
  <c r="Y442" i="24"/>
  <c r="Z380" i="24"/>
  <c r="Y380" i="24"/>
  <c r="X380" i="24"/>
  <c r="X685" i="24"/>
  <c r="Z685" i="24"/>
  <c r="Y685" i="24"/>
  <c r="Z1951" i="24"/>
  <c r="Y1951" i="24"/>
  <c r="X1951" i="24"/>
  <c r="Z1878" i="24"/>
  <c r="Y1878" i="24"/>
  <c r="X1878" i="24"/>
  <c r="Y1955" i="24"/>
  <c r="Z1955" i="24"/>
  <c r="X1955" i="24"/>
  <c r="Z2482" i="24"/>
  <c r="X2482" i="24"/>
  <c r="Y2482" i="24"/>
  <c r="Z2533" i="24"/>
  <c r="Y2533" i="24"/>
  <c r="X2533" i="24"/>
  <c r="X324" i="23"/>
  <c r="Z324" i="23"/>
  <c r="Y324" i="23"/>
  <c r="Z454" i="23"/>
  <c r="Y454" i="23"/>
  <c r="X454" i="23"/>
  <c r="Z693" i="23"/>
  <c r="Y693" i="23"/>
  <c r="X693" i="23"/>
  <c r="X2368" i="23"/>
  <c r="Z2368" i="23"/>
  <c r="Y2368" i="23"/>
  <c r="Z2589" i="23"/>
  <c r="Y2589" i="23"/>
  <c r="X2589" i="23"/>
  <c r="Z2615" i="23"/>
  <c r="Y2615" i="23"/>
  <c r="X2615" i="23"/>
  <c r="Z476" i="24"/>
  <c r="Y476" i="24"/>
  <c r="X476" i="24"/>
  <c r="Z2201" i="24"/>
  <c r="X2201" i="24"/>
  <c r="Y2201" i="24"/>
  <c r="Z2217" i="24"/>
  <c r="X2217" i="24"/>
  <c r="Y2217" i="24"/>
  <c r="Y2344" i="24"/>
  <c r="X2344" i="24"/>
  <c r="Z2344" i="24"/>
  <c r="Z2392" i="24"/>
  <c r="X2392" i="24"/>
  <c r="Y2392" i="24"/>
  <c r="Z2485" i="24"/>
  <c r="Y2485" i="24"/>
  <c r="X2485" i="24"/>
  <c r="Z380" i="23"/>
  <c r="Y380" i="23"/>
  <c r="X380" i="23"/>
  <c r="Y636" i="23"/>
  <c r="Z636" i="23"/>
  <c r="Z648" i="23"/>
  <c r="Y648" i="23"/>
  <c r="X648" i="23"/>
  <c r="Z2172" i="23"/>
  <c r="Y2172" i="23"/>
  <c r="X2172" i="23"/>
  <c r="Z2243" i="23"/>
  <c r="X2243" i="23"/>
  <c r="Y2243" i="23"/>
  <c r="Z1867" i="23"/>
  <c r="Y1867" i="23"/>
  <c r="X1867" i="23"/>
  <c r="Z2059" i="23"/>
  <c r="Y2059" i="23"/>
  <c r="X2059" i="23"/>
  <c r="Y1919" i="23"/>
  <c r="X1919" i="23"/>
  <c r="Z1919" i="23"/>
  <c r="Z2230" i="23"/>
  <c r="Y2230" i="23"/>
  <c r="X2230" i="23"/>
  <c r="Z2446" i="23"/>
  <c r="X2446" i="23"/>
  <c r="Y2446" i="23"/>
  <c r="Z2625" i="23"/>
  <c r="Y2625" i="23"/>
  <c r="X2625" i="23"/>
  <c r="X444" i="24"/>
  <c r="Z444" i="24"/>
  <c r="Y444" i="24"/>
  <c r="Z673" i="24"/>
  <c r="Y673" i="24"/>
  <c r="X673" i="24"/>
  <c r="Z708" i="24"/>
  <c r="Y708" i="24"/>
  <c r="X708" i="24"/>
  <c r="Z2347" i="24"/>
  <c r="Y2347" i="24"/>
  <c r="X2347" i="24"/>
  <c r="Z2382" i="24"/>
  <c r="Y2382" i="24"/>
  <c r="X2382" i="24"/>
  <c r="Z2455" i="24"/>
  <c r="X2455" i="24"/>
  <c r="Y2455" i="24"/>
  <c r="Z2559" i="24"/>
  <c r="X2559" i="24"/>
  <c r="Y2559" i="24"/>
  <c r="Y2623" i="24"/>
  <c r="Z2623" i="24"/>
  <c r="X2623" i="24"/>
  <c r="Z422" i="23"/>
  <c r="Y422" i="23"/>
  <c r="X422" i="23"/>
  <c r="Y450" i="23"/>
  <c r="Z450" i="23"/>
  <c r="X450" i="23"/>
  <c r="Z685" i="23"/>
  <c r="Y685" i="23"/>
  <c r="X685" i="23"/>
  <c r="Z369" i="23"/>
  <c r="Y369" i="23"/>
  <c r="X369" i="23"/>
  <c r="X655" i="23"/>
  <c r="Z655" i="23"/>
  <c r="Y655" i="23"/>
  <c r="Y1983" i="23"/>
  <c r="X1983" i="23"/>
  <c r="Z1983" i="23"/>
  <c r="Y1836" i="23"/>
  <c r="X1836" i="23"/>
  <c r="Z1836" i="23"/>
  <c r="Z2302" i="23"/>
  <c r="Y2302" i="23"/>
  <c r="X2302" i="23"/>
  <c r="Z2575" i="23"/>
  <c r="Y2575" i="23"/>
  <c r="X2575" i="23"/>
  <c r="Z331" i="24"/>
  <c r="Y331" i="24"/>
  <c r="X331" i="24"/>
  <c r="Z415" i="24"/>
  <c r="Y415" i="24"/>
  <c r="X415" i="24"/>
  <c r="Z424" i="24"/>
  <c r="Y424" i="24"/>
  <c r="X424" i="24"/>
  <c r="Z653" i="24"/>
  <c r="Y653" i="24"/>
  <c r="X653" i="24"/>
  <c r="X1882" i="24"/>
  <c r="Y1882" i="24"/>
  <c r="Z1882" i="24"/>
  <c r="X2121" i="24"/>
  <c r="Z2121" i="24"/>
  <c r="Y2121" i="24"/>
  <c r="Z2340" i="24"/>
  <c r="Y2340" i="24"/>
  <c r="X2340" i="24"/>
  <c r="X2514" i="24"/>
  <c r="Z2514" i="24"/>
  <c r="Y2514" i="24"/>
  <c r="X2676" i="24"/>
  <c r="Z2676" i="24"/>
  <c r="Y2676" i="24"/>
  <c r="Z2173" i="23"/>
  <c r="Y2173" i="23"/>
  <c r="X2173" i="23"/>
  <c r="Z1948" i="23"/>
  <c r="Y1948" i="23"/>
  <c r="X1948" i="23"/>
  <c r="X2253" i="23"/>
  <c r="Z2253" i="23"/>
  <c r="Y2253" i="23"/>
  <c r="Z369" i="24"/>
  <c r="Y369" i="24"/>
  <c r="X369" i="24"/>
  <c r="Z1881" i="24"/>
  <c r="Y1881" i="24"/>
  <c r="X1881" i="24"/>
  <c r="Z2116" i="24"/>
  <c r="Y2116" i="24"/>
  <c r="X2116" i="24"/>
  <c r="Z1901" i="24"/>
  <c r="Y1901" i="24"/>
  <c r="X1901" i="24"/>
  <c r="Z2146" i="24"/>
  <c r="Y2146" i="24"/>
  <c r="X2146" i="24"/>
  <c r="Z2182" i="24"/>
  <c r="Y2182" i="24"/>
  <c r="X2182" i="24"/>
  <c r="Z2487" i="24"/>
  <c r="Y2487" i="24"/>
  <c r="X2487" i="24"/>
  <c r="Z2134" i="24"/>
  <c r="Y2134" i="24"/>
  <c r="X2134" i="24"/>
  <c r="Z324" i="24"/>
  <c r="Y324" i="24"/>
  <c r="X324" i="24"/>
  <c r="Z1848" i="23"/>
  <c r="Y1848" i="23"/>
  <c r="X1848" i="23"/>
  <c r="Z1968" i="24"/>
  <c r="Y1968" i="24"/>
  <c r="X1968" i="24"/>
  <c r="X1721" i="24"/>
  <c r="Z1721" i="24"/>
  <c r="Y1721" i="24"/>
  <c r="X354" i="22"/>
  <c r="Z354" i="22"/>
  <c r="Y354" i="22"/>
  <c r="Z416" i="22"/>
  <c r="Y416" i="22"/>
  <c r="X416" i="22"/>
  <c r="X788" i="22"/>
  <c r="Z788" i="22"/>
  <c r="Y788" i="22"/>
  <c r="Z1895" i="22"/>
  <c r="Y1895" i="22"/>
  <c r="X1895" i="22"/>
  <c r="Z1916" i="22"/>
  <c r="Y1916" i="22"/>
  <c r="X1916" i="22"/>
  <c r="X2027" i="22"/>
  <c r="Z2027" i="22"/>
  <c r="Y2027" i="22"/>
  <c r="Z2207" i="22"/>
  <c r="Y2207" i="22"/>
  <c r="X2207" i="22"/>
  <c r="Z2278" i="22"/>
  <c r="Y2278" i="22"/>
  <c r="X2278" i="22"/>
  <c r="Z2501" i="22"/>
  <c r="X2501" i="22"/>
  <c r="Y2501" i="22"/>
  <c r="Y151" i="22"/>
  <c r="X151" i="22"/>
  <c r="Z151" i="22"/>
  <c r="Z782" i="22"/>
  <c r="X782" i="22"/>
  <c r="Y782" i="22"/>
  <c r="Z1713" i="22"/>
  <c r="Y1713" i="22"/>
  <c r="X1713" i="22"/>
  <c r="X1964" i="22"/>
  <c r="Z1964" i="22"/>
  <c r="Y1964" i="22"/>
  <c r="Z1992" i="22"/>
  <c r="X1992" i="22"/>
  <c r="Y1992" i="22"/>
  <c r="Z2108" i="22"/>
  <c r="Y2108" i="22"/>
  <c r="X2108" i="22"/>
  <c r="Z2046" i="22"/>
  <c r="Y2046" i="22"/>
  <c r="X2046" i="22"/>
  <c r="Z2359" i="22"/>
  <c r="Y2359" i="22"/>
  <c r="X2359" i="22"/>
  <c r="Z2465" i="22"/>
  <c r="Y2465" i="22"/>
  <c r="X2465" i="22"/>
  <c r="Y148" i="22"/>
  <c r="X148" i="22"/>
  <c r="Z148" i="22"/>
  <c r="Z300" i="22"/>
  <c r="Y300" i="22"/>
  <c r="X300" i="22"/>
  <c r="Z2201" i="22"/>
  <c r="Y2201" i="22"/>
  <c r="X2201" i="22"/>
  <c r="Z2043" i="22"/>
  <c r="Y2043" i="22"/>
  <c r="X2043" i="22"/>
  <c r="Z2218" i="22"/>
  <c r="Y2218" i="22"/>
  <c r="X2218" i="22"/>
  <c r="X2519" i="22"/>
  <c r="Z2519" i="22"/>
  <c r="Y2519" i="22"/>
  <c r="Y433" i="22"/>
  <c r="X433" i="22"/>
  <c r="Z433" i="22"/>
  <c r="Z1852" i="22"/>
  <c r="Y1852" i="22"/>
  <c r="X1852" i="22"/>
  <c r="X2136" i="22"/>
  <c r="Z2136" i="22"/>
  <c r="Y2136" i="22"/>
  <c r="Z2291" i="22"/>
  <c r="Y2291" i="22"/>
  <c r="X2291" i="22"/>
  <c r="Z2313" i="22"/>
  <c r="Y2313" i="22"/>
  <c r="X2313" i="22"/>
  <c r="Y2371" i="22"/>
  <c r="Z2371" i="22"/>
  <c r="X2371" i="22"/>
  <c r="Z2403" i="22"/>
  <c r="Y2403" i="22"/>
  <c r="X2403" i="22"/>
  <c r="Z2573" i="22"/>
  <c r="X2573" i="22"/>
  <c r="Y2573" i="22"/>
  <c r="Y168" i="22"/>
  <c r="X168" i="22"/>
  <c r="Z168" i="22"/>
  <c r="Z361" i="22"/>
  <c r="Y361" i="22"/>
  <c r="X361" i="22"/>
  <c r="X259" i="22"/>
  <c r="Z259" i="22"/>
  <c r="Y259" i="22"/>
  <c r="Z1878" i="22"/>
  <c r="Y1878" i="22"/>
  <c r="X1878" i="22"/>
  <c r="Z2034" i="22"/>
  <c r="X2034" i="22"/>
  <c r="Y2034" i="22"/>
  <c r="Y2020" i="22"/>
  <c r="X2020" i="22"/>
  <c r="Z2020" i="22"/>
  <c r="Z2473" i="22"/>
  <c r="Y2473" i="22"/>
  <c r="X2473" i="22"/>
  <c r="Y2333" i="22"/>
  <c r="Z2333" i="22"/>
  <c r="X2333" i="22"/>
  <c r="Y2341" i="22"/>
  <c r="Z2341" i="22"/>
  <c r="X2341" i="22"/>
  <c r="Z194" i="22"/>
  <c r="Y194" i="22"/>
  <c r="X194" i="22"/>
  <c r="X645" i="22"/>
  <c r="Z645" i="22"/>
  <c r="Y645" i="22"/>
  <c r="Z2296" i="22"/>
  <c r="Y2296" i="22"/>
  <c r="X2296" i="22"/>
  <c r="Z198" i="22"/>
  <c r="Y198" i="22"/>
  <c r="X198" i="22"/>
  <c r="X2011" i="22"/>
  <c r="Z2011" i="22"/>
  <c r="Y2011" i="22"/>
  <c r="Z1998" i="22"/>
  <c r="Y1998" i="22"/>
  <c r="X1998" i="22"/>
  <c r="Z2076" i="22"/>
  <c r="Y2076" i="22"/>
  <c r="X2076" i="22"/>
  <c r="Z2254" i="22"/>
  <c r="Y2254" i="22"/>
  <c r="X2254" i="22"/>
  <c r="Z2476" i="22"/>
  <c r="Y2476" i="22"/>
  <c r="X2476" i="22"/>
  <c r="W116" i="22"/>
  <c r="Z160" i="22"/>
  <c r="X160" i="22"/>
  <c r="Y160" i="22"/>
  <c r="Z350" i="22"/>
  <c r="Y350" i="22"/>
  <c r="X350" i="22"/>
  <c r="Z661" i="22"/>
  <c r="Y661" i="22"/>
  <c r="X661" i="22"/>
  <c r="Z408" i="22"/>
  <c r="Y408" i="22"/>
  <c r="X408" i="22"/>
  <c r="Z1810" i="22"/>
  <c r="Y1810" i="22"/>
  <c r="X1810" i="22"/>
  <c r="Y2003" i="22"/>
  <c r="X2003" i="22"/>
  <c r="Z2003" i="22"/>
  <c r="Y1861" i="22"/>
  <c r="X1861" i="22"/>
  <c r="Z1861" i="22"/>
  <c r="Y2006" i="22"/>
  <c r="X2006" i="22"/>
  <c r="Z2006" i="22"/>
  <c r="Y2144" i="22"/>
  <c r="X2144" i="22"/>
  <c r="Z2144" i="22"/>
  <c r="Z2139" i="22"/>
  <c r="Y2139" i="22"/>
  <c r="X2139" i="22"/>
  <c r="X2323" i="22"/>
  <c r="Z2323" i="22"/>
  <c r="Y2323" i="22"/>
  <c r="Z2451" i="22"/>
  <c r="X2451" i="22"/>
  <c r="Y2451" i="22"/>
  <c r="Z2550" i="22"/>
  <c r="Y2550" i="22"/>
  <c r="X2550" i="22"/>
  <c r="Y1657" i="22"/>
  <c r="X1657" i="22"/>
  <c r="Z1657" i="22"/>
  <c r="Y706" i="22"/>
  <c r="Z706" i="22"/>
  <c r="X706" i="22"/>
  <c r="Z1870" i="22"/>
  <c r="Y1870" i="22"/>
  <c r="X1870" i="22"/>
  <c r="Z2418" i="22"/>
  <c r="Y2418" i="22"/>
  <c r="X2418" i="22"/>
  <c r="Z1886" i="22"/>
  <c r="Y1886" i="22"/>
  <c r="X1886" i="22"/>
  <c r="Z124" i="22"/>
  <c r="Y124" i="22"/>
  <c r="X124" i="22"/>
  <c r="Z372" i="22"/>
  <c r="Y372" i="22"/>
  <c r="X372" i="22"/>
  <c r="X358" i="22"/>
  <c r="Z358" i="22"/>
  <c r="Y358" i="22"/>
  <c r="Q2715" i="22"/>
  <c r="W1690" i="22"/>
  <c r="Z2205" i="22"/>
  <c r="Y2205" i="22"/>
  <c r="X2205" i="22"/>
  <c r="Y2067" i="22"/>
  <c r="X2067" i="22"/>
  <c r="Z2067" i="22"/>
  <c r="Z2280" i="22"/>
  <c r="Y2280" i="22"/>
  <c r="X2280" i="22"/>
  <c r="Z2502" i="22"/>
  <c r="Y2502" i="22"/>
  <c r="X2502" i="22"/>
  <c r="Z152" i="22"/>
  <c r="Y152" i="22"/>
  <c r="X152" i="22"/>
  <c r="Z366" i="22"/>
  <c r="Y366" i="22"/>
  <c r="X366" i="22"/>
  <c r="Z426" i="22"/>
  <c r="Y426" i="22"/>
  <c r="X426" i="22"/>
  <c r="W528" i="22"/>
  <c r="Y783" i="22"/>
  <c r="X783" i="22"/>
  <c r="Z783" i="22"/>
  <c r="Z1822" i="22"/>
  <c r="Y1822" i="22"/>
  <c r="X1822" i="22"/>
  <c r="Y1963" i="22"/>
  <c r="X1963" i="22"/>
  <c r="Z1963" i="22"/>
  <c r="Y2114" i="22"/>
  <c r="Z2114" i="22"/>
  <c r="X2114" i="22"/>
  <c r="Z2048" i="22"/>
  <c r="Y2048" i="22"/>
  <c r="X2048" i="22"/>
  <c r="Z2355" i="22"/>
  <c r="Y2355" i="22"/>
  <c r="X2355" i="22"/>
  <c r="Z2466" i="22"/>
  <c r="Y2466" i="22"/>
  <c r="X2466" i="22"/>
  <c r="Y126" i="22"/>
  <c r="Z126" i="22"/>
  <c r="X126" i="22"/>
  <c r="X330" i="22"/>
  <c r="Z330" i="22"/>
  <c r="Y330" i="22"/>
  <c r="Z385" i="22"/>
  <c r="Y385" i="22"/>
  <c r="X385" i="22"/>
  <c r="Y696" i="22"/>
  <c r="X696" i="22"/>
  <c r="Z696" i="22"/>
  <c r="Z2203" i="22"/>
  <c r="Y2203" i="22"/>
  <c r="X2203" i="22"/>
  <c r="Z2107" i="22"/>
  <c r="X2107" i="22"/>
  <c r="Y2107" i="22"/>
  <c r="X2082" i="22"/>
  <c r="Z2082" i="22"/>
  <c r="Y2082" i="22"/>
  <c r="Z2219" i="22"/>
  <c r="X2219" i="22"/>
  <c r="Y2219" i="22"/>
  <c r="X2529" i="22"/>
  <c r="Z2529" i="22"/>
  <c r="Y2529" i="22"/>
  <c r="Z2517" i="22"/>
  <c r="X2517" i="22"/>
  <c r="Y2517" i="22"/>
  <c r="Z286" i="22"/>
  <c r="Y286" i="22"/>
  <c r="X286" i="22"/>
  <c r="Z678" i="22"/>
  <c r="Y678" i="22"/>
  <c r="X678" i="22"/>
  <c r="X1950" i="22"/>
  <c r="Y1950" i="22"/>
  <c r="Z1950" i="22"/>
  <c r="Y2104" i="22"/>
  <c r="X2104" i="22"/>
  <c r="Z2104" i="22"/>
  <c r="X2135" i="22"/>
  <c r="Z2135" i="22"/>
  <c r="Y2135" i="22"/>
  <c r="Z2368" i="22"/>
  <c r="X2368" i="22"/>
  <c r="Y2368" i="22"/>
  <c r="Z2405" i="22"/>
  <c r="X2405" i="22"/>
  <c r="Y2405" i="22"/>
  <c r="Z145" i="22"/>
  <c r="Y145" i="22"/>
  <c r="X145" i="22"/>
  <c r="Z258" i="22"/>
  <c r="Y258" i="22"/>
  <c r="X258" i="22"/>
  <c r="Z1835" i="22"/>
  <c r="Y1835" i="22"/>
  <c r="X1835" i="22"/>
  <c r="Z1879" i="22"/>
  <c r="Y1879" i="22"/>
  <c r="X1879" i="22"/>
  <c r="Y2035" i="22"/>
  <c r="X2035" i="22"/>
  <c r="Z2035" i="22"/>
  <c r="Y2099" i="22"/>
  <c r="Z2099" i="22"/>
  <c r="X2099" i="22"/>
  <c r="Z2335" i="22"/>
  <c r="X2335" i="22"/>
  <c r="Y2335" i="22"/>
  <c r="Z2512" i="22"/>
  <c r="Y2512" i="22"/>
  <c r="X2512" i="22"/>
  <c r="Z263" i="22"/>
  <c r="Y263" i="22"/>
  <c r="X263" i="22"/>
  <c r="Z195" i="22"/>
  <c r="Y195" i="22"/>
  <c r="X195" i="22"/>
  <c r="X648" i="22"/>
  <c r="Y648" i="22"/>
  <c r="Z648" i="22"/>
  <c r="Z424" i="22"/>
  <c r="Y424" i="22"/>
  <c r="X424" i="22"/>
  <c r="Y1812" i="22"/>
  <c r="X1812" i="22"/>
  <c r="Z1812" i="22"/>
  <c r="Z2298" i="22"/>
  <c r="Y2298" i="22"/>
  <c r="X2298" i="22"/>
  <c r="Z2346" i="22"/>
  <c r="Y2346" i="22"/>
  <c r="X2346" i="22"/>
  <c r="Z2527" i="22"/>
  <c r="Y2527" i="22"/>
  <c r="X2527" i="22"/>
  <c r="Y2630" i="22"/>
  <c r="Z2630" i="22"/>
  <c r="X2630" i="22"/>
  <c r="X553" i="22"/>
  <c r="Z553" i="22"/>
  <c r="Y553" i="22"/>
  <c r="Z2256" i="22"/>
  <c r="Y2256" i="22"/>
  <c r="X2256" i="22"/>
  <c r="Z161" i="22"/>
  <c r="Y161" i="22"/>
  <c r="X161" i="22"/>
  <c r="Z412" i="22"/>
  <c r="Y412" i="22"/>
  <c r="X412" i="22"/>
  <c r="X2147" i="22"/>
  <c r="Z2147" i="22"/>
  <c r="Y2147" i="22"/>
  <c r="Y2329" i="22"/>
  <c r="Z2329" i="22"/>
  <c r="X2329" i="22"/>
  <c r="Z2487" i="22"/>
  <c r="Y2487" i="22"/>
  <c r="X2487" i="22"/>
  <c r="Z2455" i="22"/>
  <c r="Y2455" i="22"/>
  <c r="X2455" i="22"/>
  <c r="Z1855" i="22"/>
  <c r="Y1855" i="22"/>
  <c r="X1855" i="22"/>
  <c r="Z2014" i="22"/>
  <c r="Y2014" i="22"/>
  <c r="X2014" i="22"/>
  <c r="Y1700" i="22"/>
  <c r="X1700" i="22"/>
  <c r="Z1700" i="22"/>
  <c r="X1966" i="22"/>
  <c r="Z1966" i="22"/>
  <c r="Y1966" i="22"/>
  <c r="X2058" i="22"/>
  <c r="Z2058" i="22"/>
  <c r="Y2058" i="22"/>
  <c r="Z1871" i="22"/>
  <c r="Y1871" i="22"/>
  <c r="X1871" i="22"/>
  <c r="Z2416" i="22"/>
  <c r="Y2416" i="22"/>
  <c r="X2416" i="22"/>
  <c r="Z1887" i="22"/>
  <c r="Y1887" i="22"/>
  <c r="X1887" i="22"/>
  <c r="Z2395" i="22"/>
  <c r="Y2395" i="22"/>
  <c r="X2395" i="22"/>
  <c r="Z376" i="22"/>
  <c r="Y376" i="22"/>
  <c r="X376" i="22"/>
  <c r="Z711" i="22"/>
  <c r="Y711" i="22"/>
  <c r="X711" i="22"/>
  <c r="Z357" i="22"/>
  <c r="Y357" i="22"/>
  <c r="X357" i="22"/>
  <c r="Q2714" i="22"/>
  <c r="W840" i="22"/>
  <c r="Z1718" i="22"/>
  <c r="Y1718" i="22"/>
  <c r="X1718" i="22"/>
  <c r="X2064" i="22"/>
  <c r="Z2064" i="22"/>
  <c r="Y2064" i="22"/>
  <c r="X2225" i="22"/>
  <c r="Z2225" i="22"/>
  <c r="Y2225" i="22"/>
  <c r="Y2206" i="22"/>
  <c r="X2206" i="22"/>
  <c r="Z2206" i="22"/>
  <c r="Z2302" i="22"/>
  <c r="Y2302" i="22"/>
  <c r="X2302" i="22"/>
  <c r="Z2503" i="22"/>
  <c r="Y2503" i="22"/>
  <c r="X2503" i="22"/>
  <c r="Z298" i="22"/>
  <c r="Y298" i="22"/>
  <c r="X298" i="22"/>
  <c r="Z615" i="22"/>
  <c r="Y615" i="22"/>
  <c r="X615" i="22"/>
  <c r="Z370" i="22"/>
  <c r="Y370" i="22"/>
  <c r="X370" i="22"/>
  <c r="Z430" i="22"/>
  <c r="Y430" i="22"/>
  <c r="X430" i="22"/>
  <c r="Z444" i="22"/>
  <c r="Y444" i="22"/>
  <c r="X444" i="22"/>
  <c r="Z1714" i="22"/>
  <c r="Y1714" i="22"/>
  <c r="X1714" i="22"/>
  <c r="X2117" i="22"/>
  <c r="Z2117" i="22"/>
  <c r="Y2117" i="22"/>
  <c r="Z2467" i="22"/>
  <c r="Y2467" i="22"/>
  <c r="X2467" i="22"/>
  <c r="Z334" i="22"/>
  <c r="Y334" i="22"/>
  <c r="X334" i="22"/>
  <c r="Z201" i="22"/>
  <c r="Y201" i="22"/>
  <c r="X201" i="22"/>
  <c r="Z2200" i="22"/>
  <c r="Y2200" i="22"/>
  <c r="X2200" i="22"/>
  <c r="X2227" i="22"/>
  <c r="Z2227" i="22"/>
  <c r="Y2227" i="22"/>
  <c r="Z2220" i="22"/>
  <c r="Y2220" i="22"/>
  <c r="X2220" i="22"/>
  <c r="X2532" i="22"/>
  <c r="Z2532" i="22"/>
  <c r="Y2532" i="22"/>
  <c r="X2518" i="22"/>
  <c r="Z2518" i="22"/>
  <c r="Y2518" i="22"/>
  <c r="X676" i="22"/>
  <c r="Z676" i="22"/>
  <c r="Y676" i="22"/>
  <c r="Z434" i="22"/>
  <c r="Y434" i="22"/>
  <c r="X434" i="22"/>
  <c r="X2102" i="22"/>
  <c r="Z2102" i="22"/>
  <c r="Y2102" i="22"/>
  <c r="X2159" i="22"/>
  <c r="Z2159" i="22"/>
  <c r="Y2159" i="22"/>
  <c r="Z2289" i="22"/>
  <c r="Y2289" i="22"/>
  <c r="X2289" i="22"/>
  <c r="Y2367" i="22"/>
  <c r="Z2367" i="22"/>
  <c r="X2367" i="22"/>
  <c r="X2627" i="22"/>
  <c r="Z2627" i="22"/>
  <c r="Y2627" i="22"/>
  <c r="Y2572" i="22"/>
  <c r="Z2572" i="22"/>
  <c r="X2572" i="22"/>
  <c r="Y146" i="22"/>
  <c r="X146" i="22"/>
  <c r="Z146" i="22"/>
  <c r="X618" i="22"/>
  <c r="Z618" i="22"/>
  <c r="Y618" i="22"/>
  <c r="Z1836" i="22"/>
  <c r="Y1836" i="22"/>
  <c r="X1836" i="22"/>
  <c r="X1930" i="22"/>
  <c r="Z1930" i="22"/>
  <c r="Y1930" i="22"/>
  <c r="Z1984" i="22"/>
  <c r="Y1984" i="22"/>
  <c r="X1984" i="22"/>
  <c r="Z2187" i="22"/>
  <c r="Y2187" i="22"/>
  <c r="X2187" i="22"/>
  <c r="X2164" i="22"/>
  <c r="Z2164" i="22"/>
  <c r="Y2164" i="22"/>
  <c r="X2100" i="22"/>
  <c r="Z2100" i="22"/>
  <c r="Y2100" i="22"/>
  <c r="X2470" i="22"/>
  <c r="Z2470" i="22"/>
  <c r="Y2470" i="22"/>
  <c r="Y2338" i="22"/>
  <c r="X2338" i="22"/>
  <c r="Z2338" i="22"/>
  <c r="Z2514" i="22"/>
  <c r="Y2514" i="22"/>
  <c r="X2514" i="22"/>
  <c r="X42" i="22"/>
  <c r="Z42" i="22"/>
  <c r="Y42" i="22"/>
  <c r="Z646" i="22"/>
  <c r="Y646" i="22"/>
  <c r="X646" i="22"/>
  <c r="Z423" i="22"/>
  <c r="Y423" i="22"/>
  <c r="X423" i="22"/>
  <c r="Y2347" i="22"/>
  <c r="X2347" i="22"/>
  <c r="Z2347" i="22"/>
  <c r="Z2524" i="22"/>
  <c r="X2524" i="22"/>
  <c r="Y2524" i="22"/>
  <c r="X555" i="22"/>
  <c r="Z555" i="22"/>
  <c r="Y555" i="22"/>
  <c r="Z402" i="22"/>
  <c r="Y402" i="22"/>
  <c r="X402" i="22"/>
  <c r="Z2000" i="22"/>
  <c r="Y2000" i="22"/>
  <c r="X2000" i="22"/>
  <c r="Y2307" i="22"/>
  <c r="X2307" i="22"/>
  <c r="Z2307" i="22"/>
  <c r="X657" i="22"/>
  <c r="Z657" i="22"/>
  <c r="Y657" i="22"/>
  <c r="Z411" i="22"/>
  <c r="Y411" i="22"/>
  <c r="X411" i="22"/>
  <c r="Z2007" i="22"/>
  <c r="Y2007" i="22"/>
  <c r="X2007" i="22"/>
  <c r="Z2321" i="22"/>
  <c r="Y2321" i="22"/>
  <c r="X2321" i="22"/>
  <c r="Y2380" i="22"/>
  <c r="X2380" i="22"/>
  <c r="Z2380" i="22"/>
  <c r="Z2490" i="22"/>
  <c r="Y2490" i="22"/>
  <c r="X2490" i="22"/>
  <c r="Y2452" i="22"/>
  <c r="Z2452" i="22"/>
  <c r="X2452" i="22"/>
  <c r="X449" i="22"/>
  <c r="Z449" i="22"/>
  <c r="Y449" i="22"/>
  <c r="Z2016" i="22"/>
  <c r="X2016" i="22"/>
  <c r="Y2016" i="22"/>
  <c r="X2090" i="22"/>
  <c r="Y2090" i="22"/>
  <c r="Z2090" i="22"/>
  <c r="Z707" i="22"/>
  <c r="Y707" i="22"/>
  <c r="X707" i="22"/>
  <c r="X1752" i="22"/>
  <c r="Z1752" i="22"/>
  <c r="Y1752" i="22"/>
  <c r="Z2419" i="22"/>
  <c r="Y2419" i="22"/>
  <c r="X2419" i="22"/>
  <c r="Z375" i="22"/>
  <c r="Y375" i="22"/>
  <c r="X375" i="22"/>
  <c r="Z355" i="22"/>
  <c r="Y355" i="22"/>
  <c r="X355" i="22"/>
  <c r="Z695" i="22"/>
  <c r="Y695" i="22"/>
  <c r="X695" i="22"/>
  <c r="Y1893" i="22"/>
  <c r="X1893" i="22"/>
  <c r="Z1893" i="22"/>
  <c r="X1914" i="22"/>
  <c r="Z1914" i="22"/>
  <c r="Y1914" i="22"/>
  <c r="X2026" i="22"/>
  <c r="Z2026" i="22"/>
  <c r="Y2026" i="22"/>
  <c r="Z2208" i="22"/>
  <c r="Y2208" i="22"/>
  <c r="X2208" i="22"/>
  <c r="Y2305" i="22"/>
  <c r="Z2305" i="22"/>
  <c r="X2305" i="22"/>
  <c r="Z2499" i="22"/>
  <c r="Y2499" i="22"/>
  <c r="X2499" i="22"/>
  <c r="Z786" i="22"/>
  <c r="Y786" i="22"/>
  <c r="X786" i="22"/>
  <c r="Z369" i="22"/>
  <c r="Y369" i="22"/>
  <c r="X369" i="22"/>
  <c r="Z429" i="22"/>
  <c r="Y429" i="22"/>
  <c r="X429" i="22"/>
  <c r="X447" i="22"/>
  <c r="Z447" i="22"/>
  <c r="Y447" i="22"/>
  <c r="Z784" i="22"/>
  <c r="Y784" i="22"/>
  <c r="X784" i="22"/>
  <c r="Z787" i="22"/>
  <c r="Y787" i="22"/>
  <c r="X787" i="22"/>
  <c r="Z1722" i="22"/>
  <c r="Y1722" i="22"/>
  <c r="X1722" i="22"/>
  <c r="Z2115" i="22"/>
  <c r="Y2115" i="22"/>
  <c r="X2115" i="22"/>
  <c r="Y2022" i="22"/>
  <c r="X2022" i="22"/>
  <c r="Z2022" i="22"/>
  <c r="Z2047" i="22"/>
  <c r="Y2047" i="22"/>
  <c r="X2047" i="22"/>
  <c r="Z333" i="22"/>
  <c r="Y333" i="22"/>
  <c r="X333" i="22"/>
  <c r="W68" i="22"/>
  <c r="Z386" i="22"/>
  <c r="Y386" i="22"/>
  <c r="X386" i="22"/>
  <c r="Z473" i="22"/>
  <c r="Y473" i="22"/>
  <c r="X473" i="22"/>
  <c r="Z2202" i="22"/>
  <c r="Y2202" i="22"/>
  <c r="X2202" i="22"/>
  <c r="Z2217" i="22"/>
  <c r="Y2217" i="22"/>
  <c r="X2217" i="22"/>
  <c r="X2531" i="22"/>
  <c r="Z2531" i="22"/>
  <c r="Y2531" i="22"/>
  <c r="X2521" i="22"/>
  <c r="Z2521" i="22"/>
  <c r="Y2521" i="22"/>
  <c r="Z285" i="22"/>
  <c r="Y285" i="22"/>
  <c r="X285" i="22"/>
  <c r="X1851" i="22"/>
  <c r="Z1851" i="22"/>
  <c r="Y1851" i="22"/>
  <c r="Y1951" i="22"/>
  <c r="Z1951" i="22"/>
  <c r="X1951" i="22"/>
  <c r="Z2259" i="22"/>
  <c r="Y2259" i="22"/>
  <c r="X2259" i="22"/>
  <c r="Y2292" i="22"/>
  <c r="X2292" i="22"/>
  <c r="Z2292" i="22"/>
  <c r="Y2317" i="22"/>
  <c r="Z2317" i="22"/>
  <c r="X2317" i="22"/>
  <c r="Z2406" i="22"/>
  <c r="Y2406" i="22"/>
  <c r="X2406" i="22"/>
  <c r="Z2625" i="22"/>
  <c r="X2625" i="22"/>
  <c r="Y2625" i="22"/>
  <c r="Z2575" i="22"/>
  <c r="Y2575" i="22"/>
  <c r="X2575" i="22"/>
  <c r="Y362" i="22"/>
  <c r="X362" i="22"/>
  <c r="Z362" i="22"/>
  <c r="X283" i="22"/>
  <c r="X620" i="22"/>
  <c r="Z620" i="22"/>
  <c r="Y620" i="22"/>
  <c r="Z2018" i="22"/>
  <c r="X2018" i="22"/>
  <c r="Y2018" i="22"/>
  <c r="Z2189" i="22"/>
  <c r="Y2189" i="22"/>
  <c r="X2189" i="22"/>
  <c r="Z2167" i="22"/>
  <c r="Y2167" i="22"/>
  <c r="X2167" i="22"/>
  <c r="X2334" i="22"/>
  <c r="Y2334" i="22"/>
  <c r="Z2334" i="22"/>
  <c r="Z2339" i="22"/>
  <c r="X2339" i="22"/>
  <c r="Y2339" i="22"/>
  <c r="X2513" i="22"/>
  <c r="Z2513" i="22"/>
  <c r="Y2513" i="22"/>
  <c r="Z421" i="22"/>
  <c r="Y421" i="22"/>
  <c r="X421" i="22"/>
  <c r="Y691" i="22"/>
  <c r="X2297" i="22"/>
  <c r="Z2297" i="22"/>
  <c r="Y2297" i="22"/>
  <c r="Z2526" i="22"/>
  <c r="X2526" i="22"/>
  <c r="Y2526" i="22"/>
  <c r="Y295" i="22"/>
  <c r="X295" i="22"/>
  <c r="Z295" i="22"/>
  <c r="X2010" i="22"/>
  <c r="Z2010" i="22"/>
  <c r="Y2010" i="22"/>
  <c r="Z1999" i="22"/>
  <c r="Y1999" i="22"/>
  <c r="X1999" i="22"/>
  <c r="X2074" i="22"/>
  <c r="Z2074" i="22"/>
  <c r="Y2074" i="22"/>
  <c r="Z2309" i="22"/>
  <c r="Y2309" i="22"/>
  <c r="X2309" i="22"/>
  <c r="Z2477" i="22"/>
  <c r="Y2477" i="22"/>
  <c r="X2477" i="22"/>
  <c r="Z348" i="22"/>
  <c r="Y348" i="22"/>
  <c r="X348" i="22"/>
  <c r="Z543" i="22"/>
  <c r="Y543" i="22"/>
  <c r="X543" i="22"/>
  <c r="Z660" i="22"/>
  <c r="Y660" i="22"/>
  <c r="X660" i="22"/>
  <c r="Z409" i="22"/>
  <c r="Y409" i="22"/>
  <c r="X409" i="22"/>
  <c r="X2008" i="22"/>
  <c r="Z2008" i="22"/>
  <c r="Y2008" i="22"/>
  <c r="Z2141" i="22"/>
  <c r="Y2141" i="22"/>
  <c r="X2141" i="22"/>
  <c r="Z2326" i="22"/>
  <c r="X2326" i="22"/>
  <c r="Y2326" i="22"/>
  <c r="X2320" i="22"/>
  <c r="Z2320" i="22"/>
  <c r="Y2320" i="22"/>
  <c r="Z2379" i="22"/>
  <c r="X2379" i="22"/>
  <c r="Y2379" i="22"/>
  <c r="Z2488" i="22"/>
  <c r="X2488" i="22"/>
  <c r="Y2488" i="22"/>
  <c r="Z2453" i="22"/>
  <c r="Y2453" i="22"/>
  <c r="X2453" i="22"/>
  <c r="Z2547" i="22"/>
  <c r="Y2547" i="22"/>
  <c r="X2547" i="22"/>
  <c r="Z2030" i="22"/>
  <c r="Y2030" i="22"/>
  <c r="X2030" i="22"/>
  <c r="Z2015" i="22"/>
  <c r="Y2015" i="22"/>
  <c r="X2015" i="22"/>
  <c r="Z176" i="22"/>
  <c r="Y176" i="22"/>
  <c r="X176" i="22"/>
  <c r="Y1967" i="22"/>
  <c r="Z1967" i="22"/>
  <c r="X1967" i="22"/>
  <c r="Z2439" i="22"/>
  <c r="Y2439" i="22"/>
  <c r="X2439" i="22"/>
  <c r="Z2059" i="22"/>
  <c r="Y2059" i="22"/>
  <c r="X2059" i="22"/>
  <c r="Z2417" i="22"/>
  <c r="X2417" i="22"/>
  <c r="Y2417" i="22"/>
  <c r="Z2393" i="22"/>
  <c r="Y2393" i="22"/>
  <c r="X2393" i="22"/>
  <c r="Z373" i="22"/>
  <c r="Y373" i="22"/>
  <c r="X373" i="22"/>
  <c r="Z277" i="22"/>
  <c r="Y277" i="22"/>
  <c r="X277" i="22"/>
  <c r="X712" i="22"/>
  <c r="Z712" i="22"/>
  <c r="Y712" i="22"/>
  <c r="Z414" i="22"/>
  <c r="Y414" i="22"/>
  <c r="X414" i="22"/>
  <c r="Z1918" i="22"/>
  <c r="Y1918" i="22"/>
  <c r="X1918" i="22"/>
  <c r="Z2209" i="22"/>
  <c r="Y2209" i="22"/>
  <c r="X2209" i="22"/>
  <c r="Y2303" i="22"/>
  <c r="Z2303" i="22"/>
  <c r="X2303" i="22"/>
  <c r="Z2277" i="22"/>
  <c r="Y2277" i="22"/>
  <c r="X2277" i="22"/>
  <c r="Y297" i="22"/>
  <c r="X297" i="22"/>
  <c r="Z297" i="22"/>
  <c r="Z557" i="22"/>
  <c r="Y557" i="22"/>
  <c r="X557" i="22"/>
  <c r="Z614" i="22"/>
  <c r="Y614" i="22"/>
  <c r="X614" i="22"/>
  <c r="Z367" i="22"/>
  <c r="Y367" i="22"/>
  <c r="X367" i="22"/>
  <c r="Z427" i="22"/>
  <c r="Y427" i="22"/>
  <c r="X427" i="22"/>
  <c r="Z445" i="22"/>
  <c r="Y445" i="22"/>
  <c r="X445" i="22"/>
  <c r="Z1934" i="22"/>
  <c r="Y1934" i="22"/>
  <c r="X1934" i="22"/>
  <c r="X2116" i="22"/>
  <c r="Z2116" i="22"/>
  <c r="Y2116" i="22"/>
  <c r="Y2356" i="22"/>
  <c r="X2356" i="22"/>
  <c r="Z2356" i="22"/>
  <c r="Z331" i="22"/>
  <c r="Y331" i="22"/>
  <c r="X331" i="22"/>
  <c r="Z2044" i="22"/>
  <c r="X2044" i="22"/>
  <c r="Y2044" i="22"/>
  <c r="Z2221" i="22"/>
  <c r="X2221" i="22"/>
  <c r="Y2221" i="22"/>
  <c r="X2533" i="22"/>
  <c r="Z2533" i="22"/>
  <c r="Y2533" i="22"/>
  <c r="X2520" i="22"/>
  <c r="Z2520" i="22"/>
  <c r="Y2520" i="22"/>
  <c r="Z675" i="22"/>
  <c r="Y675" i="22"/>
  <c r="X675" i="22"/>
  <c r="Z1920" i="22"/>
  <c r="Y1920" i="22"/>
  <c r="X1920" i="22"/>
  <c r="Z2137" i="22"/>
  <c r="Y2137" i="22"/>
  <c r="X2137" i="22"/>
  <c r="Z2160" i="22"/>
  <c r="Y2160" i="22"/>
  <c r="X2160" i="22"/>
  <c r="X2223" i="22"/>
  <c r="Z2223" i="22"/>
  <c r="Y2223" i="22"/>
  <c r="Z2404" i="22"/>
  <c r="Y2404" i="22"/>
  <c r="X2404" i="22"/>
  <c r="Y2626" i="22"/>
  <c r="X2626" i="22"/>
  <c r="Z2626" i="22"/>
  <c r="Z169" i="22"/>
  <c r="Y169" i="22"/>
  <c r="X169" i="22"/>
  <c r="Y322" i="22"/>
  <c r="Y283" i="22"/>
  <c r="Z693" i="22"/>
  <c r="Y693" i="22"/>
  <c r="X693" i="22"/>
  <c r="Y1877" i="22"/>
  <c r="X1877" i="22"/>
  <c r="Z1877" i="22"/>
  <c r="Z2036" i="22"/>
  <c r="Y2036" i="22"/>
  <c r="X2036" i="22"/>
  <c r="X1982" i="22"/>
  <c r="Y1982" i="22"/>
  <c r="Z1982" i="22"/>
  <c r="Y2019" i="22"/>
  <c r="X2019" i="22"/>
  <c r="Z2019" i="22"/>
  <c r="Z2191" i="22"/>
  <c r="Y2191" i="22"/>
  <c r="X2191" i="22"/>
  <c r="Z2166" i="22"/>
  <c r="Y2166" i="22"/>
  <c r="X2166" i="22"/>
  <c r="X2469" i="22"/>
  <c r="Z2469" i="22"/>
  <c r="Y2469" i="22"/>
  <c r="Y2340" i="22"/>
  <c r="Z2340" i="22"/>
  <c r="X2340" i="22"/>
  <c r="X2515" i="22"/>
  <c r="Y2515" i="22"/>
  <c r="Z2515" i="22"/>
  <c r="X261" i="22"/>
  <c r="Z261" i="22"/>
  <c r="Y261" i="22"/>
  <c r="Z647" i="22"/>
  <c r="Y647" i="22"/>
  <c r="X647" i="22"/>
  <c r="Z638" i="22"/>
  <c r="Y638" i="22"/>
  <c r="X638" i="22"/>
  <c r="X422" i="22"/>
  <c r="Z422" i="22"/>
  <c r="Y422" i="22"/>
  <c r="X691" i="22"/>
  <c r="X2345" i="22"/>
  <c r="Y2345" i="22"/>
  <c r="Z2345" i="22"/>
  <c r="Z406" i="22"/>
  <c r="Y406" i="22"/>
  <c r="X406" i="22"/>
  <c r="Z667" i="22"/>
  <c r="Y2075" i="22"/>
  <c r="X2075" i="22"/>
  <c r="Z2075" i="22"/>
  <c r="Z2253" i="22"/>
  <c r="Y2253" i="22"/>
  <c r="X2253" i="22"/>
  <c r="X2311" i="22"/>
  <c r="Z2311" i="22"/>
  <c r="Y2311" i="22"/>
  <c r="Y352" i="22"/>
  <c r="X352" i="22"/>
  <c r="Z352" i="22"/>
  <c r="Z545" i="22"/>
  <c r="Y545" i="22"/>
  <c r="X545" i="22"/>
  <c r="Z410" i="22"/>
  <c r="Y410" i="22"/>
  <c r="X410" i="22"/>
  <c r="Z807" i="22"/>
  <c r="Y807" i="22"/>
  <c r="X807" i="22"/>
  <c r="Y2004" i="22"/>
  <c r="X2004" i="22"/>
  <c r="Z2004" i="22"/>
  <c r="Z1862" i="22"/>
  <c r="Y1862" i="22"/>
  <c r="X1862" i="22"/>
  <c r="X2145" i="22"/>
  <c r="Z2145" i="22"/>
  <c r="Y2145" i="22"/>
  <c r="Y2142" i="22"/>
  <c r="X2142" i="22"/>
  <c r="Z2142" i="22"/>
  <c r="Y2327" i="22"/>
  <c r="Z2327" i="22"/>
  <c r="X2327" i="22"/>
  <c r="Y2322" i="22"/>
  <c r="Z2322" i="22"/>
  <c r="X2322" i="22"/>
  <c r="Z2491" i="22"/>
  <c r="Y2491" i="22"/>
  <c r="X2491" i="22"/>
  <c r="Z2454" i="22"/>
  <c r="Y2454" i="22"/>
  <c r="X2454" i="22"/>
  <c r="Z2549" i="22"/>
  <c r="Y2549" i="22"/>
  <c r="X2549" i="22"/>
  <c r="Z177" i="22"/>
  <c r="Y177" i="22"/>
  <c r="X177" i="22"/>
  <c r="Z1901" i="22"/>
  <c r="Y1901" i="22"/>
  <c r="X1901" i="22"/>
  <c r="Z1968" i="22"/>
  <c r="Y1968" i="22"/>
  <c r="X1968" i="22"/>
  <c r="Z2442" i="22"/>
  <c r="Y2442" i="22"/>
  <c r="X2442" i="22"/>
  <c r="Z2060" i="22"/>
  <c r="Y2060" i="22"/>
  <c r="X2060" i="22"/>
  <c r="Z708" i="22"/>
  <c r="Y708" i="22"/>
  <c r="X708" i="22"/>
  <c r="X1958" i="22"/>
  <c r="Z1958" i="22"/>
  <c r="Y1958" i="22"/>
  <c r="Z2394" i="22"/>
  <c r="Y2394" i="22"/>
  <c r="X2394" i="22"/>
  <c r="Z374" i="22"/>
  <c r="Y374" i="22"/>
  <c r="X374" i="22"/>
  <c r="Y713" i="22"/>
  <c r="X713" i="22"/>
  <c r="Z713" i="22"/>
  <c r="Z418" i="22"/>
  <c r="Y418" i="22"/>
  <c r="X418" i="22"/>
  <c r="Z502" i="22"/>
  <c r="Y502" i="22"/>
  <c r="X502" i="22"/>
  <c r="Z694" i="22"/>
  <c r="Y694" i="22"/>
  <c r="X694" i="22"/>
  <c r="Z1935" i="22"/>
  <c r="Y1935" i="22"/>
  <c r="X1935" i="22"/>
  <c r="Z2068" i="22"/>
  <c r="Y2068" i="22"/>
  <c r="X2068" i="22"/>
  <c r="Z2279" i="22"/>
  <c r="Y2279" i="22"/>
  <c r="X2279" i="22"/>
  <c r="Y616" i="22"/>
  <c r="X616" i="22"/>
  <c r="Z616" i="22"/>
  <c r="X368" i="22"/>
  <c r="Z368" i="22"/>
  <c r="Y368" i="22"/>
  <c r="Z428" i="22"/>
  <c r="Y428" i="22"/>
  <c r="X428" i="22"/>
  <c r="Z642" i="22"/>
  <c r="Y642" i="22"/>
  <c r="X642" i="22"/>
  <c r="X1712" i="22"/>
  <c r="Z1712" i="22"/>
  <c r="Y1712" i="22"/>
  <c r="X1990" i="22"/>
  <c r="Z1990" i="22"/>
  <c r="Y1990" i="22"/>
  <c r="Z2023" i="22"/>
  <c r="Y2023" i="22"/>
  <c r="X2023" i="22"/>
  <c r="Y2463" i="22"/>
  <c r="X2463" i="22"/>
  <c r="Z2463" i="22"/>
  <c r="Y149" i="22"/>
  <c r="X149" i="22"/>
  <c r="Z149" i="22"/>
  <c r="Z384" i="22"/>
  <c r="Y384" i="22"/>
  <c r="X384" i="22"/>
  <c r="Z476" i="22"/>
  <c r="Y476" i="22"/>
  <c r="X476" i="22"/>
  <c r="Z432" i="22"/>
  <c r="Y432" i="22"/>
  <c r="X432" i="22"/>
  <c r="X2162" i="22"/>
  <c r="Z2162" i="22"/>
  <c r="Y2162" i="22"/>
  <c r="Y2314" i="22"/>
  <c r="X2314" i="22"/>
  <c r="Z2314" i="22"/>
  <c r="Z2629" i="22"/>
  <c r="Y2629" i="22"/>
  <c r="X2629" i="22"/>
  <c r="Z360" i="22"/>
  <c r="Y360" i="22"/>
  <c r="X360" i="22"/>
  <c r="Z1931" i="22"/>
  <c r="Y1931" i="22"/>
  <c r="X1931" i="22"/>
  <c r="X2188" i="22"/>
  <c r="Z2188" i="22"/>
  <c r="Y2188" i="22"/>
  <c r="X2472" i="22"/>
  <c r="Y2472" i="22"/>
  <c r="Z2472" i="22"/>
  <c r="Y2337" i="22"/>
  <c r="Z2337" i="22"/>
  <c r="X2337" i="22"/>
  <c r="Y649" i="22"/>
  <c r="Z649" i="22"/>
  <c r="X649" i="22"/>
  <c r="Z2344" i="22"/>
  <c r="X2344" i="22"/>
  <c r="Y2344" i="22"/>
  <c r="X294" i="22"/>
  <c r="Z294" i="22"/>
  <c r="Y294" i="22"/>
  <c r="Y230" i="22"/>
  <c r="Z230" i="22"/>
  <c r="Z405" i="22"/>
  <c r="Y405" i="22"/>
  <c r="X405" i="22"/>
  <c r="Z697" i="22"/>
  <c r="Y697" i="22"/>
  <c r="X697" i="22"/>
  <c r="Z2255" i="22"/>
  <c r="Y2255" i="22"/>
  <c r="X2255" i="22"/>
  <c r="Z2479" i="22"/>
  <c r="Y2479" i="22"/>
  <c r="X2479" i="22"/>
  <c r="X351" i="22"/>
  <c r="Z351" i="22"/>
  <c r="Y351" i="22"/>
  <c r="X544" i="22"/>
  <c r="Z544" i="22"/>
  <c r="Y544" i="22"/>
  <c r="Y2140" i="22"/>
  <c r="Z2140" i="22"/>
  <c r="X2140" i="22"/>
  <c r="Y2328" i="22"/>
  <c r="Z2328" i="22"/>
  <c r="X2328" i="22"/>
  <c r="Z2381" i="22"/>
  <c r="X2381" i="22"/>
  <c r="Y2381" i="22"/>
  <c r="Z2551" i="22"/>
  <c r="Y2551" i="22"/>
  <c r="X2551" i="22"/>
  <c r="Z452" i="22"/>
  <c r="Y452" i="22"/>
  <c r="X452" i="22"/>
  <c r="Z2032" i="22"/>
  <c r="X2032" i="22"/>
  <c r="Y2032" i="22"/>
  <c r="Y1701" i="22"/>
  <c r="X1701" i="22"/>
  <c r="Z1701" i="22"/>
  <c r="Z1902" i="22"/>
  <c r="Y1902" i="22"/>
  <c r="X1902" i="22"/>
  <c r="Z2091" i="22"/>
  <c r="Y2091" i="22"/>
  <c r="X2091" i="22"/>
  <c r="Z2440" i="22"/>
  <c r="Y2440" i="22"/>
  <c r="X2440" i="22"/>
  <c r="Z2392" i="22"/>
  <c r="X2392" i="22"/>
  <c r="Y2392" i="22"/>
  <c r="Z276" i="22"/>
  <c r="Y276" i="22"/>
  <c r="X276" i="22"/>
  <c r="Y714" i="22"/>
  <c r="Z714" i="22"/>
  <c r="X714" i="22"/>
  <c r="Z356" i="22"/>
  <c r="Y356" i="22"/>
  <c r="X356" i="22"/>
  <c r="Z417" i="22"/>
  <c r="Y417" i="22"/>
  <c r="X417" i="22"/>
  <c r="Z1915" i="22"/>
  <c r="Y1915" i="22"/>
  <c r="X1915" i="22"/>
  <c r="Z2028" i="22"/>
  <c r="Y2028" i="22"/>
  <c r="X2028" i="22"/>
  <c r="Y2301" i="22"/>
  <c r="Z2301" i="22"/>
  <c r="X2301" i="22"/>
  <c r="Z2281" i="22"/>
  <c r="Y2281" i="22"/>
  <c r="X2281" i="22"/>
  <c r="Z1720" i="22"/>
  <c r="Y1720" i="22"/>
  <c r="X1720" i="22"/>
  <c r="Q2716" i="22"/>
  <c r="W1785" i="22"/>
  <c r="Z2062" i="22"/>
  <c r="Y2062" i="22"/>
  <c r="X2062" i="22"/>
  <c r="X2024" i="22"/>
  <c r="Z2024" i="22"/>
  <c r="Y2024" i="22"/>
  <c r="Z2357" i="22"/>
  <c r="X2357" i="22"/>
  <c r="Y2357" i="22"/>
  <c r="Z232" i="22"/>
  <c r="Y232" i="22"/>
  <c r="Z301" i="22"/>
  <c r="Y301" i="22"/>
  <c r="X301" i="22"/>
  <c r="X388" i="22"/>
  <c r="Z388" i="22"/>
  <c r="Y388" i="22"/>
  <c r="Z474" i="22"/>
  <c r="Y474" i="22"/>
  <c r="X474" i="22"/>
  <c r="Y2083" i="22"/>
  <c r="Z2083" i="22"/>
  <c r="X2083" i="22"/>
  <c r="Z125" i="22"/>
  <c r="Y125" i="22"/>
  <c r="X125" i="22"/>
  <c r="Z679" i="22"/>
  <c r="Y679" i="22"/>
  <c r="X679" i="22"/>
  <c r="Z436" i="22"/>
  <c r="Y436" i="22"/>
  <c r="X436" i="22"/>
  <c r="Y2103" i="22"/>
  <c r="Z2103" i="22"/>
  <c r="X2103" i="22"/>
  <c r="X2161" i="22"/>
  <c r="Z2161" i="22"/>
  <c r="Y2161" i="22"/>
  <c r="Y2290" i="22"/>
  <c r="Z2290" i="22"/>
  <c r="X2290" i="22"/>
  <c r="X2315" i="22"/>
  <c r="Z2315" i="22"/>
  <c r="Y2315" i="22"/>
  <c r="X2369" i="22"/>
  <c r="Z2369" i="22"/>
  <c r="Y2369" i="22"/>
  <c r="Z2628" i="22"/>
  <c r="Y2628" i="22"/>
  <c r="X2628" i="22"/>
  <c r="Y2571" i="22"/>
  <c r="Z2571" i="22"/>
  <c r="X2571" i="22"/>
  <c r="Z364" i="22"/>
  <c r="Y364" i="22"/>
  <c r="X364" i="22"/>
  <c r="Z256" i="22"/>
  <c r="Y256" i="22"/>
  <c r="X256" i="22"/>
  <c r="Z1936" i="22"/>
  <c r="Y1936" i="22"/>
  <c r="X1936" i="22"/>
  <c r="Y1983" i="22"/>
  <c r="Z1983" i="22"/>
  <c r="X1983" i="22"/>
  <c r="X2190" i="22"/>
  <c r="Z2190" i="22"/>
  <c r="Y2190" i="22"/>
  <c r="X2471" i="22"/>
  <c r="Z2471" i="22"/>
  <c r="Y2471" i="22"/>
  <c r="Z2332" i="22"/>
  <c r="Y2332" i="22"/>
  <c r="X2332" i="22"/>
  <c r="Z262" i="22"/>
  <c r="Y262" i="22"/>
  <c r="X262" i="22"/>
  <c r="Z1813" i="22"/>
  <c r="Y1813" i="22"/>
  <c r="X1813" i="22"/>
  <c r="X2295" i="22"/>
  <c r="Z2295" i="22"/>
  <c r="Y2295" i="22"/>
  <c r="Z2343" i="22"/>
  <c r="X2343" i="22"/>
  <c r="Y2343" i="22"/>
  <c r="Z2523" i="22"/>
  <c r="Y2523" i="22"/>
  <c r="X2523" i="22"/>
  <c r="Z554" i="22"/>
  <c r="Y554" i="22"/>
  <c r="X554" i="22"/>
  <c r="Z403" i="22"/>
  <c r="Y403" i="22"/>
  <c r="X403" i="22"/>
  <c r="Z2012" i="22"/>
  <c r="Y2012" i="22"/>
  <c r="X2012" i="22"/>
  <c r="Z2257" i="22"/>
  <c r="Y2257" i="22"/>
  <c r="X2257" i="22"/>
  <c r="X2308" i="22"/>
  <c r="Z2308" i="22"/>
  <c r="Y2308" i="22"/>
  <c r="Z2475" i="22"/>
  <c r="Y2475" i="22"/>
  <c r="X2475" i="22"/>
  <c r="Z349" i="22"/>
  <c r="Y349" i="22"/>
  <c r="X349" i="22"/>
  <c r="Y658" i="22"/>
  <c r="Z658" i="22"/>
  <c r="X658" i="22"/>
  <c r="Z1863" i="22"/>
  <c r="Y1863" i="22"/>
  <c r="X1863" i="22"/>
  <c r="Z2146" i="22"/>
  <c r="Y2146" i="22"/>
  <c r="X2146" i="22"/>
  <c r="Z2382" i="22"/>
  <c r="Y2382" i="22"/>
  <c r="X2382" i="22"/>
  <c r="Z450" i="22"/>
  <c r="Y450" i="22"/>
  <c r="X450" i="22"/>
  <c r="Z2031" i="22"/>
  <c r="Y2031" i="22"/>
  <c r="X2031" i="22"/>
  <c r="Z1702" i="22"/>
  <c r="Y1702" i="22"/>
  <c r="X1702" i="22"/>
  <c r="Z1903" i="22"/>
  <c r="Y1903" i="22"/>
  <c r="X1903" i="22"/>
  <c r="Z2092" i="22"/>
  <c r="Y2092" i="22"/>
  <c r="X2092" i="22"/>
  <c r="Z2443" i="22"/>
  <c r="Y2443" i="22"/>
  <c r="X2443" i="22"/>
  <c r="X705" i="22"/>
  <c r="Z705" i="22"/>
  <c r="Y705" i="22"/>
  <c r="Y1959" i="22"/>
  <c r="Z1959" i="22"/>
  <c r="X1959" i="22"/>
  <c r="Y2391" i="22"/>
  <c r="X2391" i="22"/>
  <c r="Z2391" i="22"/>
  <c r="Z715" i="22"/>
  <c r="X715" i="22"/>
  <c r="Y715" i="22"/>
  <c r="Y415" i="22"/>
  <c r="X415" i="22"/>
  <c r="Z415" i="22"/>
  <c r="Z1894" i="22"/>
  <c r="Y1894" i="22"/>
  <c r="X1894" i="22"/>
  <c r="Z2066" i="22"/>
  <c r="Y2066" i="22"/>
  <c r="X2066" i="22"/>
  <c r="Z2304" i="22"/>
  <c r="X2304" i="22"/>
  <c r="Y2304" i="22"/>
  <c r="Y2260" i="22"/>
  <c r="X2260" i="22"/>
  <c r="Z2260" i="22"/>
  <c r="Y2500" i="22"/>
  <c r="X2500" i="22"/>
  <c r="Z2500" i="22"/>
  <c r="Z446" i="22"/>
  <c r="Y446" i="22"/>
  <c r="X446" i="22"/>
  <c r="Z643" i="22"/>
  <c r="Y643" i="22"/>
  <c r="X643" i="22"/>
  <c r="Z1821" i="22"/>
  <c r="Y1821" i="22"/>
  <c r="X1821" i="22"/>
  <c r="Y1721" i="22"/>
  <c r="X1721" i="22"/>
  <c r="Z1721" i="22"/>
  <c r="Z1962" i="22"/>
  <c r="Y1962" i="22"/>
  <c r="X1962" i="22"/>
  <c r="Y1991" i="22"/>
  <c r="Z1991" i="22"/>
  <c r="X1991" i="22"/>
  <c r="Z2263" i="22"/>
  <c r="Y2263" i="22"/>
  <c r="X2263" i="22"/>
  <c r="Z2358" i="22"/>
  <c r="Y2358" i="22"/>
  <c r="X2358" i="22"/>
  <c r="Z2464" i="22"/>
  <c r="Y2464" i="22"/>
  <c r="X2464" i="22"/>
  <c r="Y332" i="22"/>
  <c r="X332" i="22"/>
  <c r="Z332" i="22"/>
  <c r="Z387" i="22"/>
  <c r="Y387" i="22"/>
  <c r="X387" i="22"/>
  <c r="X475" i="22"/>
  <c r="Z475" i="22"/>
  <c r="Y475" i="22"/>
  <c r="Z2199" i="22"/>
  <c r="Y2199" i="22"/>
  <c r="X2199" i="22"/>
  <c r="X2042" i="22"/>
  <c r="Z2042" i="22"/>
  <c r="Y2042" i="22"/>
  <c r="Z2084" i="22"/>
  <c r="Y2084" i="22"/>
  <c r="X2084" i="22"/>
  <c r="Z2261" i="22"/>
  <c r="Y2261" i="22"/>
  <c r="X2261" i="22"/>
  <c r="X2530" i="22"/>
  <c r="Z2530" i="22"/>
  <c r="Y2530" i="22"/>
  <c r="X677" i="22"/>
  <c r="Z677" i="22"/>
  <c r="Y677" i="22"/>
  <c r="Z435" i="22"/>
  <c r="Y435" i="22"/>
  <c r="X435" i="22"/>
  <c r="Z1952" i="22"/>
  <c r="Y1952" i="22"/>
  <c r="X1952" i="22"/>
  <c r="Z2106" i="22"/>
  <c r="Y2106" i="22"/>
  <c r="X2106" i="22"/>
  <c r="Z2134" i="22"/>
  <c r="Y2134" i="22"/>
  <c r="X2134" i="22"/>
  <c r="Z2293" i="22"/>
  <c r="Y2293" i="22"/>
  <c r="X2293" i="22"/>
  <c r="Y2316" i="22"/>
  <c r="Z2316" i="22"/>
  <c r="X2316" i="22"/>
  <c r="Z2370" i="22"/>
  <c r="Y2370" i="22"/>
  <c r="X2370" i="22"/>
  <c r="Z2407" i="22"/>
  <c r="Y2407" i="22"/>
  <c r="X2407" i="22"/>
  <c r="Z2574" i="22"/>
  <c r="X2574" i="22"/>
  <c r="Y2574" i="22"/>
  <c r="Z363" i="22"/>
  <c r="Y363" i="22"/>
  <c r="X363" i="22"/>
  <c r="Z257" i="22"/>
  <c r="Y257" i="22"/>
  <c r="X257" i="22"/>
  <c r="Z619" i="22"/>
  <c r="Y619" i="22"/>
  <c r="X619" i="22"/>
  <c r="Y1834" i="22"/>
  <c r="X1834" i="22"/>
  <c r="Z1834" i="22"/>
  <c r="Z1932" i="22"/>
  <c r="Y1932" i="22"/>
  <c r="X1932" i="22"/>
  <c r="Z2165" i="22"/>
  <c r="Y2165" i="22"/>
  <c r="X2165" i="22"/>
  <c r="Z2098" i="22"/>
  <c r="Y2098" i="22"/>
  <c r="X2098" i="22"/>
  <c r="X2331" i="22"/>
  <c r="Z2331" i="22"/>
  <c r="Y2331" i="22"/>
  <c r="X2511" i="22"/>
  <c r="Z2511" i="22"/>
  <c r="Y2511" i="22"/>
  <c r="Z264" i="22"/>
  <c r="Y264" i="22"/>
  <c r="X264" i="22"/>
  <c r="Z234" i="22"/>
  <c r="Y234" i="22"/>
  <c r="Z420" i="22"/>
  <c r="Y420" i="22"/>
  <c r="X420" i="22"/>
  <c r="X2299" i="22"/>
  <c r="Z2299" i="22"/>
  <c r="Y2299" i="22"/>
  <c r="Z2525" i="22"/>
  <c r="Y2525" i="22"/>
  <c r="X2525" i="22"/>
  <c r="X2676" i="22"/>
  <c r="Z2676" i="22"/>
  <c r="Y2676" i="22"/>
  <c r="Z197" i="22"/>
  <c r="Y197" i="22"/>
  <c r="X197" i="22"/>
  <c r="X404" i="22"/>
  <c r="Z404" i="22"/>
  <c r="Y404" i="22"/>
  <c r="X2310" i="22"/>
  <c r="Z2310" i="22"/>
  <c r="Y2310" i="22"/>
  <c r="X2478" i="22"/>
  <c r="Z2478" i="22"/>
  <c r="Y2478" i="22"/>
  <c r="Z659" i="22"/>
  <c r="Y659" i="22"/>
  <c r="X659" i="22"/>
  <c r="X1809" i="22"/>
  <c r="Z1809" i="22"/>
  <c r="Y1809" i="22"/>
  <c r="Z2002" i="22"/>
  <c r="Y2002" i="22"/>
  <c r="X2002" i="22"/>
  <c r="Y2325" i="22"/>
  <c r="X2325" i="22"/>
  <c r="Z2325" i="22"/>
  <c r="Y2319" i="22"/>
  <c r="Z2319" i="22"/>
  <c r="X2319" i="22"/>
  <c r="Z2383" i="22"/>
  <c r="Y2383" i="22"/>
  <c r="X2383" i="22"/>
  <c r="Z2489" i="22"/>
  <c r="Y2489" i="22"/>
  <c r="X2489" i="22"/>
  <c r="Z2548" i="22"/>
  <c r="Y2548" i="22"/>
  <c r="X2548" i="22"/>
  <c r="Z451" i="22"/>
  <c r="Y451" i="22"/>
  <c r="X451" i="22"/>
  <c r="Z1854" i="22"/>
  <c r="Y1854" i="22"/>
  <c r="X1854" i="22"/>
  <c r="Z2441" i="22"/>
  <c r="X2441" i="22"/>
  <c r="Y2441" i="22"/>
  <c r="Z709" i="22"/>
  <c r="Y709" i="22"/>
  <c r="X709" i="22"/>
  <c r="Z1869" i="22"/>
  <c r="Y1869" i="22"/>
  <c r="X1869" i="22"/>
  <c r="Z2415" i="22"/>
  <c r="Y2415" i="22"/>
  <c r="X2415" i="22"/>
  <c r="Z1885" i="22"/>
  <c r="Y1885" i="22"/>
  <c r="X1885" i="22"/>
  <c r="Z1960" i="22"/>
  <c r="Y1960" i="22"/>
  <c r="X1960" i="22"/>
  <c r="Z2341" i="21"/>
  <c r="X2487" i="21"/>
  <c r="Z2377" i="21"/>
  <c r="X2375" i="21"/>
  <c r="Y2188" i="21"/>
  <c r="Y2341" i="21"/>
  <c r="Z2524" i="21"/>
  <c r="Y2395" i="21"/>
  <c r="X2395" i="21"/>
  <c r="Z2395" i="21"/>
  <c r="Z1708" i="21"/>
  <c r="Y701" i="21"/>
  <c r="Z1987" i="21"/>
  <c r="Y1946" i="21"/>
  <c r="X2020" i="21"/>
  <c r="Y2082" i="21"/>
  <c r="Y362" i="21"/>
  <c r="Z2190" i="21"/>
  <c r="Z2463" i="21"/>
  <c r="Z2592" i="21"/>
  <c r="Y2399" i="21"/>
  <c r="Z2533" i="21"/>
  <c r="Y2020" i="21"/>
  <c r="Z1967" i="21"/>
  <c r="Y476" i="21"/>
  <c r="X2034" i="21"/>
  <c r="Y2117" i="21"/>
  <c r="X2046" i="21"/>
  <c r="X2117" i="21"/>
  <c r="X2343" i="21"/>
  <c r="Y2547" i="21"/>
  <c r="X1970" i="21"/>
  <c r="Y256" i="21"/>
  <c r="Y1970" i="21"/>
  <c r="X2428" i="21"/>
  <c r="Y321" i="21"/>
  <c r="Z682" i="21"/>
  <c r="Y1919" i="21"/>
  <c r="Y1967" i="21"/>
  <c r="Z2381" i="21"/>
  <c r="Z476" i="21"/>
  <c r="Z256" i="21"/>
  <c r="X681" i="21"/>
  <c r="X2315" i="21"/>
  <c r="Y1887" i="21"/>
  <c r="Y2046" i="21"/>
  <c r="Y2343" i="21"/>
  <c r="Z2441" i="21"/>
  <c r="X2441" i="21"/>
  <c r="Y2441" i="21"/>
  <c r="X2245" i="21"/>
  <c r="X2161" i="21"/>
  <c r="Y2428" i="21"/>
  <c r="X2335" i="21"/>
  <c r="X682" i="21"/>
  <c r="Z1919" i="21"/>
  <c r="X2355" i="21"/>
  <c r="X2381" i="21"/>
  <c r="X267" i="21"/>
  <c r="Y681" i="21"/>
  <c r="Y1813" i="21"/>
  <c r="X2042" i="21"/>
  <c r="Y2315" i="21"/>
  <c r="X1999" i="21"/>
  <c r="W116" i="21"/>
  <c r="Y116" i="21" s="1"/>
  <c r="Z268" i="21"/>
  <c r="Y2245" i="21"/>
  <c r="Y2161" i="21"/>
  <c r="Y2335" i="21"/>
  <c r="Z2355" i="21"/>
  <c r="Y267" i="21"/>
  <c r="Y2121" i="21"/>
  <c r="X2344" i="21"/>
  <c r="X1813" i="21"/>
  <c r="X2068" i="21"/>
  <c r="Y2042" i="21"/>
  <c r="Y2119" i="21"/>
  <c r="X2482" i="21"/>
  <c r="Z643" i="21"/>
  <c r="X2287" i="21"/>
  <c r="Z1999" i="21"/>
  <c r="Z2560" i="21"/>
  <c r="Y2560" i="21"/>
  <c r="W528" i="21"/>
  <c r="Y528" i="21" s="1"/>
  <c r="W68" i="21"/>
  <c r="X68" i="21" s="1"/>
  <c r="V2715" i="21"/>
  <c r="V2716" i="21"/>
  <c r="V2714" i="21"/>
  <c r="Y2096" i="21"/>
  <c r="X2096" i="21"/>
  <c r="Z2096" i="21"/>
  <c r="Y2310" i="21"/>
  <c r="X2339" i="21"/>
  <c r="Y2155" i="21"/>
  <c r="Z2155" i="21"/>
  <c r="Z380" i="21"/>
  <c r="Y2002" i="21"/>
  <c r="Z2611" i="21"/>
  <c r="Y2611" i="21"/>
  <c r="X2611" i="21"/>
  <c r="Z2249" i="21"/>
  <c r="Y2249" i="21"/>
  <c r="X2249" i="21"/>
  <c r="Y2241" i="21"/>
  <c r="Y2125" i="21"/>
  <c r="Z2226" i="21"/>
  <c r="X2226" i="21"/>
  <c r="Y2226" i="21"/>
  <c r="Y352" i="21"/>
  <c r="Z2285" i="21"/>
  <c r="X2307" i="21"/>
  <c r="Z2125" i="21"/>
  <c r="Z2489" i="21"/>
  <c r="X2489" i="21"/>
  <c r="Y2489" i="21"/>
  <c r="X352" i="21"/>
  <c r="X1726" i="21"/>
  <c r="Y2307" i="21"/>
  <c r="X2235" i="21"/>
  <c r="Z2499" i="21"/>
  <c r="Z2250" i="21"/>
  <c r="Y2250" i="21"/>
  <c r="X2250" i="21"/>
  <c r="X1716" i="21"/>
  <c r="Y2066" i="21"/>
  <c r="Y1726" i="21"/>
  <c r="Z2235" i="21"/>
  <c r="Y2499" i="21"/>
  <c r="Y1842" i="21"/>
  <c r="X2244" i="21"/>
  <c r="Y784" i="21"/>
  <c r="Y1716" i="21"/>
  <c r="Y2023" i="21"/>
  <c r="Y708" i="21"/>
  <c r="Z2284" i="21"/>
  <c r="Y2278" i="21"/>
  <c r="Z708" i="21"/>
  <c r="Z787" i="21"/>
  <c r="Y787" i="21"/>
  <c r="X787" i="21"/>
  <c r="Y2244" i="21"/>
  <c r="Y2280" i="21"/>
  <c r="Y687" i="21"/>
  <c r="X687" i="21"/>
  <c r="Z687" i="21"/>
  <c r="Z2030" i="21"/>
  <c r="Y2127" i="21"/>
  <c r="Y148" i="21"/>
  <c r="Z2191" i="21"/>
  <c r="Y2332" i="21"/>
  <c r="Z2023" i="21"/>
  <c r="Z2119" i="21"/>
  <c r="X2285" i="21"/>
  <c r="X2008" i="21"/>
  <c r="X2525" i="21"/>
  <c r="X666" i="21"/>
  <c r="Y666" i="21"/>
  <c r="Z666" i="21"/>
  <c r="X2127" i="21"/>
  <c r="Z148" i="21"/>
  <c r="Y1819" i="21"/>
  <c r="X1804" i="21"/>
  <c r="X2311" i="21"/>
  <c r="Z364" i="21"/>
  <c r="X2429" i="21"/>
  <c r="Z316" i="21"/>
  <c r="Y667" i="21"/>
  <c r="X364" i="21"/>
  <c r="Y2429" i="21"/>
  <c r="Z1720" i="21"/>
  <c r="X1819" i="21"/>
  <c r="X2237" i="21"/>
  <c r="Y1804" i="21"/>
  <c r="X1962" i="21"/>
  <c r="Z2430" i="21"/>
  <c r="Y316" i="21"/>
  <c r="Y2311" i="21"/>
  <c r="X2547" i="21"/>
  <c r="Z1842" i="21"/>
  <c r="X2066" i="21"/>
  <c r="Y2237" i="21"/>
  <c r="Z1709" i="21"/>
  <c r="X2430" i="21"/>
  <c r="X2031" i="21"/>
  <c r="X2374" i="21"/>
  <c r="X784" i="21"/>
  <c r="X1709" i="21"/>
  <c r="Z2031" i="21"/>
  <c r="Y2374" i="21"/>
  <c r="X1942" i="21"/>
  <c r="X1980" i="21"/>
  <c r="Y1980" i="21"/>
  <c r="Z1980" i="21"/>
  <c r="Y2501" i="21"/>
  <c r="Z2501" i="21"/>
  <c r="X2501" i="21"/>
  <c r="Z257" i="21"/>
  <c r="Y1942" i="21"/>
  <c r="Y550" i="21"/>
  <c r="Z550" i="21"/>
  <c r="X550" i="21"/>
  <c r="Z158" i="21"/>
  <c r="X158" i="21"/>
  <c r="Y158" i="21"/>
  <c r="Z269" i="21"/>
  <c r="Z2511" i="21"/>
  <c r="Y2511" i="21"/>
  <c r="X2511" i="21"/>
  <c r="Y2107" i="21"/>
  <c r="Z2107" i="21"/>
  <c r="X2107" i="21"/>
  <c r="Y2140" i="21"/>
  <c r="X1915" i="21"/>
  <c r="Z1915" i="21"/>
  <c r="Y1915" i="21"/>
  <c r="Y1947" i="21"/>
  <c r="X1947" i="21"/>
  <c r="Z1947" i="21"/>
  <c r="Y2084" i="21"/>
  <c r="X314" i="21"/>
  <c r="Y2120" i="21"/>
  <c r="X2280" i="21"/>
  <c r="Z1962" i="21"/>
  <c r="Z2278" i="21"/>
  <c r="X2377" i="21"/>
  <c r="X2281" i="21"/>
  <c r="Y379" i="21"/>
  <c r="X427" i="21"/>
  <c r="X2309" i="21"/>
  <c r="X2453" i="21"/>
  <c r="Z2140" i="21"/>
  <c r="Z2262" i="21"/>
  <c r="Y2262" i="21"/>
  <c r="X2262" i="21"/>
  <c r="Y314" i="21"/>
  <c r="X2120" i="21"/>
  <c r="X2283" i="21"/>
  <c r="Z2427" i="21"/>
  <c r="X315" i="21"/>
  <c r="Y2122" i="21"/>
  <c r="X2373" i="21"/>
  <c r="Z1803" i="21"/>
  <c r="Y2281" i="21"/>
  <c r="Y427" i="21"/>
  <c r="X2166" i="21"/>
  <c r="Z2453" i="21"/>
  <c r="Z2309" i="21"/>
  <c r="Y2283" i="21"/>
  <c r="X2427" i="21"/>
  <c r="Z315" i="21"/>
  <c r="Z2122" i="21"/>
  <c r="Y2373" i="21"/>
  <c r="Y430" i="21"/>
  <c r="X269" i="21"/>
  <c r="Y1803" i="21"/>
  <c r="Y2166" i="21"/>
  <c r="Z1943" i="21"/>
  <c r="Y1943" i="21"/>
  <c r="X1943" i="21"/>
  <c r="Y2047" i="21"/>
  <c r="Z2047" i="21"/>
  <c r="X2047" i="21"/>
  <c r="X1720" i="21"/>
  <c r="Z2527" i="21"/>
  <c r="Z2098" i="21"/>
  <c r="Y90" i="21"/>
  <c r="X430" i="21"/>
  <c r="X2007" i="21"/>
  <c r="X2098" i="21"/>
  <c r="X1843" i="21"/>
  <c r="X90" i="21"/>
  <c r="Y783" i="21"/>
  <c r="X257" i="21"/>
  <c r="Y266" i="21"/>
  <c r="X1955" i="21"/>
  <c r="Z1955" i="21"/>
  <c r="Y1955" i="21"/>
  <c r="Z266" i="21"/>
  <c r="Y1932" i="21"/>
  <c r="Z1932" i="21"/>
  <c r="X1932" i="21"/>
  <c r="Z2310" i="21"/>
  <c r="Y1930" i="21"/>
  <c r="Z1930" i="21"/>
  <c r="X1930" i="21"/>
  <c r="Y1700" i="21"/>
  <c r="X1700" i="21"/>
  <c r="Z1700" i="21"/>
  <c r="W1785" i="21"/>
  <c r="Z1785" i="21" s="1"/>
  <c r="X2337" i="21"/>
  <c r="Z2452" i="21"/>
  <c r="Y2339" i="21"/>
  <c r="X382" i="21"/>
  <c r="Y474" i="21"/>
  <c r="Y382" i="21"/>
  <c r="Y2337" i="21"/>
  <c r="Y201" i="21"/>
  <c r="Z2376" i="21"/>
  <c r="Z2551" i="21"/>
  <c r="Y2551" i="21"/>
  <c r="X2551" i="21"/>
  <c r="X1812" i="21"/>
  <c r="Y1812" i="21"/>
  <c r="Z1812" i="21"/>
  <c r="X474" i="21"/>
  <c r="Q2714" i="21"/>
  <c r="X2376" i="21"/>
  <c r="Z2126" i="21"/>
  <c r="Y2126" i="21"/>
  <c r="X2126" i="21"/>
  <c r="W1690" i="21"/>
  <c r="Z1690" i="21" s="1"/>
  <c r="Y2200" i="21"/>
  <c r="Z1701" i="21"/>
  <c r="X1701" i="21"/>
  <c r="Y1701" i="21"/>
  <c r="X2200" i="21"/>
  <c r="Y2284" i="21"/>
  <c r="Y2550" i="21"/>
  <c r="Z2550" i="21"/>
  <c r="X2550" i="21"/>
  <c r="X2165" i="21"/>
  <c r="Y2165" i="21"/>
  <c r="Z2165" i="21"/>
  <c r="Y269" i="21"/>
  <c r="Z201" i="21"/>
  <c r="Y408" i="21"/>
  <c r="Z408" i="21"/>
  <c r="X408" i="21"/>
  <c r="Z2406" i="21"/>
  <c r="Y2406" i="21"/>
  <c r="X2406" i="21"/>
  <c r="Y2614" i="21"/>
  <c r="X2614" i="21"/>
  <c r="Z2614" i="21"/>
  <c r="Z2451" i="21"/>
  <c r="Y2451" i="21"/>
  <c r="X2451" i="21"/>
  <c r="X412" i="21"/>
  <c r="Z412" i="21"/>
  <c r="Y412" i="21"/>
  <c r="Z2599" i="21"/>
  <c r="Y2599" i="21"/>
  <c r="X2599" i="21"/>
  <c r="X2455" i="21"/>
  <c r="Z2455" i="21"/>
  <c r="Y2455" i="21"/>
  <c r="Z2189" i="21"/>
  <c r="Y2189" i="21"/>
  <c r="X2189" i="21"/>
  <c r="Y1885" i="21"/>
  <c r="X1885" i="21"/>
  <c r="Z1885" i="21"/>
  <c r="Z2625" i="21"/>
  <c r="X2625" i="21"/>
  <c r="Y2625" i="21"/>
  <c r="Y1938" i="21"/>
  <c r="X1938" i="21"/>
  <c r="Z1938" i="21"/>
  <c r="Z713" i="21"/>
  <c r="X713" i="21"/>
  <c r="Y713" i="21"/>
  <c r="Z2629" i="21"/>
  <c r="X2629" i="21"/>
  <c r="Y2629" i="21"/>
  <c r="Z2571" i="21"/>
  <c r="Y2571" i="21"/>
  <c r="X2571" i="21"/>
  <c r="Y422" i="21"/>
  <c r="Z422" i="21"/>
  <c r="X422" i="21"/>
  <c r="Y2575" i="21"/>
  <c r="Z2575" i="21"/>
  <c r="X2575" i="21"/>
  <c r="Z374" i="21"/>
  <c r="Y374" i="21"/>
  <c r="X374" i="21"/>
  <c r="Z1722" i="21"/>
  <c r="X1722" i="21"/>
  <c r="Y1722" i="21"/>
  <c r="Y1806" i="21"/>
  <c r="X1806" i="21"/>
  <c r="Z1806" i="21"/>
  <c r="Z421" i="21"/>
  <c r="X421" i="21"/>
  <c r="Y421" i="21"/>
  <c r="Z2573" i="21"/>
  <c r="Y2573" i="21"/>
  <c r="X2573" i="21"/>
  <c r="Z373" i="21"/>
  <c r="X373" i="21"/>
  <c r="Y373" i="21"/>
  <c r="Y2365" i="21"/>
  <c r="Z2365" i="21"/>
  <c r="X2365" i="21"/>
  <c r="Y423" i="21"/>
  <c r="X423" i="21"/>
  <c r="Z423" i="21"/>
  <c r="Z649" i="21"/>
  <c r="X649" i="21"/>
  <c r="Y649" i="21"/>
  <c r="Y700" i="21"/>
  <c r="Z700" i="21"/>
  <c r="X700" i="21"/>
  <c r="W840" i="21"/>
  <c r="Z840" i="21" s="1"/>
  <c r="Y703" i="21"/>
  <c r="X703" i="21"/>
  <c r="Z703" i="21"/>
  <c r="X706" i="21"/>
  <c r="Z706" i="21"/>
  <c r="Y706" i="21"/>
  <c r="Z2627" i="21"/>
  <c r="X2627" i="21"/>
  <c r="Y2627" i="21"/>
  <c r="Y2044" i="21"/>
  <c r="Z2044" i="21"/>
  <c r="X2044" i="21"/>
  <c r="Y308" i="21"/>
  <c r="Z308" i="21"/>
  <c r="X308" i="21"/>
  <c r="X346" i="21"/>
  <c r="Z346" i="21"/>
  <c r="Y346" i="21"/>
  <c r="X334" i="21"/>
  <c r="Z334" i="21"/>
  <c r="Y334" i="21"/>
  <c r="Z615" i="21"/>
  <c r="X615" i="21"/>
  <c r="Y615" i="21"/>
  <c r="Y384" i="21"/>
  <c r="X384" i="21"/>
  <c r="Z384" i="21"/>
  <c r="Y709" i="21"/>
  <c r="X1883" i="21"/>
  <c r="Z1883" i="21"/>
  <c r="Y1883" i="21"/>
  <c r="X2010" i="21"/>
  <c r="Z2010" i="21"/>
  <c r="Y2010" i="21"/>
  <c r="Z2193" i="21"/>
  <c r="Y2193" i="21"/>
  <c r="X2193" i="21"/>
  <c r="X1912" i="21"/>
  <c r="Z1912" i="21"/>
  <c r="Y1912" i="21"/>
  <c r="Z234" i="21"/>
  <c r="Y234" i="21"/>
  <c r="X234" i="21"/>
  <c r="Z619" i="21"/>
  <c r="Y619" i="21"/>
  <c r="X619" i="21"/>
  <c r="Z2172" i="21"/>
  <c r="Y2172" i="21"/>
  <c r="X2172" i="21"/>
  <c r="Z2218" i="21"/>
  <c r="X2218" i="21"/>
  <c r="Y2218" i="21"/>
  <c r="Z2623" i="21"/>
  <c r="Y2623" i="21"/>
  <c r="X2623" i="21"/>
  <c r="X406" i="21"/>
  <c r="Z406" i="21"/>
  <c r="Y406" i="21"/>
  <c r="Z439" i="21"/>
  <c r="Y439" i="21"/>
  <c r="X439" i="21"/>
  <c r="Z695" i="21"/>
  <c r="Y695" i="21"/>
  <c r="X695" i="21"/>
  <c r="Z2434" i="21"/>
  <c r="Y2434" i="21"/>
  <c r="X2434" i="21"/>
  <c r="Z2446" i="21"/>
  <c r="Y2446" i="21"/>
  <c r="X2446" i="21"/>
  <c r="Y303" i="21"/>
  <c r="X303" i="21"/>
  <c r="Z303" i="21"/>
  <c r="Y291" i="21"/>
  <c r="X291" i="21"/>
  <c r="Z291" i="21"/>
  <c r="Z288" i="21"/>
  <c r="Y288" i="21"/>
  <c r="X288" i="21"/>
  <c r="X168" i="21"/>
  <c r="Z168" i="21"/>
  <c r="Y168" i="21"/>
  <c r="X658" i="21"/>
  <c r="Z658" i="21"/>
  <c r="Y658" i="21"/>
  <c r="Z610" i="21"/>
  <c r="Y610" i="21"/>
  <c r="X610" i="21"/>
  <c r="X2472" i="21"/>
  <c r="Z2472" i="21"/>
  <c r="Y2472" i="21"/>
  <c r="Y342" i="21"/>
  <c r="X342" i="21"/>
  <c r="Z342" i="21"/>
  <c r="Z1958" i="21"/>
  <c r="Y1958" i="21"/>
  <c r="X1958" i="21"/>
  <c r="Z555" i="21"/>
  <c r="Y555" i="21"/>
  <c r="X555" i="21"/>
  <c r="Z338" i="21"/>
  <c r="X338" i="21"/>
  <c r="Y338" i="21"/>
  <c r="Z387" i="21"/>
  <c r="Y387" i="21"/>
  <c r="X387" i="21"/>
  <c r="Z709" i="21"/>
  <c r="Z1657" i="21"/>
  <c r="Y1657" i="21"/>
  <c r="X1657" i="21"/>
  <c r="Z2026" i="21"/>
  <c r="Y2026" i="21"/>
  <c r="X2026" i="21"/>
  <c r="Z2196" i="21"/>
  <c r="Y2196" i="21"/>
  <c r="X2196" i="21"/>
  <c r="Y2493" i="21"/>
  <c r="X2493" i="21"/>
  <c r="Z2493" i="21"/>
  <c r="Z2577" i="21"/>
  <c r="Y2577" i="21"/>
  <c r="X2577" i="21"/>
  <c r="X286" i="21"/>
  <c r="Z286" i="21"/>
  <c r="Y286" i="21"/>
  <c r="Y297" i="21"/>
  <c r="X297" i="21"/>
  <c r="Z297" i="21"/>
  <c r="Z620" i="21"/>
  <c r="Y620" i="21"/>
  <c r="X620" i="21"/>
  <c r="Y1848" i="21"/>
  <c r="Z1848" i="21"/>
  <c r="X1848" i="21"/>
  <c r="X1899" i="21"/>
  <c r="Y1899" i="21"/>
  <c r="Z1899" i="21"/>
  <c r="Y404" i="21"/>
  <c r="Z404" i="21"/>
  <c r="X404" i="21"/>
  <c r="Z652" i="21"/>
  <c r="Y652" i="21"/>
  <c r="X652" i="21"/>
  <c r="Z440" i="21"/>
  <c r="X440" i="21"/>
  <c r="Y440" i="21"/>
  <c r="Y283" i="21"/>
  <c r="Z283" i="21"/>
  <c r="X283" i="21"/>
  <c r="Z697" i="21"/>
  <c r="Y697" i="21"/>
  <c r="X697" i="21"/>
  <c r="Y1869" i="21"/>
  <c r="X1869" i="21"/>
  <c r="Z1869" i="21"/>
  <c r="Y2436" i="21"/>
  <c r="X2436" i="21"/>
  <c r="Z2436" i="21"/>
  <c r="X2448" i="21"/>
  <c r="Z2448" i="21"/>
  <c r="Y2448" i="21"/>
  <c r="Y1851" i="21"/>
  <c r="Z1851" i="21"/>
  <c r="X1851" i="21"/>
  <c r="X2058" i="21"/>
  <c r="Z2058" i="21"/>
  <c r="Y2058" i="21"/>
  <c r="Z264" i="21"/>
  <c r="Y264" i="21"/>
  <c r="X264" i="21"/>
  <c r="Y2182" i="21"/>
  <c r="X2182" i="21"/>
  <c r="Z2182" i="21"/>
  <c r="Z2461" i="21"/>
  <c r="Y2461" i="21"/>
  <c r="X2461" i="21"/>
  <c r="Z612" i="21"/>
  <c r="Y612" i="21"/>
  <c r="X612" i="21"/>
  <c r="Z2473" i="21"/>
  <c r="Y2473" i="21"/>
  <c r="X2473" i="21"/>
  <c r="Z343" i="21"/>
  <c r="X343" i="21"/>
  <c r="Y343" i="21"/>
  <c r="Y330" i="21"/>
  <c r="X330" i="21"/>
  <c r="Z330" i="21"/>
  <c r="Y306" i="21"/>
  <c r="X306" i="21"/>
  <c r="Z306" i="21"/>
  <c r="Y1834" i="21"/>
  <c r="Z1834" i="21"/>
  <c r="X1834" i="21"/>
  <c r="Y273" i="21"/>
  <c r="X273" i="21"/>
  <c r="Z273" i="21"/>
  <c r="Y340" i="21"/>
  <c r="Z340" i="21"/>
  <c r="X340" i="21"/>
  <c r="Z614" i="21"/>
  <c r="Y614" i="21"/>
  <c r="X614" i="21"/>
  <c r="Z385" i="21"/>
  <c r="X385" i="21"/>
  <c r="Y385" i="21"/>
  <c r="Z1882" i="21"/>
  <c r="X1882" i="21"/>
  <c r="Y1882" i="21"/>
  <c r="Y2076" i="21"/>
  <c r="Z2076" i="21"/>
  <c r="X2076" i="21"/>
  <c r="X2496" i="21"/>
  <c r="Z2496" i="21"/>
  <c r="Y2496" i="21"/>
  <c r="Z2579" i="21"/>
  <c r="Y2579" i="21"/>
  <c r="X2579" i="21"/>
  <c r="X1910" i="21"/>
  <c r="Y1910" i="21"/>
  <c r="Z1910" i="21"/>
  <c r="Z1849" i="21"/>
  <c r="Y1849" i="21"/>
  <c r="X1849" i="21"/>
  <c r="Z1897" i="21"/>
  <c r="X1897" i="21"/>
  <c r="Y1897" i="21"/>
  <c r="X2173" i="21"/>
  <c r="Z2173" i="21"/>
  <c r="Y2173" i="21"/>
  <c r="Z2220" i="21"/>
  <c r="Y2220" i="21"/>
  <c r="X2220" i="21"/>
  <c r="Z2620" i="21"/>
  <c r="Y2620" i="21"/>
  <c r="X2620" i="21"/>
  <c r="Z653" i="21"/>
  <c r="X653" i="21"/>
  <c r="Y653" i="21"/>
  <c r="Y442" i="21"/>
  <c r="Z442" i="21"/>
  <c r="X442" i="21"/>
  <c r="X1870" i="21"/>
  <c r="Z1870" i="21"/>
  <c r="Y1870" i="21"/>
  <c r="Z2437" i="21"/>
  <c r="Y2437" i="21"/>
  <c r="X2437" i="21"/>
  <c r="X2447" i="21"/>
  <c r="Z2447" i="21"/>
  <c r="Y2447" i="21"/>
  <c r="X292" i="21"/>
  <c r="Z292" i="21"/>
  <c r="Y292" i="21"/>
  <c r="Y1852" i="21"/>
  <c r="X1852" i="21"/>
  <c r="Z1852" i="21"/>
  <c r="Z659" i="21"/>
  <c r="Y659" i="21"/>
  <c r="X659" i="21"/>
  <c r="Y2183" i="21"/>
  <c r="Z2183" i="21"/>
  <c r="X2183" i="21"/>
  <c r="Z2470" i="21"/>
  <c r="Y2470" i="21"/>
  <c r="X2470" i="21"/>
  <c r="Y344" i="21"/>
  <c r="X344" i="21"/>
  <c r="Z344" i="21"/>
  <c r="Y307" i="21"/>
  <c r="X307" i="21"/>
  <c r="Z307" i="21"/>
  <c r="Y1836" i="21"/>
  <c r="X1836" i="21"/>
  <c r="Z1836" i="21"/>
  <c r="Z2630" i="21"/>
  <c r="X2630" i="21"/>
  <c r="Y2630" i="21"/>
  <c r="Z553" i="21"/>
  <c r="X553" i="21"/>
  <c r="Y553" i="21"/>
  <c r="Z230" i="21"/>
  <c r="Y230" i="21"/>
  <c r="X230" i="21"/>
  <c r="Z616" i="21"/>
  <c r="Y616" i="21"/>
  <c r="X616" i="21"/>
  <c r="Z2027" i="21"/>
  <c r="Y2027" i="21"/>
  <c r="X2027" i="21"/>
  <c r="X2197" i="21"/>
  <c r="Z2197" i="21"/>
  <c r="Y2197" i="21"/>
  <c r="Z2581" i="21"/>
  <c r="Y2581" i="21"/>
  <c r="X2581" i="21"/>
  <c r="Y277" i="21"/>
  <c r="Z277" i="21"/>
  <c r="X277" i="21"/>
  <c r="X618" i="21"/>
  <c r="Z618" i="21"/>
  <c r="Y618" i="21"/>
  <c r="Z2091" i="21"/>
  <c r="Y2091" i="21"/>
  <c r="X2091" i="21"/>
  <c r="Y2221" i="21"/>
  <c r="Z2221" i="21"/>
  <c r="X2221" i="21"/>
  <c r="Z2622" i="21"/>
  <c r="Y2622" i="21"/>
  <c r="X2622" i="21"/>
  <c r="X116" i="21"/>
  <c r="Z116" i="21"/>
  <c r="Z655" i="21"/>
  <c r="Y655" i="21"/>
  <c r="X655" i="21"/>
  <c r="Z282" i="21"/>
  <c r="Y282" i="21"/>
  <c r="X282" i="21"/>
  <c r="X2435" i="21"/>
  <c r="Z2435" i="21"/>
  <c r="Y2435" i="21"/>
  <c r="X304" i="21"/>
  <c r="Z304" i="21"/>
  <c r="Y304" i="21"/>
  <c r="Z679" i="21"/>
  <c r="Y1712" i="21"/>
  <c r="X1712" i="21"/>
  <c r="Z1712" i="21"/>
  <c r="X1928" i="21"/>
  <c r="Y1928" i="21"/>
  <c r="Z1928" i="21"/>
  <c r="Z661" i="21"/>
  <c r="Y661" i="21"/>
  <c r="X661" i="21"/>
  <c r="Z2457" i="21"/>
  <c r="Y2457" i="21"/>
  <c r="X2457" i="21"/>
  <c r="Y1854" i="21"/>
  <c r="X1854" i="21"/>
  <c r="Z1854" i="21"/>
  <c r="Y2471" i="21"/>
  <c r="X2471" i="21"/>
  <c r="Z2471" i="21"/>
  <c r="Z331" i="21"/>
  <c r="X331" i="21"/>
  <c r="Y331" i="21"/>
  <c r="Y345" i="21"/>
  <c r="X345" i="21"/>
  <c r="Z345" i="21"/>
  <c r="X557" i="21"/>
  <c r="Z557" i="21"/>
  <c r="Y557" i="21"/>
  <c r="Y332" i="21"/>
  <c r="X332" i="21"/>
  <c r="Z332" i="21"/>
  <c r="Y309" i="21"/>
  <c r="X309" i="21"/>
  <c r="Z309" i="21"/>
  <c r="Z1835" i="21"/>
  <c r="Y1835" i="21"/>
  <c r="X1835" i="21"/>
  <c r="X554" i="21"/>
  <c r="Z554" i="21"/>
  <c r="Y554" i="21"/>
  <c r="Y271" i="21"/>
  <c r="Z271" i="21"/>
  <c r="X271" i="21"/>
  <c r="Z336" i="21"/>
  <c r="Y336" i="21"/>
  <c r="X336" i="21"/>
  <c r="Z386" i="21"/>
  <c r="X386" i="21"/>
  <c r="Y386" i="21"/>
  <c r="Z2011" i="21"/>
  <c r="Y2011" i="21"/>
  <c r="X2011" i="21"/>
  <c r="Y2028" i="21"/>
  <c r="X2028" i="21"/>
  <c r="Z2028" i="21"/>
  <c r="Z2494" i="21"/>
  <c r="Y2494" i="21"/>
  <c r="X2494" i="21"/>
  <c r="Z1911" i="21"/>
  <c r="X1911" i="21"/>
  <c r="Y1911" i="21"/>
  <c r="X298" i="21"/>
  <c r="Z298" i="21"/>
  <c r="Y298" i="21"/>
  <c r="Y2092" i="21"/>
  <c r="X2092" i="21"/>
  <c r="Z2092" i="21"/>
  <c r="Y2170" i="21"/>
  <c r="X2170" i="21"/>
  <c r="Z2170" i="21"/>
  <c r="Y2219" i="21"/>
  <c r="X2219" i="21"/>
  <c r="Z2219" i="21"/>
  <c r="X402" i="21"/>
  <c r="Y402" i="21"/>
  <c r="Z402" i="21"/>
  <c r="Z441" i="21"/>
  <c r="Y441" i="21"/>
  <c r="X441" i="21"/>
  <c r="X679" i="21"/>
  <c r="Z1926" i="21"/>
  <c r="X1926" i="21"/>
  <c r="Y1926" i="21"/>
  <c r="Y295" i="21"/>
  <c r="Z295" i="21"/>
  <c r="X295" i="21"/>
  <c r="Z2181" i="21"/>
  <c r="Y2181" i="21"/>
  <c r="X2181" i="21"/>
  <c r="Z2458" i="21"/>
  <c r="Y2458" i="21"/>
  <c r="X2458" i="21"/>
  <c r="Y1865" i="21"/>
  <c r="X1865" i="21"/>
  <c r="Z1865" i="21"/>
  <c r="X1855" i="21"/>
  <c r="Z1855" i="21"/>
  <c r="Y1855" i="21"/>
  <c r="Y333" i="21"/>
  <c r="X333" i="21"/>
  <c r="Z333" i="21"/>
  <c r="Z310" i="21"/>
  <c r="X310" i="21"/>
  <c r="Y310" i="21"/>
  <c r="Z807" i="21"/>
  <c r="Y807" i="21"/>
  <c r="X807" i="21"/>
  <c r="Z1959" i="21"/>
  <c r="Y1959" i="21"/>
  <c r="X1959" i="21"/>
  <c r="Z272" i="21"/>
  <c r="X272" i="21"/>
  <c r="Y272" i="21"/>
  <c r="Y322" i="21"/>
  <c r="X322" i="21"/>
  <c r="Z322" i="21"/>
  <c r="Z339" i="21"/>
  <c r="Y339" i="21"/>
  <c r="X339" i="21"/>
  <c r="Y1752" i="21"/>
  <c r="X1752" i="21"/>
  <c r="Z1752" i="21"/>
  <c r="Z2074" i="21"/>
  <c r="Y2074" i="21"/>
  <c r="X2074" i="21"/>
  <c r="Y2194" i="21"/>
  <c r="X2194" i="21"/>
  <c r="Z2194" i="21"/>
  <c r="Z2497" i="21"/>
  <c r="Y2497" i="21"/>
  <c r="X2497" i="21"/>
  <c r="Y276" i="21"/>
  <c r="X276" i="21"/>
  <c r="Z276" i="21"/>
  <c r="Z1898" i="21"/>
  <c r="Y1898" i="21"/>
  <c r="X1898" i="21"/>
  <c r="Y2171" i="21"/>
  <c r="Z2171" i="21"/>
  <c r="X2171" i="21"/>
  <c r="Y405" i="21"/>
  <c r="Z405" i="21"/>
  <c r="X405" i="21"/>
  <c r="X651" i="21"/>
  <c r="Z651" i="21"/>
  <c r="Y651" i="21"/>
  <c r="Y438" i="21"/>
  <c r="X438" i="21"/>
  <c r="Z438" i="21"/>
  <c r="Z667" i="21"/>
  <c r="Z693" i="21"/>
  <c r="Y693" i="21"/>
  <c r="X693" i="21"/>
  <c r="Z2449" i="21"/>
  <c r="Y2449" i="21"/>
  <c r="X2449" i="21"/>
  <c r="Y279" i="21"/>
  <c r="X279" i="21"/>
  <c r="Z279" i="21"/>
  <c r="Z169" i="21"/>
  <c r="Y169" i="21"/>
  <c r="X169" i="21"/>
  <c r="Z2184" i="21"/>
  <c r="Y2184" i="21"/>
  <c r="X2184" i="21"/>
  <c r="X2460" i="21"/>
  <c r="Z2460" i="21"/>
  <c r="Y2460" i="21"/>
  <c r="Y301" i="21"/>
  <c r="Z301" i="21"/>
  <c r="X301" i="21"/>
  <c r="X1960" i="21"/>
  <c r="Z1960" i="21"/>
  <c r="Y1960" i="21"/>
  <c r="Z2676" i="21"/>
  <c r="Y2676" i="21"/>
  <c r="X2676" i="21"/>
  <c r="Z274" i="21"/>
  <c r="Y274" i="21"/>
  <c r="X274" i="21"/>
  <c r="Z337" i="21"/>
  <c r="Y337" i="21"/>
  <c r="X337" i="21"/>
  <c r="Y388" i="21"/>
  <c r="Z388" i="21"/>
  <c r="X388" i="21"/>
  <c r="X1881" i="21"/>
  <c r="Y1881" i="21"/>
  <c r="Z1881" i="21"/>
  <c r="Y2012" i="21"/>
  <c r="Z2012" i="21"/>
  <c r="X2012" i="21"/>
  <c r="Y2195" i="21"/>
  <c r="Z2195" i="21"/>
  <c r="X2195" i="21"/>
  <c r="Z2495" i="21"/>
  <c r="Y2495" i="21"/>
  <c r="X2495" i="21"/>
  <c r="Z2578" i="21"/>
  <c r="Y2578" i="21"/>
  <c r="X2578" i="21"/>
  <c r="X190" i="21"/>
  <c r="Z190" i="21"/>
  <c r="Y190" i="21"/>
  <c r="Y285" i="21"/>
  <c r="X285" i="21"/>
  <c r="Z285" i="21"/>
  <c r="Z2090" i="21"/>
  <c r="Y2090" i="21"/>
  <c r="X2090" i="21"/>
  <c r="Y2217" i="21"/>
  <c r="X2217" i="21"/>
  <c r="Z2217" i="21"/>
  <c r="Z2619" i="21"/>
  <c r="X2619" i="21"/>
  <c r="Y2619" i="21"/>
  <c r="X654" i="21"/>
  <c r="Z654" i="21"/>
  <c r="Y654" i="21"/>
  <c r="X667" i="21"/>
  <c r="Y694" i="21"/>
  <c r="Z694" i="21"/>
  <c r="X694" i="21"/>
  <c r="X1871" i="21"/>
  <c r="Y1871" i="21"/>
  <c r="Z1871" i="21"/>
  <c r="Y289" i="21"/>
  <c r="Z289" i="21"/>
  <c r="X289" i="21"/>
  <c r="Z1713" i="21"/>
  <c r="Y1713" i="21"/>
  <c r="X1713" i="21"/>
  <c r="Z2059" i="21"/>
  <c r="Y2059" i="21"/>
  <c r="X2059" i="21"/>
  <c r="Z294" i="21"/>
  <c r="Y294" i="21"/>
  <c r="X294" i="21"/>
  <c r="Z657" i="21"/>
  <c r="X657" i="21"/>
  <c r="Y657" i="21"/>
  <c r="Y2459" i="21"/>
  <c r="X2459" i="21"/>
  <c r="Z2459" i="21"/>
  <c r="Z611" i="21"/>
  <c r="X611" i="21"/>
  <c r="Y611" i="21"/>
  <c r="Y1866" i="21"/>
  <c r="X1866" i="21"/>
  <c r="Z1866" i="21"/>
  <c r="Y2469" i="21"/>
  <c r="X2469" i="21"/>
  <c r="Z2469" i="21"/>
  <c r="X2075" i="21"/>
  <c r="Z2075" i="21"/>
  <c r="Y2075" i="21"/>
  <c r="Z2580" i="21"/>
  <c r="Y2580" i="21"/>
  <c r="X2580" i="21"/>
  <c r="Z191" i="21"/>
  <c r="Y191" i="21"/>
  <c r="X191" i="21"/>
  <c r="Z2169" i="21"/>
  <c r="Y2169" i="21"/>
  <c r="X2169" i="21"/>
  <c r="Z2621" i="21"/>
  <c r="Y2621" i="21"/>
  <c r="X2621" i="21"/>
  <c r="Y403" i="21"/>
  <c r="Z403" i="21"/>
  <c r="X403" i="21"/>
  <c r="X696" i="21"/>
  <c r="Z696" i="21"/>
  <c r="Y696" i="21"/>
  <c r="Z2433" i="21"/>
  <c r="Y2433" i="21"/>
  <c r="X2433" i="21"/>
  <c r="Z2445" i="21"/>
  <c r="Y2445" i="21"/>
  <c r="X2445" i="21"/>
  <c r="X280" i="21"/>
  <c r="Z280" i="21"/>
  <c r="Y280" i="21"/>
  <c r="X1714" i="21"/>
  <c r="Z1714" i="21"/>
  <c r="Y1714" i="21"/>
  <c r="Z1927" i="21"/>
  <c r="Y1927" i="21"/>
  <c r="X1927" i="21"/>
  <c r="Y2060" i="21"/>
  <c r="Z2060" i="21"/>
  <c r="X2060" i="21"/>
  <c r="Z660" i="21"/>
  <c r="X660" i="21"/>
  <c r="Y660" i="21"/>
  <c r="X2185" i="21"/>
  <c r="Z2185" i="21"/>
  <c r="Y2185" i="21"/>
  <c r="Z300" i="21"/>
  <c r="Y300" i="21"/>
  <c r="X300" i="21"/>
  <c r="Y1867" i="21"/>
  <c r="X1867" i="21"/>
  <c r="Z1867" i="21"/>
  <c r="F6" i="7"/>
  <c r="F14" i="7"/>
  <c r="F9" i="7"/>
  <c r="F13" i="7"/>
  <c r="F12" i="7"/>
  <c r="X528" i="21" l="1"/>
  <c r="Z528" i="21"/>
  <c r="Y68" i="21"/>
  <c r="Z68" i="21"/>
  <c r="Z1690" i="23"/>
  <c r="Y1690" i="23"/>
  <c r="X1690" i="23"/>
  <c r="Y18" i="24"/>
  <c r="X18" i="24"/>
  <c r="Z18" i="24"/>
  <c r="Y1785" i="24"/>
  <c r="X1785" i="24"/>
  <c r="Z1785" i="24"/>
  <c r="Y1785" i="23"/>
  <c r="X1785" i="23"/>
  <c r="Z1785" i="23"/>
  <c r="Z840" i="23"/>
  <c r="Y840" i="23"/>
  <c r="X840" i="23"/>
  <c r="Z18" i="23"/>
  <c r="Y18" i="23"/>
  <c r="X18" i="23"/>
  <c r="Y1690" i="24"/>
  <c r="Z1690" i="24"/>
  <c r="X1690" i="24"/>
  <c r="Y840" i="24"/>
  <c r="X840" i="24"/>
  <c r="Z840" i="24"/>
  <c r="Z528" i="22"/>
  <c r="Y528" i="22"/>
  <c r="X528" i="22"/>
  <c r="X1785" i="22"/>
  <c r="Z1785" i="22"/>
  <c r="Y1785" i="22"/>
  <c r="X1690" i="22"/>
  <c r="Z1690" i="22"/>
  <c r="Y1690" i="22"/>
  <c r="Z116" i="22"/>
  <c r="Y116" i="22"/>
  <c r="X116" i="22"/>
  <c r="Z840" i="22"/>
  <c r="Y840" i="22"/>
  <c r="X840" i="22"/>
  <c r="Z68" i="22"/>
  <c r="Y68" i="22"/>
  <c r="X68" i="22"/>
  <c r="Y1785" i="21"/>
  <c r="X1785" i="21"/>
  <c r="X840" i="21"/>
  <c r="Y1690" i="21"/>
  <c r="Y840" i="21"/>
  <c r="X1690" i="21"/>
  <c r="J4" i="17" l="1"/>
  <c r="J5" i="17"/>
  <c r="J6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3" i="17"/>
  <c r="L82" i="17" l="1"/>
  <c r="H82" i="17"/>
  <c r="G82" i="17"/>
  <c r="F82" i="17"/>
  <c r="E82" i="17"/>
  <c r="L81" i="17"/>
  <c r="H81" i="17"/>
  <c r="G81" i="17"/>
  <c r="F81" i="17"/>
  <c r="E81" i="17"/>
  <c r="L80" i="17"/>
  <c r="H80" i="17"/>
  <c r="G80" i="17"/>
  <c r="F80" i="17"/>
  <c r="E80" i="17"/>
  <c r="L79" i="17"/>
  <c r="H79" i="17"/>
  <c r="G79" i="17"/>
  <c r="F79" i="17"/>
  <c r="E79" i="17"/>
  <c r="L78" i="17"/>
  <c r="H78" i="17"/>
  <c r="G78" i="17"/>
  <c r="F78" i="17"/>
  <c r="E78" i="17"/>
  <c r="L77" i="17"/>
  <c r="H77" i="17"/>
  <c r="G77" i="17"/>
  <c r="F77" i="17"/>
  <c r="E77" i="17"/>
  <c r="L76" i="17"/>
  <c r="H76" i="17"/>
  <c r="G76" i="17"/>
  <c r="F76" i="17"/>
  <c r="E76" i="17"/>
  <c r="L75" i="17"/>
  <c r="H75" i="17"/>
  <c r="G75" i="17"/>
  <c r="F75" i="17"/>
  <c r="E75" i="17"/>
  <c r="L74" i="17"/>
  <c r="H74" i="17"/>
  <c r="G74" i="17"/>
  <c r="F74" i="17"/>
  <c r="E74" i="17"/>
  <c r="L73" i="17"/>
  <c r="H73" i="17"/>
  <c r="G73" i="17"/>
  <c r="F73" i="17"/>
  <c r="E73" i="17"/>
  <c r="L72" i="17"/>
  <c r="H72" i="17"/>
  <c r="G72" i="17"/>
  <c r="F72" i="17"/>
  <c r="E72" i="17"/>
  <c r="L71" i="17"/>
  <c r="H71" i="17"/>
  <c r="G71" i="17"/>
  <c r="F71" i="17"/>
  <c r="E71" i="17"/>
  <c r="L70" i="17"/>
  <c r="H70" i="17"/>
  <c r="G70" i="17"/>
  <c r="F70" i="17"/>
  <c r="E70" i="17"/>
  <c r="N69" i="17"/>
  <c r="L69" i="17"/>
  <c r="H69" i="17"/>
  <c r="G69" i="17"/>
  <c r="F69" i="17"/>
  <c r="E69" i="17"/>
  <c r="N68" i="17"/>
  <c r="L68" i="17"/>
  <c r="H68" i="17"/>
  <c r="G68" i="17"/>
  <c r="F68" i="17"/>
  <c r="E68" i="17"/>
  <c r="N67" i="17"/>
  <c r="L67" i="17"/>
  <c r="H67" i="17"/>
  <c r="G67" i="17"/>
  <c r="F67" i="17"/>
  <c r="E67" i="17"/>
  <c r="N66" i="17"/>
  <c r="L66" i="17"/>
  <c r="H66" i="17"/>
  <c r="G66" i="17"/>
  <c r="F66" i="17"/>
  <c r="E66" i="17"/>
  <c r="N65" i="17"/>
  <c r="L65" i="17"/>
  <c r="H65" i="17"/>
  <c r="G65" i="17"/>
  <c r="F65" i="17"/>
  <c r="E65" i="17"/>
  <c r="N64" i="17"/>
  <c r="L64" i="17"/>
  <c r="H64" i="17"/>
  <c r="G64" i="17"/>
  <c r="F64" i="17"/>
  <c r="E64" i="17"/>
  <c r="W63" i="17"/>
  <c r="R63" i="17"/>
  <c r="N63" i="17"/>
  <c r="L63" i="17"/>
  <c r="H63" i="17"/>
  <c r="G63" i="17"/>
  <c r="F63" i="17"/>
  <c r="E63" i="17"/>
  <c r="W62" i="17"/>
  <c r="R62" i="17"/>
  <c r="N62" i="17"/>
  <c r="L62" i="17"/>
  <c r="H62" i="17"/>
  <c r="G62" i="17"/>
  <c r="F62" i="17"/>
  <c r="E62" i="17"/>
  <c r="W61" i="17"/>
  <c r="R61" i="17"/>
  <c r="G61" i="17" s="1"/>
  <c r="N61" i="17"/>
  <c r="L61" i="17"/>
  <c r="H61" i="17"/>
  <c r="E61" i="17"/>
  <c r="N60" i="17"/>
  <c r="L60" i="17"/>
  <c r="E60" i="17"/>
  <c r="R59" i="17"/>
  <c r="R60" i="17" s="1"/>
  <c r="W60" i="17" s="1"/>
  <c r="P59" i="17"/>
  <c r="N59" i="17"/>
  <c r="L59" i="17"/>
  <c r="E59" i="17"/>
  <c r="W58" i="17"/>
  <c r="R58" i="17"/>
  <c r="G58" i="17" s="1"/>
  <c r="N58" i="17"/>
  <c r="L58" i="17"/>
  <c r="H58" i="17"/>
  <c r="F58" i="17"/>
  <c r="E58" i="17"/>
  <c r="W57" i="17"/>
  <c r="R57" i="17"/>
  <c r="H57" i="17" s="1"/>
  <c r="N57" i="17"/>
  <c r="L57" i="17"/>
  <c r="G57" i="17"/>
  <c r="F57" i="17"/>
  <c r="E57" i="17"/>
  <c r="W56" i="17"/>
  <c r="R56" i="17"/>
  <c r="Q56" i="17"/>
  <c r="H56" i="17" s="1"/>
  <c r="O56" i="17"/>
  <c r="G56" i="17" s="1"/>
  <c r="N56" i="17"/>
  <c r="L56" i="17"/>
  <c r="E56" i="17"/>
  <c r="W55" i="17"/>
  <c r="R55" i="17"/>
  <c r="N55" i="17"/>
  <c r="L55" i="17"/>
  <c r="H55" i="17"/>
  <c r="G55" i="17"/>
  <c r="F55" i="17"/>
  <c r="E55" i="17"/>
  <c r="R54" i="17"/>
  <c r="H54" i="17" s="1"/>
  <c r="N54" i="17"/>
  <c r="L54" i="17"/>
  <c r="E54" i="17"/>
  <c r="R53" i="17"/>
  <c r="P53" i="17"/>
  <c r="N53" i="17"/>
  <c r="L53" i="17"/>
  <c r="E53" i="17"/>
  <c r="R52" i="17"/>
  <c r="P52" i="17"/>
  <c r="G52" i="17" s="1"/>
  <c r="N52" i="17"/>
  <c r="L52" i="17"/>
  <c r="E52" i="17"/>
  <c r="T51" i="17"/>
  <c r="R51" i="17"/>
  <c r="Q51" i="17"/>
  <c r="P51" i="17"/>
  <c r="H51" i="17" s="1"/>
  <c r="O51" i="17"/>
  <c r="G51" i="17" s="1"/>
  <c r="N51" i="17"/>
  <c r="L51" i="17"/>
  <c r="E51" i="17"/>
  <c r="R50" i="17"/>
  <c r="H50" i="17" s="1"/>
  <c r="P50" i="17"/>
  <c r="N50" i="17"/>
  <c r="L50" i="17"/>
  <c r="F50" i="17"/>
  <c r="E50" i="17"/>
  <c r="P49" i="17"/>
  <c r="N49" i="17"/>
  <c r="L49" i="17"/>
  <c r="E49" i="17"/>
  <c r="W48" i="17"/>
  <c r="T48" i="17"/>
  <c r="F48" i="17" s="1"/>
  <c r="R48" i="17"/>
  <c r="H48" i="17" s="1"/>
  <c r="O48" i="17"/>
  <c r="N48" i="17"/>
  <c r="L48" i="17"/>
  <c r="E48" i="17"/>
  <c r="W47" i="17"/>
  <c r="T47" i="17"/>
  <c r="R47" i="17"/>
  <c r="H47" i="17" s="1"/>
  <c r="O47" i="17"/>
  <c r="G47" i="17" s="1"/>
  <c r="N47" i="17"/>
  <c r="L47" i="17"/>
  <c r="E47" i="17"/>
  <c r="W46" i="17"/>
  <c r="T46" i="17"/>
  <c r="R46" i="17"/>
  <c r="Q46" i="17"/>
  <c r="O46" i="17"/>
  <c r="L46" i="17" s="1"/>
  <c r="N46" i="17"/>
  <c r="E46" i="17"/>
  <c r="W45" i="17"/>
  <c r="T45" i="17"/>
  <c r="R45" i="17"/>
  <c r="O45" i="17"/>
  <c r="G45" i="17" s="1"/>
  <c r="N45" i="17"/>
  <c r="H45" i="17"/>
  <c r="W44" i="17"/>
  <c r="T44" i="17"/>
  <c r="R44" i="17"/>
  <c r="H44" i="17" s="1"/>
  <c r="O44" i="17"/>
  <c r="L44" i="17" s="1"/>
  <c r="N44" i="17"/>
  <c r="R43" i="17"/>
  <c r="N43" i="17"/>
  <c r="L43" i="17"/>
  <c r="E43" i="17"/>
  <c r="W42" i="17"/>
  <c r="R42" i="17"/>
  <c r="G42" i="17" s="1"/>
  <c r="N42" i="17"/>
  <c r="L42" i="17"/>
  <c r="H42" i="17"/>
  <c r="F42" i="17"/>
  <c r="E42" i="17"/>
  <c r="W41" i="17"/>
  <c r="R41" i="17"/>
  <c r="H41" i="17" s="1"/>
  <c r="N41" i="17"/>
  <c r="L41" i="17"/>
  <c r="G41" i="17"/>
  <c r="F41" i="17"/>
  <c r="E41" i="17"/>
  <c r="R40" i="17"/>
  <c r="W40" i="17" s="1"/>
  <c r="N40" i="17"/>
  <c r="N35" i="17" s="1"/>
  <c r="L40" i="17"/>
  <c r="H40" i="17"/>
  <c r="G40" i="17"/>
  <c r="F40" i="17"/>
  <c r="E40" i="17"/>
  <c r="R39" i="17"/>
  <c r="G39" i="17" s="1"/>
  <c r="N39" i="17"/>
  <c r="N34" i="17" s="1"/>
  <c r="L39" i="17"/>
  <c r="H39" i="17"/>
  <c r="E39" i="17"/>
  <c r="W38" i="17"/>
  <c r="R38" i="17"/>
  <c r="H38" i="17" s="1"/>
  <c r="N38" i="17"/>
  <c r="L38" i="17"/>
  <c r="E38" i="17"/>
  <c r="W37" i="17"/>
  <c r="R37" i="17"/>
  <c r="N37" i="17"/>
  <c r="L37" i="17"/>
  <c r="H37" i="17"/>
  <c r="G37" i="17"/>
  <c r="F37" i="17"/>
  <c r="E37" i="17"/>
  <c r="R36" i="17"/>
  <c r="H36" i="17" s="1"/>
  <c r="N36" i="17"/>
  <c r="L36" i="17"/>
  <c r="E36" i="17"/>
  <c r="R35" i="17"/>
  <c r="L35" i="17"/>
  <c r="E35" i="17"/>
  <c r="R34" i="17"/>
  <c r="G34" i="17" s="1"/>
  <c r="L34" i="17"/>
  <c r="H34" i="17"/>
  <c r="F34" i="17"/>
  <c r="E34" i="17"/>
  <c r="R33" i="17"/>
  <c r="N33" i="17"/>
  <c r="L33" i="17"/>
  <c r="H33" i="17"/>
  <c r="G33" i="17"/>
  <c r="F33" i="17"/>
  <c r="E33" i="17"/>
  <c r="R32" i="17"/>
  <c r="L32" i="17"/>
  <c r="H32" i="17"/>
  <c r="G32" i="17"/>
  <c r="F32" i="17"/>
  <c r="E32" i="17"/>
  <c r="T31" i="17"/>
  <c r="O31" i="17"/>
  <c r="N31" i="17"/>
  <c r="L31" i="17"/>
  <c r="E31" i="17"/>
  <c r="T30" i="17"/>
  <c r="R30" i="17"/>
  <c r="O30" i="17"/>
  <c r="L30" i="17" s="1"/>
  <c r="N30" i="17"/>
  <c r="E30" i="17"/>
  <c r="T29" i="17"/>
  <c r="O29" i="17"/>
  <c r="N29" i="17"/>
  <c r="R29" i="17" s="1"/>
  <c r="H29" i="17" s="1"/>
  <c r="T28" i="17"/>
  <c r="O28" i="17"/>
  <c r="L28" i="17" s="1"/>
  <c r="N28" i="17"/>
  <c r="W27" i="17"/>
  <c r="W32" i="17" s="1"/>
  <c r="T27" i="17"/>
  <c r="R27" i="17"/>
  <c r="H27" i="17" s="1"/>
  <c r="O27" i="17"/>
  <c r="N27" i="17"/>
  <c r="L27" i="17"/>
  <c r="F27" i="17"/>
  <c r="E27" i="17"/>
  <c r="L26" i="17"/>
  <c r="E26" i="17"/>
  <c r="L25" i="17"/>
  <c r="E25" i="17"/>
  <c r="W24" i="17"/>
  <c r="R24" i="17"/>
  <c r="P24" i="17"/>
  <c r="L24" i="17"/>
  <c r="E24" i="17"/>
  <c r="W23" i="17"/>
  <c r="L23" i="17"/>
  <c r="E23" i="17"/>
  <c r="P22" i="17"/>
  <c r="L22" i="17"/>
  <c r="E22" i="17"/>
  <c r="P21" i="17"/>
  <c r="L21" i="17"/>
  <c r="E21" i="17"/>
  <c r="R20" i="17"/>
  <c r="P20" i="17"/>
  <c r="H20" i="17" s="1"/>
  <c r="L20" i="17"/>
  <c r="E20" i="17"/>
  <c r="P19" i="17"/>
  <c r="L19" i="17"/>
  <c r="E19" i="17"/>
  <c r="W18" i="17"/>
  <c r="R18" i="17"/>
  <c r="P18" i="17"/>
  <c r="H18" i="17" s="1"/>
  <c r="W17" i="17"/>
  <c r="R17" i="17"/>
  <c r="P17" i="17"/>
  <c r="N17" i="17"/>
  <c r="H17" i="17"/>
  <c r="W16" i="17"/>
  <c r="R16" i="17"/>
  <c r="H16" i="17" s="1"/>
  <c r="P16" i="17"/>
  <c r="O16" i="17"/>
  <c r="L16" i="17" s="1"/>
  <c r="N16" i="17"/>
  <c r="W15" i="17"/>
  <c r="R15" i="17"/>
  <c r="H15" i="17" s="1"/>
  <c r="P15" i="17"/>
  <c r="W14" i="17"/>
  <c r="W26" i="17" s="1"/>
  <c r="R14" i="17"/>
  <c r="R26" i="17" s="1"/>
  <c r="P14" i="17"/>
  <c r="G14" i="17" s="1"/>
  <c r="L14" i="17"/>
  <c r="H14" i="17"/>
  <c r="E14" i="17"/>
  <c r="W13" i="17"/>
  <c r="W25" i="17" s="1"/>
  <c r="R13" i="17"/>
  <c r="H13" i="17" s="1"/>
  <c r="P13" i="17"/>
  <c r="P25" i="17" s="1"/>
  <c r="L13" i="17"/>
  <c r="F13" i="17"/>
  <c r="E13" i="17"/>
  <c r="P12" i="17"/>
  <c r="N12" i="17"/>
  <c r="N24" i="17" s="1"/>
  <c r="L12" i="17"/>
  <c r="H12" i="17"/>
  <c r="G12" i="17"/>
  <c r="F12" i="17"/>
  <c r="E12" i="17"/>
  <c r="W11" i="17"/>
  <c r="R11" i="17"/>
  <c r="R23" i="17" s="1"/>
  <c r="P11" i="17"/>
  <c r="L11" i="17"/>
  <c r="E11" i="17"/>
  <c r="R10" i="17"/>
  <c r="L10" i="17"/>
  <c r="E10" i="17"/>
  <c r="R9" i="17"/>
  <c r="L9" i="17"/>
  <c r="E9" i="17"/>
  <c r="N8" i="17"/>
  <c r="L8" i="17"/>
  <c r="H8" i="17"/>
  <c r="G8" i="17"/>
  <c r="F8" i="17"/>
  <c r="E8" i="17"/>
  <c r="R7" i="17"/>
  <c r="H7" i="17" s="1"/>
  <c r="L7" i="17"/>
  <c r="E7" i="17"/>
  <c r="T6" i="17"/>
  <c r="O6" i="17"/>
  <c r="N6" i="17"/>
  <c r="N18" i="17" s="1"/>
  <c r="H6" i="17"/>
  <c r="T5" i="17"/>
  <c r="N5" i="17"/>
  <c r="H5" i="17"/>
  <c r="E5" i="17"/>
  <c r="O4" i="17"/>
  <c r="O5" i="17" s="1"/>
  <c r="N4" i="17"/>
  <c r="H4" i="17"/>
  <c r="F4" i="17"/>
  <c r="E4" i="17"/>
  <c r="T3" i="17"/>
  <c r="N3" i="17"/>
  <c r="N15" i="17" s="1"/>
  <c r="H3" i="17"/>
  <c r="P23" i="17" l="1"/>
  <c r="H11" i="17"/>
  <c r="G11" i="17"/>
  <c r="F11" i="17"/>
  <c r="H30" i="17"/>
  <c r="W30" i="17"/>
  <c r="W35" i="17" s="1"/>
  <c r="F30" i="17"/>
  <c r="H52" i="17"/>
  <c r="F52" i="17"/>
  <c r="R21" i="17"/>
  <c r="H21" i="17" s="1"/>
  <c r="H9" i="17"/>
  <c r="G9" i="17"/>
  <c r="F9" i="17"/>
  <c r="W29" i="17"/>
  <c r="W34" i="17" s="1"/>
  <c r="G48" i="17"/>
  <c r="G21" i="17"/>
  <c r="G29" i="17"/>
  <c r="N20" i="17"/>
  <c r="O18" i="17"/>
  <c r="L6" i="17"/>
  <c r="G6" i="17"/>
  <c r="F6" i="17"/>
  <c r="E6" i="17"/>
  <c r="G27" i="17"/>
  <c r="H35" i="17"/>
  <c r="G35" i="17"/>
  <c r="F35" i="17"/>
  <c r="H53" i="17"/>
  <c r="G53" i="17"/>
  <c r="F53" i="17"/>
  <c r="H59" i="17"/>
  <c r="G59" i="17"/>
  <c r="P60" i="17"/>
  <c r="F59" i="17"/>
  <c r="L5" i="17"/>
  <c r="O17" i="17"/>
  <c r="G5" i="17"/>
  <c r="F5" i="17"/>
  <c r="R22" i="17"/>
  <c r="H10" i="17"/>
  <c r="G10" i="17"/>
  <c r="F10" i="17"/>
  <c r="H43" i="17"/>
  <c r="G43" i="17"/>
  <c r="F43" i="17"/>
  <c r="W43" i="17"/>
  <c r="H46" i="17"/>
  <c r="F46" i="17"/>
  <c r="H24" i="17"/>
  <c r="G24" i="17"/>
  <c r="F24" i="17"/>
  <c r="R28" i="17"/>
  <c r="F28" i="17" s="1"/>
  <c r="N13" i="17"/>
  <c r="G4" i="17"/>
  <c r="E16" i="17"/>
  <c r="E28" i="17"/>
  <c r="L29" i="17"/>
  <c r="G30" i="17"/>
  <c r="E44" i="17"/>
  <c r="L45" i="17"/>
  <c r="G46" i="17"/>
  <c r="R49" i="17"/>
  <c r="H49" i="17" s="1"/>
  <c r="W54" i="17"/>
  <c r="W59" i="17"/>
  <c r="F7" i="17"/>
  <c r="N14" i="17"/>
  <c r="F16" i="17"/>
  <c r="R19" i="17"/>
  <c r="R25" i="17"/>
  <c r="H25" i="17" s="1"/>
  <c r="R31" i="17"/>
  <c r="F36" i="17"/>
  <c r="F44" i="17"/>
  <c r="F54" i="17"/>
  <c r="G7" i="17"/>
  <c r="G16" i="17"/>
  <c r="P26" i="17"/>
  <c r="N32" i="17"/>
  <c r="G36" i="17"/>
  <c r="G44" i="17"/>
  <c r="G54" i="17"/>
  <c r="L4" i="17"/>
  <c r="G13" i="17"/>
  <c r="F20" i="17"/>
  <c r="E29" i="17"/>
  <c r="F38" i="17"/>
  <c r="W39" i="17"/>
  <c r="E45" i="17"/>
  <c r="F47" i="17"/>
  <c r="G50" i="17"/>
  <c r="F51" i="17"/>
  <c r="F56" i="17"/>
  <c r="O3" i="17"/>
  <c r="F14" i="17"/>
  <c r="G20" i="17"/>
  <c r="F21" i="17"/>
  <c r="F29" i="17"/>
  <c r="G38" i="17"/>
  <c r="F39" i="17"/>
  <c r="F45" i="17"/>
  <c r="F61" i="17"/>
  <c r="N11" i="17"/>
  <c r="G26" i="17" l="1"/>
  <c r="F26" i="17"/>
  <c r="H26" i="17"/>
  <c r="H60" i="17"/>
  <c r="G60" i="17"/>
  <c r="F60" i="17"/>
  <c r="H22" i="17"/>
  <c r="G22" i="17"/>
  <c r="F22" i="17"/>
  <c r="H19" i="17"/>
  <c r="G19" i="17"/>
  <c r="F19" i="17"/>
  <c r="G49" i="17"/>
  <c r="F25" i="17"/>
  <c r="L18" i="17"/>
  <c r="G18" i="17"/>
  <c r="F18" i="17"/>
  <c r="E18" i="17"/>
  <c r="N23" i="17"/>
  <c r="N7" i="17"/>
  <c r="F49" i="17"/>
  <c r="N10" i="17"/>
  <c r="N26" i="17"/>
  <c r="N9" i="17"/>
  <c r="N25" i="17"/>
  <c r="G25" i="17"/>
  <c r="H28" i="17"/>
  <c r="W28" i="17"/>
  <c r="W33" i="17" s="1"/>
  <c r="G17" i="17"/>
  <c r="F17" i="17"/>
  <c r="E17" i="17"/>
  <c r="L17" i="17"/>
  <c r="E3" i="17"/>
  <c r="O15" i="17"/>
  <c r="L3" i="17"/>
  <c r="G3" i="17"/>
  <c r="F3" i="17"/>
  <c r="G28" i="17"/>
  <c r="H31" i="17"/>
  <c r="W31" i="17"/>
  <c r="W36" i="17" s="1"/>
  <c r="G31" i="17"/>
  <c r="F31" i="17"/>
  <c r="H23" i="17"/>
  <c r="G23" i="17"/>
  <c r="F23" i="17"/>
  <c r="N22" i="17" l="1"/>
  <c r="N19" i="17"/>
  <c r="N21" i="17"/>
  <c r="E15" i="17"/>
  <c r="L15" i="17"/>
  <c r="G15" i="17"/>
  <c r="F15" i="17"/>
  <c r="F19" i="7" l="1"/>
  <c r="B24" i="20" l="1"/>
  <c r="C2" i="20" s="1"/>
  <c r="C6" i="20" s="1"/>
  <c r="B13" i="20" s="1"/>
  <c r="B15" i="20" s="1"/>
  <c r="C13" i="20"/>
  <c r="B17" i="20" s="1"/>
  <c r="P6" i="14"/>
  <c r="P24" i="14" s="1"/>
  <c r="O6" i="14"/>
  <c r="O24" i="14" s="1"/>
  <c r="N6" i="14"/>
  <c r="M6" i="14"/>
  <c r="M24" i="14" s="1"/>
  <c r="L6" i="14"/>
  <c r="K6" i="14"/>
  <c r="K24" i="14" s="1"/>
  <c r="J6" i="14"/>
  <c r="I6" i="14"/>
  <c r="H6" i="14"/>
  <c r="H24" i="14" s="1"/>
  <c r="G6" i="14"/>
  <c r="G24" i="14" s="1"/>
  <c r="F6" i="14"/>
  <c r="F24" i="14" s="1"/>
  <c r="E6" i="14"/>
  <c r="J3" i="14"/>
  <c r="H3" i="14"/>
  <c r="S129" i="13"/>
  <c r="A129" i="13"/>
  <c r="S128" i="13"/>
  <c r="A128" i="13"/>
  <c r="S127" i="13"/>
  <c r="A127" i="13"/>
  <c r="S126" i="13"/>
  <c r="A126" i="13"/>
  <c r="S125" i="13"/>
  <c r="A125" i="13"/>
  <c r="S124" i="13"/>
  <c r="A124" i="13"/>
  <c r="S123" i="13"/>
  <c r="A123" i="13"/>
  <c r="S122" i="13"/>
  <c r="A122" i="13"/>
  <c r="S121" i="13"/>
  <c r="A121" i="13"/>
  <c r="S120" i="13"/>
  <c r="A120" i="13"/>
  <c r="S119" i="13"/>
  <c r="A119" i="13"/>
  <c r="S116" i="13"/>
  <c r="A116" i="13"/>
  <c r="S115" i="13"/>
  <c r="A115" i="13"/>
  <c r="S114" i="13"/>
  <c r="A114" i="13"/>
  <c r="S113" i="13"/>
  <c r="A113" i="13"/>
  <c r="S112" i="13"/>
  <c r="A112" i="13"/>
  <c r="S111" i="13"/>
  <c r="A111" i="13"/>
  <c r="S110" i="13"/>
  <c r="A110" i="13"/>
  <c r="S109" i="13"/>
  <c r="A109" i="13"/>
  <c r="S108" i="13"/>
  <c r="A108" i="13"/>
  <c r="S107" i="13"/>
  <c r="A107" i="13"/>
  <c r="S106" i="13"/>
  <c r="A106" i="13"/>
  <c r="S103" i="13"/>
  <c r="A103" i="13"/>
  <c r="S102" i="13"/>
  <c r="A102" i="13"/>
  <c r="S101" i="13"/>
  <c r="A101" i="13"/>
  <c r="S100" i="13"/>
  <c r="A100" i="13"/>
  <c r="S99" i="13"/>
  <c r="A99" i="13"/>
  <c r="S98" i="13"/>
  <c r="A98" i="13"/>
  <c r="S97" i="13"/>
  <c r="A97" i="13"/>
  <c r="S96" i="13"/>
  <c r="A96" i="13"/>
  <c r="S95" i="13"/>
  <c r="A95" i="13"/>
  <c r="S94" i="13"/>
  <c r="A94" i="13"/>
  <c r="S93" i="13"/>
  <c r="A93" i="13"/>
  <c r="S90" i="13"/>
  <c r="A90" i="13"/>
  <c r="S89" i="13"/>
  <c r="A89" i="13"/>
  <c r="S88" i="13"/>
  <c r="A88" i="13"/>
  <c r="S87" i="13"/>
  <c r="A87" i="13"/>
  <c r="S86" i="13"/>
  <c r="A86" i="13"/>
  <c r="S85" i="13"/>
  <c r="A85" i="13"/>
  <c r="S84" i="13"/>
  <c r="A84" i="13"/>
  <c r="S83" i="13"/>
  <c r="A83" i="13"/>
  <c r="S82" i="13"/>
  <c r="A82" i="13"/>
  <c r="S81" i="13"/>
  <c r="A81" i="13"/>
  <c r="S80" i="13"/>
  <c r="A80" i="13"/>
  <c r="S77" i="13"/>
  <c r="A77" i="13"/>
  <c r="S76" i="13"/>
  <c r="A76" i="13"/>
  <c r="S75" i="13"/>
  <c r="A75" i="13"/>
  <c r="S74" i="13"/>
  <c r="A74" i="13"/>
  <c r="S73" i="13"/>
  <c r="A73" i="13"/>
  <c r="S72" i="13"/>
  <c r="A72" i="13"/>
  <c r="S71" i="13"/>
  <c r="A71" i="13"/>
  <c r="S70" i="13"/>
  <c r="A70" i="13"/>
  <c r="S69" i="13"/>
  <c r="A69" i="13"/>
  <c r="S68" i="13"/>
  <c r="A68" i="13"/>
  <c r="S67" i="13"/>
  <c r="A67" i="13"/>
  <c r="S64" i="13"/>
  <c r="A64" i="13"/>
  <c r="S63" i="13"/>
  <c r="A63" i="13"/>
  <c r="S62" i="13"/>
  <c r="A62" i="13"/>
  <c r="S61" i="13"/>
  <c r="A61" i="13"/>
  <c r="S60" i="13"/>
  <c r="A60" i="13"/>
  <c r="S59" i="13"/>
  <c r="A59" i="13"/>
  <c r="S58" i="13"/>
  <c r="A58" i="13"/>
  <c r="S57" i="13"/>
  <c r="A57" i="13"/>
  <c r="S56" i="13"/>
  <c r="A56" i="13"/>
  <c r="S55" i="13"/>
  <c r="A55" i="13"/>
  <c r="S54" i="13"/>
  <c r="A54" i="13"/>
  <c r="S51" i="13"/>
  <c r="A51" i="13"/>
  <c r="S50" i="13"/>
  <c r="A50" i="13"/>
  <c r="S49" i="13"/>
  <c r="A49" i="13"/>
  <c r="S48" i="13"/>
  <c r="A48" i="13"/>
  <c r="S47" i="13"/>
  <c r="A47" i="13"/>
  <c r="S46" i="13"/>
  <c r="A46" i="13"/>
  <c r="S45" i="13"/>
  <c r="A45" i="13"/>
  <c r="S44" i="13"/>
  <c r="A44" i="13"/>
  <c r="S43" i="13"/>
  <c r="A43" i="13"/>
  <c r="S42" i="13"/>
  <c r="A42" i="13"/>
  <c r="S41" i="13"/>
  <c r="A41" i="13"/>
  <c r="S38" i="13"/>
  <c r="A38" i="13"/>
  <c r="S37" i="13"/>
  <c r="A37" i="13"/>
  <c r="S36" i="13"/>
  <c r="A36" i="13"/>
  <c r="S35" i="13"/>
  <c r="A35" i="13"/>
  <c r="S34" i="13"/>
  <c r="A34" i="13"/>
  <c r="S33" i="13"/>
  <c r="A33" i="13"/>
  <c r="S32" i="13"/>
  <c r="A32" i="13"/>
  <c r="S31" i="13"/>
  <c r="A31" i="13"/>
  <c r="S30" i="13"/>
  <c r="A30" i="13"/>
  <c r="S29" i="13"/>
  <c r="A29" i="13"/>
  <c r="S28" i="13"/>
  <c r="A28" i="13"/>
  <c r="S25" i="13"/>
  <c r="A25" i="13"/>
  <c r="S24" i="13"/>
  <c r="A24" i="13"/>
  <c r="S23" i="13"/>
  <c r="A23" i="13"/>
  <c r="S22" i="13"/>
  <c r="A22" i="13"/>
  <c r="S21" i="13"/>
  <c r="A21" i="13"/>
  <c r="S20" i="13"/>
  <c r="A20" i="13"/>
  <c r="S19" i="13"/>
  <c r="A19" i="13"/>
  <c r="S18" i="13"/>
  <c r="A18" i="13"/>
  <c r="S17" i="13"/>
  <c r="A17" i="13"/>
  <c r="S16" i="13"/>
  <c r="A16" i="13"/>
  <c r="S15" i="13"/>
  <c r="A15" i="13"/>
  <c r="S12" i="13"/>
  <c r="A12" i="13"/>
  <c r="S11" i="13"/>
  <c r="A11" i="13"/>
  <c r="S10" i="13"/>
  <c r="A10" i="13"/>
  <c r="S9" i="13"/>
  <c r="A9" i="13"/>
  <c r="S8" i="13"/>
  <c r="A8" i="13"/>
  <c r="S7" i="13"/>
  <c r="A7" i="13"/>
  <c r="S6" i="13"/>
  <c r="A6" i="13"/>
  <c r="S5" i="13"/>
  <c r="A5" i="13"/>
  <c r="S4" i="13"/>
  <c r="A4" i="13"/>
  <c r="S3" i="13"/>
  <c r="A3" i="13"/>
  <c r="S2" i="13"/>
  <c r="S131" i="13"/>
  <c r="A2" i="13"/>
  <c r="I24" i="14"/>
  <c r="S129" i="10"/>
  <c r="A129" i="10"/>
  <c r="S128" i="10"/>
  <c r="A128" i="10"/>
  <c r="S127" i="10"/>
  <c r="A127" i="10"/>
  <c r="S126" i="10"/>
  <c r="A126" i="10"/>
  <c r="S125" i="10"/>
  <c r="A125" i="10"/>
  <c r="S124" i="10"/>
  <c r="A124" i="10"/>
  <c r="S123" i="10"/>
  <c r="A123" i="10"/>
  <c r="S122" i="10"/>
  <c r="A122" i="10"/>
  <c r="S121" i="10"/>
  <c r="A121" i="10"/>
  <c r="S120" i="10"/>
  <c r="A120" i="10"/>
  <c r="S119" i="10"/>
  <c r="A119" i="10"/>
  <c r="S116" i="10"/>
  <c r="A116" i="10"/>
  <c r="S115" i="10"/>
  <c r="A115" i="10"/>
  <c r="S114" i="10"/>
  <c r="A114" i="10"/>
  <c r="S113" i="10"/>
  <c r="A113" i="10"/>
  <c r="S112" i="10"/>
  <c r="A112" i="10"/>
  <c r="S111" i="10"/>
  <c r="A111" i="10"/>
  <c r="S110" i="10"/>
  <c r="A110" i="10"/>
  <c r="S109" i="10"/>
  <c r="A109" i="10"/>
  <c r="S108" i="10"/>
  <c r="A108" i="10"/>
  <c r="S107" i="10"/>
  <c r="A107" i="10"/>
  <c r="S106" i="10"/>
  <c r="A106" i="10"/>
  <c r="S103" i="10"/>
  <c r="A103" i="10"/>
  <c r="S102" i="10"/>
  <c r="A102" i="10"/>
  <c r="S101" i="10"/>
  <c r="A101" i="10"/>
  <c r="S100" i="10"/>
  <c r="A100" i="10"/>
  <c r="S99" i="10"/>
  <c r="A99" i="10"/>
  <c r="S98" i="10"/>
  <c r="A98" i="10"/>
  <c r="S97" i="10"/>
  <c r="A97" i="10"/>
  <c r="S96" i="10"/>
  <c r="A96" i="10"/>
  <c r="S95" i="10"/>
  <c r="A95" i="10"/>
  <c r="S94" i="10"/>
  <c r="A94" i="10"/>
  <c r="S93" i="10"/>
  <c r="A93" i="10"/>
  <c r="S90" i="10"/>
  <c r="A90" i="10"/>
  <c r="S89" i="10"/>
  <c r="A89" i="10"/>
  <c r="S88" i="10"/>
  <c r="A88" i="10"/>
  <c r="S87" i="10"/>
  <c r="A87" i="10"/>
  <c r="S86" i="10"/>
  <c r="A86" i="10"/>
  <c r="S85" i="10"/>
  <c r="A85" i="10"/>
  <c r="S84" i="10"/>
  <c r="A84" i="10"/>
  <c r="S83" i="10"/>
  <c r="A83" i="10"/>
  <c r="S82" i="10"/>
  <c r="A82" i="10"/>
  <c r="S81" i="10"/>
  <c r="A81" i="10"/>
  <c r="S80" i="10"/>
  <c r="A80" i="10"/>
  <c r="S77" i="10"/>
  <c r="A77" i="10"/>
  <c r="S76" i="10"/>
  <c r="A76" i="10"/>
  <c r="S75" i="10"/>
  <c r="A75" i="10"/>
  <c r="S74" i="10"/>
  <c r="A74" i="10"/>
  <c r="S73" i="10"/>
  <c r="A73" i="10"/>
  <c r="S72" i="10"/>
  <c r="A72" i="10"/>
  <c r="S71" i="10"/>
  <c r="A71" i="10"/>
  <c r="S70" i="10"/>
  <c r="A70" i="10"/>
  <c r="S69" i="10"/>
  <c r="A69" i="10"/>
  <c r="S68" i="10"/>
  <c r="A68" i="10"/>
  <c r="S67" i="10"/>
  <c r="A67" i="10"/>
  <c r="S64" i="10"/>
  <c r="A64" i="10"/>
  <c r="S63" i="10"/>
  <c r="A63" i="10"/>
  <c r="S62" i="10"/>
  <c r="A62" i="10"/>
  <c r="S61" i="10"/>
  <c r="A61" i="10"/>
  <c r="S60" i="10"/>
  <c r="A60" i="10"/>
  <c r="S59" i="10"/>
  <c r="A59" i="10"/>
  <c r="S58" i="10"/>
  <c r="A58" i="10"/>
  <c r="S57" i="10"/>
  <c r="A57" i="10"/>
  <c r="S56" i="10"/>
  <c r="A56" i="10"/>
  <c r="S55" i="10"/>
  <c r="A55" i="10"/>
  <c r="S54" i="10"/>
  <c r="A54" i="10"/>
  <c r="S51" i="10"/>
  <c r="A51" i="10"/>
  <c r="S50" i="10"/>
  <c r="A50" i="10"/>
  <c r="S49" i="10"/>
  <c r="A49" i="10"/>
  <c r="S48" i="10"/>
  <c r="A48" i="10"/>
  <c r="S47" i="10"/>
  <c r="A47" i="10"/>
  <c r="S46" i="10"/>
  <c r="A46" i="10"/>
  <c r="S45" i="10"/>
  <c r="A45" i="10"/>
  <c r="S44" i="10"/>
  <c r="A44" i="10"/>
  <c r="S43" i="10"/>
  <c r="A43" i="10"/>
  <c r="S42" i="10"/>
  <c r="A42" i="10"/>
  <c r="S41" i="10"/>
  <c r="A41" i="10"/>
  <c r="S38" i="10"/>
  <c r="A38" i="10"/>
  <c r="S37" i="10"/>
  <c r="A37" i="10"/>
  <c r="S36" i="10"/>
  <c r="A36" i="10"/>
  <c r="S35" i="10"/>
  <c r="A35" i="10"/>
  <c r="S34" i="10"/>
  <c r="A34" i="10"/>
  <c r="S33" i="10"/>
  <c r="A33" i="10"/>
  <c r="S32" i="10"/>
  <c r="A32" i="10"/>
  <c r="S31" i="10"/>
  <c r="A31" i="10"/>
  <c r="S30" i="10"/>
  <c r="A30" i="10"/>
  <c r="S29" i="10"/>
  <c r="A29" i="10"/>
  <c r="S28" i="10"/>
  <c r="A28" i="10"/>
  <c r="S25" i="10"/>
  <c r="A25" i="10"/>
  <c r="S24" i="10"/>
  <c r="A24" i="10"/>
  <c r="S23" i="10"/>
  <c r="A23" i="10"/>
  <c r="S22" i="10"/>
  <c r="A22" i="10"/>
  <c r="S21" i="10"/>
  <c r="A21" i="10"/>
  <c r="S20" i="10"/>
  <c r="A20" i="10"/>
  <c r="S19" i="10"/>
  <c r="A19" i="10"/>
  <c r="S18" i="10"/>
  <c r="A18" i="10"/>
  <c r="S17" i="10"/>
  <c r="A17" i="10"/>
  <c r="S16" i="10"/>
  <c r="A16" i="10"/>
  <c r="S15" i="10"/>
  <c r="A15" i="10"/>
  <c r="S12" i="10"/>
  <c r="A12" i="10"/>
  <c r="S11" i="10"/>
  <c r="A11" i="10"/>
  <c r="S10" i="10"/>
  <c r="A10" i="10"/>
  <c r="S9" i="10"/>
  <c r="A9" i="10"/>
  <c r="S8" i="10"/>
  <c r="A8" i="10"/>
  <c r="S7" i="10"/>
  <c r="A7" i="10"/>
  <c r="S6" i="10"/>
  <c r="A6" i="10"/>
  <c r="S5" i="10"/>
  <c r="A5" i="10"/>
  <c r="S4" i="10"/>
  <c r="A4" i="10"/>
  <c r="S3" i="10"/>
  <c r="A3" i="10"/>
  <c r="S2" i="10"/>
  <c r="A2" i="10"/>
  <c r="S131" i="10"/>
  <c r="F9" i="24" l="1"/>
  <c r="F9" i="23"/>
  <c r="F9" i="21"/>
  <c r="F9" i="22"/>
  <c r="F10" i="24"/>
  <c r="K748" i="24" s="1"/>
  <c r="F10" i="23"/>
  <c r="K748" i="23" s="1"/>
  <c r="F10" i="22"/>
  <c r="K748" i="22" s="1"/>
  <c r="F10" i="21"/>
  <c r="K748" i="21" s="1"/>
  <c r="L24" i="14"/>
  <c r="L3" i="14"/>
  <c r="E7" i="14" s="1"/>
  <c r="E8" i="14" s="1"/>
  <c r="F7" i="14" s="1"/>
  <c r="F8" i="14" s="1"/>
  <c r="G7" i="14" s="1"/>
  <c r="G8" i="14" s="1"/>
  <c r="H7" i="14" s="1"/>
  <c r="H8" i="14" s="1"/>
  <c r="I7" i="14" s="1"/>
  <c r="I8" i="14" s="1"/>
  <c r="J7" i="14" s="1"/>
  <c r="J8" i="14" s="1"/>
  <c r="K7" i="14" s="1"/>
  <c r="K8" i="14" s="1"/>
  <c r="L7" i="14" s="1"/>
  <c r="L8" i="14" s="1"/>
  <c r="M7" i="14" s="1"/>
  <c r="M8" i="14" s="1"/>
  <c r="N7" i="14" s="1"/>
  <c r="N8" i="14" s="1"/>
  <c r="O7" i="14" s="1"/>
  <c r="O8" i="14" s="1"/>
  <c r="P7" i="14" s="1"/>
  <c r="P8" i="14" s="1"/>
  <c r="J24" i="14"/>
  <c r="N24" i="14"/>
  <c r="E24" i="14"/>
  <c r="O748" i="22" l="1"/>
  <c r="N748" i="22"/>
  <c r="T748" i="22"/>
  <c r="N748" i="24"/>
  <c r="O748" i="24"/>
  <c r="T748" i="24"/>
  <c r="N748" i="21"/>
  <c r="T748" i="21"/>
  <c r="O748" i="21"/>
  <c r="O748" i="23"/>
  <c r="N748" i="23"/>
  <c r="T748" i="23"/>
  <c r="K33" i="21"/>
  <c r="K23" i="21"/>
  <c r="T23" i="21" s="1"/>
  <c r="K70" i="21"/>
  <c r="T70" i="21" s="1"/>
  <c r="K26" i="21"/>
  <c r="T26" i="21" s="1"/>
  <c r="K24" i="21"/>
  <c r="T24" i="21" s="1"/>
  <c r="K83" i="21"/>
  <c r="T83" i="21" s="1"/>
  <c r="K21" i="21"/>
  <c r="T21" i="21" s="1"/>
  <c r="K141" i="21"/>
  <c r="T141" i="21" s="1"/>
  <c r="K273" i="21"/>
  <c r="K20" i="21"/>
  <c r="T20" i="21" s="1"/>
  <c r="K278" i="21"/>
  <c r="T278" i="21" s="1"/>
  <c r="K465" i="21"/>
  <c r="T465" i="21" s="1"/>
  <c r="K249" i="21"/>
  <c r="T249" i="21" s="1"/>
  <c r="K293" i="21"/>
  <c r="T293" i="21" s="1"/>
  <c r="K251" i="21"/>
  <c r="T251" i="21" s="1"/>
  <c r="K341" i="21"/>
  <c r="T341" i="21" s="1"/>
  <c r="K628" i="21"/>
  <c r="T628" i="21" s="1"/>
  <c r="K354" i="21"/>
  <c r="K235" i="21"/>
  <c r="K2669" i="21"/>
  <c r="T2669" i="21" s="1"/>
  <c r="K2210" i="21"/>
  <c r="T2210" i="21" s="1"/>
  <c r="K1959" i="21"/>
  <c r="K1914" i="21"/>
  <c r="K1879" i="21"/>
  <c r="K1894" i="21"/>
  <c r="K1980" i="21"/>
  <c r="K1932" i="21"/>
  <c r="K1992" i="21"/>
  <c r="K1877" i="21"/>
  <c r="K1886" i="21"/>
  <c r="K1716" i="21"/>
  <c r="K1944" i="21"/>
  <c r="K1728" i="21"/>
  <c r="T1728" i="21" s="1"/>
  <c r="K1708" i="21"/>
  <c r="K1745" i="21"/>
  <c r="T1745" i="21" s="1"/>
  <c r="K1891" i="21"/>
  <c r="K1731" i="21"/>
  <c r="T1731" i="21" s="1"/>
  <c r="K1786" i="21"/>
  <c r="T1786" i="21" s="1"/>
  <c r="K1788" i="21"/>
  <c r="T1788" i="21" s="1"/>
  <c r="K1605" i="21"/>
  <c r="T1605" i="21" s="1"/>
  <c r="K1824" i="21"/>
  <c r="T1824" i="21" s="1"/>
  <c r="K1701" i="21"/>
  <c r="K1517" i="21"/>
  <c r="T1517" i="21" s="1"/>
  <c r="K1553" i="21"/>
  <c r="T1553" i="21" s="1"/>
  <c r="K1498" i="21"/>
  <c r="T1498" i="21" s="1"/>
  <c r="K1559" i="21"/>
  <c r="T1559" i="21" s="1"/>
  <c r="K1564" i="21"/>
  <c r="T1564" i="21" s="1"/>
  <c r="K1643" i="21"/>
  <c r="T1643" i="21" s="1"/>
  <c r="K1475" i="21"/>
  <c r="T1475" i="21" s="1"/>
  <c r="K1406" i="21"/>
  <c r="T1406" i="21" s="1"/>
  <c r="K1416" i="21"/>
  <c r="T1416" i="21" s="1"/>
  <c r="K1471" i="21"/>
  <c r="T1471" i="21" s="1"/>
  <c r="K1483" i="21"/>
  <c r="T1483" i="21" s="1"/>
  <c r="K1443" i="21"/>
  <c r="T1443" i="21" s="1"/>
  <c r="K1390" i="21"/>
  <c r="T1390" i="21" s="1"/>
  <c r="K1582" i="21"/>
  <c r="T1582" i="21" s="1"/>
  <c r="K1400" i="21"/>
  <c r="T1400" i="21" s="1"/>
  <c r="K1324" i="21"/>
  <c r="T1324" i="21" s="1"/>
  <c r="K1392" i="21"/>
  <c r="T1392" i="21" s="1"/>
  <c r="K1271" i="21"/>
  <c r="T1271" i="21" s="1"/>
  <c r="K1220" i="21"/>
  <c r="T1220" i="21" s="1"/>
  <c r="K1331" i="21"/>
  <c r="T1331" i="21" s="1"/>
  <c r="K1249" i="21"/>
  <c r="T1249" i="21" s="1"/>
  <c r="K1185" i="21"/>
  <c r="T1185" i="21" s="1"/>
  <c r="K1296" i="21"/>
  <c r="T1296" i="21" s="1"/>
  <c r="K1238" i="21"/>
  <c r="T1238" i="21" s="1"/>
  <c r="K1174" i="21"/>
  <c r="T1174" i="21" s="1"/>
  <c r="K1318" i="21"/>
  <c r="T1318" i="21" s="1"/>
  <c r="K1243" i="21"/>
  <c r="T1243" i="21" s="1"/>
  <c r="K1399" i="21"/>
  <c r="T1399" i="21" s="1"/>
  <c r="K1248" i="21"/>
  <c r="T1248" i="21" s="1"/>
  <c r="K1478" i="21"/>
  <c r="T1478" i="21" s="1"/>
  <c r="K1146" i="21"/>
  <c r="T1146" i="21" s="1"/>
  <c r="K1168" i="21"/>
  <c r="T1168" i="21" s="1"/>
  <c r="K999" i="21"/>
  <c r="T999" i="21" s="1"/>
  <c r="K1004" i="21"/>
  <c r="T1004" i="21" s="1"/>
  <c r="K1096" i="21"/>
  <c r="T1096" i="21" s="1"/>
  <c r="K1033" i="21"/>
  <c r="T1033" i="21" s="1"/>
  <c r="K1242" i="21"/>
  <c r="T1242" i="21" s="1"/>
  <c r="K1164" i="21"/>
  <c r="T1164" i="21" s="1"/>
  <c r="K1132" i="21"/>
  <c r="T1132" i="21" s="1"/>
  <c r="K1072" i="21"/>
  <c r="T1072" i="21" s="1"/>
  <c r="K1040" i="21"/>
  <c r="T1040" i="21" s="1"/>
  <c r="K960" i="21"/>
  <c r="T960" i="21" s="1"/>
  <c r="K902" i="21"/>
  <c r="T902" i="21" s="1"/>
  <c r="K794" i="21"/>
  <c r="K915" i="21"/>
  <c r="T915" i="21" s="1"/>
  <c r="K851" i="21"/>
  <c r="T851" i="21" s="1"/>
  <c r="K952" i="21"/>
  <c r="T952" i="21" s="1"/>
  <c r="K888" i="21"/>
  <c r="T888" i="21" s="1"/>
  <c r="K738" i="21"/>
  <c r="T738" i="21" s="1"/>
  <c r="K1050" i="21"/>
  <c r="T1050" i="21" s="1"/>
  <c r="K914" i="21"/>
  <c r="T914" i="21" s="1"/>
  <c r="K850" i="21"/>
  <c r="T850" i="21" s="1"/>
  <c r="K708" i="21"/>
  <c r="K544" i="21"/>
  <c r="K669" i="21"/>
  <c r="K440" i="21"/>
  <c r="K900" i="21"/>
  <c r="T900" i="21" s="1"/>
  <c r="K688" i="21"/>
  <c r="K447" i="21"/>
  <c r="K713" i="21"/>
  <c r="K476" i="21"/>
  <c r="K978" i="21"/>
  <c r="T978" i="21" s="1"/>
  <c r="K663" i="21"/>
  <c r="K702" i="21"/>
  <c r="K540" i="21"/>
  <c r="K420" i="21"/>
  <c r="K495" i="21"/>
  <c r="T495" i="21" s="1"/>
  <c r="K356" i="21"/>
  <c r="K288" i="21"/>
  <c r="K373" i="21"/>
  <c r="K545" i="21"/>
  <c r="K384" i="21"/>
  <c r="K192" i="21"/>
  <c r="K139" i="21"/>
  <c r="T139" i="21" s="1"/>
  <c r="K246" i="21"/>
  <c r="T246" i="21" s="1"/>
  <c r="K243" i="21"/>
  <c r="T243" i="21" s="1"/>
  <c r="K30" i="21"/>
  <c r="T30" i="21" s="1"/>
  <c r="K88" i="21"/>
  <c r="T88" i="21" s="1"/>
  <c r="K307" i="21"/>
  <c r="K2674" i="21"/>
  <c r="K2128" i="21"/>
  <c r="T2128" i="21" s="1"/>
  <c r="K1956" i="21"/>
  <c r="K1911" i="21"/>
  <c r="K1976" i="21"/>
  <c r="K1890" i="21"/>
  <c r="K1974" i="21"/>
  <c r="K1926" i="21"/>
  <c r="K1982" i="21"/>
  <c r="K1986" i="21"/>
  <c r="K1920" i="21"/>
  <c r="K1713" i="21"/>
  <c r="K1934" i="21"/>
  <c r="K1702" i="21"/>
  <c r="K1954" i="21"/>
  <c r="K1735" i="21"/>
  <c r="T1735" i="21" s="1"/>
  <c r="K1700" i="21"/>
  <c r="K1725" i="21"/>
  <c r="K1627" i="21"/>
  <c r="T1627" i="21" s="1"/>
  <c r="K1697" i="21"/>
  <c r="T1697" i="21" s="1"/>
  <c r="K1602" i="21"/>
  <c r="T1602" i="21" s="1"/>
  <c r="K1722" i="21"/>
  <c r="K1596" i="21"/>
  <c r="T1596" i="21" s="1"/>
  <c r="K1513" i="21"/>
  <c r="T1513" i="21" s="1"/>
  <c r="K1537" i="21"/>
  <c r="T1537" i="21" s="1"/>
  <c r="K1491" i="21"/>
  <c r="T1491" i="21" s="1"/>
  <c r="K1519" i="21"/>
  <c r="T1519" i="21" s="1"/>
  <c r="K1558" i="21"/>
  <c r="T1558" i="21" s="1"/>
  <c r="K1604" i="21"/>
  <c r="T1604" i="21" s="1"/>
  <c r="K1459" i="21"/>
  <c r="T1459" i="21" s="1"/>
  <c r="K1402" i="21"/>
  <c r="T1402" i="21" s="1"/>
  <c r="K1391" i="21"/>
  <c r="T1391" i="21" s="1"/>
  <c r="K1447" i="21"/>
  <c r="T1447" i="21" s="1"/>
  <c r="K1481" i="21"/>
  <c r="T1481" i="21" s="1"/>
  <c r="K1429" i="21"/>
  <c r="T1429" i="21" s="1"/>
  <c r="K1386" i="21"/>
  <c r="T1386" i="21" s="1"/>
  <c r="K1535" i="21"/>
  <c r="T1535" i="21" s="1"/>
  <c r="K1380" i="21"/>
  <c r="T1380" i="21" s="1"/>
  <c r="K1316" i="21"/>
  <c r="T1316" i="21" s="1"/>
  <c r="K1368" i="21"/>
  <c r="T1368" i="21" s="1"/>
  <c r="K1267" i="21"/>
  <c r="T1267" i="21" s="1"/>
  <c r="K1212" i="21"/>
  <c r="T1212" i="21" s="1"/>
  <c r="K1330" i="21"/>
  <c r="T1330" i="21" s="1"/>
  <c r="K1241" i="21"/>
  <c r="T1241" i="21" s="1"/>
  <c r="K1177" i="21"/>
  <c r="T1177" i="21" s="1"/>
  <c r="K1291" i="21"/>
  <c r="T1291" i="21" s="1"/>
  <c r="K1230" i="21"/>
  <c r="T1230" i="21" s="1"/>
  <c r="K1166" i="21"/>
  <c r="T1166" i="21" s="1"/>
  <c r="K1307" i="21"/>
  <c r="T1307" i="21" s="1"/>
  <c r="K1235" i="21"/>
  <c r="T1235" i="21" s="1"/>
  <c r="K1374" i="21"/>
  <c r="T1374" i="21" s="1"/>
  <c r="K1240" i="21"/>
  <c r="T1240" i="21" s="1"/>
  <c r="K1382" i="21"/>
  <c r="T1382" i="21" s="1"/>
  <c r="K1112" i="21"/>
  <c r="T1112" i="21" s="1"/>
  <c r="K1144" i="21"/>
  <c r="T1144" i="21" s="1"/>
  <c r="K991" i="21"/>
  <c r="T991" i="21" s="1"/>
  <c r="K996" i="21"/>
  <c r="T996" i="21" s="1"/>
  <c r="K1089" i="21"/>
  <c r="T1089" i="21" s="1"/>
  <c r="K1025" i="21"/>
  <c r="T1025" i="21" s="1"/>
  <c r="K28" i="21"/>
  <c r="T28" i="21" s="1"/>
  <c r="K255" i="21"/>
  <c r="T255" i="21" s="1"/>
  <c r="K174" i="21"/>
  <c r="K75" i="21"/>
  <c r="T75" i="21" s="1"/>
  <c r="K231" i="21"/>
  <c r="T231" i="21" s="1"/>
  <c r="K184" i="21"/>
  <c r="T184" i="21" s="1"/>
  <c r="K584" i="21"/>
  <c r="T584" i="21" s="1"/>
  <c r="K183" i="21"/>
  <c r="T183" i="21" s="1"/>
  <c r="K185" i="21"/>
  <c r="T185" i="21" s="1"/>
  <c r="K250" i="21"/>
  <c r="T250" i="21" s="1"/>
  <c r="K199" i="21"/>
  <c r="T199" i="21" s="1"/>
  <c r="K2666" i="21"/>
  <c r="T2666" i="21" s="1"/>
  <c r="K1991" i="21"/>
  <c r="K1946" i="21"/>
  <c r="K1908" i="21"/>
  <c r="K1966" i="21"/>
  <c r="K1970" i="21"/>
  <c r="K1955" i="21"/>
  <c r="K1907" i="21"/>
  <c r="K1968" i="21"/>
  <c r="K1963" i="21"/>
  <c r="K1881" i="21"/>
  <c r="K1710" i="21"/>
  <c r="K1916" i="21"/>
  <c r="K1693" i="21"/>
  <c r="T1693" i="21" s="1"/>
  <c r="K1945" i="21"/>
  <c r="T1945" i="21" s="1"/>
  <c r="K1727" i="21"/>
  <c r="T1727" i="21" s="1"/>
  <c r="K1889" i="21"/>
  <c r="K1653" i="21"/>
  <c r="T1653" i="21" s="1"/>
  <c r="K1595" i="21"/>
  <c r="T1595" i="21" s="1"/>
  <c r="K1641" i="21"/>
  <c r="T1641" i="21" s="1"/>
  <c r="K1598" i="21"/>
  <c r="T1598" i="21" s="1"/>
  <c r="K1709" i="21"/>
  <c r="K1585" i="21"/>
  <c r="T1585" i="21" s="1"/>
  <c r="K1617" i="21"/>
  <c r="T1617" i="21" s="1"/>
  <c r="K1534" i="21"/>
  <c r="T1534" i="21" s="1"/>
  <c r="K1488" i="21"/>
  <c r="T1488" i="21" s="1"/>
  <c r="K1512" i="21"/>
  <c r="T1512" i="21" s="1"/>
  <c r="K1551" i="21"/>
  <c r="T1551" i="21" s="1"/>
  <c r="K1603" i="21"/>
  <c r="T1603" i="21" s="1"/>
  <c r="K1441" i="21"/>
  <c r="T1441" i="21" s="1"/>
  <c r="K1395" i="21"/>
  <c r="T1395" i="21" s="1"/>
  <c r="K1384" i="21"/>
  <c r="T1384" i="21" s="1"/>
  <c r="K1415" i="21"/>
  <c r="T1415" i="21" s="1"/>
  <c r="K1480" i="21"/>
  <c r="T1480" i="21" s="1"/>
  <c r="K1425" i="21"/>
  <c r="T1425" i="21" s="1"/>
  <c r="K1383" i="21"/>
  <c r="T1383" i="21" s="1"/>
  <c r="K1506" i="21"/>
  <c r="T1506" i="21" s="1"/>
  <c r="K1372" i="21"/>
  <c r="T1372" i="21" s="1"/>
  <c r="K1308" i="21"/>
  <c r="T1308" i="21" s="1"/>
  <c r="K1355" i="21"/>
  <c r="T1355" i="21" s="1"/>
  <c r="K1263" i="21"/>
  <c r="T1263" i="21" s="1"/>
  <c r="K1204" i="21"/>
  <c r="T1204" i="21" s="1"/>
  <c r="K1320" i="21"/>
  <c r="T1320" i="21" s="1"/>
  <c r="K1233" i="21"/>
  <c r="T1233" i="21" s="1"/>
  <c r="K1169" i="21"/>
  <c r="T1169" i="21" s="1"/>
  <c r="K1280" i="21"/>
  <c r="T1280" i="21" s="1"/>
  <c r="K1222" i="21"/>
  <c r="T1222" i="21" s="1"/>
  <c r="K1158" i="21"/>
  <c r="T1158" i="21" s="1"/>
  <c r="K1306" i="21"/>
  <c r="T1306" i="21" s="1"/>
  <c r="K1227" i="21"/>
  <c r="T1227" i="21" s="1"/>
  <c r="K1327" i="21"/>
  <c r="T1327" i="21" s="1"/>
  <c r="K1232" i="21"/>
  <c r="T1232" i="21" s="1"/>
  <c r="K1336" i="21"/>
  <c r="T1336" i="21" s="1"/>
  <c r="K1431" i="21"/>
  <c r="T1431" i="21" s="1"/>
  <c r="K1136" i="21"/>
  <c r="T1136" i="21" s="1"/>
  <c r="K967" i="21"/>
  <c r="T967" i="21" s="1"/>
  <c r="K1335" i="21"/>
  <c r="T1335" i="21" s="1"/>
  <c r="K1081" i="21"/>
  <c r="T1081" i="21" s="1"/>
  <c r="K1017" i="21"/>
  <c r="T1017" i="21" s="1"/>
  <c r="K1161" i="21"/>
  <c r="T1161" i="21" s="1"/>
  <c r="K1138" i="21"/>
  <c r="T1138" i="21" s="1"/>
  <c r="K1102" i="21"/>
  <c r="T1102" i="21" s="1"/>
  <c r="K1056" i="21"/>
  <c r="T1056" i="21" s="1"/>
  <c r="K1026" i="21"/>
  <c r="T1026" i="21" s="1"/>
  <c r="K950" i="21"/>
  <c r="T950" i="21" s="1"/>
  <c r="K886" i="21"/>
  <c r="T886" i="21" s="1"/>
  <c r="K1066" i="21"/>
  <c r="T1066" i="21" s="1"/>
  <c r="K899" i="21"/>
  <c r="T899" i="21" s="1"/>
  <c r="K733" i="21"/>
  <c r="T733" i="21" s="1"/>
  <c r="K936" i="21"/>
  <c r="T936" i="21" s="1"/>
  <c r="K872" i="21"/>
  <c r="T872" i="21" s="1"/>
  <c r="K1272" i="21"/>
  <c r="T1272" i="21" s="1"/>
  <c r="K968" i="21"/>
  <c r="T968" i="21" s="1"/>
  <c r="K898" i="21"/>
  <c r="T898" i="21" s="1"/>
  <c r="K790" i="21"/>
  <c r="T790" i="21" s="1"/>
  <c r="K694" i="21"/>
  <c r="K1000" i="21"/>
  <c r="T1000" i="21" s="1"/>
  <c r="K653" i="21"/>
  <c r="K427" i="21"/>
  <c r="K732" i="21"/>
  <c r="T732" i="21" s="1"/>
  <c r="K619" i="21"/>
  <c r="K1090" i="21"/>
  <c r="T1090" i="21" s="1"/>
  <c r="K683" i="21"/>
  <c r="K434" i="21"/>
  <c r="K744" i="21"/>
  <c r="T744" i="21" s="1"/>
  <c r="K948" i="21"/>
  <c r="T948" i="21" s="1"/>
  <c r="K690" i="21"/>
  <c r="K478" i="21"/>
  <c r="K393" i="21"/>
  <c r="K491" i="21"/>
  <c r="T491" i="21" s="1"/>
  <c r="K339" i="21"/>
  <c r="K737" i="21"/>
  <c r="T737" i="21" s="1"/>
  <c r="K180" i="21"/>
  <c r="K445" i="21"/>
  <c r="K338" i="21"/>
  <c r="K695" i="21"/>
  <c r="K22" i="21"/>
  <c r="T22" i="21" s="1"/>
  <c r="K34" i="21"/>
  <c r="T34" i="21" s="1"/>
  <c r="K82" i="21"/>
  <c r="T82" i="21" s="1"/>
  <c r="K148" i="21"/>
  <c r="K40" i="21"/>
  <c r="T40" i="21" s="1"/>
  <c r="K132" i="21"/>
  <c r="T132" i="21" s="1"/>
  <c r="K81" i="21"/>
  <c r="T81" i="21" s="1"/>
  <c r="J346" i="21"/>
  <c r="K346" i="21" s="1"/>
  <c r="K78" i="21"/>
  <c r="T78" i="21" s="1"/>
  <c r="K118" i="21"/>
  <c r="T118" i="21" s="1"/>
  <c r="K129" i="21"/>
  <c r="T129" i="21" s="1"/>
  <c r="K186" i="21"/>
  <c r="T186" i="21" s="1"/>
  <c r="K253" i="21"/>
  <c r="T253" i="21" s="1"/>
  <c r="K238" i="21"/>
  <c r="T238" i="21" s="1"/>
  <c r="K2671" i="21"/>
  <c r="K1988" i="21"/>
  <c r="K1943" i="21"/>
  <c r="K1901" i="21"/>
  <c r="K1952" i="21"/>
  <c r="K1947" i="21"/>
  <c r="K1951" i="21"/>
  <c r="K1903" i="21"/>
  <c r="K1964" i="21"/>
  <c r="K1990" i="21"/>
  <c r="K1829" i="21"/>
  <c r="T1829" i="21" s="1"/>
  <c r="K1694" i="21"/>
  <c r="T1694" i="21" s="1"/>
  <c r="K1910" i="21"/>
  <c r="K1887" i="21"/>
  <c r="K1912" i="21"/>
  <c r="K1720" i="21"/>
  <c r="K1795" i="21"/>
  <c r="T1795" i="21" s="1"/>
  <c r="K1649" i="21"/>
  <c r="T1649" i="21" s="1"/>
  <c r="K1563" i="21"/>
  <c r="T1563" i="21" s="1"/>
  <c r="K1637" i="21"/>
  <c r="T1637" i="21" s="1"/>
  <c r="K1591" i="21"/>
  <c r="T1591" i="21" s="1"/>
  <c r="K1619" i="21"/>
  <c r="T1619" i="21" s="1"/>
  <c r="K1555" i="21"/>
  <c r="T1555" i="21" s="1"/>
  <c r="K1549" i="21"/>
  <c r="T1549" i="21" s="1"/>
  <c r="K1530" i="21"/>
  <c r="T1530" i="21" s="1"/>
  <c r="K1635" i="21"/>
  <c r="T1635" i="21" s="1"/>
  <c r="K1485" i="21"/>
  <c r="T1485" i="21" s="1"/>
  <c r="K1541" i="21"/>
  <c r="T1541" i="21" s="1"/>
  <c r="K1581" i="21"/>
  <c r="T1581" i="21" s="1"/>
  <c r="K1438" i="21"/>
  <c r="T1438" i="21" s="1"/>
  <c r="K1579" i="21"/>
  <c r="T1579" i="21" s="1"/>
  <c r="K1376" i="21"/>
  <c r="T1376" i="21" s="1"/>
  <c r="K1362" i="21"/>
  <c r="T1362" i="21" s="1"/>
  <c r="K1465" i="21"/>
  <c r="T1465" i="21" s="1"/>
  <c r="K1422" i="21"/>
  <c r="T1422" i="21" s="1"/>
  <c r="K1375" i="21"/>
  <c r="T1375" i="21" s="1"/>
  <c r="K1486" i="21"/>
  <c r="T1486" i="21" s="1"/>
  <c r="K1364" i="21"/>
  <c r="T1364" i="21" s="1"/>
  <c r="K1575" i="21"/>
  <c r="T1575" i="21" s="1"/>
  <c r="K1311" i="21"/>
  <c r="T1311" i="21" s="1"/>
  <c r="K1260" i="21"/>
  <c r="T1260" i="21" s="1"/>
  <c r="K1196" i="21"/>
  <c r="T1196" i="21" s="1"/>
  <c r="K1310" i="21"/>
  <c r="T1310" i="21" s="1"/>
  <c r="K1225" i="21"/>
  <c r="T1225" i="21" s="1"/>
  <c r="K1489" i="21"/>
  <c r="T1489" i="21" s="1"/>
  <c r="K1275" i="21"/>
  <c r="T1275" i="21" s="1"/>
  <c r="K1214" i="21"/>
  <c r="T1214" i="21" s="1"/>
  <c r="K1360" i="21"/>
  <c r="T1360" i="21" s="1"/>
  <c r="K1290" i="21"/>
  <c r="T1290" i="21" s="1"/>
  <c r="K1219" i="21"/>
  <c r="T1219" i="21" s="1"/>
  <c r="K1300" i="21"/>
  <c r="T1300" i="21" s="1"/>
  <c r="K1224" i="21"/>
  <c r="T1224" i="21" s="1"/>
  <c r="K1268" i="21"/>
  <c r="T1268" i="21" s="1"/>
  <c r="K1283" i="21"/>
  <c r="T1283" i="21" s="1"/>
  <c r="K1130" i="21"/>
  <c r="T1130" i="21" s="1"/>
  <c r="K1226" i="21"/>
  <c r="T1226" i="21" s="1"/>
  <c r="K1202" i="21"/>
  <c r="T1202" i="21" s="1"/>
  <c r="K1073" i="21"/>
  <c r="T1073" i="21" s="1"/>
  <c r="K1009" i="21"/>
  <c r="T1009" i="21" s="1"/>
  <c r="K1160" i="21"/>
  <c r="T1160" i="21" s="1"/>
  <c r="K1128" i="21"/>
  <c r="T1128" i="21" s="1"/>
  <c r="K1098" i="21"/>
  <c r="T1098" i="21" s="1"/>
  <c r="K1178" i="21"/>
  <c r="T1178" i="21" s="1"/>
  <c r="K1018" i="21"/>
  <c r="T1018" i="21" s="1"/>
  <c r="K942" i="21"/>
  <c r="T942" i="21" s="1"/>
  <c r="K878" i="21"/>
  <c r="T878" i="21" s="1"/>
  <c r="K955" i="21"/>
  <c r="T955" i="21" s="1"/>
  <c r="K891" i="21"/>
  <c r="T891" i="21" s="1"/>
  <c r="K727" i="21"/>
  <c r="T727" i="21" s="1"/>
  <c r="K928" i="21"/>
  <c r="T928" i="21" s="1"/>
  <c r="K864" i="21"/>
  <c r="T864" i="21" s="1"/>
  <c r="K1126" i="21"/>
  <c r="T1126" i="21" s="1"/>
  <c r="K954" i="21"/>
  <c r="T954" i="21" s="1"/>
  <c r="K890" i="21"/>
  <c r="T890" i="21" s="1"/>
  <c r="K1094" i="21"/>
  <c r="T1094" i="21" s="1"/>
  <c r="K677" i="21"/>
  <c r="K844" i="21"/>
  <c r="T844" i="21" s="1"/>
  <c r="K553" i="21"/>
  <c r="K414" i="21"/>
  <c r="K189" i="21"/>
  <c r="T189" i="21" s="1"/>
  <c r="K87" i="21"/>
  <c r="T87" i="21" s="1"/>
  <c r="K125" i="21"/>
  <c r="J280" i="21"/>
  <c r="K280" i="21" s="1"/>
  <c r="K252" i="21"/>
  <c r="T252" i="21" s="1"/>
  <c r="K237" i="21"/>
  <c r="T237" i="21" s="1"/>
  <c r="K287" i="21"/>
  <c r="T287" i="21" s="1"/>
  <c r="J636" i="21"/>
  <c r="K636" i="21" s="1"/>
  <c r="K2663" i="21"/>
  <c r="T2663" i="21" s="1"/>
  <c r="K1978" i="21"/>
  <c r="K1940" i="21"/>
  <c r="K1898" i="21"/>
  <c r="K1948" i="21"/>
  <c r="K1928" i="21"/>
  <c r="K1979" i="21"/>
  <c r="K1897" i="21"/>
  <c r="K1958" i="21"/>
  <c r="K1971" i="21"/>
  <c r="K1747" i="21"/>
  <c r="T1747" i="21" s="1"/>
  <c r="K1893" i="21"/>
  <c r="K1828" i="21"/>
  <c r="T1828" i="21" s="1"/>
  <c r="K1844" i="21"/>
  <c r="K1902" i="21"/>
  <c r="K1717" i="21"/>
  <c r="K1730" i="21"/>
  <c r="T1730" i="21" s="1"/>
  <c r="K1645" i="21"/>
  <c r="T1645" i="21" s="1"/>
  <c r="K1831" i="21"/>
  <c r="T1831" i="21" s="1"/>
  <c r="K1634" i="21"/>
  <c r="T1634" i="21" s="1"/>
  <c r="K1577" i="21"/>
  <c r="T1577" i="21" s="1"/>
  <c r="K1587" i="21"/>
  <c r="T1587" i="21" s="1"/>
  <c r="K1550" i="21"/>
  <c r="T1550" i="21" s="1"/>
  <c r="K1543" i="21"/>
  <c r="T1543" i="21" s="1"/>
  <c r="K1523" i="21"/>
  <c r="T1523" i="21" s="1"/>
  <c r="K1628" i="21"/>
  <c r="T1628" i="21" s="1"/>
  <c r="K1477" i="21"/>
  <c r="T1477" i="21" s="1"/>
  <c r="K1536" i="21"/>
  <c r="T1536" i="21" s="1"/>
  <c r="K1574" i="21"/>
  <c r="T1574" i="21" s="1"/>
  <c r="K1434" i="21"/>
  <c r="T1434" i="21" s="1"/>
  <c r="K1473" i="21"/>
  <c r="T1473" i="21" s="1"/>
  <c r="K1606" i="21"/>
  <c r="T1606" i="21" s="1"/>
  <c r="K1354" i="21"/>
  <c r="T1354" i="21" s="1"/>
  <c r="K1461" i="21"/>
  <c r="T1461" i="21" s="1"/>
  <c r="K1418" i="21"/>
  <c r="T1418" i="21" s="1"/>
  <c r="K1367" i="21"/>
  <c r="T1367" i="21" s="1"/>
  <c r="K1479" i="21"/>
  <c r="T1479" i="21" s="1"/>
  <c r="K1356" i="21"/>
  <c r="T1356" i="21" s="1"/>
  <c r="K1312" i="21"/>
  <c r="T1312" i="21" s="1"/>
  <c r="K1303" i="21"/>
  <c r="T1303" i="21" s="1"/>
  <c r="K1252" i="21"/>
  <c r="T1252" i="21" s="1"/>
  <c r="K1188" i="21"/>
  <c r="T1188" i="21" s="1"/>
  <c r="K1302" i="21"/>
  <c r="T1302" i="21" s="1"/>
  <c r="K1217" i="21"/>
  <c r="T1217" i="21" s="1"/>
  <c r="K1424" i="21"/>
  <c r="T1424" i="21" s="1"/>
  <c r="K1266" i="21"/>
  <c r="T1266" i="21" s="1"/>
  <c r="K1206" i="21"/>
  <c r="T1206" i="21" s="1"/>
  <c r="K1347" i="21"/>
  <c r="T1347" i="21" s="1"/>
  <c r="K1274" i="21"/>
  <c r="T1274" i="21" s="1"/>
  <c r="K1211" i="21"/>
  <c r="T1211" i="21" s="1"/>
  <c r="K1295" i="21"/>
  <c r="T1295" i="21" s="1"/>
  <c r="K1216" i="21"/>
  <c r="T1216" i="21" s="1"/>
  <c r="K1352" i="21"/>
  <c r="T1352" i="21" s="1"/>
  <c r="K1264" i="21"/>
  <c r="T1264" i="21" s="1"/>
  <c r="K1120" i="21"/>
  <c r="T1120" i="21" s="1"/>
  <c r="K1170" i="21"/>
  <c r="T1170" i="21" s="1"/>
  <c r="K1172" i="21"/>
  <c r="T1172" i="21" s="1"/>
  <c r="K1065" i="21"/>
  <c r="T1065" i="21" s="1"/>
  <c r="K1001" i="21"/>
  <c r="T1001" i="21" s="1"/>
  <c r="K1153" i="21"/>
  <c r="T1153" i="21" s="1"/>
  <c r="K1122" i="21"/>
  <c r="T1122" i="21" s="1"/>
  <c r="K1095" i="21"/>
  <c r="T1095" i="21" s="1"/>
  <c r="K1115" i="21"/>
  <c r="T1115" i="21" s="1"/>
  <c r="K1010" i="21"/>
  <c r="T1010" i="21" s="1"/>
  <c r="K934" i="21"/>
  <c r="T934" i="21" s="1"/>
  <c r="K870" i="21"/>
  <c r="T870" i="21" s="1"/>
  <c r="K947" i="21"/>
  <c r="T947" i="21" s="1"/>
  <c r="K883" i="21"/>
  <c r="T883" i="21" s="1"/>
  <c r="K1058" i="21"/>
  <c r="T1058" i="21" s="1"/>
  <c r="K920" i="21"/>
  <c r="T920" i="21" s="1"/>
  <c r="K856" i="21"/>
  <c r="T856" i="21" s="1"/>
  <c r="K1121" i="21"/>
  <c r="T1121" i="21" s="1"/>
  <c r="K946" i="21"/>
  <c r="T946" i="21" s="1"/>
  <c r="K882" i="21"/>
  <c r="T882" i="21" s="1"/>
  <c r="K1024" i="21"/>
  <c r="T1024" i="21" s="1"/>
  <c r="K665" i="21"/>
  <c r="K689" i="21"/>
  <c r="K539" i="21"/>
  <c r="K392" i="21"/>
  <c r="K714" i="21"/>
  <c r="K543" i="21"/>
  <c r="K25" i="21"/>
  <c r="T25" i="21" s="1"/>
  <c r="K144" i="21"/>
  <c r="T144" i="21" s="1"/>
  <c r="K117" i="21"/>
  <c r="T117" i="21" s="1"/>
  <c r="K41" i="21"/>
  <c r="T41" i="21" s="1"/>
  <c r="K437" i="21"/>
  <c r="T437" i="21" s="1"/>
  <c r="K363" i="21"/>
  <c r="K85" i="21"/>
  <c r="T85" i="21" s="1"/>
  <c r="K140" i="21"/>
  <c r="T140" i="21" s="1"/>
  <c r="J382" i="21"/>
  <c r="K382" i="21" s="1"/>
  <c r="K244" i="21"/>
  <c r="T244" i="21" s="1"/>
  <c r="K121" i="21"/>
  <c r="T121" i="21" s="1"/>
  <c r="K239" i="21"/>
  <c r="T239" i="21" s="1"/>
  <c r="K247" i="21"/>
  <c r="T247" i="21" s="1"/>
  <c r="K2670" i="21"/>
  <c r="K1975" i="21"/>
  <c r="K1930" i="21"/>
  <c r="K1895" i="21"/>
  <c r="K1942" i="21"/>
  <c r="K1918" i="21"/>
  <c r="K1960" i="21"/>
  <c r="K1878" i="21"/>
  <c r="K1939" i="21"/>
  <c r="K1967" i="21"/>
  <c r="K1739" i="21"/>
  <c r="T1739" i="21" s="1"/>
  <c r="K1922" i="21"/>
  <c r="K1751" i="21"/>
  <c r="T1751" i="21" s="1"/>
  <c r="K1724" i="21"/>
  <c r="K1842" i="21"/>
  <c r="K1714" i="21"/>
  <c r="K1712" i="21"/>
  <c r="K1642" i="21"/>
  <c r="T1642" i="21" s="1"/>
  <c r="K1830" i="21"/>
  <c r="T1830" i="21" s="1"/>
  <c r="K1630" i="21"/>
  <c r="T1630" i="21" s="1"/>
  <c r="K1573" i="21"/>
  <c r="T1573" i="21" s="1"/>
  <c r="K1799" i="21"/>
  <c r="T1799" i="21" s="1"/>
  <c r="K1544" i="21"/>
  <c r="T1544" i="21" s="1"/>
  <c r="K1527" i="21"/>
  <c r="T1527" i="21" s="1"/>
  <c r="K1509" i="21"/>
  <c r="T1509" i="21" s="1"/>
  <c r="K1611" i="21"/>
  <c r="T1611" i="21" s="1"/>
  <c r="K1636" i="21"/>
  <c r="T1636" i="21" s="1"/>
  <c r="K1511" i="21"/>
  <c r="T1511" i="21" s="1"/>
  <c r="K1571" i="21"/>
  <c r="T1571" i="21" s="1"/>
  <c r="K1427" i="21"/>
  <c r="T1427" i="21" s="1"/>
  <c r="K1455" i="21"/>
  <c r="T1455" i="21" s="1"/>
  <c r="K1503" i="21"/>
  <c r="T1503" i="21" s="1"/>
  <c r="K1346" i="21"/>
  <c r="T1346" i="21" s="1"/>
  <c r="K1457" i="21"/>
  <c r="T1457" i="21" s="1"/>
  <c r="K1411" i="21"/>
  <c r="T1411" i="21" s="1"/>
  <c r="K1359" i="21"/>
  <c r="T1359" i="21" s="1"/>
  <c r="K1439" i="21"/>
  <c r="T1439" i="21" s="1"/>
  <c r="K1348" i="21"/>
  <c r="T1348" i="21" s="1"/>
  <c r="K1578" i="21"/>
  <c r="T1578" i="21" s="1"/>
  <c r="K1292" i="21"/>
  <c r="T1292" i="21" s="1"/>
  <c r="K1244" i="21"/>
  <c r="T1244" i="21" s="1"/>
  <c r="K1379" i="21"/>
  <c r="T1379" i="21" s="1"/>
  <c r="K1286" i="21"/>
  <c r="T1286" i="21" s="1"/>
  <c r="K1209" i="21"/>
  <c r="T1209" i="21" s="1"/>
  <c r="K1371" i="21"/>
  <c r="T1371" i="21" s="1"/>
  <c r="K1262" i="21"/>
  <c r="T1262" i="21" s="1"/>
  <c r="K1198" i="21"/>
  <c r="T1198" i="21" s="1"/>
  <c r="K1339" i="21"/>
  <c r="T1339" i="21" s="1"/>
  <c r="K1269" i="21"/>
  <c r="T1269" i="21" s="1"/>
  <c r="K1203" i="21"/>
  <c r="T1203" i="21" s="1"/>
  <c r="K1284" i="21"/>
  <c r="T1284" i="21" s="1"/>
  <c r="K1208" i="21"/>
  <c r="T1208" i="21" s="1"/>
  <c r="K1234" i="21"/>
  <c r="T1234" i="21" s="1"/>
  <c r="K1250" i="21"/>
  <c r="T1250" i="21" s="1"/>
  <c r="K1104" i="21"/>
  <c r="T1104" i="21" s="1"/>
  <c r="K1028" i="21"/>
  <c r="T1028" i="21" s="1"/>
  <c r="K1156" i="21"/>
  <c r="T1156" i="21" s="1"/>
  <c r="K1057" i="21"/>
  <c r="T1057" i="21" s="1"/>
  <c r="K993" i="21"/>
  <c r="T993" i="21" s="1"/>
  <c r="K1152" i="21"/>
  <c r="T1152" i="21" s="1"/>
  <c r="K1258" i="21"/>
  <c r="T1258" i="21" s="1"/>
  <c r="K1091" i="21"/>
  <c r="T1091" i="21" s="1"/>
  <c r="K1082" i="21"/>
  <c r="T1082" i="21" s="1"/>
  <c r="K1002" i="21"/>
  <c r="T1002" i="21" s="1"/>
  <c r="K926" i="21"/>
  <c r="T926" i="21" s="1"/>
  <c r="K862" i="21"/>
  <c r="T862" i="21" s="1"/>
  <c r="K939" i="21"/>
  <c r="T939" i="21" s="1"/>
  <c r="K875" i="21"/>
  <c r="T875" i="21" s="1"/>
  <c r="K1048" i="21"/>
  <c r="T1048" i="21" s="1"/>
  <c r="K912" i="21"/>
  <c r="T912" i="21" s="1"/>
  <c r="K848" i="21"/>
  <c r="T848" i="21" s="1"/>
  <c r="K711" i="21"/>
  <c r="K938" i="21"/>
  <c r="T938" i="21" s="1"/>
  <c r="K874" i="21"/>
  <c r="T874" i="21" s="1"/>
  <c r="K940" i="21"/>
  <c r="T940" i="21" s="1"/>
  <c r="K642" i="21"/>
  <c r="K684" i="21"/>
  <c r="K474" i="21"/>
  <c r="K387" i="21"/>
  <c r="K707" i="21"/>
  <c r="K534" i="21"/>
  <c r="K924" i="21"/>
  <c r="T924" i="21" s="1"/>
  <c r="K550" i="21"/>
  <c r="K408" i="21"/>
  <c r="K678" i="21"/>
  <c r="K742" i="21"/>
  <c r="K618" i="21"/>
  <c r="K446" i="21"/>
  <c r="K501" i="21"/>
  <c r="T501" i="21" s="1"/>
  <c r="K432" i="21"/>
  <c r="K320" i="21"/>
  <c r="K438" i="21"/>
  <c r="K624" i="21"/>
  <c r="T624" i="21" s="1"/>
  <c r="K410" i="21"/>
  <c r="K258" i="21"/>
  <c r="K449" i="21"/>
  <c r="K120" i="21"/>
  <c r="T120" i="21" s="1"/>
  <c r="K80" i="21"/>
  <c r="T80" i="21" s="1"/>
  <c r="K38" i="21"/>
  <c r="T38" i="21" s="1"/>
  <c r="K122" i="21"/>
  <c r="T122" i="21" s="1"/>
  <c r="K279" i="21"/>
  <c r="K69" i="21"/>
  <c r="T69" i="21" s="1"/>
  <c r="K138" i="21"/>
  <c r="T138" i="21" s="1"/>
  <c r="K32" i="21"/>
  <c r="T32" i="21" s="1"/>
  <c r="J274" i="21"/>
  <c r="K274" i="21" s="1"/>
  <c r="K127" i="21"/>
  <c r="T127" i="21" s="1"/>
  <c r="K245" i="21"/>
  <c r="T245" i="21" s="1"/>
  <c r="J328" i="21"/>
  <c r="K328" i="21" s="1"/>
  <c r="J264" i="21"/>
  <c r="K264" i="21" s="1"/>
  <c r="K254" i="21"/>
  <c r="T254" i="21" s="1"/>
  <c r="K601" i="21"/>
  <c r="T601" i="21" s="1"/>
  <c r="K265" i="21"/>
  <c r="T265" i="21" s="1"/>
  <c r="K2664" i="21"/>
  <c r="T2664" i="21" s="1"/>
  <c r="K1972" i="21"/>
  <c r="K1927" i="21"/>
  <c r="K1885" i="21"/>
  <c r="K1923" i="21"/>
  <c r="K1899" i="21"/>
  <c r="K1950" i="21"/>
  <c r="K1987" i="21"/>
  <c r="K1935" i="21"/>
  <c r="K1938" i="21"/>
  <c r="K1729" i="21"/>
  <c r="T1729" i="21" s="1"/>
  <c r="K1905" i="21"/>
  <c r="K1746" i="21"/>
  <c r="T1746" i="21" s="1"/>
  <c r="K1721" i="21"/>
  <c r="K1827" i="21"/>
  <c r="T1827" i="21" s="1"/>
  <c r="K1692" i="21"/>
  <c r="T1692" i="21" s="1"/>
  <c r="K1654" i="21"/>
  <c r="T1654" i="21" s="1"/>
  <c r="K1638" i="21"/>
  <c r="T1638" i="21" s="1"/>
  <c r="K1791" i="21"/>
  <c r="T1791" i="21" s="1"/>
  <c r="K1623" i="21"/>
  <c r="T1623" i="21" s="1"/>
  <c r="K1570" i="21"/>
  <c r="T1570" i="21" s="1"/>
  <c r="K1740" i="21"/>
  <c r="T1740" i="21" s="1"/>
  <c r="K1539" i="21"/>
  <c r="T1539" i="21" s="1"/>
  <c r="K1520" i="21"/>
  <c r="T1520" i="21" s="1"/>
  <c r="K1505" i="21"/>
  <c r="T1505" i="21" s="1"/>
  <c r="K1610" i="21"/>
  <c r="T1610" i="21" s="1"/>
  <c r="K1613" i="21"/>
  <c r="T1613" i="21" s="1"/>
  <c r="K1504" i="21"/>
  <c r="T1504" i="21" s="1"/>
  <c r="K1557" i="21"/>
  <c r="T1557" i="21" s="1"/>
  <c r="K1413" i="21"/>
  <c r="T1413" i="21" s="1"/>
  <c r="K1448" i="21"/>
  <c r="T1448" i="21" s="1"/>
  <c r="K1510" i="21"/>
  <c r="T1510" i="21" s="1"/>
  <c r="K1528" i="21"/>
  <c r="T1528" i="21" s="1"/>
  <c r="K1454" i="21"/>
  <c r="T1454" i="21" s="1"/>
  <c r="K1397" i="21"/>
  <c r="T1397" i="21" s="1"/>
  <c r="K1351" i="21"/>
  <c r="T1351" i="21" s="1"/>
  <c r="K1432" i="21"/>
  <c r="T1432" i="21" s="1"/>
  <c r="K1340" i="21"/>
  <c r="T1340" i="21" s="1"/>
  <c r="K1469" i="21"/>
  <c r="T1469" i="21" s="1"/>
  <c r="K1287" i="21"/>
  <c r="T1287" i="21" s="1"/>
  <c r="K1236" i="21"/>
  <c r="T1236" i="21" s="1"/>
  <c r="K1344" i="21"/>
  <c r="T1344" i="21" s="1"/>
  <c r="K1270" i="21"/>
  <c r="T1270" i="21" s="1"/>
  <c r="K1201" i="21"/>
  <c r="T1201" i="21" s="1"/>
  <c r="K1358" i="21"/>
  <c r="T1358" i="21" s="1"/>
  <c r="K1254" i="21"/>
  <c r="T1254" i="21" s="1"/>
  <c r="K1190" i="21"/>
  <c r="T1190" i="21" s="1"/>
  <c r="K1338" i="21"/>
  <c r="T1338" i="21" s="1"/>
  <c r="K1259" i="21"/>
  <c r="T1259" i="21" s="1"/>
  <c r="K1195" i="21"/>
  <c r="T1195" i="21" s="1"/>
  <c r="K1279" i="21"/>
  <c r="T1279" i="21" s="1"/>
  <c r="K1200" i="21"/>
  <c r="T1200" i="21" s="1"/>
  <c r="K1184" i="21"/>
  <c r="T1184" i="21" s="1"/>
  <c r="K1186" i="21"/>
  <c r="T1186" i="21" s="1"/>
  <c r="K1015" i="21"/>
  <c r="T1015" i="21" s="1"/>
  <c r="K1020" i="21"/>
  <c r="T1020" i="21" s="1"/>
  <c r="K1154" i="21"/>
  <c r="T1154" i="21" s="1"/>
  <c r="K1049" i="21"/>
  <c r="T1049" i="21" s="1"/>
  <c r="K977" i="21"/>
  <c r="T977" i="21" s="1"/>
  <c r="K1299" i="21"/>
  <c r="T1299" i="21" s="1"/>
  <c r="K1194" i="21"/>
  <c r="T1194" i="21" s="1"/>
  <c r="K1088" i="21"/>
  <c r="T1088" i="21" s="1"/>
  <c r="K1137" i="21"/>
  <c r="T1137" i="21" s="1"/>
  <c r="K994" i="21"/>
  <c r="T994" i="21" s="1"/>
  <c r="K918" i="21"/>
  <c r="T918" i="21" s="1"/>
  <c r="K854" i="21"/>
  <c r="T854" i="21" s="1"/>
  <c r="K931" i="21"/>
  <c r="T931" i="21" s="1"/>
  <c r="K867" i="21"/>
  <c r="T867" i="21" s="1"/>
  <c r="K1042" i="21"/>
  <c r="T1042" i="21" s="1"/>
  <c r="K904" i="21"/>
  <c r="T904" i="21" s="1"/>
  <c r="K796" i="21"/>
  <c r="T796" i="21" s="1"/>
  <c r="K1131" i="21"/>
  <c r="T1131" i="21" s="1"/>
  <c r="K930" i="21"/>
  <c r="T930" i="21" s="1"/>
  <c r="K866" i="21"/>
  <c r="T866" i="21" s="1"/>
  <c r="K908" i="21"/>
  <c r="T908" i="21" s="1"/>
  <c r="K620" i="21"/>
  <c r="K681" i="21"/>
  <c r="K457" i="21"/>
  <c r="K970" i="21"/>
  <c r="T970" i="21" s="1"/>
  <c r="K700" i="21"/>
  <c r="K473" i="21"/>
  <c r="K892" i="21"/>
  <c r="T892" i="21" s="1"/>
  <c r="K538" i="21"/>
  <c r="K386" i="21"/>
  <c r="K675" i="21"/>
  <c r="K736" i="21"/>
  <c r="T736" i="21" s="1"/>
  <c r="K596" i="21"/>
  <c r="K441" i="21"/>
  <c r="K499" i="21"/>
  <c r="T499" i="21" s="1"/>
  <c r="K403" i="21"/>
  <c r="K300" i="21"/>
  <c r="K422" i="21"/>
  <c r="K734" i="21"/>
  <c r="T734" i="21" s="1"/>
  <c r="K399" i="21"/>
  <c r="K198" i="21"/>
  <c r="K378" i="21"/>
  <c r="K27" i="21"/>
  <c r="T27" i="21" s="1"/>
  <c r="K128" i="21"/>
  <c r="T128" i="21" s="1"/>
  <c r="K119" i="21"/>
  <c r="T119" i="21" s="1"/>
  <c r="K133" i="21"/>
  <c r="T133" i="21" s="1"/>
  <c r="K276" i="21"/>
  <c r="K73" i="21"/>
  <c r="T73" i="21" s="1"/>
  <c r="K188" i="21"/>
  <c r="T188" i="21" s="1"/>
  <c r="K89" i="21"/>
  <c r="T89" i="21" s="1"/>
  <c r="K242" i="21"/>
  <c r="T242" i="21" s="1"/>
  <c r="K35" i="21"/>
  <c r="T35" i="21" s="1"/>
  <c r="K76" i="21"/>
  <c r="T76" i="21" s="1"/>
  <c r="K131" i="21"/>
  <c r="T131" i="21" s="1"/>
  <c r="K130" i="21"/>
  <c r="T130" i="21" s="1"/>
  <c r="K281" i="21"/>
  <c r="T281" i="21" s="1"/>
  <c r="K248" i="21"/>
  <c r="T248" i="21" s="1"/>
  <c r="K275" i="21"/>
  <c r="T275" i="21" s="1"/>
  <c r="K229" i="21"/>
  <c r="T229" i="21" s="1"/>
  <c r="K591" i="21"/>
  <c r="T591" i="21" s="1"/>
  <c r="K2672" i="21"/>
  <c r="K1962" i="21"/>
  <c r="K1924" i="21"/>
  <c r="K1882" i="21"/>
  <c r="K1919" i="21"/>
  <c r="K1984" i="21"/>
  <c r="K1936" i="21"/>
  <c r="K1983" i="21"/>
  <c r="K1906" i="21"/>
  <c r="K1915" i="21"/>
  <c r="K1726" i="21"/>
  <c r="K1883" i="21"/>
  <c r="K1736" i="21"/>
  <c r="T1736" i="21" s="1"/>
  <c r="K1718" i="21"/>
  <c r="K1750" i="21"/>
  <c r="T1750" i="21" s="1"/>
  <c r="K1931" i="21"/>
  <c r="K1843" i="21"/>
  <c r="K1631" i="21"/>
  <c r="T1631" i="21" s="1"/>
  <c r="K1789" i="21"/>
  <c r="T1789" i="21" s="1"/>
  <c r="K1609" i="21"/>
  <c r="T1609" i="21" s="1"/>
  <c r="K1566" i="21"/>
  <c r="T1566" i="21" s="1"/>
  <c r="K1651" i="21"/>
  <c r="T1651" i="21" s="1"/>
  <c r="K1531" i="21"/>
  <c r="T1531" i="21" s="1"/>
  <c r="K1741" i="21"/>
  <c r="T1741" i="21" s="1"/>
  <c r="K1502" i="21"/>
  <c r="T1502" i="21" s="1"/>
  <c r="K1599" i="21"/>
  <c r="T1599" i="21" s="1"/>
  <c r="K1567" i="21"/>
  <c r="T1567" i="21" s="1"/>
  <c r="K1487" i="21"/>
  <c r="T1487" i="21" s="1"/>
  <c r="K1499" i="21"/>
  <c r="T1499" i="21" s="1"/>
  <c r="K1409" i="21"/>
  <c r="T1409" i="21" s="1"/>
  <c r="K1423" i="21"/>
  <c r="T1423" i="21" s="1"/>
  <c r="K1495" i="21"/>
  <c r="T1495" i="21" s="1"/>
  <c r="K1496" i="21"/>
  <c r="T1496" i="21" s="1"/>
  <c r="K1450" i="21"/>
  <c r="T1450" i="21" s="1"/>
  <c r="K1393" i="21"/>
  <c r="T1393" i="21" s="1"/>
  <c r="K1343" i="21"/>
  <c r="T1343" i="21" s="1"/>
  <c r="K1407" i="21"/>
  <c r="T1407" i="21" s="1"/>
  <c r="K1332" i="21"/>
  <c r="T1332" i="21" s="1"/>
  <c r="K1463" i="21"/>
  <c r="T1463" i="21" s="1"/>
  <c r="K1276" i="21"/>
  <c r="T1276" i="21" s="1"/>
  <c r="K1228" i="21"/>
  <c r="T1228" i="21" s="1"/>
  <c r="K1342" i="21"/>
  <c r="T1342" i="21" s="1"/>
  <c r="K1257" i="21"/>
  <c r="T1257" i="21" s="1"/>
  <c r="K1193" i="21"/>
  <c r="T1193" i="21" s="1"/>
  <c r="K1319" i="21"/>
  <c r="T1319" i="21" s="1"/>
  <c r="K1246" i="21"/>
  <c r="T1246" i="21" s="1"/>
  <c r="K1182" i="21"/>
  <c r="T1182" i="21" s="1"/>
  <c r="K1328" i="21"/>
  <c r="T1328" i="21" s="1"/>
  <c r="K1251" i="21"/>
  <c r="T1251" i="21" s="1"/>
  <c r="K1456" i="21"/>
  <c r="T1456" i="21" s="1"/>
  <c r="K1256" i="21"/>
  <c r="T1256" i="21" s="1"/>
  <c r="K1192" i="21"/>
  <c r="T1192" i="21" s="1"/>
  <c r="K1176" i="21"/>
  <c r="T1176" i="21" s="1"/>
  <c r="K1180" i="21"/>
  <c r="T1180" i="21" s="1"/>
  <c r="K1007" i="21"/>
  <c r="T1007" i="21" s="1"/>
  <c r="K1012" i="21"/>
  <c r="T1012" i="21" s="1"/>
  <c r="K1142" i="21"/>
  <c r="T1142" i="21" s="1"/>
  <c r="K1041" i="21"/>
  <c r="T1041" i="21" s="1"/>
  <c r="K1288" i="21"/>
  <c r="T1288" i="21" s="1"/>
  <c r="K1218" i="21"/>
  <c r="T1218" i="21" s="1"/>
  <c r="K1148" i="21"/>
  <c r="T1148" i="21" s="1"/>
  <c r="K1080" i="21"/>
  <c r="T1080" i="21" s="1"/>
  <c r="K1074" i="21"/>
  <c r="T1074" i="21" s="1"/>
  <c r="K986" i="21"/>
  <c r="T986" i="21" s="1"/>
  <c r="K910" i="21"/>
  <c r="T910" i="21" s="1"/>
  <c r="K846" i="21"/>
  <c r="T846" i="21" s="1"/>
  <c r="K923" i="21"/>
  <c r="T923" i="21" s="1"/>
  <c r="K859" i="21"/>
  <c r="T859" i="21" s="1"/>
  <c r="K962" i="21"/>
  <c r="T962" i="21" s="1"/>
  <c r="K896" i="21"/>
  <c r="T896" i="21" s="1"/>
  <c r="K746" i="21"/>
  <c r="T746" i="21" s="1"/>
  <c r="K1108" i="21"/>
  <c r="T1108" i="21" s="1"/>
  <c r="K922" i="21"/>
  <c r="T922" i="21" s="1"/>
  <c r="K858" i="21"/>
  <c r="T858" i="21" s="1"/>
  <c r="K876" i="21"/>
  <c r="T876" i="21" s="1"/>
  <c r="K595" i="21"/>
  <c r="K672" i="21"/>
  <c r="K451" i="21"/>
  <c r="K932" i="21"/>
  <c r="T932" i="21" s="1"/>
  <c r="K1016" i="21"/>
  <c r="T1016" i="21" s="1"/>
  <c r="K450" i="21"/>
  <c r="K852" i="21"/>
  <c r="T852" i="21" s="1"/>
  <c r="K479" i="21"/>
  <c r="K1032" i="21"/>
  <c r="T1032" i="21" s="1"/>
  <c r="K666" i="21"/>
  <c r="K705" i="21"/>
  <c r="K554" i="21"/>
  <c r="K433" i="21"/>
  <c r="K497" i="21"/>
  <c r="T497" i="21" s="1"/>
  <c r="K381" i="21"/>
  <c r="K294" i="21"/>
  <c r="K402" i="21"/>
  <c r="K594" i="21"/>
  <c r="K397" i="21"/>
  <c r="K195" i="21"/>
  <c r="K894" i="21"/>
  <c r="T894" i="21" s="1"/>
  <c r="K906" i="21"/>
  <c r="T906" i="21" s="1"/>
  <c r="K648" i="21"/>
  <c r="K456" i="21"/>
  <c r="K884" i="21"/>
  <c r="T884" i="21" s="1"/>
  <c r="K598" i="21"/>
  <c r="T598" i="21" s="1"/>
  <c r="K282" i="21"/>
  <c r="K426" i="21"/>
  <c r="K321" i="21"/>
  <c r="K182" i="21"/>
  <c r="K357" i="21"/>
  <c r="K151" i="21"/>
  <c r="K200" i="21"/>
  <c r="T200" i="21" s="1"/>
  <c r="J334" i="21"/>
  <c r="K334" i="21" s="1"/>
  <c r="K404" i="21"/>
  <c r="K472" i="21"/>
  <c r="T472" i="21" s="1"/>
  <c r="K271" i="21"/>
  <c r="K375" i="21"/>
  <c r="K730" i="21"/>
  <c r="T730" i="21" s="1"/>
  <c r="K548" i="21"/>
  <c r="K84" i="21"/>
  <c r="T84" i="21" s="1"/>
  <c r="J283" i="21"/>
  <c r="K283" i="21" s="1"/>
  <c r="K603" i="21"/>
  <c r="T603" i="21" s="1"/>
  <c r="J412" i="21"/>
  <c r="K412" i="21" s="1"/>
  <c r="K178" i="21"/>
  <c r="J430" i="21"/>
  <c r="K430" i="21" s="1"/>
  <c r="K536" i="21"/>
  <c r="T536" i="21" s="1"/>
  <c r="K664" i="21"/>
  <c r="J442" i="21"/>
  <c r="K442" i="21" s="1"/>
  <c r="K625" i="21"/>
  <c r="T625" i="21" s="1"/>
  <c r="K724" i="21"/>
  <c r="T724" i="21" s="1"/>
  <c r="K885" i="21"/>
  <c r="T885" i="21" s="1"/>
  <c r="K496" i="21"/>
  <c r="T496" i="21" s="1"/>
  <c r="K676" i="21"/>
  <c r="K743" i="21"/>
  <c r="T743" i="21" s="1"/>
  <c r="K793" i="21"/>
  <c r="T793" i="21" s="1"/>
  <c r="K925" i="21"/>
  <c r="T925" i="21" s="1"/>
  <c r="K1051" i="21"/>
  <c r="T1051" i="21" s="1"/>
  <c r="K799" i="21"/>
  <c r="T799" i="21" s="1"/>
  <c r="K873" i="21"/>
  <c r="T873" i="21" s="1"/>
  <c r="K927" i="21"/>
  <c r="T927" i="21" s="1"/>
  <c r="K1113" i="21"/>
  <c r="T1113" i="21" s="1"/>
  <c r="K1038" i="21"/>
  <c r="T1038" i="21" s="1"/>
  <c r="K1086" i="21"/>
  <c r="T1086" i="21" s="1"/>
  <c r="K1005" i="21"/>
  <c r="T1005" i="21" s="1"/>
  <c r="K990" i="21"/>
  <c r="T990" i="21" s="1"/>
  <c r="K1067" i="21"/>
  <c r="T1067" i="21" s="1"/>
  <c r="K1068" i="21"/>
  <c r="T1068" i="21" s="1"/>
  <c r="K1107" i="21"/>
  <c r="T1107" i="21" s="1"/>
  <c r="K1047" i="21"/>
  <c r="T1047" i="21" s="1"/>
  <c r="K1079" i="21"/>
  <c r="T1079" i="21" s="1"/>
  <c r="K1111" i="21"/>
  <c r="T1111" i="21" s="1"/>
  <c r="K965" i="21"/>
  <c r="T965" i="21" s="1"/>
  <c r="K1053" i="21"/>
  <c r="T1053" i="21" s="1"/>
  <c r="K1084" i="21"/>
  <c r="T1084" i="21" s="1"/>
  <c r="K1134" i="21"/>
  <c r="T1134" i="21" s="1"/>
  <c r="K972" i="21"/>
  <c r="T972" i="21" s="1"/>
  <c r="K1133" i="21"/>
  <c r="T1133" i="21" s="1"/>
  <c r="K1313" i="21"/>
  <c r="T1313" i="21" s="1"/>
  <c r="K1135" i="21"/>
  <c r="T1135" i="21" s="1"/>
  <c r="K1255" i="21"/>
  <c r="T1255" i="21" s="1"/>
  <c r="K1401" i="21"/>
  <c r="T1401" i="21" s="1"/>
  <c r="K1289" i="21"/>
  <c r="T1289" i="21" s="1"/>
  <c r="K1403" i="21"/>
  <c r="T1403" i="21" s="1"/>
  <c r="K1301" i="21"/>
  <c r="T1301" i="21" s="1"/>
  <c r="K1381" i="21"/>
  <c r="T1381" i="21" s="1"/>
  <c r="K1590" i="21"/>
  <c r="T1590" i="21" s="1"/>
  <c r="K1357" i="21"/>
  <c r="T1357" i="21" s="1"/>
  <c r="K1440" i="21"/>
  <c r="T1440" i="21" s="1"/>
  <c r="K1497" i="21"/>
  <c r="T1497" i="21" s="1"/>
  <c r="K1615" i="21"/>
  <c r="T1615" i="21" s="1"/>
  <c r="K1589" i="21"/>
  <c r="T1589" i="21" s="1"/>
  <c r="K1655" i="21"/>
  <c r="T1655" i="21" s="1"/>
  <c r="K1593" i="21"/>
  <c r="T1593" i="21" s="1"/>
  <c r="K1646" i="21"/>
  <c r="T1646" i="21" s="1"/>
  <c r="K1618" i="21"/>
  <c r="T1618" i="21" s="1"/>
  <c r="K1888" i="21"/>
  <c r="T1888" i="21" s="1"/>
  <c r="K1707" i="21"/>
  <c r="T1707" i="21" s="1"/>
  <c r="K1796" i="21"/>
  <c r="T1796" i="21" s="1"/>
  <c r="K2097" i="21"/>
  <c r="T2097" i="21" s="1"/>
  <c r="K1969" i="21"/>
  <c r="T1969" i="21" s="1"/>
  <c r="K1210" i="21"/>
  <c r="T1210" i="21" s="1"/>
  <c r="K842" i="21"/>
  <c r="T842" i="21" s="1"/>
  <c r="K555" i="21"/>
  <c r="K429" i="21"/>
  <c r="K696" i="21"/>
  <c r="K587" i="21"/>
  <c r="T587" i="21" s="1"/>
  <c r="K475" i="21"/>
  <c r="K372" i="21"/>
  <c r="K314" i="21"/>
  <c r="K172" i="21"/>
  <c r="K349" i="21"/>
  <c r="K240" i="21"/>
  <c r="T240" i="21" s="1"/>
  <c r="K405" i="21"/>
  <c r="K241" i="21"/>
  <c r="T241" i="21" s="1"/>
  <c r="K173" i="21"/>
  <c r="K409" i="21"/>
  <c r="K135" i="21"/>
  <c r="T135" i="21" s="1"/>
  <c r="J289" i="21"/>
  <c r="K289" i="21" s="1"/>
  <c r="K390" i="21"/>
  <c r="K266" i="21"/>
  <c r="K315" i="21"/>
  <c r="K417" i="21"/>
  <c r="K556" i="21"/>
  <c r="T556" i="21" s="1"/>
  <c r="K136" i="21"/>
  <c r="T136" i="21" s="1"/>
  <c r="J232" i="21"/>
  <c r="K232" i="21" s="1"/>
  <c r="K379" i="21"/>
  <c r="K626" i="21"/>
  <c r="T626" i="21" s="1"/>
  <c r="K86" i="21"/>
  <c r="T86" i="21" s="1"/>
  <c r="J234" i="21"/>
  <c r="K234" i="21" s="1"/>
  <c r="K302" i="21"/>
  <c r="T302" i="21" s="1"/>
  <c r="K342" i="21"/>
  <c r="J406" i="21"/>
  <c r="K406" i="21" s="1"/>
  <c r="J673" i="21"/>
  <c r="K673" i="21" s="1"/>
  <c r="J236" i="21"/>
  <c r="K236" i="21" s="1"/>
  <c r="N236" i="21" s="1"/>
  <c r="K453" i="21"/>
  <c r="T453" i="21" s="1"/>
  <c r="K546" i="21"/>
  <c r="T546" i="21" s="1"/>
  <c r="J667" i="21"/>
  <c r="K667" i="21" s="1"/>
  <c r="J691" i="21"/>
  <c r="K691" i="21" s="1"/>
  <c r="K635" i="21"/>
  <c r="T635" i="21" s="1"/>
  <c r="K498" i="21"/>
  <c r="T498" i="21" s="1"/>
  <c r="K590" i="21"/>
  <c r="J679" i="21"/>
  <c r="K679" i="21" s="1"/>
  <c r="J634" i="21"/>
  <c r="K634" i="21" s="1"/>
  <c r="K893" i="21"/>
  <c r="T893" i="21" s="1"/>
  <c r="K865" i="21"/>
  <c r="T865" i="21" s="1"/>
  <c r="K801" i="21"/>
  <c r="T801" i="21" s="1"/>
  <c r="K895" i="21"/>
  <c r="T895" i="21" s="1"/>
  <c r="K857" i="21"/>
  <c r="T857" i="21" s="1"/>
  <c r="K903" i="21"/>
  <c r="T903" i="21" s="1"/>
  <c r="K983" i="21"/>
  <c r="T983" i="21" s="1"/>
  <c r="K1114" i="21"/>
  <c r="T1114" i="21" s="1"/>
  <c r="K1029" i="21"/>
  <c r="T1029" i="21" s="1"/>
  <c r="K987" i="21"/>
  <c r="T987" i="21" s="1"/>
  <c r="K1071" i="21"/>
  <c r="T1071" i="21" s="1"/>
  <c r="K1054" i="21"/>
  <c r="T1054" i="21" s="1"/>
  <c r="K1083" i="21"/>
  <c r="T1083" i="21" s="1"/>
  <c r="K1062" i="21"/>
  <c r="T1062" i="21" s="1"/>
  <c r="K1087" i="21"/>
  <c r="T1087" i="21" s="1"/>
  <c r="K1149" i="21"/>
  <c r="T1149" i="21" s="1"/>
  <c r="K1322" i="21"/>
  <c r="T1322" i="21" s="1"/>
  <c r="K1139" i="21"/>
  <c r="T1139" i="21" s="1"/>
  <c r="K1189" i="21"/>
  <c r="T1189" i="21" s="1"/>
  <c r="K1247" i="21"/>
  <c r="T1247" i="21" s="1"/>
  <c r="K1141" i="21"/>
  <c r="T1141" i="21" s="1"/>
  <c r="K1334" i="21"/>
  <c r="T1334" i="21" s="1"/>
  <c r="K1261" i="21"/>
  <c r="T1261" i="21" s="1"/>
  <c r="K1435" i="21"/>
  <c r="T1435" i="21" s="1"/>
  <c r="K1309" i="21"/>
  <c r="T1309" i="21" s="1"/>
  <c r="K1369" i="21"/>
  <c r="T1369" i="21" s="1"/>
  <c r="K1428" i="21"/>
  <c r="T1428" i="21" s="1"/>
  <c r="K1507" i="21"/>
  <c r="T1507" i="21" s="1"/>
  <c r="K1719" i="21"/>
  <c r="T1719" i="21" s="1"/>
  <c r="K1388" i="21"/>
  <c r="T1388" i="21" s="1"/>
  <c r="K1525" i="21"/>
  <c r="T1525" i="21" s="1"/>
  <c r="K1500" i="21"/>
  <c r="T1500" i="21" s="1"/>
  <c r="K1647" i="21"/>
  <c r="T1647" i="21" s="1"/>
  <c r="K1560" i="21"/>
  <c r="T1560" i="21" s="1"/>
  <c r="K1601" i="21"/>
  <c r="T1601" i="21" s="1"/>
  <c r="K1586" i="21"/>
  <c r="T1586" i="21" s="1"/>
  <c r="K1826" i="21"/>
  <c r="T1826" i="21" s="1"/>
  <c r="K1892" i="21"/>
  <c r="T1892" i="21" s="1"/>
  <c r="K1839" i="21"/>
  <c r="T1839" i="21" s="1"/>
  <c r="K1820" i="21"/>
  <c r="T1820" i="21" s="1"/>
  <c r="K1800" i="21"/>
  <c r="T1800" i="21" s="1"/>
  <c r="K1838" i="21"/>
  <c r="T1838" i="21" s="1"/>
  <c r="K1162" i="21"/>
  <c r="T1162" i="21" s="1"/>
  <c r="K907" i="21"/>
  <c r="T907" i="21" s="1"/>
  <c r="K701" i="21"/>
  <c r="K439" i="21"/>
  <c r="K421" i="21"/>
  <c r="K654" i="21"/>
  <c r="K493" i="21"/>
  <c r="T493" i="21" s="1"/>
  <c r="K454" i="21"/>
  <c r="K326" i="21"/>
  <c r="K267" i="21"/>
  <c r="K698" i="21"/>
  <c r="T698" i="21" s="1"/>
  <c r="K272" i="21"/>
  <c r="J295" i="21"/>
  <c r="K295" i="21" s="1"/>
  <c r="K586" i="21"/>
  <c r="T586" i="21" s="1"/>
  <c r="K29" i="21"/>
  <c r="T29" i="21" s="1"/>
  <c r="J322" i="21"/>
  <c r="K322" i="21" s="1"/>
  <c r="K428" i="21"/>
  <c r="K145" i="21"/>
  <c r="K290" i="21"/>
  <c r="T290" i="21" s="1"/>
  <c r="K380" i="21"/>
  <c r="K423" i="21"/>
  <c r="K589" i="21"/>
  <c r="T589" i="21" s="1"/>
  <c r="K146" i="21"/>
  <c r="K233" i="21"/>
  <c r="T233" i="21" s="1"/>
  <c r="K385" i="21"/>
  <c r="J640" i="21"/>
  <c r="K640" i="21" s="1"/>
  <c r="K142" i="21"/>
  <c r="K303" i="21"/>
  <c r="K343" i="21"/>
  <c r="J418" i="21"/>
  <c r="K418" i="21" s="1"/>
  <c r="K309" i="21"/>
  <c r="J340" i="21"/>
  <c r="K340" i="21" s="1"/>
  <c r="K481" i="21"/>
  <c r="K745" i="21"/>
  <c r="T745" i="21" s="1"/>
  <c r="K621" i="21"/>
  <c r="T621" i="21" s="1"/>
  <c r="K670" i="21"/>
  <c r="K1078" i="21"/>
  <c r="T1078" i="21" s="1"/>
  <c r="K729" i="21"/>
  <c r="T729" i="21" s="1"/>
  <c r="K639" i="21"/>
  <c r="T639" i="21" s="1"/>
  <c r="K500" i="21"/>
  <c r="T500" i="21" s="1"/>
  <c r="K682" i="21"/>
  <c r="J394" i="21"/>
  <c r="K394" i="21" s="1"/>
  <c r="N394" i="21" s="1"/>
  <c r="K588" i="21"/>
  <c r="T588" i="21" s="1"/>
  <c r="J638" i="21"/>
  <c r="K638" i="21" s="1"/>
  <c r="K879" i="21"/>
  <c r="T879" i="21" s="1"/>
  <c r="K919" i="21"/>
  <c r="T919" i="21" s="1"/>
  <c r="K803" i="21"/>
  <c r="T803" i="21" s="1"/>
  <c r="K877" i="21"/>
  <c r="T877" i="21" s="1"/>
  <c r="K871" i="21"/>
  <c r="T871" i="21" s="1"/>
  <c r="K1110" i="21"/>
  <c r="T1110" i="21" s="1"/>
  <c r="K1123" i="21"/>
  <c r="T1123" i="21" s="1"/>
  <c r="K1037" i="21"/>
  <c r="T1037" i="21" s="1"/>
  <c r="K998" i="21"/>
  <c r="T998" i="21" s="1"/>
  <c r="K1011" i="21"/>
  <c r="T1011" i="21" s="1"/>
  <c r="K1035" i="21"/>
  <c r="T1035" i="21" s="1"/>
  <c r="K1075" i="21"/>
  <c r="T1075" i="21" s="1"/>
  <c r="K971" i="21"/>
  <c r="T971" i="21" s="1"/>
  <c r="K1092" i="21"/>
  <c r="T1092" i="21" s="1"/>
  <c r="K1145" i="21"/>
  <c r="T1145" i="21" s="1"/>
  <c r="K1039" i="21"/>
  <c r="T1039" i="21" s="1"/>
  <c r="K1325" i="21"/>
  <c r="T1325" i="21" s="1"/>
  <c r="K1253" i="21"/>
  <c r="T1253" i="21" s="1"/>
  <c r="K1207" i="21"/>
  <c r="T1207" i="21" s="1"/>
  <c r="K1350" i="21"/>
  <c r="T1350" i="21" s="1"/>
  <c r="K1191" i="21"/>
  <c r="T1191" i="21" s="1"/>
  <c r="K1353" i="21"/>
  <c r="T1353" i="21" s="1"/>
  <c r="K1305" i="21"/>
  <c r="T1305" i="21" s="1"/>
  <c r="K1414" i="21"/>
  <c r="T1414" i="21" s="1"/>
  <c r="K1265" i="21"/>
  <c r="T1265" i="21" s="1"/>
  <c r="K1337" i="21"/>
  <c r="T1337" i="21" s="1"/>
  <c r="K1410" i="21"/>
  <c r="T1410" i="21" s="1"/>
  <c r="K1470" i="21"/>
  <c r="T1470" i="21" s="1"/>
  <c r="K1281" i="21"/>
  <c r="T1281" i="21" s="1"/>
  <c r="K1321" i="21"/>
  <c r="T1321" i="21" s="1"/>
  <c r="K1370" i="21"/>
  <c r="T1370" i="21" s="1"/>
  <c r="K1293" i="21"/>
  <c r="T1293" i="21" s="1"/>
  <c r="K1405" i="21"/>
  <c r="T1405" i="21" s="1"/>
  <c r="K1467" i="21"/>
  <c r="T1467" i="21" s="1"/>
  <c r="K1404" i="21"/>
  <c r="T1404" i="21" s="1"/>
  <c r="K1521" i="21"/>
  <c r="T1521" i="21" s="1"/>
  <c r="K1468" i="21"/>
  <c r="T1468" i="21" s="1"/>
  <c r="K1420" i="21"/>
  <c r="T1420" i="21" s="1"/>
  <c r="K1526" i="21"/>
  <c r="T1526" i="21" s="1"/>
  <c r="K1546" i="21"/>
  <c r="T1546" i="21" s="1"/>
  <c r="K1562" i="21"/>
  <c r="T1562" i="21" s="1"/>
  <c r="K1742" i="21"/>
  <c r="T1742" i="21" s="1"/>
  <c r="K1592" i="21"/>
  <c r="T1592" i="21" s="1"/>
  <c r="K1691" i="21"/>
  <c r="T1691" i="21" s="1"/>
  <c r="K1904" i="21"/>
  <c r="T1904" i="21" s="1"/>
  <c r="K1840" i="21"/>
  <c r="T1840" i="21" s="1"/>
  <c r="K1733" i="21"/>
  <c r="T1733" i="21" s="1"/>
  <c r="K1808" i="21"/>
  <c r="T1808" i="21" s="1"/>
  <c r="K1802" i="21"/>
  <c r="T1802" i="21" s="1"/>
  <c r="K1985" i="21"/>
  <c r="T1985" i="21" s="1"/>
  <c r="K2675" i="21"/>
  <c r="K1150" i="21"/>
  <c r="T1150" i="21" s="1"/>
  <c r="K843" i="21"/>
  <c r="T843" i="21" s="1"/>
  <c r="K535" i="21"/>
  <c r="K992" i="21"/>
  <c r="T992" i="21" s="1"/>
  <c r="K792" i="21"/>
  <c r="T792" i="21" s="1"/>
  <c r="K647" i="21"/>
  <c r="K469" i="21"/>
  <c r="T469" i="21" s="1"/>
  <c r="K351" i="21"/>
  <c r="K263" i="21"/>
  <c r="K262" i="21"/>
  <c r="K471" i="21"/>
  <c r="T471" i="21" s="1"/>
  <c r="K599" i="21"/>
  <c r="T599" i="21" s="1"/>
  <c r="K299" i="21"/>
  <c r="T299" i="21" s="1"/>
  <c r="K460" i="21"/>
  <c r="T460" i="21" s="1"/>
  <c r="K658" i="21"/>
  <c r="K72" i="21"/>
  <c r="T72" i="21" s="1"/>
  <c r="J277" i="21"/>
  <c r="K277" i="21" s="1"/>
  <c r="K350" i="21"/>
  <c r="K228" i="21"/>
  <c r="J436" i="21"/>
  <c r="K436" i="21" s="1"/>
  <c r="K549" i="21"/>
  <c r="J230" i="21"/>
  <c r="K230" i="21" s="1"/>
  <c r="K291" i="21"/>
  <c r="K604" i="21"/>
  <c r="T604" i="21" s="1"/>
  <c r="J301" i="21"/>
  <c r="K301" i="21" s="1"/>
  <c r="J388" i="21"/>
  <c r="K388" i="21" s="1"/>
  <c r="K917" i="21"/>
  <c r="T917" i="21" s="1"/>
  <c r="K176" i="21"/>
  <c r="J304" i="21"/>
  <c r="K304" i="21" s="1"/>
  <c r="K344" i="21"/>
  <c r="K411" i="21"/>
  <c r="J715" i="21"/>
  <c r="K715" i="21" s="1"/>
  <c r="J685" i="21"/>
  <c r="K685" i="21" s="1"/>
  <c r="K190" i="21"/>
  <c r="K488" i="21"/>
  <c r="T488" i="21" s="1"/>
  <c r="K541" i="21"/>
  <c r="T541" i="21" s="1"/>
  <c r="K484" i="21"/>
  <c r="T484" i="21" s="1"/>
  <c r="K692" i="21"/>
  <c r="T692" i="21" s="1"/>
  <c r="K631" i="21"/>
  <c r="T631" i="21" s="1"/>
  <c r="K726" i="21"/>
  <c r="T726" i="21" s="1"/>
  <c r="K627" i="21"/>
  <c r="T627" i="21" s="1"/>
  <c r="J643" i="21"/>
  <c r="K643" i="21" s="1"/>
  <c r="K789" i="21"/>
  <c r="T789" i="21" s="1"/>
  <c r="K482" i="21"/>
  <c r="T482" i="21" s="1"/>
  <c r="K686" i="21"/>
  <c r="T686" i="21" s="1"/>
  <c r="K597" i="21"/>
  <c r="T597" i="21" s="1"/>
  <c r="K651" i="21"/>
  <c r="K943" i="21"/>
  <c r="T943" i="21" s="1"/>
  <c r="K716" i="21"/>
  <c r="T716" i="21" s="1"/>
  <c r="K957" i="21"/>
  <c r="T957" i="21" s="1"/>
  <c r="K798" i="21"/>
  <c r="T798" i="21" s="1"/>
  <c r="K929" i="21"/>
  <c r="T929" i="21" s="1"/>
  <c r="K718" i="21"/>
  <c r="T718" i="21" s="1"/>
  <c r="K805" i="21"/>
  <c r="T805" i="21" s="1"/>
  <c r="K937" i="21"/>
  <c r="T937" i="21" s="1"/>
  <c r="K909" i="21"/>
  <c r="T909" i="21" s="1"/>
  <c r="K1052" i="21"/>
  <c r="T1052" i="21" s="1"/>
  <c r="K1013" i="21"/>
  <c r="T1013" i="21" s="1"/>
  <c r="K1118" i="21"/>
  <c r="T1118" i="21" s="1"/>
  <c r="K995" i="21"/>
  <c r="T995" i="21" s="1"/>
  <c r="K961" i="21"/>
  <c r="T961" i="21" s="1"/>
  <c r="K980" i="21"/>
  <c r="T980" i="21" s="1"/>
  <c r="K1046" i="21"/>
  <c r="T1046" i="21" s="1"/>
  <c r="K1151" i="21"/>
  <c r="T1151" i="21" s="1"/>
  <c r="K1294" i="21"/>
  <c r="T1294" i="21" s="1"/>
  <c r="K1157" i="21"/>
  <c r="T1157" i="21" s="1"/>
  <c r="K1213" i="21"/>
  <c r="T1213" i="21" s="1"/>
  <c r="K1143" i="21"/>
  <c r="T1143" i="21" s="1"/>
  <c r="K1365" i="21"/>
  <c r="T1365" i="21" s="1"/>
  <c r="K1197" i="21"/>
  <c r="T1197" i="21" s="1"/>
  <c r="K1282" i="21"/>
  <c r="T1282" i="21" s="1"/>
  <c r="K1167" i="21"/>
  <c r="T1167" i="21" s="1"/>
  <c r="K1278" i="21"/>
  <c r="T1278" i="21" s="1"/>
  <c r="K1127" i="21"/>
  <c r="T1127" i="21" s="1"/>
  <c r="K1363" i="21"/>
  <c r="T1363" i="21" s="1"/>
  <c r="K1445" i="21"/>
  <c r="T1445" i="21" s="1"/>
  <c r="K1437" i="21"/>
  <c r="T1437" i="21" s="1"/>
  <c r="K1333" i="21"/>
  <c r="T1333" i="21" s="1"/>
  <c r="K1472" i="21"/>
  <c r="T1472" i="21" s="1"/>
  <c r="K1436" i="21"/>
  <c r="T1436" i="21" s="1"/>
  <c r="K1540" i="21"/>
  <c r="T1540" i="21" s="1"/>
  <c r="K1545" i="21"/>
  <c r="T1545" i="21" s="1"/>
  <c r="K1533" i="21"/>
  <c r="T1533" i="21" s="1"/>
  <c r="K1452" i="21"/>
  <c r="T1452" i="21" s="1"/>
  <c r="K1532" i="21"/>
  <c r="T1532" i="21" s="1"/>
  <c r="K1614" i="21"/>
  <c r="T1614" i="21" s="1"/>
  <c r="K1652" i="21"/>
  <c r="T1652" i="21" s="1"/>
  <c r="K1568" i="21"/>
  <c r="T1568" i="21" s="1"/>
  <c r="K1565" i="21"/>
  <c r="T1565" i="21" s="1"/>
  <c r="K1650" i="21"/>
  <c r="T1650" i="21" s="1"/>
  <c r="K1538" i="21"/>
  <c r="T1538" i="21" s="1"/>
  <c r="K1633" i="21"/>
  <c r="T1633" i="21" s="1"/>
  <c r="K1805" i="21"/>
  <c r="T1805" i="21" s="1"/>
  <c r="K1576" i="21"/>
  <c r="T1576" i="21" s="1"/>
  <c r="K1705" i="21"/>
  <c r="T1705" i="21" s="1"/>
  <c r="K1841" i="21"/>
  <c r="T1841" i="21" s="1"/>
  <c r="K1738" i="21"/>
  <c r="T1738" i="21" s="1"/>
  <c r="K1823" i="21"/>
  <c r="T1823" i="21" s="1"/>
  <c r="K1913" i="21"/>
  <c r="T1913" i="21" s="1"/>
  <c r="K1743" i="21"/>
  <c r="T1743" i="21" s="1"/>
  <c r="K1817" i="21"/>
  <c r="T1817" i="21" s="1"/>
  <c r="K1825" i="21"/>
  <c r="T1825" i="21" s="1"/>
  <c r="K2009" i="21"/>
  <c r="T2009" i="21" s="1"/>
  <c r="K2109" i="21"/>
  <c r="T2109" i="21" s="1"/>
  <c r="K2029" i="21"/>
  <c r="T2029" i="21" s="1"/>
  <c r="K2667" i="21"/>
  <c r="T2667" i="21" s="1"/>
  <c r="K2673" i="21"/>
  <c r="K2665" i="21"/>
  <c r="T2665" i="21" s="1"/>
  <c r="K1116" i="21"/>
  <c r="T1116" i="21" s="1"/>
  <c r="K944" i="21"/>
  <c r="T944" i="21" s="1"/>
  <c r="K660" i="21"/>
  <c r="K956" i="21"/>
  <c r="T956" i="21" s="1"/>
  <c r="K712" i="21"/>
  <c r="K533" i="21"/>
  <c r="K461" i="21"/>
  <c r="T461" i="21" s="1"/>
  <c r="K177" i="21"/>
  <c r="K984" i="21"/>
  <c r="T984" i="21" s="1"/>
  <c r="K257" i="21"/>
  <c r="K463" i="21"/>
  <c r="T463" i="21" s="1"/>
  <c r="K19" i="21"/>
  <c r="T19" i="21" s="1"/>
  <c r="K468" i="21"/>
  <c r="T468" i="21" s="1"/>
  <c r="K704" i="21"/>
  <c r="T704" i="21" s="1"/>
  <c r="K77" i="21"/>
  <c r="T77" i="21" s="1"/>
  <c r="K296" i="21"/>
  <c r="T296" i="21" s="1"/>
  <c r="K330" i="21"/>
  <c r="J352" i="21"/>
  <c r="K352" i="21" s="1"/>
  <c r="K458" i="21"/>
  <c r="T458" i="21" s="1"/>
  <c r="K551" i="21"/>
  <c r="T551" i="21" s="1"/>
  <c r="K629" i="21"/>
  <c r="T629" i="21" s="1"/>
  <c r="K149" i="21"/>
  <c r="J259" i="21"/>
  <c r="K259" i="21" s="1"/>
  <c r="K464" i="21"/>
  <c r="T464" i="21" s="1"/>
  <c r="K656" i="21"/>
  <c r="T656" i="21" s="1"/>
  <c r="J292" i="21"/>
  <c r="K292" i="21" s="1"/>
  <c r="K632" i="21"/>
  <c r="T632" i="21" s="1"/>
  <c r="K260" i="21"/>
  <c r="T260" i="21" s="1"/>
  <c r="K31" i="21"/>
  <c r="T31" i="21" s="1"/>
  <c r="K256" i="21"/>
  <c r="K306" i="21"/>
  <c r="K345" i="21"/>
  <c r="K415" i="21"/>
  <c r="J703" i="21"/>
  <c r="K703" i="21" s="1"/>
  <c r="J424" i="21"/>
  <c r="K424" i="21" s="1"/>
  <c r="K369" i="21"/>
  <c r="K630" i="21"/>
  <c r="T630" i="21" s="1"/>
  <c r="K633" i="21"/>
  <c r="T633" i="21" s="1"/>
  <c r="K699" i="21"/>
  <c r="K531" i="21"/>
  <c r="T531" i="21" s="1"/>
  <c r="J649" i="21"/>
  <c r="K649" i="21" s="1"/>
  <c r="K735" i="21"/>
  <c r="T735" i="21" s="1"/>
  <c r="K652" i="21"/>
  <c r="K623" i="21"/>
  <c r="T623" i="21" s="1"/>
  <c r="K723" i="21"/>
  <c r="T723" i="21" s="1"/>
  <c r="K462" i="21"/>
  <c r="T462" i="21" s="1"/>
  <c r="K600" i="21"/>
  <c r="T600" i="21" s="1"/>
  <c r="J655" i="21"/>
  <c r="K655" i="21" s="1"/>
  <c r="K800" i="21"/>
  <c r="T800" i="21" s="1"/>
  <c r="K847" i="21"/>
  <c r="T847" i="21" s="1"/>
  <c r="K722" i="21"/>
  <c r="T722" i="21" s="1"/>
  <c r="K841" i="21"/>
  <c r="T841" i="21" s="1"/>
  <c r="K933" i="21"/>
  <c r="T933" i="21" s="1"/>
  <c r="K905" i="21"/>
  <c r="T905" i="21" s="1"/>
  <c r="K795" i="21"/>
  <c r="T795" i="21" s="1"/>
  <c r="K913" i="21"/>
  <c r="T913" i="21" s="1"/>
  <c r="K1045" i="21"/>
  <c r="T1045" i="21" s="1"/>
  <c r="K989" i="21"/>
  <c r="T989" i="21" s="1"/>
  <c r="K1043" i="21"/>
  <c r="T1043" i="21" s="1"/>
  <c r="K1077" i="21"/>
  <c r="T1077" i="21" s="1"/>
  <c r="K1245" i="21"/>
  <c r="T1245" i="21" s="1"/>
  <c r="K975" i="21"/>
  <c r="T975" i="21" s="1"/>
  <c r="K1006" i="21"/>
  <c r="T1006" i="21" s="1"/>
  <c r="K1044" i="21"/>
  <c r="T1044" i="21" s="1"/>
  <c r="K1085" i="21"/>
  <c r="T1085" i="21" s="1"/>
  <c r="K973" i="21"/>
  <c r="T973" i="21" s="1"/>
  <c r="K966" i="21"/>
  <c r="T966" i="21" s="1"/>
  <c r="K979" i="21"/>
  <c r="T979" i="21" s="1"/>
  <c r="K1458" i="21"/>
  <c r="T1458" i="21" s="1"/>
  <c r="K985" i="21"/>
  <c r="T985" i="21" s="1"/>
  <c r="K1298" i="21"/>
  <c r="T1298" i="21" s="1"/>
  <c r="K1159" i="21"/>
  <c r="T1159" i="21" s="1"/>
  <c r="K1119" i="21"/>
  <c r="T1119" i="21" s="1"/>
  <c r="K1231" i="21"/>
  <c r="T1231" i="21" s="1"/>
  <c r="K1442" i="21"/>
  <c r="T1442" i="21" s="1"/>
  <c r="K1315" i="21"/>
  <c r="T1315" i="21" s="1"/>
  <c r="K1377" i="21"/>
  <c r="T1377" i="21" s="1"/>
  <c r="K1349" i="21"/>
  <c r="T1349" i="21" s="1"/>
  <c r="K1419" i="21"/>
  <c r="T1419" i="21" s="1"/>
  <c r="K1361" i="21"/>
  <c r="T1361" i="21" s="1"/>
  <c r="K1501" i="21"/>
  <c r="T1501" i="21" s="1"/>
  <c r="K1329" i="21"/>
  <c r="T1329" i="21" s="1"/>
  <c r="K1387" i="21"/>
  <c r="T1387" i="21" s="1"/>
  <c r="K1297" i="21"/>
  <c r="T1297" i="21" s="1"/>
  <c r="K1378" i="21"/>
  <c r="T1378" i="21" s="1"/>
  <c r="K1460" i="21"/>
  <c r="T1460" i="21" s="1"/>
  <c r="K1542" i="21"/>
  <c r="T1542" i="21" s="1"/>
  <c r="K1493" i="21"/>
  <c r="T1493" i="21" s="1"/>
  <c r="K1656" i="21"/>
  <c r="T1656" i="21" s="1"/>
  <c r="K1569" i="21"/>
  <c r="T1569" i="21" s="1"/>
  <c r="K1548" i="21"/>
  <c r="T1548" i="21" s="1"/>
  <c r="K1554" i="21"/>
  <c r="T1554" i="21" s="1"/>
  <c r="K1524" i="21"/>
  <c r="T1524" i="21" s="1"/>
  <c r="K1608" i="21"/>
  <c r="T1608" i="21" s="1"/>
  <c r="K1695" i="21"/>
  <c r="T1695" i="21" s="1"/>
  <c r="K1787" i="21"/>
  <c r="T1787" i="21" s="1"/>
  <c r="K1832" i="21"/>
  <c r="T1832" i="21" s="1"/>
  <c r="K1748" i="21"/>
  <c r="T1748" i="21" s="1"/>
  <c r="K1794" i="21"/>
  <c r="T1794" i="21" s="1"/>
  <c r="K1864" i="21"/>
  <c r="T1864" i="21" s="1"/>
  <c r="K1706" i="21"/>
  <c r="T1706" i="21" s="1"/>
  <c r="K2123" i="21"/>
  <c r="T2123" i="21" s="1"/>
  <c r="K2041" i="21"/>
  <c r="T2041" i="21" s="1"/>
  <c r="K2037" i="21"/>
  <c r="T2037" i="21" s="1"/>
  <c r="K2085" i="21"/>
  <c r="T2085" i="21" s="1"/>
  <c r="K2192" i="21"/>
  <c r="T2192" i="21" s="1"/>
  <c r="K2504" i="21"/>
  <c r="T2504" i="21" s="1"/>
  <c r="K2668" i="21"/>
  <c r="K1064" i="21"/>
  <c r="T1064" i="21" s="1"/>
  <c r="K880" i="21"/>
  <c r="T880" i="21" s="1"/>
  <c r="K435" i="21"/>
  <c r="K706" i="21"/>
  <c r="K687" i="21"/>
  <c r="K455" i="21"/>
  <c r="K348" i="21"/>
  <c r="K860" i="21"/>
  <c r="T860" i="21" s="1"/>
  <c r="K530" i="21"/>
  <c r="T530" i="21" s="1"/>
  <c r="K197" i="21"/>
  <c r="K416" i="21"/>
  <c r="K37" i="21"/>
  <c r="T37" i="21" s="1"/>
  <c r="K319" i="21"/>
  <c r="K486" i="21"/>
  <c r="T486" i="21" s="1"/>
  <c r="K124" i="21"/>
  <c r="K297" i="21"/>
  <c r="K331" i="21"/>
  <c r="K355" i="21"/>
  <c r="K459" i="21"/>
  <c r="T459" i="21" s="1"/>
  <c r="K720" i="21"/>
  <c r="T720" i="21" s="1"/>
  <c r="K126" i="21"/>
  <c r="K361" i="21"/>
  <c r="K187" i="21"/>
  <c r="T187" i="21" s="1"/>
  <c r="K261" i="21"/>
  <c r="K337" i="21"/>
  <c r="K39" i="21"/>
  <c r="T39" i="21" s="1"/>
  <c r="K308" i="21"/>
  <c r="K367" i="21"/>
  <c r="J661" i="21"/>
  <c r="K661" i="21" s="1"/>
  <c r="K143" i="21"/>
  <c r="K284" i="21"/>
  <c r="T284" i="21" s="1"/>
  <c r="K637" i="21"/>
  <c r="T637" i="21" s="1"/>
  <c r="J709" i="21"/>
  <c r="K709" i="21" s="1"/>
  <c r="K949" i="21"/>
  <c r="T949" i="21" s="1"/>
  <c r="K740" i="21"/>
  <c r="T740" i="21" s="1"/>
  <c r="J697" i="21"/>
  <c r="K697" i="21" s="1"/>
  <c r="K490" i="21"/>
  <c r="T490" i="21" s="1"/>
  <c r="K470" i="21"/>
  <c r="T470" i="21" s="1"/>
  <c r="K889" i="21"/>
  <c r="T889" i="21" s="1"/>
  <c r="K1101" i="21"/>
  <c r="T1101" i="21" s="1"/>
  <c r="K1124" i="21"/>
  <c r="T1124" i="21" s="1"/>
  <c r="K802" i="21"/>
  <c r="T802" i="21" s="1"/>
  <c r="K853" i="21"/>
  <c r="T853" i="21" s="1"/>
  <c r="K887" i="21"/>
  <c r="T887" i="21" s="1"/>
  <c r="K731" i="21"/>
  <c r="T731" i="21" s="1"/>
  <c r="K785" i="21"/>
  <c r="T785" i="21" s="1"/>
  <c r="K901" i="21"/>
  <c r="T901" i="21" s="1"/>
  <c r="K863" i="21"/>
  <c r="T863" i="21" s="1"/>
  <c r="K881" i="21"/>
  <c r="T881" i="21" s="1"/>
  <c r="K1023" i="21"/>
  <c r="T1023" i="21" s="1"/>
  <c r="K963" i="21"/>
  <c r="T963" i="21" s="1"/>
  <c r="K997" i="21"/>
  <c r="T997" i="21" s="1"/>
  <c r="K1055" i="21"/>
  <c r="T1055" i="21" s="1"/>
  <c r="K1014" i="21"/>
  <c r="T1014" i="21" s="1"/>
  <c r="K1019" i="21"/>
  <c r="T1019" i="21" s="1"/>
  <c r="K1140" i="21"/>
  <c r="T1140" i="21" s="1"/>
  <c r="K974" i="21"/>
  <c r="T974" i="21" s="1"/>
  <c r="K1099" i="21"/>
  <c r="T1099" i="21" s="1"/>
  <c r="K1462" i="21"/>
  <c r="T1462" i="21" s="1"/>
  <c r="K1070" i="21"/>
  <c r="T1070" i="21" s="1"/>
  <c r="K1223" i="21"/>
  <c r="T1223" i="21" s="1"/>
  <c r="K1366" i="21"/>
  <c r="T1366" i="21" s="1"/>
  <c r="K1163" i="21"/>
  <c r="T1163" i="21" s="1"/>
  <c r="K1408" i="21"/>
  <c r="T1408" i="21" s="1"/>
  <c r="K1155" i="21"/>
  <c r="T1155" i="21" s="1"/>
  <c r="K1237" i="21"/>
  <c r="T1237" i="21" s="1"/>
  <c r="K1093" i="21"/>
  <c r="T1093" i="21" s="1"/>
  <c r="K1179" i="21"/>
  <c r="T1179" i="21" s="1"/>
  <c r="K1323" i="21"/>
  <c r="T1323" i="21" s="1"/>
  <c r="K1147" i="21"/>
  <c r="T1147" i="21" s="1"/>
  <c r="K1199" i="21"/>
  <c r="T1199" i="21" s="1"/>
  <c r="K1426" i="21"/>
  <c r="T1426" i="21" s="1"/>
  <c r="K1644" i="21"/>
  <c r="T1644" i="21" s="1"/>
  <c r="K1556" i="21"/>
  <c r="T1556" i="21" s="1"/>
  <c r="K1341" i="21"/>
  <c r="T1341" i="21" s="1"/>
  <c r="K1394" i="21"/>
  <c r="T1394" i="21" s="1"/>
  <c r="K1453" i="21"/>
  <c r="T1453" i="21" s="1"/>
  <c r="K1385" i="21"/>
  <c r="T1385" i="21" s="1"/>
  <c r="K1396" i="21"/>
  <c r="T1396" i="21" s="1"/>
  <c r="K1515" i="21"/>
  <c r="T1515" i="21" s="1"/>
  <c r="K1522" i="21"/>
  <c r="T1522" i="21" s="1"/>
  <c r="K1494" i="21"/>
  <c r="T1494" i="21" s="1"/>
  <c r="K1492" i="21"/>
  <c r="T1492" i="21" s="1"/>
  <c r="K1474" i="21"/>
  <c r="T1474" i="21" s="1"/>
  <c r="K1811" i="21"/>
  <c r="T1811" i="21" s="1"/>
  <c r="K1620" i="21"/>
  <c r="T1620" i="21" s="1"/>
  <c r="K1588" i="21"/>
  <c r="T1588" i="21" s="1"/>
  <c r="K1622" i="21"/>
  <c r="T1622" i="21" s="1"/>
  <c r="K1640" i="21"/>
  <c r="T1640" i="21" s="1"/>
  <c r="K1798" i="21"/>
  <c r="T1798" i="21" s="1"/>
  <c r="K1941" i="21"/>
  <c r="T1941" i="21" s="1"/>
  <c r="K1696" i="21"/>
  <c r="T1696" i="21" s="1"/>
  <c r="K1790" i="21"/>
  <c r="T1790" i="21" s="1"/>
  <c r="K1703" i="21"/>
  <c r="T1703" i="21" s="1"/>
  <c r="K1744" i="21"/>
  <c r="T1744" i="21" s="1"/>
  <c r="K1732" i="21"/>
  <c r="T1732" i="21" s="1"/>
  <c r="K1600" i="21"/>
  <c r="T1600" i="21" s="1"/>
  <c r="K1793" i="21"/>
  <c r="T1793" i="21" s="1"/>
  <c r="K1977" i="21"/>
  <c r="T1977" i="21" s="1"/>
  <c r="K1909" i="21"/>
  <c r="T1909" i="21" s="1"/>
  <c r="K2069" i="21"/>
  <c r="T2069" i="21" s="1"/>
  <c r="K1034" i="21"/>
  <c r="T1034" i="21" s="1"/>
  <c r="K1304" i="21"/>
  <c r="T1304" i="21" s="1"/>
  <c r="K868" i="21"/>
  <c r="T868" i="21" s="1"/>
  <c r="K671" i="21"/>
  <c r="K1008" i="21"/>
  <c r="T1008" i="21" s="1"/>
  <c r="K452" i="21"/>
  <c r="K336" i="21"/>
  <c r="K480" i="21"/>
  <c r="K529" i="21"/>
  <c r="T529" i="21" s="1"/>
  <c r="K194" i="21"/>
  <c r="K391" i="21"/>
  <c r="K134" i="21"/>
  <c r="T134" i="21" s="1"/>
  <c r="K325" i="21"/>
  <c r="K487" i="21"/>
  <c r="T487" i="21" s="1"/>
  <c r="K152" i="21"/>
  <c r="J298" i="21"/>
  <c r="K298" i="21" s="1"/>
  <c r="K332" i="21"/>
  <c r="J376" i="21"/>
  <c r="K376" i="21" s="1"/>
  <c r="K466" i="21"/>
  <c r="T466" i="21" s="1"/>
  <c r="K585" i="21"/>
  <c r="T585" i="21" s="1"/>
  <c r="K268" i="21"/>
  <c r="K485" i="21"/>
  <c r="T485" i="21" s="1"/>
  <c r="K721" i="21"/>
  <c r="T721" i="21" s="1"/>
  <c r="K36" i="21"/>
  <c r="T36" i="21" s="1"/>
  <c r="J358" i="21"/>
  <c r="K358" i="21" s="1"/>
  <c r="K477" i="21"/>
  <c r="T477" i="21" s="1"/>
  <c r="K74" i="21"/>
  <c r="T74" i="21" s="1"/>
  <c r="J310" i="21"/>
  <c r="K310" i="21" s="1"/>
  <c r="K368" i="21"/>
  <c r="K552" i="21"/>
  <c r="T552" i="21" s="1"/>
  <c r="J364" i="21"/>
  <c r="K364" i="21" s="1"/>
  <c r="K285" i="21"/>
  <c r="J400" i="21"/>
  <c r="K400" i="21" s="1"/>
  <c r="N400" i="21" s="1"/>
  <c r="K622" i="21"/>
  <c r="T622" i="21" s="1"/>
  <c r="K674" i="21"/>
  <c r="T674" i="21" s="1"/>
  <c r="K641" i="21"/>
  <c r="T641" i="21" s="1"/>
  <c r="K717" i="21"/>
  <c r="T717" i="21" s="1"/>
  <c r="K657" i="21"/>
  <c r="K592" i="21"/>
  <c r="K719" i="21"/>
  <c r="T719" i="21" s="1"/>
  <c r="K855" i="21"/>
  <c r="T855" i="21" s="1"/>
  <c r="K492" i="21"/>
  <c r="T492" i="21" s="1"/>
  <c r="K483" i="21"/>
  <c r="T483" i="21" s="1"/>
  <c r="K693" i="21"/>
  <c r="K739" i="21"/>
  <c r="T739" i="21" s="1"/>
  <c r="K849" i="21"/>
  <c r="T849" i="21" s="1"/>
  <c r="K911" i="21"/>
  <c r="T911" i="21" s="1"/>
  <c r="K953" i="21"/>
  <c r="T953" i="21" s="1"/>
  <c r="K804" i="21"/>
  <c r="T804" i="21" s="1"/>
  <c r="K897" i="21"/>
  <c r="T897" i="21" s="1"/>
  <c r="K791" i="21"/>
  <c r="T791" i="21" s="1"/>
  <c r="K869" i="21"/>
  <c r="T869" i="21" s="1"/>
  <c r="K935" i="21"/>
  <c r="T935" i="21" s="1"/>
  <c r="K1061" i="21"/>
  <c r="T1061" i="21" s="1"/>
  <c r="K964" i="21"/>
  <c r="T964" i="21" s="1"/>
  <c r="K1069" i="21"/>
  <c r="T1069" i="21" s="1"/>
  <c r="K1021" i="21"/>
  <c r="T1021" i="21" s="1"/>
  <c r="K1059" i="21"/>
  <c r="T1059" i="21" s="1"/>
  <c r="K1097" i="21"/>
  <c r="T1097" i="21" s="1"/>
  <c r="K982" i="21"/>
  <c r="T982" i="21" s="1"/>
  <c r="K1022" i="21"/>
  <c r="T1022" i="21" s="1"/>
  <c r="K1060" i="21"/>
  <c r="T1060" i="21" s="1"/>
  <c r="K1100" i="21"/>
  <c r="T1100" i="21" s="1"/>
  <c r="K1239" i="21"/>
  <c r="T1239" i="21" s="1"/>
  <c r="K988" i="21"/>
  <c r="T988" i="21" s="1"/>
  <c r="K1105" i="21"/>
  <c r="T1105" i="21" s="1"/>
  <c r="K959" i="21"/>
  <c r="T959" i="21" s="1"/>
  <c r="K1106" i="21"/>
  <c r="T1106" i="21" s="1"/>
  <c r="K1183" i="21"/>
  <c r="T1183" i="21" s="1"/>
  <c r="K1229" i="21"/>
  <c r="T1229" i="21" s="1"/>
  <c r="K1389" i="21"/>
  <c r="T1389" i="21" s="1"/>
  <c r="K1451" i="21"/>
  <c r="T1451" i="21" s="1"/>
  <c r="K1171" i="21"/>
  <c r="T1171" i="21" s="1"/>
  <c r="K1125" i="21"/>
  <c r="T1125" i="21" s="1"/>
  <c r="K1215" i="21"/>
  <c r="T1215" i="21" s="1"/>
  <c r="K1165" i="21"/>
  <c r="T1165" i="21" s="1"/>
  <c r="K1205" i="21"/>
  <c r="T1205" i="21" s="1"/>
  <c r="K1273" i="21"/>
  <c r="T1273" i="21" s="1"/>
  <c r="K1317" i="21"/>
  <c r="T1317" i="21" s="1"/>
  <c r="K1430" i="21"/>
  <c r="T1430" i="21" s="1"/>
  <c r="K1398" i="21"/>
  <c r="T1398" i="21" s="1"/>
  <c r="K1345" i="21"/>
  <c r="T1345" i="21" s="1"/>
  <c r="K1417" i="21"/>
  <c r="T1417" i="21" s="1"/>
  <c r="K1421" i="21"/>
  <c r="T1421" i="21" s="1"/>
  <c r="K1277" i="21"/>
  <c r="T1277" i="21" s="1"/>
  <c r="K1518" i="21"/>
  <c r="T1518" i="21" s="1"/>
  <c r="K1514" i="21"/>
  <c r="T1514" i="21" s="1"/>
  <c r="K1466" i="21"/>
  <c r="T1466" i="21" s="1"/>
  <c r="K1412" i="21"/>
  <c r="T1412" i="21" s="1"/>
  <c r="K1552" i="21"/>
  <c r="T1552" i="21" s="1"/>
  <c r="K1476" i="21"/>
  <c r="T1476" i="21" s="1"/>
  <c r="K1572" i="21"/>
  <c r="T1572" i="21" s="1"/>
  <c r="K1625" i="21"/>
  <c r="T1625" i="21" s="1"/>
  <c r="K1846" i="21"/>
  <c r="T1846" i="21" s="1"/>
  <c r="K1594" i="21"/>
  <c r="T1594" i="21" s="1"/>
  <c r="K1629" i="21"/>
  <c r="T1629" i="21" s="1"/>
  <c r="K1814" i="21"/>
  <c r="T1814" i="21" s="1"/>
  <c r="K1516" i="21"/>
  <c r="T1516" i="21" s="1"/>
  <c r="K1734" i="21"/>
  <c r="T1734" i="21" s="1"/>
  <c r="K1584" i="21"/>
  <c r="T1584" i="21" s="1"/>
  <c r="K1698" i="21"/>
  <c r="T1698" i="21" s="1"/>
  <c r="K1749" i="21"/>
  <c r="T1749" i="21" s="1"/>
  <c r="K1632" i="21"/>
  <c r="T1632" i="21" s="1"/>
  <c r="K1981" i="21"/>
  <c r="T1981" i="21" s="1"/>
  <c r="K1845" i="21"/>
  <c r="T1845" i="21" s="1"/>
  <c r="K1900" i="21"/>
  <c r="T1900" i="21" s="1"/>
  <c r="K1993" i="21"/>
  <c r="T1993" i="21" s="1"/>
  <c r="K2113" i="21"/>
  <c r="T2113" i="21" s="1"/>
  <c r="K2077" i="21"/>
  <c r="T2077" i="21" s="1"/>
  <c r="K2105" i="21"/>
  <c r="T2105" i="21" s="1"/>
  <c r="K958" i="21"/>
  <c r="T958" i="21" s="1"/>
  <c r="K976" i="21"/>
  <c r="T976" i="21" s="1"/>
  <c r="K728" i="21"/>
  <c r="T728" i="21" s="1"/>
  <c r="K659" i="21"/>
  <c r="K916" i="21"/>
  <c r="T916" i="21" s="1"/>
  <c r="K398" i="21"/>
  <c r="K327" i="21"/>
  <c r="K444" i="21"/>
  <c r="K362" i="21"/>
  <c r="K191" i="21"/>
  <c r="K366" i="21"/>
  <c r="K137" i="21"/>
  <c r="T137" i="21" s="1"/>
  <c r="K181" i="21"/>
  <c r="K333" i="21"/>
  <c r="K396" i="21"/>
  <c r="K467" i="21"/>
  <c r="T467" i="21" s="1"/>
  <c r="K662" i="21"/>
  <c r="T662" i="21" s="1"/>
  <c r="J269" i="21"/>
  <c r="K269" i="21" s="1"/>
  <c r="K374" i="21"/>
  <c r="K725" i="21"/>
  <c r="T725" i="21" s="1"/>
  <c r="K71" i="21"/>
  <c r="T71" i="21" s="1"/>
  <c r="K79" i="21"/>
  <c r="T79" i="21" s="1"/>
  <c r="K313" i="21"/>
  <c r="J370" i="21"/>
  <c r="K370" i="21" s="1"/>
  <c r="K489" i="21"/>
  <c r="T489" i="21" s="1"/>
  <c r="J316" i="21"/>
  <c r="K316" i="21" s="1"/>
  <c r="J286" i="21"/>
  <c r="K286" i="21" s="1"/>
  <c r="K680" i="21"/>
  <c r="T680" i="21" s="1"/>
  <c r="K646" i="21"/>
  <c r="K602" i="21"/>
  <c r="T602" i="21" s="1"/>
  <c r="K861" i="21"/>
  <c r="T861" i="21" s="1"/>
  <c r="K494" i="21"/>
  <c r="T494" i="21" s="1"/>
  <c r="K741" i="21"/>
  <c r="T741" i="21" s="1"/>
  <c r="K921" i="21"/>
  <c r="T921" i="21" s="1"/>
  <c r="K806" i="21"/>
  <c r="T806" i="21" s="1"/>
  <c r="K951" i="21"/>
  <c r="T951" i="21" s="1"/>
  <c r="K797" i="21"/>
  <c r="T797" i="21" s="1"/>
  <c r="K845" i="21"/>
  <c r="T845" i="21" s="1"/>
  <c r="K941" i="21"/>
  <c r="T941" i="21" s="1"/>
  <c r="K945" i="21"/>
  <c r="T945" i="21" s="1"/>
  <c r="K969" i="21"/>
  <c r="T969" i="21" s="1"/>
  <c r="K1031" i="21"/>
  <c r="T1031" i="21" s="1"/>
  <c r="K1030" i="21"/>
  <c r="T1030" i="21" s="1"/>
  <c r="K1063" i="21"/>
  <c r="T1063" i="21" s="1"/>
  <c r="K981" i="21"/>
  <c r="T981" i="21" s="1"/>
  <c r="K1003" i="21"/>
  <c r="T1003" i="21" s="1"/>
  <c r="K1027" i="21"/>
  <c r="T1027" i="21" s="1"/>
  <c r="K1103" i="21"/>
  <c r="T1103" i="21" s="1"/>
  <c r="K1036" i="21"/>
  <c r="T1036" i="21" s="1"/>
  <c r="K1076" i="21"/>
  <c r="T1076" i="21" s="1"/>
  <c r="K1129" i="21"/>
  <c r="T1129" i="21" s="1"/>
  <c r="K1109" i="21"/>
  <c r="T1109" i="21" s="1"/>
  <c r="K1314" i="21"/>
  <c r="T1314" i="21" s="1"/>
  <c r="K1117" i="21"/>
  <c r="T1117" i="21" s="1"/>
  <c r="K1173" i="21"/>
  <c r="T1173" i="21" s="1"/>
  <c r="K1181" i="21"/>
  <c r="T1181" i="21" s="1"/>
  <c r="K1187" i="21"/>
  <c r="T1187" i="21" s="1"/>
  <c r="K1221" i="21"/>
  <c r="T1221" i="21" s="1"/>
  <c r="K1175" i="21"/>
  <c r="T1175" i="21" s="1"/>
  <c r="K1326" i="21"/>
  <c r="T1326" i="21" s="1"/>
  <c r="K1285" i="21"/>
  <c r="T1285" i="21" s="1"/>
  <c r="K1373" i="21"/>
  <c r="T1373" i="21" s="1"/>
  <c r="K1449" i="21"/>
  <c r="T1449" i="21" s="1"/>
  <c r="K1561" i="21"/>
  <c r="T1561" i="21" s="1"/>
  <c r="K1490" i="21"/>
  <c r="T1490" i="21" s="1"/>
  <c r="K1464" i="21"/>
  <c r="T1464" i="21" s="1"/>
  <c r="K1433" i="21"/>
  <c r="T1433" i="21" s="1"/>
  <c r="K1446" i="21"/>
  <c r="T1446" i="21" s="1"/>
  <c r="K1547" i="21"/>
  <c r="T1547" i="21" s="1"/>
  <c r="K1484" i="21"/>
  <c r="T1484" i="21" s="1"/>
  <c r="K1621" i="21"/>
  <c r="T1621" i="21" s="1"/>
  <c r="K1482" i="21"/>
  <c r="T1482" i="21" s="1"/>
  <c r="K1529" i="21"/>
  <c r="T1529" i="21" s="1"/>
  <c r="K1444" i="21"/>
  <c r="T1444" i="21" s="1"/>
  <c r="K1583" i="21"/>
  <c r="T1583" i="21" s="1"/>
  <c r="K1580" i="21"/>
  <c r="T1580" i="21" s="1"/>
  <c r="K1508" i="21"/>
  <c r="T1508" i="21" s="1"/>
  <c r="K1612" i="21"/>
  <c r="T1612" i="21" s="1"/>
  <c r="K1639" i="21"/>
  <c r="T1639" i="21" s="1"/>
  <c r="K1597" i="21"/>
  <c r="T1597" i="21" s="1"/>
  <c r="K1626" i="21"/>
  <c r="T1626" i="21" s="1"/>
  <c r="K1616" i="21"/>
  <c r="T1616" i="21" s="1"/>
  <c r="K1704" i="21"/>
  <c r="T1704" i="21" s="1"/>
  <c r="K1624" i="21"/>
  <c r="T1624" i="21" s="1"/>
  <c r="K1737" i="21"/>
  <c r="T1737" i="21" s="1"/>
  <c r="K1989" i="21"/>
  <c r="T1989" i="21" s="1"/>
  <c r="K1929" i="21"/>
  <c r="T1929" i="21" s="1"/>
  <c r="K2118" i="21"/>
  <c r="T2118" i="21" s="1"/>
  <c r="K2081" i="21"/>
  <c r="T2081" i="21" s="1"/>
  <c r="K2013" i="21"/>
  <c r="T2013" i="21" s="1"/>
  <c r="K1792" i="21"/>
  <c r="T1792" i="21" s="1"/>
  <c r="K1607" i="21"/>
  <c r="T1607" i="21" s="1"/>
  <c r="K1797" i="21"/>
  <c r="T1797" i="21" s="1"/>
  <c r="K1648" i="21"/>
  <c r="T1648" i="21" s="1"/>
  <c r="K1801" i="21"/>
  <c r="T1801" i="21" s="1"/>
  <c r="K1860" i="21"/>
  <c r="T1860" i="21" s="1"/>
  <c r="K2017" i="21"/>
  <c r="T2017" i="21" s="1"/>
  <c r="K2492" i="21"/>
  <c r="T2492" i="21" s="1"/>
  <c r="K1837" i="21"/>
  <c r="T1837" i="21" s="1"/>
  <c r="K2093" i="21"/>
  <c r="T2093" i="21" s="1"/>
  <c r="K2005" i="21"/>
  <c r="T2005" i="21" s="1"/>
  <c r="K2021" i="21"/>
  <c r="T2021" i="21" s="1"/>
  <c r="K2234" i="21"/>
  <c r="T2234" i="21" s="1"/>
  <c r="K2552" i="21"/>
  <c r="T2552" i="21" s="1"/>
  <c r="K2282" i="21"/>
  <c r="T2282" i="21" s="1"/>
  <c r="K645" i="21"/>
  <c r="K2228" i="21"/>
  <c r="T2228" i="21" s="1"/>
  <c r="K547" i="21"/>
  <c r="T547" i="21" s="1"/>
  <c r="K347" i="21"/>
  <c r="T347" i="21" s="1"/>
  <c r="K2462" i="21"/>
  <c r="T2462" i="21" s="1"/>
  <c r="K1997" i="21"/>
  <c r="T1997" i="21" s="1"/>
  <c r="K2510" i="21"/>
  <c r="T2510" i="21" s="1"/>
  <c r="K2306" i="21"/>
  <c r="T2306" i="21" s="1"/>
  <c r="K613" i="21"/>
  <c r="T613" i="21" s="1"/>
  <c r="K2276" i="21"/>
  <c r="T2276" i="21" s="1"/>
  <c r="K171" i="21"/>
  <c r="T171" i="21" s="1"/>
  <c r="K123" i="21"/>
  <c r="T123" i="21" s="1"/>
  <c r="K537" i="21"/>
  <c r="T537" i="21" s="1"/>
  <c r="K163" i="21"/>
  <c r="T163" i="21" s="1"/>
  <c r="K2033" i="21"/>
  <c r="T2033" i="21" s="1"/>
  <c r="K1723" i="21"/>
  <c r="T1723" i="21" s="1"/>
  <c r="K2516" i="21"/>
  <c r="T2516" i="21" s="1"/>
  <c r="K1917" i="21"/>
  <c r="T1917" i="21" s="1"/>
  <c r="K1949" i="21"/>
  <c r="T1949" i="21" s="1"/>
  <c r="K1853" i="21"/>
  <c r="T1853" i="21" s="1"/>
  <c r="K377" i="21"/>
  <c r="T377" i="21" s="1"/>
  <c r="K2426" i="21"/>
  <c r="T2426" i="21" s="1"/>
  <c r="K2025" i="21"/>
  <c r="T2025" i="21" s="1"/>
  <c r="K650" i="21"/>
  <c r="T650" i="21" s="1"/>
  <c r="K1925" i="21"/>
  <c r="T1925" i="21" s="1"/>
  <c r="K532" i="21"/>
  <c r="T532" i="21" s="1"/>
  <c r="K2474" i="21"/>
  <c r="T2474" i="21" s="1"/>
  <c r="K2402" i="21"/>
  <c r="T2402" i="21" s="1"/>
  <c r="K317" i="21"/>
  <c r="T317" i="21" s="1"/>
  <c r="K2360" i="21"/>
  <c r="T2360" i="21" s="1"/>
  <c r="K2065" i="21"/>
  <c r="T2065" i="21" s="1"/>
  <c r="K2438" i="21"/>
  <c r="T2438" i="21" s="1"/>
  <c r="K270" i="21"/>
  <c r="T270" i="21" s="1"/>
  <c r="K360" i="21"/>
  <c r="K2486" i="21"/>
  <c r="T2486" i="21" s="1"/>
  <c r="K359" i="21"/>
  <c r="T359" i="21" s="1"/>
  <c r="K2180" i="21"/>
  <c r="T2180" i="21" s="1"/>
  <c r="K1699" i="21"/>
  <c r="T1699" i="21" s="1"/>
  <c r="K2342" i="21"/>
  <c r="T2342" i="21" s="1"/>
  <c r="K167" i="21"/>
  <c r="T167" i="21" s="1"/>
  <c r="K193" i="21"/>
  <c r="T193" i="21" s="1"/>
  <c r="K2468" i="21"/>
  <c r="T2468" i="21" s="1"/>
  <c r="K2312" i="21"/>
  <c r="T2312" i="21" s="1"/>
  <c r="K2001" i="21"/>
  <c r="T2001" i="21" s="1"/>
  <c r="K419" i="21"/>
  <c r="T419" i="21" s="1"/>
  <c r="K2528" i="21"/>
  <c r="T2528" i="21" s="1"/>
  <c r="K617" i="21"/>
  <c r="T617" i="21" s="1"/>
  <c r="K2396" i="21"/>
  <c r="T2396" i="21" s="1"/>
  <c r="K2420" i="21"/>
  <c r="T2420" i="21" s="1"/>
  <c r="K1856" i="21"/>
  <c r="T1856" i="21" s="1"/>
  <c r="K383" i="21"/>
  <c r="T383" i="21" s="1"/>
  <c r="K2204" i="21"/>
  <c r="T2204" i="21" s="1"/>
  <c r="K431" i="21"/>
  <c r="T431" i="21" s="1"/>
  <c r="K196" i="21"/>
  <c r="T196" i="21" s="1"/>
  <c r="K2143" i="21"/>
  <c r="T2143" i="21" s="1"/>
  <c r="K2198" i="21"/>
  <c r="T2198" i="21" s="1"/>
  <c r="K1715" i="21"/>
  <c r="T1715" i="21" s="1"/>
  <c r="K1921" i="21"/>
  <c r="T1921" i="21" s="1"/>
  <c r="K389" i="21"/>
  <c r="K1961" i="21"/>
  <c r="T1961" i="21" s="1"/>
  <c r="K329" i="21"/>
  <c r="T329" i="21" s="1"/>
  <c r="K1833" i="21"/>
  <c r="T1833" i="21" s="1"/>
  <c r="K2168" i="21"/>
  <c r="T2168" i="21" s="1"/>
  <c r="K2498" i="21"/>
  <c r="T2498" i="21" s="1"/>
  <c r="K311" i="21"/>
  <c r="T311" i="21" s="1"/>
  <c r="K2258" i="21"/>
  <c r="T2258" i="21" s="1"/>
  <c r="K2414" i="21"/>
  <c r="T2414" i="21" s="1"/>
  <c r="K2336" i="21"/>
  <c r="T2336" i="21" s="1"/>
  <c r="K2450" i="21"/>
  <c r="T2450" i="21" s="1"/>
  <c r="K335" i="21"/>
  <c r="T335" i="21" s="1"/>
  <c r="K371" i="21"/>
  <c r="T371" i="21" s="1"/>
  <c r="K305" i="21"/>
  <c r="T305" i="21" s="1"/>
  <c r="K1965" i="21"/>
  <c r="T1965" i="21" s="1"/>
  <c r="K147" i="21"/>
  <c r="T147" i="21" s="1"/>
  <c r="K1880" i="21"/>
  <c r="T1880" i="21" s="1"/>
  <c r="K2246" i="21"/>
  <c r="T2246" i="21" s="1"/>
  <c r="K2053" i="21"/>
  <c r="T2053" i="21" s="1"/>
  <c r="K2101" i="21"/>
  <c r="T2101" i="21" s="1"/>
  <c r="K2432" i="21"/>
  <c r="T2432" i="21" s="1"/>
  <c r="K150" i="21"/>
  <c r="T150" i="21" s="1"/>
  <c r="K2073" i="21"/>
  <c r="T2073" i="21" s="1"/>
  <c r="K2057" i="21"/>
  <c r="T2057" i="21" s="1"/>
  <c r="K2354" i="21"/>
  <c r="T2354" i="21" s="1"/>
  <c r="K324" i="21"/>
  <c r="K2264" i="21"/>
  <c r="T2264" i="21" s="1"/>
  <c r="K2378" i="21"/>
  <c r="T2378" i="21" s="1"/>
  <c r="K2372" i="21"/>
  <c r="T2372" i="21" s="1"/>
  <c r="K2330" i="21"/>
  <c r="T2330" i="21" s="1"/>
  <c r="K2456" i="21"/>
  <c r="T2456" i="21" s="1"/>
  <c r="K312" i="21"/>
  <c r="K425" i="21"/>
  <c r="T425" i="21" s="1"/>
  <c r="K593" i="21"/>
  <c r="T593" i="21" s="1"/>
  <c r="K443" i="21"/>
  <c r="T443" i="21" s="1"/>
  <c r="K407" i="21"/>
  <c r="T407" i="21" s="1"/>
  <c r="K2558" i="21"/>
  <c r="T2558" i="21" s="1"/>
  <c r="K2148" i="21"/>
  <c r="T2148" i="21" s="1"/>
  <c r="K2049" i="21"/>
  <c r="T2049" i="21" s="1"/>
  <c r="K710" i="21"/>
  <c r="T710" i="21" s="1"/>
  <c r="K1884" i="21"/>
  <c r="T1884" i="21" s="1"/>
  <c r="K2045" i="21"/>
  <c r="T2045" i="21" s="1"/>
  <c r="K2480" i="21"/>
  <c r="T2480" i="21" s="1"/>
  <c r="K1850" i="21"/>
  <c r="T1850" i="21" s="1"/>
  <c r="K2546" i="21"/>
  <c r="T2546" i="21" s="1"/>
  <c r="K2384" i="21"/>
  <c r="T2384" i="21" s="1"/>
  <c r="K2576" i="21"/>
  <c r="T2576" i="21" s="1"/>
  <c r="K2174" i="21"/>
  <c r="T2174" i="21" s="1"/>
  <c r="K2252" i="21"/>
  <c r="T2252" i="21" s="1"/>
  <c r="K2366" i="21"/>
  <c r="T2366" i="21" s="1"/>
  <c r="K2324" i="21"/>
  <c r="T2324" i="21" s="1"/>
  <c r="K2294" i="21"/>
  <c r="T2294" i="21" s="1"/>
  <c r="K323" i="21"/>
  <c r="T323" i="21" s="1"/>
  <c r="K2158" i="21"/>
  <c r="T2158" i="21" s="1"/>
  <c r="K1868" i="21"/>
  <c r="T1868" i="21" s="1"/>
  <c r="K413" i="21"/>
  <c r="T413" i="21" s="1"/>
  <c r="K2300" i="21"/>
  <c r="T2300" i="21" s="1"/>
  <c r="K668" i="21"/>
  <c r="T668" i="21" s="1"/>
  <c r="K1876" i="21"/>
  <c r="T1876" i="21" s="1"/>
  <c r="K353" i="21"/>
  <c r="T353" i="21" s="1"/>
  <c r="K153" i="21"/>
  <c r="T153" i="21" s="1"/>
  <c r="K2133" i="21"/>
  <c r="T2133" i="21" s="1"/>
  <c r="K1937" i="21"/>
  <c r="T1937" i="21" s="1"/>
  <c r="K2270" i="21"/>
  <c r="T2270" i="21" s="1"/>
  <c r="K2540" i="21"/>
  <c r="T2540" i="21" s="1"/>
  <c r="K2408" i="21"/>
  <c r="T2408" i="21" s="1"/>
  <c r="K2390" i="21"/>
  <c r="T2390" i="21" s="1"/>
  <c r="K2534" i="21"/>
  <c r="T2534" i="21" s="1"/>
  <c r="K2240" i="21"/>
  <c r="T2240" i="21" s="1"/>
  <c r="K2153" i="21"/>
  <c r="T2153" i="21" s="1"/>
  <c r="K542" i="21"/>
  <c r="T542" i="21" s="1"/>
  <c r="K2348" i="21"/>
  <c r="T2348" i="21" s="1"/>
  <c r="K2318" i="21"/>
  <c r="T2318" i="21" s="1"/>
  <c r="K1973" i="21"/>
  <c r="T1973" i="21" s="1"/>
  <c r="K1847" i="21"/>
  <c r="T1847" i="21" s="1"/>
  <c r="K175" i="21"/>
  <c r="T175" i="21" s="1"/>
  <c r="K156" i="21"/>
  <c r="T156" i="21" s="1"/>
  <c r="K781" i="21"/>
  <c r="T781" i="21" s="1"/>
  <c r="K605" i="21"/>
  <c r="K609" i="21"/>
  <c r="T609" i="21" s="1"/>
  <c r="K401" i="21"/>
  <c r="T401" i="21" s="1"/>
  <c r="K1872" i="21"/>
  <c r="T1872" i="21" s="1"/>
  <c r="K2163" i="21"/>
  <c r="T2163" i="21" s="1"/>
  <c r="K1711" i="21"/>
  <c r="T1711" i="21" s="1"/>
  <c r="K1953" i="21"/>
  <c r="T1953" i="21" s="1"/>
  <c r="K179" i="21"/>
  <c r="T179" i="21" s="1"/>
  <c r="K2288" i="21"/>
  <c r="T2288" i="21" s="1"/>
  <c r="K2186" i="21"/>
  <c r="T2186" i="21" s="1"/>
  <c r="K2444" i="21"/>
  <c r="T2444" i="21" s="1"/>
  <c r="K644" i="21"/>
  <c r="T644" i="21" s="1"/>
  <c r="K2222" i="21"/>
  <c r="T2222" i="21" s="1"/>
  <c r="K318" i="21"/>
  <c r="K2089" i="21"/>
  <c r="T2089" i="21" s="1"/>
  <c r="K2522" i="21"/>
  <c r="T2522" i="21" s="1"/>
  <c r="K2564" i="21"/>
  <c r="T2564" i="21" s="1"/>
  <c r="K395" i="21"/>
  <c r="K2216" i="21"/>
  <c r="T2216" i="21" s="1"/>
  <c r="K448" i="21"/>
  <c r="T448" i="21" s="1"/>
  <c r="K1896" i="21"/>
  <c r="T1896" i="21" s="1"/>
  <c r="K365" i="21"/>
  <c r="T365" i="21" s="1"/>
  <c r="K159" i="21"/>
  <c r="T159" i="21" s="1"/>
  <c r="K2061" i="21"/>
  <c r="T2061" i="21" s="1"/>
  <c r="K1933" i="21"/>
  <c r="T1933" i="21" s="1"/>
  <c r="K2138" i="21"/>
  <c r="T2138" i="21" s="1"/>
  <c r="K1957" i="21"/>
  <c r="T1957" i="21" s="1"/>
  <c r="K2594" i="21"/>
  <c r="T2594" i="21" s="1"/>
  <c r="K2624" i="21"/>
  <c r="T2624" i="21" s="1"/>
  <c r="K2588" i="21"/>
  <c r="T2588" i="21" s="1"/>
  <c r="K2606" i="21"/>
  <c r="T2606" i="21" s="1"/>
  <c r="K2570" i="21"/>
  <c r="T2570" i="21" s="1"/>
  <c r="K2612" i="21"/>
  <c r="T2612" i="21" s="1"/>
  <c r="K2582" i="21"/>
  <c r="T2582" i="21" s="1"/>
  <c r="K2600" i="21"/>
  <c r="T2600" i="21" s="1"/>
  <c r="K2618" i="21"/>
  <c r="T2618" i="21" s="1"/>
  <c r="K584" i="22"/>
  <c r="T584" i="22" s="1"/>
  <c r="K79" i="22"/>
  <c r="T79" i="22" s="1"/>
  <c r="K36" i="22"/>
  <c r="T36" i="22" s="1"/>
  <c r="K38" i="22"/>
  <c r="T38" i="22" s="1"/>
  <c r="K77" i="22"/>
  <c r="T77" i="22" s="1"/>
  <c r="K34" i="22"/>
  <c r="T34" i="22" s="1"/>
  <c r="K24" i="22"/>
  <c r="T24" i="22" s="1"/>
  <c r="K40" i="22"/>
  <c r="T40" i="22" s="1"/>
  <c r="K32" i="22"/>
  <c r="T32" i="22" s="1"/>
  <c r="J304" i="22"/>
  <c r="K304" i="22" s="1"/>
  <c r="K84" i="22"/>
  <c r="T84" i="22" s="1"/>
  <c r="K30" i="22"/>
  <c r="T30" i="22" s="1"/>
  <c r="K19" i="22"/>
  <c r="T19" i="22" s="1"/>
  <c r="K140" i="22"/>
  <c r="T140" i="22" s="1"/>
  <c r="K629" i="22"/>
  <c r="T629" i="22" s="1"/>
  <c r="K22" i="22"/>
  <c r="T22" i="22" s="1"/>
  <c r="K163" i="22"/>
  <c r="T163" i="22" s="1"/>
  <c r="K37" i="22"/>
  <c r="T37" i="22" s="1"/>
  <c r="K86" i="22"/>
  <c r="T86" i="22" s="1"/>
  <c r="K468" i="22"/>
  <c r="T468" i="22" s="1"/>
  <c r="K26" i="22"/>
  <c r="T26" i="22" s="1"/>
  <c r="K118" i="22"/>
  <c r="T118" i="22" s="1"/>
  <c r="K138" i="22"/>
  <c r="T138" i="22" s="1"/>
  <c r="K33" i="22"/>
  <c r="K23" i="22"/>
  <c r="T23" i="22" s="1"/>
  <c r="K156" i="22"/>
  <c r="T156" i="22" s="1"/>
  <c r="K78" i="22"/>
  <c r="T78" i="22" s="1"/>
  <c r="K69" i="22"/>
  <c r="T69" i="22" s="1"/>
  <c r="K477" i="22"/>
  <c r="T477" i="22" s="1"/>
  <c r="K21" i="22"/>
  <c r="T21" i="22" s="1"/>
  <c r="K119" i="22"/>
  <c r="T119" i="22" s="1"/>
  <c r="K254" i="22"/>
  <c r="T254" i="22" s="1"/>
  <c r="J442" i="22"/>
  <c r="K442" i="22" s="1"/>
  <c r="K371" i="22"/>
  <c r="T371" i="22" s="1"/>
  <c r="K27" i="22"/>
  <c r="T27" i="22" s="1"/>
  <c r="K83" i="22"/>
  <c r="T83" i="22" s="1"/>
  <c r="K186" i="22"/>
  <c r="T186" i="22" s="1"/>
  <c r="K265" i="22"/>
  <c r="T265" i="22" s="1"/>
  <c r="K123" i="22"/>
  <c r="T123" i="22" s="1"/>
  <c r="K87" i="22"/>
  <c r="T87" i="22" s="1"/>
  <c r="K127" i="22"/>
  <c r="T127" i="22" s="1"/>
  <c r="K129" i="22"/>
  <c r="T129" i="22" s="1"/>
  <c r="K130" i="22"/>
  <c r="T130" i="22" s="1"/>
  <c r="J322" i="22"/>
  <c r="K322" i="22" s="1"/>
  <c r="K76" i="22"/>
  <c r="T76" i="22" s="1"/>
  <c r="K41" i="22"/>
  <c r="T41" i="22" s="1"/>
  <c r="K35" i="22"/>
  <c r="T35" i="22" s="1"/>
  <c r="K325" i="22"/>
  <c r="K244" i="22"/>
  <c r="T244" i="22" s="1"/>
  <c r="K80" i="22"/>
  <c r="T80" i="22" s="1"/>
  <c r="K25" i="22"/>
  <c r="T25" i="22" s="1"/>
  <c r="K20" i="22"/>
  <c r="T20" i="22" s="1"/>
  <c r="K85" i="22"/>
  <c r="T85" i="22" s="1"/>
  <c r="K189" i="22"/>
  <c r="T189" i="22" s="1"/>
  <c r="K354" i="22"/>
  <c r="K82" i="22"/>
  <c r="T82" i="22" s="1"/>
  <c r="K31" i="22"/>
  <c r="T31" i="22" s="1"/>
  <c r="K28" i="22"/>
  <c r="T28" i="22" s="1"/>
  <c r="K2414" i="22"/>
  <c r="T2414" i="22" s="1"/>
  <c r="K413" i="22"/>
  <c r="T413" i="22" s="1"/>
  <c r="K29" i="22"/>
  <c r="T29" i="22" s="1"/>
  <c r="K120" i="22"/>
  <c r="T120" i="22" s="1"/>
  <c r="J703" i="22"/>
  <c r="K703" i="22" s="1"/>
  <c r="K2498" i="22"/>
  <c r="T2498" i="22" s="1"/>
  <c r="K600" i="22"/>
  <c r="T600" i="22" s="1"/>
  <c r="K139" i="22"/>
  <c r="T139" i="22" s="1"/>
  <c r="K193" i="22"/>
  <c r="T193" i="22" s="1"/>
  <c r="K39" i="22"/>
  <c r="T39" i="22" s="1"/>
  <c r="K128" i="22"/>
  <c r="T128" i="22" s="1"/>
  <c r="K179" i="22"/>
  <c r="T179" i="22" s="1"/>
  <c r="J289" i="22"/>
  <c r="K289" i="22" s="1"/>
  <c r="J340" i="22"/>
  <c r="K340" i="22" s="1"/>
  <c r="K81" i="22"/>
  <c r="T81" i="22" s="1"/>
  <c r="K281" i="22"/>
  <c r="T281" i="22" s="1"/>
  <c r="K302" i="22"/>
  <c r="T302" i="22" s="1"/>
  <c r="J376" i="22"/>
  <c r="K376" i="22" s="1"/>
  <c r="K242" i="22"/>
  <c r="T242" i="22" s="1"/>
  <c r="K260" i="22"/>
  <c r="T260" i="22" s="1"/>
  <c r="K307" i="22"/>
  <c r="K347" i="22"/>
  <c r="T347" i="22" s="1"/>
  <c r="J691" i="22"/>
  <c r="K691" i="22" s="1"/>
  <c r="K88" i="22"/>
  <c r="T88" i="22" s="1"/>
  <c r="K290" i="22"/>
  <c r="T290" i="22" s="1"/>
  <c r="K746" i="22"/>
  <c r="T746" i="22" s="1"/>
  <c r="K237" i="22"/>
  <c r="T237" i="22" s="1"/>
  <c r="K351" i="22"/>
  <c r="J655" i="22"/>
  <c r="K655" i="22" s="1"/>
  <c r="J406" i="22"/>
  <c r="K406" i="22" s="1"/>
  <c r="J358" i="22"/>
  <c r="K358" i="22" s="1"/>
  <c r="J236" i="22"/>
  <c r="K236" i="22" s="1"/>
  <c r="K229" i="22"/>
  <c r="T229" i="22" s="1"/>
  <c r="K2670" i="22"/>
  <c r="K2663" i="22"/>
  <c r="T2663" i="22" s="1"/>
  <c r="K1959" i="22"/>
  <c r="K1958" i="22"/>
  <c r="K1962" i="22"/>
  <c r="K1886" i="22"/>
  <c r="K1895" i="22"/>
  <c r="K1956" i="22"/>
  <c r="K1984" i="22"/>
  <c r="K1885" i="22"/>
  <c r="K1924" i="22"/>
  <c r="K1950" i="22"/>
  <c r="K1937" i="22"/>
  <c r="T1937" i="22" s="1"/>
  <c r="K1795" i="22"/>
  <c r="T1795" i="22" s="1"/>
  <c r="K1700" i="22"/>
  <c r="K1747" i="22"/>
  <c r="T1747" i="22" s="1"/>
  <c r="K1963" i="22"/>
  <c r="K1718" i="22"/>
  <c r="K1792" i="22"/>
  <c r="T1792" i="22" s="1"/>
  <c r="K1940" i="22"/>
  <c r="K1701" i="22"/>
  <c r="K1641" i="22"/>
  <c r="T1641" i="22" s="1"/>
  <c r="K1593" i="22"/>
  <c r="T1593" i="22" s="1"/>
  <c r="K1577" i="22"/>
  <c r="T1577" i="22" s="1"/>
  <c r="K1561" i="22"/>
  <c r="T1561" i="22" s="1"/>
  <c r="K1545" i="22"/>
  <c r="T1545" i="22" s="1"/>
  <c r="K1529" i="22"/>
  <c r="T1529" i="22" s="1"/>
  <c r="K1614" i="22"/>
  <c r="T1614" i="22" s="1"/>
  <c r="K1617" i="22"/>
  <c r="T1617" i="22" s="1"/>
  <c r="K1654" i="22"/>
  <c r="T1654" i="22" s="1"/>
  <c r="K1596" i="22"/>
  <c r="T1596" i="22" s="1"/>
  <c r="K1580" i="22"/>
  <c r="T1580" i="22" s="1"/>
  <c r="K1564" i="22"/>
  <c r="T1564" i="22" s="1"/>
  <c r="K1548" i="22"/>
  <c r="T1548" i="22" s="1"/>
  <c r="K1532" i="22"/>
  <c r="T1532" i="22" s="1"/>
  <c r="K1516" i="22"/>
  <c r="T1516" i="22" s="1"/>
  <c r="K1623" i="22"/>
  <c r="T1623" i="22" s="1"/>
  <c r="K1750" i="22"/>
  <c r="T1750" i="22" s="1"/>
  <c r="K1423" i="22"/>
  <c r="T1423" i="22" s="1"/>
  <c r="K1359" i="22"/>
  <c r="T1359" i="22" s="1"/>
  <c r="K1513" i="22"/>
  <c r="T1513" i="22" s="1"/>
  <c r="K1505" i="22"/>
  <c r="T1505" i="22" s="1"/>
  <c r="K1497" i="22"/>
  <c r="T1497" i="22" s="1"/>
  <c r="K1489" i="22"/>
  <c r="T1489" i="22" s="1"/>
  <c r="K1481" i="22"/>
  <c r="T1481" i="22" s="1"/>
  <c r="K1473" i="22"/>
  <c r="T1473" i="22" s="1"/>
  <c r="K1465" i="22"/>
  <c r="T1465" i="22" s="1"/>
  <c r="K1457" i="22"/>
  <c r="T1457" i="22" s="1"/>
  <c r="K1449" i="22"/>
  <c r="T1449" i="22" s="1"/>
  <c r="K1430" i="22"/>
  <c r="T1430" i="22" s="1"/>
  <c r="K1648" i="22"/>
  <c r="T1648" i="22" s="1"/>
  <c r="K1387" i="22"/>
  <c r="T1387" i="22" s="1"/>
  <c r="K1611" i="22"/>
  <c r="T1611" i="22" s="1"/>
  <c r="K1408" i="22"/>
  <c r="T1408" i="22" s="1"/>
  <c r="K1344" i="22"/>
  <c r="T1344" i="22" s="1"/>
  <c r="K1270" i="22"/>
  <c r="T1270" i="22" s="1"/>
  <c r="K1254" i="22"/>
  <c r="T1254" i="22" s="1"/>
  <c r="K1238" i="22"/>
  <c r="T1238" i="22" s="1"/>
  <c r="K1222" i="22"/>
  <c r="T1222" i="22" s="1"/>
  <c r="K1206" i="22"/>
  <c r="T1206" i="22" s="1"/>
  <c r="K1323" i="22"/>
  <c r="T1323" i="22" s="1"/>
  <c r="K1291" i="22"/>
  <c r="T1291" i="22" s="1"/>
  <c r="K1354" i="22"/>
  <c r="T1354" i="22" s="1"/>
  <c r="K1329" i="22"/>
  <c r="T1329" i="22" s="1"/>
  <c r="K1297" i="22"/>
  <c r="T1297" i="22" s="1"/>
  <c r="K1366" i="22"/>
  <c r="T1366" i="22" s="1"/>
  <c r="K1253" i="22"/>
  <c r="T1253" i="22" s="1"/>
  <c r="K1221" i="22"/>
  <c r="T1221" i="22" s="1"/>
  <c r="K1191" i="22"/>
  <c r="T1191" i="22" s="1"/>
  <c r="K1175" i="22"/>
  <c r="T1175" i="22" s="1"/>
  <c r="K1143" i="22"/>
  <c r="T1143" i="22" s="1"/>
  <c r="K1111" i="22"/>
  <c r="T1111" i="22" s="1"/>
  <c r="K1093" i="22"/>
  <c r="T1093" i="22" s="1"/>
  <c r="K1077" i="22"/>
  <c r="T1077" i="22" s="1"/>
  <c r="K1061" i="22"/>
  <c r="T1061" i="22" s="1"/>
  <c r="K1045" i="22"/>
  <c r="T1045" i="22" s="1"/>
  <c r="K1276" i="22"/>
  <c r="T1276" i="22" s="1"/>
  <c r="K1271" i="22"/>
  <c r="T1271" i="22" s="1"/>
  <c r="K1239" i="22"/>
  <c r="T1239" i="22" s="1"/>
  <c r="K1207" i="22"/>
  <c r="T1207" i="22" s="1"/>
  <c r="K1161" i="22"/>
  <c r="T1161" i="22" s="1"/>
  <c r="K1129" i="22"/>
  <c r="T1129" i="22" s="1"/>
  <c r="K1102" i="22"/>
  <c r="T1102" i="22" s="1"/>
  <c r="K1086" i="22"/>
  <c r="T1086" i="22" s="1"/>
  <c r="K1070" i="22"/>
  <c r="T1070" i="22" s="1"/>
  <c r="K1054" i="22"/>
  <c r="T1054" i="22" s="1"/>
  <c r="K1042" i="22"/>
  <c r="T1042" i="22" s="1"/>
  <c r="K1034" i="22"/>
  <c r="T1034" i="22" s="1"/>
  <c r="K1026" i="22"/>
  <c r="T1026" i="22" s="1"/>
  <c r="K1018" i="22"/>
  <c r="T1018" i="22" s="1"/>
  <c r="K1010" i="22"/>
  <c r="T1010" i="22" s="1"/>
  <c r="K1002" i="22"/>
  <c r="T1002" i="22" s="1"/>
  <c r="K961" i="22"/>
  <c r="T961" i="22" s="1"/>
  <c r="K897" i="22"/>
  <c r="T897" i="22" s="1"/>
  <c r="K1044" i="22"/>
  <c r="T1044" i="22" s="1"/>
  <c r="K960" i="22"/>
  <c r="T960" i="22" s="1"/>
  <c r="K896" i="22"/>
  <c r="T896" i="22" s="1"/>
  <c r="K933" i="22"/>
  <c r="T933" i="22" s="1"/>
  <c r="K795" i="22"/>
  <c r="T795" i="22" s="1"/>
  <c r="K970" i="22"/>
  <c r="T970" i="22" s="1"/>
  <c r="K906" i="22"/>
  <c r="T906" i="22" s="1"/>
  <c r="K669" i="22"/>
  <c r="K725" i="22"/>
  <c r="T725" i="22" s="1"/>
  <c r="K595" i="22"/>
  <c r="K742" i="22"/>
  <c r="K540" i="22"/>
  <c r="K900" i="22"/>
  <c r="T900" i="22" s="1"/>
  <c r="K455" i="22"/>
  <c r="K666" i="22"/>
  <c r="K476" i="22"/>
  <c r="K720" i="22"/>
  <c r="T720" i="22" s="1"/>
  <c r="K592" i="22"/>
  <c r="K978" i="22"/>
  <c r="T978" i="22" s="1"/>
  <c r="K539" i="22"/>
  <c r="K689" i="22"/>
  <c r="K398" i="22"/>
  <c r="K182" i="22"/>
  <c r="K620" i="22"/>
  <c r="K409" i="22"/>
  <c r="K276" i="22"/>
  <c r="K681" i="22"/>
  <c r="K375" i="22"/>
  <c r="K172" i="22"/>
  <c r="K405" i="22"/>
  <c r="K282" i="22"/>
  <c r="K399" i="22"/>
  <c r="K318" i="22"/>
  <c r="K192" i="22"/>
  <c r="K416" i="22"/>
  <c r="K239" i="22"/>
  <c r="T239" i="22" s="1"/>
  <c r="K396" i="22"/>
  <c r="K271" i="22"/>
  <c r="K136" i="22"/>
  <c r="T136" i="22" s="1"/>
  <c r="K299" i="22"/>
  <c r="T299" i="22" s="1"/>
  <c r="K385" i="22"/>
  <c r="J264" i="22"/>
  <c r="K264" i="22" s="1"/>
  <c r="K359" i="22"/>
  <c r="T359" i="22" s="1"/>
  <c r="K278" i="22"/>
  <c r="T278" i="22" s="1"/>
  <c r="J424" i="22"/>
  <c r="K424" i="22" s="1"/>
  <c r="K872" i="22"/>
  <c r="T872" i="22" s="1"/>
  <c r="K488" i="22"/>
  <c r="T488" i="22" s="1"/>
  <c r="K467" i="22"/>
  <c r="T467" i="22" s="1"/>
  <c r="K740" i="22"/>
  <c r="T740" i="22" s="1"/>
  <c r="K144" i="22"/>
  <c r="T144" i="22" s="1"/>
  <c r="K173" i="22"/>
  <c r="K89" i="22"/>
  <c r="T89" i="22" s="1"/>
  <c r="K185" i="22"/>
  <c r="T185" i="22" s="1"/>
  <c r="J259" i="22"/>
  <c r="K259" i="22" s="1"/>
  <c r="K312" i="22"/>
  <c r="K383" i="22"/>
  <c r="T383" i="22" s="1"/>
  <c r="K489" i="22"/>
  <c r="T489" i="22" s="1"/>
  <c r="K590" i="22"/>
  <c r="J643" i="22"/>
  <c r="K643" i="22" s="1"/>
  <c r="J400" i="22"/>
  <c r="K400" i="22" s="1"/>
  <c r="J352" i="22"/>
  <c r="K352" i="22" s="1"/>
  <c r="J430" i="22"/>
  <c r="K430" i="22" s="1"/>
  <c r="K199" i="22"/>
  <c r="T199" i="22" s="1"/>
  <c r="K2668" i="22"/>
  <c r="K2664" i="22"/>
  <c r="T2664" i="22" s="1"/>
  <c r="K1943" i="22"/>
  <c r="K1923" i="22"/>
  <c r="K1948" i="22"/>
  <c r="K1844" i="22"/>
  <c r="K1881" i="22"/>
  <c r="K1947" i="22"/>
  <c r="K1974" i="22"/>
  <c r="K1883" i="22"/>
  <c r="K1910" i="22"/>
  <c r="K1935" i="22"/>
  <c r="K1930" i="22"/>
  <c r="K1793" i="22"/>
  <c r="T1793" i="22" s="1"/>
  <c r="K1843" i="22"/>
  <c r="K1739" i="22"/>
  <c r="T1739" i="22" s="1"/>
  <c r="K1837" i="22"/>
  <c r="T1837" i="22" s="1"/>
  <c r="K1954" i="22"/>
  <c r="K1751" i="22"/>
  <c r="T1751" i="22" s="1"/>
  <c r="K1898" i="22"/>
  <c r="K1986" i="22"/>
  <c r="K1633" i="22"/>
  <c r="T1633" i="22" s="1"/>
  <c r="K1591" i="22"/>
  <c r="T1591" i="22" s="1"/>
  <c r="K1575" i="22"/>
  <c r="T1575" i="22" s="1"/>
  <c r="K1559" i="22"/>
  <c r="T1559" i="22" s="1"/>
  <c r="K1543" i="22"/>
  <c r="T1543" i="22" s="1"/>
  <c r="K1527" i="22"/>
  <c r="T1527" i="22" s="1"/>
  <c r="K1610" i="22"/>
  <c r="T1610" i="22" s="1"/>
  <c r="K1613" i="22"/>
  <c r="T1613" i="22" s="1"/>
  <c r="K1653" i="22"/>
  <c r="T1653" i="22" s="1"/>
  <c r="K1594" i="22"/>
  <c r="T1594" i="22" s="1"/>
  <c r="K1578" i="22"/>
  <c r="T1578" i="22" s="1"/>
  <c r="K1562" i="22"/>
  <c r="T1562" i="22" s="1"/>
  <c r="K1546" i="22"/>
  <c r="T1546" i="22" s="1"/>
  <c r="K1530" i="22"/>
  <c r="T1530" i="22" s="1"/>
  <c r="K1735" i="22"/>
  <c r="T1735" i="22" s="1"/>
  <c r="K1620" i="22"/>
  <c r="T1620" i="22" s="1"/>
  <c r="K1694" i="22"/>
  <c r="T1694" i="22" s="1"/>
  <c r="K1415" i="22"/>
  <c r="T1415" i="22" s="1"/>
  <c r="K1351" i="22"/>
  <c r="T1351" i="22" s="1"/>
  <c r="K1512" i="22"/>
  <c r="T1512" i="22" s="1"/>
  <c r="K1504" i="22"/>
  <c r="T1504" i="22" s="1"/>
  <c r="K1496" i="22"/>
  <c r="T1496" i="22" s="1"/>
  <c r="K1488" i="22"/>
  <c r="T1488" i="22" s="1"/>
  <c r="K1480" i="22"/>
  <c r="T1480" i="22" s="1"/>
  <c r="K1472" i="22"/>
  <c r="T1472" i="22" s="1"/>
  <c r="K1464" i="22"/>
  <c r="T1464" i="22" s="1"/>
  <c r="K1456" i="22"/>
  <c r="T1456" i="22" s="1"/>
  <c r="K1448" i="22"/>
  <c r="T1448" i="22" s="1"/>
  <c r="K1422" i="22"/>
  <c r="T1422" i="22" s="1"/>
  <c r="K1441" i="22"/>
  <c r="T1441" i="22" s="1"/>
  <c r="K1379" i="22"/>
  <c r="T1379" i="22" s="1"/>
  <c r="K1607" i="22"/>
  <c r="T1607" i="22" s="1"/>
  <c r="K1400" i="22"/>
  <c r="T1400" i="22" s="1"/>
  <c r="K1336" i="22"/>
  <c r="T1336" i="22" s="1"/>
  <c r="K1268" i="22"/>
  <c r="T1268" i="22" s="1"/>
  <c r="K1252" i="22"/>
  <c r="T1252" i="22" s="1"/>
  <c r="K1236" i="22"/>
  <c r="T1236" i="22" s="1"/>
  <c r="K1220" i="22"/>
  <c r="T1220" i="22" s="1"/>
  <c r="K1204" i="22"/>
  <c r="T1204" i="22" s="1"/>
  <c r="K1319" i="22"/>
  <c r="T1319" i="22" s="1"/>
  <c r="K1287" i="22"/>
  <c r="T1287" i="22" s="1"/>
  <c r="K1331" i="22"/>
  <c r="T1331" i="22" s="1"/>
  <c r="K1325" i="22"/>
  <c r="T1325" i="22" s="1"/>
  <c r="K1293" i="22"/>
  <c r="T1293" i="22" s="1"/>
  <c r="K1324" i="22"/>
  <c r="T1324" i="22" s="1"/>
  <c r="K1249" i="22"/>
  <c r="T1249" i="22" s="1"/>
  <c r="K1217" i="22"/>
  <c r="T1217" i="22" s="1"/>
  <c r="K1190" i="22"/>
  <c r="T1190" i="22" s="1"/>
  <c r="K1171" i="22"/>
  <c r="T1171" i="22" s="1"/>
  <c r="K1139" i="22"/>
  <c r="T1139" i="22" s="1"/>
  <c r="K1107" i="22"/>
  <c r="T1107" i="22" s="1"/>
  <c r="K1091" i="22"/>
  <c r="T1091" i="22" s="1"/>
  <c r="K1075" i="22"/>
  <c r="T1075" i="22" s="1"/>
  <c r="K1059" i="22"/>
  <c r="T1059" i="22" s="1"/>
  <c r="K1043" i="22"/>
  <c r="T1043" i="22" s="1"/>
  <c r="K1195" i="22"/>
  <c r="T1195" i="22" s="1"/>
  <c r="K1267" i="22"/>
  <c r="T1267" i="22" s="1"/>
  <c r="K1235" i="22"/>
  <c r="T1235" i="22" s="1"/>
  <c r="K1203" i="22"/>
  <c r="T1203" i="22" s="1"/>
  <c r="K1157" i="22"/>
  <c r="T1157" i="22" s="1"/>
  <c r="K1125" i="22"/>
  <c r="T1125" i="22" s="1"/>
  <c r="K1100" i="22"/>
  <c r="T1100" i="22" s="1"/>
  <c r="K1084" i="22"/>
  <c r="T1084" i="22" s="1"/>
  <c r="K1068" i="22"/>
  <c r="T1068" i="22" s="1"/>
  <c r="K1198" i="22"/>
  <c r="T1198" i="22" s="1"/>
  <c r="K1041" i="22"/>
  <c r="T1041" i="22" s="1"/>
  <c r="K1033" i="22"/>
  <c r="T1033" i="22" s="1"/>
  <c r="K1025" i="22"/>
  <c r="T1025" i="22" s="1"/>
  <c r="K1017" i="22"/>
  <c r="T1017" i="22" s="1"/>
  <c r="K1009" i="22"/>
  <c r="T1009" i="22" s="1"/>
  <c r="K1001" i="22"/>
  <c r="T1001" i="22" s="1"/>
  <c r="K953" i="22"/>
  <c r="T953" i="22" s="1"/>
  <c r="K796" i="22"/>
  <c r="T796" i="22" s="1"/>
  <c r="K994" i="22"/>
  <c r="T994" i="22" s="1"/>
  <c r="K952" i="22"/>
  <c r="T952" i="22" s="1"/>
  <c r="K1046" i="22"/>
  <c r="T1046" i="22" s="1"/>
  <c r="K925" i="22"/>
  <c r="T925" i="22" s="1"/>
  <c r="K793" i="22"/>
  <c r="T793" i="22" s="1"/>
  <c r="K962" i="22"/>
  <c r="T962" i="22" s="1"/>
  <c r="K898" i="22"/>
  <c r="T898" i="22" s="1"/>
  <c r="K653" i="22"/>
  <c r="K718" i="22"/>
  <c r="T718" i="22" s="1"/>
  <c r="K588" i="22"/>
  <c r="T588" i="22" s="1"/>
  <c r="K741" i="22"/>
  <c r="T741" i="22" s="1"/>
  <c r="K538" i="22"/>
  <c r="K711" i="22"/>
  <c r="K438" i="22"/>
  <c r="K663" i="22"/>
  <c r="K457" i="22"/>
  <c r="K701" i="22"/>
  <c r="K534" i="22"/>
  <c r="K972" i="22"/>
  <c r="T972" i="22" s="1"/>
  <c r="K480" i="22"/>
  <c r="K684" i="22"/>
  <c r="K381" i="22"/>
  <c r="K148" i="22"/>
  <c r="K618" i="22"/>
  <c r="K392" i="22"/>
  <c r="K263" i="22"/>
  <c r="K631" i="22"/>
  <c r="T631" i="22" s="1"/>
  <c r="K367" i="22"/>
  <c r="K152" i="22"/>
  <c r="K397" i="22"/>
  <c r="K272" i="22"/>
  <c r="K391" i="22"/>
  <c r="K315" i="22"/>
  <c r="K183" i="22"/>
  <c r="T183" i="22" s="1"/>
  <c r="K402" i="22"/>
  <c r="K231" i="22"/>
  <c r="T231" i="22" s="1"/>
  <c r="K387" i="22"/>
  <c r="K258" i="22"/>
  <c r="K131" i="22"/>
  <c r="T131" i="22" s="1"/>
  <c r="K159" i="22"/>
  <c r="T159" i="22" s="1"/>
  <c r="K662" i="22"/>
  <c r="T662" i="22" s="1"/>
  <c r="J283" i="22"/>
  <c r="K283" i="22" s="1"/>
  <c r="K360" i="22"/>
  <c r="K492" i="22"/>
  <c r="T492" i="22" s="1"/>
  <c r="K852" i="22"/>
  <c r="T852" i="22" s="1"/>
  <c r="K884" i="22"/>
  <c r="T884" i="22" s="1"/>
  <c r="J292" i="22"/>
  <c r="K292" i="22" s="1"/>
  <c r="K71" i="22"/>
  <c r="T71" i="22" s="1"/>
  <c r="J269" i="22"/>
  <c r="K269" i="22" s="1"/>
  <c r="K313" i="22"/>
  <c r="K389" i="22"/>
  <c r="J685" i="22"/>
  <c r="K685" i="22" s="1"/>
  <c r="J364" i="22"/>
  <c r="K364" i="22" s="1"/>
  <c r="J310" i="22"/>
  <c r="K310" i="22" s="1"/>
  <c r="K171" i="22"/>
  <c r="T171" i="22" s="1"/>
  <c r="K390" i="22"/>
  <c r="K585" i="22"/>
  <c r="T585" i="22" s="1"/>
  <c r="K2675" i="22"/>
  <c r="K2666" i="22"/>
  <c r="T2666" i="22" s="1"/>
  <c r="K2101" i="22"/>
  <c r="T2101" i="22" s="1"/>
  <c r="K1907" i="22"/>
  <c r="K1939" i="22"/>
  <c r="K1976" i="22"/>
  <c r="K1879" i="22"/>
  <c r="K1938" i="22"/>
  <c r="K1952" i="22"/>
  <c r="K1987" i="22"/>
  <c r="K1908" i="22"/>
  <c r="K1919" i="22"/>
  <c r="K1921" i="22"/>
  <c r="T1921" i="22" s="1"/>
  <c r="K1742" i="22"/>
  <c r="T1742" i="22" s="1"/>
  <c r="K1842" i="22"/>
  <c r="K1716" i="22"/>
  <c r="K1824" i="22"/>
  <c r="T1824" i="22" s="1"/>
  <c r="K1928" i="22"/>
  <c r="K1746" i="22"/>
  <c r="T1746" i="22" s="1"/>
  <c r="K1823" i="22"/>
  <c r="T1823" i="22" s="1"/>
  <c r="K1717" i="22"/>
  <c r="K1629" i="22"/>
  <c r="T1629" i="22" s="1"/>
  <c r="K1589" i="22"/>
  <c r="T1589" i="22" s="1"/>
  <c r="K1573" i="22"/>
  <c r="T1573" i="22" s="1"/>
  <c r="K1557" i="22"/>
  <c r="T1557" i="22" s="1"/>
  <c r="K1541" i="22"/>
  <c r="T1541" i="22" s="1"/>
  <c r="K1525" i="22"/>
  <c r="T1525" i="22" s="1"/>
  <c r="K1606" i="22"/>
  <c r="T1606" i="22" s="1"/>
  <c r="K1609" i="22"/>
  <c r="T1609" i="22" s="1"/>
  <c r="K1652" i="22"/>
  <c r="T1652" i="22" s="1"/>
  <c r="K1592" i="22"/>
  <c r="T1592" i="22" s="1"/>
  <c r="K1576" i="22"/>
  <c r="T1576" i="22" s="1"/>
  <c r="K1560" i="22"/>
  <c r="T1560" i="22" s="1"/>
  <c r="K1544" i="22"/>
  <c r="T1544" i="22" s="1"/>
  <c r="K1528" i="22"/>
  <c r="T1528" i="22" s="1"/>
  <c r="K1726" i="22"/>
  <c r="K1616" i="22"/>
  <c r="T1616" i="22" s="1"/>
  <c r="K1692" i="22"/>
  <c r="T1692" i="22" s="1"/>
  <c r="K1407" i="22"/>
  <c r="T1407" i="22" s="1"/>
  <c r="K1343" i="22"/>
  <c r="T1343" i="22" s="1"/>
  <c r="K1511" i="22"/>
  <c r="T1511" i="22" s="1"/>
  <c r="K1503" i="22"/>
  <c r="T1503" i="22" s="1"/>
  <c r="K1495" i="22"/>
  <c r="T1495" i="22" s="1"/>
  <c r="K1487" i="22"/>
  <c r="T1487" i="22" s="1"/>
  <c r="K1479" i="22"/>
  <c r="T1479" i="22" s="1"/>
  <c r="K1471" i="22"/>
  <c r="T1471" i="22" s="1"/>
  <c r="K1463" i="22"/>
  <c r="T1463" i="22" s="1"/>
  <c r="K1455" i="22"/>
  <c r="T1455" i="22" s="1"/>
  <c r="K1447" i="22"/>
  <c r="T1447" i="22" s="1"/>
  <c r="K1414" i="22"/>
  <c r="T1414" i="22" s="1"/>
  <c r="K1436" i="22"/>
  <c r="T1436" i="22" s="1"/>
  <c r="K1371" i="22"/>
  <c r="T1371" i="22" s="1"/>
  <c r="K1603" i="22"/>
  <c r="T1603" i="22" s="1"/>
  <c r="K1392" i="22"/>
  <c r="T1392" i="22" s="1"/>
  <c r="K1439" i="22"/>
  <c r="T1439" i="22" s="1"/>
  <c r="K1266" i="22"/>
  <c r="T1266" i="22" s="1"/>
  <c r="K1250" i="22"/>
  <c r="T1250" i="22" s="1"/>
  <c r="K1234" i="22"/>
  <c r="T1234" i="22" s="1"/>
  <c r="K1218" i="22"/>
  <c r="T1218" i="22" s="1"/>
  <c r="K1202" i="22"/>
  <c r="T1202" i="22" s="1"/>
  <c r="K1315" i="22"/>
  <c r="T1315" i="22" s="1"/>
  <c r="K1283" i="22"/>
  <c r="T1283" i="22" s="1"/>
  <c r="K1378" i="22"/>
  <c r="T1378" i="22" s="1"/>
  <c r="K1321" i="22"/>
  <c r="T1321" i="22" s="1"/>
  <c r="K1289" i="22"/>
  <c r="T1289" i="22" s="1"/>
  <c r="K1308" i="22"/>
  <c r="T1308" i="22" s="1"/>
  <c r="K1245" i="22"/>
  <c r="T1245" i="22" s="1"/>
  <c r="K1213" i="22"/>
  <c r="T1213" i="22" s="1"/>
  <c r="K1189" i="22"/>
  <c r="T1189" i="22" s="1"/>
  <c r="K1167" i="22"/>
  <c r="T1167" i="22" s="1"/>
  <c r="K1135" i="22"/>
  <c r="T1135" i="22" s="1"/>
  <c r="K1105" i="22"/>
  <c r="T1105" i="22" s="1"/>
  <c r="K1089" i="22"/>
  <c r="T1089" i="22" s="1"/>
  <c r="K1073" i="22"/>
  <c r="T1073" i="22" s="1"/>
  <c r="K1057" i="22"/>
  <c r="T1057" i="22" s="1"/>
  <c r="K1194" i="22"/>
  <c r="T1194" i="22" s="1"/>
  <c r="K1346" i="22"/>
  <c r="T1346" i="22" s="1"/>
  <c r="K1263" i="22"/>
  <c r="T1263" i="22" s="1"/>
  <c r="K1231" i="22"/>
  <c r="T1231" i="22" s="1"/>
  <c r="K1197" i="22"/>
  <c r="T1197" i="22" s="1"/>
  <c r="K1153" i="22"/>
  <c r="T1153" i="22" s="1"/>
  <c r="K1121" i="22"/>
  <c r="T1121" i="22" s="1"/>
  <c r="K1098" i="22"/>
  <c r="T1098" i="22" s="1"/>
  <c r="K1082" i="22"/>
  <c r="T1082" i="22" s="1"/>
  <c r="K1066" i="22"/>
  <c r="T1066" i="22" s="1"/>
  <c r="K1320" i="22"/>
  <c r="T1320" i="22" s="1"/>
  <c r="K1040" i="22"/>
  <c r="T1040" i="22" s="1"/>
  <c r="K1032" i="22"/>
  <c r="T1032" i="22" s="1"/>
  <c r="K1024" i="22"/>
  <c r="T1024" i="22" s="1"/>
  <c r="K1016" i="22"/>
  <c r="T1016" i="22" s="1"/>
  <c r="K1008" i="22"/>
  <c r="T1008" i="22" s="1"/>
  <c r="K1000" i="22"/>
  <c r="T1000" i="22" s="1"/>
  <c r="K945" i="22"/>
  <c r="T945" i="22" s="1"/>
  <c r="K794" i="22"/>
  <c r="K993" i="22"/>
  <c r="T993" i="22" s="1"/>
  <c r="K944" i="22"/>
  <c r="T944" i="22" s="1"/>
  <c r="K992" i="22"/>
  <c r="T992" i="22" s="1"/>
  <c r="K917" i="22"/>
  <c r="T917" i="22" s="1"/>
  <c r="K791" i="22"/>
  <c r="T791" i="22" s="1"/>
  <c r="K954" i="22"/>
  <c r="T954" i="22" s="1"/>
  <c r="K713" i="22"/>
  <c r="K932" i="22"/>
  <c r="T932" i="22" s="1"/>
  <c r="K712" i="22"/>
  <c r="K535" i="22"/>
  <c r="K728" i="22"/>
  <c r="T728" i="22" s="1"/>
  <c r="K481" i="22"/>
  <c r="K694" i="22"/>
  <c r="K429" i="22"/>
  <c r="K619" i="22"/>
  <c r="K446" i="22"/>
  <c r="K677" i="22"/>
  <c r="K450" i="22"/>
  <c r="K802" i="22"/>
  <c r="T802" i="22" s="1"/>
  <c r="K473" i="22"/>
  <c r="K660" i="22"/>
  <c r="K362" i="22"/>
  <c r="K146" i="22"/>
  <c r="K555" i="22"/>
  <c r="K384" i="22"/>
  <c r="K257" i="22"/>
  <c r="K602" i="22"/>
  <c r="T602" i="22" s="1"/>
  <c r="K339" i="22"/>
  <c r="K700" i="22"/>
  <c r="K378" i="22"/>
  <c r="K181" i="22"/>
  <c r="K380" i="22"/>
  <c r="K285" i="22"/>
  <c r="K176" i="22"/>
  <c r="K393" i="22"/>
  <c r="K151" i="22"/>
  <c r="K374" i="22"/>
  <c r="K198" i="22"/>
  <c r="K133" i="22"/>
  <c r="T133" i="22" s="1"/>
  <c r="K175" i="22"/>
  <c r="T175" i="22" s="1"/>
  <c r="K228" i="22"/>
  <c r="K377" i="22"/>
  <c r="T377" i="22" s="1"/>
  <c r="K482" i="22"/>
  <c r="T482" i="22" s="1"/>
  <c r="K664" i="22"/>
  <c r="K284" i="22"/>
  <c r="T284" i="22" s="1"/>
  <c r="K368" i="22"/>
  <c r="J418" i="22"/>
  <c r="K418" i="22" s="1"/>
  <c r="K459" i="22"/>
  <c r="T459" i="22" s="1"/>
  <c r="K628" i="22"/>
  <c r="T628" i="22" s="1"/>
  <c r="K864" i="22"/>
  <c r="T864" i="22" s="1"/>
  <c r="K604" i="22"/>
  <c r="T604" i="22" s="1"/>
  <c r="J709" i="22"/>
  <c r="K709" i="22" s="1"/>
  <c r="K443" i="22"/>
  <c r="T443" i="22" s="1"/>
  <c r="K785" i="22"/>
  <c r="T785" i="22" s="1"/>
  <c r="K73" i="22"/>
  <c r="T73" i="22" s="1"/>
  <c r="K150" i="22"/>
  <c r="T150" i="22" s="1"/>
  <c r="K238" i="22"/>
  <c r="T238" i="22" s="1"/>
  <c r="K293" i="22"/>
  <c r="T293" i="22" s="1"/>
  <c r="K317" i="22"/>
  <c r="T317" i="22" s="1"/>
  <c r="J394" i="22"/>
  <c r="K394" i="22" s="1"/>
  <c r="J673" i="22"/>
  <c r="K673" i="22" s="1"/>
  <c r="J334" i="22"/>
  <c r="K334" i="22" s="1"/>
  <c r="J295" i="22"/>
  <c r="K295" i="22" s="1"/>
  <c r="K117" i="22"/>
  <c r="T117" i="22" s="1"/>
  <c r="K184" i="22"/>
  <c r="T184" i="22" s="1"/>
  <c r="K246" i="22"/>
  <c r="T246" i="22" s="1"/>
  <c r="K261" i="22"/>
  <c r="K2673" i="22"/>
  <c r="T2673" i="22" s="1"/>
  <c r="K2480" i="22"/>
  <c r="T2480" i="22" s="1"/>
  <c r="K1983" i="22"/>
  <c r="K1893" i="22"/>
  <c r="K1934" i="22"/>
  <c r="K1966" i="22"/>
  <c r="K2009" i="22"/>
  <c r="T2009" i="22" s="1"/>
  <c r="K1936" i="22"/>
  <c r="K1942" i="22"/>
  <c r="K1978" i="22"/>
  <c r="K1894" i="22"/>
  <c r="K1905" i="22"/>
  <c r="K1914" i="22"/>
  <c r="K1737" i="22"/>
  <c r="T1737" i="22" s="1"/>
  <c r="K1841" i="22"/>
  <c r="T1841" i="22" s="1"/>
  <c r="K1714" i="22"/>
  <c r="K1790" i="22"/>
  <c r="T1790" i="22" s="1"/>
  <c r="K1912" i="22"/>
  <c r="K1738" i="22"/>
  <c r="T1738" i="22" s="1"/>
  <c r="K1743" i="22"/>
  <c r="T1743" i="22" s="1"/>
  <c r="K1972" i="22"/>
  <c r="K1625" i="22"/>
  <c r="T1625" i="22" s="1"/>
  <c r="K1587" i="22"/>
  <c r="T1587" i="22" s="1"/>
  <c r="K1571" i="22"/>
  <c r="T1571" i="22" s="1"/>
  <c r="K1555" i="22"/>
  <c r="T1555" i="22" s="1"/>
  <c r="K1539" i="22"/>
  <c r="T1539" i="22" s="1"/>
  <c r="K1523" i="22"/>
  <c r="T1523" i="22" s="1"/>
  <c r="K1602" i="22"/>
  <c r="T1602" i="22" s="1"/>
  <c r="K1605" i="22"/>
  <c r="T1605" i="22" s="1"/>
  <c r="K1651" i="22"/>
  <c r="T1651" i="22" s="1"/>
  <c r="K1590" i="22"/>
  <c r="T1590" i="22" s="1"/>
  <c r="K1574" i="22"/>
  <c r="T1574" i="22" s="1"/>
  <c r="K1558" i="22"/>
  <c r="T1558" i="22" s="1"/>
  <c r="K1542" i="22"/>
  <c r="T1542" i="22" s="1"/>
  <c r="K1526" i="22"/>
  <c r="T1526" i="22" s="1"/>
  <c r="K1710" i="22"/>
  <c r="K1612" i="22"/>
  <c r="T1612" i="22" s="1"/>
  <c r="K1693" i="22"/>
  <c r="T1693" i="22" s="1"/>
  <c r="K1399" i="22"/>
  <c r="T1399" i="22" s="1"/>
  <c r="K1335" i="22"/>
  <c r="T1335" i="22" s="1"/>
  <c r="K1510" i="22"/>
  <c r="T1510" i="22" s="1"/>
  <c r="K1502" i="22"/>
  <c r="T1502" i="22" s="1"/>
  <c r="K1494" i="22"/>
  <c r="T1494" i="22" s="1"/>
  <c r="K1486" i="22"/>
  <c r="T1486" i="22" s="1"/>
  <c r="K1478" i="22"/>
  <c r="T1478" i="22" s="1"/>
  <c r="K1470" i="22"/>
  <c r="T1470" i="22" s="1"/>
  <c r="K1462" i="22"/>
  <c r="T1462" i="22" s="1"/>
  <c r="K1454" i="22"/>
  <c r="T1454" i="22" s="1"/>
  <c r="K1446" i="22"/>
  <c r="T1446" i="22" s="1"/>
  <c r="K1406" i="22"/>
  <c r="T1406" i="22" s="1"/>
  <c r="K1427" i="22"/>
  <c r="T1427" i="22" s="1"/>
  <c r="K1363" i="22"/>
  <c r="T1363" i="22" s="1"/>
  <c r="K1517" i="22"/>
  <c r="T1517" i="22" s="1"/>
  <c r="K1384" i="22"/>
  <c r="T1384" i="22" s="1"/>
  <c r="K1410" i="22"/>
  <c r="T1410" i="22" s="1"/>
  <c r="K1264" i="22"/>
  <c r="T1264" i="22" s="1"/>
  <c r="K1248" i="22"/>
  <c r="T1248" i="22" s="1"/>
  <c r="K1232" i="22"/>
  <c r="T1232" i="22" s="1"/>
  <c r="K1216" i="22"/>
  <c r="T1216" i="22" s="1"/>
  <c r="K1418" i="22"/>
  <c r="T1418" i="22" s="1"/>
  <c r="K1311" i="22"/>
  <c r="T1311" i="22" s="1"/>
  <c r="K1277" i="22"/>
  <c r="T1277" i="22" s="1"/>
  <c r="K1350" i="22"/>
  <c r="T1350" i="22" s="1"/>
  <c r="K1317" i="22"/>
  <c r="T1317" i="22" s="1"/>
  <c r="K1285" i="22"/>
  <c r="T1285" i="22" s="1"/>
  <c r="K1292" i="22"/>
  <c r="T1292" i="22" s="1"/>
  <c r="K1241" i="22"/>
  <c r="T1241" i="22" s="1"/>
  <c r="K1209" i="22"/>
  <c r="T1209" i="22" s="1"/>
  <c r="K1188" i="22"/>
  <c r="T1188" i="22" s="1"/>
  <c r="K1163" i="22"/>
  <c r="T1163" i="22" s="1"/>
  <c r="K1131" i="22"/>
  <c r="T1131" i="22" s="1"/>
  <c r="K1103" i="22"/>
  <c r="T1103" i="22" s="1"/>
  <c r="K1087" i="22"/>
  <c r="T1087" i="22" s="1"/>
  <c r="K1071" i="22"/>
  <c r="T1071" i="22" s="1"/>
  <c r="K1055" i="22"/>
  <c r="T1055" i="22" s="1"/>
  <c r="K1184" i="22"/>
  <c r="T1184" i="22" s="1"/>
  <c r="K1275" i="22"/>
  <c r="T1275" i="22" s="1"/>
  <c r="K1259" i="22"/>
  <c r="T1259" i="22" s="1"/>
  <c r="K1227" i="22"/>
  <c r="T1227" i="22" s="1"/>
  <c r="K1181" i="22"/>
  <c r="T1181" i="22" s="1"/>
  <c r="K1149" i="22"/>
  <c r="T1149" i="22" s="1"/>
  <c r="K1117" i="22"/>
  <c r="T1117" i="22" s="1"/>
  <c r="K1096" i="22"/>
  <c r="T1096" i="22" s="1"/>
  <c r="K1080" i="22"/>
  <c r="T1080" i="22" s="1"/>
  <c r="K1064" i="22"/>
  <c r="T1064" i="22" s="1"/>
  <c r="K1304" i="22"/>
  <c r="T1304" i="22" s="1"/>
  <c r="K1039" i="22"/>
  <c r="T1039" i="22" s="1"/>
  <c r="K1031" i="22"/>
  <c r="T1031" i="22" s="1"/>
  <c r="K1023" i="22"/>
  <c r="T1023" i="22" s="1"/>
  <c r="K1015" i="22"/>
  <c r="T1015" i="22" s="1"/>
  <c r="K1007" i="22"/>
  <c r="T1007" i="22" s="1"/>
  <c r="K999" i="22"/>
  <c r="T999" i="22" s="1"/>
  <c r="K937" i="22"/>
  <c r="T937" i="22" s="1"/>
  <c r="K792" i="22"/>
  <c r="T792" i="22" s="1"/>
  <c r="K988" i="22"/>
  <c r="T988" i="22" s="1"/>
  <c r="K936" i="22"/>
  <c r="T936" i="22" s="1"/>
  <c r="K973" i="22"/>
  <c r="T973" i="22" s="1"/>
  <c r="K909" i="22"/>
  <c r="T909" i="22" s="1"/>
  <c r="K789" i="22"/>
  <c r="T789" i="22" s="1"/>
  <c r="K946" i="22"/>
  <c r="T946" i="22" s="1"/>
  <c r="K696" i="22"/>
  <c r="K892" i="22"/>
  <c r="T892" i="22" s="1"/>
  <c r="K708" i="22"/>
  <c r="K533" i="22"/>
  <c r="K705" i="22"/>
  <c r="K451" i="22"/>
  <c r="K683" i="22"/>
  <c r="K421" i="22"/>
  <c r="K594" i="22"/>
  <c r="K432" i="22"/>
  <c r="K654" i="22"/>
  <c r="K440" i="22"/>
  <c r="K736" i="22"/>
  <c r="T736" i="22" s="1"/>
  <c r="K454" i="22"/>
  <c r="K445" i="22"/>
  <c r="K345" i="22"/>
  <c r="K126" i="22"/>
  <c r="K553" i="22"/>
  <c r="K373" i="22"/>
  <c r="K240" i="22"/>
  <c r="T240" i="22" s="1"/>
  <c r="K449" i="22"/>
  <c r="K326" i="22"/>
  <c r="K639" i="22"/>
  <c r="T639" i="22" s="1"/>
  <c r="K369" i="22"/>
  <c r="K145" i="22"/>
  <c r="K372" i="22"/>
  <c r="K262" i="22"/>
  <c r="K174" i="22"/>
  <c r="K366" i="22"/>
  <c r="K149" i="22"/>
  <c r="K357" i="22"/>
  <c r="K180" i="22"/>
  <c r="K134" i="22"/>
  <c r="T134" i="22" s="1"/>
  <c r="K721" i="22"/>
  <c r="T721" i="22" s="1"/>
  <c r="J301" i="22"/>
  <c r="K301" i="22" s="1"/>
  <c r="K499" i="22"/>
  <c r="T499" i="22" s="1"/>
  <c r="K495" i="22"/>
  <c r="T495" i="22" s="1"/>
  <c r="J715" i="22"/>
  <c r="K715" i="22" s="1"/>
  <c r="K844" i="22"/>
  <c r="T844" i="22" s="1"/>
  <c r="K876" i="22"/>
  <c r="T876" i="22" s="1"/>
  <c r="K200" i="22"/>
  <c r="T200" i="22" s="1"/>
  <c r="K532" i="22"/>
  <c r="T532" i="22" s="1"/>
  <c r="K75" i="22"/>
  <c r="T75" i="22" s="1"/>
  <c r="K275" i="22"/>
  <c r="T275" i="22" s="1"/>
  <c r="K122" i="22"/>
  <c r="T122" i="22" s="1"/>
  <c r="K196" i="22"/>
  <c r="T196" i="22" s="1"/>
  <c r="K395" i="22"/>
  <c r="K542" i="22"/>
  <c r="T542" i="22" s="1"/>
  <c r="J661" i="22"/>
  <c r="K661" i="22" s="1"/>
  <c r="J316" i="22"/>
  <c r="K316" i="22" s="1"/>
  <c r="J382" i="22"/>
  <c r="K382" i="22" s="1"/>
  <c r="K137" i="22"/>
  <c r="T137" i="22" s="1"/>
  <c r="K270" i="22"/>
  <c r="T270" i="22" s="1"/>
  <c r="J328" i="22"/>
  <c r="K328" i="22" s="1"/>
  <c r="K407" i="22"/>
  <c r="T407" i="22" s="1"/>
  <c r="K2671" i="22"/>
  <c r="K2264" i="22"/>
  <c r="T2264" i="22" s="1"/>
  <c r="K1967" i="22"/>
  <c r="K1891" i="22"/>
  <c r="K1932" i="22"/>
  <c r="K1944" i="22"/>
  <c r="K2001" i="22"/>
  <c r="T2001" i="22" s="1"/>
  <c r="K1922" i="22"/>
  <c r="K1931" i="22"/>
  <c r="K1964" i="22"/>
  <c r="K1878" i="22"/>
  <c r="K1903" i="22"/>
  <c r="K1882" i="22"/>
  <c r="K1732" i="22"/>
  <c r="T1732" i="22" s="1"/>
  <c r="K1840" i="22"/>
  <c r="T1840" i="22" s="1"/>
  <c r="K1725" i="22"/>
  <c r="K1788" i="22"/>
  <c r="T1788" i="22" s="1"/>
  <c r="K1805" i="22"/>
  <c r="T1805" i="22" s="1"/>
  <c r="K1731" i="22"/>
  <c r="T1731" i="22" s="1"/>
  <c r="K1733" i="22"/>
  <c r="T1733" i="22" s="1"/>
  <c r="K1827" i="22"/>
  <c r="T1827" i="22" s="1"/>
  <c r="K1622" i="22"/>
  <c r="T1622" i="22" s="1"/>
  <c r="K1585" i="22"/>
  <c r="T1585" i="22" s="1"/>
  <c r="K1569" i="22"/>
  <c r="T1569" i="22" s="1"/>
  <c r="K1553" i="22"/>
  <c r="T1553" i="22" s="1"/>
  <c r="K1537" i="22"/>
  <c r="T1537" i="22" s="1"/>
  <c r="K1521" i="22"/>
  <c r="T1521" i="22" s="1"/>
  <c r="K1745" i="22"/>
  <c r="T1745" i="22" s="1"/>
  <c r="K1601" i="22"/>
  <c r="T1601" i="22" s="1"/>
  <c r="K1644" i="22"/>
  <c r="T1644" i="22" s="1"/>
  <c r="K1588" i="22"/>
  <c r="T1588" i="22" s="1"/>
  <c r="K1572" i="22"/>
  <c r="T1572" i="22" s="1"/>
  <c r="K1556" i="22"/>
  <c r="T1556" i="22" s="1"/>
  <c r="K1540" i="22"/>
  <c r="T1540" i="22" s="1"/>
  <c r="K1524" i="22"/>
  <c r="T1524" i="22" s="1"/>
  <c r="K1696" i="22"/>
  <c r="T1696" i="22" s="1"/>
  <c r="K1608" i="22"/>
  <c r="T1608" i="22" s="1"/>
  <c r="K1642" i="22"/>
  <c r="T1642" i="22" s="1"/>
  <c r="K1391" i="22"/>
  <c r="T1391" i="22" s="1"/>
  <c r="K1333" i="22"/>
  <c r="T1333" i="22" s="1"/>
  <c r="K1509" i="22"/>
  <c r="T1509" i="22" s="1"/>
  <c r="K1501" i="22"/>
  <c r="T1501" i="22" s="1"/>
  <c r="K1493" i="22"/>
  <c r="T1493" i="22" s="1"/>
  <c r="K1485" i="22"/>
  <c r="T1485" i="22" s="1"/>
  <c r="K1477" i="22"/>
  <c r="T1477" i="22" s="1"/>
  <c r="K1469" i="22"/>
  <c r="T1469" i="22" s="1"/>
  <c r="K1461" i="22"/>
  <c r="T1461" i="22" s="1"/>
  <c r="K1453" i="22"/>
  <c r="T1453" i="22" s="1"/>
  <c r="K1445" i="22"/>
  <c r="T1445" i="22" s="1"/>
  <c r="K1398" i="22"/>
  <c r="T1398" i="22" s="1"/>
  <c r="K1419" i="22"/>
  <c r="T1419" i="22" s="1"/>
  <c r="K1355" i="22"/>
  <c r="T1355" i="22" s="1"/>
  <c r="K1440" i="22"/>
  <c r="T1440" i="22" s="1"/>
  <c r="K1376" i="22"/>
  <c r="T1376" i="22" s="1"/>
  <c r="K1362" i="22"/>
  <c r="T1362" i="22" s="1"/>
  <c r="K1262" i="22"/>
  <c r="T1262" i="22" s="1"/>
  <c r="K1246" i="22"/>
  <c r="T1246" i="22" s="1"/>
  <c r="K1230" i="22"/>
  <c r="T1230" i="22" s="1"/>
  <c r="K1214" i="22"/>
  <c r="T1214" i="22" s="1"/>
  <c r="K1358" i="22"/>
  <c r="T1358" i="22" s="1"/>
  <c r="K1307" i="22"/>
  <c r="T1307" i="22" s="1"/>
  <c r="K1426" i="22"/>
  <c r="T1426" i="22" s="1"/>
  <c r="K1342" i="22"/>
  <c r="T1342" i="22" s="1"/>
  <c r="K1313" i="22"/>
  <c r="T1313" i="22" s="1"/>
  <c r="K1281" i="22"/>
  <c r="T1281" i="22" s="1"/>
  <c r="K1269" i="22"/>
  <c r="T1269" i="22" s="1"/>
  <c r="K1237" i="22"/>
  <c r="T1237" i="22" s="1"/>
  <c r="K1205" i="22"/>
  <c r="T1205" i="22" s="1"/>
  <c r="K1187" i="22"/>
  <c r="T1187" i="22" s="1"/>
  <c r="K1159" i="22"/>
  <c r="T1159" i="22" s="1"/>
  <c r="K1127" i="22"/>
  <c r="T1127" i="22" s="1"/>
  <c r="K1101" i="22"/>
  <c r="T1101" i="22" s="1"/>
  <c r="K1085" i="22"/>
  <c r="T1085" i="22" s="1"/>
  <c r="K1069" i="22"/>
  <c r="T1069" i="22" s="1"/>
  <c r="K1053" i="22"/>
  <c r="T1053" i="22" s="1"/>
  <c r="K1402" i="22"/>
  <c r="T1402" i="22" s="1"/>
  <c r="K1196" i="22"/>
  <c r="T1196" i="22" s="1"/>
  <c r="K1255" i="22"/>
  <c r="T1255" i="22" s="1"/>
  <c r="K1223" i="22"/>
  <c r="T1223" i="22" s="1"/>
  <c r="K1177" i="22"/>
  <c r="T1177" i="22" s="1"/>
  <c r="K1145" i="22"/>
  <c r="T1145" i="22" s="1"/>
  <c r="K1113" i="22"/>
  <c r="T1113" i="22" s="1"/>
  <c r="K1094" i="22"/>
  <c r="T1094" i="22" s="1"/>
  <c r="K1078" i="22"/>
  <c r="T1078" i="22" s="1"/>
  <c r="K1062" i="22"/>
  <c r="T1062" i="22" s="1"/>
  <c r="K1284" i="22"/>
  <c r="T1284" i="22" s="1"/>
  <c r="K1038" i="22"/>
  <c r="T1038" i="22" s="1"/>
  <c r="K1030" i="22"/>
  <c r="T1030" i="22" s="1"/>
  <c r="K1022" i="22"/>
  <c r="T1022" i="22" s="1"/>
  <c r="K1014" i="22"/>
  <c r="T1014" i="22" s="1"/>
  <c r="K1006" i="22"/>
  <c r="T1006" i="22" s="1"/>
  <c r="K998" i="22"/>
  <c r="T998" i="22" s="1"/>
  <c r="K929" i="22"/>
  <c r="T929" i="22" s="1"/>
  <c r="K790" i="22"/>
  <c r="T790" i="22" s="1"/>
  <c r="K984" i="22"/>
  <c r="T984" i="22" s="1"/>
  <c r="K928" i="22"/>
  <c r="T928" i="22" s="1"/>
  <c r="K965" i="22"/>
  <c r="T965" i="22" s="1"/>
  <c r="K901" i="22"/>
  <c r="T901" i="22" s="1"/>
  <c r="K991" i="22"/>
  <c r="T991" i="22" s="1"/>
  <c r="K938" i="22"/>
  <c r="T938" i="22" s="1"/>
  <c r="K1200" i="22"/>
  <c r="T1200" i="22" s="1"/>
  <c r="K806" i="22"/>
  <c r="T806" i="22" s="1"/>
  <c r="K695" i="22"/>
  <c r="K479" i="22"/>
  <c r="K702" i="22"/>
  <c r="K444" i="22"/>
  <c r="K675" i="22"/>
  <c r="K956" i="22"/>
  <c r="T956" i="22" s="1"/>
  <c r="K554" i="22"/>
  <c r="K423" i="22"/>
  <c r="K642" i="22"/>
  <c r="K426" i="22"/>
  <c r="K665" i="22"/>
  <c r="K452" i="22"/>
  <c r="K428" i="22"/>
  <c r="K332" i="22"/>
  <c r="K924" i="22"/>
  <c r="T924" i="22" s="1"/>
  <c r="K475" i="22"/>
  <c r="K356" i="22"/>
  <c r="K235" i="22"/>
  <c r="K422" i="22"/>
  <c r="K303" i="22"/>
  <c r="K530" i="22"/>
  <c r="T530" i="22" s="1"/>
  <c r="K361" i="22"/>
  <c r="K143" i="22"/>
  <c r="K363" i="22"/>
  <c r="K256" i="22"/>
  <c r="K745" i="22"/>
  <c r="T745" i="22" s="1"/>
  <c r="K336" i="22"/>
  <c r="K657" i="22"/>
  <c r="K349" i="22"/>
  <c r="K178" i="22"/>
  <c r="K330" i="22"/>
  <c r="K187" i="22"/>
  <c r="T187" i="22" s="1"/>
  <c r="K337" i="22"/>
  <c r="K803" i="22"/>
  <c r="T803" i="22" s="1"/>
  <c r="K498" i="22"/>
  <c r="T498" i="22" s="1"/>
  <c r="K599" i="22"/>
  <c r="T599" i="22" s="1"/>
  <c r="K719" i="22"/>
  <c r="T719" i="22" s="1"/>
  <c r="K856" i="22"/>
  <c r="T856" i="22" s="1"/>
  <c r="K888" i="22"/>
  <c r="T888" i="22" s="1"/>
  <c r="K633" i="22"/>
  <c r="T633" i="22" s="1"/>
  <c r="K461" i="22"/>
  <c r="T461" i="22" s="1"/>
  <c r="K551" i="22"/>
  <c r="T551" i="22" s="1"/>
  <c r="K309" i="22"/>
  <c r="K243" i="22"/>
  <c r="T243" i="22" s="1"/>
  <c r="J230" i="22"/>
  <c r="K230" i="22" s="1"/>
  <c r="K247" i="22"/>
  <c r="T247" i="22" s="1"/>
  <c r="K404" i="22"/>
  <c r="K544" i="22"/>
  <c r="J640" i="22"/>
  <c r="K640" i="22" s="1"/>
  <c r="J286" i="22"/>
  <c r="K286" i="22" s="1"/>
  <c r="J346" i="22"/>
  <c r="K346" i="22" s="1"/>
  <c r="K141" i="22"/>
  <c r="T141" i="22" s="1"/>
  <c r="J277" i="22"/>
  <c r="K277" i="22" s="1"/>
  <c r="K329" i="22"/>
  <c r="T329" i="22" s="1"/>
  <c r="K462" i="22"/>
  <c r="T462" i="22" s="1"/>
  <c r="K670" i="22"/>
  <c r="K2669" i="22"/>
  <c r="T2669" i="22" s="1"/>
  <c r="K2128" i="22"/>
  <c r="T2128" i="22" s="1"/>
  <c r="K1951" i="22"/>
  <c r="K1877" i="22"/>
  <c r="K1918" i="22"/>
  <c r="K1927" i="22"/>
  <c r="K1988" i="22"/>
  <c r="K1920" i="22"/>
  <c r="K1915" i="22"/>
  <c r="K1955" i="22"/>
  <c r="K1992" i="22"/>
  <c r="K1889" i="22"/>
  <c r="K1831" i="22"/>
  <c r="T1831" i="22" s="1"/>
  <c r="K1730" i="22"/>
  <c r="T1730" i="22" s="1"/>
  <c r="K1830" i="22"/>
  <c r="T1830" i="22" s="1"/>
  <c r="K1709" i="22"/>
  <c r="K1786" i="22"/>
  <c r="T1786" i="22" s="1"/>
  <c r="K1798" i="22"/>
  <c r="T1798" i="22" s="1"/>
  <c r="K1729" i="22"/>
  <c r="T1729" i="22" s="1"/>
  <c r="K1724" i="22"/>
  <c r="K1719" i="22"/>
  <c r="T1719" i="22" s="1"/>
  <c r="K1599" i="22"/>
  <c r="T1599" i="22" s="1"/>
  <c r="K1583" i="22"/>
  <c r="T1583" i="22" s="1"/>
  <c r="K1567" i="22"/>
  <c r="T1567" i="22" s="1"/>
  <c r="K1551" i="22"/>
  <c r="T1551" i="22" s="1"/>
  <c r="K1535" i="22"/>
  <c r="T1535" i="22" s="1"/>
  <c r="K1646" i="22"/>
  <c r="T1646" i="22" s="1"/>
  <c r="K1639" i="22"/>
  <c r="T1639" i="22" s="1"/>
  <c r="K1787" i="22"/>
  <c r="T1787" i="22" s="1"/>
  <c r="K1631" i="22"/>
  <c r="T1631" i="22" s="1"/>
  <c r="K1586" i="22"/>
  <c r="T1586" i="22" s="1"/>
  <c r="K1570" i="22"/>
  <c r="T1570" i="22" s="1"/>
  <c r="K1554" i="22"/>
  <c r="T1554" i="22" s="1"/>
  <c r="K1538" i="22"/>
  <c r="T1538" i="22" s="1"/>
  <c r="K1522" i="22"/>
  <c r="T1522" i="22" s="1"/>
  <c r="K1650" i="22"/>
  <c r="T1650" i="22" s="1"/>
  <c r="K1604" i="22"/>
  <c r="T1604" i="22" s="1"/>
  <c r="K1438" i="22"/>
  <c r="T1438" i="22" s="1"/>
  <c r="K1383" i="22"/>
  <c r="T1383" i="22" s="1"/>
  <c r="K1705" i="22"/>
  <c r="T1705" i="22" s="1"/>
  <c r="K1508" i="22"/>
  <c r="T1508" i="22" s="1"/>
  <c r="K1500" i="22"/>
  <c r="T1500" i="22" s="1"/>
  <c r="K1492" i="22"/>
  <c r="T1492" i="22" s="1"/>
  <c r="K1484" i="22"/>
  <c r="T1484" i="22" s="1"/>
  <c r="K1476" i="22"/>
  <c r="T1476" i="22" s="1"/>
  <c r="K1468" i="22"/>
  <c r="T1468" i="22" s="1"/>
  <c r="K1460" i="22"/>
  <c r="T1460" i="22" s="1"/>
  <c r="K1452" i="22"/>
  <c r="T1452" i="22" s="1"/>
  <c r="K1444" i="22"/>
  <c r="T1444" i="22" s="1"/>
  <c r="K1390" i="22"/>
  <c r="T1390" i="22" s="1"/>
  <c r="K1411" i="22"/>
  <c r="T1411" i="22" s="1"/>
  <c r="K1347" i="22"/>
  <c r="T1347" i="22" s="1"/>
  <c r="K1432" i="22"/>
  <c r="T1432" i="22" s="1"/>
  <c r="K1368" i="22"/>
  <c r="T1368" i="22" s="1"/>
  <c r="K1345" i="22"/>
  <c r="T1345" i="22" s="1"/>
  <c r="K1260" i="22"/>
  <c r="T1260" i="22" s="1"/>
  <c r="K1244" i="22"/>
  <c r="T1244" i="22" s="1"/>
  <c r="K1228" i="22"/>
  <c r="T1228" i="22" s="1"/>
  <c r="K1212" i="22"/>
  <c r="T1212" i="22" s="1"/>
  <c r="K1339" i="22"/>
  <c r="T1339" i="22" s="1"/>
  <c r="K1303" i="22"/>
  <c r="T1303" i="22" s="1"/>
  <c r="K1334" i="22"/>
  <c r="T1334" i="22" s="1"/>
  <c r="K1330" i="22"/>
  <c r="T1330" i="22" s="1"/>
  <c r="K1309" i="22"/>
  <c r="T1309" i="22" s="1"/>
  <c r="K1273" i="22"/>
  <c r="T1273" i="22" s="1"/>
  <c r="K1265" i="22"/>
  <c r="T1265" i="22" s="1"/>
  <c r="K1233" i="22"/>
  <c r="T1233" i="22" s="1"/>
  <c r="K1201" i="22"/>
  <c r="T1201" i="22" s="1"/>
  <c r="K1186" i="22"/>
  <c r="T1186" i="22" s="1"/>
  <c r="K1155" i="22"/>
  <c r="T1155" i="22" s="1"/>
  <c r="K1123" i="22"/>
  <c r="T1123" i="22" s="1"/>
  <c r="K1099" i="22"/>
  <c r="T1099" i="22" s="1"/>
  <c r="K1083" i="22"/>
  <c r="T1083" i="22" s="1"/>
  <c r="K1067" i="22"/>
  <c r="T1067" i="22" s="1"/>
  <c r="K1051" i="22"/>
  <c r="T1051" i="22" s="1"/>
  <c r="K1328" i="22"/>
  <c r="T1328" i="22" s="1"/>
  <c r="K1182" i="22"/>
  <c r="T1182" i="22" s="1"/>
  <c r="K1251" i="22"/>
  <c r="T1251" i="22" s="1"/>
  <c r="K1219" i="22"/>
  <c r="T1219" i="22" s="1"/>
  <c r="K1173" i="22"/>
  <c r="T1173" i="22" s="1"/>
  <c r="K1141" i="22"/>
  <c r="T1141" i="22" s="1"/>
  <c r="K1109" i="22"/>
  <c r="T1109" i="22" s="1"/>
  <c r="K1092" i="22"/>
  <c r="T1092" i="22" s="1"/>
  <c r="K1076" i="22"/>
  <c r="T1076" i="22" s="1"/>
  <c r="K1060" i="22"/>
  <c r="T1060" i="22" s="1"/>
  <c r="K1199" i="22"/>
  <c r="T1199" i="22" s="1"/>
  <c r="K1037" i="22"/>
  <c r="T1037" i="22" s="1"/>
  <c r="K1029" i="22"/>
  <c r="T1029" i="22" s="1"/>
  <c r="K1021" i="22"/>
  <c r="T1021" i="22" s="1"/>
  <c r="K1013" i="22"/>
  <c r="T1013" i="22" s="1"/>
  <c r="K1005" i="22"/>
  <c r="T1005" i="22" s="1"/>
  <c r="K997" i="22"/>
  <c r="T997" i="22" s="1"/>
  <c r="K921" i="22"/>
  <c r="T921" i="22" s="1"/>
  <c r="K714" i="22"/>
  <c r="K980" i="22"/>
  <c r="T980" i="22" s="1"/>
  <c r="K920" i="22"/>
  <c r="T920" i="22" s="1"/>
  <c r="K957" i="22"/>
  <c r="T957" i="22" s="1"/>
  <c r="K893" i="22"/>
  <c r="T893" i="22" s="1"/>
  <c r="K987" i="22"/>
  <c r="T987" i="22" s="1"/>
  <c r="K930" i="22"/>
  <c r="T930" i="22" s="1"/>
  <c r="K1048" i="22"/>
  <c r="T1048" i="22" s="1"/>
  <c r="K744" i="22"/>
  <c r="T744" i="22" s="1"/>
  <c r="K688" i="22"/>
  <c r="K441" i="22"/>
  <c r="K678" i="22"/>
  <c r="K435" i="22"/>
  <c r="K671" i="22"/>
  <c r="K798" i="22"/>
  <c r="T798" i="22" s="1"/>
  <c r="K545" i="22"/>
  <c r="K964" i="22"/>
  <c r="T964" i="22" s="1"/>
  <c r="K630" i="22"/>
  <c r="T630" i="22" s="1"/>
  <c r="K990" i="22"/>
  <c r="T990" i="22" s="1"/>
  <c r="K596" i="22"/>
  <c r="K434" i="22"/>
  <c r="K781" i="22"/>
  <c r="T781" i="22" s="1"/>
  <c r="K314" i="22"/>
  <c r="K734" i="22"/>
  <c r="T734" i="22" s="1"/>
  <c r="K466" i="22"/>
  <c r="T466" i="22" s="1"/>
  <c r="K348" i="22"/>
  <c r="K197" i="22"/>
  <c r="K411" i="22"/>
  <c r="K279" i="22"/>
  <c r="K491" i="22"/>
  <c r="T491" i="22" s="1"/>
  <c r="K350" i="22"/>
  <c r="K125" i="22"/>
  <c r="K355" i="22"/>
  <c r="K251" i="22"/>
  <c r="T251" i="22" s="1"/>
  <c r="K648" i="22"/>
  <c r="K320" i="22"/>
  <c r="K641" i="22"/>
  <c r="T641" i="22" s="1"/>
  <c r="K338" i="22"/>
  <c r="K142" i="22"/>
  <c r="K132" i="22"/>
  <c r="T132" i="22" s="1"/>
  <c r="J234" i="22"/>
  <c r="K234" i="22" s="1"/>
  <c r="K331" i="22"/>
  <c r="J412" i="22"/>
  <c r="K412" i="22" s="1"/>
  <c r="K70" i="22"/>
  <c r="T70" i="22" s="1"/>
  <c r="K147" i="22"/>
  <c r="T147" i="22" s="1"/>
  <c r="K341" i="22"/>
  <c r="T341" i="22" s="1"/>
  <c r="K804" i="22"/>
  <c r="T804" i="22" s="1"/>
  <c r="J634" i="22"/>
  <c r="K634" i="22" s="1"/>
  <c r="K730" i="22"/>
  <c r="T730" i="22" s="1"/>
  <c r="K868" i="22"/>
  <c r="T868" i="22" s="1"/>
  <c r="K484" i="22"/>
  <c r="T484" i="22" s="1"/>
  <c r="K248" i="22"/>
  <c r="T248" i="22" s="1"/>
  <c r="K465" i="22"/>
  <c r="T465" i="22" s="1"/>
  <c r="K253" i="22"/>
  <c r="T253" i="22" s="1"/>
  <c r="K294" i="22"/>
  <c r="K437" i="22"/>
  <c r="T437" i="22" s="1"/>
  <c r="J638" i="22"/>
  <c r="K638" i="22" s="1"/>
  <c r="J232" i="22"/>
  <c r="K232" i="22" s="1"/>
  <c r="J298" i="22"/>
  <c r="K298" i="22" s="1"/>
  <c r="K188" i="22"/>
  <c r="T188" i="22" s="1"/>
  <c r="K252" i="22"/>
  <c r="T252" i="22" s="1"/>
  <c r="K343" i="22"/>
  <c r="K2674" i="22"/>
  <c r="K2667" i="22"/>
  <c r="T2667" i="22" s="1"/>
  <c r="K1991" i="22"/>
  <c r="K1990" i="22"/>
  <c r="K1980" i="22"/>
  <c r="K1916" i="22"/>
  <c r="K1911" i="22"/>
  <c r="K1979" i="22"/>
  <c r="K1906" i="22"/>
  <c r="K1901" i="22"/>
  <c r="K1946" i="22"/>
  <c r="K1982" i="22"/>
  <c r="K1887" i="22"/>
  <c r="K1826" i="22"/>
  <c r="T1826" i="22" s="1"/>
  <c r="K1728" i="22"/>
  <c r="T1728" i="22" s="1"/>
  <c r="K1825" i="22"/>
  <c r="T1825" i="22" s="1"/>
  <c r="K1702" i="22"/>
  <c r="K1741" i="22"/>
  <c r="T1741" i="22" s="1"/>
  <c r="K1796" i="22"/>
  <c r="T1796" i="22" s="1"/>
  <c r="K1727" i="22"/>
  <c r="T1727" i="22" s="1"/>
  <c r="K1722" i="22"/>
  <c r="K1712" i="22"/>
  <c r="K1597" i="22"/>
  <c r="T1597" i="22" s="1"/>
  <c r="K1581" i="22"/>
  <c r="T1581" i="22" s="1"/>
  <c r="K1565" i="22"/>
  <c r="T1565" i="22" s="1"/>
  <c r="K1549" i="22"/>
  <c r="T1549" i="22" s="1"/>
  <c r="K1533" i="22"/>
  <c r="T1533" i="22" s="1"/>
  <c r="K1636" i="22"/>
  <c r="T1636" i="22" s="1"/>
  <c r="K1635" i="22"/>
  <c r="T1635" i="22" s="1"/>
  <c r="K1656" i="22"/>
  <c r="T1656" i="22" s="1"/>
  <c r="K1627" i="22"/>
  <c r="T1627" i="22" s="1"/>
  <c r="K1584" i="22"/>
  <c r="T1584" i="22" s="1"/>
  <c r="K1568" i="22"/>
  <c r="T1568" i="22" s="1"/>
  <c r="K1552" i="22"/>
  <c r="T1552" i="22" s="1"/>
  <c r="K1536" i="22"/>
  <c r="T1536" i="22" s="1"/>
  <c r="K1520" i="22"/>
  <c r="T1520" i="22" s="1"/>
  <c r="K1643" i="22"/>
  <c r="T1643" i="22" s="1"/>
  <c r="K1600" i="22"/>
  <c r="T1600" i="22" s="1"/>
  <c r="K1434" i="22"/>
  <c r="T1434" i="22" s="1"/>
  <c r="K1375" i="22"/>
  <c r="T1375" i="22" s="1"/>
  <c r="K1515" i="22"/>
  <c r="T1515" i="22" s="1"/>
  <c r="K1507" i="22"/>
  <c r="T1507" i="22" s="1"/>
  <c r="K1499" i="22"/>
  <c r="T1499" i="22" s="1"/>
  <c r="K1491" i="22"/>
  <c r="T1491" i="22" s="1"/>
  <c r="K1483" i="22"/>
  <c r="T1483" i="22" s="1"/>
  <c r="K1475" i="22"/>
  <c r="T1475" i="22" s="1"/>
  <c r="K1467" i="22"/>
  <c r="T1467" i="22" s="1"/>
  <c r="K1459" i="22"/>
  <c r="T1459" i="22" s="1"/>
  <c r="K1451" i="22"/>
  <c r="T1451" i="22" s="1"/>
  <c r="K1443" i="22"/>
  <c r="T1443" i="22" s="1"/>
  <c r="K1382" i="22"/>
  <c r="T1382" i="22" s="1"/>
  <c r="K1403" i="22"/>
  <c r="T1403" i="22" s="1"/>
  <c r="K1619" i="22"/>
  <c r="T1619" i="22" s="1"/>
  <c r="K1424" i="22"/>
  <c r="T1424" i="22" s="1"/>
  <c r="K1360" i="22"/>
  <c r="T1360" i="22" s="1"/>
  <c r="K1280" i="22"/>
  <c r="T1280" i="22" s="1"/>
  <c r="K1258" i="22"/>
  <c r="T1258" i="22" s="1"/>
  <c r="K1242" i="22"/>
  <c r="T1242" i="22" s="1"/>
  <c r="K1226" i="22"/>
  <c r="T1226" i="22" s="1"/>
  <c r="K1210" i="22"/>
  <c r="T1210" i="22" s="1"/>
  <c r="K1338" i="22"/>
  <c r="T1338" i="22" s="1"/>
  <c r="K1299" i="22"/>
  <c r="T1299" i="22" s="1"/>
  <c r="K1332" i="22"/>
  <c r="T1332" i="22" s="1"/>
  <c r="K1386" i="22"/>
  <c r="T1386" i="22" s="1"/>
  <c r="K1305" i="22"/>
  <c r="T1305" i="22" s="1"/>
  <c r="K1519" i="22"/>
  <c r="T1519" i="22" s="1"/>
  <c r="K1261" i="22"/>
  <c r="T1261" i="22" s="1"/>
  <c r="K1229" i="22"/>
  <c r="T1229" i="22" s="1"/>
  <c r="K1193" i="22"/>
  <c r="T1193" i="22" s="1"/>
  <c r="K1185" i="22"/>
  <c r="T1185" i="22" s="1"/>
  <c r="K1151" i="22"/>
  <c r="T1151" i="22" s="1"/>
  <c r="K1119" i="22"/>
  <c r="T1119" i="22" s="1"/>
  <c r="K1097" i="22"/>
  <c r="T1097" i="22" s="1"/>
  <c r="K1081" i="22"/>
  <c r="T1081" i="22" s="1"/>
  <c r="K1065" i="22"/>
  <c r="T1065" i="22" s="1"/>
  <c r="K1049" i="22"/>
  <c r="T1049" i="22" s="1"/>
  <c r="K1312" i="22"/>
  <c r="T1312" i="22" s="1"/>
  <c r="K1316" i="22"/>
  <c r="T1316" i="22" s="1"/>
  <c r="K1247" i="22"/>
  <c r="T1247" i="22" s="1"/>
  <c r="K1215" i="22"/>
  <c r="T1215" i="22" s="1"/>
  <c r="K1169" i="22"/>
  <c r="T1169" i="22" s="1"/>
  <c r="K1137" i="22"/>
  <c r="T1137" i="22" s="1"/>
  <c r="K1106" i="22"/>
  <c r="T1106" i="22" s="1"/>
  <c r="K1090" i="22"/>
  <c r="T1090" i="22" s="1"/>
  <c r="K1074" i="22"/>
  <c r="T1074" i="22" s="1"/>
  <c r="K1058" i="22"/>
  <c r="T1058" i="22" s="1"/>
  <c r="K1288" i="22"/>
  <c r="T1288" i="22" s="1"/>
  <c r="K1036" i="22"/>
  <c r="T1036" i="22" s="1"/>
  <c r="K1028" i="22"/>
  <c r="T1028" i="22" s="1"/>
  <c r="K1020" i="22"/>
  <c r="T1020" i="22" s="1"/>
  <c r="K1012" i="22"/>
  <c r="T1012" i="22" s="1"/>
  <c r="K1004" i="22"/>
  <c r="T1004" i="22" s="1"/>
  <c r="K996" i="22"/>
  <c r="T996" i="22" s="1"/>
  <c r="K913" i="22"/>
  <c r="T913" i="22" s="1"/>
  <c r="K706" i="22"/>
  <c r="K976" i="22"/>
  <c r="T976" i="22" s="1"/>
  <c r="K912" i="22"/>
  <c r="T912" i="22" s="1"/>
  <c r="K949" i="22"/>
  <c r="T949" i="22" s="1"/>
  <c r="K805" i="22"/>
  <c r="T805" i="22" s="1"/>
  <c r="K983" i="22"/>
  <c r="T983" i="22" s="1"/>
  <c r="K922" i="22"/>
  <c r="T922" i="22" s="1"/>
  <c r="K707" i="22"/>
  <c r="K743" i="22"/>
  <c r="T743" i="22" s="1"/>
  <c r="K652" i="22"/>
  <c r="K433" i="22"/>
  <c r="K647" i="22"/>
  <c r="K427" i="22"/>
  <c r="K659" i="22"/>
  <c r="K738" i="22"/>
  <c r="T738" i="22" s="1"/>
  <c r="K543" i="22"/>
  <c r="K908" i="22"/>
  <c r="T908" i="22" s="1"/>
  <c r="K601" i="22"/>
  <c r="T601" i="22" s="1"/>
  <c r="K986" i="22"/>
  <c r="T986" i="22" s="1"/>
  <c r="K550" i="22"/>
  <c r="K420" i="22"/>
  <c r="K456" i="22"/>
  <c r="K297" i="22"/>
  <c r="K672" i="22"/>
  <c r="K439" i="22"/>
  <c r="K321" i="22"/>
  <c r="K195" i="22"/>
  <c r="K403" i="22"/>
  <c r="K266" i="22"/>
  <c r="K458" i="22"/>
  <c r="T458" i="22" s="1"/>
  <c r="K342" i="22"/>
  <c r="K729" i="22"/>
  <c r="T729" i="22" s="1"/>
  <c r="K344" i="22"/>
  <c r="K241" i="22"/>
  <c r="T241" i="22" s="1"/>
  <c r="K593" i="22"/>
  <c r="T593" i="22" s="1"/>
  <c r="K288" i="22"/>
  <c r="K637" i="22"/>
  <c r="T637" i="22" s="1"/>
  <c r="K327" i="22"/>
  <c r="K124" i="22"/>
  <c r="J280" i="22"/>
  <c r="K280" i="22" s="1"/>
  <c r="J370" i="22"/>
  <c r="K370" i="22" s="1"/>
  <c r="K72" i="22"/>
  <c r="T72" i="22" s="1"/>
  <c r="K153" i="22"/>
  <c r="T153" i="22" s="1"/>
  <c r="K250" i="22"/>
  <c r="T250" i="22" s="1"/>
  <c r="K167" i="22"/>
  <c r="T167" i="22" s="1"/>
  <c r="K233" i="22"/>
  <c r="T233" i="22" s="1"/>
  <c r="K319" i="22"/>
  <c r="K676" i="22"/>
  <c r="K485" i="22"/>
  <c r="T485" i="22" s="1"/>
  <c r="K848" i="22"/>
  <c r="T848" i="22" s="1"/>
  <c r="K880" i="22"/>
  <c r="T880" i="22" s="1"/>
  <c r="K464" i="22"/>
  <c r="T464" i="22" s="1"/>
  <c r="K623" i="22"/>
  <c r="T623" i="22" s="1"/>
  <c r="K121" i="22"/>
  <c r="T121" i="22" s="1"/>
  <c r="K546" i="22"/>
  <c r="T546" i="22" s="1"/>
  <c r="K674" i="22"/>
  <c r="T674" i="22" s="1"/>
  <c r="K335" i="22"/>
  <c r="T335" i="22" s="1"/>
  <c r="J667" i="22"/>
  <c r="K667" i="22" s="1"/>
  <c r="J649" i="22"/>
  <c r="K649" i="22" s="1"/>
  <c r="J388" i="22"/>
  <c r="K388" i="22" s="1"/>
  <c r="J274" i="22"/>
  <c r="K274" i="22" s="1"/>
  <c r="K296" i="22"/>
  <c r="T296" i="22" s="1"/>
  <c r="K365" i="22"/>
  <c r="T365" i="22" s="1"/>
  <c r="K2672" i="22"/>
  <c r="K2665" i="22"/>
  <c r="T2665" i="22" s="1"/>
  <c r="K1975" i="22"/>
  <c r="K1968" i="22"/>
  <c r="K1971" i="22"/>
  <c r="K1902" i="22"/>
  <c r="K1897" i="22"/>
  <c r="K1970" i="22"/>
  <c r="K1890" i="22"/>
  <c r="K1899" i="22"/>
  <c r="K1926" i="22"/>
  <c r="K1960" i="22"/>
  <c r="K2041" i="22"/>
  <c r="T2041" i="22" s="1"/>
  <c r="K1797" i="22"/>
  <c r="T1797" i="22" s="1"/>
  <c r="K1721" i="22"/>
  <c r="K1801" i="22"/>
  <c r="T1801" i="22" s="1"/>
  <c r="K1977" i="22"/>
  <c r="T1977" i="22" s="1"/>
  <c r="K1720" i="22"/>
  <c r="K1794" i="22"/>
  <c r="T1794" i="22" s="1"/>
  <c r="K1713" i="22"/>
  <c r="K1708" i="22"/>
  <c r="K1647" i="22"/>
  <c r="T1647" i="22" s="1"/>
  <c r="K1595" i="22"/>
  <c r="T1595" i="22" s="1"/>
  <c r="K1579" i="22"/>
  <c r="T1579" i="22" s="1"/>
  <c r="K1563" i="22"/>
  <c r="T1563" i="22" s="1"/>
  <c r="K1547" i="22"/>
  <c r="T1547" i="22" s="1"/>
  <c r="K1531" i="22"/>
  <c r="T1531" i="22" s="1"/>
  <c r="K1618" i="22"/>
  <c r="T1618" i="22" s="1"/>
  <c r="K1624" i="22"/>
  <c r="T1624" i="22" s="1"/>
  <c r="K1655" i="22"/>
  <c r="T1655" i="22" s="1"/>
  <c r="K1598" i="22"/>
  <c r="T1598" i="22" s="1"/>
  <c r="K1582" i="22"/>
  <c r="T1582" i="22" s="1"/>
  <c r="K1566" i="22"/>
  <c r="T1566" i="22" s="1"/>
  <c r="K1550" i="22"/>
  <c r="T1550" i="22" s="1"/>
  <c r="K1534" i="22"/>
  <c r="T1534" i="22" s="1"/>
  <c r="K1518" i="22"/>
  <c r="T1518" i="22" s="1"/>
  <c r="K1638" i="22"/>
  <c r="T1638" i="22" s="1"/>
  <c r="K1789" i="22"/>
  <c r="T1789" i="22" s="1"/>
  <c r="K1431" i="22"/>
  <c r="T1431" i="22" s="1"/>
  <c r="K1367" i="22"/>
  <c r="T1367" i="22" s="1"/>
  <c r="K1514" i="22"/>
  <c r="T1514" i="22" s="1"/>
  <c r="K1506" i="22"/>
  <c r="T1506" i="22" s="1"/>
  <c r="K1498" i="22"/>
  <c r="T1498" i="22" s="1"/>
  <c r="K1490" i="22"/>
  <c r="T1490" i="22" s="1"/>
  <c r="K1482" i="22"/>
  <c r="T1482" i="22" s="1"/>
  <c r="K1474" i="22"/>
  <c r="T1474" i="22" s="1"/>
  <c r="K1466" i="22"/>
  <c r="T1466" i="22" s="1"/>
  <c r="K1458" i="22"/>
  <c r="T1458" i="22" s="1"/>
  <c r="K1450" i="22"/>
  <c r="T1450" i="22" s="1"/>
  <c r="K1442" i="22"/>
  <c r="T1442" i="22" s="1"/>
  <c r="K1691" i="22"/>
  <c r="T1691" i="22" s="1"/>
  <c r="K1395" i="22"/>
  <c r="T1395" i="22" s="1"/>
  <c r="K1615" i="22"/>
  <c r="T1615" i="22" s="1"/>
  <c r="K1416" i="22"/>
  <c r="T1416" i="22" s="1"/>
  <c r="K1352" i="22"/>
  <c r="T1352" i="22" s="1"/>
  <c r="K1272" i="22"/>
  <c r="T1272" i="22" s="1"/>
  <c r="K1256" i="22"/>
  <c r="T1256" i="22" s="1"/>
  <c r="K1240" i="22"/>
  <c r="T1240" i="22" s="1"/>
  <c r="K1224" i="22"/>
  <c r="T1224" i="22" s="1"/>
  <c r="K1208" i="22"/>
  <c r="T1208" i="22" s="1"/>
  <c r="K1327" i="22"/>
  <c r="T1327" i="22" s="1"/>
  <c r="K1295" i="22"/>
  <c r="T1295" i="22" s="1"/>
  <c r="K1374" i="22"/>
  <c r="T1374" i="22" s="1"/>
  <c r="K1370" i="22"/>
  <c r="T1370" i="22" s="1"/>
  <c r="K1301" i="22"/>
  <c r="T1301" i="22" s="1"/>
  <c r="K1394" i="22"/>
  <c r="T1394" i="22" s="1"/>
  <c r="K1257" i="22"/>
  <c r="T1257" i="22" s="1"/>
  <c r="K1225" i="22"/>
  <c r="T1225" i="22" s="1"/>
  <c r="K1192" i="22"/>
  <c r="T1192" i="22" s="1"/>
  <c r="K1179" i="22"/>
  <c r="T1179" i="22" s="1"/>
  <c r="K1147" i="22"/>
  <c r="T1147" i="22" s="1"/>
  <c r="K1115" i="22"/>
  <c r="T1115" i="22" s="1"/>
  <c r="K1095" i="22"/>
  <c r="T1095" i="22" s="1"/>
  <c r="K1079" i="22"/>
  <c r="T1079" i="22" s="1"/>
  <c r="K1063" i="22"/>
  <c r="T1063" i="22" s="1"/>
  <c r="K1047" i="22"/>
  <c r="T1047" i="22" s="1"/>
  <c r="K1296" i="22"/>
  <c r="T1296" i="22" s="1"/>
  <c r="K1300" i="22"/>
  <c r="T1300" i="22" s="1"/>
  <c r="K1243" i="22"/>
  <c r="T1243" i="22" s="1"/>
  <c r="K1211" i="22"/>
  <c r="T1211" i="22" s="1"/>
  <c r="K1165" i="22"/>
  <c r="T1165" i="22" s="1"/>
  <c r="K1133" i="22"/>
  <c r="T1133" i="22" s="1"/>
  <c r="K1104" i="22"/>
  <c r="T1104" i="22" s="1"/>
  <c r="K1088" i="22"/>
  <c r="T1088" i="22" s="1"/>
  <c r="K1072" i="22"/>
  <c r="T1072" i="22" s="1"/>
  <c r="K1056" i="22"/>
  <c r="T1056" i="22" s="1"/>
  <c r="K1050" i="22"/>
  <c r="T1050" i="22" s="1"/>
  <c r="K1035" i="22"/>
  <c r="T1035" i="22" s="1"/>
  <c r="K1027" i="22"/>
  <c r="T1027" i="22" s="1"/>
  <c r="K1019" i="22"/>
  <c r="T1019" i="22" s="1"/>
  <c r="K1011" i="22"/>
  <c r="T1011" i="22" s="1"/>
  <c r="K1003" i="22"/>
  <c r="T1003" i="22" s="1"/>
  <c r="K969" i="22"/>
  <c r="T969" i="22" s="1"/>
  <c r="K905" i="22"/>
  <c r="T905" i="22" s="1"/>
  <c r="K1052" i="22"/>
  <c r="T1052" i="22" s="1"/>
  <c r="K968" i="22"/>
  <c r="T968" i="22" s="1"/>
  <c r="K904" i="22"/>
  <c r="T904" i="22" s="1"/>
  <c r="K941" i="22"/>
  <c r="T941" i="22" s="1"/>
  <c r="K797" i="22"/>
  <c r="T797" i="22" s="1"/>
  <c r="K979" i="22"/>
  <c r="T979" i="22" s="1"/>
  <c r="K914" i="22"/>
  <c r="T914" i="22" s="1"/>
  <c r="K690" i="22"/>
  <c r="K733" i="22"/>
  <c r="T733" i="22" s="1"/>
  <c r="K626" i="22"/>
  <c r="T626" i="22" s="1"/>
  <c r="K940" i="22"/>
  <c r="T940" i="22" s="1"/>
  <c r="K549" i="22"/>
  <c r="K948" i="22"/>
  <c r="T948" i="22" s="1"/>
  <c r="K474" i="22"/>
  <c r="K687" i="22"/>
  <c r="K478" i="22"/>
  <c r="K737" i="22"/>
  <c r="T737" i="22" s="1"/>
  <c r="K598" i="22"/>
  <c r="T598" i="22" s="1"/>
  <c r="K982" i="22"/>
  <c r="T982" i="22" s="1"/>
  <c r="K548" i="22"/>
  <c r="K916" i="22"/>
  <c r="T916" i="22" s="1"/>
  <c r="K415" i="22"/>
  <c r="K273" i="22"/>
  <c r="K645" i="22"/>
  <c r="K417" i="22"/>
  <c r="K300" i="22"/>
  <c r="K177" i="22"/>
  <c r="K386" i="22"/>
  <c r="K190" i="22"/>
  <c r="K414" i="22"/>
  <c r="K308" i="22"/>
  <c r="K408" i="22"/>
  <c r="K333" i="22"/>
  <c r="K194" i="22"/>
  <c r="K447" i="22"/>
  <c r="K268" i="22"/>
  <c r="K410" i="22"/>
  <c r="K291" i="22"/>
  <c r="K135" i="22"/>
  <c r="T135" i="22" s="1"/>
  <c r="K245" i="22"/>
  <c r="T245" i="22" s="1"/>
  <c r="K287" i="22"/>
  <c r="T287" i="22" s="1"/>
  <c r="K379" i="22"/>
  <c r="K74" i="22"/>
  <c r="T74" i="22" s="1"/>
  <c r="K191" i="22"/>
  <c r="K249" i="22"/>
  <c r="T249" i="22" s="1"/>
  <c r="K267" i="22"/>
  <c r="K624" i="22"/>
  <c r="T624" i="22" s="1"/>
  <c r="K644" i="22"/>
  <c r="T644" i="22" s="1"/>
  <c r="K860" i="22"/>
  <c r="T860" i="22" s="1"/>
  <c r="K470" i="22"/>
  <c r="T470" i="22" s="1"/>
  <c r="K627" i="22"/>
  <c r="T627" i="22" s="1"/>
  <c r="K724" i="22"/>
  <c r="T724" i="22" s="1"/>
  <c r="K425" i="22"/>
  <c r="T425" i="22" s="1"/>
  <c r="K723" i="22"/>
  <c r="T723" i="22" s="1"/>
  <c r="K469" i="22"/>
  <c r="T469" i="22" s="1"/>
  <c r="K500" i="22"/>
  <c r="T500" i="22" s="1"/>
  <c r="K632" i="22"/>
  <c r="T632" i="22" s="1"/>
  <c r="K625" i="22"/>
  <c r="T625" i="22" s="1"/>
  <c r="K646" i="22"/>
  <c r="K851" i="22"/>
  <c r="T851" i="22" s="1"/>
  <c r="K883" i="22"/>
  <c r="T883" i="22" s="1"/>
  <c r="J636" i="22"/>
  <c r="K636" i="22" s="1"/>
  <c r="K493" i="22"/>
  <c r="T493" i="22" s="1"/>
  <c r="K591" i="22"/>
  <c r="T591" i="22" s="1"/>
  <c r="K975" i="22"/>
  <c r="T975" i="22" s="1"/>
  <c r="K843" i="22"/>
  <c r="T843" i="22" s="1"/>
  <c r="K879" i="22"/>
  <c r="T879" i="22" s="1"/>
  <c r="K717" i="22"/>
  <c r="T717" i="22" s="1"/>
  <c r="K858" i="22"/>
  <c r="T858" i="22" s="1"/>
  <c r="K955" i="22"/>
  <c r="T955" i="22" s="1"/>
  <c r="K722" i="22"/>
  <c r="T722" i="22" s="1"/>
  <c r="K853" i="22"/>
  <c r="T853" i="22" s="1"/>
  <c r="K885" i="22"/>
  <c r="T885" i="22" s="1"/>
  <c r="K910" i="22"/>
  <c r="T910" i="22" s="1"/>
  <c r="K1112" i="22"/>
  <c r="T1112" i="22" s="1"/>
  <c r="K1146" i="22"/>
  <c r="T1146" i="22" s="1"/>
  <c r="K1162" i="22"/>
  <c r="T1162" i="22" s="1"/>
  <c r="K1178" i="22"/>
  <c r="T1178" i="22" s="1"/>
  <c r="K1286" i="22"/>
  <c r="T1286" i="22" s="1"/>
  <c r="K1428" i="22"/>
  <c r="T1428" i="22" s="1"/>
  <c r="K1377" i="22"/>
  <c r="T1377" i="22" s="1"/>
  <c r="K1349" i="22"/>
  <c r="T1349" i="22" s="1"/>
  <c r="K1380" i="22"/>
  <c r="T1380" i="22" s="1"/>
  <c r="K1989" i="22"/>
  <c r="T1989" i="22" s="1"/>
  <c r="K1800" i="22"/>
  <c r="T1800" i="22" s="1"/>
  <c r="K2025" i="22"/>
  <c r="T2025" i="22" s="1"/>
  <c r="K1832" i="22"/>
  <c r="T1832" i="22" s="1"/>
  <c r="K1864" i="22"/>
  <c r="T1864" i="22" s="1"/>
  <c r="K1845" i="22"/>
  <c r="T1845" i="22" s="1"/>
  <c r="K2033" i="22"/>
  <c r="T2033" i="22" s="1"/>
  <c r="K1981" i="22"/>
  <c r="T1981" i="22" s="1"/>
  <c r="K2113" i="22"/>
  <c r="T2113" i="22" s="1"/>
  <c r="K2204" i="22"/>
  <c r="T2204" i="22" s="1"/>
  <c r="K2216" i="22"/>
  <c r="T2216" i="22" s="1"/>
  <c r="K2366" i="22"/>
  <c r="T2366" i="22" s="1"/>
  <c r="K2438" i="22"/>
  <c r="T2438" i="22" s="1"/>
  <c r="K2510" i="22"/>
  <c r="T2510" i="22" s="1"/>
  <c r="K501" i="22"/>
  <c r="T501" i="22" s="1"/>
  <c r="K536" i="22"/>
  <c r="T536" i="22" s="1"/>
  <c r="K589" i="22"/>
  <c r="T589" i="22" s="1"/>
  <c r="J436" i="22"/>
  <c r="K436" i="22" s="1"/>
  <c r="K597" i="22"/>
  <c r="T597" i="22" s="1"/>
  <c r="K732" i="22"/>
  <c r="T732" i="22" s="1"/>
  <c r="K552" i="22"/>
  <c r="T552" i="22" s="1"/>
  <c r="K587" i="22"/>
  <c r="T587" i="22" s="1"/>
  <c r="J697" i="22"/>
  <c r="K697" i="22" s="1"/>
  <c r="K927" i="22"/>
  <c r="T927" i="22" s="1"/>
  <c r="K496" i="22"/>
  <c r="T496" i="22" s="1"/>
  <c r="K621" i="22"/>
  <c r="T621" i="22" s="1"/>
  <c r="K958" i="22"/>
  <c r="T958" i="22" s="1"/>
  <c r="K902" i="22"/>
  <c r="T902" i="22" s="1"/>
  <c r="K847" i="22"/>
  <c r="T847" i="22" s="1"/>
  <c r="K887" i="22"/>
  <c r="T887" i="22" s="1"/>
  <c r="K870" i="22"/>
  <c r="T870" i="22" s="1"/>
  <c r="K926" i="22"/>
  <c r="T926" i="22" s="1"/>
  <c r="K903" i="22"/>
  <c r="T903" i="22" s="1"/>
  <c r="K857" i="22"/>
  <c r="T857" i="22" s="1"/>
  <c r="K1128" i="22"/>
  <c r="T1128" i="22" s="1"/>
  <c r="K1108" i="22"/>
  <c r="T1108" i="22" s="1"/>
  <c r="K1130" i="22"/>
  <c r="T1130" i="22" s="1"/>
  <c r="K1120" i="22"/>
  <c r="T1120" i="22" s="1"/>
  <c r="K1306" i="22"/>
  <c r="T1306" i="22" s="1"/>
  <c r="K1421" i="22"/>
  <c r="T1421" i="22" s="1"/>
  <c r="K1318" i="22"/>
  <c r="T1318" i="22" s="1"/>
  <c r="K1356" i="22"/>
  <c r="T1356" i="22" s="1"/>
  <c r="K1420" i="22"/>
  <c r="T1420" i="22" s="1"/>
  <c r="K1361" i="22"/>
  <c r="T1361" i="22" s="1"/>
  <c r="K1695" i="22"/>
  <c r="T1695" i="22" s="1"/>
  <c r="K1925" i="22"/>
  <c r="T1925" i="22" s="1"/>
  <c r="K1909" i="22"/>
  <c r="T1909" i="22" s="1"/>
  <c r="K1817" i="22"/>
  <c r="T1817" i="22" s="1"/>
  <c r="K1896" i="22"/>
  <c r="T1896" i="22" s="1"/>
  <c r="K1829" i="22"/>
  <c r="T1829" i="22" s="1"/>
  <c r="K2085" i="22"/>
  <c r="T2085" i="22" s="1"/>
  <c r="K1993" i="22"/>
  <c r="T1993" i="22" s="1"/>
  <c r="K2021" i="22"/>
  <c r="T2021" i="22" s="1"/>
  <c r="K1913" i="22"/>
  <c r="T1913" i="22" s="1"/>
  <c r="K2045" i="22"/>
  <c r="T2045" i="22" s="1"/>
  <c r="K2069" i="22"/>
  <c r="T2069" i="22" s="1"/>
  <c r="K2148" i="22"/>
  <c r="T2148" i="22" s="1"/>
  <c r="K2029" i="22"/>
  <c r="T2029" i="22" s="1"/>
  <c r="K2450" i="22"/>
  <c r="T2450" i="22" s="1"/>
  <c r="K2522" i="22"/>
  <c r="T2522" i="22" s="1"/>
  <c r="K735" i="22"/>
  <c r="T735" i="22" s="1"/>
  <c r="K617" i="22"/>
  <c r="T617" i="22" s="1"/>
  <c r="K855" i="22"/>
  <c r="T855" i="22" s="1"/>
  <c r="K890" i="22"/>
  <c r="T890" i="22" s="1"/>
  <c r="K963" i="22"/>
  <c r="T963" i="22" s="1"/>
  <c r="K850" i="22"/>
  <c r="T850" i="22" s="1"/>
  <c r="K882" i="22"/>
  <c r="T882" i="22" s="1"/>
  <c r="K959" i="22"/>
  <c r="T959" i="22" s="1"/>
  <c r="K907" i="22"/>
  <c r="T907" i="22" s="1"/>
  <c r="K861" i="22"/>
  <c r="T861" i="22" s="1"/>
  <c r="K1144" i="22"/>
  <c r="T1144" i="22" s="1"/>
  <c r="K1124" i="22"/>
  <c r="T1124" i="22" s="1"/>
  <c r="K1114" i="22"/>
  <c r="T1114" i="22" s="1"/>
  <c r="K1314" i="22"/>
  <c r="T1314" i="22" s="1"/>
  <c r="K1136" i="22"/>
  <c r="T1136" i="22" s="1"/>
  <c r="K1174" i="22"/>
  <c r="T1174" i="22" s="1"/>
  <c r="K1116" i="22"/>
  <c r="T1116" i="22" s="1"/>
  <c r="K1294" i="22"/>
  <c r="T1294" i="22" s="1"/>
  <c r="K1322" i="22"/>
  <c r="T1322" i="22" s="1"/>
  <c r="K1279" i="22"/>
  <c r="T1279" i="22" s="1"/>
  <c r="K1396" i="22"/>
  <c r="T1396" i="22" s="1"/>
  <c r="K1429" i="22"/>
  <c r="T1429" i="22" s="1"/>
  <c r="K1628" i="22"/>
  <c r="T1628" i="22" s="1"/>
  <c r="K1847" i="22"/>
  <c r="T1847" i="22" s="1"/>
  <c r="K1621" i="22"/>
  <c r="T1621" i="22" s="1"/>
  <c r="K1697" i="22"/>
  <c r="T1697" i="22" s="1"/>
  <c r="K1711" i="22"/>
  <c r="T1711" i="22" s="1"/>
  <c r="K1703" i="22"/>
  <c r="T1703" i="22" s="1"/>
  <c r="K1838" i="22"/>
  <c r="T1838" i="22" s="1"/>
  <c r="K1884" i="22"/>
  <c r="T1884" i="22" s="1"/>
  <c r="K1846" i="22"/>
  <c r="T1846" i="22" s="1"/>
  <c r="K1957" i="22"/>
  <c r="T1957" i="22" s="1"/>
  <c r="K1811" i="22"/>
  <c r="T1811" i="22" s="1"/>
  <c r="K1856" i="22"/>
  <c r="T1856" i="22" s="1"/>
  <c r="K2061" i="22"/>
  <c r="T2061" i="22" s="1"/>
  <c r="K1872" i="22"/>
  <c r="T1872" i="22" s="1"/>
  <c r="K1929" i="22"/>
  <c r="T1929" i="22" s="1"/>
  <c r="K1904" i="22"/>
  <c r="T1904" i="22" s="1"/>
  <c r="K2081" i="22"/>
  <c r="T2081" i="22" s="1"/>
  <c r="K2153" i="22"/>
  <c r="T2153" i="22" s="1"/>
  <c r="K2158" i="22"/>
  <c r="T2158" i="22" s="1"/>
  <c r="K2252" i="22"/>
  <c r="T2252" i="22" s="1"/>
  <c r="K622" i="22"/>
  <c r="T622" i="22" s="1"/>
  <c r="K651" i="22"/>
  <c r="K704" i="22"/>
  <c r="T704" i="22" s="1"/>
  <c r="K950" i="22"/>
  <c r="T950" i="22" s="1"/>
  <c r="K1170" i="22"/>
  <c r="T1170" i="22" s="1"/>
  <c r="K859" i="22"/>
  <c r="T859" i="22" s="1"/>
  <c r="K894" i="22"/>
  <c r="T894" i="22" s="1"/>
  <c r="K934" i="22"/>
  <c r="T934" i="22" s="1"/>
  <c r="K967" i="22"/>
  <c r="T967" i="22" s="1"/>
  <c r="K862" i="22"/>
  <c r="T862" i="22" s="1"/>
  <c r="K939" i="22"/>
  <c r="T939" i="22" s="1"/>
  <c r="K974" i="22"/>
  <c r="T974" i="22" s="1"/>
  <c r="K865" i="22"/>
  <c r="T865" i="22" s="1"/>
  <c r="K1160" i="22"/>
  <c r="T1160" i="22" s="1"/>
  <c r="K1140" i="22"/>
  <c r="T1140" i="22" s="1"/>
  <c r="K1152" i="22"/>
  <c r="T1152" i="22" s="1"/>
  <c r="K1158" i="22"/>
  <c r="T1158" i="22" s="1"/>
  <c r="K1132" i="22"/>
  <c r="T1132" i="22" s="1"/>
  <c r="K1278" i="22"/>
  <c r="T1278" i="22" s="1"/>
  <c r="K1274" i="22"/>
  <c r="T1274" i="22" s="1"/>
  <c r="K1282" i="22"/>
  <c r="T1282" i="22" s="1"/>
  <c r="K1337" i="22"/>
  <c r="T1337" i="22" s="1"/>
  <c r="K1393" i="22"/>
  <c r="T1393" i="22" s="1"/>
  <c r="K1850" i="22"/>
  <c r="T1850" i="22" s="1"/>
  <c r="K1365" i="22"/>
  <c r="T1365" i="22" s="1"/>
  <c r="K1385" i="22"/>
  <c r="T1385" i="22" s="1"/>
  <c r="K1397" i="22"/>
  <c r="T1397" i="22" s="1"/>
  <c r="K1341" i="22"/>
  <c r="T1341" i="22" s="1"/>
  <c r="K1353" i="22"/>
  <c r="T1353" i="22" s="1"/>
  <c r="K1632" i="22"/>
  <c r="T1632" i="22" s="1"/>
  <c r="K1706" i="22"/>
  <c r="T1706" i="22" s="1"/>
  <c r="K1917" i="22"/>
  <c r="T1917" i="22" s="1"/>
  <c r="K1637" i="22"/>
  <c r="T1637" i="22" s="1"/>
  <c r="K1945" i="22"/>
  <c r="T1945" i="22" s="1"/>
  <c r="K1698" i="22"/>
  <c r="T1698" i="22" s="1"/>
  <c r="K1707" i="22"/>
  <c r="T1707" i="22" s="1"/>
  <c r="K2017" i="22"/>
  <c r="T2017" i="22" s="1"/>
  <c r="K1965" i="22"/>
  <c r="T1965" i="22" s="1"/>
  <c r="K2093" i="22"/>
  <c r="T2093" i="22" s="1"/>
  <c r="K2065" i="22"/>
  <c r="T2065" i="22" s="1"/>
  <c r="K1860" i="22"/>
  <c r="T1860" i="22" s="1"/>
  <c r="K2109" i="22"/>
  <c r="T2109" i="22" s="1"/>
  <c r="K2053" i="22"/>
  <c r="T2053" i="22" s="1"/>
  <c r="K2174" i="22"/>
  <c r="T2174" i="22" s="1"/>
  <c r="K2234" i="22"/>
  <c r="T2234" i="22" s="1"/>
  <c r="K2288" i="22"/>
  <c r="T2288" i="22" s="1"/>
  <c r="K2390" i="22"/>
  <c r="T2390" i="22" s="1"/>
  <c r="K2258" i="22"/>
  <c r="T2258" i="22" s="1"/>
  <c r="K2306" i="22"/>
  <c r="T2306" i="22" s="1"/>
  <c r="K497" i="22"/>
  <c r="T497" i="22" s="1"/>
  <c r="K487" i="22"/>
  <c r="T487" i="22" s="1"/>
  <c r="K531" i="22"/>
  <c r="T531" i="22" s="1"/>
  <c r="K635" i="22"/>
  <c r="T635" i="22" s="1"/>
  <c r="K453" i="22"/>
  <c r="T453" i="22" s="1"/>
  <c r="K726" i="22"/>
  <c r="T726" i="22" s="1"/>
  <c r="K448" i="22"/>
  <c r="T448" i="22" s="1"/>
  <c r="K656" i="22"/>
  <c r="T656" i="22" s="1"/>
  <c r="K863" i="22"/>
  <c r="T863" i="22" s="1"/>
  <c r="K1154" i="22"/>
  <c r="T1154" i="22" s="1"/>
  <c r="K842" i="22"/>
  <c r="T842" i="22" s="1"/>
  <c r="K874" i="22"/>
  <c r="T874" i="22" s="1"/>
  <c r="K918" i="22"/>
  <c r="T918" i="22" s="1"/>
  <c r="K977" i="22"/>
  <c r="T977" i="22" s="1"/>
  <c r="K889" i="22"/>
  <c r="T889" i="22" s="1"/>
  <c r="J679" i="22"/>
  <c r="K679" i="22" s="1"/>
  <c r="K869" i="22"/>
  <c r="T869" i="22" s="1"/>
  <c r="K895" i="22"/>
  <c r="T895" i="22" s="1"/>
  <c r="K931" i="22"/>
  <c r="T931" i="22" s="1"/>
  <c r="K966" i="22"/>
  <c r="T966" i="22" s="1"/>
  <c r="K1176" i="22"/>
  <c r="T1176" i="22" s="1"/>
  <c r="K1156" i="22"/>
  <c r="T1156" i="22" s="1"/>
  <c r="K1168" i="22"/>
  <c r="T1168" i="22" s="1"/>
  <c r="K1110" i="22"/>
  <c r="T1110" i="22" s="1"/>
  <c r="K1126" i="22"/>
  <c r="T1126" i="22" s="1"/>
  <c r="K1142" i="22"/>
  <c r="T1142" i="22" s="1"/>
  <c r="K1148" i="22"/>
  <c r="T1148" i="22" s="1"/>
  <c r="K1298" i="22"/>
  <c r="T1298" i="22" s="1"/>
  <c r="K1310" i="22"/>
  <c r="T1310" i="22" s="1"/>
  <c r="K1290" i="22"/>
  <c r="T1290" i="22" s="1"/>
  <c r="K1435" i="22"/>
  <c r="T1435" i="22" s="1"/>
  <c r="K1369" i="22"/>
  <c r="T1369" i="22" s="1"/>
  <c r="K1437" i="22"/>
  <c r="T1437" i="22" s="1"/>
  <c r="K1389" i="22"/>
  <c r="T1389" i="22" s="1"/>
  <c r="K1348" i="22"/>
  <c r="T1348" i="22" s="1"/>
  <c r="K1373" i="22"/>
  <c r="T1373" i="22" s="1"/>
  <c r="K1425" i="22"/>
  <c r="T1425" i="22" s="1"/>
  <c r="K1417" i="22"/>
  <c r="T1417" i="22" s="1"/>
  <c r="K1640" i="22"/>
  <c r="T1640" i="22" s="1"/>
  <c r="K1833" i="22"/>
  <c r="T1833" i="22" s="1"/>
  <c r="K1749" i="22"/>
  <c r="T1749" i="22" s="1"/>
  <c r="K1814" i="22"/>
  <c r="T1814" i="22" s="1"/>
  <c r="K1808" i="22"/>
  <c r="T1808" i="22" s="1"/>
  <c r="K1723" i="22"/>
  <c r="T1723" i="22" s="1"/>
  <c r="K1868" i="22"/>
  <c r="T1868" i="22" s="1"/>
  <c r="K2037" i="22"/>
  <c r="T2037" i="22" s="1"/>
  <c r="K1985" i="22"/>
  <c r="T1985" i="22" s="1"/>
  <c r="K1736" i="22"/>
  <c r="T1736" i="22" s="1"/>
  <c r="K1888" i="22"/>
  <c r="T1888" i="22" s="1"/>
  <c r="K1953" i="22"/>
  <c r="T1953" i="22" s="1"/>
  <c r="K1734" i="22"/>
  <c r="T1734" i="22" s="1"/>
  <c r="K1961" i="22"/>
  <c r="T1961" i="22" s="1"/>
  <c r="K1876" i="22"/>
  <c r="T1876" i="22" s="1"/>
  <c r="K2005" i="22"/>
  <c r="T2005" i="22" s="1"/>
  <c r="K1997" i="22"/>
  <c r="T1997" i="22" s="1"/>
  <c r="K2089" i="22"/>
  <c r="T2089" i="22" s="1"/>
  <c r="K2057" i="22"/>
  <c r="T2057" i="22" s="1"/>
  <c r="K2516" i="22"/>
  <c r="T2516" i="22" s="1"/>
  <c r="K419" i="22"/>
  <c r="T419" i="22" s="1"/>
  <c r="K490" i="22"/>
  <c r="T490" i="22" s="1"/>
  <c r="K460" i="22"/>
  <c r="T460" i="22" s="1"/>
  <c r="K483" i="22"/>
  <c r="T483" i="22" s="1"/>
  <c r="K919" i="22"/>
  <c r="T919" i="22" s="1"/>
  <c r="K716" i="22"/>
  <c r="T716" i="22" s="1"/>
  <c r="K867" i="22"/>
  <c r="T867" i="22" s="1"/>
  <c r="K854" i="22"/>
  <c r="T854" i="22" s="1"/>
  <c r="K886" i="22"/>
  <c r="T886" i="22" s="1"/>
  <c r="K981" i="22"/>
  <c r="T981" i="22" s="1"/>
  <c r="K943" i="22"/>
  <c r="T943" i="22" s="1"/>
  <c r="K995" i="22"/>
  <c r="T995" i="22" s="1"/>
  <c r="K699" i="22"/>
  <c r="K841" i="22"/>
  <c r="T841" i="22" s="1"/>
  <c r="K873" i="22"/>
  <c r="T873" i="22" s="1"/>
  <c r="K899" i="22"/>
  <c r="T899" i="22" s="1"/>
  <c r="K1118" i="22"/>
  <c r="T1118" i="22" s="1"/>
  <c r="K1134" i="22"/>
  <c r="T1134" i="22" s="1"/>
  <c r="K1150" i="22"/>
  <c r="T1150" i="22" s="1"/>
  <c r="K1166" i="22"/>
  <c r="T1166" i="22" s="1"/>
  <c r="K1172" i="22"/>
  <c r="T1172" i="22" s="1"/>
  <c r="K1164" i="22"/>
  <c r="T1164" i="22" s="1"/>
  <c r="K1401" i="22"/>
  <c r="T1401" i="22" s="1"/>
  <c r="K1364" i="22"/>
  <c r="T1364" i="22" s="1"/>
  <c r="K1433" i="22"/>
  <c r="T1433" i="22" s="1"/>
  <c r="K1372" i="22"/>
  <c r="T1372" i="22" s="1"/>
  <c r="K1645" i="22"/>
  <c r="T1645" i="22" s="1"/>
  <c r="K1626" i="22"/>
  <c r="T1626" i="22" s="1"/>
  <c r="K1740" i="22"/>
  <c r="T1740" i="22" s="1"/>
  <c r="K1892" i="22"/>
  <c r="T1892" i="22" s="1"/>
  <c r="K1900" i="22"/>
  <c r="T1900" i="22" s="1"/>
  <c r="K1973" i="22"/>
  <c r="T1973" i="22" s="1"/>
  <c r="K1799" i="22"/>
  <c r="T1799" i="22" s="1"/>
  <c r="K1949" i="22"/>
  <c r="T1949" i="22" s="1"/>
  <c r="K1791" i="22"/>
  <c r="T1791" i="22" s="1"/>
  <c r="K1941" i="22"/>
  <c r="T1941" i="22" s="1"/>
  <c r="K2073" i="22"/>
  <c r="T2073" i="22" s="1"/>
  <c r="K2133" i="22"/>
  <c r="T2133" i="22" s="1"/>
  <c r="K2097" i="22"/>
  <c r="T2097" i="22" s="1"/>
  <c r="K2192" i="22"/>
  <c r="T2192" i="22" s="1"/>
  <c r="K2402" i="22"/>
  <c r="T2402" i="22" s="1"/>
  <c r="K2384" i="22"/>
  <c r="T2384" i="22" s="1"/>
  <c r="K472" i="22"/>
  <c r="T472" i="22" s="1"/>
  <c r="K680" i="22"/>
  <c r="T680" i="22" s="1"/>
  <c r="K603" i="22"/>
  <c r="T603" i="22" s="1"/>
  <c r="K923" i="22"/>
  <c r="T923" i="22" s="1"/>
  <c r="K971" i="22"/>
  <c r="T971" i="22" s="1"/>
  <c r="K658" i="22"/>
  <c r="K727" i="22"/>
  <c r="T727" i="22" s="1"/>
  <c r="K871" i="22"/>
  <c r="T871" i="22" s="1"/>
  <c r="K911" i="22"/>
  <c r="T911" i="22" s="1"/>
  <c r="K693" i="22"/>
  <c r="K866" i="22"/>
  <c r="T866" i="22" s="1"/>
  <c r="K947" i="22"/>
  <c r="T947" i="22" s="1"/>
  <c r="K985" i="22"/>
  <c r="T985" i="22" s="1"/>
  <c r="K1138" i="22"/>
  <c r="T1138" i="22" s="1"/>
  <c r="K845" i="22"/>
  <c r="T845" i="22" s="1"/>
  <c r="K877" i="22"/>
  <c r="T877" i="22" s="1"/>
  <c r="K935" i="22"/>
  <c r="T935" i="22" s="1"/>
  <c r="K1180" i="22"/>
  <c r="T1180" i="22" s="1"/>
  <c r="K1326" i="22"/>
  <c r="T1326" i="22" s="1"/>
  <c r="K1413" i="22"/>
  <c r="T1413" i="22" s="1"/>
  <c r="K1340" i="22"/>
  <c r="T1340" i="22" s="1"/>
  <c r="K1381" i="22"/>
  <c r="T1381" i="22" s="1"/>
  <c r="K1388" i="22"/>
  <c r="T1388" i="22" s="1"/>
  <c r="K1357" i="22"/>
  <c r="T1357" i="22" s="1"/>
  <c r="K1630" i="22"/>
  <c r="T1630" i="22" s="1"/>
  <c r="K1828" i="22"/>
  <c r="T1828" i="22" s="1"/>
  <c r="K1744" i="22"/>
  <c r="T1744" i="22" s="1"/>
  <c r="K1839" i="22"/>
  <c r="T1839" i="22" s="1"/>
  <c r="K1969" i="22"/>
  <c r="T1969" i="22" s="1"/>
  <c r="K2138" i="22"/>
  <c r="T2138" i="22" s="1"/>
  <c r="K2077" i="22"/>
  <c r="T2077" i="22" s="1"/>
  <c r="K2123" i="22"/>
  <c r="T2123" i="22" s="1"/>
  <c r="K2198" i="22"/>
  <c r="T2198" i="22" s="1"/>
  <c r="K2354" i="22"/>
  <c r="T2354" i="22" s="1"/>
  <c r="K2552" i="22"/>
  <c r="T2552" i="22" s="1"/>
  <c r="K494" i="22"/>
  <c r="T494" i="22" s="1"/>
  <c r="K541" i="22"/>
  <c r="T541" i="22" s="1"/>
  <c r="K463" i="22"/>
  <c r="T463" i="22" s="1"/>
  <c r="K486" i="22"/>
  <c r="T486" i="22" s="1"/>
  <c r="K529" i="22"/>
  <c r="T529" i="22" s="1"/>
  <c r="K556" i="22"/>
  <c r="T556" i="22" s="1"/>
  <c r="K739" i="22"/>
  <c r="T739" i="22" s="1"/>
  <c r="K471" i="22"/>
  <c r="T471" i="22" s="1"/>
  <c r="K586" i="22"/>
  <c r="T586" i="22" s="1"/>
  <c r="K891" i="22"/>
  <c r="T891" i="22" s="1"/>
  <c r="K801" i="22"/>
  <c r="T801" i="22" s="1"/>
  <c r="K942" i="22"/>
  <c r="T942" i="22" s="1"/>
  <c r="K682" i="22"/>
  <c r="K731" i="22"/>
  <c r="T731" i="22" s="1"/>
  <c r="K875" i="22"/>
  <c r="T875" i="22" s="1"/>
  <c r="K915" i="22"/>
  <c r="T915" i="22" s="1"/>
  <c r="K799" i="22"/>
  <c r="T799" i="22" s="1"/>
  <c r="K846" i="22"/>
  <c r="T846" i="22" s="1"/>
  <c r="K878" i="22"/>
  <c r="T878" i="22" s="1"/>
  <c r="K951" i="22"/>
  <c r="T951" i="22" s="1"/>
  <c r="K989" i="22"/>
  <c r="T989" i="22" s="1"/>
  <c r="K849" i="22"/>
  <c r="T849" i="22" s="1"/>
  <c r="K881" i="22"/>
  <c r="T881" i="22" s="1"/>
  <c r="K1122" i="22"/>
  <c r="T1122" i="22" s="1"/>
  <c r="K1183" i="22"/>
  <c r="T1183" i="22" s="1"/>
  <c r="K1302" i="22"/>
  <c r="T1302" i="22" s="1"/>
  <c r="K1405" i="22"/>
  <c r="T1405" i="22" s="1"/>
  <c r="K1649" i="22"/>
  <c r="T1649" i="22" s="1"/>
  <c r="K1820" i="22"/>
  <c r="T1820" i="22" s="1"/>
  <c r="K1412" i="22"/>
  <c r="T1412" i="22" s="1"/>
  <c r="K1404" i="22"/>
  <c r="T1404" i="22" s="1"/>
  <c r="K1409" i="22"/>
  <c r="T1409" i="22" s="1"/>
  <c r="K1715" i="22"/>
  <c r="T1715" i="22" s="1"/>
  <c r="K1634" i="22"/>
  <c r="T1634" i="22" s="1"/>
  <c r="K1853" i="22"/>
  <c r="T1853" i="22" s="1"/>
  <c r="K1748" i="22"/>
  <c r="T1748" i="22" s="1"/>
  <c r="K1880" i="22"/>
  <c r="T1880" i="22" s="1"/>
  <c r="K1933" i="22"/>
  <c r="T1933" i="22" s="1"/>
  <c r="K1704" i="22"/>
  <c r="T1704" i="22" s="1"/>
  <c r="K1802" i="22"/>
  <c r="T1802" i="22" s="1"/>
  <c r="K2049" i="22"/>
  <c r="T2049" i="22" s="1"/>
  <c r="K2118" i="22"/>
  <c r="T2118" i="22" s="1"/>
  <c r="K2105" i="22"/>
  <c r="T2105" i="22" s="1"/>
  <c r="K2426" i="22"/>
  <c r="T2426" i="22" s="1"/>
  <c r="K2504" i="22"/>
  <c r="T2504" i="22" s="1"/>
  <c r="K2486" i="22"/>
  <c r="T2486" i="22" s="1"/>
  <c r="K2360" i="22"/>
  <c r="T2360" i="22" s="1"/>
  <c r="K609" i="22"/>
  <c r="T609" i="22" s="1"/>
  <c r="K2378" i="22"/>
  <c r="T2378" i="22" s="1"/>
  <c r="K324" i="22"/>
  <c r="K2300" i="22"/>
  <c r="T2300" i="22" s="1"/>
  <c r="K2294" i="22"/>
  <c r="T2294" i="22" s="1"/>
  <c r="K323" i="22"/>
  <c r="T323" i="22" s="1"/>
  <c r="K2606" i="22"/>
  <c r="T2606" i="22" s="1"/>
  <c r="K2324" i="22"/>
  <c r="T2324" i="22" s="1"/>
  <c r="K2564" i="22"/>
  <c r="T2564" i="22" s="1"/>
  <c r="K2246" i="22"/>
  <c r="T2246" i="22" s="1"/>
  <c r="K2330" i="22"/>
  <c r="T2330" i="22" s="1"/>
  <c r="K2312" i="22"/>
  <c r="T2312" i="22" s="1"/>
  <c r="K2570" i="22"/>
  <c r="T2570" i="22" s="1"/>
  <c r="K311" i="22"/>
  <c r="T311" i="22" s="1"/>
  <c r="K2600" i="22"/>
  <c r="T2600" i="22" s="1"/>
  <c r="K2210" i="22"/>
  <c r="T2210" i="22" s="1"/>
  <c r="K2468" i="22"/>
  <c r="T2468" i="22" s="1"/>
  <c r="K2558" i="22"/>
  <c r="T2558" i="22" s="1"/>
  <c r="K2222" i="22"/>
  <c r="T2222" i="22" s="1"/>
  <c r="K2348" i="22"/>
  <c r="T2348" i="22" s="1"/>
  <c r="K2163" i="22"/>
  <c r="T2163" i="22" s="1"/>
  <c r="K2432" i="22"/>
  <c r="T2432" i="22" s="1"/>
  <c r="K2594" i="22"/>
  <c r="T2594" i="22" s="1"/>
  <c r="K2576" i="22"/>
  <c r="T2576" i="22" s="1"/>
  <c r="K2582" i="22"/>
  <c r="T2582" i="22" s="1"/>
  <c r="K2336" i="22"/>
  <c r="T2336" i="22" s="1"/>
  <c r="K2372" i="22"/>
  <c r="T2372" i="22" s="1"/>
  <c r="K2540" i="22"/>
  <c r="T2540" i="22" s="1"/>
  <c r="K2186" i="22"/>
  <c r="T2186" i="22" s="1"/>
  <c r="K2168" i="22"/>
  <c r="T2168" i="22" s="1"/>
  <c r="K2534" i="22"/>
  <c r="T2534" i="22" s="1"/>
  <c r="K692" i="22"/>
  <c r="T692" i="22" s="1"/>
  <c r="K2396" i="22"/>
  <c r="T2396" i="22" s="1"/>
  <c r="K2318" i="22"/>
  <c r="T2318" i="22" s="1"/>
  <c r="K2492" i="22"/>
  <c r="T2492" i="22" s="1"/>
  <c r="K2180" i="22"/>
  <c r="T2180" i="22" s="1"/>
  <c r="K2444" i="22"/>
  <c r="T2444" i="22" s="1"/>
  <c r="K605" i="22"/>
  <c r="K2270" i="22"/>
  <c r="T2270" i="22" s="1"/>
  <c r="K353" i="22"/>
  <c r="T353" i="22" s="1"/>
  <c r="K668" i="22"/>
  <c r="T668" i="22" s="1"/>
  <c r="K401" i="22"/>
  <c r="T401" i="22" s="1"/>
  <c r="K2612" i="22"/>
  <c r="T2612" i="22" s="1"/>
  <c r="K710" i="22"/>
  <c r="T710" i="22" s="1"/>
  <c r="K2276" i="22"/>
  <c r="T2276" i="22" s="1"/>
  <c r="K2420" i="22"/>
  <c r="T2420" i="22" s="1"/>
  <c r="K2408" i="22"/>
  <c r="T2408" i="22" s="1"/>
  <c r="K2013" i="22"/>
  <c r="T2013" i="22" s="1"/>
  <c r="K686" i="22"/>
  <c r="T686" i="22" s="1"/>
  <c r="K547" i="22"/>
  <c r="T547" i="22" s="1"/>
  <c r="K255" i="22"/>
  <c r="T255" i="22" s="1"/>
  <c r="K306" i="22"/>
  <c r="K2462" i="22"/>
  <c r="T2462" i="22" s="1"/>
  <c r="K800" i="22"/>
  <c r="T800" i="22" s="1"/>
  <c r="K2240" i="22"/>
  <c r="T2240" i="22" s="1"/>
  <c r="K2456" i="22"/>
  <c r="T2456" i="22" s="1"/>
  <c r="K650" i="22"/>
  <c r="T650" i="22" s="1"/>
  <c r="K2282" i="22"/>
  <c r="T2282" i="22" s="1"/>
  <c r="K1699" i="22"/>
  <c r="T1699" i="22" s="1"/>
  <c r="K698" i="22"/>
  <c r="T698" i="22" s="1"/>
  <c r="K305" i="22"/>
  <c r="T305" i="22" s="1"/>
  <c r="K2474" i="22"/>
  <c r="T2474" i="22" s="1"/>
  <c r="K537" i="22"/>
  <c r="T537" i="22" s="1"/>
  <c r="K2228" i="22"/>
  <c r="T2228" i="22" s="1"/>
  <c r="K2342" i="22"/>
  <c r="T2342" i="22" s="1"/>
  <c r="K613" i="22"/>
  <c r="T613" i="22" s="1"/>
  <c r="K2528" i="22"/>
  <c r="T2528" i="22" s="1"/>
  <c r="K2546" i="22"/>
  <c r="T2546" i="22" s="1"/>
  <c r="K431" i="22"/>
  <c r="T431" i="22" s="1"/>
  <c r="K2143" i="22"/>
  <c r="T2143" i="22" s="1"/>
  <c r="K2588" i="22"/>
  <c r="T2588" i="22" s="1"/>
  <c r="K2624" i="22"/>
  <c r="T2624" i="22" s="1"/>
  <c r="K2618" i="22"/>
  <c r="T2618" i="22" s="1"/>
  <c r="K478" i="23"/>
  <c r="K80" i="23"/>
  <c r="T80" i="23" s="1"/>
  <c r="K35" i="23"/>
  <c r="T35" i="23" s="1"/>
  <c r="K75" i="23"/>
  <c r="T75" i="23" s="1"/>
  <c r="K41" i="23"/>
  <c r="T41" i="23" s="1"/>
  <c r="K76" i="23"/>
  <c r="T76" i="23" s="1"/>
  <c r="K31" i="23"/>
  <c r="T31" i="23" s="1"/>
  <c r="K26" i="23"/>
  <c r="T26" i="23" s="1"/>
  <c r="K82" i="23"/>
  <c r="T82" i="23" s="1"/>
  <c r="K73" i="23"/>
  <c r="T73" i="23" s="1"/>
  <c r="K37" i="23"/>
  <c r="T37" i="23" s="1"/>
  <c r="K84" i="23"/>
  <c r="T84" i="23" s="1"/>
  <c r="K78" i="23"/>
  <c r="T78" i="23" s="1"/>
  <c r="K71" i="23"/>
  <c r="T71" i="23" s="1"/>
  <c r="K33" i="23"/>
  <c r="T33" i="23" s="1"/>
  <c r="K39" i="23"/>
  <c r="T39" i="23" s="1"/>
  <c r="K23" i="23"/>
  <c r="T23" i="23" s="1"/>
  <c r="K89" i="23"/>
  <c r="T89" i="23" s="1"/>
  <c r="K29" i="23"/>
  <c r="T29" i="23" s="1"/>
  <c r="K139" i="23"/>
  <c r="T139" i="23" s="1"/>
  <c r="K22" i="23"/>
  <c r="T22" i="23" s="1"/>
  <c r="K260" i="23"/>
  <c r="T260" i="23" s="1"/>
  <c r="J310" i="23"/>
  <c r="K310" i="23" s="1"/>
  <c r="K185" i="23"/>
  <c r="T185" i="23" s="1"/>
  <c r="K27" i="23"/>
  <c r="T27" i="23" s="1"/>
  <c r="K132" i="23"/>
  <c r="T132" i="23" s="1"/>
  <c r="K193" i="23"/>
  <c r="T193" i="23" s="1"/>
  <c r="K121" i="23"/>
  <c r="T121" i="23" s="1"/>
  <c r="K153" i="23"/>
  <c r="T153" i="23" s="1"/>
  <c r="K337" i="23"/>
  <c r="K167" i="23"/>
  <c r="T167" i="23" s="1"/>
  <c r="J286" i="23"/>
  <c r="K286" i="23" s="1"/>
  <c r="K183" i="23"/>
  <c r="T183" i="23" s="1"/>
  <c r="K247" i="23"/>
  <c r="T247" i="23" s="1"/>
  <c r="K284" i="23"/>
  <c r="T284" i="23" s="1"/>
  <c r="K324" i="23"/>
  <c r="K401" i="23"/>
  <c r="T401" i="23" s="1"/>
  <c r="K532" i="23"/>
  <c r="T532" i="23" s="1"/>
  <c r="J649" i="23"/>
  <c r="K649" i="23" s="1"/>
  <c r="K373" i="23"/>
  <c r="K1951" i="23"/>
  <c r="K1978" i="23"/>
  <c r="K1914" i="23"/>
  <c r="K1987" i="23"/>
  <c r="K1877" i="23"/>
  <c r="K1932" i="23"/>
  <c r="K1959" i="23"/>
  <c r="K1952" i="23"/>
  <c r="K1963" i="23"/>
  <c r="K1843" i="23"/>
  <c r="K1940" i="23"/>
  <c r="K1897" i="23"/>
  <c r="K1749" i="23"/>
  <c r="T1749" i="23" s="1"/>
  <c r="K1700" i="23"/>
  <c r="K1743" i="23"/>
  <c r="T1743" i="23" s="1"/>
  <c r="K1856" i="23"/>
  <c r="T1856" i="23" s="1"/>
  <c r="K1724" i="23"/>
  <c r="K1551" i="23"/>
  <c r="T1551" i="23" s="1"/>
  <c r="K1492" i="23"/>
  <c r="T1492" i="23" s="1"/>
  <c r="K1437" i="23"/>
  <c r="T1437" i="23" s="1"/>
  <c r="K1421" i="23"/>
  <c r="T1421" i="23" s="1"/>
  <c r="K1405" i="23"/>
  <c r="T1405" i="23" s="1"/>
  <c r="K1389" i="23"/>
  <c r="T1389" i="23" s="1"/>
  <c r="K1373" i="23"/>
  <c r="T1373" i="23" s="1"/>
  <c r="K1357" i="23"/>
  <c r="T1357" i="23" s="1"/>
  <c r="K1341" i="23"/>
  <c r="T1341" i="23" s="1"/>
  <c r="K1325" i="23"/>
  <c r="T1325" i="23" s="1"/>
  <c r="K1309" i="23"/>
  <c r="T1309" i="23" s="1"/>
  <c r="K1293" i="23"/>
  <c r="T1293" i="23" s="1"/>
  <c r="K1277" i="23"/>
  <c r="T1277" i="23" s="1"/>
  <c r="K1261" i="23"/>
  <c r="T1261" i="23" s="1"/>
  <c r="K1245" i="23"/>
  <c r="T1245" i="23" s="1"/>
  <c r="K1537" i="23"/>
  <c r="T1537" i="23" s="1"/>
  <c r="K1473" i="23"/>
  <c r="T1473" i="23" s="1"/>
  <c r="K1544" i="23"/>
  <c r="T1544" i="23" s="1"/>
  <c r="K1480" i="23"/>
  <c r="T1480" i="23" s="1"/>
  <c r="K1434" i="23"/>
  <c r="T1434" i="23" s="1"/>
  <c r="K1418" i="23"/>
  <c r="T1418" i="23" s="1"/>
  <c r="K1402" i="23"/>
  <c r="T1402" i="23" s="1"/>
  <c r="K1386" i="23"/>
  <c r="T1386" i="23" s="1"/>
  <c r="K1370" i="23"/>
  <c r="T1370" i="23" s="1"/>
  <c r="K1354" i="23"/>
  <c r="T1354" i="23" s="1"/>
  <c r="K1338" i="23"/>
  <c r="T1338" i="23" s="1"/>
  <c r="K1322" i="23"/>
  <c r="T1322" i="23" s="1"/>
  <c r="J269" i="23"/>
  <c r="K269" i="23" s="1"/>
  <c r="K28" i="23"/>
  <c r="T28" i="23" s="1"/>
  <c r="K129" i="23"/>
  <c r="T129" i="23" s="1"/>
  <c r="K293" i="23"/>
  <c r="T293" i="23" s="1"/>
  <c r="K32" i="23"/>
  <c r="T32" i="23" s="1"/>
  <c r="K81" i="23"/>
  <c r="T81" i="23" s="1"/>
  <c r="K453" i="23"/>
  <c r="T453" i="23" s="1"/>
  <c r="K175" i="23"/>
  <c r="T175" i="23" s="1"/>
  <c r="K290" i="23"/>
  <c r="T290" i="23" s="1"/>
  <c r="K318" i="23"/>
  <c r="K250" i="23"/>
  <c r="T250" i="23" s="1"/>
  <c r="K490" i="23"/>
  <c r="T490" i="23" s="1"/>
  <c r="K537" i="23"/>
  <c r="T537" i="23" s="1"/>
  <c r="J364" i="23"/>
  <c r="K364" i="23" s="1"/>
  <c r="J316" i="23"/>
  <c r="K316" i="23" s="1"/>
  <c r="K240" i="23"/>
  <c r="T240" i="23" s="1"/>
  <c r="K329" i="23"/>
  <c r="T329" i="23" s="1"/>
  <c r="K419" i="23"/>
  <c r="T419" i="23" s="1"/>
  <c r="K458" i="23"/>
  <c r="T458" i="23" s="1"/>
  <c r="J643" i="23"/>
  <c r="K643" i="23" s="1"/>
  <c r="K241" i="23"/>
  <c r="T241" i="23" s="1"/>
  <c r="K118" i="23"/>
  <c r="T118" i="23" s="1"/>
  <c r="K163" i="23"/>
  <c r="T163" i="23" s="1"/>
  <c r="K20" i="23"/>
  <c r="T20" i="23" s="1"/>
  <c r="K196" i="23"/>
  <c r="T196" i="23" s="1"/>
  <c r="K123" i="23"/>
  <c r="T123" i="23" s="1"/>
  <c r="K179" i="23"/>
  <c r="T179" i="23" s="1"/>
  <c r="K265" i="23"/>
  <c r="T265" i="23" s="1"/>
  <c r="J334" i="23"/>
  <c r="K334" i="23" s="1"/>
  <c r="K127" i="23"/>
  <c r="T127" i="23" s="1"/>
  <c r="K187" i="23"/>
  <c r="T187" i="23" s="1"/>
  <c r="K296" i="23"/>
  <c r="T296" i="23" s="1"/>
  <c r="K317" i="23"/>
  <c r="T317" i="23" s="1"/>
  <c r="K443" i="23"/>
  <c r="T443" i="23" s="1"/>
  <c r="K542" i="23"/>
  <c r="T542" i="23" s="1"/>
  <c r="K431" i="23"/>
  <c r="T431" i="23" s="1"/>
  <c r="K319" i="23"/>
  <c r="K244" i="23"/>
  <c r="T244" i="23" s="1"/>
  <c r="K347" i="23"/>
  <c r="T347" i="23" s="1"/>
  <c r="K425" i="23"/>
  <c r="T425" i="23" s="1"/>
  <c r="J638" i="23"/>
  <c r="K638" i="23" s="1"/>
  <c r="K177" i="23"/>
  <c r="K263" i="23"/>
  <c r="K348" i="23"/>
  <c r="K384" i="23"/>
  <c r="K403" i="23"/>
  <c r="K429" i="23"/>
  <c r="K446" i="23"/>
  <c r="K613" i="23"/>
  <c r="T613" i="23" s="1"/>
  <c r="K733" i="23"/>
  <c r="T733" i="23" s="1"/>
  <c r="K792" i="23"/>
  <c r="T792" i="23" s="1"/>
  <c r="K911" i="23"/>
  <c r="T911" i="23" s="1"/>
  <c r="K981" i="23"/>
  <c r="T981" i="23" s="1"/>
  <c r="K1919" i="23"/>
  <c r="K1962" i="23"/>
  <c r="K1898" i="23"/>
  <c r="K1955" i="23"/>
  <c r="K1980" i="23"/>
  <c r="K1916" i="23"/>
  <c r="K1927" i="23"/>
  <c r="K1936" i="23"/>
  <c r="K1931" i="23"/>
  <c r="K1988" i="23"/>
  <c r="K1924" i="23"/>
  <c r="K1740" i="23"/>
  <c r="T1740" i="23" s="1"/>
  <c r="K1736" i="23"/>
  <c r="T1736" i="23" s="1"/>
  <c r="K1716" i="23"/>
  <c r="K1739" i="23"/>
  <c r="T1739" i="23" s="1"/>
  <c r="K1733" i="23"/>
  <c r="T1733" i="23" s="1"/>
  <c r="K1708" i="23"/>
  <c r="K1540" i="23"/>
  <c r="T1540" i="23" s="1"/>
  <c r="K1476" i="23"/>
  <c r="T1476" i="23" s="1"/>
  <c r="K1433" i="23"/>
  <c r="T1433" i="23" s="1"/>
  <c r="K1417" i="23"/>
  <c r="T1417" i="23" s="1"/>
  <c r="K1401" i="23"/>
  <c r="T1401" i="23" s="1"/>
  <c r="K1385" i="23"/>
  <c r="T1385" i="23" s="1"/>
  <c r="K1369" i="23"/>
  <c r="T1369" i="23" s="1"/>
  <c r="K1353" i="23"/>
  <c r="T1353" i="23" s="1"/>
  <c r="K1337" i="23"/>
  <c r="T1337" i="23" s="1"/>
  <c r="K1321" i="23"/>
  <c r="T1321" i="23" s="1"/>
  <c r="K1305" i="23"/>
  <c r="T1305" i="23" s="1"/>
  <c r="K1289" i="23"/>
  <c r="T1289" i="23" s="1"/>
  <c r="K1273" i="23"/>
  <c r="T1273" i="23" s="1"/>
  <c r="K1257" i="23"/>
  <c r="T1257" i="23" s="1"/>
  <c r="K1241" i="23"/>
  <c r="T1241" i="23" s="1"/>
  <c r="K1521" i="23"/>
  <c r="T1521" i="23" s="1"/>
  <c r="K1457" i="23"/>
  <c r="T1457" i="23" s="1"/>
  <c r="K1528" i="23"/>
  <c r="T1528" i="23" s="1"/>
  <c r="K1464" i="23"/>
  <c r="T1464" i="23" s="1"/>
  <c r="K1430" i="23"/>
  <c r="T1430" i="23" s="1"/>
  <c r="K1414" i="23"/>
  <c r="T1414" i="23" s="1"/>
  <c r="K1398" i="23"/>
  <c r="T1398" i="23" s="1"/>
  <c r="K1382" i="23"/>
  <c r="T1382" i="23" s="1"/>
  <c r="K1366" i="23"/>
  <c r="T1366" i="23" s="1"/>
  <c r="K1350" i="23"/>
  <c r="T1350" i="23" s="1"/>
  <c r="K1334" i="23"/>
  <c r="T1334" i="23" s="1"/>
  <c r="K1318" i="23"/>
  <c r="T1318" i="23" s="1"/>
  <c r="K1302" i="23"/>
  <c r="T1302" i="23" s="1"/>
  <c r="K1286" i="23"/>
  <c r="T1286" i="23" s="1"/>
  <c r="K1270" i="23"/>
  <c r="T1270" i="23" s="1"/>
  <c r="K1254" i="23"/>
  <c r="T1254" i="23" s="1"/>
  <c r="K1238" i="23"/>
  <c r="T1238" i="23" s="1"/>
  <c r="K281" i="23"/>
  <c r="T281" i="23" s="1"/>
  <c r="J418" i="23"/>
  <c r="K418" i="23" s="1"/>
  <c r="K248" i="23"/>
  <c r="T248" i="23" s="1"/>
  <c r="K69" i="23"/>
  <c r="T69" i="23" s="1"/>
  <c r="K171" i="23"/>
  <c r="T171" i="23" s="1"/>
  <c r="K144" i="23"/>
  <c r="T144" i="23" s="1"/>
  <c r="K287" i="23"/>
  <c r="T287" i="23" s="1"/>
  <c r="K270" i="23"/>
  <c r="T270" i="23" s="1"/>
  <c r="K24" i="23"/>
  <c r="T24" i="23" s="1"/>
  <c r="K199" i="23"/>
  <c r="T199" i="23" s="1"/>
  <c r="K79" i="23"/>
  <c r="T79" i="23" s="1"/>
  <c r="K460" i="23"/>
  <c r="T460" i="23" s="1"/>
  <c r="K552" i="23"/>
  <c r="T552" i="23" s="1"/>
  <c r="K377" i="23"/>
  <c r="T377" i="23" s="1"/>
  <c r="K437" i="23"/>
  <c r="T437" i="23" s="1"/>
  <c r="K335" i="23"/>
  <c r="T335" i="23" s="1"/>
  <c r="J709" i="23"/>
  <c r="K709" i="23" s="1"/>
  <c r="J406" i="23"/>
  <c r="K406" i="23" s="1"/>
  <c r="K536" i="23"/>
  <c r="T536" i="23" s="1"/>
  <c r="K617" i="23"/>
  <c r="T617" i="23" s="1"/>
  <c r="K796" i="23"/>
  <c r="T796" i="23" s="1"/>
  <c r="K913" i="23"/>
  <c r="T913" i="23" s="1"/>
  <c r="K989" i="23"/>
  <c r="T989" i="23" s="1"/>
  <c r="K1905" i="23"/>
  <c r="K1960" i="23"/>
  <c r="K1882" i="23"/>
  <c r="K1939" i="23"/>
  <c r="K1966" i="23"/>
  <c r="K1902" i="23"/>
  <c r="K1986" i="23"/>
  <c r="K1922" i="23"/>
  <c r="K1915" i="23"/>
  <c r="K1974" i="23"/>
  <c r="K1910" i="23"/>
  <c r="K1717" i="23"/>
  <c r="K1734" i="23"/>
  <c r="T1734" i="23" s="1"/>
  <c r="K1714" i="23"/>
  <c r="K1725" i="23"/>
  <c r="K1731" i="23"/>
  <c r="T1731" i="23" s="1"/>
  <c r="K1701" i="23"/>
  <c r="K1532" i="23"/>
  <c r="T1532" i="23" s="1"/>
  <c r="K1468" i="23"/>
  <c r="T1468" i="23" s="1"/>
  <c r="K1431" i="23"/>
  <c r="T1431" i="23" s="1"/>
  <c r="K1415" i="23"/>
  <c r="T1415" i="23" s="1"/>
  <c r="K1399" i="23"/>
  <c r="T1399" i="23" s="1"/>
  <c r="K1383" i="23"/>
  <c r="T1383" i="23" s="1"/>
  <c r="K1367" i="23"/>
  <c r="T1367" i="23" s="1"/>
  <c r="K1351" i="23"/>
  <c r="T1351" i="23" s="1"/>
  <c r="K1335" i="23"/>
  <c r="T1335" i="23" s="1"/>
  <c r="K1319" i="23"/>
  <c r="T1319" i="23" s="1"/>
  <c r="K1303" i="23"/>
  <c r="T1303" i="23" s="1"/>
  <c r="K1287" i="23"/>
  <c r="T1287" i="23" s="1"/>
  <c r="K1271" i="23"/>
  <c r="T1271" i="23" s="1"/>
  <c r="K1255" i="23"/>
  <c r="T1255" i="23" s="1"/>
  <c r="K1239" i="23"/>
  <c r="T1239" i="23" s="1"/>
  <c r="K1513" i="23"/>
  <c r="T1513" i="23" s="1"/>
  <c r="K1449" i="23"/>
  <c r="T1449" i="23" s="1"/>
  <c r="K1520" i="23"/>
  <c r="T1520" i="23" s="1"/>
  <c r="K1456" i="23"/>
  <c r="T1456" i="23" s="1"/>
  <c r="K1428" i="23"/>
  <c r="T1428" i="23" s="1"/>
  <c r="K1412" i="23"/>
  <c r="T1412" i="23" s="1"/>
  <c r="K1396" i="23"/>
  <c r="T1396" i="23" s="1"/>
  <c r="K1380" i="23"/>
  <c r="T1380" i="23" s="1"/>
  <c r="K1364" i="23"/>
  <c r="T1364" i="23" s="1"/>
  <c r="K1348" i="23"/>
  <c r="T1348" i="23" s="1"/>
  <c r="K1332" i="23"/>
  <c r="T1332" i="23" s="1"/>
  <c r="K1316" i="23"/>
  <c r="T1316" i="23" s="1"/>
  <c r="K1300" i="23"/>
  <c r="T1300" i="23" s="1"/>
  <c r="K1284" i="23"/>
  <c r="T1284" i="23" s="1"/>
  <c r="K1268" i="23"/>
  <c r="T1268" i="23" s="1"/>
  <c r="K1252" i="23"/>
  <c r="T1252" i="23" s="1"/>
  <c r="K1236" i="23"/>
  <c r="T1236" i="23" s="1"/>
  <c r="K313" i="23"/>
  <c r="K83" i="23"/>
  <c r="T83" i="23" s="1"/>
  <c r="K306" i="23"/>
  <c r="K245" i="23"/>
  <c r="T245" i="23" s="1"/>
  <c r="J295" i="23"/>
  <c r="K295" i="23" s="1"/>
  <c r="K188" i="23"/>
  <c r="T188" i="23" s="1"/>
  <c r="J289" i="23"/>
  <c r="K289" i="23" s="1"/>
  <c r="K30" i="23"/>
  <c r="T30" i="23" s="1"/>
  <c r="K86" i="23"/>
  <c r="T86" i="23" s="1"/>
  <c r="K189" i="23"/>
  <c r="T189" i="23" s="1"/>
  <c r="K25" i="23"/>
  <c r="T25" i="23" s="1"/>
  <c r="K34" i="23"/>
  <c r="T34" i="23" s="1"/>
  <c r="J232" i="23"/>
  <c r="K232" i="23" s="1"/>
  <c r="K341" i="23"/>
  <c r="T341" i="23" s="1"/>
  <c r="K472" i="23"/>
  <c r="T472" i="23" s="1"/>
  <c r="J352" i="23"/>
  <c r="K352" i="23" s="1"/>
  <c r="K487" i="23"/>
  <c r="T487" i="23" s="1"/>
  <c r="K359" i="23"/>
  <c r="T359" i="23" s="1"/>
  <c r="J655" i="23"/>
  <c r="K655" i="23" s="1"/>
  <c r="K390" i="23"/>
  <c r="K411" i="23"/>
  <c r="K434" i="23"/>
  <c r="K623" i="23"/>
  <c r="T623" i="23" s="1"/>
  <c r="K933" i="23"/>
  <c r="T933" i="23" s="1"/>
  <c r="K1903" i="23"/>
  <c r="K1946" i="23"/>
  <c r="K1842" i="23"/>
  <c r="K1923" i="23"/>
  <c r="K1964" i="23"/>
  <c r="K1886" i="23"/>
  <c r="K1984" i="23"/>
  <c r="K1920" i="23"/>
  <c r="K1901" i="23"/>
  <c r="K1972" i="23"/>
  <c r="K1908" i="23"/>
  <c r="K1888" i="23"/>
  <c r="T1888" i="23" s="1"/>
  <c r="K1732" i="23"/>
  <c r="T1732" i="23" s="1"/>
  <c r="K1704" i="23"/>
  <c r="T1704" i="23" s="1"/>
  <c r="K1709" i="23"/>
  <c r="K1729" i="23"/>
  <c r="T1729" i="23" s="1"/>
  <c r="K1579" i="23"/>
  <c r="T1579" i="23" s="1"/>
  <c r="K1524" i="23"/>
  <c r="T1524" i="23" s="1"/>
  <c r="K1460" i="23"/>
  <c r="T1460" i="23" s="1"/>
  <c r="K1429" i="23"/>
  <c r="T1429" i="23" s="1"/>
  <c r="K1413" i="23"/>
  <c r="T1413" i="23" s="1"/>
  <c r="K1397" i="23"/>
  <c r="T1397" i="23" s="1"/>
  <c r="K1381" i="23"/>
  <c r="T1381" i="23" s="1"/>
  <c r="K1365" i="23"/>
  <c r="T1365" i="23" s="1"/>
  <c r="K1349" i="23"/>
  <c r="T1349" i="23" s="1"/>
  <c r="K1333" i="23"/>
  <c r="T1333" i="23" s="1"/>
  <c r="K1317" i="23"/>
  <c r="T1317" i="23" s="1"/>
  <c r="K1301" i="23"/>
  <c r="T1301" i="23" s="1"/>
  <c r="K1285" i="23"/>
  <c r="T1285" i="23" s="1"/>
  <c r="K1269" i="23"/>
  <c r="T1269" i="23" s="1"/>
  <c r="K1253" i="23"/>
  <c r="T1253" i="23" s="1"/>
  <c r="K1237" i="23"/>
  <c r="T1237" i="23" s="1"/>
  <c r="K1505" i="23"/>
  <c r="T1505" i="23" s="1"/>
  <c r="K1441" i="23"/>
  <c r="T1441" i="23" s="1"/>
  <c r="K1512" i="23"/>
  <c r="T1512" i="23" s="1"/>
  <c r="K1448" i="23"/>
  <c r="T1448" i="23" s="1"/>
  <c r="K1426" i="23"/>
  <c r="T1426" i="23" s="1"/>
  <c r="K1410" i="23"/>
  <c r="T1410" i="23" s="1"/>
  <c r="K1394" i="23"/>
  <c r="T1394" i="23" s="1"/>
  <c r="K1378" i="23"/>
  <c r="T1378" i="23" s="1"/>
  <c r="K1362" i="23"/>
  <c r="T1362" i="23" s="1"/>
  <c r="K1346" i="23"/>
  <c r="T1346" i="23" s="1"/>
  <c r="K1330" i="23"/>
  <c r="T1330" i="23" s="1"/>
  <c r="K1314" i="23"/>
  <c r="T1314" i="23" s="1"/>
  <c r="K1298" i="23"/>
  <c r="T1298" i="23" s="1"/>
  <c r="K1282" i="23"/>
  <c r="T1282" i="23" s="1"/>
  <c r="K1266" i="23"/>
  <c r="T1266" i="23" s="1"/>
  <c r="K1250" i="23"/>
  <c r="T1250" i="23" s="1"/>
  <c r="K130" i="23"/>
  <c r="T130" i="23" s="1"/>
  <c r="K38" i="23"/>
  <c r="T38" i="23" s="1"/>
  <c r="K36" i="23"/>
  <c r="T36" i="23" s="1"/>
  <c r="K134" i="23"/>
  <c r="T134" i="23" s="1"/>
  <c r="K147" i="23"/>
  <c r="T147" i="23" s="1"/>
  <c r="K85" i="23"/>
  <c r="T85" i="23" s="1"/>
  <c r="K463" i="23"/>
  <c r="T463" i="23" s="1"/>
  <c r="K238" i="23"/>
  <c r="T238" i="23" s="1"/>
  <c r="K466" i="23"/>
  <c r="T466" i="23" s="1"/>
  <c r="K485" i="23"/>
  <c r="T485" i="23" s="1"/>
  <c r="K371" i="23"/>
  <c r="T371" i="23" s="1"/>
  <c r="K255" i="23"/>
  <c r="T255" i="23" s="1"/>
  <c r="K448" i="23"/>
  <c r="T448" i="23" s="1"/>
  <c r="K497" i="23"/>
  <c r="T497" i="23" s="1"/>
  <c r="J636" i="23"/>
  <c r="K636" i="23" s="1"/>
  <c r="K276" i="23"/>
  <c r="K321" i="23"/>
  <c r="K356" i="23"/>
  <c r="K449" i="23"/>
  <c r="K630" i="23"/>
  <c r="T630" i="23" s="1"/>
  <c r="K943" i="23"/>
  <c r="T943" i="23" s="1"/>
  <c r="K1889" i="23"/>
  <c r="K1944" i="23"/>
  <c r="K1826" i="23"/>
  <c r="T1826" i="23" s="1"/>
  <c r="K1907" i="23"/>
  <c r="K1950" i="23"/>
  <c r="K1844" i="23"/>
  <c r="K1970" i="23"/>
  <c r="K1906" i="23"/>
  <c r="K1899" i="23"/>
  <c r="K1958" i="23"/>
  <c r="K1894" i="23"/>
  <c r="K1726" i="23"/>
  <c r="K1730" i="23"/>
  <c r="T1730" i="23" s="1"/>
  <c r="K1698" i="23"/>
  <c r="T1698" i="23" s="1"/>
  <c r="K1702" i="23"/>
  <c r="K1727" i="23"/>
  <c r="T1727" i="23" s="1"/>
  <c r="K1564" i="23"/>
  <c r="T1564" i="23" s="1"/>
  <c r="K1516" i="23"/>
  <c r="T1516" i="23" s="1"/>
  <c r="K1452" i="23"/>
  <c r="T1452" i="23" s="1"/>
  <c r="K1427" i="23"/>
  <c r="T1427" i="23" s="1"/>
  <c r="K1411" i="23"/>
  <c r="T1411" i="23" s="1"/>
  <c r="K1395" i="23"/>
  <c r="T1395" i="23" s="1"/>
  <c r="K1379" i="23"/>
  <c r="T1379" i="23" s="1"/>
  <c r="K1363" i="23"/>
  <c r="T1363" i="23" s="1"/>
  <c r="K1347" i="23"/>
  <c r="T1347" i="23" s="1"/>
  <c r="K1331" i="23"/>
  <c r="T1331" i="23" s="1"/>
  <c r="K1315" i="23"/>
  <c r="T1315" i="23" s="1"/>
  <c r="K1299" i="23"/>
  <c r="T1299" i="23" s="1"/>
  <c r="K1283" i="23"/>
  <c r="T1283" i="23" s="1"/>
  <c r="K1267" i="23"/>
  <c r="T1267" i="23" s="1"/>
  <c r="K1251" i="23"/>
  <c r="T1251" i="23" s="1"/>
  <c r="K1581" i="23"/>
  <c r="T1581" i="23" s="1"/>
  <c r="K1497" i="23"/>
  <c r="T1497" i="23" s="1"/>
  <c r="K1561" i="23"/>
  <c r="T1561" i="23" s="1"/>
  <c r="K1504" i="23"/>
  <c r="T1504" i="23" s="1"/>
  <c r="K1440" i="23"/>
  <c r="T1440" i="23" s="1"/>
  <c r="K1424" i="23"/>
  <c r="T1424" i="23" s="1"/>
  <c r="K1408" i="23"/>
  <c r="T1408" i="23" s="1"/>
  <c r="K1392" i="23"/>
  <c r="T1392" i="23" s="1"/>
  <c r="K1376" i="23"/>
  <c r="T1376" i="23" s="1"/>
  <c r="K1360" i="23"/>
  <c r="T1360" i="23" s="1"/>
  <c r="K1344" i="23"/>
  <c r="T1344" i="23" s="1"/>
  <c r="K1328" i="23"/>
  <c r="T1328" i="23" s="1"/>
  <c r="K1312" i="23"/>
  <c r="T1312" i="23" s="1"/>
  <c r="K1296" i="23"/>
  <c r="T1296" i="23" s="1"/>
  <c r="K1280" i="23"/>
  <c r="T1280" i="23" s="1"/>
  <c r="K1264" i="23"/>
  <c r="T1264" i="23" s="1"/>
  <c r="K1248" i="23"/>
  <c r="T1248" i="23" s="1"/>
  <c r="K1232" i="23"/>
  <c r="T1232" i="23" s="1"/>
  <c r="K141" i="23"/>
  <c r="T141" i="23" s="1"/>
  <c r="K353" i="23"/>
  <c r="T353" i="23" s="1"/>
  <c r="K77" i="23"/>
  <c r="T77" i="23" s="1"/>
  <c r="K302" i="23"/>
  <c r="T302" i="23" s="1"/>
  <c r="K120" i="23"/>
  <c r="T120" i="23" s="1"/>
  <c r="K235" i="23"/>
  <c r="K40" i="23"/>
  <c r="T40" i="23" s="1"/>
  <c r="K150" i="23"/>
  <c r="T150" i="23" s="1"/>
  <c r="K88" i="23"/>
  <c r="T88" i="23" s="1"/>
  <c r="K471" i="23"/>
  <c r="T471" i="23" s="1"/>
  <c r="K493" i="23"/>
  <c r="T493" i="23" s="1"/>
  <c r="K365" i="23"/>
  <c r="T365" i="23" s="1"/>
  <c r="K500" i="23"/>
  <c r="T500" i="23" s="1"/>
  <c r="K395" i="23"/>
  <c r="J697" i="23"/>
  <c r="K697" i="23" s="1"/>
  <c r="K195" i="23"/>
  <c r="K300" i="23"/>
  <c r="K416" i="23"/>
  <c r="K945" i="23"/>
  <c r="T945" i="23" s="1"/>
  <c r="K1983" i="23"/>
  <c r="K1887" i="23"/>
  <c r="K1930" i="23"/>
  <c r="K1824" i="23"/>
  <c r="T1824" i="23" s="1"/>
  <c r="K1893" i="23"/>
  <c r="K1948" i="23"/>
  <c r="K1991" i="23"/>
  <c r="K1968" i="23"/>
  <c r="K1890" i="23"/>
  <c r="K1885" i="23"/>
  <c r="K1956" i="23"/>
  <c r="K1878" i="23"/>
  <c r="K1712" i="23"/>
  <c r="K1728" i="23"/>
  <c r="T1728" i="23" s="1"/>
  <c r="K1881" i="23"/>
  <c r="K1720" i="23"/>
  <c r="K1713" i="23"/>
  <c r="K1559" i="23"/>
  <c r="T1559" i="23" s="1"/>
  <c r="K1508" i="23"/>
  <c r="T1508" i="23" s="1"/>
  <c r="K1444" i="23"/>
  <c r="T1444" i="23" s="1"/>
  <c r="K1425" i="23"/>
  <c r="T1425" i="23" s="1"/>
  <c r="K1409" i="23"/>
  <c r="T1409" i="23" s="1"/>
  <c r="K1393" i="23"/>
  <c r="T1393" i="23" s="1"/>
  <c r="K1377" i="23"/>
  <c r="T1377" i="23" s="1"/>
  <c r="K1361" i="23"/>
  <c r="T1361" i="23" s="1"/>
  <c r="K1345" i="23"/>
  <c r="T1345" i="23" s="1"/>
  <c r="K1329" i="23"/>
  <c r="T1329" i="23" s="1"/>
  <c r="K1313" i="23"/>
  <c r="T1313" i="23" s="1"/>
  <c r="K1297" i="23"/>
  <c r="T1297" i="23" s="1"/>
  <c r="K1281" i="23"/>
  <c r="T1281" i="23" s="1"/>
  <c r="K1265" i="23"/>
  <c r="T1265" i="23" s="1"/>
  <c r="K1249" i="23"/>
  <c r="T1249" i="23" s="1"/>
  <c r="K1563" i="23"/>
  <c r="T1563" i="23" s="1"/>
  <c r="K1489" i="23"/>
  <c r="T1489" i="23" s="1"/>
  <c r="K1557" i="23"/>
  <c r="T1557" i="23" s="1"/>
  <c r="K1496" i="23"/>
  <c r="T1496" i="23" s="1"/>
  <c r="K1438" i="23"/>
  <c r="T1438" i="23" s="1"/>
  <c r="K1422" i="23"/>
  <c r="T1422" i="23" s="1"/>
  <c r="K1406" i="23"/>
  <c r="T1406" i="23" s="1"/>
  <c r="K1390" i="23"/>
  <c r="T1390" i="23" s="1"/>
  <c r="K1374" i="23"/>
  <c r="T1374" i="23" s="1"/>
  <c r="K1358" i="23"/>
  <c r="T1358" i="23" s="1"/>
  <c r="K1342" i="23"/>
  <c r="T1342" i="23" s="1"/>
  <c r="K1326" i="23"/>
  <c r="T1326" i="23" s="1"/>
  <c r="K1310" i="23"/>
  <c r="T1310" i="23" s="1"/>
  <c r="K1294" i="23"/>
  <c r="T1294" i="23" s="1"/>
  <c r="K1278" i="23"/>
  <c r="T1278" i="23" s="1"/>
  <c r="K1262" i="23"/>
  <c r="T1262" i="23" s="1"/>
  <c r="K1246" i="23"/>
  <c r="T1246" i="23" s="1"/>
  <c r="K305" i="23"/>
  <c r="T305" i="23" s="1"/>
  <c r="K251" i="23"/>
  <c r="T251" i="23" s="1"/>
  <c r="K530" i="23"/>
  <c r="T530" i="23" s="1"/>
  <c r="K965" i="23"/>
  <c r="T965" i="23" s="1"/>
  <c r="K1912" i="23"/>
  <c r="K1943" i="23"/>
  <c r="K1926" i="23"/>
  <c r="K1741" i="23"/>
  <c r="T1741" i="23" s="1"/>
  <c r="K1484" i="23"/>
  <c r="T1484" i="23" s="1"/>
  <c r="K1387" i="23"/>
  <c r="T1387" i="23" s="1"/>
  <c r="K1323" i="23"/>
  <c r="T1323" i="23" s="1"/>
  <c r="K1259" i="23"/>
  <c r="T1259" i="23" s="1"/>
  <c r="K1536" i="23"/>
  <c r="T1536" i="23" s="1"/>
  <c r="K1400" i="23"/>
  <c r="T1400" i="23" s="1"/>
  <c r="K1336" i="23"/>
  <c r="T1336" i="23" s="1"/>
  <c r="K1288" i="23"/>
  <c r="T1288" i="23" s="1"/>
  <c r="K1242" i="23"/>
  <c r="T1242" i="23" s="1"/>
  <c r="K1220" i="23"/>
  <c r="T1220" i="23" s="1"/>
  <c r="K1204" i="23"/>
  <c r="T1204" i="23" s="1"/>
  <c r="K1188" i="23"/>
  <c r="T1188" i="23" s="1"/>
  <c r="K1172" i="23"/>
  <c r="T1172" i="23" s="1"/>
  <c r="K1156" i="23"/>
  <c r="T1156" i="23" s="1"/>
  <c r="K1140" i="23"/>
  <c r="T1140" i="23" s="1"/>
  <c r="K1181" i="23"/>
  <c r="T1181" i="23" s="1"/>
  <c r="K1097" i="23"/>
  <c r="T1097" i="23" s="1"/>
  <c r="K1034" i="23"/>
  <c r="T1034" i="23" s="1"/>
  <c r="K480" i="23"/>
  <c r="K1124" i="23"/>
  <c r="T1124" i="23" s="1"/>
  <c r="K1059" i="23"/>
  <c r="T1059" i="23" s="1"/>
  <c r="K962" i="23"/>
  <c r="T962" i="23" s="1"/>
  <c r="K696" i="23"/>
  <c r="K1201" i="23"/>
  <c r="T1201" i="23" s="1"/>
  <c r="K1109" i="23"/>
  <c r="T1109" i="23" s="1"/>
  <c r="K1044" i="23"/>
  <c r="T1044" i="23" s="1"/>
  <c r="K555" i="23"/>
  <c r="K1147" i="23"/>
  <c r="T1147" i="23" s="1"/>
  <c r="K1077" i="23"/>
  <c r="T1077" i="23" s="1"/>
  <c r="K972" i="23"/>
  <c r="T972" i="23" s="1"/>
  <c r="K908" i="23"/>
  <c r="T908" i="23" s="1"/>
  <c r="K701" i="23"/>
  <c r="K1189" i="23"/>
  <c r="T1189" i="23" s="1"/>
  <c r="K1094" i="23"/>
  <c r="T1094" i="23" s="1"/>
  <c r="K1030" i="23"/>
  <c r="T1030" i="23" s="1"/>
  <c r="K1022" i="23"/>
  <c r="T1022" i="23" s="1"/>
  <c r="K136" i="23"/>
  <c r="T136" i="23" s="1"/>
  <c r="K117" i="23"/>
  <c r="T117" i="23" s="1"/>
  <c r="K243" i="23"/>
  <c r="T243" i="23" s="1"/>
  <c r="K159" i="23"/>
  <c r="T159" i="23" s="1"/>
  <c r="K389" i="23"/>
  <c r="K398" i="23"/>
  <c r="K718" i="23"/>
  <c r="T718" i="23" s="1"/>
  <c r="K1751" i="23"/>
  <c r="T1751" i="23" s="1"/>
  <c r="K1954" i="23"/>
  <c r="K1911" i="23"/>
  <c r="K1718" i="23"/>
  <c r="K1439" i="23"/>
  <c r="T1439" i="23" s="1"/>
  <c r="K1375" i="23"/>
  <c r="T1375" i="23" s="1"/>
  <c r="K1311" i="23"/>
  <c r="T1311" i="23" s="1"/>
  <c r="K1247" i="23"/>
  <c r="T1247" i="23" s="1"/>
  <c r="K1488" i="23"/>
  <c r="T1488" i="23" s="1"/>
  <c r="K1388" i="23"/>
  <c r="T1388" i="23" s="1"/>
  <c r="K1324" i="23"/>
  <c r="T1324" i="23" s="1"/>
  <c r="K1276" i="23"/>
  <c r="T1276" i="23" s="1"/>
  <c r="K1240" i="23"/>
  <c r="T1240" i="23" s="1"/>
  <c r="K1218" i="23"/>
  <c r="T1218" i="23" s="1"/>
  <c r="K1202" i="23"/>
  <c r="T1202" i="23" s="1"/>
  <c r="K1186" i="23"/>
  <c r="T1186" i="23" s="1"/>
  <c r="K1170" i="23"/>
  <c r="T1170" i="23" s="1"/>
  <c r="K1154" i="23"/>
  <c r="T1154" i="23" s="1"/>
  <c r="K1138" i="23"/>
  <c r="T1138" i="23" s="1"/>
  <c r="K1165" i="23"/>
  <c r="T1165" i="23" s="1"/>
  <c r="K1090" i="23"/>
  <c r="T1090" i="23" s="1"/>
  <c r="K998" i="23"/>
  <c r="T998" i="23" s="1"/>
  <c r="K473" i="23"/>
  <c r="K1119" i="23"/>
  <c r="T1119" i="23" s="1"/>
  <c r="K1051" i="23"/>
  <c r="T1051" i="23" s="1"/>
  <c r="K954" i="23"/>
  <c r="T954" i="23" s="1"/>
  <c r="K688" i="23"/>
  <c r="K1185" i="23"/>
  <c r="T1185" i="23" s="1"/>
  <c r="K1098" i="23"/>
  <c r="T1098" i="23" s="1"/>
  <c r="K1036" i="23"/>
  <c r="T1036" i="23" s="1"/>
  <c r="K553" i="23"/>
  <c r="K1131" i="23"/>
  <c r="T1131" i="23" s="1"/>
  <c r="K1069" i="23"/>
  <c r="T1069" i="23" s="1"/>
  <c r="K964" i="23"/>
  <c r="T964" i="23" s="1"/>
  <c r="K746" i="23"/>
  <c r="T746" i="23" s="1"/>
  <c r="K684" i="23"/>
  <c r="K1173" i="23"/>
  <c r="T1173" i="23" s="1"/>
  <c r="K1086" i="23"/>
  <c r="T1086" i="23" s="1"/>
  <c r="K1029" i="23"/>
  <c r="T1029" i="23" s="1"/>
  <c r="K407" i="23"/>
  <c r="T407" i="23" s="1"/>
  <c r="K438" i="23"/>
  <c r="K1971" i="23"/>
  <c r="K1938" i="23"/>
  <c r="K1742" i="23"/>
  <c r="T1742" i="23" s="1"/>
  <c r="K1735" i="23"/>
  <c r="T1735" i="23" s="1"/>
  <c r="K1435" i="23"/>
  <c r="T1435" i="23" s="1"/>
  <c r="K1371" i="23"/>
  <c r="T1371" i="23" s="1"/>
  <c r="K1307" i="23"/>
  <c r="T1307" i="23" s="1"/>
  <c r="K1243" i="23"/>
  <c r="T1243" i="23" s="1"/>
  <c r="K1472" i="23"/>
  <c r="T1472" i="23" s="1"/>
  <c r="K1384" i="23"/>
  <c r="T1384" i="23" s="1"/>
  <c r="K1320" i="23"/>
  <c r="T1320" i="23" s="1"/>
  <c r="K331" i="23"/>
  <c r="K726" i="23"/>
  <c r="T726" i="23" s="1"/>
  <c r="K1967" i="23"/>
  <c r="K1891" i="23"/>
  <c r="K1979" i="23"/>
  <c r="K1710" i="23"/>
  <c r="K1879" i="23"/>
  <c r="K1423" i="23"/>
  <c r="T1423" i="23" s="1"/>
  <c r="K1359" i="23"/>
  <c r="T1359" i="23" s="1"/>
  <c r="K1295" i="23"/>
  <c r="T1295" i="23" s="1"/>
  <c r="K1545" i="23"/>
  <c r="T1545" i="23" s="1"/>
  <c r="K1436" i="23"/>
  <c r="T1436" i="23" s="1"/>
  <c r="K1372" i="23"/>
  <c r="T1372" i="23" s="1"/>
  <c r="K1308" i="23"/>
  <c r="T1308" i="23" s="1"/>
  <c r="K1272" i="23"/>
  <c r="T1272" i="23" s="1"/>
  <c r="K1230" i="23"/>
  <c r="T1230" i="23" s="1"/>
  <c r="K1214" i="23"/>
  <c r="T1214" i="23" s="1"/>
  <c r="K1198" i="23"/>
  <c r="T1198" i="23" s="1"/>
  <c r="K1182" i="23"/>
  <c r="T1182" i="23" s="1"/>
  <c r="K1166" i="23"/>
  <c r="T1166" i="23" s="1"/>
  <c r="K1150" i="23"/>
  <c r="T1150" i="23" s="1"/>
  <c r="K1134" i="23"/>
  <c r="T1134" i="23" s="1"/>
  <c r="K1133" i="23"/>
  <c r="T1133" i="23" s="1"/>
  <c r="K1074" i="23"/>
  <c r="T1074" i="23" s="1"/>
  <c r="K675" i="23"/>
  <c r="K1207" i="23"/>
  <c r="T1207" i="23" s="1"/>
  <c r="K1103" i="23"/>
  <c r="T1103" i="23" s="1"/>
  <c r="K1035" i="23"/>
  <c r="T1035" i="23" s="1"/>
  <c r="K938" i="23"/>
  <c r="T938" i="23" s="1"/>
  <c r="K666" i="23"/>
  <c r="K1153" i="23"/>
  <c r="T1153" i="23" s="1"/>
  <c r="K1084" i="23"/>
  <c r="T1084" i="23" s="1"/>
  <c r="K690" i="23"/>
  <c r="K1227" i="23"/>
  <c r="T1227" i="23" s="1"/>
  <c r="K138" i="23"/>
  <c r="T138" i="23" s="1"/>
  <c r="K275" i="23"/>
  <c r="T275" i="23" s="1"/>
  <c r="J667" i="23"/>
  <c r="K667" i="23" s="1"/>
  <c r="K1935" i="23"/>
  <c r="K1982" i="23"/>
  <c r="K1947" i="23"/>
  <c r="K1744" i="23"/>
  <c r="T1744" i="23" s="1"/>
  <c r="K1722" i="23"/>
  <c r="K1419" i="23"/>
  <c r="T1419" i="23" s="1"/>
  <c r="K1355" i="23"/>
  <c r="T1355" i="23" s="1"/>
  <c r="K1291" i="23"/>
  <c r="T1291" i="23" s="1"/>
  <c r="K1529" i="23"/>
  <c r="T1529" i="23" s="1"/>
  <c r="K1432" i="23"/>
  <c r="T1432" i="23" s="1"/>
  <c r="K1368" i="23"/>
  <c r="T1368" i="23" s="1"/>
  <c r="K1306" i="23"/>
  <c r="T1306" i="23" s="1"/>
  <c r="K1260" i="23"/>
  <c r="T1260" i="23" s="1"/>
  <c r="K1228" i="23"/>
  <c r="T1228" i="23" s="1"/>
  <c r="K1212" i="23"/>
  <c r="T1212" i="23" s="1"/>
  <c r="K1196" i="23"/>
  <c r="T1196" i="23" s="1"/>
  <c r="K1180" i="23"/>
  <c r="T1180" i="23" s="1"/>
  <c r="K1164" i="23"/>
  <c r="T1164" i="23" s="1"/>
  <c r="K1148" i="23"/>
  <c r="T1148" i="23" s="1"/>
  <c r="K1132" i="23"/>
  <c r="T1132" i="23" s="1"/>
  <c r="K1129" i="23"/>
  <c r="T1129" i="23" s="1"/>
  <c r="K1066" i="23"/>
  <c r="T1066" i="23" s="1"/>
  <c r="K596" i="23"/>
  <c r="K1191" i="23"/>
  <c r="T1191" i="23" s="1"/>
  <c r="K1091" i="23"/>
  <c r="T1091" i="23" s="1"/>
  <c r="K994" i="23"/>
  <c r="T994" i="23" s="1"/>
  <c r="K930" i="23"/>
  <c r="T930" i="23" s="1"/>
  <c r="K648" i="23"/>
  <c r="K1137" i="23"/>
  <c r="T1137" i="23" s="1"/>
  <c r="K1076" i="23"/>
  <c r="T1076" i="23" s="1"/>
  <c r="K669" i="23"/>
  <c r="K1211" i="23"/>
  <c r="T1211" i="23" s="1"/>
  <c r="K1104" i="23"/>
  <c r="T1104" i="23" s="1"/>
  <c r="K1045" i="23"/>
  <c r="T1045" i="23" s="1"/>
  <c r="K940" i="23"/>
  <c r="T940" i="23" s="1"/>
  <c r="K740" i="23"/>
  <c r="T740" i="23" s="1"/>
  <c r="K639" i="23"/>
  <c r="T639" i="23" s="1"/>
  <c r="K1126" i="23"/>
  <c r="T1126" i="23" s="1"/>
  <c r="K1062" i="23"/>
  <c r="T1062" i="23" s="1"/>
  <c r="K1026" i="23"/>
  <c r="T1026" i="23" s="1"/>
  <c r="K156" i="23"/>
  <c r="T156" i="23" s="1"/>
  <c r="K253" i="23"/>
  <c r="T253" i="23" s="1"/>
  <c r="K278" i="23"/>
  <c r="T278" i="23" s="1"/>
  <c r="K383" i="23"/>
  <c r="T383" i="23" s="1"/>
  <c r="K1992" i="23"/>
  <c r="K1934" i="23"/>
  <c r="K1883" i="23"/>
  <c r="K1721" i="23"/>
  <c r="K1555" i="23"/>
  <c r="T1555" i="23" s="1"/>
  <c r="K1407" i="23"/>
  <c r="T1407" i="23" s="1"/>
  <c r="K1343" i="23"/>
  <c r="T1343" i="23" s="1"/>
  <c r="K1279" i="23"/>
  <c r="T1279" i="23" s="1"/>
  <c r="K1481" i="23"/>
  <c r="T1481" i="23" s="1"/>
  <c r="K1420" i="23"/>
  <c r="T1420" i="23" s="1"/>
  <c r="K1356" i="23"/>
  <c r="T1356" i="23" s="1"/>
  <c r="K1304" i="23"/>
  <c r="T1304" i="23" s="1"/>
  <c r="K1258" i="23"/>
  <c r="T1258" i="23" s="1"/>
  <c r="K1226" i="23"/>
  <c r="T1226" i="23" s="1"/>
  <c r="K1210" i="23"/>
  <c r="T1210" i="23" s="1"/>
  <c r="K1194" i="23"/>
  <c r="T1194" i="23" s="1"/>
  <c r="K1178" i="23"/>
  <c r="T1178" i="23" s="1"/>
  <c r="K1162" i="23"/>
  <c r="T1162" i="23" s="1"/>
  <c r="K1146" i="23"/>
  <c r="T1146" i="23" s="1"/>
  <c r="K1229" i="23"/>
  <c r="T1229" i="23" s="1"/>
  <c r="K1118" i="23"/>
  <c r="T1118" i="23" s="1"/>
  <c r="K1058" i="23"/>
  <c r="T1058" i="23" s="1"/>
  <c r="K550" i="23"/>
  <c r="K1175" i="23"/>
  <c r="T1175" i="23" s="1"/>
  <c r="K1083" i="23"/>
  <c r="T1083" i="23" s="1"/>
  <c r="K986" i="23"/>
  <c r="T986" i="23" s="1"/>
  <c r="K922" i="23"/>
  <c r="T922" i="23" s="1"/>
  <c r="K633" i="23"/>
  <c r="T633" i="23" s="1"/>
  <c r="K1130" i="23"/>
  <c r="T1130" i="23" s="1"/>
  <c r="K1068" i="23"/>
  <c r="T1068" i="23" s="1"/>
  <c r="K653" i="23"/>
  <c r="K1195" i="23"/>
  <c r="T1195" i="23" s="1"/>
  <c r="K1099" i="23"/>
  <c r="T1099" i="23" s="1"/>
  <c r="K299" i="23"/>
  <c r="T299" i="23" s="1"/>
  <c r="K197" i="23"/>
  <c r="K421" i="23"/>
  <c r="K1976" i="23"/>
  <c r="K1918" i="23"/>
  <c r="K1990" i="23"/>
  <c r="K1895" i="23"/>
  <c r="K1548" i="23"/>
  <c r="T1548" i="23" s="1"/>
  <c r="K1403" i="23"/>
  <c r="T1403" i="23" s="1"/>
  <c r="K1339" i="23"/>
  <c r="T1339" i="23" s="1"/>
  <c r="K1275" i="23"/>
  <c r="T1275" i="23" s="1"/>
  <c r="K1465" i="23"/>
  <c r="T1465" i="23" s="1"/>
  <c r="K1416" i="23"/>
  <c r="T1416" i="23" s="1"/>
  <c r="K1352" i="23"/>
  <c r="T1352" i="23" s="1"/>
  <c r="K1292" i="23"/>
  <c r="T1292" i="23" s="1"/>
  <c r="K1256" i="23"/>
  <c r="T1256" i="23" s="1"/>
  <c r="K1224" i="23"/>
  <c r="T1224" i="23" s="1"/>
  <c r="K1208" i="23"/>
  <c r="T1208" i="23" s="1"/>
  <c r="K1192" i="23"/>
  <c r="T1192" i="23" s="1"/>
  <c r="K1176" i="23"/>
  <c r="T1176" i="23" s="1"/>
  <c r="K1160" i="23"/>
  <c r="T1160" i="23" s="1"/>
  <c r="K1144" i="23"/>
  <c r="T1144" i="23" s="1"/>
  <c r="K1213" i="23"/>
  <c r="T1213" i="23" s="1"/>
  <c r="K1113" i="23"/>
  <c r="T1113" i="23" s="1"/>
  <c r="K1050" i="23"/>
  <c r="T1050" i="23" s="1"/>
  <c r="K548" i="23"/>
  <c r="K1159" i="23"/>
  <c r="T1159" i="23" s="1"/>
  <c r="K1075" i="23"/>
  <c r="T1075" i="23" s="1"/>
  <c r="K978" i="23"/>
  <c r="T978" i="23" s="1"/>
  <c r="K914" i="23"/>
  <c r="T914" i="23" s="1"/>
  <c r="K1233" i="23"/>
  <c r="T1233" i="23" s="1"/>
  <c r="K1125" i="23"/>
  <c r="T1125" i="23" s="1"/>
  <c r="K1060" i="23"/>
  <c r="T1060" i="23" s="1"/>
  <c r="K620" i="23"/>
  <c r="K1179" i="23"/>
  <c r="T1179" i="23" s="1"/>
  <c r="K1093" i="23"/>
  <c r="T1093" i="23" s="1"/>
  <c r="K988" i="23"/>
  <c r="T988" i="23" s="1"/>
  <c r="K924" i="23"/>
  <c r="T924" i="23" s="1"/>
  <c r="K736" i="23"/>
  <c r="T736" i="23" s="1"/>
  <c r="K1221" i="23"/>
  <c r="T1221" i="23" s="1"/>
  <c r="K1110" i="23"/>
  <c r="T1110" i="23" s="1"/>
  <c r="K1046" i="23"/>
  <c r="T1046" i="23" s="1"/>
  <c r="K1024" i="23"/>
  <c r="T1024" i="23" s="1"/>
  <c r="K257" i="23"/>
  <c r="K1928" i="23"/>
  <c r="K1975" i="23"/>
  <c r="K1942" i="23"/>
  <c r="K1838" i="23"/>
  <c r="T1838" i="23" s="1"/>
  <c r="K1500" i="23"/>
  <c r="T1500" i="23" s="1"/>
  <c r="K1391" i="23"/>
  <c r="T1391" i="23" s="1"/>
  <c r="K1327" i="23"/>
  <c r="T1327" i="23" s="1"/>
  <c r="K1263" i="23"/>
  <c r="T1263" i="23" s="1"/>
  <c r="K1553" i="23"/>
  <c r="T1553" i="23" s="1"/>
  <c r="K1404" i="23"/>
  <c r="T1404" i="23" s="1"/>
  <c r="K1340" i="23"/>
  <c r="T1340" i="23" s="1"/>
  <c r="K1290" i="23"/>
  <c r="T1290" i="23" s="1"/>
  <c r="K1244" i="23"/>
  <c r="T1244" i="23" s="1"/>
  <c r="K1222" i="23"/>
  <c r="T1222" i="23" s="1"/>
  <c r="K1206" i="23"/>
  <c r="T1206" i="23" s="1"/>
  <c r="K1190" i="23"/>
  <c r="T1190" i="23" s="1"/>
  <c r="K1174" i="23"/>
  <c r="T1174" i="23" s="1"/>
  <c r="K1158" i="23"/>
  <c r="T1158" i="23" s="1"/>
  <c r="K1142" i="23"/>
  <c r="T1142" i="23" s="1"/>
  <c r="K1197" i="23"/>
  <c r="T1197" i="23" s="1"/>
  <c r="K1102" i="23"/>
  <c r="T1102" i="23" s="1"/>
  <c r="K1042" i="23"/>
  <c r="T1042" i="23" s="1"/>
  <c r="K539" i="23"/>
  <c r="K1143" i="23"/>
  <c r="T1143" i="23" s="1"/>
  <c r="K1067" i="23"/>
  <c r="T1067" i="23" s="1"/>
  <c r="K970" i="23"/>
  <c r="T970" i="23" s="1"/>
  <c r="K713" i="23"/>
  <c r="K1217" i="23"/>
  <c r="T1217" i="23" s="1"/>
  <c r="K1114" i="23"/>
  <c r="T1114" i="23" s="1"/>
  <c r="K1052" i="23"/>
  <c r="T1052" i="23" s="1"/>
  <c r="K618" i="23"/>
  <c r="K1163" i="23"/>
  <c r="T1163" i="23" s="1"/>
  <c r="K1085" i="23"/>
  <c r="T1085" i="23" s="1"/>
  <c r="K980" i="23"/>
  <c r="T980" i="23" s="1"/>
  <c r="K916" i="23"/>
  <c r="T916" i="23" s="1"/>
  <c r="K734" i="23"/>
  <c r="T734" i="23" s="1"/>
  <c r="K1205" i="23"/>
  <c r="T1205" i="23" s="1"/>
  <c r="K1105" i="23"/>
  <c r="T1105" i="23" s="1"/>
  <c r="K1038" i="23"/>
  <c r="T1038" i="23" s="1"/>
  <c r="K1023" i="23"/>
  <c r="T1023" i="23" s="1"/>
  <c r="K1015" i="23"/>
  <c r="T1015" i="23" s="1"/>
  <c r="K1007" i="23"/>
  <c r="T1007" i="23" s="1"/>
  <c r="K985" i="23"/>
  <c r="T985" i="23" s="1"/>
  <c r="K538" i="23"/>
  <c r="K1135" i="23"/>
  <c r="T1135" i="23" s="1"/>
  <c r="K1071" i="23"/>
  <c r="T1071" i="23" s="1"/>
  <c r="K982" i="23"/>
  <c r="T982" i="23" s="1"/>
  <c r="K918" i="23"/>
  <c r="T918" i="23" s="1"/>
  <c r="K1209" i="23"/>
  <c r="T1209" i="23" s="1"/>
  <c r="K1101" i="23"/>
  <c r="T1101" i="23" s="1"/>
  <c r="K1032" i="23"/>
  <c r="T1032" i="23" s="1"/>
  <c r="K947" i="23"/>
  <c r="T947" i="23" s="1"/>
  <c r="K901" i="23"/>
  <c r="T901" i="23" s="1"/>
  <c r="K885" i="23"/>
  <c r="T885" i="23" s="1"/>
  <c r="K869" i="23"/>
  <c r="T869" i="23" s="1"/>
  <c r="K853" i="23"/>
  <c r="T853" i="23" s="1"/>
  <c r="K700" i="23"/>
  <c r="K543" i="23"/>
  <c r="K1139" i="23"/>
  <c r="T1139" i="23" s="1"/>
  <c r="K1073" i="23"/>
  <c r="T1073" i="23" s="1"/>
  <c r="K984" i="23"/>
  <c r="T984" i="23" s="1"/>
  <c r="K920" i="23"/>
  <c r="T920" i="23" s="1"/>
  <c r="K534" i="23"/>
  <c r="K131" i="23"/>
  <c r="T131" i="23" s="1"/>
  <c r="J442" i="23"/>
  <c r="K442" i="23" s="1"/>
  <c r="K670" i="23"/>
  <c r="K735" i="23"/>
  <c r="T735" i="23" s="1"/>
  <c r="K122" i="23"/>
  <c r="T122" i="23" s="1"/>
  <c r="J304" i="23"/>
  <c r="K304" i="23" s="1"/>
  <c r="K368" i="23"/>
  <c r="K459" i="23"/>
  <c r="T459" i="23" s="1"/>
  <c r="K1184" i="23"/>
  <c r="T1184" i="23" s="1"/>
  <c r="K1108" i="23"/>
  <c r="T1108" i="23" s="1"/>
  <c r="K1120" i="23"/>
  <c r="T1120" i="23" s="1"/>
  <c r="K744" i="23"/>
  <c r="T744" i="23" s="1"/>
  <c r="K1121" i="23"/>
  <c r="T1121" i="23" s="1"/>
  <c r="K1020" i="23"/>
  <c r="T1020" i="23" s="1"/>
  <c r="K1011" i="23"/>
  <c r="T1011" i="23" s="1"/>
  <c r="K1002" i="23"/>
  <c r="T1002" i="23" s="1"/>
  <c r="K549" i="23"/>
  <c r="K1151" i="23"/>
  <c r="T1151" i="23" s="1"/>
  <c r="K1063" i="23"/>
  <c r="T1063" i="23" s="1"/>
  <c r="K966" i="23"/>
  <c r="T966" i="23" s="1"/>
  <c r="K706" i="23"/>
  <c r="K1145" i="23"/>
  <c r="T1145" i="23" s="1"/>
  <c r="K1056" i="23"/>
  <c r="T1056" i="23" s="1"/>
  <c r="K963" i="23"/>
  <c r="T963" i="23" s="1"/>
  <c r="K903" i="23"/>
  <c r="T903" i="23" s="1"/>
  <c r="K883" i="23"/>
  <c r="T883" i="23" s="1"/>
  <c r="K865" i="23"/>
  <c r="T865" i="23" s="1"/>
  <c r="K847" i="23"/>
  <c r="T847" i="23" s="1"/>
  <c r="K619" i="23"/>
  <c r="K1187" i="23"/>
  <c r="T1187" i="23" s="1"/>
  <c r="K1089" i="23"/>
  <c r="T1089" i="23" s="1"/>
  <c r="K992" i="23"/>
  <c r="T992" i="23" s="1"/>
  <c r="K912" i="23"/>
  <c r="T912" i="23" s="1"/>
  <c r="K440" i="23"/>
  <c r="K273" i="23"/>
  <c r="K345" i="23"/>
  <c r="K467" i="23"/>
  <c r="T467" i="23" s="1"/>
  <c r="K599" i="23"/>
  <c r="T599" i="23" s="1"/>
  <c r="J715" i="23"/>
  <c r="K715" i="23" s="1"/>
  <c r="K866" i="23"/>
  <c r="T866" i="23" s="1"/>
  <c r="K128" i="23"/>
  <c r="T128" i="23" s="1"/>
  <c r="K252" i="23"/>
  <c r="T252" i="23" s="1"/>
  <c r="K312" i="23"/>
  <c r="K391" i="23"/>
  <c r="K422" i="23"/>
  <c r="K246" i="23"/>
  <c r="T246" i="23" s="1"/>
  <c r="K307" i="23"/>
  <c r="K374" i="23"/>
  <c r="K704" i="23"/>
  <c r="T704" i="23" s="1"/>
  <c r="K728" i="23"/>
  <c r="T728" i="23" s="1"/>
  <c r="K860" i="23"/>
  <c r="T860" i="23" s="1"/>
  <c r="K892" i="23"/>
  <c r="T892" i="23" s="1"/>
  <c r="K231" i="23"/>
  <c r="T231" i="23" s="1"/>
  <c r="J298" i="23"/>
  <c r="K298" i="23" s="1"/>
  <c r="J400" i="23"/>
  <c r="K400" i="23" s="1"/>
  <c r="N400" i="23" s="1"/>
  <c r="K474" i="23"/>
  <c r="K556" i="23"/>
  <c r="T556" i="23" s="1"/>
  <c r="K804" i="23"/>
  <c r="T804" i="23" s="1"/>
  <c r="K949" i="23"/>
  <c r="T949" i="23" s="1"/>
  <c r="K194" i="23"/>
  <c r="K285" i="23"/>
  <c r="K380" i="23"/>
  <c r="K445" i="23"/>
  <c r="K475" i="23"/>
  <c r="K624" i="23"/>
  <c r="T624" i="23" s="1"/>
  <c r="J230" i="23"/>
  <c r="K230" i="23" s="1"/>
  <c r="J328" i="23"/>
  <c r="K328" i="23" s="1"/>
  <c r="K393" i="23"/>
  <c r="J436" i="23"/>
  <c r="K436" i="23" s="1"/>
  <c r="K541" i="23"/>
  <c r="T541" i="23" s="1"/>
  <c r="J685" i="23"/>
  <c r="K685" i="23" s="1"/>
  <c r="K723" i="23"/>
  <c r="T723" i="23" s="1"/>
  <c r="K919" i="23"/>
  <c r="T919" i="23" s="1"/>
  <c r="K152" i="23"/>
  <c r="K326" i="23"/>
  <c r="K489" i="23"/>
  <c r="T489" i="23" s="1"/>
  <c r="K597" i="23"/>
  <c r="T597" i="23" s="1"/>
  <c r="K676" i="23"/>
  <c r="K800" i="23"/>
  <c r="T800" i="23" s="1"/>
  <c r="K856" i="23"/>
  <c r="T856" i="23" s="1"/>
  <c r="K888" i="23"/>
  <c r="T888" i="23" s="1"/>
  <c r="K802" i="23"/>
  <c r="T802" i="23" s="1"/>
  <c r="K1499" i="23"/>
  <c r="T1499" i="23" s="1"/>
  <c r="K1566" i="23"/>
  <c r="T1566" i="23" s="1"/>
  <c r="K1443" i="23"/>
  <c r="T1443" i="23" s="1"/>
  <c r="K1451" i="23"/>
  <c r="T1451" i="23" s="1"/>
  <c r="K1506" i="23"/>
  <c r="T1506" i="23" s="1"/>
  <c r="K1569" i="23"/>
  <c r="T1569" i="23" s="1"/>
  <c r="K1470" i="23"/>
  <c r="T1470" i="23" s="1"/>
  <c r="K1495" i="23"/>
  <c r="T1495" i="23" s="1"/>
  <c r="K1565" i="23"/>
  <c r="T1565" i="23" s="1"/>
  <c r="K1447" i="23"/>
  <c r="T1447" i="23" s="1"/>
  <c r="K1525" i="23"/>
  <c r="T1525" i="23" s="1"/>
  <c r="K1494" i="23"/>
  <c r="T1494" i="23" s="1"/>
  <c r="K1519" i="23"/>
  <c r="T1519" i="23" s="1"/>
  <c r="K1552" i="23"/>
  <c r="T1552" i="23" s="1"/>
  <c r="K1168" i="23"/>
  <c r="T1168" i="23" s="1"/>
  <c r="K1043" i="23"/>
  <c r="T1043" i="23" s="1"/>
  <c r="K1115" i="23"/>
  <c r="T1115" i="23" s="1"/>
  <c r="K742" i="23"/>
  <c r="K1078" i="23"/>
  <c r="T1078" i="23" s="1"/>
  <c r="K1019" i="23"/>
  <c r="T1019" i="23" s="1"/>
  <c r="K1010" i="23"/>
  <c r="T1010" i="23" s="1"/>
  <c r="K996" i="23"/>
  <c r="T996" i="23" s="1"/>
  <c r="K540" i="23"/>
  <c r="K1127" i="23"/>
  <c r="T1127" i="23" s="1"/>
  <c r="K1055" i="23"/>
  <c r="T1055" i="23" s="1"/>
  <c r="K958" i="23"/>
  <c r="T958" i="23" s="1"/>
  <c r="K678" i="23"/>
  <c r="K1122" i="23"/>
  <c r="T1122" i="23" s="1"/>
  <c r="K1048" i="23"/>
  <c r="T1048" i="23" s="1"/>
  <c r="K955" i="23"/>
  <c r="T955" i="23" s="1"/>
  <c r="K899" i="23"/>
  <c r="T899" i="23" s="1"/>
  <c r="K881" i="23"/>
  <c r="T881" i="23" s="1"/>
  <c r="K863" i="23"/>
  <c r="T863" i="23" s="1"/>
  <c r="K845" i="23"/>
  <c r="T845" i="23" s="1"/>
  <c r="K594" i="23"/>
  <c r="K1171" i="23"/>
  <c r="T1171" i="23" s="1"/>
  <c r="K1081" i="23"/>
  <c r="T1081" i="23" s="1"/>
  <c r="K976" i="23"/>
  <c r="T976" i="23" s="1"/>
  <c r="K711" i="23"/>
  <c r="K426" i="23"/>
  <c r="K408" i="23"/>
  <c r="K501" i="23"/>
  <c r="T501" i="23" s="1"/>
  <c r="K602" i="23"/>
  <c r="T602" i="23" s="1"/>
  <c r="K722" i="23"/>
  <c r="T722" i="23" s="1"/>
  <c r="K874" i="23"/>
  <c r="T874" i="23" s="1"/>
  <c r="K140" i="23"/>
  <c r="T140" i="23" s="1"/>
  <c r="K261" i="23"/>
  <c r="K330" i="23"/>
  <c r="K396" i="23"/>
  <c r="J430" i="23"/>
  <c r="K430" i="23" s="1"/>
  <c r="K468" i="23"/>
  <c r="T468" i="23" s="1"/>
  <c r="K622" i="23"/>
  <c r="T622" i="23" s="1"/>
  <c r="K925" i="23"/>
  <c r="T925" i="23" s="1"/>
  <c r="K178" i="23"/>
  <c r="K249" i="23"/>
  <c r="T249" i="23" s="1"/>
  <c r="K387" i="23"/>
  <c r="K447" i="23"/>
  <c r="K625" i="23"/>
  <c r="T625" i="23" s="1"/>
  <c r="K732" i="23"/>
  <c r="T732" i="23" s="1"/>
  <c r="J236" i="23"/>
  <c r="K236" i="23" s="1"/>
  <c r="N236" i="23" s="1"/>
  <c r="K320" i="23"/>
  <c r="K410" i="23"/>
  <c r="K621" i="23"/>
  <c r="T621" i="23" s="1"/>
  <c r="K720" i="23"/>
  <c r="T720" i="23" s="1"/>
  <c r="K959" i="23"/>
  <c r="T959" i="23" s="1"/>
  <c r="K397" i="23"/>
  <c r="K628" i="23"/>
  <c r="T628" i="23" s="1"/>
  <c r="K743" i="23"/>
  <c r="T743" i="23" s="1"/>
  <c r="K797" i="23"/>
  <c r="T797" i="23" s="1"/>
  <c r="K870" i="23"/>
  <c r="T870" i="23" s="1"/>
  <c r="K902" i="23"/>
  <c r="T902" i="23" s="1"/>
  <c r="K233" i="23"/>
  <c r="T233" i="23" s="1"/>
  <c r="K342" i="23"/>
  <c r="K441" i="23"/>
  <c r="K686" i="23"/>
  <c r="T686" i="23" s="1"/>
  <c r="K921" i="23"/>
  <c r="T921" i="23" s="1"/>
  <c r="K339" i="23"/>
  <c r="K452" i="23"/>
  <c r="K494" i="23"/>
  <c r="T494" i="23" s="1"/>
  <c r="K682" i="23"/>
  <c r="K803" i="23"/>
  <c r="T803" i="23" s="1"/>
  <c r="K1477" i="23"/>
  <c r="T1477" i="23" s="1"/>
  <c r="K1573" i="23"/>
  <c r="T1573" i="23" s="1"/>
  <c r="K1515" i="23"/>
  <c r="T1515" i="23" s="1"/>
  <c r="K1461" i="23"/>
  <c r="T1461" i="23" s="1"/>
  <c r="K1530" i="23"/>
  <c r="T1530" i="23" s="1"/>
  <c r="K1571" i="23"/>
  <c r="T1571" i="23" s="1"/>
  <c r="K1469" i="23"/>
  <c r="T1469" i="23" s="1"/>
  <c r="K1568" i="23"/>
  <c r="T1568" i="23" s="1"/>
  <c r="K1595" i="23"/>
  <c r="T1595" i="23" s="1"/>
  <c r="K1152" i="23"/>
  <c r="T1152" i="23" s="1"/>
  <c r="K946" i="23"/>
  <c r="T946" i="23" s="1"/>
  <c r="K1061" i="23"/>
  <c r="T1061" i="23" s="1"/>
  <c r="K738" i="23"/>
  <c r="T738" i="23" s="1"/>
  <c r="K1070" i="23"/>
  <c r="T1070" i="23" s="1"/>
  <c r="K1018" i="23"/>
  <c r="T1018" i="23" s="1"/>
  <c r="K1009" i="23"/>
  <c r="T1009" i="23" s="1"/>
  <c r="K993" i="23"/>
  <c r="T993" i="23" s="1"/>
  <c r="K481" i="23"/>
  <c r="K1116" i="23"/>
  <c r="T1116" i="23" s="1"/>
  <c r="K1047" i="23"/>
  <c r="T1047" i="23" s="1"/>
  <c r="K950" i="23"/>
  <c r="T950" i="23" s="1"/>
  <c r="K665" i="23"/>
  <c r="K1117" i="23"/>
  <c r="T1117" i="23" s="1"/>
  <c r="K1040" i="23"/>
  <c r="T1040" i="23" s="1"/>
  <c r="K939" i="23"/>
  <c r="T939" i="23" s="1"/>
  <c r="K897" i="23"/>
  <c r="T897" i="23" s="1"/>
  <c r="K879" i="23"/>
  <c r="T879" i="23" s="1"/>
  <c r="K861" i="23"/>
  <c r="T861" i="23" s="1"/>
  <c r="K843" i="23"/>
  <c r="T843" i="23" s="1"/>
  <c r="K554" i="23"/>
  <c r="K1155" i="23"/>
  <c r="T1155" i="23" s="1"/>
  <c r="K1065" i="23"/>
  <c r="T1065" i="23" s="1"/>
  <c r="K968" i="23"/>
  <c r="T968" i="23" s="1"/>
  <c r="K702" i="23"/>
  <c r="K417" i="23"/>
  <c r="K314" i="23"/>
  <c r="K362" i="23"/>
  <c r="K479" i="23"/>
  <c r="K664" i="23"/>
  <c r="K795" i="23"/>
  <c r="T795" i="23" s="1"/>
  <c r="K882" i="23"/>
  <c r="T882" i="23" s="1"/>
  <c r="K173" i="23"/>
  <c r="J340" i="23"/>
  <c r="K340" i="23" s="1"/>
  <c r="K439" i="23"/>
  <c r="K535" i="23"/>
  <c r="K587" i="23"/>
  <c r="T587" i="23" s="1"/>
  <c r="K626" i="23"/>
  <c r="T626" i="23" s="1"/>
  <c r="K645" i="23"/>
  <c r="K717" i="23"/>
  <c r="T717" i="23" s="1"/>
  <c r="K935" i="23"/>
  <c r="T935" i="23" s="1"/>
  <c r="K119" i="23"/>
  <c r="T119" i="23" s="1"/>
  <c r="K180" i="23"/>
  <c r="K258" i="23"/>
  <c r="J322" i="23"/>
  <c r="K322" i="23" s="1"/>
  <c r="K451" i="23"/>
  <c r="K629" i="23"/>
  <c r="T629" i="23" s="1"/>
  <c r="K641" i="23"/>
  <c r="T641" i="23" s="1"/>
  <c r="K868" i="23"/>
  <c r="T868" i="23" s="1"/>
  <c r="K900" i="23"/>
  <c r="T900" i="23" s="1"/>
  <c r="K149" i="23"/>
  <c r="K239" i="23"/>
  <c r="T239" i="23" s="1"/>
  <c r="K325" i="23"/>
  <c r="K656" i="23"/>
  <c r="T656" i="23" s="1"/>
  <c r="K961" i="23"/>
  <c r="T961" i="23" s="1"/>
  <c r="K315" i="23"/>
  <c r="K454" i="23"/>
  <c r="K533" i="23"/>
  <c r="K631" i="23"/>
  <c r="T631" i="23" s="1"/>
  <c r="J259" i="23"/>
  <c r="K259" i="23" s="1"/>
  <c r="K350" i="23"/>
  <c r="K415" i="23"/>
  <c r="J691" i="23"/>
  <c r="K691" i="23" s="1"/>
  <c r="K941" i="23"/>
  <c r="T941" i="23" s="1"/>
  <c r="K172" i="23"/>
  <c r="K455" i="23"/>
  <c r="K531" i="23"/>
  <c r="T531" i="23" s="1"/>
  <c r="K864" i="23"/>
  <c r="T864" i="23" s="1"/>
  <c r="K896" i="23"/>
  <c r="T896" i="23" s="1"/>
  <c r="K1541" i="23"/>
  <c r="T1541" i="23" s="1"/>
  <c r="K1518" i="23"/>
  <c r="T1518" i="23" s="1"/>
  <c r="K1543" i="23"/>
  <c r="T1543" i="23" s="1"/>
  <c r="K1445" i="23"/>
  <c r="T1445" i="23" s="1"/>
  <c r="K1534" i="23"/>
  <c r="T1534" i="23" s="1"/>
  <c r="K1478" i="23"/>
  <c r="T1478" i="23" s="1"/>
  <c r="K1503" i="23"/>
  <c r="T1503" i="23" s="1"/>
  <c r="K1542" i="23"/>
  <c r="T1542" i="23" s="1"/>
  <c r="K1466" i="23"/>
  <c r="T1466" i="23" s="1"/>
  <c r="K1539" i="23"/>
  <c r="T1539" i="23" s="1"/>
  <c r="K1533" i="23"/>
  <c r="T1533" i="23" s="1"/>
  <c r="K1136" i="23"/>
  <c r="T1136" i="23" s="1"/>
  <c r="K677" i="23"/>
  <c r="K1053" i="23"/>
  <c r="T1053" i="23" s="1"/>
  <c r="K671" i="23"/>
  <c r="K1054" i="23"/>
  <c r="T1054" i="23" s="1"/>
  <c r="K1017" i="23"/>
  <c r="T1017" i="23" s="1"/>
  <c r="K1008" i="23"/>
  <c r="T1008" i="23" s="1"/>
  <c r="K712" i="23"/>
  <c r="K1231" i="23"/>
  <c r="T1231" i="23" s="1"/>
  <c r="K1111" i="23"/>
  <c r="T1111" i="23" s="1"/>
  <c r="K1039" i="23"/>
  <c r="T1039" i="23" s="1"/>
  <c r="K942" i="23"/>
  <c r="T942" i="23" s="1"/>
  <c r="K647" i="23"/>
  <c r="K1106" i="23"/>
  <c r="T1106" i="23" s="1"/>
  <c r="K1000" i="23"/>
  <c r="T1000" i="23" s="1"/>
  <c r="K931" i="23"/>
  <c r="T931" i="23" s="1"/>
  <c r="K895" i="23"/>
  <c r="T895" i="23" s="1"/>
  <c r="K877" i="23"/>
  <c r="T877" i="23" s="1"/>
  <c r="K859" i="23"/>
  <c r="T859" i="23" s="1"/>
  <c r="K841" i="23"/>
  <c r="T841" i="23" s="1"/>
  <c r="K545" i="23"/>
  <c r="K1128" i="23"/>
  <c r="T1128" i="23" s="1"/>
  <c r="K1057" i="23"/>
  <c r="T1057" i="23" s="1"/>
  <c r="K960" i="23"/>
  <c r="T960" i="23" s="1"/>
  <c r="K694" i="23"/>
  <c r="K409" i="23"/>
  <c r="K146" i="23"/>
  <c r="J283" i="23"/>
  <c r="K283" i="23" s="1"/>
  <c r="J370" i="23"/>
  <c r="K370" i="23" s="1"/>
  <c r="J673" i="23"/>
  <c r="K673" i="23" s="1"/>
  <c r="K725" i="23"/>
  <c r="T725" i="23" s="1"/>
  <c r="K184" i="23"/>
  <c r="T184" i="23" s="1"/>
  <c r="K267" i="23"/>
  <c r="K343" i="23"/>
  <c r="K404" i="23"/>
  <c r="K444" i="23"/>
  <c r="K484" i="23"/>
  <c r="T484" i="23" s="1"/>
  <c r="K591" i="23"/>
  <c r="T591" i="23" s="1"/>
  <c r="K632" i="23"/>
  <c r="T632" i="23" s="1"/>
  <c r="K658" i="23"/>
  <c r="K721" i="23"/>
  <c r="T721" i="23" s="1"/>
  <c r="K937" i="23"/>
  <c r="T937" i="23" s="1"/>
  <c r="K124" i="23"/>
  <c r="J264" i="23"/>
  <c r="K264" i="23" s="1"/>
  <c r="K327" i="23"/>
  <c r="K399" i="23"/>
  <c r="K457" i="23"/>
  <c r="K652" i="23"/>
  <c r="K710" i="23"/>
  <c r="T710" i="23" s="1"/>
  <c r="K151" i="23"/>
  <c r="K254" i="23"/>
  <c r="T254" i="23" s="1"/>
  <c r="K336" i="23"/>
  <c r="K482" i="23"/>
  <c r="T482" i="23" s="1"/>
  <c r="K586" i="23"/>
  <c r="T586" i="23" s="1"/>
  <c r="K668" i="23"/>
  <c r="T668" i="23" s="1"/>
  <c r="K333" i="23"/>
  <c r="K402" i="23"/>
  <c r="K465" i="23"/>
  <c r="T465" i="23" s="1"/>
  <c r="J634" i="23"/>
  <c r="K634" i="23" s="1"/>
  <c r="K789" i="23"/>
  <c r="T789" i="23" s="1"/>
  <c r="K846" i="23"/>
  <c r="T846" i="23" s="1"/>
  <c r="K878" i="23"/>
  <c r="T878" i="23" s="1"/>
  <c r="K125" i="23"/>
  <c r="K272" i="23"/>
  <c r="J358" i="23"/>
  <c r="K358" i="23" s="1"/>
  <c r="K486" i="23"/>
  <c r="T486" i="23" s="1"/>
  <c r="K693" i="23"/>
  <c r="K951" i="23"/>
  <c r="T951" i="23" s="1"/>
  <c r="K190" i="23"/>
  <c r="K367" i="23"/>
  <c r="K499" i="23"/>
  <c r="T499" i="23" s="1"/>
  <c r="K600" i="23"/>
  <c r="T600" i="23" s="1"/>
  <c r="K719" i="23"/>
  <c r="T719" i="23" s="1"/>
  <c r="K1482" i="23"/>
  <c r="T1482" i="23" s="1"/>
  <c r="K1510" i="23"/>
  <c r="T1510" i="23" s="1"/>
  <c r="K1535" i="23"/>
  <c r="T1535" i="23" s="1"/>
  <c r="K1454" i="23"/>
  <c r="T1454" i="23" s="1"/>
  <c r="K1479" i="23"/>
  <c r="T1479" i="23" s="1"/>
  <c r="K1462" i="23"/>
  <c r="T1462" i="23" s="1"/>
  <c r="K1487" i="23"/>
  <c r="T1487" i="23" s="1"/>
  <c r="K1509" i="23"/>
  <c r="T1509" i="23" s="1"/>
  <c r="K1562" i="23"/>
  <c r="T1562" i="23" s="1"/>
  <c r="K1475" i="23"/>
  <c r="T1475" i="23" s="1"/>
  <c r="K1474" i="23"/>
  <c r="T1474" i="23" s="1"/>
  <c r="K1572" i="23"/>
  <c r="T1572" i="23" s="1"/>
  <c r="K1715" i="23"/>
  <c r="T1715" i="23" s="1"/>
  <c r="K1615" i="23"/>
  <c r="T1615" i="23" s="1"/>
  <c r="K1647" i="23"/>
  <c r="T1647" i="23" s="1"/>
  <c r="K1274" i="23"/>
  <c r="T1274" i="23" s="1"/>
  <c r="K1149" i="23"/>
  <c r="T1149" i="23" s="1"/>
  <c r="K1169" i="23"/>
  <c r="T1169" i="23" s="1"/>
  <c r="K1037" i="23"/>
  <c r="T1037" i="23" s="1"/>
  <c r="K660" i="23"/>
  <c r="K1028" i="23"/>
  <c r="T1028" i="23" s="1"/>
  <c r="K1016" i="23"/>
  <c r="T1016" i="23" s="1"/>
  <c r="K1006" i="23"/>
  <c r="T1006" i="23" s="1"/>
  <c r="K695" i="23"/>
  <c r="K1215" i="23"/>
  <c r="T1215" i="23" s="1"/>
  <c r="K1100" i="23"/>
  <c r="T1100" i="23" s="1"/>
  <c r="K1031" i="23"/>
  <c r="T1031" i="23" s="1"/>
  <c r="K934" i="23"/>
  <c r="T934" i="23" s="1"/>
  <c r="K1225" i="23"/>
  <c r="T1225" i="23" s="1"/>
  <c r="K1088" i="23"/>
  <c r="T1088" i="23" s="1"/>
  <c r="K995" i="23"/>
  <c r="T995" i="23" s="1"/>
  <c r="K923" i="23"/>
  <c r="T923" i="23" s="1"/>
  <c r="K893" i="23"/>
  <c r="T893" i="23" s="1"/>
  <c r="K875" i="23"/>
  <c r="T875" i="23" s="1"/>
  <c r="K857" i="23"/>
  <c r="T857" i="23" s="1"/>
  <c r="K708" i="23"/>
  <c r="K529" i="23"/>
  <c r="T529" i="23" s="1"/>
  <c r="K1123" i="23"/>
  <c r="T1123" i="23" s="1"/>
  <c r="K1049" i="23"/>
  <c r="T1049" i="23" s="1"/>
  <c r="K952" i="23"/>
  <c r="T952" i="23" s="1"/>
  <c r="K683" i="23"/>
  <c r="K392" i="23"/>
  <c r="K148" i="23"/>
  <c r="K546" i="23"/>
  <c r="T546" i="23" s="1"/>
  <c r="K674" i="23"/>
  <c r="T674" i="23" s="1"/>
  <c r="K842" i="23"/>
  <c r="T842" i="23" s="1"/>
  <c r="K890" i="23"/>
  <c r="T890" i="23" s="1"/>
  <c r="K70" i="23"/>
  <c r="T70" i="23" s="1"/>
  <c r="K191" i="23"/>
  <c r="K351" i="23"/>
  <c r="K957" i="23"/>
  <c r="T957" i="23" s="1"/>
  <c r="K133" i="23"/>
  <c r="T133" i="23" s="1"/>
  <c r="K198" i="23"/>
  <c r="K271" i="23"/>
  <c r="K338" i="23"/>
  <c r="K414" i="23"/>
  <c r="K657" i="23"/>
  <c r="K739" i="23"/>
  <c r="T739" i="23" s="1"/>
  <c r="K844" i="23"/>
  <c r="T844" i="23" s="1"/>
  <c r="K876" i="23"/>
  <c r="T876" i="23" s="1"/>
  <c r="K975" i="23"/>
  <c r="T975" i="23" s="1"/>
  <c r="K268" i="23"/>
  <c r="J346" i="23"/>
  <c r="K346" i="23" s="1"/>
  <c r="K423" i="23"/>
  <c r="K488" i="23"/>
  <c r="T488" i="23" s="1"/>
  <c r="K590" i="23"/>
  <c r="K781" i="23"/>
  <c r="T781" i="23" s="1"/>
  <c r="K983" i="23"/>
  <c r="T983" i="23" s="1"/>
  <c r="K344" i="23"/>
  <c r="K405" i="23"/>
  <c r="K637" i="23"/>
  <c r="T637" i="23" s="1"/>
  <c r="K143" i="23"/>
  <c r="K361" i="23"/>
  <c r="K462" i="23"/>
  <c r="T462" i="23" s="1"/>
  <c r="K498" i="23"/>
  <c r="T498" i="23" s="1"/>
  <c r="K609" i="23"/>
  <c r="T609" i="23" s="1"/>
  <c r="K953" i="23"/>
  <c r="T953" i="23" s="1"/>
  <c r="K266" i="23"/>
  <c r="K375" i="23"/>
  <c r="K627" i="23"/>
  <c r="T627" i="23" s="1"/>
  <c r="K872" i="23"/>
  <c r="T872" i="23" s="1"/>
  <c r="K904" i="23"/>
  <c r="T904" i="23" s="1"/>
  <c r="K1491" i="23"/>
  <c r="T1491" i="23" s="1"/>
  <c r="K1546" i="23"/>
  <c r="T1546" i="23" s="1"/>
  <c r="K1549" i="23"/>
  <c r="T1549" i="23" s="1"/>
  <c r="K1526" i="23"/>
  <c r="T1526" i="23" s="1"/>
  <c r="K1554" i="23"/>
  <c r="T1554" i="23" s="1"/>
  <c r="K1450" i="23"/>
  <c r="T1450" i="23" s="1"/>
  <c r="K1453" i="23"/>
  <c r="T1453" i="23" s="1"/>
  <c r="K1517" i="23"/>
  <c r="T1517" i="23" s="1"/>
  <c r="K1483" i="23"/>
  <c r="T1483" i="23" s="1"/>
  <c r="K1538" i="23"/>
  <c r="T1538" i="23" s="1"/>
  <c r="K1589" i="23"/>
  <c r="T1589" i="23" s="1"/>
  <c r="K1619" i="23"/>
  <c r="T1619" i="23" s="1"/>
  <c r="K1651" i="23"/>
  <c r="T1651" i="23" s="1"/>
  <c r="K1610" i="23"/>
  <c r="T1610" i="23" s="1"/>
  <c r="K1642" i="23"/>
  <c r="T1642" i="23" s="1"/>
  <c r="K1719" i="23"/>
  <c r="T1719" i="23" s="1"/>
  <c r="K1234" i="23"/>
  <c r="T1234" i="23" s="1"/>
  <c r="K1082" i="23"/>
  <c r="T1082" i="23" s="1"/>
  <c r="K1092" i="23"/>
  <c r="T1092" i="23" s="1"/>
  <c r="K956" i="23"/>
  <c r="T956" i="23" s="1"/>
  <c r="K595" i="23"/>
  <c r="K1027" i="23"/>
  <c r="T1027" i="23" s="1"/>
  <c r="K1014" i="23"/>
  <c r="T1014" i="23" s="1"/>
  <c r="K1005" i="23"/>
  <c r="T1005" i="23" s="1"/>
  <c r="K687" i="23"/>
  <c r="K1199" i="23"/>
  <c r="T1199" i="23" s="1"/>
  <c r="K1095" i="23"/>
  <c r="T1095" i="23" s="1"/>
  <c r="K1001" i="23"/>
  <c r="T1001" i="23" s="1"/>
  <c r="K926" i="23"/>
  <c r="T926" i="23" s="1"/>
  <c r="K1193" i="23"/>
  <c r="T1193" i="23" s="1"/>
  <c r="K1080" i="23"/>
  <c r="T1080" i="23" s="1"/>
  <c r="K987" i="23"/>
  <c r="T987" i="23" s="1"/>
  <c r="K915" i="23"/>
  <c r="T915" i="23" s="1"/>
  <c r="K891" i="23"/>
  <c r="T891" i="23" s="1"/>
  <c r="K873" i="23"/>
  <c r="T873" i="23" s="1"/>
  <c r="K855" i="23"/>
  <c r="T855" i="23" s="1"/>
  <c r="K689" i="23"/>
  <c r="K1235" i="23"/>
  <c r="T1235" i="23" s="1"/>
  <c r="K1112" i="23"/>
  <c r="T1112" i="23" s="1"/>
  <c r="K1041" i="23"/>
  <c r="T1041" i="23" s="1"/>
  <c r="K944" i="23"/>
  <c r="T944" i="23" s="1"/>
  <c r="K672" i="23"/>
  <c r="K19" i="23"/>
  <c r="T19" i="23" s="1"/>
  <c r="K126" i="23"/>
  <c r="K182" i="23"/>
  <c r="K381" i="23"/>
  <c r="K456" i="23"/>
  <c r="K584" i="23"/>
  <c r="T584" i="23" s="1"/>
  <c r="K646" i="23"/>
  <c r="K680" i="23"/>
  <c r="T680" i="23" s="1"/>
  <c r="K799" i="23"/>
  <c r="T799" i="23" s="1"/>
  <c r="K850" i="23"/>
  <c r="T850" i="23" s="1"/>
  <c r="K898" i="23"/>
  <c r="T898" i="23" s="1"/>
  <c r="K72" i="23"/>
  <c r="T72" i="23" s="1"/>
  <c r="K229" i="23"/>
  <c r="T229" i="23" s="1"/>
  <c r="J280" i="23"/>
  <c r="K280" i="23" s="1"/>
  <c r="K354" i="23"/>
  <c r="K461" i="23"/>
  <c r="T461" i="23" s="1"/>
  <c r="K491" i="23"/>
  <c r="T491" i="23" s="1"/>
  <c r="K662" i="23"/>
  <c r="T662" i="23" s="1"/>
  <c r="K967" i="23"/>
  <c r="T967" i="23" s="1"/>
  <c r="K135" i="23"/>
  <c r="T135" i="23" s="1"/>
  <c r="J277" i="23"/>
  <c r="K277" i="23" s="1"/>
  <c r="K349" i="23"/>
  <c r="K432" i="23"/>
  <c r="K496" i="23"/>
  <c r="T496" i="23" s="1"/>
  <c r="K977" i="23"/>
  <c r="T977" i="23" s="1"/>
  <c r="K366" i="23"/>
  <c r="K428" i="23"/>
  <c r="K492" i="23"/>
  <c r="T492" i="23" s="1"/>
  <c r="K598" i="23"/>
  <c r="T598" i="23" s="1"/>
  <c r="K790" i="23"/>
  <c r="T790" i="23" s="1"/>
  <c r="K917" i="23"/>
  <c r="T917" i="23" s="1"/>
  <c r="K174" i="23"/>
  <c r="K355" i="23"/>
  <c r="K644" i="23"/>
  <c r="T644" i="23" s="1"/>
  <c r="K716" i="23"/>
  <c r="T716" i="23" s="1"/>
  <c r="K854" i="23"/>
  <c r="T854" i="23" s="1"/>
  <c r="K886" i="23"/>
  <c r="T886" i="23" s="1"/>
  <c r="K145" i="23"/>
  <c r="K282" i="23"/>
  <c r="K369" i="23"/>
  <c r="K420" i="23"/>
  <c r="K470" i="23"/>
  <c r="T470" i="23" s="1"/>
  <c r="K589" i="23"/>
  <c r="T589" i="23" s="1"/>
  <c r="K745" i="23"/>
  <c r="T745" i="23" s="1"/>
  <c r="K997" i="23"/>
  <c r="T997" i="23" s="1"/>
  <c r="K386" i="23"/>
  <c r="K585" i="23"/>
  <c r="T585" i="23" s="1"/>
  <c r="K635" i="23"/>
  <c r="T635" i="23" s="1"/>
  <c r="K1558" i="23"/>
  <c r="T1558" i="23" s="1"/>
  <c r="K1446" i="23"/>
  <c r="T1446" i="23" s="1"/>
  <c r="K1471" i="23"/>
  <c r="T1471" i="23" s="1"/>
  <c r="K1493" i="23"/>
  <c r="T1493" i="23" s="1"/>
  <c r="K1459" i="23"/>
  <c r="T1459" i="23" s="1"/>
  <c r="K1514" i="23"/>
  <c r="T1514" i="23" s="1"/>
  <c r="K1458" i="23"/>
  <c r="T1458" i="23" s="1"/>
  <c r="K1522" i="23"/>
  <c r="T1522" i="23" s="1"/>
  <c r="K1547" i="23"/>
  <c r="T1547" i="23" s="1"/>
  <c r="K1584" i="23"/>
  <c r="T1584" i="23" s="1"/>
  <c r="K1216" i="23"/>
  <c r="T1216" i="23" s="1"/>
  <c r="K705" i="23"/>
  <c r="K707" i="23"/>
  <c r="K948" i="23"/>
  <c r="T948" i="23" s="1"/>
  <c r="K1157" i="23"/>
  <c r="T1157" i="23" s="1"/>
  <c r="K1025" i="23"/>
  <c r="T1025" i="23" s="1"/>
  <c r="K1013" i="23"/>
  <c r="T1013" i="23" s="1"/>
  <c r="K1004" i="23"/>
  <c r="T1004" i="23" s="1"/>
  <c r="K663" i="23"/>
  <c r="K1183" i="23"/>
  <c r="T1183" i="23" s="1"/>
  <c r="K1087" i="23"/>
  <c r="T1087" i="23" s="1"/>
  <c r="K990" i="23"/>
  <c r="T990" i="23" s="1"/>
  <c r="K910" i="23"/>
  <c r="T910" i="23" s="1"/>
  <c r="K1177" i="23"/>
  <c r="T1177" i="23" s="1"/>
  <c r="K1072" i="23"/>
  <c r="T1072" i="23" s="1"/>
  <c r="K979" i="23"/>
  <c r="T979" i="23" s="1"/>
  <c r="K907" i="23"/>
  <c r="T907" i="23" s="1"/>
  <c r="K889" i="23"/>
  <c r="T889" i="23" s="1"/>
  <c r="K871" i="23"/>
  <c r="T871" i="23" s="1"/>
  <c r="K851" i="23"/>
  <c r="T851" i="23" s="1"/>
  <c r="K681" i="23"/>
  <c r="K1219" i="23"/>
  <c r="T1219" i="23" s="1"/>
  <c r="K1107" i="23"/>
  <c r="T1107" i="23" s="1"/>
  <c r="K1033" i="23"/>
  <c r="T1033" i="23" s="1"/>
  <c r="K936" i="23"/>
  <c r="T936" i="23" s="1"/>
  <c r="K659" i="23"/>
  <c r="K332" i="23"/>
  <c r="J394" i="23"/>
  <c r="K394" i="23" s="1"/>
  <c r="N394" i="23" s="1"/>
  <c r="K427" i="23"/>
  <c r="K588" i="23"/>
  <c r="T588" i="23" s="1"/>
  <c r="J661" i="23"/>
  <c r="K661" i="23" s="1"/>
  <c r="K692" i="23"/>
  <c r="T692" i="23" s="1"/>
  <c r="K785" i="23"/>
  <c r="T785" i="23" s="1"/>
  <c r="K805" i="23"/>
  <c r="T805" i="23" s="1"/>
  <c r="K74" i="23"/>
  <c r="T74" i="23" s="1"/>
  <c r="J234" i="23"/>
  <c r="K234" i="23" s="1"/>
  <c r="K294" i="23"/>
  <c r="J376" i="23"/>
  <c r="K376" i="23" s="1"/>
  <c r="J412" i="23"/>
  <c r="K412" i="23" s="1"/>
  <c r="J640" i="23"/>
  <c r="K640" i="23" s="1"/>
  <c r="K729" i="23"/>
  <c r="T729" i="23" s="1"/>
  <c r="K969" i="23"/>
  <c r="T969" i="23" s="1"/>
  <c r="K137" i="23"/>
  <c r="T137" i="23" s="1"/>
  <c r="K237" i="23"/>
  <c r="T237" i="23" s="1"/>
  <c r="K291" i="23"/>
  <c r="K357" i="23"/>
  <c r="K551" i="23"/>
  <c r="T551" i="23" s="1"/>
  <c r="K724" i="23"/>
  <c r="T724" i="23" s="1"/>
  <c r="K852" i="23"/>
  <c r="T852" i="23" s="1"/>
  <c r="K884" i="23"/>
  <c r="T884" i="23" s="1"/>
  <c r="K186" i="23"/>
  <c r="T186" i="23" s="1"/>
  <c r="J274" i="23"/>
  <c r="K274" i="23" s="1"/>
  <c r="J382" i="23"/>
  <c r="K382" i="23" s="1"/>
  <c r="K464" i="23"/>
  <c r="T464" i="23" s="1"/>
  <c r="K601" i="23"/>
  <c r="T601" i="23" s="1"/>
  <c r="K794" i="23"/>
  <c r="K927" i="23"/>
  <c r="T927" i="23" s="1"/>
  <c r="K176" i="23"/>
  <c r="K256" i="23"/>
  <c r="K363" i="23"/>
  <c r="K727" i="23"/>
  <c r="T727" i="23" s="1"/>
  <c r="K793" i="23"/>
  <c r="T793" i="23" s="1"/>
  <c r="K181" i="23"/>
  <c r="J292" i="23"/>
  <c r="K292" i="23" s="1"/>
  <c r="K378" i="23"/>
  <c r="J424" i="23"/>
  <c r="K424" i="23" s="1"/>
  <c r="K476" i="23"/>
  <c r="K603" i="23"/>
  <c r="T603" i="23" s="1"/>
  <c r="K279" i="23"/>
  <c r="K605" i="23"/>
  <c r="K848" i="23"/>
  <c r="T848" i="23" s="1"/>
  <c r="K880" i="23"/>
  <c r="T880" i="23" s="1"/>
  <c r="K973" i="23"/>
  <c r="T973" i="23" s="1"/>
  <c r="K1463" i="23"/>
  <c r="T1463" i="23" s="1"/>
  <c r="K1485" i="23"/>
  <c r="T1485" i="23" s="1"/>
  <c r="K1498" i="23"/>
  <c r="T1498" i="23" s="1"/>
  <c r="K1577" i="23"/>
  <c r="T1577" i="23" s="1"/>
  <c r="K1501" i="23"/>
  <c r="T1501" i="23" s="1"/>
  <c r="K1523" i="23"/>
  <c r="T1523" i="23" s="1"/>
  <c r="K1467" i="23"/>
  <c r="T1467" i="23" s="1"/>
  <c r="K1531" i="23"/>
  <c r="T1531" i="23" s="1"/>
  <c r="K1575" i="23"/>
  <c r="T1575" i="23" s="1"/>
  <c r="K1550" i="23"/>
  <c r="T1550" i="23" s="1"/>
  <c r="K1594" i="23"/>
  <c r="T1594" i="23" s="1"/>
  <c r="K1627" i="23"/>
  <c r="T1627" i="23" s="1"/>
  <c r="K1694" i="23"/>
  <c r="T1694" i="23" s="1"/>
  <c r="K1583" i="23"/>
  <c r="T1583" i="23" s="1"/>
  <c r="K1602" i="23"/>
  <c r="T1602" i="23" s="1"/>
  <c r="K1634" i="23"/>
  <c r="T1634" i="23" s="1"/>
  <c r="K1200" i="23"/>
  <c r="T1200" i="23" s="1"/>
  <c r="K1223" i="23"/>
  <c r="T1223" i="23" s="1"/>
  <c r="K544" i="23"/>
  <c r="K932" i="23"/>
  <c r="T932" i="23" s="1"/>
  <c r="K1141" i="23"/>
  <c r="T1141" i="23" s="1"/>
  <c r="K1021" i="23"/>
  <c r="T1021" i="23" s="1"/>
  <c r="K1012" i="23"/>
  <c r="T1012" i="23" s="1"/>
  <c r="K1003" i="23"/>
  <c r="T1003" i="23" s="1"/>
  <c r="K642" i="23"/>
  <c r="K1167" i="23"/>
  <c r="T1167" i="23" s="1"/>
  <c r="K1079" i="23"/>
  <c r="T1079" i="23" s="1"/>
  <c r="K974" i="23"/>
  <c r="T974" i="23" s="1"/>
  <c r="K714" i="23"/>
  <c r="K1161" i="23"/>
  <c r="T1161" i="23" s="1"/>
  <c r="K1064" i="23"/>
  <c r="T1064" i="23" s="1"/>
  <c r="K971" i="23"/>
  <c r="T971" i="23" s="1"/>
  <c r="K905" i="23"/>
  <c r="T905" i="23" s="1"/>
  <c r="K887" i="23"/>
  <c r="T887" i="23" s="1"/>
  <c r="K867" i="23"/>
  <c r="T867" i="23" s="1"/>
  <c r="K849" i="23"/>
  <c r="T849" i="23" s="1"/>
  <c r="K654" i="23"/>
  <c r="K1203" i="23"/>
  <c r="T1203" i="23" s="1"/>
  <c r="K1096" i="23"/>
  <c r="T1096" i="23" s="1"/>
  <c r="K999" i="23"/>
  <c r="T999" i="23" s="1"/>
  <c r="K928" i="23"/>
  <c r="T928" i="23" s="1"/>
  <c r="K450" i="23"/>
  <c r="K21" i="23"/>
  <c r="T21" i="23" s="1"/>
  <c r="K297" i="23"/>
  <c r="K495" i="23"/>
  <c r="T495" i="23" s="1"/>
  <c r="K593" i="23"/>
  <c r="T593" i="23" s="1"/>
  <c r="K791" i="23"/>
  <c r="T791" i="23" s="1"/>
  <c r="K806" i="23"/>
  <c r="T806" i="23" s="1"/>
  <c r="K858" i="23"/>
  <c r="T858" i="23" s="1"/>
  <c r="K906" i="23"/>
  <c r="T906" i="23" s="1"/>
  <c r="K87" i="23"/>
  <c r="T87" i="23" s="1"/>
  <c r="K309" i="23"/>
  <c r="K379" i="23"/>
  <c r="J679" i="23"/>
  <c r="K679" i="23" s="1"/>
  <c r="K737" i="23"/>
  <c r="T737" i="23" s="1"/>
  <c r="K142" i="23"/>
  <c r="K242" i="23"/>
  <c r="T242" i="23" s="1"/>
  <c r="J301" i="23"/>
  <c r="K301" i="23" s="1"/>
  <c r="K360" i="23"/>
  <c r="K435" i="23"/>
  <c r="J703" i="23"/>
  <c r="K703" i="23" s="1"/>
  <c r="K991" i="23"/>
  <c r="T991" i="23" s="1"/>
  <c r="K200" i="23"/>
  <c r="T200" i="23" s="1"/>
  <c r="K288" i="23"/>
  <c r="K385" i="23"/>
  <c r="K469" i="23"/>
  <c r="T469" i="23" s="1"/>
  <c r="K604" i="23"/>
  <c r="T604" i="23" s="1"/>
  <c r="K741" i="23"/>
  <c r="T741" i="23" s="1"/>
  <c r="K798" i="23"/>
  <c r="T798" i="23" s="1"/>
  <c r="K929" i="23"/>
  <c r="T929" i="23" s="1"/>
  <c r="K192" i="23"/>
  <c r="K262" i="23"/>
  <c r="K372" i="23"/>
  <c r="K433" i="23"/>
  <c r="K731" i="23"/>
  <c r="T731" i="23" s="1"/>
  <c r="K862" i="23"/>
  <c r="T862" i="23" s="1"/>
  <c r="K894" i="23"/>
  <c r="T894" i="23" s="1"/>
  <c r="K228" i="23"/>
  <c r="K308" i="23"/>
  <c r="J388" i="23"/>
  <c r="K388" i="23" s="1"/>
  <c r="K909" i="23"/>
  <c r="T909" i="23" s="1"/>
  <c r="K303" i="23"/>
  <c r="K483" i="23"/>
  <c r="T483" i="23" s="1"/>
  <c r="K592" i="23"/>
  <c r="K730" i="23"/>
  <c r="T730" i="23" s="1"/>
  <c r="K1502" i="23"/>
  <c r="T1502" i="23" s="1"/>
  <c r="K1527" i="23"/>
  <c r="T1527" i="23" s="1"/>
  <c r="K1567" i="23"/>
  <c r="T1567" i="23" s="1"/>
  <c r="K1490" i="23"/>
  <c r="T1490" i="23" s="1"/>
  <c r="K1560" i="23"/>
  <c r="T1560" i="23" s="1"/>
  <c r="K1507" i="23"/>
  <c r="T1507" i="23" s="1"/>
  <c r="K1442" i="23"/>
  <c r="T1442" i="23" s="1"/>
  <c r="K1556" i="23"/>
  <c r="T1556" i="23" s="1"/>
  <c r="K1486" i="23"/>
  <c r="T1486" i="23" s="1"/>
  <c r="K1511" i="23"/>
  <c r="T1511" i="23" s="1"/>
  <c r="K1455" i="23"/>
  <c r="T1455" i="23" s="1"/>
  <c r="K1808" i="23"/>
  <c r="T1808" i="23" s="1"/>
  <c r="K1599" i="23"/>
  <c r="T1599" i="23" s="1"/>
  <c r="K1631" i="23"/>
  <c r="T1631" i="23" s="1"/>
  <c r="K1699" i="23"/>
  <c r="T1699" i="23" s="1"/>
  <c r="K1738" i="23"/>
  <c r="T1738" i="23" s="1"/>
  <c r="K1588" i="23"/>
  <c r="T1588" i="23" s="1"/>
  <c r="K1614" i="23"/>
  <c r="T1614" i="23" s="1"/>
  <c r="K1646" i="23"/>
  <c r="T1646" i="23" s="1"/>
  <c r="K1707" i="23"/>
  <c r="T1707" i="23" s="1"/>
  <c r="K1643" i="23"/>
  <c r="T1643" i="23" s="1"/>
  <c r="K1622" i="23"/>
  <c r="T1622" i="23" s="1"/>
  <c r="K1693" i="23"/>
  <c r="T1693" i="23" s="1"/>
  <c r="K1601" i="23"/>
  <c r="T1601" i="23" s="1"/>
  <c r="K1617" i="23"/>
  <c r="T1617" i="23" s="1"/>
  <c r="K1649" i="23"/>
  <c r="T1649" i="23" s="1"/>
  <c r="K1576" i="23"/>
  <c r="T1576" i="23" s="1"/>
  <c r="K1596" i="23"/>
  <c r="T1596" i="23" s="1"/>
  <c r="K1628" i="23"/>
  <c r="T1628" i="23" s="1"/>
  <c r="K1590" i="23"/>
  <c r="T1590" i="23" s="1"/>
  <c r="K2168" i="23"/>
  <c r="T2168" i="23" s="1"/>
  <c r="K2186" i="23"/>
  <c r="T2186" i="23" s="1"/>
  <c r="K2246" i="23"/>
  <c r="T2246" i="23" s="1"/>
  <c r="K1798" i="23"/>
  <c r="T1798" i="23" s="1"/>
  <c r="K1839" i="23"/>
  <c r="T1839" i="23" s="1"/>
  <c r="K1880" i="23"/>
  <c r="T1880" i="23" s="1"/>
  <c r="K2109" i="23"/>
  <c r="T2109" i="23" s="1"/>
  <c r="K1993" i="23"/>
  <c r="T1993" i="23" s="1"/>
  <c r="K1837" i="23"/>
  <c r="T1837" i="23" s="1"/>
  <c r="K2005" i="23"/>
  <c r="T2005" i="23" s="1"/>
  <c r="K1794" i="23"/>
  <c r="T1794" i="23" s="1"/>
  <c r="K1820" i="23"/>
  <c r="T1820" i="23" s="1"/>
  <c r="K1892" i="23"/>
  <c r="T1892" i="23" s="1"/>
  <c r="K1847" i="23"/>
  <c r="T1847" i="23" s="1"/>
  <c r="K1925" i="23"/>
  <c r="T1925" i="23" s="1"/>
  <c r="K2426" i="23"/>
  <c r="T2426" i="23" s="1"/>
  <c r="K2444" i="23"/>
  <c r="T2444" i="23" s="1"/>
  <c r="K2360" i="23"/>
  <c r="T2360" i="23" s="1"/>
  <c r="K1655" i="23"/>
  <c r="T1655" i="23" s="1"/>
  <c r="K1598" i="23"/>
  <c r="T1598" i="23" s="1"/>
  <c r="K1587" i="23"/>
  <c r="T1587" i="23" s="1"/>
  <c r="K1788" i="23"/>
  <c r="T1788" i="23" s="1"/>
  <c r="K1621" i="23"/>
  <c r="T1621" i="23" s="1"/>
  <c r="K1653" i="23"/>
  <c r="T1653" i="23" s="1"/>
  <c r="K1608" i="23"/>
  <c r="T1608" i="23" s="1"/>
  <c r="K1640" i="23"/>
  <c r="T1640" i="23" s="1"/>
  <c r="K1574" i="23"/>
  <c r="T1574" i="23" s="1"/>
  <c r="K2093" i="23"/>
  <c r="T2093" i="23" s="1"/>
  <c r="K1791" i="23"/>
  <c r="T1791" i="23" s="1"/>
  <c r="K1909" i="23"/>
  <c r="T1909" i="23" s="1"/>
  <c r="K1977" i="23"/>
  <c r="T1977" i="23" s="1"/>
  <c r="K1853" i="23"/>
  <c r="T1853" i="23" s="1"/>
  <c r="K1845" i="23"/>
  <c r="T1845" i="23" s="1"/>
  <c r="K2009" i="23"/>
  <c r="T2009" i="23" s="1"/>
  <c r="K2021" i="23"/>
  <c r="T2021" i="23" s="1"/>
  <c r="K1745" i="23"/>
  <c r="T1745" i="23" s="1"/>
  <c r="K1896" i="23"/>
  <c r="T1896" i="23" s="1"/>
  <c r="K2101" i="23"/>
  <c r="T2101" i="23" s="1"/>
  <c r="K1792" i="23"/>
  <c r="T1792" i="23" s="1"/>
  <c r="K1825" i="23"/>
  <c r="T1825" i="23" s="1"/>
  <c r="K1929" i="23"/>
  <c r="T1929" i="23" s="1"/>
  <c r="K2128" i="23"/>
  <c r="T2128" i="23" s="1"/>
  <c r="K2252" i="23"/>
  <c r="T2252" i="23" s="1"/>
  <c r="K2240" i="23"/>
  <c r="T2240" i="23" s="1"/>
  <c r="K2432" i="23"/>
  <c r="T2432" i="23" s="1"/>
  <c r="K2456" i="23"/>
  <c r="T2456" i="23" s="1"/>
  <c r="K2666" i="23"/>
  <c r="T2666" i="23" s="1"/>
  <c r="K2534" i="23"/>
  <c r="T2534" i="23" s="1"/>
  <c r="K2420" i="23"/>
  <c r="T2420" i="23" s="1"/>
  <c r="K1603" i="23"/>
  <c r="T1603" i="23" s="1"/>
  <c r="K1650" i="23"/>
  <c r="T1650" i="23" s="1"/>
  <c r="K1850" i="23"/>
  <c r="T1850" i="23" s="1"/>
  <c r="K1605" i="23"/>
  <c r="T1605" i="23" s="1"/>
  <c r="K1625" i="23"/>
  <c r="T1625" i="23" s="1"/>
  <c r="K1692" i="23"/>
  <c r="T1692" i="23" s="1"/>
  <c r="K1795" i="23"/>
  <c r="T1795" i="23" s="1"/>
  <c r="K1620" i="23"/>
  <c r="T1620" i="23" s="1"/>
  <c r="K1652" i="23"/>
  <c r="T1652" i="23" s="1"/>
  <c r="K1695" i="23"/>
  <c r="T1695" i="23" s="1"/>
  <c r="K1723" i="23"/>
  <c r="T1723" i="23" s="1"/>
  <c r="K2148" i="23"/>
  <c r="T2148" i="23" s="1"/>
  <c r="K1799" i="23"/>
  <c r="T1799" i="23" s="1"/>
  <c r="K1933" i="23"/>
  <c r="T1933" i="23" s="1"/>
  <c r="K2033" i="23"/>
  <c r="T2033" i="23" s="1"/>
  <c r="K1790" i="23"/>
  <c r="T1790" i="23" s="1"/>
  <c r="K2133" i="23"/>
  <c r="T2133" i="23" s="1"/>
  <c r="K2049" i="23"/>
  <c r="T2049" i="23" s="1"/>
  <c r="K1860" i="23"/>
  <c r="T1860" i="23" s="1"/>
  <c r="K1829" i="23"/>
  <c r="T1829" i="23" s="1"/>
  <c r="K1997" i="23"/>
  <c r="T1997" i="23" s="1"/>
  <c r="K2025" i="23"/>
  <c r="T2025" i="23" s="1"/>
  <c r="K1746" i="23"/>
  <c r="T1746" i="23" s="1"/>
  <c r="K1805" i="23"/>
  <c r="T1805" i="23" s="1"/>
  <c r="K2105" i="23"/>
  <c r="T2105" i="23" s="1"/>
  <c r="K1833" i="23"/>
  <c r="T1833" i="23" s="1"/>
  <c r="K2138" i="23"/>
  <c r="T2138" i="23" s="1"/>
  <c r="K2330" i="23"/>
  <c r="T2330" i="23" s="1"/>
  <c r="K2366" i="23"/>
  <c r="T2366" i="23" s="1"/>
  <c r="K2414" i="23"/>
  <c r="T2414" i="23" s="1"/>
  <c r="K2306" i="23"/>
  <c r="T2306" i="23" s="1"/>
  <c r="K2450" i="23"/>
  <c r="T2450" i="23" s="1"/>
  <c r="K2663" i="23"/>
  <c r="T2663" i="23" s="1"/>
  <c r="K2468" i="23"/>
  <c r="T2468" i="23" s="1"/>
  <c r="K2669" i="23"/>
  <c r="T2669" i="23" s="1"/>
  <c r="K2528" i="23"/>
  <c r="T2528" i="23" s="1"/>
  <c r="K2672" i="23"/>
  <c r="K2492" i="23"/>
  <c r="T2492" i="23" s="1"/>
  <c r="K2408" i="23"/>
  <c r="T2408" i="23" s="1"/>
  <c r="K1607" i="23"/>
  <c r="T1607" i="23" s="1"/>
  <c r="K1626" i="23"/>
  <c r="T1626" i="23" s="1"/>
  <c r="K1638" i="23"/>
  <c r="T1638" i="23" s="1"/>
  <c r="K1593" i="23"/>
  <c r="T1593" i="23" s="1"/>
  <c r="K1796" i="23"/>
  <c r="T1796" i="23" s="1"/>
  <c r="K1592" i="23"/>
  <c r="T1592" i="23" s="1"/>
  <c r="K1868" i="23"/>
  <c r="T1868" i="23" s="1"/>
  <c r="K1629" i="23"/>
  <c r="T1629" i="23" s="1"/>
  <c r="K1600" i="23"/>
  <c r="T1600" i="23" s="1"/>
  <c r="K1632" i="23"/>
  <c r="T1632" i="23" s="1"/>
  <c r="K1705" i="23"/>
  <c r="T1705" i="23" s="1"/>
  <c r="K2163" i="23"/>
  <c r="T2163" i="23" s="1"/>
  <c r="K1937" i="23"/>
  <c r="T1937" i="23" s="1"/>
  <c r="K2045" i="23"/>
  <c r="T2045" i="23" s="1"/>
  <c r="K1985" i="23"/>
  <c r="T1985" i="23" s="1"/>
  <c r="K2057" i="23"/>
  <c r="T2057" i="23" s="1"/>
  <c r="K1913" i="23"/>
  <c r="T1913" i="23" s="1"/>
  <c r="K2037" i="23"/>
  <c r="T2037" i="23" s="1"/>
  <c r="K1830" i="23"/>
  <c r="T1830" i="23" s="1"/>
  <c r="K1747" i="23"/>
  <c r="T1747" i="23" s="1"/>
  <c r="K1811" i="23"/>
  <c r="T1811" i="23" s="1"/>
  <c r="K2013" i="23"/>
  <c r="T2013" i="23" s="1"/>
  <c r="K1800" i="23"/>
  <c r="T1800" i="23" s="1"/>
  <c r="K2158" i="23"/>
  <c r="T2158" i="23" s="1"/>
  <c r="K2378" i="23"/>
  <c r="T2378" i="23" s="1"/>
  <c r="K2336" i="23"/>
  <c r="T2336" i="23" s="1"/>
  <c r="K2390" i="23"/>
  <c r="T2390" i="23" s="1"/>
  <c r="K2522" i="23"/>
  <c r="T2522" i="23" s="1"/>
  <c r="K2675" i="23"/>
  <c r="T2675" i="23" s="1"/>
  <c r="K2668" i="23"/>
  <c r="K2664" i="23"/>
  <c r="T2664" i="23" s="1"/>
  <c r="K1611" i="23"/>
  <c r="T1611" i="23" s="1"/>
  <c r="K1832" i="23"/>
  <c r="T1832" i="23" s="1"/>
  <c r="K1609" i="23"/>
  <c r="T1609" i="23" s="1"/>
  <c r="K1633" i="23"/>
  <c r="T1633" i="23" s="1"/>
  <c r="K1612" i="23"/>
  <c r="T1612" i="23" s="1"/>
  <c r="K1644" i="23"/>
  <c r="T1644" i="23" s="1"/>
  <c r="K1941" i="23"/>
  <c r="T1941" i="23" s="1"/>
  <c r="K1989" i="23"/>
  <c r="T1989" i="23" s="1"/>
  <c r="K1949" i="23"/>
  <c r="T1949" i="23" s="1"/>
  <c r="K2077" i="23"/>
  <c r="T2077" i="23" s="1"/>
  <c r="K2258" i="23"/>
  <c r="T2258" i="23" s="1"/>
  <c r="K1797" i="23"/>
  <c r="T1797" i="23" s="1"/>
  <c r="K1831" i="23"/>
  <c r="T1831" i="23" s="1"/>
  <c r="K2053" i="23"/>
  <c r="T2053" i="23" s="1"/>
  <c r="K2153" i="23"/>
  <c r="T2153" i="23" s="1"/>
  <c r="K1748" i="23"/>
  <c r="T1748" i="23" s="1"/>
  <c r="K1884" i="23"/>
  <c r="T1884" i="23" s="1"/>
  <c r="K2041" i="23"/>
  <c r="T2041" i="23" s="1"/>
  <c r="K2143" i="23"/>
  <c r="T2143" i="23" s="1"/>
  <c r="K1801" i="23"/>
  <c r="T1801" i="23" s="1"/>
  <c r="K2001" i="23"/>
  <c r="T2001" i="23" s="1"/>
  <c r="K2354" i="23"/>
  <c r="T2354" i="23" s="1"/>
  <c r="K2486" i="23"/>
  <c r="T2486" i="23" s="1"/>
  <c r="K2498" i="23"/>
  <c r="T2498" i="23" s="1"/>
  <c r="K2474" i="23"/>
  <c r="T2474" i="23" s="1"/>
  <c r="K2670" i="23"/>
  <c r="K2540" i="23"/>
  <c r="T2540" i="23" s="1"/>
  <c r="K2671" i="23"/>
  <c r="K2674" i="23"/>
  <c r="K2667" i="23"/>
  <c r="T2667" i="23" s="1"/>
  <c r="K1623" i="23"/>
  <c r="T1623" i="23" s="1"/>
  <c r="K1618" i="23"/>
  <c r="T1618" i="23" s="1"/>
  <c r="K1654" i="23"/>
  <c r="T1654" i="23" s="1"/>
  <c r="K1697" i="23"/>
  <c r="T1697" i="23" s="1"/>
  <c r="K1696" i="23"/>
  <c r="T1696" i="23" s="1"/>
  <c r="K1637" i="23"/>
  <c r="T1637" i="23" s="1"/>
  <c r="K1624" i="23"/>
  <c r="T1624" i="23" s="1"/>
  <c r="K1656" i="23"/>
  <c r="T1656" i="23" s="1"/>
  <c r="K1872" i="23"/>
  <c r="T1872" i="23" s="1"/>
  <c r="K1828" i="23"/>
  <c r="T1828" i="23" s="1"/>
  <c r="K2017" i="23"/>
  <c r="T2017" i="23" s="1"/>
  <c r="K1945" i="23"/>
  <c r="T1945" i="23" s="1"/>
  <c r="K2113" i="23"/>
  <c r="T2113" i="23" s="1"/>
  <c r="K1814" i="23"/>
  <c r="T1814" i="23" s="1"/>
  <c r="K1953" i="23"/>
  <c r="T1953" i="23" s="1"/>
  <c r="K1969" i="23"/>
  <c r="T1969" i="23" s="1"/>
  <c r="K2180" i="23"/>
  <c r="T2180" i="23" s="1"/>
  <c r="K2174" i="23"/>
  <c r="T2174" i="23" s="1"/>
  <c r="K2061" i="23"/>
  <c r="T2061" i="23" s="1"/>
  <c r="K1802" i="23"/>
  <c r="T1802" i="23" s="1"/>
  <c r="K1840" i="23"/>
  <c r="T1840" i="23" s="1"/>
  <c r="K2029" i="23"/>
  <c r="T2029" i="23" s="1"/>
  <c r="K2216" i="23"/>
  <c r="T2216" i="23" s="1"/>
  <c r="K2673" i="23"/>
  <c r="T2673" i="23" s="1"/>
  <c r="K2372" i="23"/>
  <c r="T2372" i="23" s="1"/>
  <c r="K1635" i="23"/>
  <c r="T1635" i="23" s="1"/>
  <c r="K1606" i="23"/>
  <c r="T1606" i="23" s="1"/>
  <c r="K1630" i="23"/>
  <c r="T1630" i="23" s="1"/>
  <c r="K1737" i="23"/>
  <c r="T1737" i="23" s="1"/>
  <c r="K1582" i="23"/>
  <c r="T1582" i="23" s="1"/>
  <c r="K1580" i="23"/>
  <c r="T1580" i="23" s="1"/>
  <c r="K1578" i="23"/>
  <c r="T1578" i="23" s="1"/>
  <c r="K1597" i="23"/>
  <c r="T1597" i="23" s="1"/>
  <c r="K1613" i="23"/>
  <c r="T1613" i="23" s="1"/>
  <c r="K1641" i="23"/>
  <c r="T1641" i="23" s="1"/>
  <c r="K1706" i="23"/>
  <c r="T1706" i="23" s="1"/>
  <c r="K1591" i="23"/>
  <c r="T1591" i="23" s="1"/>
  <c r="K1604" i="23"/>
  <c r="T1604" i="23" s="1"/>
  <c r="K1636" i="23"/>
  <c r="T1636" i="23" s="1"/>
  <c r="K1691" i="23"/>
  <c r="T1691" i="23" s="1"/>
  <c r="K1787" i="23"/>
  <c r="T1787" i="23" s="1"/>
  <c r="K1585" i="23"/>
  <c r="T1585" i="23" s="1"/>
  <c r="K1900" i="23"/>
  <c r="T1900" i="23" s="1"/>
  <c r="K2065" i="23"/>
  <c r="T2065" i="23" s="1"/>
  <c r="K1846" i="23"/>
  <c r="T1846" i="23" s="1"/>
  <c r="K2085" i="23"/>
  <c r="T2085" i="23" s="1"/>
  <c r="K1957" i="23"/>
  <c r="T1957" i="23" s="1"/>
  <c r="K1973" i="23"/>
  <c r="T1973" i="23" s="1"/>
  <c r="K2118" i="23"/>
  <c r="T2118" i="23" s="1"/>
  <c r="K1789" i="23"/>
  <c r="T1789" i="23" s="1"/>
  <c r="K1965" i="23"/>
  <c r="T1965" i="23" s="1"/>
  <c r="K2069" i="23"/>
  <c r="T2069" i="23" s="1"/>
  <c r="K1864" i="23"/>
  <c r="T1864" i="23" s="1"/>
  <c r="K2081" i="23"/>
  <c r="T2081" i="23" s="1"/>
  <c r="K1917" i="23"/>
  <c r="T1917" i="23" s="1"/>
  <c r="K2234" i="23"/>
  <c r="T2234" i="23" s="1"/>
  <c r="K2300" i="23"/>
  <c r="T2300" i="23" s="1"/>
  <c r="K2264" i="23"/>
  <c r="T2264" i="23" s="1"/>
  <c r="K2480" i="23"/>
  <c r="T2480" i="23" s="1"/>
  <c r="K2546" i="23"/>
  <c r="T2546" i="23" s="1"/>
  <c r="K2384" i="23"/>
  <c r="T2384" i="23" s="1"/>
  <c r="K2396" i="23"/>
  <c r="T2396" i="23" s="1"/>
  <c r="K1570" i="23"/>
  <c r="T1570" i="23" s="1"/>
  <c r="K1639" i="23"/>
  <c r="T1639" i="23" s="1"/>
  <c r="K1711" i="23"/>
  <c r="T1711" i="23" s="1"/>
  <c r="K1586" i="23"/>
  <c r="T1586" i="23" s="1"/>
  <c r="K1645" i="23"/>
  <c r="T1645" i="23" s="1"/>
  <c r="K1616" i="23"/>
  <c r="T1616" i="23" s="1"/>
  <c r="K1648" i="23"/>
  <c r="T1648" i="23" s="1"/>
  <c r="K1703" i="23"/>
  <c r="T1703" i="23" s="1"/>
  <c r="K1904" i="23"/>
  <c r="T1904" i="23" s="1"/>
  <c r="K2073" i="23"/>
  <c r="T2073" i="23" s="1"/>
  <c r="K1827" i="23"/>
  <c r="T1827" i="23" s="1"/>
  <c r="K1876" i="23"/>
  <c r="T1876" i="23" s="1"/>
  <c r="K2097" i="23"/>
  <c r="T2097" i="23" s="1"/>
  <c r="K1961" i="23"/>
  <c r="T1961" i="23" s="1"/>
  <c r="K1981" i="23"/>
  <c r="T1981" i="23" s="1"/>
  <c r="K2123" i="23"/>
  <c r="T2123" i="23" s="1"/>
  <c r="K1750" i="23"/>
  <c r="T1750" i="23" s="1"/>
  <c r="K1823" i="23"/>
  <c r="T1823" i="23" s="1"/>
  <c r="K2210" i="23"/>
  <c r="T2210" i="23" s="1"/>
  <c r="K1817" i="23"/>
  <c r="T1817" i="23" s="1"/>
  <c r="K1841" i="23"/>
  <c r="T1841" i="23" s="1"/>
  <c r="K2089" i="23"/>
  <c r="T2089" i="23" s="1"/>
  <c r="K1793" i="23"/>
  <c r="T1793" i="23" s="1"/>
  <c r="K1786" i="23"/>
  <c r="T1786" i="23" s="1"/>
  <c r="K1921" i="23"/>
  <c r="T1921" i="23" s="1"/>
  <c r="K2270" i="23"/>
  <c r="T2270" i="23" s="1"/>
  <c r="K2462" i="23"/>
  <c r="T2462" i="23" s="1"/>
  <c r="K2438" i="23"/>
  <c r="T2438" i="23" s="1"/>
  <c r="K2402" i="23"/>
  <c r="T2402" i="23" s="1"/>
  <c r="K2516" i="23"/>
  <c r="T2516" i="23" s="1"/>
  <c r="K2564" i="23"/>
  <c r="T2564" i="23" s="1"/>
  <c r="K2665" i="23"/>
  <c r="T2665" i="23" s="1"/>
  <c r="K2198" i="23"/>
  <c r="T2198" i="23" s="1"/>
  <c r="K2342" i="23"/>
  <c r="T2342" i="23" s="1"/>
  <c r="K698" i="23"/>
  <c r="T698" i="23" s="1"/>
  <c r="K650" i="23"/>
  <c r="T650" i="23" s="1"/>
  <c r="K2582" i="23"/>
  <c r="T2582" i="23" s="1"/>
  <c r="K2612" i="23"/>
  <c r="T2612" i="23" s="1"/>
  <c r="K2228" i="23"/>
  <c r="T2228" i="23" s="1"/>
  <c r="K2504" i="23"/>
  <c r="T2504" i="23" s="1"/>
  <c r="K651" i="23"/>
  <c r="K311" i="23"/>
  <c r="T311" i="23" s="1"/>
  <c r="K2318" i="23"/>
  <c r="T2318" i="23" s="1"/>
  <c r="K2288" i="23"/>
  <c r="T2288" i="23" s="1"/>
  <c r="K801" i="23"/>
  <c r="T801" i="23" s="1"/>
  <c r="K2558" i="23"/>
  <c r="T2558" i="23" s="1"/>
  <c r="K2312" i="23"/>
  <c r="T2312" i="23" s="1"/>
  <c r="K2192" i="23"/>
  <c r="T2192" i="23" s="1"/>
  <c r="K2276" i="23"/>
  <c r="T2276" i="23" s="1"/>
  <c r="K2348" i="23"/>
  <c r="T2348" i="23" s="1"/>
  <c r="K2282" i="23"/>
  <c r="T2282" i="23" s="1"/>
  <c r="K2510" i="23"/>
  <c r="T2510" i="23" s="1"/>
  <c r="K699" i="23"/>
  <c r="K477" i="23"/>
  <c r="T477" i="23" s="1"/>
  <c r="K2606" i="23"/>
  <c r="T2606" i="23" s="1"/>
  <c r="K2222" i="23"/>
  <c r="T2222" i="23" s="1"/>
  <c r="K2324" i="23"/>
  <c r="T2324" i="23" s="1"/>
  <c r="K2294" i="23"/>
  <c r="T2294" i="23" s="1"/>
  <c r="K413" i="23"/>
  <c r="T413" i="23" s="1"/>
  <c r="K323" i="23"/>
  <c r="T323" i="23" s="1"/>
  <c r="K2624" i="23"/>
  <c r="T2624" i="23" s="1"/>
  <c r="K2204" i="23"/>
  <c r="T2204" i="23" s="1"/>
  <c r="K2552" i="23"/>
  <c r="T2552" i="23" s="1"/>
  <c r="K547" i="23"/>
  <c r="T547" i="23" s="1"/>
  <c r="K2594" i="23"/>
  <c r="T2594" i="23" s="1"/>
  <c r="K2570" i="23"/>
  <c r="T2570" i="23" s="1"/>
  <c r="K2588" i="23"/>
  <c r="T2588" i="23" s="1"/>
  <c r="K2600" i="23"/>
  <c r="T2600" i="23" s="1"/>
  <c r="K2576" i="23"/>
  <c r="T2576" i="23" s="1"/>
  <c r="K2618" i="23"/>
  <c r="T2618" i="23" s="1"/>
  <c r="K336" i="24"/>
  <c r="K374" i="24"/>
  <c r="J234" i="24"/>
  <c r="K234" i="24" s="1"/>
  <c r="K77" i="24"/>
  <c r="T77" i="24" s="1"/>
  <c r="K74" i="24"/>
  <c r="T74" i="24" s="1"/>
  <c r="J292" i="24"/>
  <c r="K292" i="24" s="1"/>
  <c r="K288" i="24"/>
  <c r="K273" i="24"/>
  <c r="K253" i="24"/>
  <c r="T253" i="24" s="1"/>
  <c r="K32" i="24"/>
  <c r="T32" i="24" s="1"/>
  <c r="K88" i="24"/>
  <c r="T88" i="24" s="1"/>
  <c r="K87" i="24"/>
  <c r="T87" i="24" s="1"/>
  <c r="K81" i="24"/>
  <c r="T81" i="24" s="1"/>
  <c r="K270" i="24"/>
  <c r="T270" i="24" s="1"/>
  <c r="K255" i="24"/>
  <c r="T255" i="24" s="1"/>
  <c r="K72" i="24"/>
  <c r="T72" i="24" s="1"/>
  <c r="K293" i="24"/>
  <c r="T293" i="24" s="1"/>
  <c r="K128" i="24"/>
  <c r="T128" i="24" s="1"/>
  <c r="K532" i="24"/>
  <c r="T532" i="24" s="1"/>
  <c r="J346" i="24"/>
  <c r="K346" i="24" s="1"/>
  <c r="K268" i="24"/>
  <c r="K229" i="24"/>
  <c r="T229" i="24" s="1"/>
  <c r="K184" i="24"/>
  <c r="T184" i="24" s="1"/>
  <c r="K122" i="24"/>
  <c r="T122" i="24" s="1"/>
  <c r="K79" i="24"/>
  <c r="T79" i="24" s="1"/>
  <c r="K34" i="24"/>
  <c r="T34" i="24" s="1"/>
  <c r="K30" i="24"/>
  <c r="T30" i="24" s="1"/>
  <c r="K307" i="24"/>
  <c r="K191" i="24"/>
  <c r="K40" i="24"/>
  <c r="T40" i="24" s="1"/>
  <c r="K23" i="24"/>
  <c r="T23" i="24" s="1"/>
  <c r="K24" i="24"/>
  <c r="T24" i="24" s="1"/>
  <c r="K258" i="24"/>
  <c r="K83" i="24"/>
  <c r="T83" i="24" s="1"/>
  <c r="K38" i="24"/>
  <c r="T38" i="24" s="1"/>
  <c r="K419" i="24"/>
  <c r="T419" i="24" s="1"/>
  <c r="K173" i="24"/>
  <c r="K36" i="24"/>
  <c r="T36" i="24" s="1"/>
  <c r="K144" i="24"/>
  <c r="T144" i="24" s="1"/>
  <c r="K70" i="24"/>
  <c r="T70" i="24" s="1"/>
  <c r="K133" i="24"/>
  <c r="T133" i="24" s="1"/>
  <c r="K245" i="24"/>
  <c r="T245" i="24" s="1"/>
  <c r="K27" i="24"/>
  <c r="T27" i="24" s="1"/>
  <c r="K129" i="24"/>
  <c r="T129" i="24" s="1"/>
  <c r="K85" i="24"/>
  <c r="T85" i="24" s="1"/>
  <c r="K323" i="24"/>
  <c r="T323" i="24" s="1"/>
  <c r="K187" i="24"/>
  <c r="T187" i="24" s="1"/>
  <c r="K139" i="24"/>
  <c r="T139" i="24" s="1"/>
  <c r="J286" i="24"/>
  <c r="K286" i="24" s="1"/>
  <c r="K117" i="24"/>
  <c r="T117" i="24" s="1"/>
  <c r="K186" i="24"/>
  <c r="T186" i="24" s="1"/>
  <c r="K275" i="24"/>
  <c r="T275" i="24" s="1"/>
  <c r="K431" i="24"/>
  <c r="T431" i="24" s="1"/>
  <c r="K252" i="24"/>
  <c r="T252" i="24" s="1"/>
  <c r="K31" i="24"/>
  <c r="T31" i="24" s="1"/>
  <c r="K19" i="24"/>
  <c r="T19" i="24" s="1"/>
  <c r="K21" i="24"/>
  <c r="T21" i="24" s="1"/>
  <c r="K80" i="24"/>
  <c r="T80" i="24" s="1"/>
  <c r="K147" i="24"/>
  <c r="T147" i="24" s="1"/>
  <c r="K249" i="24"/>
  <c r="T249" i="24" s="1"/>
  <c r="K233" i="24"/>
  <c r="T233" i="24" s="1"/>
  <c r="K347" i="24"/>
  <c r="T347" i="24" s="1"/>
  <c r="K123" i="24"/>
  <c r="T123" i="24" s="1"/>
  <c r="K159" i="24"/>
  <c r="T159" i="24" s="1"/>
  <c r="K287" i="24"/>
  <c r="T287" i="24" s="1"/>
  <c r="K118" i="24"/>
  <c r="T118" i="24" s="1"/>
  <c r="K281" i="24"/>
  <c r="T281" i="24" s="1"/>
  <c r="K163" i="24"/>
  <c r="T163" i="24" s="1"/>
  <c r="K237" i="24"/>
  <c r="T237" i="24" s="1"/>
  <c r="K265" i="24"/>
  <c r="T265" i="24" s="1"/>
  <c r="J382" i="24"/>
  <c r="K382" i="24" s="1"/>
  <c r="K25" i="24"/>
  <c r="T25" i="24" s="1"/>
  <c r="K33" i="24"/>
  <c r="T33" i="24" s="1"/>
  <c r="K472" i="24"/>
  <c r="T472" i="24" s="1"/>
  <c r="J283" i="24"/>
  <c r="K283" i="24" s="1"/>
  <c r="K260" i="24"/>
  <c r="T260" i="24" s="1"/>
  <c r="K150" i="24"/>
  <c r="T150" i="24" s="1"/>
  <c r="K299" i="24"/>
  <c r="T299" i="24" s="1"/>
  <c r="K119" i="24"/>
  <c r="T119" i="24" s="1"/>
  <c r="K127" i="24"/>
  <c r="T127" i="24" s="1"/>
  <c r="K284" i="24"/>
  <c r="T284" i="24" s="1"/>
  <c r="K193" i="24"/>
  <c r="T193" i="24" s="1"/>
  <c r="K305" i="24"/>
  <c r="T305" i="24" s="1"/>
  <c r="K138" i="24"/>
  <c r="T138" i="24" s="1"/>
  <c r="J301" i="24"/>
  <c r="K301" i="24" s="1"/>
  <c r="K385" i="24"/>
  <c r="K22" i="24"/>
  <c r="T22" i="24" s="1"/>
  <c r="K35" i="24"/>
  <c r="T35" i="24" s="1"/>
  <c r="K20" i="24"/>
  <c r="T20" i="24" s="1"/>
  <c r="K185" i="24"/>
  <c r="T185" i="24" s="1"/>
  <c r="K290" i="24"/>
  <c r="T290" i="24" s="1"/>
  <c r="K306" i="24"/>
  <c r="K120" i="24"/>
  <c r="T120" i="24" s="1"/>
  <c r="K171" i="24"/>
  <c r="T171" i="24" s="1"/>
  <c r="K235" i="24"/>
  <c r="K132" i="24"/>
  <c r="T132" i="24" s="1"/>
  <c r="K196" i="24"/>
  <c r="T196" i="24" s="1"/>
  <c r="K141" i="24"/>
  <c r="T141" i="24" s="1"/>
  <c r="J298" i="24"/>
  <c r="K298" i="24" s="1"/>
  <c r="K189" i="24"/>
  <c r="T189" i="24" s="1"/>
  <c r="K243" i="24"/>
  <c r="T243" i="24" s="1"/>
  <c r="K425" i="24"/>
  <c r="T425" i="24" s="1"/>
  <c r="K26" i="24"/>
  <c r="T26" i="24" s="1"/>
  <c r="K242" i="24"/>
  <c r="T242" i="24" s="1"/>
  <c r="K465" i="24"/>
  <c r="T465" i="24" s="1"/>
  <c r="K188" i="24"/>
  <c r="T188" i="24" s="1"/>
  <c r="K175" i="24"/>
  <c r="T175" i="24" s="1"/>
  <c r="K240" i="24"/>
  <c r="T240" i="24" s="1"/>
  <c r="K325" i="24"/>
  <c r="K37" i="24"/>
  <c r="T37" i="24" s="1"/>
  <c r="K121" i="24"/>
  <c r="T121" i="24" s="1"/>
  <c r="K179" i="24"/>
  <c r="T179" i="24" s="1"/>
  <c r="J424" i="24"/>
  <c r="K424" i="24" s="1"/>
  <c r="K153" i="24"/>
  <c r="T153" i="24" s="1"/>
  <c r="K28" i="24"/>
  <c r="T28" i="24" s="1"/>
  <c r="K477" i="24"/>
  <c r="T477" i="24" s="1"/>
  <c r="J232" i="24"/>
  <c r="K232" i="24" s="1"/>
  <c r="J230" i="24"/>
  <c r="K230" i="24" s="1"/>
  <c r="J430" i="24"/>
  <c r="K430" i="24" s="1"/>
  <c r="K76" i="24"/>
  <c r="T76" i="24" s="1"/>
  <c r="K41" i="24"/>
  <c r="T41" i="24" s="1"/>
  <c r="J277" i="24"/>
  <c r="K277" i="24" s="1"/>
  <c r="K135" i="24"/>
  <c r="T135" i="24" s="1"/>
  <c r="K244" i="24"/>
  <c r="T244" i="24" s="1"/>
  <c r="K401" i="24"/>
  <c r="T401" i="24" s="1"/>
  <c r="K78" i="24"/>
  <c r="T78" i="24" s="1"/>
  <c r="K228" i="24"/>
  <c r="K341" i="24"/>
  <c r="T341" i="24" s="1"/>
  <c r="K84" i="24"/>
  <c r="T84" i="24" s="1"/>
  <c r="K156" i="24"/>
  <c r="T156" i="24" s="1"/>
  <c r="K353" i="24"/>
  <c r="T353" i="24" s="1"/>
  <c r="K39" i="24"/>
  <c r="T39" i="24" s="1"/>
  <c r="K131" i="24"/>
  <c r="T131" i="24" s="1"/>
  <c r="K200" i="24"/>
  <c r="T200" i="24" s="1"/>
  <c r="K247" i="24"/>
  <c r="T247" i="24" s="1"/>
  <c r="K29" i="24"/>
  <c r="T29" i="24" s="1"/>
  <c r="K448" i="24"/>
  <c r="T448" i="24" s="1"/>
  <c r="K89" i="24"/>
  <c r="T89" i="24" s="1"/>
  <c r="K199" i="24"/>
  <c r="T199" i="24" s="1"/>
  <c r="K69" i="24"/>
  <c r="T69" i="24" s="1"/>
  <c r="K466" i="24"/>
  <c r="T466" i="24" s="1"/>
  <c r="K167" i="24"/>
  <c r="T167" i="24" s="1"/>
  <c r="K238" i="24"/>
  <c r="T238" i="24" s="1"/>
  <c r="K360" i="24"/>
  <c r="K250" i="24"/>
  <c r="T250" i="24" s="1"/>
  <c r="K491" i="24"/>
  <c r="T491" i="24" s="1"/>
  <c r="K497" i="24"/>
  <c r="T497" i="24" s="1"/>
  <c r="K492" i="24"/>
  <c r="T492" i="24" s="1"/>
  <c r="K254" i="24"/>
  <c r="T254" i="24" s="1"/>
  <c r="K86" i="24"/>
  <c r="T86" i="24" s="1"/>
  <c r="K82" i="24"/>
  <c r="T82" i="24" s="1"/>
  <c r="K311" i="24"/>
  <c r="T311" i="24" s="1"/>
  <c r="K137" i="24"/>
  <c r="T137" i="24" s="1"/>
  <c r="K251" i="24"/>
  <c r="T251" i="24" s="1"/>
  <c r="K130" i="24"/>
  <c r="T130" i="24" s="1"/>
  <c r="K278" i="24"/>
  <c r="T278" i="24" s="1"/>
  <c r="K359" i="24"/>
  <c r="T359" i="24" s="1"/>
  <c r="K494" i="24"/>
  <c r="T494" i="24" s="1"/>
  <c r="K246" i="24"/>
  <c r="T246" i="24" s="1"/>
  <c r="K140" i="24"/>
  <c r="T140" i="24" s="1"/>
  <c r="K484" i="24"/>
  <c r="T484" i="24" s="1"/>
  <c r="K248" i="24"/>
  <c r="T248" i="24" s="1"/>
  <c r="K231" i="24"/>
  <c r="T231" i="24" s="1"/>
  <c r="K435" i="24"/>
  <c r="K192" i="24"/>
  <c r="K496" i="24"/>
  <c r="T496" i="24" s="1"/>
  <c r="K590" i="24"/>
  <c r="K73" i="24"/>
  <c r="T73" i="24" s="1"/>
  <c r="K266" i="24"/>
  <c r="J310" i="24"/>
  <c r="K310" i="24" s="1"/>
  <c r="K433" i="24"/>
  <c r="K471" i="24"/>
  <c r="T471" i="24" s="1"/>
  <c r="J376" i="24"/>
  <c r="K376" i="24" s="1"/>
  <c r="K698" i="24"/>
  <c r="T698" i="24" s="1"/>
  <c r="J685" i="24"/>
  <c r="K685" i="24" s="1"/>
  <c r="J334" i="24"/>
  <c r="K334" i="24" s="1"/>
  <c r="K195" i="24"/>
  <c r="J295" i="24"/>
  <c r="K295" i="24" s="1"/>
  <c r="K585" i="24"/>
  <c r="T585" i="24" s="1"/>
  <c r="K2664" i="24"/>
  <c r="T2664" i="24" s="1"/>
  <c r="K1986" i="24"/>
  <c r="K1980" i="24"/>
  <c r="K1968" i="24"/>
  <c r="K1964" i="24"/>
  <c r="K2077" i="24"/>
  <c r="T2077" i="24" s="1"/>
  <c r="K1966" i="24"/>
  <c r="K1963" i="24"/>
  <c r="K1932" i="24"/>
  <c r="K1838" i="24"/>
  <c r="T1838" i="24" s="1"/>
  <c r="K1916" i="24"/>
  <c r="K1922" i="24"/>
  <c r="K1911" i="24"/>
  <c r="K1959" i="24"/>
  <c r="K1714" i="24"/>
  <c r="K1745" i="24"/>
  <c r="T1745" i="24" s="1"/>
  <c r="K1722" i="24"/>
  <c r="K1712" i="24"/>
  <c r="K1701" i="24"/>
  <c r="K1634" i="24"/>
  <c r="T1634" i="24" s="1"/>
  <c r="K1588" i="24"/>
  <c r="T1588" i="24" s="1"/>
  <c r="K1524" i="24"/>
  <c r="T1524" i="24" s="1"/>
  <c r="K1574" i="24"/>
  <c r="T1574" i="24" s="1"/>
  <c r="K1476" i="24"/>
  <c r="T1476" i="24" s="1"/>
  <c r="K1460" i="24"/>
  <c r="T1460" i="24" s="1"/>
  <c r="K1444" i="24"/>
  <c r="T1444" i="24" s="1"/>
  <c r="K1592" i="24"/>
  <c r="T1592" i="24" s="1"/>
  <c r="K1552" i="24"/>
  <c r="T1552" i="24" s="1"/>
  <c r="K1526" i="24"/>
  <c r="T1526" i="24" s="1"/>
  <c r="K1652" i="24"/>
  <c r="T1652" i="24" s="1"/>
  <c r="K1331" i="24"/>
  <c r="T1331" i="24" s="1"/>
  <c r="K1320" i="24"/>
  <c r="T1320" i="24" s="1"/>
  <c r="K1289" i="24"/>
  <c r="T1289" i="24" s="1"/>
  <c r="K1388" i="24"/>
  <c r="T1388" i="24" s="1"/>
  <c r="K1356" i="24"/>
  <c r="T1356" i="24" s="1"/>
  <c r="K1301" i="24"/>
  <c r="T1301" i="24" s="1"/>
  <c r="K1424" i="24"/>
  <c r="T1424" i="24" s="1"/>
  <c r="K1402" i="24"/>
  <c r="T1402" i="24" s="1"/>
  <c r="K1489" i="24"/>
  <c r="T1489" i="24" s="1"/>
  <c r="K1562" i="24"/>
  <c r="T1562" i="24" s="1"/>
  <c r="K1308" i="24"/>
  <c r="T1308" i="24" s="1"/>
  <c r="K1374" i="24"/>
  <c r="T1374" i="24" s="1"/>
  <c r="K1261" i="24"/>
  <c r="T1261" i="24" s="1"/>
  <c r="K1259" i="24"/>
  <c r="T1259" i="24" s="1"/>
  <c r="K1223" i="24"/>
  <c r="T1223" i="24" s="1"/>
  <c r="K1207" i="24"/>
  <c r="T1207" i="24" s="1"/>
  <c r="K1191" i="24"/>
  <c r="T1191" i="24" s="1"/>
  <c r="K1175" i="24"/>
  <c r="T1175" i="24" s="1"/>
  <c r="K1159" i="24"/>
  <c r="T1159" i="24" s="1"/>
  <c r="K1143" i="24"/>
  <c r="T1143" i="24" s="1"/>
  <c r="K1255" i="24"/>
  <c r="T1255" i="24" s="1"/>
  <c r="K1061" i="24"/>
  <c r="T1061" i="24" s="1"/>
  <c r="K997" i="24"/>
  <c r="T997" i="24" s="1"/>
  <c r="K1101" i="24"/>
  <c r="T1101" i="24" s="1"/>
  <c r="K1034" i="24"/>
  <c r="T1034" i="24" s="1"/>
  <c r="K1302" i="24"/>
  <c r="T1302" i="24" s="1"/>
  <c r="K1097" i="24"/>
  <c r="T1097" i="24" s="1"/>
  <c r="K1028" i="24"/>
  <c r="T1028" i="24" s="1"/>
  <c r="K1249" i="24"/>
  <c r="T1249" i="24" s="1"/>
  <c r="K1078" i="24"/>
  <c r="T1078" i="24" s="1"/>
  <c r="K1014" i="24"/>
  <c r="T1014" i="24" s="1"/>
  <c r="K1072" i="24"/>
  <c r="T1072" i="24" s="1"/>
  <c r="K1135" i="24"/>
  <c r="T1135" i="24" s="1"/>
  <c r="K706" i="24"/>
  <c r="K681" i="24"/>
  <c r="K741" i="24"/>
  <c r="T741" i="24" s="1"/>
  <c r="K683" i="24"/>
  <c r="K802" i="24"/>
  <c r="T802" i="24" s="1"/>
  <c r="K541" i="24"/>
  <c r="T541" i="24" s="1"/>
  <c r="K666" i="24"/>
  <c r="K620" i="24"/>
  <c r="K660" i="24"/>
  <c r="K429" i="24"/>
  <c r="K294" i="24"/>
  <c r="K423" i="24"/>
  <c r="K297" i="24"/>
  <c r="K417" i="24"/>
  <c r="K642" i="24"/>
  <c r="K609" i="24"/>
  <c r="T609" i="24" s="1"/>
  <c r="K124" i="24"/>
  <c r="K178" i="24"/>
  <c r="K313" i="24"/>
  <c r="J418" i="24"/>
  <c r="K418" i="24" s="1"/>
  <c r="K852" i="24"/>
  <c r="T852" i="24" s="1"/>
  <c r="J236" i="24"/>
  <c r="K236" i="24" s="1"/>
  <c r="N236" i="24" s="1"/>
  <c r="J322" i="24"/>
  <c r="K322" i="24" s="1"/>
  <c r="K441" i="24"/>
  <c r="K194" i="24"/>
  <c r="K318" i="24"/>
  <c r="K365" i="24"/>
  <c r="T365" i="24" s="1"/>
  <c r="K460" i="24"/>
  <c r="T460" i="24" s="1"/>
  <c r="K75" i="24"/>
  <c r="T75" i="24" s="1"/>
  <c r="K319" i="24"/>
  <c r="K349" i="24"/>
  <c r="K600" i="24"/>
  <c r="T600" i="24" s="1"/>
  <c r="K134" i="24"/>
  <c r="T134" i="24" s="1"/>
  <c r="K410" i="24"/>
  <c r="J661" i="24"/>
  <c r="K661" i="24" s="1"/>
  <c r="J316" i="24"/>
  <c r="K316" i="24" s="1"/>
  <c r="K197" i="24"/>
  <c r="K407" i="24"/>
  <c r="T407" i="24" s="1"/>
  <c r="K629" i="24"/>
  <c r="T629" i="24" s="1"/>
  <c r="K2675" i="24"/>
  <c r="T2675" i="24" s="1"/>
  <c r="K1984" i="24"/>
  <c r="K1976" i="24"/>
  <c r="K2101" i="24"/>
  <c r="T2101" i="24" s="1"/>
  <c r="K1956" i="24"/>
  <c r="K2053" i="24"/>
  <c r="T2053" i="24" s="1"/>
  <c r="K1951" i="24"/>
  <c r="K1960" i="24"/>
  <c r="K1908" i="24"/>
  <c r="K1832" i="24"/>
  <c r="T1832" i="24" s="1"/>
  <c r="K1890" i="24"/>
  <c r="K1915" i="24"/>
  <c r="K1889" i="24"/>
  <c r="K1958" i="24"/>
  <c r="K1888" i="24"/>
  <c r="T1888" i="24" s="1"/>
  <c r="K1737" i="24"/>
  <c r="T1737" i="24" s="1"/>
  <c r="K1708" i="24"/>
  <c r="K1710" i="24"/>
  <c r="K1697" i="24"/>
  <c r="T1697" i="24" s="1"/>
  <c r="K1626" i="24"/>
  <c r="T1626" i="24" s="1"/>
  <c r="K1580" i="24"/>
  <c r="T1580" i="24" s="1"/>
  <c r="K1520" i="24"/>
  <c r="T1520" i="24" s="1"/>
  <c r="K1566" i="24"/>
  <c r="T1566" i="24" s="1"/>
  <c r="K1474" i="24"/>
  <c r="T1474" i="24" s="1"/>
  <c r="K1458" i="24"/>
  <c r="T1458" i="24" s="1"/>
  <c r="K1442" i="24"/>
  <c r="T1442" i="24" s="1"/>
  <c r="K1584" i="24"/>
  <c r="T1584" i="24" s="1"/>
  <c r="K1550" i="24"/>
  <c r="T1550" i="24" s="1"/>
  <c r="K1522" i="24"/>
  <c r="T1522" i="24" s="1"/>
  <c r="K1594" i="24"/>
  <c r="T1594" i="24" s="1"/>
  <c r="K1323" i="24"/>
  <c r="T1323" i="24" s="1"/>
  <c r="K1312" i="24"/>
  <c r="T1312" i="24" s="1"/>
  <c r="K1287" i="24"/>
  <c r="T1287" i="24" s="1"/>
  <c r="K1384" i="24"/>
  <c r="T1384" i="24" s="1"/>
  <c r="K1352" i="24"/>
  <c r="T1352" i="24" s="1"/>
  <c r="K1490" i="24"/>
  <c r="T1490" i="24" s="1"/>
  <c r="K1422" i="24"/>
  <c r="T1422" i="24" s="1"/>
  <c r="K1346" i="24"/>
  <c r="T1346" i="24" s="1"/>
  <c r="K1351" i="24"/>
  <c r="T1351" i="24" s="1"/>
  <c r="K1408" i="24"/>
  <c r="T1408" i="24" s="1"/>
  <c r="K1300" i="24"/>
  <c r="T1300" i="24" s="1"/>
  <c r="K1370" i="24"/>
  <c r="T1370" i="24" s="1"/>
  <c r="K1253" i="24"/>
  <c r="T1253" i="24" s="1"/>
  <c r="K1334" i="24"/>
  <c r="T1334" i="24" s="1"/>
  <c r="K1221" i="24"/>
  <c r="T1221" i="24" s="1"/>
  <c r="K1205" i="24"/>
  <c r="T1205" i="24" s="1"/>
  <c r="K1189" i="24"/>
  <c r="T1189" i="24" s="1"/>
  <c r="K1173" i="24"/>
  <c r="T1173" i="24" s="1"/>
  <c r="K1157" i="24"/>
  <c r="T1157" i="24" s="1"/>
  <c r="K1530" i="24"/>
  <c r="T1530" i="24" s="1"/>
  <c r="K663" i="24"/>
  <c r="K180" i="24"/>
  <c r="K279" i="24"/>
  <c r="K357" i="24"/>
  <c r="K239" i="24"/>
  <c r="T239" i="24" s="1"/>
  <c r="J442" i="24"/>
  <c r="K442" i="24" s="1"/>
  <c r="K591" i="24"/>
  <c r="T591" i="24" s="1"/>
  <c r="K241" i="24"/>
  <c r="T241" i="24" s="1"/>
  <c r="K320" i="24"/>
  <c r="K462" i="24"/>
  <c r="T462" i="24" s="1"/>
  <c r="K676" i="24"/>
  <c r="K125" i="24"/>
  <c r="K276" i="24"/>
  <c r="K354" i="24"/>
  <c r="K459" i="24"/>
  <c r="T459" i="24" s="1"/>
  <c r="K622" i="24"/>
  <c r="T622" i="24" s="1"/>
  <c r="K136" i="24"/>
  <c r="T136" i="24" s="1"/>
  <c r="K327" i="24"/>
  <c r="J638" i="24"/>
  <c r="K638" i="24" s="1"/>
  <c r="J436" i="24"/>
  <c r="K436" i="24" s="1"/>
  <c r="K529" i="24"/>
  <c r="T529" i="24" s="1"/>
  <c r="K716" i="24"/>
  <c r="T716" i="24" s="1"/>
  <c r="K2673" i="24"/>
  <c r="T2673" i="24" s="1"/>
  <c r="K1987" i="24"/>
  <c r="K1962" i="24"/>
  <c r="K1979" i="24"/>
  <c r="K1952" i="24"/>
  <c r="K2005" i="24"/>
  <c r="T2005" i="24" s="1"/>
  <c r="K1948" i="24"/>
  <c r="K1954" i="24"/>
  <c r="K1906" i="24"/>
  <c r="K2163" i="24"/>
  <c r="T2163" i="24" s="1"/>
  <c r="K1887" i="24"/>
  <c r="K1912" i="24"/>
  <c r="K1886" i="24"/>
  <c r="K1910" i="24"/>
  <c r="K1725" i="24"/>
  <c r="K1732" i="24"/>
  <c r="T1732" i="24" s="1"/>
  <c r="K1885" i="24"/>
  <c r="K1721" i="24"/>
  <c r="K1693" i="24"/>
  <c r="T1693" i="24" s="1"/>
  <c r="K1618" i="24"/>
  <c r="T1618" i="24" s="1"/>
  <c r="K1572" i="24"/>
  <c r="T1572" i="24" s="1"/>
  <c r="K1516" i="24"/>
  <c r="T1516" i="24" s="1"/>
  <c r="K1488" i="24"/>
  <c r="T1488" i="24" s="1"/>
  <c r="K1472" i="24"/>
  <c r="T1472" i="24" s="1"/>
  <c r="K1456" i="24"/>
  <c r="T1456" i="24" s="1"/>
  <c r="K1440" i="24"/>
  <c r="T1440" i="24" s="1"/>
  <c r="K1576" i="24"/>
  <c r="T1576" i="24" s="1"/>
  <c r="K1548" i="24"/>
  <c r="T1548" i="24" s="1"/>
  <c r="K1518" i="24"/>
  <c r="T1518" i="24" s="1"/>
  <c r="K1586" i="24"/>
  <c r="T1586" i="24" s="1"/>
  <c r="K1315" i="24"/>
  <c r="T1315" i="24" s="1"/>
  <c r="K1304" i="24"/>
  <c r="T1304" i="24" s="1"/>
  <c r="K1285" i="24"/>
  <c r="T1285" i="24" s="1"/>
  <c r="K1380" i="24"/>
  <c r="T1380" i="24" s="1"/>
  <c r="K1349" i="24"/>
  <c r="T1349" i="24" s="1"/>
  <c r="K1436" i="24"/>
  <c r="T1436" i="24" s="1"/>
  <c r="K1420" i="24"/>
  <c r="T1420" i="24" s="1"/>
  <c r="K1338" i="24"/>
  <c r="T1338" i="24" s="1"/>
  <c r="K1343" i="24"/>
  <c r="T1343" i="24" s="1"/>
  <c r="K1400" i="24"/>
  <c r="T1400" i="24" s="1"/>
  <c r="K1538" i="24"/>
  <c r="T1538" i="24" s="1"/>
  <c r="K1366" i="24"/>
  <c r="T1366" i="24" s="1"/>
  <c r="K1350" i="24"/>
  <c r="T1350" i="24" s="1"/>
  <c r="K1329" i="24"/>
  <c r="T1329" i="24" s="1"/>
  <c r="K1219" i="24"/>
  <c r="T1219" i="24" s="1"/>
  <c r="K1203" i="24"/>
  <c r="T1203" i="24" s="1"/>
  <c r="K1187" i="24"/>
  <c r="T1187" i="24" s="1"/>
  <c r="K1171" i="24"/>
  <c r="T1171" i="24" s="1"/>
  <c r="K1155" i="24"/>
  <c r="T1155" i="24" s="1"/>
  <c r="K1277" i="24"/>
  <c r="T1277" i="24" s="1"/>
  <c r="K1141" i="24"/>
  <c r="T1141" i="24" s="1"/>
  <c r="K1045" i="24"/>
  <c r="T1045" i="24" s="1"/>
  <c r="K981" i="24"/>
  <c r="T981" i="24" s="1"/>
  <c r="K1082" i="24"/>
  <c r="T1082" i="24" s="1"/>
  <c r="K1018" i="24"/>
  <c r="T1018" i="24" s="1"/>
  <c r="K1229" i="24"/>
  <c r="T1229" i="24" s="1"/>
  <c r="K1076" i="24"/>
  <c r="T1076" i="24" s="1"/>
  <c r="K1012" i="24"/>
  <c r="T1012" i="24" s="1"/>
  <c r="K1133" i="24"/>
  <c r="T1133" i="24" s="1"/>
  <c r="K1062" i="24"/>
  <c r="T1062" i="24" s="1"/>
  <c r="K998" i="24"/>
  <c r="T998" i="24" s="1"/>
  <c r="K984" i="24"/>
  <c r="T984" i="24" s="1"/>
  <c r="K1040" i="24"/>
  <c r="T1040" i="24" s="1"/>
  <c r="K665" i="24"/>
  <c r="K619" i="24"/>
  <c r="K737" i="24"/>
  <c r="T737" i="24" s="1"/>
  <c r="K659" i="24"/>
  <c r="K675" i="24"/>
  <c r="K793" i="24"/>
  <c r="T793" i="24" s="1"/>
  <c r="K633" i="24"/>
  <c r="T633" i="24" s="1"/>
  <c r="K555" i="24"/>
  <c r="K535" i="24"/>
  <c r="K404" i="24"/>
  <c r="K538" i="24"/>
  <c r="K398" i="24"/>
  <c r="K597" i="24"/>
  <c r="T597" i="24" s="1"/>
  <c r="K479" i="24"/>
  <c r="K396" i="24"/>
  <c r="K623" i="24"/>
  <c r="T623" i="24" s="1"/>
  <c r="K463" i="24"/>
  <c r="T463" i="24" s="1"/>
  <c r="K500" i="24"/>
  <c r="T500" i="24" s="1"/>
  <c r="K686" i="24"/>
  <c r="T686" i="24" s="1"/>
  <c r="K143" i="24"/>
  <c r="K282" i="24"/>
  <c r="K489" i="24"/>
  <c r="T489" i="24" s="1"/>
  <c r="J655" i="24"/>
  <c r="K655" i="24" s="1"/>
  <c r="K152" i="24"/>
  <c r="K427" i="24"/>
  <c r="K467" i="24"/>
  <c r="T467" i="24" s="1"/>
  <c r="K719" i="24"/>
  <c r="T719" i="24" s="1"/>
  <c r="J340" i="24"/>
  <c r="K340" i="24" s="1"/>
  <c r="J388" i="24"/>
  <c r="K388" i="24" s="1"/>
  <c r="K267" i="24"/>
  <c r="K437" i="24"/>
  <c r="T437" i="24" s="1"/>
  <c r="K536" i="24"/>
  <c r="T536" i="24" s="1"/>
  <c r="K723" i="24"/>
  <c r="T723" i="24" s="1"/>
  <c r="K2671" i="24"/>
  <c r="K1971" i="24"/>
  <c r="K1947" i="24"/>
  <c r="K1975" i="24"/>
  <c r="K1943" i="24"/>
  <c r="K1992" i="24"/>
  <c r="K1940" i="24"/>
  <c r="K1942" i="24"/>
  <c r="K1901" i="24"/>
  <c r="K1931" i="24"/>
  <c r="K1881" i="24"/>
  <c r="K1899" i="24"/>
  <c r="K1843" i="24"/>
  <c r="K1895" i="24"/>
  <c r="K1709" i="24"/>
  <c r="K1727" i="24"/>
  <c r="T1727" i="24" s="1"/>
  <c r="K1800" i="24"/>
  <c r="T1800" i="24" s="1"/>
  <c r="K1720" i="24"/>
  <c r="K1736" i="24"/>
  <c r="T1736" i="24" s="1"/>
  <c r="K1610" i="24"/>
  <c r="T1610" i="24" s="1"/>
  <c r="K1564" i="24"/>
  <c r="T1564" i="24" s="1"/>
  <c r="K1847" i="24"/>
  <c r="T1847" i="24" s="1"/>
  <c r="K198" i="24"/>
  <c r="K371" i="24"/>
  <c r="T371" i="24" s="1"/>
  <c r="J264" i="24"/>
  <c r="K264" i="24" s="1"/>
  <c r="K343" i="24"/>
  <c r="J406" i="24"/>
  <c r="K406" i="24" s="1"/>
  <c r="J259" i="24"/>
  <c r="K259" i="24" s="1"/>
  <c r="K389" i="24"/>
  <c r="K704" i="24"/>
  <c r="T704" i="24" s="1"/>
  <c r="K145" i="24"/>
  <c r="K366" i="24"/>
  <c r="K172" i="24"/>
  <c r="K296" i="24"/>
  <c r="T296" i="24" s="1"/>
  <c r="K331" i="24"/>
  <c r="K444" i="24"/>
  <c r="K720" i="24"/>
  <c r="T720" i="24" s="1"/>
  <c r="J304" i="24"/>
  <c r="K304" i="24" s="1"/>
  <c r="J358" i="24"/>
  <c r="K358" i="24" s="1"/>
  <c r="K272" i="24"/>
  <c r="K337" i="24"/>
  <c r="K485" i="24"/>
  <c r="T485" i="24" s="1"/>
  <c r="K2669" i="24"/>
  <c r="T2669" i="24" s="1"/>
  <c r="K1955" i="24"/>
  <c r="K1944" i="24"/>
  <c r="K1972" i="24"/>
  <c r="K1918" i="24"/>
  <c r="K1982" i="24"/>
  <c r="K1936" i="24"/>
  <c r="K1914" i="24"/>
  <c r="K1897" i="24"/>
  <c r="K1930" i="24"/>
  <c r="K1827" i="24"/>
  <c r="T1827" i="24" s="1"/>
  <c r="K1878" i="24"/>
  <c r="K1839" i="24"/>
  <c r="T1839" i="24" s="1"/>
  <c r="K1842" i="24"/>
  <c r="K1817" i="24"/>
  <c r="T1817" i="24" s="1"/>
  <c r="K1935" i="24"/>
  <c r="K1747" i="24"/>
  <c r="T1747" i="24" s="1"/>
  <c r="K1713" i="24"/>
  <c r="K1700" i="24"/>
  <c r="K1741" i="24"/>
  <c r="T1741" i="24" s="1"/>
  <c r="K1703" i="24"/>
  <c r="T1703" i="24" s="1"/>
  <c r="K1620" i="24"/>
  <c r="T1620" i="24" s="1"/>
  <c r="K1484" i="24"/>
  <c r="T1484" i="24" s="1"/>
  <c r="K1468" i="24"/>
  <c r="T1468" i="24" s="1"/>
  <c r="K1452" i="24"/>
  <c r="T1452" i="24" s="1"/>
  <c r="K1628" i="24"/>
  <c r="T1628" i="24" s="1"/>
  <c r="K1644" i="24"/>
  <c r="T1644" i="24" s="1"/>
  <c r="K1544" i="24"/>
  <c r="T1544" i="24" s="1"/>
  <c r="K1510" i="24"/>
  <c r="T1510" i="24" s="1"/>
  <c r="K1570" i="24"/>
  <c r="T1570" i="24" s="1"/>
  <c r="K1404" i="24"/>
  <c r="T1404" i="24" s="1"/>
  <c r="K1297" i="24"/>
  <c r="T1297" i="24" s="1"/>
  <c r="K1281" i="24"/>
  <c r="T1281" i="24" s="1"/>
  <c r="K1372" i="24"/>
  <c r="T1372" i="24" s="1"/>
  <c r="K1333" i="24"/>
  <c r="T1333" i="24" s="1"/>
  <c r="K1432" i="24"/>
  <c r="T1432" i="24" s="1"/>
  <c r="K1416" i="24"/>
  <c r="T1416" i="24" s="1"/>
  <c r="K1322" i="24"/>
  <c r="T1322" i="24" s="1"/>
  <c r="K1327" i="24"/>
  <c r="T1327" i="24" s="1"/>
  <c r="K1340" i="24"/>
  <c r="T1340" i="24" s="1"/>
  <c r="K1390" i="24"/>
  <c r="T1390" i="24" s="1"/>
  <c r="K1358" i="24"/>
  <c r="T1358" i="24" s="1"/>
  <c r="K1318" i="24"/>
  <c r="T1318" i="24" s="1"/>
  <c r="K1265" i="24"/>
  <c r="T1265" i="24" s="1"/>
  <c r="K1215" i="24"/>
  <c r="T1215" i="24" s="1"/>
  <c r="K1199" i="24"/>
  <c r="T1199" i="24" s="1"/>
  <c r="K1183" i="24"/>
  <c r="T1183" i="24" s="1"/>
  <c r="K1167" i="24"/>
  <c r="T1167" i="24" s="1"/>
  <c r="K1151" i="24"/>
  <c r="T1151" i="24" s="1"/>
  <c r="K1273" i="24"/>
  <c r="T1273" i="24" s="1"/>
  <c r="K1093" i="24"/>
  <c r="T1093" i="24" s="1"/>
  <c r="K1029" i="24"/>
  <c r="T1029" i="24" s="1"/>
  <c r="K1131" i="24"/>
  <c r="T1131" i="24" s="1"/>
  <c r="K1066" i="24"/>
  <c r="T1066" i="24" s="1"/>
  <c r="K1002" i="24"/>
  <c r="T1002" i="24" s="1"/>
  <c r="K1127" i="24"/>
  <c r="T1127" i="24" s="1"/>
  <c r="K1060" i="24"/>
  <c r="T1060" i="24" s="1"/>
  <c r="K996" i="24"/>
  <c r="T996" i="24" s="1"/>
  <c r="K1123" i="24"/>
  <c r="T1123" i="24" s="1"/>
  <c r="K1046" i="24"/>
  <c r="T1046" i="24" s="1"/>
  <c r="K982" i="24"/>
  <c r="T982" i="24" s="1"/>
  <c r="K1056" i="24"/>
  <c r="T1056" i="24" s="1"/>
  <c r="K1024" i="24"/>
  <c r="T1024" i="24" s="1"/>
  <c r="K1000" i="24"/>
  <c r="T1000" i="24" s="1"/>
  <c r="K794" i="24"/>
  <c r="K733" i="24"/>
  <c r="T733" i="24" s="1"/>
  <c r="K630" i="24"/>
  <c r="T630" i="24" s="1"/>
  <c r="K604" i="24"/>
  <c r="T604" i="24" s="1"/>
  <c r="K713" i="24"/>
  <c r="K707" i="24"/>
  <c r="K544" i="24"/>
  <c r="J269" i="24"/>
  <c r="K269" i="24" s="1"/>
  <c r="J412" i="24"/>
  <c r="K412" i="24" s="1"/>
  <c r="K174" i="24"/>
  <c r="K271" i="24"/>
  <c r="K487" i="24"/>
  <c r="T487" i="24" s="1"/>
  <c r="K725" i="24"/>
  <c r="T725" i="24" s="1"/>
  <c r="K181" i="24"/>
  <c r="K377" i="24"/>
  <c r="T377" i="24" s="1"/>
  <c r="K531" i="24"/>
  <c r="T531" i="24" s="1"/>
  <c r="K190" i="24"/>
  <c r="K300" i="24"/>
  <c r="K335" i="24"/>
  <c r="T335" i="24" s="1"/>
  <c r="K483" i="24"/>
  <c r="T483" i="24" s="1"/>
  <c r="K797" i="24"/>
  <c r="T797" i="24" s="1"/>
  <c r="J703" i="24"/>
  <c r="K703" i="24" s="1"/>
  <c r="J328" i="24"/>
  <c r="K328" i="24" s="1"/>
  <c r="K2670" i="24"/>
  <c r="K2667" i="24"/>
  <c r="T2667" i="24" s="1"/>
  <c r="K1939" i="24"/>
  <c r="K1938" i="24"/>
  <c r="K1946" i="24"/>
  <c r="K1893" i="24"/>
  <c r="K1978" i="24"/>
  <c r="K1927" i="24"/>
  <c r="K1905" i="24"/>
  <c r="K1879" i="24"/>
  <c r="K1929" i="24"/>
  <c r="T1929" i="24" s="1"/>
  <c r="K1825" i="24"/>
  <c r="T1825" i="24" s="1"/>
  <c r="K2089" i="24"/>
  <c r="T2089" i="24" s="1"/>
  <c r="K1950" i="24"/>
  <c r="K1957" i="24"/>
  <c r="T1957" i="24" s="1"/>
  <c r="K1903" i="24"/>
  <c r="K1787" i="24"/>
  <c r="T1787" i="24" s="1"/>
  <c r="K1739" i="24"/>
  <c r="T1739" i="24" s="1"/>
  <c r="K1702" i="24"/>
  <c r="K1882" i="24"/>
  <c r="K1718" i="24"/>
  <c r="K1612" i="24"/>
  <c r="T1612" i="24" s="1"/>
  <c r="K1604" i="24"/>
  <c r="T1604" i="24" s="1"/>
  <c r="K1482" i="24"/>
  <c r="T1482" i="24" s="1"/>
  <c r="K1466" i="24"/>
  <c r="T1466" i="24" s="1"/>
  <c r="K1450" i="24"/>
  <c r="T1450" i="24" s="1"/>
  <c r="K1534" i="24"/>
  <c r="T1534" i="24" s="1"/>
  <c r="K1558" i="24"/>
  <c r="T1558" i="24" s="1"/>
  <c r="K1542" i="24"/>
  <c r="T1542" i="24" s="1"/>
  <c r="K1506" i="24"/>
  <c r="T1506" i="24" s="1"/>
  <c r="K1560" i="24"/>
  <c r="T1560" i="24" s="1"/>
  <c r="K1344" i="24"/>
  <c r="T1344" i="24" s="1"/>
  <c r="K1295" i="24"/>
  <c r="T1295" i="24" s="1"/>
  <c r="K1279" i="24"/>
  <c r="T1279" i="24" s="1"/>
  <c r="K1368" i="24"/>
  <c r="T1368" i="24" s="1"/>
  <c r="K1325" i="24"/>
  <c r="T1325" i="24" s="1"/>
  <c r="K1430" i="24"/>
  <c r="T1430" i="24" s="1"/>
  <c r="K1414" i="24"/>
  <c r="T1414" i="24" s="1"/>
  <c r="K1314" i="24"/>
  <c r="T1314" i="24" s="1"/>
  <c r="K1319" i="24"/>
  <c r="T1319" i="24" s="1"/>
  <c r="K1332" i="24"/>
  <c r="T1332" i="24" s="1"/>
  <c r="K1386" i="24"/>
  <c r="T1386" i="24" s="1"/>
  <c r="K1354" i="24"/>
  <c r="T1354" i="24" s="1"/>
  <c r="K1313" i="24"/>
  <c r="T1313" i="24" s="1"/>
  <c r="K1257" i="24"/>
  <c r="T1257" i="24" s="1"/>
  <c r="K1213" i="24"/>
  <c r="T1213" i="24" s="1"/>
  <c r="K1197" i="24"/>
  <c r="T1197" i="24" s="1"/>
  <c r="K1181" i="24"/>
  <c r="T1181" i="24" s="1"/>
  <c r="K1165" i="24"/>
  <c r="T1165" i="24" s="1"/>
  <c r="K1149" i="24"/>
  <c r="T1149" i="24" s="1"/>
  <c r="K1326" i="24"/>
  <c r="T1326" i="24" s="1"/>
  <c r="K1089" i="24"/>
  <c r="T1089" i="24" s="1"/>
  <c r="K1021" i="24"/>
  <c r="T1021" i="24" s="1"/>
  <c r="K1119" i="24"/>
  <c r="T1119" i="24" s="1"/>
  <c r="K1058" i="24"/>
  <c r="T1058" i="24" s="1"/>
  <c r="K994" i="24"/>
  <c r="T994" i="24" s="1"/>
  <c r="K1121" i="24"/>
  <c r="T1121" i="24" s="1"/>
  <c r="K1052" i="24"/>
  <c r="T1052" i="24" s="1"/>
  <c r="K988" i="24"/>
  <c r="T988" i="24" s="1"/>
  <c r="K1115" i="24"/>
  <c r="T1115" i="24" s="1"/>
  <c r="K1038" i="24"/>
  <c r="T1038" i="24" s="1"/>
  <c r="K974" i="24"/>
  <c r="T974" i="24" s="1"/>
  <c r="K992" i="24"/>
  <c r="T992" i="24" s="1"/>
  <c r="K976" i="24"/>
  <c r="T976" i="24" s="1"/>
  <c r="K708" i="24"/>
  <c r="K790" i="24"/>
  <c r="T790" i="24" s="1"/>
  <c r="K711" i="24"/>
  <c r="K601" i="24"/>
  <c r="T601" i="24" s="1"/>
  <c r="K596" i="24"/>
  <c r="K696" i="24"/>
  <c r="K690" i="24"/>
  <c r="K701" i="24"/>
  <c r="K474" i="24"/>
  <c r="K351" i="24"/>
  <c r="K457" i="24"/>
  <c r="K345" i="24"/>
  <c r="K450" i="24"/>
  <c r="K142" i="24"/>
  <c r="K149" i="24"/>
  <c r="J289" i="24"/>
  <c r="K289" i="24" s="1"/>
  <c r="K416" i="24"/>
  <c r="K461" i="24"/>
  <c r="T461" i="24" s="1"/>
  <c r="K547" i="24"/>
  <c r="T547" i="24" s="1"/>
  <c r="K176" i="24"/>
  <c r="J274" i="24"/>
  <c r="K274" i="24" s="1"/>
  <c r="K488" i="24"/>
  <c r="T488" i="24" s="1"/>
  <c r="K801" i="24"/>
  <c r="T801" i="24" s="1"/>
  <c r="K468" i="24"/>
  <c r="T468" i="24" s="1"/>
  <c r="K257" i="24"/>
  <c r="K302" i="24"/>
  <c r="T302" i="24" s="1"/>
  <c r="K338" i="24"/>
  <c r="K486" i="24"/>
  <c r="T486" i="24" s="1"/>
  <c r="J691" i="24"/>
  <c r="K691" i="24" s="1"/>
  <c r="J400" i="24"/>
  <c r="K400" i="24" s="1"/>
  <c r="N400" i="24" s="1"/>
  <c r="J673" i="24"/>
  <c r="K673" i="24" s="1"/>
  <c r="K379" i="24"/>
  <c r="K2668" i="24"/>
  <c r="K2665" i="24"/>
  <c r="T2665" i="24" s="1"/>
  <c r="K1923" i="24"/>
  <c r="K1926" i="24"/>
  <c r="K1983" i="24"/>
  <c r="K1891" i="24"/>
  <c r="K1970" i="24"/>
  <c r="K1991" i="24"/>
  <c r="K1902" i="24"/>
  <c r="K1894" i="24"/>
  <c r="K1920" i="24"/>
  <c r="K1823" i="24"/>
  <c r="T1823" i="24" s="1"/>
  <c r="K1973" i="24"/>
  <c r="T1973" i="24" s="1"/>
  <c r="K1898" i="24"/>
  <c r="K1795" i="24"/>
  <c r="T1795" i="24" s="1"/>
  <c r="K1820" i="24"/>
  <c r="T1820" i="24" s="1"/>
  <c r="K1729" i="24"/>
  <c r="T1729" i="24" s="1"/>
  <c r="K1734" i="24"/>
  <c r="T1734" i="24" s="1"/>
  <c r="K1728" i="24"/>
  <c r="T1728" i="24" s="1"/>
  <c r="K1650" i="24"/>
  <c r="T1650" i="24" s="1"/>
  <c r="K1602" i="24"/>
  <c r="T1602" i="24" s="1"/>
  <c r="K1536" i="24"/>
  <c r="T1536" i="24" s="1"/>
  <c r="K1590" i="24"/>
  <c r="T1590" i="24" s="1"/>
  <c r="K1480" i="24"/>
  <c r="T1480" i="24" s="1"/>
  <c r="K1464" i="24"/>
  <c r="T1464" i="24" s="1"/>
  <c r="K1448" i="24"/>
  <c r="T1448" i="24" s="1"/>
  <c r="K1717" i="24"/>
  <c r="K1556" i="24"/>
  <c r="T1556" i="24" s="1"/>
  <c r="K1540" i="24"/>
  <c r="T1540" i="24" s="1"/>
  <c r="K1502" i="24"/>
  <c r="T1502" i="24" s="1"/>
  <c r="K1347" i="24"/>
  <c r="T1347" i="24" s="1"/>
  <c r="K1336" i="24"/>
  <c r="T1336" i="24" s="1"/>
  <c r="K1293" i="24"/>
  <c r="T1293" i="24" s="1"/>
  <c r="K1396" i="24"/>
  <c r="T1396" i="24" s="1"/>
  <c r="K1364" i="24"/>
  <c r="T1364" i="24" s="1"/>
  <c r="K1317" i="24"/>
  <c r="T1317" i="24" s="1"/>
  <c r="K1428" i="24"/>
  <c r="T1428" i="24" s="1"/>
  <c r="K1412" i="24"/>
  <c r="T1412" i="24" s="1"/>
  <c r="K1306" i="24"/>
  <c r="T1306" i="24" s="1"/>
  <c r="K1311" i="24"/>
  <c r="T1311" i="24" s="1"/>
  <c r="K1324" i="24"/>
  <c r="T1324" i="24" s="1"/>
  <c r="K1382" i="24"/>
  <c r="T1382" i="24" s="1"/>
  <c r="K1398" i="24"/>
  <c r="T1398" i="24" s="1"/>
  <c r="K1406" i="24"/>
  <c r="T1406" i="24" s="1"/>
  <c r="K1227" i="24"/>
  <c r="T1227" i="24" s="1"/>
  <c r="K1211" i="24"/>
  <c r="T1211" i="24" s="1"/>
  <c r="K1195" i="24"/>
  <c r="T1195" i="24" s="1"/>
  <c r="K1179" i="24"/>
  <c r="T1179" i="24" s="1"/>
  <c r="K1163" i="24"/>
  <c r="T1163" i="24" s="1"/>
  <c r="K1147" i="24"/>
  <c r="T1147" i="24" s="1"/>
  <c r="K1271" i="24"/>
  <c r="T1271" i="24" s="1"/>
  <c r="K1077" i="24"/>
  <c r="T1077" i="24" s="1"/>
  <c r="K1013" i="24"/>
  <c r="T1013" i="24" s="1"/>
  <c r="K1111" i="24"/>
  <c r="T1111" i="24" s="1"/>
  <c r="K1050" i="24"/>
  <c r="T1050" i="24" s="1"/>
  <c r="K986" i="24"/>
  <c r="T986" i="24" s="1"/>
  <c r="K1113" i="24"/>
  <c r="T1113" i="24" s="1"/>
  <c r="K1044" i="24"/>
  <c r="T1044" i="24" s="1"/>
  <c r="K980" i="24"/>
  <c r="T980" i="24" s="1"/>
  <c r="K1107" i="24"/>
  <c r="T1107" i="24" s="1"/>
  <c r="K1030" i="24"/>
  <c r="T1030" i="24" s="1"/>
  <c r="K1237" i="24"/>
  <c r="T1237" i="24" s="1"/>
  <c r="K1109" i="24"/>
  <c r="T1109" i="24" s="1"/>
  <c r="K1048" i="24"/>
  <c r="T1048" i="24" s="1"/>
  <c r="K700" i="24"/>
  <c r="K745" i="24"/>
  <c r="T745" i="24" s="1"/>
  <c r="K702" i="24"/>
  <c r="K598" i="24"/>
  <c r="T598" i="24" s="1"/>
  <c r="K550" i="24"/>
  <c r="K688" i="24"/>
  <c r="K669" i="24"/>
  <c r="K684" i="24"/>
  <c r="K455" i="24"/>
  <c r="K330" i="24"/>
  <c r="K446" i="24"/>
  <c r="K332" i="24"/>
  <c r="K440" i="24"/>
  <c r="K348" i="24"/>
  <c r="K452" i="24"/>
  <c r="K402" i="24"/>
  <c r="K151" i="24"/>
  <c r="K312" i="24"/>
  <c r="K464" i="24"/>
  <c r="T464" i="24" s="1"/>
  <c r="K552" i="24"/>
  <c r="T552" i="24" s="1"/>
  <c r="K183" i="24"/>
  <c r="T183" i="24" s="1"/>
  <c r="J280" i="24"/>
  <c r="K280" i="24" s="1"/>
  <c r="K469" i="24"/>
  <c r="T469" i="24" s="1"/>
  <c r="K490" i="24"/>
  <c r="T490" i="24" s="1"/>
  <c r="K71" i="24"/>
  <c r="T71" i="24" s="1"/>
  <c r="K261" i="24"/>
  <c r="K470" i="24"/>
  <c r="T470" i="24" s="1"/>
  <c r="K687" i="24"/>
  <c r="J370" i="24"/>
  <c r="K370" i="24" s="1"/>
  <c r="K458" i="24"/>
  <c r="T458" i="24" s="1"/>
  <c r="K534" i="24"/>
  <c r="K599" i="24"/>
  <c r="T599" i="24" s="1"/>
  <c r="J640" i="24"/>
  <c r="K640" i="24" s="1"/>
  <c r="J364" i="24"/>
  <c r="K364" i="24" s="1"/>
  <c r="K177" i="24"/>
  <c r="K495" i="24"/>
  <c r="T495" i="24" s="1"/>
  <c r="K2666" i="24"/>
  <c r="T2666" i="24" s="1"/>
  <c r="K2663" i="24"/>
  <c r="T2663" i="24" s="1"/>
  <c r="K1907" i="24"/>
  <c r="K1990" i="24"/>
  <c r="K1967" i="24"/>
  <c r="K1877" i="24"/>
  <c r="K1974" i="24"/>
  <c r="K1988" i="24"/>
  <c r="K1934" i="24"/>
  <c r="K1844" i="24"/>
  <c r="K1919" i="24"/>
  <c r="K1928" i="24"/>
  <c r="K1924" i="24"/>
  <c r="K1883" i="24"/>
  <c r="K1716" i="24"/>
  <c r="K1750" i="24"/>
  <c r="T1750" i="24" s="1"/>
  <c r="K1724" i="24"/>
  <c r="K1726" i="24"/>
  <c r="K1796" i="24"/>
  <c r="T1796" i="24" s="1"/>
  <c r="K1642" i="24"/>
  <c r="T1642" i="24" s="1"/>
  <c r="K1596" i="24"/>
  <c r="T1596" i="24" s="1"/>
  <c r="K1528" i="24"/>
  <c r="T1528" i="24" s="1"/>
  <c r="K1582" i="24"/>
  <c r="T1582" i="24" s="1"/>
  <c r="K1478" i="24"/>
  <c r="T1478" i="24" s="1"/>
  <c r="K1462" i="24"/>
  <c r="T1462" i="24" s="1"/>
  <c r="K1446" i="24"/>
  <c r="T1446" i="24" s="1"/>
  <c r="K1636" i="24"/>
  <c r="T1636" i="24" s="1"/>
  <c r="K1554" i="24"/>
  <c r="T1554" i="24" s="1"/>
  <c r="K1532" i="24"/>
  <c r="T1532" i="24" s="1"/>
  <c r="K1498" i="24"/>
  <c r="T1498" i="24" s="1"/>
  <c r="K1339" i="24"/>
  <c r="T1339" i="24" s="1"/>
  <c r="K1328" i="24"/>
  <c r="T1328" i="24" s="1"/>
  <c r="K1291" i="24"/>
  <c r="T1291" i="24" s="1"/>
  <c r="K1392" i="24"/>
  <c r="T1392" i="24" s="1"/>
  <c r="K1360" i="24"/>
  <c r="T1360" i="24" s="1"/>
  <c r="K1309" i="24"/>
  <c r="T1309" i="24" s="1"/>
  <c r="K1426" i="24"/>
  <c r="T1426" i="24" s="1"/>
  <c r="K1410" i="24"/>
  <c r="T1410" i="24" s="1"/>
  <c r="K1494" i="24"/>
  <c r="T1494" i="24" s="1"/>
  <c r="K1303" i="24"/>
  <c r="T1303" i="24" s="1"/>
  <c r="K1316" i="24"/>
  <c r="T1316" i="24" s="1"/>
  <c r="K1378" i="24"/>
  <c r="T1378" i="24" s="1"/>
  <c r="K1269" i="24"/>
  <c r="T1269" i="24" s="1"/>
  <c r="K1267" i="24"/>
  <c r="T1267" i="24" s="1"/>
  <c r="K1225" i="24"/>
  <c r="T1225" i="24" s="1"/>
  <c r="K1209" i="24"/>
  <c r="T1209" i="24" s="1"/>
  <c r="K1193" i="24"/>
  <c r="T1193" i="24" s="1"/>
  <c r="K1177" i="24"/>
  <c r="T1177" i="24" s="1"/>
  <c r="K1161" i="24"/>
  <c r="T1161" i="24" s="1"/>
  <c r="K1145" i="24"/>
  <c r="T1145" i="24" s="1"/>
  <c r="K1263" i="24"/>
  <c r="T1263" i="24" s="1"/>
  <c r="K1069" i="24"/>
  <c r="T1069" i="24" s="1"/>
  <c r="K1005" i="24"/>
  <c r="T1005" i="24" s="1"/>
  <c r="K1103" i="24"/>
  <c r="T1103" i="24" s="1"/>
  <c r="K1042" i="24"/>
  <c r="T1042" i="24" s="1"/>
  <c r="K978" i="24"/>
  <c r="T978" i="24" s="1"/>
  <c r="K1105" i="24"/>
  <c r="T1105" i="24" s="1"/>
  <c r="K1036" i="24"/>
  <c r="T1036" i="24" s="1"/>
  <c r="K972" i="24"/>
  <c r="T972" i="24" s="1"/>
  <c r="K1095" i="24"/>
  <c r="T1095" i="24" s="1"/>
  <c r="K1022" i="24"/>
  <c r="T1022" i="24" s="1"/>
  <c r="K1129" i="24"/>
  <c r="T1129" i="24" s="1"/>
  <c r="K1016" i="24"/>
  <c r="T1016" i="24" s="1"/>
  <c r="K714" i="24"/>
  <c r="K689" i="24"/>
  <c r="K743" i="24"/>
  <c r="T743" i="24" s="1"/>
  <c r="K694" i="24"/>
  <c r="K592" i="24"/>
  <c r="K548" i="24"/>
  <c r="K677" i="24"/>
  <c r="K653" i="24"/>
  <c r="K671" i="24"/>
  <c r="K438" i="24"/>
  <c r="K309" i="24"/>
  <c r="K432" i="24"/>
  <c r="K314" i="24"/>
  <c r="K426" i="24"/>
  <c r="K321" i="24"/>
  <c r="K434" i="24"/>
  <c r="K326" i="24"/>
  <c r="K405" i="24"/>
  <c r="K712" i="24"/>
  <c r="K422" i="24"/>
  <c r="K344" i="24"/>
  <c r="K148" i="24"/>
  <c r="J394" i="24"/>
  <c r="K394" i="24" s="1"/>
  <c r="N394" i="24" s="1"/>
  <c r="K451" i="24"/>
  <c r="K482" i="24"/>
  <c r="T482" i="24" s="1"/>
  <c r="K593" i="24"/>
  <c r="T593" i="24" s="1"/>
  <c r="K785" i="24"/>
  <c r="T785" i="24" s="1"/>
  <c r="J643" i="24"/>
  <c r="K643" i="24" s="1"/>
  <c r="J697" i="24"/>
  <c r="K697" i="24" s="1"/>
  <c r="K895" i="24"/>
  <c r="T895" i="24" s="1"/>
  <c r="J679" i="24"/>
  <c r="K679" i="24" s="1"/>
  <c r="K499" i="24"/>
  <c r="T499" i="24" s="1"/>
  <c r="K1486" i="24"/>
  <c r="T1486" i="24" s="1"/>
  <c r="K1307" i="24"/>
  <c r="T1307" i="24" s="1"/>
  <c r="K1335" i="24"/>
  <c r="T1335" i="24" s="1"/>
  <c r="K1185" i="24"/>
  <c r="T1185" i="24" s="1"/>
  <c r="K989" i="24"/>
  <c r="T989" i="24" s="1"/>
  <c r="K1084" i="24"/>
  <c r="T1084" i="24" s="1"/>
  <c r="K1006" i="24"/>
  <c r="T1006" i="24" s="1"/>
  <c r="K654" i="24"/>
  <c r="K539" i="24"/>
  <c r="K695" i="24"/>
  <c r="K381" i="24"/>
  <c r="K373" i="24"/>
  <c r="K411" i="24"/>
  <c r="K556" i="24"/>
  <c r="T556" i="24" s="1"/>
  <c r="K361" i="24"/>
  <c r="K449" i="24"/>
  <c r="K363" i="24"/>
  <c r="K146" i="24"/>
  <c r="K626" i="24"/>
  <c r="T626" i="24" s="1"/>
  <c r="K542" i="24"/>
  <c r="T542" i="24" s="1"/>
  <c r="K621" i="24"/>
  <c r="T621" i="24" s="1"/>
  <c r="K588" i="24"/>
  <c r="T588" i="24" s="1"/>
  <c r="J715" i="24"/>
  <c r="K715" i="24" s="1"/>
  <c r="K731" i="24"/>
  <c r="T731" i="24" s="1"/>
  <c r="K871" i="24"/>
  <c r="T871" i="24" s="1"/>
  <c r="K652" i="24"/>
  <c r="K624" i="24"/>
  <c r="T624" i="24" s="1"/>
  <c r="J636" i="24"/>
  <c r="K636" i="24" s="1"/>
  <c r="K717" i="24"/>
  <c r="T717" i="24" s="1"/>
  <c r="K738" i="24"/>
  <c r="T738" i="24" s="1"/>
  <c r="K746" i="24"/>
  <c r="T746" i="24" s="1"/>
  <c r="K853" i="24"/>
  <c r="T853" i="24" s="1"/>
  <c r="K859" i="24"/>
  <c r="T859" i="24" s="1"/>
  <c r="K900" i="24"/>
  <c r="T900" i="24" s="1"/>
  <c r="K932" i="24"/>
  <c r="T932" i="24" s="1"/>
  <c r="K1023" i="24"/>
  <c r="T1023" i="24" s="1"/>
  <c r="K846" i="24"/>
  <c r="T846" i="24" s="1"/>
  <c r="K907" i="24"/>
  <c r="T907" i="24" s="1"/>
  <c r="K873" i="24"/>
  <c r="T873" i="24" s="1"/>
  <c r="K925" i="24"/>
  <c r="T925" i="24" s="1"/>
  <c r="K879" i="24"/>
  <c r="T879" i="24" s="1"/>
  <c r="K855" i="24"/>
  <c r="T855" i="24" s="1"/>
  <c r="K919" i="24"/>
  <c r="T919" i="24" s="1"/>
  <c r="K951" i="24"/>
  <c r="T951" i="24" s="1"/>
  <c r="K977" i="24"/>
  <c r="T977" i="24" s="1"/>
  <c r="K1130" i="24"/>
  <c r="T1130" i="24" s="1"/>
  <c r="K1067" i="24"/>
  <c r="T1067" i="24" s="1"/>
  <c r="K923" i="24"/>
  <c r="T923" i="24" s="1"/>
  <c r="K955" i="24"/>
  <c r="T955" i="24" s="1"/>
  <c r="K1079" i="24"/>
  <c r="T1079" i="24" s="1"/>
  <c r="K905" i="24"/>
  <c r="T905" i="24" s="1"/>
  <c r="K937" i="24"/>
  <c r="T937" i="24" s="1"/>
  <c r="K969" i="24"/>
  <c r="T969" i="24" s="1"/>
  <c r="K1075" i="24"/>
  <c r="T1075" i="24" s="1"/>
  <c r="K1116" i="24"/>
  <c r="T1116" i="24" s="1"/>
  <c r="K1176" i="24"/>
  <c r="T1176" i="24" s="1"/>
  <c r="K1270" i="24"/>
  <c r="T1270" i="24" s="1"/>
  <c r="K1152" i="24"/>
  <c r="T1152" i="24" s="1"/>
  <c r="K1168" i="24"/>
  <c r="T1168" i="24" s="1"/>
  <c r="K1184" i="24"/>
  <c r="T1184" i="24" s="1"/>
  <c r="K1200" i="24"/>
  <c r="T1200" i="24" s="1"/>
  <c r="K1216" i="24"/>
  <c r="T1216" i="24" s="1"/>
  <c r="K1239" i="24"/>
  <c r="T1239" i="24" s="1"/>
  <c r="K1242" i="24"/>
  <c r="T1242" i="24" s="1"/>
  <c r="K1512" i="24"/>
  <c r="T1512" i="24" s="1"/>
  <c r="K1252" i="24"/>
  <c r="T1252" i="24" s="1"/>
  <c r="K1296" i="24"/>
  <c r="T1296" i="24" s="1"/>
  <c r="K1505" i="24"/>
  <c r="T1505" i="24" s="1"/>
  <c r="K1447" i="24"/>
  <c r="T1447" i="24" s="1"/>
  <c r="K1481" i="24"/>
  <c r="T1481" i="24" s="1"/>
  <c r="K1363" i="24"/>
  <c r="T1363" i="24" s="1"/>
  <c r="K1395" i="24"/>
  <c r="T1395" i="24" s="1"/>
  <c r="K1608" i="24"/>
  <c r="T1608" i="24" s="1"/>
  <c r="K1423" i="24"/>
  <c r="T1423" i="24" s="1"/>
  <c r="K1508" i="24"/>
  <c r="T1508" i="24" s="1"/>
  <c r="K1517" i="24"/>
  <c r="T1517" i="24" s="1"/>
  <c r="K1471" i="24"/>
  <c r="T1471" i="24" s="1"/>
  <c r="K1357" i="24"/>
  <c r="T1357" i="24" s="1"/>
  <c r="K1389" i="24"/>
  <c r="T1389" i="24" s="1"/>
  <c r="K1541" i="24"/>
  <c r="T1541" i="24" s="1"/>
  <c r="K1557" i="24"/>
  <c r="T1557" i="24" s="1"/>
  <c r="K1569" i="24"/>
  <c r="T1569" i="24" s="1"/>
  <c r="K1593" i="24"/>
  <c r="T1593" i="24" s="1"/>
  <c r="K1515" i="24"/>
  <c r="T1515" i="24" s="1"/>
  <c r="K1591" i="24"/>
  <c r="T1591" i="24" s="1"/>
  <c r="K1654" i="24"/>
  <c r="T1654" i="24" s="1"/>
  <c r="K1589" i="24"/>
  <c r="T1589" i="24" s="1"/>
  <c r="K1904" i="24"/>
  <c r="T1904" i="24" s="1"/>
  <c r="K1730" i="24"/>
  <c r="T1730" i="24" s="1"/>
  <c r="K1653" i="24"/>
  <c r="T1653" i="24" s="1"/>
  <c r="K1733" i="24"/>
  <c r="T1733" i="24" s="1"/>
  <c r="K1792" i="24"/>
  <c r="T1792" i="24" s="1"/>
  <c r="K1651" i="24"/>
  <c r="T1651" i="24" s="1"/>
  <c r="K1735" i="24"/>
  <c r="T1735" i="24" s="1"/>
  <c r="K1751" i="24"/>
  <c r="T1751" i="24" s="1"/>
  <c r="K1609" i="24"/>
  <c r="T1609" i="24" s="1"/>
  <c r="K1698" i="24"/>
  <c r="T1698" i="24" s="1"/>
  <c r="K1840" i="24"/>
  <c r="T1840" i="24" s="1"/>
  <c r="K1845" i="24"/>
  <c r="T1845" i="24" s="1"/>
  <c r="K1860" i="24"/>
  <c r="T1860" i="24" s="1"/>
  <c r="K2021" i="24"/>
  <c r="T2021" i="24" s="1"/>
  <c r="K1917" i="24"/>
  <c r="T1917" i="24" s="1"/>
  <c r="K2033" i="24"/>
  <c r="T2033" i="24" s="1"/>
  <c r="K2025" i="24"/>
  <c r="T2025" i="24" s="1"/>
  <c r="K2258" i="24"/>
  <c r="T2258" i="24" s="1"/>
  <c r="K1470" i="24"/>
  <c r="T1470" i="24" s="1"/>
  <c r="K1299" i="24"/>
  <c r="T1299" i="24" s="1"/>
  <c r="K1348" i="24"/>
  <c r="T1348" i="24" s="1"/>
  <c r="K1169" i="24"/>
  <c r="T1169" i="24" s="1"/>
  <c r="K973" i="24"/>
  <c r="T973" i="24" s="1"/>
  <c r="K1068" i="24"/>
  <c r="T1068" i="24" s="1"/>
  <c r="K990" i="24"/>
  <c r="T990" i="24" s="1"/>
  <c r="K594" i="24"/>
  <c r="K789" i="24"/>
  <c r="T789" i="24" s="1"/>
  <c r="K421" i="24"/>
  <c r="K362" i="24"/>
  <c r="K356" i="24"/>
  <c r="K403" i="24"/>
  <c r="K551" i="24"/>
  <c r="T551" i="24" s="1"/>
  <c r="K350" i="24"/>
  <c r="K447" i="24"/>
  <c r="K355" i="24"/>
  <c r="K182" i="24"/>
  <c r="K627" i="24"/>
  <c r="T627" i="24" s="1"/>
  <c r="K589" i="24"/>
  <c r="T589" i="24" s="1"/>
  <c r="K628" i="24"/>
  <c r="T628" i="24" s="1"/>
  <c r="K729" i="24"/>
  <c r="T729" i="24" s="1"/>
  <c r="K908" i="24"/>
  <c r="T908" i="24" s="1"/>
  <c r="K940" i="24"/>
  <c r="T940" i="24" s="1"/>
  <c r="K901" i="24"/>
  <c r="T901" i="24" s="1"/>
  <c r="K1202" i="24"/>
  <c r="T1202" i="24" s="1"/>
  <c r="K847" i="24"/>
  <c r="T847" i="24" s="1"/>
  <c r="K866" i="24"/>
  <c r="T866" i="24" s="1"/>
  <c r="K933" i="24"/>
  <c r="T933" i="24" s="1"/>
  <c r="K898" i="24"/>
  <c r="T898" i="24" s="1"/>
  <c r="K1092" i="24"/>
  <c r="T1092" i="24" s="1"/>
  <c r="K975" i="24"/>
  <c r="T975" i="24" s="1"/>
  <c r="K892" i="24"/>
  <c r="T892" i="24" s="1"/>
  <c r="K926" i="24"/>
  <c r="T926" i="24" s="1"/>
  <c r="K958" i="24"/>
  <c r="T958" i="24" s="1"/>
  <c r="K987" i="24"/>
  <c r="T987" i="24" s="1"/>
  <c r="K1011" i="24"/>
  <c r="T1011" i="24" s="1"/>
  <c r="K874" i="24"/>
  <c r="T874" i="24" s="1"/>
  <c r="K930" i="24"/>
  <c r="T930" i="24" s="1"/>
  <c r="K962" i="24"/>
  <c r="T962" i="24" s="1"/>
  <c r="K912" i="24"/>
  <c r="T912" i="24" s="1"/>
  <c r="K944" i="24"/>
  <c r="T944" i="24" s="1"/>
  <c r="K1055" i="24"/>
  <c r="T1055" i="24" s="1"/>
  <c r="K1140" i="24"/>
  <c r="T1140" i="24" s="1"/>
  <c r="K1160" i="24"/>
  <c r="T1160" i="24" s="1"/>
  <c r="K1096" i="24"/>
  <c r="T1096" i="24" s="1"/>
  <c r="K1114" i="24"/>
  <c r="T1114" i="24" s="1"/>
  <c r="K1104" i="24"/>
  <c r="T1104" i="24" s="1"/>
  <c r="K1120" i="24"/>
  <c r="T1120" i="24" s="1"/>
  <c r="K1118" i="24"/>
  <c r="T1118" i="24" s="1"/>
  <c r="K1251" i="24"/>
  <c r="T1251" i="24" s="1"/>
  <c r="K1246" i="24"/>
  <c r="T1246" i="24" s="1"/>
  <c r="K1513" i="24"/>
  <c r="T1513" i="24" s="1"/>
  <c r="K1453" i="24"/>
  <c r="T1453" i="24" s="1"/>
  <c r="K1485" i="24"/>
  <c r="T1485" i="24" s="1"/>
  <c r="K1563" i="24"/>
  <c r="T1563" i="24" s="1"/>
  <c r="K1367" i="24"/>
  <c r="T1367" i="24" s="1"/>
  <c r="K1638" i="24"/>
  <c r="T1638" i="24" s="1"/>
  <c r="K1425" i="24"/>
  <c r="T1425" i="24" s="1"/>
  <c r="K1509" i="24"/>
  <c r="T1509" i="24" s="1"/>
  <c r="K1403" i="24"/>
  <c r="T1403" i="24" s="1"/>
  <c r="K1475" i="24"/>
  <c r="T1475" i="24" s="1"/>
  <c r="K1361" i="24"/>
  <c r="T1361" i="24" s="1"/>
  <c r="K1393" i="24"/>
  <c r="T1393" i="24" s="1"/>
  <c r="K1694" i="24"/>
  <c r="T1694" i="24" s="1"/>
  <c r="K1543" i="24"/>
  <c r="T1543" i="24" s="1"/>
  <c r="K1559" i="24"/>
  <c r="T1559" i="24" s="1"/>
  <c r="K1748" i="24"/>
  <c r="T1748" i="24" s="1"/>
  <c r="K1614" i="24"/>
  <c r="T1614" i="24" s="1"/>
  <c r="K1519" i="24"/>
  <c r="T1519" i="24" s="1"/>
  <c r="K1606" i="24"/>
  <c r="T1606" i="24" s="1"/>
  <c r="K1707" i="24"/>
  <c r="T1707" i="24" s="1"/>
  <c r="K1599" i="24"/>
  <c r="T1599" i="24" s="1"/>
  <c r="K1631" i="24"/>
  <c r="T1631" i="24" s="1"/>
  <c r="K1597" i="24"/>
  <c r="T1597" i="24" s="1"/>
  <c r="K1797" i="24"/>
  <c r="T1797" i="24" s="1"/>
  <c r="K1617" i="24"/>
  <c r="T1617" i="24" s="1"/>
  <c r="K1715" i="24"/>
  <c r="T1715" i="24" s="1"/>
  <c r="K1801" i="24"/>
  <c r="T1801" i="24" s="1"/>
  <c r="K1850" i="24"/>
  <c r="T1850" i="24" s="1"/>
  <c r="K1909" i="24"/>
  <c r="T1909" i="24" s="1"/>
  <c r="K1868" i="24"/>
  <c r="T1868" i="24" s="1"/>
  <c r="K2133" i="24"/>
  <c r="T2133" i="24" s="1"/>
  <c r="K1989" i="24"/>
  <c r="T1989" i="24" s="1"/>
  <c r="K2128" i="24"/>
  <c r="T2128" i="24" s="1"/>
  <c r="K2330" i="24"/>
  <c r="T2330" i="24" s="1"/>
  <c r="K2402" i="24"/>
  <c r="T2402" i="24" s="1"/>
  <c r="K1454" i="24"/>
  <c r="T1454" i="24" s="1"/>
  <c r="K1283" i="24"/>
  <c r="T1283" i="24" s="1"/>
  <c r="K1394" i="24"/>
  <c r="T1394" i="24" s="1"/>
  <c r="K1153" i="24"/>
  <c r="T1153" i="24" s="1"/>
  <c r="K1099" i="24"/>
  <c r="T1099" i="24" s="1"/>
  <c r="K1020" i="24"/>
  <c r="T1020" i="24" s="1"/>
  <c r="K1008" i="24"/>
  <c r="T1008" i="24" s="1"/>
  <c r="K739" i="24"/>
  <c r="T739" i="24" s="1"/>
  <c r="K648" i="24"/>
  <c r="K390" i="24"/>
  <c r="K645" i="24"/>
  <c r="K549" i="24"/>
  <c r="K386" i="24"/>
  <c r="K445" i="24"/>
  <c r="K342" i="24"/>
  <c r="K439" i="24"/>
  <c r="K333" i="24"/>
  <c r="K1081" i="24"/>
  <c r="T1081" i="24" s="1"/>
  <c r="K603" i="24"/>
  <c r="T603" i="24" s="1"/>
  <c r="K736" i="24"/>
  <c r="T736" i="24" s="1"/>
  <c r="K744" i="24"/>
  <c r="T744" i="24" s="1"/>
  <c r="K530" i="24"/>
  <c r="T530" i="24" s="1"/>
  <c r="K587" i="24"/>
  <c r="T587" i="24" s="1"/>
  <c r="K651" i="24"/>
  <c r="K730" i="24"/>
  <c r="T730" i="24" s="1"/>
  <c r="K842" i="24"/>
  <c r="T842" i="24" s="1"/>
  <c r="K909" i="24"/>
  <c r="T909" i="24" s="1"/>
  <c r="K941" i="24"/>
  <c r="T941" i="24" s="1"/>
  <c r="K868" i="24"/>
  <c r="T868" i="24" s="1"/>
  <c r="K867" i="24"/>
  <c r="T867" i="24" s="1"/>
  <c r="K803" i="24"/>
  <c r="T803" i="24" s="1"/>
  <c r="K899" i="24"/>
  <c r="T899" i="24" s="1"/>
  <c r="K888" i="24"/>
  <c r="T888" i="24" s="1"/>
  <c r="K860" i="24"/>
  <c r="T860" i="24" s="1"/>
  <c r="K893" i="24"/>
  <c r="T893" i="24" s="1"/>
  <c r="K927" i="24"/>
  <c r="T927" i="24" s="1"/>
  <c r="K959" i="24"/>
  <c r="T959" i="24" s="1"/>
  <c r="K875" i="24"/>
  <c r="T875" i="24" s="1"/>
  <c r="K1086" i="24"/>
  <c r="T1086" i="24" s="1"/>
  <c r="K1186" i="24"/>
  <c r="T1186" i="24" s="1"/>
  <c r="K1218" i="24"/>
  <c r="T1218" i="24" s="1"/>
  <c r="K931" i="24"/>
  <c r="T931" i="24" s="1"/>
  <c r="K963" i="24"/>
  <c r="T963" i="24" s="1"/>
  <c r="K993" i="24"/>
  <c r="T993" i="24" s="1"/>
  <c r="K1015" i="24"/>
  <c r="T1015" i="24" s="1"/>
  <c r="K1094" i="24"/>
  <c r="T1094" i="24" s="1"/>
  <c r="K848" i="24"/>
  <c r="T848" i="24" s="1"/>
  <c r="K880" i="24"/>
  <c r="T880" i="24" s="1"/>
  <c r="K913" i="24"/>
  <c r="T913" i="24" s="1"/>
  <c r="K945" i="24"/>
  <c r="T945" i="24" s="1"/>
  <c r="K1033" i="24"/>
  <c r="T1033" i="24" s="1"/>
  <c r="K1073" i="24"/>
  <c r="T1073" i="24" s="1"/>
  <c r="K1144" i="24"/>
  <c r="T1144" i="24" s="1"/>
  <c r="K1247" i="24"/>
  <c r="T1247" i="24" s="1"/>
  <c r="K1220" i="24"/>
  <c r="T1220" i="24" s="1"/>
  <c r="K1286" i="24"/>
  <c r="T1286" i="24" s="1"/>
  <c r="K1250" i="24"/>
  <c r="T1250" i="24" s="1"/>
  <c r="K1284" i="24"/>
  <c r="T1284" i="24" s="1"/>
  <c r="K1290" i="24"/>
  <c r="T1290" i="24" s="1"/>
  <c r="K1228" i="24"/>
  <c r="T1228" i="24" s="1"/>
  <c r="K1260" i="24"/>
  <c r="T1260" i="24" s="1"/>
  <c r="K1457" i="24"/>
  <c r="T1457" i="24" s="1"/>
  <c r="K1492" i="24"/>
  <c r="T1492" i="24" s="1"/>
  <c r="K1738" i="24"/>
  <c r="T1738" i="24" s="1"/>
  <c r="K1371" i="24"/>
  <c r="T1371" i="24" s="1"/>
  <c r="K1401" i="24"/>
  <c r="T1401" i="24" s="1"/>
  <c r="K1411" i="24"/>
  <c r="T1411" i="24" s="1"/>
  <c r="K1427" i="24"/>
  <c r="T1427" i="24" s="1"/>
  <c r="K1479" i="24"/>
  <c r="T1479" i="24" s="1"/>
  <c r="K1365" i="24"/>
  <c r="T1365" i="24" s="1"/>
  <c r="K1397" i="24"/>
  <c r="T1397" i="24" s="1"/>
  <c r="K1525" i="24"/>
  <c r="T1525" i="24" s="1"/>
  <c r="K1695" i="24"/>
  <c r="T1695" i="24" s="1"/>
  <c r="K1561" i="24"/>
  <c r="T1561" i="24" s="1"/>
  <c r="K1786" i="24"/>
  <c r="T1786" i="24" s="1"/>
  <c r="K1545" i="24"/>
  <c r="T1545" i="24" s="1"/>
  <c r="K1533" i="24"/>
  <c r="T1533" i="24" s="1"/>
  <c r="K1600" i="24"/>
  <c r="T1600" i="24" s="1"/>
  <c r="K1491" i="24"/>
  <c r="T1491" i="24" s="1"/>
  <c r="K1523" i="24"/>
  <c r="T1523" i="24" s="1"/>
  <c r="K1794" i="24"/>
  <c r="T1794" i="24" s="1"/>
  <c r="K1616" i="24"/>
  <c r="T1616" i="24" s="1"/>
  <c r="K1719" i="24"/>
  <c r="T1719" i="24" s="1"/>
  <c r="K1605" i="24"/>
  <c r="T1605" i="24" s="1"/>
  <c r="K1603" i="24"/>
  <c r="T1603" i="24" s="1"/>
  <c r="K1853" i="24"/>
  <c r="T1853" i="24" s="1"/>
  <c r="K1625" i="24"/>
  <c r="T1625" i="24" s="1"/>
  <c r="K1841" i="24"/>
  <c r="T1841" i="24" s="1"/>
  <c r="K1802" i="24"/>
  <c r="T1802" i="24" s="1"/>
  <c r="K1826" i="24"/>
  <c r="T1826" i="24" s="1"/>
  <c r="K1913" i="24"/>
  <c r="T1913" i="24" s="1"/>
  <c r="K1828" i="24"/>
  <c r="T1828" i="24" s="1"/>
  <c r="K1937" i="24"/>
  <c r="T1937" i="24" s="1"/>
  <c r="K1993" i="24"/>
  <c r="T1993" i="24" s="1"/>
  <c r="K2001" i="24"/>
  <c r="T2001" i="24" s="1"/>
  <c r="K2081" i="24"/>
  <c r="T2081" i="24" s="1"/>
  <c r="K2093" i="24"/>
  <c r="T2093" i="24" s="1"/>
  <c r="K2143" i="24"/>
  <c r="T2143" i="24" s="1"/>
  <c r="K2522" i="24"/>
  <c r="T2522" i="24" s="1"/>
  <c r="K2480" i="24"/>
  <c r="T2480" i="24" s="1"/>
  <c r="K1438" i="24"/>
  <c r="T1438" i="24" s="1"/>
  <c r="K1376" i="24"/>
  <c r="T1376" i="24" s="1"/>
  <c r="K1362" i="24"/>
  <c r="T1362" i="24" s="1"/>
  <c r="K1275" i="24"/>
  <c r="T1275" i="24" s="1"/>
  <c r="K1074" i="24"/>
  <c r="T1074" i="24" s="1"/>
  <c r="K1004" i="24"/>
  <c r="T1004" i="24" s="1"/>
  <c r="K1032" i="24"/>
  <c r="T1032" i="24" s="1"/>
  <c r="K735" i="24"/>
  <c r="T735" i="24" s="1"/>
  <c r="K1064" i="24"/>
  <c r="T1064" i="24" s="1"/>
  <c r="K368" i="24"/>
  <c r="K545" i="24"/>
  <c r="K543" i="24"/>
  <c r="K375" i="24"/>
  <c r="K428" i="24"/>
  <c r="K308" i="24"/>
  <c r="K408" i="24"/>
  <c r="K315" i="24"/>
  <c r="K263" i="24"/>
  <c r="K631" i="24"/>
  <c r="T631" i="24" s="1"/>
  <c r="K894" i="24"/>
  <c r="T894" i="24" s="1"/>
  <c r="K646" i="24"/>
  <c r="K682" i="24"/>
  <c r="K718" i="24"/>
  <c r="T718" i="24" s="1"/>
  <c r="K605" i="24"/>
  <c r="J649" i="24"/>
  <c r="K649" i="24" s="1"/>
  <c r="K726" i="24"/>
  <c r="T726" i="24" s="1"/>
  <c r="K869" i="24"/>
  <c r="T869" i="24" s="1"/>
  <c r="K856" i="24"/>
  <c r="T856" i="24" s="1"/>
  <c r="K889" i="24"/>
  <c r="T889" i="24" s="1"/>
  <c r="K861" i="24"/>
  <c r="T861" i="24" s="1"/>
  <c r="K902" i="24"/>
  <c r="T902" i="24" s="1"/>
  <c r="K934" i="24"/>
  <c r="T934" i="24" s="1"/>
  <c r="K966" i="24"/>
  <c r="T966" i="24" s="1"/>
  <c r="K1049" i="24"/>
  <c r="T1049" i="24" s="1"/>
  <c r="K1071" i="24"/>
  <c r="T1071" i="24" s="1"/>
  <c r="K938" i="24"/>
  <c r="T938" i="24" s="1"/>
  <c r="K970" i="24"/>
  <c r="T970" i="24" s="1"/>
  <c r="K1019" i="24"/>
  <c r="T1019" i="24" s="1"/>
  <c r="K849" i="24"/>
  <c r="T849" i="24" s="1"/>
  <c r="K881" i="24"/>
  <c r="T881" i="24" s="1"/>
  <c r="K920" i="24"/>
  <c r="T920" i="24" s="1"/>
  <c r="K952" i="24"/>
  <c r="T952" i="24" s="1"/>
  <c r="K1059" i="24"/>
  <c r="T1059" i="24" s="1"/>
  <c r="K1124" i="24"/>
  <c r="T1124" i="24" s="1"/>
  <c r="K1134" i="24"/>
  <c r="T1134" i="24" s="1"/>
  <c r="K1204" i="24"/>
  <c r="T1204" i="24" s="1"/>
  <c r="K1243" i="24"/>
  <c r="T1243" i="24" s="1"/>
  <c r="K1146" i="24"/>
  <c r="T1146" i="24" s="1"/>
  <c r="K1162" i="24"/>
  <c r="T1162" i="24" s="1"/>
  <c r="K1178" i="24"/>
  <c r="T1178" i="24" s="1"/>
  <c r="K1194" i="24"/>
  <c r="T1194" i="24" s="1"/>
  <c r="K1210" i="24"/>
  <c r="T1210" i="24" s="1"/>
  <c r="K1226" i="24"/>
  <c r="T1226" i="24" s="1"/>
  <c r="K1305" i="24"/>
  <c r="T1305" i="24" s="1"/>
  <c r="K1212" i="24"/>
  <c r="T1212" i="24" s="1"/>
  <c r="K1496" i="24"/>
  <c r="T1496" i="24" s="1"/>
  <c r="K1256" i="24"/>
  <c r="T1256" i="24" s="1"/>
  <c r="K1232" i="24"/>
  <c r="T1232" i="24" s="1"/>
  <c r="K1345" i="24"/>
  <c r="T1345" i="24" s="1"/>
  <c r="K1691" i="24"/>
  <c r="T1691" i="24" s="1"/>
  <c r="K1461" i="24"/>
  <c r="T1461" i="24" s="1"/>
  <c r="K1493" i="24"/>
  <c r="T1493" i="24" s="1"/>
  <c r="K1375" i="24"/>
  <c r="T1375" i="24" s="1"/>
  <c r="K1413" i="24"/>
  <c r="T1413" i="24" s="1"/>
  <c r="K1429" i="24"/>
  <c r="T1429" i="24" s="1"/>
  <c r="K1483" i="24"/>
  <c r="T1483" i="24" s="1"/>
  <c r="K1369" i="24"/>
  <c r="T1369" i="24" s="1"/>
  <c r="K1405" i="24"/>
  <c r="T1405" i="24" s="1"/>
  <c r="K1571" i="24"/>
  <c r="T1571" i="24" s="1"/>
  <c r="K1630" i="24"/>
  <c r="T1630" i="24" s="1"/>
  <c r="K1547" i="24"/>
  <c r="T1547" i="24" s="1"/>
  <c r="K1577" i="24"/>
  <c r="T1577" i="24" s="1"/>
  <c r="K1495" i="24"/>
  <c r="T1495" i="24" s="1"/>
  <c r="K1527" i="24"/>
  <c r="T1527" i="24" s="1"/>
  <c r="K1731" i="24"/>
  <c r="T1731" i="24" s="1"/>
  <c r="K1529" i="24"/>
  <c r="T1529" i="24" s="1"/>
  <c r="K1723" i="24"/>
  <c r="T1723" i="24" s="1"/>
  <c r="K1607" i="24"/>
  <c r="T1607" i="24" s="1"/>
  <c r="K1639" i="24"/>
  <c r="T1639" i="24" s="1"/>
  <c r="K1814" i="24"/>
  <c r="T1814" i="24" s="1"/>
  <c r="K1613" i="24"/>
  <c r="T1613" i="24" s="1"/>
  <c r="K1831" i="24"/>
  <c r="T1831" i="24" s="1"/>
  <c r="K1611" i="24"/>
  <c r="T1611" i="24" s="1"/>
  <c r="K1788" i="24"/>
  <c r="T1788" i="24" s="1"/>
  <c r="K1633" i="24"/>
  <c r="T1633" i="24" s="1"/>
  <c r="K1808" i="24"/>
  <c r="T1808" i="24" s="1"/>
  <c r="K1933" i="24"/>
  <c r="T1933" i="24" s="1"/>
  <c r="K1740" i="24"/>
  <c r="T1740" i="24" s="1"/>
  <c r="K1811" i="24"/>
  <c r="T1811" i="24" s="1"/>
  <c r="K1921" i="24"/>
  <c r="T1921" i="24" s="1"/>
  <c r="K2029" i="24"/>
  <c r="T2029" i="24" s="1"/>
  <c r="K2065" i="24"/>
  <c r="T2065" i="24" s="1"/>
  <c r="K2097" i="24"/>
  <c r="T2097" i="24" s="1"/>
  <c r="K2153" i="24"/>
  <c r="T2153" i="24" s="1"/>
  <c r="K2186" i="24"/>
  <c r="T2186" i="24" s="1"/>
  <c r="K2366" i="24"/>
  <c r="T2366" i="24" s="1"/>
  <c r="K2426" i="24"/>
  <c r="T2426" i="24" s="1"/>
  <c r="K2564" i="24"/>
  <c r="T2564" i="24" s="1"/>
  <c r="K2468" i="24"/>
  <c r="T2468" i="24" s="1"/>
  <c r="K1568" i="24"/>
  <c r="T1568" i="24" s="1"/>
  <c r="K1341" i="24"/>
  <c r="T1341" i="24" s="1"/>
  <c r="K1342" i="24"/>
  <c r="T1342" i="24" s="1"/>
  <c r="K1241" i="24"/>
  <c r="T1241" i="24" s="1"/>
  <c r="K1026" i="24"/>
  <c r="T1026" i="24" s="1"/>
  <c r="K1233" i="24"/>
  <c r="T1233" i="24" s="1"/>
  <c r="K1080" i="24"/>
  <c r="T1080" i="24" s="1"/>
  <c r="K672" i="24"/>
  <c r="K618" i="24"/>
  <c r="K674" i="24"/>
  <c r="T674" i="24" s="1"/>
  <c r="K540" i="24"/>
  <c r="K480" i="24"/>
  <c r="K367" i="24"/>
  <c r="K414" i="24"/>
  <c r="K554" i="24"/>
  <c r="K399" i="24"/>
  <c r="K285" i="24"/>
  <c r="K493" i="24"/>
  <c r="T493" i="24" s="1"/>
  <c r="K632" i="24"/>
  <c r="T632" i="24" s="1"/>
  <c r="K584" i="24"/>
  <c r="T584" i="24" s="1"/>
  <c r="K602" i="24"/>
  <c r="T602" i="24" s="1"/>
  <c r="K722" i="24"/>
  <c r="T722" i="24" s="1"/>
  <c r="K537" i="24"/>
  <c r="T537" i="24" s="1"/>
  <c r="K657" i="24"/>
  <c r="J667" i="24"/>
  <c r="K667" i="24" s="1"/>
  <c r="K734" i="24"/>
  <c r="T734" i="24" s="1"/>
  <c r="K742" i="24"/>
  <c r="K858" i="24"/>
  <c r="T858" i="24" s="1"/>
  <c r="K884" i="24"/>
  <c r="T884" i="24" s="1"/>
  <c r="K857" i="24"/>
  <c r="T857" i="24" s="1"/>
  <c r="K862" i="24"/>
  <c r="T862" i="24" s="1"/>
  <c r="K979" i="24"/>
  <c r="T979" i="24" s="1"/>
  <c r="K903" i="24"/>
  <c r="T903" i="24" s="1"/>
  <c r="K935" i="24"/>
  <c r="T935" i="24" s="1"/>
  <c r="K967" i="24"/>
  <c r="T967" i="24" s="1"/>
  <c r="K890" i="24"/>
  <c r="T890" i="24" s="1"/>
  <c r="K999" i="24"/>
  <c r="T999" i="24" s="1"/>
  <c r="K1083" i="24"/>
  <c r="T1083" i="24" s="1"/>
  <c r="K939" i="24"/>
  <c r="T939" i="24" s="1"/>
  <c r="K971" i="24"/>
  <c r="T971" i="24" s="1"/>
  <c r="K1057" i="24"/>
  <c r="T1057" i="24" s="1"/>
  <c r="K921" i="24"/>
  <c r="T921" i="24" s="1"/>
  <c r="K953" i="24"/>
  <c r="T953" i="24" s="1"/>
  <c r="K1009" i="24"/>
  <c r="T1009" i="24" s="1"/>
  <c r="K1031" i="24"/>
  <c r="T1031" i="24" s="1"/>
  <c r="K1188" i="24"/>
  <c r="T1188" i="24" s="1"/>
  <c r="K1321" i="24"/>
  <c r="T1321" i="24" s="1"/>
  <c r="K1132" i="24"/>
  <c r="T1132" i="24" s="1"/>
  <c r="K1100" i="24"/>
  <c r="T1100" i="24" s="1"/>
  <c r="K1196" i="24"/>
  <c r="T1196" i="24" s="1"/>
  <c r="K1235" i="24"/>
  <c r="T1235" i="24" s="1"/>
  <c r="K1497" i="24"/>
  <c r="T1497" i="24" s="1"/>
  <c r="K1264" i="24"/>
  <c r="T1264" i="24" s="1"/>
  <c r="K1258" i="24"/>
  <c r="T1258" i="24" s="1"/>
  <c r="K1236" i="24"/>
  <c r="T1236" i="24" s="1"/>
  <c r="K1268" i="24"/>
  <c r="T1268" i="24" s="1"/>
  <c r="K1280" i="24"/>
  <c r="T1280" i="24" s="1"/>
  <c r="K1465" i="24"/>
  <c r="T1465" i="24" s="1"/>
  <c r="K1379" i="24"/>
  <c r="T1379" i="24" s="1"/>
  <c r="K1409" i="24"/>
  <c r="T1409" i="24" s="1"/>
  <c r="K1415" i="24"/>
  <c r="T1415" i="24" s="1"/>
  <c r="K1431" i="24"/>
  <c r="T1431" i="24" s="1"/>
  <c r="K1443" i="24"/>
  <c r="T1443" i="24" s="1"/>
  <c r="K1455" i="24"/>
  <c r="T1455" i="24" s="1"/>
  <c r="K1487" i="24"/>
  <c r="T1487" i="24" s="1"/>
  <c r="K1373" i="24"/>
  <c r="T1373" i="24" s="1"/>
  <c r="K1579" i="24"/>
  <c r="T1579" i="24" s="1"/>
  <c r="K1549" i="24"/>
  <c r="T1549" i="24" s="1"/>
  <c r="K1656" i="24"/>
  <c r="T1656" i="24" s="1"/>
  <c r="K1499" i="24"/>
  <c r="T1499" i="24" s="1"/>
  <c r="K1535" i="24"/>
  <c r="T1535" i="24" s="1"/>
  <c r="K1624" i="24"/>
  <c r="T1624" i="24" s="1"/>
  <c r="K1537" i="24"/>
  <c r="T1537" i="24" s="1"/>
  <c r="K1790" i="24"/>
  <c r="T1790" i="24" s="1"/>
  <c r="K2049" i="24"/>
  <c r="T2049" i="24" s="1"/>
  <c r="K1621" i="24"/>
  <c r="T1621" i="24" s="1"/>
  <c r="K1749" i="24"/>
  <c r="T1749" i="24" s="1"/>
  <c r="K1619" i="24"/>
  <c r="T1619" i="24" s="1"/>
  <c r="K1641" i="24"/>
  <c r="T1641" i="24" s="1"/>
  <c r="K1798" i="24"/>
  <c r="T1798" i="24" s="1"/>
  <c r="K1846" i="24"/>
  <c r="T1846" i="24" s="1"/>
  <c r="K2017" i="24"/>
  <c r="T2017" i="24" s="1"/>
  <c r="K1925" i="24"/>
  <c r="T1925" i="24" s="1"/>
  <c r="K2061" i="24"/>
  <c r="T2061" i="24" s="1"/>
  <c r="K2037" i="24"/>
  <c r="T2037" i="24" s="1"/>
  <c r="K2118" i="24"/>
  <c r="T2118" i="24" s="1"/>
  <c r="K2318" i="24"/>
  <c r="T2318" i="24" s="1"/>
  <c r="K1546" i="24"/>
  <c r="T1546" i="24" s="1"/>
  <c r="K1434" i="24"/>
  <c r="T1434" i="24" s="1"/>
  <c r="K1310" i="24"/>
  <c r="T1310" i="24" s="1"/>
  <c r="K1125" i="24"/>
  <c r="T1125" i="24" s="1"/>
  <c r="K1010" i="24"/>
  <c r="T1010" i="24" s="1"/>
  <c r="K1139" i="24"/>
  <c r="T1139" i="24" s="1"/>
  <c r="K1117" i="24"/>
  <c r="T1117" i="24" s="1"/>
  <c r="K635" i="24"/>
  <c r="T635" i="24" s="1"/>
  <c r="K553" i="24"/>
  <c r="K478" i="24"/>
  <c r="K409" i="24"/>
  <c r="K473" i="24"/>
  <c r="K339" i="24"/>
  <c r="K397" i="24"/>
  <c r="K501" i="24"/>
  <c r="T501" i="24" s="1"/>
  <c r="K391" i="24"/>
  <c r="K262" i="24"/>
  <c r="K387" i="24"/>
  <c r="K481" i="24"/>
  <c r="K641" i="24"/>
  <c r="T641" i="24" s="1"/>
  <c r="K699" i="24"/>
  <c r="K724" i="24"/>
  <c r="T724" i="24" s="1"/>
  <c r="K546" i="24"/>
  <c r="T546" i="24" s="1"/>
  <c r="J634" i="24"/>
  <c r="K634" i="24" s="1"/>
  <c r="K721" i="24"/>
  <c r="T721" i="24" s="1"/>
  <c r="K805" i="24"/>
  <c r="T805" i="24" s="1"/>
  <c r="K1027" i="24"/>
  <c r="T1027" i="24" s="1"/>
  <c r="K885" i="24"/>
  <c r="T885" i="24" s="1"/>
  <c r="K882" i="24"/>
  <c r="T882" i="24" s="1"/>
  <c r="K863" i="24"/>
  <c r="T863" i="24" s="1"/>
  <c r="K956" i="24"/>
  <c r="T956" i="24" s="1"/>
  <c r="K1001" i="24"/>
  <c r="T1001" i="24" s="1"/>
  <c r="K916" i="24"/>
  <c r="T916" i="24" s="1"/>
  <c r="K948" i="24"/>
  <c r="T948" i="24" s="1"/>
  <c r="K910" i="24"/>
  <c r="T910" i="24" s="1"/>
  <c r="K942" i="24"/>
  <c r="T942" i="24" s="1"/>
  <c r="K1170" i="24"/>
  <c r="T1170" i="24" s="1"/>
  <c r="K891" i="24"/>
  <c r="T891" i="24" s="1"/>
  <c r="K1047" i="24"/>
  <c r="T1047" i="24" s="1"/>
  <c r="K1003" i="24"/>
  <c r="T1003" i="24" s="1"/>
  <c r="K914" i="24"/>
  <c r="T914" i="24" s="1"/>
  <c r="K946" i="24"/>
  <c r="T946" i="24" s="1"/>
  <c r="K1088" i="24"/>
  <c r="T1088" i="24" s="1"/>
  <c r="K896" i="24"/>
  <c r="T896" i="24" s="1"/>
  <c r="K928" i="24"/>
  <c r="T928" i="24" s="1"/>
  <c r="K960" i="24"/>
  <c r="T960" i="24" s="1"/>
  <c r="K991" i="24"/>
  <c r="T991" i="24" s="1"/>
  <c r="K1090" i="24"/>
  <c r="T1090" i="24" s="1"/>
  <c r="K1108" i="24"/>
  <c r="T1108" i="24" s="1"/>
  <c r="K1224" i="24"/>
  <c r="T1224" i="24" s="1"/>
  <c r="K1214" i="24"/>
  <c r="T1214" i="24" s="1"/>
  <c r="K1122" i="24"/>
  <c r="T1122" i="24" s="1"/>
  <c r="K1172" i="24"/>
  <c r="T1172" i="24" s="1"/>
  <c r="K1112" i="24"/>
  <c r="T1112" i="24" s="1"/>
  <c r="K1102" i="24"/>
  <c r="T1102" i="24" s="1"/>
  <c r="K1180" i="24"/>
  <c r="T1180" i="24" s="1"/>
  <c r="K1294" i="24"/>
  <c r="T1294" i="24" s="1"/>
  <c r="K1230" i="24"/>
  <c r="T1230" i="24" s="1"/>
  <c r="K1272" i="24"/>
  <c r="T1272" i="24" s="1"/>
  <c r="K1292" i="24"/>
  <c r="T1292" i="24" s="1"/>
  <c r="K1298" i="24"/>
  <c r="T1298" i="24" s="1"/>
  <c r="K1240" i="24"/>
  <c r="T1240" i="24" s="1"/>
  <c r="K1399" i="24"/>
  <c r="T1399" i="24" s="1"/>
  <c r="K1469" i="24"/>
  <c r="T1469" i="24" s="1"/>
  <c r="K1383" i="24"/>
  <c r="T1383" i="24" s="1"/>
  <c r="K1437" i="24"/>
  <c r="T1437" i="24" s="1"/>
  <c r="K1417" i="24"/>
  <c r="T1417" i="24" s="1"/>
  <c r="K1433" i="24"/>
  <c r="T1433" i="24" s="1"/>
  <c r="K1459" i="24"/>
  <c r="T1459" i="24" s="1"/>
  <c r="K1377" i="24"/>
  <c r="T1377" i="24" s="1"/>
  <c r="K1441" i="24"/>
  <c r="T1441" i="24" s="1"/>
  <c r="K1587" i="24"/>
  <c r="T1587" i="24" s="1"/>
  <c r="K1551" i="24"/>
  <c r="T1551" i="24" s="1"/>
  <c r="K1648" i="24"/>
  <c r="T1648" i="24" s="1"/>
  <c r="K1704" i="24"/>
  <c r="T1704" i="24" s="1"/>
  <c r="K1503" i="24"/>
  <c r="T1503" i="24" s="1"/>
  <c r="K1567" i="24"/>
  <c r="T1567" i="24" s="1"/>
  <c r="K1632" i="24"/>
  <c r="T1632" i="24" s="1"/>
  <c r="K1565" i="24"/>
  <c r="T1565" i="24" s="1"/>
  <c r="K1615" i="24"/>
  <c r="T1615" i="24" s="1"/>
  <c r="K1647" i="24"/>
  <c r="T1647" i="24" s="1"/>
  <c r="K1692" i="24"/>
  <c r="T1692" i="24" s="1"/>
  <c r="K1629" i="24"/>
  <c r="T1629" i="24" s="1"/>
  <c r="K1837" i="24"/>
  <c r="T1837" i="24" s="1"/>
  <c r="K1627" i="24"/>
  <c r="T1627" i="24" s="1"/>
  <c r="K1649" i="24"/>
  <c r="T1649" i="24" s="1"/>
  <c r="K1799" i="24"/>
  <c r="T1799" i="24" s="1"/>
  <c r="K1876" i="24"/>
  <c r="T1876" i="24" s="1"/>
  <c r="K1830" i="24"/>
  <c r="T1830" i="24" s="1"/>
  <c r="K1969" i="24"/>
  <c r="T1969" i="24" s="1"/>
  <c r="K1805" i="24"/>
  <c r="T1805" i="24" s="1"/>
  <c r="K1872" i="24"/>
  <c r="T1872" i="24" s="1"/>
  <c r="K1961" i="24"/>
  <c r="T1961" i="24" s="1"/>
  <c r="K2069" i="24"/>
  <c r="T2069" i="24" s="1"/>
  <c r="K1977" i="24"/>
  <c r="T1977" i="24" s="1"/>
  <c r="K1945" i="24"/>
  <c r="T1945" i="24" s="1"/>
  <c r="K2105" i="24"/>
  <c r="T2105" i="24" s="1"/>
  <c r="K2216" i="24"/>
  <c r="T2216" i="24" s="1"/>
  <c r="K2204" i="24"/>
  <c r="T2204" i="24" s="1"/>
  <c r="K2336" i="24"/>
  <c r="T2336" i="24" s="1"/>
  <c r="K2462" i="24"/>
  <c r="T2462" i="24" s="1"/>
  <c r="K2474" i="24"/>
  <c r="T2474" i="24" s="1"/>
  <c r="K1514" i="24"/>
  <c r="T1514" i="24" s="1"/>
  <c r="K1418" i="24"/>
  <c r="T1418" i="24" s="1"/>
  <c r="K1217" i="24"/>
  <c r="T1217" i="24" s="1"/>
  <c r="K1053" i="24"/>
  <c r="T1053" i="24" s="1"/>
  <c r="K1245" i="24"/>
  <c r="T1245" i="24" s="1"/>
  <c r="K1070" i="24"/>
  <c r="T1070" i="24" s="1"/>
  <c r="K678" i="24"/>
  <c r="K705" i="24"/>
  <c r="K595" i="24"/>
  <c r="K476" i="24"/>
  <c r="K392" i="24"/>
  <c r="K454" i="24"/>
  <c r="K303" i="24"/>
  <c r="K378" i="24"/>
  <c r="K475" i="24"/>
  <c r="K380" i="24"/>
  <c r="K256" i="24"/>
  <c r="K291" i="24"/>
  <c r="K586" i="24"/>
  <c r="T586" i="24" s="1"/>
  <c r="K728" i="24"/>
  <c r="T728" i="24" s="1"/>
  <c r="K791" i="24"/>
  <c r="T791" i="24" s="1"/>
  <c r="K658" i="24"/>
  <c r="K740" i="24"/>
  <c r="T740" i="24" s="1"/>
  <c r="K843" i="24"/>
  <c r="T843" i="24" s="1"/>
  <c r="K637" i="24"/>
  <c r="T637" i="24" s="1"/>
  <c r="K664" i="24"/>
  <c r="K792" i="24"/>
  <c r="T792" i="24" s="1"/>
  <c r="J709" i="24"/>
  <c r="K709" i="24" s="1"/>
  <c r="K850" i="24"/>
  <c r="T850" i="24" s="1"/>
  <c r="K886" i="24"/>
  <c r="T886" i="24" s="1"/>
  <c r="K1065" i="24"/>
  <c r="T1065" i="24" s="1"/>
  <c r="K964" i="24"/>
  <c r="T964" i="24" s="1"/>
  <c r="K883" i="24"/>
  <c r="T883" i="24" s="1"/>
  <c r="K957" i="24"/>
  <c r="T957" i="24" s="1"/>
  <c r="K795" i="24"/>
  <c r="T795" i="24" s="1"/>
  <c r="K800" i="24"/>
  <c r="T800" i="24" s="1"/>
  <c r="K917" i="24"/>
  <c r="T917" i="24" s="1"/>
  <c r="K949" i="24"/>
  <c r="T949" i="24" s="1"/>
  <c r="K844" i="24"/>
  <c r="T844" i="24" s="1"/>
  <c r="K876" i="24"/>
  <c r="T876" i="24" s="1"/>
  <c r="K911" i="24"/>
  <c r="T911" i="24" s="1"/>
  <c r="K943" i="24"/>
  <c r="T943" i="24" s="1"/>
  <c r="K1025" i="24"/>
  <c r="T1025" i="24" s="1"/>
  <c r="K1041" i="24"/>
  <c r="T1041" i="24" s="1"/>
  <c r="K915" i="24"/>
  <c r="T915" i="24" s="1"/>
  <c r="K947" i="24"/>
  <c r="T947" i="24" s="1"/>
  <c r="K1017" i="24"/>
  <c r="T1017" i="24" s="1"/>
  <c r="K1039" i="24"/>
  <c r="T1039" i="24" s="1"/>
  <c r="K1091" i="24"/>
  <c r="T1091" i="24" s="1"/>
  <c r="K864" i="24"/>
  <c r="T864" i="24" s="1"/>
  <c r="K897" i="24"/>
  <c r="T897" i="24" s="1"/>
  <c r="K929" i="24"/>
  <c r="T929" i="24" s="1"/>
  <c r="K961" i="24"/>
  <c r="T961" i="24" s="1"/>
  <c r="K1087" i="24"/>
  <c r="T1087" i="24" s="1"/>
  <c r="K985" i="24"/>
  <c r="T985" i="24" s="1"/>
  <c r="K1035" i="24"/>
  <c r="T1035" i="24" s="1"/>
  <c r="K1208" i="24"/>
  <c r="T1208" i="24" s="1"/>
  <c r="K1231" i="24"/>
  <c r="T1231" i="24" s="1"/>
  <c r="K1150" i="24"/>
  <c r="T1150" i="24" s="1"/>
  <c r="K1166" i="24"/>
  <c r="T1166" i="24" s="1"/>
  <c r="K1182" i="24"/>
  <c r="T1182" i="24" s="1"/>
  <c r="K1198" i="24"/>
  <c r="T1198" i="24" s="1"/>
  <c r="K1106" i="24"/>
  <c r="T1106" i="24" s="1"/>
  <c r="K1156" i="24"/>
  <c r="T1156" i="24" s="1"/>
  <c r="K1138" i="24"/>
  <c r="T1138" i="24" s="1"/>
  <c r="K1254" i="24"/>
  <c r="T1254" i="24" s="1"/>
  <c r="K1098" i="24"/>
  <c r="T1098" i="24" s="1"/>
  <c r="K1142" i="24"/>
  <c r="T1142" i="24" s="1"/>
  <c r="K1158" i="24"/>
  <c r="T1158" i="24" s="1"/>
  <c r="K1174" i="24"/>
  <c r="T1174" i="24" s="1"/>
  <c r="K1190" i="24"/>
  <c r="T1190" i="24" s="1"/>
  <c r="K1206" i="24"/>
  <c r="T1206" i="24" s="1"/>
  <c r="K1222" i="24"/>
  <c r="T1222" i="24" s="1"/>
  <c r="K1110" i="24"/>
  <c r="T1110" i="24" s="1"/>
  <c r="K1164" i="24"/>
  <c r="T1164" i="24" s="1"/>
  <c r="K1234" i="24"/>
  <c r="T1234" i="24" s="1"/>
  <c r="K1274" i="24"/>
  <c r="T1274" i="24" s="1"/>
  <c r="K1266" i="24"/>
  <c r="T1266" i="24" s="1"/>
  <c r="K1244" i="24"/>
  <c r="T1244" i="24" s="1"/>
  <c r="K1288" i="24"/>
  <c r="T1288" i="24" s="1"/>
  <c r="K1407" i="24"/>
  <c r="T1407" i="24" s="1"/>
  <c r="K1473" i="24"/>
  <c r="T1473" i="24" s="1"/>
  <c r="K1355" i="24"/>
  <c r="T1355" i="24" s="1"/>
  <c r="K1387" i="24"/>
  <c r="T1387" i="24" s="1"/>
  <c r="K1445" i="24"/>
  <c r="T1445" i="24" s="1"/>
  <c r="K1419" i="24"/>
  <c r="T1419" i="24" s="1"/>
  <c r="K1435" i="24"/>
  <c r="T1435" i="24" s="1"/>
  <c r="K1500" i="24"/>
  <c r="T1500" i="24" s="1"/>
  <c r="K1705" i="24"/>
  <c r="T1705" i="24" s="1"/>
  <c r="K1451" i="24"/>
  <c r="T1451" i="24" s="1"/>
  <c r="K1463" i="24"/>
  <c r="T1463" i="24" s="1"/>
  <c r="K1381" i="24"/>
  <c r="T1381" i="24" s="1"/>
  <c r="K1531" i="24"/>
  <c r="T1531" i="24" s="1"/>
  <c r="K1595" i="24"/>
  <c r="T1595" i="24" s="1"/>
  <c r="K1553" i="24"/>
  <c r="T1553" i="24" s="1"/>
  <c r="K1585" i="24"/>
  <c r="T1585" i="24" s="1"/>
  <c r="K1507" i="24"/>
  <c r="T1507" i="24" s="1"/>
  <c r="K1706" i="24"/>
  <c r="T1706" i="24" s="1"/>
  <c r="K1575" i="24"/>
  <c r="T1575" i="24" s="1"/>
  <c r="K1598" i="24"/>
  <c r="T1598" i="24" s="1"/>
  <c r="K1573" i="24"/>
  <c r="T1573" i="24" s="1"/>
  <c r="K1696" i="24"/>
  <c r="T1696" i="24" s="1"/>
  <c r="K1637" i="24"/>
  <c r="T1637" i="24" s="1"/>
  <c r="K1900" i="24"/>
  <c r="T1900" i="24" s="1"/>
  <c r="K1635" i="24"/>
  <c r="T1635" i="24" s="1"/>
  <c r="K1743" i="24"/>
  <c r="T1743" i="24" s="1"/>
  <c r="K1791" i="24"/>
  <c r="T1791" i="24" s="1"/>
  <c r="K1884" i="24"/>
  <c r="T1884" i="24" s="1"/>
  <c r="K1793" i="24"/>
  <c r="T1793" i="24" s="1"/>
  <c r="K1949" i="24"/>
  <c r="T1949" i="24" s="1"/>
  <c r="K1981" i="24"/>
  <c r="T1981" i="24" s="1"/>
  <c r="K2123" i="24"/>
  <c r="T2123" i="24" s="1"/>
  <c r="K2085" i="24"/>
  <c r="T2085" i="24" s="1"/>
  <c r="K2138" i="24"/>
  <c r="T2138" i="24" s="1"/>
  <c r="K2073" i="24"/>
  <c r="T2073" i="24" s="1"/>
  <c r="K2246" i="24"/>
  <c r="T2246" i="24" s="1"/>
  <c r="K2041" i="24"/>
  <c r="T2041" i="24" s="1"/>
  <c r="K2174" i="24"/>
  <c r="T2174" i="24" s="1"/>
  <c r="K2432" i="24"/>
  <c r="T2432" i="24" s="1"/>
  <c r="K2342" i="24"/>
  <c r="T2342" i="24" s="1"/>
  <c r="K2414" i="24"/>
  <c r="T2414" i="24" s="1"/>
  <c r="K2408" i="24"/>
  <c r="T2408" i="24" s="1"/>
  <c r="K2456" i="24"/>
  <c r="T2456" i="24" s="1"/>
  <c r="K2546" i="24"/>
  <c r="T2546" i="24" s="1"/>
  <c r="K2534" i="24"/>
  <c r="T2534" i="24" s="1"/>
  <c r="K1578" i="24"/>
  <c r="T1578" i="24" s="1"/>
  <c r="K1330" i="24"/>
  <c r="T1330" i="24" s="1"/>
  <c r="K1201" i="24"/>
  <c r="T1201" i="24" s="1"/>
  <c r="K1037" i="24"/>
  <c r="T1037" i="24" s="1"/>
  <c r="K1137" i="24"/>
  <c r="T1137" i="24" s="1"/>
  <c r="K1054" i="24"/>
  <c r="T1054" i="24" s="1"/>
  <c r="K647" i="24"/>
  <c r="K625" i="24"/>
  <c r="T625" i="24" s="1"/>
  <c r="K533" i="24"/>
  <c r="K415" i="24"/>
  <c r="K384" i="24"/>
  <c r="K420" i="24"/>
  <c r="K732" i="24"/>
  <c r="T732" i="24" s="1"/>
  <c r="K369" i="24"/>
  <c r="K456" i="24"/>
  <c r="K372" i="24"/>
  <c r="K126" i="24"/>
  <c r="J352" i="24"/>
  <c r="K352" i="24" s="1"/>
  <c r="K393" i="24"/>
  <c r="K498" i="24"/>
  <c r="T498" i="24" s="1"/>
  <c r="K680" i="24"/>
  <c r="T680" i="24" s="1"/>
  <c r="K668" i="24"/>
  <c r="T668" i="24" s="1"/>
  <c r="K710" i="24"/>
  <c r="T710" i="24" s="1"/>
  <c r="K796" i="24"/>
  <c r="T796" i="24" s="1"/>
  <c r="K870" i="24"/>
  <c r="T870" i="24" s="1"/>
  <c r="K639" i="24"/>
  <c r="T639" i="24" s="1"/>
  <c r="K727" i="24"/>
  <c r="T727" i="24" s="1"/>
  <c r="K670" i="24"/>
  <c r="K851" i="24"/>
  <c r="T851" i="24" s="1"/>
  <c r="K887" i="24"/>
  <c r="T887" i="24" s="1"/>
  <c r="K841" i="24"/>
  <c r="T841" i="24" s="1"/>
  <c r="K965" i="24"/>
  <c r="T965" i="24" s="1"/>
  <c r="K906" i="24"/>
  <c r="T906" i="24" s="1"/>
  <c r="K872" i="24"/>
  <c r="T872" i="24" s="1"/>
  <c r="K924" i="24"/>
  <c r="T924" i="24" s="1"/>
  <c r="K878" i="24"/>
  <c r="T878" i="24" s="1"/>
  <c r="K854" i="24"/>
  <c r="T854" i="24" s="1"/>
  <c r="K845" i="24"/>
  <c r="T845" i="24" s="1"/>
  <c r="K877" i="24"/>
  <c r="T877" i="24" s="1"/>
  <c r="K918" i="24"/>
  <c r="T918" i="24" s="1"/>
  <c r="K950" i="24"/>
  <c r="T950" i="24" s="1"/>
  <c r="K983" i="24"/>
  <c r="T983" i="24" s="1"/>
  <c r="K1007" i="24"/>
  <c r="T1007" i="24" s="1"/>
  <c r="K1051" i="24"/>
  <c r="T1051" i="24" s="1"/>
  <c r="K1063" i="24"/>
  <c r="T1063" i="24" s="1"/>
  <c r="K922" i="24"/>
  <c r="T922" i="24" s="1"/>
  <c r="K954" i="24"/>
  <c r="T954" i="24" s="1"/>
  <c r="K1043" i="24"/>
  <c r="T1043" i="24" s="1"/>
  <c r="K1085" i="24"/>
  <c r="T1085" i="24" s="1"/>
  <c r="K799" i="24"/>
  <c r="T799" i="24" s="1"/>
  <c r="K865" i="24"/>
  <c r="T865" i="24" s="1"/>
  <c r="K904" i="24"/>
  <c r="T904" i="24" s="1"/>
  <c r="K936" i="24"/>
  <c r="T936" i="24" s="1"/>
  <c r="K968" i="24"/>
  <c r="T968" i="24" s="1"/>
  <c r="K995" i="24"/>
  <c r="T995" i="24" s="1"/>
  <c r="K1154" i="24"/>
  <c r="T1154" i="24" s="1"/>
  <c r="K1192" i="24"/>
  <c r="T1192" i="24" s="1"/>
  <c r="K1128" i="24"/>
  <c r="T1128" i="24" s="1"/>
  <c r="K1337" i="24"/>
  <c r="T1337" i="24" s="1"/>
  <c r="K1262" i="24"/>
  <c r="T1262" i="24" s="1"/>
  <c r="K1126" i="24"/>
  <c r="T1126" i="24" s="1"/>
  <c r="K1136" i="24"/>
  <c r="T1136" i="24" s="1"/>
  <c r="K1148" i="24"/>
  <c r="T1148" i="24" s="1"/>
  <c r="K1278" i="24"/>
  <c r="T1278" i="24" s="1"/>
  <c r="K1238" i="24"/>
  <c r="T1238" i="24" s="1"/>
  <c r="K1276" i="24"/>
  <c r="T1276" i="24" s="1"/>
  <c r="K1282" i="24"/>
  <c r="T1282" i="24" s="1"/>
  <c r="K1248" i="24"/>
  <c r="T1248" i="24" s="1"/>
  <c r="K1504" i="24"/>
  <c r="T1504" i="24" s="1"/>
  <c r="K1439" i="24"/>
  <c r="T1439" i="24" s="1"/>
  <c r="K1477" i="24"/>
  <c r="T1477" i="24" s="1"/>
  <c r="K1521" i="24"/>
  <c r="T1521" i="24" s="1"/>
  <c r="K1359" i="24"/>
  <c r="T1359" i="24" s="1"/>
  <c r="K1391" i="24"/>
  <c r="T1391" i="24" s="1"/>
  <c r="K1421" i="24"/>
  <c r="T1421" i="24" s="1"/>
  <c r="K1501" i="24"/>
  <c r="T1501" i="24" s="1"/>
  <c r="K1467" i="24"/>
  <c r="T1467" i="24" s="1"/>
  <c r="K1353" i="24"/>
  <c r="T1353" i="24" s="1"/>
  <c r="K1385" i="24"/>
  <c r="T1385" i="24" s="1"/>
  <c r="K1449" i="24"/>
  <c r="T1449" i="24" s="1"/>
  <c r="K1539" i="24"/>
  <c r="T1539" i="24" s="1"/>
  <c r="K1555" i="24"/>
  <c r="T1555" i="24" s="1"/>
  <c r="K1622" i="24"/>
  <c r="T1622" i="24" s="1"/>
  <c r="K1511" i="24"/>
  <c r="T1511" i="24" s="1"/>
  <c r="K1640" i="24"/>
  <c r="T1640" i="24" s="1"/>
  <c r="K1711" i="24"/>
  <c r="T1711" i="24" s="1"/>
  <c r="K1583" i="24"/>
  <c r="T1583" i="24" s="1"/>
  <c r="K1581" i="24"/>
  <c r="T1581" i="24" s="1"/>
  <c r="K1646" i="24"/>
  <c r="T1646" i="24" s="1"/>
  <c r="K1699" i="24"/>
  <c r="T1699" i="24" s="1"/>
  <c r="K1623" i="24"/>
  <c r="T1623" i="24" s="1"/>
  <c r="K1655" i="24"/>
  <c r="T1655" i="24" s="1"/>
  <c r="K1645" i="24"/>
  <c r="T1645" i="24" s="1"/>
  <c r="K1789" i="24"/>
  <c r="T1789" i="24" s="1"/>
  <c r="K1643" i="24"/>
  <c r="T1643" i="24" s="1"/>
  <c r="K1824" i="24"/>
  <c r="T1824" i="24" s="1"/>
  <c r="K1601" i="24"/>
  <c r="T1601" i="24" s="1"/>
  <c r="K1744" i="24"/>
  <c r="T1744" i="24" s="1"/>
  <c r="K1833" i="24"/>
  <c r="T1833" i="24" s="1"/>
  <c r="K1742" i="24"/>
  <c r="T1742" i="24" s="1"/>
  <c r="K1829" i="24"/>
  <c r="T1829" i="24" s="1"/>
  <c r="K1856" i="24"/>
  <c r="T1856" i="24" s="1"/>
  <c r="K2057" i="24"/>
  <c r="T2057" i="24" s="1"/>
  <c r="K1892" i="24"/>
  <c r="T1892" i="24" s="1"/>
  <c r="K1746" i="24"/>
  <c r="T1746" i="24" s="1"/>
  <c r="K2045" i="24"/>
  <c r="T2045" i="24" s="1"/>
  <c r="K2148" i="24"/>
  <c r="T2148" i="24" s="1"/>
  <c r="K2009" i="24"/>
  <c r="T2009" i="24" s="1"/>
  <c r="K2168" i="24"/>
  <c r="T2168" i="24" s="1"/>
  <c r="K1997" i="24"/>
  <c r="T1997" i="24" s="1"/>
  <c r="K1965" i="24"/>
  <c r="T1965" i="24" s="1"/>
  <c r="K2270" i="24"/>
  <c r="T2270" i="24" s="1"/>
  <c r="K2348" i="24"/>
  <c r="T2348" i="24" s="1"/>
  <c r="K2540" i="24"/>
  <c r="T2540" i="24" s="1"/>
  <c r="K2528" i="24"/>
  <c r="T2528" i="24" s="1"/>
  <c r="K2672" i="24"/>
  <c r="K2498" i="24"/>
  <c r="T2498" i="24" s="1"/>
  <c r="K2384" i="24"/>
  <c r="T2384" i="24" s="1"/>
  <c r="K2558" i="24"/>
  <c r="T2558" i="24" s="1"/>
  <c r="K2674" i="24"/>
  <c r="K2438" i="24"/>
  <c r="T2438" i="24" s="1"/>
  <c r="K2492" i="24"/>
  <c r="T2492" i="24" s="1"/>
  <c r="K2606" i="24"/>
  <c r="T2606" i="24" s="1"/>
  <c r="K2624" i="24"/>
  <c r="T2624" i="24" s="1"/>
  <c r="K2228" i="24"/>
  <c r="T2228" i="24" s="1"/>
  <c r="K2222" i="24"/>
  <c r="T2222" i="24" s="1"/>
  <c r="K617" i="24"/>
  <c r="T617" i="24" s="1"/>
  <c r="K2180" i="24"/>
  <c r="T2180" i="24" s="1"/>
  <c r="K1864" i="24"/>
  <c r="T1864" i="24" s="1"/>
  <c r="K329" i="24"/>
  <c r="T329" i="24" s="1"/>
  <c r="K413" i="24"/>
  <c r="T413" i="24" s="1"/>
  <c r="K2612" i="24"/>
  <c r="T2612" i="24" s="1"/>
  <c r="K798" i="24"/>
  <c r="T798" i="24" s="1"/>
  <c r="K1880" i="24"/>
  <c r="T1880" i="24" s="1"/>
  <c r="K324" i="24"/>
  <c r="K2113" i="24"/>
  <c r="T2113" i="24" s="1"/>
  <c r="K453" i="24"/>
  <c r="T453" i="24" s="1"/>
  <c r="K2582" i="24"/>
  <c r="T2582" i="24" s="1"/>
  <c r="K2600" i="24"/>
  <c r="T2600" i="24" s="1"/>
  <c r="K2552" i="24"/>
  <c r="T2552" i="24" s="1"/>
  <c r="K2306" i="24"/>
  <c r="T2306" i="24" s="1"/>
  <c r="K2504" i="24"/>
  <c r="T2504" i="24" s="1"/>
  <c r="K644" i="24"/>
  <c r="T644" i="24" s="1"/>
  <c r="K1896" i="24"/>
  <c r="T1896" i="24" s="1"/>
  <c r="K2013" i="24"/>
  <c r="T2013" i="24" s="1"/>
  <c r="K662" i="24"/>
  <c r="T662" i="24" s="1"/>
  <c r="K806" i="24"/>
  <c r="T806" i="24" s="1"/>
  <c r="K804" i="24"/>
  <c r="T804" i="24" s="1"/>
  <c r="K692" i="24"/>
  <c r="T692" i="24" s="1"/>
  <c r="K383" i="24"/>
  <c r="T383" i="24" s="1"/>
  <c r="K2378" i="24"/>
  <c r="T2378" i="24" s="1"/>
  <c r="K2252" i="24"/>
  <c r="T2252" i="24" s="1"/>
  <c r="K2360" i="24"/>
  <c r="T2360" i="24" s="1"/>
  <c r="K613" i="24"/>
  <c r="T613" i="24" s="1"/>
  <c r="K2109" i="24"/>
  <c r="T2109" i="24" s="1"/>
  <c r="K650" i="24"/>
  <c r="T650" i="24" s="1"/>
  <c r="K395" i="24"/>
  <c r="K2594" i="24"/>
  <c r="T2594" i="24" s="1"/>
  <c r="K2396" i="24"/>
  <c r="T2396" i="24" s="1"/>
  <c r="K2390" i="24"/>
  <c r="T2390" i="24" s="1"/>
  <c r="K2450" i="24"/>
  <c r="T2450" i="24" s="1"/>
  <c r="K2444" i="24"/>
  <c r="T2444" i="24" s="1"/>
  <c r="K1953" i="24"/>
  <c r="T1953" i="24" s="1"/>
  <c r="K656" i="24"/>
  <c r="T656" i="24" s="1"/>
  <c r="K2158" i="24"/>
  <c r="T2158" i="24" s="1"/>
  <c r="K2486" i="24"/>
  <c r="T2486" i="24" s="1"/>
  <c r="K2372" i="24"/>
  <c r="T2372" i="24" s="1"/>
  <c r="K2300" i="24"/>
  <c r="T2300" i="24" s="1"/>
  <c r="K2420" i="24"/>
  <c r="T2420" i="24" s="1"/>
  <c r="K2264" i="24"/>
  <c r="T2264" i="24" s="1"/>
  <c r="K443" i="24"/>
  <c r="T443" i="24" s="1"/>
  <c r="K2588" i="24"/>
  <c r="T2588" i="24" s="1"/>
  <c r="K2294" i="24"/>
  <c r="T2294" i="24" s="1"/>
  <c r="K2354" i="24"/>
  <c r="T2354" i="24" s="1"/>
  <c r="K2210" i="24"/>
  <c r="T2210" i="24" s="1"/>
  <c r="K2276" i="24"/>
  <c r="T2276" i="24" s="1"/>
  <c r="K2282" i="24"/>
  <c r="T2282" i="24" s="1"/>
  <c r="K2288" i="24"/>
  <c r="T2288" i="24" s="1"/>
  <c r="K2198" i="24"/>
  <c r="T2198" i="24" s="1"/>
  <c r="K693" i="24"/>
  <c r="K2576" i="24"/>
  <c r="T2576" i="24" s="1"/>
  <c r="K2516" i="24"/>
  <c r="T2516" i="24" s="1"/>
  <c r="K2510" i="24"/>
  <c r="T2510" i="24" s="1"/>
  <c r="K2240" i="24"/>
  <c r="T2240" i="24" s="1"/>
  <c r="K2234" i="24"/>
  <c r="T2234" i="24" s="1"/>
  <c r="K2324" i="24"/>
  <c r="T2324" i="24" s="1"/>
  <c r="K2192" i="24"/>
  <c r="T2192" i="24" s="1"/>
  <c r="K2312" i="24"/>
  <c r="T2312" i="24" s="1"/>
  <c r="K1941" i="24"/>
  <c r="T1941" i="24" s="1"/>
  <c r="K1985" i="24"/>
  <c r="T1985" i="24" s="1"/>
  <c r="K781" i="24"/>
  <c r="T781" i="24" s="1"/>
  <c r="K317" i="24"/>
  <c r="T317" i="24" s="1"/>
  <c r="K2570" i="24"/>
  <c r="T2570" i="24" s="1"/>
  <c r="K2618" i="24"/>
  <c r="T2618" i="24" s="1"/>
  <c r="G7" i="7"/>
  <c r="R11" i="14"/>
  <c r="G13" i="7"/>
  <c r="R17" i="14"/>
  <c r="V19" i="14"/>
  <c r="V16" i="14"/>
  <c r="V10" i="14"/>
  <c r="V18" i="14"/>
  <c r="V17" i="14"/>
  <c r="V13" i="14"/>
  <c r="V11" i="14"/>
  <c r="V9" i="14"/>
  <c r="V14" i="14"/>
  <c r="V15" i="14"/>
  <c r="V12" i="14"/>
  <c r="S748" i="24" l="1"/>
  <c r="U748" i="24" s="1"/>
  <c r="P748" i="24"/>
  <c r="S748" i="23"/>
  <c r="U748" i="23" s="1"/>
  <c r="P748" i="23"/>
  <c r="S748" i="21"/>
  <c r="U748" i="21" s="1"/>
  <c r="P748" i="21"/>
  <c r="S748" i="22"/>
  <c r="U748" i="22" s="1"/>
  <c r="P748" i="22"/>
  <c r="T794" i="21"/>
  <c r="N794" i="21"/>
  <c r="O794" i="21"/>
  <c r="S400" i="24"/>
  <c r="U400" i="24" s="1"/>
  <c r="P400" i="24"/>
  <c r="P236" i="24"/>
  <c r="S236" i="24"/>
  <c r="U236" i="24" s="1"/>
  <c r="T742" i="24"/>
  <c r="O742" i="24"/>
  <c r="N742" i="24"/>
  <c r="T590" i="24"/>
  <c r="N590" i="24"/>
  <c r="O590" i="24"/>
  <c r="T228" i="24"/>
  <c r="O228" i="24"/>
  <c r="N228" i="24"/>
  <c r="T235" i="24"/>
  <c r="O235" i="24"/>
  <c r="N235" i="24"/>
  <c r="T2674" i="24"/>
  <c r="O2674" i="24"/>
  <c r="N2674" i="24"/>
  <c r="T389" i="24"/>
  <c r="O389" i="24"/>
  <c r="N389" i="24"/>
  <c r="P394" i="24"/>
  <c r="S394" i="24"/>
  <c r="U394" i="24" s="1"/>
  <c r="T794" i="24"/>
  <c r="N794" i="24"/>
  <c r="O794" i="24"/>
  <c r="T395" i="24"/>
  <c r="N395" i="24"/>
  <c r="O395" i="24"/>
  <c r="T2668" i="24"/>
  <c r="O2668" i="24"/>
  <c r="N2668" i="24"/>
  <c r="T2670" i="24"/>
  <c r="O2670" i="24"/>
  <c r="N2670" i="24"/>
  <c r="T2672" i="24"/>
  <c r="O2672" i="24"/>
  <c r="N2672" i="24"/>
  <c r="T592" i="24"/>
  <c r="O592" i="24"/>
  <c r="N592" i="24"/>
  <c r="T2671" i="24"/>
  <c r="O2671" i="24"/>
  <c r="N2671" i="24"/>
  <c r="T605" i="24"/>
  <c r="O605" i="24"/>
  <c r="N605" i="24"/>
  <c r="T742" i="21"/>
  <c r="O742" i="21"/>
  <c r="N742" i="21"/>
  <c r="T590" i="21"/>
  <c r="N590" i="21"/>
  <c r="O590" i="21"/>
  <c r="T592" i="21"/>
  <c r="N592" i="21"/>
  <c r="O592" i="21"/>
  <c r="T605" i="21"/>
  <c r="O605" i="21"/>
  <c r="N605" i="21"/>
  <c r="T2668" i="21"/>
  <c r="N2668" i="21"/>
  <c r="O2668" i="21"/>
  <c r="T2675" i="21"/>
  <c r="N2675" i="21"/>
  <c r="O2675" i="21"/>
  <c r="T389" i="21"/>
  <c r="O389" i="21"/>
  <c r="N389" i="21"/>
  <c r="T395" i="21"/>
  <c r="N395" i="21"/>
  <c r="O395" i="21"/>
  <c r="P400" i="21"/>
  <c r="S400" i="21"/>
  <c r="U400" i="21" s="1"/>
  <c r="P236" i="21"/>
  <c r="S236" i="21"/>
  <c r="U236" i="21" s="1"/>
  <c r="T2671" i="21"/>
  <c r="O2671" i="21"/>
  <c r="N2671" i="21"/>
  <c r="T2672" i="21"/>
  <c r="N2672" i="21"/>
  <c r="O2672" i="21"/>
  <c r="T2673" i="21"/>
  <c r="O2673" i="21"/>
  <c r="T228" i="21"/>
  <c r="O228" i="21"/>
  <c r="N228" i="21"/>
  <c r="S394" i="21"/>
  <c r="U394" i="21" s="1"/>
  <c r="P394" i="21"/>
  <c r="T2670" i="21"/>
  <c r="N2670" i="21"/>
  <c r="O2670" i="21"/>
  <c r="T235" i="21"/>
  <c r="N235" i="21"/>
  <c r="O235" i="21"/>
  <c r="T2674" i="21"/>
  <c r="O2674" i="21"/>
  <c r="N2674" i="21"/>
  <c r="T33" i="21"/>
  <c r="N33" i="21"/>
  <c r="O33" i="21"/>
  <c r="T2670" i="23"/>
  <c r="N2670" i="23"/>
  <c r="O2670" i="23"/>
  <c r="T592" i="23"/>
  <c r="O592" i="23"/>
  <c r="N592" i="23"/>
  <c r="P394" i="23"/>
  <c r="S394" i="23"/>
  <c r="U394" i="23" s="1"/>
  <c r="T590" i="23"/>
  <c r="O590" i="23"/>
  <c r="N590" i="23"/>
  <c r="S400" i="23"/>
  <c r="U400" i="23" s="1"/>
  <c r="P400" i="23"/>
  <c r="S236" i="23"/>
  <c r="U236" i="23" s="1"/>
  <c r="P236" i="23"/>
  <c r="T395" i="23"/>
  <c r="O395" i="23"/>
  <c r="N395" i="23"/>
  <c r="T235" i="23"/>
  <c r="O235" i="23"/>
  <c r="N235" i="23"/>
  <c r="T2668" i="23"/>
  <c r="N2668" i="23"/>
  <c r="O2668" i="23"/>
  <c r="T2672" i="23"/>
  <c r="N2672" i="23"/>
  <c r="O2672" i="23"/>
  <c r="T389" i="23"/>
  <c r="O389" i="23"/>
  <c r="N389" i="23"/>
  <c r="T742" i="23"/>
  <c r="N742" i="23"/>
  <c r="O742" i="23"/>
  <c r="T2674" i="23"/>
  <c r="N2674" i="23"/>
  <c r="O2674" i="23"/>
  <c r="T794" i="23"/>
  <c r="O794" i="23"/>
  <c r="N794" i="23"/>
  <c r="T2671" i="23"/>
  <c r="O2671" i="23"/>
  <c r="N2671" i="23"/>
  <c r="T228" i="23"/>
  <c r="O228" i="23"/>
  <c r="N228" i="23"/>
  <c r="T605" i="23"/>
  <c r="O605" i="23"/>
  <c r="N605" i="23"/>
  <c r="T2675" i="22"/>
  <c r="O2675" i="22"/>
  <c r="N2675" i="22"/>
  <c r="T33" i="22"/>
  <c r="O33" i="22"/>
  <c r="N33" i="22"/>
  <c r="T605" i="22"/>
  <c r="N605" i="22"/>
  <c r="O605" i="22"/>
  <c r="T2674" i="22"/>
  <c r="O2674" i="22"/>
  <c r="N2674" i="22"/>
  <c r="T794" i="22"/>
  <c r="O794" i="22"/>
  <c r="N794" i="22"/>
  <c r="T2671" i="22"/>
  <c r="O2671" i="22"/>
  <c r="N2671" i="22"/>
  <c r="T742" i="22"/>
  <c r="O742" i="22"/>
  <c r="N742" i="22"/>
  <c r="T2670" i="22"/>
  <c r="O2670" i="22"/>
  <c r="N2670" i="22"/>
  <c r="T590" i="22"/>
  <c r="O590" i="22"/>
  <c r="N590" i="22"/>
  <c r="T592" i="22"/>
  <c r="O592" i="22"/>
  <c r="N592" i="22"/>
  <c r="T2672" i="22"/>
  <c r="O2672" i="22"/>
  <c r="N2672" i="22"/>
  <c r="T2668" i="22"/>
  <c r="O2668" i="22"/>
  <c r="O2717" i="22" s="1"/>
  <c r="N2668" i="22"/>
  <c r="T2716" i="23"/>
  <c r="O352" i="24"/>
  <c r="T352" i="24"/>
  <c r="T2716" i="24"/>
  <c r="T280" i="24"/>
  <c r="O280" i="24"/>
  <c r="O400" i="24"/>
  <c r="T400" i="24"/>
  <c r="O358" i="24"/>
  <c r="T358" i="24"/>
  <c r="O236" i="24"/>
  <c r="T236" i="24"/>
  <c r="T334" i="24"/>
  <c r="O334" i="24"/>
  <c r="T382" i="23"/>
  <c r="O382" i="23"/>
  <c r="O264" i="23"/>
  <c r="T264" i="23"/>
  <c r="T283" i="23"/>
  <c r="O283" i="23"/>
  <c r="T2714" i="23"/>
  <c r="T259" i="23"/>
  <c r="O259" i="23"/>
  <c r="O667" i="23"/>
  <c r="T667" i="23"/>
  <c r="T643" i="23"/>
  <c r="O643" i="23"/>
  <c r="O286" i="23"/>
  <c r="T286" i="23"/>
  <c r="T232" i="22"/>
  <c r="O232" i="22"/>
  <c r="O283" i="22"/>
  <c r="T283" i="22"/>
  <c r="O406" i="22"/>
  <c r="T406" i="22"/>
  <c r="T340" i="22"/>
  <c r="O340" i="22"/>
  <c r="T2714" i="21"/>
  <c r="O715" i="21"/>
  <c r="T715" i="21"/>
  <c r="T442" i="21"/>
  <c r="O442" i="21"/>
  <c r="O280" i="21"/>
  <c r="T280" i="21"/>
  <c r="T2717" i="24"/>
  <c r="O370" i="24"/>
  <c r="T370" i="24"/>
  <c r="O691" i="24"/>
  <c r="T691" i="24"/>
  <c r="O274" i="24"/>
  <c r="T274" i="24"/>
  <c r="O304" i="24"/>
  <c r="T304" i="24"/>
  <c r="O655" i="24"/>
  <c r="T655" i="24"/>
  <c r="O436" i="24"/>
  <c r="T436" i="24"/>
  <c r="O685" i="24"/>
  <c r="T685" i="24"/>
  <c r="T430" i="24"/>
  <c r="O430" i="24"/>
  <c r="O382" i="24"/>
  <c r="T382" i="24"/>
  <c r="O274" i="23"/>
  <c r="T274" i="23"/>
  <c r="O234" i="23"/>
  <c r="T234" i="23"/>
  <c r="O394" i="23"/>
  <c r="T394" i="23"/>
  <c r="O280" i="23"/>
  <c r="T280" i="23"/>
  <c r="O634" i="23"/>
  <c r="T634" i="23"/>
  <c r="T685" i="23"/>
  <c r="O685" i="23"/>
  <c r="O400" i="23"/>
  <c r="T400" i="23"/>
  <c r="T715" i="23"/>
  <c r="O715" i="23"/>
  <c r="O697" i="23"/>
  <c r="T697" i="23"/>
  <c r="O232" i="23"/>
  <c r="T232" i="23"/>
  <c r="T295" i="23"/>
  <c r="O295" i="23"/>
  <c r="O649" i="23"/>
  <c r="T649" i="23"/>
  <c r="T310" i="23"/>
  <c r="O310" i="23"/>
  <c r="O274" i="22"/>
  <c r="T274" i="22"/>
  <c r="O638" i="22"/>
  <c r="T638" i="22"/>
  <c r="O234" i="22"/>
  <c r="T234" i="22"/>
  <c r="O382" i="22"/>
  <c r="T382" i="22"/>
  <c r="O301" i="22"/>
  <c r="T301" i="22"/>
  <c r="O269" i="22"/>
  <c r="T269" i="22"/>
  <c r="O430" i="22"/>
  <c r="T430" i="22"/>
  <c r="O259" i="22"/>
  <c r="T259" i="22"/>
  <c r="O655" i="22"/>
  <c r="T655" i="22"/>
  <c r="O289" i="22"/>
  <c r="T289" i="22"/>
  <c r="O703" i="22"/>
  <c r="T703" i="22"/>
  <c r="O376" i="21"/>
  <c r="T376" i="21"/>
  <c r="O424" i="21"/>
  <c r="T424" i="21"/>
  <c r="O418" i="21"/>
  <c r="T418" i="21"/>
  <c r="T634" i="21"/>
  <c r="O634" i="21"/>
  <c r="O264" i="21"/>
  <c r="T264" i="21"/>
  <c r="O346" i="21"/>
  <c r="T346" i="21"/>
  <c r="T638" i="24"/>
  <c r="O638" i="24"/>
  <c r="T316" i="24"/>
  <c r="O316" i="24"/>
  <c r="O418" i="24"/>
  <c r="T418" i="24"/>
  <c r="O230" i="24"/>
  <c r="T230" i="24"/>
  <c r="T292" i="24"/>
  <c r="O292" i="24"/>
  <c r="O301" i="23"/>
  <c r="T301" i="23"/>
  <c r="O277" i="23"/>
  <c r="T277" i="23"/>
  <c r="O340" i="23"/>
  <c r="T340" i="23"/>
  <c r="O236" i="23"/>
  <c r="T236" i="23"/>
  <c r="T298" i="23"/>
  <c r="O298" i="23"/>
  <c r="O304" i="23"/>
  <c r="T304" i="23"/>
  <c r="O388" i="22"/>
  <c r="T388" i="22"/>
  <c r="T634" i="22"/>
  <c r="O634" i="22"/>
  <c r="T277" i="22"/>
  <c r="O277" i="22"/>
  <c r="O230" i="22"/>
  <c r="T230" i="22"/>
  <c r="T316" i="22"/>
  <c r="O316" i="22"/>
  <c r="T228" i="22"/>
  <c r="O228" i="22"/>
  <c r="N228" i="22"/>
  <c r="O352" i="22"/>
  <c r="T352" i="22"/>
  <c r="O424" i="22"/>
  <c r="T424" i="22"/>
  <c r="O286" i="21"/>
  <c r="T286" i="21"/>
  <c r="O400" i="21"/>
  <c r="T400" i="21"/>
  <c r="T358" i="21"/>
  <c r="O358" i="21"/>
  <c r="O703" i="21"/>
  <c r="T703" i="21"/>
  <c r="O292" i="21"/>
  <c r="T292" i="21"/>
  <c r="O352" i="21"/>
  <c r="T352" i="21"/>
  <c r="O230" i="21"/>
  <c r="T230" i="21"/>
  <c r="T295" i="21"/>
  <c r="O295" i="21"/>
  <c r="O679" i="21"/>
  <c r="T679" i="21"/>
  <c r="T236" i="21"/>
  <c r="O236" i="21"/>
  <c r="T289" i="21"/>
  <c r="O289" i="21"/>
  <c r="T328" i="21"/>
  <c r="O328" i="21"/>
  <c r="O382" i="21"/>
  <c r="T382" i="21"/>
  <c r="T2716" i="21"/>
  <c r="T2714" i="24"/>
  <c r="O709" i="24"/>
  <c r="T709" i="24"/>
  <c r="O667" i="24"/>
  <c r="T667" i="24"/>
  <c r="T2715" i="24"/>
  <c r="T259" i="24"/>
  <c r="O259" i="24"/>
  <c r="T388" i="24"/>
  <c r="O388" i="24"/>
  <c r="O661" i="24"/>
  <c r="T661" i="24"/>
  <c r="T376" i="24"/>
  <c r="O376" i="24"/>
  <c r="T232" i="24"/>
  <c r="O232" i="24"/>
  <c r="O301" i="24"/>
  <c r="T301" i="24"/>
  <c r="T424" i="23"/>
  <c r="O424" i="23"/>
  <c r="T358" i="23"/>
  <c r="O358" i="23"/>
  <c r="T436" i="23"/>
  <c r="O436" i="23"/>
  <c r="T655" i="23"/>
  <c r="O655" i="23"/>
  <c r="O638" i="23"/>
  <c r="T638" i="23"/>
  <c r="O269" i="23"/>
  <c r="T269" i="23"/>
  <c r="O636" i="22"/>
  <c r="T636" i="22"/>
  <c r="O649" i="22"/>
  <c r="T649" i="22"/>
  <c r="O661" i="22"/>
  <c r="T661" i="22"/>
  <c r="T292" i="22"/>
  <c r="O292" i="22"/>
  <c r="O400" i="22"/>
  <c r="N400" i="22"/>
  <c r="T400" i="22"/>
  <c r="T2717" i="22"/>
  <c r="T316" i="21"/>
  <c r="O316" i="21"/>
  <c r="O269" i="21"/>
  <c r="T269" i="21"/>
  <c r="O298" i="21"/>
  <c r="T298" i="21"/>
  <c r="O661" i="21"/>
  <c r="T661" i="21"/>
  <c r="T649" i="21"/>
  <c r="O649" i="21"/>
  <c r="O304" i="21"/>
  <c r="T304" i="21"/>
  <c r="T638" i="21"/>
  <c r="O638" i="21"/>
  <c r="O673" i="21"/>
  <c r="T673" i="21"/>
  <c r="O232" i="21"/>
  <c r="T232" i="21"/>
  <c r="T430" i="21"/>
  <c r="O430" i="21"/>
  <c r="O715" i="24"/>
  <c r="T715" i="24"/>
  <c r="O679" i="24"/>
  <c r="T679" i="24"/>
  <c r="O394" i="24"/>
  <c r="T394" i="24"/>
  <c r="T364" i="24"/>
  <c r="O364" i="24"/>
  <c r="O412" i="24"/>
  <c r="T412" i="24"/>
  <c r="O406" i="24"/>
  <c r="T406" i="24"/>
  <c r="O340" i="24"/>
  <c r="T340" i="24"/>
  <c r="T346" i="24"/>
  <c r="O346" i="24"/>
  <c r="T2715" i="23"/>
  <c r="T2717" i="23"/>
  <c r="T388" i="23"/>
  <c r="O388" i="23"/>
  <c r="O346" i="23"/>
  <c r="T346" i="23"/>
  <c r="O430" i="23"/>
  <c r="T430" i="23"/>
  <c r="O406" i="23"/>
  <c r="T406" i="23"/>
  <c r="O418" i="23"/>
  <c r="T418" i="23"/>
  <c r="T436" i="22"/>
  <c r="O436" i="22"/>
  <c r="T2715" i="22"/>
  <c r="T667" i="22"/>
  <c r="O667" i="22"/>
  <c r="O346" i="22"/>
  <c r="T346" i="22"/>
  <c r="O295" i="22"/>
  <c r="T295" i="22"/>
  <c r="O418" i="22"/>
  <c r="T418" i="22"/>
  <c r="O310" i="22"/>
  <c r="T310" i="22"/>
  <c r="O643" i="22"/>
  <c r="T643" i="22"/>
  <c r="O376" i="22"/>
  <c r="T376" i="22"/>
  <c r="T322" i="22"/>
  <c r="O322" i="22"/>
  <c r="O364" i="21"/>
  <c r="T364" i="21"/>
  <c r="O697" i="21"/>
  <c r="T697" i="21"/>
  <c r="O655" i="21"/>
  <c r="T655" i="21"/>
  <c r="T436" i="21"/>
  <c r="O436" i="21"/>
  <c r="O406" i="21"/>
  <c r="T406" i="21"/>
  <c r="T636" i="21"/>
  <c r="O636" i="21"/>
  <c r="O634" i="24"/>
  <c r="T634" i="24"/>
  <c r="O640" i="24"/>
  <c r="T640" i="24"/>
  <c r="O269" i="24"/>
  <c r="T269" i="24"/>
  <c r="O298" i="24"/>
  <c r="T298" i="24"/>
  <c r="T283" i="24"/>
  <c r="O283" i="24"/>
  <c r="O234" i="24"/>
  <c r="T234" i="24"/>
  <c r="T292" i="23"/>
  <c r="O292" i="23"/>
  <c r="O640" i="23"/>
  <c r="T640" i="23"/>
  <c r="O691" i="23"/>
  <c r="T691" i="23"/>
  <c r="T328" i="23"/>
  <c r="O328" i="23"/>
  <c r="T709" i="23"/>
  <c r="O709" i="23"/>
  <c r="O316" i="23"/>
  <c r="T316" i="23"/>
  <c r="O370" i="22"/>
  <c r="T370" i="22"/>
  <c r="O286" i="22"/>
  <c r="T286" i="22"/>
  <c r="T235" i="22"/>
  <c r="N235" i="22"/>
  <c r="O235" i="22"/>
  <c r="T395" i="22"/>
  <c r="O395" i="22"/>
  <c r="N395" i="22"/>
  <c r="O334" i="22"/>
  <c r="T334" i="22"/>
  <c r="O364" i="22"/>
  <c r="T364" i="22"/>
  <c r="O264" i="22"/>
  <c r="T264" i="22"/>
  <c r="O370" i="21"/>
  <c r="T370" i="21"/>
  <c r="T259" i="21"/>
  <c r="O259" i="21"/>
  <c r="T394" i="21"/>
  <c r="O394" i="21"/>
  <c r="O640" i="21"/>
  <c r="T640" i="21"/>
  <c r="O412" i="21"/>
  <c r="T412" i="21"/>
  <c r="O274" i="21"/>
  <c r="T274" i="21"/>
  <c r="T649" i="24"/>
  <c r="O649" i="24"/>
  <c r="T697" i="24"/>
  <c r="O697" i="24"/>
  <c r="O289" i="24"/>
  <c r="T289" i="24"/>
  <c r="O328" i="24"/>
  <c r="T328" i="24"/>
  <c r="O264" i="24"/>
  <c r="T264" i="24"/>
  <c r="T295" i="24"/>
  <c r="O295" i="24"/>
  <c r="O310" i="24"/>
  <c r="T310" i="24"/>
  <c r="O277" i="24"/>
  <c r="T277" i="24"/>
  <c r="O679" i="23"/>
  <c r="T679" i="23"/>
  <c r="O412" i="23"/>
  <c r="T412" i="23"/>
  <c r="T661" i="23"/>
  <c r="O661" i="23"/>
  <c r="T673" i="23"/>
  <c r="O673" i="23"/>
  <c r="O230" i="23"/>
  <c r="T230" i="23"/>
  <c r="O442" i="23"/>
  <c r="T442" i="23"/>
  <c r="O352" i="23"/>
  <c r="T352" i="23"/>
  <c r="O364" i="23"/>
  <c r="T364" i="23"/>
  <c r="T280" i="22"/>
  <c r="O280" i="22"/>
  <c r="T2716" i="22"/>
  <c r="O640" i="22"/>
  <c r="T640" i="22"/>
  <c r="O328" i="22"/>
  <c r="T328" i="22"/>
  <c r="O715" i="22"/>
  <c r="T715" i="22"/>
  <c r="T673" i="22"/>
  <c r="O673" i="22"/>
  <c r="T685" i="22"/>
  <c r="O685" i="22"/>
  <c r="O236" i="22"/>
  <c r="N236" i="22"/>
  <c r="T236" i="22"/>
  <c r="O304" i="22"/>
  <c r="T304" i="22"/>
  <c r="T643" i="21"/>
  <c r="O643" i="21"/>
  <c r="T388" i="21"/>
  <c r="O388" i="21"/>
  <c r="O691" i="21"/>
  <c r="T691" i="21"/>
  <c r="O636" i="24"/>
  <c r="T636" i="24"/>
  <c r="O643" i="24"/>
  <c r="T643" i="24"/>
  <c r="T673" i="24"/>
  <c r="O673" i="24"/>
  <c r="O703" i="24"/>
  <c r="T703" i="24"/>
  <c r="O442" i="24"/>
  <c r="T442" i="24"/>
  <c r="O322" i="24"/>
  <c r="T322" i="24"/>
  <c r="O424" i="24"/>
  <c r="T424" i="24"/>
  <c r="O286" i="24"/>
  <c r="T286" i="24"/>
  <c r="T703" i="23"/>
  <c r="O703" i="23"/>
  <c r="O376" i="23"/>
  <c r="T376" i="23"/>
  <c r="T370" i="23"/>
  <c r="O370" i="23"/>
  <c r="O322" i="23"/>
  <c r="T322" i="23"/>
  <c r="O636" i="23"/>
  <c r="T636" i="23"/>
  <c r="O289" i="23"/>
  <c r="T289" i="23"/>
  <c r="O334" i="23"/>
  <c r="T334" i="23"/>
  <c r="T2714" i="22"/>
  <c r="O679" i="22"/>
  <c r="T679" i="22"/>
  <c r="T697" i="22"/>
  <c r="O697" i="22"/>
  <c r="O298" i="22"/>
  <c r="T298" i="22"/>
  <c r="O412" i="22"/>
  <c r="T412" i="22"/>
  <c r="N394" i="22"/>
  <c r="O394" i="22"/>
  <c r="T394" i="22"/>
  <c r="O709" i="22"/>
  <c r="T709" i="22"/>
  <c r="T389" i="22"/>
  <c r="O389" i="22"/>
  <c r="N389" i="22"/>
  <c r="O358" i="22"/>
  <c r="T358" i="22"/>
  <c r="O691" i="22"/>
  <c r="T691" i="22"/>
  <c r="O442" i="22"/>
  <c r="T442" i="22"/>
  <c r="O310" i="21"/>
  <c r="T310" i="21"/>
  <c r="O709" i="21"/>
  <c r="T709" i="21"/>
  <c r="O685" i="21"/>
  <c r="T685" i="21"/>
  <c r="T301" i="21"/>
  <c r="O301" i="21"/>
  <c r="O277" i="21"/>
  <c r="T277" i="21"/>
  <c r="T2715" i="21"/>
  <c r="O340" i="21"/>
  <c r="T340" i="21"/>
  <c r="O322" i="21"/>
  <c r="T322" i="21"/>
  <c r="O667" i="21"/>
  <c r="T667" i="21"/>
  <c r="O234" i="21"/>
  <c r="T234" i="21"/>
  <c r="T283" i="21"/>
  <c r="O283" i="21"/>
  <c r="O334" i="21"/>
  <c r="T334" i="21"/>
  <c r="G9" i="7"/>
  <c r="R13" i="14"/>
  <c r="X748" i="22" l="1"/>
  <c r="W747" i="22"/>
  <c r="W747" i="23"/>
  <c r="X748" i="23"/>
  <c r="Z748" i="22"/>
  <c r="Y748" i="22"/>
  <c r="Z748" i="23"/>
  <c r="Y748" i="23"/>
  <c r="X236" i="24"/>
  <c r="X748" i="21"/>
  <c r="W747" i="21"/>
  <c r="X748" i="24"/>
  <c r="W747" i="24"/>
  <c r="Z748" i="21"/>
  <c r="Y748" i="21"/>
  <c r="Z748" i="24"/>
  <c r="Y748" i="24"/>
  <c r="S794" i="21"/>
  <c r="U794" i="21" s="1"/>
  <c r="P794" i="21"/>
  <c r="X236" i="21"/>
  <c r="P2668" i="24"/>
  <c r="S2668" i="24"/>
  <c r="U2668" i="24" s="1"/>
  <c r="P590" i="24"/>
  <c r="S590" i="24"/>
  <c r="U590" i="24" s="1"/>
  <c r="S605" i="24"/>
  <c r="U605" i="24" s="1"/>
  <c r="P605" i="24"/>
  <c r="O2717" i="24"/>
  <c r="P235" i="24"/>
  <c r="S235" i="24"/>
  <c r="U235" i="24" s="1"/>
  <c r="P2672" i="24"/>
  <c r="S2672" i="24"/>
  <c r="U2672" i="24" s="1"/>
  <c r="P742" i="24"/>
  <c r="S742" i="24"/>
  <c r="U742" i="24" s="1"/>
  <c r="S389" i="24"/>
  <c r="U389" i="24" s="1"/>
  <c r="P389" i="24"/>
  <c r="P228" i="24"/>
  <c r="S228" i="24"/>
  <c r="U228" i="24" s="1"/>
  <c r="S2671" i="24"/>
  <c r="U2671" i="24" s="1"/>
  <c r="P2671" i="24"/>
  <c r="P395" i="24"/>
  <c r="S395" i="24"/>
  <c r="U395" i="24" s="1"/>
  <c r="P2670" i="24"/>
  <c r="S2670" i="24"/>
  <c r="U2670" i="24" s="1"/>
  <c r="Z236" i="24"/>
  <c r="Y236" i="24"/>
  <c r="P2674" i="24"/>
  <c r="S2674" i="24"/>
  <c r="U2674" i="24" s="1"/>
  <c r="S592" i="24"/>
  <c r="U592" i="24" s="1"/>
  <c r="P592" i="24"/>
  <c r="S794" i="24"/>
  <c r="U794" i="24" s="1"/>
  <c r="P794" i="24"/>
  <c r="P592" i="21"/>
  <c r="S592" i="21"/>
  <c r="U592" i="21" s="1"/>
  <c r="S590" i="21"/>
  <c r="U590" i="21" s="1"/>
  <c r="P590" i="21"/>
  <c r="P742" i="21"/>
  <c r="S742" i="21"/>
  <c r="U742" i="21" s="1"/>
  <c r="P605" i="21"/>
  <c r="S605" i="21"/>
  <c r="U605" i="21" s="1"/>
  <c r="T2717" i="21"/>
  <c r="S33" i="21"/>
  <c r="U33" i="21" s="1"/>
  <c r="P33" i="21"/>
  <c r="Y236" i="21"/>
  <c r="Z236" i="21"/>
  <c r="P2670" i="21"/>
  <c r="S2670" i="21"/>
  <c r="U2670" i="21" s="1"/>
  <c r="S2674" i="21"/>
  <c r="U2674" i="21" s="1"/>
  <c r="P2674" i="21"/>
  <c r="S2672" i="21"/>
  <c r="U2672" i="21" s="1"/>
  <c r="P2672" i="21"/>
  <c r="P2675" i="21"/>
  <c r="S2675" i="21"/>
  <c r="U2675" i="21" s="1"/>
  <c r="P228" i="21"/>
  <c r="S228" i="21"/>
  <c r="U228" i="21" s="1"/>
  <c r="P2671" i="21"/>
  <c r="S2671" i="21"/>
  <c r="U2671" i="21" s="1"/>
  <c r="S395" i="21"/>
  <c r="U395" i="21" s="1"/>
  <c r="P395" i="21"/>
  <c r="O2717" i="21"/>
  <c r="P235" i="21"/>
  <c r="S235" i="21"/>
  <c r="U235" i="21" s="1"/>
  <c r="S2668" i="21"/>
  <c r="U2668" i="21" s="1"/>
  <c r="P2668" i="21"/>
  <c r="P389" i="21"/>
  <c r="S389" i="21"/>
  <c r="U389" i="21" s="1"/>
  <c r="S605" i="23"/>
  <c r="U605" i="23" s="1"/>
  <c r="P605" i="23"/>
  <c r="X605" i="23" s="1"/>
  <c r="P742" i="23"/>
  <c r="S742" i="23"/>
  <c r="U742" i="23" s="1"/>
  <c r="O2717" i="23"/>
  <c r="S794" i="23"/>
  <c r="U794" i="23" s="1"/>
  <c r="P794" i="23"/>
  <c r="S2668" i="23"/>
  <c r="U2668" i="23" s="1"/>
  <c r="P2668" i="23"/>
  <c r="S389" i="23"/>
  <c r="U389" i="23" s="1"/>
  <c r="P389" i="23"/>
  <c r="X236" i="23"/>
  <c r="Y236" i="23"/>
  <c r="Z236" i="23"/>
  <c r="S592" i="23"/>
  <c r="U592" i="23" s="1"/>
  <c r="P592" i="23"/>
  <c r="P228" i="23"/>
  <c r="S228" i="23"/>
  <c r="U228" i="23" s="1"/>
  <c r="S235" i="23"/>
  <c r="U235" i="23" s="1"/>
  <c r="P235" i="23"/>
  <c r="S2674" i="23"/>
  <c r="U2674" i="23" s="1"/>
  <c r="P2674" i="23"/>
  <c r="X2674" i="23" s="1"/>
  <c r="S590" i="23"/>
  <c r="U590" i="23" s="1"/>
  <c r="P590" i="23"/>
  <c r="P2671" i="23"/>
  <c r="S2671" i="23"/>
  <c r="U2671" i="23" s="1"/>
  <c r="S2672" i="23"/>
  <c r="U2672" i="23" s="1"/>
  <c r="P2672" i="23"/>
  <c r="X2672" i="23" s="1"/>
  <c r="S395" i="23"/>
  <c r="U395" i="23" s="1"/>
  <c r="P395" i="23"/>
  <c r="X395" i="23" s="1"/>
  <c r="S2670" i="23"/>
  <c r="U2670" i="23" s="1"/>
  <c r="P2670" i="23"/>
  <c r="X2670" i="23" s="1"/>
  <c r="P2672" i="22"/>
  <c r="S2672" i="22"/>
  <c r="U2672" i="22" s="1"/>
  <c r="P2670" i="22"/>
  <c r="S2670" i="22"/>
  <c r="U2670" i="22" s="1"/>
  <c r="S605" i="22"/>
  <c r="U605" i="22" s="1"/>
  <c r="P605" i="22"/>
  <c r="P794" i="22"/>
  <c r="S794" i="22"/>
  <c r="U794" i="22" s="1"/>
  <c r="P592" i="22"/>
  <c r="S592" i="22"/>
  <c r="U592" i="22" s="1"/>
  <c r="S33" i="22"/>
  <c r="U33" i="22" s="1"/>
  <c r="P33" i="22"/>
  <c r="S742" i="22"/>
  <c r="U742" i="22" s="1"/>
  <c r="P742" i="22"/>
  <c r="X742" i="22" s="1"/>
  <c r="P2668" i="22"/>
  <c r="S2668" i="22"/>
  <c r="U2668" i="22" s="1"/>
  <c r="S2674" i="22"/>
  <c r="U2674" i="22" s="1"/>
  <c r="P2674" i="22"/>
  <c r="X2674" i="22" s="1"/>
  <c r="S590" i="22"/>
  <c r="U590" i="22" s="1"/>
  <c r="P590" i="22"/>
  <c r="S2675" i="22"/>
  <c r="U2675" i="22" s="1"/>
  <c r="P2675" i="22"/>
  <c r="X2675" i="22" s="1"/>
  <c r="S2671" i="22"/>
  <c r="U2671" i="22" s="1"/>
  <c r="P2671" i="22"/>
  <c r="O2710" i="22"/>
  <c r="T2712" i="23"/>
  <c r="T2710" i="24"/>
  <c r="T2713" i="21"/>
  <c r="T2712" i="21"/>
  <c r="T2710" i="22"/>
  <c r="T2712" i="22"/>
  <c r="T2712" i="24"/>
  <c r="T2710" i="23"/>
  <c r="S389" i="22"/>
  <c r="U389" i="22" s="1"/>
  <c r="P389" i="22"/>
  <c r="P236" i="22"/>
  <c r="S236" i="22"/>
  <c r="U236" i="22" s="1"/>
  <c r="S228" i="22"/>
  <c r="U228" i="22" s="1"/>
  <c r="P228" i="22"/>
  <c r="T2710" i="21"/>
  <c r="O2712" i="22"/>
  <c r="O2713" i="22"/>
  <c r="O2712" i="23"/>
  <c r="T2713" i="22"/>
  <c r="P400" i="22"/>
  <c r="S400" i="22"/>
  <c r="U400" i="22" s="1"/>
  <c r="S395" i="22"/>
  <c r="U395" i="22" s="1"/>
  <c r="P395" i="22"/>
  <c r="T2713" i="24"/>
  <c r="O2713" i="24"/>
  <c r="O2710" i="24"/>
  <c r="T2713" i="23"/>
  <c r="O2713" i="23"/>
  <c r="O2710" i="23"/>
  <c r="S394" i="22"/>
  <c r="U394" i="22" s="1"/>
  <c r="P394" i="22"/>
  <c r="P235" i="22"/>
  <c r="S235" i="22"/>
  <c r="U235" i="22" s="1"/>
  <c r="O2712" i="21"/>
  <c r="O2710" i="21"/>
  <c r="O2712" i="24"/>
  <c r="O2713" i="21"/>
  <c r="R18" i="14"/>
  <c r="R16" i="14"/>
  <c r="R10" i="14"/>
  <c r="X2670" i="22" l="1"/>
  <c r="X742" i="24"/>
  <c r="Y747" i="21"/>
  <c r="Z747" i="21"/>
  <c r="X747" i="21"/>
  <c r="Y747" i="23"/>
  <c r="X747" i="23"/>
  <c r="Z747" i="23"/>
  <c r="X2671" i="23"/>
  <c r="X2674" i="24"/>
  <c r="X2670" i="24"/>
  <c r="X2672" i="24"/>
  <c r="X605" i="24"/>
  <c r="Y747" i="22"/>
  <c r="Z747" i="22"/>
  <c r="X747" i="22"/>
  <c r="X395" i="22"/>
  <c r="X747" i="24"/>
  <c r="Z747" i="24"/>
  <c r="Y747" i="24"/>
  <c r="X794" i="21"/>
  <c r="Q780" i="21"/>
  <c r="Y794" i="21"/>
  <c r="Z794" i="21"/>
  <c r="V780" i="21"/>
  <c r="Z228" i="24"/>
  <c r="Y228" i="24"/>
  <c r="U2712" i="24"/>
  <c r="V227" i="24"/>
  <c r="U2710" i="24"/>
  <c r="X235" i="24"/>
  <c r="Y235" i="24"/>
  <c r="Z235" i="24"/>
  <c r="X2668" i="24"/>
  <c r="Q2662" i="24"/>
  <c r="P2717" i="24"/>
  <c r="X228" i="24"/>
  <c r="P2712" i="24"/>
  <c r="P2710" i="24"/>
  <c r="Q227" i="24"/>
  <c r="Q780" i="24"/>
  <c r="X794" i="24"/>
  <c r="Y2670" i="24"/>
  <c r="Z2670" i="24"/>
  <c r="V780" i="24"/>
  <c r="Z794" i="24"/>
  <c r="Y794" i="24"/>
  <c r="X389" i="24"/>
  <c r="W393" i="24"/>
  <c r="W394" i="24"/>
  <c r="W390" i="24"/>
  <c r="Z389" i="24"/>
  <c r="Y389" i="24"/>
  <c r="W392" i="24"/>
  <c r="W391" i="24"/>
  <c r="X592" i="24"/>
  <c r="X395" i="24"/>
  <c r="W396" i="24"/>
  <c r="Z395" i="24"/>
  <c r="Y395" i="24"/>
  <c r="W398" i="24"/>
  <c r="W397" i="24"/>
  <c r="W399" i="24"/>
  <c r="W400" i="24"/>
  <c r="Z742" i="24"/>
  <c r="Y742" i="24"/>
  <c r="W608" i="24"/>
  <c r="W606" i="24"/>
  <c r="Z605" i="24"/>
  <c r="W607" i="24"/>
  <c r="Y605" i="24"/>
  <c r="Z592" i="24"/>
  <c r="Y592" i="24"/>
  <c r="Z590" i="24"/>
  <c r="Y590" i="24"/>
  <c r="V583" i="24"/>
  <c r="V2713" i="24" s="1"/>
  <c r="U2713" i="24"/>
  <c r="Y2674" i="24"/>
  <c r="Z2674" i="24"/>
  <c r="X2671" i="24"/>
  <c r="Y2672" i="24"/>
  <c r="Z2672" i="24"/>
  <c r="X590" i="24"/>
  <c r="P2713" i="24"/>
  <c r="Q583" i="24"/>
  <c r="Y2668" i="24"/>
  <c r="Z2668" i="24"/>
  <c r="U2717" i="24"/>
  <c r="V2662" i="24"/>
  <c r="V2717" i="24" s="1"/>
  <c r="Z2671" i="24"/>
  <c r="Y2671" i="24"/>
  <c r="X742" i="21"/>
  <c r="X592" i="21"/>
  <c r="Y592" i="21"/>
  <c r="Z592" i="21"/>
  <c r="Y742" i="21"/>
  <c r="Z742" i="21"/>
  <c r="X590" i="21"/>
  <c r="Y590" i="21"/>
  <c r="Z590" i="21"/>
  <c r="X605" i="21"/>
  <c r="W606" i="21"/>
  <c r="Z605" i="21"/>
  <c r="W607" i="21"/>
  <c r="Y605" i="21"/>
  <c r="W608" i="21"/>
  <c r="U2713" i="21"/>
  <c r="V583" i="21"/>
  <c r="P2713" i="21"/>
  <c r="Q583" i="21"/>
  <c r="X2672" i="21"/>
  <c r="Y389" i="21"/>
  <c r="W392" i="21"/>
  <c r="W391" i="21"/>
  <c r="Z389" i="21"/>
  <c r="W393" i="21"/>
  <c r="W390" i="21"/>
  <c r="W394" i="21"/>
  <c r="X395" i="21"/>
  <c r="W397" i="21"/>
  <c r="Y395" i="21"/>
  <c r="W396" i="21"/>
  <c r="W400" i="21"/>
  <c r="W398" i="21"/>
  <c r="Z395" i="21"/>
  <c r="W399" i="21"/>
  <c r="Y2672" i="21"/>
  <c r="Z2672" i="21"/>
  <c r="V18" i="21"/>
  <c r="Z33" i="21"/>
  <c r="Y33" i="21"/>
  <c r="U2710" i="21"/>
  <c r="U2712" i="21"/>
  <c r="X389" i="21"/>
  <c r="X2671" i="21"/>
  <c r="Z2671" i="21"/>
  <c r="Y2671" i="21"/>
  <c r="P2717" i="21"/>
  <c r="Q2662" i="21"/>
  <c r="X2668" i="21"/>
  <c r="X2674" i="21"/>
  <c r="Y2674" i="21"/>
  <c r="Z2674" i="21"/>
  <c r="Z2668" i="21"/>
  <c r="U2717" i="21"/>
  <c r="Y2668" i="21"/>
  <c r="V2662" i="21"/>
  <c r="Z228" i="21"/>
  <c r="Y228" i="21"/>
  <c r="V227" i="21"/>
  <c r="Y2670" i="21"/>
  <c r="Z2670" i="21"/>
  <c r="X228" i="21"/>
  <c r="Q227" i="21"/>
  <c r="Z235" i="21"/>
  <c r="Y235" i="21"/>
  <c r="X2670" i="21"/>
  <c r="X235" i="21"/>
  <c r="Y2675" i="21"/>
  <c r="Z2675" i="21"/>
  <c r="X2675" i="21"/>
  <c r="X33" i="21"/>
  <c r="P2712" i="21"/>
  <c r="P2710" i="21"/>
  <c r="Q18" i="21"/>
  <c r="X590" i="23"/>
  <c r="Q583" i="23"/>
  <c r="P2713" i="23"/>
  <c r="X228" i="23"/>
  <c r="Q227" i="23"/>
  <c r="P2710" i="23"/>
  <c r="P2712" i="23"/>
  <c r="X2668" i="23"/>
  <c r="P2717" i="23"/>
  <c r="Q2662" i="23"/>
  <c r="Z605" i="23"/>
  <c r="W607" i="23"/>
  <c r="Y605" i="23"/>
  <c r="W606" i="23"/>
  <c r="W608" i="23"/>
  <c r="Z2670" i="23"/>
  <c r="Y2670" i="23"/>
  <c r="Y590" i="23"/>
  <c r="Z590" i="23"/>
  <c r="V583" i="23"/>
  <c r="U2713" i="23"/>
  <c r="X592" i="23"/>
  <c r="Z2668" i="23"/>
  <c r="Y2668" i="23"/>
  <c r="U2717" i="23"/>
  <c r="V2662" i="23"/>
  <c r="V2717" i="23" s="1"/>
  <c r="Z592" i="23"/>
  <c r="Y592" i="23"/>
  <c r="X794" i="23"/>
  <c r="Q780" i="23"/>
  <c r="Y395" i="23"/>
  <c r="Z395" i="23"/>
  <c r="W399" i="23"/>
  <c r="W397" i="23"/>
  <c r="W396" i="23"/>
  <c r="W398" i="23"/>
  <c r="W400" i="23"/>
  <c r="Z2674" i="23"/>
  <c r="Y2674" i="23"/>
  <c r="Z794" i="23"/>
  <c r="Y794" i="23"/>
  <c r="V780" i="23"/>
  <c r="Z2672" i="23"/>
  <c r="Y2672" i="23"/>
  <c r="Z742" i="23"/>
  <c r="Y742" i="23"/>
  <c r="Z2671" i="23"/>
  <c r="Y2671" i="23"/>
  <c r="X235" i="23"/>
  <c r="Z235" i="23"/>
  <c r="Y235" i="23"/>
  <c r="X389" i="23"/>
  <c r="X742" i="23"/>
  <c r="Y228" i="23"/>
  <c r="Z228" i="23"/>
  <c r="U2710" i="23"/>
  <c r="V227" i="23"/>
  <c r="U2712" i="23"/>
  <c r="Z389" i="23"/>
  <c r="Y389" i="23"/>
  <c r="W394" i="23"/>
  <c r="W391" i="23"/>
  <c r="W393" i="23"/>
  <c r="W392" i="23"/>
  <c r="W390" i="23"/>
  <c r="X605" i="22"/>
  <c r="X2671" i="22"/>
  <c r="Y2668" i="22"/>
  <c r="Z2668" i="22"/>
  <c r="U2717" i="22"/>
  <c r="V2662" i="22"/>
  <c r="V2717" i="22" s="1"/>
  <c r="Z794" i="22"/>
  <c r="Y794" i="22"/>
  <c r="V780" i="22"/>
  <c r="Z2671" i="22"/>
  <c r="Y2671" i="22"/>
  <c r="X2668" i="22"/>
  <c r="Q2662" i="22"/>
  <c r="P2717" i="22"/>
  <c r="Q780" i="22"/>
  <c r="X794" i="22"/>
  <c r="Z2675" i="22"/>
  <c r="Y2675" i="22"/>
  <c r="Z742" i="22"/>
  <c r="Y742" i="22"/>
  <c r="W606" i="22"/>
  <c r="Z605" i="22"/>
  <c r="W607" i="22"/>
  <c r="Y605" i="22"/>
  <c r="W608" i="22"/>
  <c r="X590" i="22"/>
  <c r="P2713" i="22"/>
  <c r="Q583" i="22"/>
  <c r="X33" i="22"/>
  <c r="Q18" i="22"/>
  <c r="Y2670" i="22"/>
  <c r="Z2670" i="22"/>
  <c r="X389" i="22"/>
  <c r="Z590" i="22"/>
  <c r="Y590" i="22"/>
  <c r="V583" i="22"/>
  <c r="U2713" i="22"/>
  <c r="Y33" i="22"/>
  <c r="Z33" i="22"/>
  <c r="V18" i="22"/>
  <c r="Z592" i="22"/>
  <c r="Y592" i="22"/>
  <c r="Y2672" i="22"/>
  <c r="Z2672" i="22"/>
  <c r="Z2674" i="22"/>
  <c r="Y2674" i="22"/>
  <c r="X592" i="22"/>
  <c r="X2672" i="22"/>
  <c r="Y235" i="22"/>
  <c r="Z235" i="22"/>
  <c r="W392" i="22"/>
  <c r="W391" i="22"/>
  <c r="W393" i="22"/>
  <c r="W394" i="22"/>
  <c r="W390" i="22"/>
  <c r="Z389" i="22"/>
  <c r="Y389" i="22"/>
  <c r="X235" i="22"/>
  <c r="W399" i="22"/>
  <c r="W400" i="22"/>
  <c r="Y400" i="22" s="1"/>
  <c r="W396" i="22"/>
  <c r="Z395" i="22"/>
  <c r="Y395" i="22"/>
  <c r="W398" i="22"/>
  <c r="W397" i="22"/>
  <c r="X228" i="22"/>
  <c r="Q227" i="22"/>
  <c r="P2712" i="22"/>
  <c r="P2710" i="22"/>
  <c r="Y228" i="22"/>
  <c r="Z228" i="22"/>
  <c r="U2712" i="22"/>
  <c r="U2710" i="22"/>
  <c r="V227" i="22"/>
  <c r="Z236" i="22"/>
  <c r="Y236" i="22"/>
  <c r="X236" i="22"/>
  <c r="G14" i="7"/>
  <c r="G6" i="7"/>
  <c r="G12" i="7"/>
  <c r="F11" i="7"/>
  <c r="F8" i="7"/>
  <c r="R12" i="14" l="1"/>
  <c r="R15" i="14"/>
  <c r="W780" i="23"/>
  <c r="W18" i="22"/>
  <c r="V2713" i="22"/>
  <c r="W780" i="22"/>
  <c r="W780" i="21"/>
  <c r="Y608" i="24"/>
  <c r="X608" i="24"/>
  <c r="Z608" i="24"/>
  <c r="Y390" i="24"/>
  <c r="X390" i="24"/>
  <c r="Z390" i="24"/>
  <c r="X396" i="24"/>
  <c r="Y396" i="24"/>
  <c r="Z396" i="24"/>
  <c r="Z394" i="24"/>
  <c r="Y394" i="24"/>
  <c r="X394" i="24"/>
  <c r="Y393" i="24"/>
  <c r="X393" i="24"/>
  <c r="Z393" i="24"/>
  <c r="W780" i="24"/>
  <c r="Y397" i="24"/>
  <c r="X397" i="24"/>
  <c r="Z397" i="24"/>
  <c r="X400" i="24"/>
  <c r="Z400" i="24"/>
  <c r="Y400" i="24"/>
  <c r="Q2712" i="24"/>
  <c r="Q2710" i="24"/>
  <c r="W227" i="24"/>
  <c r="Z607" i="24"/>
  <c r="Y607" i="24"/>
  <c r="X607" i="24"/>
  <c r="Z392" i="24"/>
  <c r="Y392" i="24"/>
  <c r="X392" i="24"/>
  <c r="Q2713" i="24"/>
  <c r="W583" i="24"/>
  <c r="Z398" i="24"/>
  <c r="Y398" i="24"/>
  <c r="X398" i="24"/>
  <c r="V2712" i="24"/>
  <c r="V2710" i="24"/>
  <c r="Y606" i="24"/>
  <c r="X606" i="24"/>
  <c r="Z606" i="24"/>
  <c r="W2662" i="24"/>
  <c r="Q2717" i="24"/>
  <c r="X399" i="24"/>
  <c r="Z399" i="24"/>
  <c r="Y399" i="24"/>
  <c r="Z391" i="24"/>
  <c r="Y391" i="24"/>
  <c r="X391" i="24"/>
  <c r="V2713" i="21"/>
  <c r="Z608" i="21"/>
  <c r="Y608" i="21"/>
  <c r="X608" i="21"/>
  <c r="Q2713" i="21"/>
  <c r="W583" i="21"/>
  <c r="Z607" i="21"/>
  <c r="X607" i="21"/>
  <c r="Y607" i="21"/>
  <c r="Z606" i="21"/>
  <c r="Y606" i="21"/>
  <c r="X606" i="21"/>
  <c r="Z394" i="21"/>
  <c r="X394" i="21"/>
  <c r="Y394" i="21"/>
  <c r="W18" i="21"/>
  <c r="Q2710" i="21"/>
  <c r="Q2712" i="21"/>
  <c r="V2717" i="21"/>
  <c r="Y400" i="21"/>
  <c r="Z400" i="21"/>
  <c r="X400" i="21"/>
  <c r="W227" i="21"/>
  <c r="Z396" i="21"/>
  <c r="Y396" i="21"/>
  <c r="X396" i="21"/>
  <c r="Y391" i="21"/>
  <c r="X391" i="21"/>
  <c r="Z391" i="21"/>
  <c r="Z399" i="21"/>
  <c r="X399" i="21"/>
  <c r="Y399" i="21"/>
  <c r="Z390" i="21"/>
  <c r="Y390" i="21"/>
  <c r="X390" i="21"/>
  <c r="X393" i="21"/>
  <c r="Z393" i="21"/>
  <c r="Y393" i="21"/>
  <c r="V2712" i="21"/>
  <c r="V2710" i="21"/>
  <c r="X392" i="21"/>
  <c r="Y392" i="21"/>
  <c r="Z392" i="21"/>
  <c r="Y398" i="21"/>
  <c r="X398" i="21"/>
  <c r="Z398" i="21"/>
  <c r="Q2717" i="21"/>
  <c r="W2662" i="21"/>
  <c r="Y397" i="21"/>
  <c r="X397" i="21"/>
  <c r="Z397" i="21"/>
  <c r="Y390" i="23"/>
  <c r="X390" i="23"/>
  <c r="Z390" i="23"/>
  <c r="X392" i="23"/>
  <c r="Y392" i="23"/>
  <c r="Z392" i="23"/>
  <c r="X393" i="23"/>
  <c r="Z393" i="23"/>
  <c r="Y393" i="23"/>
  <c r="Q2710" i="23"/>
  <c r="W227" i="23"/>
  <c r="Q2712" i="23"/>
  <c r="Z608" i="23"/>
  <c r="Y608" i="23"/>
  <c r="X608" i="23"/>
  <c r="Z391" i="23"/>
  <c r="Y391" i="23"/>
  <c r="X391" i="23"/>
  <c r="X780" i="23"/>
  <c r="Z780" i="23"/>
  <c r="Y780" i="23"/>
  <c r="X606" i="23"/>
  <c r="Z606" i="23"/>
  <c r="Y606" i="23"/>
  <c r="X394" i="23"/>
  <c r="Z394" i="23"/>
  <c r="Y394" i="23"/>
  <c r="X400" i="23"/>
  <c r="Z400" i="23"/>
  <c r="Y400" i="23"/>
  <c r="Y398" i="23"/>
  <c r="Z398" i="23"/>
  <c r="X398" i="23"/>
  <c r="V2713" i="23"/>
  <c r="Y607" i="23"/>
  <c r="X607" i="23"/>
  <c r="Z607" i="23"/>
  <c r="Z396" i="23"/>
  <c r="Y396" i="23"/>
  <c r="X396" i="23"/>
  <c r="Z397" i="23"/>
  <c r="Y397" i="23"/>
  <c r="X397" i="23"/>
  <c r="Q2717" i="23"/>
  <c r="W2662" i="23"/>
  <c r="Q2713" i="23"/>
  <c r="W583" i="23"/>
  <c r="V2712" i="23"/>
  <c r="V2710" i="23"/>
  <c r="Z399" i="23"/>
  <c r="X399" i="23"/>
  <c r="Y399" i="23"/>
  <c r="Q2713" i="22"/>
  <c r="W583" i="22"/>
  <c r="Y608" i="22"/>
  <c r="X608" i="22"/>
  <c r="Z608" i="22"/>
  <c r="Z18" i="22"/>
  <c r="Y18" i="22"/>
  <c r="X18" i="22"/>
  <c r="Z607" i="22"/>
  <c r="Y607" i="22"/>
  <c r="X607" i="22"/>
  <c r="X780" i="22"/>
  <c r="Z780" i="22"/>
  <c r="Y780" i="22"/>
  <c r="Z606" i="22"/>
  <c r="Y606" i="22"/>
  <c r="X606" i="22"/>
  <c r="W2662" i="22"/>
  <c r="Q2717" i="22"/>
  <c r="X400" i="22"/>
  <c r="Z400" i="22"/>
  <c r="Z397" i="22"/>
  <c r="Y397" i="22"/>
  <c r="X397" i="22"/>
  <c r="X398" i="22"/>
  <c r="Z398" i="22"/>
  <c r="Y398" i="22"/>
  <c r="X390" i="22"/>
  <c r="Z390" i="22"/>
  <c r="Y390" i="22"/>
  <c r="Z394" i="22"/>
  <c r="Y394" i="22"/>
  <c r="X394" i="22"/>
  <c r="Z393" i="22"/>
  <c r="Y393" i="22"/>
  <c r="X393" i="22"/>
  <c r="Z391" i="22"/>
  <c r="Y391" i="22"/>
  <c r="X391" i="22"/>
  <c r="Z396" i="22"/>
  <c r="Y396" i="22"/>
  <c r="X396" i="22"/>
  <c r="Q2712" i="22"/>
  <c r="W227" i="22"/>
  <c r="Q2710" i="22"/>
  <c r="Y392" i="22"/>
  <c r="Z392" i="22"/>
  <c r="X392" i="22"/>
  <c r="V2710" i="22"/>
  <c r="V2712" i="22"/>
  <c r="Z399" i="22"/>
  <c r="Y399" i="22"/>
  <c r="X399" i="22"/>
  <c r="F5" i="7"/>
  <c r="F10" i="7"/>
  <c r="F15" i="7"/>
  <c r="R14" i="14" l="1"/>
  <c r="X780" i="21"/>
  <c r="Z780" i="21"/>
  <c r="Y780" i="21"/>
  <c r="X2662" i="24"/>
  <c r="Z2662" i="24"/>
  <c r="Y2662" i="24"/>
  <c r="Z780" i="24"/>
  <c r="Y780" i="24"/>
  <c r="X780" i="24"/>
  <c r="Z583" i="24"/>
  <c r="Y583" i="24"/>
  <c r="X583" i="24"/>
  <c r="X227" i="24"/>
  <c r="Z227" i="24"/>
  <c r="Y227" i="24"/>
  <c r="Z583" i="21"/>
  <c r="X583" i="21"/>
  <c r="Y583" i="21"/>
  <c r="Z18" i="21"/>
  <c r="Y18" i="21"/>
  <c r="X18" i="21"/>
  <c r="R19" i="14"/>
  <c r="Y2662" i="21"/>
  <c r="X2662" i="21"/>
  <c r="Z2662" i="21"/>
  <c r="R9" i="14"/>
  <c r="F17" i="7"/>
  <c r="Y227" i="21"/>
  <c r="X227" i="21"/>
  <c r="Z227" i="21"/>
  <c r="X583" i="23"/>
  <c r="Y583" i="23"/>
  <c r="Z583" i="23"/>
  <c r="Z2662" i="23"/>
  <c r="Y2662" i="23"/>
  <c r="X2662" i="23"/>
  <c r="Z227" i="23"/>
  <c r="X227" i="23"/>
  <c r="Y227" i="23"/>
  <c r="Y2662" i="22"/>
  <c r="X2662" i="22"/>
  <c r="Z2662" i="22"/>
  <c r="Z583" i="22"/>
  <c r="Y583" i="22"/>
  <c r="X583" i="22"/>
  <c r="Y227" i="22"/>
  <c r="X227" i="22"/>
  <c r="Z227" i="22"/>
  <c r="G5" i="7" l="1"/>
  <c r="G11" i="7"/>
  <c r="G8" i="7"/>
  <c r="G10" i="7"/>
  <c r="G15" i="7"/>
  <c r="R21" i="14"/>
  <c r="G17" i="7" l="1"/>
  <c r="H17" i="7" s="1"/>
  <c r="S19" i="14"/>
  <c r="S18" i="14"/>
  <c r="S12" i="14"/>
  <c r="S13" i="14"/>
  <c r="S9" i="14"/>
  <c r="S17" i="14"/>
  <c r="S14" i="14"/>
  <c r="S15" i="14"/>
  <c r="S16" i="14"/>
  <c r="R3" i="14"/>
  <c r="S11" i="14"/>
  <c r="S10" i="14"/>
  <c r="R4" i="14" l="1"/>
  <c r="S2" i="14" s="1"/>
  <c r="S3" i="14" s="1"/>
  <c r="S21" i="14"/>
  <c r="G32" i="14" l="1"/>
  <c r="F36" i="14"/>
  <c r="M40" i="14"/>
  <c r="H28" i="14"/>
  <c r="L44" i="14"/>
  <c r="J46" i="14"/>
  <c r="F34" i="14"/>
  <c r="I32" i="14"/>
  <c r="G46" i="14"/>
  <c r="K40" i="14"/>
  <c r="I30" i="14"/>
  <c r="I38" i="14"/>
  <c r="E40" i="14"/>
  <c r="F26" i="14"/>
  <c r="G30" i="14"/>
  <c r="P30" i="14"/>
  <c r="I28" i="14"/>
  <c r="P32" i="14"/>
  <c r="F38" i="14"/>
  <c r="O30" i="14"/>
  <c r="O38" i="14"/>
  <c r="O32" i="14"/>
  <c r="O34" i="14"/>
  <c r="K36" i="14"/>
  <c r="G38" i="14"/>
  <c r="L36" i="14"/>
  <c r="F40" i="14"/>
  <c r="H26" i="14"/>
  <c r="M44" i="14"/>
  <c r="L32" i="14"/>
  <c r="H42" i="14"/>
  <c r="P40" i="14"/>
  <c r="N40" i="14"/>
  <c r="P38" i="14"/>
  <c r="M42" i="14"/>
  <c r="K32" i="14"/>
  <c r="M28" i="14"/>
  <c r="J32" i="14"/>
  <c r="H36" i="14"/>
  <c r="G28" i="14"/>
  <c r="H34" i="14"/>
  <c r="G34" i="14"/>
  <c r="K46" i="14"/>
  <c r="E38" i="14"/>
  <c r="O28" i="14"/>
  <c r="N44" i="14"/>
  <c r="G40" i="14"/>
  <c r="N26" i="14"/>
  <c r="P42" i="14"/>
  <c r="L40" i="14"/>
  <c r="N30" i="14"/>
  <c r="H30" i="14"/>
  <c r="K42" i="14"/>
  <c r="M46" i="14"/>
  <c r="M32" i="14"/>
  <c r="K34" i="14"/>
  <c r="M36" i="14"/>
  <c r="L38" i="14"/>
  <c r="E30" i="14"/>
  <c r="N42" i="14"/>
  <c r="F46" i="14"/>
  <c r="I40" i="14"/>
  <c r="J38" i="14"/>
  <c r="O36" i="14"/>
  <c r="H46" i="14"/>
  <c r="F30" i="14"/>
  <c r="M34" i="14"/>
  <c r="M30" i="14"/>
  <c r="L28" i="14"/>
  <c r="E32" i="14"/>
  <c r="J30" i="14"/>
  <c r="P26" i="14"/>
  <c r="L46" i="14"/>
  <c r="F44" i="14"/>
  <c r="E44" i="14"/>
  <c r="J34" i="14"/>
  <c r="I26" i="14"/>
  <c r="I44" i="14"/>
  <c r="J26" i="14"/>
  <c r="K28" i="14"/>
  <c r="E34" i="14"/>
  <c r="E36" i="14"/>
  <c r="E26" i="14"/>
  <c r="H38" i="14"/>
  <c r="P36" i="14"/>
  <c r="K38" i="14"/>
  <c r="H32" i="14"/>
  <c r="L34" i="14"/>
  <c r="N38" i="14"/>
  <c r="E46" i="14"/>
  <c r="N32" i="14"/>
  <c r="F28" i="14"/>
  <c r="J42" i="14"/>
  <c r="N28" i="14"/>
  <c r="I42" i="14"/>
  <c r="G26" i="14"/>
  <c r="L30" i="14"/>
  <c r="E28" i="14"/>
  <c r="J44" i="14"/>
  <c r="J40" i="14"/>
  <c r="J36" i="14"/>
  <c r="L42" i="14"/>
  <c r="M38" i="14"/>
  <c r="I46" i="14"/>
  <c r="O40" i="14"/>
  <c r="L26" i="14"/>
  <c r="P34" i="14"/>
  <c r="P28" i="14"/>
  <c r="G42" i="14"/>
  <c r="N34" i="14"/>
  <c r="E42" i="14"/>
  <c r="J28" i="14"/>
  <c r="K44" i="14"/>
  <c r="G44" i="14"/>
  <c r="N36" i="14"/>
  <c r="O44" i="14"/>
  <c r="I36" i="14"/>
  <c r="O46" i="14"/>
  <c r="I34" i="14"/>
  <c r="G36" i="14"/>
  <c r="O42" i="14"/>
  <c r="F32" i="14"/>
  <c r="M26" i="14"/>
  <c r="K30" i="14"/>
  <c r="K26" i="14"/>
  <c r="F42" i="14"/>
  <c r="H44" i="14"/>
  <c r="P44" i="14"/>
  <c r="O26" i="14"/>
  <c r="N46" i="14"/>
  <c r="P46" i="14"/>
  <c r="H40" i="14"/>
  <c r="J37" i="14"/>
  <c r="P45" i="14"/>
  <c r="L27" i="14"/>
  <c r="E25" i="14"/>
  <c r="N25" i="14"/>
  <c r="F33" i="14"/>
  <c r="G31" i="14"/>
  <c r="O43" i="14"/>
  <c r="N43" i="14"/>
  <c r="K27" i="14"/>
  <c r="E29" i="14"/>
  <c r="N35" i="14"/>
  <c r="J29" i="14"/>
  <c r="O33" i="14"/>
  <c r="K43" i="14"/>
  <c r="K37" i="14"/>
  <c r="G33" i="14"/>
  <c r="F37" i="14"/>
  <c r="M43" i="14"/>
  <c r="M39" i="14"/>
  <c r="M35" i="14"/>
  <c r="E45" i="14"/>
  <c r="M41" i="14"/>
  <c r="O37" i="14"/>
  <c r="E41" i="14"/>
  <c r="P31" i="14"/>
  <c r="G29" i="14"/>
  <c r="H35" i="14"/>
  <c r="P33" i="14"/>
  <c r="P37" i="14"/>
  <c r="P41" i="14"/>
  <c r="P25" i="14"/>
  <c r="G41" i="14"/>
  <c r="H37" i="14"/>
  <c r="L39" i="14"/>
  <c r="H43" i="14"/>
  <c r="E31" i="14"/>
  <c r="M25" i="14"/>
  <c r="I25" i="14"/>
  <c r="F31" i="14"/>
  <c r="I33" i="14"/>
  <c r="N27" i="14"/>
  <c r="O41" i="14"/>
  <c r="E39" i="14"/>
  <c r="J25" i="14"/>
  <c r="L43" i="14"/>
  <c r="I29" i="14"/>
  <c r="L31" i="14"/>
  <c r="I43" i="14"/>
  <c r="E35" i="14"/>
  <c r="I37" i="14"/>
  <c r="H39" i="14"/>
  <c r="M37" i="14"/>
  <c r="L29" i="14"/>
  <c r="N41" i="14"/>
  <c r="K25" i="14"/>
  <c r="L45" i="14"/>
  <c r="I27" i="14"/>
  <c r="G43" i="14"/>
  <c r="N31" i="14"/>
  <c r="H41" i="14"/>
  <c r="K41" i="14"/>
  <c r="H31" i="14"/>
  <c r="J35" i="14"/>
  <c r="P35" i="14"/>
  <c r="F45" i="14"/>
  <c r="G45" i="14"/>
  <c r="M33" i="14"/>
  <c r="O27" i="14"/>
  <c r="O29" i="14"/>
  <c r="M31" i="14"/>
  <c r="E37" i="14"/>
  <c r="L33" i="14"/>
  <c r="M27" i="14"/>
  <c r="K39" i="14"/>
  <c r="J27" i="14"/>
  <c r="I31" i="14"/>
  <c r="G27" i="14"/>
  <c r="J39" i="14"/>
  <c r="J33" i="14"/>
  <c r="P29" i="14"/>
  <c r="J43" i="14"/>
  <c r="K33" i="14"/>
  <c r="E33" i="14"/>
  <c r="F39" i="14"/>
  <c r="I41" i="14"/>
  <c r="P27" i="14"/>
  <c r="O31" i="14"/>
  <c r="L35" i="14"/>
  <c r="N33" i="14"/>
  <c r="N37" i="14"/>
  <c r="P43" i="14"/>
  <c r="G35" i="14"/>
  <c r="I39" i="14"/>
  <c r="H29" i="14"/>
  <c r="H33" i="14"/>
  <c r="J41" i="14"/>
  <c r="K31" i="14"/>
  <c r="E43" i="14"/>
  <c r="F27" i="14"/>
  <c r="J31" i="14"/>
  <c r="L41" i="14"/>
  <c r="P39" i="14"/>
  <c r="O39" i="14"/>
  <c r="I35" i="14"/>
  <c r="K29" i="14"/>
  <c r="F29" i="14"/>
  <c r="O25" i="14"/>
  <c r="J45" i="14"/>
  <c r="O35" i="14"/>
  <c r="F41" i="14"/>
  <c r="H27" i="14"/>
  <c r="N39" i="14"/>
  <c r="K35" i="14"/>
  <c r="F43" i="14"/>
  <c r="E27" i="14"/>
  <c r="F35" i="14"/>
  <c r="L25" i="14"/>
  <c r="G37" i="14"/>
  <c r="N29" i="14"/>
  <c r="G39" i="14"/>
  <c r="O45" i="14"/>
  <c r="H25" i="14"/>
  <c r="K45" i="14"/>
  <c r="M29" i="14"/>
  <c r="L37" i="14"/>
  <c r="N45" i="14"/>
  <c r="S4" i="14"/>
  <c r="F25" i="14"/>
  <c r="I45" i="14"/>
  <c r="H45" i="14"/>
  <c r="M45" i="14"/>
  <c r="G25" i="14"/>
  <c r="N49" i="14" l="1"/>
  <c r="O48" i="14"/>
  <c r="G48" i="14"/>
  <c r="G49" i="14"/>
  <c r="P49" i="14"/>
  <c r="Q29" i="14"/>
  <c r="R29" i="14"/>
  <c r="Q42" i="14"/>
  <c r="R42" i="14"/>
  <c r="Q35" i="14"/>
  <c r="R35" i="14"/>
  <c r="Q32" i="14"/>
  <c r="R32" i="14"/>
  <c r="F49" i="14"/>
  <c r="Q39" i="14"/>
  <c r="R39" i="14"/>
  <c r="Q25" i="14"/>
  <c r="E48" i="14"/>
  <c r="R25" i="14"/>
  <c r="H48" i="14"/>
  <c r="R43" i="14"/>
  <c r="Q43" i="14"/>
  <c r="J49" i="14"/>
  <c r="F48" i="14"/>
  <c r="Q41" i="14"/>
  <c r="R41" i="14"/>
  <c r="K49" i="14"/>
  <c r="I49" i="14"/>
  <c r="Q40" i="14"/>
  <c r="R40" i="14"/>
  <c r="Q37" i="14"/>
  <c r="R37" i="14"/>
  <c r="K48" i="14"/>
  <c r="P48" i="14"/>
  <c r="Q38" i="14"/>
  <c r="R38" i="14"/>
  <c r="H49" i="14"/>
  <c r="I48" i="14"/>
  <c r="M49" i="14"/>
  <c r="E49" i="14"/>
  <c r="R26" i="14"/>
  <c r="Q26" i="14"/>
  <c r="R44" i="14"/>
  <c r="Q44" i="14"/>
  <c r="R30" i="14"/>
  <c r="Q30" i="14"/>
  <c r="Q27" i="14"/>
  <c r="R27" i="14"/>
  <c r="Q33" i="14"/>
  <c r="R33" i="14"/>
  <c r="L48" i="14"/>
  <c r="M48" i="14"/>
  <c r="R45" i="14"/>
  <c r="Q45" i="14"/>
  <c r="L49" i="14"/>
  <c r="Q28" i="14"/>
  <c r="R28" i="14"/>
  <c r="Q46" i="14"/>
  <c r="R46" i="14"/>
  <c r="Q36" i="14"/>
  <c r="R36" i="14"/>
  <c r="J48" i="14"/>
  <c r="Q31" i="14"/>
  <c r="R31" i="14"/>
  <c r="N48" i="14"/>
  <c r="O49" i="14"/>
  <c r="O51" i="14" s="1"/>
  <c r="O53" i="14" s="1"/>
  <c r="Q34" i="14"/>
  <c r="R34" i="14"/>
  <c r="N51" i="14" l="1"/>
  <c r="N53" i="14" s="1"/>
  <c r="L51" i="14"/>
  <c r="L53" i="14" s="1"/>
  <c r="G51" i="14"/>
  <c r="P51" i="14"/>
  <c r="P53" i="14" s="1"/>
  <c r="F51" i="14"/>
  <c r="K51" i="14"/>
  <c r="K53" i="14" s="1"/>
  <c r="I51" i="14"/>
  <c r="I53" i="14" s="1"/>
  <c r="E51" i="14"/>
  <c r="M51" i="14"/>
  <c r="M53" i="14" s="1"/>
  <c r="R49" i="14"/>
  <c r="R48" i="14"/>
  <c r="J51" i="14"/>
  <c r="J53" i="14" s="1"/>
  <c r="H51" i="14"/>
  <c r="R51" i="14" l="1"/>
  <c r="R52" i="14"/>
  <c r="O52" i="14" l="1"/>
  <c r="S40" i="14"/>
  <c r="R53" i="14"/>
  <c r="S33" i="14"/>
  <c r="P52" i="14"/>
  <c r="S42" i="14"/>
  <c r="S34" i="14"/>
  <c r="N52" i="14"/>
  <c r="G52" i="14"/>
  <c r="S29" i="14"/>
  <c r="S36" i="14"/>
  <c r="W5" i="14"/>
  <c r="J52" i="14"/>
  <c r="S43" i="14"/>
  <c r="S38" i="14"/>
  <c r="S39" i="14"/>
  <c r="I52" i="14"/>
  <c r="S27" i="14"/>
  <c r="L52" i="14"/>
  <c r="S28" i="14"/>
  <c r="K52" i="14"/>
  <c r="S31" i="14"/>
  <c r="S35" i="14"/>
  <c r="S37" i="14"/>
  <c r="H52" i="14"/>
  <c r="F52" i="14"/>
  <c r="S32" i="14"/>
  <c r="S46" i="14"/>
  <c r="S44" i="14"/>
  <c r="M52" i="14"/>
  <c r="S41" i="14"/>
  <c r="S26" i="14"/>
  <c r="S30" i="14"/>
  <c r="E52" i="14"/>
  <c r="S45" i="14"/>
  <c r="S25" i="14"/>
  <c r="S49" i="14" l="1"/>
  <c r="S48" i="14"/>
  <c r="E53" i="14"/>
  <c r="F53" i="14" s="1"/>
  <c r="G53" i="14" s="1"/>
  <c r="H53" i="14" s="1"/>
  <c r="S52" i="14"/>
  <c r="S51" i="14" l="1"/>
  <c r="S53" i="14" s="1"/>
</calcChain>
</file>

<file path=xl/comments1.xml><?xml version="1.0" encoding="utf-8"?>
<comments xmlns="http://schemas.openxmlformats.org/spreadsheetml/2006/main">
  <authors>
    <author>Ruy  José da Costa</author>
    <author>tc={30C328D6-554D-4C0E-9760-45E2C39051C7}</author>
    <author>tc={E8D1FF7B-091F-459B-B3F1-65696AE4C43E}</author>
    <author>tc={47641283-6E6B-424B-924E-43D4E855E4E3}</author>
    <author>tc={C55EAD39-AB5C-40B1-9D77-369F1D151CFF}</author>
    <author>tc={AAB93334-4712-4621-AB4E-74E982C90C52}</author>
    <author>tc={92124F00-33F0-4467-8BED-B2F6CDAF4946}</author>
    <author>tc={B52DC4CF-7237-4E49-B793-D21D58B81664}</author>
    <author>PARANACIDADE: Ruy  Jose da Costa</author>
  </authors>
  <commentList>
    <comment ref="D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L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S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V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D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L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R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I25" authorId="0" shape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I26" authorId="0" shape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I27" authorId="0" shape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D482" authorId="1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483" authorId="2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484" authorId="3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485" authorId="4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486" authorId="5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487" authorId="6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490" authorId="7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I584" authorId="0" shape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I585" authorId="0" shape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I586" authorId="0" shape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I605" authorId="0" shape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I609" authorId="0" shape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I613" authorId="0" shape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617" authorId="0" shape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798" authorId="8" shapeId="0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99" authorId="8" shapeId="0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0" authorId="8" shapeId="0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1" authorId="8" shapeId="0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2" authorId="8" shapeId="0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3" authorId="8" shapeId="0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4" authorId="8" shapeId="0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5" authorId="8" shapeId="0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6" authorId="8" shapeId="0">
      <text>
        <r>
          <rPr>
            <b/>
            <sz val="12"/>
            <color indexed="81"/>
            <rFont val="Tahoma"/>
            <family val="2"/>
          </rPr>
          <t>CUSTO DA PLACA (R$/M2) * CONSUMO (0,2400)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1" authorId="0" shape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D842" authorId="0" shape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D843" authorId="0" shape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4" authorId="0" shape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5" authorId="0" shape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6" authorId="0" shape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8" authorId="0" shape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D850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2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D854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6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8" authorId="0" shape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D860" authorId="0" shape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2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D864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6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D868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9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D871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D873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D875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D877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D879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81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D883" authorId="0" shape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D884" authorId="0" shape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D885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D886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D887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D889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D891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D893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D894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D896" authorId="0" shape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D897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D899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D900" authorId="0" shape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D901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D903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05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07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09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11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13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D915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17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19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D921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D922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D924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D926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D928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D930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D932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D934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D936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D938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D940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D941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D943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D944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D945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D946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D947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D948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D949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D950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D951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D952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D954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D956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D958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D960" authorId="0" shape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D961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D963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D965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D967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D969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D971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D973" authorId="0" shape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D974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D976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D977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I2663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4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5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6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7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8" authorId="0" shapeId="0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9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0" authorId="0" shapeId="0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1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2" authorId="0" shapeId="0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3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Ruy  José da Costa</author>
    <author>tc={5FC31934-AB22-4F3E-9B20-DFE12845400D}</author>
    <author>tc={2DFCE39C-FDE6-4E0A-A9C4-1406F8FAAD02}</author>
    <author>tc={8F202691-1054-41DA-8FAC-3C3F7552B7CF}</author>
    <author>tc={AD239EC1-8C90-486B-BD39-B2018521553F}</author>
    <author>tc={666BBD8A-3D02-4A94-AE51-920341218884}</author>
    <author>tc={F2A7144D-D76C-40F2-8B5B-828A2609D49A}</author>
    <author>tc={643DF122-B8E2-4B22-AD9C-42F631537612}</author>
    <author>PARANACIDADE: Ruy  Jose da Costa</author>
  </authors>
  <commentList>
    <comment ref="D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L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S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V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D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L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R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I25" authorId="0" shape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I26" authorId="0" shape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I27" authorId="0" shape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D482" authorId="1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483" authorId="2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484" authorId="3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485" authorId="4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486" authorId="5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487" authorId="6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490" authorId="7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I584" authorId="0" shape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I585" authorId="0" shape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I586" authorId="0" shape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I605" authorId="0" shape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I609" authorId="0" shape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I613" authorId="0" shape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617" authorId="0" shape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798" authorId="8" shapeId="0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99" authorId="8" shapeId="0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0" authorId="8" shapeId="0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1" authorId="8" shapeId="0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2" authorId="8" shapeId="0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3" authorId="8" shapeId="0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4" authorId="8" shapeId="0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5" authorId="8" shapeId="0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6" authorId="8" shapeId="0">
      <text>
        <r>
          <rPr>
            <b/>
            <sz val="12"/>
            <color indexed="81"/>
            <rFont val="Tahoma"/>
            <family val="2"/>
          </rPr>
          <t>CUSTO DA PLACA (R$/M2) * CONSUMO (0,2400)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1" authorId="0" shape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D842" authorId="0" shape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D843" authorId="0" shape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4" authorId="0" shape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5" authorId="0" shape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6" authorId="0" shape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8" authorId="0" shape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D850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2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D854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6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8" authorId="0" shape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D860" authorId="0" shape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2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D864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6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D868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9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D871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D873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D875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D877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D879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81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D883" authorId="0" shape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D884" authorId="0" shape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D885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D886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D887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D889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D891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D893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D894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D896" authorId="0" shape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D897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D899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D900" authorId="0" shape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D901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D903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05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07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09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11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13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D915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17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19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D921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D922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D924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D926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D928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D930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D932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D934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D936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D938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D940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D941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D943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D944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D945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D946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D947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D948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D949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D950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D951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D952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D954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D956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D958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D960" authorId="0" shape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D961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D963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D965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D967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D969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D971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D973" authorId="0" shape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D974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D976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D977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I2663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4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5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6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7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8" authorId="0" shapeId="0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9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0" authorId="0" shapeId="0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1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2" authorId="0" shapeId="0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3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Ruy  José da Costa</author>
    <author>tc={B21CE5DF-3204-43FA-9527-C0E363FA6383}</author>
    <author>tc={C4D17C61-7CC9-4A63-A210-8A313723F587}</author>
    <author>tc={B9FD03B7-7B32-4B40-9FC5-66E98EA634FE}</author>
    <author>tc={AFAD0097-5701-443F-8482-F343159FD4B8}</author>
    <author>tc={3A442FF2-C32F-4479-8B5D-7391C8108F8A}</author>
    <author>tc={EBC9E25F-919C-42DB-B590-686305158847}</author>
    <author>tc={16AD9161-3942-4AF6-80CD-C700DDA18265}</author>
    <author>PARANACIDADE: Ruy  Jose da Costa</author>
  </authors>
  <commentList>
    <comment ref="D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L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S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V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D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L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R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I25" authorId="0" shape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I26" authorId="0" shape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I27" authorId="0" shape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D482" authorId="1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483" authorId="2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484" authorId="3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485" authorId="4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486" authorId="5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487" authorId="6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490" authorId="7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I584" authorId="0" shape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I585" authorId="0" shape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I586" authorId="0" shape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I605" authorId="0" shape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I609" authorId="0" shape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I613" authorId="0" shape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617" authorId="0" shape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798" authorId="8" shapeId="0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99" authorId="8" shapeId="0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0" authorId="8" shapeId="0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1" authorId="8" shapeId="0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2" authorId="8" shapeId="0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3" authorId="8" shapeId="0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4" authorId="8" shapeId="0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5" authorId="8" shapeId="0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6" authorId="8" shapeId="0">
      <text>
        <r>
          <rPr>
            <b/>
            <sz val="12"/>
            <color indexed="81"/>
            <rFont val="Tahoma"/>
            <family val="2"/>
          </rPr>
          <t>CUSTO DA PLACA (R$/M2) * CONSUMO (0,2400)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1" authorId="0" shape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D842" authorId="0" shape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D843" authorId="0" shape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4" authorId="0" shape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5" authorId="0" shape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6" authorId="0" shape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8" authorId="0" shape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D850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2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D854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6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8" authorId="0" shape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D860" authorId="0" shape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2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D864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6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D868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9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D871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D873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D875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D877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D879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81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D883" authorId="0" shape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D884" authorId="0" shape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D885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D886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D887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D889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D891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D893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D894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D896" authorId="0" shape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D897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D899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D900" authorId="0" shape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D901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D903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05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07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09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11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13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D915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17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19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D921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D922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D924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D926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D928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D930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D932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D934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D936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D938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D940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D941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D943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D944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D945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D946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D947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D948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D949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D950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D951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D952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D954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D956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D958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D960" authorId="0" shape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D961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D963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D965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D967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D969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D971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D973" authorId="0" shape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D974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D976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D977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I2663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4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5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6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7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8" authorId="0" shapeId="0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9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0" authorId="0" shapeId="0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1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2" authorId="0" shapeId="0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3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Ruy  José da Costa</author>
    <author>tc={ACE75331-703F-4080-90AC-885AC1C2F277}</author>
    <author>tc={81B1CB9A-C56D-40F9-8690-9D848DE54186}</author>
    <author>tc={2ED73573-5097-440A-B815-17A56E6302B9}</author>
    <author>tc={2BC149BE-DC05-44F3-A8D9-EAE56EBD3083}</author>
    <author>tc={2C20458D-4962-46B1-9226-999CD1EABDD4}</author>
    <author>tc={9898CD0D-3C9F-4788-A807-AC2078CAEF07}</author>
    <author>tc={2A8BE286-C37D-4A52-B1CF-B19F6D54C1B8}</author>
    <author>PARANACIDADE: Ruy  Jose da Costa</author>
  </authors>
  <commentList>
    <comment ref="D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L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S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V1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CARTILHA</t>
        </r>
        <r>
          <rPr>
            <sz val="8"/>
            <color indexed="81"/>
            <rFont val="Segoe UI"/>
            <family val="2"/>
          </rPr>
          <t>"</t>
        </r>
      </text>
    </comment>
    <comment ref="D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L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R3" authorId="0" shapeId="0">
      <text>
        <r>
          <rPr>
            <b/>
            <sz val="8"/>
            <color indexed="81"/>
            <rFont val="Segoe UI"/>
            <family val="2"/>
          </rPr>
          <t>Ruy  José da Costa:</t>
        </r>
        <r>
          <rPr>
            <sz val="8"/>
            <color indexed="81"/>
            <rFont val="Segoe UI"/>
            <family val="2"/>
          </rPr>
          <t xml:space="preserve">
FILTRO PARA EDITAL
    "</t>
        </r>
        <r>
          <rPr>
            <b/>
            <sz val="8"/>
            <color indexed="81"/>
            <rFont val="Segoe UI"/>
            <family val="2"/>
          </rPr>
          <t>ANEXO</t>
        </r>
        <r>
          <rPr>
            <sz val="8"/>
            <color indexed="81"/>
            <rFont val="Segoe UI"/>
            <family val="2"/>
          </rPr>
          <t>"</t>
        </r>
      </text>
    </comment>
    <comment ref="I25" authorId="0" shape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I26" authorId="0" shape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I27" authorId="0" shape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D482" authorId="1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>
        </r>
      </text>
    </comment>
    <comment ref="D483" authorId="2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>
        </r>
      </text>
    </comment>
    <comment ref="D484" authorId="3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>
        </r>
      </text>
    </comment>
    <comment ref="D485" authorId="4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>
        </r>
      </text>
    </comment>
    <comment ref="D486" authorId="5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>
        </r>
      </text>
    </comment>
    <comment ref="D487" authorId="6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>
        </r>
      </text>
    </comment>
    <comment ref="D490" authorId="7" shapeId="0">
      <text>
        <r>
          <rPr>
            <sz val="8"/>
            <rFont val="Arial"/>
          </rPr>
  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>
        </r>
      </text>
    </comment>
    <comment ref="I584" authorId="0" shapeId="0">
      <text>
        <r>
          <rPr>
            <b/>
            <sz val="8"/>
            <color indexed="81"/>
            <rFont val="Segoe UI"/>
            <family val="2"/>
          </rPr>
          <t>=MF3 pré x 0,50294</t>
        </r>
      </text>
    </comment>
    <comment ref="I585" authorId="0" shapeId="0">
      <text>
        <r>
          <rPr>
            <b/>
            <sz val="8"/>
            <color indexed="81"/>
            <rFont val="Segoe UI"/>
            <family val="2"/>
          </rPr>
          <t>=MF3 pré x 0,33088</t>
        </r>
      </text>
    </comment>
    <comment ref="I586" authorId="0" shapeId="0">
      <text>
        <r>
          <rPr>
            <b/>
            <sz val="8"/>
            <color indexed="81"/>
            <rFont val="Segoe UI"/>
            <family val="2"/>
          </rPr>
          <t>=MF3 pré x 0,411765</t>
        </r>
      </text>
    </comment>
    <comment ref="I605" authorId="0" shapeId="0">
      <text>
        <r>
          <rPr>
            <b/>
            <sz val="12"/>
            <color indexed="81"/>
            <rFont val="Segoe UI"/>
            <family val="2"/>
          </rPr>
          <t>Cocncreto Símples x 0,05
Transporte x 0,05
Forma (0,05*2m/m2)
 (2 aproveitamentos)  =  =2*0,05*I445 /2
Regularização = I 436</t>
        </r>
        <r>
          <rPr>
            <b/>
            <sz val="8"/>
            <color indexed="81"/>
            <rFont val="Segoe UI"/>
            <family val="2"/>
          </rPr>
          <t xml:space="preserve">
</t>
        </r>
      </text>
    </comment>
    <comment ref="I609" authorId="0" shapeId="0">
      <text>
        <r>
          <rPr>
            <b/>
            <sz val="12"/>
            <color indexed="81"/>
            <rFont val="Segoe UI"/>
            <family val="2"/>
          </rPr>
          <t xml:space="preserve">Cocncreto Símples x 0,06
Transporte x 0,06
Forma (0,06*2m/m2)
 (2 aproveitamentos)  =  =2*0,06*I445 /2
Regularização = I 436
</t>
        </r>
      </text>
    </comment>
    <comment ref="I613" authorId="0" shapeId="0">
      <text>
        <r>
          <rPr>
            <b/>
            <sz val="12"/>
            <color indexed="81"/>
            <rFont val="Segoe UI"/>
            <family val="2"/>
          </rPr>
          <t>Cocncreto Símples x 0,07
Transporte x 0,07
Forma (0,07*2m/m2)
 (2 aproveitamentos)  =  =2*0,07*I445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617" authorId="0" shapeId="0">
      <text>
        <r>
          <rPr>
            <b/>
            <sz val="12"/>
            <color indexed="81"/>
            <rFont val="Segoe UI"/>
            <family val="2"/>
          </rPr>
          <t>Cocncreto Símples x 0,08
Transporte x 0,08
Forma (0,08*2m/m2)
 (2 aproveitamentos)  =  =2*0,08*I445 /2
Regularização = I 436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798" authorId="8" shapeId="0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799" authorId="8" shapeId="0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0" authorId="8" shapeId="0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1" authorId="8" shapeId="0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DE MADEIRA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2" authorId="8" shapeId="0">
      <text>
        <r>
          <rPr>
            <b/>
            <sz val="12"/>
            <color indexed="81"/>
            <rFont val="Tahoma"/>
            <family val="2"/>
          </rPr>
          <t>CUSTO DA PLACA (R$/M2) * CONSUMO (0,1964)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3" authorId="8" shapeId="0">
      <text>
        <r>
          <rPr>
            <b/>
            <sz val="12"/>
            <color indexed="81"/>
            <rFont val="Tahoma"/>
            <family val="2"/>
          </rPr>
          <t>CUSTO DA PLACA (R$/M2) * CONSUMO (0,1219)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4" authorId="8" shapeId="0">
      <text>
        <r>
          <rPr>
            <b/>
            <sz val="12"/>
            <color indexed="81"/>
            <rFont val="Tahoma"/>
            <family val="2"/>
          </rPr>
          <t>CUSTO DA PLACA (R$/M2) * CONSUMO (0,2160)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5" authorId="8" shapeId="0">
      <text>
        <r>
          <rPr>
            <b/>
            <sz val="12"/>
            <color indexed="81"/>
            <rFont val="Tahoma"/>
            <family val="2"/>
          </rPr>
          <t>CUSTO DA PLACA (R$/M2) * CONSUMO (0,2025)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806" authorId="8" shapeId="0">
      <text>
        <r>
          <rPr>
            <b/>
            <sz val="12"/>
            <color indexed="81"/>
            <rFont val="Tahoma"/>
            <family val="2"/>
          </rPr>
          <t>CUSTO DA PLACA (R$/M2) * CONSUMO (0,2400)  + CUSTO DE UM
SUPORTE METÁLICO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1" authorId="0" shapeId="0">
      <text>
        <r>
          <rPr>
            <sz val="8"/>
            <color indexed="81"/>
            <rFont val="Segoe UI"/>
            <family val="2"/>
          </rPr>
          <t xml:space="preserve">COPEL:
Compreende a locação de estruturas e estais correspondentes, em ramais que permitam
visadas diretas, respeitando as limitações impostas em função dos vãos mecânicos,
elétricos e bitola do condutor, para a implantação da estrutura.
Estão incluídos a marcação dos pontos de derivação, ângulo aproximado, anotações dos
detalhes da faixa na caderneta, desenho definitivo, e inclusive, as locações previstas na
atividade 703. Inclui ainda todo e qualquer deslocamento de pessoal.
</t>
        </r>
      </text>
    </comment>
    <comment ref="D842" authorId="0" shapeId="0">
      <text>
        <r>
          <rPr>
            <b/>
            <sz val="8"/>
            <color indexed="81"/>
            <rFont val="Segoe UI"/>
            <family val="2"/>
          </rPr>
          <t>COPEL:
Consiste na determinação com uso de teodolito e balizas, do ponto exato no terreno, onde
será instalada a estrutura projetada, identificados através de piquetes e estacas conforme
modelo COPEL.
Toda locação que coincida com o piquete da topografia, não deve ser paga</t>
        </r>
      </text>
    </comment>
    <comment ref="D843" authorId="0" shapeId="0">
      <text>
        <r>
          <rPr>
            <b/>
            <sz val="8"/>
            <color indexed="81"/>
            <rFont val="Segoe UI"/>
            <family val="2"/>
          </rPr>
          <t>COPEL:
Consiste na determinação com uso de balizas e excepcionalmente teodolito, do ponto
exato no terreno onde será instalada a estrutura projetada, (extensão, intercalação ou
deslocamento).
Esta atividade não deve ser considerada quando da substituição de poste que ocupe o
mesmo local do poste a ser substituído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4" authorId="0" shapeId="0">
      <text>
        <r>
          <rPr>
            <b/>
            <sz val="8"/>
            <color indexed="81"/>
            <rFont val="Segoe UI"/>
            <family val="2"/>
          </rPr>
          <t>COPEL:
Consiste na escavação necessária, prumagem, alinhamento e apiloamento de estrutura
montada existente, sem desconectar as ligações, amarrações e/ou retirar equipamentos.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5" authorId="0" shapeId="0">
      <text>
        <r>
          <rPr>
            <b/>
            <sz val="8"/>
            <color indexed="81"/>
            <rFont val="Segoe UI"/>
            <family val="2"/>
          </rPr>
          <t>COPEL:
Compreende o deslocamento de estrutura equipada existente em até 0,30 metros do seu
ponto original, para efetuar a relocação, alinhamento, virada ou a altura de engastamento
fora de padrão, incluindo a escavação complementar, prumagem e apiloamento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6" authorId="0" shape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 e apiloamento de poste auxiliar para entrada de
serviço da unidade consumidora, incluindo a distribuição no local de aplicação. 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48" authorId="0" shapeId="0">
      <text>
        <r>
          <rPr>
            <b/>
            <sz val="8"/>
            <color indexed="81"/>
            <rFont val="Segoe UI"/>
            <family val="2"/>
          </rPr>
          <t xml:space="preserve">COPEL:
Consiste no levantamento, prumagem, alinhamento e apiloamento de postes até 12 metros de altura e resistência nominal até 1000 daN, incluindo a distribuição do local onde se acha
depositado até o ponto de aplicação. </t>
        </r>
      </text>
    </comment>
    <comment ref="D850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até 12 metros
de altura e resistência nominal acima 1000 daN, incluindo a distribuição do local onde se
acha depositado até ao ponto de aplicação.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2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entre 13 a 15
metros de altura, incluindo a distribuição do local onde se acha depositado até ao ponto de
aplicação. 
Nesta atividade já está considerado a utilização de veículo equipado com guindauto
especial.</t>
        </r>
      </text>
    </comment>
    <comment ref="D854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de 15 a 18
metros de 
Nesta atividade já está considerado a utilização de veículo equipado com guindauto
especial.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6" authorId="0" shapeId="0">
      <text>
        <r>
          <rPr>
            <b/>
            <sz val="8"/>
            <color indexed="81"/>
            <rFont val="Segoe UI"/>
            <family val="2"/>
          </rPr>
          <t>COPEL:
Consiste no levantamento, prumagem, alinhamento e apiloamento de postes acima de 18
metros de altura, incluindo a distribuição do local onde se acha depositado até ao ponto de
aplicação. Nesta atividade já está considerado a utilização de veículo equipado com guindauto
especial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58" authorId="0" shapeId="0">
      <text>
        <r>
          <rPr>
            <b/>
            <sz val="8"/>
            <color indexed="81"/>
            <rFont val="Segoe UI"/>
            <family val="2"/>
          </rPr>
          <t>COPEL:
Compreende os seguintes serviços:
- preparação do material (poste de madeira, concreto ou trilho)
- abertura da cava
- levantamento e apiloamento do elemento protetor (pedaço de poste)
- fornecimento da tinta
- pintura das faixas nas cores amarela e preta</t>
        </r>
      </text>
    </comment>
    <comment ref="D860" authorId="0" shapeId="0">
      <text>
        <r>
          <rPr>
            <b/>
            <sz val="8"/>
            <color indexed="81"/>
            <rFont val="Segoe UI"/>
            <family val="2"/>
          </rPr>
          <t>COPEL:
Consiste na instalação de tubo de concreto simples, separado em duas partes, em torno
do poste, conforme procedimentos definidos na Recomendação Técnica nº 006 - Defensa
de Poste. Esta atividade inclui ainda o fornecimento de todos os materiais necessários, seu
transporte até o local de instalação e pintura da defensa.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2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montagem, instalação e fixação da cadeia de isoladores de disco e olhal na
cruzeta ou no poste. Esta atividade também remunera, quando se tratar de acréscimo ou substituição de isolador(es) na cadeia existente.</t>
        </r>
      </text>
    </comment>
    <comment ref="D864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de cruzeta simples de madeira, concreto ou aço sem isoladores,
independente do comprimento.
Nesta atividade paga-se também o deslocamento na própria estrutura, de cruzeta simples
de qualquer tipo, independente do comprimento, para melhoria de redes, cotas de
afastamento, cruzamento aéreos ou virada do poste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6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instalação de cruzeta dupla de madeira, concreto ou aço sem isoladores,
independente do comprimento.</t>
        </r>
      </text>
    </comment>
    <comment ref="D868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reinstalação no mesmo poste de cruzeta dupla de madeira, concreto ou
aço, independente do comprimento, para melhoria de rede, cotas de afastamento,
cruzamento aéreo ou virada do poste.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69" authorId="0" shapeId="0">
      <text>
        <r>
          <rPr>
            <b/>
            <sz val="8"/>
            <color indexed="81"/>
            <rFont val="Segoe UI"/>
            <family val="2"/>
          </rPr>
          <t>COPEL: ESTRUTURAS PRIMÁRIAS
Compreende a instalação do isolador no pino</t>
        </r>
      </text>
    </comment>
    <comment ref="D871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T, para fixação de chaves ou pára-raios de distribuição</t>
        </r>
      </text>
    </comment>
    <comment ref="D873" authorId="0" shapeId="0">
      <text>
        <r>
          <rPr>
            <b/>
            <sz val="8"/>
            <color indexed="81"/>
            <rFont val="Segoe UI"/>
            <family val="2"/>
          </rPr>
          <t>COPEL: ESTRUTURAS PRIMÁRIAS
Consiste na instalação do suporte ou afastador para isolador pilar.</t>
        </r>
      </text>
    </comment>
    <comment ref="D875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suporte em cruzeta para fixação da luminária, armação
secundária e medição centralizada.</t>
        </r>
      </text>
    </comment>
    <comment ref="D877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do afastador de rede secundária, para atender a cota mínima de segurança.</t>
        </r>
      </text>
    </comment>
    <comment ref="D879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1 (um) estribo ou parafuso olhal.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D881" authorId="0" shapeId="0">
      <text>
        <r>
          <rPr>
            <b/>
            <sz val="8"/>
            <color indexed="81"/>
            <rFont val="Segoe UI"/>
            <family val="2"/>
          </rPr>
          <t>COPEL: ESTRUTURAS SECUNDÁRIAS
Compreende a instalação da armação secundária com mais de 1 (um) estribo.</t>
        </r>
      </text>
    </comment>
    <comment ref="D883" authorId="0" shapeId="0">
      <text>
        <r>
          <rPr>
            <b/>
            <sz val="8"/>
            <color indexed="81"/>
            <rFont val="Segoe UI"/>
            <family val="2"/>
          </rPr>
          <t>COPEL: ESTRUTURAS SECUNDÁRIAS
Consiste no deslocamento ou reinstalação da armação secundária com mais de 1 (um)
estribo, inclusive a mudança da face do poste.</t>
        </r>
      </text>
    </comment>
    <comment ref="D884" authorId="0" shapeId="0">
      <text>
        <r>
          <rPr>
            <b/>
            <sz val="8"/>
            <color indexed="81"/>
            <rFont val="Segoe UI"/>
            <family val="2"/>
          </rPr>
          <t>COPEL: ESTAIS E ANCORAGEM
Consiste no corte de poste de concreto, para aproveitamento como escora de subsolo,
incluindo o transporte até ao local de aplicação.</t>
        </r>
      </text>
    </comment>
    <comment ref="D885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a instalação de placa de concreto ou pedaço
de poste de concreto, com 1,00 metro, para escora simples (superfície) de poste ou
contraposte, incluindo o apiloamento e fechamento da cava.</t>
        </r>
      </text>
    </comment>
    <comment ref="D886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abertura complementar da cava, na instalação de placa de concreto armado
ou pedaço de poste de concreto, com 1 (um) metro, para escora dupla, (fundo e
superfície), em poste ou contraposte, incluindo o apiloamento e fechamento da cava.</t>
        </r>
      </text>
    </comment>
    <comment ref="D887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de haste de âncora e placa de concreto armado, em cava já aberta,
incluindo a fixação do cabo de aço simples ou reforçado, para alta ou baixa tensão.
Quando se tratar de estais em primário e secundário ou para manter o equilíbrio mecânico
da cruzeta, que aproveita a mesma haste de âncora, um dos estais deve ser considerado
como estai de poste a poste. A retirada compreende a retirada do cabo de aço e
acessórios de fixação, o corte da haste de âncora a 0,60 metros de profundidade.</t>
        </r>
      </text>
    </comment>
    <comment ref="D889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contraposte simples para alta ou baixa tensão.
Quando se tratar de estais de alta e baixa tensão simultaneamente no mesmo contraposte,
um dos estais deve ser considerado como estai poste a poste.
*A retirada compreende a retirada de cabo de aço, acessórios de fixação e contraposte, e
o fechamento da cava e limpeza do local.</t>
        </r>
      </text>
    </comment>
    <comment ref="D891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estai de poste a poste, para alta ou baixa tensão.</t>
        </r>
      </text>
    </comment>
    <comment ref="D893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e retirada de estai provisório durante o lançamento e tensionamento de cabos.</t>
        </r>
      </text>
    </comment>
    <comment ref="D894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perfuração da rocha, utilizando compressor, martelete, na profundidade e
diâmetro estabelecidos, para fixação de haste de âncora com parafuso, envolvidos em
nata de cimento e areia com traço 1:1,5 respectivamente. Inclui o fornecimento de cimento e areia pela empreiteira. A desmontagem consiste na retirada do estai e corte de haste de âncora ao nível do solo.</t>
        </r>
      </text>
    </comment>
    <comment ref="D896" authorId="0" shapeId="0">
      <text>
        <r>
          <rPr>
            <b/>
            <sz val="8"/>
            <color indexed="81"/>
            <rFont val="Segoe UI"/>
            <family val="2"/>
          </rPr>
          <t>COPEL: ESTAIS E ANCORAGEM
Consiste no retensionamento de cabo de aço em estai de âncora, contraposte ou poste a poste, simples ou reforçado, existente.</t>
        </r>
      </text>
    </comment>
    <comment ref="D897" authorId="0" shapeId="0">
      <text>
        <r>
          <rPr>
            <b/>
            <sz val="8"/>
            <color indexed="81"/>
            <rFont val="Segoe UI"/>
            <family val="2"/>
          </rPr>
          <t>COPEL: ESTAIS E ANCORAGEM
Consiste na instalação do dispositivo para segurança no estai de âncora</t>
        </r>
      </text>
    </comment>
    <comment ref="D899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preparação e execução de sapata de concreto, com traço 1:3:5 (cimento,
areia e pedra) em cava já aberta, para fixação do poste ou estai de âncora em terrenos
inconsistentes, nos padrões exigidos, incluindo o fornecimento do material pela
empreiteira.</t>
        </r>
      </text>
    </comment>
    <comment ref="D900" authorId="0" shapeId="0">
      <text>
        <r>
          <rPr>
            <b/>
            <sz val="8"/>
            <color indexed="81"/>
            <rFont val="Segoe UI"/>
            <family val="2"/>
          </rPr>
          <t>COPEL: ESTAIS E ANCORAGEM</t>
        </r>
        <r>
          <rPr>
            <sz val="8"/>
            <color indexed="81"/>
            <rFont val="Segoe UI"/>
            <family val="2"/>
          </rPr>
          <t xml:space="preserve">
*A retirada de concreto do poste deve ser feita sem danificá-lo e, quanto a âncora de estai,
cortá-la a 0,60 metros de profundidade. Inclui a escavação, fechamento da cava e limpeza
do local.</t>
        </r>
      </text>
    </comment>
    <comment ref="D901" authorId="0" shapeId="0">
      <text>
        <r>
          <rPr>
            <b/>
            <sz val="8"/>
            <color indexed="81"/>
            <rFont val="Segoe UI"/>
            <family val="2"/>
          </rPr>
          <t>COPEL: ESTAIS E ANCORAGEM
Compreende a instalação do sinalizador de estai de âncora para melhorar a visualização
do esta</t>
        </r>
      </text>
    </comment>
    <comment ref="D903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05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07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09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11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</t>
        </r>
      </text>
    </comment>
    <comment ref="D913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no lançamento, tensionamento, regulagem e encabeçamento do cabo.
</t>
        </r>
      </text>
    </comment>
    <comment ref="D915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17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Consiste no lançamento, tensionamento, regulagem e encabeçamento do cabo.</t>
        </r>
      </text>
    </comment>
    <comment ref="D919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lançamento de cabo em eletroduto subterrâneo ou em descida de poste,
para atendimento de alta tensão, independente do número de fases, incluindo as conexões, exceto ligação à rede.</t>
        </r>
      </text>
    </comment>
    <comment ref="D921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o retensionamento e regulagem de cabos em alta tensão, por cabo,
independente do tipo e bitola. A desamarração, amarração, emenda, cruzamento aéreo e jumpers, devem ser pagos separadamente</t>
        </r>
      </text>
    </comment>
    <comment ref="D922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PRIMÁRIA
Consiste na instalação da canaleta de proteção do cabo em redes de distribuição aérea,
independente da bitola do cabo.
</t>
        </r>
      </text>
    </comment>
    <comment ref="D924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de eletroduto rígido ou flexível e fita de alerta para eletroduto
subterrâneo, em vala já aberta, para atendimento em redes de alta tensão ou baixa tensão.</t>
        </r>
      </text>
    </comment>
    <comment ref="D926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PRIMÁRIA
Compreende a instalação da esfera de sinalização em cabo, para a identificação visual da rede.</t>
        </r>
      </text>
    </comment>
    <comment ref="D928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D930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</t>
        </r>
      </text>
    </comment>
    <comment ref="D932" authorId="0" shapeId="0">
      <text>
        <r>
          <rPr>
            <b/>
            <sz val="8"/>
            <color indexed="81"/>
            <rFont val="Segoe UI"/>
            <family val="2"/>
          </rPr>
          <t xml:space="preserve">COPEL: LANÇAMENTO E TRACIONAMENTO DE CABOS DA SECUNDÁRIA
Consiste no lançamento, tensionamento, regulagem e encabeçamento do cabo.
</t>
        </r>
      </text>
    </comment>
    <comment ref="D934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Consiste no lançamento, tensionamento, regulagem e encabeçamento do cabo.</t>
        </r>
      </text>
    </comment>
    <comment ref="D936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lançamento de cabo em eletroduto subterrâneo ou descida de poste, para
atendimento em baixa tensão (BT), independente do número de fases, incluindo as
conexões, exceto ligação à rede.</t>
        </r>
      </text>
    </comment>
    <comment ref="D938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a aplicação de espaçador em vão de baixa tensão, para assegurar a
distância mínima entre fases.</t>
        </r>
      </text>
    </comment>
    <comment ref="D940" authorId="0" shapeId="0">
      <text>
        <r>
          <rPr>
            <b/>
            <sz val="8"/>
            <color indexed="81"/>
            <rFont val="Segoe UI"/>
            <family val="2"/>
          </rPr>
          <t>COPEL: LANÇAMENTO E TRACIONAMENTO DE CABOS DA SECUNDÁRIA
Compreende o retensionamento e regulagem de cabos em baixa tensão, por cabo,
independente do tipo e bitola. A desamarração, amarração, emenda, cruzamento aéreo e
jumpers, devem ser pagos separadamente.</t>
        </r>
      </text>
    </comment>
    <comment ref="D941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instalação do fio de aço-cobre em posto de transformador monofásico ou
trifásico na tensão 33 kV, para atuar como descida suplementar de proteção. Estão incluídos a instalação do eletroduto de PVC no poste e a solda exotérmica necessária.</t>
        </r>
      </text>
    </comment>
    <comment ref="D943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instalação de
aterramento temporário de rede de BT.</t>
        </r>
      </text>
    </comment>
    <comment ref="D944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realização do teste de ausência de tensão, fixação e retirada do trado no solo,
instalação e retirada do conjunto de aterramento temporário de rede de AT.</t>
        </r>
      </text>
    </comment>
    <comment ref="D945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fio de aço-cobre, conexão aos equipamentos, escavação complementar, cravação da haste no solo, execução de solda exotérmica, a medição de resistência do aterramento e fechamento da cava.
Inclui a aplicação do eletroduto de PVC no poste quando necessário. Nesta atividade paga-se também a realização do serviço de fiscalização por amostragem dos aterramentos de AT, a razão de 60% da U.S.</t>
        </r>
      </text>
    </comment>
    <comment ref="D946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de aço-cobre no solo, solda exotérmica necessária,
Medição da resistência do aterramento e fechamento da cava. Nesta atividade paga-se também o 
aterramento da entrada de serviço de consumidor, inclusive a conexão na carcaça.</t>
        </r>
      </text>
    </comment>
    <comment ref="D947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cravação da haste de aço-cobre, execução da solda, medição da
resistência de aterramento e fechamento da cava.</t>
        </r>
      </text>
    </comment>
    <comment ref="D948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cravação da haste zincada no solo, a interligação dos fios da cerca, através de
arame, sua fixação no mourão com grampos U para madeira e a conexão na haste de aterramento cravada.</t>
        </r>
      </text>
    </comment>
    <comment ref="D949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abertura de valeta de 0,60 metro de profundidade mínima, exceto em
rocha, incluindo o lançamento do fio de aço-cobre e fechamento da valeta.</t>
        </r>
      </text>
    </comment>
    <comment ref="D950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Consiste na aplicação do produto químico para tratamento do solo, afim de reduzir o valor
da sua resistividade. Estão incluídos os serviços de preparação da cava, utilização de água
até encharcar o solo em torno da haste, aplicação de produto na cava com a mistura de
terra até formação da pasta e a compactação do solo.
Inclui o transporte de todo o material necessário.</t>
        </r>
      </text>
    </comment>
    <comment ref="D951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preparação do equipamento, a análise de riscos, o teste de ausência de
tensão, a instalação do trado no solo, a instalação da sela no poste, e as conexões do
aterramento à rede elétrica. Consiste ainda a retirada e acondicionamento do
equipamento. Este item deve ser pago por estrutura onde houver instalação do
aterramento, independente da quantidade de eletricistas que escalar a estrutura</t>
        </r>
      </text>
    </comment>
    <comment ref="D952" authorId="0" shapeId="0">
      <text>
        <r>
          <rPr>
            <b/>
            <sz val="8"/>
            <color indexed="81"/>
            <rFont val="Segoe UI"/>
            <family val="2"/>
          </rPr>
          <t>COPEL: ATERRAMENTOS E SECCIONAMENTGOS
Compreende a aplicação do seccionador preformado para aterramento de cerca, em
qualquer tipo de fio e o acabamento de modo a interrompê-lo fisicamente.</t>
        </r>
      </text>
    </comment>
    <comment ref="D954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base para relé de iluminação pública de comando em grupo
ou individual e as conexões necessárias, exceto ligação à rede.</t>
        </r>
      </text>
    </comment>
    <comment ref="D956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de iluminação pública de até 2 metros de comprimento,
com luminária aberta ou fechada com lâmpada mista, incandescente, vapor de mercúrio
(VMC) ou vapor de sódio (VSA), incluindo a aplicação do fio no braço e as conexões
necessárias, exceto ligação à rede.</t>
        </r>
      </text>
    </comment>
    <comment ref="D958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braço para iluminação pública acima de 2 metros de
comprimento, com luminária aberta ou fechada com lâmpada mista, incandescente, vapor
de mercúrio (VMC) ou vapor de sódio (VSA), incluindo a aplicação do fio no braço e as
conexões necessárias, exceto ligação à rede.</t>
        </r>
      </text>
    </comment>
    <comment ref="D960" authorId="0" shapeId="0">
      <text>
        <r>
          <rPr>
            <b/>
            <sz val="8"/>
            <color indexed="81"/>
            <rFont val="Segoe UI"/>
            <family val="2"/>
          </rPr>
          <t>COPEL: COPEL: ILUMINAÇÃO PÚBLICA
Consiste no deslocamento da luminária montada, independente do tipo, para respeitar a
cota de afastamento ou possibilitar um melhor padrão de iluminação da área, exceto
ligação à rede.</t>
        </r>
      </text>
    </comment>
    <comment ref="D961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luminária e lâmpada, em braço já instalado de iluminação
pública, independente do tipo de luminária, incluindo as conexões necessárias, exceto
ligação à rede.</t>
        </r>
      </text>
    </comment>
    <comment ref="D963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da luminária tipo pétala, para iluminação pública, incluindo as
conexões necessárias, inclusive montagem de andaime quando necessário.</t>
        </r>
      </text>
    </comment>
    <comment ref="D965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de aço
escalonado tipo chicote, simples ou duplo, instalação de luminária e as conexões
necessárias, inclusive a pintura do poste, quando necessária.</t>
        </r>
      </text>
    </comment>
    <comment ref="D967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locação, abertura da cava, levantamento de poste ornamental com
luminária decorativa e as conexões necessárias, inclui a pintura de poste quando
necessária.</t>
        </r>
      </text>
    </comment>
    <comment ref="D969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reator de iluminação pública, para lâmpada de qualquer tipo,
inclusive as conexões necessárias, exceto ligação à rede.</t>
        </r>
      </text>
    </comment>
    <comment ref="D971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do refletor com lâmpada, incluindo a regulagem e conexões
necessárias, exceto ligação à rede.</t>
        </r>
      </text>
    </comment>
    <comment ref="D973" authorId="0" shapeId="0">
      <text>
        <r>
          <rPr>
            <b/>
            <sz val="8"/>
            <color indexed="81"/>
            <rFont val="Segoe UI"/>
            <family val="2"/>
          </rPr>
          <t>COPEL: ILUMINAÇÃO PÚBLICA
Consiste na retirada do conjunto braço e luminária montados e sua reinstalação no mesmo
poste ou outro poste da mesma obra, incluindo a conexão necessárias, exceto ligação à
rede.</t>
        </r>
      </text>
    </comment>
    <comment ref="D974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D976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relé fotoelétrico de iluminação pública.</t>
        </r>
      </text>
    </comment>
    <comment ref="D977" authorId="0" shapeId="0">
      <text>
        <r>
          <rPr>
            <b/>
            <sz val="8"/>
            <color indexed="81"/>
            <rFont val="Segoe UI"/>
            <family val="2"/>
          </rPr>
          <t>COPEL: ILUMINAÇÃO PÚBLICA
Compreende a instalação de caixa padrão COPEL, tipo A ou B, para circuito de iluminação
pública, incluindo a fixação do eletroduto no poste, a fiação imbutida, e as conexões
necessárias, exceto ligação à rede.</t>
        </r>
      </text>
    </comment>
    <comment ref="I2663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4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5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6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7" authorId="0" shapeId="0">
      <text>
        <r>
          <rPr>
            <b/>
            <sz val="8"/>
            <color indexed="81"/>
            <rFont val="Segoe UI"/>
            <family val="2"/>
          </rPr>
          <t>Mínimo um ensaio
Cada 100m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8" authorId="0" shapeId="0">
      <text>
        <r>
          <rPr>
            <b/>
            <sz val="8"/>
            <color indexed="81"/>
            <rFont val="Segoe UI"/>
            <family val="2"/>
          </rPr>
          <t>Mínimo um ensaio
Cada 800m2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69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0" authorId="0" shapeId="0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1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2" authorId="0" shapeId="0">
      <text>
        <r>
          <rPr>
            <b/>
            <sz val="8"/>
            <color indexed="81"/>
            <rFont val="Segoe UI"/>
            <family val="2"/>
          </rPr>
          <t>Mínimo um ensaio
Cada 700m2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  <comment ref="I2673" authorId="0" shapeId="0">
      <text>
        <r>
          <rPr>
            <b/>
            <sz val="8"/>
            <color indexed="81"/>
            <rFont val="Segoe UI"/>
            <family val="2"/>
          </rPr>
          <t>Mínimo um ensaio
Cada 600m2 de pista</t>
        </r>
        <r>
          <rPr>
            <sz val="8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<sst xmlns="http://schemas.openxmlformats.org/spreadsheetml/2006/main" count="39300" uniqueCount="2120">
  <si>
    <t>:</t>
  </si>
  <si>
    <t>SUBPROJETO</t>
  </si>
  <si>
    <t>PROTOCOLO</t>
  </si>
  <si>
    <t xml:space="preserve">ARQ Nº </t>
  </si>
  <si>
    <t>LOCAL</t>
  </si>
  <si>
    <t>DMT</t>
  </si>
  <si>
    <t>CONSUMO</t>
  </si>
  <si>
    <t>CUSTOS UNITÁRIOS - ( R$ )</t>
  </si>
  <si>
    <t>PROJETO ORIGINAL</t>
  </si>
  <si>
    <t>TRANSP</t>
  </si>
  <si>
    <t>EXEC.</t>
  </si>
  <si>
    <t>S/BDI</t>
  </si>
  <si>
    <t>C/BDI</t>
  </si>
  <si>
    <t>QUANT</t>
  </si>
  <si>
    <t>UNIT</t>
  </si>
  <si>
    <t>( R$ ) - PM</t>
  </si>
  <si>
    <t>m3</t>
  </si>
  <si>
    <t xml:space="preserve"> </t>
  </si>
  <si>
    <t>m2</t>
  </si>
  <si>
    <t>m</t>
  </si>
  <si>
    <t>ton</t>
  </si>
  <si>
    <t>un</t>
  </si>
  <si>
    <t>TOTAL GERAL</t>
  </si>
  <si>
    <t>kg</t>
  </si>
  <si>
    <t>BLSA120</t>
  </si>
  <si>
    <t>BLSA150</t>
  </si>
  <si>
    <t>BLSA200</t>
  </si>
  <si>
    <t>BLSA250</t>
  </si>
  <si>
    <t>BLSC120</t>
  </si>
  <si>
    <t>BLSC150</t>
  </si>
  <si>
    <t>BLSC200</t>
  </si>
  <si>
    <t>BLSC250</t>
  </si>
  <si>
    <t>BLDA120</t>
  </si>
  <si>
    <t>BLDA150</t>
  </si>
  <si>
    <t>BLDC120</t>
  </si>
  <si>
    <t>BLDC150</t>
  </si>
  <si>
    <t>CLA060</t>
  </si>
  <si>
    <t>CLA080</t>
  </si>
  <si>
    <t>CLA100</t>
  </si>
  <si>
    <t>CLA120</t>
  </si>
  <si>
    <t>CLC060</t>
  </si>
  <si>
    <t>CLC080</t>
  </si>
  <si>
    <t>CLC100</t>
  </si>
  <si>
    <t>CLC120</t>
  </si>
  <si>
    <t>CLC150</t>
  </si>
  <si>
    <t>CLC200</t>
  </si>
  <si>
    <t>PVAH150</t>
  </si>
  <si>
    <t>PVCH150</t>
  </si>
  <si>
    <t>PVCH200</t>
  </si>
  <si>
    <t>PVCH250</t>
  </si>
  <si>
    <t>VIGA080</t>
  </si>
  <si>
    <t>VIGA100</t>
  </si>
  <si>
    <t>VIGA120</t>
  </si>
  <si>
    <t>DISSIPM</t>
  </si>
  <si>
    <t>serviço</t>
  </si>
  <si>
    <t>TIJOLO</t>
  </si>
  <si>
    <t>cimen</t>
  </si>
  <si>
    <t>areia</t>
  </si>
  <si>
    <t>brita</t>
  </si>
  <si>
    <t>custo
exec</t>
  </si>
  <si>
    <t>CAL</t>
  </si>
  <si>
    <t>forma
   m2</t>
  </si>
  <si>
    <t>TIJOLO
M3</t>
  </si>
  <si>
    <t>concr
magr</t>
  </si>
  <si>
    <t>Concr
11mpa</t>
  </si>
  <si>
    <t>Concr
15mpa</t>
  </si>
  <si>
    <t>argamas
M2</t>
  </si>
  <si>
    <t>aço
ca 60</t>
  </si>
  <si>
    <t>grelha</t>
  </si>
  <si>
    <t>B.L. Símples alvenaria H até 1,20 m</t>
  </si>
  <si>
    <t>B.L. Símples alvenaria H até 1,50 m</t>
  </si>
  <si>
    <t>B.L. Símples alvenaria H até 2,00 m</t>
  </si>
  <si>
    <t>B.L. Símples alvenaria H até 2,50 m</t>
  </si>
  <si>
    <t>C.L. Alvenaria Tubo até 0,80</t>
  </si>
  <si>
    <t>C.L. Alvenaria Tubo até 1,00</t>
  </si>
  <si>
    <t>C.L. Alvenaria Tubo até 1,20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</si>
  <si>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</si>
  <si>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</si>
  <si>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</si>
  <si>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</si>
  <si>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</si>
  <si>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</si>
  <si>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</si>
  <si>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</si>
  <si>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</si>
  <si>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</si>
  <si>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0,0025</t>
  </si>
  <si>
    <t>0,0001</t>
  </si>
  <si>
    <t>0,0024</t>
  </si>
  <si>
    <t>0,0038</t>
  </si>
  <si>
    <t>0,0002</t>
  </si>
  <si>
    <t>0,0062</t>
  </si>
  <si>
    <t>0,0043</t>
  </si>
  <si>
    <t>0,0119</t>
  </si>
  <si>
    <t>0,0004</t>
  </si>
  <si>
    <t>0,0082</t>
  </si>
  <si>
    <t>tubo
ø80</t>
  </si>
  <si>
    <t>0,6231</t>
  </si>
  <si>
    <t>2,2155</t>
  </si>
  <si>
    <t>C.L. Alvenaria Tubo até 0,40</t>
  </si>
  <si>
    <t>C.L. Alvenaria Tubo até 0,60</t>
  </si>
  <si>
    <t>B.L. Dupla Alvenaria H até 1,20 m</t>
  </si>
  <si>
    <t>B.L. Dupla Alvenaria H até 1,50 m</t>
  </si>
  <si>
    <t>B.L. Dupla Alvenaria H até 2,00 m</t>
  </si>
  <si>
    <t>B.L. Dupla Alvenaria H até 2,50 m</t>
  </si>
  <si>
    <t>B.L. Símples concreto armado H até 1,50 m</t>
  </si>
  <si>
    <t>B.L. Símples concreto armado H até 2,00 m</t>
  </si>
  <si>
    <t>B.L. Símples concreto armado H até 2,50 m</t>
  </si>
  <si>
    <t>B.L. Símples concreto armado H até 1,20 m</t>
  </si>
  <si>
    <t>B.L. Dupla Concreto armado H até 1,50 m</t>
  </si>
  <si>
    <t>B.L. Dupla Concreto armado H até 2,00 m</t>
  </si>
  <si>
    <t>B.L. Dupla Concreto armado H até 2,50 m</t>
  </si>
  <si>
    <t>B.L. Dupla Concreto armado H até 1,20 m</t>
  </si>
  <si>
    <t>BLSM120</t>
  </si>
  <si>
    <t>BLSM150</t>
  </si>
  <si>
    <t>BLSM200</t>
  </si>
  <si>
    <t>BLSM250</t>
  </si>
  <si>
    <t>BLDA200</t>
  </si>
  <si>
    <t>BLDA250</t>
  </si>
  <si>
    <t>BLDM120</t>
  </si>
  <si>
    <t>BLDM150</t>
  </si>
  <si>
    <t>BLDM200</t>
  </si>
  <si>
    <t>BLDM250</t>
  </si>
  <si>
    <t>BLDC200</t>
  </si>
  <si>
    <t>BLDC250</t>
  </si>
  <si>
    <t>CLA040</t>
  </si>
  <si>
    <t>CLM040</t>
  </si>
  <si>
    <t>CLM060</t>
  </si>
  <si>
    <t>CLM080</t>
  </si>
  <si>
    <t>CLM100</t>
  </si>
  <si>
    <t>CLM120</t>
  </si>
  <si>
    <t>CLC040</t>
  </si>
  <si>
    <t>PVAH180</t>
  </si>
  <si>
    <t>PVAH80</t>
  </si>
  <si>
    <t>PVAH100</t>
  </si>
  <si>
    <t>PVAH130</t>
  </si>
  <si>
    <t>PVMH80</t>
  </si>
  <si>
    <t>PVMH100</t>
  </si>
  <si>
    <t>PVMH130</t>
  </si>
  <si>
    <t>PVMH150</t>
  </si>
  <si>
    <t>PVMH180</t>
  </si>
  <si>
    <t>PVCH80</t>
  </si>
  <si>
    <t>PVCH100</t>
  </si>
  <si>
    <t>PVCH130</t>
  </si>
  <si>
    <t>PVCH180</t>
  </si>
  <si>
    <t>P.V. Alvenaria H até 0,80 m Tubo até 0,40 + chaminé 1,00 m</t>
  </si>
  <si>
    <t>P.V. Alvenaria H até 1,00 m Tubo até 0,60 + chaminé 1,00 m</t>
  </si>
  <si>
    <t>P.V. Alvenaria H até 1,30 m Tubo até 0,80 + chaminé 1,00 m</t>
  </si>
  <si>
    <t>P.V. Alvenaria H até 1,50 m Tubo até 1,00 + chaminé 1,00 m</t>
  </si>
  <si>
    <t>P.V. Alvenaria H até 1,80 m Tubo até 1,20 + chaminé 1,00 m</t>
  </si>
  <si>
    <t>P.V. Pré-moldado H até 0,80 m Tubo até 0,40 + chaminé 1,00 m</t>
  </si>
  <si>
    <t>P.V. Pré-moldado H até 1,00 m Tubo até 0,60 + chaminé 1,00 m</t>
  </si>
  <si>
    <t>P.V. Pré-moldado H até 1,30 m Tubo até 0,80 + chaminé 1,00 m</t>
  </si>
  <si>
    <t>P.V. Pré-moldado H até 1,50 m Tubo até 1,00 + chaminé 1,00 m</t>
  </si>
  <si>
    <t>P.V. Pré-moldado H até 1,80 m Tubo até 1,20 + chaminé 1,00 m</t>
  </si>
  <si>
    <t>P.V. Concreto armado H até 0,80 m Tubo até 0,40 + chaminé 1,00 m</t>
  </si>
  <si>
    <t>P.V. Concreto armado H até 1,00 m Tubo até 0,60 + chaminé 1,00 m</t>
  </si>
  <si>
    <t>P.V. Concreto armado H até 1,30 m Tubo até 0,80 + chaminé 1,00 m</t>
  </si>
  <si>
    <t>P.V. Concreto armado H até 1,50 m Tubo até 1,00 + chaminé 1,00 m</t>
  </si>
  <si>
    <t>P.V. Concreto armado H até 1,80 m Tubo até 1,20 + chaminé 1,00 m</t>
  </si>
  <si>
    <t>P.V. Concreto armado H até 2,00 m Tubo até 1,50 + chaminé 1,00 m</t>
  </si>
  <si>
    <t>P.V. Concreto armado H até 2,50 m Tubo até 2,00 + chaminé 1,00 m</t>
  </si>
  <si>
    <t>ENSAIOS (%)</t>
  </si>
  <si>
    <t>Dissipador de Energia c/Pedra de Mão tubo ø 1,00</t>
  </si>
  <si>
    <t>Dissipador de Energia c/Pedra de Mão tubo ø 1,20</t>
  </si>
  <si>
    <t>Dissipador de Energia c/Pedra de Mão tubo ø 1,50</t>
  </si>
  <si>
    <t>Pedra Argamassada m3</t>
  </si>
  <si>
    <t>CICLÓP 11
mpa m3</t>
  </si>
  <si>
    <t>transporte</t>
  </si>
  <si>
    <t>534908A</t>
  </si>
  <si>
    <t>534908B</t>
  </si>
  <si>
    <t>534908C</t>
  </si>
  <si>
    <t>534906C</t>
  </si>
  <si>
    <t>ORÇAMENTO COMPARATIVO DE PAVIMENTAÇÃO PELA TABELA</t>
  </si>
  <si>
    <t>x</t>
  </si>
  <si>
    <t>ESCRITÓRIO REGIONAL</t>
  </si>
  <si>
    <t>DESCRIÇÃO DOS SERVIÇOS</t>
  </si>
  <si>
    <t>km</t>
  </si>
  <si>
    <t>( ton )</t>
  </si>
  <si>
    <t>UD</t>
  </si>
  <si>
    <t>PLANILHA DE SERVIÇOS   -   PAVIMENTAÇÃO</t>
  </si>
  <si>
    <t>( R$ ) - PM
TOTAIS</t>
  </si>
  <si>
    <t>Município:</t>
  </si>
  <si>
    <t xml:space="preserve">SAM  </t>
  </si>
  <si>
    <t xml:space="preserve">LOTE nº </t>
  </si>
  <si>
    <t>LOTE</t>
  </si>
  <si>
    <t>SERVIÇOS EXTRAS - TERRAPLENAGEM</t>
  </si>
  <si>
    <t/>
  </si>
  <si>
    <t>5</t>
  </si>
  <si>
    <t>2</t>
  </si>
  <si>
    <t>Regularização compac.subleito S.A.F. 100% PI</t>
  </si>
  <si>
    <t>Desmatamento e limpeza diam. até 30cm</t>
  </si>
  <si>
    <t>Destocamento árvores diam. &gt; 30cm</t>
  </si>
  <si>
    <t>Remoção de Solos Moles - 2 km</t>
  </si>
  <si>
    <t>Remoção da Camada Superficial</t>
  </si>
  <si>
    <t>Compactação de Aterros - Controle Visual</t>
  </si>
  <si>
    <t>Compactação de Aterros 95% P.N.</t>
  </si>
  <si>
    <t>Compactação de Aterros 100% P.N.</t>
  </si>
  <si>
    <t>Colchão Drenante Areia Fund. Aterros</t>
  </si>
  <si>
    <t>Demolição de Concreto Símples</t>
  </si>
  <si>
    <t>Demolição de Concreto Armado</t>
  </si>
  <si>
    <t>Demolição Manual de Pavimento e Transporte</t>
  </si>
  <si>
    <t>Regularização do Subleito sem Compactação</t>
  </si>
  <si>
    <t>Regularização compac.subleito 100% PN</t>
  </si>
  <si>
    <t>Camada de bloqueio c/ pedra o &lt; 3/4"</t>
  </si>
  <si>
    <t>Regularização e Compactação p/ assentamento de calçadas/lajotas/blocos</t>
  </si>
  <si>
    <t>DER</t>
  </si>
  <si>
    <t>3</t>
  </si>
  <si>
    <t>Solo estabilizado 2ª categoria</t>
  </si>
  <si>
    <t>Revestimento Primário</t>
  </si>
  <si>
    <t>Cascalhamento</t>
  </si>
  <si>
    <t>Solo Arenoso Fino (base) 100% PI</t>
  </si>
  <si>
    <t>Cimento</t>
  </si>
  <si>
    <t>Solo (Solo Cimento )</t>
  </si>
  <si>
    <t>Massa (Solo Cimento )</t>
  </si>
  <si>
    <t>Bica Corrida</t>
  </si>
  <si>
    <t>Brita Graduada</t>
  </si>
  <si>
    <t>Macadame Seco c/ Bica Corrida</t>
  </si>
  <si>
    <t>Rachão</t>
  </si>
  <si>
    <t>Bica corrida</t>
  </si>
  <si>
    <t>Macadame Seco c/ Brita Graduada</t>
  </si>
  <si>
    <t>Macadame Hidráulico</t>
  </si>
  <si>
    <t>Brita graduada tratada c/cimento (Cp=4%) 100% PI</t>
  </si>
  <si>
    <t>Pedra britada (Usina de solos)</t>
  </si>
  <si>
    <t>Massa (Brita Graduada )</t>
  </si>
  <si>
    <t>4</t>
  </si>
  <si>
    <t>SERVIÇOS EXTRAS - REVESTIMENTO</t>
  </si>
  <si>
    <t>6</t>
  </si>
  <si>
    <t>Rachão s/ britagem</t>
  </si>
  <si>
    <t>534906D</t>
  </si>
  <si>
    <t>534906E</t>
  </si>
  <si>
    <t>534906F</t>
  </si>
  <si>
    <t>534908D</t>
  </si>
  <si>
    <t>534908E</t>
  </si>
  <si>
    <t>534908F</t>
  </si>
  <si>
    <t>SERVIÇOS EXTRAS - MEIO-FIO E SARJETA</t>
  </si>
  <si>
    <t>Bica Corrida - Passeio</t>
  </si>
  <si>
    <t>Limpeza e Lavagem da pista ( Recape )</t>
  </si>
  <si>
    <t>Pedra Irregular - sem colchão</t>
  </si>
  <si>
    <t>Cordão Lateral p/ Pedras Irregulares</t>
  </si>
  <si>
    <t>Retirada e Reassentamento de Pedras Irregulares</t>
  </si>
  <si>
    <t>Paralelepípedos Regulares</t>
  </si>
  <si>
    <t>Lajotas de Concreto e=4cm - sem colchão</t>
  </si>
  <si>
    <t>Lajotas de Concreto e=5cm - sem colchão</t>
  </si>
  <si>
    <t>Lajotas de Concreto e=6cm - sem colchão</t>
  </si>
  <si>
    <t>Lajotas de Concreto e=7cm - sem colchão</t>
  </si>
  <si>
    <t>Lajotas de Concreto e=8cm - sem colchão</t>
  </si>
  <si>
    <t>Lajotas de Concreto e=10cm - sem colchão</t>
  </si>
  <si>
    <t>Areia</t>
  </si>
  <si>
    <t>Cal Hidratada CH-1</t>
  </si>
  <si>
    <t>Pó de Pedra</t>
  </si>
  <si>
    <t>Trat.Sup. Símples c/ Emulsão ( Curitiba )</t>
  </si>
  <si>
    <t>Brita</t>
  </si>
  <si>
    <t>TSD com Capa Selante - Tipo I-1</t>
  </si>
  <si>
    <t>TSD com Capa Selante Tipo - I-2</t>
  </si>
  <si>
    <t>TSD com Capa Selante - Tipo I-3</t>
  </si>
  <si>
    <t>Trat.Sup.Tríplo ( TST ) Tipo I-4</t>
  </si>
  <si>
    <t>Trat.Sup.Tríplo ( TST ) Tipo I-5</t>
  </si>
  <si>
    <t>Trat.Sup.Tríplo ( TST ) Tipo I-6</t>
  </si>
  <si>
    <t>Macadame Betuminoso c/ Emulsão RR-2C</t>
  </si>
  <si>
    <t>Macadame Betuminoso c/ CAP</t>
  </si>
  <si>
    <t>Capa Selante</t>
  </si>
  <si>
    <t>Brita ( usina )</t>
  </si>
  <si>
    <t>Massa</t>
  </si>
  <si>
    <t>CBUQ c/ asfalto modificado p/ polímero SBS(60/85)</t>
  </si>
  <si>
    <t>Frezagem Contínua a Frio</t>
  </si>
  <si>
    <t>Frezagem Descontínua a Frio</t>
  </si>
  <si>
    <t>Meio-Fio com Sarjeta DER - Tipo 1 - (0,103 m3) - Moldado "in loco"</t>
  </si>
  <si>
    <t>Meio-Fio com Sarjeta DER - Tipo 1 - (0,103 m3) - Pré-Moldado</t>
  </si>
  <si>
    <t>Meio-Fio com Sarjeta DER - Tipo 2 - (0,042 m3) - Moldado "in loco"</t>
  </si>
  <si>
    <t>Meio-Fio com Sarjeta DER - Tipo 2 - (0,042 m3) - Pré-Moldado</t>
  </si>
  <si>
    <t>Meio-Fio c/Sarjeta (rebaixado) DER-Tipo 7-(0,031 m3) - Moldado "in loco"</t>
  </si>
  <si>
    <t>Meio-Fio Símples DER - Tipo 3 - (0,034 m3) - Moldado "in loco"</t>
  </si>
  <si>
    <t>Demolição de Concreto Símples (calçadas e outros)</t>
  </si>
  <si>
    <t>Lastro de Concreto Simples (calçadas e outros)</t>
  </si>
  <si>
    <t>Apiloamento Manual (calçadas e outros)</t>
  </si>
  <si>
    <t>Aço CA-50 Dobr. e Colocação</t>
  </si>
  <si>
    <t>Aço CA-60 Dobr. e Colocação</t>
  </si>
  <si>
    <t>Calçada Concreto ( e = 5,00 cm )</t>
  </si>
  <si>
    <t>Remoção e recolocação de cercas de arame</t>
  </si>
  <si>
    <t>Construção de Cerca 4 fios c/ mourões de concreto</t>
  </si>
  <si>
    <t>Construção de Cerca 4 fios c/ mourões de madeira</t>
  </si>
  <si>
    <t>Defensa simples semi-maleável c/ espaçador e calço</t>
  </si>
  <si>
    <t>Regularização e Compactação SAF- 100% PI - Passeio com Pavimento</t>
  </si>
  <si>
    <t>Regularização e Compactação 100% PN - Passeio com Pavimento</t>
  </si>
  <si>
    <t>Aterro c/ mat. do canteiro (escav 1ª CAT+transp+compact) - Passeio</t>
  </si>
  <si>
    <t>Aterro c/ mat. de jazida (escav 1ª CAT+transp+compact) - Passeio</t>
  </si>
  <si>
    <t>Solo estabilizado 2ª categoria - Passeio</t>
  </si>
  <si>
    <t>Brita Graduada - Passeio</t>
  </si>
  <si>
    <t>Pedra Irregular - sem colchão - Passeio</t>
  </si>
  <si>
    <t>Cordão Lateral p/ Pedras Irregulares - Passeio</t>
  </si>
  <si>
    <t>Retirada de Pedras Irregulares - Passeio</t>
  </si>
  <si>
    <t>Retirada e Reassentamento de Pedras Irregulares - Passeio</t>
  </si>
  <si>
    <t>Limpeza e pintura de abrigo de ônibus</t>
  </si>
  <si>
    <t>Abrigo em parada de ônibus</t>
  </si>
  <si>
    <t>FAIXA ELEVADA PNE c/ Piso Tátil (NBR 9050) - Modelo 01 - ORÇAR</t>
  </si>
  <si>
    <t>Rampa para PNE com Piso Tátil (NBR 9050) - Modelo 02 - 5,94 m2</t>
  </si>
  <si>
    <t>Rampa para PNE com Piso Tátil (NBR 9050) - Modelo 03 - 5,94 m2</t>
  </si>
  <si>
    <t>Rampa para PNE com Piso Tátil (NBR 9050) - Modelo 04 - 5,94 m2</t>
  </si>
  <si>
    <t>Rampa para PNE com Piso Tátil (NBR 9050) - Modelo 05 - 7,80 m2</t>
  </si>
  <si>
    <t>Rampa para PNE com Piso Tátil (NBR 9050) - Modelo 06 - 7,65 m2</t>
  </si>
  <si>
    <t>Placa sinalização refletiva - SEM SUPORTE</t>
  </si>
  <si>
    <t>Suporte de madeira 3"x3" p/ placa sinalização</t>
  </si>
  <si>
    <t>Suporte metál.galv.fogo d=2,5" c/tampa e aletas anti-giro h=3,00m</t>
  </si>
  <si>
    <t>Placa sinalização refletiva-círculo (0,1964 m2/ud) + suporte MADEIRA</t>
  </si>
  <si>
    <t>Placa sinalização refletiva-triângulo (0,1219 m2/ud) + suporte MADEIRA</t>
  </si>
  <si>
    <t>Placa sinalização refletiva-octógono (0,2160 m2/ud) + suporte MADEIRA</t>
  </si>
  <si>
    <t>Placa sinalização refletiva-losango (0,2025 m2/ud) + suporte MADEIRA</t>
  </si>
  <si>
    <t>Placa sinalização refletiva-círculo (0,1964 m2/ud) + suporte METÁLICO</t>
  </si>
  <si>
    <t>Placa sinalização refletiva-triângulo (0,1219 m2/ud) + suporte METÁLICO</t>
  </si>
  <si>
    <t>Placa sinalização refletiva-octógono (0,2160 m2/ud) + suporte METÁLICO</t>
  </si>
  <si>
    <t>Placa sinalização refletiva-losango (0,2025 m2/ud) + suporte METÁLICO</t>
  </si>
  <si>
    <t>ORÇAR</t>
  </si>
  <si>
    <t>820000A</t>
  </si>
  <si>
    <t>820000B</t>
  </si>
  <si>
    <t>820000C</t>
  </si>
  <si>
    <t>820000D</t>
  </si>
  <si>
    <t>820000E</t>
  </si>
  <si>
    <t>820000F</t>
  </si>
  <si>
    <t>820000G</t>
  </si>
  <si>
    <t>820000H</t>
  </si>
  <si>
    <t>8</t>
  </si>
  <si>
    <t>Escavação Manual de Valas</t>
  </si>
  <si>
    <t>Escavação de Bueiros em 1ª Categoria</t>
  </si>
  <si>
    <t>Escavação de Bueiros em 2ª Categoria</t>
  </si>
  <si>
    <t>Escavação de Bueiros em 3ª Categoria</t>
  </si>
  <si>
    <t>Remoção de bueiro 0,30m</t>
  </si>
  <si>
    <t>Remoção de bueiro 0,40m</t>
  </si>
  <si>
    <t>Remoção de bueiro 0,50m</t>
  </si>
  <si>
    <t>Remoção de bueiro 0,60m</t>
  </si>
  <si>
    <t>Remoção de bueiro 0,80m</t>
  </si>
  <si>
    <t>Remoção de bueiro 1,00m</t>
  </si>
  <si>
    <t>Remoção de bueiro 1,20m</t>
  </si>
  <si>
    <t>Remoção de bueiro 1,50m</t>
  </si>
  <si>
    <t>Gabião</t>
  </si>
  <si>
    <t>Apiloamento Manual</t>
  </si>
  <si>
    <t>Reaterro Sem Apiloamento</t>
  </si>
  <si>
    <t>Alvenaria de Pedra de Mão Argamassada</t>
  </si>
  <si>
    <t>Enrocamento pedra de mão arrumada</t>
  </si>
  <si>
    <t>Enrocamento pedra de mão jogada</t>
  </si>
  <si>
    <t>Lastro de Areia</t>
  </si>
  <si>
    <t>Lastro de Brita</t>
  </si>
  <si>
    <t>Alvenaria de Tijolos Maciços</t>
  </si>
  <si>
    <t>Alvenaria de Tijolos 6 Furos</t>
  </si>
  <si>
    <t>Argamassa Cimento e Areia 1:3</t>
  </si>
  <si>
    <t>Argamassa Cimento e Areia 1:4</t>
  </si>
  <si>
    <t>Dreno profundo em solo - tipo 1</t>
  </si>
  <si>
    <t>Tubo</t>
  </si>
  <si>
    <t>Concreto Magro</t>
  </si>
  <si>
    <t>Concreto Ciclópico 11 Mpa (37% de Pedra de Mão)</t>
  </si>
  <si>
    <t>Brita + Pedra de Mão</t>
  </si>
  <si>
    <t>Concreto Símples Fck = 11 Mpa</t>
  </si>
  <si>
    <t>Concreto Estrutural Fck = 15 Mpa</t>
  </si>
  <si>
    <t>Concreto Fck = 18 Mpa</t>
  </si>
  <si>
    <t>Boca (Ala) de BSTC ø 0,40 m</t>
  </si>
  <si>
    <t>Boca (Ala) de BSTC ø 0,60 m</t>
  </si>
  <si>
    <t>Boca (Ala) de BSTC ø 0,80 m</t>
  </si>
  <si>
    <t>Boca (Ala) de BSTC ø 1,00 m</t>
  </si>
  <si>
    <t>Boca (Ala) de BSTC ø 1,20 m</t>
  </si>
  <si>
    <t>Boca (Ala) de BSTC ø 1,50 m</t>
  </si>
  <si>
    <t>Boca (Ala) de BSTC ø 2,00 m</t>
  </si>
  <si>
    <t>Boca (Ala) de BDTC ø 0,60 m</t>
  </si>
  <si>
    <t>Boca (Ala) de BDTC ø 0,80 m</t>
  </si>
  <si>
    <t>Boca (Ala) de BDTC ø 1,00 m</t>
  </si>
  <si>
    <t>Boca (Ala) de BDTC ø 1,20 m</t>
  </si>
  <si>
    <t>Boca (Ala) de BDTC ø 1,50 m</t>
  </si>
  <si>
    <t>Boca (Ala) de BDTC ø 2,00 m</t>
  </si>
  <si>
    <t>Boca (Ala) de BTTC ø 0,60 m</t>
  </si>
  <si>
    <t>Boca (Ala) de BTTC ø 0,80 m</t>
  </si>
  <si>
    <t>Boca (Ala) de BTTC ø 1,00 m</t>
  </si>
  <si>
    <t>Boca (Ala) de BTTC ø 1,20 m</t>
  </si>
  <si>
    <t>Boca (Ala) de BTTC ø 1,50 m</t>
  </si>
  <si>
    <t>Boca (Ala) de BTTC ø 2,00 m</t>
  </si>
  <si>
    <t>Corpo de BSTC ø 0,40 sem Berço e sem Armação</t>
  </si>
  <si>
    <t>Corpo de BSTC ø 0,60 sem Berço e sem Armação</t>
  </si>
  <si>
    <t>Corpo de BSTC ø 0,80 sem Berço e sem Armação</t>
  </si>
  <si>
    <t>Corpo de BSTC ø 0,40 Sem Berço c/ Armação Símples CA-1</t>
  </si>
  <si>
    <t>Corpo de BSTC ø 0,60 Sem Berço c/ Armação Símples CA-1</t>
  </si>
  <si>
    <t>Corpo de BSTC ø 0,80 Sem Berço c/ Armação Símples CA-1</t>
  </si>
  <si>
    <t>Corpo de BSTC ø 1,00 Sem Berço c/ Armação Símples CA-1</t>
  </si>
  <si>
    <t>Corpo de BSTC ø 1,20 Sem Berço c/ Armação Símples CA-1</t>
  </si>
  <si>
    <t>Corpo de BSTC ø 1,50 Sem Berço c/ Armação Símples CA-1</t>
  </si>
  <si>
    <t>Corpo de BSTC ø 1,80 Sem Berço c/ Armação Símples CA-1</t>
  </si>
  <si>
    <t>Corpo de BSTC ø 2,00 Sem Berço c/ Armação Símples CA-1</t>
  </si>
  <si>
    <t>Corpo de BSTC ø 0,40 Sem Berço c/ Armação Dupla CA-2</t>
  </si>
  <si>
    <t>Corpo de BSTC ø 0,60 Sem Berço c/ Armação Dupla CA-2</t>
  </si>
  <si>
    <t>Corpo de BSTC ø 0,80 Sem Berço c/ Armação Dupla CA-2</t>
  </si>
  <si>
    <t>Corpo de BSTC ø 1,00 Sem Berço c/ Armação Dupla CA-2</t>
  </si>
  <si>
    <t>Corpo de BSTC ø 1,20 Sem Berço c/ Armação Dupla CA-2</t>
  </si>
  <si>
    <t>Corpo de BSTC ø 1,50 Sem Berço c/ Armação Dupla CA-2</t>
  </si>
  <si>
    <t>Corpo de BSTC ø 1,80 Sem Berço c/ Armação Dupla CA-2</t>
  </si>
  <si>
    <t>Corpo de BSTC ø 2,00 Sem Berço c/ Armação Dupla CA-2</t>
  </si>
  <si>
    <t>Corpo de BSTC ø 0,40 Com Berço c/ Armação Dupla CA-2</t>
  </si>
  <si>
    <t>Corpo de BSTC ø 0,60 Com Berço c/ Armação Dupla CA-2</t>
  </si>
  <si>
    <t>Corpo de BSTC ø 0,80 Com Berço c/ Armação Dupla CA-2</t>
  </si>
  <si>
    <t>Corpo de BSTC ø 1,00 Com Berço c/ Armação Dupla CA-2</t>
  </si>
  <si>
    <t>Corpo de BSTC ø 1,20 Com Berço c/ Armação Dupla CA-2</t>
  </si>
  <si>
    <t>Corpo de BSTC ø 1,50 Com Berço c/ Armação Dupla CA-2</t>
  </si>
  <si>
    <t>Corpo de BSTC ø 1,80 Com Berço c/ Armação Dupla CA-2</t>
  </si>
  <si>
    <t>Corpo de BSTC ø 2,00 Com Berço c/ Armação Dupla CA-2</t>
  </si>
  <si>
    <t>Tijolo</t>
  </si>
  <si>
    <t>Cal</t>
  </si>
  <si>
    <t>B.L. Símples pré-moldado H até 1,20 m</t>
  </si>
  <si>
    <t>B.L. Símples pré-moldado H até 1,50 m</t>
  </si>
  <si>
    <t>B.L. Símples pré-moldado H até 2,00 m</t>
  </si>
  <si>
    <t>B.L. Símples pré-moldado H até 2,50 m</t>
  </si>
  <si>
    <t>B.L. Dupla Pré-moldado H até 1,20 m</t>
  </si>
  <si>
    <t>B.L. Dupla Pré-moldado H até 1,50 m</t>
  </si>
  <si>
    <t>B.L. Dupla Pré-moldado H até 2,00 m</t>
  </si>
  <si>
    <t>B.L. Dupla Pré-moldado H até 2,50 m</t>
  </si>
  <si>
    <t>C.L. pré-moldado Tubo até 0,40</t>
  </si>
  <si>
    <t>C.L. pré-moldado Tubo até 0,60</t>
  </si>
  <si>
    <t>C.L. pré-moldado Tubo até 0,80</t>
  </si>
  <si>
    <t>C.L. pré-moldado Tubo até 1,00</t>
  </si>
  <si>
    <t>C.L. pré-moldado Tubo até 1,20</t>
  </si>
  <si>
    <t>C.L. concreto armado Tubo até 0,40</t>
  </si>
  <si>
    <t>C.L. concreto armado Tubo até 0,60</t>
  </si>
  <si>
    <t>C.L. concreto armado Tubo até 0,80</t>
  </si>
  <si>
    <t>C.L. concreto armado Tubo até 1,00</t>
  </si>
  <si>
    <t>C.L. concreto armado Tubo até 1,20</t>
  </si>
  <si>
    <t>C.L. concreto armado Tubo até 1,50</t>
  </si>
  <si>
    <t>C.L. concreto armado Tubo até 2,00</t>
  </si>
  <si>
    <t>Viga de Apoio em concreto marmado Tubo 0,80</t>
  </si>
  <si>
    <t>Viga de Apoio em concreto marmado Tubo 1,00</t>
  </si>
  <si>
    <t>Viga de Apoio em concreto marmado Tubo 1,20</t>
  </si>
  <si>
    <t>Dissipador de Energia c/Pedra de Mão tubo ø 0, 40</t>
  </si>
  <si>
    <t>Dissipador de Energia c/Pedra de Mão tubo ø 0, 60</t>
  </si>
  <si>
    <t>Dissipador de Energia c/Pedra de Mão tubo ø 0, 80</t>
  </si>
  <si>
    <t>EEEE001</t>
  </si>
  <si>
    <t>EEEE002</t>
  </si>
  <si>
    <t>EEEE003</t>
  </si>
  <si>
    <t>EEEE004</t>
  </si>
  <si>
    <t>EEEE005</t>
  </si>
  <si>
    <t>EEEE006</t>
  </si>
  <si>
    <t>EEEE007</t>
  </si>
  <si>
    <t>EEEE008</t>
  </si>
  <si>
    <t>EEEE009</t>
  </si>
  <si>
    <t>EEEE010</t>
  </si>
  <si>
    <t>ENSAIO DE ORÇAMENTO 1</t>
  </si>
  <si>
    <t>ENSAIO DE ORÇAMENTO 2</t>
  </si>
  <si>
    <t>ENSAIO DE ORÇAMENTO 3</t>
  </si>
  <si>
    <t>ENSAIO DE ORÇAMENTO 4</t>
  </si>
  <si>
    <t>ENSAIO DE ORÇAMENTO 5</t>
  </si>
  <si>
    <t>ENSAIO DE ORÇAMENTO 6</t>
  </si>
  <si>
    <t>ENSAIO DE ORÇAMENTO 7</t>
  </si>
  <si>
    <t>ENSAIO DE ORÇAMENTO 8</t>
  </si>
  <si>
    <t>ENSAIO DE ORÇAMENTO 9</t>
  </si>
  <si>
    <t>ENSAIO DE ORÇAMENTO 10</t>
  </si>
  <si>
    <t>SERVIÇOS EXTRAS - DRENAGEM</t>
  </si>
  <si>
    <t>Código</t>
  </si>
  <si>
    <t>IMPRIMIR</t>
  </si>
  <si>
    <t>ITENS</t>
  </si>
  <si>
    <t>7</t>
  </si>
  <si>
    <t>Cartilha</t>
  </si>
  <si>
    <t>cartilha</t>
  </si>
  <si>
    <t>Anexo</t>
  </si>
  <si>
    <t>Quantidade
(projeto)</t>
  </si>
  <si>
    <t>Unid</t>
  </si>
  <si>
    <t>COPEL</t>
  </si>
  <si>
    <t>TERRAPLENAGEM</t>
  </si>
  <si>
    <t>REVESTIMENTO</t>
  </si>
  <si>
    <t>MEIO-FIO E SARJETA</t>
  </si>
  <si>
    <t>DRENAGEM</t>
  </si>
  <si>
    <t>SERVIÇOS PRELIMINARES</t>
  </si>
  <si>
    <t>SERVIÇOS EXTRAS - SERVIÇOS PRELIMINARES</t>
  </si>
  <si>
    <t>BASE / SUB-BASE</t>
  </si>
  <si>
    <t>SERVIÇOS EXTRAS - BASE / SUB-BASE</t>
  </si>
  <si>
    <t>PAISAGISMO / URBANISMO</t>
  </si>
  <si>
    <t>SINALIZAÇÃO DE TRÂNSITO</t>
  </si>
  <si>
    <t>SERVIÇOS EXTRAS - SINALIZAÇÃO DE TRÂNSITO</t>
  </si>
  <si>
    <t>ILUMINAÇÃO PÚBLICA</t>
  </si>
  <si>
    <t>9</t>
  </si>
  <si>
    <t>SERVIÇOS DIVERSOS</t>
  </si>
  <si>
    <t>10</t>
  </si>
  <si>
    <t>Limpeza de bueiro</t>
  </si>
  <si>
    <t>Limpeza e lavagem de sinalização vertical</t>
  </si>
  <si>
    <t>Limpeza e pintura de meio fio</t>
  </si>
  <si>
    <t>Remoção de cercas</t>
  </si>
  <si>
    <t>Escarificação e remoção revestimento primário</t>
  </si>
  <si>
    <t>Escarificação e conformação do subleito</t>
  </si>
  <si>
    <t>Escarificação da base</t>
  </si>
  <si>
    <t>Refôrço do Subleito c/ mat. de 1ª Cat (solos-argila e assemelhados)</t>
  </si>
  <si>
    <t>Refôrço do Subleito c/ mat. de 2ª Cat (saibro-moledo-cascalho)</t>
  </si>
  <si>
    <t>Brita 4A</t>
  </si>
  <si>
    <t>PM curitiba</t>
  </si>
  <si>
    <t>Retirada de Pedras Irregulares</t>
  </si>
  <si>
    <t>810250A</t>
  </si>
  <si>
    <t>810250B</t>
  </si>
  <si>
    <t>Fincadinha de concreto - (9x19x39cm-0,0171m3/m)</t>
  </si>
  <si>
    <t>810250C</t>
  </si>
  <si>
    <t>Fincadinha de concreto moldada in loco- (7x20cm-0,014m3/m)</t>
  </si>
  <si>
    <t>Fincadinha de Granito - (8x15cm-0,012m3/m)</t>
  </si>
  <si>
    <t>Refôrço do Subleito c/ mat. de 2ª Cat (saibro-moledo-cascalho) passeio</t>
  </si>
  <si>
    <t>Brita 4A - passeio</t>
  </si>
  <si>
    <t>Plantio de Grama em placas</t>
  </si>
  <si>
    <t>Plantio de Grama em mudas</t>
  </si>
  <si>
    <t xml:space="preserve">Faixa de Sinalização Horizontal c/tinta resina acrílica base solvente- (0,034 m2/m2) </t>
  </si>
  <si>
    <t>Tacha refletiva bidirecional</t>
  </si>
  <si>
    <t>Tacha refletiva monodirecional</t>
  </si>
  <si>
    <t>Tachão refletivo bidirecional</t>
  </si>
  <si>
    <t>Tachão refletivo monodirecional</t>
  </si>
  <si>
    <t>Demolição de Alvenaria</t>
  </si>
  <si>
    <t>IMPOSTOS</t>
  </si>
  <si>
    <t>TOTAL</t>
  </si>
  <si>
    <t>LUCRO</t>
  </si>
  <si>
    <t>PREÇO GLOBAL</t>
  </si>
  <si>
    <t>Corpo de BSTC ø 0,20 sem Berço e sem Armação</t>
  </si>
  <si>
    <t>Corpo de BSTC ø 0,30 sem Berço e sem Armação</t>
  </si>
  <si>
    <t>Corpo de BSTC ø 0,50 sem Berço e sem Armação</t>
  </si>
  <si>
    <t>Corpo de BSTC ø 0,70 sem Berço e sem Armação</t>
  </si>
  <si>
    <t>Locação direta de estruras em ramais de RDR</t>
  </si>
  <si>
    <t>Locação de estrutura em rede distribuição rural</t>
  </si>
  <si>
    <t>Locação de estrutura em rede distribuição urbana</t>
  </si>
  <si>
    <t>742A</t>
  </si>
  <si>
    <t>743A</t>
  </si>
  <si>
    <t>744A</t>
  </si>
  <si>
    <t>745A</t>
  </si>
  <si>
    <t>746A</t>
  </si>
  <si>
    <t>747A</t>
  </si>
  <si>
    <t>748A</t>
  </si>
  <si>
    <t>759A</t>
  </si>
  <si>
    <t>751A</t>
  </si>
  <si>
    <t>752A</t>
  </si>
  <si>
    <t>753A</t>
  </si>
  <si>
    <t>755A</t>
  </si>
  <si>
    <t>756A</t>
  </si>
  <si>
    <t>757A</t>
  </si>
  <si>
    <t>770A</t>
  </si>
  <si>
    <t>771A</t>
  </si>
  <si>
    <t>772A</t>
  </si>
  <si>
    <t>774A</t>
  </si>
  <si>
    <t>776A</t>
  </si>
  <si>
    <t>862A</t>
  </si>
  <si>
    <t>875A</t>
  </si>
  <si>
    <t>947A</t>
  </si>
  <si>
    <t>760A</t>
  </si>
  <si>
    <t>761A</t>
  </si>
  <si>
    <t>762A</t>
  </si>
  <si>
    <t>780A</t>
  </si>
  <si>
    <t>781A</t>
  </si>
  <si>
    <t>782A</t>
  </si>
  <si>
    <t>783A</t>
  </si>
  <si>
    <t>784A</t>
  </si>
  <si>
    <t>785A</t>
  </si>
  <si>
    <t>786A</t>
  </si>
  <si>
    <t>787A</t>
  </si>
  <si>
    <t>790A</t>
  </si>
  <si>
    <t>1</t>
  </si>
  <si>
    <t>860A</t>
  </si>
  <si>
    <t>864A</t>
  </si>
  <si>
    <t>866A</t>
  </si>
  <si>
    <t>794A</t>
  </si>
  <si>
    <t>795A</t>
  </si>
  <si>
    <t>792A</t>
  </si>
  <si>
    <t>796A</t>
  </si>
  <si>
    <t>867A</t>
  </si>
  <si>
    <t>Retirada de cabo ou fio de cobre de BT, até 35 mm2</t>
  </si>
  <si>
    <t>Retirada de cabo ou fio de cobre de BT, acima 35 mm2</t>
  </si>
  <si>
    <t>Retirada de cabo subterrâneo de baixa tensão</t>
  </si>
  <si>
    <t>Retirada de espaçador de cabos em vão de baixa tensão</t>
  </si>
  <si>
    <t>813A</t>
  </si>
  <si>
    <t>8712A</t>
  </si>
  <si>
    <t>834A</t>
  </si>
  <si>
    <t>836A</t>
  </si>
  <si>
    <t>793A</t>
  </si>
  <si>
    <t>835A</t>
  </si>
  <si>
    <t>838A</t>
  </si>
  <si>
    <t>839A</t>
  </si>
  <si>
    <t>840A</t>
  </si>
  <si>
    <t>841A</t>
  </si>
  <si>
    <t>842A</t>
  </si>
  <si>
    <t>845A</t>
  </si>
  <si>
    <t>843A</t>
  </si>
  <si>
    <t>859A</t>
  </si>
  <si>
    <t>Retirada de luminária exceto braço para iluminação pública</t>
  </si>
  <si>
    <t>SERVIÇOS EXTRAS - ILUMINAÇÃO PÚBLICA</t>
  </si>
  <si>
    <t>Corpo de BSTC ø 0,70 Sem Berço c/ Armação Símples CA-1</t>
  </si>
  <si>
    <t>Corpo de BSTC ø 0,90 Sem Berço c/ Armação Símples CA-1</t>
  </si>
  <si>
    <t>Corpo de BSTC ø 0,50 Sem Berço c/ Armação Símples CA-1</t>
  </si>
  <si>
    <t>Corpo de BSTC ø 0,50 Sem Berço c/ Armação Dupla CA-2</t>
  </si>
  <si>
    <t>Corpo de BSTC ø 0,70 Sem Berço c/ Armação Dupla CA-2</t>
  </si>
  <si>
    <t>Corpo de BSTC ø 0,90 Sem Berço c/ Armação Dupla CA-2</t>
  </si>
  <si>
    <t>Corpo de BSTC ø 0,50 Com Berço c/ Armação Dupla CA-2</t>
  </si>
  <si>
    <t>Corpo de BSTC ø 0,70 Com Berço c/ Armação Dupla CA-2</t>
  </si>
  <si>
    <t>Corpo de BSTC ø 0,90 Com Berço c/ Armação Dupla CA-2</t>
  </si>
  <si>
    <t>TOTAL DO PAVIMENTO (1-2-3-4-5)</t>
  </si>
  <si>
    <t>TOTAL DE ILUMINAÇÃO PÚBLICA (8)</t>
  </si>
  <si>
    <t>TOTAL DE SEVIÇOS DIVERSOS (9)</t>
  </si>
  <si>
    <t>TOTAL DE DRENAGEM (10)</t>
  </si>
  <si>
    <t>TOTAL DE URBANISMO E SINALIZAÇÃO(6-7)</t>
  </si>
  <si>
    <t>Remoção manual de entulho</t>
  </si>
  <si>
    <t>Remoção de Revestimento Primário</t>
  </si>
  <si>
    <t>Demolição Mecânica de Pavimento e Transporte</t>
  </si>
  <si>
    <t>SERVIÇOS EXTRAS - SERVIÇOS DIVERSOS</t>
  </si>
  <si>
    <t>Remanejamento postes linha transmissão</t>
  </si>
  <si>
    <t>11</t>
  </si>
  <si>
    <t xml:space="preserve">Ensaio de Massa Específica - In Situ - Método Frasco de Areia (Grau de Compactação) - Terraplenagem </t>
  </si>
  <si>
    <t xml:space="preserve">Ensaio de Massa Específica - In Situ - Método Frasco de Areia (Grau de Compactação) - Reforço do Subleito </t>
  </si>
  <si>
    <t>Ensaio de Massa Específica - In Situ - Método Frasco de Areia (Grau de Compactação) - Regularização e Compactação do Subleito</t>
  </si>
  <si>
    <t>Ensaio de Massa Específica - In Situ - Método Frasco de Areia (Grau de Compactação) - Sub-base e Base</t>
  </si>
  <si>
    <t>Ensaio de Granulometria do Agregado</t>
  </si>
  <si>
    <t>74022/27</t>
  </si>
  <si>
    <t>Ensaio de Controle de Taxa de Aplicação de Ligante Betuminoso</t>
  </si>
  <si>
    <t>74022/50</t>
  </si>
  <si>
    <t>Ensaio de Determinação da Taxa de Espalhamento do Agregado</t>
  </si>
  <si>
    <t>Ensaio de Percentagem de Betume - Misturas Betuminosas</t>
  </si>
  <si>
    <t>74022/53</t>
  </si>
  <si>
    <t>Ensaio de Controle do Grau de Compactação da Mistura Asfáltica</t>
  </si>
  <si>
    <t>74022/56</t>
  </si>
  <si>
    <t>Ensaio de Densidade do Material Betuminoso</t>
  </si>
  <si>
    <t>SERVIÇOS EXTRAS - ENSAIOS TECNOLÓGICOS</t>
  </si>
  <si>
    <t>gb</t>
  </si>
  <si>
    <t>DAER/RS</t>
  </si>
  <si>
    <t>TOTAL DE ENSAIOS TECNOLÓGICOS (11)</t>
  </si>
  <si>
    <t xml:space="preserve">     </t>
  </si>
  <si>
    <t>%</t>
  </si>
  <si>
    <t>Fincadinha de concreto - (5x22,5x45cm-0,01125m3/m)</t>
  </si>
  <si>
    <t>820000I</t>
  </si>
  <si>
    <t>BDI (%) - SERVIÇOS</t>
  </si>
  <si>
    <t>1 - Solicitar o valor do ISS do município</t>
  </si>
  <si>
    <t>2- Solicitar a "Base de Cálculo" (% de mão de Obra)</t>
  </si>
  <si>
    <t>Calçada Concreto ( e = 6,00 cm )</t>
  </si>
  <si>
    <t>Calçada Concreto ( e = 7,00 cm )</t>
  </si>
  <si>
    <t>Limpeza e desobstrução de bueiros simples</t>
  </si>
  <si>
    <t>Limpeza e desobstrução de bueiros duplos</t>
  </si>
  <si>
    <t>Limpeza e desobstrução de bueiros triplos</t>
  </si>
  <si>
    <t>Boca de saída de dreno ø 0,20</t>
  </si>
  <si>
    <t>Boca (Ala) de BSTC ø 0,30 m</t>
  </si>
  <si>
    <t>Boca (Ala) de BSTC ø 0,50 m</t>
  </si>
  <si>
    <t>Boca (Ala) de BSTC ø 0,70 m</t>
  </si>
  <si>
    <t>ENSAIOS TECNOLÓGICOS</t>
  </si>
  <si>
    <t>Calçada Concreto ( e = 8,00 cm )</t>
  </si>
  <si>
    <t>=ISS x base de cálculo</t>
  </si>
  <si>
    <t>Saibro Compactado CBR&gt;=20 (Base ou Sub-Base)</t>
  </si>
  <si>
    <t>Moledo  Compactado CBR&gt;=20(Base ou Sub-Base)</t>
  </si>
  <si>
    <t>Placa sinalização refletiva-retangular dupla (duas de-0,20x060) em L (0,2400 m2/ud) + suporte METÁLICO</t>
  </si>
  <si>
    <t>Concreto Ciclópico 11 Mpa (30% em volume de Pedra de Mão)</t>
  </si>
  <si>
    <t>tampão
161125</t>
  </si>
  <si>
    <r>
      <t>Digite  "</t>
    </r>
    <r>
      <rPr>
        <b/>
        <sz val="10"/>
        <rFont val="MS Sans Serif"/>
      </rPr>
      <t>X</t>
    </r>
    <r>
      <rPr>
        <sz val="10"/>
        <rFont val="MS Sans Serif"/>
      </rPr>
      <t>" para obter Valor Total sem BDI</t>
    </r>
  </si>
  <si>
    <t>Barreira New Jersey simples de concreto, não armada, executada com</t>
  </si>
  <si>
    <t>Barreira New Jersey dupla de concreto, não armada, executada com</t>
  </si>
  <si>
    <t>8.1</t>
  </si>
  <si>
    <t>5.1</t>
  </si>
  <si>
    <t>SEIL/2016</t>
  </si>
  <si>
    <t>3.20</t>
  </si>
  <si>
    <t>7.1</t>
  </si>
  <si>
    <t>Imprimação com Emulsão EAI - exclusive emulsão</t>
  </si>
  <si>
    <t>Imprimação com  CM-30 - exclusive CM-30</t>
  </si>
  <si>
    <t>Lama Asfáltica ( faixa " 1 " ) - 2 mm - exclusive emulsão (0,0015)</t>
  </si>
  <si>
    <t>taxa RL</t>
  </si>
  <si>
    <t>Lama Asfáltica ( faixa " 4 " ) -12 mm - exclusive emulsão (0,0026)</t>
  </si>
  <si>
    <t>Lama Asfáltica ( faixa " 2 " ) - 4 mm - exclusive emulsão (0,0018)</t>
  </si>
  <si>
    <t>Lama Asfáltica ( faixa " 3" ) - 8 mm - exclusive emulsão (0,0020)</t>
  </si>
  <si>
    <t>Fornecimento de CM-30 - imprimação</t>
  </si>
  <si>
    <t>Fornecimento de emulsão RR-2C - Trat.Sup.Tríplo ( TST ) Tipo I-5</t>
  </si>
  <si>
    <t>Fornecimento de CAP - Macadame Betuminoso</t>
  </si>
  <si>
    <t>Fornecimento de emulsão RR-2C - Capa Selante</t>
  </si>
  <si>
    <t>Fornecimento de CAP - Pré-Misturado a Quente (menor que 10000 ton)</t>
  </si>
  <si>
    <t>Fornecimento de CAP - Pré-Misturado a Quente (maior que 10000 ton)</t>
  </si>
  <si>
    <t>Fornecimento de CAP - CBUQ (Quantidade menor que 10000 toneladas)</t>
  </si>
  <si>
    <t>Fornecimento de CAP - CBUQ (Quantidade maior que 10000 toneladas)</t>
  </si>
  <si>
    <t>taxa RR-2C</t>
  </si>
  <si>
    <t>taxa CAP</t>
  </si>
  <si>
    <t>taxa RM-2C</t>
  </si>
  <si>
    <t>taxa CAP 
SBS(60/85)</t>
  </si>
  <si>
    <t>taxa CAP 
borracha</t>
  </si>
  <si>
    <t xml:space="preserve">ton </t>
  </si>
  <si>
    <t>taxa RR-1C</t>
  </si>
  <si>
    <t>SERVIÇOS DE URBANIZAÇÃO</t>
  </si>
  <si>
    <t>PAVIMENTAÇÃO</t>
  </si>
  <si>
    <t>SINAPI</t>
  </si>
  <si>
    <t>CBUQ - REMENDO (MANUAL)</t>
  </si>
  <si>
    <t>534000A</t>
  </si>
  <si>
    <t>534000B</t>
  </si>
  <si>
    <t>7.4</t>
  </si>
  <si>
    <t>aço
ca 50</t>
  </si>
  <si>
    <t>aço
ca 25</t>
  </si>
  <si>
    <t>Concr
18 mpa</t>
  </si>
  <si>
    <t>Origem</t>
  </si>
  <si>
    <t>Projeto:</t>
  </si>
  <si>
    <t>Experiência:</t>
  </si>
  <si>
    <t>Edital no Município</t>
  </si>
  <si>
    <t>Procedimento prévio</t>
  </si>
  <si>
    <t>Início previsto da Obra</t>
  </si>
  <si>
    <t>Data</t>
  </si>
  <si>
    <t>Dias</t>
  </si>
  <si>
    <t>Contrapartida do Proponente</t>
  </si>
  <si>
    <t>Quantidade:</t>
  </si>
  <si>
    <t>CRONOGRAMA FÍSICO FINANCEIRO</t>
  </si>
  <si>
    <t>Valor Total</t>
  </si>
  <si>
    <t>GRUPO</t>
  </si>
  <si>
    <t>SERVIÇOS</t>
  </si>
  <si>
    <t>PARCELAS (%)</t>
  </si>
  <si>
    <t>% S/</t>
  </si>
  <si>
    <t>Controle</t>
  </si>
  <si>
    <t>ITEM</t>
  </si>
  <si>
    <t>ITEM (R$)</t>
  </si>
  <si>
    <t>Data Início</t>
  </si>
  <si>
    <t>Data Fim</t>
  </si>
  <si>
    <t>TOTAIS</t>
  </si>
  <si>
    <t>PARCELAS</t>
  </si>
  <si>
    <t>Nº DE</t>
  </si>
  <si>
    <t>MESES</t>
  </si>
  <si>
    <t>1T</t>
  </si>
  <si>
    <t>R$</t>
  </si>
  <si>
    <t>1C</t>
  </si>
  <si>
    <t>CONTRAPARTIDA</t>
  </si>
  <si>
    <t>2T</t>
  </si>
  <si>
    <t>2C</t>
  </si>
  <si>
    <t>3T</t>
  </si>
  <si>
    <t>3C</t>
  </si>
  <si>
    <t>4T</t>
  </si>
  <si>
    <t>4C</t>
  </si>
  <si>
    <t>5T</t>
  </si>
  <si>
    <t>5C</t>
  </si>
  <si>
    <t>6T</t>
  </si>
  <si>
    <t>6C</t>
  </si>
  <si>
    <t>7T</t>
  </si>
  <si>
    <t>7C</t>
  </si>
  <si>
    <t>8T</t>
  </si>
  <si>
    <t>8C</t>
  </si>
  <si>
    <t>9T</t>
  </si>
  <si>
    <t>9C</t>
  </si>
  <si>
    <t>10T</t>
  </si>
  <si>
    <t>10C</t>
  </si>
  <si>
    <t>11T</t>
  </si>
  <si>
    <t>11C</t>
  </si>
  <si>
    <t>T</t>
  </si>
  <si>
    <t>C</t>
  </si>
  <si>
    <t>FATURAMENTO MENSAL PREVISTO</t>
  </si>
  <si>
    <t>MENSAL PARCIAL PREVISTO EM %</t>
  </si>
  <si>
    <t>MENSAL ACUMULADO PREVISTO EM %</t>
  </si>
  <si>
    <t>Resp. Técnico:</t>
  </si>
  <si>
    <t>Assinatura:</t>
  </si>
  <si>
    <t>Prefeito:</t>
  </si>
  <si>
    <t>data:</t>
  </si>
  <si>
    <t>___________________________</t>
  </si>
  <si>
    <t>__________________</t>
  </si>
  <si>
    <t>Convênio</t>
  </si>
  <si>
    <t>Repasse do Concedente</t>
  </si>
  <si>
    <t>nº</t>
  </si>
  <si>
    <t>COMPOSIÇÃO DOS RECURSOS (TESOURO E CONTRAPARTIDA)</t>
  </si>
  <si>
    <t>TESOURO</t>
  </si>
  <si>
    <t>Grandes 
Ítens  (%)</t>
  </si>
  <si>
    <t>Paranacidade
( R$ )</t>
  </si>
  <si>
    <t>Fornecimento de emulsão RR-1C - imprimação</t>
  </si>
  <si>
    <t>Fornecimento de emulsão EAI - imprimação</t>
  </si>
  <si>
    <t>Pintura de ligação com RR-1C - exclusive emulsão</t>
  </si>
  <si>
    <t>Fornecimento de emulsão RR-1C - pintura de ligaçãp</t>
  </si>
  <si>
    <t>Fornecimento de emulsão RL - lama asfáltica faixa 1</t>
  </si>
  <si>
    <t>Fornecimento de emulsão RL - lama asfáltica faixa 2</t>
  </si>
  <si>
    <t>Fornecimento de emulsão RL - lama asfáltica faixa 3</t>
  </si>
  <si>
    <t>Fornecimento de emulsão RL - lama asfáltica faixa 4</t>
  </si>
  <si>
    <t>Fornecimento de emulsão RR-2C - TSS</t>
  </si>
  <si>
    <t>Fornecimento de emulsão RR-2C - TSD com Capa Selante - Tipo I-1</t>
  </si>
  <si>
    <t>Fornecimento de emulsão RR-2C - TSD com Capa Selante - Tipo I-3</t>
  </si>
  <si>
    <t>Fornecimento de emulsão RR-2C - Trat.Sup.Tríplo ( TST ) Tipo I-4</t>
  </si>
  <si>
    <t>Fornecimento de emulsão RR-2C - Trat.Sup.Tríplo ( TST ) Tipo I-6</t>
  </si>
  <si>
    <t>Fornecimento de emulsão RR-2C - Macadame Betuminoso</t>
  </si>
  <si>
    <t>ADMINISTRAÇÃO CENTRAL</t>
  </si>
  <si>
    <t>RISCOS</t>
  </si>
  <si>
    <t>SEGUROS E GRANTIAS</t>
  </si>
  <si>
    <t>DESPESAS FINANCEIRAS</t>
  </si>
  <si>
    <t>DIGITE</t>
  </si>
  <si>
    <t>3- Fórmula de cálculo do ISS</t>
  </si>
  <si>
    <t>Local da Obra:</t>
  </si>
  <si>
    <t>BDI - ACÓRDÃO Nº 2622/2013 – TCU
PAVIMENTAÇÃO</t>
  </si>
  <si>
    <t>ISS =</t>
  </si>
  <si>
    <t>PIS =</t>
  </si>
  <si>
    <t>COFINS =</t>
  </si>
  <si>
    <t>CPMF =</t>
  </si>
  <si>
    <t>TOTAL =</t>
  </si>
  <si>
    <t>TIPO DE SERVIÇO</t>
  </si>
  <si>
    <t>OBRAS</t>
  </si>
  <si>
    <t>MATERIAIS</t>
  </si>
  <si>
    <t>BDI (OBRA OU MATERIAIS/EQUIP.)</t>
  </si>
  <si>
    <t>BDI=(((((1+(C8+C9+C10)/100)*(1+C11/100)*(1+C12/100))/(1-C6/100))-1)*100)</t>
  </si>
  <si>
    <t>BDI (OBRA)</t>
  </si>
  <si>
    <t>BDI (MATERIAIS E EQUIPAMENTOS)</t>
  </si>
  <si>
    <t>VALORES DO BDI POR TIPO DE OBRA</t>
  </si>
  <si>
    <t>TIPOS DE OBRA</t>
  </si>
  <si>
    <t>1º Quartil</t>
  </si>
  <si>
    <t>Médio</t>
  </si>
  <si>
    <t>3º Quartil</t>
  </si>
  <si>
    <t>CONSTRUÇÃO DE EDIFÍCIOS</t>
  </si>
  <si>
    <t>CONSTRUÇÃO DE RODOVIAS E FERROVIAS</t>
  </si>
  <si>
    <t>CONSTRUÇÃO DE REDES DE ABASTECIMENTO DE ÁGUA, COLETA DE ESGOTO E CONSTRUÇÕES CORRELATAS</t>
  </si>
  <si>
    <t>CONSTRUÇÃO E MANUTENÇÃO DE ESTAÇÕES E REDES DE DISTRIBUIÇÃO DE ENERGIA ELÉTRICA</t>
  </si>
  <si>
    <t>OBRAS PORTUÁRIAS, MARÍTIMAS E FLUVIAIS</t>
  </si>
  <si>
    <t>BDI PARA ITENS DE MERO FORNECIMENTO DE
MATERIAIS E EQUIPAMENTOS</t>
  </si>
  <si>
    <t>RISCO</t>
  </si>
  <si>
    <t>SEGURO + GARANTIA</t>
  </si>
  <si>
    <t>DESPESA FINANCEIRA</t>
  </si>
  <si>
    <t>BDI PARA ITENS DE MERO FORNECIMENTO DE MATERIAIS E EQUIPAMENTOS</t>
  </si>
  <si>
    <t>PARCELA DO BDI</t>
  </si>
  <si>
    <t>PERCENTUAL DE ADMINISTRAÇÃO LOCAL INSERIDO NO CUSTO DIRETO*</t>
  </si>
  <si>
    <t>*Para verificação da adequabilidade das planilhas orçamentárias das obras públicas utilizar como referência do impacto esperado para os itens associados a administração local no valor total do orçamento, os seguintes valores percentuais abtidos no estudo de que tratam estes autos.</t>
  </si>
  <si>
    <t>GRANDES ITENS</t>
  </si>
  <si>
    <t>4- Valor do ISS calculado</t>
  </si>
  <si>
    <t>SERVÇOS DE URBANIZAÇÃO</t>
  </si>
  <si>
    <t>74209/1</t>
  </si>
  <si>
    <t>PLACA DE OBRA 4,00 X 2,00 M, EM CHAPA DE ACO GALVANIZADO, INCLUSIVE ARMAÇÃO EM MADEIRA E PONTALETES</t>
  </si>
  <si>
    <t>73916/2</t>
  </si>
  <si>
    <t>PLACA DE OBRA TIPO BANNER, 4,00 X 2,00 M, EM QUADRO DE METALON 20 X 20 MM E LONA 360 G, COM IMPRESSÃO DIGITAL, FIXADA EM ESTRUTURA DE MADEIRA.</t>
  </si>
  <si>
    <t>Quantidade 
Edital (50%)</t>
  </si>
  <si>
    <t>Paver ou Bloket  e=6cm - sem colchão</t>
  </si>
  <si>
    <t>Paver ou Bloket  Colorido e=6cm - sem colchão</t>
  </si>
  <si>
    <t>Paver ou Bloket  e=8cm - sem colchão</t>
  </si>
  <si>
    <t>Paver ou Bloket  Colorido e=8cm - sem colchão</t>
  </si>
  <si>
    <t>Paver ou Bloket e=10cm - sem colchão</t>
  </si>
  <si>
    <t>Paver ou Bloket  Colorido e=10cm - sem colchão</t>
  </si>
  <si>
    <t>Petit - Pavet - (PEDRA PORTUGUESA) - sem colchão</t>
  </si>
  <si>
    <t>Fornecimento de Emulsão RM-2C - Pré-Misturado a Frio (aberto) - DER</t>
  </si>
  <si>
    <t>Fornecimento de Emulsão RM-2C - Pré-Misturado a Frio (Semi-Denso) - DER</t>
  </si>
  <si>
    <t>CBUQ "PMQ" (Quant menor que 10.000 ton)</t>
  </si>
  <si>
    <t>CBUQ "PMQ" (Quant maior que 10.000 ton)</t>
  </si>
  <si>
    <t>PAV-071</t>
  </si>
  <si>
    <t>Arrancamento de Meio-Fio</t>
  </si>
  <si>
    <t>PAV-077</t>
  </si>
  <si>
    <t>Arrancamento e reassentamento de Meio-Fio de Concreto com sarjeta</t>
  </si>
  <si>
    <t>Demolição de Concreto Armado (calçadas e outros)</t>
  </si>
  <si>
    <t>Fornecimento de emulsão RR-1C - pintura de ligação</t>
  </si>
  <si>
    <t>Plantio de Arbusto ou Cerca Viva</t>
  </si>
  <si>
    <t>Plantio de Árvore com altura até 2m</t>
  </si>
  <si>
    <t>Plantio de Árvore com altura de 2m a 4m</t>
  </si>
  <si>
    <t>Plantio de palmeira com altura até 2,00 m</t>
  </si>
  <si>
    <t>Plantio de forração</t>
  </si>
  <si>
    <t>TRANSFORMADOR DE DISTRIBUIÇÃO, 30 KVA, TRIFÁSICO, 60 HZ, CLASSE 15 KV, IMERSO EM ÓLEO MINERAL, INSTALAÇÃO EM POSTE (NÃO INCLUSO SUPORTE) - FORNECIMENTO E INSTALAÇÃO. AF_12/2020</t>
  </si>
  <si>
    <t>TRANSFORMADOR DE DISTRIBUIÇÃO, 45 KVA, TRIFÁSICO, 60 HZ, CLASSE 15 KV, IMERSO EM ÓLEO MINERAL, INSTALAÇÃO EM POSTE (NÃO INCLUSO SUPORTE) - FORNECIMENTO E INSTALAÇÃO. AF_12/2020</t>
  </si>
  <si>
    <t>TRANSFORMADOR DE DISTRIBUIÇÃO, 75 KVA, TRIFÁSICO, 60 HZ, CLASSE 15 KV, IMERSO EM ÓLEO MINERAL, INSTALAÇÃO EM POSTE (NÃO INCLUSO SUPORTE) - FORNECIMENTO E INSTALAÇÃO. AF_12/2020</t>
  </si>
  <si>
    <t>TRANSFORMADOR DE DISTRIBUIÇÃO, 112,5 KVA, TRIFÁSICO, 60 HZ, CLASSE 15 KV, IMERSO EM ÓLEO MINERAL, INSTALAÇÃO EM POSTE (NÃO INCLUSO SUPORTE) - FORNECIMENTO E INSTALAÇÃO. AF_12/2020</t>
  </si>
  <si>
    <t>TRANSFORMADOR DE DISTRIBUIÇÃO, 150 KVA, TRIFÁSICO, 60 HZ, CLASSE 15 KV, IMERSO EM ÓLEO MINERAL, INSTALAÇÃO EM POSTE (NÃO INCLUSO SUPORTE) - FORNECIMENTO E INSTALAÇÃO. AF_12/2020</t>
  </si>
  <si>
    <t>TRANSFORMADOR DE DISTRIBUIÇÃO, 225 KVA, TRIFÁSICO, 60 HZ, CLASSE 15 KV, IMERSO EM ÓLEO MINERAL, INSTALAÇÃO EM POSTE (NÃO INCLUSO SUPORTE) - FORNECIMENTO E INSTALAÇÃO. AF_12/2020</t>
  </si>
  <si>
    <t>TRANSFORMADOR DE DISTRIBUIÇÃO, 300 KVA, TRIFÁSICO, 60 HZ, CLASSE 15 KV, IMERSO EM ÓLEO MINERAL, INSTALAÇÃO EM POSTE (NÃO INCLUSO SUPORTE) - FORNECIMENTO E INSTALAÇÃO. AF_12/2020</t>
  </si>
  <si>
    <t>SUPORTE PARA TRANSFORMADOR EM POSTE DE CONCRETO CIRCULAR - FORNECIMENTO E INSTALAÇÃO. AF_12/2020</t>
  </si>
  <si>
    <t>SUPORTE PARA TRANSFORMADOR EM POSTE DE CONCRETO DUPLO T - FORNECIMENTO E INSTALAÇÃO. AF_12/2020</t>
  </si>
  <si>
    <t>POSTE DECORATIVO PARA JARDIM EM AÇO TUBULAR, H = *2,5* M, SEM LUMINÁRIA - FORNECIMENTO E INSTALAÇÃO. AF_11/2019</t>
  </si>
  <si>
    <t>POSTE DE AÇO CONICO CONTÍNUO CURVO SIMPLES, FLANGEADO, H=9M, INCLUSIVE LUMINÁRIA, SEM LÂMPADA - FORNECIMENTO E INSTALACAO. AF_11/2019</t>
  </si>
  <si>
    <t>POSTE DE AÇO CONICO CONTÍNUO CURVO DUPLO, FLANGEADO, H=9M, INCLUSIVE LUMINÁRIAS, SEM LÂMPADAS - FORNECIMENTO E INSTALACAO. AF_11/2019</t>
  </si>
  <si>
    <t>POSTE DE AÇO CONICO CONTÍNUO CURVO SIMPLES, ENGASTADO, H=9M, INCLUSIVE LUMINÁRIA, SEM LÂMPADA - FORNECIMENTO E INSTALACAO. AF_11/2019</t>
  </si>
  <si>
    <t>POSTE DE AÇO CONICO CONTÍNUO CURVO DUPLO, ENGASTADO, H=9M, INCLUSIVE LUMINÁRIAS, SEM LÂMPADAS - FORNECIMENTO E INSTALACAO. AF_11/2019</t>
  </si>
  <si>
    <t>ASSENTAMENTO DE POSTE DE CONCRETO COM COMPRIMENTO NOMINAL DE 9 M, CARGA NOMINAL MENOR OU IGUAL A 1000 DAN, ENGASTAMENTO SIMPLES COM 1,5 M DE SOLO (NÃO INCLUI FORNECIMENTO). AF_11/2019</t>
  </si>
  <si>
    <t>ASSENTAMENTO DE POSTE DE CONCRETO COM COMPRIMENTO NOMINAL DE 10 M, CARGA NOMINAL MENOR OU IGUAL A 1000 DAN, ENGASTAMENTO SIMPLES COM 1,6 M DE SOLO (NÃO INCLUI FORNECIMENTO). AF_11/2019</t>
  </si>
  <si>
    <t>ASSENTAMENTO DE POSTE DE CONCRETO COM COMPRIMENTO NOMINAL DE 10 M, CARGA NOMINAL MAIOR QUE 1000 DAN, ENGASTAMENTO SIMPLES COM 1,6 M DE SOLO (NÃO INCLUI FORNECIMENTO). AF_11/2019</t>
  </si>
  <si>
    <t>ASSENTAMENTO DE POSTE DE CONCRETO COM COMPRIMENTO NOMINAL DE 10,5 M, CARGA NOMINAL MENOR OU IGUAL A 1000 DAN, ENGASTAMENTO SIMPLES COM 1,65 M DE SOLO (NÃO INCLUI FORNECIMENTO). AF_11/2019</t>
  </si>
  <si>
    <t>ASSENTAMENTO DE POSTE DE CONCRETO COM COMPRIMENTO NOMINAL DE 10,5 M, CARGA NOMINAL MAIOR QUE 1000 DAN, ENGASTAMENTO SIMPLES COM 1,65 M DE SOLO (NÃO INCLUI FORNECIMENTO). AF_11/2019</t>
  </si>
  <si>
    <t>ASSENTAMENTO DE POSTE DE CONCRETO COM COMPRIMENTO NOMINAL DE 11 M, CARGA NOMINAL MENOR OU IGUAL A 1000 DAN, ENGASTAMENTO SIMPLES COM 1,7 M DE SOLO (NÃO INCLUI FORNECIMENTO). AF_11/2019</t>
  </si>
  <si>
    <t>ASSENTAMENTO DE POSTE DE CONCRETO COM COMPRIMENTO NOMINAL DE 11 M, CARGA NOMINAL MAIOR QUE 1000 DAN, ENGASTAMENTO SIMPLES COM 1,7 M DE SOLO (NÃO INCLUI FORNECIMENTO). AF_11/2019</t>
  </si>
  <si>
    <t>ASSENTAMENTO DE POSTE DE CONCRETO COM COMPRIMENTO NOMINAL DE 12 M, CARGA NOMINAL MENOR OU IGUAL A 1000 DAN, ENGASTAMENTO SIMPLES COM 1,8 M DE SOLO (NÃO INCLUI FORNECIMENTO). AF_11/2019</t>
  </si>
  <si>
    <t>ASSENTAMENTO DE POSTE DE CONCRETO COM COMPRIMENTO NOMINAL DE 12 M, CARGA NOMINAL MAIOR QUE 1000 DAN, ENGASTAMENTO SIMPLES COM 1,8 M DE SOLO (NÃO INCLUI FORNECIMENTO). AF_11/2019</t>
  </si>
  <si>
    <t>ASSENTAMENTO DE POSTE DE CONCRETO COM COMPRIMENTO NOMINAL DE 13 M, CARGA NOMINAL MENOR OU IGUAL A 1000 DAN, ENGASTAMENTO SIMPLES COM 1,9 M DE SOLO (NÃO INCLUI FORNECIMENTO). AF_11/2019</t>
  </si>
  <si>
    <t>ASSENTAMENTO DE POSTE DE CONCRETO COM COMPRIMENTO NOMINAL DE 13 M, CARGA NOMINAL MAIOR QUE 1000 DAN, ENGASTAMENTO SIMPLES COM 1,9 M DE SOLO (NÃO INCLUI FORNECIMENTO). AF_11/2019</t>
  </si>
  <si>
    <t>ASSENTAMENTO DE POSTE DE CONCRETO COM COMPRIMENTO NOMINAL DE 13,5 M, CARGA NOMINAL MENOR OU IGUAL A 1000 DAN, ENGASTAMENTO SIMPLES COM 1,95 M DE SOLO (NÃO INCLUI FORNECIMENTO). AF_11/2019</t>
  </si>
  <si>
    <t>ASSENTAMENTO DE POSTE DE CONCRETO COM COMPRIMENTO NOMINAL DE 13,5 M, CARGA NOMINAL MAIOR QUE 1000 DAN, ENGASTAMENTO SIMPLES COM 1,95 M DE SOLO (NÃO INCLUI FORNECIMENTO). AF_11/2019</t>
  </si>
  <si>
    <t>ASSENTAMENTO DE POSTE DE CONCRETO COM COMPRIMENTO NOMINAL DE 14 M, CARGA NOMINAL MENOR OU IGUAL A 1000 DAN, ENGASTAMENTO SIMPLES COM 2 M DE SOLO (NÃO INCLUI FORNECIMENTO). AF_11/2019</t>
  </si>
  <si>
    <t>ASSENTAMENTO DE POSTE DE CONCRETO COM COMPRIMENTO NOMINAL DE 14 M, CARGA NOMINAL MAIOR QUE 1000 DAN, ENGASTAMENTO SIMPLES COM 2 M DE SOLO (NÃO INCLUI FORNECIMENTO). AF_11/2019</t>
  </si>
  <si>
    <t>ASSENTAMENTO DE POSTE DE CONCRETO COM COMPRIMENTO NOMINAL DE 15 M, CARGA NOMINAL MENOR OU IGUAL A 1000 DAN, ENGASTAMENTO SIMPLES COM 2,1 M DE SOLO (NÃO INCLUI FORNECIMENTO). AF_11/2019</t>
  </si>
  <si>
    <t>ASSENTAMENTO DE POSTE DE CONCRETO COM COMPRIMENTO NOMINAL DE 15 M, CARGA NOMINAL MAIOR QUE 1000 DAN, ENGASTAMENTO SIMPLES COM 2,1 M DE SOLO (NÃO INCLUI FORNECIMENTO). AF_11/2019</t>
  </si>
  <si>
    <t>ASSENTAMENTO DE POSTE DE CONCRETO COM COMPRIMENTO NOMINAL DE 18 M, CARGA NOMINAL MENOR OU IGUAL A 1000 DAN, ENGASTAMENTO SIMPLES COM 2,4 M DE SOLO (NÃO INCLUI FORNECIMENTO). AF_11/2019</t>
  </si>
  <si>
    <t>ASSENTAMENTO DE POSTE DE CONCRETO COM COMPRIMENTO NOMINAL DE 18 M, CARGA NOMINAL MAIOR QUE 1000 DAN, ENGASTAMENTO SIMPLES COM 2,4 M DE SOLO (NÃO INCLUI FORNECIMENTO). AF_11/2019</t>
  </si>
  <si>
    <t>ASSENTAMENTO DE POSTE DE CONCRETO COM COMPRIMENTO NOMINAL DE 20 M, CARGA NOMINAL MENOR OU IGUAL A 1000 DAN, ENGASTAMENTO SIMPLES COM 2,6 M DE SOLO (NÃO INCLUI FORNECIMENTO). AF_11/2019</t>
  </si>
  <si>
    <t>ASSENTAMENTO DE POSTE DE CONCRETO COM COMPRIMENTO NOMINAL DE 20 M, CARGA NOMINAL MAIOR QUE 1000, ENGASTAMENTO SIMPLES COM 2,6 M DE SOLO (NÃO INCLUI FORNECIMENTO). AF_11/2019</t>
  </si>
  <si>
    <t>ASSENTAMENTO DE POSTE DE CONCRETO COM COMPRIMENTO NOMINAL DE 9 M, CARGA NOMINAL DE 150 DAN, ENGASTAMENTO BASE CONCRETADA COM 1 M DE CONCRETO E 0,5 M DE SOLO (NÃO INCLUI FORNECIMENTO). AF_11/2019</t>
  </si>
  <si>
    <t>ASSENTAMENTO DE POSTE DE CONCRETO COM COMPRIMENTO NOMINAL DE 9 M, CARGA NOMINAL DE 300 DAN, ENGASTAMENTO BASE CONCRETADA COM 1 M DE CONCRETO E 0,5 M DE SOLO (NÃO INCLUI FORNECIMENTO). AF_11/2019</t>
  </si>
  <si>
    <t>ASSENTAMENTO DE POSTE DE CONCRETO COM COMPRIMENTO NOMINAL DE 9 M, CARGA NOMINAL DE 400 DAN, ENGASTAMENTO BASE CONCRETADA COM 1 M DE CONCRETO E 0,5 M DE SOLO (NÃO INCLUI FORNECIMENTO). AF_11/2019</t>
  </si>
  <si>
    <t>ASSENTAMENTO DE POSTE DE CONCRETO COM COMPRIMENTO NOMINAL DE 9 M, CARGA NOMINAL DE 600 DAN, ENGASTAMENTO BASE CONCRETADA COM 1 M DE CONCRETO E 0,5 M DE SOLO (NÃO INCLUI FORNECIMENTO). AF_11/2019</t>
  </si>
  <si>
    <t>ASSENTAMENTO DE POSTE DE CONCRETO COM COMPRIMENTO NOMINAL DE 9 M, CARGA NOMINAL DE 1000 DAN, ENGASTAMENTO BASE CONCRETADA COM 1 M DE CONCRETO E 0,5 M DE SOLO (NÃO INCLUI FORNECIMENTO). AF_11/2019</t>
  </si>
  <si>
    <t>ASSENTAMENTO DE POSTE DE CONCRETO COM COMPRIMENTO NOMINAL DE 10 M, CARGA NOMINAL DE 300 DAN, ENGASTAMENTO BASE CONCRETADA COM 1 M DE CONCRETO E 0,6 M DE SOLO (NÃO INCLUI FORNECIMENTO). AF_11/2019</t>
  </si>
  <si>
    <t>ASSENTAMENTO DE POSTE DE CONCRETO COM COMPRIMENTO NOMINAL DE 10 M, CARGA NOMINAL DE 600 DAN, ENGASTAMENTO BASE CONCRETADA COM 1 M DE CONCRETO E 0,6 M DE SOLO (NÃO INCLUI FORNECIMENTO). AF_11/2019</t>
  </si>
  <si>
    <t>ASSENTAMENTO DE POSTE DE CONCRETO COM COMPRIMENTO NOMINAL DE 10 M, CARGA NOMINAL DE 1000 DAN, ENGASTAMENTO BASE CONCRETADA COM 1 M DE CONCRETO E 0,6 M DE SOLO (NÃO INCLUI FORNECIMENTO). AF_11/2019</t>
  </si>
  <si>
    <t>ASSENTAMENTO DE POSTE DE CONCRETO COM COMPRIMENTO NOMINAL DE 10,5 M, CARGA NOMINAL DE 300 DAN, ENGASTAMENTO BASE CONCRETADA COM 1 M DE CONCRETO E 0,65 M DE SOLO (NÃO INCLUI FORNECIMENTO). AF_11/2019</t>
  </si>
  <si>
    <t>ASSENTAMENTO DE POSTE DE CONCRETO COM COMPRIMENTO NOMINAL DE 10,5 M, CARGA NOMINAL DE 600 DAN, ENGASTAMENTO BASE CONCRETADA COM 1 M DE CONCRETO E 0,65 M DE SOLO (NÃO INCLUI FORNECIMENTO). AF_11/2019</t>
  </si>
  <si>
    <t>ASSENTAMENTO DE POSTE DE CONCRETO COM COMPRIMENTO NOMINAL DE 10,5 M, CARGA NOMINAL DE 1000 DAN, ENGASTAMENTO BASE CONCRETADA COM 1 M DE CONCRETO E 0,65 M DE SOLO (NÃO INCLUI FORNECIMENTO). AF_11/2019</t>
  </si>
  <si>
    <t>ASSENTAMENTO DE POSTE DE CONCRETO COM COMPRIMENTO NOMINAL DE 11 M, CARGA NOMINAL DE 300 DAN, ENGASTAMENTO BASE CONCRETADA COM 1 M DE CONCRETO E 0,7 M DE SOLO (NÃO INCLUI FORNECIMENTO). AF_11/2019</t>
  </si>
  <si>
    <t>ASSENTAMENTO DE POSTE DE CONCRETO COM COMPRIMENTO NOMINAL DE 11 M, CARGA NOMINAL DE 400 DAN, ENGASTAMENTO BASE CONCRETADA COM 1 M DE CONCRETO E 0,7 M DE SOLO (NÃO INCLUI FORNECIMENTO). AF_11/2019</t>
  </si>
  <si>
    <t>ASSENTAMENTO DE POSTE DE CONCRETO COM COMPRIMENTO NOMINAL DE 11 M, CARGA NOMINAL DE 600 DAN, ENGASTAMENTO BASE CONCRETADA COM 1 M DE CONCRETO E 0,7 M DE SOLO (NÃO INCLUI FORNECIMENTO). AF_11/2019</t>
  </si>
  <si>
    <t>ASSENTAMENTO DE POSTE DE CONCRETO COM COMPRIMENTO NOMINAL DE 11 M, CARGA NOMINAL DE 1000 DAN, ENGASTAMENTO BASE CONCRETADA COM 1 M DE CONCRETO E 0,7 M DE SOLO (NÃO INCLUI FORNECIMENTO). AF_11/2019</t>
  </si>
  <si>
    <t>ASSENTAMENTO DE POSTE DE CONCRETO COM COMPRIMENTO NOMINAL DE 12 M, CARGA NOMINAL DE 400 DAN, ENGASTAMENTO BASE CONCRETADA COM 1 M DE CONCRETO E 0,8 M DE SOLO (NÃO INCLUI FORNECIMENTO). AF_11/2019</t>
  </si>
  <si>
    <t>ASSENTAMENTO DE POSTE DE CONCRETO COM COMPRIMENTO NOMINAL DE 12 M, CARGA NOMINAL DE 600 DAN, ENGASTAMENTO BASE CONCRETADA COM 1 M DE CONCRETO E 0,8 M DE SOLO (NÃO INCLUI FORNECIMENTO). AF_11/2019</t>
  </si>
  <si>
    <t>ASSENTAMENTO DE POSTE DE CONCRETO COM COMPRIMENTO NOMINAL DE 12 M, CARGA NOMINAL DE 1000 DAN, ENGASTAMENTO BASE CONCRETADA COM 1 M DE CONCRETO E 0,8 M DE SOLO (NÃO INCLUI FORNECIMENTO). AF_11/2019</t>
  </si>
  <si>
    <t>ASSENTAMENTO DE POSTE DE CONCRETO COM COMPRIMENTO NOMINAL DE 13 M, CARGA NOMINAL DE 600 DAN, ENGASTAMENTO BASE CONCRETADA COM 1 M DE CONCRETO E 0,9 M DE SOLO (NÃO INCLUI FORNECIMENTO). AF_11/2019</t>
  </si>
  <si>
    <t>ASSENTAMENTO DE POSTE DE CONCRETO COM COMPRIMENTO NOMINAL DE 13 M, CARGA NOMINAL DE 1000 DAN, ENGASTAMENTO BASE CONCRETADA COM 1 M DE CONCRETO E 0,9 M DE SOLO - SOMENTE INSTALAÇÃO, SEM FORNECIMENTO. AF_11/2019</t>
  </si>
  <si>
    <t>REMOÇÃO DE INTERRUPTORES/TOMADAS ELÉTRICAS, DE FORMA MANUAL, SEM REAPROVEITAMENTO. AF_12/2017</t>
  </si>
  <si>
    <t>RASGO EM ALVENARIA PARA ELETRODUTOS COM DIAMETROS MENORES OU IGUAIS A 40 MM. AF_05/2015</t>
  </si>
  <si>
    <t>QUEBRA EM ALVENARIA PARA INSTALAÇÃO DE CAIXA DE TOMADA (4X4 OU 4X2). AF_05/2015</t>
  </si>
  <si>
    <t>QUEBRA EM ALVENARIA PARA INSTALAÇÃO DE QUADRO DISTRIBUIÇÃO PEQUENO (19X25 CM). AF_05/2015</t>
  </si>
  <si>
    <t>QUEBRA EM ALVENARIA PARA INSTALAÇÃO DE QUADRO DISTRIBUIÇÃO GRANDE (76X40 CM). AF_05/2015</t>
  </si>
  <si>
    <t>CAIXA DE PROTEÇÃO PARA MEDIDOR MONOFÁSICO DE EMBUTIR - FORNECIMENTO E INSTALAÇÃO. AF_10/2020</t>
  </si>
  <si>
    <t>ENTRADA DE ENERGIA ELÉTRICA, AÉREA, MONOFÁSICA, COM CAIXA DE SOBREPOR, CABO DE 10 MM2 E DISJUNTOR DIN 50A (NÃO INCLUSO O POSTE DE CONCRETO). AF_07/2020_P</t>
  </si>
  <si>
    <t>ENTRADA DE ENERGIA ELÉTRICA, AÉREA, MONOFÁSICA, COM CAIXA DE SOBREPOR, CABO DE 16 MM2 E DISJUNTOR DIN 50A (NÃO INCLUSO O POSTE DE CONCRETO). AF_07/2020_P</t>
  </si>
  <si>
    <t>ENTRADA DE ENERGIA ELÉTRICA, AÉREA, MONOFÁSICA, COM CAIXA DE SOBREPOR, CABO DE 25 MM2 E DISJUNTOR DIN 50A (NÃO INCLUSO O POSTE DE CONCRETO). AF_07/2020_P</t>
  </si>
  <si>
    <t>ENTRADA DE ENERGIA ELÉTRICA, AÉREA, MONOFÁSICA, COM CAIXA DE SOBREPOR, CABO DE 35 MM2 E DISJUNTOR DIN 50A (NÃO INCLUSO O POSTE DE CONCRETO). AF_07/2020_P</t>
  </si>
  <si>
    <t>ENTRADA DE ENERGIA ELÉTRICA, AÉREA, MONOFÁSICA, COM CAIXA DE EMBUTIR, CABO DE 10 MM2 E DISJUNTOR DIN 50A (NÃO INCLUSO O POSTE DE CONCRETO). AF_07/2020_P</t>
  </si>
  <si>
    <t>ENTRADA DE ENERGIA ELÉTRICA, AÉREA, MONOFÁSICA, COM CAIXA DE EMBUTIR, CABO DE 16 MM2 E DISJUNTOR DIN 50A (NÃO INCLUSO O POSTE DE CONCRETO). AF_07/2020_P</t>
  </si>
  <si>
    <t>ENTRADA DE ENERGIA ELÉTRICA, AÉREA, MONOFÁSICA, COM CAIXA DE EMBUTIR, CABO DE 25 MM2 E DISJUNTOR DIN 50A (NÃO INCLUSO O POSTE DE CONCRETO). AF_07/2020_P</t>
  </si>
  <si>
    <t>ENTRADA DE ENERGIA ELÉTRICA, AÉREA, MONOFÁSICA, COM CAIXA DE EMBUTIR, CABO DE 35 MM2 E DISJUNTOR DIN 50A (NÃO INCLUSO O POSTE DE CONCRETO). AF_07/2020_P</t>
  </si>
  <si>
    <t>ENTRADA DE ENERGIA ELÉTRICA, AÉREA, BIFÁSICA, COM CAIXA DE SOBREPOR, CABO DE 10 MM2 E DISJUNTOR DIN 50A (NÃO INCLUSO O POSTE DE CONCRETO). AF_07/2020_P</t>
  </si>
  <si>
    <t>ENTRADA DE ENERGIA ELÉTRICA, AÉREA, BIFÁSICA, COM CAIXA DE SOBREPOR, CABO DE 16 MM2 E DISJUNTOR DIN 50A (NÃO INCLUSO O POSTE DE CONCRETO). AF_07/2020_P</t>
  </si>
  <si>
    <t>ENTRADA DE ENERGIA ELÉTRICA, AÉREA, BIFÁSICA, COM CAIXA DE SOBREPOR, CABO DE 25 MM2 E DISJUNTOR DIN 50A (NÃO INCLUSO O POSTE DE CONCRETO). AF_07/2020_P</t>
  </si>
  <si>
    <t>ENTRADA DE ENERGIA ELÉTRICA, AÉREA, BIFÁSICA, COM CAIXA DE SOBREPOR, CABO DE 35 MM2 E DISJUNTOR DIN 50A (NÃO INCLUSO O POSTE DE CONCRETO). AF_07/2020_P</t>
  </si>
  <si>
    <t>ENTRADA DE ENERGIA ELÉTRICA, AÉREA, BIFÁSICA, COM CAIXA DE EMBUTIR, CABO DE 10 MM2 E DISJUNTOR DIN 50A (NÃO INCLUSO O POSTE DE CONCRETO). AF_07/2020_P</t>
  </si>
  <si>
    <t>ENTRADA DE ENERGIA ELÉTRICA, AÉREA, BIFÁSICA, COM CAIXA DE EMBUTIR, CABO DE 16 MM2 E DISJUNTOR DIN 50A (NÃO INCLUSO O POSTE DE CONCRETO). AF_07/2020_P</t>
  </si>
  <si>
    <t>ENTRADA DE ENERGIA ELÉTRICA, AÉREA, BIFÁSICA, COM CAIXA DE EMBUTIR, CABO DE 25 MM2 E DISJUNTOR DIN 50A (NÃO INCLUSO O POSTE DE CONCRETO). AF_07/2020_P</t>
  </si>
  <si>
    <t>ENTRADA DE ENERGIA ELÉTRICA, AÉREA, BIFÁSICA, COM CAIXA DE EMBUTIR, CABO DE 35 MM2 E DISJUNTOR DIN 50A (NÃO INCLUSO O POSTE DE CONCRETO). AF_07/2020_P</t>
  </si>
  <si>
    <t>ENTRADA DE ENERGIA ELÉTRICA, AÉREA, TRIFÁSICA, COM CAIXA DE SOBREPOR, CABO DE 10 MM2 E DISJUNTOR DIN 50A (NÃO INCLUSO O POSTE DE CONCRETO). AF_07/2020_P</t>
  </si>
  <si>
    <t>ENTRADA DE ENERGIA ELÉTRICA, AÉREA, TRIFÁSICA, COM CAIXA DE SOBREPOR, CABO DE 16 MM2 E DISJUNTOR DIN 50A (NÃO INCLUSO O POSTE DE CONCRETO). AF_07/2020_P</t>
  </si>
  <si>
    <t>ENTRADA DE ENERGIA ELÉTRICA, AÉREA, TRIFÁSICA, COM CAIXA DE SOBREPOR, CABO DE 25 MM2 E DISJUNTOR DIN 50A (NÃO INCLUSO O POSTE DE CONCRETO). AF_07/2020_P</t>
  </si>
  <si>
    <t>ENTRADA DE ENERGIA ELÉTRICA, AÉREA, TRIFÁSICA, COM CAIXA DE SOBREPOR, CABO DE 35 MM2 E DISJUNTOR DIN 50A (NÃO INCLUSO O POSTE DE CONCRETO). AF_07/2020_P</t>
  </si>
  <si>
    <t>ENTRADA DE ENERGIA ELÉTRICA, AÉREA, TRIFÁSICA, COM CAIXA DE EMBUTIR, CABO DE 10 MM2 E DISJUNTOR DIN 50A (NÃO INCLUSO O POSTE DE CONCRETO). AF_07/2020</t>
  </si>
  <si>
    <t>ENTRADA DE ENERGIA ELÉTRICA, AÉREA, TRIFÁSICA, COM CAIXA DE EMBUTIR, CABO DE 16 MM2 E DISJUNTOR DIN 50A (NÃO INCLUSO O POSTE DE CONCRETO). AF_07/2020</t>
  </si>
  <si>
    <t>ENTRADA DE ENERGIA ELÉTRICA, AÉREA, TRIFÁSICA, COM CAIXA DE EMBUTIR, CABO DE 25 MM2 E DISJUNTOR DIN 50A (NÃO INCLUSO O POSTE DE CONCRETO). AF_07/2020</t>
  </si>
  <si>
    <t>ENTRADA DE ENERGIA ELÉTRICA, AÉREA, TRIFÁSICA, COM CAIXA DE EMBUTIR, CABO DE 35 MM2 E DISJUNTOR DIN 50A (NÃO INCLUSO O POSTE DE CONCRETO). AF_07/2020</t>
  </si>
  <si>
    <t>ENTRADA DE ENERGIA ELÉTRICA, SUBTERRÂNEA, MONOFÁSICA, COM CAIXA DE SOBREPOR, CABO DE 10 MM2 E DISJUNTOR DIN 50A (NÃO INCLUSA MURETA DE ALVENARIA). AF_07/2020_P</t>
  </si>
  <si>
    <t>ENTRADA DE ENERGIA ELÉTRICA, SUBTERRÂNEA, MONOFÁSICA, COM CAIXA DE SOBREPOR, CABO DE 16 MM2 E DISJUNTOR DIN 50A (NÃO INCLUSA MURETA DE ALVENARIA). AF_07/2020_P</t>
  </si>
  <si>
    <t>ENTRADA DE ENERGIA ELÉTRICA, SUBTERRÂNEA, MONOFÁSICA, COM CAIXA DE SOBREPOR, CABO DE 25 MM2 E DISJUNTOR DIN 50A (NÃO INCLUSA MURETA DE ALVENARIA). AF_07/2020_P</t>
  </si>
  <si>
    <t>ENTRADA DE ENERGIA ELÉTRICA, SUBTERRÂNEA, MONOFÁSICA, COM CAIXA DE SOBREPOR, CABO DE 35 MM2 E DISJUNTOR DIN 50A (NÃO INCLUSA MURETA DE ALVENARIA). AF_07/2020_P</t>
  </si>
  <si>
    <t>ENTRADA DE ENERGIA ELÉTRICA, SUBTERRÂNEA, MONOFÁSICA, COM CAIXA DE EMBUTIR, CABO DE 10 MM2 E DISJUNTOR DIN 50A (NÃO INCLUSA MURETA DE ALVENARIA). AF_07/2020_P</t>
  </si>
  <si>
    <t>ENTRADA DE ENERGIA ELÉTRICA, SUBTERRÂNEA, MONOFÁSICA, COM CAIXA DE EMBUTIR, CABO DE 16 MM2 E DISJUNTOR DIN 50A (NÃO INCLUSA MURETA DE ALVENARIA). AF_07/2020_P</t>
  </si>
  <si>
    <t>ENTRADA DE ENERGIA ELÉTRICA, SUBTERRÂNEA, MONOFÁSICA, COM CAIXA DE EMBUTIR, CABO DE 25 MM2 E DISJUNTOR DIN 50A (NÃO INCLUSA MURETA DE ALVENARIA). AF_07/2020_P</t>
  </si>
  <si>
    <t>ENTRADA DE ENERGIA ELÉTRICA, SUBTERRÂNEA, MONOFÁSICA, COM CAIXA DE EMBUTIR, CABO DE 35 MM2 E DISJUNTOR DIN 50A (NÃO INCLUSA MURETA DE ALVENARIA). AF_07/2020_P</t>
  </si>
  <si>
    <t>ENTRADA DE ENERGIA ELÉTRICA, SUBTERRÂNEA, BIFÁSICA, COM CAIXA DE SOBREPOR, CABO DE 10 MM2 E DISJUNTOR DIN 50A (NÃO INCLUSA MURETA DE ALVENARIA). AF_07/2020_P</t>
  </si>
  <si>
    <t>ENTRADA DE ENERGIA ELÉTRICA, SUBTERRÂNEA, BIFÁSICA, COM CAIXA DE SOBREPOR, CABO DE 16 MM2 E DISJUNTOR DIN 50A (NÃO INCLUSA MURETA DE ALVENARIA). AF_07/2020_P</t>
  </si>
  <si>
    <t>ENTRADA DE ENERGIA ELÉTRICA, SUBTERRÂNEA, BIFÁSICA, COM CAIXA DE SOBREPOR, CABO DE 25 MM2 E DISJUNTOR DIN 50A (NÃO INCLUSA MURETA DE ALVENARIA). AF_07/2020_P</t>
  </si>
  <si>
    <t>ENTRADA DE ENERGIA ELÉTRICA, SUBTERRÂNEA, BIFÁSICA, COM CAIXA DE SOBREPOR, CABO DE 35 MM2 E DISJUNTOR DIN 50A (NÃO INCLUSA MURETA DE ALVENARIA). AF_07/2020_P</t>
  </si>
  <si>
    <t>ENTRADA DE ENERGIA ELÉTRICA, SUBTERRÂNEA, BIFÁSICA, COM CAIXA DE EMBUTIR, CABO DE 10 MM2 E DISJUNTOR DIN 50A (NÃO INCLUSA MURETA DE ALVENARIA). AF_07/2020_P</t>
  </si>
  <si>
    <t>ENTRADA DE ENERGIA ELÉTRICA, SUBTERRÂNEA, BIFÁSICA, COM CAIXA DE EMBUTIR, CABO DE 16 MM2 E DISJUNTOR DIN 50A (NÃO INCLUSA MURETA DE ALVENARIA). AF_07/2020_P</t>
  </si>
  <si>
    <t>ENTRADA DE ENERGIA ELÉTRICA, SUBTERRÂNEA, BIFÁSICA, COM CAIXA DE EMBUTIR, CABO DE 25 MM2 E DISJUNTOR DIN 50A (NÃO INCLUSA MURETA DE ALVENARIA). AF_07/2020_P</t>
  </si>
  <si>
    <t>ENTRADA DE ENERGIA ELÉTRICA, SUBTERRÂNEA, BIFÁSICA, COM CAIXA DE EMBUTIR, CABO DE 35 MM2 E DISJUNTOR DIN 50A (NÃO INCLUSA MURETA DE ALVENARIA). AF_07/2020_P</t>
  </si>
  <si>
    <t>ENTRADA DE ENERGIA ELÉTRICA, SUBTERRÂNEA, TRIFÁSICA, COM CAIXA DE SOBREPOR, CABO DE 10 MM2 E DISJUNTOR DIN 50A (NÃO INCLUSA MURETA DE ALVENARIA). AF_07/2020_P</t>
  </si>
  <si>
    <t>ENTRADA DE ENERGIA ELÉTRICA, SUBTERRÂNEA, TRIFÁSICA, COM CAIXA DE SOBREPOR, CABO DE 16 MM2 E DISJUNTOR DIN 50A (NÃO INCLUSA MURETA DE ALVENARIA). AF_07/2020_P</t>
  </si>
  <si>
    <t>ENTRADA DE ENERGIA ELÉTRICA, SUBTERRÂNEA, TRIFÁSICA, COM CAIXA DE SOBREPOR, CABO DE 25 MM2 E DISJUNTOR DIN 50A (NÃO INCLUSA MURETA DE ALVENARIA). AF_07/2020_P</t>
  </si>
  <si>
    <t>ENTRADA DE ENERGIA ELÉTRICA, SUBTERRÂNEA, TRIFÁSICA, COM CAIXA DE SOBREPOR, CABO DE 35 MM2 E DISJUNTOR DIN 50A (NÃO INCLUSA MURETA DE ALVENARIA). AF_07/2020_P</t>
  </si>
  <si>
    <t>ENTRADA DE ENERGIA ELÉTRICA, SUBTERRÂNEA, TRIFÁSICA, COM CAIXA DE EMBUTIR, CABO DE 10 MM2 E DISJUNTOR DIN 50A (NÃO INCLUSA MURETA DE ALVENARIA). AF_07/2020</t>
  </si>
  <si>
    <t>ENTRADA DE ENERGIA ELÉTRICA, SUBTERRÂNEA, TRIFÁSICA, COM CAIXA DE EMBUTIR, CABO DE 16 MM2 E DISJUNTOR DIN 50A (NÃO INCLUSA MURETA DE ALVENARIA). AF_07/2020</t>
  </si>
  <si>
    <t>ENTRADA DE ENERGIA ELÉTRICA, SUBTERRÂNEA, TRIFÁSICA, COM CAIXA DE EMBUTIR, CABO DE 25 MM2 E DISJUNTOR DIN 50A (NÃO INCLUSA MURETA DE ALVENARIA). AF_07/2020</t>
  </si>
  <si>
    <t>ENTRADA DE ENERGIA ELÉTRICA, SUBTERRÂNEA, TRIFÁSICA, COM CAIXA DE EMBUTIR, CABO DE 35 MM2 E DISJUNTOR DIN 50A (NÃO INCLUSA MURETA DE ALVENARIA). AF_07/2020</t>
  </si>
  <si>
    <t>16.105.000030.SER</t>
  </si>
  <si>
    <t>16.105.000031.SER</t>
  </si>
  <si>
    <t>16.105.000032.SER</t>
  </si>
  <si>
    <t>16.105.000033.SER</t>
  </si>
  <si>
    <t>Entrada de energia em poste próprio da edificação com potência instalada de 15 a 20 KW</t>
  </si>
  <si>
    <t>16.105.000034.SER</t>
  </si>
  <si>
    <t>Entrada de energia em poste próprio da edificação com potência instalada de 20 a 25 KW</t>
  </si>
  <si>
    <t>16.105.000035.SER</t>
  </si>
  <si>
    <t>Entrada de energia em poste próprio da edificação com potência instalada de 25 a 30 KW</t>
  </si>
  <si>
    <t>ELETRODUTO PVC 40MM (1 ¼ ) PARA SPDA - FORNECIMENTO E INSTALAÇÃO. AF_12/2017</t>
  </si>
  <si>
    <t>ELETRODUTO FLEXÍVEL CORRUGADO, PVC, DN 20 MM (1/2"), PARA CIRCUITOS TERMINAIS, INSTALADO EM FORRO - FORNECIMENTO E INSTALAÇÃO. AF_12/2015</t>
  </si>
  <si>
    <t>ELETRODUTO FLEXÍVEL CORRUGADO, PVC, DN 25 MM (3/4"), PARA CIRCUITOS TERMINAIS, INSTALADO EM FORRO - FORNECIMENTO E INSTALAÇÃO. AF_12/2015</t>
  </si>
  <si>
    <t>ELETRODUTO FLEXÍVEL CORRUGADO, PVC, DN 32 MM (1"), PARA CIRCUITOS TERMINAIS, INSTALADO EM FORRO - FORNECIMENTO E INSTALAÇÃO. AF_12/2015</t>
  </si>
  <si>
    <t>ELETRODUTO FLEXÍVEL CORRUGADO, PVC, DN 20 MM (1/2"), PARA CIRCUITOS TERMINAIS, INSTALADO EM LAJE - FORNECIMENTO E INSTALAÇÃO. AF_12/2015</t>
  </si>
  <si>
    <t>ELETRODUTO FLEXÍVEL CORRUGADO, PVC, DN 25 MM (3/4"), PARA CIRCUITOS TERMINAIS, INSTALADO EM LAJE - FORNECIMENTO E INSTALAÇÃO. AF_12/2015</t>
  </si>
  <si>
    <t>ELETRODUTO FLEXÍVEL CORRUGADO, PVC, DN 32 MM (1"), PARA CIRCUITOS TERMINAIS, INSTALADO EM LAJE - FORNECIMENTO E INSTALAÇÃO. AF_12/2015</t>
  </si>
  <si>
    <t>ELETRODUTO FLEXÍVEL CORRUGADO, PVC, DN 20 MM (1/2"), PARA CIRCUITOS TERMINAIS, INSTALADO EM PAREDE - FORNECIMENTO E INSTALAÇÃO. AF_12/2015</t>
  </si>
  <si>
    <t>ELETRODUTO FLEXÍVEL CORRUGADO, PVC, DN 25 MM (3/4"), PARA CIRCUITOS TERMINAIS, INSTALADO EM PAREDE - FORNECIMENTO E INSTALAÇÃO. AF_12/2015</t>
  </si>
  <si>
    <t>ELETRODUTO FLEXÍVEL CORRUGADO, PVC, DN 32 MM (1"), PARA CIRCUITOS TERMINAIS, INSTALADO EM PAREDE - FORNECIMENTO E INSTALAÇÃO. AF_12/2015</t>
  </si>
  <si>
    <t>ELETRODUTO FLEXÍVEL CORRUGADO REFORÇADO, PVC, DN 20 MM (1/2"), PARA CIRCUITOS TERMINAIS, INSTALADO EM FORRO - FORNECIMENTO E INSTALAÇÃO. AF_12/2015</t>
  </si>
  <si>
    <t>ELETRODUTO FLEXÍVEL CORRUGADO REFORÇADO, PVC, DN 25 MM (3/4"), PARA CIRCUITOS TERMINAIS, INSTALADO EM FORRO - FORNECIMENTO E INSTALAÇÃO. AF_12/2015</t>
  </si>
  <si>
    <t>ELETRODUTO FLEXÍVEL CORRUGADO REFORÇADO, PVC, DN 32 MM (1"), PARA CIRCUITOS TERMINAIS, INSTALADO EM FORRO - FORNECIMENTO E INSTALAÇÃO. AF_12/2015</t>
  </si>
  <si>
    <t>ELETRODUTO FLEXÍVEL CORRUGADO REFORÇADO, PVC, DN 20 MM (1/2"), PARA CIRCUITOS TERMINAIS, INSTALADO EM LAJE - FORNECIMENTO E INSTALAÇÃO. AF_12/2015</t>
  </si>
  <si>
    <t>ELETRODUTO FLEXÍVEL CORRUGADO REFORÇADO, PVC, DN 25 MM (3/4"), PARA CIRCUITOS TERMINAIS, INSTALADO EM LAJE - FORNECIMENTO E INSTALAÇÃO. AF_12/2015</t>
  </si>
  <si>
    <t>ELETRODUTO FLEXÍVEL CORRUGADO REFORÇADO, PVC, DN 32 MM (1"), PARA CIRCUITOS TERMINAIS, INSTALADO EM LAJE - FORNECIMENTO E INSTALAÇÃO. AF_12/2015</t>
  </si>
  <si>
    <t>ELETRODUTO FLEXÍVEL CORRUGADO REFORÇADO, PVC, DN 20 MM (1/2"), PARA CIRCUITOS TERMINAIS, INSTALADO EM PAREDE - FORNECIMENTO E INSTALAÇÃO. AF_12/2015</t>
  </si>
  <si>
    <t>ELETRODUTO FLEXÍVEL CORRUGADO REFORÇADO, PVC, DN 25 MM (3/4"), PARA CIRCUITOS TERMINAIS, INSTALADO EM PAREDE - FORNECIMENTO E INSTALAÇÃO. AF_12/2015</t>
  </si>
  <si>
    <t>ELETRODUTO FLEXÍVEL CORRUGADO REFORÇADO, PVC, DN 32 MM (1"), PARA CIRCUITOS TERMINAIS, INSTALADO EM PAREDE - FORNECIMENTO E INSTALAÇÃO. AF_12/2015</t>
  </si>
  <si>
    <t>LUVA PARA ELETRODUTO, PVC, ROSCÁVEL, DN 20 MM (1/2"), PARA CIRCUITOS TERMINAIS, INSTALADA EM FORRO - FORNECIMENTO E INSTALAÇÃO. AF_12/2015</t>
  </si>
  <si>
    <t>LUVA PARA ELETRODUTO, PVC, ROSCÁVEL, DN 25 MM (3/4"), PARA CIRCUITOS TERMINAIS, INSTALADA EM FORRO - FORNECIMENTO E INSTALAÇÃO. AF_12/2015</t>
  </si>
  <si>
    <t>LUVA PARA ELETRODUTO, PVC, ROSCÁVEL, DN 32 MM (1"), PARA CIRCUITOS TERMINAIS, INSTALADA EM FORRO - FORNECIMENTO E INSTALAÇÃO. AF_12/2015</t>
  </si>
  <si>
    <t>LUVA PARA ELETRODUTO, PVC, ROSCÁVEL, DN 40 MM (1 1/4"), PARA CIRCUITOS TERMINAIS, INSTALADA EM FORRO - FORNECIMENTO E INSTALAÇÃO. AF_12/2015</t>
  </si>
  <si>
    <t>LUVA PARA ELETRODUTO, PVC, ROSCÁVEL, DN 20 MM (1/2"), PARA CIRCUITOS TERMINAIS, INSTALADA EM LAJE - FORNECIMENTO E INSTALAÇÃO. AF_12/2015</t>
  </si>
  <si>
    <t>LUVA PARA ELETRODUTO, PVC, ROSCÁVEL, DN 25 MM (3/4"), PARA CIRCUITOS TERMINAIS, INSTALADA EM LAJE - FORNECIMENTO E INSTALAÇÃO. AF_12/2015</t>
  </si>
  <si>
    <t>LUVA PARA ELETRODUTO, PVC, ROSCÁVEL, DN 32 MM (1"), PARA CIRCUITOS TERMINAIS, INSTALADA EM LAJE - FORNECIMENTO E INSTALAÇÃO. AF_12/2015</t>
  </si>
  <si>
    <t>LUVA PARA ELETRODUTO, PVC, ROSCÁVEL, DN 40 MM (1 1/4"), PARA CIRCUITOS TERMINAIS, INSTALADA EM LAJE - FORNECIMENTO E INSTALAÇÃO. AF_12/2015</t>
  </si>
  <si>
    <t>LUVA PARA ELETRODUTO, PVC, ROSCÁVEL, DN 20 MM (1/2"), PARA CIRCUITOS TERMINAIS, INSTALADA EM PAREDE - FORNECIMENTO E INSTALAÇÃO. AF_12/2015</t>
  </si>
  <si>
    <t>LUVA PARA ELETRODUTO, PVC, ROSCÁVEL, DN 25 MM (3/4"), PARA CIRCUITOS TERMINAIS, INSTALADA EM PAREDE - FORNECIMENTO E INSTALAÇÃO. AF_12/2015</t>
  </si>
  <si>
    <t>LUVA PARA ELETRODUTO, PVC, ROSCÁVEL, DN 32 MM (1"), PARA CIRCUITOS TERMINAIS, INSTALADA EM PAREDE - FORNECIMENTO E INSTALAÇÃO. AF_12/2015</t>
  </si>
  <si>
    <t>LUVA PARA ELETRODUTO, PVC, ROSCÁVEL, DN 40 MM (1 1/4"), PARA CIRCUITOS TERMINAIS, INSTALADA EM PAREDE - FORNECIMENTO E INSTALAÇÃO. AF_12/2015</t>
  </si>
  <si>
    <t>CURVA 90 GRAUS PARA ELETRODUTO, PVC, ROSCÁVEL, DN 20 MM (1/2"), PARA CIRCUITOS TERMINAIS, INSTALADA EM FORRO - FORNECIMENTO E INSTALAÇÃO. AF_12/2015</t>
  </si>
  <si>
    <t>CURVA 180 GRAUS PARA ELETRODUTO, PVC, ROSCÁVEL, DN 20 MM (1/2"), PARA CIRCUITOS TERMINAIS, INSTALADA EM FORRO - FORNECIMENTO E INSTALAÇÃO. AF_12/2015</t>
  </si>
  <si>
    <t>CURVA 90 GRAUS PARA ELETRODUTO, PVC, ROSCÁVEL, DN 25 MM (3/4"), PARA CIRCUITOS TERMINAIS, INSTALADA EM FORRO - FORNECIMENTO E INSTALAÇÃO. AF_12/2015</t>
  </si>
  <si>
    <t>CURVA 180 GRAUS PARA ELETRODUTO, PVC, ROSCÁVEL, DN 25 MM (3/4"), PARA CIRCUITOS TERMINAIS, INSTALADA EM FORRO - FORNECIMENTO E INSTALAÇÃO. AF_12/2015</t>
  </si>
  <si>
    <t>CURVA 90 GRAUS PARA ELETRODUTO, PVC, ROSCÁVEL, DN 32 MM (1"), PARA CIRCUITOS TERMINAIS, INSTALADA EM FORRO - FORNECIMENTO E INSTALAÇÃO. AF_12/2015</t>
  </si>
  <si>
    <t>CURVA 90 GRAUS PARA ELETRODUTO, PVC, ROSCÁVEL, DN 40 MM (1 1/4"), PARA CIRCUITOS TERMINAIS, INSTALADA EM FORRO - FORNECIMENTO E INSTALAÇÃO. AF_12/2015</t>
  </si>
  <si>
    <t>CURVA 180 GRAUS PARA ELETRODUTO, PVC, ROSCÁVEL, DN 40 MM (1 1/4"), PARA CIRCUITOS TERMINAIS, INSTALADA EM FORRO - FORNECIMENTO E INSTALAÇÃO. AF_12/2015</t>
  </si>
  <si>
    <t>CURVA 90 GRAUS PARA ELETRODUTO, PVC, ROSCÁVEL, DN 20 MM (1/2"), PARA CIRCUITOS TERMINAIS, INSTALADA EM LAJE - FORNECIMENTO E INSTALAÇÃO. AF_12/2015</t>
  </si>
  <si>
    <t>CURVA 180 GRAUS PARA ELETRODUTO, PVC, ROSCÁVEL, DN 20 MM (1/2"), PARA CIRCUITOS TERMINAIS, INSTALADA EM LAJE - FORNECIMENTO E INSTALAÇÃO. AF_12/2015</t>
  </si>
  <si>
    <t>CURVA 90 GRAUS PARA ELETRODUTO, PVC, ROSCÁVEL, DN 25 MM (3/4"), PARA CIRCUITOS TERMINAIS, INSTALADA EM LAJE - FORNECIMENTO E INSTALAÇÃO. AF_12/2015</t>
  </si>
  <si>
    <t>CURVA 180 GRAUS PARA ELETRODUTO, PVC, ROSCÁVEL, DN 32 MM (1"), PARA CIRCUITOS TERMINAIS, INSTALADA EM FORRO - FORNECIMENTO E INSTALAÇÃO. AF_12/2015</t>
  </si>
  <si>
    <t>CURVA 180 GRAUS PARA ELETRODUTO, PVC, ROSCÁVEL, DN 32 MM (1), PARA CIRCUITOS TERMINAIS, INSTALADA EM LAJE - FORNECIMENTO E INSTALAÇÃO. AF_12/2015</t>
  </si>
  <si>
    <t>CURVA 180 GRAUS PARA ELETRODUTO, PVC, ROSCÁVEL, DN 32 MM (1), PARA CIRCUITOS TERMINAIS, INSTALADA EM PAREDE - FORNECIMENTO E INSTALAÇÃO. AF_12/2015</t>
  </si>
  <si>
    <t>CURVA 180 GRAUS PARA ELETRODUTO, PVC, ROSCÁVEL, DN 25 MM (3/4"), PARA CIRCUITOS TERMINAIS, INSTALADA EM LAJE - FORNECIMENTO E INSTALAÇÃO. AF_12/2015</t>
  </si>
  <si>
    <t>CURVA 90 GRAUS PARA ELETRODUTO, PVC, ROSCÁVEL, DN 32 MM (1"), PARA CIRCUITOS TERMINAIS, INSTALADA EM LAJE - FORNECIMENTO E INSTALAÇÃO. AF_12/2015</t>
  </si>
  <si>
    <t>CURVA 90 GRAUS PARA ELETRODUTO, PVC, ROSCÁVEL, DN 40 MM (1 1/4"), PARA CIRCUITOS TERMINAIS, INSTALADA EM LAJE - FORNECIMENTO E INSTALAÇÃO. AF_12/2015</t>
  </si>
  <si>
    <t>CURVA 180 GRAUS PARA ELETRODUTO, PVC, ROSCÁVEL, DN 40 MM (1 1/4"), PARA CIRCUITOS TERMINAIS, INSTALADA EM LAJE - FORNECIMENTO E INSTALAÇÃO. AF_12/2015</t>
  </si>
  <si>
    <t>CURVA 90 GRAUS PARA ELETRODUTO, PVC, ROSCÁVEL, DN 20 MM (1/2"), PARA CIRCUITOS TERMINAIS, INSTALADA EM PAREDE - FORNECIMENTO E INSTALAÇÃO. AF_12/2015</t>
  </si>
  <si>
    <t>CURVA 180 GRAUS PARA ELETRODUTO, PVC, ROSCÁVEL, DN 20 MM (1/2"), PARA CIRCUITOS TERMINAIS, INSTALADA EM PAREDE - FORNECIMENTO E INSTALAÇÃO. AF_12/2015</t>
  </si>
  <si>
    <t>CURVA 90 GRAUS PARA ELETRODUTO, PVC, ROSCÁVEL, DN 25 MM (3/4"), PARA CIRCUITOS TERMINAIS, INSTALADA EM PAREDE - FORNECIMENTO E INSTALAÇÃO. AF_12/2015</t>
  </si>
  <si>
    <t>CURVA 180 GRAUS PARA ELETRODUTO, PVC, ROSCÁVEL, DN 25 MM (3/4"), PARA CIRCUITOS TERMINAIS, INSTALADA EM PAREDE - FORNECIMENTO E INSTALAÇÃO. AF_12/2015</t>
  </si>
  <si>
    <t>CURVA 90 GRAUS PARA ELETRODUTO, PVC, ROSCÁVEL, DN 32 MM (1"), PARA CIRCUITOS TERMINAIS, INSTALADA EM PAREDE - FORNECIMENTO E INSTALAÇÃO. AF_12/2015</t>
  </si>
  <si>
    <t>CURVA 90 GRAUS PARA ELETRODUTO, PVC, ROSCÁVEL, DN 40 MM (1 1/4"), PARA CIRCUITOS TERMINAIS, INSTALADA EM PAREDE - FORNECIMENTO E INSTALAÇÃO. AF_12/2015</t>
  </si>
  <si>
    <t>CURVA 180 GRAUS PARA ELETRODUTO, PVC, ROSCÁVEL, DN 40 MM (1 1/4"), PARA CIRCUITOS TERMINAIS, INSTALADA EM PAREDE - FORNECIMENTO E INSTALAÇÃO. AF_12/2015</t>
  </si>
  <si>
    <t>LUVA PARA ELETRODUTO, PVC, ROSCÁVEL, DN 50 MM (1 1/2") - FORNECIMENTO E INSTALAÇÃO. AF_12/2015</t>
  </si>
  <si>
    <t>LUVA PARA ELETRODUTO, PVC, ROSCÁVEL, DN 60 MM (2") - FORNECIMENTO E INSTALAÇÃO. AF_12/2015</t>
  </si>
  <si>
    <t>LUVA PARA ELETRODUTO, PVC, ROSCÁVEL, DN 75 MM (2 1/2") - FORNECIMENTO E INSTALAÇÃO. AF_12/2015</t>
  </si>
  <si>
    <t>LUVA PARA ELETRODUTO, PVC, ROSCÁVEL, DN 85 MM (3") - FORNECIMENTO E INSTALAÇÃO. AF_12/2015</t>
  </si>
  <si>
    <t>LUVA PARA ELETRODUTO, PVC, ROSCÁVEL, DN 110 MM (4") - FORNECIMENTO E INSTALAÇÃO. AF_12/2015</t>
  </si>
  <si>
    <t>CURVA 90 GRAUS PARA ELETRODUTO, PVC, ROSCÁVEL, DN 50 MM (1 1/2") - FORNECIMENTO E INSTALAÇÃO. AF_12/2015</t>
  </si>
  <si>
    <t>CURVA 90 GRAUS PARA ELETRODUTO, PVC, ROSCÁVEL, DN 60 MM (2") - FORNECIMENTO E INSTALAÇÃO. AF_12/2015</t>
  </si>
  <si>
    <t>CURVA 90 GRAUS PARA ELETRODUTO, PVC, ROSCÁVEL, DN 75 MM (2 1/2") - FORNECIMENTO E INSTALAÇÃO. AF_12/2015</t>
  </si>
  <si>
    <t>CURVA 90 GRAUS PARA ELETRODUTO, PVC, ROSCÁVEL, DN 85 MM (3") - FORNECIMENTO E INSTALAÇÃO. AF_12/2015</t>
  </si>
  <si>
    <t>CURVA 90 GRAUS PARA ELETRODUTO, PVC, ROSCÁVEL, DN 110 MM (4") - FORNECIMENTO E INSTALAÇÃO. AF_12/2015</t>
  </si>
  <si>
    <t>CURVA 135 GRAUS PARA ELETRODUTO, PVC, ROSCÁVEL, DN 25 MM (3/4), PARA CIRCUITOS TERMINAIS, INSTALADA EM FORRO - FORNECIMENTO E INSTALAÇÃO. AF_12/2015</t>
  </si>
  <si>
    <t>CURVA 135 GRAUS PARA ELETRODUTO, PVC, ROSCÁVEL, DN 25 MM (3/4), PARA CIRCUITOS TERMINAIS, INSTALADA EM LAJE - FORNECIMENTO E INSTALAÇÃO. AF_12/2015</t>
  </si>
  <si>
    <t>CURVA 135 GRAUS PARA ELETRODUTO, PVC, ROSCÁVEL, DN 25 MM (3/4), PARA CIRCUITOS TERMINAIS, INSTALADA EM PAREDE - FORNECIMENTO E INSTALAÇÃO. AF_12/2015</t>
  </si>
  <si>
    <t>ELETRODUTO RÍGIDO ROSCÁVEL, PVC, DN 20 MM (1/2"), PARA CIRCUITOS TERMINAIS, INSTALADO EM FORRO - FORNECIMENTO E INSTALAÇÃO. AF_12/2015</t>
  </si>
  <si>
    <t>ELETRODUTO RÍGIDO ROSCÁVEL, PVC, DN 25 MM (3/4"), PARA CIRCUITOS TERMINAIS, INSTALADO EM FORRO - FORNECIMENTO E INSTALAÇÃO. AF_12/2015</t>
  </si>
  <si>
    <t>ELETRODUTO RÍGIDO ROSCÁVEL, PVC, DN 32 MM (1"), PARA CIRCUITOS TERMINAIS, INSTALADO EM FORRO - FORNECIMENTO E INSTALAÇÃO. AF_12/2015</t>
  </si>
  <si>
    <t>ELETRODUTO RÍGIDO ROSCÁVEL, PVC, DN 40 MM (1 1/4"), PARA CIRCUITOS TERMINAIS, INSTALADO EM FORRO - FORNECIMENTO E INSTALAÇÃO. AF_12/2015</t>
  </si>
  <si>
    <t>ELETRODUTO RÍGIDO ROSCÁVEL, PVC, DN 20 MM (1/2"), PARA CIRCUITOS TERMINAIS, INSTALADO EM LAJE - FORNECIMENTO E INSTALAÇÃO. AF_12/2015</t>
  </si>
  <si>
    <t>ELETRODUTO RÍGIDO ROSCÁVEL, PVC, DN 25 MM (3/4"), PARA CIRCUITOS TERMINAIS, INSTALADO EM LAJE - FORNECIMENTO E INSTALAÇÃO. AF_12/2015</t>
  </si>
  <si>
    <t>ELETRODUTO RÍGIDO ROSCÁVEL, PVC, DN 32 MM (1"), PARA CIRCUITOS TERMINAIS, INSTALADO EM LAJE - FORNECIMENTO E INSTALAÇÃO. AF_12/2015</t>
  </si>
  <si>
    <t>ELETRODUTO RÍGIDO ROSCÁVEL, PVC, DN 40 MM (1 1/4"), PARA CIRCUITOS TERMINAIS, INSTALADO EM LAJE - FORNECIMENTO E INSTALAÇÃO. AF_12/2015</t>
  </si>
  <si>
    <t>ELETRODUTO RÍGIDO ROSCÁVEL, PVC, DN 20 MM (1/2"), PARA CIRCUITOS TERMINAIS, INSTALADO EM PAREDE - FORNECIMENTO E INSTALAÇÃO. AF_12/2015</t>
  </si>
  <si>
    <t>ELETRODUTO RÍGIDO ROSCÁVEL, PVC, DN 25 MM (3/4"), PARA CIRCUITOS TERMINAIS, INSTALADO EM PAREDE - FORNECIMENTO E INSTALAÇÃO. AF_12/2015</t>
  </si>
  <si>
    <t>ELETRODUTO RÍGIDO ROSCÁVEL, PVC, DN 32 MM (1"), PARA CIRCUITOS TERMINAIS, INSTALADO EM PAREDE - FORNECIMENTO E INSTALAÇÃO. AF_12/2015</t>
  </si>
  <si>
    <t>ELETRODUTO RÍGIDO ROSCÁVEL, PVC, DN 40 MM (1 1/4"), PARA CIRCUITOS TERMINAIS, INSTALADO EM PAREDE - FORNECIMENTO E INSTALAÇÃO. AF_12/2015</t>
  </si>
  <si>
    <t>ELETRODUTO RÍGIDO ROSCÁVEL, PVC, DN 50 MM (1 1/2") - FORNECIMENTO E INSTALAÇÃO. AF_12/2015</t>
  </si>
  <si>
    <t>ELETRODUTO RÍGIDO ROSCÁVEL, PVC, DN 60 MM (2") - FORNECIMENTO E INSTALAÇÃO. AF_12/2015</t>
  </si>
  <si>
    <t>ELETRODUTO RÍGIDO ROSCÁVEL, PVC, DN 75 MM (2 1/2") - FORNECIMENTO E INSTALAÇÃO. AF_12/2015</t>
  </si>
  <si>
    <t>ELETRODUTO RÍGIDO ROSCÁVEL, PVC, DN 85 MM (3") - FORNECIMENTO E INSTALAÇÃO. AF_12/2015</t>
  </si>
  <si>
    <t>ELETRODUTO RÍGIDO ROSCÁVEL, PVC, DN 110 MM (4") - FORNECIMENTO E INSTALAÇÃO. AF_12/2015</t>
  </si>
  <si>
    <t>ELETRODUTO RÍGIDO SOLDÁVEL, PVC, DN 20 MM (½), APARENTE, INSTALADO EM TETO - FORNECIMENTO E INSTALAÇÃO. AF_11/2016_P</t>
  </si>
  <si>
    <t>ELETRODUTO RÍGIDO SOLDÁVEL, PVC, DN 25 MM (3/4), APARENTE, INSTALADO EM TETO - FORNECIMENTO E INSTALAÇÃO. AF_11/2016_P</t>
  </si>
  <si>
    <t>ELETRODUTO RÍGIDO SOLDÁVEL, PVC, DN 32 MM (1), APARENTE, INSTALADO EM TETO - FORNECIMENTO E INSTALAÇÃO. AF_11/2016_P</t>
  </si>
  <si>
    <t>ELETRODUTO RÍGIDO SOLDÁVEL, PVC, DN 20 MM (½), APARENTE, INSTALADO EM PAREDE - FORNECIMENTO E INSTALAÇÃO. AF_11/2016_P</t>
  </si>
  <si>
    <t>ELETRODUTO RÍGIDO SOLDÁVEL, PVC, DN 25 MM (3/4), APARENTE, INSTALADO EM PAREDE - FORNECIMENTO E INSTALAÇÃO. AF_11/2016_P</t>
  </si>
  <si>
    <t>ELETRODUTO RÍGIDO SOLDÁVEL, PVC, DN 32 MM (1), APARENTE, INSTALADO EM PAREDE - FORNECIMENTO E INSTALAÇÃO. AF_11/2016_P</t>
  </si>
  <si>
    <t>LUVA PARA ELETRODUTO, PVC, SOLDÁVEL, DN 25 MM (3/4), APARENTE, INSTALADA EM TETO - FORNECIMENTO E INSTALAÇÃO. AF_11/2016_P</t>
  </si>
  <si>
    <t>LUVA PARA ELETRODUTO, PVC, SOLDÁVEL, DN 32 MM (1), APARENTE, INSTALADA EM TETO - FORNECIMENTO E INSTALAÇÃO. AF_11/2016_P</t>
  </si>
  <si>
    <t>LUVA PARA ELETRODUTO, PVC, SOLDÁVEL, DN 20 MM (1/2), APARENTE, INSTALADA EM PAREDE - FORNECIMENTO E INSTALAÇÃO. AF_11/2016_P</t>
  </si>
  <si>
    <t>LUVA PARA ELETRODUTO, PVC, SOLDÁVEL, DN 25 MM (3/4), APARENTE, INSTALADA EM PAREDE - FORNECIMENTO E INSTALAÇÃO. AF_11/2016_P</t>
  </si>
  <si>
    <t>LUVA PARA ELETRODUTO, PVC, SOLDÁVEL, DN 32 MM (1), APARENTE, INSTALADA EM PAREDE - FORNECIMENTO E INSTALAÇÃO. AF_11/2016_P</t>
  </si>
  <si>
    <t>LUVA PARA ELETRODUTO, PVC, SOLDÁVEL, DN 20 MM (1/2), APARENTE, INSTALADA EM TETO - FORNECIMENTO E INSTALAÇÃO. AF_11/2016_P</t>
  </si>
  <si>
    <t>ELETRODUTO DE AÇO GALVANIZADO, CLASSE LEVE, DN 20 MM (3/4), APARENTE, INSTALADO EM TETO - FORNECIMENTO E INSTALAÇÃO. AF_11/2016_P</t>
  </si>
  <si>
    <t>ELETRODUTO DE AÇO GALVANIZADO, CLASSE LEVE, DN 25 MM (1), APARENTE, INSTALADO EM TETO - FORNECIMENTO E INSTALAÇÃO. AF_11/2016_P</t>
  </si>
  <si>
    <t>ELETRODUTO DE AÇO GALVANIZADO, CLASSE SEMI PESADO, DN 32 MM (1 1/4), APARENTE, INSTALADO EM TETO - FORNECIMENTO E INSTALAÇÃO. AF_11/2016_P</t>
  </si>
  <si>
    <t>ELETRODUTO DE AÇO GALVANIZADO, CLASSE SEMI PESADO, DN 40 MM (1 1/2 ), APARENTE, INSTALADO EM TETO - FORNECIMENTO E INSTALAÇÃO. AF_11/2016_P</t>
  </si>
  <si>
    <t>ELETRODUTO DE AÇO GALVANIZADO, CLASSE LEVE, DN 20 MM (3/4), APARENTE, INSTALADO EM PAREDE - FORNECIMENTO E INSTALAÇÃO. AF_11/2016_P</t>
  </si>
  <si>
    <t>ELETRODUTO DE AÇO GALVANIZADO, CLASSE LEVE, DN 25 MM (1), APARENTE, INSTALADO EM PAREDE - FORNECIMENTO E INSTALAÇÃO. AF_11/2016_P</t>
  </si>
  <si>
    <t>ELETRODUTO DE AÇO GALVANIZADO, CLASSE SEMI PESADO, DN 32 MM (1 1/4), APARENTE, INSTALADO EM PAREDE - FORNECIMENTO E INSTALAÇÃO. AF_11/2016_P</t>
  </si>
  <si>
    <t>ELETRODUTO DE AÇO GALVANIZADO, CLASSE SEMI PESADO, DN 40 MM (1 1/2  ), APARENTE, INSTALADO EM PAREDE - FORNECIMENTO E INSTALAÇÃO. AF_11/2016_P</t>
  </si>
  <si>
    <t>LUVA DE EMENDA PARA ELETRODUTO, AÇO GALVANIZADO, DN 20 MM (3/4  ), APARENTE, INSTALADA EM TETO - FORNECIMENTO E INSTALAÇÃO. AF_11/2016_P</t>
  </si>
  <si>
    <t>LUVA DE EMENDA PARA ELETRODUTO, AÇO GALVANIZADO, DN 25 MM (1''), APARENTE, INSTALADA EM TETO - FORNECIMENTO E INSTALAÇÃO. AF_11/2016_P</t>
  </si>
  <si>
    <t>LUVA DE EMENDA PARA ELETRODUTO, AÇO GALVANIZADO, DN 32 MM (1 1/4''), APARENTE, INSTALADA EM TETO - FORNECIMENTO E INSTALAÇÃO. AF_11/2016_P</t>
  </si>
  <si>
    <t>LUVA DE EMENDA PARA ELETRODUTO, AÇO GALVANIZADO, DN 40 MM (1 1/2''), APARENTE, INSTALADA EM TETO - FORNECIMENTO E INSTALAÇÃO. AF_11/2016_P</t>
  </si>
  <si>
    <t>LUVA DE EMENDA PARA ELETRODUTO, AÇO GALVANIZADO, DN 20 MM (3/4''), APARENTE, INSTALADA EM PAREDE - FORNECIMENTO E INSTALAÇÃO. AF_11/2016_P</t>
  </si>
  <si>
    <t>LUVA DE EMENDA PARA ELETRODUTO, AÇO GALVANIZADO, DN 25 MM (1''), APARENTE, INSTALADA EM PAREDE - FORNECIMENTO E INSTALAÇÃO. AF_11/2016_P</t>
  </si>
  <si>
    <t>LUVA DE EMENDA PARA ELETRODUTO, AÇO GALVANIZADO, DN 32 MM (1 1/4''), APARENTE, INSTALADA EM PAREDE - FORNECIMENTO E INSTALAÇÃO. AF_11/2016_P</t>
  </si>
  <si>
    <t>LUVA DE EMENDA PARA ELETRODUTO, AÇO GALVANIZADO, DN 40 MM (1 1/2''), APARENTE, INSTALADA EM PAREDE - FORNECIMENTO E INSTALAÇÃO. AF_11/2016_P</t>
  </si>
  <si>
    <t>ELETRODUTO FLEXÍVEL LISO, PEAD, DN 32 MM (1"), PARA CIRCUITOS TERMINAIS, INSTALADO EM FORRO - FORNECIMENTO E INSTALAÇÃO. AF_12/2015</t>
  </si>
  <si>
    <t>ELETRODUTO FLEXÍVEL CORRUGADO, PEAD, DN 40 MM (1 1/4"), PARA CIRCUITOS TERMINAIS, INSTALADO EM FORRO - FORNECIMENTO E INSTALAÇÃO. AF_12/2015</t>
  </si>
  <si>
    <t>ELETRODUTO FLEXÍVEL LISO, PEAD, DN 40 MM (1 1/4"), PARA CIRCUITOS TERMINAIS, INSTALADO EM FORRO - FORNECIMENTO E INSTALAÇÃO. AF_12/2015</t>
  </si>
  <si>
    <t>ELETRODUTO FLEXÍVEL LISO, PEAD, DN 32 MM (1"), PARA CIRCUITOS TERMINAIS, INSTALADO EM LAJE - FORNECIMENTO E INSTALAÇÃO. AF_12/2015</t>
  </si>
  <si>
    <t>ELETRODUTO FLEXÍVEL CORRUGADO, PEAD, DN 40 MM (1 1/4"), PARA CIRCUITOS TERMINAIS, INSTALADO EM LAJE - FORNECIMENTO E INSTALAÇÃO. AF_12/2015</t>
  </si>
  <si>
    <t>ELETRODUTO FLEXÍVEL LISO, PEAD, DN 40 MM (1 1/4"), PARA CIRCUITOS TERMINAIS, INSTALADO EM LAJE - FORNECIMENTO E INSTALAÇÃO. AF_12/2015</t>
  </si>
  <si>
    <t>ELETRODUTO FLEXÍVEL LISO, PEAD, DN 32 MM (1"), PARA CIRCUITOS TERMINAIS, INSTALADO EM PAREDE - FORNECIMENTO E INSTALAÇÃO. AF_12/2015</t>
  </si>
  <si>
    <t>ELETRODUTO FLEXÍVEL CORRUGADO, PEAD, DN 40 MM (1 1/4"), PARA CIRCUITOS TERMINAIS, INSTALADO EM PAREDE - FORNECIMENTO E INSTALAÇÃO. AF_12/2015</t>
  </si>
  <si>
    <t>ELETRODUTO FLEXÍVEL LISO, PEAD, DN 40 MM (1 1/4"), PARA CIRCUITOS TERMINAIS, INSTALADO EM PAREDE - FORNECIMENTO E INSTALAÇÃO. AF_12/2015</t>
  </si>
  <si>
    <t>ELETRODUTO FLEXÍVEL CORRUGADO, PEAD, DN 50 (1 ½)  - FORNECIMENTO E INSTALAÇÃO. AF_04/2016</t>
  </si>
  <si>
    <t>ELETRODUTO FLEXÍVEL CORRUGADO, PEAD, DN 63 (2")  - FORNECIMENTO E INSTALAÇÃO. AF_04/2016</t>
  </si>
  <si>
    <t>ELETRODUTO FLEXÍVEL CORRUGADO, PEAD, DN 90 (3) - FORNECIMENTO E INSTALAÇÃO. AF_04/2016</t>
  </si>
  <si>
    <t>ELETRODUTO FLEXÍVEL CORRUGADO, PEAD, DN 100 (4) - FORNECIMENTO E INSTALAÇÃO. AF_04/2016</t>
  </si>
  <si>
    <t>CABO DE COBRE FLEXÍVEL ISOLADO, 1,5 MM², ANTI-CHAMA 450/750 V, PARA CIRCUITOS TERMINAIS - FORNECIMENTO E INSTALAÇÃO. AF_12/2015</t>
  </si>
  <si>
    <t>CABO DE COBRE FLEXÍVEL ISOLADO, 2,5 MM², ANTI-CHAMA 450/750 V, PARA CIRCUITOS TERMINAIS - FORNECIMENTO E INSTALAÇÃO. AF_12/2015</t>
  </si>
  <si>
    <t>CABO DE COBRE FLEXÍVEL ISOLADO, 4 MM², ANTI-CHAMA 450/750 V, PARA CIRCUITOS TERMINAIS - FORNECIMENTO E INSTALAÇÃO. AF_12/2015</t>
  </si>
  <si>
    <t>CABO DE COBRE FLEXÍVEL ISOLADO, 6 MM², ANTI-CHAMA 450/750 V, PARA CIRCUITOS TERMINAIS - FORNECIMENTO E INSTALAÇÃO. AF_12/2015</t>
  </si>
  <si>
    <t>CABO DE COBRE FLEXÍVEL ISOLADO, 10 MM², ANTI-CHAMA 450/750 V, PARA CIRCUITOS TERMINAIS - FORNECIMENTO E INSTALAÇÃO. AF_12/2015</t>
  </si>
  <si>
    <t>CABO DE COBRE FLEXÍVEL ISOLADO, 16 MM², ANTI-CHAMA 450/750 V, PARA CIRCUITOS TERMINAIS - FORNECIMENTO E INSTALAÇÃO. AF_12/2015</t>
  </si>
  <si>
    <t>CABO DE COBRE FLEXÍVEL ISOLADO, 10 MM², ANTI-CHAMA 450/750 V, PARA DISTRIBUIÇÃO - FORNECIMENTO E INSTALAÇÃO. AF_12/2015</t>
  </si>
  <si>
    <t>CABO DE COBRE FLEXÍVEL ISOLADO, 16 MM², ANTI-CHAMA 450/750 V, PARA DISTRIBUIÇÃO - FORNECIMENTO E INSTALAÇÃO. AF_12/2015</t>
  </si>
  <si>
    <t>CABO DE COBRE FLEXÍVEL ISOLADO, 1,5 MM², ANTI-CHAMA 0,6/1,0 KV, PARA CIRCUITOS TERMINAIS - FORNECIMENTO E INSTALAÇÃO. AF_12/2015</t>
  </si>
  <si>
    <t>CABO DE COBRE FLEXÍVEL ISOLADO, 2,5 MM², ANTI-CHAMA 0,6/1,0 KV, PARA CIRCUITOS TERMINAIS - FORNECIMENTO E INSTALAÇÃO. AF_12/2015</t>
  </si>
  <si>
    <t>CABO DE COBRE FLEXÍVEL ISOLADO, 4 MM², ANTI-CHAMA 0,6/1,0 KV, PARA CIRCUITOS TERMINAIS - FORNECIMENTO E INSTALAÇÃO. AF_12/2015</t>
  </si>
  <si>
    <t>CABO DE COBRE FLEXÍVEL ISOLADO, 6 MM², ANTI-CHAMA 0,6/1,0 KV, PARA CIRCUITOS TERMINAIS - FORNECIMENTO E INSTALAÇÃO. AF_12/2015</t>
  </si>
  <si>
    <t>CABO DE COBRE FLEXÍVEL ISOLADO, 10 MM², ANTI-CHAMA 0,6/1,0 KV, PARA CIRCUITOS TERMINAIS - FORNECIMENTO E INSTALAÇÃO. AF_12/2015</t>
  </si>
  <si>
    <t>CABO DE COBRE FLEXÍVEL ISOLADO, 16 MM², ANTI-CHAMA 0,6/1,0 KV, PARA CIRCUITOS TERMINAIS - FORNECIMENTO E INSTALAÇÃO. AF_12/2015</t>
  </si>
  <si>
    <t>CABO DE COBRE FLEXÍVEL ISOLADO, 10 MM², ANTI-CHAMA 0,6/1,0 KV, PARA DISTRIBUIÇÃO - FORNECIMENTO E INSTALAÇÃO. AF_12/2015</t>
  </si>
  <si>
    <t>CABO DE COBRE FLEXÍVEL ISOLADO, 16 MM², ANTI-CHAMA 0,6/1,0 KV, PARA DISTRIBUIÇÃO - FORNECIMENTO E INSTALAÇÃO. AF_12/2015</t>
  </si>
  <si>
    <t>CABO DE COBRE FLEXÍVEL ISOLADO, 25 MM², ANTI-CHAMA 0,6/1,0 KV, PARA DISTRIBUIÇÃO - FORNECIMENTO E INSTALAÇÃO. AF_12/2015</t>
  </si>
  <si>
    <t>CABO DE COBRE FLEXÍVEL ISOLADO, 35 MM², ANTI-CHAMA 0,6/1,0 KV, PARA DISTRIBUIÇÃO - FORNECIMENTO E INSTALAÇÃO. AF_12/2015</t>
  </si>
  <si>
    <t>CABO DE COBRE FLEXÍVEL ISOLADO, 50 MM², ANTI-CHAMA 0,6/1,0 KV, PARA DISTRIBUIÇÃO - FORNECIMENTO E INSTALAÇÃO. AF_12/2015</t>
  </si>
  <si>
    <t>CABO DE COBRE FLEXÍVEL ISOLADO, 70 MM², ANTI-CHAMA 0,6/1,0 KV, PARA DISTRIBUIÇÃO - FORNECIMENTO E INSTALAÇÃO. AF_12/2015</t>
  </si>
  <si>
    <t>CABO DE COBRE FLEXÍVEL ISOLADO, 95 MM², ANTI-CHAMA 0,6/1,0 KV, PARA DISTRIBUIÇÃO - FORNECIMENTO E INSTALAÇÃO. AF_12/2015</t>
  </si>
  <si>
    <t>CABO DE COBRE FLEXÍVEL ISOLADO, 120 MM², ANTI-CHAMA 0,6/1,0 KV, PARA DISTRIBUIÇÃO - FORNECIMENTO E INSTALAÇÃO. AF_12/2015</t>
  </si>
  <si>
    <t>CABO DE COBRE FLEXÍVEL ISOLADO, 150 MM², ANTI-CHAMA 0,6/1,0 KV, PARA DISTRIBUIÇÃO - FORNECIMENTO E INSTALAÇÃO. AF_12/2015</t>
  </si>
  <si>
    <t>CABO DE COBRE FLEXÍVEL ISOLADO, 185 MM², ANTI-CHAMA 0,6/1,0 KV, PARA DISTRIBUIÇÃO - FORNECIMENTO E INSTALAÇÃO. AF_12/2015</t>
  </si>
  <si>
    <t>CABO DE COBRE FLEXÍVEL ISOLADO, 240 MM², ANTI-CHAMA 0,6/1,0 KV, PARA DISTRIBUIÇÃO - FORNECIMENTO E INSTALAÇÃO. AF_12/2015</t>
  </si>
  <si>
    <t>CABO DE COBRE FLEXÍVEL ISOLADO, 300 MM², ANTI-CHAMA 0,6/1,0 KV, PARA DISTRIBUIÇÃO - FORNECIMENTO E INSTALAÇÃO. AF_12/2015</t>
  </si>
  <si>
    <t>CABO DE COBRE ISOLADO, 10 MM², ANTI-CHAMA 450/750 V, INSTALADO EM ELETROCALHA OU PERFILADO - FORNECIMENTO E INSTALAÇÃO. AF_10/2020</t>
  </si>
  <si>
    <t>CABO DE COBRE ISOLADO, 10 MM², ANTI-CHAMA 0,6/1 KV, INSTALADO EM ELETROCALHA OU PERFILADO - FORNECIMENTO E INSTALAÇÃO. AF_10/2020</t>
  </si>
  <si>
    <t>CABO DE COBRE ISOLADO, 16 MM², ANTI-CHAMA 450/750 V, INSTALADO EM ELETROCALHA OU PERFILADO - FORNECIMENTO E INSTALAÇÃO. AF_10/2020</t>
  </si>
  <si>
    <t>CABO DE COBRE ISOLADO, 16 MM², ANTI-CHAMA 0,6/1 KV, INSTALADO EM ELETROCALHA OU PERFILADO - FORNECIMENTO E INSTALAÇÃO. AF_10/2020</t>
  </si>
  <si>
    <t>CABO DE COBRE ISOLADO, 25 MM², ANTI-CHAMA 450/750 V, INSTALADO EM ELETROCALHA OU PERFILADO - FORNECIMENTO E INSTALAÇÃO. AF_10/2020</t>
  </si>
  <si>
    <t>CABO DE COBRE ISOLADO, 25 MM², ANTI-CHAMA 0,6/1 KV, INSTALADO EM ELETROCALHA OU PERFILADO - FORNECIMENTO E INSTALAÇÃO. AF_10/2020</t>
  </si>
  <si>
    <t>CABO DE COBRE FLEXÍVEL ISOLADO, 10 MM², 0,6/1,0 KV, PARA REDE AÉREA DE DISTRIBUIÇÃO DE ENERGIA ELÉTRICA DE BAIXA TENSÃO - FORNECIMENTO E INSTALAÇÃO. AF_07/2020</t>
  </si>
  <si>
    <t>CABO DE COBRE FLEXÍVEL ISOLADO, 16 MM², 0,6/1,0 KV, PARA REDE AÉREA DE DISTRIBUIÇÃO DE ENERGIA ELÉTRICA DE BAIXA TENSÃO - FORNECIMENTO E INSTALAÇÃO. AF_07/2020</t>
  </si>
  <si>
    <t>CABO DE COBRE FLEXÍVEL ISOLADO, 25 MM², 0,6/1,0 KV, PARA REDE AÉREA DE DISTRIBUIÇÃO DE ENERGIA ELÉTRICA DE BAIXA TENSÃO - FORNECIMENTO E INSTALAÇÃO. AF_07/2020</t>
  </si>
  <si>
    <t>CABO DE COBRE FLEXÍVEL ISOLADO, 35 MM², 0,6/1,0 KV, PARA REDE AÉREA DE DISTRIBUIÇÃO DE ENERGIA ELÉTRICA DE BAIXA TENSÃO - FORNECIMENTO E INSTALAÇÃO. AF_07/2020</t>
  </si>
  <si>
    <t>CABO DE COBRE FLEXÍVEL ISOLADO, 50 MM², 0,6/1,0 KV, PARA REDE AÉREA DE DISTRIBUIÇÃO DE ENERGIA ELÉTRICA DE BAIXA TENSÃO - FORNECIMENTO E INSTALAÇÃO. AF_07/2020</t>
  </si>
  <si>
    <t>CABO DE COBRE FLEXÍVEL ISOLADO, 70 MM², 0,6/1,0 KV, PARA REDE AÉREA DE DISTRIBUIÇÃO DE ENERGIA ELÉTRICA DE BAIXA TENSÃO - FORNECIMENTO E INSTALAÇÃO. AF_07/2020</t>
  </si>
  <si>
    <t>CABO DE COBRE FLEXÍVEL ISOLADO, 95 MM², 0,6/1,0 KV, PARA REDE AÉREA DE DISTRIBUIÇÃO DE ENERGIA ELÉTRICA DE BAIXA TENSÃO - FORNECIMENTO E INSTALAÇÃO. AF_07/2020</t>
  </si>
  <si>
    <t>CABO DE COBRE FLEXÍVEL ISOLADO, 120 MM², 0,6/1,0 KV, PARA REDE AÉREA DE DISTRIBUIÇÃO DE ENERGIA ELÉTRICA DE BAIXA TENSÃO - FORNECIMENTO E INSTALAÇÃO. AF_07/2020</t>
  </si>
  <si>
    <t>CONDULETE DE ALUMÍNIO, TIPO B, PARA ELETRODUTO DE AÇO GALVANIZADO DN 20 MM (3/4''), APARENTE - FORNECIMENTO E INSTALAÇÃO. AF_11/2016_P</t>
  </si>
  <si>
    <t>CONDULETE DE ALUMÍNIO, TIPO C, PARA ELETRODUTO DE AÇO GALVANIZADO DN 20 MM (3/4''), APARENTE - FORNECIMENTO E INSTALAÇÃO. AF_11/2016_P</t>
  </si>
  <si>
    <t>CONDULETE DE ALUMÍNIO, TIPO E, PARA ELETRODUTO DE AÇO GALVANIZADO DN 20 MM (3/4''), APARENTE - FORNECIMENTO E INSTALAÇÃO. AF_11/2016_P</t>
  </si>
  <si>
    <t>CONDULETE DE ALUMÍNIO, TIPO B, PARA ELETRODUTO DE AÇO GALVANIZADO DN 25 MM (1''), APARENTE - FORNECIMENTO E INSTALAÇÃO. AF_11/2016_P</t>
  </si>
  <si>
    <t>CONDULETE DE ALUMÍNIO, TIPO C, PARA ELETRODUTO DE AÇO GALVANIZADO DN 25 MM (1''), APARENTE - FORNECIMENTO E INSTALAÇÃO. AF_11/2016_P</t>
  </si>
  <si>
    <t>CONDULETE DE ALUMÍNIO, TIPO E, ELETRODUTO DE AÇO GALVANIZADO DN 25 MM (1''), APARENTE - FORNECIMENTO E INSTALAÇÃO. AF_11/2016_P</t>
  </si>
  <si>
    <t>CONDULETE DE ALUMÍNIO, TIPO E, PARA ELETRODUTO DE AÇO GALVANIZADO DN 32 MM (1 1/4''), APARENTE - FORNECIMENTO E INSTALAÇÃO. AF_11/2016_P</t>
  </si>
  <si>
    <t>CONDULETE DE ALUMÍNIO, TIPO LR, PARA ELETRODUTO DE AÇO GALVANIZADO DN 20 MM (3/4''), APARENTE - FORNECIMENTO E INSTALAÇÃO. AF_11/2016_P</t>
  </si>
  <si>
    <t>CONDULETE DE ALUMÍNIO, TIPO LR, PARA ELETRODUTO DE AÇO GALVANIZADO DN 25 MM (1''), APARENTE - FORNECIMENTO E INSTALAÇÃO. AF_11/2016_P</t>
  </si>
  <si>
    <t>CONDULETE DE ALUMÍNIO, TIPO LR, PARA ELETRODUTO DE AÇO GALVANIZADO DN 32 MM (1 1/4''), APARENTE - FORNECIMENTO E INSTALAÇÃO. AF_11/2016_P</t>
  </si>
  <si>
    <t>CONDULETE DE ALUMÍNIO, TIPO T, PARA ELETRODUTO DE AÇO GALVANIZADO DN 20 MM (3/4''), APARENTE - FORNECIMENTO E INSTALAÇÃO. AF_11/2016_P</t>
  </si>
  <si>
    <t>CONDULETE DE ALUMÍNIO, TIPO T, PARA ELETRODUTO DE AÇO GALVANIZADO DN 25 MM (1''), APARENTE - FORNECIMENTO E INSTALAÇÃO. AF_11/2016_P</t>
  </si>
  <si>
    <t>CONDULETE DE ALUMÍNIO, TIPO T, PARA ELETRODUTO DE AÇO GALVANIZADO DN 32 MM (1 1/4''), APARENTE - FORNECIMENTO E INSTALAÇÃO. AF_11/2016_P</t>
  </si>
  <si>
    <t>CONDULETE DE ALUMÍNIO, TIPO X, PARA ELETRODUTO DE AÇO GALVANIZADO DN 20 MM (3/4''), APARENTE - FORNECIMENTO E INSTALAÇÃO. AF_11/2016_P</t>
  </si>
  <si>
    <t>CONDULETE DE ALUMÍNIO, TIPO X, PARA ELETRODUTO DE AÇO GALVANIZADO DN 25 MM (1''), APARENTE - FORNECIMENTO E INSTALAÇÃO. AF_11/2016_P</t>
  </si>
  <si>
    <t>CONDULETE DE ALUMÍNIO, TIPO X, PARA ELETRODUTO DE AÇO GALVANIZADO DN 32 MM (1 1/4''), APARENTE - FORNECIMENTO E INSTALAÇÃO. AF_11/2016_P</t>
  </si>
  <si>
    <t>CONDULETE DE PVC, TIPO B, PARA ELETRODUTO DE PVC SOLDÁVEL DN 20 MM (1/2''), APARENTE - FORNECIMENTO E INSTALAÇÃO. AF_11/2016</t>
  </si>
  <si>
    <t>CONDULETE DE PVC, TIPO B, PARA ELETRODUTO DE PVC SOLDÁVEL DN 25 MM (3/4''), APARENTE - FORNECIMENTO E INSTALAÇÃO. AF_11/2016</t>
  </si>
  <si>
    <t>CONDULETE DE PVC, TIPO B, PARA ELETRODUTO DE PVC SOLDÁVEL DN 32 MM (1''), APARENTE - FORNECIMENTO E INSTALAÇÃO. AF_11/2016</t>
  </si>
  <si>
    <t>CONDULETE DE PVC, TIPO LL, PARA ELETRODUTO DE PVC SOLDÁVEL DN 20 MM (1/2''), APARENTE - FORNECIMENTO E INSTALAÇÃO. AF_11/2016</t>
  </si>
  <si>
    <t>CONDULETE DE PVC, TIPO LL, PARA ELETRODUTO DE PVC SOLDÁVEL DN 25 MM (3/4''), APARENTE - FORNECIMENTO E INSTALAÇÃO. AF_11/2016</t>
  </si>
  <si>
    <t>CONDULETE DE PVC, TIPO LL, PARA ELETRODUTO DE PVC SOLDÁVEL DN 32 MM (1''), APARENTE - FORNECIMENTO E INSTALAÇÃO. AF_11/2016</t>
  </si>
  <si>
    <t>CONDULETE DE PVC, TIPO LB, PARA ELETRODUTO DE PVC SOLDÁVEL DN 20 MM (1/2''), APARENTE - FORNECIMENTO E INSTALAÇÃO. AF_11/2016</t>
  </si>
  <si>
    <t>CONDULETE DE PVC, TIPO LB, PARA ELETRODUTO DE PVC SOLDÁVEL DN 25 MM (3/4''), APARENTE - FORNECIMENTO E INSTALAÇÃO. AF_11/2016</t>
  </si>
  <si>
    <t>CONDULETE DE PVC, TIPO LB, PARA ELETRODUTO DE PVC SOLDÁVEL DN 32 MM (1''), APARENTE - FORNECIMENTO E INSTALAÇÃO. AF_11/2016</t>
  </si>
  <si>
    <t>CONDULETE DE PVC, TIPO TB, PARA ELETRODUTO DE PVC SOLDÁVEL DN 20 MM (1/2''), APARENTE - FORNECIMENTO E INSTALAÇÃO. AF_11/2016</t>
  </si>
  <si>
    <t>CONDULETE DE PVC, TIPO TB, PARA ELETRODUTO DE PVC SOLDÁVEL DN 25 MM (3/4''), APARENTE - FORNECIMENTO E INSTALAÇÃO. AF_11/2016</t>
  </si>
  <si>
    <t>CONDULETE DE PVC, TIPO TB, PARA ELETRODUTO DE PVC SOLDÁVEL DN 32 MM (1''), APARENTE - FORNECIMENTO E INSTALAÇÃO. AF_11/2016</t>
  </si>
  <si>
    <t>CONDULETE DE PVC, TIPO X, PARA ELETRODUTO DE PVC SOLDÁVEL DN 20 MM (1/2''), APARENTE - FORNECIMENTO E INSTALAÇÃO. AF_11/2016</t>
  </si>
  <si>
    <t>CONDULETE DE PVC, TIPO X, PARA ELETRODUTO DE PVC SOLDÁVEL DN 25 MM (3/4''), APARENTE - FORNECIMENTO E INSTALAÇÃO. AF_11/2016</t>
  </si>
  <si>
    <t>CONDULETE DE PVC, TIPO X, PARA ELETRODUTO DE PVC SOLDÁVEL DN 32 MM (1''), APARENTE - FORNECIMENTO E INSTALAÇÃO. AF_11/2016</t>
  </si>
  <si>
    <t>CAIXA OCTOGONAL 4" X 4", PVC, INSTALADA EM LAJE - FORNECIMENTO E INSTALAÇÃO. AF_12/2015</t>
  </si>
  <si>
    <t>CAIXA OCTOGONAL 3" X 3", PVC, INSTALADA EM LAJE - FORNECIMENTO E INSTALAÇÃO. AF_12/2015</t>
  </si>
  <si>
    <t>CAIXA RETANGULAR 4" X 2" ALTA (2,00 M DO PISO), PVC, INSTALADA EM PAREDE - FORNECIMENTO E INSTALAÇÃO. AF_12/2015</t>
  </si>
  <si>
    <t>CAIXA RETANGULAR 4" X 2" MÉDIA (1,30 M DO PISO), PVC, INSTALADA EM PAREDE - FORNECIMENTO E INSTALAÇÃO. AF_12/2015</t>
  </si>
  <si>
    <t>CAIXA RETANGULAR 4" X 2" BAIXA (0,30 M DO PISO), PVC, INSTALADA EM PAREDE - FORNECIMENTO E INSTALAÇÃO. AF_12/2015</t>
  </si>
  <si>
    <t>CAIXA RETANGULAR 4" X 4" ALTA (2,00 M DO PISO), PVC, INSTALADA EM PAREDE - FORNECIMENTO E INSTALAÇÃO. AF_12/2015</t>
  </si>
  <si>
    <t>CAIXA RETANGULAR 4" X 4" MÉDIA (1,30 M DO PISO), PVC, INSTALADA EM PAREDE - FORNECIMENTO E INSTALAÇÃO. AF_12/2015</t>
  </si>
  <si>
    <t>CAIXA RETANGULAR 4" X 4" BAIXA (0,30 M DO PISO), PVC, INSTALADA EM PAREDE - FORNECIMENTO E INSTALAÇÃO. AF_12/2015</t>
  </si>
  <si>
    <t>CAIXA OCTOGONAL 4" X 4", METÁLICA, INSTALADA EM LAJE - FORNECIMENTO E INSTALAÇÃO. AF_12/2015</t>
  </si>
  <si>
    <t>CAIXA SEXTAVADA 3" X 3", METÁLICA, INSTALADA EM LAJE - FORNECIMENTO E INSTALAÇÃO. AF_12/2015</t>
  </si>
  <si>
    <t>CAIXA RETANGULAR 4" X 2" ALTA (2,00 M DO PISO), METÁLICA, INSTALADA EM PAREDE - FORNECIMENTO E INSTALAÇÃO. AF_12/2015</t>
  </si>
  <si>
    <t>CAIXA RETANGULAR 4" X 2" MÉDIA (1,30 M DO PISO), METÁLICA, INSTALADA EM PAREDE - FORNECIMENTO E INSTALAÇÃO. AF_12/2015</t>
  </si>
  <si>
    <t>CAIXA RETANGULAR 4" X 2" BAIXA (0,30 M DO PISO), METÁLICA, INSTALADA EM PAREDE - FORNECIMENTO E INSTALAÇÃO. AF_12/2015</t>
  </si>
  <si>
    <t>CAIXA RETANGULAR 4" X 4" ALTA (2,00 M DO PISO), METÁLICA, INSTALADA EM PAREDE - FORNECIMENTO E INSTALAÇÃO. AF_12/2015</t>
  </si>
  <si>
    <t>CAIXA RETANGULAR 4" X 4" MÉDIA (1,30 M DO PISO), METÁLICA, INSTALADA EM PAREDE - FORNECIMENTO E INSTALAÇÃO. AF_12/2015</t>
  </si>
  <si>
    <t>CAIXA RETANGULAR 4" X 4" BAIXA (0,30 M DO PISO), METÁLICA, INSTALADA EM PAREDE - FORNECIMENTO E INSTALAÇÃO. AF_12/2015</t>
  </si>
  <si>
    <t>CAIXA ENTERRADA ELÉTRICA RETANGULAR, EM ALVENARIA COM TIJOLOS CERÂMICOS MACIÇOS, FUNDO COM BRITA, DIMENSÕES INTERNAS: 0,3X0,3X0,3 M. AF_12/2020</t>
  </si>
  <si>
    <t>CAIXA ENTERRADA ELÉTRICA RETANGULAR, EM ALVENARIA COM TIJOLOS CERÂMICOS MACIÇOS, FUNDO COM BRITA, DIMENSÕES INTERNAS: 0,4X0,4X0,4 M. AF_12/2020</t>
  </si>
  <si>
    <t>CAIXA ENTERRADA ELÉTRICA RETANGULAR, EM ALVENARIA COM TIJOLOS CERÂMICOS MACIÇOS, FUNDO COM BRITA, DIMENSÕES INTERNAS: 0,6X0,6X0,6 M. AF_12/2020</t>
  </si>
  <si>
    <t>CAIXA ENTERRADA ELÉTRICA RETANGULAR, EM ALVENARIA COM TIJOLOS CERÂMICOS MACIÇOS, FUNDO COM BRITA, DIMENSÕES INTERNAS: 0,8X0,8X0,6 M. AF_12/2020</t>
  </si>
  <si>
    <t>CAIXA ENTERRADA ELÉTRICA RETANGULAR, EM ALVENARIA COM TIJOLOS CERÂMICOS MACIÇOS, FUNDO COM BRITA, DIMENSÕES INTERNAS: 1X1X0,6 M. AF_12/2020</t>
  </si>
  <si>
    <t>CAIXA COM GRELHA SIMPLES RETANGULAR, EM CONCRETO PRÉ-MOLDADO, DIMENSÕES INTERNAS: 0,6X1,0X1,0 M. AF_12/2020</t>
  </si>
  <si>
    <t>CAIXA COM GRELHA SIMPLES RETANGULAR, EM ALVENARIA COM TIJOLOS CERÂMICOS MACIÇOS, DIMENSÕES INTERNAS: 0,5X1X1 M. AF_12/2020</t>
  </si>
  <si>
    <t>CAIXA COM GRELHA DUPLA RETANGULAR, EM ALVENARIA COM TIJOLOS CERÂMICOS MACIÇOS, DIMENSÕES INTERNAS: 0,5X2,2X1 M. AF_12/2020</t>
  </si>
  <si>
    <t>CAIXA COM GRELHA SIMPLES RETANGULAR, EM ALVENARIA COM BLOCOS DE CONCRETO, DIMENSÕES INTERNAS: 0,5X1X1 M. AF_12/2020</t>
  </si>
  <si>
    <t>CAIXA COM GRELHA DUPLA RETANGULAR, EM ALVENARIA COM BLOCOS DE CONCRETO, DIMENSÕES INTERNAS: 0,5X2,2X1 M. AF_12/2020</t>
  </si>
  <si>
    <t>CAIXA ENTERRADA ELÉTRICA RETANGULAR, EM ALVENARIA COM BLOCOS DE CONCRETO, FUNDO COM BRITA, DIMENSÕES INTERNAS: 0,4X0,4X0,4 M. AF_12/2020</t>
  </si>
  <si>
    <t>CAIXA ENTERRADA ELÉTRICA RETANGULAR, EM ALVENARIA COM BLOCOS DE CONCRETO, FUNDO COM BRITA, DIMENSÕES INTERNAS: 0,6X0,6X0,6 M. AF_12/2020</t>
  </si>
  <si>
    <t>CAIXA ENTERRADA ELÉTRICA RETANGULAR, EM ALVENARIA COM BLOCOS DE CONCRETO, FUNDO COM BRITA, DIMENSÕES INTERNAS: 0,8X0,8X0,6 M. AF_12/2020</t>
  </si>
  <si>
    <t>CAIXA ENTERRADA ELÉTRICA RETANGULAR, EM ALVENARIA COM BLOCOS DE CONCRETO, FUNDO COM BRITA, DIMENSÕES INTERNAS: 1X1X0,6 M. AF_12/2020</t>
  </si>
  <si>
    <t>CAIXA ENTERRADA ELÉTRICA RETANGULAR, EM CONCRETO PRÉ-MOLDADO, FUNDO COM BRITA, DIMENSÕES INTERNAS: 0,3X0,3X0,3 M. AF_12/2020</t>
  </si>
  <si>
    <t>CAIXA ENTERRADA ELÉTRICA RETANGULAR, EM CONCRETO PRÉ-MOLDADO, FUNDO COM BRITA, DIMENSÕES INTERNAS: 0,4X0,4X0,4 M. AF_12/2020</t>
  </si>
  <si>
    <t>CAIXA ENTERRADA ELÉTRICA RETANGULAR, EM CONCRETO PRÉ-MOLDADO, FUNDO COM BRITA, DIMENSÕES INTERNAS: 0,6X0,6X0,5 M. AF_12/2020</t>
  </si>
  <si>
    <t>CAIXA ENTERRADA ELÉTRICA RETANGULAR, EM CONCRETO PRÉ-MOLDADO, FUNDO COM BRITA, DIMENSÕES INTERNAS: 0,8X0,8X0,5 M. AF_12/2020</t>
  </si>
  <si>
    <t>CAIXA ENTERRADA ELÉTRICA RETANGULAR, EM CONCRETO PRÉ-MOLDADO, FUNDO COM BRITA, DIMENSÕES INTERNAS: 1X1X0,5 M. AF_12/2020</t>
  </si>
  <si>
    <t>SUPORTE PARAFUSADO COM PLACA DE ENCAIXE 4" X 2" ALTO (2,00 M DO PISO) PARA PONTO ELÉTRICO - FORNECIMENTO E INSTALAÇÃO. AF_12/2015</t>
  </si>
  <si>
    <t>SUPORTE PARAFUSADO COM PLACA DE ENCAIXE 4" X 2" MÉDIO (1,30 M DO PISO) PARA PONTO ELÉTRICO - FORNECIMENTO E INSTALAÇÃO. AF_12/2015</t>
  </si>
  <si>
    <t>SUPORTE PARAFUSADO COM PLACA DE ENCAIXE 4" X 2" BAIXO (0,30 M DO PISO) PARA PONTO ELÉTRICO - FORNECIMENTO E INSTALAÇÃO. AF_12/2015</t>
  </si>
  <si>
    <t>SUPORTE PARAFUSADO COM PLACA DE ENCAIXE 4" X 4" ALTO (2,00 M DO PISO) PARA PONTO ELÉTRICO - FORNECIMENTO E INSTALAÇÃO. AF_12/2015</t>
  </si>
  <si>
    <t>SUPORTE PARAFUSADO COM PLACA DE ENCAIXE 4" X 4" MÉDIO (1,30 M DO PISO) PARA PONTO ELÉTRICO - FORNECIMENTO E INSTALAÇÃO. AF_12/2015</t>
  </si>
  <si>
    <t>SUPORTE PARAFUSADO COM PLACA DE ENCAIXE 4" X 4" BAIXO (0,30 M DO PISO) PARA PONTO ELÉTRICO - FORNECIMENTO E INSTALAÇÃO. AF_12/2015</t>
  </si>
  <si>
    <t>QUADRO DE MEDIÇÃO GERAL DE ENERGIA PARA 1 MEDIDOR DE SOBREPOR - FORNECIMENTO E INSTALAÇÃO. AF_10/2020</t>
  </si>
  <si>
    <t>QUADRO DE MEDIÇÃO GERAL DE ENERGIA PARA BARRAMENTO BLINDADO COM 4 MEDIDORES - FORNECIMENTO E INSTALAÇÃO. AF_10/2020</t>
  </si>
  <si>
    <t>QUADRO DE MEDIÇÃO GERAL DE ENERGIA COM 8 MEDIDORES - FORNECIMENTO E INSTALAÇÃO. AF_10/2020</t>
  </si>
  <si>
    <t>QUADRO DE MEDIÇÃO GERAL DE ENERGIA COM 12 MEDIDORES - FORNECIMENTO E INSTALAÇÃO. AF_10/2020</t>
  </si>
  <si>
    <t>QUADRO DE MEDIÇÃO GERAL DE ENERGIA COM 16 MEDIDORES - FORNECIMENTO E INSTALAÇÃO. AF_10/2020</t>
  </si>
  <si>
    <t>QUADRO DE DISTRIBUIÇÃO DE ENERGIA EM CHAPA DE AÇO GALVANIZADO, DE EMBUTIR, COM BARRAMENTO TRIFÁSICO, PARA 12 DISJUNTORES DIN 100A - FORNECIMENTO E INSTALAÇÃO. AF_10/2020</t>
  </si>
  <si>
    <t>QUADRO DE DISTRIBUIÇÃO DE ENERGIA EM PVC, DE EMBUTIR, SEM BARRAMENTO, PARA 6 DISJUNTORES - FORNECIMENTO E INSTALAÇÃO. AF_10/2020</t>
  </si>
  <si>
    <t>QUADRO DE DISTRIBUIÇÃO DE ENERGIA EM PVC, DE EMBUTIR, SEM BARRAMENTO, PARA 3 DISJUNTORES - FORNECIMENTO E INSTALAÇÃO. AF_10/2020</t>
  </si>
  <si>
    <t>QUADRO DE DISTRIBUIÇÃO DE ENERGIA EM CHAPA DE AÇO GALVANIZADO, DE SOBREPOR, COM BARRAMENTO TRIFÁSICO, PARA 18 DISJUNTORES DIN 100A - FORNECIMENTO E INSTALAÇÃO. AF_10/2020</t>
  </si>
  <si>
    <t>QUADRO DE DISTRIBUIÇÃO DE ENERGIA EM CHAPA DE AÇO GALVANIZADO, DE EMBUTIR, COM BARRAMENTO TRIFÁSICO, PARA 24 DISJUNTORES DIN 100A - FORNECIMENTO E INSTALAÇÃO. AF_10/2020</t>
  </si>
  <si>
    <t>QUADRO DE DISTRIBUIÇÃO DE ENERGIA EM CHAPA DE AÇO GALVANIZADO, DE EMBUTIR, COM BARRAMENTO TRIFÁSICO, PARA 30 DISJUNTORES DIN 150A - FORNECIMENTO E INSTALAÇÃO. AF_10/2020</t>
  </si>
  <si>
    <t>QUADRO DE DISTRIBUIÇÃO DE ENERGIA EM CHAPA DE AÇO GALVANIZADO, DE EMBUTIR, COM BARRAMENTO TRIFÁSICO, PARA 40 DISJUNTORES DIN 100A - FORNECIMENTO E INSTALAÇÃO. AF_10/2020</t>
  </si>
  <si>
    <t>QUADRO DE DISTRIBUIÇÃO DE ENERGIA EM CHAPA DE AÇO GALVANIZADO, DE EMBUTIR, COM BARRAMENTO TRIFÁSICO, PARA 30 DISJUNTORES DIN 225A - FORNECIMENTO E INSTALAÇÃO. AF_10/2020</t>
  </si>
  <si>
    <t>QUADRO DE DISTRIBUIÇÃO DE ENERGIA EM CHAPA DE AÇO GALVANIZADO, DE EMBUTIR, COM BARRAMENTO TRIFÁSICO, PARA 18 DISJUNTORES DIN 100A - FORNECIMENTO E INSTALAÇÃO. AF_10/2020</t>
  </si>
  <si>
    <t>CONTATOR TRIPOLAR I NOMINAL 12A - FORNECIMENTO E INSTALAÇÃO. AF_10/2020</t>
  </si>
  <si>
    <t>CONTATOR TRIPOLAR I NOMINAL 22A - FORNECIMENTO E INSTALAÇÃO. AF_10/2020</t>
  </si>
  <si>
    <t>CONTATOR TRIPOLAR I NOMINAL 38A - FORNECIMENTO E INSTALAÇÃO. AF_10/2020</t>
  </si>
  <si>
    <t>CONTATOR TRIPOLAR I NOMIMAL 95A - FORNECIMENTO E INSTALAÇÃO. AF_10/2020</t>
  </si>
  <si>
    <t>DISJUNTOR MONOPOLAR TIPO DIN, CORRENTE NOMINAL DE 10A - FORNECIMENTO E INSTALAÇÃO. AF_10/2020</t>
  </si>
  <si>
    <t>DISJUNTOR MONOPOLAR TIPO DIN, CORRENTE NOMINAL DE 16A - FORNECIMENTO E INSTALAÇÃO. AF_10/2020</t>
  </si>
  <si>
    <t>DISJUNTOR MONOPOLAR TIPO DIN, CORRENTE NOMINAL DE 20A - FORNECIMENTO E INSTALAÇÃO. AF_10/2020</t>
  </si>
  <si>
    <t>DISJUNTOR MONOPOLAR TIPO DIN, CORRENTE NOMINAL DE 25A - FORNECIMENTO E INSTALAÇÃO. AF_10/2020</t>
  </si>
  <si>
    <t>DISJUNTOR MONOPOLAR TIPO DIN, CORRENTE NOMINAL DE 32A - FORNECIMENTO E INSTALAÇÃO. AF_10/2020</t>
  </si>
  <si>
    <t>DISJUNTOR MONOPOLAR TIPO DIN, CORRENTE NOMINAL DE 40A - FORNECIMENTO E INSTALAÇÃO. AF_10/2020</t>
  </si>
  <si>
    <t>DISJUNTOR MONOPOLAR TIPO DIN, CORRENTE NOMINAL DE 50A - FORNECIMENTO E INSTALAÇÃO. AF_10/2020</t>
  </si>
  <si>
    <t>DISJUNTOR MONOPOLAR TIPO NEMA, CORRENTE NOMINAL DE 10 ATÉ 30A - FORNECIMENTO E INSTALAÇÃO. AF_10/2020</t>
  </si>
  <si>
    <t>DISJUNTOR MONOPOLAR TIPO NEMA, CORRENTE NOMINAL DE 35 ATÉ 50A - FORNECIMENTO E INSTALAÇÃO. AF_10/2020</t>
  </si>
  <si>
    <t>DISJUNTOR BIPOLAR TIPO DIN, CORRENTE NOMINAL DE 10A - FORNECIMENTO E INSTALAÇÃO. AF_10/2020</t>
  </si>
  <si>
    <t>DISJUNTOR BIPOLAR TIPO DIN, CORRENTE NOMINAL DE 16A - FORNECIMENTO E INSTALAÇÃO. AF_10/2020</t>
  </si>
  <si>
    <t>DISJUNTOR BIPOLAR TIPO DIN, CORRENTE NOMINAL DE 20A - FORNECIMENTO E INSTALAÇÃO. AF_10/2020</t>
  </si>
  <si>
    <t>DISJUNTOR BIPOLAR TIPO DIN, CORRENTE NOMINAL DE 25A - FORNECIMENTO E INSTALAÇÃO. AF_10/2020</t>
  </si>
  <si>
    <t>DISJUNTOR BIPOLAR TIPO DIN, CORRENTE NOMINAL DE 32A - FORNECIMENTO E INSTALAÇÃO. AF_10/2020</t>
  </si>
  <si>
    <t>DISJUNTOR BIPOLAR TIPO DIN, CORRENTE NOMINAL DE 40A - FORNECIMENTO E INSTALAÇÃO. AF_10/2020</t>
  </si>
  <si>
    <t>DISJUNTOR BIPOLAR TIPO DIN, CORRENTE NOMINAL DE 50A - FORNECIMENTO E INSTALAÇÃO. AF_10/2020</t>
  </si>
  <si>
    <t>DISJUNTOR BIPOLAR TIPO NEMA, CORRENTE NOMINAL DE 10 ATÉ 50A - FORNECIMENTO E INSTALAÇÃO. AF_10/2020</t>
  </si>
  <si>
    <t>DISJUNTOR TRIPOLAR TIPO DIN, CORRENTE NOMINAL DE 10A - FORNECIMENTO E INSTALAÇÃO. AF_10/2020</t>
  </si>
  <si>
    <t>DISJUNTOR TRIPOLAR TIPO DIN, CORRENTE NOMINAL DE 16A - FORNECIMENTO E INSTALAÇÃO. AF_10/2020</t>
  </si>
  <si>
    <t>DISJUNTOR TRIPOLAR TIPO DIN, CORRENTE NOMINAL DE 20A - FORNECIMENTO E INSTALAÇÃO. AF_10/2020</t>
  </si>
  <si>
    <t>DISJUNTOR TRIPOLAR TIPO DIN, CORRENTE NOMINAL DE 25A - FORNECIMENTO E INSTALAÇÃO. AF_10/2020</t>
  </si>
  <si>
    <t>DISJUNTOR TRIPOLAR TIPO DIN, CORRENTE NOMINAL DE 32A - FORNECIMENTO E INSTALAÇÃO. AF_10/2020</t>
  </si>
  <si>
    <t>DISJUNTOR TRIPOLAR TIPO DIN, CORRENTE NOMINAL DE 40A - FORNECIMENTO E INSTALAÇÃO. AF_10/2020</t>
  </si>
  <si>
    <t>DISJUNTOR TRIPOLAR TIPO DIN, CORRENTE NOMINAL DE 50A - FORNECIMENTO E INSTALAÇÃO. AF_10/2020</t>
  </si>
  <si>
    <t>DISJUNTOR TRIPOLAR TIPO NEMA, CORRENTE NOMINAL DE 10 ATÉ 50A - FORNECIMENTO E INSTALAÇÃO. AF_10/2020</t>
  </si>
  <si>
    <t>DISJUNTOR TRIPOLAR TIPO NEMA, CORRENTE NOMINAL DE 60 ATÉ 100A - FORNECIMENTO E INSTALAÇÃO. AF_10/2020</t>
  </si>
  <si>
    <t>ABRAÇADEIRA DE FIXAÇÃO DE BRAÇOS DE LUMINÁRIAS DE 2" - FORNECIMENTO E INSTALAÇÃO. AF_08/2020</t>
  </si>
  <si>
    <t>ABRAÇADEIRA DE FIXAÇÃO DE BRAÇOS DE LUMINÁRIAS DE 3" - FORNECIMENTO E INSTALAÇÃO. AF_08/2020</t>
  </si>
  <si>
    <t>ABRAÇADEIRA DE FIXAÇÃO DE BRAÇOS DE LUMINÁRIAS DE 4" - FORNECIMENTO E INSTALAÇÃO. AF_08/2020</t>
  </si>
  <si>
    <t>DISJUNTOR TERMOMAGNÉTICO TRIPOLAR , CORRENTE NOMINAL DE 125A - FORNECIMENTO E INSTALAÇÃO. AF_10/2020</t>
  </si>
  <si>
    <t>DISJUNTOR TERMOMAGNÉTICO TRIPOLAR , CORRENTE NOMINAL DE 200A - FORNECIMENTO E INSTALAÇÃO. AF_10/2020</t>
  </si>
  <si>
    <t>DISJUNTOR TERMOMAGNÉTICO TRIPOLAR , CORRENTE NOMINAL DE 250A - FORNECIMENTO E INSTALAÇÃO. AF_10/2020</t>
  </si>
  <si>
    <t>DISJUNTOR TERMOMAGNÉTICO TRIPOLAR , CORRENTE NOMINAL DE 400A - FORNECIMENTO E INSTALAÇÃO. AF_10/2020</t>
  </si>
  <si>
    <t>DISJUNTOR TERMOMAGNÉTICO TRIPOLAR , CORRENTE NOMINAL DE 600A - FORNECIMENTO E INSTALAÇÃO. AF_10/2020</t>
  </si>
  <si>
    <t>DISJUNTOR BAIXA TENSÃO TRIPOLAR A SECO  800A/600V - FORNECIMENTO E INSTALAÇÃO. AF_10/2020</t>
  </si>
  <si>
    <t>INTERRUPTOR SIMPLES (1 MÓDULO), 10A/250V, SEM SUPORTE E SEM PLACA - FORNECIMENTO E INSTALAÇÃO. AF_12/2015</t>
  </si>
  <si>
    <t>INTERRUPTOR SIMPLES (1 MÓDULO), 10A/250V, INCLUINDO SUPORTE E PLACA - FORNECIMENTO E INSTALAÇÃO. AF_12/2015</t>
  </si>
  <si>
    <t>INTERRUPTOR SIMPLES (1 MÓDULO) COM INTERRUPTOR PARALELO (1 MÓDULO), 10A/250V, SEM SUPORTE E SEM PLACA - FORNECIMENTO E INSTALAÇÃO. AF_12/2015</t>
  </si>
  <si>
    <t>INTERRUPTOR SIMPLES (1 MÓDULO) COM INTERRUPTOR PARALELO (1 MÓDULO), 10A/250V, INCLUINDO SUPORTE E PLACA - FORNECIMENTO E INSTALAÇÃO. AF_12/2015</t>
  </si>
  <si>
    <t>INTERRUPTOR SIMPLES (2 MÓDULOS), 10A/250V, SEM SUPORTE E SEM PLACA - FORNECIMENTO E INSTALAÇÃO. AF_12/2015</t>
  </si>
  <si>
    <t>INTERRUPTOR SIMPLES (2 MÓDULOS), 10A/250V, INCLUINDO SUPORTE E PLACA - FORNECIMENTO E INSTALAÇÃO. AF_12/2015</t>
  </si>
  <si>
    <t>INTERRUPTOR SIMPLES (1 MÓDULO) COM INTERRUPTOR PARALELO (2 MÓDULOS), 10A/250V, SEM SUPORTE E SEM PLACA - FORNECIMENTO E INSTALAÇÃO. AF_12/2015</t>
  </si>
  <si>
    <t>INTERRUPTOR SIMPLES (1 MÓDULO) COM INTERRUPTOR PARALELO (2 MÓDULOS), 10A/250V, INCLUINDO SUPORTE E PLACA - FORNECIMENTO E INSTALAÇÃO. AF_12/2015</t>
  </si>
  <si>
    <t>INTERRUPTOR SIMPLES (2 MÓDULOS) COM INTERRUPTOR PARALELO (1 MÓDULO), 10A/250V, SEM SUPORTE E SEM PLACA - FORNECIMENTO E INSTALAÇÃO. AF_12/2015</t>
  </si>
  <si>
    <t>INTERRUPTOR SIMPLES (2 MÓDULOS) COM INTERRUPTOR PARALELO (1 MÓDULO), 10A/250V, INCLUINDO SUPORTE E PLACA - FORNECIMENTO E INSTALAÇÃO. AF_12/2015</t>
  </si>
  <si>
    <t>INTERRUPTOR SIMPLES (3 MÓDULOS), 10A/250V, SEM SUPORTE E SEM PLACA - FORNECIMENTO E INSTALAÇÃO. AF_12/2015</t>
  </si>
  <si>
    <t>INTERRUPTOR SIMPLES (3 MÓDULOS), 10A/250V, INCLUINDO SUPORTE E PLACA - FORNECIMENTO E INSTALAÇÃO. AF_12/2015</t>
  </si>
  <si>
    <t>INTERRUPTOR SIMPLES (3 MÓDULOS) COM INTERRUPTOR PARALELO (1 MÓDULO), 10A/250V, SEM SUPORTE E SEM PLACA - FORNECIMENTO E INSTALAÇÃO. AF_12/2015</t>
  </si>
  <si>
    <t>INTERRUPTOR SIMPLES (3 MÓDULOS) COM INTERRUPTOR PARALELO (1 MÓDULO), 10A/250V, INCLUINDO SUPORTE E PLACA - FORNECIMENTO E INSTALAÇÃO. AF_12/2015</t>
  </si>
  <si>
    <t>INTERRUPTOR SIMPLES (2 MÓDULOS) COM INTERRUPTOR PARALELO (2 MÓDULOS), 10A/250V, SEM SUPORTE E SEM PLACA - FORNECIMENTO E INSTALAÇÃO. AF_12/2015</t>
  </si>
  <si>
    <t>INTERRUPTOR SIMPLES (2 MÓDULOS) COM INTERRUPTOR PARALELO (2 MÓDULOS), 10A/250V, INCLUINDO SUPORTE E PLACA - FORNECIMENTO E INSTALAÇÃO. AF_12/2015</t>
  </si>
  <si>
    <t>INTERRUPTOR SIMPLES (4 MÓDULOS), 10A/250V, SEM SUPORTE E SEM PLACA - FORNECIMENTO E INSTALAÇÃO. AF_12/2015</t>
  </si>
  <si>
    <t>INTERRUPTOR SIMPLES (4 MÓDULOS), 10A/250V, INCLUINDO SUPORTE E PLACA - FORNECIMENTO E INSTALAÇÃO. AF_12/2015</t>
  </si>
  <si>
    <t>INTERRUPTOR SIMPLES (6 MÓDULOS), 10A/250V, SEM SUPORTE E SEM PLACA - FORNECIMENTO E INSTALAÇÃO. AF_12/2015</t>
  </si>
  <si>
    <t>INTERRUPTOR SIMPLES (6 MÓDULOS), 10A/250V, INCLUINDO SUPORTE E PLACA - FORNECIMENTO E INSTALAÇÃO. AF_12/2015</t>
  </si>
  <si>
    <t>INTERRUPTOR SIMPLES (1 MÓDULO) COM 1 TOMADA DE EMBUTIR 2P+T 10 A,  SEM SUPORTE E SEM PLACA - FORNECIMENTO E INSTALAÇÃO. AF_12/2015</t>
  </si>
  <si>
    <t>INTERRUPTOR SIMPLES (1 MÓDULO) COM 1 TOMADA DE EMBUTIR 2P+T 10 A,  INCLUINDO SUPORTE E PLACA - FORNECIMENTO E INSTALAÇÃO. AF_12/2015</t>
  </si>
  <si>
    <t>INTERRUPTOR SIMPLES (1 MÓDULO) COM 2 TOMADAS DE EMBUTIR 2P+T 10 A,  SEM SUPORTE E SEM PLACA - FORNECIMENTO E INSTALAÇÃO. AF_12/2015</t>
  </si>
  <si>
    <t>INTERRUPTOR SIMPLES (1 MÓDULO) COM 2 TOMADAS DE EMBUTIR 2P+T 10 A,  INCLUINDO SUPORTE E PLACA - FORNECIMENTO E INSTALAÇÃO. AF_12/2015</t>
  </si>
  <si>
    <t>INTERRUPTOR SIMPLES (2 MÓDULOS) COM 1 TOMADA DE EMBUTIR 2P+T 10 A,  SEM SUPORTE E SEM PLACA - FORNECIMENTO E INSTALAÇÃO. AF_12/2015</t>
  </si>
  <si>
    <t>INTERRUPTOR SIMPLES (2 MÓDULOS) COM 1 TOMADA DE EMBUTIR 2P+T 10 A,  INCLUINDO SUPORTE E PLACA - FORNECIMENTO E INSTALAÇÃO. AF_12/2015</t>
  </si>
  <si>
    <t>INTERRUPTOR SIMPLES (1 MÓDULO), INTERRUPTOR PARALELO (1 MÓDULO) E 1 TOMADA DE EMBUTIR 2P+T 10 A,  SEM SUPORTE E SEM PLACA - FORNECIMENTO E INSTALAÇÃO. AF_12/2015</t>
  </si>
  <si>
    <t>INTERRUPTOR SIMPLES (1 MÓDULO), INTERRUPTOR PARALELO (1 MÓDULO) E 1 TOMADA DE EMBUTIR 2P+T 10 A,  INCLUINDO SUPORTE E PLACA - FORNECIMENTO E INSTALAÇÃO. AF_12/2015</t>
  </si>
  <si>
    <t>INTERRUPTOR PARALELO (1 MÓDULO), 10A/250V, SEM SUPORTE E SEM PLACA - FORNECIMENTO E INSTALAÇÃO. AF_12/2015</t>
  </si>
  <si>
    <t>INTERRUPTOR PARALELO (1 MÓDULO), 10A/250V, INCLUINDO SUPORTE E PLACA - FORNECIMENTO E INSTALAÇÃO. AF_12/2015</t>
  </si>
  <si>
    <t>INTERRUPTOR PARALELO (2 MÓDULOS), 10A/250V, SEM SUPORTE E SEM PLACA - FORNECIMENTO E INSTALAÇÃO. AF_12/2015</t>
  </si>
  <si>
    <t>INTERRUPTOR PARALELO (2 MÓDULOS), 10A/250V, INCLUINDO SUPORTE E PLACA - FORNECIMENTO E INSTALAÇÃO. AF_12/2015</t>
  </si>
  <si>
    <t>INTERRUPTOR PARALELO (3 MÓDULOS), 10A/250V, SEM SUPORTE E SEM PLACA - FORNECIMENTO E INSTALAÇÃO. AF_12/2015</t>
  </si>
  <si>
    <t>INTERRUPTOR PARALELO (3 MÓDULOS), 10A/250V, INCLUINDO SUPORTE E PLACA - FORNECIMENTO E INSTALAÇÃO. AF_12/2015</t>
  </si>
  <si>
    <t>INTERRUPTOR PARALELO (1 MÓDULO) COM 1 TOMADA DE EMBUTIR 2P+T 10 A,  SEM SUPORTE E SEM PLACA - FORNECIMENTO E INSTALAÇÃO. AF_12/2015</t>
  </si>
  <si>
    <t>INTERRUPTOR PARALELO (1 MÓDULO) COM 1 TOMADA DE EMBUTIR 2P+T 10 A,  INCLUINDO SUPORTE E PLACA - FORNECIMENTO E INSTALAÇÃO. AF_12/2015</t>
  </si>
  <si>
    <t>INTERRUPTOR PARALELO (1 MÓDULO) COM 2 TOMADAS DE EMBUTIR 2P+T 10 A,  SEM SUPORTE E SEM PLACA - FORNECIMENTO E INSTALAÇÃO. AF_12/2015</t>
  </si>
  <si>
    <t>INTERRUPTOR PARALELO (1 MÓDULO) COM 2 TOMADAS DE EMBUTIR 2P+T 10 A,  INCLUINDO SUPORTE E PLACA - FORNECIMENTO E INSTALAÇÃO. AF_12/2015</t>
  </si>
  <si>
    <t>INTERRUPTOR PARALELO (2 MÓDULOS) COM 1 TOMADA DE EMBUTIR 2P+T 10 A,  SEM SUPORTE E SEM PLACA - FORNECIMENTO E INSTALAÇÃO. AF_12/2015</t>
  </si>
  <si>
    <t>INTERRUPTOR PARALELO (2 MÓDULOS) COM 1 TOMADA DE EMBUTIR 2P+T 10 A,  INCLUINDO SUPORTE E PLACA - FORNECIMENTO E INSTALAÇÃO. AF_12/2015</t>
  </si>
  <si>
    <t>INTERRUPTOR INTERMEDIÁRIO (1 MÓDULO), 10A/250V, SEM SUPORTE E SEM PLACA - FORNECIMENTO E INSTALAÇÃO. AF_09/2017</t>
  </si>
  <si>
    <t>INTERRUPTOR INTERMEDIÁRIO (1 MÓDULO), 10A/250V, INCLUINDO SUPORTE E PLACA - FORNECIMENTO E INSTALAÇÃO. AF_09/2017</t>
  </si>
  <si>
    <t>INTERRUPTOR BIPOLAR (1 MÓDULO), 10A/250V, SEM SUPORTE E SEM PLACA - FORNECIMENTO E INSTALAÇÃO. AF_09/2017</t>
  </si>
  <si>
    <t>INTERRUPTOR BIPOLAR (1 MÓDULO), 10A/250V, INCLUINDO SUPORTE E PLACA - FORNECIMENTO E INSTALAÇÃO. AF_09/2017</t>
  </si>
  <si>
    <t>DIMMER ROTATIVO (1 MÓDULO), 220V/600W, SEM SUPORTE E SEM PLACA - FORNECIMENTO E INSTALAÇÃO. AF_09/2017</t>
  </si>
  <si>
    <t>DIMMER ROTATIVO (1 MÓDULO), 220V/600W, INCLUINDO SUPORTE E PLACA - FORNECIMENTO E INSTALAÇÃO. AF_09/2017</t>
  </si>
  <si>
    <t>INTERRUPTOR PULSADOR CAMPAINHA (1 MÓDULO), 10A/250V, SEM SUPORTE E SEM PLACA - FORNECIMENTO E INSTALAÇÃO. AF_09/2017</t>
  </si>
  <si>
    <t>INTERRUPTOR PULSADOR CAMPAINHA (1 MÓDULO), 10A/250V, INCLUINDO SUPORTE E PLACA - FORNECIMENTO E INSTALAÇÃO. AF_09/2017</t>
  </si>
  <si>
    <t>CAMPAINHA CIGARRA (1 MÓDULO), 10A/250V, SEM SUPORTE E SEM PLACA - FORNECIMENTO E INSTALAÇÃO. AF_09/2017</t>
  </si>
  <si>
    <t>CAMPAINHA CIGARRA (1 MÓDULO), 10A/250V, INCLUINDO SUPORTE E PLACA - FORNECIMENTO E INSTALAÇÃO. AF_09/2017</t>
  </si>
  <si>
    <t>INTERRUPTOR PULSADOR MINUTERIA (1 MÓDULO), 10A/250V, SEM SUPORTE E SEM PLACA - FORNECIMENTO E INSTALAÇÃO. AF_09/2017</t>
  </si>
  <si>
    <t>INTERRUPTOR PULSADOR MINUTERIA (1 MÓDULO), 10A/250V, INCLUINDO SUPORTE E PLACA - FORNECIMENTO E INSTALAÇÃO. AF_09/2017</t>
  </si>
  <si>
    <t>TOMADA ALTA DE EMBUTIR (1 MÓDULO), 2P+T 10 A, SEM SUPORTE E SEM PLACA - FORNECIMENTO E INSTALAÇÃO. AF_12/2015</t>
  </si>
  <si>
    <t>TOMADA ALTA DE EMBUTIR (1 MÓDULO), 2P+T 20 A, SEM SUPORTE E SEM PLACA - FORNECIMENTO E INSTALAÇÃO. AF_12/2015</t>
  </si>
  <si>
    <t>TOMADA ALTA DE EMBUTIR (1 MÓDULO), 2P+T 10 A, INCLUINDO SUPORTE E PLACA - FORNECIMENTO E INSTALAÇÃO. AF_12/2015</t>
  </si>
  <si>
    <t>TOMADA ALTA DE EMBUTIR (1 MÓDULO), 2P+T 20 A, INCLUINDO SUPORTE E PLACA - FORNECIMENTO E INSTALAÇÃO. AF_12/2015</t>
  </si>
  <si>
    <t>TOMADA MÉDIA DE EMBUTIR (1 MÓDULO), 2P+T 10 A, SEM SUPORTE E SEM PLACA - FORNECIMENTO E INSTALAÇÃO. AF_12/2015</t>
  </si>
  <si>
    <t>TOMADA MÉDIA DE EMBUTIR (1 MÓDULO), 2P+T 20 A, SEM SUPORTE E SEM PLACA - FORNECIMENTO E INSTALAÇÃO. AF_12/2015</t>
  </si>
  <si>
    <t>TOMADA MÉDIA DE EMBUTIR (1 MÓDULO), 2P+T 10 A, INCLUINDO SUPORTE E PLACA - FORNECIMENTO E INSTALAÇÃO. AF_12/2015</t>
  </si>
  <si>
    <t>TOMADA MÉDIA DE EMBUTIR (1 MÓDULO), 2P+T 20 A, INCLUINDO SUPORTE E PLACA - FORNECIMENTO E INSTALAÇÃO. AF_12/2015</t>
  </si>
  <si>
    <t>TOMADA BAIXA DE EMBUTIR (1 MÓDULO), 2P+T 10 A, SEM SUPORTE E SEM PLACA - FORNECIMENTO E INSTALAÇÃO. AF_12/2015</t>
  </si>
  <si>
    <t>TOMADA BAIXA DE EMBUTIR (1 MÓDULO), 2P+T 20 A, SEM SUPORTE E SEM PLACA - FORNECIMENTO E INSTALAÇÃO. AF_12/2015</t>
  </si>
  <si>
    <t>TOMADA BAIXA DE EMBUTIR (1 MÓDULO), 2P+T 10 A, INCLUINDO SUPORTE E PLACA - FORNECIMENTO E INSTALAÇÃO. AF_12/2015</t>
  </si>
  <si>
    <t>TOMADA BAIXA DE EMBUTIR (1 MÓDULO), 2P+T 20 A, INCLUINDO SUPORTE E PLACA - FORNECIMENTO E INSTALAÇÃO. AF_12/2015</t>
  </si>
  <si>
    <t>TOMADA MÉDIA DE EMBUTIR (2 MÓDULOS), 2P+T 10 A, SEM SUPORTE E SEM PLACA - FORNECIMENTO E INSTALAÇÃO. AF_12/2015</t>
  </si>
  <si>
    <t>TOMADA MÉDIA DE EMBUTIR (2 MÓDULOS), 2P+T 20 A, SEM SUPORTE E SEM PLACA - FORNECIMENTO E INSTALAÇÃO. AF_12/2015</t>
  </si>
  <si>
    <t>TOMADA MÉDIA DE EMBUTIR (2 MÓDULOS), 2P+T 10 A, INCLUINDO SUPORTE E PLACA - FORNECIMENTO E INSTALAÇÃO. AF_12/2015</t>
  </si>
  <si>
    <t>TOMADA MÉDIA DE EMBUTIR (2 MÓDULOS), 2P+T 20 A, INCLUINDO SUPORTE E PLACA - FORNECIMENTO E INSTALAÇÃO. AF_12/2015</t>
  </si>
  <si>
    <t>TOMADA BAIXA DE EMBUTIR (2 MÓDULOS), 2P+T 10 A, SEM SUPORTE E SEM PLACA - FORNECIMENTO E INSTALAÇÃO. AF_12/2015</t>
  </si>
  <si>
    <t>TOMADA BAIXA DE EMBUTIR (2 MÓDULOS), 2P+T 20 A, SEM SUPORTE E SEM PLACA - FORNECIMENTO E INSTALAÇÃO. AF_12/2015</t>
  </si>
  <si>
    <t>TOMADA BAIXA DE EMBUTIR (2 MÓDULOS), 2P+T 10 A, INCLUINDO SUPORTE E PLACA - FORNECIMENTO E INSTALAÇÃO. AF_12/2015</t>
  </si>
  <si>
    <t>TOMADA BAIXA DE EMBUTIR (2 MÓDULOS), 2P+T 20 A, INCLUINDO SUPORTE E PLACA - FORNECIMENTO E INSTALAÇÃO. AF_12/2015</t>
  </si>
  <si>
    <t>TOMADA MÉDIA DE EMBUTIR (3 MÓDULOS), 2P+T 10 A, SEM SUPORTE E SEM PLACA - FORNECIMENTO E INSTALAÇÃO. AF_12/2015</t>
  </si>
  <si>
    <t>TOMADA MÉDIA DE EMBUTIR (3 MÓDULOS), 2P+T 20 A, SEM SUPORTE E SEM PLACA - FORNECIMENTO E INSTALAÇÃO. AF_12/2015</t>
  </si>
  <si>
    <t>TOMADA MÉDIA DE EMBUTIR (3 MÓDULOS), 2P+T 10 A, INCLUINDO SUPORTE E PLACA - FORNECIMENTO E INSTALAÇÃO. AF_12/2015</t>
  </si>
  <si>
    <t>TOMADA MÉDIA DE EMBUTIR (3 MÓDULOS), 2P+T 20 A, INCLUINDO SUPORTE E PLACA - FORNECIMENTO E INSTALAÇÃO. AF_12/2015</t>
  </si>
  <si>
    <t>TOMADA BAIXA DE EMBUTIR (3 MÓDULOS), 2P+T 10 A, SEM SUPORTE E SEM PLACA - FORNECIMENTO E INSTALAÇÃO. AF_12/2015</t>
  </si>
  <si>
    <t>TOMADA BAIXA DE EMBUTIR (3 MÓDULOS), 2P+T 20 A, SEM SUPORTE E SEM PLACA - FORNECIMENTO E INSTALAÇÃO. AF_12/2015</t>
  </si>
  <si>
    <t>TOMADA BAIXA DE EMBUTIR (3 MÓDULOS), 2P+T 10 A, INCLUINDO SUPORTE E PLACA - FORNECIMENTO E INSTALAÇÃO. AF_12/2015</t>
  </si>
  <si>
    <t>TOMADA BAIXA DE EMBUTIR (3 MÓDULOS), 2P+T 20 A, INCLUINDO SUPORTE E PLACA - FORNECIMENTO E INSTALAÇÃO. AF_12/2015</t>
  </si>
  <si>
    <t>TOMADA BAIXA DE EMBUTIR (4 MÓDULOS), 2P+T 10 A, SEM SUPORTE E SEM PLACA - FORNECIMENTO E INSTALAÇÃO. AF_12/2015</t>
  </si>
  <si>
    <t>TOMADA BAIXA DE EMBUTIR (4 MÓDULOS), 2P+T 10 A, INCLUINDO SUPORTE E PLACA - FORNECIMENTO E INSTALAÇÃO. AF_12/2015</t>
  </si>
  <si>
    <t>TOMADA BAIXA DE EMBUTIR (6 MÓDULOS), 2P+T 10 A, SEM SUPORTE E SEM PLACA - FORNECIMENTO E INSTALAÇÃO. AF_12/2015</t>
  </si>
  <si>
    <t>TOMADA BAIXA DE EMBUTIR (6 MÓDULOS), 2P+T 10 A, INCLUINDO SUPORTE E PLACA - FORNECIMENTO E INSTALAÇÃO. AF_12/2015</t>
  </si>
  <si>
    <t>PONTO DE TOMADA RESIDENCIAL INCLUINDO TOMADA 10A/250V, CAIXA ELÉTRICA, ELETRODUTO, CABO, RASGO, QUEBRA E CHUMBAMENTO. AF_01/2016</t>
  </si>
  <si>
    <t>PONTO DE TOMADA RESIDENCIAL INCLUINDO TOMADA (2 MÓDULOS) 10A/250V, CAIXA ELÉTRICA, ELETRODUTO, CABO, RASGO, QUEBRA E CHUMBAMENTO. AF_01/2016</t>
  </si>
  <si>
    <t>PONTO DE TOMADA RESIDENCIAL INCLUINDO TOMADA 20A/250V, CAIXA ELÉTRICA, ELETRODUTO, CABO, RASGO, QUEBRA E CHUMBAMENTO. AF_01/2016</t>
  </si>
  <si>
    <t>PONTO DE UTILIZAÇÃO DE EQUIPAMENTOS ELÉTRICOS, RESIDENCIAL, INCLUINDO SUPORTE E PLACA, CAIXA ELÉTRICA, ELETRODUTO, CABO, RASGO, QUEBRA E CHUMBAMENTO. AF_01/2016</t>
  </si>
  <si>
    <t>PONTO DE ILUMINAÇÃO E TOMADA, RESIDENCIAL, INCLUINDO INTERRUPTOR SIMPLES E TOMADA 10A/250V, CAIXA ELÉTRICA, ELETRODUTO, CABO, RASGO, QUEBRA E CHUMBAMENTO (EXCLUINDO LUMINÁRIA E LÂMPADA). AF_01/2016</t>
  </si>
  <si>
    <t>PONTO DE ILUMINAÇÃO E TOMADA, RESIDENCIAL, INCLUINDO INTERRUPTOR PARALELO E TOMADA 10A/250V, CAIXA ELÉTRICA, ELETRODUTO, CABO, RASGO, QUEBRA E CHUMBAMENTO (EXCLUINDO LUMINÁRIA E LÂMPADA). AF_01/2016</t>
  </si>
  <si>
    <t>PONTO DE ILUMINAÇÃO E TOMADA, RESIDENCIAL, INCLUINDO INTERRUPTOR SIMPLES, INTERRUPTOR PARALELO E TOMADA 10A/250V, CAIXA ELÉTRICA, ELETRODUTO, CABO, RASGO, QUEBRA E CHUMBAMENTO (EXCLUINDO LUMINÁRIA E LÂMPADA). AF_01/2016</t>
  </si>
  <si>
    <t>PONTO DE ILUMINAÇÃO RESIDENCIAL INCLUINDO INTERRUPTOR SIMPLES, CAIXA ELÉTRICA, ELETRODUTO, CABO, RASGO, QUEBRA E CHUMBAMENTO (EXCLUINDO LUMINÁRIA E LÂMPADA). AF_01/2016</t>
  </si>
  <si>
    <t>PONTO DE ILUMINAÇÃO RESIDENCIAL INCLUINDO INTERRUPTOR SIMPLES (2 MÓDULOS), CAIXA ELÉTRICA, ELETRODUTO, CABO, RASGO, QUEBRA E CHUMBAMENTO (EXCLUINDO LUMINÁRIA E LÂMPADA). AF_01/2016</t>
  </si>
  <si>
    <t>PONTO DE ILUMINAÇÃO RESIDENCIAL INCLUINDO INTERRUPTOR PARALELO, CAIXA ELÉTRICA, ELETRODUTO, CABO, RASGO, QUEBRA E CHUMBAMENTO (EXCLUINDO LUMINÁRIA E LÂMPADA). AF_01/2016</t>
  </si>
  <si>
    <t>PONTO DE ILUMINAÇÃO RESIDENCIAL INCLUINDO INTERRUPTOR PARALELO (2 MÓDULOS), CAIXA ELÉTRICA, ELETRODUTO, CABO, RASGO, QUEBRA E CHUMBAMENTO (EXCLUINDO LUMINÁRIA E LÂMPADA). AF_01/2016</t>
  </si>
  <si>
    <t>PONTO DE ILUMINAÇÃO RESIDENCIAL INCLUINDO INTERRUPTOR SIMPLES CONJUGADO COM PARALELO, CAIXA ELÉTRICA, ELETRODUTO, CABO, RASGO, QUEBRA E CHUMBAMENTO (EXCLUINDO LUMINÁRIA E LÂMPADA). AF_01/2016</t>
  </si>
  <si>
    <t>SENSOR DE PRESENÇA COM FOTOCÉLULA, FIXAÇÃO EM PAREDE - FORNECIMENTO E INSTALAÇÃO. AF_02/2020</t>
  </si>
  <si>
    <t>SENSOR DE PRESENÇA SEM FOTOCÉLULA, FIXAÇÃO EM PAREDE - FORNECIMENTO E INSTALAÇÃO. AF_02/2020</t>
  </si>
  <si>
    <t>SENSOR DE PRESENÇA COM FOTOCÉLULA, FIXAÇÃO EM TETO - FORNECIMENTO E INSTALAÇÃO. AF_02/2020</t>
  </si>
  <si>
    <t>SENSOR DE PRESENÇA SEM FOTOCÉLULA, FIXAÇÃO EM TETO - FORNECIMENTO E INSTALAÇÃO. AF_02/2020</t>
  </si>
  <si>
    <t>LUMINÁRIA DE EMERGÊNCIA, COM 30 LÂMPADAS LED DE 2 W, SEM REATOR - FORNECIMENTO E INSTALAÇÃO. AF_02/2020</t>
  </si>
  <si>
    <t>LUMINÁRIA TIPO CALHA, DE SOBREPOR, COM 1 LÂMPADA TUBULAR FLUORESCENTE DE 18 W, COM REATOR DE PARTIDA RÁPIDA - FORNECIMENTO E INSTALAÇÃO. AF_02/2020</t>
  </si>
  <si>
    <t>LUMINÁRIA FECHADA PARA ILUMINAÇÃO PÚBLICA, COM REATOR DE PARTIDA RÁPIDA, COM LÂMPADA VAPOR DE MERCÚRIO 250 W - FORNECIMENTO E INSTALAÇÃO. AF_08/2020</t>
  </si>
  <si>
    <t>LUMINÁRIA FECHADA, PARA ILUMINAÇÃO PÚBLICA, PARA LÂMPADA DE VAPOR - FORNECIMENTO E INSTALAÇÃO (EXCLUSIVE LÂMPADA E REATOR). AF_08/2020</t>
  </si>
  <si>
    <t>LUMINÁRIA ABERTA PARA ILUMINAÇÃO PÚBLICA, PARA LÂMPADA VAPOR DE MERCÚRIO ATÉ 400 W E MISTA ATÉ 500 W, COM BRAÇO EM TUBO DE AÇO GALV 1", COMPRIMENTO DE 1,50 M, PARA POSTE DE CONCRETO - FORNECIMENTO E INSTALAÇÃO (EXCLUSIVE LÂMPADA E REATOR). AF_08/2020</t>
  </si>
  <si>
    <t>LUMINÁRIA TIPO CALHA, DE SOBREPOR, COM 1 LÂMPADA TUBULAR FLUORESCENTE DE 36 W, COM REATOR DE PARTIDA RÁPIDA - FORNECIMENTO E INSTALAÇÃO. AF_02/2020</t>
  </si>
  <si>
    <t>LUMINÁRIA TIPO CALHA, DE SOBREPOR, COM 2 LÂMPADAS TUBULARES FLUORESCENTES DE 18 W, COM REATOR DE PARTIDA RÁPIDA - FORNECIMENTO E INSTALAÇÃO. AF_02/2020</t>
  </si>
  <si>
    <t>LUMINÁRIA TIPO CALHA, DE SOBREPOR, COM 2 LÂMPADAS TUBULARES FLUORESCENTES DE 36 W, COM REATOR DE PARTIDA RÁPIDA - FORNECIMENTO E INSTALAÇÃO. AF_02/2020</t>
  </si>
  <si>
    <t>LUMINÁRIA TIPO CALHA, DE EMBUTIR, COM 2 LÂMPADAS FLUORESCENTES DE 14 W, COM REATOR DE PARTIDA RÁPIDA - FORNECIMENTO E INSTALAÇÃO. AF_02/2020</t>
  </si>
  <si>
    <t>LUMINÁRIA TIPO PLAFON EM PLÁSTICO, DE SOBREPOR, COM 1 LÂMPADA FLUORESCENTE DE 15 W, SEM REATOR - FORNECIMENTO E INSTALAÇÃO. AF_02/2020</t>
  </si>
  <si>
    <t>LUMINÁRIA TIPO PLAFON REDONDO COM VIDRO FOSCO, DE SOBREPOR, COM 1 LÂMPADA FLUORESCENTE DE 15 W, SEM REATOR - FORNECIMENTO E INSTALAÇÃO. AF_02/2020</t>
  </si>
  <si>
    <t>LUMINÁRIA TIPO PLAFON REDONDO COM VIDRO FOSCO, DE SOBREPOR, COM 2 LÂMPADAS FLUORESCENTES DE 15 W, SEM REATOR - FORNECIMENTO E INSTALAÇÃO. AF_02/2020</t>
  </si>
  <si>
    <t>LUMINÁRIA TIPO SPOT, DE SOBREPOR, COM 1 LÂMPADA FLUORESCENTE DE 15 W, SEM REATOR - FORNECIMENTO E INSTALAÇÃO. AF_02/2020</t>
  </si>
  <si>
    <t>LUMINÁRIA TIPO SPOT, DE SOBREPOR, COM 2 LÂMPADAS FLUORESCENTES DE 15 W, SEM REATOR - FORNECIMENTO E INSTALAÇÃO. AF_02/2020</t>
  </si>
  <si>
    <t>REFLETOR RETANGULAR FECHADO, COM LÂMPADA VAPOR METÁLICO 400 W - FORNECIMENTO E INSTALAÇÃO. AF_08/2020</t>
  </si>
  <si>
    <t>REFLETOR EM ALUMÍNIO, DE SUPORTE E ALÇA, COM 1 LÂMPADA VAPOR DE MERCÚRIO DE 125 W, COM REATOR ALTO FATOR DE POTÊNCIA - FORNECIMENTO E INSTALAÇÃO. AF_02/2020</t>
  </si>
  <si>
    <t>REFLETOR EM ALUMÍNIO, DE SUPORTE E ALÇA, COM LÂMPADA VAPOR DE MERCÚRIO DE 250 W, COM REATOR ALTO FATOR DE POTÊNCIA - FORNECIMENTO E INSTALAÇÃO. AF_02/2020</t>
  </si>
  <si>
    <t>LÂMPADA COMPACTA FLUORESCENTE DE 15 W, BASE E27 - FORNECIMENTO E INSTALAÇÃO. AF_02/2020</t>
  </si>
  <si>
    <t>LÂMPADA COMPACTA FLUORESCENTE DE 20 W, BASE E27 - FORNECIMENTO E INSTALAÇÃO. AF_02/2020</t>
  </si>
  <si>
    <t>LÂMPADA TUBULAR FLUORESCENTE T8 DE 16/18 W, BASE G13 - FORNECIMENTO E INSTALAÇÃO. AF_02/2020_P</t>
  </si>
  <si>
    <t>LÂMPADA TUBULAR FLUORESCENTE T8 DE 32/36 W, BASE G13 - FORNECIMENTO E INSTALAÇÃO. AF_02/2020_P</t>
  </si>
  <si>
    <t>LÂMPADA TUBULAR FLUORESCENTE T10 DE 20/40 W, BASE G13 - FORNECIMENTO E INSTALAÇÃO. AF_02/2020_P</t>
  </si>
  <si>
    <t>LÂMPADA TUBULAR FLUORESCENTE T5 DE 14 W, BASE G13 - FORNECIMENTO E INSTALAÇÃO. AF_02/2020_P</t>
  </si>
  <si>
    <t>LÂMPADA COMPACTA DE VAPOR MERCURIO 125 W, BASE E27 - FORNECIMENTO E INSTALAÇÃO. AF_02/2020</t>
  </si>
  <si>
    <t>LÂMPADA COMPACTA DE VAPOR METÁLICO OVOIDE 150 W, BASE E27 - FORNECIMENTO E INSTALAÇÃO. AF_02/2020</t>
  </si>
  <si>
    <t>LÂMPADA VAPOR DE SÓDIO 150 W - FORNECIMENTO E INSTALAÇÃO. AF_08/2020</t>
  </si>
  <si>
    <t>LÂMPADA VAPOR DE SÓDIO 250 W - FORNECIMENTO E INSTALAÇÃO. AF_08/2020</t>
  </si>
  <si>
    <t>LÂMPADA VAPOR DE SÓDIO 400 W - FORNECIMENTO E INSTALAÇÃO. AF_08/2020</t>
  </si>
  <si>
    <t>LÂMPADA VAPOR METÁLICO 400 W - FORNECIMENTO E INSTALAÇÃO. AF_08/2020</t>
  </si>
  <si>
    <t>LÂMPADA VAPOR METÁLICO 150 W - FORNECIMENTO E INSTALAÇÃO. AF_08/2020</t>
  </si>
  <si>
    <t>LÂMPADA VAPOR DE MERCÚRIO 125 W - FORNECIMENTO E INSTALAÇÃO. AF_08/2020</t>
  </si>
  <si>
    <t>LÂMPADA VAPOR DE MERCÚRIO 250 W - FORNECIMENTO E INSTALAÇÃO. AF_08/2020</t>
  </si>
  <si>
    <t>LÂMPADA VAPOR DE MERCÚRIO 400 W - FORNECIMENTO E INSTALAÇÃO. AF_08/2020</t>
  </si>
  <si>
    <t>LÂMPADA MISTA 160 W - FORNECIMENTO E INSTALAÇÃO. AF_08/2020</t>
  </si>
  <si>
    <t>LÂMPADA MISTA 250 W - FORNECIMENTO E INSTALAÇÃO. AF_08/2020</t>
  </si>
  <si>
    <t>LÂMPADA MISTA 500 W - FORNECIMENTO E INSTALAÇÃO. AF_08/2020</t>
  </si>
  <si>
    <t>LUMINÁRIA ESTANQUE COM PROTEÇÃO CONTRA ÁGUA, POEIRA OU IMPACTOS - FORNECIMENTO E INSTALAÇÃO. AF_08/2020</t>
  </si>
  <si>
    <t>LUMINÁRIA ARANDELA TIPO MEIA LUA, DE SOBREPOR, COM 1 LÂMPADA LED DE 6 W, SEM REATOR - FORNECIMENTO E INSTALAÇÃO. AF_02/2020</t>
  </si>
  <si>
    <t>LUMINÁRIA DE LED PARA ILUMINAÇÃO PÚBLICA, DE 33 W ATÉ 50 W - FORNECIMENTO E INSTALAÇÃO. AF_08/2020</t>
  </si>
  <si>
    <t>LUMINÁRIA DE LED PARA ILUMINAÇÃO PÚBLICA, DE 51 W ATÉ 67 W - FORNECIMENTO E INSTALAÇÃO. AF_08/2020</t>
  </si>
  <si>
    <t>LUMINÁRIA DE LED PARA ILUMINAÇÃO PÚBLICA, DE 68 W ATÉ 97 W - FORNECIMENTO E INSTALAÇÃO. AF_08/2020</t>
  </si>
  <si>
    <t>LUMINÁRIA DE LED PARA ILUMINAÇÃO PÚBLICA, DE 98 W ATÉ 137 W - FORNECIMENTO E INSTALAÇÃO. AF_08/2020</t>
  </si>
  <si>
    <t>LUMINÁRIA DE LED PARA ILUMINAÇÃO PÚBLICA, DE 138 W ATÉ 180 W - FORNECIMENTO E INSTALAÇÃO. AF_08/2020</t>
  </si>
  <si>
    <t>LUMINÁRIA DE LED PARA ILUMINAÇÃO PÚBLICA, DE 181 W ATÉ 239 W - FORNECIMENTO E INSTALAÇÃO. AF_08/2020</t>
  </si>
  <si>
    <t>LUMINÁRIA DE LED PARA ILUMINAÇÃO PÚBLICA, DE 240 W ATÉ 350 W - FORNECIMENTO E INSTALAÇÃO. AF_08/2020</t>
  </si>
  <si>
    <t>LUMINÁRIA ARANDELA TIPO MEIA LUA, DE SOBREPOR, COM 1 LÂMPADA FLUORESCENTE DE 15 W, SEM REATOR - FORNECIMENTO E INSTALAÇÃO. AF_02/2020</t>
  </si>
  <si>
    <t>LUMINÁRIA ARANDELA TIPO TARTARUGA, DE SOBREPOR, COM 1 LÂMPADA LED DE 6 W, SEM REATOR - FORNECIMENTO E INSTALAÇÃO. AF_02/2020</t>
  </si>
  <si>
    <t>LUMINÁRIA ARANDELA TIPO TARTARUGA, COM GRADE, DE SOBREPOR, COM 1 LÂMPADA FLUORESCENTE DE 15 W, SEM REATOR - FORNECIMENTO E INSTALAÇÃO. AF_02/2020</t>
  </si>
  <si>
    <t>LÂMPADA TUBULAR LED DE 9/10 W, BASE G13 - FORNECIMENTO E INSTALAÇÃO. AF_02/2020_P</t>
  </si>
  <si>
    <t>LÂMPADA TUBULAR LED DE 18/20 W, BASE G13 - FORNECIMENTO E INSTALAÇÃO. AF_02/2020_P</t>
  </si>
  <si>
    <t>LUMINÁRIA TIPO CALHA, DE SOBREPOR, COM 1 LÂMPADA TUBULAR FLUORESCENTE DE 20 W, COM REATOR DE PARTIDA CONVENCIONAL - FORNECIMENTO E INSTALAÇÃO. AF_02/2020</t>
  </si>
  <si>
    <t>LUMINÁRIA DUPLA TIPO CALHA, DE SOBREPOR, COM 4 LÂMPADAS TUBULARES FLUORESCENTES DE 18 W,COM REATORES DE PARTIDA RÁPIDA - FORNECIMENTO E INSTALAÇÃO. AF_02/2020</t>
  </si>
  <si>
    <t>LUMINÁRIA DUPLA TIPO CALHA, DE SOBREPOR, COM 4 LÂMPADAS TUBULARES FLUORESCENTES DE 36 W, COM REATORES DE PARTIDA RÁPIDA -FORNECIMENTO E INSTALAÇÃO. AF_02/2020</t>
  </si>
  <si>
    <t>LÂMPADA FLUORESCENTE ESPIRAL BRANCA 45 W, BASE E27 - FORNECIMENTO E INSTALAÇÃO. AF_02/2020</t>
  </si>
  <si>
    <t>LÂMPADA FLUORESCENTE ESPIRAL BRANCA 65 W, BASE E27 - FORNECIMENTO E INSTALAÇÃO. AF_02/2020</t>
  </si>
  <si>
    <t>LÂMPADA COMPACTA DE LED 6 W, BASE E27 - FORNECIMENTO E INSTALAÇÃO. AF_02/2020</t>
  </si>
  <si>
    <t>LÂMPADA COMPACTA DE LED 10 W, BASE E27 - FORNECIMENTO E INSTALAÇÃO. AF_02/2020</t>
  </si>
  <si>
    <t>APARELHO SINALIZADOR DE SAÍDA DE GARAGEM, COM CÉLULA FOTOELÉTRICA - FORNECIMENTO E INSTALAÇÃO. AF_07/2020</t>
  </si>
  <si>
    <t>INSTALAÇÃO DE SINALIZADOR NOTURNO LED. AF_11/2017</t>
  </si>
  <si>
    <t>ARMAÇÃO SECUNDÁRIA, COM 1 ESTRIBO E 1 ISOLADOR - FORNECIMENTO E INSTALAÇÃO. AF_07/2020</t>
  </si>
  <si>
    <t>ARMAÇÃO SECUNDÁRIA, COM 2 ESTRIBOS E 2 ISOLADORES - FORNECIMENTO E INSTALAÇÃO. AF_07/2020</t>
  </si>
  <si>
    <t>ARMAÇÃO SECUNDÁRIA, COM 3 ESTRIBOS E 3 ISOLADORES - FORNECIMENTO E INSTALAÇÃO. AF_07/2020</t>
  </si>
  <si>
    <t>ARMAÇÃO SECUNDÁRIA, COM 4 ESTRIBOS E 4 ISOLADORES - FORNECIMENTO E INSTALAÇÃO. AF_07/2020</t>
  </si>
  <si>
    <t>ARMAÇÃO SECUNDÁRIA, COM 1 ESTRIBO, SEM ISOLADOR - FORNECIMENTO E INSTALAÇÃO. AF_07/2020</t>
  </si>
  <si>
    <t>ARMAÇÃO SECUNDÁRIA, COM 2 ESTRIBOS, SEM ISOLADOR - FORNECIMENTO E INSTALAÇÃO. AF_07/2020</t>
  </si>
  <si>
    <t>ARMAÇÃO SECUNDÁRIA, COM 3 ESTRIBOS, SEM ISOLADOR - FORNECIMENTO E INSTALAÇÃO. AF_07/2020</t>
  </si>
  <si>
    <t>ARMAÇÃO SECUNDÁRIA, COM 4 ESTRIBOS, SEM ISOLADOR - FORNECIMENTO E INSTALAÇÃO. AF_07/2020</t>
  </si>
  <si>
    <t>ISOLADOR, TIPO PINO, PARA TENSÃO 15 KV - FORNECIMENTO E INSTALAÇÃO. AF_07/2020</t>
  </si>
  <si>
    <t>ISOLADOR, TIPO DISCO, PARA TENSÃO 15 KV - FORNECIMENTO E INSTALAÇÃO. AF_07/2020</t>
  </si>
  <si>
    <t>ISOLADOR, TIPO ROLDANA, PARA BAIXA TENSÃO - FORNECIMENTO E INSTALAÇÃO. AF_07/2020</t>
  </si>
  <si>
    <t>GRAMPO PARALELO METÁLICO, PARA REDES AÉREAS DE DISTRIBUIÇÃO DE ENERGIA ELÉTRICA DE BAIXA TENSÃO - FORNECIMENTO E INSTALAÇÃO. AF_07/2020</t>
  </si>
  <si>
    <t>ALÇA PREFORMADA DE DISTRIBUIÇÃO, EM  AÇO GALVANIZADO, AWG 1 - FORNECIMENTO E INSTALAÇÃO. AF_07/2020</t>
  </si>
  <si>
    <t>ALÇA PREFORMADA DE DISTRIBUIÇÃO, EM  AÇO GALVANIZADO, AWG 2 - FORNECIMENTO E INSTALAÇÃO. AF_07/2020</t>
  </si>
  <si>
    <t>ALÇA PREFORMADA DE DISTRIBUIÇÃO, EM  AÇO GALVANIZADO, AWG 4 - FORNECIMENTO E INSTALAÇÃO. AF_07/2020</t>
  </si>
  <si>
    <t>ALÇA PREFORMADA DE DISTRIBUIÇÃO, EM  AÇO GALVANIZADO, AWG 6 - FORNECIMENTO E INSTALAÇÃO. AF_07/2020</t>
  </si>
  <si>
    <t>REATOR PARA LÂMPADA VAPOR DE MERCÚRIO 400 W, USO EXTERNO - FORNECIMENTO E INSTALAÇÃO. AF_08/2020</t>
  </si>
  <si>
    <t>REATOR PARA LÂMPADA VAPOR DE SÓDIO 250 W, USO EXTERNO - FORNECIMENTO E INSTALAÇÃO. AF_08/2020</t>
  </si>
  <si>
    <t>REATOR PARA LÂMPADA VAPOR DE MERCÚRIO 125 W, USO EXTERNO - FORNECIMENTO E INSTALAÇÃO. AF_08/2020</t>
  </si>
  <si>
    <t>REATOR PARA LÂMPADA VAPOR DE MERCÚRIO 250 W, USO EXTERNO - FORNECIMENTO E INSTALAÇÃO. AF_08/2020</t>
  </si>
  <si>
    <t>REATOR DE PARTIDA RÁPIDA PARA LÂMPADA FLUORESCENTE 2X40W - FORNECIMENTO E INSTALAÇÃO. AF_02/2020</t>
  </si>
  <si>
    <t>REATOR DE PARTIDA RÁPIDA PARA LÂMPADA FLUORESCENTE 1X20W - FORNECIMENTO E INSTALAÇÃO. AF_02/2020</t>
  </si>
  <si>
    <t>REATOR DE PARTIDA RÁPIDA PARA LÂMPADA FLUORESCENTE 1X40W - FORNECIMENTO E INSTALAÇÃO. AF_02/2020</t>
  </si>
  <si>
    <t>SUBSTITUIÇÃO DE LUMINÁRIA DE VAPOR DE MERCÚRIO/VAPOR DE SÓDIO POR LUMINÁRIA DE LED PARA ILUMINAÇÃO PÚBLICA (NÃO INCLUI FORNECIMENTO). AF_08/2020</t>
  </si>
  <si>
    <t>SUBSTITUIÇÃO DE LÂMPADA PARA ILUMINAÇÃO PÚBLICA (NÃO INCLUI FORNECIMENTO). AF_08/2020</t>
  </si>
  <si>
    <t>SUBSTITUIÇÃO DE REATOR PARA ILUMINAÇÃO PÚBLICA (NÃO INCLUI FORNECIMENTO). AF_08/2020</t>
  </si>
  <si>
    <t>IGNITOR PARA PARTIDA LÂMPADA VAPOR SÓDIO / VAPOR METÁLICO ATÉ 400 W - FORNECIMENTO E INSTALAÇÃO. AF_08/2020</t>
  </si>
  <si>
    <t>RELÉ FOTOELÉTRICO PARA COMANDO DE ILUMINAÇÃO EXTERNA 1000 W - FORNECIMENTO E INSTALAÇÃO. AF_08/2020</t>
  </si>
  <si>
    <t>SUBSTITUIÇÃO DE RELÉ FOTOELÉTRICO PARA COMANDO DE ILUMINAÇÃO EXTERNA 1000 W - FORNECIMENTO E INSTALAÇÃO. AF_08/2020</t>
  </si>
  <si>
    <t>BRAÇO PARA ILUMINAÇÃO PÚBLICA, EM TUBO DE AÇO GALVANIZADO, COMPRIMENTO DE 1,50 M, PARA FIXAÇÃO EM POSTE DE CONCRETO - FORNECIMENTO E INSTALAÇÃO. AF_08/2020</t>
  </si>
  <si>
    <t>BRAÇO PARA ILUMINAÇÃO PÚBLICA, EM TUBO DE AÇO GALVANIZADO, COMPRIMENTO DE 1,50 M, PARA FIXAÇÃO EM POSTE METÁLICO - FORNECIMENTO E INSTALAÇÃO. AF_08/2020</t>
  </si>
  <si>
    <t>HASTE DE ATERRAMENTO 5/8  PARA SPDA - FORNECIMENTO E INSTALAÇÃO. AF_12/2017</t>
  </si>
  <si>
    <t>HASTE DE ATERRAMENTO 3/4  PARA SPDA - FORNECIMENTO E INSTALAÇÃO. AF_12/2017</t>
  </si>
  <si>
    <t>BASE METÁLICA PARA MASTRO 1 ½  PARA SPDA - FORNECIMENTO E INSTALAÇÃO. AF_12/2017</t>
  </si>
  <si>
    <t>MASTRO 1 ½  PARA SPDA - FORNECIMENTO E INSTALAÇÃO. AF_12/2017</t>
  </si>
  <si>
    <t>CORDOALHA DE COBRE NU 16 MM², NÃO ENTERRADA, COM ISOLADOR - FORNECIMENTO E INSTALAÇÃO. AF_12/2017</t>
  </si>
  <si>
    <t>CORDOALHA DE COBRE NU 25 MM², NÃO ENTERRADA, COM ISOLADOR - FORNECIMENTO E INSTALAÇÃO. AF_12/2017</t>
  </si>
  <si>
    <t>CORDOALHA DE COBRE NU 35 MM², NÃO ENTERRADA, COM ISOLADOR - FORNECIMENTO E INSTALAÇÃO. AF_12/2017</t>
  </si>
  <si>
    <t>CORDOALHA DE COBRE NU 50 MM², NÃO ENTERRADA, COM ISOLADOR - FORNECIMENTO E INSTALAÇÃO. AF_12/2017</t>
  </si>
  <si>
    <t>CORDOALHA DE COBRE NU 70 MM², NÃO ENTERRADA, COM ISOLADOR - FORNECIMENTO E INSTALAÇÃO. AF_12/2017</t>
  </si>
  <si>
    <t>CORDOALHA DE COBRE NU 95 MM², NÃO ENTERRADA, COM ISOLADOR - FORNECIMENTO E INSTALAÇÃO. AF_12/2017</t>
  </si>
  <si>
    <t>CORDOALHA DE COBRE NU 50 MM², ENTERRADA, SEM ISOLADOR - FORNECIMENTO E INSTALAÇÃO. AF_12/2017</t>
  </si>
  <si>
    <t>CORDOALHA DE COBRE NU 70 MM², ENTERRADA, SEM ISOLADOR - FORNECIMENTO E INSTALAÇÃO. AF_12/2017</t>
  </si>
  <si>
    <t>CORDOALHA DE COBRE NU 95 MM², ENTERRADA, SEM ISOLADOR - FORNECIMENTO E INSTALAÇÃO. AF_12/2017</t>
  </si>
  <si>
    <t>CAPTOR TIPO FRANKLIN PARA SPDA - FORNECIMENTO E INSTALAÇÃO. AF_12/2017</t>
  </si>
  <si>
    <t>SUPORTE ISOLADOR PARA CORDOALHA DE COBRE - FORNECIMENTO E INSTALAÇÃO. AF_12/2017</t>
  </si>
  <si>
    <t>QUADRO DE DISTRIBUIÇÃO PARA TELEFONE N.2, 20X20X12CM EM CHAPA METALICA, DE EMBUTIR, SEM ACESSORIOS, PADRÃO TELEBRAS, FORNECIMENTO E INSTALAÇÃO. AF_11/2019</t>
  </si>
  <si>
    <t>QUADRO DE DISTRIBUICAO PARA TELEFONE N.3, 40X40X12CM EM CHAPA METALICA, DE EMBUTIR, SEM ACESSORIOS, PADRAO TELEBRAS, FORNECIMENTO E INSTALAÇÃO. AF_11/2019</t>
  </si>
  <si>
    <t>QUADRO DE DISTRIBUICAO PARA TELEFONE N.4, 60X60X12CM EM CHAPA METALICA, DE EMBUTIR, SEM ACESSORIOS, PADRAO TELEBRAS, FORNECIMENTO E INSTALAÇÃO. AF_11/2019</t>
  </si>
  <si>
    <t>QUADRO DE DISTRIBUIÇÃO PARA TELEFONE N.5, 80X80X12CM EM CHAPA METALICA, SEM ACESSORIOS, PADRAO TELEBRAS, FORNECIMENTO E INSTALAÇÃO. AF_11/2019</t>
  </si>
  <si>
    <t>CAIXA DE PASSAGEM PARA TELEFONE 15X15X10CM (SOBREPOR), FORNECIMENTO E INSTALACAO. AF_11/2019</t>
  </si>
  <si>
    <t>CAIXA DE PASSAGEM PARA TELEFONE 80X80X15CM (SOBREPOR) FORNECIMENTO E INSTALACAO. AF_11/2019</t>
  </si>
  <si>
    <t>CABO ELETRÔNICO CATEGORIA 5E, INSTALADO EM EDIFICAÇÃO RESIDENCIAL - FORNECIMENTO E INSTALAÇÃO. AF_11/2019</t>
  </si>
  <si>
    <t>CABO ELETRÔNICO CATEGORIA 5E, INSTALADO EM EDIFICAÇÃO INSTITUCIONAL - FORNECIMENTO E INSTALAÇÃO. AF_11/2019</t>
  </si>
  <si>
    <t>CABO ELETRÔNICO CATEGORIA 6, INSTALADO EM EDIFICAÇÃO RESIDENCIAL - FORNECIMENTO E INSTALAÇÃO. AF_11/2019</t>
  </si>
  <si>
    <t>CABO ELETRÔNICO CATEGORIA 6, INSTALADO EM EDIFICAÇÃO INSTITUCIONAL - FORNECIMENTO E INSTALAÇÃO. AF_11/2019</t>
  </si>
  <si>
    <t>PATCH PANEL 24 PORTAS, CATEGORIA 5E - FORNECIMENTO E INSTALAÇÃO. AF_11/2019</t>
  </si>
  <si>
    <t>PATCH PANEL 24 PORTAS, CATEGORIA 6 - FORNECIMENTO E INSTALAÇÃO. AF_11/2019</t>
  </si>
  <si>
    <t>PATCH PANEL 48 PORTAS, CATEGORIA 6 - FORNECIMENTO E INSTALAÇÃO. AF_11/2019</t>
  </si>
  <si>
    <t>TOMADA DE REDE RJ45 - FORNECIMENTO E INSTALAÇÃO. AF_11/2019</t>
  </si>
  <si>
    <t>TOMADA PARA TELEFONE RJ11 - FORNECIMENTO E INSTALAÇÃO. AF_11/2019</t>
  </si>
  <si>
    <t>PATCH PANEL 48 PORTAS, CATEGORIA 5E - FORNECIMENTO E INSTALAÇÃO. AF_11/2019</t>
  </si>
  <si>
    <t>CABO TELEFÔNICO CTP-APL-50 10 PARES INSTALADO EM ENTRADA DE EDIFICAÇÃO - FORNECIMENTO E INSTALAÇÃO. AF_11/2019</t>
  </si>
  <si>
    <t>CABO TELEFÔNICO CTP-APL-50 20 PARES INSTALADO EM ENTRADA DE EDIFICAÇÃO - FORNECIMENTO E INSTALAÇÃO. AF_11/2019</t>
  </si>
  <si>
    <t>CABO TELEFÔNICO CTP-APL-50 30 PARES INSTALADO EM ENTRADA DE EDIFICAÇÃO - FORNECIMENTO E INSTALAÇÃO. AF_11/2019</t>
  </si>
  <si>
    <t>CABO TELEFÔNICO CI-50 10 PARES INSTALADO EM ENTRADA DE EDIFICAÇÃO - FORNECIMENTO E INSTALAÇÃO. AF_11/2019</t>
  </si>
  <si>
    <t>CABO TELEFÔNICO CI-50 20 PARES INSTALADO EM ENTRADA DE EDIFICAÇÃO - FORNECIMENTO E INSTALAÇÃO. AF_11/2019</t>
  </si>
  <si>
    <t>CABO TELEFÔNICO CI-50 30 PARES INSTALADO EM ENTRADA DE EDIFICAÇÃO - FORNECIMENTO E INSTALAÇÃO. AF_11/2019</t>
  </si>
  <si>
    <t>CABO TELEFÔNICO CI-50 50 PARES INSTALADO EM ENTRADA DE EDIFICAÇÃO - FORNECIMENTO E INSTALAÇÃO. AF_11/2019</t>
  </si>
  <si>
    <t>CABO TELEFÔNICO CI-50 75 PARES INSTALADO EM ENTRADA DE EDIFICAÇÃO - FORNECIMENTO E INSTALAÇÃO. AF_11/2019</t>
  </si>
  <si>
    <t>CABO TELEFÔNICO CI-50 200 PARES INSTALADO EM ENTRADA DE EDIFICAÇÃO - FORNECIMENTO E INSTALAÇÃO. AF_11/2019</t>
  </si>
  <si>
    <t>CABO TELEFÔNICO CI-50 10 PARES INSTALADO EM PRUMADA - FORNECIMENTO E INSTALAÇÃO. AF_11/2019</t>
  </si>
  <si>
    <t>CABO TELEFÔNICO CI-50 20 PARES INSTALADO EM PRUMADA - FORNECIMENTO E INSTALAÇÃO. AF_11/2019</t>
  </si>
  <si>
    <t>CABO TELEFÔNICO CI-50 30 PARES INSTALADO EM PRUMADA - FORNECIMENTO E INSTALAÇÃO. AF_11/2019</t>
  </si>
  <si>
    <t>CABO TELEFÔNICO CI-50 50 PARES INSTALADO EM PRUMADA - FORNECIMENTO E INSTALAÇÃO. AF_11/2019</t>
  </si>
  <si>
    <t>CABO TELEFÔNICO CI-50 10 PARES INSTALADO EM DISTRIBUIÇÃO DE EDIFICAÇÃO RESIDENCIAL - FORNECIMENTO E INSTALAÇÃO. AF_11/2019</t>
  </si>
  <si>
    <t>CABO TELEFÔNICO CI-50 10 PARES INSTALADO EM DISTRIBUIÇÃO DE EDIFICAÇÃO INSTITUCIONAL - FORNECIMENTO E INSTALAÇÃO. AF_11/2019</t>
  </si>
  <si>
    <t>CABO TELEFÔNICO CCI-50 1 PAR, INSTALADO EM ENTRADA DE EDIFICAÇÃO - FORNECIMENTO E INSTALAÇÃO. AF_11/2019</t>
  </si>
  <si>
    <t>CABO TELEFÔNICO CCI-50 2 PARES, SEM BLINDAGEM, INSTALADO EM ENTRADA DE EDIFICAÇÃO - FORNECIMENTO E INSTALAÇÃO. AF_11/2019</t>
  </si>
  <si>
    <t>CABO TELEFÔNICO CCI-50 3 PARES, SEM BLINDAGEM, INSTALADO EM ENTRADA DE EDIFICAÇÃO - FORNECIMENTO E INSTALAÇÃO. AF_11/2019</t>
  </si>
  <si>
    <t>CABO TELEFÔNICO CCI-50 4 PARES, SEM BLINDAGEM, INSTALADO EM ENTRADA DE EDIFICAÇÃO - FORNECIMENTO E INSTALAÇÃO. AF_11/2019</t>
  </si>
  <si>
    <t>CABO TELEFÔNICO CCI-50 5 PARES, SEM BLINDAGEM, INSTALADO EM ENTRADA DE EDIFICAÇÃO - FORNECIMENTO E INSTALAÇÃO. AF_11/2019</t>
  </si>
  <si>
    <t>CABO TELEFÔNICO CCI-50 6 PARES, SEM BLINDAGEM, INSTALADO EM ENTRADA DE EDIFICAÇÃO - FORNECIMENTO E INSTALAÇÃO. AF_11/2019</t>
  </si>
  <si>
    <t>CABO TELEFÔNICO CCI-50 4 PARES, SEM BLINDAGEM, INSTALADO EM PRUMADA - FORNECIMENTO E INSTALAÇÃO. AF_11/2019</t>
  </si>
  <si>
    <t>CABO TELEFÔNICO CCI-50 5 PARES, SEM BLINDAGEM, INSTALADO EM PRUMADA - FORNECIMENTO E INSTALAÇÃO. AF_11/2019</t>
  </si>
  <si>
    <t>CABO TELEFÔNICO CCI-50 6 PARES, SEM BLINDAGEM, INSTALADO EM PRUMADA - FORNECIMENTO E INSTALAÇÃO. AF_11/2019</t>
  </si>
  <si>
    <t>CABO TELEFÔNICO CCI-50 1 PAR, SEM BLINDAGEM, INSTALADO EM DISTRIBUIÇÃO DE EDIFICAÇÃO RESIDENCIAL - FORNECIMENTO E INSTALAÇÃO. AF_11/2019</t>
  </si>
  <si>
    <t>CABO TELEFÔNICO CCI-50 2 PARES, SEM BLINDAGEM, INSTALADO EM DISTRIBUIÇÃO DE EDIFICAÇÃO RESIDENCIAL - FORNECIMENTO E INSTALAÇÃO. AF_11/2019</t>
  </si>
  <si>
    <t>CABO TELEFÔNICO CCI-50 3 PARES, SEM BLINDAGEM, INSTALADO EM DISTRIBUIÇÃO DE EDIFICAÇÃO RESIDENCIAL - FORNECIMENTO E INSTALAÇÃO. AF_11/2019</t>
  </si>
  <si>
    <t>CABO TELEFÔNICO CCI-50 4 PARES, SEM BLINDAGEM, INSTALADO EM DISTRIBUIÇÃO DE EDIFICAÇÃO RESIDENCIAL - FORNECIMENTO E INSTALAÇÃO. AF_11/2019</t>
  </si>
  <si>
    <t>CABO TELEFÔNICO CCI-50 5 PARES, SEM BLINDAGEM, INSTALADO EM DISTRIBUIÇÃO DE EDIFICAÇÃO RESIDENCIAL - FORNECIMENTO E INSTALAÇÃO. AF_11/2019</t>
  </si>
  <si>
    <t>CABO TELEFÔNICO CCI-50 6 PARES, SEM BLINDAGEM, INSTALADO EM DISTRIBUIÇÃO DE EDIFICAÇÃO RESIDENCIAL - FORNECIMENTO E INSTALAÇÃO. AF_11/2019</t>
  </si>
  <si>
    <t>CABO TELEFÔNICO CCI-50 1 PAR, SEM BLINDAGEM, INSTALADO EM DISTRIBUIÇÃO DE EDIFICAÇÃO INSTITUCIONAL - FORNECIMENTO E INSTALAÇÃO. AF_11/2019</t>
  </si>
  <si>
    <t>CABO TELEFÔNICO CCI-50 2 PARES, SEM BLINDAGEM, INSTALADO EM DISTRIBUIÇÃO DE EDIFICAÇÃO INSTITUCIONAL - FORNECIMENTO E INSTALAÇÃO. AF_11/2019</t>
  </si>
  <si>
    <t>CABO TELEFÔNICO CCI-50 3 PARES, SEM BLINDAGEM, INSTALADO EM DISTRIBUIÇÃO DE EDIFICAÇÃO INSTITUCIONAL - FORNECIMENTO E INSTALAÇÃO. AF_11/2019</t>
  </si>
  <si>
    <t>CABO TELEFÔNICO CCI-50 4 PARES, SEM BLINDAGEM, INSTALADO EM DISTRIBUIÇÃO DE EDIFICAÇÃO INSTITUCIONAL - FORNECIMENTO E INSTALAÇÃO. AF_11/2019</t>
  </si>
  <si>
    <t>CABO TELEFÔNICO CCI-50 5 PARES, SEM BLINDAGEM, INSTALADO EM DISTRIBUIÇÃO DE EDIFICAÇÃO INSTITUCIONAL - FORNECIMENTO E INSTALAÇÃO. AF_11/2019</t>
  </si>
  <si>
    <t>CABO TELEFÔNICO CCI-50 6 PARES, SEM BLINDAGEM, INSTALADO EM DISTRIBUIÇÃO DE EDIFICAÇÃO INSTITUCIONAL - FORNECIMENTO E INSTALAÇÃO. AF_11/2019</t>
  </si>
  <si>
    <t>PINTURA ANTICORROSIVA DE DUTO METÁLICO. AF_04/2018</t>
  </si>
  <si>
    <t>TUBO EM COBRE FLEXÍVEL, DN 1/4, COM ISOLAMENTO, INSTALADO EM RAMAL DE ALIMENTAÇÃO DE AR CONDICIONADO COM CONDENSADORA INDIVIDUAL   FORNECIMENTO E INSTALAÇÃO. AF_12/2015</t>
  </si>
  <si>
    <t>TUBO EM COBRE FLEXÍVEL, DN 3/8", COM ISOLAMENTO, INSTALADO EM RAMAL DE ALIMENTAÇÃO DE AR CONDICIONADO COM CONDENSADORA INDIVIDUAL  FORNECIMENTO E INSTALAÇÃO. AF_12/2015</t>
  </si>
  <si>
    <t>TUBO EM COBRE FLEXÍVEL, DN 1/2", COM ISOLAMENTO, INSTALADO EM RAMAL DE ALIMENTAÇÃO DE AR CONDICIONADO COM CONDENSADORA INDIVIDUAL  FORNECIMENTO E INSTALAÇÃO. AF_12/2015</t>
  </si>
  <si>
    <t>TUBO EM COBRE FLEXÍVEL, DN 5/8", COM ISOLAMENTO, INSTALADO EM RAMAL DE ALIMENTAÇÃO DE AR CONDICIONADO COM CONDENSADORA INDIVIDUAL  FORNECIMENTO E INSTALAÇÃO. AF_12/2015</t>
  </si>
  <si>
    <t>TUBO EM COBRE FLEXÍVEL, DN 1/4", COM ISOLAMENTO, INSTALADO EM RAMAL DE ALIMENTAÇÃO DE AR CONDICIONADO COM CONDENSADORA CENTRAL  FORNECIMENTO E INSTALAÇÃO. AF_12/2015</t>
  </si>
  <si>
    <t>TUBO EM COBRE FLEXÍVEL, DN 3/8", COM ISOLAMENTO, INSTALADO EM RAMAL DE ALIMENTAÇÃO DE AR CONDICIONADO COM CONDENSADORA CENTRAL  FORNECIMENTO E INSTALAÇÃO. AF_12/2015</t>
  </si>
  <si>
    <t>TUBO EM COBRE FLEXÍVEL, DN 1/2", COM ISOLAMENTO, INSTALADO EM RAMAL DE ALIMENTAÇÃO DE AR CONDICIONADO COM CONDENSADORA CENTRAL  FORNECIMENTO E INSTALAÇÃO. AF_12/2015</t>
  </si>
  <si>
    <t>TUBO EM COBRE FLEXÍVEL, DN 5/8, COM ISOLAMENTO, INSTALADO EM RAMAL DE ALIMENTAÇÃO DE AR CONDICIONADO COM CONDENSADORA CENTRAL   FORNECIMENTO E INSTALAÇÃO. AF_12/2015</t>
  </si>
  <si>
    <t>Gabião tipo caixa 2x1x0,50m ZN/AL + PVC  (NBR 8964)</t>
  </si>
  <si>
    <t>Pedra de mão</t>
  </si>
  <si>
    <t>Gabião tipo caixa 2x1x0,50m ZN/AL (NBR 8964)</t>
  </si>
  <si>
    <t>Gabião tipo caixa 2x1x1,00m ZN/AL + PVC (NBR 8964)</t>
  </si>
  <si>
    <t>Gabião tipo caixa 2x1x1,00m ZN/AL (NBR 8964)</t>
  </si>
  <si>
    <t>Gabião tipo colchão ZN/AL + PVC e=0,17m (NBR 8964)</t>
  </si>
  <si>
    <t>Gabião tipo colchão ZN/AL + PVC e=0,23m (NBR 8964)</t>
  </si>
  <si>
    <t>Gabião tipo colchão ZN/AL + PVC e=0,30m (NBR 8964)</t>
  </si>
  <si>
    <t>Reaterro e apiloamento mecânico</t>
  </si>
  <si>
    <t>Concreto Símples Fck = 9 Mpa</t>
  </si>
  <si>
    <t>Concreto Fck = 20 Mpa</t>
  </si>
  <si>
    <t>Concreto Fck = 22 Mpa</t>
  </si>
  <si>
    <t>Concreto Fck = 24 Mpa</t>
  </si>
  <si>
    <t>Concreto Fck = 25 Mpa</t>
  </si>
  <si>
    <t>Concreto Fck = 30 Mpa</t>
  </si>
  <si>
    <t>Concreto Fck = 32 Mpa</t>
  </si>
  <si>
    <t>74022/55</t>
  </si>
  <si>
    <t>m4</t>
  </si>
  <si>
    <t>PAI-17A</t>
  </si>
  <si>
    <t>600310A</t>
  </si>
  <si>
    <t>800900A</t>
  </si>
  <si>
    <t>801100A</t>
  </si>
  <si>
    <t>600510A</t>
  </si>
  <si>
    <t>Orçacivil</t>
  </si>
  <si>
    <t>PLACA ESMALTADA PARA IDENTIFICAÇÃO NR DE RUA, DIMENSÕES 45X25CM</t>
  </si>
  <si>
    <t>841000A</t>
  </si>
  <si>
    <t>840000A</t>
  </si>
  <si>
    <t>511130A</t>
  </si>
  <si>
    <t>520100B</t>
  </si>
  <si>
    <t>520200B</t>
  </si>
  <si>
    <t>511130B</t>
  </si>
  <si>
    <t>511000A</t>
  </si>
  <si>
    <t>511000B</t>
  </si>
  <si>
    <t>400500A</t>
  </si>
  <si>
    <t>532600A</t>
  </si>
  <si>
    <t>532600B</t>
  </si>
  <si>
    <t>511100A</t>
  </si>
  <si>
    <t>511100B</t>
  </si>
  <si>
    <t>511300A</t>
  </si>
  <si>
    <t>511300B</t>
  </si>
  <si>
    <t>535200A</t>
  </si>
  <si>
    <t>521450B</t>
  </si>
  <si>
    <t>521450C</t>
  </si>
  <si>
    <t>521450E</t>
  </si>
  <si>
    <t>521450F</t>
  </si>
  <si>
    <t>521450H</t>
  </si>
  <si>
    <t>521450I</t>
  </si>
  <si>
    <t>863000A</t>
  </si>
  <si>
    <t>863000B</t>
  </si>
  <si>
    <t>534906A</t>
  </si>
  <si>
    <t>534906B</t>
  </si>
  <si>
    <t>101090A</t>
  </si>
  <si>
    <t>863000C</t>
  </si>
  <si>
    <t>863000D</t>
  </si>
  <si>
    <t>534906G</t>
  </si>
  <si>
    <t>534906H</t>
  </si>
  <si>
    <t>534906I</t>
  </si>
  <si>
    <t>534906J</t>
  </si>
  <si>
    <t>534906K</t>
  </si>
  <si>
    <t>534906L</t>
  </si>
  <si>
    <t>534908G</t>
  </si>
  <si>
    <t>534908H</t>
  </si>
  <si>
    <t>101090B</t>
  </si>
  <si>
    <t>562100A</t>
  </si>
  <si>
    <t>562100B</t>
  </si>
  <si>
    <t>562200A</t>
  </si>
  <si>
    <t>562200B</t>
  </si>
  <si>
    <t>PAV-003A</t>
  </si>
  <si>
    <t>PAV-005A</t>
  </si>
  <si>
    <t>PAV-003B</t>
  </si>
  <si>
    <t>PAV-005B</t>
  </si>
  <si>
    <t>Imprimação com Emulsão RR-1C- exclusive emulsão</t>
  </si>
  <si>
    <t>Fornecimento de emulsão RR-2C - TSD com Capa Selante Tipo - I-2</t>
  </si>
  <si>
    <t>Fornecimento de Emulsão RM-2C - Pré-Misturado a Frio (Denso) - DER</t>
  </si>
  <si>
    <t>534000C</t>
  </si>
  <si>
    <t>534300D</t>
  </si>
  <si>
    <t>534300E</t>
  </si>
  <si>
    <t>606600C</t>
  </si>
  <si>
    <t>606600D</t>
  </si>
  <si>
    <t>.</t>
  </si>
  <si>
    <t>606700C</t>
  </si>
  <si>
    <t>606700D</t>
  </si>
  <si>
    <t>810250E</t>
  </si>
  <si>
    <t>810250F</t>
  </si>
  <si>
    <t>810250G</t>
  </si>
  <si>
    <t>PAI-17B</t>
  </si>
  <si>
    <t>600310B</t>
  </si>
  <si>
    <t>600310C</t>
  </si>
  <si>
    <t>800900B</t>
  </si>
  <si>
    <t>801100B</t>
  </si>
  <si>
    <t>COMPOSIÇÃO1</t>
  </si>
  <si>
    <t>841000B</t>
  </si>
  <si>
    <t>97623A</t>
  </si>
  <si>
    <t xml:space="preserve">DEMOLIÇÃO DE ALVENARIA DE TIJOLO  COM REAPROVEITAMENTO. </t>
  </si>
  <si>
    <t>97624A</t>
  </si>
  <si>
    <t>DEMOLIÇÃO DE ALVENARIA DE TIJOLO SEM APROVEITAMENTO</t>
  </si>
  <si>
    <t>97623B</t>
  </si>
  <si>
    <t>97624B</t>
  </si>
  <si>
    <t>606500B</t>
  </si>
  <si>
    <t>97623C</t>
  </si>
  <si>
    <t>97624C</t>
  </si>
  <si>
    <t>606500C</t>
  </si>
  <si>
    <t>532500B</t>
  </si>
  <si>
    <t>532500D</t>
  </si>
  <si>
    <t>603900B</t>
  </si>
  <si>
    <t>400500B</t>
  </si>
  <si>
    <t>Colchão de Areia para fundação de Aterro( Rio / Jazida )</t>
  </si>
  <si>
    <t>Colchão de Areia para assentamento de calçadas</t>
  </si>
  <si>
    <t>Colchão de Argila/saibro/matr. jazida para assentamento de calçadas</t>
  </si>
  <si>
    <t>Colchão de pó de pedra para assentamento de calçadas</t>
  </si>
  <si>
    <t>400500C</t>
  </si>
  <si>
    <t>603900D</t>
  </si>
  <si>
    <t>100576A</t>
  </si>
  <si>
    <t>583100A</t>
  </si>
  <si>
    <t>583100B</t>
  </si>
  <si>
    <t>583100C</t>
  </si>
  <si>
    <t>584200A</t>
  </si>
  <si>
    <t>584200B</t>
  </si>
  <si>
    <t>584200C</t>
  </si>
  <si>
    <t>534300A</t>
  </si>
  <si>
    <t>534300B</t>
  </si>
  <si>
    <t>534300C</t>
  </si>
  <si>
    <t>570300A</t>
  </si>
  <si>
    <t>570310A</t>
  </si>
  <si>
    <t>601100A</t>
  </si>
  <si>
    <t>601100B</t>
  </si>
  <si>
    <t>605000G</t>
  </si>
  <si>
    <t>605000H</t>
  </si>
  <si>
    <t>605000I</t>
  </si>
  <si>
    <t>605000J</t>
  </si>
  <si>
    <t>605000K</t>
  </si>
  <si>
    <t>605000O</t>
  </si>
  <si>
    <t>563100A</t>
  </si>
  <si>
    <t>823000A</t>
  </si>
  <si>
    <t>823000B</t>
  </si>
  <si>
    <t>820000J</t>
  </si>
  <si>
    <t>606000A</t>
  </si>
  <si>
    <t>606000B</t>
  </si>
  <si>
    <t>605200A</t>
  </si>
  <si>
    <t>605200B</t>
  </si>
  <si>
    <t>605400A</t>
  </si>
  <si>
    <t>605400B</t>
  </si>
  <si>
    <t>603700A</t>
  </si>
  <si>
    <t>603800A</t>
  </si>
  <si>
    <t>603700B</t>
  </si>
  <si>
    <t>603800B</t>
  </si>
  <si>
    <t>600000A</t>
  </si>
  <si>
    <t>600000B</t>
  </si>
  <si>
    <t>633000A</t>
  </si>
  <si>
    <t>633000B</t>
  </si>
  <si>
    <t>633100A</t>
  </si>
  <si>
    <t>633200A</t>
  </si>
  <si>
    <t>633100B</t>
  </si>
  <si>
    <t>633200B</t>
  </si>
  <si>
    <t>601200A</t>
  </si>
  <si>
    <t>601200B</t>
  </si>
  <si>
    <t>620000A</t>
  </si>
  <si>
    <t>620000B</t>
  </si>
  <si>
    <t>620000C</t>
  </si>
  <si>
    <t>620100A</t>
  </si>
  <si>
    <t>620100B</t>
  </si>
  <si>
    <t>620100C</t>
  </si>
  <si>
    <t>620100D</t>
  </si>
  <si>
    <t>620200A</t>
  </si>
  <si>
    <t>620200B</t>
  </si>
  <si>
    <t>620200C</t>
  </si>
  <si>
    <t>610400A</t>
  </si>
  <si>
    <t>610400B</t>
  </si>
  <si>
    <t>610400C</t>
  </si>
  <si>
    <t>610400D</t>
  </si>
  <si>
    <t>610600A</t>
  </si>
  <si>
    <t>610600B</t>
  </si>
  <si>
    <t>610600C</t>
  </si>
  <si>
    <t>610600D</t>
  </si>
  <si>
    <t>610600E</t>
  </si>
  <si>
    <t>610600F</t>
  </si>
  <si>
    <t>610800A</t>
  </si>
  <si>
    <t>610800B</t>
  </si>
  <si>
    <t>610800C</t>
  </si>
  <si>
    <t>610800D</t>
  </si>
  <si>
    <t>610800E</t>
  </si>
  <si>
    <t>610700A</t>
  </si>
  <si>
    <t>610700B</t>
  </si>
  <si>
    <t>610900A</t>
  </si>
  <si>
    <t>610900B</t>
  </si>
  <si>
    <t>611000A</t>
  </si>
  <si>
    <t>611000B</t>
  </si>
  <si>
    <t>611000C</t>
  </si>
  <si>
    <t>611000D</t>
  </si>
  <si>
    <t>611200A</t>
  </si>
  <si>
    <t>611200B</t>
  </si>
  <si>
    <t>611400A</t>
  </si>
  <si>
    <t>611400B</t>
  </si>
  <si>
    <t>611400C</t>
  </si>
  <si>
    <t>611400D</t>
  </si>
  <si>
    <t>611600A</t>
  </si>
  <si>
    <t>611600B</t>
  </si>
  <si>
    <t>611100A</t>
  </si>
  <si>
    <t>611100B</t>
  </si>
  <si>
    <t>611500A</t>
  </si>
  <si>
    <t>611500B</t>
  </si>
  <si>
    <t>PAM</t>
  </si>
  <si>
    <t>CBUQ c/ asfalto com BORRACHA - AB8</t>
  </si>
  <si>
    <t>PINI</t>
  </si>
  <si>
    <t>Escavação de mat. 1a. cat./sem transporte</t>
  </si>
  <si>
    <t>Escavação de mat. 2a. cat./sem transporte</t>
  </si>
  <si>
    <t>Escavação de mat. 3a. cat./sem transporte</t>
  </si>
  <si>
    <t>02.105.000040.SER</t>
  </si>
  <si>
    <t>Carga de mat. 1a. cat./sem transporte</t>
  </si>
  <si>
    <t>Escavação e carga mat. 1a. cat./sem transporte</t>
  </si>
  <si>
    <t>Escavação e carga mat. 2a. cat./sem transporte</t>
  </si>
  <si>
    <t>Escavação e carga mat. 3a. cat./sem transporte</t>
  </si>
  <si>
    <t>Escavação, Carga e Transp. de jazida 3ª Cat. (ROCHA)</t>
  </si>
  <si>
    <t>605300A</t>
  </si>
  <si>
    <t xml:space="preserve">840000B </t>
  </si>
  <si>
    <t>600510 B</t>
  </si>
  <si>
    <t>605300B</t>
  </si>
  <si>
    <t>ENSAIOS TECNOLÓGICOS
(Os custos com mobilização e desmobilização de equipe e equipamentos para a extração de amostras para os ensaios tecnológicos, exceto da capa asfáltica, serão de responsabilidade da empresa executora da obra.)</t>
  </si>
  <si>
    <t>Ensaio de tracao por compressao diametral - misturas betuminosas</t>
  </si>
  <si>
    <t>Extração de corpo de prova de concreto asfáltico com sonda rotativa</t>
  </si>
  <si>
    <t>Mobilização e desmobilização de equipamento e equipe para extração de corpos de prova da capa asfáltica.</t>
  </si>
  <si>
    <t>831000A</t>
  </si>
  <si>
    <t>830000A</t>
  </si>
  <si>
    <t>606600A</t>
  </si>
  <si>
    <t>606700A</t>
  </si>
  <si>
    <t>606500A</t>
  </si>
  <si>
    <t>520100A</t>
  </si>
  <si>
    <t>520200A</t>
  </si>
  <si>
    <t>Escavação, Carga e Transp. 1ª Cat.</t>
  </si>
  <si>
    <t>Escavação, Carga e Transp. 2ª Cat.</t>
  </si>
  <si>
    <t>520100C</t>
  </si>
  <si>
    <t>520100D</t>
  </si>
  <si>
    <t>532500A</t>
  </si>
  <si>
    <t>603900A</t>
  </si>
  <si>
    <t>605000A</t>
  </si>
  <si>
    <t>533500A</t>
  </si>
  <si>
    <t>533100A</t>
  </si>
  <si>
    <t>533100B</t>
  </si>
  <si>
    <t>530200A</t>
  </si>
  <si>
    <t>530200B</t>
  </si>
  <si>
    <t>531000A</t>
  </si>
  <si>
    <t>PAV-085</t>
  </si>
  <si>
    <t>560100A</t>
  </si>
  <si>
    <t>589420A</t>
  </si>
  <si>
    <t>DER mat</t>
  </si>
  <si>
    <t>560100B</t>
  </si>
  <si>
    <t>589190A</t>
  </si>
  <si>
    <t>560400A</t>
  </si>
  <si>
    <t>589100A</t>
  </si>
  <si>
    <t>561100A</t>
  </si>
  <si>
    <t>589420B</t>
  </si>
  <si>
    <t>521450A</t>
  </si>
  <si>
    <t>535000A</t>
  </si>
  <si>
    <t>589170A</t>
  </si>
  <si>
    <t>589170B</t>
  </si>
  <si>
    <t>589170C</t>
  </si>
  <si>
    <t>589170D</t>
  </si>
  <si>
    <t>589520A</t>
  </si>
  <si>
    <t>589520B</t>
  </si>
  <si>
    <t>589520C</t>
  </si>
  <si>
    <t>589520D</t>
  </si>
  <si>
    <t>589520E</t>
  </si>
  <si>
    <t>589520F</t>
  </si>
  <si>
    <t>589520G</t>
  </si>
  <si>
    <t>589520H</t>
  </si>
  <si>
    <t>589000A</t>
  </si>
  <si>
    <t>589520I</t>
  </si>
  <si>
    <t>589320A</t>
  </si>
  <si>
    <t>589320B</t>
  </si>
  <si>
    <t>589320C</t>
  </si>
  <si>
    <t>589320D</t>
  </si>
  <si>
    <t>589320E</t>
  </si>
  <si>
    <t>589320F</t>
  </si>
  <si>
    <t>589320G</t>
  </si>
  <si>
    <t>589320H</t>
  </si>
  <si>
    <t>589000B</t>
  </si>
  <si>
    <t>589000C</t>
  </si>
  <si>
    <t>589000D</t>
  </si>
  <si>
    <t>589000E</t>
  </si>
  <si>
    <t>589000F</t>
  </si>
  <si>
    <t>589000G</t>
  </si>
  <si>
    <t>570000A</t>
  </si>
  <si>
    <t>589000H</t>
  </si>
  <si>
    <t>570000B</t>
  </si>
  <si>
    <t>589000I</t>
  </si>
  <si>
    <t>570000C</t>
  </si>
  <si>
    <t>589000J</t>
  </si>
  <si>
    <t>570000D</t>
  </si>
  <si>
    <t>589000K</t>
  </si>
  <si>
    <t>570400A</t>
  </si>
  <si>
    <t>589000L</t>
  </si>
  <si>
    <t>570400B</t>
  </si>
  <si>
    <t>589000M</t>
  </si>
  <si>
    <t>570400C</t>
  </si>
  <si>
    <t>589000N</t>
  </si>
  <si>
    <t>Fornecimento de ASFALTO-BORRACHA - CBUQ com borracha - AB8</t>
  </si>
  <si>
    <t>535200B</t>
  </si>
  <si>
    <t>Meio-Fio com Sarjeta DER - Tipo 7 - (0,031 m3) - Pré-Moldado</t>
  </si>
  <si>
    <t>810250D</t>
  </si>
  <si>
    <t>Meio-Fio com Sarjeta DER - Tipo 3 - (0,034 m3) - Pré-Moldado</t>
  </si>
  <si>
    <t>Meio-Fio Símples DER - Tipo 4 - (0,072 m3) - Moldado "in loco"</t>
  </si>
  <si>
    <t>Meio-Fio com Sarjeta DER - Tipo 4 - (0,072 m3) - Pré-Moldado</t>
  </si>
  <si>
    <t>606700B</t>
  </si>
  <si>
    <t>606600B</t>
  </si>
  <si>
    <t>100576B</t>
  </si>
  <si>
    <t>532500C</t>
  </si>
  <si>
    <t>603900C</t>
  </si>
  <si>
    <t>605000B</t>
  </si>
  <si>
    <t>603000A</t>
  </si>
  <si>
    <t>603300A</t>
  </si>
  <si>
    <t>605000C</t>
  </si>
  <si>
    <t>605000D</t>
  </si>
  <si>
    <t>605000E</t>
  </si>
  <si>
    <t>605000F</t>
  </si>
  <si>
    <t>520100E</t>
  </si>
  <si>
    <t>520100F</t>
  </si>
  <si>
    <t>533500B</t>
  </si>
  <si>
    <t>533100C</t>
  </si>
  <si>
    <t>533100D</t>
  </si>
  <si>
    <t>530200C</t>
  </si>
  <si>
    <t>530200D</t>
  </si>
  <si>
    <t>531000B</t>
  </si>
  <si>
    <t>560100C</t>
  </si>
  <si>
    <t>589420C</t>
  </si>
  <si>
    <t>560100D</t>
  </si>
  <si>
    <t>589190B</t>
  </si>
  <si>
    <t>560400B</t>
  </si>
  <si>
    <t>589100B</t>
  </si>
  <si>
    <t>561100B</t>
  </si>
  <si>
    <t>589420D</t>
  </si>
  <si>
    <t>563100B</t>
  </si>
  <si>
    <t>589520J</t>
  </si>
  <si>
    <t>534000D</t>
  </si>
  <si>
    <t>589320I</t>
  </si>
  <si>
    <t>534000E</t>
  </si>
  <si>
    <t>589320J</t>
  </si>
  <si>
    <t>534000F</t>
  </si>
  <si>
    <t>589320K</t>
  </si>
  <si>
    <t>534300F</t>
  </si>
  <si>
    <t>589320L</t>
  </si>
  <si>
    <t>534300G</t>
  </si>
  <si>
    <t>589320M</t>
  </si>
  <si>
    <t>534300H</t>
  </si>
  <si>
    <t>589320N</t>
  </si>
  <si>
    <t>534300I</t>
  </si>
  <si>
    <t>589320O</t>
  </si>
  <si>
    <t>534300J</t>
  </si>
  <si>
    <t>589320P</t>
  </si>
  <si>
    <t>570300B</t>
  </si>
  <si>
    <t>589000O</t>
  </si>
  <si>
    <t>570310B</t>
  </si>
  <si>
    <t>589000P</t>
  </si>
  <si>
    <t>570000E</t>
  </si>
  <si>
    <t>589000Q</t>
  </si>
  <si>
    <t>570400D</t>
  </si>
  <si>
    <t>589000R</t>
  </si>
  <si>
    <t>521450D</t>
  </si>
  <si>
    <t>535200C</t>
  </si>
  <si>
    <t>535000B</t>
  </si>
  <si>
    <t>603000B</t>
  </si>
  <si>
    <t>603300B</t>
  </si>
  <si>
    <t>520100G</t>
  </si>
  <si>
    <t>520100H</t>
  </si>
  <si>
    <t>532500E</t>
  </si>
  <si>
    <t>603900E</t>
  </si>
  <si>
    <t>605000L</t>
  </si>
  <si>
    <t>400500D</t>
  </si>
  <si>
    <t>532500F</t>
  </si>
  <si>
    <t>532600C</t>
  </si>
  <si>
    <t>603900F</t>
  </si>
  <si>
    <t>605000M</t>
  </si>
  <si>
    <t>831000B</t>
  </si>
  <si>
    <t>830000B</t>
  </si>
  <si>
    <t>521450G</t>
  </si>
  <si>
    <t>603000C</t>
  </si>
  <si>
    <t>603300C</t>
  </si>
  <si>
    <t>532500G</t>
  </si>
  <si>
    <t>603900H</t>
  </si>
  <si>
    <t>605000N</t>
  </si>
  <si>
    <t>603500B</t>
  </si>
  <si>
    <t>EXECUÇÃO E COMPACTAÇÃO DE BASE E OU SUB BASE PARA PAVIMENTAÇÃO DE CONCRETO COMPACTADO COM ROLO - EXCLUSIVE CARGA E TRANSPORTE. AF_11/2019</t>
  </si>
  <si>
    <t>EXECUÇÃO DE PAVIMENTO DE CONCRETO SIMPLES (PCS), FCK = 40 MPA, CAMADA COM ESPESSURA DE 15,0 CM. AF_11/2017.
INCLUSIVE: AGENTE DE CURA, LONAS PLÁSTICA, RÉGUA VIBRATÓRIA, JUNTAS DE CONTRAÇÃO, GRAXA, BARRAS DE TRANSFERÊNCIA E BARRAS DE LIGAÇÃO.</t>
  </si>
  <si>
    <t>EXECUÇÃO DE PAVIMENTO DE CONCRETO SIMPLES (PCS), FCK = 40 MPA, CAMADA COM ESPESSURA DE 17,5 CM. AF_11/2017,
INCLUSIVE: AGENTE DE CURA, LONAS PLÁSTICA, RÉGUA VIBRATÓRIA, JUNTAS DE CONTRAÇÃO, GRAXA, BARRAS DE TRANSFERÊNCIA E BARRAS DE LIGAÇÃO.</t>
  </si>
  <si>
    <t>EXECUÇÃO DE PAVIMENTO DE CONCRETO SIMPLES (PCS), FCK = 40 MPA, CAMADA COM ESPESSURA DE 20,0 CM. AF_11/2017
INCLUSIVE: AGENTE DE CURA, LONAS PLÁSTICA, RÉGUA VIBRATÓRIA, JUNTAS DE CONTRAÇÃO, GRAXA, BARRAS DE TRANSFERÊNCIA E BARRAS DE LIGAÇÃO.</t>
  </si>
  <si>
    <t>EXECUÇÃO DE PAVIMENTO DE CONCRETO SIMPLES (PCS), FCK = 40 MPA, CAMADA COM ESPESSURA DE 22,5 CM. AF_11/2017.
INCLUSIVE: AGENTE DE CURA, LONAS PLÁSTICA, RÉGUA VIBRATÓRIA, JUNTAS DE CONTRAÇÃO, GRAXA, BARRAS DE TRANSFERÊNCIA E BARRAS DE LIGAÇÃO.</t>
  </si>
  <si>
    <t>EXECUÇÃO DE PAVIMENTO DE CONCRETO SIMPLES (PCS), FCK = 40 MPA, CAMADA COM ESPESSURA DE 25,0 CM. AF_11/2017.
INCLUSIVE: AGENTE DE CURA, LONAS PLÁSTICA, RÉGUA VIBRATÓRIA, JUNTAS DE CONTRAÇÃO, GRAXA, BARRAS DE TRANSFERÊNCIA E BARRAS DE LIGAÇÃO.</t>
  </si>
  <si>
    <t>EXECUÇÃO DE PAVIMENTO DE CONCRETO SIMPLES (PCS), FCK = 40 MPA, CAMADA COM ESPESSURA DE 27,5 CM. AF_11/2017.
INCLUSIVE: AGENTE DE CURA, LONAS PLÁSTICA, RÉGUA VIBRATÓRIA, JUNTAS DE CONTRAÇÃO, GRAXA, BARRAS DE TRANSFERÊNCIA E BARRAS DE LIGAÇÃO.</t>
  </si>
  <si>
    <t>APLICAÇÃO DE LONA PLÁSTICA PARA EXECUÇÃO DE PAVIMENTOS DE CONCRETO. AF_11/2017.
INCLUSIVE: AGENTE DE CURA, LONAS PLÁSTICA, RÉGUA VIBRATÓRIA, JUNTAS DE CONTRAÇÃO, GRAXA, BARRAS DE TRANSFERÊNCIA E BARRAS DE LIGAÇÃO.</t>
  </si>
  <si>
    <t>EXECUÇÃO DE JUNTAS DE CONTRAÇÃO PARA PAVIMENTOS DE CONCRETO. AF_11/2017</t>
  </si>
  <si>
    <t>APLICAÇÃO DE GRAXA EM BARRAS DE TRANSFERÊNCIA PARA EXECUÇÃO DE PAVIMENTO DE CONCRETO. AF_11/2017</t>
  </si>
  <si>
    <t>BARRAS DE TRANSFERÊNCIA, AÇO CA-25 DE 16,0 MM, PARA EXECUÇÃO DE PAVIMENTO DE CONCRETO  FORNECIMENTO E INSTALAÇÃO. AF_11/2017</t>
  </si>
  <si>
    <t>BARRAS DE TRANSFERÊNCIA, AÇO CA-25 DE 20,0 MM, PARA EXECUÇÃO DE PAVIMENTO DE CONCRETO  FORNECIMENTO E INSTALAÇÃO. AF_11/2017</t>
  </si>
  <si>
    <t>BARRAS DE TRANSFERÊNCIA, AÇO CA-25 DE 25,0 MM, PARA EXECUÇÃO DE PAVIMENTO DE CONCRETO  FORNECIMENTO E INSTALAÇÃO. AF_11/2017</t>
  </si>
  <si>
    <t>BARRAS DE TRANSFERÊNCIA, AÇO CA-25 DE 32,0 MM, PARA EXECUÇÃO DE PAVIMENTO DE CONCRETO  FORNECIMENTO E INSTALAÇÃO. AF_11/2017</t>
  </si>
  <si>
    <t>BARRAS DE LIGAÇÃO, AÇO CA-50 DE 10 MM, PARA EXECUÇÃO DE PAVIMENTO DE CONCRETO  FORNECIMENTO E INSTALAÇÃO. AF_11/2017</t>
  </si>
  <si>
    <t>USINAGEM DE CONCRETO PARA COMPACTAÇÃO COM ROLO. AF_03/2020</t>
  </si>
  <si>
    <r>
      <t xml:space="preserve">ENSAIOS TECNOLÓGICOS
</t>
    </r>
    <r>
      <rPr>
        <b/>
        <sz val="10"/>
        <color theme="0"/>
        <rFont val="Arial"/>
        <family val="2"/>
      </rPr>
      <t>(Os custos com mobilização e desmobilização de equipe e equipamentos para a extração de amostras para os ensaios tecnológicos, exceto da capa asfáltica, serão de responsabilidade da empresa executora da obra.)</t>
    </r>
  </si>
  <si>
    <t xml:space="preserve"> É de responsabilidade do orçamentista adequar as % de incidência de cada item no cálculo do BDI e os impostos. Os valores aqui apresentados são apenas exemplos.</t>
  </si>
  <si>
    <r>
      <t xml:space="preserve">Solo Cimento(Pista) - </t>
    </r>
    <r>
      <rPr>
        <b/>
        <sz val="8"/>
        <rFont val="Arial"/>
        <family val="2"/>
      </rPr>
      <t>2%</t>
    </r>
  </si>
  <si>
    <r>
      <t xml:space="preserve">Solo Cimento(Pista) - </t>
    </r>
    <r>
      <rPr>
        <b/>
        <sz val="8"/>
        <rFont val="Arial"/>
        <family val="2"/>
      </rPr>
      <t>3%</t>
    </r>
  </si>
  <si>
    <r>
      <t xml:space="preserve">Solo Cimento(Pista) - </t>
    </r>
    <r>
      <rPr>
        <b/>
        <sz val="8"/>
        <rFont val="Arial"/>
        <family val="2"/>
      </rPr>
      <t>4%</t>
    </r>
  </si>
  <si>
    <r>
      <t xml:space="preserve">Solo Cimento(Pista) - </t>
    </r>
    <r>
      <rPr>
        <b/>
        <sz val="8"/>
        <rFont val="Arial"/>
        <family val="2"/>
      </rPr>
      <t>5%</t>
    </r>
  </si>
  <si>
    <r>
      <t xml:space="preserve">Solo Cimento(Pista) - </t>
    </r>
    <r>
      <rPr>
        <b/>
        <sz val="8"/>
        <rFont val="Arial"/>
        <family val="2"/>
      </rPr>
      <t>6%</t>
    </r>
  </si>
  <si>
    <r>
      <t xml:space="preserve">Solo Cimento(Pista)- </t>
    </r>
    <r>
      <rPr>
        <b/>
        <sz val="8"/>
        <rFont val="Arial"/>
        <family val="2"/>
      </rPr>
      <t>7%</t>
    </r>
  </si>
  <si>
    <r>
      <t xml:space="preserve">Solo Cimento(Usina) - </t>
    </r>
    <r>
      <rPr>
        <b/>
        <sz val="8"/>
        <rFont val="Arial"/>
        <family val="2"/>
      </rPr>
      <t>2%</t>
    </r>
  </si>
  <si>
    <r>
      <t xml:space="preserve">Solo Cimento(Usina) - </t>
    </r>
    <r>
      <rPr>
        <b/>
        <sz val="8"/>
        <rFont val="Arial"/>
        <family val="2"/>
      </rPr>
      <t>3%</t>
    </r>
  </si>
  <si>
    <r>
      <t xml:space="preserve">Solo Cimento(Usina) - </t>
    </r>
    <r>
      <rPr>
        <b/>
        <sz val="8"/>
        <rFont val="Arial"/>
        <family val="2"/>
      </rPr>
      <t>4%</t>
    </r>
  </si>
  <si>
    <r>
      <t xml:space="preserve">Solo Cimento(Usina) - </t>
    </r>
    <r>
      <rPr>
        <b/>
        <sz val="8"/>
        <rFont val="Arial"/>
        <family val="2"/>
      </rPr>
      <t>5%</t>
    </r>
  </si>
  <si>
    <r>
      <t xml:space="preserve">Solo Cimento(Usina) - </t>
    </r>
    <r>
      <rPr>
        <b/>
        <sz val="8"/>
        <rFont val="Arial"/>
        <family val="2"/>
      </rPr>
      <t>6%</t>
    </r>
  </si>
  <si>
    <r>
      <t xml:space="preserve">Solo Cimento(Usina) - </t>
    </r>
    <r>
      <rPr>
        <b/>
        <sz val="8"/>
        <rFont val="Arial"/>
        <family val="2"/>
      </rPr>
      <t>7%</t>
    </r>
  </si>
  <si>
    <r>
      <t>Pré-Misturado a Frio (aberto) - DER - (</t>
    </r>
    <r>
      <rPr>
        <b/>
        <sz val="8"/>
        <rFont val="Arial"/>
        <family val="2"/>
      </rPr>
      <t>TAPA - BURACO</t>
    </r>
    <r>
      <rPr>
        <sz val="8"/>
        <rFont val="Arial"/>
        <family val="2"/>
      </rPr>
      <t>)</t>
    </r>
  </si>
  <si>
    <r>
      <t>Pré-Misturado a Frio (aberto) - DER - (</t>
    </r>
    <r>
      <rPr>
        <b/>
        <sz val="8"/>
        <rFont val="Arial"/>
        <family val="2"/>
      </rPr>
      <t>REPERFILAMENTO</t>
    </r>
    <r>
      <rPr>
        <sz val="8"/>
        <rFont val="Arial"/>
        <family val="2"/>
      </rPr>
      <t>)</t>
    </r>
  </si>
  <si>
    <r>
      <t>Pré-Misturado a Frio (aberto) - DER - (</t>
    </r>
    <r>
      <rPr>
        <b/>
        <sz val="8"/>
        <rFont val="Arial"/>
        <family val="2"/>
      </rPr>
      <t>CAPA</t>
    </r>
    <r>
      <rPr>
        <sz val="8"/>
        <rFont val="Arial"/>
        <family val="2"/>
      </rPr>
      <t>)</t>
    </r>
  </si>
  <si>
    <r>
      <t>Pré-Misturado a Frio (Denso) - DER - (</t>
    </r>
    <r>
      <rPr>
        <b/>
        <sz val="8"/>
        <rFont val="Arial"/>
        <family val="2"/>
      </rPr>
      <t>CAPA</t>
    </r>
    <r>
      <rPr>
        <sz val="8"/>
        <rFont val="Arial"/>
        <family val="2"/>
      </rPr>
      <t>)</t>
    </r>
  </si>
  <si>
    <r>
      <rPr>
        <b/>
        <sz val="8"/>
        <rFont val="Arial"/>
        <family val="2"/>
      </rPr>
      <t>CBUQ - BINDER</t>
    </r>
    <r>
      <rPr>
        <sz val="8"/>
        <rFont val="Arial"/>
        <family val="2"/>
      </rPr>
      <t xml:space="preserve"> (Quantidade menor que 10000 toneladas)</t>
    </r>
  </si>
  <si>
    <r>
      <rPr>
        <b/>
        <sz val="8"/>
        <rFont val="Arial"/>
        <family val="2"/>
      </rPr>
      <t>CBUQ - BINDER</t>
    </r>
    <r>
      <rPr>
        <sz val="8"/>
        <rFont val="Arial"/>
        <family val="2"/>
      </rPr>
      <t xml:space="preserve"> (Quantidade maior que 10000 toneladas)</t>
    </r>
  </si>
  <si>
    <r>
      <rPr>
        <b/>
        <sz val="8"/>
        <rFont val="Arial"/>
        <family val="2"/>
      </rPr>
      <t>CBUQ - Reperfilamento</t>
    </r>
    <r>
      <rPr>
        <sz val="8"/>
        <rFont val="Arial"/>
        <family val="2"/>
      </rPr>
      <t xml:space="preserve"> (Quantidade menor que 10000 toneladas)</t>
    </r>
  </si>
  <si>
    <r>
      <t>Pré-Misturado a Frio (Semi-Denso) - DER - (</t>
    </r>
    <r>
      <rPr>
        <b/>
        <sz val="8"/>
        <rFont val="Arial"/>
        <family val="2"/>
      </rPr>
      <t>REPERFILAMENTO</t>
    </r>
    <r>
      <rPr>
        <sz val="8"/>
        <rFont val="Arial"/>
        <family val="2"/>
      </rPr>
      <t>)</t>
    </r>
  </si>
  <si>
    <r>
      <t>Pré-Misturado a Frio (Semi-Denso) - DER - (</t>
    </r>
    <r>
      <rPr>
        <b/>
        <sz val="8"/>
        <rFont val="Arial"/>
        <family val="2"/>
      </rPr>
      <t>CAPA</t>
    </r>
    <r>
      <rPr>
        <sz val="8"/>
        <rFont val="Arial"/>
        <family val="2"/>
      </rPr>
      <t>)</t>
    </r>
  </si>
  <si>
    <r>
      <rPr>
        <b/>
        <sz val="8"/>
        <rFont val="Arial"/>
        <family val="2"/>
      </rPr>
      <t xml:space="preserve">CBUQ - PASSEIO  </t>
    </r>
    <r>
      <rPr>
        <sz val="8"/>
        <rFont val="Arial"/>
        <family val="2"/>
      </rPr>
      <t>(Quantidade menor que 10000 toneladas)</t>
    </r>
  </si>
  <si>
    <r>
      <rPr>
        <b/>
        <sz val="8"/>
        <rFont val="Arial"/>
        <family val="2"/>
      </rPr>
      <t xml:space="preserve">CBUQ - PASSEIO </t>
    </r>
    <r>
      <rPr>
        <sz val="8"/>
        <rFont val="Arial"/>
        <family val="2"/>
      </rPr>
      <t>(Quantidade maior que 10000 toneladas)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</si>
  <si>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Aprumar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existente equipado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</si>
  <si>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Deslocamento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equipado existente até 0,30 metros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</si>
  <si>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levantamento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auxiliar para entrada serviço de unidade consumidora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</si>
  <si>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auxiliar para entrada serviço de unidade consumidora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</si>
  <si>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levantamento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até 12 metros de altura com resistência até 1000 DAN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</si>
  <si>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até 12 metros de altura com resistência até 1000 DAN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</si>
  <si>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levantamento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até 12 metros de altura com resistência acima 1000 DAN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</si>
  <si>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até 12 metros de altura com resistência.
acima 1000 DAN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</si>
  <si>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levantamento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entre 13 a 15 metros de altura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</si>
  <si>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entre 13 a 15 metros de altura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</si>
  <si>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levantamento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de 15 a 18 metros de altura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</si>
  <si>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de 15 a 18 metros de altura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</si>
  <si>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levantamento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acima de 18 metros de altura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</si>
  <si>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</t>
    </r>
    <r>
      <rPr>
        <b/>
        <sz val="8"/>
        <rFont val="Arial"/>
        <family val="2"/>
      </rPr>
      <t>POSTE</t>
    </r>
    <r>
      <rPr>
        <sz val="8"/>
        <rFont val="Arial"/>
        <family val="2"/>
      </rPr>
      <t xml:space="preserve"> acima de 18 metros de altura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</si>
  <si>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proteção de </t>
    </r>
    <r>
      <rPr>
        <b/>
        <sz val="8"/>
        <rFont val="Arial"/>
        <family val="2"/>
      </rPr>
      <t>POSTE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</si>
  <si>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proteção de </t>
    </r>
    <r>
      <rPr>
        <b/>
        <sz val="8"/>
        <rFont val="Arial"/>
        <family val="2"/>
      </rPr>
      <t>POSTE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</si>
  <si>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Instalação</t>
    </r>
    <r>
      <rPr>
        <sz val="8"/>
        <rFont val="Arial"/>
        <family val="2"/>
      </rPr>
      <t xml:space="preserve"> de defensa de </t>
    </r>
    <r>
      <rPr>
        <b/>
        <sz val="8"/>
        <rFont val="Arial"/>
        <family val="2"/>
      </rPr>
      <t>POSTE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</si>
  <si>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defensa de </t>
    </r>
    <r>
      <rPr>
        <b/>
        <sz val="8"/>
        <rFont val="Arial"/>
        <family val="2"/>
      </rPr>
      <t>POSTE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</si>
  <si>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cadeia de isoladores de disco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</si>
  <si>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Cadeia de isoladores de disco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</si>
  <si>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cruzeta símples sem isoladores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</si>
  <si>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Cruzeta símples sem isoladores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</si>
  <si>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cruzeta dupla sem isoladores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</si>
  <si>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Cruzeta dupla sem isoladores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</si>
  <si>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Reinstalação</t>
    </r>
    <r>
      <rPr>
        <sz val="8"/>
        <rFont val="Arial"/>
        <family val="2"/>
      </rPr>
      <t xml:space="preserve"> de cruzeta dupla montada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</si>
  <si>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Instalação</t>
    </r>
    <r>
      <rPr>
        <sz val="8"/>
        <rFont val="Arial"/>
        <family val="2"/>
      </rPr>
      <t xml:space="preserve"> de isolador de pino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</si>
  <si>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isolador de pino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</si>
  <si>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Iinstalação</t>
    </r>
    <r>
      <rPr>
        <sz val="8"/>
        <rFont val="Arial"/>
        <family val="2"/>
      </rPr>
      <t xml:space="preserve"> de suporte T para fixação de chaves ou pára-raios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</si>
  <si>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suporte T para fixação de chaves ou pára-raios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</si>
  <si>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Instalação</t>
    </r>
    <r>
      <rPr>
        <sz val="8"/>
        <rFont val="Arial"/>
        <family val="2"/>
      </rPr>
      <t xml:space="preserve"> de Suporte ou afastador para isolador pilar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</si>
  <si>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Suporte ou afastador para isolador pilar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</si>
  <si>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Instalação</t>
    </r>
    <r>
      <rPr>
        <sz val="8"/>
        <rFont val="Arial"/>
        <family val="2"/>
      </rPr>
      <t xml:space="preserve"> de suporte l ou suporte afastador para rede antifurto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</si>
  <si>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suporte l ou suporte afastador para rede antifurto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</si>
  <si>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afastador de armação secundária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</si>
  <si>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afastador de armação secundária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</si>
  <si>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armação secundária. de 1 estribo ou parafuso com olhal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</si>
  <si>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armação secundária. de 1 estribo ou parafuso com olhal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</si>
  <si>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armação secundária com mais de 1 estribo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</si>
  <si>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armação secundária com mais de 1 estribo</t>
    </r>
  </si>
  <si>
    <r>
      <rPr>
        <b/>
        <sz val="8"/>
        <rFont val="Arial"/>
        <family val="2"/>
      </rPr>
      <t>Deslocamento ou reinstalação</t>
    </r>
    <r>
      <rPr>
        <sz val="8"/>
        <rFont val="Arial"/>
        <family val="2"/>
      </rPr>
      <t xml:space="preserve"> de armação secundária montada com
mais de 1 (um) estribo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</si>
  <si>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Corte de poste de concreto ou madeira para escora subsolo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</si>
  <si>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Escora de subsolo simples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</si>
  <si>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Escora de subsolo dupla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</si>
  <si>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de estai de âncora simples ou reforçado para AT ou BT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</si>
  <si>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estai de âncora simples ou reforçado para AT ou BT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</si>
  <si>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de estai de contraposte simples para AT ou BT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</si>
  <si>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estai de contraposte simples para AT ou BT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</si>
  <si>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de estai de poste a poste para AT ou BT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</si>
  <si>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estai de poste a poste para AT ou BT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</si>
  <si>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de estai provisório durante o lançamento e tensionamento de cabos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</si>
  <si>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de estai de âncora com haste cimentada na rocha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</si>
  <si>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estai de âncora com haste cimentada na rocha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</si>
  <si>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Retensionamento</t>
    </r>
    <r>
      <rPr>
        <sz val="8"/>
        <rFont val="Arial"/>
        <family val="2"/>
      </rPr>
      <t xml:space="preserve"> de cabo aço do estai simples ou reforçado
existente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</si>
  <si>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de dispositivo de segurança no estai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</si>
  <si>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dispositivo de segurança no estai</t>
    </r>
  </si>
  <si>
    <r>
      <rPr>
        <sz val="8"/>
        <rFont val="Arial"/>
        <family val="2"/>
      </rPr>
      <t>MONTAGEM</t>
    </r>
    <r>
      <rPr>
        <b/>
        <sz val="8"/>
        <rFont val="Arial"/>
        <family val="2"/>
      </rPr>
      <t xml:space="preserve"> - Concretagem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</si>
  <si>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concretagem</t>
    </r>
  </si>
  <si>
    <r>
      <t>MONTAGEM</t>
    </r>
    <r>
      <rPr>
        <sz val="8"/>
        <rFont val="Arial"/>
        <family val="2"/>
      </rPr>
      <t xml:space="preserve"> de sinalizador de estai de âncora</t>
    </r>
  </si>
  <si>
    <r>
      <t>Retirada</t>
    </r>
    <r>
      <rPr>
        <sz val="8"/>
        <rFont val="Arial"/>
        <family val="2"/>
      </rPr>
      <t xml:space="preserve"> de sinalizador de estai de âncora</t>
    </r>
  </si>
  <si>
    <r>
      <rPr>
        <b/>
        <sz val="8"/>
        <rFont val="Arial"/>
        <family val="2"/>
      </rPr>
      <t xml:space="preserve">MONTAGEM - </t>
    </r>
    <r>
      <rPr>
        <sz val="8"/>
        <rFont val="Arial"/>
        <family val="2"/>
      </rPr>
      <t>lançamento de cabo de alumínio de AT, até 02 AWG CA ou CAA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</si>
  <si>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de alumínio de AT, até 02 AWG CA ou CAA</t>
    </r>
  </si>
  <si>
    <r>
      <rPr>
        <b/>
        <sz val="8"/>
        <rFont val="Arial"/>
        <family val="2"/>
      </rPr>
      <t xml:space="preserve">MONTAGEM - </t>
    </r>
    <r>
      <rPr>
        <sz val="8"/>
        <rFont val="Arial"/>
        <family val="2"/>
      </rPr>
      <t>lançamento de cabo de alumínio de AT, acima 02 AWG até 2/0 AWG CA ou CAA e cabo alumínio 4/0 CA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</si>
  <si>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de alumínio de AT, acima 02 AWG até 2/0 AWG CA ou CAA e cabo alumínio 4/0 CA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</si>
  <si>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lançamento de cabo de alumínio de at, de 4/0 AWG até 336,4 mcm CAA e cabo de alumínio acima de 4/0 AWG até 336,4 mcm CA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</si>
  <si>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de alumínio de at, de 4/0 AWG até 336,4 mcm CAA e cabo de alumínio acima de 4/0 AWG até 336,4 mcm CA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</si>
  <si>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lançamento de cabo de alumínio de AT, acima 336,4 mcm CA ou CAA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</si>
  <si>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de alumínio de AT, acima 336,4 mcm CA ou CAA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</si>
  <si>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lançamento de cabo ou fio de cobre de AT, até 35 mm24/0 AWG até 336,4 mcm CA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</si>
  <si>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ou fio de cobre de AT, até 35 mm24/0 AWG até 336,4 mcm CA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</si>
  <si>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lançamento de cabo de cobre de AT, acima de 35 mm2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</si>
  <si>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de cobre de AT, acima de 35 mm2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</si>
  <si>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lançamento de cabo de AT, aço 3x2,25mm, aço-alumínio 3x10 AWG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</si>
  <si>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de AT, aço 3x2,25mm, aço-alumínio 3x10 AWG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</si>
  <si>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lançamento do fio de aço 3,09 mm de AT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</si>
  <si>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fio de aço 3,09 mm de AT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</si>
  <si>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lançamento de cabo subterrâneo de alta tensão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</si>
  <si>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subterrâneo de alta tensão</t>
    </r>
  </si>
  <si>
    <r>
      <rPr>
        <b/>
        <sz val="8"/>
        <rFont val="Arial"/>
        <family val="2"/>
      </rPr>
      <t>Retensionamento</t>
    </r>
    <r>
      <rPr>
        <sz val="8"/>
        <rFont val="Arial"/>
        <family val="2"/>
      </rPr>
      <t xml:space="preserve"> de cabos existentes em AT, </t>
    </r>
    <r>
      <rPr>
        <b/>
        <sz val="8"/>
        <rFont val="Arial"/>
        <family val="2"/>
      </rPr>
      <t>por cabo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</si>
  <si>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canaleta para proteção do cabo condutor AT / BT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</si>
  <si>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canaleta para proteção do cabo condutor AT / BT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</si>
  <si>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eletroduto para rede subterrânea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</si>
  <si>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eletroduto para rede subterrânea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</si>
  <si>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esfera de sinalaização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</si>
  <si>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esfera de sinalaização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</si>
  <si>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lançamento de cabo de alumínio de BT, até 02 AWG CA ou CAA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</si>
  <si>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de alumínio de BT, até 02 AWG CA ou CAA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</si>
  <si>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lançamento de cabo de alumínio de BT, acima 02 AWG até 2/0 AWG CA ou CAA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</si>
  <si>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cabo de alumínio de BT, acima 02 AWG até 2/0 AWG CA ou CAA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</si>
  <si>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lançamento de cabo ou fio de cobre de BT, até 35 mm2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</si>
  <si>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lançamento de cabo ou fio de cobre de BT, acima 35 mm2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</si>
  <si>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lançamento de cabo subterrâneo de baixa tensão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</si>
  <si>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espaçador de cabos em vão de baixa tensão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</si>
  <si>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</t>
    </r>
    <r>
      <rPr>
        <b/>
        <sz val="8"/>
        <rFont val="Arial"/>
        <family val="2"/>
      </rPr>
      <t>Retensionamento</t>
    </r>
    <r>
      <rPr>
        <sz val="8"/>
        <rFont val="Arial"/>
        <family val="2"/>
      </rPr>
      <t xml:space="preserve"> de cabos existentes em BT, </t>
    </r>
    <r>
      <rPr>
        <b/>
        <sz val="8"/>
        <rFont val="Arial"/>
        <family val="2"/>
      </rPr>
      <t>por cabo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</si>
  <si>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descida suplementar de proteção para aterramento de transformador de 33kv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</si>
  <si>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descida suplementar de proteção para aterramento de transformador de 33kv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</si>
  <si>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aterramento temporário para rede de BT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</si>
  <si>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aterramento temporário para rede de AT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</si>
  <si>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haste de aterramento de aço cobre, primeira haste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</si>
  <si>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haste de aterramento de aço cobre, demais hastes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</si>
  <si>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haste de aterramento de aço cobre, haste profunda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</si>
  <si>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haste de aterramento zincada para cerca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</si>
  <si>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malha de aterramento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</si>
  <si>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aplicação de produtos químicos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</si>
  <si>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instalação do aterramento temporário tipo sela</t>
    </r>
  </si>
  <si>
    <r>
      <rPr>
        <b/>
        <sz val="8"/>
        <rFont val="Arial"/>
        <family val="2"/>
      </rPr>
      <t>MONTAGEM -</t>
    </r>
    <r>
      <rPr>
        <sz val="8"/>
        <rFont val="Arial"/>
        <family val="2"/>
      </rPr>
      <t xml:space="preserve"> seccionamento de cerca, por seccionador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</si>
  <si>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seccionamento de cerca, por seccionador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</si>
  <si>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base p/ relé iluminação públ. comando grupo ou individual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</si>
  <si>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base p/ relé iluminação públ. comando grupo ou individual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</si>
  <si>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braço de iluminação pública de até 2m de comprimento, com luminária aberta ou fechada, com lâmpada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</si>
  <si>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braço de iluminação pública de até 2m de comprimento, com luminária aberta ou fechada, com lâmpada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</si>
  <si>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braço de iluminação pública acima de 2m de comprimento, com luminária aberta ou fechada, com lâmpada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</si>
  <si>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braço de iluminação pública acima de 2m de comprimento, com luminária aberta ou fechada, com lâmpada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</si>
  <si>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deslocamento de luminária montada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</si>
  <si>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luminária exceto braço para iluminação pública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</si>
  <si>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luminária tipo pétala para iluminação pública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</si>
  <si>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luminária tipo pétala para iluminação pública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</si>
  <si>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poste ornamental de aço tipo chicote simples ou duplo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</si>
  <si>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poste ornamental de aço tipo chicote simples ou duplo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</si>
  <si>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poste ornamental até 5 metros altura útil com luminária decorativa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</si>
  <si>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poste ornamental até 5 metros altura útil com luminária decorativa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</si>
  <si>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reator para lâmpada vapor de mercúrio (vmc), vapor de sódio (vsa) e vapor metálico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</si>
  <si>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reator para lâmpada vapor de mercúrio (vmc), vapor de sódio (vsa) e vapor metálico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</si>
  <si>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refletor para lâmpada incandescente, mista, vapor de mercúrio, vapor de sódio e vapor metálico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</si>
  <si>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refletor para lâmpada incandescente, mista, vapor de mercúrio, vapor de sódio e vapor metálicoberta ou fechada, com lâmpada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</si>
  <si>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reinstalação de luminária montada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</si>
  <si>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relé fotelétrico de iluminação pública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</si>
  <si>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relé fotelétrico de iluminação pública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</si>
  <si>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substituição de lâmpada de iluminação pública</t>
    </r>
  </si>
  <si>
    <r>
      <rPr>
        <b/>
        <sz val="8"/>
        <rFont val="Arial"/>
        <family val="2"/>
      </rPr>
      <t>MONTAGEM</t>
    </r>
    <r>
      <rPr>
        <sz val="8"/>
        <rFont val="Arial"/>
        <family val="2"/>
      </rPr>
      <t xml:space="preserve"> - caixa de proteção padrão copel, tipo a ou b para iluminação pública</t>
    </r>
  </si>
  <si>
    <r>
      <rPr>
        <b/>
        <sz val="8"/>
        <rFont val="Arial"/>
        <family val="2"/>
      </rPr>
      <t>Retirada</t>
    </r>
    <r>
      <rPr>
        <sz val="8"/>
        <rFont val="Arial"/>
        <family val="2"/>
      </rPr>
      <t xml:space="preserve"> de caixa de proteção padrão copel, tipo a ou b para iluminação pública</t>
    </r>
  </si>
  <si>
    <t>&lt; Na célula R2 preencha o valor do repasse. A contrapartida será calculada automaticamente.</t>
  </si>
  <si>
    <t>&lt; Na célula D6 (em amarelo) preencha o número de meses do cronograma. Caso seu cronograma seja maior que 12 meses, comunicar o Supervisor do Paranacidade.</t>
  </si>
  <si>
    <t>&lt; Nas células indicadas em verde, preencha as % de execução dos grandes itens de cada mês do cronograma proposto.</t>
  </si>
  <si>
    <t xml:space="preserve">                             Cartilha</t>
  </si>
  <si>
    <t>BDI (%) - MATERIAIS</t>
  </si>
  <si>
    <t>ORÇAMENTO APROVADO</t>
  </si>
  <si>
    <t xml:space="preserve">                                                                                                           </t>
  </si>
  <si>
    <t xml:space="preserve">                           </t>
  </si>
  <si>
    <t>Arquivo</t>
  </si>
  <si>
    <t>ANEXO</t>
  </si>
  <si>
    <t>PAI-17</t>
  </si>
  <si>
    <t>composição</t>
  </si>
  <si>
    <t>UN</t>
  </si>
  <si>
    <t>PAV-003</t>
  </si>
  <si>
    <t>PAV-005</t>
  </si>
  <si>
    <t>CBUQ - REMENDO (MECÂNICO)</t>
  </si>
  <si>
    <t>Fornecimento de CAP SBS(60/85) - CBUQ c/ asfalto modificado p/ polímero</t>
  </si>
  <si>
    <t>Concreto compactado a rolo Fck= 15MPa</t>
  </si>
  <si>
    <t>Concreto compactado a rolo Fck= 5MPa</t>
  </si>
  <si>
    <t>Concreto magro usinado, espalhamento manual</t>
  </si>
  <si>
    <t>Cura química de pavimento de concreto</t>
  </si>
  <si>
    <t>Cura úmida de pavimento de concreto com manta de cura</t>
  </si>
  <si>
    <t>Forma metálica para pavimento</t>
  </si>
  <si>
    <t>Fornecimento e aplicação de fibra de polipropileno multifilamentos (0,600kg/ m³)</t>
  </si>
  <si>
    <t>Fornecimento e aplicação de lona plástica preta 200 micras</t>
  </si>
  <si>
    <t>Fornecimento e colocação de aço CA 50 para apoio de barra de transferência</t>
  </si>
  <si>
    <t>Fornecimento e colocação de aço CA 50 para barras de ligação</t>
  </si>
  <si>
    <t>Fornecimento e colocação de aço CA-25 para barra de transferência ø= 20mm</t>
  </si>
  <si>
    <t>Fornecimento e colocação de aço CA-25 para barra de transferência ø= 25mm</t>
  </si>
  <si>
    <t>Fornecimento e colocação de aço CA-25 para barra de transferência ø= 32mm</t>
  </si>
  <si>
    <t>Fornecimento e colocação de Tela Telcon Q-138 ou equivalente</t>
  </si>
  <si>
    <t>Junta de construção com isopor, selante a base de silicone e cordão de polipropileno</t>
  </si>
  <si>
    <t>Junta longitudinal, inclusive corte, selante a base de silicone e cordão de polipropileno</t>
  </si>
  <si>
    <t>Junta transversal , inclusive corte, selante a base de silicone e cordão de polipropileno</t>
  </si>
  <si>
    <t>Pavimento de concreto de cimento Portland Fctmk = 4,5 MPa executado com pavimentadora</t>
  </si>
  <si>
    <t>Pavimento de concreto Fctmk=4,50MPa executado com régua vibratória</t>
  </si>
  <si>
    <t>EXECUÇÃO DE PAVIMENTO DE CONCRETO ARMADO (PCA), FCK = 30 MPA, ESPESSURA DE 15,0 CM. AF_04/2022</t>
  </si>
  <si>
    <t>EXECUÇÃO DE PAVIMENTO DE CONCRETO ARMADO (PCA), FCK = 30 MPA, ESPESSURA DE 17,5 CM. AF_04/2022</t>
  </si>
  <si>
    <t>602000A</t>
  </si>
  <si>
    <t>Formas de madeira comum</t>
  </si>
  <si>
    <t>SERVIÇOS EXTRAS - URBANISMO DO PASSEIO</t>
  </si>
  <si>
    <t>PINI 11/2021</t>
  </si>
  <si>
    <t>LUMINÁRIA TIPO PLAFON CIRCULAR, DE SOBREPOR, COM LED DE 12/13 W - FORNECIMENTO E INSTALAÇÃO. AF_03/2022</t>
  </si>
  <si>
    <t>M2</t>
  </si>
  <si>
    <t>602000B</t>
  </si>
  <si>
    <t>602000C</t>
  </si>
  <si>
    <t>'</t>
  </si>
  <si>
    <r>
      <rPr>
        <b/>
        <sz val="8"/>
        <rFont val="Arial"/>
        <family val="2"/>
      </rPr>
      <t>CBUQ - CAPA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Traço 1</t>
    </r>
    <r>
      <rPr>
        <sz val="8"/>
        <rFont val="Arial"/>
        <family val="2"/>
      </rPr>
      <t xml:space="preserve"> (Quantidade menor que 10000 toneladas)</t>
    </r>
  </si>
  <si>
    <r>
      <rPr>
        <b/>
        <sz val="8"/>
        <rFont val="Arial"/>
        <family val="2"/>
      </rPr>
      <t>CBUQ - CAPA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Traço 2</t>
    </r>
    <r>
      <rPr>
        <sz val="8"/>
        <rFont val="Arial"/>
        <family val="2"/>
      </rPr>
      <t xml:space="preserve"> (Quantidade menor que 10000 toneladas)</t>
    </r>
  </si>
  <si>
    <r>
      <rPr>
        <b/>
        <sz val="8"/>
        <rFont val="Arial"/>
        <family val="2"/>
      </rPr>
      <t>CBUQ - CAPA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Traço 3</t>
    </r>
    <r>
      <rPr>
        <sz val="8"/>
        <rFont val="Arial"/>
        <family val="2"/>
      </rPr>
      <t xml:space="preserve"> (Quantidade menor que 10000 toneladas)</t>
    </r>
  </si>
  <si>
    <r>
      <rPr>
        <b/>
        <sz val="8"/>
        <rFont val="Arial"/>
        <family val="2"/>
      </rPr>
      <t xml:space="preserve">CBUQ - CAPA Traço 1 </t>
    </r>
    <r>
      <rPr>
        <sz val="8"/>
        <rFont val="Arial"/>
        <family val="2"/>
      </rPr>
      <t>(Quantidade maior que 10000 toneladas)</t>
    </r>
  </si>
  <si>
    <r>
      <rPr>
        <b/>
        <sz val="8"/>
        <rFont val="Arial"/>
        <family val="2"/>
      </rPr>
      <t xml:space="preserve">CBUQ - CAPA Traço 2 </t>
    </r>
    <r>
      <rPr>
        <sz val="8"/>
        <rFont val="Arial"/>
        <family val="2"/>
      </rPr>
      <t>(Quantidade maior que 10000 toneladas)</t>
    </r>
  </si>
  <si>
    <r>
      <rPr>
        <b/>
        <sz val="8"/>
        <rFont val="Arial"/>
        <family val="2"/>
      </rPr>
      <t xml:space="preserve">CBUQ - CAPA Traço 3 </t>
    </r>
    <r>
      <rPr>
        <sz val="8"/>
        <rFont val="Arial"/>
        <family val="2"/>
      </rPr>
      <t>(Quantidade maior que 10000 toneladas)</t>
    </r>
  </si>
  <si>
    <t>Insumos Outubro 2022</t>
  </si>
  <si>
    <t>DER Agosto 2022</t>
  </si>
  <si>
    <t>SECRETARIA DE ESTADO DAS CIDADES - SECID</t>
  </si>
  <si>
    <t>BOM SUCESSO DO SUL</t>
  </si>
  <si>
    <t>38</t>
  </si>
  <si>
    <t>Recape Asfáltico em CBUQ</t>
  </si>
  <si>
    <t>Vias urbanas na sede do município</t>
  </si>
  <si>
    <t>Fornecimento e assentamento de piso tátil de concreto alerta/direcional 20x20cm</t>
  </si>
  <si>
    <t>834908</t>
  </si>
  <si>
    <t>Avenida Padre Ivo Zolett</t>
  </si>
  <si>
    <t>Rua João Nunes de Oliveira</t>
  </si>
  <si>
    <t>Rua Laudomiro Preclhak</t>
  </si>
  <si>
    <t>Pavimentação Asfáltica em CBUQ (Concreto Betuminoso Usinado a Quente)</t>
  </si>
  <si>
    <t>tonelada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</si>
</sst>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&quot;R$&quot;#,##0.00_);\(&quot;R$&quot;#,##0.00\)"/>
    <numFmt numFmtId="166" formatCode="0.000"/>
    <numFmt numFmtId="167" formatCode="0.0000"/>
    <numFmt numFmtId="168" formatCode="0.0%"/>
    <numFmt numFmtId="169" formatCode="d/m/yy;@"/>
    <numFmt numFmtId="170" formatCode="#,##0.00\ &quot;m2&quot;"/>
    <numFmt numFmtId="171" formatCode="#,##0_ ;[Red]\-#,##0\ "/>
  </numFmts>
  <fonts count="55" x14ac:knownFonts="1">
    <font>
      <sz val="8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6"/>
      <color theme="1"/>
      <name val="Arial"/>
      <family val="2"/>
    </font>
    <font>
      <sz val="8"/>
      <color indexed="81"/>
      <name val="Segoe UI"/>
      <family val="2"/>
    </font>
    <font>
      <b/>
      <sz val="8"/>
      <color indexed="81"/>
      <name val="Segoe UI"/>
      <family val="2"/>
    </font>
    <font>
      <sz val="10"/>
      <name val="MS Sans Serif"/>
    </font>
    <font>
      <b/>
      <sz val="16"/>
      <name val="Arial"/>
      <family val="2"/>
    </font>
    <font>
      <sz val="8"/>
      <name val="MS Sans Serif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81"/>
      <name val="Segoe UI"/>
      <family val="2"/>
    </font>
    <font>
      <sz val="14"/>
      <color theme="3" tint="0.39997558519241921"/>
      <name val="Arial"/>
      <family val="2"/>
    </font>
    <font>
      <b/>
      <sz val="10"/>
      <name val="MS Sans Serif"/>
    </font>
    <font>
      <b/>
      <sz val="8"/>
      <name val="MS Sans Serif"/>
    </font>
    <font>
      <sz val="10"/>
      <name val="Algerian"/>
      <family val="5"/>
    </font>
    <font>
      <b/>
      <sz val="2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color indexed="9"/>
      <name val="Times New Roman"/>
      <family val="1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4"/>
      <color rgb="FF0000FF"/>
      <name val="Arial"/>
      <family val="2"/>
    </font>
    <font>
      <sz val="14"/>
      <color rgb="FF0000FF"/>
      <name val="Arial"/>
      <family val="2"/>
    </font>
    <font>
      <b/>
      <sz val="10"/>
      <color rgb="FFFF0000"/>
      <name val="MS Sans Serif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sz val="11"/>
      <color theme="3" tint="0.39997558519241921"/>
      <name val="Arial"/>
      <family val="2"/>
    </font>
    <font>
      <sz val="8"/>
      <color indexed="9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16"/>
      <color indexed="9"/>
      <name val="Arial"/>
      <family val="2"/>
    </font>
    <font>
      <sz val="16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6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dashDotDot">
        <color auto="1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ashDotDot">
        <color indexed="64"/>
      </right>
      <top style="medium">
        <color indexed="64"/>
      </top>
      <bottom style="thin">
        <color indexed="64"/>
      </bottom>
      <diagonal/>
    </border>
    <border>
      <left style="dashDot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dashDotDot">
        <color indexed="64"/>
      </right>
      <top style="medium">
        <color indexed="64"/>
      </top>
      <bottom/>
      <diagonal/>
    </border>
    <border>
      <left/>
      <right style="dashDotDot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dashDotDot">
        <color auto="1"/>
      </bottom>
      <diagonal/>
    </border>
    <border>
      <left/>
      <right/>
      <top style="hair">
        <color indexed="64"/>
      </top>
      <bottom style="dashDotDot">
        <color auto="1"/>
      </bottom>
      <diagonal/>
    </border>
    <border>
      <left/>
      <right style="hair">
        <color indexed="64"/>
      </right>
      <top style="hair">
        <color indexed="64"/>
      </top>
      <bottom style="dashDotDot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8">
    <xf numFmtId="0" fontId="0" fillId="0" borderId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7" fillId="0" borderId="0"/>
    <xf numFmtId="0" fontId="20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</cellStyleXfs>
  <cellXfs count="837">
    <xf numFmtId="0" fontId="0" fillId="0" borderId="0" xfId="0"/>
    <xf numFmtId="0" fontId="2" fillId="2" borderId="9" xfId="0" applyFont="1" applyFill="1" applyBorder="1" applyAlignment="1">
      <alignment horizontal="left"/>
    </xf>
    <xf numFmtId="1" fontId="7" fillId="2" borderId="7" xfId="1" applyNumberFormat="1" applyFont="1" applyFill="1" applyBorder="1" applyAlignment="1">
      <alignment horizontal="center"/>
    </xf>
    <xf numFmtId="49" fontId="12" fillId="0" borderId="26" xfId="4" applyNumberFormat="1" applyFont="1" applyBorder="1" applyAlignment="1">
      <alignment horizontal="centerContinuous" vertical="center"/>
    </xf>
    <xf numFmtId="0" fontId="2" fillId="2" borderId="8" xfId="0" applyFont="1" applyFill="1" applyBorder="1" applyAlignment="1">
      <alignment horizontal="left"/>
    </xf>
    <xf numFmtId="1" fontId="7" fillId="2" borderId="6" xfId="1" applyNumberFormat="1" applyFont="1" applyFill="1" applyBorder="1" applyAlignment="1">
      <alignment horizontal="center"/>
    </xf>
    <xf numFmtId="2" fontId="6" fillId="2" borderId="0" xfId="0" applyNumberFormat="1" applyFont="1" applyFill="1" applyAlignment="1">
      <alignment horizontal="center"/>
    </xf>
    <xf numFmtId="166" fontId="6" fillId="2" borderId="0" xfId="0" applyNumberFormat="1" applyFont="1" applyFill="1" applyAlignment="1">
      <alignment horizontal="center"/>
    </xf>
    <xf numFmtId="2" fontId="7" fillId="2" borderId="0" xfId="0" applyNumberFormat="1" applyFont="1" applyFill="1" applyAlignment="1">
      <alignment horizontal="center"/>
    </xf>
    <xf numFmtId="0" fontId="7" fillId="2" borderId="0" xfId="0" applyFont="1" applyFill="1"/>
    <xf numFmtId="0" fontId="7" fillId="2" borderId="0" xfId="0" applyFont="1" applyFill="1" applyAlignment="1">
      <alignment horizontal="center"/>
    </xf>
    <xf numFmtId="0" fontId="4" fillId="0" borderId="0" xfId="13" applyProtection="1">
      <protection locked="0"/>
    </xf>
    <xf numFmtId="0" fontId="6" fillId="2" borderId="8" xfId="0" applyFont="1" applyFill="1" applyBorder="1" applyAlignment="1">
      <alignment horizontal="left"/>
    </xf>
    <xf numFmtId="0" fontId="6" fillId="2" borderId="9" xfId="0" applyFont="1" applyFill="1" applyBorder="1" applyAlignment="1">
      <alignment horizontal="left"/>
    </xf>
    <xf numFmtId="167" fontId="7" fillId="2" borderId="6" xfId="1" applyNumberFormat="1" applyFont="1" applyFill="1" applyBorder="1" applyAlignment="1">
      <alignment horizontal="center"/>
    </xf>
    <xf numFmtId="0" fontId="0" fillId="2" borderId="0" xfId="0" applyFill="1"/>
    <xf numFmtId="49" fontId="14" fillId="0" borderId="3" xfId="4" applyNumberFormat="1" applyFont="1" applyBorder="1" applyAlignment="1">
      <alignment horizontal="centerContinuous" vertical="center"/>
    </xf>
    <xf numFmtId="0" fontId="29" fillId="0" borderId="86" xfId="13" applyFont="1" applyBorder="1" applyAlignment="1">
      <alignment horizontal="center"/>
    </xf>
    <xf numFmtId="1" fontId="29" fillId="0" borderId="87" xfId="13" applyNumberFormat="1" applyFont="1" applyBorder="1" applyAlignment="1">
      <alignment horizontal="center"/>
    </xf>
    <xf numFmtId="0" fontId="30" fillId="0" borderId="88" xfId="13" applyFont="1" applyBorder="1"/>
    <xf numFmtId="0" fontId="29" fillId="0" borderId="88" xfId="13" applyFont="1" applyBorder="1" applyAlignment="1">
      <alignment textRotation="180"/>
    </xf>
    <xf numFmtId="169" fontId="30" fillId="0" borderId="89" xfId="13" applyNumberFormat="1" applyFont="1" applyBorder="1" applyAlignment="1">
      <alignment horizontal="center"/>
    </xf>
    <xf numFmtId="1" fontId="31" fillId="0" borderId="90" xfId="13" applyNumberFormat="1" applyFont="1" applyBorder="1" applyAlignment="1">
      <alignment horizontal="center"/>
    </xf>
    <xf numFmtId="49" fontId="31" fillId="0" borderId="91" xfId="13" applyNumberFormat="1" applyFont="1" applyBorder="1" applyAlignment="1">
      <alignment horizontal="center"/>
    </xf>
    <xf numFmtId="49" fontId="31" fillId="0" borderId="43" xfId="13" applyNumberFormat="1" applyFont="1" applyBorder="1" applyAlignment="1">
      <alignment horizontal="left"/>
    </xf>
    <xf numFmtId="0" fontId="32" fillId="0" borderId="6" xfId="13" applyFont="1" applyBorder="1"/>
    <xf numFmtId="0" fontId="31" fillId="0" borderId="43" xfId="13" applyFont="1" applyBorder="1" applyAlignment="1">
      <alignment horizontal="center"/>
    </xf>
    <xf numFmtId="0" fontId="31" fillId="0" borderId="29" xfId="13" applyFont="1" applyBorder="1" applyAlignment="1">
      <alignment horizontal="center"/>
    </xf>
    <xf numFmtId="1" fontId="31" fillId="0" borderId="6" xfId="13" applyNumberFormat="1" applyFont="1" applyBorder="1" applyAlignment="1">
      <alignment horizontal="center"/>
    </xf>
    <xf numFmtId="49" fontId="31" fillId="0" borderId="43" xfId="13" applyNumberFormat="1" applyFont="1" applyBorder="1" applyAlignment="1">
      <alignment horizontal="center"/>
    </xf>
    <xf numFmtId="0" fontId="31" fillId="0" borderId="6" xfId="13" applyFont="1" applyBorder="1" applyAlignment="1">
      <alignment horizontal="center"/>
    </xf>
    <xf numFmtId="0" fontId="31" fillId="0" borderId="41" xfId="13" applyFont="1" applyBorder="1" applyAlignment="1">
      <alignment horizontal="center"/>
    </xf>
    <xf numFmtId="0" fontId="29" fillId="0" borderId="92" xfId="13" applyFont="1" applyBorder="1" applyAlignment="1">
      <alignment horizontal="center"/>
    </xf>
    <xf numFmtId="1" fontId="29" fillId="0" borderId="93" xfId="13" applyNumberFormat="1" applyFont="1" applyBorder="1" applyAlignment="1">
      <alignment horizontal="center"/>
    </xf>
    <xf numFmtId="0" fontId="30" fillId="0" borderId="94" xfId="13" applyFont="1" applyBorder="1"/>
    <xf numFmtId="0" fontId="29" fillId="0" borderId="94" xfId="13" applyFont="1" applyBorder="1" applyAlignment="1">
      <alignment textRotation="180"/>
    </xf>
    <xf numFmtId="1" fontId="31" fillId="0" borderId="95" xfId="13" applyNumberFormat="1" applyFont="1" applyBorder="1" applyAlignment="1">
      <alignment horizontal="center"/>
    </xf>
    <xf numFmtId="1" fontId="31" fillId="0" borderId="33" xfId="13" applyNumberFormat="1" applyFont="1" applyBorder="1" applyAlignment="1">
      <alignment horizontal="center"/>
    </xf>
    <xf numFmtId="4" fontId="2" fillId="13" borderId="100" xfId="13" applyNumberFormat="1" applyFont="1" applyFill="1" applyBorder="1" applyAlignment="1" applyProtection="1">
      <alignment horizontal="center"/>
      <protection locked="0"/>
    </xf>
    <xf numFmtId="10" fontId="2" fillId="0" borderId="101" xfId="16" applyNumberFormat="1" applyFont="1" applyFill="1" applyBorder="1" applyAlignment="1" applyProtection="1">
      <alignment horizontal="center"/>
    </xf>
    <xf numFmtId="14" fontId="2" fillId="0" borderId="82" xfId="13" applyNumberFormat="1" applyFont="1" applyBorder="1" applyAlignment="1" applyProtection="1">
      <alignment horizontal="center"/>
      <protection locked="0"/>
    </xf>
    <xf numFmtId="1" fontId="2" fillId="13" borderId="82" xfId="13" applyNumberFormat="1" applyFont="1" applyFill="1" applyBorder="1" applyAlignment="1" applyProtection="1">
      <alignment horizontal="center"/>
      <protection locked="0"/>
    </xf>
    <xf numFmtId="4" fontId="2" fillId="13" borderId="107" xfId="13" applyNumberFormat="1" applyFont="1" applyFill="1" applyBorder="1" applyAlignment="1" applyProtection="1">
      <alignment horizontal="center"/>
      <protection locked="0"/>
    </xf>
    <xf numFmtId="10" fontId="2" fillId="0" borderId="108" xfId="16" applyNumberFormat="1" applyFont="1" applyFill="1" applyBorder="1" applyAlignment="1" applyProtection="1">
      <alignment horizontal="center"/>
    </xf>
    <xf numFmtId="10" fontId="3" fillId="0" borderId="113" xfId="16" applyNumberFormat="1" applyFont="1" applyFill="1" applyBorder="1" applyProtection="1"/>
    <xf numFmtId="10" fontId="3" fillId="3" borderId="32" xfId="16" applyNumberFormat="1" applyFont="1" applyFill="1" applyBorder="1" applyProtection="1"/>
    <xf numFmtId="9" fontId="3" fillId="3" borderId="51" xfId="16" applyFont="1" applyFill="1" applyBorder="1" applyProtection="1"/>
    <xf numFmtId="10" fontId="3" fillId="3" borderId="44" xfId="16" applyNumberFormat="1" applyFont="1" applyFill="1" applyBorder="1" applyProtection="1"/>
    <xf numFmtId="9" fontId="3" fillId="3" borderId="52" xfId="16" applyFont="1" applyFill="1" applyBorder="1" applyProtection="1"/>
    <xf numFmtId="10" fontId="33" fillId="3" borderId="142" xfId="16" applyNumberFormat="1" applyFont="1" applyFill="1" applyBorder="1" applyProtection="1"/>
    <xf numFmtId="10" fontId="33" fillId="3" borderId="144" xfId="16" applyNumberFormat="1" applyFont="1" applyFill="1" applyBorder="1" applyProtection="1"/>
    <xf numFmtId="10" fontId="33" fillId="3" borderId="146" xfId="16" applyNumberFormat="1" applyFont="1" applyFill="1" applyBorder="1" applyProtection="1"/>
    <xf numFmtId="10" fontId="33" fillId="3" borderId="147" xfId="16" applyNumberFormat="1" applyFont="1" applyFill="1" applyBorder="1" applyProtection="1"/>
    <xf numFmtId="10" fontId="33" fillId="3" borderId="133" xfId="16" applyNumberFormat="1" applyFont="1" applyFill="1" applyBorder="1" applyProtection="1"/>
    <xf numFmtId="10" fontId="33" fillId="3" borderId="0" xfId="16" applyNumberFormat="1" applyFont="1" applyFill="1" applyBorder="1" applyProtection="1"/>
    <xf numFmtId="10" fontId="34" fillId="13" borderId="150" xfId="16" applyNumberFormat="1" applyFont="1" applyFill="1" applyBorder="1" applyAlignment="1" applyProtection="1">
      <alignment horizontal="center"/>
    </xf>
    <xf numFmtId="0" fontId="5" fillId="13" borderId="12" xfId="13" applyFont="1" applyFill="1" applyBorder="1" applyAlignment="1" applyProtection="1">
      <alignment horizontal="left" vertical="top"/>
      <protection locked="0"/>
    </xf>
    <xf numFmtId="0" fontId="5" fillId="13" borderId="10" xfId="13" applyFont="1" applyFill="1" applyBorder="1" applyProtection="1">
      <protection locked="0"/>
    </xf>
    <xf numFmtId="0" fontId="5" fillId="13" borderId="151" xfId="13" applyFont="1" applyFill="1" applyBorder="1" applyProtection="1">
      <protection locked="0"/>
    </xf>
    <xf numFmtId="0" fontId="5" fillId="13" borderId="10" xfId="13" applyFont="1" applyFill="1" applyBorder="1" applyAlignment="1" applyProtection="1">
      <alignment horizontal="left" vertical="top"/>
      <protection locked="0"/>
    </xf>
    <xf numFmtId="0" fontId="5" fillId="13" borderId="10" xfId="13" applyFont="1" applyFill="1" applyBorder="1" applyAlignment="1" applyProtection="1">
      <alignment horizontal="centerContinuous" vertical="center"/>
      <protection locked="0"/>
    </xf>
    <xf numFmtId="0" fontId="5" fillId="13" borderId="13" xfId="13" applyFont="1" applyFill="1" applyBorder="1" applyAlignment="1" applyProtection="1">
      <alignment horizontal="centerContinuous" vertical="center"/>
      <protection locked="0"/>
    </xf>
    <xf numFmtId="14" fontId="5" fillId="13" borderId="11" xfId="13" applyNumberFormat="1" applyFont="1" applyFill="1" applyBorder="1" applyAlignment="1" applyProtection="1">
      <alignment horizontal="center" vertical="center"/>
      <protection locked="0"/>
    </xf>
    <xf numFmtId="49" fontId="5" fillId="3" borderId="47" xfId="4" applyNumberFormat="1" applyFont="1" applyFill="1" applyBorder="1" applyAlignment="1">
      <alignment horizontal="left" vertical="center"/>
    </xf>
    <xf numFmtId="49" fontId="5" fillId="3" borderId="53" xfId="4" applyNumberFormat="1" applyFont="1" applyFill="1" applyBorder="1" applyAlignment="1">
      <alignment horizontal="left" vertical="center"/>
    </xf>
    <xf numFmtId="49" fontId="5" fillId="0" borderId="45" xfId="4" applyNumberFormat="1" applyFont="1" applyBorder="1" applyAlignment="1">
      <alignment horizontal="center" vertical="center"/>
    </xf>
    <xf numFmtId="0" fontId="10" fillId="0" borderId="10" xfId="4" applyFont="1" applyBorder="1" applyAlignment="1">
      <alignment vertical="center"/>
    </xf>
    <xf numFmtId="4" fontId="5" fillId="0" borderId="13" xfId="1" applyNumberFormat="1" applyFont="1" applyBorder="1" applyAlignment="1">
      <alignment vertical="center"/>
    </xf>
    <xf numFmtId="4" fontId="5" fillId="4" borderId="35" xfId="1" applyNumberFormat="1" applyFont="1" applyFill="1" applyBorder="1" applyAlignment="1">
      <alignment vertical="center"/>
    </xf>
    <xf numFmtId="49" fontId="5" fillId="0" borderId="2" xfId="4" applyNumberFormat="1" applyFont="1" applyBorder="1" applyAlignment="1">
      <alignment horizontal="center" vertical="center"/>
    </xf>
    <xf numFmtId="0" fontId="10" fillId="0" borderId="26" xfId="4" applyFont="1" applyBorder="1" applyAlignment="1">
      <alignment vertical="center"/>
    </xf>
    <xf numFmtId="4" fontId="5" fillId="0" borderId="35" xfId="1" applyNumberFormat="1" applyFont="1" applyBorder="1" applyAlignment="1">
      <alignment vertical="center"/>
    </xf>
    <xf numFmtId="0" fontId="10" fillId="0" borderId="0" xfId="4" applyFont="1" applyAlignment="1">
      <alignment vertical="center"/>
    </xf>
    <xf numFmtId="0" fontId="10" fillId="0" borderId="11" xfId="4" applyFont="1" applyBorder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2" fontId="6" fillId="0" borderId="6" xfId="1" applyNumberFormat="1" applyFont="1" applyBorder="1" applyAlignment="1">
      <alignment horizontal="center" wrapText="1"/>
    </xf>
    <xf numFmtId="2" fontId="6" fillId="0" borderId="0" xfId="1" applyNumberFormat="1" applyFont="1" applyAlignment="1">
      <alignment horizontal="center" wrapText="1"/>
    </xf>
    <xf numFmtId="0" fontId="6" fillId="0" borderId="27" xfId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6" xfId="1" applyFont="1" applyBorder="1" applyAlignment="1">
      <alignment horizontal="center"/>
    </xf>
    <xf numFmtId="2" fontId="6" fillId="0" borderId="6" xfId="1" applyNumberFormat="1" applyFont="1" applyBorder="1" applyAlignment="1">
      <alignment horizontal="center"/>
    </xf>
    <xf numFmtId="0" fontId="6" fillId="0" borderId="6" xfId="1" applyFont="1" applyBorder="1" applyAlignment="1">
      <alignment horizontal="center" wrapText="1"/>
    </xf>
    <xf numFmtId="0" fontId="7" fillId="0" borderId="27" xfId="0" applyFont="1" applyBorder="1" applyAlignment="1">
      <alignment horizontal="center" wrapText="1"/>
    </xf>
    <xf numFmtId="0" fontId="6" fillId="0" borderId="6" xfId="0" applyFont="1" applyBorder="1" applyAlignment="1">
      <alignment horizontal="center" textRotation="180" wrapText="1"/>
    </xf>
    <xf numFmtId="0" fontId="6" fillId="0" borderId="7" xfId="0" applyFont="1" applyBorder="1" applyAlignment="1">
      <alignment horizontal="center"/>
    </xf>
    <xf numFmtId="0" fontId="6" fillId="0" borderId="6" xfId="0" applyFont="1" applyBorder="1" applyAlignment="1">
      <alignment horizontal="center" wrapText="1"/>
    </xf>
    <xf numFmtId="0" fontId="6" fillId="0" borderId="6" xfId="0" applyFont="1" applyBorder="1" applyAlignment="1">
      <alignment wrapText="1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167" fontId="7" fillId="0" borderId="6" xfId="1" applyNumberFormat="1" applyFont="1" applyBorder="1" applyAlignment="1">
      <alignment horizontal="center"/>
    </xf>
    <xf numFmtId="2" fontId="6" fillId="0" borderId="8" xfId="1" applyNumberFormat="1" applyFont="1" applyBorder="1" applyAlignment="1">
      <alignment horizontal="center"/>
    </xf>
    <xf numFmtId="2" fontId="7" fillId="0" borderId="0" xfId="0" applyNumberFormat="1" applyFont="1" applyAlignment="1">
      <alignment horizontal="center"/>
    </xf>
    <xf numFmtId="1" fontId="7" fillId="0" borderId="6" xfId="1" applyNumberFormat="1" applyFont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0" fontId="2" fillId="0" borderId="9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7" fillId="0" borderId="0" xfId="1" applyFont="1"/>
    <xf numFmtId="0" fontId="4" fillId="0" borderId="0" xfId="1"/>
    <xf numFmtId="0" fontId="4" fillId="0" borderId="0" xfId="1" applyAlignment="1">
      <alignment horizontal="center"/>
    </xf>
    <xf numFmtId="0" fontId="5" fillId="0" borderId="0" xfId="1" applyFont="1"/>
    <xf numFmtId="2" fontId="22" fillId="7" borderId="33" xfId="6" applyNumberFormat="1" applyFont="1" applyFill="1" applyBorder="1" applyAlignment="1" applyProtection="1">
      <alignment horizontal="center" vertical="center"/>
      <protection locked="0"/>
    </xf>
    <xf numFmtId="2" fontId="22" fillId="7" borderId="49" xfId="6" applyNumberFormat="1" applyFont="1" applyFill="1" applyBorder="1" applyAlignment="1" applyProtection="1">
      <alignment horizontal="center" vertical="center"/>
      <protection locked="0"/>
    </xf>
    <xf numFmtId="164" fontId="17" fillId="0" borderId="0" xfId="3" applyFont="1" applyFill="1" applyAlignment="1" applyProtection="1">
      <alignment vertical="center"/>
    </xf>
    <xf numFmtId="2" fontId="22" fillId="7" borderId="30" xfId="6" applyNumberFormat="1" applyFont="1" applyFill="1" applyBorder="1" applyAlignment="1" applyProtection="1">
      <alignment horizontal="center" vertical="center"/>
      <protection locked="0"/>
    </xf>
    <xf numFmtId="2" fontId="22" fillId="7" borderId="51" xfId="6" applyNumberFormat="1" applyFont="1" applyFill="1" applyBorder="1" applyAlignment="1" applyProtection="1">
      <alignment horizontal="center" vertical="center"/>
      <protection locked="0"/>
    </xf>
    <xf numFmtId="2" fontId="22" fillId="7" borderId="25" xfId="6" applyNumberFormat="1" applyFont="1" applyFill="1" applyBorder="1" applyAlignment="1" applyProtection="1">
      <alignment horizontal="center" vertical="center"/>
      <protection locked="0"/>
    </xf>
    <xf numFmtId="2" fontId="22" fillId="7" borderId="73" xfId="6" applyNumberFormat="1" applyFont="1" applyFill="1" applyBorder="1" applyAlignment="1" applyProtection="1">
      <alignment horizontal="center" vertical="center"/>
      <protection locked="0"/>
    </xf>
    <xf numFmtId="164" fontId="41" fillId="7" borderId="27" xfId="3" applyFont="1" applyFill="1" applyBorder="1" applyAlignment="1" applyProtection="1">
      <alignment horizontal="right" vertical="center"/>
      <protection locked="0"/>
    </xf>
    <xf numFmtId="0" fontId="4" fillId="13" borderId="10" xfId="13" applyFill="1" applyBorder="1" applyProtection="1">
      <protection locked="0"/>
    </xf>
    <xf numFmtId="0" fontId="4" fillId="13" borderId="13" xfId="13" applyFill="1" applyBorder="1" applyProtection="1">
      <protection locked="0"/>
    </xf>
    <xf numFmtId="0" fontId="4" fillId="13" borderId="16" xfId="13" applyFill="1" applyBorder="1" applyAlignment="1" applyProtection="1">
      <alignment horizontal="centerContinuous" vertical="center" wrapText="1"/>
      <protection locked="0"/>
    </xf>
    <xf numFmtId="0" fontId="4" fillId="13" borderId="11" xfId="13" applyFill="1" applyBorder="1" applyProtection="1">
      <protection locked="0"/>
    </xf>
    <xf numFmtId="0" fontId="4" fillId="13" borderId="152" xfId="13" applyFill="1" applyBorder="1" applyProtection="1">
      <protection locked="0"/>
    </xf>
    <xf numFmtId="0" fontId="4" fillId="13" borderId="11" xfId="13" applyFill="1" applyBorder="1" applyAlignment="1" applyProtection="1">
      <alignment horizontal="centerContinuous" vertical="center" wrapText="1"/>
      <protection locked="0"/>
    </xf>
    <xf numFmtId="0" fontId="4" fillId="13" borderId="11" xfId="13" applyFill="1" applyBorder="1" applyAlignment="1" applyProtection="1">
      <alignment horizontal="left" vertical="center"/>
      <protection locked="0"/>
    </xf>
    <xf numFmtId="0" fontId="4" fillId="13" borderId="17" xfId="13" applyFill="1" applyBorder="1" applyAlignment="1" applyProtection="1">
      <alignment horizontal="centerContinuous" vertical="center"/>
      <protection locked="0"/>
    </xf>
    <xf numFmtId="17" fontId="4" fillId="13" borderId="11" xfId="13" applyNumberFormat="1" applyFill="1" applyBorder="1" applyAlignment="1" applyProtection="1">
      <alignment horizontal="center" vertical="center"/>
      <protection locked="0"/>
    </xf>
    <xf numFmtId="17" fontId="4" fillId="13" borderId="17" xfId="13" applyNumberFormat="1" applyFill="1" applyBorder="1" applyAlignment="1" applyProtection="1">
      <alignment horizontal="center" vertical="center"/>
      <protection locked="0"/>
    </xf>
    <xf numFmtId="2" fontId="7" fillId="14" borderId="0" xfId="0" applyNumberFormat="1" applyFont="1" applyFill="1" applyAlignment="1">
      <alignment horizontal="center"/>
    </xf>
    <xf numFmtId="0" fontId="7" fillId="14" borderId="0" xfId="0" applyFont="1" applyFill="1"/>
    <xf numFmtId="0" fontId="10" fillId="0" borderId="11" xfId="4" applyFont="1" applyBorder="1" applyAlignment="1">
      <alignment vertical="top" wrapText="1"/>
    </xf>
    <xf numFmtId="2" fontId="5" fillId="0" borderId="31" xfId="4" applyNumberFormat="1" applyFont="1" applyBorder="1" applyAlignment="1">
      <alignment horizontal="left" vertical="center"/>
    </xf>
    <xf numFmtId="2" fontId="5" fillId="5" borderId="50" xfId="4" applyNumberFormat="1" applyFont="1" applyFill="1" applyBorder="1" applyAlignment="1" applyProtection="1">
      <alignment horizontal="center" vertical="center"/>
      <protection locked="0"/>
    </xf>
    <xf numFmtId="2" fontId="5" fillId="0" borderId="24" xfId="4" applyNumberFormat="1" applyFont="1" applyBorder="1" applyAlignment="1">
      <alignment horizontal="left" vertical="center"/>
    </xf>
    <xf numFmtId="2" fontId="5" fillId="5" borderId="24" xfId="4" applyNumberFormat="1" applyFont="1" applyFill="1" applyBorder="1" applyAlignment="1" applyProtection="1">
      <alignment horizontal="center" vertical="center"/>
      <protection locked="0"/>
    </xf>
    <xf numFmtId="0" fontId="18" fillId="3" borderId="20" xfId="13" applyFont="1" applyFill="1" applyBorder="1" applyAlignment="1">
      <alignment horizontal="center" wrapText="1"/>
    </xf>
    <xf numFmtId="0" fontId="4" fillId="3" borderId="19" xfId="13" quotePrefix="1" applyFill="1" applyBorder="1" applyAlignment="1">
      <alignment horizontal="left" vertical="center" indent="3"/>
    </xf>
    <xf numFmtId="0" fontId="18" fillId="3" borderId="19" xfId="13" applyFont="1" applyFill="1" applyBorder="1" applyAlignment="1">
      <alignment horizontal="centerContinuous"/>
    </xf>
    <xf numFmtId="0" fontId="4" fillId="3" borderId="19" xfId="13" quotePrefix="1" applyFill="1" applyBorder="1" applyAlignment="1">
      <alignment horizontal="left"/>
    </xf>
    <xf numFmtId="0" fontId="4" fillId="3" borderId="10" xfId="13" applyFill="1" applyBorder="1"/>
    <xf numFmtId="0" fontId="28" fillId="3" borderId="10" xfId="13" applyFont="1" applyFill="1" applyBorder="1" applyAlignment="1">
      <alignment vertical="center"/>
    </xf>
    <xf numFmtId="0" fontId="4" fillId="3" borderId="19" xfId="13" applyFill="1" applyBorder="1"/>
    <xf numFmtId="0" fontId="4" fillId="3" borderId="13" xfId="13" applyFill="1" applyBorder="1"/>
    <xf numFmtId="0" fontId="4" fillId="0" borderId="0" xfId="13"/>
    <xf numFmtId="0" fontId="5" fillId="3" borderId="96" xfId="13" applyFont="1" applyFill="1" applyBorder="1" applyAlignment="1">
      <alignment horizontal="left"/>
    </xf>
    <xf numFmtId="2" fontId="5" fillId="13" borderId="97" xfId="13" applyNumberFormat="1" applyFont="1" applyFill="1" applyBorder="1" applyAlignment="1">
      <alignment horizontal="left"/>
    </xf>
    <xf numFmtId="0" fontId="5" fillId="13" borderId="59" xfId="13" applyFont="1" applyFill="1" applyBorder="1" applyAlignment="1">
      <alignment horizontal="left"/>
    </xf>
    <xf numFmtId="0" fontId="5" fillId="0" borderId="98" xfId="13" applyFont="1" applyBorder="1" applyAlignment="1">
      <alignment horizontal="left"/>
    </xf>
    <xf numFmtId="1" fontId="5" fillId="13" borderId="41" xfId="13" applyNumberFormat="1" applyFont="1" applyFill="1" applyBorder="1" applyAlignment="1">
      <alignment horizontal="center"/>
    </xf>
    <xf numFmtId="0" fontId="2" fillId="0" borderId="98" xfId="13" applyFont="1" applyBorder="1" applyAlignment="1">
      <alignment horizontal="centerContinuous"/>
    </xf>
    <xf numFmtId="49" fontId="2" fillId="0" borderId="41" xfId="13" applyNumberFormat="1" applyFont="1" applyBorder="1" applyAlignment="1">
      <alignment horizontal="centerContinuous"/>
    </xf>
    <xf numFmtId="49" fontId="2" fillId="0" borderId="99" xfId="13" applyNumberFormat="1" applyFont="1" applyBorder="1" applyAlignment="1">
      <alignment horizontal="centerContinuous"/>
    </xf>
    <xf numFmtId="0" fontId="2" fillId="3" borderId="7" xfId="13" applyFont="1" applyFill="1" applyBorder="1" applyAlignment="1">
      <alignment horizontal="centerContinuous"/>
    </xf>
    <xf numFmtId="0" fontId="2" fillId="3" borderId="59" xfId="13" applyFont="1" applyFill="1" applyBorder="1" applyAlignment="1">
      <alignment horizontal="centerContinuous"/>
    </xf>
    <xf numFmtId="0" fontId="5" fillId="3" borderId="102" xfId="13" applyFont="1" applyFill="1" applyBorder="1" applyAlignment="1">
      <alignment horizontal="left"/>
    </xf>
    <xf numFmtId="49" fontId="5" fillId="13" borderId="103" xfId="13" applyNumberFormat="1" applyFont="1" applyFill="1" applyBorder="1"/>
    <xf numFmtId="0" fontId="5" fillId="13" borderId="11" xfId="13" applyFont="1" applyFill="1" applyBorder="1"/>
    <xf numFmtId="0" fontId="5" fillId="13" borderId="11" xfId="13" applyFont="1" applyFill="1" applyBorder="1" applyAlignment="1">
      <alignment horizontal="left"/>
    </xf>
    <xf numFmtId="0" fontId="5" fillId="0" borderId="104" xfId="13" applyFont="1" applyBorder="1" applyAlignment="1">
      <alignment horizontal="left"/>
    </xf>
    <xf numFmtId="1" fontId="5" fillId="13" borderId="82" xfId="13" applyNumberFormat="1" applyFont="1" applyFill="1" applyBorder="1" applyAlignment="1">
      <alignment horizontal="center"/>
    </xf>
    <xf numFmtId="0" fontId="2" fillId="0" borderId="104" xfId="13" applyFont="1" applyBorder="1" applyAlignment="1">
      <alignment horizontal="center"/>
    </xf>
    <xf numFmtId="14" fontId="2" fillId="0" borderId="105" xfId="13" applyNumberFormat="1" applyFont="1" applyBorder="1" applyAlignment="1">
      <alignment horizontal="center"/>
    </xf>
    <xf numFmtId="0" fontId="2" fillId="3" borderId="106" xfId="13" applyFont="1" applyFill="1" applyBorder="1" applyAlignment="1">
      <alignment horizontal="centerContinuous"/>
    </xf>
    <xf numFmtId="0" fontId="2" fillId="3" borderId="68" xfId="13" applyFont="1" applyFill="1" applyBorder="1" applyAlignment="1">
      <alignment horizontal="centerContinuous"/>
    </xf>
    <xf numFmtId="0" fontId="2" fillId="3" borderId="11" xfId="13" applyFont="1" applyFill="1" applyBorder="1" applyAlignment="1">
      <alignment horizontal="centerContinuous"/>
    </xf>
    <xf numFmtId="0" fontId="5" fillId="3" borderId="109" xfId="13" applyFont="1" applyFill="1" applyBorder="1" applyAlignment="1">
      <alignment horizontal="left"/>
    </xf>
    <xf numFmtId="0" fontId="22" fillId="3" borderId="111" xfId="13" applyFont="1" applyFill="1" applyBorder="1" applyAlignment="1">
      <alignment horizontal="center"/>
    </xf>
    <xf numFmtId="0" fontId="21" fillId="3" borderId="77" xfId="13" applyFont="1" applyFill="1" applyBorder="1" applyAlignment="1">
      <alignment horizontal="centerContinuous"/>
    </xf>
    <xf numFmtId="0" fontId="22" fillId="3" borderId="10" xfId="13" applyFont="1" applyFill="1" applyBorder="1" applyAlignment="1">
      <alignment horizontal="centerContinuous"/>
    </xf>
    <xf numFmtId="0" fontId="2" fillId="3" borderId="111" xfId="13" applyFont="1" applyFill="1" applyBorder="1" applyAlignment="1">
      <alignment horizontal="centerContinuous"/>
    </xf>
    <xf numFmtId="0" fontId="2" fillId="3" borderId="19" xfId="13" applyFont="1" applyFill="1" applyBorder="1" applyAlignment="1">
      <alignment horizontal="centerContinuous"/>
    </xf>
    <xf numFmtId="40" fontId="33" fillId="3" borderId="112" xfId="13" applyNumberFormat="1" applyFont="1" applyFill="1" applyBorder="1"/>
    <xf numFmtId="0" fontId="4" fillId="3" borderId="36" xfId="13" applyFill="1" applyBorder="1" applyAlignment="1">
      <alignment horizontal="center"/>
    </xf>
    <xf numFmtId="0" fontId="4" fillId="3" borderId="114" xfId="13" applyFill="1" applyBorder="1" applyAlignment="1">
      <alignment horizontal="left"/>
    </xf>
    <xf numFmtId="0" fontId="4" fillId="3" borderId="9" xfId="13" applyFill="1" applyBorder="1" applyAlignment="1">
      <alignment horizontal="centerContinuous"/>
    </xf>
    <xf numFmtId="0" fontId="4" fillId="3" borderId="9" xfId="13" applyFill="1" applyBorder="1" applyAlignment="1">
      <alignment horizontal="center"/>
    </xf>
    <xf numFmtId="0" fontId="4" fillId="3" borderId="116" xfId="13" applyFill="1" applyBorder="1" applyAlignment="1">
      <alignment horizontal="center"/>
    </xf>
    <xf numFmtId="0" fontId="4" fillId="3" borderId="117" xfId="13" applyFill="1" applyBorder="1" applyAlignment="1">
      <alignment horizontal="center"/>
    </xf>
    <xf numFmtId="0" fontId="5" fillId="2" borderId="27" xfId="13" applyFont="1" applyFill="1" applyBorder="1" applyAlignment="1">
      <alignment horizontal="center"/>
    </xf>
    <xf numFmtId="0" fontId="4" fillId="3" borderId="86" xfId="13" applyFill="1" applyBorder="1" applyAlignment="1">
      <alignment horizontal="center"/>
    </xf>
    <xf numFmtId="0" fontId="4" fillId="3" borderId="88" xfId="13" applyFill="1" applyBorder="1"/>
    <xf numFmtId="0" fontId="4" fillId="3" borderId="118" xfId="13" applyFill="1" applyBorder="1"/>
    <xf numFmtId="0" fontId="4" fillId="3" borderId="118" xfId="13" applyFill="1" applyBorder="1" applyAlignment="1">
      <alignment horizontal="center"/>
    </xf>
    <xf numFmtId="0" fontId="4" fillId="3" borderId="120" xfId="13" applyFill="1" applyBorder="1" applyAlignment="1">
      <alignment horizontal="center"/>
    </xf>
    <xf numFmtId="0" fontId="4" fillId="3" borderId="121" xfId="13" applyFill="1" applyBorder="1" applyAlignment="1">
      <alignment horizontal="center"/>
    </xf>
    <xf numFmtId="49" fontId="3" fillId="3" borderId="90" xfId="13" applyNumberFormat="1" applyFont="1" applyFill="1" applyBorder="1" applyAlignment="1">
      <alignment horizontal="center"/>
    </xf>
    <xf numFmtId="49" fontId="3" fillId="3" borderId="122" xfId="13" applyNumberFormat="1" applyFont="1" applyFill="1" applyBorder="1" applyAlignment="1">
      <alignment horizontal="left"/>
    </xf>
    <xf numFmtId="49" fontId="3" fillId="3" borderId="43" xfId="13" applyNumberFormat="1" applyFont="1" applyFill="1" applyBorder="1" applyAlignment="1">
      <alignment horizontal="left"/>
    </xf>
    <xf numFmtId="40" fontId="2" fillId="13" borderId="124" xfId="13" applyNumberFormat="1" applyFont="1" applyFill="1" applyBorder="1" applyAlignment="1">
      <alignment horizontal="right"/>
    </xf>
    <xf numFmtId="2" fontId="3" fillId="3" borderId="44" xfId="13" applyNumberFormat="1" applyFont="1" applyFill="1" applyBorder="1"/>
    <xf numFmtId="49" fontId="3" fillId="3" borderId="33" xfId="13" applyNumberFormat="1" applyFont="1" applyFill="1" applyBorder="1" applyAlignment="1">
      <alignment horizontal="center"/>
    </xf>
    <xf numFmtId="0" fontId="4" fillId="3" borderId="125" xfId="13" applyFill="1" applyBorder="1"/>
    <xf numFmtId="0" fontId="4" fillId="3" borderId="126" xfId="13" applyFill="1" applyBorder="1"/>
    <xf numFmtId="0" fontId="3" fillId="3" borderId="126" xfId="13" applyFont="1" applyFill="1" applyBorder="1"/>
    <xf numFmtId="40" fontId="3" fillId="3" borderId="126" xfId="13" applyNumberFormat="1" applyFont="1" applyFill="1" applyBorder="1"/>
    <xf numFmtId="0" fontId="3" fillId="3" borderId="127" xfId="13" applyFont="1" applyFill="1" applyBorder="1"/>
    <xf numFmtId="0" fontId="4" fillId="3" borderId="128" xfId="13" applyFill="1" applyBorder="1"/>
    <xf numFmtId="0" fontId="5" fillId="3" borderId="129" xfId="13" applyFont="1" applyFill="1" applyBorder="1" applyAlignment="1">
      <alignment horizontal="centerContinuous"/>
    </xf>
    <xf numFmtId="0" fontId="4" fillId="3" borderId="129" xfId="13" applyFill="1" applyBorder="1" applyAlignment="1">
      <alignment horizontal="centerContinuous"/>
    </xf>
    <xf numFmtId="0" fontId="3" fillId="3" borderId="129" xfId="13" applyFont="1" applyFill="1" applyBorder="1"/>
    <xf numFmtId="40" fontId="33" fillId="3" borderId="130" xfId="13" applyNumberFormat="1" applyFont="1" applyFill="1" applyBorder="1"/>
    <xf numFmtId="0" fontId="33" fillId="3" borderId="131" xfId="13" applyFont="1" applyFill="1" applyBorder="1"/>
    <xf numFmtId="0" fontId="21" fillId="3" borderId="72" xfId="13" applyFont="1" applyFill="1" applyBorder="1" applyAlignment="1">
      <alignment horizontal="centerContinuous"/>
    </xf>
    <xf numFmtId="0" fontId="22" fillId="3" borderId="63" xfId="13" applyFont="1" applyFill="1" applyBorder="1" applyAlignment="1">
      <alignment horizontal="centerContinuous"/>
    </xf>
    <xf numFmtId="0" fontId="3" fillId="3" borderId="63" xfId="13" applyFont="1" applyFill="1" applyBorder="1" applyAlignment="1">
      <alignment horizontal="centerContinuous"/>
    </xf>
    <xf numFmtId="0" fontId="3" fillId="3" borderId="49" xfId="13" applyFont="1" applyFill="1" applyBorder="1" applyAlignment="1">
      <alignment horizontal="centerContinuous"/>
    </xf>
    <xf numFmtId="0" fontId="3" fillId="3" borderId="118" xfId="13" applyFont="1" applyFill="1" applyBorder="1" applyAlignment="1">
      <alignment horizontal="centerContinuous"/>
    </xf>
    <xf numFmtId="0" fontId="3" fillId="3" borderId="132" xfId="13" applyFont="1" applyFill="1" applyBorder="1" applyAlignment="1">
      <alignment horizontal="centerContinuous"/>
    </xf>
    <xf numFmtId="0" fontId="3" fillId="3" borderId="116" xfId="13" applyFont="1" applyFill="1" applyBorder="1" applyAlignment="1">
      <alignment horizontal="center"/>
    </xf>
    <xf numFmtId="0" fontId="3" fillId="3" borderId="117" xfId="13" applyFont="1" applyFill="1" applyBorder="1" applyAlignment="1">
      <alignment horizontal="center"/>
    </xf>
    <xf numFmtId="0" fontId="4" fillId="3" borderId="90" xfId="13" applyFill="1" applyBorder="1" applyAlignment="1">
      <alignment horizontal="center"/>
    </xf>
    <xf numFmtId="0" fontId="4" fillId="3" borderId="133" xfId="13" applyFill="1" applyBorder="1" applyAlignment="1">
      <alignment horizontal="center"/>
    </xf>
    <xf numFmtId="0" fontId="4" fillId="3" borderId="134" xfId="13" applyFill="1" applyBorder="1" applyAlignment="1">
      <alignment horizontal="center"/>
    </xf>
    <xf numFmtId="0" fontId="3" fillId="3" borderId="134" xfId="13" applyFont="1" applyFill="1" applyBorder="1" applyAlignment="1">
      <alignment horizontal="center"/>
    </xf>
    <xf numFmtId="0" fontId="3" fillId="3" borderId="135" xfId="13" applyFont="1" applyFill="1" applyBorder="1" applyAlignment="1">
      <alignment horizontal="center"/>
    </xf>
    <xf numFmtId="0" fontId="4" fillId="3" borderId="63" xfId="13" applyFill="1" applyBorder="1" applyAlignment="1">
      <alignment horizontal="center"/>
    </xf>
    <xf numFmtId="0" fontId="3" fillId="3" borderId="124" xfId="13" applyFont="1" applyFill="1" applyBorder="1" applyAlignment="1">
      <alignment horizontal="center"/>
    </xf>
    <xf numFmtId="0" fontId="3" fillId="3" borderId="44" xfId="13" applyFont="1" applyFill="1" applyBorder="1" applyAlignment="1">
      <alignment horizontal="center"/>
    </xf>
    <xf numFmtId="0" fontId="3" fillId="3" borderId="30" xfId="13" applyFont="1" applyFill="1" applyBorder="1" applyAlignment="1">
      <alignment horizontal="center"/>
    </xf>
    <xf numFmtId="49" fontId="3" fillId="3" borderId="37" xfId="13" applyNumberFormat="1" applyFont="1" applyFill="1" applyBorder="1"/>
    <xf numFmtId="0" fontId="3" fillId="3" borderId="41" xfId="13" applyFont="1" applyFill="1" applyBorder="1"/>
    <xf numFmtId="0" fontId="3" fillId="3" borderId="6" xfId="13" applyFont="1" applyFill="1" applyBorder="1"/>
    <xf numFmtId="40" fontId="3" fillId="3" borderId="6" xfId="13" applyNumberFormat="1" applyFont="1" applyFill="1" applyBorder="1"/>
    <xf numFmtId="40" fontId="3" fillId="3" borderId="136" xfId="13" applyNumberFormat="1" applyFont="1" applyFill="1" applyBorder="1"/>
    <xf numFmtId="171" fontId="3" fillId="3" borderId="63" xfId="13" applyNumberFormat="1" applyFont="1" applyFill="1" applyBorder="1" applyAlignment="1">
      <alignment horizontal="center"/>
    </xf>
    <xf numFmtId="40" fontId="3" fillId="3" borderId="100" xfId="13" applyNumberFormat="1" applyFont="1" applyFill="1" applyBorder="1"/>
    <xf numFmtId="0" fontId="3" fillId="3" borderId="29" xfId="13" applyFont="1" applyFill="1" applyBorder="1"/>
    <xf numFmtId="171" fontId="3" fillId="3" borderId="59" xfId="13" applyNumberFormat="1" applyFont="1" applyFill="1" applyBorder="1" applyAlignment="1">
      <alignment horizontal="center"/>
    </xf>
    <xf numFmtId="40" fontId="4" fillId="0" borderId="0" xfId="13" applyNumberFormat="1"/>
    <xf numFmtId="1" fontId="3" fillId="3" borderId="37" xfId="13" applyNumberFormat="1" applyFont="1" applyFill="1" applyBorder="1"/>
    <xf numFmtId="1" fontId="3" fillId="3" borderId="29" xfId="13" applyNumberFormat="1" applyFont="1" applyFill="1" applyBorder="1"/>
    <xf numFmtId="0" fontId="3" fillId="3" borderId="62" xfId="13" applyFont="1" applyFill="1" applyBorder="1" applyAlignment="1">
      <alignment horizontal="center"/>
    </xf>
    <xf numFmtId="0" fontId="3" fillId="3" borderId="59" xfId="13" applyFont="1" applyFill="1" applyBorder="1"/>
    <xf numFmtId="40" fontId="3" fillId="3" borderId="59" xfId="13" applyNumberFormat="1" applyFont="1" applyFill="1" applyBorder="1"/>
    <xf numFmtId="40" fontId="3" fillId="3" borderId="29" xfId="13" applyNumberFormat="1" applyFont="1" applyFill="1" applyBorder="1"/>
    <xf numFmtId="40" fontId="3" fillId="3" borderId="137" xfId="13" applyNumberFormat="1" applyFont="1" applyFill="1" applyBorder="1"/>
    <xf numFmtId="40" fontId="3" fillId="3" borderId="138" xfId="13" applyNumberFormat="1" applyFont="1" applyFill="1" applyBorder="1"/>
    <xf numFmtId="40" fontId="3" fillId="3" borderId="124" xfId="13" applyNumberFormat="1" applyFont="1" applyFill="1" applyBorder="1"/>
    <xf numFmtId="0" fontId="3" fillId="3" borderId="1" xfId="13" applyFont="1" applyFill="1" applyBorder="1"/>
    <xf numFmtId="40" fontId="3" fillId="3" borderId="63" xfId="13" applyNumberFormat="1" applyFont="1" applyFill="1" applyBorder="1"/>
    <xf numFmtId="0" fontId="3" fillId="3" borderId="62" xfId="13" applyFont="1" applyFill="1" applyBorder="1"/>
    <xf numFmtId="40" fontId="3" fillId="3" borderId="9" xfId="13" applyNumberFormat="1" applyFont="1" applyFill="1" applyBorder="1"/>
    <xf numFmtId="0" fontId="5" fillId="3" borderId="86" xfId="13" applyFont="1" applyFill="1" applyBorder="1" applyAlignment="1">
      <alignment horizontal="centerContinuous"/>
    </xf>
    <xf numFmtId="0" fontId="4" fillId="3" borderId="139" xfId="13" applyFill="1" applyBorder="1" applyAlignment="1">
      <alignment horizontal="centerContinuous"/>
    </xf>
    <xf numFmtId="0" fontId="4" fillId="3" borderId="139" xfId="13" applyFill="1" applyBorder="1"/>
    <xf numFmtId="40" fontId="33" fillId="3" borderId="139" xfId="13" applyNumberFormat="1" applyFont="1" applyFill="1" applyBorder="1"/>
    <xf numFmtId="40" fontId="33" fillId="3" borderId="1" xfId="13" applyNumberFormat="1" applyFont="1" applyFill="1" applyBorder="1"/>
    <xf numFmtId="40" fontId="33" fillId="3" borderId="140" xfId="13" applyNumberFormat="1" applyFont="1" applyFill="1" applyBorder="1"/>
    <xf numFmtId="40" fontId="33" fillId="3" borderId="0" xfId="13" applyNumberFormat="1" applyFont="1" applyFill="1"/>
    <xf numFmtId="40" fontId="33" fillId="3" borderId="141" xfId="13" applyNumberFormat="1" applyFont="1" applyFill="1" applyBorder="1"/>
    <xf numFmtId="0" fontId="5" fillId="3" borderId="143" xfId="13" applyFont="1" applyFill="1" applyBorder="1" applyAlignment="1">
      <alignment horizontal="centerContinuous"/>
    </xf>
    <xf numFmtId="0" fontId="4" fillId="3" borderId="144" xfId="13" applyFill="1" applyBorder="1" applyAlignment="1">
      <alignment horizontal="centerContinuous"/>
    </xf>
    <xf numFmtId="0" fontId="4" fillId="3" borderId="144" xfId="13" applyFill="1" applyBorder="1"/>
    <xf numFmtId="10" fontId="33" fillId="3" borderId="145" xfId="16" applyNumberFormat="1" applyFont="1" applyFill="1" applyBorder="1" applyProtection="1"/>
    <xf numFmtId="0" fontId="5" fillId="3" borderId="95" xfId="13" applyFont="1" applyFill="1" applyBorder="1" applyAlignment="1">
      <alignment horizontal="centerContinuous"/>
    </xf>
    <xf numFmtId="0" fontId="4" fillId="3" borderId="133" xfId="13" applyFill="1" applyBorder="1" applyAlignment="1">
      <alignment horizontal="centerContinuous"/>
    </xf>
    <xf numFmtId="0" fontId="4" fillId="3" borderId="133" xfId="13" applyFill="1" applyBorder="1"/>
    <xf numFmtId="10" fontId="33" fillId="3" borderId="148" xfId="16" applyNumberFormat="1" applyFont="1" applyFill="1" applyBorder="1" applyProtection="1"/>
    <xf numFmtId="40" fontId="34" fillId="13" borderId="149" xfId="13" applyNumberFormat="1" applyFont="1" applyFill="1" applyBorder="1" applyAlignment="1">
      <alignment horizontal="center"/>
    </xf>
    <xf numFmtId="0" fontId="5" fillId="3" borderId="6" xfId="13" applyFont="1" applyFill="1" applyBorder="1" applyAlignment="1" applyProtection="1">
      <alignment horizontal="center"/>
      <protection locked="0"/>
    </xf>
    <xf numFmtId="0" fontId="4" fillId="3" borderId="7" xfId="13" applyFill="1" applyBorder="1" applyAlignment="1" applyProtection="1">
      <alignment horizontal="centerContinuous"/>
      <protection locked="0"/>
    </xf>
    <xf numFmtId="0" fontId="4" fillId="3" borderId="59" xfId="13" applyFill="1" applyBorder="1" applyAlignment="1" applyProtection="1">
      <alignment horizontal="centerContinuous"/>
      <protection locked="0"/>
    </xf>
    <xf numFmtId="0" fontId="4" fillId="3" borderId="41" xfId="13" applyFill="1" applyBorder="1" applyAlignment="1" applyProtection="1">
      <alignment horizontal="centerContinuous"/>
      <protection locked="0"/>
    </xf>
    <xf numFmtId="0" fontId="4" fillId="3" borderId="43" xfId="13" applyFill="1" applyBorder="1" applyAlignment="1" applyProtection="1">
      <alignment horizontal="centerContinuous"/>
      <protection locked="0"/>
    </xf>
    <xf numFmtId="0" fontId="4" fillId="3" borderId="115" xfId="13" applyFill="1" applyBorder="1" applyAlignment="1" applyProtection="1">
      <alignment horizontal="centerContinuous"/>
      <protection locked="0"/>
    </xf>
    <xf numFmtId="0" fontId="4" fillId="3" borderId="9" xfId="13" applyFill="1" applyBorder="1" applyAlignment="1" applyProtection="1">
      <alignment horizontal="center"/>
      <protection locked="0"/>
    </xf>
    <xf numFmtId="0" fontId="4" fillId="3" borderId="89" xfId="13" applyFill="1" applyBorder="1" applyAlignment="1" applyProtection="1">
      <alignment horizontal="center"/>
      <protection locked="0"/>
    </xf>
    <xf numFmtId="0" fontId="4" fillId="3" borderId="119" xfId="13" applyFill="1" applyBorder="1" applyAlignment="1" applyProtection="1">
      <alignment horizontal="center"/>
      <protection locked="0"/>
    </xf>
    <xf numFmtId="0" fontId="4" fillId="3" borderId="118" xfId="13" applyFill="1" applyBorder="1" applyAlignment="1" applyProtection="1">
      <alignment horizontal="center"/>
      <protection locked="0"/>
    </xf>
    <xf numFmtId="0" fontId="5" fillId="3" borderId="88" xfId="13" applyFont="1" applyFill="1" applyBorder="1" applyAlignment="1" applyProtection="1">
      <alignment textRotation="180"/>
      <protection locked="0"/>
    </xf>
    <xf numFmtId="169" fontId="4" fillId="3" borderId="89" xfId="13" applyNumberFormat="1" applyFill="1" applyBorder="1" applyAlignment="1" applyProtection="1">
      <alignment horizontal="center"/>
      <protection locked="0"/>
    </xf>
    <xf numFmtId="169" fontId="4" fillId="3" borderId="119" xfId="13" applyNumberFormat="1" applyFill="1" applyBorder="1" applyAlignment="1" applyProtection="1">
      <alignment horizontal="center"/>
      <protection locked="0"/>
    </xf>
    <xf numFmtId="169" fontId="4" fillId="3" borderId="118" xfId="13" applyNumberFormat="1" applyFill="1" applyBorder="1" applyAlignment="1" applyProtection="1">
      <alignment horizontal="center"/>
      <protection locked="0"/>
    </xf>
    <xf numFmtId="0" fontId="43" fillId="3" borderId="6" xfId="13" applyFont="1" applyFill="1" applyBorder="1" applyProtection="1">
      <protection locked="0"/>
    </xf>
    <xf numFmtId="0" fontId="3" fillId="3" borderId="63" xfId="13" applyFont="1" applyFill="1" applyBorder="1" applyAlignment="1" applyProtection="1">
      <alignment horizontal="center"/>
      <protection locked="0"/>
    </xf>
    <xf numFmtId="170" fontId="5" fillId="12" borderId="110" xfId="13" applyNumberFormat="1" applyFont="1" applyFill="1" applyBorder="1" applyAlignment="1" applyProtection="1">
      <alignment horizontal="left" indent="1"/>
      <protection locked="0"/>
    </xf>
    <xf numFmtId="0" fontId="5" fillId="3" borderId="12" xfId="13" applyFont="1" applyFill="1" applyBorder="1" applyAlignment="1" applyProtection="1">
      <alignment horizontal="left" vertical="top"/>
      <protection locked="0"/>
    </xf>
    <xf numFmtId="0" fontId="5" fillId="3" borderId="10" xfId="13" applyFont="1" applyFill="1" applyBorder="1" applyProtection="1">
      <protection locked="0"/>
    </xf>
    <xf numFmtId="0" fontId="5" fillId="0" borderId="151" xfId="13" applyFont="1" applyBorder="1" applyProtection="1">
      <protection locked="0"/>
    </xf>
    <xf numFmtId="0" fontId="5" fillId="3" borderId="10" xfId="13" applyFont="1" applyFill="1" applyBorder="1" applyAlignment="1" applyProtection="1">
      <alignment horizontal="left"/>
      <protection locked="0"/>
    </xf>
    <xf numFmtId="0" fontId="5" fillId="3" borderId="10" xfId="13" applyFont="1" applyFill="1" applyBorder="1" applyAlignment="1" applyProtection="1">
      <alignment horizontal="centerContinuous" vertical="center"/>
      <protection locked="0"/>
    </xf>
    <xf numFmtId="0" fontId="5" fillId="3" borderId="13" xfId="13" applyFont="1" applyFill="1" applyBorder="1" applyProtection="1">
      <protection locked="0"/>
    </xf>
    <xf numFmtId="0" fontId="4" fillId="3" borderId="16" xfId="13" applyFill="1" applyBorder="1" applyAlignment="1" applyProtection="1">
      <alignment horizontal="centerContinuous" vertical="center"/>
      <protection locked="0"/>
    </xf>
    <xf numFmtId="14" fontId="4" fillId="3" borderId="11" xfId="13" applyNumberFormat="1" applyFill="1" applyBorder="1" applyAlignment="1" applyProtection="1">
      <alignment horizontal="center" vertical="center"/>
      <protection locked="0"/>
    </xf>
    <xf numFmtId="0" fontId="4" fillId="3" borderId="11" xfId="13" applyFill="1" applyBorder="1" applyAlignment="1" applyProtection="1">
      <alignment horizontal="centerContinuous"/>
      <protection locked="0"/>
    </xf>
    <xf numFmtId="0" fontId="4" fillId="0" borderId="152" xfId="13" applyBorder="1" applyProtection="1">
      <protection locked="0"/>
    </xf>
    <xf numFmtId="0" fontId="4" fillId="3" borderId="11" xfId="13" applyFill="1" applyBorder="1" applyAlignment="1" applyProtection="1">
      <alignment horizontal="centerContinuous" vertical="center" wrapText="1"/>
      <protection locked="0"/>
    </xf>
    <xf numFmtId="0" fontId="4" fillId="3" borderId="11" xfId="13" applyFill="1" applyBorder="1" applyAlignment="1" applyProtection="1">
      <alignment vertical="center"/>
      <protection locked="0"/>
    </xf>
    <xf numFmtId="17" fontId="4" fillId="3" borderId="17" xfId="13" applyNumberFormat="1" applyFill="1" applyBorder="1" applyAlignment="1" applyProtection="1">
      <alignment horizontal="center" vertical="center"/>
      <protection locked="0"/>
    </xf>
    <xf numFmtId="0" fontId="35" fillId="0" borderId="0" xfId="4" applyFont="1" applyAlignment="1">
      <alignment vertical="center"/>
    </xf>
    <xf numFmtId="0" fontId="17" fillId="0" borderId="0" xfId="6" applyAlignment="1">
      <alignment vertical="center"/>
    </xf>
    <xf numFmtId="0" fontId="17" fillId="0" borderId="0" xfId="6"/>
    <xf numFmtId="2" fontId="22" fillId="0" borderId="62" xfId="6" applyNumberFormat="1" applyFont="1" applyBorder="1" applyAlignment="1">
      <alignment horizontal="right" vertical="center"/>
    </xf>
    <xf numFmtId="0" fontId="25" fillId="0" borderId="0" xfId="6" applyFont="1" applyAlignment="1">
      <alignment vertical="center"/>
    </xf>
    <xf numFmtId="2" fontId="22" fillId="0" borderId="154" xfId="6" applyNumberFormat="1" applyFont="1" applyBorder="1" applyAlignment="1">
      <alignment horizontal="right" vertical="center"/>
    </xf>
    <xf numFmtId="0" fontId="21" fillId="0" borderId="3" xfId="6" applyFont="1" applyBorder="1" applyAlignment="1">
      <alignment horizontal="right" vertical="center"/>
    </xf>
    <xf numFmtId="2" fontId="21" fillId="0" borderId="35" xfId="6" applyNumberFormat="1" applyFont="1" applyBorder="1" applyAlignment="1">
      <alignment horizontal="center" vertical="center"/>
    </xf>
    <xf numFmtId="2" fontId="17" fillId="0" borderId="0" xfId="6" applyNumberFormat="1" applyAlignment="1">
      <alignment vertical="center"/>
    </xf>
    <xf numFmtId="0" fontId="21" fillId="0" borderId="72" xfId="6" applyFont="1" applyBorder="1" applyAlignment="1">
      <alignment vertical="center"/>
    </xf>
    <xf numFmtId="2" fontId="22" fillId="0" borderId="75" xfId="6" applyNumberFormat="1" applyFont="1" applyBorder="1" applyAlignment="1">
      <alignment horizontal="center" vertical="center"/>
    </xf>
    <xf numFmtId="2" fontId="22" fillId="0" borderId="49" xfId="6" applyNumberFormat="1" applyFont="1" applyBorder="1" applyAlignment="1">
      <alignment horizontal="center" vertical="center"/>
    </xf>
    <xf numFmtId="0" fontId="17" fillId="0" borderId="0" xfId="6" quotePrefix="1" applyAlignment="1">
      <alignment vertical="center"/>
    </xf>
    <xf numFmtId="0" fontId="21" fillId="0" borderId="62" xfId="6" applyFont="1" applyBorder="1" applyAlignment="1">
      <alignment vertical="center"/>
    </xf>
    <xf numFmtId="0" fontId="21" fillId="0" borderId="53" xfId="6" applyFont="1" applyBorder="1" applyAlignment="1">
      <alignment vertical="center"/>
    </xf>
    <xf numFmtId="0" fontId="21" fillId="0" borderId="27" xfId="6" applyFont="1" applyBorder="1" applyAlignment="1">
      <alignment vertical="center"/>
    </xf>
    <xf numFmtId="2" fontId="21" fillId="0" borderId="34" xfId="6" applyNumberFormat="1" applyFont="1" applyBorder="1" applyAlignment="1">
      <alignment horizontal="center" vertical="center"/>
    </xf>
    <xf numFmtId="0" fontId="36" fillId="0" borderId="0" xfId="4" quotePrefix="1" applyFont="1" applyAlignment="1">
      <alignment vertical="center"/>
    </xf>
    <xf numFmtId="0" fontId="37" fillId="0" borderId="2" xfId="6" applyFont="1" applyBorder="1" applyAlignment="1">
      <alignment vertical="center"/>
    </xf>
    <xf numFmtId="10" fontId="37" fillId="0" borderId="3" xfId="6" applyNumberFormat="1" applyFont="1" applyBorder="1" applyAlignment="1">
      <alignment horizontal="centerContinuous" vertical="center"/>
    </xf>
    <xf numFmtId="9" fontId="37" fillId="0" borderId="35" xfId="6" applyNumberFormat="1" applyFont="1" applyBorder="1" applyAlignment="1">
      <alignment horizontal="centerContinuous" vertical="center"/>
    </xf>
    <xf numFmtId="168" fontId="17" fillId="0" borderId="0" xfId="6" applyNumberFormat="1" applyAlignment="1">
      <alignment vertical="center"/>
    </xf>
    <xf numFmtId="0" fontId="38" fillId="0" borderId="0" xfId="6" applyFont="1" applyAlignment="1">
      <alignment vertical="center"/>
    </xf>
    <xf numFmtId="0" fontId="39" fillId="0" borderId="0" xfId="6" applyFont="1" applyAlignment="1">
      <alignment vertical="center"/>
    </xf>
    <xf numFmtId="0" fontId="39" fillId="0" borderId="0" xfId="6" applyFont="1"/>
    <xf numFmtId="0" fontId="22" fillId="0" borderId="0" xfId="6" applyFont="1" applyAlignment="1">
      <alignment vertical="center"/>
    </xf>
    <xf numFmtId="0" fontId="3" fillId="0" borderId="0" xfId="6" applyFont="1" applyAlignment="1">
      <alignment vertical="center"/>
    </xf>
    <xf numFmtId="0" fontId="5" fillId="0" borderId="0" xfId="6" applyFont="1" applyAlignment="1">
      <alignment vertical="center"/>
    </xf>
    <xf numFmtId="0" fontId="40" fillId="0" borderId="0" xfId="6" applyFont="1" applyAlignment="1">
      <alignment horizontal="center" vertical="center"/>
    </xf>
    <xf numFmtId="0" fontId="2" fillId="0" borderId="0" xfId="6" applyFont="1" applyAlignment="1">
      <alignment vertical="center"/>
    </xf>
    <xf numFmtId="2" fontId="24" fillId="0" borderId="0" xfId="6" applyNumberFormat="1" applyFont="1" applyAlignment="1">
      <alignment horizontal="left" vertical="center"/>
    </xf>
    <xf numFmtId="2" fontId="42" fillId="0" borderId="6" xfId="6" quotePrefix="1" applyNumberFormat="1" applyFont="1" applyBorder="1" applyAlignment="1">
      <alignment horizontal="right" vertical="center"/>
    </xf>
    <xf numFmtId="2" fontId="24" fillId="0" borderId="6" xfId="6" applyNumberFormat="1" applyFont="1" applyBorder="1" applyAlignment="1">
      <alignment horizontal="right" vertical="center"/>
    </xf>
    <xf numFmtId="0" fontId="26" fillId="0" borderId="0" xfId="6" applyFont="1" applyAlignment="1">
      <alignment vertical="center"/>
    </xf>
    <xf numFmtId="0" fontId="19" fillId="0" borderId="0" xfId="6" applyFont="1" applyAlignment="1">
      <alignment vertical="center"/>
    </xf>
    <xf numFmtId="0" fontId="5" fillId="0" borderId="27" xfId="6" applyFont="1" applyBorder="1" applyAlignment="1">
      <alignment horizontal="center" vertical="center"/>
    </xf>
    <xf numFmtId="0" fontId="5" fillId="0" borderId="34" xfId="6" applyFont="1" applyBorder="1" applyAlignment="1">
      <alignment horizontal="center" vertical="center"/>
    </xf>
    <xf numFmtId="0" fontId="5" fillId="0" borderId="5" xfId="6" applyFont="1" applyBorder="1" applyAlignment="1">
      <alignment horizontal="center" vertical="center"/>
    </xf>
    <xf numFmtId="0" fontId="5" fillId="0" borderId="28" xfId="6" applyFont="1" applyBorder="1" applyAlignment="1">
      <alignment horizontal="center" vertical="center"/>
    </xf>
    <xf numFmtId="0" fontId="4" fillId="0" borderId="31" xfId="6" applyFont="1" applyBorder="1" applyAlignment="1">
      <alignment vertical="center" wrapText="1"/>
    </xf>
    <xf numFmtId="10" fontId="4" fillId="0" borderId="43" xfId="6" applyNumberFormat="1" applyFont="1" applyBorder="1" applyAlignment="1">
      <alignment horizontal="center" vertical="center"/>
    </xf>
    <xf numFmtId="10" fontId="4" fillId="0" borderId="29" xfId="6" applyNumberFormat="1" applyFont="1" applyBorder="1" applyAlignment="1">
      <alignment horizontal="center" vertical="center"/>
    </xf>
    <xf numFmtId="10" fontId="4" fillId="0" borderId="44" xfId="6" applyNumberFormat="1" applyFont="1" applyBorder="1" applyAlignment="1">
      <alignment horizontal="center" vertical="center"/>
    </xf>
    <xf numFmtId="0" fontId="4" fillId="0" borderId="42" xfId="6" applyFont="1" applyBorder="1" applyAlignment="1">
      <alignment vertical="center" wrapText="1"/>
    </xf>
    <xf numFmtId="10" fontId="4" fillId="0" borderId="41" xfId="6" applyNumberFormat="1" applyFont="1" applyBorder="1" applyAlignment="1">
      <alignment horizontal="center" vertical="center"/>
    </xf>
    <xf numFmtId="10" fontId="4" fillId="0" borderId="6" xfId="6" applyNumberFormat="1" applyFont="1" applyBorder="1" applyAlignment="1">
      <alignment horizontal="center" vertical="center"/>
    </xf>
    <xf numFmtId="10" fontId="4" fillId="0" borderId="32" xfId="6" applyNumberFormat="1" applyFont="1" applyBorder="1" applyAlignment="1">
      <alignment horizontal="center" vertical="center"/>
    </xf>
    <xf numFmtId="0" fontId="4" fillId="0" borderId="8" xfId="6" applyFont="1" applyBorder="1" applyAlignment="1">
      <alignment vertical="center" wrapText="1"/>
    </xf>
    <xf numFmtId="10" fontId="4" fillId="0" borderId="79" xfId="6" applyNumberFormat="1" applyFont="1" applyBorder="1" applyAlignment="1">
      <alignment horizontal="center" vertical="center"/>
    </xf>
    <xf numFmtId="10" fontId="4" fillId="0" borderId="23" xfId="6" applyNumberFormat="1" applyFont="1" applyBorder="1" applyAlignment="1">
      <alignment horizontal="center" vertical="center"/>
    </xf>
    <xf numFmtId="10" fontId="4" fillId="0" borderId="80" xfId="6" applyNumberFormat="1" applyFont="1" applyBorder="1" applyAlignment="1">
      <alignment horizontal="center" vertical="center"/>
    </xf>
    <xf numFmtId="0" fontId="19" fillId="0" borderId="0" xfId="6" applyFont="1" applyAlignment="1">
      <alignment vertical="center" wrapText="1"/>
    </xf>
    <xf numFmtId="10" fontId="4" fillId="0" borderId="82" xfId="6" applyNumberFormat="1" applyFont="1" applyBorder="1" applyAlignment="1">
      <alignment horizontal="center" vertical="center"/>
    </xf>
    <xf numFmtId="10" fontId="4" fillId="0" borderId="22" xfId="6" applyNumberFormat="1" applyFont="1" applyBorder="1" applyAlignment="1">
      <alignment horizontal="center" vertical="center"/>
    </xf>
    <xf numFmtId="10" fontId="4" fillId="0" borderId="48" xfId="6" applyNumberFormat="1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5" fillId="0" borderId="82" xfId="6" applyFont="1" applyBorder="1" applyAlignment="1">
      <alignment horizontal="center" vertical="center"/>
    </xf>
    <xf numFmtId="0" fontId="5" fillId="0" borderId="22" xfId="6" applyFont="1" applyBorder="1" applyAlignment="1">
      <alignment horizontal="center" vertical="center"/>
    </xf>
    <xf numFmtId="0" fontId="5" fillId="0" borderId="48" xfId="6" applyFont="1" applyBorder="1" applyAlignment="1">
      <alignment horizontal="center" vertical="center"/>
    </xf>
    <xf numFmtId="10" fontId="19" fillId="0" borderId="0" xfId="6" applyNumberFormat="1" applyFont="1" applyAlignment="1">
      <alignment vertical="center"/>
    </xf>
    <xf numFmtId="10" fontId="17" fillId="0" borderId="0" xfId="6" applyNumberFormat="1" applyAlignment="1">
      <alignment vertical="center"/>
    </xf>
    <xf numFmtId="0" fontId="5" fillId="0" borderId="27" xfId="6" applyFont="1" applyBorder="1" applyAlignment="1">
      <alignment vertical="center" wrapText="1"/>
    </xf>
    <xf numFmtId="2" fontId="22" fillId="0" borderId="51" xfId="6" applyNumberFormat="1" applyFont="1" applyBorder="1" applyAlignment="1" applyProtection="1">
      <alignment horizontal="center" vertical="center"/>
      <protection locked="0"/>
    </xf>
    <xf numFmtId="2" fontId="22" fillId="0" borderId="52" xfId="6" applyNumberFormat="1" applyFont="1" applyBorder="1" applyAlignment="1" applyProtection="1">
      <alignment horizontal="center" vertical="center"/>
      <protection locked="0"/>
    </xf>
    <xf numFmtId="0" fontId="27" fillId="0" borderId="27" xfId="6" applyFont="1" applyBorder="1" applyAlignment="1" applyProtection="1">
      <alignment horizontal="center" vertical="center"/>
      <protection locked="0"/>
    </xf>
    <xf numFmtId="0" fontId="4" fillId="0" borderId="26" xfId="4" applyFont="1" applyBorder="1" applyAlignment="1">
      <alignment horizontal="centerContinuous" vertical="center"/>
    </xf>
    <xf numFmtId="0" fontId="4" fillId="0" borderId="35" xfId="4" applyFont="1" applyBorder="1" applyAlignment="1">
      <alignment horizontal="centerContinuous" vertical="center"/>
    </xf>
    <xf numFmtId="0" fontId="4" fillId="0" borderId="0" xfId="4" applyFont="1" applyAlignment="1">
      <alignment vertical="center"/>
    </xf>
    <xf numFmtId="0" fontId="4" fillId="0" borderId="0" xfId="4" applyFont="1"/>
    <xf numFmtId="2" fontId="5" fillId="5" borderId="55" xfId="4" applyNumberFormat="1" applyFont="1" applyFill="1" applyBorder="1" applyAlignment="1">
      <alignment horizontal="left" vertical="center"/>
    </xf>
    <xf numFmtId="2" fontId="5" fillId="5" borderId="19" xfId="4" applyNumberFormat="1" applyFont="1" applyFill="1" applyBorder="1" applyAlignment="1">
      <alignment horizontal="left" vertical="center"/>
    </xf>
    <xf numFmtId="2" fontId="5" fillId="5" borderId="63" xfId="4" applyNumberFormat="1" applyFont="1" applyFill="1" applyBorder="1" applyAlignment="1">
      <alignment horizontal="left" vertical="center"/>
    </xf>
    <xf numFmtId="2" fontId="5" fillId="5" borderId="56" xfId="4" applyNumberFormat="1" applyFont="1" applyFill="1" applyBorder="1" applyAlignment="1">
      <alignment horizontal="left" vertical="center"/>
    </xf>
    <xf numFmtId="2" fontId="5" fillId="5" borderId="11" xfId="4" applyNumberFormat="1" applyFont="1" applyFill="1" applyBorder="1" applyAlignment="1">
      <alignment horizontal="left" vertical="center"/>
    </xf>
    <xf numFmtId="0" fontId="4" fillId="0" borderId="3" xfId="4" applyFont="1" applyBorder="1" applyAlignment="1">
      <alignment horizontal="left" vertical="center"/>
    </xf>
    <xf numFmtId="0" fontId="4" fillId="0" borderId="26" xfId="4" applyFont="1" applyBorder="1" applyAlignment="1">
      <alignment horizontal="left" vertical="center"/>
    </xf>
    <xf numFmtId="0" fontId="4" fillId="0" borderId="26" xfId="1" applyBorder="1" applyAlignment="1">
      <alignment vertical="center"/>
    </xf>
    <xf numFmtId="165" fontId="5" fillId="0" borderId="35" xfId="1" applyNumberFormat="1" applyFont="1" applyBorder="1" applyAlignment="1">
      <alignment horizontal="center" vertical="center"/>
    </xf>
    <xf numFmtId="165" fontId="5" fillId="0" borderId="28" xfId="1" applyNumberFormat="1" applyFont="1" applyBorder="1" applyAlignment="1">
      <alignment horizontal="center" vertical="center" wrapText="1"/>
    </xf>
    <xf numFmtId="0" fontId="5" fillId="0" borderId="35" xfId="4" applyFont="1" applyBorder="1" applyAlignment="1">
      <alignment horizontal="center" vertical="center" wrapText="1"/>
    </xf>
    <xf numFmtId="0" fontId="4" fillId="0" borderId="10" xfId="4" applyFont="1" applyBorder="1" applyAlignment="1">
      <alignment vertical="center"/>
    </xf>
    <xf numFmtId="0" fontId="4" fillId="0" borderId="26" xfId="4" applyFont="1" applyBorder="1" applyAlignment="1">
      <alignment vertical="center"/>
    </xf>
    <xf numFmtId="0" fontId="4" fillId="0" borderId="11" xfId="4" applyFont="1" applyBorder="1" applyAlignment="1">
      <alignment vertical="center"/>
    </xf>
    <xf numFmtId="0" fontId="4" fillId="0" borderId="14" xfId="4" applyFont="1" applyBorder="1" applyAlignment="1">
      <alignment vertical="center"/>
    </xf>
    <xf numFmtId="0" fontId="4" fillId="0" borderId="15" xfId="4" applyFont="1" applyBorder="1" applyAlignment="1">
      <alignment vertical="center"/>
    </xf>
    <xf numFmtId="0" fontId="11" fillId="0" borderId="3" xfId="4" applyFont="1" applyBorder="1" applyAlignment="1">
      <alignment horizontal="left" vertical="center"/>
    </xf>
    <xf numFmtId="0" fontId="11" fillId="0" borderId="26" xfId="4" applyFont="1" applyBorder="1" applyAlignment="1">
      <alignment horizontal="left" vertical="center"/>
    </xf>
    <xf numFmtId="0" fontId="5" fillId="0" borderId="26" xfId="1" applyFont="1" applyBorder="1" applyAlignment="1">
      <alignment horizontal="left" vertical="center"/>
    </xf>
    <xf numFmtId="10" fontId="5" fillId="0" borderId="35" xfId="5" applyNumberFormat="1" applyFont="1" applyFill="1" applyBorder="1" applyAlignment="1" applyProtection="1">
      <alignment vertical="center"/>
    </xf>
    <xf numFmtId="0" fontId="5" fillId="0" borderId="64" xfId="4" applyFont="1" applyBorder="1" applyAlignment="1">
      <alignment horizontal="left" vertical="center"/>
    </xf>
    <xf numFmtId="0" fontId="4" fillId="0" borderId="65" xfId="4" applyFont="1" applyBorder="1" applyAlignment="1">
      <alignment horizontal="left" vertical="center"/>
    </xf>
    <xf numFmtId="0" fontId="4" fillId="0" borderId="83" xfId="4" applyFont="1" applyBorder="1" applyAlignment="1">
      <alignment vertical="center"/>
    </xf>
    <xf numFmtId="0" fontId="5" fillId="0" borderId="66" xfId="1" applyFont="1" applyBorder="1" applyAlignment="1">
      <alignment horizontal="center" vertical="center" wrapText="1"/>
    </xf>
    <xf numFmtId="4" fontId="5" fillId="0" borderId="84" xfId="1" applyNumberFormat="1" applyFont="1" applyBorder="1" applyAlignment="1">
      <alignment horizontal="center" vertical="center" wrapText="1"/>
    </xf>
    <xf numFmtId="4" fontId="5" fillId="7" borderId="85" xfId="3" applyNumberFormat="1" applyFont="1" applyFill="1" applyBorder="1" applyAlignment="1" applyProtection="1">
      <alignment horizontal="center" vertical="center"/>
    </xf>
    <xf numFmtId="0" fontId="4" fillId="0" borderId="16" xfId="4" applyFont="1" applyBorder="1" applyAlignment="1">
      <alignment horizontal="left" vertical="center"/>
    </xf>
    <xf numFmtId="0" fontId="4" fillId="0" borderId="11" xfId="4" applyFont="1" applyBorder="1" applyAlignment="1">
      <alignment horizontal="left" vertical="center"/>
    </xf>
    <xf numFmtId="0" fontId="4" fillId="0" borderId="17" xfId="4" applyFont="1" applyBorder="1" applyAlignment="1">
      <alignment vertical="center"/>
    </xf>
    <xf numFmtId="0" fontId="4" fillId="0" borderId="0" xfId="4" applyFont="1" applyAlignment="1">
      <alignment horizontal="left" vertical="center"/>
    </xf>
    <xf numFmtId="10" fontId="4" fillId="0" borderId="35" xfId="5" applyNumberFormat="1" applyFont="1" applyFill="1" applyBorder="1" applyAlignment="1" applyProtection="1">
      <alignment vertical="center"/>
      <protection locked="0"/>
    </xf>
    <xf numFmtId="164" fontId="5" fillId="2" borderId="67" xfId="3" applyFont="1" applyFill="1" applyBorder="1" applyAlignment="1" applyProtection="1">
      <alignment horizontal="center" vertical="center"/>
      <protection locked="0"/>
    </xf>
    <xf numFmtId="0" fontId="5" fillId="4" borderId="67" xfId="1" applyFont="1" applyFill="1" applyBorder="1" applyAlignment="1" applyProtection="1">
      <alignment horizontal="center" vertical="center"/>
      <protection locked="0"/>
    </xf>
    <xf numFmtId="0" fontId="44" fillId="0" borderId="0" xfId="4" applyFont="1"/>
    <xf numFmtId="0" fontId="3" fillId="8" borderId="10" xfId="1" applyFont="1" applyFill="1" applyBorder="1" applyAlignment="1">
      <alignment horizontal="center" vertical="center"/>
    </xf>
    <xf numFmtId="0" fontId="3" fillId="7" borderId="10" xfId="1" applyFont="1" applyFill="1" applyBorder="1" applyAlignment="1">
      <alignment vertical="center"/>
    </xf>
    <xf numFmtId="164" fontId="3" fillId="7" borderId="10" xfId="3" applyFont="1" applyFill="1" applyBorder="1" applyAlignment="1" applyProtection="1">
      <alignment horizontal="center" vertical="center"/>
    </xf>
    <xf numFmtId="39" fontId="45" fillId="10" borderId="60" xfId="3" applyNumberFormat="1" applyFont="1" applyFill="1" applyBorder="1" applyAlignment="1" applyProtection="1">
      <alignment horizontal="centerContinuous" vertical="center"/>
    </xf>
    <xf numFmtId="0" fontId="3" fillId="7" borderId="10" xfId="1" applyFont="1" applyFill="1" applyBorder="1" applyAlignment="1">
      <alignment horizontal="center" vertical="center"/>
    </xf>
    <xf numFmtId="49" fontId="2" fillId="0" borderId="14" xfId="1" applyNumberFormat="1" applyFont="1" applyBorder="1" applyAlignment="1">
      <alignment vertical="center"/>
    </xf>
    <xf numFmtId="164" fontId="3" fillId="7" borderId="0" xfId="3" applyFont="1" applyFill="1" applyBorder="1" applyAlignment="1" applyProtection="1">
      <alignment horizontal="center" vertical="center"/>
    </xf>
    <xf numFmtId="4" fontId="45" fillId="9" borderId="61" xfId="1" applyNumberFormat="1" applyFont="1" applyFill="1" applyBorder="1" applyAlignment="1">
      <alignment horizontal="center" vertical="center"/>
    </xf>
    <xf numFmtId="0" fontId="2" fillId="0" borderId="61" xfId="1" applyFont="1" applyBorder="1" applyAlignment="1">
      <alignment horizontal="right" vertical="center"/>
    </xf>
    <xf numFmtId="0" fontId="2" fillId="8" borderId="15" xfId="1" applyFont="1" applyFill="1" applyBorder="1" applyAlignment="1" applyProtection="1">
      <alignment vertical="center"/>
      <protection locked="0"/>
    </xf>
    <xf numFmtId="10" fontId="2" fillId="0" borderId="27" xfId="5" applyNumberFormat="1" applyFont="1" applyFill="1" applyBorder="1" applyAlignment="1" applyProtection="1">
      <alignment horizontal="right" vertical="center"/>
      <protection locked="0"/>
    </xf>
    <xf numFmtId="10" fontId="2" fillId="2" borderId="27" xfId="5" applyNumberFormat="1" applyFont="1" applyFill="1" applyBorder="1" applyAlignment="1" applyProtection="1">
      <alignment horizontal="right" vertical="center"/>
      <protection locked="0"/>
    </xf>
    <xf numFmtId="0" fontId="2" fillId="0" borderId="54" xfId="1" applyFont="1" applyBorder="1" applyAlignment="1">
      <alignment horizontal="right" vertical="center"/>
    </xf>
    <xf numFmtId="0" fontId="2" fillId="8" borderId="11" xfId="1" applyFont="1" applyFill="1" applyBorder="1" applyAlignment="1">
      <alignment horizontal="right" vertical="center"/>
    </xf>
    <xf numFmtId="168" fontId="2" fillId="8" borderId="27" xfId="1" applyNumberFormat="1" applyFont="1" applyFill="1" applyBorder="1" applyAlignment="1" applyProtection="1">
      <alignment horizontal="right" vertical="center"/>
      <protection locked="0"/>
    </xf>
    <xf numFmtId="0" fontId="2" fillId="8" borderId="17" xfId="1" applyFont="1" applyFill="1" applyBorder="1" applyAlignment="1" applyProtection="1">
      <alignment vertical="center"/>
      <protection locked="0"/>
    </xf>
    <xf numFmtId="0" fontId="3" fillId="7" borderId="11" xfId="1" applyFont="1" applyFill="1" applyBorder="1" applyAlignment="1">
      <alignment vertical="center"/>
    </xf>
    <xf numFmtId="164" fontId="3" fillId="7" borderId="11" xfId="3" applyFont="1" applyFill="1" applyBorder="1" applyAlignment="1" applyProtection="1">
      <alignment horizontal="center" vertical="center"/>
    </xf>
    <xf numFmtId="0" fontId="2" fillId="7" borderId="11" xfId="1" applyFont="1" applyFill="1" applyBorder="1" applyAlignment="1">
      <alignment vertical="center"/>
    </xf>
    <xf numFmtId="0" fontId="3" fillId="7" borderId="11" xfId="1" applyFont="1" applyFill="1" applyBorder="1" applyAlignment="1">
      <alignment horizontal="center" vertical="center"/>
    </xf>
    <xf numFmtId="0" fontId="2" fillId="0" borderId="28" xfId="1" applyFont="1" applyBorder="1" applyAlignment="1" applyProtection="1">
      <alignment horizontal="center" vertical="center"/>
      <protection locked="0"/>
    </xf>
    <xf numFmtId="0" fontId="3" fillId="0" borderId="17" xfId="1" applyFont="1" applyBorder="1" applyAlignment="1">
      <alignment vertical="center"/>
    </xf>
    <xf numFmtId="4" fontId="2" fillId="0" borderId="26" xfId="1" applyNumberFormat="1" applyFont="1" applyBorder="1" applyAlignment="1">
      <alignment vertical="center"/>
    </xf>
    <xf numFmtId="0" fontId="3" fillId="0" borderId="49" xfId="1" quotePrefix="1" applyFont="1" applyBorder="1" applyAlignment="1">
      <alignment horizontal="left" vertical="center" wrapText="1"/>
    </xf>
    <xf numFmtId="0" fontId="3" fillId="0" borderId="31" xfId="1" quotePrefix="1" applyFont="1" applyBorder="1" applyAlignment="1">
      <alignment horizontal="left" vertical="center"/>
    </xf>
    <xf numFmtId="2" fontId="3" fillId="0" borderId="43" xfId="1" quotePrefix="1" applyNumberFormat="1" applyFont="1" applyBorder="1" applyAlignment="1" applyProtection="1">
      <alignment horizontal="center" vertical="center"/>
      <protection locked="0"/>
    </xf>
    <xf numFmtId="167" fontId="3" fillId="0" borderId="44" xfId="1" quotePrefix="1" applyNumberFormat="1" applyFont="1" applyBorder="1" applyAlignment="1" applyProtection="1">
      <alignment horizontal="center" vertical="center"/>
      <protection locked="0"/>
    </xf>
    <xf numFmtId="2" fontId="3" fillId="0" borderId="29" xfId="1" applyNumberFormat="1" applyFont="1" applyBorder="1" applyAlignment="1">
      <alignment horizontal="center" vertical="center"/>
    </xf>
    <xf numFmtId="2" fontId="2" fillId="0" borderId="29" xfId="1" applyNumberFormat="1" applyFont="1" applyBorder="1" applyAlignment="1">
      <alignment horizontal="center" vertical="center"/>
    </xf>
    <xf numFmtId="0" fontId="3" fillId="0" borderId="51" xfId="1" quotePrefix="1" applyFont="1" applyBorder="1" applyAlignment="1">
      <alignment horizontal="left" vertical="center" wrapText="1"/>
    </xf>
    <xf numFmtId="0" fontId="3" fillId="0" borderId="42" xfId="1" quotePrefix="1" applyFont="1" applyBorder="1" applyAlignment="1">
      <alignment horizontal="left" vertical="center"/>
    </xf>
    <xf numFmtId="2" fontId="3" fillId="0" borderId="41" xfId="1" quotePrefix="1" applyNumberFormat="1" applyFont="1" applyBorder="1" applyAlignment="1" applyProtection="1">
      <alignment horizontal="center" vertical="center"/>
      <protection locked="0"/>
    </xf>
    <xf numFmtId="167" fontId="3" fillId="0" borderId="32" xfId="1" quotePrefix="1" applyNumberFormat="1" applyFont="1" applyBorder="1" applyAlignment="1" applyProtection="1">
      <alignment horizontal="center" vertical="center"/>
      <protection locked="0"/>
    </xf>
    <xf numFmtId="2" fontId="3" fillId="0" borderId="6" xfId="1" applyNumberFormat="1" applyFont="1" applyBorder="1" applyAlignment="1">
      <alignment horizontal="center" vertical="center"/>
    </xf>
    <xf numFmtId="2" fontId="2" fillId="0" borderId="6" xfId="1" applyNumberFormat="1" applyFont="1" applyBorder="1" applyAlignment="1">
      <alignment horizontal="center" vertical="center"/>
    </xf>
    <xf numFmtId="0" fontId="3" fillId="0" borderId="51" xfId="1" applyFont="1" applyBorder="1" applyAlignment="1">
      <alignment vertical="center" wrapText="1"/>
    </xf>
    <xf numFmtId="0" fontId="3" fillId="0" borderId="42" xfId="1" applyFont="1" applyBorder="1" applyAlignment="1">
      <alignment vertical="center"/>
    </xf>
    <xf numFmtId="2" fontId="3" fillId="0" borderId="41" xfId="1" applyNumberFormat="1" applyFont="1" applyBorder="1" applyAlignment="1" applyProtection="1">
      <alignment horizontal="center" vertical="center"/>
      <protection locked="0"/>
    </xf>
    <xf numFmtId="167" fontId="3" fillId="0" borderId="32" xfId="1" applyNumberFormat="1" applyFont="1" applyBorder="1" applyAlignment="1" applyProtection="1">
      <alignment horizontal="center" vertical="center"/>
      <protection locked="0"/>
    </xf>
    <xf numFmtId="2" fontId="3" fillId="0" borderId="33" xfId="1" applyNumberFormat="1" applyFont="1" applyBorder="1" applyAlignment="1" applyProtection="1">
      <alignment horizontal="center" vertical="center"/>
      <protection locked="0"/>
    </xf>
    <xf numFmtId="0" fontId="2" fillId="0" borderId="51" xfId="1" applyFont="1" applyBorder="1" applyAlignment="1">
      <alignment vertical="center" wrapText="1"/>
    </xf>
    <xf numFmtId="0" fontId="2" fillId="4" borderId="42" xfId="1" applyFont="1" applyFill="1" applyBorder="1" applyAlignment="1">
      <alignment vertical="center"/>
    </xf>
    <xf numFmtId="4" fontId="2" fillId="0" borderId="59" xfId="1" applyNumberFormat="1" applyFont="1" applyBorder="1" applyAlignment="1">
      <alignment vertical="center"/>
    </xf>
    <xf numFmtId="2" fontId="3" fillId="0" borderId="30" xfId="1" applyNumberFormat="1" applyFont="1" applyBorder="1" applyAlignment="1" applyProtection="1">
      <alignment horizontal="left" vertical="center"/>
      <protection locked="0"/>
    </xf>
    <xf numFmtId="167" fontId="3" fillId="0" borderId="32" xfId="1" applyNumberFormat="1" applyFont="1" applyBorder="1" applyAlignment="1" applyProtection="1">
      <alignment horizontal="left" vertical="center"/>
      <protection locked="0"/>
    </xf>
    <xf numFmtId="2" fontId="3" fillId="0" borderId="6" xfId="1" applyNumberFormat="1" applyFont="1" applyBorder="1" applyAlignment="1" applyProtection="1">
      <alignment horizontal="left" vertical="center"/>
      <protection locked="0"/>
    </xf>
    <xf numFmtId="2" fontId="3" fillId="0" borderId="6" xfId="1" applyNumberFormat="1" applyFont="1" applyBorder="1" applyAlignment="1" applyProtection="1">
      <alignment horizontal="right" vertical="center"/>
      <protection locked="0"/>
    </xf>
    <xf numFmtId="2" fontId="2" fillId="0" borderId="6" xfId="1" applyNumberFormat="1" applyFont="1" applyBorder="1" applyAlignment="1" applyProtection="1">
      <alignment horizontal="right" vertical="center"/>
      <protection locked="0"/>
    </xf>
    <xf numFmtId="2" fontId="2" fillId="7" borderId="32" xfId="1" applyNumberFormat="1" applyFont="1" applyFill="1" applyBorder="1" applyAlignment="1" applyProtection="1">
      <alignment horizontal="center" vertical="center"/>
      <protection locked="0"/>
    </xf>
    <xf numFmtId="2" fontId="3" fillId="0" borderId="41" xfId="1" applyNumberFormat="1" applyFont="1" applyBorder="1" applyAlignment="1" applyProtection="1">
      <alignment horizontal="left" vertical="center"/>
      <protection locked="0"/>
    </xf>
    <xf numFmtId="2" fontId="2" fillId="0" borderId="29" xfId="1" applyNumberFormat="1" applyFont="1" applyBorder="1" applyAlignment="1" applyProtection="1">
      <alignment horizontal="right" vertical="center"/>
      <protection locked="0"/>
    </xf>
    <xf numFmtId="2" fontId="3" fillId="0" borderId="40" xfId="1" applyNumberFormat="1" applyFont="1" applyBorder="1" applyAlignment="1" applyProtection="1">
      <alignment horizontal="left" vertical="center"/>
      <protection locked="0"/>
    </xf>
    <xf numFmtId="167" fontId="3" fillId="0" borderId="38" xfId="1" applyNumberFormat="1" applyFont="1" applyBorder="1" applyAlignment="1" applyProtection="1">
      <alignment horizontal="left" vertical="center"/>
      <protection locked="0"/>
    </xf>
    <xf numFmtId="2" fontId="3" fillId="0" borderId="36" xfId="1" applyNumberFormat="1" applyFont="1" applyBorder="1" applyAlignment="1" applyProtection="1">
      <alignment horizontal="left" vertical="center"/>
      <protection locked="0"/>
    </xf>
    <xf numFmtId="2" fontId="3" fillId="0" borderId="37" xfId="1" applyNumberFormat="1" applyFont="1" applyBorder="1" applyAlignment="1" applyProtection="1">
      <alignment horizontal="left" vertical="center"/>
      <protection locked="0"/>
    </xf>
    <xf numFmtId="2" fontId="3" fillId="0" borderId="37" xfId="1" applyNumberFormat="1" applyFont="1" applyBorder="1" applyAlignment="1" applyProtection="1">
      <alignment horizontal="right" vertical="center"/>
      <protection locked="0"/>
    </xf>
    <xf numFmtId="2" fontId="2" fillId="0" borderId="1" xfId="1" applyNumberFormat="1" applyFont="1" applyBorder="1" applyAlignment="1" applyProtection="1">
      <alignment horizontal="right" vertical="center"/>
      <protection locked="0"/>
    </xf>
    <xf numFmtId="2" fontId="2" fillId="7" borderId="38" xfId="1" applyNumberFormat="1" applyFont="1" applyFill="1" applyBorder="1" applyAlignment="1" applyProtection="1">
      <alignment horizontal="center" vertical="center"/>
      <protection locked="0"/>
    </xf>
    <xf numFmtId="0" fontId="3" fillId="0" borderId="49" xfId="1" applyFont="1" applyBorder="1" applyAlignment="1">
      <alignment vertical="center" wrapText="1"/>
    </xf>
    <xf numFmtId="0" fontId="3" fillId="0" borderId="31" xfId="1" applyFont="1" applyBorder="1" applyAlignment="1">
      <alignment vertical="center"/>
    </xf>
    <xf numFmtId="2" fontId="3" fillId="0" borderId="43" xfId="1" applyNumberFormat="1" applyFont="1" applyBorder="1" applyAlignment="1" applyProtection="1">
      <alignment horizontal="center" vertical="center"/>
      <protection locked="0"/>
    </xf>
    <xf numFmtId="167" fontId="3" fillId="0" borderId="44" xfId="1" applyNumberFormat="1" applyFont="1" applyBorder="1" applyAlignment="1" applyProtection="1">
      <alignment horizontal="center" vertical="center"/>
      <protection locked="0"/>
    </xf>
    <xf numFmtId="2" fontId="3" fillId="0" borderId="6" xfId="1" quotePrefix="1" applyNumberFormat="1" applyFont="1" applyBorder="1" applyAlignment="1">
      <alignment horizontal="center" vertical="center"/>
    </xf>
    <xf numFmtId="0" fontId="3" fillId="0" borderId="30" xfId="2" applyBorder="1" applyAlignment="1">
      <alignment horizontal="center" vertical="center"/>
    </xf>
    <xf numFmtId="0" fontId="3" fillId="0" borderId="51" xfId="1" applyFont="1" applyBorder="1" applyAlignment="1">
      <alignment horizontal="left" vertical="center" wrapText="1"/>
    </xf>
    <xf numFmtId="2" fontId="3" fillId="7" borderId="32" xfId="1" applyNumberFormat="1" applyFont="1" applyFill="1" applyBorder="1" applyAlignment="1" applyProtection="1">
      <alignment horizontal="center" vertical="center"/>
      <protection locked="0"/>
    </xf>
    <xf numFmtId="2" fontId="3" fillId="7" borderId="38" xfId="1" applyNumberFormat="1" applyFont="1" applyFill="1" applyBorder="1" applyAlignment="1" applyProtection="1">
      <alignment horizontal="center" vertical="center"/>
      <protection locked="0"/>
    </xf>
    <xf numFmtId="0" fontId="3" fillId="0" borderId="36" xfId="2" applyBorder="1" applyAlignment="1">
      <alignment horizontal="center" vertical="center"/>
    </xf>
    <xf numFmtId="0" fontId="3" fillId="0" borderId="37" xfId="2" applyBorder="1" applyAlignment="1">
      <alignment horizontal="center" vertical="center"/>
    </xf>
    <xf numFmtId="0" fontId="3" fillId="0" borderId="52" xfId="1" applyFont="1" applyBorder="1" applyAlignment="1">
      <alignment vertical="center" wrapText="1"/>
    </xf>
    <xf numFmtId="0" fontId="3" fillId="0" borderId="74" xfId="1" applyFont="1" applyBorder="1" applyAlignment="1">
      <alignment vertical="center"/>
    </xf>
    <xf numFmtId="2" fontId="3" fillId="0" borderId="40" xfId="1" applyNumberFormat="1" applyFont="1" applyBorder="1" applyAlignment="1" applyProtection="1">
      <alignment horizontal="center" vertical="center"/>
      <protection locked="0"/>
    </xf>
    <xf numFmtId="167" fontId="3" fillId="0" borderId="38" xfId="1" quotePrefix="1" applyNumberFormat="1" applyFont="1" applyBorder="1" applyAlignment="1" applyProtection="1">
      <alignment horizontal="center" vertical="center"/>
      <protection locked="0"/>
    </xf>
    <xf numFmtId="2" fontId="3" fillId="0" borderId="37" xfId="1" applyNumberFormat="1" applyFont="1" applyBorder="1" applyAlignment="1">
      <alignment horizontal="center" vertical="center"/>
    </xf>
    <xf numFmtId="0" fontId="3" fillId="0" borderId="75" xfId="2" applyBorder="1" applyAlignment="1">
      <alignment horizontal="center" vertical="center"/>
    </xf>
    <xf numFmtId="0" fontId="3" fillId="0" borderId="76" xfId="2" applyBorder="1" applyAlignment="1">
      <alignment horizontal="center" vertical="center"/>
    </xf>
    <xf numFmtId="0" fontId="3" fillId="0" borderId="21" xfId="1" applyFont="1" applyBorder="1" applyAlignment="1">
      <alignment vertical="center" wrapText="1"/>
    </xf>
    <xf numFmtId="0" fontId="3" fillId="0" borderId="50" xfId="1" applyFont="1" applyBorder="1" applyAlignment="1">
      <alignment vertical="center"/>
    </xf>
    <xf numFmtId="2" fontId="3" fillId="0" borderId="77" xfId="1" applyNumberFormat="1" applyFont="1" applyBorder="1" applyAlignment="1" applyProtection="1">
      <alignment horizontal="center" vertical="center"/>
      <protection locked="0"/>
    </xf>
    <xf numFmtId="167" fontId="3" fillId="0" borderId="78" xfId="1" applyNumberFormat="1" applyFont="1" applyBorder="1" applyAlignment="1" applyProtection="1">
      <alignment horizontal="center" vertical="center"/>
      <protection locked="0"/>
    </xf>
    <xf numFmtId="2" fontId="3" fillId="0" borderId="76" xfId="1" applyNumberFormat="1" applyFont="1" applyBorder="1" applyAlignment="1">
      <alignment horizontal="center" vertical="center"/>
    </xf>
    <xf numFmtId="0" fontId="3" fillId="0" borderId="25" xfId="2" applyBorder="1" applyAlignment="1">
      <alignment horizontal="center" vertical="center"/>
    </xf>
    <xf numFmtId="0" fontId="3" fillId="0" borderId="73" xfId="1" applyFont="1" applyBorder="1" applyAlignment="1">
      <alignment vertical="center" wrapText="1"/>
    </xf>
    <xf numFmtId="0" fontId="3" fillId="0" borderId="8" xfId="1" applyFont="1" applyBorder="1" applyAlignment="1">
      <alignment vertical="center"/>
    </xf>
    <xf numFmtId="2" fontId="3" fillId="0" borderId="25" xfId="1" quotePrefix="1" applyNumberFormat="1" applyFont="1" applyBorder="1" applyAlignment="1" applyProtection="1">
      <alignment horizontal="center" vertical="center"/>
      <protection locked="0"/>
    </xf>
    <xf numFmtId="2" fontId="3" fillId="0" borderId="23" xfId="1" applyNumberFormat="1" applyFont="1" applyBorder="1" applyAlignment="1">
      <alignment horizontal="center" vertical="center"/>
    </xf>
    <xf numFmtId="0" fontId="3" fillId="0" borderId="6" xfId="2" applyBorder="1" applyAlignment="1">
      <alignment horizontal="center" vertical="center"/>
    </xf>
    <xf numFmtId="167" fontId="3" fillId="0" borderId="38" xfId="1" applyNumberFormat="1" applyFont="1" applyBorder="1" applyAlignment="1" applyProtection="1">
      <alignment horizontal="center" vertical="center"/>
      <protection locked="0"/>
    </xf>
    <xf numFmtId="0" fontId="3" fillId="0" borderId="51" xfId="1" applyFont="1" applyBorder="1" applyAlignment="1">
      <alignment horizontal="left" vertical="center" wrapText="1" readingOrder="1"/>
    </xf>
    <xf numFmtId="0" fontId="3" fillId="0" borderId="32" xfId="1" applyFont="1" applyBorder="1" applyAlignment="1" applyProtection="1">
      <alignment horizontal="center" vertical="center"/>
      <protection locked="0"/>
    </xf>
    <xf numFmtId="0" fontId="3" fillId="0" borderId="73" xfId="1" applyFont="1" applyBorder="1" applyAlignment="1">
      <alignment horizontal="left" vertical="center" wrapText="1"/>
    </xf>
    <xf numFmtId="2" fontId="3" fillId="0" borderId="79" xfId="1" applyNumberFormat="1" applyFont="1" applyBorder="1" applyAlignment="1" applyProtection="1">
      <alignment horizontal="center" vertical="center"/>
      <protection locked="0"/>
    </xf>
    <xf numFmtId="167" fontId="3" fillId="0" borderId="80" xfId="1" applyNumberFormat="1" applyFont="1" applyBorder="1" applyAlignment="1" applyProtection="1">
      <alignment horizontal="center" vertical="center"/>
      <protection locked="0"/>
    </xf>
    <xf numFmtId="0" fontId="3" fillId="0" borderId="23" xfId="1" applyFont="1" applyBorder="1" applyAlignment="1">
      <alignment horizontal="center" vertical="center" wrapText="1" readingOrder="1"/>
    </xf>
    <xf numFmtId="0" fontId="3" fillId="0" borderId="24" xfId="1" applyFont="1" applyBorder="1" applyAlignment="1">
      <alignment vertical="center"/>
    </xf>
    <xf numFmtId="0" fontId="3" fillId="0" borderId="52" xfId="1" applyFont="1" applyBorder="1" applyAlignment="1">
      <alignment horizontal="left" vertical="center" wrapText="1"/>
    </xf>
    <xf numFmtId="0" fontId="3" fillId="0" borderId="32" xfId="1" applyFont="1" applyBorder="1" applyAlignment="1">
      <alignment horizontal="left" vertical="center" wrapText="1"/>
    </xf>
    <xf numFmtId="0" fontId="3" fillId="0" borderId="78" xfId="1" applyFont="1" applyBorder="1" applyAlignment="1">
      <alignment horizontal="left" vertical="center" wrapText="1"/>
    </xf>
    <xf numFmtId="0" fontId="2" fillId="0" borderId="21" xfId="1" applyFont="1" applyBorder="1" applyAlignment="1">
      <alignment vertical="center" wrapText="1"/>
    </xf>
    <xf numFmtId="2" fontId="3" fillId="0" borderId="82" xfId="1" applyNumberFormat="1" applyFont="1" applyBorder="1" applyAlignment="1" applyProtection="1">
      <alignment horizontal="center" vertical="center"/>
      <protection locked="0"/>
    </xf>
    <xf numFmtId="2" fontId="3" fillId="0" borderId="77" xfId="1" applyNumberFormat="1" applyFont="1" applyBorder="1" applyAlignment="1" applyProtection="1">
      <alignment horizontal="center" vertical="center" wrapText="1"/>
      <protection locked="0"/>
    </xf>
    <xf numFmtId="0" fontId="3" fillId="0" borderId="23" xfId="2" applyBorder="1" applyAlignment="1">
      <alignment horizontal="center" vertical="center"/>
    </xf>
    <xf numFmtId="2" fontId="3" fillId="0" borderId="6" xfId="1" applyNumberFormat="1" applyFont="1" applyBorder="1" applyAlignment="1" applyProtection="1">
      <alignment horizontal="center" vertical="center"/>
      <protection locked="0"/>
    </xf>
    <xf numFmtId="2" fontId="2" fillId="0" borderId="6" xfId="1" applyNumberFormat="1" applyFont="1" applyBorder="1" applyAlignment="1" applyProtection="1">
      <alignment horizontal="center" vertical="center"/>
      <protection locked="0"/>
    </xf>
    <xf numFmtId="0" fontId="2" fillId="0" borderId="42" xfId="1" applyFont="1" applyBorder="1" applyAlignment="1">
      <alignment vertical="center"/>
    </xf>
    <xf numFmtId="0" fontId="2" fillId="0" borderId="35" xfId="1" applyFont="1" applyBorder="1" applyAlignment="1">
      <alignment horizontal="left" vertical="center"/>
    </xf>
    <xf numFmtId="0" fontId="2" fillId="0" borderId="26" xfId="1" applyFont="1" applyBorder="1" applyAlignment="1">
      <alignment horizontal="left" vertical="center"/>
    </xf>
    <xf numFmtId="167" fontId="3" fillId="0" borderId="26" xfId="1" applyNumberFormat="1" applyFont="1" applyBorder="1" applyAlignment="1" applyProtection="1">
      <alignment horizontal="center" vertical="center"/>
      <protection locked="0"/>
    </xf>
    <xf numFmtId="2" fontId="3" fillId="0" borderId="26" xfId="1" applyNumberFormat="1" applyFont="1" applyBorder="1" applyAlignment="1" applyProtection="1">
      <alignment horizontal="center" vertical="center"/>
      <protection locked="0"/>
    </xf>
    <xf numFmtId="2" fontId="3" fillId="0" borderId="26" xfId="1" applyNumberFormat="1" applyFont="1" applyBorder="1" applyAlignment="1">
      <alignment horizontal="center" vertical="center"/>
    </xf>
    <xf numFmtId="0" fontId="44" fillId="0" borderId="0" xfId="13" applyFont="1"/>
    <xf numFmtId="0" fontId="3" fillId="8" borderId="43" xfId="13" applyFont="1" applyFill="1" applyBorder="1" applyAlignment="1" applyProtection="1">
      <alignment horizontal="center"/>
      <protection locked="0"/>
    </xf>
    <xf numFmtId="0" fontId="3" fillId="8" borderId="123" xfId="13" applyFont="1" applyFill="1" applyBorder="1" applyAlignment="1" applyProtection="1">
      <alignment horizontal="center"/>
      <protection locked="0"/>
    </xf>
    <xf numFmtId="1" fontId="5" fillId="2" borderId="89" xfId="13" applyNumberFormat="1" applyFont="1" applyFill="1" applyBorder="1" applyAlignment="1" applyProtection="1">
      <alignment horizontal="center"/>
      <protection locked="0"/>
    </xf>
    <xf numFmtId="4" fontId="5" fillId="4" borderId="35" xfId="1" applyNumberFormat="1" applyFont="1" applyFill="1" applyBorder="1" applyAlignment="1" applyProtection="1">
      <alignment vertical="center"/>
      <protection locked="0"/>
    </xf>
    <xf numFmtId="49" fontId="14" fillId="0" borderId="16" xfId="4" applyNumberFormat="1" applyFont="1" applyBorder="1" applyAlignment="1">
      <alignment horizontal="left" vertical="center"/>
    </xf>
    <xf numFmtId="39" fontId="43" fillId="0" borderId="12" xfId="3" applyNumberFormat="1" applyFont="1" applyFill="1" applyBorder="1" applyAlignment="1" applyProtection="1">
      <alignment horizontal="center" vertical="center"/>
    </xf>
    <xf numFmtId="39" fontId="43" fillId="0" borderId="10" xfId="3" applyNumberFormat="1" applyFont="1" applyFill="1" applyBorder="1" applyAlignment="1" applyProtection="1">
      <alignment horizontal="center" vertical="center"/>
    </xf>
    <xf numFmtId="39" fontId="43" fillId="10" borderId="60" xfId="3" applyNumberFormat="1" applyFont="1" applyFill="1" applyBorder="1" applyAlignment="1" applyProtection="1">
      <alignment horizontal="center" vertical="center"/>
    </xf>
    <xf numFmtId="0" fontId="2" fillId="8" borderId="10" xfId="1" applyFont="1" applyFill="1" applyBorder="1" applyAlignment="1" applyProtection="1">
      <alignment vertical="center"/>
      <protection locked="0"/>
    </xf>
    <xf numFmtId="0" fontId="3" fillId="8" borderId="13" xfId="1" applyFont="1" applyFill="1" applyBorder="1" applyAlignment="1" applyProtection="1">
      <alignment vertical="center"/>
      <protection locked="0"/>
    </xf>
    <xf numFmtId="0" fontId="2" fillId="7" borderId="10" xfId="1" applyFont="1" applyFill="1" applyBorder="1" applyAlignment="1">
      <alignment vertical="center"/>
    </xf>
    <xf numFmtId="0" fontId="3" fillId="7" borderId="13" xfId="1" applyFont="1" applyFill="1" applyBorder="1" applyAlignment="1">
      <alignment vertical="center"/>
    </xf>
    <xf numFmtId="0" fontId="3" fillId="0" borderId="61" xfId="4" applyBorder="1" applyAlignment="1">
      <alignment vertical="center"/>
    </xf>
    <xf numFmtId="0" fontId="3" fillId="7" borderId="15" xfId="1" applyFont="1" applyFill="1" applyBorder="1" applyAlignment="1">
      <alignment horizontal="left" vertical="center"/>
    </xf>
    <xf numFmtId="49" fontId="45" fillId="0" borderId="14" xfId="4" applyNumberFormat="1" applyFont="1" applyBorder="1" applyAlignment="1">
      <alignment horizontal="center" vertical="center"/>
    </xf>
    <xf numFmtId="0" fontId="45" fillId="9" borderId="15" xfId="1" applyFont="1" applyFill="1" applyBorder="1" applyAlignment="1" applyProtection="1">
      <alignment horizontal="center" vertical="center"/>
      <protection locked="0"/>
    </xf>
    <xf numFmtId="0" fontId="3" fillId="7" borderId="15" xfId="1" applyFont="1" applyFill="1" applyBorder="1" applyAlignment="1">
      <alignment vertical="center"/>
    </xf>
    <xf numFmtId="49" fontId="43" fillId="0" borderId="14" xfId="4" applyNumberFormat="1" applyFont="1" applyBorder="1" applyAlignment="1">
      <alignment vertical="center"/>
    </xf>
    <xf numFmtId="49" fontId="3" fillId="0" borderId="14" xfId="4" applyNumberFormat="1" applyBorder="1" applyAlignment="1">
      <alignment horizontal="center" vertical="center"/>
    </xf>
    <xf numFmtId="49" fontId="43" fillId="0" borderId="16" xfId="4" applyNumberFormat="1" applyFont="1" applyBorder="1" applyAlignment="1">
      <alignment vertical="center"/>
    </xf>
    <xf numFmtId="49" fontId="43" fillId="0" borderId="11" xfId="4" applyNumberFormat="1" applyFont="1" applyBorder="1" applyAlignment="1">
      <alignment vertical="center"/>
    </xf>
    <xf numFmtId="0" fontId="3" fillId="7" borderId="17" xfId="1" applyFont="1" applyFill="1" applyBorder="1" applyAlignment="1">
      <alignment vertical="center"/>
    </xf>
    <xf numFmtId="49" fontId="2" fillId="0" borderId="20" xfId="4" applyNumberFormat="1" applyFont="1" applyBorder="1" applyAlignment="1">
      <alignment horizontal="left" vertical="center"/>
    </xf>
    <xf numFmtId="0" fontId="2" fillId="0" borderId="57" xfId="4" applyFont="1" applyBorder="1" applyAlignment="1">
      <alignment horizontal="left" vertical="center"/>
    </xf>
    <xf numFmtId="49" fontId="2" fillId="5" borderId="57" xfId="4" applyNumberFormat="1" applyFont="1" applyFill="1" applyBorder="1" applyAlignment="1">
      <alignment horizontal="center" vertical="center"/>
    </xf>
    <xf numFmtId="49" fontId="2" fillId="5" borderId="21" xfId="4" applyNumberFormat="1" applyFont="1" applyFill="1" applyBorder="1" applyAlignment="1" applyProtection="1">
      <alignment horizontal="center" vertical="center"/>
      <protection locked="0"/>
    </xf>
    <xf numFmtId="0" fontId="2" fillId="5" borderId="20" xfId="4" applyFont="1" applyFill="1" applyBorder="1" applyAlignment="1">
      <alignment horizontal="left" vertical="center"/>
    </xf>
    <xf numFmtId="0" fontId="2" fillId="5" borderId="19" xfId="4" applyFont="1" applyFill="1" applyBorder="1" applyAlignment="1">
      <alignment horizontal="left" vertical="center"/>
    </xf>
    <xf numFmtId="0" fontId="2" fillId="5" borderId="19" xfId="4" applyFont="1" applyFill="1" applyBorder="1" applyAlignment="1" applyProtection="1">
      <alignment horizontal="left" vertical="center"/>
      <protection locked="0"/>
    </xf>
    <xf numFmtId="49" fontId="2" fillId="0" borderId="62" xfId="4" applyNumberFormat="1" applyFont="1" applyBorder="1" applyAlignment="1">
      <alignment horizontal="left" vertical="center"/>
    </xf>
    <xf numFmtId="0" fontId="2" fillId="0" borderId="69" xfId="4" applyFont="1" applyBorder="1" applyAlignment="1">
      <alignment horizontal="left" vertical="center"/>
    </xf>
    <xf numFmtId="49" fontId="2" fillId="5" borderId="69" xfId="4" applyNumberFormat="1" applyFont="1" applyFill="1" applyBorder="1" applyAlignment="1">
      <alignment horizontal="center" vertical="center"/>
    </xf>
    <xf numFmtId="49" fontId="2" fillId="5" borderId="51" xfId="4" applyNumberFormat="1" applyFont="1" applyFill="1" applyBorder="1" applyAlignment="1" applyProtection="1">
      <alignment horizontal="center" vertical="center"/>
      <protection locked="0"/>
    </xf>
    <xf numFmtId="0" fontId="2" fillId="5" borderId="62" xfId="4" applyFont="1" applyFill="1" applyBorder="1" applyAlignment="1">
      <alignment horizontal="left" vertical="center"/>
    </xf>
    <xf numFmtId="0" fontId="2" fillId="5" borderId="59" xfId="4" applyFont="1" applyFill="1" applyBorder="1" applyAlignment="1">
      <alignment horizontal="left" vertical="center"/>
    </xf>
    <xf numFmtId="0" fontId="2" fillId="5" borderId="59" xfId="4" applyFont="1" applyFill="1" applyBorder="1" applyAlignment="1" applyProtection="1">
      <alignment horizontal="left" vertical="center"/>
      <protection locked="0"/>
    </xf>
    <xf numFmtId="49" fontId="2" fillId="0" borderId="16" xfId="4" applyNumberFormat="1" applyFont="1" applyBorder="1" applyAlignment="1">
      <alignment horizontal="left" vertical="center"/>
    </xf>
    <xf numFmtId="0" fontId="2" fillId="0" borderId="54" xfId="4" applyFont="1" applyBorder="1" applyAlignment="1">
      <alignment horizontal="left" vertical="center"/>
    </xf>
    <xf numFmtId="49" fontId="2" fillId="5" borderId="11" xfId="4" applyNumberFormat="1" applyFont="1" applyFill="1" applyBorder="1" applyAlignment="1">
      <alignment horizontal="center" vertical="center"/>
    </xf>
    <xf numFmtId="49" fontId="2" fillId="5" borderId="68" xfId="4" applyNumberFormat="1" applyFont="1" applyFill="1" applyBorder="1" applyAlignment="1" applyProtection="1">
      <alignment horizontal="center" vertical="center"/>
      <protection locked="0"/>
    </xf>
    <xf numFmtId="49" fontId="2" fillId="5" borderId="17" xfId="4" applyNumberFormat="1" applyFont="1" applyFill="1" applyBorder="1" applyAlignment="1" applyProtection="1">
      <alignment horizontal="center" vertical="center"/>
      <protection locked="0"/>
    </xf>
    <xf numFmtId="0" fontId="2" fillId="5" borderId="16" xfId="4" applyFont="1" applyFill="1" applyBorder="1" applyAlignment="1">
      <alignment horizontal="left" vertical="center"/>
    </xf>
    <xf numFmtId="0" fontId="2" fillId="5" borderId="11" xfId="4" applyFont="1" applyFill="1" applyBorder="1" applyAlignment="1">
      <alignment horizontal="left" vertical="center"/>
    </xf>
    <xf numFmtId="0" fontId="2" fillId="5" borderId="11" xfId="4" applyFont="1" applyFill="1" applyBorder="1" applyAlignment="1" applyProtection="1">
      <alignment horizontal="left" vertical="center"/>
      <protection locked="0"/>
    </xf>
    <xf numFmtId="49" fontId="2" fillId="0" borderId="12" xfId="4" applyNumberFormat="1" applyFont="1" applyBorder="1" applyAlignment="1">
      <alignment horizontal="center" vertical="center" wrapText="1"/>
    </xf>
    <xf numFmtId="49" fontId="2" fillId="0" borderId="18" xfId="4" applyNumberFormat="1" applyFont="1" applyBorder="1" applyAlignment="1">
      <alignment horizontal="center" vertical="center" wrapText="1"/>
    </xf>
    <xf numFmtId="0" fontId="2" fillId="0" borderId="13" xfId="4" applyFont="1" applyBorder="1" applyAlignment="1">
      <alignment horizontal="center" vertical="center" wrapText="1"/>
    </xf>
    <xf numFmtId="0" fontId="2" fillId="4" borderId="13" xfId="1" applyFont="1" applyFill="1" applyBorder="1" applyAlignment="1">
      <alignment vertical="center" textRotation="90"/>
    </xf>
    <xf numFmtId="0" fontId="2" fillId="0" borderId="34" xfId="1" applyFont="1" applyBorder="1" applyAlignment="1" applyProtection="1">
      <alignment horizontal="center" vertical="center"/>
      <protection locked="0"/>
    </xf>
    <xf numFmtId="2" fontId="2" fillId="0" borderId="3" xfId="1" applyNumberFormat="1" applyFont="1" applyBorder="1" applyAlignment="1">
      <alignment horizontal="center" vertical="center"/>
    </xf>
    <xf numFmtId="0" fontId="3" fillId="0" borderId="26" xfId="1" applyFont="1" applyBorder="1" applyAlignment="1">
      <alignment horizontal="center" vertical="center"/>
    </xf>
    <xf numFmtId="0" fontId="2" fillId="0" borderId="26" xfId="1" applyFont="1" applyBorder="1" applyAlignment="1">
      <alignment horizontal="center" vertical="center"/>
    </xf>
    <xf numFmtId="0" fontId="2" fillId="0" borderId="46" xfId="1" applyFont="1" applyBorder="1" applyAlignment="1">
      <alignment horizontal="center" vertical="center"/>
    </xf>
    <xf numFmtId="0" fontId="2" fillId="0" borderId="3" xfId="4" applyFont="1" applyBorder="1" applyAlignment="1">
      <alignment horizontal="centerContinuous" vertical="center"/>
    </xf>
    <xf numFmtId="0" fontId="2" fillId="0" borderId="26" xfId="4" applyFont="1" applyBorder="1" applyAlignment="1">
      <alignment horizontal="centerContinuous" vertical="center"/>
    </xf>
    <xf numFmtId="0" fontId="3" fillId="0" borderId="16" xfId="4" quotePrefix="1" applyBorder="1" applyAlignment="1">
      <alignment horizontal="center" vertical="center"/>
    </xf>
    <xf numFmtId="0" fontId="3" fillId="0" borderId="22" xfId="4" applyBorder="1" applyAlignment="1">
      <alignment horizontal="center" vertical="center"/>
    </xf>
    <xf numFmtId="0" fontId="2" fillId="0" borderId="17" xfId="4" applyFont="1" applyBorder="1" applyAlignment="1">
      <alignment vertical="center"/>
    </xf>
    <xf numFmtId="2" fontId="2" fillId="0" borderId="34" xfId="1" applyNumberFormat="1" applyFont="1" applyBorder="1" applyAlignment="1" applyProtection="1">
      <alignment horizontal="center" vertical="center"/>
      <protection locked="0"/>
    </xf>
    <xf numFmtId="167" fontId="2" fillId="0" borderId="28" xfId="1" applyNumberFormat="1" applyFont="1" applyBorder="1" applyAlignment="1" applyProtection="1">
      <alignment horizontal="center" vertical="center"/>
      <protection locked="0"/>
    </xf>
    <xf numFmtId="2" fontId="2" fillId="0" borderId="34" xfId="1" applyNumberFormat="1" applyFont="1" applyBorder="1" applyAlignment="1">
      <alignment horizontal="center" vertical="center"/>
    </xf>
    <xf numFmtId="2" fontId="2" fillId="0" borderId="5" xfId="1" applyNumberFormat="1" applyFont="1" applyBorder="1" applyAlignment="1">
      <alignment horizontal="center" vertical="center"/>
    </xf>
    <xf numFmtId="2" fontId="2" fillId="0" borderId="39" xfId="1" applyNumberFormat="1" applyFont="1" applyBorder="1" applyAlignment="1">
      <alignment horizontal="center" vertical="center"/>
    </xf>
    <xf numFmtId="2" fontId="3" fillId="0" borderId="48" xfId="1" applyNumberFormat="1" applyFont="1" applyBorder="1" applyAlignment="1">
      <alignment horizontal="center" vertical="center"/>
    </xf>
    <xf numFmtId="2" fontId="2" fillId="0" borderId="2" xfId="4" applyNumberFormat="1" applyFont="1" applyBorder="1" applyAlignment="1">
      <alignment horizontal="center" vertical="center"/>
    </xf>
    <xf numFmtId="2" fontId="2" fillId="0" borderId="5" xfId="4" applyNumberFormat="1" applyFont="1" applyBorder="1" applyAlignment="1">
      <alignment horizontal="center" vertical="center"/>
    </xf>
    <xf numFmtId="165" fontId="2" fillId="0" borderId="5" xfId="1" applyNumberFormat="1" applyFont="1" applyBorder="1" applyAlignment="1">
      <alignment horizontal="center" vertical="center" wrapText="1"/>
    </xf>
    <xf numFmtId="165" fontId="2" fillId="0" borderId="28" xfId="1" applyNumberFormat="1" applyFont="1" applyBorder="1" applyAlignment="1">
      <alignment horizontal="center" vertical="center"/>
    </xf>
    <xf numFmtId="0" fontId="2" fillId="0" borderId="0" xfId="4" applyFont="1" applyAlignment="1">
      <alignment vertical="center"/>
    </xf>
    <xf numFmtId="0" fontId="3" fillId="0" borderId="0" xfId="4" applyAlignment="1">
      <alignment vertical="center"/>
    </xf>
    <xf numFmtId="0" fontId="3" fillId="0" borderId="0" xfId="4"/>
    <xf numFmtId="0" fontId="47" fillId="0" borderId="59" xfId="4" applyFont="1" applyBorder="1" applyAlignment="1">
      <alignment horizontal="centerContinuous" vertical="center"/>
    </xf>
    <xf numFmtId="0" fontId="47" fillId="0" borderId="41" xfId="4" applyFont="1" applyBorder="1" applyAlignment="1">
      <alignment horizontal="centerContinuous" vertical="center"/>
    </xf>
    <xf numFmtId="0" fontId="2" fillId="0" borderId="41" xfId="4" applyFont="1" applyBorder="1" applyAlignment="1">
      <alignment horizontal="center" vertical="center" textRotation="90" wrapText="1"/>
    </xf>
    <xf numFmtId="49" fontId="45" fillId="0" borderId="30" xfId="4" quotePrefix="1" applyNumberFormat="1" applyFont="1" applyBorder="1" applyAlignment="1" applyProtection="1">
      <alignment horizontal="center" vertical="center"/>
      <protection locked="0"/>
    </xf>
    <xf numFmtId="49" fontId="45" fillId="0" borderId="6" xfId="4" quotePrefix="1" applyNumberFormat="1" applyFont="1" applyBorder="1" applyAlignment="1" applyProtection="1">
      <alignment horizontal="center" vertical="center"/>
      <protection locked="0"/>
    </xf>
    <xf numFmtId="0" fontId="3" fillId="7" borderId="32" xfId="4" applyFill="1" applyBorder="1" applyAlignment="1" applyProtection="1">
      <alignment horizontal="left" vertical="center" wrapText="1"/>
      <protection locked="0"/>
    </xf>
    <xf numFmtId="0" fontId="2" fillId="7" borderId="51" xfId="1" applyFont="1" applyFill="1" applyBorder="1" applyAlignment="1" applyProtection="1">
      <alignment vertical="center"/>
      <protection locked="0"/>
    </xf>
    <xf numFmtId="4" fontId="3" fillId="5" borderId="29" xfId="4" applyNumberFormat="1" applyFill="1" applyBorder="1" applyAlignment="1" applyProtection="1">
      <alignment vertical="center"/>
      <protection locked="0"/>
    </xf>
    <xf numFmtId="4" fontId="3" fillId="0" borderId="6" xfId="1" applyNumberFormat="1" applyFont="1" applyBorder="1" applyAlignment="1">
      <alignment vertical="center"/>
    </xf>
    <xf numFmtId="4" fontId="3" fillId="0" borderId="32" xfId="1" applyNumberFormat="1" applyFont="1" applyBorder="1" applyAlignment="1">
      <alignment vertical="center"/>
    </xf>
    <xf numFmtId="4" fontId="3" fillId="0" borderId="4" xfId="1" applyNumberFormat="1" applyFont="1" applyBorder="1" applyAlignment="1">
      <alignment vertical="center"/>
    </xf>
    <xf numFmtId="0" fontId="3" fillId="7" borderId="44" xfId="4" applyFill="1" applyBorder="1" applyAlignment="1" applyProtection="1">
      <alignment horizontal="left" vertical="center" wrapText="1"/>
      <protection locked="0"/>
    </xf>
    <xf numFmtId="49" fontId="45" fillId="0" borderId="25" xfId="4" quotePrefix="1" applyNumberFormat="1" applyFont="1" applyBorder="1" applyAlignment="1" applyProtection="1">
      <alignment horizontal="center" vertical="center"/>
      <protection locked="0"/>
    </xf>
    <xf numFmtId="49" fontId="45" fillId="0" borderId="23" xfId="4" quotePrefix="1" applyNumberFormat="1" applyFont="1" applyBorder="1" applyAlignment="1" applyProtection="1">
      <alignment horizontal="center" vertical="center"/>
      <protection locked="0"/>
    </xf>
    <xf numFmtId="0" fontId="3" fillId="7" borderId="48" xfId="4" applyFill="1" applyBorder="1" applyAlignment="1" applyProtection="1">
      <alignment horizontal="left" vertical="center" wrapText="1"/>
      <protection locked="0"/>
    </xf>
    <xf numFmtId="0" fontId="2" fillId="7" borderId="52" xfId="1" applyFont="1" applyFill="1" applyBorder="1" applyAlignment="1" applyProtection="1">
      <alignment vertical="center"/>
      <protection locked="0"/>
    </xf>
    <xf numFmtId="4" fontId="3" fillId="0" borderId="37" xfId="1" applyNumberFormat="1" applyFont="1" applyBorder="1" applyAlignment="1">
      <alignment vertical="center"/>
    </xf>
    <xf numFmtId="0" fontId="3" fillId="0" borderId="0" xfId="4" applyAlignment="1">
      <alignment horizontal="center" vertical="center"/>
    </xf>
    <xf numFmtId="4" fontId="3" fillId="5" borderId="6" xfId="4" applyNumberFormat="1" applyFill="1" applyBorder="1" applyAlignment="1" applyProtection="1">
      <alignment vertical="center"/>
      <protection locked="0"/>
    </xf>
    <xf numFmtId="4" fontId="3" fillId="5" borderId="1" xfId="4" applyNumberFormat="1" applyFill="1" applyBorder="1" applyAlignment="1" applyProtection="1">
      <alignment vertical="center"/>
      <protection locked="0"/>
    </xf>
    <xf numFmtId="49" fontId="45" fillId="0" borderId="30" xfId="4" quotePrefix="1" applyNumberFormat="1" applyFont="1" applyBorder="1" applyAlignment="1" applyProtection="1">
      <alignment horizontal="left" vertical="center"/>
      <protection locked="0"/>
    </xf>
    <xf numFmtId="0" fontId="3" fillId="0" borderId="0" xfId="4" applyAlignment="1">
      <alignment horizontal="left"/>
    </xf>
    <xf numFmtId="0" fontId="3" fillId="0" borderId="0" xfId="4" applyProtection="1">
      <protection locked="0"/>
    </xf>
    <xf numFmtId="2" fontId="3" fillId="0" borderId="0" xfId="4" applyNumberFormat="1"/>
    <xf numFmtId="0" fontId="3" fillId="0" borderId="0" xfId="4" quotePrefix="1"/>
    <xf numFmtId="0" fontId="2" fillId="0" borderId="0" xfId="4" applyFont="1"/>
    <xf numFmtId="49" fontId="51" fillId="0" borderId="11" xfId="4" applyNumberFormat="1" applyFont="1" applyBorder="1" applyAlignment="1">
      <alignment horizontal="left" vertical="center"/>
    </xf>
    <xf numFmtId="0" fontId="52" fillId="0" borderId="11" xfId="4" applyFont="1" applyBorder="1" applyAlignment="1">
      <alignment horizontal="left" vertical="center"/>
    </xf>
    <xf numFmtId="0" fontId="52" fillId="0" borderId="11" xfId="4" applyFont="1" applyBorder="1" applyAlignment="1" applyProtection="1">
      <alignment horizontal="left" vertical="center"/>
      <protection locked="0"/>
    </xf>
    <xf numFmtId="0" fontId="52" fillId="0" borderId="17" xfId="4" applyFont="1" applyBorder="1" applyAlignment="1" applyProtection="1">
      <alignment horizontal="left" vertical="center"/>
      <protection locked="0"/>
    </xf>
    <xf numFmtId="0" fontId="18" fillId="0" borderId="0" xfId="4" applyFont="1" applyAlignment="1">
      <alignment horizontal="left" vertical="center"/>
    </xf>
    <xf numFmtId="0" fontId="52" fillId="0" borderId="0" xfId="4" applyFont="1" applyAlignment="1">
      <alignment horizontal="left" vertical="center"/>
    </xf>
    <xf numFmtId="0" fontId="52" fillId="0" borderId="0" xfId="4" applyFont="1" applyAlignment="1">
      <alignment horizontal="left"/>
    </xf>
    <xf numFmtId="0" fontId="3" fillId="10" borderId="12" xfId="4" applyFill="1" applyBorder="1" applyAlignment="1">
      <alignment horizontal="centerContinuous" vertical="center"/>
    </xf>
    <xf numFmtId="39" fontId="43" fillId="10" borderId="10" xfId="3" applyNumberFormat="1" applyFont="1" applyFill="1" applyBorder="1" applyAlignment="1" applyProtection="1">
      <alignment horizontal="centerContinuous" vertical="center"/>
    </xf>
    <xf numFmtId="0" fontId="3" fillId="7" borderId="10" xfId="4" applyFill="1" applyBorder="1" applyAlignment="1">
      <alignment vertical="center"/>
    </xf>
    <xf numFmtId="0" fontId="3" fillId="10" borderId="10" xfId="4" applyFill="1" applyBorder="1" applyAlignment="1">
      <alignment horizontal="centerContinuous" vertical="center"/>
    </xf>
    <xf numFmtId="39" fontId="43" fillId="10" borderId="13" xfId="3" applyNumberFormat="1" applyFont="1" applyFill="1" applyBorder="1" applyAlignment="1" applyProtection="1">
      <alignment horizontal="centerContinuous" vertical="center"/>
    </xf>
    <xf numFmtId="0" fontId="2" fillId="3" borderId="14" xfId="4" applyFont="1" applyFill="1" applyBorder="1" applyAlignment="1">
      <alignment vertical="center"/>
    </xf>
    <xf numFmtId="0" fontId="3" fillId="3" borderId="0" xfId="4" applyFill="1" applyAlignment="1">
      <alignment vertical="center"/>
    </xf>
    <xf numFmtId="0" fontId="3" fillId="7" borderId="0" xfId="4" applyFill="1" applyAlignment="1">
      <alignment vertical="center"/>
    </xf>
    <xf numFmtId="0" fontId="3" fillId="0" borderId="15" xfId="4" applyBorder="1" applyAlignment="1">
      <alignment vertical="center"/>
    </xf>
    <xf numFmtId="0" fontId="3" fillId="3" borderId="14" xfId="4" applyFill="1" applyBorder="1" applyAlignment="1">
      <alignment vertical="center"/>
    </xf>
    <xf numFmtId="0" fontId="3" fillId="3" borderId="16" xfId="4" applyFill="1" applyBorder="1" applyAlignment="1">
      <alignment vertical="center"/>
    </xf>
    <xf numFmtId="0" fontId="3" fillId="3" borderId="11" xfId="4" applyFill="1" applyBorder="1" applyAlignment="1">
      <alignment vertical="center"/>
    </xf>
    <xf numFmtId="0" fontId="3" fillId="7" borderId="11" xfId="4" applyFill="1" applyBorder="1" applyAlignment="1">
      <alignment vertical="center"/>
    </xf>
    <xf numFmtId="0" fontId="3" fillId="0" borderId="11" xfId="4" applyBorder="1" applyAlignment="1">
      <alignment vertical="center"/>
    </xf>
    <xf numFmtId="0" fontId="3" fillId="0" borderId="17" xfId="4" applyBorder="1" applyAlignment="1">
      <alignment vertical="center"/>
    </xf>
    <xf numFmtId="0" fontId="2" fillId="0" borderId="50" xfId="4" applyFont="1" applyBorder="1" applyAlignment="1">
      <alignment horizontal="left" vertical="center"/>
    </xf>
    <xf numFmtId="49" fontId="2" fillId="5" borderId="50" xfId="4" applyNumberFormat="1" applyFont="1" applyFill="1" applyBorder="1" applyAlignment="1" applyProtection="1">
      <alignment horizontal="center" vertical="center"/>
      <protection locked="0"/>
    </xf>
    <xf numFmtId="0" fontId="2" fillId="0" borderId="42" xfId="4" applyFont="1" applyBorder="1" applyAlignment="1">
      <alignment horizontal="left" vertical="center"/>
    </xf>
    <xf numFmtId="49" fontId="2" fillId="5" borderId="42" xfId="4" applyNumberFormat="1" applyFont="1" applyFill="1" applyBorder="1" applyAlignment="1" applyProtection="1">
      <alignment horizontal="center" vertical="center"/>
      <protection locked="0"/>
    </xf>
    <xf numFmtId="0" fontId="2" fillId="5" borderId="17" xfId="4" applyFont="1" applyFill="1" applyBorder="1" applyAlignment="1" applyProtection="1">
      <alignment horizontal="left" vertical="center"/>
      <protection locked="0"/>
    </xf>
    <xf numFmtId="0" fontId="2" fillId="0" borderId="12" xfId="4" applyFont="1" applyBorder="1" applyAlignment="1">
      <alignment horizontal="centerContinuous" vertical="center"/>
    </xf>
    <xf numFmtId="0" fontId="2" fillId="0" borderId="10" xfId="4" applyFont="1" applyBorder="1" applyAlignment="1">
      <alignment horizontal="centerContinuous" vertical="center"/>
    </xf>
    <xf numFmtId="0" fontId="2" fillId="0" borderId="13" xfId="4" applyFont="1" applyBorder="1" applyAlignment="1">
      <alignment horizontal="centerContinuous" vertical="center"/>
    </xf>
    <xf numFmtId="0" fontId="2" fillId="0" borderId="0" xfId="4" applyFont="1" applyAlignment="1">
      <alignment horizontal="center" vertical="center" wrapText="1"/>
    </xf>
    <xf numFmtId="2" fontId="2" fillId="0" borderId="34" xfId="4" applyNumberFormat="1" applyFont="1" applyBorder="1" applyAlignment="1">
      <alignment horizontal="center" vertical="center"/>
    </xf>
    <xf numFmtId="165" fontId="2" fillId="0" borderId="28" xfId="1" applyNumberFormat="1" applyFont="1" applyBorder="1" applyAlignment="1">
      <alignment horizontal="center" vertical="center" wrapText="1"/>
    </xf>
    <xf numFmtId="49" fontId="2" fillId="0" borderId="16" xfId="4" applyNumberFormat="1" applyFont="1" applyBorder="1" applyAlignment="1">
      <alignment horizontal="center" vertical="center"/>
    </xf>
    <xf numFmtId="49" fontId="2" fillId="0" borderId="5" xfId="4" applyNumberFormat="1" applyFont="1" applyBorder="1" applyAlignment="1">
      <alignment horizontal="center" vertical="center"/>
    </xf>
    <xf numFmtId="0" fontId="47" fillId="0" borderId="17" xfId="4" applyFont="1" applyBorder="1" applyAlignment="1">
      <alignment vertical="center" wrapText="1"/>
    </xf>
    <xf numFmtId="0" fontId="48" fillId="0" borderId="27" xfId="4" applyFont="1" applyBorder="1" applyAlignment="1">
      <alignment horizontal="center" vertical="center"/>
    </xf>
    <xf numFmtId="4" fontId="48" fillId="0" borderId="26" xfId="4" applyNumberFormat="1" applyFont="1" applyBorder="1" applyAlignment="1" applyProtection="1">
      <alignment vertical="center"/>
      <protection locked="0"/>
    </xf>
    <xf numFmtId="4" fontId="34" fillId="0" borderId="35" xfId="4" applyNumberFormat="1" applyFont="1" applyBorder="1" applyAlignment="1" applyProtection="1">
      <alignment vertical="center"/>
      <protection locked="0"/>
    </xf>
    <xf numFmtId="4" fontId="2" fillId="0" borderId="3" xfId="1" applyNumberFormat="1" applyFont="1" applyBorder="1" applyAlignment="1">
      <alignment vertical="center"/>
    </xf>
    <xf numFmtId="4" fontId="2" fillId="0" borderId="35" xfId="1" applyNumberFormat="1" applyFont="1" applyBorder="1" applyAlignment="1">
      <alignment vertical="center"/>
    </xf>
    <xf numFmtId="4" fontId="2" fillId="0" borderId="27" xfId="1" applyNumberFormat="1" applyFont="1" applyBorder="1" applyAlignment="1">
      <alignment vertical="center"/>
    </xf>
    <xf numFmtId="0" fontId="2" fillId="0" borderId="0" xfId="4" applyFont="1" applyAlignment="1">
      <alignment horizontal="center" vertical="center"/>
    </xf>
    <xf numFmtId="0" fontId="3" fillId="0" borderId="33" xfId="4" applyBorder="1" applyAlignment="1">
      <alignment horizontal="center" vertical="center"/>
    </xf>
    <xf numFmtId="0" fontId="3" fillId="0" borderId="29" xfId="4" applyBorder="1" applyAlignment="1">
      <alignment horizontal="center" vertical="center"/>
    </xf>
    <xf numFmtId="2" fontId="3" fillId="0" borderId="33" xfId="1" quotePrefix="1" applyNumberFormat="1" applyFont="1" applyBorder="1" applyAlignment="1">
      <alignment horizontal="center" vertical="center"/>
    </xf>
    <xf numFmtId="2" fontId="3" fillId="0" borderId="44" xfId="1" applyNumberFormat="1" applyFont="1" applyBorder="1" applyAlignment="1">
      <alignment horizontal="center" vertical="center"/>
    </xf>
    <xf numFmtId="4" fontId="3" fillId="0" borderId="29" xfId="1" applyNumberFormat="1" applyFont="1" applyBorder="1" applyAlignment="1">
      <alignment vertical="center"/>
    </xf>
    <xf numFmtId="4" fontId="3" fillId="0" borderId="153" xfId="1" applyNumberFormat="1" applyFont="1" applyBorder="1" applyAlignment="1">
      <alignment vertical="center"/>
    </xf>
    <xf numFmtId="0" fontId="3" fillId="0" borderId="30" xfId="4" applyBorder="1" applyAlignment="1">
      <alignment horizontal="center" vertical="center"/>
    </xf>
    <xf numFmtId="0" fontId="3" fillId="0" borderId="6" xfId="4" applyBorder="1" applyAlignment="1">
      <alignment horizontal="center" vertical="center"/>
    </xf>
    <xf numFmtId="2" fontId="3" fillId="0" borderId="30" xfId="1" quotePrefix="1" applyNumberFormat="1" applyFont="1" applyBorder="1" applyAlignment="1">
      <alignment horizontal="center" vertical="center"/>
    </xf>
    <xf numFmtId="2" fontId="3" fillId="0" borderId="32" xfId="1" applyNumberFormat="1" applyFont="1" applyBorder="1" applyAlignment="1">
      <alignment horizontal="center" vertical="center"/>
    </xf>
    <xf numFmtId="1" fontId="3" fillId="0" borderId="0" xfId="4" applyNumberFormat="1" applyAlignment="1">
      <alignment vertical="center"/>
    </xf>
    <xf numFmtId="2" fontId="3" fillId="0" borderId="41" xfId="1" applyNumberFormat="1" applyFont="1" applyBorder="1" applyAlignment="1">
      <alignment horizontal="center" vertical="center"/>
    </xf>
    <xf numFmtId="4" fontId="3" fillId="5" borderId="30" xfId="4" applyNumberFormat="1" applyFill="1" applyBorder="1" applyAlignment="1" applyProtection="1">
      <alignment vertical="center"/>
      <protection locked="0"/>
    </xf>
    <xf numFmtId="2" fontId="3" fillId="0" borderId="30" xfId="1" applyNumberFormat="1" applyFont="1" applyBorder="1" applyAlignment="1">
      <alignment horizontal="center" vertical="center"/>
    </xf>
    <xf numFmtId="0" fontId="3" fillId="0" borderId="0" xfId="4" quotePrefix="1" applyAlignment="1">
      <alignment vertical="center"/>
    </xf>
    <xf numFmtId="0" fontId="45" fillId="0" borderId="30" xfId="4" quotePrefix="1" applyFont="1" applyBorder="1" applyAlignment="1">
      <alignment horizontal="center" vertical="center"/>
    </xf>
    <xf numFmtId="0" fontId="2" fillId="0" borderId="6" xfId="4" applyFont="1" applyBorder="1" applyAlignment="1">
      <alignment horizontal="center" vertical="center"/>
    </xf>
    <xf numFmtId="4" fontId="48" fillId="0" borderId="59" xfId="4" applyNumberFormat="1" applyFont="1" applyBorder="1" applyAlignment="1" applyProtection="1">
      <alignment vertical="center"/>
      <protection locked="0"/>
    </xf>
    <xf numFmtId="4" fontId="34" fillId="0" borderId="51" xfId="4" applyNumberFormat="1" applyFont="1" applyBorder="1" applyAlignment="1" applyProtection="1">
      <alignment vertical="center"/>
      <protection locked="0"/>
    </xf>
    <xf numFmtId="4" fontId="2" fillId="0" borderId="62" xfId="1" applyNumberFormat="1" applyFont="1" applyBorder="1" applyAlignment="1">
      <alignment vertical="center"/>
    </xf>
    <xf numFmtId="4" fontId="2" fillId="0" borderId="51" xfId="1" applyNumberFormat="1" applyFont="1" applyBorder="1" applyAlignment="1">
      <alignment vertical="center"/>
    </xf>
    <xf numFmtId="4" fontId="3" fillId="0" borderId="44" xfId="1" applyNumberFormat="1" applyFont="1" applyBorder="1" applyAlignment="1">
      <alignment vertical="center"/>
    </xf>
    <xf numFmtId="4" fontId="3" fillId="0" borderId="38" xfId="1" applyNumberFormat="1" applyFont="1" applyBorder="1" applyAlignment="1">
      <alignment vertical="center"/>
    </xf>
    <xf numFmtId="2" fontId="3" fillId="0" borderId="43" xfId="1" applyNumberFormat="1" applyFont="1" applyBorder="1" applyAlignment="1">
      <alignment horizontal="center" vertical="center"/>
    </xf>
    <xf numFmtId="4" fontId="2" fillId="3" borderId="0" xfId="4" applyNumberFormat="1" applyFont="1" applyFill="1" applyAlignment="1">
      <alignment horizontal="right" vertical="center"/>
    </xf>
    <xf numFmtId="2" fontId="3" fillId="0" borderId="33" xfId="1" applyNumberFormat="1" applyFont="1" applyBorder="1" applyAlignment="1">
      <alignment horizontal="center" vertical="center"/>
    </xf>
    <xf numFmtId="49" fontId="2" fillId="0" borderId="2" xfId="4" applyNumberFormat="1" applyFont="1" applyBorder="1" applyAlignment="1">
      <alignment horizontal="center" vertical="center"/>
    </xf>
    <xf numFmtId="49" fontId="2" fillId="0" borderId="34" xfId="4" applyNumberFormat="1" applyFont="1" applyBorder="1" applyAlignment="1">
      <alignment horizontal="center" vertical="center"/>
    </xf>
    <xf numFmtId="0" fontId="47" fillId="0" borderId="35" xfId="4" applyFont="1" applyBorder="1" applyAlignment="1">
      <alignment vertical="center" wrapText="1"/>
    </xf>
    <xf numFmtId="2" fontId="3" fillId="0" borderId="41" xfId="1" quotePrefix="1" applyNumberFormat="1" applyFont="1" applyBorder="1" applyAlignment="1">
      <alignment horizontal="center" vertical="center"/>
    </xf>
    <xf numFmtId="2" fontId="2" fillId="0" borderId="32" xfId="1" applyNumberFormat="1" applyFont="1" applyBorder="1" applyAlignment="1">
      <alignment horizontal="center" vertical="center"/>
    </xf>
    <xf numFmtId="4" fontId="3" fillId="0" borderId="41" xfId="4" applyNumberFormat="1" applyBorder="1" applyAlignment="1">
      <alignment horizontal="center" vertical="center"/>
    </xf>
    <xf numFmtId="4" fontId="3" fillId="0" borderId="6" xfId="4" applyNumberFormat="1" applyBorder="1" applyAlignment="1">
      <alignment horizontal="center" vertical="center"/>
    </xf>
    <xf numFmtId="0" fontId="3" fillId="0" borderId="0" xfId="4" applyAlignment="1">
      <alignment horizontal="right" vertical="center"/>
    </xf>
    <xf numFmtId="4" fontId="48" fillId="0" borderId="59" xfId="4" applyNumberFormat="1" applyFont="1" applyBorder="1" applyAlignment="1">
      <alignment vertical="center"/>
    </xf>
    <xf numFmtId="4" fontId="3" fillId="0" borderId="59" xfId="1" applyNumberFormat="1" applyFont="1" applyBorder="1" applyAlignment="1">
      <alignment vertical="center"/>
    </xf>
    <xf numFmtId="4" fontId="3" fillId="0" borderId="26" xfId="1" applyNumberFormat="1" applyFont="1" applyBorder="1" applyAlignment="1">
      <alignment vertical="center"/>
    </xf>
    <xf numFmtId="2" fontId="3" fillId="0" borderId="36" xfId="1" applyNumberFormat="1" applyFont="1" applyBorder="1" applyAlignment="1">
      <alignment horizontal="center" vertical="center"/>
    </xf>
    <xf numFmtId="2" fontId="2" fillId="0" borderId="37" xfId="1" applyNumberFormat="1" applyFont="1" applyBorder="1" applyAlignment="1">
      <alignment horizontal="center" vertical="center"/>
    </xf>
    <xf numFmtId="2" fontId="3" fillId="0" borderId="38" xfId="1" applyNumberFormat="1" applyFont="1" applyBorder="1" applyAlignment="1">
      <alignment horizontal="center" vertical="center"/>
    </xf>
    <xf numFmtId="4" fontId="3" fillId="5" borderId="2" xfId="4" applyNumberFormat="1" applyFill="1" applyBorder="1" applyAlignment="1" applyProtection="1">
      <alignment vertical="center"/>
      <protection locked="0"/>
    </xf>
    <xf numFmtId="4" fontId="3" fillId="0" borderId="5" xfId="1" applyNumberFormat="1" applyFont="1" applyBorder="1" applyAlignment="1">
      <alignment vertical="center"/>
    </xf>
    <xf numFmtId="4" fontId="3" fillId="0" borderId="28" xfId="1" applyNumberFormat="1" applyFont="1" applyBorder="1" applyAlignment="1">
      <alignment vertical="center"/>
    </xf>
    <xf numFmtId="2" fontId="3" fillId="0" borderId="75" xfId="1" applyNumberFormat="1" applyFont="1" applyBorder="1" applyAlignment="1">
      <alignment horizontal="center" vertical="center"/>
    </xf>
    <xf numFmtId="2" fontId="2" fillId="0" borderId="76" xfId="1" applyNumberFormat="1" applyFont="1" applyBorder="1" applyAlignment="1">
      <alignment horizontal="center" vertical="center"/>
    </xf>
    <xf numFmtId="2" fontId="3" fillId="0" borderId="78" xfId="1" applyNumberFormat="1" applyFont="1" applyBorder="1" applyAlignment="1">
      <alignment horizontal="center" vertical="center"/>
    </xf>
    <xf numFmtId="4" fontId="3" fillId="5" borderId="33" xfId="4" applyNumberFormat="1" applyFill="1" applyBorder="1" applyAlignment="1" applyProtection="1">
      <alignment vertical="center"/>
      <protection locked="0"/>
    </xf>
    <xf numFmtId="4" fontId="3" fillId="5" borderId="75" xfId="4" applyNumberFormat="1" applyFill="1" applyBorder="1" applyAlignment="1" applyProtection="1">
      <alignment vertical="center"/>
      <protection locked="0"/>
    </xf>
    <xf numFmtId="4" fontId="3" fillId="5" borderId="76" xfId="4" applyNumberFormat="1" applyFill="1" applyBorder="1" applyAlignment="1" applyProtection="1">
      <alignment vertical="center"/>
      <protection locked="0"/>
    </xf>
    <xf numFmtId="4" fontId="3" fillId="0" borderId="76" xfId="1" applyNumberFormat="1" applyFont="1" applyBorder="1" applyAlignment="1">
      <alignment vertical="center"/>
    </xf>
    <xf numFmtId="4" fontId="3" fillId="0" borderId="78" xfId="1" applyNumberFormat="1" applyFont="1" applyBorder="1" applyAlignment="1">
      <alignment vertical="center"/>
    </xf>
    <xf numFmtId="0" fontId="3" fillId="0" borderId="23" xfId="4" applyBorder="1" applyAlignment="1">
      <alignment horizontal="center" vertical="center"/>
    </xf>
    <xf numFmtId="2" fontId="2" fillId="0" borderId="23" xfId="1" applyNumberFormat="1" applyFont="1" applyBorder="1" applyAlignment="1">
      <alignment horizontal="center" vertical="center"/>
    </xf>
    <xf numFmtId="2" fontId="3" fillId="0" borderId="80" xfId="1" applyNumberFormat="1" applyFont="1" applyBorder="1" applyAlignment="1">
      <alignment horizontal="center" vertical="center"/>
    </xf>
    <xf numFmtId="4" fontId="3" fillId="11" borderId="81" xfId="4" applyNumberFormat="1" applyFill="1" applyBorder="1" applyAlignment="1" applyProtection="1">
      <alignment vertical="center"/>
      <protection locked="0"/>
    </xf>
    <xf numFmtId="4" fontId="3" fillId="0" borderId="23" xfId="1" applyNumberFormat="1" applyFont="1" applyBorder="1" applyAlignment="1">
      <alignment vertical="center"/>
    </xf>
    <xf numFmtId="4" fontId="3" fillId="0" borderId="80" xfId="1" applyNumberFormat="1" applyFont="1" applyBorder="1" applyAlignment="1">
      <alignment vertical="center"/>
    </xf>
    <xf numFmtId="4" fontId="3" fillId="2" borderId="81" xfId="4" applyNumberFormat="1" applyFill="1" applyBorder="1" applyAlignment="1" applyProtection="1">
      <alignment vertical="center"/>
      <protection locked="0"/>
    </xf>
    <xf numFmtId="4" fontId="3" fillId="5" borderId="22" xfId="4" applyNumberFormat="1" applyFill="1" applyBorder="1" applyAlignment="1" applyProtection="1">
      <alignment vertical="center"/>
      <protection locked="0"/>
    </xf>
    <xf numFmtId="167" fontId="3" fillId="0" borderId="158" xfId="4" applyNumberFormat="1" applyBorder="1" applyAlignment="1" applyProtection="1">
      <alignment horizontal="center" vertical="center"/>
      <protection locked="0"/>
    </xf>
    <xf numFmtId="0" fontId="3" fillId="0" borderId="36" xfId="4" applyBorder="1" applyAlignment="1">
      <alignment horizontal="center" vertical="center"/>
    </xf>
    <xf numFmtId="0" fontId="3" fillId="0" borderId="37" xfId="4" applyBorder="1" applyAlignment="1">
      <alignment horizontal="center" vertical="center"/>
    </xf>
    <xf numFmtId="4" fontId="3" fillId="5" borderId="36" xfId="4" applyNumberFormat="1" applyFill="1" applyBorder="1" applyAlignment="1" applyProtection="1">
      <alignment vertical="center"/>
      <protection locked="0"/>
    </xf>
    <xf numFmtId="0" fontId="3" fillId="0" borderId="75" xfId="4" applyBorder="1" applyAlignment="1">
      <alignment horizontal="center" vertical="center"/>
    </xf>
    <xf numFmtId="0" fontId="3" fillId="0" borderId="76" xfId="4" applyBorder="1" applyAlignment="1">
      <alignment horizontal="center" vertical="center"/>
    </xf>
    <xf numFmtId="4" fontId="3" fillId="0" borderId="30" xfId="4" applyNumberFormat="1" applyBorder="1" applyAlignment="1">
      <alignment horizontal="center" vertical="center"/>
    </xf>
    <xf numFmtId="0" fontId="3" fillId="0" borderId="25" xfId="4" applyBorder="1" applyAlignment="1">
      <alignment horizontal="center" vertical="center"/>
    </xf>
    <xf numFmtId="4" fontId="3" fillId="0" borderId="1" xfId="4" applyNumberFormat="1" applyBorder="1" applyAlignment="1" applyProtection="1">
      <alignment vertical="center"/>
      <protection locked="0"/>
    </xf>
    <xf numFmtId="0" fontId="3" fillId="0" borderId="49" xfId="1" applyFont="1" applyBorder="1" applyAlignment="1">
      <alignment vertical="center" wrapText="1" readingOrder="1"/>
    </xf>
    <xf numFmtId="0" fontId="3" fillId="0" borderId="81" xfId="4" applyBorder="1" applyAlignment="1">
      <alignment horizontal="center" vertical="center"/>
    </xf>
    <xf numFmtId="0" fontId="3" fillId="0" borderId="17" xfId="1" applyFont="1" applyBorder="1" applyAlignment="1">
      <alignment vertical="center" wrapText="1" readingOrder="1"/>
    </xf>
    <xf numFmtId="2" fontId="2" fillId="0" borderId="22" xfId="1" applyNumberFormat="1" applyFont="1" applyBorder="1" applyAlignment="1">
      <alignment horizontal="center" vertical="center"/>
    </xf>
    <xf numFmtId="4" fontId="3" fillId="0" borderId="22" xfId="4" applyNumberFormat="1" applyBorder="1" applyAlignment="1" applyProtection="1">
      <alignment vertical="center"/>
      <protection locked="0"/>
    </xf>
    <xf numFmtId="4" fontId="3" fillId="0" borderId="23" xfId="4" applyNumberFormat="1" applyBorder="1" applyAlignment="1">
      <alignment horizontal="center" vertical="center"/>
    </xf>
    <xf numFmtId="0" fontId="3" fillId="0" borderId="17" xfId="1" applyFont="1" applyBorder="1" applyAlignment="1">
      <alignment horizontal="left" vertical="center" wrapText="1"/>
    </xf>
    <xf numFmtId="0" fontId="3" fillId="0" borderId="49" xfId="1" applyFont="1" applyBorder="1" applyAlignment="1">
      <alignment horizontal="left" vertical="center" wrapText="1"/>
    </xf>
    <xf numFmtId="2" fontId="3" fillId="0" borderId="25" xfId="1" applyNumberFormat="1" applyFont="1" applyBorder="1" applyAlignment="1">
      <alignment horizontal="center" vertical="center"/>
    </xf>
    <xf numFmtId="2" fontId="2" fillId="0" borderId="80" xfId="1" applyNumberFormat="1" applyFont="1" applyBorder="1" applyAlignment="1">
      <alignment horizontal="center" vertical="center"/>
    </xf>
    <xf numFmtId="4" fontId="3" fillId="0" borderId="79" xfId="4" applyNumberFormat="1" applyBorder="1" applyAlignment="1">
      <alignment horizontal="center" vertical="center"/>
    </xf>
    <xf numFmtId="4" fontId="3" fillId="0" borderId="25" xfId="4" applyNumberFormat="1" applyBorder="1" applyAlignment="1">
      <alignment horizontal="center" vertical="center"/>
    </xf>
    <xf numFmtId="4" fontId="3" fillId="0" borderId="23" xfId="4" applyNumberFormat="1" applyBorder="1" applyAlignment="1">
      <alignment vertical="center"/>
    </xf>
    <xf numFmtId="4" fontId="3" fillId="2" borderId="25" xfId="4" applyNumberFormat="1" applyFill="1" applyBorder="1" applyAlignment="1" applyProtection="1">
      <alignment vertical="center"/>
      <protection locked="0"/>
    </xf>
    <xf numFmtId="4" fontId="3" fillId="0" borderId="23" xfId="4" applyNumberFormat="1" applyBorder="1" applyAlignment="1" applyProtection="1">
      <alignment vertical="center"/>
      <protection locked="0"/>
    </xf>
    <xf numFmtId="49" fontId="45" fillId="0" borderId="30" xfId="4" quotePrefix="1" applyNumberFormat="1" applyFont="1" applyBorder="1" applyAlignment="1">
      <alignment horizontal="center" vertical="center"/>
    </xf>
    <xf numFmtId="0" fontId="3" fillId="2" borderId="0" xfId="4" applyFill="1" applyAlignment="1">
      <alignment horizontal="center" vertical="center"/>
    </xf>
    <xf numFmtId="4" fontId="3" fillId="0" borderId="29" xfId="4" applyNumberFormat="1" applyBorder="1" applyAlignment="1" applyProtection="1">
      <alignment vertical="center"/>
      <protection locked="0"/>
    </xf>
    <xf numFmtId="0" fontId="48" fillId="4" borderId="27" xfId="4" applyFont="1" applyFill="1" applyBorder="1" applyAlignment="1">
      <alignment horizontal="center" vertical="center"/>
    </xf>
    <xf numFmtId="0" fontId="3" fillId="0" borderId="30" xfId="4" quotePrefix="1" applyBorder="1" applyAlignment="1">
      <alignment horizontal="center" vertical="center"/>
    </xf>
    <xf numFmtId="0" fontId="49" fillId="0" borderId="0" xfId="4" applyFont="1" applyAlignment="1">
      <alignment vertical="center"/>
    </xf>
    <xf numFmtId="0" fontId="49" fillId="0" borderId="45" xfId="4" applyFont="1" applyBorder="1" applyAlignment="1">
      <alignment horizontal="left" vertical="center"/>
    </xf>
    <xf numFmtId="0" fontId="3" fillId="0" borderId="18" xfId="4" applyBorder="1" applyAlignment="1">
      <alignment horizontal="left" vertical="center"/>
    </xf>
    <xf numFmtId="0" fontId="3" fillId="0" borderId="13" xfId="1" applyFont="1" applyBorder="1" applyAlignment="1">
      <alignment vertical="center"/>
    </xf>
    <xf numFmtId="0" fontId="3" fillId="4" borderId="153" xfId="1" applyFont="1" applyFill="1" applyBorder="1" applyAlignment="1">
      <alignment vertical="center"/>
    </xf>
    <xf numFmtId="2" fontId="3" fillId="0" borderId="159" xfId="1" applyNumberFormat="1" applyFont="1" applyBorder="1" applyAlignment="1" applyProtection="1">
      <alignment horizontal="center" vertical="center"/>
      <protection locked="0"/>
    </xf>
    <xf numFmtId="167" fontId="3" fillId="0" borderId="46" xfId="1" applyNumberFormat="1" applyFont="1" applyBorder="1" applyAlignment="1" applyProtection="1">
      <alignment horizontal="center" vertical="center"/>
      <protection locked="0"/>
    </xf>
    <xf numFmtId="2" fontId="3" fillId="0" borderId="45" xfId="1" applyNumberFormat="1" applyFont="1" applyBorder="1" applyAlignment="1">
      <alignment horizontal="center" vertical="center"/>
    </xf>
    <xf numFmtId="2" fontId="3" fillId="0" borderId="18" xfId="1" applyNumberFormat="1" applyFont="1" applyBorder="1" applyAlignment="1">
      <alignment horizontal="center" vertical="center"/>
    </xf>
    <xf numFmtId="2" fontId="2" fillId="0" borderId="18" xfId="1" applyNumberFormat="1" applyFont="1" applyBorder="1" applyAlignment="1">
      <alignment horizontal="center" vertical="center"/>
    </xf>
    <xf numFmtId="2" fontId="3" fillId="0" borderId="46" xfId="1" applyNumberFormat="1" applyFont="1" applyBorder="1" applyAlignment="1">
      <alignment horizontal="center" vertical="center"/>
    </xf>
    <xf numFmtId="4" fontId="3" fillId="0" borderId="159" xfId="4" applyNumberFormat="1" applyBorder="1" applyAlignment="1">
      <alignment horizontal="center" vertical="center"/>
    </xf>
    <xf numFmtId="4" fontId="3" fillId="0" borderId="18" xfId="4" applyNumberFormat="1" applyBorder="1" applyAlignment="1">
      <alignment horizontal="center" vertical="center"/>
    </xf>
    <xf numFmtId="4" fontId="3" fillId="0" borderId="18" xfId="1" applyNumberFormat="1" applyFont="1" applyBorder="1" applyAlignment="1">
      <alignment vertical="center"/>
    </xf>
    <xf numFmtId="4" fontId="3" fillId="0" borderId="46" xfId="1" applyNumberFormat="1" applyFont="1" applyBorder="1" applyAlignment="1">
      <alignment vertical="center"/>
    </xf>
    <xf numFmtId="0" fontId="50" fillId="6" borderId="0" xfId="4" applyFont="1" applyFill="1" applyAlignment="1">
      <alignment vertical="center"/>
    </xf>
    <xf numFmtId="0" fontId="50" fillId="0" borderId="0" xfId="4" applyFont="1" applyAlignment="1">
      <alignment horizontal="center" vertical="center"/>
    </xf>
    <xf numFmtId="0" fontId="49" fillId="0" borderId="12" xfId="4" applyFont="1" applyBorder="1" applyAlignment="1">
      <alignment horizontal="left" vertical="center"/>
    </xf>
    <xf numFmtId="0" fontId="3" fillId="0" borderId="10" xfId="4" applyBorder="1" applyAlignment="1">
      <alignment horizontal="left" vertical="center"/>
    </xf>
    <xf numFmtId="0" fontId="3" fillId="0" borderId="10" xfId="1" applyFont="1" applyBorder="1" applyAlignment="1">
      <alignment vertical="center"/>
    </xf>
    <xf numFmtId="0" fontId="3" fillId="4" borderId="26" xfId="1" applyFont="1" applyFill="1" applyBorder="1" applyAlignment="1">
      <alignment vertical="center"/>
    </xf>
    <xf numFmtId="2" fontId="2" fillId="0" borderId="26" xfId="1" applyNumberFormat="1" applyFont="1" applyBorder="1" applyAlignment="1">
      <alignment horizontal="center" vertical="center"/>
    </xf>
    <xf numFmtId="4" fontId="3" fillId="0" borderId="26" xfId="4" applyNumberFormat="1" applyBorder="1" applyAlignment="1">
      <alignment horizontal="center" vertical="center"/>
    </xf>
    <xf numFmtId="4" fontId="3" fillId="0" borderId="35" xfId="1" applyNumberFormat="1" applyFont="1" applyBorder="1" applyAlignment="1">
      <alignment vertical="center"/>
    </xf>
    <xf numFmtId="0" fontId="49" fillId="0" borderId="3" xfId="4" applyFont="1" applyBorder="1" applyAlignment="1">
      <alignment horizontal="left" vertical="center"/>
    </xf>
    <xf numFmtId="0" fontId="3" fillId="0" borderId="26" xfId="4" applyBorder="1" applyAlignment="1">
      <alignment horizontal="left" vertical="center"/>
    </xf>
    <xf numFmtId="0" fontId="2" fillId="0" borderId="26" xfId="4" applyFont="1" applyBorder="1" applyAlignment="1">
      <alignment vertical="center"/>
    </xf>
    <xf numFmtId="0" fontId="2" fillId="0" borderId="35" xfId="4" applyFont="1" applyBorder="1" applyAlignment="1">
      <alignment vertical="center"/>
    </xf>
    <xf numFmtId="4" fontId="2" fillId="0" borderId="3" xfId="4" applyNumberFormat="1" applyFont="1" applyBorder="1" applyAlignment="1">
      <alignment vertical="center"/>
    </xf>
    <xf numFmtId="4" fontId="2" fillId="0" borderId="35" xfId="4" applyNumberFormat="1" applyFont="1" applyBorder="1" applyAlignment="1">
      <alignment vertical="center"/>
    </xf>
    <xf numFmtId="0" fontId="53" fillId="0" borderId="0" xfId="4" applyFont="1" applyAlignment="1">
      <alignment horizontal="center" vertical="center"/>
    </xf>
    <xf numFmtId="0" fontId="3" fillId="0" borderId="26" xfId="1" applyFont="1" applyBorder="1" applyAlignment="1">
      <alignment horizontal="left" vertical="center"/>
    </xf>
    <xf numFmtId="0" fontId="49" fillId="0" borderId="0" xfId="4" applyFont="1" applyAlignment="1">
      <alignment horizontal="center" vertical="center"/>
    </xf>
    <xf numFmtId="0" fontId="2" fillId="0" borderId="3" xfId="1" applyFont="1" applyBorder="1" applyAlignment="1">
      <alignment horizontal="left" vertical="center"/>
    </xf>
    <xf numFmtId="4" fontId="2" fillId="0" borderId="17" xfId="1" applyNumberFormat="1" applyFont="1" applyBorder="1" applyAlignment="1">
      <alignment vertical="center"/>
    </xf>
    <xf numFmtId="4" fontId="2" fillId="0" borderId="11" xfId="4" applyNumberFormat="1" applyFont="1" applyBorder="1" applyAlignment="1">
      <alignment vertical="center"/>
    </xf>
    <xf numFmtId="4" fontId="2" fillId="0" borderId="26" xfId="4" applyNumberFormat="1" applyFont="1" applyBorder="1" applyAlignment="1">
      <alignment vertical="center"/>
    </xf>
    <xf numFmtId="0" fontId="52" fillId="0" borderId="17" xfId="4" applyFont="1" applyBorder="1" applyAlignment="1">
      <alignment horizontal="left" vertical="center"/>
    </xf>
    <xf numFmtId="165" fontId="2" fillId="0" borderId="26" xfId="1" applyNumberFormat="1" applyFont="1" applyBorder="1" applyAlignment="1">
      <alignment horizontal="center" vertical="center" wrapText="1"/>
    </xf>
    <xf numFmtId="4" fontId="3" fillId="0" borderId="15" xfId="1" applyNumberFormat="1" applyFont="1" applyBorder="1" applyAlignment="1">
      <alignment vertical="center"/>
    </xf>
    <xf numFmtId="49" fontId="2" fillId="0" borderId="0" xfId="1" applyNumberFormat="1" applyFont="1" applyAlignment="1">
      <alignment vertical="center"/>
    </xf>
    <xf numFmtId="0" fontId="3" fillId="8" borderId="0" xfId="4" applyFill="1" applyAlignment="1">
      <alignment horizontal="center" vertical="center"/>
    </xf>
    <xf numFmtId="0" fontId="46" fillId="8" borderId="0" xfId="1" applyFont="1" applyFill="1" applyAlignment="1" applyProtection="1">
      <alignment horizontal="left" vertical="center"/>
      <protection locked="0"/>
    </xf>
    <xf numFmtId="0" fontId="46" fillId="7" borderId="0" xfId="1" applyFont="1" applyFill="1" applyAlignment="1">
      <alignment vertical="center"/>
    </xf>
    <xf numFmtId="0" fontId="2" fillId="7" borderId="0" xfId="1" applyFont="1" applyFill="1" applyAlignment="1">
      <alignment horizontal="centerContinuous" vertical="center"/>
    </xf>
    <xf numFmtId="0" fontId="3" fillId="7" borderId="0" xfId="1" applyFont="1" applyFill="1" applyAlignment="1">
      <alignment horizontal="centerContinuous" vertical="center"/>
    </xf>
    <xf numFmtId="49" fontId="45" fillId="0" borderId="0" xfId="4" applyNumberFormat="1" applyFont="1" applyAlignment="1">
      <alignment horizontal="center" vertical="center"/>
    </xf>
    <xf numFmtId="0" fontId="45" fillId="9" borderId="0" xfId="1" applyFont="1" applyFill="1" applyAlignment="1">
      <alignment horizontal="center" vertical="center"/>
    </xf>
    <xf numFmtId="0" fontId="45" fillId="9" borderId="0" xfId="1" applyFont="1" applyFill="1" applyAlignment="1" applyProtection="1">
      <alignment horizontal="center" vertical="center"/>
      <protection locked="0"/>
    </xf>
    <xf numFmtId="0" fontId="3" fillId="7" borderId="0" xfId="1" applyFont="1" applyFill="1" applyAlignment="1">
      <alignment horizontal="center" vertical="center"/>
    </xf>
    <xf numFmtId="0" fontId="3" fillId="7" borderId="0" xfId="1" applyFont="1" applyFill="1" applyAlignment="1">
      <alignment vertical="center"/>
    </xf>
    <xf numFmtId="0" fontId="2" fillId="7" borderId="0" xfId="1" applyFont="1" applyFill="1" applyAlignment="1">
      <alignment vertical="center"/>
    </xf>
    <xf numFmtId="49" fontId="43" fillId="0" borderId="0" xfId="4" applyNumberFormat="1" applyFont="1" applyAlignment="1">
      <alignment vertical="center"/>
    </xf>
    <xf numFmtId="0" fontId="2" fillId="8" borderId="0" xfId="1" applyFont="1" applyFill="1" applyAlignment="1">
      <alignment horizontal="right" vertical="center"/>
    </xf>
    <xf numFmtId="0" fontId="2" fillId="8" borderId="0" xfId="1" applyFont="1" applyFill="1" applyAlignment="1" applyProtection="1">
      <alignment vertical="center"/>
      <protection locked="0"/>
    </xf>
    <xf numFmtId="49" fontId="3" fillId="0" borderId="0" xfId="4" applyNumberFormat="1" applyAlignment="1">
      <alignment horizontal="center" vertical="center"/>
    </xf>
    <xf numFmtId="0" fontId="2" fillId="5" borderId="21" xfId="4" applyFont="1" applyFill="1" applyBorder="1" applyAlignment="1" applyProtection="1">
      <alignment horizontal="left" vertical="center"/>
      <protection locked="0"/>
    </xf>
    <xf numFmtId="0" fontId="2" fillId="5" borderId="51" xfId="4" applyFont="1" applyFill="1" applyBorder="1" applyAlignment="1" applyProtection="1">
      <alignment horizontal="left" vertical="center"/>
      <protection locked="0"/>
    </xf>
    <xf numFmtId="0" fontId="2" fillId="0" borderId="35" xfId="4" applyFont="1" applyBorder="1" applyAlignment="1">
      <alignment horizontal="centerContinuous" vertical="center"/>
    </xf>
    <xf numFmtId="167" fontId="3" fillId="0" borderId="0" xfId="4" applyNumberFormat="1" applyAlignment="1" applyProtection="1">
      <alignment horizontal="center" vertical="center"/>
      <protection locked="0"/>
    </xf>
    <xf numFmtId="49" fontId="45" fillId="0" borderId="25" xfId="4" quotePrefix="1" applyNumberFormat="1" applyFont="1" applyBorder="1" applyAlignment="1" applyProtection="1">
      <alignment horizontal="left" vertical="center"/>
      <protection locked="0"/>
    </xf>
    <xf numFmtId="0" fontId="2" fillId="7" borderId="73" xfId="1" applyFont="1" applyFill="1" applyBorder="1" applyAlignment="1" applyProtection="1">
      <alignment vertical="center"/>
      <protection locked="0"/>
    </xf>
    <xf numFmtId="2" fontId="3" fillId="0" borderId="79" xfId="1" applyNumberFormat="1" applyFont="1" applyBorder="1" applyAlignment="1" applyProtection="1">
      <alignment horizontal="left" vertical="center"/>
      <protection locked="0"/>
    </xf>
    <xf numFmtId="167" fontId="3" fillId="0" borderId="80" xfId="1" applyNumberFormat="1" applyFont="1" applyBorder="1" applyAlignment="1" applyProtection="1">
      <alignment horizontal="left" vertical="center"/>
      <protection locked="0"/>
    </xf>
    <xf numFmtId="2" fontId="3" fillId="0" borderId="25" xfId="1" applyNumberFormat="1" applyFont="1" applyBorder="1" applyAlignment="1" applyProtection="1">
      <alignment horizontal="left" vertical="center"/>
      <protection locked="0"/>
    </xf>
    <xf numFmtId="2" fontId="3" fillId="0" borderId="23" xfId="1" applyNumberFormat="1" applyFont="1" applyBorder="1" applyAlignment="1" applyProtection="1">
      <alignment horizontal="left" vertical="center"/>
      <protection locked="0"/>
    </xf>
    <xf numFmtId="2" fontId="3" fillId="0" borderId="23" xfId="1" applyNumberFormat="1" applyFont="1" applyBorder="1" applyAlignment="1" applyProtection="1">
      <alignment horizontal="right" vertical="center"/>
      <protection locked="0"/>
    </xf>
    <xf numFmtId="2" fontId="2" fillId="0" borderId="22" xfId="1" applyNumberFormat="1" applyFont="1" applyBorder="1" applyAlignment="1" applyProtection="1">
      <alignment horizontal="right" vertical="center"/>
      <protection locked="0"/>
    </xf>
    <xf numFmtId="2" fontId="2" fillId="7" borderId="80" xfId="1" applyNumberFormat="1" applyFont="1" applyFill="1" applyBorder="1" applyAlignment="1" applyProtection="1">
      <alignment horizontal="center" vertical="center"/>
      <protection locked="0"/>
    </xf>
    <xf numFmtId="49" fontId="2" fillId="5" borderId="58" xfId="4" applyNumberFormat="1" applyFont="1" applyFill="1" applyBorder="1" applyAlignment="1" applyProtection="1">
      <alignment horizontal="left" vertical="center"/>
      <protection locked="0"/>
    </xf>
    <xf numFmtId="49" fontId="2" fillId="5" borderId="71" xfId="4" applyNumberFormat="1" applyFont="1" applyFill="1" applyBorder="1" applyAlignment="1" applyProtection="1">
      <alignment horizontal="left" vertical="center"/>
      <protection locked="0"/>
    </xf>
    <xf numFmtId="4" fontId="2" fillId="0" borderId="26" xfId="1" applyNumberFormat="1" applyFont="1" applyBorder="1" applyAlignment="1" applyProtection="1">
      <alignment vertical="center"/>
      <protection locked="0"/>
    </xf>
    <xf numFmtId="4" fontId="3" fillId="5" borderId="5" xfId="4" applyNumberFormat="1" applyFill="1" applyBorder="1" applyAlignment="1" applyProtection="1">
      <alignment vertical="center"/>
      <protection locked="0"/>
    </xf>
    <xf numFmtId="4" fontId="3" fillId="5" borderId="23" xfId="4" applyNumberFormat="1" applyFill="1" applyBorder="1" applyAlignment="1" applyProtection="1">
      <alignment vertical="center"/>
      <protection locked="0"/>
    </xf>
    <xf numFmtId="2" fontId="3" fillId="0" borderId="43" xfId="1" applyNumberFormat="1" applyFont="1" applyBorder="1" applyAlignment="1" applyProtection="1">
      <alignment horizontal="center" vertical="center" wrapText="1"/>
      <protection locked="0"/>
    </xf>
    <xf numFmtId="4" fontId="3" fillId="0" borderId="33" xfId="4" applyNumberFormat="1" applyBorder="1" applyAlignment="1">
      <alignment horizontal="center" vertical="center"/>
    </xf>
    <xf numFmtId="49" fontId="2" fillId="5" borderId="55" xfId="4" applyNumberFormat="1" applyFont="1" applyFill="1" applyBorder="1" applyAlignment="1" applyProtection="1">
      <alignment horizontal="left" vertical="center"/>
      <protection locked="0"/>
    </xf>
    <xf numFmtId="49" fontId="2" fillId="5" borderId="70" xfId="4" applyNumberFormat="1" applyFont="1" applyFill="1" applyBorder="1" applyAlignment="1" applyProtection="1">
      <alignment horizontal="left" vertical="center"/>
      <protection locked="0"/>
    </xf>
    <xf numFmtId="49" fontId="2" fillId="5" borderId="56" xfId="4" applyNumberFormat="1" applyFont="1" applyFill="1" applyBorder="1" applyAlignment="1" applyProtection="1">
      <alignment horizontal="left" vertical="center"/>
      <protection locked="0"/>
    </xf>
    <xf numFmtId="2" fontId="54" fillId="0" borderId="41" xfId="1" applyNumberFormat="1" applyFont="1" applyBorder="1" applyAlignment="1" applyProtection="1">
      <alignment horizontal="center" vertical="center"/>
      <protection locked="0"/>
    </xf>
    <xf numFmtId="2" fontId="54" fillId="0" borderId="79" xfId="1" applyNumberFormat="1" applyFont="1" applyBorder="1" applyAlignment="1" applyProtection="1">
      <alignment horizontal="center" vertical="center"/>
      <protection locked="0"/>
    </xf>
    <xf numFmtId="2" fontId="54" fillId="0" borderId="25" xfId="1" quotePrefix="1" applyNumberFormat="1" applyFont="1" applyBorder="1" applyAlignment="1" applyProtection="1">
      <alignment horizontal="center" vertical="center"/>
      <protection locked="0"/>
    </xf>
    <xf numFmtId="0" fontId="18" fillId="0" borderId="3" xfId="6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1" fillId="0" borderId="153" xfId="6" applyFont="1" applyBorder="1" applyAlignment="1">
      <alignment horizontal="center" vertical="center" wrapText="1"/>
    </xf>
    <xf numFmtId="0" fontId="21" fillId="0" borderId="4" xfId="6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5" fillId="0" borderId="3" xfId="6" quotePrefix="1" applyFont="1" applyBorder="1" applyAlignment="1">
      <alignment horizontal="left" vertical="center"/>
    </xf>
    <xf numFmtId="0" fontId="5" fillId="0" borderId="26" xfId="6" applyFont="1" applyBorder="1" applyAlignment="1">
      <alignment horizontal="left" vertical="center"/>
    </xf>
    <xf numFmtId="0" fontId="3" fillId="0" borderId="35" xfId="4" applyBorder="1" applyAlignment="1">
      <alignment horizontal="left" vertical="center"/>
    </xf>
    <xf numFmtId="0" fontId="5" fillId="0" borderId="12" xfId="6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5" fillId="0" borderId="153" xfId="6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39" fillId="0" borderId="14" xfId="6" applyFont="1" applyBorder="1" applyAlignment="1">
      <alignment horizontal="right" vertical="center" wrapText="1"/>
    </xf>
    <xf numFmtId="0" fontId="39" fillId="0" borderId="0" xfId="6" applyFont="1" applyAlignment="1">
      <alignment horizontal="right" vertical="center" wrapText="1"/>
    </xf>
    <xf numFmtId="0" fontId="4" fillId="0" borderId="0" xfId="6" applyFont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5" fillId="0" borderId="3" xfId="6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 wrapText="1"/>
    </xf>
    <xf numFmtId="0" fontId="5" fillId="0" borderId="26" xfId="6" applyFont="1" applyBorder="1" applyAlignment="1">
      <alignment horizontal="center" vertical="center" wrapText="1"/>
    </xf>
    <xf numFmtId="0" fontId="5" fillId="0" borderId="35" xfId="6" applyFont="1" applyBorder="1" applyAlignment="1">
      <alignment horizontal="center" vertical="center" wrapText="1"/>
    </xf>
    <xf numFmtId="0" fontId="5" fillId="0" borderId="153" xfId="6" applyFont="1" applyBorder="1" applyAlignment="1">
      <alignment vertical="center" wrapText="1"/>
    </xf>
    <xf numFmtId="0" fontId="5" fillId="0" borderId="24" xfId="0" applyFont="1" applyBorder="1" applyAlignment="1">
      <alignment vertical="center" wrapText="1"/>
    </xf>
    <xf numFmtId="0" fontId="5" fillId="4" borderId="155" xfId="1" applyFont="1" applyFill="1" applyBorder="1" applyAlignment="1" applyProtection="1">
      <alignment vertical="center" wrapText="1"/>
      <protection locked="0"/>
    </xf>
    <xf numFmtId="0" fontId="0" fillId="0" borderId="156" xfId="0" applyBorder="1" applyAlignment="1" applyProtection="1">
      <alignment vertical="center" wrapText="1"/>
      <protection locked="0"/>
    </xf>
    <xf numFmtId="0" fontId="0" fillId="0" borderId="157" xfId="0" applyBorder="1" applyAlignment="1" applyProtection="1">
      <alignment vertical="center" wrapText="1"/>
      <protection locked="0"/>
    </xf>
  </cellXfs>
  <cellStyles count="18">
    <cellStyle name="Normal" xfId="0" builtinId="0"/>
    <cellStyle name="Normal 2" xfId="4"/>
    <cellStyle name="Normal 3" xfId="7"/>
    <cellStyle name="Normal 3 2" xfId="6"/>
    <cellStyle name="Normal 3 3" xfId="13"/>
    <cellStyle name="Normal 3 4" xfId="10"/>
    <cellStyle name="Normal 4" xfId="17"/>
    <cellStyle name="Normal_ORÇAMENTO" xfId="1"/>
    <cellStyle name="Normal_ORÇAMENTO ALTERNATIVA 1 DER Junho2001" xfId="2"/>
    <cellStyle name="Porcentagem 2" xfId="5"/>
    <cellStyle name="Porcentagem 3" xfId="16"/>
    <cellStyle name="Vírgula" xfId="3" builtinId="3"/>
    <cellStyle name="Vírgula 2" xfId="8"/>
    <cellStyle name="Vírgula 2 2" xfId="14"/>
    <cellStyle name="Vírgula 2 3" xfId="11"/>
    <cellStyle name="Vírgula 3" xfId="12"/>
    <cellStyle name="Vírgula 4" xfId="9"/>
    <cellStyle name="Vírgula 5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</xdr:colOff>
      <xdr:row>14</xdr:row>
      <xdr:rowOff>99060</xdr:rowOff>
    </xdr:from>
    <xdr:to>
      <xdr:col>4</xdr:col>
      <xdr:colOff>541020</xdr:colOff>
      <xdr:row>14</xdr:row>
      <xdr:rowOff>99060</xdr:rowOff>
    </xdr:to>
    <xdr:cxnSp macro="">
      <xdr:nvCxnSpPr>
        <xdr:cNvPr id="2" name="Conector de Seta Reta 1">
          <a:extLst>
            <a:ext uri="{FF2B5EF4-FFF2-40B4-BE49-F238E27FC236}">
              <a16:creationId xmlns="" xmlns:a16="http://schemas.microsoft.com/office/drawing/2014/main" id="{B40D4D78-E6D1-4CF4-AFC5-A5FC4F3E5AB8}"/>
            </a:ext>
          </a:extLst>
        </xdr:cNvPr>
        <xdr:cNvCxnSpPr/>
      </xdr:nvCxnSpPr>
      <xdr:spPr bwMode="auto">
        <a:xfrm flipH="1">
          <a:off x="6560820" y="3870960"/>
          <a:ext cx="487680" cy="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4</xdr:col>
      <xdr:colOff>53340</xdr:colOff>
      <xdr:row>14</xdr:row>
      <xdr:rowOff>99060</xdr:rowOff>
    </xdr:from>
    <xdr:to>
      <xdr:col>4</xdr:col>
      <xdr:colOff>541020</xdr:colOff>
      <xdr:row>14</xdr:row>
      <xdr:rowOff>99060</xdr:rowOff>
    </xdr:to>
    <xdr:cxnSp macro="">
      <xdr:nvCxnSpPr>
        <xdr:cNvPr id="3" name="Conector de Seta Reta 2">
          <a:extLst>
            <a:ext uri="{FF2B5EF4-FFF2-40B4-BE49-F238E27FC236}">
              <a16:creationId xmlns="" xmlns:a16="http://schemas.microsoft.com/office/drawing/2014/main" id="{426D9AF2-E112-4C69-B4EA-CEC0C4D08DC0}"/>
            </a:ext>
          </a:extLst>
        </xdr:cNvPr>
        <xdr:cNvCxnSpPr/>
      </xdr:nvCxnSpPr>
      <xdr:spPr bwMode="auto">
        <a:xfrm flipH="1">
          <a:off x="6560820" y="3870960"/>
          <a:ext cx="487680" cy="0"/>
        </a:xfrm>
        <a:prstGeom prst="straightConnector1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ruy\_01%20Reequil&#237;brio%20-%20arquivos%20revisados\Realinamento%20SET%202017-INCC-mensal%20ANP-DNIT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roberta/An&#225;lises/orcapav_ago22_semdeson_insumos_out22_bdi_tc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C"/>
      <sheetName val="ANP após 2015"/>
      <sheetName val="percentuais por insumo"/>
      <sheetName val="TESTE"/>
      <sheetName val="proposta"/>
      <sheetName val="2017 SEM"/>
      <sheetName val="R1"/>
      <sheetName val="R2"/>
      <sheetName val="R3"/>
      <sheetName val="R4"/>
      <sheetName val="R5"/>
      <sheetName val="R6"/>
      <sheetName val="R7"/>
      <sheetName val="R8 saldo"/>
      <sheetName val="SOMA"/>
      <sheetName val="resumo"/>
      <sheetName val="Composição TCPOW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GANTES"/>
      <sheetName val="Prazos e Áreas"/>
      <sheetName val="Cronograma PAM"/>
      <sheetName val="BDI"/>
      <sheetName val="Cronograma SFM"/>
      <sheetName val="grandes ítens"/>
      <sheetName val="ENSAIOS DE ORÇAMENTO"/>
      <sheetName val="orc DER AGO 2022"/>
      <sheetName val="viab-pav"/>
      <sheetName val="viab-praça"/>
      <sheetName val="Novos Traços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B.L. Símples alvenaria H até 1,20 m</v>
          </cell>
          <cell r="D3">
            <v>0</v>
          </cell>
          <cell r="E3">
            <v>0.87983999999999996</v>
          </cell>
          <cell r="F3">
            <v>0.11541040000000001</v>
          </cell>
          <cell r="G3">
            <v>0.62209000000000003</v>
          </cell>
          <cell r="H3">
            <v>0.20424000000000003</v>
          </cell>
          <cell r="I3">
            <v>0</v>
          </cell>
          <cell r="J3">
            <v>1382.6843920000001</v>
          </cell>
          <cell r="K3">
            <v>0</v>
          </cell>
          <cell r="L3">
            <v>2.9328E-2</v>
          </cell>
        </row>
        <row r="4">
          <cell r="C4" t="str">
            <v>B.L. Símples alvenaria H até 1,50 m</v>
          </cell>
          <cell r="D4">
            <v>0</v>
          </cell>
          <cell r="E4">
            <v>1.0998000000000001</v>
          </cell>
          <cell r="F4">
            <v>0.132608</v>
          </cell>
          <cell r="G4">
            <v>0.73198000000000008</v>
          </cell>
          <cell r="H4">
            <v>0.20424000000000003</v>
          </cell>
          <cell r="I4">
            <v>0</v>
          </cell>
          <cell r="J4">
            <v>1534.9440399999999</v>
          </cell>
          <cell r="K4">
            <v>0</v>
          </cell>
          <cell r="L4">
            <v>3.6659999999999998E-2</v>
          </cell>
        </row>
        <row r="5">
          <cell r="C5" t="str">
            <v>B.L. Símples alvenaria H até 2,00 m</v>
          </cell>
          <cell r="D5">
            <v>0</v>
          </cell>
          <cell r="E5">
            <v>1.4635799999999999</v>
          </cell>
          <cell r="F5">
            <v>0.1610819</v>
          </cell>
          <cell r="G5">
            <v>0.91383625000000013</v>
          </cell>
          <cell r="H5">
            <v>0.20424000000000003</v>
          </cell>
          <cell r="I5">
            <v>0</v>
          </cell>
          <cell r="J5">
            <v>1786.7909519999998</v>
          </cell>
          <cell r="K5">
            <v>0</v>
          </cell>
          <cell r="L5">
            <v>4.8785999999999996E-2</v>
          </cell>
        </row>
        <row r="6">
          <cell r="C6" t="str">
            <v>B.L. Símples alvenaria H até 2,50 m</v>
          </cell>
          <cell r="D6">
            <v>0</v>
          </cell>
          <cell r="E6">
            <v>1.8358199999999998</v>
          </cell>
          <cell r="F6">
            <v>0.19012209999999999</v>
          </cell>
          <cell r="G6">
            <v>1.09957375</v>
          </cell>
          <cell r="H6">
            <v>0.20424000000000003</v>
          </cell>
          <cell r="I6">
            <v>0</v>
          </cell>
          <cell r="J6">
            <v>2044.395368</v>
          </cell>
          <cell r="K6">
            <v>0</v>
          </cell>
          <cell r="L6">
            <v>6.1193999999999998E-2</v>
          </cell>
        </row>
        <row r="7">
          <cell r="C7" t="str">
            <v>B.L. Símples pré-moldado H até 1,20 m</v>
          </cell>
          <cell r="D7">
            <v>0</v>
          </cell>
          <cell r="E7">
            <v>0</v>
          </cell>
          <cell r="F7">
            <v>0.43266000000000004</v>
          </cell>
          <cell r="G7">
            <v>1.26997</v>
          </cell>
          <cell r="H7">
            <v>1.5118200000000002</v>
          </cell>
          <cell r="I7">
            <v>0</v>
          </cell>
          <cell r="J7">
            <v>1094.7577000000001</v>
          </cell>
          <cell r="K7">
            <v>0</v>
          </cell>
          <cell r="L7">
            <v>0</v>
          </cell>
        </row>
        <row r="8">
          <cell r="C8" t="str">
            <v>B.L. Símples pré-moldado H até 1,50 m</v>
          </cell>
          <cell r="D8">
            <v>0</v>
          </cell>
          <cell r="E8">
            <v>0</v>
          </cell>
          <cell r="F8">
            <v>0.54156000000000004</v>
          </cell>
          <cell r="G8">
            <v>1.5739000000000001</v>
          </cell>
          <cell r="H8">
            <v>1.8781200000000002</v>
          </cell>
          <cell r="I8">
            <v>0</v>
          </cell>
          <cell r="J8">
            <v>1275.7076000000002</v>
          </cell>
          <cell r="K8">
            <v>0</v>
          </cell>
          <cell r="L8">
            <v>0</v>
          </cell>
        </row>
        <row r="9">
          <cell r="C9" t="str">
            <v>B.L. Símples pré-moldado H até 2,00 m</v>
          </cell>
          <cell r="D9">
            <v>0</v>
          </cell>
          <cell r="E9">
            <v>0</v>
          </cell>
          <cell r="F9">
            <v>0.71976000000000007</v>
          </cell>
          <cell r="G9">
            <v>2.0712400000000004</v>
          </cell>
          <cell r="H9">
            <v>2.4775200000000002</v>
          </cell>
          <cell r="I9">
            <v>0</v>
          </cell>
          <cell r="J9">
            <v>1572.3155999999999</v>
          </cell>
          <cell r="K9">
            <v>0</v>
          </cell>
          <cell r="L9">
            <v>0</v>
          </cell>
        </row>
        <row r="10">
          <cell r="C10" t="str">
            <v>B.L. Símples pré-moldado H até 2,50 m</v>
          </cell>
          <cell r="D10">
            <v>0</v>
          </cell>
          <cell r="E10">
            <v>0</v>
          </cell>
          <cell r="F10">
            <v>0.90125999999999995</v>
          </cell>
          <cell r="G10">
            <v>2.5777900000000002</v>
          </cell>
          <cell r="H10">
            <v>3.0880200000000002</v>
          </cell>
          <cell r="I10">
            <v>0</v>
          </cell>
          <cell r="J10">
            <v>1873.8007000000002</v>
          </cell>
          <cell r="K10">
            <v>0</v>
          </cell>
          <cell r="L10">
            <v>0</v>
          </cell>
        </row>
        <row r="11">
          <cell r="C11" t="str">
            <v>B.L. Símples concreto armado H até 1,20 m</v>
          </cell>
          <cell r="D11">
            <v>0</v>
          </cell>
          <cell r="E11">
            <v>0</v>
          </cell>
          <cell r="F11">
            <v>0.20478000000000002</v>
          </cell>
          <cell r="G11">
            <v>0.60275000000000001</v>
          </cell>
          <cell r="H11">
            <v>0.71706000000000003</v>
          </cell>
          <cell r="I11">
            <v>0</v>
          </cell>
          <cell r="J11">
            <v>1829.9006999999997</v>
          </cell>
          <cell r="K11">
            <v>0</v>
          </cell>
          <cell r="L11">
            <v>0</v>
          </cell>
        </row>
        <row r="12">
          <cell r="C12" t="str">
            <v>B.L. Símples concreto armado H até 1,50 m</v>
          </cell>
          <cell r="D12">
            <v>0</v>
          </cell>
          <cell r="E12">
            <v>0</v>
          </cell>
          <cell r="F12">
            <v>0.25757999999999998</v>
          </cell>
          <cell r="G12">
            <v>0.75010999999999994</v>
          </cell>
          <cell r="H12">
            <v>0.89466000000000001</v>
          </cell>
          <cell r="I12">
            <v>0</v>
          </cell>
          <cell r="J12">
            <v>2209.8910999999998</v>
          </cell>
          <cell r="K12">
            <v>0</v>
          </cell>
          <cell r="L12">
            <v>0</v>
          </cell>
        </row>
        <row r="13">
          <cell r="C13" t="str">
            <v>B.L. Símples concreto armado H até 2,00 m</v>
          </cell>
          <cell r="D13">
            <v>0</v>
          </cell>
          <cell r="E13">
            <v>0</v>
          </cell>
          <cell r="F13">
            <v>0.34338000000000002</v>
          </cell>
          <cell r="G13">
            <v>0.98957000000000006</v>
          </cell>
          <cell r="H13">
            <v>1.1832600000000002</v>
          </cell>
          <cell r="I13">
            <v>0</v>
          </cell>
          <cell r="J13">
            <v>2403.1848999999997</v>
          </cell>
          <cell r="K13">
            <v>0</v>
          </cell>
          <cell r="L13">
            <v>0</v>
          </cell>
        </row>
        <row r="14">
          <cell r="C14" t="str">
            <v>B.L. Símples concreto armado H até 2,50 m</v>
          </cell>
          <cell r="D14">
            <v>0</v>
          </cell>
          <cell r="E14">
            <v>0</v>
          </cell>
          <cell r="F14">
            <v>0.42918000000000001</v>
          </cell>
          <cell r="G14">
            <v>1.2290300000000001</v>
          </cell>
          <cell r="H14">
            <v>1.4718600000000002</v>
          </cell>
          <cell r="I14">
            <v>0</v>
          </cell>
          <cell r="J14">
            <v>2920.9871999999996</v>
          </cell>
          <cell r="K14">
            <v>0</v>
          </cell>
          <cell r="L14">
            <v>0</v>
          </cell>
        </row>
        <row r="15">
          <cell r="C15" t="str">
            <v>B.L. Dupla Alvenaria H até 1,20 m</v>
          </cell>
          <cell r="D15">
            <v>0</v>
          </cell>
          <cell r="E15">
            <v>1.6716959999999998</v>
          </cell>
          <cell r="F15">
            <v>0.2047668</v>
          </cell>
          <cell r="G15">
            <v>1.1293030000000002</v>
          </cell>
          <cell r="H15">
            <v>0.38805600000000001</v>
          </cell>
          <cell r="I15">
            <v>0</v>
          </cell>
          <cell r="J15">
            <v>2648.3670199999997</v>
          </cell>
          <cell r="K15">
            <v>0</v>
          </cell>
          <cell r="L15">
            <v>5.5723200000000001E-2</v>
          </cell>
        </row>
        <row r="16">
          <cell r="C16" t="str">
            <v>B.L. Dupla Alvenaria H até 1,50 m</v>
          </cell>
          <cell r="D16">
            <v>0</v>
          </cell>
          <cell r="E16">
            <v>2.0896199999999996</v>
          </cell>
          <cell r="F16">
            <v>0.23381399999999999</v>
          </cell>
          <cell r="G16">
            <v>1.324927</v>
          </cell>
          <cell r="H16">
            <v>0.38805600000000001</v>
          </cell>
          <cell r="I16">
            <v>0</v>
          </cell>
          <cell r="J16">
            <v>2933.8990199999998</v>
          </cell>
          <cell r="K16">
            <v>0</v>
          </cell>
          <cell r="L16">
            <v>6.9653999999999994E-2</v>
          </cell>
        </row>
        <row r="17">
          <cell r="C17" t="str">
            <v>B.L. Dupla Alvenaria H até 2,00 m</v>
          </cell>
          <cell r="D17">
            <v>0</v>
          </cell>
          <cell r="E17">
            <v>2.780802</v>
          </cell>
          <cell r="F17">
            <v>0.28185359999999998</v>
          </cell>
          <cell r="G17">
            <v>1.6484590000000001</v>
          </cell>
          <cell r="H17">
            <v>0.38805600000000001</v>
          </cell>
          <cell r="I17">
            <v>0</v>
          </cell>
          <cell r="J17">
            <v>3406.1250199999995</v>
          </cell>
          <cell r="K17">
            <v>0</v>
          </cell>
          <cell r="L17">
            <v>9.2693399999999995E-2</v>
          </cell>
        </row>
        <row r="18">
          <cell r="C18" t="str">
            <v>B.L. Dupla Alvenaria H até 2,50 m</v>
          </cell>
          <cell r="D18">
            <v>0</v>
          </cell>
          <cell r="E18">
            <v>3.4880579999999992</v>
          </cell>
          <cell r="F18">
            <v>0.33101039999999993</v>
          </cell>
          <cell r="G18">
            <v>1.9795149999999999</v>
          </cell>
          <cell r="H18">
            <v>0.38805600000000001</v>
          </cell>
          <cell r="I18">
            <v>0</v>
          </cell>
          <cell r="J18">
            <v>3889.3330199999991</v>
          </cell>
          <cell r="K18">
            <v>0</v>
          </cell>
          <cell r="L18">
            <v>0.11626859999999997</v>
          </cell>
        </row>
        <row r="19">
          <cell r="C19" t="str">
            <v>B.L. Dupla Pré-moldado H até 1,20 m</v>
          </cell>
          <cell r="D19">
            <v>0</v>
          </cell>
          <cell r="E19">
            <v>0</v>
          </cell>
          <cell r="F19">
            <v>0.82205400000000006</v>
          </cell>
          <cell r="G19">
            <v>2.4129430000000003</v>
          </cell>
          <cell r="H19">
            <v>2.8724580000000004</v>
          </cell>
          <cell r="I19">
            <v>0</v>
          </cell>
          <cell r="J19">
            <v>2116.3516300000001</v>
          </cell>
          <cell r="K19">
            <v>0</v>
          </cell>
          <cell r="L19">
            <v>0</v>
          </cell>
        </row>
        <row r="20">
          <cell r="C20" t="str">
            <v>B.L. Dupla Pré-moldado H até 1,50 m</v>
          </cell>
          <cell r="D20">
            <v>0</v>
          </cell>
          <cell r="E20">
            <v>0</v>
          </cell>
          <cell r="F20">
            <v>1.028964</v>
          </cell>
          <cell r="G20">
            <v>2.9904099999999998</v>
          </cell>
          <cell r="H20">
            <v>3.5684279999999999</v>
          </cell>
          <cell r="I20">
            <v>0</v>
          </cell>
          <cell r="J20">
            <v>2460.1564399999997</v>
          </cell>
          <cell r="K20">
            <v>0</v>
          </cell>
          <cell r="L20">
            <v>0</v>
          </cell>
        </row>
        <row r="21">
          <cell r="C21" t="str">
            <v>B.L. Dupla Pré-moldado H até 2,00 m</v>
          </cell>
          <cell r="D21">
            <v>0</v>
          </cell>
          <cell r="E21">
            <v>0</v>
          </cell>
          <cell r="F21">
            <v>1.3675439999999999</v>
          </cell>
          <cell r="G21">
            <v>3.9353559999999996</v>
          </cell>
          <cell r="H21">
            <v>4.7072880000000001</v>
          </cell>
          <cell r="I21">
            <v>0</v>
          </cell>
          <cell r="J21">
            <v>3023.7116399999995</v>
          </cell>
          <cell r="K21">
            <v>0</v>
          </cell>
          <cell r="L21">
            <v>0</v>
          </cell>
        </row>
        <row r="22">
          <cell r="C22" t="str">
            <v>B.L. Dupla Pré-moldado H até 2,50 m</v>
          </cell>
          <cell r="D22">
            <v>0</v>
          </cell>
          <cell r="E22">
            <v>0</v>
          </cell>
          <cell r="F22">
            <v>1.7123939999999997</v>
          </cell>
          <cell r="G22">
            <v>4.8978009999999994</v>
          </cell>
          <cell r="H22">
            <v>5.8672380000000004</v>
          </cell>
          <cell r="I22">
            <v>0</v>
          </cell>
          <cell r="J22">
            <v>3596.5333299999993</v>
          </cell>
          <cell r="K22">
            <v>0</v>
          </cell>
          <cell r="L22">
            <v>0</v>
          </cell>
        </row>
        <row r="23">
          <cell r="C23" t="str">
            <v>B.L. Dupla Concreto armado H até 1,20 m</v>
          </cell>
          <cell r="D23">
            <v>0</v>
          </cell>
          <cell r="E23">
            <v>0</v>
          </cell>
          <cell r="F23">
            <v>0.38908200000000004</v>
          </cell>
          <cell r="G23">
            <v>1.1452249999999999</v>
          </cell>
          <cell r="H23">
            <v>1.362414</v>
          </cell>
          <cell r="I23">
            <v>0</v>
          </cell>
          <cell r="J23">
            <v>3513.1233299999994</v>
          </cell>
          <cell r="K23">
            <v>0</v>
          </cell>
          <cell r="L23">
            <v>0</v>
          </cell>
        </row>
        <row r="24">
          <cell r="C24" t="str">
            <v>B.L. Dupla Concreto armado H até 1,50 m</v>
          </cell>
          <cell r="D24">
            <v>0</v>
          </cell>
          <cell r="E24">
            <v>0</v>
          </cell>
          <cell r="F24">
            <v>0.48940199999999995</v>
          </cell>
          <cell r="G24">
            <v>1.4252089999999999</v>
          </cell>
          <cell r="H24">
            <v>1.699854</v>
          </cell>
          <cell r="I24">
            <v>0</v>
          </cell>
          <cell r="J24">
            <v>4235.10509</v>
          </cell>
          <cell r="K24">
            <v>0</v>
          </cell>
          <cell r="L24">
            <v>0</v>
          </cell>
        </row>
        <row r="25">
          <cell r="C25" t="str">
            <v>B.L. Dupla Concreto armado H até 2,00 m</v>
          </cell>
          <cell r="D25">
            <v>0</v>
          </cell>
          <cell r="E25">
            <v>0</v>
          </cell>
          <cell r="F25">
            <v>0.65242199999999995</v>
          </cell>
          <cell r="G25">
            <v>1.8801829999999999</v>
          </cell>
          <cell r="H25">
            <v>2.2481940000000002</v>
          </cell>
          <cell r="I25">
            <v>0</v>
          </cell>
          <cell r="J25">
            <v>4602.3633099999997</v>
          </cell>
          <cell r="K25">
            <v>0</v>
          </cell>
          <cell r="L25">
            <v>0</v>
          </cell>
        </row>
        <row r="26">
          <cell r="C26" t="str">
            <v>B.L. Dupla Concreto armado H até 2,50 m</v>
          </cell>
          <cell r="D26">
            <v>0</v>
          </cell>
          <cell r="E26">
            <v>0</v>
          </cell>
          <cell r="F26">
            <v>0.81544199999999989</v>
          </cell>
          <cell r="G26">
            <v>2.3351569999999997</v>
          </cell>
          <cell r="H26">
            <v>2.7965340000000003</v>
          </cell>
          <cell r="I26">
            <v>0</v>
          </cell>
          <cell r="J26">
            <v>5586.1876799999991</v>
          </cell>
          <cell r="K26">
            <v>0</v>
          </cell>
          <cell r="L26">
            <v>0</v>
          </cell>
        </row>
        <row r="27">
          <cell r="C27" t="str">
            <v>C.L. Alvenaria Tubo até 0,40</v>
          </cell>
          <cell r="D27">
            <v>0</v>
          </cell>
          <cell r="E27">
            <v>0.17055359999999997</v>
          </cell>
          <cell r="F27">
            <v>9.9453823999999996E-2</v>
          </cell>
          <cell r="G27">
            <v>0.3618486528</v>
          </cell>
          <cell r="H27">
            <v>0.308576448</v>
          </cell>
          <cell r="I27">
            <v>0</v>
          </cell>
          <cell r="J27">
            <v>441.20676012799993</v>
          </cell>
          <cell r="K27">
            <v>0</v>
          </cell>
          <cell r="L27">
            <v>5.6851199999999992E-3</v>
          </cell>
        </row>
        <row r="28">
          <cell r="C28" t="str">
            <v>C.L. Alvenaria Tubo até 0,60</v>
          </cell>
          <cell r="D28">
            <v>0</v>
          </cell>
          <cell r="E28">
            <v>0.28019519999999998</v>
          </cell>
          <cell r="F28">
            <v>0.14735024000000002</v>
          </cell>
          <cell r="G28">
            <v>0.52819569600000005</v>
          </cell>
          <cell r="H28">
            <v>0.43353936000000004</v>
          </cell>
          <cell r="I28">
            <v>0</v>
          </cell>
          <cell r="J28">
            <v>672.43252495999991</v>
          </cell>
          <cell r="K28">
            <v>0</v>
          </cell>
          <cell r="L28">
            <v>9.3398400000000003E-3</v>
          </cell>
        </row>
        <row r="29">
          <cell r="C29" t="str">
            <v>C.L. Alvenaria Tubo até 0,80</v>
          </cell>
          <cell r="D29">
            <v>0</v>
          </cell>
          <cell r="E29">
            <v>0.6822144</v>
          </cell>
          <cell r="F29">
            <v>0.25613760000000002</v>
          </cell>
          <cell r="G29">
            <v>0.95694329600000005</v>
          </cell>
          <cell r="H29">
            <v>0.70038336000000012</v>
          </cell>
          <cell r="I29">
            <v>0</v>
          </cell>
          <cell r="J29">
            <v>1254.8365582933334</v>
          </cell>
          <cell r="K29">
            <v>0</v>
          </cell>
          <cell r="L29">
            <v>2.274048E-2</v>
          </cell>
        </row>
        <row r="30">
          <cell r="C30" t="str">
            <v>C.L. Alvenaria Tubo até 1,00</v>
          </cell>
          <cell r="D30">
            <v>0</v>
          </cell>
          <cell r="E30">
            <v>0.92856959999999988</v>
          </cell>
          <cell r="F30">
            <v>0.33109503999999995</v>
          </cell>
          <cell r="G30">
            <v>1.2541824319999999</v>
          </cell>
          <cell r="H30">
            <v>0.89487311999999997</v>
          </cell>
          <cell r="I30">
            <v>0</v>
          </cell>
          <cell r="J30">
            <v>1636.8346789866664</v>
          </cell>
          <cell r="K30">
            <v>0</v>
          </cell>
          <cell r="L30">
            <v>3.0952319999999998E-2</v>
          </cell>
        </row>
        <row r="31">
          <cell r="C31" t="str">
            <v>C.L. Alvenaria Tubo até 1,20</v>
          </cell>
          <cell r="D31">
            <v>0</v>
          </cell>
          <cell r="E31">
            <v>1.3189478400000001</v>
          </cell>
          <cell r="F31">
            <v>0.45250179200000007</v>
          </cell>
          <cell r="G31">
            <v>1.7334338080000002</v>
          </cell>
          <cell r="H31">
            <v>1.2150148800000002</v>
          </cell>
          <cell r="I31">
            <v>0</v>
          </cell>
          <cell r="J31">
            <v>2254.8232410133337</v>
          </cell>
          <cell r="K31">
            <v>0</v>
          </cell>
          <cell r="L31">
            <v>4.3964928000000007E-2</v>
          </cell>
        </row>
        <row r="32">
          <cell r="C32" t="str">
            <v>C.L. pré-moldado Tubo até 0,40</v>
          </cell>
          <cell r="D32">
            <v>0</v>
          </cell>
          <cell r="E32">
            <v>0</v>
          </cell>
          <cell r="F32">
            <v>0.1320288</v>
          </cell>
          <cell r="G32">
            <v>0.40193856</v>
          </cell>
          <cell r="H32">
            <v>0.47436960000000006</v>
          </cell>
          <cell r="I32">
            <v>0</v>
          </cell>
          <cell r="J32">
            <v>429.51122421333332</v>
          </cell>
          <cell r="K32">
            <v>0</v>
          </cell>
          <cell r="L32">
            <v>0</v>
          </cell>
        </row>
        <row r="33">
          <cell r="C33" t="str">
            <v>C.L. pré-moldado Tubo até 0,60</v>
          </cell>
          <cell r="D33">
            <v>0</v>
          </cell>
          <cell r="E33">
            <v>0</v>
          </cell>
          <cell r="F33">
            <v>0.20444730000000003</v>
          </cell>
          <cell r="G33">
            <v>0.60405201000000008</v>
          </cell>
          <cell r="H33">
            <v>0.71795910000000007</v>
          </cell>
          <cell r="I33">
            <v>0</v>
          </cell>
          <cell r="J33">
            <v>657.68880203333333</v>
          </cell>
          <cell r="K33">
            <v>0</v>
          </cell>
          <cell r="L33">
            <v>0</v>
          </cell>
        </row>
        <row r="34">
          <cell r="C34" t="str">
            <v>C.L. pré-moldado Tubo até 0,80</v>
          </cell>
          <cell r="D34">
            <v>0</v>
          </cell>
          <cell r="E34">
            <v>0</v>
          </cell>
          <cell r="F34">
            <v>0.38327894999999995</v>
          </cell>
          <cell r="G34">
            <v>1.1143076149999998</v>
          </cell>
          <cell r="H34">
            <v>1.3295746499999999</v>
          </cell>
          <cell r="I34">
            <v>0</v>
          </cell>
          <cell r="J34">
            <v>1151.1882539166666</v>
          </cell>
          <cell r="K34">
            <v>0</v>
          </cell>
          <cell r="L34">
            <v>0</v>
          </cell>
        </row>
        <row r="35">
          <cell r="C35" t="str">
            <v>C.L. pré-moldado Tubo até 1,00</v>
          </cell>
          <cell r="D35">
            <v>0</v>
          </cell>
          <cell r="E35">
            <v>0</v>
          </cell>
          <cell r="F35">
            <v>0.56408220000000009</v>
          </cell>
          <cell r="G35">
            <v>1.6356421400000001</v>
          </cell>
          <cell r="H35">
            <v>1.9528674000000004</v>
          </cell>
          <cell r="I35">
            <v>0</v>
          </cell>
          <cell r="J35">
            <v>1584.5382719333334</v>
          </cell>
          <cell r="K35">
            <v>0</v>
          </cell>
          <cell r="L35">
            <v>0</v>
          </cell>
        </row>
        <row r="36">
          <cell r="C36" t="str">
            <v>C.L. pré-moldado Tubo até 1,20</v>
          </cell>
          <cell r="D36">
            <v>0</v>
          </cell>
          <cell r="E36">
            <v>0</v>
          </cell>
          <cell r="F36">
            <v>0.77929919999999997</v>
          </cell>
          <cell r="G36">
            <v>2.26417504</v>
          </cell>
          <cell r="H36">
            <v>2.7020064000000001</v>
          </cell>
          <cell r="I36">
            <v>0</v>
          </cell>
          <cell r="J36">
            <v>2167.3900512</v>
          </cell>
          <cell r="K36">
            <v>0</v>
          </cell>
          <cell r="L36">
            <v>0</v>
          </cell>
        </row>
        <row r="37">
          <cell r="C37" t="str">
            <v>C.L. concreto armado Tubo até 0,40</v>
          </cell>
          <cell r="D37">
            <v>0</v>
          </cell>
          <cell r="E37">
            <v>0</v>
          </cell>
          <cell r="F37">
            <v>0.13625280000000003</v>
          </cell>
          <cell r="G37">
            <v>0.41372736000000004</v>
          </cell>
          <cell r="H37">
            <v>0.48857760000000011</v>
          </cell>
          <cell r="I37">
            <v>0</v>
          </cell>
          <cell r="J37">
            <v>877.32228026666667</v>
          </cell>
          <cell r="K37">
            <v>0</v>
          </cell>
          <cell r="L37">
            <v>0</v>
          </cell>
        </row>
        <row r="38">
          <cell r="C38" t="str">
            <v>C.L. concreto armado Tubo até 0,60</v>
          </cell>
          <cell r="D38">
            <v>0</v>
          </cell>
          <cell r="E38">
            <v>0</v>
          </cell>
          <cell r="F38">
            <v>0.21117996</v>
          </cell>
          <cell r="G38">
            <v>0.62284225199999999</v>
          </cell>
          <cell r="H38">
            <v>0.74060532000000001</v>
          </cell>
          <cell r="I38">
            <v>0</v>
          </cell>
          <cell r="J38">
            <v>1386.7382591866667</v>
          </cell>
          <cell r="K38">
            <v>0</v>
          </cell>
          <cell r="L38">
            <v>0</v>
          </cell>
        </row>
        <row r="39">
          <cell r="C39" t="str">
            <v>C.L. concreto armado Tubo até 0,80</v>
          </cell>
          <cell r="D39">
            <v>0</v>
          </cell>
          <cell r="E39">
            <v>0</v>
          </cell>
          <cell r="F39">
            <v>0.38327894999999995</v>
          </cell>
          <cell r="G39">
            <v>1.1143076149999998</v>
          </cell>
          <cell r="H39">
            <v>1.3295746499999999</v>
          </cell>
          <cell r="I39">
            <v>0</v>
          </cell>
          <cell r="J39">
            <v>2390.501674983333</v>
          </cell>
          <cell r="K39">
            <v>0</v>
          </cell>
          <cell r="L39">
            <v>0</v>
          </cell>
        </row>
        <row r="40">
          <cell r="C40" t="str">
            <v>C.L. concreto armado Tubo até 1,00</v>
          </cell>
          <cell r="D40">
            <v>0</v>
          </cell>
          <cell r="E40">
            <v>0</v>
          </cell>
          <cell r="F40">
            <v>0.56408220000000009</v>
          </cell>
          <cell r="G40">
            <v>1.6356421400000001</v>
          </cell>
          <cell r="H40">
            <v>1.9528674000000004</v>
          </cell>
          <cell r="I40">
            <v>0</v>
          </cell>
          <cell r="J40">
            <v>3484.3103660666666</v>
          </cell>
          <cell r="K40">
            <v>0</v>
          </cell>
          <cell r="L40">
            <v>0</v>
          </cell>
        </row>
        <row r="41">
          <cell r="C41" t="str">
            <v>C.L. concreto armado Tubo até 1,20</v>
          </cell>
          <cell r="D41">
            <v>0</v>
          </cell>
          <cell r="E41">
            <v>0</v>
          </cell>
          <cell r="F41">
            <v>0.77929919999999997</v>
          </cell>
          <cell r="G41">
            <v>2.26417504</v>
          </cell>
          <cell r="H41">
            <v>2.7020064000000001</v>
          </cell>
          <cell r="I41">
            <v>0</v>
          </cell>
          <cell r="J41">
            <v>4805.7457183999995</v>
          </cell>
          <cell r="K41">
            <v>0</v>
          </cell>
          <cell r="L41">
            <v>0</v>
          </cell>
        </row>
        <row r="42">
          <cell r="C42" t="str">
            <v>C.L. concreto armado Tubo até 1,50</v>
          </cell>
          <cell r="D42">
            <v>0</v>
          </cell>
          <cell r="E42">
            <v>0</v>
          </cell>
          <cell r="F42">
            <v>1.2096229499999998</v>
          </cell>
          <cell r="G42">
            <v>3.5097804149999998</v>
          </cell>
          <cell r="H42">
            <v>4.18982265</v>
          </cell>
          <cell r="I42">
            <v>0</v>
          </cell>
          <cell r="J42">
            <v>7260.3459926499991</v>
          </cell>
          <cell r="K42">
            <v>0</v>
          </cell>
          <cell r="L42">
            <v>0</v>
          </cell>
        </row>
        <row r="43">
          <cell r="C43" t="str">
            <v>C.L. concreto armado Tubo até 2,00</v>
          </cell>
          <cell r="D43">
            <v>0</v>
          </cell>
          <cell r="E43">
            <v>0</v>
          </cell>
          <cell r="F43">
            <v>1.9087789500000001</v>
          </cell>
          <cell r="G43">
            <v>5.5279776150000002</v>
          </cell>
          <cell r="H43">
            <v>6.6020746500000005</v>
          </cell>
          <cell r="I43">
            <v>0</v>
          </cell>
          <cell r="J43">
            <v>11469.066144649998</v>
          </cell>
          <cell r="K43">
            <v>0</v>
          </cell>
          <cell r="L43">
            <v>0</v>
          </cell>
        </row>
        <row r="44">
          <cell r="C44" t="str">
            <v>P.V. Alvenaria H até 0,80 m Tubo até 0,40 + chaminé 1,00 m</v>
          </cell>
          <cell r="D44">
            <v>0</v>
          </cell>
          <cell r="E44">
            <v>0.54144000000000003</v>
          </cell>
          <cell r="F44">
            <v>0.35276220000000008</v>
          </cell>
          <cell r="G44">
            <v>1.1888125000000003</v>
          </cell>
          <cell r="H44">
            <v>1.1100000000000001</v>
          </cell>
          <cell r="I44">
            <v>1</v>
          </cell>
          <cell r="J44">
            <v>2164.1967759999998</v>
          </cell>
          <cell r="K44">
            <v>1</v>
          </cell>
          <cell r="L44">
            <v>1.8048000000000002E-2</v>
          </cell>
        </row>
        <row r="45">
          <cell r="C45" t="str">
            <v>P.V. Alvenaria H até 1,00 m Tubo até 0,60 + chaminé 1,00 m</v>
          </cell>
          <cell r="D45">
            <v>0</v>
          </cell>
          <cell r="E45">
            <v>0.76139999999999997</v>
          </cell>
          <cell r="F45">
            <v>0.38489359999999995</v>
          </cell>
          <cell r="G45">
            <v>1.3499699999999999</v>
          </cell>
          <cell r="H45">
            <v>1.1766000000000001</v>
          </cell>
          <cell r="I45">
            <v>1</v>
          </cell>
          <cell r="J45">
            <v>2380.2442679999999</v>
          </cell>
          <cell r="K45">
            <v>1</v>
          </cell>
          <cell r="L45">
            <v>2.538E-2</v>
          </cell>
        </row>
        <row r="46">
          <cell r="C46" t="str">
            <v>P.V. Alvenaria H até 1,30 m Tubo até 0,80 + chaminé 1,00 m</v>
          </cell>
          <cell r="D46">
            <v>0</v>
          </cell>
          <cell r="E46">
            <v>1.09134</v>
          </cell>
          <cell r="F46">
            <v>0.43281240000000004</v>
          </cell>
          <cell r="G46">
            <v>1.5797950000000001</v>
          </cell>
          <cell r="H46">
            <v>1.2654000000000003</v>
          </cell>
          <cell r="I46">
            <v>1</v>
          </cell>
          <cell r="J46">
            <v>2700.9386520000003</v>
          </cell>
          <cell r="K46">
            <v>1</v>
          </cell>
          <cell r="L46">
            <v>3.6378000000000001E-2</v>
          </cell>
        </row>
        <row r="47">
          <cell r="C47" t="str">
            <v>P.V. Alvenaria H até 1,50 m Tubo até 1,00 + chaminé 1,00 m</v>
          </cell>
          <cell r="D47">
            <v>0</v>
          </cell>
          <cell r="E47">
            <v>1.30284</v>
          </cell>
          <cell r="F47">
            <v>0.46255580000000002</v>
          </cell>
          <cell r="G47">
            <v>1.7263925000000002</v>
          </cell>
          <cell r="H47">
            <v>1.3209000000000002</v>
          </cell>
          <cell r="I47">
            <v>1</v>
          </cell>
          <cell r="J47">
            <v>2907.1166439999997</v>
          </cell>
          <cell r="K47">
            <v>1</v>
          </cell>
          <cell r="L47">
            <v>4.3428000000000001E-2</v>
          </cell>
        </row>
        <row r="48">
          <cell r="C48" t="str">
            <v>P.V. Alvenaria H até 1,80 m Tubo até 1,20 + chaminé 1,00 m</v>
          </cell>
          <cell r="D48">
            <v>0</v>
          </cell>
          <cell r="E48">
            <v>1.6327799999999999</v>
          </cell>
          <cell r="F48">
            <v>0.50537460000000012</v>
          </cell>
          <cell r="G48">
            <v>1.9364075000000001</v>
          </cell>
          <cell r="H48">
            <v>1.3875000000000002</v>
          </cell>
          <cell r="I48">
            <v>1</v>
          </cell>
          <cell r="J48">
            <v>3218.8444279999999</v>
          </cell>
          <cell r="K48">
            <v>1</v>
          </cell>
          <cell r="L48">
            <v>5.4425999999999995E-2</v>
          </cell>
        </row>
        <row r="49">
          <cell r="C49" t="str">
            <v>P.V. Pré-moldado H até 0,80 m Tubo até 0,40 + chaminé 1,00 m</v>
          </cell>
          <cell r="D49">
            <v>0</v>
          </cell>
          <cell r="E49">
            <v>0</v>
          </cell>
          <cell r="F49">
            <v>0.38250000000000006</v>
          </cell>
          <cell r="G49">
            <v>1.1483800000000002</v>
          </cell>
          <cell r="H49">
            <v>1.35975</v>
          </cell>
          <cell r="I49">
            <v>1</v>
          </cell>
          <cell r="J49">
            <v>1400.2775500000002</v>
          </cell>
          <cell r="K49">
            <v>1</v>
          </cell>
          <cell r="L49">
            <v>0</v>
          </cell>
        </row>
        <row r="50">
          <cell r="C50" t="str">
            <v>P.V. Pré-moldado H até 1,00 m Tubo até 0,60 + chaminé 1,00 m</v>
          </cell>
          <cell r="D50">
            <v>0</v>
          </cell>
          <cell r="E50">
            <v>0</v>
          </cell>
          <cell r="F50">
            <v>0.43200000000000005</v>
          </cell>
          <cell r="G50">
            <v>1.28653</v>
          </cell>
          <cell r="H50">
            <v>1.5262500000000001</v>
          </cell>
          <cell r="I50">
            <v>1</v>
          </cell>
          <cell r="J50">
            <v>1488.1440499999999</v>
          </cell>
          <cell r="K50">
            <v>1</v>
          </cell>
          <cell r="L50">
            <v>0</v>
          </cell>
        </row>
        <row r="51">
          <cell r="C51" t="str">
            <v>P.V. Pré-moldado H até 1,30 m Tubo até 0,80 + chaminé 1,00 m</v>
          </cell>
          <cell r="D51">
            <v>0</v>
          </cell>
          <cell r="E51">
            <v>0</v>
          </cell>
          <cell r="F51">
            <v>0.50459999999999994</v>
          </cell>
          <cell r="G51">
            <v>1.48915</v>
          </cell>
          <cell r="H51">
            <v>1.7704500000000001</v>
          </cell>
          <cell r="I51">
            <v>1</v>
          </cell>
          <cell r="J51">
            <v>1617.5052500000002</v>
          </cell>
          <cell r="K51">
            <v>1</v>
          </cell>
          <cell r="L51">
            <v>0</v>
          </cell>
        </row>
        <row r="52">
          <cell r="C52" t="str">
            <v>P.V. Pré-moldado H até 1,50 m Tubo até 1,00 + chaminé 1,00 m</v>
          </cell>
          <cell r="D52">
            <v>0</v>
          </cell>
          <cell r="E52">
            <v>0</v>
          </cell>
          <cell r="F52">
            <v>0.6411</v>
          </cell>
          <cell r="G52">
            <v>1.8840500000000002</v>
          </cell>
          <cell r="H52">
            <v>2.2422</v>
          </cell>
          <cell r="I52">
            <v>1</v>
          </cell>
          <cell r="J52">
            <v>1834.5810000000001</v>
          </cell>
          <cell r="K52">
            <v>1</v>
          </cell>
          <cell r="L52">
            <v>0</v>
          </cell>
        </row>
        <row r="53">
          <cell r="C53" t="str">
            <v>P.V. Pré-moldado H até 1,80 m Tubo até 1,20 + chaminé 1,00 m</v>
          </cell>
          <cell r="D53">
            <v>0</v>
          </cell>
          <cell r="E53">
            <v>0</v>
          </cell>
          <cell r="F53">
            <v>0.80657999999999996</v>
          </cell>
          <cell r="G53">
            <v>2.3575999999999997</v>
          </cell>
          <cell r="H53">
            <v>2.8094099999999997</v>
          </cell>
          <cell r="I53">
            <v>1</v>
          </cell>
          <cell r="J53">
            <v>2093.32645</v>
          </cell>
          <cell r="K53">
            <v>1</v>
          </cell>
          <cell r="L53">
            <v>0</v>
          </cell>
        </row>
        <row r="54">
          <cell r="C54" t="str">
            <v>P.V. Concreto armado H até 0,80 m Tubo até 0,40 + chaminé 1,00 m</v>
          </cell>
          <cell r="D54">
            <v>0</v>
          </cell>
          <cell r="E54">
            <v>0</v>
          </cell>
          <cell r="F54">
            <v>0.38250000000000006</v>
          </cell>
          <cell r="G54">
            <v>1.1483800000000002</v>
          </cell>
          <cell r="H54">
            <v>1.35975</v>
          </cell>
          <cell r="I54">
            <v>1</v>
          </cell>
          <cell r="J54">
            <v>3091.6861699999999</v>
          </cell>
          <cell r="K54">
            <v>1</v>
          </cell>
          <cell r="L54">
            <v>0</v>
          </cell>
        </row>
        <row r="55">
          <cell r="C55" t="str">
            <v>P.V. Concreto armado H até 1,00 m Tubo até 0,60 + chaminé 1,00 m</v>
          </cell>
          <cell r="D55">
            <v>0</v>
          </cell>
          <cell r="E55">
            <v>0</v>
          </cell>
          <cell r="F55">
            <v>0.43200000000000005</v>
          </cell>
          <cell r="G55">
            <v>1.28653</v>
          </cell>
          <cell r="H55">
            <v>1.5262500000000001</v>
          </cell>
          <cell r="I55">
            <v>1</v>
          </cell>
          <cell r="J55">
            <v>3420.3953949999996</v>
          </cell>
          <cell r="K55">
            <v>1</v>
          </cell>
          <cell r="L55">
            <v>0</v>
          </cell>
        </row>
        <row r="56">
          <cell r="C56" t="str">
            <v>P.V. Concreto armado H até 1,30 m Tubo até 0,80 + chaminé 1,00 m</v>
          </cell>
          <cell r="D56">
            <v>0</v>
          </cell>
          <cell r="E56">
            <v>0</v>
          </cell>
          <cell r="F56">
            <v>0.50459999999999994</v>
          </cell>
          <cell r="G56">
            <v>1.48915</v>
          </cell>
          <cell r="H56">
            <v>1.7704500000000001</v>
          </cell>
          <cell r="I56">
            <v>1</v>
          </cell>
          <cell r="J56">
            <v>3903.4829249999993</v>
          </cell>
          <cell r="K56">
            <v>1</v>
          </cell>
          <cell r="L56">
            <v>0</v>
          </cell>
        </row>
        <row r="57">
          <cell r="C57" t="str">
            <v>P.V. Concreto armado H até 1,50 m Tubo até 1,00 + chaminé 1,00 m</v>
          </cell>
          <cell r="D57">
            <v>0</v>
          </cell>
          <cell r="E57">
            <v>0</v>
          </cell>
          <cell r="F57">
            <v>0.6411</v>
          </cell>
          <cell r="G57">
            <v>1.8840500000000002</v>
          </cell>
          <cell r="H57">
            <v>2.2422</v>
          </cell>
          <cell r="I57">
            <v>1</v>
          </cell>
          <cell r="J57">
            <v>4735.3472749999992</v>
          </cell>
          <cell r="K57">
            <v>1</v>
          </cell>
          <cell r="L57">
            <v>0</v>
          </cell>
        </row>
        <row r="58">
          <cell r="C58" t="str">
            <v>P.V. Concreto armado H até 1,80 m Tubo até 1,20 + chaminé 1,00 m</v>
          </cell>
          <cell r="D58">
            <v>0</v>
          </cell>
          <cell r="E58">
            <v>0</v>
          </cell>
          <cell r="F58">
            <v>0.80657999999999996</v>
          </cell>
          <cell r="G58">
            <v>2.3575999999999997</v>
          </cell>
          <cell r="H58">
            <v>2.8094099999999997</v>
          </cell>
          <cell r="I58">
            <v>1</v>
          </cell>
          <cell r="J58">
            <v>5743.9725599999983</v>
          </cell>
          <cell r="K58">
            <v>1</v>
          </cell>
          <cell r="L58">
            <v>0</v>
          </cell>
        </row>
        <row r="59">
          <cell r="C59" t="str">
            <v>P.V. Concreto armado H até 2,00 m Tubo até 1,50 + chaminé 1,00 m</v>
          </cell>
          <cell r="D59">
            <v>0</v>
          </cell>
          <cell r="E59">
            <v>0</v>
          </cell>
          <cell r="F59">
            <v>0.89753699999999992</v>
          </cell>
          <cell r="G59">
            <v>2.6274289999999998</v>
          </cell>
          <cell r="H59">
            <v>3.1298114999999997</v>
          </cell>
          <cell r="I59">
            <v>1</v>
          </cell>
          <cell r="J59">
            <v>6301.7848786111099</v>
          </cell>
          <cell r="K59">
            <v>1</v>
          </cell>
          <cell r="L59">
            <v>0</v>
          </cell>
        </row>
        <row r="60">
          <cell r="C60" t="str">
            <v>P.V. Concreto armado H até 2,50 m Tubo até 2,00 + chaminé 1,00 m</v>
          </cell>
          <cell r="D60">
            <v>0</v>
          </cell>
          <cell r="E60">
            <v>0</v>
          </cell>
          <cell r="F60">
            <v>1.1179675499999999</v>
          </cell>
          <cell r="G60">
            <v>3.2610033499999997</v>
          </cell>
          <cell r="H60">
            <v>3.8878832249999999</v>
          </cell>
          <cell r="I60">
            <v>1</v>
          </cell>
          <cell r="J60">
            <v>7680.4985115138879</v>
          </cell>
          <cell r="K60">
            <v>1</v>
          </cell>
          <cell r="L60">
            <v>0</v>
          </cell>
        </row>
        <row r="61">
          <cell r="C61" t="str">
            <v>Viga de Apoio em concreto marmado Tubo 0,80</v>
          </cell>
          <cell r="D61">
            <v>0</v>
          </cell>
          <cell r="E61">
            <v>0</v>
          </cell>
          <cell r="F61">
            <v>0.11253000000000002</v>
          </cell>
          <cell r="G61">
            <v>0.31406100000000003</v>
          </cell>
          <cell r="H61">
            <v>0.37851000000000007</v>
          </cell>
          <cell r="I61">
            <v>0</v>
          </cell>
          <cell r="J61">
            <v>707.76571000000001</v>
          </cell>
          <cell r="K61">
            <v>0</v>
          </cell>
          <cell r="L61">
            <v>0</v>
          </cell>
        </row>
        <row r="62">
          <cell r="C62" t="str">
            <v>Viga de Apoio em concreto marmado Tubo 1,00</v>
          </cell>
          <cell r="D62">
            <v>0</v>
          </cell>
          <cell r="E62">
            <v>0</v>
          </cell>
          <cell r="F62">
            <v>0.12243000000000002</v>
          </cell>
          <cell r="G62">
            <v>0.34169100000000008</v>
          </cell>
          <cell r="H62">
            <v>0.41181000000000012</v>
          </cell>
          <cell r="I62">
            <v>0</v>
          </cell>
          <cell r="J62">
            <v>802.57491000000005</v>
          </cell>
          <cell r="K62">
            <v>0</v>
          </cell>
          <cell r="L62">
            <v>0</v>
          </cell>
        </row>
        <row r="63">
          <cell r="C63" t="str">
            <v>Viga de Apoio em concreto marmado Tubo 1,20</v>
          </cell>
          <cell r="D63">
            <v>0</v>
          </cell>
          <cell r="E63">
            <v>0</v>
          </cell>
          <cell r="F63">
            <v>0.13233</v>
          </cell>
          <cell r="G63">
            <v>0.36932100000000001</v>
          </cell>
          <cell r="H63">
            <v>0.44511000000000006</v>
          </cell>
          <cell r="I63">
            <v>0</v>
          </cell>
          <cell r="J63">
            <v>915.5098099999999</v>
          </cell>
          <cell r="K63">
            <v>0</v>
          </cell>
          <cell r="L63">
            <v>0</v>
          </cell>
        </row>
        <row r="64">
          <cell r="C64" t="str">
            <v>Dissipador de Energia c/Pedra de Mão tubo ø 0, 40</v>
          </cell>
          <cell r="D64">
            <v>0</v>
          </cell>
          <cell r="E64">
            <v>0</v>
          </cell>
          <cell r="F64">
            <v>0.38417000000000001</v>
          </cell>
          <cell r="G64">
            <v>1.55436</v>
          </cell>
          <cell r="H64">
            <v>2.9078100000000004</v>
          </cell>
          <cell r="I64">
            <v>0</v>
          </cell>
          <cell r="J64">
            <v>911.90959999999995</v>
          </cell>
          <cell r="K64">
            <v>0</v>
          </cell>
          <cell r="L64">
            <v>0</v>
          </cell>
        </row>
        <row r="65">
          <cell r="C65" t="str">
            <v>Dissipador de Energia c/Pedra de Mão tubo ø 0, 60</v>
          </cell>
          <cell r="D65">
            <v>0</v>
          </cell>
          <cell r="E65">
            <v>0</v>
          </cell>
          <cell r="F65">
            <v>0.47295000000000004</v>
          </cell>
          <cell r="G65">
            <v>1.9178999999999999</v>
          </cell>
          <cell r="H65">
            <v>3.6103500000000004</v>
          </cell>
          <cell r="I65">
            <v>0</v>
          </cell>
          <cell r="J65">
            <v>1106.2313666666669</v>
          </cell>
          <cell r="K65">
            <v>0</v>
          </cell>
          <cell r="L65">
            <v>0</v>
          </cell>
        </row>
        <row r="66">
          <cell r="C66" t="str">
            <v>Dissipador de Energia c/Pedra de Mão tubo ø 0, 80</v>
          </cell>
          <cell r="D66">
            <v>0</v>
          </cell>
          <cell r="E66">
            <v>0</v>
          </cell>
          <cell r="F66">
            <v>0.75196000000000007</v>
          </cell>
          <cell r="G66">
            <v>3.0643799999999999</v>
          </cell>
          <cell r="H66">
            <v>5.8462800000000001</v>
          </cell>
          <cell r="I66">
            <v>0</v>
          </cell>
          <cell r="J66">
            <v>1730.68758</v>
          </cell>
          <cell r="K66">
            <v>0</v>
          </cell>
          <cell r="L66">
            <v>0</v>
          </cell>
        </row>
        <row r="67">
          <cell r="C67" t="str">
            <v>Dissipador de Energia c/Pedra de Mão tubo ø 1,00</v>
          </cell>
          <cell r="D67">
            <v>0</v>
          </cell>
          <cell r="E67">
            <v>0</v>
          </cell>
          <cell r="F67">
            <v>1.08901</v>
          </cell>
          <cell r="G67">
            <v>4.4434800000000001</v>
          </cell>
          <cell r="H67">
            <v>8.5059300000000011</v>
          </cell>
          <cell r="I67">
            <v>0</v>
          </cell>
          <cell r="J67">
            <v>2471.9100133333332</v>
          </cell>
          <cell r="K67">
            <v>0</v>
          </cell>
          <cell r="L67">
            <v>0</v>
          </cell>
        </row>
        <row r="68">
          <cell r="C68" t="str">
            <v>Dissipador de Energia c/Pedra de Mão tubo ø 1,20</v>
          </cell>
          <cell r="D68">
            <v>0</v>
          </cell>
          <cell r="E68">
            <v>0</v>
          </cell>
          <cell r="F68">
            <v>1.4740100000000003</v>
          </cell>
          <cell r="G68">
            <v>6.0316799999999997</v>
          </cell>
          <cell r="H68">
            <v>11.634930000000001</v>
          </cell>
          <cell r="I68">
            <v>0</v>
          </cell>
          <cell r="J68">
            <v>3327.3276800000003</v>
          </cell>
          <cell r="K68">
            <v>0</v>
          </cell>
          <cell r="L68">
            <v>0</v>
          </cell>
        </row>
        <row r="69">
          <cell r="C69" t="str">
            <v>Dissipador de Energia c/Pedra de Mão tubo ø 1,50</v>
          </cell>
          <cell r="D69">
            <v>0</v>
          </cell>
          <cell r="E69">
            <v>0</v>
          </cell>
          <cell r="F69">
            <v>2.41967</v>
          </cell>
          <cell r="G69">
            <v>9.9546600000000005</v>
          </cell>
          <cell r="H69">
            <v>19.47531</v>
          </cell>
          <cell r="I69">
            <v>0</v>
          </cell>
          <cell r="J69">
            <v>5392.3903933333331</v>
          </cell>
          <cell r="K69">
            <v>0</v>
          </cell>
          <cell r="L69">
            <v>0</v>
          </cell>
        </row>
        <row r="70">
          <cell r="C70" t="str">
            <v>ENSAIO DE ORÇAMENTO 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C71" t="str">
            <v>ENSAIO DE ORÇAMENTO 2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 t="str">
            <v>ENSAIO DE ORÇAMENTO 3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>ENSAIO DE ORÇAMENTO 4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C74" t="str">
            <v>ENSAIO DE ORÇAMENTO 5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 t="str">
            <v>ENSAIO DE ORÇAMENTO 6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 t="str">
            <v>ENSAIO DE ORÇAMENTO 7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C77" t="str">
            <v>ENSAIO DE ORÇAMENTO 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C78" t="str">
            <v>ENSAIO DE ORÇAMENTO 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 t="str">
            <v>ENSAIO DE ORÇAMENTO 10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</sheetData>
      <sheetData sheetId="7"/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Ruy José da Costa" id="{4A489570-C825-4DA0-90F2-1F86E088D147}" userId="S::ruy@paranacidade.org.br::b5bf2d50-b6ff-45e8-9467-289c385da7f0" providerId="AD"/>
</personList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482" dT="2022-05-20T19:09:19.94" personId="{4A489570-C825-4DA0-90F2-1F86E088D147}" id="{30C328D6-554D-4C0E-9760-45E2C39051C7}">
    <text>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ext>
  </threadedComment>
  <threadedComment ref="D483" dT="2022-05-20T19:11:06.16" personId="{4A489570-C825-4DA0-90F2-1F86E088D147}" id="{E8D1FF7B-091F-459B-B3F1-65696AE4C43E}">
    <text>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ext>
  </threadedComment>
  <threadedComment ref="D484" dT="2022-05-20T19:12:19.15" personId="{4A489570-C825-4DA0-90F2-1F86E088D147}" id="{47641283-6E6B-424B-924E-43D4E855E4E3}">
    <text>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ext>
  </threadedComment>
  <threadedComment ref="D485" dT="2022-05-20T19:13:44.21" personId="{4A489570-C825-4DA0-90F2-1F86E088D147}" id="{C55EAD39-AB5C-40B1-9D77-369F1D151CFF}">
    <text>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ext>
  </threadedComment>
  <threadedComment ref="D486" dT="2022-05-20T19:15:19.76" personId="{4A489570-C825-4DA0-90F2-1F86E088D147}" id="{AAB93334-4712-4621-AB4E-74E982C90C52}">
    <text>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ext>
  </threadedComment>
  <threadedComment ref="D487" dT="2022-05-20T19:16:12.52" personId="{4A489570-C825-4DA0-90F2-1F86E088D147}" id="{92124F00-33F0-4467-8BED-B2F6CDAF4946}">
    <text>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ext>
  </threadedComment>
  <threadedComment ref="D490" dT="2022-05-20T19:26:23.41" personId="{4A489570-C825-4DA0-90F2-1F86E088D147}" id="{B52DC4CF-7237-4E49-B793-D21D58B81664}">
    <text>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82" dT="2022-05-20T19:09:19.94" personId="{4A489570-C825-4DA0-90F2-1F86E088D147}" id="{5FC31934-AB22-4F3E-9B20-DFE12845400D}">
    <text>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ext>
  </threadedComment>
  <threadedComment ref="D483" dT="2022-05-20T19:11:06.16" personId="{4A489570-C825-4DA0-90F2-1F86E088D147}" id="{2DFCE39C-FDE6-4E0A-A9C4-1406F8FAAD02}">
    <text>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ext>
  </threadedComment>
  <threadedComment ref="D484" dT="2022-05-20T19:12:19.15" personId="{4A489570-C825-4DA0-90F2-1F86E088D147}" id="{8F202691-1054-41DA-8FAC-3C3F7552B7CF}">
    <text>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ext>
  </threadedComment>
  <threadedComment ref="D485" dT="2022-05-20T19:13:44.21" personId="{4A489570-C825-4DA0-90F2-1F86E088D147}" id="{AD239EC1-8C90-486B-BD39-B2018521553F}">
    <text>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ext>
  </threadedComment>
  <threadedComment ref="D486" dT="2022-05-20T19:15:19.76" personId="{4A489570-C825-4DA0-90F2-1F86E088D147}" id="{666BBD8A-3D02-4A94-AE51-920341218884}">
    <text>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ext>
  </threadedComment>
  <threadedComment ref="D487" dT="2022-05-20T19:16:12.52" personId="{4A489570-C825-4DA0-90F2-1F86E088D147}" id="{F2A7144D-D76C-40F2-8B5B-828A2609D49A}">
    <text>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ext>
  </threadedComment>
  <threadedComment ref="D490" dT="2022-05-20T19:26:23.41" personId="{4A489570-C825-4DA0-90F2-1F86E088D147}" id="{643DF122-B8E2-4B22-AD9C-42F631537612}">
    <text>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482" dT="2022-05-20T19:09:19.94" personId="{4A489570-C825-4DA0-90F2-1F86E088D147}" id="{B21CE5DF-3204-43FA-9527-C0E363FA6383}">
    <text>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ext>
  </threadedComment>
  <threadedComment ref="D483" dT="2022-05-20T19:11:06.16" personId="{4A489570-C825-4DA0-90F2-1F86E088D147}" id="{C4D17C61-7CC9-4A63-A210-8A313723F587}">
    <text>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ext>
  </threadedComment>
  <threadedComment ref="D484" dT="2022-05-20T19:12:19.15" personId="{4A489570-C825-4DA0-90F2-1F86E088D147}" id="{B9FD03B7-7B32-4B40-9FC5-66E98EA634FE}">
    <text>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ext>
  </threadedComment>
  <threadedComment ref="D485" dT="2022-05-20T19:13:44.21" personId="{4A489570-C825-4DA0-90F2-1F86E088D147}" id="{AFAD0097-5701-443F-8482-F343159FD4B8}">
    <text>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ext>
  </threadedComment>
  <threadedComment ref="D486" dT="2022-05-20T19:15:19.76" personId="{4A489570-C825-4DA0-90F2-1F86E088D147}" id="{3A442FF2-C32F-4479-8B5D-7391C8108F8A}">
    <text>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ext>
  </threadedComment>
  <threadedComment ref="D487" dT="2022-05-20T19:16:12.52" personId="{4A489570-C825-4DA0-90F2-1F86E088D147}" id="{EBC9E25F-919C-42DB-B590-686305158847}">
    <text>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ext>
  </threadedComment>
  <threadedComment ref="D490" dT="2022-05-20T19:26:23.41" personId="{4A489570-C825-4DA0-90F2-1F86E088D147}" id="{16AD9161-3942-4AF6-80CD-C700DDA18265}">
    <text>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482" dT="2022-05-20T19:09:19.94" personId="{4A489570-C825-4DA0-90F2-1F86E088D147}" id="{ACE75331-703F-4080-90AC-885AC1C2F277}">
    <text>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0,1105000 28,38 3,13
C 88316 SERVENTE COM ENCARGOS COMPLEMENTARES H C 0,1966000 21,87 4,29
C 95270 RÉGUA VIBRATÓRIA DUPLA PARA CONCRETO, PESO DE 60KG, COMPRIMENTO 4 M, COM M CHP AS 0,0134000 10,23 0,13
OTOR A GASOLINA, POTÊNCIA 5,5 HP - CHP DIURNO. AF_09/2016
SINAPI - SISTEMA NACIONAL DE PESQUISA DE CUSTOS E ÍNDICES DA CONSTRUÇÃO CIVIL 1 3124 de 3786
PCI.818.01 - CUSTOS DE COMPOSIÇÕES ANALÍTICO DATA DE EMISSÃO:15/03/2022 01:02:41
ENCARGOS SOCIAIS SOBRE PREÇOS DA MÃO-DE-OBRA: 115,11%(HORA) 71,83%(MÊS)
ABRANGENCIA: NACIONAL DATA REFERENCIA TECNICA: 14/03/2022
VÍNCULO : CAIXA REFERENCIAL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0,0584000 46,63 2,72
E CONCRETO. AF_11/2017
C 97117 BARRAS DE TRANSFERÊNCIA, AÇO CA-25 DE 20,0 MM, PARA EXECUÇÃO DE PAVIMENTO KG CR 0,8220000 19,27 15,83
DE CONCRETO FORNECIMENTO E INSTALAÇÃO. AF_11/2017
C 97120 BARRAS DE LIGAÇÃO, AÇO CA-50 DE 10 MM, PARA EXECUÇÃO DE PAVIMENTO DE CONCR KG CR 0,3398000 11,61 3,94
ETO FORNECIMENTO E INSTALAÇÃO. AF_11/2017
MATERIAL : 91,38 89,2202060 %
MAO DE OBRA : 11,04 10,7797940 %
TOTAL COMPOSIÇÃO : 102,42 100,0000000 % - ORIGEM DE PREÇO: AS
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</text>
  </threadedComment>
  <threadedComment ref="D483" dT="2022-05-20T19:11:06.16" personId="{4A489570-C825-4DA0-90F2-1F86E088D147}" id="{81B1CB9A-C56D-40F9-8690-9D848DE54186}">
    <text>97105 EXECUÇÃO DE PAVIMENTO DE CONCRETO SIMPLES (PCS), FCK = 40 MPA, CAMADA COM M2
ESPESSURA DE 17,5 CM. AF_11/2017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3,38SINAPI - SISTEMA NACIONAL DE PESQUISA DE CUSTOS E ÍNDICES DA CONSTRUÇÃO CIVIL 1 3125 de 3786
PCI.818.01 - CUSTOS DE COMPOSIÇÕES ANALÍTICO DATA DE EMISSÃO:15/03/2022 01:02:41
ENCARGOS SOCIAIS SOBRE PREÇOS DA MÃO-DE-OBRA: 115,11%(HORA) 71,83%(MÊS)
ABRANGENCIA: NACIONAL DATA REFERENCIA TECNICA: 14/03/2022
VÍNCULO : CAIXA REFERENCIAL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MATERIAL : 108,05 90,3087767 %
MAO DE OBRA : 11,59 9,6912233 %
TOTAL COMPOSIÇÃO : 119,64 100,0000000 %</text>
  </threadedComment>
  <threadedComment ref="D484" dT="2022-05-20T19:12:19.15" personId="{4A489570-C825-4DA0-90F2-1F86E088D147}" id="{2ED73573-5097-440A-B815-17A56E6302B9}">
    <text>97106 EXECUÇÃO DE PAVIMENTO DE CONCRETO SIMPLES (PCS), FCK = 40 MPA, CAMADA COM M2
ESPESSURA DE 20,0 CM. AF_11/2017
I 2692 DESMOLDANTE PROTETOR PARA FORMAS DE MADEIRA, DE BASE OLEOSA EMULSIONADA EM L CR 0,0023000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0,0333000 37,54 1,25
DA REGIAO - BRUTASINAPI - SISTEMA NACIONAL DE PESQUISA DE CUSTOS E ÍNDICES DA CONSTRUÇÃO CIVIL 1 3126 de 3786
PCI.818.01 - CUSTOS DE COMPOSIÇÕES ANALÍTICO DATA DE EMISSÃO:15/03/2022 01:02:41
ENCARGOS SOCIAIS SOBRE PREÇOS DA MÃO-DE-OBRA: 115,11%(HORA) 71,83%(MÊS)
ABRANGENCIA: NACIONAL DATA REFERENCIA TECNICA: 14/03/2022
VÍNCULO : CAIXA REFERENCIAL
I 34496 CONCRETO USINADO BOMBEAVEL, CLASSE DE RESISTENCIA C40, COM BRITA 0 E 1, SL M3 CR 0,2119000 391,84 83,03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0,1267000 28,38 3,59
C 88316 SERVENTE COM ENCARGOS COMPLEMENTARES H C 0,2093000 21,87 4,57
C 95270 RÉGUA VIBRATÓRIA DUPLA PARA CONCRETO, PESO DE 60KG, COMPRIMENTO 4 M, COM M CHP AS 0,0154000 10,23 0,15
OTOR A GASOLINA, POTÊNCIA 5,5 HP - CHP DIURNO. AF_09/2016
C 95271 RÉGUA VIBRATÓRIA DUPLA PARA CONCRETO, PESO DE 60KG, COMPRIMENTO 4 M, COM M CHI AS 0,0232000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
EQUIPAMENTO : 0,01 0,0076869 %
MATERIAL : 118,69 90,9216697 %
MAO DE OBRA : 11,84 9,0706434 %
TOTAL COMPOSIÇÃO : 130,54 100,0000000 %</text>
  </threadedComment>
  <threadedComment ref="D485" dT="2022-05-20T19:13:44.21" personId="{4A489570-C825-4DA0-90F2-1F86E088D147}" id="{2BC149BE-DC05-44F3-A8D9-EAE56EBD3083}">
    <text>97107 EXECUÇÃO DE PAVIMENTO DE CONCRETO SIMPLES (PCS), FCK = 40 MPA, CAMADA COM M2
ESPESSURA DE 22,5 CM. AF_11/2017SINAPI - SISTEMA NACIONAL DE PESQUISA DE CUSTOS E ÍNDICES DA CONSTRUÇÃO CIVIL 1 3127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0,0026000 5,96 0,01
AGUA
I 4517 SARRAFO *2,5 X 7,5* CM EM PINUS, MISTA OU EQUIVALENTE DA REGIAO - BRUTA M CR 0,1667000 2,02 0,33
I 5061 PREGO DE ACO POLIDO COM CABECA 18 X 27 (2 1/2 X 10) KG C 0,0067000 19,70 0,13
I 6189 TABUA NAO APARELHADA *2,5 X 30* CM, EM MACARANDUBA, ANGELIM OU EQUIVALENTE M CR 0,0375000 37,54 1,40
DA REGIAO - BRUTA
I 34496 CONCRETO USINADO BOMBEAVEL, CLASSE DE RESISTENCIA C40, COM BRITA 0 E 1, SL M3 CR 0,2384000 391,84 93,41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0,1334000 28,38 3,78
C 88316 SERVENTE COM ENCARGOS COMPLEMENTARES H C 0,2145000 21,87 4,69
C 95270 RÉGUA VIBRATÓRIA DUPLA PARA CONCRETO, PESO DE 60KG, COMPRIMENTO 4 M, COM M CHP AS 0,0162000 10,23 0,16
OTOR A GASOLINA, POTÊNCIA 5,5 HP - CHP DIURNO. AF_09/2016
C 95271 RÉGUA VIBRATÓRIA DUPLA PARA CONCRETO, PESO DE 60KG, COMPRIMENTO 4 M, COM M CHI AS 0,0244000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0,0730000 46,63 3,40
E CONCRETO. AF_11/2017
C 97118 BARRAS DE TRANSFERÊNCIA, AÇO CA-25 DE 25,0 MM, PARA EXECUÇÃO DE PAVIMENTO KG CR 1,2847000 16,67 21,41
DE CONCRETO FORNECIMENTO E INSTALAÇÃO. AF_11/2017
C 97120 BARRAS DE LIGAÇÃO, AÇO CA-50 DE 10 MM, PARA EXECUÇÃO DE PAVIMENTO DE CONCR KG CR 0,3398000 11,61 3,94
ETO FORNECIMENTO E INSTALAÇÃO. AF_11/2017SINAPI - SISTEMA NACIONAL DE PESQUISA DE CUSTOS E ÍNDICES DA CONSTRUÇÃO CIVIL 1 3128 de 3786
PCI.818.01 - CUSTOS DE COMPOSIÇÕES ANALÍTICO DATA DE EMISSÃO:15/03/2022 01:02:41
ENCARGOS SOCIAIS SOBRE PREÇOS DA MÃO-DE-OBRA: 115,11%(HORA) 71,83%(MÊS)
ABRANGENCIA: NACIONAL DATA REFERENCIA TECNICA: 14/03/2022
VÍNCULO : CAIXA REFERENCIAL
EQUIPAMENTO : 0,01 0,0070957 %
MATERIAL : 129,33 91,4638474 %
MAO DE OBRA : 12,05 8,5290569 %
TOTAL COMPOSIÇÃO : 141,39 100,0000000 %</text>
  </threadedComment>
  <threadedComment ref="D486" dT="2022-05-20T19:15:19.76" personId="{4A489570-C825-4DA0-90F2-1F86E088D147}" id="{2C20458D-4962-46B1-9226-999CD1EABDD4}">
    <text>97108 EXECUÇÃO DE PAVIMENTO DE CONCRETO SIMPLES (PCS), FCK = 40 MPA, CAMADA COM M2
ESPESSURA DE 25,0 CM. AF_11/2017
I 2692 DESMOLDANTE PROTETOR PARA FORMAS DE MADEIRA, DE BASE OLEOSA EMULSIONADA EM L CR 0,0028000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0,0417000 37,54 1,56
DA REGIAO - BRUTA
I 34496 CONCRETO USINADO BOMBEAVEL, CLASSE DE RESISTENCIA C40, COM BRITA 0 E 1, SL M3 CR 0,2649000 391,84 103,79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0,1393000 28,38 3,95
C 88316 SERVENTE COM ENCARGOS COMPLEMENTARES H C 0,2192000 21,87 4,79
C 95270 RÉGUA VIBRATÓRIA DUPLA PARA CONCRETO, PESO DE 60KG, COMPRIMENTO 4 M, COM M CHP AS 0,0170000 10,23 0,17
OTOR A GASOLINA, POTÊNCIA 5,5 HP - CHP DIURNO. AF_09/2016
C 95271 RÉGUA VIBRATÓRIA DUPLA PARA CONCRETO, PESO DE 60KG, COMPRIMENTO 4 M, COM M CHI AS 0,0255000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0,09SINAPI - SISTEMA NACIONAL DE PESQUISA DE CUSTOS E ÍNDICES DA CONSTRUÇÃO CIVIL 1 3129 de 3786
PCI.818.01 - CUSTOS DE COMPOSIÇÕES ANALÍTICO DATA DE EMISSÃO:15/03/2022 01:02:41
ENCARGOS SOCIAIS SOBRE PREÇOS DA MÃO-DE-OBRA: 115,11%(HORA) 71,83%(MÊS)
ABRANGENCIA: NACIONAL DATA REFERENCIA TECNICA: 14/03/2022
VÍNCULO : CAIXA REFERENCIAL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0,0060886 %
MATERIAL : 152,16 92,3648321 %
MAO DE OBRA : 12,56 7,6290793 %
TOTAL COMPOSIÇÃO : 164,73 100,0000000 %</text>
  </threadedComment>
  <threadedComment ref="D487" dT="2022-05-20T19:16:12.52" personId="{4A489570-C825-4DA0-90F2-1F86E088D147}" id="{9898CD0D-3C9F-4788-A807-AC2078CAEF07}">
    <text>97109 EXECUÇÃO DE PAVIMENTO DE CONCRETO SIMPLES (PCS), FCK = 40 MPA, CAMADA COM M2
ESPESSURA DE 27,5 CM. AF_11/2017
I 2692 DESMOLDANTE PROTETOR PARA FORMAS DE MADEIRA, DE BASE OLEOSA EMULSIONADA EM L CR 0,0031000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0,0458000 37,54 1,71
DA REGIAO - BRUTA
I 34496 CONCRETO USINADO BOMBEAVEL, CLASSE DE RESISTENCIA C40, COM BRITA 0 E 1, SL M3 CR 0,2914000 391,84 114,18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0,1446000 28,38 4,10
C 88316 SERVENTE COM ENCARGOS COMPLEMENTARES H C 0,2234000 21,87 4,88
C 95270 RÉGUA VIBRATÓRIA DUPLA PARA CONCRETO, PESO DE 60KG, COMPRIMENTO 4 M, COM M CHP AS 0,0176000 10,23 0,18
OTOR A GASOLINA, POTÊNCIA 5,5 HP - CHP DIURNO. AF_09/2016SINAPI - SISTEMA NACIONAL DE PESQUISA DE CUSTOS E ÍNDICES DA CONSTRUÇÃO CIVIL 1 3130 de 3786
PCI.818.01 - CUSTOS DE COMPOSIÇÕES ANALÍTICO DATA DE EMISSÃO:15/03/2022 01:02:41
ENCARGOS SOCIAIS SOBRE PREÇOS DA MÃO-DE-OBRA: 115,11%(HORA) 71,83%(MÊS)
ABRANGENCIA: NACIONAL DATA REFERENCIA TECNICA: 14/03/2022
VÍNCULO : CAIXA REFERENCIAL
C 95271 RÉGUA VIBRATÓRIA DUPLA PARA CONCRETO, PESO DE 60KG, COMPRIMENTO 4 M, COM M CHI AS 0,0265000 0,48 0,01
OTOR A GASOLINA, POTÊNCIA 5,5 HP - CHI DIURNO. AF_09/2016
C 97089 ARMAÇÃO PARA EXECUÇÃO DE RADIER, PISO DE CONCRETO OU LAJE SOBRE SOLO, COM KG CR 0,0180000 22,49 0,40
USO DE TELA Q-113. AF_09/2021
C 97113 APLICAÇÃO DE LONA PLÁSTICA PARA EXECUÇÃO DE PAVIMENTOS DE CONCRETO. AF_11/ M2 CR 1,1280000 2,29 2,58
2017
C 97114 EXECUÇÃO DE JUNTAS DE CONTRAÇÃO PARA PAVIMENTOS DE CONCRETO. AF_11/2017 M CR 0,2000000 0,45 0,09
C 97115 APLICAÇÃO DE GRAXA EM BARRAS DE TRANSFERÊNCIA PARA EXECUÇÃO DE PAVIMENTO D KG CR 0,0935000 46,63 4,35
E CONCRETO. AF_11/2017
C 97119 BARRAS DE TRANSFERÊNCIA, AÇO CA-25 DE 32,0 MM, PARA EXECUÇÃO DE PAVIMENTO KG CR 2,1047000 15,67 32,98
DE CONCRETO FORNECIMENTO E INSTALAÇÃO. AF_11/2017
C 97120 BARRAS DE LIGAÇÃO, AÇO CA-50 DE 10 MM, PARA EXECUÇÃO DE PAVIMENTO DE CONCR KG CR 0,3398000 11,61 3,94
ETO FORNECIMENTO E INSTALAÇÃO. AF_11/2017
EQUIPAMENTO : 0,01 0,0057133 %
MATERIAL : 162,76 92,7269611 %
MAO DE OBRA : 12,75 7,2673256 %
TOTAL COMPOSIÇÃO : 175,52 100,0000000 %</text>
  </threadedComment>
  <threadedComment ref="D490" dT="2022-05-20T19:26:23.41" personId="{4A489570-C825-4DA0-90F2-1F86E088D147}" id="{2A8BE286-C37D-4A52-B1CF-B19F6D54C1B8}">
    <text>97112 EXECUÇÃO DE PAVIMENTO DE CONCRETO ARMADO (PCA), FCK = 40 MPA, CAMADA COM E M2
SPESSURA DE 17,5 CM. AF_11/2017SINAPI - SISTEMA NACIONAL DE PESQUISA DE CUSTOS E ÍNDICES DA CONSTRUÇÃO CIVIL 1 3133 de 3786
PCI.818.01 - CUSTOS DE COMPOSIÇÕES ANALÍTICO DATA DE EMISSÃO:15/03/2022 01:02:41
ENCARGOS SOCIAIS SOBRE PREÇOS DA MÃO-DE-OBRA: 115,11%(HORA) 71,83%(MÊS)
ABRANGENCIA: NACIONAL DATA REFERENCIA TECNICA: 14/03/2022
VÍNCULO : CAIXA REFERENCIAL
I 2692 DESMOLDANTE PROTETOR PARA FORMAS DE MADEIRA, DE BASE OLEOSA EMULSIONADA EM L CR 0,0020000 5,96 0,01
AGUA
I 4517 SARRAFO *2,5 X 7,5* CM EM PINUS, MISTA OU EQUIVALENTE DA REGIAO - BRUTA M CR 0,1667000 2,02 0,33
I 5069 PREGO DE ACO POLIDO COM CABECA 17 X 27 (2 1/2 X 11) KG CR 0,0067000 20,42 0,13
I 6189 TABUA NAO APARELHADA *2,5 X 30* CM, EM MACARANDUBA, ANGELIM OU EQUIVALENTE M CR 0,0292000 37,54 1,09
DA REGIAO - BRUTA
I 34496 CONCRETO USINADO BOMBEAVEL, CLASSE DE RESISTENCIA C40, COM BRITA 0 E 1, SL M3 CR 0,1854000 391,84 72,64
UMP = 100 +/- 20 MM, EXCLUI SERVICO DE BOMBEAMENTO (NBR 8953)
I 42409 AGENTE DE CURA, PROTETOR DA EVAPORACAO DA AGUA DE HIDRATACAO DO CONCRETO KG CR 0,4000000 10,10 4,04
C 88262 CARPINTEIRO DE FORMAS COM ENCARGOS COMPLEMENTARES H C 0,0574000 28,10 1,61
C 88309 PEDREIRO COM ENCARGOS COMPLEMENTARES H C 0,1192000 28,38 3,38
C 88316 SERVENTE COM ENCARGOS COMPLEMENTARES H C 0,2034000 21,87 4,44
C 95270 RÉGUA VIBRATÓRIA DUPLA PARA CONCRETO, PESO DE 60KG, COMPRIMENTO 4 M, COM M CHP AS 0,0145000 10,23 0,14
OTOR A GASOLINA, POTÊNCIA 5,5 HP - CHP DIURNO. AF_09/2016
C 95271 RÉGUA VIBRATÓRIA DUPLA PARA CONCRETO, PESO DE 60KG, COMPRIMENTO 4 M, COM M CHI AS 0,0218000 0,48 0,01
OTOR A GASOLINA, POTÊNCIA 5,5 HP - CHI DIURNO. AF_09/2016
C 97089 ARMAÇÃO PARA EXECUÇÃO DE RADIER, PISO DE CONCRETO OU LAJE SOBRE SOLO, COM KG CR 1,8000000 22,49 40,48
USO DE TELA Q-113. AF_09/2021
C 97092 ARMAÇÃO PARA EXECUÇÃO DE RADIER, PISO DE CONCRETO OU LAJE SOBRE SOLO, COM KG CR 3,1100000 20,80 64,68
USO DE TELA Q-196. AF_09/2021
C 97113 APLICAÇÃO DE LONA PLÁSTICA PARA EXECUÇÃO DE PAVIMENTOS DE CONCRETO. AF_11/ M2 CR 1,1280000 2,29 2,58
2017
C 97114 EXECUÇÃO DE JUNTAS DE CONTRAÇÃO PARA PAVIMENTOS DE CONCRETO. AF_11/2017 M CR 0,0909000 0,45 0,04
C 97115 APLICAÇÃO DE GRAXA EM BARRAS DE TRANSFERÊNCIA PARA EXECUÇÃO DE PAVIMENTO D KG CR 0,0332000 46,63 1,54
E CONCRETO. AF_11/2017
C 97118 BARRAS DE TRANSFERÊNCIA, AÇO CA-25 DE 25,0 MM, PARA EXECUÇÃO DE PAVIMENTO KG CR 0,5839000 16,67 9,73
DE CONCRETO FORNECIMENTO E INSTALAÇÃO. AF_11/2017SINAPI - SISTEMA NACIONAL DE PESQUISA DE CUSTOS E ÍNDICES DA CONSTRUÇÃO CIVIL 1 3134 de 3786
PCI.818.01 - CUSTOS DE COMPOSIÇÕES ANALÍTICO DATA DE EMISSÃO:15/03/2022 01:02:41
ENCARGOS SOCIAIS SOBRE PREÇOS DA MÃO-DE-OBRA: 115,11%(HORA) 71,83%(MÊS)
ABRANGENCIA: NACIONAL DATA REFERENCIA TECNICA: 14/03/2022
VÍNCULO : CAIXA REFERENCIAL
C 97120 BARRAS DE LIGAÇÃO, AÇO CA-50 DE 10 MM, PARA EXECUÇÃO DE PAVIMENTO DE CONCR KG CR 0,3398000 11,61 3,94
ETO FORNECIMENTO E INSTALAÇÃO. AF_11/2017
MATERIAL : 197,73 93,7946472 %
MAO DE OBRA : 13,08 6,2053528 %
TOTAL COMPOSIÇÃO : 210,81 100,0000000 %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1"/>
  <sheetViews>
    <sheetView showZeros="0" topLeftCell="D112" zoomScale="112" zoomScaleNormal="112" workbookViewId="0">
      <selection sqref="A1:C1"/>
    </sheetView>
  </sheetViews>
  <sheetFormatPr defaultColWidth="10.6640625" defaultRowHeight="12.75" x14ac:dyDescent="0.2"/>
  <cols>
    <col min="1" max="1" width="10.6640625" style="11" customWidth="1"/>
    <col min="2" max="2" width="13.1640625" style="11" customWidth="1"/>
    <col min="3" max="3" width="38" style="11" customWidth="1"/>
    <col min="4" max="4" width="3.83203125" style="11" customWidth="1"/>
    <col min="5" max="16" width="10" style="11" customWidth="1"/>
    <col min="17" max="17" width="10.6640625" style="11" customWidth="1"/>
    <col min="18" max="255" width="10.6640625" style="11"/>
    <col min="256" max="256" width="13.1640625" style="11" customWidth="1"/>
    <col min="257" max="257" width="79" style="11" customWidth="1"/>
    <col min="258" max="258" width="3.83203125" style="11" customWidth="1"/>
    <col min="259" max="271" width="12.5" style="11" customWidth="1"/>
    <col min="272" max="272" width="8.5" style="11" customWidth="1"/>
    <col min="273" max="511" width="10.6640625" style="11"/>
    <col min="512" max="512" width="13.1640625" style="11" customWidth="1"/>
    <col min="513" max="513" width="79" style="11" customWidth="1"/>
    <col min="514" max="514" width="3.83203125" style="11" customWidth="1"/>
    <col min="515" max="527" width="12.5" style="11" customWidth="1"/>
    <col min="528" max="528" width="8.5" style="11" customWidth="1"/>
    <col min="529" max="767" width="10.6640625" style="11"/>
    <col min="768" max="768" width="13.1640625" style="11" customWidth="1"/>
    <col min="769" max="769" width="79" style="11" customWidth="1"/>
    <col min="770" max="770" width="3.83203125" style="11" customWidth="1"/>
    <col min="771" max="783" width="12.5" style="11" customWidth="1"/>
    <col min="784" max="784" width="8.5" style="11" customWidth="1"/>
    <col min="785" max="1023" width="10.6640625" style="11"/>
    <col min="1024" max="1024" width="13.1640625" style="11" customWidth="1"/>
    <col min="1025" max="1025" width="79" style="11" customWidth="1"/>
    <col min="1026" max="1026" width="3.83203125" style="11" customWidth="1"/>
    <col min="1027" max="1039" width="12.5" style="11" customWidth="1"/>
    <col min="1040" max="1040" width="8.5" style="11" customWidth="1"/>
    <col min="1041" max="1279" width="10.6640625" style="11"/>
    <col min="1280" max="1280" width="13.1640625" style="11" customWidth="1"/>
    <col min="1281" max="1281" width="79" style="11" customWidth="1"/>
    <col min="1282" max="1282" width="3.83203125" style="11" customWidth="1"/>
    <col min="1283" max="1295" width="12.5" style="11" customWidth="1"/>
    <col min="1296" max="1296" width="8.5" style="11" customWidth="1"/>
    <col min="1297" max="1535" width="10.6640625" style="11"/>
    <col min="1536" max="1536" width="13.1640625" style="11" customWidth="1"/>
    <col min="1537" max="1537" width="79" style="11" customWidth="1"/>
    <col min="1538" max="1538" width="3.83203125" style="11" customWidth="1"/>
    <col min="1539" max="1551" width="12.5" style="11" customWidth="1"/>
    <col min="1552" max="1552" width="8.5" style="11" customWidth="1"/>
    <col min="1553" max="1791" width="10.6640625" style="11"/>
    <col min="1792" max="1792" width="13.1640625" style="11" customWidth="1"/>
    <col min="1793" max="1793" width="79" style="11" customWidth="1"/>
    <col min="1794" max="1794" width="3.83203125" style="11" customWidth="1"/>
    <col min="1795" max="1807" width="12.5" style="11" customWidth="1"/>
    <col min="1808" max="1808" width="8.5" style="11" customWidth="1"/>
    <col min="1809" max="2047" width="10.6640625" style="11"/>
    <col min="2048" max="2048" width="13.1640625" style="11" customWidth="1"/>
    <col min="2049" max="2049" width="79" style="11" customWidth="1"/>
    <col min="2050" max="2050" width="3.83203125" style="11" customWidth="1"/>
    <col min="2051" max="2063" width="12.5" style="11" customWidth="1"/>
    <col min="2064" max="2064" width="8.5" style="11" customWidth="1"/>
    <col min="2065" max="2303" width="10.6640625" style="11"/>
    <col min="2304" max="2304" width="13.1640625" style="11" customWidth="1"/>
    <col min="2305" max="2305" width="79" style="11" customWidth="1"/>
    <col min="2306" max="2306" width="3.83203125" style="11" customWidth="1"/>
    <col min="2307" max="2319" width="12.5" style="11" customWidth="1"/>
    <col min="2320" max="2320" width="8.5" style="11" customWidth="1"/>
    <col min="2321" max="2559" width="10.6640625" style="11"/>
    <col min="2560" max="2560" width="13.1640625" style="11" customWidth="1"/>
    <col min="2561" max="2561" width="79" style="11" customWidth="1"/>
    <col min="2562" max="2562" width="3.83203125" style="11" customWidth="1"/>
    <col min="2563" max="2575" width="12.5" style="11" customWidth="1"/>
    <col min="2576" max="2576" width="8.5" style="11" customWidth="1"/>
    <col min="2577" max="2815" width="10.6640625" style="11"/>
    <col min="2816" max="2816" width="13.1640625" style="11" customWidth="1"/>
    <col min="2817" max="2817" width="79" style="11" customWidth="1"/>
    <col min="2818" max="2818" width="3.83203125" style="11" customWidth="1"/>
    <col min="2819" max="2831" width="12.5" style="11" customWidth="1"/>
    <col min="2832" max="2832" width="8.5" style="11" customWidth="1"/>
    <col min="2833" max="3071" width="10.6640625" style="11"/>
    <col min="3072" max="3072" width="13.1640625" style="11" customWidth="1"/>
    <col min="3073" max="3073" width="79" style="11" customWidth="1"/>
    <col min="3074" max="3074" width="3.83203125" style="11" customWidth="1"/>
    <col min="3075" max="3087" width="12.5" style="11" customWidth="1"/>
    <col min="3088" max="3088" width="8.5" style="11" customWidth="1"/>
    <col min="3089" max="3327" width="10.6640625" style="11"/>
    <col min="3328" max="3328" width="13.1640625" style="11" customWidth="1"/>
    <col min="3329" max="3329" width="79" style="11" customWidth="1"/>
    <col min="3330" max="3330" width="3.83203125" style="11" customWidth="1"/>
    <col min="3331" max="3343" width="12.5" style="11" customWidth="1"/>
    <col min="3344" max="3344" width="8.5" style="11" customWidth="1"/>
    <col min="3345" max="3583" width="10.6640625" style="11"/>
    <col min="3584" max="3584" width="13.1640625" style="11" customWidth="1"/>
    <col min="3585" max="3585" width="79" style="11" customWidth="1"/>
    <col min="3586" max="3586" width="3.83203125" style="11" customWidth="1"/>
    <col min="3587" max="3599" width="12.5" style="11" customWidth="1"/>
    <col min="3600" max="3600" width="8.5" style="11" customWidth="1"/>
    <col min="3601" max="3839" width="10.6640625" style="11"/>
    <col min="3840" max="3840" width="13.1640625" style="11" customWidth="1"/>
    <col min="3841" max="3841" width="79" style="11" customWidth="1"/>
    <col min="3842" max="3842" width="3.83203125" style="11" customWidth="1"/>
    <col min="3843" max="3855" width="12.5" style="11" customWidth="1"/>
    <col min="3856" max="3856" width="8.5" style="11" customWidth="1"/>
    <col min="3857" max="4095" width="10.6640625" style="11"/>
    <col min="4096" max="4096" width="13.1640625" style="11" customWidth="1"/>
    <col min="4097" max="4097" width="79" style="11" customWidth="1"/>
    <col min="4098" max="4098" width="3.83203125" style="11" customWidth="1"/>
    <col min="4099" max="4111" width="12.5" style="11" customWidth="1"/>
    <col min="4112" max="4112" width="8.5" style="11" customWidth="1"/>
    <col min="4113" max="4351" width="10.6640625" style="11"/>
    <col min="4352" max="4352" width="13.1640625" style="11" customWidth="1"/>
    <col min="4353" max="4353" width="79" style="11" customWidth="1"/>
    <col min="4354" max="4354" width="3.83203125" style="11" customWidth="1"/>
    <col min="4355" max="4367" width="12.5" style="11" customWidth="1"/>
    <col min="4368" max="4368" width="8.5" style="11" customWidth="1"/>
    <col min="4369" max="4607" width="10.6640625" style="11"/>
    <col min="4608" max="4608" width="13.1640625" style="11" customWidth="1"/>
    <col min="4609" max="4609" width="79" style="11" customWidth="1"/>
    <col min="4610" max="4610" width="3.83203125" style="11" customWidth="1"/>
    <col min="4611" max="4623" width="12.5" style="11" customWidth="1"/>
    <col min="4624" max="4624" width="8.5" style="11" customWidth="1"/>
    <col min="4625" max="4863" width="10.6640625" style="11"/>
    <col min="4864" max="4864" width="13.1640625" style="11" customWidth="1"/>
    <col min="4865" max="4865" width="79" style="11" customWidth="1"/>
    <col min="4866" max="4866" width="3.83203125" style="11" customWidth="1"/>
    <col min="4867" max="4879" width="12.5" style="11" customWidth="1"/>
    <col min="4880" max="4880" width="8.5" style="11" customWidth="1"/>
    <col min="4881" max="5119" width="10.6640625" style="11"/>
    <col min="5120" max="5120" width="13.1640625" style="11" customWidth="1"/>
    <col min="5121" max="5121" width="79" style="11" customWidth="1"/>
    <col min="5122" max="5122" width="3.83203125" style="11" customWidth="1"/>
    <col min="5123" max="5135" width="12.5" style="11" customWidth="1"/>
    <col min="5136" max="5136" width="8.5" style="11" customWidth="1"/>
    <col min="5137" max="5375" width="10.6640625" style="11"/>
    <col min="5376" max="5376" width="13.1640625" style="11" customWidth="1"/>
    <col min="5377" max="5377" width="79" style="11" customWidth="1"/>
    <col min="5378" max="5378" width="3.83203125" style="11" customWidth="1"/>
    <col min="5379" max="5391" width="12.5" style="11" customWidth="1"/>
    <col min="5392" max="5392" width="8.5" style="11" customWidth="1"/>
    <col min="5393" max="5631" width="10.6640625" style="11"/>
    <col min="5632" max="5632" width="13.1640625" style="11" customWidth="1"/>
    <col min="5633" max="5633" width="79" style="11" customWidth="1"/>
    <col min="5634" max="5634" width="3.83203125" style="11" customWidth="1"/>
    <col min="5635" max="5647" width="12.5" style="11" customWidth="1"/>
    <col min="5648" max="5648" width="8.5" style="11" customWidth="1"/>
    <col min="5649" max="5887" width="10.6640625" style="11"/>
    <col min="5888" max="5888" width="13.1640625" style="11" customWidth="1"/>
    <col min="5889" max="5889" width="79" style="11" customWidth="1"/>
    <col min="5890" max="5890" width="3.83203125" style="11" customWidth="1"/>
    <col min="5891" max="5903" width="12.5" style="11" customWidth="1"/>
    <col min="5904" max="5904" width="8.5" style="11" customWidth="1"/>
    <col min="5905" max="6143" width="10.6640625" style="11"/>
    <col min="6144" max="6144" width="13.1640625" style="11" customWidth="1"/>
    <col min="6145" max="6145" width="79" style="11" customWidth="1"/>
    <col min="6146" max="6146" width="3.83203125" style="11" customWidth="1"/>
    <col min="6147" max="6159" width="12.5" style="11" customWidth="1"/>
    <col min="6160" max="6160" width="8.5" style="11" customWidth="1"/>
    <col min="6161" max="6399" width="10.6640625" style="11"/>
    <col min="6400" max="6400" width="13.1640625" style="11" customWidth="1"/>
    <col min="6401" max="6401" width="79" style="11" customWidth="1"/>
    <col min="6402" max="6402" width="3.83203125" style="11" customWidth="1"/>
    <col min="6403" max="6415" width="12.5" style="11" customWidth="1"/>
    <col min="6416" max="6416" width="8.5" style="11" customWidth="1"/>
    <col min="6417" max="6655" width="10.6640625" style="11"/>
    <col min="6656" max="6656" width="13.1640625" style="11" customWidth="1"/>
    <col min="6657" max="6657" width="79" style="11" customWidth="1"/>
    <col min="6658" max="6658" width="3.83203125" style="11" customWidth="1"/>
    <col min="6659" max="6671" width="12.5" style="11" customWidth="1"/>
    <col min="6672" max="6672" width="8.5" style="11" customWidth="1"/>
    <col min="6673" max="6911" width="10.6640625" style="11"/>
    <col min="6912" max="6912" width="13.1640625" style="11" customWidth="1"/>
    <col min="6913" max="6913" width="79" style="11" customWidth="1"/>
    <col min="6914" max="6914" width="3.83203125" style="11" customWidth="1"/>
    <col min="6915" max="6927" width="12.5" style="11" customWidth="1"/>
    <col min="6928" max="6928" width="8.5" style="11" customWidth="1"/>
    <col min="6929" max="7167" width="10.6640625" style="11"/>
    <col min="7168" max="7168" width="13.1640625" style="11" customWidth="1"/>
    <col min="7169" max="7169" width="79" style="11" customWidth="1"/>
    <col min="7170" max="7170" width="3.83203125" style="11" customWidth="1"/>
    <col min="7171" max="7183" width="12.5" style="11" customWidth="1"/>
    <col min="7184" max="7184" width="8.5" style="11" customWidth="1"/>
    <col min="7185" max="7423" width="10.6640625" style="11"/>
    <col min="7424" max="7424" width="13.1640625" style="11" customWidth="1"/>
    <col min="7425" max="7425" width="79" style="11" customWidth="1"/>
    <col min="7426" max="7426" width="3.83203125" style="11" customWidth="1"/>
    <col min="7427" max="7439" width="12.5" style="11" customWidth="1"/>
    <col min="7440" max="7440" width="8.5" style="11" customWidth="1"/>
    <col min="7441" max="7679" width="10.6640625" style="11"/>
    <col min="7680" max="7680" width="13.1640625" style="11" customWidth="1"/>
    <col min="7681" max="7681" width="79" style="11" customWidth="1"/>
    <col min="7682" max="7682" width="3.83203125" style="11" customWidth="1"/>
    <col min="7683" max="7695" width="12.5" style="11" customWidth="1"/>
    <col min="7696" max="7696" width="8.5" style="11" customWidth="1"/>
    <col min="7697" max="7935" width="10.6640625" style="11"/>
    <col min="7936" max="7936" width="13.1640625" style="11" customWidth="1"/>
    <col min="7937" max="7937" width="79" style="11" customWidth="1"/>
    <col min="7938" max="7938" width="3.83203125" style="11" customWidth="1"/>
    <col min="7939" max="7951" width="12.5" style="11" customWidth="1"/>
    <col min="7952" max="7952" width="8.5" style="11" customWidth="1"/>
    <col min="7953" max="8191" width="10.6640625" style="11"/>
    <col min="8192" max="8192" width="13.1640625" style="11" customWidth="1"/>
    <col min="8193" max="8193" width="79" style="11" customWidth="1"/>
    <col min="8194" max="8194" width="3.83203125" style="11" customWidth="1"/>
    <col min="8195" max="8207" width="12.5" style="11" customWidth="1"/>
    <col min="8208" max="8208" width="8.5" style="11" customWidth="1"/>
    <col min="8209" max="8447" width="10.6640625" style="11"/>
    <col min="8448" max="8448" width="13.1640625" style="11" customWidth="1"/>
    <col min="8449" max="8449" width="79" style="11" customWidth="1"/>
    <col min="8450" max="8450" width="3.83203125" style="11" customWidth="1"/>
    <col min="8451" max="8463" width="12.5" style="11" customWidth="1"/>
    <col min="8464" max="8464" width="8.5" style="11" customWidth="1"/>
    <col min="8465" max="8703" width="10.6640625" style="11"/>
    <col min="8704" max="8704" width="13.1640625" style="11" customWidth="1"/>
    <col min="8705" max="8705" width="79" style="11" customWidth="1"/>
    <col min="8706" max="8706" width="3.83203125" style="11" customWidth="1"/>
    <col min="8707" max="8719" width="12.5" style="11" customWidth="1"/>
    <col min="8720" max="8720" width="8.5" style="11" customWidth="1"/>
    <col min="8721" max="8959" width="10.6640625" style="11"/>
    <col min="8960" max="8960" width="13.1640625" style="11" customWidth="1"/>
    <col min="8961" max="8961" width="79" style="11" customWidth="1"/>
    <col min="8962" max="8962" width="3.83203125" style="11" customWidth="1"/>
    <col min="8963" max="8975" width="12.5" style="11" customWidth="1"/>
    <col min="8976" max="8976" width="8.5" style="11" customWidth="1"/>
    <col min="8977" max="9215" width="10.6640625" style="11"/>
    <col min="9216" max="9216" width="13.1640625" style="11" customWidth="1"/>
    <col min="9217" max="9217" width="79" style="11" customWidth="1"/>
    <col min="9218" max="9218" width="3.83203125" style="11" customWidth="1"/>
    <col min="9219" max="9231" width="12.5" style="11" customWidth="1"/>
    <col min="9232" max="9232" width="8.5" style="11" customWidth="1"/>
    <col min="9233" max="9471" width="10.6640625" style="11"/>
    <col min="9472" max="9472" width="13.1640625" style="11" customWidth="1"/>
    <col min="9473" max="9473" width="79" style="11" customWidth="1"/>
    <col min="9474" max="9474" width="3.83203125" style="11" customWidth="1"/>
    <col min="9475" max="9487" width="12.5" style="11" customWidth="1"/>
    <col min="9488" max="9488" width="8.5" style="11" customWidth="1"/>
    <col min="9489" max="9727" width="10.6640625" style="11"/>
    <col min="9728" max="9728" width="13.1640625" style="11" customWidth="1"/>
    <col min="9729" max="9729" width="79" style="11" customWidth="1"/>
    <col min="9730" max="9730" width="3.83203125" style="11" customWidth="1"/>
    <col min="9731" max="9743" width="12.5" style="11" customWidth="1"/>
    <col min="9744" max="9744" width="8.5" style="11" customWidth="1"/>
    <col min="9745" max="9983" width="10.6640625" style="11"/>
    <col min="9984" max="9984" width="13.1640625" style="11" customWidth="1"/>
    <col min="9985" max="9985" width="79" style="11" customWidth="1"/>
    <col min="9986" max="9986" width="3.83203125" style="11" customWidth="1"/>
    <col min="9987" max="9999" width="12.5" style="11" customWidth="1"/>
    <col min="10000" max="10000" width="8.5" style="11" customWidth="1"/>
    <col min="10001" max="10239" width="10.6640625" style="11"/>
    <col min="10240" max="10240" width="13.1640625" style="11" customWidth="1"/>
    <col min="10241" max="10241" width="79" style="11" customWidth="1"/>
    <col min="10242" max="10242" width="3.83203125" style="11" customWidth="1"/>
    <col min="10243" max="10255" width="12.5" style="11" customWidth="1"/>
    <col min="10256" max="10256" width="8.5" style="11" customWidth="1"/>
    <col min="10257" max="10495" width="10.6640625" style="11"/>
    <col min="10496" max="10496" width="13.1640625" style="11" customWidth="1"/>
    <col min="10497" max="10497" width="79" style="11" customWidth="1"/>
    <col min="10498" max="10498" width="3.83203125" style="11" customWidth="1"/>
    <col min="10499" max="10511" width="12.5" style="11" customWidth="1"/>
    <col min="10512" max="10512" width="8.5" style="11" customWidth="1"/>
    <col min="10513" max="10751" width="10.6640625" style="11"/>
    <col min="10752" max="10752" width="13.1640625" style="11" customWidth="1"/>
    <col min="10753" max="10753" width="79" style="11" customWidth="1"/>
    <col min="10754" max="10754" width="3.83203125" style="11" customWidth="1"/>
    <col min="10755" max="10767" width="12.5" style="11" customWidth="1"/>
    <col min="10768" max="10768" width="8.5" style="11" customWidth="1"/>
    <col min="10769" max="11007" width="10.6640625" style="11"/>
    <col min="11008" max="11008" width="13.1640625" style="11" customWidth="1"/>
    <col min="11009" max="11009" width="79" style="11" customWidth="1"/>
    <col min="11010" max="11010" width="3.83203125" style="11" customWidth="1"/>
    <col min="11011" max="11023" width="12.5" style="11" customWidth="1"/>
    <col min="11024" max="11024" width="8.5" style="11" customWidth="1"/>
    <col min="11025" max="11263" width="10.6640625" style="11"/>
    <col min="11264" max="11264" width="13.1640625" style="11" customWidth="1"/>
    <col min="11265" max="11265" width="79" style="11" customWidth="1"/>
    <col min="11266" max="11266" width="3.83203125" style="11" customWidth="1"/>
    <col min="11267" max="11279" width="12.5" style="11" customWidth="1"/>
    <col min="11280" max="11280" width="8.5" style="11" customWidth="1"/>
    <col min="11281" max="11519" width="10.6640625" style="11"/>
    <col min="11520" max="11520" width="13.1640625" style="11" customWidth="1"/>
    <col min="11521" max="11521" width="79" style="11" customWidth="1"/>
    <col min="11522" max="11522" width="3.83203125" style="11" customWidth="1"/>
    <col min="11523" max="11535" width="12.5" style="11" customWidth="1"/>
    <col min="11536" max="11536" width="8.5" style="11" customWidth="1"/>
    <col min="11537" max="11775" width="10.6640625" style="11"/>
    <col min="11776" max="11776" width="13.1640625" style="11" customWidth="1"/>
    <col min="11777" max="11777" width="79" style="11" customWidth="1"/>
    <col min="11778" max="11778" width="3.83203125" style="11" customWidth="1"/>
    <col min="11779" max="11791" width="12.5" style="11" customWidth="1"/>
    <col min="11792" max="11792" width="8.5" style="11" customWidth="1"/>
    <col min="11793" max="12031" width="10.6640625" style="11"/>
    <col min="12032" max="12032" width="13.1640625" style="11" customWidth="1"/>
    <col min="12033" max="12033" width="79" style="11" customWidth="1"/>
    <col min="12034" max="12034" width="3.83203125" style="11" customWidth="1"/>
    <col min="12035" max="12047" width="12.5" style="11" customWidth="1"/>
    <col min="12048" max="12048" width="8.5" style="11" customWidth="1"/>
    <col min="12049" max="12287" width="10.6640625" style="11"/>
    <col min="12288" max="12288" width="13.1640625" style="11" customWidth="1"/>
    <col min="12289" max="12289" width="79" style="11" customWidth="1"/>
    <col min="12290" max="12290" width="3.83203125" style="11" customWidth="1"/>
    <col min="12291" max="12303" width="12.5" style="11" customWidth="1"/>
    <col min="12304" max="12304" width="8.5" style="11" customWidth="1"/>
    <col min="12305" max="12543" width="10.6640625" style="11"/>
    <col min="12544" max="12544" width="13.1640625" style="11" customWidth="1"/>
    <col min="12545" max="12545" width="79" style="11" customWidth="1"/>
    <col min="12546" max="12546" width="3.83203125" style="11" customWidth="1"/>
    <col min="12547" max="12559" width="12.5" style="11" customWidth="1"/>
    <col min="12560" max="12560" width="8.5" style="11" customWidth="1"/>
    <col min="12561" max="12799" width="10.6640625" style="11"/>
    <col min="12800" max="12800" width="13.1640625" style="11" customWidth="1"/>
    <col min="12801" max="12801" width="79" style="11" customWidth="1"/>
    <col min="12802" max="12802" width="3.83203125" style="11" customWidth="1"/>
    <col min="12803" max="12815" width="12.5" style="11" customWidth="1"/>
    <col min="12816" max="12816" width="8.5" style="11" customWidth="1"/>
    <col min="12817" max="13055" width="10.6640625" style="11"/>
    <col min="13056" max="13056" width="13.1640625" style="11" customWidth="1"/>
    <col min="13057" max="13057" width="79" style="11" customWidth="1"/>
    <col min="13058" max="13058" width="3.83203125" style="11" customWidth="1"/>
    <col min="13059" max="13071" width="12.5" style="11" customWidth="1"/>
    <col min="13072" max="13072" width="8.5" style="11" customWidth="1"/>
    <col min="13073" max="13311" width="10.6640625" style="11"/>
    <col min="13312" max="13312" width="13.1640625" style="11" customWidth="1"/>
    <col min="13313" max="13313" width="79" style="11" customWidth="1"/>
    <col min="13314" max="13314" width="3.83203125" style="11" customWidth="1"/>
    <col min="13315" max="13327" width="12.5" style="11" customWidth="1"/>
    <col min="13328" max="13328" width="8.5" style="11" customWidth="1"/>
    <col min="13329" max="13567" width="10.6640625" style="11"/>
    <col min="13568" max="13568" width="13.1640625" style="11" customWidth="1"/>
    <col min="13569" max="13569" width="79" style="11" customWidth="1"/>
    <col min="13570" max="13570" width="3.83203125" style="11" customWidth="1"/>
    <col min="13571" max="13583" width="12.5" style="11" customWidth="1"/>
    <col min="13584" max="13584" width="8.5" style="11" customWidth="1"/>
    <col min="13585" max="13823" width="10.6640625" style="11"/>
    <col min="13824" max="13824" width="13.1640625" style="11" customWidth="1"/>
    <col min="13825" max="13825" width="79" style="11" customWidth="1"/>
    <col min="13826" max="13826" width="3.83203125" style="11" customWidth="1"/>
    <col min="13827" max="13839" width="12.5" style="11" customWidth="1"/>
    <col min="13840" max="13840" width="8.5" style="11" customWidth="1"/>
    <col min="13841" max="14079" width="10.6640625" style="11"/>
    <col min="14080" max="14080" width="13.1640625" style="11" customWidth="1"/>
    <col min="14081" max="14081" width="79" style="11" customWidth="1"/>
    <col min="14082" max="14082" width="3.83203125" style="11" customWidth="1"/>
    <col min="14083" max="14095" width="12.5" style="11" customWidth="1"/>
    <col min="14096" max="14096" width="8.5" style="11" customWidth="1"/>
    <col min="14097" max="14335" width="10.6640625" style="11"/>
    <col min="14336" max="14336" width="13.1640625" style="11" customWidth="1"/>
    <col min="14337" max="14337" width="79" style="11" customWidth="1"/>
    <col min="14338" max="14338" width="3.83203125" style="11" customWidth="1"/>
    <col min="14339" max="14351" width="12.5" style="11" customWidth="1"/>
    <col min="14352" max="14352" width="8.5" style="11" customWidth="1"/>
    <col min="14353" max="14591" width="10.6640625" style="11"/>
    <col min="14592" max="14592" width="13.1640625" style="11" customWidth="1"/>
    <col min="14593" max="14593" width="79" style="11" customWidth="1"/>
    <col min="14594" max="14594" width="3.83203125" style="11" customWidth="1"/>
    <col min="14595" max="14607" width="12.5" style="11" customWidth="1"/>
    <col min="14608" max="14608" width="8.5" style="11" customWidth="1"/>
    <col min="14609" max="14847" width="10.6640625" style="11"/>
    <col min="14848" max="14848" width="13.1640625" style="11" customWidth="1"/>
    <col min="14849" max="14849" width="79" style="11" customWidth="1"/>
    <col min="14850" max="14850" width="3.83203125" style="11" customWidth="1"/>
    <col min="14851" max="14863" width="12.5" style="11" customWidth="1"/>
    <col min="14864" max="14864" width="8.5" style="11" customWidth="1"/>
    <col min="14865" max="15103" width="10.6640625" style="11"/>
    <col min="15104" max="15104" width="13.1640625" style="11" customWidth="1"/>
    <col min="15105" max="15105" width="79" style="11" customWidth="1"/>
    <col min="15106" max="15106" width="3.83203125" style="11" customWidth="1"/>
    <col min="15107" max="15119" width="12.5" style="11" customWidth="1"/>
    <col min="15120" max="15120" width="8.5" style="11" customWidth="1"/>
    <col min="15121" max="15359" width="10.6640625" style="11"/>
    <col min="15360" max="15360" width="13.1640625" style="11" customWidth="1"/>
    <col min="15361" max="15361" width="79" style="11" customWidth="1"/>
    <col min="15362" max="15362" width="3.83203125" style="11" customWidth="1"/>
    <col min="15363" max="15375" width="12.5" style="11" customWidth="1"/>
    <col min="15376" max="15376" width="8.5" style="11" customWidth="1"/>
    <col min="15377" max="15615" width="10.6640625" style="11"/>
    <col min="15616" max="15616" width="13.1640625" style="11" customWidth="1"/>
    <col min="15617" max="15617" width="79" style="11" customWidth="1"/>
    <col min="15618" max="15618" width="3.83203125" style="11" customWidth="1"/>
    <col min="15619" max="15631" width="12.5" style="11" customWidth="1"/>
    <col min="15632" max="15632" width="8.5" style="11" customWidth="1"/>
    <col min="15633" max="15871" width="10.6640625" style="11"/>
    <col min="15872" max="15872" width="13.1640625" style="11" customWidth="1"/>
    <col min="15873" max="15873" width="79" style="11" customWidth="1"/>
    <col min="15874" max="15874" width="3.83203125" style="11" customWidth="1"/>
    <col min="15875" max="15887" width="12.5" style="11" customWidth="1"/>
    <col min="15888" max="15888" width="8.5" style="11" customWidth="1"/>
    <col min="15889" max="16127" width="10.6640625" style="11"/>
    <col min="16128" max="16128" width="13.1640625" style="11" customWidth="1"/>
    <col min="16129" max="16129" width="79" style="11" customWidth="1"/>
    <col min="16130" max="16130" width="3.83203125" style="11" customWidth="1"/>
    <col min="16131" max="16143" width="12.5" style="11" customWidth="1"/>
    <col min="16144" max="16144" width="8.5" style="11" customWidth="1"/>
    <col min="16145" max="16384" width="10.6640625" style="11"/>
  </cols>
  <sheetData>
    <row r="1" spans="1:19" ht="13.5" thickBot="1" x14ac:dyDescent="0.25">
      <c r="A1" s="17" t="s">
        <v>80</v>
      </c>
      <c r="B1" s="18">
        <v>3</v>
      </c>
      <c r="C1" s="19"/>
      <c r="D1" s="20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</row>
    <row r="2" spans="1:19" ht="13.5" thickTop="1" x14ac:dyDescent="0.2">
      <c r="A2" s="22" t="str">
        <f>CONCATENATE($B$1,"|",B2)</f>
        <v>3|1</v>
      </c>
      <c r="B2" s="23">
        <v>1</v>
      </c>
      <c r="C2" s="24" t="s">
        <v>463</v>
      </c>
      <c r="D2" s="25">
        <v>1</v>
      </c>
      <c r="E2" s="26">
        <v>50</v>
      </c>
      <c r="F2" s="26">
        <v>50</v>
      </c>
      <c r="G2" s="26"/>
      <c r="H2" s="26"/>
      <c r="I2" s="26"/>
      <c r="J2" s="27"/>
      <c r="K2" s="27"/>
      <c r="L2" s="27"/>
      <c r="M2" s="27"/>
      <c r="N2" s="27"/>
      <c r="O2" s="27"/>
      <c r="P2" s="27"/>
      <c r="S2" s="11">
        <f>SUM(E2:P2)</f>
        <v>100</v>
      </c>
    </row>
    <row r="3" spans="1:19" x14ac:dyDescent="0.2">
      <c r="A3" s="28" t="str">
        <f t="shared" ref="A3:A12" si="0">CONCATENATE($B$1,"|",B3)</f>
        <v>3|2</v>
      </c>
      <c r="B3" s="29" t="s">
        <v>189</v>
      </c>
      <c r="C3" s="24" t="s">
        <v>459</v>
      </c>
      <c r="D3" s="25">
        <v>2</v>
      </c>
      <c r="E3" s="26">
        <v>50</v>
      </c>
      <c r="F3" s="26">
        <v>50</v>
      </c>
      <c r="G3" s="26"/>
      <c r="H3" s="26"/>
      <c r="I3" s="26"/>
      <c r="J3" s="30"/>
      <c r="K3" s="30"/>
      <c r="L3" s="30"/>
      <c r="M3" s="30"/>
      <c r="N3" s="30"/>
      <c r="O3" s="30"/>
      <c r="P3" s="30"/>
      <c r="S3" s="11">
        <f t="shared" ref="S3:S12" si="1">SUM(E3:P3)</f>
        <v>100</v>
      </c>
    </row>
    <row r="4" spans="1:19" x14ac:dyDescent="0.2">
      <c r="A4" s="28" t="str">
        <f t="shared" si="0"/>
        <v>3|3</v>
      </c>
      <c r="B4" s="29" t="s">
        <v>207</v>
      </c>
      <c r="C4" s="24" t="s">
        <v>465</v>
      </c>
      <c r="D4" s="25">
        <v>3</v>
      </c>
      <c r="E4" s="31">
        <v>25</v>
      </c>
      <c r="F4" s="31">
        <v>60</v>
      </c>
      <c r="G4" s="31">
        <v>15</v>
      </c>
      <c r="H4" s="31"/>
      <c r="I4" s="31"/>
      <c r="J4" s="30"/>
      <c r="K4" s="30"/>
      <c r="L4" s="30"/>
      <c r="M4" s="30"/>
      <c r="N4" s="30"/>
      <c r="O4" s="30"/>
      <c r="P4" s="30"/>
      <c r="S4" s="11">
        <f t="shared" si="1"/>
        <v>100</v>
      </c>
    </row>
    <row r="5" spans="1:19" x14ac:dyDescent="0.2">
      <c r="A5" s="28" t="str">
        <f t="shared" si="0"/>
        <v>3|4</v>
      </c>
      <c r="B5" s="29" t="s">
        <v>225</v>
      </c>
      <c r="C5" s="24" t="s">
        <v>460</v>
      </c>
      <c r="D5" s="25">
        <v>4</v>
      </c>
      <c r="E5" s="31"/>
      <c r="F5" s="31">
        <v>50</v>
      </c>
      <c r="G5" s="31">
        <v>50</v>
      </c>
      <c r="H5" s="31"/>
      <c r="I5" s="31"/>
      <c r="J5" s="30"/>
      <c r="K5" s="30"/>
      <c r="L5" s="30"/>
      <c r="M5" s="30"/>
      <c r="N5" s="30"/>
      <c r="O5" s="30"/>
      <c r="P5" s="30"/>
      <c r="S5" s="11">
        <f t="shared" si="1"/>
        <v>100</v>
      </c>
    </row>
    <row r="6" spans="1:19" x14ac:dyDescent="0.2">
      <c r="A6" s="28" t="str">
        <f t="shared" si="0"/>
        <v>3|5</v>
      </c>
      <c r="B6" s="29" t="s">
        <v>188</v>
      </c>
      <c r="C6" s="24" t="s">
        <v>461</v>
      </c>
      <c r="D6" s="25">
        <v>5</v>
      </c>
      <c r="E6" s="31">
        <v>20</v>
      </c>
      <c r="F6" s="31">
        <v>50</v>
      </c>
      <c r="G6" s="31">
        <v>30</v>
      </c>
      <c r="H6" s="31"/>
      <c r="I6" s="31"/>
      <c r="J6" s="30"/>
      <c r="K6" s="30"/>
      <c r="L6" s="30"/>
      <c r="M6" s="30"/>
      <c r="N6" s="30"/>
      <c r="O6" s="30"/>
      <c r="P6" s="30"/>
      <c r="S6" s="11">
        <f t="shared" si="1"/>
        <v>100</v>
      </c>
    </row>
    <row r="7" spans="1:19" x14ac:dyDescent="0.2">
      <c r="A7" s="28" t="str">
        <f t="shared" si="0"/>
        <v>3|6</v>
      </c>
      <c r="B7" s="29" t="s">
        <v>227</v>
      </c>
      <c r="C7" s="24" t="s">
        <v>467</v>
      </c>
      <c r="D7" s="25">
        <v>3</v>
      </c>
      <c r="E7" s="31"/>
      <c r="F7" s="31">
        <v>50</v>
      </c>
      <c r="G7" s="31">
        <v>50</v>
      </c>
      <c r="H7" s="31"/>
      <c r="I7" s="31"/>
      <c r="J7" s="30"/>
      <c r="K7" s="30"/>
      <c r="L7" s="30"/>
      <c r="M7" s="30"/>
      <c r="N7" s="30"/>
      <c r="O7" s="30"/>
      <c r="P7" s="30"/>
      <c r="S7" s="11">
        <f t="shared" si="1"/>
        <v>100</v>
      </c>
    </row>
    <row r="8" spans="1:19" x14ac:dyDescent="0.2">
      <c r="A8" s="28" t="str">
        <f t="shared" si="0"/>
        <v>3|7</v>
      </c>
      <c r="B8" s="29" t="s">
        <v>452</v>
      </c>
      <c r="C8" s="24" t="s">
        <v>468</v>
      </c>
      <c r="D8" s="25">
        <v>5</v>
      </c>
      <c r="E8" s="31"/>
      <c r="F8" s="31">
        <v>20</v>
      </c>
      <c r="G8" s="31">
        <v>80</v>
      </c>
      <c r="H8" s="31"/>
      <c r="I8" s="31"/>
      <c r="J8" s="30"/>
      <c r="K8" s="30"/>
      <c r="L8" s="30"/>
      <c r="M8" s="30"/>
      <c r="N8" s="30"/>
      <c r="O8" s="30"/>
      <c r="P8" s="30"/>
      <c r="S8" s="11">
        <f t="shared" si="1"/>
        <v>100</v>
      </c>
    </row>
    <row r="9" spans="1:19" x14ac:dyDescent="0.2">
      <c r="A9" s="28" t="str">
        <f t="shared" si="0"/>
        <v>3|8</v>
      </c>
      <c r="B9" s="29" t="s">
        <v>321</v>
      </c>
      <c r="C9" s="24" t="s">
        <v>470</v>
      </c>
      <c r="D9" s="25">
        <v>6</v>
      </c>
      <c r="E9" s="31"/>
      <c r="F9" s="31">
        <v>50</v>
      </c>
      <c r="G9" s="31">
        <v>50</v>
      </c>
      <c r="H9" s="31"/>
      <c r="I9" s="31"/>
      <c r="J9" s="30"/>
      <c r="K9" s="30"/>
      <c r="L9" s="30"/>
      <c r="M9" s="30"/>
      <c r="N9" s="30"/>
      <c r="O9" s="30"/>
      <c r="P9" s="30"/>
      <c r="S9" s="11">
        <f t="shared" si="1"/>
        <v>100</v>
      </c>
    </row>
    <row r="10" spans="1:19" x14ac:dyDescent="0.2">
      <c r="A10" s="28" t="str">
        <f t="shared" si="0"/>
        <v>3|9</v>
      </c>
      <c r="B10" s="29" t="s">
        <v>471</v>
      </c>
      <c r="C10" s="24" t="s">
        <v>472</v>
      </c>
      <c r="D10" s="25">
        <v>6</v>
      </c>
      <c r="E10" s="31">
        <v>30</v>
      </c>
      <c r="F10" s="31">
        <v>40</v>
      </c>
      <c r="G10" s="31">
        <v>30</v>
      </c>
      <c r="H10" s="31"/>
      <c r="I10" s="31"/>
      <c r="J10" s="30"/>
      <c r="K10" s="30"/>
      <c r="L10" s="30"/>
      <c r="M10" s="30"/>
      <c r="N10" s="30"/>
      <c r="O10" s="30"/>
      <c r="P10" s="30"/>
      <c r="S10" s="11">
        <f t="shared" si="1"/>
        <v>100</v>
      </c>
    </row>
    <row r="11" spans="1:19" x14ac:dyDescent="0.2">
      <c r="A11" s="28" t="str">
        <f t="shared" si="0"/>
        <v>3|10</v>
      </c>
      <c r="B11" s="29" t="s">
        <v>473</v>
      </c>
      <c r="C11" s="24" t="s">
        <v>462</v>
      </c>
      <c r="D11" s="25"/>
      <c r="E11" s="31">
        <v>60</v>
      </c>
      <c r="F11" s="31">
        <v>40</v>
      </c>
      <c r="G11" s="31"/>
      <c r="H11" s="31"/>
      <c r="I11" s="31"/>
      <c r="J11" s="30"/>
      <c r="K11" s="30"/>
      <c r="L11" s="30"/>
      <c r="M11" s="30"/>
      <c r="N11" s="30"/>
      <c r="O11" s="30"/>
      <c r="P11" s="30"/>
      <c r="S11" s="11">
        <f t="shared" si="1"/>
        <v>100</v>
      </c>
    </row>
    <row r="12" spans="1:19" x14ac:dyDescent="0.2">
      <c r="A12" s="28" t="str">
        <f t="shared" si="0"/>
        <v>3|11</v>
      </c>
      <c r="B12" s="29" t="s">
        <v>595</v>
      </c>
      <c r="C12" s="24" t="s">
        <v>630</v>
      </c>
      <c r="D12" s="25"/>
      <c r="E12" s="31">
        <v>15</v>
      </c>
      <c r="F12" s="31">
        <v>60</v>
      </c>
      <c r="G12" s="31">
        <v>25</v>
      </c>
      <c r="H12" s="31"/>
      <c r="I12" s="31"/>
      <c r="J12" s="30"/>
      <c r="K12" s="30"/>
      <c r="L12" s="30"/>
      <c r="M12" s="30"/>
      <c r="N12" s="30"/>
      <c r="O12" s="30"/>
      <c r="P12" s="30"/>
      <c r="S12" s="11">
        <f t="shared" si="1"/>
        <v>100</v>
      </c>
    </row>
    <row r="13" spans="1:19" ht="5.45" customHeight="1" x14ac:dyDescent="0.2"/>
    <row r="14" spans="1:19" ht="13.5" thickBot="1" x14ac:dyDescent="0.25">
      <c r="A14" s="32" t="s">
        <v>80</v>
      </c>
      <c r="B14" s="33">
        <v>4</v>
      </c>
      <c r="C14" s="34"/>
      <c r="D14" s="35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</row>
    <row r="15" spans="1:19" ht="13.5" thickTop="1" x14ac:dyDescent="0.2">
      <c r="A15" s="36" t="str">
        <f>CONCATENATE($B$14,"|",B15)</f>
        <v>4|1</v>
      </c>
      <c r="B15" s="23">
        <v>1</v>
      </c>
      <c r="C15" s="24" t="s">
        <v>463</v>
      </c>
      <c r="D15" s="25">
        <v>1</v>
      </c>
      <c r="E15" s="26">
        <v>45</v>
      </c>
      <c r="F15" s="26">
        <v>45</v>
      </c>
      <c r="G15" s="26">
        <v>10</v>
      </c>
      <c r="H15" s="26"/>
      <c r="I15" s="26"/>
      <c r="J15" s="27"/>
      <c r="K15" s="27"/>
      <c r="L15" s="27"/>
      <c r="M15" s="27"/>
      <c r="N15" s="27"/>
      <c r="O15" s="27"/>
      <c r="P15" s="27"/>
      <c r="S15" s="11">
        <f>SUM(E15:P15)</f>
        <v>100</v>
      </c>
    </row>
    <row r="16" spans="1:19" x14ac:dyDescent="0.2">
      <c r="A16" s="28" t="str">
        <f t="shared" ref="A16:A25" si="2">CONCATENATE($B$14,"|",B16)</f>
        <v>4|2</v>
      </c>
      <c r="B16" s="29" t="s">
        <v>189</v>
      </c>
      <c r="C16" s="24" t="s">
        <v>459</v>
      </c>
      <c r="D16" s="25">
        <v>2</v>
      </c>
      <c r="E16" s="26">
        <v>40</v>
      </c>
      <c r="F16" s="26">
        <v>40</v>
      </c>
      <c r="G16" s="26">
        <v>20</v>
      </c>
      <c r="H16" s="26"/>
      <c r="I16" s="26"/>
      <c r="J16" s="30"/>
      <c r="K16" s="30"/>
      <c r="L16" s="30"/>
      <c r="M16" s="30"/>
      <c r="N16" s="30"/>
      <c r="O16" s="30"/>
      <c r="P16" s="30"/>
      <c r="S16" s="11">
        <f t="shared" ref="S16:S25" si="3">SUM(E16:P16)</f>
        <v>100</v>
      </c>
    </row>
    <row r="17" spans="1:19" x14ac:dyDescent="0.2">
      <c r="A17" s="28" t="str">
        <f t="shared" si="2"/>
        <v>4|3</v>
      </c>
      <c r="B17" s="29" t="s">
        <v>207</v>
      </c>
      <c r="C17" s="24" t="s">
        <v>465</v>
      </c>
      <c r="D17" s="25">
        <v>3</v>
      </c>
      <c r="E17" s="31">
        <v>20</v>
      </c>
      <c r="F17" s="31">
        <v>35</v>
      </c>
      <c r="G17" s="31">
        <v>35</v>
      </c>
      <c r="H17" s="31">
        <v>10</v>
      </c>
      <c r="I17" s="31"/>
      <c r="J17" s="30"/>
      <c r="K17" s="30"/>
      <c r="L17" s="30"/>
      <c r="M17" s="30"/>
      <c r="N17" s="30"/>
      <c r="O17" s="30"/>
      <c r="P17" s="30"/>
      <c r="S17" s="11">
        <f t="shared" si="3"/>
        <v>100</v>
      </c>
    </row>
    <row r="18" spans="1:19" x14ac:dyDescent="0.2">
      <c r="A18" s="28" t="str">
        <f t="shared" si="2"/>
        <v>4|4</v>
      </c>
      <c r="B18" s="29" t="s">
        <v>225</v>
      </c>
      <c r="C18" s="24" t="s">
        <v>460</v>
      </c>
      <c r="D18" s="25">
        <v>4</v>
      </c>
      <c r="E18" s="31"/>
      <c r="F18" s="31">
        <v>35</v>
      </c>
      <c r="G18" s="31">
        <v>35</v>
      </c>
      <c r="H18" s="31">
        <v>30</v>
      </c>
      <c r="I18" s="31"/>
      <c r="J18" s="30"/>
      <c r="K18" s="30"/>
      <c r="L18" s="30"/>
      <c r="M18" s="30"/>
      <c r="N18" s="30"/>
      <c r="O18" s="30"/>
      <c r="P18" s="30"/>
      <c r="S18" s="11">
        <f t="shared" si="3"/>
        <v>100</v>
      </c>
    </row>
    <row r="19" spans="1:19" x14ac:dyDescent="0.2">
      <c r="A19" s="28" t="str">
        <f t="shared" si="2"/>
        <v>4|5</v>
      </c>
      <c r="B19" s="29" t="s">
        <v>188</v>
      </c>
      <c r="C19" s="24" t="s">
        <v>461</v>
      </c>
      <c r="D19" s="25">
        <v>5</v>
      </c>
      <c r="E19" s="31">
        <v>10</v>
      </c>
      <c r="F19" s="31">
        <v>35</v>
      </c>
      <c r="G19" s="31">
        <v>35</v>
      </c>
      <c r="H19" s="31">
        <v>20</v>
      </c>
      <c r="I19" s="31"/>
      <c r="J19" s="30"/>
      <c r="K19" s="30"/>
      <c r="L19" s="30"/>
      <c r="M19" s="30"/>
      <c r="N19" s="30"/>
      <c r="O19" s="30"/>
      <c r="P19" s="30"/>
      <c r="S19" s="11">
        <f t="shared" si="3"/>
        <v>100</v>
      </c>
    </row>
    <row r="20" spans="1:19" x14ac:dyDescent="0.2">
      <c r="A20" s="28" t="str">
        <f t="shared" si="2"/>
        <v>4|6</v>
      </c>
      <c r="B20" s="29" t="s">
        <v>227</v>
      </c>
      <c r="C20" s="24" t="s">
        <v>467</v>
      </c>
      <c r="D20" s="25">
        <v>3</v>
      </c>
      <c r="E20" s="31"/>
      <c r="F20" s="31">
        <v>35</v>
      </c>
      <c r="G20" s="31">
        <v>35</v>
      </c>
      <c r="H20" s="31">
        <v>30</v>
      </c>
      <c r="I20" s="31"/>
      <c r="J20" s="30"/>
      <c r="K20" s="30"/>
      <c r="L20" s="30"/>
      <c r="M20" s="30"/>
      <c r="N20" s="30"/>
      <c r="O20" s="30"/>
      <c r="P20" s="30"/>
      <c r="S20" s="11">
        <f t="shared" si="3"/>
        <v>100</v>
      </c>
    </row>
    <row r="21" spans="1:19" x14ac:dyDescent="0.2">
      <c r="A21" s="28" t="str">
        <f t="shared" si="2"/>
        <v>4|7</v>
      </c>
      <c r="B21" s="29" t="s">
        <v>452</v>
      </c>
      <c r="C21" s="24" t="s">
        <v>468</v>
      </c>
      <c r="D21" s="25">
        <v>5</v>
      </c>
      <c r="E21" s="31"/>
      <c r="F21" s="31">
        <v>15</v>
      </c>
      <c r="G21" s="31">
        <v>60</v>
      </c>
      <c r="H21" s="31">
        <v>25</v>
      </c>
      <c r="I21" s="31"/>
      <c r="J21" s="30"/>
      <c r="K21" s="30"/>
      <c r="L21" s="30"/>
      <c r="M21" s="30"/>
      <c r="N21" s="30"/>
      <c r="O21" s="30"/>
      <c r="P21" s="30"/>
      <c r="S21" s="11">
        <f t="shared" si="3"/>
        <v>100</v>
      </c>
    </row>
    <row r="22" spans="1:19" x14ac:dyDescent="0.2">
      <c r="A22" s="28" t="str">
        <f t="shared" si="2"/>
        <v>4|8</v>
      </c>
      <c r="B22" s="29" t="s">
        <v>321</v>
      </c>
      <c r="C22" s="24" t="s">
        <v>470</v>
      </c>
      <c r="D22" s="25">
        <v>6</v>
      </c>
      <c r="E22" s="31"/>
      <c r="F22" s="31">
        <v>30</v>
      </c>
      <c r="G22" s="31">
        <v>40</v>
      </c>
      <c r="H22" s="31">
        <v>30</v>
      </c>
      <c r="I22" s="31"/>
      <c r="J22" s="30"/>
      <c r="K22" s="30"/>
      <c r="L22" s="30"/>
      <c r="M22" s="30"/>
      <c r="N22" s="30"/>
      <c r="O22" s="30"/>
      <c r="P22" s="30"/>
      <c r="S22" s="11">
        <f t="shared" si="3"/>
        <v>100</v>
      </c>
    </row>
    <row r="23" spans="1:19" x14ac:dyDescent="0.2">
      <c r="A23" s="28" t="str">
        <f t="shared" si="2"/>
        <v>4|9</v>
      </c>
      <c r="B23" s="29" t="s">
        <v>471</v>
      </c>
      <c r="C23" s="24" t="s">
        <v>472</v>
      </c>
      <c r="D23" s="25">
        <v>6</v>
      </c>
      <c r="E23" s="31">
        <v>10</v>
      </c>
      <c r="F23" s="31">
        <v>35</v>
      </c>
      <c r="G23" s="31">
        <v>35</v>
      </c>
      <c r="H23" s="31">
        <v>20</v>
      </c>
      <c r="I23" s="31"/>
      <c r="J23" s="30"/>
      <c r="K23" s="30"/>
      <c r="L23" s="30"/>
      <c r="M23" s="30"/>
      <c r="N23" s="30"/>
      <c r="O23" s="30"/>
      <c r="P23" s="30"/>
      <c r="S23" s="11">
        <f t="shared" si="3"/>
        <v>100</v>
      </c>
    </row>
    <row r="24" spans="1:19" x14ac:dyDescent="0.2">
      <c r="A24" s="28" t="str">
        <f t="shared" si="2"/>
        <v>4|10</v>
      </c>
      <c r="B24" s="29" t="s">
        <v>473</v>
      </c>
      <c r="C24" s="24" t="s">
        <v>462</v>
      </c>
      <c r="D24" s="25"/>
      <c r="E24" s="31">
        <v>40</v>
      </c>
      <c r="F24" s="31">
        <v>40</v>
      </c>
      <c r="G24" s="31">
        <v>20</v>
      </c>
      <c r="H24" s="31"/>
      <c r="I24" s="31"/>
      <c r="J24" s="30"/>
      <c r="K24" s="30"/>
      <c r="L24" s="30"/>
      <c r="M24" s="30"/>
      <c r="N24" s="30"/>
      <c r="O24" s="30"/>
      <c r="P24" s="30"/>
      <c r="S24" s="11">
        <f t="shared" si="3"/>
        <v>100</v>
      </c>
    </row>
    <row r="25" spans="1:19" x14ac:dyDescent="0.2">
      <c r="A25" s="37" t="str">
        <f t="shared" si="2"/>
        <v>4|11</v>
      </c>
      <c r="B25" s="29" t="s">
        <v>595</v>
      </c>
      <c r="C25" s="24" t="s">
        <v>630</v>
      </c>
      <c r="D25" s="25"/>
      <c r="E25" s="31">
        <v>10</v>
      </c>
      <c r="F25" s="31">
        <v>35</v>
      </c>
      <c r="G25" s="31">
        <v>35</v>
      </c>
      <c r="H25" s="31">
        <v>20</v>
      </c>
      <c r="I25" s="31"/>
      <c r="J25" s="30"/>
      <c r="K25" s="30"/>
      <c r="L25" s="30"/>
      <c r="M25" s="30"/>
      <c r="N25" s="30"/>
      <c r="O25" s="30"/>
      <c r="P25" s="30"/>
      <c r="S25" s="11">
        <f t="shared" si="3"/>
        <v>100</v>
      </c>
    </row>
    <row r="26" spans="1:19" ht="5.45" customHeight="1" x14ac:dyDescent="0.2"/>
    <row r="27" spans="1:19" ht="13.5" thickBot="1" x14ac:dyDescent="0.25">
      <c r="A27" s="32" t="s">
        <v>80</v>
      </c>
      <c r="B27" s="33">
        <v>5</v>
      </c>
      <c r="C27" s="34"/>
      <c r="D27" s="35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</row>
    <row r="28" spans="1:19" ht="13.5" thickTop="1" x14ac:dyDescent="0.2">
      <c r="A28" s="36" t="str">
        <f>CONCATENATE($B$27,"|",B28)</f>
        <v>5|1</v>
      </c>
      <c r="B28" s="23">
        <v>1</v>
      </c>
      <c r="C28" s="24" t="s">
        <v>463</v>
      </c>
      <c r="D28" s="25">
        <v>1</v>
      </c>
      <c r="E28" s="26">
        <v>40</v>
      </c>
      <c r="F28" s="26">
        <v>30</v>
      </c>
      <c r="G28" s="26">
        <v>25</v>
      </c>
      <c r="H28" s="26">
        <v>5</v>
      </c>
      <c r="I28" s="26"/>
      <c r="J28" s="27"/>
      <c r="K28" s="27"/>
      <c r="L28" s="27"/>
      <c r="M28" s="27"/>
      <c r="N28" s="27"/>
      <c r="O28" s="27"/>
      <c r="P28" s="27"/>
      <c r="S28" s="11">
        <f>SUM(E28:P28)</f>
        <v>100</v>
      </c>
    </row>
    <row r="29" spans="1:19" x14ac:dyDescent="0.2">
      <c r="A29" s="28" t="str">
        <f t="shared" ref="A29:A38" si="4">CONCATENATE($B$27,"|",B29)</f>
        <v>5|2</v>
      </c>
      <c r="B29" s="29" t="s">
        <v>189</v>
      </c>
      <c r="C29" s="24" t="s">
        <v>459</v>
      </c>
      <c r="D29" s="25">
        <v>2</v>
      </c>
      <c r="E29" s="26">
        <v>30</v>
      </c>
      <c r="F29" s="26">
        <v>30</v>
      </c>
      <c r="G29" s="26">
        <v>30</v>
      </c>
      <c r="H29" s="26">
        <v>10</v>
      </c>
      <c r="I29" s="26"/>
      <c r="J29" s="30"/>
      <c r="K29" s="30"/>
      <c r="L29" s="30"/>
      <c r="M29" s="30"/>
      <c r="N29" s="30"/>
      <c r="O29" s="30"/>
      <c r="P29" s="30"/>
      <c r="S29" s="11">
        <f t="shared" ref="S29:S38" si="5">SUM(E29:P29)</f>
        <v>100</v>
      </c>
    </row>
    <row r="30" spans="1:19" x14ac:dyDescent="0.2">
      <c r="A30" s="28" t="str">
        <f t="shared" si="4"/>
        <v>5|3</v>
      </c>
      <c r="B30" s="29" t="s">
        <v>207</v>
      </c>
      <c r="C30" s="24" t="s">
        <v>465</v>
      </c>
      <c r="D30" s="25">
        <v>3</v>
      </c>
      <c r="E30" s="31">
        <v>10</v>
      </c>
      <c r="F30" s="31">
        <v>30</v>
      </c>
      <c r="G30" s="31">
        <v>30</v>
      </c>
      <c r="H30" s="31">
        <v>25</v>
      </c>
      <c r="I30" s="31">
        <v>5</v>
      </c>
      <c r="J30" s="30"/>
      <c r="K30" s="30"/>
      <c r="L30" s="30"/>
      <c r="M30" s="30"/>
      <c r="N30" s="30"/>
      <c r="O30" s="30"/>
      <c r="P30" s="30"/>
      <c r="S30" s="11">
        <f t="shared" si="5"/>
        <v>100</v>
      </c>
    </row>
    <row r="31" spans="1:19" x14ac:dyDescent="0.2">
      <c r="A31" s="28" t="str">
        <f t="shared" si="4"/>
        <v>5|4</v>
      </c>
      <c r="B31" s="29" t="s">
        <v>225</v>
      </c>
      <c r="C31" s="24" t="s">
        <v>460</v>
      </c>
      <c r="D31" s="25">
        <v>4</v>
      </c>
      <c r="E31" s="31"/>
      <c r="F31" s="31">
        <v>15</v>
      </c>
      <c r="G31" s="31">
        <v>30</v>
      </c>
      <c r="H31" s="31">
        <v>30</v>
      </c>
      <c r="I31" s="31">
        <v>25</v>
      </c>
      <c r="J31" s="30"/>
      <c r="K31" s="30"/>
      <c r="L31" s="30"/>
      <c r="M31" s="30"/>
      <c r="N31" s="30"/>
      <c r="O31" s="30"/>
      <c r="P31" s="30"/>
      <c r="S31" s="11">
        <f t="shared" si="5"/>
        <v>100</v>
      </c>
    </row>
    <row r="32" spans="1:19" x14ac:dyDescent="0.2">
      <c r="A32" s="28" t="str">
        <f t="shared" si="4"/>
        <v>5|5</v>
      </c>
      <c r="B32" s="29" t="s">
        <v>188</v>
      </c>
      <c r="C32" s="24" t="s">
        <v>461</v>
      </c>
      <c r="D32" s="25">
        <v>5</v>
      </c>
      <c r="E32" s="31"/>
      <c r="F32" s="31">
        <v>25</v>
      </c>
      <c r="G32" s="31">
        <v>35</v>
      </c>
      <c r="H32" s="31">
        <v>35</v>
      </c>
      <c r="I32" s="31">
        <v>5</v>
      </c>
      <c r="J32" s="30"/>
      <c r="K32" s="30"/>
      <c r="L32" s="30"/>
      <c r="M32" s="30"/>
      <c r="N32" s="30"/>
      <c r="O32" s="30"/>
      <c r="P32" s="30"/>
      <c r="S32" s="11">
        <f t="shared" si="5"/>
        <v>100</v>
      </c>
    </row>
    <row r="33" spans="1:19" x14ac:dyDescent="0.2">
      <c r="A33" s="28" t="str">
        <f t="shared" si="4"/>
        <v>5|6</v>
      </c>
      <c r="B33" s="29" t="s">
        <v>227</v>
      </c>
      <c r="C33" s="24" t="s">
        <v>467</v>
      </c>
      <c r="D33" s="25">
        <v>3</v>
      </c>
      <c r="E33" s="31"/>
      <c r="F33" s="31">
        <v>5</v>
      </c>
      <c r="G33" s="31">
        <v>40</v>
      </c>
      <c r="H33" s="31">
        <v>30</v>
      </c>
      <c r="I33" s="31">
        <v>25</v>
      </c>
      <c r="J33" s="30"/>
      <c r="K33" s="30"/>
      <c r="L33" s="30"/>
      <c r="M33" s="30"/>
      <c r="N33" s="30"/>
      <c r="O33" s="30"/>
      <c r="P33" s="30"/>
      <c r="S33" s="11">
        <f t="shared" si="5"/>
        <v>100</v>
      </c>
    </row>
    <row r="34" spans="1:19" x14ac:dyDescent="0.2">
      <c r="A34" s="28" t="str">
        <f t="shared" si="4"/>
        <v>5|7</v>
      </c>
      <c r="B34" s="29" t="s">
        <v>452</v>
      </c>
      <c r="C34" s="24" t="s">
        <v>468</v>
      </c>
      <c r="D34" s="25">
        <v>5</v>
      </c>
      <c r="E34" s="31"/>
      <c r="F34" s="31">
        <v>10</v>
      </c>
      <c r="G34" s="31">
        <v>35</v>
      </c>
      <c r="H34" s="31">
        <v>35</v>
      </c>
      <c r="I34" s="31">
        <v>20</v>
      </c>
      <c r="J34" s="30"/>
      <c r="K34" s="30"/>
      <c r="L34" s="30"/>
      <c r="M34" s="30"/>
      <c r="N34" s="30"/>
      <c r="O34" s="30"/>
      <c r="P34" s="30"/>
      <c r="S34" s="11">
        <f t="shared" si="5"/>
        <v>100</v>
      </c>
    </row>
    <row r="35" spans="1:19" x14ac:dyDescent="0.2">
      <c r="A35" s="28" t="str">
        <f t="shared" si="4"/>
        <v>5|8</v>
      </c>
      <c r="B35" s="29" t="s">
        <v>321</v>
      </c>
      <c r="C35" s="24" t="s">
        <v>470</v>
      </c>
      <c r="D35" s="25">
        <v>6</v>
      </c>
      <c r="E35" s="31"/>
      <c r="F35" s="31">
        <v>10</v>
      </c>
      <c r="G35" s="31">
        <v>35</v>
      </c>
      <c r="H35" s="31">
        <v>35</v>
      </c>
      <c r="I35" s="31">
        <v>20</v>
      </c>
      <c r="J35" s="30"/>
      <c r="K35" s="30"/>
      <c r="L35" s="30"/>
      <c r="M35" s="30"/>
      <c r="N35" s="30"/>
      <c r="O35" s="30"/>
      <c r="P35" s="30"/>
      <c r="S35" s="11">
        <f t="shared" si="5"/>
        <v>100</v>
      </c>
    </row>
    <row r="36" spans="1:19" x14ac:dyDescent="0.2">
      <c r="A36" s="28" t="str">
        <f t="shared" si="4"/>
        <v>5|9</v>
      </c>
      <c r="B36" s="29" t="s">
        <v>471</v>
      </c>
      <c r="C36" s="24" t="s">
        <v>472</v>
      </c>
      <c r="D36" s="25">
        <v>6</v>
      </c>
      <c r="E36" s="31">
        <v>5</v>
      </c>
      <c r="F36" s="31">
        <v>25</v>
      </c>
      <c r="G36" s="31">
        <v>25</v>
      </c>
      <c r="H36" s="31">
        <v>25</v>
      </c>
      <c r="I36" s="31">
        <v>20</v>
      </c>
      <c r="J36" s="30"/>
      <c r="K36" s="30"/>
      <c r="L36" s="30"/>
      <c r="M36" s="30"/>
      <c r="N36" s="30"/>
      <c r="O36" s="30"/>
      <c r="P36" s="30"/>
      <c r="S36" s="11">
        <f t="shared" si="5"/>
        <v>100</v>
      </c>
    </row>
    <row r="37" spans="1:19" x14ac:dyDescent="0.2">
      <c r="A37" s="28" t="str">
        <f t="shared" si="4"/>
        <v>5|10</v>
      </c>
      <c r="B37" s="29" t="s">
        <v>473</v>
      </c>
      <c r="C37" s="24" t="s">
        <v>462</v>
      </c>
      <c r="D37" s="25"/>
      <c r="E37" s="31">
        <v>25</v>
      </c>
      <c r="F37" s="31">
        <v>30</v>
      </c>
      <c r="G37" s="31">
        <v>30</v>
      </c>
      <c r="H37" s="31">
        <v>15</v>
      </c>
      <c r="I37" s="31"/>
      <c r="J37" s="30"/>
      <c r="K37" s="30"/>
      <c r="L37" s="30"/>
      <c r="M37" s="30"/>
      <c r="N37" s="30"/>
      <c r="O37" s="30"/>
      <c r="P37" s="30"/>
      <c r="S37" s="11">
        <f t="shared" si="5"/>
        <v>100</v>
      </c>
    </row>
    <row r="38" spans="1:19" x14ac:dyDescent="0.2">
      <c r="A38" s="28" t="str">
        <f t="shared" si="4"/>
        <v>5|11</v>
      </c>
      <c r="B38" s="29" t="s">
        <v>595</v>
      </c>
      <c r="C38" s="24" t="s">
        <v>630</v>
      </c>
      <c r="D38" s="25"/>
      <c r="E38" s="31">
        <v>7</v>
      </c>
      <c r="F38" s="31">
        <v>21</v>
      </c>
      <c r="G38" s="31">
        <v>27</v>
      </c>
      <c r="H38" s="31">
        <v>28</v>
      </c>
      <c r="I38" s="31">
        <v>17</v>
      </c>
      <c r="J38" s="30"/>
      <c r="K38" s="30"/>
      <c r="L38" s="30"/>
      <c r="M38" s="30"/>
      <c r="N38" s="30"/>
      <c r="O38" s="30"/>
      <c r="P38" s="30"/>
      <c r="S38" s="11">
        <f t="shared" si="5"/>
        <v>100</v>
      </c>
    </row>
    <row r="39" spans="1:19" ht="5.45" customHeight="1" x14ac:dyDescent="0.2"/>
    <row r="40" spans="1:19" ht="13.5" thickBot="1" x14ac:dyDescent="0.25">
      <c r="A40" s="32" t="s">
        <v>80</v>
      </c>
      <c r="B40" s="33">
        <v>6</v>
      </c>
      <c r="C40" s="34"/>
      <c r="D40" s="35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</row>
    <row r="41" spans="1:19" ht="13.5" thickTop="1" x14ac:dyDescent="0.2">
      <c r="A41" s="36" t="str">
        <f>CONCATENATE($B$40,"|",B41)</f>
        <v>6|1</v>
      </c>
      <c r="B41" s="23">
        <v>1</v>
      </c>
      <c r="C41" s="24" t="s">
        <v>463</v>
      </c>
      <c r="D41" s="25">
        <v>1</v>
      </c>
      <c r="E41" s="26">
        <v>20</v>
      </c>
      <c r="F41" s="26">
        <v>30</v>
      </c>
      <c r="G41" s="26">
        <v>30</v>
      </c>
      <c r="H41" s="26">
        <v>20</v>
      </c>
      <c r="I41" s="26"/>
      <c r="J41" s="27"/>
      <c r="K41" s="27"/>
      <c r="L41" s="27"/>
      <c r="M41" s="27"/>
      <c r="N41" s="27"/>
      <c r="O41" s="27"/>
      <c r="P41" s="27"/>
      <c r="S41" s="11">
        <f>SUM(E41:P41)</f>
        <v>100</v>
      </c>
    </row>
    <row r="42" spans="1:19" x14ac:dyDescent="0.2">
      <c r="A42" s="28" t="str">
        <f>CONCATENATE($B$40,"|",B42)</f>
        <v>6|2</v>
      </c>
      <c r="B42" s="29" t="s">
        <v>189</v>
      </c>
      <c r="C42" s="24" t="s">
        <v>459</v>
      </c>
      <c r="D42" s="25">
        <v>2</v>
      </c>
      <c r="E42" s="26">
        <v>15</v>
      </c>
      <c r="F42" s="26">
        <v>25</v>
      </c>
      <c r="G42" s="26">
        <v>30</v>
      </c>
      <c r="H42" s="26">
        <v>25</v>
      </c>
      <c r="I42" s="26">
        <v>5</v>
      </c>
      <c r="J42" s="30"/>
      <c r="K42" s="30"/>
      <c r="L42" s="30"/>
      <c r="M42" s="30"/>
      <c r="N42" s="30"/>
      <c r="O42" s="30"/>
      <c r="P42" s="30"/>
      <c r="S42" s="11">
        <f t="shared" ref="S42:S51" si="6">SUM(E42:P42)</f>
        <v>100</v>
      </c>
    </row>
    <row r="43" spans="1:19" x14ac:dyDescent="0.2">
      <c r="A43" s="28" t="str">
        <f t="shared" ref="A43:A51" si="7">CONCATENATE($B$40,"|",B43)</f>
        <v>6|3</v>
      </c>
      <c r="B43" s="29" t="s">
        <v>207</v>
      </c>
      <c r="C43" s="24" t="s">
        <v>465</v>
      </c>
      <c r="D43" s="25">
        <v>3</v>
      </c>
      <c r="E43" s="31">
        <v>5</v>
      </c>
      <c r="F43" s="31">
        <v>20</v>
      </c>
      <c r="G43" s="31">
        <v>30</v>
      </c>
      <c r="H43" s="31">
        <v>25</v>
      </c>
      <c r="I43" s="31">
        <v>20</v>
      </c>
      <c r="J43" s="30"/>
      <c r="K43" s="30"/>
      <c r="L43" s="30"/>
      <c r="M43" s="30"/>
      <c r="N43" s="30"/>
      <c r="O43" s="30"/>
      <c r="P43" s="30"/>
      <c r="S43" s="11">
        <f t="shared" si="6"/>
        <v>100</v>
      </c>
    </row>
    <row r="44" spans="1:19" x14ac:dyDescent="0.2">
      <c r="A44" s="28" t="str">
        <f t="shared" si="7"/>
        <v>6|4</v>
      </c>
      <c r="B44" s="29" t="s">
        <v>225</v>
      </c>
      <c r="C44" s="24" t="s">
        <v>460</v>
      </c>
      <c r="D44" s="25">
        <v>4</v>
      </c>
      <c r="E44" s="31"/>
      <c r="F44" s="31">
        <v>5</v>
      </c>
      <c r="G44" s="31">
        <v>20</v>
      </c>
      <c r="H44" s="31">
        <v>30</v>
      </c>
      <c r="I44" s="31">
        <v>25</v>
      </c>
      <c r="J44" s="30">
        <v>20</v>
      </c>
      <c r="K44" s="30"/>
      <c r="L44" s="30"/>
      <c r="M44" s="30"/>
      <c r="N44" s="30"/>
      <c r="O44" s="30"/>
      <c r="P44" s="30"/>
      <c r="S44" s="11">
        <f t="shared" si="6"/>
        <v>100</v>
      </c>
    </row>
    <row r="45" spans="1:19" x14ac:dyDescent="0.2">
      <c r="A45" s="28" t="str">
        <f t="shared" si="7"/>
        <v>6|5</v>
      </c>
      <c r="B45" s="29" t="s">
        <v>188</v>
      </c>
      <c r="C45" s="24" t="s">
        <v>461</v>
      </c>
      <c r="D45" s="25">
        <v>5</v>
      </c>
      <c r="E45" s="31"/>
      <c r="F45" s="31">
        <v>15</v>
      </c>
      <c r="G45" s="31">
        <v>30</v>
      </c>
      <c r="H45" s="31">
        <v>30</v>
      </c>
      <c r="I45" s="31">
        <v>25</v>
      </c>
      <c r="J45" s="30"/>
      <c r="K45" s="30"/>
      <c r="L45" s="30"/>
      <c r="M45" s="30"/>
      <c r="N45" s="30"/>
      <c r="O45" s="30"/>
      <c r="P45" s="30"/>
      <c r="S45" s="11">
        <f t="shared" si="6"/>
        <v>100</v>
      </c>
    </row>
    <row r="46" spans="1:19" x14ac:dyDescent="0.2">
      <c r="A46" s="28" t="str">
        <f t="shared" si="7"/>
        <v>6|6</v>
      </c>
      <c r="B46" s="29" t="s">
        <v>227</v>
      </c>
      <c r="C46" s="24" t="s">
        <v>467</v>
      </c>
      <c r="D46" s="25">
        <v>3</v>
      </c>
      <c r="E46" s="31"/>
      <c r="F46" s="31">
        <v>5</v>
      </c>
      <c r="G46" s="31">
        <v>10</v>
      </c>
      <c r="H46" s="31">
        <v>30</v>
      </c>
      <c r="I46" s="31">
        <v>30</v>
      </c>
      <c r="J46" s="30">
        <v>25</v>
      </c>
      <c r="K46" s="30"/>
      <c r="L46" s="30"/>
      <c r="M46" s="30"/>
      <c r="N46" s="30"/>
      <c r="O46" s="30"/>
      <c r="P46" s="30"/>
      <c r="S46" s="11">
        <f t="shared" si="6"/>
        <v>100</v>
      </c>
    </row>
    <row r="47" spans="1:19" x14ac:dyDescent="0.2">
      <c r="A47" s="28" t="str">
        <f t="shared" si="7"/>
        <v>6|7</v>
      </c>
      <c r="B47" s="29" t="s">
        <v>452</v>
      </c>
      <c r="C47" s="24" t="s">
        <v>468</v>
      </c>
      <c r="D47" s="25">
        <v>5</v>
      </c>
      <c r="E47" s="31"/>
      <c r="F47" s="31"/>
      <c r="G47" s="31">
        <v>20</v>
      </c>
      <c r="H47" s="31">
        <v>20</v>
      </c>
      <c r="I47" s="31">
        <v>30</v>
      </c>
      <c r="J47" s="30">
        <v>30</v>
      </c>
      <c r="K47" s="30"/>
      <c r="L47" s="30"/>
      <c r="M47" s="30"/>
      <c r="N47" s="30"/>
      <c r="O47" s="30"/>
      <c r="P47" s="30"/>
      <c r="S47" s="11">
        <f t="shared" si="6"/>
        <v>100</v>
      </c>
    </row>
    <row r="48" spans="1:19" x14ac:dyDescent="0.2">
      <c r="A48" s="28" t="str">
        <f t="shared" si="7"/>
        <v>6|8</v>
      </c>
      <c r="B48" s="29" t="s">
        <v>321</v>
      </c>
      <c r="C48" s="24" t="s">
        <v>470</v>
      </c>
      <c r="D48" s="25">
        <v>6</v>
      </c>
      <c r="E48" s="31"/>
      <c r="F48" s="31"/>
      <c r="G48" s="31">
        <v>20</v>
      </c>
      <c r="H48" s="31">
        <v>30</v>
      </c>
      <c r="I48" s="31">
        <v>30</v>
      </c>
      <c r="J48" s="30">
        <v>20</v>
      </c>
      <c r="K48" s="30"/>
      <c r="L48" s="30"/>
      <c r="M48" s="30"/>
      <c r="N48" s="30"/>
      <c r="O48" s="30"/>
      <c r="P48" s="30"/>
      <c r="S48" s="11">
        <f t="shared" si="6"/>
        <v>100</v>
      </c>
    </row>
    <row r="49" spans="1:19" x14ac:dyDescent="0.2">
      <c r="A49" s="28" t="str">
        <f t="shared" si="7"/>
        <v>6|9</v>
      </c>
      <c r="B49" s="29" t="s">
        <v>471</v>
      </c>
      <c r="C49" s="24" t="s">
        <v>472</v>
      </c>
      <c r="D49" s="25">
        <v>6</v>
      </c>
      <c r="E49" s="31">
        <v>5</v>
      </c>
      <c r="F49" s="31">
        <v>15</v>
      </c>
      <c r="G49" s="31">
        <v>25</v>
      </c>
      <c r="H49" s="31">
        <v>25</v>
      </c>
      <c r="I49" s="31">
        <v>20</v>
      </c>
      <c r="J49" s="30">
        <v>10</v>
      </c>
      <c r="K49" s="30"/>
      <c r="L49" s="30"/>
      <c r="M49" s="30"/>
      <c r="N49" s="30"/>
      <c r="O49" s="30"/>
      <c r="P49" s="30"/>
      <c r="S49" s="11">
        <f t="shared" si="6"/>
        <v>100</v>
      </c>
    </row>
    <row r="50" spans="1:19" x14ac:dyDescent="0.2">
      <c r="A50" s="28" t="str">
        <f t="shared" si="7"/>
        <v>6|10</v>
      </c>
      <c r="B50" s="29" t="s">
        <v>473</v>
      </c>
      <c r="C50" s="24" t="s">
        <v>462</v>
      </c>
      <c r="D50" s="25"/>
      <c r="E50" s="31">
        <v>20</v>
      </c>
      <c r="F50" s="31">
        <v>30</v>
      </c>
      <c r="G50" s="31">
        <v>30</v>
      </c>
      <c r="H50" s="31">
        <v>15</v>
      </c>
      <c r="I50" s="31">
        <v>5</v>
      </c>
      <c r="J50" s="30"/>
      <c r="K50" s="30"/>
      <c r="L50" s="30"/>
      <c r="M50" s="30"/>
      <c r="N50" s="30"/>
      <c r="O50" s="30"/>
      <c r="P50" s="30"/>
      <c r="S50" s="11">
        <f t="shared" si="6"/>
        <v>100</v>
      </c>
    </row>
    <row r="51" spans="1:19" x14ac:dyDescent="0.2">
      <c r="A51" s="28" t="str">
        <f t="shared" si="7"/>
        <v>6|11</v>
      </c>
      <c r="B51" s="29" t="s">
        <v>595</v>
      </c>
      <c r="C51" s="24" t="s">
        <v>630</v>
      </c>
      <c r="D51" s="25"/>
      <c r="E51" s="31">
        <v>3</v>
      </c>
      <c r="F51" s="31">
        <v>12</v>
      </c>
      <c r="G51" s="31">
        <v>25</v>
      </c>
      <c r="H51" s="31">
        <v>28</v>
      </c>
      <c r="I51" s="31">
        <v>21</v>
      </c>
      <c r="J51" s="30">
        <v>11</v>
      </c>
      <c r="K51" s="30"/>
      <c r="L51" s="30"/>
      <c r="M51" s="30"/>
      <c r="N51" s="30"/>
      <c r="O51" s="30"/>
      <c r="P51" s="30"/>
      <c r="S51" s="11">
        <f t="shared" si="6"/>
        <v>100</v>
      </c>
    </row>
    <row r="52" spans="1:19" ht="5.45" customHeight="1" x14ac:dyDescent="0.2"/>
    <row r="53" spans="1:19" ht="13.5" thickBot="1" x14ac:dyDescent="0.25">
      <c r="A53" s="32" t="s">
        <v>80</v>
      </c>
      <c r="B53" s="33">
        <v>7</v>
      </c>
      <c r="C53" s="34"/>
      <c r="D53" s="35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</row>
    <row r="54" spans="1:19" ht="13.5" thickTop="1" x14ac:dyDescent="0.2">
      <c r="A54" s="36" t="str">
        <f>CONCATENATE($B$53,"|",B54)</f>
        <v>7|1</v>
      </c>
      <c r="B54" s="23">
        <v>1</v>
      </c>
      <c r="C54" s="24" t="s">
        <v>463</v>
      </c>
      <c r="D54" s="25">
        <v>1</v>
      </c>
      <c r="E54" s="26">
        <v>15</v>
      </c>
      <c r="F54" s="26">
        <v>30</v>
      </c>
      <c r="G54" s="26">
        <v>30</v>
      </c>
      <c r="H54" s="26">
        <v>20</v>
      </c>
      <c r="I54" s="26">
        <v>5</v>
      </c>
      <c r="J54" s="27"/>
      <c r="K54" s="27"/>
      <c r="L54" s="27"/>
      <c r="M54" s="27"/>
      <c r="N54" s="27"/>
      <c r="O54" s="27"/>
      <c r="P54" s="27"/>
      <c r="S54" s="11">
        <f>SUM(E54:P54)</f>
        <v>100</v>
      </c>
    </row>
    <row r="55" spans="1:19" x14ac:dyDescent="0.2">
      <c r="A55" s="28" t="str">
        <f>CONCATENATE($B$53,"|",B55)</f>
        <v>7|2</v>
      </c>
      <c r="B55" s="29" t="s">
        <v>189</v>
      </c>
      <c r="C55" s="24" t="s">
        <v>459</v>
      </c>
      <c r="D55" s="25">
        <v>2</v>
      </c>
      <c r="E55" s="26">
        <v>15</v>
      </c>
      <c r="F55" s="26">
        <v>20</v>
      </c>
      <c r="G55" s="26">
        <v>25</v>
      </c>
      <c r="H55" s="26">
        <v>25</v>
      </c>
      <c r="I55" s="26">
        <v>15</v>
      </c>
      <c r="J55" s="30"/>
      <c r="K55" s="30"/>
      <c r="L55" s="30"/>
      <c r="M55" s="30"/>
      <c r="N55" s="30"/>
      <c r="O55" s="30"/>
      <c r="P55" s="30"/>
      <c r="S55" s="11">
        <f t="shared" ref="S55:S64" si="8">SUM(E55:P55)</f>
        <v>100</v>
      </c>
    </row>
    <row r="56" spans="1:19" x14ac:dyDescent="0.2">
      <c r="A56" s="28" t="str">
        <f t="shared" ref="A56:A64" si="9">CONCATENATE($B$53,"|",B56)</f>
        <v>7|3</v>
      </c>
      <c r="B56" s="29" t="s">
        <v>207</v>
      </c>
      <c r="C56" s="24" t="s">
        <v>465</v>
      </c>
      <c r="D56" s="25">
        <v>3</v>
      </c>
      <c r="E56" s="31">
        <v>5</v>
      </c>
      <c r="F56" s="31">
        <v>15</v>
      </c>
      <c r="G56" s="31">
        <v>20</v>
      </c>
      <c r="H56" s="31">
        <v>25</v>
      </c>
      <c r="I56" s="31">
        <v>20</v>
      </c>
      <c r="J56" s="30">
        <v>15</v>
      </c>
      <c r="K56" s="30"/>
      <c r="L56" s="30"/>
      <c r="M56" s="30"/>
      <c r="N56" s="30"/>
      <c r="O56" s="30"/>
      <c r="P56" s="30"/>
      <c r="S56" s="11">
        <f t="shared" si="8"/>
        <v>100</v>
      </c>
    </row>
    <row r="57" spans="1:19" x14ac:dyDescent="0.2">
      <c r="A57" s="28" t="str">
        <f t="shared" si="9"/>
        <v>7|4</v>
      </c>
      <c r="B57" s="29" t="s">
        <v>225</v>
      </c>
      <c r="C57" s="24" t="s">
        <v>460</v>
      </c>
      <c r="D57" s="25">
        <v>4</v>
      </c>
      <c r="E57" s="31"/>
      <c r="F57" s="31"/>
      <c r="G57" s="31">
        <v>15</v>
      </c>
      <c r="H57" s="31">
        <v>25</v>
      </c>
      <c r="I57" s="31">
        <v>25</v>
      </c>
      <c r="J57" s="30">
        <v>25</v>
      </c>
      <c r="K57" s="30">
        <v>10</v>
      </c>
      <c r="L57" s="30"/>
      <c r="M57" s="30"/>
      <c r="N57" s="30"/>
      <c r="O57" s="30"/>
      <c r="P57" s="30"/>
      <c r="S57" s="11">
        <f t="shared" si="8"/>
        <v>100</v>
      </c>
    </row>
    <row r="58" spans="1:19" x14ac:dyDescent="0.2">
      <c r="A58" s="28" t="str">
        <f t="shared" si="9"/>
        <v>7|5</v>
      </c>
      <c r="B58" s="29" t="s">
        <v>188</v>
      </c>
      <c r="C58" s="24" t="s">
        <v>461</v>
      </c>
      <c r="D58" s="25">
        <v>5</v>
      </c>
      <c r="E58" s="31"/>
      <c r="F58" s="31">
        <v>10</v>
      </c>
      <c r="G58" s="31">
        <v>15</v>
      </c>
      <c r="H58" s="31">
        <v>30</v>
      </c>
      <c r="I58" s="31">
        <v>30</v>
      </c>
      <c r="J58" s="30">
        <v>15</v>
      </c>
      <c r="K58" s="30"/>
      <c r="L58" s="30"/>
      <c r="M58" s="30"/>
      <c r="N58" s="30"/>
      <c r="O58" s="30"/>
      <c r="P58" s="30"/>
      <c r="S58" s="11">
        <f t="shared" si="8"/>
        <v>100</v>
      </c>
    </row>
    <row r="59" spans="1:19" x14ac:dyDescent="0.2">
      <c r="A59" s="28" t="str">
        <f t="shared" si="9"/>
        <v>7|6</v>
      </c>
      <c r="B59" s="29" t="s">
        <v>227</v>
      </c>
      <c r="C59" s="24" t="s">
        <v>467</v>
      </c>
      <c r="D59" s="25">
        <v>3</v>
      </c>
      <c r="E59" s="31"/>
      <c r="F59" s="31">
        <v>5</v>
      </c>
      <c r="G59" s="31">
        <v>10</v>
      </c>
      <c r="H59" s="31">
        <v>25</v>
      </c>
      <c r="I59" s="31">
        <v>25</v>
      </c>
      <c r="J59" s="30">
        <v>20</v>
      </c>
      <c r="K59" s="30">
        <v>15</v>
      </c>
      <c r="L59" s="30"/>
      <c r="M59" s="30"/>
      <c r="N59" s="30"/>
      <c r="O59" s="30"/>
      <c r="P59" s="30"/>
      <c r="S59" s="11">
        <f t="shared" si="8"/>
        <v>100</v>
      </c>
    </row>
    <row r="60" spans="1:19" x14ac:dyDescent="0.2">
      <c r="A60" s="28" t="str">
        <f t="shared" si="9"/>
        <v>7|7</v>
      </c>
      <c r="B60" s="29" t="s">
        <v>452</v>
      </c>
      <c r="C60" s="24" t="s">
        <v>468</v>
      </c>
      <c r="D60" s="25">
        <v>5</v>
      </c>
      <c r="E60" s="31"/>
      <c r="F60" s="31"/>
      <c r="G60" s="31">
        <v>15</v>
      </c>
      <c r="H60" s="31">
        <v>15</v>
      </c>
      <c r="I60" s="31">
        <v>25</v>
      </c>
      <c r="J60" s="31">
        <v>25</v>
      </c>
      <c r="K60" s="30">
        <v>20</v>
      </c>
      <c r="L60" s="30"/>
      <c r="M60" s="30"/>
      <c r="N60" s="30"/>
      <c r="O60" s="30"/>
      <c r="P60" s="30"/>
      <c r="S60" s="11">
        <f t="shared" si="8"/>
        <v>100</v>
      </c>
    </row>
    <row r="61" spans="1:19" x14ac:dyDescent="0.2">
      <c r="A61" s="28" t="str">
        <f t="shared" si="9"/>
        <v>7|8</v>
      </c>
      <c r="B61" s="29" t="s">
        <v>321</v>
      </c>
      <c r="C61" s="24" t="s">
        <v>470</v>
      </c>
      <c r="D61" s="25">
        <v>6</v>
      </c>
      <c r="E61" s="31"/>
      <c r="F61" s="31"/>
      <c r="G61" s="31">
        <v>10</v>
      </c>
      <c r="H61" s="31">
        <v>20</v>
      </c>
      <c r="I61" s="31">
        <v>20</v>
      </c>
      <c r="J61" s="30">
        <v>30</v>
      </c>
      <c r="K61" s="30">
        <v>20</v>
      </c>
      <c r="L61" s="30"/>
      <c r="M61" s="30"/>
      <c r="N61" s="30"/>
      <c r="O61" s="30"/>
      <c r="P61" s="30"/>
      <c r="S61" s="11">
        <f t="shared" si="8"/>
        <v>100</v>
      </c>
    </row>
    <row r="62" spans="1:19" x14ac:dyDescent="0.2">
      <c r="A62" s="28" t="str">
        <f t="shared" si="9"/>
        <v>7|9</v>
      </c>
      <c r="B62" s="29" t="s">
        <v>471</v>
      </c>
      <c r="C62" s="24" t="s">
        <v>472</v>
      </c>
      <c r="D62" s="25">
        <v>6</v>
      </c>
      <c r="E62" s="31">
        <v>5</v>
      </c>
      <c r="F62" s="31">
        <v>10</v>
      </c>
      <c r="G62" s="31">
        <v>20</v>
      </c>
      <c r="H62" s="31">
        <v>20</v>
      </c>
      <c r="I62" s="31">
        <v>20</v>
      </c>
      <c r="J62" s="30">
        <v>15</v>
      </c>
      <c r="K62" s="30">
        <v>10</v>
      </c>
      <c r="L62" s="30"/>
      <c r="M62" s="30"/>
      <c r="N62" s="30"/>
      <c r="O62" s="30"/>
      <c r="P62" s="30"/>
      <c r="S62" s="11">
        <f t="shared" si="8"/>
        <v>100</v>
      </c>
    </row>
    <row r="63" spans="1:19" x14ac:dyDescent="0.2">
      <c r="A63" s="28" t="str">
        <f t="shared" si="9"/>
        <v>7|10</v>
      </c>
      <c r="B63" s="29" t="s">
        <v>473</v>
      </c>
      <c r="C63" s="24" t="s">
        <v>462</v>
      </c>
      <c r="D63" s="25"/>
      <c r="E63" s="31">
        <v>15</v>
      </c>
      <c r="F63" s="31">
        <v>25</v>
      </c>
      <c r="G63" s="31">
        <v>25</v>
      </c>
      <c r="H63" s="31">
        <v>20</v>
      </c>
      <c r="I63" s="31">
        <v>10</v>
      </c>
      <c r="J63" s="30">
        <v>5</v>
      </c>
      <c r="K63" s="30"/>
      <c r="L63" s="30"/>
      <c r="M63" s="30"/>
      <c r="N63" s="30"/>
      <c r="O63" s="30"/>
      <c r="P63" s="30"/>
      <c r="S63" s="11">
        <f t="shared" si="8"/>
        <v>100</v>
      </c>
    </row>
    <row r="64" spans="1:19" x14ac:dyDescent="0.2">
      <c r="A64" s="28" t="str">
        <f t="shared" si="9"/>
        <v>7|11</v>
      </c>
      <c r="B64" s="29" t="s">
        <v>595</v>
      </c>
      <c r="C64" s="24" t="s">
        <v>630</v>
      </c>
      <c r="D64" s="25"/>
      <c r="E64" s="31">
        <v>2</v>
      </c>
      <c r="F64" s="31">
        <v>8</v>
      </c>
      <c r="G64" s="31">
        <v>18</v>
      </c>
      <c r="H64" s="31">
        <v>20</v>
      </c>
      <c r="I64" s="31">
        <v>20</v>
      </c>
      <c r="J64" s="30">
        <v>20</v>
      </c>
      <c r="K64" s="30">
        <v>12</v>
      </c>
      <c r="L64" s="30"/>
      <c r="M64" s="30"/>
      <c r="N64" s="30"/>
      <c r="O64" s="30"/>
      <c r="P64" s="30"/>
      <c r="S64" s="11">
        <f t="shared" si="8"/>
        <v>100</v>
      </c>
    </row>
    <row r="65" spans="1:19" ht="5.45" customHeight="1" x14ac:dyDescent="0.2"/>
    <row r="66" spans="1:19" ht="13.5" thickBot="1" x14ac:dyDescent="0.25">
      <c r="A66" s="32" t="s">
        <v>80</v>
      </c>
      <c r="B66" s="33">
        <v>8</v>
      </c>
      <c r="C66" s="34"/>
      <c r="D66" s="35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9" ht="13.5" thickTop="1" x14ac:dyDescent="0.2">
      <c r="A67" s="36" t="str">
        <f>CONCATENATE($B$66,"|",B67)</f>
        <v>8|1</v>
      </c>
      <c r="B67" s="23">
        <v>1</v>
      </c>
      <c r="C67" s="24" t="s">
        <v>463</v>
      </c>
      <c r="D67" s="25">
        <v>1</v>
      </c>
      <c r="E67" s="26">
        <v>15</v>
      </c>
      <c r="F67" s="26">
        <v>20</v>
      </c>
      <c r="G67" s="26">
        <v>25</v>
      </c>
      <c r="H67" s="26">
        <v>25</v>
      </c>
      <c r="I67" s="26">
        <v>10</v>
      </c>
      <c r="J67" s="27">
        <v>5</v>
      </c>
      <c r="K67" s="27"/>
      <c r="L67" s="27"/>
      <c r="M67" s="27"/>
      <c r="N67" s="27"/>
      <c r="O67" s="27"/>
      <c r="P67" s="27"/>
      <c r="S67" s="11">
        <f>SUM(E67:P67)</f>
        <v>100</v>
      </c>
    </row>
    <row r="68" spans="1:19" x14ac:dyDescent="0.2">
      <c r="A68" s="28" t="str">
        <f>CONCATENATE($B$66,"|",B68)</f>
        <v>8|2</v>
      </c>
      <c r="B68" s="29" t="s">
        <v>189</v>
      </c>
      <c r="C68" s="24" t="s">
        <v>459</v>
      </c>
      <c r="D68" s="25">
        <v>2</v>
      </c>
      <c r="E68" s="26">
        <v>15</v>
      </c>
      <c r="F68" s="26">
        <v>20</v>
      </c>
      <c r="G68" s="26">
        <v>25</v>
      </c>
      <c r="H68" s="26">
        <v>25</v>
      </c>
      <c r="I68" s="26">
        <v>10</v>
      </c>
      <c r="J68" s="30">
        <v>5</v>
      </c>
      <c r="K68" s="30"/>
      <c r="L68" s="30"/>
      <c r="M68" s="30"/>
      <c r="N68" s="30"/>
      <c r="O68" s="30"/>
      <c r="P68" s="30"/>
      <c r="S68" s="11">
        <f t="shared" ref="S68:S77" si="10">SUM(E68:P68)</f>
        <v>100</v>
      </c>
    </row>
    <row r="69" spans="1:19" x14ac:dyDescent="0.2">
      <c r="A69" s="28" t="str">
        <f t="shared" ref="A69:A77" si="11">CONCATENATE($B$66,"|",B69)</f>
        <v>8|3</v>
      </c>
      <c r="B69" s="29" t="s">
        <v>207</v>
      </c>
      <c r="C69" s="24" t="s">
        <v>465</v>
      </c>
      <c r="D69" s="25">
        <v>3</v>
      </c>
      <c r="E69" s="31">
        <v>5</v>
      </c>
      <c r="F69" s="31">
        <v>10</v>
      </c>
      <c r="G69" s="31">
        <v>15</v>
      </c>
      <c r="H69" s="31">
        <v>20</v>
      </c>
      <c r="I69" s="31">
        <v>20</v>
      </c>
      <c r="J69" s="30">
        <v>20</v>
      </c>
      <c r="K69" s="30">
        <v>10</v>
      </c>
      <c r="L69" s="30"/>
      <c r="M69" s="30"/>
      <c r="N69" s="30"/>
      <c r="O69" s="30"/>
      <c r="P69" s="30"/>
      <c r="S69" s="11">
        <f t="shared" si="10"/>
        <v>100</v>
      </c>
    </row>
    <row r="70" spans="1:19" x14ac:dyDescent="0.2">
      <c r="A70" s="28" t="str">
        <f t="shared" si="11"/>
        <v>8|4</v>
      </c>
      <c r="B70" s="29" t="s">
        <v>225</v>
      </c>
      <c r="C70" s="24" t="s">
        <v>460</v>
      </c>
      <c r="D70" s="25">
        <v>4</v>
      </c>
      <c r="E70" s="31"/>
      <c r="F70" s="31"/>
      <c r="G70" s="31">
        <v>10</v>
      </c>
      <c r="H70" s="31">
        <v>25</v>
      </c>
      <c r="I70" s="31">
        <v>25</v>
      </c>
      <c r="J70" s="30">
        <v>20</v>
      </c>
      <c r="K70" s="30">
        <v>10</v>
      </c>
      <c r="L70" s="30">
        <v>10</v>
      </c>
      <c r="M70" s="30"/>
      <c r="N70" s="30"/>
      <c r="O70" s="30"/>
      <c r="P70" s="30"/>
      <c r="S70" s="11">
        <f t="shared" si="10"/>
        <v>100</v>
      </c>
    </row>
    <row r="71" spans="1:19" x14ac:dyDescent="0.2">
      <c r="A71" s="28" t="str">
        <f t="shared" si="11"/>
        <v>8|5</v>
      </c>
      <c r="B71" s="29" t="s">
        <v>188</v>
      </c>
      <c r="C71" s="24" t="s">
        <v>461</v>
      </c>
      <c r="D71" s="25">
        <v>5</v>
      </c>
      <c r="E71" s="31"/>
      <c r="F71" s="31">
        <v>5</v>
      </c>
      <c r="G71" s="31">
        <v>15</v>
      </c>
      <c r="H71" s="31">
        <v>25</v>
      </c>
      <c r="I71" s="31">
        <v>25</v>
      </c>
      <c r="J71" s="30">
        <v>15</v>
      </c>
      <c r="K71" s="30">
        <v>15</v>
      </c>
      <c r="L71" s="30"/>
      <c r="M71" s="30"/>
      <c r="N71" s="30"/>
      <c r="O71" s="30"/>
      <c r="P71" s="30"/>
      <c r="S71" s="11">
        <f t="shared" si="10"/>
        <v>100</v>
      </c>
    </row>
    <row r="72" spans="1:19" x14ac:dyDescent="0.2">
      <c r="A72" s="28" t="str">
        <f t="shared" si="11"/>
        <v>8|6</v>
      </c>
      <c r="B72" s="29" t="s">
        <v>227</v>
      </c>
      <c r="C72" s="24" t="s">
        <v>467</v>
      </c>
      <c r="D72" s="25">
        <v>3</v>
      </c>
      <c r="E72" s="31"/>
      <c r="F72" s="31"/>
      <c r="G72" s="31">
        <v>5</v>
      </c>
      <c r="H72" s="31">
        <v>20</v>
      </c>
      <c r="I72" s="31">
        <v>20</v>
      </c>
      <c r="J72" s="30">
        <v>25</v>
      </c>
      <c r="K72" s="30">
        <v>20</v>
      </c>
      <c r="L72" s="30">
        <v>10</v>
      </c>
      <c r="M72" s="30"/>
      <c r="N72" s="30"/>
      <c r="O72" s="30"/>
      <c r="P72" s="30"/>
      <c r="S72" s="11">
        <f t="shared" si="10"/>
        <v>100</v>
      </c>
    </row>
    <row r="73" spans="1:19" x14ac:dyDescent="0.2">
      <c r="A73" s="28" t="str">
        <f t="shared" si="11"/>
        <v>8|7</v>
      </c>
      <c r="B73" s="29" t="s">
        <v>452</v>
      </c>
      <c r="C73" s="24" t="s">
        <v>468</v>
      </c>
      <c r="D73" s="25">
        <v>5</v>
      </c>
      <c r="E73" s="31"/>
      <c r="F73" s="31"/>
      <c r="G73" s="31">
        <v>5</v>
      </c>
      <c r="H73" s="31">
        <v>15</v>
      </c>
      <c r="I73" s="31">
        <v>20</v>
      </c>
      <c r="J73" s="31">
        <v>25</v>
      </c>
      <c r="K73" s="31">
        <v>25</v>
      </c>
      <c r="L73" s="31">
        <v>10</v>
      </c>
      <c r="M73" s="30"/>
      <c r="N73" s="30"/>
      <c r="O73" s="30"/>
      <c r="P73" s="30"/>
      <c r="S73" s="11">
        <f t="shared" si="10"/>
        <v>100</v>
      </c>
    </row>
    <row r="74" spans="1:19" x14ac:dyDescent="0.2">
      <c r="A74" s="28" t="str">
        <f t="shared" si="11"/>
        <v>8|8</v>
      </c>
      <c r="B74" s="29" t="s">
        <v>321</v>
      </c>
      <c r="C74" s="24" t="s">
        <v>470</v>
      </c>
      <c r="D74" s="25">
        <v>6</v>
      </c>
      <c r="E74" s="31"/>
      <c r="F74" s="31"/>
      <c r="G74" s="31"/>
      <c r="H74" s="31">
        <v>20</v>
      </c>
      <c r="I74" s="31">
        <v>20</v>
      </c>
      <c r="J74" s="30">
        <v>30</v>
      </c>
      <c r="K74" s="30">
        <v>20</v>
      </c>
      <c r="L74" s="30">
        <v>10</v>
      </c>
      <c r="M74" s="30"/>
      <c r="N74" s="30"/>
      <c r="O74" s="30"/>
      <c r="P74" s="30"/>
      <c r="S74" s="11">
        <f t="shared" si="10"/>
        <v>100</v>
      </c>
    </row>
    <row r="75" spans="1:19" x14ac:dyDescent="0.2">
      <c r="A75" s="28" t="str">
        <f t="shared" si="11"/>
        <v>8|9</v>
      </c>
      <c r="B75" s="29" t="s">
        <v>471</v>
      </c>
      <c r="C75" s="24" t="s">
        <v>472</v>
      </c>
      <c r="D75" s="25">
        <v>6</v>
      </c>
      <c r="E75" s="31">
        <v>5</v>
      </c>
      <c r="F75" s="31">
        <v>5</v>
      </c>
      <c r="G75" s="31">
        <v>10</v>
      </c>
      <c r="H75" s="31">
        <v>15</v>
      </c>
      <c r="I75" s="31">
        <v>20</v>
      </c>
      <c r="J75" s="30">
        <v>20</v>
      </c>
      <c r="K75" s="30">
        <v>15</v>
      </c>
      <c r="L75" s="30">
        <v>10</v>
      </c>
      <c r="M75" s="30"/>
      <c r="N75" s="30"/>
      <c r="O75" s="30"/>
      <c r="P75" s="30"/>
      <c r="S75" s="11">
        <f t="shared" si="10"/>
        <v>100</v>
      </c>
    </row>
    <row r="76" spans="1:19" x14ac:dyDescent="0.2">
      <c r="A76" s="28" t="str">
        <f t="shared" si="11"/>
        <v>8|10</v>
      </c>
      <c r="B76" s="29" t="s">
        <v>473</v>
      </c>
      <c r="C76" s="24" t="s">
        <v>462</v>
      </c>
      <c r="D76" s="25"/>
      <c r="E76" s="31">
        <v>15</v>
      </c>
      <c r="F76" s="31">
        <v>20</v>
      </c>
      <c r="G76" s="31">
        <v>20</v>
      </c>
      <c r="H76" s="31">
        <v>20</v>
      </c>
      <c r="I76" s="31">
        <v>15</v>
      </c>
      <c r="J76" s="30">
        <v>10</v>
      </c>
      <c r="K76" s="30"/>
      <c r="L76" s="30"/>
      <c r="M76" s="30"/>
      <c r="N76" s="30"/>
      <c r="O76" s="30"/>
      <c r="P76" s="30"/>
      <c r="S76" s="11">
        <f t="shared" si="10"/>
        <v>100</v>
      </c>
    </row>
    <row r="77" spans="1:19" x14ac:dyDescent="0.2">
      <c r="A77" s="28" t="str">
        <f t="shared" si="11"/>
        <v>8|11</v>
      </c>
      <c r="B77" s="29" t="s">
        <v>595</v>
      </c>
      <c r="C77" s="24" t="s">
        <v>630</v>
      </c>
      <c r="D77" s="25"/>
      <c r="E77" s="31">
        <v>2</v>
      </c>
      <c r="F77" s="31">
        <v>2</v>
      </c>
      <c r="G77" s="31">
        <v>13</v>
      </c>
      <c r="H77" s="31">
        <v>15</v>
      </c>
      <c r="I77" s="31">
        <v>15</v>
      </c>
      <c r="J77" s="30">
        <v>22</v>
      </c>
      <c r="K77" s="30">
        <v>23</v>
      </c>
      <c r="L77" s="30">
        <v>8</v>
      </c>
      <c r="M77" s="30"/>
      <c r="N77" s="30"/>
      <c r="O77" s="30"/>
      <c r="P77" s="30"/>
      <c r="S77" s="11">
        <f t="shared" si="10"/>
        <v>100</v>
      </c>
    </row>
    <row r="78" spans="1:19" ht="5.45" customHeight="1" x14ac:dyDescent="0.2"/>
    <row r="79" spans="1:19" ht="13.5" thickBot="1" x14ac:dyDescent="0.25">
      <c r="A79" s="32" t="s">
        <v>80</v>
      </c>
      <c r="B79" s="33">
        <v>9</v>
      </c>
      <c r="C79" s="34"/>
      <c r="D79" s="35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1:19" ht="13.5" thickTop="1" x14ac:dyDescent="0.2">
      <c r="A80" s="36" t="str">
        <f>CONCATENATE($B$79,"|",B80)</f>
        <v>9|1</v>
      </c>
      <c r="B80" s="23">
        <v>1</v>
      </c>
      <c r="C80" s="24" t="s">
        <v>463</v>
      </c>
      <c r="D80" s="25">
        <v>1</v>
      </c>
      <c r="E80" s="26">
        <v>15</v>
      </c>
      <c r="F80" s="26">
        <v>15</v>
      </c>
      <c r="G80" s="26">
        <v>20</v>
      </c>
      <c r="H80" s="26">
        <v>20</v>
      </c>
      <c r="I80" s="26">
        <v>20</v>
      </c>
      <c r="J80" s="27">
        <v>10</v>
      </c>
      <c r="K80" s="27"/>
      <c r="L80" s="27"/>
      <c r="M80" s="27"/>
      <c r="N80" s="27"/>
      <c r="O80" s="27"/>
      <c r="P80" s="27"/>
      <c r="S80" s="11">
        <f>SUM(E80:P80)</f>
        <v>100</v>
      </c>
    </row>
    <row r="81" spans="1:19" x14ac:dyDescent="0.2">
      <c r="A81" s="28" t="str">
        <f>CONCATENATE($B$79,"|",B81)</f>
        <v>9|2</v>
      </c>
      <c r="B81" s="29" t="s">
        <v>189</v>
      </c>
      <c r="C81" s="24" t="s">
        <v>459</v>
      </c>
      <c r="D81" s="25">
        <v>2</v>
      </c>
      <c r="E81" s="26">
        <v>10</v>
      </c>
      <c r="F81" s="26">
        <v>15</v>
      </c>
      <c r="G81" s="26">
        <v>20</v>
      </c>
      <c r="H81" s="26">
        <v>20</v>
      </c>
      <c r="I81" s="26">
        <v>15</v>
      </c>
      <c r="J81" s="30">
        <v>15</v>
      </c>
      <c r="K81" s="30">
        <v>5</v>
      </c>
      <c r="L81" s="30"/>
      <c r="M81" s="30"/>
      <c r="N81" s="30"/>
      <c r="O81" s="30"/>
      <c r="P81" s="30"/>
      <c r="S81" s="11">
        <f t="shared" ref="S81:S90" si="12">SUM(E81:P81)</f>
        <v>100</v>
      </c>
    </row>
    <row r="82" spans="1:19" x14ac:dyDescent="0.2">
      <c r="A82" s="28" t="str">
        <f t="shared" ref="A82:A90" si="13">CONCATENATE($B$79,"|",B82)</f>
        <v>9|3</v>
      </c>
      <c r="B82" s="29" t="s">
        <v>207</v>
      </c>
      <c r="C82" s="24" t="s">
        <v>465</v>
      </c>
      <c r="D82" s="25">
        <v>3</v>
      </c>
      <c r="E82" s="31">
        <v>5</v>
      </c>
      <c r="F82" s="31">
        <v>10</v>
      </c>
      <c r="G82" s="31">
        <v>15</v>
      </c>
      <c r="H82" s="31">
        <v>20</v>
      </c>
      <c r="I82" s="31">
        <v>20</v>
      </c>
      <c r="J82" s="30">
        <v>10</v>
      </c>
      <c r="K82" s="30">
        <v>10</v>
      </c>
      <c r="L82" s="30">
        <v>10</v>
      </c>
      <c r="M82" s="30"/>
      <c r="N82" s="30"/>
      <c r="O82" s="30"/>
      <c r="P82" s="30"/>
      <c r="S82" s="11">
        <f t="shared" si="12"/>
        <v>100</v>
      </c>
    </row>
    <row r="83" spans="1:19" x14ac:dyDescent="0.2">
      <c r="A83" s="28" t="str">
        <f t="shared" si="13"/>
        <v>9|4</v>
      </c>
      <c r="B83" s="29" t="s">
        <v>225</v>
      </c>
      <c r="C83" s="24" t="s">
        <v>460</v>
      </c>
      <c r="D83" s="25">
        <v>4</v>
      </c>
      <c r="E83" s="31"/>
      <c r="F83" s="31"/>
      <c r="G83" s="31">
        <v>5</v>
      </c>
      <c r="H83" s="31">
        <v>15</v>
      </c>
      <c r="I83" s="31">
        <v>20</v>
      </c>
      <c r="J83" s="30">
        <v>20</v>
      </c>
      <c r="K83" s="30">
        <v>20</v>
      </c>
      <c r="L83" s="30">
        <v>15</v>
      </c>
      <c r="M83" s="30">
        <v>5</v>
      </c>
      <c r="N83" s="30"/>
      <c r="O83" s="30"/>
      <c r="P83" s="30"/>
      <c r="S83" s="11">
        <f t="shared" si="12"/>
        <v>100</v>
      </c>
    </row>
    <row r="84" spans="1:19" x14ac:dyDescent="0.2">
      <c r="A84" s="28" t="str">
        <f t="shared" si="13"/>
        <v>9|5</v>
      </c>
      <c r="B84" s="29" t="s">
        <v>188</v>
      </c>
      <c r="C84" s="24" t="s">
        <v>461</v>
      </c>
      <c r="D84" s="25">
        <v>5</v>
      </c>
      <c r="E84" s="31"/>
      <c r="F84" s="31">
        <v>5</v>
      </c>
      <c r="G84" s="31">
        <v>10</v>
      </c>
      <c r="H84" s="31">
        <v>15</v>
      </c>
      <c r="I84" s="31">
        <v>20</v>
      </c>
      <c r="J84" s="30">
        <v>20</v>
      </c>
      <c r="K84" s="30">
        <v>20</v>
      </c>
      <c r="L84" s="30">
        <v>10</v>
      </c>
      <c r="M84" s="30"/>
      <c r="N84" s="30"/>
      <c r="O84" s="30"/>
      <c r="P84" s="30"/>
      <c r="S84" s="11">
        <f t="shared" si="12"/>
        <v>100</v>
      </c>
    </row>
    <row r="85" spans="1:19" x14ac:dyDescent="0.2">
      <c r="A85" s="28" t="str">
        <f t="shared" si="13"/>
        <v>9|6</v>
      </c>
      <c r="B85" s="29" t="s">
        <v>227</v>
      </c>
      <c r="C85" s="24" t="s">
        <v>467</v>
      </c>
      <c r="D85" s="25">
        <v>3</v>
      </c>
      <c r="E85" s="31"/>
      <c r="F85" s="31"/>
      <c r="G85" s="31">
        <v>5</v>
      </c>
      <c r="H85" s="31">
        <v>10</v>
      </c>
      <c r="I85" s="31">
        <v>20</v>
      </c>
      <c r="J85" s="30">
        <v>20</v>
      </c>
      <c r="K85" s="30">
        <v>20</v>
      </c>
      <c r="L85" s="30">
        <v>15</v>
      </c>
      <c r="M85" s="30">
        <v>10</v>
      </c>
      <c r="N85" s="30"/>
      <c r="O85" s="30"/>
      <c r="P85" s="30"/>
      <c r="S85" s="11">
        <f t="shared" si="12"/>
        <v>100</v>
      </c>
    </row>
    <row r="86" spans="1:19" x14ac:dyDescent="0.2">
      <c r="A86" s="28" t="str">
        <f t="shared" si="13"/>
        <v>9|7</v>
      </c>
      <c r="B86" s="29" t="s">
        <v>452</v>
      </c>
      <c r="C86" s="24" t="s">
        <v>468</v>
      </c>
      <c r="D86" s="25">
        <v>5</v>
      </c>
      <c r="E86" s="31"/>
      <c r="F86" s="31"/>
      <c r="G86" s="31"/>
      <c r="H86" s="31">
        <v>15</v>
      </c>
      <c r="I86" s="31">
        <v>15</v>
      </c>
      <c r="J86" s="30">
        <v>15</v>
      </c>
      <c r="K86" s="30">
        <v>20</v>
      </c>
      <c r="L86" s="30">
        <v>20</v>
      </c>
      <c r="M86" s="30">
        <v>15</v>
      </c>
      <c r="N86" s="30"/>
      <c r="O86" s="30"/>
      <c r="P86" s="30"/>
      <c r="S86" s="11">
        <f t="shared" si="12"/>
        <v>100</v>
      </c>
    </row>
    <row r="87" spans="1:19" x14ac:dyDescent="0.2">
      <c r="A87" s="28" t="str">
        <f t="shared" si="13"/>
        <v>9|8</v>
      </c>
      <c r="B87" s="29" t="s">
        <v>321</v>
      </c>
      <c r="C87" s="24" t="s">
        <v>470</v>
      </c>
      <c r="D87" s="25">
        <v>6</v>
      </c>
      <c r="E87" s="31"/>
      <c r="F87" s="31"/>
      <c r="G87" s="31"/>
      <c r="H87" s="31">
        <v>10</v>
      </c>
      <c r="I87" s="31">
        <v>20</v>
      </c>
      <c r="J87" s="30">
        <v>30</v>
      </c>
      <c r="K87" s="30">
        <v>20</v>
      </c>
      <c r="L87" s="30">
        <v>10</v>
      </c>
      <c r="M87" s="30">
        <v>10</v>
      </c>
      <c r="N87" s="30"/>
      <c r="O87" s="30"/>
      <c r="P87" s="30"/>
      <c r="S87" s="11">
        <f t="shared" si="12"/>
        <v>100</v>
      </c>
    </row>
    <row r="88" spans="1:19" x14ac:dyDescent="0.2">
      <c r="A88" s="28" t="str">
        <f t="shared" si="13"/>
        <v>9|9</v>
      </c>
      <c r="B88" s="29" t="s">
        <v>471</v>
      </c>
      <c r="C88" s="24" t="s">
        <v>472</v>
      </c>
      <c r="D88" s="25">
        <v>6</v>
      </c>
      <c r="E88" s="31">
        <v>5</v>
      </c>
      <c r="F88" s="31">
        <v>5</v>
      </c>
      <c r="G88" s="31">
        <v>10</v>
      </c>
      <c r="H88" s="31">
        <v>15</v>
      </c>
      <c r="I88" s="31">
        <v>20</v>
      </c>
      <c r="J88" s="30">
        <v>15</v>
      </c>
      <c r="K88" s="30">
        <v>15</v>
      </c>
      <c r="L88" s="30">
        <v>15</v>
      </c>
      <c r="M88" s="30"/>
      <c r="N88" s="30"/>
      <c r="O88" s="30"/>
      <c r="P88" s="30"/>
      <c r="S88" s="11">
        <f t="shared" si="12"/>
        <v>100</v>
      </c>
    </row>
    <row r="89" spans="1:19" x14ac:dyDescent="0.2">
      <c r="A89" s="28" t="str">
        <f t="shared" si="13"/>
        <v>9|10</v>
      </c>
      <c r="B89" s="29" t="s">
        <v>473</v>
      </c>
      <c r="C89" s="24" t="s">
        <v>462</v>
      </c>
      <c r="D89" s="25"/>
      <c r="E89" s="31">
        <v>10</v>
      </c>
      <c r="F89" s="31">
        <v>15</v>
      </c>
      <c r="G89" s="31">
        <v>20</v>
      </c>
      <c r="H89" s="31">
        <v>20</v>
      </c>
      <c r="I89" s="31">
        <v>20</v>
      </c>
      <c r="J89" s="30">
        <v>10</v>
      </c>
      <c r="K89" s="30">
        <v>5</v>
      </c>
      <c r="L89" s="30"/>
      <c r="M89" s="30"/>
      <c r="N89" s="30"/>
      <c r="O89" s="30"/>
      <c r="P89" s="30"/>
      <c r="S89" s="11">
        <f t="shared" si="12"/>
        <v>100</v>
      </c>
    </row>
    <row r="90" spans="1:19" x14ac:dyDescent="0.2">
      <c r="A90" s="28" t="str">
        <f t="shared" si="13"/>
        <v>9|11</v>
      </c>
      <c r="B90" s="29" t="s">
        <v>595</v>
      </c>
      <c r="C90" s="24" t="s">
        <v>630</v>
      </c>
      <c r="D90" s="25"/>
      <c r="E90" s="31">
        <v>3</v>
      </c>
      <c r="F90" s="31">
        <v>5</v>
      </c>
      <c r="G90" s="31">
        <v>11</v>
      </c>
      <c r="H90" s="31">
        <v>15</v>
      </c>
      <c r="I90" s="31">
        <v>20</v>
      </c>
      <c r="J90" s="30">
        <v>16</v>
      </c>
      <c r="K90" s="30">
        <v>14</v>
      </c>
      <c r="L90" s="30">
        <v>10</v>
      </c>
      <c r="M90" s="30">
        <v>6</v>
      </c>
      <c r="N90" s="30"/>
      <c r="O90" s="30"/>
      <c r="P90" s="30"/>
      <c r="S90" s="11">
        <f t="shared" si="12"/>
        <v>100</v>
      </c>
    </row>
    <row r="91" spans="1:19" ht="5.45" customHeight="1" x14ac:dyDescent="0.2"/>
    <row r="92" spans="1:19" ht="13.5" thickBot="1" x14ac:dyDescent="0.25">
      <c r="A92" s="32" t="s">
        <v>80</v>
      </c>
      <c r="B92" s="33">
        <v>10</v>
      </c>
      <c r="C92" s="34"/>
      <c r="D92" s="35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1:19" ht="13.5" thickTop="1" x14ac:dyDescent="0.2">
      <c r="A93" s="36" t="str">
        <f>CONCATENATE($B$92,"|",B93)</f>
        <v>10|1</v>
      </c>
      <c r="B93" s="23">
        <v>1</v>
      </c>
      <c r="C93" s="24" t="s">
        <v>463</v>
      </c>
      <c r="D93" s="25">
        <v>1</v>
      </c>
      <c r="E93" s="26">
        <v>20</v>
      </c>
      <c r="F93" s="26">
        <v>20</v>
      </c>
      <c r="G93" s="26">
        <v>20</v>
      </c>
      <c r="H93" s="26">
        <v>10</v>
      </c>
      <c r="I93" s="26">
        <v>10</v>
      </c>
      <c r="J93" s="27">
        <v>10</v>
      </c>
      <c r="K93" s="27">
        <v>10</v>
      </c>
      <c r="L93" s="27"/>
      <c r="M93" s="27"/>
      <c r="N93" s="27"/>
      <c r="O93" s="27"/>
      <c r="P93" s="27"/>
      <c r="S93" s="11">
        <f>SUM(E93:P93)</f>
        <v>100</v>
      </c>
    </row>
    <row r="94" spans="1:19" x14ac:dyDescent="0.2">
      <c r="A94" s="28" t="str">
        <f>CONCATENATE($B$92,"|",B94)</f>
        <v>10|2</v>
      </c>
      <c r="B94" s="29" t="s">
        <v>189</v>
      </c>
      <c r="C94" s="24" t="s">
        <v>459</v>
      </c>
      <c r="D94" s="25">
        <v>2</v>
      </c>
      <c r="E94" s="26">
        <v>5</v>
      </c>
      <c r="F94" s="26">
        <v>10</v>
      </c>
      <c r="G94" s="26">
        <v>15</v>
      </c>
      <c r="H94" s="26">
        <v>20</v>
      </c>
      <c r="I94" s="26">
        <v>20</v>
      </c>
      <c r="J94" s="30">
        <v>15</v>
      </c>
      <c r="K94" s="30">
        <v>10</v>
      </c>
      <c r="L94" s="30">
        <v>5</v>
      </c>
      <c r="M94" s="30"/>
      <c r="N94" s="30"/>
      <c r="O94" s="30"/>
      <c r="P94" s="30"/>
      <c r="S94" s="11">
        <f t="shared" ref="S94:S103" si="14">SUM(E94:P94)</f>
        <v>100</v>
      </c>
    </row>
    <row r="95" spans="1:19" x14ac:dyDescent="0.2">
      <c r="A95" s="28" t="str">
        <f t="shared" ref="A95:A103" si="15">CONCATENATE($B$92,"|",B95)</f>
        <v>10|3</v>
      </c>
      <c r="B95" s="29" t="s">
        <v>207</v>
      </c>
      <c r="C95" s="24" t="s">
        <v>465</v>
      </c>
      <c r="D95" s="25">
        <v>3</v>
      </c>
      <c r="E95" s="31"/>
      <c r="F95" s="31">
        <v>5</v>
      </c>
      <c r="G95" s="31">
        <v>10</v>
      </c>
      <c r="H95" s="31">
        <v>15</v>
      </c>
      <c r="I95" s="31">
        <v>15</v>
      </c>
      <c r="J95" s="30">
        <v>15</v>
      </c>
      <c r="K95" s="30">
        <v>15</v>
      </c>
      <c r="L95" s="30">
        <v>15</v>
      </c>
      <c r="M95" s="30">
        <v>10</v>
      </c>
      <c r="N95" s="30"/>
      <c r="O95" s="30"/>
      <c r="P95" s="30"/>
      <c r="S95" s="11">
        <f t="shared" si="14"/>
        <v>100</v>
      </c>
    </row>
    <row r="96" spans="1:19" x14ac:dyDescent="0.2">
      <c r="A96" s="28" t="str">
        <f t="shared" si="15"/>
        <v>10|4</v>
      </c>
      <c r="B96" s="29" t="s">
        <v>225</v>
      </c>
      <c r="C96" s="24" t="s">
        <v>460</v>
      </c>
      <c r="D96" s="25">
        <v>4</v>
      </c>
      <c r="E96" s="31"/>
      <c r="F96" s="31"/>
      <c r="G96" s="31">
        <v>5</v>
      </c>
      <c r="H96" s="31">
        <v>5</v>
      </c>
      <c r="I96" s="31">
        <v>15</v>
      </c>
      <c r="J96" s="30">
        <v>20</v>
      </c>
      <c r="K96" s="30">
        <v>20</v>
      </c>
      <c r="L96" s="30">
        <v>15</v>
      </c>
      <c r="M96" s="30">
        <v>10</v>
      </c>
      <c r="N96" s="30">
        <v>10</v>
      </c>
      <c r="O96" s="30"/>
      <c r="P96" s="30"/>
      <c r="S96" s="11">
        <f t="shared" si="14"/>
        <v>100</v>
      </c>
    </row>
    <row r="97" spans="1:19" x14ac:dyDescent="0.2">
      <c r="A97" s="28" t="str">
        <f t="shared" si="15"/>
        <v>10|5</v>
      </c>
      <c r="B97" s="29" t="s">
        <v>188</v>
      </c>
      <c r="C97" s="24" t="s">
        <v>461</v>
      </c>
      <c r="D97" s="25">
        <v>5</v>
      </c>
      <c r="E97" s="31"/>
      <c r="F97" s="31"/>
      <c r="G97" s="31">
        <v>10</v>
      </c>
      <c r="H97" s="31">
        <v>10</v>
      </c>
      <c r="I97" s="31">
        <v>10</v>
      </c>
      <c r="J97" s="30">
        <v>20</v>
      </c>
      <c r="K97" s="30">
        <v>20</v>
      </c>
      <c r="L97" s="30">
        <v>20</v>
      </c>
      <c r="M97" s="30">
        <v>10</v>
      </c>
      <c r="N97" s="30"/>
      <c r="O97" s="30"/>
      <c r="P97" s="30"/>
      <c r="S97" s="11">
        <f t="shared" si="14"/>
        <v>100</v>
      </c>
    </row>
    <row r="98" spans="1:19" x14ac:dyDescent="0.2">
      <c r="A98" s="28" t="str">
        <f t="shared" si="15"/>
        <v>10|6</v>
      </c>
      <c r="B98" s="29" t="s">
        <v>227</v>
      </c>
      <c r="C98" s="24" t="s">
        <v>467</v>
      </c>
      <c r="D98" s="25">
        <v>3</v>
      </c>
      <c r="E98" s="31"/>
      <c r="F98" s="31"/>
      <c r="G98" s="31"/>
      <c r="H98" s="31">
        <v>5</v>
      </c>
      <c r="I98" s="31">
        <v>10</v>
      </c>
      <c r="J98" s="31">
        <v>15</v>
      </c>
      <c r="K98" s="30">
        <v>20</v>
      </c>
      <c r="L98" s="30">
        <v>20</v>
      </c>
      <c r="M98" s="30">
        <v>15</v>
      </c>
      <c r="N98" s="30">
        <v>15</v>
      </c>
      <c r="O98" s="30"/>
      <c r="P98" s="30"/>
      <c r="S98" s="11">
        <f t="shared" si="14"/>
        <v>100</v>
      </c>
    </row>
    <row r="99" spans="1:19" x14ac:dyDescent="0.2">
      <c r="A99" s="28" t="str">
        <f t="shared" si="15"/>
        <v>10|7</v>
      </c>
      <c r="B99" s="29" t="s">
        <v>452</v>
      </c>
      <c r="C99" s="24" t="s">
        <v>468</v>
      </c>
      <c r="D99" s="25">
        <v>5</v>
      </c>
      <c r="E99" s="31"/>
      <c r="F99" s="31"/>
      <c r="G99" s="31"/>
      <c r="H99" s="31">
        <v>15</v>
      </c>
      <c r="I99" s="31">
        <v>15</v>
      </c>
      <c r="J99" s="30">
        <v>15</v>
      </c>
      <c r="K99" s="30">
        <v>20</v>
      </c>
      <c r="L99" s="30">
        <v>15</v>
      </c>
      <c r="M99" s="30">
        <v>10</v>
      </c>
      <c r="N99" s="30">
        <v>10</v>
      </c>
      <c r="O99" s="30"/>
      <c r="P99" s="30"/>
      <c r="S99" s="11">
        <f t="shared" si="14"/>
        <v>100</v>
      </c>
    </row>
    <row r="100" spans="1:19" x14ac:dyDescent="0.2">
      <c r="A100" s="28" t="str">
        <f t="shared" si="15"/>
        <v>10|8</v>
      </c>
      <c r="B100" s="29" t="s">
        <v>321</v>
      </c>
      <c r="C100" s="24" t="s">
        <v>470</v>
      </c>
      <c r="D100" s="25">
        <v>6</v>
      </c>
      <c r="E100" s="31"/>
      <c r="F100" s="31"/>
      <c r="G100" s="31"/>
      <c r="H100" s="31">
        <v>10</v>
      </c>
      <c r="I100" s="31">
        <v>20</v>
      </c>
      <c r="J100" s="30">
        <v>20</v>
      </c>
      <c r="K100" s="30">
        <v>20</v>
      </c>
      <c r="L100" s="30">
        <v>10</v>
      </c>
      <c r="M100" s="30">
        <v>10</v>
      </c>
      <c r="N100" s="30">
        <v>10</v>
      </c>
      <c r="O100" s="30"/>
      <c r="P100" s="30"/>
      <c r="S100" s="11">
        <f t="shared" si="14"/>
        <v>100</v>
      </c>
    </row>
    <row r="101" spans="1:19" x14ac:dyDescent="0.2">
      <c r="A101" s="28" t="str">
        <f t="shared" si="15"/>
        <v>10|9</v>
      </c>
      <c r="B101" s="29" t="s">
        <v>471</v>
      </c>
      <c r="C101" s="24" t="s">
        <v>472</v>
      </c>
      <c r="D101" s="25">
        <v>6</v>
      </c>
      <c r="E101" s="31">
        <v>5</v>
      </c>
      <c r="F101" s="31">
        <v>5</v>
      </c>
      <c r="G101" s="31">
        <v>10</v>
      </c>
      <c r="H101" s="31">
        <v>10</v>
      </c>
      <c r="I101" s="31">
        <v>10</v>
      </c>
      <c r="J101" s="30">
        <v>15</v>
      </c>
      <c r="K101" s="30">
        <v>15</v>
      </c>
      <c r="L101" s="30">
        <v>10</v>
      </c>
      <c r="M101" s="30">
        <v>10</v>
      </c>
      <c r="N101" s="30">
        <v>10</v>
      </c>
      <c r="O101" s="30"/>
      <c r="P101" s="30"/>
      <c r="S101" s="11">
        <f t="shared" si="14"/>
        <v>100</v>
      </c>
    </row>
    <row r="102" spans="1:19" x14ac:dyDescent="0.2">
      <c r="A102" s="28" t="str">
        <f t="shared" si="15"/>
        <v>10|10</v>
      </c>
      <c r="B102" s="29" t="s">
        <v>473</v>
      </c>
      <c r="C102" s="24" t="s">
        <v>462</v>
      </c>
      <c r="D102" s="25"/>
      <c r="E102" s="31">
        <v>10</v>
      </c>
      <c r="F102" s="31">
        <v>15</v>
      </c>
      <c r="G102" s="31">
        <v>15</v>
      </c>
      <c r="H102" s="31">
        <v>15</v>
      </c>
      <c r="I102" s="31">
        <v>15</v>
      </c>
      <c r="J102" s="30">
        <v>15</v>
      </c>
      <c r="K102" s="30">
        <v>10</v>
      </c>
      <c r="L102" s="30">
        <v>5</v>
      </c>
      <c r="M102" s="30"/>
      <c r="N102" s="30"/>
      <c r="O102" s="30"/>
      <c r="P102" s="30"/>
      <c r="S102" s="11">
        <f t="shared" si="14"/>
        <v>100</v>
      </c>
    </row>
    <row r="103" spans="1:19" x14ac:dyDescent="0.2">
      <c r="A103" s="28" t="str">
        <f t="shared" si="15"/>
        <v>10|11</v>
      </c>
      <c r="B103" s="29" t="s">
        <v>595</v>
      </c>
      <c r="C103" s="24" t="s">
        <v>630</v>
      </c>
      <c r="D103" s="25"/>
      <c r="E103" s="31">
        <v>2</v>
      </c>
      <c r="F103" s="31">
        <v>2</v>
      </c>
      <c r="G103" s="31">
        <v>14</v>
      </c>
      <c r="H103" s="31">
        <v>14</v>
      </c>
      <c r="I103" s="31">
        <v>15</v>
      </c>
      <c r="J103" s="30">
        <v>15</v>
      </c>
      <c r="K103" s="30">
        <v>15</v>
      </c>
      <c r="L103" s="30">
        <v>15</v>
      </c>
      <c r="M103" s="30">
        <v>5</v>
      </c>
      <c r="N103" s="30">
        <v>3</v>
      </c>
      <c r="O103" s="30"/>
      <c r="P103" s="30"/>
      <c r="S103" s="11">
        <f t="shared" si="14"/>
        <v>100</v>
      </c>
    </row>
    <row r="104" spans="1:19" ht="5.45" customHeight="1" x14ac:dyDescent="0.2"/>
    <row r="105" spans="1:19" ht="13.5" thickBot="1" x14ac:dyDescent="0.25">
      <c r="A105" s="32" t="s">
        <v>80</v>
      </c>
      <c r="B105" s="33">
        <v>11</v>
      </c>
      <c r="C105" s="34"/>
      <c r="D105" s="35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</row>
    <row r="106" spans="1:19" ht="13.5" thickTop="1" x14ac:dyDescent="0.2">
      <c r="A106" s="36" t="str">
        <f>CONCATENATE($B$105,"|",B106)</f>
        <v>11|1</v>
      </c>
      <c r="B106" s="23">
        <v>1</v>
      </c>
      <c r="C106" s="24" t="s">
        <v>463</v>
      </c>
      <c r="D106" s="25">
        <v>1</v>
      </c>
      <c r="E106" s="26">
        <v>10</v>
      </c>
      <c r="F106" s="26">
        <v>20</v>
      </c>
      <c r="G106" s="26">
        <v>20</v>
      </c>
      <c r="H106" s="26">
        <v>20</v>
      </c>
      <c r="I106" s="26">
        <v>10</v>
      </c>
      <c r="J106" s="27">
        <v>10</v>
      </c>
      <c r="K106" s="27">
        <v>10</v>
      </c>
      <c r="L106" s="27"/>
      <c r="M106" s="27"/>
      <c r="N106" s="27"/>
      <c r="O106" s="27"/>
      <c r="P106" s="27"/>
      <c r="S106" s="11">
        <f>SUM(E106:P106)</f>
        <v>100</v>
      </c>
    </row>
    <row r="107" spans="1:19" x14ac:dyDescent="0.2">
      <c r="A107" s="28" t="str">
        <f>CONCATENATE($B$105,"|",B107)</f>
        <v>11|2</v>
      </c>
      <c r="B107" s="29" t="s">
        <v>189</v>
      </c>
      <c r="C107" s="24" t="s">
        <v>459</v>
      </c>
      <c r="D107" s="25">
        <v>2</v>
      </c>
      <c r="E107" s="26">
        <v>5</v>
      </c>
      <c r="F107" s="26">
        <v>10</v>
      </c>
      <c r="G107" s="26">
        <v>10</v>
      </c>
      <c r="H107" s="26">
        <v>15</v>
      </c>
      <c r="I107" s="26">
        <v>15</v>
      </c>
      <c r="J107" s="30">
        <v>15</v>
      </c>
      <c r="K107" s="30">
        <v>15</v>
      </c>
      <c r="L107" s="30">
        <v>10</v>
      </c>
      <c r="M107" s="30">
        <v>5</v>
      </c>
      <c r="N107" s="30"/>
      <c r="O107" s="30"/>
      <c r="P107" s="30"/>
      <c r="S107" s="11">
        <f t="shared" ref="S107:S116" si="16">SUM(E107:P107)</f>
        <v>100</v>
      </c>
    </row>
    <row r="108" spans="1:19" x14ac:dyDescent="0.2">
      <c r="A108" s="28" t="str">
        <f t="shared" ref="A108:A116" si="17">CONCATENATE($B$105,"|",B108)</f>
        <v>11|3</v>
      </c>
      <c r="B108" s="29" t="s">
        <v>207</v>
      </c>
      <c r="C108" s="24" t="s">
        <v>465</v>
      </c>
      <c r="D108" s="25">
        <v>3</v>
      </c>
      <c r="E108" s="31"/>
      <c r="F108" s="31">
        <v>5</v>
      </c>
      <c r="G108" s="31">
        <v>10</v>
      </c>
      <c r="H108" s="31">
        <v>10</v>
      </c>
      <c r="I108" s="31">
        <v>15</v>
      </c>
      <c r="J108" s="30">
        <v>15</v>
      </c>
      <c r="K108" s="30">
        <v>15</v>
      </c>
      <c r="L108" s="30">
        <v>10</v>
      </c>
      <c r="M108" s="30">
        <v>10</v>
      </c>
      <c r="N108" s="30">
        <v>10</v>
      </c>
      <c r="O108" s="30"/>
      <c r="P108" s="30"/>
      <c r="S108" s="11">
        <f t="shared" si="16"/>
        <v>100</v>
      </c>
    </row>
    <row r="109" spans="1:19" x14ac:dyDescent="0.2">
      <c r="A109" s="28" t="str">
        <f t="shared" si="17"/>
        <v>11|4</v>
      </c>
      <c r="B109" s="29" t="s">
        <v>225</v>
      </c>
      <c r="C109" s="24" t="s">
        <v>460</v>
      </c>
      <c r="D109" s="25">
        <v>4</v>
      </c>
      <c r="E109" s="31"/>
      <c r="F109" s="31"/>
      <c r="G109" s="31">
        <v>5</v>
      </c>
      <c r="H109" s="31">
        <v>10</v>
      </c>
      <c r="I109" s="31">
        <v>10</v>
      </c>
      <c r="J109" s="30">
        <v>15</v>
      </c>
      <c r="K109" s="30">
        <v>15</v>
      </c>
      <c r="L109" s="30">
        <v>15</v>
      </c>
      <c r="M109" s="30">
        <v>10</v>
      </c>
      <c r="N109" s="30">
        <v>10</v>
      </c>
      <c r="O109" s="30">
        <v>10</v>
      </c>
      <c r="P109" s="30"/>
      <c r="S109" s="11">
        <f t="shared" si="16"/>
        <v>100</v>
      </c>
    </row>
    <row r="110" spans="1:19" x14ac:dyDescent="0.2">
      <c r="A110" s="28" t="str">
        <f t="shared" si="17"/>
        <v>11|5</v>
      </c>
      <c r="B110" s="29" t="s">
        <v>188</v>
      </c>
      <c r="C110" s="24" t="s">
        <v>461</v>
      </c>
      <c r="D110" s="25">
        <v>5</v>
      </c>
      <c r="E110" s="31"/>
      <c r="F110" s="31"/>
      <c r="G110" s="31">
        <v>10</v>
      </c>
      <c r="H110" s="31">
        <v>10</v>
      </c>
      <c r="I110" s="31">
        <v>10</v>
      </c>
      <c r="J110" s="30">
        <v>15</v>
      </c>
      <c r="K110" s="30">
        <v>15</v>
      </c>
      <c r="L110" s="30">
        <v>15</v>
      </c>
      <c r="M110" s="30">
        <v>15</v>
      </c>
      <c r="N110" s="30">
        <v>10</v>
      </c>
      <c r="O110" s="30"/>
      <c r="P110" s="30"/>
      <c r="S110" s="11">
        <f t="shared" si="16"/>
        <v>100</v>
      </c>
    </row>
    <row r="111" spans="1:19" x14ac:dyDescent="0.2">
      <c r="A111" s="28" t="str">
        <f t="shared" si="17"/>
        <v>11|6</v>
      </c>
      <c r="B111" s="29" t="s">
        <v>227</v>
      </c>
      <c r="C111" s="24" t="s">
        <v>467</v>
      </c>
      <c r="D111" s="25">
        <v>3</v>
      </c>
      <c r="E111" s="31"/>
      <c r="F111" s="31"/>
      <c r="G111" s="31"/>
      <c r="H111" s="31">
        <v>5</v>
      </c>
      <c r="I111" s="31">
        <v>10</v>
      </c>
      <c r="J111" s="31">
        <v>15</v>
      </c>
      <c r="K111" s="30">
        <v>15</v>
      </c>
      <c r="L111" s="30">
        <v>15</v>
      </c>
      <c r="M111" s="30">
        <v>15</v>
      </c>
      <c r="N111" s="30">
        <v>15</v>
      </c>
      <c r="O111" s="30">
        <v>10</v>
      </c>
      <c r="P111" s="30"/>
      <c r="S111" s="11">
        <f t="shared" si="16"/>
        <v>100</v>
      </c>
    </row>
    <row r="112" spans="1:19" x14ac:dyDescent="0.2">
      <c r="A112" s="28" t="str">
        <f t="shared" si="17"/>
        <v>11|7</v>
      </c>
      <c r="B112" s="29" t="s">
        <v>452</v>
      </c>
      <c r="C112" s="24" t="s">
        <v>468</v>
      </c>
      <c r="D112" s="25">
        <v>5</v>
      </c>
      <c r="E112" s="31"/>
      <c r="F112" s="31"/>
      <c r="G112" s="31"/>
      <c r="H112" s="31">
        <v>10</v>
      </c>
      <c r="I112" s="31">
        <v>10</v>
      </c>
      <c r="J112" s="30">
        <v>15</v>
      </c>
      <c r="K112" s="30">
        <v>20</v>
      </c>
      <c r="L112" s="30">
        <v>15</v>
      </c>
      <c r="M112" s="30">
        <v>10</v>
      </c>
      <c r="N112" s="30">
        <v>10</v>
      </c>
      <c r="O112" s="30">
        <v>10</v>
      </c>
      <c r="P112" s="30"/>
      <c r="S112" s="11">
        <f t="shared" si="16"/>
        <v>100</v>
      </c>
    </row>
    <row r="113" spans="1:19" x14ac:dyDescent="0.2">
      <c r="A113" s="28" t="str">
        <f t="shared" si="17"/>
        <v>11|8</v>
      </c>
      <c r="B113" s="29" t="s">
        <v>321</v>
      </c>
      <c r="C113" s="24" t="s">
        <v>470</v>
      </c>
      <c r="D113" s="25">
        <v>6</v>
      </c>
      <c r="E113" s="31"/>
      <c r="F113" s="31"/>
      <c r="G113" s="31"/>
      <c r="H113" s="31">
        <v>10</v>
      </c>
      <c r="I113" s="31">
        <v>10</v>
      </c>
      <c r="J113" s="30">
        <v>20</v>
      </c>
      <c r="K113" s="30">
        <v>20</v>
      </c>
      <c r="L113" s="30">
        <v>10</v>
      </c>
      <c r="M113" s="30">
        <v>10</v>
      </c>
      <c r="N113" s="30">
        <v>10</v>
      </c>
      <c r="O113" s="30">
        <v>10</v>
      </c>
      <c r="P113" s="30"/>
      <c r="S113" s="11">
        <f t="shared" si="16"/>
        <v>100</v>
      </c>
    </row>
    <row r="114" spans="1:19" x14ac:dyDescent="0.2">
      <c r="A114" s="28" t="str">
        <f t="shared" si="17"/>
        <v>11|9</v>
      </c>
      <c r="B114" s="29" t="s">
        <v>471</v>
      </c>
      <c r="C114" s="24" t="s">
        <v>472</v>
      </c>
      <c r="D114" s="25">
        <v>6</v>
      </c>
      <c r="E114" s="31">
        <v>5</v>
      </c>
      <c r="F114" s="31">
        <v>5</v>
      </c>
      <c r="G114" s="31">
        <v>10</v>
      </c>
      <c r="H114" s="31">
        <v>10</v>
      </c>
      <c r="I114" s="31">
        <v>10</v>
      </c>
      <c r="J114" s="30">
        <v>10</v>
      </c>
      <c r="K114" s="30">
        <v>10</v>
      </c>
      <c r="L114" s="30">
        <v>10</v>
      </c>
      <c r="M114" s="30">
        <v>10</v>
      </c>
      <c r="N114" s="30">
        <v>10</v>
      </c>
      <c r="O114" s="30">
        <v>10</v>
      </c>
      <c r="P114" s="30"/>
      <c r="S114" s="11">
        <f t="shared" si="16"/>
        <v>100</v>
      </c>
    </row>
    <row r="115" spans="1:19" x14ac:dyDescent="0.2">
      <c r="A115" s="28" t="str">
        <f t="shared" si="17"/>
        <v>11|10</v>
      </c>
      <c r="B115" s="29" t="s">
        <v>473</v>
      </c>
      <c r="C115" s="24" t="s">
        <v>462</v>
      </c>
      <c r="D115" s="25"/>
      <c r="E115" s="31">
        <v>10</v>
      </c>
      <c r="F115" s="31">
        <v>10</v>
      </c>
      <c r="G115" s="31">
        <v>15</v>
      </c>
      <c r="H115" s="31">
        <v>15</v>
      </c>
      <c r="I115" s="31">
        <v>15</v>
      </c>
      <c r="J115" s="30">
        <v>10</v>
      </c>
      <c r="K115" s="30">
        <v>10</v>
      </c>
      <c r="L115" s="30">
        <v>10</v>
      </c>
      <c r="M115" s="30">
        <v>5</v>
      </c>
      <c r="N115" s="30"/>
      <c r="O115" s="30"/>
      <c r="P115" s="30"/>
      <c r="S115" s="11">
        <f t="shared" si="16"/>
        <v>100</v>
      </c>
    </row>
    <row r="116" spans="1:19" x14ac:dyDescent="0.2">
      <c r="A116" s="28" t="str">
        <f t="shared" si="17"/>
        <v>11|11</v>
      </c>
      <c r="B116" s="29" t="s">
        <v>595</v>
      </c>
      <c r="C116" s="24" t="s">
        <v>630</v>
      </c>
      <c r="D116" s="25"/>
      <c r="E116" s="31">
        <v>1</v>
      </c>
      <c r="F116" s="31">
        <v>1</v>
      </c>
      <c r="G116" s="31">
        <v>10</v>
      </c>
      <c r="H116" s="31">
        <v>15</v>
      </c>
      <c r="I116" s="31">
        <v>15</v>
      </c>
      <c r="J116" s="30">
        <v>15</v>
      </c>
      <c r="K116" s="30">
        <v>15</v>
      </c>
      <c r="L116" s="30">
        <v>15</v>
      </c>
      <c r="M116" s="30">
        <v>5</v>
      </c>
      <c r="N116" s="30">
        <v>3</v>
      </c>
      <c r="O116" s="30">
        <v>5</v>
      </c>
      <c r="P116" s="30"/>
      <c r="S116" s="11">
        <f t="shared" si="16"/>
        <v>100</v>
      </c>
    </row>
    <row r="117" spans="1:19" ht="5.45" customHeight="1" x14ac:dyDescent="0.2"/>
    <row r="118" spans="1:19" ht="13.5" thickBot="1" x14ac:dyDescent="0.25">
      <c r="A118" s="32" t="s">
        <v>80</v>
      </c>
      <c r="B118" s="33">
        <v>12</v>
      </c>
      <c r="C118" s="34"/>
      <c r="D118" s="35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</row>
    <row r="119" spans="1:19" ht="13.5" thickTop="1" x14ac:dyDescent="0.2">
      <c r="A119" s="36" t="str">
        <f>CONCATENATE($B$118,"|",B119)</f>
        <v>12|1</v>
      </c>
      <c r="B119" s="23">
        <v>1</v>
      </c>
      <c r="C119" s="24" t="s">
        <v>463</v>
      </c>
      <c r="D119" s="25">
        <v>1</v>
      </c>
      <c r="E119" s="26">
        <v>10</v>
      </c>
      <c r="F119" s="26">
        <v>20</v>
      </c>
      <c r="G119" s="26">
        <v>20</v>
      </c>
      <c r="H119" s="26">
        <v>20</v>
      </c>
      <c r="I119" s="26">
        <v>10</v>
      </c>
      <c r="J119" s="27">
        <v>10</v>
      </c>
      <c r="K119" s="27">
        <v>10</v>
      </c>
      <c r="L119" s="27"/>
      <c r="M119" s="27"/>
      <c r="N119" s="27"/>
      <c r="O119" s="27"/>
      <c r="P119" s="27"/>
      <c r="S119" s="11">
        <f>SUM(E119:P119)</f>
        <v>100</v>
      </c>
    </row>
    <row r="120" spans="1:19" x14ac:dyDescent="0.2">
      <c r="A120" s="28" t="str">
        <f>CONCATENATE($B$118,"|",B120)</f>
        <v>12|2</v>
      </c>
      <c r="B120" s="29" t="s">
        <v>189</v>
      </c>
      <c r="C120" s="24" t="s">
        <v>459</v>
      </c>
      <c r="D120" s="25">
        <v>2</v>
      </c>
      <c r="E120" s="26">
        <v>5</v>
      </c>
      <c r="F120" s="26">
        <v>10</v>
      </c>
      <c r="G120" s="26">
        <v>10</v>
      </c>
      <c r="H120" s="26">
        <v>15</v>
      </c>
      <c r="I120" s="26">
        <v>15</v>
      </c>
      <c r="J120" s="30">
        <v>15</v>
      </c>
      <c r="K120" s="30">
        <v>10</v>
      </c>
      <c r="L120" s="30">
        <v>10</v>
      </c>
      <c r="M120" s="30">
        <v>10</v>
      </c>
      <c r="N120" s="30"/>
      <c r="O120" s="30"/>
      <c r="P120" s="30"/>
      <c r="S120" s="11">
        <f t="shared" ref="S120:S129" si="18">SUM(E120:P120)</f>
        <v>100</v>
      </c>
    </row>
    <row r="121" spans="1:19" x14ac:dyDescent="0.2">
      <c r="A121" s="28" t="str">
        <f t="shared" ref="A121:A129" si="19">CONCATENATE($B$118,"|",B121)</f>
        <v>12|3</v>
      </c>
      <c r="B121" s="29" t="s">
        <v>207</v>
      </c>
      <c r="C121" s="24" t="s">
        <v>465</v>
      </c>
      <c r="D121" s="25">
        <v>3</v>
      </c>
      <c r="E121" s="31"/>
      <c r="F121" s="31">
        <v>5</v>
      </c>
      <c r="G121" s="31">
        <v>10</v>
      </c>
      <c r="H121" s="31">
        <v>10</v>
      </c>
      <c r="I121" s="31">
        <v>10</v>
      </c>
      <c r="J121" s="30">
        <v>15</v>
      </c>
      <c r="K121" s="30">
        <v>15</v>
      </c>
      <c r="L121" s="30">
        <v>10</v>
      </c>
      <c r="M121" s="30">
        <v>10</v>
      </c>
      <c r="N121" s="30">
        <v>10</v>
      </c>
      <c r="O121" s="30">
        <v>5</v>
      </c>
      <c r="P121" s="30"/>
      <c r="S121" s="11">
        <f t="shared" si="18"/>
        <v>100</v>
      </c>
    </row>
    <row r="122" spans="1:19" x14ac:dyDescent="0.2">
      <c r="A122" s="28" t="str">
        <f t="shared" si="19"/>
        <v>12|4</v>
      </c>
      <c r="B122" s="29" t="s">
        <v>225</v>
      </c>
      <c r="C122" s="24" t="s">
        <v>460</v>
      </c>
      <c r="D122" s="25">
        <v>4</v>
      </c>
      <c r="E122" s="31"/>
      <c r="F122" s="31"/>
      <c r="G122" s="31">
        <v>5</v>
      </c>
      <c r="H122" s="31">
        <v>10</v>
      </c>
      <c r="I122" s="31">
        <v>10</v>
      </c>
      <c r="J122" s="30">
        <v>10</v>
      </c>
      <c r="K122" s="30">
        <v>10</v>
      </c>
      <c r="L122" s="30">
        <v>15</v>
      </c>
      <c r="M122" s="30">
        <v>10</v>
      </c>
      <c r="N122" s="30">
        <v>15</v>
      </c>
      <c r="O122" s="30">
        <v>10</v>
      </c>
      <c r="P122" s="30">
        <v>5</v>
      </c>
      <c r="S122" s="11">
        <f t="shared" si="18"/>
        <v>100</v>
      </c>
    </row>
    <row r="123" spans="1:19" x14ac:dyDescent="0.2">
      <c r="A123" s="28" t="str">
        <f t="shared" si="19"/>
        <v>12|5</v>
      </c>
      <c r="B123" s="29" t="s">
        <v>188</v>
      </c>
      <c r="C123" s="24" t="s">
        <v>461</v>
      </c>
      <c r="D123" s="25">
        <v>5</v>
      </c>
      <c r="E123" s="31"/>
      <c r="F123" s="31"/>
      <c r="G123" s="31">
        <v>10</v>
      </c>
      <c r="H123" s="31">
        <v>10</v>
      </c>
      <c r="I123" s="31">
        <v>10</v>
      </c>
      <c r="J123" s="30">
        <v>10</v>
      </c>
      <c r="K123" s="30">
        <v>10</v>
      </c>
      <c r="L123" s="30">
        <v>15</v>
      </c>
      <c r="M123" s="30">
        <v>15</v>
      </c>
      <c r="N123" s="30">
        <v>10</v>
      </c>
      <c r="O123" s="30">
        <v>10</v>
      </c>
      <c r="P123" s="30"/>
      <c r="S123" s="11">
        <f t="shared" si="18"/>
        <v>100</v>
      </c>
    </row>
    <row r="124" spans="1:19" x14ac:dyDescent="0.2">
      <c r="A124" s="28" t="str">
        <f t="shared" si="19"/>
        <v>12|6</v>
      </c>
      <c r="B124" s="29" t="s">
        <v>227</v>
      </c>
      <c r="C124" s="24" t="s">
        <v>467</v>
      </c>
      <c r="D124" s="25">
        <v>3</v>
      </c>
      <c r="E124" s="31"/>
      <c r="F124" s="31"/>
      <c r="G124" s="31"/>
      <c r="H124" s="31">
        <v>5</v>
      </c>
      <c r="I124" s="31">
        <v>10</v>
      </c>
      <c r="J124" s="31">
        <v>10</v>
      </c>
      <c r="K124" s="30">
        <v>10</v>
      </c>
      <c r="L124" s="30">
        <v>15</v>
      </c>
      <c r="M124" s="30">
        <v>15</v>
      </c>
      <c r="N124" s="30">
        <v>15</v>
      </c>
      <c r="O124" s="30">
        <v>10</v>
      </c>
      <c r="P124" s="30">
        <v>10</v>
      </c>
      <c r="S124" s="11">
        <f t="shared" si="18"/>
        <v>100</v>
      </c>
    </row>
    <row r="125" spans="1:19" x14ac:dyDescent="0.2">
      <c r="A125" s="28" t="str">
        <f t="shared" si="19"/>
        <v>12|7</v>
      </c>
      <c r="B125" s="29" t="s">
        <v>452</v>
      </c>
      <c r="C125" s="24" t="s">
        <v>468</v>
      </c>
      <c r="D125" s="25">
        <v>5</v>
      </c>
      <c r="E125" s="31"/>
      <c r="F125" s="31"/>
      <c r="G125" s="31"/>
      <c r="H125" s="31">
        <v>5</v>
      </c>
      <c r="I125" s="31">
        <v>10</v>
      </c>
      <c r="J125" s="30">
        <v>10</v>
      </c>
      <c r="K125" s="30">
        <v>15</v>
      </c>
      <c r="L125" s="30">
        <v>15</v>
      </c>
      <c r="M125" s="30">
        <v>15</v>
      </c>
      <c r="N125" s="30">
        <v>10</v>
      </c>
      <c r="O125" s="30">
        <v>10</v>
      </c>
      <c r="P125" s="30">
        <v>10</v>
      </c>
      <c r="S125" s="11">
        <f t="shared" si="18"/>
        <v>100</v>
      </c>
    </row>
    <row r="126" spans="1:19" x14ac:dyDescent="0.2">
      <c r="A126" s="28" t="str">
        <f t="shared" si="19"/>
        <v>12|8</v>
      </c>
      <c r="B126" s="29" t="s">
        <v>321</v>
      </c>
      <c r="C126" s="24" t="s">
        <v>470</v>
      </c>
      <c r="D126" s="25">
        <v>6</v>
      </c>
      <c r="E126" s="31"/>
      <c r="F126" s="31"/>
      <c r="G126" s="31"/>
      <c r="H126" s="31">
        <v>10</v>
      </c>
      <c r="I126" s="31">
        <v>10</v>
      </c>
      <c r="J126" s="30">
        <v>10</v>
      </c>
      <c r="K126" s="30">
        <v>20</v>
      </c>
      <c r="L126" s="30">
        <v>10</v>
      </c>
      <c r="M126" s="30">
        <v>10</v>
      </c>
      <c r="N126" s="30">
        <v>10</v>
      </c>
      <c r="O126" s="30">
        <v>10</v>
      </c>
      <c r="P126" s="30">
        <v>10</v>
      </c>
      <c r="S126" s="11">
        <f t="shared" si="18"/>
        <v>100</v>
      </c>
    </row>
    <row r="127" spans="1:19" x14ac:dyDescent="0.2">
      <c r="A127" s="28" t="str">
        <f t="shared" si="19"/>
        <v>12|9</v>
      </c>
      <c r="B127" s="29" t="s">
        <v>471</v>
      </c>
      <c r="C127" s="24" t="s">
        <v>472</v>
      </c>
      <c r="D127" s="25">
        <v>6</v>
      </c>
      <c r="E127" s="31">
        <v>5</v>
      </c>
      <c r="F127" s="31">
        <v>5</v>
      </c>
      <c r="G127" s="31">
        <v>5</v>
      </c>
      <c r="H127" s="31">
        <v>5</v>
      </c>
      <c r="I127" s="31">
        <v>10</v>
      </c>
      <c r="J127" s="30">
        <v>10</v>
      </c>
      <c r="K127" s="30">
        <v>10</v>
      </c>
      <c r="L127" s="30">
        <v>10</v>
      </c>
      <c r="M127" s="30">
        <v>10</v>
      </c>
      <c r="N127" s="30">
        <v>10</v>
      </c>
      <c r="O127" s="30">
        <v>10</v>
      </c>
      <c r="P127" s="30">
        <v>10</v>
      </c>
      <c r="S127" s="11">
        <f t="shared" si="18"/>
        <v>100</v>
      </c>
    </row>
    <row r="128" spans="1:19" x14ac:dyDescent="0.2">
      <c r="A128" s="28" t="str">
        <f t="shared" si="19"/>
        <v>12|10</v>
      </c>
      <c r="B128" s="29" t="s">
        <v>473</v>
      </c>
      <c r="C128" s="24" t="s">
        <v>462</v>
      </c>
      <c r="D128" s="25"/>
      <c r="E128" s="31">
        <v>10</v>
      </c>
      <c r="F128" s="31">
        <v>15</v>
      </c>
      <c r="G128" s="31">
        <v>10</v>
      </c>
      <c r="H128" s="31">
        <v>10</v>
      </c>
      <c r="I128" s="31">
        <v>10</v>
      </c>
      <c r="J128" s="30">
        <v>10</v>
      </c>
      <c r="K128" s="30">
        <v>10</v>
      </c>
      <c r="L128" s="30">
        <v>10</v>
      </c>
      <c r="M128" s="30">
        <v>10</v>
      </c>
      <c r="N128" s="30">
        <v>5</v>
      </c>
      <c r="O128" s="30"/>
      <c r="P128" s="30"/>
      <c r="S128" s="11">
        <f t="shared" si="18"/>
        <v>100</v>
      </c>
    </row>
    <row r="129" spans="1:19" x14ac:dyDescent="0.2">
      <c r="A129" s="28" t="str">
        <f t="shared" si="19"/>
        <v>12|11</v>
      </c>
      <c r="B129" s="29" t="s">
        <v>595</v>
      </c>
      <c r="C129" s="24" t="s">
        <v>630</v>
      </c>
      <c r="D129" s="25"/>
      <c r="E129" s="31">
        <v>1</v>
      </c>
      <c r="F129" s="31">
        <v>1</v>
      </c>
      <c r="G129" s="31">
        <v>10</v>
      </c>
      <c r="H129" s="31">
        <v>10</v>
      </c>
      <c r="I129" s="31">
        <v>15</v>
      </c>
      <c r="J129" s="30">
        <v>15</v>
      </c>
      <c r="K129" s="30">
        <v>15</v>
      </c>
      <c r="L129" s="30">
        <v>15</v>
      </c>
      <c r="M129" s="30">
        <v>5</v>
      </c>
      <c r="N129" s="30">
        <v>3</v>
      </c>
      <c r="O129" s="30">
        <v>5</v>
      </c>
      <c r="P129" s="30">
        <v>5</v>
      </c>
      <c r="S129" s="11">
        <f t="shared" si="18"/>
        <v>100</v>
      </c>
    </row>
    <row r="131" spans="1:19" x14ac:dyDescent="0.2">
      <c r="S131" s="11">
        <f>SUM(S2:S129)</f>
        <v>11000</v>
      </c>
    </row>
  </sheetData>
  <sheetProtection sheet="1" objects="1" scenarios="1"/>
  <printOptions horizontalCentered="1" verticalCentered="1"/>
  <pageMargins left="0.78740157480314965" right="0.78740157480314965" top="0.98425196850393704" bottom="0.59055118110236227" header="0.51181102362204722" footer="0.51181102362204722"/>
  <pageSetup paperSize="8" scale="94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4"/>
  <sheetViews>
    <sheetView showZeros="0" zoomScale="60" zoomScaleNormal="60" workbookViewId="0">
      <selection activeCell="K93" sqref="K93"/>
    </sheetView>
  </sheetViews>
  <sheetFormatPr defaultColWidth="12" defaultRowHeight="11.25" x14ac:dyDescent="0.2"/>
  <cols>
    <col min="1" max="1" width="15.83203125" bestFit="1" customWidth="1"/>
    <col min="2" max="2" width="15.83203125" customWidth="1"/>
    <col min="3" max="3" width="59.6640625" customWidth="1"/>
    <col min="4" max="4" width="0.6640625" customWidth="1"/>
    <col min="5" max="5" width="11.1640625" customWidth="1"/>
    <col min="6" max="6" width="15.83203125" customWidth="1"/>
    <col min="7" max="7" width="12.6640625" customWidth="1"/>
    <col min="8" max="8" width="12.1640625" customWidth="1"/>
    <col min="9" max="9" width="12.83203125" bestFit="1" customWidth="1"/>
    <col min="10" max="10" width="16.1640625" bestFit="1" customWidth="1"/>
    <col min="11" max="11" width="8.1640625" customWidth="1"/>
    <col min="12" max="12" width="13.83203125" customWidth="1"/>
    <col min="13" max="13" width="13.5" customWidth="1"/>
    <col min="14" max="14" width="25.1640625" customWidth="1"/>
    <col min="15" max="15" width="21.5" customWidth="1"/>
    <col min="16" max="16" width="3.83203125" customWidth="1"/>
    <col min="17" max="17" width="18" customWidth="1"/>
    <col min="18" max="18" width="15.5" customWidth="1"/>
    <col min="19" max="19" width="14.6640625" customWidth="1"/>
    <col min="20" max="20" width="25.1640625" customWidth="1"/>
    <col min="21" max="23" width="23.1640625" customWidth="1"/>
    <col min="24" max="24" width="4.6640625" customWidth="1"/>
    <col min="25" max="25" width="19.5" customWidth="1"/>
    <col min="26" max="26" width="20.1640625" customWidth="1"/>
  </cols>
  <sheetData>
    <row r="1" spans="1:24" ht="17.100000000000001" customHeight="1" thickBot="1" x14ac:dyDescent="0.3">
      <c r="A1" s="74"/>
      <c r="B1" s="74"/>
      <c r="C1" s="75"/>
      <c r="D1" s="75"/>
      <c r="E1" s="76"/>
      <c r="F1" s="74"/>
      <c r="G1" s="74"/>
      <c r="H1" s="76"/>
      <c r="I1" s="76"/>
      <c r="J1" s="76"/>
      <c r="K1" s="77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4"/>
    </row>
    <row r="2" spans="1:24" ht="70.5" customHeight="1" thickBot="1" x14ac:dyDescent="0.3">
      <c r="A2" s="78" t="s">
        <v>167</v>
      </c>
      <c r="B2" s="79"/>
      <c r="C2" s="80" t="s">
        <v>54</v>
      </c>
      <c r="D2" s="81"/>
      <c r="E2" s="82" t="s">
        <v>55</v>
      </c>
      <c r="F2" s="83" t="s">
        <v>56</v>
      </c>
      <c r="G2" s="83" t="s">
        <v>57</v>
      </c>
      <c r="H2" s="84" t="s">
        <v>58</v>
      </c>
      <c r="I2" s="85" t="s">
        <v>96</v>
      </c>
      <c r="J2" s="86" t="s">
        <v>59</v>
      </c>
      <c r="K2" s="87" t="s">
        <v>637</v>
      </c>
      <c r="L2" s="88" t="s">
        <v>60</v>
      </c>
      <c r="M2" s="78" t="s">
        <v>166</v>
      </c>
      <c r="N2" s="78" t="s">
        <v>61</v>
      </c>
      <c r="O2" s="89" t="s">
        <v>62</v>
      </c>
      <c r="P2" s="90" t="s">
        <v>63</v>
      </c>
      <c r="Q2" s="89" t="s">
        <v>64</v>
      </c>
      <c r="R2" s="89" t="s">
        <v>65</v>
      </c>
      <c r="S2" s="89" t="s">
        <v>677</v>
      </c>
      <c r="T2" s="89" t="s">
        <v>66</v>
      </c>
      <c r="U2" s="89" t="s">
        <v>676</v>
      </c>
      <c r="V2" s="89" t="s">
        <v>675</v>
      </c>
      <c r="W2" s="89" t="s">
        <v>67</v>
      </c>
      <c r="X2" s="87" t="s">
        <v>68</v>
      </c>
    </row>
    <row r="3" spans="1:24" ht="16.5" thickBot="1" x14ac:dyDescent="0.3">
      <c r="A3" s="74"/>
      <c r="B3" s="74"/>
      <c r="C3" s="91" t="s">
        <v>69</v>
      </c>
      <c r="D3" s="92"/>
      <c r="E3" s="14">
        <f>O3*0.846</f>
        <v>0.87983999999999996</v>
      </c>
      <c r="F3" s="14">
        <f>A3*0.231+M3*0.1+O3*0.0588+P3*0.18+Q3*0.27+R3*0.33+T3*0.005*0.434</f>
        <v>0.11541040000000001</v>
      </c>
      <c r="G3" s="14">
        <f>A3*0.6447+M3*0.51+O3*0.396+P3*1.06+Q3*0.96+R3*0.921+T3*0.005*1.575</f>
        <v>0.62209000000000003</v>
      </c>
      <c r="H3" s="14">
        <f>A3*(0.777+0.45)+M3*(1.5)+P3*1.11+Q3*1.11+R3*1.11</f>
        <v>0.20424000000000003</v>
      </c>
      <c r="I3" s="96"/>
      <c r="J3" s="94">
        <f>A3*345.22+M3*265.87+N3*113.57+O3*536+P3*387.29+Q3*428.6+R3*457.4+S3*464.24+T3*420.56*0.005+U3*26.13+V3*17.82+W3*19.93+X3*359.34+K3*436.99+I3*367.03</f>
        <v>1362.4516159999998</v>
      </c>
      <c r="K3" s="96"/>
      <c r="L3" s="14">
        <f>O3*0.0282</f>
        <v>2.9328E-2</v>
      </c>
      <c r="M3" s="76"/>
      <c r="N3" s="123">
        <f>ROUND(1.5*1.25/4,2)</f>
        <v>0.47</v>
      </c>
      <c r="O3" s="123">
        <f>ROUND(O4/1.5*1.2,2)</f>
        <v>1.04</v>
      </c>
      <c r="P3" s="123">
        <v>9.4E-2</v>
      </c>
      <c r="Q3" s="74"/>
      <c r="R3" s="123">
        <v>0.09</v>
      </c>
      <c r="S3" s="95"/>
      <c r="T3" s="123">
        <f>ROUND(T4/1.5*1.2,2)</f>
        <v>3.52</v>
      </c>
      <c r="U3" s="95"/>
      <c r="V3" s="95"/>
      <c r="W3" s="123">
        <v>15.42</v>
      </c>
      <c r="X3" s="124">
        <v>1</v>
      </c>
    </row>
    <row r="4" spans="1:24" ht="16.5" thickBot="1" x14ac:dyDescent="0.3">
      <c r="A4" s="74"/>
      <c r="B4" s="74"/>
      <c r="C4" s="91" t="s">
        <v>70</v>
      </c>
      <c r="D4" s="92"/>
      <c r="E4" s="93">
        <f t="shared" ref="E4:E67" si="0">O4*0.846</f>
        <v>1.0998000000000001</v>
      </c>
      <c r="F4" s="93">
        <f t="shared" ref="F4:F67" si="1">A4*0.231+M4*0.1+O4*0.0588+P4*0.18+Q4*0.27+R4*0.33+T4*0.005*0.434</f>
        <v>0.132608</v>
      </c>
      <c r="G4" s="93">
        <f t="shared" ref="G4:G67" si="2">A4*0.6447+M4*0.51+O4*0.396+P4*1.06+Q4*0.96+R4*0.921+T4*0.005*1.575</f>
        <v>0.73198000000000008</v>
      </c>
      <c r="H4" s="93">
        <f>A4*(0.777+0.45)+M4*(1.5)+P4*1.11+Q4*1.11+R4*1.11</f>
        <v>0.20424000000000003</v>
      </c>
      <c r="I4" s="96"/>
      <c r="J4" s="94">
        <f t="shared" ref="J4:J67" si="3">A4*345.22+M4*265.87+N4*113.57+O4*536+P4*387.29+Q4*428.6+R4*457.4+S4*464.24+T4*420.56*0.005+U4*26.13+V4*17.82+W4*19.93+X4*359.34+K4*436.99+I4*367.03</f>
        <v>1503.6620800000001</v>
      </c>
      <c r="K4" s="96"/>
      <c r="L4" s="93">
        <f t="shared" ref="L4:L67" si="4">O4*0.0282</f>
        <v>3.6659999999999998E-2</v>
      </c>
      <c r="M4" s="76"/>
      <c r="N4" s="95">
        <f>ROUND(1.5*1.25/4,2)</f>
        <v>0.47</v>
      </c>
      <c r="O4" s="97">
        <f>ROUND(0.89*2*0.25*(1.5+0.75)*1.3,2)</f>
        <v>1.3</v>
      </c>
      <c r="P4" s="95">
        <v>9.4E-2</v>
      </c>
      <c r="Q4" s="74"/>
      <c r="R4" s="95">
        <v>0.09</v>
      </c>
      <c r="S4" s="95"/>
      <c r="T4" s="97">
        <v>4.4000000000000004</v>
      </c>
      <c r="U4" s="95"/>
      <c r="V4" s="95"/>
      <c r="W4" s="95">
        <v>15.42</v>
      </c>
      <c r="X4" s="74">
        <v>1</v>
      </c>
    </row>
    <row r="5" spans="1:24" ht="16.5" thickBot="1" x14ac:dyDescent="0.3">
      <c r="A5" s="74"/>
      <c r="B5" s="74"/>
      <c r="C5" s="91" t="s">
        <v>71</v>
      </c>
      <c r="D5" s="92"/>
      <c r="E5" s="93">
        <f t="shared" si="0"/>
        <v>1.4635799999999999</v>
      </c>
      <c r="F5" s="93">
        <f t="shared" si="1"/>
        <v>0.1610819</v>
      </c>
      <c r="G5" s="93">
        <f t="shared" si="2"/>
        <v>0.91383625000000013</v>
      </c>
      <c r="H5" s="93">
        <f t="shared" ref="H5:H68" si="5">A5*(0.777+0.45)+M5*(1.5)+P5*1.11+Q5*1.11+R5*1.11</f>
        <v>0.20424000000000003</v>
      </c>
      <c r="I5" s="96"/>
      <c r="J5" s="94">
        <f t="shared" si="3"/>
        <v>1737.2331959999999</v>
      </c>
      <c r="K5" s="96"/>
      <c r="L5" s="93">
        <f t="shared" si="4"/>
        <v>4.8785999999999996E-2</v>
      </c>
      <c r="M5" s="76"/>
      <c r="N5" s="95">
        <f>ROUND(1.5*1.25/4,2)</f>
        <v>0.47</v>
      </c>
      <c r="O5" s="95">
        <f>ROUND(O4/1.5*2,2)</f>
        <v>1.73</v>
      </c>
      <c r="P5" s="95">
        <v>9.4E-2</v>
      </c>
      <c r="Q5" s="74"/>
      <c r="R5" s="95">
        <v>0.09</v>
      </c>
      <c r="S5" s="95"/>
      <c r="T5" s="95">
        <f>ROUND(T4/1.5*2,2)</f>
        <v>5.87</v>
      </c>
      <c r="U5" s="95"/>
      <c r="V5" s="95"/>
      <c r="W5" s="95">
        <v>15.42</v>
      </c>
      <c r="X5" s="74">
        <v>1</v>
      </c>
    </row>
    <row r="6" spans="1:24" ht="16.5" thickBot="1" x14ac:dyDescent="0.3">
      <c r="A6" s="74"/>
      <c r="B6" s="74"/>
      <c r="C6" s="91" t="s">
        <v>72</v>
      </c>
      <c r="D6" s="92"/>
      <c r="E6" s="93">
        <f t="shared" si="0"/>
        <v>1.8358199999999998</v>
      </c>
      <c r="F6" s="93">
        <f t="shared" si="1"/>
        <v>0.19012209999999999</v>
      </c>
      <c r="G6" s="93">
        <f t="shared" si="2"/>
        <v>1.09957375</v>
      </c>
      <c r="H6" s="93">
        <f t="shared" si="5"/>
        <v>0.20424000000000003</v>
      </c>
      <c r="I6" s="96"/>
      <c r="J6" s="94">
        <f t="shared" si="3"/>
        <v>1976.1432839999998</v>
      </c>
      <c r="K6" s="96"/>
      <c r="L6" s="93">
        <f t="shared" si="4"/>
        <v>6.1193999999999998E-2</v>
      </c>
      <c r="M6" s="76"/>
      <c r="N6" s="95">
        <f>ROUND(1.5*1.25/4,2)</f>
        <v>0.47</v>
      </c>
      <c r="O6" s="95">
        <f>ROUND(O4/1.5*2.5,2)</f>
        <v>2.17</v>
      </c>
      <c r="P6" s="95">
        <v>9.4E-2</v>
      </c>
      <c r="Q6" s="74"/>
      <c r="R6" s="95">
        <v>0.09</v>
      </c>
      <c r="S6" s="95"/>
      <c r="T6" s="95">
        <f>ROUND(T4/1.5*2.5,2)</f>
        <v>7.33</v>
      </c>
      <c r="U6" s="95"/>
      <c r="V6" s="95"/>
      <c r="W6" s="95">
        <v>15.42</v>
      </c>
      <c r="X6" s="74">
        <v>1</v>
      </c>
    </row>
    <row r="7" spans="1:24" ht="16.5" thickBot="1" x14ac:dyDescent="0.3">
      <c r="A7" s="74"/>
      <c r="B7" s="74"/>
      <c r="C7" s="91" t="s">
        <v>402</v>
      </c>
      <c r="D7" s="92"/>
      <c r="E7" s="93">
        <f t="shared" si="0"/>
        <v>0</v>
      </c>
      <c r="F7" s="93">
        <f t="shared" si="1"/>
        <v>0.43266000000000004</v>
      </c>
      <c r="G7" s="93">
        <f t="shared" si="2"/>
        <v>1.26997</v>
      </c>
      <c r="H7" s="93">
        <f t="shared" si="5"/>
        <v>1.5118200000000002</v>
      </c>
      <c r="I7" s="96"/>
      <c r="J7" s="94">
        <f t="shared" si="3"/>
        <v>1121.53963</v>
      </c>
      <c r="K7" s="96"/>
      <c r="L7" s="93">
        <f t="shared" si="4"/>
        <v>0</v>
      </c>
      <c r="M7" s="76"/>
      <c r="N7" s="95">
        <f>N11/2</f>
        <v>1.2949999999999999</v>
      </c>
      <c r="O7" s="95"/>
      <c r="P7" s="95">
        <v>0.112</v>
      </c>
      <c r="Q7" s="74"/>
      <c r="R7" s="95">
        <f>ROUND(1.58/1.45*1.15,2)</f>
        <v>1.25</v>
      </c>
      <c r="S7" s="95"/>
      <c r="T7" s="95"/>
      <c r="U7" s="95"/>
      <c r="V7" s="95"/>
      <c r="W7" s="95"/>
      <c r="X7" s="74">
        <v>1</v>
      </c>
    </row>
    <row r="8" spans="1:24" ht="16.5" thickBot="1" x14ac:dyDescent="0.3">
      <c r="A8" s="74"/>
      <c r="B8" s="74"/>
      <c r="C8" s="91" t="s">
        <v>403</v>
      </c>
      <c r="D8" s="92"/>
      <c r="E8" s="93">
        <f t="shared" si="0"/>
        <v>0</v>
      </c>
      <c r="F8" s="93">
        <f t="shared" si="1"/>
        <v>0.54156000000000004</v>
      </c>
      <c r="G8" s="93">
        <f t="shared" si="2"/>
        <v>1.5739000000000001</v>
      </c>
      <c r="H8" s="93">
        <f t="shared" si="5"/>
        <v>1.8781200000000002</v>
      </c>
      <c r="I8" s="96"/>
      <c r="J8" s="94">
        <f t="shared" si="3"/>
        <v>1311.0954299999999</v>
      </c>
      <c r="K8" s="96"/>
      <c r="L8" s="93">
        <f t="shared" si="4"/>
        <v>0</v>
      </c>
      <c r="M8" s="76"/>
      <c r="N8" s="95">
        <f>N12/2</f>
        <v>1.635</v>
      </c>
      <c r="O8" s="95"/>
      <c r="P8" s="95">
        <v>0.112</v>
      </c>
      <c r="Q8" s="74"/>
      <c r="R8" s="95">
        <v>1.58</v>
      </c>
      <c r="S8" s="95"/>
      <c r="T8" s="95"/>
      <c r="U8" s="95"/>
      <c r="V8" s="95"/>
      <c r="W8" s="95"/>
      <c r="X8" s="74">
        <v>1</v>
      </c>
    </row>
    <row r="9" spans="1:24" ht="16.5" thickBot="1" x14ac:dyDescent="0.3">
      <c r="A9" s="74"/>
      <c r="B9" s="74"/>
      <c r="C9" s="91" t="s">
        <v>404</v>
      </c>
      <c r="D9" s="92"/>
      <c r="E9" s="93">
        <f t="shared" si="0"/>
        <v>0</v>
      </c>
      <c r="F9" s="93">
        <f t="shared" si="1"/>
        <v>0.71976000000000007</v>
      </c>
      <c r="G9" s="93">
        <f t="shared" si="2"/>
        <v>2.0712400000000004</v>
      </c>
      <c r="H9" s="93">
        <f t="shared" si="5"/>
        <v>2.4775200000000002</v>
      </c>
      <c r="I9" s="96"/>
      <c r="J9" s="94">
        <f t="shared" si="3"/>
        <v>1622.25848</v>
      </c>
      <c r="K9" s="96"/>
      <c r="L9" s="93">
        <f t="shared" si="4"/>
        <v>0</v>
      </c>
      <c r="M9" s="76"/>
      <c r="N9" s="95">
        <f>N13/2</f>
        <v>2.2000000000000002</v>
      </c>
      <c r="O9" s="95"/>
      <c r="P9" s="95">
        <v>0.112</v>
      </c>
      <c r="Q9" s="74"/>
      <c r="R9" s="95">
        <f>ROUND(1.58/1.45*1.95,2)</f>
        <v>2.12</v>
      </c>
      <c r="S9" s="95"/>
      <c r="T9" s="95"/>
      <c r="U9" s="95"/>
      <c r="V9" s="95"/>
      <c r="W9" s="95"/>
      <c r="X9" s="74">
        <v>1</v>
      </c>
    </row>
    <row r="10" spans="1:24" ht="16.5" thickBot="1" x14ac:dyDescent="0.3">
      <c r="A10" s="74"/>
      <c r="B10" s="74"/>
      <c r="C10" s="91" t="s">
        <v>405</v>
      </c>
      <c r="D10" s="92"/>
      <c r="E10" s="93">
        <f t="shared" si="0"/>
        <v>0</v>
      </c>
      <c r="F10" s="93">
        <f t="shared" si="1"/>
        <v>0.90125999999999995</v>
      </c>
      <c r="G10" s="93">
        <f t="shared" si="2"/>
        <v>2.5777900000000002</v>
      </c>
      <c r="H10" s="93">
        <f t="shared" si="5"/>
        <v>3.0880200000000002</v>
      </c>
      <c r="I10" s="96"/>
      <c r="J10" s="94">
        <f t="shared" si="3"/>
        <v>1937.9955299999997</v>
      </c>
      <c r="K10" s="96"/>
      <c r="L10" s="93">
        <f t="shared" si="4"/>
        <v>0</v>
      </c>
      <c r="M10" s="76"/>
      <c r="N10" s="95">
        <f>N14/2</f>
        <v>2.7650000000000001</v>
      </c>
      <c r="O10" s="95"/>
      <c r="P10" s="95">
        <v>0.112</v>
      </c>
      <c r="Q10" s="74"/>
      <c r="R10" s="95">
        <f>ROUND(1.58/1.45*2.45,2)</f>
        <v>2.67</v>
      </c>
      <c r="S10" s="95"/>
      <c r="T10" s="95"/>
      <c r="U10" s="95"/>
      <c r="V10" s="95"/>
      <c r="W10" s="95"/>
      <c r="X10" s="74">
        <v>1</v>
      </c>
    </row>
    <row r="11" spans="1:24" ht="16.5" thickBot="1" x14ac:dyDescent="0.3">
      <c r="A11" s="74"/>
      <c r="B11" s="74"/>
      <c r="C11" s="91" t="s">
        <v>108</v>
      </c>
      <c r="D11" s="92"/>
      <c r="E11" s="93">
        <f t="shared" si="0"/>
        <v>0</v>
      </c>
      <c r="F11" s="93">
        <f t="shared" si="1"/>
        <v>0.20478000000000002</v>
      </c>
      <c r="G11" s="93">
        <f t="shared" si="2"/>
        <v>0.60275000000000001</v>
      </c>
      <c r="H11" s="93">
        <f t="shared" si="5"/>
        <v>0.71706000000000003</v>
      </c>
      <c r="I11" s="96"/>
      <c r="J11" s="94">
        <f t="shared" si="3"/>
        <v>1971.4355399999997</v>
      </c>
      <c r="K11" s="96"/>
      <c r="L11" s="93">
        <f t="shared" si="4"/>
        <v>0</v>
      </c>
      <c r="M11" s="76"/>
      <c r="N11" s="95">
        <f>ROUND(N12/1.45*1.15,2)</f>
        <v>2.59</v>
      </c>
      <c r="O11" s="95"/>
      <c r="P11" s="95">
        <f>0.112/2</f>
        <v>5.6000000000000001E-2</v>
      </c>
      <c r="Q11" s="74"/>
      <c r="R11" s="95">
        <f>ROUND(R12/1.45*1.15,2)</f>
        <v>0.59</v>
      </c>
      <c r="S11" s="95"/>
      <c r="T11" s="95"/>
      <c r="U11" s="95"/>
      <c r="V11" s="95"/>
      <c r="W11" s="95">
        <f>ROUND(W12/1.45*1.15,2)</f>
        <v>51.5</v>
      </c>
      <c r="X11" s="74">
        <v>1</v>
      </c>
    </row>
    <row r="12" spans="1:24" ht="16.5" thickBot="1" x14ac:dyDescent="0.3">
      <c r="A12" s="74"/>
      <c r="B12" s="74"/>
      <c r="C12" s="91" t="s">
        <v>105</v>
      </c>
      <c r="D12" s="92"/>
      <c r="E12" s="93">
        <f t="shared" si="0"/>
        <v>0</v>
      </c>
      <c r="F12" s="93">
        <f t="shared" si="1"/>
        <v>0.25757999999999998</v>
      </c>
      <c r="G12" s="93">
        <f t="shared" si="2"/>
        <v>0.75010999999999994</v>
      </c>
      <c r="H12" s="93">
        <f t="shared" si="5"/>
        <v>0.89466000000000001</v>
      </c>
      <c r="I12" s="96"/>
      <c r="J12" s="94">
        <f t="shared" si="3"/>
        <v>2389.7063399999997</v>
      </c>
      <c r="K12" s="96"/>
      <c r="L12" s="93">
        <f t="shared" si="4"/>
        <v>0</v>
      </c>
      <c r="M12" s="76"/>
      <c r="N12" s="97">
        <f>ROUND(9.8/3,2)</f>
        <v>3.27</v>
      </c>
      <c r="O12" s="95"/>
      <c r="P12" s="95">
        <f>0.112/2</f>
        <v>5.6000000000000001E-2</v>
      </c>
      <c r="Q12" s="74"/>
      <c r="R12" s="97">
        <v>0.75</v>
      </c>
      <c r="S12" s="97"/>
      <c r="T12" s="95"/>
      <c r="U12" s="97"/>
      <c r="V12" s="97"/>
      <c r="W12" s="97">
        <v>64.94</v>
      </c>
      <c r="X12" s="74">
        <v>1</v>
      </c>
    </row>
    <row r="13" spans="1:24" ht="16.5" thickBot="1" x14ac:dyDescent="0.3">
      <c r="A13" s="74"/>
      <c r="B13" s="74"/>
      <c r="C13" s="91" t="s">
        <v>106</v>
      </c>
      <c r="D13" s="92"/>
      <c r="E13" s="93">
        <f t="shared" si="0"/>
        <v>0</v>
      </c>
      <c r="F13" s="93">
        <f t="shared" si="1"/>
        <v>0.34338000000000002</v>
      </c>
      <c r="G13" s="93">
        <f t="shared" si="2"/>
        <v>0.98957000000000006</v>
      </c>
      <c r="H13" s="93">
        <f t="shared" si="5"/>
        <v>1.1832600000000002</v>
      </c>
      <c r="I13" s="96"/>
      <c r="J13" s="94">
        <f t="shared" si="3"/>
        <v>2636.9644399999997</v>
      </c>
      <c r="K13" s="96"/>
      <c r="L13" s="93">
        <f t="shared" si="4"/>
        <v>0</v>
      </c>
      <c r="M13" s="76"/>
      <c r="N13" s="95">
        <f>ROUND(N12/1.45*1.95,2)</f>
        <v>4.4000000000000004</v>
      </c>
      <c r="O13" s="95"/>
      <c r="P13" s="95">
        <f>0.112/2</f>
        <v>5.6000000000000001E-2</v>
      </c>
      <c r="Q13" s="74"/>
      <c r="R13" s="95">
        <f>ROUND(R12/1.45*1.95,2)</f>
        <v>1.01</v>
      </c>
      <c r="S13" s="95"/>
      <c r="T13" s="95"/>
      <c r="U13" s="95"/>
      <c r="V13" s="95"/>
      <c r="W13" s="95">
        <f>ROUND(W12/1.95*1.95,2)</f>
        <v>64.94</v>
      </c>
      <c r="X13" s="74">
        <v>1</v>
      </c>
    </row>
    <row r="14" spans="1:24" ht="16.5" thickBot="1" x14ac:dyDescent="0.3">
      <c r="A14" s="74"/>
      <c r="B14" s="74"/>
      <c r="C14" s="91" t="s">
        <v>107</v>
      </c>
      <c r="D14" s="92"/>
      <c r="E14" s="93">
        <f t="shared" si="0"/>
        <v>0</v>
      </c>
      <c r="F14" s="93">
        <f t="shared" si="1"/>
        <v>0.42918000000000001</v>
      </c>
      <c r="G14" s="93">
        <f t="shared" si="2"/>
        <v>1.2290300000000001</v>
      </c>
      <c r="H14" s="93">
        <f t="shared" si="5"/>
        <v>1.4718600000000002</v>
      </c>
      <c r="I14" s="96"/>
      <c r="J14" s="94">
        <f t="shared" si="3"/>
        <v>3216.0570400000001</v>
      </c>
      <c r="K14" s="96"/>
      <c r="L14" s="93">
        <f t="shared" si="4"/>
        <v>0</v>
      </c>
      <c r="M14" s="76"/>
      <c r="N14" s="95">
        <f>ROUND(N12/1.45*2.45,2)</f>
        <v>5.53</v>
      </c>
      <c r="O14" s="95"/>
      <c r="P14" s="95">
        <f>0.112/2</f>
        <v>5.6000000000000001E-2</v>
      </c>
      <c r="Q14" s="74"/>
      <c r="R14" s="95">
        <f>ROUND(R12/1.45*2.45,2)</f>
        <v>1.27</v>
      </c>
      <c r="S14" s="95"/>
      <c r="T14" s="95"/>
      <c r="U14" s="95"/>
      <c r="V14" s="95"/>
      <c r="W14" s="95">
        <f>ROUND(W12/1.95*2.45,2)</f>
        <v>81.59</v>
      </c>
      <c r="X14" s="74">
        <v>1</v>
      </c>
    </row>
    <row r="15" spans="1:24" ht="16.5" thickBot="1" x14ac:dyDescent="0.3">
      <c r="A15" s="74"/>
      <c r="B15" s="74"/>
      <c r="C15" s="91" t="s">
        <v>101</v>
      </c>
      <c r="D15" s="92"/>
      <c r="E15" s="93">
        <f t="shared" si="0"/>
        <v>1.6716959999999998</v>
      </c>
      <c r="F15" s="93">
        <f t="shared" si="1"/>
        <v>0.2047668</v>
      </c>
      <c r="G15" s="93">
        <f t="shared" si="2"/>
        <v>1.1293030000000002</v>
      </c>
      <c r="H15" s="93">
        <f t="shared" si="5"/>
        <v>0.38805600000000001</v>
      </c>
      <c r="I15" s="96"/>
      <c r="J15" s="94">
        <f t="shared" si="3"/>
        <v>2610.5285439999998</v>
      </c>
      <c r="K15" s="96"/>
      <c r="L15" s="93">
        <f t="shared" si="4"/>
        <v>5.5723200000000001E-2</v>
      </c>
      <c r="M15" s="76"/>
      <c r="N15" s="95">
        <f>N3*1.9</f>
        <v>0.8929999999999999</v>
      </c>
      <c r="O15" s="95">
        <f>O3*1.9</f>
        <v>1.976</v>
      </c>
      <c r="P15" s="95">
        <f>P3*1.9</f>
        <v>0.17859999999999998</v>
      </c>
      <c r="Q15" s="74"/>
      <c r="R15" s="95">
        <f>R3*1.9</f>
        <v>0.17099999999999999</v>
      </c>
      <c r="S15" s="95"/>
      <c r="T15" s="95"/>
      <c r="U15" s="95"/>
      <c r="V15" s="95"/>
      <c r="W15" s="95">
        <f>W3*1.9</f>
        <v>29.297999999999998</v>
      </c>
      <c r="X15" s="74">
        <v>2</v>
      </c>
    </row>
    <row r="16" spans="1:24" ht="16.5" thickBot="1" x14ac:dyDescent="0.3">
      <c r="A16" s="74"/>
      <c r="B16" s="74"/>
      <c r="C16" s="91" t="s">
        <v>102</v>
      </c>
      <c r="D16" s="92"/>
      <c r="E16" s="93">
        <f t="shared" si="0"/>
        <v>2.0896199999999996</v>
      </c>
      <c r="F16" s="93">
        <f t="shared" si="1"/>
        <v>0.23381399999999999</v>
      </c>
      <c r="G16" s="93">
        <f t="shared" si="2"/>
        <v>1.324927</v>
      </c>
      <c r="H16" s="93">
        <f t="shared" si="5"/>
        <v>0.38805600000000001</v>
      </c>
      <c r="I16" s="96"/>
      <c r="J16" s="94">
        <f t="shared" si="3"/>
        <v>2875.3125439999999</v>
      </c>
      <c r="K16" s="96"/>
      <c r="L16" s="93">
        <f t="shared" si="4"/>
        <v>6.9653999999999994E-2</v>
      </c>
      <c r="M16" s="76"/>
      <c r="N16" s="95">
        <f t="shared" ref="N16:P18" si="6">N4*1.9</f>
        <v>0.8929999999999999</v>
      </c>
      <c r="O16" s="95">
        <f t="shared" si="6"/>
        <v>2.4699999999999998</v>
      </c>
      <c r="P16" s="95">
        <f t="shared" si="6"/>
        <v>0.17859999999999998</v>
      </c>
      <c r="Q16" s="74"/>
      <c r="R16" s="95">
        <f>R4*1.9</f>
        <v>0.17099999999999999</v>
      </c>
      <c r="S16" s="95"/>
      <c r="T16" s="95"/>
      <c r="U16" s="95"/>
      <c r="V16" s="95"/>
      <c r="W16" s="95">
        <f>W4*1.9</f>
        <v>29.297999999999998</v>
      </c>
      <c r="X16" s="74">
        <v>2</v>
      </c>
    </row>
    <row r="17" spans="1:26" ht="16.5" thickBot="1" x14ac:dyDescent="0.3">
      <c r="A17" s="74"/>
      <c r="B17" s="74"/>
      <c r="C17" s="91" t="s">
        <v>103</v>
      </c>
      <c r="D17" s="92"/>
      <c r="E17" s="93">
        <f t="shared" si="0"/>
        <v>2.780802</v>
      </c>
      <c r="F17" s="93">
        <f t="shared" si="1"/>
        <v>0.28185359999999998</v>
      </c>
      <c r="G17" s="93">
        <f t="shared" si="2"/>
        <v>1.6484590000000001</v>
      </c>
      <c r="H17" s="93">
        <f t="shared" si="5"/>
        <v>0.38805600000000001</v>
      </c>
      <c r="I17" s="96"/>
      <c r="J17" s="94">
        <f t="shared" si="3"/>
        <v>3313.2245439999997</v>
      </c>
      <c r="K17" s="96"/>
      <c r="L17" s="93">
        <f t="shared" si="4"/>
        <v>9.2693399999999995E-2</v>
      </c>
      <c r="M17" s="76"/>
      <c r="N17" s="95">
        <f t="shared" si="6"/>
        <v>0.8929999999999999</v>
      </c>
      <c r="O17" s="95">
        <f t="shared" si="6"/>
        <v>3.2869999999999999</v>
      </c>
      <c r="P17" s="95">
        <f t="shared" si="6"/>
        <v>0.17859999999999998</v>
      </c>
      <c r="Q17" s="74"/>
      <c r="R17" s="95">
        <f>R5*1.9</f>
        <v>0.17099999999999999</v>
      </c>
      <c r="S17" s="95"/>
      <c r="T17" s="95"/>
      <c r="U17" s="95"/>
      <c r="V17" s="95"/>
      <c r="W17" s="95">
        <f>W5*1.9</f>
        <v>29.297999999999998</v>
      </c>
      <c r="X17" s="74">
        <v>2</v>
      </c>
    </row>
    <row r="18" spans="1:26" ht="16.5" thickBot="1" x14ac:dyDescent="0.3">
      <c r="A18" s="74"/>
      <c r="B18" s="74"/>
      <c r="C18" s="91" t="s">
        <v>104</v>
      </c>
      <c r="D18" s="92"/>
      <c r="E18" s="93">
        <f t="shared" si="0"/>
        <v>3.4880579999999992</v>
      </c>
      <c r="F18" s="93">
        <f t="shared" si="1"/>
        <v>0.33101039999999993</v>
      </c>
      <c r="G18" s="93">
        <f t="shared" si="2"/>
        <v>1.9795149999999999</v>
      </c>
      <c r="H18" s="93">
        <f t="shared" si="5"/>
        <v>0.38805600000000001</v>
      </c>
      <c r="I18" s="96"/>
      <c r="J18" s="94">
        <f t="shared" si="3"/>
        <v>3761.3205439999988</v>
      </c>
      <c r="K18" s="96"/>
      <c r="L18" s="93">
        <f t="shared" si="4"/>
        <v>0.11626859999999997</v>
      </c>
      <c r="M18" s="76"/>
      <c r="N18" s="95">
        <f t="shared" si="6"/>
        <v>0.8929999999999999</v>
      </c>
      <c r="O18" s="95">
        <f t="shared" si="6"/>
        <v>4.1229999999999993</v>
      </c>
      <c r="P18" s="95">
        <f t="shared" si="6"/>
        <v>0.17859999999999998</v>
      </c>
      <c r="Q18" s="74"/>
      <c r="R18" s="95">
        <f>R6*1.9</f>
        <v>0.17099999999999999</v>
      </c>
      <c r="S18" s="95"/>
      <c r="T18" s="95"/>
      <c r="U18" s="95"/>
      <c r="V18" s="95"/>
      <c r="W18" s="95">
        <f>W6*1.9</f>
        <v>29.297999999999998</v>
      </c>
      <c r="X18" s="74">
        <v>2</v>
      </c>
    </row>
    <row r="19" spans="1:26" ht="16.5" thickBot="1" x14ac:dyDescent="0.3">
      <c r="A19" s="74"/>
      <c r="B19" s="74"/>
      <c r="C19" s="91" t="s">
        <v>406</v>
      </c>
      <c r="D19" s="92"/>
      <c r="E19" s="93">
        <f t="shared" si="0"/>
        <v>0</v>
      </c>
      <c r="F19" s="93">
        <f t="shared" si="1"/>
        <v>0.82205400000000006</v>
      </c>
      <c r="G19" s="93">
        <f t="shared" si="2"/>
        <v>2.4129430000000003</v>
      </c>
      <c r="H19" s="93">
        <f t="shared" si="5"/>
        <v>2.8724580000000004</v>
      </c>
      <c r="I19" s="96"/>
      <c r="J19" s="94">
        <f t="shared" si="3"/>
        <v>2166.859297</v>
      </c>
      <c r="K19" s="96"/>
      <c r="L19" s="93">
        <f t="shared" si="4"/>
        <v>0</v>
      </c>
      <c r="M19" s="76"/>
      <c r="N19" s="95">
        <f>1.9*N7</f>
        <v>2.4604999999999997</v>
      </c>
      <c r="O19" s="95"/>
      <c r="P19" s="95">
        <f t="shared" ref="P19:P26" si="7">1.9*P7</f>
        <v>0.21279999999999999</v>
      </c>
      <c r="Q19" s="74"/>
      <c r="R19" s="95">
        <f t="shared" ref="R19:R26" si="8">1.9*R7</f>
        <v>2.375</v>
      </c>
      <c r="S19" s="95"/>
      <c r="T19" s="95"/>
      <c r="U19" s="95"/>
      <c r="V19" s="95"/>
      <c r="W19" s="95"/>
      <c r="X19" s="74">
        <v>2</v>
      </c>
    </row>
    <row r="20" spans="1:26" ht="16.5" thickBot="1" x14ac:dyDescent="0.3">
      <c r="A20" s="74"/>
      <c r="B20" s="74"/>
      <c r="C20" s="91" t="s">
        <v>407</v>
      </c>
      <c r="D20" s="92"/>
      <c r="E20" s="93">
        <f t="shared" si="0"/>
        <v>0</v>
      </c>
      <c r="F20" s="93">
        <f t="shared" si="1"/>
        <v>1.028964</v>
      </c>
      <c r="G20" s="93">
        <f t="shared" si="2"/>
        <v>2.9904099999999998</v>
      </c>
      <c r="H20" s="93">
        <f t="shared" si="5"/>
        <v>3.5684279999999999</v>
      </c>
      <c r="I20" s="96"/>
      <c r="J20" s="94">
        <f t="shared" si="3"/>
        <v>2527.0153169999999</v>
      </c>
      <c r="K20" s="96"/>
      <c r="L20" s="93">
        <f t="shared" si="4"/>
        <v>0</v>
      </c>
      <c r="M20" s="76"/>
      <c r="N20" s="95">
        <f t="shared" ref="N20:N26" si="9">1.9*N8</f>
        <v>3.1065</v>
      </c>
      <c r="O20" s="95"/>
      <c r="P20" s="95">
        <f t="shared" si="7"/>
        <v>0.21279999999999999</v>
      </c>
      <c r="Q20" s="74"/>
      <c r="R20" s="95">
        <f t="shared" si="8"/>
        <v>3.0019999999999998</v>
      </c>
      <c r="S20" s="95"/>
      <c r="T20" s="95"/>
      <c r="U20" s="95"/>
      <c r="V20" s="95"/>
      <c r="W20" s="95"/>
      <c r="X20" s="74">
        <v>2</v>
      </c>
    </row>
    <row r="21" spans="1:26" ht="16.5" thickBot="1" x14ac:dyDescent="0.3">
      <c r="A21" s="74"/>
      <c r="B21" s="74"/>
      <c r="C21" s="91" t="s">
        <v>408</v>
      </c>
      <c r="D21" s="92"/>
      <c r="E21" s="93">
        <f t="shared" si="0"/>
        <v>0</v>
      </c>
      <c r="F21" s="93">
        <f t="shared" si="1"/>
        <v>1.3675439999999999</v>
      </c>
      <c r="G21" s="93">
        <f t="shared" si="2"/>
        <v>3.9353559999999996</v>
      </c>
      <c r="H21" s="93">
        <f t="shared" si="5"/>
        <v>4.7072880000000001</v>
      </c>
      <c r="I21" s="96"/>
      <c r="J21" s="94">
        <f t="shared" si="3"/>
        <v>3118.2251119999996</v>
      </c>
      <c r="K21" s="96"/>
      <c r="L21" s="93">
        <f t="shared" si="4"/>
        <v>0</v>
      </c>
      <c r="M21" s="76"/>
      <c r="N21" s="95">
        <f t="shared" si="9"/>
        <v>4.18</v>
      </c>
      <c r="O21" s="95"/>
      <c r="P21" s="95">
        <f t="shared" si="7"/>
        <v>0.21279999999999999</v>
      </c>
      <c r="Q21" s="74"/>
      <c r="R21" s="95">
        <f t="shared" si="8"/>
        <v>4.0279999999999996</v>
      </c>
      <c r="S21" s="95"/>
      <c r="T21" s="95"/>
      <c r="U21" s="95"/>
      <c r="V21" s="95"/>
      <c r="W21" s="95"/>
      <c r="X21" s="74">
        <v>2</v>
      </c>
    </row>
    <row r="22" spans="1:26" ht="16.5" thickBot="1" x14ac:dyDescent="0.3">
      <c r="A22" s="74"/>
      <c r="B22" s="74"/>
      <c r="C22" s="91" t="s">
        <v>409</v>
      </c>
      <c r="D22" s="92"/>
      <c r="E22" s="93">
        <f t="shared" si="0"/>
        <v>0</v>
      </c>
      <c r="F22" s="93">
        <f t="shared" si="1"/>
        <v>1.7123939999999997</v>
      </c>
      <c r="G22" s="93">
        <f t="shared" si="2"/>
        <v>4.8978009999999994</v>
      </c>
      <c r="H22" s="93">
        <f t="shared" si="5"/>
        <v>5.8672380000000004</v>
      </c>
      <c r="I22" s="96"/>
      <c r="J22" s="94">
        <f t="shared" si="3"/>
        <v>3718.1255069999997</v>
      </c>
      <c r="K22" s="96"/>
      <c r="L22" s="93">
        <f t="shared" si="4"/>
        <v>0</v>
      </c>
      <c r="M22" s="76"/>
      <c r="N22" s="95">
        <f t="shared" si="9"/>
        <v>5.2534999999999998</v>
      </c>
      <c r="O22" s="95"/>
      <c r="P22" s="95">
        <f t="shared" si="7"/>
        <v>0.21279999999999999</v>
      </c>
      <c r="Q22" s="74"/>
      <c r="R22" s="95">
        <f t="shared" si="8"/>
        <v>5.0729999999999995</v>
      </c>
      <c r="S22" s="95"/>
      <c r="T22" s="95"/>
      <c r="U22" s="95"/>
      <c r="V22" s="95"/>
      <c r="W22" s="95"/>
      <c r="X22" s="74">
        <v>2</v>
      </c>
    </row>
    <row r="23" spans="1:26" ht="16.5" thickBot="1" x14ac:dyDescent="0.3">
      <c r="A23" s="74"/>
      <c r="B23" s="74"/>
      <c r="C23" s="91" t="s">
        <v>112</v>
      </c>
      <c r="D23" s="92"/>
      <c r="E23" s="93">
        <f t="shared" si="0"/>
        <v>0</v>
      </c>
      <c r="F23" s="93">
        <f t="shared" si="1"/>
        <v>0.38908200000000004</v>
      </c>
      <c r="G23" s="93">
        <f t="shared" si="2"/>
        <v>1.1452249999999999</v>
      </c>
      <c r="H23" s="93">
        <f t="shared" si="5"/>
        <v>1.362414</v>
      </c>
      <c r="I23" s="96"/>
      <c r="J23" s="94">
        <f t="shared" si="3"/>
        <v>3781.6615259999994</v>
      </c>
      <c r="K23" s="96"/>
      <c r="L23" s="93">
        <f t="shared" si="4"/>
        <v>0</v>
      </c>
      <c r="M23" s="76"/>
      <c r="N23" s="95">
        <f>1.9*N11</f>
        <v>4.9209999999999994</v>
      </c>
      <c r="O23" s="95"/>
      <c r="P23" s="95">
        <f t="shared" si="7"/>
        <v>0.10639999999999999</v>
      </c>
      <c r="Q23" s="74"/>
      <c r="R23" s="95">
        <f>1.9*R11</f>
        <v>1.121</v>
      </c>
      <c r="S23" s="95"/>
      <c r="T23" s="95"/>
      <c r="U23" s="95"/>
      <c r="V23" s="95"/>
      <c r="W23" s="95">
        <f>1.9*W11</f>
        <v>97.85</v>
      </c>
      <c r="X23" s="74">
        <v>2</v>
      </c>
    </row>
    <row r="24" spans="1:26" ht="16.5" thickBot="1" x14ac:dyDescent="0.3">
      <c r="A24" s="74"/>
      <c r="B24" s="74"/>
      <c r="C24" s="91" t="s">
        <v>109</v>
      </c>
      <c r="D24" s="92"/>
      <c r="E24" s="93">
        <f t="shared" si="0"/>
        <v>0</v>
      </c>
      <c r="F24" s="93">
        <f t="shared" si="1"/>
        <v>0.48940199999999995</v>
      </c>
      <c r="G24" s="93">
        <f t="shared" si="2"/>
        <v>1.4252089999999999</v>
      </c>
      <c r="H24" s="93">
        <f t="shared" si="5"/>
        <v>1.699854</v>
      </c>
      <c r="I24" s="96"/>
      <c r="J24" s="94">
        <f t="shared" si="3"/>
        <v>4576.3760459999994</v>
      </c>
      <c r="K24" s="96"/>
      <c r="L24" s="93">
        <f t="shared" si="4"/>
        <v>0</v>
      </c>
      <c r="M24" s="76"/>
      <c r="N24" s="95">
        <f t="shared" si="9"/>
        <v>6.2130000000000001</v>
      </c>
      <c r="O24" s="95"/>
      <c r="P24" s="95">
        <f t="shared" si="7"/>
        <v>0.10639999999999999</v>
      </c>
      <c r="Q24" s="74"/>
      <c r="R24" s="95">
        <f t="shared" si="8"/>
        <v>1.4249999999999998</v>
      </c>
      <c r="S24" s="95"/>
      <c r="T24" s="95"/>
      <c r="U24" s="95"/>
      <c r="V24" s="95"/>
      <c r="W24" s="95">
        <f>1.9*W12</f>
        <v>123.386</v>
      </c>
      <c r="X24" s="74">
        <v>2</v>
      </c>
    </row>
    <row r="25" spans="1:26" ht="16.5" thickBot="1" x14ac:dyDescent="0.3">
      <c r="A25" s="74"/>
      <c r="B25" s="74"/>
      <c r="C25" s="91" t="s">
        <v>110</v>
      </c>
      <c r="D25" s="92"/>
      <c r="E25" s="93">
        <f t="shared" si="0"/>
        <v>0</v>
      </c>
      <c r="F25" s="93">
        <f t="shared" si="1"/>
        <v>0.65242199999999995</v>
      </c>
      <c r="G25" s="93">
        <f t="shared" si="2"/>
        <v>1.8801829999999999</v>
      </c>
      <c r="H25" s="93">
        <f t="shared" si="5"/>
        <v>2.2481940000000002</v>
      </c>
      <c r="I25" s="96"/>
      <c r="J25" s="94">
        <f t="shared" si="3"/>
        <v>5046.1664359999995</v>
      </c>
      <c r="K25" s="96"/>
      <c r="L25" s="93">
        <f t="shared" si="4"/>
        <v>0</v>
      </c>
      <c r="M25" s="76"/>
      <c r="N25" s="95">
        <f t="shared" si="9"/>
        <v>8.36</v>
      </c>
      <c r="O25" s="95"/>
      <c r="P25" s="95">
        <f t="shared" si="7"/>
        <v>0.10639999999999999</v>
      </c>
      <c r="Q25" s="74"/>
      <c r="R25" s="95">
        <f t="shared" si="8"/>
        <v>1.9189999999999998</v>
      </c>
      <c r="S25" s="95"/>
      <c r="T25" s="95"/>
      <c r="U25" s="95"/>
      <c r="V25" s="95"/>
      <c r="W25" s="95">
        <f>1.9*W13</f>
        <v>123.386</v>
      </c>
      <c r="X25" s="74">
        <v>2</v>
      </c>
    </row>
    <row r="26" spans="1:26" ht="16.5" thickBot="1" x14ac:dyDescent="0.3">
      <c r="A26" s="74"/>
      <c r="B26" s="74"/>
      <c r="C26" s="91" t="s">
        <v>111</v>
      </c>
      <c r="D26" s="92"/>
      <c r="E26" s="93">
        <f t="shared" si="0"/>
        <v>0</v>
      </c>
      <c r="F26" s="93">
        <f t="shared" si="1"/>
        <v>0.81544199999999989</v>
      </c>
      <c r="G26" s="93">
        <f t="shared" si="2"/>
        <v>2.3351569999999997</v>
      </c>
      <c r="H26" s="93">
        <f t="shared" si="5"/>
        <v>2.7965340000000003</v>
      </c>
      <c r="I26" s="96"/>
      <c r="J26" s="94">
        <f t="shared" si="3"/>
        <v>6146.442376</v>
      </c>
      <c r="K26" s="96"/>
      <c r="L26" s="93">
        <f t="shared" si="4"/>
        <v>0</v>
      </c>
      <c r="M26" s="76"/>
      <c r="N26" s="95">
        <f t="shared" si="9"/>
        <v>10.507</v>
      </c>
      <c r="O26" s="95"/>
      <c r="P26" s="95">
        <f t="shared" si="7"/>
        <v>0.10639999999999999</v>
      </c>
      <c r="Q26" s="74"/>
      <c r="R26" s="95">
        <f t="shared" si="8"/>
        <v>2.4129999999999998</v>
      </c>
      <c r="S26" s="95"/>
      <c r="T26" s="95"/>
      <c r="U26" s="95"/>
      <c r="V26" s="95"/>
      <c r="W26" s="95">
        <f>1.9*W14</f>
        <v>155.02099999999999</v>
      </c>
      <c r="X26" s="74">
        <v>2</v>
      </c>
    </row>
    <row r="27" spans="1:26" s="15" customFormat="1" ht="16.5" thickBot="1" x14ac:dyDescent="0.3">
      <c r="A27" s="9"/>
      <c r="B27" s="9"/>
      <c r="C27" s="12" t="s">
        <v>99</v>
      </c>
      <c r="D27" s="13"/>
      <c r="E27" s="14">
        <f t="shared" si="0"/>
        <v>0.17055359999999997</v>
      </c>
      <c r="F27" s="14">
        <f t="shared" si="1"/>
        <v>9.9453823999999996E-2</v>
      </c>
      <c r="G27" s="14">
        <f t="shared" si="2"/>
        <v>0.3618486528</v>
      </c>
      <c r="H27" s="93">
        <f t="shared" si="5"/>
        <v>0.308576448</v>
      </c>
      <c r="I27" s="5"/>
      <c r="J27" s="94">
        <f t="shared" si="3"/>
        <v>445.86099423999985</v>
      </c>
      <c r="K27" s="5"/>
      <c r="L27" s="14">
        <f t="shared" si="4"/>
        <v>5.6851199999999992E-3</v>
      </c>
      <c r="M27" s="10"/>
      <c r="N27" s="8">
        <f>(0.88*0.88+4*0.09*0.09*0.8)/2.5</f>
        <v>0.32012799999999997</v>
      </c>
      <c r="O27" s="8">
        <f>2*(0.7+0.7)*0.8*0.09</f>
        <v>0.20159999999999997</v>
      </c>
      <c r="P27" s="8">
        <v>0.06</v>
      </c>
      <c r="Q27" s="9"/>
      <c r="R27" s="8">
        <f>3*N27*2*0.1+0.09*0.09*0.8*4</f>
        <v>0.21799679999999999</v>
      </c>
      <c r="S27" s="8"/>
      <c r="T27" s="8">
        <f>4*(0.7+0.7)/2*0.8</f>
        <v>2.2399999999999998</v>
      </c>
      <c r="U27" s="8"/>
      <c r="V27" s="8"/>
      <c r="W27" s="95">
        <f>40*R27</f>
        <v>8.7198719999999987</v>
      </c>
      <c r="X27" s="9"/>
      <c r="Y27"/>
      <c r="Z27"/>
    </row>
    <row r="28" spans="1:26" ht="16.5" thickBot="1" x14ac:dyDescent="0.3">
      <c r="A28" s="74"/>
      <c r="B28" s="74"/>
      <c r="C28" s="91" t="s">
        <v>100</v>
      </c>
      <c r="D28" s="92"/>
      <c r="E28" s="93">
        <f t="shared" si="0"/>
        <v>0.28019519999999998</v>
      </c>
      <c r="F28" s="93">
        <f t="shared" si="1"/>
        <v>0.14735024000000002</v>
      </c>
      <c r="G28" s="93">
        <f t="shared" si="2"/>
        <v>0.52819569600000005</v>
      </c>
      <c r="H28" s="93">
        <f t="shared" si="5"/>
        <v>0.43353936000000004</v>
      </c>
      <c r="I28" s="96"/>
      <c r="J28" s="94">
        <f t="shared" si="3"/>
        <v>679.67930079999996</v>
      </c>
      <c r="K28" s="96"/>
      <c r="L28" s="93">
        <f t="shared" si="4"/>
        <v>9.3398400000000003E-3</v>
      </c>
      <c r="M28" s="76"/>
      <c r="N28" s="95">
        <f>(1.1*1.1+4*0.09*0.09*1)/2.5</f>
        <v>0.49696000000000007</v>
      </c>
      <c r="O28" s="95">
        <f>2*(0.92+0.92)*1*0.09</f>
        <v>0.33119999999999999</v>
      </c>
      <c r="P28" s="95">
        <v>0.06</v>
      </c>
      <c r="Q28" s="74"/>
      <c r="R28" s="95">
        <f>3*N28*2*0.1+0.09*0.09*1*4</f>
        <v>0.33057600000000004</v>
      </c>
      <c r="S28" s="95"/>
      <c r="T28" s="95">
        <f>4*(0.92+0.92)/2*1</f>
        <v>3.68</v>
      </c>
      <c r="U28" s="95"/>
      <c r="V28" s="95"/>
      <c r="W28" s="95">
        <f t="shared" ref="W28:W31" si="10">40*R28</f>
        <v>13.223040000000001</v>
      </c>
      <c r="X28" s="74"/>
    </row>
    <row r="29" spans="1:26" ht="16.5" thickBot="1" x14ac:dyDescent="0.3">
      <c r="A29" s="74"/>
      <c r="B29" s="74"/>
      <c r="C29" s="91" t="s">
        <v>73</v>
      </c>
      <c r="D29" s="92"/>
      <c r="E29" s="93">
        <f t="shared" si="0"/>
        <v>0.6822144</v>
      </c>
      <c r="F29" s="93">
        <f t="shared" si="1"/>
        <v>0.25613760000000002</v>
      </c>
      <c r="G29" s="93">
        <f t="shared" si="2"/>
        <v>0.95694329600000005</v>
      </c>
      <c r="H29" s="93">
        <f t="shared" si="5"/>
        <v>0.70038336000000012</v>
      </c>
      <c r="I29" s="96"/>
      <c r="J29" s="94">
        <f t="shared" si="3"/>
        <v>1253.0630154666667</v>
      </c>
      <c r="K29" s="96"/>
      <c r="L29" s="93">
        <f t="shared" si="4"/>
        <v>2.274048E-2</v>
      </c>
      <c r="M29" s="76"/>
      <c r="N29" s="95">
        <f>(1.48*1.48+4*0.14*0.14*1.2)/3</f>
        <v>0.76149333333333324</v>
      </c>
      <c r="O29" s="95">
        <f>2*(1.2+1.2)*1.2*0.14</f>
        <v>0.80640000000000001</v>
      </c>
      <c r="P29" s="95">
        <v>0.08</v>
      </c>
      <c r="Q29" s="74"/>
      <c r="R29" s="95">
        <f>3*N29*2*0.1+0.14*0.14*1.2*4</f>
        <v>0.55097600000000002</v>
      </c>
      <c r="S29" s="95"/>
      <c r="T29" s="95">
        <f>4*(1.2+1.2)/2*1.2</f>
        <v>5.76</v>
      </c>
      <c r="U29" s="95"/>
      <c r="V29" s="95"/>
      <c r="W29" s="95">
        <f t="shared" si="10"/>
        <v>22.03904</v>
      </c>
      <c r="X29" s="74"/>
    </row>
    <row r="30" spans="1:26" ht="16.5" thickBot="1" x14ac:dyDescent="0.3">
      <c r="A30" s="74"/>
      <c r="B30" s="74"/>
      <c r="C30" s="91" t="s">
        <v>74</v>
      </c>
      <c r="D30" s="92"/>
      <c r="E30" s="93">
        <f t="shared" si="0"/>
        <v>0.92856959999999988</v>
      </c>
      <c r="F30" s="93">
        <f t="shared" si="1"/>
        <v>0.33109503999999995</v>
      </c>
      <c r="G30" s="93">
        <f t="shared" si="2"/>
        <v>1.2541824319999999</v>
      </c>
      <c r="H30" s="93">
        <f t="shared" si="5"/>
        <v>0.89487311999999997</v>
      </c>
      <c r="I30" s="96"/>
      <c r="J30" s="94">
        <f t="shared" si="3"/>
        <v>1631.845738933333</v>
      </c>
      <c r="K30" s="96"/>
      <c r="L30" s="93">
        <f t="shared" si="4"/>
        <v>3.0952319999999998E-2</v>
      </c>
      <c r="M30" s="76"/>
      <c r="N30" s="95">
        <f>(1.68*1.68+4*0.14*0.14*1.4)/3</f>
        <v>0.97738666666666651</v>
      </c>
      <c r="O30" s="95">
        <f>2*(1.4+1.4)*1.4*0.14</f>
        <v>1.0975999999999999</v>
      </c>
      <c r="P30" s="95">
        <v>0.11</v>
      </c>
      <c r="Q30" s="74"/>
      <c r="R30" s="95">
        <f>3*N30*2*0.1+0.14*0.14*1.4*4</f>
        <v>0.69619199999999992</v>
      </c>
      <c r="S30" s="95"/>
      <c r="T30" s="95">
        <f>4*(1.4+1.4)/2*1.4</f>
        <v>7.839999999999999</v>
      </c>
      <c r="U30" s="95"/>
      <c r="V30" s="95"/>
      <c r="W30" s="95">
        <f t="shared" si="10"/>
        <v>27.847679999999997</v>
      </c>
      <c r="X30" s="74"/>
    </row>
    <row r="31" spans="1:26" ht="16.5" thickBot="1" x14ac:dyDescent="0.3">
      <c r="A31" s="74"/>
      <c r="B31" s="74"/>
      <c r="C31" s="91" t="s">
        <v>75</v>
      </c>
      <c r="D31" s="92"/>
      <c r="E31" s="93">
        <f t="shared" si="0"/>
        <v>1.3189478400000001</v>
      </c>
      <c r="F31" s="93">
        <f t="shared" si="1"/>
        <v>0.45250179200000007</v>
      </c>
      <c r="G31" s="93">
        <f t="shared" si="2"/>
        <v>1.7334338080000002</v>
      </c>
      <c r="H31" s="93">
        <f t="shared" si="5"/>
        <v>1.2150148800000002</v>
      </c>
      <c r="I31" s="96"/>
      <c r="J31" s="94">
        <f t="shared" si="3"/>
        <v>2246.2115170666666</v>
      </c>
      <c r="K31" s="96"/>
      <c r="L31" s="93">
        <f t="shared" si="4"/>
        <v>4.3964928000000007E-2</v>
      </c>
      <c r="M31" s="76"/>
      <c r="N31" s="95">
        <f>(1.98*1.98+4*0.14*0.14*1.6)/3</f>
        <v>1.3486133333333334</v>
      </c>
      <c r="O31" s="95">
        <f>2*(1.7+1.78)*1.6*0.14</f>
        <v>1.5590400000000002</v>
      </c>
      <c r="P31" s="95">
        <v>0.16</v>
      </c>
      <c r="Q31" s="74"/>
      <c r="R31" s="95">
        <f>3*N31*2*0.1+0.14*0.14*1.6*4</f>
        <v>0.93460800000000011</v>
      </c>
      <c r="S31" s="95"/>
      <c r="T31" s="95">
        <f>4*(1.7+1.7)/2*1.6</f>
        <v>10.88</v>
      </c>
      <c r="U31" s="95"/>
      <c r="V31" s="95"/>
      <c r="W31" s="95">
        <f t="shared" si="10"/>
        <v>37.384320000000002</v>
      </c>
      <c r="X31" s="74"/>
    </row>
    <row r="32" spans="1:26" ht="16.5" thickBot="1" x14ac:dyDescent="0.3">
      <c r="A32" s="74"/>
      <c r="B32" s="74"/>
      <c r="C32" s="91" t="s">
        <v>410</v>
      </c>
      <c r="D32" s="92"/>
      <c r="E32" s="93">
        <f t="shared" si="0"/>
        <v>0</v>
      </c>
      <c r="F32" s="93">
        <f t="shared" si="1"/>
        <v>0.1320288</v>
      </c>
      <c r="G32" s="93">
        <f t="shared" si="2"/>
        <v>0.40193856</v>
      </c>
      <c r="H32" s="93">
        <f t="shared" si="5"/>
        <v>0.47436960000000006</v>
      </c>
      <c r="I32" s="96"/>
      <c r="J32" s="94">
        <f t="shared" si="3"/>
        <v>472.87069962666669</v>
      </c>
      <c r="K32" s="96"/>
      <c r="L32" s="93">
        <f t="shared" si="4"/>
        <v>0</v>
      </c>
      <c r="M32" s="76"/>
      <c r="N32" s="95">
        <f>N37/2</f>
        <v>0.94933333333333358</v>
      </c>
      <c r="O32" s="95"/>
      <c r="P32" s="95">
        <v>0.06</v>
      </c>
      <c r="Q32" s="74"/>
      <c r="R32" s="95">
        <f>(4*0.8*0.12*(0.7+0.88)/2+(0.8*0.8)*0.1)</f>
        <v>0.36736000000000002</v>
      </c>
      <c r="S32" s="95"/>
      <c r="T32" s="95"/>
      <c r="U32" s="95"/>
      <c r="V32" s="95"/>
      <c r="W32" s="95">
        <f>W27</f>
        <v>8.7198719999999987</v>
      </c>
      <c r="X32" s="74"/>
    </row>
    <row r="33" spans="1:24" ht="16.5" thickBot="1" x14ac:dyDescent="0.3">
      <c r="A33" s="74"/>
      <c r="B33" s="74"/>
      <c r="C33" s="91" t="s">
        <v>411</v>
      </c>
      <c r="D33" s="92"/>
      <c r="E33" s="93">
        <f t="shared" si="0"/>
        <v>0</v>
      </c>
      <c r="F33" s="93">
        <f t="shared" si="1"/>
        <v>0.20444730000000003</v>
      </c>
      <c r="G33" s="93">
        <f t="shared" si="2"/>
        <v>0.60405201000000008</v>
      </c>
      <c r="H33" s="93">
        <f t="shared" si="5"/>
        <v>0.71795910000000007</v>
      </c>
      <c r="I33" s="96"/>
      <c r="J33" s="94">
        <f t="shared" si="3"/>
        <v>727.42920736666667</v>
      </c>
      <c r="K33" s="96"/>
      <c r="L33" s="93">
        <f t="shared" si="4"/>
        <v>0</v>
      </c>
      <c r="M33" s="76"/>
      <c r="N33" s="95">
        <f>N38/2</f>
        <v>1.5166833333333332</v>
      </c>
      <c r="O33" s="95"/>
      <c r="P33" s="95">
        <v>0.06</v>
      </c>
      <c r="Q33" s="74"/>
      <c r="R33" s="95">
        <f>(4*1*0.12*(0.92+1.1)/2+(1.01*1.01)*0.1)</f>
        <v>0.58681000000000005</v>
      </c>
      <c r="S33" s="95"/>
      <c r="T33" s="95"/>
      <c r="U33" s="95"/>
      <c r="V33" s="95"/>
      <c r="W33" s="95">
        <f>W28</f>
        <v>13.223040000000001</v>
      </c>
      <c r="X33" s="74"/>
    </row>
    <row r="34" spans="1:24" ht="16.5" thickBot="1" x14ac:dyDescent="0.3">
      <c r="A34" s="74"/>
      <c r="B34" s="74"/>
      <c r="C34" s="91" t="s">
        <v>412</v>
      </c>
      <c r="D34" s="92"/>
      <c r="E34" s="93">
        <f t="shared" si="0"/>
        <v>0</v>
      </c>
      <c r="F34" s="93">
        <f t="shared" si="1"/>
        <v>0.38327894999999995</v>
      </c>
      <c r="G34" s="93">
        <f t="shared" si="2"/>
        <v>1.1143076149999998</v>
      </c>
      <c r="H34" s="93">
        <f t="shared" si="5"/>
        <v>1.3295746499999999</v>
      </c>
      <c r="I34" s="96"/>
      <c r="J34" s="94">
        <f t="shared" si="3"/>
        <v>1258.9916435333332</v>
      </c>
      <c r="K34" s="96"/>
      <c r="L34" s="93">
        <f t="shared" si="4"/>
        <v>0</v>
      </c>
      <c r="M34" s="76"/>
      <c r="N34" s="95">
        <f>N39/2</f>
        <v>2.4432666666666667</v>
      </c>
      <c r="O34" s="95"/>
      <c r="P34" s="95">
        <v>0.08</v>
      </c>
      <c r="Q34" s="74"/>
      <c r="R34" s="95">
        <f>(4*1.2*0.15*(1.2+1.48)/2+(1.01*1.01)*0.15)</f>
        <v>1.1178149999999998</v>
      </c>
      <c r="S34" s="95"/>
      <c r="T34" s="95"/>
      <c r="U34" s="95"/>
      <c r="V34" s="95"/>
      <c r="W34" s="95">
        <f>W29</f>
        <v>22.03904</v>
      </c>
      <c r="X34" s="74"/>
    </row>
    <row r="35" spans="1:24" ht="16.5" thickBot="1" x14ac:dyDescent="0.3">
      <c r="A35" s="74"/>
      <c r="B35" s="74"/>
      <c r="C35" s="91" t="s">
        <v>413</v>
      </c>
      <c r="D35" s="92"/>
      <c r="E35" s="93">
        <f t="shared" si="0"/>
        <v>0</v>
      </c>
      <c r="F35" s="93">
        <f t="shared" si="1"/>
        <v>0.56408220000000009</v>
      </c>
      <c r="G35" s="93">
        <f t="shared" si="2"/>
        <v>1.6356421400000001</v>
      </c>
      <c r="H35" s="93">
        <f t="shared" si="5"/>
        <v>1.9528674000000004</v>
      </c>
      <c r="I35" s="96"/>
      <c r="J35" s="94">
        <f t="shared" si="3"/>
        <v>1723.3806070666665</v>
      </c>
      <c r="K35" s="96"/>
      <c r="L35" s="93">
        <f t="shared" si="4"/>
        <v>0</v>
      </c>
      <c r="M35" s="76"/>
      <c r="N35" s="95">
        <f>N40/2</f>
        <v>3.2699333333333329</v>
      </c>
      <c r="O35" s="95"/>
      <c r="P35" s="95">
        <v>0.11</v>
      </c>
      <c r="Q35" s="74"/>
      <c r="R35" s="95">
        <f>(4*1.4*0.15*(1.4+1.68)/2+(1.54*1.54)*0.15)</f>
        <v>1.64934</v>
      </c>
      <c r="S35" s="95"/>
      <c r="T35" s="95"/>
      <c r="U35" s="95"/>
      <c r="V35" s="95"/>
      <c r="W35" s="95">
        <f>W30</f>
        <v>27.847679999999997</v>
      </c>
      <c r="X35" s="74"/>
    </row>
    <row r="36" spans="1:24" ht="16.5" thickBot="1" x14ac:dyDescent="0.3">
      <c r="A36" s="74"/>
      <c r="B36" s="74"/>
      <c r="C36" s="91" t="s">
        <v>414</v>
      </c>
      <c r="D36" s="92"/>
      <c r="E36" s="93">
        <f t="shared" si="0"/>
        <v>0</v>
      </c>
      <c r="F36" s="93">
        <f t="shared" si="1"/>
        <v>0.77929919999999997</v>
      </c>
      <c r="G36" s="93">
        <f t="shared" si="2"/>
        <v>2.26417504</v>
      </c>
      <c r="H36" s="93">
        <f t="shared" si="5"/>
        <v>2.7020064000000001</v>
      </c>
      <c r="I36" s="96"/>
      <c r="J36" s="94">
        <f t="shared" si="3"/>
        <v>2357.1571455999997</v>
      </c>
      <c r="K36" s="96"/>
      <c r="L36" s="93">
        <f t="shared" si="4"/>
        <v>0</v>
      </c>
      <c r="M36" s="76"/>
      <c r="N36" s="95">
        <f>N41/2</f>
        <v>4.4896000000000003</v>
      </c>
      <c r="O36" s="95"/>
      <c r="P36" s="95">
        <v>0.16</v>
      </c>
      <c r="Q36" s="74"/>
      <c r="R36" s="95">
        <f>(4*1.6*0.15*(1.7+1.98)/2+(1.84*1.84)*0.15)</f>
        <v>2.2742399999999998</v>
      </c>
      <c r="S36" s="95"/>
      <c r="T36" s="95"/>
      <c r="U36" s="95"/>
      <c r="V36" s="95"/>
      <c r="W36" s="95">
        <f>W31</f>
        <v>37.384320000000002</v>
      </c>
      <c r="X36" s="74"/>
    </row>
    <row r="37" spans="1:24" ht="16.5" thickBot="1" x14ac:dyDescent="0.3">
      <c r="A37" s="74"/>
      <c r="B37" s="74"/>
      <c r="C37" s="91" t="s">
        <v>415</v>
      </c>
      <c r="D37" s="92"/>
      <c r="E37" s="93">
        <f t="shared" si="0"/>
        <v>0</v>
      </c>
      <c r="F37" s="93">
        <f t="shared" si="1"/>
        <v>0.13625280000000003</v>
      </c>
      <c r="G37" s="93">
        <f t="shared" si="2"/>
        <v>0.41372736000000004</v>
      </c>
      <c r="H37" s="93">
        <f t="shared" si="5"/>
        <v>0.48857760000000011</v>
      </c>
      <c r="I37" s="96"/>
      <c r="J37" s="94">
        <f t="shared" si="3"/>
        <v>980.9584573333334</v>
      </c>
      <c r="K37" s="96"/>
      <c r="L37" s="93">
        <f t="shared" si="4"/>
        <v>0</v>
      </c>
      <c r="M37" s="76"/>
      <c r="N37" s="95">
        <f>(4*0.8*(0.7+0.88)+(0.8*0.8))/3</f>
        <v>1.8986666666666672</v>
      </c>
      <c r="O37" s="95"/>
      <c r="P37" s="95">
        <v>0.06</v>
      </c>
      <c r="Q37" s="74"/>
      <c r="R37" s="95">
        <f>(4*0.8*0.12*(0.7+0.88)/2+(0.8*0.8)*0.12)</f>
        <v>0.38016000000000005</v>
      </c>
      <c r="S37" s="95"/>
      <c r="T37" s="95"/>
      <c r="U37" s="95"/>
      <c r="V37" s="95"/>
      <c r="W37" s="95">
        <f>ROUND(R37*75,2)</f>
        <v>28.51</v>
      </c>
      <c r="X37" s="74"/>
    </row>
    <row r="38" spans="1:24" ht="16.5" thickBot="1" x14ac:dyDescent="0.3">
      <c r="A38" s="74"/>
      <c r="B38" s="74"/>
      <c r="C38" s="91" t="s">
        <v>416</v>
      </c>
      <c r="D38" s="92"/>
      <c r="E38" s="93">
        <f t="shared" si="0"/>
        <v>0</v>
      </c>
      <c r="F38" s="93">
        <f t="shared" si="1"/>
        <v>0.21117996</v>
      </c>
      <c r="G38" s="93">
        <f t="shared" si="2"/>
        <v>0.62284225199999999</v>
      </c>
      <c r="H38" s="93">
        <f t="shared" si="5"/>
        <v>0.74060532000000001</v>
      </c>
      <c r="I38" s="96"/>
      <c r="J38" s="94">
        <f t="shared" si="3"/>
        <v>1553.0878211333334</v>
      </c>
      <c r="K38" s="96"/>
      <c r="L38" s="93">
        <f t="shared" si="4"/>
        <v>0</v>
      </c>
      <c r="M38" s="76"/>
      <c r="N38" s="95">
        <f>(4*1*(0.92+1.1)+(1.01*1.01))/3</f>
        <v>3.0333666666666663</v>
      </c>
      <c r="O38" s="95"/>
      <c r="P38" s="95">
        <v>0.06</v>
      </c>
      <c r="Q38" s="74"/>
      <c r="R38" s="95">
        <f>(4*1*0.12*(0.92+1.1)/2+(1.01*1.01)*0.12)</f>
        <v>0.60721199999999997</v>
      </c>
      <c r="S38" s="95"/>
      <c r="T38" s="95"/>
      <c r="U38" s="95"/>
      <c r="V38" s="95"/>
      <c r="W38" s="95">
        <f t="shared" ref="W38" si="11">ROUND(R38*75,2)</f>
        <v>45.54</v>
      </c>
      <c r="X38" s="74"/>
    </row>
    <row r="39" spans="1:24" ht="16.5" thickBot="1" x14ac:dyDescent="0.3">
      <c r="A39" s="74"/>
      <c r="B39" s="74"/>
      <c r="C39" s="91" t="s">
        <v>417</v>
      </c>
      <c r="D39" s="92"/>
      <c r="E39" s="93">
        <f t="shared" si="0"/>
        <v>0</v>
      </c>
      <c r="F39" s="93">
        <f t="shared" si="1"/>
        <v>0.38327894999999995</v>
      </c>
      <c r="G39" s="93">
        <f t="shared" si="2"/>
        <v>1.1143076149999998</v>
      </c>
      <c r="H39" s="93">
        <f t="shared" si="5"/>
        <v>1.3295746499999999</v>
      </c>
      <c r="I39" s="96"/>
      <c r="J39" s="94">
        <f t="shared" si="3"/>
        <v>2656.7578716666667</v>
      </c>
      <c r="K39" s="96"/>
      <c r="L39" s="93">
        <f t="shared" si="4"/>
        <v>0</v>
      </c>
      <c r="M39" s="76"/>
      <c r="N39" s="95">
        <f>(4*1.2*(1.2+1.48)+(1.34*1.34))/3</f>
        <v>4.8865333333333334</v>
      </c>
      <c r="O39" s="95"/>
      <c r="P39" s="95">
        <v>0.08</v>
      </c>
      <c r="Q39" s="74"/>
      <c r="R39" s="95">
        <f>(4*1.2*0.15*(1.2+1.48)/2+(1.01*1.01)*0.15)</f>
        <v>1.1178149999999998</v>
      </c>
      <c r="S39" s="95"/>
      <c r="T39" s="95"/>
      <c r="U39" s="95"/>
      <c r="V39" s="95"/>
      <c r="W39" s="95">
        <f>ROUND(R39*70,2)</f>
        <v>78.25</v>
      </c>
      <c r="X39" s="74"/>
    </row>
    <row r="40" spans="1:24" ht="16.5" thickBot="1" x14ac:dyDescent="0.3">
      <c r="A40" s="74"/>
      <c r="B40" s="74"/>
      <c r="C40" s="91" t="s">
        <v>418</v>
      </c>
      <c r="D40" s="92"/>
      <c r="E40" s="93">
        <f t="shared" si="0"/>
        <v>0</v>
      </c>
      <c r="F40" s="93">
        <f t="shared" si="1"/>
        <v>0.56408220000000009</v>
      </c>
      <c r="G40" s="93">
        <f t="shared" si="2"/>
        <v>1.6356421400000001</v>
      </c>
      <c r="H40" s="93">
        <f t="shared" si="5"/>
        <v>1.9528674000000004</v>
      </c>
      <c r="I40" s="96"/>
      <c r="J40" s="94">
        <f t="shared" si="3"/>
        <v>3840.6611733333334</v>
      </c>
      <c r="K40" s="96"/>
      <c r="L40" s="93">
        <f t="shared" si="4"/>
        <v>0</v>
      </c>
      <c r="M40" s="76"/>
      <c r="N40" s="95">
        <f>(4*1.4*(1.4+1.68)+(1.54*1.54))/3</f>
        <v>6.5398666666666658</v>
      </c>
      <c r="O40" s="95"/>
      <c r="P40" s="95">
        <v>0.11</v>
      </c>
      <c r="Q40" s="74"/>
      <c r="R40" s="95">
        <f>(4*1.4*0.15*(1.4+1.68)/2+(1.54*1.54)*0.15)</f>
        <v>1.64934</v>
      </c>
      <c r="S40" s="95"/>
      <c r="T40" s="95"/>
      <c r="U40" s="95"/>
      <c r="V40" s="95"/>
      <c r="W40" s="95">
        <f t="shared" ref="W40:W43" si="12">ROUND(R40*70,2)</f>
        <v>115.45</v>
      </c>
      <c r="X40" s="74"/>
    </row>
    <row r="41" spans="1:24" ht="16.5" thickBot="1" x14ac:dyDescent="0.3">
      <c r="A41" s="74"/>
      <c r="B41" s="74"/>
      <c r="C41" s="91" t="s">
        <v>419</v>
      </c>
      <c r="D41" s="92"/>
      <c r="E41" s="93">
        <f t="shared" si="0"/>
        <v>0</v>
      </c>
      <c r="F41" s="93">
        <f t="shared" si="1"/>
        <v>0.77929919999999997</v>
      </c>
      <c r="G41" s="93">
        <f t="shared" si="2"/>
        <v>2.26417504</v>
      </c>
      <c r="H41" s="93">
        <f t="shared" si="5"/>
        <v>2.7020064000000001</v>
      </c>
      <c r="I41" s="96"/>
      <c r="J41" s="94">
        <f t="shared" si="3"/>
        <v>5294.8275199999998</v>
      </c>
      <c r="K41" s="96"/>
      <c r="L41" s="93">
        <f t="shared" si="4"/>
        <v>0</v>
      </c>
      <c r="M41" s="76"/>
      <c r="N41" s="95">
        <f>(4*1.6*(1.7+1.98)+(1.84*1.84))/3</f>
        <v>8.9792000000000005</v>
      </c>
      <c r="O41" s="95"/>
      <c r="P41" s="95">
        <v>0.16</v>
      </c>
      <c r="Q41" s="74"/>
      <c r="R41" s="95">
        <f>(4*1.6*0.15*(1.7+1.98)/2+(1.84*1.84)*0.15)</f>
        <v>2.2742399999999998</v>
      </c>
      <c r="S41" s="95"/>
      <c r="T41" s="95"/>
      <c r="U41" s="95"/>
      <c r="V41" s="95"/>
      <c r="W41" s="95">
        <f t="shared" si="12"/>
        <v>159.19999999999999</v>
      </c>
      <c r="X41" s="74"/>
    </row>
    <row r="42" spans="1:24" ht="16.5" thickBot="1" x14ac:dyDescent="0.3">
      <c r="A42" s="74"/>
      <c r="B42" s="74"/>
      <c r="C42" s="91" t="s">
        <v>420</v>
      </c>
      <c r="D42" s="92"/>
      <c r="E42" s="93">
        <f t="shared" si="0"/>
        <v>0</v>
      </c>
      <c r="F42" s="93">
        <f t="shared" si="1"/>
        <v>1.2096229499999998</v>
      </c>
      <c r="G42" s="93">
        <f t="shared" si="2"/>
        <v>3.5097804149999998</v>
      </c>
      <c r="H42" s="93">
        <f t="shared" si="5"/>
        <v>4.18982265</v>
      </c>
      <c r="I42" s="96"/>
      <c r="J42" s="94">
        <f t="shared" si="3"/>
        <v>7829.9574102499992</v>
      </c>
      <c r="K42" s="96"/>
      <c r="L42" s="93">
        <f t="shared" si="4"/>
        <v>0</v>
      </c>
      <c r="M42" s="76"/>
      <c r="N42" s="95">
        <f>(4*2*(2.1+2.48)+(2.29*2.29))/4</f>
        <v>10.471025000000001</v>
      </c>
      <c r="O42" s="95"/>
      <c r="P42" s="95">
        <v>0.24</v>
      </c>
      <c r="Q42" s="74"/>
      <c r="R42" s="95">
        <f>(4*2*0.15*(2.1+2.48)/2+(2.29*2.29)*0.15)</f>
        <v>3.5346149999999996</v>
      </c>
      <c r="S42" s="95"/>
      <c r="T42" s="95"/>
      <c r="U42" s="95"/>
      <c r="V42" s="95"/>
      <c r="W42" s="95">
        <f t="shared" si="12"/>
        <v>247.42</v>
      </c>
      <c r="X42" s="74"/>
    </row>
    <row r="43" spans="1:24" ht="16.5" thickBot="1" x14ac:dyDescent="0.3">
      <c r="A43" s="74"/>
      <c r="B43" s="74"/>
      <c r="C43" s="91" t="s">
        <v>421</v>
      </c>
      <c r="D43" s="92"/>
      <c r="E43" s="93">
        <f t="shared" si="0"/>
        <v>0</v>
      </c>
      <c r="F43" s="93">
        <f t="shared" si="1"/>
        <v>1.9087789500000001</v>
      </c>
      <c r="G43" s="93">
        <f t="shared" si="2"/>
        <v>5.5279776150000002</v>
      </c>
      <c r="H43" s="93">
        <f t="shared" si="5"/>
        <v>6.6020746500000005</v>
      </c>
      <c r="I43" s="96"/>
      <c r="J43" s="94">
        <f t="shared" si="3"/>
        <v>12369.133980250001</v>
      </c>
      <c r="K43" s="96"/>
      <c r="L43" s="93">
        <f t="shared" si="4"/>
        <v>0</v>
      </c>
      <c r="M43" s="76"/>
      <c r="N43" s="95">
        <f>(4*2.5*(2.7+3.08)+(2.89*2.89))/4</f>
        <v>16.538025000000001</v>
      </c>
      <c r="O43" s="95"/>
      <c r="P43" s="95">
        <v>0.36</v>
      </c>
      <c r="Q43" s="74"/>
      <c r="R43" s="95">
        <f>(4*2.5*0.15*(2.7+3.08)/2+(2.89*2.89)*0.15)</f>
        <v>5.587815</v>
      </c>
      <c r="S43" s="95"/>
      <c r="T43" s="95"/>
      <c r="U43" s="95"/>
      <c r="V43" s="95"/>
      <c r="W43" s="95">
        <f t="shared" si="12"/>
        <v>391.15</v>
      </c>
      <c r="X43" s="74"/>
    </row>
    <row r="44" spans="1:24" ht="16.5" thickBot="1" x14ac:dyDescent="0.3">
      <c r="A44" s="74"/>
      <c r="B44" s="74"/>
      <c r="C44" s="91" t="s">
        <v>145</v>
      </c>
      <c r="D44" s="92"/>
      <c r="E44" s="93">
        <f t="shared" si="0"/>
        <v>0.54144000000000003</v>
      </c>
      <c r="F44" s="93">
        <f t="shared" si="1"/>
        <v>0.35276220000000008</v>
      </c>
      <c r="G44" s="93">
        <f t="shared" si="2"/>
        <v>1.1888125000000003</v>
      </c>
      <c r="H44" s="93">
        <f t="shared" si="5"/>
        <v>1.1100000000000001</v>
      </c>
      <c r="I44" s="96">
        <v>1</v>
      </c>
      <c r="J44" s="94">
        <f t="shared" si="3"/>
        <v>2236.6139680000001</v>
      </c>
      <c r="K44" s="96">
        <v>1</v>
      </c>
      <c r="L44" s="93">
        <f t="shared" si="4"/>
        <v>1.8048000000000002E-2</v>
      </c>
      <c r="M44" s="76"/>
      <c r="N44" s="95">
        <f>ROUND((4.9+2*0.5)/5,2)</f>
        <v>1.18</v>
      </c>
      <c r="O44" s="95">
        <f>ROUND((1.285*0.5),2)</f>
        <v>0.64</v>
      </c>
      <c r="P44" s="95">
        <v>0.1</v>
      </c>
      <c r="Q44" s="74"/>
      <c r="R44" s="95">
        <f>ROUND((0.8 +0.205 *0.5),2)</f>
        <v>0.9</v>
      </c>
      <c r="S44" s="95"/>
      <c r="T44" s="95">
        <f>ROUND((0.12 *0.5),2)</f>
        <v>0.06</v>
      </c>
      <c r="U44" s="95"/>
      <c r="V44" s="95"/>
      <c r="W44" s="95">
        <f>ROUND((21.07 +8.54 *0.5),2)</f>
        <v>25.34</v>
      </c>
      <c r="X44" s="74"/>
    </row>
    <row r="45" spans="1:24" ht="16.5" thickBot="1" x14ac:dyDescent="0.3">
      <c r="A45" s="74"/>
      <c r="B45" s="74"/>
      <c r="C45" s="91" t="s">
        <v>146</v>
      </c>
      <c r="D45" s="92"/>
      <c r="E45" s="93">
        <f t="shared" si="0"/>
        <v>0.76139999999999997</v>
      </c>
      <c r="F45" s="93">
        <f t="shared" si="1"/>
        <v>0.38489359999999995</v>
      </c>
      <c r="G45" s="93">
        <f t="shared" si="2"/>
        <v>1.3499699999999999</v>
      </c>
      <c r="H45" s="93">
        <f t="shared" si="5"/>
        <v>1.1766000000000001</v>
      </c>
      <c r="I45" s="96">
        <v>1</v>
      </c>
      <c r="J45" s="94">
        <f t="shared" si="3"/>
        <v>2445.2237239999995</v>
      </c>
      <c r="K45" s="96">
        <v>1</v>
      </c>
      <c r="L45" s="93">
        <f t="shared" si="4"/>
        <v>2.538E-2</v>
      </c>
      <c r="M45" s="76"/>
      <c r="N45" s="95">
        <f>ROUND((4.9+2*0.7)/5,2)</f>
        <v>1.26</v>
      </c>
      <c r="O45" s="95">
        <f>ROUND((1.285*0.7),2)</f>
        <v>0.9</v>
      </c>
      <c r="P45" s="95">
        <v>0.12</v>
      </c>
      <c r="Q45" s="74"/>
      <c r="R45" s="95">
        <f>ROUND((0.8 +0.205 *0.7),2)</f>
        <v>0.94</v>
      </c>
      <c r="S45" s="95"/>
      <c r="T45" s="95">
        <f>ROUND((0.12 *0.7),2)</f>
        <v>0.08</v>
      </c>
      <c r="U45" s="95"/>
      <c r="V45" s="95"/>
      <c r="W45" s="95">
        <f>ROUND((21.07 +8.54 *0.7),2)</f>
        <v>27.05</v>
      </c>
      <c r="X45" s="74"/>
    </row>
    <row r="46" spans="1:24" ht="16.5" thickBot="1" x14ac:dyDescent="0.3">
      <c r="A46" s="74"/>
      <c r="B46" s="74"/>
      <c r="C46" s="91" t="s">
        <v>147</v>
      </c>
      <c r="D46" s="92"/>
      <c r="E46" s="93">
        <f t="shared" si="0"/>
        <v>1.09134</v>
      </c>
      <c r="F46" s="93">
        <f t="shared" si="1"/>
        <v>0.43281240000000004</v>
      </c>
      <c r="G46" s="93">
        <f t="shared" si="2"/>
        <v>1.5797950000000001</v>
      </c>
      <c r="H46" s="93">
        <f t="shared" si="5"/>
        <v>1.2654000000000003</v>
      </c>
      <c r="I46" s="96">
        <v>1</v>
      </c>
      <c r="J46" s="94">
        <f t="shared" si="3"/>
        <v>2754.8879360000001</v>
      </c>
      <c r="K46" s="96">
        <v>1</v>
      </c>
      <c r="L46" s="93">
        <f t="shared" si="4"/>
        <v>3.6378000000000001E-2</v>
      </c>
      <c r="M46" s="76"/>
      <c r="N46" s="95">
        <f>ROUND((4.9+2*1)/5,2)</f>
        <v>1.38</v>
      </c>
      <c r="O46" s="95">
        <f>ROUND((1.285*1),2)</f>
        <v>1.29</v>
      </c>
      <c r="P46" s="95">
        <v>0.13</v>
      </c>
      <c r="Q46" s="74">
        <f>(Q45+Q47)/2</f>
        <v>0</v>
      </c>
      <c r="R46" s="95">
        <f>ROUND((0.8 +0.205 *1),2)</f>
        <v>1.01</v>
      </c>
      <c r="S46" s="95"/>
      <c r="T46" s="95">
        <f>ROUND((0.12 *1),2)</f>
        <v>0.12</v>
      </c>
      <c r="U46" s="95"/>
      <c r="V46" s="95"/>
      <c r="W46" s="95">
        <f>ROUND((21.07 +8.54 *1),2)</f>
        <v>29.61</v>
      </c>
      <c r="X46" s="74"/>
    </row>
    <row r="47" spans="1:24" ht="16.5" thickBot="1" x14ac:dyDescent="0.3">
      <c r="A47" s="74"/>
      <c r="B47" s="74"/>
      <c r="C47" s="91" t="s">
        <v>148</v>
      </c>
      <c r="D47" s="92"/>
      <c r="E47" s="93">
        <f t="shared" si="0"/>
        <v>1.30284</v>
      </c>
      <c r="F47" s="93">
        <f t="shared" si="1"/>
        <v>0.46255580000000002</v>
      </c>
      <c r="G47" s="93">
        <f t="shared" si="2"/>
        <v>1.7263925000000002</v>
      </c>
      <c r="H47" s="93">
        <f t="shared" si="5"/>
        <v>1.3209000000000002</v>
      </c>
      <c r="I47" s="96">
        <v>1</v>
      </c>
      <c r="J47" s="94">
        <f t="shared" si="3"/>
        <v>2954.2647919999999</v>
      </c>
      <c r="K47" s="96">
        <v>1</v>
      </c>
      <c r="L47" s="93">
        <f t="shared" si="4"/>
        <v>4.3428000000000001E-2</v>
      </c>
      <c r="M47" s="76"/>
      <c r="N47" s="95">
        <f>ROUND((4.9+2*1.2)/5,2)</f>
        <v>1.46</v>
      </c>
      <c r="O47" s="95">
        <f>ROUND((1.285*1.2),2)</f>
        <v>1.54</v>
      </c>
      <c r="P47" s="95">
        <v>0.14000000000000001</v>
      </c>
      <c r="Q47" s="74"/>
      <c r="R47" s="95">
        <f>ROUND((0.8 +0.205 *1.2),2)</f>
        <v>1.05</v>
      </c>
      <c r="S47" s="95"/>
      <c r="T47" s="95">
        <f>ROUND((0.12 *1.2),2)</f>
        <v>0.14000000000000001</v>
      </c>
      <c r="U47" s="95"/>
      <c r="V47" s="95"/>
      <c r="W47" s="95">
        <f>ROUND((21.07 +8.54 *1.2),2)</f>
        <v>31.32</v>
      </c>
      <c r="X47" s="74"/>
    </row>
    <row r="48" spans="1:24" ht="16.5" thickBot="1" x14ac:dyDescent="0.3">
      <c r="A48" s="74"/>
      <c r="B48" s="74"/>
      <c r="C48" s="91" t="s">
        <v>149</v>
      </c>
      <c r="D48" s="92"/>
      <c r="E48" s="93">
        <f t="shared" si="0"/>
        <v>1.6327799999999999</v>
      </c>
      <c r="F48" s="93">
        <f t="shared" si="1"/>
        <v>0.50537460000000012</v>
      </c>
      <c r="G48" s="93">
        <f t="shared" si="2"/>
        <v>1.9364075000000001</v>
      </c>
      <c r="H48" s="93">
        <f t="shared" si="5"/>
        <v>1.3875000000000002</v>
      </c>
      <c r="I48" s="96">
        <v>1</v>
      </c>
      <c r="J48" s="94">
        <f t="shared" si="3"/>
        <v>3255.4821039999997</v>
      </c>
      <c r="K48" s="96">
        <v>1</v>
      </c>
      <c r="L48" s="93">
        <f t="shared" si="4"/>
        <v>5.4425999999999995E-2</v>
      </c>
      <c r="M48" s="76"/>
      <c r="N48" s="95">
        <f>ROUND((4.9+2*1.5)/5,2)</f>
        <v>1.58</v>
      </c>
      <c r="O48" s="95">
        <f>ROUND((1.285*1.5),2)</f>
        <v>1.93</v>
      </c>
      <c r="P48" s="95">
        <v>0.14000000000000001</v>
      </c>
      <c r="Q48" s="74"/>
      <c r="R48" s="95">
        <f>ROUND((0.8 +0.205 *1.5),2)</f>
        <v>1.1100000000000001</v>
      </c>
      <c r="S48" s="95"/>
      <c r="T48" s="95">
        <f>ROUND((0.12 *1.5),2)</f>
        <v>0.18</v>
      </c>
      <c r="U48" s="95"/>
      <c r="V48" s="95"/>
      <c r="W48" s="95">
        <f>ROUND((21.07 +8.54 *1.5),2)</f>
        <v>33.880000000000003</v>
      </c>
      <c r="X48" s="74"/>
    </row>
    <row r="49" spans="1:24" ht="16.5" thickBot="1" x14ac:dyDescent="0.3">
      <c r="A49" s="74"/>
      <c r="B49" s="74"/>
      <c r="C49" s="91" t="s">
        <v>150</v>
      </c>
      <c r="D49" s="92"/>
      <c r="E49" s="93">
        <f t="shared" si="0"/>
        <v>0</v>
      </c>
      <c r="F49" s="93">
        <f t="shared" si="1"/>
        <v>0.38250000000000006</v>
      </c>
      <c r="G49" s="93">
        <f t="shared" si="2"/>
        <v>1.1483800000000002</v>
      </c>
      <c r="H49" s="93">
        <f t="shared" si="5"/>
        <v>1.35975</v>
      </c>
      <c r="I49" s="96">
        <v>1</v>
      </c>
      <c r="J49" s="94">
        <f t="shared" si="3"/>
        <v>1476.2567999999999</v>
      </c>
      <c r="K49" s="96">
        <v>1</v>
      </c>
      <c r="L49" s="93">
        <f t="shared" si="4"/>
        <v>0</v>
      </c>
      <c r="M49" s="76"/>
      <c r="N49" s="95">
        <f>N54/2</f>
        <v>1.075</v>
      </c>
      <c r="O49" s="95"/>
      <c r="P49" s="95">
        <f>P54</f>
        <v>0.14499999999999999</v>
      </c>
      <c r="Q49" s="74"/>
      <c r="R49" s="95">
        <f>R54</f>
        <v>1.08</v>
      </c>
      <c r="S49" s="95"/>
      <c r="T49" s="95"/>
      <c r="U49" s="95"/>
      <c r="V49" s="95"/>
      <c r="W49" s="95"/>
      <c r="X49" s="74"/>
    </row>
    <row r="50" spans="1:24" ht="16.5" thickBot="1" x14ac:dyDescent="0.3">
      <c r="A50" s="74"/>
      <c r="B50" s="74"/>
      <c r="C50" s="91" t="s">
        <v>151</v>
      </c>
      <c r="D50" s="92"/>
      <c r="E50" s="93">
        <f t="shared" si="0"/>
        <v>0</v>
      </c>
      <c r="F50" s="93">
        <f t="shared" si="1"/>
        <v>0.43200000000000005</v>
      </c>
      <c r="G50" s="93">
        <f t="shared" si="2"/>
        <v>1.28653</v>
      </c>
      <c r="H50" s="93">
        <f t="shared" si="5"/>
        <v>1.5262500000000001</v>
      </c>
      <c r="I50" s="96">
        <v>1</v>
      </c>
      <c r="J50" s="94">
        <f t="shared" si="3"/>
        <v>1573.2592999999999</v>
      </c>
      <c r="K50" s="96">
        <v>1</v>
      </c>
      <c r="L50" s="93">
        <f t="shared" si="4"/>
        <v>0</v>
      </c>
      <c r="M50" s="76"/>
      <c r="N50" s="95">
        <f>N55/2</f>
        <v>1.325</v>
      </c>
      <c r="O50" s="95"/>
      <c r="P50" s="95">
        <f>P55</f>
        <v>0.14499999999999999</v>
      </c>
      <c r="Q50" s="74"/>
      <c r="R50" s="95">
        <f>R55</f>
        <v>1.23</v>
      </c>
      <c r="S50" s="95"/>
      <c r="T50" s="95"/>
      <c r="U50" s="95"/>
      <c r="V50" s="95"/>
      <c r="W50" s="95"/>
      <c r="X50" s="74"/>
    </row>
    <row r="51" spans="1:24" ht="16.5" thickBot="1" x14ac:dyDescent="0.3">
      <c r="A51" s="74"/>
      <c r="B51" s="74"/>
      <c r="C51" s="91" t="s">
        <v>152</v>
      </c>
      <c r="D51" s="92"/>
      <c r="E51" s="93">
        <f t="shared" si="0"/>
        <v>0</v>
      </c>
      <c r="F51" s="93">
        <f t="shared" si="1"/>
        <v>0.50459999999999994</v>
      </c>
      <c r="G51" s="93">
        <f t="shared" si="2"/>
        <v>1.48915</v>
      </c>
      <c r="H51" s="93">
        <f t="shared" si="5"/>
        <v>1.7704500000000001</v>
      </c>
      <c r="I51" s="96">
        <v>1</v>
      </c>
      <c r="J51" s="94">
        <f t="shared" si="3"/>
        <v>1716.47605</v>
      </c>
      <c r="K51" s="96">
        <v>1</v>
      </c>
      <c r="L51" s="93">
        <f t="shared" si="4"/>
        <v>0</v>
      </c>
      <c r="M51" s="76"/>
      <c r="N51" s="95">
        <f>N56/2</f>
        <v>1.7</v>
      </c>
      <c r="O51" s="95">
        <f>(O50+O52)/2</f>
        <v>0</v>
      </c>
      <c r="P51" s="95">
        <f>P56</f>
        <v>0.14499999999999999</v>
      </c>
      <c r="Q51" s="74">
        <f>(Q50+Q52)/2</f>
        <v>0</v>
      </c>
      <c r="R51" s="95">
        <f>R56</f>
        <v>1.45</v>
      </c>
      <c r="S51" s="95"/>
      <c r="T51" s="95">
        <f>(T50+T52)/2</f>
        <v>0</v>
      </c>
      <c r="U51" s="95"/>
      <c r="V51" s="95"/>
      <c r="W51" s="95"/>
      <c r="X51" s="74"/>
    </row>
    <row r="52" spans="1:24" ht="16.5" thickBot="1" x14ac:dyDescent="0.3">
      <c r="A52" s="74"/>
      <c r="B52" s="74"/>
      <c r="C52" s="91" t="s">
        <v>153</v>
      </c>
      <c r="D52" s="92"/>
      <c r="E52" s="93">
        <f t="shared" si="0"/>
        <v>0</v>
      </c>
      <c r="F52" s="93">
        <f t="shared" si="1"/>
        <v>0.6411</v>
      </c>
      <c r="G52" s="93">
        <f t="shared" si="2"/>
        <v>1.8840500000000002</v>
      </c>
      <c r="H52" s="93">
        <f t="shared" si="5"/>
        <v>2.2422</v>
      </c>
      <c r="I52" s="96">
        <v>1</v>
      </c>
      <c r="J52" s="94">
        <f t="shared" si="3"/>
        <v>1931.8323</v>
      </c>
      <c r="K52" s="96">
        <v>1</v>
      </c>
      <c r="L52" s="93">
        <f t="shared" si="4"/>
        <v>0</v>
      </c>
      <c r="M52" s="76"/>
      <c r="N52" s="95">
        <f>N57/2</f>
        <v>1.9</v>
      </c>
      <c r="O52" s="95"/>
      <c r="P52" s="95">
        <f>P57</f>
        <v>0.17</v>
      </c>
      <c r="Q52" s="74"/>
      <c r="R52" s="95">
        <f>R57</f>
        <v>1.85</v>
      </c>
      <c r="S52" s="95"/>
      <c r="T52" s="95"/>
      <c r="U52" s="95"/>
      <c r="V52" s="95"/>
      <c r="W52" s="95"/>
      <c r="X52" s="74"/>
    </row>
    <row r="53" spans="1:24" ht="16.5" thickBot="1" x14ac:dyDescent="0.3">
      <c r="A53" s="74"/>
      <c r="B53" s="74"/>
      <c r="C53" s="91" t="s">
        <v>154</v>
      </c>
      <c r="D53" s="92"/>
      <c r="E53" s="93">
        <f t="shared" si="0"/>
        <v>0</v>
      </c>
      <c r="F53" s="93">
        <f t="shared" si="1"/>
        <v>0.80657999999999996</v>
      </c>
      <c r="G53" s="93">
        <f t="shared" si="2"/>
        <v>2.3575999999999997</v>
      </c>
      <c r="H53" s="93">
        <f t="shared" si="5"/>
        <v>2.8094099999999997</v>
      </c>
      <c r="I53" s="96">
        <v>1</v>
      </c>
      <c r="J53" s="94">
        <f t="shared" si="3"/>
        <v>2185.6696899999997</v>
      </c>
      <c r="K53" s="96">
        <v>1</v>
      </c>
      <c r="L53" s="93">
        <f t="shared" si="4"/>
        <v>0</v>
      </c>
      <c r="M53" s="76"/>
      <c r="N53" s="95">
        <f>N58/2</f>
        <v>2.09</v>
      </c>
      <c r="O53" s="95"/>
      <c r="P53" s="95">
        <f>P58</f>
        <v>0.191</v>
      </c>
      <c r="Q53" s="74"/>
      <c r="R53" s="95">
        <f>R58</f>
        <v>2.34</v>
      </c>
      <c r="S53" s="95"/>
      <c r="T53" s="95"/>
      <c r="U53" s="95"/>
      <c r="V53" s="95"/>
      <c r="W53" s="95"/>
      <c r="X53" s="74"/>
    </row>
    <row r="54" spans="1:24" ht="16.5" thickBot="1" x14ac:dyDescent="0.3">
      <c r="A54" s="74"/>
      <c r="B54" s="74"/>
      <c r="C54" s="91" t="s">
        <v>155</v>
      </c>
      <c r="D54" s="92"/>
      <c r="E54" s="93">
        <f t="shared" si="0"/>
        <v>0</v>
      </c>
      <c r="F54" s="93">
        <f t="shared" si="1"/>
        <v>0.38250000000000006</v>
      </c>
      <c r="G54" s="93">
        <f t="shared" si="2"/>
        <v>1.1483800000000002</v>
      </c>
      <c r="H54" s="93">
        <f t="shared" si="5"/>
        <v>1.35975</v>
      </c>
      <c r="I54" s="96">
        <v>1</v>
      </c>
      <c r="J54" s="94">
        <f t="shared" si="3"/>
        <v>3263.2568899999997</v>
      </c>
      <c r="K54" s="96">
        <v>1</v>
      </c>
      <c r="L54" s="93">
        <f t="shared" si="4"/>
        <v>0</v>
      </c>
      <c r="M54" s="76"/>
      <c r="N54" s="95">
        <f>ROUND((3.59+10*0.5)/4,2)</f>
        <v>2.15</v>
      </c>
      <c r="O54" s="95"/>
      <c r="P54" s="95">
        <v>0.14499999999999999</v>
      </c>
      <c r="Q54" s="74"/>
      <c r="R54" s="95">
        <f>ROUND((0.704 +0.75 *0.5),2)</f>
        <v>1.08</v>
      </c>
      <c r="S54" s="95"/>
      <c r="T54" s="95"/>
      <c r="U54" s="95"/>
      <c r="V54" s="95"/>
      <c r="W54" s="95">
        <f t="shared" ref="W54:W60" si="13">R54*77.35</f>
        <v>83.537999999999997</v>
      </c>
      <c r="X54" s="74"/>
    </row>
    <row r="55" spans="1:24" ht="16.5" thickBot="1" x14ac:dyDescent="0.3">
      <c r="A55" s="74"/>
      <c r="B55" s="74"/>
      <c r="C55" s="91" t="s">
        <v>156</v>
      </c>
      <c r="D55" s="92"/>
      <c r="E55" s="93">
        <f t="shared" si="0"/>
        <v>0</v>
      </c>
      <c r="F55" s="93">
        <f t="shared" si="1"/>
        <v>0.43200000000000005</v>
      </c>
      <c r="G55" s="93">
        <f t="shared" si="2"/>
        <v>1.28653</v>
      </c>
      <c r="H55" s="93">
        <f t="shared" si="5"/>
        <v>1.5262500000000001</v>
      </c>
      <c r="I55" s="96">
        <v>1</v>
      </c>
      <c r="J55" s="94">
        <f t="shared" si="3"/>
        <v>3619.8897149999993</v>
      </c>
      <c r="K55" s="96">
        <v>1</v>
      </c>
      <c r="L55" s="93">
        <f t="shared" si="4"/>
        <v>0</v>
      </c>
      <c r="M55" s="76"/>
      <c r="N55" s="95">
        <f>ROUND((3.59+10*0.7)/4,2)</f>
        <v>2.65</v>
      </c>
      <c r="O55" s="95"/>
      <c r="P55" s="95">
        <v>0.14499999999999999</v>
      </c>
      <c r="Q55" s="74"/>
      <c r="R55" s="95">
        <f>ROUND((0.704 +0.75 *0.7),2)</f>
        <v>1.23</v>
      </c>
      <c r="S55" s="95"/>
      <c r="T55" s="95"/>
      <c r="U55" s="95"/>
      <c r="V55" s="95"/>
      <c r="W55" s="95">
        <f t="shared" si="13"/>
        <v>95.140499999999989</v>
      </c>
      <c r="X55" s="74"/>
    </row>
    <row r="56" spans="1:24" ht="16.5" thickBot="1" x14ac:dyDescent="0.3">
      <c r="A56" s="74"/>
      <c r="B56" s="74"/>
      <c r="C56" s="91" t="s">
        <v>157</v>
      </c>
      <c r="D56" s="92"/>
      <c r="E56" s="93">
        <f t="shared" si="0"/>
        <v>0</v>
      </c>
      <c r="F56" s="93">
        <f t="shared" si="1"/>
        <v>0.50459999999999994</v>
      </c>
      <c r="G56" s="93">
        <f t="shared" si="2"/>
        <v>1.48915</v>
      </c>
      <c r="H56" s="93">
        <f t="shared" si="5"/>
        <v>1.7704500000000001</v>
      </c>
      <c r="I56" s="96">
        <v>1</v>
      </c>
      <c r="J56" s="94">
        <f t="shared" si="3"/>
        <v>4144.8440249999994</v>
      </c>
      <c r="K56" s="96">
        <v>1</v>
      </c>
      <c r="L56" s="93">
        <f t="shared" si="4"/>
        <v>0</v>
      </c>
      <c r="M56" s="76"/>
      <c r="N56" s="95">
        <f>ROUND((3.59+10*1)/4,2)</f>
        <v>3.4</v>
      </c>
      <c r="O56" s="95">
        <f>(O55+O57)/2</f>
        <v>0</v>
      </c>
      <c r="P56" s="95">
        <v>0.14499999999999999</v>
      </c>
      <c r="Q56" s="74">
        <f>(Q55+Q57)/2</f>
        <v>0</v>
      </c>
      <c r="R56" s="95">
        <f>ROUND((0.704 +0.75 *1),2)</f>
        <v>1.45</v>
      </c>
      <c r="S56" s="95"/>
      <c r="T56" s="95"/>
      <c r="U56" s="95"/>
      <c r="V56" s="95"/>
      <c r="W56" s="95">
        <f t="shared" si="13"/>
        <v>112.15749999999998</v>
      </c>
      <c r="X56" s="74"/>
    </row>
    <row r="57" spans="1:24" ht="16.5" thickBot="1" x14ac:dyDescent="0.3">
      <c r="A57" s="74"/>
      <c r="B57" s="74"/>
      <c r="C57" s="91" t="s">
        <v>158</v>
      </c>
      <c r="D57" s="92"/>
      <c r="E57" s="93">
        <f t="shared" si="0"/>
        <v>0</v>
      </c>
      <c r="F57" s="93">
        <f t="shared" si="1"/>
        <v>0.6411</v>
      </c>
      <c r="G57" s="93">
        <f t="shared" si="2"/>
        <v>1.8840500000000002</v>
      </c>
      <c r="H57" s="93">
        <f t="shared" si="5"/>
        <v>2.2422</v>
      </c>
      <c r="I57" s="96">
        <v>1</v>
      </c>
      <c r="J57" s="94">
        <f t="shared" si="3"/>
        <v>4999.5484749999987</v>
      </c>
      <c r="K57" s="96">
        <v>1</v>
      </c>
      <c r="L57" s="93">
        <f t="shared" si="4"/>
        <v>0</v>
      </c>
      <c r="M57" s="76"/>
      <c r="N57" s="95">
        <f>ROUND((4+11.2*1)/4,2)</f>
        <v>3.8</v>
      </c>
      <c r="O57" s="95"/>
      <c r="P57" s="95">
        <v>0.17</v>
      </c>
      <c r="Q57" s="74"/>
      <c r="R57" s="95">
        <f>ROUND((0.843 +0.84*1.2),2)</f>
        <v>1.85</v>
      </c>
      <c r="S57" s="95"/>
      <c r="T57" s="95"/>
      <c r="U57" s="95"/>
      <c r="V57" s="95"/>
      <c r="W57" s="95">
        <f t="shared" si="13"/>
        <v>143.0975</v>
      </c>
      <c r="X57" s="74"/>
    </row>
    <row r="58" spans="1:24" ht="16.5" thickBot="1" x14ac:dyDescent="0.3">
      <c r="A58" s="74"/>
      <c r="B58" s="74"/>
      <c r="C58" s="91" t="s">
        <v>159</v>
      </c>
      <c r="D58" s="92"/>
      <c r="E58" s="93">
        <f t="shared" si="0"/>
        <v>0</v>
      </c>
      <c r="F58" s="93">
        <f t="shared" si="1"/>
        <v>0.80657999999999996</v>
      </c>
      <c r="G58" s="93">
        <f t="shared" si="2"/>
        <v>2.3575999999999997</v>
      </c>
      <c r="H58" s="93">
        <f t="shared" si="5"/>
        <v>2.8094099999999997</v>
      </c>
      <c r="I58" s="96">
        <v>1</v>
      </c>
      <c r="J58" s="94">
        <f t="shared" si="3"/>
        <v>6030.3410599999979</v>
      </c>
      <c r="K58" s="96">
        <v>1</v>
      </c>
      <c r="L58" s="93">
        <f t="shared" si="4"/>
        <v>0</v>
      </c>
      <c r="M58" s="76"/>
      <c r="N58" s="95">
        <f>ROUND((4.53+12.2*1)/4,2)</f>
        <v>4.18</v>
      </c>
      <c r="O58" s="95"/>
      <c r="P58" s="95">
        <v>0.191</v>
      </c>
      <c r="Q58" s="74"/>
      <c r="R58" s="95">
        <f>ROUND((0.968 +0.915 *1.5),2)</f>
        <v>2.34</v>
      </c>
      <c r="S58" s="95"/>
      <c r="T58" s="95"/>
      <c r="U58" s="95"/>
      <c r="V58" s="95"/>
      <c r="W58" s="95">
        <f t="shared" si="13"/>
        <v>180.99899999999997</v>
      </c>
      <c r="X58" s="74"/>
    </row>
    <row r="59" spans="1:24" ht="16.5" thickBot="1" x14ac:dyDescent="0.3">
      <c r="A59" s="74"/>
      <c r="B59" s="74"/>
      <c r="C59" s="91" t="s">
        <v>160</v>
      </c>
      <c r="D59" s="92"/>
      <c r="E59" s="93">
        <f t="shared" si="0"/>
        <v>0</v>
      </c>
      <c r="F59" s="93">
        <f t="shared" si="1"/>
        <v>0.89753699999999992</v>
      </c>
      <c r="G59" s="93">
        <f t="shared" si="2"/>
        <v>2.6274289999999998</v>
      </c>
      <c r="H59" s="93">
        <f t="shared" si="5"/>
        <v>3.1298114999999997</v>
      </c>
      <c r="I59" s="96">
        <v>1</v>
      </c>
      <c r="J59" s="94">
        <f t="shared" si="3"/>
        <v>6613.9201040555536</v>
      </c>
      <c r="K59" s="96">
        <v>1</v>
      </c>
      <c r="L59" s="93">
        <f t="shared" si="4"/>
        <v>0</v>
      </c>
      <c r="M59" s="76"/>
      <c r="N59" s="95">
        <f>N58/1.8*2</f>
        <v>4.6444444444444439</v>
      </c>
      <c r="O59" s="95"/>
      <c r="P59" s="95">
        <f>P58*1.15</f>
        <v>0.21964999999999998</v>
      </c>
      <c r="Q59" s="74"/>
      <c r="R59" s="95">
        <f>R58/1.8*2</f>
        <v>2.5999999999999996</v>
      </c>
      <c r="S59" s="95"/>
      <c r="T59" s="95"/>
      <c r="U59" s="95"/>
      <c r="V59" s="95"/>
      <c r="W59" s="95">
        <f t="shared" si="13"/>
        <v>201.10999999999996</v>
      </c>
      <c r="X59" s="74"/>
    </row>
    <row r="60" spans="1:24" ht="16.5" thickBot="1" x14ac:dyDescent="0.3">
      <c r="A60" s="74"/>
      <c r="B60" s="74"/>
      <c r="C60" s="91" t="s">
        <v>161</v>
      </c>
      <c r="D60" s="92"/>
      <c r="E60" s="93">
        <f t="shared" si="0"/>
        <v>0</v>
      </c>
      <c r="F60" s="93">
        <f t="shared" si="1"/>
        <v>1.1179675499999999</v>
      </c>
      <c r="G60" s="93">
        <f t="shared" si="2"/>
        <v>3.2610033499999997</v>
      </c>
      <c r="H60" s="93">
        <f t="shared" si="5"/>
        <v>3.8878832249999999</v>
      </c>
      <c r="I60" s="96">
        <v>1</v>
      </c>
      <c r="J60" s="94">
        <f t="shared" si="3"/>
        <v>8057.8883052194424</v>
      </c>
      <c r="K60" s="96">
        <v>1</v>
      </c>
      <c r="L60" s="93">
        <f t="shared" si="4"/>
        <v>0</v>
      </c>
      <c r="M60" s="76"/>
      <c r="N60" s="95">
        <f>N59/2*2.5</f>
        <v>5.8055555555555554</v>
      </c>
      <c r="O60" s="95"/>
      <c r="P60" s="95">
        <f>P59*1.15</f>
        <v>0.25259749999999997</v>
      </c>
      <c r="Q60" s="74"/>
      <c r="R60" s="95">
        <f>R59/2*2.5</f>
        <v>3.2499999999999996</v>
      </c>
      <c r="S60" s="95"/>
      <c r="T60" s="95"/>
      <c r="U60" s="95"/>
      <c r="V60" s="95"/>
      <c r="W60" s="95">
        <f t="shared" si="13"/>
        <v>251.38749999999996</v>
      </c>
      <c r="X60" s="74"/>
    </row>
    <row r="61" spans="1:24" ht="16.5" thickBot="1" x14ac:dyDescent="0.3">
      <c r="A61" s="74"/>
      <c r="B61" s="74"/>
      <c r="C61" s="91" t="s">
        <v>422</v>
      </c>
      <c r="D61" s="92"/>
      <c r="E61" s="93">
        <f t="shared" si="0"/>
        <v>0</v>
      </c>
      <c r="F61" s="93">
        <f t="shared" si="1"/>
        <v>0.11253000000000002</v>
      </c>
      <c r="G61" s="93">
        <f t="shared" si="2"/>
        <v>0.31406100000000003</v>
      </c>
      <c r="H61" s="93">
        <f t="shared" si="5"/>
        <v>0.37851000000000007</v>
      </c>
      <c r="I61" s="96"/>
      <c r="J61" s="94">
        <f t="shared" si="3"/>
        <v>938.21280000000002</v>
      </c>
      <c r="K61" s="96"/>
      <c r="L61" s="93">
        <f t="shared" si="4"/>
        <v>0</v>
      </c>
      <c r="M61" s="76"/>
      <c r="N61" s="95">
        <f>2+1.56+0.72</f>
        <v>4.28</v>
      </c>
      <c r="O61" s="95"/>
      <c r="P61" s="95"/>
      <c r="Q61" s="74"/>
      <c r="R61" s="95">
        <f>0.1+0.16+0.081</f>
        <v>0.34100000000000003</v>
      </c>
      <c r="S61" s="95"/>
      <c r="T61" s="95"/>
      <c r="U61" s="95"/>
      <c r="V61" s="95"/>
      <c r="W61" s="95">
        <f>1.32+4.11+4.74+1.69+3</f>
        <v>14.860000000000001</v>
      </c>
      <c r="X61" s="74"/>
    </row>
    <row r="62" spans="1:24" ht="16.5" thickBot="1" x14ac:dyDescent="0.3">
      <c r="A62" s="74"/>
      <c r="B62" s="74"/>
      <c r="C62" s="91" t="s">
        <v>423</v>
      </c>
      <c r="D62" s="92"/>
      <c r="E62" s="93">
        <f t="shared" si="0"/>
        <v>0</v>
      </c>
      <c r="F62" s="93">
        <f t="shared" si="1"/>
        <v>0.12243000000000002</v>
      </c>
      <c r="G62" s="93">
        <f t="shared" si="2"/>
        <v>0.34169100000000008</v>
      </c>
      <c r="H62" s="93">
        <f t="shared" si="5"/>
        <v>0.41181000000000012</v>
      </c>
      <c r="I62" s="96"/>
      <c r="J62" s="94">
        <f t="shared" si="3"/>
        <v>1044.6030999999998</v>
      </c>
      <c r="K62" s="96"/>
      <c r="L62" s="93">
        <f t="shared" si="4"/>
        <v>0</v>
      </c>
      <c r="M62" s="76"/>
      <c r="N62" s="95">
        <f>2+1.76+0.72</f>
        <v>4.4799999999999995</v>
      </c>
      <c r="O62" s="95"/>
      <c r="P62" s="95"/>
      <c r="Q62" s="74"/>
      <c r="R62" s="95">
        <f>0.1+0.19+0.081</f>
        <v>0.37100000000000005</v>
      </c>
      <c r="S62" s="95"/>
      <c r="T62" s="95"/>
      <c r="U62" s="95"/>
      <c r="V62" s="95"/>
      <c r="W62" s="95">
        <f>1.32+4.11+7.42+2.52+3</f>
        <v>18.37</v>
      </c>
      <c r="X62" s="74"/>
    </row>
    <row r="63" spans="1:24" ht="16.5" thickBot="1" x14ac:dyDescent="0.3">
      <c r="A63" s="74"/>
      <c r="B63" s="74"/>
      <c r="C63" s="91" t="s">
        <v>424</v>
      </c>
      <c r="D63" s="92"/>
      <c r="E63" s="93">
        <f t="shared" si="0"/>
        <v>0</v>
      </c>
      <c r="F63" s="93">
        <f t="shared" si="1"/>
        <v>0.13233</v>
      </c>
      <c r="G63" s="93">
        <f t="shared" si="2"/>
        <v>0.36932100000000001</v>
      </c>
      <c r="H63" s="93">
        <f t="shared" si="5"/>
        <v>0.44511000000000006</v>
      </c>
      <c r="I63" s="96"/>
      <c r="J63" s="94">
        <f t="shared" si="3"/>
        <v>1169.5282999999999</v>
      </c>
      <c r="K63" s="96"/>
      <c r="L63" s="93">
        <f t="shared" si="4"/>
        <v>0</v>
      </c>
      <c r="M63" s="76"/>
      <c r="N63" s="95">
        <f>2+1.96+0.72</f>
        <v>4.68</v>
      </c>
      <c r="O63" s="95"/>
      <c r="P63" s="95"/>
      <c r="Q63" s="74"/>
      <c r="R63" s="95">
        <f>0.1+0.22+0.081</f>
        <v>0.40100000000000002</v>
      </c>
      <c r="S63" s="95"/>
      <c r="T63" s="95"/>
      <c r="U63" s="95"/>
      <c r="V63" s="95"/>
      <c r="W63" s="95">
        <f>1.32+4.11+10.23+3.15+4</f>
        <v>22.81</v>
      </c>
      <c r="X63" s="74"/>
    </row>
    <row r="64" spans="1:24" ht="16.5" thickBot="1" x14ac:dyDescent="0.3">
      <c r="A64" s="74"/>
      <c r="B64" s="74"/>
      <c r="C64" s="91" t="s">
        <v>425</v>
      </c>
      <c r="D64" s="92"/>
      <c r="E64" s="93">
        <f t="shared" si="0"/>
        <v>0</v>
      </c>
      <c r="F64" s="93">
        <f t="shared" si="1"/>
        <v>0.38417000000000001</v>
      </c>
      <c r="G64" s="93">
        <f t="shared" si="2"/>
        <v>1.55436</v>
      </c>
      <c r="H64" s="93">
        <f t="shared" si="5"/>
        <v>2.9078100000000004</v>
      </c>
      <c r="I64" s="96"/>
      <c r="J64" s="94">
        <f t="shared" si="3"/>
        <v>1021.1634700000001</v>
      </c>
      <c r="K64" s="96"/>
      <c r="L64" s="93">
        <f t="shared" si="4"/>
        <v>0</v>
      </c>
      <c r="M64" s="76">
        <v>1.22</v>
      </c>
      <c r="N64" s="95">
        <f>7.413/3</f>
        <v>2.4710000000000001</v>
      </c>
      <c r="O64" s="95"/>
      <c r="P64" s="95"/>
      <c r="Q64" s="74">
        <v>0.97099999999999997</v>
      </c>
      <c r="R64" s="95"/>
      <c r="S64" s="95"/>
      <c r="T64" s="95"/>
      <c r="U64" s="95"/>
      <c r="V64" s="95"/>
      <c r="W64" s="95"/>
      <c r="X64" s="74"/>
    </row>
    <row r="65" spans="1:24" ht="16.5" thickBot="1" x14ac:dyDescent="0.3">
      <c r="A65" s="74"/>
      <c r="B65" s="74"/>
      <c r="C65" s="91" t="s">
        <v>426</v>
      </c>
      <c r="D65" s="92"/>
      <c r="E65" s="93">
        <f t="shared" si="0"/>
        <v>0</v>
      </c>
      <c r="F65" s="93">
        <f t="shared" si="1"/>
        <v>0.47295000000000004</v>
      </c>
      <c r="G65" s="93">
        <f t="shared" si="2"/>
        <v>1.9178999999999999</v>
      </c>
      <c r="H65" s="93">
        <f t="shared" si="5"/>
        <v>3.6103500000000004</v>
      </c>
      <c r="I65" s="96"/>
      <c r="J65" s="94">
        <f t="shared" si="3"/>
        <v>1223.2039333333335</v>
      </c>
      <c r="K65" s="96"/>
      <c r="L65" s="93">
        <f t="shared" si="4"/>
        <v>0</v>
      </c>
      <c r="M65" s="76">
        <v>1.53</v>
      </c>
      <c r="N65" s="95">
        <f>8.15/3</f>
        <v>2.7166666666666668</v>
      </c>
      <c r="O65" s="95"/>
      <c r="P65" s="95"/>
      <c r="Q65" s="74">
        <v>1.1850000000000001</v>
      </c>
      <c r="R65" s="95"/>
      <c r="S65" s="95"/>
      <c r="T65" s="95"/>
      <c r="U65" s="95"/>
      <c r="V65" s="95"/>
      <c r="W65" s="95"/>
      <c r="X65" s="74"/>
    </row>
    <row r="66" spans="1:24" ht="16.5" thickBot="1" x14ac:dyDescent="0.3">
      <c r="A66" s="74"/>
      <c r="B66" s="74"/>
      <c r="C66" s="91" t="s">
        <v>427</v>
      </c>
      <c r="D66" s="92"/>
      <c r="E66" s="93">
        <f t="shared" si="0"/>
        <v>0</v>
      </c>
      <c r="F66" s="93">
        <f t="shared" si="1"/>
        <v>0.75196000000000007</v>
      </c>
      <c r="G66" s="93">
        <f t="shared" si="2"/>
        <v>3.0643799999999999</v>
      </c>
      <c r="H66" s="93">
        <f t="shared" si="5"/>
        <v>5.8462800000000001</v>
      </c>
      <c r="I66" s="96"/>
      <c r="J66" s="94">
        <f t="shared" si="3"/>
        <v>1882.6414999999997</v>
      </c>
      <c r="K66" s="96"/>
      <c r="L66" s="93">
        <f t="shared" si="4"/>
        <v>0</v>
      </c>
      <c r="M66" s="76">
        <v>2.5299999999999998</v>
      </c>
      <c r="N66" s="95">
        <f>11.04/3</f>
        <v>3.6799999999999997</v>
      </c>
      <c r="O66" s="95"/>
      <c r="P66" s="95"/>
      <c r="Q66" s="74">
        <v>1.8480000000000001</v>
      </c>
      <c r="R66" s="95"/>
      <c r="S66" s="95"/>
      <c r="T66" s="95"/>
      <c r="U66" s="95"/>
      <c r="V66" s="95"/>
      <c r="W66" s="95"/>
      <c r="X66" s="74"/>
    </row>
    <row r="67" spans="1:24" ht="16.5" thickBot="1" x14ac:dyDescent="0.3">
      <c r="A67" s="74"/>
      <c r="B67" s="74"/>
      <c r="C67" s="91" t="s">
        <v>163</v>
      </c>
      <c r="D67" s="92"/>
      <c r="E67" s="93">
        <f t="shared" si="0"/>
        <v>0</v>
      </c>
      <c r="F67" s="93">
        <f t="shared" si="1"/>
        <v>1.08901</v>
      </c>
      <c r="G67" s="93">
        <f t="shared" si="2"/>
        <v>4.4434800000000001</v>
      </c>
      <c r="H67" s="93">
        <f t="shared" si="5"/>
        <v>8.5059300000000011</v>
      </c>
      <c r="I67" s="96"/>
      <c r="J67" s="94">
        <f t="shared" si="3"/>
        <v>2656.9669666666668</v>
      </c>
      <c r="K67" s="96"/>
      <c r="L67" s="93">
        <f t="shared" si="4"/>
        <v>0</v>
      </c>
      <c r="M67" s="76">
        <v>3.7</v>
      </c>
      <c r="N67" s="95">
        <f>14.05/3</f>
        <v>4.6833333333333336</v>
      </c>
      <c r="O67" s="95"/>
      <c r="P67" s="95"/>
      <c r="Q67" s="74">
        <v>2.6629999999999998</v>
      </c>
      <c r="R67" s="95"/>
      <c r="S67" s="95"/>
      <c r="T67" s="95"/>
      <c r="U67" s="95"/>
      <c r="V67" s="95"/>
      <c r="W67" s="95"/>
      <c r="X67" s="74"/>
    </row>
    <row r="68" spans="1:24" ht="16.5" thickBot="1" x14ac:dyDescent="0.3">
      <c r="A68" s="74"/>
      <c r="B68" s="74"/>
      <c r="C68" s="91" t="s">
        <v>164</v>
      </c>
      <c r="D68" s="92"/>
      <c r="E68" s="93">
        <f t="shared" ref="E68:E82" si="14">O68*0.846</f>
        <v>0</v>
      </c>
      <c r="F68" s="93">
        <f t="shared" ref="F68:F82" si="15">A68*0.231+M68*0.1+O68*0.0588+P68*0.18+Q68*0.27+R68*0.33+T68*0.005*0.434</f>
        <v>1.4740100000000003</v>
      </c>
      <c r="G68" s="93">
        <f t="shared" ref="G68:G82" si="16">A68*0.6447+M68*0.51+O68*0.396+P68*1.06+Q68*0.96+R68*0.921+T68*0.005*1.575</f>
        <v>6.0316799999999997</v>
      </c>
      <c r="H68" s="93">
        <f t="shared" si="5"/>
        <v>11.634930000000001</v>
      </c>
      <c r="I68" s="96"/>
      <c r="J68" s="94">
        <f t="shared" ref="J68:J82" si="17">A68*345.22+M68*265.87+N68*113.57+O68*536+P68*387.29+Q68*428.6+R68*457.4+S68*464.24+T68*420.56*0.005+U68*26.13+V68*17.82+W68*19.93+X68*359.34+K68*436.99+I68*367.03</f>
        <v>3551.6050000000005</v>
      </c>
      <c r="K68" s="96"/>
      <c r="L68" s="93">
        <f t="shared" ref="L68:L82" si="18">O68*0.0282</f>
        <v>0</v>
      </c>
      <c r="M68" s="76">
        <v>5.12</v>
      </c>
      <c r="N68" s="95">
        <f>17.52/3</f>
        <v>5.84</v>
      </c>
      <c r="O68" s="95"/>
      <c r="P68" s="95"/>
      <c r="Q68" s="74">
        <v>3.5630000000000002</v>
      </c>
      <c r="R68" s="95"/>
      <c r="S68" s="95"/>
      <c r="T68" s="95"/>
      <c r="U68" s="95"/>
      <c r="V68" s="95"/>
      <c r="W68" s="95"/>
      <c r="X68" s="74"/>
    </row>
    <row r="69" spans="1:24" ht="16.5" thickBot="1" x14ac:dyDescent="0.3">
      <c r="A69" s="74"/>
      <c r="B69" s="74"/>
      <c r="C69" s="91" t="s">
        <v>165</v>
      </c>
      <c r="D69" s="92"/>
      <c r="E69" s="93">
        <f t="shared" si="14"/>
        <v>0</v>
      </c>
      <c r="F69" s="93">
        <f t="shared" si="15"/>
        <v>2.41967</v>
      </c>
      <c r="G69" s="93">
        <f t="shared" si="16"/>
        <v>9.9546600000000005</v>
      </c>
      <c r="H69" s="93">
        <f t="shared" ref="H69" si="19">A69*(0.777+0.45)+M69*(1.5)+P69*1.11+Q69*1.11+R69*1.11</f>
        <v>19.47531</v>
      </c>
      <c r="I69" s="96"/>
      <c r="J69" s="94">
        <f t="shared" si="17"/>
        <v>5668.0147666666671</v>
      </c>
      <c r="K69" s="96"/>
      <c r="L69" s="93">
        <f t="shared" si="18"/>
        <v>0</v>
      </c>
      <c r="M69" s="76">
        <v>8.75</v>
      </c>
      <c r="N69" s="95">
        <f>23.5/3</f>
        <v>7.833333333333333</v>
      </c>
      <c r="O69" s="95"/>
      <c r="P69" s="95"/>
      <c r="Q69" s="74">
        <v>5.7210000000000001</v>
      </c>
      <c r="R69" s="95"/>
      <c r="S69" s="95"/>
      <c r="T69" s="95"/>
      <c r="U69" s="95"/>
      <c r="V69" s="95"/>
      <c r="W69" s="95"/>
      <c r="X69" s="74"/>
    </row>
    <row r="70" spans="1:24" ht="16.5" thickBot="1" x14ac:dyDescent="0.3">
      <c r="A70" s="9"/>
      <c r="B70" s="9"/>
      <c r="C70" s="4" t="s">
        <v>438</v>
      </c>
      <c r="D70" s="1"/>
      <c r="E70" s="93">
        <f t="shared" si="14"/>
        <v>0</v>
      </c>
      <c r="F70" s="93">
        <f t="shared" si="15"/>
        <v>0</v>
      </c>
      <c r="G70" s="93">
        <f t="shared" si="16"/>
        <v>0</v>
      </c>
      <c r="H70" s="93">
        <f t="shared" ref="H70:H82" si="20">A70*(0.777+0.45)+M70*(0.777+0.45)+P70*1.11+Q70*1.11+R70*1.11</f>
        <v>0</v>
      </c>
      <c r="I70" s="2"/>
      <c r="J70" s="94">
        <f t="shared" si="17"/>
        <v>0</v>
      </c>
      <c r="K70" s="5"/>
      <c r="L70" s="93">
        <f t="shared" si="18"/>
        <v>0</v>
      </c>
      <c r="M70" s="6"/>
      <c r="N70" s="6"/>
      <c r="O70" s="7"/>
      <c r="P70" s="8"/>
      <c r="Q70" s="9"/>
      <c r="R70" s="6"/>
      <c r="S70" s="6"/>
      <c r="T70" s="6"/>
      <c r="U70" s="6"/>
      <c r="V70" s="6"/>
      <c r="W70" s="6"/>
      <c r="X70" s="9"/>
    </row>
    <row r="71" spans="1:24" ht="16.5" thickBot="1" x14ac:dyDescent="0.3">
      <c r="A71" s="9"/>
      <c r="B71" s="9"/>
      <c r="C71" s="4" t="s">
        <v>439</v>
      </c>
      <c r="D71" s="1"/>
      <c r="E71" s="93">
        <f t="shared" si="14"/>
        <v>0</v>
      </c>
      <c r="F71" s="93">
        <f t="shared" si="15"/>
        <v>0</v>
      </c>
      <c r="G71" s="93">
        <f t="shared" si="16"/>
        <v>0</v>
      </c>
      <c r="H71" s="93">
        <f t="shared" si="20"/>
        <v>0</v>
      </c>
      <c r="I71" s="2"/>
      <c r="J71" s="94">
        <f t="shared" si="17"/>
        <v>0</v>
      </c>
      <c r="K71" s="5"/>
      <c r="L71" s="93">
        <f t="shared" si="18"/>
        <v>0</v>
      </c>
      <c r="M71" s="6"/>
      <c r="N71" s="6"/>
      <c r="O71" s="7"/>
      <c r="P71" s="8"/>
      <c r="Q71" s="9"/>
      <c r="R71" s="6"/>
      <c r="S71" s="6"/>
      <c r="T71" s="6"/>
      <c r="U71" s="6"/>
      <c r="V71" s="6"/>
      <c r="W71" s="6"/>
      <c r="X71" s="9"/>
    </row>
    <row r="72" spans="1:24" ht="16.5" thickBot="1" x14ac:dyDescent="0.3">
      <c r="A72" s="9"/>
      <c r="B72" s="9"/>
      <c r="C72" s="4" t="s">
        <v>440</v>
      </c>
      <c r="D72" s="1"/>
      <c r="E72" s="93">
        <f t="shared" si="14"/>
        <v>0</v>
      </c>
      <c r="F72" s="93">
        <f t="shared" si="15"/>
        <v>0</v>
      </c>
      <c r="G72" s="93">
        <f t="shared" si="16"/>
        <v>0</v>
      </c>
      <c r="H72" s="93">
        <f t="shared" si="20"/>
        <v>0</v>
      </c>
      <c r="I72" s="2"/>
      <c r="J72" s="94">
        <f t="shared" si="17"/>
        <v>0</v>
      </c>
      <c r="K72" s="5"/>
      <c r="L72" s="93">
        <f t="shared" si="18"/>
        <v>0</v>
      </c>
      <c r="M72" s="6"/>
      <c r="N72" s="6"/>
      <c r="O72" s="7"/>
      <c r="P72" s="8"/>
      <c r="Q72" s="9"/>
      <c r="R72" s="6"/>
      <c r="S72" s="6"/>
      <c r="T72" s="6"/>
      <c r="U72" s="6"/>
      <c r="V72" s="6"/>
      <c r="W72" s="6"/>
      <c r="X72" s="9"/>
    </row>
    <row r="73" spans="1:24" ht="16.5" thickBot="1" x14ac:dyDescent="0.3">
      <c r="A73" s="9"/>
      <c r="B73" s="9"/>
      <c r="C73" s="4" t="s">
        <v>441</v>
      </c>
      <c r="D73" s="1"/>
      <c r="E73" s="93">
        <f t="shared" si="14"/>
        <v>0</v>
      </c>
      <c r="F73" s="93">
        <f t="shared" si="15"/>
        <v>0</v>
      </c>
      <c r="G73" s="93">
        <f t="shared" si="16"/>
        <v>0</v>
      </c>
      <c r="H73" s="93">
        <f t="shared" si="20"/>
        <v>0</v>
      </c>
      <c r="I73" s="2"/>
      <c r="J73" s="94">
        <f t="shared" si="17"/>
        <v>0</v>
      </c>
      <c r="K73" s="5"/>
      <c r="L73" s="93">
        <f t="shared" si="18"/>
        <v>0</v>
      </c>
      <c r="M73" s="6"/>
      <c r="N73" s="6"/>
      <c r="O73" s="7"/>
      <c r="P73" s="8"/>
      <c r="Q73" s="9"/>
      <c r="R73" s="6"/>
      <c r="S73" s="6"/>
      <c r="T73" s="6"/>
      <c r="U73" s="6"/>
      <c r="V73" s="6"/>
      <c r="W73" s="6"/>
      <c r="X73" s="9"/>
    </row>
    <row r="74" spans="1:24" ht="16.5" thickBot="1" x14ac:dyDescent="0.3">
      <c r="A74" s="9"/>
      <c r="B74" s="9"/>
      <c r="C74" s="4" t="s">
        <v>442</v>
      </c>
      <c r="D74" s="1"/>
      <c r="E74" s="93">
        <f t="shared" si="14"/>
        <v>0</v>
      </c>
      <c r="F74" s="93">
        <f t="shared" si="15"/>
        <v>0</v>
      </c>
      <c r="G74" s="93">
        <f t="shared" si="16"/>
        <v>0</v>
      </c>
      <c r="H74" s="93">
        <f t="shared" si="20"/>
        <v>0</v>
      </c>
      <c r="I74" s="2"/>
      <c r="J74" s="94">
        <f t="shared" si="17"/>
        <v>0</v>
      </c>
      <c r="K74" s="5"/>
      <c r="L74" s="93">
        <f t="shared" si="18"/>
        <v>0</v>
      </c>
      <c r="M74" s="6"/>
      <c r="N74" s="6"/>
      <c r="O74" s="7"/>
      <c r="P74" s="8"/>
      <c r="Q74" s="9"/>
      <c r="R74" s="6"/>
      <c r="S74" s="6"/>
      <c r="T74" s="6"/>
      <c r="U74" s="6"/>
      <c r="V74" s="6"/>
      <c r="W74" s="6"/>
      <c r="X74" s="9"/>
    </row>
    <row r="75" spans="1:24" ht="16.5" thickBot="1" x14ac:dyDescent="0.3">
      <c r="A75" s="9"/>
      <c r="B75" s="9"/>
      <c r="C75" s="4" t="s">
        <v>443</v>
      </c>
      <c r="D75" s="1"/>
      <c r="E75" s="93">
        <f t="shared" si="14"/>
        <v>0</v>
      </c>
      <c r="F75" s="93">
        <f t="shared" si="15"/>
        <v>0</v>
      </c>
      <c r="G75" s="93">
        <f t="shared" si="16"/>
        <v>0</v>
      </c>
      <c r="H75" s="93">
        <f t="shared" si="20"/>
        <v>0</v>
      </c>
      <c r="I75" s="2"/>
      <c r="J75" s="94">
        <f t="shared" si="17"/>
        <v>0</v>
      </c>
      <c r="K75" s="5"/>
      <c r="L75" s="93">
        <f t="shared" si="18"/>
        <v>0</v>
      </c>
      <c r="M75" s="6"/>
      <c r="N75" s="6"/>
      <c r="O75" s="7"/>
      <c r="P75" s="8"/>
      <c r="Q75" s="9"/>
      <c r="R75" s="6"/>
      <c r="S75" s="6"/>
      <c r="T75" s="6"/>
      <c r="U75" s="6"/>
      <c r="V75" s="6"/>
      <c r="W75" s="6"/>
      <c r="X75" s="9"/>
    </row>
    <row r="76" spans="1:24" ht="16.5" thickBot="1" x14ac:dyDescent="0.3">
      <c r="A76" s="9"/>
      <c r="B76" s="9"/>
      <c r="C76" s="4" t="s">
        <v>444</v>
      </c>
      <c r="D76" s="1"/>
      <c r="E76" s="93">
        <f t="shared" si="14"/>
        <v>0</v>
      </c>
      <c r="F76" s="93">
        <f t="shared" si="15"/>
        <v>0</v>
      </c>
      <c r="G76" s="93">
        <f t="shared" si="16"/>
        <v>0</v>
      </c>
      <c r="H76" s="93">
        <f t="shared" si="20"/>
        <v>0</v>
      </c>
      <c r="I76" s="2"/>
      <c r="J76" s="94">
        <f t="shared" si="17"/>
        <v>0</v>
      </c>
      <c r="K76" s="5"/>
      <c r="L76" s="93">
        <f t="shared" si="18"/>
        <v>0</v>
      </c>
      <c r="M76" s="6"/>
      <c r="N76" s="6"/>
      <c r="O76" s="7"/>
      <c r="P76" s="8"/>
      <c r="Q76" s="9"/>
      <c r="R76" s="6"/>
      <c r="S76" s="6"/>
      <c r="T76" s="6"/>
      <c r="U76" s="6"/>
      <c r="V76" s="6"/>
      <c r="W76" s="6"/>
      <c r="X76" s="9"/>
    </row>
    <row r="77" spans="1:24" ht="16.5" thickBot="1" x14ac:dyDescent="0.3">
      <c r="A77" s="9"/>
      <c r="B77" s="9"/>
      <c r="C77" s="4" t="s">
        <v>445</v>
      </c>
      <c r="D77" s="1"/>
      <c r="E77" s="93">
        <f t="shared" si="14"/>
        <v>0</v>
      </c>
      <c r="F77" s="93">
        <f t="shared" si="15"/>
        <v>0</v>
      </c>
      <c r="G77" s="93">
        <f t="shared" si="16"/>
        <v>0</v>
      </c>
      <c r="H77" s="93">
        <f t="shared" si="20"/>
        <v>0</v>
      </c>
      <c r="I77" s="2"/>
      <c r="J77" s="94">
        <f t="shared" si="17"/>
        <v>0</v>
      </c>
      <c r="K77" s="5"/>
      <c r="L77" s="93">
        <f t="shared" si="18"/>
        <v>0</v>
      </c>
      <c r="M77" s="6"/>
      <c r="N77" s="6"/>
      <c r="O77" s="7"/>
      <c r="P77" s="8"/>
      <c r="Q77" s="9"/>
      <c r="R77" s="6"/>
      <c r="S77" s="6"/>
      <c r="T77" s="6"/>
      <c r="U77" s="6"/>
      <c r="V77" s="6"/>
      <c r="W77" s="6"/>
      <c r="X77" s="9"/>
    </row>
    <row r="78" spans="1:24" ht="16.5" thickBot="1" x14ac:dyDescent="0.3">
      <c r="A78" s="9"/>
      <c r="B78" s="9"/>
      <c r="C78" s="4" t="s">
        <v>446</v>
      </c>
      <c r="D78" s="1"/>
      <c r="E78" s="93">
        <f t="shared" si="14"/>
        <v>0</v>
      </c>
      <c r="F78" s="93">
        <f t="shared" si="15"/>
        <v>0</v>
      </c>
      <c r="G78" s="93">
        <f t="shared" si="16"/>
        <v>0</v>
      </c>
      <c r="H78" s="93">
        <f t="shared" si="20"/>
        <v>0</v>
      </c>
      <c r="I78" s="2"/>
      <c r="J78" s="94">
        <f t="shared" si="17"/>
        <v>0</v>
      </c>
      <c r="K78" s="5"/>
      <c r="L78" s="93">
        <f t="shared" si="18"/>
        <v>0</v>
      </c>
      <c r="M78" s="6"/>
      <c r="N78" s="6"/>
      <c r="O78" s="7"/>
      <c r="P78" s="8"/>
      <c r="Q78" s="9"/>
      <c r="R78" s="6"/>
      <c r="S78" s="6"/>
      <c r="T78" s="6"/>
      <c r="U78" s="6"/>
      <c r="V78" s="6"/>
      <c r="W78" s="6"/>
      <c r="X78" s="9"/>
    </row>
    <row r="79" spans="1:24" ht="16.5" thickBot="1" x14ac:dyDescent="0.3">
      <c r="A79" s="9"/>
      <c r="B79" s="9"/>
      <c r="C79" s="4" t="s">
        <v>447</v>
      </c>
      <c r="D79" s="1"/>
      <c r="E79" s="93">
        <f t="shared" si="14"/>
        <v>0</v>
      </c>
      <c r="F79" s="93">
        <f t="shared" si="15"/>
        <v>0</v>
      </c>
      <c r="G79" s="93">
        <f t="shared" si="16"/>
        <v>0</v>
      </c>
      <c r="H79" s="93">
        <f t="shared" si="20"/>
        <v>0</v>
      </c>
      <c r="I79" s="2"/>
      <c r="J79" s="94">
        <f t="shared" si="17"/>
        <v>0</v>
      </c>
      <c r="K79" s="5"/>
      <c r="L79" s="93">
        <f t="shared" si="18"/>
        <v>0</v>
      </c>
      <c r="M79" s="6"/>
      <c r="N79" s="6"/>
      <c r="O79" s="7"/>
      <c r="P79" s="8"/>
      <c r="Q79" s="9"/>
      <c r="R79" s="6"/>
      <c r="S79" s="6"/>
      <c r="T79" s="6"/>
      <c r="U79" s="6"/>
      <c r="V79" s="6"/>
      <c r="W79" s="6"/>
      <c r="X79" s="9"/>
    </row>
    <row r="80" spans="1:24" ht="15" customHeight="1" thickBot="1" x14ac:dyDescent="0.3">
      <c r="A80" s="9"/>
      <c r="B80" s="9"/>
      <c r="C80" s="4"/>
      <c r="D80" s="98"/>
      <c r="E80" s="93">
        <f t="shared" si="14"/>
        <v>0</v>
      </c>
      <c r="F80" s="93">
        <f t="shared" si="15"/>
        <v>0</v>
      </c>
      <c r="G80" s="93">
        <f t="shared" si="16"/>
        <v>0</v>
      </c>
      <c r="H80" s="93">
        <f t="shared" si="20"/>
        <v>0</v>
      </c>
      <c r="I80" s="2"/>
      <c r="J80" s="94">
        <f t="shared" si="17"/>
        <v>0</v>
      </c>
      <c r="K80" s="5"/>
      <c r="L80" s="93">
        <f t="shared" si="18"/>
        <v>0</v>
      </c>
      <c r="M80" s="6"/>
      <c r="N80" s="10"/>
      <c r="O80" s="10"/>
      <c r="P80" s="8"/>
      <c r="Q80" s="8"/>
      <c r="R80" s="8"/>
      <c r="S80" s="8"/>
      <c r="T80" s="8"/>
      <c r="U80" s="8"/>
      <c r="V80" s="8"/>
      <c r="W80" s="8"/>
      <c r="X80" s="8"/>
    </row>
    <row r="81" spans="1:24" ht="15" customHeight="1" thickBot="1" x14ac:dyDescent="0.3">
      <c r="A81" s="9"/>
      <c r="B81" s="9"/>
      <c r="C81" s="4"/>
      <c r="D81" s="98"/>
      <c r="E81" s="93">
        <f t="shared" si="14"/>
        <v>0</v>
      </c>
      <c r="F81" s="93">
        <f t="shared" si="15"/>
        <v>0</v>
      </c>
      <c r="G81" s="93">
        <f t="shared" si="16"/>
        <v>0</v>
      </c>
      <c r="H81" s="93">
        <f t="shared" si="20"/>
        <v>0</v>
      </c>
      <c r="I81" s="2"/>
      <c r="J81" s="94">
        <f t="shared" si="17"/>
        <v>0</v>
      </c>
      <c r="K81" s="5"/>
      <c r="L81" s="93">
        <f t="shared" si="18"/>
        <v>0</v>
      </c>
      <c r="M81" s="6"/>
      <c r="N81" s="10"/>
      <c r="O81" s="10"/>
      <c r="P81" s="8"/>
      <c r="Q81" s="8"/>
      <c r="R81" s="8"/>
      <c r="S81" s="8"/>
      <c r="T81" s="8"/>
      <c r="U81" s="8"/>
      <c r="V81" s="8"/>
      <c r="W81" s="8"/>
      <c r="X81" s="8"/>
    </row>
    <row r="82" spans="1:24" ht="15" customHeight="1" thickBot="1" x14ac:dyDescent="0.3">
      <c r="A82" s="9"/>
      <c r="B82" s="9"/>
      <c r="C82" s="4"/>
      <c r="D82" s="98"/>
      <c r="E82" s="93">
        <f t="shared" si="14"/>
        <v>0</v>
      </c>
      <c r="F82" s="93">
        <f t="shared" si="15"/>
        <v>0</v>
      </c>
      <c r="G82" s="93">
        <f t="shared" si="16"/>
        <v>0</v>
      </c>
      <c r="H82" s="93">
        <f t="shared" si="20"/>
        <v>0</v>
      </c>
      <c r="I82" s="2"/>
      <c r="J82" s="94">
        <f t="shared" si="17"/>
        <v>0</v>
      </c>
      <c r="K82" s="5"/>
      <c r="L82" s="93">
        <f t="shared" si="18"/>
        <v>0</v>
      </c>
      <c r="M82" s="6"/>
      <c r="N82" s="10"/>
      <c r="O82" s="10"/>
      <c r="P82" s="8"/>
      <c r="Q82" s="8"/>
      <c r="R82" s="8"/>
      <c r="S82" s="8"/>
      <c r="T82" s="8"/>
      <c r="U82" s="8"/>
      <c r="V82" s="8"/>
      <c r="W82" s="8"/>
      <c r="X82" s="8"/>
    </row>
    <row r="83" spans="1:24" ht="19.5" customHeight="1" x14ac:dyDescent="0.25">
      <c r="A83" s="74"/>
      <c r="B83" s="74"/>
      <c r="C83" s="99"/>
      <c r="D83" s="99"/>
      <c r="E83" s="100"/>
      <c r="F83" s="100"/>
      <c r="G83" s="77"/>
      <c r="H83" s="77"/>
      <c r="I83" s="77"/>
      <c r="J83" s="76"/>
      <c r="K83" s="77" t="s">
        <v>76</v>
      </c>
      <c r="L83" s="77" t="s">
        <v>77</v>
      </c>
      <c r="M83" s="77" t="s">
        <v>78</v>
      </c>
      <c r="N83" s="77" t="s">
        <v>79</v>
      </c>
      <c r="O83" s="77" t="s">
        <v>80</v>
      </c>
      <c r="P83" s="77" t="s">
        <v>81</v>
      </c>
      <c r="Q83" s="77" t="s">
        <v>82</v>
      </c>
      <c r="R83" s="77" t="s">
        <v>83</v>
      </c>
      <c r="S83" s="77" t="s">
        <v>83</v>
      </c>
      <c r="T83" s="77" t="s">
        <v>84</v>
      </c>
      <c r="U83" s="77" t="s">
        <v>85</v>
      </c>
      <c r="V83" s="77" t="s">
        <v>85</v>
      </c>
      <c r="W83" s="77" t="s">
        <v>85</v>
      </c>
      <c r="X83" s="101"/>
    </row>
    <row r="84" spans="1:24" ht="15" x14ac:dyDescent="0.2">
      <c r="A84" s="101"/>
      <c r="B84" s="101"/>
      <c r="C84" s="102"/>
      <c r="D84" s="102"/>
      <c r="E84" s="102"/>
      <c r="F84" s="103"/>
      <c r="G84" s="102"/>
      <c r="H84" s="102"/>
      <c r="I84" s="102"/>
      <c r="J84" s="102"/>
      <c r="K84" s="104"/>
      <c r="L84" s="102"/>
      <c r="M84" s="103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1"/>
    </row>
  </sheetData>
  <phoneticPr fontId="0" type="noConversion"/>
  <printOptions horizontalCentered="1" verticalCentered="1" gridLines="1" gridLinesSet="0"/>
  <pageMargins left="0.78740157480314965" right="0.6692913385826772" top="1.1811023622047245" bottom="0.98425196850393704" header="0.70866141732283472" footer="0.51181102362204722"/>
  <pageSetup paperSize="9" scale="10" orientation="landscape" horizontalDpi="4294967292" verticalDpi="180" r:id="rId1"/>
  <headerFooter alignWithMargins="0">
    <oddHeader>&amp;C&amp;"Arial,Negrito"&amp;14&amp;A</oddHeader>
    <oddFooter>&amp;C&amp;"Arial,Negrito"&amp;14&amp;F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31"/>
  <sheetViews>
    <sheetView showZeros="0" topLeftCell="D112" zoomScale="112" zoomScaleNormal="112" workbookViewId="0">
      <selection sqref="A1:C1"/>
    </sheetView>
  </sheetViews>
  <sheetFormatPr defaultColWidth="10.6640625" defaultRowHeight="12.75" x14ac:dyDescent="0.2"/>
  <cols>
    <col min="1" max="1" width="10.6640625" style="11" customWidth="1"/>
    <col min="2" max="2" width="13.1640625" style="11" customWidth="1"/>
    <col min="3" max="3" width="38" style="11" customWidth="1"/>
    <col min="4" max="4" width="3.83203125" style="11" customWidth="1"/>
    <col min="5" max="16" width="10" style="11" customWidth="1"/>
    <col min="17" max="17" width="10.6640625" style="11" customWidth="1"/>
    <col min="18" max="255" width="10.6640625" style="11"/>
    <col min="256" max="256" width="13.1640625" style="11" customWidth="1"/>
    <col min="257" max="257" width="79" style="11" customWidth="1"/>
    <col min="258" max="258" width="3.83203125" style="11" customWidth="1"/>
    <col min="259" max="271" width="12.5" style="11" customWidth="1"/>
    <col min="272" max="272" width="8.5" style="11" customWidth="1"/>
    <col min="273" max="511" width="10.6640625" style="11"/>
    <col min="512" max="512" width="13.1640625" style="11" customWidth="1"/>
    <col min="513" max="513" width="79" style="11" customWidth="1"/>
    <col min="514" max="514" width="3.83203125" style="11" customWidth="1"/>
    <col min="515" max="527" width="12.5" style="11" customWidth="1"/>
    <col min="528" max="528" width="8.5" style="11" customWidth="1"/>
    <col min="529" max="767" width="10.6640625" style="11"/>
    <col min="768" max="768" width="13.1640625" style="11" customWidth="1"/>
    <col min="769" max="769" width="79" style="11" customWidth="1"/>
    <col min="770" max="770" width="3.83203125" style="11" customWidth="1"/>
    <col min="771" max="783" width="12.5" style="11" customWidth="1"/>
    <col min="784" max="784" width="8.5" style="11" customWidth="1"/>
    <col min="785" max="1023" width="10.6640625" style="11"/>
    <col min="1024" max="1024" width="13.1640625" style="11" customWidth="1"/>
    <col min="1025" max="1025" width="79" style="11" customWidth="1"/>
    <col min="1026" max="1026" width="3.83203125" style="11" customWidth="1"/>
    <col min="1027" max="1039" width="12.5" style="11" customWidth="1"/>
    <col min="1040" max="1040" width="8.5" style="11" customWidth="1"/>
    <col min="1041" max="1279" width="10.6640625" style="11"/>
    <col min="1280" max="1280" width="13.1640625" style="11" customWidth="1"/>
    <col min="1281" max="1281" width="79" style="11" customWidth="1"/>
    <col min="1282" max="1282" width="3.83203125" style="11" customWidth="1"/>
    <col min="1283" max="1295" width="12.5" style="11" customWidth="1"/>
    <col min="1296" max="1296" width="8.5" style="11" customWidth="1"/>
    <col min="1297" max="1535" width="10.6640625" style="11"/>
    <col min="1536" max="1536" width="13.1640625" style="11" customWidth="1"/>
    <col min="1537" max="1537" width="79" style="11" customWidth="1"/>
    <col min="1538" max="1538" width="3.83203125" style="11" customWidth="1"/>
    <col min="1539" max="1551" width="12.5" style="11" customWidth="1"/>
    <col min="1552" max="1552" width="8.5" style="11" customWidth="1"/>
    <col min="1553" max="1791" width="10.6640625" style="11"/>
    <col min="1792" max="1792" width="13.1640625" style="11" customWidth="1"/>
    <col min="1793" max="1793" width="79" style="11" customWidth="1"/>
    <col min="1794" max="1794" width="3.83203125" style="11" customWidth="1"/>
    <col min="1795" max="1807" width="12.5" style="11" customWidth="1"/>
    <col min="1808" max="1808" width="8.5" style="11" customWidth="1"/>
    <col min="1809" max="2047" width="10.6640625" style="11"/>
    <col min="2048" max="2048" width="13.1640625" style="11" customWidth="1"/>
    <col min="2049" max="2049" width="79" style="11" customWidth="1"/>
    <col min="2050" max="2050" width="3.83203125" style="11" customWidth="1"/>
    <col min="2051" max="2063" width="12.5" style="11" customWidth="1"/>
    <col min="2064" max="2064" width="8.5" style="11" customWidth="1"/>
    <col min="2065" max="2303" width="10.6640625" style="11"/>
    <col min="2304" max="2304" width="13.1640625" style="11" customWidth="1"/>
    <col min="2305" max="2305" width="79" style="11" customWidth="1"/>
    <col min="2306" max="2306" width="3.83203125" style="11" customWidth="1"/>
    <col min="2307" max="2319" width="12.5" style="11" customWidth="1"/>
    <col min="2320" max="2320" width="8.5" style="11" customWidth="1"/>
    <col min="2321" max="2559" width="10.6640625" style="11"/>
    <col min="2560" max="2560" width="13.1640625" style="11" customWidth="1"/>
    <col min="2561" max="2561" width="79" style="11" customWidth="1"/>
    <col min="2562" max="2562" width="3.83203125" style="11" customWidth="1"/>
    <col min="2563" max="2575" width="12.5" style="11" customWidth="1"/>
    <col min="2576" max="2576" width="8.5" style="11" customWidth="1"/>
    <col min="2577" max="2815" width="10.6640625" style="11"/>
    <col min="2816" max="2816" width="13.1640625" style="11" customWidth="1"/>
    <col min="2817" max="2817" width="79" style="11" customWidth="1"/>
    <col min="2818" max="2818" width="3.83203125" style="11" customWidth="1"/>
    <col min="2819" max="2831" width="12.5" style="11" customWidth="1"/>
    <col min="2832" max="2832" width="8.5" style="11" customWidth="1"/>
    <col min="2833" max="3071" width="10.6640625" style="11"/>
    <col min="3072" max="3072" width="13.1640625" style="11" customWidth="1"/>
    <col min="3073" max="3073" width="79" style="11" customWidth="1"/>
    <col min="3074" max="3074" width="3.83203125" style="11" customWidth="1"/>
    <col min="3075" max="3087" width="12.5" style="11" customWidth="1"/>
    <col min="3088" max="3088" width="8.5" style="11" customWidth="1"/>
    <col min="3089" max="3327" width="10.6640625" style="11"/>
    <col min="3328" max="3328" width="13.1640625" style="11" customWidth="1"/>
    <col min="3329" max="3329" width="79" style="11" customWidth="1"/>
    <col min="3330" max="3330" width="3.83203125" style="11" customWidth="1"/>
    <col min="3331" max="3343" width="12.5" style="11" customWidth="1"/>
    <col min="3344" max="3344" width="8.5" style="11" customWidth="1"/>
    <col min="3345" max="3583" width="10.6640625" style="11"/>
    <col min="3584" max="3584" width="13.1640625" style="11" customWidth="1"/>
    <col min="3585" max="3585" width="79" style="11" customWidth="1"/>
    <col min="3586" max="3586" width="3.83203125" style="11" customWidth="1"/>
    <col min="3587" max="3599" width="12.5" style="11" customWidth="1"/>
    <col min="3600" max="3600" width="8.5" style="11" customWidth="1"/>
    <col min="3601" max="3839" width="10.6640625" style="11"/>
    <col min="3840" max="3840" width="13.1640625" style="11" customWidth="1"/>
    <col min="3841" max="3841" width="79" style="11" customWidth="1"/>
    <col min="3842" max="3842" width="3.83203125" style="11" customWidth="1"/>
    <col min="3843" max="3855" width="12.5" style="11" customWidth="1"/>
    <col min="3856" max="3856" width="8.5" style="11" customWidth="1"/>
    <col min="3857" max="4095" width="10.6640625" style="11"/>
    <col min="4096" max="4096" width="13.1640625" style="11" customWidth="1"/>
    <col min="4097" max="4097" width="79" style="11" customWidth="1"/>
    <col min="4098" max="4098" width="3.83203125" style="11" customWidth="1"/>
    <col min="4099" max="4111" width="12.5" style="11" customWidth="1"/>
    <col min="4112" max="4112" width="8.5" style="11" customWidth="1"/>
    <col min="4113" max="4351" width="10.6640625" style="11"/>
    <col min="4352" max="4352" width="13.1640625" style="11" customWidth="1"/>
    <col min="4353" max="4353" width="79" style="11" customWidth="1"/>
    <col min="4354" max="4354" width="3.83203125" style="11" customWidth="1"/>
    <col min="4355" max="4367" width="12.5" style="11" customWidth="1"/>
    <col min="4368" max="4368" width="8.5" style="11" customWidth="1"/>
    <col min="4369" max="4607" width="10.6640625" style="11"/>
    <col min="4608" max="4608" width="13.1640625" style="11" customWidth="1"/>
    <col min="4609" max="4609" width="79" style="11" customWidth="1"/>
    <col min="4610" max="4610" width="3.83203125" style="11" customWidth="1"/>
    <col min="4611" max="4623" width="12.5" style="11" customWidth="1"/>
    <col min="4624" max="4624" width="8.5" style="11" customWidth="1"/>
    <col min="4625" max="4863" width="10.6640625" style="11"/>
    <col min="4864" max="4864" width="13.1640625" style="11" customWidth="1"/>
    <col min="4865" max="4865" width="79" style="11" customWidth="1"/>
    <col min="4866" max="4866" width="3.83203125" style="11" customWidth="1"/>
    <col min="4867" max="4879" width="12.5" style="11" customWidth="1"/>
    <col min="4880" max="4880" width="8.5" style="11" customWidth="1"/>
    <col min="4881" max="5119" width="10.6640625" style="11"/>
    <col min="5120" max="5120" width="13.1640625" style="11" customWidth="1"/>
    <col min="5121" max="5121" width="79" style="11" customWidth="1"/>
    <col min="5122" max="5122" width="3.83203125" style="11" customWidth="1"/>
    <col min="5123" max="5135" width="12.5" style="11" customWidth="1"/>
    <col min="5136" max="5136" width="8.5" style="11" customWidth="1"/>
    <col min="5137" max="5375" width="10.6640625" style="11"/>
    <col min="5376" max="5376" width="13.1640625" style="11" customWidth="1"/>
    <col min="5377" max="5377" width="79" style="11" customWidth="1"/>
    <col min="5378" max="5378" width="3.83203125" style="11" customWidth="1"/>
    <col min="5379" max="5391" width="12.5" style="11" customWidth="1"/>
    <col min="5392" max="5392" width="8.5" style="11" customWidth="1"/>
    <col min="5393" max="5631" width="10.6640625" style="11"/>
    <col min="5632" max="5632" width="13.1640625" style="11" customWidth="1"/>
    <col min="5633" max="5633" width="79" style="11" customWidth="1"/>
    <col min="5634" max="5634" width="3.83203125" style="11" customWidth="1"/>
    <col min="5635" max="5647" width="12.5" style="11" customWidth="1"/>
    <col min="5648" max="5648" width="8.5" style="11" customWidth="1"/>
    <col min="5649" max="5887" width="10.6640625" style="11"/>
    <col min="5888" max="5888" width="13.1640625" style="11" customWidth="1"/>
    <col min="5889" max="5889" width="79" style="11" customWidth="1"/>
    <col min="5890" max="5890" width="3.83203125" style="11" customWidth="1"/>
    <col min="5891" max="5903" width="12.5" style="11" customWidth="1"/>
    <col min="5904" max="5904" width="8.5" style="11" customWidth="1"/>
    <col min="5905" max="6143" width="10.6640625" style="11"/>
    <col min="6144" max="6144" width="13.1640625" style="11" customWidth="1"/>
    <col min="6145" max="6145" width="79" style="11" customWidth="1"/>
    <col min="6146" max="6146" width="3.83203125" style="11" customWidth="1"/>
    <col min="6147" max="6159" width="12.5" style="11" customWidth="1"/>
    <col min="6160" max="6160" width="8.5" style="11" customWidth="1"/>
    <col min="6161" max="6399" width="10.6640625" style="11"/>
    <col min="6400" max="6400" width="13.1640625" style="11" customWidth="1"/>
    <col min="6401" max="6401" width="79" style="11" customWidth="1"/>
    <col min="6402" max="6402" width="3.83203125" style="11" customWidth="1"/>
    <col min="6403" max="6415" width="12.5" style="11" customWidth="1"/>
    <col min="6416" max="6416" width="8.5" style="11" customWidth="1"/>
    <col min="6417" max="6655" width="10.6640625" style="11"/>
    <col min="6656" max="6656" width="13.1640625" style="11" customWidth="1"/>
    <col min="6657" max="6657" width="79" style="11" customWidth="1"/>
    <col min="6658" max="6658" width="3.83203125" style="11" customWidth="1"/>
    <col min="6659" max="6671" width="12.5" style="11" customWidth="1"/>
    <col min="6672" max="6672" width="8.5" style="11" customWidth="1"/>
    <col min="6673" max="6911" width="10.6640625" style="11"/>
    <col min="6912" max="6912" width="13.1640625" style="11" customWidth="1"/>
    <col min="6913" max="6913" width="79" style="11" customWidth="1"/>
    <col min="6914" max="6914" width="3.83203125" style="11" customWidth="1"/>
    <col min="6915" max="6927" width="12.5" style="11" customWidth="1"/>
    <col min="6928" max="6928" width="8.5" style="11" customWidth="1"/>
    <col min="6929" max="7167" width="10.6640625" style="11"/>
    <col min="7168" max="7168" width="13.1640625" style="11" customWidth="1"/>
    <col min="7169" max="7169" width="79" style="11" customWidth="1"/>
    <col min="7170" max="7170" width="3.83203125" style="11" customWidth="1"/>
    <col min="7171" max="7183" width="12.5" style="11" customWidth="1"/>
    <col min="7184" max="7184" width="8.5" style="11" customWidth="1"/>
    <col min="7185" max="7423" width="10.6640625" style="11"/>
    <col min="7424" max="7424" width="13.1640625" style="11" customWidth="1"/>
    <col min="7425" max="7425" width="79" style="11" customWidth="1"/>
    <col min="7426" max="7426" width="3.83203125" style="11" customWidth="1"/>
    <col min="7427" max="7439" width="12.5" style="11" customWidth="1"/>
    <col min="7440" max="7440" width="8.5" style="11" customWidth="1"/>
    <col min="7441" max="7679" width="10.6640625" style="11"/>
    <col min="7680" max="7680" width="13.1640625" style="11" customWidth="1"/>
    <col min="7681" max="7681" width="79" style="11" customWidth="1"/>
    <col min="7682" max="7682" width="3.83203125" style="11" customWidth="1"/>
    <col min="7683" max="7695" width="12.5" style="11" customWidth="1"/>
    <col min="7696" max="7696" width="8.5" style="11" customWidth="1"/>
    <col min="7697" max="7935" width="10.6640625" style="11"/>
    <col min="7936" max="7936" width="13.1640625" style="11" customWidth="1"/>
    <col min="7937" max="7937" width="79" style="11" customWidth="1"/>
    <col min="7938" max="7938" width="3.83203125" style="11" customWidth="1"/>
    <col min="7939" max="7951" width="12.5" style="11" customWidth="1"/>
    <col min="7952" max="7952" width="8.5" style="11" customWidth="1"/>
    <col min="7953" max="8191" width="10.6640625" style="11"/>
    <col min="8192" max="8192" width="13.1640625" style="11" customWidth="1"/>
    <col min="8193" max="8193" width="79" style="11" customWidth="1"/>
    <col min="8194" max="8194" width="3.83203125" style="11" customWidth="1"/>
    <col min="8195" max="8207" width="12.5" style="11" customWidth="1"/>
    <col min="8208" max="8208" width="8.5" style="11" customWidth="1"/>
    <col min="8209" max="8447" width="10.6640625" style="11"/>
    <col min="8448" max="8448" width="13.1640625" style="11" customWidth="1"/>
    <col min="8449" max="8449" width="79" style="11" customWidth="1"/>
    <col min="8450" max="8450" width="3.83203125" style="11" customWidth="1"/>
    <col min="8451" max="8463" width="12.5" style="11" customWidth="1"/>
    <col min="8464" max="8464" width="8.5" style="11" customWidth="1"/>
    <col min="8465" max="8703" width="10.6640625" style="11"/>
    <col min="8704" max="8704" width="13.1640625" style="11" customWidth="1"/>
    <col min="8705" max="8705" width="79" style="11" customWidth="1"/>
    <col min="8706" max="8706" width="3.83203125" style="11" customWidth="1"/>
    <col min="8707" max="8719" width="12.5" style="11" customWidth="1"/>
    <col min="8720" max="8720" width="8.5" style="11" customWidth="1"/>
    <col min="8721" max="8959" width="10.6640625" style="11"/>
    <col min="8960" max="8960" width="13.1640625" style="11" customWidth="1"/>
    <col min="8961" max="8961" width="79" style="11" customWidth="1"/>
    <col min="8962" max="8962" width="3.83203125" style="11" customWidth="1"/>
    <col min="8963" max="8975" width="12.5" style="11" customWidth="1"/>
    <col min="8976" max="8976" width="8.5" style="11" customWidth="1"/>
    <col min="8977" max="9215" width="10.6640625" style="11"/>
    <col min="9216" max="9216" width="13.1640625" style="11" customWidth="1"/>
    <col min="9217" max="9217" width="79" style="11" customWidth="1"/>
    <col min="9218" max="9218" width="3.83203125" style="11" customWidth="1"/>
    <col min="9219" max="9231" width="12.5" style="11" customWidth="1"/>
    <col min="9232" max="9232" width="8.5" style="11" customWidth="1"/>
    <col min="9233" max="9471" width="10.6640625" style="11"/>
    <col min="9472" max="9472" width="13.1640625" style="11" customWidth="1"/>
    <col min="9473" max="9473" width="79" style="11" customWidth="1"/>
    <col min="9474" max="9474" width="3.83203125" style="11" customWidth="1"/>
    <col min="9475" max="9487" width="12.5" style="11" customWidth="1"/>
    <col min="9488" max="9488" width="8.5" style="11" customWidth="1"/>
    <col min="9489" max="9727" width="10.6640625" style="11"/>
    <col min="9728" max="9728" width="13.1640625" style="11" customWidth="1"/>
    <col min="9729" max="9729" width="79" style="11" customWidth="1"/>
    <col min="9730" max="9730" width="3.83203125" style="11" customWidth="1"/>
    <col min="9731" max="9743" width="12.5" style="11" customWidth="1"/>
    <col min="9744" max="9744" width="8.5" style="11" customWidth="1"/>
    <col min="9745" max="9983" width="10.6640625" style="11"/>
    <col min="9984" max="9984" width="13.1640625" style="11" customWidth="1"/>
    <col min="9985" max="9985" width="79" style="11" customWidth="1"/>
    <col min="9986" max="9986" width="3.83203125" style="11" customWidth="1"/>
    <col min="9987" max="9999" width="12.5" style="11" customWidth="1"/>
    <col min="10000" max="10000" width="8.5" style="11" customWidth="1"/>
    <col min="10001" max="10239" width="10.6640625" style="11"/>
    <col min="10240" max="10240" width="13.1640625" style="11" customWidth="1"/>
    <col min="10241" max="10241" width="79" style="11" customWidth="1"/>
    <col min="10242" max="10242" width="3.83203125" style="11" customWidth="1"/>
    <col min="10243" max="10255" width="12.5" style="11" customWidth="1"/>
    <col min="10256" max="10256" width="8.5" style="11" customWidth="1"/>
    <col min="10257" max="10495" width="10.6640625" style="11"/>
    <col min="10496" max="10496" width="13.1640625" style="11" customWidth="1"/>
    <col min="10497" max="10497" width="79" style="11" customWidth="1"/>
    <col min="10498" max="10498" width="3.83203125" style="11" customWidth="1"/>
    <col min="10499" max="10511" width="12.5" style="11" customWidth="1"/>
    <col min="10512" max="10512" width="8.5" style="11" customWidth="1"/>
    <col min="10513" max="10751" width="10.6640625" style="11"/>
    <col min="10752" max="10752" width="13.1640625" style="11" customWidth="1"/>
    <col min="10753" max="10753" width="79" style="11" customWidth="1"/>
    <col min="10754" max="10754" width="3.83203125" style="11" customWidth="1"/>
    <col min="10755" max="10767" width="12.5" style="11" customWidth="1"/>
    <col min="10768" max="10768" width="8.5" style="11" customWidth="1"/>
    <col min="10769" max="11007" width="10.6640625" style="11"/>
    <col min="11008" max="11008" width="13.1640625" style="11" customWidth="1"/>
    <col min="11009" max="11009" width="79" style="11" customWidth="1"/>
    <col min="11010" max="11010" width="3.83203125" style="11" customWidth="1"/>
    <col min="11011" max="11023" width="12.5" style="11" customWidth="1"/>
    <col min="11024" max="11024" width="8.5" style="11" customWidth="1"/>
    <col min="11025" max="11263" width="10.6640625" style="11"/>
    <col min="11264" max="11264" width="13.1640625" style="11" customWidth="1"/>
    <col min="11265" max="11265" width="79" style="11" customWidth="1"/>
    <col min="11266" max="11266" width="3.83203125" style="11" customWidth="1"/>
    <col min="11267" max="11279" width="12.5" style="11" customWidth="1"/>
    <col min="11280" max="11280" width="8.5" style="11" customWidth="1"/>
    <col min="11281" max="11519" width="10.6640625" style="11"/>
    <col min="11520" max="11520" width="13.1640625" style="11" customWidth="1"/>
    <col min="11521" max="11521" width="79" style="11" customWidth="1"/>
    <col min="11522" max="11522" width="3.83203125" style="11" customWidth="1"/>
    <col min="11523" max="11535" width="12.5" style="11" customWidth="1"/>
    <col min="11536" max="11536" width="8.5" style="11" customWidth="1"/>
    <col min="11537" max="11775" width="10.6640625" style="11"/>
    <col min="11776" max="11776" width="13.1640625" style="11" customWidth="1"/>
    <col min="11777" max="11777" width="79" style="11" customWidth="1"/>
    <col min="11778" max="11778" width="3.83203125" style="11" customWidth="1"/>
    <col min="11779" max="11791" width="12.5" style="11" customWidth="1"/>
    <col min="11792" max="11792" width="8.5" style="11" customWidth="1"/>
    <col min="11793" max="12031" width="10.6640625" style="11"/>
    <col min="12032" max="12032" width="13.1640625" style="11" customWidth="1"/>
    <col min="12033" max="12033" width="79" style="11" customWidth="1"/>
    <col min="12034" max="12034" width="3.83203125" style="11" customWidth="1"/>
    <col min="12035" max="12047" width="12.5" style="11" customWidth="1"/>
    <col min="12048" max="12048" width="8.5" style="11" customWidth="1"/>
    <col min="12049" max="12287" width="10.6640625" style="11"/>
    <col min="12288" max="12288" width="13.1640625" style="11" customWidth="1"/>
    <col min="12289" max="12289" width="79" style="11" customWidth="1"/>
    <col min="12290" max="12290" width="3.83203125" style="11" customWidth="1"/>
    <col min="12291" max="12303" width="12.5" style="11" customWidth="1"/>
    <col min="12304" max="12304" width="8.5" style="11" customWidth="1"/>
    <col min="12305" max="12543" width="10.6640625" style="11"/>
    <col min="12544" max="12544" width="13.1640625" style="11" customWidth="1"/>
    <col min="12545" max="12545" width="79" style="11" customWidth="1"/>
    <col min="12546" max="12546" width="3.83203125" style="11" customWidth="1"/>
    <col min="12547" max="12559" width="12.5" style="11" customWidth="1"/>
    <col min="12560" max="12560" width="8.5" style="11" customWidth="1"/>
    <col min="12561" max="12799" width="10.6640625" style="11"/>
    <col min="12800" max="12800" width="13.1640625" style="11" customWidth="1"/>
    <col min="12801" max="12801" width="79" style="11" customWidth="1"/>
    <col min="12802" max="12802" width="3.83203125" style="11" customWidth="1"/>
    <col min="12803" max="12815" width="12.5" style="11" customWidth="1"/>
    <col min="12816" max="12816" width="8.5" style="11" customWidth="1"/>
    <col min="12817" max="13055" width="10.6640625" style="11"/>
    <col min="13056" max="13056" width="13.1640625" style="11" customWidth="1"/>
    <col min="13057" max="13057" width="79" style="11" customWidth="1"/>
    <col min="13058" max="13058" width="3.83203125" style="11" customWidth="1"/>
    <col min="13059" max="13071" width="12.5" style="11" customWidth="1"/>
    <col min="13072" max="13072" width="8.5" style="11" customWidth="1"/>
    <col min="13073" max="13311" width="10.6640625" style="11"/>
    <col min="13312" max="13312" width="13.1640625" style="11" customWidth="1"/>
    <col min="13313" max="13313" width="79" style="11" customWidth="1"/>
    <col min="13314" max="13314" width="3.83203125" style="11" customWidth="1"/>
    <col min="13315" max="13327" width="12.5" style="11" customWidth="1"/>
    <col min="13328" max="13328" width="8.5" style="11" customWidth="1"/>
    <col min="13329" max="13567" width="10.6640625" style="11"/>
    <col min="13568" max="13568" width="13.1640625" style="11" customWidth="1"/>
    <col min="13569" max="13569" width="79" style="11" customWidth="1"/>
    <col min="13570" max="13570" width="3.83203125" style="11" customWidth="1"/>
    <col min="13571" max="13583" width="12.5" style="11" customWidth="1"/>
    <col min="13584" max="13584" width="8.5" style="11" customWidth="1"/>
    <col min="13585" max="13823" width="10.6640625" style="11"/>
    <col min="13824" max="13824" width="13.1640625" style="11" customWidth="1"/>
    <col min="13825" max="13825" width="79" style="11" customWidth="1"/>
    <col min="13826" max="13826" width="3.83203125" style="11" customWidth="1"/>
    <col min="13827" max="13839" width="12.5" style="11" customWidth="1"/>
    <col min="13840" max="13840" width="8.5" style="11" customWidth="1"/>
    <col min="13841" max="14079" width="10.6640625" style="11"/>
    <col min="14080" max="14080" width="13.1640625" style="11" customWidth="1"/>
    <col min="14081" max="14081" width="79" style="11" customWidth="1"/>
    <col min="14082" max="14082" width="3.83203125" style="11" customWidth="1"/>
    <col min="14083" max="14095" width="12.5" style="11" customWidth="1"/>
    <col min="14096" max="14096" width="8.5" style="11" customWidth="1"/>
    <col min="14097" max="14335" width="10.6640625" style="11"/>
    <col min="14336" max="14336" width="13.1640625" style="11" customWidth="1"/>
    <col min="14337" max="14337" width="79" style="11" customWidth="1"/>
    <col min="14338" max="14338" width="3.83203125" style="11" customWidth="1"/>
    <col min="14339" max="14351" width="12.5" style="11" customWidth="1"/>
    <col min="14352" max="14352" width="8.5" style="11" customWidth="1"/>
    <col min="14353" max="14591" width="10.6640625" style="11"/>
    <col min="14592" max="14592" width="13.1640625" style="11" customWidth="1"/>
    <col min="14593" max="14593" width="79" style="11" customWidth="1"/>
    <col min="14594" max="14594" width="3.83203125" style="11" customWidth="1"/>
    <col min="14595" max="14607" width="12.5" style="11" customWidth="1"/>
    <col min="14608" max="14608" width="8.5" style="11" customWidth="1"/>
    <col min="14609" max="14847" width="10.6640625" style="11"/>
    <col min="14848" max="14848" width="13.1640625" style="11" customWidth="1"/>
    <col min="14849" max="14849" width="79" style="11" customWidth="1"/>
    <col min="14850" max="14850" width="3.83203125" style="11" customWidth="1"/>
    <col min="14851" max="14863" width="12.5" style="11" customWidth="1"/>
    <col min="14864" max="14864" width="8.5" style="11" customWidth="1"/>
    <col min="14865" max="15103" width="10.6640625" style="11"/>
    <col min="15104" max="15104" width="13.1640625" style="11" customWidth="1"/>
    <col min="15105" max="15105" width="79" style="11" customWidth="1"/>
    <col min="15106" max="15106" width="3.83203125" style="11" customWidth="1"/>
    <col min="15107" max="15119" width="12.5" style="11" customWidth="1"/>
    <col min="15120" max="15120" width="8.5" style="11" customWidth="1"/>
    <col min="15121" max="15359" width="10.6640625" style="11"/>
    <col min="15360" max="15360" width="13.1640625" style="11" customWidth="1"/>
    <col min="15361" max="15361" width="79" style="11" customWidth="1"/>
    <col min="15362" max="15362" width="3.83203125" style="11" customWidth="1"/>
    <col min="15363" max="15375" width="12.5" style="11" customWidth="1"/>
    <col min="15376" max="15376" width="8.5" style="11" customWidth="1"/>
    <col min="15377" max="15615" width="10.6640625" style="11"/>
    <col min="15616" max="15616" width="13.1640625" style="11" customWidth="1"/>
    <col min="15617" max="15617" width="79" style="11" customWidth="1"/>
    <col min="15618" max="15618" width="3.83203125" style="11" customWidth="1"/>
    <col min="15619" max="15631" width="12.5" style="11" customWidth="1"/>
    <col min="15632" max="15632" width="8.5" style="11" customWidth="1"/>
    <col min="15633" max="15871" width="10.6640625" style="11"/>
    <col min="15872" max="15872" width="13.1640625" style="11" customWidth="1"/>
    <col min="15873" max="15873" width="79" style="11" customWidth="1"/>
    <col min="15874" max="15874" width="3.83203125" style="11" customWidth="1"/>
    <col min="15875" max="15887" width="12.5" style="11" customWidth="1"/>
    <col min="15888" max="15888" width="8.5" style="11" customWidth="1"/>
    <col min="15889" max="16127" width="10.6640625" style="11"/>
    <col min="16128" max="16128" width="13.1640625" style="11" customWidth="1"/>
    <col min="16129" max="16129" width="79" style="11" customWidth="1"/>
    <col min="16130" max="16130" width="3.83203125" style="11" customWidth="1"/>
    <col min="16131" max="16143" width="12.5" style="11" customWidth="1"/>
    <col min="16144" max="16144" width="8.5" style="11" customWidth="1"/>
    <col min="16145" max="16384" width="10.6640625" style="11"/>
  </cols>
  <sheetData>
    <row r="1" spans="1:19" ht="13.5" thickBot="1" x14ac:dyDescent="0.25">
      <c r="A1" s="17" t="s">
        <v>80</v>
      </c>
      <c r="B1" s="18">
        <v>3</v>
      </c>
      <c r="C1" s="19"/>
      <c r="D1" s="20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</row>
    <row r="2" spans="1:19" ht="13.5" thickTop="1" x14ac:dyDescent="0.2">
      <c r="A2" s="22" t="str">
        <f>CONCATENATE($B$1,"|",B2)</f>
        <v>3|1</v>
      </c>
      <c r="B2" s="23">
        <v>1</v>
      </c>
      <c r="C2" s="24" t="s">
        <v>463</v>
      </c>
      <c r="D2" s="25">
        <v>1</v>
      </c>
      <c r="E2" s="26">
        <v>50</v>
      </c>
      <c r="F2" s="26">
        <v>50</v>
      </c>
      <c r="G2" s="26"/>
      <c r="H2" s="26"/>
      <c r="I2" s="26"/>
      <c r="J2" s="27"/>
      <c r="K2" s="27"/>
      <c r="L2" s="27"/>
      <c r="M2" s="27"/>
      <c r="N2" s="27"/>
      <c r="O2" s="27"/>
      <c r="P2" s="27"/>
      <c r="S2" s="11">
        <f>SUM(E2:P2)</f>
        <v>100</v>
      </c>
    </row>
    <row r="3" spans="1:19" x14ac:dyDescent="0.2">
      <c r="A3" s="28" t="str">
        <f t="shared" ref="A3:A12" si="0">CONCATENATE($B$1,"|",B3)</f>
        <v>3|2</v>
      </c>
      <c r="B3" s="29" t="s">
        <v>189</v>
      </c>
      <c r="C3" s="24" t="s">
        <v>459</v>
      </c>
      <c r="D3" s="25">
        <v>2</v>
      </c>
      <c r="E3" s="26">
        <v>50</v>
      </c>
      <c r="F3" s="26">
        <v>50</v>
      </c>
      <c r="G3" s="26"/>
      <c r="H3" s="26"/>
      <c r="I3" s="26"/>
      <c r="J3" s="30"/>
      <c r="K3" s="30"/>
      <c r="L3" s="30"/>
      <c r="M3" s="30"/>
      <c r="N3" s="30"/>
      <c r="O3" s="30"/>
      <c r="P3" s="30"/>
      <c r="S3" s="11">
        <f t="shared" ref="S3:S12" si="1">SUM(E3:P3)</f>
        <v>100</v>
      </c>
    </row>
    <row r="4" spans="1:19" x14ac:dyDescent="0.2">
      <c r="A4" s="28" t="str">
        <f t="shared" si="0"/>
        <v>3|3</v>
      </c>
      <c r="B4" s="29" t="s">
        <v>207</v>
      </c>
      <c r="C4" s="24" t="s">
        <v>465</v>
      </c>
      <c r="D4" s="25">
        <v>3</v>
      </c>
      <c r="E4" s="31">
        <v>25</v>
      </c>
      <c r="F4" s="31">
        <v>60</v>
      </c>
      <c r="G4" s="31">
        <v>15</v>
      </c>
      <c r="H4" s="31"/>
      <c r="I4" s="31"/>
      <c r="J4" s="30"/>
      <c r="K4" s="30"/>
      <c r="L4" s="30"/>
      <c r="M4" s="30"/>
      <c r="N4" s="30"/>
      <c r="O4" s="30"/>
      <c r="P4" s="30"/>
      <c r="S4" s="11">
        <f t="shared" si="1"/>
        <v>100</v>
      </c>
    </row>
    <row r="5" spans="1:19" x14ac:dyDescent="0.2">
      <c r="A5" s="28" t="str">
        <f t="shared" si="0"/>
        <v>3|4</v>
      </c>
      <c r="B5" s="29" t="s">
        <v>225</v>
      </c>
      <c r="C5" s="24" t="s">
        <v>460</v>
      </c>
      <c r="D5" s="25">
        <v>4</v>
      </c>
      <c r="E5" s="31"/>
      <c r="F5" s="31">
        <v>50</v>
      </c>
      <c r="G5" s="31">
        <v>50</v>
      </c>
      <c r="H5" s="31"/>
      <c r="I5" s="31"/>
      <c r="J5" s="30"/>
      <c r="K5" s="30"/>
      <c r="L5" s="30"/>
      <c r="M5" s="30"/>
      <c r="N5" s="30"/>
      <c r="O5" s="30"/>
      <c r="P5" s="30"/>
      <c r="S5" s="11">
        <f t="shared" si="1"/>
        <v>100</v>
      </c>
    </row>
    <row r="6" spans="1:19" x14ac:dyDescent="0.2">
      <c r="A6" s="28" t="str">
        <f t="shared" si="0"/>
        <v>3|5</v>
      </c>
      <c r="B6" s="29" t="s">
        <v>188</v>
      </c>
      <c r="C6" s="24" t="s">
        <v>461</v>
      </c>
      <c r="D6" s="25">
        <v>5</v>
      </c>
      <c r="E6" s="31">
        <v>20</v>
      </c>
      <c r="F6" s="31">
        <v>50</v>
      </c>
      <c r="G6" s="31">
        <v>30</v>
      </c>
      <c r="H6" s="31"/>
      <c r="I6" s="31"/>
      <c r="J6" s="30"/>
      <c r="K6" s="30"/>
      <c r="L6" s="30"/>
      <c r="M6" s="30"/>
      <c r="N6" s="30"/>
      <c r="O6" s="30"/>
      <c r="P6" s="30"/>
      <c r="S6" s="11">
        <f t="shared" si="1"/>
        <v>100</v>
      </c>
    </row>
    <row r="7" spans="1:19" x14ac:dyDescent="0.2">
      <c r="A7" s="28" t="str">
        <f t="shared" si="0"/>
        <v>3|6</v>
      </c>
      <c r="B7" s="29" t="s">
        <v>227</v>
      </c>
      <c r="C7" s="24" t="s">
        <v>467</v>
      </c>
      <c r="D7" s="25">
        <v>3</v>
      </c>
      <c r="E7" s="31"/>
      <c r="F7" s="31">
        <v>50</v>
      </c>
      <c r="G7" s="31">
        <v>50</v>
      </c>
      <c r="H7" s="31"/>
      <c r="I7" s="31"/>
      <c r="J7" s="30"/>
      <c r="K7" s="30"/>
      <c r="L7" s="30"/>
      <c r="M7" s="30"/>
      <c r="N7" s="30"/>
      <c r="O7" s="30"/>
      <c r="P7" s="30"/>
      <c r="S7" s="11">
        <f t="shared" si="1"/>
        <v>100</v>
      </c>
    </row>
    <row r="8" spans="1:19" x14ac:dyDescent="0.2">
      <c r="A8" s="28" t="str">
        <f t="shared" si="0"/>
        <v>3|7</v>
      </c>
      <c r="B8" s="29" t="s">
        <v>452</v>
      </c>
      <c r="C8" s="24" t="s">
        <v>468</v>
      </c>
      <c r="D8" s="25">
        <v>5</v>
      </c>
      <c r="E8" s="31"/>
      <c r="F8" s="31">
        <v>20</v>
      </c>
      <c r="G8" s="31">
        <v>80</v>
      </c>
      <c r="H8" s="31"/>
      <c r="I8" s="31"/>
      <c r="J8" s="30"/>
      <c r="K8" s="30"/>
      <c r="L8" s="30"/>
      <c r="M8" s="30"/>
      <c r="N8" s="30"/>
      <c r="O8" s="30"/>
      <c r="P8" s="30"/>
      <c r="S8" s="11">
        <f t="shared" si="1"/>
        <v>100</v>
      </c>
    </row>
    <row r="9" spans="1:19" x14ac:dyDescent="0.2">
      <c r="A9" s="28" t="str">
        <f t="shared" si="0"/>
        <v>3|8</v>
      </c>
      <c r="B9" s="29" t="s">
        <v>321</v>
      </c>
      <c r="C9" s="24" t="s">
        <v>470</v>
      </c>
      <c r="D9" s="25">
        <v>6</v>
      </c>
      <c r="E9" s="31"/>
      <c r="F9" s="31">
        <v>50</v>
      </c>
      <c r="G9" s="31">
        <v>50</v>
      </c>
      <c r="H9" s="31"/>
      <c r="I9" s="31"/>
      <c r="J9" s="30"/>
      <c r="K9" s="30"/>
      <c r="L9" s="30"/>
      <c r="M9" s="30"/>
      <c r="N9" s="30"/>
      <c r="O9" s="30"/>
      <c r="P9" s="30"/>
      <c r="S9" s="11">
        <f t="shared" si="1"/>
        <v>100</v>
      </c>
    </row>
    <row r="10" spans="1:19" x14ac:dyDescent="0.2">
      <c r="A10" s="28" t="str">
        <f t="shared" si="0"/>
        <v>3|9</v>
      </c>
      <c r="B10" s="29" t="s">
        <v>471</v>
      </c>
      <c r="C10" s="24" t="s">
        <v>472</v>
      </c>
      <c r="D10" s="25">
        <v>6</v>
      </c>
      <c r="E10" s="31">
        <v>30</v>
      </c>
      <c r="F10" s="31">
        <v>40</v>
      </c>
      <c r="G10" s="31">
        <v>30</v>
      </c>
      <c r="H10" s="31"/>
      <c r="I10" s="31"/>
      <c r="J10" s="30"/>
      <c r="K10" s="30"/>
      <c r="L10" s="30"/>
      <c r="M10" s="30"/>
      <c r="N10" s="30"/>
      <c r="O10" s="30"/>
      <c r="P10" s="30"/>
      <c r="S10" s="11">
        <f t="shared" si="1"/>
        <v>100</v>
      </c>
    </row>
    <row r="11" spans="1:19" x14ac:dyDescent="0.2">
      <c r="A11" s="28" t="str">
        <f t="shared" si="0"/>
        <v>3|10</v>
      </c>
      <c r="B11" s="29" t="s">
        <v>473</v>
      </c>
      <c r="C11" s="24" t="s">
        <v>462</v>
      </c>
      <c r="D11" s="25"/>
      <c r="E11" s="31">
        <v>60</v>
      </c>
      <c r="F11" s="31">
        <v>40</v>
      </c>
      <c r="G11" s="31"/>
      <c r="H11" s="31"/>
      <c r="I11" s="31"/>
      <c r="J11" s="30"/>
      <c r="K11" s="30"/>
      <c r="L11" s="30"/>
      <c r="M11" s="30"/>
      <c r="N11" s="30"/>
      <c r="O11" s="30"/>
      <c r="P11" s="30"/>
      <c r="S11" s="11">
        <f t="shared" si="1"/>
        <v>100</v>
      </c>
    </row>
    <row r="12" spans="1:19" x14ac:dyDescent="0.2">
      <c r="A12" s="28" t="str">
        <f t="shared" si="0"/>
        <v>3|11</v>
      </c>
      <c r="B12" s="29" t="s">
        <v>595</v>
      </c>
      <c r="C12" s="24" t="s">
        <v>630</v>
      </c>
      <c r="D12" s="25"/>
      <c r="E12" s="31">
        <v>15</v>
      </c>
      <c r="F12" s="31">
        <v>60</v>
      </c>
      <c r="G12" s="31">
        <v>25</v>
      </c>
      <c r="H12" s="31"/>
      <c r="I12" s="31"/>
      <c r="J12" s="30"/>
      <c r="K12" s="30"/>
      <c r="L12" s="30"/>
      <c r="M12" s="30"/>
      <c r="N12" s="30"/>
      <c r="O12" s="30"/>
      <c r="P12" s="30"/>
      <c r="S12" s="11">
        <f t="shared" si="1"/>
        <v>100</v>
      </c>
    </row>
    <row r="13" spans="1:19" ht="5.45" customHeight="1" x14ac:dyDescent="0.2"/>
    <row r="14" spans="1:19" ht="13.5" thickBot="1" x14ac:dyDescent="0.25">
      <c r="A14" s="32" t="s">
        <v>80</v>
      </c>
      <c r="B14" s="33">
        <v>4</v>
      </c>
      <c r="C14" s="34"/>
      <c r="D14" s="35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</row>
    <row r="15" spans="1:19" ht="13.5" thickTop="1" x14ac:dyDescent="0.2">
      <c r="A15" s="36" t="str">
        <f>CONCATENATE($B$14,"|",B15)</f>
        <v>4|1</v>
      </c>
      <c r="B15" s="23">
        <v>1</v>
      </c>
      <c r="C15" s="24" t="s">
        <v>463</v>
      </c>
      <c r="D15" s="25">
        <v>1</v>
      </c>
      <c r="E15" s="26">
        <v>45</v>
      </c>
      <c r="F15" s="26">
        <v>45</v>
      </c>
      <c r="G15" s="26">
        <v>10</v>
      </c>
      <c r="H15" s="26"/>
      <c r="I15" s="26"/>
      <c r="J15" s="27"/>
      <c r="K15" s="27"/>
      <c r="L15" s="27"/>
      <c r="M15" s="27"/>
      <c r="N15" s="27"/>
      <c r="O15" s="27"/>
      <c r="P15" s="27"/>
      <c r="S15" s="11">
        <f>SUM(E15:P15)</f>
        <v>100</v>
      </c>
    </row>
    <row r="16" spans="1:19" x14ac:dyDescent="0.2">
      <c r="A16" s="28" t="str">
        <f t="shared" ref="A16:A25" si="2">CONCATENATE($B$14,"|",B16)</f>
        <v>4|2</v>
      </c>
      <c r="B16" s="29" t="s">
        <v>189</v>
      </c>
      <c r="C16" s="24" t="s">
        <v>459</v>
      </c>
      <c r="D16" s="25">
        <v>2</v>
      </c>
      <c r="E16" s="26">
        <v>40</v>
      </c>
      <c r="F16" s="26">
        <v>40</v>
      </c>
      <c r="G16" s="26">
        <v>20</v>
      </c>
      <c r="H16" s="26"/>
      <c r="I16" s="26"/>
      <c r="J16" s="30"/>
      <c r="K16" s="30"/>
      <c r="L16" s="30"/>
      <c r="M16" s="30"/>
      <c r="N16" s="30"/>
      <c r="O16" s="30"/>
      <c r="P16" s="30"/>
      <c r="S16" s="11">
        <f t="shared" ref="S16:S25" si="3">SUM(E16:P16)</f>
        <v>100</v>
      </c>
    </row>
    <row r="17" spans="1:19" x14ac:dyDescent="0.2">
      <c r="A17" s="28" t="str">
        <f t="shared" si="2"/>
        <v>4|3</v>
      </c>
      <c r="B17" s="29" t="s">
        <v>207</v>
      </c>
      <c r="C17" s="24" t="s">
        <v>465</v>
      </c>
      <c r="D17" s="25">
        <v>3</v>
      </c>
      <c r="E17" s="31">
        <v>20</v>
      </c>
      <c r="F17" s="31">
        <v>35</v>
      </c>
      <c r="G17" s="31">
        <v>35</v>
      </c>
      <c r="H17" s="31">
        <v>10</v>
      </c>
      <c r="I17" s="31"/>
      <c r="J17" s="30"/>
      <c r="K17" s="30"/>
      <c r="L17" s="30"/>
      <c r="M17" s="30"/>
      <c r="N17" s="30"/>
      <c r="O17" s="30"/>
      <c r="P17" s="30"/>
      <c r="S17" s="11">
        <f t="shared" si="3"/>
        <v>100</v>
      </c>
    </row>
    <row r="18" spans="1:19" x14ac:dyDescent="0.2">
      <c r="A18" s="28" t="str">
        <f t="shared" si="2"/>
        <v>4|4</v>
      </c>
      <c r="B18" s="29" t="s">
        <v>225</v>
      </c>
      <c r="C18" s="24" t="s">
        <v>460</v>
      </c>
      <c r="D18" s="25">
        <v>4</v>
      </c>
      <c r="E18" s="31"/>
      <c r="F18" s="31">
        <v>35</v>
      </c>
      <c r="G18" s="31">
        <v>35</v>
      </c>
      <c r="H18" s="31">
        <v>30</v>
      </c>
      <c r="I18" s="31"/>
      <c r="J18" s="30"/>
      <c r="K18" s="30"/>
      <c r="L18" s="30"/>
      <c r="M18" s="30"/>
      <c r="N18" s="30"/>
      <c r="O18" s="30"/>
      <c r="P18" s="30"/>
      <c r="S18" s="11">
        <f t="shared" si="3"/>
        <v>100</v>
      </c>
    </row>
    <row r="19" spans="1:19" x14ac:dyDescent="0.2">
      <c r="A19" s="28" t="str">
        <f t="shared" si="2"/>
        <v>4|5</v>
      </c>
      <c r="B19" s="29" t="s">
        <v>188</v>
      </c>
      <c r="C19" s="24" t="s">
        <v>461</v>
      </c>
      <c r="D19" s="25">
        <v>5</v>
      </c>
      <c r="E19" s="31">
        <v>10</v>
      </c>
      <c r="F19" s="31">
        <v>35</v>
      </c>
      <c r="G19" s="31">
        <v>35</v>
      </c>
      <c r="H19" s="31">
        <v>20</v>
      </c>
      <c r="I19" s="31"/>
      <c r="J19" s="30"/>
      <c r="K19" s="30"/>
      <c r="L19" s="30"/>
      <c r="M19" s="30"/>
      <c r="N19" s="30"/>
      <c r="O19" s="30"/>
      <c r="P19" s="30"/>
      <c r="S19" s="11">
        <f t="shared" si="3"/>
        <v>100</v>
      </c>
    </row>
    <row r="20" spans="1:19" x14ac:dyDescent="0.2">
      <c r="A20" s="28" t="str">
        <f t="shared" si="2"/>
        <v>4|6</v>
      </c>
      <c r="B20" s="29" t="s">
        <v>227</v>
      </c>
      <c r="C20" s="24" t="s">
        <v>467</v>
      </c>
      <c r="D20" s="25">
        <v>3</v>
      </c>
      <c r="E20" s="31"/>
      <c r="F20" s="31">
        <v>35</v>
      </c>
      <c r="G20" s="31">
        <v>35</v>
      </c>
      <c r="H20" s="31">
        <v>30</v>
      </c>
      <c r="I20" s="31"/>
      <c r="J20" s="30"/>
      <c r="K20" s="30"/>
      <c r="L20" s="30"/>
      <c r="M20" s="30"/>
      <c r="N20" s="30"/>
      <c r="O20" s="30"/>
      <c r="P20" s="30"/>
      <c r="S20" s="11">
        <f t="shared" si="3"/>
        <v>100</v>
      </c>
    </row>
    <row r="21" spans="1:19" x14ac:dyDescent="0.2">
      <c r="A21" s="28" t="str">
        <f t="shared" si="2"/>
        <v>4|7</v>
      </c>
      <c r="B21" s="29" t="s">
        <v>452</v>
      </c>
      <c r="C21" s="24" t="s">
        <v>468</v>
      </c>
      <c r="D21" s="25">
        <v>5</v>
      </c>
      <c r="E21" s="31"/>
      <c r="F21" s="31">
        <v>15</v>
      </c>
      <c r="G21" s="31">
        <v>60</v>
      </c>
      <c r="H21" s="31">
        <v>25</v>
      </c>
      <c r="I21" s="31"/>
      <c r="J21" s="30"/>
      <c r="K21" s="30"/>
      <c r="L21" s="30"/>
      <c r="M21" s="30"/>
      <c r="N21" s="30"/>
      <c r="O21" s="30"/>
      <c r="P21" s="30"/>
      <c r="S21" s="11">
        <f t="shared" si="3"/>
        <v>100</v>
      </c>
    </row>
    <row r="22" spans="1:19" x14ac:dyDescent="0.2">
      <c r="A22" s="28" t="str">
        <f t="shared" si="2"/>
        <v>4|8</v>
      </c>
      <c r="B22" s="29" t="s">
        <v>321</v>
      </c>
      <c r="C22" s="24" t="s">
        <v>470</v>
      </c>
      <c r="D22" s="25">
        <v>6</v>
      </c>
      <c r="E22" s="31"/>
      <c r="F22" s="31">
        <v>30</v>
      </c>
      <c r="G22" s="31">
        <v>40</v>
      </c>
      <c r="H22" s="31">
        <v>30</v>
      </c>
      <c r="I22" s="31"/>
      <c r="J22" s="30"/>
      <c r="K22" s="30"/>
      <c r="L22" s="30"/>
      <c r="M22" s="30"/>
      <c r="N22" s="30"/>
      <c r="O22" s="30"/>
      <c r="P22" s="30"/>
      <c r="S22" s="11">
        <f t="shared" si="3"/>
        <v>100</v>
      </c>
    </row>
    <row r="23" spans="1:19" x14ac:dyDescent="0.2">
      <c r="A23" s="28" t="str">
        <f t="shared" si="2"/>
        <v>4|9</v>
      </c>
      <c r="B23" s="29" t="s">
        <v>471</v>
      </c>
      <c r="C23" s="24" t="s">
        <v>472</v>
      </c>
      <c r="D23" s="25">
        <v>6</v>
      </c>
      <c r="E23" s="31">
        <v>10</v>
      </c>
      <c r="F23" s="31">
        <v>35</v>
      </c>
      <c r="G23" s="31">
        <v>35</v>
      </c>
      <c r="H23" s="31">
        <v>20</v>
      </c>
      <c r="I23" s="31"/>
      <c r="J23" s="30"/>
      <c r="K23" s="30"/>
      <c r="L23" s="30"/>
      <c r="M23" s="30"/>
      <c r="N23" s="30"/>
      <c r="O23" s="30"/>
      <c r="P23" s="30"/>
      <c r="S23" s="11">
        <f t="shared" si="3"/>
        <v>100</v>
      </c>
    </row>
    <row r="24" spans="1:19" x14ac:dyDescent="0.2">
      <c r="A24" s="28" t="str">
        <f t="shared" si="2"/>
        <v>4|10</v>
      </c>
      <c r="B24" s="29" t="s">
        <v>473</v>
      </c>
      <c r="C24" s="24" t="s">
        <v>462</v>
      </c>
      <c r="D24" s="25"/>
      <c r="E24" s="31">
        <v>40</v>
      </c>
      <c r="F24" s="31">
        <v>40</v>
      </c>
      <c r="G24" s="31">
        <v>20</v>
      </c>
      <c r="H24" s="31"/>
      <c r="I24" s="31"/>
      <c r="J24" s="30"/>
      <c r="K24" s="30"/>
      <c r="L24" s="30"/>
      <c r="M24" s="30"/>
      <c r="N24" s="30"/>
      <c r="O24" s="30"/>
      <c r="P24" s="30"/>
      <c r="S24" s="11">
        <f t="shared" si="3"/>
        <v>100</v>
      </c>
    </row>
    <row r="25" spans="1:19" x14ac:dyDescent="0.2">
      <c r="A25" s="37" t="str">
        <f t="shared" si="2"/>
        <v>4|11</v>
      </c>
      <c r="B25" s="29" t="s">
        <v>595</v>
      </c>
      <c r="C25" s="24" t="s">
        <v>630</v>
      </c>
      <c r="D25" s="25"/>
      <c r="E25" s="31">
        <v>10</v>
      </c>
      <c r="F25" s="31">
        <v>35</v>
      </c>
      <c r="G25" s="31">
        <v>35</v>
      </c>
      <c r="H25" s="31">
        <v>20</v>
      </c>
      <c r="I25" s="31"/>
      <c r="J25" s="30"/>
      <c r="K25" s="30"/>
      <c r="L25" s="30"/>
      <c r="M25" s="30"/>
      <c r="N25" s="30"/>
      <c r="O25" s="30"/>
      <c r="P25" s="30"/>
      <c r="S25" s="11">
        <f t="shared" si="3"/>
        <v>100</v>
      </c>
    </row>
    <row r="26" spans="1:19" ht="5.45" customHeight="1" x14ac:dyDescent="0.2"/>
    <row r="27" spans="1:19" ht="13.5" thickBot="1" x14ac:dyDescent="0.25">
      <c r="A27" s="32" t="s">
        <v>80</v>
      </c>
      <c r="B27" s="33">
        <v>5</v>
      </c>
      <c r="C27" s="34"/>
      <c r="D27" s="35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</row>
    <row r="28" spans="1:19" ht="13.5" thickTop="1" x14ac:dyDescent="0.2">
      <c r="A28" s="36" t="str">
        <f>CONCATENATE($B$27,"|",B28)</f>
        <v>5|1</v>
      </c>
      <c r="B28" s="23">
        <v>1</v>
      </c>
      <c r="C28" s="24" t="s">
        <v>463</v>
      </c>
      <c r="D28" s="25">
        <v>1</v>
      </c>
      <c r="E28" s="26">
        <v>40</v>
      </c>
      <c r="F28" s="26">
        <v>30</v>
      </c>
      <c r="G28" s="26">
        <v>25</v>
      </c>
      <c r="H28" s="26">
        <v>5</v>
      </c>
      <c r="I28" s="26"/>
      <c r="J28" s="27"/>
      <c r="K28" s="27"/>
      <c r="L28" s="27"/>
      <c r="M28" s="27"/>
      <c r="N28" s="27"/>
      <c r="O28" s="27"/>
      <c r="P28" s="27"/>
      <c r="S28" s="11">
        <f>SUM(E28:P28)</f>
        <v>100</v>
      </c>
    </row>
    <row r="29" spans="1:19" x14ac:dyDescent="0.2">
      <c r="A29" s="28" t="str">
        <f t="shared" ref="A29:A38" si="4">CONCATENATE($B$27,"|",B29)</f>
        <v>5|2</v>
      </c>
      <c r="B29" s="29" t="s">
        <v>189</v>
      </c>
      <c r="C29" s="24" t="s">
        <v>459</v>
      </c>
      <c r="D29" s="25">
        <v>2</v>
      </c>
      <c r="E29" s="26">
        <v>30</v>
      </c>
      <c r="F29" s="26">
        <v>30</v>
      </c>
      <c r="G29" s="26">
        <v>30</v>
      </c>
      <c r="H29" s="26">
        <v>10</v>
      </c>
      <c r="I29" s="26"/>
      <c r="J29" s="30"/>
      <c r="K29" s="30"/>
      <c r="L29" s="30"/>
      <c r="M29" s="30"/>
      <c r="N29" s="30"/>
      <c r="O29" s="30"/>
      <c r="P29" s="30"/>
      <c r="S29" s="11">
        <f t="shared" ref="S29:S38" si="5">SUM(E29:P29)</f>
        <v>100</v>
      </c>
    </row>
    <row r="30" spans="1:19" x14ac:dyDescent="0.2">
      <c r="A30" s="28" t="str">
        <f t="shared" si="4"/>
        <v>5|3</v>
      </c>
      <c r="B30" s="29" t="s">
        <v>207</v>
      </c>
      <c r="C30" s="24" t="s">
        <v>465</v>
      </c>
      <c r="D30" s="25">
        <v>3</v>
      </c>
      <c r="E30" s="31">
        <v>10</v>
      </c>
      <c r="F30" s="31">
        <v>30</v>
      </c>
      <c r="G30" s="31">
        <v>30</v>
      </c>
      <c r="H30" s="31">
        <v>25</v>
      </c>
      <c r="I30" s="31">
        <v>5</v>
      </c>
      <c r="J30" s="30"/>
      <c r="K30" s="30"/>
      <c r="L30" s="30"/>
      <c r="M30" s="30"/>
      <c r="N30" s="30"/>
      <c r="O30" s="30"/>
      <c r="P30" s="30"/>
      <c r="S30" s="11">
        <f t="shared" si="5"/>
        <v>100</v>
      </c>
    </row>
    <row r="31" spans="1:19" x14ac:dyDescent="0.2">
      <c r="A31" s="28" t="str">
        <f t="shared" si="4"/>
        <v>5|4</v>
      </c>
      <c r="B31" s="29" t="s">
        <v>225</v>
      </c>
      <c r="C31" s="24" t="s">
        <v>460</v>
      </c>
      <c r="D31" s="25">
        <v>4</v>
      </c>
      <c r="E31" s="31"/>
      <c r="F31" s="31">
        <v>15</v>
      </c>
      <c r="G31" s="31">
        <v>30</v>
      </c>
      <c r="H31" s="31">
        <v>30</v>
      </c>
      <c r="I31" s="31">
        <v>25</v>
      </c>
      <c r="J31" s="30"/>
      <c r="K31" s="30"/>
      <c r="L31" s="30"/>
      <c r="M31" s="30"/>
      <c r="N31" s="30"/>
      <c r="O31" s="30"/>
      <c r="P31" s="30"/>
      <c r="S31" s="11">
        <f t="shared" si="5"/>
        <v>100</v>
      </c>
    </row>
    <row r="32" spans="1:19" x14ac:dyDescent="0.2">
      <c r="A32" s="28" t="str">
        <f t="shared" si="4"/>
        <v>5|5</v>
      </c>
      <c r="B32" s="29" t="s">
        <v>188</v>
      </c>
      <c r="C32" s="24" t="s">
        <v>461</v>
      </c>
      <c r="D32" s="25">
        <v>5</v>
      </c>
      <c r="E32" s="31"/>
      <c r="F32" s="31">
        <v>25</v>
      </c>
      <c r="G32" s="31">
        <v>35</v>
      </c>
      <c r="H32" s="31">
        <v>35</v>
      </c>
      <c r="I32" s="31">
        <v>5</v>
      </c>
      <c r="J32" s="30"/>
      <c r="K32" s="30"/>
      <c r="L32" s="30"/>
      <c r="M32" s="30"/>
      <c r="N32" s="30"/>
      <c r="O32" s="30"/>
      <c r="P32" s="30"/>
      <c r="S32" s="11">
        <f t="shared" si="5"/>
        <v>100</v>
      </c>
    </row>
    <row r="33" spans="1:19" x14ac:dyDescent="0.2">
      <c r="A33" s="28" t="str">
        <f t="shared" si="4"/>
        <v>5|6</v>
      </c>
      <c r="B33" s="29" t="s">
        <v>227</v>
      </c>
      <c r="C33" s="24" t="s">
        <v>467</v>
      </c>
      <c r="D33" s="25">
        <v>3</v>
      </c>
      <c r="E33" s="31"/>
      <c r="F33" s="31">
        <v>5</v>
      </c>
      <c r="G33" s="31">
        <v>40</v>
      </c>
      <c r="H33" s="31">
        <v>30</v>
      </c>
      <c r="I33" s="31">
        <v>25</v>
      </c>
      <c r="J33" s="30"/>
      <c r="K33" s="30"/>
      <c r="L33" s="30"/>
      <c r="M33" s="30"/>
      <c r="N33" s="30"/>
      <c r="O33" s="30"/>
      <c r="P33" s="30"/>
      <c r="S33" s="11">
        <f t="shared" si="5"/>
        <v>100</v>
      </c>
    </row>
    <row r="34" spans="1:19" x14ac:dyDescent="0.2">
      <c r="A34" s="28" t="str">
        <f t="shared" si="4"/>
        <v>5|7</v>
      </c>
      <c r="B34" s="29" t="s">
        <v>452</v>
      </c>
      <c r="C34" s="24" t="s">
        <v>468</v>
      </c>
      <c r="D34" s="25">
        <v>5</v>
      </c>
      <c r="E34" s="31"/>
      <c r="F34" s="31">
        <v>10</v>
      </c>
      <c r="G34" s="31">
        <v>35</v>
      </c>
      <c r="H34" s="31">
        <v>35</v>
      </c>
      <c r="I34" s="31">
        <v>20</v>
      </c>
      <c r="J34" s="30"/>
      <c r="K34" s="30"/>
      <c r="L34" s="30"/>
      <c r="M34" s="30"/>
      <c r="N34" s="30"/>
      <c r="O34" s="30"/>
      <c r="P34" s="30"/>
      <c r="S34" s="11">
        <f t="shared" si="5"/>
        <v>100</v>
      </c>
    </row>
    <row r="35" spans="1:19" x14ac:dyDescent="0.2">
      <c r="A35" s="28" t="str">
        <f t="shared" si="4"/>
        <v>5|8</v>
      </c>
      <c r="B35" s="29" t="s">
        <v>321</v>
      </c>
      <c r="C35" s="24" t="s">
        <v>470</v>
      </c>
      <c r="D35" s="25">
        <v>6</v>
      </c>
      <c r="E35" s="31"/>
      <c r="F35" s="31">
        <v>10</v>
      </c>
      <c r="G35" s="31">
        <v>35</v>
      </c>
      <c r="H35" s="31">
        <v>35</v>
      </c>
      <c r="I35" s="31">
        <v>20</v>
      </c>
      <c r="J35" s="30"/>
      <c r="K35" s="30"/>
      <c r="L35" s="30"/>
      <c r="M35" s="30"/>
      <c r="N35" s="30"/>
      <c r="O35" s="30"/>
      <c r="P35" s="30"/>
      <c r="S35" s="11">
        <f t="shared" si="5"/>
        <v>100</v>
      </c>
    </row>
    <row r="36" spans="1:19" x14ac:dyDescent="0.2">
      <c r="A36" s="28" t="str">
        <f t="shared" si="4"/>
        <v>5|9</v>
      </c>
      <c r="B36" s="29" t="s">
        <v>471</v>
      </c>
      <c r="C36" s="24" t="s">
        <v>472</v>
      </c>
      <c r="D36" s="25">
        <v>6</v>
      </c>
      <c r="E36" s="31">
        <v>5</v>
      </c>
      <c r="F36" s="31">
        <v>25</v>
      </c>
      <c r="G36" s="31">
        <v>25</v>
      </c>
      <c r="H36" s="31">
        <v>25</v>
      </c>
      <c r="I36" s="31">
        <v>20</v>
      </c>
      <c r="J36" s="30"/>
      <c r="K36" s="30"/>
      <c r="L36" s="30"/>
      <c r="M36" s="30"/>
      <c r="N36" s="30"/>
      <c r="O36" s="30"/>
      <c r="P36" s="30"/>
      <c r="S36" s="11">
        <f t="shared" si="5"/>
        <v>100</v>
      </c>
    </row>
    <row r="37" spans="1:19" x14ac:dyDescent="0.2">
      <c r="A37" s="28" t="str">
        <f t="shared" si="4"/>
        <v>5|10</v>
      </c>
      <c r="B37" s="29" t="s">
        <v>473</v>
      </c>
      <c r="C37" s="24" t="s">
        <v>462</v>
      </c>
      <c r="D37" s="25"/>
      <c r="E37" s="31">
        <v>25</v>
      </c>
      <c r="F37" s="31">
        <v>30</v>
      </c>
      <c r="G37" s="31">
        <v>30</v>
      </c>
      <c r="H37" s="31">
        <v>15</v>
      </c>
      <c r="I37" s="31"/>
      <c r="J37" s="30"/>
      <c r="K37" s="30"/>
      <c r="L37" s="30"/>
      <c r="M37" s="30"/>
      <c r="N37" s="30"/>
      <c r="O37" s="30"/>
      <c r="P37" s="30"/>
      <c r="S37" s="11">
        <f t="shared" si="5"/>
        <v>100</v>
      </c>
    </row>
    <row r="38" spans="1:19" x14ac:dyDescent="0.2">
      <c r="A38" s="28" t="str">
        <f t="shared" si="4"/>
        <v>5|11</v>
      </c>
      <c r="B38" s="29" t="s">
        <v>595</v>
      </c>
      <c r="C38" s="24" t="s">
        <v>630</v>
      </c>
      <c r="D38" s="25"/>
      <c r="E38" s="31">
        <v>7</v>
      </c>
      <c r="F38" s="31">
        <v>21</v>
      </c>
      <c r="G38" s="31">
        <v>27</v>
      </c>
      <c r="H38" s="31">
        <v>28</v>
      </c>
      <c r="I38" s="31">
        <v>17</v>
      </c>
      <c r="J38" s="30"/>
      <c r="K38" s="30"/>
      <c r="L38" s="30"/>
      <c r="M38" s="30"/>
      <c r="N38" s="30"/>
      <c r="O38" s="30"/>
      <c r="P38" s="30"/>
      <c r="S38" s="11">
        <f t="shared" si="5"/>
        <v>100</v>
      </c>
    </row>
    <row r="39" spans="1:19" ht="5.45" customHeight="1" x14ac:dyDescent="0.2"/>
    <row r="40" spans="1:19" ht="13.5" thickBot="1" x14ac:dyDescent="0.25">
      <c r="A40" s="32" t="s">
        <v>80</v>
      </c>
      <c r="B40" s="33">
        <v>6</v>
      </c>
      <c r="C40" s="34"/>
      <c r="D40" s="35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</row>
    <row r="41" spans="1:19" ht="13.5" thickTop="1" x14ac:dyDescent="0.2">
      <c r="A41" s="36" t="str">
        <f>CONCATENATE($B$40,"|",B41)</f>
        <v>6|1</v>
      </c>
      <c r="B41" s="23">
        <v>1</v>
      </c>
      <c r="C41" s="24" t="s">
        <v>463</v>
      </c>
      <c r="D41" s="25">
        <v>1</v>
      </c>
      <c r="E41" s="26">
        <v>20</v>
      </c>
      <c r="F41" s="26">
        <v>30</v>
      </c>
      <c r="G41" s="26">
        <v>30</v>
      </c>
      <c r="H41" s="26">
        <v>20</v>
      </c>
      <c r="I41" s="26"/>
      <c r="J41" s="27"/>
      <c r="K41" s="27"/>
      <c r="L41" s="27"/>
      <c r="M41" s="27"/>
      <c r="N41" s="27"/>
      <c r="O41" s="27"/>
      <c r="P41" s="27"/>
      <c r="S41" s="11">
        <f>SUM(E41:P41)</f>
        <v>100</v>
      </c>
    </row>
    <row r="42" spans="1:19" x14ac:dyDescent="0.2">
      <c r="A42" s="28" t="str">
        <f>CONCATENATE($B$40,"|",B42)</f>
        <v>6|2</v>
      </c>
      <c r="B42" s="29" t="s">
        <v>189</v>
      </c>
      <c r="C42" s="24" t="s">
        <v>459</v>
      </c>
      <c r="D42" s="25">
        <v>2</v>
      </c>
      <c r="E42" s="26">
        <v>15</v>
      </c>
      <c r="F42" s="26">
        <v>25</v>
      </c>
      <c r="G42" s="26">
        <v>30</v>
      </c>
      <c r="H42" s="26">
        <v>25</v>
      </c>
      <c r="I42" s="26">
        <v>5</v>
      </c>
      <c r="J42" s="30"/>
      <c r="K42" s="30"/>
      <c r="L42" s="30"/>
      <c r="M42" s="30"/>
      <c r="N42" s="30"/>
      <c r="O42" s="30"/>
      <c r="P42" s="30"/>
      <c r="S42" s="11">
        <f t="shared" ref="S42:S51" si="6">SUM(E42:P42)</f>
        <v>100</v>
      </c>
    </row>
    <row r="43" spans="1:19" x14ac:dyDescent="0.2">
      <c r="A43" s="28" t="str">
        <f t="shared" ref="A43:A51" si="7">CONCATENATE($B$40,"|",B43)</f>
        <v>6|3</v>
      </c>
      <c r="B43" s="29" t="s">
        <v>207</v>
      </c>
      <c r="C43" s="24" t="s">
        <v>465</v>
      </c>
      <c r="D43" s="25">
        <v>3</v>
      </c>
      <c r="E43" s="31">
        <v>5</v>
      </c>
      <c r="F43" s="31">
        <v>20</v>
      </c>
      <c r="G43" s="31">
        <v>30</v>
      </c>
      <c r="H43" s="31">
        <v>25</v>
      </c>
      <c r="I43" s="31">
        <v>20</v>
      </c>
      <c r="J43" s="30"/>
      <c r="K43" s="30"/>
      <c r="L43" s="30"/>
      <c r="M43" s="30"/>
      <c r="N43" s="30"/>
      <c r="O43" s="30"/>
      <c r="P43" s="30"/>
      <c r="S43" s="11">
        <f t="shared" si="6"/>
        <v>100</v>
      </c>
    </row>
    <row r="44" spans="1:19" x14ac:dyDescent="0.2">
      <c r="A44" s="28" t="str">
        <f t="shared" si="7"/>
        <v>6|4</v>
      </c>
      <c r="B44" s="29" t="s">
        <v>225</v>
      </c>
      <c r="C44" s="24" t="s">
        <v>460</v>
      </c>
      <c r="D44" s="25">
        <v>4</v>
      </c>
      <c r="E44" s="31"/>
      <c r="F44" s="31">
        <v>5</v>
      </c>
      <c r="G44" s="31">
        <v>20</v>
      </c>
      <c r="H44" s="31">
        <v>30</v>
      </c>
      <c r="I44" s="31">
        <v>25</v>
      </c>
      <c r="J44" s="30">
        <v>20</v>
      </c>
      <c r="K44" s="30"/>
      <c r="L44" s="30"/>
      <c r="M44" s="30"/>
      <c r="N44" s="30"/>
      <c r="O44" s="30"/>
      <c r="P44" s="30"/>
      <c r="S44" s="11">
        <f t="shared" si="6"/>
        <v>100</v>
      </c>
    </row>
    <row r="45" spans="1:19" x14ac:dyDescent="0.2">
      <c r="A45" s="28" t="str">
        <f t="shared" si="7"/>
        <v>6|5</v>
      </c>
      <c r="B45" s="29" t="s">
        <v>188</v>
      </c>
      <c r="C45" s="24" t="s">
        <v>461</v>
      </c>
      <c r="D45" s="25">
        <v>5</v>
      </c>
      <c r="E45" s="31"/>
      <c r="F45" s="31">
        <v>15</v>
      </c>
      <c r="G45" s="31">
        <v>30</v>
      </c>
      <c r="H45" s="31">
        <v>30</v>
      </c>
      <c r="I45" s="31">
        <v>25</v>
      </c>
      <c r="J45" s="30"/>
      <c r="K45" s="30"/>
      <c r="L45" s="30"/>
      <c r="M45" s="30"/>
      <c r="N45" s="30"/>
      <c r="O45" s="30"/>
      <c r="P45" s="30"/>
      <c r="S45" s="11">
        <f t="shared" si="6"/>
        <v>100</v>
      </c>
    </row>
    <row r="46" spans="1:19" x14ac:dyDescent="0.2">
      <c r="A46" s="28" t="str">
        <f t="shared" si="7"/>
        <v>6|6</v>
      </c>
      <c r="B46" s="29" t="s">
        <v>227</v>
      </c>
      <c r="C46" s="24" t="s">
        <v>467</v>
      </c>
      <c r="D46" s="25">
        <v>3</v>
      </c>
      <c r="E46" s="31"/>
      <c r="F46" s="31">
        <v>5</v>
      </c>
      <c r="G46" s="31">
        <v>10</v>
      </c>
      <c r="H46" s="31">
        <v>30</v>
      </c>
      <c r="I46" s="31">
        <v>30</v>
      </c>
      <c r="J46" s="30">
        <v>25</v>
      </c>
      <c r="K46" s="30"/>
      <c r="L46" s="30"/>
      <c r="M46" s="30"/>
      <c r="N46" s="30"/>
      <c r="O46" s="30"/>
      <c r="P46" s="30"/>
      <c r="S46" s="11">
        <f t="shared" si="6"/>
        <v>100</v>
      </c>
    </row>
    <row r="47" spans="1:19" x14ac:dyDescent="0.2">
      <c r="A47" s="28" t="str">
        <f t="shared" si="7"/>
        <v>6|7</v>
      </c>
      <c r="B47" s="29" t="s">
        <v>452</v>
      </c>
      <c r="C47" s="24" t="s">
        <v>468</v>
      </c>
      <c r="D47" s="25">
        <v>5</v>
      </c>
      <c r="E47" s="31"/>
      <c r="F47" s="31"/>
      <c r="G47" s="31">
        <v>20</v>
      </c>
      <c r="H47" s="31">
        <v>20</v>
      </c>
      <c r="I47" s="31">
        <v>30</v>
      </c>
      <c r="J47" s="30">
        <v>30</v>
      </c>
      <c r="K47" s="30"/>
      <c r="L47" s="30"/>
      <c r="M47" s="30"/>
      <c r="N47" s="30"/>
      <c r="O47" s="30"/>
      <c r="P47" s="30"/>
      <c r="S47" s="11">
        <f t="shared" si="6"/>
        <v>100</v>
      </c>
    </row>
    <row r="48" spans="1:19" x14ac:dyDescent="0.2">
      <c r="A48" s="28" t="str">
        <f t="shared" si="7"/>
        <v>6|8</v>
      </c>
      <c r="B48" s="29" t="s">
        <v>321</v>
      </c>
      <c r="C48" s="24" t="s">
        <v>470</v>
      </c>
      <c r="D48" s="25">
        <v>6</v>
      </c>
      <c r="E48" s="31"/>
      <c r="F48" s="31"/>
      <c r="G48" s="31">
        <v>20</v>
      </c>
      <c r="H48" s="31">
        <v>30</v>
      </c>
      <c r="I48" s="31">
        <v>30</v>
      </c>
      <c r="J48" s="30">
        <v>20</v>
      </c>
      <c r="K48" s="30"/>
      <c r="L48" s="30"/>
      <c r="M48" s="30"/>
      <c r="N48" s="30"/>
      <c r="O48" s="30"/>
      <c r="P48" s="30"/>
      <c r="S48" s="11">
        <f t="shared" si="6"/>
        <v>100</v>
      </c>
    </row>
    <row r="49" spans="1:19" x14ac:dyDescent="0.2">
      <c r="A49" s="28" t="str">
        <f t="shared" si="7"/>
        <v>6|9</v>
      </c>
      <c r="B49" s="29" t="s">
        <v>471</v>
      </c>
      <c r="C49" s="24" t="s">
        <v>472</v>
      </c>
      <c r="D49" s="25">
        <v>6</v>
      </c>
      <c r="E49" s="31">
        <v>5</v>
      </c>
      <c r="F49" s="31">
        <v>15</v>
      </c>
      <c r="G49" s="31">
        <v>25</v>
      </c>
      <c r="H49" s="31">
        <v>25</v>
      </c>
      <c r="I49" s="31">
        <v>20</v>
      </c>
      <c r="J49" s="30">
        <v>10</v>
      </c>
      <c r="K49" s="30"/>
      <c r="L49" s="30"/>
      <c r="M49" s="30"/>
      <c r="N49" s="30"/>
      <c r="O49" s="30"/>
      <c r="P49" s="30"/>
      <c r="S49" s="11">
        <f t="shared" si="6"/>
        <v>100</v>
      </c>
    </row>
    <row r="50" spans="1:19" x14ac:dyDescent="0.2">
      <c r="A50" s="28" t="str">
        <f t="shared" si="7"/>
        <v>6|10</v>
      </c>
      <c r="B50" s="29" t="s">
        <v>473</v>
      </c>
      <c r="C50" s="24" t="s">
        <v>462</v>
      </c>
      <c r="D50" s="25"/>
      <c r="E50" s="31">
        <v>20</v>
      </c>
      <c r="F50" s="31">
        <v>30</v>
      </c>
      <c r="G50" s="31">
        <v>30</v>
      </c>
      <c r="H50" s="31">
        <v>15</v>
      </c>
      <c r="I50" s="31">
        <v>5</v>
      </c>
      <c r="J50" s="30"/>
      <c r="K50" s="30"/>
      <c r="L50" s="30"/>
      <c r="M50" s="30"/>
      <c r="N50" s="30"/>
      <c r="O50" s="30"/>
      <c r="P50" s="30"/>
      <c r="S50" s="11">
        <f t="shared" si="6"/>
        <v>100</v>
      </c>
    </row>
    <row r="51" spans="1:19" x14ac:dyDescent="0.2">
      <c r="A51" s="28" t="str">
        <f t="shared" si="7"/>
        <v>6|11</v>
      </c>
      <c r="B51" s="29" t="s">
        <v>595</v>
      </c>
      <c r="C51" s="24" t="s">
        <v>630</v>
      </c>
      <c r="D51" s="25"/>
      <c r="E51" s="31">
        <v>3</v>
      </c>
      <c r="F51" s="31">
        <v>12</v>
      </c>
      <c r="G51" s="31">
        <v>25</v>
      </c>
      <c r="H51" s="31">
        <v>28</v>
      </c>
      <c r="I51" s="31">
        <v>21</v>
      </c>
      <c r="J51" s="30">
        <v>11</v>
      </c>
      <c r="K51" s="30"/>
      <c r="L51" s="30"/>
      <c r="M51" s="30"/>
      <c r="N51" s="30"/>
      <c r="O51" s="30"/>
      <c r="P51" s="30"/>
      <c r="S51" s="11">
        <f t="shared" si="6"/>
        <v>100</v>
      </c>
    </row>
    <row r="52" spans="1:19" ht="5.45" customHeight="1" x14ac:dyDescent="0.2"/>
    <row r="53" spans="1:19" ht="13.5" thickBot="1" x14ac:dyDescent="0.25">
      <c r="A53" s="32" t="s">
        <v>80</v>
      </c>
      <c r="B53" s="33">
        <v>7</v>
      </c>
      <c r="C53" s="34"/>
      <c r="D53" s="35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</row>
    <row r="54" spans="1:19" ht="13.5" thickTop="1" x14ac:dyDescent="0.2">
      <c r="A54" s="36" t="str">
        <f>CONCATENATE($B$53,"|",B54)</f>
        <v>7|1</v>
      </c>
      <c r="B54" s="23">
        <v>1</v>
      </c>
      <c r="C54" s="24" t="s">
        <v>463</v>
      </c>
      <c r="D54" s="25">
        <v>1</v>
      </c>
      <c r="E54" s="26">
        <v>15</v>
      </c>
      <c r="F54" s="26">
        <v>30</v>
      </c>
      <c r="G54" s="26">
        <v>30</v>
      </c>
      <c r="H54" s="26">
        <v>20</v>
      </c>
      <c r="I54" s="26">
        <v>5</v>
      </c>
      <c r="J54" s="27"/>
      <c r="K54" s="27"/>
      <c r="L54" s="27"/>
      <c r="M54" s="27"/>
      <c r="N54" s="27"/>
      <c r="O54" s="27"/>
      <c r="P54" s="27"/>
      <c r="S54" s="11">
        <f>SUM(E54:P54)</f>
        <v>100</v>
      </c>
    </row>
    <row r="55" spans="1:19" x14ac:dyDescent="0.2">
      <c r="A55" s="28" t="str">
        <f>CONCATENATE($B$53,"|",B55)</f>
        <v>7|2</v>
      </c>
      <c r="B55" s="29" t="s">
        <v>189</v>
      </c>
      <c r="C55" s="24" t="s">
        <v>459</v>
      </c>
      <c r="D55" s="25">
        <v>2</v>
      </c>
      <c r="E55" s="26">
        <v>15</v>
      </c>
      <c r="F55" s="26">
        <v>20</v>
      </c>
      <c r="G55" s="26">
        <v>25</v>
      </c>
      <c r="H55" s="26">
        <v>25</v>
      </c>
      <c r="I55" s="26">
        <v>15</v>
      </c>
      <c r="J55" s="30"/>
      <c r="K55" s="30"/>
      <c r="L55" s="30"/>
      <c r="M55" s="30"/>
      <c r="N55" s="30"/>
      <c r="O55" s="30"/>
      <c r="P55" s="30"/>
      <c r="S55" s="11">
        <f t="shared" ref="S55:S64" si="8">SUM(E55:P55)</f>
        <v>100</v>
      </c>
    </row>
    <row r="56" spans="1:19" x14ac:dyDescent="0.2">
      <c r="A56" s="28" t="str">
        <f t="shared" ref="A56:A64" si="9">CONCATENATE($B$53,"|",B56)</f>
        <v>7|3</v>
      </c>
      <c r="B56" s="29" t="s">
        <v>207</v>
      </c>
      <c r="C56" s="24" t="s">
        <v>465</v>
      </c>
      <c r="D56" s="25">
        <v>3</v>
      </c>
      <c r="E56" s="31">
        <v>5</v>
      </c>
      <c r="F56" s="31">
        <v>15</v>
      </c>
      <c r="G56" s="31">
        <v>20</v>
      </c>
      <c r="H56" s="31">
        <v>25</v>
      </c>
      <c r="I56" s="31">
        <v>20</v>
      </c>
      <c r="J56" s="30">
        <v>15</v>
      </c>
      <c r="K56" s="30"/>
      <c r="L56" s="30"/>
      <c r="M56" s="30"/>
      <c r="N56" s="30"/>
      <c r="O56" s="30"/>
      <c r="P56" s="30"/>
      <c r="S56" s="11">
        <f t="shared" si="8"/>
        <v>100</v>
      </c>
    </row>
    <row r="57" spans="1:19" x14ac:dyDescent="0.2">
      <c r="A57" s="28" t="str">
        <f t="shared" si="9"/>
        <v>7|4</v>
      </c>
      <c r="B57" s="29" t="s">
        <v>225</v>
      </c>
      <c r="C57" s="24" t="s">
        <v>460</v>
      </c>
      <c r="D57" s="25">
        <v>4</v>
      </c>
      <c r="E57" s="31"/>
      <c r="F57" s="31"/>
      <c r="G57" s="31">
        <v>15</v>
      </c>
      <c r="H57" s="31">
        <v>25</v>
      </c>
      <c r="I57" s="31">
        <v>25</v>
      </c>
      <c r="J57" s="30">
        <v>25</v>
      </c>
      <c r="K57" s="30">
        <v>10</v>
      </c>
      <c r="L57" s="30"/>
      <c r="M57" s="30"/>
      <c r="N57" s="30"/>
      <c r="O57" s="30"/>
      <c r="P57" s="30"/>
      <c r="S57" s="11">
        <f t="shared" si="8"/>
        <v>100</v>
      </c>
    </row>
    <row r="58" spans="1:19" x14ac:dyDescent="0.2">
      <c r="A58" s="28" t="str">
        <f t="shared" si="9"/>
        <v>7|5</v>
      </c>
      <c r="B58" s="29" t="s">
        <v>188</v>
      </c>
      <c r="C58" s="24" t="s">
        <v>461</v>
      </c>
      <c r="D58" s="25">
        <v>5</v>
      </c>
      <c r="E58" s="31"/>
      <c r="F58" s="31">
        <v>10</v>
      </c>
      <c r="G58" s="31">
        <v>15</v>
      </c>
      <c r="H58" s="31">
        <v>30</v>
      </c>
      <c r="I58" s="31">
        <v>30</v>
      </c>
      <c r="J58" s="30">
        <v>15</v>
      </c>
      <c r="K58" s="30"/>
      <c r="L58" s="30"/>
      <c r="M58" s="30"/>
      <c r="N58" s="30"/>
      <c r="O58" s="30"/>
      <c r="P58" s="30"/>
      <c r="S58" s="11">
        <f t="shared" si="8"/>
        <v>100</v>
      </c>
    </row>
    <row r="59" spans="1:19" x14ac:dyDescent="0.2">
      <c r="A59" s="28" t="str">
        <f t="shared" si="9"/>
        <v>7|6</v>
      </c>
      <c r="B59" s="29" t="s">
        <v>227</v>
      </c>
      <c r="C59" s="24" t="s">
        <v>467</v>
      </c>
      <c r="D59" s="25">
        <v>3</v>
      </c>
      <c r="E59" s="31"/>
      <c r="F59" s="31">
        <v>5</v>
      </c>
      <c r="G59" s="31">
        <v>10</v>
      </c>
      <c r="H59" s="31">
        <v>25</v>
      </c>
      <c r="I59" s="31">
        <v>25</v>
      </c>
      <c r="J59" s="30">
        <v>20</v>
      </c>
      <c r="K59" s="30">
        <v>15</v>
      </c>
      <c r="L59" s="30"/>
      <c r="M59" s="30"/>
      <c r="N59" s="30"/>
      <c r="O59" s="30"/>
      <c r="P59" s="30"/>
      <c r="S59" s="11">
        <f t="shared" si="8"/>
        <v>100</v>
      </c>
    </row>
    <row r="60" spans="1:19" x14ac:dyDescent="0.2">
      <c r="A60" s="28" t="str">
        <f t="shared" si="9"/>
        <v>7|7</v>
      </c>
      <c r="B60" s="29" t="s">
        <v>452</v>
      </c>
      <c r="C60" s="24" t="s">
        <v>468</v>
      </c>
      <c r="D60" s="25">
        <v>5</v>
      </c>
      <c r="E60" s="31"/>
      <c r="F60" s="31"/>
      <c r="G60" s="31">
        <v>15</v>
      </c>
      <c r="H60" s="31">
        <v>15</v>
      </c>
      <c r="I60" s="31">
        <v>25</v>
      </c>
      <c r="J60" s="31">
        <v>25</v>
      </c>
      <c r="K60" s="30">
        <v>20</v>
      </c>
      <c r="L60" s="30"/>
      <c r="M60" s="30"/>
      <c r="N60" s="30"/>
      <c r="O60" s="30"/>
      <c r="P60" s="30"/>
      <c r="S60" s="11">
        <f t="shared" si="8"/>
        <v>100</v>
      </c>
    </row>
    <row r="61" spans="1:19" x14ac:dyDescent="0.2">
      <c r="A61" s="28" t="str">
        <f t="shared" si="9"/>
        <v>7|8</v>
      </c>
      <c r="B61" s="29" t="s">
        <v>321</v>
      </c>
      <c r="C61" s="24" t="s">
        <v>470</v>
      </c>
      <c r="D61" s="25">
        <v>6</v>
      </c>
      <c r="E61" s="31"/>
      <c r="F61" s="31"/>
      <c r="G61" s="31">
        <v>10</v>
      </c>
      <c r="H61" s="31">
        <v>20</v>
      </c>
      <c r="I61" s="31">
        <v>20</v>
      </c>
      <c r="J61" s="30">
        <v>30</v>
      </c>
      <c r="K61" s="30">
        <v>20</v>
      </c>
      <c r="L61" s="30"/>
      <c r="M61" s="30"/>
      <c r="N61" s="30"/>
      <c r="O61" s="30"/>
      <c r="P61" s="30"/>
      <c r="S61" s="11">
        <f t="shared" si="8"/>
        <v>100</v>
      </c>
    </row>
    <row r="62" spans="1:19" x14ac:dyDescent="0.2">
      <c r="A62" s="28" t="str">
        <f t="shared" si="9"/>
        <v>7|9</v>
      </c>
      <c r="B62" s="29" t="s">
        <v>471</v>
      </c>
      <c r="C62" s="24" t="s">
        <v>472</v>
      </c>
      <c r="D62" s="25">
        <v>6</v>
      </c>
      <c r="E62" s="31">
        <v>5</v>
      </c>
      <c r="F62" s="31">
        <v>10</v>
      </c>
      <c r="G62" s="31">
        <v>20</v>
      </c>
      <c r="H62" s="31">
        <v>20</v>
      </c>
      <c r="I62" s="31">
        <v>20</v>
      </c>
      <c r="J62" s="30">
        <v>15</v>
      </c>
      <c r="K62" s="30">
        <v>10</v>
      </c>
      <c r="L62" s="30"/>
      <c r="M62" s="30"/>
      <c r="N62" s="30"/>
      <c r="O62" s="30"/>
      <c r="P62" s="30"/>
      <c r="S62" s="11">
        <f t="shared" si="8"/>
        <v>100</v>
      </c>
    </row>
    <row r="63" spans="1:19" x14ac:dyDescent="0.2">
      <c r="A63" s="28" t="str">
        <f t="shared" si="9"/>
        <v>7|10</v>
      </c>
      <c r="B63" s="29" t="s">
        <v>473</v>
      </c>
      <c r="C63" s="24" t="s">
        <v>462</v>
      </c>
      <c r="D63" s="25"/>
      <c r="E63" s="31">
        <v>15</v>
      </c>
      <c r="F63" s="31">
        <v>25</v>
      </c>
      <c r="G63" s="31">
        <v>25</v>
      </c>
      <c r="H63" s="31">
        <v>20</v>
      </c>
      <c r="I63" s="31">
        <v>10</v>
      </c>
      <c r="J63" s="30">
        <v>5</v>
      </c>
      <c r="K63" s="30"/>
      <c r="L63" s="30"/>
      <c r="M63" s="30"/>
      <c r="N63" s="30"/>
      <c r="O63" s="30"/>
      <c r="P63" s="30"/>
      <c r="S63" s="11">
        <f t="shared" si="8"/>
        <v>100</v>
      </c>
    </row>
    <row r="64" spans="1:19" x14ac:dyDescent="0.2">
      <c r="A64" s="28" t="str">
        <f t="shared" si="9"/>
        <v>7|11</v>
      </c>
      <c r="B64" s="29" t="s">
        <v>595</v>
      </c>
      <c r="C64" s="24" t="s">
        <v>630</v>
      </c>
      <c r="D64" s="25"/>
      <c r="E64" s="31">
        <v>2</v>
      </c>
      <c r="F64" s="31">
        <v>8</v>
      </c>
      <c r="G64" s="31">
        <v>18</v>
      </c>
      <c r="H64" s="31">
        <v>20</v>
      </c>
      <c r="I64" s="31">
        <v>20</v>
      </c>
      <c r="J64" s="30">
        <v>20</v>
      </c>
      <c r="K64" s="30">
        <v>12</v>
      </c>
      <c r="L64" s="30"/>
      <c r="M64" s="30"/>
      <c r="N64" s="30"/>
      <c r="O64" s="30"/>
      <c r="P64" s="30"/>
      <c r="S64" s="11">
        <f t="shared" si="8"/>
        <v>100</v>
      </c>
    </row>
    <row r="65" spans="1:19" ht="5.45" customHeight="1" x14ac:dyDescent="0.2"/>
    <row r="66" spans="1:19" ht="13.5" thickBot="1" x14ac:dyDescent="0.25">
      <c r="A66" s="32" t="s">
        <v>80</v>
      </c>
      <c r="B66" s="33">
        <v>8</v>
      </c>
      <c r="C66" s="34"/>
      <c r="D66" s="35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9" ht="13.5" thickTop="1" x14ac:dyDescent="0.2">
      <c r="A67" s="36" t="str">
        <f>CONCATENATE($B$66,"|",B67)</f>
        <v>8|1</v>
      </c>
      <c r="B67" s="23">
        <v>1</v>
      </c>
      <c r="C67" s="24" t="s">
        <v>463</v>
      </c>
      <c r="D67" s="25">
        <v>1</v>
      </c>
      <c r="E67" s="26">
        <v>15</v>
      </c>
      <c r="F67" s="26">
        <v>20</v>
      </c>
      <c r="G67" s="26">
        <v>25</v>
      </c>
      <c r="H67" s="26">
        <v>25</v>
      </c>
      <c r="I67" s="26">
        <v>10</v>
      </c>
      <c r="J67" s="27">
        <v>5</v>
      </c>
      <c r="K67" s="27"/>
      <c r="L67" s="27"/>
      <c r="M67" s="27"/>
      <c r="N67" s="27"/>
      <c r="O67" s="27"/>
      <c r="P67" s="27"/>
      <c r="S67" s="11">
        <f>SUM(E67:P67)</f>
        <v>100</v>
      </c>
    </row>
    <row r="68" spans="1:19" x14ac:dyDescent="0.2">
      <c r="A68" s="28" t="str">
        <f>CONCATENATE($B$66,"|",B68)</f>
        <v>8|2</v>
      </c>
      <c r="B68" s="29" t="s">
        <v>189</v>
      </c>
      <c r="C68" s="24" t="s">
        <v>459</v>
      </c>
      <c r="D68" s="25">
        <v>2</v>
      </c>
      <c r="E68" s="26">
        <v>15</v>
      </c>
      <c r="F68" s="26">
        <v>20</v>
      </c>
      <c r="G68" s="26">
        <v>25</v>
      </c>
      <c r="H68" s="26">
        <v>25</v>
      </c>
      <c r="I68" s="26">
        <v>10</v>
      </c>
      <c r="J68" s="30">
        <v>5</v>
      </c>
      <c r="K68" s="30"/>
      <c r="L68" s="30"/>
      <c r="M68" s="30"/>
      <c r="N68" s="30"/>
      <c r="O68" s="30"/>
      <c r="P68" s="30"/>
      <c r="S68" s="11">
        <f t="shared" ref="S68:S77" si="10">SUM(E68:P68)</f>
        <v>100</v>
      </c>
    </row>
    <row r="69" spans="1:19" x14ac:dyDescent="0.2">
      <c r="A69" s="28" t="str">
        <f t="shared" ref="A69:A77" si="11">CONCATENATE($B$66,"|",B69)</f>
        <v>8|3</v>
      </c>
      <c r="B69" s="29" t="s">
        <v>207</v>
      </c>
      <c r="C69" s="24" t="s">
        <v>465</v>
      </c>
      <c r="D69" s="25">
        <v>3</v>
      </c>
      <c r="E69" s="31">
        <v>5</v>
      </c>
      <c r="F69" s="31">
        <v>10</v>
      </c>
      <c r="G69" s="31">
        <v>15</v>
      </c>
      <c r="H69" s="31">
        <v>20</v>
      </c>
      <c r="I69" s="31">
        <v>20</v>
      </c>
      <c r="J69" s="30">
        <v>20</v>
      </c>
      <c r="K69" s="30">
        <v>10</v>
      </c>
      <c r="L69" s="30"/>
      <c r="M69" s="30"/>
      <c r="N69" s="30"/>
      <c r="O69" s="30"/>
      <c r="P69" s="30"/>
      <c r="S69" s="11">
        <f t="shared" si="10"/>
        <v>100</v>
      </c>
    </row>
    <row r="70" spans="1:19" x14ac:dyDescent="0.2">
      <c r="A70" s="28" t="str">
        <f t="shared" si="11"/>
        <v>8|4</v>
      </c>
      <c r="B70" s="29" t="s">
        <v>225</v>
      </c>
      <c r="C70" s="24" t="s">
        <v>460</v>
      </c>
      <c r="D70" s="25">
        <v>4</v>
      </c>
      <c r="E70" s="31"/>
      <c r="F70" s="31"/>
      <c r="G70" s="31">
        <v>10</v>
      </c>
      <c r="H70" s="31">
        <v>25</v>
      </c>
      <c r="I70" s="31">
        <v>25</v>
      </c>
      <c r="J70" s="30">
        <v>20</v>
      </c>
      <c r="K70" s="30">
        <v>10</v>
      </c>
      <c r="L70" s="30">
        <v>10</v>
      </c>
      <c r="M70" s="30"/>
      <c r="N70" s="30"/>
      <c r="O70" s="30"/>
      <c r="P70" s="30"/>
      <c r="S70" s="11">
        <f t="shared" si="10"/>
        <v>100</v>
      </c>
    </row>
    <row r="71" spans="1:19" x14ac:dyDescent="0.2">
      <c r="A71" s="28" t="str">
        <f t="shared" si="11"/>
        <v>8|5</v>
      </c>
      <c r="B71" s="29" t="s">
        <v>188</v>
      </c>
      <c r="C71" s="24" t="s">
        <v>461</v>
      </c>
      <c r="D71" s="25">
        <v>5</v>
      </c>
      <c r="E71" s="31"/>
      <c r="F71" s="31">
        <v>5</v>
      </c>
      <c r="G71" s="31">
        <v>15</v>
      </c>
      <c r="H71" s="31">
        <v>25</v>
      </c>
      <c r="I71" s="31">
        <v>25</v>
      </c>
      <c r="J71" s="30">
        <v>15</v>
      </c>
      <c r="K71" s="30">
        <v>15</v>
      </c>
      <c r="L71" s="30"/>
      <c r="M71" s="30"/>
      <c r="N71" s="30"/>
      <c r="O71" s="30"/>
      <c r="P71" s="30"/>
      <c r="S71" s="11">
        <f t="shared" si="10"/>
        <v>100</v>
      </c>
    </row>
    <row r="72" spans="1:19" x14ac:dyDescent="0.2">
      <c r="A72" s="28" t="str">
        <f t="shared" si="11"/>
        <v>8|6</v>
      </c>
      <c r="B72" s="29" t="s">
        <v>227</v>
      </c>
      <c r="C72" s="24" t="s">
        <v>467</v>
      </c>
      <c r="D72" s="25">
        <v>3</v>
      </c>
      <c r="E72" s="31"/>
      <c r="F72" s="31"/>
      <c r="G72" s="31">
        <v>5</v>
      </c>
      <c r="H72" s="31">
        <v>20</v>
      </c>
      <c r="I72" s="31">
        <v>20</v>
      </c>
      <c r="J72" s="30">
        <v>25</v>
      </c>
      <c r="K72" s="30">
        <v>20</v>
      </c>
      <c r="L72" s="30">
        <v>10</v>
      </c>
      <c r="M72" s="30"/>
      <c r="N72" s="30"/>
      <c r="O72" s="30"/>
      <c r="P72" s="30"/>
      <c r="S72" s="11">
        <f t="shared" si="10"/>
        <v>100</v>
      </c>
    </row>
    <row r="73" spans="1:19" x14ac:dyDescent="0.2">
      <c r="A73" s="28" t="str">
        <f t="shared" si="11"/>
        <v>8|7</v>
      </c>
      <c r="B73" s="29" t="s">
        <v>452</v>
      </c>
      <c r="C73" s="24" t="s">
        <v>468</v>
      </c>
      <c r="D73" s="25">
        <v>5</v>
      </c>
      <c r="E73" s="31"/>
      <c r="F73" s="31"/>
      <c r="G73" s="31">
        <v>5</v>
      </c>
      <c r="H73" s="31">
        <v>15</v>
      </c>
      <c r="I73" s="31">
        <v>20</v>
      </c>
      <c r="J73" s="31">
        <v>25</v>
      </c>
      <c r="K73" s="31">
        <v>25</v>
      </c>
      <c r="L73" s="31">
        <v>10</v>
      </c>
      <c r="M73" s="30"/>
      <c r="N73" s="30"/>
      <c r="O73" s="30"/>
      <c r="P73" s="30"/>
      <c r="S73" s="11">
        <f t="shared" si="10"/>
        <v>100</v>
      </c>
    </row>
    <row r="74" spans="1:19" x14ac:dyDescent="0.2">
      <c r="A74" s="28" t="str">
        <f t="shared" si="11"/>
        <v>8|8</v>
      </c>
      <c r="B74" s="29" t="s">
        <v>321</v>
      </c>
      <c r="C74" s="24" t="s">
        <v>470</v>
      </c>
      <c r="D74" s="25">
        <v>6</v>
      </c>
      <c r="E74" s="31"/>
      <c r="F74" s="31"/>
      <c r="G74" s="31"/>
      <c r="H74" s="31">
        <v>20</v>
      </c>
      <c r="I74" s="31">
        <v>20</v>
      </c>
      <c r="J74" s="30">
        <v>30</v>
      </c>
      <c r="K74" s="30">
        <v>20</v>
      </c>
      <c r="L74" s="30">
        <v>10</v>
      </c>
      <c r="M74" s="30"/>
      <c r="N74" s="30"/>
      <c r="O74" s="30"/>
      <c r="P74" s="30"/>
      <c r="S74" s="11">
        <f t="shared" si="10"/>
        <v>100</v>
      </c>
    </row>
    <row r="75" spans="1:19" x14ac:dyDescent="0.2">
      <c r="A75" s="28" t="str">
        <f t="shared" si="11"/>
        <v>8|9</v>
      </c>
      <c r="B75" s="29" t="s">
        <v>471</v>
      </c>
      <c r="C75" s="24" t="s">
        <v>472</v>
      </c>
      <c r="D75" s="25">
        <v>6</v>
      </c>
      <c r="E75" s="31">
        <v>5</v>
      </c>
      <c r="F75" s="31">
        <v>5</v>
      </c>
      <c r="G75" s="31">
        <v>10</v>
      </c>
      <c r="H75" s="31">
        <v>15</v>
      </c>
      <c r="I75" s="31">
        <v>20</v>
      </c>
      <c r="J75" s="30">
        <v>20</v>
      </c>
      <c r="K75" s="30">
        <v>15</v>
      </c>
      <c r="L75" s="30">
        <v>10</v>
      </c>
      <c r="M75" s="30"/>
      <c r="N75" s="30"/>
      <c r="O75" s="30"/>
      <c r="P75" s="30"/>
      <c r="S75" s="11">
        <f t="shared" si="10"/>
        <v>100</v>
      </c>
    </row>
    <row r="76" spans="1:19" x14ac:dyDescent="0.2">
      <c r="A76" s="28" t="str">
        <f t="shared" si="11"/>
        <v>8|10</v>
      </c>
      <c r="B76" s="29" t="s">
        <v>473</v>
      </c>
      <c r="C76" s="24" t="s">
        <v>462</v>
      </c>
      <c r="D76" s="25"/>
      <c r="E76" s="31">
        <v>15</v>
      </c>
      <c r="F76" s="31">
        <v>20</v>
      </c>
      <c r="G76" s="31">
        <v>20</v>
      </c>
      <c r="H76" s="31">
        <v>20</v>
      </c>
      <c r="I76" s="31">
        <v>15</v>
      </c>
      <c r="J76" s="30">
        <v>10</v>
      </c>
      <c r="K76" s="30"/>
      <c r="L76" s="30"/>
      <c r="M76" s="30"/>
      <c r="N76" s="30"/>
      <c r="O76" s="30"/>
      <c r="P76" s="30"/>
      <c r="S76" s="11">
        <f t="shared" si="10"/>
        <v>100</v>
      </c>
    </row>
    <row r="77" spans="1:19" x14ac:dyDescent="0.2">
      <c r="A77" s="28" t="str">
        <f t="shared" si="11"/>
        <v>8|11</v>
      </c>
      <c r="B77" s="29" t="s">
        <v>595</v>
      </c>
      <c r="C77" s="24" t="s">
        <v>630</v>
      </c>
      <c r="D77" s="25"/>
      <c r="E77" s="31">
        <v>2</v>
      </c>
      <c r="F77" s="31">
        <v>2</v>
      </c>
      <c r="G77" s="31">
        <v>13</v>
      </c>
      <c r="H77" s="31">
        <v>15</v>
      </c>
      <c r="I77" s="31">
        <v>15</v>
      </c>
      <c r="J77" s="30">
        <v>22</v>
      </c>
      <c r="K77" s="30">
        <v>23</v>
      </c>
      <c r="L77" s="30">
        <v>8</v>
      </c>
      <c r="M77" s="30"/>
      <c r="N77" s="30"/>
      <c r="O77" s="30"/>
      <c r="P77" s="30"/>
      <c r="S77" s="11">
        <f t="shared" si="10"/>
        <v>100</v>
      </c>
    </row>
    <row r="78" spans="1:19" ht="5.45" customHeight="1" x14ac:dyDescent="0.2"/>
    <row r="79" spans="1:19" ht="13.5" thickBot="1" x14ac:dyDescent="0.25">
      <c r="A79" s="32" t="s">
        <v>80</v>
      </c>
      <c r="B79" s="33">
        <v>9</v>
      </c>
      <c r="C79" s="34"/>
      <c r="D79" s="35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1:19" ht="13.5" thickTop="1" x14ac:dyDescent="0.2">
      <c r="A80" s="36" t="str">
        <f>CONCATENATE($B$79,"|",B80)</f>
        <v>9|1</v>
      </c>
      <c r="B80" s="23">
        <v>1</v>
      </c>
      <c r="C80" s="24" t="s">
        <v>463</v>
      </c>
      <c r="D80" s="25">
        <v>1</v>
      </c>
      <c r="E80" s="26">
        <v>15</v>
      </c>
      <c r="F80" s="26">
        <v>15</v>
      </c>
      <c r="G80" s="26">
        <v>20</v>
      </c>
      <c r="H80" s="26">
        <v>20</v>
      </c>
      <c r="I80" s="26">
        <v>20</v>
      </c>
      <c r="J80" s="27">
        <v>10</v>
      </c>
      <c r="K80" s="27"/>
      <c r="L80" s="27"/>
      <c r="M80" s="27"/>
      <c r="N80" s="27"/>
      <c r="O80" s="27"/>
      <c r="P80" s="27"/>
      <c r="S80" s="11">
        <f>SUM(E80:P80)</f>
        <v>100</v>
      </c>
    </row>
    <row r="81" spans="1:19" x14ac:dyDescent="0.2">
      <c r="A81" s="28" t="str">
        <f>CONCATENATE($B$79,"|",B81)</f>
        <v>9|2</v>
      </c>
      <c r="B81" s="29" t="s">
        <v>189</v>
      </c>
      <c r="C81" s="24" t="s">
        <v>459</v>
      </c>
      <c r="D81" s="25">
        <v>2</v>
      </c>
      <c r="E81" s="26">
        <v>10</v>
      </c>
      <c r="F81" s="26">
        <v>15</v>
      </c>
      <c r="G81" s="26">
        <v>20</v>
      </c>
      <c r="H81" s="26">
        <v>20</v>
      </c>
      <c r="I81" s="26">
        <v>15</v>
      </c>
      <c r="J81" s="30">
        <v>15</v>
      </c>
      <c r="K81" s="30">
        <v>5</v>
      </c>
      <c r="L81" s="30"/>
      <c r="M81" s="30"/>
      <c r="N81" s="30"/>
      <c r="O81" s="30"/>
      <c r="P81" s="30"/>
      <c r="S81" s="11">
        <f t="shared" ref="S81:S90" si="12">SUM(E81:P81)</f>
        <v>100</v>
      </c>
    </row>
    <row r="82" spans="1:19" x14ac:dyDescent="0.2">
      <c r="A82" s="28" t="str">
        <f t="shared" ref="A82:A90" si="13">CONCATENATE($B$79,"|",B82)</f>
        <v>9|3</v>
      </c>
      <c r="B82" s="29" t="s">
        <v>207</v>
      </c>
      <c r="C82" s="24" t="s">
        <v>465</v>
      </c>
      <c r="D82" s="25">
        <v>3</v>
      </c>
      <c r="E82" s="31">
        <v>5</v>
      </c>
      <c r="F82" s="31">
        <v>10</v>
      </c>
      <c r="G82" s="31">
        <v>15</v>
      </c>
      <c r="H82" s="31">
        <v>20</v>
      </c>
      <c r="I82" s="31">
        <v>20</v>
      </c>
      <c r="J82" s="30">
        <v>10</v>
      </c>
      <c r="K82" s="30">
        <v>10</v>
      </c>
      <c r="L82" s="30">
        <v>10</v>
      </c>
      <c r="M82" s="30"/>
      <c r="N82" s="30"/>
      <c r="O82" s="30"/>
      <c r="P82" s="30"/>
      <c r="S82" s="11">
        <f t="shared" si="12"/>
        <v>100</v>
      </c>
    </row>
    <row r="83" spans="1:19" x14ac:dyDescent="0.2">
      <c r="A83" s="28" t="str">
        <f t="shared" si="13"/>
        <v>9|4</v>
      </c>
      <c r="B83" s="29" t="s">
        <v>225</v>
      </c>
      <c r="C83" s="24" t="s">
        <v>460</v>
      </c>
      <c r="D83" s="25">
        <v>4</v>
      </c>
      <c r="E83" s="31"/>
      <c r="F83" s="31"/>
      <c r="G83" s="31">
        <v>5</v>
      </c>
      <c r="H83" s="31">
        <v>15</v>
      </c>
      <c r="I83" s="31">
        <v>20</v>
      </c>
      <c r="J83" s="30">
        <v>20</v>
      </c>
      <c r="K83" s="30">
        <v>20</v>
      </c>
      <c r="L83" s="30">
        <v>15</v>
      </c>
      <c r="M83" s="30">
        <v>5</v>
      </c>
      <c r="N83" s="30"/>
      <c r="O83" s="30"/>
      <c r="P83" s="30"/>
      <c r="S83" s="11">
        <f t="shared" si="12"/>
        <v>100</v>
      </c>
    </row>
    <row r="84" spans="1:19" x14ac:dyDescent="0.2">
      <c r="A84" s="28" t="str">
        <f t="shared" si="13"/>
        <v>9|5</v>
      </c>
      <c r="B84" s="29" t="s">
        <v>188</v>
      </c>
      <c r="C84" s="24" t="s">
        <v>461</v>
      </c>
      <c r="D84" s="25">
        <v>5</v>
      </c>
      <c r="E84" s="31"/>
      <c r="F84" s="31">
        <v>5</v>
      </c>
      <c r="G84" s="31">
        <v>10</v>
      </c>
      <c r="H84" s="31">
        <v>15</v>
      </c>
      <c r="I84" s="31">
        <v>20</v>
      </c>
      <c r="J84" s="30">
        <v>20</v>
      </c>
      <c r="K84" s="30">
        <v>20</v>
      </c>
      <c r="L84" s="30">
        <v>10</v>
      </c>
      <c r="M84" s="30"/>
      <c r="N84" s="30"/>
      <c r="O84" s="30"/>
      <c r="P84" s="30"/>
      <c r="S84" s="11">
        <f t="shared" si="12"/>
        <v>100</v>
      </c>
    </row>
    <row r="85" spans="1:19" x14ac:dyDescent="0.2">
      <c r="A85" s="28" t="str">
        <f t="shared" si="13"/>
        <v>9|6</v>
      </c>
      <c r="B85" s="29" t="s">
        <v>227</v>
      </c>
      <c r="C85" s="24" t="s">
        <v>467</v>
      </c>
      <c r="D85" s="25">
        <v>3</v>
      </c>
      <c r="E85" s="31"/>
      <c r="F85" s="31"/>
      <c r="G85" s="31">
        <v>5</v>
      </c>
      <c r="H85" s="31">
        <v>10</v>
      </c>
      <c r="I85" s="31">
        <v>20</v>
      </c>
      <c r="J85" s="30">
        <v>20</v>
      </c>
      <c r="K85" s="30">
        <v>20</v>
      </c>
      <c r="L85" s="30">
        <v>15</v>
      </c>
      <c r="M85" s="30">
        <v>10</v>
      </c>
      <c r="N85" s="30"/>
      <c r="O85" s="30"/>
      <c r="P85" s="30"/>
      <c r="S85" s="11">
        <f t="shared" si="12"/>
        <v>100</v>
      </c>
    </row>
    <row r="86" spans="1:19" x14ac:dyDescent="0.2">
      <c r="A86" s="28" t="str">
        <f t="shared" si="13"/>
        <v>9|7</v>
      </c>
      <c r="B86" s="29" t="s">
        <v>452</v>
      </c>
      <c r="C86" s="24" t="s">
        <v>468</v>
      </c>
      <c r="D86" s="25">
        <v>5</v>
      </c>
      <c r="E86" s="31"/>
      <c r="F86" s="31"/>
      <c r="G86" s="31"/>
      <c r="H86" s="31">
        <v>15</v>
      </c>
      <c r="I86" s="31">
        <v>15</v>
      </c>
      <c r="J86" s="30">
        <v>15</v>
      </c>
      <c r="K86" s="30">
        <v>20</v>
      </c>
      <c r="L86" s="30">
        <v>20</v>
      </c>
      <c r="M86" s="30">
        <v>15</v>
      </c>
      <c r="N86" s="30"/>
      <c r="O86" s="30"/>
      <c r="P86" s="30"/>
      <c r="S86" s="11">
        <f t="shared" si="12"/>
        <v>100</v>
      </c>
    </row>
    <row r="87" spans="1:19" x14ac:dyDescent="0.2">
      <c r="A87" s="28" t="str">
        <f t="shared" si="13"/>
        <v>9|8</v>
      </c>
      <c r="B87" s="29" t="s">
        <v>321</v>
      </c>
      <c r="C87" s="24" t="s">
        <v>470</v>
      </c>
      <c r="D87" s="25">
        <v>6</v>
      </c>
      <c r="E87" s="31"/>
      <c r="F87" s="31"/>
      <c r="G87" s="31"/>
      <c r="H87" s="31">
        <v>10</v>
      </c>
      <c r="I87" s="31">
        <v>20</v>
      </c>
      <c r="J87" s="30">
        <v>30</v>
      </c>
      <c r="K87" s="30">
        <v>20</v>
      </c>
      <c r="L87" s="30">
        <v>10</v>
      </c>
      <c r="M87" s="30">
        <v>10</v>
      </c>
      <c r="N87" s="30"/>
      <c r="O87" s="30"/>
      <c r="P87" s="30"/>
      <c r="S87" s="11">
        <f t="shared" si="12"/>
        <v>100</v>
      </c>
    </row>
    <row r="88" spans="1:19" x14ac:dyDescent="0.2">
      <c r="A88" s="28" t="str">
        <f t="shared" si="13"/>
        <v>9|9</v>
      </c>
      <c r="B88" s="29" t="s">
        <v>471</v>
      </c>
      <c r="C88" s="24" t="s">
        <v>472</v>
      </c>
      <c r="D88" s="25">
        <v>6</v>
      </c>
      <c r="E88" s="31">
        <v>5</v>
      </c>
      <c r="F88" s="31">
        <v>5</v>
      </c>
      <c r="G88" s="31">
        <v>10</v>
      </c>
      <c r="H88" s="31">
        <v>15</v>
      </c>
      <c r="I88" s="31">
        <v>20</v>
      </c>
      <c r="J88" s="30">
        <v>15</v>
      </c>
      <c r="K88" s="30">
        <v>15</v>
      </c>
      <c r="L88" s="30">
        <v>15</v>
      </c>
      <c r="M88" s="30"/>
      <c r="N88" s="30"/>
      <c r="O88" s="30"/>
      <c r="P88" s="30"/>
      <c r="S88" s="11">
        <f t="shared" si="12"/>
        <v>100</v>
      </c>
    </row>
    <row r="89" spans="1:19" x14ac:dyDescent="0.2">
      <c r="A89" s="28" t="str">
        <f t="shared" si="13"/>
        <v>9|10</v>
      </c>
      <c r="B89" s="29" t="s">
        <v>473</v>
      </c>
      <c r="C89" s="24" t="s">
        <v>462</v>
      </c>
      <c r="D89" s="25"/>
      <c r="E89" s="31">
        <v>10</v>
      </c>
      <c r="F89" s="31">
        <v>15</v>
      </c>
      <c r="G89" s="31">
        <v>20</v>
      </c>
      <c r="H89" s="31">
        <v>20</v>
      </c>
      <c r="I89" s="31">
        <v>20</v>
      </c>
      <c r="J89" s="30">
        <v>10</v>
      </c>
      <c r="K89" s="30">
        <v>5</v>
      </c>
      <c r="L89" s="30"/>
      <c r="M89" s="30"/>
      <c r="N89" s="30"/>
      <c r="O89" s="30"/>
      <c r="P89" s="30"/>
      <c r="S89" s="11">
        <f t="shared" si="12"/>
        <v>100</v>
      </c>
    </row>
    <row r="90" spans="1:19" x14ac:dyDescent="0.2">
      <c r="A90" s="28" t="str">
        <f t="shared" si="13"/>
        <v>9|11</v>
      </c>
      <c r="B90" s="29" t="s">
        <v>595</v>
      </c>
      <c r="C90" s="24" t="s">
        <v>630</v>
      </c>
      <c r="D90" s="25"/>
      <c r="E90" s="31">
        <v>3</v>
      </c>
      <c r="F90" s="31">
        <v>5</v>
      </c>
      <c r="G90" s="31">
        <v>11</v>
      </c>
      <c r="H90" s="31">
        <v>15</v>
      </c>
      <c r="I90" s="31">
        <v>20</v>
      </c>
      <c r="J90" s="30">
        <v>16</v>
      </c>
      <c r="K90" s="30">
        <v>14</v>
      </c>
      <c r="L90" s="30">
        <v>10</v>
      </c>
      <c r="M90" s="30">
        <v>6</v>
      </c>
      <c r="N90" s="30"/>
      <c r="O90" s="30"/>
      <c r="P90" s="30"/>
      <c r="S90" s="11">
        <f t="shared" si="12"/>
        <v>100</v>
      </c>
    </row>
    <row r="91" spans="1:19" ht="5.45" customHeight="1" x14ac:dyDescent="0.2"/>
    <row r="92" spans="1:19" ht="13.5" thickBot="1" x14ac:dyDescent="0.25">
      <c r="A92" s="32" t="s">
        <v>80</v>
      </c>
      <c r="B92" s="33">
        <v>10</v>
      </c>
      <c r="C92" s="34"/>
      <c r="D92" s="35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</row>
    <row r="93" spans="1:19" ht="13.5" thickTop="1" x14ac:dyDescent="0.2">
      <c r="A93" s="36" t="str">
        <f>CONCATENATE($B$92,"|",B93)</f>
        <v>10|1</v>
      </c>
      <c r="B93" s="23">
        <v>1</v>
      </c>
      <c r="C93" s="24" t="s">
        <v>463</v>
      </c>
      <c r="D93" s="25">
        <v>1</v>
      </c>
      <c r="E93" s="26">
        <v>20</v>
      </c>
      <c r="F93" s="26">
        <v>20</v>
      </c>
      <c r="G93" s="26">
        <v>20</v>
      </c>
      <c r="H93" s="26">
        <v>10</v>
      </c>
      <c r="I93" s="26">
        <v>10</v>
      </c>
      <c r="J93" s="27">
        <v>10</v>
      </c>
      <c r="K93" s="27">
        <v>10</v>
      </c>
      <c r="L93" s="27"/>
      <c r="M93" s="27"/>
      <c r="N93" s="27"/>
      <c r="O93" s="27"/>
      <c r="P93" s="27"/>
      <c r="S93" s="11">
        <f>SUM(E93:P93)</f>
        <v>100</v>
      </c>
    </row>
    <row r="94" spans="1:19" x14ac:dyDescent="0.2">
      <c r="A94" s="28" t="str">
        <f>CONCATENATE($B$92,"|",B94)</f>
        <v>10|2</v>
      </c>
      <c r="B94" s="29" t="s">
        <v>189</v>
      </c>
      <c r="C94" s="24" t="s">
        <v>459</v>
      </c>
      <c r="D94" s="25">
        <v>2</v>
      </c>
      <c r="E94" s="26">
        <v>5</v>
      </c>
      <c r="F94" s="26">
        <v>10</v>
      </c>
      <c r="G94" s="26">
        <v>15</v>
      </c>
      <c r="H94" s="26">
        <v>20</v>
      </c>
      <c r="I94" s="26">
        <v>20</v>
      </c>
      <c r="J94" s="30">
        <v>15</v>
      </c>
      <c r="K94" s="30">
        <v>10</v>
      </c>
      <c r="L94" s="30">
        <v>5</v>
      </c>
      <c r="M94" s="30"/>
      <c r="N94" s="30"/>
      <c r="O94" s="30"/>
      <c r="P94" s="30"/>
      <c r="S94" s="11">
        <f t="shared" ref="S94:S103" si="14">SUM(E94:P94)</f>
        <v>100</v>
      </c>
    </row>
    <row r="95" spans="1:19" x14ac:dyDescent="0.2">
      <c r="A95" s="28" t="str">
        <f t="shared" ref="A95:A103" si="15">CONCATENATE($B$92,"|",B95)</f>
        <v>10|3</v>
      </c>
      <c r="B95" s="29" t="s">
        <v>207</v>
      </c>
      <c r="C95" s="24" t="s">
        <v>465</v>
      </c>
      <c r="D95" s="25">
        <v>3</v>
      </c>
      <c r="E95" s="31"/>
      <c r="F95" s="31">
        <v>5</v>
      </c>
      <c r="G95" s="31">
        <v>10</v>
      </c>
      <c r="H95" s="31">
        <v>15</v>
      </c>
      <c r="I95" s="31">
        <v>15</v>
      </c>
      <c r="J95" s="30">
        <v>15</v>
      </c>
      <c r="K95" s="30">
        <v>15</v>
      </c>
      <c r="L95" s="30">
        <v>15</v>
      </c>
      <c r="M95" s="30">
        <v>10</v>
      </c>
      <c r="N95" s="30"/>
      <c r="O95" s="30"/>
      <c r="P95" s="30"/>
      <c r="S95" s="11">
        <f t="shared" si="14"/>
        <v>100</v>
      </c>
    </row>
    <row r="96" spans="1:19" x14ac:dyDescent="0.2">
      <c r="A96" s="28" t="str">
        <f t="shared" si="15"/>
        <v>10|4</v>
      </c>
      <c r="B96" s="29" t="s">
        <v>225</v>
      </c>
      <c r="C96" s="24" t="s">
        <v>460</v>
      </c>
      <c r="D96" s="25">
        <v>4</v>
      </c>
      <c r="E96" s="31"/>
      <c r="F96" s="31"/>
      <c r="G96" s="31">
        <v>5</v>
      </c>
      <c r="H96" s="31">
        <v>5</v>
      </c>
      <c r="I96" s="31">
        <v>15</v>
      </c>
      <c r="J96" s="30">
        <v>20</v>
      </c>
      <c r="K96" s="30">
        <v>20</v>
      </c>
      <c r="L96" s="30">
        <v>15</v>
      </c>
      <c r="M96" s="30">
        <v>10</v>
      </c>
      <c r="N96" s="30">
        <v>10</v>
      </c>
      <c r="O96" s="30"/>
      <c r="P96" s="30"/>
      <c r="S96" s="11">
        <f t="shared" si="14"/>
        <v>100</v>
      </c>
    </row>
    <row r="97" spans="1:19" x14ac:dyDescent="0.2">
      <c r="A97" s="28" t="str">
        <f t="shared" si="15"/>
        <v>10|5</v>
      </c>
      <c r="B97" s="29" t="s">
        <v>188</v>
      </c>
      <c r="C97" s="24" t="s">
        <v>461</v>
      </c>
      <c r="D97" s="25">
        <v>5</v>
      </c>
      <c r="E97" s="31"/>
      <c r="F97" s="31"/>
      <c r="G97" s="31">
        <v>10</v>
      </c>
      <c r="H97" s="31">
        <v>10</v>
      </c>
      <c r="I97" s="31">
        <v>10</v>
      </c>
      <c r="J97" s="30">
        <v>20</v>
      </c>
      <c r="K97" s="30">
        <v>20</v>
      </c>
      <c r="L97" s="30">
        <v>20</v>
      </c>
      <c r="M97" s="30">
        <v>10</v>
      </c>
      <c r="N97" s="30"/>
      <c r="O97" s="30"/>
      <c r="P97" s="30"/>
      <c r="S97" s="11">
        <f t="shared" si="14"/>
        <v>100</v>
      </c>
    </row>
    <row r="98" spans="1:19" x14ac:dyDescent="0.2">
      <c r="A98" s="28" t="str">
        <f t="shared" si="15"/>
        <v>10|6</v>
      </c>
      <c r="B98" s="29" t="s">
        <v>227</v>
      </c>
      <c r="C98" s="24" t="s">
        <v>467</v>
      </c>
      <c r="D98" s="25">
        <v>3</v>
      </c>
      <c r="E98" s="31"/>
      <c r="F98" s="31"/>
      <c r="G98" s="31"/>
      <c r="H98" s="31">
        <v>5</v>
      </c>
      <c r="I98" s="31">
        <v>10</v>
      </c>
      <c r="J98" s="31">
        <v>15</v>
      </c>
      <c r="K98" s="30">
        <v>20</v>
      </c>
      <c r="L98" s="30">
        <v>20</v>
      </c>
      <c r="M98" s="30">
        <v>15</v>
      </c>
      <c r="N98" s="30">
        <v>15</v>
      </c>
      <c r="O98" s="30"/>
      <c r="P98" s="30"/>
      <c r="S98" s="11">
        <f t="shared" si="14"/>
        <v>100</v>
      </c>
    </row>
    <row r="99" spans="1:19" x14ac:dyDescent="0.2">
      <c r="A99" s="28" t="str">
        <f t="shared" si="15"/>
        <v>10|7</v>
      </c>
      <c r="B99" s="29" t="s">
        <v>452</v>
      </c>
      <c r="C99" s="24" t="s">
        <v>468</v>
      </c>
      <c r="D99" s="25">
        <v>5</v>
      </c>
      <c r="E99" s="31"/>
      <c r="F99" s="31"/>
      <c r="G99" s="31"/>
      <c r="H99" s="31">
        <v>15</v>
      </c>
      <c r="I99" s="31">
        <v>15</v>
      </c>
      <c r="J99" s="30">
        <v>15</v>
      </c>
      <c r="K99" s="30">
        <v>20</v>
      </c>
      <c r="L99" s="30">
        <v>15</v>
      </c>
      <c r="M99" s="30">
        <v>10</v>
      </c>
      <c r="N99" s="30">
        <v>10</v>
      </c>
      <c r="O99" s="30"/>
      <c r="P99" s="30"/>
      <c r="S99" s="11">
        <f t="shared" si="14"/>
        <v>100</v>
      </c>
    </row>
    <row r="100" spans="1:19" x14ac:dyDescent="0.2">
      <c r="A100" s="28" t="str">
        <f t="shared" si="15"/>
        <v>10|8</v>
      </c>
      <c r="B100" s="29" t="s">
        <v>321</v>
      </c>
      <c r="C100" s="24" t="s">
        <v>470</v>
      </c>
      <c r="D100" s="25">
        <v>6</v>
      </c>
      <c r="E100" s="31"/>
      <c r="F100" s="31"/>
      <c r="G100" s="31"/>
      <c r="H100" s="31">
        <v>10</v>
      </c>
      <c r="I100" s="31">
        <v>20</v>
      </c>
      <c r="J100" s="30">
        <v>20</v>
      </c>
      <c r="K100" s="30">
        <v>20</v>
      </c>
      <c r="L100" s="30">
        <v>10</v>
      </c>
      <c r="M100" s="30">
        <v>10</v>
      </c>
      <c r="N100" s="30">
        <v>10</v>
      </c>
      <c r="O100" s="30"/>
      <c r="P100" s="30"/>
      <c r="S100" s="11">
        <f t="shared" si="14"/>
        <v>100</v>
      </c>
    </row>
    <row r="101" spans="1:19" x14ac:dyDescent="0.2">
      <c r="A101" s="28" t="str">
        <f t="shared" si="15"/>
        <v>10|9</v>
      </c>
      <c r="B101" s="29" t="s">
        <v>471</v>
      </c>
      <c r="C101" s="24" t="s">
        <v>472</v>
      </c>
      <c r="D101" s="25">
        <v>6</v>
      </c>
      <c r="E101" s="31">
        <v>5</v>
      </c>
      <c r="F101" s="31">
        <v>5</v>
      </c>
      <c r="G101" s="31">
        <v>10</v>
      </c>
      <c r="H101" s="31">
        <v>10</v>
      </c>
      <c r="I101" s="31">
        <v>10</v>
      </c>
      <c r="J101" s="30">
        <v>15</v>
      </c>
      <c r="K101" s="30">
        <v>15</v>
      </c>
      <c r="L101" s="30">
        <v>10</v>
      </c>
      <c r="M101" s="30">
        <v>10</v>
      </c>
      <c r="N101" s="30">
        <v>10</v>
      </c>
      <c r="O101" s="30"/>
      <c r="P101" s="30"/>
      <c r="S101" s="11">
        <f t="shared" si="14"/>
        <v>100</v>
      </c>
    </row>
    <row r="102" spans="1:19" x14ac:dyDescent="0.2">
      <c r="A102" s="28" t="str">
        <f t="shared" si="15"/>
        <v>10|10</v>
      </c>
      <c r="B102" s="29" t="s">
        <v>473</v>
      </c>
      <c r="C102" s="24" t="s">
        <v>462</v>
      </c>
      <c r="D102" s="25"/>
      <c r="E102" s="31">
        <v>10</v>
      </c>
      <c r="F102" s="31">
        <v>15</v>
      </c>
      <c r="G102" s="31">
        <v>15</v>
      </c>
      <c r="H102" s="31">
        <v>15</v>
      </c>
      <c r="I102" s="31">
        <v>15</v>
      </c>
      <c r="J102" s="30">
        <v>15</v>
      </c>
      <c r="K102" s="30">
        <v>10</v>
      </c>
      <c r="L102" s="30">
        <v>5</v>
      </c>
      <c r="M102" s="30"/>
      <c r="N102" s="30"/>
      <c r="O102" s="30"/>
      <c r="P102" s="30"/>
      <c r="S102" s="11">
        <f t="shared" si="14"/>
        <v>100</v>
      </c>
    </row>
    <row r="103" spans="1:19" x14ac:dyDescent="0.2">
      <c r="A103" s="28" t="str">
        <f t="shared" si="15"/>
        <v>10|11</v>
      </c>
      <c r="B103" s="29" t="s">
        <v>595</v>
      </c>
      <c r="C103" s="24" t="s">
        <v>630</v>
      </c>
      <c r="D103" s="25"/>
      <c r="E103" s="31">
        <v>2</v>
      </c>
      <c r="F103" s="31">
        <v>2</v>
      </c>
      <c r="G103" s="31">
        <v>14</v>
      </c>
      <c r="H103" s="31">
        <v>14</v>
      </c>
      <c r="I103" s="31">
        <v>15</v>
      </c>
      <c r="J103" s="30">
        <v>15</v>
      </c>
      <c r="K103" s="30">
        <v>15</v>
      </c>
      <c r="L103" s="30">
        <v>15</v>
      </c>
      <c r="M103" s="30">
        <v>5</v>
      </c>
      <c r="N103" s="30">
        <v>3</v>
      </c>
      <c r="O103" s="30"/>
      <c r="P103" s="30"/>
      <c r="S103" s="11">
        <f t="shared" si="14"/>
        <v>100</v>
      </c>
    </row>
    <row r="104" spans="1:19" ht="5.45" customHeight="1" x14ac:dyDescent="0.2"/>
    <row r="105" spans="1:19" ht="13.5" thickBot="1" x14ac:dyDescent="0.25">
      <c r="A105" s="32" t="s">
        <v>80</v>
      </c>
      <c r="B105" s="33">
        <v>11</v>
      </c>
      <c r="C105" s="34"/>
      <c r="D105" s="35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</row>
    <row r="106" spans="1:19" ht="13.5" thickTop="1" x14ac:dyDescent="0.2">
      <c r="A106" s="36" t="str">
        <f>CONCATENATE($B$105,"|",B106)</f>
        <v>11|1</v>
      </c>
      <c r="B106" s="23">
        <v>1</v>
      </c>
      <c r="C106" s="24" t="s">
        <v>463</v>
      </c>
      <c r="D106" s="25">
        <v>1</v>
      </c>
      <c r="E106" s="26">
        <v>10</v>
      </c>
      <c r="F106" s="26">
        <v>20</v>
      </c>
      <c r="G106" s="26">
        <v>20</v>
      </c>
      <c r="H106" s="26">
        <v>20</v>
      </c>
      <c r="I106" s="26">
        <v>10</v>
      </c>
      <c r="J106" s="27">
        <v>10</v>
      </c>
      <c r="K106" s="27">
        <v>10</v>
      </c>
      <c r="L106" s="27"/>
      <c r="M106" s="27"/>
      <c r="N106" s="27"/>
      <c r="O106" s="27"/>
      <c r="P106" s="27"/>
      <c r="S106" s="11">
        <f>SUM(E106:P106)</f>
        <v>100</v>
      </c>
    </row>
    <row r="107" spans="1:19" x14ac:dyDescent="0.2">
      <c r="A107" s="28" t="str">
        <f>CONCATENATE($B$105,"|",B107)</f>
        <v>11|2</v>
      </c>
      <c r="B107" s="29" t="s">
        <v>189</v>
      </c>
      <c r="C107" s="24" t="s">
        <v>459</v>
      </c>
      <c r="D107" s="25">
        <v>2</v>
      </c>
      <c r="E107" s="26">
        <v>5</v>
      </c>
      <c r="F107" s="26">
        <v>10</v>
      </c>
      <c r="G107" s="26">
        <v>10</v>
      </c>
      <c r="H107" s="26">
        <v>15</v>
      </c>
      <c r="I107" s="26">
        <v>15</v>
      </c>
      <c r="J107" s="30">
        <v>15</v>
      </c>
      <c r="K107" s="30">
        <v>15</v>
      </c>
      <c r="L107" s="30">
        <v>10</v>
      </c>
      <c r="M107" s="30">
        <v>5</v>
      </c>
      <c r="N107" s="30"/>
      <c r="O107" s="30"/>
      <c r="P107" s="30"/>
      <c r="S107" s="11">
        <f t="shared" ref="S107:S116" si="16">SUM(E107:P107)</f>
        <v>100</v>
      </c>
    </row>
    <row r="108" spans="1:19" x14ac:dyDescent="0.2">
      <c r="A108" s="28" t="str">
        <f t="shared" ref="A108:A116" si="17">CONCATENATE($B$105,"|",B108)</f>
        <v>11|3</v>
      </c>
      <c r="B108" s="29" t="s">
        <v>207</v>
      </c>
      <c r="C108" s="24" t="s">
        <v>465</v>
      </c>
      <c r="D108" s="25">
        <v>3</v>
      </c>
      <c r="E108" s="31"/>
      <c r="F108" s="31">
        <v>5</v>
      </c>
      <c r="G108" s="31">
        <v>10</v>
      </c>
      <c r="H108" s="31">
        <v>10</v>
      </c>
      <c r="I108" s="31">
        <v>15</v>
      </c>
      <c r="J108" s="30">
        <v>15</v>
      </c>
      <c r="K108" s="30">
        <v>15</v>
      </c>
      <c r="L108" s="30">
        <v>10</v>
      </c>
      <c r="M108" s="30">
        <v>10</v>
      </c>
      <c r="N108" s="30">
        <v>10</v>
      </c>
      <c r="O108" s="30"/>
      <c r="P108" s="30"/>
      <c r="S108" s="11">
        <f t="shared" si="16"/>
        <v>100</v>
      </c>
    </row>
    <row r="109" spans="1:19" x14ac:dyDescent="0.2">
      <c r="A109" s="28" t="str">
        <f t="shared" si="17"/>
        <v>11|4</v>
      </c>
      <c r="B109" s="29" t="s">
        <v>225</v>
      </c>
      <c r="C109" s="24" t="s">
        <v>460</v>
      </c>
      <c r="D109" s="25">
        <v>4</v>
      </c>
      <c r="E109" s="31"/>
      <c r="F109" s="31"/>
      <c r="G109" s="31">
        <v>5</v>
      </c>
      <c r="H109" s="31">
        <v>10</v>
      </c>
      <c r="I109" s="31">
        <v>10</v>
      </c>
      <c r="J109" s="30">
        <v>15</v>
      </c>
      <c r="K109" s="30">
        <v>15</v>
      </c>
      <c r="L109" s="30">
        <v>15</v>
      </c>
      <c r="M109" s="30">
        <v>10</v>
      </c>
      <c r="N109" s="30">
        <v>10</v>
      </c>
      <c r="O109" s="30">
        <v>10</v>
      </c>
      <c r="P109" s="30"/>
      <c r="S109" s="11">
        <f t="shared" si="16"/>
        <v>100</v>
      </c>
    </row>
    <row r="110" spans="1:19" x14ac:dyDescent="0.2">
      <c r="A110" s="28" t="str">
        <f t="shared" si="17"/>
        <v>11|5</v>
      </c>
      <c r="B110" s="29" t="s">
        <v>188</v>
      </c>
      <c r="C110" s="24" t="s">
        <v>461</v>
      </c>
      <c r="D110" s="25">
        <v>5</v>
      </c>
      <c r="E110" s="31"/>
      <c r="F110" s="31"/>
      <c r="G110" s="31">
        <v>10</v>
      </c>
      <c r="H110" s="31">
        <v>10</v>
      </c>
      <c r="I110" s="31">
        <v>10</v>
      </c>
      <c r="J110" s="30">
        <v>15</v>
      </c>
      <c r="K110" s="30">
        <v>15</v>
      </c>
      <c r="L110" s="30">
        <v>15</v>
      </c>
      <c r="M110" s="30">
        <v>15</v>
      </c>
      <c r="N110" s="30">
        <v>10</v>
      </c>
      <c r="O110" s="30"/>
      <c r="P110" s="30"/>
      <c r="S110" s="11">
        <f t="shared" si="16"/>
        <v>100</v>
      </c>
    </row>
    <row r="111" spans="1:19" x14ac:dyDescent="0.2">
      <c r="A111" s="28" t="str">
        <f t="shared" si="17"/>
        <v>11|6</v>
      </c>
      <c r="B111" s="29" t="s">
        <v>227</v>
      </c>
      <c r="C111" s="24" t="s">
        <v>467</v>
      </c>
      <c r="D111" s="25">
        <v>3</v>
      </c>
      <c r="E111" s="31"/>
      <c r="F111" s="31"/>
      <c r="G111" s="31"/>
      <c r="H111" s="31">
        <v>5</v>
      </c>
      <c r="I111" s="31">
        <v>10</v>
      </c>
      <c r="J111" s="31">
        <v>15</v>
      </c>
      <c r="K111" s="30">
        <v>15</v>
      </c>
      <c r="L111" s="30">
        <v>15</v>
      </c>
      <c r="M111" s="30">
        <v>15</v>
      </c>
      <c r="N111" s="30">
        <v>15</v>
      </c>
      <c r="O111" s="30">
        <v>10</v>
      </c>
      <c r="P111" s="30"/>
      <c r="S111" s="11">
        <f t="shared" si="16"/>
        <v>100</v>
      </c>
    </row>
    <row r="112" spans="1:19" x14ac:dyDescent="0.2">
      <c r="A112" s="28" t="str">
        <f t="shared" si="17"/>
        <v>11|7</v>
      </c>
      <c r="B112" s="29" t="s">
        <v>452</v>
      </c>
      <c r="C112" s="24" t="s">
        <v>468</v>
      </c>
      <c r="D112" s="25">
        <v>5</v>
      </c>
      <c r="E112" s="31"/>
      <c r="F112" s="31"/>
      <c r="G112" s="31"/>
      <c r="H112" s="31">
        <v>10</v>
      </c>
      <c r="I112" s="31">
        <v>10</v>
      </c>
      <c r="J112" s="30">
        <v>15</v>
      </c>
      <c r="K112" s="30">
        <v>20</v>
      </c>
      <c r="L112" s="30">
        <v>15</v>
      </c>
      <c r="M112" s="30">
        <v>10</v>
      </c>
      <c r="N112" s="30">
        <v>10</v>
      </c>
      <c r="O112" s="30">
        <v>10</v>
      </c>
      <c r="P112" s="30"/>
      <c r="S112" s="11">
        <f t="shared" si="16"/>
        <v>100</v>
      </c>
    </row>
    <row r="113" spans="1:19" x14ac:dyDescent="0.2">
      <c r="A113" s="28" t="str">
        <f t="shared" si="17"/>
        <v>11|8</v>
      </c>
      <c r="B113" s="29" t="s">
        <v>321</v>
      </c>
      <c r="C113" s="24" t="s">
        <v>470</v>
      </c>
      <c r="D113" s="25">
        <v>6</v>
      </c>
      <c r="E113" s="31"/>
      <c r="F113" s="31"/>
      <c r="G113" s="31"/>
      <c r="H113" s="31">
        <v>10</v>
      </c>
      <c r="I113" s="31">
        <v>10</v>
      </c>
      <c r="J113" s="30">
        <v>20</v>
      </c>
      <c r="K113" s="30">
        <v>20</v>
      </c>
      <c r="L113" s="30">
        <v>10</v>
      </c>
      <c r="M113" s="30">
        <v>10</v>
      </c>
      <c r="N113" s="30">
        <v>10</v>
      </c>
      <c r="O113" s="30">
        <v>10</v>
      </c>
      <c r="P113" s="30"/>
      <c r="S113" s="11">
        <f t="shared" si="16"/>
        <v>100</v>
      </c>
    </row>
    <row r="114" spans="1:19" x14ac:dyDescent="0.2">
      <c r="A114" s="28" t="str">
        <f t="shared" si="17"/>
        <v>11|9</v>
      </c>
      <c r="B114" s="29" t="s">
        <v>471</v>
      </c>
      <c r="C114" s="24" t="s">
        <v>472</v>
      </c>
      <c r="D114" s="25">
        <v>6</v>
      </c>
      <c r="E114" s="31">
        <v>5</v>
      </c>
      <c r="F114" s="31">
        <v>5</v>
      </c>
      <c r="G114" s="31">
        <v>10</v>
      </c>
      <c r="H114" s="31">
        <v>10</v>
      </c>
      <c r="I114" s="31">
        <v>10</v>
      </c>
      <c r="J114" s="30">
        <v>10</v>
      </c>
      <c r="K114" s="30">
        <v>10</v>
      </c>
      <c r="L114" s="30">
        <v>10</v>
      </c>
      <c r="M114" s="30">
        <v>10</v>
      </c>
      <c r="N114" s="30">
        <v>10</v>
      </c>
      <c r="O114" s="30">
        <v>10</v>
      </c>
      <c r="P114" s="30"/>
      <c r="S114" s="11">
        <f t="shared" si="16"/>
        <v>100</v>
      </c>
    </row>
    <row r="115" spans="1:19" x14ac:dyDescent="0.2">
      <c r="A115" s="28" t="str">
        <f t="shared" si="17"/>
        <v>11|10</v>
      </c>
      <c r="B115" s="29" t="s">
        <v>473</v>
      </c>
      <c r="C115" s="24" t="s">
        <v>462</v>
      </c>
      <c r="D115" s="25"/>
      <c r="E115" s="31">
        <v>10</v>
      </c>
      <c r="F115" s="31">
        <v>10</v>
      </c>
      <c r="G115" s="31">
        <v>15</v>
      </c>
      <c r="H115" s="31">
        <v>15</v>
      </c>
      <c r="I115" s="31">
        <v>15</v>
      </c>
      <c r="J115" s="30">
        <v>10</v>
      </c>
      <c r="K115" s="30">
        <v>10</v>
      </c>
      <c r="L115" s="30">
        <v>10</v>
      </c>
      <c r="M115" s="30">
        <v>5</v>
      </c>
      <c r="N115" s="30"/>
      <c r="O115" s="30"/>
      <c r="P115" s="30"/>
      <c r="S115" s="11">
        <f t="shared" si="16"/>
        <v>100</v>
      </c>
    </row>
    <row r="116" spans="1:19" x14ac:dyDescent="0.2">
      <c r="A116" s="28" t="str">
        <f t="shared" si="17"/>
        <v>11|11</v>
      </c>
      <c r="B116" s="29" t="s">
        <v>595</v>
      </c>
      <c r="C116" s="24" t="s">
        <v>630</v>
      </c>
      <c r="D116" s="25"/>
      <c r="E116" s="31">
        <v>1</v>
      </c>
      <c r="F116" s="31">
        <v>1</v>
      </c>
      <c r="G116" s="31">
        <v>10</v>
      </c>
      <c r="H116" s="31">
        <v>15</v>
      </c>
      <c r="I116" s="31">
        <v>15</v>
      </c>
      <c r="J116" s="30">
        <v>15</v>
      </c>
      <c r="K116" s="30">
        <v>15</v>
      </c>
      <c r="L116" s="30">
        <v>15</v>
      </c>
      <c r="M116" s="30">
        <v>5</v>
      </c>
      <c r="N116" s="30">
        <v>3</v>
      </c>
      <c r="O116" s="30">
        <v>5</v>
      </c>
      <c r="P116" s="30"/>
      <c r="S116" s="11">
        <f t="shared" si="16"/>
        <v>100</v>
      </c>
    </row>
    <row r="117" spans="1:19" ht="5.45" customHeight="1" x14ac:dyDescent="0.2"/>
    <row r="118" spans="1:19" ht="13.5" thickBot="1" x14ac:dyDescent="0.25">
      <c r="A118" s="32" t="s">
        <v>80</v>
      </c>
      <c r="B118" s="33">
        <v>12</v>
      </c>
      <c r="C118" s="34"/>
      <c r="D118" s="35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</row>
    <row r="119" spans="1:19" ht="13.5" thickTop="1" x14ac:dyDescent="0.2">
      <c r="A119" s="36" t="str">
        <f>CONCATENATE($B$118,"|",B119)</f>
        <v>12|1</v>
      </c>
      <c r="B119" s="23">
        <v>1</v>
      </c>
      <c r="C119" s="24" t="s">
        <v>463</v>
      </c>
      <c r="D119" s="25">
        <v>1</v>
      </c>
      <c r="E119" s="26">
        <v>10</v>
      </c>
      <c r="F119" s="26">
        <v>20</v>
      </c>
      <c r="G119" s="26">
        <v>20</v>
      </c>
      <c r="H119" s="26">
        <v>20</v>
      </c>
      <c r="I119" s="26">
        <v>10</v>
      </c>
      <c r="J119" s="27">
        <v>10</v>
      </c>
      <c r="K119" s="27">
        <v>10</v>
      </c>
      <c r="L119" s="27"/>
      <c r="M119" s="27"/>
      <c r="N119" s="27"/>
      <c r="O119" s="27"/>
      <c r="P119" s="27"/>
      <c r="S119" s="11">
        <f>SUM(E119:P119)</f>
        <v>100</v>
      </c>
    </row>
    <row r="120" spans="1:19" x14ac:dyDescent="0.2">
      <c r="A120" s="28" t="str">
        <f>CONCATENATE($B$118,"|",B120)</f>
        <v>12|2</v>
      </c>
      <c r="B120" s="29" t="s">
        <v>189</v>
      </c>
      <c r="C120" s="24" t="s">
        <v>459</v>
      </c>
      <c r="D120" s="25">
        <v>2</v>
      </c>
      <c r="E120" s="26">
        <v>5</v>
      </c>
      <c r="F120" s="26">
        <v>10</v>
      </c>
      <c r="G120" s="26">
        <v>10</v>
      </c>
      <c r="H120" s="26">
        <v>15</v>
      </c>
      <c r="I120" s="26">
        <v>15</v>
      </c>
      <c r="J120" s="30">
        <v>15</v>
      </c>
      <c r="K120" s="30">
        <v>10</v>
      </c>
      <c r="L120" s="30">
        <v>10</v>
      </c>
      <c r="M120" s="30">
        <v>10</v>
      </c>
      <c r="N120" s="30"/>
      <c r="O120" s="30"/>
      <c r="P120" s="30"/>
      <c r="S120" s="11">
        <f t="shared" ref="S120:S129" si="18">SUM(E120:P120)</f>
        <v>100</v>
      </c>
    </row>
    <row r="121" spans="1:19" x14ac:dyDescent="0.2">
      <c r="A121" s="28" t="str">
        <f t="shared" ref="A121:A129" si="19">CONCATENATE($B$118,"|",B121)</f>
        <v>12|3</v>
      </c>
      <c r="B121" s="29" t="s">
        <v>207</v>
      </c>
      <c r="C121" s="24" t="s">
        <v>465</v>
      </c>
      <c r="D121" s="25">
        <v>3</v>
      </c>
      <c r="E121" s="31"/>
      <c r="F121" s="31">
        <v>5</v>
      </c>
      <c r="G121" s="31">
        <v>10</v>
      </c>
      <c r="H121" s="31">
        <v>10</v>
      </c>
      <c r="I121" s="31">
        <v>10</v>
      </c>
      <c r="J121" s="30">
        <v>15</v>
      </c>
      <c r="K121" s="30">
        <v>15</v>
      </c>
      <c r="L121" s="30">
        <v>10</v>
      </c>
      <c r="M121" s="30">
        <v>10</v>
      </c>
      <c r="N121" s="30">
        <v>10</v>
      </c>
      <c r="O121" s="30">
        <v>5</v>
      </c>
      <c r="P121" s="30"/>
      <c r="S121" s="11">
        <f t="shared" si="18"/>
        <v>100</v>
      </c>
    </row>
    <row r="122" spans="1:19" x14ac:dyDescent="0.2">
      <c r="A122" s="28" t="str">
        <f t="shared" si="19"/>
        <v>12|4</v>
      </c>
      <c r="B122" s="29" t="s">
        <v>225</v>
      </c>
      <c r="C122" s="24" t="s">
        <v>460</v>
      </c>
      <c r="D122" s="25">
        <v>4</v>
      </c>
      <c r="E122" s="31"/>
      <c r="F122" s="31"/>
      <c r="G122" s="31">
        <v>5</v>
      </c>
      <c r="H122" s="31">
        <v>10</v>
      </c>
      <c r="I122" s="31">
        <v>10</v>
      </c>
      <c r="J122" s="30">
        <v>10</v>
      </c>
      <c r="K122" s="30">
        <v>10</v>
      </c>
      <c r="L122" s="30">
        <v>15</v>
      </c>
      <c r="M122" s="30">
        <v>10</v>
      </c>
      <c r="N122" s="30">
        <v>15</v>
      </c>
      <c r="O122" s="30">
        <v>10</v>
      </c>
      <c r="P122" s="30">
        <v>5</v>
      </c>
      <c r="S122" s="11">
        <f t="shared" si="18"/>
        <v>100</v>
      </c>
    </row>
    <row r="123" spans="1:19" x14ac:dyDescent="0.2">
      <c r="A123" s="28" t="str">
        <f t="shared" si="19"/>
        <v>12|5</v>
      </c>
      <c r="B123" s="29" t="s">
        <v>188</v>
      </c>
      <c r="C123" s="24" t="s">
        <v>461</v>
      </c>
      <c r="D123" s="25">
        <v>5</v>
      </c>
      <c r="E123" s="31"/>
      <c r="F123" s="31"/>
      <c r="G123" s="31">
        <v>10</v>
      </c>
      <c r="H123" s="31">
        <v>10</v>
      </c>
      <c r="I123" s="31">
        <v>10</v>
      </c>
      <c r="J123" s="30">
        <v>10</v>
      </c>
      <c r="K123" s="30">
        <v>10</v>
      </c>
      <c r="L123" s="30">
        <v>15</v>
      </c>
      <c r="M123" s="30">
        <v>15</v>
      </c>
      <c r="N123" s="30">
        <v>10</v>
      </c>
      <c r="O123" s="30">
        <v>10</v>
      </c>
      <c r="P123" s="30"/>
      <c r="S123" s="11">
        <f t="shared" si="18"/>
        <v>100</v>
      </c>
    </row>
    <row r="124" spans="1:19" x14ac:dyDescent="0.2">
      <c r="A124" s="28" t="str">
        <f t="shared" si="19"/>
        <v>12|6</v>
      </c>
      <c r="B124" s="29" t="s">
        <v>227</v>
      </c>
      <c r="C124" s="24" t="s">
        <v>467</v>
      </c>
      <c r="D124" s="25">
        <v>3</v>
      </c>
      <c r="E124" s="31"/>
      <c r="F124" s="31"/>
      <c r="G124" s="31"/>
      <c r="H124" s="31">
        <v>5</v>
      </c>
      <c r="I124" s="31">
        <v>10</v>
      </c>
      <c r="J124" s="31">
        <v>10</v>
      </c>
      <c r="K124" s="30">
        <v>10</v>
      </c>
      <c r="L124" s="30">
        <v>15</v>
      </c>
      <c r="M124" s="30">
        <v>15</v>
      </c>
      <c r="N124" s="30">
        <v>15</v>
      </c>
      <c r="O124" s="30">
        <v>10</v>
      </c>
      <c r="P124" s="30">
        <v>10</v>
      </c>
      <c r="S124" s="11">
        <f t="shared" si="18"/>
        <v>100</v>
      </c>
    </row>
    <row r="125" spans="1:19" x14ac:dyDescent="0.2">
      <c r="A125" s="28" t="str">
        <f t="shared" si="19"/>
        <v>12|7</v>
      </c>
      <c r="B125" s="29" t="s">
        <v>452</v>
      </c>
      <c r="C125" s="24" t="s">
        <v>468</v>
      </c>
      <c r="D125" s="25">
        <v>5</v>
      </c>
      <c r="E125" s="31"/>
      <c r="F125" s="31"/>
      <c r="G125" s="31"/>
      <c r="H125" s="31">
        <v>5</v>
      </c>
      <c r="I125" s="31">
        <v>10</v>
      </c>
      <c r="J125" s="30">
        <v>10</v>
      </c>
      <c r="K125" s="30">
        <v>15</v>
      </c>
      <c r="L125" s="30">
        <v>15</v>
      </c>
      <c r="M125" s="30">
        <v>15</v>
      </c>
      <c r="N125" s="30">
        <v>10</v>
      </c>
      <c r="O125" s="30">
        <v>10</v>
      </c>
      <c r="P125" s="30">
        <v>10</v>
      </c>
      <c r="S125" s="11">
        <f t="shared" si="18"/>
        <v>100</v>
      </c>
    </row>
    <row r="126" spans="1:19" x14ac:dyDescent="0.2">
      <c r="A126" s="28" t="str">
        <f t="shared" si="19"/>
        <v>12|8</v>
      </c>
      <c r="B126" s="29" t="s">
        <v>321</v>
      </c>
      <c r="C126" s="24" t="s">
        <v>470</v>
      </c>
      <c r="D126" s="25">
        <v>6</v>
      </c>
      <c r="E126" s="31"/>
      <c r="F126" s="31"/>
      <c r="G126" s="31"/>
      <c r="H126" s="31">
        <v>10</v>
      </c>
      <c r="I126" s="31">
        <v>10</v>
      </c>
      <c r="J126" s="30">
        <v>10</v>
      </c>
      <c r="K126" s="30">
        <v>20</v>
      </c>
      <c r="L126" s="30">
        <v>10</v>
      </c>
      <c r="M126" s="30">
        <v>10</v>
      </c>
      <c r="N126" s="30">
        <v>10</v>
      </c>
      <c r="O126" s="30">
        <v>10</v>
      </c>
      <c r="P126" s="30">
        <v>10</v>
      </c>
      <c r="S126" s="11">
        <f t="shared" si="18"/>
        <v>100</v>
      </c>
    </row>
    <row r="127" spans="1:19" x14ac:dyDescent="0.2">
      <c r="A127" s="28" t="str">
        <f t="shared" si="19"/>
        <v>12|9</v>
      </c>
      <c r="B127" s="29" t="s">
        <v>471</v>
      </c>
      <c r="C127" s="24" t="s">
        <v>472</v>
      </c>
      <c r="D127" s="25">
        <v>6</v>
      </c>
      <c r="E127" s="31">
        <v>5</v>
      </c>
      <c r="F127" s="31">
        <v>5</v>
      </c>
      <c r="G127" s="31">
        <v>5</v>
      </c>
      <c r="H127" s="31">
        <v>5</v>
      </c>
      <c r="I127" s="31">
        <v>10</v>
      </c>
      <c r="J127" s="30">
        <v>10</v>
      </c>
      <c r="K127" s="30">
        <v>10</v>
      </c>
      <c r="L127" s="30">
        <v>10</v>
      </c>
      <c r="M127" s="30">
        <v>10</v>
      </c>
      <c r="N127" s="30">
        <v>10</v>
      </c>
      <c r="O127" s="30">
        <v>10</v>
      </c>
      <c r="P127" s="30">
        <v>10</v>
      </c>
      <c r="S127" s="11">
        <f t="shared" si="18"/>
        <v>100</v>
      </c>
    </row>
    <row r="128" spans="1:19" x14ac:dyDescent="0.2">
      <c r="A128" s="28" t="str">
        <f t="shared" si="19"/>
        <v>12|10</v>
      </c>
      <c r="B128" s="29" t="s">
        <v>473</v>
      </c>
      <c r="C128" s="24" t="s">
        <v>462</v>
      </c>
      <c r="D128" s="25"/>
      <c r="E128" s="31">
        <v>10</v>
      </c>
      <c r="F128" s="31">
        <v>15</v>
      </c>
      <c r="G128" s="31">
        <v>10</v>
      </c>
      <c r="H128" s="31">
        <v>10</v>
      </c>
      <c r="I128" s="31">
        <v>10</v>
      </c>
      <c r="J128" s="30">
        <v>10</v>
      </c>
      <c r="K128" s="30">
        <v>10</v>
      </c>
      <c r="L128" s="30">
        <v>10</v>
      </c>
      <c r="M128" s="30">
        <v>10</v>
      </c>
      <c r="N128" s="30">
        <v>5</v>
      </c>
      <c r="O128" s="30"/>
      <c r="P128" s="30"/>
      <c r="S128" s="11">
        <f t="shared" si="18"/>
        <v>100</v>
      </c>
    </row>
    <row r="129" spans="1:19" x14ac:dyDescent="0.2">
      <c r="A129" s="28" t="str">
        <f t="shared" si="19"/>
        <v>12|11</v>
      </c>
      <c r="B129" s="29" t="s">
        <v>595</v>
      </c>
      <c r="C129" s="24" t="s">
        <v>630</v>
      </c>
      <c r="D129" s="25"/>
      <c r="E129" s="31">
        <v>1</v>
      </c>
      <c r="F129" s="31">
        <v>1</v>
      </c>
      <c r="G129" s="31">
        <v>10</v>
      </c>
      <c r="H129" s="31">
        <v>10</v>
      </c>
      <c r="I129" s="31">
        <v>15</v>
      </c>
      <c r="J129" s="30">
        <v>15</v>
      </c>
      <c r="K129" s="30">
        <v>15</v>
      </c>
      <c r="L129" s="30">
        <v>15</v>
      </c>
      <c r="M129" s="30">
        <v>5</v>
      </c>
      <c r="N129" s="30">
        <v>3</v>
      </c>
      <c r="O129" s="30">
        <v>5</v>
      </c>
      <c r="P129" s="30">
        <v>5</v>
      </c>
      <c r="S129" s="11">
        <f t="shared" si="18"/>
        <v>100</v>
      </c>
    </row>
    <row r="131" spans="1:19" x14ac:dyDescent="0.2">
      <c r="S131" s="11">
        <f>SUM(S2:S129)</f>
        <v>11000</v>
      </c>
    </row>
  </sheetData>
  <sheetProtection sheet="1" objects="1" scenarios="1"/>
  <printOptions horizontalCentered="1" verticalCentered="1"/>
  <pageMargins left="0.78740157480314965" right="0.78740157480314965" top="0.98425196850393704" bottom="0.59055118110236227" header="0.51181102362204722" footer="0.51181102362204722"/>
  <pageSetup paperSize="8" scale="94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showGridLines="0" tabSelected="1" topLeftCell="A6" zoomScaleNormal="100" workbookViewId="0">
      <selection activeCell="B23" sqref="B23"/>
    </sheetView>
  </sheetViews>
  <sheetFormatPr defaultColWidth="14.6640625" defaultRowHeight="12.75" x14ac:dyDescent="0.2"/>
  <cols>
    <col min="1" max="1" width="58.5" style="318" customWidth="1"/>
    <col min="2" max="3" width="25.6640625" style="318" customWidth="1"/>
    <col min="4" max="8" width="13.5" style="285" customWidth="1"/>
    <col min="9" max="19" width="13.5" style="286" customWidth="1"/>
    <col min="20" max="257" width="14.6640625" style="286"/>
    <col min="258" max="258" width="47.6640625" style="286" customWidth="1"/>
    <col min="259" max="259" width="43.83203125" style="286" customWidth="1"/>
    <col min="260" max="513" width="14.6640625" style="286"/>
    <col min="514" max="514" width="47.6640625" style="286" customWidth="1"/>
    <col min="515" max="515" width="43.83203125" style="286" customWidth="1"/>
    <col min="516" max="769" width="14.6640625" style="286"/>
    <col min="770" max="770" width="47.6640625" style="286" customWidth="1"/>
    <col min="771" max="771" width="43.83203125" style="286" customWidth="1"/>
    <col min="772" max="1025" width="14.6640625" style="286"/>
    <col min="1026" max="1026" width="47.6640625" style="286" customWidth="1"/>
    <col min="1027" max="1027" width="43.83203125" style="286" customWidth="1"/>
    <col min="1028" max="1281" width="14.6640625" style="286"/>
    <col min="1282" max="1282" width="47.6640625" style="286" customWidth="1"/>
    <col min="1283" max="1283" width="43.83203125" style="286" customWidth="1"/>
    <col min="1284" max="1537" width="14.6640625" style="286"/>
    <col min="1538" max="1538" width="47.6640625" style="286" customWidth="1"/>
    <col min="1539" max="1539" width="43.83203125" style="286" customWidth="1"/>
    <col min="1540" max="1793" width="14.6640625" style="286"/>
    <col min="1794" max="1794" width="47.6640625" style="286" customWidth="1"/>
    <col min="1795" max="1795" width="43.83203125" style="286" customWidth="1"/>
    <col min="1796" max="2049" width="14.6640625" style="286"/>
    <col min="2050" max="2050" width="47.6640625" style="286" customWidth="1"/>
    <col min="2051" max="2051" width="43.83203125" style="286" customWidth="1"/>
    <col min="2052" max="2305" width="14.6640625" style="286"/>
    <col min="2306" max="2306" width="47.6640625" style="286" customWidth="1"/>
    <col min="2307" max="2307" width="43.83203125" style="286" customWidth="1"/>
    <col min="2308" max="2561" width="14.6640625" style="286"/>
    <col min="2562" max="2562" width="47.6640625" style="286" customWidth="1"/>
    <col min="2563" max="2563" width="43.83203125" style="286" customWidth="1"/>
    <col min="2564" max="2817" width="14.6640625" style="286"/>
    <col min="2818" max="2818" width="47.6640625" style="286" customWidth="1"/>
    <col min="2819" max="2819" width="43.83203125" style="286" customWidth="1"/>
    <col min="2820" max="3073" width="14.6640625" style="286"/>
    <col min="3074" max="3074" width="47.6640625" style="286" customWidth="1"/>
    <col min="3075" max="3075" width="43.83203125" style="286" customWidth="1"/>
    <col min="3076" max="3329" width="14.6640625" style="286"/>
    <col min="3330" max="3330" width="47.6640625" style="286" customWidth="1"/>
    <col min="3331" max="3331" width="43.83203125" style="286" customWidth="1"/>
    <col min="3332" max="3585" width="14.6640625" style="286"/>
    <col min="3586" max="3586" width="47.6640625" style="286" customWidth="1"/>
    <col min="3587" max="3587" width="43.83203125" style="286" customWidth="1"/>
    <col min="3588" max="3841" width="14.6640625" style="286"/>
    <col min="3842" max="3842" width="47.6640625" style="286" customWidth="1"/>
    <col min="3843" max="3843" width="43.83203125" style="286" customWidth="1"/>
    <col min="3844" max="4097" width="14.6640625" style="286"/>
    <col min="4098" max="4098" width="47.6640625" style="286" customWidth="1"/>
    <col min="4099" max="4099" width="43.83203125" style="286" customWidth="1"/>
    <col min="4100" max="4353" width="14.6640625" style="286"/>
    <col min="4354" max="4354" width="47.6640625" style="286" customWidth="1"/>
    <col min="4355" max="4355" width="43.83203125" style="286" customWidth="1"/>
    <col min="4356" max="4609" width="14.6640625" style="286"/>
    <col min="4610" max="4610" width="47.6640625" style="286" customWidth="1"/>
    <col min="4611" max="4611" width="43.83203125" style="286" customWidth="1"/>
    <col min="4612" max="4865" width="14.6640625" style="286"/>
    <col min="4866" max="4866" width="47.6640625" style="286" customWidth="1"/>
    <col min="4867" max="4867" width="43.83203125" style="286" customWidth="1"/>
    <col min="4868" max="5121" width="14.6640625" style="286"/>
    <col min="5122" max="5122" width="47.6640625" style="286" customWidth="1"/>
    <col min="5123" max="5123" width="43.83203125" style="286" customWidth="1"/>
    <col min="5124" max="5377" width="14.6640625" style="286"/>
    <col min="5378" max="5378" width="47.6640625" style="286" customWidth="1"/>
    <col min="5379" max="5379" width="43.83203125" style="286" customWidth="1"/>
    <col min="5380" max="5633" width="14.6640625" style="286"/>
    <col min="5634" max="5634" width="47.6640625" style="286" customWidth="1"/>
    <col min="5635" max="5635" width="43.83203125" style="286" customWidth="1"/>
    <col min="5636" max="5889" width="14.6640625" style="286"/>
    <col min="5890" max="5890" width="47.6640625" style="286" customWidth="1"/>
    <col min="5891" max="5891" width="43.83203125" style="286" customWidth="1"/>
    <col min="5892" max="6145" width="14.6640625" style="286"/>
    <col min="6146" max="6146" width="47.6640625" style="286" customWidth="1"/>
    <col min="6147" max="6147" width="43.83203125" style="286" customWidth="1"/>
    <col min="6148" max="6401" width="14.6640625" style="286"/>
    <col min="6402" max="6402" width="47.6640625" style="286" customWidth="1"/>
    <col min="6403" max="6403" width="43.83203125" style="286" customWidth="1"/>
    <col min="6404" max="6657" width="14.6640625" style="286"/>
    <col min="6658" max="6658" width="47.6640625" style="286" customWidth="1"/>
    <col min="6659" max="6659" width="43.83203125" style="286" customWidth="1"/>
    <col min="6660" max="6913" width="14.6640625" style="286"/>
    <col min="6914" max="6914" width="47.6640625" style="286" customWidth="1"/>
    <col min="6915" max="6915" width="43.83203125" style="286" customWidth="1"/>
    <col min="6916" max="7169" width="14.6640625" style="286"/>
    <col min="7170" max="7170" width="47.6640625" style="286" customWidth="1"/>
    <col min="7171" max="7171" width="43.83203125" style="286" customWidth="1"/>
    <col min="7172" max="7425" width="14.6640625" style="286"/>
    <col min="7426" max="7426" width="47.6640625" style="286" customWidth="1"/>
    <col min="7427" max="7427" width="43.83203125" style="286" customWidth="1"/>
    <col min="7428" max="7681" width="14.6640625" style="286"/>
    <col min="7682" max="7682" width="47.6640625" style="286" customWidth="1"/>
    <col min="7683" max="7683" width="43.83203125" style="286" customWidth="1"/>
    <col min="7684" max="7937" width="14.6640625" style="286"/>
    <col min="7938" max="7938" width="47.6640625" style="286" customWidth="1"/>
    <col min="7939" max="7939" width="43.83203125" style="286" customWidth="1"/>
    <col min="7940" max="8193" width="14.6640625" style="286"/>
    <col min="8194" max="8194" width="47.6640625" style="286" customWidth="1"/>
    <col min="8195" max="8195" width="43.83203125" style="286" customWidth="1"/>
    <col min="8196" max="8449" width="14.6640625" style="286"/>
    <col min="8450" max="8450" width="47.6640625" style="286" customWidth="1"/>
    <col min="8451" max="8451" width="43.83203125" style="286" customWidth="1"/>
    <col min="8452" max="8705" width="14.6640625" style="286"/>
    <col min="8706" max="8706" width="47.6640625" style="286" customWidth="1"/>
    <col min="8707" max="8707" width="43.83203125" style="286" customWidth="1"/>
    <col min="8708" max="8961" width="14.6640625" style="286"/>
    <col min="8962" max="8962" width="47.6640625" style="286" customWidth="1"/>
    <col min="8963" max="8963" width="43.83203125" style="286" customWidth="1"/>
    <col min="8964" max="9217" width="14.6640625" style="286"/>
    <col min="9218" max="9218" width="47.6640625" style="286" customWidth="1"/>
    <col min="9219" max="9219" width="43.83203125" style="286" customWidth="1"/>
    <col min="9220" max="9473" width="14.6640625" style="286"/>
    <col min="9474" max="9474" width="47.6640625" style="286" customWidth="1"/>
    <col min="9475" max="9475" width="43.83203125" style="286" customWidth="1"/>
    <col min="9476" max="9729" width="14.6640625" style="286"/>
    <col min="9730" max="9730" width="47.6640625" style="286" customWidth="1"/>
    <col min="9731" max="9731" width="43.83203125" style="286" customWidth="1"/>
    <col min="9732" max="9985" width="14.6640625" style="286"/>
    <col min="9986" max="9986" width="47.6640625" style="286" customWidth="1"/>
    <col min="9987" max="9987" width="43.83203125" style="286" customWidth="1"/>
    <col min="9988" max="10241" width="14.6640625" style="286"/>
    <col min="10242" max="10242" width="47.6640625" style="286" customWidth="1"/>
    <col min="10243" max="10243" width="43.83203125" style="286" customWidth="1"/>
    <col min="10244" max="10497" width="14.6640625" style="286"/>
    <col min="10498" max="10498" width="47.6640625" style="286" customWidth="1"/>
    <col min="10499" max="10499" width="43.83203125" style="286" customWidth="1"/>
    <col min="10500" max="10753" width="14.6640625" style="286"/>
    <col min="10754" max="10754" width="47.6640625" style="286" customWidth="1"/>
    <col min="10755" max="10755" width="43.83203125" style="286" customWidth="1"/>
    <col min="10756" max="11009" width="14.6640625" style="286"/>
    <col min="11010" max="11010" width="47.6640625" style="286" customWidth="1"/>
    <col min="11011" max="11011" width="43.83203125" style="286" customWidth="1"/>
    <col min="11012" max="11265" width="14.6640625" style="286"/>
    <col min="11266" max="11266" width="47.6640625" style="286" customWidth="1"/>
    <col min="11267" max="11267" width="43.83203125" style="286" customWidth="1"/>
    <col min="11268" max="11521" width="14.6640625" style="286"/>
    <col min="11522" max="11522" width="47.6640625" style="286" customWidth="1"/>
    <col min="11523" max="11523" width="43.83203125" style="286" customWidth="1"/>
    <col min="11524" max="11777" width="14.6640625" style="286"/>
    <col min="11778" max="11778" width="47.6640625" style="286" customWidth="1"/>
    <col min="11779" max="11779" width="43.83203125" style="286" customWidth="1"/>
    <col min="11780" max="12033" width="14.6640625" style="286"/>
    <col min="12034" max="12034" width="47.6640625" style="286" customWidth="1"/>
    <col min="12035" max="12035" width="43.83203125" style="286" customWidth="1"/>
    <col min="12036" max="12289" width="14.6640625" style="286"/>
    <col min="12290" max="12290" width="47.6640625" style="286" customWidth="1"/>
    <col min="12291" max="12291" width="43.83203125" style="286" customWidth="1"/>
    <col min="12292" max="12545" width="14.6640625" style="286"/>
    <col min="12546" max="12546" width="47.6640625" style="286" customWidth="1"/>
    <col min="12547" max="12547" width="43.83203125" style="286" customWidth="1"/>
    <col min="12548" max="12801" width="14.6640625" style="286"/>
    <col min="12802" max="12802" width="47.6640625" style="286" customWidth="1"/>
    <col min="12803" max="12803" width="43.83203125" style="286" customWidth="1"/>
    <col min="12804" max="13057" width="14.6640625" style="286"/>
    <col min="13058" max="13058" width="47.6640625" style="286" customWidth="1"/>
    <col min="13059" max="13059" width="43.83203125" style="286" customWidth="1"/>
    <col min="13060" max="13313" width="14.6640625" style="286"/>
    <col min="13314" max="13314" width="47.6640625" style="286" customWidth="1"/>
    <col min="13315" max="13315" width="43.83203125" style="286" customWidth="1"/>
    <col min="13316" max="13569" width="14.6640625" style="286"/>
    <col min="13570" max="13570" width="47.6640625" style="286" customWidth="1"/>
    <col min="13571" max="13571" width="43.83203125" style="286" customWidth="1"/>
    <col min="13572" max="13825" width="14.6640625" style="286"/>
    <col min="13826" max="13826" width="47.6640625" style="286" customWidth="1"/>
    <col min="13827" max="13827" width="43.83203125" style="286" customWidth="1"/>
    <col min="13828" max="14081" width="14.6640625" style="286"/>
    <col min="14082" max="14082" width="47.6640625" style="286" customWidth="1"/>
    <col min="14083" max="14083" width="43.83203125" style="286" customWidth="1"/>
    <col min="14084" max="14337" width="14.6640625" style="286"/>
    <col min="14338" max="14338" width="47.6640625" style="286" customWidth="1"/>
    <col min="14339" max="14339" width="43.83203125" style="286" customWidth="1"/>
    <col min="14340" max="14593" width="14.6640625" style="286"/>
    <col min="14594" max="14594" width="47.6640625" style="286" customWidth="1"/>
    <col min="14595" max="14595" width="43.83203125" style="286" customWidth="1"/>
    <col min="14596" max="14849" width="14.6640625" style="286"/>
    <col min="14850" max="14850" width="47.6640625" style="286" customWidth="1"/>
    <col min="14851" max="14851" width="43.83203125" style="286" customWidth="1"/>
    <col min="14852" max="15105" width="14.6640625" style="286"/>
    <col min="15106" max="15106" width="47.6640625" style="286" customWidth="1"/>
    <col min="15107" max="15107" width="43.83203125" style="286" customWidth="1"/>
    <col min="15108" max="15361" width="14.6640625" style="286"/>
    <col min="15362" max="15362" width="47.6640625" style="286" customWidth="1"/>
    <col min="15363" max="15363" width="43.83203125" style="286" customWidth="1"/>
    <col min="15364" max="15617" width="14.6640625" style="286"/>
    <col min="15618" max="15618" width="47.6640625" style="286" customWidth="1"/>
    <col min="15619" max="15619" width="43.83203125" style="286" customWidth="1"/>
    <col min="15620" max="15873" width="14.6640625" style="286"/>
    <col min="15874" max="15874" width="47.6640625" style="286" customWidth="1"/>
    <col min="15875" max="15875" width="43.83203125" style="286" customWidth="1"/>
    <col min="15876" max="16129" width="14.6640625" style="286"/>
    <col min="16130" max="16130" width="47.6640625" style="286" customWidth="1"/>
    <col min="16131" max="16131" width="43.83203125" style="286" customWidth="1"/>
    <col min="16132" max="16384" width="14.6640625" style="286"/>
  </cols>
  <sheetData>
    <row r="1" spans="1:8" ht="39.6" customHeight="1" thickBot="1" x14ac:dyDescent="0.25">
      <c r="A1" s="808" t="s">
        <v>766</v>
      </c>
      <c r="B1" s="809"/>
      <c r="C1" s="810"/>
      <c r="D1" s="284"/>
    </row>
    <row r="2" spans="1:8" ht="20.100000000000001" customHeight="1" x14ac:dyDescent="0.2">
      <c r="A2" s="811" t="s">
        <v>502</v>
      </c>
      <c r="B2" s="287" t="s">
        <v>767</v>
      </c>
      <c r="C2" s="346">
        <f>IF(B24&gt;3,3,B24)</f>
        <v>0.5</v>
      </c>
      <c r="E2" s="288"/>
    </row>
    <row r="3" spans="1:8" ht="20.100000000000001" customHeight="1" x14ac:dyDescent="0.2">
      <c r="A3" s="812"/>
      <c r="B3" s="287" t="s">
        <v>768</v>
      </c>
      <c r="C3" s="346">
        <v>0.65</v>
      </c>
      <c r="E3" s="285" t="s">
        <v>17</v>
      </c>
    </row>
    <row r="4" spans="1:8" ht="20.100000000000001" customHeight="1" x14ac:dyDescent="0.2">
      <c r="A4" s="812"/>
      <c r="B4" s="287" t="s">
        <v>769</v>
      </c>
      <c r="C4" s="346">
        <v>3</v>
      </c>
    </row>
    <row r="5" spans="1:8" ht="20.100000000000001" customHeight="1" thickBot="1" x14ac:dyDescent="0.25">
      <c r="A5" s="812"/>
      <c r="B5" s="289" t="s">
        <v>770</v>
      </c>
      <c r="C5" s="347">
        <v>0</v>
      </c>
      <c r="E5" s="285" t="s">
        <v>17</v>
      </c>
    </row>
    <row r="6" spans="1:8" ht="20.100000000000001" customHeight="1" thickBot="1" x14ac:dyDescent="0.25">
      <c r="A6" s="813"/>
      <c r="B6" s="290" t="s">
        <v>771</v>
      </c>
      <c r="C6" s="291">
        <f>SUM(C2:C5)</f>
        <v>4.1500000000000004</v>
      </c>
      <c r="F6" s="292"/>
    </row>
    <row r="7" spans="1:8" ht="20.100000000000001" customHeight="1" x14ac:dyDescent="0.2">
      <c r="A7" s="293" t="s">
        <v>772</v>
      </c>
      <c r="B7" s="294" t="s">
        <v>773</v>
      </c>
      <c r="C7" s="295" t="s">
        <v>774</v>
      </c>
      <c r="G7" s="296"/>
    </row>
    <row r="8" spans="1:8" ht="20.100000000000001" customHeight="1" x14ac:dyDescent="0.2">
      <c r="A8" s="293" t="s">
        <v>759</v>
      </c>
      <c r="B8" s="105">
        <v>4.01</v>
      </c>
      <c r="C8" s="106">
        <v>3.45</v>
      </c>
      <c r="E8" s="107"/>
    </row>
    <row r="9" spans="1:8" ht="20.100000000000001" customHeight="1" x14ac:dyDescent="0.2">
      <c r="A9" s="297" t="s">
        <v>760</v>
      </c>
      <c r="B9" s="108">
        <v>0.56000000000000005</v>
      </c>
      <c r="C9" s="109">
        <v>0.48</v>
      </c>
      <c r="E9" s="107"/>
    </row>
    <row r="10" spans="1:8" ht="20.100000000000001" customHeight="1" x14ac:dyDescent="0.2">
      <c r="A10" s="297" t="s">
        <v>761</v>
      </c>
      <c r="B10" s="108">
        <v>0.4</v>
      </c>
      <c r="C10" s="109">
        <v>0.85</v>
      </c>
      <c r="D10" s="822" t="s">
        <v>1899</v>
      </c>
      <c r="E10" s="823"/>
      <c r="F10" s="823"/>
      <c r="G10" s="823"/>
      <c r="H10" s="823"/>
    </row>
    <row r="11" spans="1:8" ht="20.100000000000001" customHeight="1" x14ac:dyDescent="0.2">
      <c r="A11" s="297" t="s">
        <v>762</v>
      </c>
      <c r="B11" s="108">
        <v>1.1100000000000001</v>
      </c>
      <c r="C11" s="109">
        <v>0.85</v>
      </c>
      <c r="D11" s="822"/>
      <c r="E11" s="823"/>
      <c r="F11" s="823"/>
      <c r="G11" s="823"/>
      <c r="H11" s="823"/>
    </row>
    <row r="12" spans="1:8" ht="20.100000000000001" customHeight="1" thickBot="1" x14ac:dyDescent="0.25">
      <c r="A12" s="298" t="s">
        <v>504</v>
      </c>
      <c r="B12" s="110">
        <v>7.3</v>
      </c>
      <c r="C12" s="111">
        <v>5.1100000000000003</v>
      </c>
      <c r="D12" s="822"/>
      <c r="E12" s="823"/>
      <c r="F12" s="823"/>
      <c r="G12" s="823"/>
      <c r="H12" s="823"/>
    </row>
    <row r="13" spans="1:8" ht="20.100000000000001" customHeight="1" thickBot="1" x14ac:dyDescent="0.25">
      <c r="A13" s="299" t="s">
        <v>775</v>
      </c>
      <c r="B13" s="300">
        <f>(((((1+(B8+B9+B10)/100)*(1+B11/100)*(1+B12/100))/(1-C6/100))-1)*100)</f>
        <v>18.81380718935841</v>
      </c>
      <c r="C13" s="291">
        <f>(((((1+(C8+C9+C10)/100)*(1+C11/100)*(1+C12/100))/(1-(C3+C4+C5)/100))-1)*100)</f>
        <v>15.278047942916428</v>
      </c>
      <c r="D13" s="301"/>
    </row>
    <row r="14" spans="1:8" ht="20.100000000000001" customHeight="1" thickBot="1" x14ac:dyDescent="0.25">
      <c r="A14" s="814" t="s">
        <v>776</v>
      </c>
      <c r="B14" s="815"/>
      <c r="C14" s="816"/>
      <c r="D14" s="301"/>
    </row>
    <row r="15" spans="1:8" ht="20.100000000000001" customHeight="1" thickBot="1" x14ac:dyDescent="0.25">
      <c r="A15" s="302" t="s">
        <v>777</v>
      </c>
      <c r="B15" s="303">
        <f>IF(D15="X",0,ROUND(B13,2)/100)</f>
        <v>0.18809999999999999</v>
      </c>
      <c r="C15" s="304"/>
      <c r="D15" s="348"/>
      <c r="E15" s="305"/>
      <c r="F15" s="285" t="s">
        <v>638</v>
      </c>
    </row>
    <row r="16" spans="1:8" ht="9.9499999999999993" customHeight="1" thickBot="1" x14ac:dyDescent="0.25">
      <c r="A16" s="306"/>
      <c r="B16" s="306"/>
      <c r="C16" s="306"/>
      <c r="D16" s="301"/>
    </row>
    <row r="17" spans="1:13" ht="18.75" thickBot="1" x14ac:dyDescent="0.25">
      <c r="A17" s="302" t="s">
        <v>778</v>
      </c>
      <c r="B17" s="303">
        <f>IF(D15="X",0,ROUND(C13,2)/100)</f>
        <v>0.15279999999999999</v>
      </c>
      <c r="C17" s="304"/>
      <c r="E17" s="305"/>
      <c r="F17" s="307"/>
      <c r="G17" s="307"/>
      <c r="H17" s="307"/>
      <c r="I17" s="308"/>
      <c r="J17" s="308"/>
      <c r="K17" s="308"/>
      <c r="L17" s="308"/>
      <c r="M17" s="308"/>
    </row>
    <row r="18" spans="1:13" ht="6.6" customHeight="1" x14ac:dyDescent="0.2">
      <c r="A18" s="309"/>
      <c r="B18" s="309"/>
      <c r="C18" s="309"/>
    </row>
    <row r="19" spans="1:13" x14ac:dyDescent="0.2">
      <c r="A19" s="310"/>
      <c r="B19" s="310"/>
      <c r="C19" s="310"/>
    </row>
    <row r="20" spans="1:13" ht="16.5" thickBot="1" x14ac:dyDescent="0.25">
      <c r="A20" s="311"/>
      <c r="B20" s="312" t="s">
        <v>763</v>
      </c>
      <c r="C20" s="310"/>
    </row>
    <row r="21" spans="1:13" ht="18.75" thickBot="1" x14ac:dyDescent="0.25">
      <c r="A21" s="313" t="s">
        <v>619</v>
      </c>
      <c r="B21" s="112">
        <v>2.5</v>
      </c>
      <c r="C21" s="314" t="s">
        <v>615</v>
      </c>
      <c r="E21" s="288"/>
    </row>
    <row r="22" spans="1:13" ht="18.75" thickBot="1" x14ac:dyDescent="0.25">
      <c r="A22" s="313" t="s">
        <v>620</v>
      </c>
      <c r="B22" s="112">
        <v>20</v>
      </c>
      <c r="C22" s="314" t="s">
        <v>615</v>
      </c>
      <c r="E22" s="288"/>
    </row>
    <row r="23" spans="1:13" ht="18" x14ac:dyDescent="0.2">
      <c r="A23" s="313" t="s">
        <v>764</v>
      </c>
      <c r="B23" s="315" t="s">
        <v>632</v>
      </c>
      <c r="C23" s="314" t="s">
        <v>615</v>
      </c>
    </row>
    <row r="24" spans="1:13" ht="18" x14ac:dyDescent="0.2">
      <c r="A24" s="313" t="s">
        <v>798</v>
      </c>
      <c r="B24" s="316">
        <f>IF(ROUND(B21*B22/100,4)&gt;3,3,ROUND(B21*B22/100,4))</f>
        <v>0.5</v>
      </c>
      <c r="C24" s="314" t="s">
        <v>615</v>
      </c>
    </row>
    <row r="25" spans="1:13" ht="13.5" thickBot="1" x14ac:dyDescent="0.25">
      <c r="A25" s="317"/>
    </row>
    <row r="26" spans="1:13" ht="13.5" thickBot="1" x14ac:dyDescent="0.25">
      <c r="A26" s="817" t="s">
        <v>779</v>
      </c>
      <c r="B26" s="818"/>
      <c r="C26" s="818"/>
      <c r="D26" s="819"/>
    </row>
    <row r="27" spans="1:13" ht="13.5" thickBot="1" x14ac:dyDescent="0.25">
      <c r="A27" s="319" t="s">
        <v>780</v>
      </c>
      <c r="B27" s="320" t="s">
        <v>781</v>
      </c>
      <c r="C27" s="321" t="s">
        <v>782</v>
      </c>
      <c r="D27" s="322" t="s">
        <v>783</v>
      </c>
    </row>
    <row r="28" spans="1:13" x14ac:dyDescent="0.2">
      <c r="A28" s="323" t="s">
        <v>784</v>
      </c>
      <c r="B28" s="324">
        <v>0.2034</v>
      </c>
      <c r="C28" s="325">
        <v>0.22120000000000001</v>
      </c>
      <c r="D28" s="326">
        <v>0.25</v>
      </c>
    </row>
    <row r="29" spans="1:13" x14ac:dyDescent="0.2">
      <c r="A29" s="327" t="s">
        <v>785</v>
      </c>
      <c r="B29" s="328">
        <v>0.19600000000000001</v>
      </c>
      <c r="C29" s="329">
        <v>0.20949999999999999</v>
      </c>
      <c r="D29" s="330">
        <v>0.24229999999999999</v>
      </c>
    </row>
    <row r="30" spans="1:13" ht="38.25" x14ac:dyDescent="0.2">
      <c r="A30" s="327" t="s">
        <v>786</v>
      </c>
      <c r="B30" s="328">
        <v>0.20760000000000001</v>
      </c>
      <c r="C30" s="329">
        <v>0.24179999999999999</v>
      </c>
      <c r="D30" s="330">
        <v>0.26440000000000002</v>
      </c>
    </row>
    <row r="31" spans="1:13" ht="25.5" x14ac:dyDescent="0.2">
      <c r="A31" s="327" t="s">
        <v>787</v>
      </c>
      <c r="B31" s="328">
        <v>0.24</v>
      </c>
      <c r="C31" s="329">
        <v>0.25840000000000002</v>
      </c>
      <c r="D31" s="330">
        <v>0.27860000000000001</v>
      </c>
    </row>
    <row r="32" spans="1:13" ht="13.5" thickBot="1" x14ac:dyDescent="0.25">
      <c r="A32" s="331" t="s">
        <v>788</v>
      </c>
      <c r="B32" s="332">
        <v>0.22800000000000001</v>
      </c>
      <c r="C32" s="333">
        <v>0.27479999999999999</v>
      </c>
      <c r="D32" s="334">
        <v>0.3095</v>
      </c>
    </row>
    <row r="33" spans="1:16" x14ac:dyDescent="0.2">
      <c r="A33" s="335"/>
    </row>
    <row r="34" spans="1:16" ht="13.5" thickBot="1" x14ac:dyDescent="0.25">
      <c r="A34" s="335"/>
    </row>
    <row r="35" spans="1:16" ht="13.5" thickBot="1" x14ac:dyDescent="0.25">
      <c r="A35" s="820" t="s">
        <v>789</v>
      </c>
      <c r="B35" s="320" t="s">
        <v>781</v>
      </c>
      <c r="C35" s="321" t="s">
        <v>782</v>
      </c>
      <c r="D35" s="322" t="s">
        <v>783</v>
      </c>
    </row>
    <row r="36" spans="1:16" ht="13.5" thickBot="1" x14ac:dyDescent="0.25">
      <c r="A36" s="821"/>
      <c r="B36" s="336">
        <v>0.111</v>
      </c>
      <c r="C36" s="337">
        <v>0.14019999999999999</v>
      </c>
      <c r="D36" s="338">
        <v>0.16800000000000001</v>
      </c>
    </row>
    <row r="37" spans="1:16" x14ac:dyDescent="0.2">
      <c r="A37" s="335"/>
    </row>
    <row r="38" spans="1:16" ht="13.5" thickBot="1" x14ac:dyDescent="0.25">
      <c r="A38" s="335"/>
    </row>
    <row r="39" spans="1:16" ht="13.5" customHeight="1" thickBot="1" x14ac:dyDescent="0.25">
      <c r="A39" s="832" t="s">
        <v>780</v>
      </c>
      <c r="B39" s="827" t="s">
        <v>759</v>
      </c>
      <c r="C39" s="828"/>
      <c r="D39" s="829"/>
      <c r="E39" s="827" t="s">
        <v>790</v>
      </c>
      <c r="F39" s="828"/>
      <c r="G39" s="829"/>
      <c r="H39" s="827" t="s">
        <v>791</v>
      </c>
      <c r="I39" s="828"/>
      <c r="J39" s="829"/>
      <c r="K39" s="827" t="s">
        <v>792</v>
      </c>
      <c r="L39" s="830"/>
      <c r="M39" s="831"/>
      <c r="N39" s="827" t="s">
        <v>504</v>
      </c>
      <c r="O39" s="830"/>
      <c r="P39" s="831"/>
    </row>
    <row r="40" spans="1:16" ht="13.5" thickBot="1" x14ac:dyDescent="0.25">
      <c r="A40" s="833"/>
      <c r="B40" s="320" t="s">
        <v>781</v>
      </c>
      <c r="C40" s="321" t="s">
        <v>782</v>
      </c>
      <c r="D40" s="322" t="s">
        <v>783</v>
      </c>
      <c r="E40" s="320" t="s">
        <v>781</v>
      </c>
      <c r="F40" s="321" t="s">
        <v>782</v>
      </c>
      <c r="G40" s="322" t="s">
        <v>783</v>
      </c>
      <c r="H40" s="320" t="s">
        <v>781</v>
      </c>
      <c r="I40" s="321" t="s">
        <v>782</v>
      </c>
      <c r="J40" s="322" t="s">
        <v>783</v>
      </c>
      <c r="K40" s="320" t="s">
        <v>781</v>
      </c>
      <c r="L40" s="321" t="s">
        <v>782</v>
      </c>
      <c r="M40" s="322" t="s">
        <v>783</v>
      </c>
      <c r="N40" s="320" t="s">
        <v>781</v>
      </c>
      <c r="O40" s="321" t="s">
        <v>782</v>
      </c>
      <c r="P40" s="322" t="s">
        <v>783</v>
      </c>
    </row>
    <row r="41" spans="1:16" x14ac:dyDescent="0.2">
      <c r="A41" s="323" t="s">
        <v>784</v>
      </c>
      <c r="B41" s="324">
        <v>0.03</v>
      </c>
      <c r="C41" s="325">
        <v>0.04</v>
      </c>
      <c r="D41" s="326">
        <v>5.5E-2</v>
      </c>
      <c r="E41" s="324">
        <v>9.7000000000000003E-3</v>
      </c>
      <c r="F41" s="325">
        <v>1.2699999999999999E-2</v>
      </c>
      <c r="G41" s="326">
        <v>1.2699999999999999E-2</v>
      </c>
      <c r="H41" s="324">
        <v>8.0000000000000002E-3</v>
      </c>
      <c r="I41" s="325">
        <v>8.0000000000000002E-3</v>
      </c>
      <c r="J41" s="326">
        <v>0.01</v>
      </c>
      <c r="K41" s="324">
        <v>5.8999999999999999E-3</v>
      </c>
      <c r="L41" s="325">
        <v>1.23E-2</v>
      </c>
      <c r="M41" s="326">
        <v>1.3899999999999999E-2</v>
      </c>
      <c r="N41" s="324">
        <v>6.1600000000000002E-2</v>
      </c>
      <c r="O41" s="325">
        <v>7.3999999999999996E-2</v>
      </c>
      <c r="P41" s="326">
        <v>8.9599999999999999E-2</v>
      </c>
    </row>
    <row r="42" spans="1:16" x14ac:dyDescent="0.2">
      <c r="A42" s="327" t="s">
        <v>785</v>
      </c>
      <c r="B42" s="328">
        <v>3.7999999999999999E-2</v>
      </c>
      <c r="C42" s="329">
        <v>4.0099999999999997E-2</v>
      </c>
      <c r="D42" s="330">
        <v>4.6699999999999998E-2</v>
      </c>
      <c r="E42" s="328">
        <v>5.0000000000000001E-3</v>
      </c>
      <c r="F42" s="329">
        <v>5.5999999999999999E-3</v>
      </c>
      <c r="G42" s="330">
        <v>9.7000000000000003E-3</v>
      </c>
      <c r="H42" s="328">
        <v>3.2000000000000002E-3</v>
      </c>
      <c r="I42" s="329">
        <v>4.0000000000000001E-3</v>
      </c>
      <c r="J42" s="330">
        <v>7.4000000000000003E-3</v>
      </c>
      <c r="K42" s="328">
        <v>1.0200000000000001E-2</v>
      </c>
      <c r="L42" s="329">
        <v>1.11E-2</v>
      </c>
      <c r="M42" s="330">
        <v>1.21E-2</v>
      </c>
      <c r="N42" s="328">
        <v>6.6400000000000001E-2</v>
      </c>
      <c r="O42" s="329">
        <v>7.2999999999999995E-2</v>
      </c>
      <c r="P42" s="330">
        <v>8.6900000000000005E-2</v>
      </c>
    </row>
    <row r="43" spans="1:16" ht="38.25" x14ac:dyDescent="0.2">
      <c r="A43" s="327" t="s">
        <v>786</v>
      </c>
      <c r="B43" s="328">
        <v>3.4299999999999997E-2</v>
      </c>
      <c r="C43" s="329">
        <v>4.9299999999999997E-2</v>
      </c>
      <c r="D43" s="330">
        <v>6.7100000000000007E-2</v>
      </c>
      <c r="E43" s="328">
        <v>0.01</v>
      </c>
      <c r="F43" s="329">
        <v>1.3899999999999999E-2</v>
      </c>
      <c r="G43" s="330">
        <v>1.7399999999999999E-2</v>
      </c>
      <c r="H43" s="328">
        <v>2.8E-3</v>
      </c>
      <c r="I43" s="329">
        <v>4.8999999999999998E-3</v>
      </c>
      <c r="J43" s="330">
        <v>7.4999999999999997E-3</v>
      </c>
      <c r="K43" s="328">
        <v>9.4000000000000004E-3</v>
      </c>
      <c r="L43" s="329">
        <v>9.9000000000000008E-3</v>
      </c>
      <c r="M43" s="330">
        <v>1.17E-2</v>
      </c>
      <c r="N43" s="328">
        <v>6.7400000000000002E-2</v>
      </c>
      <c r="O43" s="329">
        <v>8.0399999999999999E-2</v>
      </c>
      <c r="P43" s="330">
        <v>9.4E-2</v>
      </c>
    </row>
    <row r="44" spans="1:16" ht="25.5" x14ac:dyDescent="0.2">
      <c r="A44" s="327" t="s">
        <v>787</v>
      </c>
      <c r="B44" s="328">
        <v>5.2900000000000003E-2</v>
      </c>
      <c r="C44" s="329">
        <v>5.9200000000000003E-2</v>
      </c>
      <c r="D44" s="330">
        <v>7.9299999999999995E-2</v>
      </c>
      <c r="E44" s="328">
        <v>0.01</v>
      </c>
      <c r="F44" s="329">
        <v>1.4800000000000001E-2</v>
      </c>
      <c r="G44" s="330">
        <v>1.9699999999999999E-2</v>
      </c>
      <c r="H44" s="328">
        <v>2.5000000000000001E-3</v>
      </c>
      <c r="I44" s="329">
        <v>5.1000000000000004E-3</v>
      </c>
      <c r="J44" s="330">
        <v>5.5999999999999999E-3</v>
      </c>
      <c r="K44" s="328">
        <v>1.01E-2</v>
      </c>
      <c r="L44" s="329">
        <v>1.0699999999999999E-2</v>
      </c>
      <c r="M44" s="330">
        <v>1.11E-2</v>
      </c>
      <c r="N44" s="328">
        <v>0.08</v>
      </c>
      <c r="O44" s="329">
        <v>8.3099999999999993E-2</v>
      </c>
      <c r="P44" s="330">
        <v>9.5100000000000004E-2</v>
      </c>
    </row>
    <row r="45" spans="1:16" ht="13.5" thickBot="1" x14ac:dyDescent="0.25">
      <c r="A45" s="331" t="s">
        <v>788</v>
      </c>
      <c r="B45" s="332">
        <v>0.04</v>
      </c>
      <c r="C45" s="333">
        <v>5.5199999999999999E-2</v>
      </c>
      <c r="D45" s="334">
        <v>7.85E-2</v>
      </c>
      <c r="E45" s="332">
        <v>1.46E-2</v>
      </c>
      <c r="F45" s="333">
        <v>2.3199999999999998E-2</v>
      </c>
      <c r="G45" s="334">
        <v>3.1600000000000003E-2</v>
      </c>
      <c r="H45" s="332">
        <v>8.0999999999999996E-3</v>
      </c>
      <c r="I45" s="333">
        <v>1.2200000000000001E-2</v>
      </c>
      <c r="J45" s="334">
        <v>1.9900000000000001E-2</v>
      </c>
      <c r="K45" s="332">
        <v>9.4000000000000004E-3</v>
      </c>
      <c r="L45" s="333">
        <v>1.0200000000000001E-2</v>
      </c>
      <c r="M45" s="334">
        <v>1.3299999999999999E-2</v>
      </c>
      <c r="N45" s="332">
        <v>7.1400000000000005E-2</v>
      </c>
      <c r="O45" s="333">
        <v>8.4000000000000005E-2</v>
      </c>
      <c r="P45" s="334">
        <v>0.1043</v>
      </c>
    </row>
    <row r="47" spans="1:16" ht="13.5" thickBot="1" x14ac:dyDescent="0.25"/>
    <row r="48" spans="1:16" ht="13.5" thickBot="1" x14ac:dyDescent="0.25">
      <c r="A48" s="827" t="s">
        <v>793</v>
      </c>
      <c r="B48" s="809"/>
      <c r="C48" s="809"/>
      <c r="D48" s="810"/>
      <c r="H48" s="286"/>
    </row>
    <row r="49" spans="1:16" ht="13.5" thickBot="1" x14ac:dyDescent="0.25">
      <c r="A49" s="339" t="s">
        <v>794</v>
      </c>
      <c r="B49" s="340" t="s">
        <v>781</v>
      </c>
      <c r="C49" s="341" t="s">
        <v>782</v>
      </c>
      <c r="D49" s="342" t="s">
        <v>783</v>
      </c>
      <c r="H49" s="286"/>
    </row>
    <row r="50" spans="1:16" x14ac:dyDescent="0.2">
      <c r="A50" s="323" t="s">
        <v>759</v>
      </c>
      <c r="B50" s="324">
        <v>1.4999999999999999E-2</v>
      </c>
      <c r="C50" s="325">
        <v>3.4500000000000003E-2</v>
      </c>
      <c r="D50" s="326">
        <v>4.4900000000000002E-2</v>
      </c>
      <c r="H50" s="286"/>
    </row>
    <row r="51" spans="1:16" x14ac:dyDescent="0.2">
      <c r="A51" s="327" t="s">
        <v>791</v>
      </c>
      <c r="B51" s="328">
        <v>3.0000000000000001E-3</v>
      </c>
      <c r="C51" s="329">
        <v>4.7999999999999996E-3</v>
      </c>
      <c r="D51" s="330">
        <v>8.2000000000000007E-3</v>
      </c>
      <c r="H51" s="286"/>
    </row>
    <row r="52" spans="1:16" x14ac:dyDescent="0.2">
      <c r="A52" s="327" t="s">
        <v>790</v>
      </c>
      <c r="B52" s="328">
        <v>5.5999999999999999E-3</v>
      </c>
      <c r="C52" s="329">
        <v>8.5000000000000006E-3</v>
      </c>
      <c r="D52" s="330">
        <v>8.8999999999999999E-3</v>
      </c>
      <c r="H52" s="286"/>
    </row>
    <row r="53" spans="1:16" x14ac:dyDescent="0.2">
      <c r="A53" s="327" t="s">
        <v>792</v>
      </c>
      <c r="B53" s="328">
        <v>8.5000000000000006E-3</v>
      </c>
      <c r="C53" s="329">
        <v>8.5000000000000006E-3</v>
      </c>
      <c r="D53" s="330">
        <v>1.11E-2</v>
      </c>
      <c r="H53" s="286"/>
    </row>
    <row r="54" spans="1:16" ht="13.5" thickBot="1" x14ac:dyDescent="0.25">
      <c r="A54" s="331" t="s">
        <v>504</v>
      </c>
      <c r="B54" s="332">
        <v>3.5000000000000003E-2</v>
      </c>
      <c r="C54" s="333">
        <v>5.11E-2</v>
      </c>
      <c r="D54" s="334">
        <v>6.2199999999999998E-2</v>
      </c>
      <c r="H54" s="286"/>
    </row>
    <row r="55" spans="1:16" x14ac:dyDescent="0.2">
      <c r="C55" s="343"/>
      <c r="E55" s="344"/>
    </row>
    <row r="56" spans="1:16" ht="13.5" thickBot="1" x14ac:dyDescent="0.25"/>
    <row r="57" spans="1:16" ht="13.5" thickBot="1" x14ac:dyDescent="0.25">
      <c r="A57" s="827" t="s">
        <v>795</v>
      </c>
      <c r="B57" s="809"/>
      <c r="C57" s="809"/>
      <c r="D57" s="810"/>
    </row>
    <row r="58" spans="1:16" ht="13.5" thickBot="1" x14ac:dyDescent="0.25">
      <c r="A58" s="345" t="s">
        <v>780</v>
      </c>
      <c r="B58" s="320" t="s">
        <v>781</v>
      </c>
      <c r="C58" s="321" t="s">
        <v>782</v>
      </c>
      <c r="D58" s="322" t="s">
        <v>783</v>
      </c>
    </row>
    <row r="59" spans="1:16" x14ac:dyDescent="0.2">
      <c r="A59" s="323" t="s">
        <v>784</v>
      </c>
      <c r="B59" s="324">
        <v>3.49E-2</v>
      </c>
      <c r="C59" s="325">
        <v>6.2300000000000001E-2</v>
      </c>
      <c r="D59" s="326">
        <v>8.8700000000000001E-2</v>
      </c>
    </row>
    <row r="60" spans="1:16" x14ac:dyDescent="0.2">
      <c r="A60" s="327" t="s">
        <v>785</v>
      </c>
      <c r="B60" s="328">
        <v>1.9800000000000002E-2</v>
      </c>
      <c r="C60" s="329">
        <v>6.9900000000000004E-2</v>
      </c>
      <c r="D60" s="330">
        <v>0.10680000000000001</v>
      </c>
    </row>
    <row r="61" spans="1:16" ht="38.25" x14ac:dyDescent="0.2">
      <c r="A61" s="327" t="s">
        <v>786</v>
      </c>
      <c r="B61" s="328">
        <v>4.1300000000000003E-2</v>
      </c>
      <c r="C61" s="329">
        <v>7.6399999999999996E-2</v>
      </c>
      <c r="D61" s="330">
        <v>0.1089</v>
      </c>
    </row>
    <row r="62" spans="1:16" s="285" customFormat="1" ht="25.5" x14ac:dyDescent="0.2">
      <c r="A62" s="327" t="s">
        <v>787</v>
      </c>
      <c r="B62" s="328">
        <v>1.8499999999999999E-2</v>
      </c>
      <c r="C62" s="329">
        <v>5.0500000000000003E-2</v>
      </c>
      <c r="D62" s="330">
        <v>7.4499999999999997E-2</v>
      </c>
      <c r="I62" s="286"/>
      <c r="J62" s="286"/>
      <c r="K62" s="286"/>
      <c r="L62" s="286"/>
      <c r="M62" s="286"/>
      <c r="N62" s="286"/>
      <c r="O62" s="286"/>
      <c r="P62" s="286"/>
    </row>
    <row r="63" spans="1:16" s="285" customFormat="1" ht="13.5" thickBot="1" x14ac:dyDescent="0.25">
      <c r="A63" s="331" t="s">
        <v>788</v>
      </c>
      <c r="B63" s="332">
        <v>6.2300000000000001E-2</v>
      </c>
      <c r="C63" s="333">
        <v>7.4800000000000005E-2</v>
      </c>
      <c r="D63" s="334">
        <v>9.0899999999999995E-2</v>
      </c>
      <c r="I63" s="286"/>
      <c r="J63" s="286"/>
      <c r="K63" s="286"/>
      <c r="L63" s="286"/>
      <c r="M63" s="286"/>
      <c r="N63" s="286"/>
      <c r="O63" s="286"/>
      <c r="P63" s="286"/>
    </row>
    <row r="65" spans="1:16" s="285" customFormat="1" ht="40.5" customHeight="1" x14ac:dyDescent="0.2">
      <c r="A65" s="824" t="s">
        <v>796</v>
      </c>
      <c r="B65" s="825"/>
      <c r="C65" s="825"/>
      <c r="D65" s="826"/>
      <c r="I65" s="286"/>
      <c r="J65" s="286"/>
      <c r="K65" s="286"/>
      <c r="L65" s="286"/>
      <c r="M65" s="286"/>
      <c r="N65" s="286"/>
      <c r="O65" s="286"/>
      <c r="P65" s="286"/>
    </row>
  </sheetData>
  <sheetProtection algorithmName="SHA-512" hashValue="9IzCRva6pFOIqlH3dN8qgArXrjqDUignodHiks/nLcJnfoLBnqNk6k5K08JsiFQYT8++PYmTU5ZrP7XtPnzhUQ==" saltValue="YWDPXVJy2cjoBeYV3CT2PQ==" spinCount="100000" sheet="1" objects="1" scenarios="1" sort="0" autoFilter="0"/>
  <mergeCells count="15">
    <mergeCell ref="A65:D65"/>
    <mergeCell ref="E39:G39"/>
    <mergeCell ref="H39:J39"/>
    <mergeCell ref="K39:M39"/>
    <mergeCell ref="N39:P39"/>
    <mergeCell ref="A48:D48"/>
    <mergeCell ref="A57:D57"/>
    <mergeCell ref="A39:A40"/>
    <mergeCell ref="B39:D39"/>
    <mergeCell ref="A1:C1"/>
    <mergeCell ref="A2:A6"/>
    <mergeCell ref="A14:C14"/>
    <mergeCell ref="A26:D26"/>
    <mergeCell ref="A35:A36"/>
    <mergeCell ref="D10:H12"/>
  </mergeCells>
  <pageMargins left="1.1811023622047245" right="0.78740157480314965" top="1.1811023622047245" bottom="1.1811023622047245" header="0.31496062992125984" footer="0.51181102362204722"/>
  <pageSetup paperSize="9" scale="92" fitToHeight="0" orientation="portrait" r:id="rId1"/>
  <headerFooter alignWithMargins="0">
    <oddHeader>&amp;C&amp;"Arial,Negrito"&amp;12&amp;F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"/>
  <sheetViews>
    <sheetView showGridLines="0" showZeros="0" zoomScaleNormal="100" zoomScaleSheetLayoutView="100" workbookViewId="0">
      <selection activeCell="J20" sqref="J20"/>
    </sheetView>
  </sheetViews>
  <sheetFormatPr defaultColWidth="12" defaultRowHeight="12.75" x14ac:dyDescent="0.2"/>
  <cols>
    <col min="1" max="1" width="18.6640625" style="382" customWidth="1"/>
    <col min="2" max="2" width="58.5" style="382" customWidth="1"/>
    <col min="3" max="3" width="18.1640625" style="351" customWidth="1"/>
    <col min="4" max="4" width="15.6640625" style="351" customWidth="1"/>
    <col min="5" max="6" width="24.83203125" style="351" bestFit="1" customWidth="1"/>
    <col min="7" max="7" width="14.5" style="351" customWidth="1"/>
    <col min="8" max="16384" width="12" style="352"/>
  </cols>
  <sheetData>
    <row r="1" spans="1:7" ht="25.15" customHeight="1" thickBot="1" x14ac:dyDescent="0.25">
      <c r="A1" s="16" t="s">
        <v>797</v>
      </c>
      <c r="B1" s="3"/>
      <c r="C1" s="349"/>
      <c r="D1" s="349"/>
      <c r="E1" s="349"/>
      <c r="F1" s="350"/>
    </row>
    <row r="2" spans="1:7" ht="13.9" customHeight="1" x14ac:dyDescent="0.2">
      <c r="A2" s="63" t="s">
        <v>182</v>
      </c>
      <c r="B2" s="353" t="str">
        <f>'ORÇAMENTO GERAL'!D13</f>
        <v>BOM SUCESSO DO SUL</v>
      </c>
      <c r="C2" s="354"/>
      <c r="D2" s="355"/>
      <c r="E2" s="126" t="s">
        <v>183</v>
      </c>
      <c r="F2" s="127" t="str">
        <f>'ORÇAMENTO GERAL'!G13</f>
        <v>38</v>
      </c>
    </row>
    <row r="3" spans="1:7" ht="13.9" customHeight="1" thickBot="1" x14ac:dyDescent="0.25">
      <c r="A3" s="64" t="s">
        <v>679</v>
      </c>
      <c r="B3" s="356" t="str">
        <f>'ORÇAMENTO GERAL'!D14</f>
        <v>Recape Asfáltico em CBUQ</v>
      </c>
      <c r="C3" s="357"/>
      <c r="D3" s="357"/>
      <c r="E3" s="128" t="s">
        <v>184</v>
      </c>
      <c r="F3" s="129" t="str">
        <f>'ORÇAMENTO GERAL'!G14</f>
        <v>1</v>
      </c>
    </row>
    <row r="4" spans="1:7" ht="26.25" thickBot="1" x14ac:dyDescent="0.25">
      <c r="A4" s="358"/>
      <c r="B4" s="359"/>
      <c r="C4" s="360"/>
      <c r="D4" s="360"/>
      <c r="E4" s="361"/>
      <c r="F4" s="362" t="s">
        <v>181</v>
      </c>
      <c r="G4" s="363" t="s">
        <v>743</v>
      </c>
    </row>
    <row r="5" spans="1:7" ht="13.5" thickBot="1" x14ac:dyDescent="0.25">
      <c r="A5" s="65">
        <v>1</v>
      </c>
      <c r="B5" s="66" t="s">
        <v>463</v>
      </c>
      <c r="C5" s="364"/>
      <c r="D5" s="364"/>
      <c r="E5" s="67"/>
      <c r="F5" s="501" t="e">
        <f ca="1">_xlfn.XLOOKUP(B5,'ORÇAMENTO GERAL'!D:D,'ORÇAMENTO GERAL'!V:V,0)</f>
        <v>#NAME?</v>
      </c>
      <c r="G5" s="383" t="e">
        <f t="shared" ref="G5:G15" ca="1" si="0">IF(F5=0,0,ROUND(F5/$F$17,4))</f>
        <v>#NAME?</v>
      </c>
    </row>
    <row r="6" spans="1:7" ht="13.5" thickBot="1" x14ac:dyDescent="0.25">
      <c r="A6" s="69" t="s">
        <v>189</v>
      </c>
      <c r="B6" s="70" t="s">
        <v>459</v>
      </c>
      <c r="C6" s="365"/>
      <c r="D6" s="365"/>
      <c r="E6" s="71"/>
      <c r="F6" s="501" t="e">
        <f ca="1">_xlfn.XLOOKUP(B6,'ORÇAMENTO GERAL'!D:D,'ORÇAMENTO GERAL'!V:V,0)</f>
        <v>#NAME?</v>
      </c>
      <c r="G6" s="383" t="e">
        <f t="shared" ca="1" si="0"/>
        <v>#NAME?</v>
      </c>
    </row>
    <row r="7" spans="1:7" ht="13.5" thickBot="1" x14ac:dyDescent="0.25">
      <c r="A7" s="69" t="s">
        <v>207</v>
      </c>
      <c r="B7" s="70" t="s">
        <v>465</v>
      </c>
      <c r="C7" s="365"/>
      <c r="D7" s="365"/>
      <c r="E7" s="71"/>
      <c r="F7" s="501" t="e">
        <f ca="1">_xlfn.XLOOKUP(B7,'ORÇAMENTO GERAL'!D:D,'ORÇAMENTO GERAL'!V:V,0)</f>
        <v>#NAME?</v>
      </c>
      <c r="G7" s="383" t="e">
        <f t="shared" ca="1" si="0"/>
        <v>#NAME?</v>
      </c>
    </row>
    <row r="8" spans="1:7" ht="13.5" thickBot="1" x14ac:dyDescent="0.25">
      <c r="A8" s="69" t="s">
        <v>225</v>
      </c>
      <c r="B8" s="72" t="s">
        <v>460</v>
      </c>
      <c r="E8" s="71"/>
      <c r="F8" s="501" t="e">
        <f ca="1">_xlfn.XLOOKUP(B8,'ORÇAMENTO GERAL'!D:D,'ORÇAMENTO GERAL'!V:V,0)</f>
        <v>#NAME?</v>
      </c>
      <c r="G8" s="383" t="e">
        <f t="shared" ca="1" si="0"/>
        <v>#NAME?</v>
      </c>
    </row>
    <row r="9" spans="1:7" ht="13.5" thickBot="1" x14ac:dyDescent="0.25">
      <c r="A9" s="69" t="s">
        <v>188</v>
      </c>
      <c r="B9" s="70" t="s">
        <v>461</v>
      </c>
      <c r="C9" s="365"/>
      <c r="D9" s="365"/>
      <c r="E9" s="71"/>
      <c r="F9" s="501" t="e">
        <f ca="1">_xlfn.XLOOKUP(B9,'ORÇAMENTO GERAL'!D:D,'ORÇAMENTO GERAL'!V:V,0)</f>
        <v>#NAME?</v>
      </c>
      <c r="G9" s="383" t="e">
        <f t="shared" ca="1" si="0"/>
        <v>#NAME?</v>
      </c>
    </row>
    <row r="10" spans="1:7" ht="13.5" thickBot="1" x14ac:dyDescent="0.25">
      <c r="A10" s="69" t="s">
        <v>227</v>
      </c>
      <c r="B10" s="70" t="s">
        <v>668</v>
      </c>
      <c r="C10" s="365"/>
      <c r="D10" s="365"/>
      <c r="E10" s="71"/>
      <c r="F10" s="501" t="e">
        <f ca="1">_xlfn.XLOOKUP(B10,'ORÇAMENTO GERAL'!D:D,'ORÇAMENTO GERAL'!V:V,0)</f>
        <v>#NAME?</v>
      </c>
      <c r="G10" s="383" t="e">
        <f t="shared" ca="1" si="0"/>
        <v>#NAME?</v>
      </c>
    </row>
    <row r="11" spans="1:7" ht="13.5" thickBot="1" x14ac:dyDescent="0.25">
      <c r="A11" s="69" t="s">
        <v>452</v>
      </c>
      <c r="B11" s="73" t="s">
        <v>468</v>
      </c>
      <c r="C11" s="366"/>
      <c r="D11" s="366"/>
      <c r="E11" s="71"/>
      <c r="F11" s="501" t="e">
        <f ca="1">_xlfn.XLOOKUP(B11,'ORÇAMENTO GERAL'!D:D,'ORÇAMENTO GERAL'!V:V,0)</f>
        <v>#NAME?</v>
      </c>
      <c r="G11" s="383" t="e">
        <f t="shared" ca="1" si="0"/>
        <v>#NAME?</v>
      </c>
    </row>
    <row r="12" spans="1:7" ht="13.5" thickBot="1" x14ac:dyDescent="0.25">
      <c r="A12" s="69" t="s">
        <v>321</v>
      </c>
      <c r="B12" s="73" t="s">
        <v>470</v>
      </c>
      <c r="C12" s="366"/>
      <c r="D12" s="366"/>
      <c r="E12" s="71"/>
      <c r="F12" s="501" t="e">
        <f ca="1">_xlfn.XLOOKUP(B12,'ORÇAMENTO GERAL'!D:D,'ORÇAMENTO GERAL'!V:V,0)</f>
        <v>#NAME?</v>
      </c>
      <c r="G12" s="383" t="e">
        <f t="shared" ca="1" si="0"/>
        <v>#NAME?</v>
      </c>
    </row>
    <row r="13" spans="1:7" ht="13.5" thickBot="1" x14ac:dyDescent="0.25">
      <c r="A13" s="69" t="s">
        <v>471</v>
      </c>
      <c r="B13" s="73" t="s">
        <v>472</v>
      </c>
      <c r="C13" s="366"/>
      <c r="D13" s="366"/>
      <c r="E13" s="71"/>
      <c r="F13" s="501" t="e">
        <f ca="1">_xlfn.XLOOKUP(B13,'ORÇAMENTO GERAL'!D:D,'ORÇAMENTO GERAL'!V:V,0)</f>
        <v>#NAME?</v>
      </c>
      <c r="G13" s="383" t="e">
        <f t="shared" ca="1" si="0"/>
        <v>#NAME?</v>
      </c>
    </row>
    <row r="14" spans="1:7" ht="13.5" thickBot="1" x14ac:dyDescent="0.25">
      <c r="A14" s="69" t="s">
        <v>473</v>
      </c>
      <c r="B14" s="73" t="s">
        <v>462</v>
      </c>
      <c r="C14" s="366"/>
      <c r="D14" s="366"/>
      <c r="E14" s="71"/>
      <c r="F14" s="501" t="e">
        <f ca="1">_xlfn.XLOOKUP(B14,'ORÇAMENTO GERAL'!D:D,'ORÇAMENTO GERAL'!V:V,0)</f>
        <v>#NAME?</v>
      </c>
      <c r="G14" s="383" t="e">
        <f t="shared" ca="1" si="0"/>
        <v>#NAME?</v>
      </c>
    </row>
    <row r="15" spans="1:7" ht="15" customHeight="1" thickBot="1" x14ac:dyDescent="0.25">
      <c r="A15" s="69" t="s">
        <v>595</v>
      </c>
      <c r="B15" s="125" t="s">
        <v>1898</v>
      </c>
      <c r="C15" s="366"/>
      <c r="D15" s="366"/>
      <c r="E15" s="71"/>
      <c r="F15" s="501" t="e">
        <f ca="1">_xlfn.XLOOKUP(B15,'ORÇAMENTO GERAL'!D:D,'ORÇAMENTO GERAL'!V:V,0)</f>
        <v>#NAME?</v>
      </c>
      <c r="G15" s="383" t="e">
        <f t="shared" ca="1" si="0"/>
        <v>#NAME?</v>
      </c>
    </row>
    <row r="16" spans="1:7" ht="7.15" customHeight="1" thickBot="1" x14ac:dyDescent="0.25">
      <c r="A16" s="367"/>
      <c r="B16" s="351"/>
      <c r="F16" s="368"/>
    </row>
    <row r="17" spans="1:8" ht="14.45" customHeight="1" thickBot="1" x14ac:dyDescent="0.25">
      <c r="A17" s="369" t="s">
        <v>174</v>
      </c>
      <c r="B17" s="370"/>
      <c r="C17" s="371" t="s">
        <v>22</v>
      </c>
      <c r="D17" s="371"/>
      <c r="E17" s="71">
        <v>0</v>
      </c>
      <c r="F17" s="68" t="e">
        <f ca="1">SUM(F5:F15)</f>
        <v>#NAME?</v>
      </c>
      <c r="G17" s="372" t="e">
        <f ca="1">SUM(G5:G16)</f>
        <v>#NAME?</v>
      </c>
      <c r="H17" s="386" t="e">
        <f ca="1">IF(G17=1,"OK","ATENÇÃO!! O VALOR DEVE SER 100,00%")</f>
        <v>#NAME?</v>
      </c>
    </row>
    <row r="18" spans="1:8" ht="31.9" customHeight="1" x14ac:dyDescent="0.2">
      <c r="A18" s="373" t="s">
        <v>680</v>
      </c>
      <c r="B18" s="374"/>
      <c r="C18" s="375"/>
      <c r="D18" s="376" t="s">
        <v>456</v>
      </c>
      <c r="E18" s="376" t="s">
        <v>457</v>
      </c>
      <c r="F18" s="377" t="s">
        <v>804</v>
      </c>
    </row>
    <row r="19" spans="1:8" x14ac:dyDescent="0.2">
      <c r="A19" s="834" t="s">
        <v>2118</v>
      </c>
      <c r="B19" s="835"/>
      <c r="C19" s="836"/>
      <c r="D19" s="384">
        <f>'ORÇAMENTO GERAL'!M389+'ORÇAMENTO GERAL'!M395</f>
        <v>1561.3999999999999</v>
      </c>
      <c r="E19" s="385" t="s">
        <v>2119</v>
      </c>
      <c r="F19" s="378">
        <f>ROUND(D19*0.5,-1)</f>
        <v>780</v>
      </c>
    </row>
    <row r="20" spans="1:8" ht="13.5" thickBot="1" x14ac:dyDescent="0.25">
      <c r="A20" s="379"/>
      <c r="B20" s="380"/>
      <c r="C20" s="366"/>
      <c r="D20" s="366"/>
      <c r="E20" s="366"/>
      <c r="F20" s="381"/>
    </row>
  </sheetData>
  <sheetProtection algorithmName="SHA-512" hashValue="al7tPAaGqfFN76wF+vWfKv3S3yK1K5PzFoZXjfPfUEqkRa0kdAFj1W/A/TcoOTGnKDr9jn5p20AlxeGrANkKRA==" saltValue="oOX2he+jHuzNll/rJA00jA==" spinCount="100000" sheet="1" objects="1" scenarios="1"/>
  <autoFilter ref="A4:F20"/>
  <mergeCells count="1">
    <mergeCell ref="A19:C19"/>
  </mergeCells>
  <pageMargins left="1.1811023622047245" right="0.78740157480314965" top="1.1811023622047245" bottom="1.1811023622047245" header="0.31496062992125984" footer="0.51181102362204722"/>
  <pageSetup paperSize="9" scale="58" fitToHeight="0" orientation="portrait" r:id="rId1"/>
  <headerFooter alignWithMargins="0">
    <oddHeader>&amp;C&amp;"Arial,Negrito"&amp;12&amp;F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5"/>
  <sheetViews>
    <sheetView showGridLines="0" showZeros="0" topLeftCell="D1" zoomScaleNormal="100" workbookViewId="0">
      <selection activeCell="V49" sqref="V49"/>
    </sheetView>
  </sheetViews>
  <sheetFormatPr defaultColWidth="10.6640625" defaultRowHeight="12.75" x14ac:dyDescent="0.2"/>
  <cols>
    <col min="1" max="1" width="18.1640625" style="138" customWidth="1"/>
    <col min="2" max="2" width="26.1640625" style="138" customWidth="1"/>
    <col min="3" max="3" width="17.6640625" style="138" customWidth="1"/>
    <col min="4" max="4" width="3.83203125" style="138" customWidth="1"/>
    <col min="5" max="7" width="12.5" style="138" customWidth="1"/>
    <col min="8" max="8" width="13" style="138" customWidth="1"/>
    <col min="9" max="11" width="12.5" style="138" customWidth="1"/>
    <col min="12" max="12" width="13.6640625" style="138" customWidth="1"/>
    <col min="13" max="14" width="12.5" style="138" customWidth="1"/>
    <col min="15" max="16" width="13.83203125" style="138" customWidth="1"/>
    <col min="17" max="17" width="8.33203125" style="138" bestFit="1" customWidth="1"/>
    <col min="18" max="18" width="14.83203125" style="138" bestFit="1" customWidth="1"/>
    <col min="19" max="19" width="10.33203125" style="138" bestFit="1" customWidth="1"/>
    <col min="20" max="20" width="10.6640625" style="138" customWidth="1"/>
    <col min="21" max="258" width="10.6640625" style="138"/>
    <col min="259" max="259" width="13.1640625" style="138" customWidth="1"/>
    <col min="260" max="260" width="79" style="138" customWidth="1"/>
    <col min="261" max="261" width="3.83203125" style="138" customWidth="1"/>
    <col min="262" max="274" width="12.5" style="138" customWidth="1"/>
    <col min="275" max="275" width="8.5" style="138" customWidth="1"/>
    <col min="276" max="514" width="10.6640625" style="138"/>
    <col min="515" max="515" width="13.1640625" style="138" customWidth="1"/>
    <col min="516" max="516" width="79" style="138" customWidth="1"/>
    <col min="517" max="517" width="3.83203125" style="138" customWidth="1"/>
    <col min="518" max="530" width="12.5" style="138" customWidth="1"/>
    <col min="531" max="531" width="8.5" style="138" customWidth="1"/>
    <col min="532" max="770" width="10.6640625" style="138"/>
    <col min="771" max="771" width="13.1640625" style="138" customWidth="1"/>
    <col min="772" max="772" width="79" style="138" customWidth="1"/>
    <col min="773" max="773" width="3.83203125" style="138" customWidth="1"/>
    <col min="774" max="786" width="12.5" style="138" customWidth="1"/>
    <col min="787" max="787" width="8.5" style="138" customWidth="1"/>
    <col min="788" max="1026" width="10.6640625" style="138"/>
    <col min="1027" max="1027" width="13.1640625" style="138" customWidth="1"/>
    <col min="1028" max="1028" width="79" style="138" customWidth="1"/>
    <col min="1029" max="1029" width="3.83203125" style="138" customWidth="1"/>
    <col min="1030" max="1042" width="12.5" style="138" customWidth="1"/>
    <col min="1043" max="1043" width="8.5" style="138" customWidth="1"/>
    <col min="1044" max="1282" width="10.6640625" style="138"/>
    <col min="1283" max="1283" width="13.1640625" style="138" customWidth="1"/>
    <col min="1284" max="1284" width="79" style="138" customWidth="1"/>
    <col min="1285" max="1285" width="3.83203125" style="138" customWidth="1"/>
    <col min="1286" max="1298" width="12.5" style="138" customWidth="1"/>
    <col min="1299" max="1299" width="8.5" style="138" customWidth="1"/>
    <col min="1300" max="1538" width="10.6640625" style="138"/>
    <col min="1539" max="1539" width="13.1640625" style="138" customWidth="1"/>
    <col min="1540" max="1540" width="79" style="138" customWidth="1"/>
    <col min="1541" max="1541" width="3.83203125" style="138" customWidth="1"/>
    <col min="1542" max="1554" width="12.5" style="138" customWidth="1"/>
    <col min="1555" max="1555" width="8.5" style="138" customWidth="1"/>
    <col min="1556" max="1794" width="10.6640625" style="138"/>
    <col min="1795" max="1795" width="13.1640625" style="138" customWidth="1"/>
    <col min="1796" max="1796" width="79" style="138" customWidth="1"/>
    <col min="1797" max="1797" width="3.83203125" style="138" customWidth="1"/>
    <col min="1798" max="1810" width="12.5" style="138" customWidth="1"/>
    <col min="1811" max="1811" width="8.5" style="138" customWidth="1"/>
    <col min="1812" max="2050" width="10.6640625" style="138"/>
    <col min="2051" max="2051" width="13.1640625" style="138" customWidth="1"/>
    <col min="2052" max="2052" width="79" style="138" customWidth="1"/>
    <col min="2053" max="2053" width="3.83203125" style="138" customWidth="1"/>
    <col min="2054" max="2066" width="12.5" style="138" customWidth="1"/>
    <col min="2067" max="2067" width="8.5" style="138" customWidth="1"/>
    <col min="2068" max="2306" width="10.6640625" style="138"/>
    <col min="2307" max="2307" width="13.1640625" style="138" customWidth="1"/>
    <col min="2308" max="2308" width="79" style="138" customWidth="1"/>
    <col min="2309" max="2309" width="3.83203125" style="138" customWidth="1"/>
    <col min="2310" max="2322" width="12.5" style="138" customWidth="1"/>
    <col min="2323" max="2323" width="8.5" style="138" customWidth="1"/>
    <col min="2324" max="2562" width="10.6640625" style="138"/>
    <col min="2563" max="2563" width="13.1640625" style="138" customWidth="1"/>
    <col min="2564" max="2564" width="79" style="138" customWidth="1"/>
    <col min="2565" max="2565" width="3.83203125" style="138" customWidth="1"/>
    <col min="2566" max="2578" width="12.5" style="138" customWidth="1"/>
    <col min="2579" max="2579" width="8.5" style="138" customWidth="1"/>
    <col min="2580" max="2818" width="10.6640625" style="138"/>
    <col min="2819" max="2819" width="13.1640625" style="138" customWidth="1"/>
    <col min="2820" max="2820" width="79" style="138" customWidth="1"/>
    <col min="2821" max="2821" width="3.83203125" style="138" customWidth="1"/>
    <col min="2822" max="2834" width="12.5" style="138" customWidth="1"/>
    <col min="2835" max="2835" width="8.5" style="138" customWidth="1"/>
    <col min="2836" max="3074" width="10.6640625" style="138"/>
    <col min="3075" max="3075" width="13.1640625" style="138" customWidth="1"/>
    <col min="3076" max="3076" width="79" style="138" customWidth="1"/>
    <col min="3077" max="3077" width="3.83203125" style="138" customWidth="1"/>
    <col min="3078" max="3090" width="12.5" style="138" customWidth="1"/>
    <col min="3091" max="3091" width="8.5" style="138" customWidth="1"/>
    <col min="3092" max="3330" width="10.6640625" style="138"/>
    <col min="3331" max="3331" width="13.1640625" style="138" customWidth="1"/>
    <col min="3332" max="3332" width="79" style="138" customWidth="1"/>
    <col min="3333" max="3333" width="3.83203125" style="138" customWidth="1"/>
    <col min="3334" max="3346" width="12.5" style="138" customWidth="1"/>
    <col min="3347" max="3347" width="8.5" style="138" customWidth="1"/>
    <col min="3348" max="3586" width="10.6640625" style="138"/>
    <col min="3587" max="3587" width="13.1640625" style="138" customWidth="1"/>
    <col min="3588" max="3588" width="79" style="138" customWidth="1"/>
    <col min="3589" max="3589" width="3.83203125" style="138" customWidth="1"/>
    <col min="3590" max="3602" width="12.5" style="138" customWidth="1"/>
    <col min="3603" max="3603" width="8.5" style="138" customWidth="1"/>
    <col min="3604" max="3842" width="10.6640625" style="138"/>
    <col min="3843" max="3843" width="13.1640625" style="138" customWidth="1"/>
    <col min="3844" max="3844" width="79" style="138" customWidth="1"/>
    <col min="3845" max="3845" width="3.83203125" style="138" customWidth="1"/>
    <col min="3846" max="3858" width="12.5" style="138" customWidth="1"/>
    <col min="3859" max="3859" width="8.5" style="138" customWidth="1"/>
    <col min="3860" max="4098" width="10.6640625" style="138"/>
    <col min="4099" max="4099" width="13.1640625" style="138" customWidth="1"/>
    <col min="4100" max="4100" width="79" style="138" customWidth="1"/>
    <col min="4101" max="4101" width="3.83203125" style="138" customWidth="1"/>
    <col min="4102" max="4114" width="12.5" style="138" customWidth="1"/>
    <col min="4115" max="4115" width="8.5" style="138" customWidth="1"/>
    <col min="4116" max="4354" width="10.6640625" style="138"/>
    <col min="4355" max="4355" width="13.1640625" style="138" customWidth="1"/>
    <col min="4356" max="4356" width="79" style="138" customWidth="1"/>
    <col min="4357" max="4357" width="3.83203125" style="138" customWidth="1"/>
    <col min="4358" max="4370" width="12.5" style="138" customWidth="1"/>
    <col min="4371" max="4371" width="8.5" style="138" customWidth="1"/>
    <col min="4372" max="4610" width="10.6640625" style="138"/>
    <col min="4611" max="4611" width="13.1640625" style="138" customWidth="1"/>
    <col min="4612" max="4612" width="79" style="138" customWidth="1"/>
    <col min="4613" max="4613" width="3.83203125" style="138" customWidth="1"/>
    <col min="4614" max="4626" width="12.5" style="138" customWidth="1"/>
    <col min="4627" max="4627" width="8.5" style="138" customWidth="1"/>
    <col min="4628" max="4866" width="10.6640625" style="138"/>
    <col min="4867" max="4867" width="13.1640625" style="138" customWidth="1"/>
    <col min="4868" max="4868" width="79" style="138" customWidth="1"/>
    <col min="4869" max="4869" width="3.83203125" style="138" customWidth="1"/>
    <col min="4870" max="4882" width="12.5" style="138" customWidth="1"/>
    <col min="4883" max="4883" width="8.5" style="138" customWidth="1"/>
    <col min="4884" max="5122" width="10.6640625" style="138"/>
    <col min="5123" max="5123" width="13.1640625" style="138" customWidth="1"/>
    <col min="5124" max="5124" width="79" style="138" customWidth="1"/>
    <col min="5125" max="5125" width="3.83203125" style="138" customWidth="1"/>
    <col min="5126" max="5138" width="12.5" style="138" customWidth="1"/>
    <col min="5139" max="5139" width="8.5" style="138" customWidth="1"/>
    <col min="5140" max="5378" width="10.6640625" style="138"/>
    <col min="5379" max="5379" width="13.1640625" style="138" customWidth="1"/>
    <col min="5380" max="5380" width="79" style="138" customWidth="1"/>
    <col min="5381" max="5381" width="3.83203125" style="138" customWidth="1"/>
    <col min="5382" max="5394" width="12.5" style="138" customWidth="1"/>
    <col min="5395" max="5395" width="8.5" style="138" customWidth="1"/>
    <col min="5396" max="5634" width="10.6640625" style="138"/>
    <col min="5635" max="5635" width="13.1640625" style="138" customWidth="1"/>
    <col min="5636" max="5636" width="79" style="138" customWidth="1"/>
    <col min="5637" max="5637" width="3.83203125" style="138" customWidth="1"/>
    <col min="5638" max="5650" width="12.5" style="138" customWidth="1"/>
    <col min="5651" max="5651" width="8.5" style="138" customWidth="1"/>
    <col min="5652" max="5890" width="10.6640625" style="138"/>
    <col min="5891" max="5891" width="13.1640625" style="138" customWidth="1"/>
    <col min="5892" max="5892" width="79" style="138" customWidth="1"/>
    <col min="5893" max="5893" width="3.83203125" style="138" customWidth="1"/>
    <col min="5894" max="5906" width="12.5" style="138" customWidth="1"/>
    <col min="5907" max="5907" width="8.5" style="138" customWidth="1"/>
    <col min="5908" max="6146" width="10.6640625" style="138"/>
    <col min="6147" max="6147" width="13.1640625" style="138" customWidth="1"/>
    <col min="6148" max="6148" width="79" style="138" customWidth="1"/>
    <col min="6149" max="6149" width="3.83203125" style="138" customWidth="1"/>
    <col min="6150" max="6162" width="12.5" style="138" customWidth="1"/>
    <col min="6163" max="6163" width="8.5" style="138" customWidth="1"/>
    <col min="6164" max="6402" width="10.6640625" style="138"/>
    <col min="6403" max="6403" width="13.1640625" style="138" customWidth="1"/>
    <col min="6404" max="6404" width="79" style="138" customWidth="1"/>
    <col min="6405" max="6405" width="3.83203125" style="138" customWidth="1"/>
    <col min="6406" max="6418" width="12.5" style="138" customWidth="1"/>
    <col min="6419" max="6419" width="8.5" style="138" customWidth="1"/>
    <col min="6420" max="6658" width="10.6640625" style="138"/>
    <col min="6659" max="6659" width="13.1640625" style="138" customWidth="1"/>
    <col min="6660" max="6660" width="79" style="138" customWidth="1"/>
    <col min="6661" max="6661" width="3.83203125" style="138" customWidth="1"/>
    <col min="6662" max="6674" width="12.5" style="138" customWidth="1"/>
    <col min="6675" max="6675" width="8.5" style="138" customWidth="1"/>
    <col min="6676" max="6914" width="10.6640625" style="138"/>
    <col min="6915" max="6915" width="13.1640625" style="138" customWidth="1"/>
    <col min="6916" max="6916" width="79" style="138" customWidth="1"/>
    <col min="6917" max="6917" width="3.83203125" style="138" customWidth="1"/>
    <col min="6918" max="6930" width="12.5" style="138" customWidth="1"/>
    <col min="6931" max="6931" width="8.5" style="138" customWidth="1"/>
    <col min="6932" max="7170" width="10.6640625" style="138"/>
    <col min="7171" max="7171" width="13.1640625" style="138" customWidth="1"/>
    <col min="7172" max="7172" width="79" style="138" customWidth="1"/>
    <col min="7173" max="7173" width="3.83203125" style="138" customWidth="1"/>
    <col min="7174" max="7186" width="12.5" style="138" customWidth="1"/>
    <col min="7187" max="7187" width="8.5" style="138" customWidth="1"/>
    <col min="7188" max="7426" width="10.6640625" style="138"/>
    <col min="7427" max="7427" width="13.1640625" style="138" customWidth="1"/>
    <col min="7428" max="7428" width="79" style="138" customWidth="1"/>
    <col min="7429" max="7429" width="3.83203125" style="138" customWidth="1"/>
    <col min="7430" max="7442" width="12.5" style="138" customWidth="1"/>
    <col min="7443" max="7443" width="8.5" style="138" customWidth="1"/>
    <col min="7444" max="7682" width="10.6640625" style="138"/>
    <col min="7683" max="7683" width="13.1640625" style="138" customWidth="1"/>
    <col min="7684" max="7684" width="79" style="138" customWidth="1"/>
    <col min="7685" max="7685" width="3.83203125" style="138" customWidth="1"/>
    <col min="7686" max="7698" width="12.5" style="138" customWidth="1"/>
    <col min="7699" max="7699" width="8.5" style="138" customWidth="1"/>
    <col min="7700" max="7938" width="10.6640625" style="138"/>
    <col min="7939" max="7939" width="13.1640625" style="138" customWidth="1"/>
    <col min="7940" max="7940" width="79" style="138" customWidth="1"/>
    <col min="7941" max="7941" width="3.83203125" style="138" customWidth="1"/>
    <col min="7942" max="7954" width="12.5" style="138" customWidth="1"/>
    <col min="7955" max="7955" width="8.5" style="138" customWidth="1"/>
    <col min="7956" max="8194" width="10.6640625" style="138"/>
    <col min="8195" max="8195" width="13.1640625" style="138" customWidth="1"/>
    <col min="8196" max="8196" width="79" style="138" customWidth="1"/>
    <col min="8197" max="8197" width="3.83203125" style="138" customWidth="1"/>
    <col min="8198" max="8210" width="12.5" style="138" customWidth="1"/>
    <col min="8211" max="8211" width="8.5" style="138" customWidth="1"/>
    <col min="8212" max="8450" width="10.6640625" style="138"/>
    <col min="8451" max="8451" width="13.1640625" style="138" customWidth="1"/>
    <col min="8452" max="8452" width="79" style="138" customWidth="1"/>
    <col min="8453" max="8453" width="3.83203125" style="138" customWidth="1"/>
    <col min="8454" max="8466" width="12.5" style="138" customWidth="1"/>
    <col min="8467" max="8467" width="8.5" style="138" customWidth="1"/>
    <col min="8468" max="8706" width="10.6640625" style="138"/>
    <col min="8707" max="8707" width="13.1640625" style="138" customWidth="1"/>
    <col min="8708" max="8708" width="79" style="138" customWidth="1"/>
    <col min="8709" max="8709" width="3.83203125" style="138" customWidth="1"/>
    <col min="8710" max="8722" width="12.5" style="138" customWidth="1"/>
    <col min="8723" max="8723" width="8.5" style="138" customWidth="1"/>
    <col min="8724" max="8962" width="10.6640625" style="138"/>
    <col min="8963" max="8963" width="13.1640625" style="138" customWidth="1"/>
    <col min="8964" max="8964" width="79" style="138" customWidth="1"/>
    <col min="8965" max="8965" width="3.83203125" style="138" customWidth="1"/>
    <col min="8966" max="8978" width="12.5" style="138" customWidth="1"/>
    <col min="8979" max="8979" width="8.5" style="138" customWidth="1"/>
    <col min="8980" max="9218" width="10.6640625" style="138"/>
    <col min="9219" max="9219" width="13.1640625" style="138" customWidth="1"/>
    <col min="9220" max="9220" width="79" style="138" customWidth="1"/>
    <col min="9221" max="9221" width="3.83203125" style="138" customWidth="1"/>
    <col min="9222" max="9234" width="12.5" style="138" customWidth="1"/>
    <col min="9235" max="9235" width="8.5" style="138" customWidth="1"/>
    <col min="9236" max="9474" width="10.6640625" style="138"/>
    <col min="9475" max="9475" width="13.1640625" style="138" customWidth="1"/>
    <col min="9476" max="9476" width="79" style="138" customWidth="1"/>
    <col min="9477" max="9477" width="3.83203125" style="138" customWidth="1"/>
    <col min="9478" max="9490" width="12.5" style="138" customWidth="1"/>
    <col min="9491" max="9491" width="8.5" style="138" customWidth="1"/>
    <col min="9492" max="9730" width="10.6640625" style="138"/>
    <col min="9731" max="9731" width="13.1640625" style="138" customWidth="1"/>
    <col min="9732" max="9732" width="79" style="138" customWidth="1"/>
    <col min="9733" max="9733" width="3.83203125" style="138" customWidth="1"/>
    <col min="9734" max="9746" width="12.5" style="138" customWidth="1"/>
    <col min="9747" max="9747" width="8.5" style="138" customWidth="1"/>
    <col min="9748" max="9986" width="10.6640625" style="138"/>
    <col min="9987" max="9987" width="13.1640625" style="138" customWidth="1"/>
    <col min="9988" max="9988" width="79" style="138" customWidth="1"/>
    <col min="9989" max="9989" width="3.83203125" style="138" customWidth="1"/>
    <col min="9990" max="10002" width="12.5" style="138" customWidth="1"/>
    <col min="10003" max="10003" width="8.5" style="138" customWidth="1"/>
    <col min="10004" max="10242" width="10.6640625" style="138"/>
    <col min="10243" max="10243" width="13.1640625" style="138" customWidth="1"/>
    <col min="10244" max="10244" width="79" style="138" customWidth="1"/>
    <col min="10245" max="10245" width="3.83203125" style="138" customWidth="1"/>
    <col min="10246" max="10258" width="12.5" style="138" customWidth="1"/>
    <col min="10259" max="10259" width="8.5" style="138" customWidth="1"/>
    <col min="10260" max="10498" width="10.6640625" style="138"/>
    <col min="10499" max="10499" width="13.1640625" style="138" customWidth="1"/>
    <col min="10500" max="10500" width="79" style="138" customWidth="1"/>
    <col min="10501" max="10501" width="3.83203125" style="138" customWidth="1"/>
    <col min="10502" max="10514" width="12.5" style="138" customWidth="1"/>
    <col min="10515" max="10515" width="8.5" style="138" customWidth="1"/>
    <col min="10516" max="10754" width="10.6640625" style="138"/>
    <col min="10755" max="10755" width="13.1640625" style="138" customWidth="1"/>
    <col min="10756" max="10756" width="79" style="138" customWidth="1"/>
    <col min="10757" max="10757" width="3.83203125" style="138" customWidth="1"/>
    <col min="10758" max="10770" width="12.5" style="138" customWidth="1"/>
    <col min="10771" max="10771" width="8.5" style="138" customWidth="1"/>
    <col min="10772" max="11010" width="10.6640625" style="138"/>
    <col min="11011" max="11011" width="13.1640625" style="138" customWidth="1"/>
    <col min="11012" max="11012" width="79" style="138" customWidth="1"/>
    <col min="11013" max="11013" width="3.83203125" style="138" customWidth="1"/>
    <col min="11014" max="11026" width="12.5" style="138" customWidth="1"/>
    <col min="11027" max="11027" width="8.5" style="138" customWidth="1"/>
    <col min="11028" max="11266" width="10.6640625" style="138"/>
    <col min="11267" max="11267" width="13.1640625" style="138" customWidth="1"/>
    <col min="11268" max="11268" width="79" style="138" customWidth="1"/>
    <col min="11269" max="11269" width="3.83203125" style="138" customWidth="1"/>
    <col min="11270" max="11282" width="12.5" style="138" customWidth="1"/>
    <col min="11283" max="11283" width="8.5" style="138" customWidth="1"/>
    <col min="11284" max="11522" width="10.6640625" style="138"/>
    <col min="11523" max="11523" width="13.1640625" style="138" customWidth="1"/>
    <col min="11524" max="11524" width="79" style="138" customWidth="1"/>
    <col min="11525" max="11525" width="3.83203125" style="138" customWidth="1"/>
    <col min="11526" max="11538" width="12.5" style="138" customWidth="1"/>
    <col min="11539" max="11539" width="8.5" style="138" customWidth="1"/>
    <col min="11540" max="11778" width="10.6640625" style="138"/>
    <col min="11779" max="11779" width="13.1640625" style="138" customWidth="1"/>
    <col min="11780" max="11780" width="79" style="138" customWidth="1"/>
    <col min="11781" max="11781" width="3.83203125" style="138" customWidth="1"/>
    <col min="11782" max="11794" width="12.5" style="138" customWidth="1"/>
    <col min="11795" max="11795" width="8.5" style="138" customWidth="1"/>
    <col min="11796" max="12034" width="10.6640625" style="138"/>
    <col min="12035" max="12035" width="13.1640625" style="138" customWidth="1"/>
    <col min="12036" max="12036" width="79" style="138" customWidth="1"/>
    <col min="12037" max="12037" width="3.83203125" style="138" customWidth="1"/>
    <col min="12038" max="12050" width="12.5" style="138" customWidth="1"/>
    <col min="12051" max="12051" width="8.5" style="138" customWidth="1"/>
    <col min="12052" max="12290" width="10.6640625" style="138"/>
    <col min="12291" max="12291" width="13.1640625" style="138" customWidth="1"/>
    <col min="12292" max="12292" width="79" style="138" customWidth="1"/>
    <col min="12293" max="12293" width="3.83203125" style="138" customWidth="1"/>
    <col min="12294" max="12306" width="12.5" style="138" customWidth="1"/>
    <col min="12307" max="12307" width="8.5" style="138" customWidth="1"/>
    <col min="12308" max="12546" width="10.6640625" style="138"/>
    <col min="12547" max="12547" width="13.1640625" style="138" customWidth="1"/>
    <col min="12548" max="12548" width="79" style="138" customWidth="1"/>
    <col min="12549" max="12549" width="3.83203125" style="138" customWidth="1"/>
    <col min="12550" max="12562" width="12.5" style="138" customWidth="1"/>
    <col min="12563" max="12563" width="8.5" style="138" customWidth="1"/>
    <col min="12564" max="12802" width="10.6640625" style="138"/>
    <col min="12803" max="12803" width="13.1640625" style="138" customWidth="1"/>
    <col min="12804" max="12804" width="79" style="138" customWidth="1"/>
    <col min="12805" max="12805" width="3.83203125" style="138" customWidth="1"/>
    <col min="12806" max="12818" width="12.5" style="138" customWidth="1"/>
    <col min="12819" max="12819" width="8.5" style="138" customWidth="1"/>
    <col min="12820" max="13058" width="10.6640625" style="138"/>
    <col min="13059" max="13059" width="13.1640625" style="138" customWidth="1"/>
    <col min="13060" max="13060" width="79" style="138" customWidth="1"/>
    <col min="13061" max="13061" width="3.83203125" style="138" customWidth="1"/>
    <col min="13062" max="13074" width="12.5" style="138" customWidth="1"/>
    <col min="13075" max="13075" width="8.5" style="138" customWidth="1"/>
    <col min="13076" max="13314" width="10.6640625" style="138"/>
    <col min="13315" max="13315" width="13.1640625" style="138" customWidth="1"/>
    <col min="13316" max="13316" width="79" style="138" customWidth="1"/>
    <col min="13317" max="13317" width="3.83203125" style="138" customWidth="1"/>
    <col min="13318" max="13330" width="12.5" style="138" customWidth="1"/>
    <col min="13331" max="13331" width="8.5" style="138" customWidth="1"/>
    <col min="13332" max="13570" width="10.6640625" style="138"/>
    <col min="13571" max="13571" width="13.1640625" style="138" customWidth="1"/>
    <col min="13572" max="13572" width="79" style="138" customWidth="1"/>
    <col min="13573" max="13573" width="3.83203125" style="138" customWidth="1"/>
    <col min="13574" max="13586" width="12.5" style="138" customWidth="1"/>
    <col min="13587" max="13587" width="8.5" style="138" customWidth="1"/>
    <col min="13588" max="13826" width="10.6640625" style="138"/>
    <col min="13827" max="13827" width="13.1640625" style="138" customWidth="1"/>
    <col min="13828" max="13828" width="79" style="138" customWidth="1"/>
    <col min="13829" max="13829" width="3.83203125" style="138" customWidth="1"/>
    <col min="13830" max="13842" width="12.5" style="138" customWidth="1"/>
    <col min="13843" max="13843" width="8.5" style="138" customWidth="1"/>
    <col min="13844" max="14082" width="10.6640625" style="138"/>
    <col min="14083" max="14083" width="13.1640625" style="138" customWidth="1"/>
    <col min="14084" max="14084" width="79" style="138" customWidth="1"/>
    <col min="14085" max="14085" width="3.83203125" style="138" customWidth="1"/>
    <col min="14086" max="14098" width="12.5" style="138" customWidth="1"/>
    <col min="14099" max="14099" width="8.5" style="138" customWidth="1"/>
    <col min="14100" max="14338" width="10.6640625" style="138"/>
    <col min="14339" max="14339" width="13.1640625" style="138" customWidth="1"/>
    <col min="14340" max="14340" width="79" style="138" customWidth="1"/>
    <col min="14341" max="14341" width="3.83203125" style="138" customWidth="1"/>
    <col min="14342" max="14354" width="12.5" style="138" customWidth="1"/>
    <col min="14355" max="14355" width="8.5" style="138" customWidth="1"/>
    <col min="14356" max="14594" width="10.6640625" style="138"/>
    <col min="14595" max="14595" width="13.1640625" style="138" customWidth="1"/>
    <col min="14596" max="14596" width="79" style="138" customWidth="1"/>
    <col min="14597" max="14597" width="3.83203125" style="138" customWidth="1"/>
    <col min="14598" max="14610" width="12.5" style="138" customWidth="1"/>
    <col min="14611" max="14611" width="8.5" style="138" customWidth="1"/>
    <col min="14612" max="14850" width="10.6640625" style="138"/>
    <col min="14851" max="14851" width="13.1640625" style="138" customWidth="1"/>
    <col min="14852" max="14852" width="79" style="138" customWidth="1"/>
    <col min="14853" max="14853" width="3.83203125" style="138" customWidth="1"/>
    <col min="14854" max="14866" width="12.5" style="138" customWidth="1"/>
    <col min="14867" max="14867" width="8.5" style="138" customWidth="1"/>
    <col min="14868" max="15106" width="10.6640625" style="138"/>
    <col min="15107" max="15107" width="13.1640625" style="138" customWidth="1"/>
    <col min="15108" max="15108" width="79" style="138" customWidth="1"/>
    <col min="15109" max="15109" width="3.83203125" style="138" customWidth="1"/>
    <col min="15110" max="15122" width="12.5" style="138" customWidth="1"/>
    <col min="15123" max="15123" width="8.5" style="138" customWidth="1"/>
    <col min="15124" max="15362" width="10.6640625" style="138"/>
    <col min="15363" max="15363" width="13.1640625" style="138" customWidth="1"/>
    <col min="15364" max="15364" width="79" style="138" customWidth="1"/>
    <col min="15365" max="15365" width="3.83203125" style="138" customWidth="1"/>
    <col min="15366" max="15378" width="12.5" style="138" customWidth="1"/>
    <col min="15379" max="15379" width="8.5" style="138" customWidth="1"/>
    <col min="15380" max="15618" width="10.6640625" style="138"/>
    <col min="15619" max="15619" width="13.1640625" style="138" customWidth="1"/>
    <col min="15620" max="15620" width="79" style="138" customWidth="1"/>
    <col min="15621" max="15621" width="3.83203125" style="138" customWidth="1"/>
    <col min="15622" max="15634" width="12.5" style="138" customWidth="1"/>
    <col min="15635" max="15635" width="8.5" style="138" customWidth="1"/>
    <col min="15636" max="15874" width="10.6640625" style="138"/>
    <col min="15875" max="15875" width="13.1640625" style="138" customWidth="1"/>
    <col min="15876" max="15876" width="79" style="138" customWidth="1"/>
    <col min="15877" max="15877" width="3.83203125" style="138" customWidth="1"/>
    <col min="15878" max="15890" width="12.5" style="138" customWidth="1"/>
    <col min="15891" max="15891" width="8.5" style="138" customWidth="1"/>
    <col min="15892" max="16130" width="10.6640625" style="138"/>
    <col min="16131" max="16131" width="13.1640625" style="138" customWidth="1"/>
    <col min="16132" max="16132" width="79" style="138" customWidth="1"/>
    <col min="16133" max="16133" width="3.83203125" style="138" customWidth="1"/>
    <col min="16134" max="16146" width="12.5" style="138" customWidth="1"/>
    <col min="16147" max="16147" width="8.5" style="138" customWidth="1"/>
    <col min="16148" max="16384" width="10.6640625" style="138"/>
  </cols>
  <sheetData>
    <row r="1" spans="1:23" ht="26.25" x14ac:dyDescent="0.3">
      <c r="A1" s="130" t="s">
        <v>1703</v>
      </c>
      <c r="B1" s="131" t="s">
        <v>2108</v>
      </c>
      <c r="C1" s="131"/>
      <c r="D1" s="132"/>
      <c r="E1" s="133"/>
      <c r="F1" s="133"/>
      <c r="G1" s="134"/>
      <c r="H1" s="134"/>
      <c r="I1" s="134"/>
      <c r="J1" s="135" t="s">
        <v>669</v>
      </c>
      <c r="K1" s="134"/>
      <c r="L1" s="134"/>
      <c r="M1" s="136"/>
      <c r="N1" s="136"/>
      <c r="O1" s="134"/>
      <c r="P1" s="134"/>
      <c r="Q1" s="134"/>
      <c r="R1" s="134"/>
      <c r="S1" s="137"/>
    </row>
    <row r="2" spans="1:23" x14ac:dyDescent="0.2">
      <c r="A2" s="139" t="s">
        <v>182</v>
      </c>
      <c r="B2" s="140" t="s">
        <v>2109</v>
      </c>
      <c r="C2" s="141"/>
      <c r="D2" s="141"/>
      <c r="E2" s="142" t="s">
        <v>183</v>
      </c>
      <c r="F2" s="143">
        <v>38</v>
      </c>
      <c r="G2" s="144" t="s">
        <v>681</v>
      </c>
      <c r="H2" s="145"/>
      <c r="I2" s="144" t="s">
        <v>682</v>
      </c>
      <c r="J2" s="145"/>
      <c r="K2" s="144" t="s">
        <v>683</v>
      </c>
      <c r="L2" s="146"/>
      <c r="M2" s="144" t="s">
        <v>738</v>
      </c>
      <c r="N2" s="145"/>
      <c r="O2" s="147" t="s">
        <v>739</v>
      </c>
      <c r="P2" s="148"/>
      <c r="Q2" s="148"/>
      <c r="R2" s="38">
        <v>1200000</v>
      </c>
      <c r="S2" s="39" t="e">
        <f ca="1">IF(R4=0,0,R2/R4)</f>
        <v>#NAME?</v>
      </c>
      <c r="T2" s="497" t="s">
        <v>2053</v>
      </c>
    </row>
    <row r="3" spans="1:23" ht="15" customHeight="1" thickBot="1" x14ac:dyDescent="0.25">
      <c r="A3" s="149" t="s">
        <v>679</v>
      </c>
      <c r="B3" s="150" t="s">
        <v>2111</v>
      </c>
      <c r="C3" s="151"/>
      <c r="D3" s="152"/>
      <c r="E3" s="153" t="s">
        <v>184</v>
      </c>
      <c r="F3" s="154">
        <v>1</v>
      </c>
      <c r="G3" s="155" t="s">
        <v>684</v>
      </c>
      <c r="H3" s="40">
        <f ca="1">TODAY()</f>
        <v>44944</v>
      </c>
      <c r="I3" s="155" t="s">
        <v>685</v>
      </c>
      <c r="J3" s="41">
        <f>80-10</f>
        <v>70</v>
      </c>
      <c r="K3" s="155" t="s">
        <v>684</v>
      </c>
      <c r="L3" s="156">
        <f ca="1">H3+J3+10</f>
        <v>45024</v>
      </c>
      <c r="M3" s="155" t="s">
        <v>740</v>
      </c>
      <c r="N3" s="41"/>
      <c r="O3" s="157" t="s">
        <v>686</v>
      </c>
      <c r="P3" s="158"/>
      <c r="Q3" s="159"/>
      <c r="R3" s="42" t="e">
        <f ca="1">R21-R2</f>
        <v>#NAME?</v>
      </c>
      <c r="S3" s="43" t="e">
        <f ca="1">IF(R3=0,0,1-S2)</f>
        <v>#NAME?</v>
      </c>
      <c r="T3" s="497" t="s">
        <v>2054</v>
      </c>
    </row>
    <row r="4" spans="1:23" ht="18.75" thickBot="1" x14ac:dyDescent="0.3">
      <c r="A4" s="160" t="s">
        <v>687</v>
      </c>
      <c r="B4" s="270">
        <v>12493.62</v>
      </c>
      <c r="C4" s="161"/>
      <c r="D4" s="162" t="s">
        <v>688</v>
      </c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4" t="s">
        <v>689</v>
      </c>
      <c r="P4" s="165"/>
      <c r="Q4" s="165"/>
      <c r="R4" s="166" t="e">
        <f ca="1">SUM(R2:R3)</f>
        <v>#NAME?</v>
      </c>
      <c r="S4" s="44" t="e">
        <f ca="1">SUM(S2:S3)</f>
        <v>#NAME?</v>
      </c>
      <c r="T4" s="497" t="s">
        <v>2055</v>
      </c>
    </row>
    <row r="5" spans="1:23" ht="12.75" customHeight="1" thickBot="1" x14ac:dyDescent="0.25">
      <c r="A5" s="167" t="s">
        <v>690</v>
      </c>
      <c r="B5" s="168" t="s">
        <v>691</v>
      </c>
      <c r="C5" s="169"/>
      <c r="D5" s="254" t="s">
        <v>80</v>
      </c>
      <c r="E5" s="255" t="s">
        <v>692</v>
      </c>
      <c r="F5" s="256"/>
      <c r="G5" s="256"/>
      <c r="H5" s="256"/>
      <c r="I5" s="256"/>
      <c r="J5" s="256"/>
      <c r="K5" s="256"/>
      <c r="L5" s="257"/>
      <c r="M5" s="257"/>
      <c r="N5" s="257"/>
      <c r="O5" s="258"/>
      <c r="P5" s="259"/>
      <c r="Q5" s="260"/>
      <c r="R5" s="171" t="s">
        <v>503</v>
      </c>
      <c r="S5" s="172" t="s">
        <v>693</v>
      </c>
      <c r="V5" s="138" t="s">
        <v>694</v>
      </c>
      <c r="W5" s="173" t="e">
        <f ca="1">IF(R4=R51,"OK","erro")</f>
        <v>#NAME?</v>
      </c>
    </row>
    <row r="6" spans="1:23" ht="13.5" thickBot="1" x14ac:dyDescent="0.25">
      <c r="A6" s="174" t="s">
        <v>695</v>
      </c>
      <c r="B6" s="175"/>
      <c r="C6" s="176"/>
      <c r="D6" s="500">
        <v>4</v>
      </c>
      <c r="E6" s="261">
        <f>IF(D6=0,0,1)</f>
        <v>1</v>
      </c>
      <c r="F6" s="261">
        <f>IF($D$6&lt;2,0,2)</f>
        <v>2</v>
      </c>
      <c r="G6" s="261">
        <f>IF($D$6&lt;3,0,3)</f>
        <v>3</v>
      </c>
      <c r="H6" s="261">
        <f>IF($D$6&lt;4,0,4)</f>
        <v>4</v>
      </c>
      <c r="I6" s="261">
        <f>IF($D$6&lt;5,0,5)</f>
        <v>0</v>
      </c>
      <c r="J6" s="261">
        <f>IF($D$6&lt;6,0,6)</f>
        <v>0</v>
      </c>
      <c r="K6" s="261">
        <f>IF($D$6&lt;7,0,7)</f>
        <v>0</v>
      </c>
      <c r="L6" s="261">
        <f>IF($D$6&lt;8,0,8)</f>
        <v>0</v>
      </c>
      <c r="M6" s="261">
        <f>IF($D$6&lt;9,0,9)</f>
        <v>0</v>
      </c>
      <c r="N6" s="261">
        <f>IF($D$6&lt;10,0,10)</f>
        <v>0</v>
      </c>
      <c r="O6" s="261">
        <f>IF($D$6&lt;11,0,11)</f>
        <v>0</v>
      </c>
      <c r="P6" s="262">
        <f>IF($D$6&lt;12,0,12)</f>
        <v>0</v>
      </c>
      <c r="Q6" s="263"/>
      <c r="R6" s="178" t="s">
        <v>696</v>
      </c>
      <c r="S6" s="179" t="s">
        <v>503</v>
      </c>
    </row>
    <row r="7" spans="1:23" ht="14.25" thickTop="1" thickBot="1" x14ac:dyDescent="0.25">
      <c r="A7" s="174"/>
      <c r="B7" s="175" t="s">
        <v>697</v>
      </c>
      <c r="C7" s="176"/>
      <c r="D7" s="264"/>
      <c r="E7" s="265">
        <f ca="1">IF(D6=0,0,L3)</f>
        <v>45024</v>
      </c>
      <c r="F7" s="265">
        <f ca="1">IF(F6=0,0,E8+1)</f>
        <v>45055</v>
      </c>
      <c r="G7" s="265">
        <f ca="1">IF(G6=0,0,F8+1)</f>
        <v>45086</v>
      </c>
      <c r="H7" s="265">
        <f ca="1">IF(H6=0,0,G8+1)</f>
        <v>45117</v>
      </c>
      <c r="I7" s="265">
        <f>IF(I6=0,0,H8+1)</f>
        <v>0</v>
      </c>
      <c r="J7" s="265">
        <f t="shared" ref="J7:P7" si="0">IF(J6=0,0,I8+1)</f>
        <v>0</v>
      </c>
      <c r="K7" s="265">
        <f t="shared" si="0"/>
        <v>0</v>
      </c>
      <c r="L7" s="265">
        <f t="shared" si="0"/>
        <v>0</v>
      </c>
      <c r="M7" s="265">
        <f t="shared" si="0"/>
        <v>0</v>
      </c>
      <c r="N7" s="265">
        <f t="shared" si="0"/>
        <v>0</v>
      </c>
      <c r="O7" s="265">
        <f t="shared" si="0"/>
        <v>0</v>
      </c>
      <c r="P7" s="266">
        <f t="shared" si="0"/>
        <v>0</v>
      </c>
      <c r="Q7" s="267"/>
      <c r="R7" s="178"/>
      <c r="S7" s="179"/>
    </row>
    <row r="8" spans="1:23" ht="14.25" thickTop="1" thickBot="1" x14ac:dyDescent="0.25">
      <c r="A8" s="174"/>
      <c r="B8" s="175" t="s">
        <v>698</v>
      </c>
      <c r="C8" s="176"/>
      <c r="D8" s="264"/>
      <c r="E8" s="265">
        <f ca="1">IF(D6=0,0,E7+30)</f>
        <v>45054</v>
      </c>
      <c r="F8" s="265">
        <f t="shared" ref="F8:H8" ca="1" si="1">IF(F6=0,0,F7+30)</f>
        <v>45085</v>
      </c>
      <c r="G8" s="265">
        <f t="shared" ca="1" si="1"/>
        <v>45116</v>
      </c>
      <c r="H8" s="265">
        <f t="shared" ca="1" si="1"/>
        <v>45147</v>
      </c>
      <c r="I8" s="265">
        <f>IF(I6=0,0,I7+30)</f>
        <v>0</v>
      </c>
      <c r="J8" s="265">
        <f t="shared" ref="J8:P8" si="2">IF(J6=0,0,J7+30)</f>
        <v>0</v>
      </c>
      <c r="K8" s="265">
        <f t="shared" si="2"/>
        <v>0</v>
      </c>
      <c r="L8" s="265">
        <f t="shared" si="2"/>
        <v>0</v>
      </c>
      <c r="M8" s="265">
        <f t="shared" si="2"/>
        <v>0</v>
      </c>
      <c r="N8" s="265">
        <f t="shared" si="2"/>
        <v>0</v>
      </c>
      <c r="O8" s="265">
        <f t="shared" si="2"/>
        <v>0</v>
      </c>
      <c r="P8" s="266">
        <f t="shared" si="2"/>
        <v>0</v>
      </c>
      <c r="Q8" s="267"/>
      <c r="R8" s="178"/>
      <c r="S8" s="179"/>
    </row>
    <row r="9" spans="1:23" ht="13.5" thickTop="1" x14ac:dyDescent="0.2">
      <c r="A9" s="180">
        <v>1</v>
      </c>
      <c r="B9" s="181" t="s">
        <v>463</v>
      </c>
      <c r="C9" s="182"/>
      <c r="D9" s="268">
        <v>1</v>
      </c>
      <c r="E9" s="498">
        <v>100</v>
      </c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9"/>
      <c r="Q9" s="269"/>
      <c r="R9" s="183" t="e">
        <f ca="1">'Grandes Itens'!F5</f>
        <v>#NAME?</v>
      </c>
      <c r="S9" s="184" t="e">
        <f t="shared" ref="S9:S19" ca="1" si="3">IF($R$21=0,0,(R9/$R$21)*100)</f>
        <v>#NAME?</v>
      </c>
      <c r="V9" s="138">
        <f t="shared" ref="V9:V19" si="4">SUM(E9:P9)</f>
        <v>100</v>
      </c>
    </row>
    <row r="10" spans="1:23" x14ac:dyDescent="0.2">
      <c r="A10" s="185" t="s">
        <v>189</v>
      </c>
      <c r="B10" s="181" t="s">
        <v>459</v>
      </c>
      <c r="C10" s="182"/>
      <c r="D10" s="268">
        <v>2</v>
      </c>
      <c r="E10" s="498"/>
      <c r="F10" s="498"/>
      <c r="G10" s="498"/>
      <c r="H10" s="498"/>
      <c r="I10" s="498"/>
      <c r="J10" s="498"/>
      <c r="K10" s="498"/>
      <c r="L10" s="498"/>
      <c r="M10" s="498"/>
      <c r="N10" s="498"/>
      <c r="O10" s="498"/>
      <c r="P10" s="499"/>
      <c r="Q10" s="269"/>
      <c r="R10" s="183" t="e">
        <f ca="1">'Grandes Itens'!F6</f>
        <v>#NAME?</v>
      </c>
      <c r="S10" s="184" t="e">
        <f t="shared" ca="1" si="3"/>
        <v>#NAME?</v>
      </c>
      <c r="V10" s="138">
        <f t="shared" si="4"/>
        <v>0</v>
      </c>
    </row>
    <row r="11" spans="1:23" x14ac:dyDescent="0.2">
      <c r="A11" s="185" t="s">
        <v>207</v>
      </c>
      <c r="B11" s="181" t="s">
        <v>465</v>
      </c>
      <c r="C11" s="182"/>
      <c r="D11" s="268">
        <v>3</v>
      </c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P11" s="499"/>
      <c r="Q11" s="269"/>
      <c r="R11" s="183" t="e">
        <f ca="1">'Grandes Itens'!F7</f>
        <v>#NAME?</v>
      </c>
      <c r="S11" s="184" t="e">
        <f t="shared" ca="1" si="3"/>
        <v>#NAME?</v>
      </c>
      <c r="V11" s="138">
        <f t="shared" si="4"/>
        <v>0</v>
      </c>
    </row>
    <row r="12" spans="1:23" x14ac:dyDescent="0.2">
      <c r="A12" s="185" t="s">
        <v>225</v>
      </c>
      <c r="B12" s="181" t="s">
        <v>460</v>
      </c>
      <c r="C12" s="182"/>
      <c r="D12" s="268">
        <v>4</v>
      </c>
      <c r="E12" s="498"/>
      <c r="F12" s="498">
        <v>15</v>
      </c>
      <c r="G12" s="498">
        <v>65</v>
      </c>
      <c r="H12" s="498">
        <v>20</v>
      </c>
      <c r="I12" s="498"/>
      <c r="J12" s="498"/>
      <c r="K12" s="498"/>
      <c r="L12" s="498"/>
      <c r="M12" s="498"/>
      <c r="N12" s="498"/>
      <c r="O12" s="498"/>
      <c r="P12" s="499"/>
      <c r="Q12" s="269"/>
      <c r="R12" s="183" t="e">
        <f ca="1">'Grandes Itens'!F8</f>
        <v>#NAME?</v>
      </c>
      <c r="S12" s="184" t="e">
        <f t="shared" ca="1" si="3"/>
        <v>#NAME?</v>
      </c>
      <c r="V12" s="138">
        <f t="shared" si="4"/>
        <v>100</v>
      </c>
    </row>
    <row r="13" spans="1:23" x14ac:dyDescent="0.2">
      <c r="A13" s="185" t="s">
        <v>188</v>
      </c>
      <c r="B13" s="181" t="s">
        <v>461</v>
      </c>
      <c r="C13" s="182"/>
      <c r="D13" s="268">
        <v>5</v>
      </c>
      <c r="E13" s="498"/>
      <c r="F13" s="498"/>
      <c r="G13" s="498"/>
      <c r="H13" s="498"/>
      <c r="I13" s="498"/>
      <c r="J13" s="498"/>
      <c r="K13" s="498"/>
      <c r="L13" s="498"/>
      <c r="M13" s="498"/>
      <c r="N13" s="498"/>
      <c r="O13" s="498"/>
      <c r="P13" s="499"/>
      <c r="Q13" s="269"/>
      <c r="R13" s="183" t="e">
        <f ca="1">'Grandes Itens'!F9</f>
        <v>#NAME?</v>
      </c>
      <c r="S13" s="184" t="e">
        <f t="shared" ca="1" si="3"/>
        <v>#NAME?</v>
      </c>
      <c r="V13" s="138">
        <f t="shared" si="4"/>
        <v>0</v>
      </c>
    </row>
    <row r="14" spans="1:23" x14ac:dyDescent="0.2">
      <c r="A14" s="185" t="s">
        <v>227</v>
      </c>
      <c r="B14" s="181" t="s">
        <v>668</v>
      </c>
      <c r="C14" s="182"/>
      <c r="D14" s="268">
        <v>3</v>
      </c>
      <c r="E14" s="498">
        <v>10</v>
      </c>
      <c r="F14" s="498">
        <v>30</v>
      </c>
      <c r="G14" s="498">
        <v>30</v>
      </c>
      <c r="H14" s="498">
        <v>30</v>
      </c>
      <c r="I14" s="498"/>
      <c r="J14" s="498"/>
      <c r="K14" s="498"/>
      <c r="L14" s="498"/>
      <c r="M14" s="498"/>
      <c r="N14" s="498"/>
      <c r="O14" s="498"/>
      <c r="P14" s="499"/>
      <c r="Q14" s="269"/>
      <c r="R14" s="183" t="e">
        <f ca="1">'Grandes Itens'!F10</f>
        <v>#NAME?</v>
      </c>
      <c r="S14" s="184" t="e">
        <f t="shared" ca="1" si="3"/>
        <v>#NAME?</v>
      </c>
      <c r="V14" s="138">
        <f t="shared" si="4"/>
        <v>100</v>
      </c>
    </row>
    <row r="15" spans="1:23" x14ac:dyDescent="0.2">
      <c r="A15" s="185" t="s">
        <v>452</v>
      </c>
      <c r="B15" s="181" t="s">
        <v>468</v>
      </c>
      <c r="C15" s="182"/>
      <c r="D15" s="268">
        <v>5</v>
      </c>
      <c r="E15" s="498"/>
      <c r="F15" s="498"/>
      <c r="G15" s="498">
        <v>20</v>
      </c>
      <c r="H15" s="498">
        <v>80</v>
      </c>
      <c r="I15" s="498"/>
      <c r="J15" s="498"/>
      <c r="K15" s="498"/>
      <c r="L15" s="498"/>
      <c r="M15" s="498"/>
      <c r="N15" s="498"/>
      <c r="O15" s="498"/>
      <c r="P15" s="499"/>
      <c r="Q15" s="269"/>
      <c r="R15" s="183" t="e">
        <f ca="1">'Grandes Itens'!F11</f>
        <v>#NAME?</v>
      </c>
      <c r="S15" s="184" t="e">
        <f t="shared" ca="1" si="3"/>
        <v>#NAME?</v>
      </c>
      <c r="V15" s="138">
        <f t="shared" si="4"/>
        <v>100</v>
      </c>
    </row>
    <row r="16" spans="1:23" x14ac:dyDescent="0.2">
      <c r="A16" s="185" t="s">
        <v>321</v>
      </c>
      <c r="B16" s="181" t="s">
        <v>470</v>
      </c>
      <c r="C16" s="182"/>
      <c r="D16" s="268">
        <v>6</v>
      </c>
      <c r="E16" s="498"/>
      <c r="F16" s="498"/>
      <c r="G16" s="498"/>
      <c r="H16" s="498"/>
      <c r="I16" s="498"/>
      <c r="J16" s="498"/>
      <c r="K16" s="498"/>
      <c r="L16" s="498"/>
      <c r="M16" s="498"/>
      <c r="N16" s="498"/>
      <c r="O16" s="498"/>
      <c r="P16" s="499"/>
      <c r="Q16" s="269"/>
      <c r="R16" s="183" t="e">
        <f ca="1">'Grandes Itens'!F12</f>
        <v>#NAME?</v>
      </c>
      <c r="S16" s="184" t="e">
        <f t="shared" ca="1" si="3"/>
        <v>#NAME?</v>
      </c>
      <c r="V16" s="138">
        <f t="shared" si="4"/>
        <v>0</v>
      </c>
    </row>
    <row r="17" spans="1:22" x14ac:dyDescent="0.2">
      <c r="A17" s="185" t="s">
        <v>471</v>
      </c>
      <c r="B17" s="181" t="s">
        <v>472</v>
      </c>
      <c r="C17" s="182"/>
      <c r="D17" s="268">
        <v>6</v>
      </c>
      <c r="E17" s="498"/>
      <c r="F17" s="498"/>
      <c r="G17" s="498"/>
      <c r="H17" s="498"/>
      <c r="I17" s="498"/>
      <c r="J17" s="498"/>
      <c r="K17" s="498"/>
      <c r="L17" s="498"/>
      <c r="M17" s="498"/>
      <c r="N17" s="498"/>
      <c r="O17" s="498"/>
      <c r="P17" s="499"/>
      <c r="Q17" s="269"/>
      <c r="R17" s="183" t="e">
        <f ca="1">'Grandes Itens'!F13</f>
        <v>#NAME?</v>
      </c>
      <c r="S17" s="184" t="e">
        <f t="shared" ca="1" si="3"/>
        <v>#NAME?</v>
      </c>
      <c r="V17" s="138">
        <f t="shared" si="4"/>
        <v>0</v>
      </c>
    </row>
    <row r="18" spans="1:22" x14ac:dyDescent="0.2">
      <c r="A18" s="185" t="s">
        <v>473</v>
      </c>
      <c r="B18" s="181" t="s">
        <v>462</v>
      </c>
      <c r="C18" s="182"/>
      <c r="D18" s="268"/>
      <c r="E18" s="498"/>
      <c r="F18" s="498"/>
      <c r="G18" s="498"/>
      <c r="H18" s="498"/>
      <c r="I18" s="498"/>
      <c r="J18" s="498"/>
      <c r="K18" s="498"/>
      <c r="L18" s="498"/>
      <c r="M18" s="498"/>
      <c r="N18" s="498"/>
      <c r="O18" s="498"/>
      <c r="P18" s="499"/>
      <c r="Q18" s="269"/>
      <c r="R18" s="183" t="e">
        <f ca="1">'Grandes Itens'!F14</f>
        <v>#NAME?</v>
      </c>
      <c r="S18" s="184" t="e">
        <f t="shared" ca="1" si="3"/>
        <v>#NAME?</v>
      </c>
      <c r="V18" s="138">
        <f t="shared" si="4"/>
        <v>0</v>
      </c>
    </row>
    <row r="19" spans="1:22" x14ac:dyDescent="0.2">
      <c r="A19" s="185" t="s">
        <v>595</v>
      </c>
      <c r="B19" s="181" t="s">
        <v>630</v>
      </c>
      <c r="C19" s="182"/>
      <c r="D19" s="268"/>
      <c r="E19" s="498"/>
      <c r="F19" s="498">
        <v>15</v>
      </c>
      <c r="G19" s="498">
        <v>65</v>
      </c>
      <c r="H19" s="498">
        <v>20</v>
      </c>
      <c r="I19" s="498"/>
      <c r="J19" s="498"/>
      <c r="K19" s="498"/>
      <c r="L19" s="498"/>
      <c r="M19" s="498"/>
      <c r="N19" s="498"/>
      <c r="O19" s="498"/>
      <c r="P19" s="499"/>
      <c r="Q19" s="269"/>
      <c r="R19" s="183" t="e">
        <f ca="1">'Grandes Itens'!F15</f>
        <v>#NAME?</v>
      </c>
      <c r="S19" s="184" t="e">
        <f t="shared" ca="1" si="3"/>
        <v>#NAME?</v>
      </c>
      <c r="V19" s="138">
        <f t="shared" si="4"/>
        <v>100</v>
      </c>
    </row>
    <row r="20" spans="1:22" ht="13.5" thickBot="1" x14ac:dyDescent="0.25">
      <c r="A20" s="186"/>
      <c r="B20" s="187"/>
      <c r="C20" s="187"/>
      <c r="D20" s="187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9"/>
      <c r="S20" s="190"/>
    </row>
    <row r="21" spans="1:22" ht="14.25" thickTop="1" thickBot="1" x14ac:dyDescent="0.25">
      <c r="A21" s="191"/>
      <c r="B21" s="192" t="s">
        <v>699</v>
      </c>
      <c r="C21" s="192" t="s">
        <v>699</v>
      </c>
      <c r="D21" s="193"/>
      <c r="E21" s="194"/>
      <c r="F21" s="194"/>
      <c r="G21" s="194"/>
      <c r="H21" s="194"/>
      <c r="I21" s="194"/>
      <c r="J21" s="194"/>
      <c r="K21" s="194"/>
      <c r="L21" s="194"/>
      <c r="M21" s="194"/>
      <c r="N21" s="194"/>
      <c r="O21" s="194"/>
      <c r="P21" s="194"/>
      <c r="Q21" s="194"/>
      <c r="R21" s="195" t="e">
        <f ca="1">SUM(R9:R20)</f>
        <v>#NAME?</v>
      </c>
      <c r="S21" s="196" t="e">
        <f ca="1">SUM(S9:S19)</f>
        <v>#NAME?</v>
      </c>
    </row>
    <row r="22" spans="1:22" ht="18.75" thickTop="1" x14ac:dyDescent="0.25">
      <c r="A22" s="197" t="s">
        <v>741</v>
      </c>
      <c r="B22" s="198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200"/>
    </row>
    <row r="23" spans="1:22" ht="13.5" thickBot="1" x14ac:dyDescent="0.25">
      <c r="A23" s="174" t="s">
        <v>695</v>
      </c>
      <c r="B23" s="177"/>
      <c r="C23" s="177"/>
      <c r="D23" s="177"/>
      <c r="E23" s="201" t="s">
        <v>700</v>
      </c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2"/>
      <c r="Q23" s="170" t="s">
        <v>701</v>
      </c>
      <c r="R23" s="203" t="s">
        <v>503</v>
      </c>
      <c r="S23" s="204" t="s">
        <v>693</v>
      </c>
    </row>
    <row r="24" spans="1:22" ht="13.5" thickTop="1" x14ac:dyDescent="0.2">
      <c r="A24" s="205"/>
      <c r="B24" s="206"/>
      <c r="C24" s="207"/>
      <c r="D24" s="207"/>
      <c r="E24" s="208">
        <f t="shared" ref="E24:P24" si="5">E6</f>
        <v>1</v>
      </c>
      <c r="F24" s="208">
        <f t="shared" si="5"/>
        <v>2</v>
      </c>
      <c r="G24" s="208">
        <f t="shared" si="5"/>
        <v>3</v>
      </c>
      <c r="H24" s="208">
        <f t="shared" si="5"/>
        <v>4</v>
      </c>
      <c r="I24" s="208">
        <f t="shared" si="5"/>
        <v>0</v>
      </c>
      <c r="J24" s="208">
        <f t="shared" si="5"/>
        <v>0</v>
      </c>
      <c r="K24" s="208">
        <f t="shared" si="5"/>
        <v>0</v>
      </c>
      <c r="L24" s="208">
        <f t="shared" si="5"/>
        <v>0</v>
      </c>
      <c r="M24" s="208">
        <f t="shared" si="5"/>
        <v>0</v>
      </c>
      <c r="N24" s="208">
        <f t="shared" si="5"/>
        <v>0</v>
      </c>
      <c r="O24" s="208">
        <f t="shared" si="5"/>
        <v>0</v>
      </c>
      <c r="P24" s="209">
        <f t="shared" si="5"/>
        <v>0</v>
      </c>
      <c r="Q24" s="210" t="s">
        <v>702</v>
      </c>
      <c r="R24" s="211" t="s">
        <v>695</v>
      </c>
      <c r="S24" s="212" t="s">
        <v>695</v>
      </c>
    </row>
    <row r="25" spans="1:22" x14ac:dyDescent="0.2">
      <c r="A25" s="213" t="s">
        <v>703</v>
      </c>
      <c r="B25" s="214" t="s">
        <v>463</v>
      </c>
      <c r="C25" s="215" t="s">
        <v>742</v>
      </c>
      <c r="D25" s="216" t="s">
        <v>704</v>
      </c>
      <c r="E25" s="217" t="e">
        <f t="shared" ref="E25:P25" ca="1" si="6">((E9/100)*$R$9)*$S$2</f>
        <v>#NAME?</v>
      </c>
      <c r="F25" s="217" t="e">
        <f t="shared" ca="1" si="6"/>
        <v>#NAME?</v>
      </c>
      <c r="G25" s="217" t="e">
        <f t="shared" ca="1" si="6"/>
        <v>#NAME?</v>
      </c>
      <c r="H25" s="217" t="e">
        <f t="shared" ca="1" si="6"/>
        <v>#NAME?</v>
      </c>
      <c r="I25" s="217" t="e">
        <f t="shared" ca="1" si="6"/>
        <v>#NAME?</v>
      </c>
      <c r="J25" s="217" t="e">
        <f t="shared" ca="1" si="6"/>
        <v>#NAME?</v>
      </c>
      <c r="K25" s="217" t="e">
        <f t="shared" ca="1" si="6"/>
        <v>#NAME?</v>
      </c>
      <c r="L25" s="217" t="e">
        <f t="shared" ca="1" si="6"/>
        <v>#NAME?</v>
      </c>
      <c r="M25" s="217" t="e">
        <f t="shared" ca="1" si="6"/>
        <v>#NAME?</v>
      </c>
      <c r="N25" s="217" t="e">
        <f t="shared" ca="1" si="6"/>
        <v>#NAME?</v>
      </c>
      <c r="O25" s="217" t="e">
        <f t="shared" ca="1" si="6"/>
        <v>#NAME?</v>
      </c>
      <c r="P25" s="218" t="e">
        <f t="shared" ca="1" si="6"/>
        <v>#NAME?</v>
      </c>
      <c r="Q25" s="219">
        <f ca="1">COUNTIF(E25:P25,"&gt;0")</f>
        <v>0</v>
      </c>
      <c r="R25" s="220" t="e">
        <f t="shared" ref="R25:R46" ca="1" si="7">SUM(E25:P25)</f>
        <v>#NAME?</v>
      </c>
      <c r="S25" s="45" t="e">
        <f t="shared" ref="S25:S46" ca="1" si="8">IF($R$51=0,0,(R25/$R$51))</f>
        <v>#NAME?</v>
      </c>
    </row>
    <row r="26" spans="1:22" x14ac:dyDescent="0.2">
      <c r="A26" s="213" t="s">
        <v>705</v>
      </c>
      <c r="B26" s="221"/>
      <c r="C26" s="215" t="s">
        <v>706</v>
      </c>
      <c r="D26" s="216" t="s">
        <v>704</v>
      </c>
      <c r="E26" s="217" t="e">
        <f ca="1">((E9/100)*$R$9)*S3</f>
        <v>#NAME?</v>
      </c>
      <c r="F26" s="217" t="e">
        <f t="shared" ref="F26:P26" ca="1" si="9">((F9/100)*$R$9)*$S$3</f>
        <v>#NAME?</v>
      </c>
      <c r="G26" s="217" t="e">
        <f t="shared" ca="1" si="9"/>
        <v>#NAME?</v>
      </c>
      <c r="H26" s="217" t="e">
        <f t="shared" ca="1" si="9"/>
        <v>#NAME?</v>
      </c>
      <c r="I26" s="217" t="e">
        <f t="shared" ca="1" si="9"/>
        <v>#NAME?</v>
      </c>
      <c r="J26" s="217" t="e">
        <f t="shared" ca="1" si="9"/>
        <v>#NAME?</v>
      </c>
      <c r="K26" s="217" t="e">
        <f t="shared" ca="1" si="9"/>
        <v>#NAME?</v>
      </c>
      <c r="L26" s="217" t="e">
        <f t="shared" ca="1" si="9"/>
        <v>#NAME?</v>
      </c>
      <c r="M26" s="217" t="e">
        <f t="shared" ca="1" si="9"/>
        <v>#NAME?</v>
      </c>
      <c r="N26" s="217" t="e">
        <f t="shared" ca="1" si="9"/>
        <v>#NAME?</v>
      </c>
      <c r="O26" s="217" t="e">
        <f t="shared" ca="1" si="9"/>
        <v>#NAME?</v>
      </c>
      <c r="P26" s="218" t="e">
        <f t="shared" ca="1" si="9"/>
        <v>#NAME?</v>
      </c>
      <c r="Q26" s="222">
        <f t="shared" ref="Q26:Q46" ca="1" si="10">COUNTIF(E26:P26,"&gt;0")</f>
        <v>0</v>
      </c>
      <c r="R26" s="220" t="e">
        <f t="shared" ca="1" si="7"/>
        <v>#NAME?</v>
      </c>
      <c r="S26" s="45" t="e">
        <f t="shared" ca="1" si="8"/>
        <v>#NAME?</v>
      </c>
      <c r="T26" s="223"/>
    </row>
    <row r="27" spans="1:22" x14ac:dyDescent="0.2">
      <c r="A27" s="213" t="s">
        <v>707</v>
      </c>
      <c r="B27" s="224" t="s">
        <v>459</v>
      </c>
      <c r="C27" s="216" t="s">
        <v>742</v>
      </c>
      <c r="D27" s="216" t="s">
        <v>704</v>
      </c>
      <c r="E27" s="217" t="e">
        <f t="shared" ref="E27:P27" ca="1" si="11">((E10/100)*$R$10)*$S$2</f>
        <v>#NAME?</v>
      </c>
      <c r="F27" s="217" t="e">
        <f t="shared" ca="1" si="11"/>
        <v>#NAME?</v>
      </c>
      <c r="G27" s="217" t="e">
        <f t="shared" ca="1" si="11"/>
        <v>#NAME?</v>
      </c>
      <c r="H27" s="217" t="e">
        <f t="shared" ca="1" si="11"/>
        <v>#NAME?</v>
      </c>
      <c r="I27" s="217" t="e">
        <f t="shared" ca="1" si="11"/>
        <v>#NAME?</v>
      </c>
      <c r="J27" s="217" t="e">
        <f t="shared" ca="1" si="11"/>
        <v>#NAME?</v>
      </c>
      <c r="K27" s="217" t="e">
        <f t="shared" ca="1" si="11"/>
        <v>#NAME?</v>
      </c>
      <c r="L27" s="217" t="e">
        <f t="shared" ca="1" si="11"/>
        <v>#NAME?</v>
      </c>
      <c r="M27" s="217" t="e">
        <f t="shared" ca="1" si="11"/>
        <v>#NAME?</v>
      </c>
      <c r="N27" s="217" t="e">
        <f t="shared" ca="1" si="11"/>
        <v>#NAME?</v>
      </c>
      <c r="O27" s="217" t="e">
        <f t="shared" ca="1" si="11"/>
        <v>#NAME?</v>
      </c>
      <c r="P27" s="218" t="e">
        <f t="shared" ca="1" si="11"/>
        <v>#NAME?</v>
      </c>
      <c r="Q27" s="222">
        <f t="shared" ca="1" si="10"/>
        <v>0</v>
      </c>
      <c r="R27" s="220" t="e">
        <f t="shared" ca="1" si="7"/>
        <v>#NAME?</v>
      </c>
      <c r="S27" s="45" t="e">
        <f t="shared" ca="1" si="8"/>
        <v>#NAME?</v>
      </c>
    </row>
    <row r="28" spans="1:22" x14ac:dyDescent="0.2">
      <c r="A28" s="213" t="s">
        <v>708</v>
      </c>
      <c r="B28" s="225"/>
      <c r="C28" s="216" t="s">
        <v>706</v>
      </c>
      <c r="D28" s="216" t="s">
        <v>704</v>
      </c>
      <c r="E28" s="217" t="e">
        <f t="shared" ref="E28:P28" ca="1" si="12">((E10/100)*$R$10)*$S$3</f>
        <v>#NAME?</v>
      </c>
      <c r="F28" s="217" t="e">
        <f t="shared" ca="1" si="12"/>
        <v>#NAME?</v>
      </c>
      <c r="G28" s="217" t="e">
        <f t="shared" ca="1" si="12"/>
        <v>#NAME?</v>
      </c>
      <c r="H28" s="217" t="e">
        <f t="shared" ca="1" si="12"/>
        <v>#NAME?</v>
      </c>
      <c r="I28" s="217" t="e">
        <f t="shared" ca="1" si="12"/>
        <v>#NAME?</v>
      </c>
      <c r="J28" s="217" t="e">
        <f t="shared" ca="1" si="12"/>
        <v>#NAME?</v>
      </c>
      <c r="K28" s="217" t="e">
        <f t="shared" ca="1" si="12"/>
        <v>#NAME?</v>
      </c>
      <c r="L28" s="217" t="e">
        <f t="shared" ca="1" si="12"/>
        <v>#NAME?</v>
      </c>
      <c r="M28" s="217" t="e">
        <f t="shared" ca="1" si="12"/>
        <v>#NAME?</v>
      </c>
      <c r="N28" s="217" t="e">
        <f t="shared" ca="1" si="12"/>
        <v>#NAME?</v>
      </c>
      <c r="O28" s="217" t="e">
        <f t="shared" ca="1" si="12"/>
        <v>#NAME?</v>
      </c>
      <c r="P28" s="218" t="e">
        <f t="shared" ca="1" si="12"/>
        <v>#NAME?</v>
      </c>
      <c r="Q28" s="222">
        <f t="shared" ca="1" si="10"/>
        <v>0</v>
      </c>
      <c r="R28" s="220" t="e">
        <f t="shared" ca="1" si="7"/>
        <v>#NAME?</v>
      </c>
      <c r="S28" s="45" t="e">
        <f t="shared" ca="1" si="8"/>
        <v>#NAME?</v>
      </c>
      <c r="T28" s="223"/>
    </row>
    <row r="29" spans="1:22" x14ac:dyDescent="0.2">
      <c r="A29" s="213" t="s">
        <v>709</v>
      </c>
      <c r="B29" s="224" t="s">
        <v>465</v>
      </c>
      <c r="C29" s="216" t="s">
        <v>742</v>
      </c>
      <c r="D29" s="216" t="s">
        <v>704</v>
      </c>
      <c r="E29" s="217" t="e">
        <f t="shared" ref="E29:P29" ca="1" si="13">((E11/100)*$R$11)*$S$2</f>
        <v>#NAME?</v>
      </c>
      <c r="F29" s="217" t="e">
        <f t="shared" ca="1" si="13"/>
        <v>#NAME?</v>
      </c>
      <c r="G29" s="217" t="e">
        <f t="shared" ca="1" si="13"/>
        <v>#NAME?</v>
      </c>
      <c r="H29" s="217" t="e">
        <f t="shared" ca="1" si="13"/>
        <v>#NAME?</v>
      </c>
      <c r="I29" s="217" t="e">
        <f t="shared" ca="1" si="13"/>
        <v>#NAME?</v>
      </c>
      <c r="J29" s="217" t="e">
        <f t="shared" ca="1" si="13"/>
        <v>#NAME?</v>
      </c>
      <c r="K29" s="217" t="e">
        <f t="shared" ca="1" si="13"/>
        <v>#NAME?</v>
      </c>
      <c r="L29" s="217" t="e">
        <f t="shared" ca="1" si="13"/>
        <v>#NAME?</v>
      </c>
      <c r="M29" s="217" t="e">
        <f t="shared" ca="1" si="13"/>
        <v>#NAME?</v>
      </c>
      <c r="N29" s="217" t="e">
        <f t="shared" ca="1" si="13"/>
        <v>#NAME?</v>
      </c>
      <c r="O29" s="217" t="e">
        <f t="shared" ca="1" si="13"/>
        <v>#NAME?</v>
      </c>
      <c r="P29" s="218" t="e">
        <f t="shared" ca="1" si="13"/>
        <v>#NAME?</v>
      </c>
      <c r="Q29" s="222">
        <f t="shared" ca="1" si="10"/>
        <v>0</v>
      </c>
      <c r="R29" s="220" t="e">
        <f t="shared" ca="1" si="7"/>
        <v>#NAME?</v>
      </c>
      <c r="S29" s="45" t="e">
        <f t="shared" ca="1" si="8"/>
        <v>#NAME?</v>
      </c>
    </row>
    <row r="30" spans="1:22" x14ac:dyDescent="0.2">
      <c r="A30" s="213" t="s">
        <v>710</v>
      </c>
      <c r="B30" s="225"/>
      <c r="C30" s="216" t="s">
        <v>706</v>
      </c>
      <c r="D30" s="216" t="s">
        <v>704</v>
      </c>
      <c r="E30" s="217" t="e">
        <f t="shared" ref="E30:P30" ca="1" si="14">((E11/100)*$R$11)*$S$3</f>
        <v>#NAME?</v>
      </c>
      <c r="F30" s="217" t="e">
        <f t="shared" ca="1" si="14"/>
        <v>#NAME?</v>
      </c>
      <c r="G30" s="217" t="e">
        <f t="shared" ca="1" si="14"/>
        <v>#NAME?</v>
      </c>
      <c r="H30" s="217" t="e">
        <f t="shared" ca="1" si="14"/>
        <v>#NAME?</v>
      </c>
      <c r="I30" s="217" t="e">
        <f t="shared" ca="1" si="14"/>
        <v>#NAME?</v>
      </c>
      <c r="J30" s="217" t="e">
        <f t="shared" ca="1" si="14"/>
        <v>#NAME?</v>
      </c>
      <c r="K30" s="217" t="e">
        <f t="shared" ca="1" si="14"/>
        <v>#NAME?</v>
      </c>
      <c r="L30" s="217" t="e">
        <f t="shared" ca="1" si="14"/>
        <v>#NAME?</v>
      </c>
      <c r="M30" s="217" t="e">
        <f t="shared" ca="1" si="14"/>
        <v>#NAME?</v>
      </c>
      <c r="N30" s="217" t="e">
        <f t="shared" ca="1" si="14"/>
        <v>#NAME?</v>
      </c>
      <c r="O30" s="217" t="e">
        <f t="shared" ca="1" si="14"/>
        <v>#NAME?</v>
      </c>
      <c r="P30" s="218" t="e">
        <f t="shared" ca="1" si="14"/>
        <v>#NAME?</v>
      </c>
      <c r="Q30" s="222">
        <f t="shared" ca="1" si="10"/>
        <v>0</v>
      </c>
      <c r="R30" s="220" t="e">
        <f t="shared" ca="1" si="7"/>
        <v>#NAME?</v>
      </c>
      <c r="S30" s="45" t="e">
        <f t="shared" ca="1" si="8"/>
        <v>#NAME?</v>
      </c>
      <c r="T30" s="223"/>
    </row>
    <row r="31" spans="1:22" x14ac:dyDescent="0.2">
      <c r="A31" s="213" t="s">
        <v>711</v>
      </c>
      <c r="B31" s="224" t="s">
        <v>460</v>
      </c>
      <c r="C31" s="216" t="s">
        <v>742</v>
      </c>
      <c r="D31" s="216" t="s">
        <v>704</v>
      </c>
      <c r="E31" s="217" t="e">
        <f ca="1">((E12/100)*$R$12)*S2</f>
        <v>#NAME?</v>
      </c>
      <c r="F31" s="217" t="e">
        <f t="shared" ref="F31:P31" ca="1" si="15">((F12/100)*$R$12)*$S$2</f>
        <v>#NAME?</v>
      </c>
      <c r="G31" s="217" t="e">
        <f t="shared" ca="1" si="15"/>
        <v>#NAME?</v>
      </c>
      <c r="H31" s="217" t="e">
        <f t="shared" ca="1" si="15"/>
        <v>#NAME?</v>
      </c>
      <c r="I31" s="217" t="e">
        <f t="shared" ca="1" si="15"/>
        <v>#NAME?</v>
      </c>
      <c r="J31" s="217" t="e">
        <f t="shared" ca="1" si="15"/>
        <v>#NAME?</v>
      </c>
      <c r="K31" s="217" t="e">
        <f t="shared" ca="1" si="15"/>
        <v>#NAME?</v>
      </c>
      <c r="L31" s="217" t="e">
        <f t="shared" ca="1" si="15"/>
        <v>#NAME?</v>
      </c>
      <c r="M31" s="217" t="e">
        <f t="shared" ca="1" si="15"/>
        <v>#NAME?</v>
      </c>
      <c r="N31" s="217" t="e">
        <f t="shared" ca="1" si="15"/>
        <v>#NAME?</v>
      </c>
      <c r="O31" s="217" t="e">
        <f t="shared" ca="1" si="15"/>
        <v>#NAME?</v>
      </c>
      <c r="P31" s="218" t="e">
        <f t="shared" ca="1" si="15"/>
        <v>#NAME?</v>
      </c>
      <c r="Q31" s="222">
        <f t="shared" ca="1" si="10"/>
        <v>0</v>
      </c>
      <c r="R31" s="220" t="e">
        <f t="shared" ca="1" si="7"/>
        <v>#NAME?</v>
      </c>
      <c r="S31" s="45" t="e">
        <f t="shared" ca="1" si="8"/>
        <v>#NAME?</v>
      </c>
    </row>
    <row r="32" spans="1:22" x14ac:dyDescent="0.2">
      <c r="A32" s="213" t="s">
        <v>712</v>
      </c>
      <c r="B32" s="225"/>
      <c r="C32" s="216" t="s">
        <v>706</v>
      </c>
      <c r="D32" s="216" t="s">
        <v>704</v>
      </c>
      <c r="E32" s="217" t="e">
        <f t="shared" ref="E32:P32" ca="1" si="16">((E12/100)*$R$12)*$S$3</f>
        <v>#NAME?</v>
      </c>
      <c r="F32" s="217" t="e">
        <f t="shared" ca="1" si="16"/>
        <v>#NAME?</v>
      </c>
      <c r="G32" s="217" t="e">
        <f t="shared" ca="1" si="16"/>
        <v>#NAME?</v>
      </c>
      <c r="H32" s="217" t="e">
        <f t="shared" ca="1" si="16"/>
        <v>#NAME?</v>
      </c>
      <c r="I32" s="217" t="e">
        <f t="shared" ca="1" si="16"/>
        <v>#NAME?</v>
      </c>
      <c r="J32" s="217" t="e">
        <f t="shared" ca="1" si="16"/>
        <v>#NAME?</v>
      </c>
      <c r="K32" s="217" t="e">
        <f t="shared" ca="1" si="16"/>
        <v>#NAME?</v>
      </c>
      <c r="L32" s="217" t="e">
        <f t="shared" ca="1" si="16"/>
        <v>#NAME?</v>
      </c>
      <c r="M32" s="217" t="e">
        <f t="shared" ca="1" si="16"/>
        <v>#NAME?</v>
      </c>
      <c r="N32" s="217" t="e">
        <f t="shared" ca="1" si="16"/>
        <v>#NAME?</v>
      </c>
      <c r="O32" s="217" t="e">
        <f t="shared" ca="1" si="16"/>
        <v>#NAME?</v>
      </c>
      <c r="P32" s="218" t="e">
        <f t="shared" ca="1" si="16"/>
        <v>#NAME?</v>
      </c>
      <c r="Q32" s="222">
        <f t="shared" ca="1" si="10"/>
        <v>0</v>
      </c>
      <c r="R32" s="220" t="e">
        <f t="shared" ca="1" si="7"/>
        <v>#NAME?</v>
      </c>
      <c r="S32" s="45" t="e">
        <f t="shared" ca="1" si="8"/>
        <v>#NAME?</v>
      </c>
      <c r="T32" s="223"/>
    </row>
    <row r="33" spans="1:20" x14ac:dyDescent="0.2">
      <c r="A33" s="213" t="s">
        <v>713</v>
      </c>
      <c r="B33" s="224" t="s">
        <v>461</v>
      </c>
      <c r="C33" s="216" t="s">
        <v>742</v>
      </c>
      <c r="D33" s="216" t="s">
        <v>704</v>
      </c>
      <c r="E33" s="217" t="e">
        <f t="shared" ref="E33:P33" ca="1" si="17">((E13/100)*$R$13)*$S$2</f>
        <v>#NAME?</v>
      </c>
      <c r="F33" s="217" t="e">
        <f t="shared" ca="1" si="17"/>
        <v>#NAME?</v>
      </c>
      <c r="G33" s="217" t="e">
        <f t="shared" ca="1" si="17"/>
        <v>#NAME?</v>
      </c>
      <c r="H33" s="217" t="e">
        <f t="shared" ca="1" si="17"/>
        <v>#NAME?</v>
      </c>
      <c r="I33" s="217" t="e">
        <f t="shared" ca="1" si="17"/>
        <v>#NAME?</v>
      </c>
      <c r="J33" s="217" t="e">
        <f t="shared" ca="1" si="17"/>
        <v>#NAME?</v>
      </c>
      <c r="K33" s="217" t="e">
        <f t="shared" ca="1" si="17"/>
        <v>#NAME?</v>
      </c>
      <c r="L33" s="217" t="e">
        <f t="shared" ca="1" si="17"/>
        <v>#NAME?</v>
      </c>
      <c r="M33" s="217" t="e">
        <f t="shared" ca="1" si="17"/>
        <v>#NAME?</v>
      </c>
      <c r="N33" s="217" t="e">
        <f t="shared" ca="1" si="17"/>
        <v>#NAME?</v>
      </c>
      <c r="O33" s="217" t="e">
        <f t="shared" ca="1" si="17"/>
        <v>#NAME?</v>
      </c>
      <c r="P33" s="218" t="e">
        <f t="shared" ca="1" si="17"/>
        <v>#NAME?</v>
      </c>
      <c r="Q33" s="222">
        <f t="shared" ca="1" si="10"/>
        <v>0</v>
      </c>
      <c r="R33" s="220" t="e">
        <f t="shared" ca="1" si="7"/>
        <v>#NAME?</v>
      </c>
      <c r="S33" s="45" t="e">
        <f t="shared" ca="1" si="8"/>
        <v>#NAME?</v>
      </c>
    </row>
    <row r="34" spans="1:20" x14ac:dyDescent="0.2">
      <c r="A34" s="213" t="s">
        <v>714</v>
      </c>
      <c r="B34" s="225"/>
      <c r="C34" s="216" t="s">
        <v>706</v>
      </c>
      <c r="D34" s="216" t="s">
        <v>704</v>
      </c>
      <c r="E34" s="217" t="e">
        <f t="shared" ref="E34:P34" ca="1" si="18">((E13/100)*$R$13)*$S$3</f>
        <v>#NAME?</v>
      </c>
      <c r="F34" s="217" t="e">
        <f t="shared" ca="1" si="18"/>
        <v>#NAME?</v>
      </c>
      <c r="G34" s="217" t="e">
        <f t="shared" ca="1" si="18"/>
        <v>#NAME?</v>
      </c>
      <c r="H34" s="217" t="e">
        <f t="shared" ca="1" si="18"/>
        <v>#NAME?</v>
      </c>
      <c r="I34" s="217" t="e">
        <f t="shared" ca="1" si="18"/>
        <v>#NAME?</v>
      </c>
      <c r="J34" s="217" t="e">
        <f t="shared" ca="1" si="18"/>
        <v>#NAME?</v>
      </c>
      <c r="K34" s="217" t="e">
        <f t="shared" ca="1" si="18"/>
        <v>#NAME?</v>
      </c>
      <c r="L34" s="217" t="e">
        <f t="shared" ca="1" si="18"/>
        <v>#NAME?</v>
      </c>
      <c r="M34" s="217" t="e">
        <f t="shared" ca="1" si="18"/>
        <v>#NAME?</v>
      </c>
      <c r="N34" s="217" t="e">
        <f t="shared" ca="1" si="18"/>
        <v>#NAME?</v>
      </c>
      <c r="O34" s="217" t="e">
        <f t="shared" ca="1" si="18"/>
        <v>#NAME?</v>
      </c>
      <c r="P34" s="218" t="e">
        <f t="shared" ca="1" si="18"/>
        <v>#NAME?</v>
      </c>
      <c r="Q34" s="222">
        <f t="shared" ca="1" si="10"/>
        <v>0</v>
      </c>
      <c r="R34" s="220" t="e">
        <f t="shared" ca="1" si="7"/>
        <v>#NAME?</v>
      </c>
      <c r="S34" s="45" t="e">
        <f t="shared" ca="1" si="8"/>
        <v>#NAME?</v>
      </c>
      <c r="T34" s="223"/>
    </row>
    <row r="35" spans="1:20" x14ac:dyDescent="0.2">
      <c r="A35" s="213" t="s">
        <v>715</v>
      </c>
      <c r="B35" s="224" t="s">
        <v>799</v>
      </c>
      <c r="C35" s="216" t="s">
        <v>742</v>
      </c>
      <c r="D35" s="216" t="s">
        <v>704</v>
      </c>
      <c r="E35" s="217" t="e">
        <f t="shared" ref="E35:P35" ca="1" si="19">((E14/100)*$R$14)*$S$2</f>
        <v>#NAME?</v>
      </c>
      <c r="F35" s="217" t="e">
        <f t="shared" ca="1" si="19"/>
        <v>#NAME?</v>
      </c>
      <c r="G35" s="217" t="e">
        <f t="shared" ca="1" si="19"/>
        <v>#NAME?</v>
      </c>
      <c r="H35" s="217" t="e">
        <f t="shared" ca="1" si="19"/>
        <v>#NAME?</v>
      </c>
      <c r="I35" s="217" t="e">
        <f t="shared" ca="1" si="19"/>
        <v>#NAME?</v>
      </c>
      <c r="J35" s="217" t="e">
        <f t="shared" ca="1" si="19"/>
        <v>#NAME?</v>
      </c>
      <c r="K35" s="217" t="e">
        <f t="shared" ca="1" si="19"/>
        <v>#NAME?</v>
      </c>
      <c r="L35" s="217" t="e">
        <f t="shared" ca="1" si="19"/>
        <v>#NAME?</v>
      </c>
      <c r="M35" s="217" t="e">
        <f t="shared" ca="1" si="19"/>
        <v>#NAME?</v>
      </c>
      <c r="N35" s="217" t="e">
        <f t="shared" ca="1" si="19"/>
        <v>#NAME?</v>
      </c>
      <c r="O35" s="217" t="e">
        <f t="shared" ca="1" si="19"/>
        <v>#NAME?</v>
      </c>
      <c r="P35" s="218" t="e">
        <f t="shared" ca="1" si="19"/>
        <v>#NAME?</v>
      </c>
      <c r="Q35" s="222">
        <f t="shared" ca="1" si="10"/>
        <v>0</v>
      </c>
      <c r="R35" s="220" t="e">
        <f t="shared" ca="1" si="7"/>
        <v>#NAME?</v>
      </c>
      <c r="S35" s="45" t="e">
        <f t="shared" ca="1" si="8"/>
        <v>#NAME?</v>
      </c>
    </row>
    <row r="36" spans="1:20" x14ac:dyDescent="0.2">
      <c r="A36" s="213" t="s">
        <v>716</v>
      </c>
      <c r="B36" s="225"/>
      <c r="C36" s="216" t="s">
        <v>706</v>
      </c>
      <c r="D36" s="216" t="s">
        <v>704</v>
      </c>
      <c r="E36" s="217" t="e">
        <f t="shared" ref="E36:P36" ca="1" si="20">((E14/100)*$R$14)*$S$3</f>
        <v>#NAME?</v>
      </c>
      <c r="F36" s="217" t="e">
        <f t="shared" ca="1" si="20"/>
        <v>#NAME?</v>
      </c>
      <c r="G36" s="217" t="e">
        <f t="shared" ca="1" si="20"/>
        <v>#NAME?</v>
      </c>
      <c r="H36" s="217" t="e">
        <f t="shared" ca="1" si="20"/>
        <v>#NAME?</v>
      </c>
      <c r="I36" s="217" t="e">
        <f t="shared" ca="1" si="20"/>
        <v>#NAME?</v>
      </c>
      <c r="J36" s="217" t="e">
        <f t="shared" ca="1" si="20"/>
        <v>#NAME?</v>
      </c>
      <c r="K36" s="217" t="e">
        <f t="shared" ca="1" si="20"/>
        <v>#NAME?</v>
      </c>
      <c r="L36" s="217" t="e">
        <f t="shared" ca="1" si="20"/>
        <v>#NAME?</v>
      </c>
      <c r="M36" s="217" t="e">
        <f t="shared" ca="1" si="20"/>
        <v>#NAME?</v>
      </c>
      <c r="N36" s="217" t="e">
        <f t="shared" ca="1" si="20"/>
        <v>#NAME?</v>
      </c>
      <c r="O36" s="217" t="e">
        <f t="shared" ca="1" si="20"/>
        <v>#NAME?</v>
      </c>
      <c r="P36" s="218" t="e">
        <f t="shared" ca="1" si="20"/>
        <v>#NAME?</v>
      </c>
      <c r="Q36" s="222">
        <f t="shared" ca="1" si="10"/>
        <v>0</v>
      </c>
      <c r="R36" s="220" t="e">
        <f t="shared" ca="1" si="7"/>
        <v>#NAME?</v>
      </c>
      <c r="S36" s="45" t="e">
        <f t="shared" ca="1" si="8"/>
        <v>#NAME?</v>
      </c>
      <c r="T36" s="223"/>
    </row>
    <row r="37" spans="1:20" x14ac:dyDescent="0.2">
      <c r="A37" s="213" t="s">
        <v>717</v>
      </c>
      <c r="B37" s="224" t="s">
        <v>468</v>
      </c>
      <c r="C37" s="216" t="s">
        <v>742</v>
      </c>
      <c r="D37" s="216" t="s">
        <v>704</v>
      </c>
      <c r="E37" s="217" t="e">
        <f t="shared" ref="E37:P37" ca="1" si="21">((E15/100)*$R$15)*$S$2</f>
        <v>#NAME?</v>
      </c>
      <c r="F37" s="217" t="e">
        <f t="shared" ca="1" si="21"/>
        <v>#NAME?</v>
      </c>
      <c r="G37" s="217" t="e">
        <f t="shared" ca="1" si="21"/>
        <v>#NAME?</v>
      </c>
      <c r="H37" s="217" t="e">
        <f t="shared" ca="1" si="21"/>
        <v>#NAME?</v>
      </c>
      <c r="I37" s="217" t="e">
        <f t="shared" ca="1" si="21"/>
        <v>#NAME?</v>
      </c>
      <c r="J37" s="217" t="e">
        <f t="shared" ca="1" si="21"/>
        <v>#NAME?</v>
      </c>
      <c r="K37" s="217" t="e">
        <f t="shared" ca="1" si="21"/>
        <v>#NAME?</v>
      </c>
      <c r="L37" s="217" t="e">
        <f t="shared" ca="1" si="21"/>
        <v>#NAME?</v>
      </c>
      <c r="M37" s="217" t="e">
        <f t="shared" ca="1" si="21"/>
        <v>#NAME?</v>
      </c>
      <c r="N37" s="217" t="e">
        <f t="shared" ca="1" si="21"/>
        <v>#NAME?</v>
      </c>
      <c r="O37" s="217" t="e">
        <f t="shared" ca="1" si="21"/>
        <v>#NAME?</v>
      </c>
      <c r="P37" s="218" t="e">
        <f t="shared" ca="1" si="21"/>
        <v>#NAME?</v>
      </c>
      <c r="Q37" s="222">
        <f t="shared" ca="1" si="10"/>
        <v>0</v>
      </c>
      <c r="R37" s="220" t="e">
        <f t="shared" ca="1" si="7"/>
        <v>#NAME?</v>
      </c>
      <c r="S37" s="45" t="e">
        <f t="shared" ca="1" si="8"/>
        <v>#NAME?</v>
      </c>
    </row>
    <row r="38" spans="1:20" x14ac:dyDescent="0.2">
      <c r="A38" s="213" t="s">
        <v>718</v>
      </c>
      <c r="B38" s="225"/>
      <c r="C38" s="216" t="s">
        <v>706</v>
      </c>
      <c r="D38" s="216" t="s">
        <v>704</v>
      </c>
      <c r="E38" s="217" t="e">
        <f t="shared" ref="E38:P38" ca="1" si="22">((E15/100)*$R$15)*$S$3</f>
        <v>#NAME?</v>
      </c>
      <c r="F38" s="217" t="e">
        <f t="shared" ca="1" si="22"/>
        <v>#NAME?</v>
      </c>
      <c r="G38" s="217" t="e">
        <f t="shared" ca="1" si="22"/>
        <v>#NAME?</v>
      </c>
      <c r="H38" s="217" t="e">
        <f t="shared" ca="1" si="22"/>
        <v>#NAME?</v>
      </c>
      <c r="I38" s="217" t="e">
        <f t="shared" ca="1" si="22"/>
        <v>#NAME?</v>
      </c>
      <c r="J38" s="217" t="e">
        <f t="shared" ca="1" si="22"/>
        <v>#NAME?</v>
      </c>
      <c r="K38" s="217" t="e">
        <f t="shared" ca="1" si="22"/>
        <v>#NAME?</v>
      </c>
      <c r="L38" s="217" t="e">
        <f t="shared" ca="1" si="22"/>
        <v>#NAME?</v>
      </c>
      <c r="M38" s="217" t="e">
        <f t="shared" ca="1" si="22"/>
        <v>#NAME?</v>
      </c>
      <c r="N38" s="217" t="e">
        <f t="shared" ca="1" si="22"/>
        <v>#NAME?</v>
      </c>
      <c r="O38" s="217" t="e">
        <f t="shared" ca="1" si="22"/>
        <v>#NAME?</v>
      </c>
      <c r="P38" s="218" t="e">
        <f t="shared" ca="1" si="22"/>
        <v>#NAME?</v>
      </c>
      <c r="Q38" s="222">
        <f t="shared" ca="1" si="10"/>
        <v>0</v>
      </c>
      <c r="R38" s="220" t="e">
        <f t="shared" ca="1" si="7"/>
        <v>#NAME?</v>
      </c>
      <c r="S38" s="45" t="e">
        <f t="shared" ca="1" si="8"/>
        <v>#NAME?</v>
      </c>
      <c r="T38" s="223"/>
    </row>
    <row r="39" spans="1:20" x14ac:dyDescent="0.2">
      <c r="A39" s="213" t="s">
        <v>719</v>
      </c>
      <c r="B39" s="224" t="s">
        <v>470</v>
      </c>
      <c r="C39" s="216" t="s">
        <v>742</v>
      </c>
      <c r="D39" s="216" t="s">
        <v>704</v>
      </c>
      <c r="E39" s="217" t="e">
        <f t="shared" ref="E39:P39" ca="1" si="23">((E16/100)*$R$16)*$S$2</f>
        <v>#NAME?</v>
      </c>
      <c r="F39" s="217" t="e">
        <f t="shared" ca="1" si="23"/>
        <v>#NAME?</v>
      </c>
      <c r="G39" s="217" t="e">
        <f t="shared" ca="1" si="23"/>
        <v>#NAME?</v>
      </c>
      <c r="H39" s="217" t="e">
        <f t="shared" ca="1" si="23"/>
        <v>#NAME?</v>
      </c>
      <c r="I39" s="217" t="e">
        <f t="shared" ca="1" si="23"/>
        <v>#NAME?</v>
      </c>
      <c r="J39" s="217" t="e">
        <f t="shared" ca="1" si="23"/>
        <v>#NAME?</v>
      </c>
      <c r="K39" s="217" t="e">
        <f t="shared" ca="1" si="23"/>
        <v>#NAME?</v>
      </c>
      <c r="L39" s="217" t="e">
        <f t="shared" ca="1" si="23"/>
        <v>#NAME?</v>
      </c>
      <c r="M39" s="217" t="e">
        <f t="shared" ca="1" si="23"/>
        <v>#NAME?</v>
      </c>
      <c r="N39" s="217" t="e">
        <f t="shared" ca="1" si="23"/>
        <v>#NAME?</v>
      </c>
      <c r="O39" s="217" t="e">
        <f t="shared" ca="1" si="23"/>
        <v>#NAME?</v>
      </c>
      <c r="P39" s="218" t="e">
        <f t="shared" ca="1" si="23"/>
        <v>#NAME?</v>
      </c>
      <c r="Q39" s="222">
        <f t="shared" ca="1" si="10"/>
        <v>0</v>
      </c>
      <c r="R39" s="220" t="e">
        <f t="shared" ca="1" si="7"/>
        <v>#NAME?</v>
      </c>
      <c r="S39" s="45" t="e">
        <f t="shared" ca="1" si="8"/>
        <v>#NAME?</v>
      </c>
    </row>
    <row r="40" spans="1:20" x14ac:dyDescent="0.2">
      <c r="A40" s="213" t="s">
        <v>720</v>
      </c>
      <c r="B40" s="225"/>
      <c r="C40" s="216" t="s">
        <v>706</v>
      </c>
      <c r="D40" s="216" t="s">
        <v>704</v>
      </c>
      <c r="E40" s="217" t="e">
        <f t="shared" ref="E40:P40" ca="1" si="24">((E16/100)*$R$16)*$S$3</f>
        <v>#NAME?</v>
      </c>
      <c r="F40" s="217" t="e">
        <f t="shared" ca="1" si="24"/>
        <v>#NAME?</v>
      </c>
      <c r="G40" s="217" t="e">
        <f t="shared" ca="1" si="24"/>
        <v>#NAME?</v>
      </c>
      <c r="H40" s="217" t="e">
        <f t="shared" ca="1" si="24"/>
        <v>#NAME?</v>
      </c>
      <c r="I40" s="217" t="e">
        <f t="shared" ca="1" si="24"/>
        <v>#NAME?</v>
      </c>
      <c r="J40" s="217" t="e">
        <f t="shared" ca="1" si="24"/>
        <v>#NAME?</v>
      </c>
      <c r="K40" s="217" t="e">
        <f t="shared" ca="1" si="24"/>
        <v>#NAME?</v>
      </c>
      <c r="L40" s="217" t="e">
        <f t="shared" ca="1" si="24"/>
        <v>#NAME?</v>
      </c>
      <c r="M40" s="217" t="e">
        <f t="shared" ca="1" si="24"/>
        <v>#NAME?</v>
      </c>
      <c r="N40" s="217" t="e">
        <f t="shared" ca="1" si="24"/>
        <v>#NAME?</v>
      </c>
      <c r="O40" s="217" t="e">
        <f t="shared" ca="1" si="24"/>
        <v>#NAME?</v>
      </c>
      <c r="P40" s="218" t="e">
        <f t="shared" ca="1" si="24"/>
        <v>#NAME?</v>
      </c>
      <c r="Q40" s="222">
        <f t="shared" ca="1" si="10"/>
        <v>0</v>
      </c>
      <c r="R40" s="220" t="e">
        <f t="shared" ca="1" si="7"/>
        <v>#NAME?</v>
      </c>
      <c r="S40" s="45" t="e">
        <f t="shared" ca="1" si="8"/>
        <v>#NAME?</v>
      </c>
      <c r="T40" s="223"/>
    </row>
    <row r="41" spans="1:20" x14ac:dyDescent="0.2">
      <c r="A41" s="213" t="s">
        <v>721</v>
      </c>
      <c r="B41" s="224" t="s">
        <v>472</v>
      </c>
      <c r="C41" s="216" t="s">
        <v>742</v>
      </c>
      <c r="D41" s="216" t="s">
        <v>704</v>
      </c>
      <c r="E41" s="217" t="e">
        <f t="shared" ref="E41:P41" ca="1" si="25">((E17/100)*$R$17)*$S$2</f>
        <v>#NAME?</v>
      </c>
      <c r="F41" s="217" t="e">
        <f t="shared" ca="1" si="25"/>
        <v>#NAME?</v>
      </c>
      <c r="G41" s="217" t="e">
        <f t="shared" ca="1" si="25"/>
        <v>#NAME?</v>
      </c>
      <c r="H41" s="217" t="e">
        <f t="shared" ca="1" si="25"/>
        <v>#NAME?</v>
      </c>
      <c r="I41" s="217" t="e">
        <f t="shared" ca="1" si="25"/>
        <v>#NAME?</v>
      </c>
      <c r="J41" s="217" t="e">
        <f t="shared" ca="1" si="25"/>
        <v>#NAME?</v>
      </c>
      <c r="K41" s="217" t="e">
        <f t="shared" ca="1" si="25"/>
        <v>#NAME?</v>
      </c>
      <c r="L41" s="217" t="e">
        <f t="shared" ca="1" si="25"/>
        <v>#NAME?</v>
      </c>
      <c r="M41" s="217" t="e">
        <f t="shared" ca="1" si="25"/>
        <v>#NAME?</v>
      </c>
      <c r="N41" s="217" t="e">
        <f t="shared" ca="1" si="25"/>
        <v>#NAME?</v>
      </c>
      <c r="O41" s="217" t="e">
        <f t="shared" ca="1" si="25"/>
        <v>#NAME?</v>
      </c>
      <c r="P41" s="218" t="e">
        <f t="shared" ca="1" si="25"/>
        <v>#NAME?</v>
      </c>
      <c r="Q41" s="222">
        <f t="shared" ca="1" si="10"/>
        <v>0</v>
      </c>
      <c r="R41" s="220" t="e">
        <f t="shared" ca="1" si="7"/>
        <v>#NAME?</v>
      </c>
      <c r="S41" s="45" t="e">
        <f t="shared" ca="1" si="8"/>
        <v>#NAME?</v>
      </c>
    </row>
    <row r="42" spans="1:20" x14ac:dyDescent="0.2">
      <c r="A42" s="213" t="s">
        <v>722</v>
      </c>
      <c r="B42" s="225"/>
      <c r="C42" s="216" t="s">
        <v>706</v>
      </c>
      <c r="D42" s="216" t="s">
        <v>704</v>
      </c>
      <c r="E42" s="217" t="e">
        <f t="shared" ref="E42:P42" ca="1" si="26">((E17/100)*$R$17)*$S$3</f>
        <v>#NAME?</v>
      </c>
      <c r="F42" s="217" t="e">
        <f t="shared" ca="1" si="26"/>
        <v>#NAME?</v>
      </c>
      <c r="G42" s="217" t="e">
        <f t="shared" ca="1" si="26"/>
        <v>#NAME?</v>
      </c>
      <c r="H42" s="217" t="e">
        <f t="shared" ca="1" si="26"/>
        <v>#NAME?</v>
      </c>
      <c r="I42" s="217" t="e">
        <f t="shared" ca="1" si="26"/>
        <v>#NAME?</v>
      </c>
      <c r="J42" s="217" t="e">
        <f t="shared" ca="1" si="26"/>
        <v>#NAME?</v>
      </c>
      <c r="K42" s="217" t="e">
        <f t="shared" ca="1" si="26"/>
        <v>#NAME?</v>
      </c>
      <c r="L42" s="217" t="e">
        <f t="shared" ca="1" si="26"/>
        <v>#NAME?</v>
      </c>
      <c r="M42" s="217" t="e">
        <f t="shared" ca="1" si="26"/>
        <v>#NAME?</v>
      </c>
      <c r="N42" s="217" t="e">
        <f t="shared" ca="1" si="26"/>
        <v>#NAME?</v>
      </c>
      <c r="O42" s="217" t="e">
        <f t="shared" ca="1" si="26"/>
        <v>#NAME?</v>
      </c>
      <c r="P42" s="218" t="e">
        <f t="shared" ca="1" si="26"/>
        <v>#NAME?</v>
      </c>
      <c r="Q42" s="222">
        <f t="shared" ca="1" si="10"/>
        <v>0</v>
      </c>
      <c r="R42" s="220" t="e">
        <f t="shared" ca="1" si="7"/>
        <v>#NAME?</v>
      </c>
      <c r="S42" s="45" t="e">
        <f t="shared" ca="1" si="8"/>
        <v>#NAME?</v>
      </c>
      <c r="T42" s="223"/>
    </row>
    <row r="43" spans="1:20" x14ac:dyDescent="0.2">
      <c r="A43" s="213" t="s">
        <v>723</v>
      </c>
      <c r="B43" s="224" t="s">
        <v>462</v>
      </c>
      <c r="C43" s="216" t="s">
        <v>742</v>
      </c>
      <c r="D43" s="216" t="s">
        <v>704</v>
      </c>
      <c r="E43" s="217" t="e">
        <f t="shared" ref="E43:P43" ca="1" si="27">((E18/100)*$R$18)*$S$2</f>
        <v>#NAME?</v>
      </c>
      <c r="F43" s="217" t="e">
        <f t="shared" ca="1" si="27"/>
        <v>#NAME?</v>
      </c>
      <c r="G43" s="217" t="e">
        <f t="shared" ca="1" si="27"/>
        <v>#NAME?</v>
      </c>
      <c r="H43" s="217" t="e">
        <f t="shared" ca="1" si="27"/>
        <v>#NAME?</v>
      </c>
      <c r="I43" s="217" t="e">
        <f t="shared" ca="1" si="27"/>
        <v>#NAME?</v>
      </c>
      <c r="J43" s="217" t="e">
        <f t="shared" ca="1" si="27"/>
        <v>#NAME?</v>
      </c>
      <c r="K43" s="217" t="e">
        <f t="shared" ca="1" si="27"/>
        <v>#NAME?</v>
      </c>
      <c r="L43" s="217" t="e">
        <f t="shared" ca="1" si="27"/>
        <v>#NAME?</v>
      </c>
      <c r="M43" s="217" t="e">
        <f t="shared" ca="1" si="27"/>
        <v>#NAME?</v>
      </c>
      <c r="N43" s="217" t="e">
        <f t="shared" ca="1" si="27"/>
        <v>#NAME?</v>
      </c>
      <c r="O43" s="217" t="e">
        <f t="shared" ca="1" si="27"/>
        <v>#NAME?</v>
      </c>
      <c r="P43" s="218" t="e">
        <f t="shared" ca="1" si="27"/>
        <v>#NAME?</v>
      </c>
      <c r="Q43" s="222">
        <f t="shared" ca="1" si="10"/>
        <v>0</v>
      </c>
      <c r="R43" s="220" t="e">
        <f t="shared" ca="1" si="7"/>
        <v>#NAME?</v>
      </c>
      <c r="S43" s="45" t="e">
        <f t="shared" ca="1" si="8"/>
        <v>#NAME?</v>
      </c>
    </row>
    <row r="44" spans="1:20" x14ac:dyDescent="0.2">
      <c r="A44" s="213" t="s">
        <v>724</v>
      </c>
      <c r="B44" s="225"/>
      <c r="C44" s="216" t="s">
        <v>706</v>
      </c>
      <c r="D44" s="216" t="s">
        <v>704</v>
      </c>
      <c r="E44" s="217" t="e">
        <f t="shared" ref="E44:P44" ca="1" si="28">((E18/100)*$R$18)*$S$3</f>
        <v>#NAME?</v>
      </c>
      <c r="F44" s="217" t="e">
        <f t="shared" ca="1" si="28"/>
        <v>#NAME?</v>
      </c>
      <c r="G44" s="217" t="e">
        <f t="shared" ca="1" si="28"/>
        <v>#NAME?</v>
      </c>
      <c r="H44" s="217" t="e">
        <f t="shared" ca="1" si="28"/>
        <v>#NAME?</v>
      </c>
      <c r="I44" s="217" t="e">
        <f t="shared" ca="1" si="28"/>
        <v>#NAME?</v>
      </c>
      <c r="J44" s="217" t="e">
        <f t="shared" ca="1" si="28"/>
        <v>#NAME?</v>
      </c>
      <c r="K44" s="217" t="e">
        <f t="shared" ca="1" si="28"/>
        <v>#NAME?</v>
      </c>
      <c r="L44" s="217" t="e">
        <f t="shared" ca="1" si="28"/>
        <v>#NAME?</v>
      </c>
      <c r="M44" s="217" t="e">
        <f t="shared" ca="1" si="28"/>
        <v>#NAME?</v>
      </c>
      <c r="N44" s="217" t="e">
        <f t="shared" ca="1" si="28"/>
        <v>#NAME?</v>
      </c>
      <c r="O44" s="217" t="e">
        <f t="shared" ca="1" si="28"/>
        <v>#NAME?</v>
      </c>
      <c r="P44" s="218" t="e">
        <f t="shared" ca="1" si="28"/>
        <v>#NAME?</v>
      </c>
      <c r="Q44" s="222">
        <f t="shared" ca="1" si="10"/>
        <v>0</v>
      </c>
      <c r="R44" s="220" t="e">
        <f t="shared" ca="1" si="7"/>
        <v>#NAME?</v>
      </c>
      <c r="S44" s="45" t="e">
        <f t="shared" ca="1" si="8"/>
        <v>#NAME?</v>
      </c>
      <c r="T44" s="223"/>
    </row>
    <row r="45" spans="1:20" x14ac:dyDescent="0.2">
      <c r="A45" s="213" t="s">
        <v>725</v>
      </c>
      <c r="B45" s="224" t="s">
        <v>630</v>
      </c>
      <c r="C45" s="216" t="s">
        <v>742</v>
      </c>
      <c r="D45" s="216" t="s">
        <v>704</v>
      </c>
      <c r="E45" s="217" t="e">
        <f t="shared" ref="E45:P45" ca="1" si="29">((E19/100)*$R$19)*$S$2</f>
        <v>#NAME?</v>
      </c>
      <c r="F45" s="217" t="e">
        <f t="shared" ca="1" si="29"/>
        <v>#NAME?</v>
      </c>
      <c r="G45" s="217" t="e">
        <f t="shared" ca="1" si="29"/>
        <v>#NAME?</v>
      </c>
      <c r="H45" s="217" t="e">
        <f t="shared" ca="1" si="29"/>
        <v>#NAME?</v>
      </c>
      <c r="I45" s="217" t="e">
        <f t="shared" ca="1" si="29"/>
        <v>#NAME?</v>
      </c>
      <c r="J45" s="217" t="e">
        <f t="shared" ca="1" si="29"/>
        <v>#NAME?</v>
      </c>
      <c r="K45" s="217" t="e">
        <f t="shared" ca="1" si="29"/>
        <v>#NAME?</v>
      </c>
      <c r="L45" s="217" t="e">
        <f t="shared" ca="1" si="29"/>
        <v>#NAME?</v>
      </c>
      <c r="M45" s="217" t="e">
        <f t="shared" ca="1" si="29"/>
        <v>#NAME?</v>
      </c>
      <c r="N45" s="217" t="e">
        <f t="shared" ca="1" si="29"/>
        <v>#NAME?</v>
      </c>
      <c r="O45" s="217" t="e">
        <f t="shared" ca="1" si="29"/>
        <v>#NAME?</v>
      </c>
      <c r="P45" s="218" t="e">
        <f t="shared" ca="1" si="29"/>
        <v>#NAME?</v>
      </c>
      <c r="Q45" s="222">
        <f t="shared" ca="1" si="10"/>
        <v>0</v>
      </c>
      <c r="R45" s="220" t="e">
        <f t="shared" ca="1" si="7"/>
        <v>#NAME?</v>
      </c>
      <c r="S45" s="45" t="e">
        <f t="shared" ca="1" si="8"/>
        <v>#NAME?</v>
      </c>
    </row>
    <row r="46" spans="1:20" x14ac:dyDescent="0.2">
      <c r="A46" s="213" t="s">
        <v>726</v>
      </c>
      <c r="B46" s="225"/>
      <c r="C46" s="216" t="s">
        <v>706</v>
      </c>
      <c r="D46" s="216" t="s">
        <v>704</v>
      </c>
      <c r="E46" s="217" t="e">
        <f t="shared" ref="E46:P46" ca="1" si="30">((E19/100)*$R$19)*$S$3</f>
        <v>#NAME?</v>
      </c>
      <c r="F46" s="217" t="e">
        <f t="shared" ca="1" si="30"/>
        <v>#NAME?</v>
      </c>
      <c r="G46" s="217" t="e">
        <f t="shared" ca="1" si="30"/>
        <v>#NAME?</v>
      </c>
      <c r="H46" s="217" t="e">
        <f t="shared" ca="1" si="30"/>
        <v>#NAME?</v>
      </c>
      <c r="I46" s="217" t="e">
        <f t="shared" ca="1" si="30"/>
        <v>#NAME?</v>
      </c>
      <c r="J46" s="217" t="e">
        <f t="shared" ca="1" si="30"/>
        <v>#NAME?</v>
      </c>
      <c r="K46" s="217" t="e">
        <f t="shared" ca="1" si="30"/>
        <v>#NAME?</v>
      </c>
      <c r="L46" s="217" t="e">
        <f t="shared" ca="1" si="30"/>
        <v>#NAME?</v>
      </c>
      <c r="M46" s="217" t="e">
        <f t="shared" ca="1" si="30"/>
        <v>#NAME?</v>
      </c>
      <c r="N46" s="217" t="e">
        <f t="shared" ca="1" si="30"/>
        <v>#NAME?</v>
      </c>
      <c r="O46" s="217" t="e">
        <f t="shared" ca="1" si="30"/>
        <v>#NAME?</v>
      </c>
      <c r="P46" s="218" t="e">
        <f t="shared" ca="1" si="30"/>
        <v>#NAME?</v>
      </c>
      <c r="Q46" s="222">
        <f t="shared" ca="1" si="10"/>
        <v>0</v>
      </c>
      <c r="R46" s="220" t="e">
        <f t="shared" ca="1" si="7"/>
        <v>#NAME?</v>
      </c>
      <c r="S46" s="45" t="e">
        <f t="shared" ca="1" si="8"/>
        <v>#NAME?</v>
      </c>
      <c r="T46" s="223"/>
    </row>
    <row r="47" spans="1:20" x14ac:dyDescent="0.2">
      <c r="A47" s="226"/>
      <c r="B47" s="227"/>
      <c r="C47" s="227"/>
      <c r="D47" s="227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46"/>
    </row>
    <row r="48" spans="1:20" x14ac:dyDescent="0.2">
      <c r="A48" s="213" t="s">
        <v>727</v>
      </c>
      <c r="B48" s="224" t="s">
        <v>699</v>
      </c>
      <c r="C48" s="221" t="s">
        <v>742</v>
      </c>
      <c r="D48" s="221" t="s">
        <v>704</v>
      </c>
      <c r="E48" s="229" t="e">
        <f t="shared" ref="E48:S48" ca="1" si="31">SUMIF($C$25:$C$46,"TESOURO",E$25:E$46)</f>
        <v>#NAME?</v>
      </c>
      <c r="F48" s="229" t="e">
        <f t="shared" ca="1" si="31"/>
        <v>#NAME?</v>
      </c>
      <c r="G48" s="229" t="e">
        <f t="shared" ca="1" si="31"/>
        <v>#NAME?</v>
      </c>
      <c r="H48" s="229" t="e">
        <f t="shared" ca="1" si="31"/>
        <v>#NAME?</v>
      </c>
      <c r="I48" s="229" t="e">
        <f t="shared" ca="1" si="31"/>
        <v>#NAME?</v>
      </c>
      <c r="J48" s="229" t="e">
        <f t="shared" ca="1" si="31"/>
        <v>#NAME?</v>
      </c>
      <c r="K48" s="229" t="e">
        <f t="shared" ca="1" si="31"/>
        <v>#NAME?</v>
      </c>
      <c r="L48" s="229" t="e">
        <f t="shared" ca="1" si="31"/>
        <v>#NAME?</v>
      </c>
      <c r="M48" s="229" t="e">
        <f t="shared" ca="1" si="31"/>
        <v>#NAME?</v>
      </c>
      <c r="N48" s="229" t="e">
        <f t="shared" ca="1" si="31"/>
        <v>#NAME?</v>
      </c>
      <c r="O48" s="229" t="e">
        <f t="shared" ca="1" si="31"/>
        <v>#NAME?</v>
      </c>
      <c r="P48" s="230" t="e">
        <f t="shared" ca="1" si="31"/>
        <v>#NAME?</v>
      </c>
      <c r="Q48" s="231"/>
      <c r="R48" s="232" t="e">
        <f t="shared" ca="1" si="31"/>
        <v>#NAME?</v>
      </c>
      <c r="S48" s="47" t="e">
        <f t="shared" ca="1" si="31"/>
        <v>#NAME?</v>
      </c>
    </row>
    <row r="49" spans="1:19" x14ac:dyDescent="0.2">
      <c r="A49" s="213" t="s">
        <v>728</v>
      </c>
      <c r="B49" s="225"/>
      <c r="C49" s="233" t="s">
        <v>706</v>
      </c>
      <c r="D49" s="233" t="s">
        <v>704</v>
      </c>
      <c r="E49" s="229" t="e">
        <f t="shared" ref="E49:S49" ca="1" si="32">SUMIF($C$25:$C$46,"CONTRAPARTIDA",E$25:E$46)</f>
        <v>#NAME?</v>
      </c>
      <c r="F49" s="229" t="e">
        <f t="shared" ca="1" si="32"/>
        <v>#NAME?</v>
      </c>
      <c r="G49" s="229" t="e">
        <f t="shared" ca="1" si="32"/>
        <v>#NAME?</v>
      </c>
      <c r="H49" s="229" t="e">
        <f t="shared" ca="1" si="32"/>
        <v>#NAME?</v>
      </c>
      <c r="I49" s="229" t="e">
        <f t="shared" ca="1" si="32"/>
        <v>#NAME?</v>
      </c>
      <c r="J49" s="229" t="e">
        <f t="shared" ca="1" si="32"/>
        <v>#NAME?</v>
      </c>
      <c r="K49" s="229" t="e">
        <f t="shared" ca="1" si="32"/>
        <v>#NAME?</v>
      </c>
      <c r="L49" s="229" t="e">
        <f t="shared" ca="1" si="32"/>
        <v>#NAME?</v>
      </c>
      <c r="M49" s="229" t="e">
        <f t="shared" ca="1" si="32"/>
        <v>#NAME?</v>
      </c>
      <c r="N49" s="229" t="e">
        <f t="shared" ca="1" si="32"/>
        <v>#NAME?</v>
      </c>
      <c r="O49" s="229" t="e">
        <f t="shared" ca="1" si="32"/>
        <v>#NAME?</v>
      </c>
      <c r="P49" s="230" t="e">
        <f t="shared" ca="1" si="32"/>
        <v>#NAME?</v>
      </c>
      <c r="Q49" s="234"/>
      <c r="R49" s="232" t="e">
        <f t="shared" ca="1" si="32"/>
        <v>#NAME?</v>
      </c>
      <c r="S49" s="47" t="e">
        <f t="shared" ca="1" si="32"/>
        <v>#NAME?</v>
      </c>
    </row>
    <row r="50" spans="1:19" x14ac:dyDescent="0.2">
      <c r="A50" s="235"/>
      <c r="B50" s="227"/>
      <c r="C50" s="227"/>
      <c r="D50" s="227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36"/>
      <c r="S50" s="48"/>
    </row>
    <row r="51" spans="1:19" ht="15" customHeight="1" thickBot="1" x14ac:dyDescent="0.25">
      <c r="A51" s="237" t="s">
        <v>729</v>
      </c>
      <c r="B51" s="238"/>
      <c r="C51" s="238"/>
      <c r="D51" s="239" t="s">
        <v>704</v>
      </c>
      <c r="E51" s="240" t="e">
        <f t="shared" ref="E51:P51" ca="1" si="33">SUM(E48:E49)</f>
        <v>#NAME?</v>
      </c>
      <c r="F51" s="240" t="e">
        <f t="shared" ca="1" si="33"/>
        <v>#NAME?</v>
      </c>
      <c r="G51" s="240" t="e">
        <f t="shared" ca="1" si="33"/>
        <v>#NAME?</v>
      </c>
      <c r="H51" s="240" t="e">
        <f t="shared" ca="1" si="33"/>
        <v>#NAME?</v>
      </c>
      <c r="I51" s="240" t="e">
        <f t="shared" ca="1" si="33"/>
        <v>#NAME?</v>
      </c>
      <c r="J51" s="240" t="e">
        <f t="shared" ca="1" si="33"/>
        <v>#NAME?</v>
      </c>
      <c r="K51" s="241" t="e">
        <f t="shared" ca="1" si="33"/>
        <v>#NAME?</v>
      </c>
      <c r="L51" s="241" t="e">
        <f t="shared" ca="1" si="33"/>
        <v>#NAME?</v>
      </c>
      <c r="M51" s="241" t="e">
        <f t="shared" ca="1" si="33"/>
        <v>#NAME?</v>
      </c>
      <c r="N51" s="241" t="e">
        <f t="shared" ca="1" si="33"/>
        <v>#NAME?</v>
      </c>
      <c r="O51" s="241" t="e">
        <f t="shared" ca="1" si="33"/>
        <v>#NAME?</v>
      </c>
      <c r="P51" s="242" t="e">
        <f t="shared" ca="1" si="33"/>
        <v>#NAME?</v>
      </c>
      <c r="Q51" s="243"/>
      <c r="R51" s="244" t="e">
        <f ca="1">SUM(E51:P51)</f>
        <v>#NAME?</v>
      </c>
      <c r="S51" s="49" t="e">
        <f ca="1">SUM(S48:S49)</f>
        <v>#NAME?</v>
      </c>
    </row>
    <row r="52" spans="1:19" ht="15" customHeight="1" thickTop="1" thickBot="1" x14ac:dyDescent="0.25">
      <c r="A52" s="245" t="s">
        <v>730</v>
      </c>
      <c r="B52" s="246"/>
      <c r="C52" s="246"/>
      <c r="D52" s="247" t="s">
        <v>704</v>
      </c>
      <c r="E52" s="50" t="e">
        <f t="shared" ref="E52:P52" ca="1" si="34">IF($R$51=0,0,E51/$R$51)</f>
        <v>#NAME?</v>
      </c>
      <c r="F52" s="50" t="e">
        <f t="shared" ca="1" si="34"/>
        <v>#NAME?</v>
      </c>
      <c r="G52" s="50" t="e">
        <f t="shared" ca="1" si="34"/>
        <v>#NAME?</v>
      </c>
      <c r="H52" s="50" t="e">
        <f t="shared" ca="1" si="34"/>
        <v>#NAME?</v>
      </c>
      <c r="I52" s="50" t="e">
        <f t="shared" ca="1" si="34"/>
        <v>#NAME?</v>
      </c>
      <c r="J52" s="50" t="e">
        <f t="shared" ca="1" si="34"/>
        <v>#NAME?</v>
      </c>
      <c r="K52" s="50" t="e">
        <f t="shared" ca="1" si="34"/>
        <v>#NAME?</v>
      </c>
      <c r="L52" s="50" t="e">
        <f t="shared" ca="1" si="34"/>
        <v>#NAME?</v>
      </c>
      <c r="M52" s="50" t="e">
        <f t="shared" ca="1" si="34"/>
        <v>#NAME?</v>
      </c>
      <c r="N52" s="50" t="e">
        <f t="shared" ca="1" si="34"/>
        <v>#NAME?</v>
      </c>
      <c r="O52" s="50" t="e">
        <f t="shared" ca="1" si="34"/>
        <v>#NAME?</v>
      </c>
      <c r="P52" s="248" t="e">
        <f t="shared" ca="1" si="34"/>
        <v>#NAME?</v>
      </c>
      <c r="Q52" s="51"/>
      <c r="R52" s="244" t="e">
        <f ca="1">R48+R49</f>
        <v>#NAME?</v>
      </c>
      <c r="S52" s="52" t="e">
        <f ca="1">SUM(E52:P52)</f>
        <v>#NAME?</v>
      </c>
    </row>
    <row r="53" spans="1:19" ht="15" customHeight="1" thickTop="1" thickBot="1" x14ac:dyDescent="0.25">
      <c r="A53" s="249" t="s">
        <v>731</v>
      </c>
      <c r="B53" s="250"/>
      <c r="C53" s="250"/>
      <c r="D53" s="251" t="s">
        <v>704</v>
      </c>
      <c r="E53" s="53" t="e">
        <f ca="1">E52</f>
        <v>#NAME?</v>
      </c>
      <c r="F53" s="53" t="e">
        <f t="shared" ref="F53:G53" ca="1" si="35">IF(F51=0,0,E53+F52)</f>
        <v>#NAME?</v>
      </c>
      <c r="G53" s="53" t="e">
        <f t="shared" ca="1" si="35"/>
        <v>#NAME?</v>
      </c>
      <c r="H53" s="53" t="e">
        <f ca="1">IF(H51=0,0,G53+H52)</f>
        <v>#NAME?</v>
      </c>
      <c r="I53" s="53" t="e">
        <f t="shared" ref="I53:P53" ca="1" si="36">IF(I51=0,0,H53+I52)</f>
        <v>#NAME?</v>
      </c>
      <c r="J53" s="53" t="e">
        <f t="shared" ca="1" si="36"/>
        <v>#NAME?</v>
      </c>
      <c r="K53" s="53" t="e">
        <f t="shared" ca="1" si="36"/>
        <v>#NAME?</v>
      </c>
      <c r="L53" s="53" t="e">
        <f t="shared" ca="1" si="36"/>
        <v>#NAME?</v>
      </c>
      <c r="M53" s="53" t="e">
        <f t="shared" ca="1" si="36"/>
        <v>#NAME?</v>
      </c>
      <c r="N53" s="53" t="e">
        <f t="shared" ca="1" si="36"/>
        <v>#NAME?</v>
      </c>
      <c r="O53" s="53" t="e">
        <f t="shared" ca="1" si="36"/>
        <v>#NAME?</v>
      </c>
      <c r="P53" s="252" t="e">
        <f t="shared" ca="1" si="36"/>
        <v>#NAME?</v>
      </c>
      <c r="Q53" s="54"/>
      <c r="R53" s="253" t="e">
        <f ca="1">IF(R51=R52,"OK","CORRIGIR")</f>
        <v>#NAME?</v>
      </c>
      <c r="S53" s="55" t="e">
        <f ca="1">IF(S51=S52,"OK","CORRIGIR")</f>
        <v>#NAME?</v>
      </c>
    </row>
    <row r="54" spans="1:19" s="11" customFormat="1" ht="15" customHeight="1" x14ac:dyDescent="0.2">
      <c r="A54" s="56" t="s">
        <v>732</v>
      </c>
      <c r="B54" s="57"/>
      <c r="C54" s="58"/>
      <c r="D54" s="59"/>
      <c r="E54" s="57" t="s">
        <v>733</v>
      </c>
      <c r="F54" s="60"/>
      <c r="G54" s="60"/>
      <c r="H54" s="61"/>
      <c r="I54" s="271" t="s">
        <v>734</v>
      </c>
      <c r="J54" s="272"/>
      <c r="K54" s="272"/>
      <c r="L54" s="273"/>
      <c r="M54" s="274" t="s">
        <v>733</v>
      </c>
      <c r="N54" s="275"/>
      <c r="O54" s="276"/>
      <c r="P54" s="57" t="s">
        <v>735</v>
      </c>
      <c r="Q54" s="113"/>
      <c r="R54" s="113"/>
      <c r="S54" s="114"/>
    </row>
    <row r="55" spans="1:19" s="11" customFormat="1" ht="19.5" customHeight="1" thickBot="1" x14ac:dyDescent="0.25">
      <c r="A55" s="115"/>
      <c r="B55" s="116"/>
      <c r="C55" s="117"/>
      <c r="D55" s="118"/>
      <c r="E55" s="118"/>
      <c r="F55" s="119" t="s">
        <v>736</v>
      </c>
      <c r="G55" s="118"/>
      <c r="H55" s="120"/>
      <c r="I55" s="277"/>
      <c r="J55" s="278"/>
      <c r="K55" s="279"/>
      <c r="L55" s="280"/>
      <c r="M55" s="281"/>
      <c r="N55" s="282" t="s">
        <v>737</v>
      </c>
      <c r="O55" s="283"/>
      <c r="P55" s="121"/>
      <c r="Q55" s="62"/>
      <c r="R55" s="62"/>
      <c r="S55" s="122"/>
    </row>
  </sheetData>
  <sheetProtection sort="0" autoFilter="0"/>
  <pageMargins left="1.1811023622047245" right="0.78740157480314965" top="1.1811023622047245" bottom="1.1811023622047245" header="0.31496062992125984" footer="0.51181102362204722"/>
  <pageSetup paperSize="9" scale="41" fitToHeight="0" orientation="portrait" r:id="rId1"/>
  <headerFooter alignWithMargins="0">
    <oddHeader>&amp;C&amp;"Arial,Negrito"&amp;12&amp;F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Z2723"/>
  <sheetViews>
    <sheetView showGridLines="0" showZeros="0" topLeftCell="B1" zoomScaleNormal="100" zoomScaleSheetLayoutView="50" workbookViewId="0">
      <selection activeCell="AA590" sqref="AA590"/>
    </sheetView>
  </sheetViews>
  <sheetFormatPr defaultColWidth="21.6640625" defaultRowHeight="11.25" x14ac:dyDescent="0.2"/>
  <cols>
    <col min="1" max="1" width="15.6640625" style="568" hidden="1" customWidth="1"/>
    <col min="2" max="2" width="13" style="590" customWidth="1"/>
    <col min="3" max="3" width="15.5" style="590" customWidth="1"/>
    <col min="4" max="4" width="93.33203125" style="568" customWidth="1"/>
    <col min="5" max="5" width="0.6640625" style="568" customWidth="1"/>
    <col min="6" max="6" width="15.1640625" style="591" customWidth="1"/>
    <col min="7" max="7" width="15.6640625" style="591" bestFit="1" customWidth="1"/>
    <col min="8" max="9" width="10.83203125" style="568" customWidth="1"/>
    <col min="10" max="11" width="14.83203125" style="568" customWidth="1"/>
    <col min="12" max="12" width="6.5" style="568" customWidth="1"/>
    <col min="13" max="14" width="14.6640625" style="568" customWidth="1"/>
    <col min="15" max="16" width="18.83203125" style="568" customWidth="1"/>
    <col min="17" max="17" width="21.5" style="568" customWidth="1"/>
    <col min="18" max="19" width="15.33203125" style="568" hidden="1" customWidth="1"/>
    <col min="20" max="22" width="22.5" style="568" hidden="1" customWidth="1"/>
    <col min="23" max="23" width="4.6640625" style="594" customWidth="1"/>
    <col min="24" max="26" width="4.6640625" style="568" customWidth="1"/>
    <col min="27" max="16384" width="21.6640625" style="568"/>
  </cols>
  <sheetData>
    <row r="1" spans="1:26" x14ac:dyDescent="0.2">
      <c r="A1" s="567" t="s">
        <v>2056</v>
      </c>
      <c r="B1" s="503"/>
      <c r="C1" s="504"/>
      <c r="D1" s="505"/>
      <c r="E1" s="387"/>
      <c r="F1" s="506" t="s">
        <v>2107</v>
      </c>
      <c r="G1" s="507"/>
      <c r="H1" s="391"/>
      <c r="I1" s="388"/>
      <c r="J1" s="389"/>
      <c r="K1" s="389"/>
      <c r="L1" s="390" t="s">
        <v>454</v>
      </c>
      <c r="M1" s="508"/>
      <c r="N1" s="508"/>
      <c r="O1" s="391"/>
      <c r="P1" s="509"/>
      <c r="Q1" s="509"/>
      <c r="R1" s="602" t="s">
        <v>454</v>
      </c>
      <c r="S1" s="603"/>
      <c r="T1" s="604"/>
      <c r="U1" s="605" t="s">
        <v>454</v>
      </c>
      <c r="V1" s="606"/>
      <c r="W1" s="566"/>
      <c r="X1" s="567"/>
      <c r="Y1" s="567"/>
      <c r="Z1" s="567"/>
    </row>
    <row r="2" spans="1:26" x14ac:dyDescent="0.2">
      <c r="A2" s="567" t="s">
        <v>173</v>
      </c>
      <c r="B2" s="392" t="s">
        <v>173</v>
      </c>
      <c r="C2" s="766"/>
      <c r="D2" s="510"/>
      <c r="E2" s="767"/>
      <c r="F2" s="768" t="s">
        <v>2106</v>
      </c>
      <c r="G2" s="396"/>
      <c r="H2" s="609"/>
      <c r="I2" s="769"/>
      <c r="J2" s="393"/>
      <c r="K2" s="769"/>
      <c r="L2" s="769"/>
      <c r="M2" s="769"/>
      <c r="N2" s="770"/>
      <c r="O2" s="771"/>
      <c r="P2" s="511"/>
      <c r="Q2" s="511"/>
      <c r="R2" s="607"/>
      <c r="S2" s="608"/>
      <c r="T2" s="609"/>
      <c r="U2" s="567"/>
      <c r="V2" s="610"/>
      <c r="W2" s="566"/>
      <c r="X2" s="567"/>
      <c r="Y2" s="567"/>
      <c r="Z2" s="567"/>
    </row>
    <row r="3" spans="1:26" x14ac:dyDescent="0.2">
      <c r="A3" s="567"/>
      <c r="B3" s="512"/>
      <c r="C3" s="772"/>
      <c r="D3" s="394" t="s">
        <v>455</v>
      </c>
      <c r="E3" s="773"/>
      <c r="F3" s="774" t="s">
        <v>455</v>
      </c>
      <c r="G3" s="513"/>
      <c r="H3" s="775"/>
      <c r="I3" s="776"/>
      <c r="J3" s="393"/>
      <c r="K3" s="777"/>
      <c r="L3" s="394" t="s">
        <v>455</v>
      </c>
      <c r="M3" s="777"/>
      <c r="N3" s="777"/>
      <c r="O3" s="775"/>
      <c r="P3" s="514"/>
      <c r="Q3" s="514"/>
      <c r="R3" s="394" t="s">
        <v>455</v>
      </c>
      <c r="S3" s="608"/>
      <c r="T3" s="609"/>
      <c r="U3" s="567"/>
      <c r="V3" s="610"/>
      <c r="W3" s="566"/>
      <c r="X3" s="567"/>
      <c r="Y3" s="567"/>
      <c r="Z3" s="567"/>
    </row>
    <row r="4" spans="1:26" x14ac:dyDescent="0.2">
      <c r="A4" s="567" t="s">
        <v>174</v>
      </c>
      <c r="B4" s="515" t="s">
        <v>174</v>
      </c>
      <c r="C4" s="778"/>
      <c r="D4" s="395" t="s">
        <v>175</v>
      </c>
      <c r="E4" s="779" t="s">
        <v>0</v>
      </c>
      <c r="F4" s="780"/>
      <c r="G4" s="396"/>
      <c r="H4" s="775"/>
      <c r="I4" s="776"/>
      <c r="J4" s="393"/>
      <c r="K4" s="777"/>
      <c r="L4" s="777"/>
      <c r="M4" s="777"/>
      <c r="N4" s="777"/>
      <c r="O4" s="775"/>
      <c r="P4" s="514"/>
      <c r="Q4" s="514"/>
      <c r="R4" s="611"/>
      <c r="S4" s="608"/>
      <c r="T4" s="609"/>
      <c r="U4" s="567"/>
      <c r="V4" s="610"/>
      <c r="W4" s="566"/>
      <c r="X4" s="567"/>
      <c r="Y4" s="567"/>
      <c r="Z4" s="567"/>
    </row>
    <row r="5" spans="1:26" x14ac:dyDescent="0.2">
      <c r="A5" s="567" t="s">
        <v>174</v>
      </c>
      <c r="B5" s="515" t="s">
        <v>174</v>
      </c>
      <c r="C5" s="778"/>
      <c r="D5" s="395" t="s">
        <v>1</v>
      </c>
      <c r="E5" s="779" t="s">
        <v>0</v>
      </c>
      <c r="F5" s="780" t="s">
        <v>669</v>
      </c>
      <c r="G5" s="396"/>
      <c r="H5" s="775"/>
      <c r="I5" s="776"/>
      <c r="J5" s="393"/>
      <c r="K5" s="777"/>
      <c r="L5" s="777"/>
      <c r="M5" s="777"/>
      <c r="N5" s="777"/>
      <c r="O5" s="775"/>
      <c r="P5" s="514"/>
      <c r="Q5" s="514"/>
      <c r="R5" s="611"/>
      <c r="S5" s="608"/>
      <c r="T5" s="609"/>
      <c r="U5" s="567"/>
      <c r="V5" s="610"/>
      <c r="W5" s="566"/>
      <c r="X5" s="567"/>
      <c r="Y5" s="567"/>
      <c r="Z5" s="567"/>
    </row>
    <row r="6" spans="1:26" x14ac:dyDescent="0.2">
      <c r="A6" s="567" t="s">
        <v>174</v>
      </c>
      <c r="B6" s="515" t="s">
        <v>174</v>
      </c>
      <c r="C6" s="778"/>
      <c r="D6" s="395" t="s">
        <v>2</v>
      </c>
      <c r="E6" s="779" t="s">
        <v>0</v>
      </c>
      <c r="F6" s="780"/>
      <c r="G6" s="396"/>
      <c r="H6" s="775"/>
      <c r="I6" s="776"/>
      <c r="J6" s="393"/>
      <c r="K6" s="777"/>
      <c r="L6" s="777"/>
      <c r="M6" s="777"/>
      <c r="N6" s="777"/>
      <c r="O6" s="775"/>
      <c r="P6" s="514"/>
      <c r="Q6" s="514"/>
      <c r="R6" s="611"/>
      <c r="S6" s="608"/>
      <c r="T6" s="609"/>
      <c r="U6" s="567"/>
      <c r="V6" s="610"/>
      <c r="W6" s="566"/>
      <c r="X6" s="567"/>
      <c r="Y6" s="567"/>
      <c r="Z6" s="567"/>
    </row>
    <row r="7" spans="1:26" x14ac:dyDescent="0.2">
      <c r="A7" s="567" t="s">
        <v>174</v>
      </c>
      <c r="B7" s="515" t="s">
        <v>174</v>
      </c>
      <c r="C7" s="778"/>
      <c r="D7" s="395" t="s">
        <v>3</v>
      </c>
      <c r="E7" s="779" t="s">
        <v>0</v>
      </c>
      <c r="F7" s="780"/>
      <c r="G7" s="396"/>
      <c r="H7" s="775"/>
      <c r="I7" s="776"/>
      <c r="J7" s="393"/>
      <c r="K7" s="777"/>
      <c r="L7" s="777"/>
      <c r="M7" s="777"/>
      <c r="N7" s="777"/>
      <c r="O7" s="775"/>
      <c r="P7" s="514"/>
      <c r="Q7" s="514"/>
      <c r="R7" s="611"/>
      <c r="S7" s="608"/>
      <c r="T7" s="609"/>
      <c r="U7" s="567"/>
      <c r="V7" s="610"/>
      <c r="W7" s="566"/>
      <c r="X7" s="567"/>
      <c r="Y7" s="567"/>
      <c r="Z7" s="567"/>
    </row>
    <row r="8" spans="1:26" ht="12" thickBot="1" x14ac:dyDescent="0.25">
      <c r="A8" s="567"/>
      <c r="B8" s="516"/>
      <c r="C8" s="781"/>
      <c r="D8" s="395" t="s">
        <v>4</v>
      </c>
      <c r="E8" s="779" t="s">
        <v>0</v>
      </c>
      <c r="F8" s="780"/>
      <c r="G8" s="396"/>
      <c r="H8" s="775"/>
      <c r="I8" s="776"/>
      <c r="J8" s="393"/>
      <c r="K8" s="777"/>
      <c r="L8" s="777"/>
      <c r="M8" s="777"/>
      <c r="N8" s="777"/>
      <c r="O8" s="775"/>
      <c r="P8" s="514"/>
      <c r="Q8" s="514"/>
      <c r="R8" s="611"/>
      <c r="S8" s="608"/>
      <c r="T8" s="609"/>
      <c r="U8" s="567"/>
      <c r="V8" s="610"/>
      <c r="W8" s="566"/>
      <c r="X8" s="567"/>
      <c r="Y8" s="567"/>
      <c r="Z8" s="567"/>
    </row>
    <row r="9" spans="1:26" ht="12" thickBot="1" x14ac:dyDescent="0.25">
      <c r="A9" s="567"/>
      <c r="B9" s="515"/>
      <c r="C9" s="778"/>
      <c r="D9" s="395" t="s">
        <v>2057</v>
      </c>
      <c r="E9" s="779" t="s">
        <v>0</v>
      </c>
      <c r="F9" s="397">
        <f>'BDI Pavimentação'!B17</f>
        <v>0.15279999999999999</v>
      </c>
      <c r="G9" s="396"/>
      <c r="H9" s="775"/>
      <c r="I9" s="776"/>
      <c r="J9" s="393"/>
      <c r="K9" s="777"/>
      <c r="L9" s="777"/>
      <c r="M9" s="777"/>
      <c r="N9" s="777"/>
      <c r="O9" s="775"/>
      <c r="P9" s="514"/>
      <c r="Q9" s="514"/>
      <c r="R9" s="611"/>
      <c r="S9" s="608"/>
      <c r="T9" s="609"/>
      <c r="U9" s="567"/>
      <c r="V9" s="610"/>
      <c r="W9" s="566"/>
      <c r="X9" s="567"/>
      <c r="Y9" s="567"/>
      <c r="Z9" s="567"/>
    </row>
    <row r="10" spans="1:26" ht="12" thickBot="1" x14ac:dyDescent="0.25">
      <c r="A10" s="567"/>
      <c r="B10" s="515"/>
      <c r="C10" s="778"/>
      <c r="D10" s="395" t="s">
        <v>618</v>
      </c>
      <c r="E10" s="779" t="s">
        <v>0</v>
      </c>
      <c r="F10" s="398">
        <f>'BDI Pavimentação'!B15</f>
        <v>0.18809999999999999</v>
      </c>
      <c r="G10" s="396"/>
      <c r="H10" s="775"/>
      <c r="I10" s="776"/>
      <c r="J10" s="393"/>
      <c r="K10" s="777"/>
      <c r="L10" s="777"/>
      <c r="M10" s="777"/>
      <c r="N10" s="777"/>
      <c r="O10" s="775"/>
      <c r="P10" s="514"/>
      <c r="Q10" s="514"/>
      <c r="R10" s="611"/>
      <c r="S10" s="608"/>
      <c r="T10" s="609"/>
      <c r="U10" s="567"/>
      <c r="V10" s="610"/>
      <c r="W10" s="566"/>
      <c r="X10" s="567"/>
      <c r="Y10" s="567"/>
      <c r="Z10" s="567"/>
    </row>
    <row r="11" spans="1:26" ht="12" thickBot="1" x14ac:dyDescent="0.25">
      <c r="A11" s="567"/>
      <c r="B11" s="517"/>
      <c r="C11" s="518"/>
      <c r="D11" s="399" t="s">
        <v>162</v>
      </c>
      <c r="E11" s="400" t="s">
        <v>0</v>
      </c>
      <c r="F11" s="401"/>
      <c r="G11" s="402"/>
      <c r="H11" s="406"/>
      <c r="I11" s="403"/>
      <c r="J11" s="404"/>
      <c r="K11" s="405"/>
      <c r="L11" s="405"/>
      <c r="M11" s="405"/>
      <c r="N11" s="405"/>
      <c r="O11" s="406"/>
      <c r="P11" s="519"/>
      <c r="Q11" s="519"/>
      <c r="R11" s="612"/>
      <c r="S11" s="613"/>
      <c r="T11" s="614"/>
      <c r="U11" s="615"/>
      <c r="V11" s="616"/>
      <c r="W11" s="566"/>
      <c r="X11" s="567"/>
      <c r="Y11" s="567"/>
      <c r="Z11" s="567"/>
    </row>
    <row r="12" spans="1:26" s="601" customFormat="1" ht="25.35" customHeight="1" thickBot="1" x14ac:dyDescent="0.35">
      <c r="A12" s="600"/>
      <c r="B12" s="502" t="s">
        <v>180</v>
      </c>
      <c r="C12" s="595"/>
      <c r="D12" s="596"/>
      <c r="E12" s="596"/>
      <c r="F12" s="597"/>
      <c r="G12" s="598"/>
      <c r="H12" s="596"/>
      <c r="I12" s="596"/>
      <c r="J12" s="596"/>
      <c r="K12" s="596"/>
      <c r="L12" s="596"/>
      <c r="M12" s="596"/>
      <c r="N12" s="596"/>
      <c r="O12" s="596"/>
      <c r="P12" s="763"/>
      <c r="Q12" s="596"/>
      <c r="R12" s="596"/>
      <c r="S12" s="596"/>
      <c r="T12" s="596"/>
      <c r="U12" s="596"/>
      <c r="V12" s="763"/>
      <c r="W12" s="599"/>
      <c r="X12" s="600"/>
      <c r="Y12" s="600"/>
      <c r="Z12" s="600"/>
    </row>
    <row r="13" spans="1:26" ht="14.1" customHeight="1" x14ac:dyDescent="0.2">
      <c r="A13" s="567"/>
      <c r="B13" s="520" t="s">
        <v>182</v>
      </c>
      <c r="C13" s="521"/>
      <c r="D13" s="802" t="s">
        <v>2109</v>
      </c>
      <c r="E13" s="522"/>
      <c r="F13" s="795" t="s">
        <v>183</v>
      </c>
      <c r="G13" s="523" t="s">
        <v>2110</v>
      </c>
      <c r="H13" s="524"/>
      <c r="I13" s="525"/>
      <c r="J13" s="525"/>
      <c r="K13" s="525"/>
      <c r="L13" s="526"/>
      <c r="M13" s="526"/>
      <c r="N13" s="526"/>
      <c r="O13" s="526"/>
      <c r="P13" s="782"/>
      <c r="Q13" s="526"/>
      <c r="R13" s="526"/>
      <c r="S13" s="526"/>
      <c r="T13" s="526"/>
      <c r="U13" s="617" t="s">
        <v>183</v>
      </c>
      <c r="V13" s="618"/>
      <c r="W13" s="566"/>
      <c r="X13" s="567"/>
      <c r="Y13" s="567"/>
      <c r="Z13" s="567"/>
    </row>
    <row r="14" spans="1:26" ht="14.1" customHeight="1" x14ac:dyDescent="0.2">
      <c r="A14" s="567"/>
      <c r="B14" s="527" t="s">
        <v>679</v>
      </c>
      <c r="C14" s="528"/>
      <c r="D14" s="803" t="s">
        <v>2111</v>
      </c>
      <c r="E14" s="529"/>
      <c r="F14" s="796" t="s">
        <v>185</v>
      </c>
      <c r="G14" s="530" t="s">
        <v>547</v>
      </c>
      <c r="H14" s="531"/>
      <c r="I14" s="532"/>
      <c r="J14" s="532"/>
      <c r="K14" s="532"/>
      <c r="L14" s="533"/>
      <c r="M14" s="533"/>
      <c r="N14" s="533"/>
      <c r="O14" s="533"/>
      <c r="P14" s="783"/>
      <c r="Q14" s="533"/>
      <c r="R14" s="533"/>
      <c r="S14" s="533"/>
      <c r="T14" s="533"/>
      <c r="U14" s="619" t="s">
        <v>184</v>
      </c>
      <c r="V14" s="620"/>
      <c r="W14" s="566"/>
      <c r="X14" s="567"/>
      <c r="Y14" s="567"/>
      <c r="Z14" s="567"/>
    </row>
    <row r="15" spans="1:26" ht="14.1" customHeight="1" thickBot="1" x14ac:dyDescent="0.25">
      <c r="A15" s="567"/>
      <c r="B15" s="534" t="s">
        <v>765</v>
      </c>
      <c r="C15" s="535"/>
      <c r="D15" s="804" t="s">
        <v>2112</v>
      </c>
      <c r="E15" s="536"/>
      <c r="F15" s="537"/>
      <c r="G15" s="538"/>
      <c r="H15" s="539"/>
      <c r="I15" s="540"/>
      <c r="J15" s="540"/>
      <c r="K15" s="540"/>
      <c r="L15" s="541"/>
      <c r="M15" s="541"/>
      <c r="N15" s="541"/>
      <c r="O15" s="541"/>
      <c r="P15" s="621"/>
      <c r="Q15" s="541"/>
      <c r="R15" s="541"/>
      <c r="S15" s="541"/>
      <c r="T15" s="541"/>
      <c r="U15" s="541"/>
      <c r="V15" s="621"/>
      <c r="W15" s="566"/>
      <c r="X15" s="567"/>
      <c r="Y15" s="567"/>
      <c r="Z15" s="567"/>
    </row>
    <row r="16" spans="1:26" ht="12" thickBot="1" x14ac:dyDescent="0.25">
      <c r="A16" s="567"/>
      <c r="B16" s="542" t="s">
        <v>449</v>
      </c>
      <c r="C16" s="543" t="s">
        <v>678</v>
      </c>
      <c r="D16" s="544" t="s">
        <v>176</v>
      </c>
      <c r="E16" s="545"/>
      <c r="F16" s="546" t="s">
        <v>5</v>
      </c>
      <c r="G16" s="407" t="s">
        <v>6</v>
      </c>
      <c r="H16" s="547" t="s">
        <v>7</v>
      </c>
      <c r="I16" s="548"/>
      <c r="J16" s="549"/>
      <c r="K16" s="548"/>
      <c r="L16" s="550" t="s">
        <v>179</v>
      </c>
      <c r="M16" s="551" t="s">
        <v>8</v>
      </c>
      <c r="N16" s="552"/>
      <c r="O16" s="552"/>
      <c r="P16" s="784"/>
      <c r="Q16" s="552"/>
      <c r="R16" s="622" t="s">
        <v>2058</v>
      </c>
      <c r="S16" s="623"/>
      <c r="T16" s="623"/>
      <c r="U16" s="624"/>
      <c r="V16" s="624"/>
      <c r="W16" s="569" t="s">
        <v>450</v>
      </c>
      <c r="X16" s="569"/>
      <c r="Y16" s="570"/>
      <c r="Z16" s="570"/>
    </row>
    <row r="17" spans="1:26" ht="38.25" thickBot="1" x14ac:dyDescent="0.25">
      <c r="A17" s="625" t="s">
        <v>2059</v>
      </c>
      <c r="B17" s="553" t="s">
        <v>187</v>
      </c>
      <c r="C17" s="554"/>
      <c r="D17" s="408" t="s">
        <v>2060</v>
      </c>
      <c r="E17" s="555"/>
      <c r="F17" s="556" t="s">
        <v>177</v>
      </c>
      <c r="G17" s="557" t="s">
        <v>178</v>
      </c>
      <c r="H17" s="558" t="s">
        <v>9</v>
      </c>
      <c r="I17" s="559" t="s">
        <v>10</v>
      </c>
      <c r="J17" s="559" t="s">
        <v>11</v>
      </c>
      <c r="K17" s="560" t="s">
        <v>12</v>
      </c>
      <c r="L17" s="561"/>
      <c r="M17" s="562" t="s">
        <v>13</v>
      </c>
      <c r="N17" s="563" t="s">
        <v>14</v>
      </c>
      <c r="O17" s="564" t="s">
        <v>744</v>
      </c>
      <c r="P17" s="565" t="s">
        <v>15</v>
      </c>
      <c r="Q17" s="764" t="s">
        <v>181</v>
      </c>
      <c r="R17" s="562" t="s">
        <v>13</v>
      </c>
      <c r="S17" s="626" t="s">
        <v>14</v>
      </c>
      <c r="T17" s="564" t="s">
        <v>744</v>
      </c>
      <c r="U17" s="565" t="s">
        <v>15</v>
      </c>
      <c r="V17" s="627" t="s">
        <v>181</v>
      </c>
      <c r="W17" s="571" t="s">
        <v>451</v>
      </c>
      <c r="X17" s="571" t="s">
        <v>2061</v>
      </c>
      <c r="Y17" s="571" t="s">
        <v>2062</v>
      </c>
      <c r="Z17" s="571" t="s">
        <v>453</v>
      </c>
    </row>
    <row r="18" spans="1:26" ht="12" thickBot="1" x14ac:dyDescent="0.25">
      <c r="A18" s="567" t="s">
        <v>547</v>
      </c>
      <c r="B18" s="628" t="s">
        <v>547</v>
      </c>
      <c r="C18" s="629"/>
      <c r="D18" s="630" t="s">
        <v>463</v>
      </c>
      <c r="E18" s="631"/>
      <c r="F18" s="632"/>
      <c r="G18" s="633"/>
      <c r="H18" s="634"/>
      <c r="I18" s="409"/>
      <c r="J18" s="409"/>
      <c r="K18" s="409"/>
      <c r="L18" s="409" t="s">
        <v>614</v>
      </c>
      <c r="M18" s="634"/>
      <c r="N18" s="409"/>
      <c r="O18" s="409"/>
      <c r="P18" s="635"/>
      <c r="Q18" s="635">
        <f>SUM(P19:P67)</f>
        <v>3801.14</v>
      </c>
      <c r="R18" s="634"/>
      <c r="S18" s="409"/>
      <c r="T18" s="409"/>
      <c r="U18" s="635"/>
      <c r="V18" s="636">
        <f>SUM(U19:U67)</f>
        <v>3801.14</v>
      </c>
      <c r="W18" s="637" t="str">
        <f>IF(OR(Q18&gt;0,V18&gt;0),"X","")</f>
        <v>X</v>
      </c>
      <c r="X18" s="586" t="str">
        <f t="shared" ref="X18:X89" si="0">IF(W18="X","x",IF(W18="xx","x",IF(W18="xy","x",IF(W18="y","x",IF(OR(P18&gt;0,U18&gt;0),"x","")))))</f>
        <v>x</v>
      </c>
      <c r="Y18" s="586" t="str">
        <f t="shared" ref="Y18:Y83" si="1">IF(W18="X","x",IF(W18="y","x",IF(W18="xx","x",IF(U18&gt;0,"x",""))))</f>
        <v>x</v>
      </c>
      <c r="Z18" s="586" t="str">
        <f t="shared" ref="Z18:Z83" si="2">IF(W18="X","x",IF(U18&gt;0,"x",""))</f>
        <v>x</v>
      </c>
    </row>
    <row r="19" spans="1:26" hidden="1" x14ac:dyDescent="0.2">
      <c r="A19" s="567">
        <v>831000</v>
      </c>
      <c r="B19" s="638" t="s">
        <v>1723</v>
      </c>
      <c r="C19" s="639" t="s">
        <v>206</v>
      </c>
      <c r="D19" s="410" t="s">
        <v>280</v>
      </c>
      <c r="E19" s="411"/>
      <c r="F19" s="412"/>
      <c r="G19" s="413"/>
      <c r="H19" s="640">
        <v>0</v>
      </c>
      <c r="I19" s="414">
        <v>41.120000000000005</v>
      </c>
      <c r="J19" s="414">
        <f t="shared" ref="J19:J41" si="3">IF(ISBLANK(I19),"",SUM(H19:I19))</f>
        <v>41.120000000000005</v>
      </c>
      <c r="K19" s="415">
        <f t="shared" ref="K19:K39" si="4">IF(ISBLANK(I19),0,ROUND(J19*(1+$F$10)*(1+$F$11*E19),2))</f>
        <v>48.85</v>
      </c>
      <c r="L19" s="641" t="s">
        <v>19</v>
      </c>
      <c r="M19" s="576"/>
      <c r="N19" s="576">
        <f>IF(M19=0,0,K19)</f>
        <v>0</v>
      </c>
      <c r="O19" s="642">
        <f>IF(ISBLANK(M19),0,ROUND(K19*M19,2))</f>
        <v>0</v>
      </c>
      <c r="P19" s="578">
        <f>IF(ISBLANK(N19),0,ROUND(M19*N19,2))</f>
        <v>0</v>
      </c>
      <c r="Q19" s="765"/>
      <c r="R19" s="576">
        <f>M19</f>
        <v>0</v>
      </c>
      <c r="S19" s="576">
        <f>N19</f>
        <v>0</v>
      </c>
      <c r="T19" s="577">
        <f>IF(ISBLANK(R19),0,ROUND(K19*R19,2))</f>
        <v>0</v>
      </c>
      <c r="U19" s="578">
        <f>IF(ISBLANK(R19),0,ROUND(R19*S19,2))</f>
        <v>0</v>
      </c>
      <c r="V19" s="643"/>
      <c r="W19" s="566"/>
      <c r="X19" s="586" t="str">
        <f t="shared" si="0"/>
        <v/>
      </c>
      <c r="Y19" s="586" t="str">
        <f t="shared" si="1"/>
        <v/>
      </c>
      <c r="Z19" s="586" t="str">
        <f t="shared" si="2"/>
        <v/>
      </c>
    </row>
    <row r="20" spans="1:26" hidden="1" x14ac:dyDescent="0.2">
      <c r="A20" s="567">
        <v>830000</v>
      </c>
      <c r="B20" s="644" t="s">
        <v>1724</v>
      </c>
      <c r="C20" s="645" t="s">
        <v>206</v>
      </c>
      <c r="D20" s="416" t="s">
        <v>281</v>
      </c>
      <c r="E20" s="417"/>
      <c r="F20" s="418"/>
      <c r="G20" s="419"/>
      <c r="H20" s="646">
        <v>0</v>
      </c>
      <c r="I20" s="414">
        <v>34.14</v>
      </c>
      <c r="J20" s="420">
        <f t="shared" si="3"/>
        <v>34.14</v>
      </c>
      <c r="K20" s="421">
        <f t="shared" si="4"/>
        <v>40.56</v>
      </c>
      <c r="L20" s="647" t="s">
        <v>19</v>
      </c>
      <c r="M20" s="576"/>
      <c r="N20" s="576">
        <f t="shared" ref="N20:N83" si="5">IF(M20=0,0,K20)</f>
        <v>0</v>
      </c>
      <c r="O20" s="642">
        <f t="shared" ref="O20:O87" si="6">IF(ISBLANK(M20),0,ROUND(K20*M20,2))</f>
        <v>0</v>
      </c>
      <c r="P20" s="578">
        <f t="shared" ref="P20:P87" si="7">IF(ISBLANK(N20),0,ROUND(M20*N20,2))</f>
        <v>0</v>
      </c>
      <c r="Q20" s="765"/>
      <c r="R20" s="576">
        <f t="shared" ref="R20:S87" si="8">M20</f>
        <v>0</v>
      </c>
      <c r="S20" s="576">
        <f t="shared" si="8"/>
        <v>0</v>
      </c>
      <c r="T20" s="577">
        <f t="shared" ref="T20:T87" si="9">IF(ISBLANK(R20),0,ROUND(K20*R20,2))</f>
        <v>0</v>
      </c>
      <c r="U20" s="578">
        <f t="shared" ref="U20:U87" si="10">IF(ISBLANK(R20),0,ROUND(R20*S20,2))</f>
        <v>0</v>
      </c>
      <c r="V20" s="579"/>
      <c r="W20" s="566"/>
      <c r="X20" s="586" t="str">
        <f t="shared" si="0"/>
        <v/>
      </c>
      <c r="Y20" s="586" t="str">
        <f t="shared" si="1"/>
        <v/>
      </c>
      <c r="Z20" s="586" t="str">
        <f t="shared" si="2"/>
        <v/>
      </c>
    </row>
    <row r="21" spans="1:26" hidden="1" x14ac:dyDescent="0.2">
      <c r="A21" s="648">
        <v>606600</v>
      </c>
      <c r="B21" s="644" t="s">
        <v>1725</v>
      </c>
      <c r="C21" s="645" t="s">
        <v>206</v>
      </c>
      <c r="D21" s="422" t="s">
        <v>200</v>
      </c>
      <c r="E21" s="423"/>
      <c r="F21" s="424"/>
      <c r="G21" s="419"/>
      <c r="H21" s="646"/>
      <c r="I21" s="414">
        <v>300.33999999999997</v>
      </c>
      <c r="J21" s="420">
        <f t="shared" si="3"/>
        <v>300.33999999999997</v>
      </c>
      <c r="K21" s="421">
        <f t="shared" si="4"/>
        <v>356.83</v>
      </c>
      <c r="L21" s="647" t="s">
        <v>16</v>
      </c>
      <c r="M21" s="576"/>
      <c r="N21" s="576">
        <f t="shared" si="5"/>
        <v>0</v>
      </c>
      <c r="O21" s="642">
        <f t="shared" si="6"/>
        <v>0</v>
      </c>
      <c r="P21" s="578">
        <f t="shared" si="7"/>
        <v>0</v>
      </c>
      <c r="Q21" s="765"/>
      <c r="R21" s="576">
        <f t="shared" si="8"/>
        <v>0</v>
      </c>
      <c r="S21" s="576">
        <f t="shared" si="8"/>
        <v>0</v>
      </c>
      <c r="T21" s="577">
        <f t="shared" si="9"/>
        <v>0</v>
      </c>
      <c r="U21" s="578">
        <f t="shared" si="10"/>
        <v>0</v>
      </c>
      <c r="V21" s="579"/>
      <c r="W21" s="566"/>
      <c r="X21" s="586" t="str">
        <f t="shared" si="0"/>
        <v/>
      </c>
      <c r="Y21" s="586" t="str">
        <f t="shared" si="1"/>
        <v/>
      </c>
      <c r="Z21" s="586" t="str">
        <f t="shared" si="2"/>
        <v/>
      </c>
    </row>
    <row r="22" spans="1:26" hidden="1" x14ac:dyDescent="0.2">
      <c r="A22" s="648">
        <v>606700</v>
      </c>
      <c r="B22" s="644" t="s">
        <v>1726</v>
      </c>
      <c r="C22" s="645" t="s">
        <v>206</v>
      </c>
      <c r="D22" s="422" t="s">
        <v>199</v>
      </c>
      <c r="E22" s="423"/>
      <c r="F22" s="424"/>
      <c r="G22" s="419"/>
      <c r="H22" s="646"/>
      <c r="I22" s="414">
        <v>143.94</v>
      </c>
      <c r="J22" s="420">
        <f t="shared" si="3"/>
        <v>143.94</v>
      </c>
      <c r="K22" s="421">
        <f t="shared" si="4"/>
        <v>171.02</v>
      </c>
      <c r="L22" s="647" t="s">
        <v>16</v>
      </c>
      <c r="M22" s="576"/>
      <c r="N22" s="576">
        <f t="shared" si="5"/>
        <v>0</v>
      </c>
      <c r="O22" s="577">
        <f t="shared" si="6"/>
        <v>0</v>
      </c>
      <c r="P22" s="578">
        <f t="shared" si="7"/>
        <v>0</v>
      </c>
      <c r="Q22" s="765"/>
      <c r="R22" s="576">
        <f t="shared" si="8"/>
        <v>0</v>
      </c>
      <c r="S22" s="576">
        <f t="shared" si="8"/>
        <v>0</v>
      </c>
      <c r="T22" s="577">
        <f t="shared" si="9"/>
        <v>0</v>
      </c>
      <c r="U22" s="578">
        <f t="shared" si="10"/>
        <v>0</v>
      </c>
      <c r="V22" s="579"/>
      <c r="W22" s="566"/>
      <c r="X22" s="586" t="str">
        <f t="shared" si="0"/>
        <v/>
      </c>
      <c r="Y22" s="586" t="str">
        <f t="shared" si="1"/>
        <v/>
      </c>
      <c r="Z22" s="586" t="str">
        <f t="shared" si="2"/>
        <v/>
      </c>
    </row>
    <row r="23" spans="1:26" hidden="1" x14ac:dyDescent="0.2">
      <c r="A23" s="567">
        <v>512000</v>
      </c>
      <c r="B23" s="644">
        <v>512000</v>
      </c>
      <c r="C23" s="645" t="s">
        <v>206</v>
      </c>
      <c r="D23" s="422" t="s">
        <v>201</v>
      </c>
      <c r="E23" s="423"/>
      <c r="F23" s="424">
        <v>1</v>
      </c>
      <c r="G23" s="425">
        <v>1.86</v>
      </c>
      <c r="H23" s="649">
        <f>IF(F23&lt;=30,(1.07*F23+2.68)*G23,((1.07*30+2.68)+1.07*(F23-30))*G23)</f>
        <v>6.9750000000000005</v>
      </c>
      <c r="I23" s="414">
        <v>59.38</v>
      </c>
      <c r="J23" s="420">
        <f t="shared" si="3"/>
        <v>66.355000000000004</v>
      </c>
      <c r="K23" s="421">
        <f t="shared" si="4"/>
        <v>78.84</v>
      </c>
      <c r="L23" s="647" t="s">
        <v>16</v>
      </c>
      <c r="M23" s="576"/>
      <c r="N23" s="576">
        <f t="shared" si="5"/>
        <v>0</v>
      </c>
      <c r="O23" s="577">
        <f t="shared" si="6"/>
        <v>0</v>
      </c>
      <c r="P23" s="578">
        <f t="shared" si="7"/>
        <v>0</v>
      </c>
      <c r="Q23" s="765"/>
      <c r="R23" s="576">
        <f t="shared" si="8"/>
        <v>0</v>
      </c>
      <c r="S23" s="576">
        <f t="shared" si="8"/>
        <v>0</v>
      </c>
      <c r="T23" s="577">
        <f t="shared" si="9"/>
        <v>0</v>
      </c>
      <c r="U23" s="578">
        <f t="shared" si="10"/>
        <v>0</v>
      </c>
      <c r="V23" s="579"/>
      <c r="W23" s="566"/>
      <c r="X23" s="586" t="str">
        <f t="shared" si="0"/>
        <v/>
      </c>
      <c r="Y23" s="586" t="str">
        <f t="shared" si="1"/>
        <v/>
      </c>
      <c r="Z23" s="586" t="str">
        <f t="shared" si="2"/>
        <v/>
      </c>
    </row>
    <row r="24" spans="1:26" hidden="1" x14ac:dyDescent="0.2">
      <c r="A24" s="567">
        <v>512050</v>
      </c>
      <c r="B24" s="644">
        <v>512050</v>
      </c>
      <c r="C24" s="645" t="s">
        <v>206</v>
      </c>
      <c r="D24" s="422" t="s">
        <v>592</v>
      </c>
      <c r="E24" s="423"/>
      <c r="F24" s="424">
        <v>1</v>
      </c>
      <c r="G24" s="425">
        <v>1.86</v>
      </c>
      <c r="H24" s="649">
        <f t="shared" ref="H24:H28" si="11">IF(F24&lt;=30,(1.07*F24+2.68)*G24,((1.07*30+2.68)+1.07*(F24-30))*G24)</f>
        <v>6.9750000000000005</v>
      </c>
      <c r="I24" s="414">
        <v>41.37</v>
      </c>
      <c r="J24" s="420">
        <f t="shared" si="3"/>
        <v>48.344999999999999</v>
      </c>
      <c r="K24" s="421">
        <f t="shared" si="4"/>
        <v>57.44</v>
      </c>
      <c r="L24" s="647" t="s">
        <v>16</v>
      </c>
      <c r="M24" s="576"/>
      <c r="N24" s="576">
        <f t="shared" si="5"/>
        <v>0</v>
      </c>
      <c r="O24" s="577">
        <f t="shared" si="6"/>
        <v>0</v>
      </c>
      <c r="P24" s="578">
        <f t="shared" si="7"/>
        <v>0</v>
      </c>
      <c r="Q24" s="765"/>
      <c r="R24" s="576">
        <f t="shared" si="8"/>
        <v>0</v>
      </c>
      <c r="S24" s="576">
        <f t="shared" si="8"/>
        <v>0</v>
      </c>
      <c r="T24" s="577">
        <f t="shared" si="9"/>
        <v>0</v>
      </c>
      <c r="U24" s="578">
        <f t="shared" si="10"/>
        <v>0</v>
      </c>
      <c r="V24" s="579"/>
      <c r="W24" s="566"/>
      <c r="X24" s="586" t="str">
        <f t="shared" si="0"/>
        <v/>
      </c>
      <c r="Y24" s="586" t="str">
        <f t="shared" si="1"/>
        <v/>
      </c>
      <c r="Z24" s="586" t="str">
        <f t="shared" si="2"/>
        <v/>
      </c>
    </row>
    <row r="25" spans="1:26" hidden="1" x14ac:dyDescent="0.2">
      <c r="A25" s="567">
        <v>810250</v>
      </c>
      <c r="B25" s="644" t="s">
        <v>486</v>
      </c>
      <c r="C25" s="645" t="s">
        <v>206</v>
      </c>
      <c r="D25" s="422" t="s">
        <v>488</v>
      </c>
      <c r="E25" s="423"/>
      <c r="F25" s="424">
        <v>10</v>
      </c>
      <c r="G25" s="425">
        <f>ROUND(0.017*2.34,4)</f>
        <v>3.9800000000000002E-2</v>
      </c>
      <c r="H25" s="649">
        <f t="shared" si="11"/>
        <v>0.53252400000000011</v>
      </c>
      <c r="I25" s="420">
        <v>19.262602000000001</v>
      </c>
      <c r="J25" s="420">
        <f t="shared" si="3"/>
        <v>19.795126</v>
      </c>
      <c r="K25" s="421">
        <f t="shared" si="4"/>
        <v>23.52</v>
      </c>
      <c r="L25" s="647" t="s">
        <v>19</v>
      </c>
      <c r="M25" s="576"/>
      <c r="N25" s="576">
        <f t="shared" si="5"/>
        <v>0</v>
      </c>
      <c r="O25" s="577">
        <f t="shared" si="6"/>
        <v>0</v>
      </c>
      <c r="P25" s="578">
        <f t="shared" si="7"/>
        <v>0</v>
      </c>
      <c r="Q25" s="765"/>
      <c r="R25" s="576">
        <f t="shared" si="8"/>
        <v>0</v>
      </c>
      <c r="S25" s="576">
        <f t="shared" si="8"/>
        <v>0</v>
      </c>
      <c r="T25" s="577">
        <f t="shared" si="9"/>
        <v>0</v>
      </c>
      <c r="U25" s="578">
        <f t="shared" si="10"/>
        <v>0</v>
      </c>
      <c r="V25" s="579"/>
      <c r="W25" s="566"/>
      <c r="X25" s="586" t="str">
        <f t="shared" si="0"/>
        <v/>
      </c>
      <c r="Y25" s="586" t="str">
        <f t="shared" si="1"/>
        <v/>
      </c>
      <c r="Z25" s="586" t="str">
        <f t="shared" si="2"/>
        <v/>
      </c>
    </row>
    <row r="26" spans="1:26" hidden="1" x14ac:dyDescent="0.2">
      <c r="A26" s="567">
        <v>810250</v>
      </c>
      <c r="B26" s="644" t="s">
        <v>487</v>
      </c>
      <c r="C26" s="645" t="s">
        <v>206</v>
      </c>
      <c r="D26" s="422" t="s">
        <v>616</v>
      </c>
      <c r="E26" s="423"/>
      <c r="F26" s="424">
        <v>10</v>
      </c>
      <c r="G26" s="425">
        <f>ROUND(0.01125*2.34,4)</f>
        <v>2.63E-2</v>
      </c>
      <c r="H26" s="649">
        <f t="shared" si="11"/>
        <v>0.35189400000000004</v>
      </c>
      <c r="I26" s="420">
        <v>12.672704</v>
      </c>
      <c r="J26" s="420">
        <f t="shared" si="3"/>
        <v>13.024597999999999</v>
      </c>
      <c r="K26" s="421">
        <f t="shared" si="4"/>
        <v>15.47</v>
      </c>
      <c r="L26" s="647" t="s">
        <v>19</v>
      </c>
      <c r="M26" s="576"/>
      <c r="N26" s="576">
        <f t="shared" si="5"/>
        <v>0</v>
      </c>
      <c r="O26" s="577">
        <f t="shared" si="6"/>
        <v>0</v>
      </c>
      <c r="P26" s="578">
        <f t="shared" si="7"/>
        <v>0</v>
      </c>
      <c r="Q26" s="765"/>
      <c r="R26" s="576">
        <f t="shared" si="8"/>
        <v>0</v>
      </c>
      <c r="S26" s="576">
        <f t="shared" si="8"/>
        <v>0</v>
      </c>
      <c r="T26" s="577">
        <f t="shared" si="9"/>
        <v>0</v>
      </c>
      <c r="U26" s="578">
        <f t="shared" si="10"/>
        <v>0</v>
      </c>
      <c r="V26" s="579"/>
      <c r="W26" s="566"/>
      <c r="X26" s="586" t="str">
        <f t="shared" si="0"/>
        <v/>
      </c>
      <c r="Y26" s="586" t="str">
        <f t="shared" si="1"/>
        <v/>
      </c>
      <c r="Z26" s="586" t="str">
        <f t="shared" si="2"/>
        <v/>
      </c>
    </row>
    <row r="27" spans="1:26" hidden="1" x14ac:dyDescent="0.2">
      <c r="A27" s="567">
        <v>810250</v>
      </c>
      <c r="B27" s="644" t="s">
        <v>489</v>
      </c>
      <c r="C27" s="645" t="s">
        <v>206</v>
      </c>
      <c r="D27" s="422" t="s">
        <v>490</v>
      </c>
      <c r="E27" s="423"/>
      <c r="F27" s="424">
        <v>10</v>
      </c>
      <c r="G27" s="425">
        <f>ROUND(0.014*2.34,4)</f>
        <v>3.2800000000000003E-2</v>
      </c>
      <c r="H27" s="649">
        <f t="shared" si="11"/>
        <v>0.43886400000000009</v>
      </c>
      <c r="I27" s="420">
        <v>15.770599499999998</v>
      </c>
      <c r="J27" s="420">
        <f t="shared" si="3"/>
        <v>16.209463499999998</v>
      </c>
      <c r="K27" s="421">
        <f t="shared" si="4"/>
        <v>19.260000000000002</v>
      </c>
      <c r="L27" s="647" t="s">
        <v>19</v>
      </c>
      <c r="M27" s="576"/>
      <c r="N27" s="576">
        <f t="shared" si="5"/>
        <v>0</v>
      </c>
      <c r="O27" s="577">
        <f t="shared" si="6"/>
        <v>0</v>
      </c>
      <c r="P27" s="578">
        <f t="shared" si="7"/>
        <v>0</v>
      </c>
      <c r="Q27" s="765"/>
      <c r="R27" s="576">
        <f t="shared" si="8"/>
        <v>0</v>
      </c>
      <c r="S27" s="576">
        <f t="shared" si="8"/>
        <v>0</v>
      </c>
      <c r="T27" s="577">
        <f t="shared" si="9"/>
        <v>0</v>
      </c>
      <c r="U27" s="578">
        <f t="shared" si="10"/>
        <v>0</v>
      </c>
      <c r="V27" s="579"/>
      <c r="W27" s="566"/>
      <c r="X27" s="586" t="str">
        <f t="shared" si="0"/>
        <v/>
      </c>
      <c r="Y27" s="586" t="str">
        <f t="shared" si="1"/>
        <v/>
      </c>
      <c r="Z27" s="586" t="str">
        <f t="shared" si="2"/>
        <v/>
      </c>
    </row>
    <row r="28" spans="1:26" hidden="1" x14ac:dyDescent="0.2">
      <c r="A28" s="567" t="s">
        <v>2063</v>
      </c>
      <c r="B28" s="644" t="s">
        <v>1520</v>
      </c>
      <c r="C28" s="645" t="s">
        <v>484</v>
      </c>
      <c r="D28" s="422" t="s">
        <v>491</v>
      </c>
      <c r="E28" s="423"/>
      <c r="F28" s="424">
        <v>10</v>
      </c>
      <c r="G28" s="425">
        <f>ROUND(0.012*1.8,4)</f>
        <v>2.1600000000000001E-2</v>
      </c>
      <c r="H28" s="649">
        <f t="shared" si="11"/>
        <v>0.28900800000000004</v>
      </c>
      <c r="I28" s="420">
        <v>41.73</v>
      </c>
      <c r="J28" s="420">
        <f t="shared" si="3"/>
        <v>42.019007999999999</v>
      </c>
      <c r="K28" s="421">
        <f t="shared" si="4"/>
        <v>49.92</v>
      </c>
      <c r="L28" s="647" t="s">
        <v>19</v>
      </c>
      <c r="M28" s="576"/>
      <c r="N28" s="576">
        <f t="shared" si="5"/>
        <v>0</v>
      </c>
      <c r="O28" s="577">
        <f t="shared" si="6"/>
        <v>0</v>
      </c>
      <c r="P28" s="578">
        <f t="shared" si="7"/>
        <v>0</v>
      </c>
      <c r="Q28" s="765"/>
      <c r="R28" s="576">
        <f t="shared" si="8"/>
        <v>0</v>
      </c>
      <c r="S28" s="576">
        <f t="shared" si="8"/>
        <v>0</v>
      </c>
      <c r="T28" s="577">
        <f t="shared" si="9"/>
        <v>0</v>
      </c>
      <c r="U28" s="578">
        <f t="shared" si="10"/>
        <v>0</v>
      </c>
      <c r="V28" s="579"/>
      <c r="W28" s="566"/>
      <c r="X28" s="586" t="str">
        <f t="shared" si="0"/>
        <v/>
      </c>
      <c r="Y28" s="586" t="str">
        <f t="shared" si="1"/>
        <v/>
      </c>
      <c r="Z28" s="586" t="str">
        <f t="shared" si="2"/>
        <v/>
      </c>
    </row>
    <row r="29" spans="1:26" hidden="1" x14ac:dyDescent="0.2">
      <c r="A29" s="567">
        <v>600310</v>
      </c>
      <c r="B29" s="644" t="s">
        <v>1521</v>
      </c>
      <c r="C29" s="645" t="s">
        <v>206</v>
      </c>
      <c r="D29" s="416" t="s">
        <v>474</v>
      </c>
      <c r="E29" s="417"/>
      <c r="F29" s="418"/>
      <c r="G29" s="419"/>
      <c r="H29" s="646"/>
      <c r="I29" s="420">
        <v>138.22</v>
      </c>
      <c r="J29" s="420">
        <f t="shared" si="3"/>
        <v>138.22</v>
      </c>
      <c r="K29" s="421">
        <f t="shared" si="4"/>
        <v>164.22</v>
      </c>
      <c r="L29" s="647" t="s">
        <v>21</v>
      </c>
      <c r="M29" s="576"/>
      <c r="N29" s="576">
        <f t="shared" si="5"/>
        <v>0</v>
      </c>
      <c r="O29" s="577">
        <f t="shared" si="6"/>
        <v>0</v>
      </c>
      <c r="P29" s="578">
        <f t="shared" si="7"/>
        <v>0</v>
      </c>
      <c r="Q29" s="765"/>
      <c r="R29" s="576">
        <f t="shared" si="8"/>
        <v>0</v>
      </c>
      <c r="S29" s="576">
        <f t="shared" si="8"/>
        <v>0</v>
      </c>
      <c r="T29" s="577">
        <f t="shared" si="9"/>
        <v>0</v>
      </c>
      <c r="U29" s="578">
        <f t="shared" si="10"/>
        <v>0</v>
      </c>
      <c r="V29" s="579"/>
      <c r="W29" s="566"/>
      <c r="X29" s="586" t="str">
        <f t="shared" si="0"/>
        <v/>
      </c>
      <c r="Y29" s="586" t="str">
        <f t="shared" si="1"/>
        <v/>
      </c>
      <c r="Z29" s="586" t="str">
        <f t="shared" si="2"/>
        <v/>
      </c>
    </row>
    <row r="30" spans="1:26" hidden="1" x14ac:dyDescent="0.2">
      <c r="A30" s="567">
        <v>800900</v>
      </c>
      <c r="B30" s="644" t="s">
        <v>1522</v>
      </c>
      <c r="C30" s="645" t="s">
        <v>206</v>
      </c>
      <c r="D30" s="416" t="s">
        <v>475</v>
      </c>
      <c r="E30" s="417"/>
      <c r="F30" s="418"/>
      <c r="G30" s="419"/>
      <c r="H30" s="646"/>
      <c r="I30" s="420">
        <v>13.34</v>
      </c>
      <c r="J30" s="420">
        <f t="shared" si="3"/>
        <v>13.34</v>
      </c>
      <c r="K30" s="421">
        <f t="shared" si="4"/>
        <v>15.85</v>
      </c>
      <c r="L30" s="647" t="s">
        <v>18</v>
      </c>
      <c r="M30" s="576"/>
      <c r="N30" s="576">
        <f t="shared" si="5"/>
        <v>0</v>
      </c>
      <c r="O30" s="577">
        <f t="shared" si="6"/>
        <v>0</v>
      </c>
      <c r="P30" s="578">
        <f t="shared" si="7"/>
        <v>0</v>
      </c>
      <c r="Q30" s="765"/>
      <c r="R30" s="576">
        <f t="shared" si="8"/>
        <v>0</v>
      </c>
      <c r="S30" s="576">
        <f t="shared" si="8"/>
        <v>0</v>
      </c>
      <c r="T30" s="577">
        <f t="shared" si="9"/>
        <v>0</v>
      </c>
      <c r="U30" s="578">
        <f t="shared" si="10"/>
        <v>0</v>
      </c>
      <c r="V30" s="579"/>
      <c r="W30" s="566"/>
      <c r="X30" s="586" t="str">
        <f t="shared" si="0"/>
        <v/>
      </c>
      <c r="Y30" s="586" t="str">
        <f t="shared" si="1"/>
        <v/>
      </c>
      <c r="Z30" s="586" t="str">
        <f t="shared" si="2"/>
        <v/>
      </c>
    </row>
    <row r="31" spans="1:26" hidden="1" x14ac:dyDescent="0.2">
      <c r="A31" s="567">
        <v>801100</v>
      </c>
      <c r="B31" s="644" t="s">
        <v>1523</v>
      </c>
      <c r="C31" s="645" t="s">
        <v>206</v>
      </c>
      <c r="D31" s="416" t="s">
        <v>293</v>
      </c>
      <c r="E31" s="417"/>
      <c r="F31" s="418"/>
      <c r="G31" s="419"/>
      <c r="H31" s="646"/>
      <c r="I31" s="420">
        <v>19.09</v>
      </c>
      <c r="J31" s="420">
        <f t="shared" si="3"/>
        <v>19.09</v>
      </c>
      <c r="K31" s="421">
        <f t="shared" si="4"/>
        <v>22.68</v>
      </c>
      <c r="L31" s="647" t="s">
        <v>18</v>
      </c>
      <c r="M31" s="576"/>
      <c r="N31" s="576">
        <f t="shared" si="5"/>
        <v>0</v>
      </c>
      <c r="O31" s="577">
        <f t="shared" si="6"/>
        <v>0</v>
      </c>
      <c r="P31" s="578">
        <f t="shared" si="7"/>
        <v>0</v>
      </c>
      <c r="Q31" s="765"/>
      <c r="R31" s="650">
        <f t="shared" si="8"/>
        <v>0</v>
      </c>
      <c r="S31" s="587">
        <f t="shared" si="8"/>
        <v>0</v>
      </c>
      <c r="T31" s="577">
        <f t="shared" si="9"/>
        <v>0</v>
      </c>
      <c r="U31" s="578">
        <f t="shared" si="10"/>
        <v>0</v>
      </c>
      <c r="V31" s="579"/>
      <c r="W31" s="566"/>
      <c r="X31" s="586" t="str">
        <f t="shared" si="0"/>
        <v/>
      </c>
      <c r="Y31" s="586" t="str">
        <f t="shared" si="1"/>
        <v/>
      </c>
      <c r="Z31" s="586" t="str">
        <f t="shared" si="2"/>
        <v/>
      </c>
    </row>
    <row r="32" spans="1:26" hidden="1" x14ac:dyDescent="0.2">
      <c r="A32" s="567">
        <v>600510</v>
      </c>
      <c r="B32" s="644" t="s">
        <v>1524</v>
      </c>
      <c r="C32" s="645" t="s">
        <v>206</v>
      </c>
      <c r="D32" s="416" t="s">
        <v>476</v>
      </c>
      <c r="E32" s="417"/>
      <c r="F32" s="418"/>
      <c r="G32" s="419"/>
      <c r="H32" s="646"/>
      <c r="I32" s="420">
        <v>2.39</v>
      </c>
      <c r="J32" s="420">
        <f t="shared" si="3"/>
        <v>2.39</v>
      </c>
      <c r="K32" s="421">
        <f t="shared" si="4"/>
        <v>2.84</v>
      </c>
      <c r="L32" s="647" t="s">
        <v>19</v>
      </c>
      <c r="M32" s="576"/>
      <c r="N32" s="576">
        <f t="shared" si="5"/>
        <v>0</v>
      </c>
      <c r="O32" s="577">
        <f t="shared" si="6"/>
        <v>0</v>
      </c>
      <c r="P32" s="578">
        <f t="shared" si="7"/>
        <v>0</v>
      </c>
      <c r="Q32" s="765"/>
      <c r="R32" s="650">
        <f t="shared" si="8"/>
        <v>0</v>
      </c>
      <c r="S32" s="587">
        <f t="shared" si="8"/>
        <v>0</v>
      </c>
      <c r="T32" s="577">
        <f>IF(ISBLANK(R32),0,ROUND(K32*R32,2))</f>
        <v>0</v>
      </c>
      <c r="U32" s="578">
        <f>IF(ISBLANK(R32),0,ROUND(R32*S32,2))</f>
        <v>0</v>
      </c>
      <c r="V32" s="579"/>
      <c r="W32" s="566"/>
      <c r="X32" s="586" t="str">
        <f t="shared" si="0"/>
        <v/>
      </c>
      <c r="Y32" s="586" t="str">
        <f t="shared" si="1"/>
        <v/>
      </c>
      <c r="Z32" s="586" t="str">
        <f t="shared" si="2"/>
        <v/>
      </c>
    </row>
    <row r="33" spans="1:26" ht="23.25" thickBot="1" x14ac:dyDescent="0.25">
      <c r="A33" s="567" t="s">
        <v>800</v>
      </c>
      <c r="B33" s="644" t="s">
        <v>800</v>
      </c>
      <c r="C33" s="645" t="s">
        <v>1525</v>
      </c>
      <c r="D33" s="422" t="s">
        <v>801</v>
      </c>
      <c r="E33" s="423"/>
      <c r="F33" s="424"/>
      <c r="G33" s="425"/>
      <c r="H33" s="651"/>
      <c r="I33" s="420">
        <v>3199.34</v>
      </c>
      <c r="J33" s="420">
        <f t="shared" si="3"/>
        <v>3199.34</v>
      </c>
      <c r="K33" s="421">
        <f>IF(ISBLANK(I33),0,ROUND(J33*(1+$F$10)*(1+$F$11*E33),2))</f>
        <v>3801.14</v>
      </c>
      <c r="L33" s="647" t="s">
        <v>21</v>
      </c>
      <c r="M33" s="576">
        <f>'ORÇ AV PADRE IVO'!M33+'ORÇ JOÃO NUNES'!M33+'ORÇ LAUDOMIRO'!M33</f>
        <v>1</v>
      </c>
      <c r="N33" s="576">
        <f t="shared" si="5"/>
        <v>3801.14</v>
      </c>
      <c r="O33" s="577">
        <f t="shared" si="6"/>
        <v>3801.14</v>
      </c>
      <c r="P33" s="578">
        <f t="shared" si="7"/>
        <v>3801.14</v>
      </c>
      <c r="Q33" s="765"/>
      <c r="R33" s="650">
        <f t="shared" si="8"/>
        <v>1</v>
      </c>
      <c r="S33" s="587">
        <f t="shared" si="8"/>
        <v>3801.14</v>
      </c>
      <c r="T33" s="577">
        <f t="shared" si="9"/>
        <v>3801.14</v>
      </c>
      <c r="U33" s="578">
        <f t="shared" si="10"/>
        <v>3801.14</v>
      </c>
      <c r="V33" s="579"/>
      <c r="W33" s="637"/>
      <c r="X33" s="586" t="str">
        <f>IF(W33="X","x",IF(W33="xx","x",IF(W33="xy","x",IF(W33="y","x",IF(OR(P33&gt;0,U33&gt;0),"x","")))))</f>
        <v>x</v>
      </c>
      <c r="Y33" s="586" t="str">
        <f>IF(W33="X","x",IF(W33="y","x",IF(W33="xx","x",IF(U33&gt;0,"x",""))))</f>
        <v>x</v>
      </c>
      <c r="Z33" s="586" t="str">
        <f>IF(W33="X","x",IF(U33&gt;0,"x",""))</f>
        <v>x</v>
      </c>
    </row>
    <row r="34" spans="1:26" ht="23.25" hidden="1" thickBot="1" x14ac:dyDescent="0.25">
      <c r="A34" s="567" t="s">
        <v>2064</v>
      </c>
      <c r="B34" s="644" t="s">
        <v>1592</v>
      </c>
      <c r="C34" s="645" t="s">
        <v>1525</v>
      </c>
      <c r="D34" s="422" t="s">
        <v>803</v>
      </c>
      <c r="E34" s="423"/>
      <c r="F34" s="424"/>
      <c r="G34" s="425"/>
      <c r="H34" s="651"/>
      <c r="I34" s="420">
        <v>1752.27</v>
      </c>
      <c r="J34" s="420">
        <f t="shared" si="3"/>
        <v>1752.27</v>
      </c>
      <c r="K34" s="421">
        <f>IF(ISBLANK(I34),0,ROUND(J34*(1+$F$10)*(1+$F$11*E34),2))</f>
        <v>2081.87</v>
      </c>
      <c r="L34" s="647" t="s">
        <v>21</v>
      </c>
      <c r="M34" s="576"/>
      <c r="N34" s="576">
        <f t="shared" si="5"/>
        <v>0</v>
      </c>
      <c r="O34" s="577">
        <f t="shared" si="6"/>
        <v>0</v>
      </c>
      <c r="P34" s="578">
        <f t="shared" si="7"/>
        <v>0</v>
      </c>
      <c r="Q34" s="765"/>
      <c r="R34" s="650">
        <f t="shared" si="8"/>
        <v>0</v>
      </c>
      <c r="S34" s="587">
        <f t="shared" si="8"/>
        <v>0</v>
      </c>
      <c r="T34" s="577">
        <f t="shared" si="9"/>
        <v>0</v>
      </c>
      <c r="U34" s="578">
        <f t="shared" si="10"/>
        <v>0</v>
      </c>
      <c r="V34" s="579"/>
      <c r="W34" s="637"/>
      <c r="X34" s="586" t="str">
        <f>IF(W34="X","x",IF(W34="xx","x",IF(W34="xy","x",IF(W34="y","x",IF(OR(P34&gt;0,U34&gt;0),"x","")))))</f>
        <v/>
      </c>
      <c r="Y34" s="586" t="str">
        <f>IF(W34="X","x",IF(W34="y","x",IF(W34="xx","x",IF(U34&gt;0,"x",""))))</f>
        <v/>
      </c>
      <c r="Z34" s="586" t="str">
        <f>IF(W34="X","x",IF(U34&gt;0,"x",""))</f>
        <v/>
      </c>
    </row>
    <row r="35" spans="1:26" ht="12" hidden="1" thickBot="1" x14ac:dyDescent="0.25">
      <c r="A35" s="567" t="s">
        <v>802</v>
      </c>
      <c r="B35" s="644" t="s">
        <v>802</v>
      </c>
      <c r="C35" s="645" t="s">
        <v>1525</v>
      </c>
      <c r="D35" s="422" t="s">
        <v>1526</v>
      </c>
      <c r="E35" s="423"/>
      <c r="F35" s="424"/>
      <c r="G35" s="425"/>
      <c r="H35" s="651"/>
      <c r="I35" s="420">
        <v>112.45</v>
      </c>
      <c r="J35" s="420">
        <f t="shared" si="3"/>
        <v>112.45</v>
      </c>
      <c r="K35" s="421">
        <f>IF(ISBLANK(I35),0,ROUND(J35*(1+$F$10)*(1+$F$11*E35),2))</f>
        <v>133.6</v>
      </c>
      <c r="L35" s="647" t="s">
        <v>21</v>
      </c>
      <c r="M35" s="576"/>
      <c r="N35" s="576">
        <f t="shared" si="5"/>
        <v>0</v>
      </c>
      <c r="O35" s="577">
        <f t="shared" si="6"/>
        <v>0</v>
      </c>
      <c r="P35" s="578">
        <f t="shared" si="7"/>
        <v>0</v>
      </c>
      <c r="Q35" s="765"/>
      <c r="R35" s="650">
        <f t="shared" si="8"/>
        <v>0</v>
      </c>
      <c r="S35" s="587">
        <f t="shared" si="8"/>
        <v>0</v>
      </c>
      <c r="T35" s="577">
        <f t="shared" si="9"/>
        <v>0</v>
      </c>
      <c r="U35" s="578">
        <f t="shared" si="10"/>
        <v>0</v>
      </c>
      <c r="V35" s="579"/>
      <c r="W35" s="637"/>
      <c r="X35" s="586" t="str">
        <f>IF(W35="X","x",IF(W35="xx","x",IF(W35="xy","x",IF(W35="y","x",IF(OR(P35&gt;0,U35&gt;0),"x","")))))</f>
        <v/>
      </c>
      <c r="Y35" s="586" t="str">
        <f>IF(W35="X","x",IF(W35="y","x",IF(W35="xx","x",IF(U35&gt;0,"x",""))))</f>
        <v/>
      </c>
      <c r="Z35" s="586" t="str">
        <f>IF(W35="X","x",IF(U35&gt;0,"x",""))</f>
        <v/>
      </c>
    </row>
    <row r="36" spans="1:26" ht="12" hidden="1" thickBot="1" x14ac:dyDescent="0.25">
      <c r="A36" s="567">
        <v>841000</v>
      </c>
      <c r="B36" s="644" t="s">
        <v>1527</v>
      </c>
      <c r="C36" s="645" t="s">
        <v>206</v>
      </c>
      <c r="D36" s="416" t="s">
        <v>477</v>
      </c>
      <c r="E36" s="417"/>
      <c r="F36" s="418"/>
      <c r="G36" s="419"/>
      <c r="H36" s="646"/>
      <c r="I36" s="420">
        <v>11.64</v>
      </c>
      <c r="J36" s="420">
        <f t="shared" si="3"/>
        <v>11.64</v>
      </c>
      <c r="K36" s="421">
        <f t="shared" si="4"/>
        <v>13.83</v>
      </c>
      <c r="L36" s="647" t="s">
        <v>19</v>
      </c>
      <c r="M36" s="576"/>
      <c r="N36" s="576">
        <f t="shared" si="5"/>
        <v>0</v>
      </c>
      <c r="O36" s="577">
        <f t="shared" si="6"/>
        <v>0</v>
      </c>
      <c r="P36" s="578">
        <f t="shared" si="7"/>
        <v>0</v>
      </c>
      <c r="Q36" s="765"/>
      <c r="R36" s="650">
        <f t="shared" si="8"/>
        <v>0</v>
      </c>
      <c r="S36" s="587">
        <f t="shared" si="8"/>
        <v>0</v>
      </c>
      <c r="T36" s="577">
        <f t="shared" si="9"/>
        <v>0</v>
      </c>
      <c r="U36" s="578">
        <f t="shared" si="10"/>
        <v>0</v>
      </c>
      <c r="V36" s="579"/>
      <c r="W36" s="566"/>
      <c r="X36" s="586" t="str">
        <f t="shared" si="0"/>
        <v/>
      </c>
      <c r="Y36" s="586" t="str">
        <f t="shared" si="1"/>
        <v/>
      </c>
      <c r="Z36" s="586" t="str">
        <f t="shared" si="2"/>
        <v/>
      </c>
    </row>
    <row r="37" spans="1:26" ht="12" hidden="1" thickBot="1" x14ac:dyDescent="0.25">
      <c r="A37" s="567">
        <v>840000</v>
      </c>
      <c r="B37" s="644" t="s">
        <v>1528</v>
      </c>
      <c r="C37" s="645" t="s">
        <v>206</v>
      </c>
      <c r="D37" s="416" t="s">
        <v>279</v>
      </c>
      <c r="E37" s="417"/>
      <c r="F37" s="418"/>
      <c r="G37" s="419"/>
      <c r="H37" s="646"/>
      <c r="I37" s="420">
        <v>32.15</v>
      </c>
      <c r="J37" s="420">
        <f t="shared" si="3"/>
        <v>32.15</v>
      </c>
      <c r="K37" s="421">
        <f t="shared" si="4"/>
        <v>38.200000000000003</v>
      </c>
      <c r="L37" s="647" t="s">
        <v>19</v>
      </c>
      <c r="M37" s="576"/>
      <c r="N37" s="576">
        <f t="shared" si="5"/>
        <v>0</v>
      </c>
      <c r="O37" s="577">
        <f t="shared" si="6"/>
        <v>0</v>
      </c>
      <c r="P37" s="578">
        <f t="shared" si="7"/>
        <v>0</v>
      </c>
      <c r="Q37" s="765"/>
      <c r="R37" s="650">
        <f t="shared" si="8"/>
        <v>0</v>
      </c>
      <c r="S37" s="587">
        <f t="shared" si="8"/>
        <v>0</v>
      </c>
      <c r="T37" s="577">
        <f t="shared" si="9"/>
        <v>0</v>
      </c>
      <c r="U37" s="578">
        <f t="shared" si="10"/>
        <v>0</v>
      </c>
      <c r="V37" s="579"/>
      <c r="W37" s="566"/>
      <c r="X37" s="586" t="str">
        <f t="shared" si="0"/>
        <v/>
      </c>
      <c r="Y37" s="586" t="str">
        <f t="shared" si="1"/>
        <v/>
      </c>
      <c r="Z37" s="586" t="str">
        <f t="shared" si="2"/>
        <v/>
      </c>
    </row>
    <row r="38" spans="1:26" ht="12" hidden="1" thickBot="1" x14ac:dyDescent="0.25">
      <c r="A38" s="567">
        <v>100981</v>
      </c>
      <c r="B38" s="644">
        <v>100981</v>
      </c>
      <c r="C38" s="645" t="s">
        <v>670</v>
      </c>
      <c r="D38" s="416" t="s">
        <v>590</v>
      </c>
      <c r="E38" s="417"/>
      <c r="F38" s="418"/>
      <c r="G38" s="419"/>
      <c r="H38" s="646"/>
      <c r="I38" s="420">
        <v>8.75</v>
      </c>
      <c r="J38" s="420">
        <f t="shared" si="3"/>
        <v>8.75</v>
      </c>
      <c r="K38" s="421">
        <f t="shared" si="4"/>
        <v>10.4</v>
      </c>
      <c r="L38" s="647" t="s">
        <v>16</v>
      </c>
      <c r="M38" s="576"/>
      <c r="N38" s="576">
        <f t="shared" si="5"/>
        <v>0</v>
      </c>
      <c r="O38" s="577">
        <f t="shared" si="6"/>
        <v>0</v>
      </c>
      <c r="P38" s="578">
        <f t="shared" si="7"/>
        <v>0</v>
      </c>
      <c r="Q38" s="765"/>
      <c r="R38" s="650">
        <f t="shared" si="8"/>
        <v>0</v>
      </c>
      <c r="S38" s="587">
        <f t="shared" si="8"/>
        <v>0</v>
      </c>
      <c r="T38" s="577">
        <f t="shared" si="9"/>
        <v>0</v>
      </c>
      <c r="U38" s="578">
        <f t="shared" si="10"/>
        <v>0</v>
      </c>
      <c r="V38" s="579"/>
      <c r="W38" s="566"/>
      <c r="X38" s="586" t="str">
        <f t="shared" si="0"/>
        <v/>
      </c>
      <c r="Y38" s="586" t="str">
        <f t="shared" si="1"/>
        <v/>
      </c>
      <c r="Z38" s="586" t="str">
        <f t="shared" si="2"/>
        <v/>
      </c>
    </row>
    <row r="39" spans="1:26" ht="12" hidden="1" thickBot="1" x14ac:dyDescent="0.25">
      <c r="A39" s="567">
        <v>97623</v>
      </c>
      <c r="B39" s="644" t="s">
        <v>1594</v>
      </c>
      <c r="C39" s="645" t="s">
        <v>670</v>
      </c>
      <c r="D39" s="416" t="s">
        <v>1595</v>
      </c>
      <c r="E39" s="417"/>
      <c r="F39" s="418"/>
      <c r="G39" s="419"/>
      <c r="H39" s="646"/>
      <c r="I39" s="420">
        <v>175.28</v>
      </c>
      <c r="J39" s="420">
        <f t="shared" si="3"/>
        <v>175.28</v>
      </c>
      <c r="K39" s="421">
        <f t="shared" si="4"/>
        <v>208.25</v>
      </c>
      <c r="L39" s="647" t="s">
        <v>16</v>
      </c>
      <c r="M39" s="576"/>
      <c r="N39" s="576">
        <f t="shared" si="5"/>
        <v>0</v>
      </c>
      <c r="O39" s="577">
        <f t="shared" si="6"/>
        <v>0</v>
      </c>
      <c r="P39" s="578">
        <f t="shared" si="7"/>
        <v>0</v>
      </c>
      <c r="Q39" s="765"/>
      <c r="R39" s="650">
        <f t="shared" si="8"/>
        <v>0</v>
      </c>
      <c r="S39" s="587">
        <f t="shared" si="8"/>
        <v>0</v>
      </c>
      <c r="T39" s="577">
        <f t="shared" si="9"/>
        <v>0</v>
      </c>
      <c r="U39" s="578">
        <f t="shared" si="10"/>
        <v>0</v>
      </c>
      <c r="V39" s="579"/>
      <c r="W39" s="566"/>
      <c r="X39" s="586" t="str">
        <f t="shared" si="0"/>
        <v/>
      </c>
      <c r="Y39" s="586" t="str">
        <f t="shared" si="1"/>
        <v/>
      </c>
      <c r="Z39" s="586" t="str">
        <f t="shared" si="2"/>
        <v/>
      </c>
    </row>
    <row r="40" spans="1:26" ht="12" hidden="1" thickBot="1" x14ac:dyDescent="0.25">
      <c r="A40" s="567">
        <v>97624</v>
      </c>
      <c r="B40" s="644" t="s">
        <v>1596</v>
      </c>
      <c r="C40" s="645" t="s">
        <v>670</v>
      </c>
      <c r="D40" s="416" t="s">
        <v>1597</v>
      </c>
      <c r="E40" s="417"/>
      <c r="F40" s="418"/>
      <c r="G40" s="419"/>
      <c r="H40" s="646"/>
      <c r="I40" s="420">
        <v>107.58</v>
      </c>
      <c r="J40" s="420">
        <f t="shared" si="3"/>
        <v>107.58</v>
      </c>
      <c r="K40" s="421">
        <f>IF(ISBLANK(I40),0,ROUND(J40*(1+$F$10)*(1+$F$11*E40),2))</f>
        <v>127.82</v>
      </c>
      <c r="L40" s="647" t="s">
        <v>16</v>
      </c>
      <c r="M40" s="576"/>
      <c r="N40" s="576">
        <f t="shared" si="5"/>
        <v>0</v>
      </c>
      <c r="O40" s="577">
        <f>IF(ISBLANK(M40),0,ROUND(K40*M40,2))</f>
        <v>0</v>
      </c>
      <c r="P40" s="578">
        <f>IF(ISBLANK(N40),0,ROUND(M40*N40,2))</f>
        <v>0</v>
      </c>
      <c r="Q40" s="765"/>
      <c r="R40" s="650">
        <f>M40</f>
        <v>0</v>
      </c>
      <c r="S40" s="587">
        <f t="shared" si="8"/>
        <v>0</v>
      </c>
      <c r="T40" s="577">
        <f>IF(ISBLANK(R40),0,ROUND(K40*R40,2))</f>
        <v>0</v>
      </c>
      <c r="U40" s="578">
        <f>IF(ISBLANK(R40),0,ROUND(R40*S40,2))</f>
        <v>0</v>
      </c>
      <c r="V40" s="579"/>
      <c r="W40" s="566"/>
      <c r="X40" s="586" t="str">
        <f>IF(W40="X","x",IF(W40="xx","x",IF(W40="xy","x",IF(W40="y","x",IF(OR(P40&gt;0,U40&gt;0),"x","")))))</f>
        <v/>
      </c>
      <c r="Y40" s="586" t="str">
        <f>IF(W40="X","x",IF(W40="y","x",IF(W40="xx","x",IF(U40&gt;0,"x",""))))</f>
        <v/>
      </c>
      <c r="Z40" s="586" t="str">
        <f>IF(W40="X","x",IF(U40&gt;0,"x",""))</f>
        <v/>
      </c>
    </row>
    <row r="41" spans="1:26" ht="12" hidden="1" thickBot="1" x14ac:dyDescent="0.25">
      <c r="A41" s="567">
        <v>606500</v>
      </c>
      <c r="B41" s="644" t="s">
        <v>1727</v>
      </c>
      <c r="C41" s="645" t="s">
        <v>206</v>
      </c>
      <c r="D41" s="416" t="s">
        <v>501</v>
      </c>
      <c r="E41" s="417"/>
      <c r="F41" s="418"/>
      <c r="G41" s="419"/>
      <c r="H41" s="646"/>
      <c r="I41" s="420">
        <v>169.87</v>
      </c>
      <c r="J41" s="420">
        <f t="shared" si="3"/>
        <v>169.87</v>
      </c>
      <c r="K41" s="421">
        <f>IF(ISBLANK(I41),0,ROUND(J41*(1+$F$10)*(1+$F$11*E41),2))</f>
        <v>201.82</v>
      </c>
      <c r="L41" s="647" t="s">
        <v>16</v>
      </c>
      <c r="M41" s="576"/>
      <c r="N41" s="576">
        <f t="shared" si="5"/>
        <v>0</v>
      </c>
      <c r="O41" s="577">
        <f t="shared" si="6"/>
        <v>0</v>
      </c>
      <c r="P41" s="578">
        <f t="shared" si="7"/>
        <v>0</v>
      </c>
      <c r="Q41" s="765"/>
      <c r="R41" s="650">
        <f t="shared" si="8"/>
        <v>0</v>
      </c>
      <c r="S41" s="587">
        <f t="shared" si="8"/>
        <v>0</v>
      </c>
      <c r="T41" s="577">
        <f t="shared" si="9"/>
        <v>0</v>
      </c>
      <c r="U41" s="578">
        <f t="shared" si="10"/>
        <v>0</v>
      </c>
      <c r="V41" s="579"/>
      <c r="W41" s="566"/>
      <c r="X41" s="586" t="str">
        <f t="shared" si="0"/>
        <v/>
      </c>
      <c r="Y41" s="586" t="str">
        <f t="shared" si="1"/>
        <v/>
      </c>
      <c r="Z41" s="586" t="str">
        <f t="shared" si="2"/>
        <v/>
      </c>
    </row>
    <row r="42" spans="1:26" ht="12" hidden="1" thickBot="1" x14ac:dyDescent="0.25">
      <c r="A42" s="652" t="s">
        <v>187</v>
      </c>
      <c r="B42" s="653" t="s">
        <v>187</v>
      </c>
      <c r="C42" s="654"/>
      <c r="D42" s="427" t="s">
        <v>464</v>
      </c>
      <c r="E42" s="428"/>
      <c r="F42" s="655"/>
      <c r="G42" s="656"/>
      <c r="H42" s="657"/>
      <c r="I42" s="429"/>
      <c r="J42" s="429"/>
      <c r="K42" s="429"/>
      <c r="L42" s="429" t="s">
        <v>614</v>
      </c>
      <c r="M42" s="657"/>
      <c r="N42" s="576">
        <f t="shared" si="5"/>
        <v>0</v>
      </c>
      <c r="O42" s="429">
        <f t="shared" si="6"/>
        <v>0</v>
      </c>
      <c r="P42" s="658">
        <f t="shared" si="7"/>
        <v>0</v>
      </c>
      <c r="Q42" s="765"/>
      <c r="R42" s="657"/>
      <c r="S42" s="429"/>
      <c r="T42" s="429">
        <f t="shared" si="9"/>
        <v>0</v>
      </c>
      <c r="U42" s="658">
        <f t="shared" si="10"/>
        <v>0</v>
      </c>
      <c r="V42" s="579"/>
      <c r="W42" s="637" t="str">
        <f>IF(OR(SUM(P43:P67)&gt;0,SUM(U43:U67)&gt;0),"y","")</f>
        <v/>
      </c>
      <c r="X42" s="586" t="str">
        <f t="shared" si="0"/>
        <v/>
      </c>
      <c r="Y42" s="586" t="str">
        <f t="shared" si="1"/>
        <v/>
      </c>
      <c r="Z42" s="586" t="str">
        <f t="shared" si="2"/>
        <v/>
      </c>
    </row>
    <row r="43" spans="1:26" ht="12" hidden="1" thickBot="1" x14ac:dyDescent="0.25">
      <c r="A43" s="652" t="s">
        <v>187</v>
      </c>
      <c r="B43" s="572" t="s">
        <v>187</v>
      </c>
      <c r="C43" s="573" t="s">
        <v>187</v>
      </c>
      <c r="D43" s="574"/>
      <c r="E43" s="575"/>
      <c r="F43" s="436"/>
      <c r="G43" s="431"/>
      <c r="H43" s="430"/>
      <c r="I43" s="432"/>
      <c r="J43" s="433"/>
      <c r="K43" s="434">
        <f t="shared" ref="K43:K67" si="12">IF(ISBLANK(J43),0,ROUND(J43*(1+$F$10)*(1+$F$11*E43),2))</f>
        <v>0</v>
      </c>
      <c r="L43" s="435" t="s">
        <v>614</v>
      </c>
      <c r="M43" s="576"/>
      <c r="N43" s="576">
        <f t="shared" si="5"/>
        <v>0</v>
      </c>
      <c r="O43" s="577">
        <f t="shared" si="6"/>
        <v>0</v>
      </c>
      <c r="P43" s="578">
        <f t="shared" si="7"/>
        <v>0</v>
      </c>
      <c r="Q43" s="765"/>
      <c r="R43" s="576">
        <f t="shared" si="8"/>
        <v>0</v>
      </c>
      <c r="S43" s="576">
        <f t="shared" si="8"/>
        <v>0</v>
      </c>
      <c r="T43" s="577">
        <f t="shared" si="9"/>
        <v>0</v>
      </c>
      <c r="U43" s="578">
        <f t="shared" si="10"/>
        <v>0</v>
      </c>
      <c r="V43" s="579"/>
      <c r="W43" s="566"/>
      <c r="X43" s="586" t="str">
        <f t="shared" si="0"/>
        <v/>
      </c>
      <c r="Y43" s="586" t="str">
        <f t="shared" si="1"/>
        <v/>
      </c>
      <c r="Z43" s="586" t="str">
        <f t="shared" si="2"/>
        <v/>
      </c>
    </row>
    <row r="44" spans="1:26" ht="12" hidden="1" thickBot="1" x14ac:dyDescent="0.25">
      <c r="A44" s="652" t="s">
        <v>187</v>
      </c>
      <c r="B44" s="572" t="s">
        <v>187</v>
      </c>
      <c r="C44" s="573" t="s">
        <v>187</v>
      </c>
      <c r="D44" s="580"/>
      <c r="E44" s="575"/>
      <c r="F44" s="436"/>
      <c r="G44" s="431"/>
      <c r="H44" s="430"/>
      <c r="I44" s="432"/>
      <c r="J44" s="433"/>
      <c r="K44" s="437">
        <f t="shared" si="12"/>
        <v>0</v>
      </c>
      <c r="L44" s="435" t="s">
        <v>614</v>
      </c>
      <c r="M44" s="576"/>
      <c r="N44" s="576">
        <f t="shared" si="5"/>
        <v>0</v>
      </c>
      <c r="O44" s="577">
        <f t="shared" si="6"/>
        <v>0</v>
      </c>
      <c r="P44" s="578">
        <f t="shared" si="7"/>
        <v>0</v>
      </c>
      <c r="Q44" s="765"/>
      <c r="R44" s="576">
        <f t="shared" si="8"/>
        <v>0</v>
      </c>
      <c r="S44" s="576">
        <f t="shared" si="8"/>
        <v>0</v>
      </c>
      <c r="T44" s="577">
        <f t="shared" si="9"/>
        <v>0</v>
      </c>
      <c r="U44" s="659">
        <f t="shared" si="10"/>
        <v>0</v>
      </c>
      <c r="V44" s="579"/>
      <c r="W44" s="566"/>
      <c r="X44" s="586" t="str">
        <f t="shared" si="0"/>
        <v/>
      </c>
      <c r="Y44" s="586" t="str">
        <f t="shared" si="1"/>
        <v/>
      </c>
      <c r="Z44" s="586" t="str">
        <f t="shared" si="2"/>
        <v/>
      </c>
    </row>
    <row r="45" spans="1:26" ht="12" hidden="1" thickBot="1" x14ac:dyDescent="0.25">
      <c r="A45" s="652" t="s">
        <v>187</v>
      </c>
      <c r="B45" s="572" t="s">
        <v>187</v>
      </c>
      <c r="C45" s="573" t="s">
        <v>187</v>
      </c>
      <c r="D45" s="580"/>
      <c r="E45" s="575"/>
      <c r="F45" s="436"/>
      <c r="G45" s="431"/>
      <c r="H45" s="430"/>
      <c r="I45" s="432"/>
      <c r="J45" s="433"/>
      <c r="K45" s="437">
        <f t="shared" si="12"/>
        <v>0</v>
      </c>
      <c r="L45" s="435" t="s">
        <v>614</v>
      </c>
      <c r="M45" s="576"/>
      <c r="N45" s="576">
        <f t="shared" si="5"/>
        <v>0</v>
      </c>
      <c r="O45" s="577">
        <f t="shared" si="6"/>
        <v>0</v>
      </c>
      <c r="P45" s="578">
        <f t="shared" si="7"/>
        <v>0</v>
      </c>
      <c r="Q45" s="765"/>
      <c r="R45" s="576">
        <f t="shared" si="8"/>
        <v>0</v>
      </c>
      <c r="S45" s="576">
        <f t="shared" si="8"/>
        <v>0</v>
      </c>
      <c r="T45" s="577">
        <f t="shared" si="9"/>
        <v>0</v>
      </c>
      <c r="U45" s="578">
        <f t="shared" si="10"/>
        <v>0</v>
      </c>
      <c r="V45" s="579"/>
      <c r="W45" s="566"/>
      <c r="X45" s="586" t="str">
        <f t="shared" si="0"/>
        <v/>
      </c>
      <c r="Y45" s="586" t="str">
        <f t="shared" si="1"/>
        <v/>
      </c>
      <c r="Z45" s="586" t="str">
        <f t="shared" si="2"/>
        <v/>
      </c>
    </row>
    <row r="46" spans="1:26" ht="12" hidden="1" thickBot="1" x14ac:dyDescent="0.25">
      <c r="A46" s="652" t="s">
        <v>187</v>
      </c>
      <c r="B46" s="572" t="s">
        <v>187</v>
      </c>
      <c r="C46" s="573" t="s">
        <v>187</v>
      </c>
      <c r="D46" s="580"/>
      <c r="E46" s="575"/>
      <c r="F46" s="436"/>
      <c r="G46" s="431"/>
      <c r="H46" s="430"/>
      <c r="I46" s="432"/>
      <c r="J46" s="433"/>
      <c r="K46" s="437">
        <f t="shared" si="12"/>
        <v>0</v>
      </c>
      <c r="L46" s="435" t="s">
        <v>614</v>
      </c>
      <c r="M46" s="576"/>
      <c r="N46" s="576">
        <f t="shared" si="5"/>
        <v>0</v>
      </c>
      <c r="O46" s="577">
        <f t="shared" si="6"/>
        <v>0</v>
      </c>
      <c r="P46" s="578">
        <f t="shared" si="7"/>
        <v>0</v>
      </c>
      <c r="Q46" s="765"/>
      <c r="R46" s="576">
        <f t="shared" si="8"/>
        <v>0</v>
      </c>
      <c r="S46" s="576">
        <f t="shared" si="8"/>
        <v>0</v>
      </c>
      <c r="T46" s="577">
        <f t="shared" si="9"/>
        <v>0</v>
      </c>
      <c r="U46" s="578">
        <f t="shared" si="10"/>
        <v>0</v>
      </c>
      <c r="V46" s="579"/>
      <c r="W46" s="566"/>
      <c r="X46" s="586" t="str">
        <f t="shared" si="0"/>
        <v/>
      </c>
      <c r="Y46" s="586" t="str">
        <f t="shared" si="1"/>
        <v/>
      </c>
      <c r="Z46" s="586" t="str">
        <f t="shared" si="2"/>
        <v/>
      </c>
    </row>
    <row r="47" spans="1:26" ht="12" hidden="1" thickBot="1" x14ac:dyDescent="0.25">
      <c r="A47" s="652" t="s">
        <v>187</v>
      </c>
      <c r="B47" s="572" t="s">
        <v>187</v>
      </c>
      <c r="C47" s="573" t="s">
        <v>187</v>
      </c>
      <c r="D47" s="580"/>
      <c r="E47" s="575"/>
      <c r="F47" s="436"/>
      <c r="G47" s="431"/>
      <c r="H47" s="430"/>
      <c r="I47" s="432"/>
      <c r="J47" s="433"/>
      <c r="K47" s="437">
        <f t="shared" si="12"/>
        <v>0</v>
      </c>
      <c r="L47" s="435" t="s">
        <v>614</v>
      </c>
      <c r="M47" s="576"/>
      <c r="N47" s="576">
        <f t="shared" si="5"/>
        <v>0</v>
      </c>
      <c r="O47" s="577">
        <f t="shared" si="6"/>
        <v>0</v>
      </c>
      <c r="P47" s="578">
        <f t="shared" si="7"/>
        <v>0</v>
      </c>
      <c r="Q47" s="765"/>
      <c r="R47" s="576">
        <f t="shared" si="8"/>
        <v>0</v>
      </c>
      <c r="S47" s="576">
        <f t="shared" si="8"/>
        <v>0</v>
      </c>
      <c r="T47" s="577">
        <f t="shared" si="9"/>
        <v>0</v>
      </c>
      <c r="U47" s="578">
        <f t="shared" si="10"/>
        <v>0</v>
      </c>
      <c r="V47" s="579"/>
      <c r="W47" s="566"/>
      <c r="X47" s="586" t="str">
        <f t="shared" si="0"/>
        <v/>
      </c>
      <c r="Y47" s="586" t="str">
        <f t="shared" si="1"/>
        <v/>
      </c>
      <c r="Z47" s="586" t="str">
        <f t="shared" si="2"/>
        <v/>
      </c>
    </row>
    <row r="48" spans="1:26" ht="12" hidden="1" thickBot="1" x14ac:dyDescent="0.25">
      <c r="A48" s="652" t="s">
        <v>187</v>
      </c>
      <c r="B48" s="572" t="s">
        <v>187</v>
      </c>
      <c r="C48" s="573" t="s">
        <v>187</v>
      </c>
      <c r="D48" s="580"/>
      <c r="E48" s="575"/>
      <c r="F48" s="436"/>
      <c r="G48" s="431"/>
      <c r="H48" s="430"/>
      <c r="I48" s="432"/>
      <c r="J48" s="433"/>
      <c r="K48" s="437">
        <f t="shared" si="12"/>
        <v>0</v>
      </c>
      <c r="L48" s="435" t="s">
        <v>614</v>
      </c>
      <c r="M48" s="576"/>
      <c r="N48" s="576">
        <f t="shared" si="5"/>
        <v>0</v>
      </c>
      <c r="O48" s="577">
        <f t="shared" si="6"/>
        <v>0</v>
      </c>
      <c r="P48" s="578">
        <f t="shared" si="7"/>
        <v>0</v>
      </c>
      <c r="Q48" s="765"/>
      <c r="R48" s="576">
        <f t="shared" si="8"/>
        <v>0</v>
      </c>
      <c r="S48" s="576">
        <f t="shared" si="8"/>
        <v>0</v>
      </c>
      <c r="T48" s="577">
        <f t="shared" si="9"/>
        <v>0</v>
      </c>
      <c r="U48" s="578">
        <f t="shared" si="10"/>
        <v>0</v>
      </c>
      <c r="V48" s="579"/>
      <c r="W48" s="566"/>
      <c r="X48" s="586" t="str">
        <f t="shared" si="0"/>
        <v/>
      </c>
      <c r="Y48" s="586" t="str">
        <f t="shared" si="1"/>
        <v/>
      </c>
      <c r="Z48" s="586" t="str">
        <f t="shared" si="2"/>
        <v/>
      </c>
    </row>
    <row r="49" spans="1:26" ht="12" hidden="1" thickBot="1" x14ac:dyDescent="0.25">
      <c r="A49" s="652" t="s">
        <v>187</v>
      </c>
      <c r="B49" s="572" t="s">
        <v>187</v>
      </c>
      <c r="C49" s="573" t="s">
        <v>187</v>
      </c>
      <c r="D49" s="580"/>
      <c r="E49" s="575"/>
      <c r="F49" s="436"/>
      <c r="G49" s="431"/>
      <c r="H49" s="430"/>
      <c r="I49" s="432"/>
      <c r="J49" s="433"/>
      <c r="K49" s="437">
        <f t="shared" si="12"/>
        <v>0</v>
      </c>
      <c r="L49" s="435" t="s">
        <v>614</v>
      </c>
      <c r="M49" s="576"/>
      <c r="N49" s="576">
        <f t="shared" si="5"/>
        <v>0</v>
      </c>
      <c r="O49" s="577">
        <f t="shared" si="6"/>
        <v>0</v>
      </c>
      <c r="P49" s="578">
        <f t="shared" si="7"/>
        <v>0</v>
      </c>
      <c r="Q49" s="765"/>
      <c r="R49" s="576">
        <f t="shared" si="8"/>
        <v>0</v>
      </c>
      <c r="S49" s="576">
        <f t="shared" si="8"/>
        <v>0</v>
      </c>
      <c r="T49" s="577">
        <f t="shared" si="9"/>
        <v>0</v>
      </c>
      <c r="U49" s="578">
        <f t="shared" si="10"/>
        <v>0</v>
      </c>
      <c r="V49" s="579"/>
      <c r="W49" s="566"/>
      <c r="X49" s="586" t="str">
        <f t="shared" si="0"/>
        <v/>
      </c>
      <c r="Y49" s="586" t="str">
        <f t="shared" si="1"/>
        <v/>
      </c>
      <c r="Z49" s="586" t="str">
        <f t="shared" si="2"/>
        <v/>
      </c>
    </row>
    <row r="50" spans="1:26" ht="12" hidden="1" thickBot="1" x14ac:dyDescent="0.25">
      <c r="A50" s="652" t="s">
        <v>187</v>
      </c>
      <c r="B50" s="572" t="s">
        <v>187</v>
      </c>
      <c r="C50" s="573" t="s">
        <v>187</v>
      </c>
      <c r="D50" s="580"/>
      <c r="E50" s="575"/>
      <c r="F50" s="436"/>
      <c r="G50" s="431"/>
      <c r="H50" s="430"/>
      <c r="I50" s="432"/>
      <c r="J50" s="433"/>
      <c r="K50" s="437">
        <f t="shared" si="12"/>
        <v>0</v>
      </c>
      <c r="L50" s="435" t="s">
        <v>614</v>
      </c>
      <c r="M50" s="576"/>
      <c r="N50" s="576">
        <f t="shared" si="5"/>
        <v>0</v>
      </c>
      <c r="O50" s="577">
        <f t="shared" si="6"/>
        <v>0</v>
      </c>
      <c r="P50" s="578">
        <f t="shared" si="7"/>
        <v>0</v>
      </c>
      <c r="Q50" s="765"/>
      <c r="R50" s="576">
        <f t="shared" si="8"/>
        <v>0</v>
      </c>
      <c r="S50" s="576">
        <f t="shared" si="8"/>
        <v>0</v>
      </c>
      <c r="T50" s="577">
        <f t="shared" si="9"/>
        <v>0</v>
      </c>
      <c r="U50" s="578">
        <f t="shared" si="10"/>
        <v>0</v>
      </c>
      <c r="V50" s="579"/>
      <c r="W50" s="566"/>
      <c r="X50" s="586" t="str">
        <f t="shared" si="0"/>
        <v/>
      </c>
      <c r="Y50" s="586" t="str">
        <f t="shared" si="1"/>
        <v/>
      </c>
      <c r="Z50" s="586" t="str">
        <f t="shared" si="2"/>
        <v/>
      </c>
    </row>
    <row r="51" spans="1:26" ht="12" hidden="1" thickBot="1" x14ac:dyDescent="0.25">
      <c r="A51" s="652" t="s">
        <v>187</v>
      </c>
      <c r="B51" s="572" t="s">
        <v>187</v>
      </c>
      <c r="C51" s="573" t="s">
        <v>187</v>
      </c>
      <c r="D51" s="580"/>
      <c r="E51" s="575"/>
      <c r="F51" s="436"/>
      <c r="G51" s="431"/>
      <c r="H51" s="430"/>
      <c r="I51" s="432"/>
      <c r="J51" s="433"/>
      <c r="K51" s="437">
        <f t="shared" si="12"/>
        <v>0</v>
      </c>
      <c r="L51" s="435" t="s">
        <v>614</v>
      </c>
      <c r="M51" s="576"/>
      <c r="N51" s="576">
        <f t="shared" si="5"/>
        <v>0</v>
      </c>
      <c r="O51" s="577">
        <f t="shared" si="6"/>
        <v>0</v>
      </c>
      <c r="P51" s="578">
        <f t="shared" si="7"/>
        <v>0</v>
      </c>
      <c r="Q51" s="765"/>
      <c r="R51" s="576">
        <f t="shared" si="8"/>
        <v>0</v>
      </c>
      <c r="S51" s="576">
        <f t="shared" si="8"/>
        <v>0</v>
      </c>
      <c r="T51" s="577">
        <f t="shared" si="9"/>
        <v>0</v>
      </c>
      <c r="U51" s="578">
        <f t="shared" si="10"/>
        <v>0</v>
      </c>
      <c r="V51" s="579"/>
      <c r="W51" s="566"/>
      <c r="X51" s="586" t="str">
        <f t="shared" si="0"/>
        <v/>
      </c>
      <c r="Y51" s="586" t="str">
        <f t="shared" si="1"/>
        <v/>
      </c>
      <c r="Z51" s="586" t="str">
        <f t="shared" si="2"/>
        <v/>
      </c>
    </row>
    <row r="52" spans="1:26" ht="12" hidden="1" thickBot="1" x14ac:dyDescent="0.25">
      <c r="A52" s="652" t="s">
        <v>187</v>
      </c>
      <c r="B52" s="572" t="s">
        <v>187</v>
      </c>
      <c r="C52" s="573" t="s">
        <v>187</v>
      </c>
      <c r="D52" s="580"/>
      <c r="E52" s="575"/>
      <c r="F52" s="436"/>
      <c r="G52" s="431"/>
      <c r="H52" s="430"/>
      <c r="I52" s="432"/>
      <c r="J52" s="433"/>
      <c r="K52" s="437">
        <f t="shared" si="12"/>
        <v>0</v>
      </c>
      <c r="L52" s="435" t="s">
        <v>614</v>
      </c>
      <c r="M52" s="576"/>
      <c r="N52" s="576">
        <f t="shared" si="5"/>
        <v>0</v>
      </c>
      <c r="O52" s="577">
        <f t="shared" si="6"/>
        <v>0</v>
      </c>
      <c r="P52" s="578">
        <f t="shared" si="7"/>
        <v>0</v>
      </c>
      <c r="Q52" s="765"/>
      <c r="R52" s="576">
        <f t="shared" si="8"/>
        <v>0</v>
      </c>
      <c r="S52" s="576">
        <f t="shared" si="8"/>
        <v>0</v>
      </c>
      <c r="T52" s="577">
        <f t="shared" si="9"/>
        <v>0</v>
      </c>
      <c r="U52" s="578">
        <f t="shared" si="10"/>
        <v>0</v>
      </c>
      <c r="V52" s="579"/>
      <c r="W52" s="566"/>
      <c r="X52" s="586" t="str">
        <f t="shared" si="0"/>
        <v/>
      </c>
      <c r="Y52" s="586" t="str">
        <f t="shared" si="1"/>
        <v/>
      </c>
      <c r="Z52" s="586" t="str">
        <f t="shared" si="2"/>
        <v/>
      </c>
    </row>
    <row r="53" spans="1:26" ht="12" hidden="1" thickBot="1" x14ac:dyDescent="0.25">
      <c r="A53" s="652" t="s">
        <v>187</v>
      </c>
      <c r="B53" s="572" t="s">
        <v>187</v>
      </c>
      <c r="C53" s="573" t="s">
        <v>187</v>
      </c>
      <c r="D53" s="580"/>
      <c r="E53" s="575"/>
      <c r="F53" s="436"/>
      <c r="G53" s="431"/>
      <c r="H53" s="430"/>
      <c r="I53" s="432"/>
      <c r="J53" s="433"/>
      <c r="K53" s="437">
        <f t="shared" si="12"/>
        <v>0</v>
      </c>
      <c r="L53" s="435" t="s">
        <v>614</v>
      </c>
      <c r="M53" s="576"/>
      <c r="N53" s="576">
        <f t="shared" si="5"/>
        <v>0</v>
      </c>
      <c r="O53" s="577">
        <f t="shared" si="6"/>
        <v>0</v>
      </c>
      <c r="P53" s="578">
        <f t="shared" si="7"/>
        <v>0</v>
      </c>
      <c r="Q53" s="765"/>
      <c r="R53" s="576">
        <f t="shared" si="8"/>
        <v>0</v>
      </c>
      <c r="S53" s="576">
        <f t="shared" si="8"/>
        <v>0</v>
      </c>
      <c r="T53" s="577">
        <f t="shared" si="9"/>
        <v>0</v>
      </c>
      <c r="U53" s="578">
        <f t="shared" si="10"/>
        <v>0</v>
      </c>
      <c r="V53" s="579"/>
      <c r="W53" s="566"/>
      <c r="X53" s="586" t="str">
        <f t="shared" si="0"/>
        <v/>
      </c>
      <c r="Y53" s="586" t="str">
        <f t="shared" si="1"/>
        <v/>
      </c>
      <c r="Z53" s="586" t="str">
        <f t="shared" si="2"/>
        <v/>
      </c>
    </row>
    <row r="54" spans="1:26" ht="12" hidden="1" thickBot="1" x14ac:dyDescent="0.25">
      <c r="A54" s="652" t="s">
        <v>187</v>
      </c>
      <c r="B54" s="572" t="s">
        <v>187</v>
      </c>
      <c r="C54" s="573" t="s">
        <v>187</v>
      </c>
      <c r="D54" s="580"/>
      <c r="E54" s="575"/>
      <c r="F54" s="436"/>
      <c r="G54" s="431"/>
      <c r="H54" s="430"/>
      <c r="I54" s="432"/>
      <c r="J54" s="433"/>
      <c r="K54" s="437">
        <f t="shared" si="12"/>
        <v>0</v>
      </c>
      <c r="L54" s="435" t="s">
        <v>614</v>
      </c>
      <c r="M54" s="576"/>
      <c r="N54" s="576">
        <f t="shared" si="5"/>
        <v>0</v>
      </c>
      <c r="O54" s="577">
        <f t="shared" si="6"/>
        <v>0</v>
      </c>
      <c r="P54" s="578">
        <f t="shared" si="7"/>
        <v>0</v>
      </c>
      <c r="Q54" s="765"/>
      <c r="R54" s="576">
        <f t="shared" si="8"/>
        <v>0</v>
      </c>
      <c r="S54" s="576">
        <f t="shared" si="8"/>
        <v>0</v>
      </c>
      <c r="T54" s="577">
        <f t="shared" si="9"/>
        <v>0</v>
      </c>
      <c r="U54" s="578">
        <f t="shared" si="10"/>
        <v>0</v>
      </c>
      <c r="V54" s="579"/>
      <c r="W54" s="566"/>
      <c r="X54" s="586" t="str">
        <f t="shared" si="0"/>
        <v/>
      </c>
      <c r="Y54" s="586" t="str">
        <f t="shared" si="1"/>
        <v/>
      </c>
      <c r="Z54" s="586" t="str">
        <f t="shared" si="2"/>
        <v/>
      </c>
    </row>
    <row r="55" spans="1:26" ht="12" hidden="1" thickBot="1" x14ac:dyDescent="0.25">
      <c r="A55" s="652" t="s">
        <v>187</v>
      </c>
      <c r="B55" s="572" t="s">
        <v>187</v>
      </c>
      <c r="C55" s="573" t="s">
        <v>187</v>
      </c>
      <c r="D55" s="580"/>
      <c r="E55" s="575"/>
      <c r="F55" s="436"/>
      <c r="G55" s="431"/>
      <c r="H55" s="430"/>
      <c r="I55" s="432"/>
      <c r="J55" s="433"/>
      <c r="K55" s="437">
        <f t="shared" si="12"/>
        <v>0</v>
      </c>
      <c r="L55" s="435" t="s">
        <v>614</v>
      </c>
      <c r="M55" s="576"/>
      <c r="N55" s="576">
        <f t="shared" si="5"/>
        <v>0</v>
      </c>
      <c r="O55" s="577">
        <f t="shared" si="6"/>
        <v>0</v>
      </c>
      <c r="P55" s="578">
        <f t="shared" si="7"/>
        <v>0</v>
      </c>
      <c r="Q55" s="765"/>
      <c r="R55" s="576">
        <f t="shared" si="8"/>
        <v>0</v>
      </c>
      <c r="S55" s="576">
        <f t="shared" si="8"/>
        <v>0</v>
      </c>
      <c r="T55" s="577">
        <f t="shared" si="9"/>
        <v>0</v>
      </c>
      <c r="U55" s="578">
        <f t="shared" si="10"/>
        <v>0</v>
      </c>
      <c r="V55" s="579"/>
      <c r="W55" s="566"/>
      <c r="X55" s="586" t="str">
        <f t="shared" si="0"/>
        <v/>
      </c>
      <c r="Y55" s="586" t="str">
        <f t="shared" si="1"/>
        <v/>
      </c>
      <c r="Z55" s="586" t="str">
        <f t="shared" si="2"/>
        <v/>
      </c>
    </row>
    <row r="56" spans="1:26" ht="12" hidden="1" thickBot="1" x14ac:dyDescent="0.25">
      <c r="A56" s="652" t="s">
        <v>187</v>
      </c>
      <c r="B56" s="572" t="s">
        <v>187</v>
      </c>
      <c r="C56" s="573" t="s">
        <v>187</v>
      </c>
      <c r="D56" s="580"/>
      <c r="E56" s="575"/>
      <c r="F56" s="436"/>
      <c r="G56" s="431"/>
      <c r="H56" s="430"/>
      <c r="I56" s="432"/>
      <c r="J56" s="433"/>
      <c r="K56" s="437">
        <f t="shared" si="12"/>
        <v>0</v>
      </c>
      <c r="L56" s="435" t="s">
        <v>614</v>
      </c>
      <c r="M56" s="576"/>
      <c r="N56" s="576">
        <f t="shared" si="5"/>
        <v>0</v>
      </c>
      <c r="O56" s="577">
        <f t="shared" si="6"/>
        <v>0</v>
      </c>
      <c r="P56" s="578">
        <f t="shared" si="7"/>
        <v>0</v>
      </c>
      <c r="Q56" s="765"/>
      <c r="R56" s="576">
        <f t="shared" si="8"/>
        <v>0</v>
      </c>
      <c r="S56" s="576">
        <f t="shared" si="8"/>
        <v>0</v>
      </c>
      <c r="T56" s="577">
        <f t="shared" si="9"/>
        <v>0</v>
      </c>
      <c r="U56" s="578">
        <f t="shared" si="10"/>
        <v>0</v>
      </c>
      <c r="V56" s="579"/>
      <c r="W56" s="566"/>
      <c r="X56" s="586" t="str">
        <f t="shared" si="0"/>
        <v/>
      </c>
      <c r="Y56" s="586" t="str">
        <f t="shared" si="1"/>
        <v/>
      </c>
      <c r="Z56" s="586" t="str">
        <f t="shared" si="2"/>
        <v/>
      </c>
    </row>
    <row r="57" spans="1:26" ht="12" hidden="1" thickBot="1" x14ac:dyDescent="0.25">
      <c r="A57" s="652" t="s">
        <v>187</v>
      </c>
      <c r="B57" s="572" t="s">
        <v>187</v>
      </c>
      <c r="C57" s="573" t="s">
        <v>187</v>
      </c>
      <c r="D57" s="580"/>
      <c r="E57" s="575"/>
      <c r="F57" s="436"/>
      <c r="G57" s="431"/>
      <c r="H57" s="430"/>
      <c r="I57" s="432"/>
      <c r="J57" s="433"/>
      <c r="K57" s="437">
        <f t="shared" si="12"/>
        <v>0</v>
      </c>
      <c r="L57" s="435" t="s">
        <v>614</v>
      </c>
      <c r="M57" s="576"/>
      <c r="N57" s="576">
        <f t="shared" si="5"/>
        <v>0</v>
      </c>
      <c r="O57" s="577">
        <f t="shared" si="6"/>
        <v>0</v>
      </c>
      <c r="P57" s="578">
        <f t="shared" si="7"/>
        <v>0</v>
      </c>
      <c r="Q57" s="765"/>
      <c r="R57" s="576">
        <f t="shared" si="8"/>
        <v>0</v>
      </c>
      <c r="S57" s="576">
        <f t="shared" si="8"/>
        <v>0</v>
      </c>
      <c r="T57" s="577">
        <f t="shared" si="9"/>
        <v>0</v>
      </c>
      <c r="U57" s="578">
        <f t="shared" si="10"/>
        <v>0</v>
      </c>
      <c r="V57" s="579"/>
      <c r="W57" s="566"/>
      <c r="X57" s="586" t="str">
        <f t="shared" si="0"/>
        <v/>
      </c>
      <c r="Y57" s="586" t="str">
        <f t="shared" si="1"/>
        <v/>
      </c>
      <c r="Z57" s="586" t="str">
        <f t="shared" si="2"/>
        <v/>
      </c>
    </row>
    <row r="58" spans="1:26" ht="12" hidden="1" thickBot="1" x14ac:dyDescent="0.25">
      <c r="A58" s="652" t="s">
        <v>187</v>
      </c>
      <c r="B58" s="572" t="s">
        <v>187</v>
      </c>
      <c r="C58" s="573" t="s">
        <v>187</v>
      </c>
      <c r="D58" s="580"/>
      <c r="E58" s="575"/>
      <c r="F58" s="436"/>
      <c r="G58" s="431"/>
      <c r="H58" s="430"/>
      <c r="I58" s="432"/>
      <c r="J58" s="433"/>
      <c r="K58" s="437">
        <f t="shared" si="12"/>
        <v>0</v>
      </c>
      <c r="L58" s="435" t="s">
        <v>614</v>
      </c>
      <c r="M58" s="576"/>
      <c r="N58" s="576">
        <f t="shared" si="5"/>
        <v>0</v>
      </c>
      <c r="O58" s="577">
        <f t="shared" si="6"/>
        <v>0</v>
      </c>
      <c r="P58" s="578">
        <f t="shared" si="7"/>
        <v>0</v>
      </c>
      <c r="Q58" s="765"/>
      <c r="R58" s="576">
        <f t="shared" si="8"/>
        <v>0</v>
      </c>
      <c r="S58" s="576">
        <f t="shared" si="8"/>
        <v>0</v>
      </c>
      <c r="T58" s="577">
        <f t="shared" si="9"/>
        <v>0</v>
      </c>
      <c r="U58" s="578">
        <f t="shared" si="10"/>
        <v>0</v>
      </c>
      <c r="V58" s="579"/>
      <c r="W58" s="566"/>
      <c r="X58" s="586" t="str">
        <f t="shared" si="0"/>
        <v/>
      </c>
      <c r="Y58" s="586" t="str">
        <f t="shared" si="1"/>
        <v/>
      </c>
      <c r="Z58" s="586" t="str">
        <f t="shared" si="2"/>
        <v/>
      </c>
    </row>
    <row r="59" spans="1:26" ht="12" hidden="1" thickBot="1" x14ac:dyDescent="0.25">
      <c r="A59" s="652" t="s">
        <v>187</v>
      </c>
      <c r="B59" s="572" t="s">
        <v>187</v>
      </c>
      <c r="C59" s="573" t="s">
        <v>187</v>
      </c>
      <c r="D59" s="580"/>
      <c r="E59" s="575"/>
      <c r="F59" s="436"/>
      <c r="G59" s="431"/>
      <c r="H59" s="430"/>
      <c r="I59" s="432"/>
      <c r="J59" s="433"/>
      <c r="K59" s="437">
        <f t="shared" si="12"/>
        <v>0</v>
      </c>
      <c r="L59" s="435" t="s">
        <v>614</v>
      </c>
      <c r="M59" s="576"/>
      <c r="N59" s="576">
        <f t="shared" si="5"/>
        <v>0</v>
      </c>
      <c r="O59" s="577">
        <f t="shared" si="6"/>
        <v>0</v>
      </c>
      <c r="P59" s="578">
        <f t="shared" si="7"/>
        <v>0</v>
      </c>
      <c r="Q59" s="765"/>
      <c r="R59" s="576">
        <f t="shared" si="8"/>
        <v>0</v>
      </c>
      <c r="S59" s="576">
        <f t="shared" si="8"/>
        <v>0</v>
      </c>
      <c r="T59" s="577">
        <f t="shared" si="9"/>
        <v>0</v>
      </c>
      <c r="U59" s="578">
        <f t="shared" si="10"/>
        <v>0</v>
      </c>
      <c r="V59" s="579"/>
      <c r="W59" s="566"/>
      <c r="X59" s="586" t="str">
        <f t="shared" si="0"/>
        <v/>
      </c>
      <c r="Y59" s="586" t="str">
        <f t="shared" si="1"/>
        <v/>
      </c>
      <c r="Z59" s="586" t="str">
        <f t="shared" si="2"/>
        <v/>
      </c>
    </row>
    <row r="60" spans="1:26" ht="12" hidden="1" thickBot="1" x14ac:dyDescent="0.25">
      <c r="A60" s="652" t="s">
        <v>187</v>
      </c>
      <c r="B60" s="572" t="s">
        <v>187</v>
      </c>
      <c r="C60" s="573" t="s">
        <v>187</v>
      </c>
      <c r="D60" s="580"/>
      <c r="E60" s="575"/>
      <c r="F60" s="436"/>
      <c r="G60" s="431"/>
      <c r="H60" s="430"/>
      <c r="I60" s="432"/>
      <c r="J60" s="433"/>
      <c r="K60" s="437">
        <f t="shared" si="12"/>
        <v>0</v>
      </c>
      <c r="L60" s="435" t="s">
        <v>614</v>
      </c>
      <c r="M60" s="576"/>
      <c r="N60" s="576">
        <f t="shared" si="5"/>
        <v>0</v>
      </c>
      <c r="O60" s="577">
        <f t="shared" si="6"/>
        <v>0</v>
      </c>
      <c r="P60" s="578">
        <f t="shared" si="7"/>
        <v>0</v>
      </c>
      <c r="Q60" s="765"/>
      <c r="R60" s="576">
        <f t="shared" si="8"/>
        <v>0</v>
      </c>
      <c r="S60" s="576">
        <f t="shared" si="8"/>
        <v>0</v>
      </c>
      <c r="T60" s="577">
        <f t="shared" si="9"/>
        <v>0</v>
      </c>
      <c r="U60" s="578">
        <f t="shared" si="10"/>
        <v>0</v>
      </c>
      <c r="V60" s="579"/>
      <c r="W60" s="566"/>
      <c r="X60" s="586" t="str">
        <f t="shared" si="0"/>
        <v/>
      </c>
      <c r="Y60" s="586" t="str">
        <f t="shared" si="1"/>
        <v/>
      </c>
      <c r="Z60" s="586" t="str">
        <f t="shared" si="2"/>
        <v/>
      </c>
    </row>
    <row r="61" spans="1:26" ht="12" hidden="1" thickBot="1" x14ac:dyDescent="0.25">
      <c r="A61" s="652" t="s">
        <v>187</v>
      </c>
      <c r="B61" s="572" t="s">
        <v>187</v>
      </c>
      <c r="C61" s="573" t="s">
        <v>187</v>
      </c>
      <c r="D61" s="580"/>
      <c r="E61" s="575"/>
      <c r="F61" s="436"/>
      <c r="G61" s="431"/>
      <c r="H61" s="430"/>
      <c r="I61" s="432"/>
      <c r="J61" s="433"/>
      <c r="K61" s="437">
        <f t="shared" si="12"/>
        <v>0</v>
      </c>
      <c r="L61" s="435" t="s">
        <v>614</v>
      </c>
      <c r="M61" s="576"/>
      <c r="N61" s="576">
        <f t="shared" si="5"/>
        <v>0</v>
      </c>
      <c r="O61" s="577">
        <f t="shared" si="6"/>
        <v>0</v>
      </c>
      <c r="P61" s="578">
        <f t="shared" si="7"/>
        <v>0</v>
      </c>
      <c r="Q61" s="765"/>
      <c r="R61" s="576">
        <f t="shared" si="8"/>
        <v>0</v>
      </c>
      <c r="S61" s="576">
        <f t="shared" si="8"/>
        <v>0</v>
      </c>
      <c r="T61" s="577">
        <f t="shared" si="9"/>
        <v>0</v>
      </c>
      <c r="U61" s="578">
        <f t="shared" si="10"/>
        <v>0</v>
      </c>
      <c r="V61" s="579"/>
      <c r="W61" s="566"/>
      <c r="X61" s="586" t="str">
        <f t="shared" si="0"/>
        <v/>
      </c>
      <c r="Y61" s="586" t="str">
        <f t="shared" si="1"/>
        <v/>
      </c>
      <c r="Z61" s="586" t="str">
        <f t="shared" si="2"/>
        <v/>
      </c>
    </row>
    <row r="62" spans="1:26" ht="12" hidden="1" thickBot="1" x14ac:dyDescent="0.25">
      <c r="A62" s="652" t="s">
        <v>187</v>
      </c>
      <c r="B62" s="572" t="s">
        <v>187</v>
      </c>
      <c r="C62" s="573" t="s">
        <v>187</v>
      </c>
      <c r="D62" s="580"/>
      <c r="E62" s="575"/>
      <c r="F62" s="436"/>
      <c r="G62" s="431"/>
      <c r="H62" s="430"/>
      <c r="I62" s="432"/>
      <c r="J62" s="433"/>
      <c r="K62" s="437">
        <f t="shared" si="12"/>
        <v>0</v>
      </c>
      <c r="L62" s="435" t="s">
        <v>614</v>
      </c>
      <c r="M62" s="576"/>
      <c r="N62" s="576">
        <f t="shared" si="5"/>
        <v>0</v>
      </c>
      <c r="O62" s="577">
        <f t="shared" si="6"/>
        <v>0</v>
      </c>
      <c r="P62" s="578">
        <f t="shared" si="7"/>
        <v>0</v>
      </c>
      <c r="Q62" s="765"/>
      <c r="R62" s="576">
        <f t="shared" si="8"/>
        <v>0</v>
      </c>
      <c r="S62" s="576">
        <f t="shared" si="8"/>
        <v>0</v>
      </c>
      <c r="T62" s="577">
        <f t="shared" si="9"/>
        <v>0</v>
      </c>
      <c r="U62" s="578">
        <f t="shared" si="10"/>
        <v>0</v>
      </c>
      <c r="V62" s="579"/>
      <c r="W62" s="566"/>
      <c r="X62" s="586" t="str">
        <f t="shared" si="0"/>
        <v/>
      </c>
      <c r="Y62" s="586" t="str">
        <f t="shared" si="1"/>
        <v/>
      </c>
      <c r="Z62" s="586" t="str">
        <f t="shared" si="2"/>
        <v/>
      </c>
    </row>
    <row r="63" spans="1:26" ht="12" hidden="1" thickBot="1" x14ac:dyDescent="0.25">
      <c r="A63" s="652" t="s">
        <v>187</v>
      </c>
      <c r="B63" s="572" t="s">
        <v>187</v>
      </c>
      <c r="C63" s="573" t="s">
        <v>187</v>
      </c>
      <c r="D63" s="580"/>
      <c r="E63" s="575"/>
      <c r="F63" s="436"/>
      <c r="G63" s="431"/>
      <c r="H63" s="430"/>
      <c r="I63" s="432"/>
      <c r="J63" s="433"/>
      <c r="K63" s="437">
        <f t="shared" si="12"/>
        <v>0</v>
      </c>
      <c r="L63" s="435" t="s">
        <v>614</v>
      </c>
      <c r="M63" s="576"/>
      <c r="N63" s="576">
        <f t="shared" si="5"/>
        <v>0</v>
      </c>
      <c r="O63" s="577">
        <f t="shared" si="6"/>
        <v>0</v>
      </c>
      <c r="P63" s="578">
        <f t="shared" si="7"/>
        <v>0</v>
      </c>
      <c r="Q63" s="765"/>
      <c r="R63" s="576">
        <f t="shared" si="8"/>
        <v>0</v>
      </c>
      <c r="S63" s="576">
        <f t="shared" si="8"/>
        <v>0</v>
      </c>
      <c r="T63" s="577">
        <f t="shared" si="9"/>
        <v>0</v>
      </c>
      <c r="U63" s="578">
        <f t="shared" si="10"/>
        <v>0</v>
      </c>
      <c r="V63" s="579"/>
      <c r="W63" s="566"/>
      <c r="X63" s="586" t="str">
        <f t="shared" si="0"/>
        <v/>
      </c>
      <c r="Y63" s="586" t="str">
        <f t="shared" si="1"/>
        <v/>
      </c>
      <c r="Z63" s="586" t="str">
        <f t="shared" si="2"/>
        <v/>
      </c>
    </row>
    <row r="64" spans="1:26" ht="12" hidden="1" thickBot="1" x14ac:dyDescent="0.25">
      <c r="A64" s="652" t="s">
        <v>187</v>
      </c>
      <c r="B64" s="572" t="s">
        <v>187</v>
      </c>
      <c r="C64" s="573" t="s">
        <v>187</v>
      </c>
      <c r="D64" s="580"/>
      <c r="E64" s="575"/>
      <c r="F64" s="436"/>
      <c r="G64" s="431"/>
      <c r="H64" s="430"/>
      <c r="I64" s="432"/>
      <c r="J64" s="433"/>
      <c r="K64" s="437">
        <f t="shared" si="12"/>
        <v>0</v>
      </c>
      <c r="L64" s="435" t="s">
        <v>614</v>
      </c>
      <c r="M64" s="576"/>
      <c r="N64" s="576">
        <f t="shared" si="5"/>
        <v>0</v>
      </c>
      <c r="O64" s="577">
        <f t="shared" si="6"/>
        <v>0</v>
      </c>
      <c r="P64" s="578">
        <f t="shared" si="7"/>
        <v>0</v>
      </c>
      <c r="Q64" s="765"/>
      <c r="R64" s="576">
        <f t="shared" si="8"/>
        <v>0</v>
      </c>
      <c r="S64" s="576">
        <f t="shared" si="8"/>
        <v>0</v>
      </c>
      <c r="T64" s="577">
        <f t="shared" si="9"/>
        <v>0</v>
      </c>
      <c r="U64" s="578">
        <f t="shared" si="10"/>
        <v>0</v>
      </c>
      <c r="V64" s="579"/>
      <c r="W64" s="566"/>
      <c r="X64" s="586" t="str">
        <f t="shared" si="0"/>
        <v/>
      </c>
      <c r="Y64" s="586" t="str">
        <f t="shared" si="1"/>
        <v/>
      </c>
      <c r="Z64" s="586" t="str">
        <f t="shared" si="2"/>
        <v/>
      </c>
    </row>
    <row r="65" spans="1:26" ht="12" hidden="1" thickBot="1" x14ac:dyDescent="0.25">
      <c r="A65" s="652" t="s">
        <v>187</v>
      </c>
      <c r="B65" s="572" t="s">
        <v>187</v>
      </c>
      <c r="C65" s="573" t="s">
        <v>187</v>
      </c>
      <c r="D65" s="580"/>
      <c r="E65" s="575"/>
      <c r="F65" s="436"/>
      <c r="G65" s="431"/>
      <c r="H65" s="430"/>
      <c r="I65" s="432"/>
      <c r="J65" s="433"/>
      <c r="K65" s="437">
        <f t="shared" si="12"/>
        <v>0</v>
      </c>
      <c r="L65" s="435" t="s">
        <v>614</v>
      </c>
      <c r="M65" s="576"/>
      <c r="N65" s="576">
        <f t="shared" si="5"/>
        <v>0</v>
      </c>
      <c r="O65" s="577">
        <f t="shared" si="6"/>
        <v>0</v>
      </c>
      <c r="P65" s="578">
        <f t="shared" si="7"/>
        <v>0</v>
      </c>
      <c r="Q65" s="765"/>
      <c r="R65" s="576">
        <f t="shared" si="8"/>
        <v>0</v>
      </c>
      <c r="S65" s="576">
        <f t="shared" si="8"/>
        <v>0</v>
      </c>
      <c r="T65" s="577">
        <f t="shared" si="9"/>
        <v>0</v>
      </c>
      <c r="U65" s="578">
        <f t="shared" si="10"/>
        <v>0</v>
      </c>
      <c r="V65" s="579"/>
      <c r="W65" s="566"/>
      <c r="X65" s="586" t="str">
        <f t="shared" si="0"/>
        <v/>
      </c>
      <c r="Y65" s="586" t="str">
        <f t="shared" si="1"/>
        <v/>
      </c>
      <c r="Z65" s="586" t="str">
        <f t="shared" si="2"/>
        <v/>
      </c>
    </row>
    <row r="66" spans="1:26" ht="12" hidden="1" thickBot="1" x14ac:dyDescent="0.25">
      <c r="A66" s="652" t="s">
        <v>187</v>
      </c>
      <c r="B66" s="572" t="s">
        <v>187</v>
      </c>
      <c r="C66" s="573" t="s">
        <v>187</v>
      </c>
      <c r="D66" s="580"/>
      <c r="E66" s="575"/>
      <c r="F66" s="436"/>
      <c r="G66" s="431"/>
      <c r="H66" s="430"/>
      <c r="I66" s="432"/>
      <c r="J66" s="433"/>
      <c r="K66" s="437">
        <f t="shared" si="12"/>
        <v>0</v>
      </c>
      <c r="L66" s="435" t="s">
        <v>614</v>
      </c>
      <c r="M66" s="576"/>
      <c r="N66" s="576">
        <f t="shared" si="5"/>
        <v>0</v>
      </c>
      <c r="O66" s="577">
        <f t="shared" si="6"/>
        <v>0</v>
      </c>
      <c r="P66" s="578">
        <f t="shared" si="7"/>
        <v>0</v>
      </c>
      <c r="Q66" s="765"/>
      <c r="R66" s="576">
        <f t="shared" si="8"/>
        <v>0</v>
      </c>
      <c r="S66" s="576">
        <f t="shared" si="8"/>
        <v>0</v>
      </c>
      <c r="T66" s="577">
        <f t="shared" si="9"/>
        <v>0</v>
      </c>
      <c r="U66" s="578">
        <f t="shared" si="10"/>
        <v>0</v>
      </c>
      <c r="V66" s="579"/>
      <c r="W66" s="566"/>
      <c r="X66" s="586" t="str">
        <f t="shared" si="0"/>
        <v/>
      </c>
      <c r="Y66" s="586" t="str">
        <f t="shared" si="1"/>
        <v/>
      </c>
      <c r="Z66" s="586" t="str">
        <f t="shared" si="2"/>
        <v/>
      </c>
    </row>
    <row r="67" spans="1:26" ht="12" hidden="1" thickBot="1" x14ac:dyDescent="0.25">
      <c r="A67" s="652" t="s">
        <v>187</v>
      </c>
      <c r="B67" s="581" t="s">
        <v>187</v>
      </c>
      <c r="C67" s="582" t="s">
        <v>187</v>
      </c>
      <c r="D67" s="583"/>
      <c r="E67" s="584"/>
      <c r="F67" s="438"/>
      <c r="G67" s="439"/>
      <c r="H67" s="440"/>
      <c r="I67" s="441"/>
      <c r="J67" s="442"/>
      <c r="K67" s="443">
        <f t="shared" si="12"/>
        <v>0</v>
      </c>
      <c r="L67" s="444" t="s">
        <v>614</v>
      </c>
      <c r="M67" s="576"/>
      <c r="N67" s="576">
        <f t="shared" si="5"/>
        <v>0</v>
      </c>
      <c r="O67" s="585">
        <f t="shared" si="6"/>
        <v>0</v>
      </c>
      <c r="P67" s="660">
        <f t="shared" si="7"/>
        <v>0</v>
      </c>
      <c r="Q67" s="765"/>
      <c r="R67" s="576">
        <f t="shared" si="8"/>
        <v>0</v>
      </c>
      <c r="S67" s="576">
        <f t="shared" si="8"/>
        <v>0</v>
      </c>
      <c r="T67" s="585">
        <f t="shared" si="9"/>
        <v>0</v>
      </c>
      <c r="U67" s="660">
        <f t="shared" si="10"/>
        <v>0</v>
      </c>
      <c r="V67" s="579"/>
      <c r="W67" s="566"/>
      <c r="X67" s="586" t="str">
        <f t="shared" si="0"/>
        <v/>
      </c>
      <c r="Y67" s="586" t="str">
        <f t="shared" si="1"/>
        <v/>
      </c>
      <c r="Z67" s="586" t="str">
        <f t="shared" si="2"/>
        <v/>
      </c>
    </row>
    <row r="68" spans="1:26" ht="12" hidden="1" thickBot="1" x14ac:dyDescent="0.25">
      <c r="A68" s="567" t="s">
        <v>189</v>
      </c>
      <c r="B68" s="628" t="s">
        <v>189</v>
      </c>
      <c r="C68" s="629"/>
      <c r="D68" s="630" t="s">
        <v>459</v>
      </c>
      <c r="E68" s="631"/>
      <c r="F68" s="632"/>
      <c r="G68" s="633"/>
      <c r="H68" s="634"/>
      <c r="I68" s="409"/>
      <c r="J68" s="409"/>
      <c r="K68" s="409"/>
      <c r="L68" s="409" t="s">
        <v>614</v>
      </c>
      <c r="M68" s="634"/>
      <c r="N68" s="797"/>
      <c r="O68" s="409">
        <f t="shared" si="6"/>
        <v>0</v>
      </c>
      <c r="P68" s="635">
        <f t="shared" si="7"/>
        <v>0</v>
      </c>
      <c r="Q68" s="635">
        <f>SUM(P69:P115)</f>
        <v>0</v>
      </c>
      <c r="R68" s="634"/>
      <c r="S68" s="409"/>
      <c r="T68" s="409">
        <f t="shared" si="9"/>
        <v>0</v>
      </c>
      <c r="U68" s="635">
        <f t="shared" si="10"/>
        <v>0</v>
      </c>
      <c r="V68" s="636">
        <f>SUM(U69:U115)</f>
        <v>0</v>
      </c>
      <c r="W68" s="637" t="str">
        <f>IF(OR(Q68&gt;0,V68&gt;0),"X","")</f>
        <v/>
      </c>
      <c r="X68" s="586" t="str">
        <f t="shared" si="0"/>
        <v/>
      </c>
      <c r="Y68" s="586" t="str">
        <f t="shared" si="1"/>
        <v/>
      </c>
      <c r="Z68" s="586" t="str">
        <f t="shared" si="2"/>
        <v/>
      </c>
    </row>
    <row r="69" spans="1:26" ht="12" hidden="1" thickBot="1" x14ac:dyDescent="0.25">
      <c r="A69" s="567">
        <v>400500</v>
      </c>
      <c r="B69" s="644" t="s">
        <v>1535</v>
      </c>
      <c r="C69" s="639" t="s">
        <v>206</v>
      </c>
      <c r="D69" s="445" t="s">
        <v>198</v>
      </c>
      <c r="E69" s="446"/>
      <c r="F69" s="447">
        <v>20</v>
      </c>
      <c r="G69" s="448">
        <v>1.73</v>
      </c>
      <c r="H69" s="661">
        <f>IF(F69&lt;=30,(1.07*F69+2.68)*G69,((1.07*30+2.68)+1.07*(F69-30))*G69)</f>
        <v>41.6584</v>
      </c>
      <c r="I69" s="414">
        <v>80.100000000000009</v>
      </c>
      <c r="J69" s="414">
        <f t="shared" ref="J69:J89" si="13">IF(ISBLANK(I69),"",SUM(H69:I69))</f>
        <v>121.75840000000001</v>
      </c>
      <c r="K69" s="415">
        <f t="shared" ref="K69:K89" si="14">IF(ISBLANK(I69),0,ROUND(J69*(1+$F$10)*(1+$F$11*E69),2))</f>
        <v>144.66</v>
      </c>
      <c r="L69" s="641" t="s">
        <v>16</v>
      </c>
      <c r="M69" s="576"/>
      <c r="N69" s="576">
        <f t="shared" si="5"/>
        <v>0</v>
      </c>
      <c r="O69" s="642">
        <f t="shared" si="6"/>
        <v>0</v>
      </c>
      <c r="P69" s="578">
        <f t="shared" si="7"/>
        <v>0</v>
      </c>
      <c r="Q69" s="765"/>
      <c r="R69" s="576">
        <f t="shared" si="8"/>
        <v>0</v>
      </c>
      <c r="S69" s="576">
        <f t="shared" si="8"/>
        <v>0</v>
      </c>
      <c r="T69" s="577">
        <f t="shared" si="9"/>
        <v>0</v>
      </c>
      <c r="U69" s="578">
        <f t="shared" si="10"/>
        <v>0</v>
      </c>
      <c r="V69" s="643"/>
      <c r="W69" s="566"/>
      <c r="X69" s="586" t="str">
        <f t="shared" si="0"/>
        <v/>
      </c>
      <c r="Y69" s="586" t="str">
        <f t="shared" si="1"/>
        <v/>
      </c>
      <c r="Z69" s="586" t="str">
        <f t="shared" si="2"/>
        <v/>
      </c>
    </row>
    <row r="70" spans="1:26" ht="12" hidden="1" thickBot="1" x14ac:dyDescent="0.25">
      <c r="A70" s="567">
        <v>401200</v>
      </c>
      <c r="B70" s="644">
        <v>401200</v>
      </c>
      <c r="C70" s="645" t="s">
        <v>206</v>
      </c>
      <c r="D70" s="422" t="s">
        <v>195</v>
      </c>
      <c r="E70" s="423"/>
      <c r="F70" s="424"/>
      <c r="G70" s="425"/>
      <c r="H70" s="649"/>
      <c r="I70" s="414">
        <v>1.61</v>
      </c>
      <c r="J70" s="420">
        <f t="shared" si="13"/>
        <v>1.61</v>
      </c>
      <c r="K70" s="421">
        <f t="shared" si="14"/>
        <v>1.91</v>
      </c>
      <c r="L70" s="647" t="s">
        <v>16</v>
      </c>
      <c r="M70" s="576"/>
      <c r="N70" s="576">
        <f t="shared" si="5"/>
        <v>0</v>
      </c>
      <c r="O70" s="642">
        <f t="shared" si="6"/>
        <v>0</v>
      </c>
      <c r="P70" s="578">
        <f t="shared" si="7"/>
        <v>0</v>
      </c>
      <c r="Q70" s="765"/>
      <c r="R70" s="576">
        <f t="shared" si="8"/>
        <v>0</v>
      </c>
      <c r="S70" s="576">
        <f t="shared" si="8"/>
        <v>0</v>
      </c>
      <c r="T70" s="577">
        <f t="shared" si="9"/>
        <v>0</v>
      </c>
      <c r="U70" s="578">
        <f t="shared" si="10"/>
        <v>0</v>
      </c>
      <c r="V70" s="579"/>
      <c r="W70" s="566"/>
      <c r="X70" s="586" t="str">
        <f t="shared" si="0"/>
        <v/>
      </c>
      <c r="Y70" s="586" t="str">
        <f t="shared" si="1"/>
        <v/>
      </c>
      <c r="Z70" s="586" t="str">
        <f t="shared" si="2"/>
        <v/>
      </c>
    </row>
    <row r="71" spans="1:26" ht="12" hidden="1" thickBot="1" x14ac:dyDescent="0.25">
      <c r="A71" s="567">
        <v>401000</v>
      </c>
      <c r="B71" s="644">
        <v>401000</v>
      </c>
      <c r="C71" s="645" t="s">
        <v>206</v>
      </c>
      <c r="D71" s="422" t="s">
        <v>197</v>
      </c>
      <c r="E71" s="423"/>
      <c r="F71" s="424"/>
      <c r="G71" s="425"/>
      <c r="H71" s="649"/>
      <c r="I71" s="414">
        <v>6.9</v>
      </c>
      <c r="J71" s="420">
        <f t="shared" si="13"/>
        <v>6.9</v>
      </c>
      <c r="K71" s="421">
        <f t="shared" si="14"/>
        <v>8.1999999999999993</v>
      </c>
      <c r="L71" s="647" t="s">
        <v>16</v>
      </c>
      <c r="M71" s="576"/>
      <c r="N71" s="576">
        <f t="shared" si="5"/>
        <v>0</v>
      </c>
      <c r="O71" s="642">
        <f t="shared" si="6"/>
        <v>0</v>
      </c>
      <c r="P71" s="578">
        <f t="shared" si="7"/>
        <v>0</v>
      </c>
      <c r="Q71" s="765"/>
      <c r="R71" s="576">
        <f t="shared" si="8"/>
        <v>0</v>
      </c>
      <c r="S71" s="576">
        <f t="shared" si="8"/>
        <v>0</v>
      </c>
      <c r="T71" s="577">
        <f t="shared" si="9"/>
        <v>0</v>
      </c>
      <c r="U71" s="578">
        <f t="shared" si="10"/>
        <v>0</v>
      </c>
      <c r="V71" s="579"/>
      <c r="W71" s="566"/>
      <c r="X71" s="586" t="str">
        <f t="shared" si="0"/>
        <v/>
      </c>
      <c r="Y71" s="586" t="str">
        <f t="shared" si="1"/>
        <v/>
      </c>
      <c r="Z71" s="586" t="str">
        <f t="shared" si="2"/>
        <v/>
      </c>
    </row>
    <row r="72" spans="1:26" ht="12" hidden="1" thickBot="1" x14ac:dyDescent="0.25">
      <c r="A72" s="567">
        <v>401950</v>
      </c>
      <c r="B72" s="644">
        <v>401950</v>
      </c>
      <c r="C72" s="645" t="s">
        <v>206</v>
      </c>
      <c r="D72" s="422" t="s">
        <v>196</v>
      </c>
      <c r="E72" s="423"/>
      <c r="F72" s="424"/>
      <c r="G72" s="425"/>
      <c r="H72" s="649"/>
      <c r="I72" s="414">
        <v>5.72</v>
      </c>
      <c r="J72" s="420">
        <f t="shared" si="13"/>
        <v>5.72</v>
      </c>
      <c r="K72" s="421">
        <f t="shared" si="14"/>
        <v>6.8</v>
      </c>
      <c r="L72" s="647" t="s">
        <v>16</v>
      </c>
      <c r="M72" s="576"/>
      <c r="N72" s="576">
        <f t="shared" si="5"/>
        <v>0</v>
      </c>
      <c r="O72" s="577">
        <f t="shared" si="6"/>
        <v>0</v>
      </c>
      <c r="P72" s="578">
        <f t="shared" si="7"/>
        <v>0</v>
      </c>
      <c r="Q72" s="765"/>
      <c r="R72" s="576">
        <f t="shared" si="8"/>
        <v>0</v>
      </c>
      <c r="S72" s="576">
        <f t="shared" si="8"/>
        <v>0</v>
      </c>
      <c r="T72" s="577">
        <f t="shared" si="9"/>
        <v>0</v>
      </c>
      <c r="U72" s="578">
        <f t="shared" si="10"/>
        <v>0</v>
      </c>
      <c r="V72" s="579"/>
      <c r="W72" s="566"/>
      <c r="X72" s="586" t="str">
        <f t="shared" si="0"/>
        <v/>
      </c>
      <c r="Y72" s="586" t="str">
        <f t="shared" si="1"/>
        <v/>
      </c>
      <c r="Z72" s="586" t="str">
        <f t="shared" si="2"/>
        <v/>
      </c>
    </row>
    <row r="73" spans="1:26" ht="12" hidden="1" thickBot="1" x14ac:dyDescent="0.25">
      <c r="A73" s="567">
        <v>400000</v>
      </c>
      <c r="B73" s="644">
        <v>400000</v>
      </c>
      <c r="C73" s="645" t="s">
        <v>206</v>
      </c>
      <c r="D73" s="422" t="s">
        <v>191</v>
      </c>
      <c r="E73" s="423"/>
      <c r="F73" s="424"/>
      <c r="G73" s="425"/>
      <c r="H73" s="649"/>
      <c r="I73" s="414">
        <v>1.1599999999999999</v>
      </c>
      <c r="J73" s="420">
        <f t="shared" si="13"/>
        <v>1.1599999999999999</v>
      </c>
      <c r="K73" s="421">
        <f t="shared" si="14"/>
        <v>1.38</v>
      </c>
      <c r="L73" s="647" t="s">
        <v>18</v>
      </c>
      <c r="M73" s="576"/>
      <c r="N73" s="576">
        <f t="shared" si="5"/>
        <v>0</v>
      </c>
      <c r="O73" s="577">
        <f t="shared" si="6"/>
        <v>0</v>
      </c>
      <c r="P73" s="578">
        <f t="shared" si="7"/>
        <v>0</v>
      </c>
      <c r="Q73" s="765"/>
      <c r="R73" s="576">
        <f t="shared" si="8"/>
        <v>0</v>
      </c>
      <c r="S73" s="576">
        <f t="shared" si="8"/>
        <v>0</v>
      </c>
      <c r="T73" s="577">
        <f t="shared" si="9"/>
        <v>0</v>
      </c>
      <c r="U73" s="578">
        <f t="shared" si="10"/>
        <v>0</v>
      </c>
      <c r="V73" s="579"/>
      <c r="W73" s="637"/>
      <c r="X73" s="586" t="str">
        <f t="shared" si="0"/>
        <v/>
      </c>
      <c r="Y73" s="586" t="str">
        <f t="shared" si="1"/>
        <v/>
      </c>
      <c r="Z73" s="586" t="str">
        <f t="shared" si="2"/>
        <v/>
      </c>
    </row>
    <row r="74" spans="1:26" ht="12" hidden="1" thickBot="1" x14ac:dyDescent="0.25">
      <c r="A74" s="567">
        <v>400300</v>
      </c>
      <c r="B74" s="644">
        <v>400300</v>
      </c>
      <c r="C74" s="645" t="s">
        <v>206</v>
      </c>
      <c r="D74" s="422" t="s">
        <v>192</v>
      </c>
      <c r="E74" s="423"/>
      <c r="F74" s="424"/>
      <c r="G74" s="425"/>
      <c r="H74" s="649"/>
      <c r="I74" s="414">
        <v>49.76</v>
      </c>
      <c r="J74" s="420">
        <f t="shared" si="13"/>
        <v>49.76</v>
      </c>
      <c r="K74" s="421">
        <f t="shared" si="14"/>
        <v>59.12</v>
      </c>
      <c r="L74" s="647" t="s">
        <v>21</v>
      </c>
      <c r="M74" s="576"/>
      <c r="N74" s="576">
        <f t="shared" si="5"/>
        <v>0</v>
      </c>
      <c r="O74" s="577">
        <f t="shared" si="6"/>
        <v>0</v>
      </c>
      <c r="P74" s="578">
        <f t="shared" si="7"/>
        <v>0</v>
      </c>
      <c r="Q74" s="765"/>
      <c r="R74" s="576">
        <f t="shared" si="8"/>
        <v>0</v>
      </c>
      <c r="S74" s="576">
        <f t="shared" si="8"/>
        <v>0</v>
      </c>
      <c r="T74" s="577">
        <f t="shared" si="9"/>
        <v>0</v>
      </c>
      <c r="U74" s="578">
        <f t="shared" si="10"/>
        <v>0</v>
      </c>
      <c r="V74" s="579"/>
      <c r="W74" s="637"/>
      <c r="X74" s="586" t="str">
        <f t="shared" si="0"/>
        <v/>
      </c>
      <c r="Y74" s="586" t="str">
        <f t="shared" si="1"/>
        <v/>
      </c>
      <c r="Z74" s="586" t="str">
        <f t="shared" si="2"/>
        <v/>
      </c>
    </row>
    <row r="75" spans="1:26" ht="12" hidden="1" thickBot="1" x14ac:dyDescent="0.25">
      <c r="A75" s="567">
        <v>511130</v>
      </c>
      <c r="B75" s="644" t="s">
        <v>1529</v>
      </c>
      <c r="C75" s="645" t="s">
        <v>206</v>
      </c>
      <c r="D75" s="422" t="s">
        <v>479</v>
      </c>
      <c r="E75" s="423"/>
      <c r="F75" s="424"/>
      <c r="G75" s="425"/>
      <c r="H75" s="649"/>
      <c r="I75" s="414">
        <v>1.27</v>
      </c>
      <c r="J75" s="420">
        <f t="shared" si="13"/>
        <v>1.27</v>
      </c>
      <c r="K75" s="421">
        <f t="shared" si="14"/>
        <v>1.51</v>
      </c>
      <c r="L75" s="647" t="s">
        <v>16</v>
      </c>
      <c r="M75" s="576"/>
      <c r="N75" s="576">
        <f t="shared" si="5"/>
        <v>0</v>
      </c>
      <c r="O75" s="577">
        <f t="shared" si="6"/>
        <v>0</v>
      </c>
      <c r="P75" s="578">
        <f t="shared" si="7"/>
        <v>0</v>
      </c>
      <c r="Q75" s="765"/>
      <c r="R75" s="576">
        <f t="shared" si="8"/>
        <v>0</v>
      </c>
      <c r="S75" s="576">
        <f t="shared" si="8"/>
        <v>0</v>
      </c>
      <c r="T75" s="577">
        <f t="shared" si="9"/>
        <v>0</v>
      </c>
      <c r="U75" s="578">
        <f t="shared" si="10"/>
        <v>0</v>
      </c>
      <c r="V75" s="579"/>
      <c r="W75" s="662"/>
      <c r="X75" s="586" t="str">
        <f t="shared" si="0"/>
        <v/>
      </c>
      <c r="Y75" s="586" t="str">
        <f t="shared" si="1"/>
        <v/>
      </c>
      <c r="Z75" s="586" t="str">
        <f t="shared" si="2"/>
        <v/>
      </c>
    </row>
    <row r="76" spans="1:26" ht="12" hidden="1" thickBot="1" x14ac:dyDescent="0.25">
      <c r="A76" s="567">
        <v>501000</v>
      </c>
      <c r="B76" s="644">
        <v>501000</v>
      </c>
      <c r="C76" s="645" t="s">
        <v>206</v>
      </c>
      <c r="D76" s="422" t="s">
        <v>478</v>
      </c>
      <c r="E76" s="423"/>
      <c r="F76" s="424">
        <v>2</v>
      </c>
      <c r="G76" s="425">
        <v>1.8</v>
      </c>
      <c r="H76" s="649">
        <f>IF(F76&lt;=30,(1.07*F76+2.68)*G76,((1.07*30+2.68)+1.07*(F76-30))*G76)</f>
        <v>8.6760000000000002</v>
      </c>
      <c r="I76" s="414">
        <v>6.18</v>
      </c>
      <c r="J76" s="420">
        <f t="shared" si="13"/>
        <v>14.856</v>
      </c>
      <c r="K76" s="421">
        <f t="shared" si="14"/>
        <v>17.649999999999999</v>
      </c>
      <c r="L76" s="647" t="s">
        <v>16</v>
      </c>
      <c r="M76" s="576"/>
      <c r="N76" s="576">
        <f t="shared" si="5"/>
        <v>0</v>
      </c>
      <c r="O76" s="577">
        <f t="shared" si="6"/>
        <v>0</v>
      </c>
      <c r="P76" s="578">
        <f t="shared" si="7"/>
        <v>0</v>
      </c>
      <c r="Q76" s="765"/>
      <c r="R76" s="576">
        <f t="shared" si="8"/>
        <v>0</v>
      </c>
      <c r="S76" s="576">
        <f t="shared" si="8"/>
        <v>0</v>
      </c>
      <c r="T76" s="577">
        <f t="shared" si="9"/>
        <v>0</v>
      </c>
      <c r="U76" s="578">
        <f t="shared" si="10"/>
        <v>0</v>
      </c>
      <c r="V76" s="579"/>
      <c r="W76" s="662"/>
      <c r="X76" s="586" t="str">
        <f t="shared" si="0"/>
        <v/>
      </c>
      <c r="Y76" s="586" t="str">
        <f t="shared" si="1"/>
        <v/>
      </c>
      <c r="Z76" s="586" t="str">
        <f t="shared" si="2"/>
        <v/>
      </c>
    </row>
    <row r="77" spans="1:26" ht="12" hidden="1" thickBot="1" x14ac:dyDescent="0.25">
      <c r="A77" s="567">
        <v>101114</v>
      </c>
      <c r="B77" s="644">
        <v>101114</v>
      </c>
      <c r="C77" s="645" t="s">
        <v>670</v>
      </c>
      <c r="D77" s="422" t="s">
        <v>1706</v>
      </c>
      <c r="E77" s="423"/>
      <c r="F77" s="424"/>
      <c r="G77" s="425">
        <v>0</v>
      </c>
      <c r="H77" s="649"/>
      <c r="I77" s="414">
        <v>4.12</v>
      </c>
      <c r="J77" s="420">
        <f t="shared" si="13"/>
        <v>4.12</v>
      </c>
      <c r="K77" s="421">
        <f t="shared" si="14"/>
        <v>4.8899999999999997</v>
      </c>
      <c r="L77" s="647" t="s">
        <v>16</v>
      </c>
      <c r="M77" s="576"/>
      <c r="N77" s="576">
        <f t="shared" si="5"/>
        <v>0</v>
      </c>
      <c r="O77" s="577">
        <f t="shared" si="6"/>
        <v>0</v>
      </c>
      <c r="P77" s="578">
        <f t="shared" si="7"/>
        <v>0</v>
      </c>
      <c r="Q77" s="765"/>
      <c r="R77" s="576">
        <f t="shared" si="8"/>
        <v>0</v>
      </c>
      <c r="S77" s="576">
        <f t="shared" si="8"/>
        <v>0</v>
      </c>
      <c r="T77" s="577">
        <f t="shared" si="9"/>
        <v>0</v>
      </c>
      <c r="U77" s="578">
        <f t="shared" si="10"/>
        <v>0</v>
      </c>
      <c r="V77" s="579"/>
      <c r="W77" s="566"/>
      <c r="X77" s="586" t="str">
        <f t="shared" si="0"/>
        <v/>
      </c>
      <c r="Y77" s="586" t="str">
        <f t="shared" si="1"/>
        <v/>
      </c>
      <c r="Z77" s="586" t="str">
        <f t="shared" si="2"/>
        <v/>
      </c>
    </row>
    <row r="78" spans="1:26" ht="12" hidden="1" thickBot="1" x14ac:dyDescent="0.25">
      <c r="A78" s="567">
        <v>101119</v>
      </c>
      <c r="B78" s="644">
        <v>101119</v>
      </c>
      <c r="C78" s="645" t="s">
        <v>670</v>
      </c>
      <c r="D78" s="422" t="s">
        <v>1707</v>
      </c>
      <c r="E78" s="423"/>
      <c r="F78" s="424"/>
      <c r="G78" s="425"/>
      <c r="H78" s="649"/>
      <c r="I78" s="414">
        <v>7.87</v>
      </c>
      <c r="J78" s="420">
        <f t="shared" si="13"/>
        <v>7.87</v>
      </c>
      <c r="K78" s="421">
        <f t="shared" si="14"/>
        <v>9.35</v>
      </c>
      <c r="L78" s="647" t="s">
        <v>16</v>
      </c>
      <c r="M78" s="576"/>
      <c r="N78" s="576">
        <f t="shared" si="5"/>
        <v>0</v>
      </c>
      <c r="O78" s="577">
        <f t="shared" si="6"/>
        <v>0</v>
      </c>
      <c r="P78" s="578">
        <f t="shared" si="7"/>
        <v>0</v>
      </c>
      <c r="Q78" s="765"/>
      <c r="R78" s="576">
        <f t="shared" si="8"/>
        <v>0</v>
      </c>
      <c r="S78" s="576">
        <f t="shared" si="8"/>
        <v>0</v>
      </c>
      <c r="T78" s="577">
        <f t="shared" si="9"/>
        <v>0</v>
      </c>
      <c r="U78" s="578">
        <f t="shared" si="10"/>
        <v>0</v>
      </c>
      <c r="V78" s="579"/>
      <c r="W78" s="566"/>
      <c r="X78" s="586" t="str">
        <f t="shared" si="0"/>
        <v/>
      </c>
      <c r="Y78" s="586" t="str">
        <f t="shared" si="1"/>
        <v/>
      </c>
      <c r="Z78" s="586" t="str">
        <f t="shared" si="2"/>
        <v/>
      </c>
    </row>
    <row r="79" spans="1:26" ht="12" hidden="1" thickBot="1" x14ac:dyDescent="0.25">
      <c r="A79" s="567">
        <v>430010</v>
      </c>
      <c r="B79" s="644">
        <v>430210</v>
      </c>
      <c r="C79" s="645" t="s">
        <v>206</v>
      </c>
      <c r="D79" s="422" t="s">
        <v>1708</v>
      </c>
      <c r="E79" s="423"/>
      <c r="F79" s="424"/>
      <c r="G79" s="425"/>
      <c r="H79" s="649"/>
      <c r="I79" s="414">
        <v>25.16</v>
      </c>
      <c r="J79" s="420">
        <f>IF(ISBLANK(I79),"",SUM(H79:I79))</f>
        <v>25.16</v>
      </c>
      <c r="K79" s="421">
        <f>IF(ISBLANK(I79),0,ROUND(J79*(1+$F$10)*(1+$F$11*E79),2))</f>
        <v>29.89</v>
      </c>
      <c r="L79" s="647" t="s">
        <v>16</v>
      </c>
      <c r="M79" s="576"/>
      <c r="N79" s="576">
        <f t="shared" si="5"/>
        <v>0</v>
      </c>
      <c r="O79" s="577">
        <f>IF(ISBLANK(M79),0,ROUND(K79*M79,2))</f>
        <v>0</v>
      </c>
      <c r="P79" s="578">
        <f>IF(ISBLANK(N79),0,ROUND(M79*N79,2))</f>
        <v>0</v>
      </c>
      <c r="Q79" s="765"/>
      <c r="R79" s="576">
        <f>M79</f>
        <v>0</v>
      </c>
      <c r="S79" s="576">
        <f>N79</f>
        <v>0</v>
      </c>
      <c r="T79" s="577">
        <f>IF(ISBLANK(R79),0,ROUND(K79*R79,2))</f>
        <v>0</v>
      </c>
      <c r="U79" s="578">
        <f>IF(ISBLANK(R79),0,ROUND(R79*S79,2))</f>
        <v>0</v>
      </c>
      <c r="V79" s="579"/>
      <c r="W79" s="566"/>
      <c r="X79" s="586" t="str">
        <f>IF(W79="X","x",IF(W79="xx","x",IF(W79="xy","x",IF(W79="y","x",IF(OR(P79&gt;0,U79&gt;0),"x","")))))</f>
        <v/>
      </c>
      <c r="Y79" s="586" t="str">
        <f>IF(W79="X","x",IF(W79="y","x",IF(W79="xx","x",IF(U79&gt;0,"x",""))))</f>
        <v/>
      </c>
      <c r="Z79" s="586" t="str">
        <f>IF(W79="X","x",IF(U79&gt;0,"x",""))</f>
        <v/>
      </c>
    </row>
    <row r="80" spans="1:26" ht="12" hidden="1" thickBot="1" x14ac:dyDescent="0.25">
      <c r="A80" s="567" t="s">
        <v>1709</v>
      </c>
      <c r="B80" s="644" t="s">
        <v>1709</v>
      </c>
      <c r="C80" s="645" t="s">
        <v>1705</v>
      </c>
      <c r="D80" s="422" t="s">
        <v>1710</v>
      </c>
      <c r="E80" s="423"/>
      <c r="F80" s="424"/>
      <c r="G80" s="425"/>
      <c r="H80" s="649"/>
      <c r="I80" s="420">
        <v>0.87</v>
      </c>
      <c r="J80" s="420">
        <f>IF(ISBLANK(I80),"",SUM(H80:I80))</f>
        <v>0.87</v>
      </c>
      <c r="K80" s="421">
        <f>IF(ISBLANK(I80),0,ROUND(J80*(1+$F$10)*(1+$F$11*E80),2))</f>
        <v>1.03</v>
      </c>
      <c r="L80" s="647" t="s">
        <v>2065</v>
      </c>
      <c r="M80" s="576"/>
      <c r="N80" s="576">
        <f t="shared" si="5"/>
        <v>0</v>
      </c>
      <c r="O80" s="577">
        <f>IF(ISBLANK(M80),0,ROUND(K80*M80,2))</f>
        <v>0</v>
      </c>
      <c r="P80" s="578">
        <f>IF(ISBLANK(N80),0,ROUND(M80*N80,2))</f>
        <v>0</v>
      </c>
      <c r="Q80" s="765"/>
      <c r="R80" s="576">
        <f>M80</f>
        <v>0</v>
      </c>
      <c r="S80" s="576">
        <f>N80</f>
        <v>0</v>
      </c>
      <c r="T80" s="577">
        <f>IF(ISBLANK(R80),0,ROUND(K80*R80,2))</f>
        <v>0</v>
      </c>
      <c r="U80" s="578">
        <f>IF(ISBLANK(R80),0,ROUND(R80*S80,2))</f>
        <v>0</v>
      </c>
      <c r="V80" s="579"/>
      <c r="W80" s="566"/>
      <c r="X80" s="586" t="str">
        <f>IF(W80="X","x",IF(W80="xx","x",IF(W80="xy","x",IF(W80="y","x",IF(OR(P80&gt;0,U80&gt;0),"x","")))))</f>
        <v/>
      </c>
      <c r="Y80" s="586" t="str">
        <f>IF(W80="X","x",IF(W80="y","x",IF(W80="xx","x",IF(U80&gt;0,"x",""))))</f>
        <v/>
      </c>
      <c r="Z80" s="586" t="str">
        <f>IF(W80="X","x",IF(U80&gt;0,"x",""))</f>
        <v/>
      </c>
    </row>
    <row r="81" spans="1:26" ht="12" hidden="1" thickBot="1" x14ac:dyDescent="0.25">
      <c r="A81" s="567">
        <v>520100</v>
      </c>
      <c r="B81" s="644" t="s">
        <v>1728</v>
      </c>
      <c r="C81" s="645" t="s">
        <v>206</v>
      </c>
      <c r="D81" s="422" t="s">
        <v>1711</v>
      </c>
      <c r="E81" s="423"/>
      <c r="F81" s="424"/>
      <c r="G81" s="425">
        <v>0</v>
      </c>
      <c r="H81" s="649"/>
      <c r="I81" s="414">
        <v>5.62</v>
      </c>
      <c r="J81" s="420">
        <f t="shared" si="13"/>
        <v>5.62</v>
      </c>
      <c r="K81" s="421">
        <f t="shared" si="14"/>
        <v>6.68</v>
      </c>
      <c r="L81" s="647" t="s">
        <v>16</v>
      </c>
      <c r="M81" s="576"/>
      <c r="N81" s="576">
        <f t="shared" si="5"/>
        <v>0</v>
      </c>
      <c r="O81" s="577">
        <f t="shared" si="6"/>
        <v>0</v>
      </c>
      <c r="P81" s="578">
        <f t="shared" si="7"/>
        <v>0</v>
      </c>
      <c r="Q81" s="765"/>
      <c r="R81" s="576">
        <f t="shared" si="8"/>
        <v>0</v>
      </c>
      <c r="S81" s="576">
        <f t="shared" si="8"/>
        <v>0</v>
      </c>
      <c r="T81" s="577">
        <f t="shared" si="9"/>
        <v>0</v>
      </c>
      <c r="U81" s="578">
        <f t="shared" si="10"/>
        <v>0</v>
      </c>
      <c r="V81" s="579"/>
      <c r="W81" s="566"/>
      <c r="X81" s="586" t="str">
        <f t="shared" si="0"/>
        <v/>
      </c>
      <c r="Y81" s="586" t="str">
        <f t="shared" si="1"/>
        <v/>
      </c>
      <c r="Z81" s="586" t="str">
        <f t="shared" si="2"/>
        <v/>
      </c>
    </row>
    <row r="82" spans="1:26" ht="12" hidden="1" thickBot="1" x14ac:dyDescent="0.25">
      <c r="A82" s="567">
        <v>520200</v>
      </c>
      <c r="B82" s="644" t="s">
        <v>1729</v>
      </c>
      <c r="C82" s="645" t="s">
        <v>206</v>
      </c>
      <c r="D82" s="422" t="s">
        <v>1712</v>
      </c>
      <c r="E82" s="423"/>
      <c r="F82" s="424"/>
      <c r="G82" s="425"/>
      <c r="H82" s="649"/>
      <c r="I82" s="414">
        <v>6.87</v>
      </c>
      <c r="J82" s="420">
        <f t="shared" si="13"/>
        <v>6.87</v>
      </c>
      <c r="K82" s="421">
        <f t="shared" si="14"/>
        <v>8.16</v>
      </c>
      <c r="L82" s="647" t="s">
        <v>16</v>
      </c>
      <c r="M82" s="576"/>
      <c r="N82" s="576">
        <f t="shared" si="5"/>
        <v>0</v>
      </c>
      <c r="O82" s="577">
        <f t="shared" si="6"/>
        <v>0</v>
      </c>
      <c r="P82" s="578">
        <f t="shared" si="7"/>
        <v>0</v>
      </c>
      <c r="Q82" s="765"/>
      <c r="R82" s="576">
        <f t="shared" si="8"/>
        <v>0</v>
      </c>
      <c r="S82" s="576">
        <f t="shared" si="8"/>
        <v>0</v>
      </c>
      <c r="T82" s="577">
        <f t="shared" si="9"/>
        <v>0</v>
      </c>
      <c r="U82" s="578">
        <f t="shared" si="10"/>
        <v>0</v>
      </c>
      <c r="V82" s="579"/>
      <c r="W82" s="566"/>
      <c r="X82" s="586" t="str">
        <f t="shared" si="0"/>
        <v/>
      </c>
      <c r="Y82" s="586" t="str">
        <f t="shared" si="1"/>
        <v/>
      </c>
      <c r="Z82" s="586" t="str">
        <f t="shared" si="2"/>
        <v/>
      </c>
    </row>
    <row r="83" spans="1:26" ht="12" hidden="1" thickBot="1" x14ac:dyDescent="0.25">
      <c r="A83" s="567">
        <v>431010</v>
      </c>
      <c r="B83" s="644">
        <v>431010</v>
      </c>
      <c r="C83" s="645" t="s">
        <v>206</v>
      </c>
      <c r="D83" s="422" t="s">
        <v>1713</v>
      </c>
      <c r="E83" s="423"/>
      <c r="F83" s="424"/>
      <c r="G83" s="425">
        <v>0</v>
      </c>
      <c r="H83" s="649"/>
      <c r="I83" s="414">
        <v>40.54</v>
      </c>
      <c r="J83" s="420">
        <f t="shared" si="13"/>
        <v>40.54</v>
      </c>
      <c r="K83" s="421">
        <f t="shared" si="14"/>
        <v>48.17</v>
      </c>
      <c r="L83" s="647" t="s">
        <v>16</v>
      </c>
      <c r="M83" s="576"/>
      <c r="N83" s="576">
        <f t="shared" si="5"/>
        <v>0</v>
      </c>
      <c r="O83" s="577">
        <f t="shared" si="6"/>
        <v>0</v>
      </c>
      <c r="P83" s="578">
        <f t="shared" si="7"/>
        <v>0</v>
      </c>
      <c r="Q83" s="765"/>
      <c r="R83" s="576">
        <f t="shared" si="8"/>
        <v>0</v>
      </c>
      <c r="S83" s="576">
        <f t="shared" si="8"/>
        <v>0</v>
      </c>
      <c r="T83" s="577">
        <f t="shared" si="9"/>
        <v>0</v>
      </c>
      <c r="U83" s="578">
        <f t="shared" si="10"/>
        <v>0</v>
      </c>
      <c r="V83" s="579"/>
      <c r="W83" s="566"/>
      <c r="X83" s="586" t="str">
        <f t="shared" si="0"/>
        <v/>
      </c>
      <c r="Y83" s="586" t="str">
        <f t="shared" si="1"/>
        <v/>
      </c>
      <c r="Z83" s="586" t="str">
        <f t="shared" si="2"/>
        <v/>
      </c>
    </row>
    <row r="84" spans="1:26" ht="12" hidden="1" thickBot="1" x14ac:dyDescent="0.25">
      <c r="A84" s="567">
        <v>520100</v>
      </c>
      <c r="B84" s="644" t="s">
        <v>1530</v>
      </c>
      <c r="C84" s="645" t="s">
        <v>206</v>
      </c>
      <c r="D84" s="422" t="s">
        <v>1730</v>
      </c>
      <c r="E84" s="423"/>
      <c r="F84" s="424">
        <v>2</v>
      </c>
      <c r="G84" s="425">
        <v>1.5</v>
      </c>
      <c r="H84" s="649">
        <f>IF(F84&lt;=30,(1.07*F84+2.68)*G84,((1.07*30+2.68)+1.07*(F84-30))*G84)</f>
        <v>7.23</v>
      </c>
      <c r="I84" s="414">
        <v>5.62</v>
      </c>
      <c r="J84" s="420">
        <f t="shared" si="13"/>
        <v>12.850000000000001</v>
      </c>
      <c r="K84" s="421">
        <f t="shared" si="14"/>
        <v>15.27</v>
      </c>
      <c r="L84" s="647" t="s">
        <v>16</v>
      </c>
      <c r="M84" s="576"/>
      <c r="N84" s="576">
        <f t="shared" ref="N84:N147" si="15">IF(M84=0,0,K84)</f>
        <v>0</v>
      </c>
      <c r="O84" s="577">
        <f t="shared" si="6"/>
        <v>0</v>
      </c>
      <c r="P84" s="578">
        <f t="shared" si="7"/>
        <v>0</v>
      </c>
      <c r="Q84" s="765"/>
      <c r="R84" s="576">
        <f t="shared" si="8"/>
        <v>0</v>
      </c>
      <c r="S84" s="576">
        <f t="shared" si="8"/>
        <v>0</v>
      </c>
      <c r="T84" s="577">
        <f t="shared" si="9"/>
        <v>0</v>
      </c>
      <c r="U84" s="578">
        <f t="shared" si="10"/>
        <v>0</v>
      </c>
      <c r="V84" s="579"/>
      <c r="W84" s="566"/>
      <c r="X84" s="586" t="str">
        <f t="shared" si="0"/>
        <v/>
      </c>
      <c r="Y84" s="586" t="str">
        <f t="shared" ref="Y84:Y141" si="16">IF(W84="X","x",IF(W84="y","x",IF(W84="xx","x",IF(U84&gt;0,"x",""))))</f>
        <v/>
      </c>
      <c r="Z84" s="586" t="str">
        <f t="shared" ref="Z84:Z155" si="17">IF(W84="X","x",IF(U84&gt;0,"x",""))</f>
        <v/>
      </c>
    </row>
    <row r="85" spans="1:26" ht="12" hidden="1" thickBot="1" x14ac:dyDescent="0.25">
      <c r="A85" s="567">
        <v>520200</v>
      </c>
      <c r="B85" s="644" t="s">
        <v>1531</v>
      </c>
      <c r="C85" s="645" t="s">
        <v>206</v>
      </c>
      <c r="D85" s="422" t="s">
        <v>1731</v>
      </c>
      <c r="E85" s="423"/>
      <c r="F85" s="424">
        <v>2</v>
      </c>
      <c r="G85" s="425">
        <v>1.5</v>
      </c>
      <c r="H85" s="649">
        <f>IF(F85&lt;=30,(1.07*F85+2.68)*G85,((1.07*30+2.68)+1.07*(F85-30))*G85)</f>
        <v>7.23</v>
      </c>
      <c r="I85" s="414">
        <v>6.87</v>
      </c>
      <c r="J85" s="420">
        <f t="shared" si="13"/>
        <v>14.100000000000001</v>
      </c>
      <c r="K85" s="421">
        <f t="shared" si="14"/>
        <v>16.75</v>
      </c>
      <c r="L85" s="647" t="s">
        <v>16</v>
      </c>
      <c r="M85" s="576"/>
      <c r="N85" s="576">
        <f t="shared" si="15"/>
        <v>0</v>
      </c>
      <c r="O85" s="577">
        <f t="shared" si="6"/>
        <v>0</v>
      </c>
      <c r="P85" s="578">
        <f t="shared" si="7"/>
        <v>0</v>
      </c>
      <c r="Q85" s="765"/>
      <c r="R85" s="576">
        <f t="shared" si="8"/>
        <v>0</v>
      </c>
      <c r="S85" s="576">
        <f t="shared" si="8"/>
        <v>0</v>
      </c>
      <c r="T85" s="577">
        <f t="shared" si="9"/>
        <v>0</v>
      </c>
      <c r="U85" s="578">
        <f t="shared" si="10"/>
        <v>0</v>
      </c>
      <c r="V85" s="579"/>
      <c r="W85" s="566"/>
      <c r="X85" s="586" t="str">
        <f t="shared" si="0"/>
        <v/>
      </c>
      <c r="Y85" s="586" t="str">
        <f t="shared" si="16"/>
        <v/>
      </c>
      <c r="Z85" s="586" t="str">
        <f t="shared" si="17"/>
        <v/>
      </c>
    </row>
    <row r="86" spans="1:26" ht="12" hidden="1" thickBot="1" x14ac:dyDescent="0.25">
      <c r="A86" s="567">
        <v>521300</v>
      </c>
      <c r="B86" s="644">
        <v>521300</v>
      </c>
      <c r="C86" s="645" t="s">
        <v>206</v>
      </c>
      <c r="D86" s="422" t="s">
        <v>1714</v>
      </c>
      <c r="E86" s="423"/>
      <c r="F86" s="424">
        <v>2</v>
      </c>
      <c r="G86" s="425">
        <v>1.5</v>
      </c>
      <c r="H86" s="649">
        <f>IF(F86&lt;=30,(1.07*F86+2.68)*G86,((1.07*30+2.68)+1.07*(F86-30))*G86)</f>
        <v>7.23</v>
      </c>
      <c r="I86" s="414">
        <v>42.56</v>
      </c>
      <c r="J86" s="420">
        <f>IF(ISBLANK(I86),"",SUM(H86:I86))</f>
        <v>49.790000000000006</v>
      </c>
      <c r="K86" s="421">
        <f>IF(ISBLANK(I86),0,ROUND(J86*(1+$F$10)*(1+$F$11*E86),2))</f>
        <v>59.16</v>
      </c>
      <c r="L86" s="647" t="s">
        <v>16</v>
      </c>
      <c r="M86" s="576"/>
      <c r="N86" s="576">
        <f t="shared" si="15"/>
        <v>0</v>
      </c>
      <c r="O86" s="577">
        <f>IF(ISBLANK(M86),0,ROUND(K86*M86,2))</f>
        <v>0</v>
      </c>
      <c r="P86" s="578">
        <f>IF(ISBLANK(N86),0,ROUND(M86*N86,2))</f>
        <v>0</v>
      </c>
      <c r="Q86" s="765"/>
      <c r="R86" s="576">
        <f>M86</f>
        <v>0</v>
      </c>
      <c r="S86" s="576">
        <f>N86</f>
        <v>0</v>
      </c>
      <c r="T86" s="577">
        <f>IF(ISBLANK(R86),0,ROUND(K86*R86,2))</f>
        <v>0</v>
      </c>
      <c r="U86" s="578">
        <f>IF(ISBLANK(R86),0,ROUND(R86*S86,2))</f>
        <v>0</v>
      </c>
      <c r="V86" s="579"/>
      <c r="W86" s="566"/>
      <c r="X86" s="586" t="str">
        <f>IF(W86="X","x",IF(W86="xx","x",IF(W86="xy","x",IF(W86="y","x",IF(OR(P86&gt;0,U86&gt;0),"x","")))))</f>
        <v/>
      </c>
      <c r="Y86" s="586" t="str">
        <f>IF(W86="X","x",IF(W86="y","x",IF(W86="xx","x",IF(U86&gt;0,"x",""))))</f>
        <v/>
      </c>
      <c r="Z86" s="586" t="str">
        <f>IF(W86="X","x",IF(U86&gt;0,"x",""))</f>
        <v/>
      </c>
    </row>
    <row r="87" spans="1:26" ht="12" hidden="1" thickBot="1" x14ac:dyDescent="0.25">
      <c r="A87" s="567">
        <v>411000</v>
      </c>
      <c r="B87" s="644">
        <v>411000</v>
      </c>
      <c r="C87" s="645" t="s">
        <v>206</v>
      </c>
      <c r="D87" s="422" t="s">
        <v>194</v>
      </c>
      <c r="E87" s="423"/>
      <c r="F87" s="424"/>
      <c r="G87" s="425"/>
      <c r="H87" s="649"/>
      <c r="I87" s="414">
        <v>9.8699999999999992</v>
      </c>
      <c r="J87" s="420">
        <f t="shared" si="13"/>
        <v>9.8699999999999992</v>
      </c>
      <c r="K87" s="421">
        <f t="shared" si="14"/>
        <v>11.73</v>
      </c>
      <c r="L87" s="647" t="s">
        <v>16</v>
      </c>
      <c r="M87" s="576"/>
      <c r="N87" s="576">
        <f t="shared" si="15"/>
        <v>0</v>
      </c>
      <c r="O87" s="577">
        <f t="shared" si="6"/>
        <v>0</v>
      </c>
      <c r="P87" s="578">
        <f t="shared" si="7"/>
        <v>0</v>
      </c>
      <c r="Q87" s="765"/>
      <c r="R87" s="576">
        <f t="shared" si="8"/>
        <v>0</v>
      </c>
      <c r="S87" s="576">
        <f t="shared" si="8"/>
        <v>0</v>
      </c>
      <c r="T87" s="577">
        <f t="shared" si="9"/>
        <v>0</v>
      </c>
      <c r="U87" s="578">
        <f t="shared" si="10"/>
        <v>0</v>
      </c>
      <c r="V87" s="579"/>
      <c r="W87" s="662"/>
      <c r="X87" s="586" t="str">
        <f t="shared" si="0"/>
        <v/>
      </c>
      <c r="Y87" s="586" t="str">
        <f t="shared" si="16"/>
        <v/>
      </c>
      <c r="Z87" s="586" t="str">
        <f t="shared" si="17"/>
        <v/>
      </c>
    </row>
    <row r="88" spans="1:26" ht="12" hidden="1" thickBot="1" x14ac:dyDescent="0.25">
      <c r="A88" s="567">
        <v>420200</v>
      </c>
      <c r="B88" s="644">
        <v>420200</v>
      </c>
      <c r="C88" s="645" t="s">
        <v>206</v>
      </c>
      <c r="D88" s="422" t="s">
        <v>591</v>
      </c>
      <c r="E88" s="423"/>
      <c r="F88" s="424">
        <v>2</v>
      </c>
      <c r="G88" s="425">
        <v>0.5</v>
      </c>
      <c r="H88" s="649">
        <f>IF(F88&lt;=30,(1.07*F88+2.68)*G88,((1.07*30+2.68)+1.07*(F88-30))*G88)</f>
        <v>2.41</v>
      </c>
      <c r="I88" s="414">
        <v>11.79</v>
      </c>
      <c r="J88" s="420">
        <f>IF(ISBLANK(I88),"",SUM(H88:I88))*0.9</f>
        <v>12.78</v>
      </c>
      <c r="K88" s="421">
        <f t="shared" si="14"/>
        <v>15.18</v>
      </c>
      <c r="L88" s="647" t="s">
        <v>16</v>
      </c>
      <c r="M88" s="576"/>
      <c r="N88" s="576">
        <f t="shared" si="15"/>
        <v>0</v>
      </c>
      <c r="O88" s="577">
        <f t="shared" ref="O88:O158" si="18">IF(ISBLANK(M88),0,ROUND(K88*M88,2))</f>
        <v>0</v>
      </c>
      <c r="P88" s="578">
        <f t="shared" ref="P88:P158" si="19">IF(ISBLANK(N88),0,ROUND(M88*N88,2))</f>
        <v>0</v>
      </c>
      <c r="Q88" s="765"/>
      <c r="R88" s="576">
        <f t="shared" ref="R88:S156" si="20">M88</f>
        <v>0</v>
      </c>
      <c r="S88" s="576">
        <f t="shared" si="20"/>
        <v>0</v>
      </c>
      <c r="T88" s="577">
        <f t="shared" ref="T88:T158" si="21">IF(ISBLANK(R88),0,ROUND(K88*R88,2))</f>
        <v>0</v>
      </c>
      <c r="U88" s="578">
        <f t="shared" ref="U88:U158" si="22">IF(ISBLANK(R88),0,ROUND(R88*S88,2))</f>
        <v>0</v>
      </c>
      <c r="V88" s="579"/>
      <c r="W88" s="662"/>
      <c r="X88" s="586" t="str">
        <f t="shared" si="0"/>
        <v/>
      </c>
      <c r="Y88" s="586" t="str">
        <f t="shared" si="16"/>
        <v/>
      </c>
      <c r="Z88" s="586" t="str">
        <f t="shared" si="17"/>
        <v/>
      </c>
    </row>
    <row r="89" spans="1:26" ht="12" hidden="1" thickBot="1" x14ac:dyDescent="0.25">
      <c r="A89" s="567">
        <v>404000</v>
      </c>
      <c r="B89" s="644">
        <v>404000</v>
      </c>
      <c r="C89" s="645" t="s">
        <v>206</v>
      </c>
      <c r="D89" s="422" t="s">
        <v>193</v>
      </c>
      <c r="E89" s="423"/>
      <c r="F89" s="424">
        <v>2</v>
      </c>
      <c r="G89" s="425">
        <v>1.5</v>
      </c>
      <c r="H89" s="649">
        <f>IF(F89&lt;=30,(1.07*F89+2.68)*G89,((1.07*30+2.68)+1.07*(F89-30))*G89)</f>
        <v>7.23</v>
      </c>
      <c r="I89" s="414">
        <v>11.8</v>
      </c>
      <c r="J89" s="420">
        <f t="shared" si="13"/>
        <v>19.03</v>
      </c>
      <c r="K89" s="421">
        <f t="shared" si="14"/>
        <v>22.61</v>
      </c>
      <c r="L89" s="647" t="s">
        <v>16</v>
      </c>
      <c r="M89" s="576"/>
      <c r="N89" s="576">
        <f t="shared" si="15"/>
        <v>0</v>
      </c>
      <c r="O89" s="577">
        <f t="shared" si="18"/>
        <v>0</v>
      </c>
      <c r="P89" s="578">
        <f t="shared" si="19"/>
        <v>0</v>
      </c>
      <c r="Q89" s="765"/>
      <c r="R89" s="576">
        <f t="shared" si="20"/>
        <v>0</v>
      </c>
      <c r="S89" s="576">
        <f t="shared" si="20"/>
        <v>0</v>
      </c>
      <c r="T89" s="577">
        <f t="shared" si="21"/>
        <v>0</v>
      </c>
      <c r="U89" s="578">
        <f t="shared" si="22"/>
        <v>0</v>
      </c>
      <c r="V89" s="579"/>
      <c r="W89" s="662"/>
      <c r="X89" s="586" t="str">
        <f t="shared" si="0"/>
        <v/>
      </c>
      <c r="Y89" s="586" t="str">
        <f t="shared" si="16"/>
        <v/>
      </c>
      <c r="Z89" s="586" t="str">
        <f t="shared" si="17"/>
        <v/>
      </c>
    </row>
    <row r="90" spans="1:26" ht="12" hidden="1" thickBot="1" x14ac:dyDescent="0.25">
      <c r="A90" s="652" t="s">
        <v>187</v>
      </c>
      <c r="B90" s="653" t="s">
        <v>187</v>
      </c>
      <c r="C90" s="654"/>
      <c r="D90" s="427" t="s">
        <v>186</v>
      </c>
      <c r="E90" s="428"/>
      <c r="F90" s="655"/>
      <c r="G90" s="656"/>
      <c r="H90" s="663"/>
      <c r="I90" s="429"/>
      <c r="J90" s="429"/>
      <c r="K90" s="429"/>
      <c r="L90" s="429" t="s">
        <v>614</v>
      </c>
      <c r="M90" s="657"/>
      <c r="N90" s="576">
        <f t="shared" si="15"/>
        <v>0</v>
      </c>
      <c r="O90" s="429">
        <f t="shared" si="18"/>
        <v>0</v>
      </c>
      <c r="P90" s="658">
        <f t="shared" si="19"/>
        <v>0</v>
      </c>
      <c r="Q90" s="765"/>
      <c r="R90" s="657"/>
      <c r="S90" s="429"/>
      <c r="T90" s="429">
        <f t="shared" si="21"/>
        <v>0</v>
      </c>
      <c r="U90" s="658">
        <f t="shared" si="22"/>
        <v>0</v>
      </c>
      <c r="V90" s="579"/>
      <c r="W90" s="637" t="str">
        <f>IF(OR(SUM(P91:P115)&gt;0,SUM(U91:U115)&gt;0),"y","")</f>
        <v/>
      </c>
      <c r="X90" s="586" t="str">
        <f t="shared" ref="X90:X160" si="23">IF(W90="X","x",IF(W90="xx","x",IF(W90="xy","x",IF(W90="y","x",IF(OR(P90&gt;0,U90&gt;0),"x","")))))</f>
        <v/>
      </c>
      <c r="Y90" s="586" t="str">
        <f t="shared" si="16"/>
        <v/>
      </c>
      <c r="Z90" s="586" t="str">
        <f t="shared" si="17"/>
        <v/>
      </c>
    </row>
    <row r="91" spans="1:26" ht="12" hidden="1" thickBot="1" x14ac:dyDescent="0.25">
      <c r="A91" s="652" t="s">
        <v>187</v>
      </c>
      <c r="B91" s="572" t="s">
        <v>187</v>
      </c>
      <c r="C91" s="573" t="s">
        <v>187</v>
      </c>
      <c r="D91" s="574"/>
      <c r="E91" s="575"/>
      <c r="F91" s="436"/>
      <c r="G91" s="431"/>
      <c r="H91" s="426"/>
      <c r="I91" s="432"/>
      <c r="J91" s="433"/>
      <c r="K91" s="434">
        <f t="shared" ref="K91:K115" si="24">IF(ISBLANK(J91),0,ROUND(J91*(1+$F$10)*(1+$F$11*E91),2))</f>
        <v>0</v>
      </c>
      <c r="L91" s="435" t="s">
        <v>614</v>
      </c>
      <c r="M91" s="587"/>
      <c r="N91" s="576">
        <f t="shared" si="15"/>
        <v>0</v>
      </c>
      <c r="O91" s="577">
        <f t="shared" si="18"/>
        <v>0</v>
      </c>
      <c r="P91" s="578">
        <f t="shared" si="19"/>
        <v>0</v>
      </c>
      <c r="Q91" s="765"/>
      <c r="R91" s="650">
        <f t="shared" si="20"/>
        <v>0</v>
      </c>
      <c r="S91" s="587">
        <f t="shared" si="20"/>
        <v>0</v>
      </c>
      <c r="T91" s="577">
        <f t="shared" si="21"/>
        <v>0</v>
      </c>
      <c r="U91" s="578">
        <f t="shared" si="22"/>
        <v>0</v>
      </c>
      <c r="V91" s="579"/>
      <c r="W91" s="566"/>
      <c r="X91" s="586" t="str">
        <f t="shared" si="23"/>
        <v/>
      </c>
      <c r="Y91" s="586" t="str">
        <f t="shared" si="16"/>
        <v/>
      </c>
      <c r="Z91" s="586" t="str">
        <f t="shared" si="17"/>
        <v/>
      </c>
    </row>
    <row r="92" spans="1:26" ht="12" hidden="1" thickBot="1" x14ac:dyDescent="0.25">
      <c r="A92" s="652" t="s">
        <v>187</v>
      </c>
      <c r="B92" s="572" t="s">
        <v>187</v>
      </c>
      <c r="C92" s="573" t="s">
        <v>187</v>
      </c>
      <c r="D92" s="580"/>
      <c r="E92" s="575"/>
      <c r="F92" s="436"/>
      <c r="G92" s="431"/>
      <c r="H92" s="426"/>
      <c r="I92" s="432"/>
      <c r="J92" s="433"/>
      <c r="K92" s="437">
        <f t="shared" si="24"/>
        <v>0</v>
      </c>
      <c r="L92" s="435" t="s">
        <v>614</v>
      </c>
      <c r="M92" s="576"/>
      <c r="N92" s="576">
        <f t="shared" si="15"/>
        <v>0</v>
      </c>
      <c r="O92" s="577">
        <f t="shared" si="18"/>
        <v>0</v>
      </c>
      <c r="P92" s="578">
        <f t="shared" si="19"/>
        <v>0</v>
      </c>
      <c r="Q92" s="765"/>
      <c r="R92" s="576">
        <f t="shared" si="20"/>
        <v>0</v>
      </c>
      <c r="S92" s="576">
        <f t="shared" si="20"/>
        <v>0</v>
      </c>
      <c r="T92" s="577">
        <f t="shared" si="21"/>
        <v>0</v>
      </c>
      <c r="U92" s="659">
        <f t="shared" si="22"/>
        <v>0</v>
      </c>
      <c r="V92" s="579"/>
      <c r="W92" s="566"/>
      <c r="X92" s="586" t="str">
        <f t="shared" si="23"/>
        <v/>
      </c>
      <c r="Y92" s="586" t="str">
        <f t="shared" si="16"/>
        <v/>
      </c>
      <c r="Z92" s="586" t="str">
        <f t="shared" si="17"/>
        <v/>
      </c>
    </row>
    <row r="93" spans="1:26" ht="12" hidden="1" thickBot="1" x14ac:dyDescent="0.25">
      <c r="A93" s="652" t="s">
        <v>187</v>
      </c>
      <c r="B93" s="572" t="s">
        <v>187</v>
      </c>
      <c r="C93" s="573" t="s">
        <v>187</v>
      </c>
      <c r="D93" s="580"/>
      <c r="E93" s="575"/>
      <c r="F93" s="436"/>
      <c r="G93" s="431"/>
      <c r="H93" s="426"/>
      <c r="I93" s="432"/>
      <c r="J93" s="433"/>
      <c r="K93" s="437">
        <f t="shared" si="24"/>
        <v>0</v>
      </c>
      <c r="L93" s="435" t="s">
        <v>614</v>
      </c>
      <c r="M93" s="576"/>
      <c r="N93" s="576">
        <f t="shared" si="15"/>
        <v>0</v>
      </c>
      <c r="O93" s="577">
        <f t="shared" si="18"/>
        <v>0</v>
      </c>
      <c r="P93" s="578">
        <f t="shared" si="19"/>
        <v>0</v>
      </c>
      <c r="Q93" s="765"/>
      <c r="R93" s="576">
        <f t="shared" si="20"/>
        <v>0</v>
      </c>
      <c r="S93" s="576">
        <f t="shared" si="20"/>
        <v>0</v>
      </c>
      <c r="T93" s="577">
        <f t="shared" si="21"/>
        <v>0</v>
      </c>
      <c r="U93" s="578">
        <f t="shared" si="22"/>
        <v>0</v>
      </c>
      <c r="V93" s="579"/>
      <c r="W93" s="566"/>
      <c r="X93" s="586" t="str">
        <f t="shared" si="23"/>
        <v/>
      </c>
      <c r="Y93" s="586" t="str">
        <f t="shared" si="16"/>
        <v/>
      </c>
      <c r="Z93" s="586" t="str">
        <f t="shared" si="17"/>
        <v/>
      </c>
    </row>
    <row r="94" spans="1:26" ht="12" hidden="1" thickBot="1" x14ac:dyDescent="0.25">
      <c r="A94" s="652" t="s">
        <v>187</v>
      </c>
      <c r="B94" s="572" t="s">
        <v>187</v>
      </c>
      <c r="C94" s="573" t="s">
        <v>187</v>
      </c>
      <c r="D94" s="580"/>
      <c r="E94" s="575"/>
      <c r="F94" s="436"/>
      <c r="G94" s="431"/>
      <c r="H94" s="426"/>
      <c r="I94" s="432"/>
      <c r="J94" s="433"/>
      <c r="K94" s="437">
        <f t="shared" si="24"/>
        <v>0</v>
      </c>
      <c r="L94" s="435" t="s">
        <v>614</v>
      </c>
      <c r="M94" s="576"/>
      <c r="N94" s="576">
        <f t="shared" si="15"/>
        <v>0</v>
      </c>
      <c r="O94" s="577">
        <f t="shared" si="18"/>
        <v>0</v>
      </c>
      <c r="P94" s="578">
        <f t="shared" si="19"/>
        <v>0</v>
      </c>
      <c r="Q94" s="765"/>
      <c r="R94" s="576">
        <f t="shared" si="20"/>
        <v>0</v>
      </c>
      <c r="S94" s="576">
        <f t="shared" si="20"/>
        <v>0</v>
      </c>
      <c r="T94" s="577">
        <f t="shared" si="21"/>
        <v>0</v>
      </c>
      <c r="U94" s="578">
        <f t="shared" si="22"/>
        <v>0</v>
      </c>
      <c r="V94" s="579"/>
      <c r="W94" s="566"/>
      <c r="X94" s="586" t="str">
        <f t="shared" si="23"/>
        <v/>
      </c>
      <c r="Y94" s="586" t="str">
        <f t="shared" si="16"/>
        <v/>
      </c>
      <c r="Z94" s="586" t="str">
        <f t="shared" si="17"/>
        <v/>
      </c>
    </row>
    <row r="95" spans="1:26" ht="12" hidden="1" thickBot="1" x14ac:dyDescent="0.25">
      <c r="A95" s="652" t="s">
        <v>187</v>
      </c>
      <c r="B95" s="572" t="s">
        <v>187</v>
      </c>
      <c r="C95" s="573" t="s">
        <v>187</v>
      </c>
      <c r="D95" s="580"/>
      <c r="E95" s="575"/>
      <c r="F95" s="436"/>
      <c r="G95" s="431"/>
      <c r="H95" s="426"/>
      <c r="I95" s="432"/>
      <c r="J95" s="433"/>
      <c r="K95" s="437">
        <f t="shared" si="24"/>
        <v>0</v>
      </c>
      <c r="L95" s="435" t="s">
        <v>614</v>
      </c>
      <c r="M95" s="576"/>
      <c r="N95" s="576">
        <f t="shared" si="15"/>
        <v>0</v>
      </c>
      <c r="O95" s="577">
        <f t="shared" si="18"/>
        <v>0</v>
      </c>
      <c r="P95" s="578">
        <f t="shared" si="19"/>
        <v>0</v>
      </c>
      <c r="Q95" s="765"/>
      <c r="R95" s="576">
        <f t="shared" si="20"/>
        <v>0</v>
      </c>
      <c r="S95" s="576">
        <f t="shared" si="20"/>
        <v>0</v>
      </c>
      <c r="T95" s="577">
        <f t="shared" si="21"/>
        <v>0</v>
      </c>
      <c r="U95" s="578">
        <f t="shared" si="22"/>
        <v>0</v>
      </c>
      <c r="V95" s="579"/>
      <c r="W95" s="566"/>
      <c r="X95" s="586" t="str">
        <f t="shared" si="23"/>
        <v/>
      </c>
      <c r="Y95" s="586" t="str">
        <f t="shared" si="16"/>
        <v/>
      </c>
      <c r="Z95" s="586" t="str">
        <f t="shared" si="17"/>
        <v/>
      </c>
    </row>
    <row r="96" spans="1:26" ht="12" hidden="1" thickBot="1" x14ac:dyDescent="0.25">
      <c r="A96" s="652" t="s">
        <v>187</v>
      </c>
      <c r="B96" s="572" t="s">
        <v>187</v>
      </c>
      <c r="C96" s="573" t="s">
        <v>187</v>
      </c>
      <c r="D96" s="580"/>
      <c r="E96" s="575"/>
      <c r="F96" s="436"/>
      <c r="G96" s="431"/>
      <c r="H96" s="426"/>
      <c r="I96" s="432"/>
      <c r="J96" s="433"/>
      <c r="K96" s="437">
        <f t="shared" si="24"/>
        <v>0</v>
      </c>
      <c r="L96" s="435" t="s">
        <v>614</v>
      </c>
      <c r="M96" s="576"/>
      <c r="N96" s="576">
        <f t="shared" si="15"/>
        <v>0</v>
      </c>
      <c r="O96" s="577">
        <f t="shared" si="18"/>
        <v>0</v>
      </c>
      <c r="P96" s="578">
        <f t="shared" si="19"/>
        <v>0</v>
      </c>
      <c r="Q96" s="765"/>
      <c r="R96" s="576">
        <f t="shared" si="20"/>
        <v>0</v>
      </c>
      <c r="S96" s="576">
        <f t="shared" si="20"/>
        <v>0</v>
      </c>
      <c r="T96" s="577">
        <f t="shared" si="21"/>
        <v>0</v>
      </c>
      <c r="U96" s="578">
        <f t="shared" si="22"/>
        <v>0</v>
      </c>
      <c r="V96" s="579"/>
      <c r="W96" s="566"/>
      <c r="X96" s="586" t="str">
        <f t="shared" si="23"/>
        <v/>
      </c>
      <c r="Y96" s="586" t="str">
        <f t="shared" si="16"/>
        <v/>
      </c>
      <c r="Z96" s="586" t="str">
        <f t="shared" si="17"/>
        <v/>
      </c>
    </row>
    <row r="97" spans="1:26" ht="12" hidden="1" thickBot="1" x14ac:dyDescent="0.25">
      <c r="A97" s="652" t="s">
        <v>187</v>
      </c>
      <c r="B97" s="572" t="s">
        <v>187</v>
      </c>
      <c r="C97" s="573" t="s">
        <v>187</v>
      </c>
      <c r="D97" s="580"/>
      <c r="E97" s="575"/>
      <c r="F97" s="436"/>
      <c r="G97" s="431"/>
      <c r="H97" s="426"/>
      <c r="I97" s="432"/>
      <c r="J97" s="433"/>
      <c r="K97" s="437">
        <f t="shared" si="24"/>
        <v>0</v>
      </c>
      <c r="L97" s="435" t="s">
        <v>614</v>
      </c>
      <c r="M97" s="576"/>
      <c r="N97" s="576">
        <f t="shared" si="15"/>
        <v>0</v>
      </c>
      <c r="O97" s="577">
        <f t="shared" si="18"/>
        <v>0</v>
      </c>
      <c r="P97" s="578">
        <f t="shared" si="19"/>
        <v>0</v>
      </c>
      <c r="Q97" s="765"/>
      <c r="R97" s="576">
        <f t="shared" si="20"/>
        <v>0</v>
      </c>
      <c r="S97" s="576">
        <f t="shared" si="20"/>
        <v>0</v>
      </c>
      <c r="T97" s="577">
        <f t="shared" si="21"/>
        <v>0</v>
      </c>
      <c r="U97" s="578">
        <f t="shared" si="22"/>
        <v>0</v>
      </c>
      <c r="V97" s="579"/>
      <c r="W97" s="566"/>
      <c r="X97" s="586" t="str">
        <f t="shared" si="23"/>
        <v/>
      </c>
      <c r="Y97" s="586" t="str">
        <f t="shared" si="16"/>
        <v/>
      </c>
      <c r="Z97" s="586" t="str">
        <f t="shared" si="17"/>
        <v/>
      </c>
    </row>
    <row r="98" spans="1:26" ht="12" hidden="1" thickBot="1" x14ac:dyDescent="0.25">
      <c r="A98" s="652" t="s">
        <v>187</v>
      </c>
      <c r="B98" s="572" t="s">
        <v>187</v>
      </c>
      <c r="C98" s="573" t="s">
        <v>187</v>
      </c>
      <c r="D98" s="580"/>
      <c r="E98" s="575"/>
      <c r="F98" s="436"/>
      <c r="G98" s="431"/>
      <c r="H98" s="426"/>
      <c r="I98" s="432"/>
      <c r="J98" s="433"/>
      <c r="K98" s="437">
        <f t="shared" si="24"/>
        <v>0</v>
      </c>
      <c r="L98" s="435" t="s">
        <v>614</v>
      </c>
      <c r="M98" s="576"/>
      <c r="N98" s="576">
        <f t="shared" si="15"/>
        <v>0</v>
      </c>
      <c r="O98" s="577">
        <f t="shared" si="18"/>
        <v>0</v>
      </c>
      <c r="P98" s="578">
        <f t="shared" si="19"/>
        <v>0</v>
      </c>
      <c r="Q98" s="765"/>
      <c r="R98" s="576">
        <f t="shared" si="20"/>
        <v>0</v>
      </c>
      <c r="S98" s="576">
        <f t="shared" si="20"/>
        <v>0</v>
      </c>
      <c r="T98" s="577">
        <f t="shared" si="21"/>
        <v>0</v>
      </c>
      <c r="U98" s="578">
        <f t="shared" si="22"/>
        <v>0</v>
      </c>
      <c r="V98" s="579"/>
      <c r="W98" s="566"/>
      <c r="X98" s="586" t="str">
        <f t="shared" si="23"/>
        <v/>
      </c>
      <c r="Y98" s="586" t="str">
        <f t="shared" si="16"/>
        <v/>
      </c>
      <c r="Z98" s="586" t="str">
        <f t="shared" si="17"/>
        <v/>
      </c>
    </row>
    <row r="99" spans="1:26" ht="12" hidden="1" thickBot="1" x14ac:dyDescent="0.25">
      <c r="A99" s="652" t="s">
        <v>187</v>
      </c>
      <c r="B99" s="572" t="s">
        <v>187</v>
      </c>
      <c r="C99" s="573" t="s">
        <v>187</v>
      </c>
      <c r="D99" s="580"/>
      <c r="E99" s="575"/>
      <c r="F99" s="436"/>
      <c r="G99" s="431"/>
      <c r="H99" s="426"/>
      <c r="I99" s="432"/>
      <c r="J99" s="433"/>
      <c r="K99" s="437">
        <f t="shared" si="24"/>
        <v>0</v>
      </c>
      <c r="L99" s="435" t="s">
        <v>614</v>
      </c>
      <c r="M99" s="576"/>
      <c r="N99" s="576">
        <f t="shared" si="15"/>
        <v>0</v>
      </c>
      <c r="O99" s="577">
        <f t="shared" si="18"/>
        <v>0</v>
      </c>
      <c r="P99" s="578">
        <f t="shared" si="19"/>
        <v>0</v>
      </c>
      <c r="Q99" s="765"/>
      <c r="R99" s="576">
        <f t="shared" si="20"/>
        <v>0</v>
      </c>
      <c r="S99" s="576">
        <f t="shared" si="20"/>
        <v>0</v>
      </c>
      <c r="T99" s="577">
        <f t="shared" si="21"/>
        <v>0</v>
      </c>
      <c r="U99" s="578">
        <f t="shared" si="22"/>
        <v>0</v>
      </c>
      <c r="V99" s="579"/>
      <c r="W99" s="566"/>
      <c r="X99" s="586" t="str">
        <f t="shared" si="23"/>
        <v/>
      </c>
      <c r="Y99" s="586" t="str">
        <f t="shared" si="16"/>
        <v/>
      </c>
      <c r="Z99" s="586" t="str">
        <f t="shared" si="17"/>
        <v/>
      </c>
    </row>
    <row r="100" spans="1:26" ht="12" hidden="1" thickBot="1" x14ac:dyDescent="0.25">
      <c r="A100" s="652" t="s">
        <v>187</v>
      </c>
      <c r="B100" s="572" t="s">
        <v>187</v>
      </c>
      <c r="C100" s="573" t="s">
        <v>187</v>
      </c>
      <c r="D100" s="580"/>
      <c r="E100" s="575"/>
      <c r="F100" s="436"/>
      <c r="G100" s="431"/>
      <c r="H100" s="426"/>
      <c r="I100" s="432"/>
      <c r="J100" s="433"/>
      <c r="K100" s="437">
        <f t="shared" si="24"/>
        <v>0</v>
      </c>
      <c r="L100" s="435" t="s">
        <v>614</v>
      </c>
      <c r="M100" s="576"/>
      <c r="N100" s="576">
        <f t="shared" si="15"/>
        <v>0</v>
      </c>
      <c r="O100" s="577">
        <f t="shared" si="18"/>
        <v>0</v>
      </c>
      <c r="P100" s="578">
        <f t="shared" si="19"/>
        <v>0</v>
      </c>
      <c r="Q100" s="765"/>
      <c r="R100" s="576">
        <f t="shared" si="20"/>
        <v>0</v>
      </c>
      <c r="S100" s="576">
        <f t="shared" si="20"/>
        <v>0</v>
      </c>
      <c r="T100" s="577">
        <f t="shared" si="21"/>
        <v>0</v>
      </c>
      <c r="U100" s="578">
        <f t="shared" si="22"/>
        <v>0</v>
      </c>
      <c r="V100" s="579"/>
      <c r="W100" s="566"/>
      <c r="X100" s="586" t="str">
        <f t="shared" si="23"/>
        <v/>
      </c>
      <c r="Y100" s="586" t="str">
        <f t="shared" si="16"/>
        <v/>
      </c>
      <c r="Z100" s="586" t="str">
        <f t="shared" si="17"/>
        <v/>
      </c>
    </row>
    <row r="101" spans="1:26" ht="12" hidden="1" thickBot="1" x14ac:dyDescent="0.25">
      <c r="A101" s="652" t="s">
        <v>187</v>
      </c>
      <c r="B101" s="572" t="s">
        <v>187</v>
      </c>
      <c r="C101" s="573" t="s">
        <v>187</v>
      </c>
      <c r="D101" s="580"/>
      <c r="E101" s="575"/>
      <c r="F101" s="436"/>
      <c r="G101" s="431"/>
      <c r="H101" s="426"/>
      <c r="I101" s="432"/>
      <c r="J101" s="433"/>
      <c r="K101" s="437">
        <f t="shared" si="24"/>
        <v>0</v>
      </c>
      <c r="L101" s="435" t="s">
        <v>614</v>
      </c>
      <c r="M101" s="576"/>
      <c r="N101" s="576">
        <f t="shared" si="15"/>
        <v>0</v>
      </c>
      <c r="O101" s="577">
        <f t="shared" si="18"/>
        <v>0</v>
      </c>
      <c r="P101" s="578">
        <f t="shared" si="19"/>
        <v>0</v>
      </c>
      <c r="Q101" s="765"/>
      <c r="R101" s="576">
        <f t="shared" si="20"/>
        <v>0</v>
      </c>
      <c r="S101" s="576">
        <f t="shared" si="20"/>
        <v>0</v>
      </c>
      <c r="T101" s="577">
        <f t="shared" si="21"/>
        <v>0</v>
      </c>
      <c r="U101" s="578">
        <f t="shared" si="22"/>
        <v>0</v>
      </c>
      <c r="V101" s="579"/>
      <c r="W101" s="566"/>
      <c r="X101" s="586" t="str">
        <f t="shared" si="23"/>
        <v/>
      </c>
      <c r="Y101" s="586" t="str">
        <f t="shared" si="16"/>
        <v/>
      </c>
      <c r="Z101" s="586" t="str">
        <f t="shared" si="17"/>
        <v/>
      </c>
    </row>
    <row r="102" spans="1:26" ht="12" hidden="1" thickBot="1" x14ac:dyDescent="0.25">
      <c r="A102" s="652" t="s">
        <v>187</v>
      </c>
      <c r="B102" s="572" t="s">
        <v>187</v>
      </c>
      <c r="C102" s="573" t="s">
        <v>187</v>
      </c>
      <c r="D102" s="580"/>
      <c r="E102" s="575"/>
      <c r="F102" s="436"/>
      <c r="G102" s="431"/>
      <c r="H102" s="426"/>
      <c r="I102" s="432"/>
      <c r="J102" s="433"/>
      <c r="K102" s="437">
        <f t="shared" si="24"/>
        <v>0</v>
      </c>
      <c r="L102" s="435" t="s">
        <v>614</v>
      </c>
      <c r="M102" s="576"/>
      <c r="N102" s="576">
        <f t="shared" si="15"/>
        <v>0</v>
      </c>
      <c r="O102" s="577">
        <f t="shared" si="18"/>
        <v>0</v>
      </c>
      <c r="P102" s="578">
        <f t="shared" si="19"/>
        <v>0</v>
      </c>
      <c r="Q102" s="765"/>
      <c r="R102" s="576">
        <f t="shared" si="20"/>
        <v>0</v>
      </c>
      <c r="S102" s="576">
        <f t="shared" si="20"/>
        <v>0</v>
      </c>
      <c r="T102" s="577">
        <f t="shared" si="21"/>
        <v>0</v>
      </c>
      <c r="U102" s="578">
        <f t="shared" si="22"/>
        <v>0</v>
      </c>
      <c r="V102" s="579"/>
      <c r="W102" s="566"/>
      <c r="X102" s="586" t="str">
        <f t="shared" si="23"/>
        <v/>
      </c>
      <c r="Y102" s="586" t="str">
        <f t="shared" si="16"/>
        <v/>
      </c>
      <c r="Z102" s="586" t="str">
        <f t="shared" si="17"/>
        <v/>
      </c>
    </row>
    <row r="103" spans="1:26" ht="12" hidden="1" thickBot="1" x14ac:dyDescent="0.25">
      <c r="A103" s="652" t="s">
        <v>187</v>
      </c>
      <c r="B103" s="572" t="s">
        <v>187</v>
      </c>
      <c r="C103" s="573" t="s">
        <v>187</v>
      </c>
      <c r="D103" s="580"/>
      <c r="E103" s="575"/>
      <c r="F103" s="436"/>
      <c r="G103" s="431"/>
      <c r="H103" s="426"/>
      <c r="I103" s="432"/>
      <c r="J103" s="433"/>
      <c r="K103" s="437">
        <f t="shared" si="24"/>
        <v>0</v>
      </c>
      <c r="L103" s="435" t="s">
        <v>614</v>
      </c>
      <c r="M103" s="576"/>
      <c r="N103" s="576">
        <f t="shared" si="15"/>
        <v>0</v>
      </c>
      <c r="O103" s="577">
        <f t="shared" si="18"/>
        <v>0</v>
      </c>
      <c r="P103" s="578">
        <f t="shared" si="19"/>
        <v>0</v>
      </c>
      <c r="Q103" s="765"/>
      <c r="R103" s="576">
        <f t="shared" si="20"/>
        <v>0</v>
      </c>
      <c r="S103" s="576">
        <f t="shared" si="20"/>
        <v>0</v>
      </c>
      <c r="T103" s="577">
        <f t="shared" si="21"/>
        <v>0</v>
      </c>
      <c r="U103" s="578">
        <f t="shared" si="22"/>
        <v>0</v>
      </c>
      <c r="V103" s="579"/>
      <c r="W103" s="566"/>
      <c r="X103" s="586" t="str">
        <f t="shared" si="23"/>
        <v/>
      </c>
      <c r="Y103" s="586" t="str">
        <f t="shared" si="16"/>
        <v/>
      </c>
      <c r="Z103" s="586" t="str">
        <f t="shared" si="17"/>
        <v/>
      </c>
    </row>
    <row r="104" spans="1:26" ht="12" hidden="1" thickBot="1" x14ac:dyDescent="0.25">
      <c r="A104" s="652" t="s">
        <v>187</v>
      </c>
      <c r="B104" s="572" t="s">
        <v>187</v>
      </c>
      <c r="C104" s="573" t="s">
        <v>187</v>
      </c>
      <c r="D104" s="580"/>
      <c r="E104" s="575"/>
      <c r="F104" s="436"/>
      <c r="G104" s="431"/>
      <c r="H104" s="426"/>
      <c r="I104" s="432"/>
      <c r="J104" s="433"/>
      <c r="K104" s="437">
        <f t="shared" si="24"/>
        <v>0</v>
      </c>
      <c r="L104" s="435" t="s">
        <v>614</v>
      </c>
      <c r="M104" s="576"/>
      <c r="N104" s="576">
        <f t="shared" si="15"/>
        <v>0</v>
      </c>
      <c r="O104" s="577">
        <f t="shared" si="18"/>
        <v>0</v>
      </c>
      <c r="P104" s="578">
        <f t="shared" si="19"/>
        <v>0</v>
      </c>
      <c r="Q104" s="765"/>
      <c r="R104" s="576">
        <f t="shared" si="20"/>
        <v>0</v>
      </c>
      <c r="S104" s="576">
        <f t="shared" si="20"/>
        <v>0</v>
      </c>
      <c r="T104" s="577">
        <f t="shared" si="21"/>
        <v>0</v>
      </c>
      <c r="U104" s="578">
        <f t="shared" si="22"/>
        <v>0</v>
      </c>
      <c r="V104" s="579"/>
      <c r="W104" s="566"/>
      <c r="X104" s="586" t="str">
        <f t="shared" si="23"/>
        <v/>
      </c>
      <c r="Y104" s="586" t="str">
        <f t="shared" si="16"/>
        <v/>
      </c>
      <c r="Z104" s="586" t="str">
        <f t="shared" si="17"/>
        <v/>
      </c>
    </row>
    <row r="105" spans="1:26" ht="12" hidden="1" thickBot="1" x14ac:dyDescent="0.25">
      <c r="A105" s="652" t="s">
        <v>187</v>
      </c>
      <c r="B105" s="572" t="s">
        <v>187</v>
      </c>
      <c r="C105" s="573" t="s">
        <v>187</v>
      </c>
      <c r="D105" s="580"/>
      <c r="E105" s="575"/>
      <c r="F105" s="436"/>
      <c r="G105" s="431"/>
      <c r="H105" s="426"/>
      <c r="I105" s="432"/>
      <c r="J105" s="433"/>
      <c r="K105" s="437">
        <f t="shared" si="24"/>
        <v>0</v>
      </c>
      <c r="L105" s="435" t="s">
        <v>614</v>
      </c>
      <c r="M105" s="576"/>
      <c r="N105" s="576">
        <f t="shared" si="15"/>
        <v>0</v>
      </c>
      <c r="O105" s="577">
        <f t="shared" si="18"/>
        <v>0</v>
      </c>
      <c r="P105" s="578">
        <f t="shared" si="19"/>
        <v>0</v>
      </c>
      <c r="Q105" s="765"/>
      <c r="R105" s="576">
        <f t="shared" si="20"/>
        <v>0</v>
      </c>
      <c r="S105" s="576">
        <f t="shared" si="20"/>
        <v>0</v>
      </c>
      <c r="T105" s="577">
        <f t="shared" si="21"/>
        <v>0</v>
      </c>
      <c r="U105" s="578">
        <f t="shared" si="22"/>
        <v>0</v>
      </c>
      <c r="V105" s="579"/>
      <c r="W105" s="566"/>
      <c r="X105" s="586" t="str">
        <f t="shared" si="23"/>
        <v/>
      </c>
      <c r="Y105" s="586" t="str">
        <f t="shared" si="16"/>
        <v/>
      </c>
      <c r="Z105" s="586" t="str">
        <f t="shared" si="17"/>
        <v/>
      </c>
    </row>
    <row r="106" spans="1:26" ht="12" hidden="1" thickBot="1" x14ac:dyDescent="0.25">
      <c r="A106" s="652" t="s">
        <v>187</v>
      </c>
      <c r="B106" s="572" t="s">
        <v>187</v>
      </c>
      <c r="C106" s="573" t="s">
        <v>187</v>
      </c>
      <c r="D106" s="580"/>
      <c r="E106" s="575"/>
      <c r="F106" s="436"/>
      <c r="G106" s="431"/>
      <c r="H106" s="426"/>
      <c r="I106" s="432"/>
      <c r="J106" s="433"/>
      <c r="K106" s="437">
        <f t="shared" si="24"/>
        <v>0</v>
      </c>
      <c r="L106" s="435" t="s">
        <v>614</v>
      </c>
      <c r="M106" s="576"/>
      <c r="N106" s="576">
        <f t="shared" si="15"/>
        <v>0</v>
      </c>
      <c r="O106" s="577">
        <f t="shared" si="18"/>
        <v>0</v>
      </c>
      <c r="P106" s="578">
        <f t="shared" si="19"/>
        <v>0</v>
      </c>
      <c r="Q106" s="765"/>
      <c r="R106" s="576">
        <f t="shared" si="20"/>
        <v>0</v>
      </c>
      <c r="S106" s="576">
        <f t="shared" si="20"/>
        <v>0</v>
      </c>
      <c r="T106" s="577">
        <f t="shared" si="21"/>
        <v>0</v>
      </c>
      <c r="U106" s="578">
        <f t="shared" si="22"/>
        <v>0</v>
      </c>
      <c r="V106" s="579"/>
      <c r="W106" s="566"/>
      <c r="X106" s="586" t="str">
        <f t="shared" si="23"/>
        <v/>
      </c>
      <c r="Y106" s="586" t="str">
        <f t="shared" si="16"/>
        <v/>
      </c>
      <c r="Z106" s="586" t="str">
        <f t="shared" si="17"/>
        <v/>
      </c>
    </row>
    <row r="107" spans="1:26" ht="12" hidden="1" thickBot="1" x14ac:dyDescent="0.25">
      <c r="A107" s="652" t="s">
        <v>187</v>
      </c>
      <c r="B107" s="572" t="s">
        <v>187</v>
      </c>
      <c r="C107" s="573" t="s">
        <v>187</v>
      </c>
      <c r="D107" s="580"/>
      <c r="E107" s="575"/>
      <c r="F107" s="436"/>
      <c r="G107" s="431"/>
      <c r="H107" s="426"/>
      <c r="I107" s="432"/>
      <c r="J107" s="433"/>
      <c r="K107" s="437">
        <f t="shared" si="24"/>
        <v>0</v>
      </c>
      <c r="L107" s="435" t="s">
        <v>614</v>
      </c>
      <c r="M107" s="576"/>
      <c r="N107" s="576">
        <f t="shared" si="15"/>
        <v>0</v>
      </c>
      <c r="O107" s="577">
        <f t="shared" si="18"/>
        <v>0</v>
      </c>
      <c r="P107" s="578">
        <f t="shared" si="19"/>
        <v>0</v>
      </c>
      <c r="Q107" s="765"/>
      <c r="R107" s="576">
        <f t="shared" si="20"/>
        <v>0</v>
      </c>
      <c r="S107" s="576">
        <f t="shared" si="20"/>
        <v>0</v>
      </c>
      <c r="T107" s="577">
        <f t="shared" si="21"/>
        <v>0</v>
      </c>
      <c r="U107" s="578">
        <f t="shared" si="22"/>
        <v>0</v>
      </c>
      <c r="V107" s="579"/>
      <c r="W107" s="566"/>
      <c r="X107" s="586" t="str">
        <f t="shared" si="23"/>
        <v/>
      </c>
      <c r="Y107" s="586" t="str">
        <f t="shared" si="16"/>
        <v/>
      </c>
      <c r="Z107" s="586" t="str">
        <f t="shared" si="17"/>
        <v/>
      </c>
    </row>
    <row r="108" spans="1:26" ht="12" hidden="1" thickBot="1" x14ac:dyDescent="0.25">
      <c r="A108" s="652" t="s">
        <v>187</v>
      </c>
      <c r="B108" s="572" t="s">
        <v>187</v>
      </c>
      <c r="C108" s="573" t="s">
        <v>187</v>
      </c>
      <c r="D108" s="580"/>
      <c r="E108" s="575"/>
      <c r="F108" s="436"/>
      <c r="G108" s="431"/>
      <c r="H108" s="426"/>
      <c r="I108" s="432"/>
      <c r="J108" s="433"/>
      <c r="K108" s="437">
        <f t="shared" si="24"/>
        <v>0</v>
      </c>
      <c r="L108" s="435" t="s">
        <v>614</v>
      </c>
      <c r="M108" s="576"/>
      <c r="N108" s="576">
        <f t="shared" si="15"/>
        <v>0</v>
      </c>
      <c r="O108" s="577">
        <f t="shared" si="18"/>
        <v>0</v>
      </c>
      <c r="P108" s="578">
        <f t="shared" si="19"/>
        <v>0</v>
      </c>
      <c r="Q108" s="765"/>
      <c r="R108" s="576">
        <f t="shared" si="20"/>
        <v>0</v>
      </c>
      <c r="S108" s="576">
        <f t="shared" si="20"/>
        <v>0</v>
      </c>
      <c r="T108" s="577">
        <f t="shared" si="21"/>
        <v>0</v>
      </c>
      <c r="U108" s="578">
        <f t="shared" si="22"/>
        <v>0</v>
      </c>
      <c r="V108" s="579"/>
      <c r="W108" s="566"/>
      <c r="X108" s="586" t="str">
        <f t="shared" si="23"/>
        <v/>
      </c>
      <c r="Y108" s="586" t="str">
        <f t="shared" si="16"/>
        <v/>
      </c>
      <c r="Z108" s="586" t="str">
        <f t="shared" si="17"/>
        <v/>
      </c>
    </row>
    <row r="109" spans="1:26" ht="12" hidden="1" thickBot="1" x14ac:dyDescent="0.25">
      <c r="A109" s="652" t="s">
        <v>187</v>
      </c>
      <c r="B109" s="572" t="s">
        <v>187</v>
      </c>
      <c r="C109" s="573" t="s">
        <v>187</v>
      </c>
      <c r="D109" s="580"/>
      <c r="E109" s="575"/>
      <c r="F109" s="436"/>
      <c r="G109" s="431"/>
      <c r="H109" s="426"/>
      <c r="I109" s="432"/>
      <c r="J109" s="433"/>
      <c r="K109" s="437">
        <f t="shared" si="24"/>
        <v>0</v>
      </c>
      <c r="L109" s="435" t="s">
        <v>614</v>
      </c>
      <c r="M109" s="576"/>
      <c r="N109" s="576">
        <f t="shared" si="15"/>
        <v>0</v>
      </c>
      <c r="O109" s="577">
        <f t="shared" si="18"/>
        <v>0</v>
      </c>
      <c r="P109" s="578">
        <f t="shared" si="19"/>
        <v>0</v>
      </c>
      <c r="Q109" s="765"/>
      <c r="R109" s="576">
        <f t="shared" si="20"/>
        <v>0</v>
      </c>
      <c r="S109" s="576">
        <f t="shared" si="20"/>
        <v>0</v>
      </c>
      <c r="T109" s="577">
        <f t="shared" si="21"/>
        <v>0</v>
      </c>
      <c r="U109" s="578">
        <f t="shared" si="22"/>
        <v>0</v>
      </c>
      <c r="V109" s="579"/>
      <c r="W109" s="566"/>
      <c r="X109" s="586" t="str">
        <f t="shared" si="23"/>
        <v/>
      </c>
      <c r="Y109" s="586" t="str">
        <f t="shared" si="16"/>
        <v/>
      </c>
      <c r="Z109" s="586" t="str">
        <f t="shared" si="17"/>
        <v/>
      </c>
    </row>
    <row r="110" spans="1:26" ht="12" hidden="1" thickBot="1" x14ac:dyDescent="0.25">
      <c r="A110" s="652" t="s">
        <v>187</v>
      </c>
      <c r="B110" s="572" t="s">
        <v>187</v>
      </c>
      <c r="C110" s="573" t="s">
        <v>187</v>
      </c>
      <c r="D110" s="580"/>
      <c r="E110" s="575"/>
      <c r="F110" s="436"/>
      <c r="G110" s="431"/>
      <c r="H110" s="426"/>
      <c r="I110" s="432"/>
      <c r="J110" s="433"/>
      <c r="K110" s="437">
        <f t="shared" si="24"/>
        <v>0</v>
      </c>
      <c r="L110" s="435" t="s">
        <v>614</v>
      </c>
      <c r="M110" s="576"/>
      <c r="N110" s="576">
        <f t="shared" si="15"/>
        <v>0</v>
      </c>
      <c r="O110" s="577">
        <f t="shared" si="18"/>
        <v>0</v>
      </c>
      <c r="P110" s="578">
        <f t="shared" si="19"/>
        <v>0</v>
      </c>
      <c r="Q110" s="765"/>
      <c r="R110" s="576">
        <f t="shared" si="20"/>
        <v>0</v>
      </c>
      <c r="S110" s="576">
        <f t="shared" si="20"/>
        <v>0</v>
      </c>
      <c r="T110" s="577">
        <f t="shared" si="21"/>
        <v>0</v>
      </c>
      <c r="U110" s="578">
        <f t="shared" si="22"/>
        <v>0</v>
      </c>
      <c r="V110" s="579"/>
      <c r="W110" s="566"/>
      <c r="X110" s="586" t="str">
        <f t="shared" si="23"/>
        <v/>
      </c>
      <c r="Y110" s="586" t="str">
        <f t="shared" si="16"/>
        <v/>
      </c>
      <c r="Z110" s="586" t="str">
        <f t="shared" si="17"/>
        <v/>
      </c>
    </row>
    <row r="111" spans="1:26" ht="12" hidden="1" thickBot="1" x14ac:dyDescent="0.25">
      <c r="A111" s="652" t="s">
        <v>187</v>
      </c>
      <c r="B111" s="572" t="s">
        <v>187</v>
      </c>
      <c r="C111" s="573" t="s">
        <v>187</v>
      </c>
      <c r="D111" s="580"/>
      <c r="E111" s="575"/>
      <c r="F111" s="436"/>
      <c r="G111" s="431"/>
      <c r="H111" s="426"/>
      <c r="I111" s="432"/>
      <c r="J111" s="433"/>
      <c r="K111" s="437">
        <f t="shared" si="24"/>
        <v>0</v>
      </c>
      <c r="L111" s="435" t="s">
        <v>614</v>
      </c>
      <c r="M111" s="576"/>
      <c r="N111" s="576">
        <f t="shared" si="15"/>
        <v>0</v>
      </c>
      <c r="O111" s="577">
        <f t="shared" si="18"/>
        <v>0</v>
      </c>
      <c r="P111" s="578">
        <f t="shared" si="19"/>
        <v>0</v>
      </c>
      <c r="Q111" s="765"/>
      <c r="R111" s="576">
        <f t="shared" si="20"/>
        <v>0</v>
      </c>
      <c r="S111" s="576">
        <f t="shared" si="20"/>
        <v>0</v>
      </c>
      <c r="T111" s="577">
        <f t="shared" si="21"/>
        <v>0</v>
      </c>
      <c r="U111" s="578">
        <f t="shared" si="22"/>
        <v>0</v>
      </c>
      <c r="V111" s="579"/>
      <c r="W111" s="566"/>
      <c r="X111" s="586" t="str">
        <f t="shared" si="23"/>
        <v/>
      </c>
      <c r="Y111" s="586" t="str">
        <f t="shared" si="16"/>
        <v/>
      </c>
      <c r="Z111" s="586" t="str">
        <f t="shared" si="17"/>
        <v/>
      </c>
    </row>
    <row r="112" spans="1:26" ht="12" hidden="1" thickBot="1" x14ac:dyDescent="0.25">
      <c r="A112" s="652" t="s">
        <v>187</v>
      </c>
      <c r="B112" s="572" t="s">
        <v>187</v>
      </c>
      <c r="C112" s="573" t="s">
        <v>187</v>
      </c>
      <c r="D112" s="580"/>
      <c r="E112" s="575"/>
      <c r="F112" s="436"/>
      <c r="G112" s="431"/>
      <c r="H112" s="426"/>
      <c r="I112" s="432"/>
      <c r="J112" s="433"/>
      <c r="K112" s="437">
        <f t="shared" si="24"/>
        <v>0</v>
      </c>
      <c r="L112" s="435" t="s">
        <v>614</v>
      </c>
      <c r="M112" s="576"/>
      <c r="N112" s="576">
        <f t="shared" si="15"/>
        <v>0</v>
      </c>
      <c r="O112" s="577">
        <f t="shared" si="18"/>
        <v>0</v>
      </c>
      <c r="P112" s="578">
        <f t="shared" si="19"/>
        <v>0</v>
      </c>
      <c r="Q112" s="765"/>
      <c r="R112" s="576">
        <f t="shared" si="20"/>
        <v>0</v>
      </c>
      <c r="S112" s="576">
        <f t="shared" si="20"/>
        <v>0</v>
      </c>
      <c r="T112" s="577">
        <f t="shared" si="21"/>
        <v>0</v>
      </c>
      <c r="U112" s="578">
        <f t="shared" si="22"/>
        <v>0</v>
      </c>
      <c r="V112" s="579"/>
      <c r="W112" s="566"/>
      <c r="X112" s="586" t="str">
        <f t="shared" si="23"/>
        <v/>
      </c>
      <c r="Y112" s="586" t="str">
        <f t="shared" si="16"/>
        <v/>
      </c>
      <c r="Z112" s="586" t="str">
        <f t="shared" si="17"/>
        <v/>
      </c>
    </row>
    <row r="113" spans="1:26" ht="12" hidden="1" thickBot="1" x14ac:dyDescent="0.25">
      <c r="A113" s="652" t="s">
        <v>187</v>
      </c>
      <c r="B113" s="572" t="s">
        <v>187</v>
      </c>
      <c r="C113" s="573" t="s">
        <v>187</v>
      </c>
      <c r="D113" s="580"/>
      <c r="E113" s="575"/>
      <c r="F113" s="436"/>
      <c r="G113" s="431"/>
      <c r="H113" s="426"/>
      <c r="I113" s="432"/>
      <c r="J113" s="433"/>
      <c r="K113" s="437">
        <f t="shared" si="24"/>
        <v>0</v>
      </c>
      <c r="L113" s="435" t="s">
        <v>614</v>
      </c>
      <c r="M113" s="576"/>
      <c r="N113" s="576">
        <f t="shared" si="15"/>
        <v>0</v>
      </c>
      <c r="O113" s="577">
        <f t="shared" si="18"/>
        <v>0</v>
      </c>
      <c r="P113" s="578">
        <f t="shared" si="19"/>
        <v>0</v>
      </c>
      <c r="Q113" s="765"/>
      <c r="R113" s="576">
        <f t="shared" si="20"/>
        <v>0</v>
      </c>
      <c r="S113" s="576">
        <f t="shared" si="20"/>
        <v>0</v>
      </c>
      <c r="T113" s="577">
        <f t="shared" si="21"/>
        <v>0</v>
      </c>
      <c r="U113" s="578">
        <f t="shared" si="22"/>
        <v>0</v>
      </c>
      <c r="V113" s="579"/>
      <c r="W113" s="566"/>
      <c r="X113" s="586" t="str">
        <f t="shared" si="23"/>
        <v/>
      </c>
      <c r="Y113" s="586" t="str">
        <f t="shared" si="16"/>
        <v/>
      </c>
      <c r="Z113" s="586" t="str">
        <f t="shared" si="17"/>
        <v/>
      </c>
    </row>
    <row r="114" spans="1:26" ht="12" hidden="1" thickBot="1" x14ac:dyDescent="0.25">
      <c r="A114" s="652" t="s">
        <v>187</v>
      </c>
      <c r="B114" s="572" t="s">
        <v>187</v>
      </c>
      <c r="C114" s="573" t="s">
        <v>187</v>
      </c>
      <c r="D114" s="580"/>
      <c r="E114" s="575"/>
      <c r="F114" s="436"/>
      <c r="G114" s="431"/>
      <c r="H114" s="426"/>
      <c r="I114" s="432"/>
      <c r="J114" s="433"/>
      <c r="K114" s="437">
        <f t="shared" si="24"/>
        <v>0</v>
      </c>
      <c r="L114" s="435" t="s">
        <v>614</v>
      </c>
      <c r="M114" s="576"/>
      <c r="N114" s="576">
        <f t="shared" si="15"/>
        <v>0</v>
      </c>
      <c r="O114" s="577">
        <f t="shared" si="18"/>
        <v>0</v>
      </c>
      <c r="P114" s="578">
        <f t="shared" si="19"/>
        <v>0</v>
      </c>
      <c r="Q114" s="765"/>
      <c r="R114" s="576">
        <f t="shared" si="20"/>
        <v>0</v>
      </c>
      <c r="S114" s="576">
        <f t="shared" si="20"/>
        <v>0</v>
      </c>
      <c r="T114" s="577">
        <f t="shared" si="21"/>
        <v>0</v>
      </c>
      <c r="U114" s="578">
        <f t="shared" si="22"/>
        <v>0</v>
      </c>
      <c r="V114" s="579"/>
      <c r="W114" s="566"/>
      <c r="X114" s="586" t="str">
        <f t="shared" si="23"/>
        <v/>
      </c>
      <c r="Y114" s="586" t="str">
        <f t="shared" si="16"/>
        <v/>
      </c>
      <c r="Z114" s="586" t="str">
        <f t="shared" si="17"/>
        <v/>
      </c>
    </row>
    <row r="115" spans="1:26" ht="12" hidden="1" thickBot="1" x14ac:dyDescent="0.25">
      <c r="A115" s="652" t="s">
        <v>187</v>
      </c>
      <c r="B115" s="581" t="s">
        <v>187</v>
      </c>
      <c r="C115" s="582" t="s">
        <v>187</v>
      </c>
      <c r="D115" s="583"/>
      <c r="E115" s="584"/>
      <c r="F115" s="438"/>
      <c r="G115" s="439"/>
      <c r="H115" s="426"/>
      <c r="I115" s="441"/>
      <c r="J115" s="442"/>
      <c r="K115" s="443">
        <f t="shared" si="24"/>
        <v>0</v>
      </c>
      <c r="L115" s="444" t="s">
        <v>614</v>
      </c>
      <c r="M115" s="576"/>
      <c r="N115" s="576">
        <f t="shared" si="15"/>
        <v>0</v>
      </c>
      <c r="O115" s="585">
        <f t="shared" si="18"/>
        <v>0</v>
      </c>
      <c r="P115" s="660">
        <f t="shared" si="19"/>
        <v>0</v>
      </c>
      <c r="Q115" s="765"/>
      <c r="R115" s="576">
        <f t="shared" si="20"/>
        <v>0</v>
      </c>
      <c r="S115" s="576">
        <f t="shared" si="20"/>
        <v>0</v>
      </c>
      <c r="T115" s="585">
        <f t="shared" si="21"/>
        <v>0</v>
      </c>
      <c r="U115" s="660">
        <f t="shared" si="22"/>
        <v>0</v>
      </c>
      <c r="V115" s="579"/>
      <c r="W115" s="566"/>
      <c r="X115" s="586" t="str">
        <f t="shared" si="23"/>
        <v/>
      </c>
      <c r="Y115" s="586" t="str">
        <f t="shared" si="16"/>
        <v/>
      </c>
      <c r="Z115" s="586" t="str">
        <f t="shared" si="17"/>
        <v/>
      </c>
    </row>
    <row r="116" spans="1:26" ht="12" hidden="1" thickBot="1" x14ac:dyDescent="0.25">
      <c r="A116" s="567" t="s">
        <v>207</v>
      </c>
      <c r="B116" s="664" t="s">
        <v>207</v>
      </c>
      <c r="C116" s="665"/>
      <c r="D116" s="666" t="s">
        <v>465</v>
      </c>
      <c r="E116" s="631"/>
      <c r="F116" s="632"/>
      <c r="G116" s="633"/>
      <c r="H116" s="409"/>
      <c r="I116" s="409"/>
      <c r="J116" s="409"/>
      <c r="K116" s="409"/>
      <c r="L116" s="409" t="s">
        <v>614</v>
      </c>
      <c r="M116" s="634"/>
      <c r="N116" s="797"/>
      <c r="O116" s="409">
        <f t="shared" si="18"/>
        <v>0</v>
      </c>
      <c r="P116" s="635">
        <f t="shared" si="19"/>
        <v>0</v>
      </c>
      <c r="Q116" s="635">
        <f>SUM(P117:P226)</f>
        <v>0</v>
      </c>
      <c r="R116" s="634"/>
      <c r="S116" s="409"/>
      <c r="T116" s="409">
        <f t="shared" si="21"/>
        <v>0</v>
      </c>
      <c r="U116" s="635">
        <f t="shared" si="22"/>
        <v>0</v>
      </c>
      <c r="V116" s="636">
        <f>SUM(U117:U226)</f>
        <v>0</v>
      </c>
      <c r="W116" s="637" t="str">
        <f>IF(OR(Q116&gt;0,V116&gt;0),"X","")</f>
        <v/>
      </c>
      <c r="X116" s="586" t="str">
        <f t="shared" si="23"/>
        <v/>
      </c>
      <c r="Y116" s="586" t="str">
        <f t="shared" si="16"/>
        <v/>
      </c>
      <c r="Z116" s="586" t="str">
        <f t="shared" si="17"/>
        <v/>
      </c>
    </row>
    <row r="117" spans="1:26" ht="12" hidden="1" thickBot="1" x14ac:dyDescent="0.25">
      <c r="A117" s="567">
        <v>520100</v>
      </c>
      <c r="B117" s="644" t="s">
        <v>1732</v>
      </c>
      <c r="C117" s="645" t="s">
        <v>206</v>
      </c>
      <c r="D117" s="422" t="s">
        <v>285</v>
      </c>
      <c r="E117" s="423"/>
      <c r="F117" s="418">
        <v>0.5</v>
      </c>
      <c r="G117" s="419">
        <f>1.5*1.4</f>
        <v>2.0999999999999996</v>
      </c>
      <c r="H117" s="667">
        <f>IF(F117&lt;=30,(1.07*F117+2.68)*G117,((1.07*30+2.68)+1.07*(F117-30))*G117)</f>
        <v>6.7514999999999992</v>
      </c>
      <c r="I117" s="449">
        <v>13.587999999999999</v>
      </c>
      <c r="J117" s="420">
        <f t="shared" ref="J117:J123" si="25">IF(ISBLANK(I117),"",SUM(H117:I117))</f>
        <v>20.339499999999997</v>
      </c>
      <c r="K117" s="421">
        <f t="shared" ref="K117:K180" si="26">IF(ISBLANK(I117),0,ROUND(J117*(1+$F$10)*(1+$F$11*E117),2))</f>
        <v>24.17</v>
      </c>
      <c r="L117" s="647" t="s">
        <v>16</v>
      </c>
      <c r="M117" s="576"/>
      <c r="N117" s="576">
        <f t="shared" si="15"/>
        <v>0</v>
      </c>
      <c r="O117" s="577">
        <f t="shared" si="18"/>
        <v>0</v>
      </c>
      <c r="P117" s="578">
        <f t="shared" si="19"/>
        <v>0</v>
      </c>
      <c r="Q117" s="765"/>
      <c r="R117" s="576">
        <f t="shared" si="20"/>
        <v>0</v>
      </c>
      <c r="S117" s="576">
        <f t="shared" si="20"/>
        <v>0</v>
      </c>
      <c r="T117" s="577">
        <f t="shared" si="21"/>
        <v>0</v>
      </c>
      <c r="U117" s="578">
        <f t="shared" si="22"/>
        <v>0</v>
      </c>
      <c r="V117" s="579"/>
      <c r="W117" s="566"/>
      <c r="X117" s="586" t="str">
        <f t="shared" si="23"/>
        <v/>
      </c>
      <c r="Y117" s="586" t="str">
        <f t="shared" si="16"/>
        <v/>
      </c>
      <c r="Z117" s="586" t="str">
        <f t="shared" si="17"/>
        <v/>
      </c>
    </row>
    <row r="118" spans="1:26" ht="12" hidden="1" thickBot="1" x14ac:dyDescent="0.25">
      <c r="A118" s="567">
        <v>520100</v>
      </c>
      <c r="B118" s="644" t="s">
        <v>1733</v>
      </c>
      <c r="C118" s="645" t="s">
        <v>206</v>
      </c>
      <c r="D118" s="422" t="s">
        <v>286</v>
      </c>
      <c r="E118" s="423"/>
      <c r="F118" s="418">
        <v>15</v>
      </c>
      <c r="G118" s="419">
        <f>1.5*1.4</f>
        <v>2.0999999999999996</v>
      </c>
      <c r="H118" s="667">
        <f>IF(F118&lt;=30,(1.07*F118+2.68)*G118,((1.07*30+2.68)+1.07*(F118-30))*G118)</f>
        <v>39.332999999999991</v>
      </c>
      <c r="I118" s="449">
        <v>13.587999999999999</v>
      </c>
      <c r="J118" s="420">
        <f t="shared" si="25"/>
        <v>52.920999999999992</v>
      </c>
      <c r="K118" s="421">
        <f t="shared" si="26"/>
        <v>62.88</v>
      </c>
      <c r="L118" s="647" t="s">
        <v>16</v>
      </c>
      <c r="M118" s="576"/>
      <c r="N118" s="576">
        <f t="shared" si="15"/>
        <v>0</v>
      </c>
      <c r="O118" s="577">
        <f t="shared" si="18"/>
        <v>0</v>
      </c>
      <c r="P118" s="578">
        <f t="shared" si="19"/>
        <v>0</v>
      </c>
      <c r="Q118" s="765"/>
      <c r="R118" s="576">
        <f t="shared" si="20"/>
        <v>0</v>
      </c>
      <c r="S118" s="576">
        <f t="shared" si="20"/>
        <v>0</v>
      </c>
      <c r="T118" s="577">
        <f t="shared" si="21"/>
        <v>0</v>
      </c>
      <c r="U118" s="578">
        <f t="shared" si="22"/>
        <v>0</v>
      </c>
      <c r="V118" s="579"/>
      <c r="W118" s="566"/>
      <c r="X118" s="586" t="str">
        <f t="shared" si="23"/>
        <v/>
      </c>
      <c r="Y118" s="586" t="str">
        <f t="shared" si="16"/>
        <v/>
      </c>
      <c r="Z118" s="586" t="str">
        <f t="shared" si="17"/>
        <v/>
      </c>
    </row>
    <row r="119" spans="1:26" ht="12" hidden="1" thickBot="1" x14ac:dyDescent="0.25">
      <c r="A119" s="567">
        <v>532100</v>
      </c>
      <c r="B119" s="644">
        <v>532100</v>
      </c>
      <c r="C119" s="645" t="s">
        <v>206</v>
      </c>
      <c r="D119" s="422" t="s">
        <v>204</v>
      </c>
      <c r="E119" s="423"/>
      <c r="F119" s="418">
        <v>20</v>
      </c>
      <c r="G119" s="425">
        <v>2.1</v>
      </c>
      <c r="H119" s="667">
        <f t="shared" ref="H119:H122" si="27">IF(F119&lt;=30,(1.07*F119+2.68)*G119,((1.07*30+2.68)+1.07*(F119-30))*G119)</f>
        <v>50.568000000000005</v>
      </c>
      <c r="I119" s="420">
        <v>88.86</v>
      </c>
      <c r="J119" s="420">
        <f t="shared" si="25"/>
        <v>139.428</v>
      </c>
      <c r="K119" s="421">
        <f t="shared" si="26"/>
        <v>165.65</v>
      </c>
      <c r="L119" s="647" t="s">
        <v>16</v>
      </c>
      <c r="M119" s="576"/>
      <c r="N119" s="576">
        <f t="shared" si="15"/>
        <v>0</v>
      </c>
      <c r="O119" s="577">
        <f t="shared" si="18"/>
        <v>0</v>
      </c>
      <c r="P119" s="578">
        <f t="shared" si="19"/>
        <v>0</v>
      </c>
      <c r="Q119" s="765"/>
      <c r="R119" s="576">
        <f t="shared" si="20"/>
        <v>0</v>
      </c>
      <c r="S119" s="576">
        <f t="shared" si="20"/>
        <v>0</v>
      </c>
      <c r="T119" s="577">
        <f t="shared" si="21"/>
        <v>0</v>
      </c>
      <c r="U119" s="578">
        <f t="shared" si="22"/>
        <v>0</v>
      </c>
      <c r="V119" s="579"/>
      <c r="W119" s="566"/>
      <c r="X119" s="586" t="str">
        <f t="shared" si="23"/>
        <v/>
      </c>
      <c r="Y119" s="586" t="str">
        <f t="shared" si="16"/>
        <v/>
      </c>
      <c r="Z119" s="586" t="str">
        <f t="shared" si="17"/>
        <v/>
      </c>
    </row>
    <row r="120" spans="1:26" ht="12" hidden="1" thickBot="1" x14ac:dyDescent="0.25">
      <c r="A120" s="567">
        <v>452010</v>
      </c>
      <c r="B120" s="450">
        <v>452010</v>
      </c>
      <c r="C120" s="473" t="s">
        <v>206</v>
      </c>
      <c r="D120" s="422" t="s">
        <v>210</v>
      </c>
      <c r="E120" s="423"/>
      <c r="F120" s="418">
        <v>15</v>
      </c>
      <c r="G120" s="419">
        <v>1.98</v>
      </c>
      <c r="H120" s="667">
        <f t="shared" si="27"/>
        <v>37.0854</v>
      </c>
      <c r="I120" s="420">
        <v>15.73</v>
      </c>
      <c r="J120" s="420">
        <f t="shared" si="25"/>
        <v>52.815399999999997</v>
      </c>
      <c r="K120" s="421">
        <f t="shared" si="26"/>
        <v>62.75</v>
      </c>
      <c r="L120" s="647" t="s">
        <v>16</v>
      </c>
      <c r="M120" s="576"/>
      <c r="N120" s="576">
        <f t="shared" si="15"/>
        <v>0</v>
      </c>
      <c r="O120" s="577">
        <f t="shared" si="18"/>
        <v>0</v>
      </c>
      <c r="P120" s="578">
        <f t="shared" si="19"/>
        <v>0</v>
      </c>
      <c r="Q120" s="765"/>
      <c r="R120" s="576">
        <f t="shared" si="20"/>
        <v>0</v>
      </c>
      <c r="S120" s="576">
        <f t="shared" si="20"/>
        <v>0</v>
      </c>
      <c r="T120" s="577">
        <f t="shared" si="21"/>
        <v>0</v>
      </c>
      <c r="U120" s="578">
        <f t="shared" si="22"/>
        <v>0</v>
      </c>
      <c r="V120" s="579"/>
      <c r="W120" s="566"/>
      <c r="X120" s="586" t="str">
        <f t="shared" si="23"/>
        <v/>
      </c>
      <c r="Y120" s="586" t="str">
        <f t="shared" si="16"/>
        <v/>
      </c>
      <c r="Z120" s="586" t="str">
        <f t="shared" si="17"/>
        <v/>
      </c>
    </row>
    <row r="121" spans="1:26" ht="12" hidden="1" thickBot="1" x14ac:dyDescent="0.25">
      <c r="A121" s="567">
        <v>532500</v>
      </c>
      <c r="B121" s="644" t="s">
        <v>1734</v>
      </c>
      <c r="C121" s="645" t="s">
        <v>206</v>
      </c>
      <c r="D121" s="451" t="s">
        <v>340</v>
      </c>
      <c r="E121" s="423"/>
      <c r="F121" s="424">
        <v>20</v>
      </c>
      <c r="G121" s="425">
        <v>1.7250000000000001</v>
      </c>
      <c r="H121" s="667">
        <f t="shared" si="27"/>
        <v>41.538000000000004</v>
      </c>
      <c r="I121" s="420">
        <v>97.26</v>
      </c>
      <c r="J121" s="420">
        <f t="shared" si="25"/>
        <v>138.798</v>
      </c>
      <c r="K121" s="421">
        <f t="shared" si="26"/>
        <v>164.91</v>
      </c>
      <c r="L121" s="647" t="s">
        <v>16</v>
      </c>
      <c r="M121" s="576"/>
      <c r="N121" s="576">
        <f t="shared" si="15"/>
        <v>0</v>
      </c>
      <c r="O121" s="577">
        <f t="shared" si="18"/>
        <v>0</v>
      </c>
      <c r="P121" s="578">
        <f t="shared" si="19"/>
        <v>0</v>
      </c>
      <c r="Q121" s="765"/>
      <c r="R121" s="576">
        <f t="shared" si="20"/>
        <v>0</v>
      </c>
      <c r="S121" s="576">
        <f t="shared" si="20"/>
        <v>0</v>
      </c>
      <c r="T121" s="577">
        <f t="shared" si="21"/>
        <v>0</v>
      </c>
      <c r="U121" s="578">
        <f t="shared" si="22"/>
        <v>0</v>
      </c>
      <c r="V121" s="579"/>
      <c r="W121" s="566"/>
      <c r="X121" s="586" t="str">
        <f t="shared" si="23"/>
        <v/>
      </c>
      <c r="Y121" s="586" t="str">
        <f t="shared" si="16"/>
        <v/>
      </c>
      <c r="Z121" s="586" t="str">
        <f t="shared" si="17"/>
        <v/>
      </c>
    </row>
    <row r="122" spans="1:26" ht="14.45" hidden="1" customHeight="1" x14ac:dyDescent="0.2">
      <c r="A122" s="567">
        <v>603900</v>
      </c>
      <c r="B122" s="644" t="s">
        <v>1735</v>
      </c>
      <c r="C122" s="645" t="s">
        <v>206</v>
      </c>
      <c r="D122" s="451" t="s">
        <v>341</v>
      </c>
      <c r="E122" s="423"/>
      <c r="F122" s="424">
        <v>20</v>
      </c>
      <c r="G122" s="425">
        <v>1.5</v>
      </c>
      <c r="H122" s="667">
        <f t="shared" si="27"/>
        <v>36.120000000000005</v>
      </c>
      <c r="I122" s="420">
        <v>124.3</v>
      </c>
      <c r="J122" s="420">
        <f t="shared" si="25"/>
        <v>160.42000000000002</v>
      </c>
      <c r="K122" s="421">
        <f t="shared" si="26"/>
        <v>190.6</v>
      </c>
      <c r="L122" s="647" t="s">
        <v>16</v>
      </c>
      <c r="M122" s="576"/>
      <c r="N122" s="576">
        <f t="shared" si="15"/>
        <v>0</v>
      </c>
      <c r="O122" s="577">
        <f t="shared" si="18"/>
        <v>0</v>
      </c>
      <c r="P122" s="578">
        <f t="shared" si="19"/>
        <v>0</v>
      </c>
      <c r="Q122" s="765"/>
      <c r="R122" s="576">
        <f t="shared" si="20"/>
        <v>0</v>
      </c>
      <c r="S122" s="576">
        <f t="shared" si="20"/>
        <v>0</v>
      </c>
      <c r="T122" s="577">
        <f t="shared" si="21"/>
        <v>0</v>
      </c>
      <c r="U122" s="578">
        <f t="shared" si="22"/>
        <v>0</v>
      </c>
      <c r="V122" s="579"/>
      <c r="W122" s="566"/>
      <c r="X122" s="586" t="str">
        <f t="shared" si="23"/>
        <v/>
      </c>
      <c r="Y122" s="586" t="str">
        <f t="shared" si="16"/>
        <v/>
      </c>
      <c r="Z122" s="586" t="str">
        <f t="shared" si="17"/>
        <v/>
      </c>
    </row>
    <row r="123" spans="1:26" ht="12" hidden="1" thickBot="1" x14ac:dyDescent="0.25">
      <c r="A123" s="567">
        <v>605000</v>
      </c>
      <c r="B123" s="644" t="s">
        <v>1736</v>
      </c>
      <c r="C123" s="645" t="s">
        <v>206</v>
      </c>
      <c r="D123" s="422" t="s">
        <v>274</v>
      </c>
      <c r="E123" s="423"/>
      <c r="F123" s="424"/>
      <c r="G123" s="425"/>
      <c r="H123" s="649">
        <f>SUM(H124:H126)</f>
        <v>305.33319999999998</v>
      </c>
      <c r="I123" s="420">
        <v>408.95</v>
      </c>
      <c r="J123" s="420">
        <f t="shared" si="25"/>
        <v>714.28319999999997</v>
      </c>
      <c r="K123" s="421">
        <f t="shared" si="26"/>
        <v>848.64</v>
      </c>
      <c r="L123" s="647" t="s">
        <v>16</v>
      </c>
      <c r="M123" s="576"/>
      <c r="N123" s="576">
        <f t="shared" si="15"/>
        <v>0</v>
      </c>
      <c r="O123" s="577">
        <f t="shared" si="18"/>
        <v>0</v>
      </c>
      <c r="P123" s="578">
        <f t="shared" si="19"/>
        <v>0</v>
      </c>
      <c r="Q123" s="765"/>
      <c r="R123" s="576">
        <f t="shared" si="20"/>
        <v>0</v>
      </c>
      <c r="S123" s="576">
        <f t="shared" si="20"/>
        <v>0</v>
      </c>
      <c r="T123" s="577">
        <f t="shared" si="21"/>
        <v>0</v>
      </c>
      <c r="U123" s="578">
        <f t="shared" si="22"/>
        <v>0</v>
      </c>
      <c r="V123" s="579"/>
      <c r="W123" s="566"/>
      <c r="X123" s="586" t="str">
        <f t="shared" si="23"/>
        <v/>
      </c>
      <c r="Y123" s="586" t="str">
        <f t="shared" si="16"/>
        <v/>
      </c>
      <c r="Z123" s="586" t="str">
        <f t="shared" si="17"/>
        <v/>
      </c>
    </row>
    <row r="124" spans="1:26" ht="12" hidden="1" thickBot="1" x14ac:dyDescent="0.25">
      <c r="A124" s="567" t="s">
        <v>168</v>
      </c>
      <c r="B124" s="644" t="s">
        <v>168</v>
      </c>
      <c r="C124" s="645"/>
      <c r="D124" s="451" t="s">
        <v>212</v>
      </c>
      <c r="E124" s="423"/>
      <c r="F124" s="424">
        <v>500</v>
      </c>
      <c r="G124" s="425">
        <v>0.18</v>
      </c>
      <c r="H124" s="649">
        <f>IF(F124&lt;=30,(0.78*F124+7.82)*G124,((0.78*30+7.82)+0.78*(F124-30))*G124)</f>
        <v>71.607600000000005</v>
      </c>
      <c r="I124" s="420">
        <v>0</v>
      </c>
      <c r="J124" s="420"/>
      <c r="K124" s="421">
        <f t="shared" si="26"/>
        <v>0</v>
      </c>
      <c r="L124" s="668" t="s">
        <v>614</v>
      </c>
      <c r="M124" s="669"/>
      <c r="N124" s="576">
        <f t="shared" si="15"/>
        <v>0</v>
      </c>
      <c r="O124" s="577">
        <f t="shared" si="18"/>
        <v>0</v>
      </c>
      <c r="P124" s="578">
        <f t="shared" si="19"/>
        <v>0</v>
      </c>
      <c r="Q124" s="765"/>
      <c r="R124" s="669"/>
      <c r="S124" s="670"/>
      <c r="T124" s="577">
        <f t="shared" si="21"/>
        <v>0</v>
      </c>
      <c r="U124" s="578">
        <f t="shared" si="22"/>
        <v>0</v>
      </c>
      <c r="V124" s="579"/>
      <c r="W124" s="637" t="str">
        <f>IF(U123&gt;0,"xx",IF(P123&gt;0,"xy",""))</f>
        <v/>
      </c>
      <c r="X124" s="586" t="str">
        <f t="shared" si="23"/>
        <v/>
      </c>
      <c r="Y124" s="586" t="str">
        <f t="shared" si="16"/>
        <v/>
      </c>
      <c r="Z124" s="586" t="str">
        <f t="shared" si="17"/>
        <v/>
      </c>
    </row>
    <row r="125" spans="1:26" ht="12" hidden="1" thickBot="1" x14ac:dyDescent="0.25">
      <c r="A125" s="567" t="s">
        <v>168</v>
      </c>
      <c r="B125" s="644" t="s">
        <v>168</v>
      </c>
      <c r="C125" s="645"/>
      <c r="D125" s="451" t="s">
        <v>248</v>
      </c>
      <c r="E125" s="423"/>
      <c r="F125" s="424">
        <v>180</v>
      </c>
      <c r="G125" s="425">
        <v>1.06</v>
      </c>
      <c r="H125" s="649">
        <f t="shared" ref="H125:H130" si="28">IF(F125&lt;=30,(1.07*F125+2.68)*G125,((1.07*30+2.68)+1.07*(F125-30))*G125)</f>
        <v>206.99680000000001</v>
      </c>
      <c r="I125" s="420">
        <v>0</v>
      </c>
      <c r="J125" s="420"/>
      <c r="K125" s="421">
        <f t="shared" si="26"/>
        <v>0</v>
      </c>
      <c r="L125" s="668" t="s">
        <v>614</v>
      </c>
      <c r="M125" s="669"/>
      <c r="N125" s="576">
        <f t="shared" si="15"/>
        <v>0</v>
      </c>
      <c r="O125" s="577">
        <f t="shared" si="18"/>
        <v>0</v>
      </c>
      <c r="P125" s="578">
        <f t="shared" si="19"/>
        <v>0</v>
      </c>
      <c r="Q125" s="765"/>
      <c r="R125" s="669"/>
      <c r="S125" s="670"/>
      <c r="T125" s="577">
        <f t="shared" si="21"/>
        <v>0</v>
      </c>
      <c r="U125" s="578">
        <f t="shared" si="22"/>
        <v>0</v>
      </c>
      <c r="V125" s="579"/>
      <c r="W125" s="637" t="str">
        <f>IF(U123&gt;0,"xx",IF(P123&gt;0,"xy",""))</f>
        <v/>
      </c>
      <c r="X125" s="586" t="str">
        <f t="shared" si="23"/>
        <v/>
      </c>
      <c r="Y125" s="586" t="str">
        <f t="shared" si="16"/>
        <v/>
      </c>
      <c r="Z125" s="586" t="str">
        <f t="shared" si="17"/>
        <v/>
      </c>
    </row>
    <row r="126" spans="1:26" ht="12" hidden="1" thickBot="1" x14ac:dyDescent="0.25">
      <c r="A126" s="567" t="s">
        <v>168</v>
      </c>
      <c r="B126" s="644" t="s">
        <v>168</v>
      </c>
      <c r="C126" s="645"/>
      <c r="D126" s="451" t="s">
        <v>252</v>
      </c>
      <c r="E126" s="423"/>
      <c r="F126" s="424">
        <v>20</v>
      </c>
      <c r="G126" s="425">
        <v>1.1100000000000001</v>
      </c>
      <c r="H126" s="649">
        <f t="shared" si="28"/>
        <v>26.728800000000003</v>
      </c>
      <c r="I126" s="420">
        <v>0</v>
      </c>
      <c r="J126" s="420"/>
      <c r="K126" s="421">
        <f t="shared" si="26"/>
        <v>0</v>
      </c>
      <c r="L126" s="668" t="s">
        <v>614</v>
      </c>
      <c r="M126" s="669"/>
      <c r="N126" s="576">
        <f t="shared" si="15"/>
        <v>0</v>
      </c>
      <c r="O126" s="577">
        <f t="shared" si="18"/>
        <v>0</v>
      </c>
      <c r="P126" s="578">
        <f t="shared" si="19"/>
        <v>0</v>
      </c>
      <c r="Q126" s="765"/>
      <c r="R126" s="669"/>
      <c r="S126" s="670"/>
      <c r="T126" s="577">
        <f t="shared" si="21"/>
        <v>0</v>
      </c>
      <c r="U126" s="578">
        <f t="shared" si="22"/>
        <v>0</v>
      </c>
      <c r="V126" s="579"/>
      <c r="W126" s="637" t="str">
        <f>IF(U123&gt;0,"xx",IF(P123&gt;0,"xy",""))</f>
        <v/>
      </c>
      <c r="X126" s="586" t="str">
        <f t="shared" si="23"/>
        <v/>
      </c>
      <c r="Y126" s="586" t="str">
        <f t="shared" si="16"/>
        <v/>
      </c>
      <c r="Z126" s="586" t="str">
        <f t="shared" si="17"/>
        <v/>
      </c>
    </row>
    <row r="127" spans="1:26" ht="12" hidden="1" thickBot="1" x14ac:dyDescent="0.25">
      <c r="A127" s="567">
        <v>400500</v>
      </c>
      <c r="B127" s="644" t="s">
        <v>1607</v>
      </c>
      <c r="C127" s="645" t="s">
        <v>206</v>
      </c>
      <c r="D127" s="422" t="s">
        <v>1608</v>
      </c>
      <c r="E127" s="423"/>
      <c r="F127" s="424">
        <v>20</v>
      </c>
      <c r="G127" s="425">
        <v>1.73</v>
      </c>
      <c r="H127" s="667">
        <f t="shared" si="28"/>
        <v>41.6584</v>
      </c>
      <c r="I127" s="420">
        <v>80.100000000000009</v>
      </c>
      <c r="J127" s="420">
        <f>IF(ISBLANK(I127),"",SUM(H127:I127))</f>
        <v>121.75840000000001</v>
      </c>
      <c r="K127" s="421">
        <f t="shared" si="26"/>
        <v>144.66</v>
      </c>
      <c r="L127" s="647" t="s">
        <v>16</v>
      </c>
      <c r="M127" s="576"/>
      <c r="N127" s="576">
        <f t="shared" si="15"/>
        <v>0</v>
      </c>
      <c r="O127" s="577">
        <f t="shared" si="18"/>
        <v>0</v>
      </c>
      <c r="P127" s="578">
        <f t="shared" si="19"/>
        <v>0</v>
      </c>
      <c r="Q127" s="765"/>
      <c r="R127" s="576">
        <f t="shared" si="20"/>
        <v>0</v>
      </c>
      <c r="S127" s="576">
        <f t="shared" si="20"/>
        <v>0</v>
      </c>
      <c r="T127" s="577">
        <f t="shared" si="21"/>
        <v>0</v>
      </c>
      <c r="U127" s="578">
        <f t="shared" si="22"/>
        <v>0</v>
      </c>
      <c r="V127" s="579"/>
      <c r="W127" s="566"/>
      <c r="X127" s="586" t="str">
        <f t="shared" si="23"/>
        <v/>
      </c>
      <c r="Y127" s="586" t="str">
        <f t="shared" si="16"/>
        <v/>
      </c>
      <c r="Z127" s="586" t="str">
        <f t="shared" si="17"/>
        <v/>
      </c>
    </row>
    <row r="128" spans="1:26" ht="12" hidden="1" thickBot="1" x14ac:dyDescent="0.25">
      <c r="A128" s="567">
        <v>532500</v>
      </c>
      <c r="B128" s="644" t="s">
        <v>1604</v>
      </c>
      <c r="C128" s="645" t="s">
        <v>206</v>
      </c>
      <c r="D128" s="422" t="s">
        <v>1609</v>
      </c>
      <c r="E128" s="423"/>
      <c r="F128" s="424">
        <v>20</v>
      </c>
      <c r="G128" s="425">
        <v>1.7250000000000001</v>
      </c>
      <c r="H128" s="667">
        <f t="shared" si="28"/>
        <v>41.538000000000004</v>
      </c>
      <c r="I128" s="420">
        <v>97.26</v>
      </c>
      <c r="J128" s="420">
        <f>IF(ISBLANK(I128),"",SUM(H128:I128))</f>
        <v>138.798</v>
      </c>
      <c r="K128" s="421">
        <f>IF(ISBLANK(I128),0,ROUND(J128*(1+$F$10)*(1+$F$11*E128),2))</f>
        <v>164.91</v>
      </c>
      <c r="L128" s="647" t="s">
        <v>16</v>
      </c>
      <c r="M128" s="576"/>
      <c r="N128" s="576">
        <f t="shared" si="15"/>
        <v>0</v>
      </c>
      <c r="O128" s="577">
        <f>IF(ISBLANK(M128),0,ROUND(K128*M128,2))</f>
        <v>0</v>
      </c>
      <c r="P128" s="578">
        <f>IF(ISBLANK(N128),0,ROUND(M128*N128,2))</f>
        <v>0</v>
      </c>
      <c r="Q128" s="765"/>
      <c r="R128" s="576">
        <f>M128</f>
        <v>0</v>
      </c>
      <c r="S128" s="576">
        <f>N128</f>
        <v>0</v>
      </c>
      <c r="T128" s="577">
        <f>IF(ISBLANK(R128),0,ROUND(K128*R128,2))</f>
        <v>0</v>
      </c>
      <c r="U128" s="578">
        <f>IF(ISBLANK(R128),0,ROUND(R128*S128,2))</f>
        <v>0</v>
      </c>
      <c r="V128" s="579"/>
      <c r="W128" s="566"/>
      <c r="X128" s="586" t="str">
        <f>IF(W128="X","x",IF(W128="xx","x",IF(W128="xy","x",IF(W128="y","x",IF(OR(P128&gt;0,U128&gt;0),"x","")))))</f>
        <v/>
      </c>
      <c r="Y128" s="586" t="str">
        <f>IF(W128="X","x",IF(W128="y","x",IF(W128="xx","x",IF(U128&gt;0,"x",""))))</f>
        <v/>
      </c>
      <c r="Z128" s="586" t="str">
        <f>IF(W128="X","x",IF(U128&gt;0,"x",""))</f>
        <v/>
      </c>
    </row>
    <row r="129" spans="1:26" ht="12" hidden="1" thickBot="1" x14ac:dyDescent="0.25">
      <c r="A129" s="567">
        <v>532600</v>
      </c>
      <c r="B129" s="644" t="s">
        <v>1536</v>
      </c>
      <c r="C129" s="645" t="s">
        <v>206</v>
      </c>
      <c r="D129" s="422" t="s">
        <v>1610</v>
      </c>
      <c r="E129" s="423"/>
      <c r="F129" s="418">
        <v>15</v>
      </c>
      <c r="G129" s="425">
        <f>ROUND(1.5*1.5,4)</f>
        <v>2.25</v>
      </c>
      <c r="H129" s="667">
        <f t="shared" si="28"/>
        <v>42.142499999999998</v>
      </c>
      <c r="I129" s="420">
        <v>15.533333333333335</v>
      </c>
      <c r="J129" s="420">
        <f>IF(ISBLANK(I129),"",SUM(H129:I129))</f>
        <v>57.67583333333333</v>
      </c>
      <c r="K129" s="421">
        <f t="shared" si="26"/>
        <v>68.52</v>
      </c>
      <c r="L129" s="647" t="s">
        <v>16</v>
      </c>
      <c r="M129" s="576"/>
      <c r="N129" s="576">
        <f t="shared" si="15"/>
        <v>0</v>
      </c>
      <c r="O129" s="577">
        <f t="shared" si="18"/>
        <v>0</v>
      </c>
      <c r="P129" s="578">
        <f t="shared" si="19"/>
        <v>0</v>
      </c>
      <c r="Q129" s="765"/>
      <c r="R129" s="576">
        <f t="shared" si="20"/>
        <v>0</v>
      </c>
      <c r="S129" s="576">
        <f t="shared" si="20"/>
        <v>0</v>
      </c>
      <c r="T129" s="577">
        <f t="shared" si="21"/>
        <v>0</v>
      </c>
      <c r="U129" s="578">
        <f t="shared" si="22"/>
        <v>0</v>
      </c>
      <c r="V129" s="579"/>
      <c r="W129" s="566"/>
      <c r="X129" s="586" t="str">
        <f t="shared" si="23"/>
        <v/>
      </c>
      <c r="Y129" s="586" t="str">
        <f t="shared" si="16"/>
        <v/>
      </c>
      <c r="Z129" s="586" t="str">
        <f t="shared" si="17"/>
        <v/>
      </c>
    </row>
    <row r="130" spans="1:26" ht="12" hidden="1" thickBot="1" x14ac:dyDescent="0.25">
      <c r="A130" s="567">
        <v>603900</v>
      </c>
      <c r="B130" s="644" t="s">
        <v>1606</v>
      </c>
      <c r="C130" s="645" t="s">
        <v>206</v>
      </c>
      <c r="D130" s="422" t="s">
        <v>1611</v>
      </c>
      <c r="E130" s="423"/>
      <c r="F130" s="424">
        <v>20</v>
      </c>
      <c r="G130" s="425">
        <v>1.5</v>
      </c>
      <c r="H130" s="667">
        <f t="shared" si="28"/>
        <v>36.120000000000005</v>
      </c>
      <c r="I130" s="420">
        <v>124.3</v>
      </c>
      <c r="J130" s="420">
        <f>IF(ISBLANK(I130),"",SUM(H130:I130))</f>
        <v>160.42000000000002</v>
      </c>
      <c r="K130" s="421">
        <f t="shared" si="26"/>
        <v>190.6</v>
      </c>
      <c r="L130" s="647" t="s">
        <v>16</v>
      </c>
      <c r="M130" s="576"/>
      <c r="N130" s="576">
        <f t="shared" si="15"/>
        <v>0</v>
      </c>
      <c r="O130" s="577">
        <f t="shared" si="18"/>
        <v>0</v>
      </c>
      <c r="P130" s="578">
        <f t="shared" si="19"/>
        <v>0</v>
      </c>
      <c r="Q130" s="765"/>
      <c r="R130" s="576">
        <f t="shared" si="20"/>
        <v>0</v>
      </c>
      <c r="S130" s="576">
        <f t="shared" si="20"/>
        <v>0</v>
      </c>
      <c r="T130" s="577">
        <f t="shared" si="21"/>
        <v>0</v>
      </c>
      <c r="U130" s="578">
        <f t="shared" si="22"/>
        <v>0</v>
      </c>
      <c r="V130" s="579"/>
      <c r="W130" s="566"/>
      <c r="X130" s="586" t="str">
        <f t="shared" si="23"/>
        <v/>
      </c>
      <c r="Y130" s="586" t="str">
        <f t="shared" si="16"/>
        <v/>
      </c>
      <c r="Z130" s="586" t="str">
        <f t="shared" si="17"/>
        <v/>
      </c>
    </row>
    <row r="131" spans="1:26" ht="12" hidden="1" thickBot="1" x14ac:dyDescent="0.25">
      <c r="A131" s="567">
        <v>511130</v>
      </c>
      <c r="B131" s="644" t="s">
        <v>1532</v>
      </c>
      <c r="C131" s="645" t="s">
        <v>206</v>
      </c>
      <c r="D131" s="422" t="s">
        <v>480</v>
      </c>
      <c r="E131" s="423"/>
      <c r="F131" s="424"/>
      <c r="G131" s="425"/>
      <c r="H131" s="649"/>
      <c r="I131" s="449">
        <v>1.27</v>
      </c>
      <c r="J131" s="420">
        <f t="shared" ref="J131:J140" si="29">IF(ISBLANK(I131),"",SUM(H131:I131))</f>
        <v>1.27</v>
      </c>
      <c r="K131" s="421">
        <f t="shared" si="26"/>
        <v>1.51</v>
      </c>
      <c r="L131" s="647" t="s">
        <v>16</v>
      </c>
      <c r="M131" s="576"/>
      <c r="N131" s="576">
        <f t="shared" si="15"/>
        <v>0</v>
      </c>
      <c r="O131" s="577">
        <f t="shared" si="18"/>
        <v>0</v>
      </c>
      <c r="P131" s="578">
        <f t="shared" si="19"/>
        <v>0</v>
      </c>
      <c r="Q131" s="765"/>
      <c r="R131" s="576">
        <f t="shared" si="20"/>
        <v>0</v>
      </c>
      <c r="S131" s="576">
        <f t="shared" si="20"/>
        <v>0</v>
      </c>
      <c r="T131" s="577">
        <f t="shared" si="21"/>
        <v>0</v>
      </c>
      <c r="U131" s="578">
        <f t="shared" si="22"/>
        <v>0</v>
      </c>
      <c r="V131" s="579"/>
      <c r="W131" s="662"/>
      <c r="X131" s="586" t="str">
        <f t="shared" si="23"/>
        <v/>
      </c>
      <c r="Y131" s="586" t="str">
        <f t="shared" si="16"/>
        <v/>
      </c>
      <c r="Z131" s="586" t="str">
        <f t="shared" si="17"/>
        <v/>
      </c>
    </row>
    <row r="132" spans="1:26" ht="12" hidden="1" thickBot="1" x14ac:dyDescent="0.25">
      <c r="A132" s="567">
        <v>533500</v>
      </c>
      <c r="B132" s="644" t="s">
        <v>1737</v>
      </c>
      <c r="C132" s="645" t="s">
        <v>206</v>
      </c>
      <c r="D132" s="422" t="s">
        <v>481</v>
      </c>
      <c r="E132" s="423"/>
      <c r="F132" s="418">
        <v>15</v>
      </c>
      <c r="G132" s="419">
        <v>1.95</v>
      </c>
      <c r="H132" s="667">
        <f t="shared" ref="H132:H133" si="30">IF(F132&lt;=30,(1.07*F132+2.68)*G132,((1.07*30+2.68)+1.07*(F132-30))*G132)</f>
        <v>36.523499999999999</v>
      </c>
      <c r="I132" s="420">
        <v>26.299999999999997</v>
      </c>
      <c r="J132" s="420">
        <f t="shared" si="29"/>
        <v>62.823499999999996</v>
      </c>
      <c r="K132" s="421">
        <f t="shared" si="26"/>
        <v>74.64</v>
      </c>
      <c r="L132" s="647" t="s">
        <v>16</v>
      </c>
      <c r="M132" s="576"/>
      <c r="N132" s="576">
        <f t="shared" si="15"/>
        <v>0</v>
      </c>
      <c r="O132" s="577">
        <f t="shared" si="18"/>
        <v>0</v>
      </c>
      <c r="P132" s="578">
        <f t="shared" si="19"/>
        <v>0</v>
      </c>
      <c r="Q132" s="765"/>
      <c r="R132" s="576">
        <f t="shared" si="20"/>
        <v>0</v>
      </c>
      <c r="S132" s="576">
        <f t="shared" si="20"/>
        <v>0</v>
      </c>
      <c r="T132" s="577">
        <f t="shared" si="21"/>
        <v>0</v>
      </c>
      <c r="U132" s="578">
        <f t="shared" si="22"/>
        <v>0</v>
      </c>
      <c r="V132" s="579"/>
      <c r="W132" s="566"/>
      <c r="X132" s="586" t="str">
        <f t="shared" si="23"/>
        <v/>
      </c>
      <c r="Y132" s="586" t="str">
        <f t="shared" si="16"/>
        <v/>
      </c>
      <c r="Z132" s="586" t="str">
        <f t="shared" si="17"/>
        <v/>
      </c>
    </row>
    <row r="133" spans="1:26" ht="12" hidden="1" thickBot="1" x14ac:dyDescent="0.25">
      <c r="A133" s="567">
        <v>533100</v>
      </c>
      <c r="B133" s="644" t="s">
        <v>1738</v>
      </c>
      <c r="C133" s="645" t="s">
        <v>206</v>
      </c>
      <c r="D133" s="422" t="s">
        <v>482</v>
      </c>
      <c r="E133" s="423"/>
      <c r="F133" s="418">
        <v>15</v>
      </c>
      <c r="G133" s="419">
        <v>1.98</v>
      </c>
      <c r="H133" s="667">
        <f t="shared" si="30"/>
        <v>37.0854</v>
      </c>
      <c r="I133" s="420">
        <v>31.15</v>
      </c>
      <c r="J133" s="420">
        <f t="shared" si="29"/>
        <v>68.235399999999998</v>
      </c>
      <c r="K133" s="421">
        <f t="shared" si="26"/>
        <v>81.069999999999993</v>
      </c>
      <c r="L133" s="647" t="s">
        <v>16</v>
      </c>
      <c r="M133" s="576"/>
      <c r="N133" s="576">
        <f t="shared" si="15"/>
        <v>0</v>
      </c>
      <c r="O133" s="577">
        <f t="shared" si="18"/>
        <v>0</v>
      </c>
      <c r="P133" s="578">
        <f t="shared" si="19"/>
        <v>0</v>
      </c>
      <c r="Q133" s="765"/>
      <c r="R133" s="576">
        <f t="shared" si="20"/>
        <v>0</v>
      </c>
      <c r="S133" s="576">
        <f t="shared" si="20"/>
        <v>0</v>
      </c>
      <c r="T133" s="577">
        <f t="shared" si="21"/>
        <v>0</v>
      </c>
      <c r="U133" s="578">
        <f t="shared" si="22"/>
        <v>0</v>
      </c>
      <c r="V133" s="579"/>
      <c r="W133" s="566"/>
      <c r="X133" s="586" t="str">
        <f t="shared" si="23"/>
        <v/>
      </c>
      <c r="Y133" s="586" t="str">
        <f t="shared" si="16"/>
        <v/>
      </c>
      <c r="Z133" s="586" t="str">
        <f t="shared" si="17"/>
        <v/>
      </c>
    </row>
    <row r="134" spans="1:26" ht="12" hidden="1" thickBot="1" x14ac:dyDescent="0.25">
      <c r="A134" s="567">
        <v>511100</v>
      </c>
      <c r="B134" s="644" t="s">
        <v>1538</v>
      </c>
      <c r="C134" s="645" t="s">
        <v>206</v>
      </c>
      <c r="D134" s="422" t="s">
        <v>203</v>
      </c>
      <c r="E134" s="423"/>
      <c r="F134" s="418"/>
      <c r="G134" s="425">
        <v>0</v>
      </c>
      <c r="H134" s="667">
        <v>0</v>
      </c>
      <c r="I134" s="420">
        <v>4.33</v>
      </c>
      <c r="J134" s="420">
        <f t="shared" si="29"/>
        <v>4.33</v>
      </c>
      <c r="K134" s="421">
        <f t="shared" si="26"/>
        <v>5.14</v>
      </c>
      <c r="L134" s="647" t="s">
        <v>18</v>
      </c>
      <c r="M134" s="576"/>
      <c r="N134" s="576">
        <f t="shared" si="15"/>
        <v>0</v>
      </c>
      <c r="O134" s="577">
        <f t="shared" si="18"/>
        <v>0</v>
      </c>
      <c r="P134" s="578">
        <f t="shared" si="19"/>
        <v>0</v>
      </c>
      <c r="Q134" s="765"/>
      <c r="R134" s="576">
        <f t="shared" si="20"/>
        <v>0</v>
      </c>
      <c r="S134" s="576">
        <f t="shared" si="20"/>
        <v>0</v>
      </c>
      <c r="T134" s="577">
        <f t="shared" si="21"/>
        <v>0</v>
      </c>
      <c r="U134" s="578">
        <f t="shared" si="22"/>
        <v>0</v>
      </c>
      <c r="V134" s="579"/>
      <c r="W134" s="566"/>
      <c r="X134" s="586" t="str">
        <f t="shared" si="23"/>
        <v/>
      </c>
      <c r="Y134" s="586" t="str">
        <f t="shared" si="16"/>
        <v/>
      </c>
      <c r="Z134" s="586" t="str">
        <f t="shared" si="17"/>
        <v/>
      </c>
    </row>
    <row r="135" spans="1:26" ht="12" hidden="1" thickBot="1" x14ac:dyDescent="0.25">
      <c r="A135" s="567">
        <v>511000</v>
      </c>
      <c r="B135" s="644" t="s">
        <v>1533</v>
      </c>
      <c r="C135" s="645" t="s">
        <v>206</v>
      </c>
      <c r="D135" s="422" t="s">
        <v>190</v>
      </c>
      <c r="E135" s="423"/>
      <c r="F135" s="418">
        <v>0</v>
      </c>
      <c r="G135" s="425"/>
      <c r="H135" s="667">
        <v>0</v>
      </c>
      <c r="I135" s="420">
        <v>4.95</v>
      </c>
      <c r="J135" s="420">
        <f t="shared" si="29"/>
        <v>4.95</v>
      </c>
      <c r="K135" s="421">
        <f t="shared" si="26"/>
        <v>5.88</v>
      </c>
      <c r="L135" s="647" t="s">
        <v>18</v>
      </c>
      <c r="M135" s="576"/>
      <c r="N135" s="576">
        <f t="shared" si="15"/>
        <v>0</v>
      </c>
      <c r="O135" s="577">
        <f t="shared" si="18"/>
        <v>0</v>
      </c>
      <c r="P135" s="578">
        <f t="shared" si="19"/>
        <v>0</v>
      </c>
      <c r="Q135" s="765"/>
      <c r="R135" s="576">
        <f t="shared" si="20"/>
        <v>0</v>
      </c>
      <c r="S135" s="576">
        <f t="shared" si="20"/>
        <v>0</v>
      </c>
      <c r="T135" s="577">
        <f t="shared" si="21"/>
        <v>0</v>
      </c>
      <c r="U135" s="578">
        <f t="shared" si="22"/>
        <v>0</v>
      </c>
      <c r="V135" s="579"/>
      <c r="W135" s="566"/>
      <c r="X135" s="586" t="str">
        <f t="shared" si="23"/>
        <v/>
      </c>
      <c r="Y135" s="586" t="str">
        <f t="shared" si="16"/>
        <v/>
      </c>
      <c r="Z135" s="586" t="str">
        <f t="shared" si="17"/>
        <v/>
      </c>
    </row>
    <row r="136" spans="1:26" ht="12" hidden="1" thickBot="1" x14ac:dyDescent="0.25">
      <c r="A136" s="567">
        <v>511300</v>
      </c>
      <c r="B136" s="644" t="s">
        <v>1540</v>
      </c>
      <c r="C136" s="645" t="s">
        <v>206</v>
      </c>
      <c r="D136" s="422" t="s">
        <v>202</v>
      </c>
      <c r="E136" s="423"/>
      <c r="F136" s="418">
        <v>0</v>
      </c>
      <c r="G136" s="425">
        <v>0</v>
      </c>
      <c r="H136" s="667">
        <v>0</v>
      </c>
      <c r="I136" s="420">
        <v>0.3</v>
      </c>
      <c r="J136" s="420">
        <f t="shared" si="29"/>
        <v>0.3</v>
      </c>
      <c r="K136" s="421">
        <f t="shared" si="26"/>
        <v>0.36</v>
      </c>
      <c r="L136" s="647" t="s">
        <v>18</v>
      </c>
      <c r="M136" s="576"/>
      <c r="N136" s="576">
        <f t="shared" si="15"/>
        <v>0</v>
      </c>
      <c r="O136" s="577">
        <f t="shared" si="18"/>
        <v>0</v>
      </c>
      <c r="P136" s="578">
        <f t="shared" si="19"/>
        <v>0</v>
      </c>
      <c r="Q136" s="765"/>
      <c r="R136" s="576">
        <f t="shared" si="20"/>
        <v>0</v>
      </c>
      <c r="S136" s="576">
        <f t="shared" si="20"/>
        <v>0</v>
      </c>
      <c r="T136" s="577">
        <f t="shared" si="21"/>
        <v>0</v>
      </c>
      <c r="U136" s="578">
        <f t="shared" si="22"/>
        <v>0</v>
      </c>
      <c r="V136" s="579"/>
      <c r="W136" s="566"/>
      <c r="X136" s="586" t="str">
        <f t="shared" si="23"/>
        <v/>
      </c>
      <c r="Y136" s="586" t="str">
        <f t="shared" si="16"/>
        <v/>
      </c>
      <c r="Z136" s="586" t="str">
        <f t="shared" si="17"/>
        <v/>
      </c>
    </row>
    <row r="137" spans="1:26" ht="12" hidden="1" thickBot="1" x14ac:dyDescent="0.25">
      <c r="A137" s="671">
        <v>100576</v>
      </c>
      <c r="B137" s="644" t="s">
        <v>1614</v>
      </c>
      <c r="C137" s="645" t="s">
        <v>670</v>
      </c>
      <c r="D137" s="422" t="s">
        <v>205</v>
      </c>
      <c r="E137" s="423"/>
      <c r="F137" s="418">
        <v>0</v>
      </c>
      <c r="G137" s="425"/>
      <c r="H137" s="667">
        <v>0</v>
      </c>
      <c r="I137" s="420">
        <v>2.4300000000000002</v>
      </c>
      <c r="J137" s="420">
        <f>IF(ISBLANK(I137),"",SUM(H137:I137))</f>
        <v>2.4300000000000002</v>
      </c>
      <c r="K137" s="421">
        <f t="shared" si="26"/>
        <v>2.89</v>
      </c>
      <c r="L137" s="647" t="s">
        <v>18</v>
      </c>
      <c r="M137" s="576"/>
      <c r="N137" s="576">
        <f t="shared" si="15"/>
        <v>0</v>
      </c>
      <c r="O137" s="577">
        <f t="shared" si="18"/>
        <v>0</v>
      </c>
      <c r="P137" s="578">
        <f t="shared" si="19"/>
        <v>0</v>
      </c>
      <c r="Q137" s="765"/>
      <c r="R137" s="576">
        <f t="shared" si="20"/>
        <v>0</v>
      </c>
      <c r="S137" s="576">
        <f t="shared" si="20"/>
        <v>0</v>
      </c>
      <c r="T137" s="577">
        <f t="shared" si="21"/>
        <v>0</v>
      </c>
      <c r="U137" s="578">
        <f t="shared" si="22"/>
        <v>0</v>
      </c>
      <c r="V137" s="579"/>
      <c r="W137" s="566"/>
      <c r="X137" s="586" t="str">
        <f t="shared" si="23"/>
        <v/>
      </c>
      <c r="Y137" s="586" t="str">
        <f t="shared" si="16"/>
        <v/>
      </c>
      <c r="Z137" s="586" t="str">
        <f t="shared" si="17"/>
        <v/>
      </c>
    </row>
    <row r="138" spans="1:26" ht="12" hidden="1" thickBot="1" x14ac:dyDescent="0.25">
      <c r="A138" s="567">
        <v>450000</v>
      </c>
      <c r="B138" s="450">
        <v>450000</v>
      </c>
      <c r="C138" s="473" t="s">
        <v>206</v>
      </c>
      <c r="D138" s="422" t="s">
        <v>209</v>
      </c>
      <c r="E138" s="423"/>
      <c r="F138" s="418">
        <v>15</v>
      </c>
      <c r="G138" s="419">
        <v>1.98</v>
      </c>
      <c r="H138" s="649">
        <f t="shared" ref="H138:H140" si="31">IF(F138&lt;=30,(1.07*F138+2.68)*G138,((1.07*30+2.68)+1.07*(F138-30))*G138)</f>
        <v>37.0854</v>
      </c>
      <c r="I138" s="420">
        <v>15.73</v>
      </c>
      <c r="J138" s="420">
        <f t="shared" si="29"/>
        <v>52.815399999999997</v>
      </c>
      <c r="K138" s="421">
        <f t="shared" si="26"/>
        <v>62.75</v>
      </c>
      <c r="L138" s="647" t="s">
        <v>16</v>
      </c>
      <c r="M138" s="576"/>
      <c r="N138" s="576">
        <f t="shared" si="15"/>
        <v>0</v>
      </c>
      <c r="O138" s="577">
        <f t="shared" si="18"/>
        <v>0</v>
      </c>
      <c r="P138" s="578">
        <f t="shared" si="19"/>
        <v>0</v>
      </c>
      <c r="Q138" s="765"/>
      <c r="R138" s="576">
        <f t="shared" si="20"/>
        <v>0</v>
      </c>
      <c r="S138" s="576">
        <f t="shared" si="20"/>
        <v>0</v>
      </c>
      <c r="T138" s="577">
        <f t="shared" si="21"/>
        <v>0</v>
      </c>
      <c r="U138" s="578">
        <f t="shared" si="22"/>
        <v>0</v>
      </c>
      <c r="V138" s="579"/>
      <c r="W138" s="566"/>
      <c r="X138" s="586" t="str">
        <f t="shared" si="23"/>
        <v/>
      </c>
      <c r="Y138" s="586" t="str">
        <f t="shared" si="16"/>
        <v/>
      </c>
      <c r="Z138" s="586" t="str">
        <f t="shared" si="17"/>
        <v/>
      </c>
    </row>
    <row r="139" spans="1:26" ht="12" hidden="1" thickBot="1" x14ac:dyDescent="0.25">
      <c r="A139" s="567">
        <v>541000</v>
      </c>
      <c r="B139" s="644">
        <v>541000</v>
      </c>
      <c r="C139" s="645" t="s">
        <v>206</v>
      </c>
      <c r="D139" s="422" t="s">
        <v>211</v>
      </c>
      <c r="E139" s="423"/>
      <c r="F139" s="424">
        <v>15</v>
      </c>
      <c r="G139" s="425">
        <v>2.02</v>
      </c>
      <c r="H139" s="649">
        <f t="shared" si="31"/>
        <v>37.834600000000002</v>
      </c>
      <c r="I139" s="420">
        <v>29.46</v>
      </c>
      <c r="J139" s="420">
        <f t="shared" si="29"/>
        <v>67.294600000000003</v>
      </c>
      <c r="K139" s="421">
        <f t="shared" si="26"/>
        <v>79.95</v>
      </c>
      <c r="L139" s="647" t="s">
        <v>16</v>
      </c>
      <c r="M139" s="576"/>
      <c r="N139" s="576">
        <f t="shared" si="15"/>
        <v>0</v>
      </c>
      <c r="O139" s="577">
        <f t="shared" si="18"/>
        <v>0</v>
      </c>
      <c r="P139" s="578">
        <f t="shared" si="19"/>
        <v>0</v>
      </c>
      <c r="Q139" s="765"/>
      <c r="R139" s="576">
        <f t="shared" si="20"/>
        <v>0</v>
      </c>
      <c r="S139" s="576">
        <f t="shared" si="20"/>
        <v>0</v>
      </c>
      <c r="T139" s="577">
        <f t="shared" si="21"/>
        <v>0</v>
      </c>
      <c r="U139" s="578">
        <f t="shared" si="22"/>
        <v>0</v>
      </c>
      <c r="V139" s="579"/>
      <c r="W139" s="566"/>
      <c r="X139" s="586" t="str">
        <f t="shared" si="23"/>
        <v/>
      </c>
      <c r="Y139" s="586" t="str">
        <f t="shared" si="16"/>
        <v/>
      </c>
      <c r="Z139" s="586" t="str">
        <f t="shared" si="17"/>
        <v/>
      </c>
    </row>
    <row r="140" spans="1:26" ht="12" hidden="1" thickBot="1" x14ac:dyDescent="0.25">
      <c r="A140" s="567">
        <v>533100</v>
      </c>
      <c r="B140" s="644" t="s">
        <v>1739</v>
      </c>
      <c r="C140" s="645" t="s">
        <v>206</v>
      </c>
      <c r="D140" s="422" t="s">
        <v>208</v>
      </c>
      <c r="E140" s="423"/>
      <c r="F140" s="418">
        <v>15</v>
      </c>
      <c r="G140" s="419">
        <v>2.1</v>
      </c>
      <c r="H140" s="649">
        <f t="shared" si="31"/>
        <v>39.333000000000006</v>
      </c>
      <c r="I140" s="420">
        <v>31.15</v>
      </c>
      <c r="J140" s="420">
        <f t="shared" si="29"/>
        <v>70.483000000000004</v>
      </c>
      <c r="K140" s="421">
        <f t="shared" si="26"/>
        <v>83.74</v>
      </c>
      <c r="L140" s="647" t="s">
        <v>16</v>
      </c>
      <c r="M140" s="576"/>
      <c r="N140" s="576">
        <f t="shared" si="15"/>
        <v>0</v>
      </c>
      <c r="O140" s="577">
        <f t="shared" si="18"/>
        <v>0</v>
      </c>
      <c r="P140" s="578">
        <f t="shared" si="19"/>
        <v>0</v>
      </c>
      <c r="Q140" s="765"/>
      <c r="R140" s="576">
        <f t="shared" si="20"/>
        <v>0</v>
      </c>
      <c r="S140" s="576">
        <f t="shared" si="20"/>
        <v>0</v>
      </c>
      <c r="T140" s="577">
        <f t="shared" si="21"/>
        <v>0</v>
      </c>
      <c r="U140" s="578">
        <f t="shared" si="22"/>
        <v>0</v>
      </c>
      <c r="V140" s="579"/>
      <c r="W140" s="566"/>
      <c r="X140" s="586" t="str">
        <f t="shared" si="23"/>
        <v/>
      </c>
      <c r="Y140" s="586" t="str">
        <f t="shared" si="16"/>
        <v/>
      </c>
      <c r="Z140" s="586" t="str">
        <f t="shared" si="17"/>
        <v/>
      </c>
    </row>
    <row r="141" spans="1:26" ht="12" hidden="1" thickBot="1" x14ac:dyDescent="0.25">
      <c r="A141" s="567">
        <v>542000</v>
      </c>
      <c r="B141" s="644">
        <v>542000</v>
      </c>
      <c r="C141" s="645" t="s">
        <v>206</v>
      </c>
      <c r="D141" s="422" t="s">
        <v>1900</v>
      </c>
      <c r="E141" s="423"/>
      <c r="F141" s="418"/>
      <c r="G141" s="425"/>
      <c r="H141" s="667">
        <f>SUM(H142:H143)</f>
        <v>49.613330000000005</v>
      </c>
      <c r="I141" s="420">
        <v>58.740000000000009</v>
      </c>
      <c r="J141" s="420">
        <f>IF(ISBLANK(I141),"",SUM(H141:I141))</f>
        <v>108.35333000000001</v>
      </c>
      <c r="K141" s="421">
        <f t="shared" si="26"/>
        <v>128.72999999999999</v>
      </c>
      <c r="L141" s="647" t="s">
        <v>16</v>
      </c>
      <c r="M141" s="576"/>
      <c r="N141" s="576">
        <f t="shared" si="15"/>
        <v>0</v>
      </c>
      <c r="O141" s="577">
        <f t="shared" si="18"/>
        <v>0</v>
      </c>
      <c r="P141" s="578">
        <f t="shared" si="19"/>
        <v>0</v>
      </c>
      <c r="Q141" s="765"/>
      <c r="R141" s="576">
        <f t="shared" si="20"/>
        <v>0</v>
      </c>
      <c r="S141" s="576">
        <f t="shared" si="20"/>
        <v>0</v>
      </c>
      <c r="T141" s="577">
        <f t="shared" si="21"/>
        <v>0</v>
      </c>
      <c r="U141" s="578">
        <f t="shared" si="22"/>
        <v>0</v>
      </c>
      <c r="V141" s="579"/>
      <c r="W141" s="566"/>
      <c r="X141" s="586" t="str">
        <f t="shared" si="23"/>
        <v/>
      </c>
      <c r="Y141" s="586" t="str">
        <f t="shared" si="16"/>
        <v/>
      </c>
      <c r="Z141" s="586" t="str">
        <f t="shared" si="17"/>
        <v/>
      </c>
    </row>
    <row r="142" spans="1:26" ht="12" hidden="1" thickBot="1" x14ac:dyDescent="0.25">
      <c r="A142" s="567" t="s">
        <v>168</v>
      </c>
      <c r="B142" s="644" t="s">
        <v>168</v>
      </c>
      <c r="C142" s="645"/>
      <c r="D142" s="451" t="s">
        <v>212</v>
      </c>
      <c r="E142" s="423"/>
      <c r="F142" s="424">
        <v>500</v>
      </c>
      <c r="G142" s="425">
        <v>3.6999999999999998E-2</v>
      </c>
      <c r="H142" s="649">
        <f>IF(F142&lt;=30,(0.78*F142+7.82)*G142,((0.78*30+7.82)+0.78*(F142-30))*G142)</f>
        <v>14.719340000000001</v>
      </c>
      <c r="I142" s="420">
        <v>0</v>
      </c>
      <c r="J142" s="420"/>
      <c r="K142" s="421">
        <f t="shared" si="26"/>
        <v>0</v>
      </c>
      <c r="L142" s="647" t="s">
        <v>614</v>
      </c>
      <c r="M142" s="669"/>
      <c r="N142" s="576">
        <f t="shared" si="15"/>
        <v>0</v>
      </c>
      <c r="O142" s="577">
        <f t="shared" si="18"/>
        <v>0</v>
      </c>
      <c r="P142" s="578">
        <f t="shared" si="19"/>
        <v>0</v>
      </c>
      <c r="Q142" s="765"/>
      <c r="R142" s="669"/>
      <c r="S142" s="670"/>
      <c r="T142" s="577">
        <f t="shared" si="21"/>
        <v>0</v>
      </c>
      <c r="U142" s="578">
        <f t="shared" si="22"/>
        <v>0</v>
      </c>
      <c r="V142" s="579"/>
      <c r="W142" s="637" t="str">
        <f>IF(U141&gt;0,"xx",IF(P141&gt;0,"xy",""))</f>
        <v/>
      </c>
      <c r="X142" s="586" t="str">
        <f t="shared" si="23"/>
        <v/>
      </c>
      <c r="Y142" s="586" t="str">
        <f>IF(W142="X","x",IF(W142="y","x",IF(W142="xx","x",IF(U142&gt;0,"x",""))))</f>
        <v/>
      </c>
      <c r="Z142" s="586" t="str">
        <f t="shared" si="17"/>
        <v/>
      </c>
    </row>
    <row r="143" spans="1:26" ht="12" hidden="1" thickBot="1" x14ac:dyDescent="0.25">
      <c r="A143" s="567" t="s">
        <v>168</v>
      </c>
      <c r="B143" s="644" t="s">
        <v>168</v>
      </c>
      <c r="C143" s="645"/>
      <c r="D143" s="451" t="s">
        <v>213</v>
      </c>
      <c r="E143" s="423"/>
      <c r="F143" s="418">
        <v>15</v>
      </c>
      <c r="G143" s="425">
        <v>1.863</v>
      </c>
      <c r="H143" s="649">
        <f t="shared" ref="H143" si="32">IF(F143&lt;=30,(1.07*F143+2.68)*G143,((1.07*30+2.68)+1.07*(F143-30))*G143)</f>
        <v>34.893990000000002</v>
      </c>
      <c r="I143" s="420">
        <v>0</v>
      </c>
      <c r="J143" s="420"/>
      <c r="K143" s="421">
        <f t="shared" si="26"/>
        <v>0</v>
      </c>
      <c r="L143" s="647" t="s">
        <v>614</v>
      </c>
      <c r="M143" s="669"/>
      <c r="N143" s="576">
        <f t="shared" si="15"/>
        <v>0</v>
      </c>
      <c r="O143" s="577">
        <f t="shared" si="18"/>
        <v>0</v>
      </c>
      <c r="P143" s="578">
        <f t="shared" si="19"/>
        <v>0</v>
      </c>
      <c r="Q143" s="765"/>
      <c r="R143" s="669"/>
      <c r="S143" s="670"/>
      <c r="T143" s="577">
        <f t="shared" si="21"/>
        <v>0</v>
      </c>
      <c r="U143" s="578">
        <f t="shared" si="22"/>
        <v>0</v>
      </c>
      <c r="V143" s="579"/>
      <c r="W143" s="637" t="str">
        <f>IF(U141&gt;0,"xx",IF(P141&gt;0,"xy",""))</f>
        <v/>
      </c>
      <c r="X143" s="586" t="str">
        <f t="shared" si="23"/>
        <v/>
      </c>
      <c r="Y143" s="586" t="str">
        <f t="shared" ref="Y143:Y210" si="33">IF(W143="X","x",IF(W143="y","x",IF(W143="xx","x",IF(U143&gt;0,"x",""))))</f>
        <v/>
      </c>
      <c r="Z143" s="586" t="str">
        <f t="shared" si="17"/>
        <v/>
      </c>
    </row>
    <row r="144" spans="1:26" ht="12" hidden="1" thickBot="1" x14ac:dyDescent="0.25">
      <c r="A144" s="567">
        <v>543000</v>
      </c>
      <c r="B144" s="644">
        <v>543000</v>
      </c>
      <c r="C144" s="645" t="s">
        <v>206</v>
      </c>
      <c r="D144" s="422" t="s">
        <v>1901</v>
      </c>
      <c r="E144" s="423"/>
      <c r="F144" s="418"/>
      <c r="G144" s="425"/>
      <c r="H144" s="667">
        <f>SUM(H145:H146)</f>
        <v>56.436949999999996</v>
      </c>
      <c r="I144" s="420">
        <v>72.12</v>
      </c>
      <c r="J144" s="420">
        <f>IF(ISBLANK(I144),"",SUM(H144:I144))</f>
        <v>128.55695</v>
      </c>
      <c r="K144" s="421">
        <f t="shared" si="26"/>
        <v>152.74</v>
      </c>
      <c r="L144" s="647" t="s">
        <v>16</v>
      </c>
      <c r="M144" s="576"/>
      <c r="N144" s="576">
        <f t="shared" si="15"/>
        <v>0</v>
      </c>
      <c r="O144" s="577">
        <f t="shared" si="18"/>
        <v>0</v>
      </c>
      <c r="P144" s="578">
        <f t="shared" si="19"/>
        <v>0</v>
      </c>
      <c r="Q144" s="765"/>
      <c r="R144" s="576">
        <f t="shared" si="20"/>
        <v>0</v>
      </c>
      <c r="S144" s="576">
        <f t="shared" si="20"/>
        <v>0</v>
      </c>
      <c r="T144" s="577">
        <f t="shared" si="21"/>
        <v>0</v>
      </c>
      <c r="U144" s="578">
        <f t="shared" si="22"/>
        <v>0</v>
      </c>
      <c r="V144" s="579"/>
      <c r="W144" s="566"/>
      <c r="X144" s="586" t="str">
        <f t="shared" si="23"/>
        <v/>
      </c>
      <c r="Y144" s="586" t="str">
        <f t="shared" si="33"/>
        <v/>
      </c>
      <c r="Z144" s="586" t="str">
        <f t="shared" si="17"/>
        <v/>
      </c>
    </row>
    <row r="145" spans="1:26" ht="12" hidden="1" thickBot="1" x14ac:dyDescent="0.25">
      <c r="A145" s="567" t="s">
        <v>168</v>
      </c>
      <c r="B145" s="644" t="s">
        <v>168</v>
      </c>
      <c r="C145" s="645"/>
      <c r="D145" s="451" t="s">
        <v>212</v>
      </c>
      <c r="E145" s="423"/>
      <c r="F145" s="424">
        <v>500</v>
      </c>
      <c r="G145" s="425">
        <v>5.5E-2</v>
      </c>
      <c r="H145" s="649">
        <f>IF(F145&lt;=30,(0.78*F145+7.82)*G145,((0.78*30+7.82)+0.78*(F145-30))*G145)</f>
        <v>21.880100000000002</v>
      </c>
      <c r="I145" s="420">
        <v>0</v>
      </c>
      <c r="J145" s="420"/>
      <c r="K145" s="421">
        <f t="shared" si="26"/>
        <v>0</v>
      </c>
      <c r="L145" s="647" t="s">
        <v>614</v>
      </c>
      <c r="M145" s="669"/>
      <c r="N145" s="576">
        <f t="shared" si="15"/>
        <v>0</v>
      </c>
      <c r="O145" s="577">
        <f t="shared" si="18"/>
        <v>0</v>
      </c>
      <c r="P145" s="578">
        <f t="shared" si="19"/>
        <v>0</v>
      </c>
      <c r="Q145" s="765"/>
      <c r="R145" s="669"/>
      <c r="S145" s="670"/>
      <c r="T145" s="577">
        <f t="shared" si="21"/>
        <v>0</v>
      </c>
      <c r="U145" s="578">
        <f t="shared" si="22"/>
        <v>0</v>
      </c>
      <c r="V145" s="579"/>
      <c r="W145" s="637" t="str">
        <f>IF(U144&gt;0,"xx",IF(P144&gt;0,"xy",""))</f>
        <v/>
      </c>
      <c r="X145" s="586" t="str">
        <f t="shared" si="23"/>
        <v/>
      </c>
      <c r="Y145" s="586" t="str">
        <f t="shared" si="33"/>
        <v/>
      </c>
      <c r="Z145" s="586" t="str">
        <f t="shared" si="17"/>
        <v/>
      </c>
    </row>
    <row r="146" spans="1:26" ht="12" hidden="1" thickBot="1" x14ac:dyDescent="0.25">
      <c r="A146" s="567" t="s">
        <v>168</v>
      </c>
      <c r="B146" s="644" t="s">
        <v>168</v>
      </c>
      <c r="C146" s="645"/>
      <c r="D146" s="451" t="s">
        <v>213</v>
      </c>
      <c r="E146" s="423"/>
      <c r="F146" s="418">
        <v>15</v>
      </c>
      <c r="G146" s="425">
        <v>1.845</v>
      </c>
      <c r="H146" s="649">
        <f t="shared" ref="H146" si="34">IF(F146&lt;=30,(1.07*F146+2.68)*G146,((1.07*30+2.68)+1.07*(F146-30))*G146)</f>
        <v>34.556849999999997</v>
      </c>
      <c r="I146" s="420">
        <v>0</v>
      </c>
      <c r="J146" s="420"/>
      <c r="K146" s="421">
        <f t="shared" si="26"/>
        <v>0</v>
      </c>
      <c r="L146" s="647" t="s">
        <v>614</v>
      </c>
      <c r="M146" s="669"/>
      <c r="N146" s="576">
        <f t="shared" si="15"/>
        <v>0</v>
      </c>
      <c r="O146" s="577">
        <f t="shared" si="18"/>
        <v>0</v>
      </c>
      <c r="P146" s="578">
        <f t="shared" si="19"/>
        <v>0</v>
      </c>
      <c r="Q146" s="765"/>
      <c r="R146" s="669"/>
      <c r="S146" s="670"/>
      <c r="T146" s="577">
        <f t="shared" si="21"/>
        <v>0</v>
      </c>
      <c r="U146" s="578">
        <f t="shared" si="22"/>
        <v>0</v>
      </c>
      <c r="V146" s="579"/>
      <c r="W146" s="637" t="str">
        <f>IF(U144&gt;0,"xx",IF(P144&gt;0,"xy",""))</f>
        <v/>
      </c>
      <c r="X146" s="586" t="str">
        <f t="shared" si="23"/>
        <v/>
      </c>
      <c r="Y146" s="586" t="str">
        <f t="shared" si="33"/>
        <v/>
      </c>
      <c r="Z146" s="586" t="str">
        <f t="shared" si="17"/>
        <v/>
      </c>
    </row>
    <row r="147" spans="1:26" ht="12" hidden="1" thickBot="1" x14ac:dyDescent="0.25">
      <c r="A147" s="567">
        <v>544000</v>
      </c>
      <c r="B147" s="644">
        <v>544000</v>
      </c>
      <c r="C147" s="645" t="s">
        <v>206</v>
      </c>
      <c r="D147" s="422" t="s">
        <v>1902</v>
      </c>
      <c r="E147" s="423"/>
      <c r="F147" s="418"/>
      <c r="G147" s="425"/>
      <c r="H147" s="667">
        <f>SUM(H148:H149)</f>
        <v>61.565889999999996</v>
      </c>
      <c r="I147" s="420">
        <v>76.599999999999994</v>
      </c>
      <c r="J147" s="420">
        <f>IF(ISBLANK(I147),"",SUM(H147:I147))</f>
        <v>138.16588999999999</v>
      </c>
      <c r="K147" s="421">
        <f t="shared" si="26"/>
        <v>164.15</v>
      </c>
      <c r="L147" s="647" t="s">
        <v>16</v>
      </c>
      <c r="M147" s="576"/>
      <c r="N147" s="576">
        <f t="shared" si="15"/>
        <v>0</v>
      </c>
      <c r="O147" s="577">
        <f t="shared" si="18"/>
        <v>0</v>
      </c>
      <c r="P147" s="578">
        <f t="shared" si="19"/>
        <v>0</v>
      </c>
      <c r="Q147" s="765"/>
      <c r="R147" s="576">
        <f t="shared" si="20"/>
        <v>0</v>
      </c>
      <c r="S147" s="576">
        <f t="shared" si="20"/>
        <v>0</v>
      </c>
      <c r="T147" s="577">
        <f t="shared" si="21"/>
        <v>0</v>
      </c>
      <c r="U147" s="578">
        <f t="shared" si="22"/>
        <v>0</v>
      </c>
      <c r="V147" s="579"/>
      <c r="W147" s="566"/>
      <c r="X147" s="586" t="str">
        <f t="shared" si="23"/>
        <v/>
      </c>
      <c r="Y147" s="586" t="str">
        <f t="shared" si="33"/>
        <v/>
      </c>
      <c r="Z147" s="586" t="str">
        <f t="shared" si="17"/>
        <v/>
      </c>
    </row>
    <row r="148" spans="1:26" ht="12" hidden="1" thickBot="1" x14ac:dyDescent="0.25">
      <c r="A148" s="567" t="s">
        <v>168</v>
      </c>
      <c r="B148" s="644" t="s">
        <v>168</v>
      </c>
      <c r="C148" s="645"/>
      <c r="D148" s="451" t="s">
        <v>212</v>
      </c>
      <c r="E148" s="423"/>
      <c r="F148" s="424">
        <v>500</v>
      </c>
      <c r="G148" s="425">
        <v>7.0999999999999994E-2</v>
      </c>
      <c r="H148" s="649">
        <f>IF(F148&lt;=30,(0.78*F148+7.82)*G148,((0.78*30+7.82)+0.78*(F148-30))*G148)</f>
        <v>28.24522</v>
      </c>
      <c r="I148" s="420">
        <v>0</v>
      </c>
      <c r="J148" s="420"/>
      <c r="K148" s="421">
        <f t="shared" si="26"/>
        <v>0</v>
      </c>
      <c r="L148" s="647" t="s">
        <v>614</v>
      </c>
      <c r="M148" s="669"/>
      <c r="N148" s="576">
        <f t="shared" ref="N148:N211" si="35">IF(M148=0,0,K148)</f>
        <v>0</v>
      </c>
      <c r="O148" s="577">
        <f t="shared" si="18"/>
        <v>0</v>
      </c>
      <c r="P148" s="578">
        <f t="shared" si="19"/>
        <v>0</v>
      </c>
      <c r="Q148" s="765"/>
      <c r="R148" s="669"/>
      <c r="S148" s="670"/>
      <c r="T148" s="577">
        <f t="shared" si="21"/>
        <v>0</v>
      </c>
      <c r="U148" s="578">
        <f t="shared" si="22"/>
        <v>0</v>
      </c>
      <c r="V148" s="579"/>
      <c r="W148" s="637" t="str">
        <f>IF(U147&gt;0,"xx",IF(P147&gt;0,"xy",""))</f>
        <v/>
      </c>
      <c r="X148" s="586" t="str">
        <f t="shared" si="23"/>
        <v/>
      </c>
      <c r="Y148" s="586" t="str">
        <f t="shared" si="33"/>
        <v/>
      </c>
      <c r="Z148" s="586" t="str">
        <f t="shared" si="17"/>
        <v/>
      </c>
    </row>
    <row r="149" spans="1:26" ht="12" hidden="1" thickBot="1" x14ac:dyDescent="0.25">
      <c r="A149" s="567" t="s">
        <v>168</v>
      </c>
      <c r="B149" s="644" t="s">
        <v>168</v>
      </c>
      <c r="C149" s="645"/>
      <c r="D149" s="451" t="s">
        <v>213</v>
      </c>
      <c r="E149" s="423"/>
      <c r="F149" s="418">
        <v>15</v>
      </c>
      <c r="G149" s="425">
        <v>1.7789999999999999</v>
      </c>
      <c r="H149" s="649">
        <f t="shared" ref="H149" si="36">IF(F149&lt;=30,(1.07*F149+2.68)*G149,((1.07*30+2.68)+1.07*(F149-30))*G149)</f>
        <v>33.32067</v>
      </c>
      <c r="I149" s="420">
        <v>0</v>
      </c>
      <c r="J149" s="420"/>
      <c r="K149" s="421">
        <f t="shared" si="26"/>
        <v>0</v>
      </c>
      <c r="L149" s="647" t="s">
        <v>614</v>
      </c>
      <c r="M149" s="669"/>
      <c r="N149" s="576">
        <f t="shared" si="35"/>
        <v>0</v>
      </c>
      <c r="O149" s="577">
        <f t="shared" si="18"/>
        <v>0</v>
      </c>
      <c r="P149" s="578">
        <f t="shared" si="19"/>
        <v>0</v>
      </c>
      <c r="Q149" s="765"/>
      <c r="R149" s="669"/>
      <c r="S149" s="670"/>
      <c r="T149" s="577">
        <f t="shared" si="21"/>
        <v>0</v>
      </c>
      <c r="U149" s="578">
        <f t="shared" si="22"/>
        <v>0</v>
      </c>
      <c r="V149" s="579"/>
      <c r="W149" s="637" t="str">
        <f>IF(U147&gt;0,"xx",IF(P147&gt;0,"xy",""))</f>
        <v/>
      </c>
      <c r="X149" s="586" t="str">
        <f t="shared" si="23"/>
        <v/>
      </c>
      <c r="Y149" s="586" t="str">
        <f t="shared" si="33"/>
        <v/>
      </c>
      <c r="Z149" s="586" t="str">
        <f t="shared" si="17"/>
        <v/>
      </c>
    </row>
    <row r="150" spans="1:26" ht="12" hidden="1" thickBot="1" x14ac:dyDescent="0.25">
      <c r="A150" s="567">
        <v>545000</v>
      </c>
      <c r="B150" s="644">
        <v>545000</v>
      </c>
      <c r="C150" s="645" t="s">
        <v>206</v>
      </c>
      <c r="D150" s="422" t="s">
        <v>1903</v>
      </c>
      <c r="E150" s="423"/>
      <c r="F150" s="418"/>
      <c r="G150" s="425"/>
      <c r="H150" s="667">
        <f>SUM(H151:H152)</f>
        <v>68.010420000000011</v>
      </c>
      <c r="I150" s="420">
        <v>88.69</v>
      </c>
      <c r="J150" s="420">
        <f>IF(ISBLANK(I150),"",SUM(H150:I150))</f>
        <v>156.70042000000001</v>
      </c>
      <c r="K150" s="421">
        <f t="shared" si="26"/>
        <v>186.18</v>
      </c>
      <c r="L150" s="647" t="s">
        <v>16</v>
      </c>
      <c r="M150" s="576"/>
      <c r="N150" s="576">
        <f t="shared" si="35"/>
        <v>0</v>
      </c>
      <c r="O150" s="577">
        <f t="shared" si="18"/>
        <v>0</v>
      </c>
      <c r="P150" s="578">
        <f t="shared" si="19"/>
        <v>0</v>
      </c>
      <c r="Q150" s="765"/>
      <c r="R150" s="576">
        <f t="shared" si="20"/>
        <v>0</v>
      </c>
      <c r="S150" s="576">
        <f t="shared" si="20"/>
        <v>0</v>
      </c>
      <c r="T150" s="577">
        <f t="shared" si="21"/>
        <v>0</v>
      </c>
      <c r="U150" s="578">
        <f t="shared" si="22"/>
        <v>0</v>
      </c>
      <c r="V150" s="579"/>
      <c r="W150" s="566"/>
      <c r="X150" s="586" t="str">
        <f t="shared" si="23"/>
        <v/>
      </c>
      <c r="Y150" s="586" t="str">
        <f t="shared" si="33"/>
        <v/>
      </c>
      <c r="Z150" s="586" t="str">
        <f t="shared" si="17"/>
        <v/>
      </c>
    </row>
    <row r="151" spans="1:26" ht="12" hidden="1" thickBot="1" x14ac:dyDescent="0.25">
      <c r="A151" s="567" t="s">
        <v>168</v>
      </c>
      <c r="B151" s="644" t="s">
        <v>168</v>
      </c>
      <c r="C151" s="645"/>
      <c r="D151" s="451" t="s">
        <v>212</v>
      </c>
      <c r="E151" s="423"/>
      <c r="F151" s="424">
        <v>500</v>
      </c>
      <c r="G151" s="425">
        <v>8.7999999999999995E-2</v>
      </c>
      <c r="H151" s="649">
        <f>IF(F151&lt;=30,(0.78*F151+7.82)*G151,((0.78*30+7.82)+0.78*(F151-30))*G151)</f>
        <v>35.008160000000004</v>
      </c>
      <c r="I151" s="420">
        <v>0</v>
      </c>
      <c r="J151" s="420"/>
      <c r="K151" s="421">
        <f t="shared" si="26"/>
        <v>0</v>
      </c>
      <c r="L151" s="647" t="s">
        <v>614</v>
      </c>
      <c r="M151" s="669"/>
      <c r="N151" s="576">
        <f t="shared" si="35"/>
        <v>0</v>
      </c>
      <c r="O151" s="577">
        <f t="shared" si="18"/>
        <v>0</v>
      </c>
      <c r="P151" s="578">
        <f t="shared" si="19"/>
        <v>0</v>
      </c>
      <c r="Q151" s="765"/>
      <c r="R151" s="669"/>
      <c r="S151" s="670"/>
      <c r="T151" s="577">
        <f t="shared" si="21"/>
        <v>0</v>
      </c>
      <c r="U151" s="578">
        <f t="shared" si="22"/>
        <v>0</v>
      </c>
      <c r="V151" s="579"/>
      <c r="W151" s="637" t="str">
        <f>IF(U150&gt;0,"xx",IF(P150&gt;0,"xy",""))</f>
        <v/>
      </c>
      <c r="X151" s="586" t="str">
        <f t="shared" si="23"/>
        <v/>
      </c>
      <c r="Y151" s="586" t="str">
        <f t="shared" si="33"/>
        <v/>
      </c>
      <c r="Z151" s="586" t="str">
        <f t="shared" si="17"/>
        <v/>
      </c>
    </row>
    <row r="152" spans="1:26" ht="12" hidden="1" thickBot="1" x14ac:dyDescent="0.25">
      <c r="A152" s="567" t="s">
        <v>168</v>
      </c>
      <c r="B152" s="644" t="s">
        <v>168</v>
      </c>
      <c r="C152" s="645"/>
      <c r="D152" s="451" t="s">
        <v>213</v>
      </c>
      <c r="E152" s="423"/>
      <c r="F152" s="418">
        <v>15</v>
      </c>
      <c r="G152" s="425">
        <v>1.762</v>
      </c>
      <c r="H152" s="649">
        <f t="shared" ref="H152" si="37">IF(F152&lt;=30,(1.07*F152+2.68)*G152,((1.07*30+2.68)+1.07*(F152-30))*G152)</f>
        <v>33.00226</v>
      </c>
      <c r="I152" s="420">
        <v>0</v>
      </c>
      <c r="J152" s="420"/>
      <c r="K152" s="421">
        <f t="shared" si="26"/>
        <v>0</v>
      </c>
      <c r="L152" s="647" t="s">
        <v>614</v>
      </c>
      <c r="M152" s="669"/>
      <c r="N152" s="576">
        <f t="shared" si="35"/>
        <v>0</v>
      </c>
      <c r="O152" s="577">
        <f t="shared" si="18"/>
        <v>0</v>
      </c>
      <c r="P152" s="578">
        <f t="shared" si="19"/>
        <v>0</v>
      </c>
      <c r="Q152" s="765"/>
      <c r="R152" s="669"/>
      <c r="S152" s="670"/>
      <c r="T152" s="577">
        <f t="shared" si="21"/>
        <v>0</v>
      </c>
      <c r="U152" s="578">
        <f t="shared" si="22"/>
        <v>0</v>
      </c>
      <c r="V152" s="579"/>
      <c r="W152" s="637" t="str">
        <f>IF(U150&gt;0,"xx",IF(P150&gt;0,"xy",""))</f>
        <v/>
      </c>
      <c r="X152" s="586" t="str">
        <f t="shared" si="23"/>
        <v/>
      </c>
      <c r="Y152" s="586" t="str">
        <f t="shared" si="33"/>
        <v/>
      </c>
      <c r="Z152" s="586" t="str">
        <f t="shared" si="17"/>
        <v/>
      </c>
    </row>
    <row r="153" spans="1:26" ht="12" hidden="1" thickBot="1" x14ac:dyDescent="0.25">
      <c r="A153" s="567">
        <v>546000</v>
      </c>
      <c r="B153" s="644">
        <v>546000</v>
      </c>
      <c r="C153" s="645" t="s">
        <v>206</v>
      </c>
      <c r="D153" s="422" t="s">
        <v>1904</v>
      </c>
      <c r="E153" s="423"/>
      <c r="F153" s="418"/>
      <c r="G153" s="425"/>
      <c r="H153" s="667">
        <f>SUM(H154:H155)</f>
        <v>74.454949999999997</v>
      </c>
      <c r="I153" s="420">
        <v>100.75</v>
      </c>
      <c r="J153" s="420">
        <f>IF(ISBLANK(I153),"",SUM(H153:I153))</f>
        <v>175.20495</v>
      </c>
      <c r="K153" s="421">
        <f t="shared" si="26"/>
        <v>208.16</v>
      </c>
      <c r="L153" s="647" t="s">
        <v>16</v>
      </c>
      <c r="M153" s="576"/>
      <c r="N153" s="576">
        <f t="shared" si="35"/>
        <v>0</v>
      </c>
      <c r="O153" s="577">
        <f t="shared" si="18"/>
        <v>0</v>
      </c>
      <c r="P153" s="578">
        <f t="shared" si="19"/>
        <v>0</v>
      </c>
      <c r="Q153" s="765"/>
      <c r="R153" s="576">
        <f t="shared" si="20"/>
        <v>0</v>
      </c>
      <c r="S153" s="576">
        <f t="shared" si="20"/>
        <v>0</v>
      </c>
      <c r="T153" s="577">
        <f t="shared" si="21"/>
        <v>0</v>
      </c>
      <c r="U153" s="578">
        <f t="shared" si="22"/>
        <v>0</v>
      </c>
      <c r="V153" s="579"/>
      <c r="W153" s="566"/>
      <c r="X153" s="586" t="str">
        <f t="shared" si="23"/>
        <v/>
      </c>
      <c r="Y153" s="586" t="str">
        <f t="shared" si="33"/>
        <v/>
      </c>
      <c r="Z153" s="586" t="str">
        <f t="shared" si="17"/>
        <v/>
      </c>
    </row>
    <row r="154" spans="1:26" ht="12" hidden="1" thickBot="1" x14ac:dyDescent="0.25">
      <c r="A154" s="567" t="s">
        <v>168</v>
      </c>
      <c r="B154" s="644" t="s">
        <v>168</v>
      </c>
      <c r="C154" s="645"/>
      <c r="D154" s="451" t="s">
        <v>212</v>
      </c>
      <c r="E154" s="423"/>
      <c r="F154" s="424">
        <v>500</v>
      </c>
      <c r="G154" s="425">
        <v>0.105</v>
      </c>
      <c r="H154" s="649">
        <f>IF(F154&lt;=30,(0.78*F154+7.82)*G154,((0.78*30+7.82)+0.78*(F154-30))*G154)</f>
        <v>41.771100000000004</v>
      </c>
      <c r="I154" s="420"/>
      <c r="J154" s="420"/>
      <c r="K154" s="421">
        <f t="shared" si="26"/>
        <v>0</v>
      </c>
      <c r="L154" s="647" t="s">
        <v>614</v>
      </c>
      <c r="M154" s="669"/>
      <c r="N154" s="576">
        <f t="shared" si="35"/>
        <v>0</v>
      </c>
      <c r="O154" s="577">
        <f t="shared" si="18"/>
        <v>0</v>
      </c>
      <c r="P154" s="578">
        <f t="shared" si="19"/>
        <v>0</v>
      </c>
      <c r="Q154" s="765"/>
      <c r="R154" s="669"/>
      <c r="S154" s="670"/>
      <c r="T154" s="577">
        <f t="shared" si="21"/>
        <v>0</v>
      </c>
      <c r="U154" s="578">
        <f t="shared" si="22"/>
        <v>0</v>
      </c>
      <c r="V154" s="579"/>
      <c r="W154" s="637" t="str">
        <f>IF(U153&gt;0,"xx",IF(P153&gt;0,"xy",""))</f>
        <v/>
      </c>
      <c r="X154" s="586" t="str">
        <f t="shared" si="23"/>
        <v/>
      </c>
      <c r="Y154" s="586" t="str">
        <f t="shared" si="33"/>
        <v/>
      </c>
      <c r="Z154" s="586" t="str">
        <f t="shared" si="17"/>
        <v/>
      </c>
    </row>
    <row r="155" spans="1:26" ht="12" hidden="1" thickBot="1" x14ac:dyDescent="0.25">
      <c r="A155" s="567" t="s">
        <v>168</v>
      </c>
      <c r="B155" s="644" t="s">
        <v>168</v>
      </c>
      <c r="C155" s="645"/>
      <c r="D155" s="451" t="s">
        <v>213</v>
      </c>
      <c r="E155" s="423"/>
      <c r="F155" s="418">
        <v>15</v>
      </c>
      <c r="G155" s="425">
        <v>1.7450000000000001</v>
      </c>
      <c r="H155" s="649">
        <f t="shared" ref="H155" si="38">IF(F155&lt;=30,(1.07*F155+2.68)*G155,((1.07*30+2.68)+1.07*(F155-30))*G155)</f>
        <v>32.68385</v>
      </c>
      <c r="I155" s="420"/>
      <c r="J155" s="420"/>
      <c r="K155" s="421">
        <f t="shared" si="26"/>
        <v>0</v>
      </c>
      <c r="L155" s="647" t="s">
        <v>614</v>
      </c>
      <c r="M155" s="669"/>
      <c r="N155" s="576">
        <f t="shared" si="35"/>
        <v>0</v>
      </c>
      <c r="O155" s="577">
        <f t="shared" si="18"/>
        <v>0</v>
      </c>
      <c r="P155" s="578">
        <f t="shared" si="19"/>
        <v>0</v>
      </c>
      <c r="Q155" s="765"/>
      <c r="R155" s="669"/>
      <c r="S155" s="670"/>
      <c r="T155" s="577">
        <f t="shared" si="21"/>
        <v>0</v>
      </c>
      <c r="U155" s="578">
        <f t="shared" si="22"/>
        <v>0</v>
      </c>
      <c r="V155" s="579"/>
      <c r="W155" s="637" t="str">
        <f>IF(U153&gt;0,"xx",IF(P153&gt;0,"xy",""))</f>
        <v/>
      </c>
      <c r="X155" s="586" t="str">
        <f t="shared" si="23"/>
        <v/>
      </c>
      <c r="Y155" s="586" t="str">
        <f t="shared" si="33"/>
        <v/>
      </c>
      <c r="Z155" s="586" t="str">
        <f t="shared" si="17"/>
        <v/>
      </c>
    </row>
    <row r="156" spans="1:26" ht="12" hidden="1" thickBot="1" x14ac:dyDescent="0.25">
      <c r="A156" s="567">
        <v>547000</v>
      </c>
      <c r="B156" s="644">
        <v>547000</v>
      </c>
      <c r="C156" s="645" t="s">
        <v>206</v>
      </c>
      <c r="D156" s="422" t="s">
        <v>1905</v>
      </c>
      <c r="E156" s="423"/>
      <c r="F156" s="418"/>
      <c r="G156" s="425"/>
      <c r="H156" s="667">
        <f>SUM(H157:H158)</f>
        <v>80.501660000000001</v>
      </c>
      <c r="I156" s="420">
        <v>113.74000000000001</v>
      </c>
      <c r="J156" s="420">
        <f>IF(ISBLANK(I156),"",SUM(H156:I156))</f>
        <v>194.24166000000002</v>
      </c>
      <c r="K156" s="421">
        <f t="shared" si="26"/>
        <v>230.78</v>
      </c>
      <c r="L156" s="647" t="s">
        <v>16</v>
      </c>
      <c r="M156" s="576"/>
      <c r="N156" s="576">
        <f t="shared" si="35"/>
        <v>0</v>
      </c>
      <c r="O156" s="577">
        <f t="shared" si="18"/>
        <v>0</v>
      </c>
      <c r="P156" s="578">
        <f t="shared" si="19"/>
        <v>0</v>
      </c>
      <c r="Q156" s="765"/>
      <c r="R156" s="576">
        <f t="shared" si="20"/>
        <v>0</v>
      </c>
      <c r="S156" s="576">
        <f t="shared" si="20"/>
        <v>0</v>
      </c>
      <c r="T156" s="577">
        <f t="shared" si="21"/>
        <v>0</v>
      </c>
      <c r="U156" s="578">
        <f t="shared" si="22"/>
        <v>0</v>
      </c>
      <c r="V156" s="579"/>
      <c r="W156" s="566"/>
      <c r="X156" s="586" t="str">
        <f t="shared" si="23"/>
        <v/>
      </c>
      <c r="Y156" s="586" t="str">
        <f t="shared" si="33"/>
        <v/>
      </c>
      <c r="Z156" s="586" t="str">
        <f t="shared" ref="Z156:Z220" si="39">IF(W156="X","x",IF(U156&gt;0,"x",""))</f>
        <v/>
      </c>
    </row>
    <row r="157" spans="1:26" ht="12" hidden="1" thickBot="1" x14ac:dyDescent="0.25">
      <c r="A157" s="567" t="s">
        <v>168</v>
      </c>
      <c r="B157" s="644" t="s">
        <v>168</v>
      </c>
      <c r="C157" s="645"/>
      <c r="D157" s="451" t="s">
        <v>212</v>
      </c>
      <c r="E157" s="423"/>
      <c r="F157" s="424">
        <v>500</v>
      </c>
      <c r="G157" s="425">
        <v>0.121</v>
      </c>
      <c r="H157" s="649">
        <f>IF(F157&lt;=30,(0.78*F157+7.82)*G157,((0.78*30+7.82)+0.78*(F157-30))*G157)</f>
        <v>48.136220000000002</v>
      </c>
      <c r="I157" s="420"/>
      <c r="J157" s="420"/>
      <c r="K157" s="421">
        <f t="shared" si="26"/>
        <v>0</v>
      </c>
      <c r="L157" s="647" t="s">
        <v>614</v>
      </c>
      <c r="M157" s="669"/>
      <c r="N157" s="576">
        <f t="shared" si="35"/>
        <v>0</v>
      </c>
      <c r="O157" s="577">
        <f t="shared" si="18"/>
        <v>0</v>
      </c>
      <c r="P157" s="578">
        <f t="shared" si="19"/>
        <v>0</v>
      </c>
      <c r="Q157" s="765"/>
      <c r="R157" s="669"/>
      <c r="S157" s="670"/>
      <c r="T157" s="577">
        <f t="shared" si="21"/>
        <v>0</v>
      </c>
      <c r="U157" s="578">
        <f t="shared" si="22"/>
        <v>0</v>
      </c>
      <c r="V157" s="579"/>
      <c r="W157" s="637" t="str">
        <f>IF(U156&gt;0,"xx",IF(P156&gt;0,"xy",""))</f>
        <v/>
      </c>
      <c r="X157" s="586" t="str">
        <f t="shared" si="23"/>
        <v/>
      </c>
      <c r="Y157" s="586" t="str">
        <f t="shared" si="33"/>
        <v/>
      </c>
      <c r="Z157" s="586" t="str">
        <f t="shared" si="39"/>
        <v/>
      </c>
    </row>
    <row r="158" spans="1:26" ht="12" hidden="1" thickBot="1" x14ac:dyDescent="0.25">
      <c r="A158" s="567" t="s">
        <v>168</v>
      </c>
      <c r="B158" s="644" t="s">
        <v>168</v>
      </c>
      <c r="C158" s="645"/>
      <c r="D158" s="451" t="s">
        <v>213</v>
      </c>
      <c r="E158" s="423"/>
      <c r="F158" s="418">
        <v>15</v>
      </c>
      <c r="G158" s="425">
        <v>1.728</v>
      </c>
      <c r="H158" s="649">
        <f t="shared" ref="H158" si="40">IF(F158&lt;=30,(1.07*F158+2.68)*G158,((1.07*30+2.68)+1.07*(F158-30))*G158)</f>
        <v>32.36544</v>
      </c>
      <c r="I158" s="420"/>
      <c r="J158" s="420"/>
      <c r="K158" s="421">
        <f t="shared" si="26"/>
        <v>0</v>
      </c>
      <c r="L158" s="647" t="s">
        <v>614</v>
      </c>
      <c r="M158" s="669"/>
      <c r="N158" s="576">
        <f t="shared" si="35"/>
        <v>0</v>
      </c>
      <c r="O158" s="577">
        <f t="shared" si="18"/>
        <v>0</v>
      </c>
      <c r="P158" s="578">
        <f t="shared" si="19"/>
        <v>0</v>
      </c>
      <c r="Q158" s="765"/>
      <c r="R158" s="669"/>
      <c r="S158" s="670"/>
      <c r="T158" s="577">
        <f t="shared" si="21"/>
        <v>0</v>
      </c>
      <c r="U158" s="578">
        <f t="shared" si="22"/>
        <v>0</v>
      </c>
      <c r="V158" s="579"/>
      <c r="W158" s="637" t="str">
        <f>IF(U156&gt;0,"xx",IF(P156&gt;0,"xy",""))</f>
        <v/>
      </c>
      <c r="X158" s="586" t="str">
        <f t="shared" si="23"/>
        <v/>
      </c>
      <c r="Y158" s="586" t="str">
        <f t="shared" si="33"/>
        <v/>
      </c>
      <c r="Z158" s="586" t="str">
        <f t="shared" si="39"/>
        <v/>
      </c>
    </row>
    <row r="159" spans="1:26" ht="12" hidden="1" thickBot="1" x14ac:dyDescent="0.25">
      <c r="A159" s="567">
        <v>542100</v>
      </c>
      <c r="B159" s="644">
        <v>542100</v>
      </c>
      <c r="C159" s="645" t="s">
        <v>206</v>
      </c>
      <c r="D159" s="422" t="s">
        <v>1906</v>
      </c>
      <c r="E159" s="423"/>
      <c r="F159" s="418"/>
      <c r="G159" s="425"/>
      <c r="H159" s="667">
        <f>SUM(H160:H162)</f>
        <v>55.101230000000001</v>
      </c>
      <c r="I159" s="420">
        <v>61.81</v>
      </c>
      <c r="J159" s="420">
        <f>IF(ISBLANK(I159),"",SUM(H159:I159))</f>
        <v>116.91123</v>
      </c>
      <c r="K159" s="421">
        <f t="shared" si="26"/>
        <v>138.9</v>
      </c>
      <c r="L159" s="647" t="s">
        <v>16</v>
      </c>
      <c r="M159" s="576"/>
      <c r="N159" s="576">
        <f t="shared" si="35"/>
        <v>0</v>
      </c>
      <c r="O159" s="577">
        <f t="shared" ref="O159:O223" si="41">IF(ISBLANK(M159),0,ROUND(K159*M159,2))</f>
        <v>0</v>
      </c>
      <c r="P159" s="578">
        <f t="shared" ref="P159:P223" si="42">IF(ISBLANK(N159),0,ROUND(M159*N159,2))</f>
        <v>0</v>
      </c>
      <c r="Q159" s="765"/>
      <c r="R159" s="576">
        <f t="shared" ref="R159:S223" si="43">M159</f>
        <v>0</v>
      </c>
      <c r="S159" s="576">
        <f t="shared" si="43"/>
        <v>0</v>
      </c>
      <c r="T159" s="577">
        <f t="shared" ref="T159:T223" si="44">IF(ISBLANK(R159),0,ROUND(K159*R159,2))</f>
        <v>0</v>
      </c>
      <c r="U159" s="578">
        <f t="shared" ref="U159:U223" si="45">IF(ISBLANK(R159),0,ROUND(R159*S159,2))</f>
        <v>0</v>
      </c>
      <c r="V159" s="579"/>
      <c r="W159" s="566"/>
      <c r="X159" s="586" t="str">
        <f t="shared" si="23"/>
        <v/>
      </c>
      <c r="Y159" s="586" t="str">
        <f t="shared" si="33"/>
        <v/>
      </c>
      <c r="Z159" s="586" t="str">
        <f t="shared" si="39"/>
        <v/>
      </c>
    </row>
    <row r="160" spans="1:26" ht="12" hidden="1" thickBot="1" x14ac:dyDescent="0.25">
      <c r="A160" s="567" t="s">
        <v>168</v>
      </c>
      <c r="B160" s="644" t="s">
        <v>168</v>
      </c>
      <c r="C160" s="645"/>
      <c r="D160" s="451" t="s">
        <v>212</v>
      </c>
      <c r="E160" s="423"/>
      <c r="F160" s="424">
        <v>500</v>
      </c>
      <c r="G160" s="425">
        <v>3.6999999999999998E-2</v>
      </c>
      <c r="H160" s="649">
        <f>IF(F160&lt;=30,(0.78*F160+7.82)*G160,((0.78*30+7.82)+0.78*(F160-30))*G160)</f>
        <v>14.719340000000001</v>
      </c>
      <c r="I160" s="420"/>
      <c r="J160" s="420"/>
      <c r="K160" s="421">
        <f t="shared" si="26"/>
        <v>0</v>
      </c>
      <c r="L160" s="647" t="s">
        <v>614</v>
      </c>
      <c r="M160" s="669"/>
      <c r="N160" s="576">
        <f t="shared" si="35"/>
        <v>0</v>
      </c>
      <c r="O160" s="577">
        <f t="shared" si="41"/>
        <v>0</v>
      </c>
      <c r="P160" s="578">
        <f t="shared" si="42"/>
        <v>0</v>
      </c>
      <c r="Q160" s="765"/>
      <c r="R160" s="669"/>
      <c r="S160" s="670"/>
      <c r="T160" s="577">
        <f t="shared" si="44"/>
        <v>0</v>
      </c>
      <c r="U160" s="578">
        <f t="shared" si="45"/>
        <v>0</v>
      </c>
      <c r="V160" s="579"/>
      <c r="W160" s="637" t="str">
        <f>IF(U159&gt;0,"xx",IF(P159&gt;0,"xy",""))</f>
        <v/>
      </c>
      <c r="X160" s="586" t="str">
        <f t="shared" si="23"/>
        <v/>
      </c>
      <c r="Y160" s="586" t="str">
        <f t="shared" si="33"/>
        <v/>
      </c>
      <c r="Z160" s="586" t="str">
        <f t="shared" si="39"/>
        <v/>
      </c>
    </row>
    <row r="161" spans="1:26" ht="12" hidden="1" thickBot="1" x14ac:dyDescent="0.25">
      <c r="A161" s="567" t="s">
        <v>168</v>
      </c>
      <c r="B161" s="644" t="s">
        <v>168</v>
      </c>
      <c r="C161" s="645"/>
      <c r="D161" s="451" t="s">
        <v>213</v>
      </c>
      <c r="E161" s="423"/>
      <c r="F161" s="418">
        <v>10</v>
      </c>
      <c r="G161" s="425">
        <v>1.9</v>
      </c>
      <c r="H161" s="649">
        <f t="shared" ref="H161:H162" si="46">IF(F161&lt;=30,(1.07*F161+2.68)*G161,((1.07*30+2.68)+1.07*(F161-30))*G161)</f>
        <v>25.422000000000001</v>
      </c>
      <c r="I161" s="420"/>
      <c r="J161" s="420"/>
      <c r="K161" s="421">
        <f t="shared" si="26"/>
        <v>0</v>
      </c>
      <c r="L161" s="647" t="s">
        <v>614</v>
      </c>
      <c r="M161" s="669"/>
      <c r="N161" s="576">
        <f t="shared" si="35"/>
        <v>0</v>
      </c>
      <c r="O161" s="577">
        <f t="shared" si="41"/>
        <v>0</v>
      </c>
      <c r="P161" s="578">
        <f t="shared" si="42"/>
        <v>0</v>
      </c>
      <c r="Q161" s="765"/>
      <c r="R161" s="669"/>
      <c r="S161" s="670"/>
      <c r="T161" s="577">
        <f t="shared" si="44"/>
        <v>0</v>
      </c>
      <c r="U161" s="578">
        <f t="shared" si="45"/>
        <v>0</v>
      </c>
      <c r="V161" s="579"/>
      <c r="W161" s="637" t="str">
        <f>IF(U159&gt;0,"xx",IF(P159&gt;0,"xy",""))</f>
        <v/>
      </c>
      <c r="X161" s="586" t="str">
        <f t="shared" ref="X161:X225" si="47">IF(W161="X","x",IF(W161="xx","x",IF(W161="xy","x",IF(W161="y","x",IF(OR(P161&gt;0,U161&gt;0),"x","")))))</f>
        <v/>
      </c>
      <c r="Y161" s="586" t="str">
        <f t="shared" si="33"/>
        <v/>
      </c>
      <c r="Z161" s="586" t="str">
        <f t="shared" si="39"/>
        <v/>
      </c>
    </row>
    <row r="162" spans="1:26" ht="12" hidden="1" thickBot="1" x14ac:dyDescent="0.25">
      <c r="A162" s="567" t="s">
        <v>168</v>
      </c>
      <c r="B162" s="644" t="s">
        <v>168</v>
      </c>
      <c r="C162" s="645"/>
      <c r="D162" s="451" t="s">
        <v>214</v>
      </c>
      <c r="E162" s="423"/>
      <c r="F162" s="418">
        <v>5</v>
      </c>
      <c r="G162" s="425">
        <v>1.863</v>
      </c>
      <c r="H162" s="649">
        <f t="shared" si="46"/>
        <v>14.959890000000001</v>
      </c>
      <c r="I162" s="420"/>
      <c r="J162" s="420"/>
      <c r="K162" s="421">
        <f t="shared" si="26"/>
        <v>0</v>
      </c>
      <c r="L162" s="647" t="s">
        <v>614</v>
      </c>
      <c r="M162" s="669"/>
      <c r="N162" s="576">
        <f t="shared" si="35"/>
        <v>0</v>
      </c>
      <c r="O162" s="577">
        <f t="shared" si="41"/>
        <v>0</v>
      </c>
      <c r="P162" s="578">
        <f t="shared" si="42"/>
        <v>0</v>
      </c>
      <c r="Q162" s="765"/>
      <c r="R162" s="669"/>
      <c r="S162" s="670"/>
      <c r="T162" s="577">
        <f t="shared" si="44"/>
        <v>0</v>
      </c>
      <c r="U162" s="578">
        <f t="shared" si="45"/>
        <v>0</v>
      </c>
      <c r="V162" s="579"/>
      <c r="W162" s="637" t="str">
        <f>IF($U$141&gt;0,"xx",IF($P$141&gt;0,"xy",""))</f>
        <v/>
      </c>
      <c r="X162" s="586" t="str">
        <f t="shared" si="47"/>
        <v/>
      </c>
      <c r="Y162" s="586" t="str">
        <f t="shared" si="33"/>
        <v/>
      </c>
      <c r="Z162" s="586" t="str">
        <f t="shared" si="39"/>
        <v/>
      </c>
    </row>
    <row r="163" spans="1:26" ht="12" hidden="1" thickBot="1" x14ac:dyDescent="0.25">
      <c r="A163" s="567">
        <v>543100</v>
      </c>
      <c r="B163" s="644">
        <v>543100</v>
      </c>
      <c r="C163" s="645" t="s">
        <v>206</v>
      </c>
      <c r="D163" s="422" t="s">
        <v>1907</v>
      </c>
      <c r="E163" s="423"/>
      <c r="F163" s="418"/>
      <c r="G163" s="425"/>
      <c r="H163" s="667">
        <f>SUM(H164:H166)</f>
        <v>62.117450000000005</v>
      </c>
      <c r="I163" s="420">
        <v>72.209999999999994</v>
      </c>
      <c r="J163" s="420">
        <f>IF(ISBLANK(I163),"",SUM(H163:I163))</f>
        <v>134.32745</v>
      </c>
      <c r="K163" s="421">
        <f t="shared" si="26"/>
        <v>159.59</v>
      </c>
      <c r="L163" s="647" t="s">
        <v>16</v>
      </c>
      <c r="M163" s="576"/>
      <c r="N163" s="576">
        <f t="shared" si="35"/>
        <v>0</v>
      </c>
      <c r="O163" s="577">
        <f t="shared" si="41"/>
        <v>0</v>
      </c>
      <c r="P163" s="578">
        <f t="shared" si="42"/>
        <v>0</v>
      </c>
      <c r="Q163" s="765"/>
      <c r="R163" s="576">
        <f t="shared" si="43"/>
        <v>0</v>
      </c>
      <c r="S163" s="576">
        <f t="shared" si="43"/>
        <v>0</v>
      </c>
      <c r="T163" s="577">
        <f t="shared" si="44"/>
        <v>0</v>
      </c>
      <c r="U163" s="578">
        <f t="shared" si="45"/>
        <v>0</v>
      </c>
      <c r="V163" s="579"/>
      <c r="W163" s="566"/>
      <c r="X163" s="586" t="str">
        <f t="shared" si="47"/>
        <v/>
      </c>
      <c r="Y163" s="586" t="str">
        <f t="shared" si="33"/>
        <v/>
      </c>
      <c r="Z163" s="586" t="str">
        <f t="shared" si="39"/>
        <v/>
      </c>
    </row>
    <row r="164" spans="1:26" ht="12" hidden="1" thickBot="1" x14ac:dyDescent="0.25">
      <c r="A164" s="567" t="s">
        <v>168</v>
      </c>
      <c r="B164" s="644" t="s">
        <v>168</v>
      </c>
      <c r="C164" s="645"/>
      <c r="D164" s="451" t="s">
        <v>212</v>
      </c>
      <c r="E164" s="423"/>
      <c r="F164" s="424">
        <v>500</v>
      </c>
      <c r="G164" s="425">
        <v>5.5E-2</v>
      </c>
      <c r="H164" s="649">
        <f>IF(F164&lt;=30,(0.78*F164+7.82)*G164,((0.78*30+7.82)+0.78*(F164-30))*G164)</f>
        <v>21.880100000000002</v>
      </c>
      <c r="I164" s="420"/>
      <c r="J164" s="420"/>
      <c r="K164" s="421">
        <f t="shared" si="26"/>
        <v>0</v>
      </c>
      <c r="L164" s="647" t="s">
        <v>614</v>
      </c>
      <c r="M164" s="669"/>
      <c r="N164" s="576">
        <f t="shared" si="35"/>
        <v>0</v>
      </c>
      <c r="O164" s="577">
        <f t="shared" si="41"/>
        <v>0</v>
      </c>
      <c r="P164" s="578">
        <f t="shared" si="42"/>
        <v>0</v>
      </c>
      <c r="Q164" s="765"/>
      <c r="R164" s="669"/>
      <c r="S164" s="670"/>
      <c r="T164" s="577">
        <f t="shared" si="44"/>
        <v>0</v>
      </c>
      <c r="U164" s="578">
        <f t="shared" si="45"/>
        <v>0</v>
      </c>
      <c r="V164" s="579"/>
      <c r="W164" s="637" t="str">
        <f>IF(U163&gt;0,"xx",IF(P163&gt;0,"xy",""))</f>
        <v/>
      </c>
      <c r="X164" s="586" t="str">
        <f t="shared" si="47"/>
        <v/>
      </c>
      <c r="Y164" s="586" t="str">
        <f t="shared" si="33"/>
        <v/>
      </c>
      <c r="Z164" s="586" t="str">
        <f t="shared" si="39"/>
        <v/>
      </c>
    </row>
    <row r="165" spans="1:26" ht="12" hidden="1" thickBot="1" x14ac:dyDescent="0.25">
      <c r="A165" s="567" t="s">
        <v>168</v>
      </c>
      <c r="B165" s="644" t="s">
        <v>168</v>
      </c>
      <c r="C165" s="645"/>
      <c r="D165" s="451" t="s">
        <v>213</v>
      </c>
      <c r="E165" s="423"/>
      <c r="F165" s="418">
        <v>10</v>
      </c>
      <c r="G165" s="425">
        <v>1.9</v>
      </c>
      <c r="H165" s="649">
        <f t="shared" ref="H165:H166" si="48">IF(F165&lt;=30,(1.07*F165+2.68)*G165,((1.07*30+2.68)+1.07*(F165-30))*G165)</f>
        <v>25.422000000000001</v>
      </c>
      <c r="I165" s="420"/>
      <c r="J165" s="420"/>
      <c r="K165" s="421">
        <f t="shared" si="26"/>
        <v>0</v>
      </c>
      <c r="L165" s="647" t="s">
        <v>614</v>
      </c>
      <c r="M165" s="669"/>
      <c r="N165" s="576">
        <f t="shared" si="35"/>
        <v>0</v>
      </c>
      <c r="O165" s="577">
        <f t="shared" si="41"/>
        <v>0</v>
      </c>
      <c r="P165" s="578">
        <f t="shared" si="42"/>
        <v>0</v>
      </c>
      <c r="Q165" s="765"/>
      <c r="R165" s="669"/>
      <c r="S165" s="670"/>
      <c r="T165" s="577">
        <f t="shared" si="44"/>
        <v>0</v>
      </c>
      <c r="U165" s="578">
        <f t="shared" si="45"/>
        <v>0</v>
      </c>
      <c r="V165" s="579"/>
      <c r="W165" s="637" t="str">
        <f>IF(U163&gt;0,"xx",IF(P163&gt;0,"xy",""))</f>
        <v/>
      </c>
      <c r="X165" s="586" t="str">
        <f t="shared" si="47"/>
        <v/>
      </c>
      <c r="Y165" s="586" t="str">
        <f t="shared" si="33"/>
        <v/>
      </c>
      <c r="Z165" s="586" t="str">
        <f t="shared" si="39"/>
        <v/>
      </c>
    </row>
    <row r="166" spans="1:26" ht="12" hidden="1" thickBot="1" x14ac:dyDescent="0.25">
      <c r="A166" s="567" t="s">
        <v>168</v>
      </c>
      <c r="B166" s="644" t="s">
        <v>168</v>
      </c>
      <c r="C166" s="645"/>
      <c r="D166" s="451" t="s">
        <v>214</v>
      </c>
      <c r="E166" s="423"/>
      <c r="F166" s="418">
        <v>5</v>
      </c>
      <c r="G166" s="425">
        <v>1.845</v>
      </c>
      <c r="H166" s="649">
        <f t="shared" si="48"/>
        <v>14.815350000000002</v>
      </c>
      <c r="I166" s="420"/>
      <c r="J166" s="420"/>
      <c r="K166" s="421">
        <f t="shared" si="26"/>
        <v>0</v>
      </c>
      <c r="L166" s="647" t="s">
        <v>614</v>
      </c>
      <c r="M166" s="669"/>
      <c r="N166" s="576">
        <f t="shared" si="35"/>
        <v>0</v>
      </c>
      <c r="O166" s="577">
        <f t="shared" si="41"/>
        <v>0</v>
      </c>
      <c r="P166" s="578">
        <f t="shared" si="42"/>
        <v>0</v>
      </c>
      <c r="Q166" s="765"/>
      <c r="R166" s="669"/>
      <c r="S166" s="670"/>
      <c r="T166" s="577">
        <f t="shared" si="44"/>
        <v>0</v>
      </c>
      <c r="U166" s="578">
        <f t="shared" si="45"/>
        <v>0</v>
      </c>
      <c r="V166" s="579"/>
      <c r="W166" s="637" t="str">
        <f>IF($U$141&gt;0,"xx",IF($P$141&gt;0,"xy",""))</f>
        <v/>
      </c>
      <c r="X166" s="586" t="str">
        <f t="shared" si="47"/>
        <v/>
      </c>
      <c r="Y166" s="586" t="str">
        <f t="shared" si="33"/>
        <v/>
      </c>
      <c r="Z166" s="586" t="str">
        <f t="shared" si="39"/>
        <v/>
      </c>
    </row>
    <row r="167" spans="1:26" ht="12" hidden="1" thickBot="1" x14ac:dyDescent="0.25">
      <c r="A167" s="567">
        <v>544100</v>
      </c>
      <c r="B167" s="644">
        <v>544100</v>
      </c>
      <c r="C167" s="645" t="s">
        <v>206</v>
      </c>
      <c r="D167" s="422" t="s">
        <v>1908</v>
      </c>
      <c r="E167" s="423"/>
      <c r="F167" s="418"/>
      <c r="G167" s="425"/>
      <c r="H167" s="667">
        <f>SUM(H168:H170)</f>
        <v>67.283590000000004</v>
      </c>
      <c r="I167" s="420">
        <v>74.149999999999991</v>
      </c>
      <c r="J167" s="420">
        <f>IF(ISBLANK(I167),"",SUM(H167:I167))</f>
        <v>141.43358999999998</v>
      </c>
      <c r="K167" s="421">
        <f t="shared" si="26"/>
        <v>168.04</v>
      </c>
      <c r="L167" s="647" t="s">
        <v>16</v>
      </c>
      <c r="M167" s="576"/>
      <c r="N167" s="576">
        <f t="shared" si="35"/>
        <v>0</v>
      </c>
      <c r="O167" s="577">
        <f t="shared" si="41"/>
        <v>0</v>
      </c>
      <c r="P167" s="578">
        <f t="shared" si="42"/>
        <v>0</v>
      </c>
      <c r="Q167" s="765"/>
      <c r="R167" s="576">
        <f t="shared" si="43"/>
        <v>0</v>
      </c>
      <c r="S167" s="576">
        <f t="shared" si="43"/>
        <v>0</v>
      </c>
      <c r="T167" s="577">
        <f t="shared" si="44"/>
        <v>0</v>
      </c>
      <c r="U167" s="578">
        <f t="shared" si="45"/>
        <v>0</v>
      </c>
      <c r="V167" s="579"/>
      <c r="W167" s="566"/>
      <c r="X167" s="586" t="str">
        <f t="shared" si="47"/>
        <v/>
      </c>
      <c r="Y167" s="586" t="str">
        <f t="shared" si="33"/>
        <v/>
      </c>
      <c r="Z167" s="586" t="str">
        <f t="shared" si="39"/>
        <v/>
      </c>
    </row>
    <row r="168" spans="1:26" ht="12" hidden="1" thickBot="1" x14ac:dyDescent="0.25">
      <c r="A168" s="567" t="s">
        <v>168</v>
      </c>
      <c r="B168" s="644" t="s">
        <v>168</v>
      </c>
      <c r="C168" s="645"/>
      <c r="D168" s="451" t="s">
        <v>212</v>
      </c>
      <c r="E168" s="423"/>
      <c r="F168" s="424">
        <v>500</v>
      </c>
      <c r="G168" s="425">
        <v>7.0999999999999994E-2</v>
      </c>
      <c r="H168" s="649">
        <f>IF(F168&lt;=30,(0.78*F168+7.82)*G168,((0.78*30+7.82)+0.78*(F168-30))*G168)</f>
        <v>28.24522</v>
      </c>
      <c r="I168" s="420"/>
      <c r="J168" s="420"/>
      <c r="K168" s="421">
        <f t="shared" si="26"/>
        <v>0</v>
      </c>
      <c r="L168" s="647" t="s">
        <v>614</v>
      </c>
      <c r="M168" s="669"/>
      <c r="N168" s="576">
        <f t="shared" si="35"/>
        <v>0</v>
      </c>
      <c r="O168" s="577">
        <f t="shared" si="41"/>
        <v>0</v>
      </c>
      <c r="P168" s="578">
        <f t="shared" si="42"/>
        <v>0</v>
      </c>
      <c r="Q168" s="765"/>
      <c r="R168" s="669"/>
      <c r="S168" s="670"/>
      <c r="T168" s="577">
        <f t="shared" si="44"/>
        <v>0</v>
      </c>
      <c r="U168" s="578">
        <f t="shared" si="45"/>
        <v>0</v>
      </c>
      <c r="V168" s="579"/>
      <c r="W168" s="637" t="str">
        <f>IF(U167&gt;0,"xx",IF(P167&gt;0,"xy",""))</f>
        <v/>
      </c>
      <c r="X168" s="586" t="str">
        <f t="shared" si="47"/>
        <v/>
      </c>
      <c r="Y168" s="586" t="str">
        <f t="shared" si="33"/>
        <v/>
      </c>
      <c r="Z168" s="586" t="str">
        <f t="shared" si="39"/>
        <v/>
      </c>
    </row>
    <row r="169" spans="1:26" ht="12" hidden="1" thickBot="1" x14ac:dyDescent="0.25">
      <c r="A169" s="567" t="s">
        <v>168</v>
      </c>
      <c r="B169" s="644" t="s">
        <v>168</v>
      </c>
      <c r="C169" s="645"/>
      <c r="D169" s="451" t="s">
        <v>213</v>
      </c>
      <c r="E169" s="423"/>
      <c r="F169" s="418">
        <v>10</v>
      </c>
      <c r="G169" s="425">
        <v>1.85</v>
      </c>
      <c r="H169" s="649">
        <f t="shared" ref="H169:H170" si="49">IF(F169&lt;=30,(1.07*F169+2.68)*G169,((1.07*30+2.68)+1.07*(F169-30))*G169)</f>
        <v>24.753000000000004</v>
      </c>
      <c r="I169" s="420"/>
      <c r="J169" s="420"/>
      <c r="K169" s="421">
        <f t="shared" si="26"/>
        <v>0</v>
      </c>
      <c r="L169" s="647" t="s">
        <v>614</v>
      </c>
      <c r="M169" s="669"/>
      <c r="N169" s="576">
        <f t="shared" si="35"/>
        <v>0</v>
      </c>
      <c r="O169" s="577">
        <f t="shared" si="41"/>
        <v>0</v>
      </c>
      <c r="P169" s="578">
        <f t="shared" si="42"/>
        <v>0</v>
      </c>
      <c r="Q169" s="765"/>
      <c r="R169" s="669"/>
      <c r="S169" s="670"/>
      <c r="T169" s="577">
        <f t="shared" si="44"/>
        <v>0</v>
      </c>
      <c r="U169" s="578">
        <f t="shared" si="45"/>
        <v>0</v>
      </c>
      <c r="V169" s="579"/>
      <c r="W169" s="637" t="str">
        <f>IF(U167&gt;0,"xx",IF(P167&gt;0,"xy",""))</f>
        <v/>
      </c>
      <c r="X169" s="586" t="str">
        <f t="shared" si="47"/>
        <v/>
      </c>
      <c r="Y169" s="586" t="str">
        <f t="shared" si="33"/>
        <v/>
      </c>
      <c r="Z169" s="586" t="str">
        <f t="shared" si="39"/>
        <v/>
      </c>
    </row>
    <row r="170" spans="1:26" ht="12" hidden="1" thickBot="1" x14ac:dyDescent="0.25">
      <c r="A170" s="567" t="s">
        <v>168</v>
      </c>
      <c r="B170" s="644" t="s">
        <v>168</v>
      </c>
      <c r="C170" s="645"/>
      <c r="D170" s="451" t="s">
        <v>214</v>
      </c>
      <c r="E170" s="423"/>
      <c r="F170" s="418">
        <v>5</v>
      </c>
      <c r="G170" s="425">
        <v>1.7789999999999999</v>
      </c>
      <c r="H170" s="649">
        <f t="shared" si="49"/>
        <v>14.285370000000002</v>
      </c>
      <c r="I170" s="420"/>
      <c r="J170" s="420"/>
      <c r="K170" s="421">
        <f t="shared" si="26"/>
        <v>0</v>
      </c>
      <c r="L170" s="647" t="s">
        <v>614</v>
      </c>
      <c r="M170" s="669"/>
      <c r="N170" s="576">
        <f t="shared" si="35"/>
        <v>0</v>
      </c>
      <c r="O170" s="577">
        <f t="shared" si="41"/>
        <v>0</v>
      </c>
      <c r="P170" s="578">
        <f t="shared" si="42"/>
        <v>0</v>
      </c>
      <c r="Q170" s="765"/>
      <c r="R170" s="669"/>
      <c r="S170" s="670"/>
      <c r="T170" s="577">
        <f t="shared" si="44"/>
        <v>0</v>
      </c>
      <c r="U170" s="578">
        <f t="shared" si="45"/>
        <v>0</v>
      </c>
      <c r="V170" s="579"/>
      <c r="W170" s="637" t="str">
        <f>IF($U$141&gt;0,"xx",IF($P$141&gt;0,"xy",""))</f>
        <v/>
      </c>
      <c r="X170" s="586" t="str">
        <f t="shared" si="47"/>
        <v/>
      </c>
      <c r="Y170" s="586" t="str">
        <f t="shared" si="33"/>
        <v/>
      </c>
      <c r="Z170" s="586" t="str">
        <f t="shared" si="39"/>
        <v/>
      </c>
    </row>
    <row r="171" spans="1:26" ht="12" hidden="1" thickBot="1" x14ac:dyDescent="0.25">
      <c r="A171" s="567">
        <v>545100</v>
      </c>
      <c r="B171" s="644">
        <v>545100</v>
      </c>
      <c r="C171" s="645" t="s">
        <v>206</v>
      </c>
      <c r="D171" s="422" t="s">
        <v>1909</v>
      </c>
      <c r="E171" s="423"/>
      <c r="F171" s="418"/>
      <c r="G171" s="425"/>
      <c r="H171" s="667">
        <f>SUM(H172:H174)</f>
        <v>73.910020000000003</v>
      </c>
      <c r="I171" s="420">
        <v>83.97999999999999</v>
      </c>
      <c r="J171" s="420">
        <f>IF(ISBLANK(I171),"",SUM(H171:I171))</f>
        <v>157.89001999999999</v>
      </c>
      <c r="K171" s="421">
        <f t="shared" si="26"/>
        <v>187.59</v>
      </c>
      <c r="L171" s="647" t="s">
        <v>16</v>
      </c>
      <c r="M171" s="576"/>
      <c r="N171" s="576">
        <f t="shared" si="35"/>
        <v>0</v>
      </c>
      <c r="O171" s="577">
        <f t="shared" si="41"/>
        <v>0</v>
      </c>
      <c r="P171" s="578">
        <f t="shared" si="42"/>
        <v>0</v>
      </c>
      <c r="Q171" s="765"/>
      <c r="R171" s="576">
        <f t="shared" si="43"/>
        <v>0</v>
      </c>
      <c r="S171" s="576">
        <f t="shared" si="43"/>
        <v>0</v>
      </c>
      <c r="T171" s="577">
        <f t="shared" si="44"/>
        <v>0</v>
      </c>
      <c r="U171" s="578">
        <f t="shared" si="45"/>
        <v>0</v>
      </c>
      <c r="V171" s="579"/>
      <c r="W171" s="566"/>
      <c r="X171" s="586" t="str">
        <f t="shared" si="47"/>
        <v/>
      </c>
      <c r="Y171" s="586" t="str">
        <f t="shared" si="33"/>
        <v/>
      </c>
      <c r="Z171" s="586" t="str">
        <f t="shared" si="39"/>
        <v/>
      </c>
    </row>
    <row r="172" spans="1:26" ht="12" hidden="1" thickBot="1" x14ac:dyDescent="0.25">
      <c r="A172" s="567" t="s">
        <v>168</v>
      </c>
      <c r="B172" s="644" t="s">
        <v>168</v>
      </c>
      <c r="C172" s="645"/>
      <c r="D172" s="451" t="s">
        <v>212</v>
      </c>
      <c r="E172" s="423"/>
      <c r="F172" s="424">
        <v>500</v>
      </c>
      <c r="G172" s="425">
        <v>8.7999999999999995E-2</v>
      </c>
      <c r="H172" s="649">
        <f>IF(F172&lt;=30,(0.78*F172+7.82)*G172,((0.78*30+7.82)+0.78*(F172-30))*G172)</f>
        <v>35.008160000000004</v>
      </c>
      <c r="I172" s="420">
        <v>0</v>
      </c>
      <c r="J172" s="420"/>
      <c r="K172" s="421">
        <f t="shared" si="26"/>
        <v>0</v>
      </c>
      <c r="L172" s="647" t="s">
        <v>614</v>
      </c>
      <c r="M172" s="669"/>
      <c r="N172" s="576">
        <f t="shared" si="35"/>
        <v>0</v>
      </c>
      <c r="O172" s="577">
        <f t="shared" si="41"/>
        <v>0</v>
      </c>
      <c r="P172" s="578">
        <f t="shared" si="42"/>
        <v>0</v>
      </c>
      <c r="Q172" s="765"/>
      <c r="R172" s="669"/>
      <c r="S172" s="670"/>
      <c r="T172" s="577">
        <f t="shared" si="44"/>
        <v>0</v>
      </c>
      <c r="U172" s="578">
        <f t="shared" si="45"/>
        <v>0</v>
      </c>
      <c r="V172" s="579"/>
      <c r="W172" s="637" t="str">
        <f>IF(U171&gt;0,"xx",IF(P171&gt;0,"xy",""))</f>
        <v/>
      </c>
      <c r="X172" s="586" t="str">
        <f t="shared" si="47"/>
        <v/>
      </c>
      <c r="Y172" s="586" t="str">
        <f t="shared" si="33"/>
        <v/>
      </c>
      <c r="Z172" s="586" t="str">
        <f t="shared" si="39"/>
        <v/>
      </c>
    </row>
    <row r="173" spans="1:26" ht="12" hidden="1" thickBot="1" x14ac:dyDescent="0.25">
      <c r="A173" s="567" t="s">
        <v>168</v>
      </c>
      <c r="B173" s="644" t="s">
        <v>168</v>
      </c>
      <c r="C173" s="645"/>
      <c r="D173" s="451" t="s">
        <v>213</v>
      </c>
      <c r="E173" s="423"/>
      <c r="F173" s="418">
        <v>10</v>
      </c>
      <c r="G173" s="425">
        <v>1.85</v>
      </c>
      <c r="H173" s="649">
        <f t="shared" ref="H173:H174" si="50">IF(F173&lt;=30,(1.07*F173+2.68)*G173,((1.07*30+2.68)+1.07*(F173-30))*G173)</f>
        <v>24.753000000000004</v>
      </c>
      <c r="I173" s="420">
        <v>0</v>
      </c>
      <c r="J173" s="420"/>
      <c r="K173" s="421">
        <f t="shared" si="26"/>
        <v>0</v>
      </c>
      <c r="L173" s="647" t="s">
        <v>614</v>
      </c>
      <c r="M173" s="669"/>
      <c r="N173" s="576">
        <f t="shared" si="35"/>
        <v>0</v>
      </c>
      <c r="O173" s="577">
        <f t="shared" si="41"/>
        <v>0</v>
      </c>
      <c r="P173" s="578">
        <f t="shared" si="42"/>
        <v>0</v>
      </c>
      <c r="Q173" s="765"/>
      <c r="R173" s="669"/>
      <c r="S173" s="670"/>
      <c r="T173" s="577">
        <f t="shared" si="44"/>
        <v>0</v>
      </c>
      <c r="U173" s="578">
        <f t="shared" si="45"/>
        <v>0</v>
      </c>
      <c r="V173" s="579"/>
      <c r="W173" s="637" t="str">
        <f>IF(U171&gt;0,"xx",IF(P171&gt;0,"xy",""))</f>
        <v/>
      </c>
      <c r="X173" s="586" t="str">
        <f t="shared" si="47"/>
        <v/>
      </c>
      <c r="Y173" s="586" t="str">
        <f t="shared" si="33"/>
        <v/>
      </c>
      <c r="Z173" s="586" t="str">
        <f t="shared" si="39"/>
        <v/>
      </c>
    </row>
    <row r="174" spans="1:26" ht="12" hidden="1" thickBot="1" x14ac:dyDescent="0.25">
      <c r="A174" s="567" t="s">
        <v>168</v>
      </c>
      <c r="B174" s="644" t="s">
        <v>168</v>
      </c>
      <c r="C174" s="645"/>
      <c r="D174" s="451" t="s">
        <v>214</v>
      </c>
      <c r="E174" s="423"/>
      <c r="F174" s="418">
        <v>5</v>
      </c>
      <c r="G174" s="425">
        <v>1.762</v>
      </c>
      <c r="H174" s="649">
        <f t="shared" si="50"/>
        <v>14.148860000000003</v>
      </c>
      <c r="I174" s="420">
        <v>0</v>
      </c>
      <c r="J174" s="420"/>
      <c r="K174" s="421">
        <f t="shared" si="26"/>
        <v>0</v>
      </c>
      <c r="L174" s="647" t="s">
        <v>614</v>
      </c>
      <c r="M174" s="669"/>
      <c r="N174" s="576">
        <f t="shared" si="35"/>
        <v>0</v>
      </c>
      <c r="O174" s="577">
        <f t="shared" si="41"/>
        <v>0</v>
      </c>
      <c r="P174" s="578">
        <f t="shared" si="42"/>
        <v>0</v>
      </c>
      <c r="Q174" s="765"/>
      <c r="R174" s="669"/>
      <c r="S174" s="670"/>
      <c r="T174" s="577">
        <f t="shared" si="44"/>
        <v>0</v>
      </c>
      <c r="U174" s="578">
        <f t="shared" si="45"/>
        <v>0</v>
      </c>
      <c r="V174" s="579"/>
      <c r="W174" s="637" t="str">
        <f>IF($U$141&gt;0,"xx",IF($P$141&gt;0,"xy",""))</f>
        <v/>
      </c>
      <c r="X174" s="586" t="str">
        <f t="shared" si="47"/>
        <v/>
      </c>
      <c r="Y174" s="586" t="str">
        <f t="shared" si="33"/>
        <v/>
      </c>
      <c r="Z174" s="586" t="str">
        <f t="shared" si="39"/>
        <v/>
      </c>
    </row>
    <row r="175" spans="1:26" ht="12" hidden="1" thickBot="1" x14ac:dyDescent="0.25">
      <c r="A175" s="567">
        <v>546100</v>
      </c>
      <c r="B175" s="644">
        <v>546100</v>
      </c>
      <c r="C175" s="645" t="s">
        <v>206</v>
      </c>
      <c r="D175" s="422" t="s">
        <v>1910</v>
      </c>
      <c r="E175" s="423"/>
      <c r="F175" s="418"/>
      <c r="G175" s="425"/>
      <c r="H175" s="667">
        <f>SUM(H176:H178)</f>
        <v>80.536450000000002</v>
      </c>
      <c r="I175" s="420">
        <v>93.79</v>
      </c>
      <c r="J175" s="420">
        <f>IF(ISBLANK(I175),"",SUM(H175:I175))</f>
        <v>174.32645000000002</v>
      </c>
      <c r="K175" s="421">
        <f t="shared" si="26"/>
        <v>207.12</v>
      </c>
      <c r="L175" s="647" t="s">
        <v>16</v>
      </c>
      <c r="M175" s="576"/>
      <c r="N175" s="576">
        <f t="shared" si="35"/>
        <v>0</v>
      </c>
      <c r="O175" s="577">
        <f t="shared" si="41"/>
        <v>0</v>
      </c>
      <c r="P175" s="578">
        <f t="shared" si="42"/>
        <v>0</v>
      </c>
      <c r="Q175" s="765"/>
      <c r="R175" s="576">
        <f t="shared" si="43"/>
        <v>0</v>
      </c>
      <c r="S175" s="576">
        <f t="shared" si="43"/>
        <v>0</v>
      </c>
      <c r="T175" s="577">
        <f t="shared" si="44"/>
        <v>0</v>
      </c>
      <c r="U175" s="578">
        <f t="shared" si="45"/>
        <v>0</v>
      </c>
      <c r="V175" s="579"/>
      <c r="W175" s="566"/>
      <c r="X175" s="586" t="str">
        <f t="shared" si="47"/>
        <v/>
      </c>
      <c r="Y175" s="586" t="str">
        <f t="shared" si="33"/>
        <v/>
      </c>
      <c r="Z175" s="586" t="str">
        <f t="shared" si="39"/>
        <v/>
      </c>
    </row>
    <row r="176" spans="1:26" ht="12" hidden="1" thickBot="1" x14ac:dyDescent="0.25">
      <c r="A176" s="567" t="s">
        <v>168</v>
      </c>
      <c r="B176" s="644" t="s">
        <v>168</v>
      </c>
      <c r="C176" s="645"/>
      <c r="D176" s="451" t="s">
        <v>212</v>
      </c>
      <c r="E176" s="423"/>
      <c r="F176" s="424">
        <v>500</v>
      </c>
      <c r="G176" s="425">
        <v>0.105</v>
      </c>
      <c r="H176" s="649">
        <f>IF(F176&lt;=30,(0.78*F176+7.82)*G176,((0.78*30+7.82)+0.78*(F176-30))*G176)</f>
        <v>41.771100000000004</v>
      </c>
      <c r="I176" s="420">
        <v>0</v>
      </c>
      <c r="J176" s="420"/>
      <c r="K176" s="421">
        <f t="shared" si="26"/>
        <v>0</v>
      </c>
      <c r="L176" s="647" t="s">
        <v>614</v>
      </c>
      <c r="M176" s="669"/>
      <c r="N176" s="576">
        <f t="shared" si="35"/>
        <v>0</v>
      </c>
      <c r="O176" s="577">
        <f t="shared" si="41"/>
        <v>0</v>
      </c>
      <c r="P176" s="578">
        <f t="shared" si="42"/>
        <v>0</v>
      </c>
      <c r="Q176" s="765"/>
      <c r="R176" s="669"/>
      <c r="S176" s="670"/>
      <c r="T176" s="577">
        <f t="shared" si="44"/>
        <v>0</v>
      </c>
      <c r="U176" s="578">
        <f t="shared" si="45"/>
        <v>0</v>
      </c>
      <c r="V176" s="579"/>
      <c r="W176" s="637" t="str">
        <f>IF(U175&gt;0,"xx",IF(P175&gt;0,"xy",""))</f>
        <v/>
      </c>
      <c r="X176" s="586" t="str">
        <f t="shared" si="47"/>
        <v/>
      </c>
      <c r="Y176" s="586" t="str">
        <f t="shared" si="33"/>
        <v/>
      </c>
      <c r="Z176" s="586" t="str">
        <f t="shared" si="39"/>
        <v/>
      </c>
    </row>
    <row r="177" spans="1:26" ht="12" hidden="1" thickBot="1" x14ac:dyDescent="0.25">
      <c r="A177" s="567" t="s">
        <v>168</v>
      </c>
      <c r="B177" s="644" t="s">
        <v>168</v>
      </c>
      <c r="C177" s="645"/>
      <c r="D177" s="451" t="s">
        <v>213</v>
      </c>
      <c r="E177" s="423"/>
      <c r="F177" s="418">
        <v>10</v>
      </c>
      <c r="G177" s="425">
        <v>1.85</v>
      </c>
      <c r="H177" s="649">
        <f t="shared" ref="H177:H178" si="51">IF(F177&lt;=30,(1.07*F177+2.68)*G177,((1.07*30+2.68)+1.07*(F177-30))*G177)</f>
        <v>24.753000000000004</v>
      </c>
      <c r="I177" s="420">
        <v>0</v>
      </c>
      <c r="J177" s="420"/>
      <c r="K177" s="421">
        <f t="shared" si="26"/>
        <v>0</v>
      </c>
      <c r="L177" s="647" t="s">
        <v>614</v>
      </c>
      <c r="M177" s="669"/>
      <c r="N177" s="576">
        <f t="shared" si="35"/>
        <v>0</v>
      </c>
      <c r="O177" s="577">
        <f t="shared" si="41"/>
        <v>0</v>
      </c>
      <c r="P177" s="578">
        <f t="shared" si="42"/>
        <v>0</v>
      </c>
      <c r="Q177" s="765"/>
      <c r="R177" s="669"/>
      <c r="S177" s="670"/>
      <c r="T177" s="577">
        <f t="shared" si="44"/>
        <v>0</v>
      </c>
      <c r="U177" s="578">
        <f t="shared" si="45"/>
        <v>0</v>
      </c>
      <c r="V177" s="579"/>
      <c r="W177" s="637" t="str">
        <f>IF(U175&gt;0,"xx",IF(P175&gt;0,"xy",""))</f>
        <v/>
      </c>
      <c r="X177" s="586" t="str">
        <f t="shared" si="47"/>
        <v/>
      </c>
      <c r="Y177" s="586" t="str">
        <f t="shared" si="33"/>
        <v/>
      </c>
      <c r="Z177" s="586" t="str">
        <f t="shared" si="39"/>
        <v/>
      </c>
    </row>
    <row r="178" spans="1:26" ht="12" hidden="1" thickBot="1" x14ac:dyDescent="0.25">
      <c r="A178" s="567" t="s">
        <v>168</v>
      </c>
      <c r="B178" s="644" t="s">
        <v>168</v>
      </c>
      <c r="C178" s="645"/>
      <c r="D178" s="451" t="s">
        <v>214</v>
      </c>
      <c r="E178" s="423"/>
      <c r="F178" s="418">
        <v>5</v>
      </c>
      <c r="G178" s="425">
        <v>1.7450000000000001</v>
      </c>
      <c r="H178" s="649">
        <f t="shared" si="51"/>
        <v>14.012350000000003</v>
      </c>
      <c r="I178" s="420">
        <v>0</v>
      </c>
      <c r="J178" s="420"/>
      <c r="K178" s="421">
        <f t="shared" si="26"/>
        <v>0</v>
      </c>
      <c r="L178" s="647" t="s">
        <v>614</v>
      </c>
      <c r="M178" s="669"/>
      <c r="N178" s="576">
        <f t="shared" si="35"/>
        <v>0</v>
      </c>
      <c r="O178" s="577">
        <f t="shared" si="41"/>
        <v>0</v>
      </c>
      <c r="P178" s="578">
        <f t="shared" si="42"/>
        <v>0</v>
      </c>
      <c r="Q178" s="765"/>
      <c r="R178" s="669"/>
      <c r="S178" s="670"/>
      <c r="T178" s="577">
        <f t="shared" si="44"/>
        <v>0</v>
      </c>
      <c r="U178" s="578">
        <f t="shared" si="45"/>
        <v>0</v>
      </c>
      <c r="V178" s="579"/>
      <c r="W178" s="637" t="str">
        <f>IF($U$141&gt;0,"xx",IF($P$141&gt;0,"xy",""))</f>
        <v/>
      </c>
      <c r="X178" s="586" t="str">
        <f t="shared" si="47"/>
        <v/>
      </c>
      <c r="Y178" s="586" t="str">
        <f t="shared" si="33"/>
        <v/>
      </c>
      <c r="Z178" s="586" t="str">
        <f t="shared" si="39"/>
        <v/>
      </c>
    </row>
    <row r="179" spans="1:26" ht="12" hidden="1" thickBot="1" x14ac:dyDescent="0.25">
      <c r="A179" s="567">
        <v>547100</v>
      </c>
      <c r="B179" s="644">
        <v>547100</v>
      </c>
      <c r="C179" s="645" t="s">
        <v>206</v>
      </c>
      <c r="D179" s="422" t="s">
        <v>1911</v>
      </c>
      <c r="E179" s="423"/>
      <c r="F179" s="418"/>
      <c r="G179" s="425"/>
      <c r="H179" s="667">
        <f>SUM(H180:H182)</f>
        <v>86.765060000000005</v>
      </c>
      <c r="I179" s="420">
        <v>103.03999999999999</v>
      </c>
      <c r="J179" s="420">
        <f>IF(ISBLANK(I179),"",SUM(H179:I179))</f>
        <v>189.80506</v>
      </c>
      <c r="K179" s="421">
        <f t="shared" si="26"/>
        <v>225.51</v>
      </c>
      <c r="L179" s="647" t="s">
        <v>16</v>
      </c>
      <c r="M179" s="576"/>
      <c r="N179" s="576">
        <f t="shared" si="35"/>
        <v>0</v>
      </c>
      <c r="O179" s="577">
        <f t="shared" si="41"/>
        <v>0</v>
      </c>
      <c r="P179" s="578">
        <f t="shared" si="42"/>
        <v>0</v>
      </c>
      <c r="Q179" s="765"/>
      <c r="R179" s="576">
        <f t="shared" si="43"/>
        <v>0</v>
      </c>
      <c r="S179" s="576">
        <f t="shared" si="43"/>
        <v>0</v>
      </c>
      <c r="T179" s="577">
        <f t="shared" si="44"/>
        <v>0</v>
      </c>
      <c r="U179" s="578">
        <f t="shared" si="45"/>
        <v>0</v>
      </c>
      <c r="V179" s="579"/>
      <c r="W179" s="566"/>
      <c r="X179" s="586" t="str">
        <f t="shared" si="47"/>
        <v/>
      </c>
      <c r="Y179" s="586" t="str">
        <f t="shared" si="33"/>
        <v/>
      </c>
      <c r="Z179" s="586" t="str">
        <f t="shared" si="39"/>
        <v/>
      </c>
    </row>
    <row r="180" spans="1:26" ht="12" hidden="1" thickBot="1" x14ac:dyDescent="0.25">
      <c r="A180" s="567" t="s">
        <v>168</v>
      </c>
      <c r="B180" s="644" t="s">
        <v>168</v>
      </c>
      <c r="C180" s="645"/>
      <c r="D180" s="451" t="s">
        <v>212</v>
      </c>
      <c r="E180" s="423"/>
      <c r="F180" s="424">
        <v>500</v>
      </c>
      <c r="G180" s="425">
        <v>0.121</v>
      </c>
      <c r="H180" s="649">
        <f>IF(F180&lt;=30,(0.78*F180+7.82)*G180,((0.78*30+7.82)+0.78*(F180-30))*G180)</f>
        <v>48.136220000000002</v>
      </c>
      <c r="I180" s="420">
        <v>0</v>
      </c>
      <c r="J180" s="420"/>
      <c r="K180" s="421">
        <f t="shared" si="26"/>
        <v>0</v>
      </c>
      <c r="L180" s="647" t="s">
        <v>614</v>
      </c>
      <c r="M180" s="669"/>
      <c r="N180" s="576">
        <f t="shared" si="35"/>
        <v>0</v>
      </c>
      <c r="O180" s="577">
        <f t="shared" si="41"/>
        <v>0</v>
      </c>
      <c r="P180" s="578">
        <f t="shared" si="42"/>
        <v>0</v>
      </c>
      <c r="Q180" s="765"/>
      <c r="R180" s="669"/>
      <c r="S180" s="670"/>
      <c r="T180" s="577">
        <f t="shared" si="44"/>
        <v>0</v>
      </c>
      <c r="U180" s="578">
        <f t="shared" si="45"/>
        <v>0</v>
      </c>
      <c r="V180" s="579"/>
      <c r="W180" s="637" t="str">
        <f>IF(U179&gt;0,"xx",IF(P179&gt;0,"xy",""))</f>
        <v/>
      </c>
      <c r="X180" s="586" t="str">
        <f t="shared" si="47"/>
        <v/>
      </c>
      <c r="Y180" s="586" t="str">
        <f t="shared" si="33"/>
        <v/>
      </c>
      <c r="Z180" s="586" t="str">
        <f t="shared" si="39"/>
        <v/>
      </c>
    </row>
    <row r="181" spans="1:26" ht="12" hidden="1" thickBot="1" x14ac:dyDescent="0.25">
      <c r="A181" s="567" t="s">
        <v>168</v>
      </c>
      <c r="B181" s="644" t="s">
        <v>168</v>
      </c>
      <c r="C181" s="645"/>
      <c r="D181" s="451" t="s">
        <v>213</v>
      </c>
      <c r="E181" s="423"/>
      <c r="F181" s="418">
        <v>10</v>
      </c>
      <c r="G181" s="425">
        <v>1.85</v>
      </c>
      <c r="H181" s="649">
        <f t="shared" ref="H181:H188" si="52">IF(F181&lt;=30,(1.07*F181+2.68)*G181,((1.07*30+2.68)+1.07*(F181-30))*G181)</f>
        <v>24.753000000000004</v>
      </c>
      <c r="I181" s="420">
        <v>0</v>
      </c>
      <c r="J181" s="420"/>
      <c r="K181" s="421">
        <f t="shared" ref="K181:K200" si="53">IF(ISBLANK(I181),0,ROUND(J181*(1+$F$10)*(1+$F$11*E181),2))</f>
        <v>0</v>
      </c>
      <c r="L181" s="647" t="s">
        <v>614</v>
      </c>
      <c r="M181" s="669"/>
      <c r="N181" s="576">
        <f t="shared" si="35"/>
        <v>0</v>
      </c>
      <c r="O181" s="577">
        <f t="shared" si="41"/>
        <v>0</v>
      </c>
      <c r="P181" s="578">
        <f t="shared" si="42"/>
        <v>0</v>
      </c>
      <c r="Q181" s="765"/>
      <c r="R181" s="669"/>
      <c r="S181" s="670"/>
      <c r="T181" s="577">
        <f t="shared" si="44"/>
        <v>0</v>
      </c>
      <c r="U181" s="578">
        <f t="shared" si="45"/>
        <v>0</v>
      </c>
      <c r="V181" s="579"/>
      <c r="W181" s="637" t="str">
        <f>IF(U179&gt;0,"xx",IF(P179&gt;0,"xy",""))</f>
        <v/>
      </c>
      <c r="X181" s="586" t="str">
        <f t="shared" si="47"/>
        <v/>
      </c>
      <c r="Y181" s="586" t="str">
        <f t="shared" si="33"/>
        <v/>
      </c>
      <c r="Z181" s="586" t="str">
        <f t="shared" si="39"/>
        <v/>
      </c>
    </row>
    <row r="182" spans="1:26" ht="12" hidden="1" thickBot="1" x14ac:dyDescent="0.25">
      <c r="A182" s="567" t="s">
        <v>168</v>
      </c>
      <c r="B182" s="644" t="s">
        <v>168</v>
      </c>
      <c r="C182" s="645"/>
      <c r="D182" s="451" t="s">
        <v>214</v>
      </c>
      <c r="E182" s="423"/>
      <c r="F182" s="418">
        <v>5</v>
      </c>
      <c r="G182" s="425">
        <v>1.728</v>
      </c>
      <c r="H182" s="649">
        <f t="shared" si="52"/>
        <v>13.875840000000002</v>
      </c>
      <c r="I182" s="420">
        <v>0</v>
      </c>
      <c r="J182" s="420"/>
      <c r="K182" s="421">
        <f t="shared" si="53"/>
        <v>0</v>
      </c>
      <c r="L182" s="647" t="s">
        <v>614</v>
      </c>
      <c r="M182" s="669"/>
      <c r="N182" s="576">
        <f t="shared" si="35"/>
        <v>0</v>
      </c>
      <c r="O182" s="577">
        <f t="shared" si="41"/>
        <v>0</v>
      </c>
      <c r="P182" s="578">
        <f t="shared" si="42"/>
        <v>0</v>
      </c>
      <c r="Q182" s="765"/>
      <c r="R182" s="669"/>
      <c r="S182" s="670"/>
      <c r="T182" s="577">
        <f t="shared" si="44"/>
        <v>0</v>
      </c>
      <c r="U182" s="578">
        <f t="shared" si="45"/>
        <v>0</v>
      </c>
      <c r="V182" s="579"/>
      <c r="W182" s="637" t="str">
        <f>IF($U$141&gt;0,"xx",IF($P$141&gt;0,"xy",""))</f>
        <v/>
      </c>
      <c r="X182" s="586" t="str">
        <f t="shared" si="47"/>
        <v/>
      </c>
      <c r="Y182" s="586" t="str">
        <f t="shared" si="33"/>
        <v/>
      </c>
      <c r="Z182" s="586" t="str">
        <f t="shared" si="39"/>
        <v/>
      </c>
    </row>
    <row r="183" spans="1:26" ht="12" hidden="1" thickBot="1" x14ac:dyDescent="0.25">
      <c r="A183" s="567">
        <v>530200</v>
      </c>
      <c r="B183" s="644" t="s">
        <v>1740</v>
      </c>
      <c r="C183" s="645" t="s">
        <v>206</v>
      </c>
      <c r="D183" s="422" t="s">
        <v>215</v>
      </c>
      <c r="E183" s="423"/>
      <c r="F183" s="418">
        <v>20</v>
      </c>
      <c r="G183" s="419">
        <v>2.2000000000000002</v>
      </c>
      <c r="H183" s="649">
        <f t="shared" si="52"/>
        <v>52.976000000000006</v>
      </c>
      <c r="I183" s="420">
        <v>94.56</v>
      </c>
      <c r="J183" s="420">
        <f>IF(ISBLANK(I183),"",SUM(H183:I183))</f>
        <v>147.536</v>
      </c>
      <c r="K183" s="421">
        <f t="shared" si="53"/>
        <v>175.29</v>
      </c>
      <c r="L183" s="647" t="s">
        <v>16</v>
      </c>
      <c r="M183" s="576"/>
      <c r="N183" s="576">
        <f t="shared" si="35"/>
        <v>0</v>
      </c>
      <c r="O183" s="577">
        <f t="shared" si="41"/>
        <v>0</v>
      </c>
      <c r="P183" s="578">
        <f t="shared" si="42"/>
        <v>0</v>
      </c>
      <c r="Q183" s="765"/>
      <c r="R183" s="576">
        <f t="shared" si="43"/>
        <v>0</v>
      </c>
      <c r="S183" s="576">
        <f t="shared" si="43"/>
        <v>0</v>
      </c>
      <c r="T183" s="577">
        <f t="shared" si="44"/>
        <v>0</v>
      </c>
      <c r="U183" s="578">
        <f t="shared" si="45"/>
        <v>0</v>
      </c>
      <c r="V183" s="579"/>
      <c r="W183" s="566"/>
      <c r="X183" s="586" t="str">
        <f t="shared" si="47"/>
        <v/>
      </c>
      <c r="Y183" s="586" t="str">
        <f t="shared" si="33"/>
        <v/>
      </c>
      <c r="Z183" s="586" t="str">
        <f t="shared" si="39"/>
        <v/>
      </c>
    </row>
    <row r="184" spans="1:26" ht="12" hidden="1" thickBot="1" x14ac:dyDescent="0.25">
      <c r="A184" s="567" t="s">
        <v>2066</v>
      </c>
      <c r="B184" s="644" t="s">
        <v>1569</v>
      </c>
      <c r="C184" s="645" t="s">
        <v>484</v>
      </c>
      <c r="D184" s="422" t="s">
        <v>633</v>
      </c>
      <c r="E184" s="423"/>
      <c r="F184" s="418">
        <v>10</v>
      </c>
      <c r="G184" s="419">
        <v>1.95</v>
      </c>
      <c r="H184" s="649">
        <f t="shared" si="52"/>
        <v>26.091000000000001</v>
      </c>
      <c r="I184" s="420">
        <v>72.11</v>
      </c>
      <c r="J184" s="420">
        <f>IF(ISBLANK(I184),"",SUM(H184:I184))</f>
        <v>98.200999999999993</v>
      </c>
      <c r="K184" s="421">
        <f t="shared" si="53"/>
        <v>116.67</v>
      </c>
      <c r="L184" s="647" t="s">
        <v>16</v>
      </c>
      <c r="M184" s="576"/>
      <c r="N184" s="576">
        <f t="shared" si="35"/>
        <v>0</v>
      </c>
      <c r="O184" s="577">
        <f t="shared" si="41"/>
        <v>0</v>
      </c>
      <c r="P184" s="578">
        <f t="shared" si="42"/>
        <v>0</v>
      </c>
      <c r="Q184" s="765"/>
      <c r="R184" s="576">
        <f t="shared" si="43"/>
        <v>0</v>
      </c>
      <c r="S184" s="576">
        <f t="shared" si="43"/>
        <v>0</v>
      </c>
      <c r="T184" s="577">
        <f t="shared" si="44"/>
        <v>0</v>
      </c>
      <c r="U184" s="578">
        <f t="shared" si="45"/>
        <v>0</v>
      </c>
      <c r="V184" s="579"/>
      <c r="W184" s="566"/>
      <c r="X184" s="586" t="str">
        <f t="shared" si="47"/>
        <v/>
      </c>
      <c r="Y184" s="586" t="str">
        <f t="shared" si="33"/>
        <v/>
      </c>
      <c r="Z184" s="586" t="str">
        <f t="shared" si="39"/>
        <v/>
      </c>
    </row>
    <row r="185" spans="1:26" ht="12" hidden="1" thickBot="1" x14ac:dyDescent="0.25">
      <c r="A185" s="567" t="s">
        <v>2067</v>
      </c>
      <c r="B185" s="644" t="s">
        <v>1570</v>
      </c>
      <c r="C185" s="645" t="s">
        <v>484</v>
      </c>
      <c r="D185" s="422" t="s">
        <v>634</v>
      </c>
      <c r="E185" s="423"/>
      <c r="F185" s="418">
        <v>11</v>
      </c>
      <c r="G185" s="419">
        <v>2.1</v>
      </c>
      <c r="H185" s="649">
        <f t="shared" si="52"/>
        <v>30.345000000000002</v>
      </c>
      <c r="I185" s="420">
        <v>88.65</v>
      </c>
      <c r="J185" s="420">
        <f>IF(ISBLANK(I185),"",SUM(H185:I185))</f>
        <v>118.995</v>
      </c>
      <c r="K185" s="421">
        <f t="shared" si="53"/>
        <v>141.38</v>
      </c>
      <c r="L185" s="647" t="s">
        <v>16</v>
      </c>
      <c r="M185" s="576"/>
      <c r="N185" s="576">
        <f t="shared" si="35"/>
        <v>0</v>
      </c>
      <c r="O185" s="577">
        <f t="shared" si="41"/>
        <v>0</v>
      </c>
      <c r="P185" s="578">
        <f t="shared" si="42"/>
        <v>0</v>
      </c>
      <c r="Q185" s="765"/>
      <c r="R185" s="576">
        <f t="shared" si="43"/>
        <v>0</v>
      </c>
      <c r="S185" s="576">
        <f t="shared" si="43"/>
        <v>0</v>
      </c>
      <c r="T185" s="577">
        <f t="shared" si="44"/>
        <v>0</v>
      </c>
      <c r="U185" s="578">
        <f t="shared" si="45"/>
        <v>0</v>
      </c>
      <c r="V185" s="579"/>
      <c r="W185" s="566"/>
      <c r="X185" s="586" t="str">
        <f t="shared" si="47"/>
        <v/>
      </c>
      <c r="Y185" s="586" t="str">
        <f t="shared" si="33"/>
        <v/>
      </c>
      <c r="Z185" s="586" t="str">
        <f t="shared" si="39"/>
        <v/>
      </c>
    </row>
    <row r="186" spans="1:26" ht="12" hidden="1" thickBot="1" x14ac:dyDescent="0.25">
      <c r="A186" s="567">
        <v>530200</v>
      </c>
      <c r="B186" s="644" t="s">
        <v>1741</v>
      </c>
      <c r="C186" s="645" t="s">
        <v>206</v>
      </c>
      <c r="D186" s="422" t="s">
        <v>483</v>
      </c>
      <c r="E186" s="423"/>
      <c r="F186" s="418">
        <v>20</v>
      </c>
      <c r="G186" s="419">
        <v>2.2000000000000002</v>
      </c>
      <c r="H186" s="649">
        <f t="shared" si="52"/>
        <v>52.976000000000006</v>
      </c>
      <c r="I186" s="420">
        <v>94.56</v>
      </c>
      <c r="J186" s="420">
        <f>IF(ISBLANK(I186),"",SUM(H186:I186))</f>
        <v>147.536</v>
      </c>
      <c r="K186" s="421">
        <f t="shared" si="53"/>
        <v>175.29</v>
      </c>
      <c r="L186" s="647" t="s">
        <v>16</v>
      </c>
      <c r="M186" s="576"/>
      <c r="N186" s="576">
        <f t="shared" si="35"/>
        <v>0</v>
      </c>
      <c r="O186" s="577">
        <f t="shared" si="41"/>
        <v>0</v>
      </c>
      <c r="P186" s="578">
        <f t="shared" si="42"/>
        <v>0</v>
      </c>
      <c r="Q186" s="765"/>
      <c r="R186" s="576">
        <f t="shared" si="43"/>
        <v>0</v>
      </c>
      <c r="S186" s="576">
        <f t="shared" si="43"/>
        <v>0</v>
      </c>
      <c r="T186" s="577">
        <f t="shared" si="44"/>
        <v>0</v>
      </c>
      <c r="U186" s="578">
        <f t="shared" si="45"/>
        <v>0</v>
      </c>
      <c r="V186" s="579"/>
      <c r="W186" s="566"/>
      <c r="X186" s="586" t="str">
        <f t="shared" si="47"/>
        <v/>
      </c>
      <c r="Y186" s="586" t="str">
        <f t="shared" si="33"/>
        <v/>
      </c>
      <c r="Z186" s="586" t="str">
        <f t="shared" si="39"/>
        <v/>
      </c>
    </row>
    <row r="187" spans="1:26" ht="12" hidden="1" thickBot="1" x14ac:dyDescent="0.25">
      <c r="A187" s="567">
        <v>516200</v>
      </c>
      <c r="B187" s="644">
        <v>516200</v>
      </c>
      <c r="C187" s="645" t="s">
        <v>206</v>
      </c>
      <c r="D187" s="422" t="s">
        <v>228</v>
      </c>
      <c r="E187" s="423"/>
      <c r="F187" s="418">
        <v>20</v>
      </c>
      <c r="G187" s="419">
        <v>1.95</v>
      </c>
      <c r="H187" s="649">
        <f t="shared" si="52"/>
        <v>46.956000000000003</v>
      </c>
      <c r="I187" s="420">
        <v>100.78</v>
      </c>
      <c r="J187" s="420">
        <f>IF(ISBLANK(I187),"",SUM(H187:I187))*0.85</f>
        <v>125.57559999999999</v>
      </c>
      <c r="K187" s="421">
        <f t="shared" si="53"/>
        <v>149.19999999999999</v>
      </c>
      <c r="L187" s="647" t="s">
        <v>16</v>
      </c>
      <c r="M187" s="576"/>
      <c r="N187" s="576">
        <f t="shared" si="35"/>
        <v>0</v>
      </c>
      <c r="O187" s="577">
        <f t="shared" si="41"/>
        <v>0</v>
      </c>
      <c r="P187" s="578">
        <f t="shared" si="42"/>
        <v>0</v>
      </c>
      <c r="Q187" s="765"/>
      <c r="R187" s="576">
        <f t="shared" si="43"/>
        <v>0</v>
      </c>
      <c r="S187" s="576">
        <f t="shared" si="43"/>
        <v>0</v>
      </c>
      <c r="T187" s="577">
        <f t="shared" si="44"/>
        <v>0</v>
      </c>
      <c r="U187" s="578">
        <f t="shared" si="45"/>
        <v>0</v>
      </c>
      <c r="V187" s="579"/>
      <c r="W187" s="566"/>
      <c r="X187" s="586" t="str">
        <f t="shared" si="47"/>
        <v/>
      </c>
      <c r="Y187" s="586" t="str">
        <f t="shared" si="33"/>
        <v/>
      </c>
      <c r="Z187" s="586" t="str">
        <f t="shared" si="39"/>
        <v/>
      </c>
    </row>
    <row r="188" spans="1:26" ht="12" hidden="1" thickBot="1" x14ac:dyDescent="0.25">
      <c r="A188" s="567">
        <v>531000</v>
      </c>
      <c r="B188" s="644" t="s">
        <v>1742</v>
      </c>
      <c r="C188" s="645" t="s">
        <v>206</v>
      </c>
      <c r="D188" s="422" t="s">
        <v>216</v>
      </c>
      <c r="E188" s="423"/>
      <c r="F188" s="418">
        <v>20</v>
      </c>
      <c r="G188" s="425">
        <v>2.4</v>
      </c>
      <c r="H188" s="649">
        <f t="shared" si="52"/>
        <v>57.792000000000002</v>
      </c>
      <c r="I188" s="420">
        <v>127.37</v>
      </c>
      <c r="J188" s="420">
        <f>IF(ISBLANK(I188),"",SUM(H188:I188))</f>
        <v>185.16200000000001</v>
      </c>
      <c r="K188" s="421">
        <f t="shared" si="53"/>
        <v>219.99</v>
      </c>
      <c r="L188" s="647" t="s">
        <v>16</v>
      </c>
      <c r="M188" s="576"/>
      <c r="N188" s="576">
        <f t="shared" si="35"/>
        <v>0</v>
      </c>
      <c r="O188" s="577">
        <f t="shared" si="41"/>
        <v>0</v>
      </c>
      <c r="P188" s="578">
        <f t="shared" si="42"/>
        <v>0</v>
      </c>
      <c r="Q188" s="765"/>
      <c r="R188" s="576">
        <f t="shared" si="43"/>
        <v>0</v>
      </c>
      <c r="S188" s="576">
        <f t="shared" si="43"/>
        <v>0</v>
      </c>
      <c r="T188" s="577">
        <f t="shared" si="44"/>
        <v>0</v>
      </c>
      <c r="U188" s="578">
        <f t="shared" si="45"/>
        <v>0</v>
      </c>
      <c r="V188" s="579"/>
      <c r="W188" s="566"/>
      <c r="X188" s="586" t="str">
        <f t="shared" si="47"/>
        <v/>
      </c>
      <c r="Y188" s="586" t="str">
        <f t="shared" si="33"/>
        <v/>
      </c>
      <c r="Z188" s="586" t="str">
        <f t="shared" si="39"/>
        <v/>
      </c>
    </row>
    <row r="189" spans="1:26" ht="12" hidden="1" thickBot="1" x14ac:dyDescent="0.25">
      <c r="A189" s="567">
        <v>531120</v>
      </c>
      <c r="B189" s="644">
        <v>531120</v>
      </c>
      <c r="C189" s="645" t="s">
        <v>206</v>
      </c>
      <c r="D189" s="422" t="s">
        <v>222</v>
      </c>
      <c r="E189" s="423"/>
      <c r="F189" s="418"/>
      <c r="G189" s="425"/>
      <c r="H189" s="667">
        <f>SUM(H190:H192)</f>
        <v>102.41472000000002</v>
      </c>
      <c r="I189" s="420">
        <v>183.97</v>
      </c>
      <c r="J189" s="420">
        <f>IF(ISBLANK(I189),"",SUM(H189:I189))*0.9</f>
        <v>257.74624800000004</v>
      </c>
      <c r="K189" s="421">
        <f t="shared" si="53"/>
        <v>306.23</v>
      </c>
      <c r="L189" s="647" t="s">
        <v>16</v>
      </c>
      <c r="M189" s="576"/>
      <c r="N189" s="576">
        <f t="shared" si="35"/>
        <v>0</v>
      </c>
      <c r="O189" s="577">
        <f t="shared" si="41"/>
        <v>0</v>
      </c>
      <c r="P189" s="578">
        <f t="shared" si="42"/>
        <v>0</v>
      </c>
      <c r="Q189" s="765"/>
      <c r="R189" s="576">
        <f t="shared" si="43"/>
        <v>0</v>
      </c>
      <c r="S189" s="576">
        <f t="shared" si="43"/>
        <v>0</v>
      </c>
      <c r="T189" s="577">
        <f t="shared" si="44"/>
        <v>0</v>
      </c>
      <c r="U189" s="578">
        <f t="shared" si="45"/>
        <v>0</v>
      </c>
      <c r="V189" s="579"/>
      <c r="W189" s="566"/>
      <c r="X189" s="586" t="str">
        <f t="shared" si="47"/>
        <v/>
      </c>
      <c r="Y189" s="586" t="str">
        <f t="shared" si="33"/>
        <v/>
      </c>
      <c r="Z189" s="586" t="str">
        <f t="shared" si="39"/>
        <v/>
      </c>
    </row>
    <row r="190" spans="1:26" ht="12" hidden="1" thickBot="1" x14ac:dyDescent="0.25">
      <c r="A190" s="567" t="s">
        <v>168</v>
      </c>
      <c r="B190" s="644" t="s">
        <v>168</v>
      </c>
      <c r="C190" s="645"/>
      <c r="D190" s="451" t="s">
        <v>212</v>
      </c>
      <c r="E190" s="423"/>
      <c r="F190" s="424">
        <v>500</v>
      </c>
      <c r="G190" s="425">
        <v>9.6000000000000002E-2</v>
      </c>
      <c r="H190" s="649">
        <f>IF(F190&lt;=30,(0.78*F190+7.82)*G190,((0.78*30+7.82)+0.78*(F190-30))*G190)</f>
        <v>38.190720000000006</v>
      </c>
      <c r="I190" s="420">
        <v>0</v>
      </c>
      <c r="J190" s="420"/>
      <c r="K190" s="421">
        <f t="shared" si="53"/>
        <v>0</v>
      </c>
      <c r="L190" s="647" t="s">
        <v>614</v>
      </c>
      <c r="M190" s="669"/>
      <c r="N190" s="576">
        <f t="shared" si="35"/>
        <v>0</v>
      </c>
      <c r="O190" s="577">
        <f t="shared" si="41"/>
        <v>0</v>
      </c>
      <c r="P190" s="578">
        <f t="shared" si="42"/>
        <v>0</v>
      </c>
      <c r="Q190" s="765"/>
      <c r="R190" s="669"/>
      <c r="S190" s="670"/>
      <c r="T190" s="577">
        <f t="shared" si="44"/>
        <v>0</v>
      </c>
      <c r="U190" s="578">
        <f t="shared" si="45"/>
        <v>0</v>
      </c>
      <c r="V190" s="579"/>
      <c r="W190" s="637" t="str">
        <f>IF(U189&gt;0,"xx",IF(P189&gt;0,"xy",""))</f>
        <v/>
      </c>
      <c r="X190" s="586" t="str">
        <f t="shared" si="47"/>
        <v/>
      </c>
      <c r="Y190" s="586" t="str">
        <f t="shared" si="33"/>
        <v/>
      </c>
      <c r="Z190" s="586" t="str">
        <f t="shared" si="39"/>
        <v/>
      </c>
    </row>
    <row r="191" spans="1:26" ht="12" hidden="1" thickBot="1" x14ac:dyDescent="0.25">
      <c r="A191" s="567" t="s">
        <v>168</v>
      </c>
      <c r="B191" s="644" t="s">
        <v>168</v>
      </c>
      <c r="C191" s="645"/>
      <c r="D191" s="451" t="s">
        <v>223</v>
      </c>
      <c r="E191" s="423"/>
      <c r="F191" s="418"/>
      <c r="G191" s="425">
        <v>2.4</v>
      </c>
      <c r="H191" s="649">
        <f t="shared" ref="H191:H200" si="54">IF(F191&lt;=30,(1.07*F191+2.68)*G191,((1.07*30+2.68)+1.07*(F191-30))*G191)</f>
        <v>6.4320000000000004</v>
      </c>
      <c r="I191" s="420">
        <v>0</v>
      </c>
      <c r="J191" s="420"/>
      <c r="K191" s="421">
        <f t="shared" si="53"/>
        <v>0</v>
      </c>
      <c r="L191" s="647" t="s">
        <v>614</v>
      </c>
      <c r="M191" s="669"/>
      <c r="N191" s="576">
        <f t="shared" si="35"/>
        <v>0</v>
      </c>
      <c r="O191" s="577">
        <f t="shared" si="41"/>
        <v>0</v>
      </c>
      <c r="P191" s="578">
        <f t="shared" si="42"/>
        <v>0</v>
      </c>
      <c r="Q191" s="765"/>
      <c r="R191" s="669"/>
      <c r="S191" s="670"/>
      <c r="T191" s="577">
        <f t="shared" si="44"/>
        <v>0</v>
      </c>
      <c r="U191" s="578">
        <f t="shared" si="45"/>
        <v>0</v>
      </c>
      <c r="V191" s="579"/>
      <c r="W191" s="637" t="str">
        <f>IF(U189&gt;0,"xx",IF(P189&gt;0,"xy",""))</f>
        <v/>
      </c>
      <c r="X191" s="586" t="str">
        <f t="shared" si="47"/>
        <v/>
      </c>
      <c r="Y191" s="586" t="str">
        <f t="shared" si="33"/>
        <v/>
      </c>
      <c r="Z191" s="586" t="str">
        <f t="shared" si="39"/>
        <v/>
      </c>
    </row>
    <row r="192" spans="1:26" ht="12" hidden="1" thickBot="1" x14ac:dyDescent="0.25">
      <c r="A192" s="567" t="s">
        <v>168</v>
      </c>
      <c r="B192" s="644" t="s">
        <v>168</v>
      </c>
      <c r="C192" s="645"/>
      <c r="D192" s="451" t="s">
        <v>224</v>
      </c>
      <c r="E192" s="423"/>
      <c r="F192" s="418">
        <v>20</v>
      </c>
      <c r="G192" s="425">
        <v>2.4</v>
      </c>
      <c r="H192" s="649">
        <f t="shared" si="54"/>
        <v>57.792000000000002</v>
      </c>
      <c r="I192" s="420">
        <v>0</v>
      </c>
      <c r="J192" s="420"/>
      <c r="K192" s="421">
        <f t="shared" si="53"/>
        <v>0</v>
      </c>
      <c r="L192" s="647" t="s">
        <v>614</v>
      </c>
      <c r="M192" s="669"/>
      <c r="N192" s="576">
        <f t="shared" si="35"/>
        <v>0</v>
      </c>
      <c r="O192" s="577">
        <f t="shared" si="41"/>
        <v>0</v>
      </c>
      <c r="P192" s="578">
        <f t="shared" si="42"/>
        <v>0</v>
      </c>
      <c r="Q192" s="765"/>
      <c r="R192" s="669"/>
      <c r="S192" s="670"/>
      <c r="T192" s="577">
        <f t="shared" si="44"/>
        <v>0</v>
      </c>
      <c r="U192" s="578">
        <f t="shared" si="45"/>
        <v>0</v>
      </c>
      <c r="V192" s="579"/>
      <c r="W192" s="637" t="str">
        <f>IF($U$141&gt;0,"xx",IF($P$141&gt;0,"xy",""))</f>
        <v/>
      </c>
      <c r="X192" s="586" t="str">
        <f t="shared" si="47"/>
        <v/>
      </c>
      <c r="Y192" s="586" t="str">
        <f t="shared" si="33"/>
        <v/>
      </c>
      <c r="Z192" s="586" t="str">
        <f t="shared" si="39"/>
        <v/>
      </c>
    </row>
    <row r="193" spans="1:26" ht="12" hidden="1" thickBot="1" x14ac:dyDescent="0.25">
      <c r="A193" s="567">
        <v>531350</v>
      </c>
      <c r="B193" s="644">
        <v>531350</v>
      </c>
      <c r="C193" s="645" t="s">
        <v>206</v>
      </c>
      <c r="D193" s="422" t="s">
        <v>217</v>
      </c>
      <c r="E193" s="423"/>
      <c r="F193" s="418"/>
      <c r="G193" s="419"/>
      <c r="H193" s="667">
        <f>SUM(H194:H195)</f>
        <v>48.882400000000004</v>
      </c>
      <c r="I193" s="420">
        <v>103.35</v>
      </c>
      <c r="J193" s="420">
        <f>IF(ISBLANK(I193),"",SUM(H193:I193))</f>
        <v>152.23239999999998</v>
      </c>
      <c r="K193" s="421">
        <f t="shared" si="53"/>
        <v>180.87</v>
      </c>
      <c r="L193" s="647" t="s">
        <v>16</v>
      </c>
      <c r="M193" s="576"/>
      <c r="N193" s="576">
        <f t="shared" si="35"/>
        <v>0</v>
      </c>
      <c r="O193" s="577">
        <f t="shared" si="41"/>
        <v>0</v>
      </c>
      <c r="P193" s="578">
        <f t="shared" si="42"/>
        <v>0</v>
      </c>
      <c r="Q193" s="765"/>
      <c r="R193" s="576">
        <f t="shared" si="43"/>
        <v>0</v>
      </c>
      <c r="S193" s="576">
        <f t="shared" si="43"/>
        <v>0</v>
      </c>
      <c r="T193" s="577">
        <f t="shared" si="44"/>
        <v>0</v>
      </c>
      <c r="U193" s="578">
        <f t="shared" si="45"/>
        <v>0</v>
      </c>
      <c r="V193" s="579"/>
      <c r="W193" s="566"/>
      <c r="X193" s="586" t="str">
        <f t="shared" si="47"/>
        <v/>
      </c>
      <c r="Y193" s="586" t="str">
        <f t="shared" si="33"/>
        <v/>
      </c>
      <c r="Z193" s="586" t="str">
        <f t="shared" si="39"/>
        <v/>
      </c>
    </row>
    <row r="194" spans="1:26" ht="12" hidden="1" thickBot="1" x14ac:dyDescent="0.25">
      <c r="A194" s="567" t="s">
        <v>168</v>
      </c>
      <c r="B194" s="644" t="s">
        <v>168</v>
      </c>
      <c r="C194" s="645"/>
      <c r="D194" s="451" t="s">
        <v>218</v>
      </c>
      <c r="E194" s="423"/>
      <c r="F194" s="418">
        <v>20</v>
      </c>
      <c r="G194" s="419">
        <v>1.35</v>
      </c>
      <c r="H194" s="649">
        <f t="shared" si="54"/>
        <v>32.508000000000003</v>
      </c>
      <c r="I194" s="420">
        <v>0</v>
      </c>
      <c r="J194" s="420"/>
      <c r="K194" s="421">
        <f t="shared" si="53"/>
        <v>0</v>
      </c>
      <c r="L194" s="647" t="s">
        <v>614</v>
      </c>
      <c r="M194" s="669"/>
      <c r="N194" s="576">
        <f t="shared" si="35"/>
        <v>0</v>
      </c>
      <c r="O194" s="577">
        <f t="shared" si="41"/>
        <v>0</v>
      </c>
      <c r="P194" s="578">
        <f t="shared" si="42"/>
        <v>0</v>
      </c>
      <c r="Q194" s="765"/>
      <c r="R194" s="669"/>
      <c r="S194" s="670"/>
      <c r="T194" s="577">
        <f t="shared" si="44"/>
        <v>0</v>
      </c>
      <c r="U194" s="578">
        <f t="shared" si="45"/>
        <v>0</v>
      </c>
      <c r="V194" s="579"/>
      <c r="W194" s="637" t="str">
        <f>IF(U193&gt;0,"xx",IF(P193&gt;0,"xy",""))</f>
        <v/>
      </c>
      <c r="X194" s="586" t="str">
        <f t="shared" si="47"/>
        <v/>
      </c>
      <c r="Y194" s="586" t="str">
        <f t="shared" si="33"/>
        <v/>
      </c>
      <c r="Z194" s="586" t="str">
        <f t="shared" si="39"/>
        <v/>
      </c>
    </row>
    <row r="195" spans="1:26" ht="12" hidden="1" thickBot="1" x14ac:dyDescent="0.25">
      <c r="A195" s="567" t="s">
        <v>168</v>
      </c>
      <c r="B195" s="644" t="s">
        <v>168</v>
      </c>
      <c r="C195" s="645"/>
      <c r="D195" s="451" t="s">
        <v>219</v>
      </c>
      <c r="E195" s="423"/>
      <c r="F195" s="418">
        <v>20</v>
      </c>
      <c r="G195" s="419">
        <v>0.68</v>
      </c>
      <c r="H195" s="649">
        <f t="shared" si="54"/>
        <v>16.374400000000001</v>
      </c>
      <c r="I195" s="420">
        <v>0</v>
      </c>
      <c r="J195" s="420"/>
      <c r="K195" s="421">
        <f t="shared" si="53"/>
        <v>0</v>
      </c>
      <c r="L195" s="647" t="s">
        <v>614</v>
      </c>
      <c r="M195" s="669"/>
      <c r="N195" s="576">
        <f t="shared" si="35"/>
        <v>0</v>
      </c>
      <c r="O195" s="577">
        <f t="shared" si="41"/>
        <v>0</v>
      </c>
      <c r="P195" s="578">
        <f t="shared" si="42"/>
        <v>0</v>
      </c>
      <c r="Q195" s="765"/>
      <c r="R195" s="669"/>
      <c r="S195" s="670"/>
      <c r="T195" s="577">
        <f t="shared" si="44"/>
        <v>0</v>
      </c>
      <c r="U195" s="578">
        <f t="shared" si="45"/>
        <v>0</v>
      </c>
      <c r="V195" s="579"/>
      <c r="W195" s="637" t="str">
        <f>IF(U193&gt;0,"xx",IF(P193&gt;0,"xy",""))</f>
        <v/>
      </c>
      <c r="X195" s="586" t="str">
        <f t="shared" si="47"/>
        <v/>
      </c>
      <c r="Y195" s="586" t="str">
        <f t="shared" si="33"/>
        <v/>
      </c>
      <c r="Z195" s="586" t="str">
        <f t="shared" si="39"/>
        <v/>
      </c>
    </row>
    <row r="196" spans="1:26" ht="12" hidden="1" thickBot="1" x14ac:dyDescent="0.25">
      <c r="A196" s="567">
        <v>531300</v>
      </c>
      <c r="B196" s="644">
        <v>531300</v>
      </c>
      <c r="C196" s="645" t="s">
        <v>206</v>
      </c>
      <c r="D196" s="422" t="s">
        <v>220</v>
      </c>
      <c r="E196" s="423"/>
      <c r="F196" s="418"/>
      <c r="G196" s="419"/>
      <c r="H196" s="667">
        <f>SUM(H197:H198)</f>
        <v>48.882400000000004</v>
      </c>
      <c r="I196" s="420">
        <v>106.52999999999999</v>
      </c>
      <c r="J196" s="420">
        <f>IF(ISBLANK(I196),"",SUM(H196:I196))</f>
        <v>155.41239999999999</v>
      </c>
      <c r="K196" s="421">
        <f t="shared" si="53"/>
        <v>184.65</v>
      </c>
      <c r="L196" s="647" t="s">
        <v>16</v>
      </c>
      <c r="M196" s="576"/>
      <c r="N196" s="576">
        <f t="shared" si="35"/>
        <v>0</v>
      </c>
      <c r="O196" s="577">
        <f t="shared" si="41"/>
        <v>0</v>
      </c>
      <c r="P196" s="578">
        <f t="shared" si="42"/>
        <v>0</v>
      </c>
      <c r="Q196" s="765"/>
      <c r="R196" s="576">
        <f t="shared" si="43"/>
        <v>0</v>
      </c>
      <c r="S196" s="576">
        <f t="shared" si="43"/>
        <v>0</v>
      </c>
      <c r="T196" s="577">
        <f t="shared" si="44"/>
        <v>0</v>
      </c>
      <c r="U196" s="578">
        <f t="shared" si="45"/>
        <v>0</v>
      </c>
      <c r="V196" s="579"/>
      <c r="W196" s="566"/>
      <c r="X196" s="586" t="str">
        <f t="shared" si="47"/>
        <v/>
      </c>
      <c r="Y196" s="586" t="str">
        <f t="shared" si="33"/>
        <v/>
      </c>
      <c r="Z196" s="586" t="str">
        <f t="shared" si="39"/>
        <v/>
      </c>
    </row>
    <row r="197" spans="1:26" ht="12" hidden="1" thickBot="1" x14ac:dyDescent="0.25">
      <c r="A197" s="567" t="s">
        <v>168</v>
      </c>
      <c r="B197" s="644" t="s">
        <v>168</v>
      </c>
      <c r="C197" s="645"/>
      <c r="D197" s="451" t="s">
        <v>218</v>
      </c>
      <c r="E197" s="423"/>
      <c r="F197" s="418">
        <v>20</v>
      </c>
      <c r="G197" s="419">
        <v>1.35</v>
      </c>
      <c r="H197" s="649">
        <f t="shared" si="54"/>
        <v>32.508000000000003</v>
      </c>
      <c r="I197" s="420">
        <v>0</v>
      </c>
      <c r="J197" s="420"/>
      <c r="K197" s="421">
        <f t="shared" si="53"/>
        <v>0</v>
      </c>
      <c r="L197" s="647" t="s">
        <v>614</v>
      </c>
      <c r="M197" s="669"/>
      <c r="N197" s="576">
        <f t="shared" si="35"/>
        <v>0</v>
      </c>
      <c r="O197" s="577">
        <f t="shared" si="41"/>
        <v>0</v>
      </c>
      <c r="P197" s="578">
        <f t="shared" si="42"/>
        <v>0</v>
      </c>
      <c r="Q197" s="765"/>
      <c r="R197" s="669"/>
      <c r="S197" s="670"/>
      <c r="T197" s="577">
        <f t="shared" si="44"/>
        <v>0</v>
      </c>
      <c r="U197" s="578">
        <f t="shared" si="45"/>
        <v>0</v>
      </c>
      <c r="V197" s="579"/>
      <c r="W197" s="637" t="str">
        <f>IF(U196&gt;0,"xx",IF(P196&gt;0,"xy",""))</f>
        <v/>
      </c>
      <c r="X197" s="586" t="str">
        <f t="shared" si="47"/>
        <v/>
      </c>
      <c r="Y197" s="586" t="str">
        <f t="shared" si="33"/>
        <v/>
      </c>
      <c r="Z197" s="586" t="str">
        <f t="shared" si="39"/>
        <v/>
      </c>
    </row>
    <row r="198" spans="1:26" ht="12" hidden="1" thickBot="1" x14ac:dyDescent="0.25">
      <c r="A198" s="567" t="s">
        <v>168</v>
      </c>
      <c r="B198" s="644" t="s">
        <v>168</v>
      </c>
      <c r="C198" s="645"/>
      <c r="D198" s="451" t="s">
        <v>219</v>
      </c>
      <c r="E198" s="423"/>
      <c r="F198" s="418">
        <v>20</v>
      </c>
      <c r="G198" s="419">
        <v>0.68</v>
      </c>
      <c r="H198" s="649">
        <f t="shared" si="54"/>
        <v>16.374400000000001</v>
      </c>
      <c r="I198" s="420">
        <v>0</v>
      </c>
      <c r="J198" s="420"/>
      <c r="K198" s="421">
        <f t="shared" si="53"/>
        <v>0</v>
      </c>
      <c r="L198" s="647" t="s">
        <v>614</v>
      </c>
      <c r="M198" s="669"/>
      <c r="N198" s="576">
        <f t="shared" si="35"/>
        <v>0</v>
      </c>
      <c r="O198" s="577">
        <f t="shared" si="41"/>
        <v>0</v>
      </c>
      <c r="P198" s="578">
        <f t="shared" si="42"/>
        <v>0</v>
      </c>
      <c r="Q198" s="765"/>
      <c r="R198" s="669"/>
      <c r="S198" s="670"/>
      <c r="T198" s="577">
        <f t="shared" si="44"/>
        <v>0</v>
      </c>
      <c r="U198" s="578">
        <f t="shared" si="45"/>
        <v>0</v>
      </c>
      <c r="V198" s="579"/>
      <c r="W198" s="637" t="str">
        <f>IF(U196&gt;0,"xx",IF(P196&gt;0,"xy",""))</f>
        <v/>
      </c>
      <c r="X198" s="586" t="str">
        <f t="shared" si="47"/>
        <v/>
      </c>
      <c r="Y198" s="586" t="str">
        <f t="shared" si="33"/>
        <v/>
      </c>
      <c r="Z198" s="586" t="str">
        <f t="shared" si="39"/>
        <v/>
      </c>
    </row>
    <row r="199" spans="1:26" ht="12" hidden="1" thickBot="1" x14ac:dyDescent="0.25">
      <c r="A199" s="567">
        <v>532000</v>
      </c>
      <c r="B199" s="644">
        <v>532000</v>
      </c>
      <c r="C199" s="645"/>
      <c r="D199" s="422" t="s">
        <v>221</v>
      </c>
      <c r="E199" s="423"/>
      <c r="F199" s="424">
        <v>20</v>
      </c>
      <c r="G199" s="425">
        <v>2.2000000000000002</v>
      </c>
      <c r="H199" s="649">
        <f t="shared" si="54"/>
        <v>52.976000000000006</v>
      </c>
      <c r="I199" s="420">
        <v>120.07</v>
      </c>
      <c r="J199" s="420">
        <f>IF(ISBLANK(I199),"",SUM(H199:I199))</f>
        <v>173.04599999999999</v>
      </c>
      <c r="K199" s="421">
        <f>IF(ISBLANK(I199),0,ROUND(J199*(1+$F$10)*(1+$F$11*E199),2))</f>
        <v>205.6</v>
      </c>
      <c r="L199" s="647" t="s">
        <v>16</v>
      </c>
      <c r="M199" s="587"/>
      <c r="N199" s="576">
        <f t="shared" si="35"/>
        <v>0</v>
      </c>
      <c r="O199" s="577">
        <f>IF(ISBLANK(M199),0,ROUND(K199*M199,2))</f>
        <v>0</v>
      </c>
      <c r="P199" s="578">
        <f>IF(ISBLANK(N199),0,ROUND(M199*N199,2))</f>
        <v>0</v>
      </c>
      <c r="Q199" s="765"/>
      <c r="R199" s="650">
        <f>M199</f>
        <v>0</v>
      </c>
      <c r="S199" s="587">
        <f>N199</f>
        <v>0</v>
      </c>
      <c r="T199" s="577">
        <f>IF(ISBLANK(R199),0,ROUND(K199*R199,2))</f>
        <v>0</v>
      </c>
      <c r="U199" s="578">
        <f>IF(ISBLANK(R199),0,ROUND(R199*S199,2))</f>
        <v>0</v>
      </c>
      <c r="V199" s="579"/>
      <c r="W199" s="566"/>
      <c r="X199" s="586" t="str">
        <f>IF(W199="X","x",IF(W199="xx","x",IF(W199="xy","x",IF(W199="y","x",IF(OR(P199&gt;0,U199&gt;0),"x","")))))</f>
        <v/>
      </c>
      <c r="Y199" s="586" t="str">
        <f>IF(W199="X","x",IF(W199="y","x",IF(W199="xx","x",IF(U199&gt;0,"x",""))))</f>
        <v/>
      </c>
      <c r="Z199" s="586" t="str">
        <f>IF(W199="X","x",IF(U199&gt;0,"x",""))</f>
        <v/>
      </c>
    </row>
    <row r="200" spans="1:26" ht="23.25" hidden="1" thickBot="1" x14ac:dyDescent="0.25">
      <c r="A200" s="567">
        <v>96398</v>
      </c>
      <c r="B200" s="644">
        <v>96398</v>
      </c>
      <c r="C200" s="645" t="s">
        <v>670</v>
      </c>
      <c r="D200" s="422" t="s">
        <v>1882</v>
      </c>
      <c r="E200" s="423"/>
      <c r="F200" s="424">
        <v>20</v>
      </c>
      <c r="G200" s="425">
        <v>2.4</v>
      </c>
      <c r="H200" s="649">
        <f t="shared" si="54"/>
        <v>57.792000000000002</v>
      </c>
      <c r="I200" s="420">
        <v>243.38</v>
      </c>
      <c r="J200" s="420">
        <f>IF(ISBLANK(I200),"",SUM(H200:I200))</f>
        <v>301.17200000000003</v>
      </c>
      <c r="K200" s="421">
        <f t="shared" si="53"/>
        <v>357.82</v>
      </c>
      <c r="L200" s="647" t="s">
        <v>16</v>
      </c>
      <c r="M200" s="587"/>
      <c r="N200" s="576">
        <f t="shared" si="35"/>
        <v>0</v>
      </c>
      <c r="O200" s="577">
        <f t="shared" si="41"/>
        <v>0</v>
      </c>
      <c r="P200" s="578">
        <f t="shared" si="42"/>
        <v>0</v>
      </c>
      <c r="Q200" s="765"/>
      <c r="R200" s="650">
        <f t="shared" si="43"/>
        <v>0</v>
      </c>
      <c r="S200" s="587">
        <f t="shared" si="43"/>
        <v>0</v>
      </c>
      <c r="T200" s="577">
        <f t="shared" si="44"/>
        <v>0</v>
      </c>
      <c r="U200" s="578">
        <f t="shared" si="45"/>
        <v>0</v>
      </c>
      <c r="V200" s="579"/>
      <c r="W200" s="566"/>
      <c r="X200" s="586" t="str">
        <f t="shared" si="47"/>
        <v/>
      </c>
      <c r="Y200" s="586" t="str">
        <f t="shared" si="33"/>
        <v/>
      </c>
      <c r="Z200" s="586" t="str">
        <f t="shared" si="39"/>
        <v/>
      </c>
    </row>
    <row r="201" spans="1:26" ht="12" hidden="1" thickBot="1" x14ac:dyDescent="0.25">
      <c r="A201" s="652" t="s">
        <v>187</v>
      </c>
      <c r="B201" s="653" t="s">
        <v>187</v>
      </c>
      <c r="C201" s="654"/>
      <c r="D201" s="427" t="s">
        <v>466</v>
      </c>
      <c r="E201" s="491"/>
      <c r="F201" s="655"/>
      <c r="G201" s="656"/>
      <c r="H201" s="672"/>
      <c r="I201" s="429"/>
      <c r="J201" s="429"/>
      <c r="K201" s="429"/>
      <c r="L201" s="673" t="s">
        <v>614</v>
      </c>
      <c r="M201" s="657"/>
      <c r="N201" s="576">
        <f t="shared" si="35"/>
        <v>0</v>
      </c>
      <c r="O201" s="429">
        <f t="shared" si="41"/>
        <v>0</v>
      </c>
      <c r="P201" s="658">
        <f t="shared" si="42"/>
        <v>0</v>
      </c>
      <c r="Q201" s="765"/>
      <c r="R201" s="657"/>
      <c r="S201" s="429"/>
      <c r="T201" s="429">
        <f t="shared" si="44"/>
        <v>0</v>
      </c>
      <c r="U201" s="658">
        <f t="shared" si="45"/>
        <v>0</v>
      </c>
      <c r="V201" s="579"/>
      <c r="W201" s="637" t="str">
        <f>IF(OR(SUM(P202:P226)&gt;0,SUM(U202:U226)&gt;0),"y","")</f>
        <v/>
      </c>
      <c r="X201" s="586" t="str">
        <f t="shared" si="47"/>
        <v/>
      </c>
      <c r="Y201" s="586" t="str">
        <f t="shared" si="33"/>
        <v/>
      </c>
      <c r="Z201" s="586" t="str">
        <f t="shared" si="39"/>
        <v/>
      </c>
    </row>
    <row r="202" spans="1:26" ht="12" hidden="1" thickBot="1" x14ac:dyDescent="0.25">
      <c r="A202" s="652" t="s">
        <v>187</v>
      </c>
      <c r="B202" s="572" t="s">
        <v>187</v>
      </c>
      <c r="C202" s="573" t="s">
        <v>187</v>
      </c>
      <c r="D202" s="574"/>
      <c r="E202" s="575"/>
      <c r="F202" s="436"/>
      <c r="G202" s="431"/>
      <c r="H202" s="436"/>
      <c r="I202" s="432"/>
      <c r="J202" s="433"/>
      <c r="K202" s="434">
        <f t="shared" ref="K202:K226" si="55">IF(ISBLANK(J202),0,ROUND(J202*(1+$F$10)*(1+$F$11*E202),2))</f>
        <v>0</v>
      </c>
      <c r="L202" s="452" t="s">
        <v>614</v>
      </c>
      <c r="M202" s="587"/>
      <c r="N202" s="576">
        <f t="shared" si="35"/>
        <v>0</v>
      </c>
      <c r="O202" s="577">
        <f t="shared" si="41"/>
        <v>0</v>
      </c>
      <c r="P202" s="578">
        <f t="shared" si="42"/>
        <v>0</v>
      </c>
      <c r="Q202" s="765"/>
      <c r="R202" s="650">
        <f t="shared" si="43"/>
        <v>0</v>
      </c>
      <c r="S202" s="587">
        <f t="shared" si="43"/>
        <v>0</v>
      </c>
      <c r="T202" s="577">
        <f t="shared" si="44"/>
        <v>0</v>
      </c>
      <c r="U202" s="578">
        <f t="shared" si="45"/>
        <v>0</v>
      </c>
      <c r="V202" s="579"/>
      <c r="W202" s="566"/>
      <c r="X202" s="586" t="str">
        <f t="shared" si="47"/>
        <v/>
      </c>
      <c r="Y202" s="586" t="str">
        <f t="shared" si="33"/>
        <v/>
      </c>
      <c r="Z202" s="586" t="str">
        <f t="shared" si="39"/>
        <v/>
      </c>
    </row>
    <row r="203" spans="1:26" ht="12" hidden="1" thickBot="1" x14ac:dyDescent="0.25">
      <c r="A203" s="652" t="s">
        <v>187</v>
      </c>
      <c r="B203" s="572" t="s">
        <v>187</v>
      </c>
      <c r="C203" s="573" t="s">
        <v>187</v>
      </c>
      <c r="D203" s="580"/>
      <c r="E203" s="575"/>
      <c r="F203" s="436"/>
      <c r="G203" s="431"/>
      <c r="H203" s="436"/>
      <c r="I203" s="432"/>
      <c r="J203" s="433"/>
      <c r="K203" s="437">
        <f t="shared" si="55"/>
        <v>0</v>
      </c>
      <c r="L203" s="452" t="s">
        <v>614</v>
      </c>
      <c r="M203" s="576"/>
      <c r="N203" s="576">
        <f t="shared" si="35"/>
        <v>0</v>
      </c>
      <c r="O203" s="577">
        <f t="shared" si="41"/>
        <v>0</v>
      </c>
      <c r="P203" s="578">
        <f t="shared" si="42"/>
        <v>0</v>
      </c>
      <c r="Q203" s="765"/>
      <c r="R203" s="576">
        <f t="shared" si="43"/>
        <v>0</v>
      </c>
      <c r="S203" s="576">
        <f t="shared" si="43"/>
        <v>0</v>
      </c>
      <c r="T203" s="577">
        <f t="shared" si="44"/>
        <v>0</v>
      </c>
      <c r="U203" s="659">
        <f t="shared" si="45"/>
        <v>0</v>
      </c>
      <c r="V203" s="579"/>
      <c r="W203" s="566"/>
      <c r="X203" s="586" t="str">
        <f t="shared" si="47"/>
        <v/>
      </c>
      <c r="Y203" s="586" t="str">
        <f t="shared" si="33"/>
        <v/>
      </c>
      <c r="Z203" s="586" t="str">
        <f t="shared" si="39"/>
        <v/>
      </c>
    </row>
    <row r="204" spans="1:26" ht="12" hidden="1" thickBot="1" x14ac:dyDescent="0.25">
      <c r="A204" s="652" t="s">
        <v>187</v>
      </c>
      <c r="B204" s="572" t="s">
        <v>187</v>
      </c>
      <c r="C204" s="573" t="s">
        <v>187</v>
      </c>
      <c r="D204" s="580"/>
      <c r="E204" s="575"/>
      <c r="F204" s="436"/>
      <c r="G204" s="431"/>
      <c r="H204" s="430"/>
      <c r="I204" s="432"/>
      <c r="J204" s="433"/>
      <c r="K204" s="437">
        <f t="shared" si="55"/>
        <v>0</v>
      </c>
      <c r="L204" s="452" t="s">
        <v>614</v>
      </c>
      <c r="M204" s="576"/>
      <c r="N204" s="576">
        <f t="shared" si="35"/>
        <v>0</v>
      </c>
      <c r="O204" s="577">
        <f t="shared" si="41"/>
        <v>0</v>
      </c>
      <c r="P204" s="578">
        <f t="shared" si="42"/>
        <v>0</v>
      </c>
      <c r="Q204" s="765"/>
      <c r="R204" s="576">
        <f t="shared" si="43"/>
        <v>0</v>
      </c>
      <c r="S204" s="576">
        <f t="shared" si="43"/>
        <v>0</v>
      </c>
      <c r="T204" s="577">
        <f t="shared" si="44"/>
        <v>0</v>
      </c>
      <c r="U204" s="578">
        <f t="shared" si="45"/>
        <v>0</v>
      </c>
      <c r="V204" s="579"/>
      <c r="W204" s="566"/>
      <c r="X204" s="586" t="str">
        <f t="shared" si="47"/>
        <v/>
      </c>
      <c r="Y204" s="586" t="str">
        <f t="shared" si="33"/>
        <v/>
      </c>
      <c r="Z204" s="586" t="str">
        <f t="shared" si="39"/>
        <v/>
      </c>
    </row>
    <row r="205" spans="1:26" ht="12" hidden="1" thickBot="1" x14ac:dyDescent="0.25">
      <c r="A205" s="652" t="s">
        <v>187</v>
      </c>
      <c r="B205" s="572" t="s">
        <v>187</v>
      </c>
      <c r="C205" s="573" t="s">
        <v>187</v>
      </c>
      <c r="D205" s="580"/>
      <c r="E205" s="575"/>
      <c r="F205" s="436"/>
      <c r="G205" s="431"/>
      <c r="H205" s="430"/>
      <c r="I205" s="432"/>
      <c r="J205" s="433"/>
      <c r="K205" s="437">
        <f t="shared" si="55"/>
        <v>0</v>
      </c>
      <c r="L205" s="452" t="s">
        <v>614</v>
      </c>
      <c r="M205" s="576"/>
      <c r="N205" s="576">
        <f t="shared" si="35"/>
        <v>0</v>
      </c>
      <c r="O205" s="577">
        <f t="shared" si="41"/>
        <v>0</v>
      </c>
      <c r="P205" s="578">
        <f t="shared" si="42"/>
        <v>0</v>
      </c>
      <c r="Q205" s="765"/>
      <c r="R205" s="576">
        <f t="shared" si="43"/>
        <v>0</v>
      </c>
      <c r="S205" s="576">
        <f t="shared" si="43"/>
        <v>0</v>
      </c>
      <c r="T205" s="577">
        <f t="shared" si="44"/>
        <v>0</v>
      </c>
      <c r="U205" s="578">
        <f t="shared" si="45"/>
        <v>0</v>
      </c>
      <c r="V205" s="579"/>
      <c r="W205" s="566"/>
      <c r="X205" s="586" t="str">
        <f t="shared" si="47"/>
        <v/>
      </c>
      <c r="Y205" s="586" t="str">
        <f t="shared" si="33"/>
        <v/>
      </c>
      <c r="Z205" s="586" t="str">
        <f t="shared" si="39"/>
        <v/>
      </c>
    </row>
    <row r="206" spans="1:26" ht="12" hidden="1" thickBot="1" x14ac:dyDescent="0.25">
      <c r="A206" s="652" t="s">
        <v>187</v>
      </c>
      <c r="B206" s="572" t="s">
        <v>187</v>
      </c>
      <c r="C206" s="573" t="s">
        <v>187</v>
      </c>
      <c r="D206" s="580"/>
      <c r="E206" s="575"/>
      <c r="F206" s="436"/>
      <c r="G206" s="431"/>
      <c r="H206" s="430"/>
      <c r="I206" s="432"/>
      <c r="J206" s="433"/>
      <c r="K206" s="437">
        <f t="shared" si="55"/>
        <v>0</v>
      </c>
      <c r="L206" s="452" t="s">
        <v>614</v>
      </c>
      <c r="M206" s="576"/>
      <c r="N206" s="576">
        <f t="shared" si="35"/>
        <v>0</v>
      </c>
      <c r="O206" s="577">
        <f t="shared" si="41"/>
        <v>0</v>
      </c>
      <c r="P206" s="578">
        <f t="shared" si="42"/>
        <v>0</v>
      </c>
      <c r="Q206" s="765"/>
      <c r="R206" s="576">
        <f t="shared" si="43"/>
        <v>0</v>
      </c>
      <c r="S206" s="576">
        <f t="shared" si="43"/>
        <v>0</v>
      </c>
      <c r="T206" s="577">
        <f t="shared" si="44"/>
        <v>0</v>
      </c>
      <c r="U206" s="578">
        <f t="shared" si="45"/>
        <v>0</v>
      </c>
      <c r="V206" s="579"/>
      <c r="W206" s="566"/>
      <c r="X206" s="586" t="str">
        <f t="shared" si="47"/>
        <v/>
      </c>
      <c r="Y206" s="586" t="str">
        <f t="shared" si="33"/>
        <v/>
      </c>
      <c r="Z206" s="586" t="str">
        <f t="shared" si="39"/>
        <v/>
      </c>
    </row>
    <row r="207" spans="1:26" ht="12" hidden="1" thickBot="1" x14ac:dyDescent="0.25">
      <c r="A207" s="652" t="s">
        <v>187</v>
      </c>
      <c r="B207" s="572" t="s">
        <v>187</v>
      </c>
      <c r="C207" s="573" t="s">
        <v>187</v>
      </c>
      <c r="D207" s="580"/>
      <c r="E207" s="575"/>
      <c r="F207" s="436"/>
      <c r="G207" s="431"/>
      <c r="H207" s="430"/>
      <c r="I207" s="432"/>
      <c r="J207" s="433"/>
      <c r="K207" s="437">
        <f t="shared" si="55"/>
        <v>0</v>
      </c>
      <c r="L207" s="452" t="s">
        <v>614</v>
      </c>
      <c r="M207" s="576"/>
      <c r="N207" s="576">
        <f t="shared" si="35"/>
        <v>0</v>
      </c>
      <c r="O207" s="577">
        <f t="shared" si="41"/>
        <v>0</v>
      </c>
      <c r="P207" s="578">
        <f t="shared" si="42"/>
        <v>0</v>
      </c>
      <c r="Q207" s="765"/>
      <c r="R207" s="576">
        <f t="shared" si="43"/>
        <v>0</v>
      </c>
      <c r="S207" s="576">
        <f t="shared" si="43"/>
        <v>0</v>
      </c>
      <c r="T207" s="577">
        <f t="shared" si="44"/>
        <v>0</v>
      </c>
      <c r="U207" s="578">
        <f t="shared" si="45"/>
        <v>0</v>
      </c>
      <c r="V207" s="579"/>
      <c r="W207" s="566"/>
      <c r="X207" s="586" t="str">
        <f t="shared" si="47"/>
        <v/>
      </c>
      <c r="Y207" s="586" t="str">
        <f t="shared" si="33"/>
        <v/>
      </c>
      <c r="Z207" s="586" t="str">
        <f t="shared" si="39"/>
        <v/>
      </c>
    </row>
    <row r="208" spans="1:26" ht="12" hidden="1" thickBot="1" x14ac:dyDescent="0.25">
      <c r="A208" s="652" t="s">
        <v>187</v>
      </c>
      <c r="B208" s="572" t="s">
        <v>187</v>
      </c>
      <c r="C208" s="573" t="s">
        <v>187</v>
      </c>
      <c r="D208" s="580"/>
      <c r="E208" s="575"/>
      <c r="F208" s="436"/>
      <c r="G208" s="431"/>
      <c r="H208" s="430"/>
      <c r="I208" s="432"/>
      <c r="J208" s="433"/>
      <c r="K208" s="437">
        <f t="shared" si="55"/>
        <v>0</v>
      </c>
      <c r="L208" s="452" t="s">
        <v>614</v>
      </c>
      <c r="M208" s="576"/>
      <c r="N208" s="576">
        <f t="shared" si="35"/>
        <v>0</v>
      </c>
      <c r="O208" s="577">
        <f t="shared" si="41"/>
        <v>0</v>
      </c>
      <c r="P208" s="578">
        <f t="shared" si="42"/>
        <v>0</v>
      </c>
      <c r="Q208" s="765"/>
      <c r="R208" s="576">
        <f t="shared" si="43"/>
        <v>0</v>
      </c>
      <c r="S208" s="576">
        <f t="shared" si="43"/>
        <v>0</v>
      </c>
      <c r="T208" s="577">
        <f t="shared" si="44"/>
        <v>0</v>
      </c>
      <c r="U208" s="578">
        <f t="shared" si="45"/>
        <v>0</v>
      </c>
      <c r="V208" s="579"/>
      <c r="W208" s="566"/>
      <c r="X208" s="586" t="str">
        <f t="shared" si="47"/>
        <v/>
      </c>
      <c r="Y208" s="586" t="str">
        <f t="shared" si="33"/>
        <v/>
      </c>
      <c r="Z208" s="586" t="str">
        <f t="shared" si="39"/>
        <v/>
      </c>
    </row>
    <row r="209" spans="1:26" ht="12" hidden="1" thickBot="1" x14ac:dyDescent="0.25">
      <c r="A209" s="652" t="s">
        <v>187</v>
      </c>
      <c r="B209" s="572" t="s">
        <v>187</v>
      </c>
      <c r="C209" s="573" t="s">
        <v>187</v>
      </c>
      <c r="D209" s="580"/>
      <c r="E209" s="575"/>
      <c r="F209" s="436"/>
      <c r="G209" s="431"/>
      <c r="H209" s="430"/>
      <c r="I209" s="432"/>
      <c r="J209" s="433"/>
      <c r="K209" s="437">
        <f t="shared" si="55"/>
        <v>0</v>
      </c>
      <c r="L209" s="452" t="s">
        <v>614</v>
      </c>
      <c r="M209" s="576"/>
      <c r="N209" s="576">
        <f t="shared" si="35"/>
        <v>0</v>
      </c>
      <c r="O209" s="577">
        <f t="shared" si="41"/>
        <v>0</v>
      </c>
      <c r="P209" s="578">
        <f t="shared" si="42"/>
        <v>0</v>
      </c>
      <c r="Q209" s="765"/>
      <c r="R209" s="576">
        <f t="shared" si="43"/>
        <v>0</v>
      </c>
      <c r="S209" s="576">
        <f t="shared" si="43"/>
        <v>0</v>
      </c>
      <c r="T209" s="577">
        <f t="shared" si="44"/>
        <v>0</v>
      </c>
      <c r="U209" s="578">
        <f t="shared" si="45"/>
        <v>0</v>
      </c>
      <c r="V209" s="579"/>
      <c r="W209" s="566"/>
      <c r="X209" s="586" t="str">
        <f t="shared" si="47"/>
        <v/>
      </c>
      <c r="Y209" s="586" t="str">
        <f t="shared" si="33"/>
        <v/>
      </c>
      <c r="Z209" s="586" t="str">
        <f t="shared" si="39"/>
        <v/>
      </c>
    </row>
    <row r="210" spans="1:26" ht="12" hidden="1" thickBot="1" x14ac:dyDescent="0.25">
      <c r="A210" s="652" t="s">
        <v>187</v>
      </c>
      <c r="B210" s="572" t="s">
        <v>187</v>
      </c>
      <c r="C210" s="573" t="s">
        <v>187</v>
      </c>
      <c r="D210" s="580"/>
      <c r="E210" s="575"/>
      <c r="F210" s="436"/>
      <c r="G210" s="431"/>
      <c r="H210" s="430"/>
      <c r="I210" s="432"/>
      <c r="J210" s="433"/>
      <c r="K210" s="437">
        <f t="shared" si="55"/>
        <v>0</v>
      </c>
      <c r="L210" s="452" t="s">
        <v>614</v>
      </c>
      <c r="M210" s="576"/>
      <c r="N210" s="576">
        <f t="shared" si="35"/>
        <v>0</v>
      </c>
      <c r="O210" s="577">
        <f t="shared" si="41"/>
        <v>0</v>
      </c>
      <c r="P210" s="578">
        <f t="shared" si="42"/>
        <v>0</v>
      </c>
      <c r="Q210" s="765"/>
      <c r="R210" s="576">
        <f t="shared" si="43"/>
        <v>0</v>
      </c>
      <c r="S210" s="576">
        <f t="shared" si="43"/>
        <v>0</v>
      </c>
      <c r="T210" s="577">
        <f t="shared" si="44"/>
        <v>0</v>
      </c>
      <c r="U210" s="578">
        <f t="shared" si="45"/>
        <v>0</v>
      </c>
      <c r="V210" s="579"/>
      <c r="W210" s="566"/>
      <c r="X210" s="586" t="str">
        <f t="shared" si="47"/>
        <v/>
      </c>
      <c r="Y210" s="586" t="str">
        <f t="shared" si="33"/>
        <v/>
      </c>
      <c r="Z210" s="586" t="str">
        <f t="shared" si="39"/>
        <v/>
      </c>
    </row>
    <row r="211" spans="1:26" ht="12" hidden="1" thickBot="1" x14ac:dyDescent="0.25">
      <c r="A211" s="652" t="s">
        <v>187</v>
      </c>
      <c r="B211" s="572" t="s">
        <v>187</v>
      </c>
      <c r="C211" s="573" t="s">
        <v>187</v>
      </c>
      <c r="D211" s="580"/>
      <c r="E211" s="575"/>
      <c r="F211" s="436"/>
      <c r="G211" s="431"/>
      <c r="H211" s="430"/>
      <c r="I211" s="432"/>
      <c r="J211" s="433"/>
      <c r="K211" s="437">
        <f t="shared" si="55"/>
        <v>0</v>
      </c>
      <c r="L211" s="452" t="s">
        <v>614</v>
      </c>
      <c r="M211" s="576"/>
      <c r="N211" s="576">
        <f t="shared" si="35"/>
        <v>0</v>
      </c>
      <c r="O211" s="577">
        <f t="shared" si="41"/>
        <v>0</v>
      </c>
      <c r="P211" s="578">
        <f t="shared" si="42"/>
        <v>0</v>
      </c>
      <c r="Q211" s="765"/>
      <c r="R211" s="576">
        <f t="shared" si="43"/>
        <v>0</v>
      </c>
      <c r="S211" s="576">
        <f t="shared" si="43"/>
        <v>0</v>
      </c>
      <c r="T211" s="577">
        <f t="shared" si="44"/>
        <v>0</v>
      </c>
      <c r="U211" s="578">
        <f t="shared" si="45"/>
        <v>0</v>
      </c>
      <c r="V211" s="579"/>
      <c r="W211" s="566"/>
      <c r="X211" s="586" t="str">
        <f t="shared" si="47"/>
        <v/>
      </c>
      <c r="Y211" s="586" t="str">
        <f t="shared" ref="Y211:Y274" si="56">IF(W211="X","x",IF(W211="y","x",IF(W211="xx","x",IF(U211&gt;0,"x",""))))</f>
        <v/>
      </c>
      <c r="Z211" s="586" t="str">
        <f t="shared" si="39"/>
        <v/>
      </c>
    </row>
    <row r="212" spans="1:26" ht="12" hidden="1" thickBot="1" x14ac:dyDescent="0.25">
      <c r="A212" s="652" t="s">
        <v>187</v>
      </c>
      <c r="B212" s="572" t="s">
        <v>187</v>
      </c>
      <c r="C212" s="573" t="s">
        <v>187</v>
      </c>
      <c r="D212" s="580"/>
      <c r="E212" s="575"/>
      <c r="F212" s="436"/>
      <c r="G212" s="431"/>
      <c r="H212" s="430"/>
      <c r="I212" s="432"/>
      <c r="J212" s="433"/>
      <c r="K212" s="437">
        <f t="shared" si="55"/>
        <v>0</v>
      </c>
      <c r="L212" s="452" t="s">
        <v>614</v>
      </c>
      <c r="M212" s="576"/>
      <c r="N212" s="576">
        <f t="shared" ref="N212:N275" si="57">IF(M212=0,0,K212)</f>
        <v>0</v>
      </c>
      <c r="O212" s="577">
        <f t="shared" si="41"/>
        <v>0</v>
      </c>
      <c r="P212" s="578">
        <f t="shared" si="42"/>
        <v>0</v>
      </c>
      <c r="Q212" s="765"/>
      <c r="R212" s="576">
        <f t="shared" si="43"/>
        <v>0</v>
      </c>
      <c r="S212" s="576">
        <f t="shared" si="43"/>
        <v>0</v>
      </c>
      <c r="T212" s="577">
        <f t="shared" si="44"/>
        <v>0</v>
      </c>
      <c r="U212" s="578">
        <f t="shared" si="45"/>
        <v>0</v>
      </c>
      <c r="V212" s="579"/>
      <c r="W212" s="566"/>
      <c r="X212" s="586" t="str">
        <f t="shared" si="47"/>
        <v/>
      </c>
      <c r="Y212" s="586" t="str">
        <f t="shared" si="56"/>
        <v/>
      </c>
      <c r="Z212" s="586" t="str">
        <f t="shared" si="39"/>
        <v/>
      </c>
    </row>
    <row r="213" spans="1:26" ht="12" hidden="1" thickBot="1" x14ac:dyDescent="0.25">
      <c r="A213" s="652" t="s">
        <v>187</v>
      </c>
      <c r="B213" s="572" t="s">
        <v>187</v>
      </c>
      <c r="C213" s="573" t="s">
        <v>187</v>
      </c>
      <c r="D213" s="580"/>
      <c r="E213" s="575"/>
      <c r="F213" s="436"/>
      <c r="G213" s="431"/>
      <c r="H213" s="430"/>
      <c r="I213" s="432"/>
      <c r="J213" s="433"/>
      <c r="K213" s="437">
        <f t="shared" si="55"/>
        <v>0</v>
      </c>
      <c r="L213" s="452" t="s">
        <v>614</v>
      </c>
      <c r="M213" s="576"/>
      <c r="N213" s="576">
        <f t="shared" si="57"/>
        <v>0</v>
      </c>
      <c r="O213" s="577">
        <f t="shared" si="41"/>
        <v>0</v>
      </c>
      <c r="P213" s="578">
        <f t="shared" si="42"/>
        <v>0</v>
      </c>
      <c r="Q213" s="765"/>
      <c r="R213" s="576">
        <f t="shared" si="43"/>
        <v>0</v>
      </c>
      <c r="S213" s="576">
        <f t="shared" si="43"/>
        <v>0</v>
      </c>
      <c r="T213" s="577">
        <f t="shared" si="44"/>
        <v>0</v>
      </c>
      <c r="U213" s="578">
        <f t="shared" si="45"/>
        <v>0</v>
      </c>
      <c r="V213" s="579"/>
      <c r="W213" s="566"/>
      <c r="X213" s="586" t="str">
        <f t="shared" si="47"/>
        <v/>
      </c>
      <c r="Y213" s="586" t="str">
        <f t="shared" si="56"/>
        <v/>
      </c>
      <c r="Z213" s="586" t="str">
        <f t="shared" si="39"/>
        <v/>
      </c>
    </row>
    <row r="214" spans="1:26" ht="12" hidden="1" thickBot="1" x14ac:dyDescent="0.25">
      <c r="A214" s="652" t="s">
        <v>187</v>
      </c>
      <c r="B214" s="572" t="s">
        <v>187</v>
      </c>
      <c r="C214" s="573" t="s">
        <v>187</v>
      </c>
      <c r="D214" s="580"/>
      <c r="E214" s="575"/>
      <c r="F214" s="436"/>
      <c r="G214" s="431"/>
      <c r="H214" s="430"/>
      <c r="I214" s="432"/>
      <c r="J214" s="433"/>
      <c r="K214" s="437">
        <f t="shared" si="55"/>
        <v>0</v>
      </c>
      <c r="L214" s="452" t="s">
        <v>614</v>
      </c>
      <c r="M214" s="576"/>
      <c r="N214" s="576">
        <f t="shared" si="57"/>
        <v>0</v>
      </c>
      <c r="O214" s="577">
        <f t="shared" si="41"/>
        <v>0</v>
      </c>
      <c r="P214" s="578">
        <f t="shared" si="42"/>
        <v>0</v>
      </c>
      <c r="Q214" s="765"/>
      <c r="R214" s="576">
        <f t="shared" si="43"/>
        <v>0</v>
      </c>
      <c r="S214" s="576">
        <f t="shared" si="43"/>
        <v>0</v>
      </c>
      <c r="T214" s="577">
        <f t="shared" si="44"/>
        <v>0</v>
      </c>
      <c r="U214" s="578">
        <f t="shared" si="45"/>
        <v>0</v>
      </c>
      <c r="V214" s="579"/>
      <c r="W214" s="566"/>
      <c r="X214" s="586" t="str">
        <f t="shared" si="47"/>
        <v/>
      </c>
      <c r="Y214" s="586" t="str">
        <f t="shared" si="56"/>
        <v/>
      </c>
      <c r="Z214" s="586" t="str">
        <f t="shared" si="39"/>
        <v/>
      </c>
    </row>
    <row r="215" spans="1:26" ht="12" hidden="1" thickBot="1" x14ac:dyDescent="0.25">
      <c r="A215" s="652" t="s">
        <v>187</v>
      </c>
      <c r="B215" s="572" t="s">
        <v>187</v>
      </c>
      <c r="C215" s="573" t="s">
        <v>187</v>
      </c>
      <c r="D215" s="580"/>
      <c r="E215" s="575"/>
      <c r="F215" s="436"/>
      <c r="G215" s="431"/>
      <c r="H215" s="430"/>
      <c r="I215" s="432"/>
      <c r="J215" s="433"/>
      <c r="K215" s="437">
        <f t="shared" si="55"/>
        <v>0</v>
      </c>
      <c r="L215" s="452" t="s">
        <v>614</v>
      </c>
      <c r="M215" s="576"/>
      <c r="N215" s="576">
        <f t="shared" si="57"/>
        <v>0</v>
      </c>
      <c r="O215" s="577">
        <f t="shared" si="41"/>
        <v>0</v>
      </c>
      <c r="P215" s="578">
        <f t="shared" si="42"/>
        <v>0</v>
      </c>
      <c r="Q215" s="765"/>
      <c r="R215" s="576">
        <f t="shared" si="43"/>
        <v>0</v>
      </c>
      <c r="S215" s="576">
        <f t="shared" si="43"/>
        <v>0</v>
      </c>
      <c r="T215" s="577">
        <f t="shared" si="44"/>
        <v>0</v>
      </c>
      <c r="U215" s="578">
        <f t="shared" si="45"/>
        <v>0</v>
      </c>
      <c r="V215" s="579"/>
      <c r="W215" s="566"/>
      <c r="X215" s="586" t="str">
        <f t="shared" si="47"/>
        <v/>
      </c>
      <c r="Y215" s="586" t="str">
        <f t="shared" si="56"/>
        <v/>
      </c>
      <c r="Z215" s="586" t="str">
        <f t="shared" si="39"/>
        <v/>
      </c>
    </row>
    <row r="216" spans="1:26" ht="12" hidden="1" thickBot="1" x14ac:dyDescent="0.25">
      <c r="A216" s="652" t="s">
        <v>187</v>
      </c>
      <c r="B216" s="572" t="s">
        <v>187</v>
      </c>
      <c r="C216" s="573" t="s">
        <v>187</v>
      </c>
      <c r="D216" s="580"/>
      <c r="E216" s="575"/>
      <c r="F216" s="436"/>
      <c r="G216" s="431"/>
      <c r="H216" s="430"/>
      <c r="I216" s="432"/>
      <c r="J216" s="433"/>
      <c r="K216" s="437">
        <f t="shared" si="55"/>
        <v>0</v>
      </c>
      <c r="L216" s="452" t="s">
        <v>614</v>
      </c>
      <c r="M216" s="576"/>
      <c r="N216" s="576">
        <f t="shared" si="57"/>
        <v>0</v>
      </c>
      <c r="O216" s="577">
        <f t="shared" si="41"/>
        <v>0</v>
      </c>
      <c r="P216" s="578">
        <f t="shared" si="42"/>
        <v>0</v>
      </c>
      <c r="Q216" s="765"/>
      <c r="R216" s="576">
        <f t="shared" si="43"/>
        <v>0</v>
      </c>
      <c r="S216" s="576">
        <f t="shared" si="43"/>
        <v>0</v>
      </c>
      <c r="T216" s="577">
        <f t="shared" si="44"/>
        <v>0</v>
      </c>
      <c r="U216" s="578">
        <f t="shared" si="45"/>
        <v>0</v>
      </c>
      <c r="V216" s="579"/>
      <c r="W216" s="566"/>
      <c r="X216" s="586" t="str">
        <f t="shared" si="47"/>
        <v/>
      </c>
      <c r="Y216" s="586" t="str">
        <f t="shared" si="56"/>
        <v/>
      </c>
      <c r="Z216" s="586" t="str">
        <f t="shared" si="39"/>
        <v/>
      </c>
    </row>
    <row r="217" spans="1:26" ht="12" hidden="1" thickBot="1" x14ac:dyDescent="0.25">
      <c r="A217" s="652" t="s">
        <v>187</v>
      </c>
      <c r="B217" s="572" t="s">
        <v>187</v>
      </c>
      <c r="C217" s="573" t="s">
        <v>187</v>
      </c>
      <c r="D217" s="580"/>
      <c r="E217" s="575"/>
      <c r="F217" s="436"/>
      <c r="G217" s="431"/>
      <c r="H217" s="430"/>
      <c r="I217" s="432"/>
      <c r="J217" s="433"/>
      <c r="K217" s="437">
        <f t="shared" si="55"/>
        <v>0</v>
      </c>
      <c r="L217" s="452" t="s">
        <v>614</v>
      </c>
      <c r="M217" s="576"/>
      <c r="N217" s="576">
        <f t="shared" si="57"/>
        <v>0</v>
      </c>
      <c r="O217" s="577">
        <f t="shared" si="41"/>
        <v>0</v>
      </c>
      <c r="P217" s="578">
        <f t="shared" si="42"/>
        <v>0</v>
      </c>
      <c r="Q217" s="765"/>
      <c r="R217" s="576">
        <f t="shared" si="43"/>
        <v>0</v>
      </c>
      <c r="S217" s="576">
        <f t="shared" si="43"/>
        <v>0</v>
      </c>
      <c r="T217" s="577">
        <f t="shared" si="44"/>
        <v>0</v>
      </c>
      <c r="U217" s="578">
        <f t="shared" si="45"/>
        <v>0</v>
      </c>
      <c r="V217" s="579"/>
      <c r="W217" s="566"/>
      <c r="X217" s="586" t="str">
        <f t="shared" si="47"/>
        <v/>
      </c>
      <c r="Y217" s="586" t="str">
        <f t="shared" si="56"/>
        <v/>
      </c>
      <c r="Z217" s="586" t="str">
        <f t="shared" si="39"/>
        <v/>
      </c>
    </row>
    <row r="218" spans="1:26" ht="12" hidden="1" thickBot="1" x14ac:dyDescent="0.25">
      <c r="A218" s="652" t="s">
        <v>187</v>
      </c>
      <c r="B218" s="572" t="s">
        <v>187</v>
      </c>
      <c r="C218" s="573" t="s">
        <v>187</v>
      </c>
      <c r="D218" s="580"/>
      <c r="E218" s="575"/>
      <c r="F218" s="436"/>
      <c r="G218" s="431"/>
      <c r="H218" s="430"/>
      <c r="I218" s="432"/>
      <c r="J218" s="433"/>
      <c r="K218" s="437">
        <f t="shared" si="55"/>
        <v>0</v>
      </c>
      <c r="L218" s="452" t="s">
        <v>614</v>
      </c>
      <c r="M218" s="576"/>
      <c r="N218" s="576">
        <f t="shared" si="57"/>
        <v>0</v>
      </c>
      <c r="O218" s="577">
        <f t="shared" si="41"/>
        <v>0</v>
      </c>
      <c r="P218" s="578">
        <f t="shared" si="42"/>
        <v>0</v>
      </c>
      <c r="Q218" s="765"/>
      <c r="R218" s="576">
        <f t="shared" si="43"/>
        <v>0</v>
      </c>
      <c r="S218" s="576">
        <f t="shared" si="43"/>
        <v>0</v>
      </c>
      <c r="T218" s="577">
        <f t="shared" si="44"/>
        <v>0</v>
      </c>
      <c r="U218" s="578">
        <f t="shared" si="45"/>
        <v>0</v>
      </c>
      <c r="V218" s="579"/>
      <c r="W218" s="566"/>
      <c r="X218" s="586" t="str">
        <f t="shared" si="47"/>
        <v/>
      </c>
      <c r="Y218" s="586" t="str">
        <f t="shared" si="56"/>
        <v/>
      </c>
      <c r="Z218" s="586" t="str">
        <f t="shared" si="39"/>
        <v/>
      </c>
    </row>
    <row r="219" spans="1:26" ht="12" hidden="1" thickBot="1" x14ac:dyDescent="0.25">
      <c r="A219" s="652" t="s">
        <v>187</v>
      </c>
      <c r="B219" s="572" t="s">
        <v>187</v>
      </c>
      <c r="C219" s="573" t="s">
        <v>187</v>
      </c>
      <c r="D219" s="580"/>
      <c r="E219" s="575"/>
      <c r="F219" s="436"/>
      <c r="G219" s="431"/>
      <c r="H219" s="430"/>
      <c r="I219" s="432"/>
      <c r="J219" s="433"/>
      <c r="K219" s="437">
        <f t="shared" si="55"/>
        <v>0</v>
      </c>
      <c r="L219" s="452" t="s">
        <v>614</v>
      </c>
      <c r="M219" s="576"/>
      <c r="N219" s="576">
        <f t="shared" si="57"/>
        <v>0</v>
      </c>
      <c r="O219" s="577">
        <f t="shared" si="41"/>
        <v>0</v>
      </c>
      <c r="P219" s="578">
        <f t="shared" si="42"/>
        <v>0</v>
      </c>
      <c r="Q219" s="765"/>
      <c r="R219" s="576">
        <f t="shared" si="43"/>
        <v>0</v>
      </c>
      <c r="S219" s="576">
        <f t="shared" si="43"/>
        <v>0</v>
      </c>
      <c r="T219" s="577">
        <f t="shared" si="44"/>
        <v>0</v>
      </c>
      <c r="U219" s="578">
        <f t="shared" si="45"/>
        <v>0</v>
      </c>
      <c r="V219" s="579"/>
      <c r="W219" s="566"/>
      <c r="X219" s="586" t="str">
        <f t="shared" si="47"/>
        <v/>
      </c>
      <c r="Y219" s="586" t="str">
        <f t="shared" si="56"/>
        <v/>
      </c>
      <c r="Z219" s="586" t="str">
        <f t="shared" si="39"/>
        <v/>
      </c>
    </row>
    <row r="220" spans="1:26" ht="12" hidden="1" thickBot="1" x14ac:dyDescent="0.25">
      <c r="A220" s="652" t="s">
        <v>187</v>
      </c>
      <c r="B220" s="572" t="s">
        <v>187</v>
      </c>
      <c r="C220" s="573" t="s">
        <v>187</v>
      </c>
      <c r="D220" s="580"/>
      <c r="E220" s="575"/>
      <c r="F220" s="436"/>
      <c r="G220" s="431"/>
      <c r="H220" s="430"/>
      <c r="I220" s="432"/>
      <c r="J220" s="433"/>
      <c r="K220" s="437">
        <f t="shared" si="55"/>
        <v>0</v>
      </c>
      <c r="L220" s="452" t="s">
        <v>614</v>
      </c>
      <c r="M220" s="576"/>
      <c r="N220" s="576">
        <f t="shared" si="57"/>
        <v>0</v>
      </c>
      <c r="O220" s="577">
        <f t="shared" si="41"/>
        <v>0</v>
      </c>
      <c r="P220" s="578">
        <f t="shared" si="42"/>
        <v>0</v>
      </c>
      <c r="Q220" s="765"/>
      <c r="R220" s="576">
        <f t="shared" si="43"/>
        <v>0</v>
      </c>
      <c r="S220" s="576">
        <f t="shared" si="43"/>
        <v>0</v>
      </c>
      <c r="T220" s="577">
        <f t="shared" si="44"/>
        <v>0</v>
      </c>
      <c r="U220" s="578">
        <f t="shared" si="45"/>
        <v>0</v>
      </c>
      <c r="V220" s="579"/>
      <c r="W220" s="566"/>
      <c r="X220" s="586" t="str">
        <f t="shared" si="47"/>
        <v/>
      </c>
      <c r="Y220" s="586" t="str">
        <f t="shared" si="56"/>
        <v/>
      </c>
      <c r="Z220" s="586" t="str">
        <f t="shared" si="39"/>
        <v/>
      </c>
    </row>
    <row r="221" spans="1:26" ht="12" hidden="1" thickBot="1" x14ac:dyDescent="0.25">
      <c r="A221" s="652" t="s">
        <v>187</v>
      </c>
      <c r="B221" s="572" t="s">
        <v>187</v>
      </c>
      <c r="C221" s="573" t="s">
        <v>187</v>
      </c>
      <c r="D221" s="580"/>
      <c r="E221" s="575"/>
      <c r="F221" s="436"/>
      <c r="G221" s="431"/>
      <c r="H221" s="430"/>
      <c r="I221" s="432"/>
      <c r="J221" s="433"/>
      <c r="K221" s="437">
        <f t="shared" si="55"/>
        <v>0</v>
      </c>
      <c r="L221" s="452" t="s">
        <v>614</v>
      </c>
      <c r="M221" s="576"/>
      <c r="N221" s="576">
        <f t="shared" si="57"/>
        <v>0</v>
      </c>
      <c r="O221" s="577">
        <f t="shared" si="41"/>
        <v>0</v>
      </c>
      <c r="P221" s="578">
        <f t="shared" si="42"/>
        <v>0</v>
      </c>
      <c r="Q221" s="765"/>
      <c r="R221" s="576">
        <f t="shared" si="43"/>
        <v>0</v>
      </c>
      <c r="S221" s="576">
        <f t="shared" si="43"/>
        <v>0</v>
      </c>
      <c r="T221" s="577">
        <f t="shared" si="44"/>
        <v>0</v>
      </c>
      <c r="U221" s="578">
        <f t="shared" si="45"/>
        <v>0</v>
      </c>
      <c r="V221" s="579"/>
      <c r="W221" s="566"/>
      <c r="X221" s="586" t="str">
        <f t="shared" si="47"/>
        <v/>
      </c>
      <c r="Y221" s="586" t="str">
        <f t="shared" si="56"/>
        <v/>
      </c>
      <c r="Z221" s="586" t="str">
        <f t="shared" ref="Z221:Z284" si="58">IF(W221="X","x",IF(U221&gt;0,"x",""))</f>
        <v/>
      </c>
    </row>
    <row r="222" spans="1:26" ht="12" hidden="1" thickBot="1" x14ac:dyDescent="0.25">
      <c r="A222" s="652" t="s">
        <v>187</v>
      </c>
      <c r="B222" s="572" t="s">
        <v>187</v>
      </c>
      <c r="C222" s="573" t="s">
        <v>187</v>
      </c>
      <c r="D222" s="580"/>
      <c r="E222" s="575"/>
      <c r="F222" s="436"/>
      <c r="G222" s="431"/>
      <c r="H222" s="430"/>
      <c r="I222" s="432"/>
      <c r="J222" s="433"/>
      <c r="K222" s="437">
        <f t="shared" si="55"/>
        <v>0</v>
      </c>
      <c r="L222" s="452" t="s">
        <v>614</v>
      </c>
      <c r="M222" s="576"/>
      <c r="N222" s="576">
        <f t="shared" si="57"/>
        <v>0</v>
      </c>
      <c r="O222" s="577">
        <f t="shared" si="41"/>
        <v>0</v>
      </c>
      <c r="P222" s="578">
        <f t="shared" si="42"/>
        <v>0</v>
      </c>
      <c r="Q222" s="765"/>
      <c r="R222" s="576">
        <f t="shared" si="43"/>
        <v>0</v>
      </c>
      <c r="S222" s="576">
        <f t="shared" si="43"/>
        <v>0</v>
      </c>
      <c r="T222" s="577">
        <f t="shared" si="44"/>
        <v>0</v>
      </c>
      <c r="U222" s="578">
        <f t="shared" si="45"/>
        <v>0</v>
      </c>
      <c r="V222" s="579"/>
      <c r="W222" s="566"/>
      <c r="X222" s="586" t="str">
        <f t="shared" si="47"/>
        <v/>
      </c>
      <c r="Y222" s="586" t="str">
        <f t="shared" si="56"/>
        <v/>
      </c>
      <c r="Z222" s="586" t="str">
        <f t="shared" si="58"/>
        <v/>
      </c>
    </row>
    <row r="223" spans="1:26" ht="12" hidden="1" thickBot="1" x14ac:dyDescent="0.25">
      <c r="A223" s="652" t="s">
        <v>187</v>
      </c>
      <c r="B223" s="572" t="s">
        <v>187</v>
      </c>
      <c r="C223" s="573" t="s">
        <v>187</v>
      </c>
      <c r="D223" s="580"/>
      <c r="E223" s="575"/>
      <c r="F223" s="436"/>
      <c r="G223" s="431"/>
      <c r="H223" s="430"/>
      <c r="I223" s="432"/>
      <c r="J223" s="433"/>
      <c r="K223" s="437">
        <f t="shared" si="55"/>
        <v>0</v>
      </c>
      <c r="L223" s="452" t="s">
        <v>614</v>
      </c>
      <c r="M223" s="576"/>
      <c r="N223" s="576">
        <f t="shared" si="57"/>
        <v>0</v>
      </c>
      <c r="O223" s="577">
        <f t="shared" si="41"/>
        <v>0</v>
      </c>
      <c r="P223" s="578">
        <f t="shared" si="42"/>
        <v>0</v>
      </c>
      <c r="Q223" s="765"/>
      <c r="R223" s="576">
        <f t="shared" si="43"/>
        <v>0</v>
      </c>
      <c r="S223" s="576">
        <f t="shared" si="43"/>
        <v>0</v>
      </c>
      <c r="T223" s="577">
        <f t="shared" si="44"/>
        <v>0</v>
      </c>
      <c r="U223" s="578">
        <f t="shared" si="45"/>
        <v>0</v>
      </c>
      <c r="V223" s="579"/>
      <c r="W223" s="566"/>
      <c r="X223" s="586" t="str">
        <f t="shared" si="47"/>
        <v/>
      </c>
      <c r="Y223" s="586" t="str">
        <f t="shared" si="56"/>
        <v/>
      </c>
      <c r="Z223" s="586" t="str">
        <f t="shared" si="58"/>
        <v/>
      </c>
    </row>
    <row r="224" spans="1:26" ht="12" hidden="1" thickBot="1" x14ac:dyDescent="0.25">
      <c r="A224" s="652" t="s">
        <v>187</v>
      </c>
      <c r="B224" s="572" t="s">
        <v>187</v>
      </c>
      <c r="C224" s="573" t="s">
        <v>187</v>
      </c>
      <c r="D224" s="580"/>
      <c r="E224" s="575"/>
      <c r="F224" s="436"/>
      <c r="G224" s="431"/>
      <c r="H224" s="430"/>
      <c r="I224" s="432"/>
      <c r="J224" s="433"/>
      <c r="K224" s="437">
        <f t="shared" si="55"/>
        <v>0</v>
      </c>
      <c r="L224" s="452" t="s">
        <v>614</v>
      </c>
      <c r="M224" s="576"/>
      <c r="N224" s="576">
        <f t="shared" si="57"/>
        <v>0</v>
      </c>
      <c r="O224" s="577">
        <f t="shared" ref="O224:O287" si="59">IF(ISBLANK(M224),0,ROUND(K224*M224,2))</f>
        <v>0</v>
      </c>
      <c r="P224" s="578">
        <f t="shared" ref="P224:P287" si="60">IF(ISBLANK(N224),0,ROUND(M224*N224,2))</f>
        <v>0</v>
      </c>
      <c r="Q224" s="765"/>
      <c r="R224" s="576">
        <f>M224</f>
        <v>0</v>
      </c>
      <c r="S224" s="576">
        <f t="shared" ref="S224:S284" si="61">N224</f>
        <v>0</v>
      </c>
      <c r="T224" s="577">
        <f t="shared" ref="T224:T287" si="62">IF(ISBLANK(R224),0,ROUND(K224*R224,2))</f>
        <v>0</v>
      </c>
      <c r="U224" s="578">
        <f t="shared" ref="U224:U287" si="63">IF(ISBLANK(R224),0,ROUND(R224*S224,2))</f>
        <v>0</v>
      </c>
      <c r="V224" s="579"/>
      <c r="W224" s="566"/>
      <c r="X224" s="586" t="str">
        <f t="shared" si="47"/>
        <v/>
      </c>
      <c r="Y224" s="586" t="str">
        <f t="shared" si="56"/>
        <v/>
      </c>
      <c r="Z224" s="586" t="str">
        <f t="shared" si="58"/>
        <v/>
      </c>
    </row>
    <row r="225" spans="1:26" ht="12" hidden="1" thickBot="1" x14ac:dyDescent="0.25">
      <c r="A225" s="652" t="s">
        <v>187</v>
      </c>
      <c r="B225" s="572" t="s">
        <v>187</v>
      </c>
      <c r="C225" s="573" t="s">
        <v>187</v>
      </c>
      <c r="D225" s="580"/>
      <c r="E225" s="575"/>
      <c r="F225" s="436"/>
      <c r="G225" s="431"/>
      <c r="H225" s="430"/>
      <c r="I225" s="432"/>
      <c r="J225" s="433"/>
      <c r="K225" s="437">
        <f t="shared" si="55"/>
        <v>0</v>
      </c>
      <c r="L225" s="452" t="s">
        <v>614</v>
      </c>
      <c r="M225" s="576"/>
      <c r="N225" s="576">
        <f t="shared" si="57"/>
        <v>0</v>
      </c>
      <c r="O225" s="577">
        <f t="shared" si="59"/>
        <v>0</v>
      </c>
      <c r="P225" s="578">
        <f t="shared" si="60"/>
        <v>0</v>
      </c>
      <c r="Q225" s="765"/>
      <c r="R225" s="576">
        <f>M225</f>
        <v>0</v>
      </c>
      <c r="S225" s="576">
        <f t="shared" si="61"/>
        <v>0</v>
      </c>
      <c r="T225" s="577">
        <f t="shared" si="62"/>
        <v>0</v>
      </c>
      <c r="U225" s="578">
        <f t="shared" si="63"/>
        <v>0</v>
      </c>
      <c r="V225" s="579"/>
      <c r="W225" s="566"/>
      <c r="X225" s="586" t="str">
        <f t="shared" si="47"/>
        <v/>
      </c>
      <c r="Y225" s="586" t="str">
        <f t="shared" si="56"/>
        <v/>
      </c>
      <c r="Z225" s="586" t="str">
        <f t="shared" si="58"/>
        <v/>
      </c>
    </row>
    <row r="226" spans="1:26" ht="12" hidden="1" thickBot="1" x14ac:dyDescent="0.25">
      <c r="A226" s="652" t="s">
        <v>187</v>
      </c>
      <c r="B226" s="581" t="s">
        <v>187</v>
      </c>
      <c r="C226" s="582" t="s">
        <v>187</v>
      </c>
      <c r="D226" s="583"/>
      <c r="E226" s="584"/>
      <c r="F226" s="438"/>
      <c r="G226" s="439"/>
      <c r="H226" s="440"/>
      <c r="I226" s="441"/>
      <c r="J226" s="442"/>
      <c r="K226" s="443">
        <f t="shared" si="55"/>
        <v>0</v>
      </c>
      <c r="L226" s="453" t="s">
        <v>614</v>
      </c>
      <c r="M226" s="576"/>
      <c r="N226" s="576">
        <f t="shared" si="57"/>
        <v>0</v>
      </c>
      <c r="O226" s="585">
        <f t="shared" si="59"/>
        <v>0</v>
      </c>
      <c r="P226" s="660">
        <f t="shared" si="60"/>
        <v>0</v>
      </c>
      <c r="Q226" s="765"/>
      <c r="R226" s="576">
        <f>M226</f>
        <v>0</v>
      </c>
      <c r="S226" s="576">
        <f t="shared" si="61"/>
        <v>0</v>
      </c>
      <c r="T226" s="585">
        <f t="shared" si="62"/>
        <v>0</v>
      </c>
      <c r="U226" s="660">
        <f t="shared" si="63"/>
        <v>0</v>
      </c>
      <c r="V226" s="579"/>
      <c r="W226" s="566"/>
      <c r="X226" s="586" t="str">
        <f t="shared" ref="X226:X289" si="64">IF(W226="X","x",IF(W226="xx","x",IF(W226="xy","x",IF(W226="y","x",IF(OR(P226&gt;0,U226&gt;0),"x","")))))</f>
        <v/>
      </c>
      <c r="Y226" s="586" t="str">
        <f t="shared" si="56"/>
        <v/>
      </c>
      <c r="Z226" s="586" t="str">
        <f t="shared" si="58"/>
        <v/>
      </c>
    </row>
    <row r="227" spans="1:26" ht="12" thickBot="1" x14ac:dyDescent="0.25">
      <c r="A227" s="567" t="s">
        <v>225</v>
      </c>
      <c r="B227" s="664" t="s">
        <v>225</v>
      </c>
      <c r="C227" s="665"/>
      <c r="D227" s="666" t="s">
        <v>460</v>
      </c>
      <c r="E227" s="631"/>
      <c r="F227" s="632"/>
      <c r="G227" s="633"/>
      <c r="H227" s="634"/>
      <c r="I227" s="409"/>
      <c r="J227" s="409"/>
      <c r="K227" s="409"/>
      <c r="L227" s="674" t="s">
        <v>614</v>
      </c>
      <c r="M227" s="634"/>
      <c r="N227" s="797"/>
      <c r="O227" s="409">
        <f t="shared" si="59"/>
        <v>0</v>
      </c>
      <c r="P227" s="635">
        <f t="shared" si="60"/>
        <v>0</v>
      </c>
      <c r="Q227" s="635">
        <f>SUM(P228:P527)</f>
        <v>1163685.27</v>
      </c>
      <c r="R227" s="634"/>
      <c r="S227" s="409"/>
      <c r="T227" s="409">
        <f t="shared" si="62"/>
        <v>0</v>
      </c>
      <c r="U227" s="635">
        <f t="shared" si="63"/>
        <v>0</v>
      </c>
      <c r="V227" s="636">
        <f>SUM(U228:U527)</f>
        <v>1163685.27</v>
      </c>
      <c r="W227" s="637" t="str">
        <f>IF(OR(Q227&gt;0,V227&gt;0),"X","")</f>
        <v>X</v>
      </c>
      <c r="X227" s="586" t="str">
        <f t="shared" si="64"/>
        <v>x</v>
      </c>
      <c r="Y227" s="586" t="str">
        <f t="shared" si="56"/>
        <v>x</v>
      </c>
      <c r="Z227" s="586" t="str">
        <f t="shared" si="58"/>
        <v>x</v>
      </c>
    </row>
    <row r="228" spans="1:26" ht="12" thickBot="1" x14ac:dyDescent="0.25">
      <c r="A228" s="567" t="s">
        <v>1743</v>
      </c>
      <c r="B228" s="454" t="s">
        <v>1743</v>
      </c>
      <c r="C228" s="455" t="s">
        <v>484</v>
      </c>
      <c r="D228" s="456" t="s">
        <v>237</v>
      </c>
      <c r="E228" s="457"/>
      <c r="F228" s="458"/>
      <c r="G228" s="459"/>
      <c r="H228" s="675"/>
      <c r="I228" s="460">
        <v>0.5</v>
      </c>
      <c r="J228" s="460">
        <f>IF(ISBLANK(I228),"",SUM(H228:I228))</f>
        <v>0.5</v>
      </c>
      <c r="K228" s="676">
        <f t="shared" ref="K228:K249" si="65">IF(ISBLANK(I228),0,ROUND(J228*(1+$F$10)*(1+$F$11*E228),2))</f>
        <v>0.59</v>
      </c>
      <c r="L228" s="677" t="s">
        <v>18</v>
      </c>
      <c r="M228" s="576">
        <f>'ORÇ AV PADRE IVO'!M228+'ORÇ JOÃO NUNES'!M228+'ORÇ LAUDOMIRO'!M228</f>
        <v>12493.62</v>
      </c>
      <c r="N228" s="798">
        <f t="shared" si="57"/>
        <v>0.59</v>
      </c>
      <c r="O228" s="679">
        <f t="shared" si="59"/>
        <v>7371.24</v>
      </c>
      <c r="P228" s="680">
        <f t="shared" si="60"/>
        <v>7371.24</v>
      </c>
      <c r="Q228" s="765"/>
      <c r="R228" s="576">
        <f>M228</f>
        <v>12493.62</v>
      </c>
      <c r="S228" s="576">
        <f t="shared" si="61"/>
        <v>0.59</v>
      </c>
      <c r="T228" s="577">
        <f t="shared" si="62"/>
        <v>7371.24</v>
      </c>
      <c r="U228" s="578">
        <f t="shared" si="63"/>
        <v>7371.24</v>
      </c>
      <c r="V228" s="579"/>
      <c r="W228" s="566"/>
      <c r="X228" s="586" t="str">
        <f t="shared" si="64"/>
        <v>x</v>
      </c>
      <c r="Y228" s="586" t="str">
        <f t="shared" si="56"/>
        <v>x</v>
      </c>
      <c r="Z228" s="586" t="str">
        <f t="shared" si="58"/>
        <v>x</v>
      </c>
    </row>
    <row r="229" spans="1:26" ht="12" hidden="1" thickBot="1" x14ac:dyDescent="0.25">
      <c r="A229" s="567">
        <v>560100</v>
      </c>
      <c r="B229" s="461" t="s">
        <v>1744</v>
      </c>
      <c r="C229" s="462" t="s">
        <v>206</v>
      </c>
      <c r="D229" s="463" t="s">
        <v>1573</v>
      </c>
      <c r="E229" s="464"/>
      <c r="F229" s="465" t="s">
        <v>667</v>
      </c>
      <c r="G229" s="466">
        <v>1.1999999999999999E-3</v>
      </c>
      <c r="H229" s="681"/>
      <c r="I229" s="467">
        <v>0.5</v>
      </c>
      <c r="J229" s="467">
        <f>I229</f>
        <v>0.5</v>
      </c>
      <c r="K229" s="682">
        <f t="shared" si="65"/>
        <v>0.59</v>
      </c>
      <c r="L229" s="683" t="s">
        <v>18</v>
      </c>
      <c r="M229" s="684"/>
      <c r="N229" s="576">
        <f t="shared" si="57"/>
        <v>0</v>
      </c>
      <c r="O229" s="642">
        <f t="shared" si="59"/>
        <v>0</v>
      </c>
      <c r="P229" s="659">
        <f t="shared" si="60"/>
        <v>0</v>
      </c>
      <c r="Q229" s="765"/>
      <c r="R229" s="685">
        <f>M229</f>
        <v>0</v>
      </c>
      <c r="S229" s="686">
        <f t="shared" si="61"/>
        <v>0</v>
      </c>
      <c r="T229" s="687">
        <f t="shared" si="62"/>
        <v>0</v>
      </c>
      <c r="U229" s="688">
        <f t="shared" si="63"/>
        <v>0</v>
      </c>
      <c r="V229" s="579"/>
      <c r="W229" s="566"/>
      <c r="X229" s="586" t="str">
        <f t="shared" si="64"/>
        <v/>
      </c>
      <c r="Y229" s="586" t="str">
        <f t="shared" si="56"/>
        <v/>
      </c>
      <c r="Z229" s="586" t="str">
        <f t="shared" si="58"/>
        <v/>
      </c>
    </row>
    <row r="230" spans="1:26" ht="12" hidden="1" thickBot="1" x14ac:dyDescent="0.25">
      <c r="A230" s="567">
        <v>589420</v>
      </c>
      <c r="B230" s="468" t="s">
        <v>1745</v>
      </c>
      <c r="C230" s="689" t="s">
        <v>1746</v>
      </c>
      <c r="D230" s="469" t="s">
        <v>745</v>
      </c>
      <c r="E230" s="470"/>
      <c r="F230" s="471">
        <v>500</v>
      </c>
      <c r="G230" s="785">
        <v>1</v>
      </c>
      <c r="H230" s="663">
        <f>(0.84*F230+41.45)*G230</f>
        <v>461.45</v>
      </c>
      <c r="I230" s="472">
        <v>3820</v>
      </c>
      <c r="J230" s="472">
        <f>IF(ISBLANK(I230),"",I230*(1+$F$9)/(1+$F$10))+H230</f>
        <v>4167.952819627978</v>
      </c>
      <c r="K230" s="690">
        <f t="shared" si="65"/>
        <v>4951.9399999999996</v>
      </c>
      <c r="L230" s="691" t="s">
        <v>20</v>
      </c>
      <c r="M230" s="692">
        <f>ROUND(M229*G229,2)</f>
        <v>0</v>
      </c>
      <c r="N230" s="799">
        <f t="shared" si="57"/>
        <v>0</v>
      </c>
      <c r="O230" s="693">
        <f t="shared" si="59"/>
        <v>0</v>
      </c>
      <c r="P230" s="694">
        <f t="shared" si="60"/>
        <v>0</v>
      </c>
      <c r="Q230" s="765"/>
      <c r="R230" s="695">
        <f>ROUND(R229*G229,2)</f>
        <v>0</v>
      </c>
      <c r="S230" s="696">
        <f t="shared" si="61"/>
        <v>0</v>
      </c>
      <c r="T230" s="693">
        <f t="shared" si="62"/>
        <v>0</v>
      </c>
      <c r="U230" s="694">
        <f t="shared" si="63"/>
        <v>0</v>
      </c>
      <c r="V230" s="579"/>
      <c r="W230" s="566"/>
      <c r="X230" s="586" t="str">
        <f>IF(W230="X","x",IF(W230="xx","x",IF(W230="xy","x",IF(W230="y","x",IF(OR(P230&gt;0,U230&gt;0),"x","")))))</f>
        <v/>
      </c>
      <c r="Y230" s="586" t="str">
        <f>IF(W230="X","x",IF(W230="y","x",IF(W230="xx","x",IF(U230&gt;0,"x",""))))</f>
        <v/>
      </c>
      <c r="Z230" s="586" t="str">
        <f>IF(W230="X","x",IF(U230&gt;0,"x",""))</f>
        <v/>
      </c>
    </row>
    <row r="231" spans="1:26" ht="12" hidden="1" thickBot="1" x14ac:dyDescent="0.25">
      <c r="A231" s="567">
        <v>560100</v>
      </c>
      <c r="B231" s="461" t="s">
        <v>1747</v>
      </c>
      <c r="C231" s="462" t="s">
        <v>206</v>
      </c>
      <c r="D231" s="463" t="s">
        <v>646</v>
      </c>
      <c r="E231" s="464"/>
      <c r="F231" s="465" t="s">
        <v>667</v>
      </c>
      <c r="G231" s="466">
        <v>1.1000000000000001E-3</v>
      </c>
      <c r="H231" s="681"/>
      <c r="I231" s="467">
        <v>0.5</v>
      </c>
      <c r="J231" s="467">
        <f>IF(ISBLANK(I231),"",SUM(H231:I231))</f>
        <v>0.5</v>
      </c>
      <c r="K231" s="682">
        <f t="shared" si="65"/>
        <v>0.59</v>
      </c>
      <c r="L231" s="683" t="s">
        <v>18</v>
      </c>
      <c r="M231" s="684"/>
      <c r="N231" s="576">
        <f t="shared" si="57"/>
        <v>0</v>
      </c>
      <c r="O231" s="642">
        <f t="shared" si="59"/>
        <v>0</v>
      </c>
      <c r="P231" s="659">
        <f t="shared" si="60"/>
        <v>0</v>
      </c>
      <c r="Q231" s="765"/>
      <c r="R231" s="685">
        <f>M231</f>
        <v>0</v>
      </c>
      <c r="S231" s="686">
        <f t="shared" si="61"/>
        <v>0</v>
      </c>
      <c r="T231" s="687">
        <f t="shared" si="62"/>
        <v>0</v>
      </c>
      <c r="U231" s="688">
        <f t="shared" si="63"/>
        <v>0</v>
      </c>
      <c r="V231" s="579"/>
      <c r="W231" s="566"/>
      <c r="X231" s="586" t="str">
        <f t="shared" si="64"/>
        <v/>
      </c>
      <c r="Y231" s="586" t="str">
        <f t="shared" si="56"/>
        <v/>
      </c>
      <c r="Z231" s="586" t="str">
        <f t="shared" si="58"/>
        <v/>
      </c>
    </row>
    <row r="232" spans="1:26" ht="12" hidden="1" thickBot="1" x14ac:dyDescent="0.25">
      <c r="A232" s="567">
        <v>589190</v>
      </c>
      <c r="B232" s="468" t="s">
        <v>1748</v>
      </c>
      <c r="C232" s="689" t="s">
        <v>1746</v>
      </c>
      <c r="D232" s="469" t="s">
        <v>746</v>
      </c>
      <c r="E232" s="470"/>
      <c r="F232" s="471">
        <v>500</v>
      </c>
      <c r="G232" s="785">
        <v>1</v>
      </c>
      <c r="H232" s="663">
        <f>(0.84*F232+41.45)*G232</f>
        <v>461.45</v>
      </c>
      <c r="I232" s="472">
        <v>4040</v>
      </c>
      <c r="J232" s="472">
        <f>IF(ISBLANK(I232),"",I232*(1+$F$9)/(1+$F$10))+H232</f>
        <v>4381.4163328002696</v>
      </c>
      <c r="K232" s="690">
        <f t="shared" si="65"/>
        <v>5205.5600000000004</v>
      </c>
      <c r="L232" s="691" t="s">
        <v>20</v>
      </c>
      <c r="M232" s="692">
        <f>ROUND(M231*G231,2)</f>
        <v>0</v>
      </c>
      <c r="N232" s="799">
        <f t="shared" si="57"/>
        <v>0</v>
      </c>
      <c r="O232" s="693">
        <f t="shared" si="59"/>
        <v>0</v>
      </c>
      <c r="P232" s="694">
        <f t="shared" si="60"/>
        <v>0</v>
      </c>
      <c r="Q232" s="765"/>
      <c r="R232" s="695">
        <f>ROUND(R231*G231,2)</f>
        <v>0</v>
      </c>
      <c r="S232" s="696">
        <f t="shared" si="61"/>
        <v>0</v>
      </c>
      <c r="T232" s="693">
        <f t="shared" si="62"/>
        <v>0</v>
      </c>
      <c r="U232" s="694">
        <f t="shared" si="63"/>
        <v>0</v>
      </c>
      <c r="V232" s="579"/>
      <c r="W232" s="566"/>
      <c r="X232" s="586" t="str">
        <f t="shared" si="64"/>
        <v/>
      </c>
      <c r="Y232" s="586" t="str">
        <f t="shared" si="56"/>
        <v/>
      </c>
      <c r="Z232" s="586" t="str">
        <f t="shared" si="58"/>
        <v/>
      </c>
    </row>
    <row r="233" spans="1:26" ht="12" hidden="1" thickBot="1" x14ac:dyDescent="0.25">
      <c r="A233" s="567">
        <v>560400</v>
      </c>
      <c r="B233" s="461" t="s">
        <v>1749</v>
      </c>
      <c r="C233" s="462" t="s">
        <v>206</v>
      </c>
      <c r="D233" s="463" t="s">
        <v>647</v>
      </c>
      <c r="E233" s="464"/>
      <c r="F233" s="465" t="s">
        <v>667</v>
      </c>
      <c r="G233" s="466">
        <v>1.1999999999999999E-3</v>
      </c>
      <c r="H233" s="681"/>
      <c r="I233" s="467">
        <v>0.5</v>
      </c>
      <c r="J233" s="467">
        <f>IF(ISBLANK(I233),"",SUM(H233:I233))</f>
        <v>0.5</v>
      </c>
      <c r="K233" s="682">
        <f t="shared" si="65"/>
        <v>0.59</v>
      </c>
      <c r="L233" s="683" t="s">
        <v>18</v>
      </c>
      <c r="M233" s="684"/>
      <c r="N233" s="576">
        <f t="shared" si="57"/>
        <v>0</v>
      </c>
      <c r="O233" s="642">
        <f t="shared" si="59"/>
        <v>0</v>
      </c>
      <c r="P233" s="659">
        <f t="shared" si="60"/>
        <v>0</v>
      </c>
      <c r="Q233" s="765"/>
      <c r="R233" s="685">
        <f>M233</f>
        <v>0</v>
      </c>
      <c r="S233" s="686">
        <f t="shared" si="61"/>
        <v>0</v>
      </c>
      <c r="T233" s="687">
        <f t="shared" si="62"/>
        <v>0</v>
      </c>
      <c r="U233" s="688">
        <f t="shared" si="63"/>
        <v>0</v>
      </c>
      <c r="V233" s="579"/>
      <c r="W233" s="566"/>
      <c r="X233" s="586" t="str">
        <f t="shared" si="64"/>
        <v/>
      </c>
      <c r="Y233" s="586" t="str">
        <f t="shared" si="56"/>
        <v/>
      </c>
      <c r="Z233" s="586" t="str">
        <f t="shared" si="58"/>
        <v/>
      </c>
    </row>
    <row r="234" spans="1:26" ht="12" hidden="1" thickBot="1" x14ac:dyDescent="0.25">
      <c r="A234" s="567">
        <v>589100</v>
      </c>
      <c r="B234" s="468" t="s">
        <v>1750</v>
      </c>
      <c r="C234" s="689" t="s">
        <v>1746</v>
      </c>
      <c r="D234" s="469" t="s">
        <v>653</v>
      </c>
      <c r="E234" s="470"/>
      <c r="F234" s="471">
        <v>500</v>
      </c>
      <c r="G234" s="785">
        <v>1</v>
      </c>
      <c r="H234" s="663">
        <f>(0.84*F234+41.45)*G234</f>
        <v>461.45</v>
      </c>
      <c r="I234" s="472">
        <v>6629</v>
      </c>
      <c r="J234" s="472">
        <f>IF(ISBLANK(I234),"",I234*(1+$F$9)/(1+$F$10))+H234</f>
        <v>6893.4937673596505</v>
      </c>
      <c r="K234" s="690">
        <f t="shared" si="65"/>
        <v>8190.16</v>
      </c>
      <c r="L234" s="691" t="s">
        <v>20</v>
      </c>
      <c r="M234" s="692">
        <f>ROUND(M233*G233,2)</f>
        <v>0</v>
      </c>
      <c r="N234" s="799">
        <f t="shared" si="57"/>
        <v>0</v>
      </c>
      <c r="O234" s="693">
        <f t="shared" si="59"/>
        <v>0</v>
      </c>
      <c r="P234" s="694">
        <f t="shared" si="60"/>
        <v>0</v>
      </c>
      <c r="Q234" s="765"/>
      <c r="R234" s="695">
        <f>ROUND(R233*G233,2)</f>
        <v>0</v>
      </c>
      <c r="S234" s="696">
        <f t="shared" si="61"/>
        <v>0</v>
      </c>
      <c r="T234" s="693">
        <f t="shared" si="62"/>
        <v>0</v>
      </c>
      <c r="U234" s="694">
        <f t="shared" si="63"/>
        <v>0</v>
      </c>
      <c r="V234" s="579"/>
      <c r="W234" s="566"/>
      <c r="X234" s="586" t="str">
        <f>IF(W234="X","x",IF(W234="xx","x",IF(W234="xy","x",IF(W234="y","x",IF(OR(P234&gt;0,U234&gt;0),"x","")))))</f>
        <v/>
      </c>
      <c r="Y234" s="586" t="str">
        <f>IF(W234="X","x",IF(W234="y","x",IF(W234="xx","x",IF(U234&gt;0,"x",""))))</f>
        <v/>
      </c>
      <c r="Z234" s="586" t="str">
        <f>IF(W234="X","x",IF(U234&gt;0,"x",""))</f>
        <v/>
      </c>
    </row>
    <row r="235" spans="1:26" x14ac:dyDescent="0.2">
      <c r="A235" s="567">
        <v>561100</v>
      </c>
      <c r="B235" s="461" t="s">
        <v>1751</v>
      </c>
      <c r="C235" s="462" t="s">
        <v>206</v>
      </c>
      <c r="D235" s="463" t="s">
        <v>747</v>
      </c>
      <c r="E235" s="464"/>
      <c r="F235" s="465" t="s">
        <v>667</v>
      </c>
      <c r="G235" s="466">
        <v>5.0000000000000001E-4</v>
      </c>
      <c r="H235" s="681"/>
      <c r="I235" s="467">
        <v>0.34</v>
      </c>
      <c r="J235" s="467">
        <f>IF(ISBLANK(I235),"",SUM(H235:I235))</f>
        <v>0.34</v>
      </c>
      <c r="K235" s="682">
        <f t="shared" si="65"/>
        <v>0.4</v>
      </c>
      <c r="L235" s="683" t="s">
        <v>18</v>
      </c>
      <c r="M235" s="576">
        <f>'ORÇ AV PADRE IVO'!M235+'ORÇ JOÃO NUNES'!M235+'ORÇ LAUDOMIRO'!M235</f>
        <v>24987.24</v>
      </c>
      <c r="N235" s="576">
        <f t="shared" si="57"/>
        <v>0.4</v>
      </c>
      <c r="O235" s="642">
        <f t="shared" si="59"/>
        <v>9994.9</v>
      </c>
      <c r="P235" s="659">
        <f t="shared" si="60"/>
        <v>9994.9</v>
      </c>
      <c r="Q235" s="765"/>
      <c r="R235" s="685">
        <f>M235</f>
        <v>24987.24</v>
      </c>
      <c r="S235" s="686">
        <f t="shared" si="61"/>
        <v>0.4</v>
      </c>
      <c r="T235" s="687">
        <f t="shared" si="62"/>
        <v>9994.9</v>
      </c>
      <c r="U235" s="688">
        <f t="shared" si="63"/>
        <v>9994.9</v>
      </c>
      <c r="V235" s="579"/>
      <c r="W235" s="566"/>
      <c r="X235" s="586" t="str">
        <f t="shared" si="64"/>
        <v>x</v>
      </c>
      <c r="Y235" s="586" t="str">
        <f t="shared" si="56"/>
        <v>x</v>
      </c>
      <c r="Z235" s="586" t="str">
        <f t="shared" si="58"/>
        <v>x</v>
      </c>
    </row>
    <row r="236" spans="1:26" ht="12" thickBot="1" x14ac:dyDescent="0.25">
      <c r="A236" s="567">
        <v>589420</v>
      </c>
      <c r="B236" s="468" t="s">
        <v>1752</v>
      </c>
      <c r="C236" s="689" t="s">
        <v>1746</v>
      </c>
      <c r="D236" s="469" t="s">
        <v>748</v>
      </c>
      <c r="E236" s="470"/>
      <c r="F236" s="807">
        <v>465</v>
      </c>
      <c r="G236" s="697">
        <v>1</v>
      </c>
      <c r="H236" s="663">
        <f>(0.84*F236+41.45)*G236</f>
        <v>432.04999999999995</v>
      </c>
      <c r="I236" s="472">
        <v>3820</v>
      </c>
      <c r="J236" s="472">
        <f>IF(ISBLANK(I236),"",I236*(1+$F$9)/(1+$F$10))+H236</f>
        <v>4138.5528196279774</v>
      </c>
      <c r="K236" s="690">
        <f t="shared" si="65"/>
        <v>4917.01</v>
      </c>
      <c r="L236" s="691" t="s">
        <v>20</v>
      </c>
      <c r="M236" s="692">
        <f>ROUND(M235*G235,2)</f>
        <v>12.49</v>
      </c>
      <c r="N236" s="799">
        <f t="shared" si="57"/>
        <v>4917.01</v>
      </c>
      <c r="O236" s="693">
        <f t="shared" si="59"/>
        <v>61413.45</v>
      </c>
      <c r="P236" s="694">
        <f t="shared" si="60"/>
        <v>61413.45</v>
      </c>
      <c r="Q236" s="765"/>
      <c r="R236" s="695">
        <f>ROUND(R235*G235,2)</f>
        <v>12.49</v>
      </c>
      <c r="S236" s="696">
        <f t="shared" si="61"/>
        <v>4917.01</v>
      </c>
      <c r="T236" s="693">
        <f t="shared" si="62"/>
        <v>61413.45</v>
      </c>
      <c r="U236" s="694">
        <f t="shared" si="63"/>
        <v>61413.45</v>
      </c>
      <c r="V236" s="579"/>
      <c r="W236" s="566"/>
      <c r="X236" s="586" t="str">
        <f>IF(W236="X","x",IF(W236="xx","x",IF(W236="xy","x",IF(W236="y","x",IF(OR(P236&gt;0,U236&gt;0),"x","")))))</f>
        <v>x</v>
      </c>
      <c r="Y236" s="586" t="str">
        <f>IF(W236="X","x",IF(W236="y","x",IF(W236="xx","x",IF(U236&gt;0,"x",""))))</f>
        <v>x</v>
      </c>
      <c r="Z236" s="586" t="str">
        <f>IF(W236="X","x",IF(U236&gt;0,"x",""))</f>
        <v>x</v>
      </c>
    </row>
    <row r="237" spans="1:26" ht="12" hidden="1" thickBot="1" x14ac:dyDescent="0.25">
      <c r="A237" s="567">
        <v>521450</v>
      </c>
      <c r="B237" s="450" t="s">
        <v>1753</v>
      </c>
      <c r="C237" s="473" t="s">
        <v>206</v>
      </c>
      <c r="D237" s="422" t="s">
        <v>238</v>
      </c>
      <c r="E237" s="423"/>
      <c r="F237" s="424">
        <v>20</v>
      </c>
      <c r="G237" s="413">
        <v>0.3</v>
      </c>
      <c r="H237" s="681">
        <f t="shared" ref="H237:H238" si="66">IF(F237&lt;=30,(1.07*F237+2.68)*G237,((1.07*30+2.68)+1.07*(F237-30))*G237)</f>
        <v>7.2240000000000002</v>
      </c>
      <c r="I237" s="420">
        <v>24.94</v>
      </c>
      <c r="J237" s="420">
        <f t="shared" ref="J237:J253" si="67">IF(ISBLANK(I237),"",SUM(H237:I237))</f>
        <v>32.164000000000001</v>
      </c>
      <c r="K237" s="421">
        <f t="shared" si="65"/>
        <v>38.21</v>
      </c>
      <c r="L237" s="647" t="s">
        <v>18</v>
      </c>
      <c r="M237" s="576"/>
      <c r="N237" s="576">
        <f t="shared" si="57"/>
        <v>0</v>
      </c>
      <c r="O237" s="577">
        <f t="shared" si="59"/>
        <v>0</v>
      </c>
      <c r="P237" s="578">
        <f t="shared" si="60"/>
        <v>0</v>
      </c>
      <c r="Q237" s="765"/>
      <c r="R237" s="576">
        <f t="shared" ref="R237:R255" si="68">M237</f>
        <v>0</v>
      </c>
      <c r="S237" s="576">
        <f t="shared" si="61"/>
        <v>0</v>
      </c>
      <c r="T237" s="577">
        <f t="shared" si="62"/>
        <v>0</v>
      </c>
      <c r="U237" s="578">
        <f t="shared" si="63"/>
        <v>0</v>
      </c>
      <c r="V237" s="579"/>
      <c r="W237" s="566"/>
      <c r="X237" s="586" t="str">
        <f t="shared" si="64"/>
        <v/>
      </c>
      <c r="Y237" s="586" t="str">
        <f t="shared" si="56"/>
        <v/>
      </c>
      <c r="Z237" s="586" t="str">
        <f t="shared" si="58"/>
        <v/>
      </c>
    </row>
    <row r="238" spans="1:26" ht="12" hidden="1" thickBot="1" x14ac:dyDescent="0.25">
      <c r="A238" s="567">
        <v>535200</v>
      </c>
      <c r="B238" s="644" t="s">
        <v>1542</v>
      </c>
      <c r="C238" s="645" t="s">
        <v>206</v>
      </c>
      <c r="D238" s="422" t="s">
        <v>239</v>
      </c>
      <c r="E238" s="423"/>
      <c r="F238" s="424">
        <v>20</v>
      </c>
      <c r="G238" s="419">
        <v>7.6999999999999999E-2</v>
      </c>
      <c r="H238" s="663">
        <f t="shared" si="66"/>
        <v>1.85416</v>
      </c>
      <c r="I238" s="420">
        <v>10.85</v>
      </c>
      <c r="J238" s="420">
        <f t="shared" si="67"/>
        <v>12.70416</v>
      </c>
      <c r="K238" s="421">
        <f t="shared" si="65"/>
        <v>15.09</v>
      </c>
      <c r="L238" s="647" t="s">
        <v>19</v>
      </c>
      <c r="M238" s="576"/>
      <c r="N238" s="576">
        <f t="shared" si="57"/>
        <v>0</v>
      </c>
      <c r="O238" s="577">
        <f t="shared" si="59"/>
        <v>0</v>
      </c>
      <c r="P238" s="578">
        <f t="shared" si="60"/>
        <v>0</v>
      </c>
      <c r="Q238" s="765"/>
      <c r="R238" s="576">
        <f t="shared" si="68"/>
        <v>0</v>
      </c>
      <c r="S238" s="576">
        <f t="shared" si="61"/>
        <v>0</v>
      </c>
      <c r="T238" s="577">
        <f t="shared" si="62"/>
        <v>0</v>
      </c>
      <c r="U238" s="578">
        <f t="shared" si="63"/>
        <v>0</v>
      </c>
      <c r="V238" s="579"/>
      <c r="W238" s="566"/>
      <c r="X238" s="586" t="str">
        <f t="shared" si="64"/>
        <v/>
      </c>
      <c r="Y238" s="586" t="str">
        <f t="shared" si="56"/>
        <v/>
      </c>
      <c r="Z238" s="586" t="str">
        <f t="shared" si="58"/>
        <v/>
      </c>
    </row>
    <row r="239" spans="1:26" ht="12" hidden="1" thickBot="1" x14ac:dyDescent="0.25">
      <c r="A239" s="567">
        <v>521450</v>
      </c>
      <c r="B239" s="644" t="s">
        <v>1543</v>
      </c>
      <c r="C239" s="645" t="s">
        <v>206</v>
      </c>
      <c r="D239" s="422" t="s">
        <v>485</v>
      </c>
      <c r="E239" s="423"/>
      <c r="F239" s="424"/>
      <c r="G239" s="419"/>
      <c r="H239" s="651"/>
      <c r="I239" s="420">
        <v>9.42</v>
      </c>
      <c r="J239" s="420">
        <f t="shared" si="67"/>
        <v>9.42</v>
      </c>
      <c r="K239" s="421">
        <f t="shared" si="65"/>
        <v>11.19</v>
      </c>
      <c r="L239" s="647" t="s">
        <v>18</v>
      </c>
      <c r="M239" s="576"/>
      <c r="N239" s="576">
        <f t="shared" si="57"/>
        <v>0</v>
      </c>
      <c r="O239" s="577">
        <f t="shared" si="59"/>
        <v>0</v>
      </c>
      <c r="P239" s="578">
        <f t="shared" si="60"/>
        <v>0</v>
      </c>
      <c r="Q239" s="765"/>
      <c r="R239" s="576">
        <f t="shared" si="68"/>
        <v>0</v>
      </c>
      <c r="S239" s="576">
        <f t="shared" si="61"/>
        <v>0</v>
      </c>
      <c r="T239" s="577">
        <f t="shared" si="62"/>
        <v>0</v>
      </c>
      <c r="U239" s="578">
        <f t="shared" si="63"/>
        <v>0</v>
      </c>
      <c r="V239" s="579"/>
      <c r="W239" s="566"/>
      <c r="X239" s="586" t="str">
        <f t="shared" si="64"/>
        <v/>
      </c>
      <c r="Y239" s="586" t="str">
        <f t="shared" si="56"/>
        <v/>
      </c>
      <c r="Z239" s="586" t="str">
        <f t="shared" si="58"/>
        <v/>
      </c>
    </row>
    <row r="240" spans="1:26" ht="12" hidden="1" thickBot="1" x14ac:dyDescent="0.25">
      <c r="A240" s="567">
        <v>521450</v>
      </c>
      <c r="B240" s="644" t="s">
        <v>1544</v>
      </c>
      <c r="C240" s="645" t="s">
        <v>206</v>
      </c>
      <c r="D240" s="422" t="s">
        <v>240</v>
      </c>
      <c r="E240" s="423"/>
      <c r="F240" s="424"/>
      <c r="G240" s="419"/>
      <c r="H240" s="651"/>
      <c r="I240" s="420">
        <v>13.188000000000001</v>
      </c>
      <c r="J240" s="420">
        <f t="shared" si="67"/>
        <v>13.188000000000001</v>
      </c>
      <c r="K240" s="421">
        <f t="shared" si="65"/>
        <v>15.67</v>
      </c>
      <c r="L240" s="647" t="s">
        <v>18</v>
      </c>
      <c r="M240" s="576"/>
      <c r="N240" s="576">
        <f t="shared" si="57"/>
        <v>0</v>
      </c>
      <c r="O240" s="577">
        <f t="shared" si="59"/>
        <v>0</v>
      </c>
      <c r="P240" s="578">
        <f t="shared" si="60"/>
        <v>0</v>
      </c>
      <c r="Q240" s="765"/>
      <c r="R240" s="576">
        <f t="shared" si="68"/>
        <v>0</v>
      </c>
      <c r="S240" s="576">
        <f t="shared" si="61"/>
        <v>0</v>
      </c>
      <c r="T240" s="577">
        <f t="shared" si="62"/>
        <v>0</v>
      </c>
      <c r="U240" s="578">
        <f t="shared" si="63"/>
        <v>0</v>
      </c>
      <c r="V240" s="579"/>
      <c r="W240" s="566"/>
      <c r="X240" s="586" t="str">
        <f t="shared" si="64"/>
        <v/>
      </c>
      <c r="Y240" s="586" t="str">
        <f t="shared" si="56"/>
        <v/>
      </c>
      <c r="Z240" s="586" t="str">
        <f t="shared" si="58"/>
        <v/>
      </c>
    </row>
    <row r="241" spans="1:26" ht="12" hidden="1" thickBot="1" x14ac:dyDescent="0.25">
      <c r="A241" s="567">
        <v>535000</v>
      </c>
      <c r="B241" s="644" t="s">
        <v>1754</v>
      </c>
      <c r="C241" s="645" t="s">
        <v>206</v>
      </c>
      <c r="D241" s="422" t="s">
        <v>241</v>
      </c>
      <c r="E241" s="423"/>
      <c r="F241" s="424">
        <v>20</v>
      </c>
      <c r="G241" s="425">
        <v>0.27200000000000002</v>
      </c>
      <c r="H241" s="663">
        <f t="shared" ref="H241:H258" si="69">IF(F241&lt;=30,(1.07*F241+2.68)*G241,((1.07*30+2.68)+1.07*(F241-30))*G241)</f>
        <v>6.5497600000000009</v>
      </c>
      <c r="I241" s="420">
        <v>105.75</v>
      </c>
      <c r="J241" s="420">
        <f t="shared" si="67"/>
        <v>112.29976000000001</v>
      </c>
      <c r="K241" s="421">
        <f t="shared" si="65"/>
        <v>133.41999999999999</v>
      </c>
      <c r="L241" s="647" t="s">
        <v>18</v>
      </c>
      <c r="M241" s="576"/>
      <c r="N241" s="576">
        <f t="shared" si="57"/>
        <v>0</v>
      </c>
      <c r="O241" s="577">
        <f t="shared" si="59"/>
        <v>0</v>
      </c>
      <c r="P241" s="578">
        <f t="shared" si="60"/>
        <v>0</v>
      </c>
      <c r="Q241" s="765"/>
      <c r="R241" s="576">
        <f t="shared" si="68"/>
        <v>0</v>
      </c>
      <c r="S241" s="576">
        <f t="shared" si="61"/>
        <v>0</v>
      </c>
      <c r="T241" s="577">
        <f t="shared" si="62"/>
        <v>0</v>
      </c>
      <c r="U241" s="578">
        <f t="shared" si="63"/>
        <v>0</v>
      </c>
      <c r="V241" s="579"/>
      <c r="W241" s="566"/>
      <c r="X241" s="586" t="str">
        <f t="shared" si="64"/>
        <v/>
      </c>
      <c r="Y241" s="586" t="str">
        <f t="shared" si="56"/>
        <v/>
      </c>
      <c r="Z241" s="586" t="str">
        <f t="shared" si="58"/>
        <v/>
      </c>
    </row>
    <row r="242" spans="1:26" ht="12" hidden="1" thickBot="1" x14ac:dyDescent="0.25">
      <c r="A242" s="567">
        <v>863000</v>
      </c>
      <c r="B242" s="644" t="s">
        <v>1549</v>
      </c>
      <c r="C242" s="645" t="s">
        <v>206</v>
      </c>
      <c r="D242" s="422" t="s">
        <v>242</v>
      </c>
      <c r="E242" s="423"/>
      <c r="F242" s="424">
        <v>20</v>
      </c>
      <c r="G242" s="425">
        <f>2*0.04</f>
        <v>0.08</v>
      </c>
      <c r="H242" s="663">
        <f t="shared" si="69"/>
        <v>1.9264000000000001</v>
      </c>
      <c r="I242" s="420">
        <v>58.207999999999998</v>
      </c>
      <c r="J242" s="420">
        <f t="shared" si="67"/>
        <v>60.134399999999999</v>
      </c>
      <c r="K242" s="421">
        <f t="shared" si="65"/>
        <v>71.45</v>
      </c>
      <c r="L242" s="647" t="s">
        <v>18</v>
      </c>
      <c r="M242" s="576"/>
      <c r="N242" s="576">
        <f t="shared" si="57"/>
        <v>0</v>
      </c>
      <c r="O242" s="577">
        <f t="shared" si="59"/>
        <v>0</v>
      </c>
      <c r="P242" s="578">
        <f t="shared" si="60"/>
        <v>0</v>
      </c>
      <c r="Q242" s="765"/>
      <c r="R242" s="576">
        <f t="shared" si="68"/>
        <v>0</v>
      </c>
      <c r="S242" s="576">
        <f t="shared" si="61"/>
        <v>0</v>
      </c>
      <c r="T242" s="577">
        <f t="shared" si="62"/>
        <v>0</v>
      </c>
      <c r="U242" s="578">
        <f t="shared" si="63"/>
        <v>0</v>
      </c>
      <c r="V242" s="579"/>
      <c r="W242" s="566"/>
      <c r="X242" s="586" t="str">
        <f t="shared" si="64"/>
        <v/>
      </c>
      <c r="Y242" s="586" t="str">
        <f t="shared" si="56"/>
        <v/>
      </c>
      <c r="Z242" s="586" t="str">
        <f t="shared" si="58"/>
        <v/>
      </c>
    </row>
    <row r="243" spans="1:26" ht="12" hidden="1" thickBot="1" x14ac:dyDescent="0.25">
      <c r="A243" s="567">
        <v>863000</v>
      </c>
      <c r="B243" s="644" t="s">
        <v>1550</v>
      </c>
      <c r="C243" s="645" t="s">
        <v>206</v>
      </c>
      <c r="D243" s="422" t="s">
        <v>243</v>
      </c>
      <c r="E243" s="423"/>
      <c r="F243" s="424">
        <v>20</v>
      </c>
      <c r="G243" s="425">
        <f>2*0.05</f>
        <v>0.1</v>
      </c>
      <c r="H243" s="663">
        <f t="shared" si="69"/>
        <v>2.4080000000000004</v>
      </c>
      <c r="I243" s="420">
        <v>65.48</v>
      </c>
      <c r="J243" s="420">
        <f t="shared" si="67"/>
        <v>67.888000000000005</v>
      </c>
      <c r="K243" s="421">
        <f t="shared" si="65"/>
        <v>80.66</v>
      </c>
      <c r="L243" s="647" t="s">
        <v>18</v>
      </c>
      <c r="M243" s="576"/>
      <c r="N243" s="576">
        <f t="shared" si="57"/>
        <v>0</v>
      </c>
      <c r="O243" s="577">
        <f t="shared" si="59"/>
        <v>0</v>
      </c>
      <c r="P243" s="578">
        <f t="shared" si="60"/>
        <v>0</v>
      </c>
      <c r="Q243" s="765"/>
      <c r="R243" s="576">
        <f t="shared" si="68"/>
        <v>0</v>
      </c>
      <c r="S243" s="576">
        <f t="shared" si="61"/>
        <v>0</v>
      </c>
      <c r="T243" s="577">
        <f t="shared" si="62"/>
        <v>0</v>
      </c>
      <c r="U243" s="578">
        <f t="shared" si="63"/>
        <v>0</v>
      </c>
      <c r="V243" s="579"/>
      <c r="W243" s="566"/>
      <c r="X243" s="586" t="str">
        <f t="shared" si="64"/>
        <v/>
      </c>
      <c r="Y243" s="586" t="str">
        <f t="shared" si="56"/>
        <v/>
      </c>
      <c r="Z243" s="586" t="str">
        <f t="shared" si="58"/>
        <v/>
      </c>
    </row>
    <row r="244" spans="1:26" ht="12" hidden="1" thickBot="1" x14ac:dyDescent="0.25">
      <c r="A244" s="567">
        <v>534906</v>
      </c>
      <c r="B244" s="644" t="s">
        <v>1551</v>
      </c>
      <c r="C244" s="645" t="s">
        <v>206</v>
      </c>
      <c r="D244" s="422" t="s">
        <v>244</v>
      </c>
      <c r="E244" s="423"/>
      <c r="F244" s="424">
        <v>20</v>
      </c>
      <c r="G244" s="425">
        <f>2*0.06</f>
        <v>0.12</v>
      </c>
      <c r="H244" s="663">
        <f t="shared" si="69"/>
        <v>2.8896000000000002</v>
      </c>
      <c r="I244" s="420">
        <v>72.759999999999991</v>
      </c>
      <c r="J244" s="420">
        <f t="shared" si="67"/>
        <v>75.649599999999992</v>
      </c>
      <c r="K244" s="421">
        <f t="shared" si="65"/>
        <v>89.88</v>
      </c>
      <c r="L244" s="647" t="s">
        <v>18</v>
      </c>
      <c r="M244" s="576"/>
      <c r="N244" s="576">
        <f t="shared" si="57"/>
        <v>0</v>
      </c>
      <c r="O244" s="577">
        <f t="shared" si="59"/>
        <v>0</v>
      </c>
      <c r="P244" s="578">
        <f t="shared" si="60"/>
        <v>0</v>
      </c>
      <c r="Q244" s="765"/>
      <c r="R244" s="576">
        <f t="shared" si="68"/>
        <v>0</v>
      </c>
      <c r="S244" s="576">
        <f t="shared" si="61"/>
        <v>0</v>
      </c>
      <c r="T244" s="577">
        <f t="shared" si="62"/>
        <v>0</v>
      </c>
      <c r="U244" s="578">
        <f t="shared" si="63"/>
        <v>0</v>
      </c>
      <c r="V244" s="579"/>
      <c r="W244" s="566"/>
      <c r="X244" s="586" t="str">
        <f t="shared" si="64"/>
        <v/>
      </c>
      <c r="Y244" s="586" t="str">
        <f t="shared" si="56"/>
        <v/>
      </c>
      <c r="Z244" s="586" t="str">
        <f t="shared" si="58"/>
        <v/>
      </c>
    </row>
    <row r="245" spans="1:26" ht="12" hidden="1" thickBot="1" x14ac:dyDescent="0.25">
      <c r="A245" s="567">
        <v>534906</v>
      </c>
      <c r="B245" s="644" t="s">
        <v>1552</v>
      </c>
      <c r="C245" s="645" t="s">
        <v>206</v>
      </c>
      <c r="D245" s="422" t="s">
        <v>245</v>
      </c>
      <c r="E245" s="423"/>
      <c r="F245" s="424">
        <v>20</v>
      </c>
      <c r="G245" s="425">
        <f>2*0.07</f>
        <v>0.14000000000000001</v>
      </c>
      <c r="H245" s="663">
        <f t="shared" si="69"/>
        <v>3.3712000000000004</v>
      </c>
      <c r="I245" s="420">
        <v>78.16</v>
      </c>
      <c r="J245" s="420">
        <f t="shared" si="67"/>
        <v>81.531199999999998</v>
      </c>
      <c r="K245" s="421">
        <f t="shared" si="65"/>
        <v>96.87</v>
      </c>
      <c r="L245" s="647" t="s">
        <v>18</v>
      </c>
      <c r="M245" s="576"/>
      <c r="N245" s="576">
        <f t="shared" si="57"/>
        <v>0</v>
      </c>
      <c r="O245" s="577">
        <f t="shared" si="59"/>
        <v>0</v>
      </c>
      <c r="P245" s="578">
        <f t="shared" si="60"/>
        <v>0</v>
      </c>
      <c r="Q245" s="765"/>
      <c r="R245" s="576">
        <f t="shared" si="68"/>
        <v>0</v>
      </c>
      <c r="S245" s="576">
        <f t="shared" si="61"/>
        <v>0</v>
      </c>
      <c r="T245" s="577">
        <f t="shared" si="62"/>
        <v>0</v>
      </c>
      <c r="U245" s="578">
        <f t="shared" si="63"/>
        <v>0</v>
      </c>
      <c r="V245" s="579"/>
      <c r="W245" s="566"/>
      <c r="X245" s="586" t="str">
        <f t="shared" si="64"/>
        <v/>
      </c>
      <c r="Y245" s="586" t="str">
        <f t="shared" si="56"/>
        <v/>
      </c>
      <c r="Z245" s="586" t="str">
        <f t="shared" si="58"/>
        <v/>
      </c>
    </row>
    <row r="246" spans="1:26" ht="12" hidden="1" thickBot="1" x14ac:dyDescent="0.25">
      <c r="A246" s="567">
        <v>534906</v>
      </c>
      <c r="B246" s="644" t="s">
        <v>172</v>
      </c>
      <c r="C246" s="645" t="s">
        <v>206</v>
      </c>
      <c r="D246" s="422" t="s">
        <v>246</v>
      </c>
      <c r="E246" s="423"/>
      <c r="F246" s="424">
        <v>20</v>
      </c>
      <c r="G246" s="425">
        <f>2*0.08</f>
        <v>0.16</v>
      </c>
      <c r="H246" s="663">
        <f t="shared" si="69"/>
        <v>3.8528000000000002</v>
      </c>
      <c r="I246" s="420">
        <v>83.56</v>
      </c>
      <c r="J246" s="420">
        <f t="shared" si="67"/>
        <v>87.412800000000004</v>
      </c>
      <c r="K246" s="421">
        <f t="shared" si="65"/>
        <v>103.86</v>
      </c>
      <c r="L246" s="647" t="s">
        <v>18</v>
      </c>
      <c r="M246" s="576"/>
      <c r="N246" s="576">
        <f t="shared" si="57"/>
        <v>0</v>
      </c>
      <c r="O246" s="577">
        <f t="shared" si="59"/>
        <v>0</v>
      </c>
      <c r="P246" s="578">
        <f t="shared" si="60"/>
        <v>0</v>
      </c>
      <c r="Q246" s="765"/>
      <c r="R246" s="576">
        <f t="shared" si="68"/>
        <v>0</v>
      </c>
      <c r="S246" s="576">
        <f t="shared" si="61"/>
        <v>0</v>
      </c>
      <c r="T246" s="577">
        <f t="shared" si="62"/>
        <v>0</v>
      </c>
      <c r="U246" s="578">
        <f t="shared" si="63"/>
        <v>0</v>
      </c>
      <c r="V246" s="579"/>
      <c r="W246" s="566"/>
      <c r="X246" s="586" t="str">
        <f t="shared" si="64"/>
        <v/>
      </c>
      <c r="Y246" s="586" t="str">
        <f t="shared" si="56"/>
        <v/>
      </c>
      <c r="Z246" s="586" t="str">
        <f t="shared" si="58"/>
        <v/>
      </c>
    </row>
    <row r="247" spans="1:26" ht="12" hidden="1" thickBot="1" x14ac:dyDescent="0.25">
      <c r="A247" s="567">
        <v>534906</v>
      </c>
      <c r="B247" s="644" t="s">
        <v>229</v>
      </c>
      <c r="C247" s="645" t="s">
        <v>206</v>
      </c>
      <c r="D247" s="422" t="s">
        <v>247</v>
      </c>
      <c r="E247" s="423"/>
      <c r="F247" s="424">
        <v>20</v>
      </c>
      <c r="G247" s="425">
        <f>2*0.1</f>
        <v>0.2</v>
      </c>
      <c r="H247" s="663">
        <f t="shared" si="69"/>
        <v>4.8160000000000007</v>
      </c>
      <c r="I247" s="420">
        <v>94.614793103448264</v>
      </c>
      <c r="J247" s="420">
        <f t="shared" si="67"/>
        <v>99.430793103448266</v>
      </c>
      <c r="K247" s="421">
        <f t="shared" si="65"/>
        <v>118.13</v>
      </c>
      <c r="L247" s="647" t="s">
        <v>18</v>
      </c>
      <c r="M247" s="576"/>
      <c r="N247" s="576">
        <f t="shared" si="57"/>
        <v>0</v>
      </c>
      <c r="O247" s="577">
        <f t="shared" si="59"/>
        <v>0</v>
      </c>
      <c r="P247" s="578">
        <f t="shared" si="60"/>
        <v>0</v>
      </c>
      <c r="Q247" s="765"/>
      <c r="R247" s="576">
        <f t="shared" si="68"/>
        <v>0</v>
      </c>
      <c r="S247" s="576">
        <f t="shared" si="61"/>
        <v>0</v>
      </c>
      <c r="T247" s="577">
        <f t="shared" si="62"/>
        <v>0</v>
      </c>
      <c r="U247" s="578">
        <f t="shared" si="63"/>
        <v>0</v>
      </c>
      <c r="V247" s="579"/>
      <c r="W247" s="566"/>
      <c r="X247" s="586" t="str">
        <f t="shared" si="64"/>
        <v/>
      </c>
      <c r="Y247" s="586" t="str">
        <f t="shared" si="56"/>
        <v/>
      </c>
      <c r="Z247" s="586" t="str">
        <f t="shared" si="58"/>
        <v/>
      </c>
    </row>
    <row r="248" spans="1:26" ht="12" hidden="1" thickBot="1" x14ac:dyDescent="0.25">
      <c r="A248" s="567">
        <v>534906</v>
      </c>
      <c r="B248" s="644" t="s">
        <v>230</v>
      </c>
      <c r="C248" s="645" t="s">
        <v>206</v>
      </c>
      <c r="D248" s="422" t="s">
        <v>805</v>
      </c>
      <c r="E248" s="423"/>
      <c r="F248" s="424">
        <v>20</v>
      </c>
      <c r="G248" s="425">
        <v>0.14000000000000001</v>
      </c>
      <c r="H248" s="663">
        <f t="shared" si="69"/>
        <v>3.3712000000000004</v>
      </c>
      <c r="I248" s="420">
        <v>72.759999999999991</v>
      </c>
      <c r="J248" s="420">
        <f t="shared" si="67"/>
        <v>76.131199999999993</v>
      </c>
      <c r="K248" s="421">
        <f t="shared" si="65"/>
        <v>90.45</v>
      </c>
      <c r="L248" s="647" t="s">
        <v>18</v>
      </c>
      <c r="M248" s="576"/>
      <c r="N248" s="576">
        <f t="shared" si="57"/>
        <v>0</v>
      </c>
      <c r="O248" s="577">
        <f t="shared" si="59"/>
        <v>0</v>
      </c>
      <c r="P248" s="578">
        <f t="shared" si="60"/>
        <v>0</v>
      </c>
      <c r="Q248" s="765"/>
      <c r="R248" s="576">
        <f t="shared" si="68"/>
        <v>0</v>
      </c>
      <c r="S248" s="576">
        <f t="shared" si="61"/>
        <v>0</v>
      </c>
      <c r="T248" s="577">
        <f t="shared" si="62"/>
        <v>0</v>
      </c>
      <c r="U248" s="578">
        <f t="shared" si="63"/>
        <v>0</v>
      </c>
      <c r="V248" s="579"/>
      <c r="W248" s="566"/>
      <c r="X248" s="586" t="str">
        <f t="shared" si="64"/>
        <v/>
      </c>
      <c r="Y248" s="586" t="str">
        <f t="shared" si="56"/>
        <v/>
      </c>
      <c r="Z248" s="586" t="str">
        <f t="shared" si="58"/>
        <v/>
      </c>
    </row>
    <row r="249" spans="1:26" ht="12" hidden="1" thickBot="1" x14ac:dyDescent="0.25">
      <c r="A249" s="567">
        <v>534906</v>
      </c>
      <c r="B249" s="644" t="s">
        <v>231</v>
      </c>
      <c r="C249" s="645" t="s">
        <v>206</v>
      </c>
      <c r="D249" s="422" t="s">
        <v>806</v>
      </c>
      <c r="E249" s="423"/>
      <c r="F249" s="424">
        <v>20</v>
      </c>
      <c r="G249" s="425">
        <v>0.14000000000000001</v>
      </c>
      <c r="H249" s="663">
        <f t="shared" si="69"/>
        <v>3.3712000000000004</v>
      </c>
      <c r="I249" s="420">
        <v>80.040000000000006</v>
      </c>
      <c r="J249" s="420">
        <f t="shared" si="67"/>
        <v>83.411200000000008</v>
      </c>
      <c r="K249" s="421">
        <f t="shared" si="65"/>
        <v>99.1</v>
      </c>
      <c r="L249" s="647" t="s">
        <v>18</v>
      </c>
      <c r="M249" s="576"/>
      <c r="N249" s="576">
        <f t="shared" si="57"/>
        <v>0</v>
      </c>
      <c r="O249" s="577">
        <f t="shared" si="59"/>
        <v>0</v>
      </c>
      <c r="P249" s="578">
        <f t="shared" si="60"/>
        <v>0</v>
      </c>
      <c r="Q249" s="765"/>
      <c r="R249" s="576">
        <f t="shared" si="68"/>
        <v>0</v>
      </c>
      <c r="S249" s="576">
        <f t="shared" si="61"/>
        <v>0</v>
      </c>
      <c r="T249" s="577">
        <f t="shared" si="62"/>
        <v>0</v>
      </c>
      <c r="U249" s="578">
        <f t="shared" si="63"/>
        <v>0</v>
      </c>
      <c r="V249" s="579"/>
      <c r="W249" s="566"/>
      <c r="X249" s="586" t="str">
        <f t="shared" si="64"/>
        <v/>
      </c>
      <c r="Y249" s="586" t="str">
        <f t="shared" si="56"/>
        <v/>
      </c>
      <c r="Z249" s="586" t="str">
        <f t="shared" si="58"/>
        <v/>
      </c>
    </row>
    <row r="250" spans="1:26" ht="12" hidden="1" thickBot="1" x14ac:dyDescent="0.25">
      <c r="A250" s="567">
        <v>534908</v>
      </c>
      <c r="B250" s="644" t="s">
        <v>169</v>
      </c>
      <c r="C250" s="645" t="s">
        <v>206</v>
      </c>
      <c r="D250" s="422" t="s">
        <v>807</v>
      </c>
      <c r="E250" s="423"/>
      <c r="F250" s="424">
        <v>20</v>
      </c>
      <c r="G250" s="425">
        <v>0.18</v>
      </c>
      <c r="H250" s="663">
        <f t="shared" si="69"/>
        <v>4.3344000000000005</v>
      </c>
      <c r="I250" s="420">
        <v>83.56</v>
      </c>
      <c r="J250" s="420">
        <f t="shared" si="67"/>
        <v>87.894400000000005</v>
      </c>
      <c r="K250" s="421">
        <f>IF(ISBLANK(I250),0,ROUNDDOWN(J250*(1+$F$10)*(1+$F$11*E250),2))</f>
        <v>104.42</v>
      </c>
      <c r="L250" s="647" t="s">
        <v>18</v>
      </c>
      <c r="M250" s="576"/>
      <c r="N250" s="576">
        <f t="shared" si="57"/>
        <v>0</v>
      </c>
      <c r="O250" s="577">
        <f t="shared" si="59"/>
        <v>0</v>
      </c>
      <c r="P250" s="578">
        <f t="shared" si="60"/>
        <v>0</v>
      </c>
      <c r="Q250" s="765"/>
      <c r="R250" s="576">
        <f t="shared" si="68"/>
        <v>0</v>
      </c>
      <c r="S250" s="576">
        <f t="shared" si="61"/>
        <v>0</v>
      </c>
      <c r="T250" s="577">
        <f t="shared" si="62"/>
        <v>0</v>
      </c>
      <c r="U250" s="578">
        <f t="shared" si="63"/>
        <v>0</v>
      </c>
      <c r="V250" s="579"/>
      <c r="W250" s="566"/>
      <c r="X250" s="586" t="str">
        <f t="shared" si="64"/>
        <v/>
      </c>
      <c r="Y250" s="586" t="str">
        <f t="shared" si="56"/>
        <v/>
      </c>
      <c r="Z250" s="586" t="str">
        <f t="shared" si="58"/>
        <v/>
      </c>
    </row>
    <row r="251" spans="1:26" ht="12" hidden="1" thickBot="1" x14ac:dyDescent="0.25">
      <c r="A251" s="567">
        <v>534908</v>
      </c>
      <c r="B251" s="644" t="s">
        <v>170</v>
      </c>
      <c r="C251" s="645" t="s">
        <v>206</v>
      </c>
      <c r="D251" s="422" t="s">
        <v>808</v>
      </c>
      <c r="E251" s="423"/>
      <c r="F251" s="424">
        <v>20</v>
      </c>
      <c r="G251" s="425">
        <v>0.18</v>
      </c>
      <c r="H251" s="663">
        <f t="shared" si="69"/>
        <v>4.3344000000000005</v>
      </c>
      <c r="I251" s="420">
        <v>91.92</v>
      </c>
      <c r="J251" s="420">
        <f t="shared" si="67"/>
        <v>96.254400000000004</v>
      </c>
      <c r="K251" s="421">
        <f t="shared" ref="K251:K314" si="70">IF(ISBLANK(I251),0,ROUND(J251*(1+$F$10)*(1+$F$11*E251),2))</f>
        <v>114.36</v>
      </c>
      <c r="L251" s="647" t="s">
        <v>18</v>
      </c>
      <c r="M251" s="576"/>
      <c r="N251" s="576">
        <f t="shared" si="57"/>
        <v>0</v>
      </c>
      <c r="O251" s="577">
        <f t="shared" si="59"/>
        <v>0</v>
      </c>
      <c r="P251" s="578">
        <f t="shared" si="60"/>
        <v>0</v>
      </c>
      <c r="Q251" s="765"/>
      <c r="R251" s="576">
        <f t="shared" si="68"/>
        <v>0</v>
      </c>
      <c r="S251" s="576">
        <f t="shared" si="61"/>
        <v>0</v>
      </c>
      <c r="T251" s="577">
        <f t="shared" si="62"/>
        <v>0</v>
      </c>
      <c r="U251" s="578">
        <f t="shared" si="63"/>
        <v>0</v>
      </c>
      <c r="V251" s="579"/>
      <c r="W251" s="566"/>
      <c r="X251" s="586" t="str">
        <f t="shared" si="64"/>
        <v/>
      </c>
      <c r="Y251" s="586" t="str">
        <f t="shared" si="56"/>
        <v/>
      </c>
      <c r="Z251" s="586" t="str">
        <f t="shared" si="58"/>
        <v/>
      </c>
    </row>
    <row r="252" spans="1:26" ht="12" hidden="1" thickBot="1" x14ac:dyDescent="0.25">
      <c r="A252" s="567">
        <v>534908</v>
      </c>
      <c r="B252" s="644" t="s">
        <v>171</v>
      </c>
      <c r="C252" s="645" t="s">
        <v>206</v>
      </c>
      <c r="D252" s="422" t="s">
        <v>809</v>
      </c>
      <c r="E252" s="423"/>
      <c r="F252" s="424">
        <v>20</v>
      </c>
      <c r="G252" s="425">
        <v>0.22</v>
      </c>
      <c r="H252" s="663">
        <f t="shared" si="69"/>
        <v>5.2976000000000001</v>
      </c>
      <c r="I252" s="420">
        <v>94.614793103448264</v>
      </c>
      <c r="J252" s="420">
        <f t="shared" si="67"/>
        <v>99.912393103448267</v>
      </c>
      <c r="K252" s="421">
        <f t="shared" si="70"/>
        <v>118.71</v>
      </c>
      <c r="L252" s="647" t="s">
        <v>18</v>
      </c>
      <c r="M252" s="576"/>
      <c r="N252" s="576">
        <f t="shared" si="57"/>
        <v>0</v>
      </c>
      <c r="O252" s="577">
        <f t="shared" si="59"/>
        <v>0</v>
      </c>
      <c r="P252" s="578">
        <f t="shared" si="60"/>
        <v>0</v>
      </c>
      <c r="Q252" s="765"/>
      <c r="R252" s="576">
        <f t="shared" si="68"/>
        <v>0</v>
      </c>
      <c r="S252" s="576">
        <f t="shared" si="61"/>
        <v>0</v>
      </c>
      <c r="T252" s="577">
        <f t="shared" si="62"/>
        <v>0</v>
      </c>
      <c r="U252" s="578">
        <f t="shared" si="63"/>
        <v>0</v>
      </c>
      <c r="V252" s="579"/>
      <c r="W252" s="566"/>
      <c r="X252" s="586" t="str">
        <f t="shared" si="64"/>
        <v/>
      </c>
      <c r="Y252" s="586" t="str">
        <f t="shared" si="56"/>
        <v/>
      </c>
      <c r="Z252" s="586" t="str">
        <f t="shared" si="58"/>
        <v/>
      </c>
    </row>
    <row r="253" spans="1:26" ht="12" hidden="1" thickBot="1" x14ac:dyDescent="0.25">
      <c r="A253" s="567">
        <v>534908</v>
      </c>
      <c r="B253" s="644" t="s">
        <v>232</v>
      </c>
      <c r="C253" s="645" t="s">
        <v>206</v>
      </c>
      <c r="D253" s="422" t="s">
        <v>810</v>
      </c>
      <c r="E253" s="423"/>
      <c r="F253" s="424">
        <v>20</v>
      </c>
      <c r="G253" s="425">
        <v>0.22</v>
      </c>
      <c r="H253" s="663">
        <f t="shared" si="69"/>
        <v>5.2976000000000001</v>
      </c>
      <c r="I253" s="420">
        <v>104.08</v>
      </c>
      <c r="J253" s="420">
        <f t="shared" si="67"/>
        <v>109.3776</v>
      </c>
      <c r="K253" s="421">
        <f t="shared" si="70"/>
        <v>129.94999999999999</v>
      </c>
      <c r="L253" s="647" t="s">
        <v>18</v>
      </c>
      <c r="M253" s="576"/>
      <c r="N253" s="576">
        <f t="shared" si="57"/>
        <v>0</v>
      </c>
      <c r="O253" s="577">
        <f t="shared" si="59"/>
        <v>0</v>
      </c>
      <c r="P253" s="578">
        <f t="shared" si="60"/>
        <v>0</v>
      </c>
      <c r="Q253" s="765"/>
      <c r="R253" s="576">
        <f t="shared" si="68"/>
        <v>0</v>
      </c>
      <c r="S253" s="576">
        <f t="shared" si="61"/>
        <v>0</v>
      </c>
      <c r="T253" s="577">
        <f t="shared" si="62"/>
        <v>0</v>
      </c>
      <c r="U253" s="578">
        <f t="shared" si="63"/>
        <v>0</v>
      </c>
      <c r="V253" s="579"/>
      <c r="W253" s="566"/>
      <c r="X253" s="586" t="str">
        <f t="shared" si="64"/>
        <v/>
      </c>
      <c r="Y253" s="586" t="str">
        <f t="shared" si="56"/>
        <v/>
      </c>
      <c r="Z253" s="586" t="str">
        <f t="shared" si="58"/>
        <v/>
      </c>
    </row>
    <row r="254" spans="1:26" ht="12" hidden="1" thickBot="1" x14ac:dyDescent="0.25">
      <c r="A254" s="671">
        <v>101090</v>
      </c>
      <c r="B254" s="698" t="s">
        <v>1553</v>
      </c>
      <c r="C254" s="699" t="s">
        <v>670</v>
      </c>
      <c r="D254" s="456" t="s">
        <v>811</v>
      </c>
      <c r="E254" s="457"/>
      <c r="F254" s="458">
        <v>20</v>
      </c>
      <c r="G254" s="474">
        <v>0.3</v>
      </c>
      <c r="H254" s="675">
        <f t="shared" si="69"/>
        <v>7.2240000000000002</v>
      </c>
      <c r="I254" s="460">
        <v>177.63</v>
      </c>
      <c r="J254" s="460">
        <f>IF(ISBLANK(I254),"",SUM(H254:I254))</f>
        <v>184.85399999999998</v>
      </c>
      <c r="K254" s="676">
        <f t="shared" si="70"/>
        <v>219.63</v>
      </c>
      <c r="L254" s="677" t="s">
        <v>18</v>
      </c>
      <c r="M254" s="700"/>
      <c r="N254" s="799">
        <f t="shared" si="57"/>
        <v>0</v>
      </c>
      <c r="O254" s="585">
        <f t="shared" si="59"/>
        <v>0</v>
      </c>
      <c r="P254" s="660">
        <f t="shared" si="60"/>
        <v>0</v>
      </c>
      <c r="Q254" s="765"/>
      <c r="R254" s="588">
        <f t="shared" si="68"/>
        <v>0</v>
      </c>
      <c r="S254" s="588">
        <f t="shared" si="61"/>
        <v>0</v>
      </c>
      <c r="T254" s="585">
        <f t="shared" si="62"/>
        <v>0</v>
      </c>
      <c r="U254" s="660">
        <f t="shared" si="63"/>
        <v>0</v>
      </c>
      <c r="V254" s="579"/>
      <c r="W254" s="566"/>
      <c r="X254" s="586" t="str">
        <f t="shared" si="64"/>
        <v/>
      </c>
      <c r="Y254" s="586" t="str">
        <f t="shared" si="56"/>
        <v/>
      </c>
      <c r="Z254" s="586" t="str">
        <f t="shared" si="58"/>
        <v/>
      </c>
    </row>
    <row r="255" spans="1:26" ht="12" hidden="1" thickBot="1" x14ac:dyDescent="0.25">
      <c r="A255" s="671">
        <v>562100</v>
      </c>
      <c r="B255" s="701" t="s">
        <v>1565</v>
      </c>
      <c r="C255" s="702" t="s">
        <v>206</v>
      </c>
      <c r="D255" s="463" t="s">
        <v>648</v>
      </c>
      <c r="E255" s="464"/>
      <c r="F255" s="465" t="s">
        <v>649</v>
      </c>
      <c r="G255" s="466">
        <v>1.5E-3</v>
      </c>
      <c r="H255" s="681">
        <f>SUM(H256:H258)</f>
        <v>0.58577400000000002</v>
      </c>
      <c r="I255" s="467">
        <v>3</v>
      </c>
      <c r="J255" s="467">
        <f>IF(ISBLANK(I255),"",SUM(H255:I255))</f>
        <v>3.5857739999999998</v>
      </c>
      <c r="K255" s="682">
        <f t="shared" si="70"/>
        <v>4.26</v>
      </c>
      <c r="L255" s="683" t="s">
        <v>18</v>
      </c>
      <c r="M255" s="685"/>
      <c r="N255" s="576">
        <f t="shared" si="57"/>
        <v>0</v>
      </c>
      <c r="O255" s="687">
        <f t="shared" si="59"/>
        <v>0</v>
      </c>
      <c r="P255" s="688">
        <f t="shared" si="60"/>
        <v>0</v>
      </c>
      <c r="Q255" s="765"/>
      <c r="R255" s="685">
        <f t="shared" si="68"/>
        <v>0</v>
      </c>
      <c r="S255" s="686">
        <f t="shared" si="61"/>
        <v>0</v>
      </c>
      <c r="T255" s="687">
        <f t="shared" si="62"/>
        <v>0</v>
      </c>
      <c r="U255" s="688">
        <f t="shared" si="63"/>
        <v>0</v>
      </c>
      <c r="V255" s="579"/>
      <c r="W255" s="566"/>
      <c r="X255" s="586" t="str">
        <f t="shared" si="64"/>
        <v/>
      </c>
      <c r="Y255" s="586" t="str">
        <f t="shared" si="56"/>
        <v/>
      </c>
      <c r="Z255" s="586" t="str">
        <f t="shared" si="58"/>
        <v/>
      </c>
    </row>
    <row r="256" spans="1:26" ht="12" hidden="1" thickBot="1" x14ac:dyDescent="0.25">
      <c r="A256" s="671" t="s">
        <v>168</v>
      </c>
      <c r="B256" s="644" t="s">
        <v>168</v>
      </c>
      <c r="C256" s="645"/>
      <c r="D256" s="475" t="s">
        <v>248</v>
      </c>
      <c r="E256" s="423"/>
      <c r="F256" s="424">
        <v>180</v>
      </c>
      <c r="G256" s="476" t="s">
        <v>86</v>
      </c>
      <c r="H256" s="663">
        <f t="shared" si="69"/>
        <v>0.48820000000000002</v>
      </c>
      <c r="I256" s="420">
        <v>0</v>
      </c>
      <c r="J256" s="420"/>
      <c r="K256" s="421">
        <f t="shared" si="70"/>
        <v>0</v>
      </c>
      <c r="L256" s="647" t="s">
        <v>614</v>
      </c>
      <c r="M256" s="703"/>
      <c r="N256" s="576">
        <f t="shared" si="57"/>
        <v>0</v>
      </c>
      <c r="O256" s="577">
        <f t="shared" si="59"/>
        <v>0</v>
      </c>
      <c r="P256" s="578">
        <f t="shared" si="60"/>
        <v>0</v>
      </c>
      <c r="Q256" s="765"/>
      <c r="R256" s="703"/>
      <c r="S256" s="670"/>
      <c r="T256" s="577">
        <f t="shared" si="62"/>
        <v>0</v>
      </c>
      <c r="U256" s="578">
        <f t="shared" si="63"/>
        <v>0</v>
      </c>
      <c r="V256" s="579"/>
      <c r="W256" s="637" t="str">
        <f>IF(U255&gt;0,"xx",IF(P255&gt;0,"xy",""))</f>
        <v/>
      </c>
      <c r="X256" s="586" t="str">
        <f t="shared" si="64"/>
        <v/>
      </c>
      <c r="Y256" s="586" t="str">
        <f t="shared" si="56"/>
        <v/>
      </c>
      <c r="Z256" s="586" t="str">
        <f t="shared" si="58"/>
        <v/>
      </c>
    </row>
    <row r="257" spans="1:26" ht="12" hidden="1" thickBot="1" x14ac:dyDescent="0.25">
      <c r="A257" s="671" t="s">
        <v>168</v>
      </c>
      <c r="B257" s="644" t="s">
        <v>168</v>
      </c>
      <c r="C257" s="645"/>
      <c r="D257" s="475" t="s">
        <v>249</v>
      </c>
      <c r="E257" s="423"/>
      <c r="F257" s="424">
        <v>500</v>
      </c>
      <c r="G257" s="476" t="s">
        <v>87</v>
      </c>
      <c r="H257" s="649">
        <f>IF(F257&lt;=30,(0.78*F257+7.82)*G257,((0.78*30+7.82)+0.78*(F257-30))*G257)</f>
        <v>3.9782000000000005E-2</v>
      </c>
      <c r="I257" s="420">
        <v>0</v>
      </c>
      <c r="J257" s="420"/>
      <c r="K257" s="421">
        <f t="shared" si="70"/>
        <v>0</v>
      </c>
      <c r="L257" s="647" t="s">
        <v>614</v>
      </c>
      <c r="M257" s="703"/>
      <c r="N257" s="576">
        <f t="shared" si="57"/>
        <v>0</v>
      </c>
      <c r="O257" s="577">
        <f t="shared" si="59"/>
        <v>0</v>
      </c>
      <c r="P257" s="578">
        <f t="shared" si="60"/>
        <v>0</v>
      </c>
      <c r="Q257" s="765"/>
      <c r="R257" s="703"/>
      <c r="S257" s="670"/>
      <c r="T257" s="577">
        <f t="shared" si="62"/>
        <v>0</v>
      </c>
      <c r="U257" s="578">
        <f t="shared" si="63"/>
        <v>0</v>
      </c>
      <c r="V257" s="579"/>
      <c r="W257" s="637" t="str">
        <f>IF(U255&gt;0,"xx",IF(P255&gt;0,"xy",""))</f>
        <v/>
      </c>
      <c r="X257" s="586" t="str">
        <f t="shared" si="64"/>
        <v/>
      </c>
      <c r="Y257" s="586" t="str">
        <f t="shared" si="56"/>
        <v/>
      </c>
      <c r="Z257" s="586" t="str">
        <f t="shared" si="58"/>
        <v/>
      </c>
    </row>
    <row r="258" spans="1:26" ht="12" hidden="1" thickBot="1" x14ac:dyDescent="0.25">
      <c r="A258" s="671" t="s">
        <v>168</v>
      </c>
      <c r="B258" s="644" t="s">
        <v>168</v>
      </c>
      <c r="C258" s="645"/>
      <c r="D258" s="475" t="s">
        <v>250</v>
      </c>
      <c r="E258" s="423"/>
      <c r="F258" s="424">
        <v>20</v>
      </c>
      <c r="G258" s="425" t="s">
        <v>88</v>
      </c>
      <c r="H258" s="663">
        <f t="shared" si="69"/>
        <v>5.7791999999999996E-2</v>
      </c>
      <c r="I258" s="420">
        <v>0</v>
      </c>
      <c r="J258" s="420"/>
      <c r="K258" s="421">
        <f t="shared" si="70"/>
        <v>0</v>
      </c>
      <c r="L258" s="647" t="s">
        <v>614</v>
      </c>
      <c r="M258" s="703"/>
      <c r="N258" s="576">
        <f t="shared" si="57"/>
        <v>0</v>
      </c>
      <c r="O258" s="577">
        <f t="shared" si="59"/>
        <v>0</v>
      </c>
      <c r="P258" s="578">
        <f t="shared" si="60"/>
        <v>0</v>
      </c>
      <c r="Q258" s="765"/>
      <c r="R258" s="703"/>
      <c r="S258" s="670"/>
      <c r="T258" s="577">
        <f t="shared" si="62"/>
        <v>0</v>
      </c>
      <c r="U258" s="578">
        <f t="shared" si="63"/>
        <v>0</v>
      </c>
      <c r="V258" s="579"/>
      <c r="W258" s="637" t="str">
        <f>IF(U255&gt;0,"xx",IF(P255&gt;0,"xy",""))</f>
        <v/>
      </c>
      <c r="X258" s="586" t="str">
        <f>IF(W258="X","x",IF(W258="xx","x",IF(W258="xy","x",IF(W258="y","x",IF(OR(P258&gt;0,U258&gt;0),"x","")))))</f>
        <v/>
      </c>
      <c r="Y258" s="586" t="str">
        <f>IF(W258="X","x",IF(W258="y","x",IF(W258="xx","x",IF(U258&gt;0,"x",""))))</f>
        <v/>
      </c>
      <c r="Z258" s="586" t="str">
        <f>IF(W258="X","x",IF(U258&gt;0,"x",""))</f>
        <v/>
      </c>
    </row>
    <row r="259" spans="1:26" ht="12" hidden="1" thickBot="1" x14ac:dyDescent="0.25">
      <c r="A259" s="671">
        <v>589170</v>
      </c>
      <c r="B259" s="704" t="s">
        <v>1755</v>
      </c>
      <c r="C259" s="689" t="s">
        <v>1746</v>
      </c>
      <c r="D259" s="469" t="s">
        <v>749</v>
      </c>
      <c r="E259" s="470"/>
      <c r="F259" s="478">
        <v>500</v>
      </c>
      <c r="G259" s="479">
        <v>1</v>
      </c>
      <c r="H259" s="663">
        <f>(0.84*F259+41.45)*G259</f>
        <v>461.45</v>
      </c>
      <c r="I259" s="472">
        <v>4205</v>
      </c>
      <c r="J259" s="472">
        <f>IF(ISBLANK(I259),"",I259*(1+$F$9)/(1+$F$10))+H259</f>
        <v>4541.5139676794888</v>
      </c>
      <c r="K259" s="690">
        <f t="shared" si="70"/>
        <v>5395.77</v>
      </c>
      <c r="L259" s="691" t="s">
        <v>20</v>
      </c>
      <c r="M259" s="692">
        <f>ROUND(M255*G255,2)</f>
        <v>0</v>
      </c>
      <c r="N259" s="799">
        <f t="shared" si="57"/>
        <v>0</v>
      </c>
      <c r="O259" s="693">
        <f t="shared" si="59"/>
        <v>0</v>
      </c>
      <c r="P259" s="694">
        <f t="shared" si="60"/>
        <v>0</v>
      </c>
      <c r="Q259" s="765"/>
      <c r="R259" s="695">
        <f>ROUND(R255*G255,2)</f>
        <v>0</v>
      </c>
      <c r="S259" s="705">
        <f t="shared" si="61"/>
        <v>0</v>
      </c>
      <c r="T259" s="693">
        <f t="shared" si="62"/>
        <v>0</v>
      </c>
      <c r="U259" s="694">
        <f t="shared" si="63"/>
        <v>0</v>
      </c>
      <c r="V259" s="579"/>
      <c r="W259" s="637" t="str">
        <f>IF(U255&gt;0,"xx",IF(P255&gt;0,"xy",""))</f>
        <v/>
      </c>
      <c r="X259" s="586" t="str">
        <f t="shared" si="64"/>
        <v/>
      </c>
      <c r="Y259" s="586" t="str">
        <f t="shared" si="56"/>
        <v/>
      </c>
      <c r="Z259" s="586" t="str">
        <f t="shared" si="58"/>
        <v/>
      </c>
    </row>
    <row r="260" spans="1:26" ht="12" hidden="1" thickBot="1" x14ac:dyDescent="0.25">
      <c r="A260" s="671">
        <v>562100</v>
      </c>
      <c r="B260" s="701" t="s">
        <v>1566</v>
      </c>
      <c r="C260" s="702" t="s">
        <v>206</v>
      </c>
      <c r="D260" s="463" t="s">
        <v>651</v>
      </c>
      <c r="E260" s="464"/>
      <c r="F260" s="465" t="s">
        <v>649</v>
      </c>
      <c r="G260" s="466">
        <v>1.8E-3</v>
      </c>
      <c r="H260" s="681">
        <f>SUM(H261:H263)</f>
        <v>0.87941999999999998</v>
      </c>
      <c r="I260" s="467">
        <v>3</v>
      </c>
      <c r="J260" s="467">
        <f>IF(ISBLANK(I260),"",SUM(H260:I260))</f>
        <v>3.8794200000000001</v>
      </c>
      <c r="K260" s="682">
        <f t="shared" si="70"/>
        <v>4.6100000000000003</v>
      </c>
      <c r="L260" s="683" t="s">
        <v>18</v>
      </c>
      <c r="M260" s="685"/>
      <c r="N260" s="576">
        <f t="shared" si="57"/>
        <v>0</v>
      </c>
      <c r="O260" s="687">
        <f t="shared" si="59"/>
        <v>0</v>
      </c>
      <c r="P260" s="688">
        <f t="shared" si="60"/>
        <v>0</v>
      </c>
      <c r="Q260" s="765"/>
      <c r="R260" s="685">
        <f>M260</f>
        <v>0</v>
      </c>
      <c r="S260" s="686">
        <f t="shared" si="61"/>
        <v>0</v>
      </c>
      <c r="T260" s="687">
        <f t="shared" si="62"/>
        <v>0</v>
      </c>
      <c r="U260" s="688">
        <f t="shared" si="63"/>
        <v>0</v>
      </c>
      <c r="V260" s="579"/>
      <c r="W260" s="566"/>
      <c r="X260" s="586" t="str">
        <f t="shared" si="64"/>
        <v/>
      </c>
      <c r="Y260" s="586" t="str">
        <f t="shared" si="56"/>
        <v/>
      </c>
      <c r="Z260" s="586" t="str">
        <f t="shared" si="58"/>
        <v/>
      </c>
    </row>
    <row r="261" spans="1:26" ht="12" hidden="1" thickBot="1" x14ac:dyDescent="0.25">
      <c r="A261" s="671" t="s">
        <v>168</v>
      </c>
      <c r="B261" s="644" t="s">
        <v>168</v>
      </c>
      <c r="C261" s="645"/>
      <c r="D261" s="475" t="s">
        <v>248</v>
      </c>
      <c r="E261" s="423"/>
      <c r="F261" s="424">
        <v>180</v>
      </c>
      <c r="G261" s="476" t="s">
        <v>89</v>
      </c>
      <c r="H261" s="663">
        <f t="shared" ref="H261:H263" si="71">IF(F261&lt;=30,(1.07*F261+2.68)*G261,((1.07*30+2.68)+1.07*(F261-30))*G261)</f>
        <v>0.74206400000000006</v>
      </c>
      <c r="I261" s="420">
        <v>0</v>
      </c>
      <c r="J261" s="420"/>
      <c r="K261" s="421">
        <f t="shared" si="70"/>
        <v>0</v>
      </c>
      <c r="L261" s="647" t="s">
        <v>614</v>
      </c>
      <c r="M261" s="703"/>
      <c r="N261" s="576">
        <f t="shared" si="57"/>
        <v>0</v>
      </c>
      <c r="O261" s="577">
        <f t="shared" si="59"/>
        <v>0</v>
      </c>
      <c r="P261" s="578">
        <f t="shared" si="60"/>
        <v>0</v>
      </c>
      <c r="Q261" s="765"/>
      <c r="R261" s="703"/>
      <c r="S261" s="670"/>
      <c r="T261" s="577">
        <f t="shared" si="62"/>
        <v>0</v>
      </c>
      <c r="U261" s="578">
        <f t="shared" si="63"/>
        <v>0</v>
      </c>
      <c r="V261" s="579"/>
      <c r="W261" s="637" t="str">
        <f>IF(U260&gt;0,"xx",IF(P260&gt;0,"xy",""))</f>
        <v/>
      </c>
      <c r="X261" s="586" t="str">
        <f t="shared" si="64"/>
        <v/>
      </c>
      <c r="Y261" s="586" t="str">
        <f t="shared" si="56"/>
        <v/>
      </c>
      <c r="Z261" s="586" t="str">
        <f t="shared" si="58"/>
        <v/>
      </c>
    </row>
    <row r="262" spans="1:26" ht="12" hidden="1" thickBot="1" x14ac:dyDescent="0.25">
      <c r="A262" s="671" t="s">
        <v>168</v>
      </c>
      <c r="B262" s="644" t="s">
        <v>168</v>
      </c>
      <c r="C262" s="645"/>
      <c r="D262" s="475" t="s">
        <v>249</v>
      </c>
      <c r="E262" s="423"/>
      <c r="F262" s="424">
        <v>500</v>
      </c>
      <c r="G262" s="476" t="s">
        <v>90</v>
      </c>
      <c r="H262" s="649">
        <f>IF(F262&lt;=30,(0.78*F262+7.82)*G262,((0.78*30+7.82)+0.78*(F262-30))*G262)</f>
        <v>7.956400000000001E-2</v>
      </c>
      <c r="I262" s="420">
        <v>0</v>
      </c>
      <c r="J262" s="420"/>
      <c r="K262" s="421">
        <f t="shared" si="70"/>
        <v>0</v>
      </c>
      <c r="L262" s="647" t="s">
        <v>614</v>
      </c>
      <c r="M262" s="703"/>
      <c r="N262" s="576">
        <f t="shared" si="57"/>
        <v>0</v>
      </c>
      <c r="O262" s="577">
        <f t="shared" si="59"/>
        <v>0</v>
      </c>
      <c r="P262" s="578">
        <f t="shared" si="60"/>
        <v>0</v>
      </c>
      <c r="Q262" s="765"/>
      <c r="R262" s="703"/>
      <c r="S262" s="670"/>
      <c r="T262" s="577">
        <f t="shared" si="62"/>
        <v>0</v>
      </c>
      <c r="U262" s="578">
        <f t="shared" si="63"/>
        <v>0</v>
      </c>
      <c r="V262" s="579"/>
      <c r="W262" s="637" t="str">
        <f>IF(U260&gt;0,"xx",IF(P260&gt;0,"xy",""))</f>
        <v/>
      </c>
      <c r="X262" s="586" t="str">
        <f t="shared" si="64"/>
        <v/>
      </c>
      <c r="Y262" s="586" t="str">
        <f t="shared" si="56"/>
        <v/>
      </c>
      <c r="Z262" s="586" t="str">
        <f t="shared" si="58"/>
        <v/>
      </c>
    </row>
    <row r="263" spans="1:26" ht="12" hidden="1" thickBot="1" x14ac:dyDescent="0.25">
      <c r="A263" s="671" t="s">
        <v>168</v>
      </c>
      <c r="B263" s="644" t="s">
        <v>168</v>
      </c>
      <c r="C263" s="645"/>
      <c r="D263" s="451" t="s">
        <v>250</v>
      </c>
      <c r="E263" s="423"/>
      <c r="F263" s="424">
        <v>20</v>
      </c>
      <c r="G263" s="425" t="s">
        <v>88</v>
      </c>
      <c r="H263" s="663">
        <f t="shared" si="71"/>
        <v>5.7791999999999996E-2</v>
      </c>
      <c r="I263" s="420">
        <v>0</v>
      </c>
      <c r="J263" s="420"/>
      <c r="K263" s="421">
        <f t="shared" si="70"/>
        <v>0</v>
      </c>
      <c r="L263" s="647" t="s">
        <v>614</v>
      </c>
      <c r="M263" s="703"/>
      <c r="N263" s="576">
        <f t="shared" si="57"/>
        <v>0</v>
      </c>
      <c r="O263" s="577">
        <f t="shared" si="59"/>
        <v>0</v>
      </c>
      <c r="P263" s="578">
        <f t="shared" si="60"/>
        <v>0</v>
      </c>
      <c r="Q263" s="765"/>
      <c r="R263" s="703"/>
      <c r="S263" s="670"/>
      <c r="T263" s="577">
        <f t="shared" si="62"/>
        <v>0</v>
      </c>
      <c r="U263" s="578">
        <f t="shared" si="63"/>
        <v>0</v>
      </c>
      <c r="V263" s="579"/>
      <c r="W263" s="637" t="str">
        <f>IF(U260&gt;0,"xx",IF(P260&gt;0,"xy",""))</f>
        <v/>
      </c>
      <c r="X263" s="586" t="str">
        <f>IF(W263="X","x",IF(W263="xx","x",IF(W263="xy","x",IF(W263="y","x",IF(OR(P263&gt;0,U263&gt;0),"x","")))))</f>
        <v/>
      </c>
      <c r="Y263" s="586" t="str">
        <f>IF(W263="X","x",IF(W263="y","x",IF(W263="xx","x",IF(U263&gt;0,"x",""))))</f>
        <v/>
      </c>
      <c r="Z263" s="586" t="str">
        <f>IF(W263="X","x",IF(U263&gt;0,"x",""))</f>
        <v/>
      </c>
    </row>
    <row r="264" spans="1:26" ht="12" hidden="1" thickBot="1" x14ac:dyDescent="0.25">
      <c r="A264" s="671">
        <v>589170</v>
      </c>
      <c r="B264" s="638" t="s">
        <v>1756</v>
      </c>
      <c r="C264" s="480" t="s">
        <v>1746</v>
      </c>
      <c r="D264" s="706" t="s">
        <v>750</v>
      </c>
      <c r="E264" s="446"/>
      <c r="F264" s="478">
        <v>500</v>
      </c>
      <c r="G264" s="479">
        <v>1</v>
      </c>
      <c r="H264" s="663">
        <f>(0.84*F264+41.45)*G264</f>
        <v>461.45</v>
      </c>
      <c r="I264" s="472">
        <v>4205</v>
      </c>
      <c r="J264" s="472">
        <f>IF(ISBLANK(I264),"",I264*(1+$F$9)/(1+$F$10))+H264</f>
        <v>4541.5139676794888</v>
      </c>
      <c r="K264" s="415">
        <f t="shared" si="70"/>
        <v>5395.77</v>
      </c>
      <c r="L264" s="691" t="s">
        <v>20</v>
      </c>
      <c r="M264" s="692">
        <f>ROUND(M260*G260,2)</f>
        <v>0</v>
      </c>
      <c r="N264" s="799">
        <f t="shared" si="57"/>
        <v>0</v>
      </c>
      <c r="O264" s="693">
        <f>IF(ISBLANK(M264),0,ROUND(K264*M264,2))</f>
        <v>0</v>
      </c>
      <c r="P264" s="694">
        <f>IF(ISBLANK(N264),0,ROUND(M264*N264,2))</f>
        <v>0</v>
      </c>
      <c r="Q264" s="765"/>
      <c r="R264" s="695">
        <f>ROUND(R260*G260,2)</f>
        <v>0</v>
      </c>
      <c r="S264" s="705">
        <f t="shared" si="61"/>
        <v>0</v>
      </c>
      <c r="T264" s="693">
        <f t="shared" si="62"/>
        <v>0</v>
      </c>
      <c r="U264" s="694">
        <f t="shared" si="63"/>
        <v>0</v>
      </c>
      <c r="V264" s="579"/>
      <c r="W264" s="637" t="str">
        <f>IF(U260&gt;0,"xx",IF(P260&gt;0,"xy",""))</f>
        <v/>
      </c>
      <c r="X264" s="586" t="str">
        <f t="shared" si="64"/>
        <v/>
      </c>
      <c r="Y264" s="586" t="str">
        <f t="shared" si="56"/>
        <v/>
      </c>
      <c r="Z264" s="586" t="str">
        <f t="shared" si="58"/>
        <v/>
      </c>
    </row>
    <row r="265" spans="1:26" ht="12" hidden="1" thickBot="1" x14ac:dyDescent="0.25">
      <c r="A265" s="671">
        <v>562200</v>
      </c>
      <c r="B265" s="701" t="s">
        <v>1567</v>
      </c>
      <c r="C265" s="702" t="s">
        <v>206</v>
      </c>
      <c r="D265" s="463" t="s">
        <v>652</v>
      </c>
      <c r="E265" s="464"/>
      <c r="F265" s="465" t="s">
        <v>649</v>
      </c>
      <c r="G265" s="466">
        <v>2E-3</v>
      </c>
      <c r="H265" s="681">
        <f>SUM(H266:H268)</f>
        <v>1.3938440000000001</v>
      </c>
      <c r="I265" s="467">
        <v>4.01</v>
      </c>
      <c r="J265" s="467">
        <f>IF(ISBLANK(I265),"",SUM(H265:I265))</f>
        <v>5.4038439999999994</v>
      </c>
      <c r="K265" s="682">
        <f t="shared" si="70"/>
        <v>6.42</v>
      </c>
      <c r="L265" s="683" t="s">
        <v>18</v>
      </c>
      <c r="M265" s="685"/>
      <c r="N265" s="576">
        <f t="shared" si="57"/>
        <v>0</v>
      </c>
      <c r="O265" s="687">
        <f t="shared" si="59"/>
        <v>0</v>
      </c>
      <c r="P265" s="688">
        <f t="shared" si="60"/>
        <v>0</v>
      </c>
      <c r="Q265" s="765"/>
      <c r="R265" s="685">
        <f>M265</f>
        <v>0</v>
      </c>
      <c r="S265" s="686">
        <f t="shared" si="61"/>
        <v>0</v>
      </c>
      <c r="T265" s="687">
        <f t="shared" si="62"/>
        <v>0</v>
      </c>
      <c r="U265" s="688">
        <f t="shared" si="63"/>
        <v>0</v>
      </c>
      <c r="V265" s="579"/>
      <c r="W265" s="566"/>
      <c r="X265" s="586" t="str">
        <f t="shared" si="64"/>
        <v/>
      </c>
      <c r="Y265" s="586" t="str">
        <f t="shared" si="56"/>
        <v/>
      </c>
      <c r="Z265" s="586" t="str">
        <f t="shared" si="58"/>
        <v/>
      </c>
    </row>
    <row r="266" spans="1:26" ht="12" hidden="1" thickBot="1" x14ac:dyDescent="0.25">
      <c r="A266" s="671" t="s">
        <v>168</v>
      </c>
      <c r="B266" s="644" t="s">
        <v>168</v>
      </c>
      <c r="C266" s="645"/>
      <c r="D266" s="475" t="s">
        <v>248</v>
      </c>
      <c r="E266" s="423"/>
      <c r="F266" s="424">
        <v>180</v>
      </c>
      <c r="G266" s="476" t="s">
        <v>91</v>
      </c>
      <c r="H266" s="663">
        <f t="shared" ref="H266:H268" si="72">IF(F266&lt;=30,(1.07*F266+2.68)*G266,((1.07*30+2.68)+1.07*(F266-30))*G266)</f>
        <v>1.210736</v>
      </c>
      <c r="I266" s="420">
        <v>0</v>
      </c>
      <c r="J266" s="420"/>
      <c r="K266" s="421">
        <f t="shared" si="70"/>
        <v>0</v>
      </c>
      <c r="L266" s="647"/>
      <c r="M266" s="703"/>
      <c r="N266" s="576">
        <f t="shared" si="57"/>
        <v>0</v>
      </c>
      <c r="O266" s="577">
        <f t="shared" si="59"/>
        <v>0</v>
      </c>
      <c r="P266" s="578">
        <f t="shared" si="60"/>
        <v>0</v>
      </c>
      <c r="Q266" s="765"/>
      <c r="R266" s="703"/>
      <c r="S266" s="670"/>
      <c r="T266" s="577">
        <f t="shared" si="62"/>
        <v>0</v>
      </c>
      <c r="U266" s="578">
        <f t="shared" si="63"/>
        <v>0</v>
      </c>
      <c r="V266" s="579"/>
      <c r="W266" s="637" t="str">
        <f>IF(U265&gt;0,"xx",IF(P265&gt;0,"xy",""))</f>
        <v/>
      </c>
      <c r="X266" s="586" t="str">
        <f t="shared" si="64"/>
        <v/>
      </c>
      <c r="Y266" s="586" t="str">
        <f t="shared" si="56"/>
        <v/>
      </c>
      <c r="Z266" s="586" t="str">
        <f t="shared" si="58"/>
        <v/>
      </c>
    </row>
    <row r="267" spans="1:26" ht="12" hidden="1" thickBot="1" x14ac:dyDescent="0.25">
      <c r="A267" s="671" t="s">
        <v>168</v>
      </c>
      <c r="B267" s="644" t="s">
        <v>168</v>
      </c>
      <c r="C267" s="645"/>
      <c r="D267" s="475" t="s">
        <v>249</v>
      </c>
      <c r="E267" s="423"/>
      <c r="F267" s="424">
        <v>500</v>
      </c>
      <c r="G267" s="476" t="s">
        <v>90</v>
      </c>
      <c r="H267" s="649">
        <f>IF(F267&lt;=30,(0.78*F267+7.82)*G267,((0.78*30+7.82)+0.78*(F267-30))*G267)</f>
        <v>7.956400000000001E-2</v>
      </c>
      <c r="I267" s="420">
        <v>0</v>
      </c>
      <c r="J267" s="420"/>
      <c r="K267" s="421">
        <f t="shared" si="70"/>
        <v>0</v>
      </c>
      <c r="L267" s="647" t="s">
        <v>614</v>
      </c>
      <c r="M267" s="703"/>
      <c r="N267" s="576">
        <f t="shared" si="57"/>
        <v>0</v>
      </c>
      <c r="O267" s="577">
        <f t="shared" si="59"/>
        <v>0</v>
      </c>
      <c r="P267" s="578"/>
      <c r="Q267" s="765"/>
      <c r="R267" s="703"/>
      <c r="S267" s="670"/>
      <c r="T267" s="577">
        <f t="shared" si="62"/>
        <v>0</v>
      </c>
      <c r="U267" s="578">
        <f t="shared" si="63"/>
        <v>0</v>
      </c>
      <c r="V267" s="579"/>
      <c r="W267" s="637" t="str">
        <f>IF(U265&gt;0,"xx",IF(P265&gt;0,"xy",""))</f>
        <v/>
      </c>
      <c r="X267" s="586" t="str">
        <f t="shared" si="64"/>
        <v/>
      </c>
      <c r="Y267" s="586" t="str">
        <f t="shared" si="56"/>
        <v/>
      </c>
      <c r="Z267" s="586" t="str">
        <f t="shared" si="58"/>
        <v/>
      </c>
    </row>
    <row r="268" spans="1:26" ht="12" hidden="1" thickBot="1" x14ac:dyDescent="0.25">
      <c r="A268" s="671" t="s">
        <v>168</v>
      </c>
      <c r="B268" s="644" t="s">
        <v>168</v>
      </c>
      <c r="C268" s="645"/>
      <c r="D268" s="451" t="s">
        <v>250</v>
      </c>
      <c r="E268" s="423"/>
      <c r="F268" s="424">
        <v>20</v>
      </c>
      <c r="G268" s="425" t="s">
        <v>92</v>
      </c>
      <c r="H268" s="663">
        <f t="shared" si="72"/>
        <v>0.10354400000000001</v>
      </c>
      <c r="I268" s="420">
        <v>0</v>
      </c>
      <c r="J268" s="420"/>
      <c r="K268" s="421">
        <f t="shared" si="70"/>
        <v>0</v>
      </c>
      <c r="L268" s="647" t="s">
        <v>614</v>
      </c>
      <c r="M268" s="703"/>
      <c r="N268" s="576">
        <f t="shared" si="57"/>
        <v>0</v>
      </c>
      <c r="O268" s="577">
        <f t="shared" si="59"/>
        <v>0</v>
      </c>
      <c r="P268" s="578">
        <f t="shared" si="60"/>
        <v>0</v>
      </c>
      <c r="Q268" s="765"/>
      <c r="R268" s="703"/>
      <c r="S268" s="670"/>
      <c r="T268" s="577">
        <f t="shared" si="62"/>
        <v>0</v>
      </c>
      <c r="U268" s="578">
        <f t="shared" si="63"/>
        <v>0</v>
      </c>
      <c r="V268" s="579"/>
      <c r="W268" s="637" t="str">
        <f>IF(U265&gt;0,"xx",IF(P265&gt;0,"xy",""))</f>
        <v/>
      </c>
      <c r="X268" s="586" t="str">
        <f>IF(W268="X","x",IF(W268="xx","x",IF(W268="xy","x",IF(W268="y","x",IF(OR(P268&gt;0,U268&gt;0),"x","")))))</f>
        <v/>
      </c>
      <c r="Y268" s="586" t="str">
        <f>IF(W268="X","x",IF(W268="y","x",IF(W268="xx","x",IF(U268&gt;0,"x",""))))</f>
        <v/>
      </c>
      <c r="Z268" s="586" t="str">
        <f>IF(W268="X","x",IF(U268&gt;0,"x",""))</f>
        <v/>
      </c>
    </row>
    <row r="269" spans="1:26" ht="12" hidden="1" thickBot="1" x14ac:dyDescent="0.25">
      <c r="A269" s="671">
        <v>589170</v>
      </c>
      <c r="B269" s="638" t="s">
        <v>1757</v>
      </c>
      <c r="C269" s="480" t="s">
        <v>1746</v>
      </c>
      <c r="D269" s="706" t="s">
        <v>751</v>
      </c>
      <c r="E269" s="446"/>
      <c r="F269" s="478">
        <v>500</v>
      </c>
      <c r="G269" s="479">
        <v>1</v>
      </c>
      <c r="H269" s="663">
        <f>(0.84*F269+41.45)*G269</f>
        <v>461.45</v>
      </c>
      <c r="I269" s="472">
        <v>4205</v>
      </c>
      <c r="J269" s="472">
        <f>IF(ISBLANK(I269),"",I269*(1+$F$9)/(1+$F$10))+H269</f>
        <v>4541.5139676794888</v>
      </c>
      <c r="K269" s="415">
        <f t="shared" si="70"/>
        <v>5395.77</v>
      </c>
      <c r="L269" s="691" t="s">
        <v>20</v>
      </c>
      <c r="M269" s="692">
        <f>ROUND(M265*G265,2)</f>
        <v>0</v>
      </c>
      <c r="N269" s="799">
        <f t="shared" si="57"/>
        <v>0</v>
      </c>
      <c r="O269" s="693">
        <f>IF(ISBLANK(M269),0,ROUND(K269*M269,2))</f>
        <v>0</v>
      </c>
      <c r="P269" s="694">
        <f>IF(ISBLANK(N269),0,ROUND(M269*N269,2))</f>
        <v>0</v>
      </c>
      <c r="Q269" s="765"/>
      <c r="R269" s="695">
        <f>ROUND(R265*G265,2)</f>
        <v>0</v>
      </c>
      <c r="S269" s="705">
        <f t="shared" si="61"/>
        <v>0</v>
      </c>
      <c r="T269" s="693">
        <f t="shared" si="62"/>
        <v>0</v>
      </c>
      <c r="U269" s="694">
        <f t="shared" si="63"/>
        <v>0</v>
      </c>
      <c r="V269" s="579"/>
      <c r="W269" s="637" t="str">
        <f>IF(U265&gt;0,"xx",IF(P265&gt;0,"xy",""))</f>
        <v/>
      </c>
      <c r="X269" s="586" t="str">
        <f t="shared" si="64"/>
        <v/>
      </c>
      <c r="Y269" s="586" t="str">
        <f t="shared" si="56"/>
        <v/>
      </c>
      <c r="Z269" s="586" t="str">
        <f t="shared" si="58"/>
        <v/>
      </c>
    </row>
    <row r="270" spans="1:26" ht="12" hidden="1" thickBot="1" x14ac:dyDescent="0.25">
      <c r="A270" s="671">
        <v>562200</v>
      </c>
      <c r="B270" s="701" t="s">
        <v>1568</v>
      </c>
      <c r="C270" s="702" t="s">
        <v>206</v>
      </c>
      <c r="D270" s="463" t="s">
        <v>650</v>
      </c>
      <c r="E270" s="464"/>
      <c r="F270" s="465" t="s">
        <v>649</v>
      </c>
      <c r="G270" s="466">
        <v>2.5999999999999999E-3</v>
      </c>
      <c r="H270" s="681">
        <f>SUM(H271:H273)</f>
        <v>2.6804160000000001</v>
      </c>
      <c r="I270" s="467">
        <v>4.01</v>
      </c>
      <c r="J270" s="467">
        <f>IF(ISBLANK(I270),"",SUM(H270:I270))</f>
        <v>6.6904159999999999</v>
      </c>
      <c r="K270" s="682">
        <f t="shared" si="70"/>
        <v>7.95</v>
      </c>
      <c r="L270" s="683" t="s">
        <v>18</v>
      </c>
      <c r="M270" s="685"/>
      <c r="N270" s="576">
        <f t="shared" si="57"/>
        <v>0</v>
      </c>
      <c r="O270" s="687">
        <f t="shared" si="59"/>
        <v>0</v>
      </c>
      <c r="P270" s="688">
        <f t="shared" si="60"/>
        <v>0</v>
      </c>
      <c r="Q270" s="765"/>
      <c r="R270" s="685">
        <f>M270</f>
        <v>0</v>
      </c>
      <c r="S270" s="686">
        <f t="shared" si="61"/>
        <v>0</v>
      </c>
      <c r="T270" s="687">
        <f t="shared" si="62"/>
        <v>0</v>
      </c>
      <c r="U270" s="688">
        <f t="shared" si="63"/>
        <v>0</v>
      </c>
      <c r="V270" s="579"/>
      <c r="W270" s="566"/>
      <c r="X270" s="586" t="str">
        <f t="shared" si="64"/>
        <v/>
      </c>
      <c r="Y270" s="586" t="str">
        <f t="shared" si="56"/>
        <v/>
      </c>
      <c r="Z270" s="586" t="str">
        <f t="shared" si="58"/>
        <v/>
      </c>
    </row>
    <row r="271" spans="1:26" ht="12" hidden="1" thickBot="1" x14ac:dyDescent="0.25">
      <c r="A271" s="671" t="s">
        <v>168</v>
      </c>
      <c r="B271" s="644" t="s">
        <v>168</v>
      </c>
      <c r="C271" s="645"/>
      <c r="D271" s="475" t="s">
        <v>248</v>
      </c>
      <c r="E271" s="423"/>
      <c r="F271" s="424">
        <v>180</v>
      </c>
      <c r="G271" s="476" t="s">
        <v>93</v>
      </c>
      <c r="H271" s="663">
        <f t="shared" ref="H271:H273" si="73">IF(F271&lt;=30,(1.07*F271+2.68)*G271,((1.07*30+2.68)+1.07*(F271-30))*G271)</f>
        <v>2.3238320000000003</v>
      </c>
      <c r="I271" s="420">
        <v>0</v>
      </c>
      <c r="J271" s="420"/>
      <c r="K271" s="421">
        <f t="shared" si="70"/>
        <v>0</v>
      </c>
      <c r="L271" s="647" t="s">
        <v>614</v>
      </c>
      <c r="M271" s="703"/>
      <c r="N271" s="576">
        <f t="shared" si="57"/>
        <v>0</v>
      </c>
      <c r="O271" s="577">
        <f t="shared" si="59"/>
        <v>0</v>
      </c>
      <c r="P271" s="578">
        <f t="shared" si="60"/>
        <v>0</v>
      </c>
      <c r="Q271" s="765"/>
      <c r="R271" s="703"/>
      <c r="S271" s="670"/>
      <c r="T271" s="577">
        <f t="shared" si="62"/>
        <v>0</v>
      </c>
      <c r="U271" s="578">
        <f t="shared" si="63"/>
        <v>0</v>
      </c>
      <c r="V271" s="579"/>
      <c r="W271" s="637" t="str">
        <f>IF(U270&gt;0,"xx",IF(P270&gt;0,"xy",""))</f>
        <v/>
      </c>
      <c r="X271" s="586" t="str">
        <f t="shared" si="64"/>
        <v/>
      </c>
      <c r="Y271" s="586" t="str">
        <f t="shared" si="56"/>
        <v/>
      </c>
      <c r="Z271" s="586" t="str">
        <f t="shared" si="58"/>
        <v/>
      </c>
    </row>
    <row r="272" spans="1:26" ht="12" hidden="1" thickBot="1" x14ac:dyDescent="0.25">
      <c r="A272" s="671" t="s">
        <v>168</v>
      </c>
      <c r="B272" s="644" t="s">
        <v>168</v>
      </c>
      <c r="C272" s="645"/>
      <c r="D272" s="475" t="s">
        <v>249</v>
      </c>
      <c r="E272" s="423"/>
      <c r="F272" s="424">
        <v>500</v>
      </c>
      <c r="G272" s="476" t="s">
        <v>94</v>
      </c>
      <c r="H272" s="649">
        <f>IF(F272&lt;=30,(0.78*F272+7.82)*G272,((0.78*30+7.82)+0.78*(F272-30))*G272)</f>
        <v>0.15912800000000002</v>
      </c>
      <c r="I272" s="420">
        <v>0</v>
      </c>
      <c r="J272" s="420"/>
      <c r="K272" s="421">
        <f t="shared" si="70"/>
        <v>0</v>
      </c>
      <c r="L272" s="647" t="s">
        <v>614</v>
      </c>
      <c r="M272" s="703"/>
      <c r="N272" s="576">
        <f t="shared" si="57"/>
        <v>0</v>
      </c>
      <c r="O272" s="577">
        <f t="shared" si="59"/>
        <v>0</v>
      </c>
      <c r="P272" s="578">
        <f t="shared" si="60"/>
        <v>0</v>
      </c>
      <c r="Q272" s="765"/>
      <c r="R272" s="703"/>
      <c r="S272" s="670"/>
      <c r="T272" s="577">
        <f t="shared" si="62"/>
        <v>0</v>
      </c>
      <c r="U272" s="578">
        <f t="shared" si="63"/>
        <v>0</v>
      </c>
      <c r="V272" s="579"/>
      <c r="W272" s="637" t="str">
        <f>IF(U270&gt;0,"xx",IF(P270&gt;0,"xy",""))</f>
        <v/>
      </c>
      <c r="X272" s="586" t="str">
        <f t="shared" si="64"/>
        <v/>
      </c>
      <c r="Y272" s="586" t="str">
        <f t="shared" si="56"/>
        <v/>
      </c>
      <c r="Z272" s="586" t="str">
        <f t="shared" si="58"/>
        <v/>
      </c>
    </row>
    <row r="273" spans="1:26" ht="12" hidden="1" thickBot="1" x14ac:dyDescent="0.25">
      <c r="A273" s="671" t="s">
        <v>168</v>
      </c>
      <c r="B273" s="644" t="s">
        <v>168</v>
      </c>
      <c r="C273" s="645"/>
      <c r="D273" s="451" t="s">
        <v>250</v>
      </c>
      <c r="E273" s="423"/>
      <c r="F273" s="424">
        <v>20</v>
      </c>
      <c r="G273" s="425" t="s">
        <v>95</v>
      </c>
      <c r="H273" s="663">
        <f t="shared" si="73"/>
        <v>0.19745600000000002</v>
      </c>
      <c r="I273" s="420">
        <v>0</v>
      </c>
      <c r="J273" s="420"/>
      <c r="K273" s="421">
        <f t="shared" si="70"/>
        <v>0</v>
      </c>
      <c r="L273" s="647" t="s">
        <v>614</v>
      </c>
      <c r="M273" s="703"/>
      <c r="N273" s="576">
        <f t="shared" si="57"/>
        <v>0</v>
      </c>
      <c r="O273" s="577">
        <f t="shared" si="59"/>
        <v>0</v>
      </c>
      <c r="P273" s="578">
        <f t="shared" si="60"/>
        <v>0</v>
      </c>
      <c r="Q273" s="765"/>
      <c r="R273" s="703"/>
      <c r="S273" s="670"/>
      <c r="T273" s="577">
        <f t="shared" si="62"/>
        <v>0</v>
      </c>
      <c r="U273" s="578">
        <f t="shared" si="63"/>
        <v>0</v>
      </c>
      <c r="V273" s="579"/>
      <c r="W273" s="637" t="str">
        <f>IF(U270&gt;0,"xx",IF(P270&gt;0,"xy",""))</f>
        <v/>
      </c>
      <c r="X273" s="586" t="str">
        <f>IF(W273="X","x",IF(W273="xx","x",IF(W273="xy","x",IF(W273="y","x",IF(OR(P273&gt;0,U273&gt;0),"x","")))))</f>
        <v/>
      </c>
      <c r="Y273" s="586" t="str">
        <f t="shared" si="56"/>
        <v/>
      </c>
      <c r="Z273" s="586" t="str">
        <f>IF(W273="X","x",IF(U273&gt;0,"x",""))</f>
        <v/>
      </c>
    </row>
    <row r="274" spans="1:26" ht="12" hidden="1" thickBot="1" x14ac:dyDescent="0.25">
      <c r="A274" s="671">
        <v>589170</v>
      </c>
      <c r="B274" s="707" t="s">
        <v>1758</v>
      </c>
      <c r="C274" s="689" t="s">
        <v>1746</v>
      </c>
      <c r="D274" s="708" t="s">
        <v>752</v>
      </c>
      <c r="E274" s="481"/>
      <c r="F274" s="478">
        <v>500</v>
      </c>
      <c r="G274" s="479">
        <v>1</v>
      </c>
      <c r="H274" s="663">
        <f>(0.84*F274+41.45)*G274</f>
        <v>461.45</v>
      </c>
      <c r="I274" s="472">
        <v>4205</v>
      </c>
      <c r="J274" s="472">
        <f>IF(ISBLANK(I274),"",I274*(1+$F$9)/(1+$F$10))+H274</f>
        <v>4541.5139676794888</v>
      </c>
      <c r="K274" s="709">
        <f t="shared" si="70"/>
        <v>5395.77</v>
      </c>
      <c r="L274" s="691" t="s">
        <v>20</v>
      </c>
      <c r="M274" s="692">
        <f>ROUND(M270*G270,2)</f>
        <v>0</v>
      </c>
      <c r="N274" s="799">
        <f t="shared" si="57"/>
        <v>0</v>
      </c>
      <c r="O274" s="693">
        <f>IF(ISBLANK(M274),0,ROUND(K274*M274,2))</f>
        <v>0</v>
      </c>
      <c r="P274" s="694">
        <f>IF(ISBLANK(N274),0,ROUND(M274*N274,2))</f>
        <v>0</v>
      </c>
      <c r="Q274" s="765"/>
      <c r="R274" s="695">
        <f>ROUND(R270*G270,2)</f>
        <v>0</v>
      </c>
      <c r="S274" s="710">
        <f t="shared" si="61"/>
        <v>0</v>
      </c>
      <c r="T274" s="693">
        <f t="shared" si="62"/>
        <v>0</v>
      </c>
      <c r="U274" s="694">
        <f t="shared" si="63"/>
        <v>0</v>
      </c>
      <c r="V274" s="579"/>
      <c r="W274" s="637" t="str">
        <f>IF(U270&gt;0,"xx",IF(P270&gt;0,"xy",""))</f>
        <v/>
      </c>
      <c r="X274" s="586" t="str">
        <f t="shared" si="64"/>
        <v/>
      </c>
      <c r="Y274" s="586" t="str">
        <f t="shared" si="56"/>
        <v/>
      </c>
      <c r="Z274" s="586" t="str">
        <f t="shared" si="58"/>
        <v/>
      </c>
    </row>
    <row r="275" spans="1:26" ht="12" hidden="1" thickBot="1" x14ac:dyDescent="0.25">
      <c r="A275" s="671">
        <v>587000</v>
      </c>
      <c r="B275" s="701">
        <v>587000</v>
      </c>
      <c r="C275" s="702" t="s">
        <v>206</v>
      </c>
      <c r="D275" s="463" t="s">
        <v>251</v>
      </c>
      <c r="E275" s="464"/>
      <c r="F275" s="465" t="s">
        <v>661</v>
      </c>
      <c r="G275" s="466">
        <v>1.5E-3</v>
      </c>
      <c r="H275" s="681">
        <f>SUM(H276:H276)</f>
        <v>0.36120000000000002</v>
      </c>
      <c r="I275" s="467">
        <v>4.46</v>
      </c>
      <c r="J275" s="467">
        <f>IF(ISBLANK(I275),"",SUM(H275:I275))</f>
        <v>4.8212000000000002</v>
      </c>
      <c r="K275" s="682">
        <f t="shared" si="70"/>
        <v>5.73</v>
      </c>
      <c r="L275" s="683" t="s">
        <v>18</v>
      </c>
      <c r="M275" s="685"/>
      <c r="N275" s="576">
        <f t="shared" si="57"/>
        <v>0</v>
      </c>
      <c r="O275" s="687">
        <f t="shared" si="59"/>
        <v>0</v>
      </c>
      <c r="P275" s="688">
        <f t="shared" si="60"/>
        <v>0</v>
      </c>
      <c r="Q275" s="765"/>
      <c r="R275" s="685">
        <f>M275</f>
        <v>0</v>
      </c>
      <c r="S275" s="686">
        <f t="shared" si="61"/>
        <v>0</v>
      </c>
      <c r="T275" s="687">
        <f t="shared" si="62"/>
        <v>0</v>
      </c>
      <c r="U275" s="688">
        <f t="shared" si="63"/>
        <v>0</v>
      </c>
      <c r="V275" s="579"/>
      <c r="W275" s="566"/>
      <c r="X275" s="586" t="str">
        <f t="shared" si="64"/>
        <v/>
      </c>
      <c r="Y275" s="586" t="str">
        <f t="shared" ref="Y275:Y338" si="74">IF(W275="X","x",IF(W275="y","x",IF(W275="xx","x",IF(U275&gt;0,"x",""))))</f>
        <v/>
      </c>
      <c r="Z275" s="586" t="str">
        <f t="shared" si="58"/>
        <v/>
      </c>
    </row>
    <row r="276" spans="1:26" ht="12" hidden="1" thickBot="1" x14ac:dyDescent="0.25">
      <c r="A276" s="671" t="s">
        <v>168</v>
      </c>
      <c r="B276" s="644" t="s">
        <v>168</v>
      </c>
      <c r="C276" s="645"/>
      <c r="D276" s="451" t="s">
        <v>252</v>
      </c>
      <c r="E276" s="423"/>
      <c r="F276" s="418">
        <v>20</v>
      </c>
      <c r="G276" s="419">
        <v>1.4999999999999999E-2</v>
      </c>
      <c r="H276" s="663">
        <f t="shared" ref="H276" si="75">IF(F276&lt;=30,(1.07*F276+2.68)*G276,((1.07*30+2.68)+1.07*(F276-30))*G276)</f>
        <v>0.36120000000000002</v>
      </c>
      <c r="I276" s="420">
        <v>0</v>
      </c>
      <c r="J276" s="420"/>
      <c r="K276" s="421">
        <f t="shared" si="70"/>
        <v>0</v>
      </c>
      <c r="L276" s="647" t="s">
        <v>614</v>
      </c>
      <c r="M276" s="703"/>
      <c r="N276" s="576">
        <f t="shared" ref="N276:N339" si="76">IF(M276=0,0,K276)</f>
        <v>0</v>
      </c>
      <c r="O276" s="577">
        <f t="shared" si="59"/>
        <v>0</v>
      </c>
      <c r="P276" s="578">
        <f t="shared" si="60"/>
        <v>0</v>
      </c>
      <c r="Q276" s="765"/>
      <c r="R276" s="703"/>
      <c r="S276" s="670"/>
      <c r="T276" s="577">
        <f t="shared" si="62"/>
        <v>0</v>
      </c>
      <c r="U276" s="578">
        <f t="shared" si="63"/>
        <v>0</v>
      </c>
      <c r="V276" s="579"/>
      <c r="W276" s="637" t="str">
        <f>IF(U275&gt;0,"xx",IF(P275&gt;0,"xy",""))</f>
        <v/>
      </c>
      <c r="X276" s="586" t="str">
        <f>IF(W276="X","x",IF(W276="xx","x",IF(W276="xy","x",IF(W276="y","x",IF(OR(P276&gt;0,U276&gt;0),"x","")))))</f>
        <v/>
      </c>
      <c r="Y276" s="586" t="str">
        <f t="shared" si="74"/>
        <v/>
      </c>
      <c r="Z276" s="586" t="str">
        <f>IF(W276="X","x",IF(U276&gt;0,"x",""))</f>
        <v/>
      </c>
    </row>
    <row r="277" spans="1:26" ht="12" hidden="1" thickBot="1" x14ac:dyDescent="0.25">
      <c r="A277" s="671">
        <v>589520</v>
      </c>
      <c r="B277" s="704" t="s">
        <v>1759</v>
      </c>
      <c r="C277" s="689" t="s">
        <v>1746</v>
      </c>
      <c r="D277" s="477" t="s">
        <v>753</v>
      </c>
      <c r="E277" s="470"/>
      <c r="F277" s="478">
        <v>500</v>
      </c>
      <c r="G277" s="479">
        <v>1</v>
      </c>
      <c r="H277" s="663">
        <f>(0.84*F277+41.45)*G277</f>
        <v>461.45</v>
      </c>
      <c r="I277" s="472">
        <v>4168</v>
      </c>
      <c r="J277" s="472">
        <f>IF(ISBLANK(I277),"",I277*(1+$F$9)/(1+$F$10))+H277</f>
        <v>4505.6132859186937</v>
      </c>
      <c r="K277" s="690">
        <f t="shared" si="70"/>
        <v>5353.12</v>
      </c>
      <c r="L277" s="691" t="s">
        <v>20</v>
      </c>
      <c r="M277" s="692">
        <f>ROUND(M275*G275,2)</f>
        <v>0</v>
      </c>
      <c r="N277" s="799">
        <f t="shared" si="76"/>
        <v>0</v>
      </c>
      <c r="O277" s="693">
        <f>IF(ISBLANK(M277),0,ROUND(K277*M277,2))</f>
        <v>0</v>
      </c>
      <c r="P277" s="694">
        <f>IF(ISBLANK(N277),0,ROUND(M277*N277,2))</f>
        <v>0</v>
      </c>
      <c r="Q277" s="765"/>
      <c r="R277" s="695">
        <f>ROUND(R275*G275,2)</f>
        <v>0</v>
      </c>
      <c r="S277" s="711">
        <f t="shared" si="61"/>
        <v>0</v>
      </c>
      <c r="T277" s="693">
        <f t="shared" si="62"/>
        <v>0</v>
      </c>
      <c r="U277" s="694">
        <f t="shared" si="63"/>
        <v>0</v>
      </c>
      <c r="V277" s="579"/>
      <c r="W277" s="637" t="str">
        <f>IF(U275&gt;0,"xx",IF(P275&gt;0,"xy",""))</f>
        <v/>
      </c>
      <c r="X277" s="586" t="str">
        <f t="shared" si="64"/>
        <v/>
      </c>
      <c r="Y277" s="586" t="str">
        <f t="shared" si="74"/>
        <v/>
      </c>
      <c r="Z277" s="586" t="str">
        <f t="shared" si="58"/>
        <v/>
      </c>
    </row>
    <row r="278" spans="1:26" ht="12" hidden="1" thickBot="1" x14ac:dyDescent="0.25">
      <c r="A278" s="671">
        <v>583100</v>
      </c>
      <c r="B278" s="701" t="s">
        <v>1615</v>
      </c>
      <c r="C278" s="702" t="s">
        <v>206</v>
      </c>
      <c r="D278" s="482" t="s">
        <v>253</v>
      </c>
      <c r="E278" s="464"/>
      <c r="F278" s="465" t="s">
        <v>661</v>
      </c>
      <c r="G278" s="466">
        <v>3.0999999999999999E-3</v>
      </c>
      <c r="H278" s="681">
        <f>SUM(H279:H279)</f>
        <v>0.63330400000000009</v>
      </c>
      <c r="I278" s="467">
        <v>6.69</v>
      </c>
      <c r="J278" s="467">
        <f>IF(ISBLANK(I278),"",SUM(H278:I278))</f>
        <v>7.3233040000000003</v>
      </c>
      <c r="K278" s="682">
        <f t="shared" si="70"/>
        <v>8.6999999999999993</v>
      </c>
      <c r="L278" s="683" t="s">
        <v>18</v>
      </c>
      <c r="M278" s="685"/>
      <c r="N278" s="576">
        <f t="shared" si="76"/>
        <v>0</v>
      </c>
      <c r="O278" s="687">
        <f t="shared" si="59"/>
        <v>0</v>
      </c>
      <c r="P278" s="688">
        <f t="shared" si="60"/>
        <v>0</v>
      </c>
      <c r="Q278" s="765"/>
      <c r="R278" s="685">
        <f>M278</f>
        <v>0</v>
      </c>
      <c r="S278" s="686">
        <f t="shared" si="61"/>
        <v>0</v>
      </c>
      <c r="T278" s="687">
        <f t="shared" si="62"/>
        <v>0</v>
      </c>
      <c r="U278" s="688">
        <f t="shared" si="63"/>
        <v>0</v>
      </c>
      <c r="V278" s="579"/>
      <c r="W278" s="566"/>
      <c r="X278" s="586" t="str">
        <f>IF(W278="X","x",IF(W278="xx","x",IF(W278="xy","x",IF(W278="y","x",IF(OR(P278&gt;0,U278&gt;0),"x","")))))</f>
        <v/>
      </c>
      <c r="Y278" s="586" t="str">
        <f t="shared" si="74"/>
        <v/>
      </c>
      <c r="Z278" s="586" t="str">
        <f t="shared" si="58"/>
        <v/>
      </c>
    </row>
    <row r="279" spans="1:26" ht="12" hidden="1" thickBot="1" x14ac:dyDescent="0.25">
      <c r="A279" s="671" t="s">
        <v>168</v>
      </c>
      <c r="B279" s="644" t="s">
        <v>168</v>
      </c>
      <c r="C279" s="645"/>
      <c r="D279" s="483" t="s">
        <v>252</v>
      </c>
      <c r="E279" s="423"/>
      <c r="F279" s="418">
        <v>20</v>
      </c>
      <c r="G279" s="425">
        <v>2.63E-2</v>
      </c>
      <c r="H279" s="663">
        <f t="shared" ref="H279" si="77">IF(F279&lt;=30,(1.07*F279+2.68)*G279,((1.07*30+2.68)+1.07*(F279-30))*G279)</f>
        <v>0.63330400000000009</v>
      </c>
      <c r="I279" s="420">
        <v>0</v>
      </c>
      <c r="J279" s="420"/>
      <c r="K279" s="421">
        <f t="shared" si="70"/>
        <v>0</v>
      </c>
      <c r="L279" s="647" t="s">
        <v>614</v>
      </c>
      <c r="M279" s="703"/>
      <c r="N279" s="576">
        <f t="shared" si="76"/>
        <v>0</v>
      </c>
      <c r="O279" s="577">
        <f t="shared" si="59"/>
        <v>0</v>
      </c>
      <c r="P279" s="578">
        <f t="shared" si="60"/>
        <v>0</v>
      </c>
      <c r="Q279" s="765"/>
      <c r="R279" s="703"/>
      <c r="S279" s="670"/>
      <c r="T279" s="577">
        <f t="shared" si="62"/>
        <v>0</v>
      </c>
      <c r="U279" s="578">
        <f t="shared" si="63"/>
        <v>0</v>
      </c>
      <c r="V279" s="579"/>
      <c r="W279" s="637" t="str">
        <f>IF(U278&gt;0,"xx",IF(P278&gt;0,"xy",""))</f>
        <v/>
      </c>
      <c r="X279" s="586" t="str">
        <f>IF(W279="X","x",IF(W279="xx","x",IF(W279="xy","x",IF(W279="y","x",IF(OR(P279&gt;0,U279&gt;0),"x","")))))</f>
        <v/>
      </c>
      <c r="Y279" s="586" t="str">
        <f t="shared" si="74"/>
        <v/>
      </c>
      <c r="Z279" s="586" t="str">
        <f t="shared" si="58"/>
        <v/>
      </c>
    </row>
    <row r="280" spans="1:26" ht="12" hidden="1" thickBot="1" x14ac:dyDescent="0.25">
      <c r="A280" s="671">
        <v>589520</v>
      </c>
      <c r="B280" s="704" t="s">
        <v>1760</v>
      </c>
      <c r="C280" s="689" t="s">
        <v>1746</v>
      </c>
      <c r="D280" s="712" t="s">
        <v>754</v>
      </c>
      <c r="E280" s="470"/>
      <c r="F280" s="478">
        <v>500</v>
      </c>
      <c r="G280" s="479">
        <v>1</v>
      </c>
      <c r="H280" s="663">
        <f>(0.84*F280+41.45)*G280</f>
        <v>461.45</v>
      </c>
      <c r="I280" s="472">
        <v>4168</v>
      </c>
      <c r="J280" s="472">
        <f>IF(ISBLANK(I280),"",I280*(1+$F$9)/(1+$F$10))+H280</f>
        <v>4505.6132859186937</v>
      </c>
      <c r="K280" s="690">
        <f t="shared" si="70"/>
        <v>5353.12</v>
      </c>
      <c r="L280" s="691" t="s">
        <v>20</v>
      </c>
      <c r="M280" s="692">
        <f>ROUND(M278*G278,2)</f>
        <v>0</v>
      </c>
      <c r="N280" s="799">
        <f t="shared" si="76"/>
        <v>0</v>
      </c>
      <c r="O280" s="693">
        <f t="shared" si="59"/>
        <v>0</v>
      </c>
      <c r="P280" s="694">
        <f t="shared" si="60"/>
        <v>0</v>
      </c>
      <c r="Q280" s="765"/>
      <c r="R280" s="695">
        <f>ROUND(R278*G278,2)</f>
        <v>0</v>
      </c>
      <c r="S280" s="711">
        <f t="shared" si="61"/>
        <v>0</v>
      </c>
      <c r="T280" s="693">
        <f t="shared" si="62"/>
        <v>0</v>
      </c>
      <c r="U280" s="694">
        <f t="shared" si="63"/>
        <v>0</v>
      </c>
      <c r="V280" s="579"/>
      <c r="W280" s="637" t="str">
        <f>IF(U278&gt;0,"xx",IF(P278&gt;0,"xy",""))</f>
        <v/>
      </c>
      <c r="X280" s="586" t="str">
        <f>IF(W280="X","x",IF(W280="xx","x",IF(W280="xy","x",IF(W280="y","x",IF(OR(P280&gt;0,U280&gt;0),"x","")))))</f>
        <v/>
      </c>
      <c r="Y280" s="586" t="str">
        <f t="shared" si="74"/>
        <v/>
      </c>
      <c r="Z280" s="586" t="str">
        <f t="shared" si="58"/>
        <v/>
      </c>
    </row>
    <row r="281" spans="1:26" ht="12" hidden="1" thickBot="1" x14ac:dyDescent="0.25">
      <c r="A281" s="671">
        <v>583100</v>
      </c>
      <c r="B281" s="701" t="s">
        <v>1616</v>
      </c>
      <c r="C281" s="702" t="s">
        <v>206</v>
      </c>
      <c r="D281" s="482" t="s">
        <v>254</v>
      </c>
      <c r="E281" s="464"/>
      <c r="F281" s="465" t="s">
        <v>661</v>
      </c>
      <c r="G281" s="466">
        <v>3.3999999999999998E-3</v>
      </c>
      <c r="H281" s="681">
        <f>SUM(H282:H282)</f>
        <v>0.73444000000000009</v>
      </c>
      <c r="I281" s="467">
        <v>6.69</v>
      </c>
      <c r="J281" s="467">
        <f>IF(ISBLANK(I281),"",SUM(H281:I281))</f>
        <v>7.4244400000000006</v>
      </c>
      <c r="K281" s="682">
        <f t="shared" si="70"/>
        <v>8.82</v>
      </c>
      <c r="L281" s="683" t="s">
        <v>18</v>
      </c>
      <c r="M281" s="685"/>
      <c r="N281" s="576">
        <f t="shared" si="76"/>
        <v>0</v>
      </c>
      <c r="O281" s="687">
        <f t="shared" si="59"/>
        <v>0</v>
      </c>
      <c r="P281" s="688">
        <f t="shared" si="60"/>
        <v>0</v>
      </c>
      <c r="Q281" s="765"/>
      <c r="R281" s="685">
        <f>M281</f>
        <v>0</v>
      </c>
      <c r="S281" s="686">
        <f t="shared" si="61"/>
        <v>0</v>
      </c>
      <c r="T281" s="687">
        <f t="shared" si="62"/>
        <v>0</v>
      </c>
      <c r="U281" s="688">
        <f t="shared" si="63"/>
        <v>0</v>
      </c>
      <c r="V281" s="579"/>
      <c r="W281" s="566"/>
      <c r="X281" s="586" t="str">
        <f t="shared" si="64"/>
        <v/>
      </c>
      <c r="Y281" s="586" t="str">
        <f t="shared" si="74"/>
        <v/>
      </c>
      <c r="Z281" s="586" t="str">
        <f t="shared" si="58"/>
        <v/>
      </c>
    </row>
    <row r="282" spans="1:26" ht="12" hidden="1" thickBot="1" x14ac:dyDescent="0.25">
      <c r="A282" s="671" t="s">
        <v>168</v>
      </c>
      <c r="B282" s="644" t="s">
        <v>168</v>
      </c>
      <c r="C282" s="645"/>
      <c r="D282" s="483" t="s">
        <v>252</v>
      </c>
      <c r="E282" s="423"/>
      <c r="F282" s="418">
        <v>20</v>
      </c>
      <c r="G282" s="425">
        <v>3.0499999999999999E-2</v>
      </c>
      <c r="H282" s="663">
        <f t="shared" ref="H282" si="78">IF(F282&lt;=30,(1.07*F282+2.68)*G282,((1.07*30+2.68)+1.07*(F282-30))*G282)</f>
        <v>0.73444000000000009</v>
      </c>
      <c r="I282" s="420">
        <v>0</v>
      </c>
      <c r="J282" s="420"/>
      <c r="K282" s="421">
        <f t="shared" si="70"/>
        <v>0</v>
      </c>
      <c r="L282" s="647" t="s">
        <v>614</v>
      </c>
      <c r="M282" s="703"/>
      <c r="N282" s="576">
        <f t="shared" si="76"/>
        <v>0</v>
      </c>
      <c r="O282" s="577">
        <f t="shared" si="59"/>
        <v>0</v>
      </c>
      <c r="P282" s="578">
        <f t="shared" si="60"/>
        <v>0</v>
      </c>
      <c r="Q282" s="765"/>
      <c r="R282" s="703"/>
      <c r="S282" s="670"/>
      <c r="T282" s="577">
        <f t="shared" si="62"/>
        <v>0</v>
      </c>
      <c r="U282" s="578">
        <f t="shared" si="63"/>
        <v>0</v>
      </c>
      <c r="V282" s="579"/>
      <c r="W282" s="637" t="str">
        <f>IF(U281&gt;0,"xx",IF(P281&gt;0,"xy",""))</f>
        <v/>
      </c>
      <c r="X282" s="586" t="str">
        <f>IF(W282="X","x",IF(W282="xx","x",IF(W282="xy","x",IF(W282="y","x",IF(OR(P282&gt;0,U282&gt;0),"x","")))))</f>
        <v/>
      </c>
      <c r="Y282" s="586" t="str">
        <f t="shared" si="74"/>
        <v/>
      </c>
      <c r="Z282" s="586" t="str">
        <f t="shared" si="58"/>
        <v/>
      </c>
    </row>
    <row r="283" spans="1:26" ht="12" hidden="1" thickBot="1" x14ac:dyDescent="0.25">
      <c r="A283" s="671">
        <v>589520</v>
      </c>
      <c r="B283" s="704" t="s">
        <v>1761</v>
      </c>
      <c r="C283" s="689" t="s">
        <v>1746</v>
      </c>
      <c r="D283" s="712" t="s">
        <v>1574</v>
      </c>
      <c r="E283" s="470"/>
      <c r="F283" s="478">
        <v>500</v>
      </c>
      <c r="G283" s="479">
        <v>1</v>
      </c>
      <c r="H283" s="663">
        <f>(0.84*F283+41.45)*G283</f>
        <v>461.45</v>
      </c>
      <c r="I283" s="472">
        <v>4168</v>
      </c>
      <c r="J283" s="472">
        <f>IF(ISBLANK(I283),"",I283*(1+$F$9)/(1+$F$10))+H283</f>
        <v>4505.6132859186937</v>
      </c>
      <c r="K283" s="690">
        <f t="shared" si="70"/>
        <v>5353.12</v>
      </c>
      <c r="L283" s="691" t="s">
        <v>20</v>
      </c>
      <c r="M283" s="692">
        <f>ROUND(M281*G281,2)</f>
        <v>0</v>
      </c>
      <c r="N283" s="588">
        <f t="shared" si="76"/>
        <v>0</v>
      </c>
      <c r="O283" s="693">
        <f t="shared" si="59"/>
        <v>0</v>
      </c>
      <c r="P283" s="694">
        <f t="shared" si="60"/>
        <v>0</v>
      </c>
      <c r="Q283" s="765"/>
      <c r="R283" s="695">
        <f>ROUND(R281*G281,2)</f>
        <v>0</v>
      </c>
      <c r="S283" s="711">
        <f t="shared" si="61"/>
        <v>0</v>
      </c>
      <c r="T283" s="693">
        <f t="shared" si="62"/>
        <v>0</v>
      </c>
      <c r="U283" s="694">
        <f t="shared" si="63"/>
        <v>0</v>
      </c>
      <c r="V283" s="579"/>
      <c r="W283" s="637" t="str">
        <f>IF(U281&gt;0,"xx",IF(P281&gt;0,"xy",""))</f>
        <v/>
      </c>
      <c r="X283" s="586" t="str">
        <f t="shared" si="64"/>
        <v/>
      </c>
      <c r="Y283" s="586" t="str">
        <f t="shared" si="74"/>
        <v/>
      </c>
      <c r="Z283" s="586" t="str">
        <f t="shared" si="58"/>
        <v/>
      </c>
    </row>
    <row r="284" spans="1:26" ht="12" hidden="1" thickBot="1" x14ac:dyDescent="0.25">
      <c r="A284" s="671">
        <v>583100</v>
      </c>
      <c r="B284" s="701" t="s">
        <v>1617</v>
      </c>
      <c r="C284" s="702" t="s">
        <v>206</v>
      </c>
      <c r="D284" s="482" t="s">
        <v>255</v>
      </c>
      <c r="E284" s="464"/>
      <c r="F284" s="465" t="s">
        <v>661</v>
      </c>
      <c r="G284" s="466">
        <v>3.8E-3</v>
      </c>
      <c r="H284" s="681">
        <f>SUM(H285:H285)</f>
        <v>0.88614400000000004</v>
      </c>
      <c r="I284" s="467">
        <v>6.69</v>
      </c>
      <c r="J284" s="467">
        <f>IF(ISBLANK(I284),"",SUM(H284:I284))</f>
        <v>7.5761440000000002</v>
      </c>
      <c r="K284" s="682">
        <f t="shared" si="70"/>
        <v>9</v>
      </c>
      <c r="L284" s="683" t="s">
        <v>18</v>
      </c>
      <c r="M284" s="685"/>
      <c r="N284" s="686">
        <f t="shared" si="76"/>
        <v>0</v>
      </c>
      <c r="O284" s="687">
        <f t="shared" si="59"/>
        <v>0</v>
      </c>
      <c r="P284" s="688">
        <f t="shared" si="60"/>
        <v>0</v>
      </c>
      <c r="Q284" s="765"/>
      <c r="R284" s="685">
        <f>M284</f>
        <v>0</v>
      </c>
      <c r="S284" s="686">
        <f t="shared" si="61"/>
        <v>0</v>
      </c>
      <c r="T284" s="687">
        <f t="shared" si="62"/>
        <v>0</v>
      </c>
      <c r="U284" s="688">
        <f t="shared" si="63"/>
        <v>0</v>
      </c>
      <c r="V284" s="579"/>
      <c r="W284" s="566"/>
      <c r="X284" s="586" t="str">
        <f t="shared" si="64"/>
        <v/>
      </c>
      <c r="Y284" s="586" t="str">
        <f t="shared" si="74"/>
        <v/>
      </c>
      <c r="Z284" s="586" t="str">
        <f t="shared" si="58"/>
        <v/>
      </c>
    </row>
    <row r="285" spans="1:26" ht="12" hidden="1" thickBot="1" x14ac:dyDescent="0.25">
      <c r="A285" s="671" t="s">
        <v>168</v>
      </c>
      <c r="B285" s="644" t="s">
        <v>168</v>
      </c>
      <c r="C285" s="645"/>
      <c r="D285" s="483" t="s">
        <v>252</v>
      </c>
      <c r="E285" s="423"/>
      <c r="F285" s="418">
        <v>20</v>
      </c>
      <c r="G285" s="425">
        <v>3.6799999999999999E-2</v>
      </c>
      <c r="H285" s="663">
        <f t="shared" ref="H285" si="79">IF(F285&lt;=30,(1.07*F285+2.68)*G285,((1.07*30+2.68)+1.07*(F285-30))*G285)</f>
        <v>0.88614400000000004</v>
      </c>
      <c r="I285" s="420">
        <v>0</v>
      </c>
      <c r="J285" s="420"/>
      <c r="K285" s="421">
        <f t="shared" si="70"/>
        <v>0</v>
      </c>
      <c r="L285" s="647" t="s">
        <v>614</v>
      </c>
      <c r="M285" s="703"/>
      <c r="N285" s="576">
        <f t="shared" si="76"/>
        <v>0</v>
      </c>
      <c r="O285" s="577">
        <f t="shared" si="59"/>
        <v>0</v>
      </c>
      <c r="P285" s="578">
        <f t="shared" si="60"/>
        <v>0</v>
      </c>
      <c r="Q285" s="765"/>
      <c r="R285" s="703"/>
      <c r="S285" s="670"/>
      <c r="T285" s="577">
        <f t="shared" si="62"/>
        <v>0</v>
      </c>
      <c r="U285" s="578">
        <f t="shared" si="63"/>
        <v>0</v>
      </c>
      <c r="V285" s="579"/>
      <c r="W285" s="637" t="str">
        <f>IF(U284&gt;0,"xx",IF(P284&gt;0,"xy",""))</f>
        <v/>
      </c>
      <c r="X285" s="586" t="str">
        <f t="shared" si="64"/>
        <v/>
      </c>
      <c r="Y285" s="586" t="str">
        <f t="shared" si="74"/>
        <v/>
      </c>
      <c r="Z285" s="586" t="str">
        <f t="shared" ref="Z285:Z348" si="80">IF(W285="X","x",IF(U285&gt;0,"x",""))</f>
        <v/>
      </c>
    </row>
    <row r="286" spans="1:26" ht="12" hidden="1" thickBot="1" x14ac:dyDescent="0.25">
      <c r="A286" s="671">
        <v>589520</v>
      </c>
      <c r="B286" s="704" t="s">
        <v>1762</v>
      </c>
      <c r="C286" s="689" t="s">
        <v>1746</v>
      </c>
      <c r="D286" s="712" t="s">
        <v>755</v>
      </c>
      <c r="E286" s="470"/>
      <c r="F286" s="478">
        <v>500</v>
      </c>
      <c r="G286" s="479">
        <v>1</v>
      </c>
      <c r="H286" s="663">
        <f>(0.84*F286+41.45)*G286</f>
        <v>461.45</v>
      </c>
      <c r="I286" s="472">
        <v>4168</v>
      </c>
      <c r="J286" s="472">
        <f>IF(ISBLANK(I286),"",I286*(1+$F$9)/(1+$F$10))+H286</f>
        <v>4505.6132859186937</v>
      </c>
      <c r="K286" s="690">
        <f t="shared" si="70"/>
        <v>5353.12</v>
      </c>
      <c r="L286" s="691" t="s">
        <v>20</v>
      </c>
      <c r="M286" s="692">
        <f>ROUND(M284*G284,2)</f>
        <v>0</v>
      </c>
      <c r="N286" s="696">
        <f t="shared" si="76"/>
        <v>0</v>
      </c>
      <c r="O286" s="693">
        <f t="shared" si="59"/>
        <v>0</v>
      </c>
      <c r="P286" s="694">
        <f t="shared" si="60"/>
        <v>0</v>
      </c>
      <c r="Q286" s="765"/>
      <c r="R286" s="695">
        <f>ROUND(R284*G284,2)</f>
        <v>0</v>
      </c>
      <c r="S286" s="711">
        <f>N286</f>
        <v>0</v>
      </c>
      <c r="T286" s="693">
        <f t="shared" si="62"/>
        <v>0</v>
      </c>
      <c r="U286" s="694">
        <f t="shared" si="63"/>
        <v>0</v>
      </c>
      <c r="V286" s="579"/>
      <c r="W286" s="637" t="str">
        <f>IF(U284&gt;0,"xx",IF(P284&gt;0,"xy",""))</f>
        <v/>
      </c>
      <c r="X286" s="586" t="str">
        <f t="shared" si="64"/>
        <v/>
      </c>
      <c r="Y286" s="586" t="str">
        <f t="shared" si="74"/>
        <v/>
      </c>
      <c r="Z286" s="586" t="str">
        <f t="shared" si="80"/>
        <v/>
      </c>
    </row>
    <row r="287" spans="1:26" ht="12" hidden="1" thickBot="1" x14ac:dyDescent="0.25">
      <c r="A287" s="671">
        <v>584200</v>
      </c>
      <c r="B287" s="701" t="s">
        <v>1618</v>
      </c>
      <c r="C287" s="702" t="s">
        <v>206</v>
      </c>
      <c r="D287" s="482" t="s">
        <v>256</v>
      </c>
      <c r="E287" s="464"/>
      <c r="F287" s="465" t="s">
        <v>661</v>
      </c>
      <c r="G287" s="466">
        <v>3.3E-3</v>
      </c>
      <c r="H287" s="681">
        <f>SUM(H288:H288)</f>
        <v>0.68387200000000015</v>
      </c>
      <c r="I287" s="467">
        <v>8.33</v>
      </c>
      <c r="J287" s="467">
        <f>IF(ISBLANK(I287),"",SUM(H287:I287))</f>
        <v>9.013872000000001</v>
      </c>
      <c r="K287" s="682">
        <f t="shared" si="70"/>
        <v>10.71</v>
      </c>
      <c r="L287" s="683" t="s">
        <v>18</v>
      </c>
      <c r="M287" s="685"/>
      <c r="N287" s="576">
        <f t="shared" si="76"/>
        <v>0</v>
      </c>
      <c r="O287" s="687">
        <f t="shared" si="59"/>
        <v>0</v>
      </c>
      <c r="P287" s="688">
        <f t="shared" si="60"/>
        <v>0</v>
      </c>
      <c r="Q287" s="765"/>
      <c r="R287" s="685">
        <f>M287</f>
        <v>0</v>
      </c>
      <c r="S287" s="686">
        <f>N287</f>
        <v>0</v>
      </c>
      <c r="T287" s="687">
        <f t="shared" si="62"/>
        <v>0</v>
      </c>
      <c r="U287" s="688">
        <f t="shared" si="63"/>
        <v>0</v>
      </c>
      <c r="V287" s="579"/>
      <c r="W287" s="566"/>
      <c r="X287" s="586" t="str">
        <f t="shared" si="64"/>
        <v/>
      </c>
      <c r="Y287" s="586" t="str">
        <f t="shared" si="74"/>
        <v/>
      </c>
      <c r="Z287" s="586" t="str">
        <f t="shared" si="80"/>
        <v/>
      </c>
    </row>
    <row r="288" spans="1:26" ht="12" hidden="1" thickBot="1" x14ac:dyDescent="0.25">
      <c r="A288" s="671" t="s">
        <v>168</v>
      </c>
      <c r="B288" s="644" t="s">
        <v>168</v>
      </c>
      <c r="C288" s="645"/>
      <c r="D288" s="483" t="s">
        <v>252</v>
      </c>
      <c r="E288" s="423"/>
      <c r="F288" s="418">
        <v>20</v>
      </c>
      <c r="G288" s="425">
        <v>2.8400000000000002E-2</v>
      </c>
      <c r="H288" s="663">
        <f t="shared" ref="H288" si="81">IF(F288&lt;=30,(1.07*F288+2.68)*G288,((1.07*30+2.68)+1.07*(F288-30))*G288)</f>
        <v>0.68387200000000015</v>
      </c>
      <c r="I288" s="420">
        <v>0</v>
      </c>
      <c r="J288" s="420"/>
      <c r="K288" s="421">
        <f t="shared" si="70"/>
        <v>0</v>
      </c>
      <c r="L288" s="647" t="s">
        <v>614</v>
      </c>
      <c r="M288" s="703"/>
      <c r="N288" s="576">
        <f t="shared" si="76"/>
        <v>0</v>
      </c>
      <c r="O288" s="577">
        <f t="shared" ref="O288:O363" si="82">IF(ISBLANK(M288),0,ROUND(K288*M288,2))</f>
        <v>0</v>
      </c>
      <c r="P288" s="578">
        <f t="shared" ref="P288:P363" si="83">IF(ISBLANK(N288),0,ROUND(M288*N288,2))</f>
        <v>0</v>
      </c>
      <c r="Q288" s="765"/>
      <c r="R288" s="703"/>
      <c r="S288" s="670"/>
      <c r="T288" s="577">
        <f t="shared" ref="T288:T363" si="84">IF(ISBLANK(R288),0,ROUND(K288*R288,2))</f>
        <v>0</v>
      </c>
      <c r="U288" s="578">
        <f t="shared" ref="U288:U363" si="85">IF(ISBLANK(R288),0,ROUND(R288*S288,2))</f>
        <v>0</v>
      </c>
      <c r="V288" s="579"/>
      <c r="W288" s="637" t="str">
        <f>IF(U287&gt;0,"xx",IF(P287&gt;0,"xy",""))</f>
        <v/>
      </c>
      <c r="X288" s="586" t="str">
        <f t="shared" si="64"/>
        <v/>
      </c>
      <c r="Y288" s="586" t="str">
        <f t="shared" si="74"/>
        <v/>
      </c>
      <c r="Z288" s="586" t="str">
        <f t="shared" si="80"/>
        <v/>
      </c>
    </row>
    <row r="289" spans="1:26" ht="12" hidden="1" thickBot="1" x14ac:dyDescent="0.25">
      <c r="A289" s="671">
        <v>589520</v>
      </c>
      <c r="B289" s="704" t="s">
        <v>1763</v>
      </c>
      <c r="C289" s="689" t="s">
        <v>1746</v>
      </c>
      <c r="D289" s="712" t="s">
        <v>756</v>
      </c>
      <c r="E289" s="470"/>
      <c r="F289" s="478">
        <v>500</v>
      </c>
      <c r="G289" s="479">
        <v>1</v>
      </c>
      <c r="H289" s="663">
        <f>(0.84*F289+41.45)*G289</f>
        <v>461.45</v>
      </c>
      <c r="I289" s="472">
        <v>4168</v>
      </c>
      <c r="J289" s="472">
        <f>IF(ISBLANK(I289),"",I289*(1+$F$9)/(1+$F$10))+H289</f>
        <v>4505.6132859186937</v>
      </c>
      <c r="K289" s="690">
        <f t="shared" si="70"/>
        <v>5353.12</v>
      </c>
      <c r="L289" s="691" t="s">
        <v>20</v>
      </c>
      <c r="M289" s="692">
        <f>ROUND(M287*G287,2)</f>
        <v>0</v>
      </c>
      <c r="N289" s="588">
        <f t="shared" si="76"/>
        <v>0</v>
      </c>
      <c r="O289" s="693">
        <f t="shared" si="82"/>
        <v>0</v>
      </c>
      <c r="P289" s="694">
        <f t="shared" si="83"/>
        <v>0</v>
      </c>
      <c r="Q289" s="765"/>
      <c r="R289" s="695">
        <f>ROUND(R287*G287,2)</f>
        <v>0</v>
      </c>
      <c r="S289" s="711">
        <f>N289</f>
        <v>0</v>
      </c>
      <c r="T289" s="693">
        <f t="shared" si="84"/>
        <v>0</v>
      </c>
      <c r="U289" s="694">
        <f t="shared" si="85"/>
        <v>0</v>
      </c>
      <c r="V289" s="579"/>
      <c r="W289" s="637" t="str">
        <f>IF(U287&gt;0,"xx",IF(P287&gt;0,"xy",""))</f>
        <v/>
      </c>
      <c r="X289" s="586" t="str">
        <f t="shared" si="64"/>
        <v/>
      </c>
      <c r="Y289" s="586" t="str">
        <f t="shared" si="74"/>
        <v/>
      </c>
      <c r="Z289" s="586" t="str">
        <f t="shared" si="80"/>
        <v/>
      </c>
    </row>
    <row r="290" spans="1:26" ht="12" hidden="1" thickBot="1" x14ac:dyDescent="0.25">
      <c r="A290" s="671">
        <v>584200</v>
      </c>
      <c r="B290" s="701" t="s">
        <v>1619</v>
      </c>
      <c r="C290" s="702" t="s">
        <v>206</v>
      </c>
      <c r="D290" s="482" t="s">
        <v>257</v>
      </c>
      <c r="E290" s="464"/>
      <c r="F290" s="465" t="s">
        <v>661</v>
      </c>
      <c r="G290" s="466">
        <v>3.8E-3</v>
      </c>
      <c r="H290" s="681">
        <f>SUM(H291:H291)</f>
        <v>0.8355760000000001</v>
      </c>
      <c r="I290" s="467">
        <v>8.33</v>
      </c>
      <c r="J290" s="467">
        <f>IF(ISBLANK(I290),"",SUM(H290:I290))</f>
        <v>9.1655759999999997</v>
      </c>
      <c r="K290" s="682">
        <f t="shared" si="70"/>
        <v>10.89</v>
      </c>
      <c r="L290" s="683" t="s">
        <v>18</v>
      </c>
      <c r="M290" s="685"/>
      <c r="N290" s="686">
        <f t="shared" si="76"/>
        <v>0</v>
      </c>
      <c r="O290" s="687">
        <f t="shared" si="82"/>
        <v>0</v>
      </c>
      <c r="P290" s="688">
        <f t="shared" si="83"/>
        <v>0</v>
      </c>
      <c r="Q290" s="765"/>
      <c r="R290" s="685">
        <f>M290</f>
        <v>0</v>
      </c>
      <c r="S290" s="686">
        <f>N290</f>
        <v>0</v>
      </c>
      <c r="T290" s="687">
        <f t="shared" si="84"/>
        <v>0</v>
      </c>
      <c r="U290" s="688">
        <f t="shared" si="85"/>
        <v>0</v>
      </c>
      <c r="V290" s="579"/>
      <c r="W290" s="566"/>
      <c r="X290" s="586" t="str">
        <f t="shared" ref="X290:X353" si="86">IF(W290="X","x",IF(W290="xx","x",IF(W290="xy","x",IF(W290="y","x",IF(OR(P290&gt;0,U290&gt;0),"x","")))))</f>
        <v/>
      </c>
      <c r="Y290" s="586" t="str">
        <f t="shared" si="74"/>
        <v/>
      </c>
      <c r="Z290" s="586" t="str">
        <f t="shared" si="80"/>
        <v/>
      </c>
    </row>
    <row r="291" spans="1:26" ht="12" hidden="1" thickBot="1" x14ac:dyDescent="0.25">
      <c r="A291" s="671" t="s">
        <v>168</v>
      </c>
      <c r="B291" s="644" t="s">
        <v>168</v>
      </c>
      <c r="C291" s="645"/>
      <c r="D291" s="483" t="s">
        <v>252</v>
      </c>
      <c r="E291" s="423"/>
      <c r="F291" s="418">
        <v>20</v>
      </c>
      <c r="G291" s="425">
        <v>3.4700000000000002E-2</v>
      </c>
      <c r="H291" s="663">
        <f t="shared" ref="H291" si="87">IF(F291&lt;=30,(1.07*F291+2.68)*G291,((1.07*30+2.68)+1.07*(F291-30))*G291)</f>
        <v>0.8355760000000001</v>
      </c>
      <c r="I291" s="420">
        <v>0</v>
      </c>
      <c r="J291" s="420"/>
      <c r="K291" s="421">
        <f t="shared" si="70"/>
        <v>0</v>
      </c>
      <c r="L291" s="647" t="s">
        <v>614</v>
      </c>
      <c r="M291" s="703"/>
      <c r="N291" s="576">
        <f t="shared" si="76"/>
        <v>0</v>
      </c>
      <c r="O291" s="577">
        <f t="shared" si="82"/>
        <v>0</v>
      </c>
      <c r="P291" s="578">
        <f t="shared" si="83"/>
        <v>0</v>
      </c>
      <c r="Q291" s="765"/>
      <c r="R291" s="703"/>
      <c r="S291" s="670"/>
      <c r="T291" s="577">
        <f t="shared" si="84"/>
        <v>0</v>
      </c>
      <c r="U291" s="578">
        <f t="shared" si="85"/>
        <v>0</v>
      </c>
      <c r="V291" s="579"/>
      <c r="W291" s="637" t="str">
        <f>IF(U290&gt;0,"xx",IF(P290&gt;0,"xy",""))</f>
        <v/>
      </c>
      <c r="X291" s="586" t="str">
        <f t="shared" si="86"/>
        <v/>
      </c>
      <c r="Y291" s="586" t="str">
        <f t="shared" si="74"/>
        <v/>
      </c>
      <c r="Z291" s="586" t="str">
        <f t="shared" si="80"/>
        <v/>
      </c>
    </row>
    <row r="292" spans="1:26" ht="12" hidden="1" thickBot="1" x14ac:dyDescent="0.25">
      <c r="A292" s="671">
        <v>589520</v>
      </c>
      <c r="B292" s="704" t="s">
        <v>1764</v>
      </c>
      <c r="C292" s="689" t="s">
        <v>1746</v>
      </c>
      <c r="D292" s="712" t="s">
        <v>654</v>
      </c>
      <c r="E292" s="470"/>
      <c r="F292" s="478">
        <v>500</v>
      </c>
      <c r="G292" s="479">
        <v>1</v>
      </c>
      <c r="H292" s="663">
        <f>(0.84*F292+41.45)*G292</f>
        <v>461.45</v>
      </c>
      <c r="I292" s="472">
        <v>4168</v>
      </c>
      <c r="J292" s="472">
        <f>IF(ISBLANK(I292),"",I292*(1+$F$9)/(1+$F$10))+H292</f>
        <v>4505.6132859186937</v>
      </c>
      <c r="K292" s="690">
        <f t="shared" si="70"/>
        <v>5353.12</v>
      </c>
      <c r="L292" s="691" t="s">
        <v>20</v>
      </c>
      <c r="M292" s="692">
        <f>ROUND(M290*G290,2)</f>
        <v>0</v>
      </c>
      <c r="N292" s="696">
        <f t="shared" si="76"/>
        <v>0</v>
      </c>
      <c r="O292" s="693">
        <f t="shared" si="82"/>
        <v>0</v>
      </c>
      <c r="P292" s="694">
        <f t="shared" si="83"/>
        <v>0</v>
      </c>
      <c r="Q292" s="765"/>
      <c r="R292" s="695">
        <f>ROUND(R290*G290,2)</f>
        <v>0</v>
      </c>
      <c r="S292" s="711">
        <f>N292</f>
        <v>0</v>
      </c>
      <c r="T292" s="693">
        <f t="shared" si="84"/>
        <v>0</v>
      </c>
      <c r="U292" s="694">
        <f t="shared" si="85"/>
        <v>0</v>
      </c>
      <c r="V292" s="579"/>
      <c r="W292" s="637" t="str">
        <f>IF(U290&gt;0,"xx",IF(P290&gt;0,"xy",""))</f>
        <v/>
      </c>
      <c r="X292" s="586" t="str">
        <f t="shared" si="86"/>
        <v/>
      </c>
      <c r="Y292" s="586" t="str">
        <f t="shared" si="74"/>
        <v/>
      </c>
      <c r="Z292" s="586" t="str">
        <f t="shared" si="80"/>
        <v/>
      </c>
    </row>
    <row r="293" spans="1:26" ht="12" hidden="1" thickBot="1" x14ac:dyDescent="0.25">
      <c r="A293" s="671">
        <v>584200</v>
      </c>
      <c r="B293" s="701" t="s">
        <v>1620</v>
      </c>
      <c r="C293" s="702" t="s">
        <v>206</v>
      </c>
      <c r="D293" s="482" t="s">
        <v>258</v>
      </c>
      <c r="E293" s="464"/>
      <c r="F293" s="465" t="s">
        <v>661</v>
      </c>
      <c r="G293" s="466">
        <v>4.0000000000000001E-3</v>
      </c>
      <c r="H293" s="681">
        <f>SUM(H294:H294)</f>
        <v>1.1558400000000002</v>
      </c>
      <c r="I293" s="467">
        <v>8.33</v>
      </c>
      <c r="J293" s="467">
        <f>IF(ISBLANK(I293),"",SUM(H293:I293))</f>
        <v>9.4858399999999996</v>
      </c>
      <c r="K293" s="682">
        <f t="shared" si="70"/>
        <v>11.27</v>
      </c>
      <c r="L293" s="683" t="s">
        <v>18</v>
      </c>
      <c r="M293" s="685"/>
      <c r="N293" s="576">
        <f t="shared" si="76"/>
        <v>0</v>
      </c>
      <c r="O293" s="687">
        <f t="shared" si="82"/>
        <v>0</v>
      </c>
      <c r="P293" s="688">
        <f t="shared" si="83"/>
        <v>0</v>
      </c>
      <c r="Q293" s="765"/>
      <c r="R293" s="685">
        <f>M293</f>
        <v>0</v>
      </c>
      <c r="S293" s="686">
        <f>N293</f>
        <v>0</v>
      </c>
      <c r="T293" s="687">
        <f t="shared" si="84"/>
        <v>0</v>
      </c>
      <c r="U293" s="688">
        <f t="shared" si="85"/>
        <v>0</v>
      </c>
      <c r="V293" s="579"/>
      <c r="W293" s="566"/>
      <c r="X293" s="586" t="str">
        <f t="shared" si="86"/>
        <v/>
      </c>
      <c r="Y293" s="586" t="str">
        <f t="shared" si="74"/>
        <v/>
      </c>
      <c r="Z293" s="586" t="str">
        <f t="shared" si="80"/>
        <v/>
      </c>
    </row>
    <row r="294" spans="1:26" ht="12" hidden="1" thickBot="1" x14ac:dyDescent="0.25">
      <c r="A294" s="671" t="s">
        <v>168</v>
      </c>
      <c r="B294" s="644" t="s">
        <v>168</v>
      </c>
      <c r="C294" s="645"/>
      <c r="D294" s="483" t="s">
        <v>252</v>
      </c>
      <c r="E294" s="423"/>
      <c r="F294" s="418">
        <v>20</v>
      </c>
      <c r="G294" s="425">
        <v>4.8000000000000001E-2</v>
      </c>
      <c r="H294" s="663">
        <f t="shared" ref="H294" si="88">IF(F294&lt;=30,(1.07*F294+2.68)*G294,((1.07*30+2.68)+1.07*(F294-30))*G294)</f>
        <v>1.1558400000000002</v>
      </c>
      <c r="I294" s="420">
        <v>0</v>
      </c>
      <c r="J294" s="420"/>
      <c r="K294" s="421">
        <f t="shared" si="70"/>
        <v>0</v>
      </c>
      <c r="L294" s="647" t="s">
        <v>614</v>
      </c>
      <c r="M294" s="703"/>
      <c r="N294" s="576">
        <f t="shared" si="76"/>
        <v>0</v>
      </c>
      <c r="O294" s="577">
        <f t="shared" si="82"/>
        <v>0</v>
      </c>
      <c r="P294" s="578">
        <f t="shared" si="83"/>
        <v>0</v>
      </c>
      <c r="Q294" s="765"/>
      <c r="R294" s="703"/>
      <c r="S294" s="670"/>
      <c r="T294" s="577">
        <f t="shared" si="84"/>
        <v>0</v>
      </c>
      <c r="U294" s="578">
        <f t="shared" si="85"/>
        <v>0</v>
      </c>
      <c r="V294" s="579"/>
      <c r="W294" s="637" t="str">
        <f>IF(U293&gt;0,"xx",IF(P293&gt;0,"xy",""))</f>
        <v/>
      </c>
      <c r="X294" s="586" t="str">
        <f t="shared" si="86"/>
        <v/>
      </c>
      <c r="Y294" s="586" t="str">
        <f t="shared" si="74"/>
        <v/>
      </c>
      <c r="Z294" s="586" t="str">
        <f t="shared" si="80"/>
        <v/>
      </c>
    </row>
    <row r="295" spans="1:26" ht="12" hidden="1" thickBot="1" x14ac:dyDescent="0.25">
      <c r="A295" s="671">
        <v>589520</v>
      </c>
      <c r="B295" s="704" t="s">
        <v>1765</v>
      </c>
      <c r="C295" s="689" t="s">
        <v>1746</v>
      </c>
      <c r="D295" s="712" t="s">
        <v>757</v>
      </c>
      <c r="E295" s="470"/>
      <c r="F295" s="478">
        <v>500</v>
      </c>
      <c r="G295" s="479">
        <v>1</v>
      </c>
      <c r="H295" s="663">
        <f>(0.84*F295+41.45)*G295</f>
        <v>461.45</v>
      </c>
      <c r="I295" s="472">
        <v>4168</v>
      </c>
      <c r="J295" s="472">
        <f>IF(ISBLANK(I295),"",I295*(1+$F$9)/(1+$F$10))+H295</f>
        <v>4505.6132859186937</v>
      </c>
      <c r="K295" s="690">
        <f t="shared" si="70"/>
        <v>5353.12</v>
      </c>
      <c r="L295" s="691" t="s">
        <v>20</v>
      </c>
      <c r="M295" s="692">
        <f>ROUND(M293*G293,2)</f>
        <v>0</v>
      </c>
      <c r="N295" s="588">
        <f t="shared" si="76"/>
        <v>0</v>
      </c>
      <c r="O295" s="693">
        <f t="shared" si="82"/>
        <v>0</v>
      </c>
      <c r="P295" s="694">
        <f t="shared" si="83"/>
        <v>0</v>
      </c>
      <c r="Q295" s="765"/>
      <c r="R295" s="695">
        <f>ROUND(R293*G293,2)</f>
        <v>0</v>
      </c>
      <c r="S295" s="711">
        <f>N295</f>
        <v>0</v>
      </c>
      <c r="T295" s="693">
        <f t="shared" si="84"/>
        <v>0</v>
      </c>
      <c r="U295" s="694">
        <f t="shared" si="85"/>
        <v>0</v>
      </c>
      <c r="V295" s="579"/>
      <c r="W295" s="637" t="str">
        <f>IF(U293&gt;0,"xx",IF(P293&gt;0,"xy",""))</f>
        <v/>
      </c>
      <c r="X295" s="586" t="str">
        <f t="shared" si="86"/>
        <v/>
      </c>
      <c r="Y295" s="586" t="str">
        <f t="shared" si="74"/>
        <v/>
      </c>
      <c r="Z295" s="586" t="str">
        <f t="shared" si="80"/>
        <v/>
      </c>
    </row>
    <row r="296" spans="1:26" ht="12" hidden="1" thickBot="1" x14ac:dyDescent="0.25">
      <c r="A296" s="671">
        <v>564000</v>
      </c>
      <c r="B296" s="701">
        <v>564000</v>
      </c>
      <c r="C296" s="702" t="s">
        <v>206</v>
      </c>
      <c r="D296" s="482" t="s">
        <v>259</v>
      </c>
      <c r="E296" s="464"/>
      <c r="F296" s="465" t="s">
        <v>661</v>
      </c>
      <c r="G296" s="466">
        <v>0.125</v>
      </c>
      <c r="H296" s="681">
        <f>SUM(H297:H297)</f>
        <v>52.976000000000006</v>
      </c>
      <c r="I296" s="467">
        <v>118.24000000000001</v>
      </c>
      <c r="J296" s="467">
        <f>IF(ISBLANK(I296),"",SUM(H296:I296))</f>
        <v>171.21600000000001</v>
      </c>
      <c r="K296" s="682">
        <f t="shared" si="70"/>
        <v>203.42</v>
      </c>
      <c r="L296" s="683" t="s">
        <v>16</v>
      </c>
      <c r="M296" s="685"/>
      <c r="N296" s="686">
        <f t="shared" si="76"/>
        <v>0</v>
      </c>
      <c r="O296" s="687">
        <f t="shared" si="82"/>
        <v>0</v>
      </c>
      <c r="P296" s="688">
        <f t="shared" si="83"/>
        <v>0</v>
      </c>
      <c r="Q296" s="765"/>
      <c r="R296" s="685">
        <f>M296</f>
        <v>0</v>
      </c>
      <c r="S296" s="686">
        <f>N296</f>
        <v>0</v>
      </c>
      <c r="T296" s="687">
        <f t="shared" si="84"/>
        <v>0</v>
      </c>
      <c r="U296" s="688">
        <f t="shared" si="85"/>
        <v>0</v>
      </c>
      <c r="V296" s="579"/>
      <c r="W296" s="566"/>
      <c r="X296" s="586" t="str">
        <f t="shared" si="86"/>
        <v/>
      </c>
      <c r="Y296" s="586" t="str">
        <f t="shared" si="74"/>
        <v/>
      </c>
      <c r="Z296" s="586" t="str">
        <f t="shared" si="80"/>
        <v/>
      </c>
    </row>
    <row r="297" spans="1:26" ht="12" hidden="1" thickBot="1" x14ac:dyDescent="0.25">
      <c r="A297" s="671" t="s">
        <v>168</v>
      </c>
      <c r="B297" s="644" t="s">
        <v>168</v>
      </c>
      <c r="C297" s="645"/>
      <c r="D297" s="483" t="s">
        <v>252</v>
      </c>
      <c r="E297" s="423"/>
      <c r="F297" s="418">
        <v>20</v>
      </c>
      <c r="G297" s="425">
        <v>2.2000000000000002</v>
      </c>
      <c r="H297" s="663">
        <f t="shared" ref="H297" si="89">IF(F297&lt;=30,(1.07*F297+2.68)*G297,((1.07*30+2.68)+1.07*(F297-30))*G297)</f>
        <v>52.976000000000006</v>
      </c>
      <c r="I297" s="420">
        <v>0</v>
      </c>
      <c r="J297" s="420"/>
      <c r="K297" s="421">
        <f t="shared" si="70"/>
        <v>0</v>
      </c>
      <c r="L297" s="647" t="s">
        <v>614</v>
      </c>
      <c r="M297" s="703"/>
      <c r="N297" s="576">
        <f t="shared" si="76"/>
        <v>0</v>
      </c>
      <c r="O297" s="577">
        <f t="shared" si="82"/>
        <v>0</v>
      </c>
      <c r="P297" s="578">
        <f t="shared" si="83"/>
        <v>0</v>
      </c>
      <c r="Q297" s="765"/>
      <c r="R297" s="703"/>
      <c r="S297" s="670"/>
      <c r="T297" s="577">
        <f t="shared" si="84"/>
        <v>0</v>
      </c>
      <c r="U297" s="578">
        <f t="shared" si="85"/>
        <v>0</v>
      </c>
      <c r="V297" s="579"/>
      <c r="W297" s="637" t="str">
        <f>IF(U296&gt;0,"xx",IF(P296&gt;0,"xy",""))</f>
        <v/>
      </c>
      <c r="X297" s="586" t="str">
        <f t="shared" si="86"/>
        <v/>
      </c>
      <c r="Y297" s="586" t="str">
        <f t="shared" si="74"/>
        <v/>
      </c>
      <c r="Z297" s="586" t="str">
        <f t="shared" si="80"/>
        <v/>
      </c>
    </row>
    <row r="298" spans="1:26" ht="12" hidden="1" thickBot="1" x14ac:dyDescent="0.25">
      <c r="A298" s="671">
        <v>589520</v>
      </c>
      <c r="B298" s="704" t="s">
        <v>1766</v>
      </c>
      <c r="C298" s="689" t="s">
        <v>1746</v>
      </c>
      <c r="D298" s="712" t="s">
        <v>758</v>
      </c>
      <c r="E298" s="470"/>
      <c r="F298" s="478">
        <v>500</v>
      </c>
      <c r="G298" s="479">
        <v>1</v>
      </c>
      <c r="H298" s="663">
        <f>(0.84*F298+41.45)*G298</f>
        <v>461.45</v>
      </c>
      <c r="I298" s="472">
        <v>4168</v>
      </c>
      <c r="J298" s="472">
        <f>IF(ISBLANK(I298),"",I298*(1+$F$9)/(1+$F$10))+H298</f>
        <v>4505.6132859186937</v>
      </c>
      <c r="K298" s="690">
        <f t="shared" si="70"/>
        <v>5353.12</v>
      </c>
      <c r="L298" s="691" t="s">
        <v>20</v>
      </c>
      <c r="M298" s="692">
        <f>ROUND(M296*G296,2)</f>
        <v>0</v>
      </c>
      <c r="N298" s="696">
        <f t="shared" si="76"/>
        <v>0</v>
      </c>
      <c r="O298" s="693">
        <f t="shared" si="82"/>
        <v>0</v>
      </c>
      <c r="P298" s="694">
        <f t="shared" si="83"/>
        <v>0</v>
      </c>
      <c r="Q298" s="765"/>
      <c r="R298" s="695">
        <f>ROUND(R296*G296,2)</f>
        <v>0</v>
      </c>
      <c r="S298" s="711">
        <f>N298</f>
        <v>0</v>
      </c>
      <c r="T298" s="693">
        <f t="shared" si="84"/>
        <v>0</v>
      </c>
      <c r="U298" s="694">
        <f t="shared" si="85"/>
        <v>0</v>
      </c>
      <c r="V298" s="579"/>
      <c r="W298" s="637" t="str">
        <f>IF(U296&gt;0,"xx",IF(P296&gt;0,"xy",""))</f>
        <v/>
      </c>
      <c r="X298" s="586" t="str">
        <f t="shared" si="86"/>
        <v/>
      </c>
      <c r="Y298" s="586" t="str">
        <f t="shared" si="74"/>
        <v/>
      </c>
      <c r="Z298" s="586" t="str">
        <f t="shared" si="80"/>
        <v/>
      </c>
    </row>
    <row r="299" spans="1:26" ht="12" hidden="1" thickBot="1" x14ac:dyDescent="0.25">
      <c r="A299" s="671">
        <v>564300</v>
      </c>
      <c r="B299" s="701">
        <v>564300</v>
      </c>
      <c r="C299" s="702" t="s">
        <v>206</v>
      </c>
      <c r="D299" s="482" t="s">
        <v>260</v>
      </c>
      <c r="E299" s="464"/>
      <c r="F299" s="465" t="s">
        <v>662</v>
      </c>
      <c r="G299" s="466">
        <v>0.1</v>
      </c>
      <c r="H299" s="681">
        <f>SUM(H300:H300)</f>
        <v>52.976000000000006</v>
      </c>
      <c r="I299" s="467">
        <v>126.49</v>
      </c>
      <c r="J299" s="467">
        <f>IF(ISBLANK(I299),"",SUM(H299:I299))</f>
        <v>179.46600000000001</v>
      </c>
      <c r="K299" s="682">
        <f t="shared" si="70"/>
        <v>213.22</v>
      </c>
      <c r="L299" s="683" t="s">
        <v>16</v>
      </c>
      <c r="M299" s="685"/>
      <c r="N299" s="576">
        <f t="shared" si="76"/>
        <v>0</v>
      </c>
      <c r="O299" s="687">
        <f t="shared" si="82"/>
        <v>0</v>
      </c>
      <c r="P299" s="688">
        <f t="shared" si="83"/>
        <v>0</v>
      </c>
      <c r="Q299" s="765"/>
      <c r="R299" s="685">
        <f>M299</f>
        <v>0</v>
      </c>
      <c r="S299" s="686">
        <f>N299</f>
        <v>0</v>
      </c>
      <c r="T299" s="687">
        <f t="shared" si="84"/>
        <v>0</v>
      </c>
      <c r="U299" s="688">
        <f t="shared" si="85"/>
        <v>0</v>
      </c>
      <c r="V299" s="579"/>
      <c r="W299" s="566"/>
      <c r="X299" s="586" t="str">
        <f t="shared" si="86"/>
        <v/>
      </c>
      <c r="Y299" s="586" t="str">
        <f t="shared" si="74"/>
        <v/>
      </c>
      <c r="Z299" s="586" t="str">
        <f t="shared" si="80"/>
        <v/>
      </c>
    </row>
    <row r="300" spans="1:26" ht="12" hidden="1" thickBot="1" x14ac:dyDescent="0.25">
      <c r="A300" s="671" t="s">
        <v>168</v>
      </c>
      <c r="B300" s="644" t="s">
        <v>168</v>
      </c>
      <c r="C300" s="645"/>
      <c r="D300" s="483" t="s">
        <v>252</v>
      </c>
      <c r="E300" s="423"/>
      <c r="F300" s="418">
        <v>20</v>
      </c>
      <c r="G300" s="425">
        <v>2.2000000000000002</v>
      </c>
      <c r="H300" s="663">
        <f t="shared" ref="H300" si="90">IF(F300&lt;=30,(1.07*F300+2.68)*G300,((1.07*30+2.68)+1.07*(F300-30))*G300)</f>
        <v>52.976000000000006</v>
      </c>
      <c r="I300" s="420">
        <v>0</v>
      </c>
      <c r="J300" s="420"/>
      <c r="K300" s="421">
        <f t="shared" si="70"/>
        <v>0</v>
      </c>
      <c r="L300" s="647" t="s">
        <v>614</v>
      </c>
      <c r="M300" s="703"/>
      <c r="N300" s="576">
        <f t="shared" si="76"/>
        <v>0</v>
      </c>
      <c r="O300" s="577">
        <f t="shared" si="82"/>
        <v>0</v>
      </c>
      <c r="P300" s="578">
        <f t="shared" si="83"/>
        <v>0</v>
      </c>
      <c r="Q300" s="765"/>
      <c r="R300" s="703"/>
      <c r="S300" s="670"/>
      <c r="T300" s="577">
        <f t="shared" si="84"/>
        <v>0</v>
      </c>
      <c r="U300" s="578">
        <f t="shared" si="85"/>
        <v>0</v>
      </c>
      <c r="V300" s="579"/>
      <c r="W300" s="637" t="str">
        <f>IF(U299&gt;0,"xx",IF(P299&gt;0,"xy",""))</f>
        <v/>
      </c>
      <c r="X300" s="586" t="str">
        <f t="shared" si="86"/>
        <v/>
      </c>
      <c r="Y300" s="586" t="str">
        <f t="shared" si="74"/>
        <v/>
      </c>
      <c r="Z300" s="586" t="str">
        <f t="shared" si="80"/>
        <v/>
      </c>
    </row>
    <row r="301" spans="1:26" ht="12" hidden="1" thickBot="1" x14ac:dyDescent="0.25">
      <c r="A301" s="671">
        <v>589000</v>
      </c>
      <c r="B301" s="704" t="s">
        <v>1767</v>
      </c>
      <c r="C301" s="689" t="s">
        <v>1746</v>
      </c>
      <c r="D301" s="712" t="s">
        <v>655</v>
      </c>
      <c r="E301" s="470"/>
      <c r="F301" s="478">
        <v>500</v>
      </c>
      <c r="G301" s="479">
        <v>1</v>
      </c>
      <c r="H301" s="663">
        <f>(0.84*F301+41.45)*G301</f>
        <v>461.45</v>
      </c>
      <c r="I301" s="472">
        <v>5725</v>
      </c>
      <c r="J301" s="472">
        <f>IF(ISBLANK(I301),"",I301*(1+$F$9)/(1+$F$10))+H301</f>
        <v>6016.3527859607784</v>
      </c>
      <c r="K301" s="690">
        <f t="shared" si="70"/>
        <v>7148.03</v>
      </c>
      <c r="L301" s="691" t="s">
        <v>20</v>
      </c>
      <c r="M301" s="692">
        <f>ROUND(M299*G299,2)</f>
        <v>0</v>
      </c>
      <c r="N301" s="588">
        <f t="shared" si="76"/>
        <v>0</v>
      </c>
      <c r="O301" s="693">
        <f t="shared" si="82"/>
        <v>0</v>
      </c>
      <c r="P301" s="694">
        <f t="shared" si="83"/>
        <v>0</v>
      </c>
      <c r="Q301" s="765"/>
      <c r="R301" s="695">
        <f>ROUND(R299*G299,2)</f>
        <v>0</v>
      </c>
      <c r="S301" s="711">
        <f>N301</f>
        <v>0</v>
      </c>
      <c r="T301" s="693">
        <f t="shared" si="84"/>
        <v>0</v>
      </c>
      <c r="U301" s="694">
        <f t="shared" si="85"/>
        <v>0</v>
      </c>
      <c r="V301" s="579"/>
      <c r="W301" s="637" t="str">
        <f>IF(U299&gt;0,"xx",IF(P299&gt;0,"xy",""))</f>
        <v/>
      </c>
      <c r="X301" s="586" t="str">
        <f t="shared" si="86"/>
        <v/>
      </c>
      <c r="Y301" s="586" t="str">
        <f t="shared" si="74"/>
        <v/>
      </c>
      <c r="Z301" s="586" t="str">
        <f t="shared" si="80"/>
        <v/>
      </c>
    </row>
    <row r="302" spans="1:26" ht="12" hidden="1" thickBot="1" x14ac:dyDescent="0.25">
      <c r="A302" s="671">
        <v>563100</v>
      </c>
      <c r="B302" s="701" t="s">
        <v>1634</v>
      </c>
      <c r="C302" s="702" t="s">
        <v>206</v>
      </c>
      <c r="D302" s="484" t="s">
        <v>261</v>
      </c>
      <c r="E302" s="464"/>
      <c r="F302" s="465" t="s">
        <v>661</v>
      </c>
      <c r="G302" s="466">
        <v>5.0000000000000001E-4</v>
      </c>
      <c r="H302" s="681">
        <f>SUM(H303:H303)</f>
        <v>0.16856000000000002</v>
      </c>
      <c r="I302" s="467">
        <v>1.25</v>
      </c>
      <c r="J302" s="467">
        <f>IF(ISBLANK(I302),"",SUM(H302:I302))</f>
        <v>1.41856</v>
      </c>
      <c r="K302" s="682">
        <f t="shared" si="70"/>
        <v>1.69</v>
      </c>
      <c r="L302" s="683" t="s">
        <v>18</v>
      </c>
      <c r="M302" s="685"/>
      <c r="N302" s="686">
        <f t="shared" si="76"/>
        <v>0</v>
      </c>
      <c r="O302" s="687">
        <f t="shared" si="82"/>
        <v>0</v>
      </c>
      <c r="P302" s="688">
        <f t="shared" si="83"/>
        <v>0</v>
      </c>
      <c r="Q302" s="765"/>
      <c r="R302" s="685">
        <f>M302</f>
        <v>0</v>
      </c>
      <c r="S302" s="686">
        <f>N302</f>
        <v>0</v>
      </c>
      <c r="T302" s="687">
        <f t="shared" si="84"/>
        <v>0</v>
      </c>
      <c r="U302" s="688">
        <f t="shared" si="85"/>
        <v>0</v>
      </c>
      <c r="V302" s="579"/>
      <c r="W302" s="566"/>
      <c r="X302" s="586" t="str">
        <f t="shared" si="86"/>
        <v/>
      </c>
      <c r="Y302" s="586" t="str">
        <f t="shared" si="74"/>
        <v/>
      </c>
      <c r="Z302" s="586" t="str">
        <f t="shared" si="80"/>
        <v/>
      </c>
    </row>
    <row r="303" spans="1:26" ht="12" hidden="1" thickBot="1" x14ac:dyDescent="0.25">
      <c r="A303" s="671" t="s">
        <v>168</v>
      </c>
      <c r="B303" s="644" t="s">
        <v>168</v>
      </c>
      <c r="C303" s="645"/>
      <c r="D303" s="713" t="s">
        <v>252</v>
      </c>
      <c r="E303" s="423"/>
      <c r="F303" s="418">
        <v>20</v>
      </c>
      <c r="G303" s="425">
        <v>7.0000000000000001E-3</v>
      </c>
      <c r="H303" s="663">
        <f t="shared" ref="H303" si="91">IF(F303&lt;=30,(1.07*F303+2.68)*G303,((1.07*30+2.68)+1.07*(F303-30))*G303)</f>
        <v>0.16856000000000002</v>
      </c>
      <c r="I303" s="420">
        <v>0</v>
      </c>
      <c r="J303" s="420"/>
      <c r="K303" s="421">
        <f t="shared" si="70"/>
        <v>0</v>
      </c>
      <c r="L303" s="647" t="s">
        <v>614</v>
      </c>
      <c r="M303" s="703"/>
      <c r="N303" s="576">
        <f t="shared" si="76"/>
        <v>0</v>
      </c>
      <c r="O303" s="577">
        <f t="shared" si="82"/>
        <v>0</v>
      </c>
      <c r="P303" s="578">
        <f t="shared" si="83"/>
        <v>0</v>
      </c>
      <c r="Q303" s="765"/>
      <c r="R303" s="703"/>
      <c r="S303" s="670"/>
      <c r="T303" s="577">
        <f t="shared" si="84"/>
        <v>0</v>
      </c>
      <c r="U303" s="578">
        <f t="shared" si="85"/>
        <v>0</v>
      </c>
      <c r="V303" s="579"/>
      <c r="W303" s="637" t="str">
        <f>IF(U302&gt;0,"xx",IF(P302&gt;0,"xy",""))</f>
        <v/>
      </c>
      <c r="X303" s="586" t="str">
        <f t="shared" si="86"/>
        <v/>
      </c>
      <c r="Y303" s="586" t="str">
        <f t="shared" si="74"/>
        <v/>
      </c>
      <c r="Z303" s="586" t="str">
        <f t="shared" si="80"/>
        <v/>
      </c>
    </row>
    <row r="304" spans="1:26" ht="12" hidden="1" thickBot="1" x14ac:dyDescent="0.25">
      <c r="A304" s="671">
        <v>589520</v>
      </c>
      <c r="B304" s="704" t="s">
        <v>1768</v>
      </c>
      <c r="C304" s="689" t="s">
        <v>1746</v>
      </c>
      <c r="D304" s="477" t="s">
        <v>656</v>
      </c>
      <c r="E304" s="470"/>
      <c r="F304" s="478">
        <v>500</v>
      </c>
      <c r="G304" s="479">
        <v>1</v>
      </c>
      <c r="H304" s="663">
        <f>(0.84*F304+41.45)*G304</f>
        <v>461.45</v>
      </c>
      <c r="I304" s="472">
        <v>4168</v>
      </c>
      <c r="J304" s="472">
        <f>IF(ISBLANK(I304),"",I304*(1+$F$9)/(1+$F$10))+H304</f>
        <v>4505.6132859186937</v>
      </c>
      <c r="K304" s="690">
        <f t="shared" si="70"/>
        <v>5353.12</v>
      </c>
      <c r="L304" s="691" t="s">
        <v>20</v>
      </c>
      <c r="M304" s="692">
        <f>ROUND(M302*G302,2)</f>
        <v>0</v>
      </c>
      <c r="N304" s="696">
        <f t="shared" si="76"/>
        <v>0</v>
      </c>
      <c r="O304" s="693">
        <f t="shared" si="82"/>
        <v>0</v>
      </c>
      <c r="P304" s="694">
        <f t="shared" si="83"/>
        <v>0</v>
      </c>
      <c r="Q304" s="765"/>
      <c r="R304" s="695">
        <f>ROUND(R302*G302,2)</f>
        <v>0</v>
      </c>
      <c r="S304" s="711">
        <f>N304</f>
        <v>0</v>
      </c>
      <c r="T304" s="693">
        <f t="shared" si="84"/>
        <v>0</v>
      </c>
      <c r="U304" s="694">
        <f t="shared" si="85"/>
        <v>0</v>
      </c>
      <c r="V304" s="579"/>
      <c r="W304" s="637" t="str">
        <f>IF(U302&gt;0,"xx",IF(P302&gt;0,"xy",""))</f>
        <v/>
      </c>
      <c r="X304" s="586" t="str">
        <f t="shared" si="86"/>
        <v/>
      </c>
      <c r="Y304" s="586" t="str">
        <f t="shared" si="74"/>
        <v/>
      </c>
      <c r="Z304" s="586" t="str">
        <f t="shared" si="80"/>
        <v/>
      </c>
    </row>
    <row r="305" spans="1:26" ht="12" hidden="1" thickBot="1" x14ac:dyDescent="0.25">
      <c r="A305" s="671">
        <v>534000</v>
      </c>
      <c r="B305" s="701" t="s">
        <v>672</v>
      </c>
      <c r="C305" s="702" t="s">
        <v>206</v>
      </c>
      <c r="D305" s="463" t="s">
        <v>1912</v>
      </c>
      <c r="E305" s="464"/>
      <c r="F305" s="465" t="s">
        <v>663</v>
      </c>
      <c r="G305" s="466">
        <v>0.08</v>
      </c>
      <c r="H305" s="681">
        <f>SUM(H306:H309)</f>
        <v>65.029280000000014</v>
      </c>
      <c r="I305" s="467">
        <v>138.26</v>
      </c>
      <c r="J305" s="467">
        <f>IF(ISBLANK(I305),"",SUM(H305:I305))</f>
        <v>203.28928000000002</v>
      </c>
      <c r="K305" s="682">
        <f t="shared" si="70"/>
        <v>241.53</v>
      </c>
      <c r="L305" s="683" t="s">
        <v>16</v>
      </c>
      <c r="M305" s="685"/>
      <c r="N305" s="576">
        <f t="shared" si="76"/>
        <v>0</v>
      </c>
      <c r="O305" s="687">
        <f t="shared" si="82"/>
        <v>0</v>
      </c>
      <c r="P305" s="688">
        <f t="shared" si="83"/>
        <v>0</v>
      </c>
      <c r="Q305" s="765"/>
      <c r="R305" s="685">
        <f>M305</f>
        <v>0</v>
      </c>
      <c r="S305" s="686">
        <f>N305</f>
        <v>0</v>
      </c>
      <c r="T305" s="687">
        <f t="shared" si="84"/>
        <v>0</v>
      </c>
      <c r="U305" s="688">
        <f t="shared" si="85"/>
        <v>0</v>
      </c>
      <c r="V305" s="579"/>
      <c r="W305" s="566"/>
      <c r="X305" s="586" t="str">
        <f t="shared" si="86"/>
        <v/>
      </c>
      <c r="Y305" s="586" t="str">
        <f t="shared" si="74"/>
        <v/>
      </c>
      <c r="Z305" s="586" t="str">
        <f t="shared" si="80"/>
        <v/>
      </c>
    </row>
    <row r="306" spans="1:26" ht="12" hidden="1" thickBot="1" x14ac:dyDescent="0.25">
      <c r="A306" s="671" t="s">
        <v>168</v>
      </c>
      <c r="B306" s="644" t="s">
        <v>168</v>
      </c>
      <c r="C306" s="645"/>
      <c r="D306" s="451" t="s">
        <v>248</v>
      </c>
      <c r="E306" s="423"/>
      <c r="F306" s="424">
        <v>180</v>
      </c>
      <c r="G306" s="425"/>
      <c r="H306" s="663">
        <f t="shared" ref="H306:H308" si="92">IF(F306&lt;=30,(1.07*F306+2.68)*G306,((1.07*30+2.68)+1.07*(F306-30))*G306)</f>
        <v>0</v>
      </c>
      <c r="I306" s="420">
        <v>0</v>
      </c>
      <c r="J306" s="420">
        <f>IF(ISBLANK(I306),"",SUM(H306:I306))</f>
        <v>0</v>
      </c>
      <c r="K306" s="421">
        <f t="shared" si="70"/>
        <v>0</v>
      </c>
      <c r="L306" s="647" t="s">
        <v>614</v>
      </c>
      <c r="M306" s="703"/>
      <c r="N306" s="576">
        <f t="shared" si="76"/>
        <v>0</v>
      </c>
      <c r="O306" s="577">
        <f t="shared" si="82"/>
        <v>0</v>
      </c>
      <c r="P306" s="578">
        <f t="shared" si="83"/>
        <v>0</v>
      </c>
      <c r="Q306" s="765"/>
      <c r="R306" s="703"/>
      <c r="S306" s="670"/>
      <c r="T306" s="577">
        <f t="shared" si="84"/>
        <v>0</v>
      </c>
      <c r="U306" s="578">
        <f t="shared" si="85"/>
        <v>0</v>
      </c>
      <c r="V306" s="579"/>
      <c r="W306" s="637" t="str">
        <f>IF(U305&gt;0,"xx",IF(P305&gt;0,"xy",""))</f>
        <v/>
      </c>
      <c r="X306" s="586" t="str">
        <f t="shared" si="86"/>
        <v/>
      </c>
      <c r="Y306" s="586" t="str">
        <f t="shared" si="74"/>
        <v/>
      </c>
      <c r="Z306" s="586" t="str">
        <f t="shared" si="80"/>
        <v/>
      </c>
    </row>
    <row r="307" spans="1:26" ht="12" hidden="1" thickBot="1" x14ac:dyDescent="0.25">
      <c r="A307" s="671" t="s">
        <v>168</v>
      </c>
      <c r="B307" s="644" t="s">
        <v>168</v>
      </c>
      <c r="C307" s="645"/>
      <c r="D307" s="451" t="s">
        <v>249</v>
      </c>
      <c r="E307" s="423"/>
      <c r="F307" s="424">
        <v>500</v>
      </c>
      <c r="G307" s="425"/>
      <c r="H307" s="649">
        <f>IF(F307&lt;=30,(0.78*F307+7.82)*G307,((0.78*30+7.82)+0.78*(F307-30))*G307)</f>
        <v>0</v>
      </c>
      <c r="I307" s="420">
        <v>0</v>
      </c>
      <c r="J307" s="420">
        <f>IF(ISBLANK(I307),"",SUM(H307:I307))</f>
        <v>0</v>
      </c>
      <c r="K307" s="421">
        <f t="shared" si="70"/>
        <v>0</v>
      </c>
      <c r="L307" s="647" t="s">
        <v>614</v>
      </c>
      <c r="M307" s="703"/>
      <c r="N307" s="576">
        <f t="shared" si="76"/>
        <v>0</v>
      </c>
      <c r="O307" s="577">
        <f t="shared" si="82"/>
        <v>0</v>
      </c>
      <c r="P307" s="578">
        <f t="shared" si="83"/>
        <v>0</v>
      </c>
      <c r="Q307" s="765"/>
      <c r="R307" s="703"/>
      <c r="S307" s="670"/>
      <c r="T307" s="577">
        <f t="shared" si="84"/>
        <v>0</v>
      </c>
      <c r="U307" s="578">
        <f t="shared" si="85"/>
        <v>0</v>
      </c>
      <c r="V307" s="579"/>
      <c r="W307" s="637" t="str">
        <f>IF(U305&gt;0,"xx",IF(P305&gt;0,"xy",""))</f>
        <v/>
      </c>
      <c r="X307" s="586" t="str">
        <f>IF(W307="X","x",IF(W307="xx","x",IF(W307="xy","x",IF(W307="y","x",IF(OR(P307&gt;0,U307&gt;0),"x","")))))</f>
        <v/>
      </c>
      <c r="Y307" s="586" t="str">
        <f>IF(W307="X","x",IF(W307="y","x",IF(W307="xx","x",IF(U307&gt;0,"x",""))))</f>
        <v/>
      </c>
      <c r="Z307" s="586" t="str">
        <f>IF(W307="X","x",IF(U307&gt;0,"x",""))</f>
        <v/>
      </c>
    </row>
    <row r="308" spans="1:26" ht="12" hidden="1" thickBot="1" x14ac:dyDescent="0.25">
      <c r="A308" s="671" t="s">
        <v>168</v>
      </c>
      <c r="B308" s="644" t="s">
        <v>168</v>
      </c>
      <c r="C308" s="645"/>
      <c r="D308" s="451" t="s">
        <v>262</v>
      </c>
      <c r="E308" s="423"/>
      <c r="F308" s="424">
        <v>0.2</v>
      </c>
      <c r="G308" s="425">
        <v>2.12</v>
      </c>
      <c r="H308" s="663">
        <f t="shared" si="92"/>
        <v>6.1352800000000007</v>
      </c>
      <c r="I308" s="420">
        <v>0</v>
      </c>
      <c r="J308" s="420"/>
      <c r="K308" s="421">
        <f t="shared" si="70"/>
        <v>0</v>
      </c>
      <c r="L308" s="647" t="s">
        <v>614</v>
      </c>
      <c r="M308" s="703"/>
      <c r="N308" s="576">
        <f t="shared" si="76"/>
        <v>0</v>
      </c>
      <c r="O308" s="577">
        <f t="shared" si="82"/>
        <v>0</v>
      </c>
      <c r="P308" s="578">
        <f t="shared" si="83"/>
        <v>0</v>
      </c>
      <c r="Q308" s="765"/>
      <c r="R308" s="703"/>
      <c r="S308" s="670"/>
      <c r="T308" s="577">
        <f t="shared" si="84"/>
        <v>0</v>
      </c>
      <c r="U308" s="578">
        <f t="shared" si="85"/>
        <v>0</v>
      </c>
      <c r="V308" s="579"/>
      <c r="W308" s="637" t="str">
        <f>IF(U305&gt;0,"xx",IF(P305&gt;0,"xy",""))</f>
        <v/>
      </c>
      <c r="X308" s="586" t="str">
        <f>IF(W308="X","x",IF(W308="xx","x",IF(W308="xy","x",IF(W308="y","x",IF(OR(P308&gt;0,U308&gt;0),"x","")))))</f>
        <v/>
      </c>
      <c r="Y308" s="586" t="str">
        <f>IF(W308="X","x",IF(W308="y","x",IF(W308="xx","x",IF(U308&gt;0,"x",""))))</f>
        <v/>
      </c>
      <c r="Z308" s="586" t="str">
        <f>IF(W308="X","x",IF(U308&gt;0,"x",""))</f>
        <v/>
      </c>
    </row>
    <row r="309" spans="1:26" ht="12" hidden="1" thickBot="1" x14ac:dyDescent="0.25">
      <c r="A309" s="671" t="s">
        <v>168</v>
      </c>
      <c r="B309" s="644" t="s">
        <v>168</v>
      </c>
      <c r="C309" s="645"/>
      <c r="D309" s="451" t="s">
        <v>263</v>
      </c>
      <c r="E309" s="423"/>
      <c r="F309" s="424">
        <v>20</v>
      </c>
      <c r="G309" s="425">
        <f>SUM(G305:G308)</f>
        <v>2.2000000000000002</v>
      </c>
      <c r="H309" s="651">
        <f>IF(F309&lt;=30,(1.07*F309+5.37)*G309,((1.07*30+5.37)+1.07*(F309-30))*G309)</f>
        <v>58.894000000000013</v>
      </c>
      <c r="I309" s="420">
        <v>0</v>
      </c>
      <c r="J309" s="420"/>
      <c r="K309" s="421">
        <f t="shared" si="70"/>
        <v>0</v>
      </c>
      <c r="L309" s="647" t="s">
        <v>614</v>
      </c>
      <c r="M309" s="703"/>
      <c r="N309" s="576">
        <f t="shared" si="76"/>
        <v>0</v>
      </c>
      <c r="O309" s="577">
        <f t="shared" si="82"/>
        <v>0</v>
      </c>
      <c r="P309" s="578">
        <f t="shared" si="83"/>
        <v>0</v>
      </c>
      <c r="Q309" s="765"/>
      <c r="R309" s="703"/>
      <c r="S309" s="670"/>
      <c r="T309" s="577">
        <f t="shared" si="84"/>
        <v>0</v>
      </c>
      <c r="U309" s="578">
        <f t="shared" si="85"/>
        <v>0</v>
      </c>
      <c r="V309" s="579"/>
      <c r="W309" s="637" t="str">
        <f>IF(U305&gt;0,"xx",IF(P305&gt;0,"xy",""))</f>
        <v/>
      </c>
      <c r="X309" s="586" t="str">
        <f t="shared" si="86"/>
        <v/>
      </c>
      <c r="Y309" s="586" t="str">
        <f t="shared" si="74"/>
        <v/>
      </c>
      <c r="Z309" s="586" t="str">
        <f t="shared" si="80"/>
        <v/>
      </c>
    </row>
    <row r="310" spans="1:26" ht="12" hidden="1" thickBot="1" x14ac:dyDescent="0.25">
      <c r="A310" s="671">
        <v>589320</v>
      </c>
      <c r="B310" s="704" t="s">
        <v>1769</v>
      </c>
      <c r="C310" s="689" t="s">
        <v>1746</v>
      </c>
      <c r="D310" s="477" t="s">
        <v>812</v>
      </c>
      <c r="E310" s="470"/>
      <c r="F310" s="478">
        <v>500</v>
      </c>
      <c r="G310" s="479">
        <v>1</v>
      </c>
      <c r="H310" s="663">
        <f>(0.84*F310+41.45)*G310</f>
        <v>461.45</v>
      </c>
      <c r="I310" s="472">
        <v>4680</v>
      </c>
      <c r="J310" s="472">
        <f>IF(ISBLANK(I310),"",I310*(1+$F$9)/(1+$F$10))+H310</f>
        <v>5002.4010983923918</v>
      </c>
      <c r="K310" s="690">
        <f t="shared" si="70"/>
        <v>5943.35</v>
      </c>
      <c r="L310" s="691" t="s">
        <v>20</v>
      </c>
      <c r="M310" s="692">
        <f>ROUND(M305*G305,2)</f>
        <v>0</v>
      </c>
      <c r="N310" s="799">
        <f t="shared" si="76"/>
        <v>0</v>
      </c>
      <c r="O310" s="693">
        <f t="shared" si="82"/>
        <v>0</v>
      </c>
      <c r="P310" s="694">
        <f t="shared" si="83"/>
        <v>0</v>
      </c>
      <c r="Q310" s="765"/>
      <c r="R310" s="695">
        <f>ROUND(R305*G305,2)</f>
        <v>0</v>
      </c>
      <c r="S310" s="711">
        <f>N310</f>
        <v>0</v>
      </c>
      <c r="T310" s="693">
        <f t="shared" si="84"/>
        <v>0</v>
      </c>
      <c r="U310" s="694">
        <f t="shared" si="85"/>
        <v>0</v>
      </c>
      <c r="V310" s="579"/>
      <c r="W310" s="637" t="str">
        <f>IF(U305&gt;0,"xx",IF(P305&gt;0,"xy",""))</f>
        <v/>
      </c>
      <c r="X310" s="586" t="str">
        <f t="shared" si="86"/>
        <v/>
      </c>
      <c r="Y310" s="586" t="str">
        <f t="shared" si="74"/>
        <v/>
      </c>
      <c r="Z310" s="586" t="str">
        <f t="shared" si="80"/>
        <v/>
      </c>
    </row>
    <row r="311" spans="1:26" ht="12" hidden="1" thickBot="1" x14ac:dyDescent="0.25">
      <c r="A311" s="671">
        <v>534000</v>
      </c>
      <c r="B311" s="701" t="s">
        <v>673</v>
      </c>
      <c r="C311" s="702" t="s">
        <v>206</v>
      </c>
      <c r="D311" s="463" t="s">
        <v>1913</v>
      </c>
      <c r="E311" s="464"/>
      <c r="F311" s="465" t="s">
        <v>663</v>
      </c>
      <c r="G311" s="466">
        <v>0.08</v>
      </c>
      <c r="H311" s="681">
        <f>SUM(H312:H315)</f>
        <v>65.029280000000014</v>
      </c>
      <c r="I311" s="467">
        <v>138.26</v>
      </c>
      <c r="J311" s="467">
        <f>IF(ISBLANK(I311),"",SUM(H311:I311))</f>
        <v>203.28928000000002</v>
      </c>
      <c r="K311" s="682">
        <f t="shared" si="70"/>
        <v>241.53</v>
      </c>
      <c r="L311" s="683" t="s">
        <v>16</v>
      </c>
      <c r="M311" s="685"/>
      <c r="N311" s="576">
        <f t="shared" si="76"/>
        <v>0</v>
      </c>
      <c r="O311" s="687">
        <f t="shared" si="82"/>
        <v>0</v>
      </c>
      <c r="P311" s="688">
        <f t="shared" si="83"/>
        <v>0</v>
      </c>
      <c r="Q311" s="765"/>
      <c r="R311" s="685">
        <f>M311</f>
        <v>0</v>
      </c>
      <c r="S311" s="686">
        <f>N311</f>
        <v>0</v>
      </c>
      <c r="T311" s="687">
        <f t="shared" si="84"/>
        <v>0</v>
      </c>
      <c r="U311" s="688">
        <f t="shared" si="85"/>
        <v>0</v>
      </c>
      <c r="V311" s="579"/>
      <c r="W311" s="566"/>
      <c r="X311" s="586" t="str">
        <f t="shared" si="86"/>
        <v/>
      </c>
      <c r="Y311" s="586" t="str">
        <f t="shared" si="74"/>
        <v/>
      </c>
      <c r="Z311" s="586" t="str">
        <f t="shared" si="80"/>
        <v/>
      </c>
    </row>
    <row r="312" spans="1:26" ht="12" hidden="1" thickBot="1" x14ac:dyDescent="0.25">
      <c r="A312" s="671" t="s">
        <v>168</v>
      </c>
      <c r="B312" s="644" t="s">
        <v>168</v>
      </c>
      <c r="C312" s="645"/>
      <c r="D312" s="451" t="s">
        <v>248</v>
      </c>
      <c r="E312" s="423"/>
      <c r="F312" s="424">
        <v>180</v>
      </c>
      <c r="G312" s="425"/>
      <c r="H312" s="663">
        <f t="shared" ref="H312:H314" si="93">IF(F312&lt;=30,(1.07*F312+2.68)*G312,((1.07*30+2.68)+1.07*(F312-30))*G312)</f>
        <v>0</v>
      </c>
      <c r="I312" s="420">
        <v>0</v>
      </c>
      <c r="J312" s="420">
        <f>IF(ISBLANK(I312),"",SUM(H312:I312))</f>
        <v>0</v>
      </c>
      <c r="K312" s="421">
        <f t="shared" si="70"/>
        <v>0</v>
      </c>
      <c r="L312" s="647" t="s">
        <v>614</v>
      </c>
      <c r="M312" s="703"/>
      <c r="N312" s="576">
        <f t="shared" si="76"/>
        <v>0</v>
      </c>
      <c r="O312" s="577">
        <f t="shared" si="82"/>
        <v>0</v>
      </c>
      <c r="P312" s="578">
        <f t="shared" si="83"/>
        <v>0</v>
      </c>
      <c r="Q312" s="765"/>
      <c r="R312" s="703"/>
      <c r="S312" s="670"/>
      <c r="T312" s="577">
        <f t="shared" si="84"/>
        <v>0</v>
      </c>
      <c r="U312" s="578">
        <f t="shared" si="85"/>
        <v>0</v>
      </c>
      <c r="V312" s="579"/>
      <c r="W312" s="637" t="str">
        <f>IF(U311&gt;0,"xx",IF(P311&gt;0,"xy",""))</f>
        <v/>
      </c>
      <c r="X312" s="586" t="str">
        <f t="shared" si="86"/>
        <v/>
      </c>
      <c r="Y312" s="586" t="str">
        <f t="shared" si="74"/>
        <v/>
      </c>
      <c r="Z312" s="586" t="str">
        <f t="shared" si="80"/>
        <v/>
      </c>
    </row>
    <row r="313" spans="1:26" ht="12" hidden="1" thickBot="1" x14ac:dyDescent="0.25">
      <c r="A313" s="671" t="s">
        <v>168</v>
      </c>
      <c r="B313" s="644" t="s">
        <v>168</v>
      </c>
      <c r="C313" s="645"/>
      <c r="D313" s="451" t="s">
        <v>249</v>
      </c>
      <c r="E313" s="423"/>
      <c r="F313" s="424">
        <v>500</v>
      </c>
      <c r="G313" s="425"/>
      <c r="H313" s="649">
        <f>IF(F313&lt;=30,(0.78*F313+7.82)*G313,((0.78*30+7.82)+0.78*(F313-30))*G313)</f>
        <v>0</v>
      </c>
      <c r="I313" s="420">
        <v>0</v>
      </c>
      <c r="J313" s="420">
        <f>IF(ISBLANK(I313),"",SUM(H313:I313))</f>
        <v>0</v>
      </c>
      <c r="K313" s="421">
        <f t="shared" si="70"/>
        <v>0</v>
      </c>
      <c r="L313" s="647" t="s">
        <v>614</v>
      </c>
      <c r="M313" s="703"/>
      <c r="N313" s="576">
        <f t="shared" si="76"/>
        <v>0</v>
      </c>
      <c r="O313" s="577">
        <f t="shared" si="82"/>
        <v>0</v>
      </c>
      <c r="P313" s="578">
        <f t="shared" si="83"/>
        <v>0</v>
      </c>
      <c r="Q313" s="765"/>
      <c r="R313" s="703"/>
      <c r="S313" s="670"/>
      <c r="T313" s="577">
        <f t="shared" si="84"/>
        <v>0</v>
      </c>
      <c r="U313" s="578">
        <f t="shared" si="85"/>
        <v>0</v>
      </c>
      <c r="V313" s="579"/>
      <c r="W313" s="637" t="str">
        <f>IF(U311&gt;0,"xx",IF(P311&gt;0,"xy",""))</f>
        <v/>
      </c>
      <c r="X313" s="586" t="str">
        <f>IF(W313="X","x",IF(W313="xx","x",IF(W313="xy","x",IF(W313="y","x",IF(OR(P313&gt;0,U313&gt;0),"x","")))))</f>
        <v/>
      </c>
      <c r="Y313" s="586" t="str">
        <f>IF(W313="X","x",IF(W313="y","x",IF(W313="xx","x",IF(U313&gt;0,"x",""))))</f>
        <v/>
      </c>
      <c r="Z313" s="586" t="str">
        <f>IF(W313="X","x",IF(U313&gt;0,"x",""))</f>
        <v/>
      </c>
    </row>
    <row r="314" spans="1:26" ht="12" hidden="1" thickBot="1" x14ac:dyDescent="0.25">
      <c r="A314" s="671" t="s">
        <v>168</v>
      </c>
      <c r="B314" s="644" t="s">
        <v>168</v>
      </c>
      <c r="C314" s="645"/>
      <c r="D314" s="451" t="s">
        <v>262</v>
      </c>
      <c r="E314" s="423"/>
      <c r="F314" s="424">
        <v>0.2</v>
      </c>
      <c r="G314" s="425">
        <v>2.12</v>
      </c>
      <c r="H314" s="663">
        <f t="shared" si="93"/>
        <v>6.1352800000000007</v>
      </c>
      <c r="I314" s="420">
        <v>0</v>
      </c>
      <c r="J314" s="420"/>
      <c r="K314" s="421">
        <f t="shared" si="70"/>
        <v>0</v>
      </c>
      <c r="L314" s="647" t="s">
        <v>614</v>
      </c>
      <c r="M314" s="703"/>
      <c r="N314" s="576">
        <f t="shared" si="76"/>
        <v>0</v>
      </c>
      <c r="O314" s="577">
        <f t="shared" si="82"/>
        <v>0</v>
      </c>
      <c r="P314" s="578">
        <f t="shared" si="83"/>
        <v>0</v>
      </c>
      <c r="Q314" s="765"/>
      <c r="R314" s="703"/>
      <c r="S314" s="670"/>
      <c r="T314" s="577">
        <f t="shared" si="84"/>
        <v>0</v>
      </c>
      <c r="U314" s="578">
        <f t="shared" si="85"/>
        <v>0</v>
      </c>
      <c r="V314" s="579"/>
      <c r="W314" s="637" t="str">
        <f>IF(U311&gt;0,"xx",IF(P311&gt;0,"xy",""))</f>
        <v/>
      </c>
      <c r="X314" s="586" t="str">
        <f>IF(W314="X","x",IF(W314="xx","x",IF(W314="xy","x",IF(W314="y","x",IF(OR(P314&gt;0,U314&gt;0),"x","")))))</f>
        <v/>
      </c>
      <c r="Y314" s="586" t="str">
        <f>IF(W314="X","x",IF(W314="y","x",IF(W314="xx","x",IF(U314&gt;0,"x",""))))</f>
        <v/>
      </c>
      <c r="Z314" s="586" t="str">
        <f>IF(W314="X","x",IF(U314&gt;0,"x",""))</f>
        <v/>
      </c>
    </row>
    <row r="315" spans="1:26" ht="12" hidden="1" thickBot="1" x14ac:dyDescent="0.25">
      <c r="A315" s="671" t="s">
        <v>168</v>
      </c>
      <c r="B315" s="644" t="s">
        <v>168</v>
      </c>
      <c r="C315" s="645"/>
      <c r="D315" s="451" t="s">
        <v>263</v>
      </c>
      <c r="E315" s="423"/>
      <c r="F315" s="424">
        <v>20</v>
      </c>
      <c r="G315" s="425">
        <f>SUM(G311:G314)</f>
        <v>2.2000000000000002</v>
      </c>
      <c r="H315" s="651">
        <f>IF(F315&lt;=30,(1.07*F315+5.37)*G315,((1.07*30+5.37)+1.07*(F315-30))*G315)</f>
        <v>58.894000000000013</v>
      </c>
      <c r="I315" s="420">
        <v>0</v>
      </c>
      <c r="J315" s="420"/>
      <c r="K315" s="421">
        <f t="shared" ref="K315:K378" si="94">IF(ISBLANK(I315),0,ROUND(J315*(1+$F$10)*(1+$F$11*E315),2))</f>
        <v>0</v>
      </c>
      <c r="L315" s="647" t="s">
        <v>614</v>
      </c>
      <c r="M315" s="703"/>
      <c r="N315" s="576">
        <f t="shared" si="76"/>
        <v>0</v>
      </c>
      <c r="O315" s="577">
        <f t="shared" si="82"/>
        <v>0</v>
      </c>
      <c r="P315" s="578">
        <f t="shared" si="83"/>
        <v>0</v>
      </c>
      <c r="Q315" s="765"/>
      <c r="R315" s="703"/>
      <c r="S315" s="670"/>
      <c r="T315" s="577">
        <f t="shared" si="84"/>
        <v>0</v>
      </c>
      <c r="U315" s="578">
        <f t="shared" si="85"/>
        <v>0</v>
      </c>
      <c r="V315" s="579"/>
      <c r="W315" s="637" t="str">
        <f>IF(U311&gt;0,"xx",IF(P311&gt;0,"xy",""))</f>
        <v/>
      </c>
      <c r="X315" s="586" t="str">
        <f t="shared" si="86"/>
        <v/>
      </c>
      <c r="Y315" s="586" t="str">
        <f t="shared" si="74"/>
        <v/>
      </c>
      <c r="Z315" s="586" t="str">
        <f t="shared" si="80"/>
        <v/>
      </c>
    </row>
    <row r="316" spans="1:26" ht="12" hidden="1" thickBot="1" x14ac:dyDescent="0.25">
      <c r="A316" s="671">
        <v>589320</v>
      </c>
      <c r="B316" s="704" t="s">
        <v>1770</v>
      </c>
      <c r="C316" s="689" t="s">
        <v>1746</v>
      </c>
      <c r="D316" s="477" t="s">
        <v>812</v>
      </c>
      <c r="E316" s="470"/>
      <c r="F316" s="478">
        <v>500</v>
      </c>
      <c r="G316" s="479">
        <v>1</v>
      </c>
      <c r="H316" s="663">
        <f>(0.84*F316+41.45)*G316</f>
        <v>461.45</v>
      </c>
      <c r="I316" s="472">
        <v>4680</v>
      </c>
      <c r="J316" s="472">
        <f>IF(ISBLANK(I316),"",I316*(1+$F$9)/(1+$F$10))+H316</f>
        <v>5002.4010983923918</v>
      </c>
      <c r="K316" s="690">
        <f t="shared" si="94"/>
        <v>5943.35</v>
      </c>
      <c r="L316" s="691" t="s">
        <v>20</v>
      </c>
      <c r="M316" s="692">
        <f>ROUND(M311*G311,2)</f>
        <v>0</v>
      </c>
      <c r="N316" s="588">
        <f t="shared" si="76"/>
        <v>0</v>
      </c>
      <c r="O316" s="693">
        <f>IF(ISBLANK(M316),0,ROUND(K316*M316,2))</f>
        <v>0</v>
      </c>
      <c r="P316" s="694">
        <f>IF(ISBLANK(N316),0,ROUND(M316*N316,2))</f>
        <v>0</v>
      </c>
      <c r="Q316" s="765"/>
      <c r="R316" s="695">
        <f>ROUND(R311*G311,2)</f>
        <v>0</v>
      </c>
      <c r="S316" s="711">
        <f>N316</f>
        <v>0</v>
      </c>
      <c r="T316" s="693">
        <f t="shared" si="84"/>
        <v>0</v>
      </c>
      <c r="U316" s="694">
        <f t="shared" si="85"/>
        <v>0</v>
      </c>
      <c r="V316" s="579"/>
      <c r="W316" s="637" t="str">
        <f>IF(U311&gt;0,"xx",IF(P311&gt;0,"xy",""))</f>
        <v/>
      </c>
      <c r="X316" s="586" t="str">
        <f t="shared" si="86"/>
        <v/>
      </c>
      <c r="Y316" s="586" t="str">
        <f t="shared" si="74"/>
        <v/>
      </c>
      <c r="Z316" s="586" t="str">
        <f t="shared" si="80"/>
        <v/>
      </c>
    </row>
    <row r="317" spans="1:26" ht="12" hidden="1" thickBot="1" x14ac:dyDescent="0.25">
      <c r="A317" s="671">
        <v>534000</v>
      </c>
      <c r="B317" s="701" t="s">
        <v>1576</v>
      </c>
      <c r="C317" s="702" t="s">
        <v>206</v>
      </c>
      <c r="D317" s="463" t="s">
        <v>1914</v>
      </c>
      <c r="E317" s="464"/>
      <c r="F317" s="465" t="s">
        <v>663</v>
      </c>
      <c r="G317" s="466">
        <v>0.08</v>
      </c>
      <c r="H317" s="681">
        <f>SUM(H318:H321)</f>
        <v>65.029280000000014</v>
      </c>
      <c r="I317" s="467">
        <v>138.26</v>
      </c>
      <c r="J317" s="467">
        <f>IF(ISBLANK(I317),"",SUM(H317:I317))</f>
        <v>203.28928000000002</v>
      </c>
      <c r="K317" s="682">
        <f t="shared" si="94"/>
        <v>241.53</v>
      </c>
      <c r="L317" s="683" t="s">
        <v>16</v>
      </c>
      <c r="M317" s="685"/>
      <c r="N317" s="686">
        <f t="shared" si="76"/>
        <v>0</v>
      </c>
      <c r="O317" s="687">
        <f t="shared" si="82"/>
        <v>0</v>
      </c>
      <c r="P317" s="688">
        <f t="shared" si="83"/>
        <v>0</v>
      </c>
      <c r="Q317" s="765"/>
      <c r="R317" s="685">
        <f>M317</f>
        <v>0</v>
      </c>
      <c r="S317" s="686">
        <f>N317</f>
        <v>0</v>
      </c>
      <c r="T317" s="687">
        <f t="shared" si="84"/>
        <v>0</v>
      </c>
      <c r="U317" s="688">
        <f t="shared" si="85"/>
        <v>0</v>
      </c>
      <c r="V317" s="579"/>
      <c r="W317" s="566"/>
      <c r="X317" s="586" t="str">
        <f t="shared" si="86"/>
        <v/>
      </c>
      <c r="Y317" s="586" t="str">
        <f t="shared" si="74"/>
        <v/>
      </c>
      <c r="Z317" s="586" t="str">
        <f t="shared" si="80"/>
        <v/>
      </c>
    </row>
    <row r="318" spans="1:26" ht="12" hidden="1" thickBot="1" x14ac:dyDescent="0.25">
      <c r="A318" s="671" t="s">
        <v>168</v>
      </c>
      <c r="B318" s="644" t="s">
        <v>168</v>
      </c>
      <c r="C318" s="645"/>
      <c r="D318" s="451" t="s">
        <v>248</v>
      </c>
      <c r="E318" s="423"/>
      <c r="F318" s="424">
        <v>180</v>
      </c>
      <c r="G318" s="425"/>
      <c r="H318" s="663">
        <f t="shared" ref="H318:H320" si="95">IF(F318&lt;=30,(1.07*F318+2.68)*G318,((1.07*30+2.68)+1.07*(F318-30))*G318)</f>
        <v>0</v>
      </c>
      <c r="I318" s="420">
        <v>0</v>
      </c>
      <c r="J318" s="420">
        <f>IF(ISBLANK(I318),"",SUM(H318:I318))</f>
        <v>0</v>
      </c>
      <c r="K318" s="421">
        <f t="shared" si="94"/>
        <v>0</v>
      </c>
      <c r="L318" s="647" t="s">
        <v>614</v>
      </c>
      <c r="M318" s="703"/>
      <c r="N318" s="576">
        <f t="shared" si="76"/>
        <v>0</v>
      </c>
      <c r="O318" s="577">
        <f t="shared" si="82"/>
        <v>0</v>
      </c>
      <c r="P318" s="578">
        <f t="shared" si="83"/>
        <v>0</v>
      </c>
      <c r="Q318" s="765"/>
      <c r="R318" s="703"/>
      <c r="S318" s="670"/>
      <c r="T318" s="577">
        <f t="shared" si="84"/>
        <v>0</v>
      </c>
      <c r="U318" s="578">
        <f t="shared" si="85"/>
        <v>0</v>
      </c>
      <c r="V318" s="579"/>
      <c r="W318" s="637" t="str">
        <f>IF(U317&gt;0,"xx",IF(P317&gt;0,"xy",""))</f>
        <v/>
      </c>
      <c r="X318" s="586" t="str">
        <f t="shared" si="86"/>
        <v/>
      </c>
      <c r="Y318" s="586" t="str">
        <f t="shared" si="74"/>
        <v/>
      </c>
      <c r="Z318" s="586" t="str">
        <f t="shared" si="80"/>
        <v/>
      </c>
    </row>
    <row r="319" spans="1:26" ht="12" hidden="1" thickBot="1" x14ac:dyDescent="0.25">
      <c r="A319" s="671" t="s">
        <v>168</v>
      </c>
      <c r="B319" s="644" t="s">
        <v>168</v>
      </c>
      <c r="C319" s="645"/>
      <c r="D319" s="451" t="s">
        <v>249</v>
      </c>
      <c r="E319" s="423"/>
      <c r="F319" s="424">
        <v>500</v>
      </c>
      <c r="G319" s="425"/>
      <c r="H319" s="649">
        <f>IF(F319&lt;=30,(0.78*F319+7.82)*G319,((0.78*30+7.82)+0.78*(F319-30))*G319)</f>
        <v>0</v>
      </c>
      <c r="I319" s="420">
        <v>0</v>
      </c>
      <c r="J319" s="420">
        <f>IF(ISBLANK(I319),"",SUM(H319:I319))</f>
        <v>0</v>
      </c>
      <c r="K319" s="421">
        <f t="shared" si="94"/>
        <v>0</v>
      </c>
      <c r="L319" s="647" t="s">
        <v>614</v>
      </c>
      <c r="M319" s="703"/>
      <c r="N319" s="576">
        <f t="shared" si="76"/>
        <v>0</v>
      </c>
      <c r="O319" s="577">
        <f t="shared" si="82"/>
        <v>0</v>
      </c>
      <c r="P319" s="578">
        <f t="shared" si="83"/>
        <v>0</v>
      </c>
      <c r="Q319" s="765"/>
      <c r="R319" s="703"/>
      <c r="S319" s="670"/>
      <c r="T319" s="577">
        <f t="shared" si="84"/>
        <v>0</v>
      </c>
      <c r="U319" s="578">
        <f t="shared" si="85"/>
        <v>0</v>
      </c>
      <c r="V319" s="579"/>
      <c r="W319" s="637" t="str">
        <f>IF(U317&gt;0,"xx",IF(P317&gt;0,"xy",""))</f>
        <v/>
      </c>
      <c r="X319" s="586" t="str">
        <f t="shared" si="86"/>
        <v/>
      </c>
      <c r="Y319" s="586" t="str">
        <f t="shared" si="74"/>
        <v/>
      </c>
      <c r="Z319" s="586" t="str">
        <f t="shared" si="80"/>
        <v/>
      </c>
    </row>
    <row r="320" spans="1:26" ht="12" hidden="1" thickBot="1" x14ac:dyDescent="0.25">
      <c r="A320" s="671" t="s">
        <v>168</v>
      </c>
      <c r="B320" s="644" t="s">
        <v>168</v>
      </c>
      <c r="C320" s="645"/>
      <c r="D320" s="451" t="s">
        <v>262</v>
      </c>
      <c r="E320" s="423"/>
      <c r="F320" s="424">
        <v>0.2</v>
      </c>
      <c r="G320" s="425">
        <v>2.12</v>
      </c>
      <c r="H320" s="663">
        <f t="shared" si="95"/>
        <v>6.1352800000000007</v>
      </c>
      <c r="I320" s="420">
        <v>0</v>
      </c>
      <c r="J320" s="420"/>
      <c r="K320" s="421">
        <f t="shared" si="94"/>
        <v>0</v>
      </c>
      <c r="L320" s="647" t="s">
        <v>614</v>
      </c>
      <c r="M320" s="703"/>
      <c r="N320" s="576">
        <f t="shared" si="76"/>
        <v>0</v>
      </c>
      <c r="O320" s="577">
        <f t="shared" si="82"/>
        <v>0</v>
      </c>
      <c r="P320" s="578">
        <f t="shared" si="83"/>
        <v>0</v>
      </c>
      <c r="Q320" s="765"/>
      <c r="R320" s="703"/>
      <c r="S320" s="670"/>
      <c r="T320" s="577">
        <f t="shared" si="84"/>
        <v>0</v>
      </c>
      <c r="U320" s="578">
        <f t="shared" si="85"/>
        <v>0</v>
      </c>
      <c r="V320" s="579"/>
      <c r="W320" s="637" t="str">
        <f>IF(U317&gt;0,"xx",IF(P317&gt;0,"xy",""))</f>
        <v/>
      </c>
      <c r="X320" s="586" t="str">
        <f t="shared" si="86"/>
        <v/>
      </c>
      <c r="Y320" s="586" t="str">
        <f t="shared" si="74"/>
        <v/>
      </c>
      <c r="Z320" s="586" t="str">
        <f t="shared" si="80"/>
        <v/>
      </c>
    </row>
    <row r="321" spans="1:26" ht="12" hidden="1" thickBot="1" x14ac:dyDescent="0.25">
      <c r="A321" s="671" t="s">
        <v>168</v>
      </c>
      <c r="B321" s="644" t="s">
        <v>168</v>
      </c>
      <c r="C321" s="645"/>
      <c r="D321" s="451" t="s">
        <v>263</v>
      </c>
      <c r="E321" s="423"/>
      <c r="F321" s="424">
        <v>20</v>
      </c>
      <c r="G321" s="425">
        <f>SUM(G317:G320)</f>
        <v>2.2000000000000002</v>
      </c>
      <c r="H321" s="651">
        <f>IF(F321&lt;=30,(1.07*F321+5.37)*G321,((1.07*30+5.37)+1.07*(F321-30))*G321)</f>
        <v>58.894000000000013</v>
      </c>
      <c r="I321" s="420">
        <v>0</v>
      </c>
      <c r="J321" s="420"/>
      <c r="K321" s="421">
        <f t="shared" si="94"/>
        <v>0</v>
      </c>
      <c r="L321" s="647" t="s">
        <v>614</v>
      </c>
      <c r="M321" s="703"/>
      <c r="N321" s="576">
        <f t="shared" si="76"/>
        <v>0</v>
      </c>
      <c r="O321" s="577">
        <f t="shared" si="82"/>
        <v>0</v>
      </c>
      <c r="P321" s="578">
        <f t="shared" si="83"/>
        <v>0</v>
      </c>
      <c r="Q321" s="765"/>
      <c r="R321" s="703"/>
      <c r="S321" s="670"/>
      <c r="T321" s="577">
        <f t="shared" si="84"/>
        <v>0</v>
      </c>
      <c r="U321" s="578">
        <f t="shared" si="85"/>
        <v>0</v>
      </c>
      <c r="V321" s="579"/>
      <c r="W321" s="637" t="str">
        <f>IF(U317&gt;0,"xx",IF(P317&gt;0,"xy",""))</f>
        <v/>
      </c>
      <c r="X321" s="586" t="str">
        <f t="shared" si="86"/>
        <v/>
      </c>
      <c r="Y321" s="586" t="str">
        <f t="shared" si="74"/>
        <v/>
      </c>
      <c r="Z321" s="586" t="str">
        <f t="shared" si="80"/>
        <v/>
      </c>
    </row>
    <row r="322" spans="1:26" ht="12" hidden="1" thickBot="1" x14ac:dyDescent="0.25">
      <c r="A322" s="671">
        <v>589320</v>
      </c>
      <c r="B322" s="704" t="s">
        <v>1771</v>
      </c>
      <c r="C322" s="689" t="s">
        <v>1746</v>
      </c>
      <c r="D322" s="477" t="s">
        <v>812</v>
      </c>
      <c r="E322" s="470"/>
      <c r="F322" s="478">
        <v>500</v>
      </c>
      <c r="G322" s="479">
        <v>1</v>
      </c>
      <c r="H322" s="663">
        <f>(0.84*F322+41.45)*G322</f>
        <v>461.45</v>
      </c>
      <c r="I322" s="472">
        <v>4680</v>
      </c>
      <c r="J322" s="472">
        <f>IF(ISBLANK(I322),"",I322*(1+$F$9)/(1+$F$10))+H322</f>
        <v>5002.4010983923918</v>
      </c>
      <c r="K322" s="690">
        <f t="shared" si="94"/>
        <v>5943.35</v>
      </c>
      <c r="L322" s="691" t="s">
        <v>20</v>
      </c>
      <c r="M322" s="692">
        <f>ROUND(M317*G317,2)</f>
        <v>0</v>
      </c>
      <c r="N322" s="696">
        <f t="shared" si="76"/>
        <v>0</v>
      </c>
      <c r="O322" s="693">
        <f>IF(ISBLANK(M322),0,ROUND(K322*M322,2))</f>
        <v>0</v>
      </c>
      <c r="P322" s="694">
        <f>IF(ISBLANK(N322),0,ROUND(M322*N322,2))</f>
        <v>0</v>
      </c>
      <c r="Q322" s="765"/>
      <c r="R322" s="695">
        <f>ROUND(R317*G317,2)</f>
        <v>0</v>
      </c>
      <c r="S322" s="711">
        <f>N322</f>
        <v>0</v>
      </c>
      <c r="T322" s="693">
        <f t="shared" si="84"/>
        <v>0</v>
      </c>
      <c r="U322" s="694">
        <f t="shared" si="85"/>
        <v>0</v>
      </c>
      <c r="V322" s="579"/>
      <c r="W322" s="637" t="str">
        <f>IF(U317&gt;0,"xx",IF(P317&gt;0,"xy",""))</f>
        <v/>
      </c>
      <c r="X322" s="586" t="str">
        <f t="shared" si="86"/>
        <v/>
      </c>
      <c r="Y322" s="586" t="str">
        <f t="shared" si="74"/>
        <v/>
      </c>
      <c r="Z322" s="586" t="str">
        <f t="shared" si="80"/>
        <v/>
      </c>
    </row>
    <row r="323" spans="1:26" ht="12" hidden="1" thickBot="1" x14ac:dyDescent="0.25">
      <c r="A323" s="671">
        <v>534300</v>
      </c>
      <c r="B323" s="701" t="s">
        <v>1621</v>
      </c>
      <c r="C323" s="702" t="s">
        <v>206</v>
      </c>
      <c r="D323" s="463" t="s">
        <v>1913</v>
      </c>
      <c r="E323" s="464"/>
      <c r="F323" s="465" t="s">
        <v>663</v>
      </c>
      <c r="G323" s="466">
        <v>0.11</v>
      </c>
      <c r="H323" s="681">
        <f>SUM(H324:H327)</f>
        <v>64.942459999999997</v>
      </c>
      <c r="I323" s="467">
        <v>136.76</v>
      </c>
      <c r="J323" s="467">
        <f>IF(ISBLANK(I323),"",SUM(H323:I323))</f>
        <v>201.70245999999997</v>
      </c>
      <c r="K323" s="682">
        <f t="shared" si="94"/>
        <v>239.64</v>
      </c>
      <c r="L323" s="683" t="s">
        <v>16</v>
      </c>
      <c r="M323" s="685"/>
      <c r="N323" s="576">
        <f t="shared" si="76"/>
        <v>0</v>
      </c>
      <c r="O323" s="687">
        <f t="shared" ref="O323:O334" si="96">IF(ISBLANK(M323),0,ROUND(K323*M323,2))</f>
        <v>0</v>
      </c>
      <c r="P323" s="688">
        <f t="shared" ref="P323:P334" si="97">IF(ISBLANK(N323),0,ROUND(M323*N323,2))</f>
        <v>0</v>
      </c>
      <c r="Q323" s="765"/>
      <c r="R323" s="685">
        <f>M323</f>
        <v>0</v>
      </c>
      <c r="S323" s="686">
        <f>N323</f>
        <v>0</v>
      </c>
      <c r="T323" s="687">
        <f t="shared" si="84"/>
        <v>0</v>
      </c>
      <c r="U323" s="688">
        <f t="shared" si="85"/>
        <v>0</v>
      </c>
      <c r="V323" s="579"/>
      <c r="W323" s="566"/>
      <c r="X323" s="586" t="str">
        <f t="shared" si="86"/>
        <v/>
      </c>
      <c r="Y323" s="586" t="str">
        <f t="shared" si="74"/>
        <v/>
      </c>
      <c r="Z323" s="586" t="str">
        <f t="shared" si="80"/>
        <v/>
      </c>
    </row>
    <row r="324" spans="1:26" ht="12" hidden="1" thickBot="1" x14ac:dyDescent="0.25">
      <c r="A324" s="671" t="s">
        <v>168</v>
      </c>
      <c r="B324" s="644" t="s">
        <v>168</v>
      </c>
      <c r="C324" s="645"/>
      <c r="D324" s="451" t="s">
        <v>248</v>
      </c>
      <c r="E324" s="423"/>
      <c r="F324" s="424">
        <v>180</v>
      </c>
      <c r="G324" s="425"/>
      <c r="H324" s="663">
        <f t="shared" ref="H324:H326" si="98">IF(F324&lt;=30,(1.07*F324+2.68)*G324,((1.07*30+2.68)+1.07*(F324-30))*G324)</f>
        <v>0</v>
      </c>
      <c r="I324" s="420">
        <v>0</v>
      </c>
      <c r="J324" s="420">
        <f>IF(ISBLANK(I324),"",SUM(H324:I324))</f>
        <v>0</v>
      </c>
      <c r="K324" s="421">
        <f t="shared" si="94"/>
        <v>0</v>
      </c>
      <c r="L324" s="647" t="s">
        <v>614</v>
      </c>
      <c r="M324" s="703"/>
      <c r="N324" s="576">
        <f t="shared" si="76"/>
        <v>0</v>
      </c>
      <c r="O324" s="577">
        <f t="shared" si="96"/>
        <v>0</v>
      </c>
      <c r="P324" s="578">
        <f t="shared" si="97"/>
        <v>0</v>
      </c>
      <c r="Q324" s="765"/>
      <c r="R324" s="703"/>
      <c r="S324" s="670"/>
      <c r="T324" s="577">
        <f t="shared" si="84"/>
        <v>0</v>
      </c>
      <c r="U324" s="578">
        <f t="shared" si="85"/>
        <v>0</v>
      </c>
      <c r="V324" s="579"/>
      <c r="W324" s="637" t="str">
        <f>IF(U323&gt;0,"xx",IF(P323&gt;0,"xy",""))</f>
        <v/>
      </c>
      <c r="X324" s="586" t="str">
        <f t="shared" si="86"/>
        <v/>
      </c>
      <c r="Y324" s="586" t="str">
        <f t="shared" si="74"/>
        <v/>
      </c>
      <c r="Z324" s="586" t="str">
        <f t="shared" si="80"/>
        <v/>
      </c>
    </row>
    <row r="325" spans="1:26" ht="12" hidden="1" thickBot="1" x14ac:dyDescent="0.25">
      <c r="A325" s="671" t="s">
        <v>168</v>
      </c>
      <c r="B325" s="644" t="s">
        <v>168</v>
      </c>
      <c r="C325" s="645"/>
      <c r="D325" s="451" t="s">
        <v>249</v>
      </c>
      <c r="E325" s="423"/>
      <c r="F325" s="424">
        <v>500</v>
      </c>
      <c r="G325" s="425"/>
      <c r="H325" s="649">
        <f>IF(F325&lt;=30,(0.78*F325+7.82)*G325,((0.78*30+7.82)+0.78*(F325-30))*G325)</f>
        <v>0</v>
      </c>
      <c r="I325" s="420">
        <v>0</v>
      </c>
      <c r="J325" s="420">
        <f>IF(ISBLANK(I325),"",SUM(H325:I325))</f>
        <v>0</v>
      </c>
      <c r="K325" s="421">
        <f t="shared" si="94"/>
        <v>0</v>
      </c>
      <c r="L325" s="647" t="s">
        <v>614</v>
      </c>
      <c r="M325" s="703"/>
      <c r="N325" s="576">
        <f t="shared" si="76"/>
        <v>0</v>
      </c>
      <c r="O325" s="577">
        <f t="shared" si="96"/>
        <v>0</v>
      </c>
      <c r="P325" s="578">
        <f t="shared" si="97"/>
        <v>0</v>
      </c>
      <c r="Q325" s="765"/>
      <c r="R325" s="703"/>
      <c r="S325" s="670"/>
      <c r="T325" s="577">
        <f t="shared" si="84"/>
        <v>0</v>
      </c>
      <c r="U325" s="578">
        <f t="shared" si="85"/>
        <v>0</v>
      </c>
      <c r="V325" s="579"/>
      <c r="W325" s="637" t="str">
        <f>IF(U323&gt;0,"xx",IF(P323&gt;0,"xy",""))</f>
        <v/>
      </c>
      <c r="X325" s="586" t="str">
        <f t="shared" si="86"/>
        <v/>
      </c>
      <c r="Y325" s="586" t="str">
        <f t="shared" si="74"/>
        <v/>
      </c>
      <c r="Z325" s="586" t="str">
        <f t="shared" si="80"/>
        <v/>
      </c>
    </row>
    <row r="326" spans="1:26" ht="12" hidden="1" thickBot="1" x14ac:dyDescent="0.25">
      <c r="A326" s="671" t="s">
        <v>168</v>
      </c>
      <c r="B326" s="644" t="s">
        <v>168</v>
      </c>
      <c r="C326" s="645"/>
      <c r="D326" s="451" t="s">
        <v>262</v>
      </c>
      <c r="E326" s="423"/>
      <c r="F326" s="424">
        <v>0.2</v>
      </c>
      <c r="G326" s="425">
        <v>2.09</v>
      </c>
      <c r="H326" s="663">
        <f t="shared" si="98"/>
        <v>6.0484599999999995</v>
      </c>
      <c r="I326" s="420">
        <v>0</v>
      </c>
      <c r="J326" s="420"/>
      <c r="K326" s="421">
        <f t="shared" si="94"/>
        <v>0</v>
      </c>
      <c r="L326" s="647" t="s">
        <v>614</v>
      </c>
      <c r="M326" s="703"/>
      <c r="N326" s="576">
        <f t="shared" si="76"/>
        <v>0</v>
      </c>
      <c r="O326" s="577">
        <f t="shared" si="96"/>
        <v>0</v>
      </c>
      <c r="P326" s="578">
        <f t="shared" si="97"/>
        <v>0</v>
      </c>
      <c r="Q326" s="765"/>
      <c r="R326" s="703"/>
      <c r="S326" s="670"/>
      <c r="T326" s="577">
        <f t="shared" si="84"/>
        <v>0</v>
      </c>
      <c r="U326" s="578">
        <f t="shared" si="85"/>
        <v>0</v>
      </c>
      <c r="V326" s="579"/>
      <c r="W326" s="637" t="str">
        <f>IF(U323&gt;0,"xx",IF(P323&gt;0,"xy",""))</f>
        <v/>
      </c>
      <c r="X326" s="586" t="str">
        <f t="shared" si="86"/>
        <v/>
      </c>
      <c r="Y326" s="586" t="str">
        <f t="shared" si="74"/>
        <v/>
      </c>
      <c r="Z326" s="586" t="str">
        <f t="shared" si="80"/>
        <v/>
      </c>
    </row>
    <row r="327" spans="1:26" ht="12" hidden="1" thickBot="1" x14ac:dyDescent="0.25">
      <c r="A327" s="671" t="s">
        <v>168</v>
      </c>
      <c r="B327" s="644" t="s">
        <v>168</v>
      </c>
      <c r="C327" s="645"/>
      <c r="D327" s="451" t="s">
        <v>263</v>
      </c>
      <c r="E327" s="423"/>
      <c r="F327" s="424">
        <v>20</v>
      </c>
      <c r="G327" s="425">
        <f>SUM(G323:G326)</f>
        <v>2.1999999999999997</v>
      </c>
      <c r="H327" s="651">
        <f>IF(F327&lt;=30,(1.07*F327+5.37)*G327,((1.07*30+5.37)+1.07*(F327-30))*G327)</f>
        <v>58.893999999999998</v>
      </c>
      <c r="I327" s="420">
        <v>0</v>
      </c>
      <c r="J327" s="420"/>
      <c r="K327" s="421">
        <f>IF(ISBLANK(I327),0,ROUND(J327*(1+$F$10)*(1+$F$11*E327),2))</f>
        <v>0</v>
      </c>
      <c r="L327" s="647" t="s">
        <v>614</v>
      </c>
      <c r="M327" s="703"/>
      <c r="N327" s="576">
        <f t="shared" si="76"/>
        <v>0</v>
      </c>
      <c r="O327" s="577">
        <f t="shared" si="96"/>
        <v>0</v>
      </c>
      <c r="P327" s="578">
        <f t="shared" si="97"/>
        <v>0</v>
      </c>
      <c r="Q327" s="765"/>
      <c r="R327" s="703"/>
      <c r="S327" s="670"/>
      <c r="T327" s="577">
        <f t="shared" si="84"/>
        <v>0</v>
      </c>
      <c r="U327" s="578">
        <f t="shared" si="85"/>
        <v>0</v>
      </c>
      <c r="V327" s="579"/>
      <c r="W327" s="637" t="str">
        <f>IF(U323&gt;0,"xx",IF(P323&gt;0,"xy",""))</f>
        <v/>
      </c>
      <c r="X327" s="586" t="str">
        <f t="shared" si="86"/>
        <v/>
      </c>
      <c r="Y327" s="586" t="str">
        <f t="shared" si="74"/>
        <v/>
      </c>
      <c r="Z327" s="586" t="str">
        <f t="shared" si="80"/>
        <v/>
      </c>
    </row>
    <row r="328" spans="1:26" ht="12" hidden="1" thickBot="1" x14ac:dyDescent="0.25">
      <c r="A328" s="671">
        <v>589320</v>
      </c>
      <c r="B328" s="704" t="s">
        <v>1772</v>
      </c>
      <c r="C328" s="689" t="s">
        <v>1746</v>
      </c>
      <c r="D328" s="477" t="s">
        <v>812</v>
      </c>
      <c r="E328" s="470"/>
      <c r="F328" s="478">
        <v>500</v>
      </c>
      <c r="G328" s="479">
        <v>1</v>
      </c>
      <c r="H328" s="663">
        <f>(0.84*F328+41.45)*G328</f>
        <v>461.45</v>
      </c>
      <c r="I328" s="472">
        <v>4680</v>
      </c>
      <c r="J328" s="472">
        <f>IF(ISBLANK(I328),"",I328*(1+$F$9)/(1+$F$10))+H328</f>
        <v>5002.4010983923918</v>
      </c>
      <c r="K328" s="690">
        <f>IF(ISBLANK(I328),0,ROUND(J328*(1+$F$10)*(1+$F$11*E328),2))</f>
        <v>5943.35</v>
      </c>
      <c r="L328" s="691" t="s">
        <v>20</v>
      </c>
      <c r="M328" s="692">
        <f>ROUND(M323*G323,2)</f>
        <v>0</v>
      </c>
      <c r="N328" s="588">
        <f t="shared" si="76"/>
        <v>0</v>
      </c>
      <c r="O328" s="693">
        <f t="shared" si="96"/>
        <v>0</v>
      </c>
      <c r="P328" s="694">
        <f t="shared" si="97"/>
        <v>0</v>
      </c>
      <c r="Q328" s="765"/>
      <c r="R328" s="695">
        <f>ROUND(R323*G323,2)</f>
        <v>0</v>
      </c>
      <c r="S328" s="711">
        <f>N328</f>
        <v>0</v>
      </c>
      <c r="T328" s="693">
        <f t="shared" si="84"/>
        <v>0</v>
      </c>
      <c r="U328" s="694">
        <f t="shared" si="85"/>
        <v>0</v>
      </c>
      <c r="V328" s="579"/>
      <c r="W328" s="637" t="str">
        <f>IF(U323&gt;0,"xx",IF(P323&gt;0,"xy",""))</f>
        <v/>
      </c>
      <c r="X328" s="586" t="str">
        <f t="shared" si="86"/>
        <v/>
      </c>
      <c r="Y328" s="586" t="str">
        <f t="shared" si="74"/>
        <v/>
      </c>
      <c r="Z328" s="586" t="str">
        <f t="shared" si="80"/>
        <v/>
      </c>
    </row>
    <row r="329" spans="1:26" ht="12" hidden="1" thickBot="1" x14ac:dyDescent="0.25">
      <c r="A329" s="671">
        <v>534300</v>
      </c>
      <c r="B329" s="701" t="s">
        <v>1622</v>
      </c>
      <c r="C329" s="702" t="s">
        <v>206</v>
      </c>
      <c r="D329" s="463" t="s">
        <v>1920</v>
      </c>
      <c r="E329" s="464"/>
      <c r="F329" s="465" t="s">
        <v>663</v>
      </c>
      <c r="G329" s="466">
        <v>0.11</v>
      </c>
      <c r="H329" s="681">
        <f>SUM(H330:H333)</f>
        <v>64.942459999999997</v>
      </c>
      <c r="I329" s="467">
        <v>136.76</v>
      </c>
      <c r="J329" s="467">
        <f>IF(ISBLANK(I329),"",SUM(H329:I329))</f>
        <v>201.70245999999997</v>
      </c>
      <c r="K329" s="682">
        <f t="shared" ref="K329:K334" si="99">IF(ISBLANK(I329),0,ROUND(J329*(1+$F$10)*(1+$F$11*E329),2))</f>
        <v>239.64</v>
      </c>
      <c r="L329" s="683" t="s">
        <v>16</v>
      </c>
      <c r="M329" s="685"/>
      <c r="N329" s="686">
        <f t="shared" si="76"/>
        <v>0</v>
      </c>
      <c r="O329" s="687">
        <f t="shared" si="96"/>
        <v>0</v>
      </c>
      <c r="P329" s="688">
        <f t="shared" si="97"/>
        <v>0</v>
      </c>
      <c r="Q329" s="765"/>
      <c r="R329" s="685">
        <f>M329</f>
        <v>0</v>
      </c>
      <c r="S329" s="686">
        <f>N329</f>
        <v>0</v>
      </c>
      <c r="T329" s="687">
        <f t="shared" si="84"/>
        <v>0</v>
      </c>
      <c r="U329" s="688">
        <f t="shared" si="85"/>
        <v>0</v>
      </c>
      <c r="V329" s="579"/>
      <c r="W329" s="566"/>
      <c r="X329" s="586" t="str">
        <f t="shared" si="86"/>
        <v/>
      </c>
      <c r="Y329" s="586" t="str">
        <f t="shared" si="74"/>
        <v/>
      </c>
      <c r="Z329" s="586" t="str">
        <f t="shared" si="80"/>
        <v/>
      </c>
    </row>
    <row r="330" spans="1:26" ht="12" hidden="1" thickBot="1" x14ac:dyDescent="0.25">
      <c r="A330" s="671" t="s">
        <v>168</v>
      </c>
      <c r="B330" s="644" t="s">
        <v>168</v>
      </c>
      <c r="C330" s="645"/>
      <c r="D330" s="451" t="s">
        <v>248</v>
      </c>
      <c r="E330" s="423"/>
      <c r="F330" s="424">
        <v>180</v>
      </c>
      <c r="G330" s="425"/>
      <c r="H330" s="663">
        <f t="shared" ref="H330:H332" si="100">IF(F330&lt;=30,(1.07*F330+2.68)*G330,((1.07*30+2.68)+1.07*(F330-30))*G330)</f>
        <v>0</v>
      </c>
      <c r="I330" s="420">
        <v>0</v>
      </c>
      <c r="J330" s="420"/>
      <c r="K330" s="421">
        <f t="shared" si="99"/>
        <v>0</v>
      </c>
      <c r="L330" s="647" t="s">
        <v>614</v>
      </c>
      <c r="M330" s="703"/>
      <c r="N330" s="576">
        <f t="shared" si="76"/>
        <v>0</v>
      </c>
      <c r="O330" s="577">
        <f t="shared" si="96"/>
        <v>0</v>
      </c>
      <c r="P330" s="578">
        <f t="shared" si="97"/>
        <v>0</v>
      </c>
      <c r="Q330" s="765"/>
      <c r="R330" s="703"/>
      <c r="S330" s="670"/>
      <c r="T330" s="577">
        <f t="shared" si="84"/>
        <v>0</v>
      </c>
      <c r="U330" s="578">
        <f t="shared" si="85"/>
        <v>0</v>
      </c>
      <c r="V330" s="579"/>
      <c r="W330" s="637" t="str">
        <f>IF(U329&gt;0,"xx",IF(P329&gt;0,"xy",""))</f>
        <v/>
      </c>
      <c r="X330" s="586" t="str">
        <f t="shared" si="86"/>
        <v/>
      </c>
      <c r="Y330" s="586" t="str">
        <f t="shared" si="74"/>
        <v/>
      </c>
      <c r="Z330" s="586" t="str">
        <f t="shared" si="80"/>
        <v/>
      </c>
    </row>
    <row r="331" spans="1:26" ht="12" hidden="1" thickBot="1" x14ac:dyDescent="0.25">
      <c r="A331" s="671" t="s">
        <v>168</v>
      </c>
      <c r="B331" s="644" t="s">
        <v>168</v>
      </c>
      <c r="C331" s="645"/>
      <c r="D331" s="451" t="s">
        <v>249</v>
      </c>
      <c r="E331" s="423"/>
      <c r="F331" s="424">
        <v>500</v>
      </c>
      <c r="G331" s="425"/>
      <c r="H331" s="649">
        <f>IF(F331&lt;=30,(0.78*F331+7.82)*G331,((0.78*30+7.82)+0.78*(F331-30))*G331)</f>
        <v>0</v>
      </c>
      <c r="I331" s="420">
        <v>0</v>
      </c>
      <c r="J331" s="420">
        <f>IF(ISBLANK(I331),"",SUM(H331:I331))</f>
        <v>0</v>
      </c>
      <c r="K331" s="421">
        <f t="shared" si="99"/>
        <v>0</v>
      </c>
      <c r="L331" s="647" t="s">
        <v>614</v>
      </c>
      <c r="M331" s="703"/>
      <c r="N331" s="576">
        <f t="shared" si="76"/>
        <v>0</v>
      </c>
      <c r="O331" s="577">
        <f t="shared" si="96"/>
        <v>0</v>
      </c>
      <c r="P331" s="578">
        <f t="shared" si="97"/>
        <v>0</v>
      </c>
      <c r="Q331" s="765"/>
      <c r="R331" s="703"/>
      <c r="S331" s="670"/>
      <c r="T331" s="577">
        <f t="shared" si="84"/>
        <v>0</v>
      </c>
      <c r="U331" s="578">
        <f t="shared" si="85"/>
        <v>0</v>
      </c>
      <c r="V331" s="579"/>
      <c r="W331" s="637" t="str">
        <f>IF(U329&gt;0,"xx",IF(P329&gt;0,"xy",""))</f>
        <v/>
      </c>
      <c r="X331" s="586" t="str">
        <f t="shared" si="86"/>
        <v/>
      </c>
      <c r="Y331" s="586" t="str">
        <f t="shared" si="74"/>
        <v/>
      </c>
      <c r="Z331" s="586" t="str">
        <f t="shared" si="80"/>
        <v/>
      </c>
    </row>
    <row r="332" spans="1:26" ht="12" hidden="1" thickBot="1" x14ac:dyDescent="0.25">
      <c r="A332" s="671" t="s">
        <v>168</v>
      </c>
      <c r="B332" s="644" t="s">
        <v>168</v>
      </c>
      <c r="C332" s="645"/>
      <c r="D332" s="451" t="s">
        <v>262</v>
      </c>
      <c r="E332" s="423"/>
      <c r="F332" s="424">
        <v>0.2</v>
      </c>
      <c r="G332" s="425">
        <v>2.09</v>
      </c>
      <c r="H332" s="663">
        <f t="shared" si="100"/>
        <v>6.0484599999999995</v>
      </c>
      <c r="I332" s="420">
        <v>0</v>
      </c>
      <c r="J332" s="420"/>
      <c r="K332" s="421">
        <f t="shared" si="99"/>
        <v>0</v>
      </c>
      <c r="L332" s="647" t="s">
        <v>614</v>
      </c>
      <c r="M332" s="703"/>
      <c r="N332" s="576">
        <f t="shared" si="76"/>
        <v>0</v>
      </c>
      <c r="O332" s="577">
        <f t="shared" si="96"/>
        <v>0</v>
      </c>
      <c r="P332" s="578">
        <f t="shared" si="97"/>
        <v>0</v>
      </c>
      <c r="Q332" s="765"/>
      <c r="R332" s="703"/>
      <c r="S332" s="670"/>
      <c r="T332" s="577">
        <f t="shared" si="84"/>
        <v>0</v>
      </c>
      <c r="U332" s="578">
        <f t="shared" si="85"/>
        <v>0</v>
      </c>
      <c r="V332" s="579"/>
      <c r="W332" s="637" t="str">
        <f>IF(U329&gt;0,"xx",IF(P329&gt;0,"xy",""))</f>
        <v/>
      </c>
      <c r="X332" s="586" t="str">
        <f t="shared" si="86"/>
        <v/>
      </c>
      <c r="Y332" s="586" t="str">
        <f t="shared" si="74"/>
        <v/>
      </c>
      <c r="Z332" s="586" t="str">
        <f t="shared" si="80"/>
        <v/>
      </c>
    </row>
    <row r="333" spans="1:26" ht="12" hidden="1" thickBot="1" x14ac:dyDescent="0.25">
      <c r="A333" s="671" t="s">
        <v>168</v>
      </c>
      <c r="B333" s="644" t="s">
        <v>168</v>
      </c>
      <c r="C333" s="645"/>
      <c r="D333" s="451" t="s">
        <v>263</v>
      </c>
      <c r="E333" s="423"/>
      <c r="F333" s="424">
        <v>20</v>
      </c>
      <c r="G333" s="425">
        <f>SUM(G329:G332)</f>
        <v>2.1999999999999997</v>
      </c>
      <c r="H333" s="651">
        <f>IF(F333&lt;=30,(1.07*F333+5.37)*G333,((1.07*30+5.37)+1.07*(F333-30))*G333)</f>
        <v>58.893999999999998</v>
      </c>
      <c r="I333" s="420">
        <v>0</v>
      </c>
      <c r="J333" s="420"/>
      <c r="K333" s="421">
        <f t="shared" si="99"/>
        <v>0</v>
      </c>
      <c r="L333" s="647" t="s">
        <v>614</v>
      </c>
      <c r="M333" s="703"/>
      <c r="N333" s="576">
        <f t="shared" si="76"/>
        <v>0</v>
      </c>
      <c r="O333" s="577">
        <f t="shared" si="96"/>
        <v>0</v>
      </c>
      <c r="P333" s="578">
        <f t="shared" si="97"/>
        <v>0</v>
      </c>
      <c r="Q333" s="765"/>
      <c r="R333" s="703"/>
      <c r="S333" s="670"/>
      <c r="T333" s="577">
        <f t="shared" si="84"/>
        <v>0</v>
      </c>
      <c r="U333" s="578">
        <f t="shared" si="85"/>
        <v>0</v>
      </c>
      <c r="V333" s="579"/>
      <c r="W333" s="637" t="str">
        <f>IF(U329&gt;0,"xx",IF(P329&gt;0,"xy",""))</f>
        <v/>
      </c>
      <c r="X333" s="586" t="str">
        <f t="shared" si="86"/>
        <v/>
      </c>
      <c r="Y333" s="586" t="str">
        <f t="shared" si="74"/>
        <v/>
      </c>
      <c r="Z333" s="586" t="str">
        <f t="shared" si="80"/>
        <v/>
      </c>
    </row>
    <row r="334" spans="1:26" ht="12" hidden="1" thickBot="1" x14ac:dyDescent="0.25">
      <c r="A334" s="671">
        <v>589320</v>
      </c>
      <c r="B334" s="704" t="s">
        <v>1773</v>
      </c>
      <c r="C334" s="689" t="s">
        <v>1746</v>
      </c>
      <c r="D334" s="477" t="s">
        <v>813</v>
      </c>
      <c r="E334" s="470"/>
      <c r="F334" s="478">
        <v>500</v>
      </c>
      <c r="G334" s="479">
        <v>1</v>
      </c>
      <c r="H334" s="663">
        <f>(0.84*F334+41.45)*G334</f>
        <v>461.45</v>
      </c>
      <c r="I334" s="472">
        <v>4680</v>
      </c>
      <c r="J334" s="472">
        <f>IF(ISBLANK(I334),"",I334*(1+$F$9)/(1+$F$10))+H334</f>
        <v>5002.4010983923918</v>
      </c>
      <c r="K334" s="690">
        <f t="shared" si="99"/>
        <v>5943.35</v>
      </c>
      <c r="L334" s="691" t="s">
        <v>20</v>
      </c>
      <c r="M334" s="692">
        <f>ROUND(M329*G329,2)</f>
        <v>0</v>
      </c>
      <c r="N334" s="696">
        <f t="shared" si="76"/>
        <v>0</v>
      </c>
      <c r="O334" s="693">
        <f t="shared" si="96"/>
        <v>0</v>
      </c>
      <c r="P334" s="694">
        <f t="shared" si="97"/>
        <v>0</v>
      </c>
      <c r="Q334" s="765"/>
      <c r="R334" s="695">
        <f>ROUND(R329*G329,2)</f>
        <v>0</v>
      </c>
      <c r="S334" s="711">
        <f>N334</f>
        <v>0</v>
      </c>
      <c r="T334" s="693">
        <f t="shared" si="84"/>
        <v>0</v>
      </c>
      <c r="U334" s="694">
        <f t="shared" si="85"/>
        <v>0</v>
      </c>
      <c r="V334" s="579"/>
      <c r="W334" s="637" t="str">
        <f>IF(U329&gt;0,"xx",IF(P329&gt;0,"xy",""))</f>
        <v/>
      </c>
      <c r="X334" s="586" t="str">
        <f t="shared" si="86"/>
        <v/>
      </c>
      <c r="Y334" s="586" t="str">
        <f t="shared" si="74"/>
        <v/>
      </c>
      <c r="Z334" s="586" t="str">
        <f t="shared" si="80"/>
        <v/>
      </c>
    </row>
    <row r="335" spans="1:26" ht="12" hidden="1" thickBot="1" x14ac:dyDescent="0.25">
      <c r="A335" s="671">
        <v>534300</v>
      </c>
      <c r="B335" s="701" t="s">
        <v>1623</v>
      </c>
      <c r="C335" s="702" t="s">
        <v>206</v>
      </c>
      <c r="D335" s="463" t="s">
        <v>1919</v>
      </c>
      <c r="E335" s="464"/>
      <c r="F335" s="465" t="s">
        <v>663</v>
      </c>
      <c r="G335" s="466">
        <v>0.14000000000000001</v>
      </c>
      <c r="H335" s="681">
        <f>SUM(H336:H339)</f>
        <v>119.76626000000002</v>
      </c>
      <c r="I335" s="467">
        <v>136.76</v>
      </c>
      <c r="J335" s="467">
        <f>IF(ISBLANK(I335),"",SUM(H335:I335))</f>
        <v>256.52625999999998</v>
      </c>
      <c r="K335" s="682">
        <f t="shared" si="94"/>
        <v>304.77999999999997</v>
      </c>
      <c r="L335" s="683" t="s">
        <v>16</v>
      </c>
      <c r="M335" s="685"/>
      <c r="N335" s="576">
        <f t="shared" si="76"/>
        <v>0</v>
      </c>
      <c r="O335" s="687">
        <f t="shared" si="82"/>
        <v>0</v>
      </c>
      <c r="P335" s="688">
        <f t="shared" si="83"/>
        <v>0</v>
      </c>
      <c r="Q335" s="765"/>
      <c r="R335" s="685">
        <f>M335</f>
        <v>0</v>
      </c>
      <c r="S335" s="686">
        <f>N335</f>
        <v>0</v>
      </c>
      <c r="T335" s="687">
        <f t="shared" si="84"/>
        <v>0</v>
      </c>
      <c r="U335" s="688">
        <f t="shared" si="85"/>
        <v>0</v>
      </c>
      <c r="V335" s="579"/>
      <c r="W335" s="566"/>
      <c r="X335" s="586" t="str">
        <f t="shared" si="86"/>
        <v/>
      </c>
      <c r="Y335" s="586" t="str">
        <f t="shared" si="74"/>
        <v/>
      </c>
      <c r="Z335" s="586" t="str">
        <f t="shared" si="80"/>
        <v/>
      </c>
    </row>
    <row r="336" spans="1:26" ht="12" hidden="1" thickBot="1" x14ac:dyDescent="0.25">
      <c r="A336" s="671" t="s">
        <v>168</v>
      </c>
      <c r="B336" s="644" t="s">
        <v>168</v>
      </c>
      <c r="C336" s="645"/>
      <c r="D336" s="451" t="s">
        <v>248</v>
      </c>
      <c r="E336" s="423"/>
      <c r="F336" s="424">
        <v>180</v>
      </c>
      <c r="G336" s="425">
        <v>0.27</v>
      </c>
      <c r="H336" s="663">
        <f t="shared" ref="H336:H338" si="101">IF(F336&lt;=30,(1.07*F336+2.68)*G336,((1.07*30+2.68)+1.07*(F336-30))*G336)</f>
        <v>52.725600000000007</v>
      </c>
      <c r="I336" s="420">
        <v>0</v>
      </c>
      <c r="J336" s="420"/>
      <c r="K336" s="421">
        <f t="shared" si="94"/>
        <v>0</v>
      </c>
      <c r="L336" s="647" t="s">
        <v>614</v>
      </c>
      <c r="M336" s="703"/>
      <c r="N336" s="576">
        <f t="shared" si="76"/>
        <v>0</v>
      </c>
      <c r="O336" s="577">
        <f t="shared" si="82"/>
        <v>0</v>
      </c>
      <c r="P336" s="578">
        <f t="shared" si="83"/>
        <v>0</v>
      </c>
      <c r="Q336" s="765"/>
      <c r="R336" s="703"/>
      <c r="S336" s="670"/>
      <c r="T336" s="577">
        <f t="shared" si="84"/>
        <v>0</v>
      </c>
      <c r="U336" s="578">
        <f t="shared" si="85"/>
        <v>0</v>
      </c>
      <c r="V336" s="579"/>
      <c r="W336" s="637" t="str">
        <f>IF(U335&gt;0,"xx",IF(P335&gt;0,"xy",""))</f>
        <v/>
      </c>
      <c r="X336" s="586" t="str">
        <f t="shared" si="86"/>
        <v/>
      </c>
      <c r="Y336" s="586" t="str">
        <f t="shared" si="74"/>
        <v/>
      </c>
      <c r="Z336" s="586" t="str">
        <f t="shared" si="80"/>
        <v/>
      </c>
    </row>
    <row r="337" spans="1:26" ht="12" hidden="1" thickBot="1" x14ac:dyDescent="0.25">
      <c r="A337" s="671" t="s">
        <v>168</v>
      </c>
      <c r="B337" s="644" t="s">
        <v>168</v>
      </c>
      <c r="C337" s="645"/>
      <c r="D337" s="451" t="s">
        <v>249</v>
      </c>
      <c r="E337" s="423"/>
      <c r="F337" s="424">
        <v>500</v>
      </c>
      <c r="G337" s="425"/>
      <c r="H337" s="649">
        <f>IF(F337&lt;=30,(0.78*F337+7.82)*G337,((0.78*30+7.82)+0.78*(F337-30))*G337)</f>
        <v>0</v>
      </c>
      <c r="I337" s="420">
        <v>0</v>
      </c>
      <c r="J337" s="420">
        <f>IF(ISBLANK(I337),"",SUM(H337:I337))</f>
        <v>0</v>
      </c>
      <c r="K337" s="421">
        <f t="shared" si="94"/>
        <v>0</v>
      </c>
      <c r="L337" s="647" t="s">
        <v>614</v>
      </c>
      <c r="M337" s="703"/>
      <c r="N337" s="576">
        <f t="shared" si="76"/>
        <v>0</v>
      </c>
      <c r="O337" s="577">
        <f t="shared" si="82"/>
        <v>0</v>
      </c>
      <c r="P337" s="578">
        <f t="shared" si="83"/>
        <v>0</v>
      </c>
      <c r="Q337" s="765"/>
      <c r="R337" s="703"/>
      <c r="S337" s="670"/>
      <c r="T337" s="577">
        <f t="shared" si="84"/>
        <v>0</v>
      </c>
      <c r="U337" s="578">
        <f t="shared" si="85"/>
        <v>0</v>
      </c>
      <c r="V337" s="579"/>
      <c r="W337" s="637" t="str">
        <f>IF(U335&gt;0,"xx",IF(P335&gt;0,"xy",""))</f>
        <v/>
      </c>
      <c r="X337" s="586" t="str">
        <f t="shared" si="86"/>
        <v/>
      </c>
      <c r="Y337" s="586" t="str">
        <f t="shared" si="74"/>
        <v/>
      </c>
      <c r="Z337" s="586" t="str">
        <f t="shared" si="80"/>
        <v/>
      </c>
    </row>
    <row r="338" spans="1:26" ht="12" hidden="1" thickBot="1" x14ac:dyDescent="0.25">
      <c r="A338" s="671" t="s">
        <v>168</v>
      </c>
      <c r="B338" s="644" t="s">
        <v>168</v>
      </c>
      <c r="C338" s="645"/>
      <c r="D338" s="451" t="s">
        <v>262</v>
      </c>
      <c r="E338" s="423"/>
      <c r="F338" s="424">
        <v>0.2</v>
      </c>
      <c r="G338" s="425">
        <v>1.89</v>
      </c>
      <c r="H338" s="663">
        <f t="shared" si="101"/>
        <v>5.4696600000000002</v>
      </c>
      <c r="I338" s="420">
        <v>0</v>
      </c>
      <c r="J338" s="420"/>
      <c r="K338" s="421">
        <f t="shared" si="94"/>
        <v>0</v>
      </c>
      <c r="L338" s="647" t="s">
        <v>614</v>
      </c>
      <c r="M338" s="703"/>
      <c r="N338" s="576">
        <f t="shared" si="76"/>
        <v>0</v>
      </c>
      <c r="O338" s="577">
        <f t="shared" si="82"/>
        <v>0</v>
      </c>
      <c r="P338" s="578">
        <f t="shared" si="83"/>
        <v>0</v>
      </c>
      <c r="Q338" s="765"/>
      <c r="R338" s="703"/>
      <c r="S338" s="670"/>
      <c r="T338" s="577">
        <f t="shared" si="84"/>
        <v>0</v>
      </c>
      <c r="U338" s="578">
        <f t="shared" si="85"/>
        <v>0</v>
      </c>
      <c r="V338" s="579"/>
      <c r="W338" s="637" t="str">
        <f>IF(U335&gt;0,"xx",IF(P335&gt;0,"xy",""))</f>
        <v/>
      </c>
      <c r="X338" s="586" t="str">
        <f t="shared" si="86"/>
        <v/>
      </c>
      <c r="Y338" s="586" t="str">
        <f t="shared" si="74"/>
        <v/>
      </c>
      <c r="Z338" s="586" t="str">
        <f t="shared" si="80"/>
        <v/>
      </c>
    </row>
    <row r="339" spans="1:26" ht="12" hidden="1" thickBot="1" x14ac:dyDescent="0.25">
      <c r="A339" s="671" t="s">
        <v>168</v>
      </c>
      <c r="B339" s="644" t="s">
        <v>168</v>
      </c>
      <c r="C339" s="645"/>
      <c r="D339" s="451" t="s">
        <v>263</v>
      </c>
      <c r="E339" s="423"/>
      <c r="F339" s="424">
        <v>20</v>
      </c>
      <c r="G339" s="425">
        <f>SUM(G335:G338)</f>
        <v>2.2999999999999998</v>
      </c>
      <c r="H339" s="651">
        <f>IF(F339&lt;=30,(1.07*F339+5.37)*G339,((1.07*30+5.37)+1.07*(F339-30))*G339)</f>
        <v>61.571000000000005</v>
      </c>
      <c r="I339" s="420">
        <v>0</v>
      </c>
      <c r="J339" s="420"/>
      <c r="K339" s="421">
        <f t="shared" si="94"/>
        <v>0</v>
      </c>
      <c r="L339" s="647" t="s">
        <v>614</v>
      </c>
      <c r="M339" s="703"/>
      <c r="N339" s="576">
        <f t="shared" si="76"/>
        <v>0</v>
      </c>
      <c r="O339" s="577">
        <f t="shared" si="82"/>
        <v>0</v>
      </c>
      <c r="P339" s="578">
        <f t="shared" si="83"/>
        <v>0</v>
      </c>
      <c r="Q339" s="765"/>
      <c r="R339" s="703"/>
      <c r="S339" s="670"/>
      <c r="T339" s="577">
        <f t="shared" si="84"/>
        <v>0</v>
      </c>
      <c r="U339" s="578">
        <f t="shared" si="85"/>
        <v>0</v>
      </c>
      <c r="V339" s="579"/>
      <c r="W339" s="637" t="str">
        <f>IF(U335&gt;0,"xx",IF(P335&gt;0,"xy",""))</f>
        <v/>
      </c>
      <c r="X339" s="586" t="str">
        <f t="shared" si="86"/>
        <v/>
      </c>
      <c r="Y339" s="586" t="str">
        <f t="shared" ref="Y339:Y402" si="102">IF(W339="X","x",IF(W339="y","x",IF(W339="xx","x",IF(U339&gt;0,"x",""))))</f>
        <v/>
      </c>
      <c r="Z339" s="586" t="str">
        <f t="shared" si="80"/>
        <v/>
      </c>
    </row>
    <row r="340" spans="1:26" ht="12" hidden="1" thickBot="1" x14ac:dyDescent="0.25">
      <c r="A340" s="671">
        <v>589320</v>
      </c>
      <c r="B340" s="704" t="s">
        <v>1774</v>
      </c>
      <c r="C340" s="689" t="s">
        <v>1746</v>
      </c>
      <c r="D340" s="477" t="s">
        <v>813</v>
      </c>
      <c r="E340" s="470"/>
      <c r="F340" s="478">
        <v>500</v>
      </c>
      <c r="G340" s="479">
        <v>1</v>
      </c>
      <c r="H340" s="663">
        <f>(0.84*F340+41.45)*G340</f>
        <v>461.45</v>
      </c>
      <c r="I340" s="472">
        <v>4680</v>
      </c>
      <c r="J340" s="472">
        <f>IF(ISBLANK(I340),"",I340*(1+$F$9)/(1+$F$10))+H340</f>
        <v>5002.4010983923918</v>
      </c>
      <c r="K340" s="690">
        <f t="shared" si="94"/>
        <v>5943.35</v>
      </c>
      <c r="L340" s="691" t="s">
        <v>20</v>
      </c>
      <c r="M340" s="692">
        <f>ROUND(M335*G335,2)</f>
        <v>0</v>
      </c>
      <c r="N340" s="588">
        <f t="shared" ref="N340:N403" si="103">IF(M340=0,0,K340)</f>
        <v>0</v>
      </c>
      <c r="O340" s="693">
        <f>IF(ISBLANK(M340),0,ROUND(K340*M340,2))</f>
        <v>0</v>
      </c>
      <c r="P340" s="694">
        <f>IF(ISBLANK(N340),0,ROUND(M340*N340,2))</f>
        <v>0</v>
      </c>
      <c r="Q340" s="765"/>
      <c r="R340" s="695">
        <f>ROUND(R335*G335,2)</f>
        <v>0</v>
      </c>
      <c r="S340" s="711">
        <f>N340</f>
        <v>0</v>
      </c>
      <c r="T340" s="693">
        <f t="shared" si="84"/>
        <v>0</v>
      </c>
      <c r="U340" s="694">
        <f t="shared" si="85"/>
        <v>0</v>
      </c>
      <c r="V340" s="579"/>
      <c r="W340" s="637" t="str">
        <f>IF(U335&gt;0,"xx",IF(P335&gt;0,"xy",""))</f>
        <v/>
      </c>
      <c r="X340" s="586" t="str">
        <f t="shared" si="86"/>
        <v/>
      </c>
      <c r="Y340" s="586" t="str">
        <f t="shared" si="102"/>
        <v/>
      </c>
      <c r="Z340" s="586" t="str">
        <f t="shared" si="80"/>
        <v/>
      </c>
    </row>
    <row r="341" spans="1:26" ht="12" hidden="1" thickBot="1" x14ac:dyDescent="0.25">
      <c r="A341" s="671">
        <v>534300</v>
      </c>
      <c r="B341" s="701" t="s">
        <v>1577</v>
      </c>
      <c r="C341" s="702" t="s">
        <v>206</v>
      </c>
      <c r="D341" s="463" t="s">
        <v>1920</v>
      </c>
      <c r="E341" s="464"/>
      <c r="F341" s="465" t="s">
        <v>663</v>
      </c>
      <c r="G341" s="466">
        <v>0.14000000000000001</v>
      </c>
      <c r="H341" s="681">
        <f>SUM(H342:H345)</f>
        <v>119.76626000000002</v>
      </c>
      <c r="I341" s="467">
        <v>136.76</v>
      </c>
      <c r="J341" s="467">
        <f>IF(ISBLANK(I341),"",SUM(H341:I341))</f>
        <v>256.52625999999998</v>
      </c>
      <c r="K341" s="682">
        <f t="shared" si="94"/>
        <v>304.77999999999997</v>
      </c>
      <c r="L341" s="683" t="s">
        <v>16</v>
      </c>
      <c r="M341" s="685"/>
      <c r="N341" s="686">
        <f t="shared" si="103"/>
        <v>0</v>
      </c>
      <c r="O341" s="687">
        <f t="shared" si="82"/>
        <v>0</v>
      </c>
      <c r="P341" s="688">
        <f t="shared" si="83"/>
        <v>0</v>
      </c>
      <c r="Q341" s="765"/>
      <c r="R341" s="685">
        <f>M341</f>
        <v>0</v>
      </c>
      <c r="S341" s="686">
        <f>N341</f>
        <v>0</v>
      </c>
      <c r="T341" s="687">
        <f t="shared" si="84"/>
        <v>0</v>
      </c>
      <c r="U341" s="688">
        <f t="shared" si="85"/>
        <v>0</v>
      </c>
      <c r="V341" s="579"/>
      <c r="W341" s="566"/>
      <c r="X341" s="586" t="str">
        <f t="shared" si="86"/>
        <v/>
      </c>
      <c r="Y341" s="586" t="str">
        <f t="shared" si="102"/>
        <v/>
      </c>
      <c r="Z341" s="586" t="str">
        <f t="shared" si="80"/>
        <v/>
      </c>
    </row>
    <row r="342" spans="1:26" ht="12" hidden="1" thickBot="1" x14ac:dyDescent="0.25">
      <c r="A342" s="671" t="s">
        <v>168</v>
      </c>
      <c r="B342" s="644" t="s">
        <v>168</v>
      </c>
      <c r="C342" s="645"/>
      <c r="D342" s="451" t="s">
        <v>248</v>
      </c>
      <c r="E342" s="423"/>
      <c r="F342" s="424">
        <v>180</v>
      </c>
      <c r="G342" s="425">
        <v>0.27</v>
      </c>
      <c r="H342" s="663">
        <f t="shared" ref="H342:H344" si="104">IF(F342&lt;=30,(1.07*F342+2.68)*G342,((1.07*30+2.68)+1.07*(F342-30))*G342)</f>
        <v>52.725600000000007</v>
      </c>
      <c r="I342" s="420">
        <v>0</v>
      </c>
      <c r="J342" s="420"/>
      <c r="K342" s="421">
        <f t="shared" si="94"/>
        <v>0</v>
      </c>
      <c r="L342" s="647" t="s">
        <v>614</v>
      </c>
      <c r="M342" s="703"/>
      <c r="N342" s="576">
        <f t="shared" si="103"/>
        <v>0</v>
      </c>
      <c r="O342" s="577">
        <f t="shared" si="82"/>
        <v>0</v>
      </c>
      <c r="P342" s="578">
        <f t="shared" si="83"/>
        <v>0</v>
      </c>
      <c r="Q342" s="765"/>
      <c r="R342" s="703"/>
      <c r="S342" s="670"/>
      <c r="T342" s="577">
        <f t="shared" si="84"/>
        <v>0</v>
      </c>
      <c r="U342" s="578">
        <f t="shared" si="85"/>
        <v>0</v>
      </c>
      <c r="V342" s="579"/>
      <c r="W342" s="637" t="str">
        <f>IF(U341&gt;0,"xx",IF(P341&gt;0,"xy",""))</f>
        <v/>
      </c>
      <c r="X342" s="586" t="str">
        <f t="shared" si="86"/>
        <v/>
      </c>
      <c r="Y342" s="586" t="str">
        <f t="shared" si="102"/>
        <v/>
      </c>
      <c r="Z342" s="586" t="str">
        <f t="shared" si="80"/>
        <v/>
      </c>
    </row>
    <row r="343" spans="1:26" ht="12" hidden="1" thickBot="1" x14ac:dyDescent="0.25">
      <c r="A343" s="671" t="s">
        <v>168</v>
      </c>
      <c r="B343" s="644" t="s">
        <v>168</v>
      </c>
      <c r="C343" s="645"/>
      <c r="D343" s="451" t="s">
        <v>249</v>
      </c>
      <c r="E343" s="423"/>
      <c r="F343" s="424">
        <v>500</v>
      </c>
      <c r="G343" s="425"/>
      <c r="H343" s="649">
        <f>IF(F343&lt;=30,(0.78*F343+7.82)*G343,((0.78*30+7.82)+0.78*(F343-30))*G343)</f>
        <v>0</v>
      </c>
      <c r="I343" s="420">
        <v>0</v>
      </c>
      <c r="J343" s="420">
        <f>IF(ISBLANK(I343),"",SUM(H343:I343))</f>
        <v>0</v>
      </c>
      <c r="K343" s="421">
        <f t="shared" si="94"/>
        <v>0</v>
      </c>
      <c r="L343" s="647" t="s">
        <v>614</v>
      </c>
      <c r="M343" s="703"/>
      <c r="N343" s="576">
        <f t="shared" si="103"/>
        <v>0</v>
      </c>
      <c r="O343" s="577">
        <f t="shared" si="82"/>
        <v>0</v>
      </c>
      <c r="P343" s="578">
        <f t="shared" si="83"/>
        <v>0</v>
      </c>
      <c r="Q343" s="765"/>
      <c r="R343" s="703"/>
      <c r="S343" s="670"/>
      <c r="T343" s="577">
        <f t="shared" si="84"/>
        <v>0</v>
      </c>
      <c r="U343" s="578">
        <f t="shared" si="85"/>
        <v>0</v>
      </c>
      <c r="V343" s="579"/>
      <c r="W343" s="637" t="str">
        <f>IF(U341&gt;0,"xx",IF(P341&gt;0,"xy",""))</f>
        <v/>
      </c>
      <c r="X343" s="586" t="str">
        <f>IF(W343="X","x",IF(W343="xx","x",IF(W343="xy","x",IF(W343="y","x",IF(OR(P343&gt;0,U343&gt;0),"x","")))))</f>
        <v/>
      </c>
      <c r="Y343" s="586" t="str">
        <f>IF(W343="X","x",IF(W343="y","x",IF(W343="xx","x",IF(U343&gt;0,"x",""))))</f>
        <v/>
      </c>
      <c r="Z343" s="586" t="str">
        <f>IF(W343="X","x",IF(U343&gt;0,"x",""))</f>
        <v/>
      </c>
    </row>
    <row r="344" spans="1:26" ht="12" hidden="1" thickBot="1" x14ac:dyDescent="0.25">
      <c r="A344" s="671" t="s">
        <v>168</v>
      </c>
      <c r="B344" s="644" t="s">
        <v>168</v>
      </c>
      <c r="C344" s="645"/>
      <c r="D344" s="451" t="s">
        <v>262</v>
      </c>
      <c r="E344" s="423"/>
      <c r="F344" s="424">
        <v>0.2</v>
      </c>
      <c r="G344" s="425">
        <v>1.89</v>
      </c>
      <c r="H344" s="663">
        <f t="shared" si="104"/>
        <v>5.4696600000000002</v>
      </c>
      <c r="I344" s="420">
        <v>0</v>
      </c>
      <c r="J344" s="420"/>
      <c r="K344" s="421">
        <f t="shared" si="94"/>
        <v>0</v>
      </c>
      <c r="L344" s="647" t="s">
        <v>614</v>
      </c>
      <c r="M344" s="703"/>
      <c r="N344" s="576">
        <f t="shared" si="103"/>
        <v>0</v>
      </c>
      <c r="O344" s="577">
        <f t="shared" si="82"/>
        <v>0</v>
      </c>
      <c r="P344" s="578">
        <f t="shared" si="83"/>
        <v>0</v>
      </c>
      <c r="Q344" s="765"/>
      <c r="R344" s="703"/>
      <c r="S344" s="670"/>
      <c r="T344" s="577">
        <f t="shared" si="84"/>
        <v>0</v>
      </c>
      <c r="U344" s="578">
        <f t="shared" si="85"/>
        <v>0</v>
      </c>
      <c r="V344" s="579"/>
      <c r="W344" s="637" t="str">
        <f>IF(U341&gt;0,"xx",IF(P341&gt;0,"xy",""))</f>
        <v/>
      </c>
      <c r="X344" s="586" t="str">
        <f>IF(W344="X","x",IF(W344="xx","x",IF(W344="xy","x",IF(W344="y","x",IF(OR(P344&gt;0,U344&gt;0),"x","")))))</f>
        <v/>
      </c>
      <c r="Y344" s="586" t="str">
        <f>IF(W344="X","x",IF(W344="y","x",IF(W344="xx","x",IF(U344&gt;0,"x",""))))</f>
        <v/>
      </c>
      <c r="Z344" s="586" t="str">
        <f>IF(W344="X","x",IF(U344&gt;0,"x",""))</f>
        <v/>
      </c>
    </row>
    <row r="345" spans="1:26" ht="12" hidden="1" thickBot="1" x14ac:dyDescent="0.25">
      <c r="A345" s="671" t="s">
        <v>168</v>
      </c>
      <c r="B345" s="644" t="s">
        <v>168</v>
      </c>
      <c r="C345" s="645"/>
      <c r="D345" s="451" t="s">
        <v>263</v>
      </c>
      <c r="E345" s="423"/>
      <c r="F345" s="424">
        <v>20</v>
      </c>
      <c r="G345" s="425">
        <f>SUM(G341:G344)</f>
        <v>2.2999999999999998</v>
      </c>
      <c r="H345" s="651">
        <f>IF(F345&lt;=30,(1.07*F345+5.37)*G345,((1.07*30+5.37)+1.07*(F345-30))*G345)</f>
        <v>61.571000000000005</v>
      </c>
      <c r="I345" s="420">
        <v>0</v>
      </c>
      <c r="J345" s="420"/>
      <c r="K345" s="421">
        <f t="shared" si="94"/>
        <v>0</v>
      </c>
      <c r="L345" s="647" t="s">
        <v>614</v>
      </c>
      <c r="M345" s="703"/>
      <c r="N345" s="576">
        <f t="shared" si="103"/>
        <v>0</v>
      </c>
      <c r="O345" s="577">
        <f t="shared" si="82"/>
        <v>0</v>
      </c>
      <c r="P345" s="578">
        <f t="shared" si="83"/>
        <v>0</v>
      </c>
      <c r="Q345" s="765"/>
      <c r="R345" s="703"/>
      <c r="S345" s="670"/>
      <c r="T345" s="577">
        <f t="shared" si="84"/>
        <v>0</v>
      </c>
      <c r="U345" s="578">
        <f t="shared" si="85"/>
        <v>0</v>
      </c>
      <c r="V345" s="579"/>
      <c r="W345" s="637" t="str">
        <f>IF(U341&gt;0,"xx",IF(P341&gt;0,"xy",""))</f>
        <v/>
      </c>
      <c r="X345" s="586" t="str">
        <f t="shared" si="86"/>
        <v/>
      </c>
      <c r="Y345" s="586" t="str">
        <f t="shared" si="102"/>
        <v/>
      </c>
      <c r="Z345" s="586" t="str">
        <f t="shared" si="80"/>
        <v/>
      </c>
    </row>
    <row r="346" spans="1:26" ht="12" hidden="1" thickBot="1" x14ac:dyDescent="0.25">
      <c r="A346" s="671">
        <v>589320</v>
      </c>
      <c r="B346" s="704" t="s">
        <v>1775</v>
      </c>
      <c r="C346" s="689" t="s">
        <v>1746</v>
      </c>
      <c r="D346" s="477" t="s">
        <v>813</v>
      </c>
      <c r="E346" s="470"/>
      <c r="F346" s="478">
        <v>500</v>
      </c>
      <c r="G346" s="479">
        <v>1</v>
      </c>
      <c r="H346" s="663">
        <f>(0.84*F346+41.45)*G346</f>
        <v>461.45</v>
      </c>
      <c r="I346" s="472">
        <v>4680</v>
      </c>
      <c r="J346" s="472">
        <f>IF(ISBLANK(I346),"",I346*(1+$F$9)/(1+$F$10))+H346</f>
        <v>5002.4010983923918</v>
      </c>
      <c r="K346" s="690">
        <f t="shared" si="94"/>
        <v>5943.35</v>
      </c>
      <c r="L346" s="691" t="s">
        <v>20</v>
      </c>
      <c r="M346" s="692">
        <f>ROUND(M341*G341,2)</f>
        <v>0</v>
      </c>
      <c r="N346" s="696">
        <f t="shared" si="103"/>
        <v>0</v>
      </c>
      <c r="O346" s="693">
        <f>IF(ISBLANK(M346),0,ROUND(K346*M346,2))</f>
        <v>0</v>
      </c>
      <c r="P346" s="694">
        <f>IF(ISBLANK(N346),0,ROUND(M346*N346,2))</f>
        <v>0</v>
      </c>
      <c r="Q346" s="765"/>
      <c r="R346" s="695">
        <f>ROUND(R341*G341,2)</f>
        <v>0</v>
      </c>
      <c r="S346" s="711">
        <f>N346</f>
        <v>0</v>
      </c>
      <c r="T346" s="693">
        <f t="shared" si="84"/>
        <v>0</v>
      </c>
      <c r="U346" s="694">
        <f t="shared" si="85"/>
        <v>0</v>
      </c>
      <c r="V346" s="579"/>
      <c r="W346" s="637" t="str">
        <f>IF(U341&gt;0,"xx",IF(P341&gt;0,"xy",""))</f>
        <v/>
      </c>
      <c r="X346" s="586" t="str">
        <f t="shared" si="86"/>
        <v/>
      </c>
      <c r="Y346" s="586" t="str">
        <f t="shared" si="102"/>
        <v/>
      </c>
      <c r="Z346" s="586" t="str">
        <f t="shared" si="80"/>
        <v/>
      </c>
    </row>
    <row r="347" spans="1:26" ht="12" hidden="1" thickBot="1" x14ac:dyDescent="0.25">
      <c r="A347" s="671">
        <v>534300</v>
      </c>
      <c r="B347" s="701" t="s">
        <v>1578</v>
      </c>
      <c r="C347" s="702" t="s">
        <v>206</v>
      </c>
      <c r="D347" s="463" t="s">
        <v>1915</v>
      </c>
      <c r="E347" s="464"/>
      <c r="F347" s="465" t="s">
        <v>663</v>
      </c>
      <c r="G347" s="466">
        <v>0.18240000000000001</v>
      </c>
      <c r="H347" s="681">
        <f>SUM(H348:H351)</f>
        <v>214.06262820000001</v>
      </c>
      <c r="I347" s="467">
        <v>136.76</v>
      </c>
      <c r="J347" s="467">
        <f>IF(ISBLANK(I347),"",SUM(H347:I347))</f>
        <v>350.8226282</v>
      </c>
      <c r="K347" s="682">
        <f t="shared" si="94"/>
        <v>416.81</v>
      </c>
      <c r="L347" s="683" t="s">
        <v>16</v>
      </c>
      <c r="M347" s="685"/>
      <c r="N347" s="576">
        <f t="shared" si="103"/>
        <v>0</v>
      </c>
      <c r="O347" s="687">
        <f t="shared" si="82"/>
        <v>0</v>
      </c>
      <c r="P347" s="688">
        <f t="shared" si="83"/>
        <v>0</v>
      </c>
      <c r="Q347" s="765"/>
      <c r="R347" s="685">
        <f>M347</f>
        <v>0</v>
      </c>
      <c r="S347" s="686">
        <f>N347</f>
        <v>0</v>
      </c>
      <c r="T347" s="687">
        <f t="shared" si="84"/>
        <v>0</v>
      </c>
      <c r="U347" s="688">
        <f t="shared" si="85"/>
        <v>0</v>
      </c>
      <c r="V347" s="579"/>
      <c r="W347" s="566"/>
      <c r="X347" s="586" t="str">
        <f t="shared" si="86"/>
        <v/>
      </c>
      <c r="Y347" s="586" t="str">
        <f t="shared" si="102"/>
        <v/>
      </c>
      <c r="Z347" s="586" t="str">
        <f t="shared" si="80"/>
        <v/>
      </c>
    </row>
    <row r="348" spans="1:26" ht="12" hidden="1" thickBot="1" x14ac:dyDescent="0.25">
      <c r="A348" s="671" t="s">
        <v>168</v>
      </c>
      <c r="B348" s="644" t="s">
        <v>168</v>
      </c>
      <c r="C348" s="645"/>
      <c r="D348" s="451" t="s">
        <v>248</v>
      </c>
      <c r="E348" s="423"/>
      <c r="F348" s="424">
        <v>180</v>
      </c>
      <c r="G348" s="425">
        <v>0.56969999999999998</v>
      </c>
      <c r="H348" s="663">
        <f t="shared" ref="H348:H350" si="105">IF(F348&lt;=30,(1.07*F348+2.68)*G348,((1.07*30+2.68)+1.07*(F348-30))*G348)</f>
        <v>111.25101599999999</v>
      </c>
      <c r="I348" s="420">
        <v>0</v>
      </c>
      <c r="J348" s="420"/>
      <c r="K348" s="421">
        <f t="shared" si="94"/>
        <v>0</v>
      </c>
      <c r="L348" s="647" t="s">
        <v>614</v>
      </c>
      <c r="M348" s="703"/>
      <c r="N348" s="576">
        <f t="shared" si="103"/>
        <v>0</v>
      </c>
      <c r="O348" s="577">
        <f t="shared" si="82"/>
        <v>0</v>
      </c>
      <c r="P348" s="578">
        <f t="shared" si="83"/>
        <v>0</v>
      </c>
      <c r="Q348" s="765"/>
      <c r="R348" s="703"/>
      <c r="S348" s="670"/>
      <c r="T348" s="577">
        <f t="shared" si="84"/>
        <v>0</v>
      </c>
      <c r="U348" s="578">
        <f t="shared" si="85"/>
        <v>0</v>
      </c>
      <c r="V348" s="579"/>
      <c r="W348" s="637" t="str">
        <f>IF(U347&gt;0,"xx",IF(P347&gt;0,"xy",""))</f>
        <v/>
      </c>
      <c r="X348" s="586" t="str">
        <f t="shared" si="86"/>
        <v/>
      </c>
      <c r="Y348" s="586" t="str">
        <f t="shared" si="102"/>
        <v/>
      </c>
      <c r="Z348" s="586" t="str">
        <f t="shared" si="80"/>
        <v/>
      </c>
    </row>
    <row r="349" spans="1:26" ht="12" hidden="1" thickBot="1" x14ac:dyDescent="0.25">
      <c r="A349" s="671" t="s">
        <v>168</v>
      </c>
      <c r="B349" s="644" t="s">
        <v>168</v>
      </c>
      <c r="C349" s="645"/>
      <c r="D349" s="451" t="s">
        <v>249</v>
      </c>
      <c r="E349" s="423"/>
      <c r="F349" s="424">
        <v>500</v>
      </c>
      <c r="G349" s="425">
        <v>8.7599999999999997E-2</v>
      </c>
      <c r="H349" s="649">
        <f>IF(F349&lt;=30,(0.78*F349+7.82)*G349,((0.78*30+7.82)+0.78*(F349-30))*G349)</f>
        <v>34.849032000000001</v>
      </c>
      <c r="I349" s="420">
        <v>0</v>
      </c>
      <c r="J349" s="420"/>
      <c r="K349" s="421">
        <f t="shared" si="94"/>
        <v>0</v>
      </c>
      <c r="L349" s="647" t="s">
        <v>614</v>
      </c>
      <c r="M349" s="703"/>
      <c r="N349" s="576">
        <f t="shared" si="103"/>
        <v>0</v>
      </c>
      <c r="O349" s="577">
        <f t="shared" si="82"/>
        <v>0</v>
      </c>
      <c r="P349" s="578">
        <f t="shared" si="83"/>
        <v>0</v>
      </c>
      <c r="Q349" s="765"/>
      <c r="R349" s="703"/>
      <c r="S349" s="670"/>
      <c r="T349" s="577">
        <f t="shared" si="84"/>
        <v>0</v>
      </c>
      <c r="U349" s="578">
        <f t="shared" si="85"/>
        <v>0</v>
      </c>
      <c r="V349" s="579"/>
      <c r="W349" s="637" t="str">
        <f>IF(U347&gt;0,"xx",IF(P347&gt;0,"xy",""))</f>
        <v/>
      </c>
      <c r="X349" s="586" t="str">
        <f t="shared" si="86"/>
        <v/>
      </c>
      <c r="Y349" s="586" t="str">
        <f t="shared" si="102"/>
        <v/>
      </c>
      <c r="Z349" s="586" t="str">
        <f t="shared" ref="Z349:Z412" si="106">IF(W349="X","x",IF(U349&gt;0,"x",""))</f>
        <v/>
      </c>
    </row>
    <row r="350" spans="1:26" ht="12" hidden="1" thickBot="1" x14ac:dyDescent="0.25">
      <c r="A350" s="671" t="s">
        <v>168</v>
      </c>
      <c r="B350" s="644" t="s">
        <v>168</v>
      </c>
      <c r="C350" s="645"/>
      <c r="D350" s="451" t="s">
        <v>262</v>
      </c>
      <c r="E350" s="423"/>
      <c r="F350" s="424">
        <v>0.2</v>
      </c>
      <c r="G350" s="425">
        <v>1.5333000000000001</v>
      </c>
      <c r="H350" s="663">
        <f t="shared" si="105"/>
        <v>4.4373702000000002</v>
      </c>
      <c r="I350" s="420">
        <v>0</v>
      </c>
      <c r="J350" s="420"/>
      <c r="K350" s="421">
        <f t="shared" si="94"/>
        <v>0</v>
      </c>
      <c r="L350" s="647" t="s">
        <v>614</v>
      </c>
      <c r="M350" s="703"/>
      <c r="N350" s="576">
        <f t="shared" si="103"/>
        <v>0</v>
      </c>
      <c r="O350" s="577">
        <f t="shared" si="82"/>
        <v>0</v>
      </c>
      <c r="P350" s="578">
        <f t="shared" si="83"/>
        <v>0</v>
      </c>
      <c r="Q350" s="765"/>
      <c r="R350" s="703"/>
      <c r="S350" s="670"/>
      <c r="T350" s="577">
        <f t="shared" si="84"/>
        <v>0</v>
      </c>
      <c r="U350" s="578">
        <f t="shared" si="85"/>
        <v>0</v>
      </c>
      <c r="V350" s="579"/>
      <c r="W350" s="637" t="str">
        <f>IF(U347&gt;0,"xx",IF(P347&gt;0,"xy",""))</f>
        <v/>
      </c>
      <c r="X350" s="586" t="str">
        <f t="shared" si="86"/>
        <v/>
      </c>
      <c r="Y350" s="586" t="str">
        <f t="shared" si="102"/>
        <v/>
      </c>
      <c r="Z350" s="586" t="str">
        <f t="shared" si="106"/>
        <v/>
      </c>
    </row>
    <row r="351" spans="1:26" ht="12" hidden="1" thickBot="1" x14ac:dyDescent="0.25">
      <c r="A351" s="671" t="s">
        <v>168</v>
      </c>
      <c r="B351" s="644" t="s">
        <v>168</v>
      </c>
      <c r="C351" s="645"/>
      <c r="D351" s="451" t="s">
        <v>263</v>
      </c>
      <c r="E351" s="423"/>
      <c r="F351" s="424">
        <v>20</v>
      </c>
      <c r="G351" s="425">
        <f>SUM(G347:G350)</f>
        <v>2.3730000000000002</v>
      </c>
      <c r="H351" s="651">
        <f>IF(F351&lt;=30,(1.07*F351+5.37)*G351,((1.07*30+5.37)+1.07*(F351-30))*G351)</f>
        <v>63.525210000000015</v>
      </c>
      <c r="I351" s="420">
        <v>0</v>
      </c>
      <c r="J351" s="420"/>
      <c r="K351" s="421">
        <f t="shared" si="94"/>
        <v>0</v>
      </c>
      <c r="L351" s="647" t="s">
        <v>614</v>
      </c>
      <c r="M351" s="703"/>
      <c r="N351" s="576">
        <f t="shared" si="103"/>
        <v>0</v>
      </c>
      <c r="O351" s="577">
        <f t="shared" si="82"/>
        <v>0</v>
      </c>
      <c r="P351" s="578">
        <f t="shared" si="83"/>
        <v>0</v>
      </c>
      <c r="Q351" s="765"/>
      <c r="R351" s="703"/>
      <c r="S351" s="670"/>
      <c r="T351" s="577">
        <f t="shared" si="84"/>
        <v>0</v>
      </c>
      <c r="U351" s="578">
        <f t="shared" si="85"/>
        <v>0</v>
      </c>
      <c r="V351" s="579"/>
      <c r="W351" s="637" t="str">
        <f>IF(U347&gt;0,"xx",IF(P347&gt;0,"xy",""))</f>
        <v/>
      </c>
      <c r="X351" s="586" t="str">
        <f t="shared" si="86"/>
        <v/>
      </c>
      <c r="Y351" s="586" t="str">
        <f t="shared" si="102"/>
        <v/>
      </c>
      <c r="Z351" s="586" t="str">
        <f t="shared" si="106"/>
        <v/>
      </c>
    </row>
    <row r="352" spans="1:26" ht="12" hidden="1" thickBot="1" x14ac:dyDescent="0.25">
      <c r="A352" s="671">
        <v>589320</v>
      </c>
      <c r="B352" s="704" t="s">
        <v>1776</v>
      </c>
      <c r="C352" s="689" t="s">
        <v>1746</v>
      </c>
      <c r="D352" s="477" t="s">
        <v>1575</v>
      </c>
      <c r="E352" s="470"/>
      <c r="F352" s="478">
        <v>500</v>
      </c>
      <c r="G352" s="479">
        <v>1</v>
      </c>
      <c r="H352" s="663">
        <f>(0.84*F352+41.45)*G352</f>
        <v>461.45</v>
      </c>
      <c r="I352" s="472">
        <v>4680</v>
      </c>
      <c r="J352" s="472">
        <f>IF(ISBLANK(I352),"",I352*(1+$F$9)/(1+$F$10))+H352</f>
        <v>5002.4010983923918</v>
      </c>
      <c r="K352" s="690">
        <f t="shared" si="94"/>
        <v>5943.35</v>
      </c>
      <c r="L352" s="691" t="s">
        <v>20</v>
      </c>
      <c r="M352" s="692">
        <f>ROUND(M347*G347,2)</f>
        <v>0</v>
      </c>
      <c r="N352" s="588">
        <f t="shared" si="103"/>
        <v>0</v>
      </c>
      <c r="O352" s="693">
        <f>IF(ISBLANK(M352),0,ROUND(K352*M352,2))</f>
        <v>0</v>
      </c>
      <c r="P352" s="694">
        <f>IF(ISBLANK(N352),0,ROUND(M352*N352,2))</f>
        <v>0</v>
      </c>
      <c r="Q352" s="765"/>
      <c r="R352" s="695">
        <f>ROUND(R347*G347,2)</f>
        <v>0</v>
      </c>
      <c r="S352" s="711">
        <f>N352</f>
        <v>0</v>
      </c>
      <c r="T352" s="693">
        <f t="shared" si="84"/>
        <v>0</v>
      </c>
      <c r="U352" s="694">
        <f t="shared" si="85"/>
        <v>0</v>
      </c>
      <c r="V352" s="579"/>
      <c r="W352" s="637" t="str">
        <f>IF(U347&gt;0,"xx",IF(P347&gt;0,"xy",""))</f>
        <v/>
      </c>
      <c r="X352" s="586" t="str">
        <f t="shared" si="86"/>
        <v/>
      </c>
      <c r="Y352" s="586" t="str">
        <f t="shared" si="102"/>
        <v/>
      </c>
      <c r="Z352" s="586" t="str">
        <f t="shared" si="106"/>
        <v/>
      </c>
    </row>
    <row r="353" spans="1:26" ht="12" hidden="1" thickBot="1" x14ac:dyDescent="0.25">
      <c r="A353" s="671">
        <v>570300</v>
      </c>
      <c r="B353" s="701" t="s">
        <v>1624</v>
      </c>
      <c r="C353" s="702" t="s">
        <v>206</v>
      </c>
      <c r="D353" s="485" t="s">
        <v>814</v>
      </c>
      <c r="E353" s="464"/>
      <c r="F353" s="465" t="s">
        <v>662</v>
      </c>
      <c r="G353" s="466">
        <v>0.04</v>
      </c>
      <c r="H353" s="681">
        <f>SUM(H354:H357)</f>
        <v>36.552130000000005</v>
      </c>
      <c r="I353" s="467">
        <v>190.4</v>
      </c>
      <c r="J353" s="467">
        <f>IF(ISBLANK(I353),"",SUM(H353:I353))</f>
        <v>226.95213000000001</v>
      </c>
      <c r="K353" s="682">
        <f t="shared" si="94"/>
        <v>269.64</v>
      </c>
      <c r="L353" s="683" t="s">
        <v>20</v>
      </c>
      <c r="M353" s="685"/>
      <c r="N353" s="686">
        <f t="shared" si="103"/>
        <v>0</v>
      </c>
      <c r="O353" s="687">
        <f t="shared" si="82"/>
        <v>0</v>
      </c>
      <c r="P353" s="688">
        <f t="shared" si="83"/>
        <v>0</v>
      </c>
      <c r="Q353" s="765"/>
      <c r="R353" s="685">
        <f>M353</f>
        <v>0</v>
      </c>
      <c r="S353" s="686">
        <f>N353</f>
        <v>0</v>
      </c>
      <c r="T353" s="687">
        <f t="shared" si="84"/>
        <v>0</v>
      </c>
      <c r="U353" s="688">
        <f t="shared" si="85"/>
        <v>0</v>
      </c>
      <c r="V353" s="579"/>
      <c r="W353" s="566"/>
      <c r="X353" s="586" t="str">
        <f t="shared" si="86"/>
        <v/>
      </c>
      <c r="Y353" s="586" t="str">
        <f t="shared" si="102"/>
        <v/>
      </c>
      <c r="Z353" s="586" t="str">
        <f t="shared" si="106"/>
        <v/>
      </c>
    </row>
    <row r="354" spans="1:26" ht="12" hidden="1" thickBot="1" x14ac:dyDescent="0.25">
      <c r="A354" s="671" t="s">
        <v>168</v>
      </c>
      <c r="B354" s="644" t="s">
        <v>168</v>
      </c>
      <c r="C354" s="645"/>
      <c r="D354" s="451" t="s">
        <v>248</v>
      </c>
      <c r="E354" s="423"/>
      <c r="F354" s="424">
        <v>180</v>
      </c>
      <c r="G354" s="425">
        <v>0</v>
      </c>
      <c r="H354" s="663">
        <f t="shared" ref="H354:H356" si="107">IF(F354&lt;=30,(1.07*F354+2.68)*G354,((1.07*30+2.68)+1.07*(F354-30))*G354)</f>
        <v>0</v>
      </c>
      <c r="I354" s="420">
        <v>0</v>
      </c>
      <c r="J354" s="420">
        <f>IF(ISBLANK(I354),"",SUM(H354:I354))</f>
        <v>0</v>
      </c>
      <c r="K354" s="421">
        <f t="shared" si="94"/>
        <v>0</v>
      </c>
      <c r="L354" s="647" t="s">
        <v>614</v>
      </c>
      <c r="M354" s="703"/>
      <c r="N354" s="576">
        <f t="shared" si="103"/>
        <v>0</v>
      </c>
      <c r="O354" s="577">
        <f t="shared" si="82"/>
        <v>0</v>
      </c>
      <c r="P354" s="578">
        <f t="shared" si="83"/>
        <v>0</v>
      </c>
      <c r="Q354" s="765"/>
      <c r="R354" s="703"/>
      <c r="S354" s="670"/>
      <c r="T354" s="577">
        <f t="shared" si="84"/>
        <v>0</v>
      </c>
      <c r="U354" s="578">
        <f t="shared" si="85"/>
        <v>0</v>
      </c>
      <c r="V354" s="579"/>
      <c r="W354" s="637" t="str">
        <f>IF(U353&gt;0,"xx",IF(P353&gt;0,"xy",""))</f>
        <v/>
      </c>
      <c r="X354" s="586" t="str">
        <f t="shared" ref="X354:X417" si="108">IF(W354="X","x",IF(W354="xx","x",IF(W354="xy","x",IF(W354="y","x",IF(OR(P354&gt;0,U354&gt;0),"x","")))))</f>
        <v/>
      </c>
      <c r="Y354" s="586" t="str">
        <f t="shared" si="102"/>
        <v/>
      </c>
      <c r="Z354" s="586" t="str">
        <f t="shared" si="106"/>
        <v/>
      </c>
    </row>
    <row r="355" spans="1:26" ht="12" hidden="1" thickBot="1" x14ac:dyDescent="0.25">
      <c r="A355" s="671" t="s">
        <v>168</v>
      </c>
      <c r="B355" s="644" t="s">
        <v>168</v>
      </c>
      <c r="C355" s="645"/>
      <c r="D355" s="451" t="s">
        <v>249</v>
      </c>
      <c r="E355" s="423"/>
      <c r="F355" s="424">
        <v>500</v>
      </c>
      <c r="G355" s="425">
        <v>1.4999999999999999E-2</v>
      </c>
      <c r="H355" s="649">
        <f>IF(F355&lt;=30,(0.78*F355+7.82)*G355,((0.78*30+7.82)+0.78*(F355-30))*G355)</f>
        <v>5.9673000000000007</v>
      </c>
      <c r="I355" s="420">
        <v>0</v>
      </c>
      <c r="J355" s="420"/>
      <c r="K355" s="421">
        <f t="shared" si="94"/>
        <v>0</v>
      </c>
      <c r="L355" s="647" t="s">
        <v>614</v>
      </c>
      <c r="M355" s="703"/>
      <c r="N355" s="576">
        <f t="shared" si="103"/>
        <v>0</v>
      </c>
      <c r="O355" s="577">
        <f t="shared" si="82"/>
        <v>0</v>
      </c>
      <c r="P355" s="578">
        <f t="shared" si="83"/>
        <v>0</v>
      </c>
      <c r="Q355" s="765"/>
      <c r="R355" s="703"/>
      <c r="S355" s="670"/>
      <c r="T355" s="577">
        <f t="shared" si="84"/>
        <v>0</v>
      </c>
      <c r="U355" s="578">
        <f t="shared" si="85"/>
        <v>0</v>
      </c>
      <c r="V355" s="579"/>
      <c r="W355" s="637" t="str">
        <f>IF(U353&gt;0,"xx",IF(P353&gt;0,"xy",""))</f>
        <v/>
      </c>
      <c r="X355" s="586" t="str">
        <f t="shared" si="108"/>
        <v/>
      </c>
      <c r="Y355" s="586" t="str">
        <f t="shared" si="102"/>
        <v/>
      </c>
      <c r="Z355" s="586" t="str">
        <f t="shared" si="106"/>
        <v/>
      </c>
    </row>
    <row r="356" spans="1:26" ht="12" hidden="1" thickBot="1" x14ac:dyDescent="0.25">
      <c r="A356" s="671" t="s">
        <v>168</v>
      </c>
      <c r="B356" s="644" t="s">
        <v>168</v>
      </c>
      <c r="C356" s="645"/>
      <c r="D356" s="451" t="s">
        <v>262</v>
      </c>
      <c r="E356" s="423"/>
      <c r="F356" s="424">
        <v>0.2</v>
      </c>
      <c r="G356" s="425">
        <v>0.94499999999999995</v>
      </c>
      <c r="H356" s="663">
        <f t="shared" si="107"/>
        <v>2.7348300000000001</v>
      </c>
      <c r="I356" s="420">
        <v>0</v>
      </c>
      <c r="J356" s="420"/>
      <c r="K356" s="421">
        <f t="shared" si="94"/>
        <v>0</v>
      </c>
      <c r="L356" s="647" t="s">
        <v>614</v>
      </c>
      <c r="M356" s="703"/>
      <c r="N356" s="576">
        <f t="shared" si="103"/>
        <v>0</v>
      </c>
      <c r="O356" s="577">
        <f t="shared" si="82"/>
        <v>0</v>
      </c>
      <c r="P356" s="578">
        <f t="shared" si="83"/>
        <v>0</v>
      </c>
      <c r="Q356" s="765"/>
      <c r="R356" s="703"/>
      <c r="S356" s="670"/>
      <c r="T356" s="577">
        <f t="shared" si="84"/>
        <v>0</v>
      </c>
      <c r="U356" s="578">
        <f t="shared" si="85"/>
        <v>0</v>
      </c>
      <c r="V356" s="579"/>
      <c r="W356" s="637" t="str">
        <f>IF(U353&gt;0,"xx",IF(P353&gt;0,"xy",""))</f>
        <v/>
      </c>
      <c r="X356" s="586" t="str">
        <f t="shared" si="108"/>
        <v/>
      </c>
      <c r="Y356" s="586" t="str">
        <f t="shared" si="102"/>
        <v/>
      </c>
      <c r="Z356" s="586" t="str">
        <f t="shared" si="106"/>
        <v/>
      </c>
    </row>
    <row r="357" spans="1:26" ht="12" hidden="1" thickBot="1" x14ac:dyDescent="0.25">
      <c r="A357" s="671" t="s">
        <v>168</v>
      </c>
      <c r="B357" s="644" t="s">
        <v>168</v>
      </c>
      <c r="C357" s="645"/>
      <c r="D357" s="451" t="s">
        <v>263</v>
      </c>
      <c r="E357" s="423"/>
      <c r="F357" s="424">
        <v>20</v>
      </c>
      <c r="G357" s="425">
        <v>1</v>
      </c>
      <c r="H357" s="651">
        <f>IF(F357&lt;=30,(1.07*F357+6.45)*G357,((1.07*30+6.45)+1.07*(F357-30))*G357)</f>
        <v>27.85</v>
      </c>
      <c r="I357" s="420">
        <v>0</v>
      </c>
      <c r="J357" s="420"/>
      <c r="K357" s="421">
        <f t="shared" si="94"/>
        <v>0</v>
      </c>
      <c r="L357" s="647" t="s">
        <v>614</v>
      </c>
      <c r="M357" s="703"/>
      <c r="N357" s="576">
        <f t="shared" si="103"/>
        <v>0</v>
      </c>
      <c r="O357" s="577">
        <f t="shared" si="82"/>
        <v>0</v>
      </c>
      <c r="P357" s="578">
        <f t="shared" si="83"/>
        <v>0</v>
      </c>
      <c r="Q357" s="765"/>
      <c r="R357" s="703"/>
      <c r="S357" s="670"/>
      <c r="T357" s="577">
        <f t="shared" si="84"/>
        <v>0</v>
      </c>
      <c r="U357" s="578">
        <f t="shared" si="85"/>
        <v>0</v>
      </c>
      <c r="V357" s="579"/>
      <c r="W357" s="637" t="str">
        <f>IF(U353&gt;0,"xx",IF(P353&gt;0,"xy",""))</f>
        <v/>
      </c>
      <c r="X357" s="586" t="str">
        <f t="shared" si="108"/>
        <v/>
      </c>
      <c r="Y357" s="586" t="str">
        <f t="shared" si="102"/>
        <v/>
      </c>
      <c r="Z357" s="586" t="str">
        <f t="shared" si="106"/>
        <v/>
      </c>
    </row>
    <row r="358" spans="1:26" ht="12" hidden="1" thickBot="1" x14ac:dyDescent="0.25">
      <c r="A358" s="671">
        <v>589000</v>
      </c>
      <c r="B358" s="707" t="s">
        <v>1777</v>
      </c>
      <c r="C358" s="554" t="s">
        <v>1746</v>
      </c>
      <c r="D358" s="477" t="s">
        <v>657</v>
      </c>
      <c r="E358" s="481"/>
      <c r="F358" s="486">
        <v>500</v>
      </c>
      <c r="G358" s="479">
        <v>1</v>
      </c>
      <c r="H358" s="663">
        <f>(0.94*F358+46.06)*G358</f>
        <v>516.05999999999995</v>
      </c>
      <c r="I358" s="472">
        <v>5725</v>
      </c>
      <c r="J358" s="472">
        <f>IF(ISBLANK(I358),"",I358*(1+$F$9)/(1+$F$10))+H358</f>
        <v>6070.962785960779</v>
      </c>
      <c r="K358" s="709">
        <f t="shared" si="94"/>
        <v>7212.91</v>
      </c>
      <c r="L358" s="561" t="s">
        <v>20</v>
      </c>
      <c r="M358" s="692">
        <f>ROUND(M353*G353,2)</f>
        <v>0</v>
      </c>
      <c r="N358" s="696">
        <f t="shared" si="103"/>
        <v>0</v>
      </c>
      <c r="O358" s="693">
        <f>IF(ISBLANK(M358),0,ROUND(K358*M358,2))</f>
        <v>0</v>
      </c>
      <c r="P358" s="694">
        <f>IF(ISBLANK(N358),0,ROUND(M358*N358,2))</f>
        <v>0</v>
      </c>
      <c r="Q358" s="765"/>
      <c r="R358" s="695">
        <f>ROUND(R353*G353,2)</f>
        <v>0</v>
      </c>
      <c r="S358" s="711">
        <f>N358</f>
        <v>0</v>
      </c>
      <c r="T358" s="693">
        <f t="shared" si="84"/>
        <v>0</v>
      </c>
      <c r="U358" s="694">
        <f t="shared" si="85"/>
        <v>0</v>
      </c>
      <c r="V358" s="579"/>
      <c r="W358" s="637" t="str">
        <f>IF(U353&gt;0,"xx",IF(P353&gt;0,"xy",""))</f>
        <v/>
      </c>
      <c r="X358" s="586" t="str">
        <f t="shared" si="108"/>
        <v/>
      </c>
      <c r="Y358" s="586" t="str">
        <f t="shared" si="102"/>
        <v/>
      </c>
      <c r="Z358" s="586" t="str">
        <f t="shared" si="106"/>
        <v/>
      </c>
    </row>
    <row r="359" spans="1:26" ht="12" hidden="1" thickBot="1" x14ac:dyDescent="0.25">
      <c r="A359" s="671">
        <v>570310</v>
      </c>
      <c r="B359" s="701" t="s">
        <v>1625</v>
      </c>
      <c r="C359" s="702" t="s">
        <v>206</v>
      </c>
      <c r="D359" s="485" t="s">
        <v>815</v>
      </c>
      <c r="E359" s="464"/>
      <c r="F359" s="465" t="s">
        <v>662</v>
      </c>
      <c r="G359" s="466">
        <v>0.04</v>
      </c>
      <c r="H359" s="681">
        <f>SUM(H360:H363)</f>
        <v>36.552130000000005</v>
      </c>
      <c r="I359" s="467">
        <v>168.63</v>
      </c>
      <c r="J359" s="467">
        <f>IF(ISBLANK(I359),"",SUM(H359:I359))</f>
        <v>205.18213</v>
      </c>
      <c r="K359" s="682">
        <f t="shared" si="94"/>
        <v>243.78</v>
      </c>
      <c r="L359" s="683" t="s">
        <v>20</v>
      </c>
      <c r="M359" s="685"/>
      <c r="N359" s="576">
        <f t="shared" si="103"/>
        <v>0</v>
      </c>
      <c r="O359" s="687">
        <f t="shared" si="82"/>
        <v>0</v>
      </c>
      <c r="P359" s="688">
        <f t="shared" si="83"/>
        <v>0</v>
      </c>
      <c r="Q359" s="765"/>
      <c r="R359" s="685">
        <f>M359</f>
        <v>0</v>
      </c>
      <c r="S359" s="686">
        <f>N359</f>
        <v>0</v>
      </c>
      <c r="T359" s="687">
        <f t="shared" si="84"/>
        <v>0</v>
      </c>
      <c r="U359" s="688">
        <f t="shared" si="85"/>
        <v>0</v>
      </c>
      <c r="V359" s="579"/>
      <c r="W359" s="566"/>
      <c r="X359" s="586" t="str">
        <f t="shared" si="108"/>
        <v/>
      </c>
      <c r="Y359" s="586" t="str">
        <f t="shared" si="102"/>
        <v/>
      </c>
      <c r="Z359" s="586" t="str">
        <f t="shared" si="106"/>
        <v/>
      </c>
    </row>
    <row r="360" spans="1:26" ht="12" hidden="1" thickBot="1" x14ac:dyDescent="0.25">
      <c r="A360" s="671" t="s">
        <v>168</v>
      </c>
      <c r="B360" s="644" t="s">
        <v>168</v>
      </c>
      <c r="C360" s="645"/>
      <c r="D360" s="451" t="s">
        <v>248</v>
      </c>
      <c r="E360" s="423"/>
      <c r="F360" s="424">
        <v>180</v>
      </c>
      <c r="G360" s="425">
        <v>0</v>
      </c>
      <c r="H360" s="663">
        <f t="shared" ref="H360:H362" si="109">IF(F360&lt;=30,(1.07*F360+2.68)*G360,((1.07*30+2.68)+1.07*(F360-30))*G360)</f>
        <v>0</v>
      </c>
      <c r="I360" s="420">
        <v>0</v>
      </c>
      <c r="J360" s="420">
        <f>IF(ISBLANK(I360),"",SUM(H360:I360))</f>
        <v>0</v>
      </c>
      <c r="K360" s="421">
        <f t="shared" si="94"/>
        <v>0</v>
      </c>
      <c r="L360" s="647" t="s">
        <v>614</v>
      </c>
      <c r="M360" s="703"/>
      <c r="N360" s="576">
        <f t="shared" si="103"/>
        <v>0</v>
      </c>
      <c r="O360" s="577">
        <f t="shared" si="82"/>
        <v>0</v>
      </c>
      <c r="P360" s="578">
        <f t="shared" si="83"/>
        <v>0</v>
      </c>
      <c r="Q360" s="765"/>
      <c r="R360" s="703"/>
      <c r="S360" s="670"/>
      <c r="T360" s="577">
        <f t="shared" si="84"/>
        <v>0</v>
      </c>
      <c r="U360" s="578">
        <f t="shared" si="85"/>
        <v>0</v>
      </c>
      <c r="V360" s="579"/>
      <c r="W360" s="637" t="str">
        <f>IF(U359&gt;0,"xx",IF(P359&gt;0,"xy",""))</f>
        <v/>
      </c>
      <c r="X360" s="586" t="str">
        <f t="shared" si="108"/>
        <v/>
      </c>
      <c r="Y360" s="586" t="str">
        <f t="shared" si="102"/>
        <v/>
      </c>
      <c r="Z360" s="586" t="str">
        <f t="shared" si="106"/>
        <v/>
      </c>
    </row>
    <row r="361" spans="1:26" ht="12" hidden="1" thickBot="1" x14ac:dyDescent="0.25">
      <c r="A361" s="671" t="s">
        <v>168</v>
      </c>
      <c r="B361" s="644" t="s">
        <v>168</v>
      </c>
      <c r="C361" s="645"/>
      <c r="D361" s="451" t="s">
        <v>249</v>
      </c>
      <c r="E361" s="423"/>
      <c r="F361" s="424">
        <v>500</v>
      </c>
      <c r="G361" s="425">
        <v>1.4999999999999999E-2</v>
      </c>
      <c r="H361" s="649">
        <f>IF(F361&lt;=30,(0.78*F361+7.82)*G361,((0.78*30+7.82)+0.78*(F361-30))*G361)</f>
        <v>5.9673000000000007</v>
      </c>
      <c r="I361" s="420">
        <v>0</v>
      </c>
      <c r="J361" s="420"/>
      <c r="K361" s="421">
        <f t="shared" si="94"/>
        <v>0</v>
      </c>
      <c r="L361" s="647" t="s">
        <v>614</v>
      </c>
      <c r="M361" s="703"/>
      <c r="N361" s="576">
        <f t="shared" si="103"/>
        <v>0</v>
      </c>
      <c r="O361" s="577">
        <f t="shared" si="82"/>
        <v>0</v>
      </c>
      <c r="P361" s="578">
        <f t="shared" si="83"/>
        <v>0</v>
      </c>
      <c r="Q361" s="765"/>
      <c r="R361" s="703"/>
      <c r="S361" s="670"/>
      <c r="T361" s="577">
        <f t="shared" si="84"/>
        <v>0</v>
      </c>
      <c r="U361" s="578">
        <f t="shared" si="85"/>
        <v>0</v>
      </c>
      <c r="V361" s="579"/>
      <c r="W361" s="637" t="str">
        <f>IF(U359&gt;0,"xx",IF(P359&gt;0,"xy",""))</f>
        <v/>
      </c>
      <c r="X361" s="586" t="str">
        <f t="shared" si="108"/>
        <v/>
      </c>
      <c r="Y361" s="586" t="str">
        <f t="shared" si="102"/>
        <v/>
      </c>
      <c r="Z361" s="586" t="str">
        <f t="shared" si="106"/>
        <v/>
      </c>
    </row>
    <row r="362" spans="1:26" ht="12" hidden="1" thickBot="1" x14ac:dyDescent="0.25">
      <c r="A362" s="671" t="s">
        <v>168</v>
      </c>
      <c r="B362" s="644" t="s">
        <v>168</v>
      </c>
      <c r="C362" s="645"/>
      <c r="D362" s="451" t="s">
        <v>262</v>
      </c>
      <c r="E362" s="423"/>
      <c r="F362" s="424">
        <v>0.2</v>
      </c>
      <c r="G362" s="425">
        <v>0.94499999999999995</v>
      </c>
      <c r="H362" s="663">
        <f t="shared" si="109"/>
        <v>2.7348300000000001</v>
      </c>
      <c r="I362" s="420">
        <v>0</v>
      </c>
      <c r="J362" s="420"/>
      <c r="K362" s="421">
        <f t="shared" si="94"/>
        <v>0</v>
      </c>
      <c r="L362" s="647" t="s">
        <v>614</v>
      </c>
      <c r="M362" s="703"/>
      <c r="N362" s="576">
        <f t="shared" si="103"/>
        <v>0</v>
      </c>
      <c r="O362" s="577">
        <f t="shared" si="82"/>
        <v>0</v>
      </c>
      <c r="P362" s="578">
        <f t="shared" si="83"/>
        <v>0</v>
      </c>
      <c r="Q362" s="765"/>
      <c r="R362" s="703"/>
      <c r="S362" s="670"/>
      <c r="T362" s="577">
        <f t="shared" si="84"/>
        <v>0</v>
      </c>
      <c r="U362" s="578">
        <f t="shared" si="85"/>
        <v>0</v>
      </c>
      <c r="V362" s="579"/>
      <c r="W362" s="637" t="str">
        <f>IF(U359&gt;0,"xx",IF(P359&gt;0,"xy",""))</f>
        <v/>
      </c>
      <c r="X362" s="586" t="str">
        <f t="shared" si="108"/>
        <v/>
      </c>
      <c r="Y362" s="586" t="str">
        <f t="shared" si="102"/>
        <v/>
      </c>
      <c r="Z362" s="586" t="str">
        <f t="shared" si="106"/>
        <v/>
      </c>
    </row>
    <row r="363" spans="1:26" ht="12" hidden="1" thickBot="1" x14ac:dyDescent="0.25">
      <c r="A363" s="671" t="s">
        <v>168</v>
      </c>
      <c r="B363" s="644" t="s">
        <v>168</v>
      </c>
      <c r="C363" s="645"/>
      <c r="D363" s="451" t="s">
        <v>263</v>
      </c>
      <c r="E363" s="423"/>
      <c r="F363" s="424">
        <v>20</v>
      </c>
      <c r="G363" s="425">
        <f>SUM(G359:G362)</f>
        <v>1</v>
      </c>
      <c r="H363" s="651">
        <f>IF(F363&lt;=30,(1.07*F363+6.45)*G363,((1.07*30+6.45)+1.07*(F363-30))*G363)</f>
        <v>27.85</v>
      </c>
      <c r="I363" s="420">
        <v>0</v>
      </c>
      <c r="J363" s="420"/>
      <c r="K363" s="421">
        <f t="shared" si="94"/>
        <v>0</v>
      </c>
      <c r="L363" s="647" t="s">
        <v>614</v>
      </c>
      <c r="M363" s="703"/>
      <c r="N363" s="576">
        <f t="shared" si="103"/>
        <v>0</v>
      </c>
      <c r="O363" s="577">
        <f t="shared" si="82"/>
        <v>0</v>
      </c>
      <c r="P363" s="578">
        <f t="shared" si="83"/>
        <v>0</v>
      </c>
      <c r="Q363" s="765"/>
      <c r="R363" s="703"/>
      <c r="S363" s="670"/>
      <c r="T363" s="577">
        <f t="shared" si="84"/>
        <v>0</v>
      </c>
      <c r="U363" s="578">
        <f t="shared" si="85"/>
        <v>0</v>
      </c>
      <c r="V363" s="579"/>
      <c r="W363" s="637" t="str">
        <f>IF(U359&gt;0,"xx",IF(P359&gt;0,"xy",""))</f>
        <v/>
      </c>
      <c r="X363" s="586" t="str">
        <f t="shared" si="108"/>
        <v/>
      </c>
      <c r="Y363" s="586" t="str">
        <f t="shared" si="102"/>
        <v/>
      </c>
      <c r="Z363" s="586" t="str">
        <f t="shared" si="106"/>
        <v/>
      </c>
    </row>
    <row r="364" spans="1:26" ht="12" hidden="1" thickBot="1" x14ac:dyDescent="0.25">
      <c r="A364" s="671">
        <v>589000</v>
      </c>
      <c r="B364" s="704" t="s">
        <v>1778</v>
      </c>
      <c r="C364" s="689" t="s">
        <v>1746</v>
      </c>
      <c r="D364" s="477" t="s">
        <v>658</v>
      </c>
      <c r="E364" s="470"/>
      <c r="F364" s="486">
        <v>500</v>
      </c>
      <c r="G364" s="479">
        <v>1</v>
      </c>
      <c r="H364" s="663">
        <f>(0.94*F364+46.06)*G364</f>
        <v>516.05999999999995</v>
      </c>
      <c r="I364" s="472">
        <v>5725</v>
      </c>
      <c r="J364" s="472">
        <f>IF(ISBLANK(I364),"",I364*(1+$F$9)/(1+$F$10))+H364</f>
        <v>6070.962785960779</v>
      </c>
      <c r="K364" s="690">
        <f t="shared" si="94"/>
        <v>7212.91</v>
      </c>
      <c r="L364" s="691" t="s">
        <v>20</v>
      </c>
      <c r="M364" s="692">
        <f>ROUND(M359*G359,2)</f>
        <v>0</v>
      </c>
      <c r="N364" s="588">
        <f t="shared" si="103"/>
        <v>0</v>
      </c>
      <c r="O364" s="693">
        <f>IF(ISBLANK(M364),0,ROUND(K364*M364,2))</f>
        <v>0</v>
      </c>
      <c r="P364" s="694">
        <f>IF(ISBLANK(N364),0,ROUND(M364*N364,2))</f>
        <v>0</v>
      </c>
      <c r="Q364" s="765"/>
      <c r="R364" s="695">
        <f>ROUND(R359*G359,2)</f>
        <v>0</v>
      </c>
      <c r="S364" s="711">
        <f>N364</f>
        <v>0</v>
      </c>
      <c r="T364" s="693">
        <f t="shared" ref="T364:T427" si="110">IF(ISBLANK(R364),0,ROUND(K364*R364,2))</f>
        <v>0</v>
      </c>
      <c r="U364" s="694">
        <f t="shared" ref="U364:U427" si="111">IF(ISBLANK(R364),0,ROUND(R364*S364,2))</f>
        <v>0</v>
      </c>
      <c r="V364" s="579"/>
      <c r="W364" s="637" t="str">
        <f>IF(U359&gt;0,"xx",IF(P359&gt;0,"xy",""))</f>
        <v/>
      </c>
      <c r="X364" s="586" t="str">
        <f t="shared" si="108"/>
        <v/>
      </c>
      <c r="Y364" s="586" t="str">
        <f t="shared" si="102"/>
        <v/>
      </c>
      <c r="Z364" s="586" t="str">
        <f t="shared" si="106"/>
        <v/>
      </c>
    </row>
    <row r="365" spans="1:26" ht="12" hidden="1" thickBot="1" x14ac:dyDescent="0.25">
      <c r="A365" s="671">
        <v>570140</v>
      </c>
      <c r="B365" s="701">
        <v>570140</v>
      </c>
      <c r="C365" s="702" t="s">
        <v>206</v>
      </c>
      <c r="D365" s="485" t="s">
        <v>671</v>
      </c>
      <c r="E365" s="464"/>
      <c r="F365" s="465" t="s">
        <v>662</v>
      </c>
      <c r="G365" s="466">
        <v>0.05</v>
      </c>
      <c r="H365" s="681">
        <f>SUM(H366:H369)</f>
        <v>55.975445399999998</v>
      </c>
      <c r="I365" s="467">
        <v>287.22000000000003</v>
      </c>
      <c r="J365" s="467">
        <f>IF(ISBLANK(I365),"",SUM(H365:I365))</f>
        <v>343.19544540000004</v>
      </c>
      <c r="K365" s="682">
        <f t="shared" si="94"/>
        <v>407.75</v>
      </c>
      <c r="L365" s="683" t="s">
        <v>20</v>
      </c>
      <c r="M365" s="685"/>
      <c r="N365" s="686">
        <f t="shared" si="103"/>
        <v>0</v>
      </c>
      <c r="O365" s="687">
        <f t="shared" ref="O365:O428" si="112">IF(ISBLANK(M365),0,ROUND(K365*M365,2))</f>
        <v>0</v>
      </c>
      <c r="P365" s="688">
        <f t="shared" ref="P365:P428" si="113">IF(ISBLANK(N365),0,ROUND(M365*N365,2))</f>
        <v>0</v>
      </c>
      <c r="Q365" s="765"/>
      <c r="R365" s="685">
        <f>M365</f>
        <v>0</v>
      </c>
      <c r="S365" s="686">
        <f>N365</f>
        <v>0</v>
      </c>
      <c r="T365" s="687">
        <f t="shared" si="110"/>
        <v>0</v>
      </c>
      <c r="U365" s="688">
        <f t="shared" si="111"/>
        <v>0</v>
      </c>
      <c r="V365" s="579"/>
      <c r="W365" s="566"/>
      <c r="X365" s="586" t="str">
        <f t="shared" si="108"/>
        <v/>
      </c>
      <c r="Y365" s="586" t="str">
        <f t="shared" si="102"/>
        <v/>
      </c>
      <c r="Z365" s="586" t="str">
        <f t="shared" si="106"/>
        <v/>
      </c>
    </row>
    <row r="366" spans="1:26" ht="12" hidden="1" thickBot="1" x14ac:dyDescent="0.25">
      <c r="A366" s="671" t="s">
        <v>168</v>
      </c>
      <c r="B366" s="644" t="s">
        <v>168</v>
      </c>
      <c r="C366" s="645"/>
      <c r="D366" s="451" t="s">
        <v>248</v>
      </c>
      <c r="E366" s="423"/>
      <c r="F366" s="424">
        <v>180</v>
      </c>
      <c r="G366" s="425">
        <v>0.1007</v>
      </c>
      <c r="H366" s="663">
        <f t="shared" ref="H366:H368" si="114">IF(F366&lt;=30,(1.07*F366+2.68)*G366,((1.07*30+2.68)+1.07*(F366-30))*G366)</f>
        <v>19.664695999999999</v>
      </c>
      <c r="I366" s="420">
        <v>0</v>
      </c>
      <c r="J366" s="420"/>
      <c r="K366" s="421">
        <f t="shared" si="94"/>
        <v>0</v>
      </c>
      <c r="L366" s="668" t="s">
        <v>614</v>
      </c>
      <c r="M366" s="703"/>
      <c r="N366" s="576">
        <f t="shared" si="103"/>
        <v>0</v>
      </c>
      <c r="O366" s="577">
        <f t="shared" si="112"/>
        <v>0</v>
      </c>
      <c r="P366" s="578">
        <f t="shared" si="113"/>
        <v>0</v>
      </c>
      <c r="Q366" s="765"/>
      <c r="R366" s="703"/>
      <c r="S366" s="670"/>
      <c r="T366" s="577">
        <f t="shared" si="110"/>
        <v>0</v>
      </c>
      <c r="U366" s="578">
        <f t="shared" si="111"/>
        <v>0</v>
      </c>
      <c r="V366" s="579"/>
      <c r="W366" s="637" t="str">
        <f>IF(U365&gt;0,"xx",IF(P365&gt;0,"xy",""))</f>
        <v/>
      </c>
      <c r="X366" s="586" t="str">
        <f t="shared" si="108"/>
        <v/>
      </c>
      <c r="Y366" s="586" t="str">
        <f t="shared" si="102"/>
        <v/>
      </c>
      <c r="Z366" s="586" t="str">
        <f t="shared" si="106"/>
        <v/>
      </c>
    </row>
    <row r="367" spans="1:26" ht="12" hidden="1" thickBot="1" x14ac:dyDescent="0.25">
      <c r="A367" s="671" t="s">
        <v>168</v>
      </c>
      <c r="B367" s="644" t="s">
        <v>168</v>
      </c>
      <c r="C367" s="645"/>
      <c r="D367" s="451" t="s">
        <v>249</v>
      </c>
      <c r="E367" s="423"/>
      <c r="F367" s="424">
        <v>500</v>
      </c>
      <c r="G367" s="425">
        <v>1.52E-2</v>
      </c>
      <c r="H367" s="649">
        <f>IF(F367&lt;=30,(0.78*F367+7.82)*G367,((0.78*30+7.82)+0.78*(F367-30))*G367)</f>
        <v>6.0468640000000011</v>
      </c>
      <c r="I367" s="420">
        <v>0</v>
      </c>
      <c r="J367" s="420"/>
      <c r="K367" s="421">
        <f t="shared" si="94"/>
        <v>0</v>
      </c>
      <c r="L367" s="668" t="s">
        <v>614</v>
      </c>
      <c r="M367" s="703"/>
      <c r="N367" s="576">
        <f t="shared" si="103"/>
        <v>0</v>
      </c>
      <c r="O367" s="577">
        <f t="shared" si="112"/>
        <v>0</v>
      </c>
      <c r="P367" s="578">
        <f t="shared" si="113"/>
        <v>0</v>
      </c>
      <c r="Q367" s="765"/>
      <c r="R367" s="703"/>
      <c r="S367" s="670"/>
      <c r="T367" s="577">
        <f t="shared" si="110"/>
        <v>0</v>
      </c>
      <c r="U367" s="578">
        <f t="shared" si="111"/>
        <v>0</v>
      </c>
      <c r="V367" s="579"/>
      <c r="W367" s="637" t="str">
        <f>IF(U365&gt;0,"xx",IF(P365&gt;0,"xy",""))</f>
        <v/>
      </c>
      <c r="X367" s="586" t="str">
        <f t="shared" si="108"/>
        <v/>
      </c>
      <c r="Y367" s="586" t="str">
        <f t="shared" si="102"/>
        <v/>
      </c>
      <c r="Z367" s="586" t="str">
        <f t="shared" si="106"/>
        <v/>
      </c>
    </row>
    <row r="368" spans="1:26" ht="12" hidden="1" thickBot="1" x14ac:dyDescent="0.25">
      <c r="A368" s="671" t="s">
        <v>168</v>
      </c>
      <c r="B368" s="644" t="s">
        <v>168</v>
      </c>
      <c r="C368" s="645"/>
      <c r="D368" s="451" t="s">
        <v>262</v>
      </c>
      <c r="E368" s="423"/>
      <c r="F368" s="424">
        <v>0.2</v>
      </c>
      <c r="G368" s="425">
        <v>0.83409999999999995</v>
      </c>
      <c r="H368" s="663">
        <f t="shared" si="114"/>
        <v>2.4138853999999998</v>
      </c>
      <c r="I368" s="420">
        <v>0</v>
      </c>
      <c r="J368" s="420"/>
      <c r="K368" s="421">
        <f t="shared" si="94"/>
        <v>0</v>
      </c>
      <c r="L368" s="668" t="s">
        <v>614</v>
      </c>
      <c r="M368" s="703"/>
      <c r="N368" s="576">
        <f t="shared" si="103"/>
        <v>0</v>
      </c>
      <c r="O368" s="577">
        <f t="shared" si="112"/>
        <v>0</v>
      </c>
      <c r="P368" s="578">
        <f t="shared" si="113"/>
        <v>0</v>
      </c>
      <c r="Q368" s="765"/>
      <c r="R368" s="703"/>
      <c r="S368" s="670"/>
      <c r="T368" s="577">
        <f t="shared" si="110"/>
        <v>0</v>
      </c>
      <c r="U368" s="578">
        <f t="shared" si="111"/>
        <v>0</v>
      </c>
      <c r="V368" s="579"/>
      <c r="W368" s="637" t="str">
        <f>IF(U365&gt;0,"xx",IF(P365&gt;0,"xy",""))</f>
        <v/>
      </c>
      <c r="X368" s="586" t="str">
        <f t="shared" si="108"/>
        <v/>
      </c>
      <c r="Y368" s="586" t="str">
        <f t="shared" si="102"/>
        <v/>
      </c>
      <c r="Z368" s="586" t="str">
        <f t="shared" si="106"/>
        <v/>
      </c>
    </row>
    <row r="369" spans="1:26" ht="12" hidden="1" thickBot="1" x14ac:dyDescent="0.25">
      <c r="A369" s="671" t="s">
        <v>168</v>
      </c>
      <c r="B369" s="644" t="s">
        <v>168</v>
      </c>
      <c r="C369" s="645"/>
      <c r="D369" s="451" t="s">
        <v>263</v>
      </c>
      <c r="E369" s="423"/>
      <c r="F369" s="424">
        <v>20</v>
      </c>
      <c r="G369" s="425">
        <f>SUM(G365:G368)</f>
        <v>1</v>
      </c>
      <c r="H369" s="651">
        <f>IF(F369&lt;=30,(1.07*F369+6.45)*G369,((1.07*30+6.45)+1.07*(F369-30))*G369)</f>
        <v>27.85</v>
      </c>
      <c r="I369" s="420">
        <v>0</v>
      </c>
      <c r="J369" s="420"/>
      <c r="K369" s="421">
        <f t="shared" si="94"/>
        <v>0</v>
      </c>
      <c r="L369" s="668" t="s">
        <v>614</v>
      </c>
      <c r="M369" s="703"/>
      <c r="N369" s="576">
        <f t="shared" si="103"/>
        <v>0</v>
      </c>
      <c r="O369" s="577">
        <f t="shared" si="112"/>
        <v>0</v>
      </c>
      <c r="P369" s="578">
        <f t="shared" si="113"/>
        <v>0</v>
      </c>
      <c r="Q369" s="765"/>
      <c r="R369" s="703"/>
      <c r="S369" s="670"/>
      <c r="T369" s="577">
        <f t="shared" si="110"/>
        <v>0</v>
      </c>
      <c r="U369" s="578">
        <f t="shared" si="111"/>
        <v>0</v>
      </c>
      <c r="V369" s="579"/>
      <c r="W369" s="637" t="str">
        <f>IF(U365&gt;0,"xx",IF(P365&gt;0,"xy",""))</f>
        <v/>
      </c>
      <c r="X369" s="586" t="str">
        <f t="shared" si="108"/>
        <v/>
      </c>
      <c r="Y369" s="586" t="str">
        <f t="shared" si="102"/>
        <v/>
      </c>
      <c r="Z369" s="586" t="str">
        <f t="shared" si="106"/>
        <v/>
      </c>
    </row>
    <row r="370" spans="1:26" ht="12" hidden="1" thickBot="1" x14ac:dyDescent="0.25">
      <c r="A370" s="671">
        <v>589000</v>
      </c>
      <c r="B370" s="704" t="s">
        <v>1779</v>
      </c>
      <c r="C370" s="689" t="s">
        <v>1746</v>
      </c>
      <c r="D370" s="477" t="s">
        <v>659</v>
      </c>
      <c r="E370" s="470"/>
      <c r="F370" s="478">
        <v>500</v>
      </c>
      <c r="G370" s="479">
        <v>1</v>
      </c>
      <c r="H370" s="663">
        <f>(0.94*F370+46.06)*G370</f>
        <v>516.05999999999995</v>
      </c>
      <c r="I370" s="472">
        <v>5725</v>
      </c>
      <c r="J370" s="472">
        <f>IF(ISBLANK(I370),"",I370*(1+$F$9)/(1+$F$10))+H370</f>
        <v>6070.962785960779</v>
      </c>
      <c r="K370" s="690">
        <f t="shared" si="94"/>
        <v>7212.91</v>
      </c>
      <c r="L370" s="691" t="s">
        <v>20</v>
      </c>
      <c r="M370" s="692">
        <f>ROUND(M365*G365,2)</f>
        <v>0</v>
      </c>
      <c r="N370" s="696">
        <f t="shared" si="103"/>
        <v>0</v>
      </c>
      <c r="O370" s="693">
        <f t="shared" si="112"/>
        <v>0</v>
      </c>
      <c r="P370" s="694">
        <f t="shared" si="113"/>
        <v>0</v>
      </c>
      <c r="Q370" s="765"/>
      <c r="R370" s="695">
        <f>ROUND(R365*G365,2)</f>
        <v>0</v>
      </c>
      <c r="S370" s="711">
        <f>N370</f>
        <v>0</v>
      </c>
      <c r="T370" s="693">
        <f t="shared" si="110"/>
        <v>0</v>
      </c>
      <c r="U370" s="694">
        <f t="shared" si="111"/>
        <v>0</v>
      </c>
      <c r="V370" s="579"/>
      <c r="W370" s="637" t="str">
        <f>IF(U365&gt;0,"xx",IF(P365&gt;0,"xy",""))</f>
        <v/>
      </c>
      <c r="X370" s="586" t="str">
        <f t="shared" si="108"/>
        <v/>
      </c>
      <c r="Y370" s="586" t="str">
        <f t="shared" si="102"/>
        <v/>
      </c>
      <c r="Z370" s="586" t="str">
        <f t="shared" si="106"/>
        <v/>
      </c>
    </row>
    <row r="371" spans="1:26" ht="12" hidden="1" thickBot="1" x14ac:dyDescent="0.25">
      <c r="A371" s="671">
        <v>570170</v>
      </c>
      <c r="B371" s="701">
        <v>570170</v>
      </c>
      <c r="C371" s="702" t="s">
        <v>206</v>
      </c>
      <c r="D371" s="485" t="s">
        <v>2068</v>
      </c>
      <c r="E371" s="464"/>
      <c r="F371" s="465" t="s">
        <v>662</v>
      </c>
      <c r="G371" s="466">
        <v>0.05</v>
      </c>
      <c r="H371" s="681">
        <f>SUM(H372:H375)</f>
        <v>55.975445399999998</v>
      </c>
      <c r="I371" s="467">
        <v>223.8</v>
      </c>
      <c r="J371" s="467">
        <f>IF(ISBLANK(I371),"",SUM(H371:I371))</f>
        <v>279.77544540000002</v>
      </c>
      <c r="K371" s="682">
        <f t="shared" si="94"/>
        <v>332.4</v>
      </c>
      <c r="L371" s="683" t="s">
        <v>20</v>
      </c>
      <c r="M371" s="685"/>
      <c r="N371" s="576">
        <f t="shared" si="103"/>
        <v>0</v>
      </c>
      <c r="O371" s="687">
        <f t="shared" si="112"/>
        <v>0</v>
      </c>
      <c r="P371" s="688">
        <f t="shared" si="113"/>
        <v>0</v>
      </c>
      <c r="Q371" s="765"/>
      <c r="R371" s="685">
        <f>M371</f>
        <v>0</v>
      </c>
      <c r="S371" s="686">
        <f>N371</f>
        <v>0</v>
      </c>
      <c r="T371" s="687">
        <f t="shared" si="110"/>
        <v>0</v>
      </c>
      <c r="U371" s="688">
        <f t="shared" si="111"/>
        <v>0</v>
      </c>
      <c r="V371" s="579"/>
      <c r="W371" s="566"/>
      <c r="X371" s="586" t="str">
        <f t="shared" si="108"/>
        <v/>
      </c>
      <c r="Y371" s="586" t="str">
        <f t="shared" si="102"/>
        <v/>
      </c>
      <c r="Z371" s="586" t="str">
        <f t="shared" si="106"/>
        <v/>
      </c>
    </row>
    <row r="372" spans="1:26" ht="12" hidden="1" thickBot="1" x14ac:dyDescent="0.25">
      <c r="A372" s="671" t="s">
        <v>168</v>
      </c>
      <c r="B372" s="644" t="s">
        <v>168</v>
      </c>
      <c r="C372" s="645"/>
      <c r="D372" s="451" t="s">
        <v>248</v>
      </c>
      <c r="E372" s="423"/>
      <c r="F372" s="424">
        <v>180</v>
      </c>
      <c r="G372" s="425">
        <v>0.1007</v>
      </c>
      <c r="H372" s="663">
        <f t="shared" ref="H372:H374" si="115">IF(F372&lt;=30,(1.07*F372+2.68)*G372,((1.07*30+2.68)+1.07*(F372-30))*G372)</f>
        <v>19.664695999999999</v>
      </c>
      <c r="I372" s="420">
        <v>0</v>
      </c>
      <c r="J372" s="420"/>
      <c r="K372" s="421">
        <f t="shared" si="94"/>
        <v>0</v>
      </c>
      <c r="L372" s="668" t="s">
        <v>614</v>
      </c>
      <c r="M372" s="703"/>
      <c r="N372" s="576">
        <f t="shared" si="103"/>
        <v>0</v>
      </c>
      <c r="O372" s="577">
        <f t="shared" si="112"/>
        <v>0</v>
      </c>
      <c r="P372" s="578">
        <f t="shared" si="113"/>
        <v>0</v>
      </c>
      <c r="Q372" s="765"/>
      <c r="R372" s="703"/>
      <c r="S372" s="670"/>
      <c r="T372" s="577">
        <f t="shared" si="110"/>
        <v>0</v>
      </c>
      <c r="U372" s="578">
        <f t="shared" si="111"/>
        <v>0</v>
      </c>
      <c r="V372" s="579"/>
      <c r="W372" s="637" t="str">
        <f>IF(U371&gt;0,"xx",IF(P371&gt;0,"xy",""))</f>
        <v/>
      </c>
      <c r="X372" s="586" t="str">
        <f t="shared" si="108"/>
        <v/>
      </c>
      <c r="Y372" s="586" t="str">
        <f t="shared" si="102"/>
        <v/>
      </c>
      <c r="Z372" s="586" t="str">
        <f t="shared" si="106"/>
        <v/>
      </c>
    </row>
    <row r="373" spans="1:26" ht="12" hidden="1" thickBot="1" x14ac:dyDescent="0.25">
      <c r="A373" s="671" t="s">
        <v>168</v>
      </c>
      <c r="B373" s="644" t="s">
        <v>168</v>
      </c>
      <c r="C373" s="645"/>
      <c r="D373" s="451" t="s">
        <v>249</v>
      </c>
      <c r="E373" s="423"/>
      <c r="F373" s="424">
        <v>500</v>
      </c>
      <c r="G373" s="425">
        <v>1.52E-2</v>
      </c>
      <c r="H373" s="649">
        <f>IF(F373&lt;=30,(0.78*F373+7.82)*G373,((0.78*30+7.82)+0.78*(F373-30))*G373)</f>
        <v>6.0468640000000011</v>
      </c>
      <c r="I373" s="420">
        <v>0</v>
      </c>
      <c r="J373" s="420"/>
      <c r="K373" s="421">
        <f t="shared" si="94"/>
        <v>0</v>
      </c>
      <c r="L373" s="668" t="s">
        <v>614</v>
      </c>
      <c r="M373" s="703"/>
      <c r="N373" s="576">
        <f t="shared" si="103"/>
        <v>0</v>
      </c>
      <c r="O373" s="577">
        <f t="shared" si="112"/>
        <v>0</v>
      </c>
      <c r="P373" s="578">
        <f t="shared" si="113"/>
        <v>0</v>
      </c>
      <c r="Q373" s="765"/>
      <c r="R373" s="703"/>
      <c r="S373" s="670"/>
      <c r="T373" s="577">
        <f t="shared" si="110"/>
        <v>0</v>
      </c>
      <c r="U373" s="578">
        <f t="shared" si="111"/>
        <v>0</v>
      </c>
      <c r="V373" s="579"/>
      <c r="W373" s="637" t="str">
        <f>IF(U371&gt;0,"xx",IF(P371&gt;0,"xy",""))</f>
        <v/>
      </c>
      <c r="X373" s="586" t="str">
        <f t="shared" si="108"/>
        <v/>
      </c>
      <c r="Y373" s="586" t="str">
        <f t="shared" si="102"/>
        <v/>
      </c>
      <c r="Z373" s="586" t="str">
        <f t="shared" si="106"/>
        <v/>
      </c>
    </row>
    <row r="374" spans="1:26" ht="12" hidden="1" thickBot="1" x14ac:dyDescent="0.25">
      <c r="A374" s="671" t="s">
        <v>168</v>
      </c>
      <c r="B374" s="644" t="s">
        <v>168</v>
      </c>
      <c r="C374" s="645"/>
      <c r="D374" s="451" t="s">
        <v>262</v>
      </c>
      <c r="E374" s="423"/>
      <c r="F374" s="424">
        <v>0.2</v>
      </c>
      <c r="G374" s="425">
        <v>0.83409999999999995</v>
      </c>
      <c r="H374" s="663">
        <f t="shared" si="115"/>
        <v>2.4138853999999998</v>
      </c>
      <c r="I374" s="420">
        <v>0</v>
      </c>
      <c r="J374" s="420"/>
      <c r="K374" s="421">
        <f t="shared" si="94"/>
        <v>0</v>
      </c>
      <c r="L374" s="668" t="s">
        <v>614</v>
      </c>
      <c r="M374" s="703"/>
      <c r="N374" s="576">
        <f t="shared" si="103"/>
        <v>0</v>
      </c>
      <c r="O374" s="577">
        <f t="shared" si="112"/>
        <v>0</v>
      </c>
      <c r="P374" s="578">
        <f t="shared" si="113"/>
        <v>0</v>
      </c>
      <c r="Q374" s="765"/>
      <c r="R374" s="703"/>
      <c r="S374" s="670"/>
      <c r="T374" s="577">
        <f t="shared" si="110"/>
        <v>0</v>
      </c>
      <c r="U374" s="578">
        <f t="shared" si="111"/>
        <v>0</v>
      </c>
      <c r="V374" s="579"/>
      <c r="W374" s="637" t="str">
        <f>IF(U371&gt;0,"xx",IF(P371&gt;0,"xy",""))</f>
        <v/>
      </c>
      <c r="X374" s="586" t="str">
        <f t="shared" si="108"/>
        <v/>
      </c>
      <c r="Y374" s="586" t="str">
        <f t="shared" si="102"/>
        <v/>
      </c>
      <c r="Z374" s="586" t="str">
        <f t="shared" si="106"/>
        <v/>
      </c>
    </row>
    <row r="375" spans="1:26" ht="12" hidden="1" thickBot="1" x14ac:dyDescent="0.25">
      <c r="A375" s="671" t="s">
        <v>168</v>
      </c>
      <c r="B375" s="644" t="s">
        <v>168</v>
      </c>
      <c r="C375" s="645"/>
      <c r="D375" s="451" t="s">
        <v>263</v>
      </c>
      <c r="E375" s="423"/>
      <c r="F375" s="424">
        <v>20</v>
      </c>
      <c r="G375" s="425">
        <f>SUM(G371:G374)</f>
        <v>1</v>
      </c>
      <c r="H375" s="651">
        <f>IF(F375&lt;=30,(1.07*F375+6.45)*G375,((1.07*30+6.45)+1.07*(F375-30))*G375)</f>
        <v>27.85</v>
      </c>
      <c r="I375" s="420">
        <v>0</v>
      </c>
      <c r="J375" s="420"/>
      <c r="K375" s="421">
        <f t="shared" si="94"/>
        <v>0</v>
      </c>
      <c r="L375" s="668" t="s">
        <v>614</v>
      </c>
      <c r="M375" s="703"/>
      <c r="N375" s="576">
        <f t="shared" si="103"/>
        <v>0</v>
      </c>
      <c r="O375" s="577">
        <f t="shared" si="112"/>
        <v>0</v>
      </c>
      <c r="P375" s="578">
        <f t="shared" si="113"/>
        <v>0</v>
      </c>
      <c r="Q375" s="765"/>
      <c r="R375" s="703"/>
      <c r="S375" s="670"/>
      <c r="T375" s="577">
        <f t="shared" si="110"/>
        <v>0</v>
      </c>
      <c r="U375" s="578">
        <f t="shared" si="111"/>
        <v>0</v>
      </c>
      <c r="V375" s="579"/>
      <c r="W375" s="637" t="str">
        <f>IF(U371&gt;0,"xx",IF(P371&gt;0,"xy",""))</f>
        <v/>
      </c>
      <c r="X375" s="586" t="str">
        <f t="shared" si="108"/>
        <v/>
      </c>
      <c r="Y375" s="586" t="str">
        <f t="shared" si="102"/>
        <v/>
      </c>
      <c r="Z375" s="586" t="str">
        <f t="shared" si="106"/>
        <v/>
      </c>
    </row>
    <row r="376" spans="1:26" ht="12" hidden="1" thickBot="1" x14ac:dyDescent="0.25">
      <c r="A376" s="671">
        <v>589000</v>
      </c>
      <c r="B376" s="704" t="s">
        <v>1780</v>
      </c>
      <c r="C376" s="689" t="s">
        <v>1746</v>
      </c>
      <c r="D376" s="477" t="s">
        <v>659</v>
      </c>
      <c r="E376" s="470"/>
      <c r="F376" s="478">
        <v>500</v>
      </c>
      <c r="G376" s="479">
        <v>1</v>
      </c>
      <c r="H376" s="663">
        <f>(0.94*F376+46.06)*G376</f>
        <v>516.05999999999995</v>
      </c>
      <c r="I376" s="472">
        <v>5725</v>
      </c>
      <c r="J376" s="472">
        <f>IF(ISBLANK(I376),"",I376*(1+$F$9)/(1+$F$10))+H376</f>
        <v>6070.962785960779</v>
      </c>
      <c r="K376" s="690">
        <f t="shared" si="94"/>
        <v>7212.91</v>
      </c>
      <c r="L376" s="691" t="s">
        <v>20</v>
      </c>
      <c r="M376" s="692">
        <f>ROUND(M371*G371,2)</f>
        <v>0</v>
      </c>
      <c r="N376" s="588">
        <f t="shared" si="103"/>
        <v>0</v>
      </c>
      <c r="O376" s="693">
        <f t="shared" si="112"/>
        <v>0</v>
      </c>
      <c r="P376" s="694">
        <f t="shared" si="113"/>
        <v>0</v>
      </c>
      <c r="Q376" s="765"/>
      <c r="R376" s="695">
        <f>ROUND(R371*G371,2)</f>
        <v>0</v>
      </c>
      <c r="S376" s="711">
        <f>N376</f>
        <v>0</v>
      </c>
      <c r="T376" s="693">
        <f t="shared" si="110"/>
        <v>0</v>
      </c>
      <c r="U376" s="694">
        <f t="shared" si="111"/>
        <v>0</v>
      </c>
      <c r="V376" s="579"/>
      <c r="W376" s="637" t="str">
        <f>IF(U371&gt;0,"xx",IF(P371&gt;0,"xy",""))</f>
        <v/>
      </c>
      <c r="X376" s="586" t="str">
        <f t="shared" si="108"/>
        <v/>
      </c>
      <c r="Y376" s="586" t="str">
        <f t="shared" si="102"/>
        <v/>
      </c>
      <c r="Z376" s="586" t="str">
        <f t="shared" si="106"/>
        <v/>
      </c>
    </row>
    <row r="377" spans="1:26" ht="12" hidden="1" thickBot="1" x14ac:dyDescent="0.25">
      <c r="A377" s="671">
        <v>570200</v>
      </c>
      <c r="B377" s="701">
        <v>570200</v>
      </c>
      <c r="C377" s="702" t="s">
        <v>206</v>
      </c>
      <c r="D377" s="463" t="s">
        <v>1916</v>
      </c>
      <c r="E377" s="464"/>
      <c r="F377" s="465" t="s">
        <v>662</v>
      </c>
      <c r="G377" s="466">
        <v>4.4999999999999998E-2</v>
      </c>
      <c r="H377" s="681">
        <f>SUM(H378:H381)</f>
        <v>33.499560000000002</v>
      </c>
      <c r="I377" s="467">
        <v>193.88</v>
      </c>
      <c r="J377" s="467">
        <f>IF(ISBLANK(I377),"",SUM(H377:I377))</f>
        <v>227.37956</v>
      </c>
      <c r="K377" s="682">
        <f t="shared" si="94"/>
        <v>270.14999999999998</v>
      </c>
      <c r="L377" s="683" t="s">
        <v>20</v>
      </c>
      <c r="M377" s="685"/>
      <c r="N377" s="686">
        <f t="shared" si="103"/>
        <v>0</v>
      </c>
      <c r="O377" s="687">
        <f t="shared" si="112"/>
        <v>0</v>
      </c>
      <c r="P377" s="688">
        <f t="shared" si="113"/>
        <v>0</v>
      </c>
      <c r="Q377" s="765"/>
      <c r="R377" s="685">
        <f>M377</f>
        <v>0</v>
      </c>
      <c r="S377" s="686">
        <f>N377</f>
        <v>0</v>
      </c>
      <c r="T377" s="687">
        <f t="shared" si="110"/>
        <v>0</v>
      </c>
      <c r="U377" s="688">
        <f t="shared" si="111"/>
        <v>0</v>
      </c>
      <c r="V377" s="579"/>
      <c r="W377" s="566"/>
      <c r="X377" s="586" t="str">
        <f t="shared" si="108"/>
        <v/>
      </c>
      <c r="Y377" s="586" t="str">
        <f t="shared" si="102"/>
        <v/>
      </c>
      <c r="Z377" s="586" t="str">
        <f t="shared" si="106"/>
        <v/>
      </c>
    </row>
    <row r="378" spans="1:26" ht="12" hidden="1" thickBot="1" x14ac:dyDescent="0.25">
      <c r="A378" s="671" t="s">
        <v>168</v>
      </c>
      <c r="B378" s="644" t="s">
        <v>168</v>
      </c>
      <c r="C378" s="645"/>
      <c r="D378" s="451" t="s">
        <v>248</v>
      </c>
      <c r="E378" s="423"/>
      <c r="F378" s="424">
        <v>180</v>
      </c>
      <c r="G378" s="425">
        <v>1.4999999999999999E-2</v>
      </c>
      <c r="H378" s="663">
        <f t="shared" ref="H378:H380" si="116">IF(F378&lt;=30,(1.07*F378+2.68)*G378,((1.07*30+2.68)+1.07*(F378-30))*G378)</f>
        <v>2.9291999999999998</v>
      </c>
      <c r="I378" s="420">
        <v>0</v>
      </c>
      <c r="J378" s="420"/>
      <c r="K378" s="421">
        <f t="shared" si="94"/>
        <v>0</v>
      </c>
      <c r="L378" s="668" t="s">
        <v>614</v>
      </c>
      <c r="M378" s="703"/>
      <c r="N378" s="576">
        <f t="shared" si="103"/>
        <v>0</v>
      </c>
      <c r="O378" s="577">
        <f t="shared" si="112"/>
        <v>0</v>
      </c>
      <c r="P378" s="578">
        <f t="shared" si="113"/>
        <v>0</v>
      </c>
      <c r="Q378" s="765"/>
      <c r="R378" s="703"/>
      <c r="S378" s="670"/>
      <c r="T378" s="577">
        <f t="shared" si="110"/>
        <v>0</v>
      </c>
      <c r="U378" s="578">
        <f t="shared" si="111"/>
        <v>0</v>
      </c>
      <c r="V378" s="579"/>
      <c r="W378" s="637" t="str">
        <f>IF(U377&gt;0,"xx",IF(P377&gt;0,"xy",""))</f>
        <v/>
      </c>
      <c r="X378" s="586" t="str">
        <f t="shared" si="108"/>
        <v/>
      </c>
      <c r="Y378" s="586" t="str">
        <f t="shared" si="102"/>
        <v/>
      </c>
      <c r="Z378" s="586" t="str">
        <f t="shared" si="106"/>
        <v/>
      </c>
    </row>
    <row r="379" spans="1:26" ht="12" hidden="1" thickBot="1" x14ac:dyDescent="0.25">
      <c r="A379" s="671" t="s">
        <v>168</v>
      </c>
      <c r="B379" s="644" t="s">
        <v>168</v>
      </c>
      <c r="C379" s="645"/>
      <c r="D379" s="451" t="s">
        <v>249</v>
      </c>
      <c r="E379" s="423"/>
      <c r="F379" s="424">
        <v>500</v>
      </c>
      <c r="G379" s="425"/>
      <c r="H379" s="649">
        <f>IF(F379&lt;=30,(0.78*F379+7.82)*G379,((0.78*30+7.82)+0.78*(F379-30))*G379)</f>
        <v>0</v>
      </c>
      <c r="I379" s="420">
        <v>0</v>
      </c>
      <c r="J379" s="420">
        <f>IF(ISBLANK(I379),"",SUM(H379:I379))</f>
        <v>0</v>
      </c>
      <c r="K379" s="421">
        <f t="shared" ref="K379:K442" si="117">IF(ISBLANK(I379),0,ROUND(J379*(1+$F$10)*(1+$F$11*E379),2))</f>
        <v>0</v>
      </c>
      <c r="L379" s="668" t="s">
        <v>614</v>
      </c>
      <c r="M379" s="703"/>
      <c r="N379" s="576">
        <f t="shared" si="103"/>
        <v>0</v>
      </c>
      <c r="O379" s="577">
        <f t="shared" si="112"/>
        <v>0</v>
      </c>
      <c r="P379" s="578">
        <f t="shared" si="113"/>
        <v>0</v>
      </c>
      <c r="Q379" s="765"/>
      <c r="R379" s="703"/>
      <c r="S379" s="670"/>
      <c r="T379" s="577">
        <f t="shared" si="110"/>
        <v>0</v>
      </c>
      <c r="U379" s="578">
        <f t="shared" si="111"/>
        <v>0</v>
      </c>
      <c r="V379" s="579"/>
      <c r="W379" s="637" t="str">
        <f>IF(U377&gt;0,"xx",IF(P377&gt;0,"xy",""))</f>
        <v/>
      </c>
      <c r="X379" s="586" t="str">
        <f t="shared" si="108"/>
        <v/>
      </c>
      <c r="Y379" s="586" t="str">
        <f t="shared" si="102"/>
        <v/>
      </c>
      <c r="Z379" s="586" t="str">
        <f t="shared" si="106"/>
        <v/>
      </c>
    </row>
    <row r="380" spans="1:26" ht="12" hidden="1" thickBot="1" x14ac:dyDescent="0.25">
      <c r="A380" s="671" t="s">
        <v>168</v>
      </c>
      <c r="B380" s="644" t="s">
        <v>168</v>
      </c>
      <c r="C380" s="645"/>
      <c r="D380" s="451" t="s">
        <v>262</v>
      </c>
      <c r="E380" s="423"/>
      <c r="F380" s="424">
        <v>0.2</v>
      </c>
      <c r="G380" s="425">
        <v>0.94</v>
      </c>
      <c r="H380" s="663">
        <f t="shared" si="116"/>
        <v>2.7203599999999999</v>
      </c>
      <c r="I380" s="420">
        <v>0</v>
      </c>
      <c r="J380" s="420"/>
      <c r="K380" s="421">
        <f t="shared" si="117"/>
        <v>0</v>
      </c>
      <c r="L380" s="668" t="s">
        <v>614</v>
      </c>
      <c r="M380" s="703"/>
      <c r="N380" s="576">
        <f t="shared" si="103"/>
        <v>0</v>
      </c>
      <c r="O380" s="577">
        <f t="shared" si="112"/>
        <v>0</v>
      </c>
      <c r="P380" s="578">
        <f t="shared" si="113"/>
        <v>0</v>
      </c>
      <c r="Q380" s="765"/>
      <c r="R380" s="703"/>
      <c r="S380" s="670"/>
      <c r="T380" s="577">
        <f t="shared" si="110"/>
        <v>0</v>
      </c>
      <c r="U380" s="578">
        <f t="shared" si="111"/>
        <v>0</v>
      </c>
      <c r="V380" s="579"/>
      <c r="W380" s="637" t="str">
        <f>IF(U377&gt;0,"xx",IF(P377&gt;0,"xy",""))</f>
        <v/>
      </c>
      <c r="X380" s="586" t="str">
        <f t="shared" si="108"/>
        <v/>
      </c>
      <c r="Y380" s="586" t="str">
        <f t="shared" si="102"/>
        <v/>
      </c>
      <c r="Z380" s="586" t="str">
        <f t="shared" si="106"/>
        <v/>
      </c>
    </row>
    <row r="381" spans="1:26" ht="12" hidden="1" thickBot="1" x14ac:dyDescent="0.25">
      <c r="A381" s="671" t="s">
        <v>168</v>
      </c>
      <c r="B381" s="644" t="s">
        <v>168</v>
      </c>
      <c r="C381" s="645"/>
      <c r="D381" s="451" t="s">
        <v>263</v>
      </c>
      <c r="E381" s="423"/>
      <c r="F381" s="424">
        <v>20</v>
      </c>
      <c r="G381" s="425">
        <f>SUM(G377:G380)</f>
        <v>1</v>
      </c>
      <c r="H381" s="651">
        <f>IF(F381&lt;=30,(1.07*F381+6.45)*G381,((1.07*30+6.45)+1.07*(F381-30))*G381)</f>
        <v>27.85</v>
      </c>
      <c r="I381" s="420">
        <v>0</v>
      </c>
      <c r="J381" s="420"/>
      <c r="K381" s="421">
        <f t="shared" si="117"/>
        <v>0</v>
      </c>
      <c r="L381" s="668" t="s">
        <v>614</v>
      </c>
      <c r="M381" s="703"/>
      <c r="N381" s="576">
        <f t="shared" si="103"/>
        <v>0</v>
      </c>
      <c r="O381" s="577">
        <f t="shared" si="112"/>
        <v>0</v>
      </c>
      <c r="P381" s="578">
        <f t="shared" si="113"/>
        <v>0</v>
      </c>
      <c r="Q381" s="765"/>
      <c r="R381" s="703"/>
      <c r="S381" s="670"/>
      <c r="T381" s="577">
        <f t="shared" si="110"/>
        <v>0</v>
      </c>
      <c r="U381" s="578">
        <f t="shared" si="111"/>
        <v>0</v>
      </c>
      <c r="V381" s="579"/>
      <c r="W381" s="637" t="str">
        <f>IF(U377&gt;0,"xx",IF(P377&gt;0,"xy",""))</f>
        <v/>
      </c>
      <c r="X381" s="586" t="str">
        <f t="shared" si="108"/>
        <v/>
      </c>
      <c r="Y381" s="586" t="str">
        <f t="shared" si="102"/>
        <v/>
      </c>
      <c r="Z381" s="586" t="str">
        <f t="shared" si="106"/>
        <v/>
      </c>
    </row>
    <row r="382" spans="1:26" ht="12" hidden="1" thickBot="1" x14ac:dyDescent="0.25">
      <c r="A382" s="671">
        <v>589000</v>
      </c>
      <c r="B382" s="704" t="s">
        <v>1781</v>
      </c>
      <c r="C382" s="689" t="s">
        <v>1746</v>
      </c>
      <c r="D382" s="477" t="s">
        <v>659</v>
      </c>
      <c r="E382" s="470"/>
      <c r="F382" s="478">
        <v>500</v>
      </c>
      <c r="G382" s="479">
        <v>1</v>
      </c>
      <c r="H382" s="663">
        <f>(0.94*F382+46.06)*G382</f>
        <v>516.05999999999995</v>
      </c>
      <c r="I382" s="472">
        <v>5725</v>
      </c>
      <c r="J382" s="472">
        <f>IF(ISBLANK(I382),"",I382*(1+$F$9)/(1+$F$10))+H382</f>
        <v>6070.962785960779</v>
      </c>
      <c r="K382" s="690">
        <f t="shared" si="117"/>
        <v>7212.91</v>
      </c>
      <c r="L382" s="691" t="s">
        <v>20</v>
      </c>
      <c r="M382" s="692">
        <f>ROUND(M377*G377,2)</f>
        <v>0</v>
      </c>
      <c r="N382" s="696">
        <f t="shared" si="103"/>
        <v>0</v>
      </c>
      <c r="O382" s="693">
        <f t="shared" si="112"/>
        <v>0</v>
      </c>
      <c r="P382" s="694">
        <f t="shared" si="113"/>
        <v>0</v>
      </c>
      <c r="Q382" s="765"/>
      <c r="R382" s="695">
        <f>ROUND(R377*G377,2)</f>
        <v>0</v>
      </c>
      <c r="S382" s="711">
        <f>N382</f>
        <v>0</v>
      </c>
      <c r="T382" s="693">
        <f t="shared" si="110"/>
        <v>0</v>
      </c>
      <c r="U382" s="694">
        <f t="shared" si="111"/>
        <v>0</v>
      </c>
      <c r="V382" s="579"/>
      <c r="W382" s="637" t="str">
        <f>IF(U377&gt;0,"xx",IF(P377&gt;0,"xy",""))</f>
        <v/>
      </c>
      <c r="X382" s="586" t="str">
        <f t="shared" si="108"/>
        <v/>
      </c>
      <c r="Y382" s="586" t="str">
        <f t="shared" si="102"/>
        <v/>
      </c>
      <c r="Z382" s="586" t="str">
        <f t="shared" si="106"/>
        <v/>
      </c>
    </row>
    <row r="383" spans="1:26" ht="12" hidden="1" thickBot="1" x14ac:dyDescent="0.25">
      <c r="A383" s="671">
        <v>570210</v>
      </c>
      <c r="B383" s="701">
        <v>570210</v>
      </c>
      <c r="C383" s="702" t="s">
        <v>206</v>
      </c>
      <c r="D383" s="463" t="s">
        <v>1917</v>
      </c>
      <c r="E383" s="464"/>
      <c r="F383" s="465" t="s">
        <v>662</v>
      </c>
      <c r="G383" s="466">
        <v>4.4999999999999998E-2</v>
      </c>
      <c r="H383" s="681">
        <f>SUM(H384:H387)</f>
        <v>33.499560000000002</v>
      </c>
      <c r="I383" s="467">
        <v>172.14</v>
      </c>
      <c r="J383" s="467">
        <f>IF(ISBLANK(I383),"",SUM(H383:I383))</f>
        <v>205.63955999999999</v>
      </c>
      <c r="K383" s="682">
        <f t="shared" si="117"/>
        <v>244.32</v>
      </c>
      <c r="L383" s="683" t="s">
        <v>20</v>
      </c>
      <c r="M383" s="685"/>
      <c r="N383" s="576">
        <f t="shared" si="103"/>
        <v>0</v>
      </c>
      <c r="O383" s="687">
        <f t="shared" si="112"/>
        <v>0</v>
      </c>
      <c r="P383" s="688">
        <f t="shared" si="113"/>
        <v>0</v>
      </c>
      <c r="Q383" s="765"/>
      <c r="R383" s="685">
        <f>M383</f>
        <v>0</v>
      </c>
      <c r="S383" s="686">
        <f>N383</f>
        <v>0</v>
      </c>
      <c r="T383" s="687">
        <f t="shared" si="110"/>
        <v>0</v>
      </c>
      <c r="U383" s="688">
        <f t="shared" si="111"/>
        <v>0</v>
      </c>
      <c r="V383" s="579"/>
      <c r="W383" s="566"/>
      <c r="X383" s="586" t="str">
        <f t="shared" si="108"/>
        <v/>
      </c>
      <c r="Y383" s="586" t="str">
        <f t="shared" si="102"/>
        <v/>
      </c>
      <c r="Z383" s="586" t="str">
        <f t="shared" si="106"/>
        <v/>
      </c>
    </row>
    <row r="384" spans="1:26" ht="12" hidden="1" thickBot="1" x14ac:dyDescent="0.25">
      <c r="A384" s="671" t="s">
        <v>168</v>
      </c>
      <c r="B384" s="644" t="s">
        <v>168</v>
      </c>
      <c r="C384" s="645"/>
      <c r="D384" s="451" t="s">
        <v>248</v>
      </c>
      <c r="E384" s="423"/>
      <c r="F384" s="424">
        <v>180</v>
      </c>
      <c r="G384" s="425">
        <v>1.4999999999999999E-2</v>
      </c>
      <c r="H384" s="663">
        <f t="shared" ref="H384:H386" si="118">IF(F384&lt;=30,(1.07*F384+2.68)*G384,((1.07*30+2.68)+1.07*(F384-30))*G384)</f>
        <v>2.9291999999999998</v>
      </c>
      <c r="I384" s="420">
        <v>0</v>
      </c>
      <c r="J384" s="420"/>
      <c r="K384" s="421">
        <f t="shared" si="117"/>
        <v>0</v>
      </c>
      <c r="L384" s="668" t="s">
        <v>614</v>
      </c>
      <c r="M384" s="703"/>
      <c r="N384" s="576">
        <f t="shared" si="103"/>
        <v>0</v>
      </c>
      <c r="O384" s="577">
        <f t="shared" si="112"/>
        <v>0</v>
      </c>
      <c r="P384" s="578">
        <f t="shared" si="113"/>
        <v>0</v>
      </c>
      <c r="Q384" s="765"/>
      <c r="R384" s="703"/>
      <c r="S384" s="670"/>
      <c r="T384" s="577">
        <f t="shared" si="110"/>
        <v>0</v>
      </c>
      <c r="U384" s="578">
        <f t="shared" si="111"/>
        <v>0</v>
      </c>
      <c r="V384" s="579"/>
      <c r="W384" s="637" t="str">
        <f>IF(U383&gt;0,"xx",IF(P383&gt;0,"xy",""))</f>
        <v/>
      </c>
      <c r="X384" s="586" t="str">
        <f t="shared" si="108"/>
        <v/>
      </c>
      <c r="Y384" s="586" t="str">
        <f t="shared" si="102"/>
        <v/>
      </c>
      <c r="Z384" s="586" t="str">
        <f t="shared" si="106"/>
        <v/>
      </c>
    </row>
    <row r="385" spans="1:26" ht="12" hidden="1" thickBot="1" x14ac:dyDescent="0.25">
      <c r="A385" s="671" t="s">
        <v>168</v>
      </c>
      <c r="B385" s="644" t="s">
        <v>168</v>
      </c>
      <c r="C385" s="645"/>
      <c r="D385" s="451" t="s">
        <v>249</v>
      </c>
      <c r="E385" s="423"/>
      <c r="F385" s="424">
        <v>500</v>
      </c>
      <c r="G385" s="425"/>
      <c r="H385" s="649">
        <f>IF(F385&lt;=30,(0.78*F385+7.82)*G385,((0.78*30+7.82)+0.78*(F385-30))*G385)</f>
        <v>0</v>
      </c>
      <c r="I385" s="420">
        <v>0</v>
      </c>
      <c r="J385" s="420">
        <f>IF(ISBLANK(I385),"",SUM(H385:I385))</f>
        <v>0</v>
      </c>
      <c r="K385" s="421">
        <f t="shared" si="117"/>
        <v>0</v>
      </c>
      <c r="L385" s="668" t="s">
        <v>614</v>
      </c>
      <c r="M385" s="703"/>
      <c r="N385" s="576">
        <f t="shared" si="103"/>
        <v>0</v>
      </c>
      <c r="O385" s="577">
        <f t="shared" si="112"/>
        <v>0</v>
      </c>
      <c r="P385" s="578">
        <f t="shared" si="113"/>
        <v>0</v>
      </c>
      <c r="Q385" s="765"/>
      <c r="R385" s="703"/>
      <c r="S385" s="670"/>
      <c r="T385" s="577">
        <f t="shared" si="110"/>
        <v>0</v>
      </c>
      <c r="U385" s="578">
        <f t="shared" si="111"/>
        <v>0</v>
      </c>
      <c r="V385" s="579"/>
      <c r="W385" s="637" t="str">
        <f>IF(U383&gt;0,"xx",IF(P383&gt;0,"xy",""))</f>
        <v/>
      </c>
      <c r="X385" s="586" t="str">
        <f t="shared" si="108"/>
        <v/>
      </c>
      <c r="Y385" s="586" t="str">
        <f t="shared" si="102"/>
        <v/>
      </c>
      <c r="Z385" s="586" t="str">
        <f t="shared" si="106"/>
        <v/>
      </c>
    </row>
    <row r="386" spans="1:26" ht="12" hidden="1" thickBot="1" x14ac:dyDescent="0.25">
      <c r="A386" s="671" t="s">
        <v>168</v>
      </c>
      <c r="B386" s="644" t="s">
        <v>168</v>
      </c>
      <c r="C386" s="645"/>
      <c r="D386" s="451" t="s">
        <v>262</v>
      </c>
      <c r="E386" s="423"/>
      <c r="F386" s="424">
        <v>0.2</v>
      </c>
      <c r="G386" s="425">
        <v>0.94</v>
      </c>
      <c r="H386" s="663">
        <f t="shared" si="118"/>
        <v>2.7203599999999999</v>
      </c>
      <c r="I386" s="420">
        <v>0</v>
      </c>
      <c r="J386" s="420"/>
      <c r="K386" s="421">
        <f t="shared" si="117"/>
        <v>0</v>
      </c>
      <c r="L386" s="668" t="s">
        <v>614</v>
      </c>
      <c r="M386" s="703"/>
      <c r="N386" s="576">
        <f t="shared" si="103"/>
        <v>0</v>
      </c>
      <c r="O386" s="577">
        <f t="shared" si="112"/>
        <v>0</v>
      </c>
      <c r="P386" s="578">
        <f t="shared" si="113"/>
        <v>0</v>
      </c>
      <c r="Q386" s="765"/>
      <c r="R386" s="703"/>
      <c r="S386" s="670"/>
      <c r="T386" s="577">
        <f t="shared" si="110"/>
        <v>0</v>
      </c>
      <c r="U386" s="578">
        <f t="shared" si="111"/>
        <v>0</v>
      </c>
      <c r="V386" s="579"/>
      <c r="W386" s="637" t="str">
        <f>IF(U383&gt;0,"xx",IF(P383&gt;0,"xy",""))</f>
        <v/>
      </c>
      <c r="X386" s="586" t="str">
        <f t="shared" si="108"/>
        <v/>
      </c>
      <c r="Y386" s="586" t="str">
        <f t="shared" si="102"/>
        <v/>
      </c>
      <c r="Z386" s="586" t="str">
        <f t="shared" si="106"/>
        <v/>
      </c>
    </row>
    <row r="387" spans="1:26" ht="12" hidden="1" thickBot="1" x14ac:dyDescent="0.25">
      <c r="A387" s="671" t="s">
        <v>168</v>
      </c>
      <c r="B387" s="644" t="s">
        <v>168</v>
      </c>
      <c r="C387" s="645"/>
      <c r="D387" s="451" t="s">
        <v>263</v>
      </c>
      <c r="E387" s="423"/>
      <c r="F387" s="424">
        <v>20</v>
      </c>
      <c r="G387" s="425">
        <f>SUM(G383:G386)</f>
        <v>1</v>
      </c>
      <c r="H387" s="651">
        <f>IF(F387&lt;=30,(1.07*F387+6.45)*G387,((1.07*30+6.45)+1.07*(F387-30))*G387)</f>
        <v>27.85</v>
      </c>
      <c r="I387" s="420">
        <v>0</v>
      </c>
      <c r="J387" s="420"/>
      <c r="K387" s="421">
        <f t="shared" si="117"/>
        <v>0</v>
      </c>
      <c r="L387" s="668" t="s">
        <v>614</v>
      </c>
      <c r="M387" s="703"/>
      <c r="N387" s="576">
        <f t="shared" si="103"/>
        <v>0</v>
      </c>
      <c r="O387" s="577">
        <f t="shared" si="112"/>
        <v>0</v>
      </c>
      <c r="P387" s="578">
        <f t="shared" si="113"/>
        <v>0</v>
      </c>
      <c r="Q387" s="765"/>
      <c r="R387" s="703"/>
      <c r="S387" s="670"/>
      <c r="T387" s="577">
        <f t="shared" si="110"/>
        <v>0</v>
      </c>
      <c r="U387" s="578">
        <f t="shared" si="111"/>
        <v>0</v>
      </c>
      <c r="V387" s="579"/>
      <c r="W387" s="637" t="str">
        <f>IF(U383&gt;0,"xx",IF(P383&gt;0,"xy",""))</f>
        <v/>
      </c>
      <c r="X387" s="586" t="str">
        <f t="shared" si="108"/>
        <v/>
      </c>
      <c r="Y387" s="586" t="str">
        <f t="shared" si="102"/>
        <v/>
      </c>
      <c r="Z387" s="586" t="str">
        <f t="shared" si="106"/>
        <v/>
      </c>
    </row>
    <row r="388" spans="1:26" ht="12" hidden="1" thickBot="1" x14ac:dyDescent="0.25">
      <c r="A388" s="671">
        <v>589000</v>
      </c>
      <c r="B388" s="704" t="s">
        <v>1782</v>
      </c>
      <c r="C388" s="689" t="s">
        <v>1746</v>
      </c>
      <c r="D388" s="477" t="s">
        <v>659</v>
      </c>
      <c r="E388" s="470"/>
      <c r="F388" s="478">
        <v>500</v>
      </c>
      <c r="G388" s="479">
        <v>1</v>
      </c>
      <c r="H388" s="663">
        <f>(0.94*F388+46.06)*G388</f>
        <v>516.05999999999995</v>
      </c>
      <c r="I388" s="472">
        <v>5725</v>
      </c>
      <c r="J388" s="472">
        <f>IF(ISBLANK(I388),"",I388*(1+$F$9)/(1+$F$10))+H388</f>
        <v>6070.962785960779</v>
      </c>
      <c r="K388" s="690">
        <f t="shared" si="117"/>
        <v>7212.91</v>
      </c>
      <c r="L388" s="691" t="s">
        <v>20</v>
      </c>
      <c r="M388" s="692">
        <f>ROUND(M383*G383,2)</f>
        <v>0</v>
      </c>
      <c r="N388" s="588">
        <f t="shared" si="103"/>
        <v>0</v>
      </c>
      <c r="O388" s="693">
        <f t="shared" si="112"/>
        <v>0</v>
      </c>
      <c r="P388" s="694">
        <f t="shared" si="113"/>
        <v>0</v>
      </c>
      <c r="Q388" s="765"/>
      <c r="R388" s="695">
        <f>ROUND(R383*G383,2)</f>
        <v>0</v>
      </c>
      <c r="S388" s="711">
        <f>N388</f>
        <v>0</v>
      </c>
      <c r="T388" s="693">
        <f t="shared" si="110"/>
        <v>0</v>
      </c>
      <c r="U388" s="694">
        <f t="shared" si="111"/>
        <v>0</v>
      </c>
      <c r="V388" s="579"/>
      <c r="W388" s="637" t="str">
        <f>IF(U383&gt;0,"xx",IF(P383&gt;0,"xy",""))</f>
        <v/>
      </c>
      <c r="X388" s="586" t="str">
        <f t="shared" si="108"/>
        <v/>
      </c>
      <c r="Y388" s="586" t="str">
        <f t="shared" si="102"/>
        <v/>
      </c>
      <c r="Z388" s="586" t="str">
        <f t="shared" si="106"/>
        <v/>
      </c>
    </row>
    <row r="389" spans="1:26" x14ac:dyDescent="0.2">
      <c r="A389" s="671">
        <v>570000</v>
      </c>
      <c r="B389" s="701" t="s">
        <v>1783</v>
      </c>
      <c r="C389" s="702" t="s">
        <v>206</v>
      </c>
      <c r="D389" s="463" t="s">
        <v>1918</v>
      </c>
      <c r="E389" s="464"/>
      <c r="F389" s="465" t="s">
        <v>662</v>
      </c>
      <c r="G389" s="466">
        <v>5.7000000000000002E-2</v>
      </c>
      <c r="H389" s="681">
        <f>SUM(H390:H393)</f>
        <v>64.300032000000002</v>
      </c>
      <c r="I389" s="467">
        <v>201.51</v>
      </c>
      <c r="J389" s="467">
        <f>IF(ISBLANK(I389),"",SUM(H389:I389))</f>
        <v>265.81003199999998</v>
      </c>
      <c r="K389" s="682">
        <f t="shared" si="117"/>
        <v>315.81</v>
      </c>
      <c r="L389" s="683" t="s">
        <v>20</v>
      </c>
      <c r="M389" s="576">
        <f>'ORÇ AV PADRE IVO'!M389+'ORÇ JOÃO NUNES'!M389+'ORÇ LAUDOMIRO'!M389</f>
        <v>624.67999999999995</v>
      </c>
      <c r="N389" s="686">
        <f t="shared" si="103"/>
        <v>315.81</v>
      </c>
      <c r="O389" s="687">
        <f t="shared" si="112"/>
        <v>197280.19</v>
      </c>
      <c r="P389" s="688">
        <f t="shared" si="113"/>
        <v>197280.19</v>
      </c>
      <c r="Q389" s="765"/>
      <c r="R389" s="685">
        <f>M389</f>
        <v>624.67999999999995</v>
      </c>
      <c r="S389" s="686">
        <f>N389</f>
        <v>315.81</v>
      </c>
      <c r="T389" s="687">
        <f t="shared" si="110"/>
        <v>197280.19</v>
      </c>
      <c r="U389" s="688">
        <f t="shared" si="111"/>
        <v>197280.19</v>
      </c>
      <c r="V389" s="579"/>
      <c r="W389" s="566"/>
      <c r="X389" s="586" t="str">
        <f t="shared" si="108"/>
        <v>x</v>
      </c>
      <c r="Y389" s="586" t="str">
        <f t="shared" si="102"/>
        <v>x</v>
      </c>
      <c r="Z389" s="586" t="str">
        <f t="shared" si="106"/>
        <v>x</v>
      </c>
    </row>
    <row r="390" spans="1:26" x14ac:dyDescent="0.2">
      <c r="A390" s="671" t="s">
        <v>168</v>
      </c>
      <c r="B390" s="644" t="s">
        <v>168</v>
      </c>
      <c r="C390" s="645"/>
      <c r="D390" s="451" t="s">
        <v>248</v>
      </c>
      <c r="E390" s="423"/>
      <c r="F390" s="805">
        <v>260</v>
      </c>
      <c r="G390" s="425">
        <v>0.1</v>
      </c>
      <c r="H390" s="663">
        <f t="shared" ref="H390:H392" si="119">IF(F390&lt;=30,(1.07*F390+2.68)*G390,((1.07*30+2.68)+1.07*(F390-30))*G390)</f>
        <v>28.088000000000001</v>
      </c>
      <c r="I390" s="420">
        <v>0</v>
      </c>
      <c r="J390" s="420"/>
      <c r="K390" s="421">
        <f t="shared" si="117"/>
        <v>0</v>
      </c>
      <c r="L390" s="647" t="s">
        <v>614</v>
      </c>
      <c r="M390" s="703"/>
      <c r="N390" s="576">
        <f t="shared" si="103"/>
        <v>0</v>
      </c>
      <c r="O390" s="577">
        <f t="shared" si="112"/>
        <v>0</v>
      </c>
      <c r="P390" s="578">
        <f t="shared" si="113"/>
        <v>0</v>
      </c>
      <c r="Q390" s="765"/>
      <c r="R390" s="703"/>
      <c r="S390" s="670"/>
      <c r="T390" s="577">
        <f t="shared" si="110"/>
        <v>0</v>
      </c>
      <c r="U390" s="578">
        <f t="shared" si="111"/>
        <v>0</v>
      </c>
      <c r="V390" s="579"/>
      <c r="W390" s="637" t="str">
        <f>IF(U389&gt;0,"xx",IF(P389&gt;0,"xy",""))</f>
        <v>xx</v>
      </c>
      <c r="X390" s="586" t="str">
        <f t="shared" si="108"/>
        <v>x</v>
      </c>
      <c r="Y390" s="586" t="str">
        <f t="shared" si="102"/>
        <v>x</v>
      </c>
      <c r="Z390" s="586" t="str">
        <f t="shared" si="106"/>
        <v/>
      </c>
    </row>
    <row r="391" spans="1:26" x14ac:dyDescent="0.2">
      <c r="A391" s="671" t="s">
        <v>168</v>
      </c>
      <c r="B391" s="644" t="s">
        <v>168</v>
      </c>
      <c r="C391" s="645"/>
      <c r="D391" s="451" t="s">
        <v>249</v>
      </c>
      <c r="E391" s="423"/>
      <c r="F391" s="805">
        <v>445</v>
      </c>
      <c r="G391" s="425">
        <v>1.4999999999999999E-2</v>
      </c>
      <c r="H391" s="649">
        <f>IF(F391&lt;=30,(0.78*F391+7.82)*G391,((0.78*30+7.82)+0.78*(F391-30))*G391)</f>
        <v>5.3238000000000003</v>
      </c>
      <c r="I391" s="420">
        <v>0</v>
      </c>
      <c r="J391" s="420"/>
      <c r="K391" s="421">
        <f t="shared" si="117"/>
        <v>0</v>
      </c>
      <c r="L391" s="647" t="s">
        <v>614</v>
      </c>
      <c r="M391" s="703"/>
      <c r="N391" s="576">
        <f t="shared" si="103"/>
        <v>0</v>
      </c>
      <c r="O391" s="577">
        <f t="shared" si="112"/>
        <v>0</v>
      </c>
      <c r="P391" s="578">
        <f t="shared" si="113"/>
        <v>0</v>
      </c>
      <c r="Q391" s="765"/>
      <c r="R391" s="703"/>
      <c r="S391" s="670"/>
      <c r="T391" s="577">
        <f t="shared" si="110"/>
        <v>0</v>
      </c>
      <c r="U391" s="578">
        <f t="shared" si="111"/>
        <v>0</v>
      </c>
      <c r="V391" s="579"/>
      <c r="W391" s="637" t="str">
        <f>IF(U389&gt;0,"xx",IF(P389&gt;0,"xy",""))</f>
        <v>xx</v>
      </c>
      <c r="X391" s="586" t="str">
        <f t="shared" si="108"/>
        <v>x</v>
      </c>
      <c r="Y391" s="586" t="str">
        <f t="shared" si="102"/>
        <v>x</v>
      </c>
      <c r="Z391" s="586" t="str">
        <f t="shared" si="106"/>
        <v/>
      </c>
    </row>
    <row r="392" spans="1:26" x14ac:dyDescent="0.2">
      <c r="A392" s="671" t="s">
        <v>168</v>
      </c>
      <c r="B392" s="644" t="s">
        <v>168</v>
      </c>
      <c r="C392" s="645"/>
      <c r="D392" s="451" t="s">
        <v>262</v>
      </c>
      <c r="E392" s="423"/>
      <c r="F392" s="805">
        <v>0.2</v>
      </c>
      <c r="G392" s="425">
        <v>0.82799999999999996</v>
      </c>
      <c r="H392" s="663">
        <f t="shared" si="119"/>
        <v>2.3962319999999999</v>
      </c>
      <c r="I392" s="420">
        <v>0</v>
      </c>
      <c r="J392" s="420"/>
      <c r="K392" s="421">
        <f t="shared" si="117"/>
        <v>0</v>
      </c>
      <c r="L392" s="647" t="s">
        <v>614</v>
      </c>
      <c r="M392" s="703"/>
      <c r="N392" s="576">
        <f t="shared" si="103"/>
        <v>0</v>
      </c>
      <c r="O392" s="577">
        <f t="shared" si="112"/>
        <v>0</v>
      </c>
      <c r="P392" s="578">
        <f t="shared" si="113"/>
        <v>0</v>
      </c>
      <c r="Q392" s="765"/>
      <c r="R392" s="703"/>
      <c r="S392" s="670"/>
      <c r="T392" s="577">
        <f t="shared" si="110"/>
        <v>0</v>
      </c>
      <c r="U392" s="578">
        <f t="shared" si="111"/>
        <v>0</v>
      </c>
      <c r="V392" s="579"/>
      <c r="W392" s="637" t="str">
        <f>IF(U389&gt;0,"xx",IF(P389&gt;0,"xy",""))</f>
        <v>xx</v>
      </c>
      <c r="X392" s="586" t="str">
        <f t="shared" si="108"/>
        <v>x</v>
      </c>
      <c r="Y392" s="586" t="str">
        <f t="shared" si="102"/>
        <v>x</v>
      </c>
      <c r="Z392" s="586" t="str">
        <f t="shared" si="106"/>
        <v/>
      </c>
    </row>
    <row r="393" spans="1:26" x14ac:dyDescent="0.2">
      <c r="A393" s="671" t="s">
        <v>168</v>
      </c>
      <c r="B393" s="644" t="s">
        <v>168</v>
      </c>
      <c r="C393" s="645"/>
      <c r="D393" s="451" t="s">
        <v>263</v>
      </c>
      <c r="E393" s="423"/>
      <c r="F393" s="805">
        <v>20.6</v>
      </c>
      <c r="G393" s="425">
        <f>SUM(G389:G392)</f>
        <v>1</v>
      </c>
      <c r="H393" s="651">
        <f>IF(F393&lt;=30,(1.07*F393+6.45)*G393,((1.07*30+6.45)+1.07*(F393-30))*G393)</f>
        <v>28.492000000000001</v>
      </c>
      <c r="I393" s="420">
        <v>0</v>
      </c>
      <c r="J393" s="420"/>
      <c r="K393" s="421">
        <f t="shared" si="117"/>
        <v>0</v>
      </c>
      <c r="L393" s="647" t="s">
        <v>614</v>
      </c>
      <c r="M393" s="703"/>
      <c r="N393" s="576">
        <f t="shared" si="103"/>
        <v>0</v>
      </c>
      <c r="O393" s="577">
        <f t="shared" si="112"/>
        <v>0</v>
      </c>
      <c r="P393" s="578">
        <f t="shared" si="113"/>
        <v>0</v>
      </c>
      <c r="Q393" s="765"/>
      <c r="R393" s="703"/>
      <c r="S393" s="670"/>
      <c r="T393" s="577">
        <f t="shared" si="110"/>
        <v>0</v>
      </c>
      <c r="U393" s="578">
        <f t="shared" si="111"/>
        <v>0</v>
      </c>
      <c r="V393" s="579"/>
      <c r="W393" s="637" t="str">
        <f>IF(U389&gt;0,"xx",IF(P389&gt;0,"xy",""))</f>
        <v>xx</v>
      </c>
      <c r="X393" s="586" t="str">
        <f t="shared" si="108"/>
        <v>x</v>
      </c>
      <c r="Y393" s="586" t="str">
        <f t="shared" si="102"/>
        <v>x</v>
      </c>
      <c r="Z393" s="586" t="str">
        <f t="shared" si="106"/>
        <v/>
      </c>
    </row>
    <row r="394" spans="1:26" ht="12" thickBot="1" x14ac:dyDescent="0.25">
      <c r="A394" s="671">
        <v>589000</v>
      </c>
      <c r="B394" s="704" t="s">
        <v>1784</v>
      </c>
      <c r="C394" s="689" t="s">
        <v>1746</v>
      </c>
      <c r="D394" s="477" t="s">
        <v>659</v>
      </c>
      <c r="E394" s="470"/>
      <c r="F394" s="806">
        <v>465</v>
      </c>
      <c r="G394" s="479">
        <v>1</v>
      </c>
      <c r="H394" s="663">
        <f>(0.94*F394+46.06)*G394</f>
        <v>483.15999999999997</v>
      </c>
      <c r="I394" s="472">
        <v>5725</v>
      </c>
      <c r="J394" s="472">
        <f>IF(ISBLANK(I394),"",I394*(1+$F$9)/(1+$F$10))+H394</f>
        <v>6038.0627859607785</v>
      </c>
      <c r="K394" s="690">
        <f t="shared" si="117"/>
        <v>7173.82</v>
      </c>
      <c r="L394" s="691" t="s">
        <v>20</v>
      </c>
      <c r="M394" s="692">
        <f>ROUND(M389*G389,2)</f>
        <v>35.61</v>
      </c>
      <c r="N394" s="696">
        <f t="shared" si="103"/>
        <v>7173.82</v>
      </c>
      <c r="O394" s="693">
        <f t="shared" si="112"/>
        <v>255459.73</v>
      </c>
      <c r="P394" s="694">
        <f t="shared" si="113"/>
        <v>255459.73</v>
      </c>
      <c r="Q394" s="765"/>
      <c r="R394" s="695">
        <f>ROUND(R389*G389,2)</f>
        <v>35.61</v>
      </c>
      <c r="S394" s="711">
        <f>N394</f>
        <v>7173.82</v>
      </c>
      <c r="T394" s="693">
        <f t="shared" si="110"/>
        <v>255459.73</v>
      </c>
      <c r="U394" s="694">
        <f t="shared" si="111"/>
        <v>255459.73</v>
      </c>
      <c r="V394" s="579"/>
      <c r="W394" s="637" t="str">
        <f>IF(U389&gt;0,"xx",IF(P389&gt;0,"xy",""))</f>
        <v>xx</v>
      </c>
      <c r="X394" s="586" t="str">
        <f t="shared" si="108"/>
        <v>x</v>
      </c>
      <c r="Y394" s="586" t="str">
        <f t="shared" si="102"/>
        <v>x</v>
      </c>
      <c r="Z394" s="586" t="str">
        <f t="shared" si="106"/>
        <v>x</v>
      </c>
    </row>
    <row r="395" spans="1:26" x14ac:dyDescent="0.2">
      <c r="A395" s="671">
        <v>570000</v>
      </c>
      <c r="B395" s="701" t="s">
        <v>1785</v>
      </c>
      <c r="C395" s="702" t="s">
        <v>206</v>
      </c>
      <c r="D395" s="463" t="s">
        <v>2100</v>
      </c>
      <c r="E395" s="464"/>
      <c r="F395" s="465" t="s">
        <v>662</v>
      </c>
      <c r="G395" s="466">
        <v>0.05</v>
      </c>
      <c r="H395" s="681">
        <f>SUM(H396:H399)</f>
        <v>64.585285400000004</v>
      </c>
      <c r="I395" s="467">
        <v>201.51</v>
      </c>
      <c r="J395" s="467">
        <f>IF(ISBLANK(I395),"",SUM(H395:I395))</f>
        <v>266.09528539999997</v>
      </c>
      <c r="K395" s="682">
        <f t="shared" si="117"/>
        <v>316.14999999999998</v>
      </c>
      <c r="L395" s="683" t="s">
        <v>20</v>
      </c>
      <c r="M395" s="576">
        <f>'ORÇ AV PADRE IVO'!M395+'ORÇ JOÃO NUNES'!M395+'ORÇ LAUDOMIRO'!M395</f>
        <v>936.71999999999991</v>
      </c>
      <c r="N395" s="576">
        <f t="shared" si="103"/>
        <v>316.14999999999998</v>
      </c>
      <c r="O395" s="687">
        <f t="shared" si="112"/>
        <v>296144.03000000003</v>
      </c>
      <c r="P395" s="688">
        <f t="shared" si="113"/>
        <v>296144.03000000003</v>
      </c>
      <c r="Q395" s="765"/>
      <c r="R395" s="685">
        <f>M395</f>
        <v>936.71999999999991</v>
      </c>
      <c r="S395" s="686">
        <f>N395</f>
        <v>316.14999999999998</v>
      </c>
      <c r="T395" s="687">
        <f t="shared" si="110"/>
        <v>296144.03000000003</v>
      </c>
      <c r="U395" s="688">
        <f t="shared" si="111"/>
        <v>296144.03000000003</v>
      </c>
      <c r="V395" s="579"/>
      <c r="W395" s="566"/>
      <c r="X395" s="586" t="str">
        <f t="shared" si="108"/>
        <v>x</v>
      </c>
      <c r="Y395" s="586" t="str">
        <f t="shared" si="102"/>
        <v>x</v>
      </c>
      <c r="Z395" s="586" t="str">
        <f t="shared" si="106"/>
        <v>x</v>
      </c>
    </row>
    <row r="396" spans="1:26" x14ac:dyDescent="0.2">
      <c r="A396" s="671" t="s">
        <v>168</v>
      </c>
      <c r="B396" s="644" t="s">
        <v>168</v>
      </c>
      <c r="C396" s="645"/>
      <c r="D396" s="451" t="s">
        <v>248</v>
      </c>
      <c r="E396" s="423"/>
      <c r="F396" s="805">
        <v>260</v>
      </c>
      <c r="G396" s="425">
        <v>0.1007</v>
      </c>
      <c r="H396" s="663">
        <f t="shared" ref="H396:H398" si="120">IF(F396&lt;=30,(1.07*F396+2.68)*G396,((1.07*30+2.68)+1.07*(F396-30))*G396)</f>
        <v>28.284616</v>
      </c>
      <c r="I396" s="420">
        <v>0</v>
      </c>
      <c r="J396" s="420"/>
      <c r="K396" s="421">
        <f t="shared" si="117"/>
        <v>0</v>
      </c>
      <c r="L396" s="647" t="s">
        <v>614</v>
      </c>
      <c r="M396" s="703"/>
      <c r="N396" s="576">
        <f t="shared" si="103"/>
        <v>0</v>
      </c>
      <c r="O396" s="577">
        <f t="shared" si="112"/>
        <v>0</v>
      </c>
      <c r="P396" s="578">
        <f t="shared" si="113"/>
        <v>0</v>
      </c>
      <c r="Q396" s="765"/>
      <c r="R396" s="703"/>
      <c r="S396" s="670"/>
      <c r="T396" s="577">
        <f t="shared" si="110"/>
        <v>0</v>
      </c>
      <c r="U396" s="578">
        <f t="shared" si="111"/>
        <v>0</v>
      </c>
      <c r="V396" s="579"/>
      <c r="W396" s="637" t="str">
        <f>IF(U395&gt;0,"xx",IF(P395&gt;0,"xy",""))</f>
        <v>xx</v>
      </c>
      <c r="X396" s="586" t="str">
        <f t="shared" si="108"/>
        <v>x</v>
      </c>
      <c r="Y396" s="586" t="str">
        <f t="shared" si="102"/>
        <v>x</v>
      </c>
      <c r="Z396" s="586" t="str">
        <f t="shared" si="106"/>
        <v/>
      </c>
    </row>
    <row r="397" spans="1:26" x14ac:dyDescent="0.2">
      <c r="A397" s="671" t="s">
        <v>168</v>
      </c>
      <c r="B397" s="644" t="s">
        <v>168</v>
      </c>
      <c r="C397" s="645"/>
      <c r="D397" s="451" t="s">
        <v>249</v>
      </c>
      <c r="E397" s="423"/>
      <c r="F397" s="805">
        <v>445</v>
      </c>
      <c r="G397" s="425">
        <v>1.52E-2</v>
      </c>
      <c r="H397" s="649">
        <f>IF(F397&lt;=30,(0.78*F397+7.82)*G397,((0.78*30+7.82)+0.78*(F397-30))*G397)</f>
        <v>5.3947840000000005</v>
      </c>
      <c r="I397" s="420">
        <v>0</v>
      </c>
      <c r="J397" s="420"/>
      <c r="K397" s="421">
        <f t="shared" si="117"/>
        <v>0</v>
      </c>
      <c r="L397" s="647" t="s">
        <v>614</v>
      </c>
      <c r="M397" s="703"/>
      <c r="N397" s="576">
        <f t="shared" si="103"/>
        <v>0</v>
      </c>
      <c r="O397" s="577">
        <f t="shared" si="112"/>
        <v>0</v>
      </c>
      <c r="P397" s="578">
        <f t="shared" si="113"/>
        <v>0</v>
      </c>
      <c r="Q397" s="765"/>
      <c r="R397" s="703"/>
      <c r="S397" s="670"/>
      <c r="T397" s="577">
        <f t="shared" si="110"/>
        <v>0</v>
      </c>
      <c r="U397" s="578">
        <f t="shared" si="111"/>
        <v>0</v>
      </c>
      <c r="V397" s="579"/>
      <c r="W397" s="637" t="str">
        <f>IF(U395&gt;0,"xx",IF(P395&gt;0,"xy",""))</f>
        <v>xx</v>
      </c>
      <c r="X397" s="586" t="str">
        <f t="shared" si="108"/>
        <v>x</v>
      </c>
      <c r="Y397" s="586" t="str">
        <f t="shared" si="102"/>
        <v>x</v>
      </c>
      <c r="Z397" s="586" t="str">
        <f t="shared" si="106"/>
        <v/>
      </c>
    </row>
    <row r="398" spans="1:26" x14ac:dyDescent="0.2">
      <c r="A398" s="671" t="s">
        <v>168</v>
      </c>
      <c r="B398" s="644" t="s">
        <v>168</v>
      </c>
      <c r="C398" s="645"/>
      <c r="D398" s="451" t="s">
        <v>262</v>
      </c>
      <c r="E398" s="423"/>
      <c r="F398" s="805">
        <v>0.2</v>
      </c>
      <c r="G398" s="425">
        <v>0.83409999999999995</v>
      </c>
      <c r="H398" s="663">
        <f t="shared" si="120"/>
        <v>2.4138853999999998</v>
      </c>
      <c r="I398" s="420">
        <v>0</v>
      </c>
      <c r="J398" s="420"/>
      <c r="K398" s="421">
        <f t="shared" si="117"/>
        <v>0</v>
      </c>
      <c r="L398" s="647" t="s">
        <v>614</v>
      </c>
      <c r="M398" s="703"/>
      <c r="N398" s="576">
        <f t="shared" si="103"/>
        <v>0</v>
      </c>
      <c r="O398" s="577">
        <f t="shared" si="112"/>
        <v>0</v>
      </c>
      <c r="P398" s="578">
        <f t="shared" si="113"/>
        <v>0</v>
      </c>
      <c r="Q398" s="765"/>
      <c r="R398" s="703"/>
      <c r="S398" s="670"/>
      <c r="T398" s="577">
        <f t="shared" si="110"/>
        <v>0</v>
      </c>
      <c r="U398" s="578">
        <f t="shared" si="111"/>
        <v>0</v>
      </c>
      <c r="V398" s="579"/>
      <c r="W398" s="637" t="str">
        <f>IF(U395&gt;0,"xx",IF(P395&gt;0,"xy",""))</f>
        <v>xx</v>
      </c>
      <c r="X398" s="586" t="str">
        <f t="shared" si="108"/>
        <v>x</v>
      </c>
      <c r="Y398" s="586" t="str">
        <f t="shared" si="102"/>
        <v>x</v>
      </c>
      <c r="Z398" s="586" t="str">
        <f t="shared" si="106"/>
        <v/>
      </c>
    </row>
    <row r="399" spans="1:26" x14ac:dyDescent="0.2">
      <c r="A399" s="671" t="s">
        <v>168</v>
      </c>
      <c r="B399" s="644" t="s">
        <v>168</v>
      </c>
      <c r="C399" s="645"/>
      <c r="D399" s="451" t="s">
        <v>263</v>
      </c>
      <c r="E399" s="423"/>
      <c r="F399" s="805">
        <v>20.6</v>
      </c>
      <c r="G399" s="425">
        <f>SUM(G395:G398)</f>
        <v>1</v>
      </c>
      <c r="H399" s="651">
        <f>IF(F399&lt;=30,(1.07*F399+6.45)*G399,((1.07*30+6.45)+1.07*(F399-30))*G399)</f>
        <v>28.492000000000001</v>
      </c>
      <c r="I399" s="420">
        <v>0</v>
      </c>
      <c r="J399" s="420"/>
      <c r="K399" s="421">
        <f t="shared" si="117"/>
        <v>0</v>
      </c>
      <c r="L399" s="647" t="s">
        <v>614</v>
      </c>
      <c r="M399" s="703"/>
      <c r="N399" s="576">
        <f t="shared" si="103"/>
        <v>0</v>
      </c>
      <c r="O399" s="577">
        <f t="shared" si="112"/>
        <v>0</v>
      </c>
      <c r="P399" s="578">
        <f t="shared" si="113"/>
        <v>0</v>
      </c>
      <c r="Q399" s="765"/>
      <c r="R399" s="703"/>
      <c r="S399" s="670"/>
      <c r="T399" s="577">
        <f t="shared" si="110"/>
        <v>0</v>
      </c>
      <c r="U399" s="578">
        <f t="shared" si="111"/>
        <v>0</v>
      </c>
      <c r="V399" s="579"/>
      <c r="W399" s="637" t="str">
        <f>IF(U395&gt;0,"xx",IF(P395&gt;0,"xy",""))</f>
        <v>xx</v>
      </c>
      <c r="X399" s="586" t="str">
        <f t="shared" si="108"/>
        <v>x</v>
      </c>
      <c r="Y399" s="586" t="str">
        <f t="shared" si="102"/>
        <v>x</v>
      </c>
      <c r="Z399" s="586" t="str">
        <f t="shared" si="106"/>
        <v/>
      </c>
    </row>
    <row r="400" spans="1:26" ht="12" thickBot="1" x14ac:dyDescent="0.25">
      <c r="A400" s="671">
        <v>589000</v>
      </c>
      <c r="B400" s="704" t="s">
        <v>1786</v>
      </c>
      <c r="C400" s="689" t="s">
        <v>1746</v>
      </c>
      <c r="D400" s="477" t="s">
        <v>659</v>
      </c>
      <c r="E400" s="470"/>
      <c r="F400" s="806">
        <v>465</v>
      </c>
      <c r="G400" s="479">
        <v>1</v>
      </c>
      <c r="H400" s="663">
        <f>(0.94*F400+46.06)*G400</f>
        <v>483.15999999999997</v>
      </c>
      <c r="I400" s="472">
        <v>5725</v>
      </c>
      <c r="J400" s="472">
        <f>IF(ISBLANK(I400),"",I400*(1+$F$9)/(1+$F$10))+H400</f>
        <v>6038.0627859607785</v>
      </c>
      <c r="K400" s="690">
        <f t="shared" si="117"/>
        <v>7173.82</v>
      </c>
      <c r="L400" s="691" t="s">
        <v>20</v>
      </c>
      <c r="M400" s="692">
        <f>ROUND(M395*G395,2)</f>
        <v>46.84</v>
      </c>
      <c r="N400" s="588">
        <f t="shared" si="103"/>
        <v>7173.82</v>
      </c>
      <c r="O400" s="693">
        <f t="shared" si="112"/>
        <v>336021.73</v>
      </c>
      <c r="P400" s="694">
        <f t="shared" si="113"/>
        <v>336021.73</v>
      </c>
      <c r="Q400" s="765"/>
      <c r="R400" s="695">
        <f>ROUND(R395*G395,2)</f>
        <v>46.84</v>
      </c>
      <c r="S400" s="711">
        <f>N400</f>
        <v>7173.82</v>
      </c>
      <c r="T400" s="693">
        <f t="shared" si="110"/>
        <v>336021.73</v>
      </c>
      <c r="U400" s="694">
        <f t="shared" si="111"/>
        <v>336021.73</v>
      </c>
      <c r="V400" s="579"/>
      <c r="W400" s="637" t="str">
        <f>IF(U395&gt;0,"xx",IF(P395&gt;0,"xy",""))</f>
        <v>xx</v>
      </c>
      <c r="X400" s="586" t="str">
        <f t="shared" si="108"/>
        <v>x</v>
      </c>
      <c r="Y400" s="586" t="str">
        <f t="shared" si="102"/>
        <v>x</v>
      </c>
      <c r="Z400" s="586" t="str">
        <f t="shared" si="106"/>
        <v>x</v>
      </c>
    </row>
    <row r="401" spans="1:26" ht="12" hidden="1" thickBot="1" x14ac:dyDescent="0.25">
      <c r="A401" s="671">
        <v>570000</v>
      </c>
      <c r="B401" s="701" t="s">
        <v>1787</v>
      </c>
      <c r="C401" s="702" t="s">
        <v>206</v>
      </c>
      <c r="D401" s="463" t="s">
        <v>2101</v>
      </c>
      <c r="E401" s="464"/>
      <c r="F401" s="465" t="s">
        <v>662</v>
      </c>
      <c r="G401" s="466">
        <v>5.5E-2</v>
      </c>
      <c r="H401" s="681">
        <f>SUM(H402:H405)</f>
        <v>55.825289800000007</v>
      </c>
      <c r="I401" s="467">
        <v>201.51</v>
      </c>
      <c r="J401" s="467">
        <f>IF(ISBLANK(I401),"",SUM(H401:I401))</f>
        <v>257.3352898</v>
      </c>
      <c r="K401" s="682">
        <f t="shared" si="117"/>
        <v>305.74</v>
      </c>
      <c r="L401" s="683" t="s">
        <v>20</v>
      </c>
      <c r="M401" s="685"/>
      <c r="N401" s="686">
        <f t="shared" si="103"/>
        <v>0</v>
      </c>
      <c r="O401" s="687">
        <f t="shared" si="112"/>
        <v>0</v>
      </c>
      <c r="P401" s="688">
        <f t="shared" si="113"/>
        <v>0</v>
      </c>
      <c r="Q401" s="765"/>
      <c r="R401" s="685">
        <f>M401</f>
        <v>0</v>
      </c>
      <c r="S401" s="686">
        <f>N401</f>
        <v>0</v>
      </c>
      <c r="T401" s="687">
        <f t="shared" si="110"/>
        <v>0</v>
      </c>
      <c r="U401" s="688">
        <f t="shared" si="111"/>
        <v>0</v>
      </c>
      <c r="V401" s="579"/>
      <c r="W401" s="566"/>
      <c r="X401" s="586" t="str">
        <f t="shared" si="108"/>
        <v/>
      </c>
      <c r="Y401" s="586" t="str">
        <f t="shared" si="102"/>
        <v/>
      </c>
      <c r="Z401" s="586" t="str">
        <f t="shared" si="106"/>
        <v/>
      </c>
    </row>
    <row r="402" spans="1:26" ht="12" hidden="1" thickBot="1" x14ac:dyDescent="0.25">
      <c r="A402" s="671" t="s">
        <v>168</v>
      </c>
      <c r="B402" s="644" t="s">
        <v>168</v>
      </c>
      <c r="C402" s="645"/>
      <c r="D402" s="451" t="s">
        <v>248</v>
      </c>
      <c r="E402" s="423"/>
      <c r="F402" s="424">
        <v>180</v>
      </c>
      <c r="G402" s="425">
        <v>0.1002</v>
      </c>
      <c r="H402" s="663">
        <f t="shared" ref="H402:H404" si="121">IF(F402&lt;=30,(1.07*F402+2.68)*G402,((1.07*30+2.68)+1.07*(F402-30))*G402)</f>
        <v>19.567056000000001</v>
      </c>
      <c r="I402" s="420">
        <v>0</v>
      </c>
      <c r="J402" s="420"/>
      <c r="K402" s="421">
        <f t="shared" si="117"/>
        <v>0</v>
      </c>
      <c r="L402" s="647" t="s">
        <v>614</v>
      </c>
      <c r="M402" s="703"/>
      <c r="N402" s="576">
        <f t="shared" si="103"/>
        <v>0</v>
      </c>
      <c r="O402" s="577">
        <f t="shared" si="112"/>
        <v>0</v>
      </c>
      <c r="P402" s="578">
        <f t="shared" si="113"/>
        <v>0</v>
      </c>
      <c r="Q402" s="765"/>
      <c r="R402" s="703"/>
      <c r="S402" s="670"/>
      <c r="T402" s="577">
        <f t="shared" si="110"/>
        <v>0</v>
      </c>
      <c r="U402" s="578">
        <f t="shared" si="111"/>
        <v>0</v>
      </c>
      <c r="V402" s="579"/>
      <c r="W402" s="637" t="str">
        <f>IF(U401&gt;0,"xx",IF(P401&gt;0,"xy",""))</f>
        <v/>
      </c>
      <c r="X402" s="586" t="str">
        <f t="shared" si="108"/>
        <v/>
      </c>
      <c r="Y402" s="586" t="str">
        <f t="shared" si="102"/>
        <v/>
      </c>
      <c r="Z402" s="586" t="str">
        <f t="shared" si="106"/>
        <v/>
      </c>
    </row>
    <row r="403" spans="1:26" ht="12" hidden="1" thickBot="1" x14ac:dyDescent="0.25">
      <c r="A403" s="671" t="s">
        <v>168</v>
      </c>
      <c r="B403" s="644" t="s">
        <v>168</v>
      </c>
      <c r="C403" s="645"/>
      <c r="D403" s="451" t="s">
        <v>249</v>
      </c>
      <c r="E403" s="423"/>
      <c r="F403" s="424">
        <v>500</v>
      </c>
      <c r="G403" s="425">
        <v>1.5100000000000001E-2</v>
      </c>
      <c r="H403" s="649">
        <f>IF(F403&lt;=30,(0.78*F403+7.82)*G403,((0.78*30+7.82)+0.78*(F403-30))*G403)</f>
        <v>6.0070820000000014</v>
      </c>
      <c r="I403" s="420">
        <v>0</v>
      </c>
      <c r="J403" s="420"/>
      <c r="K403" s="421">
        <f t="shared" si="117"/>
        <v>0</v>
      </c>
      <c r="L403" s="647" t="s">
        <v>614</v>
      </c>
      <c r="M403" s="703"/>
      <c r="N403" s="576">
        <f t="shared" si="103"/>
        <v>0</v>
      </c>
      <c r="O403" s="577">
        <f t="shared" si="112"/>
        <v>0</v>
      </c>
      <c r="P403" s="578">
        <f t="shared" si="113"/>
        <v>0</v>
      </c>
      <c r="Q403" s="765"/>
      <c r="R403" s="703"/>
      <c r="S403" s="670"/>
      <c r="T403" s="577">
        <f t="shared" si="110"/>
        <v>0</v>
      </c>
      <c r="U403" s="578">
        <f t="shared" si="111"/>
        <v>0</v>
      </c>
      <c r="V403" s="579"/>
      <c r="W403" s="637" t="str">
        <f>IF(U401&gt;0,"xx",IF(P401&gt;0,"xy",""))</f>
        <v/>
      </c>
      <c r="X403" s="586" t="str">
        <f t="shared" si="108"/>
        <v/>
      </c>
      <c r="Y403" s="586" t="str">
        <f t="shared" ref="Y403:Y466" si="122">IF(W403="X","x",IF(W403="y","x",IF(W403="xx","x",IF(U403&gt;0,"x",""))))</f>
        <v/>
      </c>
      <c r="Z403" s="586" t="str">
        <f t="shared" si="106"/>
        <v/>
      </c>
    </row>
    <row r="404" spans="1:26" ht="12" hidden="1" thickBot="1" x14ac:dyDescent="0.25">
      <c r="A404" s="671" t="s">
        <v>168</v>
      </c>
      <c r="B404" s="644" t="s">
        <v>168</v>
      </c>
      <c r="C404" s="645"/>
      <c r="D404" s="451" t="s">
        <v>262</v>
      </c>
      <c r="E404" s="423"/>
      <c r="F404" s="424">
        <v>0.2</v>
      </c>
      <c r="G404" s="425">
        <v>0.82969999999999999</v>
      </c>
      <c r="H404" s="663">
        <f t="shared" si="121"/>
        <v>2.4011518000000001</v>
      </c>
      <c r="I404" s="420">
        <v>0</v>
      </c>
      <c r="J404" s="420"/>
      <c r="K404" s="421">
        <f t="shared" si="117"/>
        <v>0</v>
      </c>
      <c r="L404" s="647" t="s">
        <v>614</v>
      </c>
      <c r="M404" s="703"/>
      <c r="N404" s="576">
        <f t="shared" ref="N404:N467" si="123">IF(M404=0,0,K404)</f>
        <v>0</v>
      </c>
      <c r="O404" s="577">
        <f t="shared" si="112"/>
        <v>0</v>
      </c>
      <c r="P404" s="578">
        <f t="shared" si="113"/>
        <v>0</v>
      </c>
      <c r="Q404" s="765"/>
      <c r="R404" s="703"/>
      <c r="S404" s="670"/>
      <c r="T404" s="577">
        <f t="shared" si="110"/>
        <v>0</v>
      </c>
      <c r="U404" s="578">
        <f t="shared" si="111"/>
        <v>0</v>
      </c>
      <c r="V404" s="579"/>
      <c r="W404" s="637" t="str">
        <f>IF(U401&gt;0,"xx",IF(P401&gt;0,"xy",""))</f>
        <v/>
      </c>
      <c r="X404" s="586" t="str">
        <f t="shared" si="108"/>
        <v/>
      </c>
      <c r="Y404" s="586" t="str">
        <f t="shared" si="122"/>
        <v/>
      </c>
      <c r="Z404" s="586" t="str">
        <f t="shared" si="106"/>
        <v/>
      </c>
    </row>
    <row r="405" spans="1:26" ht="12" hidden="1" thickBot="1" x14ac:dyDescent="0.25">
      <c r="A405" s="671" t="s">
        <v>168</v>
      </c>
      <c r="B405" s="644" t="s">
        <v>168</v>
      </c>
      <c r="C405" s="645"/>
      <c r="D405" s="451" t="s">
        <v>263</v>
      </c>
      <c r="E405" s="423"/>
      <c r="F405" s="424">
        <v>20</v>
      </c>
      <c r="G405" s="425">
        <f>SUM(G401:G404)</f>
        <v>1</v>
      </c>
      <c r="H405" s="651">
        <f>IF(F405&lt;=30,(1.07*F405+6.45)*G405,((1.07*30+6.45)+1.07*(F405-30))*G405)</f>
        <v>27.85</v>
      </c>
      <c r="I405" s="420">
        <v>0</v>
      </c>
      <c r="J405" s="420"/>
      <c r="K405" s="421">
        <f t="shared" si="117"/>
        <v>0</v>
      </c>
      <c r="L405" s="647" t="s">
        <v>614</v>
      </c>
      <c r="M405" s="703"/>
      <c r="N405" s="576">
        <f t="shared" si="123"/>
        <v>0</v>
      </c>
      <c r="O405" s="577">
        <f t="shared" si="112"/>
        <v>0</v>
      </c>
      <c r="P405" s="578">
        <f t="shared" si="113"/>
        <v>0</v>
      </c>
      <c r="Q405" s="765"/>
      <c r="R405" s="703"/>
      <c r="S405" s="670"/>
      <c r="T405" s="577">
        <f t="shared" si="110"/>
        <v>0</v>
      </c>
      <c r="U405" s="578">
        <f t="shared" si="111"/>
        <v>0</v>
      </c>
      <c r="V405" s="579"/>
      <c r="W405" s="637" t="str">
        <f>IF(U401&gt;0,"xx",IF(P401&gt;0,"xy",""))</f>
        <v/>
      </c>
      <c r="X405" s="586" t="str">
        <f t="shared" si="108"/>
        <v/>
      </c>
      <c r="Y405" s="586" t="str">
        <f t="shared" si="122"/>
        <v/>
      </c>
      <c r="Z405" s="586" t="str">
        <f t="shared" si="106"/>
        <v/>
      </c>
    </row>
    <row r="406" spans="1:26" ht="12" hidden="1" thickBot="1" x14ac:dyDescent="0.25">
      <c r="A406" s="671">
        <v>589000</v>
      </c>
      <c r="B406" s="704" t="s">
        <v>1788</v>
      </c>
      <c r="C406" s="689" t="s">
        <v>1746</v>
      </c>
      <c r="D406" s="477" t="s">
        <v>659</v>
      </c>
      <c r="E406" s="470"/>
      <c r="F406" s="478">
        <v>500</v>
      </c>
      <c r="G406" s="479">
        <v>1</v>
      </c>
      <c r="H406" s="663">
        <f>(0.94*F406+46.06)*G406</f>
        <v>516.05999999999995</v>
      </c>
      <c r="I406" s="472">
        <v>5725</v>
      </c>
      <c r="J406" s="472">
        <f>IF(ISBLANK(I406),"",I406*(1+$F$9)/(1+$F$10))+H406</f>
        <v>6070.962785960779</v>
      </c>
      <c r="K406" s="690">
        <f t="shared" si="117"/>
        <v>7212.91</v>
      </c>
      <c r="L406" s="691" t="s">
        <v>20</v>
      </c>
      <c r="M406" s="692">
        <f>ROUND(M401*G401,2)</f>
        <v>0</v>
      </c>
      <c r="N406" s="696">
        <f t="shared" si="123"/>
        <v>0</v>
      </c>
      <c r="O406" s="693">
        <f t="shared" si="112"/>
        <v>0</v>
      </c>
      <c r="P406" s="694">
        <f t="shared" si="113"/>
        <v>0</v>
      </c>
      <c r="Q406" s="765"/>
      <c r="R406" s="695">
        <f>ROUND(R401*G401,2)</f>
        <v>0</v>
      </c>
      <c r="S406" s="711">
        <f>N406</f>
        <v>0</v>
      </c>
      <c r="T406" s="693">
        <f t="shared" si="110"/>
        <v>0</v>
      </c>
      <c r="U406" s="694">
        <f t="shared" si="111"/>
        <v>0</v>
      </c>
      <c r="V406" s="579"/>
      <c r="W406" s="637" t="str">
        <f>IF(U401&gt;0,"xx",IF(P401&gt;0,"xy",""))</f>
        <v/>
      </c>
      <c r="X406" s="586" t="str">
        <f t="shared" si="108"/>
        <v/>
      </c>
      <c r="Y406" s="586" t="str">
        <f t="shared" si="122"/>
        <v/>
      </c>
      <c r="Z406" s="586" t="str">
        <f t="shared" si="106"/>
        <v/>
      </c>
    </row>
    <row r="407" spans="1:26" ht="12" hidden="1" thickBot="1" x14ac:dyDescent="0.25">
      <c r="A407" s="671">
        <v>570000</v>
      </c>
      <c r="B407" s="701" t="s">
        <v>1789</v>
      </c>
      <c r="C407" s="702" t="s">
        <v>206</v>
      </c>
      <c r="D407" s="463" t="s">
        <v>2102</v>
      </c>
      <c r="E407" s="464"/>
      <c r="F407" s="465" t="s">
        <v>662</v>
      </c>
      <c r="G407" s="466">
        <v>5.7000000000000002E-2</v>
      </c>
      <c r="H407" s="681">
        <f>SUM(H408:H411)</f>
        <v>55.741532000000007</v>
      </c>
      <c r="I407" s="467">
        <v>201.51</v>
      </c>
      <c r="J407" s="467">
        <f>IF(ISBLANK(I407),"",SUM(H407:I407))</f>
        <v>257.251532</v>
      </c>
      <c r="K407" s="682">
        <f t="shared" si="117"/>
        <v>305.64</v>
      </c>
      <c r="L407" s="683" t="s">
        <v>20</v>
      </c>
      <c r="M407" s="685"/>
      <c r="N407" s="576">
        <f t="shared" si="123"/>
        <v>0</v>
      </c>
      <c r="O407" s="687">
        <f t="shared" si="112"/>
        <v>0</v>
      </c>
      <c r="P407" s="688">
        <f t="shared" si="113"/>
        <v>0</v>
      </c>
      <c r="Q407" s="765"/>
      <c r="R407" s="685">
        <f>M407</f>
        <v>0</v>
      </c>
      <c r="S407" s="686">
        <f>N407</f>
        <v>0</v>
      </c>
      <c r="T407" s="687">
        <f t="shared" si="110"/>
        <v>0</v>
      </c>
      <c r="U407" s="688">
        <f t="shared" si="111"/>
        <v>0</v>
      </c>
      <c r="V407" s="579"/>
      <c r="W407" s="566"/>
      <c r="X407" s="586" t="str">
        <f t="shared" si="108"/>
        <v/>
      </c>
      <c r="Y407" s="586" t="str">
        <f t="shared" si="122"/>
        <v/>
      </c>
      <c r="Z407" s="586" t="str">
        <f t="shared" si="106"/>
        <v/>
      </c>
    </row>
    <row r="408" spans="1:26" ht="12" hidden="1" thickBot="1" x14ac:dyDescent="0.25">
      <c r="A408" s="671" t="s">
        <v>168</v>
      </c>
      <c r="B408" s="644" t="s">
        <v>168</v>
      </c>
      <c r="C408" s="645"/>
      <c r="D408" s="451" t="s">
        <v>248</v>
      </c>
      <c r="E408" s="423"/>
      <c r="F408" s="424">
        <v>180</v>
      </c>
      <c r="G408" s="425">
        <v>0.1</v>
      </c>
      <c r="H408" s="663">
        <f t="shared" ref="H408:H410" si="124">IF(F408&lt;=30,(1.07*F408+2.68)*G408,((1.07*30+2.68)+1.07*(F408-30))*G408)</f>
        <v>19.528000000000002</v>
      </c>
      <c r="I408" s="420">
        <v>0</v>
      </c>
      <c r="J408" s="420"/>
      <c r="K408" s="421">
        <f t="shared" si="117"/>
        <v>0</v>
      </c>
      <c r="L408" s="647" t="s">
        <v>614</v>
      </c>
      <c r="M408" s="703"/>
      <c r="N408" s="576">
        <f t="shared" si="123"/>
        <v>0</v>
      </c>
      <c r="O408" s="577">
        <f t="shared" si="112"/>
        <v>0</v>
      </c>
      <c r="P408" s="578">
        <f t="shared" si="113"/>
        <v>0</v>
      </c>
      <c r="Q408" s="765"/>
      <c r="R408" s="703"/>
      <c r="S408" s="670"/>
      <c r="T408" s="577">
        <f t="shared" si="110"/>
        <v>0</v>
      </c>
      <c r="U408" s="578">
        <f t="shared" si="111"/>
        <v>0</v>
      </c>
      <c r="V408" s="579"/>
      <c r="W408" s="637" t="str">
        <f>IF(U407&gt;0,"xx",IF(P407&gt;0,"xy",""))</f>
        <v/>
      </c>
      <c r="X408" s="586" t="str">
        <f t="shared" si="108"/>
        <v/>
      </c>
      <c r="Y408" s="586" t="str">
        <f t="shared" si="122"/>
        <v/>
      </c>
      <c r="Z408" s="586" t="str">
        <f t="shared" si="106"/>
        <v/>
      </c>
    </row>
    <row r="409" spans="1:26" ht="12" hidden="1" thickBot="1" x14ac:dyDescent="0.25">
      <c r="A409" s="671" t="s">
        <v>168</v>
      </c>
      <c r="B409" s="644" t="s">
        <v>168</v>
      </c>
      <c r="C409" s="645"/>
      <c r="D409" s="451" t="s">
        <v>249</v>
      </c>
      <c r="E409" s="423"/>
      <c r="F409" s="424">
        <v>500</v>
      </c>
      <c r="G409" s="425">
        <v>1.4999999999999999E-2</v>
      </c>
      <c r="H409" s="649">
        <f>IF(F409&lt;=30,(0.78*F409+7.82)*G409,((0.78*30+7.82)+0.78*(F409-30))*G409)</f>
        <v>5.9673000000000007</v>
      </c>
      <c r="I409" s="420">
        <v>0</v>
      </c>
      <c r="J409" s="420"/>
      <c r="K409" s="421">
        <f t="shared" si="117"/>
        <v>0</v>
      </c>
      <c r="L409" s="647" t="s">
        <v>614</v>
      </c>
      <c r="M409" s="703"/>
      <c r="N409" s="576">
        <f t="shared" si="123"/>
        <v>0</v>
      </c>
      <c r="O409" s="577">
        <f t="shared" si="112"/>
        <v>0</v>
      </c>
      <c r="P409" s="578">
        <f t="shared" si="113"/>
        <v>0</v>
      </c>
      <c r="Q409" s="765"/>
      <c r="R409" s="703"/>
      <c r="S409" s="670"/>
      <c r="T409" s="577">
        <f t="shared" si="110"/>
        <v>0</v>
      </c>
      <c r="U409" s="578">
        <f t="shared" si="111"/>
        <v>0</v>
      </c>
      <c r="V409" s="579"/>
      <c r="W409" s="637" t="str">
        <f>IF(U407&gt;0,"xx",IF(P407&gt;0,"xy",""))</f>
        <v/>
      </c>
      <c r="X409" s="586" t="str">
        <f t="shared" si="108"/>
        <v/>
      </c>
      <c r="Y409" s="586" t="str">
        <f t="shared" si="122"/>
        <v/>
      </c>
      <c r="Z409" s="586" t="str">
        <f t="shared" si="106"/>
        <v/>
      </c>
    </row>
    <row r="410" spans="1:26" ht="12" hidden="1" thickBot="1" x14ac:dyDescent="0.25">
      <c r="A410" s="671" t="s">
        <v>168</v>
      </c>
      <c r="B410" s="644" t="s">
        <v>168</v>
      </c>
      <c r="C410" s="645"/>
      <c r="D410" s="451" t="s">
        <v>262</v>
      </c>
      <c r="E410" s="423"/>
      <c r="F410" s="424">
        <v>0.2</v>
      </c>
      <c r="G410" s="425">
        <v>0.82799999999999996</v>
      </c>
      <c r="H410" s="663">
        <f t="shared" si="124"/>
        <v>2.3962319999999999</v>
      </c>
      <c r="I410" s="420">
        <v>0</v>
      </c>
      <c r="J410" s="420"/>
      <c r="K410" s="421">
        <f t="shared" si="117"/>
        <v>0</v>
      </c>
      <c r="L410" s="647" t="s">
        <v>614</v>
      </c>
      <c r="M410" s="703"/>
      <c r="N410" s="576">
        <f t="shared" si="123"/>
        <v>0</v>
      </c>
      <c r="O410" s="577">
        <f t="shared" si="112"/>
        <v>0</v>
      </c>
      <c r="P410" s="578">
        <f t="shared" si="113"/>
        <v>0</v>
      </c>
      <c r="Q410" s="765"/>
      <c r="R410" s="703"/>
      <c r="S410" s="670"/>
      <c r="T410" s="577">
        <f t="shared" si="110"/>
        <v>0</v>
      </c>
      <c r="U410" s="578">
        <f t="shared" si="111"/>
        <v>0</v>
      </c>
      <c r="V410" s="579"/>
      <c r="W410" s="637" t="str">
        <f>IF(U407&gt;0,"xx",IF(P407&gt;0,"xy",""))</f>
        <v/>
      </c>
      <c r="X410" s="586" t="str">
        <f t="shared" si="108"/>
        <v/>
      </c>
      <c r="Y410" s="586" t="str">
        <f t="shared" si="122"/>
        <v/>
      </c>
      <c r="Z410" s="586" t="str">
        <f t="shared" si="106"/>
        <v/>
      </c>
    </row>
    <row r="411" spans="1:26" ht="12" hidden="1" thickBot="1" x14ac:dyDescent="0.25">
      <c r="A411" s="671" t="s">
        <v>168</v>
      </c>
      <c r="B411" s="644" t="s">
        <v>168</v>
      </c>
      <c r="C411" s="645"/>
      <c r="D411" s="451" t="s">
        <v>263</v>
      </c>
      <c r="E411" s="423"/>
      <c r="F411" s="424">
        <v>20</v>
      </c>
      <c r="G411" s="425">
        <f>SUM(G407:G410)</f>
        <v>1</v>
      </c>
      <c r="H411" s="651">
        <f>IF(F411&lt;=30,(1.07*F411+6.45)*G411,((1.07*30+6.45)+1.07*(F411-30))*G411)</f>
        <v>27.85</v>
      </c>
      <c r="I411" s="420">
        <v>0</v>
      </c>
      <c r="J411" s="420"/>
      <c r="K411" s="421">
        <f t="shared" si="117"/>
        <v>0</v>
      </c>
      <c r="L411" s="647" t="s">
        <v>614</v>
      </c>
      <c r="M411" s="703"/>
      <c r="N411" s="576">
        <f t="shared" si="123"/>
        <v>0</v>
      </c>
      <c r="O411" s="577">
        <f t="shared" si="112"/>
        <v>0</v>
      </c>
      <c r="P411" s="578">
        <f t="shared" si="113"/>
        <v>0</v>
      </c>
      <c r="Q411" s="765"/>
      <c r="R411" s="703"/>
      <c r="S411" s="670"/>
      <c r="T411" s="577">
        <f t="shared" si="110"/>
        <v>0</v>
      </c>
      <c r="U411" s="578">
        <f t="shared" si="111"/>
        <v>0</v>
      </c>
      <c r="V411" s="579"/>
      <c r="W411" s="637" t="str">
        <f>IF(U407&gt;0,"xx",IF(P407&gt;0,"xy",""))</f>
        <v/>
      </c>
      <c r="X411" s="586" t="str">
        <f t="shared" si="108"/>
        <v/>
      </c>
      <c r="Y411" s="586" t="str">
        <f t="shared" si="122"/>
        <v/>
      </c>
      <c r="Z411" s="586" t="str">
        <f t="shared" si="106"/>
        <v/>
      </c>
    </row>
    <row r="412" spans="1:26" ht="12" hidden="1" thickBot="1" x14ac:dyDescent="0.25">
      <c r="A412" s="671">
        <v>589000</v>
      </c>
      <c r="B412" s="704" t="s">
        <v>1790</v>
      </c>
      <c r="C412" s="689" t="s">
        <v>1746</v>
      </c>
      <c r="D412" s="477" t="s">
        <v>659</v>
      </c>
      <c r="E412" s="470"/>
      <c r="F412" s="478">
        <v>500</v>
      </c>
      <c r="G412" s="479">
        <v>1</v>
      </c>
      <c r="H412" s="663">
        <f>(0.94*F412+46.06)*G412</f>
        <v>516.05999999999995</v>
      </c>
      <c r="I412" s="472">
        <v>5725</v>
      </c>
      <c r="J412" s="472">
        <f>IF(ISBLANK(I412),"",I412*(1+$F$9)/(1+$F$10))+H412</f>
        <v>6070.962785960779</v>
      </c>
      <c r="K412" s="690">
        <f t="shared" si="117"/>
        <v>7212.91</v>
      </c>
      <c r="L412" s="691" t="s">
        <v>20</v>
      </c>
      <c r="M412" s="692">
        <f>ROUND(M407*G407,2)</f>
        <v>0</v>
      </c>
      <c r="N412" s="588">
        <f t="shared" si="123"/>
        <v>0</v>
      </c>
      <c r="O412" s="693">
        <f t="shared" si="112"/>
        <v>0</v>
      </c>
      <c r="P412" s="694">
        <f t="shared" si="113"/>
        <v>0</v>
      </c>
      <c r="Q412" s="765"/>
      <c r="R412" s="695">
        <f>ROUND(R407*G407,2)</f>
        <v>0</v>
      </c>
      <c r="S412" s="711">
        <f>N412</f>
        <v>0</v>
      </c>
      <c r="T412" s="693">
        <f t="shared" si="110"/>
        <v>0</v>
      </c>
      <c r="U412" s="694">
        <f t="shared" si="111"/>
        <v>0</v>
      </c>
      <c r="V412" s="579"/>
      <c r="W412" s="637" t="str">
        <f>IF(U407&gt;0,"xx",IF(P407&gt;0,"xy",""))</f>
        <v/>
      </c>
      <c r="X412" s="586" t="str">
        <f t="shared" si="108"/>
        <v/>
      </c>
      <c r="Y412" s="586" t="str">
        <f t="shared" si="122"/>
        <v/>
      </c>
      <c r="Z412" s="586" t="str">
        <f t="shared" si="106"/>
        <v/>
      </c>
    </row>
    <row r="413" spans="1:26" ht="12" hidden="1" thickBot="1" x14ac:dyDescent="0.25">
      <c r="A413" s="671">
        <v>570400</v>
      </c>
      <c r="B413" s="701" t="s">
        <v>1791</v>
      </c>
      <c r="C413" s="702" t="s">
        <v>206</v>
      </c>
      <c r="D413" s="463" t="s">
        <v>2103</v>
      </c>
      <c r="E413" s="464"/>
      <c r="F413" s="465" t="s">
        <v>662</v>
      </c>
      <c r="G413" s="466">
        <v>0.05</v>
      </c>
      <c r="H413" s="681">
        <f>SUM(H414:H417)</f>
        <v>55.975445399999998</v>
      </c>
      <c r="I413" s="467">
        <v>180.27999999999997</v>
      </c>
      <c r="J413" s="467">
        <f>IF(ISBLANK(I413),"",SUM(H413:I413))</f>
        <v>236.25544539999999</v>
      </c>
      <c r="K413" s="682">
        <f t="shared" si="117"/>
        <v>280.7</v>
      </c>
      <c r="L413" s="683" t="s">
        <v>20</v>
      </c>
      <c r="M413" s="685"/>
      <c r="N413" s="686">
        <f t="shared" si="123"/>
        <v>0</v>
      </c>
      <c r="O413" s="687">
        <f t="shared" si="112"/>
        <v>0</v>
      </c>
      <c r="P413" s="688">
        <f t="shared" si="113"/>
        <v>0</v>
      </c>
      <c r="Q413" s="765"/>
      <c r="R413" s="685">
        <f>M413</f>
        <v>0</v>
      </c>
      <c r="S413" s="686">
        <f>N413</f>
        <v>0</v>
      </c>
      <c r="T413" s="687">
        <f t="shared" si="110"/>
        <v>0</v>
      </c>
      <c r="U413" s="688">
        <f t="shared" si="111"/>
        <v>0</v>
      </c>
      <c r="V413" s="579"/>
      <c r="W413" s="566"/>
      <c r="X413" s="586" t="str">
        <f t="shared" si="108"/>
        <v/>
      </c>
      <c r="Y413" s="586" t="str">
        <f t="shared" si="122"/>
        <v/>
      </c>
      <c r="Z413" s="586" t="str">
        <f t="shared" ref="Z413:Z476" si="125">IF(W413="X","x",IF(U413&gt;0,"x",""))</f>
        <v/>
      </c>
    </row>
    <row r="414" spans="1:26" ht="12" hidden="1" thickBot="1" x14ac:dyDescent="0.25">
      <c r="A414" s="671" t="s">
        <v>168</v>
      </c>
      <c r="B414" s="644" t="s">
        <v>168</v>
      </c>
      <c r="C414" s="645"/>
      <c r="D414" s="451" t="s">
        <v>248</v>
      </c>
      <c r="E414" s="423"/>
      <c r="F414" s="424">
        <v>180</v>
      </c>
      <c r="G414" s="425">
        <v>0.1007</v>
      </c>
      <c r="H414" s="663">
        <f t="shared" ref="H414:H416" si="126">IF(F414&lt;=30,(1.07*F414+2.68)*G414,((1.07*30+2.68)+1.07*(F414-30))*G414)</f>
        <v>19.664695999999999</v>
      </c>
      <c r="I414" s="420">
        <v>0</v>
      </c>
      <c r="J414" s="420"/>
      <c r="K414" s="421">
        <f t="shared" si="117"/>
        <v>0</v>
      </c>
      <c r="L414" s="647" t="s">
        <v>614</v>
      </c>
      <c r="M414" s="703"/>
      <c r="N414" s="576">
        <f t="shared" si="123"/>
        <v>0</v>
      </c>
      <c r="O414" s="577">
        <f t="shared" si="112"/>
        <v>0</v>
      </c>
      <c r="P414" s="578">
        <f t="shared" si="113"/>
        <v>0</v>
      </c>
      <c r="Q414" s="765"/>
      <c r="R414" s="703"/>
      <c r="S414" s="670"/>
      <c r="T414" s="577">
        <f t="shared" si="110"/>
        <v>0</v>
      </c>
      <c r="U414" s="578">
        <f t="shared" si="111"/>
        <v>0</v>
      </c>
      <c r="V414" s="579"/>
      <c r="W414" s="637" t="str">
        <f>IF(U413&gt;0,"xx",IF(P413&gt;0,"xy",""))</f>
        <v/>
      </c>
      <c r="X414" s="586" t="str">
        <f t="shared" si="108"/>
        <v/>
      </c>
      <c r="Y414" s="586" t="str">
        <f>IF(W414="X","x",IF(W414="y","x",IF(W414="xx","x",IF(U414&gt;0,"x",""))))</f>
        <v/>
      </c>
      <c r="Z414" s="586" t="str">
        <f t="shared" si="125"/>
        <v/>
      </c>
    </row>
    <row r="415" spans="1:26" ht="12" hidden="1" thickBot="1" x14ac:dyDescent="0.25">
      <c r="A415" s="671" t="s">
        <v>168</v>
      </c>
      <c r="B415" s="644" t="s">
        <v>168</v>
      </c>
      <c r="C415" s="645"/>
      <c r="D415" s="451" t="s">
        <v>249</v>
      </c>
      <c r="E415" s="423"/>
      <c r="F415" s="424">
        <v>500</v>
      </c>
      <c r="G415" s="425">
        <v>1.52E-2</v>
      </c>
      <c r="H415" s="649">
        <f>IF(F415&lt;=30,(0.78*F415+7.82)*G415,((0.78*30+7.82)+0.78*(F415-30))*G415)</f>
        <v>6.0468640000000011</v>
      </c>
      <c r="I415" s="420">
        <v>0</v>
      </c>
      <c r="J415" s="420"/>
      <c r="K415" s="421">
        <f t="shared" si="117"/>
        <v>0</v>
      </c>
      <c r="L415" s="647" t="s">
        <v>614</v>
      </c>
      <c r="M415" s="703"/>
      <c r="N415" s="576">
        <f t="shared" si="123"/>
        <v>0</v>
      </c>
      <c r="O415" s="577">
        <f t="shared" si="112"/>
        <v>0</v>
      </c>
      <c r="P415" s="578">
        <f t="shared" si="113"/>
        <v>0</v>
      </c>
      <c r="Q415" s="765"/>
      <c r="R415" s="703"/>
      <c r="S415" s="670"/>
      <c r="T415" s="577">
        <f t="shared" si="110"/>
        <v>0</v>
      </c>
      <c r="U415" s="578">
        <f t="shared" si="111"/>
        <v>0</v>
      </c>
      <c r="V415" s="579"/>
      <c r="W415" s="637" t="str">
        <f>IF(U413&gt;0,"xx",IF(P413&gt;0,"xy",""))</f>
        <v/>
      </c>
      <c r="X415" s="586" t="str">
        <f t="shared" si="108"/>
        <v/>
      </c>
      <c r="Y415" s="586" t="str">
        <f>IF(W415="X","x",IF(W415="y","x",IF(W415="xx","x",IF(U415&gt;0,"x",""))))</f>
        <v/>
      </c>
      <c r="Z415" s="586" t="str">
        <f t="shared" si="125"/>
        <v/>
      </c>
    </row>
    <row r="416" spans="1:26" ht="12" hidden="1" thickBot="1" x14ac:dyDescent="0.25">
      <c r="A416" s="671" t="s">
        <v>168</v>
      </c>
      <c r="B416" s="644" t="s">
        <v>168</v>
      </c>
      <c r="C416" s="645"/>
      <c r="D416" s="451" t="s">
        <v>262</v>
      </c>
      <c r="E416" s="423"/>
      <c r="F416" s="424">
        <v>0.2</v>
      </c>
      <c r="G416" s="425">
        <v>0.83409999999999995</v>
      </c>
      <c r="H416" s="663">
        <f t="shared" si="126"/>
        <v>2.4138853999999998</v>
      </c>
      <c r="I416" s="420">
        <v>0</v>
      </c>
      <c r="J416" s="420"/>
      <c r="K416" s="421">
        <f t="shared" si="117"/>
        <v>0</v>
      </c>
      <c r="L416" s="647" t="s">
        <v>614</v>
      </c>
      <c r="M416" s="703"/>
      <c r="N416" s="576">
        <f t="shared" si="123"/>
        <v>0</v>
      </c>
      <c r="O416" s="577">
        <f t="shared" si="112"/>
        <v>0</v>
      </c>
      <c r="P416" s="578">
        <f t="shared" si="113"/>
        <v>0</v>
      </c>
      <c r="Q416" s="765"/>
      <c r="R416" s="703"/>
      <c r="S416" s="670"/>
      <c r="T416" s="577">
        <f t="shared" si="110"/>
        <v>0</v>
      </c>
      <c r="U416" s="578">
        <f t="shared" si="111"/>
        <v>0</v>
      </c>
      <c r="V416" s="579"/>
      <c r="W416" s="637" t="str">
        <f>IF(U413&gt;0,"xx",IF(P413&gt;0,"xy",""))</f>
        <v/>
      </c>
      <c r="X416" s="586" t="str">
        <f t="shared" si="108"/>
        <v/>
      </c>
      <c r="Y416" s="586" t="str">
        <f>IF(W416="X","x",IF(W416="y","x",IF(W416="xx","x",IF(U416&gt;0,"x",""))))</f>
        <v/>
      </c>
      <c r="Z416" s="586" t="str">
        <f t="shared" si="125"/>
        <v/>
      </c>
    </row>
    <row r="417" spans="1:26" ht="12" hidden="1" thickBot="1" x14ac:dyDescent="0.25">
      <c r="A417" s="671" t="s">
        <v>168</v>
      </c>
      <c r="B417" s="644" t="s">
        <v>168</v>
      </c>
      <c r="C417" s="645"/>
      <c r="D417" s="451" t="s">
        <v>263</v>
      </c>
      <c r="E417" s="423"/>
      <c r="F417" s="424">
        <v>20</v>
      </c>
      <c r="G417" s="425">
        <f>SUM(G413:G416)</f>
        <v>1</v>
      </c>
      <c r="H417" s="651">
        <f>IF(F417&lt;=30,(1.07*F417+6.45)*G417,((1.07*30+6.45)+1.07*(F417-30))*G417)</f>
        <v>27.85</v>
      </c>
      <c r="I417" s="420">
        <v>0</v>
      </c>
      <c r="J417" s="420"/>
      <c r="K417" s="421">
        <f t="shared" si="117"/>
        <v>0</v>
      </c>
      <c r="L417" s="647" t="s">
        <v>614</v>
      </c>
      <c r="M417" s="703"/>
      <c r="N417" s="576">
        <f t="shared" si="123"/>
        <v>0</v>
      </c>
      <c r="O417" s="577">
        <f t="shared" si="112"/>
        <v>0</v>
      </c>
      <c r="P417" s="578">
        <f t="shared" si="113"/>
        <v>0</v>
      </c>
      <c r="Q417" s="765"/>
      <c r="R417" s="703"/>
      <c r="S417" s="670"/>
      <c r="T417" s="577">
        <f t="shared" si="110"/>
        <v>0</v>
      </c>
      <c r="U417" s="578">
        <f t="shared" si="111"/>
        <v>0</v>
      </c>
      <c r="V417" s="579"/>
      <c r="W417" s="637" t="str">
        <f>IF(U413&gt;0,"xx",IF(P413&gt;0,"xy",""))</f>
        <v/>
      </c>
      <c r="X417" s="586" t="str">
        <f t="shared" si="108"/>
        <v/>
      </c>
      <c r="Y417" s="586" t="str">
        <f>IF(W417="X","x",IF(W417="y","x",IF(W417="xx","x",IF(U417&gt;0,"x",""))))</f>
        <v/>
      </c>
      <c r="Z417" s="586" t="str">
        <f t="shared" si="125"/>
        <v/>
      </c>
    </row>
    <row r="418" spans="1:26" ht="12" hidden="1" thickBot="1" x14ac:dyDescent="0.25">
      <c r="A418" s="671">
        <v>589000</v>
      </c>
      <c r="B418" s="704" t="s">
        <v>1792</v>
      </c>
      <c r="C418" s="689" t="s">
        <v>1746</v>
      </c>
      <c r="D418" s="477" t="s">
        <v>660</v>
      </c>
      <c r="E418" s="470"/>
      <c r="F418" s="478">
        <v>500</v>
      </c>
      <c r="G418" s="479">
        <v>1</v>
      </c>
      <c r="H418" s="663">
        <f>(0.94*F418+46.06)*G418</f>
        <v>516.05999999999995</v>
      </c>
      <c r="I418" s="472">
        <v>5725</v>
      </c>
      <c r="J418" s="472">
        <f>IF(ISBLANK(I418),"",I418*(1+$F$9)/(1+$F$10))+H418</f>
        <v>6070.962785960779</v>
      </c>
      <c r="K418" s="690">
        <f t="shared" si="117"/>
        <v>7212.91</v>
      </c>
      <c r="L418" s="691" t="s">
        <v>20</v>
      </c>
      <c r="M418" s="692">
        <f>ROUND(M413*G413,2)</f>
        <v>0</v>
      </c>
      <c r="N418" s="696">
        <f t="shared" si="123"/>
        <v>0</v>
      </c>
      <c r="O418" s="693">
        <f t="shared" si="112"/>
        <v>0</v>
      </c>
      <c r="P418" s="694">
        <f t="shared" si="113"/>
        <v>0</v>
      </c>
      <c r="Q418" s="765"/>
      <c r="R418" s="695">
        <f>ROUND(R413*G413,2)</f>
        <v>0</v>
      </c>
      <c r="S418" s="711">
        <f>N418</f>
        <v>0</v>
      </c>
      <c r="T418" s="693">
        <f t="shared" si="110"/>
        <v>0</v>
      </c>
      <c r="U418" s="694">
        <f t="shared" si="111"/>
        <v>0</v>
      </c>
      <c r="V418" s="579"/>
      <c r="W418" s="637" t="str">
        <f>IF(U413&gt;0,"xx",IF(P413&gt;0,"xy",""))</f>
        <v/>
      </c>
      <c r="X418" s="586" t="str">
        <f t="shared" ref="X418:X481" si="127">IF(W418="X","x",IF(W418="xx","x",IF(W418="xy","x",IF(W418="y","x",IF(OR(P418&gt;0,U418&gt;0),"x","")))))</f>
        <v/>
      </c>
      <c r="Y418" s="586" t="str">
        <f t="shared" si="122"/>
        <v/>
      </c>
      <c r="Z418" s="586" t="str">
        <f t="shared" si="125"/>
        <v/>
      </c>
    </row>
    <row r="419" spans="1:26" ht="12" hidden="1" thickBot="1" x14ac:dyDescent="0.25">
      <c r="A419" s="671">
        <v>570400</v>
      </c>
      <c r="B419" s="701" t="s">
        <v>1793</v>
      </c>
      <c r="C419" s="702" t="s">
        <v>206</v>
      </c>
      <c r="D419" s="463" t="s">
        <v>2104</v>
      </c>
      <c r="E419" s="464"/>
      <c r="F419" s="465" t="s">
        <v>662</v>
      </c>
      <c r="G419" s="466">
        <v>5.5E-2</v>
      </c>
      <c r="H419" s="681">
        <f>SUM(H420:H423)</f>
        <v>55.825289800000007</v>
      </c>
      <c r="I419" s="467">
        <v>180.27999999999997</v>
      </c>
      <c r="J419" s="467">
        <f>IF(ISBLANK(I419),"",SUM(H419:I419))</f>
        <v>236.10528979999998</v>
      </c>
      <c r="K419" s="682">
        <f t="shared" si="117"/>
        <v>280.52</v>
      </c>
      <c r="L419" s="683" t="s">
        <v>20</v>
      </c>
      <c r="M419" s="685"/>
      <c r="N419" s="576">
        <f t="shared" si="123"/>
        <v>0</v>
      </c>
      <c r="O419" s="687">
        <f t="shared" si="112"/>
        <v>0</v>
      </c>
      <c r="P419" s="688">
        <f t="shared" si="113"/>
        <v>0</v>
      </c>
      <c r="Q419" s="765"/>
      <c r="R419" s="685">
        <f>M419</f>
        <v>0</v>
      </c>
      <c r="S419" s="686">
        <f>N419</f>
        <v>0</v>
      </c>
      <c r="T419" s="687">
        <f t="shared" si="110"/>
        <v>0</v>
      </c>
      <c r="U419" s="688">
        <f t="shared" si="111"/>
        <v>0</v>
      </c>
      <c r="V419" s="579"/>
      <c r="W419" s="566"/>
      <c r="X419" s="586" t="str">
        <f t="shared" si="127"/>
        <v/>
      </c>
      <c r="Y419" s="586" t="str">
        <f t="shared" si="122"/>
        <v/>
      </c>
      <c r="Z419" s="586" t="str">
        <f t="shared" si="125"/>
        <v/>
      </c>
    </row>
    <row r="420" spans="1:26" ht="12" hidden="1" thickBot="1" x14ac:dyDescent="0.25">
      <c r="A420" s="671" t="s">
        <v>168</v>
      </c>
      <c r="B420" s="644" t="s">
        <v>168</v>
      </c>
      <c r="C420" s="645"/>
      <c r="D420" s="451" t="s">
        <v>248</v>
      </c>
      <c r="E420" s="423"/>
      <c r="F420" s="424">
        <v>180</v>
      </c>
      <c r="G420" s="425">
        <v>0.1002</v>
      </c>
      <c r="H420" s="663">
        <f t="shared" ref="H420:H422" si="128">IF(F420&lt;=30,(1.07*F420+2.68)*G420,((1.07*30+2.68)+1.07*(F420-30))*G420)</f>
        <v>19.567056000000001</v>
      </c>
      <c r="I420" s="420">
        <v>0</v>
      </c>
      <c r="J420" s="420"/>
      <c r="K420" s="421">
        <f t="shared" si="117"/>
        <v>0</v>
      </c>
      <c r="L420" s="647" t="s">
        <v>614</v>
      </c>
      <c r="M420" s="703"/>
      <c r="N420" s="576">
        <f t="shared" si="123"/>
        <v>0</v>
      </c>
      <c r="O420" s="577">
        <f t="shared" si="112"/>
        <v>0</v>
      </c>
      <c r="P420" s="578">
        <f t="shared" si="113"/>
        <v>0</v>
      </c>
      <c r="Q420" s="765"/>
      <c r="R420" s="703"/>
      <c r="S420" s="670"/>
      <c r="T420" s="577">
        <f t="shared" si="110"/>
        <v>0</v>
      </c>
      <c r="U420" s="578">
        <f t="shared" si="111"/>
        <v>0</v>
      </c>
      <c r="V420" s="579"/>
      <c r="W420" s="637" t="str">
        <f>IF(U419&gt;0,"xx",IF(P419&gt;0,"xy",""))</f>
        <v/>
      </c>
      <c r="X420" s="586" t="str">
        <f t="shared" si="127"/>
        <v/>
      </c>
      <c r="Y420" s="586" t="str">
        <f t="shared" si="122"/>
        <v/>
      </c>
      <c r="Z420" s="586" t="str">
        <f t="shared" si="125"/>
        <v/>
      </c>
    </row>
    <row r="421" spans="1:26" ht="12" hidden="1" thickBot="1" x14ac:dyDescent="0.25">
      <c r="A421" s="671" t="s">
        <v>168</v>
      </c>
      <c r="B421" s="644" t="s">
        <v>168</v>
      </c>
      <c r="C421" s="645"/>
      <c r="D421" s="451" t="s">
        <v>249</v>
      </c>
      <c r="E421" s="423"/>
      <c r="F421" s="424">
        <v>500</v>
      </c>
      <c r="G421" s="425">
        <v>1.5100000000000001E-2</v>
      </c>
      <c r="H421" s="649">
        <f>IF(F421&lt;=30,(0.78*F421+7.82)*G421,((0.78*30+7.82)+0.78*(F421-30))*G421)</f>
        <v>6.0070820000000014</v>
      </c>
      <c r="I421" s="420">
        <v>0</v>
      </c>
      <c r="J421" s="420"/>
      <c r="K421" s="421">
        <f t="shared" si="117"/>
        <v>0</v>
      </c>
      <c r="L421" s="647" t="s">
        <v>614</v>
      </c>
      <c r="M421" s="703"/>
      <c r="N421" s="576">
        <f t="shared" si="123"/>
        <v>0</v>
      </c>
      <c r="O421" s="577">
        <f t="shared" si="112"/>
        <v>0</v>
      </c>
      <c r="P421" s="578">
        <f t="shared" si="113"/>
        <v>0</v>
      </c>
      <c r="Q421" s="765"/>
      <c r="R421" s="703"/>
      <c r="S421" s="670"/>
      <c r="T421" s="577">
        <f t="shared" si="110"/>
        <v>0</v>
      </c>
      <c r="U421" s="578">
        <f t="shared" si="111"/>
        <v>0</v>
      </c>
      <c r="V421" s="579"/>
      <c r="W421" s="637" t="str">
        <f>IF(U419&gt;0,"xx",IF(P419&gt;0,"xy",""))</f>
        <v/>
      </c>
      <c r="X421" s="586" t="str">
        <f t="shared" si="127"/>
        <v/>
      </c>
      <c r="Y421" s="586" t="str">
        <f t="shared" si="122"/>
        <v/>
      </c>
      <c r="Z421" s="586" t="str">
        <f t="shared" si="125"/>
        <v/>
      </c>
    </row>
    <row r="422" spans="1:26" ht="12" hidden="1" thickBot="1" x14ac:dyDescent="0.25">
      <c r="A422" s="671" t="s">
        <v>168</v>
      </c>
      <c r="B422" s="644" t="s">
        <v>168</v>
      </c>
      <c r="C422" s="645"/>
      <c r="D422" s="451" t="s">
        <v>262</v>
      </c>
      <c r="E422" s="423"/>
      <c r="F422" s="424">
        <v>0.2</v>
      </c>
      <c r="G422" s="425">
        <v>0.82969999999999999</v>
      </c>
      <c r="H422" s="663">
        <f t="shared" si="128"/>
        <v>2.4011518000000001</v>
      </c>
      <c r="I422" s="420">
        <v>0</v>
      </c>
      <c r="J422" s="420"/>
      <c r="K422" s="421">
        <f t="shared" si="117"/>
        <v>0</v>
      </c>
      <c r="L422" s="647" t="s">
        <v>614</v>
      </c>
      <c r="M422" s="703"/>
      <c r="N422" s="576">
        <f t="shared" si="123"/>
        <v>0</v>
      </c>
      <c r="O422" s="577">
        <f t="shared" si="112"/>
        <v>0</v>
      </c>
      <c r="P422" s="578">
        <f t="shared" si="113"/>
        <v>0</v>
      </c>
      <c r="Q422" s="765"/>
      <c r="R422" s="703"/>
      <c r="S422" s="670"/>
      <c r="T422" s="577">
        <f t="shared" si="110"/>
        <v>0</v>
      </c>
      <c r="U422" s="578">
        <f t="shared" si="111"/>
        <v>0</v>
      </c>
      <c r="V422" s="579"/>
      <c r="W422" s="637" t="str">
        <f>IF(U419&gt;0,"xx",IF(P419&gt;0,"xy",""))</f>
        <v/>
      </c>
      <c r="X422" s="586" t="str">
        <f t="shared" si="127"/>
        <v/>
      </c>
      <c r="Y422" s="586" t="str">
        <f t="shared" si="122"/>
        <v/>
      </c>
      <c r="Z422" s="586" t="str">
        <f t="shared" si="125"/>
        <v/>
      </c>
    </row>
    <row r="423" spans="1:26" ht="12" hidden="1" thickBot="1" x14ac:dyDescent="0.25">
      <c r="A423" s="671" t="s">
        <v>168</v>
      </c>
      <c r="B423" s="644" t="s">
        <v>168</v>
      </c>
      <c r="C423" s="645"/>
      <c r="D423" s="451" t="s">
        <v>263</v>
      </c>
      <c r="E423" s="423"/>
      <c r="F423" s="424">
        <v>20</v>
      </c>
      <c r="G423" s="425">
        <f>SUM(G419:G422)</f>
        <v>1</v>
      </c>
      <c r="H423" s="651">
        <f>IF(F423&lt;=30,(1.07*F423+6.45)*G423,((1.07*30+6.45)+1.07*(F423-30))*G423)</f>
        <v>27.85</v>
      </c>
      <c r="I423" s="420">
        <v>0</v>
      </c>
      <c r="J423" s="420"/>
      <c r="K423" s="421">
        <f t="shared" si="117"/>
        <v>0</v>
      </c>
      <c r="L423" s="647" t="s">
        <v>614</v>
      </c>
      <c r="M423" s="703"/>
      <c r="N423" s="576">
        <f t="shared" si="123"/>
        <v>0</v>
      </c>
      <c r="O423" s="577">
        <f t="shared" si="112"/>
        <v>0</v>
      </c>
      <c r="P423" s="578">
        <f t="shared" si="113"/>
        <v>0</v>
      </c>
      <c r="Q423" s="765"/>
      <c r="R423" s="703"/>
      <c r="S423" s="670"/>
      <c r="T423" s="577">
        <f t="shared" si="110"/>
        <v>0</v>
      </c>
      <c r="U423" s="578">
        <f t="shared" si="111"/>
        <v>0</v>
      </c>
      <c r="V423" s="579"/>
      <c r="W423" s="637" t="str">
        <f>IF(U419&gt;0,"xx",IF(P419&gt;0,"xy",""))</f>
        <v/>
      </c>
      <c r="X423" s="586" t="str">
        <f t="shared" si="127"/>
        <v/>
      </c>
      <c r="Y423" s="586" t="str">
        <f t="shared" si="122"/>
        <v/>
      </c>
      <c r="Z423" s="586" t="str">
        <f t="shared" si="125"/>
        <v/>
      </c>
    </row>
    <row r="424" spans="1:26" ht="12" hidden="1" thickBot="1" x14ac:dyDescent="0.25">
      <c r="A424" s="671">
        <v>589000</v>
      </c>
      <c r="B424" s="704" t="s">
        <v>1794</v>
      </c>
      <c r="C424" s="689" t="s">
        <v>1746</v>
      </c>
      <c r="D424" s="477" t="s">
        <v>660</v>
      </c>
      <c r="E424" s="470"/>
      <c r="F424" s="478">
        <v>500</v>
      </c>
      <c r="G424" s="479">
        <v>1</v>
      </c>
      <c r="H424" s="663">
        <f>(0.94*F424+46.06)*G424</f>
        <v>516.05999999999995</v>
      </c>
      <c r="I424" s="472">
        <v>5725</v>
      </c>
      <c r="J424" s="472">
        <f>IF(ISBLANK(I424),"",I424*(1+$F$9)/(1+$F$10))+H424</f>
        <v>6070.962785960779</v>
      </c>
      <c r="K424" s="690">
        <f t="shared" si="117"/>
        <v>7212.91</v>
      </c>
      <c r="L424" s="691" t="s">
        <v>20</v>
      </c>
      <c r="M424" s="692">
        <f>ROUND(M419*G419,2)</f>
        <v>0</v>
      </c>
      <c r="N424" s="588">
        <f t="shared" si="123"/>
        <v>0</v>
      </c>
      <c r="O424" s="693">
        <f t="shared" si="112"/>
        <v>0</v>
      </c>
      <c r="P424" s="694">
        <f t="shared" si="113"/>
        <v>0</v>
      </c>
      <c r="Q424" s="765"/>
      <c r="R424" s="695">
        <f>ROUND(R419*G419,2)</f>
        <v>0</v>
      </c>
      <c r="S424" s="711">
        <f>N424</f>
        <v>0</v>
      </c>
      <c r="T424" s="693">
        <f t="shared" si="110"/>
        <v>0</v>
      </c>
      <c r="U424" s="694">
        <f t="shared" si="111"/>
        <v>0</v>
      </c>
      <c r="V424" s="579"/>
      <c r="W424" s="637" t="str">
        <f>IF(U419&gt;0,"xx",IF(P419&gt;0,"xy",""))</f>
        <v/>
      </c>
      <c r="X424" s="586" t="str">
        <f t="shared" si="127"/>
        <v/>
      </c>
      <c r="Y424" s="586" t="str">
        <f t="shared" si="122"/>
        <v/>
      </c>
      <c r="Z424" s="586" t="str">
        <f t="shared" si="125"/>
        <v/>
      </c>
    </row>
    <row r="425" spans="1:26" ht="12" hidden="1" thickBot="1" x14ac:dyDescent="0.25">
      <c r="A425" s="671">
        <v>570400</v>
      </c>
      <c r="B425" s="701" t="s">
        <v>1795</v>
      </c>
      <c r="C425" s="702" t="s">
        <v>206</v>
      </c>
      <c r="D425" s="463" t="s">
        <v>2105</v>
      </c>
      <c r="E425" s="464"/>
      <c r="F425" s="465" t="s">
        <v>662</v>
      </c>
      <c r="G425" s="466">
        <v>5.7000000000000002E-2</v>
      </c>
      <c r="H425" s="681">
        <f>SUM(H426:H429)</f>
        <v>55.741532000000007</v>
      </c>
      <c r="I425" s="467">
        <v>180.27999999999997</v>
      </c>
      <c r="J425" s="467">
        <f>IF(ISBLANK(I425),"",SUM(H425:I425))</f>
        <v>236.02153199999998</v>
      </c>
      <c r="K425" s="682">
        <f t="shared" si="117"/>
        <v>280.42</v>
      </c>
      <c r="L425" s="683" t="s">
        <v>20</v>
      </c>
      <c r="M425" s="685"/>
      <c r="N425" s="686">
        <f t="shared" si="123"/>
        <v>0</v>
      </c>
      <c r="O425" s="687">
        <f t="shared" si="112"/>
        <v>0</v>
      </c>
      <c r="P425" s="688">
        <f t="shared" si="113"/>
        <v>0</v>
      </c>
      <c r="Q425" s="765"/>
      <c r="R425" s="685">
        <f>M425</f>
        <v>0</v>
      </c>
      <c r="S425" s="686">
        <f>N425</f>
        <v>0</v>
      </c>
      <c r="T425" s="687">
        <f t="shared" si="110"/>
        <v>0</v>
      </c>
      <c r="U425" s="688">
        <f t="shared" si="111"/>
        <v>0</v>
      </c>
      <c r="V425" s="579"/>
      <c r="W425" s="566"/>
      <c r="X425" s="586" t="str">
        <f t="shared" si="127"/>
        <v/>
      </c>
      <c r="Y425" s="586" t="str">
        <f t="shared" si="122"/>
        <v/>
      </c>
      <c r="Z425" s="586" t="str">
        <f t="shared" si="125"/>
        <v/>
      </c>
    </row>
    <row r="426" spans="1:26" ht="12" hidden="1" thickBot="1" x14ac:dyDescent="0.25">
      <c r="A426" s="671" t="s">
        <v>168</v>
      </c>
      <c r="B426" s="644" t="s">
        <v>168</v>
      </c>
      <c r="C426" s="645"/>
      <c r="D426" s="451" t="s">
        <v>248</v>
      </c>
      <c r="E426" s="423"/>
      <c r="F426" s="424">
        <v>180</v>
      </c>
      <c r="G426" s="425">
        <v>0.1</v>
      </c>
      <c r="H426" s="663">
        <f t="shared" ref="H426:H428" si="129">IF(F426&lt;=30,(1.07*F426+2.68)*G426,((1.07*30+2.68)+1.07*(F426-30))*G426)</f>
        <v>19.528000000000002</v>
      </c>
      <c r="I426" s="420">
        <v>0</v>
      </c>
      <c r="J426" s="420"/>
      <c r="K426" s="421">
        <f t="shared" si="117"/>
        <v>0</v>
      </c>
      <c r="L426" s="647" t="s">
        <v>614</v>
      </c>
      <c r="M426" s="703"/>
      <c r="N426" s="576">
        <f t="shared" si="123"/>
        <v>0</v>
      </c>
      <c r="O426" s="577">
        <f t="shared" si="112"/>
        <v>0</v>
      </c>
      <c r="P426" s="578">
        <f t="shared" si="113"/>
        <v>0</v>
      </c>
      <c r="Q426" s="765"/>
      <c r="R426" s="703"/>
      <c r="S426" s="670"/>
      <c r="T426" s="577">
        <f t="shared" si="110"/>
        <v>0</v>
      </c>
      <c r="U426" s="578">
        <f t="shared" si="111"/>
        <v>0</v>
      </c>
      <c r="V426" s="579"/>
      <c r="W426" s="637" t="str">
        <f>IF(U425&gt;0,"xx",IF(P425&gt;0,"xy",""))</f>
        <v/>
      </c>
      <c r="X426" s="586" t="str">
        <f t="shared" si="127"/>
        <v/>
      </c>
      <c r="Y426" s="586" t="str">
        <f t="shared" si="122"/>
        <v/>
      </c>
      <c r="Z426" s="586" t="str">
        <f t="shared" si="125"/>
        <v/>
      </c>
    </row>
    <row r="427" spans="1:26" ht="12" hidden="1" thickBot="1" x14ac:dyDescent="0.25">
      <c r="A427" s="671" t="s">
        <v>168</v>
      </c>
      <c r="B427" s="644" t="s">
        <v>168</v>
      </c>
      <c r="C427" s="645"/>
      <c r="D427" s="451" t="s">
        <v>249</v>
      </c>
      <c r="E427" s="423"/>
      <c r="F427" s="424">
        <v>500</v>
      </c>
      <c r="G427" s="425">
        <v>1.4999999999999999E-2</v>
      </c>
      <c r="H427" s="649">
        <f>IF(F427&lt;=30,(0.78*F427+7.82)*G427,((0.78*30+7.82)+0.78*(F427-30))*G427)</f>
        <v>5.9673000000000007</v>
      </c>
      <c r="I427" s="420">
        <v>0</v>
      </c>
      <c r="J427" s="420"/>
      <c r="K427" s="421">
        <f t="shared" si="117"/>
        <v>0</v>
      </c>
      <c r="L427" s="647" t="s">
        <v>614</v>
      </c>
      <c r="M427" s="703"/>
      <c r="N427" s="576">
        <f t="shared" si="123"/>
        <v>0</v>
      </c>
      <c r="O427" s="577">
        <f t="shared" si="112"/>
        <v>0</v>
      </c>
      <c r="P427" s="578">
        <f t="shared" si="113"/>
        <v>0</v>
      </c>
      <c r="Q427" s="765"/>
      <c r="R427" s="703"/>
      <c r="S427" s="670"/>
      <c r="T427" s="577">
        <f t="shared" si="110"/>
        <v>0</v>
      </c>
      <c r="U427" s="578">
        <f t="shared" si="111"/>
        <v>0</v>
      </c>
      <c r="V427" s="579"/>
      <c r="W427" s="637" t="str">
        <f>IF(U425&gt;0,"xx",IF(P425&gt;0,"xy",""))</f>
        <v/>
      </c>
      <c r="X427" s="586" t="str">
        <f t="shared" si="127"/>
        <v/>
      </c>
      <c r="Y427" s="586" t="str">
        <f t="shared" si="122"/>
        <v/>
      </c>
      <c r="Z427" s="586" t="str">
        <f t="shared" si="125"/>
        <v/>
      </c>
    </row>
    <row r="428" spans="1:26" ht="12" hidden="1" thickBot="1" x14ac:dyDescent="0.25">
      <c r="A428" s="671" t="s">
        <v>168</v>
      </c>
      <c r="B428" s="644" t="s">
        <v>168</v>
      </c>
      <c r="C428" s="645"/>
      <c r="D428" s="451" t="s">
        <v>262</v>
      </c>
      <c r="E428" s="423"/>
      <c r="F428" s="424">
        <v>0.2</v>
      </c>
      <c r="G428" s="425">
        <v>0.82799999999999996</v>
      </c>
      <c r="H428" s="663">
        <f t="shared" si="129"/>
        <v>2.3962319999999999</v>
      </c>
      <c r="I428" s="420">
        <v>0</v>
      </c>
      <c r="J428" s="420"/>
      <c r="K428" s="421">
        <f t="shared" si="117"/>
        <v>0</v>
      </c>
      <c r="L428" s="647" t="s">
        <v>614</v>
      </c>
      <c r="M428" s="703"/>
      <c r="N428" s="576">
        <f t="shared" si="123"/>
        <v>0</v>
      </c>
      <c r="O428" s="577">
        <f t="shared" si="112"/>
        <v>0</v>
      </c>
      <c r="P428" s="578">
        <f t="shared" si="113"/>
        <v>0</v>
      </c>
      <c r="Q428" s="765"/>
      <c r="R428" s="703"/>
      <c r="S428" s="670"/>
      <c r="T428" s="577">
        <f t="shared" ref="T428:T548" si="130">IF(ISBLANK(R428),0,ROUND(K428*R428,2))</f>
        <v>0</v>
      </c>
      <c r="U428" s="578">
        <f t="shared" ref="U428:U548" si="131">IF(ISBLANK(R428),0,ROUND(R428*S428,2))</f>
        <v>0</v>
      </c>
      <c r="V428" s="579"/>
      <c r="W428" s="637" t="str">
        <f>IF(U425&gt;0,"xx",IF(P425&gt;0,"xy",""))</f>
        <v/>
      </c>
      <c r="X428" s="586" t="str">
        <f t="shared" si="127"/>
        <v/>
      </c>
      <c r="Y428" s="586" t="str">
        <f t="shared" si="122"/>
        <v/>
      </c>
      <c r="Z428" s="586" t="str">
        <f t="shared" si="125"/>
        <v/>
      </c>
    </row>
    <row r="429" spans="1:26" ht="12" hidden="1" thickBot="1" x14ac:dyDescent="0.25">
      <c r="A429" s="671" t="s">
        <v>168</v>
      </c>
      <c r="B429" s="644" t="s">
        <v>168</v>
      </c>
      <c r="C429" s="645"/>
      <c r="D429" s="451" t="s">
        <v>263</v>
      </c>
      <c r="E429" s="423"/>
      <c r="F429" s="424">
        <v>20</v>
      </c>
      <c r="G429" s="425">
        <f>SUM(G425:G428)</f>
        <v>1</v>
      </c>
      <c r="H429" s="651">
        <f>IF(F429&lt;=30,(1.07*F429+6.45)*G429,((1.07*30+6.45)+1.07*(F429-30))*G429)</f>
        <v>27.85</v>
      </c>
      <c r="I429" s="420">
        <v>0</v>
      </c>
      <c r="J429" s="420"/>
      <c r="K429" s="421">
        <f t="shared" si="117"/>
        <v>0</v>
      </c>
      <c r="L429" s="647" t="s">
        <v>614</v>
      </c>
      <c r="M429" s="703"/>
      <c r="N429" s="576">
        <f t="shared" si="123"/>
        <v>0</v>
      </c>
      <c r="O429" s="577">
        <f t="shared" ref="O429:O549" si="132">IF(ISBLANK(M429),0,ROUND(K429*M429,2))</f>
        <v>0</v>
      </c>
      <c r="P429" s="578">
        <f t="shared" ref="P429:P549" si="133">IF(ISBLANK(N429),0,ROUND(M429*N429,2))</f>
        <v>0</v>
      </c>
      <c r="Q429" s="765"/>
      <c r="R429" s="703"/>
      <c r="S429" s="670"/>
      <c r="T429" s="577">
        <f t="shared" si="130"/>
        <v>0</v>
      </c>
      <c r="U429" s="578">
        <f t="shared" si="131"/>
        <v>0</v>
      </c>
      <c r="V429" s="579"/>
      <c r="W429" s="637" t="str">
        <f>IF(U425&gt;0,"xx",IF(P425&gt;0,"xy",""))</f>
        <v/>
      </c>
      <c r="X429" s="586" t="str">
        <f t="shared" si="127"/>
        <v/>
      </c>
      <c r="Y429" s="586" t="str">
        <f t="shared" si="122"/>
        <v/>
      </c>
      <c r="Z429" s="586" t="str">
        <f t="shared" si="125"/>
        <v/>
      </c>
    </row>
    <row r="430" spans="1:26" ht="12" hidden="1" thickBot="1" x14ac:dyDescent="0.25">
      <c r="A430" s="671">
        <v>589000</v>
      </c>
      <c r="B430" s="704" t="s">
        <v>1796</v>
      </c>
      <c r="C430" s="689" t="s">
        <v>1746</v>
      </c>
      <c r="D430" s="477" t="s">
        <v>660</v>
      </c>
      <c r="E430" s="470"/>
      <c r="F430" s="478">
        <v>500</v>
      </c>
      <c r="G430" s="479">
        <v>1</v>
      </c>
      <c r="H430" s="663">
        <f>(0.94*F430+46.06)*G430</f>
        <v>516.05999999999995</v>
      </c>
      <c r="I430" s="472">
        <v>5725</v>
      </c>
      <c r="J430" s="472">
        <f>IF(ISBLANK(I430),"",I430*(1+$F$9)/(1+$F$10))+H430</f>
        <v>6070.962785960779</v>
      </c>
      <c r="K430" s="690">
        <f t="shared" si="117"/>
        <v>7212.91</v>
      </c>
      <c r="L430" s="691" t="s">
        <v>20</v>
      </c>
      <c r="M430" s="692">
        <f>ROUND(M425*G425,2)</f>
        <v>0</v>
      </c>
      <c r="N430" s="696">
        <f t="shared" si="123"/>
        <v>0</v>
      </c>
      <c r="O430" s="693">
        <f t="shared" si="132"/>
        <v>0</v>
      </c>
      <c r="P430" s="694">
        <f t="shared" si="133"/>
        <v>0</v>
      </c>
      <c r="Q430" s="765"/>
      <c r="R430" s="695">
        <f>ROUND(R425*G425,2)</f>
        <v>0</v>
      </c>
      <c r="S430" s="711">
        <f>N430</f>
        <v>0</v>
      </c>
      <c r="T430" s="693">
        <f t="shared" si="130"/>
        <v>0</v>
      </c>
      <c r="U430" s="694">
        <f t="shared" si="131"/>
        <v>0</v>
      </c>
      <c r="V430" s="579"/>
      <c r="W430" s="637" t="str">
        <f>IF(U425&gt;0,"xx",IF(P425&gt;0,"xy",""))</f>
        <v/>
      </c>
      <c r="X430" s="586" t="str">
        <f t="shared" si="127"/>
        <v/>
      </c>
      <c r="Y430" s="586" t="str">
        <f t="shared" si="122"/>
        <v/>
      </c>
      <c r="Z430" s="586" t="str">
        <f t="shared" si="125"/>
        <v/>
      </c>
    </row>
    <row r="431" spans="1:26" ht="26.25" hidden="1" customHeight="1" x14ac:dyDescent="0.2">
      <c r="A431" s="671">
        <v>570360</v>
      </c>
      <c r="B431" s="701">
        <v>570360</v>
      </c>
      <c r="C431" s="702" t="s">
        <v>206</v>
      </c>
      <c r="D431" s="463" t="s">
        <v>264</v>
      </c>
      <c r="E431" s="464"/>
      <c r="F431" s="487" t="s">
        <v>664</v>
      </c>
      <c r="G431" s="466">
        <v>5.8999999999999997E-2</v>
      </c>
      <c r="H431" s="681">
        <f>SUM(H432:H435)</f>
        <v>55.735744000000004</v>
      </c>
      <c r="I431" s="467">
        <v>189.82</v>
      </c>
      <c r="J431" s="467">
        <f>IF(ISBLANK(I431),"",SUM(H431:I431))</f>
        <v>245.555744</v>
      </c>
      <c r="K431" s="682">
        <f t="shared" si="117"/>
        <v>291.74</v>
      </c>
      <c r="L431" s="683" t="s">
        <v>20</v>
      </c>
      <c r="M431" s="685"/>
      <c r="N431" s="576">
        <f t="shared" si="123"/>
        <v>0</v>
      </c>
      <c r="O431" s="687">
        <f t="shared" si="132"/>
        <v>0</v>
      </c>
      <c r="P431" s="688">
        <f t="shared" si="133"/>
        <v>0</v>
      </c>
      <c r="Q431" s="765"/>
      <c r="R431" s="685">
        <f>M431</f>
        <v>0</v>
      </c>
      <c r="S431" s="686">
        <f>N431</f>
        <v>0</v>
      </c>
      <c r="T431" s="687">
        <f t="shared" si="130"/>
        <v>0</v>
      </c>
      <c r="U431" s="688">
        <f t="shared" si="131"/>
        <v>0</v>
      </c>
      <c r="V431" s="579"/>
      <c r="W431" s="566"/>
      <c r="X431" s="586" t="str">
        <f t="shared" si="127"/>
        <v/>
      </c>
      <c r="Y431" s="586" t="str">
        <f t="shared" si="122"/>
        <v/>
      </c>
      <c r="Z431" s="586" t="str">
        <f t="shared" si="125"/>
        <v/>
      </c>
    </row>
    <row r="432" spans="1:26" ht="12" hidden="1" thickBot="1" x14ac:dyDescent="0.25">
      <c r="A432" s="671" t="s">
        <v>168</v>
      </c>
      <c r="B432" s="644" t="s">
        <v>168</v>
      </c>
      <c r="C432" s="645"/>
      <c r="D432" s="451" t="s">
        <v>248</v>
      </c>
      <c r="E432" s="423"/>
      <c r="F432" s="424">
        <v>180</v>
      </c>
      <c r="G432" s="425">
        <v>0.1</v>
      </c>
      <c r="H432" s="663">
        <f t="shared" ref="H432:H434" si="134">IF(F432&lt;=30,(1.07*F432+2.68)*G432,((1.07*30+2.68)+1.07*(F432-30))*G432)</f>
        <v>19.528000000000002</v>
      </c>
      <c r="I432" s="420">
        <v>0</v>
      </c>
      <c r="J432" s="420"/>
      <c r="K432" s="421">
        <f t="shared" si="117"/>
        <v>0</v>
      </c>
      <c r="L432" s="647" t="s">
        <v>614</v>
      </c>
      <c r="M432" s="703"/>
      <c r="N432" s="576">
        <f t="shared" si="123"/>
        <v>0</v>
      </c>
      <c r="O432" s="577">
        <f t="shared" si="132"/>
        <v>0</v>
      </c>
      <c r="P432" s="578">
        <f t="shared" si="133"/>
        <v>0</v>
      </c>
      <c r="Q432" s="765"/>
      <c r="R432" s="703"/>
      <c r="S432" s="670"/>
      <c r="T432" s="577">
        <f t="shared" si="130"/>
        <v>0</v>
      </c>
      <c r="U432" s="578">
        <f t="shared" si="131"/>
        <v>0</v>
      </c>
      <c r="V432" s="579"/>
      <c r="W432" s="637" t="str">
        <f>IF(U431&gt;0,"xx",IF(P431&gt;0,"xy",""))</f>
        <v/>
      </c>
      <c r="X432" s="586" t="str">
        <f t="shared" si="127"/>
        <v/>
      </c>
      <c r="Y432" s="586" t="str">
        <f>IF(W432="X","x",IF(W432="y","x",IF(W432="xx","x",IF(U432&gt;0,"x",""))))</f>
        <v/>
      </c>
      <c r="Z432" s="586" t="str">
        <f t="shared" si="125"/>
        <v/>
      </c>
    </row>
    <row r="433" spans="1:26" ht="12" hidden="1" thickBot="1" x14ac:dyDescent="0.25">
      <c r="A433" s="671" t="s">
        <v>168</v>
      </c>
      <c r="B433" s="644" t="s">
        <v>168</v>
      </c>
      <c r="C433" s="645"/>
      <c r="D433" s="451" t="s">
        <v>249</v>
      </c>
      <c r="E433" s="423"/>
      <c r="F433" s="424">
        <v>500</v>
      </c>
      <c r="G433" s="425">
        <v>1.4999999999999999E-2</v>
      </c>
      <c r="H433" s="649">
        <f>IF(F433&lt;=30,(0.78*F433+7.82)*G433,((0.78*30+7.82)+0.78*(F433-30))*G433)</f>
        <v>5.9673000000000007</v>
      </c>
      <c r="I433" s="420">
        <v>0</v>
      </c>
      <c r="J433" s="420"/>
      <c r="K433" s="421">
        <f t="shared" si="117"/>
        <v>0</v>
      </c>
      <c r="L433" s="647" t="s">
        <v>614</v>
      </c>
      <c r="M433" s="703"/>
      <c r="N433" s="576">
        <f t="shared" si="123"/>
        <v>0</v>
      </c>
      <c r="O433" s="577">
        <f t="shared" si="132"/>
        <v>0</v>
      </c>
      <c r="P433" s="578">
        <f t="shared" si="133"/>
        <v>0</v>
      </c>
      <c r="Q433" s="765"/>
      <c r="R433" s="703"/>
      <c r="S433" s="670"/>
      <c r="T433" s="577">
        <f t="shared" si="130"/>
        <v>0</v>
      </c>
      <c r="U433" s="578">
        <f t="shared" si="131"/>
        <v>0</v>
      </c>
      <c r="V433" s="579"/>
      <c r="W433" s="637" t="str">
        <f>IF(U431&gt;0,"xx",IF(P431&gt;0,"xy",""))</f>
        <v/>
      </c>
      <c r="X433" s="586" t="str">
        <f t="shared" si="127"/>
        <v/>
      </c>
      <c r="Y433" s="586" t="str">
        <f>IF(W433="X","x",IF(W433="y","x",IF(W433="xx","x",IF(U433&gt;0,"x",""))))</f>
        <v/>
      </c>
      <c r="Z433" s="586" t="str">
        <f t="shared" si="125"/>
        <v/>
      </c>
    </row>
    <row r="434" spans="1:26" ht="12" hidden="1" thickBot="1" x14ac:dyDescent="0.25">
      <c r="A434" s="671" t="s">
        <v>168</v>
      </c>
      <c r="B434" s="644" t="s">
        <v>168</v>
      </c>
      <c r="C434" s="645"/>
      <c r="D434" s="451" t="s">
        <v>262</v>
      </c>
      <c r="E434" s="423"/>
      <c r="F434" s="424">
        <v>0.2</v>
      </c>
      <c r="G434" s="425">
        <v>0.82599999999999996</v>
      </c>
      <c r="H434" s="663">
        <f t="shared" si="134"/>
        <v>2.390444</v>
      </c>
      <c r="I434" s="420">
        <v>0</v>
      </c>
      <c r="J434" s="420"/>
      <c r="K434" s="421">
        <f t="shared" si="117"/>
        <v>0</v>
      </c>
      <c r="L434" s="647" t="s">
        <v>614</v>
      </c>
      <c r="M434" s="703"/>
      <c r="N434" s="576">
        <f t="shared" si="123"/>
        <v>0</v>
      </c>
      <c r="O434" s="577">
        <f t="shared" si="132"/>
        <v>0</v>
      </c>
      <c r="P434" s="578">
        <f t="shared" si="133"/>
        <v>0</v>
      </c>
      <c r="Q434" s="765"/>
      <c r="R434" s="703"/>
      <c r="S434" s="670"/>
      <c r="T434" s="577">
        <f t="shared" si="130"/>
        <v>0</v>
      </c>
      <c r="U434" s="578">
        <f t="shared" si="131"/>
        <v>0</v>
      </c>
      <c r="V434" s="579"/>
      <c r="W434" s="637" t="str">
        <f>IF(U431&gt;0,"xx",IF(P431&gt;0,"xy",""))</f>
        <v/>
      </c>
      <c r="X434" s="586" t="str">
        <f t="shared" si="127"/>
        <v/>
      </c>
      <c r="Y434" s="586" t="str">
        <f>IF(W434="X","x",IF(W434="y","x",IF(W434="xx","x",IF(U434&gt;0,"x",""))))</f>
        <v/>
      </c>
      <c r="Z434" s="586" t="str">
        <f t="shared" si="125"/>
        <v/>
      </c>
    </row>
    <row r="435" spans="1:26" ht="12" hidden="1" thickBot="1" x14ac:dyDescent="0.25">
      <c r="A435" s="671" t="s">
        <v>168</v>
      </c>
      <c r="B435" s="644" t="s">
        <v>168</v>
      </c>
      <c r="C435" s="645"/>
      <c r="D435" s="451" t="s">
        <v>263</v>
      </c>
      <c r="E435" s="423"/>
      <c r="F435" s="424">
        <v>20</v>
      </c>
      <c r="G435" s="425">
        <f>SUM(G431:G434)</f>
        <v>1</v>
      </c>
      <c r="H435" s="651">
        <f>IF(F435&lt;=30,(1.07*F435+6.45)*G435,((1.07*30+6.45)+1.07*(F435-30))*G435)</f>
        <v>27.85</v>
      </c>
      <c r="I435" s="420">
        <v>0</v>
      </c>
      <c r="J435" s="420"/>
      <c r="K435" s="421">
        <f t="shared" si="117"/>
        <v>0</v>
      </c>
      <c r="L435" s="647" t="s">
        <v>614</v>
      </c>
      <c r="M435" s="703"/>
      <c r="N435" s="576">
        <f t="shared" si="123"/>
        <v>0</v>
      </c>
      <c r="O435" s="577">
        <f t="shared" si="132"/>
        <v>0</v>
      </c>
      <c r="P435" s="578">
        <f t="shared" si="133"/>
        <v>0</v>
      </c>
      <c r="Q435" s="765"/>
      <c r="R435" s="703"/>
      <c r="S435" s="670"/>
      <c r="T435" s="577">
        <f t="shared" si="130"/>
        <v>0</v>
      </c>
      <c r="U435" s="578">
        <f t="shared" si="131"/>
        <v>0</v>
      </c>
      <c r="V435" s="579"/>
      <c r="W435" s="637" t="str">
        <f>IF(U431&gt;0,"xx",IF(P431&gt;0,"xy",""))</f>
        <v/>
      </c>
      <c r="X435" s="586" t="str">
        <f t="shared" si="127"/>
        <v/>
      </c>
      <c r="Y435" s="586" t="str">
        <f>IF(W435="X","x",IF(W435="y","x",IF(W435="xx","x",IF(U435&gt;0,"x",""))))</f>
        <v/>
      </c>
      <c r="Z435" s="586" t="str">
        <f t="shared" si="125"/>
        <v/>
      </c>
    </row>
    <row r="436" spans="1:26" ht="12" hidden="1" thickBot="1" x14ac:dyDescent="0.25">
      <c r="A436" s="671">
        <v>589040</v>
      </c>
      <c r="B436" s="704">
        <v>589040</v>
      </c>
      <c r="C436" s="689" t="s">
        <v>1746</v>
      </c>
      <c r="D436" s="477" t="s">
        <v>2069</v>
      </c>
      <c r="E436" s="470"/>
      <c r="F436" s="478">
        <v>500</v>
      </c>
      <c r="G436" s="479">
        <v>1</v>
      </c>
      <c r="H436" s="663">
        <f>(0.94*F436+46.06)*G436</f>
        <v>516.05999999999995</v>
      </c>
      <c r="I436" s="472">
        <v>7130</v>
      </c>
      <c r="J436" s="472">
        <f>IF(ISBLANK(I436),"",I436*(1+$F$9)/(1+$F$10))+H436</f>
        <v>7434.2184041747332</v>
      </c>
      <c r="K436" s="690">
        <f t="shared" si="117"/>
        <v>8832.59</v>
      </c>
      <c r="L436" s="691" t="s">
        <v>20</v>
      </c>
      <c r="M436" s="692">
        <f>ROUND(M431*G431,2)</f>
        <v>0</v>
      </c>
      <c r="N436" s="588">
        <f t="shared" si="123"/>
        <v>0</v>
      </c>
      <c r="O436" s="693">
        <f t="shared" si="132"/>
        <v>0</v>
      </c>
      <c r="P436" s="694">
        <f t="shared" si="133"/>
        <v>0</v>
      </c>
      <c r="Q436" s="765"/>
      <c r="R436" s="695">
        <f>ROUND(R431*G431,2)</f>
        <v>0</v>
      </c>
      <c r="S436" s="711">
        <f>N436</f>
        <v>0</v>
      </c>
      <c r="T436" s="693">
        <f t="shared" si="130"/>
        <v>0</v>
      </c>
      <c r="U436" s="694">
        <f t="shared" si="131"/>
        <v>0</v>
      </c>
      <c r="V436" s="579"/>
      <c r="W436" s="637" t="str">
        <f>IF(U431&gt;0,"xx",IF(P431&gt;0,"xy",""))</f>
        <v/>
      </c>
      <c r="X436" s="586" t="str">
        <f t="shared" si="127"/>
        <v/>
      </c>
      <c r="Y436" s="586" t="str">
        <f t="shared" si="122"/>
        <v/>
      </c>
      <c r="Z436" s="586" t="str">
        <f t="shared" si="125"/>
        <v/>
      </c>
    </row>
    <row r="437" spans="1:26" ht="23.25" hidden="1" thickBot="1" x14ac:dyDescent="0.25">
      <c r="A437" s="567">
        <v>570350</v>
      </c>
      <c r="B437" s="701">
        <v>570350</v>
      </c>
      <c r="C437" s="702" t="s">
        <v>206</v>
      </c>
      <c r="D437" s="463" t="s">
        <v>1704</v>
      </c>
      <c r="E437" s="464"/>
      <c r="F437" s="487" t="s">
        <v>665</v>
      </c>
      <c r="G437" s="466">
        <v>0.06</v>
      </c>
      <c r="H437" s="681">
        <f>SUM(H438:H441)</f>
        <v>55.732850000000006</v>
      </c>
      <c r="I437" s="467">
        <v>200.61</v>
      </c>
      <c r="J437" s="467">
        <f>IF(ISBLANK(I437),"",SUM(H437:I437))</f>
        <v>256.34285</v>
      </c>
      <c r="K437" s="682">
        <f t="shared" si="117"/>
        <v>304.56</v>
      </c>
      <c r="L437" s="683" t="s">
        <v>666</v>
      </c>
      <c r="M437" s="685"/>
      <c r="N437" s="686">
        <f t="shared" si="123"/>
        <v>0</v>
      </c>
      <c r="O437" s="687">
        <f t="shared" si="132"/>
        <v>0</v>
      </c>
      <c r="P437" s="688">
        <f t="shared" si="133"/>
        <v>0</v>
      </c>
      <c r="Q437" s="765"/>
      <c r="R437" s="685">
        <f>M437</f>
        <v>0</v>
      </c>
      <c r="S437" s="686">
        <f>N437</f>
        <v>0</v>
      </c>
      <c r="T437" s="687">
        <f t="shared" si="130"/>
        <v>0</v>
      </c>
      <c r="U437" s="688">
        <f t="shared" si="131"/>
        <v>0</v>
      </c>
      <c r="V437" s="579"/>
      <c r="W437" s="566"/>
      <c r="X437" s="586" t="str">
        <f t="shared" si="127"/>
        <v/>
      </c>
      <c r="Y437" s="586" t="str">
        <f t="shared" si="122"/>
        <v/>
      </c>
      <c r="Z437" s="586" t="str">
        <f t="shared" si="125"/>
        <v/>
      </c>
    </row>
    <row r="438" spans="1:26" ht="12" hidden="1" thickBot="1" x14ac:dyDescent="0.25">
      <c r="A438" s="567" t="s">
        <v>168</v>
      </c>
      <c r="B438" s="644" t="s">
        <v>168</v>
      </c>
      <c r="C438" s="645"/>
      <c r="D438" s="451" t="s">
        <v>248</v>
      </c>
      <c r="E438" s="423"/>
      <c r="F438" s="424">
        <v>180</v>
      </c>
      <c r="G438" s="425">
        <v>0.1</v>
      </c>
      <c r="H438" s="663">
        <f t="shared" ref="H438:H440" si="135">IF(F438&lt;=30,(1.07*F438+2.68)*G438,((1.07*30+2.68)+1.07*(F438-30))*G438)</f>
        <v>19.528000000000002</v>
      </c>
      <c r="I438" s="420">
        <v>0</v>
      </c>
      <c r="J438" s="420"/>
      <c r="K438" s="421">
        <f t="shared" si="117"/>
        <v>0</v>
      </c>
      <c r="L438" s="647" t="s">
        <v>614</v>
      </c>
      <c r="M438" s="703"/>
      <c r="N438" s="576">
        <f t="shared" si="123"/>
        <v>0</v>
      </c>
      <c r="O438" s="577">
        <f t="shared" si="132"/>
        <v>0</v>
      </c>
      <c r="P438" s="578">
        <f t="shared" si="133"/>
        <v>0</v>
      </c>
      <c r="Q438" s="765"/>
      <c r="R438" s="703"/>
      <c r="S438" s="670"/>
      <c r="T438" s="577">
        <f t="shared" si="130"/>
        <v>0</v>
      </c>
      <c r="U438" s="578">
        <f t="shared" si="131"/>
        <v>0</v>
      </c>
      <c r="V438" s="579"/>
      <c r="W438" s="637" t="str">
        <f>IF(U437&gt;0,"xx",IF(P437&gt;0,"xy",""))</f>
        <v/>
      </c>
      <c r="X438" s="586" t="str">
        <f t="shared" si="127"/>
        <v/>
      </c>
      <c r="Y438" s="586" t="str">
        <f t="shared" si="122"/>
        <v/>
      </c>
      <c r="Z438" s="586" t="str">
        <f t="shared" si="125"/>
        <v/>
      </c>
    </row>
    <row r="439" spans="1:26" ht="12" hidden="1" thickBot="1" x14ac:dyDescent="0.25">
      <c r="A439" s="567" t="s">
        <v>168</v>
      </c>
      <c r="B439" s="644" t="s">
        <v>168</v>
      </c>
      <c r="C439" s="645"/>
      <c r="D439" s="451" t="s">
        <v>249</v>
      </c>
      <c r="E439" s="423"/>
      <c r="F439" s="424">
        <v>500</v>
      </c>
      <c r="G439" s="425">
        <v>1.4999999999999999E-2</v>
      </c>
      <c r="H439" s="649">
        <f>IF(F439&lt;=30,(0.78*F439+7.82)*G439,((0.78*30+7.82)+0.78*(F439-30))*G439)</f>
        <v>5.9673000000000007</v>
      </c>
      <c r="I439" s="420">
        <v>0</v>
      </c>
      <c r="J439" s="420"/>
      <c r="K439" s="421">
        <f t="shared" si="117"/>
        <v>0</v>
      </c>
      <c r="L439" s="647" t="s">
        <v>614</v>
      </c>
      <c r="M439" s="703"/>
      <c r="N439" s="576">
        <f t="shared" si="123"/>
        <v>0</v>
      </c>
      <c r="O439" s="577">
        <f t="shared" si="132"/>
        <v>0</v>
      </c>
      <c r="P439" s="578">
        <f t="shared" si="133"/>
        <v>0</v>
      </c>
      <c r="Q439" s="765"/>
      <c r="R439" s="703"/>
      <c r="S439" s="670"/>
      <c r="T439" s="577">
        <f t="shared" si="130"/>
        <v>0</v>
      </c>
      <c r="U439" s="578">
        <f t="shared" si="131"/>
        <v>0</v>
      </c>
      <c r="V439" s="579"/>
      <c r="W439" s="637" t="str">
        <f>IF(U437&gt;0,"xx",IF(P437&gt;0,"xy",""))</f>
        <v/>
      </c>
      <c r="X439" s="586" t="str">
        <f t="shared" si="127"/>
        <v/>
      </c>
      <c r="Y439" s="586" t="str">
        <f t="shared" si="122"/>
        <v/>
      </c>
      <c r="Z439" s="586" t="str">
        <f t="shared" si="125"/>
        <v/>
      </c>
    </row>
    <row r="440" spans="1:26" ht="12" hidden="1" thickBot="1" x14ac:dyDescent="0.25">
      <c r="A440" s="567" t="s">
        <v>168</v>
      </c>
      <c r="B440" s="644" t="s">
        <v>168</v>
      </c>
      <c r="C440" s="645"/>
      <c r="D440" s="451" t="s">
        <v>262</v>
      </c>
      <c r="E440" s="423"/>
      <c r="F440" s="424">
        <v>0.2</v>
      </c>
      <c r="G440" s="425">
        <v>0.82499999999999996</v>
      </c>
      <c r="H440" s="663">
        <f t="shared" si="135"/>
        <v>2.3875500000000001</v>
      </c>
      <c r="I440" s="420">
        <v>0</v>
      </c>
      <c r="J440" s="420"/>
      <c r="K440" s="421">
        <f t="shared" si="117"/>
        <v>0</v>
      </c>
      <c r="L440" s="647" t="s">
        <v>614</v>
      </c>
      <c r="M440" s="703"/>
      <c r="N440" s="576">
        <f t="shared" si="123"/>
        <v>0</v>
      </c>
      <c r="O440" s="577">
        <f t="shared" si="132"/>
        <v>0</v>
      </c>
      <c r="P440" s="578">
        <f t="shared" si="133"/>
        <v>0</v>
      </c>
      <c r="Q440" s="765"/>
      <c r="R440" s="703"/>
      <c r="S440" s="670"/>
      <c r="T440" s="577">
        <f t="shared" si="130"/>
        <v>0</v>
      </c>
      <c r="U440" s="578">
        <f t="shared" si="131"/>
        <v>0</v>
      </c>
      <c r="V440" s="579"/>
      <c r="W440" s="637" t="str">
        <f>IF(U437&gt;0,"xx",IF(P437&gt;0,"xy",""))</f>
        <v/>
      </c>
      <c r="X440" s="586" t="str">
        <f t="shared" si="127"/>
        <v/>
      </c>
      <c r="Y440" s="586" t="str">
        <f t="shared" si="122"/>
        <v/>
      </c>
      <c r="Z440" s="586" t="str">
        <f t="shared" si="125"/>
        <v/>
      </c>
    </row>
    <row r="441" spans="1:26" ht="12" hidden="1" thickBot="1" x14ac:dyDescent="0.25">
      <c r="A441" s="567" t="s">
        <v>168</v>
      </c>
      <c r="B441" s="644" t="s">
        <v>168</v>
      </c>
      <c r="C441" s="645"/>
      <c r="D441" s="451" t="s">
        <v>263</v>
      </c>
      <c r="E441" s="423"/>
      <c r="F441" s="424">
        <v>20</v>
      </c>
      <c r="G441" s="425">
        <f>SUM(G437:G440)</f>
        <v>1</v>
      </c>
      <c r="H441" s="651">
        <f>IF(F441&lt;=30,(1.07*F441+6.45)*G441,((1.07*30+6.45)+1.07*(F441-30))*G441)</f>
        <v>27.85</v>
      </c>
      <c r="I441" s="420">
        <v>0</v>
      </c>
      <c r="J441" s="420"/>
      <c r="K441" s="421">
        <f t="shared" si="117"/>
        <v>0</v>
      </c>
      <c r="L441" s="647" t="s">
        <v>614</v>
      </c>
      <c r="M441" s="703"/>
      <c r="N441" s="576">
        <f t="shared" si="123"/>
        <v>0</v>
      </c>
      <c r="O441" s="577">
        <f t="shared" si="132"/>
        <v>0</v>
      </c>
      <c r="P441" s="578">
        <f t="shared" si="133"/>
        <v>0</v>
      </c>
      <c r="Q441" s="765"/>
      <c r="R441" s="703"/>
      <c r="S441" s="670"/>
      <c r="T441" s="577">
        <f t="shared" si="130"/>
        <v>0</v>
      </c>
      <c r="U441" s="578">
        <f t="shared" si="131"/>
        <v>0</v>
      </c>
      <c r="V441" s="579"/>
      <c r="W441" s="637" t="str">
        <f>IF(U437&gt;0,"xx",IF(P437&gt;0,"xy",""))</f>
        <v/>
      </c>
      <c r="X441" s="586" t="str">
        <f t="shared" si="127"/>
        <v/>
      </c>
      <c r="Y441" s="586" t="str">
        <f t="shared" si="122"/>
        <v/>
      </c>
      <c r="Z441" s="586" t="str">
        <f t="shared" si="125"/>
        <v/>
      </c>
    </row>
    <row r="442" spans="1:26" ht="12" hidden="1" thickBot="1" x14ac:dyDescent="0.25">
      <c r="A442" s="567">
        <v>589050</v>
      </c>
      <c r="B442" s="704">
        <v>589050</v>
      </c>
      <c r="C442" s="689" t="s">
        <v>1746</v>
      </c>
      <c r="D442" s="477" t="s">
        <v>1797</v>
      </c>
      <c r="E442" s="470"/>
      <c r="F442" s="478">
        <v>500</v>
      </c>
      <c r="G442" s="479">
        <v>1</v>
      </c>
      <c r="H442" s="663">
        <f>(0.94*F442+46.06)*G442</f>
        <v>516.05999999999995</v>
      </c>
      <c r="I442" s="472">
        <v>5662</v>
      </c>
      <c r="J442" s="472">
        <f>IF(ISBLANK(I442),"",I442*(1+$F$9)/(1+$F$10))+H442</f>
        <v>6009.8345980978047</v>
      </c>
      <c r="K442" s="690">
        <f t="shared" si="117"/>
        <v>7140.28</v>
      </c>
      <c r="L442" s="691" t="s">
        <v>20</v>
      </c>
      <c r="M442" s="692">
        <f>ROUND(M437*G437,2)</f>
        <v>0</v>
      </c>
      <c r="N442" s="696">
        <f t="shared" si="123"/>
        <v>0</v>
      </c>
      <c r="O442" s="693">
        <f t="shared" si="132"/>
        <v>0</v>
      </c>
      <c r="P442" s="694">
        <f t="shared" si="133"/>
        <v>0</v>
      </c>
      <c r="Q442" s="765"/>
      <c r="R442" s="695">
        <f>ROUND(R437*G437,2)</f>
        <v>0</v>
      </c>
      <c r="S442" s="711">
        <f>N442</f>
        <v>0</v>
      </c>
      <c r="T442" s="693">
        <f t="shared" si="130"/>
        <v>0</v>
      </c>
      <c r="U442" s="694">
        <f t="shared" si="131"/>
        <v>0</v>
      </c>
      <c r="V442" s="579"/>
      <c r="W442" s="637" t="str">
        <f>IF(U437&gt;0,"xx",IF(P437&gt;0,"xy",""))</f>
        <v/>
      </c>
      <c r="X442" s="586" t="str">
        <f t="shared" si="127"/>
        <v/>
      </c>
      <c r="Y442" s="586" t="str">
        <f t="shared" si="122"/>
        <v/>
      </c>
      <c r="Z442" s="586" t="str">
        <f t="shared" si="125"/>
        <v/>
      </c>
    </row>
    <row r="443" spans="1:26" ht="12" hidden="1" thickBot="1" x14ac:dyDescent="0.25">
      <c r="A443" s="671">
        <v>502615</v>
      </c>
      <c r="B443" s="701">
        <v>502615</v>
      </c>
      <c r="C443" s="702" t="s">
        <v>206</v>
      </c>
      <c r="D443" s="463" t="s">
        <v>2070</v>
      </c>
      <c r="E443" s="464"/>
      <c r="F443" s="465"/>
      <c r="G443" s="466"/>
      <c r="H443" s="681">
        <f>SUM(H444:H447)</f>
        <v>394.23356000000001</v>
      </c>
      <c r="I443" s="467">
        <v>304.24</v>
      </c>
      <c r="J443" s="467">
        <f t="shared" ref="J443:J477" si="136">IF(ISBLANK(I443),"",SUM(H443:I443))</f>
        <v>698.47356000000002</v>
      </c>
      <c r="K443" s="682">
        <f t="shared" ref="K443:K501" si="137">IF(ISBLANK(I443),0,ROUND(J443*(1+$F$10)*(1+$F$11*E443),2))</f>
        <v>829.86</v>
      </c>
      <c r="L443" s="683" t="s">
        <v>16</v>
      </c>
      <c r="M443" s="686"/>
      <c r="N443" s="576">
        <f t="shared" si="123"/>
        <v>0</v>
      </c>
      <c r="O443" s="687">
        <f t="shared" si="132"/>
        <v>0</v>
      </c>
      <c r="P443" s="688">
        <f t="shared" si="133"/>
        <v>0</v>
      </c>
      <c r="Q443" s="765"/>
      <c r="R443" s="685">
        <f t="shared" ref="R443:S477" si="138">M443</f>
        <v>0</v>
      </c>
      <c r="S443" s="686">
        <f>N443</f>
        <v>0</v>
      </c>
      <c r="T443" s="687">
        <f t="shared" si="130"/>
        <v>0</v>
      </c>
      <c r="U443" s="688">
        <f t="shared" si="131"/>
        <v>0</v>
      </c>
      <c r="V443" s="579"/>
      <c r="W443" s="566"/>
      <c r="X443" s="586" t="str">
        <f t="shared" si="127"/>
        <v/>
      </c>
      <c r="Y443" s="586" t="str">
        <f t="shared" si="122"/>
        <v/>
      </c>
      <c r="Z443" s="586" t="str">
        <f t="shared" si="125"/>
        <v/>
      </c>
    </row>
    <row r="444" spans="1:26" ht="12" hidden="1" thickBot="1" x14ac:dyDescent="0.25">
      <c r="A444" s="567" t="s">
        <v>168</v>
      </c>
      <c r="B444" s="644" t="s">
        <v>168</v>
      </c>
      <c r="C444" s="645"/>
      <c r="D444" s="451" t="s">
        <v>212</v>
      </c>
      <c r="E444" s="423"/>
      <c r="F444" s="424">
        <v>500</v>
      </c>
      <c r="G444" s="425">
        <v>0.33</v>
      </c>
      <c r="H444" s="649">
        <f>IF(F444&lt;=30,(0.78*F444+7.82)*G444,((0.78*30+7.82)+0.78*(F444-30))*G444)</f>
        <v>131.28060000000002</v>
      </c>
      <c r="I444" s="420">
        <v>0</v>
      </c>
      <c r="J444" s="420"/>
      <c r="K444" s="421">
        <f t="shared" si="137"/>
        <v>0</v>
      </c>
      <c r="L444" s="668" t="s">
        <v>614</v>
      </c>
      <c r="M444" s="669"/>
      <c r="N444" s="576">
        <f t="shared" si="123"/>
        <v>0</v>
      </c>
      <c r="O444" s="577">
        <f>IF(ISBLANK(M444),0,ROUND(K444*M444,2))</f>
        <v>0</v>
      </c>
      <c r="P444" s="578">
        <f>IF(ISBLANK(N444),0,ROUND(M444*N444,2))</f>
        <v>0</v>
      </c>
      <c r="Q444" s="765"/>
      <c r="R444" s="669"/>
      <c r="S444" s="670"/>
      <c r="T444" s="577">
        <f>IF(ISBLANK(R444),0,ROUND(K444*R444,2))</f>
        <v>0</v>
      </c>
      <c r="U444" s="578">
        <f>IF(ISBLANK(R444),0,ROUND(R444*S444,2))</f>
        <v>0</v>
      </c>
      <c r="V444" s="579"/>
      <c r="W444" s="637" t="str">
        <f>IF(U443&gt;0,"xx",IF(P443&gt;0,"xy",""))</f>
        <v/>
      </c>
      <c r="X444" s="586" t="str">
        <f t="shared" si="127"/>
        <v/>
      </c>
      <c r="Y444" s="586" t="str">
        <f>IF(W444="X","x",IF(W444="y","x",IF(W444="xx","x",IF(U444&gt;0,"x",""))))</f>
        <v/>
      </c>
      <c r="Z444" s="586" t="str">
        <f>IF(W444="X","x",IF(U444&gt;0,"x",""))</f>
        <v/>
      </c>
    </row>
    <row r="445" spans="1:26" ht="12" hidden="1" thickBot="1" x14ac:dyDescent="0.25">
      <c r="A445" s="567" t="s">
        <v>168</v>
      </c>
      <c r="B445" s="644" t="s">
        <v>168</v>
      </c>
      <c r="C445" s="645"/>
      <c r="D445" s="451" t="s">
        <v>248</v>
      </c>
      <c r="E445" s="423"/>
      <c r="F445" s="424">
        <v>180</v>
      </c>
      <c r="G445" s="425">
        <v>0.92100000000000004</v>
      </c>
      <c r="H445" s="663">
        <f t="shared" ref="H445:H447" si="139">IF(F445&lt;=30,(1.07*F445+2.68)*G445,((1.07*30+2.68)+1.07*(F445-30))*G445)</f>
        <v>179.85288</v>
      </c>
      <c r="I445" s="420">
        <v>0</v>
      </c>
      <c r="J445" s="420"/>
      <c r="K445" s="421">
        <f t="shared" si="137"/>
        <v>0</v>
      </c>
      <c r="L445" s="668" t="s">
        <v>614</v>
      </c>
      <c r="M445" s="669"/>
      <c r="N445" s="576">
        <f t="shared" si="123"/>
        <v>0</v>
      </c>
      <c r="O445" s="577">
        <f>IF(ISBLANK(M445),0,ROUND(K445*M445,2))</f>
        <v>0</v>
      </c>
      <c r="P445" s="578">
        <f>IF(ISBLANK(N445),0,ROUND(M445*N445,2))</f>
        <v>0</v>
      </c>
      <c r="Q445" s="765"/>
      <c r="R445" s="669"/>
      <c r="S445" s="670"/>
      <c r="T445" s="577">
        <f>IF(ISBLANK(R445),0,ROUND(K445*R445,2))</f>
        <v>0</v>
      </c>
      <c r="U445" s="578">
        <f>IF(ISBLANK(R445),0,ROUND(R445*S445,2))</f>
        <v>0</v>
      </c>
      <c r="V445" s="579"/>
      <c r="W445" s="637" t="str">
        <f>IF(U443&gt;0,"xx",IF(P443&gt;0,"xy",""))</f>
        <v/>
      </c>
      <c r="X445" s="586" t="str">
        <f t="shared" si="127"/>
        <v/>
      </c>
      <c r="Y445" s="586" t="str">
        <f>IF(W445="X","x",IF(W445="y","x",IF(W445="xx","x",IF(U445&gt;0,"x",""))))</f>
        <v/>
      </c>
      <c r="Z445" s="586" t="str">
        <f>IF(W445="X","x",IF(U445&gt;0,"x",""))</f>
        <v/>
      </c>
    </row>
    <row r="446" spans="1:26" ht="12" hidden="1" thickBot="1" x14ac:dyDescent="0.25">
      <c r="A446" s="567" t="s">
        <v>168</v>
      </c>
      <c r="B446" s="644" t="s">
        <v>168</v>
      </c>
      <c r="C446" s="645"/>
      <c r="D446" s="451" t="s">
        <v>252</v>
      </c>
      <c r="E446" s="423"/>
      <c r="F446" s="424">
        <v>20</v>
      </c>
      <c r="G446" s="425">
        <v>1.1000000000000001</v>
      </c>
      <c r="H446" s="663">
        <f t="shared" si="139"/>
        <v>26.488000000000003</v>
      </c>
      <c r="I446" s="420">
        <v>0</v>
      </c>
      <c r="J446" s="420"/>
      <c r="K446" s="421">
        <f t="shared" si="137"/>
        <v>0</v>
      </c>
      <c r="L446" s="668" t="s">
        <v>614</v>
      </c>
      <c r="M446" s="669"/>
      <c r="N446" s="576">
        <f t="shared" si="123"/>
        <v>0</v>
      </c>
      <c r="O446" s="577">
        <f>IF(ISBLANK(M446),0,ROUND(K446*M446,2))</f>
        <v>0</v>
      </c>
      <c r="P446" s="578">
        <f>IF(ISBLANK(N446),0,ROUND(M446*N446,2))</f>
        <v>0</v>
      </c>
      <c r="Q446" s="765"/>
      <c r="R446" s="669"/>
      <c r="S446" s="670"/>
      <c r="T446" s="577">
        <f>IF(ISBLANK(R446),0,ROUND(K446*R446,2))</f>
        <v>0</v>
      </c>
      <c r="U446" s="578">
        <f>IF(ISBLANK(R446),0,ROUND(R446*S446,2))</f>
        <v>0</v>
      </c>
      <c r="V446" s="579"/>
      <c r="W446" s="637" t="str">
        <f>IF(U443&gt;0,"xx",IF(P443&gt;0,"xy",""))</f>
        <v/>
      </c>
      <c r="X446" s="586" t="str">
        <f t="shared" si="127"/>
        <v/>
      </c>
      <c r="Y446" s="586" t="str">
        <f>IF(W446="X","x",IF(W446="y","x",IF(W446="xx","x",IF(U446&gt;0,"x",""))))</f>
        <v/>
      </c>
      <c r="Z446" s="586" t="str">
        <f>IF(W446="X","x",IF(U446&gt;0,"x",""))</f>
        <v/>
      </c>
    </row>
    <row r="447" spans="1:26" ht="12" hidden="1" thickBot="1" x14ac:dyDescent="0.25">
      <c r="A447" s="567" t="s">
        <v>168</v>
      </c>
      <c r="B447" s="644" t="s">
        <v>168</v>
      </c>
      <c r="C447" s="645"/>
      <c r="D447" s="451" t="s">
        <v>263</v>
      </c>
      <c r="E447" s="423"/>
      <c r="F447" s="424">
        <v>20</v>
      </c>
      <c r="G447" s="425">
        <f>SUM(G443:G446)</f>
        <v>2.351</v>
      </c>
      <c r="H447" s="651">
        <f t="shared" si="139"/>
        <v>56.612080000000006</v>
      </c>
      <c r="I447" s="420">
        <v>0</v>
      </c>
      <c r="J447" s="420"/>
      <c r="K447" s="421">
        <f>IF(ISBLANK(I447),0,ROUND(J447*(1+$F$10)*(1+$F$11*E447),2))</f>
        <v>0</v>
      </c>
      <c r="L447" s="647" t="s">
        <v>614</v>
      </c>
      <c r="M447" s="703"/>
      <c r="N447" s="576">
        <f t="shared" si="123"/>
        <v>0</v>
      </c>
      <c r="O447" s="577">
        <f>IF(ISBLANK(M447),0,ROUND(K447*M447,2))</f>
        <v>0</v>
      </c>
      <c r="P447" s="578">
        <f>IF(ISBLANK(N447),0,ROUND(M447*N447,2))</f>
        <v>0</v>
      </c>
      <c r="Q447" s="765"/>
      <c r="R447" s="703"/>
      <c r="S447" s="670"/>
      <c r="T447" s="577">
        <f>IF(ISBLANK(R447),0,ROUND(K447*R447,2))</f>
        <v>0</v>
      </c>
      <c r="U447" s="578">
        <f>IF(ISBLANK(R447),0,ROUND(R447*S447,2))</f>
        <v>0</v>
      </c>
      <c r="V447" s="579"/>
      <c r="W447" s="637" t="str">
        <f>IF(U443&gt;0,"xx",IF(P443&gt;0,"xy",""))</f>
        <v/>
      </c>
      <c r="X447" s="586" t="str">
        <f t="shared" si="127"/>
        <v/>
      </c>
      <c r="Y447" s="586" t="str">
        <f>IF(W447="X","x",IF(W447="y","x",IF(W447="xx","x",IF(U447&gt;0,"x",""))))</f>
        <v/>
      </c>
      <c r="Z447" s="586" t="str">
        <f>IF(W447="X","x",IF(U447&gt;0,"x",""))</f>
        <v/>
      </c>
    </row>
    <row r="448" spans="1:26" ht="12" hidden="1" thickBot="1" x14ac:dyDescent="0.25">
      <c r="A448" s="671">
        <v>502605</v>
      </c>
      <c r="B448" s="644">
        <v>502605</v>
      </c>
      <c r="C448" s="645" t="s">
        <v>206</v>
      </c>
      <c r="D448" s="422" t="s">
        <v>2071</v>
      </c>
      <c r="E448" s="423"/>
      <c r="F448" s="424"/>
      <c r="G448" s="425"/>
      <c r="H448" s="663">
        <f>SUM(H449:H452)</f>
        <v>294.44720000000001</v>
      </c>
      <c r="I448" s="420">
        <v>179.75</v>
      </c>
      <c r="J448" s="420">
        <f t="shared" si="136"/>
        <v>474.19720000000001</v>
      </c>
      <c r="K448" s="421">
        <f t="shared" si="137"/>
        <v>563.39</v>
      </c>
      <c r="L448" s="647" t="s">
        <v>16</v>
      </c>
      <c r="M448" s="587"/>
      <c r="N448" s="576">
        <f t="shared" si="123"/>
        <v>0</v>
      </c>
      <c r="O448" s="577">
        <f t="shared" si="132"/>
        <v>0</v>
      </c>
      <c r="P448" s="578">
        <f t="shared" si="133"/>
        <v>0</v>
      </c>
      <c r="Q448" s="765"/>
      <c r="R448" s="650">
        <f t="shared" si="138"/>
        <v>0</v>
      </c>
      <c r="S448" s="587">
        <f>N448</f>
        <v>0</v>
      </c>
      <c r="T448" s="577">
        <f t="shared" si="130"/>
        <v>0</v>
      </c>
      <c r="U448" s="578">
        <f t="shared" si="131"/>
        <v>0</v>
      </c>
      <c r="V448" s="579"/>
      <c r="W448" s="566"/>
      <c r="X448" s="586" t="str">
        <f t="shared" si="127"/>
        <v/>
      </c>
      <c r="Y448" s="586" t="str">
        <f t="shared" si="122"/>
        <v/>
      </c>
      <c r="Z448" s="586" t="str">
        <f t="shared" si="125"/>
        <v/>
      </c>
    </row>
    <row r="449" spans="1:26" ht="12" hidden="1" thickBot="1" x14ac:dyDescent="0.25">
      <c r="A449" s="567" t="s">
        <v>168</v>
      </c>
      <c r="B449" s="644" t="s">
        <v>168</v>
      </c>
      <c r="C449" s="645"/>
      <c r="D449" s="451" t="s">
        <v>212</v>
      </c>
      <c r="E449" s="423"/>
      <c r="F449" s="424">
        <v>500</v>
      </c>
      <c r="G449" s="425">
        <v>0.12</v>
      </c>
      <c r="H449" s="649">
        <f>IF(F449&lt;=30,(0.78*F449+7.82)*G449,((0.78*30+7.82)+0.78*(F449-30))*G449)</f>
        <v>47.738400000000006</v>
      </c>
      <c r="I449" s="420">
        <v>0</v>
      </c>
      <c r="J449" s="420"/>
      <c r="K449" s="421">
        <f>IF(ISBLANK(I449),0,ROUND(J449*(1+$F$10)*(1+$F$11*E449),2))</f>
        <v>0</v>
      </c>
      <c r="L449" s="668" t="s">
        <v>614</v>
      </c>
      <c r="M449" s="669"/>
      <c r="N449" s="576">
        <f t="shared" si="123"/>
        <v>0</v>
      </c>
      <c r="O449" s="577">
        <f t="shared" si="132"/>
        <v>0</v>
      </c>
      <c r="P449" s="578">
        <f t="shared" si="133"/>
        <v>0</v>
      </c>
      <c r="Q449" s="765"/>
      <c r="R449" s="669"/>
      <c r="S449" s="670"/>
      <c r="T449" s="577">
        <f t="shared" si="130"/>
        <v>0</v>
      </c>
      <c r="U449" s="578">
        <f t="shared" si="131"/>
        <v>0</v>
      </c>
      <c r="V449" s="579"/>
      <c r="W449" s="637" t="str">
        <f>IF(U448&gt;0,"xx",IF(P448&gt;0,"xy",""))</f>
        <v/>
      </c>
      <c r="X449" s="586" t="str">
        <f>IF(W449="X","x",IF(W449="xx","x",IF(W449="xy","x",IF(W449="y","x",IF(OR(P449&gt;0,U449&gt;0),"x","")))))</f>
        <v/>
      </c>
      <c r="Y449" s="586" t="str">
        <f t="shared" si="122"/>
        <v/>
      </c>
      <c r="Z449" s="586" t="str">
        <f t="shared" si="125"/>
        <v/>
      </c>
    </row>
    <row r="450" spans="1:26" ht="12" hidden="1" thickBot="1" x14ac:dyDescent="0.25">
      <c r="A450" s="567" t="s">
        <v>168</v>
      </c>
      <c r="B450" s="644" t="s">
        <v>168</v>
      </c>
      <c r="C450" s="645"/>
      <c r="D450" s="451" t="s">
        <v>248</v>
      </c>
      <c r="E450" s="423"/>
      <c r="F450" s="424">
        <v>180</v>
      </c>
      <c r="G450" s="425">
        <v>0.87</v>
      </c>
      <c r="H450" s="663">
        <f t="shared" ref="H450:H452" si="140">IF(F450&lt;=30,(1.07*F450+2.68)*G450,((1.07*30+2.68)+1.07*(F450-30))*G450)</f>
        <v>169.89359999999999</v>
      </c>
      <c r="I450" s="420">
        <v>0</v>
      </c>
      <c r="J450" s="420"/>
      <c r="K450" s="421">
        <f>IF(ISBLANK(I450),0,ROUND(J450*(1+$F$10)*(1+$F$11*E450),2))</f>
        <v>0</v>
      </c>
      <c r="L450" s="668" t="s">
        <v>614</v>
      </c>
      <c r="M450" s="669"/>
      <c r="N450" s="576">
        <f t="shared" si="123"/>
        <v>0</v>
      </c>
      <c r="O450" s="577">
        <f t="shared" si="132"/>
        <v>0</v>
      </c>
      <c r="P450" s="578">
        <f t="shared" si="133"/>
        <v>0</v>
      </c>
      <c r="Q450" s="765"/>
      <c r="R450" s="669"/>
      <c r="S450" s="670"/>
      <c r="T450" s="577">
        <f t="shared" si="130"/>
        <v>0</v>
      </c>
      <c r="U450" s="578">
        <f t="shared" si="131"/>
        <v>0</v>
      </c>
      <c r="V450" s="579"/>
      <c r="W450" s="637" t="str">
        <f>IF(U448&gt;0,"xx",IF(P448&gt;0,"xy",""))</f>
        <v/>
      </c>
      <c r="X450" s="586" t="str">
        <f>IF(W450="X","x",IF(W450="xx","x",IF(W450="xy","x",IF(W450="y","x",IF(OR(P450&gt;0,U450&gt;0),"x","")))))</f>
        <v/>
      </c>
      <c r="Y450" s="586" t="str">
        <f t="shared" si="122"/>
        <v/>
      </c>
      <c r="Z450" s="586" t="str">
        <f t="shared" si="125"/>
        <v/>
      </c>
    </row>
    <row r="451" spans="1:26" ht="12" hidden="1" thickBot="1" x14ac:dyDescent="0.25">
      <c r="A451" s="567" t="s">
        <v>168</v>
      </c>
      <c r="B451" s="644" t="s">
        <v>168</v>
      </c>
      <c r="C451" s="645"/>
      <c r="D451" s="451" t="s">
        <v>252</v>
      </c>
      <c r="E451" s="423"/>
      <c r="F451" s="424">
        <v>20</v>
      </c>
      <c r="G451" s="425">
        <v>1.1000000000000001</v>
      </c>
      <c r="H451" s="663">
        <f t="shared" si="140"/>
        <v>26.488000000000003</v>
      </c>
      <c r="I451" s="420">
        <v>0</v>
      </c>
      <c r="J451" s="420"/>
      <c r="K451" s="421">
        <f>IF(ISBLANK(I451),0,ROUND(J451*(1+$F$10)*(1+$F$11*E451),2))</f>
        <v>0</v>
      </c>
      <c r="L451" s="668" t="s">
        <v>614</v>
      </c>
      <c r="M451" s="669"/>
      <c r="N451" s="576">
        <f t="shared" si="123"/>
        <v>0</v>
      </c>
      <c r="O451" s="577">
        <f t="shared" si="132"/>
        <v>0</v>
      </c>
      <c r="P451" s="578">
        <f t="shared" si="133"/>
        <v>0</v>
      </c>
      <c r="Q451" s="765"/>
      <c r="R451" s="669"/>
      <c r="S451" s="670"/>
      <c r="T451" s="577">
        <f t="shared" si="130"/>
        <v>0</v>
      </c>
      <c r="U451" s="578">
        <f t="shared" si="131"/>
        <v>0</v>
      </c>
      <c r="V451" s="579"/>
      <c r="W451" s="637" t="str">
        <f>IF(U448&gt;0,"xx",IF(P448&gt;0,"xy",""))</f>
        <v/>
      </c>
      <c r="X451" s="586" t="str">
        <f>IF(W451="X","x",IF(W451="xx","x",IF(W451="xy","x",IF(W451="y","x",IF(OR(P451&gt;0,U451&gt;0),"x","")))))</f>
        <v/>
      </c>
      <c r="Y451" s="586" t="str">
        <f t="shared" si="122"/>
        <v/>
      </c>
      <c r="Z451" s="586" t="str">
        <f t="shared" si="125"/>
        <v/>
      </c>
    </row>
    <row r="452" spans="1:26" ht="12" hidden="1" thickBot="1" x14ac:dyDescent="0.25">
      <c r="A452" s="567" t="s">
        <v>168</v>
      </c>
      <c r="B452" s="644" t="s">
        <v>168</v>
      </c>
      <c r="C452" s="645"/>
      <c r="D452" s="451" t="s">
        <v>263</v>
      </c>
      <c r="E452" s="423"/>
      <c r="F452" s="424">
        <v>20</v>
      </c>
      <c r="G452" s="425">
        <f>SUM(G448:G451)</f>
        <v>2.09</v>
      </c>
      <c r="H452" s="651">
        <f t="shared" si="140"/>
        <v>50.327199999999998</v>
      </c>
      <c r="I452" s="420">
        <v>0</v>
      </c>
      <c r="J452" s="420"/>
      <c r="K452" s="421">
        <f>IF(ISBLANK(I452),0,ROUND(J452*(1+$F$10)*(1+$F$11*E452),2))</f>
        <v>0</v>
      </c>
      <c r="L452" s="647" t="s">
        <v>614</v>
      </c>
      <c r="M452" s="703"/>
      <c r="N452" s="576">
        <f t="shared" si="123"/>
        <v>0</v>
      </c>
      <c r="O452" s="577">
        <f t="shared" si="132"/>
        <v>0</v>
      </c>
      <c r="P452" s="578">
        <f t="shared" si="133"/>
        <v>0</v>
      </c>
      <c r="Q452" s="765"/>
      <c r="R452" s="703"/>
      <c r="S452" s="670"/>
      <c r="T452" s="577">
        <f t="shared" si="130"/>
        <v>0</v>
      </c>
      <c r="U452" s="578">
        <f t="shared" si="131"/>
        <v>0</v>
      </c>
      <c r="V452" s="579"/>
      <c r="W452" s="637" t="str">
        <f>IF(U448&gt;0,"xx",IF(P448&gt;0,"xy",""))</f>
        <v/>
      </c>
      <c r="X452" s="586" t="str">
        <f>IF(W452="X","x",IF(W452="xx","x",IF(W452="xy","x",IF(W452="y","x",IF(OR(P452&gt;0,U452&gt;0),"x","")))))</f>
        <v/>
      </c>
      <c r="Y452" s="586" t="str">
        <f t="shared" si="122"/>
        <v/>
      </c>
      <c r="Z452" s="586" t="str">
        <f t="shared" si="125"/>
        <v/>
      </c>
    </row>
    <row r="453" spans="1:26" ht="12" hidden="1" thickBot="1" x14ac:dyDescent="0.25">
      <c r="A453" s="671">
        <v>505185</v>
      </c>
      <c r="B453" s="644">
        <v>505185</v>
      </c>
      <c r="C453" s="645" t="s">
        <v>206</v>
      </c>
      <c r="D453" s="422" t="s">
        <v>2072</v>
      </c>
      <c r="E453" s="423"/>
      <c r="F453" s="424"/>
      <c r="G453" s="425"/>
      <c r="H453" s="663">
        <f>SUM(H454:H457)</f>
        <v>361.9212</v>
      </c>
      <c r="I453" s="420">
        <v>233.15</v>
      </c>
      <c r="J453" s="420">
        <f t="shared" si="136"/>
        <v>595.07119999999998</v>
      </c>
      <c r="K453" s="421">
        <f t="shared" si="137"/>
        <v>707</v>
      </c>
      <c r="L453" s="647" t="s">
        <v>16</v>
      </c>
      <c r="M453" s="587"/>
      <c r="N453" s="576">
        <f t="shared" si="123"/>
        <v>0</v>
      </c>
      <c r="O453" s="577">
        <f t="shared" si="132"/>
        <v>0</v>
      </c>
      <c r="P453" s="578">
        <f t="shared" si="133"/>
        <v>0</v>
      </c>
      <c r="Q453" s="765"/>
      <c r="R453" s="650">
        <f t="shared" si="138"/>
        <v>0</v>
      </c>
      <c r="S453" s="587">
        <f>N453</f>
        <v>0</v>
      </c>
      <c r="T453" s="577">
        <f t="shared" si="130"/>
        <v>0</v>
      </c>
      <c r="U453" s="578">
        <f t="shared" si="131"/>
        <v>0</v>
      </c>
      <c r="V453" s="579"/>
      <c r="W453" s="566"/>
      <c r="X453" s="586" t="str">
        <f t="shared" si="127"/>
        <v/>
      </c>
      <c r="Y453" s="586" t="str">
        <f t="shared" si="122"/>
        <v/>
      </c>
      <c r="Z453" s="586" t="str">
        <f t="shared" si="125"/>
        <v/>
      </c>
    </row>
    <row r="454" spans="1:26" ht="12" hidden="1" thickBot="1" x14ac:dyDescent="0.25">
      <c r="A454" s="567" t="s">
        <v>168</v>
      </c>
      <c r="B454" s="644" t="s">
        <v>168</v>
      </c>
      <c r="C454" s="645"/>
      <c r="D454" s="451" t="s">
        <v>212</v>
      </c>
      <c r="E454" s="423"/>
      <c r="F454" s="424">
        <v>500</v>
      </c>
      <c r="G454" s="425">
        <v>0.18</v>
      </c>
      <c r="H454" s="649">
        <f>IF(F454&lt;=30,(0.78*F454+7.82)*G454,((0.78*30+7.82)+0.78*(F454-30))*G454)</f>
        <v>71.607600000000005</v>
      </c>
      <c r="I454" s="420">
        <v>0</v>
      </c>
      <c r="J454" s="420"/>
      <c r="K454" s="421">
        <f t="shared" si="137"/>
        <v>0</v>
      </c>
      <c r="L454" s="668" t="s">
        <v>614</v>
      </c>
      <c r="M454" s="669"/>
      <c r="N454" s="576">
        <f t="shared" si="123"/>
        <v>0</v>
      </c>
      <c r="O454" s="577">
        <f>IF(ISBLANK(M454),0,ROUND(K454*M454,2))</f>
        <v>0</v>
      </c>
      <c r="P454" s="578">
        <f>IF(ISBLANK(N454),0,ROUND(M454*N454,2))</f>
        <v>0</v>
      </c>
      <c r="Q454" s="765"/>
      <c r="R454" s="669"/>
      <c r="S454" s="670"/>
      <c r="T454" s="577">
        <f>IF(ISBLANK(R454),0,ROUND(K454*R454,2))</f>
        <v>0</v>
      </c>
      <c r="U454" s="578">
        <f>IF(ISBLANK(R454),0,ROUND(R454*S454,2))</f>
        <v>0</v>
      </c>
      <c r="V454" s="579"/>
      <c r="W454" s="637" t="str">
        <f>IF(U453&gt;0,"xx",IF(P453&gt;0,"xy",""))</f>
        <v/>
      </c>
      <c r="X454" s="586" t="str">
        <f t="shared" si="127"/>
        <v/>
      </c>
      <c r="Y454" s="586" t="str">
        <f>IF(W454="X","x",IF(W454="y","x",IF(W454="xx","x",IF(U454&gt;0,"x",""))))</f>
        <v/>
      </c>
      <c r="Z454" s="586" t="str">
        <f>IF(W454="X","x",IF(U454&gt;0,"x",""))</f>
        <v/>
      </c>
    </row>
    <row r="455" spans="1:26" ht="12" hidden="1" thickBot="1" x14ac:dyDescent="0.25">
      <c r="A455" s="567" t="s">
        <v>168</v>
      </c>
      <c r="B455" s="644" t="s">
        <v>168</v>
      </c>
      <c r="C455" s="645"/>
      <c r="D455" s="451" t="s">
        <v>248</v>
      </c>
      <c r="E455" s="423"/>
      <c r="F455" s="424">
        <v>180</v>
      </c>
      <c r="G455" s="425">
        <v>1.06</v>
      </c>
      <c r="H455" s="663">
        <f t="shared" ref="H455:H457" si="141">IF(F455&lt;=30,(1.07*F455+2.68)*G455,((1.07*30+2.68)+1.07*(F455-30))*G455)</f>
        <v>206.99680000000001</v>
      </c>
      <c r="I455" s="420">
        <v>0</v>
      </c>
      <c r="J455" s="420"/>
      <c r="K455" s="421">
        <f t="shared" si="137"/>
        <v>0</v>
      </c>
      <c r="L455" s="668" t="s">
        <v>614</v>
      </c>
      <c r="M455" s="669"/>
      <c r="N455" s="576">
        <f t="shared" si="123"/>
        <v>0</v>
      </c>
      <c r="O455" s="577">
        <f>IF(ISBLANK(M455),0,ROUND(K455*M455,2))</f>
        <v>0</v>
      </c>
      <c r="P455" s="578">
        <f>IF(ISBLANK(N455),0,ROUND(M455*N455,2))</f>
        <v>0</v>
      </c>
      <c r="Q455" s="765"/>
      <c r="R455" s="669"/>
      <c r="S455" s="670"/>
      <c r="T455" s="577">
        <f>IF(ISBLANK(R455),0,ROUND(K455*R455,2))</f>
        <v>0</v>
      </c>
      <c r="U455" s="578">
        <f>IF(ISBLANK(R455),0,ROUND(R455*S455,2))</f>
        <v>0</v>
      </c>
      <c r="V455" s="579"/>
      <c r="W455" s="637" t="str">
        <f>IF(U453&gt;0,"xx",IF(P453&gt;0,"xy",""))</f>
        <v/>
      </c>
      <c r="X455" s="586" t="str">
        <f t="shared" si="127"/>
        <v/>
      </c>
      <c r="Y455" s="586" t="str">
        <f>IF(W455="X","x",IF(W455="y","x",IF(W455="xx","x",IF(U455&gt;0,"x",""))))</f>
        <v/>
      </c>
      <c r="Z455" s="586" t="str">
        <f>IF(W455="X","x",IF(U455&gt;0,"x",""))</f>
        <v/>
      </c>
    </row>
    <row r="456" spans="1:26" ht="12" hidden="1" thickBot="1" x14ac:dyDescent="0.25">
      <c r="A456" s="567" t="s">
        <v>168</v>
      </c>
      <c r="B456" s="644" t="s">
        <v>168</v>
      </c>
      <c r="C456" s="645"/>
      <c r="D456" s="451" t="s">
        <v>252</v>
      </c>
      <c r="E456" s="423"/>
      <c r="F456" s="424">
        <v>20</v>
      </c>
      <c r="G456" s="425">
        <v>1.1100000000000001</v>
      </c>
      <c r="H456" s="663">
        <f t="shared" si="141"/>
        <v>26.728800000000003</v>
      </c>
      <c r="I456" s="420">
        <v>0</v>
      </c>
      <c r="J456" s="420"/>
      <c r="K456" s="421">
        <f t="shared" si="137"/>
        <v>0</v>
      </c>
      <c r="L456" s="668" t="s">
        <v>614</v>
      </c>
      <c r="M456" s="669"/>
      <c r="N456" s="576">
        <f t="shared" si="123"/>
        <v>0</v>
      </c>
      <c r="O456" s="577">
        <f>IF(ISBLANK(M456),0,ROUND(K456*M456,2))</f>
        <v>0</v>
      </c>
      <c r="P456" s="578">
        <f>IF(ISBLANK(N456),0,ROUND(M456*N456,2))</f>
        <v>0</v>
      </c>
      <c r="Q456" s="765"/>
      <c r="R456" s="669"/>
      <c r="S456" s="670"/>
      <c r="T456" s="577">
        <f>IF(ISBLANK(R456),0,ROUND(K456*R456,2))</f>
        <v>0</v>
      </c>
      <c r="U456" s="578">
        <f>IF(ISBLANK(R456),0,ROUND(R456*S456,2))</f>
        <v>0</v>
      </c>
      <c r="V456" s="579"/>
      <c r="W456" s="637" t="str">
        <f>IF(U453&gt;0,"xx",IF(P453&gt;0,"xy",""))</f>
        <v/>
      </c>
      <c r="X456" s="586" t="str">
        <f t="shared" si="127"/>
        <v/>
      </c>
      <c r="Y456" s="586" t="str">
        <f>IF(W456="X","x",IF(W456="y","x",IF(W456="xx","x",IF(U456&gt;0,"x",""))))</f>
        <v/>
      </c>
      <c r="Z456" s="586" t="str">
        <f>IF(W456="X","x",IF(U456&gt;0,"x",""))</f>
        <v/>
      </c>
    </row>
    <row r="457" spans="1:26" ht="12" hidden="1" thickBot="1" x14ac:dyDescent="0.25">
      <c r="A457" s="567" t="s">
        <v>168</v>
      </c>
      <c r="B457" s="644" t="s">
        <v>168</v>
      </c>
      <c r="C457" s="645"/>
      <c r="D457" s="451" t="s">
        <v>263</v>
      </c>
      <c r="E457" s="423"/>
      <c r="F457" s="424">
        <v>20</v>
      </c>
      <c r="G457" s="425">
        <f>SUM(G453:G456)</f>
        <v>2.35</v>
      </c>
      <c r="H457" s="663">
        <f t="shared" si="141"/>
        <v>56.588000000000008</v>
      </c>
      <c r="I457" s="420">
        <v>0</v>
      </c>
      <c r="J457" s="420"/>
      <c r="K457" s="421">
        <f t="shared" si="137"/>
        <v>0</v>
      </c>
      <c r="L457" s="647" t="s">
        <v>614</v>
      </c>
      <c r="M457" s="703"/>
      <c r="N457" s="576">
        <f t="shared" si="123"/>
        <v>0</v>
      </c>
      <c r="O457" s="577">
        <f>IF(ISBLANK(M457),0,ROUND(K457*M457,2))</f>
        <v>0</v>
      </c>
      <c r="P457" s="578">
        <f>IF(ISBLANK(N457),0,ROUND(M457*N457,2))</f>
        <v>0</v>
      </c>
      <c r="Q457" s="765"/>
      <c r="R457" s="703"/>
      <c r="S457" s="670"/>
      <c r="T457" s="577">
        <f>IF(ISBLANK(R457),0,ROUND(K457*R457,2))</f>
        <v>0</v>
      </c>
      <c r="U457" s="578">
        <f>IF(ISBLANK(R457),0,ROUND(R457*S457,2))</f>
        <v>0</v>
      </c>
      <c r="V457" s="579"/>
      <c r="W457" s="637" t="str">
        <f>IF(U453&gt;0,"xx",IF(P453&gt;0,"xy",""))</f>
        <v/>
      </c>
      <c r="X457" s="586" t="str">
        <f t="shared" si="127"/>
        <v/>
      </c>
      <c r="Y457" s="586" t="str">
        <f>IF(W457="X","x",IF(W457="y","x",IF(W457="xx","x",IF(U457&gt;0,"x",""))))</f>
        <v/>
      </c>
      <c r="Z457" s="586" t="str">
        <f>IF(W457="X","x",IF(U457&gt;0,"x",""))</f>
        <v/>
      </c>
    </row>
    <row r="458" spans="1:26" ht="12" hidden="1" thickBot="1" x14ac:dyDescent="0.25">
      <c r="A458" s="671">
        <v>505415</v>
      </c>
      <c r="B458" s="644">
        <v>505415</v>
      </c>
      <c r="C458" s="645" t="s">
        <v>206</v>
      </c>
      <c r="D458" s="422" t="s">
        <v>2073</v>
      </c>
      <c r="E458" s="423"/>
      <c r="F458" s="424"/>
      <c r="G458" s="425"/>
      <c r="H458" s="663">
        <f t="shared" ref="H458:H467" si="142">IF(F458&lt;=30,(0.87*F458+2.18)*G458,((0.87*30+2.18)+0.87*(F458-30))*G458)</f>
        <v>0</v>
      </c>
      <c r="I458" s="420">
        <v>7.83</v>
      </c>
      <c r="J458" s="420">
        <f t="shared" si="136"/>
        <v>7.83</v>
      </c>
      <c r="K458" s="421">
        <f t="shared" si="137"/>
        <v>9.3000000000000007</v>
      </c>
      <c r="L458" s="647" t="s">
        <v>18</v>
      </c>
      <c r="M458" s="587"/>
      <c r="N458" s="576">
        <f t="shared" si="123"/>
        <v>0</v>
      </c>
      <c r="O458" s="577">
        <f t="shared" si="132"/>
        <v>0</v>
      </c>
      <c r="P458" s="578">
        <f t="shared" si="133"/>
        <v>0</v>
      </c>
      <c r="Q458" s="765"/>
      <c r="R458" s="650">
        <f t="shared" si="138"/>
        <v>0</v>
      </c>
      <c r="S458" s="587">
        <f t="shared" si="138"/>
        <v>0</v>
      </c>
      <c r="T458" s="577">
        <f t="shared" si="130"/>
        <v>0</v>
      </c>
      <c r="U458" s="578">
        <f t="shared" si="131"/>
        <v>0</v>
      </c>
      <c r="V458" s="579"/>
      <c r="W458" s="566"/>
      <c r="X458" s="586" t="str">
        <f t="shared" si="127"/>
        <v/>
      </c>
      <c r="Y458" s="586" t="str">
        <f t="shared" si="122"/>
        <v/>
      </c>
      <c r="Z458" s="586" t="str">
        <f t="shared" si="125"/>
        <v/>
      </c>
    </row>
    <row r="459" spans="1:26" ht="12" hidden="1" thickBot="1" x14ac:dyDescent="0.25">
      <c r="A459" s="671">
        <v>505416</v>
      </c>
      <c r="B459" s="644">
        <v>505416</v>
      </c>
      <c r="C459" s="645" t="s">
        <v>206</v>
      </c>
      <c r="D459" s="422" t="s">
        <v>2074</v>
      </c>
      <c r="E459" s="423"/>
      <c r="F459" s="424"/>
      <c r="G459" s="425"/>
      <c r="H459" s="663">
        <f t="shared" si="142"/>
        <v>0</v>
      </c>
      <c r="I459" s="420">
        <v>10.27</v>
      </c>
      <c r="J459" s="420">
        <f t="shared" si="136"/>
        <v>10.27</v>
      </c>
      <c r="K459" s="421">
        <f t="shared" si="137"/>
        <v>12.2</v>
      </c>
      <c r="L459" s="647" t="s">
        <v>18</v>
      </c>
      <c r="M459" s="587"/>
      <c r="N459" s="576">
        <f t="shared" si="123"/>
        <v>0</v>
      </c>
      <c r="O459" s="577">
        <f t="shared" si="132"/>
        <v>0</v>
      </c>
      <c r="P459" s="578">
        <f t="shared" si="133"/>
        <v>0</v>
      </c>
      <c r="Q459" s="765"/>
      <c r="R459" s="650">
        <f t="shared" si="138"/>
        <v>0</v>
      </c>
      <c r="S459" s="587">
        <f t="shared" si="138"/>
        <v>0</v>
      </c>
      <c r="T459" s="577">
        <f t="shared" si="130"/>
        <v>0</v>
      </c>
      <c r="U459" s="578">
        <f t="shared" si="131"/>
        <v>0</v>
      </c>
      <c r="V459" s="579"/>
      <c r="W459" s="566"/>
      <c r="X459" s="586" t="str">
        <f t="shared" si="127"/>
        <v/>
      </c>
      <c r="Y459" s="586" t="str">
        <f t="shared" si="122"/>
        <v/>
      </c>
      <c r="Z459" s="586" t="str">
        <f t="shared" si="125"/>
        <v/>
      </c>
    </row>
    <row r="460" spans="1:26" ht="12" hidden="1" thickBot="1" x14ac:dyDescent="0.25">
      <c r="A460" s="671">
        <v>5111000</v>
      </c>
      <c r="B460" s="644">
        <v>5111000</v>
      </c>
      <c r="C460" s="645" t="s">
        <v>206</v>
      </c>
      <c r="D460" s="422" t="s">
        <v>2075</v>
      </c>
      <c r="E460" s="423"/>
      <c r="F460" s="424"/>
      <c r="G460" s="425"/>
      <c r="H460" s="663">
        <f t="shared" si="142"/>
        <v>0</v>
      </c>
      <c r="I460" s="420">
        <v>3.75</v>
      </c>
      <c r="J460" s="420">
        <f t="shared" si="136"/>
        <v>3.75</v>
      </c>
      <c r="K460" s="421">
        <f t="shared" si="137"/>
        <v>4.46</v>
      </c>
      <c r="L460" s="647" t="s">
        <v>18</v>
      </c>
      <c r="M460" s="587"/>
      <c r="N460" s="576">
        <f t="shared" si="123"/>
        <v>0</v>
      </c>
      <c r="O460" s="577">
        <f t="shared" si="132"/>
        <v>0</v>
      </c>
      <c r="P460" s="578">
        <f t="shared" si="133"/>
        <v>0</v>
      </c>
      <c r="Q460" s="765"/>
      <c r="R460" s="650">
        <f t="shared" si="138"/>
        <v>0</v>
      </c>
      <c r="S460" s="587">
        <f t="shared" si="138"/>
        <v>0</v>
      </c>
      <c r="T460" s="577">
        <f t="shared" si="130"/>
        <v>0</v>
      </c>
      <c r="U460" s="578">
        <f t="shared" si="131"/>
        <v>0</v>
      </c>
      <c r="V460" s="579"/>
      <c r="W460" s="566"/>
      <c r="X460" s="586" t="str">
        <f t="shared" si="127"/>
        <v/>
      </c>
      <c r="Y460" s="586" t="str">
        <f t="shared" si="122"/>
        <v/>
      </c>
      <c r="Z460" s="586" t="str">
        <f t="shared" si="125"/>
        <v/>
      </c>
    </row>
    <row r="461" spans="1:26" ht="12" hidden="1" thickBot="1" x14ac:dyDescent="0.25">
      <c r="A461" s="671">
        <v>504840</v>
      </c>
      <c r="B461" s="644">
        <v>504840</v>
      </c>
      <c r="C461" s="645" t="s">
        <v>206</v>
      </c>
      <c r="D461" s="422" t="s">
        <v>2076</v>
      </c>
      <c r="E461" s="423"/>
      <c r="F461" s="424"/>
      <c r="G461" s="425"/>
      <c r="H461" s="663">
        <f t="shared" si="142"/>
        <v>0</v>
      </c>
      <c r="I461" s="420">
        <v>40.18</v>
      </c>
      <c r="J461" s="420">
        <f t="shared" si="136"/>
        <v>40.18</v>
      </c>
      <c r="K461" s="421">
        <f t="shared" si="137"/>
        <v>47.74</v>
      </c>
      <c r="L461" s="647" t="s">
        <v>23</v>
      </c>
      <c r="M461" s="587"/>
      <c r="N461" s="576">
        <f t="shared" si="123"/>
        <v>0</v>
      </c>
      <c r="O461" s="577">
        <f t="shared" si="132"/>
        <v>0</v>
      </c>
      <c r="P461" s="578">
        <f t="shared" si="133"/>
        <v>0</v>
      </c>
      <c r="Q461" s="765"/>
      <c r="R461" s="650">
        <f t="shared" si="138"/>
        <v>0</v>
      </c>
      <c r="S461" s="587">
        <f t="shared" si="138"/>
        <v>0</v>
      </c>
      <c r="T461" s="577">
        <f t="shared" si="130"/>
        <v>0</v>
      </c>
      <c r="U461" s="578">
        <f t="shared" si="131"/>
        <v>0</v>
      </c>
      <c r="V461" s="579"/>
      <c r="W461" s="566"/>
      <c r="X461" s="586" t="str">
        <f t="shared" si="127"/>
        <v/>
      </c>
      <c r="Y461" s="586" t="str">
        <f t="shared" si="122"/>
        <v/>
      </c>
      <c r="Z461" s="586" t="str">
        <f t="shared" si="125"/>
        <v/>
      </c>
    </row>
    <row r="462" spans="1:26" ht="12" hidden="1" thickBot="1" x14ac:dyDescent="0.25">
      <c r="A462" s="671">
        <v>503110</v>
      </c>
      <c r="B462" s="644">
        <v>503110</v>
      </c>
      <c r="C462" s="645" t="s">
        <v>206</v>
      </c>
      <c r="D462" s="422" t="s">
        <v>2077</v>
      </c>
      <c r="E462" s="423"/>
      <c r="F462" s="424"/>
      <c r="G462" s="425"/>
      <c r="H462" s="663">
        <f t="shared" si="142"/>
        <v>0</v>
      </c>
      <c r="I462" s="420">
        <v>2.54</v>
      </c>
      <c r="J462" s="420">
        <f t="shared" si="136"/>
        <v>2.54</v>
      </c>
      <c r="K462" s="421">
        <f t="shared" si="137"/>
        <v>3.02</v>
      </c>
      <c r="L462" s="647" t="s">
        <v>18</v>
      </c>
      <c r="M462" s="587"/>
      <c r="N462" s="576">
        <f t="shared" si="123"/>
        <v>0</v>
      </c>
      <c r="O462" s="577">
        <f t="shared" si="132"/>
        <v>0</v>
      </c>
      <c r="P462" s="578">
        <f t="shared" si="133"/>
        <v>0</v>
      </c>
      <c r="Q462" s="765"/>
      <c r="R462" s="650">
        <f t="shared" si="138"/>
        <v>0</v>
      </c>
      <c r="S462" s="587">
        <f t="shared" si="138"/>
        <v>0</v>
      </c>
      <c r="T462" s="577">
        <f t="shared" si="130"/>
        <v>0</v>
      </c>
      <c r="U462" s="578">
        <f t="shared" si="131"/>
        <v>0</v>
      </c>
      <c r="V462" s="579"/>
      <c r="W462" s="566"/>
      <c r="X462" s="586" t="str">
        <f t="shared" si="127"/>
        <v/>
      </c>
      <c r="Y462" s="586" t="str">
        <f t="shared" si="122"/>
        <v/>
      </c>
      <c r="Z462" s="586" t="str">
        <f t="shared" si="125"/>
        <v/>
      </c>
    </row>
    <row r="463" spans="1:26" ht="12" hidden="1" thickBot="1" x14ac:dyDescent="0.25">
      <c r="A463" s="671">
        <v>507215</v>
      </c>
      <c r="B463" s="644">
        <v>507215</v>
      </c>
      <c r="C463" s="645" t="s">
        <v>206</v>
      </c>
      <c r="D463" s="422" t="s">
        <v>2078</v>
      </c>
      <c r="E463" s="423"/>
      <c r="F463" s="424"/>
      <c r="G463" s="425"/>
      <c r="H463" s="663">
        <f t="shared" si="142"/>
        <v>0</v>
      </c>
      <c r="I463" s="420">
        <v>8.5</v>
      </c>
      <c r="J463" s="420">
        <f t="shared" si="136"/>
        <v>8.5</v>
      </c>
      <c r="K463" s="421">
        <f t="shared" si="137"/>
        <v>10.1</v>
      </c>
      <c r="L463" s="647" t="s">
        <v>23</v>
      </c>
      <c r="M463" s="587"/>
      <c r="N463" s="576">
        <f t="shared" si="123"/>
        <v>0</v>
      </c>
      <c r="O463" s="577">
        <f t="shared" si="132"/>
        <v>0</v>
      </c>
      <c r="P463" s="578">
        <f t="shared" si="133"/>
        <v>0</v>
      </c>
      <c r="Q463" s="765"/>
      <c r="R463" s="650">
        <f t="shared" si="138"/>
        <v>0</v>
      </c>
      <c r="S463" s="587">
        <f t="shared" si="138"/>
        <v>0</v>
      </c>
      <c r="T463" s="577">
        <f t="shared" si="130"/>
        <v>0</v>
      </c>
      <c r="U463" s="578">
        <f t="shared" si="131"/>
        <v>0</v>
      </c>
      <c r="V463" s="579"/>
      <c r="W463" s="566"/>
      <c r="X463" s="586" t="str">
        <f t="shared" si="127"/>
        <v/>
      </c>
      <c r="Y463" s="586" t="str">
        <f t="shared" si="122"/>
        <v/>
      </c>
      <c r="Z463" s="586" t="str">
        <f t="shared" si="125"/>
        <v/>
      </c>
    </row>
    <row r="464" spans="1:26" ht="12" hidden="1" thickBot="1" x14ac:dyDescent="0.25">
      <c r="A464" s="671">
        <v>507210</v>
      </c>
      <c r="B464" s="644">
        <v>507210</v>
      </c>
      <c r="C464" s="645" t="s">
        <v>206</v>
      </c>
      <c r="D464" s="422" t="s">
        <v>2079</v>
      </c>
      <c r="E464" s="423"/>
      <c r="F464" s="424"/>
      <c r="G464" s="425"/>
      <c r="H464" s="663">
        <f t="shared" si="142"/>
        <v>0</v>
      </c>
      <c r="I464" s="420">
        <v>8.59</v>
      </c>
      <c r="J464" s="420">
        <f t="shared" si="136"/>
        <v>8.59</v>
      </c>
      <c r="K464" s="421">
        <f t="shared" si="137"/>
        <v>10.210000000000001</v>
      </c>
      <c r="L464" s="647" t="s">
        <v>23</v>
      </c>
      <c r="M464" s="587"/>
      <c r="N464" s="576">
        <f t="shared" si="123"/>
        <v>0</v>
      </c>
      <c r="O464" s="577">
        <f t="shared" si="132"/>
        <v>0</v>
      </c>
      <c r="P464" s="578">
        <f t="shared" si="133"/>
        <v>0</v>
      </c>
      <c r="Q464" s="765"/>
      <c r="R464" s="650">
        <f t="shared" si="138"/>
        <v>0</v>
      </c>
      <c r="S464" s="587">
        <f t="shared" si="138"/>
        <v>0</v>
      </c>
      <c r="T464" s="577">
        <f t="shared" si="130"/>
        <v>0</v>
      </c>
      <c r="U464" s="578">
        <f t="shared" si="131"/>
        <v>0</v>
      </c>
      <c r="V464" s="579"/>
      <c r="W464" s="566"/>
      <c r="X464" s="586" t="str">
        <f t="shared" si="127"/>
        <v/>
      </c>
      <c r="Y464" s="586" t="str">
        <f t="shared" si="122"/>
        <v/>
      </c>
      <c r="Z464" s="586" t="str">
        <f t="shared" si="125"/>
        <v/>
      </c>
    </row>
    <row r="465" spans="1:26" ht="12" hidden="1" thickBot="1" x14ac:dyDescent="0.25">
      <c r="A465" s="671">
        <v>507220</v>
      </c>
      <c r="B465" s="644">
        <v>507220</v>
      </c>
      <c r="C465" s="645" t="s">
        <v>206</v>
      </c>
      <c r="D465" s="422" t="s">
        <v>2080</v>
      </c>
      <c r="E465" s="423"/>
      <c r="F465" s="424"/>
      <c r="G465" s="425"/>
      <c r="H465" s="663">
        <f t="shared" si="142"/>
        <v>0</v>
      </c>
      <c r="I465" s="420">
        <v>13.020000000000001</v>
      </c>
      <c r="J465" s="420">
        <f t="shared" si="136"/>
        <v>13.020000000000001</v>
      </c>
      <c r="K465" s="421">
        <f t="shared" si="137"/>
        <v>15.47</v>
      </c>
      <c r="L465" s="647" t="s">
        <v>23</v>
      </c>
      <c r="M465" s="587"/>
      <c r="N465" s="576">
        <f t="shared" si="123"/>
        <v>0</v>
      </c>
      <c r="O465" s="577">
        <f t="shared" si="132"/>
        <v>0</v>
      </c>
      <c r="P465" s="578">
        <f t="shared" si="133"/>
        <v>0</v>
      </c>
      <c r="Q465" s="765"/>
      <c r="R465" s="650">
        <f t="shared" si="138"/>
        <v>0</v>
      </c>
      <c r="S465" s="587">
        <f t="shared" si="138"/>
        <v>0</v>
      </c>
      <c r="T465" s="577">
        <f t="shared" si="130"/>
        <v>0</v>
      </c>
      <c r="U465" s="578">
        <f t="shared" si="131"/>
        <v>0</v>
      </c>
      <c r="V465" s="579"/>
      <c r="W465" s="566"/>
      <c r="X465" s="586" t="str">
        <f t="shared" si="127"/>
        <v/>
      </c>
      <c r="Y465" s="586" t="str">
        <f t="shared" si="122"/>
        <v/>
      </c>
      <c r="Z465" s="586" t="str">
        <f t="shared" si="125"/>
        <v/>
      </c>
    </row>
    <row r="466" spans="1:26" ht="12" hidden="1" thickBot="1" x14ac:dyDescent="0.25">
      <c r="A466" s="671">
        <v>507225</v>
      </c>
      <c r="B466" s="644">
        <v>507225</v>
      </c>
      <c r="C466" s="645" t="s">
        <v>206</v>
      </c>
      <c r="D466" s="422" t="s">
        <v>2081</v>
      </c>
      <c r="E466" s="423"/>
      <c r="F466" s="424"/>
      <c r="G466" s="425"/>
      <c r="H466" s="663">
        <f t="shared" si="142"/>
        <v>0</v>
      </c>
      <c r="I466" s="420">
        <v>14.93</v>
      </c>
      <c r="J466" s="420">
        <f t="shared" si="136"/>
        <v>14.93</v>
      </c>
      <c r="K466" s="421">
        <f t="shared" si="137"/>
        <v>17.739999999999998</v>
      </c>
      <c r="L466" s="647" t="s">
        <v>23</v>
      </c>
      <c r="M466" s="587"/>
      <c r="N466" s="576">
        <f t="shared" si="123"/>
        <v>0</v>
      </c>
      <c r="O466" s="577">
        <f t="shared" si="132"/>
        <v>0</v>
      </c>
      <c r="P466" s="578">
        <f t="shared" si="133"/>
        <v>0</v>
      </c>
      <c r="Q466" s="765"/>
      <c r="R466" s="650">
        <f t="shared" si="138"/>
        <v>0</v>
      </c>
      <c r="S466" s="587">
        <f t="shared" si="138"/>
        <v>0</v>
      </c>
      <c r="T466" s="577">
        <f t="shared" si="130"/>
        <v>0</v>
      </c>
      <c r="U466" s="578">
        <f t="shared" si="131"/>
        <v>0</v>
      </c>
      <c r="V466" s="579"/>
      <c r="W466" s="566"/>
      <c r="X466" s="586" t="str">
        <f t="shared" si="127"/>
        <v/>
      </c>
      <c r="Y466" s="586" t="str">
        <f t="shared" si="122"/>
        <v/>
      </c>
      <c r="Z466" s="586" t="str">
        <f t="shared" si="125"/>
        <v/>
      </c>
    </row>
    <row r="467" spans="1:26" ht="12" hidden="1" thickBot="1" x14ac:dyDescent="0.25">
      <c r="A467" s="671">
        <v>507232</v>
      </c>
      <c r="B467" s="644">
        <v>507232</v>
      </c>
      <c r="C467" s="645" t="s">
        <v>206</v>
      </c>
      <c r="D467" s="422" t="s">
        <v>2082</v>
      </c>
      <c r="E467" s="423"/>
      <c r="F467" s="424"/>
      <c r="G467" s="425"/>
      <c r="H467" s="663">
        <f t="shared" si="142"/>
        <v>0</v>
      </c>
      <c r="I467" s="420">
        <v>16.63</v>
      </c>
      <c r="J467" s="420">
        <f t="shared" si="136"/>
        <v>16.63</v>
      </c>
      <c r="K467" s="421">
        <f t="shared" si="137"/>
        <v>19.760000000000002</v>
      </c>
      <c r="L467" s="647" t="s">
        <v>23</v>
      </c>
      <c r="M467" s="587"/>
      <c r="N467" s="576">
        <f t="shared" si="123"/>
        <v>0</v>
      </c>
      <c r="O467" s="577">
        <f t="shared" si="132"/>
        <v>0</v>
      </c>
      <c r="P467" s="578">
        <f t="shared" si="133"/>
        <v>0</v>
      </c>
      <c r="Q467" s="765"/>
      <c r="R467" s="650">
        <f t="shared" si="138"/>
        <v>0</v>
      </c>
      <c r="S467" s="587">
        <f t="shared" si="138"/>
        <v>0</v>
      </c>
      <c r="T467" s="577">
        <f t="shared" si="130"/>
        <v>0</v>
      </c>
      <c r="U467" s="578">
        <f t="shared" si="131"/>
        <v>0</v>
      </c>
      <c r="V467" s="579"/>
      <c r="W467" s="566"/>
      <c r="X467" s="586" t="str">
        <f t="shared" si="127"/>
        <v/>
      </c>
      <c r="Y467" s="586" t="str">
        <f t="shared" ref="Y467:Y599" si="143">IF(W467="X","x",IF(W467="y","x",IF(W467="xx","x",IF(U467&gt;0,"x",""))))</f>
        <v/>
      </c>
      <c r="Z467" s="586" t="str">
        <f t="shared" si="125"/>
        <v/>
      </c>
    </row>
    <row r="468" spans="1:26" ht="12" hidden="1" thickBot="1" x14ac:dyDescent="0.25">
      <c r="A468" s="671">
        <v>504920</v>
      </c>
      <c r="B468" s="644">
        <v>504920</v>
      </c>
      <c r="C468" s="645" t="s">
        <v>206</v>
      </c>
      <c r="D468" s="422" t="s">
        <v>2083</v>
      </c>
      <c r="E468" s="423"/>
      <c r="F468" s="424">
        <v>20</v>
      </c>
      <c r="G468" s="425">
        <v>1.1000000000000001E-3</v>
      </c>
      <c r="H468" s="649">
        <f>IF(F468&lt;=30,(0.78*F468+7.82)*G468,((0.78*30+7.82)+0.78*(F468-30))*G468)</f>
        <v>2.5762000000000004E-2</v>
      </c>
      <c r="I468" s="420">
        <v>12.120000000000001</v>
      </c>
      <c r="J468" s="420">
        <f t="shared" si="136"/>
        <v>12.145762000000001</v>
      </c>
      <c r="K468" s="421">
        <f t="shared" si="137"/>
        <v>14.43</v>
      </c>
      <c r="L468" s="647" t="s">
        <v>23</v>
      </c>
      <c r="M468" s="587"/>
      <c r="N468" s="576">
        <f t="shared" ref="N468:N531" si="144">IF(M468=0,0,K468)</f>
        <v>0</v>
      </c>
      <c r="O468" s="577">
        <f t="shared" si="132"/>
        <v>0</v>
      </c>
      <c r="P468" s="578">
        <f t="shared" si="133"/>
        <v>0</v>
      </c>
      <c r="Q468" s="765"/>
      <c r="R468" s="650">
        <f t="shared" si="138"/>
        <v>0</v>
      </c>
      <c r="S468" s="587">
        <f t="shared" si="138"/>
        <v>0</v>
      </c>
      <c r="T468" s="577">
        <f t="shared" si="130"/>
        <v>0</v>
      </c>
      <c r="U468" s="578">
        <f t="shared" si="131"/>
        <v>0</v>
      </c>
      <c r="V468" s="579"/>
      <c r="W468" s="566"/>
      <c r="X468" s="586" t="str">
        <f t="shared" si="127"/>
        <v/>
      </c>
      <c r="Y468" s="586" t="str">
        <f t="shared" si="143"/>
        <v/>
      </c>
      <c r="Z468" s="586" t="str">
        <f t="shared" si="125"/>
        <v/>
      </c>
    </row>
    <row r="469" spans="1:26" ht="12" hidden="1" thickBot="1" x14ac:dyDescent="0.25">
      <c r="A469" s="671">
        <v>502660</v>
      </c>
      <c r="B469" s="644">
        <v>502660</v>
      </c>
      <c r="C469" s="645" t="s">
        <v>206</v>
      </c>
      <c r="D469" s="422" t="s">
        <v>2084</v>
      </c>
      <c r="E469" s="423"/>
      <c r="F469" s="424"/>
      <c r="G469" s="425"/>
      <c r="H469" s="663">
        <f t="shared" ref="H469:H471" si="145">IF(F469&lt;=30,(1.07*F469+2.68)*G469,((1.07*30+2.68)+1.07*(F469-30))*G469)</f>
        <v>0</v>
      </c>
      <c r="I469" s="420">
        <v>14.75</v>
      </c>
      <c r="J469" s="420">
        <f t="shared" si="136"/>
        <v>14.75</v>
      </c>
      <c r="K469" s="421">
        <f t="shared" si="137"/>
        <v>17.52</v>
      </c>
      <c r="L469" s="647" t="s">
        <v>19</v>
      </c>
      <c r="M469" s="587"/>
      <c r="N469" s="576">
        <f t="shared" si="144"/>
        <v>0</v>
      </c>
      <c r="O469" s="577">
        <f t="shared" si="132"/>
        <v>0</v>
      </c>
      <c r="P469" s="578">
        <f t="shared" si="133"/>
        <v>0</v>
      </c>
      <c r="Q469" s="765"/>
      <c r="R469" s="650">
        <f t="shared" si="138"/>
        <v>0</v>
      </c>
      <c r="S469" s="587">
        <f t="shared" si="138"/>
        <v>0</v>
      </c>
      <c r="T469" s="577">
        <f t="shared" si="130"/>
        <v>0</v>
      </c>
      <c r="U469" s="578">
        <f t="shared" si="131"/>
        <v>0</v>
      </c>
      <c r="V469" s="579"/>
      <c r="W469" s="566"/>
      <c r="X469" s="586" t="str">
        <f t="shared" si="127"/>
        <v/>
      </c>
      <c r="Y469" s="586" t="str">
        <f t="shared" si="143"/>
        <v/>
      </c>
      <c r="Z469" s="586" t="str">
        <f t="shared" si="125"/>
        <v/>
      </c>
    </row>
    <row r="470" spans="1:26" ht="12" hidden="1" thickBot="1" x14ac:dyDescent="0.25">
      <c r="A470" s="671">
        <v>502680</v>
      </c>
      <c r="B470" s="644">
        <v>502680</v>
      </c>
      <c r="C470" s="645" t="s">
        <v>206</v>
      </c>
      <c r="D470" s="422" t="s">
        <v>2085</v>
      </c>
      <c r="E470" s="423"/>
      <c r="F470" s="424"/>
      <c r="G470" s="425"/>
      <c r="H470" s="663">
        <f t="shared" si="145"/>
        <v>0</v>
      </c>
      <c r="I470" s="420">
        <v>13.29</v>
      </c>
      <c r="J470" s="420">
        <f t="shared" si="136"/>
        <v>13.29</v>
      </c>
      <c r="K470" s="421">
        <f t="shared" si="137"/>
        <v>15.79</v>
      </c>
      <c r="L470" s="647" t="s">
        <v>19</v>
      </c>
      <c r="M470" s="587"/>
      <c r="N470" s="576">
        <f t="shared" si="144"/>
        <v>0</v>
      </c>
      <c r="O470" s="577">
        <f t="shared" si="132"/>
        <v>0</v>
      </c>
      <c r="P470" s="578">
        <f t="shared" si="133"/>
        <v>0</v>
      </c>
      <c r="Q470" s="765"/>
      <c r="R470" s="650">
        <f t="shared" si="138"/>
        <v>0</v>
      </c>
      <c r="S470" s="587">
        <f t="shared" si="138"/>
        <v>0</v>
      </c>
      <c r="T470" s="577">
        <f t="shared" si="130"/>
        <v>0</v>
      </c>
      <c r="U470" s="578">
        <f t="shared" si="131"/>
        <v>0</v>
      </c>
      <c r="V470" s="579"/>
      <c r="W470" s="566"/>
      <c r="X470" s="586" t="str">
        <f t="shared" si="127"/>
        <v/>
      </c>
      <c r="Y470" s="586" t="str">
        <f t="shared" si="143"/>
        <v/>
      </c>
      <c r="Z470" s="586" t="str">
        <f t="shared" si="125"/>
        <v/>
      </c>
    </row>
    <row r="471" spans="1:26" ht="12" hidden="1" thickBot="1" x14ac:dyDescent="0.25">
      <c r="A471" s="671">
        <v>502670</v>
      </c>
      <c r="B471" s="644">
        <v>502670</v>
      </c>
      <c r="C471" s="645" t="s">
        <v>206</v>
      </c>
      <c r="D471" s="422" t="s">
        <v>2086</v>
      </c>
      <c r="E471" s="423"/>
      <c r="F471" s="424"/>
      <c r="G471" s="425"/>
      <c r="H471" s="651">
        <f t="shared" si="145"/>
        <v>0</v>
      </c>
      <c r="I471" s="420">
        <v>17.82</v>
      </c>
      <c r="J471" s="420">
        <f t="shared" si="136"/>
        <v>17.82</v>
      </c>
      <c r="K471" s="421">
        <f t="shared" si="137"/>
        <v>21.17</v>
      </c>
      <c r="L471" s="647" t="s">
        <v>19</v>
      </c>
      <c r="M471" s="587"/>
      <c r="N471" s="576">
        <f t="shared" si="144"/>
        <v>0</v>
      </c>
      <c r="O471" s="577">
        <f t="shared" si="132"/>
        <v>0</v>
      </c>
      <c r="P471" s="578">
        <f t="shared" si="133"/>
        <v>0</v>
      </c>
      <c r="Q471" s="765"/>
      <c r="R471" s="650">
        <f t="shared" si="138"/>
        <v>0</v>
      </c>
      <c r="S471" s="587">
        <f t="shared" si="138"/>
        <v>0</v>
      </c>
      <c r="T471" s="577">
        <f t="shared" si="130"/>
        <v>0</v>
      </c>
      <c r="U471" s="578">
        <f t="shared" si="131"/>
        <v>0</v>
      </c>
      <c r="V471" s="579"/>
      <c r="W471" s="566"/>
      <c r="X471" s="586" t="str">
        <f t="shared" si="127"/>
        <v/>
      </c>
      <c r="Y471" s="586" t="str">
        <f t="shared" si="143"/>
        <v/>
      </c>
      <c r="Z471" s="586" t="str">
        <f t="shared" si="125"/>
        <v/>
      </c>
    </row>
    <row r="472" spans="1:26" ht="12" hidden="1" thickBot="1" x14ac:dyDescent="0.25">
      <c r="A472" s="671">
        <v>502645</v>
      </c>
      <c r="B472" s="644">
        <v>502645</v>
      </c>
      <c r="C472" s="645" t="s">
        <v>206</v>
      </c>
      <c r="D472" s="422" t="s">
        <v>2087</v>
      </c>
      <c r="E472" s="423"/>
      <c r="F472" s="424"/>
      <c r="G472" s="425"/>
      <c r="H472" s="663">
        <f>SUM(H473:H476)</f>
        <v>367.73024000000004</v>
      </c>
      <c r="I472" s="420">
        <v>317.57000000000005</v>
      </c>
      <c r="J472" s="420">
        <f t="shared" si="136"/>
        <v>685.30024000000003</v>
      </c>
      <c r="K472" s="421">
        <f t="shared" si="137"/>
        <v>814.21</v>
      </c>
      <c r="L472" s="647" t="s">
        <v>16</v>
      </c>
      <c r="M472" s="587"/>
      <c r="N472" s="576">
        <f t="shared" si="144"/>
        <v>0</v>
      </c>
      <c r="O472" s="577">
        <f t="shared" si="132"/>
        <v>0</v>
      </c>
      <c r="P472" s="578">
        <f t="shared" si="133"/>
        <v>0</v>
      </c>
      <c r="Q472" s="765"/>
      <c r="R472" s="650">
        <f t="shared" si="138"/>
        <v>0</v>
      </c>
      <c r="S472" s="587">
        <f t="shared" si="138"/>
        <v>0</v>
      </c>
      <c r="T472" s="577">
        <f t="shared" si="130"/>
        <v>0</v>
      </c>
      <c r="U472" s="578">
        <f t="shared" si="131"/>
        <v>0</v>
      </c>
      <c r="V472" s="579"/>
      <c r="W472" s="566"/>
      <c r="X472" s="586" t="str">
        <f t="shared" si="127"/>
        <v/>
      </c>
      <c r="Y472" s="586" t="str">
        <f t="shared" si="143"/>
        <v/>
      </c>
      <c r="Z472" s="586" t="str">
        <f t="shared" si="125"/>
        <v/>
      </c>
    </row>
    <row r="473" spans="1:26" ht="12" hidden="1" thickBot="1" x14ac:dyDescent="0.25">
      <c r="A473" s="567" t="s">
        <v>168</v>
      </c>
      <c r="B473" s="644" t="s">
        <v>168</v>
      </c>
      <c r="C473" s="645"/>
      <c r="D473" s="451" t="s">
        <v>212</v>
      </c>
      <c r="E473" s="423"/>
      <c r="F473" s="424">
        <v>500</v>
      </c>
      <c r="G473" s="425">
        <v>0.38</v>
      </c>
      <c r="H473" s="649">
        <f>IF(F473&lt;=30,(0.78*F473+7.82)*G473,((0.78*30+7.82)+0.78*(F473-30))*G473)</f>
        <v>151.17160000000001</v>
      </c>
      <c r="I473" s="420">
        <v>0</v>
      </c>
      <c r="J473" s="420"/>
      <c r="K473" s="421">
        <f>IF(ISBLANK(I473),0,ROUND(J473*(1+$F$10)*(1+$F$11*E473),2))</f>
        <v>0</v>
      </c>
      <c r="L473" s="668"/>
      <c r="M473" s="669"/>
      <c r="N473" s="576">
        <f t="shared" si="144"/>
        <v>0</v>
      </c>
      <c r="O473" s="577">
        <f t="shared" si="132"/>
        <v>0</v>
      </c>
      <c r="P473" s="578">
        <f t="shared" si="133"/>
        <v>0</v>
      </c>
      <c r="Q473" s="765"/>
      <c r="R473" s="669"/>
      <c r="S473" s="670"/>
      <c r="T473" s="577">
        <f t="shared" si="130"/>
        <v>0</v>
      </c>
      <c r="U473" s="578">
        <f t="shared" si="131"/>
        <v>0</v>
      </c>
      <c r="V473" s="579"/>
      <c r="W473" s="637" t="str">
        <f>IF(U472&gt;0,"xx",IF(P472&gt;0,"xy",""))</f>
        <v/>
      </c>
      <c r="X473" s="586" t="str">
        <f>IF(W473="X","x",IF(W473="xx","x",IF(W473="xy","x",IF(W473="y","x",IF(OR(P473&gt;0,U473&gt;0),"x","")))))</f>
        <v/>
      </c>
      <c r="Y473" s="586" t="str">
        <f t="shared" si="143"/>
        <v/>
      </c>
      <c r="Z473" s="586" t="str">
        <f t="shared" si="125"/>
        <v/>
      </c>
    </row>
    <row r="474" spans="1:26" ht="12" hidden="1" thickBot="1" x14ac:dyDescent="0.25">
      <c r="A474" s="567" t="s">
        <v>168</v>
      </c>
      <c r="B474" s="644" t="s">
        <v>168</v>
      </c>
      <c r="C474" s="645"/>
      <c r="D474" s="451" t="s">
        <v>248</v>
      </c>
      <c r="E474" s="423"/>
      <c r="F474" s="424">
        <v>180</v>
      </c>
      <c r="G474" s="425">
        <v>0.70050000000000001</v>
      </c>
      <c r="H474" s="663">
        <f t="shared" ref="H474:H476" si="146">IF(F474&lt;=30,(1.07*F474+2.68)*G474,((1.07*30+2.68)+1.07*(F474-30))*G474)</f>
        <v>136.79364000000001</v>
      </c>
      <c r="I474" s="420">
        <v>0</v>
      </c>
      <c r="J474" s="420"/>
      <c r="K474" s="421">
        <f>IF(ISBLANK(I474),0,ROUND(J474*(1+$F$10)*(1+$F$11*E474),2))</f>
        <v>0</v>
      </c>
      <c r="L474" s="668" t="s">
        <v>614</v>
      </c>
      <c r="M474" s="669"/>
      <c r="N474" s="576">
        <f t="shared" si="144"/>
        <v>0</v>
      </c>
      <c r="O474" s="577">
        <f t="shared" si="132"/>
        <v>0</v>
      </c>
      <c r="P474" s="578">
        <f t="shared" si="133"/>
        <v>0</v>
      </c>
      <c r="Q474" s="765"/>
      <c r="R474" s="669"/>
      <c r="S474" s="670"/>
      <c r="T474" s="577">
        <f t="shared" si="130"/>
        <v>0</v>
      </c>
      <c r="U474" s="578">
        <f t="shared" si="131"/>
        <v>0</v>
      </c>
      <c r="V474" s="579"/>
      <c r="W474" s="637" t="str">
        <f>IF(U472&gt;0,"xx",IF(P472&gt;0,"xy",""))</f>
        <v/>
      </c>
      <c r="X474" s="586" t="str">
        <f>IF(W474="X","x",IF(W474="xx","x",IF(W474="xy","x",IF(W474="y","x",IF(OR(P474&gt;0,U474&gt;0),"x","")))))</f>
        <v/>
      </c>
      <c r="Y474" s="586" t="str">
        <f t="shared" si="143"/>
        <v/>
      </c>
      <c r="Z474" s="586" t="str">
        <f t="shared" si="125"/>
        <v/>
      </c>
    </row>
    <row r="475" spans="1:26" ht="12" hidden="1" thickBot="1" x14ac:dyDescent="0.25">
      <c r="A475" s="567" t="s">
        <v>168</v>
      </c>
      <c r="B475" s="644" t="s">
        <v>168</v>
      </c>
      <c r="C475" s="645"/>
      <c r="D475" s="451" t="s">
        <v>252</v>
      </c>
      <c r="E475" s="423"/>
      <c r="F475" s="424">
        <v>20</v>
      </c>
      <c r="G475" s="425">
        <v>1.1160000000000001</v>
      </c>
      <c r="H475" s="663">
        <f t="shared" si="146"/>
        <v>26.873280000000005</v>
      </c>
      <c r="I475" s="420">
        <v>0</v>
      </c>
      <c r="J475" s="420"/>
      <c r="K475" s="421">
        <f>IF(ISBLANK(I475),0,ROUND(J475*(1+$F$10)*(1+$F$11*E475),2))</f>
        <v>0</v>
      </c>
      <c r="L475" s="668" t="s">
        <v>614</v>
      </c>
      <c r="M475" s="669"/>
      <c r="N475" s="576">
        <f t="shared" si="144"/>
        <v>0</v>
      </c>
      <c r="O475" s="577">
        <f t="shared" si="132"/>
        <v>0</v>
      </c>
      <c r="P475" s="578">
        <f t="shared" si="133"/>
        <v>0</v>
      </c>
      <c r="Q475" s="765"/>
      <c r="R475" s="669"/>
      <c r="S475" s="670"/>
      <c r="T475" s="577">
        <f t="shared" si="130"/>
        <v>0</v>
      </c>
      <c r="U475" s="578">
        <f t="shared" si="131"/>
        <v>0</v>
      </c>
      <c r="V475" s="579"/>
      <c r="W475" s="637" t="str">
        <f>IF(U472&gt;0,"xx",IF(P472&gt;0,"xy",""))</f>
        <v/>
      </c>
      <c r="X475" s="586" t="str">
        <f>IF(W475="X","x",IF(W475="xx","x",IF(W475="xy","x",IF(W475="y","x",IF(OR(P475&gt;0,U475&gt;0),"x","")))))</f>
        <v/>
      </c>
      <c r="Y475" s="586" t="str">
        <f t="shared" si="143"/>
        <v/>
      </c>
      <c r="Z475" s="586" t="str">
        <f t="shared" si="125"/>
        <v/>
      </c>
    </row>
    <row r="476" spans="1:26" ht="12" hidden="1" thickBot="1" x14ac:dyDescent="0.25">
      <c r="A476" s="567" t="s">
        <v>168</v>
      </c>
      <c r="B476" s="644" t="s">
        <v>168</v>
      </c>
      <c r="C476" s="645"/>
      <c r="D476" s="451" t="s">
        <v>263</v>
      </c>
      <c r="E476" s="423"/>
      <c r="F476" s="424">
        <v>20</v>
      </c>
      <c r="G476" s="425">
        <f>SUM(G472:G475)</f>
        <v>2.1965000000000003</v>
      </c>
      <c r="H476" s="651">
        <f t="shared" si="146"/>
        <v>52.891720000000014</v>
      </c>
      <c r="I476" s="420">
        <v>0</v>
      </c>
      <c r="J476" s="420"/>
      <c r="K476" s="421">
        <f>IF(ISBLANK(I476),0,ROUND(J476*(1+$F$10)*(1+$F$11*E476),2))</f>
        <v>0</v>
      </c>
      <c r="L476" s="647" t="s">
        <v>614</v>
      </c>
      <c r="M476" s="703"/>
      <c r="N476" s="576">
        <f t="shared" si="144"/>
        <v>0</v>
      </c>
      <c r="O476" s="577">
        <f t="shared" si="132"/>
        <v>0</v>
      </c>
      <c r="P476" s="578">
        <f t="shared" si="133"/>
        <v>0</v>
      </c>
      <c r="Q476" s="765"/>
      <c r="R476" s="703"/>
      <c r="S476" s="670"/>
      <c r="T476" s="577">
        <f t="shared" si="130"/>
        <v>0</v>
      </c>
      <c r="U476" s="578">
        <f t="shared" si="131"/>
        <v>0</v>
      </c>
      <c r="V476" s="579"/>
      <c r="W476" s="637" t="str">
        <f>IF(U472&gt;0,"xx",IF(P472&gt;0,"xy",""))</f>
        <v/>
      </c>
      <c r="X476" s="586" t="str">
        <f>IF(W476="X","x",IF(W476="xx","x",IF(W476="xy","x",IF(W476="y","x",IF(OR(P476&gt;0,U476&gt;0),"x","")))))</f>
        <v/>
      </c>
      <c r="Y476" s="586" t="str">
        <f t="shared" si="143"/>
        <v/>
      </c>
      <c r="Z476" s="586" t="str">
        <f t="shared" si="125"/>
        <v/>
      </c>
    </row>
    <row r="477" spans="1:26" ht="12" hidden="1" thickBot="1" x14ac:dyDescent="0.25">
      <c r="A477" s="671">
        <v>502646</v>
      </c>
      <c r="B477" s="644">
        <v>502646</v>
      </c>
      <c r="C477" s="645" t="s">
        <v>206</v>
      </c>
      <c r="D477" s="422" t="s">
        <v>2088</v>
      </c>
      <c r="E477" s="423"/>
      <c r="F477" s="424"/>
      <c r="G477" s="425"/>
      <c r="H477" s="663">
        <f>SUM(H478:H481)</f>
        <v>367.73024000000004</v>
      </c>
      <c r="I477" s="420">
        <v>370.74</v>
      </c>
      <c r="J477" s="420">
        <f t="shared" si="136"/>
        <v>738.4702400000001</v>
      </c>
      <c r="K477" s="421">
        <f t="shared" si="137"/>
        <v>877.38</v>
      </c>
      <c r="L477" s="647" t="s">
        <v>16</v>
      </c>
      <c r="M477" s="587"/>
      <c r="N477" s="576">
        <f t="shared" si="144"/>
        <v>0</v>
      </c>
      <c r="O477" s="577">
        <f t="shared" si="132"/>
        <v>0</v>
      </c>
      <c r="P477" s="578">
        <f t="shared" si="133"/>
        <v>0</v>
      </c>
      <c r="Q477" s="765"/>
      <c r="R477" s="650">
        <f t="shared" si="138"/>
        <v>0</v>
      </c>
      <c r="S477" s="587">
        <f>N477</f>
        <v>0</v>
      </c>
      <c r="T477" s="577">
        <f t="shared" si="130"/>
        <v>0</v>
      </c>
      <c r="U477" s="578">
        <f t="shared" si="131"/>
        <v>0</v>
      </c>
      <c r="V477" s="579"/>
      <c r="W477" s="566"/>
      <c r="X477" s="586" t="str">
        <f t="shared" si="127"/>
        <v/>
      </c>
      <c r="Y477" s="586" t="str">
        <f t="shared" si="143"/>
        <v/>
      </c>
      <c r="Z477" s="586" t="str">
        <f t="shared" ref="Z477:Z589" si="147">IF(W477="X","x",IF(U477&gt;0,"x",""))</f>
        <v/>
      </c>
    </row>
    <row r="478" spans="1:26" ht="12" hidden="1" thickBot="1" x14ac:dyDescent="0.25">
      <c r="A478" s="567" t="s">
        <v>168</v>
      </c>
      <c r="B478" s="644" t="s">
        <v>168</v>
      </c>
      <c r="C478" s="645"/>
      <c r="D478" s="451" t="s">
        <v>212</v>
      </c>
      <c r="E478" s="423"/>
      <c r="F478" s="424">
        <v>500</v>
      </c>
      <c r="G478" s="425">
        <v>0.38</v>
      </c>
      <c r="H478" s="649">
        <f>IF(F478&lt;=30,(0.78*F478+7.82)*G478,((0.78*30+7.82)+0.78*(F478-30))*G478)</f>
        <v>151.17160000000001</v>
      </c>
      <c r="I478" s="420">
        <v>0</v>
      </c>
      <c r="J478" s="420"/>
      <c r="K478" s="421">
        <f t="shared" si="137"/>
        <v>0</v>
      </c>
      <c r="L478" s="668" t="s">
        <v>614</v>
      </c>
      <c r="M478" s="669"/>
      <c r="N478" s="576">
        <f t="shared" si="144"/>
        <v>0</v>
      </c>
      <c r="O478" s="577">
        <f>IF(ISBLANK(M478),0,ROUND(K478*M478,2))</f>
        <v>0</v>
      </c>
      <c r="P478" s="578">
        <f>IF(ISBLANK(N478),0,ROUND(M478*N478,2))</f>
        <v>0</v>
      </c>
      <c r="Q478" s="765"/>
      <c r="R478" s="669"/>
      <c r="S478" s="670"/>
      <c r="T478" s="577">
        <f>IF(ISBLANK(R478),0,ROUND(K478*R478,2))</f>
        <v>0</v>
      </c>
      <c r="U478" s="578">
        <f>IF(ISBLANK(R478),0,ROUND(R478*S478,2))</f>
        <v>0</v>
      </c>
      <c r="V478" s="579"/>
      <c r="W478" s="637" t="str">
        <f>IF(U477&gt;0,"xx",IF(P477&gt;0,"xy",""))</f>
        <v/>
      </c>
      <c r="X478" s="586" t="str">
        <f t="shared" si="127"/>
        <v/>
      </c>
      <c r="Y478" s="586" t="str">
        <f>IF(W478="X","x",IF(W478="y","x",IF(W478="xx","x",IF(U478&gt;0,"x",""))))</f>
        <v/>
      </c>
      <c r="Z478" s="586" t="str">
        <f>IF(W478="X","x",IF(U478&gt;0,"x",""))</f>
        <v/>
      </c>
    </row>
    <row r="479" spans="1:26" ht="12" hidden="1" thickBot="1" x14ac:dyDescent="0.25">
      <c r="A479" s="567" t="s">
        <v>168</v>
      </c>
      <c r="B479" s="644" t="s">
        <v>168</v>
      </c>
      <c r="C479" s="645"/>
      <c r="D479" s="451" t="s">
        <v>248</v>
      </c>
      <c r="E479" s="423"/>
      <c r="F479" s="424">
        <v>180</v>
      </c>
      <c r="G479" s="425">
        <v>0.70050000000000001</v>
      </c>
      <c r="H479" s="663">
        <f t="shared" ref="H479:H490" si="148">IF(F479&lt;=30,(1.07*F479+2.68)*G479,((1.07*30+2.68)+1.07*(F479-30))*G479)</f>
        <v>136.79364000000001</v>
      </c>
      <c r="I479" s="420">
        <v>0</v>
      </c>
      <c r="J479" s="420"/>
      <c r="K479" s="421">
        <f t="shared" si="137"/>
        <v>0</v>
      </c>
      <c r="L479" s="668" t="s">
        <v>614</v>
      </c>
      <c r="M479" s="669"/>
      <c r="N479" s="576">
        <f t="shared" si="144"/>
        <v>0</v>
      </c>
      <c r="O479" s="577">
        <f>IF(ISBLANK(M479),0,ROUND(K479*M479,2))</f>
        <v>0</v>
      </c>
      <c r="P479" s="578">
        <f>IF(ISBLANK(N479),0,ROUND(M479*N479,2))</f>
        <v>0</v>
      </c>
      <c r="Q479" s="765"/>
      <c r="R479" s="669"/>
      <c r="S479" s="670"/>
      <c r="T479" s="577">
        <f>IF(ISBLANK(R479),0,ROUND(K479*R479,2))</f>
        <v>0</v>
      </c>
      <c r="U479" s="578">
        <f>IF(ISBLANK(R479),0,ROUND(R479*S479,2))</f>
        <v>0</v>
      </c>
      <c r="V479" s="579"/>
      <c r="W479" s="637" t="str">
        <f>IF(U477&gt;0,"xx",IF(P477&gt;0,"xy",""))</f>
        <v/>
      </c>
      <c r="X479" s="586" t="str">
        <f t="shared" si="127"/>
        <v/>
      </c>
      <c r="Y479" s="586" t="str">
        <f>IF(W479="X","x",IF(W479="y","x",IF(W479="xx","x",IF(U479&gt;0,"x",""))))</f>
        <v/>
      </c>
      <c r="Z479" s="586" t="str">
        <f>IF(W479="X","x",IF(U479&gt;0,"x",""))</f>
        <v/>
      </c>
    </row>
    <row r="480" spans="1:26" ht="12" hidden="1" thickBot="1" x14ac:dyDescent="0.25">
      <c r="A480" s="567" t="s">
        <v>168</v>
      </c>
      <c r="B480" s="644" t="s">
        <v>168</v>
      </c>
      <c r="C480" s="645"/>
      <c r="D480" s="451" t="s">
        <v>252</v>
      </c>
      <c r="E480" s="423"/>
      <c r="F480" s="424">
        <v>20</v>
      </c>
      <c r="G480" s="425">
        <v>1.1160000000000001</v>
      </c>
      <c r="H480" s="663">
        <f t="shared" si="148"/>
        <v>26.873280000000005</v>
      </c>
      <c r="I480" s="420">
        <v>0</v>
      </c>
      <c r="J480" s="420"/>
      <c r="K480" s="421">
        <f t="shared" si="137"/>
        <v>0</v>
      </c>
      <c r="L480" s="647" t="s">
        <v>614</v>
      </c>
      <c r="M480" s="703"/>
      <c r="N480" s="576">
        <f t="shared" si="144"/>
        <v>0</v>
      </c>
      <c r="O480" s="577">
        <f>IF(ISBLANK(M480),0,ROUND(K480*M480,2))</f>
        <v>0</v>
      </c>
      <c r="P480" s="578">
        <f>IF(ISBLANK(N480),0,ROUND(M480*N480,2))</f>
        <v>0</v>
      </c>
      <c r="Q480" s="765"/>
      <c r="R480" s="703"/>
      <c r="S480" s="670"/>
      <c r="T480" s="577">
        <f>IF(ISBLANK(R480),0,ROUND(K480*R480,2))</f>
        <v>0</v>
      </c>
      <c r="U480" s="578">
        <f>IF(ISBLANK(R480),0,ROUND(R480*S480,2))</f>
        <v>0</v>
      </c>
      <c r="V480" s="579"/>
      <c r="W480" s="637" t="str">
        <f>IF(U476&gt;0,"xx",IF(P476&gt;0,"xy",""))</f>
        <v/>
      </c>
      <c r="X480" s="586" t="str">
        <f t="shared" si="127"/>
        <v/>
      </c>
      <c r="Y480" s="586" t="str">
        <f>IF(W480="X","x",IF(W480="y","x",IF(W480="xx","x",IF(U480&gt;0,"x",""))))</f>
        <v/>
      </c>
      <c r="Z480" s="586" t="str">
        <f>IF(W480="X","x",IF(U480&gt;0,"x",""))</f>
        <v/>
      </c>
    </row>
    <row r="481" spans="1:26" ht="12" hidden="1" thickBot="1" x14ac:dyDescent="0.25">
      <c r="A481" s="567" t="s">
        <v>168</v>
      </c>
      <c r="B481" s="704" t="s">
        <v>168</v>
      </c>
      <c r="C481" s="689"/>
      <c r="D481" s="477" t="s">
        <v>263</v>
      </c>
      <c r="E481" s="470"/>
      <c r="F481" s="478">
        <v>20</v>
      </c>
      <c r="G481" s="479">
        <f>SUM(G477:G480)</f>
        <v>2.1965000000000003</v>
      </c>
      <c r="H481" s="714">
        <f t="shared" si="148"/>
        <v>52.891720000000014</v>
      </c>
      <c r="I481" s="472">
        <v>0</v>
      </c>
      <c r="J481" s="472"/>
      <c r="K481" s="690">
        <f t="shared" si="137"/>
        <v>0</v>
      </c>
      <c r="L481" s="715" t="s">
        <v>614</v>
      </c>
      <c r="M481" s="716"/>
      <c r="N481" s="799">
        <f t="shared" si="144"/>
        <v>0</v>
      </c>
      <c r="O481" s="693">
        <f>IF(ISBLANK(M481),0,ROUND(K481*M481,2))</f>
        <v>0</v>
      </c>
      <c r="P481" s="694">
        <f>IF(ISBLANK(N481),0,ROUND(M481*N481,2))</f>
        <v>0</v>
      </c>
      <c r="Q481" s="765"/>
      <c r="R481" s="717"/>
      <c r="S481" s="711"/>
      <c r="T481" s="693">
        <f>IF(ISBLANK(R481),0,ROUND(K481*R481,2))</f>
        <v>0</v>
      </c>
      <c r="U481" s="694">
        <f>IF(ISBLANK(R481),0,ROUND(R481*S481,2))</f>
        <v>0</v>
      </c>
      <c r="V481" s="579"/>
      <c r="W481" s="637" t="str">
        <f>IF(U477&gt;0,"xx",IF(P477&gt;0,"xy",""))</f>
        <v/>
      </c>
      <c r="X481" s="586" t="str">
        <f t="shared" si="127"/>
        <v/>
      </c>
      <c r="Y481" s="586" t="str">
        <f>IF(W481="X","x",IF(W481="y","x",IF(W481="xx","x",IF(U481&gt;0,"x",""))))</f>
        <v/>
      </c>
      <c r="Z481" s="586" t="str">
        <f>IF(W481="X","x",IF(U481&gt;0,"x",""))</f>
        <v/>
      </c>
    </row>
    <row r="482" spans="1:26" ht="45.75" hidden="1" thickBot="1" x14ac:dyDescent="0.25">
      <c r="A482" s="671">
        <v>97104</v>
      </c>
      <c r="B482" s="638">
        <v>97104</v>
      </c>
      <c r="C482" s="639" t="s">
        <v>670</v>
      </c>
      <c r="D482" s="445" t="s">
        <v>1883</v>
      </c>
      <c r="E482" s="446"/>
      <c r="F482" s="447">
        <v>20</v>
      </c>
      <c r="G482" s="448">
        <f>2.4*0.15</f>
        <v>0.36</v>
      </c>
      <c r="H482" s="663">
        <f t="shared" si="148"/>
        <v>8.6688000000000009</v>
      </c>
      <c r="I482" s="414">
        <v>112.49</v>
      </c>
      <c r="J482" s="414">
        <f t="shared" ref="J482:J499" si="149">IF(ISBLANK(I482),"",SUM(H482:I482))</f>
        <v>121.1588</v>
      </c>
      <c r="K482" s="415">
        <f t="shared" si="137"/>
        <v>143.94999999999999</v>
      </c>
      <c r="L482" s="641" t="s">
        <v>18</v>
      </c>
      <c r="M482" s="576"/>
      <c r="N482" s="576">
        <f t="shared" si="144"/>
        <v>0</v>
      </c>
      <c r="O482" s="642">
        <f t="shared" ref="O482:O499" si="150">IF(ISBLANK(M482),0,ROUND(K482*M482,2))</f>
        <v>0</v>
      </c>
      <c r="P482" s="659">
        <f t="shared" ref="P482:P499" si="151">IF(ISBLANK(N482),0,ROUND(M482*N482,2))</f>
        <v>0</v>
      </c>
      <c r="Q482" s="765"/>
      <c r="R482" s="684">
        <f t="shared" ref="R482:S499" si="152">M482</f>
        <v>0</v>
      </c>
      <c r="S482" s="576">
        <f t="shared" si="152"/>
        <v>0</v>
      </c>
      <c r="T482" s="642">
        <f t="shared" ref="T482:T499" si="153">IF(ISBLANK(R482),0,ROUND(K482*R482,2))</f>
        <v>0</v>
      </c>
      <c r="U482" s="659">
        <f t="shared" ref="U482:U499" si="154">IF(ISBLANK(R482),0,ROUND(R482*S482,2))</f>
        <v>0</v>
      </c>
      <c r="V482" s="579"/>
      <c r="W482" s="566"/>
      <c r="X482" s="586" t="str">
        <f t="shared" ref="X482:X545" si="155">IF(W482="X","x",IF(W482="xx","x",IF(W482="xy","x",IF(W482="y","x",IF(OR(P482&gt;0,U482&gt;0),"x","")))))</f>
        <v/>
      </c>
      <c r="Y482" s="586" t="str">
        <f t="shared" ref="Y482:Y499" si="156">IF(W482="X","x",IF(W482="y","x",IF(W482="xx","x",IF(U482&gt;0,"x",""))))</f>
        <v/>
      </c>
      <c r="Z482" s="586" t="str">
        <f t="shared" ref="Z482:Z499" si="157">IF(W482="X","x",IF(U482&gt;0,"x",""))</f>
        <v/>
      </c>
    </row>
    <row r="483" spans="1:26" ht="45.75" hidden="1" thickBot="1" x14ac:dyDescent="0.25">
      <c r="A483" s="671">
        <v>97105</v>
      </c>
      <c r="B483" s="644">
        <v>97105</v>
      </c>
      <c r="C483" s="645" t="s">
        <v>670</v>
      </c>
      <c r="D483" s="422" t="s">
        <v>1884</v>
      </c>
      <c r="E483" s="423"/>
      <c r="F483" s="424">
        <v>20</v>
      </c>
      <c r="G483" s="425">
        <f>2.4*0.175</f>
        <v>0.42</v>
      </c>
      <c r="H483" s="663">
        <f t="shared" si="148"/>
        <v>10.1136</v>
      </c>
      <c r="I483" s="420">
        <v>126.29</v>
      </c>
      <c r="J483" s="420">
        <f t="shared" si="149"/>
        <v>136.40360000000001</v>
      </c>
      <c r="K483" s="421">
        <f t="shared" si="137"/>
        <v>162.06</v>
      </c>
      <c r="L483" s="647" t="s">
        <v>18</v>
      </c>
      <c r="M483" s="587"/>
      <c r="N483" s="576">
        <f t="shared" si="144"/>
        <v>0</v>
      </c>
      <c r="O483" s="577">
        <f t="shared" si="150"/>
        <v>0</v>
      </c>
      <c r="P483" s="578">
        <f t="shared" si="151"/>
        <v>0</v>
      </c>
      <c r="Q483" s="765"/>
      <c r="R483" s="650">
        <f t="shared" si="152"/>
        <v>0</v>
      </c>
      <c r="S483" s="587">
        <f t="shared" si="152"/>
        <v>0</v>
      </c>
      <c r="T483" s="577">
        <f t="shared" si="153"/>
        <v>0</v>
      </c>
      <c r="U483" s="578">
        <f t="shared" si="154"/>
        <v>0</v>
      </c>
      <c r="V483" s="579"/>
      <c r="W483" s="566"/>
      <c r="X483" s="586" t="str">
        <f t="shared" si="155"/>
        <v/>
      </c>
      <c r="Y483" s="586" t="str">
        <f t="shared" si="156"/>
        <v/>
      </c>
      <c r="Z483" s="586" t="str">
        <f t="shared" si="157"/>
        <v/>
      </c>
    </row>
    <row r="484" spans="1:26" ht="45.75" hidden="1" thickBot="1" x14ac:dyDescent="0.25">
      <c r="A484" s="671">
        <v>97106</v>
      </c>
      <c r="B484" s="644">
        <v>97106</v>
      </c>
      <c r="C484" s="645" t="s">
        <v>670</v>
      </c>
      <c r="D484" s="422" t="s">
        <v>1885</v>
      </c>
      <c r="E484" s="423"/>
      <c r="F484" s="424">
        <v>20</v>
      </c>
      <c r="G484" s="425">
        <f>2.4*0.2</f>
        <v>0.48</v>
      </c>
      <c r="H484" s="663">
        <f t="shared" si="148"/>
        <v>11.558400000000001</v>
      </c>
      <c r="I484" s="420">
        <v>139.05000000000001</v>
      </c>
      <c r="J484" s="420">
        <f t="shared" si="149"/>
        <v>150.60840000000002</v>
      </c>
      <c r="K484" s="421">
        <f t="shared" si="137"/>
        <v>178.94</v>
      </c>
      <c r="L484" s="647" t="s">
        <v>18</v>
      </c>
      <c r="M484" s="587"/>
      <c r="N484" s="576">
        <f t="shared" si="144"/>
        <v>0</v>
      </c>
      <c r="O484" s="577">
        <f t="shared" si="150"/>
        <v>0</v>
      </c>
      <c r="P484" s="578">
        <f t="shared" si="151"/>
        <v>0</v>
      </c>
      <c r="Q484" s="765"/>
      <c r="R484" s="650">
        <f t="shared" si="152"/>
        <v>0</v>
      </c>
      <c r="S484" s="587">
        <f t="shared" si="152"/>
        <v>0</v>
      </c>
      <c r="T484" s="577">
        <f t="shared" si="153"/>
        <v>0</v>
      </c>
      <c r="U484" s="578">
        <f t="shared" si="154"/>
        <v>0</v>
      </c>
      <c r="V484" s="579"/>
      <c r="W484" s="566"/>
      <c r="X484" s="586" t="str">
        <f t="shared" si="155"/>
        <v/>
      </c>
      <c r="Y484" s="586" t="str">
        <f t="shared" si="156"/>
        <v/>
      </c>
      <c r="Z484" s="586" t="str">
        <f t="shared" si="157"/>
        <v/>
      </c>
    </row>
    <row r="485" spans="1:26" ht="45.75" hidden="1" thickBot="1" x14ac:dyDescent="0.25">
      <c r="A485" s="671">
        <v>97107</v>
      </c>
      <c r="B485" s="644">
        <v>97107</v>
      </c>
      <c r="C485" s="645" t="s">
        <v>670</v>
      </c>
      <c r="D485" s="422" t="s">
        <v>1886</v>
      </c>
      <c r="E485" s="423"/>
      <c r="F485" s="424">
        <v>20</v>
      </c>
      <c r="G485" s="425">
        <f>2.4*0.225</f>
        <v>0.54</v>
      </c>
      <c r="H485" s="663">
        <f t="shared" si="148"/>
        <v>13.003200000000001</v>
      </c>
      <c r="I485" s="420">
        <v>159.53</v>
      </c>
      <c r="J485" s="420">
        <f t="shared" si="149"/>
        <v>172.53319999999999</v>
      </c>
      <c r="K485" s="421">
        <f t="shared" si="137"/>
        <v>204.99</v>
      </c>
      <c r="L485" s="647" t="s">
        <v>18</v>
      </c>
      <c r="M485" s="587"/>
      <c r="N485" s="576">
        <f t="shared" si="144"/>
        <v>0</v>
      </c>
      <c r="O485" s="577">
        <f t="shared" si="150"/>
        <v>0</v>
      </c>
      <c r="P485" s="578">
        <f t="shared" si="151"/>
        <v>0</v>
      </c>
      <c r="Q485" s="765"/>
      <c r="R485" s="650">
        <f t="shared" si="152"/>
        <v>0</v>
      </c>
      <c r="S485" s="587">
        <f t="shared" si="152"/>
        <v>0</v>
      </c>
      <c r="T485" s="577">
        <f t="shared" si="153"/>
        <v>0</v>
      </c>
      <c r="U485" s="578">
        <f t="shared" si="154"/>
        <v>0</v>
      </c>
      <c r="V485" s="579"/>
      <c r="W485" s="566"/>
      <c r="X485" s="586" t="str">
        <f t="shared" si="155"/>
        <v/>
      </c>
      <c r="Y485" s="586" t="str">
        <f t="shared" si="156"/>
        <v/>
      </c>
      <c r="Z485" s="586" t="str">
        <f t="shared" si="157"/>
        <v/>
      </c>
    </row>
    <row r="486" spans="1:26" ht="45.75" hidden="1" thickBot="1" x14ac:dyDescent="0.25">
      <c r="A486" s="671">
        <v>97108</v>
      </c>
      <c r="B486" s="644">
        <v>97108</v>
      </c>
      <c r="C486" s="645" t="s">
        <v>670</v>
      </c>
      <c r="D486" s="422" t="s">
        <v>1887</v>
      </c>
      <c r="E486" s="423"/>
      <c r="F486" s="424">
        <v>20</v>
      </c>
      <c r="G486" s="425">
        <f>2.4*0.25</f>
        <v>0.6</v>
      </c>
      <c r="H486" s="663">
        <f t="shared" si="148"/>
        <v>14.448</v>
      </c>
      <c r="I486" s="420">
        <v>183.65</v>
      </c>
      <c r="J486" s="420">
        <f t="shared" si="149"/>
        <v>198.09800000000001</v>
      </c>
      <c r="K486" s="421">
        <f t="shared" si="137"/>
        <v>235.36</v>
      </c>
      <c r="L486" s="647" t="s">
        <v>18</v>
      </c>
      <c r="M486" s="587"/>
      <c r="N486" s="576">
        <f t="shared" si="144"/>
        <v>0</v>
      </c>
      <c r="O486" s="577">
        <f t="shared" si="150"/>
        <v>0</v>
      </c>
      <c r="P486" s="578">
        <f t="shared" si="151"/>
        <v>0</v>
      </c>
      <c r="Q486" s="765"/>
      <c r="R486" s="650">
        <f t="shared" si="152"/>
        <v>0</v>
      </c>
      <c r="S486" s="587">
        <f t="shared" si="152"/>
        <v>0</v>
      </c>
      <c r="T486" s="577">
        <f t="shared" si="153"/>
        <v>0</v>
      </c>
      <c r="U486" s="578">
        <f t="shared" si="154"/>
        <v>0</v>
      </c>
      <c r="V486" s="579"/>
      <c r="W486" s="566"/>
      <c r="X486" s="586" t="str">
        <f t="shared" si="155"/>
        <v/>
      </c>
      <c r="Y486" s="586" t="str">
        <f t="shared" si="156"/>
        <v/>
      </c>
      <c r="Z486" s="586" t="str">
        <f t="shared" si="157"/>
        <v/>
      </c>
    </row>
    <row r="487" spans="1:26" ht="45.75" hidden="1" thickBot="1" x14ac:dyDescent="0.25">
      <c r="A487" s="671">
        <v>97109</v>
      </c>
      <c r="B487" s="644">
        <v>97109</v>
      </c>
      <c r="C487" s="645" t="s">
        <v>670</v>
      </c>
      <c r="D487" s="422" t="s">
        <v>1888</v>
      </c>
      <c r="E487" s="423"/>
      <c r="F487" s="424">
        <v>20</v>
      </c>
      <c r="G487" s="425">
        <f>2.4*0.275</f>
        <v>0.66</v>
      </c>
      <c r="H487" s="663">
        <f t="shared" si="148"/>
        <v>15.892800000000001</v>
      </c>
      <c r="I487" s="420">
        <v>203.4</v>
      </c>
      <c r="J487" s="420">
        <f t="shared" si="149"/>
        <v>219.2928</v>
      </c>
      <c r="K487" s="421">
        <f t="shared" si="137"/>
        <v>260.54000000000002</v>
      </c>
      <c r="L487" s="647" t="s">
        <v>18</v>
      </c>
      <c r="M487" s="587"/>
      <c r="N487" s="576">
        <f t="shared" si="144"/>
        <v>0</v>
      </c>
      <c r="O487" s="577">
        <f t="shared" si="150"/>
        <v>0</v>
      </c>
      <c r="P487" s="578">
        <f t="shared" si="151"/>
        <v>0</v>
      </c>
      <c r="Q487" s="765"/>
      <c r="R487" s="650">
        <f t="shared" si="152"/>
        <v>0</v>
      </c>
      <c r="S487" s="587">
        <f t="shared" si="152"/>
        <v>0</v>
      </c>
      <c r="T487" s="577">
        <f t="shared" si="153"/>
        <v>0</v>
      </c>
      <c r="U487" s="578">
        <f t="shared" si="154"/>
        <v>0</v>
      </c>
      <c r="V487" s="579"/>
      <c r="W487" s="566"/>
      <c r="X487" s="586" t="str">
        <f t="shared" si="155"/>
        <v/>
      </c>
      <c r="Y487" s="586" t="str">
        <f t="shared" si="156"/>
        <v/>
      </c>
      <c r="Z487" s="586" t="str">
        <f t="shared" si="157"/>
        <v/>
      </c>
    </row>
    <row r="488" spans="1:26" ht="23.25" hidden="1" thickBot="1" x14ac:dyDescent="0.25">
      <c r="A488" s="671">
        <v>97111</v>
      </c>
      <c r="B488" s="644">
        <v>97111</v>
      </c>
      <c r="C488" s="645" t="s">
        <v>670</v>
      </c>
      <c r="D488" s="422" t="s">
        <v>2089</v>
      </c>
      <c r="E488" s="423"/>
      <c r="F488" s="424">
        <v>20</v>
      </c>
      <c r="G488" s="425">
        <f>2.4*0.125</f>
        <v>0.3</v>
      </c>
      <c r="H488" s="663">
        <f t="shared" si="148"/>
        <v>7.2240000000000002</v>
      </c>
      <c r="I488" s="420">
        <v>294.31</v>
      </c>
      <c r="J488" s="420">
        <f t="shared" si="149"/>
        <v>301.53399999999999</v>
      </c>
      <c r="K488" s="421">
        <f t="shared" si="137"/>
        <v>358.25</v>
      </c>
      <c r="L488" s="647" t="s">
        <v>18</v>
      </c>
      <c r="M488" s="587"/>
      <c r="N488" s="576">
        <f t="shared" si="144"/>
        <v>0</v>
      </c>
      <c r="O488" s="577">
        <f t="shared" si="150"/>
        <v>0</v>
      </c>
      <c r="P488" s="578">
        <f t="shared" si="151"/>
        <v>0</v>
      </c>
      <c r="Q488" s="765"/>
      <c r="R488" s="650">
        <f t="shared" si="152"/>
        <v>0</v>
      </c>
      <c r="S488" s="587">
        <f t="shared" si="152"/>
        <v>0</v>
      </c>
      <c r="T488" s="577">
        <f t="shared" si="153"/>
        <v>0</v>
      </c>
      <c r="U488" s="578">
        <f t="shared" si="154"/>
        <v>0</v>
      </c>
      <c r="V488" s="579"/>
      <c r="W488" s="566"/>
      <c r="X488" s="586" t="str">
        <f t="shared" si="155"/>
        <v/>
      </c>
      <c r="Y488" s="586" t="str">
        <f t="shared" si="156"/>
        <v/>
      </c>
      <c r="Z488" s="586" t="str">
        <f t="shared" si="157"/>
        <v/>
      </c>
    </row>
    <row r="489" spans="1:26" ht="23.25" hidden="1" thickBot="1" x14ac:dyDescent="0.25">
      <c r="A489" s="671">
        <v>97112</v>
      </c>
      <c r="B489" s="644">
        <v>97112</v>
      </c>
      <c r="C489" s="645" t="s">
        <v>670</v>
      </c>
      <c r="D489" s="422" t="s">
        <v>2090</v>
      </c>
      <c r="E489" s="423"/>
      <c r="F489" s="424">
        <v>20</v>
      </c>
      <c r="G489" s="425">
        <f>2.4*0.15</f>
        <v>0.36</v>
      </c>
      <c r="H489" s="663">
        <f t="shared" si="148"/>
        <v>8.6688000000000009</v>
      </c>
      <c r="I489" s="420">
        <v>239.41</v>
      </c>
      <c r="J489" s="420">
        <f t="shared" si="149"/>
        <v>248.0788</v>
      </c>
      <c r="K489" s="421">
        <f t="shared" si="137"/>
        <v>294.74</v>
      </c>
      <c r="L489" s="647" t="s">
        <v>18</v>
      </c>
      <c r="M489" s="587"/>
      <c r="N489" s="576">
        <f t="shared" si="144"/>
        <v>0</v>
      </c>
      <c r="O489" s="577">
        <f t="shared" si="150"/>
        <v>0</v>
      </c>
      <c r="P489" s="578">
        <f t="shared" si="151"/>
        <v>0</v>
      </c>
      <c r="Q489" s="765"/>
      <c r="R489" s="650">
        <f t="shared" si="152"/>
        <v>0</v>
      </c>
      <c r="S489" s="587">
        <f t="shared" si="152"/>
        <v>0</v>
      </c>
      <c r="T489" s="577">
        <f t="shared" si="153"/>
        <v>0</v>
      </c>
      <c r="U489" s="578">
        <f t="shared" si="154"/>
        <v>0</v>
      </c>
      <c r="V489" s="579"/>
      <c r="W489" s="566"/>
      <c r="X489" s="586" t="str">
        <f t="shared" si="155"/>
        <v/>
      </c>
      <c r="Y489" s="586" t="str">
        <f t="shared" si="156"/>
        <v/>
      </c>
      <c r="Z489" s="586" t="str">
        <f t="shared" si="157"/>
        <v/>
      </c>
    </row>
    <row r="490" spans="1:26" ht="23.25" hidden="1" thickBot="1" x14ac:dyDescent="0.25">
      <c r="A490" s="671">
        <v>97112</v>
      </c>
      <c r="B490" s="644">
        <v>97112</v>
      </c>
      <c r="C490" s="645" t="s">
        <v>670</v>
      </c>
      <c r="D490" s="422" t="s">
        <v>2090</v>
      </c>
      <c r="E490" s="423"/>
      <c r="F490" s="424">
        <v>20</v>
      </c>
      <c r="G490" s="425">
        <f>2.4*0.175</f>
        <v>0.42</v>
      </c>
      <c r="H490" s="663">
        <f t="shared" si="148"/>
        <v>10.1136</v>
      </c>
      <c r="I490" s="420">
        <v>239.41</v>
      </c>
      <c r="J490" s="420">
        <f t="shared" si="149"/>
        <v>249.52359999999999</v>
      </c>
      <c r="K490" s="421">
        <f t="shared" si="137"/>
        <v>296.45999999999998</v>
      </c>
      <c r="L490" s="647" t="s">
        <v>18</v>
      </c>
      <c r="M490" s="587"/>
      <c r="N490" s="576">
        <f t="shared" si="144"/>
        <v>0</v>
      </c>
      <c r="O490" s="577">
        <f t="shared" si="150"/>
        <v>0</v>
      </c>
      <c r="P490" s="578">
        <f t="shared" si="151"/>
        <v>0</v>
      </c>
      <c r="Q490" s="765"/>
      <c r="R490" s="650">
        <f t="shared" si="152"/>
        <v>0</v>
      </c>
      <c r="S490" s="587">
        <f t="shared" si="152"/>
        <v>0</v>
      </c>
      <c r="T490" s="577">
        <f t="shared" si="153"/>
        <v>0</v>
      </c>
      <c r="U490" s="578">
        <f t="shared" si="154"/>
        <v>0</v>
      </c>
      <c r="V490" s="579"/>
      <c r="W490" s="566"/>
      <c r="X490" s="586" t="str">
        <f t="shared" si="155"/>
        <v/>
      </c>
      <c r="Y490" s="586" t="str">
        <f t="shared" si="156"/>
        <v/>
      </c>
      <c r="Z490" s="586" t="str">
        <f t="shared" si="157"/>
        <v/>
      </c>
    </row>
    <row r="491" spans="1:26" ht="34.5" hidden="1" thickBot="1" x14ac:dyDescent="0.25">
      <c r="A491" s="671">
        <v>97113</v>
      </c>
      <c r="B491" s="644">
        <v>97113</v>
      </c>
      <c r="C491" s="645" t="s">
        <v>670</v>
      </c>
      <c r="D491" s="422" t="s">
        <v>1889</v>
      </c>
      <c r="E491" s="423"/>
      <c r="F491" s="424"/>
      <c r="G491" s="425"/>
      <c r="H491" s="663">
        <f t="shared" ref="H491:H499" si="158">IF(F491&lt;=30,(0.87*F491+2.18)*G491,((0.87*30+2.18)+0.87*(F491-30))*G491)</f>
        <v>0</v>
      </c>
      <c r="I491" s="420">
        <v>2.65</v>
      </c>
      <c r="J491" s="420">
        <f t="shared" si="149"/>
        <v>2.65</v>
      </c>
      <c r="K491" s="421">
        <f t="shared" si="137"/>
        <v>3.15</v>
      </c>
      <c r="L491" s="647" t="s">
        <v>18</v>
      </c>
      <c r="M491" s="587"/>
      <c r="N491" s="576">
        <f t="shared" si="144"/>
        <v>0</v>
      </c>
      <c r="O491" s="577">
        <f t="shared" si="150"/>
        <v>0</v>
      </c>
      <c r="P491" s="578">
        <f t="shared" si="151"/>
        <v>0</v>
      </c>
      <c r="Q491" s="765"/>
      <c r="R491" s="650">
        <f t="shared" si="152"/>
        <v>0</v>
      </c>
      <c r="S491" s="587">
        <f t="shared" si="152"/>
        <v>0</v>
      </c>
      <c r="T491" s="577">
        <f t="shared" si="153"/>
        <v>0</v>
      </c>
      <c r="U491" s="578">
        <f t="shared" si="154"/>
        <v>0</v>
      </c>
      <c r="V491" s="579"/>
      <c r="W491" s="566"/>
      <c r="X491" s="586" t="str">
        <f t="shared" si="155"/>
        <v/>
      </c>
      <c r="Y491" s="586" t="str">
        <f t="shared" si="156"/>
        <v/>
      </c>
      <c r="Z491" s="586" t="str">
        <f t="shared" si="157"/>
        <v/>
      </c>
    </row>
    <row r="492" spans="1:26" ht="12" hidden="1" thickBot="1" x14ac:dyDescent="0.25">
      <c r="A492" s="671">
        <v>97114</v>
      </c>
      <c r="B492" s="644">
        <v>97114</v>
      </c>
      <c r="C492" s="645" t="s">
        <v>670</v>
      </c>
      <c r="D492" s="422" t="s">
        <v>1890</v>
      </c>
      <c r="E492" s="423"/>
      <c r="F492" s="424"/>
      <c r="G492" s="425"/>
      <c r="H492" s="663">
        <f t="shared" si="158"/>
        <v>0</v>
      </c>
      <c r="I492" s="420">
        <v>0.39</v>
      </c>
      <c r="J492" s="420">
        <f t="shared" si="149"/>
        <v>0.39</v>
      </c>
      <c r="K492" s="421">
        <f t="shared" si="137"/>
        <v>0.46</v>
      </c>
      <c r="L492" s="647" t="s">
        <v>19</v>
      </c>
      <c r="M492" s="587"/>
      <c r="N492" s="576">
        <f t="shared" si="144"/>
        <v>0</v>
      </c>
      <c r="O492" s="577">
        <f t="shared" si="150"/>
        <v>0</v>
      </c>
      <c r="P492" s="578">
        <f t="shared" si="151"/>
        <v>0</v>
      </c>
      <c r="Q492" s="765"/>
      <c r="R492" s="650">
        <f t="shared" si="152"/>
        <v>0</v>
      </c>
      <c r="S492" s="587">
        <f t="shared" si="152"/>
        <v>0</v>
      </c>
      <c r="T492" s="577">
        <f t="shared" si="153"/>
        <v>0</v>
      </c>
      <c r="U492" s="578">
        <f t="shared" si="154"/>
        <v>0</v>
      </c>
      <c r="V492" s="579"/>
      <c r="W492" s="566"/>
      <c r="X492" s="586" t="str">
        <f t="shared" si="155"/>
        <v/>
      </c>
      <c r="Y492" s="586" t="str">
        <f t="shared" si="156"/>
        <v/>
      </c>
      <c r="Z492" s="586" t="str">
        <f t="shared" si="157"/>
        <v/>
      </c>
    </row>
    <row r="493" spans="1:26" ht="23.25" hidden="1" thickBot="1" x14ac:dyDescent="0.25">
      <c r="A493" s="671">
        <v>97115</v>
      </c>
      <c r="B493" s="644">
        <v>97115</v>
      </c>
      <c r="C493" s="645" t="s">
        <v>670</v>
      </c>
      <c r="D493" s="422" t="s">
        <v>1891</v>
      </c>
      <c r="E493" s="423"/>
      <c r="F493" s="424"/>
      <c r="G493" s="425"/>
      <c r="H493" s="663">
        <f t="shared" si="158"/>
        <v>0</v>
      </c>
      <c r="I493" s="420">
        <v>50.55</v>
      </c>
      <c r="J493" s="420">
        <f t="shared" si="149"/>
        <v>50.55</v>
      </c>
      <c r="K493" s="421">
        <f t="shared" si="137"/>
        <v>60.06</v>
      </c>
      <c r="L493" s="647" t="s">
        <v>23</v>
      </c>
      <c r="M493" s="587"/>
      <c r="N493" s="576">
        <f t="shared" si="144"/>
        <v>0</v>
      </c>
      <c r="O493" s="577">
        <f t="shared" si="150"/>
        <v>0</v>
      </c>
      <c r="P493" s="578">
        <f t="shared" si="151"/>
        <v>0</v>
      </c>
      <c r="Q493" s="765"/>
      <c r="R493" s="650">
        <f t="shared" si="152"/>
        <v>0</v>
      </c>
      <c r="S493" s="587">
        <f t="shared" si="152"/>
        <v>0</v>
      </c>
      <c r="T493" s="577">
        <f t="shared" si="153"/>
        <v>0</v>
      </c>
      <c r="U493" s="578">
        <f t="shared" si="154"/>
        <v>0</v>
      </c>
      <c r="V493" s="579"/>
      <c r="W493" s="566"/>
      <c r="X493" s="586" t="str">
        <f t="shared" si="155"/>
        <v/>
      </c>
      <c r="Y493" s="586" t="str">
        <f t="shared" si="156"/>
        <v/>
      </c>
      <c r="Z493" s="586" t="str">
        <f t="shared" si="157"/>
        <v/>
      </c>
    </row>
    <row r="494" spans="1:26" ht="23.25" hidden="1" thickBot="1" x14ac:dyDescent="0.25">
      <c r="A494" s="671">
        <v>97116</v>
      </c>
      <c r="B494" s="644">
        <v>97116</v>
      </c>
      <c r="C494" s="645" t="s">
        <v>670</v>
      </c>
      <c r="D494" s="422" t="s">
        <v>1892</v>
      </c>
      <c r="E494" s="423"/>
      <c r="F494" s="424"/>
      <c r="G494" s="425"/>
      <c r="H494" s="663">
        <f t="shared" si="158"/>
        <v>0</v>
      </c>
      <c r="I494" s="420">
        <v>26.8</v>
      </c>
      <c r="J494" s="420">
        <f t="shared" si="149"/>
        <v>26.8</v>
      </c>
      <c r="K494" s="421">
        <f t="shared" si="137"/>
        <v>31.84</v>
      </c>
      <c r="L494" s="647" t="s">
        <v>23</v>
      </c>
      <c r="M494" s="587"/>
      <c r="N494" s="576">
        <f t="shared" si="144"/>
        <v>0</v>
      </c>
      <c r="O494" s="577">
        <f t="shared" si="150"/>
        <v>0</v>
      </c>
      <c r="P494" s="578">
        <f t="shared" si="151"/>
        <v>0</v>
      </c>
      <c r="Q494" s="765"/>
      <c r="R494" s="650">
        <f t="shared" si="152"/>
        <v>0</v>
      </c>
      <c r="S494" s="587">
        <f t="shared" si="152"/>
        <v>0</v>
      </c>
      <c r="T494" s="577">
        <f t="shared" si="153"/>
        <v>0</v>
      </c>
      <c r="U494" s="578">
        <f t="shared" si="154"/>
        <v>0</v>
      </c>
      <c r="V494" s="579"/>
      <c r="W494" s="566"/>
      <c r="X494" s="586" t="str">
        <f t="shared" si="155"/>
        <v/>
      </c>
      <c r="Y494" s="586" t="str">
        <f t="shared" si="156"/>
        <v/>
      </c>
      <c r="Z494" s="586" t="str">
        <f t="shared" si="157"/>
        <v/>
      </c>
    </row>
    <row r="495" spans="1:26" ht="23.25" hidden="1" thickBot="1" x14ac:dyDescent="0.25">
      <c r="A495" s="671">
        <v>97117</v>
      </c>
      <c r="B495" s="644">
        <v>97117</v>
      </c>
      <c r="C495" s="645" t="s">
        <v>670</v>
      </c>
      <c r="D495" s="422" t="s">
        <v>1893</v>
      </c>
      <c r="E495" s="423"/>
      <c r="F495" s="424"/>
      <c r="G495" s="425"/>
      <c r="H495" s="663">
        <f t="shared" si="158"/>
        <v>0</v>
      </c>
      <c r="I495" s="420">
        <v>23.38</v>
      </c>
      <c r="J495" s="420">
        <f t="shared" si="149"/>
        <v>23.38</v>
      </c>
      <c r="K495" s="421">
        <f t="shared" si="137"/>
        <v>27.78</v>
      </c>
      <c r="L495" s="647" t="s">
        <v>23</v>
      </c>
      <c r="M495" s="587"/>
      <c r="N495" s="576">
        <f t="shared" si="144"/>
        <v>0</v>
      </c>
      <c r="O495" s="577">
        <f t="shared" si="150"/>
        <v>0</v>
      </c>
      <c r="P495" s="578">
        <f t="shared" si="151"/>
        <v>0</v>
      </c>
      <c r="Q495" s="765"/>
      <c r="R495" s="650">
        <f t="shared" si="152"/>
        <v>0</v>
      </c>
      <c r="S495" s="587">
        <f t="shared" si="152"/>
        <v>0</v>
      </c>
      <c r="T495" s="577">
        <f t="shared" si="153"/>
        <v>0</v>
      </c>
      <c r="U495" s="578">
        <f t="shared" si="154"/>
        <v>0</v>
      </c>
      <c r="V495" s="579"/>
      <c r="W495" s="566"/>
      <c r="X495" s="586" t="str">
        <f t="shared" si="155"/>
        <v/>
      </c>
      <c r="Y495" s="586" t="str">
        <f t="shared" si="156"/>
        <v/>
      </c>
      <c r="Z495" s="586" t="str">
        <f t="shared" si="157"/>
        <v/>
      </c>
    </row>
    <row r="496" spans="1:26" ht="23.25" hidden="1" thickBot="1" x14ac:dyDescent="0.25">
      <c r="A496" s="671">
        <v>97118</v>
      </c>
      <c r="B496" s="644">
        <v>97118</v>
      </c>
      <c r="C496" s="645" t="s">
        <v>670</v>
      </c>
      <c r="D496" s="422" t="s">
        <v>1894</v>
      </c>
      <c r="E496" s="423"/>
      <c r="F496" s="424"/>
      <c r="G496" s="425"/>
      <c r="H496" s="663">
        <f t="shared" si="158"/>
        <v>0</v>
      </c>
      <c r="I496" s="420">
        <v>19.36</v>
      </c>
      <c r="J496" s="420">
        <f t="shared" si="149"/>
        <v>19.36</v>
      </c>
      <c r="K496" s="421">
        <f t="shared" si="137"/>
        <v>23</v>
      </c>
      <c r="L496" s="647" t="s">
        <v>23</v>
      </c>
      <c r="M496" s="587"/>
      <c r="N496" s="576">
        <f t="shared" si="144"/>
        <v>0</v>
      </c>
      <c r="O496" s="577">
        <f t="shared" si="150"/>
        <v>0</v>
      </c>
      <c r="P496" s="578">
        <f t="shared" si="151"/>
        <v>0</v>
      </c>
      <c r="Q496" s="765"/>
      <c r="R496" s="650">
        <f t="shared" si="152"/>
        <v>0</v>
      </c>
      <c r="S496" s="587">
        <f t="shared" si="152"/>
        <v>0</v>
      </c>
      <c r="T496" s="577">
        <f t="shared" si="153"/>
        <v>0</v>
      </c>
      <c r="U496" s="578">
        <f t="shared" si="154"/>
        <v>0</v>
      </c>
      <c r="V496" s="579"/>
      <c r="W496" s="566"/>
      <c r="X496" s="586" t="str">
        <f t="shared" si="155"/>
        <v/>
      </c>
      <c r="Y496" s="586" t="str">
        <f t="shared" si="156"/>
        <v/>
      </c>
      <c r="Z496" s="586" t="str">
        <f t="shared" si="157"/>
        <v/>
      </c>
    </row>
    <row r="497" spans="1:26" ht="23.25" hidden="1" thickBot="1" x14ac:dyDescent="0.25">
      <c r="A497" s="671">
        <v>97119</v>
      </c>
      <c r="B497" s="644">
        <v>97119</v>
      </c>
      <c r="C497" s="645" t="s">
        <v>670</v>
      </c>
      <c r="D497" s="422" t="s">
        <v>1895</v>
      </c>
      <c r="E497" s="423"/>
      <c r="F497" s="424"/>
      <c r="G497" s="425"/>
      <c r="H497" s="663">
        <f t="shared" si="158"/>
        <v>0</v>
      </c>
      <c r="I497" s="420">
        <v>17.440000000000001</v>
      </c>
      <c r="J497" s="420">
        <f t="shared" si="149"/>
        <v>17.440000000000001</v>
      </c>
      <c r="K497" s="421">
        <f t="shared" si="137"/>
        <v>20.72</v>
      </c>
      <c r="L497" s="647" t="s">
        <v>23</v>
      </c>
      <c r="M497" s="587"/>
      <c r="N497" s="576">
        <f t="shared" si="144"/>
        <v>0</v>
      </c>
      <c r="O497" s="577">
        <f t="shared" si="150"/>
        <v>0</v>
      </c>
      <c r="P497" s="578">
        <f t="shared" si="151"/>
        <v>0</v>
      </c>
      <c r="Q497" s="765"/>
      <c r="R497" s="650">
        <f t="shared" si="152"/>
        <v>0</v>
      </c>
      <c r="S497" s="587">
        <f t="shared" si="152"/>
        <v>0</v>
      </c>
      <c r="T497" s="577">
        <f t="shared" si="153"/>
        <v>0</v>
      </c>
      <c r="U497" s="578">
        <f t="shared" si="154"/>
        <v>0</v>
      </c>
      <c r="V497" s="579"/>
      <c r="W497" s="566"/>
      <c r="X497" s="586" t="str">
        <f t="shared" si="155"/>
        <v/>
      </c>
      <c r="Y497" s="586" t="str">
        <f t="shared" si="156"/>
        <v/>
      </c>
      <c r="Z497" s="586" t="str">
        <f t="shared" si="157"/>
        <v/>
      </c>
    </row>
    <row r="498" spans="1:26" ht="23.25" hidden="1" thickBot="1" x14ac:dyDescent="0.25">
      <c r="A498" s="671">
        <v>97120</v>
      </c>
      <c r="B498" s="644">
        <v>97120</v>
      </c>
      <c r="C498" s="645" t="s">
        <v>670</v>
      </c>
      <c r="D498" s="422" t="s">
        <v>1896</v>
      </c>
      <c r="E498" s="423"/>
      <c r="F498" s="424"/>
      <c r="G498" s="425"/>
      <c r="H498" s="663">
        <f t="shared" si="158"/>
        <v>0</v>
      </c>
      <c r="I498" s="420">
        <v>11.08</v>
      </c>
      <c r="J498" s="420">
        <f t="shared" si="149"/>
        <v>11.08</v>
      </c>
      <c r="K498" s="421">
        <f t="shared" si="137"/>
        <v>13.16</v>
      </c>
      <c r="L498" s="647" t="s">
        <v>23</v>
      </c>
      <c r="M498" s="587"/>
      <c r="N498" s="576">
        <f t="shared" si="144"/>
        <v>0</v>
      </c>
      <c r="O498" s="577">
        <f t="shared" si="150"/>
        <v>0</v>
      </c>
      <c r="P498" s="578">
        <f t="shared" si="151"/>
        <v>0</v>
      </c>
      <c r="Q498" s="765"/>
      <c r="R498" s="650">
        <f t="shared" si="152"/>
        <v>0</v>
      </c>
      <c r="S498" s="587">
        <f t="shared" si="152"/>
        <v>0</v>
      </c>
      <c r="T498" s="577">
        <f t="shared" si="153"/>
        <v>0</v>
      </c>
      <c r="U498" s="578">
        <f t="shared" si="154"/>
        <v>0</v>
      </c>
      <c r="V498" s="579"/>
      <c r="W498" s="566"/>
      <c r="X498" s="586" t="str">
        <f t="shared" si="155"/>
        <v/>
      </c>
      <c r="Y498" s="586" t="str">
        <f t="shared" si="156"/>
        <v/>
      </c>
      <c r="Z498" s="586" t="str">
        <f t="shared" si="157"/>
        <v/>
      </c>
    </row>
    <row r="499" spans="1:26" ht="12" hidden="1" thickBot="1" x14ac:dyDescent="0.25">
      <c r="A499" s="671">
        <v>96395</v>
      </c>
      <c r="B499" s="644">
        <v>96395</v>
      </c>
      <c r="C499" s="645" t="s">
        <v>670</v>
      </c>
      <c r="D499" s="422" t="s">
        <v>1897</v>
      </c>
      <c r="E499" s="423"/>
      <c r="F499" s="424"/>
      <c r="G499" s="425"/>
      <c r="H499" s="651">
        <f t="shared" si="158"/>
        <v>0</v>
      </c>
      <c r="I499" s="420">
        <v>230.49</v>
      </c>
      <c r="J499" s="420">
        <f t="shared" si="149"/>
        <v>230.49</v>
      </c>
      <c r="K499" s="421">
        <f t="shared" si="137"/>
        <v>273.85000000000002</v>
      </c>
      <c r="L499" s="647" t="s">
        <v>16</v>
      </c>
      <c r="M499" s="587"/>
      <c r="N499" s="576">
        <f t="shared" si="144"/>
        <v>0</v>
      </c>
      <c r="O499" s="577">
        <f t="shared" si="150"/>
        <v>0</v>
      </c>
      <c r="P499" s="578">
        <f t="shared" si="151"/>
        <v>0</v>
      </c>
      <c r="Q499" s="765"/>
      <c r="R499" s="650">
        <f t="shared" si="152"/>
        <v>0</v>
      </c>
      <c r="S499" s="587">
        <f t="shared" si="152"/>
        <v>0</v>
      </c>
      <c r="T499" s="577">
        <f t="shared" si="153"/>
        <v>0</v>
      </c>
      <c r="U499" s="578">
        <f t="shared" si="154"/>
        <v>0</v>
      </c>
      <c r="V499" s="579"/>
      <c r="W499" s="566"/>
      <c r="X499" s="586" t="str">
        <f t="shared" si="155"/>
        <v/>
      </c>
      <c r="Y499" s="586" t="str">
        <f t="shared" si="156"/>
        <v/>
      </c>
      <c r="Z499" s="586" t="str">
        <f t="shared" si="157"/>
        <v/>
      </c>
    </row>
    <row r="500" spans="1:26" ht="12" hidden="1" thickBot="1" x14ac:dyDescent="0.25">
      <c r="A500" s="671">
        <v>505000</v>
      </c>
      <c r="B500" s="638">
        <v>505000</v>
      </c>
      <c r="C500" s="639" t="s">
        <v>206</v>
      </c>
      <c r="D500" s="445" t="s">
        <v>265</v>
      </c>
      <c r="E500" s="446"/>
      <c r="F500" s="800">
        <v>20</v>
      </c>
      <c r="G500" s="448">
        <v>2.4</v>
      </c>
      <c r="H500" s="663">
        <f t="shared" ref="H500:H501" si="159">IF(F500&lt;=30,(1.07*F500+2.68)*G500,((1.07*30+2.68)+1.07*(F500-30))*G500)</f>
        <v>57.792000000000002</v>
      </c>
      <c r="I500" s="414">
        <v>225.74</v>
      </c>
      <c r="J500" s="414">
        <f>IF(ISBLANK(I500),"",SUM(H500:I500))</f>
        <v>283.53200000000004</v>
      </c>
      <c r="K500" s="415">
        <f t="shared" si="137"/>
        <v>336.86</v>
      </c>
      <c r="L500" s="641" t="s">
        <v>16</v>
      </c>
      <c r="M500" s="576"/>
      <c r="N500" s="576">
        <f t="shared" si="144"/>
        <v>0</v>
      </c>
      <c r="O500" s="642">
        <f t="shared" si="132"/>
        <v>0</v>
      </c>
      <c r="P500" s="659">
        <f t="shared" si="133"/>
        <v>0</v>
      </c>
      <c r="Q500" s="765"/>
      <c r="R500" s="576">
        <f>M500</f>
        <v>0</v>
      </c>
      <c r="S500" s="576">
        <f>N500</f>
        <v>0</v>
      </c>
      <c r="T500" s="642">
        <f t="shared" si="130"/>
        <v>0</v>
      </c>
      <c r="U500" s="659">
        <f t="shared" si="131"/>
        <v>0</v>
      </c>
      <c r="V500" s="579"/>
      <c r="W500" s="566"/>
      <c r="X500" s="586" t="str">
        <f t="shared" si="155"/>
        <v/>
      </c>
      <c r="Y500" s="586" t="str">
        <f t="shared" si="143"/>
        <v/>
      </c>
      <c r="Z500" s="586" t="str">
        <f t="shared" si="147"/>
        <v/>
      </c>
    </row>
    <row r="501" spans="1:26" ht="12" hidden="1" thickBot="1" x14ac:dyDescent="0.25">
      <c r="A501" s="671">
        <v>505100</v>
      </c>
      <c r="B501" s="644">
        <v>505100</v>
      </c>
      <c r="C501" s="645" t="s">
        <v>206</v>
      </c>
      <c r="D501" s="422" t="s">
        <v>266</v>
      </c>
      <c r="E501" s="423"/>
      <c r="F501" s="424">
        <v>20</v>
      </c>
      <c r="G501" s="425">
        <v>2.4</v>
      </c>
      <c r="H501" s="663">
        <f t="shared" si="159"/>
        <v>57.792000000000002</v>
      </c>
      <c r="I501" s="420">
        <v>289.12</v>
      </c>
      <c r="J501" s="420">
        <f>IF(ISBLANK(I501),"",SUM(H501:I501))</f>
        <v>346.91200000000003</v>
      </c>
      <c r="K501" s="421">
        <f t="shared" si="137"/>
        <v>412.17</v>
      </c>
      <c r="L501" s="647" t="s">
        <v>16</v>
      </c>
      <c r="M501" s="587"/>
      <c r="N501" s="576">
        <f t="shared" si="144"/>
        <v>0</v>
      </c>
      <c r="O501" s="577">
        <f t="shared" si="132"/>
        <v>0</v>
      </c>
      <c r="P501" s="578">
        <f t="shared" si="133"/>
        <v>0</v>
      </c>
      <c r="Q501" s="765"/>
      <c r="R501" s="650">
        <f>M501</f>
        <v>0</v>
      </c>
      <c r="S501" s="587">
        <f>N501</f>
        <v>0</v>
      </c>
      <c r="T501" s="577">
        <f t="shared" si="130"/>
        <v>0</v>
      </c>
      <c r="U501" s="578">
        <f t="shared" si="131"/>
        <v>0</v>
      </c>
      <c r="V501" s="579"/>
      <c r="W501" s="566"/>
      <c r="X501" s="586" t="str">
        <f t="shared" si="155"/>
        <v/>
      </c>
      <c r="Y501" s="586" t="str">
        <f t="shared" si="143"/>
        <v/>
      </c>
      <c r="Z501" s="586" t="str">
        <f t="shared" si="147"/>
        <v/>
      </c>
    </row>
    <row r="502" spans="1:26" ht="12" hidden="1" thickBot="1" x14ac:dyDescent="0.25">
      <c r="A502" s="671" t="s">
        <v>187</v>
      </c>
      <c r="B502" s="653" t="s">
        <v>187</v>
      </c>
      <c r="C502" s="654"/>
      <c r="D502" s="427" t="s">
        <v>226</v>
      </c>
      <c r="E502" s="491"/>
      <c r="F502" s="655"/>
      <c r="G502" s="656"/>
      <c r="H502" s="657"/>
      <c r="I502" s="429"/>
      <c r="J502" s="429"/>
      <c r="K502" s="429"/>
      <c r="L502" s="429" t="s">
        <v>614</v>
      </c>
      <c r="M502" s="657"/>
      <c r="N502" s="576">
        <f t="shared" si="144"/>
        <v>0</v>
      </c>
      <c r="O502" s="429">
        <f t="shared" si="132"/>
        <v>0</v>
      </c>
      <c r="P502" s="658">
        <f t="shared" si="133"/>
        <v>0</v>
      </c>
      <c r="Q502" s="765"/>
      <c r="R502" s="657"/>
      <c r="S502" s="429"/>
      <c r="T502" s="429">
        <f t="shared" si="130"/>
        <v>0</v>
      </c>
      <c r="U502" s="658">
        <f t="shared" si="131"/>
        <v>0</v>
      </c>
      <c r="V502" s="579"/>
      <c r="W502" s="637" t="str">
        <f>IF(OR(SUM(P503:P527)&gt;0,SUM(U503:U527)&gt;0),"y","")</f>
        <v/>
      </c>
      <c r="X502" s="586" t="str">
        <f t="shared" si="155"/>
        <v/>
      </c>
      <c r="Y502" s="586" t="str">
        <f t="shared" si="143"/>
        <v/>
      </c>
      <c r="Z502" s="586" t="str">
        <f t="shared" si="147"/>
        <v/>
      </c>
    </row>
    <row r="503" spans="1:26" ht="12" hidden="1" thickBot="1" x14ac:dyDescent="0.25">
      <c r="A503" s="671" t="s">
        <v>187</v>
      </c>
      <c r="B503" s="572" t="s">
        <v>187</v>
      </c>
      <c r="C503" s="573" t="s">
        <v>187</v>
      </c>
      <c r="D503" s="574"/>
      <c r="E503" s="575"/>
      <c r="F503" s="436"/>
      <c r="G503" s="431"/>
      <c r="H503" s="430"/>
      <c r="I503" s="432"/>
      <c r="J503" s="433"/>
      <c r="K503" s="434">
        <f t="shared" ref="K503:K527" si="160">IF(ISBLANK(J503),0,ROUND(J503*(1+$F$10)*(1+$F$11*E503),2))</f>
        <v>0</v>
      </c>
      <c r="L503" s="435" t="s">
        <v>614</v>
      </c>
      <c r="M503" s="587"/>
      <c r="N503" s="576">
        <f t="shared" si="144"/>
        <v>0</v>
      </c>
      <c r="O503" s="577">
        <f t="shared" si="132"/>
        <v>0</v>
      </c>
      <c r="P503" s="578">
        <f t="shared" si="133"/>
        <v>0</v>
      </c>
      <c r="Q503" s="765"/>
      <c r="R503" s="650">
        <f t="shared" ref="R503:S527" si="161">M503</f>
        <v>0</v>
      </c>
      <c r="S503" s="587">
        <f t="shared" si="161"/>
        <v>0</v>
      </c>
      <c r="T503" s="577">
        <f t="shared" si="130"/>
        <v>0</v>
      </c>
      <c r="U503" s="578">
        <f t="shared" si="131"/>
        <v>0</v>
      </c>
      <c r="V503" s="579"/>
      <c r="W503" s="566"/>
      <c r="X503" s="586" t="str">
        <f t="shared" si="155"/>
        <v/>
      </c>
      <c r="Y503" s="586" t="str">
        <f t="shared" si="143"/>
        <v/>
      </c>
      <c r="Z503" s="586" t="str">
        <f t="shared" si="147"/>
        <v/>
      </c>
    </row>
    <row r="504" spans="1:26" ht="12" hidden="1" thickBot="1" x14ac:dyDescent="0.25">
      <c r="A504" s="671" t="s">
        <v>187</v>
      </c>
      <c r="B504" s="572" t="s">
        <v>187</v>
      </c>
      <c r="C504" s="573" t="s">
        <v>187</v>
      </c>
      <c r="D504" s="580"/>
      <c r="E504" s="575"/>
      <c r="F504" s="436"/>
      <c r="G504" s="431"/>
      <c r="H504" s="430"/>
      <c r="I504" s="432"/>
      <c r="J504" s="433"/>
      <c r="K504" s="437">
        <f t="shared" si="160"/>
        <v>0</v>
      </c>
      <c r="L504" s="435" t="s">
        <v>614</v>
      </c>
      <c r="M504" s="576"/>
      <c r="N504" s="576">
        <f t="shared" si="144"/>
        <v>0</v>
      </c>
      <c r="O504" s="577">
        <f t="shared" si="132"/>
        <v>0</v>
      </c>
      <c r="P504" s="578">
        <f t="shared" si="133"/>
        <v>0</v>
      </c>
      <c r="Q504" s="765"/>
      <c r="R504" s="576">
        <f t="shared" si="161"/>
        <v>0</v>
      </c>
      <c r="S504" s="576">
        <f t="shared" si="161"/>
        <v>0</v>
      </c>
      <c r="T504" s="577">
        <f t="shared" si="130"/>
        <v>0</v>
      </c>
      <c r="U504" s="659">
        <f t="shared" si="131"/>
        <v>0</v>
      </c>
      <c r="V504" s="579"/>
      <c r="W504" s="566"/>
      <c r="X504" s="586" t="str">
        <f t="shared" si="155"/>
        <v/>
      </c>
      <c r="Y504" s="586" t="str">
        <f t="shared" si="143"/>
        <v/>
      </c>
      <c r="Z504" s="586" t="str">
        <f t="shared" si="147"/>
        <v/>
      </c>
    </row>
    <row r="505" spans="1:26" ht="12" hidden="1" thickBot="1" x14ac:dyDescent="0.25">
      <c r="A505" s="671" t="s">
        <v>187</v>
      </c>
      <c r="B505" s="572" t="s">
        <v>187</v>
      </c>
      <c r="C505" s="573" t="s">
        <v>187</v>
      </c>
      <c r="D505" s="580"/>
      <c r="E505" s="575"/>
      <c r="F505" s="436"/>
      <c r="G505" s="431"/>
      <c r="H505" s="430"/>
      <c r="I505" s="432"/>
      <c r="J505" s="433"/>
      <c r="K505" s="437">
        <f t="shared" si="160"/>
        <v>0</v>
      </c>
      <c r="L505" s="435" t="s">
        <v>614</v>
      </c>
      <c r="M505" s="576"/>
      <c r="N505" s="576">
        <f t="shared" si="144"/>
        <v>0</v>
      </c>
      <c r="O505" s="577">
        <f t="shared" si="132"/>
        <v>0</v>
      </c>
      <c r="P505" s="578">
        <f t="shared" si="133"/>
        <v>0</v>
      </c>
      <c r="Q505" s="765"/>
      <c r="R505" s="576">
        <f t="shared" si="161"/>
        <v>0</v>
      </c>
      <c r="S505" s="576">
        <f t="shared" si="161"/>
        <v>0</v>
      </c>
      <c r="T505" s="577">
        <f t="shared" si="130"/>
        <v>0</v>
      </c>
      <c r="U505" s="578">
        <f t="shared" si="131"/>
        <v>0</v>
      </c>
      <c r="V505" s="579"/>
      <c r="W505" s="566"/>
      <c r="X505" s="586" t="str">
        <f t="shared" si="155"/>
        <v/>
      </c>
      <c r="Y505" s="586" t="str">
        <f t="shared" si="143"/>
        <v/>
      </c>
      <c r="Z505" s="586" t="str">
        <f t="shared" si="147"/>
        <v/>
      </c>
    </row>
    <row r="506" spans="1:26" ht="12" hidden="1" thickBot="1" x14ac:dyDescent="0.25">
      <c r="A506" s="671" t="s">
        <v>187</v>
      </c>
      <c r="B506" s="572" t="s">
        <v>187</v>
      </c>
      <c r="C506" s="573" t="s">
        <v>187</v>
      </c>
      <c r="D506" s="580"/>
      <c r="E506" s="575"/>
      <c r="F506" s="436"/>
      <c r="G506" s="431"/>
      <c r="H506" s="430"/>
      <c r="I506" s="432"/>
      <c r="J506" s="433"/>
      <c r="K506" s="437">
        <f t="shared" si="160"/>
        <v>0</v>
      </c>
      <c r="L506" s="435" t="s">
        <v>614</v>
      </c>
      <c r="M506" s="576"/>
      <c r="N506" s="576">
        <f t="shared" si="144"/>
        <v>0</v>
      </c>
      <c r="O506" s="577">
        <f t="shared" si="132"/>
        <v>0</v>
      </c>
      <c r="P506" s="578">
        <f t="shared" si="133"/>
        <v>0</v>
      </c>
      <c r="Q506" s="765"/>
      <c r="R506" s="576">
        <f t="shared" si="161"/>
        <v>0</v>
      </c>
      <c r="S506" s="576">
        <f t="shared" si="161"/>
        <v>0</v>
      </c>
      <c r="T506" s="577">
        <f t="shared" si="130"/>
        <v>0</v>
      </c>
      <c r="U506" s="578">
        <f t="shared" si="131"/>
        <v>0</v>
      </c>
      <c r="V506" s="579"/>
      <c r="W506" s="566"/>
      <c r="X506" s="586" t="str">
        <f t="shared" si="155"/>
        <v/>
      </c>
      <c r="Y506" s="586" t="str">
        <f t="shared" si="143"/>
        <v/>
      </c>
      <c r="Z506" s="586" t="str">
        <f t="shared" si="147"/>
        <v/>
      </c>
    </row>
    <row r="507" spans="1:26" ht="12" hidden="1" thickBot="1" x14ac:dyDescent="0.25">
      <c r="A507" s="671" t="s">
        <v>187</v>
      </c>
      <c r="B507" s="572" t="s">
        <v>187</v>
      </c>
      <c r="C507" s="573" t="s">
        <v>187</v>
      </c>
      <c r="D507" s="580"/>
      <c r="E507" s="575"/>
      <c r="F507" s="436"/>
      <c r="G507" s="431"/>
      <c r="H507" s="430"/>
      <c r="I507" s="432"/>
      <c r="J507" s="433"/>
      <c r="K507" s="437">
        <f t="shared" si="160"/>
        <v>0</v>
      </c>
      <c r="L507" s="435" t="s">
        <v>614</v>
      </c>
      <c r="M507" s="576"/>
      <c r="N507" s="576">
        <f t="shared" si="144"/>
        <v>0</v>
      </c>
      <c r="O507" s="577">
        <f t="shared" si="132"/>
        <v>0</v>
      </c>
      <c r="P507" s="578">
        <f t="shared" si="133"/>
        <v>0</v>
      </c>
      <c r="Q507" s="765"/>
      <c r="R507" s="576">
        <f t="shared" si="161"/>
        <v>0</v>
      </c>
      <c r="S507" s="576">
        <f t="shared" si="161"/>
        <v>0</v>
      </c>
      <c r="T507" s="577">
        <f t="shared" si="130"/>
        <v>0</v>
      </c>
      <c r="U507" s="578">
        <f t="shared" si="131"/>
        <v>0</v>
      </c>
      <c r="V507" s="579"/>
      <c r="W507" s="566"/>
      <c r="X507" s="586" t="str">
        <f t="shared" si="155"/>
        <v/>
      </c>
      <c r="Y507" s="586" t="str">
        <f t="shared" si="143"/>
        <v/>
      </c>
      <c r="Z507" s="586" t="str">
        <f t="shared" si="147"/>
        <v/>
      </c>
    </row>
    <row r="508" spans="1:26" ht="12" hidden="1" thickBot="1" x14ac:dyDescent="0.25">
      <c r="A508" s="671" t="s">
        <v>187</v>
      </c>
      <c r="B508" s="572" t="s">
        <v>187</v>
      </c>
      <c r="C508" s="573" t="s">
        <v>187</v>
      </c>
      <c r="D508" s="580"/>
      <c r="E508" s="575"/>
      <c r="F508" s="436"/>
      <c r="G508" s="431"/>
      <c r="H508" s="430"/>
      <c r="I508" s="432"/>
      <c r="J508" s="433"/>
      <c r="K508" s="437">
        <f t="shared" si="160"/>
        <v>0</v>
      </c>
      <c r="L508" s="435" t="s">
        <v>614</v>
      </c>
      <c r="M508" s="576"/>
      <c r="N508" s="576">
        <f t="shared" si="144"/>
        <v>0</v>
      </c>
      <c r="O508" s="577">
        <f t="shared" si="132"/>
        <v>0</v>
      </c>
      <c r="P508" s="578">
        <f t="shared" si="133"/>
        <v>0</v>
      </c>
      <c r="Q508" s="765"/>
      <c r="R508" s="576">
        <f t="shared" si="161"/>
        <v>0</v>
      </c>
      <c r="S508" s="576">
        <f t="shared" si="161"/>
        <v>0</v>
      </c>
      <c r="T508" s="577">
        <f t="shared" si="130"/>
        <v>0</v>
      </c>
      <c r="U508" s="578">
        <f t="shared" si="131"/>
        <v>0</v>
      </c>
      <c r="V508" s="579"/>
      <c r="W508" s="566"/>
      <c r="X508" s="586" t="str">
        <f t="shared" si="155"/>
        <v/>
      </c>
      <c r="Y508" s="586" t="str">
        <f t="shared" si="143"/>
        <v/>
      </c>
      <c r="Z508" s="586" t="str">
        <f t="shared" si="147"/>
        <v/>
      </c>
    </row>
    <row r="509" spans="1:26" ht="12" hidden="1" thickBot="1" x14ac:dyDescent="0.25">
      <c r="A509" s="671" t="s">
        <v>187</v>
      </c>
      <c r="B509" s="572" t="s">
        <v>187</v>
      </c>
      <c r="C509" s="573" t="s">
        <v>187</v>
      </c>
      <c r="D509" s="580"/>
      <c r="E509" s="575"/>
      <c r="F509" s="436"/>
      <c r="G509" s="431"/>
      <c r="H509" s="430"/>
      <c r="I509" s="432"/>
      <c r="J509" s="433"/>
      <c r="K509" s="437">
        <f t="shared" si="160"/>
        <v>0</v>
      </c>
      <c r="L509" s="435" t="s">
        <v>614</v>
      </c>
      <c r="M509" s="576"/>
      <c r="N509" s="576">
        <f t="shared" si="144"/>
        <v>0</v>
      </c>
      <c r="O509" s="577">
        <f t="shared" si="132"/>
        <v>0</v>
      </c>
      <c r="P509" s="578">
        <f t="shared" si="133"/>
        <v>0</v>
      </c>
      <c r="Q509" s="765"/>
      <c r="R509" s="576">
        <f t="shared" si="161"/>
        <v>0</v>
      </c>
      <c r="S509" s="576">
        <f t="shared" si="161"/>
        <v>0</v>
      </c>
      <c r="T509" s="577">
        <f t="shared" si="130"/>
        <v>0</v>
      </c>
      <c r="U509" s="578">
        <f t="shared" si="131"/>
        <v>0</v>
      </c>
      <c r="V509" s="579"/>
      <c r="W509" s="566"/>
      <c r="X509" s="586" t="str">
        <f t="shared" si="155"/>
        <v/>
      </c>
      <c r="Y509" s="586" t="str">
        <f t="shared" si="143"/>
        <v/>
      </c>
      <c r="Z509" s="586" t="str">
        <f t="shared" si="147"/>
        <v/>
      </c>
    </row>
    <row r="510" spans="1:26" ht="12" hidden="1" thickBot="1" x14ac:dyDescent="0.25">
      <c r="A510" s="671" t="s">
        <v>187</v>
      </c>
      <c r="B510" s="572" t="s">
        <v>187</v>
      </c>
      <c r="C510" s="573" t="s">
        <v>187</v>
      </c>
      <c r="D510" s="580"/>
      <c r="E510" s="575"/>
      <c r="F510" s="436"/>
      <c r="G510" s="431"/>
      <c r="H510" s="430"/>
      <c r="I510" s="432"/>
      <c r="J510" s="433"/>
      <c r="K510" s="437">
        <f t="shared" si="160"/>
        <v>0</v>
      </c>
      <c r="L510" s="435" t="s">
        <v>614</v>
      </c>
      <c r="M510" s="576"/>
      <c r="N510" s="576">
        <f t="shared" si="144"/>
        <v>0</v>
      </c>
      <c r="O510" s="577">
        <f t="shared" si="132"/>
        <v>0</v>
      </c>
      <c r="P510" s="578">
        <f t="shared" si="133"/>
        <v>0</v>
      </c>
      <c r="Q510" s="765"/>
      <c r="R510" s="576">
        <f t="shared" si="161"/>
        <v>0</v>
      </c>
      <c r="S510" s="576">
        <f t="shared" si="161"/>
        <v>0</v>
      </c>
      <c r="T510" s="577">
        <f t="shared" si="130"/>
        <v>0</v>
      </c>
      <c r="U510" s="578">
        <f t="shared" si="131"/>
        <v>0</v>
      </c>
      <c r="V510" s="579"/>
      <c r="W510" s="566"/>
      <c r="X510" s="586" t="str">
        <f t="shared" si="155"/>
        <v/>
      </c>
      <c r="Y510" s="586" t="str">
        <f t="shared" si="143"/>
        <v/>
      </c>
      <c r="Z510" s="586" t="str">
        <f t="shared" si="147"/>
        <v/>
      </c>
    </row>
    <row r="511" spans="1:26" ht="12" hidden="1" thickBot="1" x14ac:dyDescent="0.25">
      <c r="A511" s="671" t="s">
        <v>187</v>
      </c>
      <c r="B511" s="572" t="s">
        <v>187</v>
      </c>
      <c r="C511" s="573" t="s">
        <v>187</v>
      </c>
      <c r="D511" s="580"/>
      <c r="E511" s="575"/>
      <c r="F511" s="436"/>
      <c r="G511" s="431"/>
      <c r="H511" s="430"/>
      <c r="I511" s="432"/>
      <c r="J511" s="433"/>
      <c r="K511" s="437">
        <f t="shared" si="160"/>
        <v>0</v>
      </c>
      <c r="L511" s="435" t="s">
        <v>614</v>
      </c>
      <c r="M511" s="576"/>
      <c r="N511" s="576">
        <f t="shared" si="144"/>
        <v>0</v>
      </c>
      <c r="O511" s="577">
        <f t="shared" si="132"/>
        <v>0</v>
      </c>
      <c r="P511" s="578">
        <f t="shared" si="133"/>
        <v>0</v>
      </c>
      <c r="Q511" s="765"/>
      <c r="R511" s="576">
        <f t="shared" si="161"/>
        <v>0</v>
      </c>
      <c r="S511" s="576">
        <f t="shared" si="161"/>
        <v>0</v>
      </c>
      <c r="T511" s="577">
        <f t="shared" si="130"/>
        <v>0</v>
      </c>
      <c r="U511" s="578">
        <f t="shared" si="131"/>
        <v>0</v>
      </c>
      <c r="V511" s="579"/>
      <c r="W511" s="566"/>
      <c r="X511" s="586" t="str">
        <f t="shared" si="155"/>
        <v/>
      </c>
      <c r="Y511" s="586" t="str">
        <f t="shared" si="143"/>
        <v/>
      </c>
      <c r="Z511" s="586" t="str">
        <f t="shared" si="147"/>
        <v/>
      </c>
    </row>
    <row r="512" spans="1:26" ht="12" hidden="1" thickBot="1" x14ac:dyDescent="0.25">
      <c r="A512" s="671" t="s">
        <v>187</v>
      </c>
      <c r="B512" s="572" t="s">
        <v>187</v>
      </c>
      <c r="C512" s="573" t="s">
        <v>187</v>
      </c>
      <c r="D512" s="580"/>
      <c r="E512" s="575"/>
      <c r="F512" s="436"/>
      <c r="G512" s="431"/>
      <c r="H512" s="430"/>
      <c r="I512" s="432"/>
      <c r="J512" s="433"/>
      <c r="K512" s="437">
        <f t="shared" si="160"/>
        <v>0</v>
      </c>
      <c r="L512" s="435" t="s">
        <v>614</v>
      </c>
      <c r="M512" s="576"/>
      <c r="N512" s="576">
        <f t="shared" si="144"/>
        <v>0</v>
      </c>
      <c r="O512" s="577">
        <f t="shared" si="132"/>
        <v>0</v>
      </c>
      <c r="P512" s="578">
        <f t="shared" si="133"/>
        <v>0</v>
      </c>
      <c r="Q512" s="765"/>
      <c r="R512" s="576">
        <f t="shared" si="161"/>
        <v>0</v>
      </c>
      <c r="S512" s="576">
        <f t="shared" si="161"/>
        <v>0</v>
      </c>
      <c r="T512" s="577">
        <f t="shared" si="130"/>
        <v>0</v>
      </c>
      <c r="U512" s="578">
        <f t="shared" si="131"/>
        <v>0</v>
      </c>
      <c r="V512" s="579"/>
      <c r="W512" s="566"/>
      <c r="X512" s="586" t="str">
        <f t="shared" si="155"/>
        <v/>
      </c>
      <c r="Y512" s="586" t="str">
        <f t="shared" si="143"/>
        <v/>
      </c>
      <c r="Z512" s="586" t="str">
        <f t="shared" si="147"/>
        <v/>
      </c>
    </row>
    <row r="513" spans="1:26" ht="12" hidden="1" thickBot="1" x14ac:dyDescent="0.25">
      <c r="A513" s="671" t="s">
        <v>187</v>
      </c>
      <c r="B513" s="572" t="s">
        <v>187</v>
      </c>
      <c r="C513" s="573" t="s">
        <v>187</v>
      </c>
      <c r="D513" s="580"/>
      <c r="E513" s="575"/>
      <c r="F513" s="436"/>
      <c r="G513" s="431"/>
      <c r="H513" s="430"/>
      <c r="I513" s="432"/>
      <c r="J513" s="433"/>
      <c r="K513" s="437">
        <f t="shared" si="160"/>
        <v>0</v>
      </c>
      <c r="L513" s="435" t="s">
        <v>614</v>
      </c>
      <c r="M513" s="576"/>
      <c r="N513" s="576">
        <f t="shared" si="144"/>
        <v>0</v>
      </c>
      <c r="O513" s="577">
        <f t="shared" si="132"/>
        <v>0</v>
      </c>
      <c r="P513" s="578">
        <f t="shared" si="133"/>
        <v>0</v>
      </c>
      <c r="Q513" s="765"/>
      <c r="R513" s="576">
        <f t="shared" si="161"/>
        <v>0</v>
      </c>
      <c r="S513" s="576">
        <f t="shared" si="161"/>
        <v>0</v>
      </c>
      <c r="T513" s="577">
        <f t="shared" si="130"/>
        <v>0</v>
      </c>
      <c r="U513" s="578">
        <f t="shared" si="131"/>
        <v>0</v>
      </c>
      <c r="V513" s="579"/>
      <c r="W513" s="566"/>
      <c r="X513" s="586" t="str">
        <f t="shared" si="155"/>
        <v/>
      </c>
      <c r="Y513" s="586" t="str">
        <f t="shared" si="143"/>
        <v/>
      </c>
      <c r="Z513" s="586" t="str">
        <f t="shared" si="147"/>
        <v/>
      </c>
    </row>
    <row r="514" spans="1:26" ht="12" hidden="1" thickBot="1" x14ac:dyDescent="0.25">
      <c r="A514" s="671" t="s">
        <v>187</v>
      </c>
      <c r="B514" s="572" t="s">
        <v>187</v>
      </c>
      <c r="C514" s="573" t="s">
        <v>187</v>
      </c>
      <c r="D514" s="580"/>
      <c r="E514" s="575"/>
      <c r="F514" s="436"/>
      <c r="G514" s="431"/>
      <c r="H514" s="430"/>
      <c r="I514" s="432"/>
      <c r="J514" s="433"/>
      <c r="K514" s="437">
        <f t="shared" si="160"/>
        <v>0</v>
      </c>
      <c r="L514" s="435" t="s">
        <v>614</v>
      </c>
      <c r="M514" s="576"/>
      <c r="N514" s="576">
        <f t="shared" si="144"/>
        <v>0</v>
      </c>
      <c r="O514" s="577">
        <f t="shared" si="132"/>
        <v>0</v>
      </c>
      <c r="P514" s="578">
        <f t="shared" si="133"/>
        <v>0</v>
      </c>
      <c r="Q514" s="765"/>
      <c r="R514" s="576">
        <f t="shared" si="161"/>
        <v>0</v>
      </c>
      <c r="S514" s="576">
        <f t="shared" si="161"/>
        <v>0</v>
      </c>
      <c r="T514" s="577">
        <f t="shared" si="130"/>
        <v>0</v>
      </c>
      <c r="U514" s="578">
        <f t="shared" si="131"/>
        <v>0</v>
      </c>
      <c r="V514" s="579"/>
      <c r="W514" s="566"/>
      <c r="X514" s="586" t="str">
        <f t="shared" si="155"/>
        <v/>
      </c>
      <c r="Y514" s="586" t="str">
        <f t="shared" si="143"/>
        <v/>
      </c>
      <c r="Z514" s="586" t="str">
        <f t="shared" si="147"/>
        <v/>
      </c>
    </row>
    <row r="515" spans="1:26" ht="12" hidden="1" thickBot="1" x14ac:dyDescent="0.25">
      <c r="A515" s="671" t="s">
        <v>187</v>
      </c>
      <c r="B515" s="572" t="s">
        <v>187</v>
      </c>
      <c r="C515" s="573" t="s">
        <v>187</v>
      </c>
      <c r="D515" s="580"/>
      <c r="E515" s="575"/>
      <c r="F515" s="436"/>
      <c r="G515" s="431"/>
      <c r="H515" s="430"/>
      <c r="I515" s="432"/>
      <c r="J515" s="433"/>
      <c r="K515" s="437">
        <f t="shared" si="160"/>
        <v>0</v>
      </c>
      <c r="L515" s="435" t="s">
        <v>614</v>
      </c>
      <c r="M515" s="576"/>
      <c r="N515" s="576">
        <f t="shared" si="144"/>
        <v>0</v>
      </c>
      <c r="O515" s="577">
        <f t="shared" si="132"/>
        <v>0</v>
      </c>
      <c r="P515" s="578">
        <f t="shared" si="133"/>
        <v>0</v>
      </c>
      <c r="Q515" s="765"/>
      <c r="R515" s="576">
        <f t="shared" si="161"/>
        <v>0</v>
      </c>
      <c r="S515" s="576">
        <f t="shared" si="161"/>
        <v>0</v>
      </c>
      <c r="T515" s="577">
        <f t="shared" si="130"/>
        <v>0</v>
      </c>
      <c r="U515" s="578">
        <f t="shared" si="131"/>
        <v>0</v>
      </c>
      <c r="V515" s="579"/>
      <c r="W515" s="566"/>
      <c r="X515" s="586" t="str">
        <f t="shared" si="155"/>
        <v/>
      </c>
      <c r="Y515" s="586" t="str">
        <f t="shared" si="143"/>
        <v/>
      </c>
      <c r="Z515" s="586" t="str">
        <f t="shared" si="147"/>
        <v/>
      </c>
    </row>
    <row r="516" spans="1:26" ht="12" hidden="1" thickBot="1" x14ac:dyDescent="0.25">
      <c r="A516" s="671" t="s">
        <v>187</v>
      </c>
      <c r="B516" s="572" t="s">
        <v>187</v>
      </c>
      <c r="C516" s="573" t="s">
        <v>187</v>
      </c>
      <c r="D516" s="580"/>
      <c r="E516" s="575"/>
      <c r="F516" s="436"/>
      <c r="G516" s="431"/>
      <c r="H516" s="430"/>
      <c r="I516" s="432"/>
      <c r="J516" s="433"/>
      <c r="K516" s="437">
        <f t="shared" si="160"/>
        <v>0</v>
      </c>
      <c r="L516" s="435" t="s">
        <v>614</v>
      </c>
      <c r="M516" s="576"/>
      <c r="N516" s="576">
        <f t="shared" si="144"/>
        <v>0</v>
      </c>
      <c r="O516" s="577">
        <f t="shared" si="132"/>
        <v>0</v>
      </c>
      <c r="P516" s="578">
        <f t="shared" si="133"/>
        <v>0</v>
      </c>
      <c r="Q516" s="765"/>
      <c r="R516" s="576">
        <f t="shared" si="161"/>
        <v>0</v>
      </c>
      <c r="S516" s="576">
        <f t="shared" si="161"/>
        <v>0</v>
      </c>
      <c r="T516" s="577">
        <f t="shared" si="130"/>
        <v>0</v>
      </c>
      <c r="U516" s="578">
        <f t="shared" si="131"/>
        <v>0</v>
      </c>
      <c r="V516" s="579"/>
      <c r="W516" s="566"/>
      <c r="X516" s="586" t="str">
        <f t="shared" si="155"/>
        <v/>
      </c>
      <c r="Y516" s="586" t="str">
        <f t="shared" si="143"/>
        <v/>
      </c>
      <c r="Z516" s="586" t="str">
        <f t="shared" si="147"/>
        <v/>
      </c>
    </row>
    <row r="517" spans="1:26" ht="12" hidden="1" thickBot="1" x14ac:dyDescent="0.25">
      <c r="A517" s="671" t="s">
        <v>187</v>
      </c>
      <c r="B517" s="572" t="s">
        <v>187</v>
      </c>
      <c r="C517" s="573" t="s">
        <v>187</v>
      </c>
      <c r="D517" s="580"/>
      <c r="E517" s="575"/>
      <c r="F517" s="436"/>
      <c r="G517" s="431"/>
      <c r="H517" s="430"/>
      <c r="I517" s="432"/>
      <c r="J517" s="433"/>
      <c r="K517" s="437">
        <f t="shared" si="160"/>
        <v>0</v>
      </c>
      <c r="L517" s="435" t="s">
        <v>614</v>
      </c>
      <c r="M517" s="576"/>
      <c r="N517" s="576">
        <f t="shared" si="144"/>
        <v>0</v>
      </c>
      <c r="O517" s="577">
        <f t="shared" si="132"/>
        <v>0</v>
      </c>
      <c r="P517" s="578">
        <f t="shared" si="133"/>
        <v>0</v>
      </c>
      <c r="Q517" s="765"/>
      <c r="R517" s="576">
        <f t="shared" si="161"/>
        <v>0</v>
      </c>
      <c r="S517" s="576">
        <f t="shared" si="161"/>
        <v>0</v>
      </c>
      <c r="T517" s="577">
        <f t="shared" si="130"/>
        <v>0</v>
      </c>
      <c r="U517" s="578">
        <f t="shared" si="131"/>
        <v>0</v>
      </c>
      <c r="V517" s="579"/>
      <c r="W517" s="566"/>
      <c r="X517" s="586" t="str">
        <f t="shared" si="155"/>
        <v/>
      </c>
      <c r="Y517" s="586" t="str">
        <f t="shared" si="143"/>
        <v/>
      </c>
      <c r="Z517" s="586" t="str">
        <f t="shared" si="147"/>
        <v/>
      </c>
    </row>
    <row r="518" spans="1:26" ht="12" hidden="1" thickBot="1" x14ac:dyDescent="0.25">
      <c r="A518" s="671" t="s">
        <v>187</v>
      </c>
      <c r="B518" s="572" t="s">
        <v>187</v>
      </c>
      <c r="C518" s="573" t="s">
        <v>187</v>
      </c>
      <c r="D518" s="580"/>
      <c r="E518" s="575"/>
      <c r="F518" s="436"/>
      <c r="G518" s="431"/>
      <c r="H518" s="430"/>
      <c r="I518" s="432"/>
      <c r="J518" s="433"/>
      <c r="K518" s="437">
        <f t="shared" si="160"/>
        <v>0</v>
      </c>
      <c r="L518" s="435" t="s">
        <v>614</v>
      </c>
      <c r="M518" s="576"/>
      <c r="N518" s="576">
        <f t="shared" si="144"/>
        <v>0</v>
      </c>
      <c r="O518" s="577">
        <f t="shared" si="132"/>
        <v>0</v>
      </c>
      <c r="P518" s="578">
        <f t="shared" si="133"/>
        <v>0</v>
      </c>
      <c r="Q518" s="765"/>
      <c r="R518" s="576">
        <f t="shared" si="161"/>
        <v>0</v>
      </c>
      <c r="S518" s="576">
        <f t="shared" si="161"/>
        <v>0</v>
      </c>
      <c r="T518" s="577">
        <f t="shared" si="130"/>
        <v>0</v>
      </c>
      <c r="U518" s="578">
        <f t="shared" si="131"/>
        <v>0</v>
      </c>
      <c r="V518" s="579"/>
      <c r="W518" s="566"/>
      <c r="X518" s="586" t="str">
        <f t="shared" si="155"/>
        <v/>
      </c>
      <c r="Y518" s="586" t="str">
        <f t="shared" si="143"/>
        <v/>
      </c>
      <c r="Z518" s="586" t="str">
        <f t="shared" si="147"/>
        <v/>
      </c>
    </row>
    <row r="519" spans="1:26" ht="12" hidden="1" thickBot="1" x14ac:dyDescent="0.25">
      <c r="A519" s="671" t="s">
        <v>187</v>
      </c>
      <c r="B519" s="572" t="s">
        <v>187</v>
      </c>
      <c r="C519" s="573" t="s">
        <v>187</v>
      </c>
      <c r="D519" s="580"/>
      <c r="E519" s="575"/>
      <c r="F519" s="436"/>
      <c r="G519" s="431"/>
      <c r="H519" s="430"/>
      <c r="I519" s="432"/>
      <c r="J519" s="433"/>
      <c r="K519" s="437">
        <f t="shared" si="160"/>
        <v>0</v>
      </c>
      <c r="L519" s="435" t="s">
        <v>614</v>
      </c>
      <c r="M519" s="576"/>
      <c r="N519" s="576">
        <f t="shared" si="144"/>
        <v>0</v>
      </c>
      <c r="O519" s="577">
        <f t="shared" si="132"/>
        <v>0</v>
      </c>
      <c r="P519" s="578">
        <f t="shared" si="133"/>
        <v>0</v>
      </c>
      <c r="Q519" s="765"/>
      <c r="R519" s="576">
        <f t="shared" si="161"/>
        <v>0</v>
      </c>
      <c r="S519" s="576">
        <f t="shared" si="161"/>
        <v>0</v>
      </c>
      <c r="T519" s="577">
        <f t="shared" si="130"/>
        <v>0</v>
      </c>
      <c r="U519" s="578">
        <f t="shared" si="131"/>
        <v>0</v>
      </c>
      <c r="V519" s="579"/>
      <c r="W519" s="566"/>
      <c r="X519" s="586" t="str">
        <f t="shared" si="155"/>
        <v/>
      </c>
      <c r="Y519" s="586" t="str">
        <f t="shared" si="143"/>
        <v/>
      </c>
      <c r="Z519" s="586" t="str">
        <f t="shared" si="147"/>
        <v/>
      </c>
    </row>
    <row r="520" spans="1:26" ht="12" hidden="1" thickBot="1" x14ac:dyDescent="0.25">
      <c r="A520" s="671" t="s">
        <v>187</v>
      </c>
      <c r="B520" s="572" t="s">
        <v>187</v>
      </c>
      <c r="C520" s="573" t="s">
        <v>187</v>
      </c>
      <c r="D520" s="580"/>
      <c r="E520" s="575"/>
      <c r="F520" s="436"/>
      <c r="G520" s="431"/>
      <c r="H520" s="430"/>
      <c r="I520" s="432"/>
      <c r="J520" s="433"/>
      <c r="K520" s="437">
        <f t="shared" si="160"/>
        <v>0</v>
      </c>
      <c r="L520" s="435" t="s">
        <v>614</v>
      </c>
      <c r="M520" s="576"/>
      <c r="N520" s="576">
        <f t="shared" si="144"/>
        <v>0</v>
      </c>
      <c r="O520" s="577">
        <f t="shared" si="132"/>
        <v>0</v>
      </c>
      <c r="P520" s="578">
        <f t="shared" si="133"/>
        <v>0</v>
      </c>
      <c r="Q520" s="765"/>
      <c r="R520" s="576">
        <f t="shared" si="161"/>
        <v>0</v>
      </c>
      <c r="S520" s="576">
        <f t="shared" si="161"/>
        <v>0</v>
      </c>
      <c r="T520" s="577">
        <f t="shared" si="130"/>
        <v>0</v>
      </c>
      <c r="U520" s="578">
        <f t="shared" si="131"/>
        <v>0</v>
      </c>
      <c r="V520" s="579"/>
      <c r="W520" s="566"/>
      <c r="X520" s="586" t="str">
        <f t="shared" si="155"/>
        <v/>
      </c>
      <c r="Y520" s="586" t="str">
        <f t="shared" si="143"/>
        <v/>
      </c>
      <c r="Z520" s="586" t="str">
        <f t="shared" si="147"/>
        <v/>
      </c>
    </row>
    <row r="521" spans="1:26" ht="12" hidden="1" thickBot="1" x14ac:dyDescent="0.25">
      <c r="A521" s="671" t="s">
        <v>187</v>
      </c>
      <c r="B521" s="572" t="s">
        <v>187</v>
      </c>
      <c r="C521" s="573" t="s">
        <v>187</v>
      </c>
      <c r="D521" s="580"/>
      <c r="E521" s="575"/>
      <c r="F521" s="436"/>
      <c r="G521" s="431"/>
      <c r="H521" s="430"/>
      <c r="I521" s="432"/>
      <c r="J521" s="433"/>
      <c r="K521" s="437">
        <f t="shared" si="160"/>
        <v>0</v>
      </c>
      <c r="L521" s="435" t="s">
        <v>614</v>
      </c>
      <c r="M521" s="576"/>
      <c r="N521" s="576">
        <f t="shared" si="144"/>
        <v>0</v>
      </c>
      <c r="O521" s="577">
        <f t="shared" si="132"/>
        <v>0</v>
      </c>
      <c r="P521" s="578">
        <f t="shared" si="133"/>
        <v>0</v>
      </c>
      <c r="Q521" s="765"/>
      <c r="R521" s="576">
        <f t="shared" si="161"/>
        <v>0</v>
      </c>
      <c r="S521" s="576">
        <f t="shared" si="161"/>
        <v>0</v>
      </c>
      <c r="T521" s="577">
        <f t="shared" si="130"/>
        <v>0</v>
      </c>
      <c r="U521" s="578">
        <f t="shared" si="131"/>
        <v>0</v>
      </c>
      <c r="V521" s="579"/>
      <c r="W521" s="566"/>
      <c r="X521" s="586" t="str">
        <f t="shared" si="155"/>
        <v/>
      </c>
      <c r="Y521" s="586" t="str">
        <f t="shared" si="143"/>
        <v/>
      </c>
      <c r="Z521" s="586" t="str">
        <f t="shared" si="147"/>
        <v/>
      </c>
    </row>
    <row r="522" spans="1:26" ht="12" hidden="1" thickBot="1" x14ac:dyDescent="0.25">
      <c r="A522" s="671" t="s">
        <v>187</v>
      </c>
      <c r="B522" s="572" t="s">
        <v>187</v>
      </c>
      <c r="C522" s="573" t="s">
        <v>187</v>
      </c>
      <c r="D522" s="580"/>
      <c r="E522" s="575"/>
      <c r="F522" s="436"/>
      <c r="G522" s="431"/>
      <c r="H522" s="430"/>
      <c r="I522" s="432"/>
      <c r="J522" s="433"/>
      <c r="K522" s="437">
        <f t="shared" si="160"/>
        <v>0</v>
      </c>
      <c r="L522" s="435" t="s">
        <v>614</v>
      </c>
      <c r="M522" s="576"/>
      <c r="N522" s="576">
        <f t="shared" si="144"/>
        <v>0</v>
      </c>
      <c r="O522" s="577">
        <f t="shared" si="132"/>
        <v>0</v>
      </c>
      <c r="P522" s="578">
        <f t="shared" si="133"/>
        <v>0</v>
      </c>
      <c r="Q522" s="765"/>
      <c r="R522" s="576">
        <f t="shared" si="161"/>
        <v>0</v>
      </c>
      <c r="S522" s="576">
        <f t="shared" si="161"/>
        <v>0</v>
      </c>
      <c r="T522" s="577">
        <f t="shared" si="130"/>
        <v>0</v>
      </c>
      <c r="U522" s="578">
        <f t="shared" si="131"/>
        <v>0</v>
      </c>
      <c r="V522" s="579"/>
      <c r="W522" s="566"/>
      <c r="X522" s="586" t="str">
        <f t="shared" si="155"/>
        <v/>
      </c>
      <c r="Y522" s="586" t="str">
        <f t="shared" si="143"/>
        <v/>
      </c>
      <c r="Z522" s="586" t="str">
        <f t="shared" si="147"/>
        <v/>
      </c>
    </row>
    <row r="523" spans="1:26" ht="12" hidden="1" thickBot="1" x14ac:dyDescent="0.25">
      <c r="A523" s="671" t="s">
        <v>187</v>
      </c>
      <c r="B523" s="572" t="s">
        <v>187</v>
      </c>
      <c r="C523" s="573" t="s">
        <v>187</v>
      </c>
      <c r="D523" s="580"/>
      <c r="E523" s="575"/>
      <c r="F523" s="436"/>
      <c r="G523" s="431"/>
      <c r="H523" s="430"/>
      <c r="I523" s="432"/>
      <c r="J523" s="433"/>
      <c r="K523" s="437">
        <f t="shared" si="160"/>
        <v>0</v>
      </c>
      <c r="L523" s="435" t="s">
        <v>614</v>
      </c>
      <c r="M523" s="576"/>
      <c r="N523" s="576">
        <f t="shared" si="144"/>
        <v>0</v>
      </c>
      <c r="O523" s="577">
        <f t="shared" si="132"/>
        <v>0</v>
      </c>
      <c r="P523" s="578">
        <f t="shared" si="133"/>
        <v>0</v>
      </c>
      <c r="Q523" s="765"/>
      <c r="R523" s="576">
        <f t="shared" si="161"/>
        <v>0</v>
      </c>
      <c r="S523" s="576">
        <f t="shared" si="161"/>
        <v>0</v>
      </c>
      <c r="T523" s="577">
        <f t="shared" si="130"/>
        <v>0</v>
      </c>
      <c r="U523" s="578">
        <f t="shared" si="131"/>
        <v>0</v>
      </c>
      <c r="V523" s="579"/>
      <c r="W523" s="566"/>
      <c r="X523" s="586" t="str">
        <f t="shared" si="155"/>
        <v/>
      </c>
      <c r="Y523" s="586" t="str">
        <f t="shared" si="143"/>
        <v/>
      </c>
      <c r="Z523" s="586" t="str">
        <f t="shared" si="147"/>
        <v/>
      </c>
    </row>
    <row r="524" spans="1:26" ht="12" hidden="1" thickBot="1" x14ac:dyDescent="0.25">
      <c r="A524" s="671" t="s">
        <v>187</v>
      </c>
      <c r="B524" s="572" t="s">
        <v>187</v>
      </c>
      <c r="C524" s="573" t="s">
        <v>187</v>
      </c>
      <c r="D524" s="580"/>
      <c r="E524" s="575"/>
      <c r="F524" s="436"/>
      <c r="G524" s="431"/>
      <c r="H524" s="430"/>
      <c r="I524" s="432"/>
      <c r="J524" s="433"/>
      <c r="K524" s="437">
        <f t="shared" si="160"/>
        <v>0</v>
      </c>
      <c r="L524" s="435" t="s">
        <v>614</v>
      </c>
      <c r="M524" s="576"/>
      <c r="N524" s="576">
        <f t="shared" si="144"/>
        <v>0</v>
      </c>
      <c r="O524" s="577">
        <f t="shared" si="132"/>
        <v>0</v>
      </c>
      <c r="P524" s="578">
        <f t="shared" si="133"/>
        <v>0</v>
      </c>
      <c r="Q524" s="765"/>
      <c r="R524" s="576">
        <f t="shared" si="161"/>
        <v>0</v>
      </c>
      <c r="S524" s="576">
        <f t="shared" si="161"/>
        <v>0</v>
      </c>
      <c r="T524" s="577">
        <f t="shared" si="130"/>
        <v>0</v>
      </c>
      <c r="U524" s="578">
        <f t="shared" si="131"/>
        <v>0</v>
      </c>
      <c r="V524" s="579"/>
      <c r="W524" s="566"/>
      <c r="X524" s="586" t="str">
        <f t="shared" si="155"/>
        <v/>
      </c>
      <c r="Y524" s="586" t="str">
        <f t="shared" si="143"/>
        <v/>
      </c>
      <c r="Z524" s="586" t="str">
        <f t="shared" si="147"/>
        <v/>
      </c>
    </row>
    <row r="525" spans="1:26" ht="12" hidden="1" thickBot="1" x14ac:dyDescent="0.25">
      <c r="A525" s="671" t="s">
        <v>187</v>
      </c>
      <c r="B525" s="572" t="s">
        <v>187</v>
      </c>
      <c r="C525" s="573" t="s">
        <v>187</v>
      </c>
      <c r="D525" s="580"/>
      <c r="E525" s="575"/>
      <c r="F525" s="436"/>
      <c r="G525" s="431"/>
      <c r="H525" s="430"/>
      <c r="I525" s="432"/>
      <c r="J525" s="433"/>
      <c r="K525" s="437">
        <f t="shared" si="160"/>
        <v>0</v>
      </c>
      <c r="L525" s="435" t="s">
        <v>614</v>
      </c>
      <c r="M525" s="576"/>
      <c r="N525" s="576">
        <f t="shared" si="144"/>
        <v>0</v>
      </c>
      <c r="O525" s="577">
        <f t="shared" si="132"/>
        <v>0</v>
      </c>
      <c r="P525" s="578">
        <f t="shared" si="133"/>
        <v>0</v>
      </c>
      <c r="Q525" s="765"/>
      <c r="R525" s="576">
        <f t="shared" si="161"/>
        <v>0</v>
      </c>
      <c r="S525" s="576">
        <f t="shared" si="161"/>
        <v>0</v>
      </c>
      <c r="T525" s="577">
        <f t="shared" si="130"/>
        <v>0</v>
      </c>
      <c r="U525" s="578">
        <f t="shared" si="131"/>
        <v>0</v>
      </c>
      <c r="V525" s="579"/>
      <c r="W525" s="566"/>
      <c r="X525" s="586" t="str">
        <f t="shared" si="155"/>
        <v/>
      </c>
      <c r="Y525" s="586" t="str">
        <f t="shared" si="143"/>
        <v/>
      </c>
      <c r="Z525" s="586" t="str">
        <f t="shared" si="147"/>
        <v/>
      </c>
    </row>
    <row r="526" spans="1:26" ht="12" hidden="1" thickBot="1" x14ac:dyDescent="0.25">
      <c r="A526" s="671" t="s">
        <v>187</v>
      </c>
      <c r="B526" s="572" t="s">
        <v>187</v>
      </c>
      <c r="C526" s="573" t="s">
        <v>187</v>
      </c>
      <c r="D526" s="580"/>
      <c r="E526" s="575"/>
      <c r="F526" s="436"/>
      <c r="G526" s="431"/>
      <c r="H526" s="430"/>
      <c r="I526" s="432"/>
      <c r="J526" s="433"/>
      <c r="K526" s="437">
        <f t="shared" si="160"/>
        <v>0</v>
      </c>
      <c r="L526" s="435" t="s">
        <v>614</v>
      </c>
      <c r="M526" s="576"/>
      <c r="N526" s="576">
        <f t="shared" si="144"/>
        <v>0</v>
      </c>
      <c r="O526" s="577">
        <f t="shared" si="132"/>
        <v>0</v>
      </c>
      <c r="P526" s="578">
        <f t="shared" si="133"/>
        <v>0</v>
      </c>
      <c r="Q526" s="765"/>
      <c r="R526" s="576">
        <f t="shared" si="161"/>
        <v>0</v>
      </c>
      <c r="S526" s="576">
        <f t="shared" si="161"/>
        <v>0</v>
      </c>
      <c r="T526" s="577">
        <f t="shared" si="130"/>
        <v>0</v>
      </c>
      <c r="U526" s="578">
        <f t="shared" si="131"/>
        <v>0</v>
      </c>
      <c r="V526" s="579"/>
      <c r="W526" s="566"/>
      <c r="X526" s="586" t="str">
        <f t="shared" si="155"/>
        <v/>
      </c>
      <c r="Y526" s="586" t="str">
        <f t="shared" si="143"/>
        <v/>
      </c>
      <c r="Z526" s="586" t="str">
        <f t="shared" si="147"/>
        <v/>
      </c>
    </row>
    <row r="527" spans="1:26" ht="12" hidden="1" thickBot="1" x14ac:dyDescent="0.25">
      <c r="A527" s="671" t="s">
        <v>187</v>
      </c>
      <c r="B527" s="581" t="s">
        <v>187</v>
      </c>
      <c r="C527" s="582" t="s">
        <v>187</v>
      </c>
      <c r="D527" s="583"/>
      <c r="E527" s="584"/>
      <c r="F527" s="438"/>
      <c r="G527" s="439"/>
      <c r="H527" s="440"/>
      <c r="I527" s="441"/>
      <c r="J527" s="442"/>
      <c r="K527" s="443">
        <f t="shared" si="160"/>
        <v>0</v>
      </c>
      <c r="L527" s="444" t="s">
        <v>614</v>
      </c>
      <c r="M527" s="576"/>
      <c r="N527" s="576">
        <f t="shared" si="144"/>
        <v>0</v>
      </c>
      <c r="O527" s="585">
        <f t="shared" si="132"/>
        <v>0</v>
      </c>
      <c r="P527" s="660">
        <f t="shared" si="133"/>
        <v>0</v>
      </c>
      <c r="Q527" s="765"/>
      <c r="R527" s="576">
        <f t="shared" si="161"/>
        <v>0</v>
      </c>
      <c r="S527" s="576">
        <f t="shared" si="161"/>
        <v>0</v>
      </c>
      <c r="T527" s="585">
        <f t="shared" si="130"/>
        <v>0</v>
      </c>
      <c r="U527" s="660">
        <f t="shared" si="131"/>
        <v>0</v>
      </c>
      <c r="V527" s="579"/>
      <c r="W527" s="566"/>
      <c r="X527" s="586" t="str">
        <f t="shared" si="155"/>
        <v/>
      </c>
      <c r="Y527" s="586" t="str">
        <f t="shared" si="143"/>
        <v/>
      </c>
      <c r="Z527" s="586" t="str">
        <f t="shared" si="147"/>
        <v/>
      </c>
    </row>
    <row r="528" spans="1:26" ht="12" hidden="1" thickBot="1" x14ac:dyDescent="0.25">
      <c r="A528" s="671" t="s">
        <v>188</v>
      </c>
      <c r="B528" s="664" t="s">
        <v>188</v>
      </c>
      <c r="C528" s="665"/>
      <c r="D528" s="666" t="s">
        <v>461</v>
      </c>
      <c r="E528" s="631"/>
      <c r="F528" s="632"/>
      <c r="G528" s="633"/>
      <c r="H528" s="634"/>
      <c r="I528" s="409"/>
      <c r="J528" s="409"/>
      <c r="K528" s="409"/>
      <c r="L528" s="409" t="s">
        <v>614</v>
      </c>
      <c r="M528" s="634"/>
      <c r="N528" s="797"/>
      <c r="O528" s="409">
        <f t="shared" si="132"/>
        <v>0</v>
      </c>
      <c r="P528" s="635">
        <f t="shared" si="133"/>
        <v>0</v>
      </c>
      <c r="Q528" s="635">
        <f>SUM(P529:P582)</f>
        <v>0</v>
      </c>
      <c r="R528" s="634"/>
      <c r="S528" s="409"/>
      <c r="T528" s="409">
        <f t="shared" si="130"/>
        <v>0</v>
      </c>
      <c r="U528" s="635">
        <f t="shared" si="131"/>
        <v>0</v>
      </c>
      <c r="V528" s="636">
        <f>SUM(U529:U582)</f>
        <v>0</v>
      </c>
      <c r="W528" s="637" t="str">
        <f>IF(OR(Q528&gt;0,V528&gt;0),"X","")</f>
        <v/>
      </c>
      <c r="X528" s="586" t="str">
        <f t="shared" si="155"/>
        <v/>
      </c>
      <c r="Y528" s="586" t="str">
        <f t="shared" si="143"/>
        <v/>
      </c>
      <c r="Z528" s="586" t="str">
        <f t="shared" si="147"/>
        <v/>
      </c>
    </row>
    <row r="529" spans="1:26" ht="12" hidden="1" thickBot="1" x14ac:dyDescent="0.25">
      <c r="A529" s="567" t="s">
        <v>816</v>
      </c>
      <c r="B529" s="454" t="s">
        <v>816</v>
      </c>
      <c r="C529" s="645" t="s">
        <v>484</v>
      </c>
      <c r="D529" s="422" t="s">
        <v>817</v>
      </c>
      <c r="E529" s="423"/>
      <c r="F529" s="424"/>
      <c r="G529" s="425"/>
      <c r="H529" s="651"/>
      <c r="I529" s="420">
        <v>12.4</v>
      </c>
      <c r="J529" s="420">
        <f>IF(ISBLANK(I529),"",SUM(H529:I529))</f>
        <v>12.4</v>
      </c>
      <c r="K529" s="421">
        <f t="shared" ref="K529:K556" si="162">IF(ISBLANK(I529),0,ROUND(J529*(1+$F$10)*(1+$F$11*E529),2))</f>
        <v>14.73</v>
      </c>
      <c r="L529" s="647" t="s">
        <v>19</v>
      </c>
      <c r="M529" s="576"/>
      <c r="N529" s="576">
        <f t="shared" si="144"/>
        <v>0</v>
      </c>
      <c r="O529" s="577">
        <f t="shared" si="132"/>
        <v>0</v>
      </c>
      <c r="P529" s="578">
        <f t="shared" si="133"/>
        <v>0</v>
      </c>
      <c r="Q529" s="765"/>
      <c r="R529" s="576">
        <f t="shared" ref="R529:S532" si="163">M529</f>
        <v>0</v>
      </c>
      <c r="S529" s="576">
        <f t="shared" si="163"/>
        <v>0</v>
      </c>
      <c r="T529" s="577">
        <f t="shared" si="130"/>
        <v>0</v>
      </c>
      <c r="U529" s="578">
        <f t="shared" si="131"/>
        <v>0</v>
      </c>
      <c r="V529" s="579"/>
      <c r="W529" s="566"/>
      <c r="X529" s="586" t="str">
        <f t="shared" si="155"/>
        <v/>
      </c>
      <c r="Y529" s="586" t="str">
        <f t="shared" si="143"/>
        <v/>
      </c>
      <c r="Z529" s="586" t="str">
        <f t="shared" si="147"/>
        <v/>
      </c>
    </row>
    <row r="530" spans="1:26" ht="12" hidden="1" thickBot="1" x14ac:dyDescent="0.25">
      <c r="A530" s="567" t="s">
        <v>818</v>
      </c>
      <c r="B530" s="454" t="s">
        <v>818</v>
      </c>
      <c r="C530" s="645" t="s">
        <v>484</v>
      </c>
      <c r="D530" s="416" t="s">
        <v>819</v>
      </c>
      <c r="E530" s="417"/>
      <c r="F530" s="418"/>
      <c r="G530" s="419"/>
      <c r="H530" s="646"/>
      <c r="I530" s="420">
        <v>37.18</v>
      </c>
      <c r="J530" s="420">
        <f>IF(ISBLANK(I530),"",SUM(H530:I530))</f>
        <v>37.18</v>
      </c>
      <c r="K530" s="421">
        <f t="shared" si="162"/>
        <v>44.17</v>
      </c>
      <c r="L530" s="647" t="s">
        <v>19</v>
      </c>
      <c r="M530" s="576"/>
      <c r="N530" s="576">
        <f t="shared" si="144"/>
        <v>0</v>
      </c>
      <c r="O530" s="577">
        <f t="shared" si="132"/>
        <v>0</v>
      </c>
      <c r="P530" s="578">
        <f t="shared" si="133"/>
        <v>0</v>
      </c>
      <c r="Q530" s="765"/>
      <c r="R530" s="650">
        <f t="shared" si="163"/>
        <v>0</v>
      </c>
      <c r="S530" s="587">
        <f t="shared" si="163"/>
        <v>0</v>
      </c>
      <c r="T530" s="577">
        <f t="shared" si="130"/>
        <v>0</v>
      </c>
      <c r="U530" s="578">
        <f t="shared" si="131"/>
        <v>0</v>
      </c>
      <c r="V530" s="579"/>
      <c r="W530" s="566"/>
      <c r="X530" s="586" t="str">
        <f t="shared" si="155"/>
        <v/>
      </c>
      <c r="Y530" s="586" t="str">
        <f t="shared" si="143"/>
        <v/>
      </c>
      <c r="Z530" s="586" t="str">
        <f t="shared" si="147"/>
        <v/>
      </c>
    </row>
    <row r="531" spans="1:26" ht="12" hidden="1" thickBot="1" x14ac:dyDescent="0.25">
      <c r="A531" s="567">
        <v>535200</v>
      </c>
      <c r="B531" s="644" t="s">
        <v>1798</v>
      </c>
      <c r="C531" s="645" t="s">
        <v>206</v>
      </c>
      <c r="D531" s="422" t="s">
        <v>239</v>
      </c>
      <c r="E531" s="423"/>
      <c r="F531" s="424">
        <v>20</v>
      </c>
      <c r="G531" s="419">
        <v>7.6999999999999999E-2</v>
      </c>
      <c r="H531" s="663">
        <f t="shared" ref="H531" si="164">IF(F531&lt;=30,(1.07*F531+2.68)*G531,((1.07*30+2.68)+1.07*(F531-30))*G531)</f>
        <v>1.85416</v>
      </c>
      <c r="I531" s="420">
        <v>10.85</v>
      </c>
      <c r="J531" s="420">
        <f>IF(ISBLANK(I531),"",SUM(H531:I531))</f>
        <v>12.70416</v>
      </c>
      <c r="K531" s="421">
        <f t="shared" si="162"/>
        <v>15.09</v>
      </c>
      <c r="L531" s="647" t="s">
        <v>19</v>
      </c>
      <c r="M531" s="576"/>
      <c r="N531" s="576">
        <f t="shared" si="144"/>
        <v>0</v>
      </c>
      <c r="O531" s="577">
        <f t="shared" si="132"/>
        <v>0</v>
      </c>
      <c r="P531" s="578">
        <f t="shared" si="133"/>
        <v>0</v>
      </c>
      <c r="Q531" s="765"/>
      <c r="R531" s="576">
        <f t="shared" si="163"/>
        <v>0</v>
      </c>
      <c r="S531" s="576">
        <f t="shared" si="163"/>
        <v>0</v>
      </c>
      <c r="T531" s="577">
        <f t="shared" si="130"/>
        <v>0</v>
      </c>
      <c r="U531" s="578">
        <f t="shared" si="131"/>
        <v>0</v>
      </c>
      <c r="V531" s="579"/>
      <c r="W531" s="566"/>
      <c r="X531" s="586" t="str">
        <f t="shared" si="155"/>
        <v/>
      </c>
      <c r="Y531" s="586" t="str">
        <f t="shared" si="143"/>
        <v/>
      </c>
      <c r="Z531" s="586" t="str">
        <f t="shared" si="147"/>
        <v/>
      </c>
    </row>
    <row r="532" spans="1:26" ht="12" hidden="1" thickBot="1" x14ac:dyDescent="0.25">
      <c r="A532" s="567">
        <v>810100</v>
      </c>
      <c r="B532" s="644">
        <v>810100</v>
      </c>
      <c r="C532" s="645" t="s">
        <v>206</v>
      </c>
      <c r="D532" s="422" t="s">
        <v>267</v>
      </c>
      <c r="E532" s="423"/>
      <c r="F532" s="424"/>
      <c r="G532" s="425"/>
      <c r="H532" s="651">
        <f>SUM(H533:H535)</f>
        <v>33.124932000000001</v>
      </c>
      <c r="I532" s="420">
        <v>63.339999999999996</v>
      </c>
      <c r="J532" s="420">
        <f>IF(ISBLANK(I532),"",SUM(H532:I532))</f>
        <v>96.464932000000005</v>
      </c>
      <c r="K532" s="421">
        <f t="shared" si="162"/>
        <v>114.61</v>
      </c>
      <c r="L532" s="647" t="s">
        <v>19</v>
      </c>
      <c r="M532" s="576"/>
      <c r="N532" s="576">
        <f t="shared" ref="N532:N595" si="165">IF(M532=0,0,K532)</f>
        <v>0</v>
      </c>
      <c r="O532" s="577">
        <f t="shared" si="132"/>
        <v>0</v>
      </c>
      <c r="P532" s="578">
        <f t="shared" si="133"/>
        <v>0</v>
      </c>
      <c r="Q532" s="765"/>
      <c r="R532" s="576">
        <f t="shared" si="163"/>
        <v>0</v>
      </c>
      <c r="S532" s="576">
        <f t="shared" si="163"/>
        <v>0</v>
      </c>
      <c r="T532" s="577">
        <f t="shared" si="130"/>
        <v>0</v>
      </c>
      <c r="U532" s="578">
        <f t="shared" si="131"/>
        <v>0</v>
      </c>
      <c r="V532" s="579"/>
      <c r="W532" s="566"/>
      <c r="X532" s="586" t="str">
        <f t="shared" si="155"/>
        <v/>
      </c>
      <c r="Y532" s="586" t="str">
        <f t="shared" si="143"/>
        <v/>
      </c>
      <c r="Z532" s="586" t="str">
        <f t="shared" si="147"/>
        <v/>
      </c>
    </row>
    <row r="533" spans="1:26" ht="12" hidden="1" thickBot="1" x14ac:dyDescent="0.25">
      <c r="A533" s="567" t="s">
        <v>168</v>
      </c>
      <c r="B533" s="644" t="s">
        <v>168</v>
      </c>
      <c r="C533" s="645"/>
      <c r="D533" s="451" t="s">
        <v>212</v>
      </c>
      <c r="E533" s="423"/>
      <c r="F533" s="424">
        <v>500</v>
      </c>
      <c r="G533" s="425">
        <f>ROUND(0.103*0.27,4)</f>
        <v>2.7799999999999998E-2</v>
      </c>
      <c r="H533" s="649">
        <f>IF(F533&lt;=30,(0.78*F533+7.82)*G533,((0.78*30+7.82)+0.78*(F533-30))*G533)</f>
        <v>11.059396000000001</v>
      </c>
      <c r="I533" s="420">
        <v>0</v>
      </c>
      <c r="J533" s="420"/>
      <c r="K533" s="421">
        <f t="shared" si="162"/>
        <v>0</v>
      </c>
      <c r="L533" s="668" t="s">
        <v>614</v>
      </c>
      <c r="M533" s="669"/>
      <c r="N533" s="576">
        <f t="shared" si="165"/>
        <v>0</v>
      </c>
      <c r="O533" s="577">
        <f t="shared" si="132"/>
        <v>0</v>
      </c>
      <c r="P533" s="578">
        <f t="shared" si="133"/>
        <v>0</v>
      </c>
      <c r="Q533" s="765"/>
      <c r="R533" s="669"/>
      <c r="S533" s="670"/>
      <c r="T533" s="577">
        <f t="shared" si="130"/>
        <v>0</v>
      </c>
      <c r="U533" s="578">
        <f t="shared" si="131"/>
        <v>0</v>
      </c>
      <c r="V533" s="579"/>
      <c r="W533" s="637" t="str">
        <f>IF(U532&gt;0,"xx",IF(P532&gt;0,"xy",""))</f>
        <v/>
      </c>
      <c r="X533" s="586" t="str">
        <f t="shared" si="155"/>
        <v/>
      </c>
      <c r="Y533" s="586" t="str">
        <f t="shared" si="143"/>
        <v/>
      </c>
      <c r="Z533" s="586" t="str">
        <f t="shared" si="147"/>
        <v/>
      </c>
    </row>
    <row r="534" spans="1:26" ht="12" hidden="1" thickBot="1" x14ac:dyDescent="0.25">
      <c r="A534" s="567" t="s">
        <v>168</v>
      </c>
      <c r="B534" s="644" t="s">
        <v>168</v>
      </c>
      <c r="C534" s="645"/>
      <c r="D534" s="451" t="s">
        <v>248</v>
      </c>
      <c r="E534" s="423"/>
      <c r="F534" s="424">
        <v>180</v>
      </c>
      <c r="G534" s="425">
        <f>ROUND(0.103*0.96,4)</f>
        <v>9.8900000000000002E-2</v>
      </c>
      <c r="H534" s="663">
        <f t="shared" ref="H534:H536" si="166">IF(F534&lt;=30,(1.07*F534+2.68)*G534,((1.07*30+2.68)+1.07*(F534-30))*G534)</f>
        <v>19.313192000000001</v>
      </c>
      <c r="I534" s="420">
        <v>0</v>
      </c>
      <c r="J534" s="420"/>
      <c r="K534" s="421">
        <f t="shared" si="162"/>
        <v>0</v>
      </c>
      <c r="L534" s="668" t="s">
        <v>614</v>
      </c>
      <c r="M534" s="669"/>
      <c r="N534" s="576">
        <f t="shared" si="165"/>
        <v>0</v>
      </c>
      <c r="O534" s="577">
        <f t="shared" si="132"/>
        <v>0</v>
      </c>
      <c r="P534" s="578">
        <f t="shared" si="133"/>
        <v>0</v>
      </c>
      <c r="Q534" s="765"/>
      <c r="R534" s="669"/>
      <c r="S534" s="670"/>
      <c r="T534" s="577">
        <f t="shared" si="130"/>
        <v>0</v>
      </c>
      <c r="U534" s="578">
        <f t="shared" si="131"/>
        <v>0</v>
      </c>
      <c r="V534" s="579"/>
      <c r="W534" s="637" t="str">
        <f>IF(U532&gt;0,"xx",IF(P532&gt;0,"xy",""))</f>
        <v/>
      </c>
      <c r="X534" s="586" t="str">
        <f t="shared" si="155"/>
        <v/>
      </c>
      <c r="Y534" s="586" t="str">
        <f t="shared" si="143"/>
        <v/>
      </c>
      <c r="Z534" s="586" t="str">
        <f t="shared" si="147"/>
        <v/>
      </c>
    </row>
    <row r="535" spans="1:26" ht="12" hidden="1" thickBot="1" x14ac:dyDescent="0.25">
      <c r="A535" s="567" t="s">
        <v>168</v>
      </c>
      <c r="B535" s="644" t="s">
        <v>168</v>
      </c>
      <c r="C535" s="645"/>
      <c r="D535" s="451" t="s">
        <v>252</v>
      </c>
      <c r="E535" s="423"/>
      <c r="F535" s="424">
        <v>20</v>
      </c>
      <c r="G535" s="425">
        <f>ROUND(0.103*1.11,4)</f>
        <v>0.1143</v>
      </c>
      <c r="H535" s="663">
        <f t="shared" si="166"/>
        <v>2.7523440000000003</v>
      </c>
      <c r="I535" s="420">
        <v>0</v>
      </c>
      <c r="J535" s="420"/>
      <c r="K535" s="421">
        <f t="shared" si="162"/>
        <v>0</v>
      </c>
      <c r="L535" s="668" t="s">
        <v>614</v>
      </c>
      <c r="M535" s="669"/>
      <c r="N535" s="576">
        <f t="shared" si="165"/>
        <v>0</v>
      </c>
      <c r="O535" s="577">
        <f t="shared" si="132"/>
        <v>0</v>
      </c>
      <c r="P535" s="578">
        <f t="shared" si="133"/>
        <v>0</v>
      </c>
      <c r="Q535" s="765"/>
      <c r="R535" s="669"/>
      <c r="S535" s="670"/>
      <c r="T535" s="577">
        <f t="shared" si="130"/>
        <v>0</v>
      </c>
      <c r="U535" s="578">
        <f t="shared" si="131"/>
        <v>0</v>
      </c>
      <c r="V535" s="579"/>
      <c r="W535" s="637" t="str">
        <f>IF(U532&gt;0,"xx",IF(P532&gt;0,"xy",""))</f>
        <v/>
      </c>
      <c r="X535" s="586" t="str">
        <f t="shared" si="155"/>
        <v/>
      </c>
      <c r="Y535" s="586" t="str">
        <f t="shared" si="143"/>
        <v/>
      </c>
      <c r="Z535" s="586" t="str">
        <f t="shared" si="147"/>
        <v/>
      </c>
    </row>
    <row r="536" spans="1:26" ht="12" hidden="1" thickBot="1" x14ac:dyDescent="0.25">
      <c r="A536" s="567">
        <v>810050</v>
      </c>
      <c r="B536" s="644">
        <v>810050</v>
      </c>
      <c r="C536" s="645" t="s">
        <v>206</v>
      </c>
      <c r="D536" s="422" t="s">
        <v>268</v>
      </c>
      <c r="E536" s="423"/>
      <c r="F536" s="424">
        <v>10</v>
      </c>
      <c r="G536" s="425">
        <f>0.0278+0.0988+0.1143</f>
        <v>0.2409</v>
      </c>
      <c r="H536" s="663">
        <f t="shared" si="166"/>
        <v>3.2232420000000004</v>
      </c>
      <c r="I536" s="420">
        <v>100.00999999999999</v>
      </c>
      <c r="J536" s="420">
        <f>IF(ISBLANK(I536),"",SUM(H536:I536))</f>
        <v>103.23324199999999</v>
      </c>
      <c r="K536" s="421">
        <f t="shared" si="162"/>
        <v>122.65</v>
      </c>
      <c r="L536" s="647" t="s">
        <v>19</v>
      </c>
      <c r="M536" s="576"/>
      <c r="N536" s="576">
        <f t="shared" si="165"/>
        <v>0</v>
      </c>
      <c r="O536" s="577">
        <f t="shared" si="132"/>
        <v>0</v>
      </c>
      <c r="P536" s="578">
        <f t="shared" si="133"/>
        <v>0</v>
      </c>
      <c r="Q536" s="765"/>
      <c r="R536" s="576">
        <f>M536</f>
        <v>0</v>
      </c>
      <c r="S536" s="576">
        <f t="shared" ref="S536:S593" si="167">N536</f>
        <v>0</v>
      </c>
      <c r="T536" s="577">
        <f t="shared" si="130"/>
        <v>0</v>
      </c>
      <c r="U536" s="578">
        <f t="shared" si="131"/>
        <v>0</v>
      </c>
      <c r="V536" s="579"/>
      <c r="W536" s="637"/>
      <c r="X536" s="586" t="str">
        <f t="shared" si="155"/>
        <v/>
      </c>
      <c r="Y536" s="586" t="str">
        <f t="shared" si="143"/>
        <v/>
      </c>
      <c r="Z536" s="586" t="str">
        <f t="shared" si="147"/>
        <v/>
      </c>
    </row>
    <row r="537" spans="1:26" ht="12" hidden="1" thickBot="1" x14ac:dyDescent="0.25">
      <c r="A537" s="567">
        <v>810200</v>
      </c>
      <c r="B537" s="644">
        <v>810200</v>
      </c>
      <c r="C537" s="645" t="s">
        <v>206</v>
      </c>
      <c r="D537" s="422" t="s">
        <v>269</v>
      </c>
      <c r="E537" s="423"/>
      <c r="F537" s="424"/>
      <c r="G537" s="425"/>
      <c r="H537" s="651">
        <f>SUM(H538:H540)</f>
        <v>13.487278</v>
      </c>
      <c r="I537" s="420">
        <v>27.46</v>
      </c>
      <c r="J537" s="420">
        <f>IF(ISBLANK(I537),"",SUM(H537:I537))</f>
        <v>40.947277999999997</v>
      </c>
      <c r="K537" s="421">
        <f t="shared" si="162"/>
        <v>48.65</v>
      </c>
      <c r="L537" s="647" t="s">
        <v>19</v>
      </c>
      <c r="M537" s="576"/>
      <c r="N537" s="576">
        <f t="shared" si="165"/>
        <v>0</v>
      </c>
      <c r="O537" s="577">
        <f t="shared" si="132"/>
        <v>0</v>
      </c>
      <c r="P537" s="578">
        <f t="shared" si="133"/>
        <v>0</v>
      </c>
      <c r="Q537" s="765"/>
      <c r="R537" s="576">
        <f>M537</f>
        <v>0</v>
      </c>
      <c r="S537" s="576">
        <f t="shared" si="167"/>
        <v>0</v>
      </c>
      <c r="T537" s="577">
        <f t="shared" si="130"/>
        <v>0</v>
      </c>
      <c r="U537" s="578">
        <f t="shared" si="131"/>
        <v>0</v>
      </c>
      <c r="V537" s="579"/>
      <c r="W537" s="637"/>
      <c r="X537" s="586" t="str">
        <f t="shared" si="155"/>
        <v/>
      </c>
      <c r="Y537" s="586" t="str">
        <f t="shared" si="143"/>
        <v/>
      </c>
      <c r="Z537" s="586" t="str">
        <f t="shared" si="147"/>
        <v/>
      </c>
    </row>
    <row r="538" spans="1:26" ht="12" hidden="1" thickBot="1" x14ac:dyDescent="0.25">
      <c r="A538" s="567" t="s">
        <v>168</v>
      </c>
      <c r="B538" s="644" t="s">
        <v>168</v>
      </c>
      <c r="C538" s="645"/>
      <c r="D538" s="451" t="s">
        <v>212</v>
      </c>
      <c r="E538" s="423"/>
      <c r="F538" s="424">
        <v>500</v>
      </c>
      <c r="G538" s="425">
        <f>ROUND(0.042*0.27,4)</f>
        <v>1.1299999999999999E-2</v>
      </c>
      <c r="H538" s="649">
        <f>IF(F538&lt;=30,(0.78*F538+7.82)*G538,((0.78*30+7.82)+0.78*(F538-30))*G538)</f>
        <v>4.4953660000000006</v>
      </c>
      <c r="I538" s="420">
        <v>0</v>
      </c>
      <c r="J538" s="420"/>
      <c r="K538" s="421">
        <f t="shared" si="162"/>
        <v>0</v>
      </c>
      <c r="L538" s="668" t="s">
        <v>614</v>
      </c>
      <c r="M538" s="669"/>
      <c r="N538" s="576">
        <f t="shared" si="165"/>
        <v>0</v>
      </c>
      <c r="O538" s="577">
        <f t="shared" si="132"/>
        <v>0</v>
      </c>
      <c r="P538" s="578">
        <f t="shared" si="133"/>
        <v>0</v>
      </c>
      <c r="Q538" s="765"/>
      <c r="R538" s="669"/>
      <c r="S538" s="670"/>
      <c r="T538" s="577">
        <f t="shared" si="130"/>
        <v>0</v>
      </c>
      <c r="U538" s="578">
        <f t="shared" si="131"/>
        <v>0</v>
      </c>
      <c r="V538" s="579"/>
      <c r="W538" s="637" t="str">
        <f>IF(U537&gt;0,"xx",IF(P537&gt;0,"xy",""))</f>
        <v/>
      </c>
      <c r="X538" s="586" t="str">
        <f t="shared" si="155"/>
        <v/>
      </c>
      <c r="Y538" s="586" t="str">
        <f t="shared" si="143"/>
        <v/>
      </c>
      <c r="Z538" s="586" t="str">
        <f t="shared" si="147"/>
        <v/>
      </c>
    </row>
    <row r="539" spans="1:26" ht="12" hidden="1" thickBot="1" x14ac:dyDescent="0.25">
      <c r="A539" s="567" t="s">
        <v>168</v>
      </c>
      <c r="B539" s="644" t="s">
        <v>168</v>
      </c>
      <c r="C539" s="645"/>
      <c r="D539" s="451" t="s">
        <v>248</v>
      </c>
      <c r="E539" s="423"/>
      <c r="F539" s="424">
        <v>180</v>
      </c>
      <c r="G539" s="425">
        <f>ROUND(0.042*0.96,4)</f>
        <v>4.0300000000000002E-2</v>
      </c>
      <c r="H539" s="663">
        <f t="shared" ref="H539:H541" si="168">IF(F539&lt;=30,(1.07*F539+2.68)*G539,((1.07*30+2.68)+1.07*(F539-30))*G539)</f>
        <v>7.8697840000000001</v>
      </c>
      <c r="I539" s="420">
        <v>0</v>
      </c>
      <c r="J539" s="420"/>
      <c r="K539" s="421">
        <f t="shared" si="162"/>
        <v>0</v>
      </c>
      <c r="L539" s="668" t="s">
        <v>614</v>
      </c>
      <c r="M539" s="669"/>
      <c r="N539" s="576">
        <f t="shared" si="165"/>
        <v>0</v>
      </c>
      <c r="O539" s="577">
        <f t="shared" si="132"/>
        <v>0</v>
      </c>
      <c r="P539" s="578">
        <f t="shared" si="133"/>
        <v>0</v>
      </c>
      <c r="Q539" s="765"/>
      <c r="R539" s="669"/>
      <c r="S539" s="670"/>
      <c r="T539" s="577">
        <f t="shared" si="130"/>
        <v>0</v>
      </c>
      <c r="U539" s="578">
        <f t="shared" si="131"/>
        <v>0</v>
      </c>
      <c r="V539" s="579"/>
      <c r="W539" s="637" t="str">
        <f>IF(U537&gt;0,"xx",IF(P537&gt;0,"xy",""))</f>
        <v/>
      </c>
      <c r="X539" s="586" t="str">
        <f t="shared" si="155"/>
        <v/>
      </c>
      <c r="Y539" s="586" t="str">
        <f t="shared" si="143"/>
        <v/>
      </c>
      <c r="Z539" s="586" t="str">
        <f t="shared" si="147"/>
        <v/>
      </c>
    </row>
    <row r="540" spans="1:26" ht="12" hidden="1" thickBot="1" x14ac:dyDescent="0.25">
      <c r="A540" s="567" t="s">
        <v>168</v>
      </c>
      <c r="B540" s="644" t="s">
        <v>168</v>
      </c>
      <c r="C540" s="645"/>
      <c r="D540" s="451" t="s">
        <v>252</v>
      </c>
      <c r="E540" s="423"/>
      <c r="F540" s="424">
        <v>20</v>
      </c>
      <c r="G540" s="425">
        <f>ROUND(0.042*1.11,4)</f>
        <v>4.6600000000000003E-2</v>
      </c>
      <c r="H540" s="663">
        <f t="shared" si="168"/>
        <v>1.1221280000000002</v>
      </c>
      <c r="I540" s="420">
        <v>0</v>
      </c>
      <c r="J540" s="420"/>
      <c r="K540" s="421">
        <f t="shared" si="162"/>
        <v>0</v>
      </c>
      <c r="L540" s="668" t="s">
        <v>614</v>
      </c>
      <c r="M540" s="669"/>
      <c r="N540" s="576">
        <f t="shared" si="165"/>
        <v>0</v>
      </c>
      <c r="O540" s="577">
        <f t="shared" si="132"/>
        <v>0</v>
      </c>
      <c r="P540" s="578">
        <f t="shared" si="133"/>
        <v>0</v>
      </c>
      <c r="Q540" s="765"/>
      <c r="R540" s="669"/>
      <c r="S540" s="670"/>
      <c r="T540" s="577">
        <f t="shared" si="130"/>
        <v>0</v>
      </c>
      <c r="U540" s="578">
        <f t="shared" si="131"/>
        <v>0</v>
      </c>
      <c r="V540" s="579"/>
      <c r="W540" s="637" t="str">
        <f>IF(U537&gt;0,"xx",IF(P537&gt;0,"xy",""))</f>
        <v/>
      </c>
      <c r="X540" s="586" t="str">
        <f t="shared" si="155"/>
        <v/>
      </c>
      <c r="Y540" s="586" t="str">
        <f t="shared" si="143"/>
        <v/>
      </c>
      <c r="Z540" s="586" t="str">
        <f t="shared" si="147"/>
        <v/>
      </c>
    </row>
    <row r="541" spans="1:26" ht="12" hidden="1" thickBot="1" x14ac:dyDescent="0.25">
      <c r="A541" s="567">
        <v>810150</v>
      </c>
      <c r="B541" s="644">
        <v>810150</v>
      </c>
      <c r="C541" s="645" t="s">
        <v>206</v>
      </c>
      <c r="D541" s="422" t="s">
        <v>270</v>
      </c>
      <c r="E541" s="423"/>
      <c r="F541" s="424">
        <v>10</v>
      </c>
      <c r="G541" s="425">
        <v>9.8199999999999996E-2</v>
      </c>
      <c r="H541" s="663">
        <f t="shared" si="168"/>
        <v>1.3139160000000001</v>
      </c>
      <c r="I541" s="420">
        <v>46.42</v>
      </c>
      <c r="J541" s="420">
        <f>IF(ISBLANK(I541),"",SUM(H541:I541))</f>
        <v>47.733916000000001</v>
      </c>
      <c r="K541" s="421">
        <f t="shared" si="162"/>
        <v>56.71</v>
      </c>
      <c r="L541" s="647" t="s">
        <v>19</v>
      </c>
      <c r="M541" s="576"/>
      <c r="N541" s="576">
        <f t="shared" si="165"/>
        <v>0</v>
      </c>
      <c r="O541" s="577">
        <f t="shared" si="132"/>
        <v>0</v>
      </c>
      <c r="P541" s="578">
        <f t="shared" si="133"/>
        <v>0</v>
      </c>
      <c r="Q541" s="765"/>
      <c r="R541" s="576">
        <f>M541</f>
        <v>0</v>
      </c>
      <c r="S541" s="576">
        <f t="shared" si="167"/>
        <v>0</v>
      </c>
      <c r="T541" s="577">
        <f t="shared" si="130"/>
        <v>0</v>
      </c>
      <c r="U541" s="578">
        <f t="shared" si="131"/>
        <v>0</v>
      </c>
      <c r="V541" s="579"/>
      <c r="W541" s="566"/>
      <c r="X541" s="586" t="str">
        <f t="shared" si="155"/>
        <v/>
      </c>
      <c r="Y541" s="586" t="str">
        <f t="shared" si="143"/>
        <v/>
      </c>
      <c r="Z541" s="586" t="str">
        <f t="shared" si="147"/>
        <v/>
      </c>
    </row>
    <row r="542" spans="1:26" ht="12" hidden="1" thickBot="1" x14ac:dyDescent="0.25">
      <c r="A542" s="567">
        <v>810700</v>
      </c>
      <c r="B542" s="644">
        <v>810700</v>
      </c>
      <c r="C542" s="645" t="s">
        <v>206</v>
      </c>
      <c r="D542" s="422" t="s">
        <v>271</v>
      </c>
      <c r="E542" s="423"/>
      <c r="F542" s="424"/>
      <c r="G542" s="425"/>
      <c r="H542" s="651">
        <f>SUM(H543:H545)</f>
        <v>9.9893840000000012</v>
      </c>
      <c r="I542" s="420">
        <v>22.45</v>
      </c>
      <c r="J542" s="420">
        <f>IF(ISBLANK(I542),"",SUM(H542:I542))</f>
        <v>32.439384000000004</v>
      </c>
      <c r="K542" s="421">
        <f t="shared" si="162"/>
        <v>38.54</v>
      </c>
      <c r="L542" s="647" t="s">
        <v>19</v>
      </c>
      <c r="M542" s="576"/>
      <c r="N542" s="576">
        <f t="shared" si="165"/>
        <v>0</v>
      </c>
      <c r="O542" s="577">
        <f t="shared" si="132"/>
        <v>0</v>
      </c>
      <c r="P542" s="578">
        <f t="shared" si="133"/>
        <v>0</v>
      </c>
      <c r="Q542" s="765"/>
      <c r="R542" s="576">
        <f>M542</f>
        <v>0</v>
      </c>
      <c r="S542" s="576">
        <f t="shared" si="167"/>
        <v>0</v>
      </c>
      <c r="T542" s="577">
        <f t="shared" si="130"/>
        <v>0</v>
      </c>
      <c r="U542" s="578">
        <f t="shared" si="131"/>
        <v>0</v>
      </c>
      <c r="V542" s="579"/>
      <c r="W542" s="566"/>
      <c r="X542" s="586" t="str">
        <f t="shared" si="155"/>
        <v/>
      </c>
      <c r="Y542" s="586" t="str">
        <f t="shared" si="143"/>
        <v/>
      </c>
      <c r="Z542" s="586" t="str">
        <f t="shared" si="147"/>
        <v/>
      </c>
    </row>
    <row r="543" spans="1:26" ht="12" hidden="1" thickBot="1" x14ac:dyDescent="0.25">
      <c r="A543" s="567" t="s">
        <v>168</v>
      </c>
      <c r="B543" s="644" t="s">
        <v>168</v>
      </c>
      <c r="C543" s="645"/>
      <c r="D543" s="451" t="s">
        <v>212</v>
      </c>
      <c r="E543" s="423"/>
      <c r="F543" s="424">
        <v>500</v>
      </c>
      <c r="G543" s="425">
        <f>ROUND(0.031*0.27,4)</f>
        <v>8.3999999999999995E-3</v>
      </c>
      <c r="H543" s="649">
        <f>IF(F543&lt;=30,(0.78*F543+7.82)*G543,((0.78*30+7.82)+0.78*(F543-30))*G543)</f>
        <v>3.3416880000000004</v>
      </c>
      <c r="I543" s="420">
        <v>0</v>
      </c>
      <c r="J543" s="420"/>
      <c r="K543" s="421">
        <f t="shared" si="162"/>
        <v>0</v>
      </c>
      <c r="L543" s="668" t="s">
        <v>614</v>
      </c>
      <c r="M543" s="669"/>
      <c r="N543" s="576">
        <f t="shared" si="165"/>
        <v>0</v>
      </c>
      <c r="O543" s="577">
        <f t="shared" si="132"/>
        <v>0</v>
      </c>
      <c r="P543" s="578">
        <f t="shared" si="133"/>
        <v>0</v>
      </c>
      <c r="Q543" s="765"/>
      <c r="R543" s="669"/>
      <c r="S543" s="670"/>
      <c r="T543" s="577">
        <f t="shared" si="130"/>
        <v>0</v>
      </c>
      <c r="U543" s="578">
        <f t="shared" si="131"/>
        <v>0</v>
      </c>
      <c r="V543" s="579"/>
      <c r="W543" s="637" t="str">
        <f>IF(U542&gt;0,"xx",IF(P542&gt;0,"xy",""))</f>
        <v/>
      </c>
      <c r="X543" s="586" t="str">
        <f t="shared" si="155"/>
        <v/>
      </c>
      <c r="Y543" s="586" t="str">
        <f t="shared" si="143"/>
        <v/>
      </c>
      <c r="Z543" s="586" t="str">
        <f t="shared" si="147"/>
        <v/>
      </c>
    </row>
    <row r="544" spans="1:26" ht="12" hidden="1" thickBot="1" x14ac:dyDescent="0.25">
      <c r="A544" s="567" t="s">
        <v>168</v>
      </c>
      <c r="B544" s="644" t="s">
        <v>168</v>
      </c>
      <c r="C544" s="645"/>
      <c r="D544" s="451" t="s">
        <v>248</v>
      </c>
      <c r="E544" s="423"/>
      <c r="F544" s="424">
        <v>180</v>
      </c>
      <c r="G544" s="425">
        <f>ROUND(0.031*0.96,4)</f>
        <v>2.98E-2</v>
      </c>
      <c r="H544" s="663">
        <f t="shared" ref="H544:H546" si="169">IF(F544&lt;=30,(1.07*F544+2.68)*G544,((1.07*30+2.68)+1.07*(F544-30))*G544)</f>
        <v>5.8193440000000001</v>
      </c>
      <c r="I544" s="420">
        <v>0</v>
      </c>
      <c r="J544" s="420"/>
      <c r="K544" s="421">
        <f t="shared" si="162"/>
        <v>0</v>
      </c>
      <c r="L544" s="668" t="s">
        <v>614</v>
      </c>
      <c r="M544" s="669"/>
      <c r="N544" s="576">
        <f t="shared" si="165"/>
        <v>0</v>
      </c>
      <c r="O544" s="577">
        <f t="shared" si="132"/>
        <v>0</v>
      </c>
      <c r="P544" s="578">
        <f t="shared" si="133"/>
        <v>0</v>
      </c>
      <c r="Q544" s="765"/>
      <c r="R544" s="669"/>
      <c r="S544" s="670"/>
      <c r="T544" s="577">
        <f t="shared" si="130"/>
        <v>0</v>
      </c>
      <c r="U544" s="578">
        <f t="shared" si="131"/>
        <v>0</v>
      </c>
      <c r="V544" s="579"/>
      <c r="W544" s="637" t="str">
        <f>IF(U542&gt;0,"xx",IF(P542&gt;0,"xy",""))</f>
        <v/>
      </c>
      <c r="X544" s="586" t="str">
        <f t="shared" si="155"/>
        <v/>
      </c>
      <c r="Y544" s="586" t="str">
        <f t="shared" si="143"/>
        <v/>
      </c>
      <c r="Z544" s="586" t="str">
        <f t="shared" si="147"/>
        <v/>
      </c>
    </row>
    <row r="545" spans="1:26" ht="12" hidden="1" thickBot="1" x14ac:dyDescent="0.25">
      <c r="A545" s="567" t="s">
        <v>168</v>
      </c>
      <c r="B545" s="644" t="s">
        <v>168</v>
      </c>
      <c r="C545" s="645"/>
      <c r="D545" s="451" t="s">
        <v>252</v>
      </c>
      <c r="E545" s="423"/>
      <c r="F545" s="424">
        <v>20</v>
      </c>
      <c r="G545" s="425">
        <f>ROUND(0.031*1.11,4)</f>
        <v>3.44E-2</v>
      </c>
      <c r="H545" s="663">
        <f t="shared" si="169"/>
        <v>0.82835200000000009</v>
      </c>
      <c r="I545" s="420">
        <v>0</v>
      </c>
      <c r="J545" s="420"/>
      <c r="K545" s="421">
        <f t="shared" si="162"/>
        <v>0</v>
      </c>
      <c r="L545" s="668" t="s">
        <v>614</v>
      </c>
      <c r="M545" s="669"/>
      <c r="N545" s="576">
        <f t="shared" si="165"/>
        <v>0</v>
      </c>
      <c r="O545" s="577">
        <f t="shared" si="132"/>
        <v>0</v>
      </c>
      <c r="P545" s="578">
        <f t="shared" si="133"/>
        <v>0</v>
      </c>
      <c r="Q545" s="765"/>
      <c r="R545" s="669"/>
      <c r="S545" s="670"/>
      <c r="T545" s="577">
        <f t="shared" si="130"/>
        <v>0</v>
      </c>
      <c r="U545" s="578">
        <f t="shared" si="131"/>
        <v>0</v>
      </c>
      <c r="V545" s="579"/>
      <c r="W545" s="637" t="str">
        <f>IF(U542&gt;0,"xx",IF(P542&gt;0,"xy",""))</f>
        <v/>
      </c>
      <c r="X545" s="586" t="str">
        <f t="shared" si="155"/>
        <v/>
      </c>
      <c r="Y545" s="586" t="str">
        <f t="shared" si="143"/>
        <v/>
      </c>
      <c r="Z545" s="586" t="str">
        <f t="shared" si="147"/>
        <v/>
      </c>
    </row>
    <row r="546" spans="1:26" ht="12" hidden="1" thickBot="1" x14ac:dyDescent="0.25">
      <c r="A546" s="567">
        <v>810650</v>
      </c>
      <c r="B546" s="644">
        <v>810650</v>
      </c>
      <c r="C546" s="645" t="s">
        <v>206</v>
      </c>
      <c r="D546" s="422" t="s">
        <v>1799</v>
      </c>
      <c r="E546" s="423"/>
      <c r="F546" s="424">
        <v>10</v>
      </c>
      <c r="G546" s="425">
        <v>7.2599999999999998E-2</v>
      </c>
      <c r="H546" s="663">
        <f t="shared" si="169"/>
        <v>0.97138800000000003</v>
      </c>
      <c r="I546" s="420">
        <v>39.090000000000003</v>
      </c>
      <c r="J546" s="420">
        <f>IF(ISBLANK(I546),"",SUM(H546:I546))</f>
        <v>40.061388000000001</v>
      </c>
      <c r="K546" s="421">
        <f t="shared" si="162"/>
        <v>47.6</v>
      </c>
      <c r="L546" s="647" t="s">
        <v>19</v>
      </c>
      <c r="M546" s="576"/>
      <c r="N546" s="576">
        <f t="shared" si="165"/>
        <v>0</v>
      </c>
      <c r="O546" s="577">
        <f t="shared" si="132"/>
        <v>0</v>
      </c>
      <c r="P546" s="578">
        <f t="shared" si="133"/>
        <v>0</v>
      </c>
      <c r="Q546" s="765"/>
      <c r="R546" s="576">
        <f>M546</f>
        <v>0</v>
      </c>
      <c r="S546" s="576">
        <f t="shared" si="167"/>
        <v>0</v>
      </c>
      <c r="T546" s="577">
        <f t="shared" si="130"/>
        <v>0</v>
      </c>
      <c r="U546" s="578">
        <f t="shared" si="131"/>
        <v>0</v>
      </c>
      <c r="V546" s="579"/>
      <c r="W546" s="566"/>
      <c r="X546" s="586" t="str">
        <f t="shared" ref="X546:X609" si="170">IF(W546="X","x",IF(W546="xx","x",IF(W546="xy","x",IF(W546="y","x",IF(OR(P546&gt;0,U546&gt;0),"x","")))))</f>
        <v/>
      </c>
      <c r="Y546" s="586" t="str">
        <f t="shared" si="143"/>
        <v/>
      </c>
      <c r="Z546" s="586" t="str">
        <f t="shared" si="147"/>
        <v/>
      </c>
    </row>
    <row r="547" spans="1:26" ht="12" hidden="1" thickBot="1" x14ac:dyDescent="0.25">
      <c r="A547" s="567">
        <v>810300</v>
      </c>
      <c r="B547" s="644">
        <v>810300</v>
      </c>
      <c r="C547" s="645" t="s">
        <v>206</v>
      </c>
      <c r="D547" s="422" t="s">
        <v>272</v>
      </c>
      <c r="E547" s="423"/>
      <c r="F547" s="424"/>
      <c r="G547" s="425"/>
      <c r="H547" s="651">
        <f>SUM(H548:H550)</f>
        <v>10.933888</v>
      </c>
      <c r="I547" s="420">
        <v>21.66</v>
      </c>
      <c r="J547" s="420">
        <f>IF(ISBLANK(I547),"",SUM(H547:I547))</f>
        <v>32.593888</v>
      </c>
      <c r="K547" s="421">
        <f t="shared" si="162"/>
        <v>38.72</v>
      </c>
      <c r="L547" s="647" t="s">
        <v>19</v>
      </c>
      <c r="M547" s="576"/>
      <c r="N547" s="576">
        <f t="shared" si="165"/>
        <v>0</v>
      </c>
      <c r="O547" s="577">
        <f t="shared" si="132"/>
        <v>0</v>
      </c>
      <c r="P547" s="578">
        <f t="shared" si="133"/>
        <v>0</v>
      </c>
      <c r="Q547" s="765"/>
      <c r="R547" s="576">
        <f>M547</f>
        <v>0</v>
      </c>
      <c r="S547" s="576">
        <f t="shared" si="167"/>
        <v>0</v>
      </c>
      <c r="T547" s="577">
        <f t="shared" si="130"/>
        <v>0</v>
      </c>
      <c r="U547" s="578">
        <f t="shared" si="131"/>
        <v>0</v>
      </c>
      <c r="V547" s="579"/>
      <c r="W547" s="566"/>
      <c r="X547" s="586" t="str">
        <f t="shared" si="170"/>
        <v/>
      </c>
      <c r="Y547" s="586" t="str">
        <f t="shared" si="143"/>
        <v/>
      </c>
      <c r="Z547" s="586" t="str">
        <f t="shared" si="147"/>
        <v/>
      </c>
    </row>
    <row r="548" spans="1:26" ht="12" hidden="1" thickBot="1" x14ac:dyDescent="0.25">
      <c r="A548" s="567" t="s">
        <v>168</v>
      </c>
      <c r="B548" s="644" t="s">
        <v>168</v>
      </c>
      <c r="C548" s="645"/>
      <c r="D548" s="451" t="s">
        <v>212</v>
      </c>
      <c r="E548" s="423"/>
      <c r="F548" s="424">
        <v>500</v>
      </c>
      <c r="G548" s="425">
        <f>ROUND(0.034*0.27,4)</f>
        <v>9.1999999999999998E-3</v>
      </c>
      <c r="H548" s="649">
        <f>IF(F548&lt;=30,(0.78*F548+7.82)*G548,((0.78*30+7.82)+0.78*(F548-30))*G548)</f>
        <v>3.6599440000000003</v>
      </c>
      <c r="I548" s="420">
        <v>0</v>
      </c>
      <c r="J548" s="420"/>
      <c r="K548" s="421">
        <f t="shared" si="162"/>
        <v>0</v>
      </c>
      <c r="L548" s="668" t="s">
        <v>614</v>
      </c>
      <c r="M548" s="669"/>
      <c r="N548" s="576">
        <f t="shared" si="165"/>
        <v>0</v>
      </c>
      <c r="O548" s="577">
        <f t="shared" si="132"/>
        <v>0</v>
      </c>
      <c r="P548" s="578">
        <f t="shared" si="133"/>
        <v>0</v>
      </c>
      <c r="Q548" s="765"/>
      <c r="R548" s="669"/>
      <c r="S548" s="670"/>
      <c r="T548" s="577">
        <f t="shared" si="130"/>
        <v>0</v>
      </c>
      <c r="U548" s="578">
        <f t="shared" si="131"/>
        <v>0</v>
      </c>
      <c r="V548" s="579"/>
      <c r="W548" s="637" t="str">
        <f>IF(U547&gt;0,"xx",IF(P547&gt;0,"xy",""))</f>
        <v/>
      </c>
      <c r="X548" s="586" t="str">
        <f t="shared" si="170"/>
        <v/>
      </c>
      <c r="Y548" s="586" t="str">
        <f t="shared" si="143"/>
        <v/>
      </c>
      <c r="Z548" s="586" t="str">
        <f t="shared" si="147"/>
        <v/>
      </c>
    </row>
    <row r="549" spans="1:26" ht="12" hidden="1" thickBot="1" x14ac:dyDescent="0.25">
      <c r="A549" s="567" t="s">
        <v>168</v>
      </c>
      <c r="B549" s="644" t="s">
        <v>168</v>
      </c>
      <c r="C549" s="645"/>
      <c r="D549" s="451" t="s">
        <v>248</v>
      </c>
      <c r="E549" s="423"/>
      <c r="F549" s="424">
        <v>180</v>
      </c>
      <c r="G549" s="425">
        <f>ROUND(0.034*0.96,4)</f>
        <v>3.2599999999999997E-2</v>
      </c>
      <c r="H549" s="663">
        <f t="shared" ref="H549:H551" si="171">IF(F549&lt;=30,(1.07*F549+2.68)*G549,((1.07*30+2.68)+1.07*(F549-30))*G549)</f>
        <v>6.3661279999999998</v>
      </c>
      <c r="I549" s="420">
        <v>0</v>
      </c>
      <c r="J549" s="420"/>
      <c r="K549" s="421">
        <f t="shared" si="162"/>
        <v>0</v>
      </c>
      <c r="L549" s="668" t="s">
        <v>614</v>
      </c>
      <c r="M549" s="669"/>
      <c r="N549" s="576">
        <f t="shared" si="165"/>
        <v>0</v>
      </c>
      <c r="O549" s="577">
        <f t="shared" si="132"/>
        <v>0</v>
      </c>
      <c r="P549" s="578">
        <f t="shared" si="133"/>
        <v>0</v>
      </c>
      <c r="Q549" s="765"/>
      <c r="R549" s="669"/>
      <c r="S549" s="670"/>
      <c r="T549" s="577">
        <f t="shared" ref="T549:T615" si="172">IF(ISBLANK(R549),0,ROUND(K549*R549,2))</f>
        <v>0</v>
      </c>
      <c r="U549" s="578">
        <f t="shared" ref="U549:U615" si="173">IF(ISBLANK(R549),0,ROUND(R549*S549,2))</f>
        <v>0</v>
      </c>
      <c r="V549" s="579"/>
      <c r="W549" s="637" t="str">
        <f>IF(U547&gt;0,"xx",IF(P547&gt;0,"xy",""))</f>
        <v/>
      </c>
      <c r="X549" s="586" t="str">
        <f t="shared" si="170"/>
        <v/>
      </c>
      <c r="Y549" s="586" t="str">
        <f t="shared" si="143"/>
        <v/>
      </c>
      <c r="Z549" s="586" t="str">
        <f t="shared" si="147"/>
        <v/>
      </c>
    </row>
    <row r="550" spans="1:26" ht="12" hidden="1" thickBot="1" x14ac:dyDescent="0.25">
      <c r="A550" s="567" t="s">
        <v>168</v>
      </c>
      <c r="B550" s="644" t="s">
        <v>168</v>
      </c>
      <c r="C550" s="645"/>
      <c r="D550" s="451" t="s">
        <v>252</v>
      </c>
      <c r="E550" s="423"/>
      <c r="F550" s="424">
        <v>20</v>
      </c>
      <c r="G550" s="425">
        <f>ROUND(0.034*1.11,4)</f>
        <v>3.7699999999999997E-2</v>
      </c>
      <c r="H550" s="663">
        <f t="shared" si="171"/>
        <v>0.90781599999999996</v>
      </c>
      <c r="I550" s="420">
        <v>0</v>
      </c>
      <c r="J550" s="420"/>
      <c r="K550" s="421">
        <f t="shared" si="162"/>
        <v>0</v>
      </c>
      <c r="L550" s="668" t="s">
        <v>614</v>
      </c>
      <c r="M550" s="669"/>
      <c r="N550" s="576">
        <f t="shared" si="165"/>
        <v>0</v>
      </c>
      <c r="O550" s="577">
        <f t="shared" ref="O550:O616" si="174">IF(ISBLANK(M550),0,ROUND(K550*M550,2))</f>
        <v>0</v>
      </c>
      <c r="P550" s="578">
        <f t="shared" ref="P550:P616" si="175">IF(ISBLANK(N550),0,ROUND(M550*N550,2))</f>
        <v>0</v>
      </c>
      <c r="Q550" s="765"/>
      <c r="R550" s="669"/>
      <c r="S550" s="670"/>
      <c r="T550" s="577">
        <f t="shared" si="172"/>
        <v>0</v>
      </c>
      <c r="U550" s="578">
        <f t="shared" si="173"/>
        <v>0</v>
      </c>
      <c r="V550" s="579"/>
      <c r="W550" s="637" t="str">
        <f>IF(U547&gt;0,"xx",IF(P547&gt;0,"xy",""))</f>
        <v/>
      </c>
      <c r="X550" s="586" t="str">
        <f t="shared" si="170"/>
        <v/>
      </c>
      <c r="Y550" s="586" t="str">
        <f t="shared" si="143"/>
        <v/>
      </c>
      <c r="Z550" s="586" t="str">
        <f t="shared" si="147"/>
        <v/>
      </c>
    </row>
    <row r="551" spans="1:26" ht="12" hidden="1" thickBot="1" x14ac:dyDescent="0.25">
      <c r="A551" s="567">
        <v>810250</v>
      </c>
      <c r="B551" s="644" t="s">
        <v>1800</v>
      </c>
      <c r="C551" s="645" t="s">
        <v>206</v>
      </c>
      <c r="D551" s="422" t="s">
        <v>1801</v>
      </c>
      <c r="E551" s="423"/>
      <c r="F551" s="424">
        <v>10</v>
      </c>
      <c r="G551" s="425">
        <v>7.9500000000000001E-2</v>
      </c>
      <c r="H551" s="663">
        <f t="shared" si="171"/>
        <v>1.0637100000000002</v>
      </c>
      <c r="I551" s="420">
        <v>38.299999999999997</v>
      </c>
      <c r="J551" s="420">
        <f>IF(ISBLANK(I551),"",SUM(H551:I551))</f>
        <v>39.363709999999998</v>
      </c>
      <c r="K551" s="421">
        <f t="shared" si="162"/>
        <v>46.77</v>
      </c>
      <c r="L551" s="647" t="s">
        <v>19</v>
      </c>
      <c r="M551" s="576"/>
      <c r="N551" s="576">
        <f t="shared" si="165"/>
        <v>0</v>
      </c>
      <c r="O551" s="577">
        <f t="shared" si="174"/>
        <v>0</v>
      </c>
      <c r="P551" s="578">
        <f t="shared" si="175"/>
        <v>0</v>
      </c>
      <c r="Q551" s="765"/>
      <c r="R551" s="576">
        <f t="shared" ref="R551:S613" si="176">M551</f>
        <v>0</v>
      </c>
      <c r="S551" s="576">
        <f t="shared" si="167"/>
        <v>0</v>
      </c>
      <c r="T551" s="577">
        <f t="shared" si="172"/>
        <v>0</v>
      </c>
      <c r="U551" s="578">
        <f t="shared" si="173"/>
        <v>0</v>
      </c>
      <c r="V551" s="579"/>
      <c r="W551" s="566"/>
      <c r="X551" s="586" t="str">
        <f t="shared" si="170"/>
        <v/>
      </c>
      <c r="Y551" s="586" t="str">
        <f t="shared" si="143"/>
        <v/>
      </c>
      <c r="Z551" s="586" t="str">
        <f t="shared" si="147"/>
        <v/>
      </c>
    </row>
    <row r="552" spans="1:26" ht="12" hidden="1" thickBot="1" x14ac:dyDescent="0.25">
      <c r="A552" s="567">
        <v>810400</v>
      </c>
      <c r="B552" s="644">
        <v>810400</v>
      </c>
      <c r="C552" s="645" t="s">
        <v>206</v>
      </c>
      <c r="D552" s="422" t="s">
        <v>1802</v>
      </c>
      <c r="E552" s="423"/>
      <c r="F552" s="424"/>
      <c r="G552" s="425"/>
      <c r="H552" s="651">
        <f>SUM(H553:H555)</f>
        <v>23.135548</v>
      </c>
      <c r="I552" s="420">
        <v>40.36</v>
      </c>
      <c r="J552" s="420">
        <f>IF(ISBLANK(I552),"",SUM(H552:I552))</f>
        <v>63.495547999999999</v>
      </c>
      <c r="K552" s="421">
        <f t="shared" si="162"/>
        <v>75.44</v>
      </c>
      <c r="L552" s="647" t="s">
        <v>19</v>
      </c>
      <c r="M552" s="576"/>
      <c r="N552" s="576">
        <f t="shared" si="165"/>
        <v>0</v>
      </c>
      <c r="O552" s="577">
        <f t="shared" si="174"/>
        <v>0</v>
      </c>
      <c r="P552" s="578">
        <f t="shared" si="175"/>
        <v>0</v>
      </c>
      <c r="Q552" s="765"/>
      <c r="R552" s="576">
        <f t="shared" si="176"/>
        <v>0</v>
      </c>
      <c r="S552" s="576">
        <f t="shared" si="167"/>
        <v>0</v>
      </c>
      <c r="T552" s="577">
        <f t="shared" si="172"/>
        <v>0</v>
      </c>
      <c r="U552" s="578">
        <f t="shared" si="173"/>
        <v>0</v>
      </c>
      <c r="V552" s="579"/>
      <c r="W552" s="566"/>
      <c r="X552" s="586" t="str">
        <f t="shared" si="170"/>
        <v/>
      </c>
      <c r="Y552" s="586" t="str">
        <f t="shared" si="143"/>
        <v/>
      </c>
      <c r="Z552" s="586" t="str">
        <f t="shared" si="147"/>
        <v/>
      </c>
    </row>
    <row r="553" spans="1:26" ht="12" hidden="1" thickBot="1" x14ac:dyDescent="0.25">
      <c r="A553" s="567" t="s">
        <v>168</v>
      </c>
      <c r="B553" s="644" t="s">
        <v>168</v>
      </c>
      <c r="C553" s="645"/>
      <c r="D553" s="451" t="s">
        <v>212</v>
      </c>
      <c r="E553" s="423"/>
      <c r="F553" s="424">
        <v>500</v>
      </c>
      <c r="G553" s="425">
        <f>ROUND(0.072*0.27,4)</f>
        <v>1.9400000000000001E-2</v>
      </c>
      <c r="H553" s="649">
        <f>IF(F553&lt;=30,(0.78*F553+7.82)*G553,((0.78*30+7.82)+0.78*(F553-30))*G553)</f>
        <v>7.7177080000000009</v>
      </c>
      <c r="I553" s="420">
        <v>0</v>
      </c>
      <c r="J553" s="420"/>
      <c r="K553" s="421">
        <f t="shared" si="162"/>
        <v>0</v>
      </c>
      <c r="L553" s="668" t="s">
        <v>614</v>
      </c>
      <c r="M553" s="669"/>
      <c r="N553" s="576">
        <f t="shared" si="165"/>
        <v>0</v>
      </c>
      <c r="O553" s="577">
        <f t="shared" si="174"/>
        <v>0</v>
      </c>
      <c r="P553" s="578">
        <f t="shared" si="175"/>
        <v>0</v>
      </c>
      <c r="Q553" s="765"/>
      <c r="R553" s="669"/>
      <c r="S553" s="670"/>
      <c r="T553" s="577">
        <f t="shared" si="172"/>
        <v>0</v>
      </c>
      <c r="U553" s="578">
        <f t="shared" si="173"/>
        <v>0</v>
      </c>
      <c r="V553" s="579"/>
      <c r="W553" s="637" t="str">
        <f>IF(U552&gt;0,"xx",IF(P552&gt;0,"xy",""))</f>
        <v/>
      </c>
      <c r="X553" s="586" t="str">
        <f t="shared" si="170"/>
        <v/>
      </c>
      <c r="Y553" s="586" t="str">
        <f t="shared" si="143"/>
        <v/>
      </c>
      <c r="Z553" s="586" t="str">
        <f t="shared" si="147"/>
        <v/>
      </c>
    </row>
    <row r="554" spans="1:26" ht="12" hidden="1" thickBot="1" x14ac:dyDescent="0.25">
      <c r="A554" s="567" t="s">
        <v>168</v>
      </c>
      <c r="B554" s="644" t="s">
        <v>168</v>
      </c>
      <c r="C554" s="645"/>
      <c r="D554" s="451" t="s">
        <v>248</v>
      </c>
      <c r="E554" s="423"/>
      <c r="F554" s="424">
        <v>180</v>
      </c>
      <c r="G554" s="425">
        <f>ROUND(0.072*0.96,4)</f>
        <v>6.9099999999999995E-2</v>
      </c>
      <c r="H554" s="663">
        <f t="shared" ref="H554:H556" si="177">IF(F554&lt;=30,(1.07*F554+2.68)*G554,((1.07*30+2.68)+1.07*(F554-30))*G554)</f>
        <v>13.493848</v>
      </c>
      <c r="I554" s="420">
        <v>0</v>
      </c>
      <c r="J554" s="420"/>
      <c r="K554" s="421">
        <f t="shared" si="162"/>
        <v>0</v>
      </c>
      <c r="L554" s="668" t="s">
        <v>614</v>
      </c>
      <c r="M554" s="669"/>
      <c r="N554" s="576">
        <f t="shared" si="165"/>
        <v>0</v>
      </c>
      <c r="O554" s="577">
        <f t="shared" si="174"/>
        <v>0</v>
      </c>
      <c r="P554" s="578">
        <f t="shared" si="175"/>
        <v>0</v>
      </c>
      <c r="Q554" s="765"/>
      <c r="R554" s="669"/>
      <c r="S554" s="670"/>
      <c r="T554" s="577">
        <f t="shared" si="172"/>
        <v>0</v>
      </c>
      <c r="U554" s="578">
        <f t="shared" si="173"/>
        <v>0</v>
      </c>
      <c r="V554" s="579"/>
      <c r="W554" s="637" t="str">
        <f>IF(U552&gt;0,"xx",IF(P552&gt;0,"xy",""))</f>
        <v/>
      </c>
      <c r="X554" s="586" t="str">
        <f t="shared" si="170"/>
        <v/>
      </c>
      <c r="Y554" s="586" t="str">
        <f t="shared" si="143"/>
        <v/>
      </c>
      <c r="Z554" s="586" t="str">
        <f t="shared" si="147"/>
        <v/>
      </c>
    </row>
    <row r="555" spans="1:26" ht="12" hidden="1" thickBot="1" x14ac:dyDescent="0.25">
      <c r="A555" s="567" t="s">
        <v>168</v>
      </c>
      <c r="B555" s="644" t="s">
        <v>168</v>
      </c>
      <c r="C555" s="645"/>
      <c r="D555" s="451" t="s">
        <v>252</v>
      </c>
      <c r="E555" s="423"/>
      <c r="F555" s="424">
        <v>20</v>
      </c>
      <c r="G555" s="425">
        <f>ROUND(0.072*1.11,4)</f>
        <v>7.9899999999999999E-2</v>
      </c>
      <c r="H555" s="663">
        <f t="shared" si="177"/>
        <v>1.9239920000000001</v>
      </c>
      <c r="I555" s="420">
        <v>0</v>
      </c>
      <c r="J555" s="420"/>
      <c r="K555" s="421">
        <f t="shared" si="162"/>
        <v>0</v>
      </c>
      <c r="L555" s="668" t="s">
        <v>614</v>
      </c>
      <c r="M555" s="669"/>
      <c r="N555" s="576">
        <f t="shared" si="165"/>
        <v>0</v>
      </c>
      <c r="O555" s="577">
        <f t="shared" si="174"/>
        <v>0</v>
      </c>
      <c r="P555" s="578">
        <f t="shared" si="175"/>
        <v>0</v>
      </c>
      <c r="Q555" s="765"/>
      <c r="R555" s="669"/>
      <c r="S555" s="670"/>
      <c r="T555" s="577">
        <f t="shared" si="172"/>
        <v>0</v>
      </c>
      <c r="U555" s="578">
        <f t="shared" si="173"/>
        <v>0</v>
      </c>
      <c r="V555" s="579"/>
      <c r="W555" s="637" t="str">
        <f>IF(U552&gt;0,"xx",IF(P552&gt;0,"xy",""))</f>
        <v/>
      </c>
      <c r="X555" s="586" t="str">
        <f t="shared" si="170"/>
        <v/>
      </c>
      <c r="Y555" s="586" t="str">
        <f t="shared" si="143"/>
        <v/>
      </c>
      <c r="Z555" s="586" t="str">
        <f t="shared" si="147"/>
        <v/>
      </c>
    </row>
    <row r="556" spans="1:26" ht="12" hidden="1" thickBot="1" x14ac:dyDescent="0.25">
      <c r="A556" s="567">
        <v>810350</v>
      </c>
      <c r="B556" s="644">
        <v>810350</v>
      </c>
      <c r="C556" s="645" t="s">
        <v>206</v>
      </c>
      <c r="D556" s="422" t="s">
        <v>1803</v>
      </c>
      <c r="E556" s="423"/>
      <c r="F556" s="424">
        <v>10</v>
      </c>
      <c r="G556" s="425">
        <v>0.16839999999999999</v>
      </c>
      <c r="H556" s="663">
        <f t="shared" si="177"/>
        <v>2.2531919999999999</v>
      </c>
      <c r="I556" s="420">
        <v>61.83</v>
      </c>
      <c r="J556" s="420">
        <f>IF(ISBLANK(I556),"",SUM(H556:I556))</f>
        <v>64.083191999999997</v>
      </c>
      <c r="K556" s="421">
        <f t="shared" si="162"/>
        <v>76.14</v>
      </c>
      <c r="L556" s="647" t="s">
        <v>19</v>
      </c>
      <c r="M556" s="587"/>
      <c r="N556" s="576">
        <f t="shared" si="165"/>
        <v>0</v>
      </c>
      <c r="O556" s="577">
        <f t="shared" si="174"/>
        <v>0</v>
      </c>
      <c r="P556" s="578">
        <f t="shared" si="175"/>
        <v>0</v>
      </c>
      <c r="Q556" s="765"/>
      <c r="R556" s="650">
        <f t="shared" si="176"/>
        <v>0</v>
      </c>
      <c r="S556" s="587">
        <f t="shared" si="167"/>
        <v>0</v>
      </c>
      <c r="T556" s="577">
        <f t="shared" si="172"/>
        <v>0</v>
      </c>
      <c r="U556" s="578">
        <f t="shared" si="173"/>
        <v>0</v>
      </c>
      <c r="V556" s="579"/>
      <c r="W556" s="566"/>
      <c r="X556" s="586" t="str">
        <f t="shared" si="170"/>
        <v/>
      </c>
      <c r="Y556" s="586" t="str">
        <f t="shared" si="143"/>
        <v/>
      </c>
      <c r="Z556" s="586" t="str">
        <f t="shared" si="147"/>
        <v/>
      </c>
    </row>
    <row r="557" spans="1:26" ht="12" hidden="1" thickBot="1" x14ac:dyDescent="0.25">
      <c r="A557" s="652" t="s">
        <v>187</v>
      </c>
      <c r="B557" s="653" t="s">
        <v>187</v>
      </c>
      <c r="C557" s="654"/>
      <c r="D557" s="427" t="s">
        <v>235</v>
      </c>
      <c r="E557" s="428"/>
      <c r="F557" s="655"/>
      <c r="G557" s="656"/>
      <c r="H557" s="657"/>
      <c r="I557" s="429"/>
      <c r="J557" s="429"/>
      <c r="K557" s="429"/>
      <c r="L557" s="429" t="s">
        <v>614</v>
      </c>
      <c r="M557" s="657"/>
      <c r="N557" s="576">
        <f t="shared" si="165"/>
        <v>0</v>
      </c>
      <c r="O557" s="429">
        <f t="shared" si="174"/>
        <v>0</v>
      </c>
      <c r="P557" s="658">
        <f t="shared" si="175"/>
        <v>0</v>
      </c>
      <c r="Q557" s="765"/>
      <c r="R557" s="657"/>
      <c r="S557" s="429"/>
      <c r="T557" s="429">
        <f t="shared" si="172"/>
        <v>0</v>
      </c>
      <c r="U557" s="658">
        <f t="shared" si="173"/>
        <v>0</v>
      </c>
      <c r="V557" s="579"/>
      <c r="W557" s="637" t="str">
        <f>IF(OR(SUM(P558:P582)&gt;0,SUM(U558:U582)&gt;0),"y","")</f>
        <v/>
      </c>
      <c r="X557" s="586" t="str">
        <f t="shared" si="170"/>
        <v/>
      </c>
      <c r="Y557" s="586" t="str">
        <f t="shared" si="143"/>
        <v/>
      </c>
      <c r="Z557" s="586" t="str">
        <f t="shared" si="147"/>
        <v/>
      </c>
    </row>
    <row r="558" spans="1:26" ht="12" hidden="1" thickBot="1" x14ac:dyDescent="0.25">
      <c r="A558" s="652" t="s">
        <v>187</v>
      </c>
      <c r="B558" s="572" t="s">
        <v>187</v>
      </c>
      <c r="C558" s="573" t="s">
        <v>187</v>
      </c>
      <c r="D558" s="574"/>
      <c r="E558" s="575"/>
      <c r="F558" s="436"/>
      <c r="G558" s="431"/>
      <c r="H558" s="430"/>
      <c r="I558" s="432"/>
      <c r="J558" s="433"/>
      <c r="K558" s="434">
        <f t="shared" ref="K558:K582" si="178">IF(ISBLANK(J558),0,ROUND(J558*(1+$F$10)*(1+$F$11*E558),2))</f>
        <v>0</v>
      </c>
      <c r="L558" s="435" t="s">
        <v>614</v>
      </c>
      <c r="M558" s="587"/>
      <c r="N558" s="576">
        <f t="shared" si="165"/>
        <v>0</v>
      </c>
      <c r="O558" s="577">
        <f t="shared" si="174"/>
        <v>0</v>
      </c>
      <c r="P558" s="578">
        <f t="shared" si="175"/>
        <v>0</v>
      </c>
      <c r="Q558" s="765"/>
      <c r="R558" s="650">
        <f t="shared" si="176"/>
        <v>0</v>
      </c>
      <c r="S558" s="587">
        <f t="shared" si="167"/>
        <v>0</v>
      </c>
      <c r="T558" s="577">
        <f t="shared" si="172"/>
        <v>0</v>
      </c>
      <c r="U558" s="578">
        <f t="shared" si="173"/>
        <v>0</v>
      </c>
      <c r="V558" s="579"/>
      <c r="W558" s="566"/>
      <c r="X558" s="586" t="str">
        <f t="shared" si="170"/>
        <v/>
      </c>
      <c r="Y558" s="586" t="str">
        <f t="shared" si="143"/>
        <v/>
      </c>
      <c r="Z558" s="586" t="str">
        <f t="shared" si="147"/>
        <v/>
      </c>
    </row>
    <row r="559" spans="1:26" ht="12" hidden="1" thickBot="1" x14ac:dyDescent="0.25">
      <c r="A559" s="652" t="s">
        <v>187</v>
      </c>
      <c r="B559" s="572" t="s">
        <v>187</v>
      </c>
      <c r="C559" s="573" t="s">
        <v>187</v>
      </c>
      <c r="D559" s="580"/>
      <c r="E559" s="575"/>
      <c r="F559" s="436"/>
      <c r="G559" s="431"/>
      <c r="H559" s="430"/>
      <c r="I559" s="432"/>
      <c r="J559" s="433"/>
      <c r="K559" s="437">
        <f t="shared" si="178"/>
        <v>0</v>
      </c>
      <c r="L559" s="435" t="s">
        <v>614</v>
      </c>
      <c r="M559" s="576"/>
      <c r="N559" s="576">
        <f t="shared" si="165"/>
        <v>0</v>
      </c>
      <c r="O559" s="577">
        <f t="shared" si="174"/>
        <v>0</v>
      </c>
      <c r="P559" s="578">
        <f t="shared" si="175"/>
        <v>0</v>
      </c>
      <c r="Q559" s="765"/>
      <c r="R559" s="576">
        <f t="shared" si="176"/>
        <v>0</v>
      </c>
      <c r="S559" s="576">
        <f t="shared" si="167"/>
        <v>0</v>
      </c>
      <c r="T559" s="577">
        <f t="shared" si="172"/>
        <v>0</v>
      </c>
      <c r="U559" s="659">
        <f t="shared" si="173"/>
        <v>0</v>
      </c>
      <c r="V559" s="579"/>
      <c r="W559" s="566"/>
      <c r="X559" s="586" t="str">
        <f t="shared" si="170"/>
        <v/>
      </c>
      <c r="Y559" s="586" t="str">
        <f t="shared" si="143"/>
        <v/>
      </c>
      <c r="Z559" s="586" t="str">
        <f t="shared" si="147"/>
        <v/>
      </c>
    </row>
    <row r="560" spans="1:26" ht="12" hidden="1" thickBot="1" x14ac:dyDescent="0.25">
      <c r="A560" s="652" t="s">
        <v>187</v>
      </c>
      <c r="B560" s="572" t="s">
        <v>187</v>
      </c>
      <c r="C560" s="573" t="s">
        <v>187</v>
      </c>
      <c r="D560" s="580"/>
      <c r="E560" s="575"/>
      <c r="F560" s="436"/>
      <c r="G560" s="431"/>
      <c r="H560" s="430"/>
      <c r="I560" s="432"/>
      <c r="J560" s="433"/>
      <c r="K560" s="437">
        <f t="shared" si="178"/>
        <v>0</v>
      </c>
      <c r="L560" s="435" t="s">
        <v>614</v>
      </c>
      <c r="M560" s="576"/>
      <c r="N560" s="576">
        <f t="shared" si="165"/>
        <v>0</v>
      </c>
      <c r="O560" s="577">
        <f t="shared" si="174"/>
        <v>0</v>
      </c>
      <c r="P560" s="578">
        <f t="shared" si="175"/>
        <v>0</v>
      </c>
      <c r="Q560" s="765"/>
      <c r="R560" s="576">
        <f t="shared" si="176"/>
        <v>0</v>
      </c>
      <c r="S560" s="576">
        <f t="shared" si="167"/>
        <v>0</v>
      </c>
      <c r="T560" s="577">
        <f t="shared" si="172"/>
        <v>0</v>
      </c>
      <c r="U560" s="578">
        <f t="shared" si="173"/>
        <v>0</v>
      </c>
      <c r="V560" s="579"/>
      <c r="W560" s="566"/>
      <c r="X560" s="586" t="str">
        <f t="shared" si="170"/>
        <v/>
      </c>
      <c r="Y560" s="586" t="str">
        <f t="shared" si="143"/>
        <v/>
      </c>
      <c r="Z560" s="586" t="str">
        <f t="shared" si="147"/>
        <v/>
      </c>
    </row>
    <row r="561" spans="1:26" ht="12" hidden="1" thickBot="1" x14ac:dyDescent="0.25">
      <c r="A561" s="652" t="s">
        <v>187</v>
      </c>
      <c r="B561" s="572" t="s">
        <v>187</v>
      </c>
      <c r="C561" s="573" t="s">
        <v>187</v>
      </c>
      <c r="D561" s="580"/>
      <c r="E561" s="575"/>
      <c r="F561" s="436"/>
      <c r="G561" s="431"/>
      <c r="H561" s="430"/>
      <c r="I561" s="432"/>
      <c r="J561" s="433"/>
      <c r="K561" s="437">
        <f t="shared" si="178"/>
        <v>0</v>
      </c>
      <c r="L561" s="435" t="s">
        <v>614</v>
      </c>
      <c r="M561" s="576"/>
      <c r="N561" s="576">
        <f t="shared" si="165"/>
        <v>0</v>
      </c>
      <c r="O561" s="577">
        <f t="shared" si="174"/>
        <v>0</v>
      </c>
      <c r="P561" s="578">
        <f t="shared" si="175"/>
        <v>0</v>
      </c>
      <c r="Q561" s="765"/>
      <c r="R561" s="576">
        <f t="shared" si="176"/>
        <v>0</v>
      </c>
      <c r="S561" s="576">
        <f t="shared" si="167"/>
        <v>0</v>
      </c>
      <c r="T561" s="577">
        <f t="shared" si="172"/>
        <v>0</v>
      </c>
      <c r="U561" s="578">
        <f t="shared" si="173"/>
        <v>0</v>
      </c>
      <c r="V561" s="579"/>
      <c r="W561" s="566"/>
      <c r="X561" s="586" t="str">
        <f t="shared" si="170"/>
        <v/>
      </c>
      <c r="Y561" s="586" t="str">
        <f t="shared" si="143"/>
        <v/>
      </c>
      <c r="Z561" s="586" t="str">
        <f t="shared" si="147"/>
        <v/>
      </c>
    </row>
    <row r="562" spans="1:26" ht="12" hidden="1" thickBot="1" x14ac:dyDescent="0.25">
      <c r="A562" s="652" t="s">
        <v>187</v>
      </c>
      <c r="B562" s="572" t="s">
        <v>187</v>
      </c>
      <c r="C562" s="573" t="s">
        <v>187</v>
      </c>
      <c r="D562" s="580"/>
      <c r="E562" s="575"/>
      <c r="F562" s="436"/>
      <c r="G562" s="431"/>
      <c r="H562" s="430"/>
      <c r="I562" s="432"/>
      <c r="J562" s="433"/>
      <c r="K562" s="437">
        <f t="shared" si="178"/>
        <v>0</v>
      </c>
      <c r="L562" s="435" t="s">
        <v>614</v>
      </c>
      <c r="M562" s="576"/>
      <c r="N562" s="576">
        <f t="shared" si="165"/>
        <v>0</v>
      </c>
      <c r="O562" s="577">
        <f t="shared" si="174"/>
        <v>0</v>
      </c>
      <c r="P562" s="578">
        <f t="shared" si="175"/>
        <v>0</v>
      </c>
      <c r="Q562" s="765"/>
      <c r="R562" s="576">
        <f t="shared" si="176"/>
        <v>0</v>
      </c>
      <c r="S562" s="576">
        <f t="shared" si="167"/>
        <v>0</v>
      </c>
      <c r="T562" s="577">
        <f t="shared" si="172"/>
        <v>0</v>
      </c>
      <c r="U562" s="578">
        <f t="shared" si="173"/>
        <v>0</v>
      </c>
      <c r="V562" s="579"/>
      <c r="W562" s="566"/>
      <c r="X562" s="586" t="str">
        <f t="shared" si="170"/>
        <v/>
      </c>
      <c r="Y562" s="586" t="str">
        <f t="shared" si="143"/>
        <v/>
      </c>
      <c r="Z562" s="586" t="str">
        <f t="shared" si="147"/>
        <v/>
      </c>
    </row>
    <row r="563" spans="1:26" ht="12" hidden="1" thickBot="1" x14ac:dyDescent="0.25">
      <c r="A563" s="652" t="s">
        <v>187</v>
      </c>
      <c r="B563" s="572" t="s">
        <v>187</v>
      </c>
      <c r="C563" s="573" t="s">
        <v>187</v>
      </c>
      <c r="D563" s="580"/>
      <c r="E563" s="575"/>
      <c r="F563" s="436"/>
      <c r="G563" s="431"/>
      <c r="H563" s="430"/>
      <c r="I563" s="432"/>
      <c r="J563" s="433"/>
      <c r="K563" s="437">
        <f t="shared" si="178"/>
        <v>0</v>
      </c>
      <c r="L563" s="435" t="s">
        <v>614</v>
      </c>
      <c r="M563" s="576"/>
      <c r="N563" s="576">
        <f t="shared" si="165"/>
        <v>0</v>
      </c>
      <c r="O563" s="577">
        <f t="shared" si="174"/>
        <v>0</v>
      </c>
      <c r="P563" s="578">
        <f t="shared" si="175"/>
        <v>0</v>
      </c>
      <c r="Q563" s="765"/>
      <c r="R563" s="576">
        <f t="shared" si="176"/>
        <v>0</v>
      </c>
      <c r="S563" s="576">
        <f t="shared" si="167"/>
        <v>0</v>
      </c>
      <c r="T563" s="577">
        <f t="shared" si="172"/>
        <v>0</v>
      </c>
      <c r="U563" s="578">
        <f t="shared" si="173"/>
        <v>0</v>
      </c>
      <c r="V563" s="579"/>
      <c r="W563" s="566"/>
      <c r="X563" s="586" t="str">
        <f t="shared" si="170"/>
        <v/>
      </c>
      <c r="Y563" s="586" t="str">
        <f t="shared" si="143"/>
        <v/>
      </c>
      <c r="Z563" s="586" t="str">
        <f t="shared" si="147"/>
        <v/>
      </c>
    </row>
    <row r="564" spans="1:26" ht="12" hidden="1" thickBot="1" x14ac:dyDescent="0.25">
      <c r="A564" s="652" t="s">
        <v>187</v>
      </c>
      <c r="B564" s="572" t="s">
        <v>187</v>
      </c>
      <c r="C564" s="573" t="s">
        <v>187</v>
      </c>
      <c r="D564" s="580"/>
      <c r="E564" s="575"/>
      <c r="F564" s="436"/>
      <c r="G564" s="431"/>
      <c r="H564" s="430"/>
      <c r="I564" s="432"/>
      <c r="J564" s="433"/>
      <c r="K564" s="437">
        <f t="shared" si="178"/>
        <v>0</v>
      </c>
      <c r="L564" s="435" t="s">
        <v>614</v>
      </c>
      <c r="M564" s="576"/>
      <c r="N564" s="576">
        <f t="shared" si="165"/>
        <v>0</v>
      </c>
      <c r="O564" s="577">
        <f t="shared" si="174"/>
        <v>0</v>
      </c>
      <c r="P564" s="578">
        <f t="shared" si="175"/>
        <v>0</v>
      </c>
      <c r="Q564" s="765"/>
      <c r="R564" s="576">
        <f t="shared" si="176"/>
        <v>0</v>
      </c>
      <c r="S564" s="576">
        <f t="shared" si="167"/>
        <v>0</v>
      </c>
      <c r="T564" s="577">
        <f t="shared" si="172"/>
        <v>0</v>
      </c>
      <c r="U564" s="578">
        <f t="shared" si="173"/>
        <v>0</v>
      </c>
      <c r="V564" s="579"/>
      <c r="W564" s="566"/>
      <c r="X564" s="586" t="str">
        <f t="shared" si="170"/>
        <v/>
      </c>
      <c r="Y564" s="586" t="str">
        <f t="shared" si="143"/>
        <v/>
      </c>
      <c r="Z564" s="586" t="str">
        <f t="shared" si="147"/>
        <v/>
      </c>
    </row>
    <row r="565" spans="1:26" ht="12" hidden="1" thickBot="1" x14ac:dyDescent="0.25">
      <c r="A565" s="652" t="s">
        <v>187</v>
      </c>
      <c r="B565" s="572" t="s">
        <v>187</v>
      </c>
      <c r="C565" s="573" t="s">
        <v>187</v>
      </c>
      <c r="D565" s="580"/>
      <c r="E565" s="575"/>
      <c r="F565" s="436"/>
      <c r="G565" s="431"/>
      <c r="H565" s="430"/>
      <c r="I565" s="432"/>
      <c r="J565" s="433"/>
      <c r="K565" s="437">
        <f t="shared" si="178"/>
        <v>0</v>
      </c>
      <c r="L565" s="435" t="s">
        <v>614</v>
      </c>
      <c r="M565" s="576"/>
      <c r="N565" s="576">
        <f t="shared" si="165"/>
        <v>0</v>
      </c>
      <c r="O565" s="577">
        <f t="shared" si="174"/>
        <v>0</v>
      </c>
      <c r="P565" s="578">
        <f t="shared" si="175"/>
        <v>0</v>
      </c>
      <c r="Q565" s="765"/>
      <c r="R565" s="576">
        <f t="shared" si="176"/>
        <v>0</v>
      </c>
      <c r="S565" s="576">
        <f t="shared" si="167"/>
        <v>0</v>
      </c>
      <c r="T565" s="577">
        <f t="shared" si="172"/>
        <v>0</v>
      </c>
      <c r="U565" s="578">
        <f t="shared" si="173"/>
        <v>0</v>
      </c>
      <c r="V565" s="579"/>
      <c r="W565" s="566"/>
      <c r="X565" s="586" t="str">
        <f t="shared" si="170"/>
        <v/>
      </c>
      <c r="Y565" s="586" t="str">
        <f t="shared" si="143"/>
        <v/>
      </c>
      <c r="Z565" s="586" t="str">
        <f t="shared" si="147"/>
        <v/>
      </c>
    </row>
    <row r="566" spans="1:26" ht="12" hidden="1" thickBot="1" x14ac:dyDescent="0.25">
      <c r="A566" s="652" t="s">
        <v>187</v>
      </c>
      <c r="B566" s="572" t="s">
        <v>187</v>
      </c>
      <c r="C566" s="573" t="s">
        <v>187</v>
      </c>
      <c r="D566" s="580"/>
      <c r="E566" s="575"/>
      <c r="F566" s="436"/>
      <c r="G566" s="431"/>
      <c r="H566" s="430"/>
      <c r="I566" s="432"/>
      <c r="J566" s="433"/>
      <c r="K566" s="437">
        <f t="shared" si="178"/>
        <v>0</v>
      </c>
      <c r="L566" s="435" t="s">
        <v>614</v>
      </c>
      <c r="M566" s="576"/>
      <c r="N566" s="576">
        <f t="shared" si="165"/>
        <v>0</v>
      </c>
      <c r="O566" s="577">
        <f t="shared" si="174"/>
        <v>0</v>
      </c>
      <c r="P566" s="578">
        <f t="shared" si="175"/>
        <v>0</v>
      </c>
      <c r="Q566" s="765"/>
      <c r="R566" s="576">
        <f t="shared" si="176"/>
        <v>0</v>
      </c>
      <c r="S566" s="576">
        <f t="shared" si="167"/>
        <v>0</v>
      </c>
      <c r="T566" s="577">
        <f t="shared" si="172"/>
        <v>0</v>
      </c>
      <c r="U566" s="578">
        <f t="shared" si="173"/>
        <v>0</v>
      </c>
      <c r="V566" s="579"/>
      <c r="W566" s="566"/>
      <c r="X566" s="586" t="str">
        <f t="shared" si="170"/>
        <v/>
      </c>
      <c r="Y566" s="586" t="str">
        <f t="shared" si="143"/>
        <v/>
      </c>
      <c r="Z566" s="586" t="str">
        <f t="shared" si="147"/>
        <v/>
      </c>
    </row>
    <row r="567" spans="1:26" ht="12" hidden="1" thickBot="1" x14ac:dyDescent="0.25">
      <c r="A567" s="652" t="s">
        <v>187</v>
      </c>
      <c r="B567" s="572" t="s">
        <v>187</v>
      </c>
      <c r="C567" s="573" t="s">
        <v>187</v>
      </c>
      <c r="D567" s="580"/>
      <c r="E567" s="575"/>
      <c r="F567" s="436"/>
      <c r="G567" s="431"/>
      <c r="H567" s="430"/>
      <c r="I567" s="432"/>
      <c r="J567" s="433"/>
      <c r="K567" s="437">
        <f t="shared" si="178"/>
        <v>0</v>
      </c>
      <c r="L567" s="435" t="s">
        <v>614</v>
      </c>
      <c r="M567" s="576"/>
      <c r="N567" s="576">
        <f t="shared" si="165"/>
        <v>0</v>
      </c>
      <c r="O567" s="577">
        <f t="shared" si="174"/>
        <v>0</v>
      </c>
      <c r="P567" s="578">
        <f t="shared" si="175"/>
        <v>0</v>
      </c>
      <c r="Q567" s="765"/>
      <c r="R567" s="576">
        <f t="shared" si="176"/>
        <v>0</v>
      </c>
      <c r="S567" s="576">
        <f t="shared" si="167"/>
        <v>0</v>
      </c>
      <c r="T567" s="577">
        <f t="shared" si="172"/>
        <v>0</v>
      </c>
      <c r="U567" s="578">
        <f t="shared" si="173"/>
        <v>0</v>
      </c>
      <c r="V567" s="579"/>
      <c r="W567" s="566"/>
      <c r="X567" s="586" t="str">
        <f t="shared" si="170"/>
        <v/>
      </c>
      <c r="Y567" s="586" t="str">
        <f t="shared" si="143"/>
        <v/>
      </c>
      <c r="Z567" s="586" t="str">
        <f t="shared" si="147"/>
        <v/>
      </c>
    </row>
    <row r="568" spans="1:26" ht="12" hidden="1" thickBot="1" x14ac:dyDescent="0.25">
      <c r="A568" s="652" t="s">
        <v>187</v>
      </c>
      <c r="B568" s="572" t="s">
        <v>187</v>
      </c>
      <c r="C568" s="573" t="s">
        <v>187</v>
      </c>
      <c r="D568" s="580"/>
      <c r="E568" s="575"/>
      <c r="F568" s="436"/>
      <c r="G568" s="431"/>
      <c r="H568" s="430"/>
      <c r="I568" s="432"/>
      <c r="J568" s="433"/>
      <c r="K568" s="437">
        <f t="shared" si="178"/>
        <v>0</v>
      </c>
      <c r="L568" s="435" t="s">
        <v>614</v>
      </c>
      <c r="M568" s="576"/>
      <c r="N568" s="576">
        <f t="shared" si="165"/>
        <v>0</v>
      </c>
      <c r="O568" s="577">
        <f t="shared" si="174"/>
        <v>0</v>
      </c>
      <c r="P568" s="578">
        <f t="shared" si="175"/>
        <v>0</v>
      </c>
      <c r="Q568" s="765"/>
      <c r="R568" s="576">
        <f t="shared" si="176"/>
        <v>0</v>
      </c>
      <c r="S568" s="576">
        <f t="shared" si="167"/>
        <v>0</v>
      </c>
      <c r="T568" s="577">
        <f t="shared" si="172"/>
        <v>0</v>
      </c>
      <c r="U568" s="578">
        <f t="shared" si="173"/>
        <v>0</v>
      </c>
      <c r="V568" s="579"/>
      <c r="W568" s="566"/>
      <c r="X568" s="586" t="str">
        <f t="shared" si="170"/>
        <v/>
      </c>
      <c r="Y568" s="586" t="str">
        <f t="shared" si="143"/>
        <v/>
      </c>
      <c r="Z568" s="586" t="str">
        <f t="shared" si="147"/>
        <v/>
      </c>
    </row>
    <row r="569" spans="1:26" ht="12" hidden="1" thickBot="1" x14ac:dyDescent="0.25">
      <c r="A569" s="652" t="s">
        <v>187</v>
      </c>
      <c r="B569" s="572" t="s">
        <v>187</v>
      </c>
      <c r="C569" s="573" t="s">
        <v>187</v>
      </c>
      <c r="D569" s="580"/>
      <c r="E569" s="575"/>
      <c r="F569" s="436"/>
      <c r="G569" s="431"/>
      <c r="H569" s="430"/>
      <c r="I569" s="432"/>
      <c r="J569" s="433"/>
      <c r="K569" s="437">
        <f t="shared" si="178"/>
        <v>0</v>
      </c>
      <c r="L569" s="435" t="s">
        <v>614</v>
      </c>
      <c r="M569" s="576"/>
      <c r="N569" s="576">
        <f t="shared" si="165"/>
        <v>0</v>
      </c>
      <c r="O569" s="577">
        <f t="shared" si="174"/>
        <v>0</v>
      </c>
      <c r="P569" s="578">
        <f t="shared" si="175"/>
        <v>0</v>
      </c>
      <c r="Q569" s="765"/>
      <c r="R569" s="576">
        <f t="shared" si="176"/>
        <v>0</v>
      </c>
      <c r="S569" s="576">
        <f t="shared" si="167"/>
        <v>0</v>
      </c>
      <c r="T569" s="577">
        <f t="shared" si="172"/>
        <v>0</v>
      </c>
      <c r="U569" s="578">
        <f t="shared" si="173"/>
        <v>0</v>
      </c>
      <c r="V569" s="579"/>
      <c r="W569" s="566"/>
      <c r="X569" s="586" t="str">
        <f t="shared" si="170"/>
        <v/>
      </c>
      <c r="Y569" s="586" t="str">
        <f t="shared" si="143"/>
        <v/>
      </c>
      <c r="Z569" s="586" t="str">
        <f t="shared" si="147"/>
        <v/>
      </c>
    </row>
    <row r="570" spans="1:26" ht="12" hidden="1" thickBot="1" x14ac:dyDescent="0.25">
      <c r="A570" s="652" t="s">
        <v>187</v>
      </c>
      <c r="B570" s="572" t="s">
        <v>187</v>
      </c>
      <c r="C570" s="573" t="s">
        <v>187</v>
      </c>
      <c r="D570" s="580"/>
      <c r="E570" s="575"/>
      <c r="F570" s="436"/>
      <c r="G570" s="431"/>
      <c r="H570" s="430"/>
      <c r="I570" s="432"/>
      <c r="J570" s="433"/>
      <c r="K570" s="437">
        <f t="shared" si="178"/>
        <v>0</v>
      </c>
      <c r="L570" s="435" t="s">
        <v>614</v>
      </c>
      <c r="M570" s="576"/>
      <c r="N570" s="576">
        <f t="shared" si="165"/>
        <v>0</v>
      </c>
      <c r="O570" s="577">
        <f t="shared" si="174"/>
        <v>0</v>
      </c>
      <c r="P570" s="578">
        <f t="shared" si="175"/>
        <v>0</v>
      </c>
      <c r="Q570" s="765"/>
      <c r="R570" s="576">
        <f t="shared" si="176"/>
        <v>0</v>
      </c>
      <c r="S570" s="576">
        <f t="shared" si="167"/>
        <v>0</v>
      </c>
      <c r="T570" s="577">
        <f t="shared" si="172"/>
        <v>0</v>
      </c>
      <c r="U570" s="578">
        <f t="shared" si="173"/>
        <v>0</v>
      </c>
      <c r="V570" s="579"/>
      <c r="W570" s="566"/>
      <c r="X570" s="586" t="str">
        <f t="shared" si="170"/>
        <v/>
      </c>
      <c r="Y570" s="586" t="str">
        <f t="shared" si="143"/>
        <v/>
      </c>
      <c r="Z570" s="586" t="str">
        <f t="shared" si="147"/>
        <v/>
      </c>
    </row>
    <row r="571" spans="1:26" ht="12" hidden="1" thickBot="1" x14ac:dyDescent="0.25">
      <c r="A571" s="652" t="s">
        <v>187</v>
      </c>
      <c r="B571" s="572" t="s">
        <v>187</v>
      </c>
      <c r="C571" s="573" t="s">
        <v>187</v>
      </c>
      <c r="D571" s="580"/>
      <c r="E571" s="575"/>
      <c r="F571" s="436"/>
      <c r="G571" s="431"/>
      <c r="H571" s="430"/>
      <c r="I571" s="432"/>
      <c r="J571" s="433"/>
      <c r="K571" s="437">
        <f t="shared" si="178"/>
        <v>0</v>
      </c>
      <c r="L571" s="435" t="s">
        <v>614</v>
      </c>
      <c r="M571" s="576"/>
      <c r="N571" s="576">
        <f t="shared" si="165"/>
        <v>0</v>
      </c>
      <c r="O571" s="577">
        <f t="shared" si="174"/>
        <v>0</v>
      </c>
      <c r="P571" s="578">
        <f t="shared" si="175"/>
        <v>0</v>
      </c>
      <c r="Q571" s="765"/>
      <c r="R571" s="576">
        <f t="shared" si="176"/>
        <v>0</v>
      </c>
      <c r="S571" s="576">
        <f t="shared" si="167"/>
        <v>0</v>
      </c>
      <c r="T571" s="577">
        <f t="shared" si="172"/>
        <v>0</v>
      </c>
      <c r="U571" s="578">
        <f t="shared" si="173"/>
        <v>0</v>
      </c>
      <c r="V571" s="579"/>
      <c r="W571" s="566"/>
      <c r="X571" s="586" t="str">
        <f t="shared" si="170"/>
        <v/>
      </c>
      <c r="Y571" s="586" t="str">
        <f t="shared" si="143"/>
        <v/>
      </c>
      <c r="Z571" s="586" t="str">
        <f t="shared" si="147"/>
        <v/>
      </c>
    </row>
    <row r="572" spans="1:26" ht="12" hidden="1" thickBot="1" x14ac:dyDescent="0.25">
      <c r="A572" s="652" t="s">
        <v>187</v>
      </c>
      <c r="B572" s="572" t="s">
        <v>187</v>
      </c>
      <c r="C572" s="573" t="s">
        <v>187</v>
      </c>
      <c r="D572" s="580"/>
      <c r="E572" s="575"/>
      <c r="F572" s="436"/>
      <c r="G572" s="431"/>
      <c r="H572" s="430"/>
      <c r="I572" s="432"/>
      <c r="J572" s="433"/>
      <c r="K572" s="437">
        <f t="shared" si="178"/>
        <v>0</v>
      </c>
      <c r="L572" s="435" t="s">
        <v>614</v>
      </c>
      <c r="M572" s="576"/>
      <c r="N572" s="576">
        <f t="shared" si="165"/>
        <v>0</v>
      </c>
      <c r="O572" s="577">
        <f t="shared" si="174"/>
        <v>0</v>
      </c>
      <c r="P572" s="578">
        <f t="shared" si="175"/>
        <v>0</v>
      </c>
      <c r="Q572" s="765"/>
      <c r="R572" s="576">
        <f t="shared" si="176"/>
        <v>0</v>
      </c>
      <c r="S572" s="576">
        <f t="shared" si="167"/>
        <v>0</v>
      </c>
      <c r="T572" s="577">
        <f t="shared" si="172"/>
        <v>0</v>
      </c>
      <c r="U572" s="578">
        <f t="shared" si="173"/>
        <v>0</v>
      </c>
      <c r="V572" s="579"/>
      <c r="W572" s="566"/>
      <c r="X572" s="586" t="str">
        <f t="shared" si="170"/>
        <v/>
      </c>
      <c r="Y572" s="586" t="str">
        <f t="shared" si="143"/>
        <v/>
      </c>
      <c r="Z572" s="586" t="str">
        <f t="shared" si="147"/>
        <v/>
      </c>
    </row>
    <row r="573" spans="1:26" ht="12" hidden="1" thickBot="1" x14ac:dyDescent="0.25">
      <c r="A573" s="652" t="s">
        <v>187</v>
      </c>
      <c r="B573" s="572" t="s">
        <v>187</v>
      </c>
      <c r="C573" s="573" t="s">
        <v>187</v>
      </c>
      <c r="D573" s="580"/>
      <c r="E573" s="575"/>
      <c r="F573" s="436"/>
      <c r="G573" s="431"/>
      <c r="H573" s="430"/>
      <c r="I573" s="432"/>
      <c r="J573" s="433"/>
      <c r="K573" s="437">
        <f t="shared" si="178"/>
        <v>0</v>
      </c>
      <c r="L573" s="435" t="s">
        <v>614</v>
      </c>
      <c r="M573" s="576"/>
      <c r="N573" s="576">
        <f t="shared" si="165"/>
        <v>0</v>
      </c>
      <c r="O573" s="577">
        <f t="shared" si="174"/>
        <v>0</v>
      </c>
      <c r="P573" s="578">
        <f t="shared" si="175"/>
        <v>0</v>
      </c>
      <c r="Q573" s="765"/>
      <c r="R573" s="576">
        <f t="shared" si="176"/>
        <v>0</v>
      </c>
      <c r="S573" s="576">
        <f t="shared" si="167"/>
        <v>0</v>
      </c>
      <c r="T573" s="577">
        <f t="shared" si="172"/>
        <v>0</v>
      </c>
      <c r="U573" s="578">
        <f t="shared" si="173"/>
        <v>0</v>
      </c>
      <c r="V573" s="579"/>
      <c r="W573" s="566"/>
      <c r="X573" s="586" t="str">
        <f t="shared" si="170"/>
        <v/>
      </c>
      <c r="Y573" s="586" t="str">
        <f t="shared" si="143"/>
        <v/>
      </c>
      <c r="Z573" s="586" t="str">
        <f t="shared" si="147"/>
        <v/>
      </c>
    </row>
    <row r="574" spans="1:26" ht="12" hidden="1" thickBot="1" x14ac:dyDescent="0.25">
      <c r="A574" s="652" t="s">
        <v>187</v>
      </c>
      <c r="B574" s="572" t="s">
        <v>187</v>
      </c>
      <c r="C574" s="573" t="s">
        <v>187</v>
      </c>
      <c r="D574" s="580"/>
      <c r="E574" s="575"/>
      <c r="F574" s="436"/>
      <c r="G574" s="431"/>
      <c r="H574" s="430"/>
      <c r="I574" s="432"/>
      <c r="J574" s="433"/>
      <c r="K574" s="437">
        <f t="shared" si="178"/>
        <v>0</v>
      </c>
      <c r="L574" s="435" t="s">
        <v>614</v>
      </c>
      <c r="M574" s="576"/>
      <c r="N574" s="576">
        <f t="shared" si="165"/>
        <v>0</v>
      </c>
      <c r="O574" s="577">
        <f t="shared" si="174"/>
        <v>0</v>
      </c>
      <c r="P574" s="578">
        <f t="shared" si="175"/>
        <v>0</v>
      </c>
      <c r="Q574" s="765"/>
      <c r="R574" s="576">
        <f t="shared" si="176"/>
        <v>0</v>
      </c>
      <c r="S574" s="576">
        <f t="shared" si="167"/>
        <v>0</v>
      </c>
      <c r="T574" s="577">
        <f t="shared" si="172"/>
        <v>0</v>
      </c>
      <c r="U574" s="578">
        <f t="shared" si="173"/>
        <v>0</v>
      </c>
      <c r="V574" s="579"/>
      <c r="W574" s="566"/>
      <c r="X574" s="586" t="str">
        <f t="shared" si="170"/>
        <v/>
      </c>
      <c r="Y574" s="586" t="str">
        <f t="shared" si="143"/>
        <v/>
      </c>
      <c r="Z574" s="586" t="str">
        <f t="shared" si="147"/>
        <v/>
      </c>
    </row>
    <row r="575" spans="1:26" ht="12" hidden="1" thickBot="1" x14ac:dyDescent="0.25">
      <c r="A575" s="652" t="s">
        <v>187</v>
      </c>
      <c r="B575" s="572" t="s">
        <v>187</v>
      </c>
      <c r="C575" s="573" t="s">
        <v>187</v>
      </c>
      <c r="D575" s="580"/>
      <c r="E575" s="575"/>
      <c r="F575" s="436"/>
      <c r="G575" s="431"/>
      <c r="H575" s="430"/>
      <c r="I575" s="432"/>
      <c r="J575" s="433"/>
      <c r="K575" s="437">
        <f t="shared" si="178"/>
        <v>0</v>
      </c>
      <c r="L575" s="435" t="s">
        <v>614</v>
      </c>
      <c r="M575" s="576"/>
      <c r="N575" s="576">
        <f t="shared" si="165"/>
        <v>0</v>
      </c>
      <c r="O575" s="577">
        <f t="shared" si="174"/>
        <v>0</v>
      </c>
      <c r="P575" s="578">
        <f t="shared" si="175"/>
        <v>0</v>
      </c>
      <c r="Q575" s="765"/>
      <c r="R575" s="576">
        <f t="shared" si="176"/>
        <v>0</v>
      </c>
      <c r="S575" s="576">
        <f t="shared" si="167"/>
        <v>0</v>
      </c>
      <c r="T575" s="577">
        <f t="shared" si="172"/>
        <v>0</v>
      </c>
      <c r="U575" s="578">
        <f t="shared" si="173"/>
        <v>0</v>
      </c>
      <c r="V575" s="579"/>
      <c r="W575" s="566"/>
      <c r="X575" s="586" t="str">
        <f t="shared" si="170"/>
        <v/>
      </c>
      <c r="Y575" s="586" t="str">
        <f t="shared" si="143"/>
        <v/>
      </c>
      <c r="Z575" s="586" t="str">
        <f t="shared" si="147"/>
        <v/>
      </c>
    </row>
    <row r="576" spans="1:26" ht="12" hidden="1" thickBot="1" x14ac:dyDescent="0.25">
      <c r="A576" s="652" t="s">
        <v>187</v>
      </c>
      <c r="B576" s="572" t="s">
        <v>187</v>
      </c>
      <c r="C576" s="573" t="s">
        <v>187</v>
      </c>
      <c r="D576" s="580"/>
      <c r="E576" s="575"/>
      <c r="F576" s="436"/>
      <c r="G576" s="431"/>
      <c r="H576" s="430"/>
      <c r="I576" s="432"/>
      <c r="J576" s="433"/>
      <c r="K576" s="437">
        <f t="shared" si="178"/>
        <v>0</v>
      </c>
      <c r="L576" s="435" t="s">
        <v>614</v>
      </c>
      <c r="M576" s="576"/>
      <c r="N576" s="576">
        <f t="shared" si="165"/>
        <v>0</v>
      </c>
      <c r="O576" s="577">
        <f t="shared" si="174"/>
        <v>0</v>
      </c>
      <c r="P576" s="578">
        <f t="shared" si="175"/>
        <v>0</v>
      </c>
      <c r="Q576" s="765"/>
      <c r="R576" s="576">
        <f t="shared" si="176"/>
        <v>0</v>
      </c>
      <c r="S576" s="576">
        <f t="shared" si="167"/>
        <v>0</v>
      </c>
      <c r="T576" s="577">
        <f t="shared" si="172"/>
        <v>0</v>
      </c>
      <c r="U576" s="578">
        <f t="shared" si="173"/>
        <v>0</v>
      </c>
      <c r="V576" s="579"/>
      <c r="W576" s="566"/>
      <c r="X576" s="586" t="str">
        <f t="shared" si="170"/>
        <v/>
      </c>
      <c r="Y576" s="586" t="str">
        <f t="shared" si="143"/>
        <v/>
      </c>
      <c r="Z576" s="586" t="str">
        <f t="shared" si="147"/>
        <v/>
      </c>
    </row>
    <row r="577" spans="1:26" ht="12" hidden="1" thickBot="1" x14ac:dyDescent="0.25">
      <c r="A577" s="652" t="s">
        <v>187</v>
      </c>
      <c r="B577" s="572" t="s">
        <v>187</v>
      </c>
      <c r="C577" s="573" t="s">
        <v>187</v>
      </c>
      <c r="D577" s="580"/>
      <c r="E577" s="575"/>
      <c r="F577" s="436"/>
      <c r="G577" s="431"/>
      <c r="H577" s="430"/>
      <c r="I577" s="432"/>
      <c r="J577" s="433"/>
      <c r="K577" s="437">
        <f t="shared" si="178"/>
        <v>0</v>
      </c>
      <c r="L577" s="435" t="s">
        <v>614</v>
      </c>
      <c r="M577" s="576"/>
      <c r="N577" s="576">
        <f t="shared" si="165"/>
        <v>0</v>
      </c>
      <c r="O577" s="577">
        <f t="shared" si="174"/>
        <v>0</v>
      </c>
      <c r="P577" s="578">
        <f t="shared" si="175"/>
        <v>0</v>
      </c>
      <c r="Q577" s="765"/>
      <c r="R577" s="576">
        <f t="shared" si="176"/>
        <v>0</v>
      </c>
      <c r="S577" s="576">
        <f t="shared" si="167"/>
        <v>0</v>
      </c>
      <c r="T577" s="577">
        <f t="shared" si="172"/>
        <v>0</v>
      </c>
      <c r="U577" s="578">
        <f t="shared" si="173"/>
        <v>0</v>
      </c>
      <c r="V577" s="579"/>
      <c r="W577" s="566"/>
      <c r="X577" s="586" t="str">
        <f t="shared" si="170"/>
        <v/>
      </c>
      <c r="Y577" s="586" t="str">
        <f t="shared" si="143"/>
        <v/>
      </c>
      <c r="Z577" s="586" t="str">
        <f t="shared" si="147"/>
        <v/>
      </c>
    </row>
    <row r="578" spans="1:26" ht="12" hidden="1" thickBot="1" x14ac:dyDescent="0.25">
      <c r="A578" s="652" t="s">
        <v>187</v>
      </c>
      <c r="B578" s="572" t="s">
        <v>187</v>
      </c>
      <c r="C578" s="573" t="s">
        <v>187</v>
      </c>
      <c r="D578" s="580"/>
      <c r="E578" s="575"/>
      <c r="F578" s="436"/>
      <c r="G578" s="431"/>
      <c r="H578" s="430"/>
      <c r="I578" s="432"/>
      <c r="J578" s="433"/>
      <c r="K578" s="437">
        <f t="shared" si="178"/>
        <v>0</v>
      </c>
      <c r="L578" s="435" t="s">
        <v>614</v>
      </c>
      <c r="M578" s="576"/>
      <c r="N578" s="576">
        <f t="shared" si="165"/>
        <v>0</v>
      </c>
      <c r="O578" s="577">
        <f t="shared" si="174"/>
        <v>0</v>
      </c>
      <c r="P578" s="578">
        <f t="shared" si="175"/>
        <v>0</v>
      </c>
      <c r="Q578" s="765"/>
      <c r="R578" s="576">
        <f t="shared" si="176"/>
        <v>0</v>
      </c>
      <c r="S578" s="576">
        <f t="shared" si="167"/>
        <v>0</v>
      </c>
      <c r="T578" s="577">
        <f t="shared" si="172"/>
        <v>0</v>
      </c>
      <c r="U578" s="578">
        <f t="shared" si="173"/>
        <v>0</v>
      </c>
      <c r="V578" s="579"/>
      <c r="W578" s="566"/>
      <c r="X578" s="586" t="str">
        <f t="shared" si="170"/>
        <v/>
      </c>
      <c r="Y578" s="586" t="str">
        <f t="shared" si="143"/>
        <v/>
      </c>
      <c r="Z578" s="586" t="str">
        <f t="shared" si="147"/>
        <v/>
      </c>
    </row>
    <row r="579" spans="1:26" ht="12" hidden="1" thickBot="1" x14ac:dyDescent="0.25">
      <c r="A579" s="652" t="s">
        <v>187</v>
      </c>
      <c r="B579" s="572" t="s">
        <v>187</v>
      </c>
      <c r="C579" s="573" t="s">
        <v>187</v>
      </c>
      <c r="D579" s="580"/>
      <c r="E579" s="575"/>
      <c r="F579" s="436"/>
      <c r="G579" s="431"/>
      <c r="H579" s="430"/>
      <c r="I579" s="432"/>
      <c r="J579" s="433"/>
      <c r="K579" s="437">
        <f t="shared" si="178"/>
        <v>0</v>
      </c>
      <c r="L579" s="435" t="s">
        <v>614</v>
      </c>
      <c r="M579" s="576"/>
      <c r="N579" s="576">
        <f t="shared" si="165"/>
        <v>0</v>
      </c>
      <c r="O579" s="577">
        <f t="shared" si="174"/>
        <v>0</v>
      </c>
      <c r="P579" s="578">
        <f t="shared" si="175"/>
        <v>0</v>
      </c>
      <c r="Q579" s="765"/>
      <c r="R579" s="576">
        <f t="shared" si="176"/>
        <v>0</v>
      </c>
      <c r="S579" s="576">
        <f t="shared" si="167"/>
        <v>0</v>
      </c>
      <c r="T579" s="577">
        <f t="shared" si="172"/>
        <v>0</v>
      </c>
      <c r="U579" s="578">
        <f t="shared" si="173"/>
        <v>0</v>
      </c>
      <c r="V579" s="579"/>
      <c r="W579" s="566"/>
      <c r="X579" s="586" t="str">
        <f t="shared" si="170"/>
        <v/>
      </c>
      <c r="Y579" s="586" t="str">
        <f t="shared" si="143"/>
        <v/>
      </c>
      <c r="Z579" s="586" t="str">
        <f t="shared" si="147"/>
        <v/>
      </c>
    </row>
    <row r="580" spans="1:26" ht="12" hidden="1" thickBot="1" x14ac:dyDescent="0.25">
      <c r="A580" s="652" t="s">
        <v>187</v>
      </c>
      <c r="B580" s="572" t="s">
        <v>187</v>
      </c>
      <c r="C580" s="573" t="s">
        <v>187</v>
      </c>
      <c r="D580" s="580"/>
      <c r="E580" s="575"/>
      <c r="F580" s="436"/>
      <c r="G580" s="431"/>
      <c r="H580" s="430"/>
      <c r="I580" s="432"/>
      <c r="J580" s="433"/>
      <c r="K580" s="437">
        <f t="shared" si="178"/>
        <v>0</v>
      </c>
      <c r="L580" s="435" t="s">
        <v>614</v>
      </c>
      <c r="M580" s="576"/>
      <c r="N580" s="576">
        <f t="shared" si="165"/>
        <v>0</v>
      </c>
      <c r="O580" s="577">
        <f t="shared" si="174"/>
        <v>0</v>
      </c>
      <c r="P580" s="578">
        <f t="shared" si="175"/>
        <v>0</v>
      </c>
      <c r="Q580" s="765"/>
      <c r="R580" s="576">
        <f t="shared" si="176"/>
        <v>0</v>
      </c>
      <c r="S580" s="576">
        <f t="shared" si="167"/>
        <v>0</v>
      </c>
      <c r="T580" s="577">
        <f t="shared" si="172"/>
        <v>0</v>
      </c>
      <c r="U580" s="578">
        <f t="shared" si="173"/>
        <v>0</v>
      </c>
      <c r="V580" s="579"/>
      <c r="W580" s="566"/>
      <c r="X580" s="586" t="str">
        <f t="shared" si="170"/>
        <v/>
      </c>
      <c r="Y580" s="586" t="str">
        <f t="shared" si="143"/>
        <v/>
      </c>
      <c r="Z580" s="586" t="str">
        <f t="shared" si="147"/>
        <v/>
      </c>
    </row>
    <row r="581" spans="1:26" ht="12" hidden="1" thickBot="1" x14ac:dyDescent="0.25">
      <c r="A581" s="652" t="s">
        <v>187</v>
      </c>
      <c r="B581" s="572" t="s">
        <v>187</v>
      </c>
      <c r="C581" s="573" t="s">
        <v>187</v>
      </c>
      <c r="D581" s="580"/>
      <c r="E581" s="575"/>
      <c r="F581" s="436"/>
      <c r="G581" s="431"/>
      <c r="H581" s="430"/>
      <c r="I581" s="432"/>
      <c r="J581" s="433"/>
      <c r="K581" s="437">
        <f t="shared" si="178"/>
        <v>0</v>
      </c>
      <c r="L581" s="435" t="s">
        <v>614</v>
      </c>
      <c r="M581" s="576"/>
      <c r="N581" s="576">
        <f t="shared" si="165"/>
        <v>0</v>
      </c>
      <c r="O581" s="577">
        <f t="shared" si="174"/>
        <v>0</v>
      </c>
      <c r="P581" s="578">
        <f t="shared" si="175"/>
        <v>0</v>
      </c>
      <c r="Q581" s="765"/>
      <c r="R581" s="576">
        <f t="shared" si="176"/>
        <v>0</v>
      </c>
      <c r="S581" s="576">
        <f t="shared" si="167"/>
        <v>0</v>
      </c>
      <c r="T581" s="577">
        <f t="shared" si="172"/>
        <v>0</v>
      </c>
      <c r="U581" s="578">
        <f t="shared" si="173"/>
        <v>0</v>
      </c>
      <c r="V581" s="579"/>
      <c r="W581" s="566"/>
      <c r="X581" s="586" t="str">
        <f t="shared" si="170"/>
        <v/>
      </c>
      <c r="Y581" s="586" t="str">
        <f t="shared" si="143"/>
        <v/>
      </c>
      <c r="Z581" s="586" t="str">
        <f t="shared" si="147"/>
        <v/>
      </c>
    </row>
    <row r="582" spans="1:26" ht="12" hidden="1" thickBot="1" x14ac:dyDescent="0.25">
      <c r="A582" s="652" t="s">
        <v>187</v>
      </c>
      <c r="B582" s="581" t="s">
        <v>187</v>
      </c>
      <c r="C582" s="582" t="s">
        <v>187</v>
      </c>
      <c r="D582" s="583"/>
      <c r="E582" s="584"/>
      <c r="F582" s="438"/>
      <c r="G582" s="439"/>
      <c r="H582" s="440"/>
      <c r="I582" s="441"/>
      <c r="J582" s="442"/>
      <c r="K582" s="443">
        <f t="shared" si="178"/>
        <v>0</v>
      </c>
      <c r="L582" s="444" t="s">
        <v>614</v>
      </c>
      <c r="M582" s="588"/>
      <c r="N582" s="576">
        <f t="shared" si="165"/>
        <v>0</v>
      </c>
      <c r="O582" s="585">
        <f t="shared" si="174"/>
        <v>0</v>
      </c>
      <c r="P582" s="660">
        <f t="shared" si="175"/>
        <v>0</v>
      </c>
      <c r="Q582" s="765"/>
      <c r="R582" s="576">
        <f t="shared" si="176"/>
        <v>0</v>
      </c>
      <c r="S582" s="576">
        <f t="shared" si="167"/>
        <v>0</v>
      </c>
      <c r="T582" s="585">
        <f t="shared" si="172"/>
        <v>0</v>
      </c>
      <c r="U582" s="660">
        <f t="shared" si="173"/>
        <v>0</v>
      </c>
      <c r="V582" s="579"/>
      <c r="W582" s="566"/>
      <c r="X582" s="586" t="str">
        <f t="shared" si="170"/>
        <v/>
      </c>
      <c r="Y582" s="586" t="str">
        <f t="shared" si="143"/>
        <v/>
      </c>
      <c r="Z582" s="586" t="str">
        <f t="shared" si="147"/>
        <v/>
      </c>
    </row>
    <row r="583" spans="1:26" ht="12" thickBot="1" x14ac:dyDescent="0.25">
      <c r="A583" s="567" t="s">
        <v>227</v>
      </c>
      <c r="B583" s="664" t="s">
        <v>227</v>
      </c>
      <c r="C583" s="665"/>
      <c r="D583" s="666" t="s">
        <v>668</v>
      </c>
      <c r="E583" s="631"/>
      <c r="F583" s="632"/>
      <c r="G583" s="633"/>
      <c r="H583" s="634"/>
      <c r="I583" s="409"/>
      <c r="J583" s="409"/>
      <c r="K583" s="409"/>
      <c r="L583" s="409" t="s">
        <v>614</v>
      </c>
      <c r="M583" s="634"/>
      <c r="N583" s="797"/>
      <c r="O583" s="409">
        <f t="shared" si="174"/>
        <v>0</v>
      </c>
      <c r="P583" s="635">
        <f t="shared" si="175"/>
        <v>0</v>
      </c>
      <c r="Q583" s="635">
        <f>SUM(P584:P779)</f>
        <v>148195.20000000001</v>
      </c>
      <c r="R583" s="634"/>
      <c r="S583" s="409"/>
      <c r="T583" s="409">
        <f t="shared" si="172"/>
        <v>0</v>
      </c>
      <c r="U583" s="635">
        <f t="shared" si="173"/>
        <v>0</v>
      </c>
      <c r="V583" s="636">
        <f>SUM(U584:U779)</f>
        <v>148195.20000000001</v>
      </c>
      <c r="W583" s="637" t="str">
        <f>IF(OR(Q583&gt;0,V583&gt;0),"X","")</f>
        <v>X</v>
      </c>
      <c r="X583" s="586" t="str">
        <f t="shared" si="170"/>
        <v>x</v>
      </c>
      <c r="Y583" s="586" t="str">
        <f t="shared" si="143"/>
        <v>x</v>
      </c>
      <c r="Z583" s="586" t="str">
        <f t="shared" si="147"/>
        <v>x</v>
      </c>
    </row>
    <row r="584" spans="1:26" hidden="1" x14ac:dyDescent="0.2">
      <c r="A584" s="567">
        <v>810250</v>
      </c>
      <c r="B584" s="644" t="s">
        <v>1584</v>
      </c>
      <c r="C584" s="645" t="s">
        <v>206</v>
      </c>
      <c r="D584" s="422" t="s">
        <v>488</v>
      </c>
      <c r="E584" s="423"/>
      <c r="F584" s="424">
        <v>10</v>
      </c>
      <c r="G584" s="425">
        <f>ROUND(0.017*2.34,4)</f>
        <v>3.9800000000000002E-2</v>
      </c>
      <c r="H584" s="663">
        <f t="shared" ref="H584:H587" si="179">IF(F584&lt;=30,(1.07*F584+2.68)*G584,((1.07*30+2.68)+1.07*(F584-30))*G584)</f>
        <v>0.53252400000000011</v>
      </c>
      <c r="I584" s="420">
        <v>19.262602000000001</v>
      </c>
      <c r="J584" s="420">
        <f t="shared" ref="J584:J593" si="180">IF(ISBLANK(I584),"",SUM(H584:I584))</f>
        <v>19.795126</v>
      </c>
      <c r="K584" s="421">
        <f t="shared" ref="K584:K647" si="181">IF(ISBLANK(I584),0,ROUND(J584*(1+$F$10)*(1+$F$11*E584),2))</f>
        <v>23.52</v>
      </c>
      <c r="L584" s="647" t="s">
        <v>19</v>
      </c>
      <c r="M584" s="576"/>
      <c r="N584" s="576">
        <f t="shared" si="165"/>
        <v>0</v>
      </c>
      <c r="O584" s="642">
        <f t="shared" si="174"/>
        <v>0</v>
      </c>
      <c r="P584" s="659">
        <f t="shared" si="175"/>
        <v>0</v>
      </c>
      <c r="Q584" s="765"/>
      <c r="R584" s="576">
        <f t="shared" si="176"/>
        <v>0</v>
      </c>
      <c r="S584" s="576">
        <f t="shared" si="167"/>
        <v>0</v>
      </c>
      <c r="T584" s="577">
        <f t="shared" si="172"/>
        <v>0</v>
      </c>
      <c r="U584" s="578">
        <f t="shared" si="173"/>
        <v>0</v>
      </c>
      <c r="V584" s="579"/>
      <c r="W584" s="566"/>
      <c r="X584" s="586" t="str">
        <f t="shared" si="170"/>
        <v/>
      </c>
      <c r="Y584" s="586" t="str">
        <f t="shared" si="143"/>
        <v/>
      </c>
      <c r="Z584" s="586" t="str">
        <f t="shared" si="147"/>
        <v/>
      </c>
    </row>
    <row r="585" spans="1:26" hidden="1" x14ac:dyDescent="0.2">
      <c r="A585" s="567">
        <v>810250</v>
      </c>
      <c r="B585" s="644" t="s">
        <v>1585</v>
      </c>
      <c r="C585" s="645" t="s">
        <v>206</v>
      </c>
      <c r="D585" s="422" t="s">
        <v>616</v>
      </c>
      <c r="E585" s="423"/>
      <c r="F585" s="424">
        <v>10</v>
      </c>
      <c r="G585" s="425">
        <f>ROUND(0.01125*2.34,4)</f>
        <v>2.63E-2</v>
      </c>
      <c r="H585" s="663">
        <f t="shared" si="179"/>
        <v>0.35189400000000004</v>
      </c>
      <c r="I585" s="420">
        <v>12.672704</v>
      </c>
      <c r="J585" s="420">
        <f t="shared" si="180"/>
        <v>13.024597999999999</v>
      </c>
      <c r="K585" s="421">
        <f t="shared" si="181"/>
        <v>15.47</v>
      </c>
      <c r="L585" s="647" t="s">
        <v>19</v>
      </c>
      <c r="M585" s="576"/>
      <c r="N585" s="576">
        <f t="shared" si="165"/>
        <v>0</v>
      </c>
      <c r="O585" s="577">
        <f t="shared" si="174"/>
        <v>0</v>
      </c>
      <c r="P585" s="578">
        <f t="shared" si="175"/>
        <v>0</v>
      </c>
      <c r="Q585" s="765"/>
      <c r="R585" s="576">
        <f t="shared" si="176"/>
        <v>0</v>
      </c>
      <c r="S585" s="576">
        <f t="shared" si="167"/>
        <v>0</v>
      </c>
      <c r="T585" s="577">
        <f t="shared" si="172"/>
        <v>0</v>
      </c>
      <c r="U585" s="578">
        <f t="shared" si="173"/>
        <v>0</v>
      </c>
      <c r="V585" s="579"/>
      <c r="W585" s="566"/>
      <c r="X585" s="586" t="str">
        <f t="shared" si="170"/>
        <v/>
      </c>
      <c r="Y585" s="586" t="str">
        <f t="shared" si="143"/>
        <v/>
      </c>
      <c r="Z585" s="586" t="str">
        <f t="shared" si="147"/>
        <v/>
      </c>
    </row>
    <row r="586" spans="1:26" hidden="1" x14ac:dyDescent="0.2">
      <c r="A586" s="567">
        <v>810250</v>
      </c>
      <c r="B586" s="644" t="s">
        <v>1586</v>
      </c>
      <c r="C586" s="645" t="s">
        <v>206</v>
      </c>
      <c r="D586" s="422" t="s">
        <v>490</v>
      </c>
      <c r="E586" s="423"/>
      <c r="F586" s="424">
        <v>10</v>
      </c>
      <c r="G586" s="425">
        <f>ROUND(0.014*2.34,4)</f>
        <v>3.2800000000000003E-2</v>
      </c>
      <c r="H586" s="663">
        <f t="shared" si="179"/>
        <v>0.43886400000000009</v>
      </c>
      <c r="I586" s="420">
        <v>15.770599499999998</v>
      </c>
      <c r="J586" s="420">
        <f t="shared" si="180"/>
        <v>16.209463499999998</v>
      </c>
      <c r="K586" s="421">
        <f t="shared" si="181"/>
        <v>19.260000000000002</v>
      </c>
      <c r="L586" s="647" t="s">
        <v>19</v>
      </c>
      <c r="M586" s="576"/>
      <c r="N586" s="576">
        <f t="shared" si="165"/>
        <v>0</v>
      </c>
      <c r="O586" s="577">
        <f t="shared" si="174"/>
        <v>0</v>
      </c>
      <c r="P586" s="578">
        <f t="shared" si="175"/>
        <v>0</v>
      </c>
      <c r="Q586" s="765"/>
      <c r="R586" s="576">
        <f t="shared" si="176"/>
        <v>0</v>
      </c>
      <c r="S586" s="576">
        <f t="shared" si="167"/>
        <v>0</v>
      </c>
      <c r="T586" s="577">
        <f t="shared" si="172"/>
        <v>0</v>
      </c>
      <c r="U586" s="578">
        <f t="shared" si="173"/>
        <v>0</v>
      </c>
      <c r="V586" s="579"/>
      <c r="W586" s="566"/>
      <c r="X586" s="586" t="str">
        <f t="shared" si="170"/>
        <v/>
      </c>
      <c r="Y586" s="586" t="str">
        <f t="shared" si="143"/>
        <v/>
      </c>
      <c r="Z586" s="586" t="str">
        <f t="shared" si="147"/>
        <v/>
      </c>
    </row>
    <row r="587" spans="1:26" hidden="1" x14ac:dyDescent="0.2">
      <c r="A587" s="567" t="s">
        <v>2063</v>
      </c>
      <c r="B587" s="644" t="s">
        <v>1587</v>
      </c>
      <c r="C587" s="645" t="s">
        <v>484</v>
      </c>
      <c r="D587" s="422" t="s">
        <v>491</v>
      </c>
      <c r="E587" s="423"/>
      <c r="F587" s="424">
        <v>10</v>
      </c>
      <c r="G587" s="425">
        <f>ROUND(0.012*1.8,4)</f>
        <v>2.1600000000000001E-2</v>
      </c>
      <c r="H587" s="663">
        <f t="shared" si="179"/>
        <v>0.28900800000000004</v>
      </c>
      <c r="I587" s="420">
        <v>41.73</v>
      </c>
      <c r="J587" s="420">
        <f t="shared" si="180"/>
        <v>42.019007999999999</v>
      </c>
      <c r="K587" s="421">
        <f t="shared" si="181"/>
        <v>49.92</v>
      </c>
      <c r="L587" s="647" t="s">
        <v>19</v>
      </c>
      <c r="M587" s="576"/>
      <c r="N587" s="576">
        <f t="shared" si="165"/>
        <v>0</v>
      </c>
      <c r="O587" s="577">
        <f t="shared" si="174"/>
        <v>0</v>
      </c>
      <c r="P587" s="578">
        <f t="shared" si="175"/>
        <v>0</v>
      </c>
      <c r="Q587" s="765"/>
      <c r="R587" s="576">
        <f t="shared" si="176"/>
        <v>0</v>
      </c>
      <c r="S587" s="576">
        <f t="shared" si="167"/>
        <v>0</v>
      </c>
      <c r="T587" s="577">
        <f t="shared" si="172"/>
        <v>0</v>
      </c>
      <c r="U587" s="578">
        <f t="shared" si="173"/>
        <v>0</v>
      </c>
      <c r="V587" s="579"/>
      <c r="W587" s="566"/>
      <c r="X587" s="586" t="str">
        <f t="shared" si="170"/>
        <v/>
      </c>
      <c r="Y587" s="586" t="str">
        <f t="shared" si="143"/>
        <v/>
      </c>
      <c r="Z587" s="586" t="str">
        <f t="shared" si="147"/>
        <v/>
      </c>
    </row>
    <row r="588" spans="1:26" hidden="1" x14ac:dyDescent="0.2">
      <c r="A588" s="567">
        <v>606700</v>
      </c>
      <c r="B588" s="644" t="s">
        <v>1804</v>
      </c>
      <c r="C588" s="645" t="s">
        <v>206</v>
      </c>
      <c r="D588" s="422" t="s">
        <v>273</v>
      </c>
      <c r="E588" s="423"/>
      <c r="F588" s="424">
        <v>0</v>
      </c>
      <c r="G588" s="425"/>
      <c r="H588" s="651">
        <f t="shared" ref="H588:H589" si="182">IF(F588&lt;=30,(0.87*F588+2.18)*G588,((0.87*30+2.18)+0.87*(F588-30))*G588)</f>
        <v>0</v>
      </c>
      <c r="I588" s="420">
        <v>143.94</v>
      </c>
      <c r="J588" s="420">
        <f t="shared" si="180"/>
        <v>143.94</v>
      </c>
      <c r="K588" s="421">
        <f t="shared" si="181"/>
        <v>171.02</v>
      </c>
      <c r="L588" s="647" t="s">
        <v>16</v>
      </c>
      <c r="M588" s="576"/>
      <c r="N588" s="576">
        <f t="shared" si="165"/>
        <v>0</v>
      </c>
      <c r="O588" s="577">
        <f t="shared" si="174"/>
        <v>0</v>
      </c>
      <c r="P588" s="578">
        <f t="shared" si="175"/>
        <v>0</v>
      </c>
      <c r="Q588" s="765"/>
      <c r="R588" s="576">
        <f t="shared" si="176"/>
        <v>0</v>
      </c>
      <c r="S588" s="576">
        <f t="shared" si="167"/>
        <v>0</v>
      </c>
      <c r="T588" s="577">
        <f t="shared" si="172"/>
        <v>0</v>
      </c>
      <c r="U588" s="578">
        <f t="shared" si="173"/>
        <v>0</v>
      </c>
      <c r="V588" s="579"/>
      <c r="W588" s="566"/>
      <c r="X588" s="586" t="str">
        <f t="shared" si="170"/>
        <v/>
      </c>
      <c r="Y588" s="586" t="str">
        <f t="shared" si="143"/>
        <v/>
      </c>
      <c r="Z588" s="586" t="str">
        <f t="shared" si="147"/>
        <v/>
      </c>
    </row>
    <row r="589" spans="1:26" hidden="1" x14ac:dyDescent="0.2">
      <c r="A589" s="567">
        <v>606600</v>
      </c>
      <c r="B589" s="644" t="s">
        <v>1805</v>
      </c>
      <c r="C589" s="645" t="s">
        <v>206</v>
      </c>
      <c r="D589" s="422" t="s">
        <v>820</v>
      </c>
      <c r="E589" s="423"/>
      <c r="F589" s="424">
        <v>0</v>
      </c>
      <c r="G589" s="425"/>
      <c r="H589" s="651">
        <f t="shared" si="182"/>
        <v>0</v>
      </c>
      <c r="I589" s="420">
        <v>300.33999999999997</v>
      </c>
      <c r="J589" s="420">
        <f t="shared" si="180"/>
        <v>300.33999999999997</v>
      </c>
      <c r="K589" s="421">
        <f t="shared" si="181"/>
        <v>356.83</v>
      </c>
      <c r="L589" s="647" t="s">
        <v>16</v>
      </c>
      <c r="M589" s="576"/>
      <c r="N589" s="576">
        <f t="shared" si="165"/>
        <v>0</v>
      </c>
      <c r="O589" s="577">
        <f t="shared" si="174"/>
        <v>0</v>
      </c>
      <c r="P589" s="578">
        <f t="shared" si="175"/>
        <v>0</v>
      </c>
      <c r="Q589" s="765"/>
      <c r="R589" s="576">
        <f t="shared" si="176"/>
        <v>0</v>
      </c>
      <c r="S589" s="576">
        <f t="shared" si="167"/>
        <v>0</v>
      </c>
      <c r="T589" s="577">
        <f t="shared" si="172"/>
        <v>0</v>
      </c>
      <c r="U589" s="578">
        <f t="shared" si="173"/>
        <v>0</v>
      </c>
      <c r="V589" s="579"/>
      <c r="W589" s="566"/>
      <c r="X589" s="586" t="str">
        <f t="shared" si="170"/>
        <v/>
      </c>
      <c r="Y589" s="586" t="str">
        <f t="shared" si="143"/>
        <v/>
      </c>
      <c r="Z589" s="586" t="str">
        <f t="shared" si="147"/>
        <v/>
      </c>
    </row>
    <row r="590" spans="1:26" x14ac:dyDescent="0.2">
      <c r="A590" s="671">
        <v>100576</v>
      </c>
      <c r="B590" s="644" t="s">
        <v>1806</v>
      </c>
      <c r="C590" s="645" t="s">
        <v>670</v>
      </c>
      <c r="D590" s="422" t="s">
        <v>205</v>
      </c>
      <c r="E590" s="423"/>
      <c r="F590" s="418">
        <v>0</v>
      </c>
      <c r="G590" s="425"/>
      <c r="H590" s="651">
        <f>IF(F590&lt;=30,(0.62*F590+6.29)*G590,((0.62*30+6.29)+0.62*(F590-30))*G590)</f>
        <v>0</v>
      </c>
      <c r="I590" s="420">
        <v>2.4300000000000002</v>
      </c>
      <c r="J590" s="420">
        <f t="shared" si="180"/>
        <v>2.4300000000000002</v>
      </c>
      <c r="K590" s="421">
        <f t="shared" si="181"/>
        <v>2.89</v>
      </c>
      <c r="L590" s="647" t="s">
        <v>18</v>
      </c>
      <c r="M590" s="576">
        <f>'ORÇ AV PADRE IVO'!M590+'ORÇ JOÃO NUNES'!M590+'ORÇ LAUDOMIRO'!M590</f>
        <v>2404.3200000000002</v>
      </c>
      <c r="N590" s="576">
        <f t="shared" si="165"/>
        <v>2.89</v>
      </c>
      <c r="O590" s="577">
        <f t="shared" si="174"/>
        <v>6948.48</v>
      </c>
      <c r="P590" s="578">
        <f t="shared" si="175"/>
        <v>6948.48</v>
      </c>
      <c r="Q590" s="765"/>
      <c r="R590" s="576">
        <f t="shared" si="176"/>
        <v>2404.3200000000002</v>
      </c>
      <c r="S590" s="576">
        <f t="shared" si="167"/>
        <v>2.89</v>
      </c>
      <c r="T590" s="577">
        <f t="shared" si="172"/>
        <v>6948.48</v>
      </c>
      <c r="U590" s="578">
        <f t="shared" si="173"/>
        <v>6948.48</v>
      </c>
      <c r="V590" s="579"/>
      <c r="W590" s="566"/>
      <c r="X590" s="586" t="str">
        <f t="shared" si="170"/>
        <v>x</v>
      </c>
      <c r="Y590" s="586" t="str">
        <f t="shared" si="143"/>
        <v>x</v>
      </c>
      <c r="Z590" s="586" t="str">
        <f t="shared" ref="Z590:Z656" si="183">IF(W590="X","x",IF(U590&gt;0,"x",""))</f>
        <v>x</v>
      </c>
    </row>
    <row r="591" spans="1:26" hidden="1" x14ac:dyDescent="0.2">
      <c r="A591" s="567">
        <v>532500</v>
      </c>
      <c r="B591" s="644" t="s">
        <v>1807</v>
      </c>
      <c r="C591" s="645" t="s">
        <v>206</v>
      </c>
      <c r="D591" s="451" t="s">
        <v>340</v>
      </c>
      <c r="E591" s="423"/>
      <c r="F591" s="424">
        <v>20</v>
      </c>
      <c r="G591" s="425">
        <v>1.7250000000000001</v>
      </c>
      <c r="H591" s="663">
        <f t="shared" ref="H591:H592" si="184">IF(F591&lt;=30,(1.07*F591+2.68)*G591,((1.07*30+2.68)+1.07*(F591-30))*G591)</f>
        <v>41.538000000000004</v>
      </c>
      <c r="I591" s="420">
        <v>97.26</v>
      </c>
      <c r="J591" s="420">
        <f t="shared" si="180"/>
        <v>138.798</v>
      </c>
      <c r="K591" s="421">
        <f t="shared" si="181"/>
        <v>164.91</v>
      </c>
      <c r="L591" s="647" t="s">
        <v>16</v>
      </c>
      <c r="M591" s="576"/>
      <c r="N591" s="576">
        <f t="shared" si="165"/>
        <v>0</v>
      </c>
      <c r="O591" s="577">
        <f t="shared" si="174"/>
        <v>0</v>
      </c>
      <c r="P591" s="578">
        <f t="shared" si="175"/>
        <v>0</v>
      </c>
      <c r="Q591" s="765"/>
      <c r="R591" s="576">
        <f t="shared" si="176"/>
        <v>0</v>
      </c>
      <c r="S591" s="576">
        <f t="shared" si="167"/>
        <v>0</v>
      </c>
      <c r="T591" s="577">
        <f t="shared" si="172"/>
        <v>0</v>
      </c>
      <c r="U591" s="578">
        <f t="shared" si="173"/>
        <v>0</v>
      </c>
      <c r="V591" s="579"/>
      <c r="W591" s="566"/>
      <c r="X591" s="586" t="str">
        <f t="shared" si="170"/>
        <v/>
      </c>
      <c r="Y591" s="586" t="str">
        <f t="shared" si="143"/>
        <v/>
      </c>
      <c r="Z591" s="586" t="str">
        <f t="shared" si="183"/>
        <v/>
      </c>
    </row>
    <row r="592" spans="1:26" ht="14.45" customHeight="1" x14ac:dyDescent="0.2">
      <c r="A592" s="567">
        <v>603900</v>
      </c>
      <c r="B592" s="644" t="s">
        <v>1808</v>
      </c>
      <c r="C592" s="645" t="s">
        <v>206</v>
      </c>
      <c r="D592" s="451" t="s">
        <v>341</v>
      </c>
      <c r="E592" s="423"/>
      <c r="F592" s="805">
        <v>20</v>
      </c>
      <c r="G592" s="425">
        <v>1.5</v>
      </c>
      <c r="H592" s="663">
        <f t="shared" si="184"/>
        <v>36.120000000000005</v>
      </c>
      <c r="I592" s="420">
        <v>124.3</v>
      </c>
      <c r="J592" s="420">
        <f t="shared" si="180"/>
        <v>160.42000000000002</v>
      </c>
      <c r="K592" s="421">
        <f t="shared" si="181"/>
        <v>190.6</v>
      </c>
      <c r="L592" s="647" t="s">
        <v>16</v>
      </c>
      <c r="M592" s="576">
        <f>'ORÇ AV PADRE IVO'!M592+'ORÇ JOÃO NUNES'!M592+'ORÇ LAUDOMIRO'!M592</f>
        <v>72.129599999999996</v>
      </c>
      <c r="N592" s="576">
        <f t="shared" si="165"/>
        <v>190.6</v>
      </c>
      <c r="O592" s="577">
        <f t="shared" si="174"/>
        <v>13747.9</v>
      </c>
      <c r="P592" s="578">
        <f t="shared" si="175"/>
        <v>13747.9</v>
      </c>
      <c r="Q592" s="765"/>
      <c r="R592" s="576">
        <f t="shared" si="176"/>
        <v>72.129599999999996</v>
      </c>
      <c r="S592" s="576">
        <f t="shared" si="167"/>
        <v>190.6</v>
      </c>
      <c r="T592" s="577">
        <f t="shared" si="172"/>
        <v>13747.9</v>
      </c>
      <c r="U592" s="578">
        <f t="shared" si="173"/>
        <v>13747.9</v>
      </c>
      <c r="V592" s="579"/>
      <c r="W592" s="566"/>
      <c r="X592" s="586" t="str">
        <f t="shared" si="170"/>
        <v>x</v>
      </c>
      <c r="Y592" s="586" t="str">
        <f t="shared" si="143"/>
        <v>x</v>
      </c>
      <c r="Z592" s="586" t="str">
        <f t="shared" si="183"/>
        <v>x</v>
      </c>
    </row>
    <row r="593" spans="1:26" hidden="1" x14ac:dyDescent="0.2">
      <c r="A593" s="567">
        <v>605000</v>
      </c>
      <c r="B593" s="644" t="s">
        <v>1809</v>
      </c>
      <c r="C593" s="645" t="s">
        <v>206</v>
      </c>
      <c r="D593" s="422" t="s">
        <v>274</v>
      </c>
      <c r="E593" s="423"/>
      <c r="F593" s="424"/>
      <c r="G593" s="425"/>
      <c r="H593" s="651">
        <f>SUM(H594:H596)</f>
        <v>305.33319999999998</v>
      </c>
      <c r="I593" s="420">
        <v>408.95</v>
      </c>
      <c r="J593" s="420">
        <f t="shared" si="180"/>
        <v>714.28319999999997</v>
      </c>
      <c r="K593" s="421">
        <f t="shared" si="181"/>
        <v>848.64</v>
      </c>
      <c r="L593" s="647" t="s">
        <v>16</v>
      </c>
      <c r="M593" s="576"/>
      <c r="N593" s="576">
        <f t="shared" si="165"/>
        <v>0</v>
      </c>
      <c r="O593" s="577">
        <f t="shared" si="174"/>
        <v>0</v>
      </c>
      <c r="P593" s="578">
        <f t="shared" si="175"/>
        <v>0</v>
      </c>
      <c r="Q593" s="765"/>
      <c r="R593" s="576">
        <f t="shared" si="176"/>
        <v>0</v>
      </c>
      <c r="S593" s="576">
        <f t="shared" si="167"/>
        <v>0</v>
      </c>
      <c r="T593" s="577">
        <f t="shared" si="172"/>
        <v>0</v>
      </c>
      <c r="U593" s="578">
        <f t="shared" si="173"/>
        <v>0</v>
      </c>
      <c r="V593" s="579"/>
      <c r="W593" s="566"/>
      <c r="X593" s="586" t="str">
        <f t="shared" si="170"/>
        <v/>
      </c>
      <c r="Y593" s="586" t="str">
        <f t="shared" si="143"/>
        <v/>
      </c>
      <c r="Z593" s="586" t="str">
        <f t="shared" si="183"/>
        <v/>
      </c>
    </row>
    <row r="594" spans="1:26" hidden="1" x14ac:dyDescent="0.2">
      <c r="A594" s="567" t="s">
        <v>168</v>
      </c>
      <c r="B594" s="644" t="s">
        <v>168</v>
      </c>
      <c r="C594" s="645"/>
      <c r="D594" s="451" t="s">
        <v>212</v>
      </c>
      <c r="E594" s="423"/>
      <c r="F594" s="424">
        <v>500</v>
      </c>
      <c r="G594" s="425">
        <v>0.18</v>
      </c>
      <c r="H594" s="649">
        <f>IF(F594&lt;=30,(0.78*F594+7.82)*G594,((0.78*30+7.82)+0.78*(F594-30))*G594)</f>
        <v>71.607600000000005</v>
      </c>
      <c r="I594" s="420">
        <v>0</v>
      </c>
      <c r="J594" s="420"/>
      <c r="K594" s="421">
        <f t="shared" si="181"/>
        <v>0</v>
      </c>
      <c r="L594" s="668" t="s">
        <v>614</v>
      </c>
      <c r="M594" s="669"/>
      <c r="N594" s="576">
        <f t="shared" si="165"/>
        <v>0</v>
      </c>
      <c r="O594" s="577">
        <f t="shared" si="174"/>
        <v>0</v>
      </c>
      <c r="P594" s="578">
        <f t="shared" si="175"/>
        <v>0</v>
      </c>
      <c r="Q594" s="765"/>
      <c r="R594" s="669"/>
      <c r="S594" s="670"/>
      <c r="T594" s="577">
        <f t="shared" si="172"/>
        <v>0</v>
      </c>
      <c r="U594" s="578">
        <f t="shared" si="173"/>
        <v>0</v>
      </c>
      <c r="V594" s="579"/>
      <c r="W594" s="637" t="str">
        <f>IF(U593&gt;0,"xx",IF(P593&gt;0,"xy",""))</f>
        <v/>
      </c>
      <c r="X594" s="586" t="str">
        <f t="shared" si="170"/>
        <v/>
      </c>
      <c r="Y594" s="586" t="str">
        <f t="shared" si="143"/>
        <v/>
      </c>
      <c r="Z594" s="586" t="str">
        <f t="shared" si="183"/>
        <v/>
      </c>
    </row>
    <row r="595" spans="1:26" hidden="1" x14ac:dyDescent="0.2">
      <c r="A595" s="567" t="s">
        <v>168</v>
      </c>
      <c r="B595" s="644" t="s">
        <v>168</v>
      </c>
      <c r="C595" s="645"/>
      <c r="D595" s="451" t="s">
        <v>248</v>
      </c>
      <c r="E595" s="423"/>
      <c r="F595" s="424">
        <v>180</v>
      </c>
      <c r="G595" s="425">
        <v>1.06</v>
      </c>
      <c r="H595" s="663">
        <f t="shared" ref="H595:H600" si="185">IF(F595&lt;=30,(1.07*F595+2.68)*G595,((1.07*30+2.68)+1.07*(F595-30))*G595)</f>
        <v>206.99680000000001</v>
      </c>
      <c r="I595" s="420">
        <v>0</v>
      </c>
      <c r="J595" s="420"/>
      <c r="K595" s="421">
        <f t="shared" si="181"/>
        <v>0</v>
      </c>
      <c r="L595" s="668" t="s">
        <v>614</v>
      </c>
      <c r="M595" s="669"/>
      <c r="N595" s="576">
        <f t="shared" si="165"/>
        <v>0</v>
      </c>
      <c r="O595" s="577">
        <f t="shared" si="174"/>
        <v>0</v>
      </c>
      <c r="P595" s="578">
        <f t="shared" si="175"/>
        <v>0</v>
      </c>
      <c r="Q595" s="765"/>
      <c r="R595" s="669"/>
      <c r="S595" s="670"/>
      <c r="T595" s="577">
        <f t="shared" si="172"/>
        <v>0</v>
      </c>
      <c r="U595" s="578">
        <f t="shared" si="173"/>
        <v>0</v>
      </c>
      <c r="V595" s="579"/>
      <c r="W595" s="637" t="str">
        <f>IF(U593&gt;0,"xx",IF(P593&gt;0,"xy",""))</f>
        <v/>
      </c>
      <c r="X595" s="586" t="str">
        <f t="shared" si="170"/>
        <v/>
      </c>
      <c r="Y595" s="586" t="str">
        <f t="shared" si="143"/>
        <v/>
      </c>
      <c r="Z595" s="586" t="str">
        <f t="shared" si="183"/>
        <v/>
      </c>
    </row>
    <row r="596" spans="1:26" hidden="1" x14ac:dyDescent="0.2">
      <c r="A596" s="567" t="s">
        <v>168</v>
      </c>
      <c r="B596" s="644" t="s">
        <v>168</v>
      </c>
      <c r="C596" s="645"/>
      <c r="D596" s="451" t="s">
        <v>252</v>
      </c>
      <c r="E596" s="423"/>
      <c r="F596" s="424">
        <v>20</v>
      </c>
      <c r="G596" s="425">
        <v>1.1100000000000001</v>
      </c>
      <c r="H596" s="663">
        <f t="shared" si="185"/>
        <v>26.728800000000003</v>
      </c>
      <c r="I596" s="420">
        <v>0</v>
      </c>
      <c r="J596" s="420"/>
      <c r="K596" s="421">
        <f t="shared" si="181"/>
        <v>0</v>
      </c>
      <c r="L596" s="668" t="s">
        <v>614</v>
      </c>
      <c r="M596" s="669"/>
      <c r="N596" s="576">
        <f t="shared" ref="N596:N659" si="186">IF(M596=0,0,K596)</f>
        <v>0</v>
      </c>
      <c r="O596" s="577">
        <f t="shared" si="174"/>
        <v>0</v>
      </c>
      <c r="P596" s="578">
        <f t="shared" si="175"/>
        <v>0</v>
      </c>
      <c r="Q596" s="765"/>
      <c r="R596" s="669"/>
      <c r="S596" s="670"/>
      <c r="T596" s="577">
        <f t="shared" si="172"/>
        <v>0</v>
      </c>
      <c r="U596" s="578">
        <f t="shared" si="173"/>
        <v>0</v>
      </c>
      <c r="V596" s="579"/>
      <c r="W596" s="637" t="str">
        <f>IF(U593&gt;0,"xx",IF(P593&gt;0,"xy",""))</f>
        <v/>
      </c>
      <c r="X596" s="586" t="str">
        <f t="shared" si="170"/>
        <v/>
      </c>
      <c r="Y596" s="586" t="str">
        <f t="shared" si="143"/>
        <v/>
      </c>
      <c r="Z596" s="586" t="str">
        <f t="shared" si="183"/>
        <v/>
      </c>
    </row>
    <row r="597" spans="1:26" hidden="1" x14ac:dyDescent="0.2">
      <c r="A597" s="567">
        <v>400500</v>
      </c>
      <c r="B597" s="644" t="s">
        <v>1612</v>
      </c>
      <c r="C597" s="645" t="s">
        <v>206</v>
      </c>
      <c r="D597" s="422" t="s">
        <v>1608</v>
      </c>
      <c r="E597" s="423"/>
      <c r="F597" s="424">
        <v>20</v>
      </c>
      <c r="G597" s="425">
        <v>1.73</v>
      </c>
      <c r="H597" s="663">
        <f t="shared" si="185"/>
        <v>41.6584</v>
      </c>
      <c r="I597" s="420">
        <v>80.100000000000009</v>
      </c>
      <c r="J597" s="420">
        <f t="shared" ref="J597:J617" si="187">IF(ISBLANK(I597),"",SUM(H597:I597))</f>
        <v>121.75840000000001</v>
      </c>
      <c r="K597" s="421">
        <f t="shared" si="181"/>
        <v>144.66</v>
      </c>
      <c r="L597" s="647" t="s">
        <v>16</v>
      </c>
      <c r="M597" s="576"/>
      <c r="N597" s="576">
        <f t="shared" si="186"/>
        <v>0</v>
      </c>
      <c r="O597" s="577">
        <f t="shared" si="174"/>
        <v>0</v>
      </c>
      <c r="P597" s="578">
        <f t="shared" si="175"/>
        <v>0</v>
      </c>
      <c r="Q597" s="765"/>
      <c r="R597" s="576">
        <f t="shared" ref="R597:S609" si="188">M597</f>
        <v>0</v>
      </c>
      <c r="S597" s="576">
        <f t="shared" si="188"/>
        <v>0</v>
      </c>
      <c r="T597" s="577">
        <f t="shared" si="172"/>
        <v>0</v>
      </c>
      <c r="U597" s="578">
        <f t="shared" si="173"/>
        <v>0</v>
      </c>
      <c r="V597" s="579"/>
      <c r="W597" s="566"/>
      <c r="X597" s="586" t="str">
        <f t="shared" si="170"/>
        <v/>
      </c>
      <c r="Y597" s="586" t="str">
        <f t="shared" si="143"/>
        <v/>
      </c>
      <c r="Z597" s="586" t="str">
        <f t="shared" si="183"/>
        <v/>
      </c>
    </row>
    <row r="598" spans="1:26" hidden="1" x14ac:dyDescent="0.2">
      <c r="A598" s="567">
        <v>532500</v>
      </c>
      <c r="B598" s="644" t="s">
        <v>1605</v>
      </c>
      <c r="C598" s="645" t="s">
        <v>206</v>
      </c>
      <c r="D598" s="422" t="s">
        <v>1609</v>
      </c>
      <c r="E598" s="423"/>
      <c r="F598" s="424">
        <v>20</v>
      </c>
      <c r="G598" s="425">
        <v>1.7250000000000001</v>
      </c>
      <c r="H598" s="663">
        <f t="shared" si="185"/>
        <v>41.538000000000004</v>
      </c>
      <c r="I598" s="420">
        <v>97.26</v>
      </c>
      <c r="J598" s="420">
        <f t="shared" si="187"/>
        <v>138.798</v>
      </c>
      <c r="K598" s="421">
        <f t="shared" si="181"/>
        <v>164.91</v>
      </c>
      <c r="L598" s="647" t="s">
        <v>16</v>
      </c>
      <c r="M598" s="576"/>
      <c r="N598" s="576">
        <f t="shared" si="186"/>
        <v>0</v>
      </c>
      <c r="O598" s="577">
        <f t="shared" si="174"/>
        <v>0</v>
      </c>
      <c r="P598" s="578">
        <f t="shared" si="175"/>
        <v>0</v>
      </c>
      <c r="Q598" s="765"/>
      <c r="R598" s="576">
        <f t="shared" si="188"/>
        <v>0</v>
      </c>
      <c r="S598" s="576">
        <f t="shared" si="188"/>
        <v>0</v>
      </c>
      <c r="T598" s="577">
        <f t="shared" si="172"/>
        <v>0</v>
      </c>
      <c r="U598" s="578">
        <f t="shared" si="173"/>
        <v>0</v>
      </c>
      <c r="V598" s="579"/>
      <c r="W598" s="566"/>
      <c r="X598" s="586" t="str">
        <f t="shared" si="170"/>
        <v/>
      </c>
      <c r="Y598" s="586" t="str">
        <f t="shared" si="143"/>
        <v/>
      </c>
      <c r="Z598" s="586" t="str">
        <f t="shared" si="183"/>
        <v/>
      </c>
    </row>
    <row r="599" spans="1:26" hidden="1" x14ac:dyDescent="0.2">
      <c r="A599" s="567">
        <v>532600</v>
      </c>
      <c r="B599" s="644" t="s">
        <v>1537</v>
      </c>
      <c r="C599" s="645" t="s">
        <v>206</v>
      </c>
      <c r="D599" s="422" t="s">
        <v>1610</v>
      </c>
      <c r="E599" s="423"/>
      <c r="F599" s="418">
        <v>15</v>
      </c>
      <c r="G599" s="425">
        <f>ROUND(1.5*1.5,4)</f>
        <v>2.25</v>
      </c>
      <c r="H599" s="663">
        <f t="shared" si="185"/>
        <v>42.142499999999998</v>
      </c>
      <c r="I599" s="420">
        <v>15.533333333333335</v>
      </c>
      <c r="J599" s="420">
        <f t="shared" si="187"/>
        <v>57.67583333333333</v>
      </c>
      <c r="K599" s="421">
        <f t="shared" si="181"/>
        <v>68.52</v>
      </c>
      <c r="L599" s="647" t="s">
        <v>16</v>
      </c>
      <c r="M599" s="576"/>
      <c r="N599" s="576">
        <f t="shared" si="186"/>
        <v>0</v>
      </c>
      <c r="O599" s="577">
        <f t="shared" si="174"/>
        <v>0</v>
      </c>
      <c r="P599" s="578">
        <f t="shared" si="175"/>
        <v>0</v>
      </c>
      <c r="Q599" s="765"/>
      <c r="R599" s="576">
        <f t="shared" si="188"/>
        <v>0</v>
      </c>
      <c r="S599" s="576">
        <f t="shared" si="188"/>
        <v>0</v>
      </c>
      <c r="T599" s="577">
        <f t="shared" si="172"/>
        <v>0</v>
      </c>
      <c r="U599" s="578">
        <f t="shared" si="173"/>
        <v>0</v>
      </c>
      <c r="V599" s="579"/>
      <c r="W599" s="566"/>
      <c r="X599" s="586" t="str">
        <f t="shared" si="170"/>
        <v/>
      </c>
      <c r="Y599" s="586" t="str">
        <f t="shared" si="143"/>
        <v/>
      </c>
      <c r="Z599" s="586" t="str">
        <f t="shared" si="183"/>
        <v/>
      </c>
    </row>
    <row r="600" spans="1:26" hidden="1" x14ac:dyDescent="0.2">
      <c r="A600" s="567">
        <v>603900</v>
      </c>
      <c r="B600" s="644" t="s">
        <v>1613</v>
      </c>
      <c r="C600" s="645" t="s">
        <v>206</v>
      </c>
      <c r="D600" s="422" t="s">
        <v>1611</v>
      </c>
      <c r="E600" s="423"/>
      <c r="F600" s="424">
        <v>20</v>
      </c>
      <c r="G600" s="425">
        <v>1.5</v>
      </c>
      <c r="H600" s="663">
        <f t="shared" si="185"/>
        <v>36.120000000000005</v>
      </c>
      <c r="I600" s="420">
        <v>124.3</v>
      </c>
      <c r="J600" s="420">
        <f t="shared" si="187"/>
        <v>160.42000000000002</v>
      </c>
      <c r="K600" s="421">
        <f t="shared" si="181"/>
        <v>190.6</v>
      </c>
      <c r="L600" s="647" t="s">
        <v>16</v>
      </c>
      <c r="M600" s="576"/>
      <c r="N600" s="576">
        <f t="shared" si="186"/>
        <v>0</v>
      </c>
      <c r="O600" s="577">
        <f t="shared" si="174"/>
        <v>0</v>
      </c>
      <c r="P600" s="578">
        <f t="shared" si="175"/>
        <v>0</v>
      </c>
      <c r="Q600" s="765"/>
      <c r="R600" s="576">
        <f t="shared" si="188"/>
        <v>0</v>
      </c>
      <c r="S600" s="576">
        <f t="shared" si="188"/>
        <v>0</v>
      </c>
      <c r="T600" s="577">
        <f t="shared" si="172"/>
        <v>0</v>
      </c>
      <c r="U600" s="578">
        <f t="shared" si="173"/>
        <v>0</v>
      </c>
      <c r="V600" s="579"/>
      <c r="W600" s="566"/>
      <c r="X600" s="586" t="str">
        <f t="shared" si="170"/>
        <v/>
      </c>
      <c r="Y600" s="586" t="str">
        <f t="shared" ref="Y600:Y866" si="189">IF(W600="X","x",IF(W600="y","x",IF(W600="xx","x",IF(U600&gt;0,"x",""))))</f>
        <v/>
      </c>
      <c r="Z600" s="586" t="str">
        <f t="shared" si="183"/>
        <v/>
      </c>
    </row>
    <row r="601" spans="1:26" hidden="1" x14ac:dyDescent="0.2">
      <c r="A601" s="567">
        <v>601100</v>
      </c>
      <c r="B601" s="644" t="s">
        <v>1626</v>
      </c>
      <c r="C601" s="645" t="s">
        <v>206</v>
      </c>
      <c r="D601" s="422" t="s">
        <v>275</v>
      </c>
      <c r="E601" s="423"/>
      <c r="F601" s="424"/>
      <c r="G601" s="425"/>
      <c r="H601" s="651">
        <f>IF(F601&lt;=30,(0.62*F601+6.29)*G601,((0.62*30+6.29)+0.62*(F601-30))*G601)</f>
        <v>0</v>
      </c>
      <c r="I601" s="420">
        <v>50.31</v>
      </c>
      <c r="J601" s="420">
        <f t="shared" si="187"/>
        <v>50.31</v>
      </c>
      <c r="K601" s="421">
        <f t="shared" si="181"/>
        <v>59.77</v>
      </c>
      <c r="L601" s="647" t="s">
        <v>16</v>
      </c>
      <c r="M601" s="576"/>
      <c r="N601" s="576">
        <f t="shared" si="186"/>
        <v>0</v>
      </c>
      <c r="O601" s="577">
        <f t="shared" si="174"/>
        <v>0</v>
      </c>
      <c r="P601" s="578">
        <f t="shared" si="175"/>
        <v>0</v>
      </c>
      <c r="Q601" s="765"/>
      <c r="R601" s="576">
        <f t="shared" si="176"/>
        <v>0</v>
      </c>
      <c r="S601" s="576">
        <f t="shared" si="188"/>
        <v>0</v>
      </c>
      <c r="T601" s="577">
        <f t="shared" si="172"/>
        <v>0</v>
      </c>
      <c r="U601" s="578">
        <f t="shared" si="173"/>
        <v>0</v>
      </c>
      <c r="V601" s="579"/>
      <c r="W601" s="566"/>
      <c r="X601" s="586" t="str">
        <f t="shared" si="170"/>
        <v/>
      </c>
      <c r="Y601" s="586" t="str">
        <f t="shared" si="189"/>
        <v/>
      </c>
      <c r="Z601" s="586" t="str">
        <f t="shared" si="183"/>
        <v/>
      </c>
    </row>
    <row r="602" spans="1:26" hidden="1" x14ac:dyDescent="0.2">
      <c r="A602" s="567">
        <v>602000</v>
      </c>
      <c r="B602" s="644" t="s">
        <v>2091</v>
      </c>
      <c r="C602" s="645" t="s">
        <v>206</v>
      </c>
      <c r="D602" s="422" t="s">
        <v>2092</v>
      </c>
      <c r="E602" s="423"/>
      <c r="F602" s="424"/>
      <c r="G602" s="425"/>
      <c r="H602" s="651">
        <f>IF(F602&lt;=30,(0.62*F602+6.29)*G602,((0.62*30+6.29)+0.62*(F602-30))*G602)</f>
        <v>0</v>
      </c>
      <c r="I602" s="420">
        <v>58.84</v>
      </c>
      <c r="J602" s="420">
        <f t="shared" si="187"/>
        <v>58.84</v>
      </c>
      <c r="K602" s="421">
        <f t="shared" si="181"/>
        <v>69.91</v>
      </c>
      <c r="L602" s="647" t="s">
        <v>18</v>
      </c>
      <c r="M602" s="576"/>
      <c r="N602" s="576">
        <f t="shared" si="186"/>
        <v>0</v>
      </c>
      <c r="O602" s="577">
        <f t="shared" si="174"/>
        <v>0</v>
      </c>
      <c r="P602" s="578">
        <f t="shared" si="175"/>
        <v>0</v>
      </c>
      <c r="Q602" s="765"/>
      <c r="R602" s="576">
        <f t="shared" si="176"/>
        <v>0</v>
      </c>
      <c r="S602" s="576">
        <f t="shared" si="188"/>
        <v>0</v>
      </c>
      <c r="T602" s="577">
        <f t="shared" si="172"/>
        <v>0</v>
      </c>
      <c r="U602" s="578">
        <f t="shared" si="173"/>
        <v>0</v>
      </c>
      <c r="V602" s="579"/>
      <c r="W602" s="566"/>
      <c r="X602" s="586" t="str">
        <f t="shared" si="170"/>
        <v/>
      </c>
      <c r="Y602" s="586" t="str">
        <f t="shared" si="189"/>
        <v/>
      </c>
      <c r="Z602" s="586" t="str">
        <f t="shared" si="183"/>
        <v/>
      </c>
    </row>
    <row r="603" spans="1:26" hidden="1" x14ac:dyDescent="0.2">
      <c r="A603" s="567">
        <v>603000</v>
      </c>
      <c r="B603" s="644" t="s">
        <v>1810</v>
      </c>
      <c r="C603" s="645" t="s">
        <v>206</v>
      </c>
      <c r="D603" s="422" t="s">
        <v>276</v>
      </c>
      <c r="E603" s="423"/>
      <c r="F603" s="424"/>
      <c r="G603" s="425"/>
      <c r="H603" s="651">
        <f>IF(F603&lt;=30,(0.62*F603+6.29)*G603,((0.62*30+6.29)+0.62*(F603-30))*G603)</f>
        <v>0</v>
      </c>
      <c r="I603" s="420">
        <v>17.84</v>
      </c>
      <c r="J603" s="420">
        <f t="shared" si="187"/>
        <v>17.84</v>
      </c>
      <c r="K603" s="421">
        <f t="shared" si="181"/>
        <v>21.2</v>
      </c>
      <c r="L603" s="647" t="s">
        <v>23</v>
      </c>
      <c r="M603" s="576"/>
      <c r="N603" s="576">
        <f t="shared" si="186"/>
        <v>0</v>
      </c>
      <c r="O603" s="577">
        <f t="shared" si="174"/>
        <v>0</v>
      </c>
      <c r="P603" s="578">
        <f t="shared" si="175"/>
        <v>0</v>
      </c>
      <c r="Q603" s="765"/>
      <c r="R603" s="576">
        <f t="shared" si="176"/>
        <v>0</v>
      </c>
      <c r="S603" s="576">
        <f t="shared" si="188"/>
        <v>0</v>
      </c>
      <c r="T603" s="577">
        <f t="shared" si="172"/>
        <v>0</v>
      </c>
      <c r="U603" s="578">
        <f t="shared" si="173"/>
        <v>0</v>
      </c>
      <c r="V603" s="579"/>
      <c r="W603" s="566"/>
      <c r="X603" s="586" t="str">
        <f t="shared" si="170"/>
        <v/>
      </c>
      <c r="Y603" s="586" t="str">
        <f t="shared" si="189"/>
        <v/>
      </c>
      <c r="Z603" s="586" t="str">
        <f t="shared" si="183"/>
        <v/>
      </c>
    </row>
    <row r="604" spans="1:26" hidden="1" x14ac:dyDescent="0.2">
      <c r="A604" s="567">
        <v>603300</v>
      </c>
      <c r="B604" s="644" t="s">
        <v>1811</v>
      </c>
      <c r="C604" s="645" t="s">
        <v>206</v>
      </c>
      <c r="D604" s="422" t="s">
        <v>277</v>
      </c>
      <c r="E604" s="423"/>
      <c r="F604" s="424"/>
      <c r="G604" s="425"/>
      <c r="H604" s="651">
        <f>IF(F604&lt;=30,(0.62*F604+6.29)*G604,((0.62*30+6.29)+0.62*(F604-30))*G604)</f>
        <v>0</v>
      </c>
      <c r="I604" s="420">
        <v>19.490000000000002</v>
      </c>
      <c r="J604" s="420">
        <f t="shared" si="187"/>
        <v>19.490000000000002</v>
      </c>
      <c r="K604" s="421">
        <f t="shared" si="181"/>
        <v>23.16</v>
      </c>
      <c r="L604" s="647" t="s">
        <v>23</v>
      </c>
      <c r="M604" s="576"/>
      <c r="N604" s="576">
        <f t="shared" si="186"/>
        <v>0</v>
      </c>
      <c r="O604" s="577">
        <f t="shared" si="174"/>
        <v>0</v>
      </c>
      <c r="P604" s="578">
        <f t="shared" si="175"/>
        <v>0</v>
      </c>
      <c r="Q604" s="765"/>
      <c r="R604" s="576">
        <f t="shared" si="176"/>
        <v>0</v>
      </c>
      <c r="S604" s="576">
        <f t="shared" si="188"/>
        <v>0</v>
      </c>
      <c r="T604" s="577">
        <f t="shared" si="172"/>
        <v>0</v>
      </c>
      <c r="U604" s="578">
        <f t="shared" si="173"/>
        <v>0</v>
      </c>
      <c r="V604" s="579"/>
      <c r="W604" s="566"/>
      <c r="X604" s="586" t="str">
        <f t="shared" si="170"/>
        <v/>
      </c>
      <c r="Y604" s="586" t="str">
        <f t="shared" si="189"/>
        <v/>
      </c>
      <c r="Z604" s="586" t="str">
        <f t="shared" si="183"/>
        <v/>
      </c>
    </row>
    <row r="605" spans="1:26" x14ac:dyDescent="0.2">
      <c r="A605" s="567">
        <v>605000</v>
      </c>
      <c r="B605" s="644" t="s">
        <v>1812</v>
      </c>
      <c r="C605" s="645" t="s">
        <v>206</v>
      </c>
      <c r="D605" s="422" t="s">
        <v>278</v>
      </c>
      <c r="E605" s="423"/>
      <c r="F605" s="424"/>
      <c r="G605" s="425"/>
      <c r="H605" s="651">
        <f>SUM(H606:H608)*0.05</f>
        <v>0.91282350000000001</v>
      </c>
      <c r="I605" s="420">
        <v>25.819500000000001</v>
      </c>
      <c r="J605" s="420">
        <f t="shared" si="187"/>
        <v>26.7323235</v>
      </c>
      <c r="K605" s="421">
        <f t="shared" si="181"/>
        <v>31.76</v>
      </c>
      <c r="L605" s="647" t="s">
        <v>18</v>
      </c>
      <c r="M605" s="576">
        <f>'ORÇ AV PADRE IVO'!M605+'ORÇ JOÃO NUNES'!M605+'ORÇ LAUDOMIRO'!M605</f>
        <v>1849.16</v>
      </c>
      <c r="N605" s="576">
        <f t="shared" si="186"/>
        <v>31.76</v>
      </c>
      <c r="O605" s="577">
        <f t="shared" si="174"/>
        <v>58729.32</v>
      </c>
      <c r="P605" s="578">
        <f t="shared" si="175"/>
        <v>58729.32</v>
      </c>
      <c r="Q605" s="765"/>
      <c r="R605" s="576">
        <f t="shared" si="176"/>
        <v>1849.16</v>
      </c>
      <c r="S605" s="576">
        <f t="shared" si="188"/>
        <v>31.76</v>
      </c>
      <c r="T605" s="577">
        <f t="shared" si="172"/>
        <v>58729.32</v>
      </c>
      <c r="U605" s="578">
        <f t="shared" si="173"/>
        <v>58729.32</v>
      </c>
      <c r="V605" s="579"/>
      <c r="W605" s="566"/>
      <c r="X605" s="586" t="str">
        <f t="shared" si="170"/>
        <v>x</v>
      </c>
      <c r="Y605" s="586" t="str">
        <f t="shared" si="189"/>
        <v>x</v>
      </c>
      <c r="Z605" s="586" t="str">
        <f t="shared" si="183"/>
        <v>x</v>
      </c>
    </row>
    <row r="606" spans="1:26" x14ac:dyDescent="0.2">
      <c r="A606" s="567" t="s">
        <v>168</v>
      </c>
      <c r="B606" s="644" t="s">
        <v>168</v>
      </c>
      <c r="C606" s="645"/>
      <c r="D606" s="451" t="s">
        <v>212</v>
      </c>
      <c r="E606" s="423"/>
      <c r="F606" s="805">
        <v>414</v>
      </c>
      <c r="G606" s="425">
        <f>ROUND(0.27*0.05,4)</f>
        <v>1.35E-2</v>
      </c>
      <c r="H606" s="649">
        <f>IF(F606&lt;=30,(0.78*F606+7.82)*G606,((0.78*30+7.82)+0.78*(F606-30))*G606)</f>
        <v>4.4649900000000002</v>
      </c>
      <c r="I606" s="420"/>
      <c r="J606" s="420" t="str">
        <f t="shared" si="187"/>
        <v/>
      </c>
      <c r="K606" s="421">
        <f t="shared" si="181"/>
        <v>0</v>
      </c>
      <c r="L606" s="668" t="s">
        <v>614</v>
      </c>
      <c r="M606" s="669"/>
      <c r="N606" s="576">
        <f t="shared" si="186"/>
        <v>0</v>
      </c>
      <c r="O606" s="577">
        <f t="shared" si="174"/>
        <v>0</v>
      </c>
      <c r="P606" s="578">
        <f t="shared" si="175"/>
        <v>0</v>
      </c>
      <c r="Q606" s="765"/>
      <c r="R606" s="669"/>
      <c r="S606" s="670"/>
      <c r="T606" s="577">
        <f t="shared" si="172"/>
        <v>0</v>
      </c>
      <c r="U606" s="578">
        <f t="shared" si="173"/>
        <v>0</v>
      </c>
      <c r="V606" s="579"/>
      <c r="W606" s="637" t="str">
        <f>IF(U605&gt;0,"xx",IF(P605&gt;0,"xy",""))</f>
        <v>xx</v>
      </c>
      <c r="X606" s="586" t="str">
        <f t="shared" si="170"/>
        <v>x</v>
      </c>
      <c r="Y606" s="586" t="str">
        <f t="shared" si="189"/>
        <v>x</v>
      </c>
      <c r="Z606" s="586" t="str">
        <f t="shared" si="183"/>
        <v/>
      </c>
    </row>
    <row r="607" spans="1:26" x14ac:dyDescent="0.2">
      <c r="A607" s="567" t="s">
        <v>168</v>
      </c>
      <c r="B607" s="644" t="s">
        <v>168</v>
      </c>
      <c r="C607" s="645"/>
      <c r="D607" s="451" t="s">
        <v>248</v>
      </c>
      <c r="E607" s="423"/>
      <c r="F607" s="805">
        <v>240</v>
      </c>
      <c r="G607" s="425">
        <f>ROUND(0.96*0.05,4)</f>
        <v>4.8000000000000001E-2</v>
      </c>
      <c r="H607" s="663">
        <f t="shared" ref="H607:H608" si="190">IF(F607&lt;=30,(1.07*F607+2.68)*G607,((1.07*30+2.68)+1.07*(F607-30))*G607)</f>
        <v>12.45504</v>
      </c>
      <c r="I607" s="420"/>
      <c r="J607" s="420" t="str">
        <f t="shared" si="187"/>
        <v/>
      </c>
      <c r="K607" s="421">
        <f t="shared" si="181"/>
        <v>0</v>
      </c>
      <c r="L607" s="668" t="s">
        <v>614</v>
      </c>
      <c r="M607" s="669"/>
      <c r="N607" s="576">
        <f t="shared" si="186"/>
        <v>0</v>
      </c>
      <c r="O607" s="577">
        <f t="shared" si="174"/>
        <v>0</v>
      </c>
      <c r="P607" s="578">
        <f t="shared" si="175"/>
        <v>0</v>
      </c>
      <c r="Q607" s="765"/>
      <c r="R607" s="669"/>
      <c r="S607" s="670"/>
      <c r="T607" s="577">
        <f t="shared" si="172"/>
        <v>0</v>
      </c>
      <c r="U607" s="578">
        <f t="shared" si="173"/>
        <v>0</v>
      </c>
      <c r="V607" s="579"/>
      <c r="W607" s="637" t="str">
        <f>IF(U605&gt;0,"xx",IF(P605&gt;0,"xy",""))</f>
        <v>xx</v>
      </c>
      <c r="X607" s="586" t="str">
        <f t="shared" si="170"/>
        <v>x</v>
      </c>
      <c r="Y607" s="586" t="str">
        <f t="shared" si="189"/>
        <v>x</v>
      </c>
      <c r="Z607" s="586" t="str">
        <f t="shared" si="183"/>
        <v/>
      </c>
    </row>
    <row r="608" spans="1:26" x14ac:dyDescent="0.2">
      <c r="A608" s="567" t="s">
        <v>168</v>
      </c>
      <c r="B608" s="644" t="s">
        <v>168</v>
      </c>
      <c r="C608" s="645"/>
      <c r="D608" s="451" t="s">
        <v>252</v>
      </c>
      <c r="E608" s="423"/>
      <c r="F608" s="805">
        <v>20</v>
      </c>
      <c r="G608" s="425">
        <f>ROUND(1.11*0.05,4)</f>
        <v>5.5500000000000001E-2</v>
      </c>
      <c r="H608" s="663">
        <f t="shared" si="190"/>
        <v>1.3364400000000001</v>
      </c>
      <c r="I608" s="420"/>
      <c r="J608" s="420" t="str">
        <f t="shared" si="187"/>
        <v/>
      </c>
      <c r="K608" s="421">
        <f t="shared" si="181"/>
        <v>0</v>
      </c>
      <c r="L608" s="668" t="s">
        <v>614</v>
      </c>
      <c r="M608" s="669"/>
      <c r="N608" s="576">
        <f t="shared" si="186"/>
        <v>0</v>
      </c>
      <c r="O608" s="577">
        <f t="shared" si="174"/>
        <v>0</v>
      </c>
      <c r="P608" s="578">
        <f t="shared" si="175"/>
        <v>0</v>
      </c>
      <c r="Q608" s="765"/>
      <c r="R608" s="669"/>
      <c r="S608" s="670"/>
      <c r="T608" s="577">
        <f t="shared" si="172"/>
        <v>0</v>
      </c>
      <c r="U608" s="578">
        <f t="shared" si="173"/>
        <v>0</v>
      </c>
      <c r="V608" s="579"/>
      <c r="W608" s="637" t="str">
        <f>IF(U605&gt;0,"xx",IF(P605&gt;0,"xy",""))</f>
        <v>xx</v>
      </c>
      <c r="X608" s="586" t="str">
        <f t="shared" si="170"/>
        <v>x</v>
      </c>
      <c r="Y608" s="586" t="str">
        <f t="shared" si="189"/>
        <v>x</v>
      </c>
      <c r="Z608" s="586" t="str">
        <f t="shared" si="183"/>
        <v/>
      </c>
    </row>
    <row r="609" spans="1:26" hidden="1" x14ac:dyDescent="0.2">
      <c r="A609" s="567">
        <v>605000</v>
      </c>
      <c r="B609" s="644" t="s">
        <v>1813</v>
      </c>
      <c r="C609" s="645" t="s">
        <v>206</v>
      </c>
      <c r="D609" s="422" t="s">
        <v>621</v>
      </c>
      <c r="E609" s="423"/>
      <c r="F609" s="424"/>
      <c r="G609" s="425"/>
      <c r="H609" s="651">
        <f>SUM(H610:H612)*0.05</f>
        <v>0.9648270000000001</v>
      </c>
      <c r="I609" s="420">
        <v>30.497399999999999</v>
      </c>
      <c r="J609" s="420">
        <f t="shared" si="187"/>
        <v>31.462226999999999</v>
      </c>
      <c r="K609" s="421">
        <f t="shared" si="181"/>
        <v>37.380000000000003</v>
      </c>
      <c r="L609" s="647" t="s">
        <v>18</v>
      </c>
      <c r="M609" s="576"/>
      <c r="N609" s="576">
        <f t="shared" si="186"/>
        <v>0</v>
      </c>
      <c r="O609" s="577">
        <f t="shared" si="174"/>
        <v>0</v>
      </c>
      <c r="P609" s="578">
        <f t="shared" si="175"/>
        <v>0</v>
      </c>
      <c r="Q609" s="765"/>
      <c r="R609" s="576">
        <f t="shared" si="176"/>
        <v>0</v>
      </c>
      <c r="S609" s="576">
        <f t="shared" si="188"/>
        <v>0</v>
      </c>
      <c r="T609" s="577">
        <f t="shared" si="172"/>
        <v>0</v>
      </c>
      <c r="U609" s="578">
        <f t="shared" si="173"/>
        <v>0</v>
      </c>
      <c r="V609" s="579"/>
      <c r="W609" s="566"/>
      <c r="X609" s="586" t="str">
        <f t="shared" si="170"/>
        <v/>
      </c>
      <c r="Y609" s="586" t="str">
        <f t="shared" si="189"/>
        <v/>
      </c>
      <c r="Z609" s="586" t="str">
        <f t="shared" si="183"/>
        <v/>
      </c>
    </row>
    <row r="610" spans="1:26" hidden="1" x14ac:dyDescent="0.2">
      <c r="A610" s="567" t="s">
        <v>168</v>
      </c>
      <c r="B610" s="644" t="s">
        <v>168</v>
      </c>
      <c r="C610" s="645"/>
      <c r="D610" s="451" t="s">
        <v>212</v>
      </c>
      <c r="E610" s="423"/>
      <c r="F610" s="424">
        <v>500</v>
      </c>
      <c r="G610" s="425">
        <f>ROUND(0.27*0.06,4)</f>
        <v>1.6199999999999999E-2</v>
      </c>
      <c r="H610" s="649">
        <f>IF(F610&lt;=30,(0.78*F610+7.82)*G610,((0.78*30+7.82)+0.78*(F610-30))*G610)</f>
        <v>6.4446840000000005</v>
      </c>
      <c r="I610" s="420"/>
      <c r="J610" s="420" t="str">
        <f t="shared" si="187"/>
        <v/>
      </c>
      <c r="K610" s="421">
        <f t="shared" si="181"/>
        <v>0</v>
      </c>
      <c r="L610" s="668" t="s">
        <v>614</v>
      </c>
      <c r="M610" s="669"/>
      <c r="N610" s="576">
        <f t="shared" si="186"/>
        <v>0</v>
      </c>
      <c r="O610" s="577">
        <f t="shared" si="174"/>
        <v>0</v>
      </c>
      <c r="P610" s="578">
        <f t="shared" si="175"/>
        <v>0</v>
      </c>
      <c r="Q610" s="765"/>
      <c r="R610" s="669"/>
      <c r="S610" s="670"/>
      <c r="T610" s="577">
        <f t="shared" si="172"/>
        <v>0</v>
      </c>
      <c r="U610" s="578">
        <f t="shared" si="173"/>
        <v>0</v>
      </c>
      <c r="V610" s="579"/>
      <c r="W610" s="637" t="str">
        <f>IF(U609&gt;0,"xx",IF(P609&gt;0,"xy",""))</f>
        <v/>
      </c>
      <c r="X610" s="586" t="str">
        <f t="shared" ref="X610:X763" si="191">IF(W610="X","x",IF(W610="xx","x",IF(W610="xy","x",IF(W610="y","x",IF(OR(P610&gt;0,U610&gt;0),"x","")))))</f>
        <v/>
      </c>
      <c r="Y610" s="586" t="str">
        <f t="shared" si="189"/>
        <v/>
      </c>
      <c r="Z610" s="586" t="str">
        <f t="shared" si="183"/>
        <v/>
      </c>
    </row>
    <row r="611" spans="1:26" hidden="1" x14ac:dyDescent="0.2">
      <c r="A611" s="567" t="s">
        <v>168</v>
      </c>
      <c r="B611" s="644" t="s">
        <v>168</v>
      </c>
      <c r="C611" s="645"/>
      <c r="D611" s="451" t="s">
        <v>248</v>
      </c>
      <c r="E611" s="423"/>
      <c r="F611" s="424">
        <v>180</v>
      </c>
      <c r="G611" s="425">
        <f>ROUND(0.96*0.06,4)</f>
        <v>5.7599999999999998E-2</v>
      </c>
      <c r="H611" s="663">
        <f t="shared" ref="H611:H612" si="192">IF(F611&lt;=30,(1.07*F611+2.68)*G611,((1.07*30+2.68)+1.07*(F611-30))*G611)</f>
        <v>11.248127999999999</v>
      </c>
      <c r="I611" s="420"/>
      <c r="J611" s="420" t="str">
        <f t="shared" si="187"/>
        <v/>
      </c>
      <c r="K611" s="421">
        <f t="shared" si="181"/>
        <v>0</v>
      </c>
      <c r="L611" s="668" t="s">
        <v>614</v>
      </c>
      <c r="M611" s="669"/>
      <c r="N611" s="576">
        <f t="shared" si="186"/>
        <v>0</v>
      </c>
      <c r="O611" s="577">
        <f t="shared" si="174"/>
        <v>0</v>
      </c>
      <c r="P611" s="578">
        <f t="shared" si="175"/>
        <v>0</v>
      </c>
      <c r="Q611" s="765"/>
      <c r="R611" s="669"/>
      <c r="S611" s="670"/>
      <c r="T611" s="577">
        <f t="shared" si="172"/>
        <v>0</v>
      </c>
      <c r="U611" s="578">
        <f t="shared" si="173"/>
        <v>0</v>
      </c>
      <c r="V611" s="579"/>
      <c r="W611" s="637" t="str">
        <f>IF(U609&gt;0,"xx",IF(P609&gt;0,"xy",""))</f>
        <v/>
      </c>
      <c r="X611" s="586" t="str">
        <f t="shared" si="191"/>
        <v/>
      </c>
      <c r="Y611" s="586" t="str">
        <f t="shared" si="189"/>
        <v/>
      </c>
      <c r="Z611" s="586" t="str">
        <f t="shared" si="183"/>
        <v/>
      </c>
    </row>
    <row r="612" spans="1:26" hidden="1" x14ac:dyDescent="0.2">
      <c r="A612" s="567" t="s">
        <v>168</v>
      </c>
      <c r="B612" s="644" t="s">
        <v>168</v>
      </c>
      <c r="C612" s="645"/>
      <c r="D612" s="451" t="s">
        <v>252</v>
      </c>
      <c r="E612" s="423"/>
      <c r="F612" s="424">
        <v>20</v>
      </c>
      <c r="G612" s="425">
        <f>ROUND(1.11*0.06,4)</f>
        <v>6.6600000000000006E-2</v>
      </c>
      <c r="H612" s="663">
        <f t="shared" si="192"/>
        <v>1.6037280000000003</v>
      </c>
      <c r="I612" s="420"/>
      <c r="J612" s="420" t="str">
        <f t="shared" si="187"/>
        <v/>
      </c>
      <c r="K612" s="421">
        <f t="shared" si="181"/>
        <v>0</v>
      </c>
      <c r="L612" s="668" t="s">
        <v>614</v>
      </c>
      <c r="M612" s="669"/>
      <c r="N612" s="576">
        <f t="shared" si="186"/>
        <v>0</v>
      </c>
      <c r="O612" s="577">
        <f t="shared" si="174"/>
        <v>0</v>
      </c>
      <c r="P612" s="578">
        <f t="shared" si="175"/>
        <v>0</v>
      </c>
      <c r="Q612" s="765"/>
      <c r="R612" s="669"/>
      <c r="S612" s="670"/>
      <c r="T612" s="577">
        <f t="shared" si="172"/>
        <v>0</v>
      </c>
      <c r="U612" s="578">
        <f t="shared" si="173"/>
        <v>0</v>
      </c>
      <c r="V612" s="579"/>
      <c r="W612" s="637" t="str">
        <f>IF(U609&gt;0,"xx",IF(P609&gt;0,"xy",""))</f>
        <v/>
      </c>
      <c r="X612" s="586" t="str">
        <f t="shared" si="191"/>
        <v/>
      </c>
      <c r="Y612" s="586" t="str">
        <f t="shared" si="189"/>
        <v/>
      </c>
      <c r="Z612" s="586" t="str">
        <f t="shared" si="183"/>
        <v/>
      </c>
    </row>
    <row r="613" spans="1:26" hidden="1" x14ac:dyDescent="0.2">
      <c r="A613" s="567">
        <v>605000</v>
      </c>
      <c r="B613" s="644" t="s">
        <v>1814</v>
      </c>
      <c r="C613" s="645" t="s">
        <v>206</v>
      </c>
      <c r="D613" s="422" t="s">
        <v>622</v>
      </c>
      <c r="E613" s="423"/>
      <c r="F613" s="424"/>
      <c r="G613" s="425"/>
      <c r="H613" s="651">
        <f>SUM(H614:H616)*0.05</f>
        <v>1.1256315000000001</v>
      </c>
      <c r="I613" s="420">
        <v>35.1753</v>
      </c>
      <c r="J613" s="420">
        <f t="shared" si="187"/>
        <v>36.300931499999997</v>
      </c>
      <c r="K613" s="421">
        <f t="shared" si="181"/>
        <v>43.13</v>
      </c>
      <c r="L613" s="647" t="s">
        <v>18</v>
      </c>
      <c r="M613" s="576"/>
      <c r="N613" s="576">
        <f t="shared" si="186"/>
        <v>0</v>
      </c>
      <c r="O613" s="577">
        <f t="shared" si="174"/>
        <v>0</v>
      </c>
      <c r="P613" s="578">
        <f t="shared" si="175"/>
        <v>0</v>
      </c>
      <c r="Q613" s="765"/>
      <c r="R613" s="576">
        <f t="shared" si="176"/>
        <v>0</v>
      </c>
      <c r="S613" s="576">
        <f t="shared" si="176"/>
        <v>0</v>
      </c>
      <c r="T613" s="577">
        <f t="shared" si="172"/>
        <v>0</v>
      </c>
      <c r="U613" s="578">
        <f t="shared" si="173"/>
        <v>0</v>
      </c>
      <c r="V613" s="579"/>
      <c r="W613" s="566"/>
      <c r="X613" s="586" t="str">
        <f t="shared" si="191"/>
        <v/>
      </c>
      <c r="Y613" s="586" t="str">
        <f t="shared" si="189"/>
        <v/>
      </c>
      <c r="Z613" s="586" t="str">
        <f t="shared" si="183"/>
        <v/>
      </c>
    </row>
    <row r="614" spans="1:26" hidden="1" x14ac:dyDescent="0.2">
      <c r="A614" s="567" t="s">
        <v>168</v>
      </c>
      <c r="B614" s="644" t="s">
        <v>168</v>
      </c>
      <c r="C614" s="645"/>
      <c r="D614" s="451" t="s">
        <v>212</v>
      </c>
      <c r="E614" s="423"/>
      <c r="F614" s="424">
        <v>500</v>
      </c>
      <c r="G614" s="425">
        <f>ROUND(0.27*0.07,4)</f>
        <v>1.89E-2</v>
      </c>
      <c r="H614" s="649">
        <f>IF(F614&lt;=30,(0.78*F614+7.82)*G614,((0.78*30+7.82)+0.78*(F614-30))*G614)</f>
        <v>7.5187980000000012</v>
      </c>
      <c r="I614" s="420"/>
      <c r="J614" s="420" t="str">
        <f t="shared" si="187"/>
        <v/>
      </c>
      <c r="K614" s="421">
        <f t="shared" si="181"/>
        <v>0</v>
      </c>
      <c r="L614" s="668" t="s">
        <v>614</v>
      </c>
      <c r="M614" s="669"/>
      <c r="N614" s="576">
        <f t="shared" si="186"/>
        <v>0</v>
      </c>
      <c r="O614" s="577">
        <f t="shared" si="174"/>
        <v>0</v>
      </c>
      <c r="P614" s="578">
        <f t="shared" si="175"/>
        <v>0</v>
      </c>
      <c r="Q614" s="765"/>
      <c r="R614" s="669"/>
      <c r="S614" s="670"/>
      <c r="T614" s="577">
        <f t="shared" si="172"/>
        <v>0</v>
      </c>
      <c r="U614" s="578">
        <f t="shared" si="173"/>
        <v>0</v>
      </c>
      <c r="V614" s="579"/>
      <c r="W614" s="637" t="str">
        <f>IF(U613&gt;0,"xx",IF(P613&gt;0,"xy",""))</f>
        <v/>
      </c>
      <c r="X614" s="586" t="str">
        <f t="shared" si="191"/>
        <v/>
      </c>
      <c r="Y614" s="586" t="str">
        <f t="shared" si="189"/>
        <v/>
      </c>
      <c r="Z614" s="586" t="str">
        <f t="shared" si="183"/>
        <v/>
      </c>
    </row>
    <row r="615" spans="1:26" hidden="1" x14ac:dyDescent="0.2">
      <c r="A615" s="567" t="s">
        <v>168</v>
      </c>
      <c r="B615" s="644" t="s">
        <v>168</v>
      </c>
      <c r="C615" s="645"/>
      <c r="D615" s="451" t="s">
        <v>248</v>
      </c>
      <c r="E615" s="423"/>
      <c r="F615" s="424">
        <v>180</v>
      </c>
      <c r="G615" s="425">
        <f>ROUND(0.96*0.07,4)</f>
        <v>6.7199999999999996E-2</v>
      </c>
      <c r="H615" s="663">
        <f t="shared" ref="H615:H616" si="193">IF(F615&lt;=30,(1.07*F615+2.68)*G615,((1.07*30+2.68)+1.07*(F615-30))*G615)</f>
        <v>13.122815999999998</v>
      </c>
      <c r="I615" s="420"/>
      <c r="J615" s="420" t="str">
        <f t="shared" si="187"/>
        <v/>
      </c>
      <c r="K615" s="421">
        <f t="shared" si="181"/>
        <v>0</v>
      </c>
      <c r="L615" s="668" t="s">
        <v>614</v>
      </c>
      <c r="M615" s="669"/>
      <c r="N615" s="576">
        <f t="shared" si="186"/>
        <v>0</v>
      </c>
      <c r="O615" s="577">
        <f t="shared" si="174"/>
        <v>0</v>
      </c>
      <c r="P615" s="578">
        <f t="shared" si="175"/>
        <v>0</v>
      </c>
      <c r="Q615" s="765"/>
      <c r="R615" s="669"/>
      <c r="S615" s="670"/>
      <c r="T615" s="577">
        <f t="shared" si="172"/>
        <v>0</v>
      </c>
      <c r="U615" s="578">
        <f t="shared" si="173"/>
        <v>0</v>
      </c>
      <c r="V615" s="579"/>
      <c r="W615" s="637" t="str">
        <f>IF(U613&gt;0,"xx",IF(P613&gt;0,"xy",""))</f>
        <v/>
      </c>
      <c r="X615" s="586" t="str">
        <f t="shared" si="191"/>
        <v/>
      </c>
      <c r="Y615" s="586" t="str">
        <f t="shared" si="189"/>
        <v/>
      </c>
      <c r="Z615" s="586" t="str">
        <f t="shared" si="183"/>
        <v/>
      </c>
    </row>
    <row r="616" spans="1:26" hidden="1" x14ac:dyDescent="0.2">
      <c r="A616" s="567" t="s">
        <v>168</v>
      </c>
      <c r="B616" s="644" t="s">
        <v>168</v>
      </c>
      <c r="C616" s="645"/>
      <c r="D616" s="451" t="s">
        <v>252</v>
      </c>
      <c r="E616" s="423"/>
      <c r="F616" s="424">
        <v>20</v>
      </c>
      <c r="G616" s="425">
        <f>ROUND(1.11*0.07,4)</f>
        <v>7.7700000000000005E-2</v>
      </c>
      <c r="H616" s="663">
        <f t="shared" si="193"/>
        <v>1.8710160000000002</v>
      </c>
      <c r="I616" s="420"/>
      <c r="J616" s="420" t="str">
        <f t="shared" si="187"/>
        <v/>
      </c>
      <c r="K616" s="421">
        <f t="shared" si="181"/>
        <v>0</v>
      </c>
      <c r="L616" s="668" t="s">
        <v>614</v>
      </c>
      <c r="M616" s="669"/>
      <c r="N616" s="576">
        <f t="shared" si="186"/>
        <v>0</v>
      </c>
      <c r="O616" s="577">
        <f t="shared" si="174"/>
        <v>0</v>
      </c>
      <c r="P616" s="578">
        <f t="shared" si="175"/>
        <v>0</v>
      </c>
      <c r="Q616" s="765"/>
      <c r="R616" s="669"/>
      <c r="S616" s="670"/>
      <c r="T616" s="577">
        <f t="shared" ref="T616:T691" si="194">IF(ISBLANK(R616),0,ROUND(K616*R616,2))</f>
        <v>0</v>
      </c>
      <c r="U616" s="578">
        <f t="shared" ref="U616:U691" si="195">IF(ISBLANK(R616),0,ROUND(R616*S616,2))</f>
        <v>0</v>
      </c>
      <c r="V616" s="579"/>
      <c r="W616" s="637" t="str">
        <f>IF(U613&gt;0,"xx",IF(P613&gt;0,"xy",""))</f>
        <v/>
      </c>
      <c r="X616" s="586" t="str">
        <f t="shared" si="191"/>
        <v/>
      </c>
      <c r="Y616" s="586" t="str">
        <f t="shared" si="189"/>
        <v/>
      </c>
      <c r="Z616" s="586" t="str">
        <f t="shared" si="183"/>
        <v/>
      </c>
    </row>
    <row r="617" spans="1:26" hidden="1" x14ac:dyDescent="0.2">
      <c r="A617" s="567">
        <v>605000</v>
      </c>
      <c r="B617" s="644" t="s">
        <v>1815</v>
      </c>
      <c r="C617" s="645" t="s">
        <v>206</v>
      </c>
      <c r="D617" s="422" t="s">
        <v>631</v>
      </c>
      <c r="E617" s="423"/>
      <c r="F617" s="424"/>
      <c r="G617" s="425"/>
      <c r="H617" s="651">
        <f>SUM(H618:H620)*0.05</f>
        <v>1.2864360000000001</v>
      </c>
      <c r="I617" s="420">
        <v>39.853200000000001</v>
      </c>
      <c r="J617" s="420">
        <f t="shared" si="187"/>
        <v>41.139636000000003</v>
      </c>
      <c r="K617" s="421">
        <f t="shared" si="181"/>
        <v>48.88</v>
      </c>
      <c r="L617" s="647" t="s">
        <v>18</v>
      </c>
      <c r="M617" s="576"/>
      <c r="N617" s="576">
        <f t="shared" si="186"/>
        <v>0</v>
      </c>
      <c r="O617" s="577">
        <f t="shared" ref="O617:O692" si="196">IF(ISBLANK(M617),0,ROUND(K617*M617,2))</f>
        <v>0</v>
      </c>
      <c r="P617" s="578">
        <f t="shared" ref="P617:P692" si="197">IF(ISBLANK(N617),0,ROUND(M617*N617,2))</f>
        <v>0</v>
      </c>
      <c r="Q617" s="765"/>
      <c r="R617" s="576">
        <f>M617</f>
        <v>0</v>
      </c>
      <c r="S617" s="576">
        <f t="shared" ref="S617:S662" si="198">N617</f>
        <v>0</v>
      </c>
      <c r="T617" s="577">
        <f t="shared" si="194"/>
        <v>0</v>
      </c>
      <c r="U617" s="578">
        <f t="shared" si="195"/>
        <v>0</v>
      </c>
      <c r="V617" s="579"/>
      <c r="W617" s="566"/>
      <c r="X617" s="586" t="str">
        <f t="shared" si="191"/>
        <v/>
      </c>
      <c r="Y617" s="586" t="str">
        <f t="shared" si="189"/>
        <v/>
      </c>
      <c r="Z617" s="586" t="str">
        <f t="shared" si="183"/>
        <v/>
      </c>
    </row>
    <row r="618" spans="1:26" hidden="1" x14ac:dyDescent="0.2">
      <c r="A618" s="567" t="s">
        <v>168</v>
      </c>
      <c r="B618" s="644" t="s">
        <v>168</v>
      </c>
      <c r="C618" s="645"/>
      <c r="D618" s="451" t="s">
        <v>212</v>
      </c>
      <c r="E618" s="423"/>
      <c r="F618" s="424">
        <v>500</v>
      </c>
      <c r="G618" s="425">
        <f>ROUND(0.27*0.08,4)</f>
        <v>2.1600000000000001E-2</v>
      </c>
      <c r="H618" s="649">
        <f>IF(F618&lt;=30,(0.78*F618+7.82)*G618,((0.78*30+7.82)+0.78*(F618-30))*G618)</f>
        <v>8.5929120000000019</v>
      </c>
      <c r="I618" s="420">
        <v>0</v>
      </c>
      <c r="J618" s="420"/>
      <c r="K618" s="421">
        <f t="shared" si="181"/>
        <v>0</v>
      </c>
      <c r="L618" s="668" t="s">
        <v>614</v>
      </c>
      <c r="M618" s="669"/>
      <c r="N618" s="576">
        <f t="shared" si="186"/>
        <v>0</v>
      </c>
      <c r="O618" s="577">
        <f t="shared" si="196"/>
        <v>0</v>
      </c>
      <c r="P618" s="578">
        <f t="shared" si="197"/>
        <v>0</v>
      </c>
      <c r="Q618" s="765"/>
      <c r="R618" s="669"/>
      <c r="S618" s="670"/>
      <c r="T618" s="577">
        <f t="shared" si="194"/>
        <v>0</v>
      </c>
      <c r="U618" s="578">
        <f t="shared" si="195"/>
        <v>0</v>
      </c>
      <c r="V618" s="579"/>
      <c r="W618" s="637" t="str">
        <f>IF(U617&gt;0,"xx",IF(P617&gt;0,"xy",""))</f>
        <v/>
      </c>
      <c r="X618" s="586" t="str">
        <f t="shared" si="191"/>
        <v/>
      </c>
      <c r="Y618" s="586" t="str">
        <f t="shared" si="189"/>
        <v/>
      </c>
      <c r="Z618" s="586" t="str">
        <f t="shared" si="183"/>
        <v/>
      </c>
    </row>
    <row r="619" spans="1:26" hidden="1" x14ac:dyDescent="0.2">
      <c r="A619" s="567" t="s">
        <v>168</v>
      </c>
      <c r="B619" s="644" t="s">
        <v>168</v>
      </c>
      <c r="C619" s="645"/>
      <c r="D619" s="451" t="s">
        <v>248</v>
      </c>
      <c r="E619" s="423"/>
      <c r="F619" s="424">
        <v>180</v>
      </c>
      <c r="G619" s="425">
        <f>ROUND(0.96*0.08,4)</f>
        <v>7.6799999999999993E-2</v>
      </c>
      <c r="H619" s="663">
        <f t="shared" ref="H619:H620" si="199">IF(F619&lt;=30,(1.07*F619+2.68)*G619,((1.07*30+2.68)+1.07*(F619-30))*G619)</f>
        <v>14.997503999999999</v>
      </c>
      <c r="I619" s="420">
        <v>0</v>
      </c>
      <c r="J619" s="420"/>
      <c r="K619" s="421">
        <f t="shared" si="181"/>
        <v>0</v>
      </c>
      <c r="L619" s="668" t="s">
        <v>614</v>
      </c>
      <c r="M619" s="669"/>
      <c r="N619" s="576">
        <f t="shared" si="186"/>
        <v>0</v>
      </c>
      <c r="O619" s="577">
        <f t="shared" si="196"/>
        <v>0</v>
      </c>
      <c r="P619" s="578">
        <f t="shared" si="197"/>
        <v>0</v>
      </c>
      <c r="Q619" s="765"/>
      <c r="R619" s="669"/>
      <c r="S619" s="670"/>
      <c r="T619" s="577">
        <f t="shared" si="194"/>
        <v>0</v>
      </c>
      <c r="U619" s="578">
        <f t="shared" si="195"/>
        <v>0</v>
      </c>
      <c r="V619" s="579"/>
      <c r="W619" s="637" t="str">
        <f>IF(U617&gt;0,"xx",IF(P617&gt;0,"xy",""))</f>
        <v/>
      </c>
      <c r="X619" s="586" t="str">
        <f t="shared" si="191"/>
        <v/>
      </c>
      <c r="Y619" s="586" t="str">
        <f t="shared" si="189"/>
        <v/>
      </c>
      <c r="Z619" s="586" t="str">
        <f t="shared" si="183"/>
        <v/>
      </c>
    </row>
    <row r="620" spans="1:26" hidden="1" x14ac:dyDescent="0.2">
      <c r="A620" s="567" t="s">
        <v>168</v>
      </c>
      <c r="B620" s="644" t="s">
        <v>168</v>
      </c>
      <c r="C620" s="645"/>
      <c r="D620" s="451" t="s">
        <v>252</v>
      </c>
      <c r="E620" s="423"/>
      <c r="F620" s="424">
        <v>20</v>
      </c>
      <c r="G620" s="425">
        <f>ROUND(1.11*0.08,4)</f>
        <v>8.8800000000000004E-2</v>
      </c>
      <c r="H620" s="663">
        <f t="shared" si="199"/>
        <v>2.1383040000000002</v>
      </c>
      <c r="I620" s="420">
        <v>0</v>
      </c>
      <c r="J620" s="420"/>
      <c r="K620" s="421">
        <f t="shared" si="181"/>
        <v>0</v>
      </c>
      <c r="L620" s="668" t="s">
        <v>614</v>
      </c>
      <c r="M620" s="669"/>
      <c r="N620" s="576">
        <f t="shared" si="186"/>
        <v>0</v>
      </c>
      <c r="O620" s="577">
        <f t="shared" si="196"/>
        <v>0</v>
      </c>
      <c r="P620" s="578">
        <f t="shared" si="197"/>
        <v>0</v>
      </c>
      <c r="Q620" s="765"/>
      <c r="R620" s="669"/>
      <c r="S620" s="670"/>
      <c r="T620" s="577">
        <f t="shared" si="194"/>
        <v>0</v>
      </c>
      <c r="U620" s="578">
        <f t="shared" si="195"/>
        <v>0</v>
      </c>
      <c r="V620" s="579"/>
      <c r="W620" s="637" t="str">
        <f>IF(U617&gt;0,"xx",IF(P617&gt;0,"xy",""))</f>
        <v/>
      </c>
      <c r="X620" s="586" t="str">
        <f t="shared" si="191"/>
        <v/>
      </c>
      <c r="Y620" s="586" t="str">
        <f t="shared" si="189"/>
        <v/>
      </c>
      <c r="Z620" s="586" t="str">
        <f t="shared" si="183"/>
        <v/>
      </c>
    </row>
    <row r="621" spans="1:26" hidden="1" x14ac:dyDescent="0.2">
      <c r="A621" s="567">
        <v>511000</v>
      </c>
      <c r="B621" s="644" t="s">
        <v>1534</v>
      </c>
      <c r="C621" s="645" t="s">
        <v>206</v>
      </c>
      <c r="D621" s="422" t="s">
        <v>283</v>
      </c>
      <c r="E621" s="423"/>
      <c r="F621" s="424">
        <v>0</v>
      </c>
      <c r="G621" s="425"/>
      <c r="H621" s="651">
        <f>IF(F621&lt;=30,(0.62*F621+6.29)*G621,((0.62*30+6.29)+0.62*(F621-30))*G621)</f>
        <v>0</v>
      </c>
      <c r="I621" s="420">
        <v>4.95</v>
      </c>
      <c r="J621" s="420">
        <f t="shared" ref="J621:J626" si="200">IF(ISBLANK(I621),"",SUM(H621:I621))</f>
        <v>4.95</v>
      </c>
      <c r="K621" s="421">
        <f t="shared" si="181"/>
        <v>5.88</v>
      </c>
      <c r="L621" s="647" t="s">
        <v>18</v>
      </c>
      <c r="M621" s="576"/>
      <c r="N621" s="576">
        <f t="shared" si="186"/>
        <v>0</v>
      </c>
      <c r="O621" s="577">
        <f t="shared" si="196"/>
        <v>0</v>
      </c>
      <c r="P621" s="578">
        <f t="shared" si="197"/>
        <v>0</v>
      </c>
      <c r="Q621" s="765"/>
      <c r="R621" s="576">
        <f t="shared" ref="R621:R633" si="201">M621</f>
        <v>0</v>
      </c>
      <c r="S621" s="576">
        <f t="shared" si="198"/>
        <v>0</v>
      </c>
      <c r="T621" s="577">
        <f t="shared" si="194"/>
        <v>0</v>
      </c>
      <c r="U621" s="578">
        <f t="shared" si="195"/>
        <v>0</v>
      </c>
      <c r="V621" s="579"/>
      <c r="W621" s="566"/>
      <c r="X621" s="586" t="str">
        <f t="shared" si="191"/>
        <v/>
      </c>
      <c r="Y621" s="586" t="str">
        <f t="shared" si="189"/>
        <v/>
      </c>
      <c r="Z621" s="586" t="str">
        <f t="shared" si="183"/>
        <v/>
      </c>
    </row>
    <row r="622" spans="1:26" hidden="1" x14ac:dyDescent="0.2">
      <c r="A622" s="567">
        <v>511100</v>
      </c>
      <c r="B622" s="644" t="s">
        <v>1539</v>
      </c>
      <c r="C622" s="645" t="s">
        <v>206</v>
      </c>
      <c r="D622" s="422" t="s">
        <v>284</v>
      </c>
      <c r="E622" s="423"/>
      <c r="F622" s="424">
        <v>0</v>
      </c>
      <c r="G622" s="425">
        <v>0</v>
      </c>
      <c r="H622" s="651">
        <f>IF(F622&lt;=30,(0.62*F622+6.29)*G622,((0.62*30+6.29)+0.62*(F622-30))*G622)</f>
        <v>0</v>
      </c>
      <c r="I622" s="420">
        <v>4.33</v>
      </c>
      <c r="J622" s="420">
        <f t="shared" si="200"/>
        <v>4.33</v>
      </c>
      <c r="K622" s="421">
        <f t="shared" si="181"/>
        <v>5.14</v>
      </c>
      <c r="L622" s="647" t="s">
        <v>18</v>
      </c>
      <c r="M622" s="576"/>
      <c r="N622" s="576">
        <f t="shared" si="186"/>
        <v>0</v>
      </c>
      <c r="O622" s="577">
        <f t="shared" si="196"/>
        <v>0</v>
      </c>
      <c r="P622" s="578">
        <f t="shared" si="197"/>
        <v>0</v>
      </c>
      <c r="Q622" s="765"/>
      <c r="R622" s="576">
        <f t="shared" si="201"/>
        <v>0</v>
      </c>
      <c r="S622" s="576">
        <f t="shared" si="198"/>
        <v>0</v>
      </c>
      <c r="T622" s="577">
        <f t="shared" si="194"/>
        <v>0</v>
      </c>
      <c r="U622" s="578">
        <f t="shared" si="195"/>
        <v>0</v>
      </c>
      <c r="V622" s="579"/>
      <c r="W622" s="566"/>
      <c r="X622" s="586" t="str">
        <f t="shared" si="191"/>
        <v/>
      </c>
      <c r="Y622" s="586" t="str">
        <f t="shared" si="189"/>
        <v/>
      </c>
      <c r="Z622" s="586" t="str">
        <f t="shared" si="183"/>
        <v/>
      </c>
    </row>
    <row r="623" spans="1:26" hidden="1" x14ac:dyDescent="0.2">
      <c r="A623" s="567">
        <v>520100</v>
      </c>
      <c r="B623" s="644" t="s">
        <v>1816</v>
      </c>
      <c r="C623" s="645" t="s">
        <v>206</v>
      </c>
      <c r="D623" s="422" t="s">
        <v>285</v>
      </c>
      <c r="E623" s="423"/>
      <c r="F623" s="418">
        <v>0.5</v>
      </c>
      <c r="G623" s="419">
        <f>1.5*1.4</f>
        <v>2.0999999999999996</v>
      </c>
      <c r="H623" s="663">
        <f t="shared" ref="H623:H632" si="202">IF(F623&lt;=30,(1.07*F623+2.68)*G623,((1.07*30+2.68)+1.07*(F623-30))*G623)</f>
        <v>6.7514999999999992</v>
      </c>
      <c r="I623" s="449">
        <v>13.587999999999999</v>
      </c>
      <c r="J623" s="420">
        <f t="shared" si="200"/>
        <v>20.339499999999997</v>
      </c>
      <c r="K623" s="421">
        <f t="shared" si="181"/>
        <v>24.17</v>
      </c>
      <c r="L623" s="647" t="s">
        <v>16</v>
      </c>
      <c r="M623" s="576"/>
      <c r="N623" s="576">
        <f t="shared" si="186"/>
        <v>0</v>
      </c>
      <c r="O623" s="577">
        <f t="shared" si="196"/>
        <v>0</v>
      </c>
      <c r="P623" s="578">
        <f t="shared" si="197"/>
        <v>0</v>
      </c>
      <c r="Q623" s="765"/>
      <c r="R623" s="576">
        <f t="shared" si="201"/>
        <v>0</v>
      </c>
      <c r="S623" s="576">
        <f t="shared" si="198"/>
        <v>0</v>
      </c>
      <c r="T623" s="577">
        <f t="shared" si="194"/>
        <v>0</v>
      </c>
      <c r="U623" s="578">
        <f t="shared" si="195"/>
        <v>0</v>
      </c>
      <c r="V623" s="579"/>
      <c r="W623" s="566"/>
      <c r="X623" s="586" t="str">
        <f t="shared" si="191"/>
        <v/>
      </c>
      <c r="Y623" s="586" t="str">
        <f t="shared" si="189"/>
        <v/>
      </c>
      <c r="Z623" s="586" t="str">
        <f t="shared" si="183"/>
        <v/>
      </c>
    </row>
    <row r="624" spans="1:26" hidden="1" x14ac:dyDescent="0.2">
      <c r="A624" s="567">
        <v>520100</v>
      </c>
      <c r="B624" s="644" t="s">
        <v>1817</v>
      </c>
      <c r="C624" s="645" t="s">
        <v>206</v>
      </c>
      <c r="D624" s="422" t="s">
        <v>286</v>
      </c>
      <c r="E624" s="423"/>
      <c r="F624" s="418">
        <v>15</v>
      </c>
      <c r="G624" s="419">
        <f>1.5*1.4</f>
        <v>2.0999999999999996</v>
      </c>
      <c r="H624" s="663">
        <f t="shared" si="202"/>
        <v>39.332999999999991</v>
      </c>
      <c r="I624" s="449">
        <v>13.587999999999999</v>
      </c>
      <c r="J624" s="420">
        <f t="shared" si="200"/>
        <v>52.920999999999992</v>
      </c>
      <c r="K624" s="421">
        <f t="shared" si="181"/>
        <v>62.88</v>
      </c>
      <c r="L624" s="647" t="s">
        <v>16</v>
      </c>
      <c r="M624" s="576"/>
      <c r="N624" s="576">
        <f t="shared" si="186"/>
        <v>0</v>
      </c>
      <c r="O624" s="577">
        <f t="shared" si="196"/>
        <v>0</v>
      </c>
      <c r="P624" s="578">
        <f t="shared" si="197"/>
        <v>0</v>
      </c>
      <c r="Q624" s="765"/>
      <c r="R624" s="576">
        <f t="shared" si="201"/>
        <v>0</v>
      </c>
      <c r="S624" s="576">
        <f t="shared" si="198"/>
        <v>0</v>
      </c>
      <c r="T624" s="577">
        <f t="shared" si="194"/>
        <v>0</v>
      </c>
      <c r="U624" s="578">
        <f t="shared" si="195"/>
        <v>0</v>
      </c>
      <c r="V624" s="579"/>
      <c r="W624" s="566"/>
      <c r="X624" s="586" t="str">
        <f t="shared" si="191"/>
        <v/>
      </c>
      <c r="Y624" s="586" t="str">
        <f t="shared" si="189"/>
        <v/>
      </c>
      <c r="Z624" s="586" t="str">
        <f t="shared" si="183"/>
        <v/>
      </c>
    </row>
    <row r="625" spans="1:26" hidden="1" x14ac:dyDescent="0.2">
      <c r="A625" s="567">
        <v>533500</v>
      </c>
      <c r="B625" s="644" t="s">
        <v>1818</v>
      </c>
      <c r="C625" s="645" t="s">
        <v>206</v>
      </c>
      <c r="D625" s="422" t="s">
        <v>481</v>
      </c>
      <c r="E625" s="423"/>
      <c r="F625" s="418">
        <v>15</v>
      </c>
      <c r="G625" s="419">
        <v>1.95</v>
      </c>
      <c r="H625" s="663">
        <f t="shared" si="202"/>
        <v>36.523499999999999</v>
      </c>
      <c r="I625" s="420">
        <v>26.299999999999997</v>
      </c>
      <c r="J625" s="420">
        <f t="shared" si="200"/>
        <v>62.823499999999996</v>
      </c>
      <c r="K625" s="421">
        <f t="shared" si="181"/>
        <v>74.64</v>
      </c>
      <c r="L625" s="647" t="s">
        <v>16</v>
      </c>
      <c r="M625" s="576"/>
      <c r="N625" s="576">
        <f t="shared" si="186"/>
        <v>0</v>
      </c>
      <c r="O625" s="577">
        <f t="shared" si="196"/>
        <v>0</v>
      </c>
      <c r="P625" s="578">
        <f t="shared" si="197"/>
        <v>0</v>
      </c>
      <c r="Q625" s="765"/>
      <c r="R625" s="576">
        <f t="shared" si="201"/>
        <v>0</v>
      </c>
      <c r="S625" s="576">
        <f t="shared" si="198"/>
        <v>0</v>
      </c>
      <c r="T625" s="577">
        <f t="shared" si="194"/>
        <v>0</v>
      </c>
      <c r="U625" s="578">
        <f t="shared" si="195"/>
        <v>0</v>
      </c>
      <c r="V625" s="579"/>
      <c r="W625" s="566"/>
      <c r="X625" s="586" t="str">
        <f t="shared" si="191"/>
        <v/>
      </c>
      <c r="Y625" s="586" t="str">
        <f t="shared" si="189"/>
        <v/>
      </c>
      <c r="Z625" s="586" t="str">
        <f t="shared" si="183"/>
        <v/>
      </c>
    </row>
    <row r="626" spans="1:26" hidden="1" x14ac:dyDescent="0.2">
      <c r="A626" s="567">
        <v>533100</v>
      </c>
      <c r="B626" s="644" t="s">
        <v>1819</v>
      </c>
      <c r="C626" s="645" t="s">
        <v>206</v>
      </c>
      <c r="D626" s="422" t="s">
        <v>492</v>
      </c>
      <c r="E626" s="423"/>
      <c r="F626" s="418">
        <v>15</v>
      </c>
      <c r="G626" s="419">
        <v>1.98</v>
      </c>
      <c r="H626" s="663">
        <f t="shared" si="202"/>
        <v>37.0854</v>
      </c>
      <c r="I626" s="420">
        <v>31.15</v>
      </c>
      <c r="J626" s="420">
        <f t="shared" si="200"/>
        <v>68.235399999999998</v>
      </c>
      <c r="K626" s="421">
        <f t="shared" si="181"/>
        <v>81.069999999999993</v>
      </c>
      <c r="L626" s="647" t="s">
        <v>16</v>
      </c>
      <c r="M626" s="576"/>
      <c r="N626" s="576">
        <f t="shared" si="186"/>
        <v>0</v>
      </c>
      <c r="O626" s="577">
        <f t="shared" si="196"/>
        <v>0</v>
      </c>
      <c r="P626" s="578">
        <f t="shared" si="197"/>
        <v>0</v>
      </c>
      <c r="Q626" s="765"/>
      <c r="R626" s="576">
        <f t="shared" si="201"/>
        <v>0</v>
      </c>
      <c r="S626" s="576">
        <f t="shared" si="198"/>
        <v>0</v>
      </c>
      <c r="T626" s="577">
        <f t="shared" si="194"/>
        <v>0</v>
      </c>
      <c r="U626" s="578">
        <f t="shared" si="195"/>
        <v>0</v>
      </c>
      <c r="V626" s="579"/>
      <c r="W626" s="566"/>
      <c r="X626" s="586" t="str">
        <f t="shared" si="191"/>
        <v/>
      </c>
      <c r="Y626" s="586" t="str">
        <f t="shared" si="189"/>
        <v/>
      </c>
      <c r="Z626" s="586" t="str">
        <f t="shared" si="183"/>
        <v/>
      </c>
    </row>
    <row r="627" spans="1:26" hidden="1" x14ac:dyDescent="0.2">
      <c r="A627" s="567">
        <v>533100</v>
      </c>
      <c r="B627" s="644" t="s">
        <v>1820</v>
      </c>
      <c r="C627" s="645" t="s">
        <v>206</v>
      </c>
      <c r="D627" s="422" t="s">
        <v>287</v>
      </c>
      <c r="E627" s="423"/>
      <c r="F627" s="418">
        <v>15</v>
      </c>
      <c r="G627" s="419">
        <v>2.1</v>
      </c>
      <c r="H627" s="663">
        <f t="shared" si="202"/>
        <v>39.333000000000006</v>
      </c>
      <c r="I627" s="420">
        <v>31.15</v>
      </c>
      <c r="J627" s="420">
        <f t="shared" ref="J627:J632" si="203">IF(ISBLANK(I627),"",SUM(H627:I627))</f>
        <v>70.483000000000004</v>
      </c>
      <c r="K627" s="421">
        <f t="shared" si="181"/>
        <v>83.74</v>
      </c>
      <c r="L627" s="647" t="s">
        <v>16</v>
      </c>
      <c r="M627" s="576"/>
      <c r="N627" s="576">
        <f t="shared" si="186"/>
        <v>0</v>
      </c>
      <c r="O627" s="577">
        <f t="shared" si="196"/>
        <v>0</v>
      </c>
      <c r="P627" s="578">
        <f t="shared" si="197"/>
        <v>0</v>
      </c>
      <c r="Q627" s="765"/>
      <c r="R627" s="576">
        <f t="shared" si="201"/>
        <v>0</v>
      </c>
      <c r="S627" s="576">
        <f t="shared" si="198"/>
        <v>0</v>
      </c>
      <c r="T627" s="577">
        <f t="shared" si="194"/>
        <v>0</v>
      </c>
      <c r="U627" s="578">
        <f t="shared" si="195"/>
        <v>0</v>
      </c>
      <c r="V627" s="579"/>
      <c r="W627" s="566"/>
      <c r="X627" s="586" t="str">
        <f t="shared" si="191"/>
        <v/>
      </c>
      <c r="Y627" s="586" t="str">
        <f t="shared" si="189"/>
        <v/>
      </c>
      <c r="Z627" s="586" t="str">
        <f t="shared" si="183"/>
        <v/>
      </c>
    </row>
    <row r="628" spans="1:26" hidden="1" x14ac:dyDescent="0.2">
      <c r="A628" s="567">
        <v>530200</v>
      </c>
      <c r="B628" s="644" t="s">
        <v>1821</v>
      </c>
      <c r="C628" s="645" t="s">
        <v>206</v>
      </c>
      <c r="D628" s="422" t="s">
        <v>236</v>
      </c>
      <c r="E628" s="423"/>
      <c r="F628" s="418">
        <v>20</v>
      </c>
      <c r="G628" s="419">
        <v>2.2000000000000002</v>
      </c>
      <c r="H628" s="663">
        <f t="shared" si="202"/>
        <v>52.976000000000006</v>
      </c>
      <c r="I628" s="420">
        <v>94.56</v>
      </c>
      <c r="J628" s="420">
        <f t="shared" si="203"/>
        <v>147.536</v>
      </c>
      <c r="K628" s="421">
        <f t="shared" si="181"/>
        <v>175.29</v>
      </c>
      <c r="L628" s="647" t="s">
        <v>16</v>
      </c>
      <c r="M628" s="576"/>
      <c r="N628" s="576">
        <f t="shared" si="186"/>
        <v>0</v>
      </c>
      <c r="O628" s="577">
        <f t="shared" si="196"/>
        <v>0</v>
      </c>
      <c r="P628" s="578">
        <f t="shared" si="197"/>
        <v>0</v>
      </c>
      <c r="Q628" s="765"/>
      <c r="R628" s="576">
        <f t="shared" si="201"/>
        <v>0</v>
      </c>
      <c r="S628" s="576">
        <f t="shared" si="198"/>
        <v>0</v>
      </c>
      <c r="T628" s="577">
        <f t="shared" si="194"/>
        <v>0</v>
      </c>
      <c r="U628" s="578">
        <f t="shared" si="195"/>
        <v>0</v>
      </c>
      <c r="V628" s="579"/>
      <c r="W628" s="566"/>
      <c r="X628" s="586" t="str">
        <f t="shared" si="191"/>
        <v/>
      </c>
      <c r="Y628" s="586" t="str">
        <f t="shared" si="189"/>
        <v/>
      </c>
      <c r="Z628" s="586" t="str">
        <f t="shared" si="183"/>
        <v/>
      </c>
    </row>
    <row r="629" spans="1:26" hidden="1" x14ac:dyDescent="0.2">
      <c r="A629" s="567" t="s">
        <v>2066</v>
      </c>
      <c r="B629" s="644" t="s">
        <v>1571</v>
      </c>
      <c r="C629" s="645" t="s">
        <v>484</v>
      </c>
      <c r="D629" s="422" t="s">
        <v>633</v>
      </c>
      <c r="E629" s="423"/>
      <c r="F629" s="418">
        <v>10</v>
      </c>
      <c r="G629" s="419">
        <v>1.95</v>
      </c>
      <c r="H629" s="663">
        <f t="shared" si="202"/>
        <v>26.091000000000001</v>
      </c>
      <c r="I629" s="420">
        <v>72.11</v>
      </c>
      <c r="J629" s="420">
        <f t="shared" si="203"/>
        <v>98.200999999999993</v>
      </c>
      <c r="K629" s="421">
        <f t="shared" si="181"/>
        <v>116.67</v>
      </c>
      <c r="L629" s="647" t="s">
        <v>16</v>
      </c>
      <c r="M629" s="576"/>
      <c r="N629" s="576">
        <f t="shared" si="186"/>
        <v>0</v>
      </c>
      <c r="O629" s="577">
        <f t="shared" si="196"/>
        <v>0</v>
      </c>
      <c r="P629" s="578">
        <f t="shared" si="197"/>
        <v>0</v>
      </c>
      <c r="Q629" s="765"/>
      <c r="R629" s="576">
        <f t="shared" si="201"/>
        <v>0</v>
      </c>
      <c r="S629" s="576">
        <f t="shared" si="198"/>
        <v>0</v>
      </c>
      <c r="T629" s="577">
        <f t="shared" si="194"/>
        <v>0</v>
      </c>
      <c r="U629" s="578">
        <f t="shared" si="195"/>
        <v>0</v>
      </c>
      <c r="V629" s="579"/>
      <c r="W629" s="566"/>
      <c r="X629" s="586" t="str">
        <f t="shared" si="191"/>
        <v/>
      </c>
      <c r="Y629" s="586" t="str">
        <f t="shared" si="189"/>
        <v/>
      </c>
      <c r="Z629" s="586" t="str">
        <f t="shared" si="183"/>
        <v/>
      </c>
    </row>
    <row r="630" spans="1:26" hidden="1" x14ac:dyDescent="0.2">
      <c r="A630" s="567" t="s">
        <v>2067</v>
      </c>
      <c r="B630" s="644" t="s">
        <v>1572</v>
      </c>
      <c r="C630" s="645" t="s">
        <v>484</v>
      </c>
      <c r="D630" s="422" t="s">
        <v>634</v>
      </c>
      <c r="E630" s="423"/>
      <c r="F630" s="418">
        <v>11</v>
      </c>
      <c r="G630" s="419">
        <v>2.1</v>
      </c>
      <c r="H630" s="663">
        <f t="shared" si="202"/>
        <v>30.345000000000002</v>
      </c>
      <c r="I630" s="420">
        <v>88.65</v>
      </c>
      <c r="J630" s="420">
        <f t="shared" si="203"/>
        <v>118.995</v>
      </c>
      <c r="K630" s="421">
        <f t="shared" si="181"/>
        <v>141.38</v>
      </c>
      <c r="L630" s="647" t="s">
        <v>16</v>
      </c>
      <c r="M630" s="576"/>
      <c r="N630" s="576">
        <f t="shared" si="186"/>
        <v>0</v>
      </c>
      <c r="O630" s="577">
        <f t="shared" si="196"/>
        <v>0</v>
      </c>
      <c r="P630" s="578">
        <f t="shared" si="197"/>
        <v>0</v>
      </c>
      <c r="Q630" s="765"/>
      <c r="R630" s="576">
        <f t="shared" si="201"/>
        <v>0</v>
      </c>
      <c r="S630" s="576">
        <f t="shared" si="198"/>
        <v>0</v>
      </c>
      <c r="T630" s="577">
        <f t="shared" si="194"/>
        <v>0</v>
      </c>
      <c r="U630" s="578">
        <f t="shared" si="195"/>
        <v>0</v>
      </c>
      <c r="V630" s="579"/>
      <c r="W630" s="566"/>
      <c r="X630" s="586" t="str">
        <f t="shared" si="191"/>
        <v/>
      </c>
      <c r="Y630" s="586" t="str">
        <f t="shared" si="189"/>
        <v/>
      </c>
      <c r="Z630" s="586" t="str">
        <f t="shared" si="183"/>
        <v/>
      </c>
    </row>
    <row r="631" spans="1:26" hidden="1" x14ac:dyDescent="0.2">
      <c r="A631" s="567">
        <v>530200</v>
      </c>
      <c r="B631" s="644" t="s">
        <v>1822</v>
      </c>
      <c r="C631" s="645" t="s">
        <v>206</v>
      </c>
      <c r="D631" s="422" t="s">
        <v>493</v>
      </c>
      <c r="E631" s="423"/>
      <c r="F631" s="418">
        <v>20</v>
      </c>
      <c r="G631" s="419">
        <v>2.2000000000000002</v>
      </c>
      <c r="H631" s="663">
        <f t="shared" si="202"/>
        <v>52.976000000000006</v>
      </c>
      <c r="I631" s="420">
        <v>94.56</v>
      </c>
      <c r="J631" s="420">
        <f t="shared" si="203"/>
        <v>147.536</v>
      </c>
      <c r="K631" s="421">
        <f t="shared" si="181"/>
        <v>175.29</v>
      </c>
      <c r="L631" s="647" t="s">
        <v>16</v>
      </c>
      <c r="M631" s="576"/>
      <c r="N631" s="576">
        <f t="shared" si="186"/>
        <v>0</v>
      </c>
      <c r="O631" s="577">
        <f t="shared" si="196"/>
        <v>0</v>
      </c>
      <c r="P631" s="578">
        <f t="shared" si="197"/>
        <v>0</v>
      </c>
      <c r="Q631" s="765"/>
      <c r="R631" s="576">
        <f t="shared" si="201"/>
        <v>0</v>
      </c>
      <c r="S631" s="576">
        <f t="shared" si="198"/>
        <v>0</v>
      </c>
      <c r="T631" s="577">
        <f t="shared" si="194"/>
        <v>0</v>
      </c>
      <c r="U631" s="578">
        <f t="shared" si="195"/>
        <v>0</v>
      </c>
      <c r="V631" s="579"/>
      <c r="W631" s="566"/>
      <c r="X631" s="586" t="str">
        <f t="shared" si="191"/>
        <v/>
      </c>
      <c r="Y631" s="586" t="str">
        <f t="shared" si="189"/>
        <v/>
      </c>
      <c r="Z631" s="586" t="str">
        <f t="shared" si="183"/>
        <v/>
      </c>
    </row>
    <row r="632" spans="1:26" hidden="1" x14ac:dyDescent="0.2">
      <c r="A632" s="567">
        <v>531000</v>
      </c>
      <c r="B632" s="644" t="s">
        <v>1823</v>
      </c>
      <c r="C632" s="645" t="s">
        <v>206</v>
      </c>
      <c r="D632" s="422" t="s">
        <v>288</v>
      </c>
      <c r="E632" s="423"/>
      <c r="F632" s="424">
        <v>20</v>
      </c>
      <c r="G632" s="425">
        <v>2.4</v>
      </c>
      <c r="H632" s="651">
        <f t="shared" si="202"/>
        <v>57.792000000000002</v>
      </c>
      <c r="I632" s="420">
        <v>127.37</v>
      </c>
      <c r="J632" s="420">
        <f t="shared" si="203"/>
        <v>185.16200000000001</v>
      </c>
      <c r="K632" s="421">
        <f t="shared" si="181"/>
        <v>219.99</v>
      </c>
      <c r="L632" s="647" t="s">
        <v>16</v>
      </c>
      <c r="M632" s="700"/>
      <c r="N632" s="588">
        <f t="shared" si="186"/>
        <v>0</v>
      </c>
      <c r="O632" s="585">
        <f t="shared" si="196"/>
        <v>0</v>
      </c>
      <c r="P632" s="660">
        <f t="shared" si="197"/>
        <v>0</v>
      </c>
      <c r="Q632" s="765"/>
      <c r="R632" s="576">
        <f t="shared" si="201"/>
        <v>0</v>
      </c>
      <c r="S632" s="576">
        <f t="shared" si="198"/>
        <v>0</v>
      </c>
      <c r="T632" s="577">
        <f t="shared" si="194"/>
        <v>0</v>
      </c>
      <c r="U632" s="578">
        <f t="shared" si="195"/>
        <v>0</v>
      </c>
      <c r="V632" s="579"/>
      <c r="W632" s="566"/>
      <c r="X632" s="586" t="str">
        <f t="shared" si="191"/>
        <v/>
      </c>
      <c r="Y632" s="586" t="str">
        <f t="shared" si="189"/>
        <v/>
      </c>
      <c r="Z632" s="586" t="str">
        <f t="shared" si="183"/>
        <v/>
      </c>
    </row>
    <row r="633" spans="1:26" hidden="1" x14ac:dyDescent="0.2">
      <c r="A633" s="567">
        <v>560100</v>
      </c>
      <c r="B633" s="461" t="s">
        <v>1824</v>
      </c>
      <c r="C633" s="462" t="s">
        <v>206</v>
      </c>
      <c r="D633" s="463" t="s">
        <v>1573</v>
      </c>
      <c r="E633" s="464"/>
      <c r="F633" s="465" t="s">
        <v>667</v>
      </c>
      <c r="G633" s="466">
        <v>1.1999999999999999E-3</v>
      </c>
      <c r="H633" s="681"/>
      <c r="I633" s="467">
        <v>0.5</v>
      </c>
      <c r="J633" s="467">
        <f>I633</f>
        <v>0.5</v>
      </c>
      <c r="K633" s="682">
        <f t="shared" si="181"/>
        <v>0.59</v>
      </c>
      <c r="L633" s="683" t="s">
        <v>18</v>
      </c>
      <c r="M633" s="685"/>
      <c r="N633" s="686">
        <f t="shared" si="186"/>
        <v>0</v>
      </c>
      <c r="O633" s="687">
        <f t="shared" si="196"/>
        <v>0</v>
      </c>
      <c r="P633" s="688">
        <f t="shared" si="197"/>
        <v>0</v>
      </c>
      <c r="Q633" s="765"/>
      <c r="R633" s="685">
        <f t="shared" si="201"/>
        <v>0</v>
      </c>
      <c r="S633" s="686">
        <f t="shared" si="198"/>
        <v>0</v>
      </c>
      <c r="T633" s="687">
        <f t="shared" si="194"/>
        <v>0</v>
      </c>
      <c r="U633" s="688">
        <f t="shared" si="195"/>
        <v>0</v>
      </c>
      <c r="V633" s="579"/>
      <c r="W633" s="566"/>
      <c r="X633" s="586" t="str">
        <f t="shared" si="191"/>
        <v/>
      </c>
      <c r="Y633" s="586" t="str">
        <f t="shared" si="189"/>
        <v/>
      </c>
      <c r="Z633" s="586" t="str">
        <f t="shared" si="183"/>
        <v/>
      </c>
    </row>
    <row r="634" spans="1:26" ht="12" hidden="1" thickBot="1" x14ac:dyDescent="0.25">
      <c r="A634" s="567">
        <v>589420</v>
      </c>
      <c r="B634" s="468" t="s">
        <v>1825</v>
      </c>
      <c r="C634" s="488" t="s">
        <v>1746</v>
      </c>
      <c r="D634" s="469" t="s">
        <v>745</v>
      </c>
      <c r="E634" s="470"/>
      <c r="F634" s="471">
        <v>500</v>
      </c>
      <c r="G634" s="785">
        <v>1</v>
      </c>
      <c r="H634" s="663">
        <f>(0.84*F634+41.45)*G634</f>
        <v>461.45</v>
      </c>
      <c r="I634" s="472">
        <v>3820</v>
      </c>
      <c r="J634" s="472">
        <f>IF(ISBLANK(I634),"",I634*(1+$F$9)/(1+$F$10))+H634</f>
        <v>4167.952819627978</v>
      </c>
      <c r="K634" s="690">
        <f t="shared" si="181"/>
        <v>4951.9399999999996</v>
      </c>
      <c r="L634" s="691" t="s">
        <v>20</v>
      </c>
      <c r="M634" s="692">
        <f>ROUND(M633*G633,2)</f>
        <v>0</v>
      </c>
      <c r="N634" s="696">
        <f t="shared" si="186"/>
        <v>0</v>
      </c>
      <c r="O634" s="693">
        <f t="shared" si="196"/>
        <v>0</v>
      </c>
      <c r="P634" s="694">
        <f t="shared" si="197"/>
        <v>0</v>
      </c>
      <c r="Q634" s="765"/>
      <c r="R634" s="695">
        <f>ROUND(R633*G633,2)</f>
        <v>0</v>
      </c>
      <c r="S634" s="696">
        <f t="shared" si="198"/>
        <v>0</v>
      </c>
      <c r="T634" s="693">
        <f t="shared" si="194"/>
        <v>0</v>
      </c>
      <c r="U634" s="694">
        <f t="shared" si="195"/>
        <v>0</v>
      </c>
      <c r="V634" s="579"/>
      <c r="W634" s="566"/>
      <c r="X634" s="586" t="str">
        <f t="shared" si="191"/>
        <v/>
      </c>
      <c r="Y634" s="586" t="str">
        <f t="shared" si="189"/>
        <v/>
      </c>
      <c r="Z634" s="586" t="str">
        <f t="shared" si="183"/>
        <v/>
      </c>
    </row>
    <row r="635" spans="1:26" hidden="1" x14ac:dyDescent="0.2">
      <c r="A635" s="567">
        <v>560100</v>
      </c>
      <c r="B635" s="461" t="s">
        <v>1826</v>
      </c>
      <c r="C635" s="462" t="s">
        <v>206</v>
      </c>
      <c r="D635" s="463" t="s">
        <v>646</v>
      </c>
      <c r="E635" s="464"/>
      <c r="F635" s="465" t="s">
        <v>667</v>
      </c>
      <c r="G635" s="466">
        <v>1.1000000000000001E-3</v>
      </c>
      <c r="H635" s="681"/>
      <c r="I635" s="467">
        <v>0.5</v>
      </c>
      <c r="J635" s="467">
        <f>IF(ISBLANK(I635),"",SUM(H635:I635))</f>
        <v>0.5</v>
      </c>
      <c r="K635" s="682">
        <f t="shared" si="181"/>
        <v>0.59</v>
      </c>
      <c r="L635" s="683" t="s">
        <v>18</v>
      </c>
      <c r="M635" s="685"/>
      <c r="N635" s="576">
        <f t="shared" si="186"/>
        <v>0</v>
      </c>
      <c r="O635" s="687">
        <f t="shared" si="196"/>
        <v>0</v>
      </c>
      <c r="P635" s="688">
        <f t="shared" si="197"/>
        <v>0</v>
      </c>
      <c r="Q635" s="765"/>
      <c r="R635" s="685">
        <f>M635</f>
        <v>0</v>
      </c>
      <c r="S635" s="686">
        <f t="shared" si="198"/>
        <v>0</v>
      </c>
      <c r="T635" s="687">
        <f t="shared" si="194"/>
        <v>0</v>
      </c>
      <c r="U635" s="688">
        <f t="shared" si="195"/>
        <v>0</v>
      </c>
      <c r="V635" s="579"/>
      <c r="W635" s="566"/>
      <c r="X635" s="586" t="str">
        <f t="shared" si="191"/>
        <v/>
      </c>
      <c r="Y635" s="586" t="str">
        <f t="shared" si="189"/>
        <v/>
      </c>
      <c r="Z635" s="586" t="str">
        <f t="shared" si="183"/>
        <v/>
      </c>
    </row>
    <row r="636" spans="1:26" ht="12" hidden="1" thickBot="1" x14ac:dyDescent="0.25">
      <c r="A636" s="567">
        <v>589190</v>
      </c>
      <c r="B636" s="468" t="s">
        <v>1827</v>
      </c>
      <c r="C636" s="488" t="s">
        <v>1746</v>
      </c>
      <c r="D636" s="469" t="s">
        <v>746</v>
      </c>
      <c r="E636" s="470"/>
      <c r="F636" s="471">
        <v>500</v>
      </c>
      <c r="G636" s="785">
        <v>1</v>
      </c>
      <c r="H636" s="663">
        <f>(0.84*F636+41.45)*G636</f>
        <v>461.45</v>
      </c>
      <c r="I636" s="472">
        <v>4040</v>
      </c>
      <c r="J636" s="472">
        <f>IF(ISBLANK(I636),"",I636*(1+$F$9)/(1+$F$10))+H636</f>
        <v>4381.4163328002696</v>
      </c>
      <c r="K636" s="690">
        <f t="shared" si="181"/>
        <v>5205.5600000000004</v>
      </c>
      <c r="L636" s="691" t="s">
        <v>20</v>
      </c>
      <c r="M636" s="692">
        <f>ROUND(M635*G635,2)</f>
        <v>0</v>
      </c>
      <c r="N636" s="588">
        <f t="shared" si="186"/>
        <v>0</v>
      </c>
      <c r="O636" s="693">
        <f t="shared" si="196"/>
        <v>0</v>
      </c>
      <c r="P636" s="694">
        <f t="shared" si="197"/>
        <v>0</v>
      </c>
      <c r="Q636" s="765"/>
      <c r="R636" s="695">
        <f>ROUND(R635*G635,2)</f>
        <v>0</v>
      </c>
      <c r="S636" s="696">
        <f t="shared" si="198"/>
        <v>0</v>
      </c>
      <c r="T636" s="693">
        <f t="shared" si="194"/>
        <v>0</v>
      </c>
      <c r="U636" s="694">
        <f t="shared" si="195"/>
        <v>0</v>
      </c>
      <c r="V636" s="579"/>
      <c r="W636" s="566"/>
      <c r="X636" s="586" t="str">
        <f t="shared" si="191"/>
        <v/>
      </c>
      <c r="Y636" s="586" t="str">
        <f t="shared" si="189"/>
        <v/>
      </c>
      <c r="Z636" s="586" t="str">
        <f t="shared" si="183"/>
        <v/>
      </c>
    </row>
    <row r="637" spans="1:26" hidden="1" x14ac:dyDescent="0.2">
      <c r="A637" s="567">
        <v>560400</v>
      </c>
      <c r="B637" s="461" t="s">
        <v>1828</v>
      </c>
      <c r="C637" s="462" t="s">
        <v>206</v>
      </c>
      <c r="D637" s="463" t="s">
        <v>647</v>
      </c>
      <c r="E637" s="464"/>
      <c r="F637" s="465" t="s">
        <v>667</v>
      </c>
      <c r="G637" s="466">
        <v>1.1999999999999999E-3</v>
      </c>
      <c r="H637" s="681"/>
      <c r="I637" s="467">
        <v>0.5</v>
      </c>
      <c r="J637" s="467">
        <f>IF(ISBLANK(I637),"",SUM(H637:I637))</f>
        <v>0.5</v>
      </c>
      <c r="K637" s="682">
        <f t="shared" si="181"/>
        <v>0.59</v>
      </c>
      <c r="L637" s="683" t="s">
        <v>18</v>
      </c>
      <c r="M637" s="685"/>
      <c r="N637" s="686">
        <f t="shared" si="186"/>
        <v>0</v>
      </c>
      <c r="O637" s="687">
        <f t="shared" si="196"/>
        <v>0</v>
      </c>
      <c r="P637" s="688">
        <f t="shared" si="197"/>
        <v>0</v>
      </c>
      <c r="Q637" s="765"/>
      <c r="R637" s="685">
        <f>M637</f>
        <v>0</v>
      </c>
      <c r="S637" s="686">
        <f t="shared" si="198"/>
        <v>0</v>
      </c>
      <c r="T637" s="687">
        <f t="shared" si="194"/>
        <v>0</v>
      </c>
      <c r="U637" s="688">
        <f t="shared" si="195"/>
        <v>0</v>
      </c>
      <c r="V637" s="579"/>
      <c r="W637" s="566"/>
      <c r="X637" s="586" t="str">
        <f t="shared" si="191"/>
        <v/>
      </c>
      <c r="Y637" s="586" t="str">
        <f t="shared" si="189"/>
        <v/>
      </c>
      <c r="Z637" s="586" t="str">
        <f t="shared" si="183"/>
        <v/>
      </c>
    </row>
    <row r="638" spans="1:26" ht="12" hidden="1" thickBot="1" x14ac:dyDescent="0.25">
      <c r="A638" s="567">
        <v>589100</v>
      </c>
      <c r="B638" s="468" t="s">
        <v>1829</v>
      </c>
      <c r="C638" s="488" t="s">
        <v>1746</v>
      </c>
      <c r="D638" s="469" t="s">
        <v>653</v>
      </c>
      <c r="E638" s="470"/>
      <c r="F638" s="471">
        <v>500</v>
      </c>
      <c r="G638" s="785">
        <v>1</v>
      </c>
      <c r="H638" s="663">
        <f>(0.84*F638+41.45)*G638</f>
        <v>461.45</v>
      </c>
      <c r="I638" s="472">
        <v>6629</v>
      </c>
      <c r="J638" s="472">
        <f>IF(ISBLANK(I638),"",I638*(1+$F$9)/(1+$F$10))+H638</f>
        <v>6893.4937673596505</v>
      </c>
      <c r="K638" s="690">
        <f t="shared" si="181"/>
        <v>8190.16</v>
      </c>
      <c r="L638" s="691" t="s">
        <v>20</v>
      </c>
      <c r="M638" s="692">
        <f>ROUND(M637*G637,2)</f>
        <v>0</v>
      </c>
      <c r="N638" s="696">
        <f t="shared" si="186"/>
        <v>0</v>
      </c>
      <c r="O638" s="693">
        <f t="shared" si="196"/>
        <v>0</v>
      </c>
      <c r="P638" s="694">
        <f t="shared" si="197"/>
        <v>0</v>
      </c>
      <c r="Q638" s="765"/>
      <c r="R638" s="695">
        <f>ROUND(R637*G637,2)</f>
        <v>0</v>
      </c>
      <c r="S638" s="696">
        <f t="shared" si="198"/>
        <v>0</v>
      </c>
      <c r="T638" s="693">
        <f t="shared" si="194"/>
        <v>0</v>
      </c>
      <c r="U638" s="694">
        <f t="shared" si="195"/>
        <v>0</v>
      </c>
      <c r="V638" s="579"/>
      <c r="W638" s="566"/>
      <c r="X638" s="586" t="str">
        <f t="shared" si="191"/>
        <v/>
      </c>
      <c r="Y638" s="586" t="str">
        <f t="shared" si="189"/>
        <v/>
      </c>
      <c r="Z638" s="586" t="str">
        <f t="shared" si="183"/>
        <v/>
      </c>
    </row>
    <row r="639" spans="1:26" hidden="1" x14ac:dyDescent="0.2">
      <c r="A639" s="567">
        <v>561100</v>
      </c>
      <c r="B639" s="461" t="s">
        <v>1830</v>
      </c>
      <c r="C639" s="462" t="s">
        <v>206</v>
      </c>
      <c r="D639" s="463" t="s">
        <v>747</v>
      </c>
      <c r="E639" s="464"/>
      <c r="F639" s="465" t="s">
        <v>667</v>
      </c>
      <c r="G639" s="466">
        <v>5.0000000000000001E-4</v>
      </c>
      <c r="H639" s="681"/>
      <c r="I639" s="467">
        <v>0.34</v>
      </c>
      <c r="J639" s="467">
        <f>IF(ISBLANK(I639),"",SUM(H639:I639))</f>
        <v>0.34</v>
      </c>
      <c r="K639" s="682">
        <f t="shared" si="181"/>
        <v>0.4</v>
      </c>
      <c r="L639" s="683" t="s">
        <v>18</v>
      </c>
      <c r="M639" s="685"/>
      <c r="N639" s="576">
        <f t="shared" si="186"/>
        <v>0</v>
      </c>
      <c r="O639" s="687">
        <f t="shared" si="196"/>
        <v>0</v>
      </c>
      <c r="P639" s="688">
        <f t="shared" si="197"/>
        <v>0</v>
      </c>
      <c r="Q639" s="765"/>
      <c r="R639" s="685">
        <f>M639</f>
        <v>0</v>
      </c>
      <c r="S639" s="686">
        <f t="shared" si="198"/>
        <v>0</v>
      </c>
      <c r="T639" s="687">
        <f t="shared" si="194"/>
        <v>0</v>
      </c>
      <c r="U639" s="688">
        <f t="shared" si="195"/>
        <v>0</v>
      </c>
      <c r="V639" s="579"/>
      <c r="W639" s="566"/>
      <c r="X639" s="586" t="str">
        <f t="shared" si="191"/>
        <v/>
      </c>
      <c r="Y639" s="586" t="str">
        <f t="shared" si="189"/>
        <v/>
      </c>
      <c r="Z639" s="586" t="str">
        <f t="shared" si="183"/>
        <v/>
      </c>
    </row>
    <row r="640" spans="1:26" ht="12" hidden="1" thickBot="1" x14ac:dyDescent="0.25">
      <c r="A640" s="567">
        <v>589420</v>
      </c>
      <c r="B640" s="468" t="s">
        <v>1831</v>
      </c>
      <c r="C640" s="488" t="s">
        <v>1746</v>
      </c>
      <c r="D640" s="469" t="s">
        <v>821</v>
      </c>
      <c r="E640" s="470"/>
      <c r="F640" s="471">
        <v>500</v>
      </c>
      <c r="G640" s="697">
        <v>1</v>
      </c>
      <c r="H640" s="663">
        <f>(0.84*F640+41.45)*G640</f>
        <v>461.45</v>
      </c>
      <c r="I640" s="472">
        <v>3820</v>
      </c>
      <c r="J640" s="472">
        <f>IF(ISBLANK(I640),"",I640*(1+$F$9)/(1+$F$10))+H640</f>
        <v>4167.952819627978</v>
      </c>
      <c r="K640" s="690">
        <f t="shared" si="181"/>
        <v>4951.9399999999996</v>
      </c>
      <c r="L640" s="691" t="s">
        <v>20</v>
      </c>
      <c r="M640" s="692">
        <f>ROUND(M639*G639,2)</f>
        <v>0</v>
      </c>
      <c r="N640" s="588">
        <f t="shared" si="186"/>
        <v>0</v>
      </c>
      <c r="O640" s="693">
        <f t="shared" si="196"/>
        <v>0</v>
      </c>
      <c r="P640" s="694">
        <f t="shared" si="197"/>
        <v>0</v>
      </c>
      <c r="Q640" s="765"/>
      <c r="R640" s="695">
        <f>ROUND(R639*G639,2)</f>
        <v>0</v>
      </c>
      <c r="S640" s="696">
        <f t="shared" si="198"/>
        <v>0</v>
      </c>
      <c r="T640" s="693">
        <f t="shared" si="194"/>
        <v>0</v>
      </c>
      <c r="U640" s="694">
        <f t="shared" si="195"/>
        <v>0</v>
      </c>
      <c r="V640" s="579"/>
      <c r="W640" s="566"/>
      <c r="X640" s="586" t="str">
        <f t="shared" si="191"/>
        <v/>
      </c>
      <c r="Y640" s="586" t="str">
        <f t="shared" si="189"/>
        <v/>
      </c>
      <c r="Z640" s="586" t="str">
        <f t="shared" si="183"/>
        <v/>
      </c>
    </row>
    <row r="641" spans="1:26" hidden="1" x14ac:dyDescent="0.2">
      <c r="A641" s="567">
        <v>563100</v>
      </c>
      <c r="B641" s="701" t="s">
        <v>1832</v>
      </c>
      <c r="C641" s="702" t="s">
        <v>206</v>
      </c>
      <c r="D641" s="463" t="s">
        <v>261</v>
      </c>
      <c r="E641" s="464"/>
      <c r="F641" s="465" t="s">
        <v>661</v>
      </c>
      <c r="G641" s="466">
        <v>5.0000000000000001E-4</v>
      </c>
      <c r="H641" s="681">
        <f>SUM(H642)</f>
        <v>0.13705999999999999</v>
      </c>
      <c r="I641" s="467">
        <v>1.25</v>
      </c>
      <c r="J641" s="467">
        <f>IF(ISBLANK(I641),"",SUM(H641:I641))</f>
        <v>1.38706</v>
      </c>
      <c r="K641" s="682">
        <f t="shared" si="181"/>
        <v>1.65</v>
      </c>
      <c r="L641" s="683" t="s">
        <v>18</v>
      </c>
      <c r="M641" s="685"/>
      <c r="N641" s="686">
        <f t="shared" si="186"/>
        <v>0</v>
      </c>
      <c r="O641" s="687">
        <f t="shared" si="196"/>
        <v>0</v>
      </c>
      <c r="P641" s="688">
        <f t="shared" si="197"/>
        <v>0</v>
      </c>
      <c r="Q641" s="765"/>
      <c r="R641" s="685">
        <f>M641</f>
        <v>0</v>
      </c>
      <c r="S641" s="686">
        <f t="shared" si="198"/>
        <v>0</v>
      </c>
      <c r="T641" s="687">
        <f t="shared" si="194"/>
        <v>0</v>
      </c>
      <c r="U641" s="688">
        <f t="shared" si="195"/>
        <v>0</v>
      </c>
      <c r="V641" s="579"/>
      <c r="W641" s="566"/>
      <c r="X641" s="586" t="str">
        <f t="shared" si="191"/>
        <v/>
      </c>
      <c r="Y641" s="586" t="str">
        <f t="shared" si="189"/>
        <v/>
      </c>
      <c r="Z641" s="586" t="str">
        <f t="shared" si="183"/>
        <v/>
      </c>
    </row>
    <row r="642" spans="1:26" hidden="1" x14ac:dyDescent="0.2">
      <c r="A642" s="567" t="s">
        <v>168</v>
      </c>
      <c r="B642" s="644" t="s">
        <v>168</v>
      </c>
      <c r="C642" s="645"/>
      <c r="D642" s="451" t="s">
        <v>252</v>
      </c>
      <c r="E642" s="423"/>
      <c r="F642" s="418">
        <v>20</v>
      </c>
      <c r="G642" s="425">
        <v>7.0000000000000001E-3</v>
      </c>
      <c r="H642" s="663">
        <f>IF(F642&lt;=30,(0.87*F642+2.18)*G642,((0.87*30+2.18)+0.87*(F642-30))*G642)</f>
        <v>0.13705999999999999</v>
      </c>
      <c r="I642" s="420">
        <v>0</v>
      </c>
      <c r="J642" s="420"/>
      <c r="K642" s="421">
        <f t="shared" si="181"/>
        <v>0</v>
      </c>
      <c r="L642" s="668" t="s">
        <v>614</v>
      </c>
      <c r="M642" s="703"/>
      <c r="N642" s="576">
        <f t="shared" si="186"/>
        <v>0</v>
      </c>
      <c r="O642" s="577">
        <f t="shared" si="196"/>
        <v>0</v>
      </c>
      <c r="P642" s="578">
        <f t="shared" si="197"/>
        <v>0</v>
      </c>
      <c r="Q642" s="765"/>
      <c r="R642" s="703"/>
      <c r="S642" s="670"/>
      <c r="T642" s="577">
        <f t="shared" si="194"/>
        <v>0</v>
      </c>
      <c r="U642" s="578">
        <f t="shared" si="195"/>
        <v>0</v>
      </c>
      <c r="V642" s="579"/>
      <c r="W642" s="637" t="str">
        <f>IF(U641&gt;0,"xx",IF(P641&gt;0,"xy",""))</f>
        <v/>
      </c>
      <c r="X642" s="586" t="str">
        <f t="shared" si="191"/>
        <v/>
      </c>
      <c r="Y642" s="586" t="str">
        <f t="shared" si="189"/>
        <v/>
      </c>
      <c r="Z642" s="586" t="str">
        <f t="shared" si="183"/>
        <v/>
      </c>
    </row>
    <row r="643" spans="1:26" ht="12" hidden="1" thickBot="1" x14ac:dyDescent="0.25">
      <c r="A643" s="567">
        <v>589520</v>
      </c>
      <c r="B643" s="704" t="s">
        <v>1833</v>
      </c>
      <c r="C643" s="689" t="s">
        <v>1746</v>
      </c>
      <c r="D643" s="477" t="s">
        <v>656</v>
      </c>
      <c r="E643" s="470"/>
      <c r="F643" s="478">
        <v>500</v>
      </c>
      <c r="G643" s="479">
        <v>1</v>
      </c>
      <c r="H643" s="663">
        <f>(0.84*F643+41.45)*G643</f>
        <v>461.45</v>
      </c>
      <c r="I643" s="472">
        <v>4680</v>
      </c>
      <c r="J643" s="472">
        <f>IF(ISBLANK(I643),"",I643*(1+$F$9)/(1+$F$10))+H643</f>
        <v>5002.4010983923918</v>
      </c>
      <c r="K643" s="690">
        <f t="shared" si="181"/>
        <v>5943.35</v>
      </c>
      <c r="L643" s="691" t="s">
        <v>20</v>
      </c>
      <c r="M643" s="692">
        <f>ROUND(M641*G641,2)</f>
        <v>0</v>
      </c>
      <c r="N643" s="696">
        <f t="shared" si="186"/>
        <v>0</v>
      </c>
      <c r="O643" s="693">
        <f>IF(ISBLANK(M643),0,ROUND(K643*M643,2))</f>
        <v>0</v>
      </c>
      <c r="P643" s="694">
        <f>IF(ISBLANK(N643),0,ROUND(M643*N643,2))</f>
        <v>0</v>
      </c>
      <c r="Q643" s="765"/>
      <c r="R643" s="695">
        <f>ROUND(R641*G641,2)</f>
        <v>0</v>
      </c>
      <c r="S643" s="718">
        <f t="shared" si="198"/>
        <v>0</v>
      </c>
      <c r="T643" s="693">
        <f t="shared" si="194"/>
        <v>0</v>
      </c>
      <c r="U643" s="694">
        <f t="shared" si="195"/>
        <v>0</v>
      </c>
      <c r="V643" s="579"/>
      <c r="W643" s="637" t="str">
        <f>IF(U641&gt;0,"xx",IF(P641&gt;0,"xy",""))</f>
        <v/>
      </c>
      <c r="X643" s="586" t="str">
        <f t="shared" si="191"/>
        <v/>
      </c>
      <c r="Y643" s="586" t="str">
        <f t="shared" si="189"/>
        <v/>
      </c>
      <c r="Z643" s="586" t="str">
        <f t="shared" si="183"/>
        <v/>
      </c>
    </row>
    <row r="644" spans="1:26" hidden="1" x14ac:dyDescent="0.2">
      <c r="A644" s="567">
        <v>534000</v>
      </c>
      <c r="B644" s="701" t="s">
        <v>1834</v>
      </c>
      <c r="C644" s="702" t="s">
        <v>206</v>
      </c>
      <c r="D644" s="463" t="s">
        <v>1912</v>
      </c>
      <c r="E644" s="464"/>
      <c r="F644" s="465" t="s">
        <v>663</v>
      </c>
      <c r="G644" s="466">
        <v>0.08</v>
      </c>
      <c r="H644" s="681">
        <f>SUM(H645:H648)</f>
        <v>59.111280000000008</v>
      </c>
      <c r="I644" s="467">
        <v>138.26</v>
      </c>
      <c r="J644" s="467">
        <f>IF(ISBLANK(I644),"",SUM(H644:I644))</f>
        <v>197.37128000000001</v>
      </c>
      <c r="K644" s="682">
        <f t="shared" si="181"/>
        <v>234.5</v>
      </c>
      <c r="L644" s="683" t="s">
        <v>16</v>
      </c>
      <c r="M644" s="685"/>
      <c r="N644" s="576">
        <f t="shared" si="186"/>
        <v>0</v>
      </c>
      <c r="O644" s="687">
        <f t="shared" si="196"/>
        <v>0</v>
      </c>
      <c r="P644" s="688">
        <f t="shared" si="197"/>
        <v>0</v>
      </c>
      <c r="Q644" s="765"/>
      <c r="R644" s="685">
        <f>M644</f>
        <v>0</v>
      </c>
      <c r="S644" s="686">
        <f t="shared" si="198"/>
        <v>0</v>
      </c>
      <c r="T644" s="687">
        <f t="shared" si="194"/>
        <v>0</v>
      </c>
      <c r="U644" s="688">
        <f t="shared" si="195"/>
        <v>0</v>
      </c>
      <c r="V644" s="579"/>
      <c r="W644" s="566"/>
      <c r="X644" s="586" t="str">
        <f t="shared" si="191"/>
        <v/>
      </c>
      <c r="Y644" s="586" t="str">
        <f t="shared" si="189"/>
        <v/>
      </c>
      <c r="Z644" s="586" t="str">
        <f t="shared" si="183"/>
        <v/>
      </c>
    </row>
    <row r="645" spans="1:26" hidden="1" x14ac:dyDescent="0.2">
      <c r="A645" s="567" t="s">
        <v>168</v>
      </c>
      <c r="B645" s="644" t="s">
        <v>168</v>
      </c>
      <c r="C645" s="645"/>
      <c r="D645" s="451" t="s">
        <v>248</v>
      </c>
      <c r="E645" s="423"/>
      <c r="F645" s="424">
        <v>180</v>
      </c>
      <c r="G645" s="425"/>
      <c r="H645" s="651">
        <f t="shared" ref="H645:H648" si="204">IF(F645&lt;=30,(1.07*F645+2.68)*G645,((1.07*30+2.68)+1.07*(F645-30))*G645)</f>
        <v>0</v>
      </c>
      <c r="I645" s="420">
        <v>0</v>
      </c>
      <c r="J645" s="420">
        <f>IF(ISBLANK(I645),"",SUM(H645:I645))</f>
        <v>0</v>
      </c>
      <c r="K645" s="421">
        <f t="shared" si="181"/>
        <v>0</v>
      </c>
      <c r="L645" s="647" t="s">
        <v>614</v>
      </c>
      <c r="M645" s="703"/>
      <c r="N645" s="576">
        <f t="shared" si="186"/>
        <v>0</v>
      </c>
      <c r="O645" s="577">
        <f t="shared" si="196"/>
        <v>0</v>
      </c>
      <c r="P645" s="578">
        <f t="shared" si="197"/>
        <v>0</v>
      </c>
      <c r="Q645" s="765"/>
      <c r="R645" s="703"/>
      <c r="S645" s="670"/>
      <c r="T645" s="577">
        <f t="shared" si="194"/>
        <v>0</v>
      </c>
      <c r="U645" s="578">
        <f t="shared" si="195"/>
        <v>0</v>
      </c>
      <c r="V645" s="579"/>
      <c r="W645" s="637" t="str">
        <f>IF(U644&gt;0,"xx",IF(P644&gt;0,"xy",""))</f>
        <v/>
      </c>
      <c r="X645" s="586" t="str">
        <f t="shared" si="191"/>
        <v/>
      </c>
      <c r="Y645" s="586" t="str">
        <f t="shared" si="189"/>
        <v/>
      </c>
      <c r="Z645" s="586" t="str">
        <f t="shared" si="183"/>
        <v/>
      </c>
    </row>
    <row r="646" spans="1:26" hidden="1" x14ac:dyDescent="0.2">
      <c r="A646" s="567" t="s">
        <v>168</v>
      </c>
      <c r="B646" s="644" t="s">
        <v>168</v>
      </c>
      <c r="C646" s="645"/>
      <c r="D646" s="451" t="s">
        <v>249</v>
      </c>
      <c r="E646" s="423"/>
      <c r="F646" s="424">
        <v>500</v>
      </c>
      <c r="G646" s="425"/>
      <c r="H646" s="649">
        <f>IF(F646&lt;=30,(0.78*F646+7.82)*G646,((0.78*30+7.82)+0.78*(F646-30))*G646)</f>
        <v>0</v>
      </c>
      <c r="I646" s="420">
        <v>0</v>
      </c>
      <c r="J646" s="420">
        <f>IF(ISBLANK(I646),"",SUM(H646:I646))</f>
        <v>0</v>
      </c>
      <c r="K646" s="421">
        <f t="shared" si="181"/>
        <v>0</v>
      </c>
      <c r="L646" s="647" t="s">
        <v>614</v>
      </c>
      <c r="M646" s="703"/>
      <c r="N646" s="576">
        <f t="shared" si="186"/>
        <v>0</v>
      </c>
      <c r="O646" s="577">
        <f t="shared" si="196"/>
        <v>0</v>
      </c>
      <c r="P646" s="578">
        <f t="shared" si="197"/>
        <v>0</v>
      </c>
      <c r="Q646" s="765"/>
      <c r="R646" s="703"/>
      <c r="S646" s="670"/>
      <c r="T646" s="577">
        <f t="shared" si="194"/>
        <v>0</v>
      </c>
      <c r="U646" s="578">
        <f t="shared" si="195"/>
        <v>0</v>
      </c>
      <c r="V646" s="579"/>
      <c r="W646" s="637" t="str">
        <f>IF(U644&gt;0,"xx",IF(P644&gt;0,"xy",""))</f>
        <v/>
      </c>
      <c r="X646" s="586" t="str">
        <f>IF(W646="X","x",IF(W646="xx","x",IF(W646="xy","x",IF(W646="y","x",IF(OR(P646&gt;0,U646&gt;0),"x","")))))</f>
        <v/>
      </c>
      <c r="Y646" s="586" t="str">
        <f>IF(W646="X","x",IF(W646="y","x",IF(W646="xx","x",IF(U646&gt;0,"x",""))))</f>
        <v/>
      </c>
      <c r="Z646" s="586" t="str">
        <f>IF(W646="X","x",IF(U646&gt;0,"x",""))</f>
        <v/>
      </c>
    </row>
    <row r="647" spans="1:26" hidden="1" x14ac:dyDescent="0.2">
      <c r="A647" s="567" t="s">
        <v>168</v>
      </c>
      <c r="B647" s="644" t="s">
        <v>168</v>
      </c>
      <c r="C647" s="645"/>
      <c r="D647" s="451" t="s">
        <v>262</v>
      </c>
      <c r="E647" s="423"/>
      <c r="F647" s="424">
        <v>0.2</v>
      </c>
      <c r="G647" s="425">
        <v>2.12</v>
      </c>
      <c r="H647" s="651">
        <f t="shared" si="204"/>
        <v>6.1352800000000007</v>
      </c>
      <c r="I647" s="420">
        <v>0</v>
      </c>
      <c r="J647" s="420"/>
      <c r="K647" s="421">
        <f t="shared" si="181"/>
        <v>0</v>
      </c>
      <c r="L647" s="647" t="s">
        <v>614</v>
      </c>
      <c r="M647" s="703"/>
      <c r="N647" s="576">
        <f t="shared" si="186"/>
        <v>0</v>
      </c>
      <c r="O647" s="577">
        <f t="shared" si="196"/>
        <v>0</v>
      </c>
      <c r="P647" s="578">
        <f t="shared" si="197"/>
        <v>0</v>
      </c>
      <c r="Q647" s="765"/>
      <c r="R647" s="703"/>
      <c r="S647" s="670"/>
      <c r="T647" s="577">
        <f t="shared" si="194"/>
        <v>0</v>
      </c>
      <c r="U647" s="578">
        <f t="shared" si="195"/>
        <v>0</v>
      </c>
      <c r="V647" s="579"/>
      <c r="W647" s="637" t="str">
        <f>IF(U644&gt;0,"xx",IF(P644&gt;0,"xy",""))</f>
        <v/>
      </c>
      <c r="X647" s="586" t="str">
        <f>IF(W647="X","x",IF(W647="xx","x",IF(W647="xy","x",IF(W647="y","x",IF(OR(P647&gt;0,U647&gt;0),"x","")))))</f>
        <v/>
      </c>
      <c r="Y647" s="586" t="str">
        <f>IF(W647="X","x",IF(W647="y","x",IF(W647="xx","x",IF(U647&gt;0,"x",""))))</f>
        <v/>
      </c>
      <c r="Z647" s="586" t="str">
        <f>IF(W647="X","x",IF(U647&gt;0,"x",""))</f>
        <v/>
      </c>
    </row>
    <row r="648" spans="1:26" hidden="1" x14ac:dyDescent="0.2">
      <c r="A648" s="567" t="s">
        <v>168</v>
      </c>
      <c r="B648" s="644" t="s">
        <v>168</v>
      </c>
      <c r="C648" s="645"/>
      <c r="D648" s="451" t="s">
        <v>263</v>
      </c>
      <c r="E648" s="423"/>
      <c r="F648" s="424">
        <v>20</v>
      </c>
      <c r="G648" s="425">
        <f>SUM(G644:G647)</f>
        <v>2.2000000000000002</v>
      </c>
      <c r="H648" s="651">
        <f t="shared" si="204"/>
        <v>52.976000000000006</v>
      </c>
      <c r="I648" s="420">
        <v>0</v>
      </c>
      <c r="J648" s="420"/>
      <c r="K648" s="421">
        <f t="shared" ref="K648:K711" si="205">IF(ISBLANK(I648),0,ROUND(J648*(1+$F$10)*(1+$F$11*E648),2))</f>
        <v>0</v>
      </c>
      <c r="L648" s="647" t="s">
        <v>614</v>
      </c>
      <c r="M648" s="703"/>
      <c r="N648" s="576">
        <f t="shared" si="186"/>
        <v>0</v>
      </c>
      <c r="O648" s="577">
        <f t="shared" si="196"/>
        <v>0</v>
      </c>
      <c r="P648" s="578">
        <f t="shared" si="197"/>
        <v>0</v>
      </c>
      <c r="Q648" s="765"/>
      <c r="R648" s="703"/>
      <c r="S648" s="670"/>
      <c r="T648" s="577">
        <f t="shared" si="194"/>
        <v>0</v>
      </c>
      <c r="U648" s="578">
        <f t="shared" si="195"/>
        <v>0</v>
      </c>
      <c r="V648" s="579"/>
      <c r="W648" s="637" t="str">
        <f>IF(U644&gt;0,"xx",IF(P644&gt;0,"xy",""))</f>
        <v/>
      </c>
      <c r="X648" s="586" t="str">
        <f t="shared" si="191"/>
        <v/>
      </c>
      <c r="Y648" s="586" t="str">
        <f t="shared" si="189"/>
        <v/>
      </c>
      <c r="Z648" s="586" t="str">
        <f t="shared" si="183"/>
        <v/>
      </c>
    </row>
    <row r="649" spans="1:26" ht="12" hidden="1" thickBot="1" x14ac:dyDescent="0.25">
      <c r="A649" s="567">
        <v>589320</v>
      </c>
      <c r="B649" s="704" t="s">
        <v>1835</v>
      </c>
      <c r="C649" s="689" t="s">
        <v>1746</v>
      </c>
      <c r="D649" s="477" t="s">
        <v>812</v>
      </c>
      <c r="E649" s="470"/>
      <c r="F649" s="478">
        <v>500</v>
      </c>
      <c r="G649" s="479">
        <v>1</v>
      </c>
      <c r="H649" s="663">
        <f>(0.84*F649+41.45)*G649</f>
        <v>461.45</v>
      </c>
      <c r="I649" s="472">
        <v>4680</v>
      </c>
      <c r="J649" s="472">
        <f>IF(ISBLANK(I649),"",I649*(1+$F$9)/(1+$F$10))+H649</f>
        <v>5002.4010983923918</v>
      </c>
      <c r="K649" s="690">
        <f t="shared" si="205"/>
        <v>5943.35</v>
      </c>
      <c r="L649" s="691" t="s">
        <v>20</v>
      </c>
      <c r="M649" s="692">
        <f>ROUND(M644*G644,2)</f>
        <v>0</v>
      </c>
      <c r="N649" s="588">
        <f t="shared" si="186"/>
        <v>0</v>
      </c>
      <c r="O649" s="693">
        <f t="shared" si="196"/>
        <v>0</v>
      </c>
      <c r="P649" s="694">
        <f t="shared" si="197"/>
        <v>0</v>
      </c>
      <c r="Q649" s="765"/>
      <c r="R649" s="719">
        <f>ROUND(R644*G644,2)</f>
        <v>0</v>
      </c>
      <c r="S649" s="720">
        <f>N649</f>
        <v>0</v>
      </c>
      <c r="T649" s="693">
        <f t="shared" si="194"/>
        <v>0</v>
      </c>
      <c r="U649" s="694">
        <f t="shared" si="195"/>
        <v>0</v>
      </c>
      <c r="V649" s="579"/>
      <c r="W649" s="637" t="str">
        <f>IF(U644&gt;0,"xx",IF(P644&gt;0,"xy",""))</f>
        <v/>
      </c>
      <c r="X649" s="586" t="str">
        <f t="shared" si="191"/>
        <v/>
      </c>
      <c r="Y649" s="586" t="str">
        <f t="shared" si="189"/>
        <v/>
      </c>
      <c r="Z649" s="586" t="str">
        <f t="shared" si="183"/>
        <v/>
      </c>
    </row>
    <row r="650" spans="1:26" hidden="1" x14ac:dyDescent="0.2">
      <c r="A650" s="567">
        <v>534000</v>
      </c>
      <c r="B650" s="701" t="s">
        <v>1836</v>
      </c>
      <c r="C650" s="702" t="s">
        <v>206</v>
      </c>
      <c r="D650" s="463" t="s">
        <v>1913</v>
      </c>
      <c r="E650" s="464"/>
      <c r="F650" s="465" t="s">
        <v>663</v>
      </c>
      <c r="G650" s="466">
        <v>0.08</v>
      </c>
      <c r="H650" s="681">
        <f>SUM(H651:H654)</f>
        <v>59.111280000000008</v>
      </c>
      <c r="I650" s="467">
        <v>138.26</v>
      </c>
      <c r="J650" s="467">
        <f>IF(ISBLANK(I650),"",SUM(H650:I650))</f>
        <v>197.37128000000001</v>
      </c>
      <c r="K650" s="682">
        <f t="shared" si="205"/>
        <v>234.5</v>
      </c>
      <c r="L650" s="683" t="s">
        <v>16</v>
      </c>
      <c r="M650" s="685"/>
      <c r="N650" s="686">
        <f t="shared" si="186"/>
        <v>0</v>
      </c>
      <c r="O650" s="687">
        <f t="shared" si="196"/>
        <v>0</v>
      </c>
      <c r="P650" s="688">
        <f t="shared" si="197"/>
        <v>0</v>
      </c>
      <c r="Q650" s="765"/>
      <c r="R650" s="685">
        <f>M650</f>
        <v>0</v>
      </c>
      <c r="S650" s="686">
        <f t="shared" si="198"/>
        <v>0</v>
      </c>
      <c r="T650" s="687">
        <f t="shared" si="194"/>
        <v>0</v>
      </c>
      <c r="U650" s="688">
        <f t="shared" si="195"/>
        <v>0</v>
      </c>
      <c r="V650" s="579"/>
      <c r="W650" s="566"/>
      <c r="X650" s="586" t="str">
        <f t="shared" si="191"/>
        <v/>
      </c>
      <c r="Y650" s="586" t="str">
        <f t="shared" si="189"/>
        <v/>
      </c>
      <c r="Z650" s="586" t="str">
        <f t="shared" si="183"/>
        <v/>
      </c>
    </row>
    <row r="651" spans="1:26" hidden="1" x14ac:dyDescent="0.2">
      <c r="A651" s="567" t="s">
        <v>168</v>
      </c>
      <c r="B651" s="644" t="s">
        <v>168</v>
      </c>
      <c r="C651" s="645"/>
      <c r="D651" s="451" t="s">
        <v>248</v>
      </c>
      <c r="E651" s="423"/>
      <c r="F651" s="424">
        <v>180</v>
      </c>
      <c r="G651" s="425"/>
      <c r="H651" s="651">
        <f t="shared" ref="H651:H654" si="206">IF(F651&lt;=30,(1.07*F651+2.68)*G651,((1.07*30+2.68)+1.07*(F651-30))*G651)</f>
        <v>0</v>
      </c>
      <c r="I651" s="420">
        <v>0</v>
      </c>
      <c r="J651" s="420">
        <f>IF(ISBLANK(I651),"",SUM(H651:I651))</f>
        <v>0</v>
      </c>
      <c r="K651" s="421">
        <f t="shared" si="205"/>
        <v>0</v>
      </c>
      <c r="L651" s="647" t="s">
        <v>614</v>
      </c>
      <c r="M651" s="703"/>
      <c r="N651" s="576">
        <f t="shared" si="186"/>
        <v>0</v>
      </c>
      <c r="O651" s="577">
        <f t="shared" si="196"/>
        <v>0</v>
      </c>
      <c r="P651" s="578">
        <f t="shared" si="197"/>
        <v>0</v>
      </c>
      <c r="Q651" s="765"/>
      <c r="R651" s="703"/>
      <c r="S651" s="670"/>
      <c r="T651" s="577">
        <f t="shared" si="194"/>
        <v>0</v>
      </c>
      <c r="U651" s="578">
        <f t="shared" si="195"/>
        <v>0</v>
      </c>
      <c r="V651" s="579"/>
      <c r="W651" s="637" t="str">
        <f>IF(U650&gt;0,"xx",IF(P650&gt;0,"xy",""))</f>
        <v/>
      </c>
      <c r="X651" s="586" t="str">
        <f t="shared" si="191"/>
        <v/>
      </c>
      <c r="Y651" s="586" t="str">
        <f t="shared" si="189"/>
        <v/>
      </c>
      <c r="Z651" s="586" t="str">
        <f t="shared" si="183"/>
        <v/>
      </c>
    </row>
    <row r="652" spans="1:26" hidden="1" x14ac:dyDescent="0.2">
      <c r="A652" s="567" t="s">
        <v>168</v>
      </c>
      <c r="B652" s="644" t="s">
        <v>168</v>
      </c>
      <c r="C652" s="645"/>
      <c r="D652" s="451" t="s">
        <v>249</v>
      </c>
      <c r="E652" s="423"/>
      <c r="F652" s="424">
        <v>500</v>
      </c>
      <c r="G652" s="425"/>
      <c r="H652" s="649">
        <f>IF(F652&lt;=30,(0.78*F652+7.82)*G652,((0.78*30+7.82)+0.78*(F652-30))*G652)</f>
        <v>0</v>
      </c>
      <c r="I652" s="420">
        <v>0</v>
      </c>
      <c r="J652" s="420">
        <f>IF(ISBLANK(I652),"",SUM(H652:I652))</f>
        <v>0</v>
      </c>
      <c r="K652" s="421">
        <f t="shared" si="205"/>
        <v>0</v>
      </c>
      <c r="L652" s="647" t="s">
        <v>614</v>
      </c>
      <c r="M652" s="703"/>
      <c r="N652" s="576">
        <f t="shared" si="186"/>
        <v>0</v>
      </c>
      <c r="O652" s="577">
        <f t="shared" si="196"/>
        <v>0</v>
      </c>
      <c r="P652" s="578">
        <f t="shared" si="197"/>
        <v>0</v>
      </c>
      <c r="Q652" s="765"/>
      <c r="R652" s="703"/>
      <c r="S652" s="670"/>
      <c r="T652" s="577">
        <f t="shared" si="194"/>
        <v>0</v>
      </c>
      <c r="U652" s="578">
        <f t="shared" si="195"/>
        <v>0</v>
      </c>
      <c r="V652" s="579"/>
      <c r="W652" s="637" t="str">
        <f>IF(U650&gt;0,"xx",IF(P650&gt;0,"xy",""))</f>
        <v/>
      </c>
      <c r="X652" s="586" t="str">
        <f>IF(W652="X","x",IF(W652="xx","x",IF(W652="xy","x",IF(W652="y","x",IF(OR(P652&gt;0,U652&gt;0),"x","")))))</f>
        <v/>
      </c>
      <c r="Y652" s="586" t="str">
        <f>IF(W652="X","x",IF(W652="y","x",IF(W652="xx","x",IF(U652&gt;0,"x",""))))</f>
        <v/>
      </c>
      <c r="Z652" s="586" t="str">
        <f>IF(W652="X","x",IF(U652&gt;0,"x",""))</f>
        <v/>
      </c>
    </row>
    <row r="653" spans="1:26" hidden="1" x14ac:dyDescent="0.2">
      <c r="A653" s="567" t="s">
        <v>168</v>
      </c>
      <c r="B653" s="644" t="s">
        <v>168</v>
      </c>
      <c r="C653" s="645"/>
      <c r="D653" s="451" t="s">
        <v>262</v>
      </c>
      <c r="E653" s="423"/>
      <c r="F653" s="424">
        <v>0.2</v>
      </c>
      <c r="G653" s="425">
        <v>2.12</v>
      </c>
      <c r="H653" s="651">
        <f t="shared" si="206"/>
        <v>6.1352800000000007</v>
      </c>
      <c r="I653" s="420">
        <v>0</v>
      </c>
      <c r="J653" s="420"/>
      <c r="K653" s="421">
        <f t="shared" si="205"/>
        <v>0</v>
      </c>
      <c r="L653" s="647" t="s">
        <v>614</v>
      </c>
      <c r="M653" s="703"/>
      <c r="N653" s="576">
        <f t="shared" si="186"/>
        <v>0</v>
      </c>
      <c r="O653" s="577">
        <f t="shared" si="196"/>
        <v>0</v>
      </c>
      <c r="P653" s="578">
        <f t="shared" si="197"/>
        <v>0</v>
      </c>
      <c r="Q653" s="765"/>
      <c r="R653" s="703"/>
      <c r="S653" s="670"/>
      <c r="T653" s="577">
        <f t="shared" si="194"/>
        <v>0</v>
      </c>
      <c r="U653" s="578">
        <f t="shared" si="195"/>
        <v>0</v>
      </c>
      <c r="V653" s="579"/>
      <c r="W653" s="637" t="str">
        <f>IF(U650&gt;0,"xx",IF(P650&gt;0,"xy",""))</f>
        <v/>
      </c>
      <c r="X653" s="586" t="str">
        <f>IF(W653="X","x",IF(W653="xx","x",IF(W653="xy","x",IF(W653="y","x",IF(OR(P653&gt;0,U653&gt;0),"x","")))))</f>
        <v/>
      </c>
      <c r="Y653" s="586" t="str">
        <f>IF(W653="X","x",IF(W653="y","x",IF(W653="xx","x",IF(U653&gt;0,"x",""))))</f>
        <v/>
      </c>
      <c r="Z653" s="586" t="str">
        <f>IF(W653="X","x",IF(U653&gt;0,"x",""))</f>
        <v/>
      </c>
    </row>
    <row r="654" spans="1:26" hidden="1" x14ac:dyDescent="0.2">
      <c r="A654" s="567" t="s">
        <v>168</v>
      </c>
      <c r="B654" s="644" t="s">
        <v>168</v>
      </c>
      <c r="C654" s="645"/>
      <c r="D654" s="451" t="s">
        <v>263</v>
      </c>
      <c r="E654" s="423"/>
      <c r="F654" s="424">
        <v>20</v>
      </c>
      <c r="G654" s="425">
        <f>SUM(G650:G653)</f>
        <v>2.2000000000000002</v>
      </c>
      <c r="H654" s="651">
        <f t="shared" si="206"/>
        <v>52.976000000000006</v>
      </c>
      <c r="I654" s="420">
        <v>0</v>
      </c>
      <c r="J654" s="420"/>
      <c r="K654" s="421">
        <f t="shared" si="205"/>
        <v>0</v>
      </c>
      <c r="L654" s="647" t="s">
        <v>614</v>
      </c>
      <c r="M654" s="703"/>
      <c r="N654" s="576">
        <f t="shared" si="186"/>
        <v>0</v>
      </c>
      <c r="O654" s="577">
        <f t="shared" si="196"/>
        <v>0</v>
      </c>
      <c r="P654" s="578">
        <f t="shared" si="197"/>
        <v>0</v>
      </c>
      <c r="Q654" s="765"/>
      <c r="R654" s="703"/>
      <c r="S654" s="670"/>
      <c r="T654" s="577">
        <f t="shared" si="194"/>
        <v>0</v>
      </c>
      <c r="U654" s="578">
        <f t="shared" si="195"/>
        <v>0</v>
      </c>
      <c r="V654" s="579"/>
      <c r="W654" s="637" t="str">
        <f>IF(U650&gt;0,"xx",IF(P650&gt;0,"xy",""))</f>
        <v/>
      </c>
      <c r="X654" s="586" t="str">
        <f t="shared" si="191"/>
        <v/>
      </c>
      <c r="Y654" s="586" t="str">
        <f t="shared" si="189"/>
        <v/>
      </c>
      <c r="Z654" s="586" t="str">
        <f t="shared" si="183"/>
        <v/>
      </c>
    </row>
    <row r="655" spans="1:26" ht="12" hidden="1" thickBot="1" x14ac:dyDescent="0.25">
      <c r="A655" s="567">
        <v>589320</v>
      </c>
      <c r="B655" s="704" t="s">
        <v>1837</v>
      </c>
      <c r="C655" s="689" t="s">
        <v>1746</v>
      </c>
      <c r="D655" s="477" t="s">
        <v>812</v>
      </c>
      <c r="E655" s="470"/>
      <c r="F655" s="478">
        <v>500</v>
      </c>
      <c r="G655" s="479">
        <v>1</v>
      </c>
      <c r="H655" s="663">
        <f>(0.84*F655+41.45)*G655</f>
        <v>461.45</v>
      </c>
      <c r="I655" s="472">
        <v>4680</v>
      </c>
      <c r="J655" s="472">
        <f>IF(ISBLANK(I655),"",I655*(1+$F$9)/(1+$F$10))+H655</f>
        <v>5002.4010983923918</v>
      </c>
      <c r="K655" s="690">
        <f t="shared" si="205"/>
        <v>5943.35</v>
      </c>
      <c r="L655" s="691" t="s">
        <v>20</v>
      </c>
      <c r="M655" s="692">
        <f>ROUND(M650*G650,2)</f>
        <v>0</v>
      </c>
      <c r="N655" s="696">
        <f t="shared" si="186"/>
        <v>0</v>
      </c>
      <c r="O655" s="693">
        <f t="shared" si="196"/>
        <v>0</v>
      </c>
      <c r="P655" s="694">
        <f t="shared" si="197"/>
        <v>0</v>
      </c>
      <c r="Q655" s="765"/>
      <c r="R655" s="719">
        <f>ROUND(R650*G650,2)</f>
        <v>0</v>
      </c>
      <c r="S655" s="720">
        <f>N655</f>
        <v>0</v>
      </c>
      <c r="T655" s="693">
        <f t="shared" si="194"/>
        <v>0</v>
      </c>
      <c r="U655" s="694">
        <f t="shared" si="195"/>
        <v>0</v>
      </c>
      <c r="V655" s="579"/>
      <c r="W655" s="637" t="str">
        <f>IF(U650&gt;0,"xx",IF(P650&gt;0,"xy",""))</f>
        <v/>
      </c>
      <c r="X655" s="586" t="str">
        <f t="shared" si="191"/>
        <v/>
      </c>
      <c r="Y655" s="586" t="str">
        <f t="shared" si="189"/>
        <v/>
      </c>
      <c r="Z655" s="586" t="str">
        <f t="shared" si="183"/>
        <v/>
      </c>
    </row>
    <row r="656" spans="1:26" hidden="1" x14ac:dyDescent="0.2">
      <c r="A656" s="567">
        <v>534000</v>
      </c>
      <c r="B656" s="701" t="s">
        <v>1838</v>
      </c>
      <c r="C656" s="702" t="s">
        <v>206</v>
      </c>
      <c r="D656" s="463" t="s">
        <v>1914</v>
      </c>
      <c r="E656" s="464"/>
      <c r="F656" s="465" t="s">
        <v>663</v>
      </c>
      <c r="G656" s="466">
        <v>0.08</v>
      </c>
      <c r="H656" s="681">
        <f>SUM(H657:H660)</f>
        <v>59.111280000000008</v>
      </c>
      <c r="I656" s="467">
        <v>138.26</v>
      </c>
      <c r="J656" s="467">
        <f>IF(ISBLANK(I656),"",SUM(H656:I656))</f>
        <v>197.37128000000001</v>
      </c>
      <c r="K656" s="682">
        <f t="shared" si="205"/>
        <v>234.5</v>
      </c>
      <c r="L656" s="683" t="s">
        <v>16</v>
      </c>
      <c r="M656" s="685"/>
      <c r="N656" s="576">
        <f t="shared" si="186"/>
        <v>0</v>
      </c>
      <c r="O656" s="687">
        <f t="shared" si="196"/>
        <v>0</v>
      </c>
      <c r="P656" s="688">
        <f t="shared" si="197"/>
        <v>0</v>
      </c>
      <c r="Q656" s="765"/>
      <c r="R656" s="685">
        <f>M656</f>
        <v>0</v>
      </c>
      <c r="S656" s="686">
        <f t="shared" si="198"/>
        <v>0</v>
      </c>
      <c r="T656" s="687">
        <f t="shared" si="194"/>
        <v>0</v>
      </c>
      <c r="U656" s="688">
        <f t="shared" si="195"/>
        <v>0</v>
      </c>
      <c r="V656" s="579"/>
      <c r="W656" s="566"/>
      <c r="X656" s="586" t="str">
        <f t="shared" si="191"/>
        <v/>
      </c>
      <c r="Y656" s="586" t="str">
        <f t="shared" si="189"/>
        <v/>
      </c>
      <c r="Z656" s="586" t="str">
        <f t="shared" si="183"/>
        <v/>
      </c>
    </row>
    <row r="657" spans="1:26" hidden="1" x14ac:dyDescent="0.2">
      <c r="A657" s="567" t="s">
        <v>168</v>
      </c>
      <c r="B657" s="644" t="s">
        <v>168</v>
      </c>
      <c r="C657" s="645"/>
      <c r="D657" s="451" t="s">
        <v>248</v>
      </c>
      <c r="E657" s="423"/>
      <c r="F657" s="424">
        <v>180</v>
      </c>
      <c r="G657" s="425"/>
      <c r="H657" s="651">
        <f t="shared" ref="H657:H660" si="207">IF(F657&lt;=30,(1.07*F657+2.68)*G657,((1.07*30+2.68)+1.07*(F657-30))*G657)</f>
        <v>0</v>
      </c>
      <c r="I657" s="420">
        <v>0</v>
      </c>
      <c r="J657" s="420">
        <f>IF(ISBLANK(I657),"",SUM(H657:I657))</f>
        <v>0</v>
      </c>
      <c r="K657" s="421">
        <f t="shared" si="205"/>
        <v>0</v>
      </c>
      <c r="L657" s="647" t="s">
        <v>614</v>
      </c>
      <c r="M657" s="703"/>
      <c r="N657" s="576">
        <f t="shared" si="186"/>
        <v>0</v>
      </c>
      <c r="O657" s="577">
        <f t="shared" si="196"/>
        <v>0</v>
      </c>
      <c r="P657" s="578">
        <f t="shared" si="197"/>
        <v>0</v>
      </c>
      <c r="Q657" s="765"/>
      <c r="R657" s="703"/>
      <c r="S657" s="670"/>
      <c r="T657" s="577">
        <f t="shared" si="194"/>
        <v>0</v>
      </c>
      <c r="U657" s="578">
        <f t="shared" si="195"/>
        <v>0</v>
      </c>
      <c r="V657" s="579"/>
      <c r="W657" s="637" t="str">
        <f>IF(U656&gt;0,"xx",IF(P656&gt;0,"xy",""))</f>
        <v/>
      </c>
      <c r="X657" s="586" t="str">
        <f t="shared" si="191"/>
        <v/>
      </c>
      <c r="Y657" s="586" t="str">
        <f t="shared" si="189"/>
        <v/>
      </c>
      <c r="Z657" s="586" t="str">
        <f t="shared" ref="Z657:Z765" si="208">IF(W657="X","x",IF(U657&gt;0,"x",""))</f>
        <v/>
      </c>
    </row>
    <row r="658" spans="1:26" hidden="1" x14ac:dyDescent="0.2">
      <c r="A658" s="567" t="s">
        <v>168</v>
      </c>
      <c r="B658" s="644" t="s">
        <v>168</v>
      </c>
      <c r="C658" s="645"/>
      <c r="D658" s="451" t="s">
        <v>249</v>
      </c>
      <c r="E658" s="423"/>
      <c r="F658" s="424">
        <v>500</v>
      </c>
      <c r="G658" s="425"/>
      <c r="H658" s="649">
        <f>IF(F658&lt;=30,(0.78*F658+7.82)*G658,((0.78*30+7.82)+0.78*(F658-30))*G658)</f>
        <v>0</v>
      </c>
      <c r="I658" s="420">
        <v>0</v>
      </c>
      <c r="J658" s="420">
        <f>IF(ISBLANK(I658),"",SUM(H658:I658))</f>
        <v>0</v>
      </c>
      <c r="K658" s="421">
        <f t="shared" si="205"/>
        <v>0</v>
      </c>
      <c r="L658" s="647" t="s">
        <v>614</v>
      </c>
      <c r="M658" s="703"/>
      <c r="N658" s="576">
        <f t="shared" si="186"/>
        <v>0</v>
      </c>
      <c r="O658" s="577">
        <f t="shared" si="196"/>
        <v>0</v>
      </c>
      <c r="P658" s="578">
        <f t="shared" si="197"/>
        <v>0</v>
      </c>
      <c r="Q658" s="765"/>
      <c r="R658" s="703"/>
      <c r="S658" s="670"/>
      <c r="T658" s="577">
        <f t="shared" si="194"/>
        <v>0</v>
      </c>
      <c r="U658" s="578">
        <f t="shared" si="195"/>
        <v>0</v>
      </c>
      <c r="V658" s="579"/>
      <c r="W658" s="637" t="str">
        <f>IF(U656&gt;0,"xx",IF(P656&gt;0,"xy",""))</f>
        <v/>
      </c>
      <c r="X658" s="586" t="str">
        <f>IF(W658="X","x",IF(W658="xx","x",IF(W658="xy","x",IF(W658="y","x",IF(OR(P658&gt;0,U658&gt;0),"x","")))))</f>
        <v/>
      </c>
      <c r="Y658" s="586" t="str">
        <f>IF(W658="X","x",IF(W658="y","x",IF(W658="xx","x",IF(U658&gt;0,"x",""))))</f>
        <v/>
      </c>
      <c r="Z658" s="586" t="str">
        <f>IF(W658="X","x",IF(U658&gt;0,"x",""))</f>
        <v/>
      </c>
    </row>
    <row r="659" spans="1:26" hidden="1" x14ac:dyDescent="0.2">
      <c r="A659" s="567" t="s">
        <v>168</v>
      </c>
      <c r="B659" s="644" t="s">
        <v>168</v>
      </c>
      <c r="C659" s="645"/>
      <c r="D659" s="451" t="s">
        <v>262</v>
      </c>
      <c r="E659" s="423"/>
      <c r="F659" s="424">
        <v>0.2</v>
      </c>
      <c r="G659" s="425">
        <v>2.12</v>
      </c>
      <c r="H659" s="651">
        <f t="shared" si="207"/>
        <v>6.1352800000000007</v>
      </c>
      <c r="I659" s="420">
        <v>0</v>
      </c>
      <c r="J659" s="420"/>
      <c r="K659" s="421">
        <f t="shared" si="205"/>
        <v>0</v>
      </c>
      <c r="L659" s="647" t="s">
        <v>614</v>
      </c>
      <c r="M659" s="703"/>
      <c r="N659" s="576">
        <f t="shared" si="186"/>
        <v>0</v>
      </c>
      <c r="O659" s="577">
        <f t="shared" si="196"/>
        <v>0</v>
      </c>
      <c r="P659" s="578">
        <f t="shared" si="197"/>
        <v>0</v>
      </c>
      <c r="Q659" s="765"/>
      <c r="R659" s="703"/>
      <c r="S659" s="670"/>
      <c r="T659" s="577">
        <f t="shared" si="194"/>
        <v>0</v>
      </c>
      <c r="U659" s="578">
        <f t="shared" si="195"/>
        <v>0</v>
      </c>
      <c r="V659" s="579"/>
      <c r="W659" s="637" t="str">
        <f>IF(U656&gt;0,"xx",IF(P656&gt;0,"xy",""))</f>
        <v/>
      </c>
      <c r="X659" s="586" t="str">
        <f>IF(W659="X","x",IF(W659="xx","x",IF(W659="xy","x",IF(W659="y","x",IF(OR(P659&gt;0,U659&gt;0),"x","")))))</f>
        <v/>
      </c>
      <c r="Y659" s="586" t="str">
        <f>IF(W659="X","x",IF(W659="y","x",IF(W659="xx","x",IF(U659&gt;0,"x",""))))</f>
        <v/>
      </c>
      <c r="Z659" s="586" t="str">
        <f>IF(W659="X","x",IF(U659&gt;0,"x",""))</f>
        <v/>
      </c>
    </row>
    <row r="660" spans="1:26" hidden="1" x14ac:dyDescent="0.2">
      <c r="A660" s="567" t="s">
        <v>168</v>
      </c>
      <c r="B660" s="644" t="s">
        <v>168</v>
      </c>
      <c r="C660" s="645"/>
      <c r="D660" s="451" t="s">
        <v>263</v>
      </c>
      <c r="E660" s="423"/>
      <c r="F660" s="424">
        <v>20</v>
      </c>
      <c r="G660" s="425">
        <f>SUM(G656:G659)</f>
        <v>2.2000000000000002</v>
      </c>
      <c r="H660" s="651">
        <f t="shared" si="207"/>
        <v>52.976000000000006</v>
      </c>
      <c r="I660" s="420">
        <v>0</v>
      </c>
      <c r="J660" s="420"/>
      <c r="K660" s="421">
        <f t="shared" si="205"/>
        <v>0</v>
      </c>
      <c r="L660" s="647" t="s">
        <v>614</v>
      </c>
      <c r="M660" s="703"/>
      <c r="N660" s="576">
        <f t="shared" ref="N660:N723" si="209">IF(M660=0,0,K660)</f>
        <v>0</v>
      </c>
      <c r="O660" s="577">
        <f t="shared" si="196"/>
        <v>0</v>
      </c>
      <c r="P660" s="578">
        <f t="shared" si="197"/>
        <v>0</v>
      </c>
      <c r="Q660" s="765"/>
      <c r="R660" s="703"/>
      <c r="S660" s="670"/>
      <c r="T660" s="577">
        <f t="shared" si="194"/>
        <v>0</v>
      </c>
      <c r="U660" s="578">
        <f t="shared" si="195"/>
        <v>0</v>
      </c>
      <c r="V660" s="579"/>
      <c r="W660" s="637" t="str">
        <f>IF(U656&gt;0,"xx",IF(P656&gt;0,"xy",""))</f>
        <v/>
      </c>
      <c r="X660" s="586" t="str">
        <f t="shared" si="191"/>
        <v/>
      </c>
      <c r="Y660" s="586" t="str">
        <f t="shared" si="189"/>
        <v/>
      </c>
      <c r="Z660" s="586" t="str">
        <f t="shared" si="208"/>
        <v/>
      </c>
    </row>
    <row r="661" spans="1:26" ht="12" hidden="1" thickBot="1" x14ac:dyDescent="0.25">
      <c r="A661" s="567">
        <v>589320</v>
      </c>
      <c r="B661" s="704" t="s">
        <v>1839</v>
      </c>
      <c r="C661" s="689" t="s">
        <v>1746</v>
      </c>
      <c r="D661" s="477" t="s">
        <v>812</v>
      </c>
      <c r="E661" s="470"/>
      <c r="F661" s="478">
        <v>500</v>
      </c>
      <c r="G661" s="479">
        <v>1</v>
      </c>
      <c r="H661" s="663">
        <f>(0.84*F661+41.45)*G661</f>
        <v>461.45</v>
      </c>
      <c r="I661" s="472">
        <v>4680</v>
      </c>
      <c r="J661" s="472">
        <f>IF(ISBLANK(I661),"",I661*(1+$F$9)/(1+$F$10))+H661</f>
        <v>5002.4010983923918</v>
      </c>
      <c r="K661" s="690">
        <f t="shared" si="205"/>
        <v>5943.35</v>
      </c>
      <c r="L661" s="691" t="s">
        <v>20</v>
      </c>
      <c r="M661" s="692">
        <f>ROUND(M656*G656,2)</f>
        <v>0</v>
      </c>
      <c r="N661" s="588">
        <f t="shared" si="209"/>
        <v>0</v>
      </c>
      <c r="O661" s="693">
        <f t="shared" si="196"/>
        <v>0</v>
      </c>
      <c r="P661" s="694">
        <f t="shared" si="197"/>
        <v>0</v>
      </c>
      <c r="Q661" s="765"/>
      <c r="R661" s="719">
        <f>ROUND(R656*G656,2)</f>
        <v>0</v>
      </c>
      <c r="S661" s="720">
        <f>N661</f>
        <v>0</v>
      </c>
      <c r="T661" s="693">
        <f t="shared" si="194"/>
        <v>0</v>
      </c>
      <c r="U661" s="694">
        <f t="shared" si="195"/>
        <v>0</v>
      </c>
      <c r="V661" s="579"/>
      <c r="W661" s="637" t="str">
        <f>IF(U656&gt;0,"xx",IF(P656&gt;0,"xy",""))</f>
        <v/>
      </c>
      <c r="X661" s="586" t="str">
        <f t="shared" si="191"/>
        <v/>
      </c>
      <c r="Y661" s="586" t="str">
        <f t="shared" si="189"/>
        <v/>
      </c>
      <c r="Z661" s="586" t="str">
        <f t="shared" si="208"/>
        <v/>
      </c>
    </row>
    <row r="662" spans="1:26" hidden="1" x14ac:dyDescent="0.2">
      <c r="A662" s="671">
        <v>534300</v>
      </c>
      <c r="B662" s="701" t="s">
        <v>1840</v>
      </c>
      <c r="C662" s="702" t="s">
        <v>206</v>
      </c>
      <c r="D662" s="463" t="s">
        <v>1919</v>
      </c>
      <c r="E662" s="464"/>
      <c r="F662" s="465" t="s">
        <v>663</v>
      </c>
      <c r="G662" s="466">
        <v>0.11</v>
      </c>
      <c r="H662" s="681">
        <f>SUM(H663:H666)</f>
        <v>59.024459999999998</v>
      </c>
      <c r="I662" s="467">
        <v>136.76</v>
      </c>
      <c r="J662" s="467">
        <f>IF(ISBLANK(I662),"",SUM(H662:I662))</f>
        <v>195.78446</v>
      </c>
      <c r="K662" s="682">
        <f t="shared" si="205"/>
        <v>232.61</v>
      </c>
      <c r="L662" s="683" t="s">
        <v>16</v>
      </c>
      <c r="M662" s="685"/>
      <c r="N662" s="686">
        <f t="shared" si="209"/>
        <v>0</v>
      </c>
      <c r="O662" s="687">
        <f t="shared" si="196"/>
        <v>0</v>
      </c>
      <c r="P662" s="688">
        <f t="shared" si="197"/>
        <v>0</v>
      </c>
      <c r="Q662" s="765"/>
      <c r="R662" s="685">
        <f>M662</f>
        <v>0</v>
      </c>
      <c r="S662" s="686">
        <f t="shared" si="198"/>
        <v>0</v>
      </c>
      <c r="T662" s="687">
        <f t="shared" si="194"/>
        <v>0</v>
      </c>
      <c r="U662" s="688">
        <f t="shared" si="195"/>
        <v>0</v>
      </c>
      <c r="V662" s="579"/>
      <c r="W662" s="566"/>
      <c r="X662" s="586" t="str">
        <f t="shared" si="191"/>
        <v/>
      </c>
      <c r="Y662" s="586" t="str">
        <f t="shared" si="189"/>
        <v/>
      </c>
      <c r="Z662" s="586" t="str">
        <f t="shared" si="208"/>
        <v/>
      </c>
    </row>
    <row r="663" spans="1:26" hidden="1" x14ac:dyDescent="0.2">
      <c r="A663" s="671" t="s">
        <v>168</v>
      </c>
      <c r="B663" s="644" t="s">
        <v>168</v>
      </c>
      <c r="C663" s="645"/>
      <c r="D663" s="451" t="s">
        <v>248</v>
      </c>
      <c r="E663" s="423"/>
      <c r="F663" s="424">
        <v>180</v>
      </c>
      <c r="G663" s="425"/>
      <c r="H663" s="651">
        <f t="shared" ref="H663:H666" si="210">IF(F663&lt;=30,(1.07*F663+2.68)*G663,((1.07*30+2.68)+1.07*(F663-30))*G663)</f>
        <v>0</v>
      </c>
      <c r="I663" s="420">
        <v>0</v>
      </c>
      <c r="J663" s="420"/>
      <c r="K663" s="421">
        <f t="shared" si="205"/>
        <v>0</v>
      </c>
      <c r="L663" s="647" t="s">
        <v>614</v>
      </c>
      <c r="M663" s="703"/>
      <c r="N663" s="576">
        <f t="shared" si="209"/>
        <v>0</v>
      </c>
      <c r="O663" s="577">
        <f t="shared" si="196"/>
        <v>0</v>
      </c>
      <c r="P663" s="578">
        <f t="shared" si="197"/>
        <v>0</v>
      </c>
      <c r="Q663" s="765"/>
      <c r="R663" s="703"/>
      <c r="S663" s="670"/>
      <c r="T663" s="577">
        <f t="shared" si="194"/>
        <v>0</v>
      </c>
      <c r="U663" s="578">
        <f t="shared" si="195"/>
        <v>0</v>
      </c>
      <c r="V663" s="579"/>
      <c r="W663" s="637" t="str">
        <f>IF(U662&gt;0,"xx",IF(P662&gt;0,"xy",""))</f>
        <v/>
      </c>
      <c r="X663" s="586" t="str">
        <f t="shared" si="191"/>
        <v/>
      </c>
      <c r="Y663" s="586" t="str">
        <f t="shared" si="189"/>
        <v/>
      </c>
      <c r="Z663" s="586" t="str">
        <f t="shared" si="208"/>
        <v/>
      </c>
    </row>
    <row r="664" spans="1:26" hidden="1" x14ac:dyDescent="0.2">
      <c r="A664" s="671" t="s">
        <v>168</v>
      </c>
      <c r="B664" s="644" t="s">
        <v>168</v>
      </c>
      <c r="C664" s="645"/>
      <c r="D664" s="451" t="s">
        <v>249</v>
      </c>
      <c r="E664" s="423"/>
      <c r="F664" s="424">
        <v>500</v>
      </c>
      <c r="G664" s="425"/>
      <c r="H664" s="649">
        <f>IF(F664&lt;=30,(0.78*F664+7.82)*G664,((0.78*30+7.82)+0.78*(F664-30))*G664)</f>
        <v>0</v>
      </c>
      <c r="I664" s="420">
        <v>0</v>
      </c>
      <c r="J664" s="420">
        <f>IF(ISBLANK(I664),"",SUM(H664:I664))</f>
        <v>0</v>
      </c>
      <c r="K664" s="421">
        <f t="shared" si="205"/>
        <v>0</v>
      </c>
      <c r="L664" s="647" t="s">
        <v>614</v>
      </c>
      <c r="M664" s="703"/>
      <c r="N664" s="576">
        <f t="shared" si="209"/>
        <v>0</v>
      </c>
      <c r="O664" s="577">
        <f t="shared" si="196"/>
        <v>0</v>
      </c>
      <c r="P664" s="578">
        <f t="shared" si="197"/>
        <v>0</v>
      </c>
      <c r="Q664" s="765"/>
      <c r="R664" s="703"/>
      <c r="S664" s="670"/>
      <c r="T664" s="577">
        <f t="shared" si="194"/>
        <v>0</v>
      </c>
      <c r="U664" s="578">
        <f t="shared" si="195"/>
        <v>0</v>
      </c>
      <c r="V664" s="579"/>
      <c r="W664" s="637" t="str">
        <f>IF(U662&gt;0,"xx",IF(P662&gt;0,"xy",""))</f>
        <v/>
      </c>
      <c r="X664" s="586" t="str">
        <f t="shared" si="191"/>
        <v/>
      </c>
      <c r="Y664" s="586" t="str">
        <f t="shared" si="189"/>
        <v/>
      </c>
      <c r="Z664" s="586" t="str">
        <f t="shared" si="208"/>
        <v/>
      </c>
    </row>
    <row r="665" spans="1:26" hidden="1" x14ac:dyDescent="0.2">
      <c r="A665" s="671" t="s">
        <v>168</v>
      </c>
      <c r="B665" s="644" t="s">
        <v>168</v>
      </c>
      <c r="C665" s="645"/>
      <c r="D665" s="451" t="s">
        <v>262</v>
      </c>
      <c r="E665" s="423"/>
      <c r="F665" s="424">
        <v>0.2</v>
      </c>
      <c r="G665" s="425">
        <v>2.09</v>
      </c>
      <c r="H665" s="651">
        <f t="shared" si="210"/>
        <v>6.0484599999999995</v>
      </c>
      <c r="I665" s="420">
        <v>0</v>
      </c>
      <c r="J665" s="420"/>
      <c r="K665" s="421">
        <f t="shared" si="205"/>
        <v>0</v>
      </c>
      <c r="L665" s="647" t="s">
        <v>614</v>
      </c>
      <c r="M665" s="703"/>
      <c r="N665" s="576">
        <f t="shared" si="209"/>
        <v>0</v>
      </c>
      <c r="O665" s="577">
        <f t="shared" si="196"/>
        <v>0</v>
      </c>
      <c r="P665" s="578">
        <f t="shared" si="197"/>
        <v>0</v>
      </c>
      <c r="Q665" s="765"/>
      <c r="R665" s="703"/>
      <c r="S665" s="670"/>
      <c r="T665" s="577">
        <f t="shared" si="194"/>
        <v>0</v>
      </c>
      <c r="U665" s="578">
        <f t="shared" si="195"/>
        <v>0</v>
      </c>
      <c r="V665" s="579"/>
      <c r="W665" s="637" t="str">
        <f>IF(U662&gt;0,"xx",IF(P662&gt;0,"xy",""))</f>
        <v/>
      </c>
      <c r="X665" s="586" t="str">
        <f t="shared" si="191"/>
        <v/>
      </c>
      <c r="Y665" s="586" t="str">
        <f t="shared" si="189"/>
        <v/>
      </c>
      <c r="Z665" s="586" t="str">
        <f t="shared" si="208"/>
        <v/>
      </c>
    </row>
    <row r="666" spans="1:26" hidden="1" x14ac:dyDescent="0.2">
      <c r="A666" s="671" t="s">
        <v>168</v>
      </c>
      <c r="B666" s="644" t="s">
        <v>168</v>
      </c>
      <c r="C666" s="645"/>
      <c r="D666" s="451" t="s">
        <v>263</v>
      </c>
      <c r="E666" s="423"/>
      <c r="F666" s="424">
        <v>20</v>
      </c>
      <c r="G666" s="425">
        <f>SUM(G662:G665)</f>
        <v>2.1999999999999997</v>
      </c>
      <c r="H666" s="651">
        <f t="shared" si="210"/>
        <v>52.975999999999999</v>
      </c>
      <c r="I666" s="420">
        <v>0</v>
      </c>
      <c r="J666" s="420"/>
      <c r="K666" s="421">
        <f t="shared" si="205"/>
        <v>0</v>
      </c>
      <c r="L666" s="647" t="s">
        <v>614</v>
      </c>
      <c r="M666" s="703"/>
      <c r="N666" s="576">
        <f t="shared" si="209"/>
        <v>0</v>
      </c>
      <c r="O666" s="577">
        <f t="shared" si="196"/>
        <v>0</v>
      </c>
      <c r="P666" s="578">
        <f t="shared" si="197"/>
        <v>0</v>
      </c>
      <c r="Q666" s="765"/>
      <c r="R666" s="703"/>
      <c r="S666" s="670"/>
      <c r="T666" s="577">
        <f t="shared" si="194"/>
        <v>0</v>
      </c>
      <c r="U666" s="578">
        <f t="shared" si="195"/>
        <v>0</v>
      </c>
      <c r="V666" s="579"/>
      <c r="W666" s="637" t="str">
        <f>IF(U662&gt;0,"xx",IF(P662&gt;0,"xy",""))</f>
        <v/>
      </c>
      <c r="X666" s="586" t="str">
        <f t="shared" si="191"/>
        <v/>
      </c>
      <c r="Y666" s="586" t="str">
        <f t="shared" si="189"/>
        <v/>
      </c>
      <c r="Z666" s="586" t="str">
        <f t="shared" si="208"/>
        <v/>
      </c>
    </row>
    <row r="667" spans="1:26" ht="12" hidden="1" thickBot="1" x14ac:dyDescent="0.25">
      <c r="A667" s="671">
        <v>589320</v>
      </c>
      <c r="B667" s="704" t="s">
        <v>1841</v>
      </c>
      <c r="C667" s="689" t="s">
        <v>1746</v>
      </c>
      <c r="D667" s="477" t="s">
        <v>813</v>
      </c>
      <c r="E667" s="470"/>
      <c r="F667" s="478">
        <v>500</v>
      </c>
      <c r="G667" s="479">
        <v>1</v>
      </c>
      <c r="H667" s="663">
        <f>(0.84*F667+41.45)*G667</f>
        <v>461.45</v>
      </c>
      <c r="I667" s="472">
        <v>4680</v>
      </c>
      <c r="J667" s="472">
        <f>IF(ISBLANK(I667),"",I667*(1+$F$9)/(1+$F$10))+H667</f>
        <v>5002.4010983923918</v>
      </c>
      <c r="K667" s="690">
        <f t="shared" si="205"/>
        <v>5943.35</v>
      </c>
      <c r="L667" s="691" t="s">
        <v>20</v>
      </c>
      <c r="M667" s="692">
        <f>ROUND(M662*G662,2)</f>
        <v>0</v>
      </c>
      <c r="N667" s="696">
        <f t="shared" si="209"/>
        <v>0</v>
      </c>
      <c r="O667" s="693">
        <f t="shared" si="196"/>
        <v>0</v>
      </c>
      <c r="P667" s="694">
        <f t="shared" si="197"/>
        <v>0</v>
      </c>
      <c r="Q667" s="765"/>
      <c r="R667" s="719">
        <f>ROUND(R662*G662,2)</f>
        <v>0</v>
      </c>
      <c r="S667" s="720">
        <f>N667</f>
        <v>0</v>
      </c>
      <c r="T667" s="693">
        <f t="shared" si="194"/>
        <v>0</v>
      </c>
      <c r="U667" s="694">
        <f t="shared" si="195"/>
        <v>0</v>
      </c>
      <c r="V667" s="579"/>
      <c r="W667" s="637" t="str">
        <f>IF(U662&gt;0,"xx",IF(P662&gt;0,"xy",""))</f>
        <v/>
      </c>
      <c r="X667" s="586" t="str">
        <f t="shared" si="191"/>
        <v/>
      </c>
      <c r="Y667" s="586" t="str">
        <f t="shared" si="189"/>
        <v/>
      </c>
      <c r="Z667" s="586" t="str">
        <f t="shared" si="208"/>
        <v/>
      </c>
    </row>
    <row r="668" spans="1:26" hidden="1" x14ac:dyDescent="0.2">
      <c r="A668" s="671">
        <v>534300</v>
      </c>
      <c r="B668" s="701" t="s">
        <v>1842</v>
      </c>
      <c r="C668" s="702" t="s">
        <v>206</v>
      </c>
      <c r="D668" s="463" t="s">
        <v>1920</v>
      </c>
      <c r="E668" s="464"/>
      <c r="F668" s="465" t="s">
        <v>663</v>
      </c>
      <c r="G668" s="466">
        <v>0.11</v>
      </c>
      <c r="H668" s="681">
        <f>SUM(H669:H672)</f>
        <v>59.024459999999998</v>
      </c>
      <c r="I668" s="467">
        <v>136.76</v>
      </c>
      <c r="J668" s="467">
        <f>IF(ISBLANK(I668),"",SUM(H668:I668))</f>
        <v>195.78446</v>
      </c>
      <c r="K668" s="682">
        <f t="shared" si="205"/>
        <v>232.61</v>
      </c>
      <c r="L668" s="683" t="s">
        <v>16</v>
      </c>
      <c r="M668" s="685"/>
      <c r="N668" s="576">
        <f t="shared" si="209"/>
        <v>0</v>
      </c>
      <c r="O668" s="687">
        <f t="shared" si="196"/>
        <v>0</v>
      </c>
      <c r="P668" s="688">
        <f t="shared" si="197"/>
        <v>0</v>
      </c>
      <c r="Q668" s="765"/>
      <c r="R668" s="685">
        <f>M668</f>
        <v>0</v>
      </c>
      <c r="S668" s="686">
        <f>N668</f>
        <v>0</v>
      </c>
      <c r="T668" s="687">
        <f t="shared" si="194"/>
        <v>0</v>
      </c>
      <c r="U668" s="688">
        <f t="shared" si="195"/>
        <v>0</v>
      </c>
      <c r="V668" s="579"/>
      <c r="W668" s="566"/>
      <c r="X668" s="586" t="str">
        <f t="shared" si="191"/>
        <v/>
      </c>
      <c r="Y668" s="586" t="str">
        <f t="shared" si="189"/>
        <v/>
      </c>
      <c r="Z668" s="586" t="str">
        <f t="shared" si="208"/>
        <v/>
      </c>
    </row>
    <row r="669" spans="1:26" hidden="1" x14ac:dyDescent="0.2">
      <c r="A669" s="671" t="s">
        <v>168</v>
      </c>
      <c r="B669" s="644" t="s">
        <v>168</v>
      </c>
      <c r="C669" s="645"/>
      <c r="D669" s="451" t="s">
        <v>248</v>
      </c>
      <c r="E669" s="423"/>
      <c r="F669" s="424">
        <v>180</v>
      </c>
      <c r="G669" s="425"/>
      <c r="H669" s="651">
        <f t="shared" ref="H669:H672" si="211">IF(F669&lt;=30,(1.07*F669+2.68)*G669,((1.07*30+2.68)+1.07*(F669-30))*G669)</f>
        <v>0</v>
      </c>
      <c r="I669" s="420">
        <v>0</v>
      </c>
      <c r="J669" s="420"/>
      <c r="K669" s="421">
        <f t="shared" si="205"/>
        <v>0</v>
      </c>
      <c r="L669" s="647" t="s">
        <v>614</v>
      </c>
      <c r="M669" s="703"/>
      <c r="N669" s="576">
        <f t="shared" si="209"/>
        <v>0</v>
      </c>
      <c r="O669" s="577">
        <f t="shared" si="196"/>
        <v>0</v>
      </c>
      <c r="P669" s="578">
        <f t="shared" si="197"/>
        <v>0</v>
      </c>
      <c r="Q669" s="765"/>
      <c r="R669" s="703"/>
      <c r="S669" s="670"/>
      <c r="T669" s="577">
        <f t="shared" si="194"/>
        <v>0</v>
      </c>
      <c r="U669" s="578">
        <f t="shared" si="195"/>
        <v>0</v>
      </c>
      <c r="V669" s="579"/>
      <c r="W669" s="637" t="str">
        <f>IF(U668&gt;0,"xx",IF(P668&gt;0,"xy",""))</f>
        <v/>
      </c>
      <c r="X669" s="586" t="str">
        <f t="shared" si="191"/>
        <v/>
      </c>
      <c r="Y669" s="586" t="str">
        <f t="shared" si="189"/>
        <v/>
      </c>
      <c r="Z669" s="586" t="str">
        <f t="shared" si="208"/>
        <v/>
      </c>
    </row>
    <row r="670" spans="1:26" hidden="1" x14ac:dyDescent="0.2">
      <c r="A670" s="671" t="s">
        <v>168</v>
      </c>
      <c r="B670" s="644" t="s">
        <v>168</v>
      </c>
      <c r="C670" s="645"/>
      <c r="D670" s="451" t="s">
        <v>249</v>
      </c>
      <c r="E670" s="423"/>
      <c r="F670" s="424">
        <v>500</v>
      </c>
      <c r="G670" s="425"/>
      <c r="H670" s="649">
        <f>IF(F670&lt;=30,(0.78*F670+7.82)*G670,((0.78*30+7.82)+0.78*(F670-30))*G670)</f>
        <v>0</v>
      </c>
      <c r="I670" s="420">
        <v>0</v>
      </c>
      <c r="J670" s="420">
        <f>IF(ISBLANK(I670),"",SUM(H670:I670))</f>
        <v>0</v>
      </c>
      <c r="K670" s="421">
        <f t="shared" si="205"/>
        <v>0</v>
      </c>
      <c r="L670" s="647" t="s">
        <v>614</v>
      </c>
      <c r="M670" s="703"/>
      <c r="N670" s="576">
        <f t="shared" si="209"/>
        <v>0</v>
      </c>
      <c r="O670" s="577">
        <f t="shared" si="196"/>
        <v>0</v>
      </c>
      <c r="P670" s="578">
        <f t="shared" si="197"/>
        <v>0</v>
      </c>
      <c r="Q670" s="765"/>
      <c r="R670" s="703"/>
      <c r="S670" s="670"/>
      <c r="T670" s="577">
        <f t="shared" si="194"/>
        <v>0</v>
      </c>
      <c r="U670" s="578">
        <f t="shared" si="195"/>
        <v>0</v>
      </c>
      <c r="V670" s="579"/>
      <c r="W670" s="637" t="str">
        <f>IF(U668&gt;0,"xx",IF(P668&gt;0,"xy",""))</f>
        <v/>
      </c>
      <c r="X670" s="586" t="str">
        <f t="shared" si="191"/>
        <v/>
      </c>
      <c r="Y670" s="586" t="str">
        <f t="shared" si="189"/>
        <v/>
      </c>
      <c r="Z670" s="586" t="str">
        <f t="shared" si="208"/>
        <v/>
      </c>
    </row>
    <row r="671" spans="1:26" hidden="1" x14ac:dyDescent="0.2">
      <c r="A671" s="671" t="s">
        <v>168</v>
      </c>
      <c r="B671" s="644" t="s">
        <v>168</v>
      </c>
      <c r="C671" s="645"/>
      <c r="D671" s="451" t="s">
        <v>262</v>
      </c>
      <c r="E671" s="423"/>
      <c r="F671" s="424">
        <v>0.2</v>
      </c>
      <c r="G671" s="425">
        <v>2.09</v>
      </c>
      <c r="H671" s="651">
        <f t="shared" si="211"/>
        <v>6.0484599999999995</v>
      </c>
      <c r="I671" s="420">
        <v>0</v>
      </c>
      <c r="J671" s="420"/>
      <c r="K671" s="421">
        <f t="shared" si="205"/>
        <v>0</v>
      </c>
      <c r="L671" s="647" t="s">
        <v>614</v>
      </c>
      <c r="M671" s="703"/>
      <c r="N671" s="576">
        <f t="shared" si="209"/>
        <v>0</v>
      </c>
      <c r="O671" s="577">
        <f t="shared" si="196"/>
        <v>0</v>
      </c>
      <c r="P671" s="578">
        <f t="shared" si="197"/>
        <v>0</v>
      </c>
      <c r="Q671" s="765"/>
      <c r="R671" s="703"/>
      <c r="S671" s="670"/>
      <c r="T671" s="577">
        <f t="shared" si="194"/>
        <v>0</v>
      </c>
      <c r="U671" s="578">
        <f t="shared" si="195"/>
        <v>0</v>
      </c>
      <c r="V671" s="579"/>
      <c r="W671" s="637" t="str">
        <f>IF(U668&gt;0,"xx",IF(P668&gt;0,"xy",""))</f>
        <v/>
      </c>
      <c r="X671" s="586" t="str">
        <f t="shared" si="191"/>
        <v/>
      </c>
      <c r="Y671" s="586" t="str">
        <f t="shared" si="189"/>
        <v/>
      </c>
      <c r="Z671" s="586" t="str">
        <f t="shared" si="208"/>
        <v/>
      </c>
    </row>
    <row r="672" spans="1:26" hidden="1" x14ac:dyDescent="0.2">
      <c r="A672" s="671" t="s">
        <v>168</v>
      </c>
      <c r="B672" s="644" t="s">
        <v>168</v>
      </c>
      <c r="C672" s="645"/>
      <c r="D672" s="451" t="s">
        <v>263</v>
      </c>
      <c r="E672" s="423"/>
      <c r="F672" s="424">
        <v>20</v>
      </c>
      <c r="G672" s="425">
        <f>SUM(G668:G671)</f>
        <v>2.1999999999999997</v>
      </c>
      <c r="H672" s="651">
        <f t="shared" si="211"/>
        <v>52.975999999999999</v>
      </c>
      <c r="I672" s="420">
        <v>0</v>
      </c>
      <c r="J672" s="420"/>
      <c r="K672" s="421">
        <f t="shared" si="205"/>
        <v>0</v>
      </c>
      <c r="L672" s="647" t="s">
        <v>614</v>
      </c>
      <c r="M672" s="703"/>
      <c r="N672" s="576">
        <f t="shared" si="209"/>
        <v>0</v>
      </c>
      <c r="O672" s="577">
        <f t="shared" si="196"/>
        <v>0</v>
      </c>
      <c r="P672" s="578">
        <f t="shared" si="197"/>
        <v>0</v>
      </c>
      <c r="Q672" s="765"/>
      <c r="R672" s="703"/>
      <c r="S672" s="670"/>
      <c r="T672" s="577">
        <f t="shared" si="194"/>
        <v>0</v>
      </c>
      <c r="U672" s="578">
        <f t="shared" si="195"/>
        <v>0</v>
      </c>
      <c r="V672" s="579"/>
      <c r="W672" s="637" t="str">
        <f>IF(U668&gt;0,"xx",IF(P668&gt;0,"xy",""))</f>
        <v/>
      </c>
      <c r="X672" s="586" t="str">
        <f t="shared" si="191"/>
        <v/>
      </c>
      <c r="Y672" s="586" t="str">
        <f t="shared" si="189"/>
        <v/>
      </c>
      <c r="Z672" s="586" t="str">
        <f t="shared" si="208"/>
        <v/>
      </c>
    </row>
    <row r="673" spans="1:26" ht="12" hidden="1" thickBot="1" x14ac:dyDescent="0.25">
      <c r="A673" s="671">
        <v>589320</v>
      </c>
      <c r="B673" s="704" t="s">
        <v>1843</v>
      </c>
      <c r="C673" s="689" t="s">
        <v>1746</v>
      </c>
      <c r="D673" s="477" t="s">
        <v>813</v>
      </c>
      <c r="E673" s="470"/>
      <c r="F673" s="478">
        <v>500</v>
      </c>
      <c r="G673" s="479">
        <v>1</v>
      </c>
      <c r="H673" s="663">
        <f>(0.84*F673+41.45)*G673</f>
        <v>461.45</v>
      </c>
      <c r="I673" s="472">
        <v>4680</v>
      </c>
      <c r="J673" s="472">
        <f>IF(ISBLANK(I673),"",I673*(1+$F$9)/(1+$F$10))+H673</f>
        <v>5002.4010983923918</v>
      </c>
      <c r="K673" s="690">
        <f t="shared" si="205"/>
        <v>5943.35</v>
      </c>
      <c r="L673" s="691" t="s">
        <v>20</v>
      </c>
      <c r="M673" s="692">
        <f>ROUND(M668*G668,2)</f>
        <v>0</v>
      </c>
      <c r="N673" s="588">
        <f t="shared" si="209"/>
        <v>0</v>
      </c>
      <c r="O673" s="693">
        <f t="shared" si="196"/>
        <v>0</v>
      </c>
      <c r="P673" s="694">
        <f t="shared" si="197"/>
        <v>0</v>
      </c>
      <c r="Q673" s="765"/>
      <c r="R673" s="719">
        <f>ROUND(R668*G668,2)</f>
        <v>0</v>
      </c>
      <c r="S673" s="720">
        <f>N673</f>
        <v>0</v>
      </c>
      <c r="T673" s="693">
        <f t="shared" si="194"/>
        <v>0</v>
      </c>
      <c r="U673" s="694">
        <f t="shared" si="195"/>
        <v>0</v>
      </c>
      <c r="V673" s="579"/>
      <c r="W673" s="637" t="str">
        <f>IF(U668&gt;0,"xx",IF(P668&gt;0,"xy",""))</f>
        <v/>
      </c>
      <c r="X673" s="586" t="str">
        <f t="shared" si="191"/>
        <v/>
      </c>
      <c r="Y673" s="586" t="str">
        <f t="shared" si="189"/>
        <v/>
      </c>
      <c r="Z673" s="586" t="str">
        <f t="shared" si="208"/>
        <v/>
      </c>
    </row>
    <row r="674" spans="1:26" hidden="1" x14ac:dyDescent="0.2">
      <c r="A674" s="567">
        <v>534300</v>
      </c>
      <c r="B674" s="701" t="s">
        <v>1844</v>
      </c>
      <c r="C674" s="702" t="s">
        <v>206</v>
      </c>
      <c r="D674" s="463" t="s">
        <v>1919</v>
      </c>
      <c r="E674" s="464"/>
      <c r="F674" s="465" t="s">
        <v>663</v>
      </c>
      <c r="G674" s="466">
        <v>0.14000000000000001</v>
      </c>
      <c r="H674" s="681">
        <f>SUM(H675:H678)</f>
        <v>113.57926</v>
      </c>
      <c r="I674" s="467">
        <v>136.76</v>
      </c>
      <c r="J674" s="467">
        <f>IF(ISBLANK(I674),"",SUM(H674:I674))</f>
        <v>250.33926</v>
      </c>
      <c r="K674" s="682">
        <f t="shared" si="205"/>
        <v>297.43</v>
      </c>
      <c r="L674" s="683" t="s">
        <v>16</v>
      </c>
      <c r="M674" s="685"/>
      <c r="N674" s="686">
        <f t="shared" si="209"/>
        <v>0</v>
      </c>
      <c r="O674" s="687">
        <f t="shared" si="196"/>
        <v>0</v>
      </c>
      <c r="P674" s="688">
        <f t="shared" si="197"/>
        <v>0</v>
      </c>
      <c r="Q674" s="765"/>
      <c r="R674" s="685">
        <f>M674</f>
        <v>0</v>
      </c>
      <c r="S674" s="686">
        <f>N674</f>
        <v>0</v>
      </c>
      <c r="T674" s="687">
        <f t="shared" si="194"/>
        <v>0</v>
      </c>
      <c r="U674" s="688">
        <f t="shared" si="195"/>
        <v>0</v>
      </c>
      <c r="V674" s="579"/>
      <c r="W674" s="566"/>
      <c r="X674" s="586" t="str">
        <f t="shared" si="191"/>
        <v/>
      </c>
      <c r="Y674" s="586" t="str">
        <f t="shared" si="189"/>
        <v/>
      </c>
      <c r="Z674" s="586" t="str">
        <f t="shared" si="208"/>
        <v/>
      </c>
    </row>
    <row r="675" spans="1:26" hidden="1" x14ac:dyDescent="0.2">
      <c r="A675" s="567" t="s">
        <v>168</v>
      </c>
      <c r="B675" s="644" t="s">
        <v>168</v>
      </c>
      <c r="C675" s="645"/>
      <c r="D675" s="451" t="s">
        <v>248</v>
      </c>
      <c r="E675" s="423"/>
      <c r="F675" s="424">
        <v>180</v>
      </c>
      <c r="G675" s="425">
        <v>0.27</v>
      </c>
      <c r="H675" s="651">
        <f t="shared" ref="H675:H678" si="212">IF(F675&lt;=30,(1.07*F675+2.68)*G675,((1.07*30+2.68)+1.07*(F675-30))*G675)</f>
        <v>52.725600000000007</v>
      </c>
      <c r="I675" s="420">
        <v>0</v>
      </c>
      <c r="J675" s="420"/>
      <c r="K675" s="421">
        <f t="shared" si="205"/>
        <v>0</v>
      </c>
      <c r="L675" s="647" t="s">
        <v>614</v>
      </c>
      <c r="M675" s="703"/>
      <c r="N675" s="576">
        <f t="shared" si="209"/>
        <v>0</v>
      </c>
      <c r="O675" s="577">
        <f t="shared" si="196"/>
        <v>0</v>
      </c>
      <c r="P675" s="578">
        <f t="shared" si="197"/>
        <v>0</v>
      </c>
      <c r="Q675" s="765"/>
      <c r="R675" s="703"/>
      <c r="S675" s="670"/>
      <c r="T675" s="577">
        <f t="shared" si="194"/>
        <v>0</v>
      </c>
      <c r="U675" s="578">
        <f t="shared" si="195"/>
        <v>0</v>
      </c>
      <c r="V675" s="579"/>
      <c r="W675" s="637" t="str">
        <f>IF(U674&gt;0,"xx",IF(P674&gt;0,"xy",""))</f>
        <v/>
      </c>
      <c r="X675" s="586" t="str">
        <f t="shared" si="191"/>
        <v/>
      </c>
      <c r="Y675" s="586" t="str">
        <f t="shared" si="189"/>
        <v/>
      </c>
      <c r="Z675" s="586" t="str">
        <f t="shared" si="208"/>
        <v/>
      </c>
    </row>
    <row r="676" spans="1:26" hidden="1" x14ac:dyDescent="0.2">
      <c r="A676" s="567" t="s">
        <v>168</v>
      </c>
      <c r="B676" s="644" t="s">
        <v>168</v>
      </c>
      <c r="C676" s="645"/>
      <c r="D676" s="451" t="s">
        <v>249</v>
      </c>
      <c r="E676" s="423"/>
      <c r="F676" s="424">
        <v>500</v>
      </c>
      <c r="G676" s="425"/>
      <c r="H676" s="649">
        <f>IF(F676&lt;=30,(0.78*F676+7.82)*G676,((0.78*30+7.82)+0.78*(F676-30))*G676)</f>
        <v>0</v>
      </c>
      <c r="I676" s="420">
        <v>0</v>
      </c>
      <c r="J676" s="420">
        <f>IF(ISBLANK(I676),"",SUM(H676:I676))</f>
        <v>0</v>
      </c>
      <c r="K676" s="421">
        <f t="shared" si="205"/>
        <v>0</v>
      </c>
      <c r="L676" s="647" t="s">
        <v>614</v>
      </c>
      <c r="M676" s="703"/>
      <c r="N676" s="576">
        <f t="shared" si="209"/>
        <v>0</v>
      </c>
      <c r="O676" s="577">
        <f t="shared" si="196"/>
        <v>0</v>
      </c>
      <c r="P676" s="578">
        <f t="shared" si="197"/>
        <v>0</v>
      </c>
      <c r="Q676" s="765"/>
      <c r="R676" s="703"/>
      <c r="S676" s="670"/>
      <c r="T676" s="577">
        <f t="shared" si="194"/>
        <v>0</v>
      </c>
      <c r="U676" s="578">
        <f t="shared" si="195"/>
        <v>0</v>
      </c>
      <c r="V676" s="579"/>
      <c r="W676" s="637" t="str">
        <f>IF(U674&gt;0,"xx",IF(P674&gt;0,"xy",""))</f>
        <v/>
      </c>
      <c r="X676" s="586" t="str">
        <f>IF(W676="X","x",IF(W676="xx","x",IF(W676="xy","x",IF(W676="y","x",IF(OR(P676&gt;0,U676&gt;0),"x","")))))</f>
        <v/>
      </c>
      <c r="Y676" s="586" t="str">
        <f>IF(W676="X","x",IF(W676="y","x",IF(W676="xx","x",IF(U676&gt;0,"x",""))))</f>
        <v/>
      </c>
      <c r="Z676" s="586" t="str">
        <f>IF(W676="X","x",IF(U676&gt;0,"x",""))</f>
        <v/>
      </c>
    </row>
    <row r="677" spans="1:26" hidden="1" x14ac:dyDescent="0.2">
      <c r="A677" s="567" t="s">
        <v>168</v>
      </c>
      <c r="B677" s="644" t="s">
        <v>168</v>
      </c>
      <c r="C677" s="645"/>
      <c r="D677" s="451" t="s">
        <v>262</v>
      </c>
      <c r="E677" s="423"/>
      <c r="F677" s="424">
        <v>0.2</v>
      </c>
      <c r="G677" s="425">
        <v>1.89</v>
      </c>
      <c r="H677" s="651">
        <f t="shared" si="212"/>
        <v>5.4696600000000002</v>
      </c>
      <c r="I677" s="420">
        <v>0</v>
      </c>
      <c r="J677" s="420"/>
      <c r="K677" s="421">
        <f t="shared" si="205"/>
        <v>0</v>
      </c>
      <c r="L677" s="647" t="s">
        <v>614</v>
      </c>
      <c r="M677" s="703"/>
      <c r="N677" s="576">
        <f t="shared" si="209"/>
        <v>0</v>
      </c>
      <c r="O677" s="577">
        <f t="shared" si="196"/>
        <v>0</v>
      </c>
      <c r="P677" s="578">
        <f t="shared" si="197"/>
        <v>0</v>
      </c>
      <c r="Q677" s="765"/>
      <c r="R677" s="703"/>
      <c r="S677" s="670"/>
      <c r="T677" s="577">
        <f t="shared" si="194"/>
        <v>0</v>
      </c>
      <c r="U677" s="578">
        <f t="shared" si="195"/>
        <v>0</v>
      </c>
      <c r="V677" s="579"/>
      <c r="W677" s="637" t="str">
        <f>IF(U674&gt;0,"xx",IF(P674&gt;0,"xy",""))</f>
        <v/>
      </c>
      <c r="X677" s="586" t="str">
        <f>IF(W677="X","x",IF(W677="xx","x",IF(W677="xy","x",IF(W677="y","x",IF(OR(P677&gt;0,U677&gt;0),"x","")))))</f>
        <v/>
      </c>
      <c r="Y677" s="586" t="str">
        <f>IF(W677="X","x",IF(W677="y","x",IF(W677="xx","x",IF(U677&gt;0,"x",""))))</f>
        <v/>
      </c>
      <c r="Z677" s="586" t="str">
        <f>IF(W677="X","x",IF(U677&gt;0,"x",""))</f>
        <v/>
      </c>
    </row>
    <row r="678" spans="1:26" hidden="1" x14ac:dyDescent="0.2">
      <c r="A678" s="567" t="s">
        <v>168</v>
      </c>
      <c r="B678" s="644" t="s">
        <v>168</v>
      </c>
      <c r="C678" s="645"/>
      <c r="D678" s="451" t="s">
        <v>263</v>
      </c>
      <c r="E678" s="423"/>
      <c r="F678" s="424">
        <v>20</v>
      </c>
      <c r="G678" s="425">
        <f>SUM(G674:G677)</f>
        <v>2.2999999999999998</v>
      </c>
      <c r="H678" s="651">
        <f t="shared" si="212"/>
        <v>55.384</v>
      </c>
      <c r="I678" s="420">
        <v>0</v>
      </c>
      <c r="J678" s="420"/>
      <c r="K678" s="421">
        <f t="shared" si="205"/>
        <v>0</v>
      </c>
      <c r="L678" s="647" t="s">
        <v>614</v>
      </c>
      <c r="M678" s="703"/>
      <c r="N678" s="576">
        <f t="shared" si="209"/>
        <v>0</v>
      </c>
      <c r="O678" s="577">
        <f>IF(ISBLANK(M678),0,ROUND(K678*M678,2))</f>
        <v>0</v>
      </c>
      <c r="P678" s="578">
        <f>IF(ISBLANK(N678),0,ROUND(M678*N678,2))</f>
        <v>0</v>
      </c>
      <c r="Q678" s="765"/>
      <c r="R678" s="703"/>
      <c r="S678" s="670"/>
      <c r="T678" s="577">
        <f t="shared" si="194"/>
        <v>0</v>
      </c>
      <c r="U678" s="578">
        <f t="shared" si="195"/>
        <v>0</v>
      </c>
      <c r="V678" s="579"/>
      <c r="W678" s="637" t="str">
        <f>IF(U674&gt;0,"xx",IF(P674&gt;0,"xy",""))</f>
        <v/>
      </c>
      <c r="X678" s="586" t="str">
        <f t="shared" si="191"/>
        <v/>
      </c>
      <c r="Y678" s="586" t="str">
        <f t="shared" si="189"/>
        <v/>
      </c>
      <c r="Z678" s="586" t="str">
        <f t="shared" si="208"/>
        <v/>
      </c>
    </row>
    <row r="679" spans="1:26" ht="12" hidden="1" thickBot="1" x14ac:dyDescent="0.25">
      <c r="A679" s="567">
        <v>589320</v>
      </c>
      <c r="B679" s="704" t="s">
        <v>1845</v>
      </c>
      <c r="C679" s="689" t="s">
        <v>1746</v>
      </c>
      <c r="D679" s="477" t="s">
        <v>813</v>
      </c>
      <c r="E679" s="470"/>
      <c r="F679" s="478">
        <v>500</v>
      </c>
      <c r="G679" s="479">
        <v>1</v>
      </c>
      <c r="H679" s="663">
        <f>(0.84*F679+41.45)*G679</f>
        <v>461.45</v>
      </c>
      <c r="I679" s="472">
        <v>4680</v>
      </c>
      <c r="J679" s="472">
        <f>IF(ISBLANK(I679),"",I679*(1+$F$9)/(1+$F$10))+H679</f>
        <v>5002.4010983923918</v>
      </c>
      <c r="K679" s="690">
        <f t="shared" si="205"/>
        <v>5943.35</v>
      </c>
      <c r="L679" s="691" t="s">
        <v>20</v>
      </c>
      <c r="M679" s="692">
        <f>ROUND(M674*G674,2)</f>
        <v>0</v>
      </c>
      <c r="N679" s="696">
        <f t="shared" si="209"/>
        <v>0</v>
      </c>
      <c r="O679" s="693">
        <f>IF(ISBLANK(M679),0,ROUND(K679*M679,2))</f>
        <v>0</v>
      </c>
      <c r="P679" s="694">
        <f>IF(ISBLANK(N679),0,ROUND(M679*N679,2))</f>
        <v>0</v>
      </c>
      <c r="Q679" s="765"/>
      <c r="R679" s="719">
        <f>ROUND(R674*G674,2)</f>
        <v>0</v>
      </c>
      <c r="S679" s="720">
        <f>N679</f>
        <v>0</v>
      </c>
      <c r="T679" s="693">
        <f t="shared" si="194"/>
        <v>0</v>
      </c>
      <c r="U679" s="694">
        <f t="shared" si="195"/>
        <v>0</v>
      </c>
      <c r="V679" s="579"/>
      <c r="W679" s="637" t="str">
        <f>IF(U674&gt;0,"xx",IF(P674&gt;0,"xy",""))</f>
        <v/>
      </c>
      <c r="X679" s="586" t="str">
        <f t="shared" si="191"/>
        <v/>
      </c>
      <c r="Y679" s="586" t="str">
        <f t="shared" si="189"/>
        <v/>
      </c>
      <c r="Z679" s="586" t="str">
        <f t="shared" si="208"/>
        <v/>
      </c>
    </row>
    <row r="680" spans="1:26" hidden="1" x14ac:dyDescent="0.2">
      <c r="A680" s="567">
        <v>534300</v>
      </c>
      <c r="B680" s="701" t="s">
        <v>1846</v>
      </c>
      <c r="C680" s="702" t="s">
        <v>206</v>
      </c>
      <c r="D680" s="463" t="s">
        <v>1920</v>
      </c>
      <c r="E680" s="464"/>
      <c r="F680" s="465" t="s">
        <v>663</v>
      </c>
      <c r="G680" s="466">
        <v>0.14000000000000001</v>
      </c>
      <c r="H680" s="681">
        <f>SUM(H681:H684)</f>
        <v>113.57926</v>
      </c>
      <c r="I680" s="467">
        <v>136.76</v>
      </c>
      <c r="J680" s="467">
        <f>IF(ISBLANK(I680),"",SUM(H680:I680))</f>
        <v>250.33926</v>
      </c>
      <c r="K680" s="682">
        <f t="shared" si="205"/>
        <v>297.43</v>
      </c>
      <c r="L680" s="683" t="s">
        <v>16</v>
      </c>
      <c r="M680" s="685"/>
      <c r="N680" s="686">
        <f t="shared" si="209"/>
        <v>0</v>
      </c>
      <c r="O680" s="687">
        <f t="shared" si="196"/>
        <v>0</v>
      </c>
      <c r="P680" s="688">
        <f t="shared" si="197"/>
        <v>0</v>
      </c>
      <c r="Q680" s="765"/>
      <c r="R680" s="685">
        <f>M680</f>
        <v>0</v>
      </c>
      <c r="S680" s="686">
        <f>N680</f>
        <v>0</v>
      </c>
      <c r="T680" s="687">
        <f t="shared" si="194"/>
        <v>0</v>
      </c>
      <c r="U680" s="688">
        <f t="shared" si="195"/>
        <v>0</v>
      </c>
      <c r="V680" s="579"/>
      <c r="W680" s="566"/>
      <c r="X680" s="586" t="str">
        <f t="shared" si="191"/>
        <v/>
      </c>
      <c r="Y680" s="586" t="str">
        <f t="shared" si="189"/>
        <v/>
      </c>
      <c r="Z680" s="586" t="str">
        <f t="shared" si="208"/>
        <v/>
      </c>
    </row>
    <row r="681" spans="1:26" hidden="1" x14ac:dyDescent="0.2">
      <c r="A681" s="567" t="s">
        <v>168</v>
      </c>
      <c r="B681" s="644" t="s">
        <v>168</v>
      </c>
      <c r="C681" s="645"/>
      <c r="D681" s="451" t="s">
        <v>248</v>
      </c>
      <c r="E681" s="423"/>
      <c r="F681" s="424">
        <v>180</v>
      </c>
      <c r="G681" s="425">
        <v>0.27</v>
      </c>
      <c r="H681" s="651">
        <f t="shared" ref="H681:H684" si="213">IF(F681&lt;=30,(1.07*F681+2.68)*G681,((1.07*30+2.68)+1.07*(F681-30))*G681)</f>
        <v>52.725600000000007</v>
      </c>
      <c r="I681" s="420">
        <v>0</v>
      </c>
      <c r="J681" s="420"/>
      <c r="K681" s="421">
        <f t="shared" si="205"/>
        <v>0</v>
      </c>
      <c r="L681" s="647" t="s">
        <v>614</v>
      </c>
      <c r="M681" s="801"/>
      <c r="N681" s="576">
        <f t="shared" si="209"/>
        <v>0</v>
      </c>
      <c r="O681" s="642">
        <f t="shared" si="196"/>
        <v>0</v>
      </c>
      <c r="P681" s="659">
        <f t="shared" si="197"/>
        <v>0</v>
      </c>
      <c r="Q681" s="765"/>
      <c r="R681" s="703"/>
      <c r="S681" s="670"/>
      <c r="T681" s="577">
        <f t="shared" si="194"/>
        <v>0</v>
      </c>
      <c r="U681" s="578">
        <f t="shared" si="195"/>
        <v>0</v>
      </c>
      <c r="V681" s="579"/>
      <c r="W681" s="637" t="str">
        <f>IF(U680&gt;0,"xx",IF(P680&gt;0,"xy",""))</f>
        <v/>
      </c>
      <c r="X681" s="586" t="str">
        <f t="shared" si="191"/>
        <v/>
      </c>
      <c r="Y681" s="586" t="str">
        <f t="shared" si="189"/>
        <v/>
      </c>
      <c r="Z681" s="586" t="str">
        <f t="shared" si="208"/>
        <v/>
      </c>
    </row>
    <row r="682" spans="1:26" hidden="1" x14ac:dyDescent="0.2">
      <c r="A682" s="567" t="s">
        <v>168</v>
      </c>
      <c r="B682" s="644" t="s">
        <v>168</v>
      </c>
      <c r="C682" s="645"/>
      <c r="D682" s="451" t="s">
        <v>249</v>
      </c>
      <c r="E682" s="423"/>
      <c r="F682" s="424">
        <v>500</v>
      </c>
      <c r="G682" s="425"/>
      <c r="H682" s="649">
        <f>IF(F682&lt;=30,(0.78*F682+7.82)*G682,((0.78*30+7.82)+0.78*(F682-30))*G682)</f>
        <v>0</v>
      </c>
      <c r="I682" s="420">
        <v>0</v>
      </c>
      <c r="J682" s="420">
        <f>IF(ISBLANK(I682),"",SUM(H682:I682))</f>
        <v>0</v>
      </c>
      <c r="K682" s="421">
        <f t="shared" si="205"/>
        <v>0</v>
      </c>
      <c r="L682" s="647" t="s">
        <v>614</v>
      </c>
      <c r="M682" s="703"/>
      <c r="N682" s="576">
        <f t="shared" si="209"/>
        <v>0</v>
      </c>
      <c r="O682" s="577">
        <f t="shared" si="196"/>
        <v>0</v>
      </c>
      <c r="P682" s="578">
        <f t="shared" si="197"/>
        <v>0</v>
      </c>
      <c r="Q682" s="765"/>
      <c r="R682" s="703"/>
      <c r="S682" s="670"/>
      <c r="T682" s="577">
        <f t="shared" si="194"/>
        <v>0</v>
      </c>
      <c r="U682" s="578">
        <f t="shared" si="195"/>
        <v>0</v>
      </c>
      <c r="V682" s="579"/>
      <c r="W682" s="637" t="str">
        <f>IF(U680&gt;0,"xx",IF(P680&gt;0,"xy",""))</f>
        <v/>
      </c>
      <c r="X682" s="586" t="str">
        <f>IF(W682="X","x",IF(W682="xx","x",IF(W682="xy","x",IF(W682="y","x",IF(OR(P682&gt;0,U682&gt;0),"x","")))))</f>
        <v/>
      </c>
      <c r="Y682" s="586" t="str">
        <f>IF(W682="X","x",IF(W682="y","x",IF(W682="xx","x",IF(U682&gt;0,"x",""))))</f>
        <v/>
      </c>
      <c r="Z682" s="586" t="str">
        <f>IF(W682="X","x",IF(U682&gt;0,"x",""))</f>
        <v/>
      </c>
    </row>
    <row r="683" spans="1:26" hidden="1" x14ac:dyDescent="0.2">
      <c r="A683" s="567" t="s">
        <v>168</v>
      </c>
      <c r="B683" s="644" t="s">
        <v>168</v>
      </c>
      <c r="C683" s="645"/>
      <c r="D683" s="451" t="s">
        <v>262</v>
      </c>
      <c r="E683" s="423"/>
      <c r="F683" s="424">
        <v>0.2</v>
      </c>
      <c r="G683" s="425">
        <v>1.89</v>
      </c>
      <c r="H683" s="651">
        <f t="shared" si="213"/>
        <v>5.4696600000000002</v>
      </c>
      <c r="I683" s="420">
        <v>0</v>
      </c>
      <c r="J683" s="420"/>
      <c r="K683" s="421">
        <f t="shared" si="205"/>
        <v>0</v>
      </c>
      <c r="L683" s="647" t="s">
        <v>614</v>
      </c>
      <c r="M683" s="703"/>
      <c r="N683" s="576">
        <f t="shared" si="209"/>
        <v>0</v>
      </c>
      <c r="O683" s="577">
        <f t="shared" si="196"/>
        <v>0</v>
      </c>
      <c r="P683" s="578">
        <f t="shared" si="197"/>
        <v>0</v>
      </c>
      <c r="Q683" s="765"/>
      <c r="R683" s="703"/>
      <c r="S683" s="670"/>
      <c r="T683" s="577">
        <f t="shared" si="194"/>
        <v>0</v>
      </c>
      <c r="U683" s="578">
        <f t="shared" si="195"/>
        <v>0</v>
      </c>
      <c r="V683" s="579"/>
      <c r="W683" s="637" t="str">
        <f>IF(U680&gt;0,"xx",IF(P680&gt;0,"xy",""))</f>
        <v/>
      </c>
      <c r="X683" s="586" t="str">
        <f>IF(W683="X","x",IF(W683="xx","x",IF(W683="xy","x",IF(W683="y","x",IF(OR(P683&gt;0,U683&gt;0),"x","")))))</f>
        <v/>
      </c>
      <c r="Y683" s="586" t="str">
        <f>IF(W683="X","x",IF(W683="y","x",IF(W683="xx","x",IF(U683&gt;0,"x",""))))</f>
        <v/>
      </c>
      <c r="Z683" s="586" t="str">
        <f>IF(W683="X","x",IF(U683&gt;0,"x",""))</f>
        <v/>
      </c>
    </row>
    <row r="684" spans="1:26" hidden="1" x14ac:dyDescent="0.2">
      <c r="A684" s="567" t="s">
        <v>168</v>
      </c>
      <c r="B684" s="644" t="s">
        <v>168</v>
      </c>
      <c r="C684" s="645"/>
      <c r="D684" s="451" t="s">
        <v>263</v>
      </c>
      <c r="E684" s="423"/>
      <c r="F684" s="424">
        <v>20</v>
      </c>
      <c r="G684" s="425">
        <f>SUM(G680:G683)</f>
        <v>2.2999999999999998</v>
      </c>
      <c r="H684" s="651">
        <f t="shared" si="213"/>
        <v>55.384</v>
      </c>
      <c r="I684" s="420">
        <v>0</v>
      </c>
      <c r="J684" s="420"/>
      <c r="K684" s="421">
        <f t="shared" si="205"/>
        <v>0</v>
      </c>
      <c r="L684" s="647" t="s">
        <v>614</v>
      </c>
      <c r="M684" s="703"/>
      <c r="N684" s="576">
        <f t="shared" si="209"/>
        <v>0</v>
      </c>
      <c r="O684" s="577">
        <f t="shared" si="196"/>
        <v>0</v>
      </c>
      <c r="P684" s="578">
        <f t="shared" si="197"/>
        <v>0</v>
      </c>
      <c r="Q684" s="765"/>
      <c r="R684" s="703"/>
      <c r="S684" s="670"/>
      <c r="T684" s="577">
        <f t="shared" si="194"/>
        <v>0</v>
      </c>
      <c r="U684" s="578">
        <f t="shared" si="195"/>
        <v>0</v>
      </c>
      <c r="V684" s="579"/>
      <c r="W684" s="637" t="str">
        <f>IF(U680&gt;0,"xx",IF(P680&gt;0,"xy",""))</f>
        <v/>
      </c>
      <c r="X684" s="586" t="str">
        <f t="shared" si="191"/>
        <v/>
      </c>
      <c r="Y684" s="586" t="str">
        <f t="shared" si="189"/>
        <v/>
      </c>
      <c r="Z684" s="586" t="str">
        <f t="shared" si="208"/>
        <v/>
      </c>
    </row>
    <row r="685" spans="1:26" ht="12" hidden="1" thickBot="1" x14ac:dyDescent="0.25">
      <c r="A685" s="567">
        <v>589320</v>
      </c>
      <c r="B685" s="704" t="s">
        <v>1847</v>
      </c>
      <c r="C685" s="689" t="s">
        <v>1746</v>
      </c>
      <c r="D685" s="477" t="s">
        <v>813</v>
      </c>
      <c r="E685" s="470"/>
      <c r="F685" s="478">
        <v>500</v>
      </c>
      <c r="G685" s="479">
        <v>1</v>
      </c>
      <c r="H685" s="663">
        <f>(0.84*F685+41.45)*G685</f>
        <v>461.45</v>
      </c>
      <c r="I685" s="472">
        <v>4680</v>
      </c>
      <c r="J685" s="472">
        <f>IF(ISBLANK(I685),"",I685*(1+$F$9)/(1+$F$10))+H685</f>
        <v>5002.4010983923918</v>
      </c>
      <c r="K685" s="690">
        <f t="shared" si="205"/>
        <v>5943.35</v>
      </c>
      <c r="L685" s="691" t="s">
        <v>20</v>
      </c>
      <c r="M685" s="692">
        <f>ROUND(M680*G680,2)</f>
        <v>0</v>
      </c>
      <c r="N685" s="588">
        <f t="shared" si="209"/>
        <v>0</v>
      </c>
      <c r="O685" s="693">
        <f t="shared" si="196"/>
        <v>0</v>
      </c>
      <c r="P685" s="694">
        <f t="shared" si="197"/>
        <v>0</v>
      </c>
      <c r="Q685" s="765"/>
      <c r="R685" s="719">
        <f>ROUND(R680*G680,2)</f>
        <v>0</v>
      </c>
      <c r="S685" s="720">
        <f>N685</f>
        <v>0</v>
      </c>
      <c r="T685" s="693">
        <f t="shared" si="194"/>
        <v>0</v>
      </c>
      <c r="U685" s="694">
        <f t="shared" si="195"/>
        <v>0</v>
      </c>
      <c r="V685" s="579"/>
      <c r="W685" s="637" t="str">
        <f>IF(U680&gt;0,"xx",IF(P680&gt;0,"xy",""))</f>
        <v/>
      </c>
      <c r="X685" s="586" t="str">
        <f t="shared" si="191"/>
        <v/>
      </c>
      <c r="Y685" s="586" t="str">
        <f t="shared" si="189"/>
        <v/>
      </c>
      <c r="Z685" s="586" t="str">
        <f t="shared" si="208"/>
        <v/>
      </c>
    </row>
    <row r="686" spans="1:26" hidden="1" x14ac:dyDescent="0.2">
      <c r="A686" s="671">
        <v>534300</v>
      </c>
      <c r="B686" s="701" t="s">
        <v>1848</v>
      </c>
      <c r="C686" s="702" t="s">
        <v>206</v>
      </c>
      <c r="D686" s="463" t="s">
        <v>1915</v>
      </c>
      <c r="E686" s="464"/>
      <c r="F686" s="465" t="s">
        <v>663</v>
      </c>
      <c r="G686" s="466">
        <v>0.18240000000000001</v>
      </c>
      <c r="H686" s="681">
        <f>SUM(H687:H690)</f>
        <v>207.67925819999999</v>
      </c>
      <c r="I686" s="467">
        <v>136.76</v>
      </c>
      <c r="J686" s="467">
        <f>IF(ISBLANK(I686),"",SUM(H686:I686))</f>
        <v>344.43925819999998</v>
      </c>
      <c r="K686" s="682">
        <f t="shared" si="205"/>
        <v>409.23</v>
      </c>
      <c r="L686" s="683" t="s">
        <v>16</v>
      </c>
      <c r="M686" s="685"/>
      <c r="N686" s="686">
        <f t="shared" si="209"/>
        <v>0</v>
      </c>
      <c r="O686" s="687">
        <f t="shared" si="196"/>
        <v>0</v>
      </c>
      <c r="P686" s="688">
        <f t="shared" si="197"/>
        <v>0</v>
      </c>
      <c r="Q686" s="765"/>
      <c r="R686" s="685">
        <f>M686</f>
        <v>0</v>
      </c>
      <c r="S686" s="686">
        <f>N686</f>
        <v>0</v>
      </c>
      <c r="T686" s="687">
        <f t="shared" si="194"/>
        <v>0</v>
      </c>
      <c r="U686" s="688">
        <f t="shared" si="195"/>
        <v>0</v>
      </c>
      <c r="V686" s="579"/>
      <c r="W686" s="566"/>
      <c r="X686" s="586" t="str">
        <f t="shared" si="191"/>
        <v/>
      </c>
      <c r="Y686" s="586" t="str">
        <f t="shared" si="189"/>
        <v/>
      </c>
      <c r="Z686" s="586" t="str">
        <f t="shared" si="208"/>
        <v/>
      </c>
    </row>
    <row r="687" spans="1:26" hidden="1" x14ac:dyDescent="0.2">
      <c r="A687" s="671" t="s">
        <v>168</v>
      </c>
      <c r="B687" s="644" t="s">
        <v>168</v>
      </c>
      <c r="C687" s="645"/>
      <c r="D687" s="451" t="s">
        <v>248</v>
      </c>
      <c r="E687" s="423"/>
      <c r="F687" s="424">
        <v>180</v>
      </c>
      <c r="G687" s="425">
        <v>0.56969999999999998</v>
      </c>
      <c r="H687" s="651">
        <f t="shared" ref="H687:H690" si="214">IF(F687&lt;=30,(1.07*F687+2.68)*G687,((1.07*30+2.68)+1.07*(F687-30))*G687)</f>
        <v>111.25101599999999</v>
      </c>
      <c r="I687" s="420">
        <v>0</v>
      </c>
      <c r="J687" s="420"/>
      <c r="K687" s="421">
        <f t="shared" si="205"/>
        <v>0</v>
      </c>
      <c r="L687" s="647" t="s">
        <v>614</v>
      </c>
      <c r="M687" s="703"/>
      <c r="N687" s="576">
        <f t="shared" si="209"/>
        <v>0</v>
      </c>
      <c r="O687" s="577">
        <f t="shared" si="196"/>
        <v>0</v>
      </c>
      <c r="P687" s="578">
        <f t="shared" si="197"/>
        <v>0</v>
      </c>
      <c r="Q687" s="765"/>
      <c r="R687" s="703"/>
      <c r="S687" s="670"/>
      <c r="T687" s="577">
        <f t="shared" si="194"/>
        <v>0</v>
      </c>
      <c r="U687" s="578">
        <f t="shared" si="195"/>
        <v>0</v>
      </c>
      <c r="V687" s="579"/>
      <c r="W687" s="637" t="str">
        <f>IF(U686&gt;0,"xx",IF(P686&gt;0,"xy",""))</f>
        <v/>
      </c>
      <c r="X687" s="586" t="str">
        <f t="shared" si="191"/>
        <v/>
      </c>
      <c r="Y687" s="586" t="str">
        <f t="shared" si="189"/>
        <v/>
      </c>
      <c r="Z687" s="586" t="str">
        <f t="shared" si="208"/>
        <v/>
      </c>
    </row>
    <row r="688" spans="1:26" hidden="1" x14ac:dyDescent="0.2">
      <c r="A688" s="671" t="s">
        <v>168</v>
      </c>
      <c r="B688" s="644" t="s">
        <v>168</v>
      </c>
      <c r="C688" s="645"/>
      <c r="D688" s="451" t="s">
        <v>249</v>
      </c>
      <c r="E688" s="423"/>
      <c r="F688" s="424">
        <v>500</v>
      </c>
      <c r="G688" s="425">
        <v>8.7599999999999997E-2</v>
      </c>
      <c r="H688" s="649">
        <f>IF(F688&lt;=30,(0.78*F688+7.82)*G688,((0.78*30+7.82)+0.78*(F688-30))*G688)</f>
        <v>34.849032000000001</v>
      </c>
      <c r="I688" s="420">
        <v>0</v>
      </c>
      <c r="J688" s="420"/>
      <c r="K688" s="421">
        <f t="shared" si="205"/>
        <v>0</v>
      </c>
      <c r="L688" s="647" t="s">
        <v>614</v>
      </c>
      <c r="M688" s="703"/>
      <c r="N688" s="576">
        <f t="shared" si="209"/>
        <v>0</v>
      </c>
      <c r="O688" s="577">
        <f t="shared" si="196"/>
        <v>0</v>
      </c>
      <c r="P688" s="578">
        <f t="shared" si="197"/>
        <v>0</v>
      </c>
      <c r="Q688" s="765"/>
      <c r="R688" s="703"/>
      <c r="S688" s="670"/>
      <c r="T688" s="577">
        <f t="shared" si="194"/>
        <v>0</v>
      </c>
      <c r="U688" s="578">
        <f t="shared" si="195"/>
        <v>0</v>
      </c>
      <c r="V688" s="579"/>
      <c r="W688" s="637" t="str">
        <f>IF(U686&gt;0,"xx",IF(P686&gt;0,"xy",""))</f>
        <v/>
      </c>
      <c r="X688" s="586" t="str">
        <f t="shared" si="191"/>
        <v/>
      </c>
      <c r="Y688" s="586" t="str">
        <f t="shared" si="189"/>
        <v/>
      </c>
      <c r="Z688" s="586" t="str">
        <f t="shared" si="208"/>
        <v/>
      </c>
    </row>
    <row r="689" spans="1:26" hidden="1" x14ac:dyDescent="0.2">
      <c r="A689" s="671" t="s">
        <v>168</v>
      </c>
      <c r="B689" s="644" t="s">
        <v>168</v>
      </c>
      <c r="C689" s="645"/>
      <c r="D689" s="451" t="s">
        <v>262</v>
      </c>
      <c r="E689" s="423"/>
      <c r="F689" s="424">
        <v>0.2</v>
      </c>
      <c r="G689" s="425">
        <v>1.5333000000000001</v>
      </c>
      <c r="H689" s="651">
        <f t="shared" si="214"/>
        <v>4.4373702000000002</v>
      </c>
      <c r="I689" s="420">
        <v>0</v>
      </c>
      <c r="J689" s="420"/>
      <c r="K689" s="421">
        <f t="shared" si="205"/>
        <v>0</v>
      </c>
      <c r="L689" s="647" t="s">
        <v>614</v>
      </c>
      <c r="M689" s="703"/>
      <c r="N689" s="576">
        <f t="shared" si="209"/>
        <v>0</v>
      </c>
      <c r="O689" s="577">
        <f t="shared" si="196"/>
        <v>0</v>
      </c>
      <c r="P689" s="578">
        <f t="shared" si="197"/>
        <v>0</v>
      </c>
      <c r="Q689" s="765"/>
      <c r="R689" s="703"/>
      <c r="S689" s="670"/>
      <c r="T689" s="577">
        <f t="shared" si="194"/>
        <v>0</v>
      </c>
      <c r="U689" s="578">
        <f t="shared" si="195"/>
        <v>0</v>
      </c>
      <c r="V689" s="579"/>
      <c r="W689" s="637" t="str">
        <f>IF(U686&gt;0,"xx",IF(P686&gt;0,"xy",""))</f>
        <v/>
      </c>
      <c r="X689" s="586" t="str">
        <f t="shared" si="191"/>
        <v/>
      </c>
      <c r="Y689" s="586" t="str">
        <f t="shared" si="189"/>
        <v/>
      </c>
      <c r="Z689" s="586" t="str">
        <f t="shared" si="208"/>
        <v/>
      </c>
    </row>
    <row r="690" spans="1:26" hidden="1" x14ac:dyDescent="0.2">
      <c r="A690" s="671" t="s">
        <v>168</v>
      </c>
      <c r="B690" s="644" t="s">
        <v>168</v>
      </c>
      <c r="C690" s="645"/>
      <c r="D690" s="451" t="s">
        <v>263</v>
      </c>
      <c r="E690" s="423"/>
      <c r="F690" s="424">
        <v>20</v>
      </c>
      <c r="G690" s="425">
        <f>SUM(G686:G689)</f>
        <v>2.3730000000000002</v>
      </c>
      <c r="H690" s="651">
        <f t="shared" si="214"/>
        <v>57.141840000000009</v>
      </c>
      <c r="I690" s="420">
        <v>0</v>
      </c>
      <c r="J690" s="420"/>
      <c r="K690" s="421">
        <f t="shared" si="205"/>
        <v>0</v>
      </c>
      <c r="L690" s="647" t="s">
        <v>614</v>
      </c>
      <c r="M690" s="703"/>
      <c r="N690" s="576">
        <f t="shared" si="209"/>
        <v>0</v>
      </c>
      <c r="O690" s="577">
        <f t="shared" si="196"/>
        <v>0</v>
      </c>
      <c r="P690" s="578">
        <f t="shared" si="197"/>
        <v>0</v>
      </c>
      <c r="Q690" s="765"/>
      <c r="R690" s="703"/>
      <c r="S690" s="670"/>
      <c r="T690" s="577">
        <f t="shared" si="194"/>
        <v>0</v>
      </c>
      <c r="U690" s="578">
        <f t="shared" si="195"/>
        <v>0</v>
      </c>
      <c r="V690" s="579"/>
      <c r="W690" s="637" t="str">
        <f>IF(U686&gt;0,"xx",IF(P686&gt;0,"xy",""))</f>
        <v/>
      </c>
      <c r="X690" s="586" t="str">
        <f t="shared" si="191"/>
        <v/>
      </c>
      <c r="Y690" s="586" t="str">
        <f t="shared" si="189"/>
        <v/>
      </c>
      <c r="Z690" s="586" t="str">
        <f t="shared" si="208"/>
        <v/>
      </c>
    </row>
    <row r="691" spans="1:26" ht="12" hidden="1" thickBot="1" x14ac:dyDescent="0.25">
      <c r="A691" s="671">
        <v>589320</v>
      </c>
      <c r="B691" s="704" t="s">
        <v>1849</v>
      </c>
      <c r="C691" s="689" t="s">
        <v>1746</v>
      </c>
      <c r="D691" s="477" t="s">
        <v>1575</v>
      </c>
      <c r="E691" s="470"/>
      <c r="F691" s="478">
        <v>500</v>
      </c>
      <c r="G691" s="479">
        <v>1</v>
      </c>
      <c r="H691" s="663">
        <f>(0.84*F691+41.45)*G691</f>
        <v>461.45</v>
      </c>
      <c r="I691" s="472">
        <v>4680</v>
      </c>
      <c r="J691" s="472">
        <f>IF(ISBLANK(I691),"",I691*(1+$F$9)/(1+$F$10))+H691</f>
        <v>5002.4010983923918</v>
      </c>
      <c r="K691" s="690">
        <f t="shared" si="205"/>
        <v>5943.35</v>
      </c>
      <c r="L691" s="691" t="s">
        <v>20</v>
      </c>
      <c r="M691" s="692">
        <f>ROUND(M686*G686,2)</f>
        <v>0</v>
      </c>
      <c r="N691" s="696">
        <f t="shared" si="209"/>
        <v>0</v>
      </c>
      <c r="O691" s="693">
        <f t="shared" si="196"/>
        <v>0</v>
      </c>
      <c r="P691" s="694">
        <f t="shared" si="197"/>
        <v>0</v>
      </c>
      <c r="Q691" s="765"/>
      <c r="R691" s="719">
        <f>ROUND(R686*G686,2)</f>
        <v>0</v>
      </c>
      <c r="S691" s="720">
        <f>N691</f>
        <v>0</v>
      </c>
      <c r="T691" s="693">
        <f t="shared" si="194"/>
        <v>0</v>
      </c>
      <c r="U691" s="694">
        <f t="shared" si="195"/>
        <v>0</v>
      </c>
      <c r="V691" s="579"/>
      <c r="W691" s="637" t="str">
        <f>IF(U686&gt;0,"xx",IF(P686&gt;0,"xy",""))</f>
        <v/>
      </c>
      <c r="X691" s="586" t="str">
        <f t="shared" si="191"/>
        <v/>
      </c>
      <c r="Y691" s="586" t="str">
        <f t="shared" si="189"/>
        <v/>
      </c>
      <c r="Z691" s="586" t="str">
        <f t="shared" si="208"/>
        <v/>
      </c>
    </row>
    <row r="692" spans="1:26" hidden="1" x14ac:dyDescent="0.2">
      <c r="A692" s="671">
        <v>570300</v>
      </c>
      <c r="B692" s="701" t="s">
        <v>1850</v>
      </c>
      <c r="C692" s="702" t="s">
        <v>206</v>
      </c>
      <c r="D692" s="485" t="s">
        <v>814</v>
      </c>
      <c r="E692" s="464"/>
      <c r="F692" s="465" t="s">
        <v>662</v>
      </c>
      <c r="G692" s="466">
        <v>0.04</v>
      </c>
      <c r="H692" s="681">
        <f>SUM(H693:H696)</f>
        <v>36.552130000000005</v>
      </c>
      <c r="I692" s="467">
        <v>190.4</v>
      </c>
      <c r="J692" s="467">
        <f>IF(ISBLANK(I692),"",SUM(H692:I692))</f>
        <v>226.95213000000001</v>
      </c>
      <c r="K692" s="682">
        <f t="shared" si="205"/>
        <v>269.64</v>
      </c>
      <c r="L692" s="683" t="s">
        <v>20</v>
      </c>
      <c r="M692" s="685"/>
      <c r="N692" s="576">
        <f t="shared" si="209"/>
        <v>0</v>
      </c>
      <c r="O692" s="687">
        <f t="shared" si="196"/>
        <v>0</v>
      </c>
      <c r="P692" s="688">
        <f t="shared" si="197"/>
        <v>0</v>
      </c>
      <c r="Q692" s="765"/>
      <c r="R692" s="685">
        <f t="shared" ref="R692:R755" si="215">M692</f>
        <v>0</v>
      </c>
      <c r="S692" s="686">
        <f>N692</f>
        <v>0</v>
      </c>
      <c r="T692" s="687">
        <f t="shared" ref="T692:T755" si="216">IF(ISBLANK(R692),0,ROUND(K692*R692,2))</f>
        <v>0</v>
      </c>
      <c r="U692" s="688">
        <f t="shared" ref="U692:U755" si="217">IF(ISBLANK(R692),0,ROUND(R692*S692,2))</f>
        <v>0</v>
      </c>
      <c r="V692" s="579"/>
      <c r="W692" s="566"/>
      <c r="X692" s="586" t="str">
        <f t="shared" si="191"/>
        <v/>
      </c>
      <c r="Y692" s="586" t="str">
        <f t="shared" si="189"/>
        <v/>
      </c>
      <c r="Z692" s="586" t="str">
        <f t="shared" si="208"/>
        <v/>
      </c>
    </row>
    <row r="693" spans="1:26" hidden="1" x14ac:dyDescent="0.2">
      <c r="A693" s="671" t="s">
        <v>168</v>
      </c>
      <c r="B693" s="644" t="s">
        <v>168</v>
      </c>
      <c r="C693" s="645"/>
      <c r="D693" s="451" t="s">
        <v>248</v>
      </c>
      <c r="E693" s="423"/>
      <c r="F693" s="424">
        <v>180</v>
      </c>
      <c r="G693" s="425">
        <v>0</v>
      </c>
      <c r="H693" s="663">
        <f t="shared" ref="H693:H695" si="218">IF(F693&lt;=30,(1.07*F693+2.68)*G693,((1.07*30+2.68)+1.07*(F693-30))*G693)</f>
        <v>0</v>
      </c>
      <c r="I693" s="420">
        <v>0</v>
      </c>
      <c r="J693" s="420">
        <f>IF(ISBLANK(I693),"",SUM(H693:I693))</f>
        <v>0</v>
      </c>
      <c r="K693" s="421">
        <f t="shared" si="205"/>
        <v>0</v>
      </c>
      <c r="L693" s="647" t="s">
        <v>614</v>
      </c>
      <c r="M693" s="703"/>
      <c r="N693" s="576">
        <f t="shared" si="209"/>
        <v>0</v>
      </c>
      <c r="O693" s="577">
        <f t="shared" ref="O693:O756" si="219">IF(ISBLANK(M693),0,ROUND(K693*M693,2))</f>
        <v>0</v>
      </c>
      <c r="P693" s="578">
        <f t="shared" ref="P693:P756" si="220">IF(ISBLANK(N693),0,ROUND(M693*N693,2))</f>
        <v>0</v>
      </c>
      <c r="Q693" s="765"/>
      <c r="R693" s="703"/>
      <c r="S693" s="670"/>
      <c r="T693" s="577">
        <f t="shared" si="216"/>
        <v>0</v>
      </c>
      <c r="U693" s="578">
        <f t="shared" si="217"/>
        <v>0</v>
      </c>
      <c r="V693" s="579"/>
      <c r="W693" s="637" t="str">
        <f>IF(U692&gt;0,"xx",IF(P692&gt;0,"xy",""))</f>
        <v/>
      </c>
      <c r="X693" s="586" t="str">
        <f t="shared" si="191"/>
        <v/>
      </c>
      <c r="Y693" s="586" t="str">
        <f t="shared" si="189"/>
        <v/>
      </c>
      <c r="Z693" s="586" t="str">
        <f t="shared" si="208"/>
        <v/>
      </c>
    </row>
    <row r="694" spans="1:26" hidden="1" x14ac:dyDescent="0.2">
      <c r="A694" s="671" t="s">
        <v>168</v>
      </c>
      <c r="B694" s="644" t="s">
        <v>168</v>
      </c>
      <c r="C694" s="645"/>
      <c r="D694" s="451" t="s">
        <v>249</v>
      </c>
      <c r="E694" s="423"/>
      <c r="F694" s="424">
        <v>500</v>
      </c>
      <c r="G694" s="425">
        <v>1.4999999999999999E-2</v>
      </c>
      <c r="H694" s="649">
        <f>IF(F694&lt;=30,(0.78*F694+7.82)*G694,((0.78*30+7.82)+0.78*(F694-30))*G694)</f>
        <v>5.9673000000000007</v>
      </c>
      <c r="I694" s="420">
        <v>0</v>
      </c>
      <c r="J694" s="420"/>
      <c r="K694" s="421">
        <f t="shared" si="205"/>
        <v>0</v>
      </c>
      <c r="L694" s="647" t="s">
        <v>614</v>
      </c>
      <c r="M694" s="703"/>
      <c r="N694" s="576">
        <f t="shared" si="209"/>
        <v>0</v>
      </c>
      <c r="O694" s="577">
        <f t="shared" si="219"/>
        <v>0</v>
      </c>
      <c r="P694" s="578">
        <f t="shared" si="220"/>
        <v>0</v>
      </c>
      <c r="Q694" s="765"/>
      <c r="R694" s="703"/>
      <c r="S694" s="670"/>
      <c r="T694" s="577">
        <f t="shared" si="216"/>
        <v>0</v>
      </c>
      <c r="U694" s="578">
        <f t="shared" si="217"/>
        <v>0</v>
      </c>
      <c r="V694" s="579"/>
      <c r="W694" s="637" t="str">
        <f>IF(U692&gt;0,"xx",IF(P692&gt;0,"xy",""))</f>
        <v/>
      </c>
      <c r="X694" s="586" t="str">
        <f t="shared" si="191"/>
        <v/>
      </c>
      <c r="Y694" s="586" t="str">
        <f t="shared" si="189"/>
        <v/>
      </c>
      <c r="Z694" s="586" t="str">
        <f t="shared" si="208"/>
        <v/>
      </c>
    </row>
    <row r="695" spans="1:26" hidden="1" x14ac:dyDescent="0.2">
      <c r="A695" s="671" t="s">
        <v>168</v>
      </c>
      <c r="B695" s="644" t="s">
        <v>168</v>
      </c>
      <c r="C695" s="645"/>
      <c r="D695" s="451" t="s">
        <v>262</v>
      </c>
      <c r="E695" s="423"/>
      <c r="F695" s="424">
        <v>0.2</v>
      </c>
      <c r="G695" s="425">
        <v>0.94499999999999995</v>
      </c>
      <c r="H695" s="663">
        <f t="shared" si="218"/>
        <v>2.7348300000000001</v>
      </c>
      <c r="I695" s="420">
        <v>0</v>
      </c>
      <c r="J695" s="420"/>
      <c r="K695" s="421">
        <f t="shared" si="205"/>
        <v>0</v>
      </c>
      <c r="L695" s="647" t="s">
        <v>614</v>
      </c>
      <c r="M695" s="703"/>
      <c r="N695" s="576">
        <f t="shared" si="209"/>
        <v>0</v>
      </c>
      <c r="O695" s="577">
        <f t="shared" si="219"/>
        <v>0</v>
      </c>
      <c r="P695" s="578">
        <f t="shared" si="220"/>
        <v>0</v>
      </c>
      <c r="Q695" s="765"/>
      <c r="R695" s="703"/>
      <c r="S695" s="670"/>
      <c r="T695" s="577">
        <f t="shared" si="216"/>
        <v>0</v>
      </c>
      <c r="U695" s="578">
        <f t="shared" si="217"/>
        <v>0</v>
      </c>
      <c r="V695" s="579"/>
      <c r="W695" s="637" t="str">
        <f>IF(U692&gt;0,"xx",IF(P692&gt;0,"xy",""))</f>
        <v/>
      </c>
      <c r="X695" s="586" t="str">
        <f t="shared" si="191"/>
        <v/>
      </c>
      <c r="Y695" s="586" t="str">
        <f t="shared" si="189"/>
        <v/>
      </c>
      <c r="Z695" s="586" t="str">
        <f t="shared" si="208"/>
        <v/>
      </c>
    </row>
    <row r="696" spans="1:26" hidden="1" x14ac:dyDescent="0.2">
      <c r="A696" s="671" t="s">
        <v>168</v>
      </c>
      <c r="B696" s="644" t="s">
        <v>168</v>
      </c>
      <c r="C696" s="645"/>
      <c r="D696" s="451" t="s">
        <v>263</v>
      </c>
      <c r="E696" s="423"/>
      <c r="F696" s="424">
        <v>20</v>
      </c>
      <c r="G696" s="425">
        <v>1</v>
      </c>
      <c r="H696" s="651">
        <f>IF(F696&lt;=30,(1.07*F696+6.45)*G696,((1.07*30+6.45)+1.07*(F696-30))*G696)</f>
        <v>27.85</v>
      </c>
      <c r="I696" s="420">
        <v>0</v>
      </c>
      <c r="J696" s="420"/>
      <c r="K696" s="421">
        <f t="shared" si="205"/>
        <v>0</v>
      </c>
      <c r="L696" s="647" t="s">
        <v>614</v>
      </c>
      <c r="M696" s="703"/>
      <c r="N696" s="576">
        <f t="shared" si="209"/>
        <v>0</v>
      </c>
      <c r="O696" s="577">
        <f t="shared" si="219"/>
        <v>0</v>
      </c>
      <c r="P696" s="578">
        <f t="shared" si="220"/>
        <v>0</v>
      </c>
      <c r="Q696" s="765"/>
      <c r="R696" s="703"/>
      <c r="S696" s="670"/>
      <c r="T696" s="577">
        <f t="shared" si="216"/>
        <v>0</v>
      </c>
      <c r="U696" s="578">
        <f t="shared" si="217"/>
        <v>0</v>
      </c>
      <c r="V696" s="579"/>
      <c r="W696" s="637" t="str">
        <f>IF(U692&gt;0,"xx",IF(P692&gt;0,"xy",""))</f>
        <v/>
      </c>
      <c r="X696" s="586" t="str">
        <f t="shared" si="191"/>
        <v/>
      </c>
      <c r="Y696" s="586" t="str">
        <f t="shared" si="189"/>
        <v/>
      </c>
      <c r="Z696" s="586" t="str">
        <f t="shared" si="208"/>
        <v/>
      </c>
    </row>
    <row r="697" spans="1:26" ht="12" hidden="1" thickBot="1" x14ac:dyDescent="0.25">
      <c r="A697" s="671">
        <v>589000</v>
      </c>
      <c r="B697" s="707" t="s">
        <v>1851</v>
      </c>
      <c r="C697" s="554" t="s">
        <v>1746</v>
      </c>
      <c r="D697" s="477" t="s">
        <v>657</v>
      </c>
      <c r="E697" s="481"/>
      <c r="F697" s="486">
        <v>500</v>
      </c>
      <c r="G697" s="479">
        <v>1</v>
      </c>
      <c r="H697" s="663">
        <f>(0.94*F697+46.06)*G697</f>
        <v>516.05999999999995</v>
      </c>
      <c r="I697" s="472">
        <v>5725</v>
      </c>
      <c r="J697" s="472">
        <f>IF(ISBLANK(I697),"",I697*(1+$F$9)/(1+$F$10))+H697</f>
        <v>6070.962785960779</v>
      </c>
      <c r="K697" s="709">
        <f t="shared" si="205"/>
        <v>7212.91</v>
      </c>
      <c r="L697" s="561" t="s">
        <v>20</v>
      </c>
      <c r="M697" s="692">
        <f>ROUND(M692*G692,2)</f>
        <v>0</v>
      </c>
      <c r="N697" s="588">
        <f t="shared" si="209"/>
        <v>0</v>
      </c>
      <c r="O697" s="693">
        <f>IF(ISBLANK(M697),0,ROUND(K697*M697,2))</f>
        <v>0</v>
      </c>
      <c r="P697" s="694">
        <f>IF(ISBLANK(N697),0,ROUND(M697*N697,2))</f>
        <v>0</v>
      </c>
      <c r="Q697" s="765"/>
      <c r="R697" s="719">
        <f>ROUND(R692*G692,2)</f>
        <v>0</v>
      </c>
      <c r="S697" s="720">
        <f>N697</f>
        <v>0</v>
      </c>
      <c r="T697" s="693">
        <f t="shared" si="216"/>
        <v>0</v>
      </c>
      <c r="U697" s="694">
        <f t="shared" si="217"/>
        <v>0</v>
      </c>
      <c r="V697" s="579"/>
      <c r="W697" s="637" t="str">
        <f>IF(U692&gt;0,"xx",IF(P692&gt;0,"xy",""))</f>
        <v/>
      </c>
      <c r="X697" s="586" t="str">
        <f t="shared" si="191"/>
        <v/>
      </c>
      <c r="Y697" s="586" t="str">
        <f t="shared" si="189"/>
        <v/>
      </c>
      <c r="Z697" s="586" t="str">
        <f t="shared" si="208"/>
        <v/>
      </c>
    </row>
    <row r="698" spans="1:26" hidden="1" x14ac:dyDescent="0.2">
      <c r="A698" s="671">
        <v>570310</v>
      </c>
      <c r="B698" s="701" t="s">
        <v>1852</v>
      </c>
      <c r="C698" s="702" t="s">
        <v>206</v>
      </c>
      <c r="D698" s="485" t="s">
        <v>815</v>
      </c>
      <c r="E698" s="464"/>
      <c r="F698" s="465" t="s">
        <v>662</v>
      </c>
      <c r="G698" s="466">
        <v>0.04</v>
      </c>
      <c r="H698" s="681">
        <f>SUM(H699:H702)</f>
        <v>36.552130000000005</v>
      </c>
      <c r="I698" s="467">
        <v>168.63</v>
      </c>
      <c r="J698" s="467">
        <f>IF(ISBLANK(I698),"",SUM(H698:I698))</f>
        <v>205.18213</v>
      </c>
      <c r="K698" s="682">
        <f t="shared" si="205"/>
        <v>243.78</v>
      </c>
      <c r="L698" s="683" t="s">
        <v>20</v>
      </c>
      <c r="M698" s="685"/>
      <c r="N698" s="686">
        <f t="shared" si="209"/>
        <v>0</v>
      </c>
      <c r="O698" s="687">
        <f t="shared" si="219"/>
        <v>0</v>
      </c>
      <c r="P698" s="688">
        <f t="shared" si="220"/>
        <v>0</v>
      </c>
      <c r="Q698" s="765"/>
      <c r="R698" s="685">
        <f t="shared" si="215"/>
        <v>0</v>
      </c>
      <c r="S698" s="686">
        <f>N698</f>
        <v>0</v>
      </c>
      <c r="T698" s="687">
        <f t="shared" si="216"/>
        <v>0</v>
      </c>
      <c r="U698" s="688">
        <f t="shared" si="217"/>
        <v>0</v>
      </c>
      <c r="V698" s="579"/>
      <c r="W698" s="566"/>
      <c r="X698" s="586" t="str">
        <f t="shared" si="191"/>
        <v/>
      </c>
      <c r="Y698" s="586" t="str">
        <f t="shared" si="189"/>
        <v/>
      </c>
      <c r="Z698" s="586" t="str">
        <f t="shared" si="208"/>
        <v/>
      </c>
    </row>
    <row r="699" spans="1:26" hidden="1" x14ac:dyDescent="0.2">
      <c r="A699" s="671" t="s">
        <v>168</v>
      </c>
      <c r="B699" s="644" t="s">
        <v>168</v>
      </c>
      <c r="C699" s="645"/>
      <c r="D699" s="451" t="s">
        <v>248</v>
      </c>
      <c r="E699" s="423"/>
      <c r="F699" s="424">
        <v>180</v>
      </c>
      <c r="G699" s="425">
        <v>0</v>
      </c>
      <c r="H699" s="663">
        <f t="shared" ref="H699:H701" si="221">IF(F699&lt;=30,(1.07*F699+2.68)*G699,((1.07*30+2.68)+1.07*(F699-30))*G699)</f>
        <v>0</v>
      </c>
      <c r="I699" s="420">
        <v>0</v>
      </c>
      <c r="J699" s="420">
        <f>IF(ISBLANK(I699),"",SUM(H699:I699))</f>
        <v>0</v>
      </c>
      <c r="K699" s="421">
        <f t="shared" si="205"/>
        <v>0</v>
      </c>
      <c r="L699" s="647" t="s">
        <v>614</v>
      </c>
      <c r="M699" s="703"/>
      <c r="N699" s="576">
        <f t="shared" si="209"/>
        <v>0</v>
      </c>
      <c r="O699" s="577">
        <f t="shared" si="219"/>
        <v>0</v>
      </c>
      <c r="P699" s="578">
        <f t="shared" si="220"/>
        <v>0</v>
      </c>
      <c r="Q699" s="765"/>
      <c r="R699" s="703"/>
      <c r="S699" s="670"/>
      <c r="T699" s="577">
        <f t="shared" si="216"/>
        <v>0</v>
      </c>
      <c r="U699" s="578">
        <f t="shared" si="217"/>
        <v>0</v>
      </c>
      <c r="V699" s="579"/>
      <c r="W699" s="637" t="str">
        <f>IF(U698&gt;0,"xx",IF(P698&gt;0,"xy",""))</f>
        <v/>
      </c>
      <c r="X699" s="586" t="str">
        <f t="shared" si="191"/>
        <v/>
      </c>
      <c r="Y699" s="586" t="str">
        <f t="shared" si="189"/>
        <v/>
      </c>
      <c r="Z699" s="586" t="str">
        <f t="shared" si="208"/>
        <v/>
      </c>
    </row>
    <row r="700" spans="1:26" hidden="1" x14ac:dyDescent="0.2">
      <c r="A700" s="671" t="s">
        <v>168</v>
      </c>
      <c r="B700" s="644" t="s">
        <v>168</v>
      </c>
      <c r="C700" s="645"/>
      <c r="D700" s="451" t="s">
        <v>249</v>
      </c>
      <c r="E700" s="423"/>
      <c r="F700" s="424">
        <v>500</v>
      </c>
      <c r="G700" s="425">
        <v>1.4999999999999999E-2</v>
      </c>
      <c r="H700" s="649">
        <f>IF(F700&lt;=30,(0.78*F700+7.82)*G700,((0.78*30+7.82)+0.78*(F700-30))*G700)</f>
        <v>5.9673000000000007</v>
      </c>
      <c r="I700" s="420">
        <v>0</v>
      </c>
      <c r="J700" s="420"/>
      <c r="K700" s="421">
        <f t="shared" si="205"/>
        <v>0</v>
      </c>
      <c r="L700" s="647" t="s">
        <v>614</v>
      </c>
      <c r="M700" s="703"/>
      <c r="N700" s="576">
        <f t="shared" si="209"/>
        <v>0</v>
      </c>
      <c r="O700" s="577">
        <f t="shared" si="219"/>
        <v>0</v>
      </c>
      <c r="P700" s="578">
        <f t="shared" si="220"/>
        <v>0</v>
      </c>
      <c r="Q700" s="765"/>
      <c r="R700" s="703"/>
      <c r="S700" s="670"/>
      <c r="T700" s="577">
        <f t="shared" si="216"/>
        <v>0</v>
      </c>
      <c r="U700" s="578">
        <f t="shared" si="217"/>
        <v>0</v>
      </c>
      <c r="V700" s="579"/>
      <c r="W700" s="637" t="str">
        <f>IF(U698&gt;0,"xx",IF(P698&gt;0,"xy",""))</f>
        <v/>
      </c>
      <c r="X700" s="586" t="str">
        <f t="shared" si="191"/>
        <v/>
      </c>
      <c r="Y700" s="586" t="str">
        <f t="shared" si="189"/>
        <v/>
      </c>
      <c r="Z700" s="586" t="str">
        <f t="shared" si="208"/>
        <v/>
      </c>
    </row>
    <row r="701" spans="1:26" hidden="1" x14ac:dyDescent="0.2">
      <c r="A701" s="671" t="s">
        <v>168</v>
      </c>
      <c r="B701" s="644" t="s">
        <v>168</v>
      </c>
      <c r="C701" s="645"/>
      <c r="D701" s="451" t="s">
        <v>262</v>
      </c>
      <c r="E701" s="423"/>
      <c r="F701" s="424">
        <v>0.2</v>
      </c>
      <c r="G701" s="425">
        <v>0.94499999999999995</v>
      </c>
      <c r="H701" s="663">
        <f t="shared" si="221"/>
        <v>2.7348300000000001</v>
      </c>
      <c r="I701" s="420">
        <v>0</v>
      </c>
      <c r="J701" s="420"/>
      <c r="K701" s="421">
        <f t="shared" si="205"/>
        <v>0</v>
      </c>
      <c r="L701" s="647" t="s">
        <v>614</v>
      </c>
      <c r="M701" s="703"/>
      <c r="N701" s="576">
        <f t="shared" si="209"/>
        <v>0</v>
      </c>
      <c r="O701" s="577">
        <f t="shared" si="219"/>
        <v>0</v>
      </c>
      <c r="P701" s="578">
        <f t="shared" si="220"/>
        <v>0</v>
      </c>
      <c r="Q701" s="765"/>
      <c r="R701" s="703"/>
      <c r="S701" s="670"/>
      <c r="T701" s="577">
        <f t="shared" si="216"/>
        <v>0</v>
      </c>
      <c r="U701" s="578">
        <f t="shared" si="217"/>
        <v>0</v>
      </c>
      <c r="V701" s="579"/>
      <c r="W701" s="637" t="str">
        <f>IF(U698&gt;0,"xx",IF(P698&gt;0,"xy",""))</f>
        <v/>
      </c>
      <c r="X701" s="586" t="str">
        <f t="shared" si="191"/>
        <v/>
      </c>
      <c r="Y701" s="586" t="str">
        <f t="shared" si="189"/>
        <v/>
      </c>
      <c r="Z701" s="586" t="str">
        <f t="shared" si="208"/>
        <v/>
      </c>
    </row>
    <row r="702" spans="1:26" hidden="1" x14ac:dyDescent="0.2">
      <c r="A702" s="671" t="s">
        <v>168</v>
      </c>
      <c r="B702" s="644" t="s">
        <v>168</v>
      </c>
      <c r="C702" s="645"/>
      <c r="D702" s="451" t="s">
        <v>263</v>
      </c>
      <c r="E702" s="423"/>
      <c r="F702" s="424">
        <v>20</v>
      </c>
      <c r="G702" s="425">
        <f>SUM(G698:G701)</f>
        <v>1</v>
      </c>
      <c r="H702" s="651">
        <f>IF(F702&lt;=30,(1.07*F702+6.45)*G702,((1.07*30+6.45)+1.07*(F702-30))*G702)</f>
        <v>27.85</v>
      </c>
      <c r="I702" s="420">
        <v>0</v>
      </c>
      <c r="J702" s="420"/>
      <c r="K702" s="421">
        <f t="shared" si="205"/>
        <v>0</v>
      </c>
      <c r="L702" s="647" t="s">
        <v>614</v>
      </c>
      <c r="M702" s="703"/>
      <c r="N702" s="576">
        <f t="shared" si="209"/>
        <v>0</v>
      </c>
      <c r="O702" s="577">
        <f t="shared" si="219"/>
        <v>0</v>
      </c>
      <c r="P702" s="578">
        <f t="shared" si="220"/>
        <v>0</v>
      </c>
      <c r="Q702" s="765"/>
      <c r="R702" s="703"/>
      <c r="S702" s="670"/>
      <c r="T702" s="577">
        <f t="shared" si="216"/>
        <v>0</v>
      </c>
      <c r="U702" s="578">
        <f t="shared" si="217"/>
        <v>0</v>
      </c>
      <c r="V702" s="579"/>
      <c r="W702" s="637" t="str">
        <f>IF(U698&gt;0,"xx",IF(P698&gt;0,"xy",""))</f>
        <v/>
      </c>
      <c r="X702" s="586" t="str">
        <f t="shared" si="191"/>
        <v/>
      </c>
      <c r="Y702" s="586" t="str">
        <f t="shared" si="189"/>
        <v/>
      </c>
      <c r="Z702" s="586" t="str">
        <f t="shared" si="208"/>
        <v/>
      </c>
    </row>
    <row r="703" spans="1:26" ht="12" hidden="1" thickBot="1" x14ac:dyDescent="0.25">
      <c r="A703" s="671">
        <v>589000</v>
      </c>
      <c r="B703" s="704" t="s">
        <v>1853</v>
      </c>
      <c r="C703" s="689" t="s">
        <v>1746</v>
      </c>
      <c r="D703" s="477" t="s">
        <v>658</v>
      </c>
      <c r="E703" s="470"/>
      <c r="F703" s="486">
        <v>500</v>
      </c>
      <c r="G703" s="479">
        <v>1</v>
      </c>
      <c r="H703" s="663">
        <f>(0.94*F703+46.06)*G703</f>
        <v>516.05999999999995</v>
      </c>
      <c r="I703" s="472">
        <v>5725</v>
      </c>
      <c r="J703" s="472">
        <f>IF(ISBLANK(I703),"",I703*(1+$F$9)/(1+$F$10))+H703</f>
        <v>6070.962785960779</v>
      </c>
      <c r="K703" s="690">
        <f t="shared" si="205"/>
        <v>7212.91</v>
      </c>
      <c r="L703" s="691" t="s">
        <v>20</v>
      </c>
      <c r="M703" s="692">
        <f>ROUND(M698*G698,2)</f>
        <v>0</v>
      </c>
      <c r="N703" s="696">
        <f t="shared" si="209"/>
        <v>0</v>
      </c>
      <c r="O703" s="693">
        <f>IF(ISBLANK(M703),0,ROUND(K703*M703,2))</f>
        <v>0</v>
      </c>
      <c r="P703" s="694">
        <f>IF(ISBLANK(N703),0,ROUND(M703*N703,2))</f>
        <v>0</v>
      </c>
      <c r="Q703" s="765"/>
      <c r="R703" s="719">
        <f>ROUND(R698*G698,2)</f>
        <v>0</v>
      </c>
      <c r="S703" s="720">
        <f>N703</f>
        <v>0</v>
      </c>
      <c r="T703" s="693">
        <f t="shared" si="216"/>
        <v>0</v>
      </c>
      <c r="U703" s="694">
        <f t="shared" si="217"/>
        <v>0</v>
      </c>
      <c r="V703" s="579"/>
      <c r="W703" s="637" t="str">
        <f>IF(U698&gt;0,"xx",IF(P698&gt;0,"xy",""))</f>
        <v/>
      </c>
      <c r="X703" s="586" t="str">
        <f t="shared" si="191"/>
        <v/>
      </c>
      <c r="Y703" s="586" t="str">
        <f t="shared" si="189"/>
        <v/>
      </c>
      <c r="Z703" s="586" t="str">
        <f t="shared" si="208"/>
        <v/>
      </c>
    </row>
    <row r="704" spans="1:26" hidden="1" x14ac:dyDescent="0.2">
      <c r="A704" s="567">
        <v>570000</v>
      </c>
      <c r="B704" s="701" t="s">
        <v>1854</v>
      </c>
      <c r="C704" s="702" t="s">
        <v>206</v>
      </c>
      <c r="D704" s="463" t="s">
        <v>1921</v>
      </c>
      <c r="E704" s="464"/>
      <c r="F704" s="465" t="s">
        <v>662</v>
      </c>
      <c r="G704" s="466">
        <v>5.7000000000000002E-2</v>
      </c>
      <c r="H704" s="681">
        <f>SUM(H705:H708)</f>
        <v>55.741532000000007</v>
      </c>
      <c r="I704" s="467">
        <v>201.51</v>
      </c>
      <c r="J704" s="467">
        <f>IF(ISBLANK(I704),"",SUM(H704:I704))</f>
        <v>257.251532</v>
      </c>
      <c r="K704" s="682">
        <f t="shared" si="205"/>
        <v>305.64</v>
      </c>
      <c r="L704" s="683" t="s">
        <v>20</v>
      </c>
      <c r="M704" s="685"/>
      <c r="N704" s="576">
        <f t="shared" si="209"/>
        <v>0</v>
      </c>
      <c r="O704" s="687">
        <f t="shared" si="219"/>
        <v>0</v>
      </c>
      <c r="P704" s="688">
        <f t="shared" si="220"/>
        <v>0</v>
      </c>
      <c r="Q704" s="765"/>
      <c r="R704" s="685">
        <f t="shared" si="215"/>
        <v>0</v>
      </c>
      <c r="S704" s="686">
        <f>N704</f>
        <v>0</v>
      </c>
      <c r="T704" s="687">
        <f t="shared" si="216"/>
        <v>0</v>
      </c>
      <c r="U704" s="688">
        <f t="shared" si="217"/>
        <v>0</v>
      </c>
      <c r="V704" s="579"/>
      <c r="W704" s="566"/>
      <c r="X704" s="586" t="str">
        <f t="shared" si="191"/>
        <v/>
      </c>
      <c r="Y704" s="586" t="str">
        <f t="shared" si="189"/>
        <v/>
      </c>
      <c r="Z704" s="586" t="str">
        <f t="shared" si="208"/>
        <v/>
      </c>
    </row>
    <row r="705" spans="1:26" hidden="1" x14ac:dyDescent="0.2">
      <c r="A705" s="567" t="s">
        <v>168</v>
      </c>
      <c r="B705" s="644" t="s">
        <v>168</v>
      </c>
      <c r="C705" s="645"/>
      <c r="D705" s="451" t="s">
        <v>248</v>
      </c>
      <c r="E705" s="423"/>
      <c r="F705" s="424">
        <v>180</v>
      </c>
      <c r="G705" s="425">
        <v>0.1</v>
      </c>
      <c r="H705" s="663">
        <f t="shared" ref="H705:H707" si="222">IF(F705&lt;=30,(1.07*F705+2.68)*G705,((1.07*30+2.68)+1.07*(F705-30))*G705)</f>
        <v>19.528000000000002</v>
      </c>
      <c r="I705" s="420">
        <v>0</v>
      </c>
      <c r="J705" s="420"/>
      <c r="K705" s="421">
        <f t="shared" si="205"/>
        <v>0</v>
      </c>
      <c r="L705" s="647" t="s">
        <v>614</v>
      </c>
      <c r="M705" s="703"/>
      <c r="N705" s="576">
        <f t="shared" si="209"/>
        <v>0</v>
      </c>
      <c r="O705" s="577">
        <f t="shared" si="219"/>
        <v>0</v>
      </c>
      <c r="P705" s="578">
        <f t="shared" si="220"/>
        <v>0</v>
      </c>
      <c r="Q705" s="765"/>
      <c r="R705" s="703"/>
      <c r="S705" s="670"/>
      <c r="T705" s="577">
        <f t="shared" si="216"/>
        <v>0</v>
      </c>
      <c r="U705" s="578">
        <f t="shared" si="217"/>
        <v>0</v>
      </c>
      <c r="V705" s="579"/>
      <c r="W705" s="637" t="str">
        <f>IF(U704&gt;0,"xx",IF(P704&gt;0,"xy",""))</f>
        <v/>
      </c>
      <c r="X705" s="586" t="str">
        <f t="shared" si="191"/>
        <v/>
      </c>
      <c r="Y705" s="586" t="str">
        <f t="shared" si="189"/>
        <v/>
      </c>
      <c r="Z705" s="586" t="str">
        <f t="shared" si="208"/>
        <v/>
      </c>
    </row>
    <row r="706" spans="1:26" hidden="1" x14ac:dyDescent="0.2">
      <c r="A706" s="567" t="s">
        <v>168</v>
      </c>
      <c r="B706" s="644" t="s">
        <v>168</v>
      </c>
      <c r="C706" s="645"/>
      <c r="D706" s="451" t="s">
        <v>249</v>
      </c>
      <c r="E706" s="423"/>
      <c r="F706" s="424">
        <v>500</v>
      </c>
      <c r="G706" s="425">
        <v>1.4999999999999999E-2</v>
      </c>
      <c r="H706" s="649">
        <f>IF(F706&lt;=30,(0.78*F706+7.82)*G706,((0.78*30+7.82)+0.78*(F706-30))*G706)</f>
        <v>5.9673000000000007</v>
      </c>
      <c r="I706" s="420">
        <v>0</v>
      </c>
      <c r="J706" s="420"/>
      <c r="K706" s="421">
        <f t="shared" si="205"/>
        <v>0</v>
      </c>
      <c r="L706" s="647" t="s">
        <v>614</v>
      </c>
      <c r="M706" s="703"/>
      <c r="N706" s="576">
        <f t="shared" si="209"/>
        <v>0</v>
      </c>
      <c r="O706" s="577">
        <f t="shared" si="219"/>
        <v>0</v>
      </c>
      <c r="P706" s="578">
        <f t="shared" si="220"/>
        <v>0</v>
      </c>
      <c r="Q706" s="765"/>
      <c r="R706" s="703"/>
      <c r="S706" s="670"/>
      <c r="T706" s="577">
        <f t="shared" si="216"/>
        <v>0</v>
      </c>
      <c r="U706" s="578">
        <f t="shared" si="217"/>
        <v>0</v>
      </c>
      <c r="V706" s="579"/>
      <c r="W706" s="637" t="str">
        <f>IF(U704&gt;0,"xx",IF(P704&gt;0,"xy",""))</f>
        <v/>
      </c>
      <c r="X706" s="586" t="str">
        <f t="shared" si="191"/>
        <v/>
      </c>
      <c r="Y706" s="586" t="str">
        <f t="shared" si="189"/>
        <v/>
      </c>
      <c r="Z706" s="586" t="str">
        <f t="shared" si="208"/>
        <v/>
      </c>
    </row>
    <row r="707" spans="1:26" hidden="1" x14ac:dyDescent="0.2">
      <c r="A707" s="567" t="s">
        <v>168</v>
      </c>
      <c r="B707" s="644" t="s">
        <v>168</v>
      </c>
      <c r="C707" s="645"/>
      <c r="D707" s="451" t="s">
        <v>262</v>
      </c>
      <c r="E707" s="423"/>
      <c r="F707" s="424">
        <v>0.2</v>
      </c>
      <c r="G707" s="425">
        <v>0.82799999999999996</v>
      </c>
      <c r="H707" s="663">
        <f t="shared" si="222"/>
        <v>2.3962319999999999</v>
      </c>
      <c r="I707" s="420">
        <v>0</v>
      </c>
      <c r="J707" s="420"/>
      <c r="K707" s="421">
        <f t="shared" si="205"/>
        <v>0</v>
      </c>
      <c r="L707" s="647" t="s">
        <v>614</v>
      </c>
      <c r="M707" s="703"/>
      <c r="N707" s="576">
        <f t="shared" si="209"/>
        <v>0</v>
      </c>
      <c r="O707" s="577">
        <f t="shared" si="219"/>
        <v>0</v>
      </c>
      <c r="P707" s="578">
        <f t="shared" si="220"/>
        <v>0</v>
      </c>
      <c r="Q707" s="765"/>
      <c r="R707" s="703"/>
      <c r="S707" s="670"/>
      <c r="T707" s="577">
        <f t="shared" si="216"/>
        <v>0</v>
      </c>
      <c r="U707" s="578">
        <f t="shared" si="217"/>
        <v>0</v>
      </c>
      <c r="V707" s="579"/>
      <c r="W707" s="637" t="str">
        <f>IF(U704&gt;0,"xx",IF(P704&gt;0,"xy",""))</f>
        <v/>
      </c>
      <c r="X707" s="586" t="str">
        <f t="shared" si="191"/>
        <v/>
      </c>
      <c r="Y707" s="586" t="str">
        <f t="shared" si="189"/>
        <v/>
      </c>
      <c r="Z707" s="586" t="str">
        <f t="shared" si="208"/>
        <v/>
      </c>
    </row>
    <row r="708" spans="1:26" hidden="1" x14ac:dyDescent="0.2">
      <c r="A708" s="567" t="s">
        <v>168</v>
      </c>
      <c r="B708" s="644" t="s">
        <v>168</v>
      </c>
      <c r="C708" s="645"/>
      <c r="D708" s="451" t="s">
        <v>263</v>
      </c>
      <c r="E708" s="423"/>
      <c r="F708" s="424">
        <v>20</v>
      </c>
      <c r="G708" s="425">
        <f>SUM(G704:G707)</f>
        <v>1</v>
      </c>
      <c r="H708" s="651">
        <f>IF(F708&lt;=30,(1.07*F708+6.45)*G708,((1.07*30+6.45)+1.07*(F708-30))*G708)</f>
        <v>27.85</v>
      </c>
      <c r="I708" s="420">
        <v>0</v>
      </c>
      <c r="J708" s="420"/>
      <c r="K708" s="421">
        <f t="shared" si="205"/>
        <v>0</v>
      </c>
      <c r="L708" s="647" t="s">
        <v>614</v>
      </c>
      <c r="M708" s="703"/>
      <c r="N708" s="576">
        <f t="shared" si="209"/>
        <v>0</v>
      </c>
      <c r="O708" s="577">
        <f t="shared" si="219"/>
        <v>0</v>
      </c>
      <c r="P708" s="578">
        <f t="shared" si="220"/>
        <v>0</v>
      </c>
      <c r="Q708" s="765"/>
      <c r="R708" s="703"/>
      <c r="S708" s="670"/>
      <c r="T708" s="577">
        <f t="shared" si="216"/>
        <v>0</v>
      </c>
      <c r="U708" s="578">
        <f t="shared" si="217"/>
        <v>0</v>
      </c>
      <c r="V708" s="579"/>
      <c r="W708" s="637" t="str">
        <f>IF(U704&gt;0,"xx",IF(P704&gt;0,"xy",""))</f>
        <v/>
      </c>
      <c r="X708" s="586" t="str">
        <f t="shared" si="191"/>
        <v/>
      </c>
      <c r="Y708" s="586" t="str">
        <f t="shared" si="189"/>
        <v/>
      </c>
      <c r="Z708" s="586" t="str">
        <f t="shared" si="208"/>
        <v/>
      </c>
    </row>
    <row r="709" spans="1:26" ht="12" hidden="1" thickBot="1" x14ac:dyDescent="0.25">
      <c r="A709" s="567">
        <v>589000</v>
      </c>
      <c r="B709" s="704" t="s">
        <v>1855</v>
      </c>
      <c r="C709" s="689" t="s">
        <v>1746</v>
      </c>
      <c r="D709" s="477" t="s">
        <v>659</v>
      </c>
      <c r="E709" s="470"/>
      <c r="F709" s="478">
        <v>500</v>
      </c>
      <c r="G709" s="479">
        <v>1</v>
      </c>
      <c r="H709" s="663">
        <f>(0.94*F709+46.06)*G709</f>
        <v>516.05999999999995</v>
      </c>
      <c r="I709" s="472">
        <v>5725</v>
      </c>
      <c r="J709" s="472">
        <f>IF(ISBLANK(I709),"",I709*(1+$F$9)/(1+$F$10))+H709</f>
        <v>6070.962785960779</v>
      </c>
      <c r="K709" s="690">
        <f t="shared" si="205"/>
        <v>7212.91</v>
      </c>
      <c r="L709" s="691" t="s">
        <v>20</v>
      </c>
      <c r="M709" s="692">
        <f>ROUND(M704*G704,2)</f>
        <v>0</v>
      </c>
      <c r="N709" s="588">
        <f t="shared" si="209"/>
        <v>0</v>
      </c>
      <c r="O709" s="693">
        <f>IF(ISBLANK(M709),0,ROUND(K709*M709,2))</f>
        <v>0</v>
      </c>
      <c r="P709" s="694">
        <f>IF(ISBLANK(N709),0,ROUND(M709*N709,2))</f>
        <v>0</v>
      </c>
      <c r="Q709" s="765"/>
      <c r="R709" s="719">
        <f>ROUND(R704*G704,2)</f>
        <v>0</v>
      </c>
      <c r="S709" s="720">
        <f>N709</f>
        <v>0</v>
      </c>
      <c r="T709" s="693">
        <f t="shared" si="216"/>
        <v>0</v>
      </c>
      <c r="U709" s="694">
        <f t="shared" si="217"/>
        <v>0</v>
      </c>
      <c r="V709" s="579"/>
      <c r="W709" s="637" t="str">
        <f>IF(U704&gt;0,"xx",IF(P704&gt;0,"xy",""))</f>
        <v/>
      </c>
      <c r="X709" s="586" t="str">
        <f t="shared" si="191"/>
        <v/>
      </c>
      <c r="Y709" s="586" t="str">
        <f t="shared" si="189"/>
        <v/>
      </c>
      <c r="Z709" s="586" t="str">
        <f t="shared" si="208"/>
        <v/>
      </c>
    </row>
    <row r="710" spans="1:26" hidden="1" x14ac:dyDescent="0.2">
      <c r="A710" s="567">
        <v>570400</v>
      </c>
      <c r="B710" s="701" t="s">
        <v>1856</v>
      </c>
      <c r="C710" s="702" t="s">
        <v>206</v>
      </c>
      <c r="D710" s="463" t="s">
        <v>1922</v>
      </c>
      <c r="E710" s="464"/>
      <c r="F710" s="465" t="s">
        <v>662</v>
      </c>
      <c r="G710" s="466">
        <v>5.7000000000000002E-2</v>
      </c>
      <c r="H710" s="681">
        <f>SUM(H711:H714)</f>
        <v>55.741532000000007</v>
      </c>
      <c r="I710" s="467">
        <v>180.27999999999997</v>
      </c>
      <c r="J710" s="467">
        <f>IF(ISBLANK(I710),"",SUM(H710:I710))</f>
        <v>236.02153199999998</v>
      </c>
      <c r="K710" s="682">
        <f t="shared" si="205"/>
        <v>280.42</v>
      </c>
      <c r="L710" s="683" t="s">
        <v>20</v>
      </c>
      <c r="M710" s="685"/>
      <c r="N710" s="686">
        <f t="shared" si="209"/>
        <v>0</v>
      </c>
      <c r="O710" s="687">
        <f t="shared" si="219"/>
        <v>0</v>
      </c>
      <c r="P710" s="688">
        <f t="shared" si="220"/>
        <v>0</v>
      </c>
      <c r="Q710" s="765"/>
      <c r="R710" s="685">
        <f t="shared" si="215"/>
        <v>0</v>
      </c>
      <c r="S710" s="686">
        <f>N710</f>
        <v>0</v>
      </c>
      <c r="T710" s="687">
        <f t="shared" si="216"/>
        <v>0</v>
      </c>
      <c r="U710" s="688">
        <f t="shared" si="217"/>
        <v>0</v>
      </c>
      <c r="V710" s="579"/>
      <c r="W710" s="566"/>
      <c r="X710" s="586" t="str">
        <f t="shared" si="191"/>
        <v/>
      </c>
      <c r="Y710" s="586" t="str">
        <f t="shared" si="189"/>
        <v/>
      </c>
      <c r="Z710" s="586" t="str">
        <f t="shared" si="208"/>
        <v/>
      </c>
    </row>
    <row r="711" spans="1:26" hidden="1" x14ac:dyDescent="0.2">
      <c r="A711" s="567" t="s">
        <v>168</v>
      </c>
      <c r="B711" s="644" t="s">
        <v>168</v>
      </c>
      <c r="C711" s="645"/>
      <c r="D711" s="451" t="s">
        <v>248</v>
      </c>
      <c r="E711" s="423"/>
      <c r="F711" s="424">
        <v>180</v>
      </c>
      <c r="G711" s="425">
        <v>0.1</v>
      </c>
      <c r="H711" s="663">
        <f t="shared" ref="H711:H713" si="223">IF(F711&lt;=30,(1.07*F711+2.68)*G711,((1.07*30+2.68)+1.07*(F711-30))*G711)</f>
        <v>19.528000000000002</v>
      </c>
      <c r="I711" s="420">
        <v>0</v>
      </c>
      <c r="J711" s="420"/>
      <c r="K711" s="421">
        <f t="shared" si="205"/>
        <v>0</v>
      </c>
      <c r="L711" s="647" t="s">
        <v>614</v>
      </c>
      <c r="M711" s="703"/>
      <c r="N711" s="576">
        <f t="shared" si="209"/>
        <v>0</v>
      </c>
      <c r="O711" s="577">
        <f t="shared" si="219"/>
        <v>0</v>
      </c>
      <c r="P711" s="578">
        <f t="shared" si="220"/>
        <v>0</v>
      </c>
      <c r="Q711" s="765"/>
      <c r="R711" s="703"/>
      <c r="S711" s="670"/>
      <c r="T711" s="577">
        <f t="shared" si="216"/>
        <v>0</v>
      </c>
      <c r="U711" s="578">
        <f t="shared" si="217"/>
        <v>0</v>
      </c>
      <c r="V711" s="579"/>
      <c r="W711" s="637" t="str">
        <f>IF(U710&gt;0,"xx",IF(P710&gt;0,"xy",""))</f>
        <v/>
      </c>
      <c r="X711" s="586" t="str">
        <f t="shared" si="191"/>
        <v/>
      </c>
      <c r="Y711" s="586" t="str">
        <f t="shared" si="189"/>
        <v/>
      </c>
      <c r="Z711" s="586" t="str">
        <f t="shared" si="208"/>
        <v/>
      </c>
    </row>
    <row r="712" spans="1:26" hidden="1" x14ac:dyDescent="0.2">
      <c r="A712" s="567" t="s">
        <v>168</v>
      </c>
      <c r="B712" s="644" t="s">
        <v>168</v>
      </c>
      <c r="C712" s="645"/>
      <c r="D712" s="451" t="s">
        <v>249</v>
      </c>
      <c r="E712" s="423"/>
      <c r="F712" s="424">
        <v>500</v>
      </c>
      <c r="G712" s="425">
        <v>1.4999999999999999E-2</v>
      </c>
      <c r="H712" s="649">
        <f>IF(F712&lt;=30,(0.78*F712+7.82)*G712,((0.78*30+7.82)+0.78*(F712-30))*G712)</f>
        <v>5.9673000000000007</v>
      </c>
      <c r="I712" s="420">
        <v>0</v>
      </c>
      <c r="J712" s="420"/>
      <c r="K712" s="421">
        <f t="shared" ref="K712:K746" si="224">IF(ISBLANK(I712),0,ROUND(J712*(1+$F$10)*(1+$F$11*E712),2))</f>
        <v>0</v>
      </c>
      <c r="L712" s="647" t="s">
        <v>614</v>
      </c>
      <c r="M712" s="703"/>
      <c r="N712" s="576">
        <f t="shared" si="209"/>
        <v>0</v>
      </c>
      <c r="O712" s="577">
        <f t="shared" si="219"/>
        <v>0</v>
      </c>
      <c r="P712" s="578">
        <f t="shared" si="220"/>
        <v>0</v>
      </c>
      <c r="Q712" s="765"/>
      <c r="R712" s="703"/>
      <c r="S712" s="670"/>
      <c r="T712" s="577">
        <f t="shared" si="216"/>
        <v>0</v>
      </c>
      <c r="U712" s="578">
        <f t="shared" si="217"/>
        <v>0</v>
      </c>
      <c r="V712" s="579"/>
      <c r="W712" s="637" t="str">
        <f>IF(U710&gt;0,"xx",IF(P710&gt;0,"xy",""))</f>
        <v/>
      </c>
      <c r="X712" s="586" t="str">
        <f t="shared" si="191"/>
        <v/>
      </c>
      <c r="Y712" s="586" t="str">
        <f t="shared" si="189"/>
        <v/>
      </c>
      <c r="Z712" s="586" t="str">
        <f t="shared" si="208"/>
        <v/>
      </c>
    </row>
    <row r="713" spans="1:26" hidden="1" x14ac:dyDescent="0.2">
      <c r="A713" s="567" t="s">
        <v>168</v>
      </c>
      <c r="B713" s="644" t="s">
        <v>168</v>
      </c>
      <c r="C713" s="645"/>
      <c r="D713" s="451" t="s">
        <v>262</v>
      </c>
      <c r="E713" s="423"/>
      <c r="F713" s="424">
        <v>0.2</v>
      </c>
      <c r="G713" s="425">
        <v>0.82799999999999996</v>
      </c>
      <c r="H713" s="663">
        <f t="shared" si="223"/>
        <v>2.3962319999999999</v>
      </c>
      <c r="I713" s="420">
        <v>0</v>
      </c>
      <c r="J713" s="420"/>
      <c r="K713" s="421">
        <f t="shared" si="224"/>
        <v>0</v>
      </c>
      <c r="L713" s="647" t="s">
        <v>614</v>
      </c>
      <c r="M713" s="703"/>
      <c r="N713" s="576">
        <f t="shared" si="209"/>
        <v>0</v>
      </c>
      <c r="O713" s="577">
        <f t="shared" si="219"/>
        <v>0</v>
      </c>
      <c r="P713" s="578">
        <f t="shared" si="220"/>
        <v>0</v>
      </c>
      <c r="Q713" s="765"/>
      <c r="R713" s="703"/>
      <c r="S713" s="670"/>
      <c r="T713" s="577">
        <f t="shared" si="216"/>
        <v>0</v>
      </c>
      <c r="U713" s="578">
        <f t="shared" si="217"/>
        <v>0</v>
      </c>
      <c r="V713" s="579"/>
      <c r="W713" s="637" t="str">
        <f>IF(U710&gt;0,"xx",IF(P710&gt;0,"xy",""))</f>
        <v/>
      </c>
      <c r="X713" s="586" t="str">
        <f t="shared" si="191"/>
        <v/>
      </c>
      <c r="Y713" s="586" t="str">
        <f t="shared" si="189"/>
        <v/>
      </c>
      <c r="Z713" s="586" t="str">
        <f t="shared" si="208"/>
        <v/>
      </c>
    </row>
    <row r="714" spans="1:26" hidden="1" x14ac:dyDescent="0.2">
      <c r="A714" s="567" t="s">
        <v>168</v>
      </c>
      <c r="B714" s="644" t="s">
        <v>168</v>
      </c>
      <c r="C714" s="645"/>
      <c r="D714" s="451" t="s">
        <v>263</v>
      </c>
      <c r="E714" s="423"/>
      <c r="F714" s="424">
        <v>20</v>
      </c>
      <c r="G714" s="425">
        <f>SUM(G710:G713)</f>
        <v>1</v>
      </c>
      <c r="H714" s="651">
        <f>IF(F714&lt;=30,(1.07*F714+6.45)*G714,((1.07*30+6.45)+1.07*(F714-30))*G714)</f>
        <v>27.85</v>
      </c>
      <c r="I714" s="420">
        <v>0</v>
      </c>
      <c r="J714" s="420"/>
      <c r="K714" s="421">
        <f t="shared" si="224"/>
        <v>0</v>
      </c>
      <c r="L714" s="647" t="s">
        <v>614</v>
      </c>
      <c r="M714" s="703"/>
      <c r="N714" s="576">
        <f t="shared" si="209"/>
        <v>0</v>
      </c>
      <c r="O714" s="577">
        <f t="shared" si="219"/>
        <v>0</v>
      </c>
      <c r="P714" s="578">
        <f t="shared" si="220"/>
        <v>0</v>
      </c>
      <c r="Q714" s="765"/>
      <c r="R714" s="703"/>
      <c r="S714" s="670"/>
      <c r="T714" s="577">
        <f t="shared" si="216"/>
        <v>0</v>
      </c>
      <c r="U714" s="578">
        <f t="shared" si="217"/>
        <v>0</v>
      </c>
      <c r="V714" s="579"/>
      <c r="W714" s="637" t="str">
        <f>IF(U710&gt;0,"xx",IF(P710&gt;0,"xy",""))</f>
        <v/>
      </c>
      <c r="X714" s="586" t="str">
        <f t="shared" si="191"/>
        <v/>
      </c>
      <c r="Y714" s="586" t="str">
        <f t="shared" si="189"/>
        <v/>
      </c>
      <c r="Z714" s="586" t="str">
        <f t="shared" si="208"/>
        <v/>
      </c>
    </row>
    <row r="715" spans="1:26" ht="12" hidden="1" thickBot="1" x14ac:dyDescent="0.25">
      <c r="A715" s="567">
        <v>589000</v>
      </c>
      <c r="B715" s="704" t="s">
        <v>1857</v>
      </c>
      <c r="C715" s="689" t="s">
        <v>1746</v>
      </c>
      <c r="D715" s="477" t="s">
        <v>660</v>
      </c>
      <c r="E715" s="470"/>
      <c r="F715" s="478">
        <v>500</v>
      </c>
      <c r="G715" s="479">
        <v>1</v>
      </c>
      <c r="H715" s="663">
        <f>(0.94*F715+46.06)*G715</f>
        <v>516.05999999999995</v>
      </c>
      <c r="I715" s="472">
        <v>5725</v>
      </c>
      <c r="J715" s="472">
        <f>IF(ISBLANK(I715),"",I715*(1+$F$9)/(1+$F$10))+H715</f>
        <v>6070.962785960779</v>
      </c>
      <c r="K715" s="690">
        <f t="shared" si="224"/>
        <v>7212.91</v>
      </c>
      <c r="L715" s="691" t="s">
        <v>20</v>
      </c>
      <c r="M715" s="692">
        <f>ROUND(M710*G710,2)</f>
        <v>0</v>
      </c>
      <c r="N715" s="696">
        <f t="shared" si="209"/>
        <v>0</v>
      </c>
      <c r="O715" s="693">
        <f t="shared" si="219"/>
        <v>0</v>
      </c>
      <c r="P715" s="694">
        <f t="shared" si="220"/>
        <v>0</v>
      </c>
      <c r="Q715" s="765"/>
      <c r="R715" s="719">
        <f>ROUND(R710*G710,2)</f>
        <v>0</v>
      </c>
      <c r="S715" s="720">
        <f t="shared" ref="S715:S778" si="225">N715</f>
        <v>0</v>
      </c>
      <c r="T715" s="693">
        <f t="shared" si="216"/>
        <v>0</v>
      </c>
      <c r="U715" s="694">
        <f t="shared" si="217"/>
        <v>0</v>
      </c>
      <c r="V715" s="579"/>
      <c r="W715" s="637" t="str">
        <f>IF(U710&gt;0,"xx",IF(P710&gt;0,"xy",""))</f>
        <v/>
      </c>
      <c r="X715" s="586" t="str">
        <f t="shared" si="191"/>
        <v/>
      </c>
      <c r="Y715" s="586" t="str">
        <f t="shared" si="189"/>
        <v/>
      </c>
      <c r="Z715" s="586" t="str">
        <f t="shared" si="208"/>
        <v/>
      </c>
    </row>
    <row r="716" spans="1:26" hidden="1" x14ac:dyDescent="0.2">
      <c r="A716" s="567">
        <v>521450</v>
      </c>
      <c r="B716" s="450" t="s">
        <v>1858</v>
      </c>
      <c r="C716" s="473" t="s">
        <v>206</v>
      </c>
      <c r="D716" s="422" t="s">
        <v>289</v>
      </c>
      <c r="E716" s="423"/>
      <c r="F716" s="424">
        <v>20</v>
      </c>
      <c r="G716" s="419">
        <v>0.3</v>
      </c>
      <c r="H716" s="663">
        <f t="shared" ref="H716:H717" si="226">IF(F716&lt;=30,(1.07*F716+2.68)*G716,((1.07*30+2.68)+1.07*(F716-30))*G716)</f>
        <v>7.2240000000000002</v>
      </c>
      <c r="I716" s="420">
        <v>24.94</v>
      </c>
      <c r="J716" s="420">
        <f t="shared" ref="J716:J732" si="227">IF(ISBLANK(I716),"",SUM(H716:I716))</f>
        <v>32.164000000000001</v>
      </c>
      <c r="K716" s="421">
        <f t="shared" si="224"/>
        <v>38.21</v>
      </c>
      <c r="L716" s="647" t="s">
        <v>18</v>
      </c>
      <c r="M716" s="576"/>
      <c r="N716" s="576">
        <f t="shared" si="209"/>
        <v>0</v>
      </c>
      <c r="O716" s="642">
        <f t="shared" si="219"/>
        <v>0</v>
      </c>
      <c r="P716" s="659">
        <f t="shared" si="220"/>
        <v>0</v>
      </c>
      <c r="Q716" s="765"/>
      <c r="R716" s="576">
        <f t="shared" si="215"/>
        <v>0</v>
      </c>
      <c r="S716" s="576">
        <f t="shared" si="225"/>
        <v>0</v>
      </c>
      <c r="T716" s="577">
        <f t="shared" si="216"/>
        <v>0</v>
      </c>
      <c r="U716" s="578">
        <f t="shared" si="217"/>
        <v>0</v>
      </c>
      <c r="V716" s="579"/>
      <c r="W716" s="566"/>
      <c r="X716" s="586" t="str">
        <f t="shared" si="191"/>
        <v/>
      </c>
      <c r="Y716" s="586" t="str">
        <f t="shared" si="189"/>
        <v/>
      </c>
      <c r="Z716" s="586" t="str">
        <f t="shared" si="208"/>
        <v/>
      </c>
    </row>
    <row r="717" spans="1:26" hidden="1" x14ac:dyDescent="0.2">
      <c r="A717" s="567">
        <v>535200</v>
      </c>
      <c r="B717" s="644" t="s">
        <v>1859</v>
      </c>
      <c r="C717" s="645" t="s">
        <v>206</v>
      </c>
      <c r="D717" s="422" t="s">
        <v>290</v>
      </c>
      <c r="E717" s="423"/>
      <c r="F717" s="424">
        <v>20</v>
      </c>
      <c r="G717" s="419">
        <v>7.6999999999999999E-2</v>
      </c>
      <c r="H717" s="663">
        <f t="shared" si="226"/>
        <v>1.85416</v>
      </c>
      <c r="I717" s="420">
        <v>10.85</v>
      </c>
      <c r="J717" s="420">
        <f t="shared" si="227"/>
        <v>12.70416</v>
      </c>
      <c r="K717" s="421">
        <f t="shared" si="224"/>
        <v>15.09</v>
      </c>
      <c r="L717" s="647" t="s">
        <v>19</v>
      </c>
      <c r="M717" s="576"/>
      <c r="N717" s="576">
        <f t="shared" si="209"/>
        <v>0</v>
      </c>
      <c r="O717" s="577">
        <f t="shared" si="219"/>
        <v>0</v>
      </c>
      <c r="P717" s="578">
        <f t="shared" si="220"/>
        <v>0</v>
      </c>
      <c r="Q717" s="765"/>
      <c r="R717" s="576">
        <f t="shared" si="215"/>
        <v>0</v>
      </c>
      <c r="S717" s="576">
        <f t="shared" si="225"/>
        <v>0</v>
      </c>
      <c r="T717" s="577">
        <f t="shared" si="216"/>
        <v>0</v>
      </c>
      <c r="U717" s="578">
        <f t="shared" si="217"/>
        <v>0</v>
      </c>
      <c r="V717" s="579"/>
      <c r="W717" s="566"/>
      <c r="X717" s="586" t="str">
        <f t="shared" si="191"/>
        <v/>
      </c>
      <c r="Y717" s="586" t="str">
        <f t="shared" si="189"/>
        <v/>
      </c>
      <c r="Z717" s="586" t="str">
        <f t="shared" si="208"/>
        <v/>
      </c>
    </row>
    <row r="718" spans="1:26" hidden="1" x14ac:dyDescent="0.2">
      <c r="A718" s="567">
        <v>521450</v>
      </c>
      <c r="B718" s="644" t="s">
        <v>1545</v>
      </c>
      <c r="C718" s="645" t="s">
        <v>206</v>
      </c>
      <c r="D718" s="422" t="s">
        <v>291</v>
      </c>
      <c r="E718" s="423"/>
      <c r="F718" s="424"/>
      <c r="G718" s="419"/>
      <c r="H718" s="651">
        <f t="shared" ref="H718:H719" si="228">IF(F718&lt;=30,(0.62*F718+6.29)*G718,((0.62*30+6.29)+0.62*(F718-30))*G718)</f>
        <v>0</v>
      </c>
      <c r="I718" s="420">
        <v>9.42</v>
      </c>
      <c r="J718" s="420">
        <f t="shared" si="227"/>
        <v>9.42</v>
      </c>
      <c r="K718" s="421">
        <f t="shared" si="224"/>
        <v>11.19</v>
      </c>
      <c r="L718" s="647" t="s">
        <v>18</v>
      </c>
      <c r="M718" s="576"/>
      <c r="N718" s="576">
        <f t="shared" si="209"/>
        <v>0</v>
      </c>
      <c r="O718" s="577">
        <f t="shared" si="219"/>
        <v>0</v>
      </c>
      <c r="P718" s="578">
        <f t="shared" si="220"/>
        <v>0</v>
      </c>
      <c r="Q718" s="765"/>
      <c r="R718" s="576">
        <f t="shared" si="215"/>
        <v>0</v>
      </c>
      <c r="S718" s="576">
        <f t="shared" si="225"/>
        <v>0</v>
      </c>
      <c r="T718" s="577">
        <f t="shared" si="216"/>
        <v>0</v>
      </c>
      <c r="U718" s="578">
        <f t="shared" si="217"/>
        <v>0</v>
      </c>
      <c r="V718" s="579"/>
      <c r="W718" s="566"/>
      <c r="X718" s="586" t="str">
        <f t="shared" si="191"/>
        <v/>
      </c>
      <c r="Y718" s="586" t="str">
        <f t="shared" si="189"/>
        <v/>
      </c>
      <c r="Z718" s="586" t="str">
        <f t="shared" si="208"/>
        <v/>
      </c>
    </row>
    <row r="719" spans="1:26" hidden="1" x14ac:dyDescent="0.2">
      <c r="A719" s="567">
        <v>521450</v>
      </c>
      <c r="B719" s="644" t="s">
        <v>1546</v>
      </c>
      <c r="C719" s="645" t="s">
        <v>206</v>
      </c>
      <c r="D719" s="422" t="s">
        <v>292</v>
      </c>
      <c r="E719" s="423"/>
      <c r="F719" s="424"/>
      <c r="G719" s="419"/>
      <c r="H719" s="651">
        <f t="shared" si="228"/>
        <v>0</v>
      </c>
      <c r="I719" s="420">
        <v>13.188000000000001</v>
      </c>
      <c r="J719" s="420">
        <f t="shared" si="227"/>
        <v>13.188000000000001</v>
      </c>
      <c r="K719" s="421">
        <f t="shared" si="224"/>
        <v>15.67</v>
      </c>
      <c r="L719" s="647" t="s">
        <v>18</v>
      </c>
      <c r="M719" s="576"/>
      <c r="N719" s="576">
        <f t="shared" si="209"/>
        <v>0</v>
      </c>
      <c r="O719" s="577">
        <f t="shared" si="219"/>
        <v>0</v>
      </c>
      <c r="P719" s="578">
        <f t="shared" si="220"/>
        <v>0</v>
      </c>
      <c r="Q719" s="765"/>
      <c r="R719" s="576">
        <f t="shared" si="215"/>
        <v>0</v>
      </c>
      <c r="S719" s="576">
        <f t="shared" si="225"/>
        <v>0</v>
      </c>
      <c r="T719" s="577">
        <f t="shared" si="216"/>
        <v>0</v>
      </c>
      <c r="U719" s="578">
        <f t="shared" si="217"/>
        <v>0</v>
      </c>
      <c r="V719" s="579"/>
      <c r="W719" s="566"/>
      <c r="X719" s="586" t="str">
        <f t="shared" si="191"/>
        <v/>
      </c>
      <c r="Y719" s="586" t="str">
        <f t="shared" si="189"/>
        <v/>
      </c>
      <c r="Z719" s="586" t="str">
        <f t="shared" si="208"/>
        <v/>
      </c>
    </row>
    <row r="720" spans="1:26" hidden="1" x14ac:dyDescent="0.2">
      <c r="A720" s="567">
        <v>535000</v>
      </c>
      <c r="B720" s="644" t="s">
        <v>1860</v>
      </c>
      <c r="C720" s="645" t="s">
        <v>206</v>
      </c>
      <c r="D720" s="422" t="s">
        <v>241</v>
      </c>
      <c r="E720" s="423"/>
      <c r="F720" s="424">
        <v>20</v>
      </c>
      <c r="G720" s="425">
        <v>0.27200000000000002</v>
      </c>
      <c r="H720" s="663">
        <f t="shared" ref="H720:H733" si="229">IF(F720&lt;=30,(1.07*F720+2.68)*G720,((1.07*30+2.68)+1.07*(F720-30))*G720)</f>
        <v>6.5497600000000009</v>
      </c>
      <c r="I720" s="420">
        <v>105.75</v>
      </c>
      <c r="J720" s="420">
        <f t="shared" si="227"/>
        <v>112.29976000000001</v>
      </c>
      <c r="K720" s="421">
        <f t="shared" si="224"/>
        <v>133.41999999999999</v>
      </c>
      <c r="L720" s="647" t="s">
        <v>18</v>
      </c>
      <c r="M720" s="576"/>
      <c r="N720" s="576">
        <f t="shared" si="209"/>
        <v>0</v>
      </c>
      <c r="O720" s="577">
        <f t="shared" si="219"/>
        <v>0</v>
      </c>
      <c r="P720" s="578">
        <f t="shared" si="220"/>
        <v>0</v>
      </c>
      <c r="Q720" s="765"/>
      <c r="R720" s="576">
        <f t="shared" si="215"/>
        <v>0</v>
      </c>
      <c r="S720" s="576">
        <f t="shared" si="225"/>
        <v>0</v>
      </c>
      <c r="T720" s="577">
        <f t="shared" si="216"/>
        <v>0</v>
      </c>
      <c r="U720" s="578">
        <f t="shared" si="217"/>
        <v>0</v>
      </c>
      <c r="V720" s="579"/>
      <c r="W720" s="566"/>
      <c r="X720" s="586" t="str">
        <f t="shared" si="191"/>
        <v/>
      </c>
      <c r="Y720" s="586" t="str">
        <f t="shared" si="189"/>
        <v/>
      </c>
      <c r="Z720" s="586" t="str">
        <f t="shared" si="208"/>
        <v/>
      </c>
    </row>
    <row r="721" spans="1:26" hidden="1" x14ac:dyDescent="0.2">
      <c r="A721" s="567">
        <v>863000</v>
      </c>
      <c r="B721" s="644" t="s">
        <v>1554</v>
      </c>
      <c r="C721" s="645" t="s">
        <v>206</v>
      </c>
      <c r="D721" s="422" t="s">
        <v>242</v>
      </c>
      <c r="E721" s="423"/>
      <c r="F721" s="424">
        <v>20</v>
      </c>
      <c r="G721" s="425">
        <f>2*0.04</f>
        <v>0.08</v>
      </c>
      <c r="H721" s="663">
        <f t="shared" si="229"/>
        <v>1.9264000000000001</v>
      </c>
      <c r="I721" s="420">
        <v>58.207999999999998</v>
      </c>
      <c r="J721" s="420">
        <f t="shared" si="227"/>
        <v>60.134399999999999</v>
      </c>
      <c r="K721" s="421">
        <f t="shared" si="224"/>
        <v>71.45</v>
      </c>
      <c r="L721" s="647" t="s">
        <v>18</v>
      </c>
      <c r="M721" s="576"/>
      <c r="N721" s="576">
        <f t="shared" si="209"/>
        <v>0</v>
      </c>
      <c r="O721" s="577">
        <f t="shared" si="219"/>
        <v>0</v>
      </c>
      <c r="P721" s="578">
        <f t="shared" si="220"/>
        <v>0</v>
      </c>
      <c r="Q721" s="765"/>
      <c r="R721" s="576">
        <f t="shared" si="215"/>
        <v>0</v>
      </c>
      <c r="S721" s="576">
        <f t="shared" si="225"/>
        <v>0</v>
      </c>
      <c r="T721" s="577">
        <f t="shared" si="216"/>
        <v>0</v>
      </c>
      <c r="U721" s="578">
        <f t="shared" si="217"/>
        <v>0</v>
      </c>
      <c r="V721" s="579"/>
      <c r="W721" s="566"/>
      <c r="X721" s="586" t="str">
        <f t="shared" si="191"/>
        <v/>
      </c>
      <c r="Y721" s="586" t="str">
        <f t="shared" si="189"/>
        <v/>
      </c>
      <c r="Z721" s="586" t="str">
        <f t="shared" si="208"/>
        <v/>
      </c>
    </row>
    <row r="722" spans="1:26" hidden="1" x14ac:dyDescent="0.2">
      <c r="A722" s="567">
        <v>863000</v>
      </c>
      <c r="B722" s="644" t="s">
        <v>1555</v>
      </c>
      <c r="C722" s="645" t="s">
        <v>206</v>
      </c>
      <c r="D722" s="422" t="s">
        <v>243</v>
      </c>
      <c r="E722" s="423"/>
      <c r="F722" s="424">
        <v>20</v>
      </c>
      <c r="G722" s="425">
        <f>2*0.05</f>
        <v>0.1</v>
      </c>
      <c r="H722" s="663">
        <f t="shared" si="229"/>
        <v>2.4080000000000004</v>
      </c>
      <c r="I722" s="420">
        <v>65.48</v>
      </c>
      <c r="J722" s="420">
        <f t="shared" si="227"/>
        <v>67.888000000000005</v>
      </c>
      <c r="K722" s="421">
        <f t="shared" si="224"/>
        <v>80.66</v>
      </c>
      <c r="L722" s="647" t="s">
        <v>18</v>
      </c>
      <c r="M722" s="576"/>
      <c r="N722" s="576">
        <f t="shared" si="209"/>
        <v>0</v>
      </c>
      <c r="O722" s="577">
        <f t="shared" si="219"/>
        <v>0</v>
      </c>
      <c r="P722" s="578">
        <f t="shared" si="220"/>
        <v>0</v>
      </c>
      <c r="Q722" s="765"/>
      <c r="R722" s="576">
        <f t="shared" si="215"/>
        <v>0</v>
      </c>
      <c r="S722" s="576">
        <f t="shared" si="225"/>
        <v>0</v>
      </c>
      <c r="T722" s="577">
        <f t="shared" si="216"/>
        <v>0</v>
      </c>
      <c r="U722" s="578">
        <f t="shared" si="217"/>
        <v>0</v>
      </c>
      <c r="V722" s="579"/>
      <c r="W722" s="566"/>
      <c r="X722" s="586" t="str">
        <f t="shared" si="191"/>
        <v/>
      </c>
      <c r="Y722" s="586" t="str">
        <f t="shared" si="189"/>
        <v/>
      </c>
      <c r="Z722" s="586" t="str">
        <f t="shared" si="208"/>
        <v/>
      </c>
    </row>
    <row r="723" spans="1:26" hidden="1" x14ac:dyDescent="0.2">
      <c r="A723" s="567">
        <v>534906</v>
      </c>
      <c r="B723" s="644" t="s">
        <v>1556</v>
      </c>
      <c r="C723" s="645" t="s">
        <v>206</v>
      </c>
      <c r="D723" s="422" t="s">
        <v>244</v>
      </c>
      <c r="E723" s="423"/>
      <c r="F723" s="424">
        <v>20</v>
      </c>
      <c r="G723" s="425">
        <f>2*0.06</f>
        <v>0.12</v>
      </c>
      <c r="H723" s="663">
        <f t="shared" si="229"/>
        <v>2.8896000000000002</v>
      </c>
      <c r="I723" s="420">
        <v>72.759999999999991</v>
      </c>
      <c r="J723" s="420">
        <f t="shared" si="227"/>
        <v>75.649599999999992</v>
      </c>
      <c r="K723" s="421">
        <f t="shared" si="224"/>
        <v>89.88</v>
      </c>
      <c r="L723" s="647" t="s">
        <v>18</v>
      </c>
      <c r="M723" s="576"/>
      <c r="N723" s="576">
        <f t="shared" si="209"/>
        <v>0</v>
      </c>
      <c r="O723" s="577">
        <f t="shared" si="219"/>
        <v>0</v>
      </c>
      <c r="P723" s="578">
        <f t="shared" si="220"/>
        <v>0</v>
      </c>
      <c r="Q723" s="765"/>
      <c r="R723" s="576">
        <f t="shared" si="215"/>
        <v>0</v>
      </c>
      <c r="S723" s="576">
        <f t="shared" si="225"/>
        <v>0</v>
      </c>
      <c r="T723" s="577">
        <f t="shared" si="216"/>
        <v>0</v>
      </c>
      <c r="U723" s="578">
        <f t="shared" si="217"/>
        <v>0</v>
      </c>
      <c r="V723" s="579"/>
      <c r="W723" s="566"/>
      <c r="X723" s="586" t="str">
        <f t="shared" si="191"/>
        <v/>
      </c>
      <c r="Y723" s="586" t="str">
        <f t="shared" si="189"/>
        <v/>
      </c>
      <c r="Z723" s="586" t="str">
        <f t="shared" si="208"/>
        <v/>
      </c>
    </row>
    <row r="724" spans="1:26" hidden="1" x14ac:dyDescent="0.2">
      <c r="A724" s="567">
        <v>534906</v>
      </c>
      <c r="B724" s="644" t="s">
        <v>1557</v>
      </c>
      <c r="C724" s="645" t="s">
        <v>206</v>
      </c>
      <c r="D724" s="422" t="s">
        <v>245</v>
      </c>
      <c r="E724" s="423"/>
      <c r="F724" s="424">
        <v>20</v>
      </c>
      <c r="G724" s="425">
        <f>2*0.07</f>
        <v>0.14000000000000001</v>
      </c>
      <c r="H724" s="663">
        <f t="shared" si="229"/>
        <v>3.3712000000000004</v>
      </c>
      <c r="I724" s="420">
        <v>78.16</v>
      </c>
      <c r="J724" s="420">
        <f t="shared" si="227"/>
        <v>81.531199999999998</v>
      </c>
      <c r="K724" s="421">
        <f t="shared" si="224"/>
        <v>96.87</v>
      </c>
      <c r="L724" s="647" t="s">
        <v>18</v>
      </c>
      <c r="M724" s="576"/>
      <c r="N724" s="576">
        <f t="shared" ref="N724:N787" si="230">IF(M724=0,0,K724)</f>
        <v>0</v>
      </c>
      <c r="O724" s="577">
        <f t="shared" si="219"/>
        <v>0</v>
      </c>
      <c r="P724" s="578">
        <f t="shared" si="220"/>
        <v>0</v>
      </c>
      <c r="Q724" s="765"/>
      <c r="R724" s="576">
        <f t="shared" si="215"/>
        <v>0</v>
      </c>
      <c r="S724" s="576">
        <f t="shared" si="225"/>
        <v>0</v>
      </c>
      <c r="T724" s="577">
        <f t="shared" si="216"/>
        <v>0</v>
      </c>
      <c r="U724" s="578">
        <f t="shared" si="217"/>
        <v>0</v>
      </c>
      <c r="V724" s="579"/>
      <c r="W724" s="566"/>
      <c r="X724" s="586" t="str">
        <f t="shared" si="191"/>
        <v/>
      </c>
      <c r="Y724" s="586" t="str">
        <f t="shared" si="189"/>
        <v/>
      </c>
      <c r="Z724" s="586" t="str">
        <f t="shared" si="208"/>
        <v/>
      </c>
    </row>
    <row r="725" spans="1:26" hidden="1" x14ac:dyDescent="0.2">
      <c r="A725" s="567">
        <v>534906</v>
      </c>
      <c r="B725" s="644" t="s">
        <v>1558</v>
      </c>
      <c r="C725" s="645" t="s">
        <v>206</v>
      </c>
      <c r="D725" s="422" t="s">
        <v>246</v>
      </c>
      <c r="E725" s="423"/>
      <c r="F725" s="424">
        <v>20</v>
      </c>
      <c r="G725" s="425">
        <f>2*0.08</f>
        <v>0.16</v>
      </c>
      <c r="H725" s="663">
        <f t="shared" si="229"/>
        <v>3.8528000000000002</v>
      </c>
      <c r="I725" s="420">
        <v>83.56</v>
      </c>
      <c r="J725" s="420">
        <f t="shared" si="227"/>
        <v>87.412800000000004</v>
      </c>
      <c r="K725" s="421">
        <f t="shared" si="224"/>
        <v>103.86</v>
      </c>
      <c r="L725" s="647" t="s">
        <v>18</v>
      </c>
      <c r="M725" s="576"/>
      <c r="N725" s="576">
        <f t="shared" si="230"/>
        <v>0</v>
      </c>
      <c r="O725" s="577">
        <f t="shared" si="219"/>
        <v>0</v>
      </c>
      <c r="P725" s="578">
        <f t="shared" si="220"/>
        <v>0</v>
      </c>
      <c r="Q725" s="765"/>
      <c r="R725" s="576">
        <f t="shared" si="215"/>
        <v>0</v>
      </c>
      <c r="S725" s="576">
        <f t="shared" si="225"/>
        <v>0</v>
      </c>
      <c r="T725" s="577">
        <f t="shared" si="216"/>
        <v>0</v>
      </c>
      <c r="U725" s="578">
        <f t="shared" si="217"/>
        <v>0</v>
      </c>
      <c r="V725" s="579"/>
      <c r="W725" s="566"/>
      <c r="X725" s="586" t="str">
        <f t="shared" si="191"/>
        <v/>
      </c>
      <c r="Y725" s="586" t="str">
        <f t="shared" si="189"/>
        <v/>
      </c>
      <c r="Z725" s="586" t="str">
        <f t="shared" si="208"/>
        <v/>
      </c>
    </row>
    <row r="726" spans="1:26" hidden="1" x14ac:dyDescent="0.2">
      <c r="A726" s="567">
        <v>534906</v>
      </c>
      <c r="B726" s="644" t="s">
        <v>1559</v>
      </c>
      <c r="C726" s="645" t="s">
        <v>206</v>
      </c>
      <c r="D726" s="422" t="s">
        <v>247</v>
      </c>
      <c r="E726" s="423"/>
      <c r="F726" s="424">
        <v>20</v>
      </c>
      <c r="G726" s="425">
        <f>2*0.1</f>
        <v>0.2</v>
      </c>
      <c r="H726" s="663">
        <f t="shared" si="229"/>
        <v>4.8160000000000007</v>
      </c>
      <c r="I726" s="420">
        <v>94.614793103448264</v>
      </c>
      <c r="J726" s="420">
        <f t="shared" si="227"/>
        <v>99.430793103448266</v>
      </c>
      <c r="K726" s="421">
        <f t="shared" si="224"/>
        <v>118.13</v>
      </c>
      <c r="L726" s="647" t="s">
        <v>18</v>
      </c>
      <c r="M726" s="576"/>
      <c r="N726" s="576">
        <f t="shared" si="230"/>
        <v>0</v>
      </c>
      <c r="O726" s="577">
        <f t="shared" si="219"/>
        <v>0</v>
      </c>
      <c r="P726" s="578">
        <f t="shared" si="220"/>
        <v>0</v>
      </c>
      <c r="Q726" s="765"/>
      <c r="R726" s="576">
        <f t="shared" si="215"/>
        <v>0</v>
      </c>
      <c r="S726" s="576">
        <f t="shared" si="225"/>
        <v>0</v>
      </c>
      <c r="T726" s="577">
        <f t="shared" si="216"/>
        <v>0</v>
      </c>
      <c r="U726" s="578">
        <f t="shared" si="217"/>
        <v>0</v>
      </c>
      <c r="V726" s="579"/>
      <c r="W726" s="566"/>
      <c r="X726" s="586" t="str">
        <f t="shared" si="191"/>
        <v/>
      </c>
      <c r="Y726" s="586" t="str">
        <f t="shared" si="189"/>
        <v/>
      </c>
      <c r="Z726" s="586" t="str">
        <f t="shared" si="208"/>
        <v/>
      </c>
    </row>
    <row r="727" spans="1:26" hidden="1" x14ac:dyDescent="0.2">
      <c r="A727" s="567">
        <v>534906</v>
      </c>
      <c r="B727" s="644" t="s">
        <v>1560</v>
      </c>
      <c r="C727" s="645" t="s">
        <v>206</v>
      </c>
      <c r="D727" s="422" t="s">
        <v>805</v>
      </c>
      <c r="E727" s="423"/>
      <c r="F727" s="424">
        <v>20</v>
      </c>
      <c r="G727" s="425">
        <v>0.14000000000000001</v>
      </c>
      <c r="H727" s="663">
        <f t="shared" si="229"/>
        <v>3.3712000000000004</v>
      </c>
      <c r="I727" s="420">
        <v>72.759999999999991</v>
      </c>
      <c r="J727" s="420">
        <f t="shared" si="227"/>
        <v>76.131199999999993</v>
      </c>
      <c r="K727" s="421">
        <f t="shared" si="224"/>
        <v>90.45</v>
      </c>
      <c r="L727" s="647" t="s">
        <v>18</v>
      </c>
      <c r="M727" s="576"/>
      <c r="N727" s="576">
        <f t="shared" si="230"/>
        <v>0</v>
      </c>
      <c r="O727" s="577">
        <f t="shared" si="219"/>
        <v>0</v>
      </c>
      <c r="P727" s="578">
        <f t="shared" si="220"/>
        <v>0</v>
      </c>
      <c r="Q727" s="765"/>
      <c r="R727" s="576">
        <f t="shared" si="215"/>
        <v>0</v>
      </c>
      <c r="S727" s="576">
        <f t="shared" si="225"/>
        <v>0</v>
      </c>
      <c r="T727" s="577">
        <f t="shared" si="216"/>
        <v>0</v>
      </c>
      <c r="U727" s="578">
        <f t="shared" si="217"/>
        <v>0</v>
      </c>
      <c r="V727" s="579"/>
      <c r="W727" s="566"/>
      <c r="X727" s="586" t="str">
        <f t="shared" si="191"/>
        <v/>
      </c>
      <c r="Y727" s="586" t="str">
        <f t="shared" si="189"/>
        <v/>
      </c>
      <c r="Z727" s="586" t="str">
        <f t="shared" si="208"/>
        <v/>
      </c>
    </row>
    <row r="728" spans="1:26" hidden="1" x14ac:dyDescent="0.2">
      <c r="A728" s="567">
        <v>534906</v>
      </c>
      <c r="B728" s="644" t="s">
        <v>1561</v>
      </c>
      <c r="C728" s="645" t="s">
        <v>206</v>
      </c>
      <c r="D728" s="422" t="s">
        <v>806</v>
      </c>
      <c r="E728" s="423"/>
      <c r="F728" s="424">
        <v>20</v>
      </c>
      <c r="G728" s="425">
        <v>0.14000000000000001</v>
      </c>
      <c r="H728" s="663">
        <f t="shared" si="229"/>
        <v>3.3712000000000004</v>
      </c>
      <c r="I728" s="420">
        <v>80.040000000000006</v>
      </c>
      <c r="J728" s="420">
        <f t="shared" si="227"/>
        <v>83.411200000000008</v>
      </c>
      <c r="K728" s="421">
        <f t="shared" si="224"/>
        <v>99.1</v>
      </c>
      <c r="L728" s="647" t="s">
        <v>18</v>
      </c>
      <c r="M728" s="576"/>
      <c r="N728" s="576">
        <f t="shared" si="230"/>
        <v>0</v>
      </c>
      <c r="O728" s="577">
        <f t="shared" si="219"/>
        <v>0</v>
      </c>
      <c r="P728" s="578">
        <f t="shared" si="220"/>
        <v>0</v>
      </c>
      <c r="Q728" s="765"/>
      <c r="R728" s="576">
        <f t="shared" si="215"/>
        <v>0</v>
      </c>
      <c r="S728" s="576">
        <f t="shared" si="225"/>
        <v>0</v>
      </c>
      <c r="T728" s="577">
        <f t="shared" si="216"/>
        <v>0</v>
      </c>
      <c r="U728" s="578">
        <f t="shared" si="217"/>
        <v>0</v>
      </c>
      <c r="V728" s="579"/>
      <c r="W728" s="566"/>
      <c r="X728" s="586" t="str">
        <f t="shared" si="191"/>
        <v/>
      </c>
      <c r="Y728" s="586" t="str">
        <f t="shared" si="189"/>
        <v/>
      </c>
      <c r="Z728" s="586" t="str">
        <f t="shared" si="208"/>
        <v/>
      </c>
    </row>
    <row r="729" spans="1:26" hidden="1" x14ac:dyDescent="0.2">
      <c r="A729" s="567">
        <v>534908</v>
      </c>
      <c r="B729" s="644" t="s">
        <v>233</v>
      </c>
      <c r="C729" s="645" t="s">
        <v>206</v>
      </c>
      <c r="D729" s="422" t="s">
        <v>807</v>
      </c>
      <c r="E729" s="423"/>
      <c r="F729" s="424">
        <v>20</v>
      </c>
      <c r="G729" s="425">
        <v>0.18</v>
      </c>
      <c r="H729" s="663">
        <f t="shared" si="229"/>
        <v>4.3344000000000005</v>
      </c>
      <c r="I729" s="420">
        <v>83.56</v>
      </c>
      <c r="J729" s="420">
        <f t="shared" si="227"/>
        <v>87.894400000000005</v>
      </c>
      <c r="K729" s="421">
        <f t="shared" si="224"/>
        <v>104.43</v>
      </c>
      <c r="L729" s="647" t="s">
        <v>18</v>
      </c>
      <c r="M729" s="576"/>
      <c r="N729" s="576">
        <f t="shared" si="230"/>
        <v>0</v>
      </c>
      <c r="O729" s="577">
        <f t="shared" si="219"/>
        <v>0</v>
      </c>
      <c r="P729" s="578">
        <f t="shared" si="220"/>
        <v>0</v>
      </c>
      <c r="Q729" s="765"/>
      <c r="R729" s="576">
        <f t="shared" si="215"/>
        <v>0</v>
      </c>
      <c r="S729" s="576">
        <f t="shared" si="225"/>
        <v>0</v>
      </c>
      <c r="T729" s="577">
        <f t="shared" si="216"/>
        <v>0</v>
      </c>
      <c r="U729" s="578">
        <f t="shared" si="217"/>
        <v>0</v>
      </c>
      <c r="V729" s="579"/>
      <c r="W729" s="566"/>
      <c r="X729" s="586" t="str">
        <f t="shared" si="191"/>
        <v/>
      </c>
      <c r="Y729" s="586" t="str">
        <f t="shared" si="189"/>
        <v/>
      </c>
      <c r="Z729" s="586" t="str">
        <f t="shared" si="208"/>
        <v/>
      </c>
    </row>
    <row r="730" spans="1:26" hidden="1" x14ac:dyDescent="0.2">
      <c r="A730" s="567">
        <v>534908</v>
      </c>
      <c r="B730" s="644" t="s">
        <v>234</v>
      </c>
      <c r="C730" s="645" t="s">
        <v>206</v>
      </c>
      <c r="D730" s="422" t="s">
        <v>808</v>
      </c>
      <c r="E730" s="423"/>
      <c r="F730" s="424">
        <v>20</v>
      </c>
      <c r="G730" s="425">
        <v>0.18</v>
      </c>
      <c r="H730" s="663">
        <f t="shared" si="229"/>
        <v>4.3344000000000005</v>
      </c>
      <c r="I730" s="420">
        <v>91.92</v>
      </c>
      <c r="J730" s="420">
        <f t="shared" si="227"/>
        <v>96.254400000000004</v>
      </c>
      <c r="K730" s="421">
        <f t="shared" si="224"/>
        <v>114.36</v>
      </c>
      <c r="L730" s="647" t="s">
        <v>18</v>
      </c>
      <c r="M730" s="576"/>
      <c r="N730" s="576">
        <f t="shared" si="230"/>
        <v>0</v>
      </c>
      <c r="O730" s="577">
        <f t="shared" si="219"/>
        <v>0</v>
      </c>
      <c r="P730" s="578">
        <f t="shared" si="220"/>
        <v>0</v>
      </c>
      <c r="Q730" s="765"/>
      <c r="R730" s="576">
        <f t="shared" si="215"/>
        <v>0</v>
      </c>
      <c r="S730" s="576">
        <f t="shared" si="225"/>
        <v>0</v>
      </c>
      <c r="T730" s="577">
        <f t="shared" si="216"/>
        <v>0</v>
      </c>
      <c r="U730" s="578">
        <f t="shared" si="217"/>
        <v>0</v>
      </c>
      <c r="V730" s="579"/>
      <c r="W730" s="566"/>
      <c r="X730" s="586" t="str">
        <f t="shared" si="191"/>
        <v/>
      </c>
      <c r="Y730" s="586" t="str">
        <f t="shared" si="189"/>
        <v/>
      </c>
      <c r="Z730" s="586" t="str">
        <f t="shared" si="208"/>
        <v/>
      </c>
    </row>
    <row r="731" spans="1:26" hidden="1" x14ac:dyDescent="0.2">
      <c r="A731" s="567">
        <v>534908</v>
      </c>
      <c r="B731" s="644" t="s">
        <v>1562</v>
      </c>
      <c r="C731" s="645" t="s">
        <v>206</v>
      </c>
      <c r="D731" s="422" t="s">
        <v>809</v>
      </c>
      <c r="E731" s="423"/>
      <c r="F731" s="424">
        <v>20</v>
      </c>
      <c r="G731" s="425">
        <v>0.22</v>
      </c>
      <c r="H731" s="663">
        <f t="shared" si="229"/>
        <v>5.2976000000000001</v>
      </c>
      <c r="I731" s="420">
        <v>94.614793103448264</v>
      </c>
      <c r="J731" s="420">
        <f t="shared" si="227"/>
        <v>99.912393103448267</v>
      </c>
      <c r="K731" s="421">
        <f t="shared" si="224"/>
        <v>118.71</v>
      </c>
      <c r="L731" s="647" t="s">
        <v>18</v>
      </c>
      <c r="M731" s="576"/>
      <c r="N731" s="576">
        <f t="shared" si="230"/>
        <v>0</v>
      </c>
      <c r="O731" s="577">
        <f t="shared" si="219"/>
        <v>0</v>
      </c>
      <c r="P731" s="578">
        <f t="shared" si="220"/>
        <v>0</v>
      </c>
      <c r="Q731" s="765"/>
      <c r="R731" s="576">
        <f t="shared" si="215"/>
        <v>0</v>
      </c>
      <c r="S731" s="576">
        <f t="shared" si="225"/>
        <v>0</v>
      </c>
      <c r="T731" s="577">
        <f t="shared" si="216"/>
        <v>0</v>
      </c>
      <c r="U731" s="578">
        <f t="shared" si="217"/>
        <v>0</v>
      </c>
      <c r="V731" s="579"/>
      <c r="W731" s="566"/>
      <c r="X731" s="586" t="str">
        <f t="shared" si="191"/>
        <v/>
      </c>
      <c r="Y731" s="586" t="str">
        <f t="shared" si="189"/>
        <v/>
      </c>
      <c r="Z731" s="586" t="str">
        <f t="shared" si="208"/>
        <v/>
      </c>
    </row>
    <row r="732" spans="1:26" hidden="1" x14ac:dyDescent="0.2">
      <c r="A732" s="567">
        <v>534908</v>
      </c>
      <c r="B732" s="644" t="s">
        <v>1563</v>
      </c>
      <c r="C732" s="645" t="s">
        <v>206</v>
      </c>
      <c r="D732" s="422" t="s">
        <v>810</v>
      </c>
      <c r="E732" s="423"/>
      <c r="F732" s="424">
        <v>20</v>
      </c>
      <c r="G732" s="425">
        <v>0.22</v>
      </c>
      <c r="H732" s="663">
        <f t="shared" si="229"/>
        <v>5.2976000000000001</v>
      </c>
      <c r="I732" s="420">
        <v>104.08</v>
      </c>
      <c r="J732" s="420">
        <f t="shared" si="227"/>
        <v>109.3776</v>
      </c>
      <c r="K732" s="421">
        <f t="shared" si="224"/>
        <v>129.94999999999999</v>
      </c>
      <c r="L732" s="647" t="s">
        <v>18</v>
      </c>
      <c r="M732" s="576"/>
      <c r="N732" s="576">
        <f t="shared" si="230"/>
        <v>0</v>
      </c>
      <c r="O732" s="577">
        <f t="shared" si="219"/>
        <v>0</v>
      </c>
      <c r="P732" s="578">
        <f t="shared" si="220"/>
        <v>0</v>
      </c>
      <c r="Q732" s="765"/>
      <c r="R732" s="576">
        <f t="shared" si="215"/>
        <v>0</v>
      </c>
      <c r="S732" s="576">
        <f t="shared" si="225"/>
        <v>0</v>
      </c>
      <c r="T732" s="577">
        <f t="shared" si="216"/>
        <v>0</v>
      </c>
      <c r="U732" s="578">
        <f t="shared" si="217"/>
        <v>0</v>
      </c>
      <c r="V732" s="579"/>
      <c r="W732" s="566"/>
      <c r="X732" s="586" t="str">
        <f t="shared" si="191"/>
        <v/>
      </c>
      <c r="Y732" s="586" t="str">
        <f t="shared" si="189"/>
        <v/>
      </c>
      <c r="Z732" s="586" t="str">
        <f t="shared" si="208"/>
        <v/>
      </c>
    </row>
    <row r="733" spans="1:26" hidden="1" x14ac:dyDescent="0.2">
      <c r="A733" s="671">
        <v>101090</v>
      </c>
      <c r="B733" s="644" t="s">
        <v>1564</v>
      </c>
      <c r="C733" s="645" t="s">
        <v>670</v>
      </c>
      <c r="D733" s="422" t="s">
        <v>811</v>
      </c>
      <c r="E733" s="423"/>
      <c r="F733" s="424">
        <v>20</v>
      </c>
      <c r="G733" s="425">
        <v>0.3</v>
      </c>
      <c r="H733" s="663">
        <f t="shared" si="229"/>
        <v>7.2240000000000002</v>
      </c>
      <c r="I733" s="420">
        <v>177.63</v>
      </c>
      <c r="J733" s="420">
        <f>IF(ISBLANK(I733),"",SUM(H733:I733))</f>
        <v>184.85399999999998</v>
      </c>
      <c r="K733" s="421">
        <f t="shared" si="224"/>
        <v>219.63</v>
      </c>
      <c r="L733" s="647" t="s">
        <v>18</v>
      </c>
      <c r="M733" s="650"/>
      <c r="N733" s="576">
        <f t="shared" si="230"/>
        <v>0</v>
      </c>
      <c r="O733" s="577">
        <f t="shared" si="219"/>
        <v>0</v>
      </c>
      <c r="P733" s="578">
        <f t="shared" si="220"/>
        <v>0</v>
      </c>
      <c r="Q733" s="765"/>
      <c r="R733" s="650">
        <f t="shared" si="215"/>
        <v>0</v>
      </c>
      <c r="S733" s="587">
        <f t="shared" si="225"/>
        <v>0</v>
      </c>
      <c r="T733" s="577">
        <f t="shared" si="216"/>
        <v>0</v>
      </c>
      <c r="U733" s="578">
        <f t="shared" si="217"/>
        <v>0</v>
      </c>
      <c r="V733" s="579"/>
      <c r="W733" s="566"/>
      <c r="X733" s="586" t="str">
        <f t="shared" si="191"/>
        <v/>
      </c>
      <c r="Y733" s="586" t="str">
        <f t="shared" si="189"/>
        <v/>
      </c>
      <c r="Z733" s="586" t="str">
        <f t="shared" si="208"/>
        <v/>
      </c>
    </row>
    <row r="734" spans="1:26" hidden="1" x14ac:dyDescent="0.2">
      <c r="A734" s="671">
        <v>98509</v>
      </c>
      <c r="B734" s="644">
        <v>98509</v>
      </c>
      <c r="C734" s="645" t="s">
        <v>670</v>
      </c>
      <c r="D734" s="422" t="s">
        <v>822</v>
      </c>
      <c r="E734" s="423"/>
      <c r="F734" s="424"/>
      <c r="G734" s="425"/>
      <c r="H734" s="651">
        <v>0</v>
      </c>
      <c r="I734" s="420">
        <v>28.98</v>
      </c>
      <c r="J734" s="420">
        <f t="shared" ref="J734:J746" si="231">IF(ISBLANK(I734),"",SUM(H734:I734))</f>
        <v>28.98</v>
      </c>
      <c r="K734" s="421">
        <f t="shared" si="224"/>
        <v>34.43</v>
      </c>
      <c r="L734" s="647" t="s">
        <v>21</v>
      </c>
      <c r="M734" s="576"/>
      <c r="N734" s="576">
        <f t="shared" si="230"/>
        <v>0</v>
      </c>
      <c r="O734" s="577">
        <f t="shared" si="219"/>
        <v>0</v>
      </c>
      <c r="P734" s="578">
        <f t="shared" si="220"/>
        <v>0</v>
      </c>
      <c r="Q734" s="765"/>
      <c r="R734" s="576">
        <f t="shared" si="215"/>
        <v>0</v>
      </c>
      <c r="S734" s="576">
        <f t="shared" si="225"/>
        <v>0</v>
      </c>
      <c r="T734" s="577">
        <f t="shared" si="216"/>
        <v>0</v>
      </c>
      <c r="U734" s="578">
        <f t="shared" si="217"/>
        <v>0</v>
      </c>
      <c r="V734" s="579"/>
      <c r="W734" s="566"/>
      <c r="X734" s="586" t="str">
        <f t="shared" si="191"/>
        <v/>
      </c>
      <c r="Y734" s="586" t="str">
        <f t="shared" si="189"/>
        <v/>
      </c>
      <c r="Z734" s="586" t="str">
        <f t="shared" si="208"/>
        <v/>
      </c>
    </row>
    <row r="735" spans="1:26" hidden="1" x14ac:dyDescent="0.2">
      <c r="A735" s="671">
        <v>98510</v>
      </c>
      <c r="B735" s="644">
        <v>98510</v>
      </c>
      <c r="C735" s="645" t="s">
        <v>670</v>
      </c>
      <c r="D735" s="422" t="s">
        <v>823</v>
      </c>
      <c r="E735" s="423"/>
      <c r="F735" s="424"/>
      <c r="G735" s="425"/>
      <c r="H735" s="651">
        <v>0</v>
      </c>
      <c r="I735" s="420">
        <v>51.29</v>
      </c>
      <c r="J735" s="420">
        <f>IF(ISBLANK(I735),"",SUM(H735:I735))</f>
        <v>51.29</v>
      </c>
      <c r="K735" s="421">
        <f>IF(ISBLANK(I735),0,ROUND(J735*(1+$F$10)*(1+$F$11*E735),2))</f>
        <v>60.94</v>
      </c>
      <c r="L735" s="647" t="s">
        <v>21</v>
      </c>
      <c r="M735" s="576"/>
      <c r="N735" s="576">
        <f t="shared" si="230"/>
        <v>0</v>
      </c>
      <c r="O735" s="577">
        <f t="shared" si="219"/>
        <v>0</v>
      </c>
      <c r="P735" s="578">
        <f t="shared" si="220"/>
        <v>0</v>
      </c>
      <c r="Q735" s="765"/>
      <c r="R735" s="576">
        <f t="shared" si="215"/>
        <v>0</v>
      </c>
      <c r="S735" s="576">
        <f t="shared" si="225"/>
        <v>0</v>
      </c>
      <c r="T735" s="577">
        <f t="shared" si="216"/>
        <v>0</v>
      </c>
      <c r="U735" s="578">
        <f t="shared" si="217"/>
        <v>0</v>
      </c>
      <c r="V735" s="579"/>
      <c r="W735" s="566"/>
      <c r="X735" s="586" t="str">
        <f>IF(W735="X","x",IF(W735="xx","x",IF(W735="xy","x",IF(W735="y","x",IF(OR(P735&gt;0,U735&gt;0),"x","")))))</f>
        <v/>
      </c>
      <c r="Y735" s="586" t="str">
        <f>IF(W735="X","x",IF(W735="y","x",IF(W735="xx","x",IF(U735&gt;0,"x",""))))</f>
        <v/>
      </c>
      <c r="Z735" s="586" t="str">
        <f>IF(W735="X","x",IF(U735&gt;0,"x",""))</f>
        <v/>
      </c>
    </row>
    <row r="736" spans="1:26" hidden="1" x14ac:dyDescent="0.2">
      <c r="A736" s="567">
        <v>98511</v>
      </c>
      <c r="B736" s="644">
        <v>98511</v>
      </c>
      <c r="C736" s="645" t="s">
        <v>670</v>
      </c>
      <c r="D736" s="422" t="s">
        <v>824</v>
      </c>
      <c r="E736" s="423"/>
      <c r="F736" s="424"/>
      <c r="G736" s="425"/>
      <c r="H736" s="651">
        <v>0</v>
      </c>
      <c r="I736" s="420">
        <v>92.87</v>
      </c>
      <c r="J736" s="420">
        <f>IF(ISBLANK(I736),"",SUM(H736:I736))</f>
        <v>92.87</v>
      </c>
      <c r="K736" s="421">
        <f t="shared" si="224"/>
        <v>110.34</v>
      </c>
      <c r="L736" s="647" t="s">
        <v>21</v>
      </c>
      <c r="M736" s="576"/>
      <c r="N736" s="576">
        <f t="shared" si="230"/>
        <v>0</v>
      </c>
      <c r="O736" s="577">
        <f t="shared" si="219"/>
        <v>0</v>
      </c>
      <c r="P736" s="578">
        <f t="shared" si="220"/>
        <v>0</v>
      </c>
      <c r="Q736" s="765"/>
      <c r="R736" s="576">
        <f t="shared" si="215"/>
        <v>0</v>
      </c>
      <c r="S736" s="576">
        <f t="shared" si="225"/>
        <v>0</v>
      </c>
      <c r="T736" s="577">
        <f t="shared" si="216"/>
        <v>0</v>
      </c>
      <c r="U736" s="578">
        <f t="shared" si="217"/>
        <v>0</v>
      </c>
      <c r="V736" s="579"/>
      <c r="W736" s="566"/>
      <c r="X736" s="586" t="str">
        <f t="shared" si="191"/>
        <v/>
      </c>
      <c r="Y736" s="586" t="str">
        <f t="shared" si="189"/>
        <v/>
      </c>
      <c r="Z736" s="586" t="str">
        <f t="shared" si="208"/>
        <v/>
      </c>
    </row>
    <row r="737" spans="1:26" hidden="1" x14ac:dyDescent="0.2">
      <c r="A737" s="567">
        <v>98516</v>
      </c>
      <c r="B737" s="644">
        <v>98516</v>
      </c>
      <c r="C737" s="645" t="s">
        <v>670</v>
      </c>
      <c r="D737" s="422" t="s">
        <v>825</v>
      </c>
      <c r="E737" s="423"/>
      <c r="F737" s="424"/>
      <c r="G737" s="425"/>
      <c r="H737" s="651">
        <v>0</v>
      </c>
      <c r="I737" s="420">
        <v>315.36</v>
      </c>
      <c r="J737" s="420">
        <f>IF(ISBLANK(I737),"",SUM(H737:I737))</f>
        <v>315.36</v>
      </c>
      <c r="K737" s="421">
        <f t="shared" si="224"/>
        <v>374.68</v>
      </c>
      <c r="L737" s="647" t="s">
        <v>21</v>
      </c>
      <c r="M737" s="576"/>
      <c r="N737" s="576">
        <f t="shared" si="230"/>
        <v>0</v>
      </c>
      <c r="O737" s="577">
        <f t="shared" si="219"/>
        <v>0</v>
      </c>
      <c r="P737" s="578">
        <f t="shared" si="220"/>
        <v>0</v>
      </c>
      <c r="Q737" s="765"/>
      <c r="R737" s="576">
        <f t="shared" si="215"/>
        <v>0</v>
      </c>
      <c r="S737" s="576">
        <f t="shared" si="225"/>
        <v>0</v>
      </c>
      <c r="T737" s="577">
        <f t="shared" si="216"/>
        <v>0</v>
      </c>
      <c r="U737" s="578">
        <f t="shared" si="217"/>
        <v>0</v>
      </c>
      <c r="V737" s="579"/>
      <c r="W737" s="566"/>
      <c r="X737" s="586" t="str">
        <f t="shared" si="191"/>
        <v/>
      </c>
      <c r="Y737" s="586" t="str">
        <f t="shared" si="189"/>
        <v/>
      </c>
      <c r="Z737" s="586" t="str">
        <f t="shared" si="208"/>
        <v/>
      </c>
    </row>
    <row r="738" spans="1:26" hidden="1" x14ac:dyDescent="0.2">
      <c r="A738" s="567">
        <v>98504</v>
      </c>
      <c r="B738" s="644">
        <v>98504</v>
      </c>
      <c r="C738" s="645" t="s">
        <v>670</v>
      </c>
      <c r="D738" s="422" t="s">
        <v>494</v>
      </c>
      <c r="E738" s="423"/>
      <c r="F738" s="424"/>
      <c r="G738" s="425"/>
      <c r="H738" s="651">
        <v>0</v>
      </c>
      <c r="I738" s="420">
        <v>10.55</v>
      </c>
      <c r="J738" s="420">
        <f t="shared" si="231"/>
        <v>10.55</v>
      </c>
      <c r="K738" s="421">
        <f t="shared" si="224"/>
        <v>12.53</v>
      </c>
      <c r="L738" s="647" t="s">
        <v>18</v>
      </c>
      <c r="M738" s="576"/>
      <c r="N738" s="576">
        <f t="shared" si="230"/>
        <v>0</v>
      </c>
      <c r="O738" s="577">
        <f t="shared" si="219"/>
        <v>0</v>
      </c>
      <c r="P738" s="578">
        <f t="shared" si="220"/>
        <v>0</v>
      </c>
      <c r="Q738" s="765"/>
      <c r="R738" s="576">
        <f t="shared" si="215"/>
        <v>0</v>
      </c>
      <c r="S738" s="576">
        <f t="shared" si="225"/>
        <v>0</v>
      </c>
      <c r="T738" s="577">
        <f t="shared" si="216"/>
        <v>0</v>
      </c>
      <c r="U738" s="578">
        <f t="shared" si="217"/>
        <v>0</v>
      </c>
      <c r="V738" s="579"/>
      <c r="W738" s="566"/>
      <c r="X738" s="586" t="str">
        <f t="shared" si="191"/>
        <v/>
      </c>
      <c r="Y738" s="586" t="str">
        <f t="shared" si="189"/>
        <v/>
      </c>
      <c r="Z738" s="586" t="str">
        <f t="shared" si="208"/>
        <v/>
      </c>
    </row>
    <row r="739" spans="1:26" hidden="1" x14ac:dyDescent="0.2">
      <c r="A739" s="671">
        <v>98505</v>
      </c>
      <c r="B739" s="644">
        <v>98505</v>
      </c>
      <c r="C739" s="645" t="s">
        <v>670</v>
      </c>
      <c r="D739" s="422" t="s">
        <v>826</v>
      </c>
      <c r="E739" s="423"/>
      <c r="F739" s="424"/>
      <c r="G739" s="425"/>
      <c r="H739" s="651">
        <v>0</v>
      </c>
      <c r="I739" s="420">
        <v>42.56</v>
      </c>
      <c r="J739" s="420">
        <f t="shared" si="231"/>
        <v>42.56</v>
      </c>
      <c r="K739" s="421">
        <f t="shared" si="224"/>
        <v>50.57</v>
      </c>
      <c r="L739" s="647" t="s">
        <v>18</v>
      </c>
      <c r="M739" s="576"/>
      <c r="N739" s="576">
        <f t="shared" si="230"/>
        <v>0</v>
      </c>
      <c r="O739" s="577">
        <f t="shared" si="219"/>
        <v>0</v>
      </c>
      <c r="P739" s="578">
        <f t="shared" si="220"/>
        <v>0</v>
      </c>
      <c r="Q739" s="765"/>
      <c r="R739" s="576">
        <f t="shared" si="215"/>
        <v>0</v>
      </c>
      <c r="S739" s="576">
        <f t="shared" si="225"/>
        <v>0</v>
      </c>
      <c r="T739" s="577">
        <f t="shared" si="216"/>
        <v>0</v>
      </c>
      <c r="U739" s="578">
        <f t="shared" si="217"/>
        <v>0</v>
      </c>
      <c r="V739" s="579"/>
      <c r="W739" s="566"/>
      <c r="X739" s="586" t="str">
        <f t="shared" si="191"/>
        <v/>
      </c>
      <c r="Y739" s="586" t="str">
        <f t="shared" si="189"/>
        <v/>
      </c>
      <c r="Z739" s="586" t="str">
        <f t="shared" si="208"/>
        <v/>
      </c>
    </row>
    <row r="740" spans="1:26" hidden="1" x14ac:dyDescent="0.2">
      <c r="A740" s="567">
        <v>800000</v>
      </c>
      <c r="B740" s="644">
        <v>800000</v>
      </c>
      <c r="C740" s="645" t="s">
        <v>206</v>
      </c>
      <c r="D740" s="422" t="s">
        <v>495</v>
      </c>
      <c r="E740" s="423"/>
      <c r="F740" s="424"/>
      <c r="G740" s="425"/>
      <c r="H740" s="651">
        <v>0</v>
      </c>
      <c r="I740" s="420">
        <v>12.27</v>
      </c>
      <c r="J740" s="420">
        <f>IF(ISBLANK(I740),"",SUM(H740:I740))</f>
        <v>12.27</v>
      </c>
      <c r="K740" s="421">
        <f t="shared" si="224"/>
        <v>14.58</v>
      </c>
      <c r="L740" s="647" t="s">
        <v>18</v>
      </c>
      <c r="M740" s="576"/>
      <c r="N740" s="576">
        <f t="shared" si="230"/>
        <v>0</v>
      </c>
      <c r="O740" s="577">
        <f t="shared" si="219"/>
        <v>0</v>
      </c>
      <c r="P740" s="578">
        <f t="shared" si="220"/>
        <v>0</v>
      </c>
      <c r="Q740" s="765"/>
      <c r="R740" s="576">
        <f t="shared" si="215"/>
        <v>0</v>
      </c>
      <c r="S740" s="576">
        <f t="shared" si="225"/>
        <v>0</v>
      </c>
      <c r="T740" s="577">
        <f t="shared" si="216"/>
        <v>0</v>
      </c>
      <c r="U740" s="578">
        <f t="shared" si="217"/>
        <v>0</v>
      </c>
      <c r="V740" s="579"/>
      <c r="W740" s="566"/>
      <c r="X740" s="586" t="str">
        <f t="shared" si="191"/>
        <v/>
      </c>
      <c r="Y740" s="586" t="str">
        <f t="shared" si="189"/>
        <v/>
      </c>
      <c r="Z740" s="586" t="str">
        <f t="shared" si="208"/>
        <v/>
      </c>
    </row>
    <row r="741" spans="1:26" hidden="1" x14ac:dyDescent="0.2">
      <c r="A741" s="567" t="s">
        <v>312</v>
      </c>
      <c r="B741" s="644" t="s">
        <v>312</v>
      </c>
      <c r="C741" s="645" t="s">
        <v>206</v>
      </c>
      <c r="D741" s="422" t="s">
        <v>295</v>
      </c>
      <c r="E741" s="423"/>
      <c r="F741" s="424"/>
      <c r="G741" s="425"/>
      <c r="H741" s="651"/>
      <c r="I741" s="420">
        <v>0</v>
      </c>
      <c r="J741" s="420">
        <f t="shared" si="231"/>
        <v>0</v>
      </c>
      <c r="K741" s="421">
        <f t="shared" si="224"/>
        <v>0</v>
      </c>
      <c r="L741" s="647" t="s">
        <v>16</v>
      </c>
      <c r="M741" s="576"/>
      <c r="N741" s="576">
        <f t="shared" si="230"/>
        <v>0</v>
      </c>
      <c r="O741" s="577">
        <f t="shared" si="219"/>
        <v>0</v>
      </c>
      <c r="P741" s="578">
        <f t="shared" si="220"/>
        <v>0</v>
      </c>
      <c r="Q741" s="765"/>
      <c r="R741" s="576">
        <f t="shared" si="215"/>
        <v>0</v>
      </c>
      <c r="S741" s="576">
        <f t="shared" si="225"/>
        <v>0</v>
      </c>
      <c r="T741" s="577">
        <f t="shared" si="216"/>
        <v>0</v>
      </c>
      <c r="U741" s="578">
        <f t="shared" si="217"/>
        <v>0</v>
      </c>
      <c r="V741" s="579"/>
      <c r="W741" s="566"/>
      <c r="X741" s="586" t="str">
        <f t="shared" si="191"/>
        <v/>
      </c>
      <c r="Y741" s="586" t="str">
        <f t="shared" si="189"/>
        <v/>
      </c>
      <c r="Z741" s="586" t="str">
        <f t="shared" si="208"/>
        <v/>
      </c>
    </row>
    <row r="742" spans="1:26" x14ac:dyDescent="0.2">
      <c r="A742" s="567">
        <v>605000</v>
      </c>
      <c r="B742" s="644" t="s">
        <v>1628</v>
      </c>
      <c r="C742" s="645" t="s">
        <v>206</v>
      </c>
      <c r="D742" s="422" t="s">
        <v>296</v>
      </c>
      <c r="E742" s="423"/>
      <c r="F742" s="424"/>
      <c r="G742" s="425"/>
      <c r="H742" s="651"/>
      <c r="I742" s="420">
        <v>463.04557915407855</v>
      </c>
      <c r="J742" s="420">
        <f t="shared" si="231"/>
        <v>463.04557915407855</v>
      </c>
      <c r="K742" s="421">
        <f t="shared" si="224"/>
        <v>550.14</v>
      </c>
      <c r="L742" s="647" t="s">
        <v>21</v>
      </c>
      <c r="M742" s="576">
        <f>'ORÇ AV PADRE IVO'!M742+'ORÇ JOÃO NUNES'!M742+'ORÇ LAUDOMIRO'!M742</f>
        <v>26</v>
      </c>
      <c r="N742" s="576">
        <f t="shared" si="230"/>
        <v>550.14</v>
      </c>
      <c r="O742" s="577">
        <f t="shared" si="219"/>
        <v>14303.64</v>
      </c>
      <c r="P742" s="578">
        <f t="shared" si="220"/>
        <v>14303.64</v>
      </c>
      <c r="Q742" s="765"/>
      <c r="R742" s="576">
        <f t="shared" si="215"/>
        <v>26</v>
      </c>
      <c r="S742" s="576">
        <f t="shared" si="225"/>
        <v>550.14</v>
      </c>
      <c r="T742" s="577">
        <f t="shared" si="216"/>
        <v>14303.64</v>
      </c>
      <c r="U742" s="578">
        <f t="shared" si="217"/>
        <v>14303.64</v>
      </c>
      <c r="V742" s="579"/>
      <c r="W742" s="566"/>
      <c r="X742" s="586" t="str">
        <f t="shared" si="191"/>
        <v>x</v>
      </c>
      <c r="Y742" s="586" t="str">
        <f t="shared" si="189"/>
        <v>x</v>
      </c>
      <c r="Z742" s="586" t="str">
        <f t="shared" si="208"/>
        <v>x</v>
      </c>
    </row>
    <row r="743" spans="1:26" hidden="1" x14ac:dyDescent="0.2">
      <c r="A743" s="567">
        <v>605000</v>
      </c>
      <c r="B743" s="644" t="s">
        <v>1629</v>
      </c>
      <c r="C743" s="645" t="s">
        <v>206</v>
      </c>
      <c r="D743" s="422" t="s">
        <v>297</v>
      </c>
      <c r="E743" s="423"/>
      <c r="F743" s="424"/>
      <c r="G743" s="425"/>
      <c r="H743" s="651"/>
      <c r="I743" s="420">
        <v>463.04557915407855</v>
      </c>
      <c r="J743" s="420">
        <f t="shared" si="231"/>
        <v>463.04557915407855</v>
      </c>
      <c r="K743" s="421">
        <f t="shared" si="224"/>
        <v>550.14</v>
      </c>
      <c r="L743" s="647" t="s">
        <v>21</v>
      </c>
      <c r="M743" s="576"/>
      <c r="N743" s="576">
        <f t="shared" si="230"/>
        <v>0</v>
      </c>
      <c r="O743" s="577">
        <f t="shared" si="219"/>
        <v>0</v>
      </c>
      <c r="P743" s="578">
        <f t="shared" si="220"/>
        <v>0</v>
      </c>
      <c r="Q743" s="765"/>
      <c r="R743" s="576">
        <f t="shared" si="215"/>
        <v>0</v>
      </c>
      <c r="S743" s="576">
        <f t="shared" si="225"/>
        <v>0</v>
      </c>
      <c r="T743" s="577">
        <f t="shared" si="216"/>
        <v>0</v>
      </c>
      <c r="U743" s="578">
        <f t="shared" si="217"/>
        <v>0</v>
      </c>
      <c r="V743" s="579"/>
      <c r="W743" s="566"/>
      <c r="X743" s="586" t="str">
        <f t="shared" si="191"/>
        <v/>
      </c>
      <c r="Y743" s="586" t="str">
        <f t="shared" si="189"/>
        <v/>
      </c>
      <c r="Z743" s="586" t="str">
        <f t="shared" si="208"/>
        <v/>
      </c>
    </row>
    <row r="744" spans="1:26" hidden="1" x14ac:dyDescent="0.2">
      <c r="A744" s="567">
        <v>605000</v>
      </c>
      <c r="B744" s="644" t="s">
        <v>1630</v>
      </c>
      <c r="C744" s="645" t="s">
        <v>206</v>
      </c>
      <c r="D744" s="422" t="s">
        <v>298</v>
      </c>
      <c r="E744" s="423"/>
      <c r="F744" s="424"/>
      <c r="G744" s="425"/>
      <c r="H744" s="651"/>
      <c r="I744" s="420">
        <v>463.04557915407855</v>
      </c>
      <c r="J744" s="420">
        <f t="shared" si="231"/>
        <v>463.04557915407855</v>
      </c>
      <c r="K744" s="421">
        <f t="shared" si="224"/>
        <v>550.14</v>
      </c>
      <c r="L744" s="647" t="s">
        <v>21</v>
      </c>
      <c r="M744" s="576"/>
      <c r="N744" s="576">
        <f t="shared" si="230"/>
        <v>0</v>
      </c>
      <c r="O744" s="577">
        <f t="shared" si="219"/>
        <v>0</v>
      </c>
      <c r="P744" s="578">
        <f t="shared" si="220"/>
        <v>0</v>
      </c>
      <c r="Q744" s="765"/>
      <c r="R744" s="576">
        <f t="shared" si="215"/>
        <v>0</v>
      </c>
      <c r="S744" s="576">
        <f t="shared" si="225"/>
        <v>0</v>
      </c>
      <c r="T744" s="577">
        <f t="shared" si="216"/>
        <v>0</v>
      </c>
      <c r="U744" s="578">
        <f t="shared" si="217"/>
        <v>0</v>
      </c>
      <c r="V744" s="579"/>
      <c r="W744" s="566"/>
      <c r="X744" s="586" t="str">
        <f t="shared" si="191"/>
        <v/>
      </c>
      <c r="Y744" s="586" t="str">
        <f t="shared" si="189"/>
        <v/>
      </c>
      <c r="Z744" s="586" t="str">
        <f t="shared" si="208"/>
        <v/>
      </c>
    </row>
    <row r="745" spans="1:26" hidden="1" x14ac:dyDescent="0.2">
      <c r="A745" s="567">
        <v>605000</v>
      </c>
      <c r="B745" s="644" t="s">
        <v>1631</v>
      </c>
      <c r="C745" s="645" t="s">
        <v>206</v>
      </c>
      <c r="D745" s="422" t="s">
        <v>299</v>
      </c>
      <c r="E745" s="423"/>
      <c r="F745" s="424"/>
      <c r="G745" s="425"/>
      <c r="H745" s="651"/>
      <c r="I745" s="420">
        <v>629.22808401812688</v>
      </c>
      <c r="J745" s="420">
        <f t="shared" si="231"/>
        <v>629.22808401812688</v>
      </c>
      <c r="K745" s="421">
        <f t="shared" si="224"/>
        <v>747.59</v>
      </c>
      <c r="L745" s="647" t="s">
        <v>21</v>
      </c>
      <c r="M745" s="576"/>
      <c r="N745" s="576">
        <f t="shared" si="230"/>
        <v>0</v>
      </c>
      <c r="O745" s="577">
        <f t="shared" si="219"/>
        <v>0</v>
      </c>
      <c r="P745" s="578">
        <f t="shared" si="220"/>
        <v>0</v>
      </c>
      <c r="Q745" s="765"/>
      <c r="R745" s="576">
        <f t="shared" si="215"/>
        <v>0</v>
      </c>
      <c r="S745" s="576">
        <f t="shared" si="225"/>
        <v>0</v>
      </c>
      <c r="T745" s="577">
        <f t="shared" si="216"/>
        <v>0</v>
      </c>
      <c r="U745" s="578">
        <f t="shared" si="217"/>
        <v>0</v>
      </c>
      <c r="V745" s="579"/>
      <c r="W745" s="566"/>
      <c r="X745" s="586" t="str">
        <f t="shared" si="191"/>
        <v/>
      </c>
      <c r="Y745" s="586" t="str">
        <f t="shared" si="189"/>
        <v/>
      </c>
      <c r="Z745" s="586" t="str">
        <f t="shared" si="208"/>
        <v/>
      </c>
    </row>
    <row r="746" spans="1:26" hidden="1" x14ac:dyDescent="0.2">
      <c r="A746" s="567">
        <v>605000</v>
      </c>
      <c r="B746" s="644" t="s">
        <v>1632</v>
      </c>
      <c r="C746" s="645" t="s">
        <v>206</v>
      </c>
      <c r="D746" s="422" t="s">
        <v>300</v>
      </c>
      <c r="E746" s="423"/>
      <c r="F746" s="424"/>
      <c r="G746" s="425"/>
      <c r="H746" s="651"/>
      <c r="I746" s="420">
        <v>551.37877287009064</v>
      </c>
      <c r="J746" s="420">
        <f t="shared" si="231"/>
        <v>551.37877287009064</v>
      </c>
      <c r="K746" s="421">
        <f t="shared" si="224"/>
        <v>655.09</v>
      </c>
      <c r="L746" s="647" t="s">
        <v>21</v>
      </c>
      <c r="M746" s="576"/>
      <c r="N746" s="576">
        <f t="shared" si="230"/>
        <v>0</v>
      </c>
      <c r="O746" s="577">
        <f t="shared" si="219"/>
        <v>0</v>
      </c>
      <c r="P746" s="578">
        <f t="shared" si="220"/>
        <v>0</v>
      </c>
      <c r="Q746" s="765"/>
      <c r="R746" s="576">
        <f t="shared" si="215"/>
        <v>0</v>
      </c>
      <c r="S746" s="576">
        <f t="shared" si="225"/>
        <v>0</v>
      </c>
      <c r="T746" s="577">
        <f t="shared" si="216"/>
        <v>0</v>
      </c>
      <c r="U746" s="578">
        <f t="shared" si="217"/>
        <v>0</v>
      </c>
      <c r="V746" s="579"/>
      <c r="W746" s="566"/>
      <c r="X746" s="586" t="str">
        <f t="shared" si="191"/>
        <v/>
      </c>
      <c r="Y746" s="586" t="str">
        <f t="shared" si="189"/>
        <v/>
      </c>
      <c r="Z746" s="586" t="str">
        <f t="shared" si="208"/>
        <v/>
      </c>
    </row>
    <row r="747" spans="1:26" x14ac:dyDescent="0.2">
      <c r="A747" s="652" t="s">
        <v>187</v>
      </c>
      <c r="B747" s="653" t="s">
        <v>187</v>
      </c>
      <c r="C747" s="654"/>
      <c r="D747" s="427" t="s">
        <v>2093</v>
      </c>
      <c r="E747" s="491"/>
      <c r="F747" s="655"/>
      <c r="G747" s="656"/>
      <c r="H747" s="657"/>
      <c r="I747" s="429"/>
      <c r="J747" s="429"/>
      <c r="K747" s="429"/>
      <c r="L747" s="429" t="s">
        <v>614</v>
      </c>
      <c r="M747" s="657"/>
      <c r="N747" s="576">
        <f t="shared" si="230"/>
        <v>0</v>
      </c>
      <c r="O747" s="429">
        <f t="shared" si="219"/>
        <v>0</v>
      </c>
      <c r="P747" s="658">
        <f t="shared" si="220"/>
        <v>0</v>
      </c>
      <c r="Q747" s="765"/>
      <c r="R747" s="657"/>
      <c r="S747" s="429"/>
      <c r="T747" s="429">
        <f t="shared" si="216"/>
        <v>0</v>
      </c>
      <c r="U747" s="658">
        <f t="shared" si="217"/>
        <v>0</v>
      </c>
      <c r="V747" s="579"/>
      <c r="W747" s="637" t="str">
        <f>IF(OR(SUM(P748:P779)&gt;0,SUM(U748:U779)&gt;0),"y","")</f>
        <v>y</v>
      </c>
      <c r="X747" s="586" t="str">
        <f t="shared" si="191"/>
        <v>x</v>
      </c>
      <c r="Y747" s="586" t="str">
        <f t="shared" si="189"/>
        <v>x</v>
      </c>
      <c r="Z747" s="586" t="str">
        <f t="shared" si="208"/>
        <v/>
      </c>
    </row>
    <row r="748" spans="1:26" ht="12" thickBot="1" x14ac:dyDescent="0.25">
      <c r="A748" s="652" t="s">
        <v>187</v>
      </c>
      <c r="B748" s="572" t="s">
        <v>2114</v>
      </c>
      <c r="C748" s="573" t="s">
        <v>206</v>
      </c>
      <c r="D748" s="574" t="s">
        <v>2113</v>
      </c>
      <c r="E748" s="575"/>
      <c r="F748" s="436"/>
      <c r="G748" s="431"/>
      <c r="H748" s="430"/>
      <c r="I748" s="432"/>
      <c r="J748" s="433">
        <v>114.4</v>
      </c>
      <c r="K748" s="434">
        <f t="shared" ref="K748:K779" si="232">IF(ISBLANK(J748),0,ROUND(J748*(1+$F$10)*(1+$F$11*E748),2))</f>
        <v>135.91999999999999</v>
      </c>
      <c r="L748" s="435" t="s">
        <v>18</v>
      </c>
      <c r="M748" s="576">
        <f>'ORÇ AV PADRE IVO'!M748+'ORÇ JOÃO NUNES'!M748+'ORÇ LAUDOMIRO'!M748</f>
        <v>400.71999999999997</v>
      </c>
      <c r="N748" s="576">
        <f t="shared" si="230"/>
        <v>135.91999999999999</v>
      </c>
      <c r="O748" s="577">
        <f t="shared" si="219"/>
        <v>54465.86</v>
      </c>
      <c r="P748" s="578">
        <f t="shared" si="220"/>
        <v>54465.86</v>
      </c>
      <c r="Q748" s="765"/>
      <c r="R748" s="650">
        <f t="shared" si="215"/>
        <v>400.71999999999997</v>
      </c>
      <c r="S748" s="587">
        <f t="shared" si="225"/>
        <v>135.91999999999999</v>
      </c>
      <c r="T748" s="577">
        <f t="shared" si="216"/>
        <v>54465.86</v>
      </c>
      <c r="U748" s="578">
        <f t="shared" si="217"/>
        <v>54465.86</v>
      </c>
      <c r="V748" s="579"/>
      <c r="W748" s="566"/>
      <c r="X748" s="586" t="str">
        <f t="shared" si="191"/>
        <v>x</v>
      </c>
      <c r="Y748" s="586" t="str">
        <f t="shared" si="189"/>
        <v>x</v>
      </c>
      <c r="Z748" s="586" t="str">
        <f t="shared" si="208"/>
        <v>x</v>
      </c>
    </row>
    <row r="749" spans="1:26" ht="12" hidden="1" thickBot="1" x14ac:dyDescent="0.25">
      <c r="A749" s="652" t="s">
        <v>187</v>
      </c>
      <c r="B749" s="572" t="s">
        <v>187</v>
      </c>
      <c r="C749" s="573" t="s">
        <v>187</v>
      </c>
      <c r="D749" s="580"/>
      <c r="E749" s="575"/>
      <c r="F749" s="436"/>
      <c r="G749" s="431"/>
      <c r="H749" s="430"/>
      <c r="I749" s="432"/>
      <c r="J749" s="433"/>
      <c r="K749" s="437">
        <f t="shared" si="232"/>
        <v>0</v>
      </c>
      <c r="L749" s="435" t="s">
        <v>614</v>
      </c>
      <c r="M749" s="576"/>
      <c r="N749" s="576">
        <f t="shared" si="230"/>
        <v>0</v>
      </c>
      <c r="O749" s="577">
        <f t="shared" si="219"/>
        <v>0</v>
      </c>
      <c r="P749" s="578">
        <f t="shared" si="220"/>
        <v>0</v>
      </c>
      <c r="Q749" s="765"/>
      <c r="R749" s="576">
        <f t="shared" si="215"/>
        <v>0</v>
      </c>
      <c r="S749" s="576">
        <f t="shared" si="225"/>
        <v>0</v>
      </c>
      <c r="T749" s="577">
        <f t="shared" si="216"/>
        <v>0</v>
      </c>
      <c r="U749" s="659">
        <f t="shared" si="217"/>
        <v>0</v>
      </c>
      <c r="V749" s="579"/>
      <c r="W749" s="566"/>
      <c r="X749" s="586" t="str">
        <f t="shared" si="191"/>
        <v/>
      </c>
      <c r="Y749" s="586" t="str">
        <f t="shared" si="189"/>
        <v/>
      </c>
      <c r="Z749" s="586" t="str">
        <f t="shared" si="208"/>
        <v/>
      </c>
    </row>
    <row r="750" spans="1:26" ht="12" hidden="1" thickBot="1" x14ac:dyDescent="0.25">
      <c r="A750" s="652" t="s">
        <v>187</v>
      </c>
      <c r="B750" s="572" t="s">
        <v>187</v>
      </c>
      <c r="C750" s="573" t="s">
        <v>187</v>
      </c>
      <c r="D750" s="580"/>
      <c r="E750" s="575"/>
      <c r="F750" s="436"/>
      <c r="G750" s="431"/>
      <c r="H750" s="430"/>
      <c r="I750" s="432"/>
      <c r="J750" s="433"/>
      <c r="K750" s="437">
        <f t="shared" si="232"/>
        <v>0</v>
      </c>
      <c r="L750" s="435" t="s">
        <v>614</v>
      </c>
      <c r="M750" s="576"/>
      <c r="N750" s="576">
        <f t="shared" si="230"/>
        <v>0</v>
      </c>
      <c r="O750" s="577">
        <f t="shared" si="219"/>
        <v>0</v>
      </c>
      <c r="P750" s="578">
        <f t="shared" si="220"/>
        <v>0</v>
      </c>
      <c r="Q750" s="765"/>
      <c r="R750" s="576">
        <f t="shared" si="215"/>
        <v>0</v>
      </c>
      <c r="S750" s="576">
        <f t="shared" si="225"/>
        <v>0</v>
      </c>
      <c r="T750" s="577">
        <f t="shared" si="216"/>
        <v>0</v>
      </c>
      <c r="U750" s="578">
        <f t="shared" si="217"/>
        <v>0</v>
      </c>
      <c r="V750" s="579"/>
      <c r="W750" s="566"/>
      <c r="X750" s="586" t="str">
        <f t="shared" si="191"/>
        <v/>
      </c>
      <c r="Y750" s="586" t="str">
        <f t="shared" si="189"/>
        <v/>
      </c>
      <c r="Z750" s="586" t="str">
        <f t="shared" si="208"/>
        <v/>
      </c>
    </row>
    <row r="751" spans="1:26" ht="12" hidden="1" thickBot="1" x14ac:dyDescent="0.25">
      <c r="A751" s="652" t="s">
        <v>187</v>
      </c>
      <c r="B751" s="572" t="s">
        <v>187</v>
      </c>
      <c r="C751" s="573" t="s">
        <v>187</v>
      </c>
      <c r="D751" s="580"/>
      <c r="E751" s="575"/>
      <c r="F751" s="436"/>
      <c r="G751" s="431"/>
      <c r="H751" s="430"/>
      <c r="I751" s="432"/>
      <c r="J751" s="433"/>
      <c r="K751" s="437">
        <f t="shared" si="232"/>
        <v>0</v>
      </c>
      <c r="L751" s="435" t="s">
        <v>614</v>
      </c>
      <c r="M751" s="576"/>
      <c r="N751" s="576">
        <f t="shared" si="230"/>
        <v>0</v>
      </c>
      <c r="O751" s="577">
        <f t="shared" si="219"/>
        <v>0</v>
      </c>
      <c r="P751" s="578">
        <f t="shared" si="220"/>
        <v>0</v>
      </c>
      <c r="Q751" s="765"/>
      <c r="R751" s="576">
        <f t="shared" si="215"/>
        <v>0</v>
      </c>
      <c r="S751" s="576">
        <f t="shared" si="225"/>
        <v>0</v>
      </c>
      <c r="T751" s="577">
        <f t="shared" si="216"/>
        <v>0</v>
      </c>
      <c r="U751" s="578">
        <f t="shared" si="217"/>
        <v>0</v>
      </c>
      <c r="V751" s="579"/>
      <c r="W751" s="566"/>
      <c r="X751" s="586" t="str">
        <f t="shared" si="191"/>
        <v/>
      </c>
      <c r="Y751" s="586" t="str">
        <f t="shared" si="189"/>
        <v/>
      </c>
      <c r="Z751" s="586" t="str">
        <f t="shared" si="208"/>
        <v/>
      </c>
    </row>
    <row r="752" spans="1:26" ht="12" hidden="1" thickBot="1" x14ac:dyDescent="0.25">
      <c r="A752" s="652" t="s">
        <v>187</v>
      </c>
      <c r="B752" s="572" t="s">
        <v>187</v>
      </c>
      <c r="C752" s="573" t="s">
        <v>187</v>
      </c>
      <c r="D752" s="580"/>
      <c r="E752" s="575"/>
      <c r="F752" s="436"/>
      <c r="G752" s="431"/>
      <c r="H752" s="430"/>
      <c r="I752" s="432"/>
      <c r="J752" s="433"/>
      <c r="K752" s="437">
        <f t="shared" si="232"/>
        <v>0</v>
      </c>
      <c r="L752" s="435" t="s">
        <v>614</v>
      </c>
      <c r="M752" s="576"/>
      <c r="N752" s="576">
        <f t="shared" si="230"/>
        <v>0</v>
      </c>
      <c r="O752" s="577">
        <f t="shared" si="219"/>
        <v>0</v>
      </c>
      <c r="P752" s="578">
        <f t="shared" si="220"/>
        <v>0</v>
      </c>
      <c r="Q752" s="765"/>
      <c r="R752" s="576">
        <f t="shared" si="215"/>
        <v>0</v>
      </c>
      <c r="S752" s="576">
        <f t="shared" si="225"/>
        <v>0</v>
      </c>
      <c r="T752" s="577">
        <f t="shared" si="216"/>
        <v>0</v>
      </c>
      <c r="U752" s="578">
        <f t="shared" si="217"/>
        <v>0</v>
      </c>
      <c r="V752" s="579"/>
      <c r="W752" s="566"/>
      <c r="X752" s="586" t="str">
        <f t="shared" si="191"/>
        <v/>
      </c>
      <c r="Y752" s="586" t="str">
        <f t="shared" si="189"/>
        <v/>
      </c>
      <c r="Z752" s="586" t="str">
        <f t="shared" si="208"/>
        <v/>
      </c>
    </row>
    <row r="753" spans="1:26" ht="12" hidden="1" thickBot="1" x14ac:dyDescent="0.25">
      <c r="A753" s="652" t="s">
        <v>187</v>
      </c>
      <c r="B753" s="572" t="s">
        <v>187</v>
      </c>
      <c r="C753" s="573" t="s">
        <v>187</v>
      </c>
      <c r="D753" s="580"/>
      <c r="E753" s="575"/>
      <c r="F753" s="436"/>
      <c r="G753" s="431"/>
      <c r="H753" s="430"/>
      <c r="I753" s="432"/>
      <c r="J753" s="433"/>
      <c r="K753" s="437">
        <f t="shared" si="232"/>
        <v>0</v>
      </c>
      <c r="L753" s="435" t="s">
        <v>614</v>
      </c>
      <c r="M753" s="576"/>
      <c r="N753" s="576">
        <f t="shared" si="230"/>
        <v>0</v>
      </c>
      <c r="O753" s="577">
        <f t="shared" si="219"/>
        <v>0</v>
      </c>
      <c r="P753" s="578">
        <f t="shared" si="220"/>
        <v>0</v>
      </c>
      <c r="Q753" s="765"/>
      <c r="R753" s="576">
        <f t="shared" si="215"/>
        <v>0</v>
      </c>
      <c r="S753" s="576">
        <f t="shared" si="225"/>
        <v>0</v>
      </c>
      <c r="T753" s="577">
        <f t="shared" si="216"/>
        <v>0</v>
      </c>
      <c r="U753" s="578">
        <f t="shared" si="217"/>
        <v>0</v>
      </c>
      <c r="V753" s="579"/>
      <c r="W753" s="566"/>
      <c r="X753" s="586" t="str">
        <f t="shared" si="191"/>
        <v/>
      </c>
      <c r="Y753" s="586" t="str">
        <f t="shared" si="189"/>
        <v/>
      </c>
      <c r="Z753" s="586" t="str">
        <f t="shared" si="208"/>
        <v/>
      </c>
    </row>
    <row r="754" spans="1:26" ht="12" hidden="1" thickBot="1" x14ac:dyDescent="0.25">
      <c r="A754" s="652" t="s">
        <v>187</v>
      </c>
      <c r="B754" s="572" t="s">
        <v>187</v>
      </c>
      <c r="C754" s="573" t="s">
        <v>187</v>
      </c>
      <c r="D754" s="580"/>
      <c r="E754" s="575"/>
      <c r="F754" s="436"/>
      <c r="G754" s="431"/>
      <c r="H754" s="430"/>
      <c r="I754" s="432"/>
      <c r="J754" s="433"/>
      <c r="K754" s="437">
        <f t="shared" si="232"/>
        <v>0</v>
      </c>
      <c r="L754" s="435" t="s">
        <v>614</v>
      </c>
      <c r="M754" s="576"/>
      <c r="N754" s="576">
        <f t="shared" si="230"/>
        <v>0</v>
      </c>
      <c r="O754" s="577">
        <f t="shared" si="219"/>
        <v>0</v>
      </c>
      <c r="P754" s="578">
        <f t="shared" si="220"/>
        <v>0</v>
      </c>
      <c r="Q754" s="765"/>
      <c r="R754" s="576">
        <f t="shared" si="215"/>
        <v>0</v>
      </c>
      <c r="S754" s="576">
        <f t="shared" si="225"/>
        <v>0</v>
      </c>
      <c r="T754" s="577">
        <f t="shared" si="216"/>
        <v>0</v>
      </c>
      <c r="U754" s="578">
        <f t="shared" si="217"/>
        <v>0</v>
      </c>
      <c r="V754" s="579"/>
      <c r="W754" s="566"/>
      <c r="X754" s="586" t="str">
        <f t="shared" si="191"/>
        <v/>
      </c>
      <c r="Y754" s="586" t="str">
        <f t="shared" si="189"/>
        <v/>
      </c>
      <c r="Z754" s="586" t="str">
        <f t="shared" si="208"/>
        <v/>
      </c>
    </row>
    <row r="755" spans="1:26" ht="12" hidden="1" thickBot="1" x14ac:dyDescent="0.25">
      <c r="A755" s="652" t="s">
        <v>187</v>
      </c>
      <c r="B755" s="572" t="s">
        <v>187</v>
      </c>
      <c r="C755" s="573" t="s">
        <v>187</v>
      </c>
      <c r="D755" s="580"/>
      <c r="E755" s="575"/>
      <c r="F755" s="436"/>
      <c r="G755" s="431"/>
      <c r="H755" s="430"/>
      <c r="I755" s="432"/>
      <c r="J755" s="433"/>
      <c r="K755" s="437">
        <f t="shared" si="232"/>
        <v>0</v>
      </c>
      <c r="L755" s="435" t="s">
        <v>614</v>
      </c>
      <c r="M755" s="576"/>
      <c r="N755" s="576">
        <f t="shared" si="230"/>
        <v>0</v>
      </c>
      <c r="O755" s="577">
        <f t="shared" si="219"/>
        <v>0</v>
      </c>
      <c r="P755" s="578">
        <f t="shared" si="220"/>
        <v>0</v>
      </c>
      <c r="Q755" s="765"/>
      <c r="R755" s="576">
        <f t="shared" si="215"/>
        <v>0</v>
      </c>
      <c r="S755" s="576">
        <f t="shared" si="225"/>
        <v>0</v>
      </c>
      <c r="T755" s="577">
        <f t="shared" si="216"/>
        <v>0</v>
      </c>
      <c r="U755" s="578">
        <f t="shared" si="217"/>
        <v>0</v>
      </c>
      <c r="V755" s="579"/>
      <c r="W755" s="566"/>
      <c r="X755" s="586" t="str">
        <f t="shared" si="191"/>
        <v/>
      </c>
      <c r="Y755" s="586" t="str">
        <f t="shared" si="189"/>
        <v/>
      </c>
      <c r="Z755" s="586" t="str">
        <f t="shared" si="208"/>
        <v/>
      </c>
    </row>
    <row r="756" spans="1:26" ht="12" hidden="1" thickBot="1" x14ac:dyDescent="0.25">
      <c r="A756" s="652" t="s">
        <v>187</v>
      </c>
      <c r="B756" s="572" t="s">
        <v>187</v>
      </c>
      <c r="C756" s="573" t="s">
        <v>187</v>
      </c>
      <c r="D756" s="580"/>
      <c r="E756" s="575"/>
      <c r="F756" s="436"/>
      <c r="G756" s="431"/>
      <c r="H756" s="430"/>
      <c r="I756" s="432"/>
      <c r="J756" s="433"/>
      <c r="K756" s="437">
        <f t="shared" si="232"/>
        <v>0</v>
      </c>
      <c r="L756" s="435" t="s">
        <v>614</v>
      </c>
      <c r="M756" s="576"/>
      <c r="N756" s="576">
        <f t="shared" si="230"/>
        <v>0</v>
      </c>
      <c r="O756" s="577">
        <f t="shared" si="219"/>
        <v>0</v>
      </c>
      <c r="P756" s="578">
        <f t="shared" si="220"/>
        <v>0</v>
      </c>
      <c r="Q756" s="765"/>
      <c r="R756" s="576">
        <f t="shared" ref="R756:S819" si="233">M756</f>
        <v>0</v>
      </c>
      <c r="S756" s="576">
        <f t="shared" si="225"/>
        <v>0</v>
      </c>
      <c r="T756" s="577">
        <f t="shared" ref="T756:T819" si="234">IF(ISBLANK(R756),0,ROUND(K756*R756,2))</f>
        <v>0</v>
      </c>
      <c r="U756" s="578">
        <f t="shared" ref="U756:U819" si="235">IF(ISBLANK(R756),0,ROUND(R756*S756,2))</f>
        <v>0</v>
      </c>
      <c r="V756" s="579"/>
      <c r="W756" s="566"/>
      <c r="X756" s="586" t="str">
        <f t="shared" si="191"/>
        <v/>
      </c>
      <c r="Y756" s="586" t="str">
        <f t="shared" si="189"/>
        <v/>
      </c>
      <c r="Z756" s="586" t="str">
        <f t="shared" si="208"/>
        <v/>
      </c>
    </row>
    <row r="757" spans="1:26" ht="12" hidden="1" thickBot="1" x14ac:dyDescent="0.25">
      <c r="A757" s="652" t="s">
        <v>187</v>
      </c>
      <c r="B757" s="572" t="s">
        <v>187</v>
      </c>
      <c r="C757" s="573" t="s">
        <v>187</v>
      </c>
      <c r="D757" s="580"/>
      <c r="E757" s="575"/>
      <c r="F757" s="436"/>
      <c r="G757" s="431"/>
      <c r="H757" s="430"/>
      <c r="I757" s="432"/>
      <c r="J757" s="433"/>
      <c r="K757" s="437">
        <f t="shared" si="232"/>
        <v>0</v>
      </c>
      <c r="L757" s="435" t="s">
        <v>614</v>
      </c>
      <c r="M757" s="576"/>
      <c r="N757" s="576">
        <f t="shared" si="230"/>
        <v>0</v>
      </c>
      <c r="O757" s="577">
        <f t="shared" ref="O757:O820" si="236">IF(ISBLANK(M757),0,ROUND(K757*M757,2))</f>
        <v>0</v>
      </c>
      <c r="P757" s="578">
        <f t="shared" ref="P757:P820" si="237">IF(ISBLANK(N757),0,ROUND(M757*N757,2))</f>
        <v>0</v>
      </c>
      <c r="Q757" s="765"/>
      <c r="R757" s="576">
        <f t="shared" si="233"/>
        <v>0</v>
      </c>
      <c r="S757" s="576">
        <f t="shared" si="225"/>
        <v>0</v>
      </c>
      <c r="T757" s="577">
        <f t="shared" si="234"/>
        <v>0</v>
      </c>
      <c r="U757" s="578">
        <f t="shared" si="235"/>
        <v>0</v>
      </c>
      <c r="V757" s="579"/>
      <c r="W757" s="566"/>
      <c r="X757" s="586" t="str">
        <f t="shared" si="191"/>
        <v/>
      </c>
      <c r="Y757" s="586" t="str">
        <f t="shared" si="189"/>
        <v/>
      </c>
      <c r="Z757" s="586" t="str">
        <f t="shared" si="208"/>
        <v/>
      </c>
    </row>
    <row r="758" spans="1:26" ht="12" hidden="1" thickBot="1" x14ac:dyDescent="0.25">
      <c r="A758" s="652" t="s">
        <v>187</v>
      </c>
      <c r="B758" s="572" t="s">
        <v>187</v>
      </c>
      <c r="C758" s="573" t="s">
        <v>187</v>
      </c>
      <c r="D758" s="580"/>
      <c r="E758" s="575"/>
      <c r="F758" s="436"/>
      <c r="G758" s="431"/>
      <c r="H758" s="430"/>
      <c r="I758" s="432"/>
      <c r="J758" s="433"/>
      <c r="K758" s="437">
        <f t="shared" si="232"/>
        <v>0</v>
      </c>
      <c r="L758" s="435" t="s">
        <v>614</v>
      </c>
      <c r="M758" s="576"/>
      <c r="N758" s="576">
        <f t="shared" si="230"/>
        <v>0</v>
      </c>
      <c r="O758" s="577">
        <f t="shared" si="236"/>
        <v>0</v>
      </c>
      <c r="P758" s="578">
        <f t="shared" si="237"/>
        <v>0</v>
      </c>
      <c r="Q758" s="765"/>
      <c r="R758" s="576">
        <f t="shared" si="233"/>
        <v>0</v>
      </c>
      <c r="S758" s="576">
        <f t="shared" si="225"/>
        <v>0</v>
      </c>
      <c r="T758" s="577">
        <f t="shared" si="234"/>
        <v>0</v>
      </c>
      <c r="U758" s="578">
        <f t="shared" si="235"/>
        <v>0</v>
      </c>
      <c r="V758" s="579"/>
      <c r="W758" s="566"/>
      <c r="X758" s="586" t="str">
        <f t="shared" si="191"/>
        <v/>
      </c>
      <c r="Y758" s="586" t="str">
        <f t="shared" si="189"/>
        <v/>
      </c>
      <c r="Z758" s="586" t="str">
        <f t="shared" si="208"/>
        <v/>
      </c>
    </row>
    <row r="759" spans="1:26" ht="12" hidden="1" thickBot="1" x14ac:dyDescent="0.25">
      <c r="A759" s="652" t="s">
        <v>187</v>
      </c>
      <c r="B759" s="572" t="s">
        <v>187</v>
      </c>
      <c r="C759" s="573" t="s">
        <v>187</v>
      </c>
      <c r="D759" s="580"/>
      <c r="E759" s="575"/>
      <c r="F759" s="436"/>
      <c r="G759" s="431"/>
      <c r="H759" s="430"/>
      <c r="I759" s="432"/>
      <c r="J759" s="433"/>
      <c r="K759" s="437">
        <f t="shared" si="232"/>
        <v>0</v>
      </c>
      <c r="L759" s="435" t="s">
        <v>614</v>
      </c>
      <c r="M759" s="576"/>
      <c r="N759" s="576">
        <f t="shared" si="230"/>
        <v>0</v>
      </c>
      <c r="O759" s="577">
        <f t="shared" si="236"/>
        <v>0</v>
      </c>
      <c r="P759" s="578">
        <f t="shared" si="237"/>
        <v>0</v>
      </c>
      <c r="Q759" s="765"/>
      <c r="R759" s="576">
        <f t="shared" si="233"/>
        <v>0</v>
      </c>
      <c r="S759" s="576">
        <f t="shared" si="225"/>
        <v>0</v>
      </c>
      <c r="T759" s="577">
        <f t="shared" si="234"/>
        <v>0</v>
      </c>
      <c r="U759" s="578">
        <f t="shared" si="235"/>
        <v>0</v>
      </c>
      <c r="V759" s="579"/>
      <c r="W759" s="566"/>
      <c r="X759" s="586" t="str">
        <f t="shared" si="191"/>
        <v/>
      </c>
      <c r="Y759" s="586" t="str">
        <f t="shared" si="189"/>
        <v/>
      </c>
      <c r="Z759" s="586" t="str">
        <f t="shared" si="208"/>
        <v/>
      </c>
    </row>
    <row r="760" spans="1:26" ht="12" hidden="1" thickBot="1" x14ac:dyDescent="0.25">
      <c r="A760" s="652" t="s">
        <v>187</v>
      </c>
      <c r="B760" s="572" t="s">
        <v>187</v>
      </c>
      <c r="C760" s="573" t="s">
        <v>187</v>
      </c>
      <c r="D760" s="580"/>
      <c r="E760" s="575"/>
      <c r="F760" s="436"/>
      <c r="G760" s="431"/>
      <c r="H760" s="430"/>
      <c r="I760" s="432"/>
      <c r="J760" s="433"/>
      <c r="K760" s="437">
        <f t="shared" si="232"/>
        <v>0</v>
      </c>
      <c r="L760" s="435" t="s">
        <v>614</v>
      </c>
      <c r="M760" s="576"/>
      <c r="N760" s="576">
        <f t="shared" si="230"/>
        <v>0</v>
      </c>
      <c r="O760" s="577">
        <f t="shared" si="236"/>
        <v>0</v>
      </c>
      <c r="P760" s="578">
        <f t="shared" si="237"/>
        <v>0</v>
      </c>
      <c r="Q760" s="765"/>
      <c r="R760" s="576">
        <f t="shared" si="233"/>
        <v>0</v>
      </c>
      <c r="S760" s="576">
        <f t="shared" si="225"/>
        <v>0</v>
      </c>
      <c r="T760" s="577">
        <f t="shared" si="234"/>
        <v>0</v>
      </c>
      <c r="U760" s="578">
        <f t="shared" si="235"/>
        <v>0</v>
      </c>
      <c r="V760" s="579"/>
      <c r="W760" s="566"/>
      <c r="X760" s="586" t="str">
        <f t="shared" si="191"/>
        <v/>
      </c>
      <c r="Y760" s="586" t="str">
        <f t="shared" si="189"/>
        <v/>
      </c>
      <c r="Z760" s="586" t="str">
        <f t="shared" si="208"/>
        <v/>
      </c>
    </row>
    <row r="761" spans="1:26" ht="12" hidden="1" thickBot="1" x14ac:dyDescent="0.25">
      <c r="A761" s="652" t="s">
        <v>187</v>
      </c>
      <c r="B761" s="572" t="s">
        <v>187</v>
      </c>
      <c r="C761" s="573" t="s">
        <v>187</v>
      </c>
      <c r="D761" s="580"/>
      <c r="E761" s="575"/>
      <c r="F761" s="436"/>
      <c r="G761" s="431"/>
      <c r="H761" s="430"/>
      <c r="I761" s="432"/>
      <c r="J761" s="433"/>
      <c r="K761" s="437">
        <f t="shared" si="232"/>
        <v>0</v>
      </c>
      <c r="L761" s="435" t="s">
        <v>614</v>
      </c>
      <c r="M761" s="576"/>
      <c r="N761" s="576">
        <f t="shared" si="230"/>
        <v>0</v>
      </c>
      <c r="O761" s="577">
        <f t="shared" si="236"/>
        <v>0</v>
      </c>
      <c r="P761" s="578">
        <f t="shared" si="237"/>
        <v>0</v>
      </c>
      <c r="Q761" s="765"/>
      <c r="R761" s="576">
        <f t="shared" si="233"/>
        <v>0</v>
      </c>
      <c r="S761" s="576">
        <f t="shared" si="225"/>
        <v>0</v>
      </c>
      <c r="T761" s="577">
        <f t="shared" si="234"/>
        <v>0</v>
      </c>
      <c r="U761" s="578">
        <f t="shared" si="235"/>
        <v>0</v>
      </c>
      <c r="V761" s="579"/>
      <c r="W761" s="566"/>
      <c r="X761" s="586" t="str">
        <f t="shared" si="191"/>
        <v/>
      </c>
      <c r="Y761" s="586" t="str">
        <f t="shared" si="189"/>
        <v/>
      </c>
      <c r="Z761" s="586" t="str">
        <f t="shared" si="208"/>
        <v/>
      </c>
    </row>
    <row r="762" spans="1:26" ht="12" hidden="1" thickBot="1" x14ac:dyDescent="0.25">
      <c r="A762" s="652" t="s">
        <v>187</v>
      </c>
      <c r="B762" s="572" t="s">
        <v>187</v>
      </c>
      <c r="C762" s="573" t="s">
        <v>187</v>
      </c>
      <c r="D762" s="580"/>
      <c r="E762" s="575"/>
      <c r="F762" s="436"/>
      <c r="G762" s="431"/>
      <c r="H762" s="430"/>
      <c r="I762" s="432"/>
      <c r="J762" s="433"/>
      <c r="K762" s="437">
        <f t="shared" si="232"/>
        <v>0</v>
      </c>
      <c r="L762" s="435" t="s">
        <v>614</v>
      </c>
      <c r="M762" s="576"/>
      <c r="N762" s="576">
        <f t="shared" si="230"/>
        <v>0</v>
      </c>
      <c r="O762" s="577">
        <f t="shared" si="236"/>
        <v>0</v>
      </c>
      <c r="P762" s="578">
        <f t="shared" si="237"/>
        <v>0</v>
      </c>
      <c r="Q762" s="765"/>
      <c r="R762" s="576">
        <f t="shared" si="233"/>
        <v>0</v>
      </c>
      <c r="S762" s="576">
        <f t="shared" si="225"/>
        <v>0</v>
      </c>
      <c r="T762" s="577">
        <f t="shared" si="234"/>
        <v>0</v>
      </c>
      <c r="U762" s="578">
        <f t="shared" si="235"/>
        <v>0</v>
      </c>
      <c r="V762" s="579"/>
      <c r="W762" s="566"/>
      <c r="X762" s="586" t="str">
        <f t="shared" si="191"/>
        <v/>
      </c>
      <c r="Y762" s="586" t="str">
        <f t="shared" si="189"/>
        <v/>
      </c>
      <c r="Z762" s="586" t="str">
        <f t="shared" si="208"/>
        <v/>
      </c>
    </row>
    <row r="763" spans="1:26" ht="12" hidden="1" thickBot="1" x14ac:dyDescent="0.25">
      <c r="A763" s="652" t="s">
        <v>187</v>
      </c>
      <c r="B763" s="572" t="s">
        <v>187</v>
      </c>
      <c r="C763" s="573" t="s">
        <v>187</v>
      </c>
      <c r="D763" s="580"/>
      <c r="E763" s="575"/>
      <c r="F763" s="436"/>
      <c r="G763" s="431"/>
      <c r="H763" s="430"/>
      <c r="I763" s="432"/>
      <c r="J763" s="433"/>
      <c r="K763" s="437">
        <f t="shared" si="232"/>
        <v>0</v>
      </c>
      <c r="L763" s="435" t="s">
        <v>614</v>
      </c>
      <c r="M763" s="576"/>
      <c r="N763" s="576">
        <f t="shared" si="230"/>
        <v>0</v>
      </c>
      <c r="O763" s="577">
        <f t="shared" si="236"/>
        <v>0</v>
      </c>
      <c r="P763" s="578">
        <f t="shared" si="237"/>
        <v>0</v>
      </c>
      <c r="Q763" s="765"/>
      <c r="R763" s="576">
        <f t="shared" si="233"/>
        <v>0</v>
      </c>
      <c r="S763" s="576">
        <f t="shared" si="225"/>
        <v>0</v>
      </c>
      <c r="T763" s="577">
        <f t="shared" si="234"/>
        <v>0</v>
      </c>
      <c r="U763" s="578">
        <f t="shared" si="235"/>
        <v>0</v>
      </c>
      <c r="V763" s="579"/>
      <c r="W763" s="566"/>
      <c r="X763" s="586" t="str">
        <f t="shared" si="191"/>
        <v/>
      </c>
      <c r="Y763" s="586" t="str">
        <f t="shared" si="189"/>
        <v/>
      </c>
      <c r="Z763" s="586" t="str">
        <f t="shared" si="208"/>
        <v/>
      </c>
    </row>
    <row r="764" spans="1:26" ht="12" hidden="1" thickBot="1" x14ac:dyDescent="0.25">
      <c r="A764" s="652" t="s">
        <v>187</v>
      </c>
      <c r="B764" s="572" t="s">
        <v>187</v>
      </c>
      <c r="C764" s="573" t="s">
        <v>187</v>
      </c>
      <c r="D764" s="580"/>
      <c r="E764" s="575"/>
      <c r="F764" s="436"/>
      <c r="G764" s="431"/>
      <c r="H764" s="430"/>
      <c r="I764" s="432"/>
      <c r="J764" s="433"/>
      <c r="K764" s="437">
        <f t="shared" si="232"/>
        <v>0</v>
      </c>
      <c r="L764" s="435" t="s">
        <v>614</v>
      </c>
      <c r="M764" s="576"/>
      <c r="N764" s="576">
        <f t="shared" si="230"/>
        <v>0</v>
      </c>
      <c r="O764" s="577">
        <f t="shared" si="236"/>
        <v>0</v>
      </c>
      <c r="P764" s="578">
        <f t="shared" si="237"/>
        <v>0</v>
      </c>
      <c r="Q764" s="765"/>
      <c r="R764" s="576">
        <f t="shared" si="233"/>
        <v>0</v>
      </c>
      <c r="S764" s="576">
        <f t="shared" si="225"/>
        <v>0</v>
      </c>
      <c r="T764" s="577">
        <f t="shared" si="234"/>
        <v>0</v>
      </c>
      <c r="U764" s="578">
        <f t="shared" si="235"/>
        <v>0</v>
      </c>
      <c r="V764" s="579"/>
      <c r="W764" s="566"/>
      <c r="X764" s="586" t="str">
        <f t="shared" ref="X764:X828" si="238">IF(W764="X","x",IF(W764="xx","x",IF(W764="xy","x",IF(W764="y","x",IF(OR(P764&gt;0,U764&gt;0),"x","")))))</f>
        <v/>
      </c>
      <c r="Y764" s="586" t="str">
        <f t="shared" si="189"/>
        <v/>
      </c>
      <c r="Z764" s="586" t="str">
        <f t="shared" si="208"/>
        <v/>
      </c>
    </row>
    <row r="765" spans="1:26" ht="12" hidden="1" thickBot="1" x14ac:dyDescent="0.25">
      <c r="A765" s="652" t="s">
        <v>187</v>
      </c>
      <c r="B765" s="572" t="s">
        <v>187</v>
      </c>
      <c r="C765" s="573" t="s">
        <v>187</v>
      </c>
      <c r="D765" s="580"/>
      <c r="E765" s="575"/>
      <c r="F765" s="436"/>
      <c r="G765" s="431"/>
      <c r="H765" s="430"/>
      <c r="I765" s="432"/>
      <c r="J765" s="433"/>
      <c r="K765" s="437">
        <f t="shared" si="232"/>
        <v>0</v>
      </c>
      <c r="L765" s="435" t="s">
        <v>614</v>
      </c>
      <c r="M765" s="576"/>
      <c r="N765" s="576">
        <f t="shared" si="230"/>
        <v>0</v>
      </c>
      <c r="O765" s="577">
        <f t="shared" si="236"/>
        <v>0</v>
      </c>
      <c r="P765" s="578">
        <f t="shared" si="237"/>
        <v>0</v>
      </c>
      <c r="Q765" s="765"/>
      <c r="R765" s="576">
        <f t="shared" si="233"/>
        <v>0</v>
      </c>
      <c r="S765" s="576">
        <f t="shared" si="225"/>
        <v>0</v>
      </c>
      <c r="T765" s="577">
        <f t="shared" si="234"/>
        <v>0</v>
      </c>
      <c r="U765" s="578">
        <f t="shared" si="235"/>
        <v>0</v>
      </c>
      <c r="V765" s="579"/>
      <c r="W765" s="566"/>
      <c r="X765" s="586" t="str">
        <f t="shared" si="238"/>
        <v/>
      </c>
      <c r="Y765" s="586" t="str">
        <f t="shared" si="189"/>
        <v/>
      </c>
      <c r="Z765" s="586" t="str">
        <f t="shared" si="208"/>
        <v/>
      </c>
    </row>
    <row r="766" spans="1:26" ht="12" hidden="1" thickBot="1" x14ac:dyDescent="0.25">
      <c r="A766" s="652" t="s">
        <v>187</v>
      </c>
      <c r="B766" s="572" t="s">
        <v>187</v>
      </c>
      <c r="C766" s="573" t="s">
        <v>187</v>
      </c>
      <c r="D766" s="580"/>
      <c r="E766" s="575"/>
      <c r="F766" s="436"/>
      <c r="G766" s="431"/>
      <c r="H766" s="430"/>
      <c r="I766" s="432"/>
      <c r="J766" s="433"/>
      <c r="K766" s="437">
        <f t="shared" si="232"/>
        <v>0</v>
      </c>
      <c r="L766" s="435" t="s">
        <v>614</v>
      </c>
      <c r="M766" s="576"/>
      <c r="N766" s="576">
        <f t="shared" si="230"/>
        <v>0</v>
      </c>
      <c r="O766" s="577">
        <f t="shared" si="236"/>
        <v>0</v>
      </c>
      <c r="P766" s="578">
        <f t="shared" si="237"/>
        <v>0</v>
      </c>
      <c r="Q766" s="765"/>
      <c r="R766" s="576">
        <f t="shared" si="233"/>
        <v>0</v>
      </c>
      <c r="S766" s="576">
        <f t="shared" si="225"/>
        <v>0</v>
      </c>
      <c r="T766" s="577">
        <f t="shared" si="234"/>
        <v>0</v>
      </c>
      <c r="U766" s="578">
        <f t="shared" si="235"/>
        <v>0</v>
      </c>
      <c r="V766" s="579"/>
      <c r="W766" s="566"/>
      <c r="X766" s="586" t="str">
        <f t="shared" si="238"/>
        <v/>
      </c>
      <c r="Y766" s="586" t="str">
        <f t="shared" si="189"/>
        <v/>
      </c>
      <c r="Z766" s="586" t="str">
        <f t="shared" ref="Z766:Z914" si="239">IF(W766="X","x",IF(U766&gt;0,"x",""))</f>
        <v/>
      </c>
    </row>
    <row r="767" spans="1:26" ht="12" hidden="1" thickBot="1" x14ac:dyDescent="0.25">
      <c r="A767" s="652" t="s">
        <v>187</v>
      </c>
      <c r="B767" s="572" t="s">
        <v>187</v>
      </c>
      <c r="C767" s="573" t="s">
        <v>187</v>
      </c>
      <c r="D767" s="580"/>
      <c r="E767" s="575"/>
      <c r="F767" s="436"/>
      <c r="G767" s="431"/>
      <c r="H767" s="430"/>
      <c r="I767" s="432"/>
      <c r="J767" s="433"/>
      <c r="K767" s="437">
        <f t="shared" si="232"/>
        <v>0</v>
      </c>
      <c r="L767" s="435" t="s">
        <v>614</v>
      </c>
      <c r="M767" s="576"/>
      <c r="N767" s="576">
        <f t="shared" si="230"/>
        <v>0</v>
      </c>
      <c r="O767" s="577">
        <f t="shared" si="236"/>
        <v>0</v>
      </c>
      <c r="P767" s="578">
        <f t="shared" si="237"/>
        <v>0</v>
      </c>
      <c r="Q767" s="765"/>
      <c r="R767" s="576">
        <f t="shared" si="233"/>
        <v>0</v>
      </c>
      <c r="S767" s="576">
        <f t="shared" si="225"/>
        <v>0</v>
      </c>
      <c r="T767" s="577">
        <f t="shared" si="234"/>
        <v>0</v>
      </c>
      <c r="U767" s="578">
        <f t="shared" si="235"/>
        <v>0</v>
      </c>
      <c r="V767" s="579"/>
      <c r="W767" s="566"/>
      <c r="X767" s="586" t="str">
        <f t="shared" si="238"/>
        <v/>
      </c>
      <c r="Y767" s="586" t="str">
        <f t="shared" si="189"/>
        <v/>
      </c>
      <c r="Z767" s="586" t="str">
        <f t="shared" si="239"/>
        <v/>
      </c>
    </row>
    <row r="768" spans="1:26" ht="12" hidden="1" thickBot="1" x14ac:dyDescent="0.25">
      <c r="A768" s="652" t="s">
        <v>187</v>
      </c>
      <c r="B768" s="572" t="s">
        <v>187</v>
      </c>
      <c r="C768" s="573" t="s">
        <v>187</v>
      </c>
      <c r="D768" s="580"/>
      <c r="E768" s="575"/>
      <c r="F768" s="436"/>
      <c r="G768" s="431"/>
      <c r="H768" s="430"/>
      <c r="I768" s="432"/>
      <c r="J768" s="433"/>
      <c r="K768" s="437">
        <f t="shared" si="232"/>
        <v>0</v>
      </c>
      <c r="L768" s="435" t="s">
        <v>614</v>
      </c>
      <c r="M768" s="576"/>
      <c r="N768" s="576">
        <f t="shared" si="230"/>
        <v>0</v>
      </c>
      <c r="O768" s="577">
        <f t="shared" si="236"/>
        <v>0</v>
      </c>
      <c r="P768" s="578">
        <f t="shared" si="237"/>
        <v>0</v>
      </c>
      <c r="Q768" s="765"/>
      <c r="R768" s="576">
        <f t="shared" si="233"/>
        <v>0</v>
      </c>
      <c r="S768" s="576">
        <f t="shared" si="225"/>
        <v>0</v>
      </c>
      <c r="T768" s="577">
        <f t="shared" si="234"/>
        <v>0</v>
      </c>
      <c r="U768" s="578">
        <f t="shared" si="235"/>
        <v>0</v>
      </c>
      <c r="V768" s="579"/>
      <c r="W768" s="566"/>
      <c r="X768" s="586" t="str">
        <f t="shared" si="238"/>
        <v/>
      </c>
      <c r="Y768" s="586" t="str">
        <f t="shared" si="189"/>
        <v/>
      </c>
      <c r="Z768" s="586" t="str">
        <f t="shared" si="239"/>
        <v/>
      </c>
    </row>
    <row r="769" spans="1:26" ht="12" hidden="1" thickBot="1" x14ac:dyDescent="0.25">
      <c r="A769" s="652" t="s">
        <v>187</v>
      </c>
      <c r="B769" s="572" t="s">
        <v>187</v>
      </c>
      <c r="C769" s="573" t="s">
        <v>187</v>
      </c>
      <c r="D769" s="580"/>
      <c r="E769" s="575"/>
      <c r="F769" s="436"/>
      <c r="G769" s="431"/>
      <c r="H769" s="430"/>
      <c r="I769" s="432"/>
      <c r="J769" s="433"/>
      <c r="K769" s="437">
        <f t="shared" si="232"/>
        <v>0</v>
      </c>
      <c r="L769" s="435" t="s">
        <v>614</v>
      </c>
      <c r="M769" s="576"/>
      <c r="N769" s="576">
        <f t="shared" si="230"/>
        <v>0</v>
      </c>
      <c r="O769" s="577">
        <f t="shared" si="236"/>
        <v>0</v>
      </c>
      <c r="P769" s="578">
        <f t="shared" si="237"/>
        <v>0</v>
      </c>
      <c r="Q769" s="765"/>
      <c r="R769" s="576">
        <f t="shared" si="233"/>
        <v>0</v>
      </c>
      <c r="S769" s="576">
        <f t="shared" si="225"/>
        <v>0</v>
      </c>
      <c r="T769" s="577">
        <f t="shared" si="234"/>
        <v>0</v>
      </c>
      <c r="U769" s="578">
        <f t="shared" si="235"/>
        <v>0</v>
      </c>
      <c r="V769" s="579"/>
      <c r="W769" s="566"/>
      <c r="X769" s="586" t="str">
        <f t="shared" si="238"/>
        <v/>
      </c>
      <c r="Y769" s="586" t="str">
        <f t="shared" si="189"/>
        <v/>
      </c>
      <c r="Z769" s="586" t="str">
        <f t="shared" si="239"/>
        <v/>
      </c>
    </row>
    <row r="770" spans="1:26" ht="12" hidden="1" thickBot="1" x14ac:dyDescent="0.25">
      <c r="A770" s="652" t="s">
        <v>187</v>
      </c>
      <c r="B770" s="572" t="s">
        <v>187</v>
      </c>
      <c r="C770" s="573" t="s">
        <v>187</v>
      </c>
      <c r="D770" s="580"/>
      <c r="E770" s="575"/>
      <c r="F770" s="436"/>
      <c r="G770" s="431"/>
      <c r="H770" s="430"/>
      <c r="I770" s="432"/>
      <c r="J770" s="433"/>
      <c r="K770" s="437">
        <f t="shared" si="232"/>
        <v>0</v>
      </c>
      <c r="L770" s="435" t="s">
        <v>614</v>
      </c>
      <c r="M770" s="576"/>
      <c r="N770" s="576">
        <f t="shared" si="230"/>
        <v>0</v>
      </c>
      <c r="O770" s="577">
        <f t="shared" si="236"/>
        <v>0</v>
      </c>
      <c r="P770" s="578">
        <f t="shared" si="237"/>
        <v>0</v>
      </c>
      <c r="Q770" s="765"/>
      <c r="R770" s="576">
        <f t="shared" si="233"/>
        <v>0</v>
      </c>
      <c r="S770" s="576">
        <f t="shared" si="225"/>
        <v>0</v>
      </c>
      <c r="T770" s="577">
        <f t="shared" si="234"/>
        <v>0</v>
      </c>
      <c r="U770" s="578">
        <f t="shared" si="235"/>
        <v>0</v>
      </c>
      <c r="V770" s="579"/>
      <c r="W770" s="566"/>
      <c r="X770" s="586" t="str">
        <f t="shared" si="238"/>
        <v/>
      </c>
      <c r="Y770" s="586" t="str">
        <f t="shared" si="189"/>
        <v/>
      </c>
      <c r="Z770" s="586" t="str">
        <f t="shared" si="239"/>
        <v/>
      </c>
    </row>
    <row r="771" spans="1:26" ht="12" hidden="1" thickBot="1" x14ac:dyDescent="0.25">
      <c r="A771" s="652" t="s">
        <v>187</v>
      </c>
      <c r="B771" s="572" t="s">
        <v>187</v>
      </c>
      <c r="C771" s="573" t="s">
        <v>187</v>
      </c>
      <c r="D771" s="580"/>
      <c r="E771" s="575"/>
      <c r="F771" s="436"/>
      <c r="G771" s="431"/>
      <c r="H771" s="430"/>
      <c r="I771" s="432"/>
      <c r="J771" s="433"/>
      <c r="K771" s="437">
        <f t="shared" si="232"/>
        <v>0</v>
      </c>
      <c r="L771" s="435" t="s">
        <v>614</v>
      </c>
      <c r="M771" s="576"/>
      <c r="N771" s="576">
        <f t="shared" si="230"/>
        <v>0</v>
      </c>
      <c r="O771" s="577">
        <f t="shared" si="236"/>
        <v>0</v>
      </c>
      <c r="P771" s="578">
        <f t="shared" si="237"/>
        <v>0</v>
      </c>
      <c r="Q771" s="765"/>
      <c r="R771" s="576">
        <f t="shared" si="233"/>
        <v>0</v>
      </c>
      <c r="S771" s="576">
        <f t="shared" si="225"/>
        <v>0</v>
      </c>
      <c r="T771" s="577">
        <f t="shared" si="234"/>
        <v>0</v>
      </c>
      <c r="U771" s="578">
        <f t="shared" si="235"/>
        <v>0</v>
      </c>
      <c r="V771" s="579"/>
      <c r="W771" s="566"/>
      <c r="X771" s="586" t="str">
        <f t="shared" si="238"/>
        <v/>
      </c>
      <c r="Y771" s="586" t="str">
        <f t="shared" si="189"/>
        <v/>
      </c>
      <c r="Z771" s="586" t="str">
        <f t="shared" si="239"/>
        <v/>
      </c>
    </row>
    <row r="772" spans="1:26" ht="12" hidden="1" thickBot="1" x14ac:dyDescent="0.25">
      <c r="A772" s="652" t="s">
        <v>187</v>
      </c>
      <c r="B772" s="572" t="s">
        <v>187</v>
      </c>
      <c r="C772" s="573" t="s">
        <v>187</v>
      </c>
      <c r="D772" s="580"/>
      <c r="E772" s="575"/>
      <c r="F772" s="436"/>
      <c r="G772" s="431"/>
      <c r="H772" s="430"/>
      <c r="I772" s="432"/>
      <c r="J772" s="433"/>
      <c r="K772" s="437">
        <f t="shared" si="232"/>
        <v>0</v>
      </c>
      <c r="L772" s="435" t="s">
        <v>614</v>
      </c>
      <c r="M772" s="576"/>
      <c r="N772" s="576">
        <f t="shared" si="230"/>
        <v>0</v>
      </c>
      <c r="O772" s="577">
        <f t="shared" si="236"/>
        <v>0</v>
      </c>
      <c r="P772" s="578">
        <f t="shared" si="237"/>
        <v>0</v>
      </c>
      <c r="Q772" s="765"/>
      <c r="R772" s="576">
        <f t="shared" si="233"/>
        <v>0</v>
      </c>
      <c r="S772" s="576">
        <f t="shared" si="225"/>
        <v>0</v>
      </c>
      <c r="T772" s="577">
        <f t="shared" si="234"/>
        <v>0</v>
      </c>
      <c r="U772" s="578">
        <f t="shared" si="235"/>
        <v>0</v>
      </c>
      <c r="V772" s="579"/>
      <c r="W772" s="566"/>
      <c r="X772" s="586" t="str">
        <f t="shared" si="238"/>
        <v/>
      </c>
      <c r="Y772" s="586" t="str">
        <f t="shared" si="189"/>
        <v/>
      </c>
      <c r="Z772" s="586" t="str">
        <f t="shared" si="239"/>
        <v/>
      </c>
    </row>
    <row r="773" spans="1:26" ht="12" hidden="1" thickBot="1" x14ac:dyDescent="0.25">
      <c r="A773" s="652" t="s">
        <v>187</v>
      </c>
      <c r="B773" s="572" t="s">
        <v>187</v>
      </c>
      <c r="C773" s="573" t="s">
        <v>187</v>
      </c>
      <c r="D773" s="580"/>
      <c r="E773" s="575"/>
      <c r="F773" s="436"/>
      <c r="G773" s="431"/>
      <c r="H773" s="430"/>
      <c r="I773" s="432"/>
      <c r="J773" s="433"/>
      <c r="K773" s="437">
        <f t="shared" si="232"/>
        <v>0</v>
      </c>
      <c r="L773" s="435" t="s">
        <v>614</v>
      </c>
      <c r="M773" s="576"/>
      <c r="N773" s="576">
        <f t="shared" si="230"/>
        <v>0</v>
      </c>
      <c r="O773" s="577">
        <f t="shared" si="236"/>
        <v>0</v>
      </c>
      <c r="P773" s="578">
        <f t="shared" si="237"/>
        <v>0</v>
      </c>
      <c r="Q773" s="765"/>
      <c r="R773" s="576">
        <f t="shared" si="233"/>
        <v>0</v>
      </c>
      <c r="S773" s="576">
        <f t="shared" si="225"/>
        <v>0</v>
      </c>
      <c r="T773" s="577">
        <f t="shared" si="234"/>
        <v>0</v>
      </c>
      <c r="U773" s="578">
        <f t="shared" si="235"/>
        <v>0</v>
      </c>
      <c r="V773" s="579"/>
      <c r="W773" s="566"/>
      <c r="X773" s="586" t="str">
        <f t="shared" si="238"/>
        <v/>
      </c>
      <c r="Y773" s="586" t="str">
        <f t="shared" si="189"/>
        <v/>
      </c>
      <c r="Z773" s="586" t="str">
        <f t="shared" si="239"/>
        <v/>
      </c>
    </row>
    <row r="774" spans="1:26" ht="12" hidden="1" thickBot="1" x14ac:dyDescent="0.25">
      <c r="A774" s="652" t="s">
        <v>187</v>
      </c>
      <c r="B774" s="572" t="s">
        <v>187</v>
      </c>
      <c r="C774" s="573" t="s">
        <v>187</v>
      </c>
      <c r="D774" s="580"/>
      <c r="E774" s="575"/>
      <c r="F774" s="436"/>
      <c r="G774" s="431"/>
      <c r="H774" s="430"/>
      <c r="I774" s="432"/>
      <c r="J774" s="433"/>
      <c r="K774" s="437">
        <f t="shared" si="232"/>
        <v>0</v>
      </c>
      <c r="L774" s="435" t="s">
        <v>614</v>
      </c>
      <c r="M774" s="576"/>
      <c r="N774" s="576">
        <f t="shared" si="230"/>
        <v>0</v>
      </c>
      <c r="O774" s="577">
        <f t="shared" si="236"/>
        <v>0</v>
      </c>
      <c r="P774" s="578">
        <f t="shared" si="237"/>
        <v>0</v>
      </c>
      <c r="Q774" s="765"/>
      <c r="R774" s="576">
        <f t="shared" si="233"/>
        <v>0</v>
      </c>
      <c r="S774" s="576">
        <f t="shared" si="225"/>
        <v>0</v>
      </c>
      <c r="T774" s="577">
        <f t="shared" si="234"/>
        <v>0</v>
      </c>
      <c r="U774" s="578">
        <f t="shared" si="235"/>
        <v>0</v>
      </c>
      <c r="V774" s="579"/>
      <c r="W774" s="566"/>
      <c r="X774" s="586" t="str">
        <f t="shared" si="238"/>
        <v/>
      </c>
      <c r="Y774" s="586" t="str">
        <f t="shared" si="189"/>
        <v/>
      </c>
      <c r="Z774" s="586" t="str">
        <f t="shared" si="239"/>
        <v/>
      </c>
    </row>
    <row r="775" spans="1:26" ht="12" hidden="1" thickBot="1" x14ac:dyDescent="0.25">
      <c r="A775" s="652" t="s">
        <v>187</v>
      </c>
      <c r="B775" s="572" t="s">
        <v>187</v>
      </c>
      <c r="C775" s="573" t="s">
        <v>187</v>
      </c>
      <c r="D775" s="580"/>
      <c r="E775" s="575"/>
      <c r="F775" s="436"/>
      <c r="G775" s="431"/>
      <c r="H775" s="430"/>
      <c r="I775" s="432"/>
      <c r="J775" s="433"/>
      <c r="K775" s="437">
        <f t="shared" si="232"/>
        <v>0</v>
      </c>
      <c r="L775" s="435" t="s">
        <v>614</v>
      </c>
      <c r="M775" s="576"/>
      <c r="N775" s="576">
        <f t="shared" si="230"/>
        <v>0</v>
      </c>
      <c r="O775" s="577">
        <f t="shared" si="236"/>
        <v>0</v>
      </c>
      <c r="P775" s="578">
        <f t="shared" si="237"/>
        <v>0</v>
      </c>
      <c r="Q775" s="765"/>
      <c r="R775" s="576">
        <f t="shared" si="233"/>
        <v>0</v>
      </c>
      <c r="S775" s="576">
        <f t="shared" si="225"/>
        <v>0</v>
      </c>
      <c r="T775" s="577">
        <f t="shared" si="234"/>
        <v>0</v>
      </c>
      <c r="U775" s="578">
        <f t="shared" si="235"/>
        <v>0</v>
      </c>
      <c r="V775" s="579"/>
      <c r="W775" s="566"/>
      <c r="X775" s="586" t="str">
        <f t="shared" si="238"/>
        <v/>
      </c>
      <c r="Y775" s="586" t="str">
        <f t="shared" si="189"/>
        <v/>
      </c>
      <c r="Z775" s="586" t="str">
        <f t="shared" si="239"/>
        <v/>
      </c>
    </row>
    <row r="776" spans="1:26" ht="12" hidden="1" thickBot="1" x14ac:dyDescent="0.25">
      <c r="A776" s="652" t="s">
        <v>187</v>
      </c>
      <c r="B776" s="572" t="s">
        <v>187</v>
      </c>
      <c r="C776" s="573" t="s">
        <v>187</v>
      </c>
      <c r="D776" s="580"/>
      <c r="E776" s="575"/>
      <c r="F776" s="436"/>
      <c r="G776" s="431"/>
      <c r="H776" s="430"/>
      <c r="I776" s="432"/>
      <c r="J776" s="433"/>
      <c r="K776" s="437">
        <f t="shared" si="232"/>
        <v>0</v>
      </c>
      <c r="L776" s="435" t="s">
        <v>614</v>
      </c>
      <c r="M776" s="576"/>
      <c r="N776" s="576">
        <f t="shared" si="230"/>
        <v>0</v>
      </c>
      <c r="O776" s="577">
        <f t="shared" si="236"/>
        <v>0</v>
      </c>
      <c r="P776" s="578">
        <f t="shared" si="237"/>
        <v>0</v>
      </c>
      <c r="Q776" s="765"/>
      <c r="R776" s="576">
        <f t="shared" si="233"/>
        <v>0</v>
      </c>
      <c r="S776" s="576">
        <f t="shared" si="225"/>
        <v>0</v>
      </c>
      <c r="T776" s="577">
        <f t="shared" si="234"/>
        <v>0</v>
      </c>
      <c r="U776" s="578">
        <f t="shared" si="235"/>
        <v>0</v>
      </c>
      <c r="V776" s="579"/>
      <c r="W776" s="566"/>
      <c r="X776" s="586" t="str">
        <f t="shared" si="238"/>
        <v/>
      </c>
      <c r="Y776" s="586" t="str">
        <f t="shared" si="189"/>
        <v/>
      </c>
      <c r="Z776" s="586" t="str">
        <f t="shared" si="239"/>
        <v/>
      </c>
    </row>
    <row r="777" spans="1:26" ht="12" hidden="1" thickBot="1" x14ac:dyDescent="0.25">
      <c r="A777" s="652" t="s">
        <v>187</v>
      </c>
      <c r="B777" s="572" t="s">
        <v>187</v>
      </c>
      <c r="C777" s="573" t="s">
        <v>187</v>
      </c>
      <c r="D777" s="580"/>
      <c r="E777" s="575"/>
      <c r="F777" s="436"/>
      <c r="G777" s="431"/>
      <c r="H777" s="430"/>
      <c r="I777" s="432"/>
      <c r="J777" s="433"/>
      <c r="K777" s="437">
        <f t="shared" si="232"/>
        <v>0</v>
      </c>
      <c r="L777" s="435" t="s">
        <v>614</v>
      </c>
      <c r="M777" s="576"/>
      <c r="N777" s="576">
        <f t="shared" si="230"/>
        <v>0</v>
      </c>
      <c r="O777" s="577">
        <f t="shared" si="236"/>
        <v>0</v>
      </c>
      <c r="P777" s="578">
        <f t="shared" si="237"/>
        <v>0</v>
      </c>
      <c r="Q777" s="765"/>
      <c r="R777" s="576">
        <f t="shared" si="233"/>
        <v>0</v>
      </c>
      <c r="S777" s="576">
        <f t="shared" si="225"/>
        <v>0</v>
      </c>
      <c r="T777" s="577">
        <f t="shared" si="234"/>
        <v>0</v>
      </c>
      <c r="U777" s="578">
        <f t="shared" si="235"/>
        <v>0</v>
      </c>
      <c r="V777" s="579"/>
      <c r="W777" s="566"/>
      <c r="X777" s="586" t="str">
        <f t="shared" si="238"/>
        <v/>
      </c>
      <c r="Y777" s="586" t="str">
        <f t="shared" si="189"/>
        <v/>
      </c>
      <c r="Z777" s="586" t="str">
        <f t="shared" si="239"/>
        <v/>
      </c>
    </row>
    <row r="778" spans="1:26" ht="12" hidden="1" thickBot="1" x14ac:dyDescent="0.25">
      <c r="A778" s="652" t="s">
        <v>187</v>
      </c>
      <c r="B778" s="572" t="s">
        <v>187</v>
      </c>
      <c r="C778" s="573" t="s">
        <v>187</v>
      </c>
      <c r="D778" s="580"/>
      <c r="E778" s="575"/>
      <c r="F778" s="436"/>
      <c r="G778" s="431"/>
      <c r="H778" s="430"/>
      <c r="I778" s="432"/>
      <c r="J778" s="433"/>
      <c r="K778" s="437">
        <f t="shared" si="232"/>
        <v>0</v>
      </c>
      <c r="L778" s="435" t="s">
        <v>614</v>
      </c>
      <c r="M778" s="576"/>
      <c r="N778" s="576">
        <f t="shared" si="230"/>
        <v>0</v>
      </c>
      <c r="O778" s="577">
        <f t="shared" si="236"/>
        <v>0</v>
      </c>
      <c r="P778" s="578">
        <f t="shared" si="237"/>
        <v>0</v>
      </c>
      <c r="Q778" s="765"/>
      <c r="R778" s="576">
        <f t="shared" si="233"/>
        <v>0</v>
      </c>
      <c r="S778" s="576">
        <f t="shared" si="225"/>
        <v>0</v>
      </c>
      <c r="T778" s="577">
        <f t="shared" si="234"/>
        <v>0</v>
      </c>
      <c r="U778" s="578">
        <f t="shared" si="235"/>
        <v>0</v>
      </c>
      <c r="V778" s="579"/>
      <c r="W778" s="566"/>
      <c r="X778" s="586" t="str">
        <f t="shared" si="238"/>
        <v/>
      </c>
      <c r="Y778" s="586" t="str">
        <f t="shared" si="189"/>
        <v/>
      </c>
      <c r="Z778" s="586" t="str">
        <f t="shared" si="239"/>
        <v/>
      </c>
    </row>
    <row r="779" spans="1:26" ht="12" hidden="1" thickBot="1" x14ac:dyDescent="0.25">
      <c r="A779" s="652" t="s">
        <v>187</v>
      </c>
      <c r="B779" s="581" t="s">
        <v>187</v>
      </c>
      <c r="C779" s="582" t="s">
        <v>187</v>
      </c>
      <c r="D779" s="583"/>
      <c r="E779" s="584"/>
      <c r="F779" s="438"/>
      <c r="G779" s="439"/>
      <c r="H779" s="440"/>
      <c r="I779" s="441"/>
      <c r="J779" s="442"/>
      <c r="K779" s="443">
        <f t="shared" si="232"/>
        <v>0</v>
      </c>
      <c r="L779" s="444" t="s">
        <v>614</v>
      </c>
      <c r="M779" s="576"/>
      <c r="N779" s="576">
        <f t="shared" si="230"/>
        <v>0</v>
      </c>
      <c r="O779" s="585">
        <f t="shared" si="236"/>
        <v>0</v>
      </c>
      <c r="P779" s="660">
        <f t="shared" si="237"/>
        <v>0</v>
      </c>
      <c r="Q779" s="765"/>
      <c r="R779" s="576">
        <f t="shared" si="233"/>
        <v>0</v>
      </c>
      <c r="S779" s="576">
        <f t="shared" si="233"/>
        <v>0</v>
      </c>
      <c r="T779" s="585">
        <f t="shared" si="234"/>
        <v>0</v>
      </c>
      <c r="U779" s="660">
        <f t="shared" si="235"/>
        <v>0</v>
      </c>
      <c r="V779" s="579"/>
      <c r="W779" s="566"/>
      <c r="X779" s="586" t="str">
        <f t="shared" si="238"/>
        <v/>
      </c>
      <c r="Y779" s="586" t="str">
        <f t="shared" si="189"/>
        <v/>
      </c>
      <c r="Z779" s="586" t="str">
        <f t="shared" si="239"/>
        <v/>
      </c>
    </row>
    <row r="780" spans="1:26" ht="12" thickBot="1" x14ac:dyDescent="0.25">
      <c r="A780" s="567" t="s">
        <v>452</v>
      </c>
      <c r="B780" s="664" t="s">
        <v>452</v>
      </c>
      <c r="C780" s="665"/>
      <c r="D780" s="666" t="s">
        <v>468</v>
      </c>
      <c r="E780" s="631"/>
      <c r="F780" s="632"/>
      <c r="G780" s="633"/>
      <c r="H780" s="634"/>
      <c r="I780" s="409"/>
      <c r="J780" s="409"/>
      <c r="K780" s="409"/>
      <c r="L780" s="409" t="s">
        <v>614</v>
      </c>
      <c r="M780" s="634"/>
      <c r="N780" s="797"/>
      <c r="O780" s="409">
        <f t="shared" si="236"/>
        <v>0</v>
      </c>
      <c r="P780" s="635">
        <f t="shared" si="237"/>
        <v>0</v>
      </c>
      <c r="Q780" s="635">
        <f>SUM(P781:P839)</f>
        <v>25966.94</v>
      </c>
      <c r="R780" s="634"/>
      <c r="S780" s="409"/>
      <c r="T780" s="409">
        <f t="shared" si="234"/>
        <v>0</v>
      </c>
      <c r="U780" s="635">
        <f t="shared" si="235"/>
        <v>0</v>
      </c>
      <c r="V780" s="636">
        <f>SUM(U781:U839)</f>
        <v>25966.94</v>
      </c>
      <c r="W780" s="637" t="str">
        <f>IF(OR(Q780&gt;0,V780&gt;0),"X","")</f>
        <v>X</v>
      </c>
      <c r="X780" s="586" t="str">
        <f t="shared" si="238"/>
        <v>x</v>
      </c>
      <c r="Y780" s="586" t="str">
        <f t="shared" si="189"/>
        <v>x</v>
      </c>
      <c r="Z780" s="586" t="str">
        <f t="shared" si="239"/>
        <v>x</v>
      </c>
    </row>
    <row r="781" spans="1:26" hidden="1" x14ac:dyDescent="0.2">
      <c r="A781" s="567">
        <v>813000</v>
      </c>
      <c r="B781" s="644">
        <v>813000</v>
      </c>
      <c r="C781" s="645" t="s">
        <v>206</v>
      </c>
      <c r="D781" s="422" t="s">
        <v>639</v>
      </c>
      <c r="E781" s="423"/>
      <c r="F781" s="424"/>
      <c r="G781" s="425"/>
      <c r="H781" s="651">
        <f>SUM(H782:H784)</f>
        <v>24.342776000000001</v>
      </c>
      <c r="I781" s="420">
        <v>99.13</v>
      </c>
      <c r="J781" s="420">
        <f>IF(ISBLANK(I781),"",SUM(H781:I781))</f>
        <v>123.472776</v>
      </c>
      <c r="K781" s="421">
        <f t="shared" ref="K781:K788" si="240">IF(ISBLANK(J781),0,ROUND(J781*(1+$F$10)*(1+$F$11*E781),2))</f>
        <v>146.69999999999999</v>
      </c>
      <c r="L781" s="647" t="s">
        <v>19</v>
      </c>
      <c r="M781" s="576"/>
      <c r="N781" s="576">
        <f t="shared" si="230"/>
        <v>0</v>
      </c>
      <c r="O781" s="577">
        <f t="shared" si="236"/>
        <v>0</v>
      </c>
      <c r="P781" s="578">
        <f t="shared" si="237"/>
        <v>0</v>
      </c>
      <c r="Q781" s="765"/>
      <c r="R781" s="576">
        <f t="shared" si="233"/>
        <v>0</v>
      </c>
      <c r="S781" s="576">
        <f t="shared" si="233"/>
        <v>0</v>
      </c>
      <c r="T781" s="577">
        <f t="shared" si="234"/>
        <v>0</v>
      </c>
      <c r="U781" s="578">
        <f t="shared" si="235"/>
        <v>0</v>
      </c>
      <c r="V781" s="579"/>
      <c r="W781" s="566"/>
      <c r="X781" s="586" t="str">
        <f t="shared" si="238"/>
        <v/>
      </c>
      <c r="Y781" s="586" t="str">
        <f t="shared" si="189"/>
        <v/>
      </c>
      <c r="Z781" s="586" t="str">
        <f t="shared" si="239"/>
        <v/>
      </c>
    </row>
    <row r="782" spans="1:26" hidden="1" x14ac:dyDescent="0.2">
      <c r="A782" s="567" t="s">
        <v>168</v>
      </c>
      <c r="B782" s="644" t="s">
        <v>168</v>
      </c>
      <c r="C782" s="645"/>
      <c r="D782" s="451" t="s">
        <v>212</v>
      </c>
      <c r="E782" s="423"/>
      <c r="F782" s="424">
        <v>500</v>
      </c>
      <c r="G782" s="425">
        <v>1.7600000000000001E-2</v>
      </c>
      <c r="H782" s="649">
        <f>IF(F782&lt;=30,(0.78*F782+7.82)*G782,((0.78*30+7.82)+0.78*(F782-30))*G782)</f>
        <v>7.0016320000000016</v>
      </c>
      <c r="I782" s="420">
        <v>0</v>
      </c>
      <c r="J782" s="420"/>
      <c r="K782" s="421">
        <f t="shared" si="240"/>
        <v>0</v>
      </c>
      <c r="L782" s="668" t="s">
        <v>614</v>
      </c>
      <c r="M782" s="669"/>
      <c r="N782" s="576">
        <f t="shared" si="230"/>
        <v>0</v>
      </c>
      <c r="O782" s="577">
        <f t="shared" si="236"/>
        <v>0</v>
      </c>
      <c r="P782" s="578">
        <f t="shared" si="237"/>
        <v>0</v>
      </c>
      <c r="Q782" s="765"/>
      <c r="R782" s="669"/>
      <c r="S782" s="670"/>
      <c r="T782" s="577">
        <f t="shared" si="234"/>
        <v>0</v>
      </c>
      <c r="U782" s="578">
        <f t="shared" si="235"/>
        <v>0</v>
      </c>
      <c r="V782" s="579"/>
      <c r="W782" s="637" t="str">
        <f>IF(U781&gt;0,"xx",IF(P781&gt;0,"xy",""))</f>
        <v/>
      </c>
      <c r="X782" s="586" t="str">
        <f t="shared" si="238"/>
        <v/>
      </c>
      <c r="Y782" s="586" t="str">
        <f t="shared" si="189"/>
        <v/>
      </c>
      <c r="Z782" s="586" t="str">
        <f t="shared" si="239"/>
        <v/>
      </c>
    </row>
    <row r="783" spans="1:26" hidden="1" x14ac:dyDescent="0.2">
      <c r="A783" s="567" t="s">
        <v>168</v>
      </c>
      <c r="B783" s="644" t="s">
        <v>168</v>
      </c>
      <c r="C783" s="645"/>
      <c r="D783" s="451" t="s">
        <v>248</v>
      </c>
      <c r="E783" s="423"/>
      <c r="F783" s="424">
        <v>180</v>
      </c>
      <c r="G783" s="425">
        <v>7.3400000000000007E-2</v>
      </c>
      <c r="H783" s="663">
        <f t="shared" ref="H783:H784" si="241">IF(F783&lt;=30,(1.07*F783+2.68)*G783,((1.07*30+2.68)+1.07*(F783-30))*G783)</f>
        <v>14.333552000000001</v>
      </c>
      <c r="I783" s="420">
        <v>0</v>
      </c>
      <c r="J783" s="420"/>
      <c r="K783" s="421">
        <f t="shared" si="240"/>
        <v>0</v>
      </c>
      <c r="L783" s="668" t="s">
        <v>614</v>
      </c>
      <c r="M783" s="669"/>
      <c r="N783" s="576">
        <f t="shared" si="230"/>
        <v>0</v>
      </c>
      <c r="O783" s="577">
        <f t="shared" si="236"/>
        <v>0</v>
      </c>
      <c r="P783" s="578">
        <f t="shared" si="237"/>
        <v>0</v>
      </c>
      <c r="Q783" s="765"/>
      <c r="R783" s="669"/>
      <c r="S783" s="670"/>
      <c r="T783" s="577">
        <f t="shared" si="234"/>
        <v>0</v>
      </c>
      <c r="U783" s="578">
        <f t="shared" si="235"/>
        <v>0</v>
      </c>
      <c r="V783" s="579"/>
      <c r="W783" s="637" t="str">
        <f>IF(U781&gt;0,"xx",IF(P781&gt;0,"xy",""))</f>
        <v/>
      </c>
      <c r="X783" s="586" t="str">
        <f t="shared" si="238"/>
        <v/>
      </c>
      <c r="Y783" s="586" t="str">
        <f t="shared" si="189"/>
        <v/>
      </c>
      <c r="Z783" s="586" t="str">
        <f t="shared" si="239"/>
        <v/>
      </c>
    </row>
    <row r="784" spans="1:26" hidden="1" x14ac:dyDescent="0.2">
      <c r="A784" s="567" t="s">
        <v>168</v>
      </c>
      <c r="B784" s="644" t="s">
        <v>168</v>
      </c>
      <c r="C784" s="645"/>
      <c r="D784" s="451" t="s">
        <v>252</v>
      </c>
      <c r="E784" s="423"/>
      <c r="F784" s="424">
        <v>20</v>
      </c>
      <c r="G784" s="425">
        <v>0.1249</v>
      </c>
      <c r="H784" s="663">
        <f t="shared" si="241"/>
        <v>3.0075920000000003</v>
      </c>
      <c r="I784" s="420">
        <v>0</v>
      </c>
      <c r="J784" s="420"/>
      <c r="K784" s="421">
        <f t="shared" si="240"/>
        <v>0</v>
      </c>
      <c r="L784" s="668" t="s">
        <v>614</v>
      </c>
      <c r="M784" s="669"/>
      <c r="N784" s="576">
        <f t="shared" si="230"/>
        <v>0</v>
      </c>
      <c r="O784" s="577">
        <f t="shared" si="236"/>
        <v>0</v>
      </c>
      <c r="P784" s="578">
        <f t="shared" si="237"/>
        <v>0</v>
      </c>
      <c r="Q784" s="765"/>
      <c r="R784" s="669"/>
      <c r="S784" s="670"/>
      <c r="T784" s="577">
        <f t="shared" si="234"/>
        <v>0</v>
      </c>
      <c r="U784" s="578">
        <f t="shared" si="235"/>
        <v>0</v>
      </c>
      <c r="V784" s="579"/>
      <c r="W784" s="637" t="str">
        <f>IF(U781&gt;0,"xx",IF(P781&gt;0,"xy",""))</f>
        <v/>
      </c>
      <c r="X784" s="586" t="str">
        <f t="shared" si="238"/>
        <v/>
      </c>
      <c r="Y784" s="586" t="str">
        <f t="shared" si="189"/>
        <v/>
      </c>
      <c r="Z784" s="586" t="str">
        <f t="shared" si="239"/>
        <v/>
      </c>
    </row>
    <row r="785" spans="1:26" hidden="1" x14ac:dyDescent="0.2">
      <c r="A785" s="567">
        <v>814000</v>
      </c>
      <c r="B785" s="644">
        <v>814000</v>
      </c>
      <c r="C785" s="645" t="s">
        <v>206</v>
      </c>
      <c r="D785" s="422" t="s">
        <v>640</v>
      </c>
      <c r="E785" s="423"/>
      <c r="F785" s="424"/>
      <c r="G785" s="425"/>
      <c r="H785" s="651">
        <f>SUM(H786:H788)</f>
        <v>24.342776000000001</v>
      </c>
      <c r="I785" s="420">
        <v>97.89</v>
      </c>
      <c r="J785" s="420">
        <f>IF(ISBLANK(I785),"",SUM(H785:I785))</f>
        <v>122.232776</v>
      </c>
      <c r="K785" s="421">
        <f t="shared" si="240"/>
        <v>145.22</v>
      </c>
      <c r="L785" s="647" t="s">
        <v>19</v>
      </c>
      <c r="M785" s="576"/>
      <c r="N785" s="576">
        <f t="shared" si="230"/>
        <v>0</v>
      </c>
      <c r="O785" s="577">
        <f t="shared" si="236"/>
        <v>0</v>
      </c>
      <c r="P785" s="578">
        <f t="shared" si="237"/>
        <v>0</v>
      </c>
      <c r="Q785" s="765"/>
      <c r="R785" s="576">
        <f t="shared" si="233"/>
        <v>0</v>
      </c>
      <c r="S785" s="576">
        <f t="shared" si="233"/>
        <v>0</v>
      </c>
      <c r="T785" s="577">
        <f t="shared" si="234"/>
        <v>0</v>
      </c>
      <c r="U785" s="578">
        <f t="shared" si="235"/>
        <v>0</v>
      </c>
      <c r="V785" s="579"/>
      <c r="W785" s="566"/>
      <c r="X785" s="586" t="str">
        <f t="shared" si="238"/>
        <v/>
      </c>
      <c r="Y785" s="586" t="str">
        <f t="shared" si="189"/>
        <v/>
      </c>
      <c r="Z785" s="586" t="str">
        <f t="shared" si="239"/>
        <v/>
      </c>
    </row>
    <row r="786" spans="1:26" hidden="1" x14ac:dyDescent="0.2">
      <c r="A786" s="567" t="s">
        <v>168</v>
      </c>
      <c r="B786" s="644" t="s">
        <v>168</v>
      </c>
      <c r="C786" s="645"/>
      <c r="D786" s="451" t="s">
        <v>212</v>
      </c>
      <c r="E786" s="423"/>
      <c r="F786" s="424">
        <v>500</v>
      </c>
      <c r="G786" s="425">
        <v>1.7600000000000001E-2</v>
      </c>
      <c r="H786" s="649">
        <f>IF(F786&lt;=30,(0.78*F786+7.82)*G786,((0.78*30+7.82)+0.78*(F786-30))*G786)</f>
        <v>7.0016320000000016</v>
      </c>
      <c r="I786" s="420">
        <v>0</v>
      </c>
      <c r="J786" s="420"/>
      <c r="K786" s="421">
        <f t="shared" si="240"/>
        <v>0</v>
      </c>
      <c r="L786" s="668" t="s">
        <v>614</v>
      </c>
      <c r="M786" s="669"/>
      <c r="N786" s="576">
        <f t="shared" si="230"/>
        <v>0</v>
      </c>
      <c r="O786" s="577">
        <f t="shared" si="236"/>
        <v>0</v>
      </c>
      <c r="P786" s="578">
        <f t="shared" si="237"/>
        <v>0</v>
      </c>
      <c r="Q786" s="765"/>
      <c r="R786" s="669"/>
      <c r="S786" s="670"/>
      <c r="T786" s="577">
        <f t="shared" si="234"/>
        <v>0</v>
      </c>
      <c r="U786" s="578">
        <f t="shared" si="235"/>
        <v>0</v>
      </c>
      <c r="V786" s="579"/>
      <c r="W786" s="637" t="str">
        <f>IF(U785&gt;0,"xx",IF(P785&gt;0,"xy",""))</f>
        <v/>
      </c>
      <c r="X786" s="586" t="str">
        <f t="shared" si="238"/>
        <v/>
      </c>
      <c r="Y786" s="586" t="str">
        <f t="shared" si="189"/>
        <v/>
      </c>
      <c r="Z786" s="586" t="str">
        <f t="shared" si="239"/>
        <v/>
      </c>
    </row>
    <row r="787" spans="1:26" hidden="1" x14ac:dyDescent="0.2">
      <c r="A787" s="567" t="s">
        <v>168</v>
      </c>
      <c r="B787" s="644" t="s">
        <v>168</v>
      </c>
      <c r="C787" s="645"/>
      <c r="D787" s="451" t="s">
        <v>248</v>
      </c>
      <c r="E787" s="423"/>
      <c r="F787" s="424">
        <v>180</v>
      </c>
      <c r="G787" s="425">
        <v>7.3400000000000007E-2</v>
      </c>
      <c r="H787" s="663">
        <f t="shared" ref="H787:H788" si="242">IF(F787&lt;=30,(1.07*F787+2.68)*G787,((1.07*30+2.68)+1.07*(F787-30))*G787)</f>
        <v>14.333552000000001</v>
      </c>
      <c r="I787" s="420">
        <v>0</v>
      </c>
      <c r="J787" s="420"/>
      <c r="K787" s="421">
        <f t="shared" si="240"/>
        <v>0</v>
      </c>
      <c r="L787" s="668" t="s">
        <v>614</v>
      </c>
      <c r="M787" s="669"/>
      <c r="N787" s="576">
        <f t="shared" si="230"/>
        <v>0</v>
      </c>
      <c r="O787" s="577">
        <f t="shared" si="236"/>
        <v>0</v>
      </c>
      <c r="P787" s="578">
        <f t="shared" si="237"/>
        <v>0</v>
      </c>
      <c r="Q787" s="765"/>
      <c r="R787" s="669"/>
      <c r="S787" s="670"/>
      <c r="T787" s="577">
        <f t="shared" si="234"/>
        <v>0</v>
      </c>
      <c r="U787" s="578">
        <f t="shared" si="235"/>
        <v>0</v>
      </c>
      <c r="V787" s="579"/>
      <c r="W787" s="637" t="str">
        <f>IF(U785&gt;0,"xx",IF(P785&gt;0,"xy",""))</f>
        <v/>
      </c>
      <c r="X787" s="586" t="str">
        <f t="shared" si="238"/>
        <v/>
      </c>
      <c r="Y787" s="586" t="str">
        <f t="shared" si="189"/>
        <v/>
      </c>
      <c r="Z787" s="586" t="str">
        <f t="shared" si="239"/>
        <v/>
      </c>
    </row>
    <row r="788" spans="1:26" hidden="1" x14ac:dyDescent="0.2">
      <c r="A788" s="567" t="s">
        <v>168</v>
      </c>
      <c r="B788" s="644" t="s">
        <v>168</v>
      </c>
      <c r="C788" s="645"/>
      <c r="D788" s="451" t="s">
        <v>252</v>
      </c>
      <c r="E788" s="423"/>
      <c r="F788" s="424">
        <v>20</v>
      </c>
      <c r="G788" s="425">
        <v>0.1249</v>
      </c>
      <c r="H788" s="663">
        <f t="shared" si="242"/>
        <v>3.0075920000000003</v>
      </c>
      <c r="I788" s="420">
        <v>0</v>
      </c>
      <c r="J788" s="420"/>
      <c r="K788" s="421">
        <f t="shared" si="240"/>
        <v>0</v>
      </c>
      <c r="L788" s="668" t="s">
        <v>614</v>
      </c>
      <c r="M788" s="669"/>
      <c r="N788" s="576">
        <f t="shared" ref="N788:N851" si="243">IF(M788=0,0,K788)</f>
        <v>0</v>
      </c>
      <c r="O788" s="577">
        <f t="shared" si="236"/>
        <v>0</v>
      </c>
      <c r="P788" s="578">
        <f t="shared" si="237"/>
        <v>0</v>
      </c>
      <c r="Q788" s="765"/>
      <c r="R788" s="669"/>
      <c r="S788" s="670"/>
      <c r="T788" s="577">
        <f t="shared" si="234"/>
        <v>0</v>
      </c>
      <c r="U788" s="578">
        <f t="shared" si="235"/>
        <v>0</v>
      </c>
      <c r="V788" s="579"/>
      <c r="W788" s="637" t="str">
        <f>IF(U785&gt;0,"xx",IF(P785&gt;0,"xy",""))</f>
        <v/>
      </c>
      <c r="X788" s="586" t="str">
        <f t="shared" si="238"/>
        <v/>
      </c>
      <c r="Y788" s="586" t="str">
        <f t="shared" si="189"/>
        <v/>
      </c>
      <c r="Z788" s="586" t="str">
        <f t="shared" si="239"/>
        <v/>
      </c>
    </row>
    <row r="789" spans="1:26" hidden="1" x14ac:dyDescent="0.2">
      <c r="A789" s="567">
        <v>823000</v>
      </c>
      <c r="B789" s="644" t="s">
        <v>1635</v>
      </c>
      <c r="C789" s="645" t="s">
        <v>206</v>
      </c>
      <c r="D789" s="422" t="s">
        <v>282</v>
      </c>
      <c r="E789" s="423"/>
      <c r="F789" s="424">
        <v>0</v>
      </c>
      <c r="G789" s="425"/>
      <c r="H789" s="651">
        <v>0</v>
      </c>
      <c r="I789" s="420">
        <v>486.65</v>
      </c>
      <c r="J789" s="420">
        <f t="shared" ref="J789:J797" si="244">IF(ISBLANK(I789),"",SUM(H789:I789))</f>
        <v>486.65</v>
      </c>
      <c r="K789" s="421">
        <f t="shared" ref="K789:K806" si="245">IF(ISBLANK(I789),0,ROUND(J789*(1+$F$10)*(1+$F$11*E789),2))</f>
        <v>578.19000000000005</v>
      </c>
      <c r="L789" s="647" t="s">
        <v>19</v>
      </c>
      <c r="M789" s="576"/>
      <c r="N789" s="576">
        <f t="shared" si="243"/>
        <v>0</v>
      </c>
      <c r="O789" s="577">
        <f t="shared" si="236"/>
        <v>0</v>
      </c>
      <c r="P789" s="578">
        <f t="shared" si="237"/>
        <v>0</v>
      </c>
      <c r="Q789" s="765"/>
      <c r="R789" s="576">
        <f t="shared" si="233"/>
        <v>0</v>
      </c>
      <c r="S789" s="576">
        <f t="shared" si="233"/>
        <v>0</v>
      </c>
      <c r="T789" s="577">
        <f t="shared" si="234"/>
        <v>0</v>
      </c>
      <c r="U789" s="578">
        <f t="shared" si="235"/>
        <v>0</v>
      </c>
      <c r="V789" s="579"/>
      <c r="W789" s="566"/>
      <c r="X789" s="586" t="str">
        <f t="shared" si="238"/>
        <v/>
      </c>
      <c r="Y789" s="586" t="str">
        <f t="shared" si="189"/>
        <v/>
      </c>
      <c r="Z789" s="586" t="str">
        <f t="shared" si="239"/>
        <v/>
      </c>
    </row>
    <row r="790" spans="1:26" hidden="1" x14ac:dyDescent="0.2">
      <c r="A790" s="567">
        <v>871000</v>
      </c>
      <c r="B790" s="644">
        <v>871000</v>
      </c>
      <c r="C790" s="645" t="s">
        <v>206</v>
      </c>
      <c r="D790" s="422" t="s">
        <v>497</v>
      </c>
      <c r="E790" s="423"/>
      <c r="F790" s="424"/>
      <c r="G790" s="425"/>
      <c r="H790" s="651"/>
      <c r="I790" s="420">
        <v>15.67</v>
      </c>
      <c r="J790" s="420">
        <f t="shared" si="244"/>
        <v>15.67</v>
      </c>
      <c r="K790" s="421">
        <f t="shared" si="245"/>
        <v>18.62</v>
      </c>
      <c r="L790" s="647" t="s">
        <v>21</v>
      </c>
      <c r="M790" s="576"/>
      <c r="N790" s="576">
        <f t="shared" si="243"/>
        <v>0</v>
      </c>
      <c r="O790" s="577">
        <f t="shared" si="236"/>
        <v>0</v>
      </c>
      <c r="P790" s="578">
        <f t="shared" si="237"/>
        <v>0</v>
      </c>
      <c r="Q790" s="765"/>
      <c r="R790" s="576">
        <f t="shared" si="233"/>
        <v>0</v>
      </c>
      <c r="S790" s="576">
        <f t="shared" si="233"/>
        <v>0</v>
      </c>
      <c r="T790" s="577">
        <f t="shared" si="234"/>
        <v>0</v>
      </c>
      <c r="U790" s="578">
        <f t="shared" si="235"/>
        <v>0</v>
      </c>
      <c r="V790" s="579"/>
      <c r="W790" s="566"/>
      <c r="X790" s="586" t="str">
        <f t="shared" si="238"/>
        <v/>
      </c>
      <c r="Y790" s="586" t="str">
        <f t="shared" si="189"/>
        <v/>
      </c>
      <c r="Z790" s="586" t="str">
        <f t="shared" si="239"/>
        <v/>
      </c>
    </row>
    <row r="791" spans="1:26" hidden="1" x14ac:dyDescent="0.2">
      <c r="A791" s="567">
        <v>870000</v>
      </c>
      <c r="B791" s="644">
        <v>870000</v>
      </c>
      <c r="C791" s="645" t="s">
        <v>206</v>
      </c>
      <c r="D791" s="422" t="s">
        <v>498</v>
      </c>
      <c r="E791" s="423"/>
      <c r="F791" s="424"/>
      <c r="G791" s="425"/>
      <c r="H791" s="651"/>
      <c r="I791" s="420">
        <v>14.9</v>
      </c>
      <c r="J791" s="420">
        <f t="shared" si="244"/>
        <v>14.9</v>
      </c>
      <c r="K791" s="421">
        <f t="shared" si="245"/>
        <v>17.7</v>
      </c>
      <c r="L791" s="647" t="s">
        <v>21</v>
      </c>
      <c r="M791" s="576"/>
      <c r="N791" s="576">
        <f t="shared" si="243"/>
        <v>0</v>
      </c>
      <c r="O791" s="577">
        <f t="shared" si="236"/>
        <v>0</v>
      </c>
      <c r="P791" s="578">
        <f t="shared" si="237"/>
        <v>0</v>
      </c>
      <c r="Q791" s="765"/>
      <c r="R791" s="576">
        <f t="shared" si="233"/>
        <v>0</v>
      </c>
      <c r="S791" s="576">
        <f t="shared" si="233"/>
        <v>0</v>
      </c>
      <c r="T791" s="577">
        <f t="shared" si="234"/>
        <v>0</v>
      </c>
      <c r="U791" s="578">
        <f t="shared" si="235"/>
        <v>0</v>
      </c>
      <c r="V791" s="579"/>
      <c r="W791" s="566"/>
      <c r="X791" s="586" t="str">
        <f t="shared" si="238"/>
        <v/>
      </c>
      <c r="Y791" s="586" t="str">
        <f t="shared" si="189"/>
        <v/>
      </c>
      <c r="Z791" s="586" t="str">
        <f t="shared" si="239"/>
        <v/>
      </c>
    </row>
    <row r="792" spans="1:26" hidden="1" x14ac:dyDescent="0.2">
      <c r="A792" s="567">
        <v>873000</v>
      </c>
      <c r="B792" s="644">
        <v>873000</v>
      </c>
      <c r="C792" s="645" t="s">
        <v>206</v>
      </c>
      <c r="D792" s="422" t="s">
        <v>499</v>
      </c>
      <c r="E792" s="423"/>
      <c r="F792" s="424"/>
      <c r="G792" s="425"/>
      <c r="H792" s="651"/>
      <c r="I792" s="420">
        <v>30.03</v>
      </c>
      <c r="J792" s="420">
        <f t="shared" si="244"/>
        <v>30.03</v>
      </c>
      <c r="K792" s="421">
        <f t="shared" si="245"/>
        <v>35.68</v>
      </c>
      <c r="L792" s="647" t="s">
        <v>21</v>
      </c>
      <c r="M792" s="576"/>
      <c r="N792" s="576">
        <f t="shared" si="243"/>
        <v>0</v>
      </c>
      <c r="O792" s="577">
        <f t="shared" si="236"/>
        <v>0</v>
      </c>
      <c r="P792" s="578">
        <f t="shared" si="237"/>
        <v>0</v>
      </c>
      <c r="Q792" s="765"/>
      <c r="R792" s="576">
        <f t="shared" si="233"/>
        <v>0</v>
      </c>
      <c r="S792" s="576">
        <f t="shared" si="233"/>
        <v>0</v>
      </c>
      <c r="T792" s="577">
        <f t="shared" si="234"/>
        <v>0</v>
      </c>
      <c r="U792" s="578">
        <f t="shared" si="235"/>
        <v>0</v>
      </c>
      <c r="V792" s="579"/>
      <c r="W792" s="566"/>
      <c r="X792" s="586" t="str">
        <f t="shared" si="238"/>
        <v/>
      </c>
      <c r="Y792" s="586" t="str">
        <f t="shared" si="189"/>
        <v/>
      </c>
      <c r="Z792" s="586" t="str">
        <f t="shared" si="239"/>
        <v/>
      </c>
    </row>
    <row r="793" spans="1:26" hidden="1" x14ac:dyDescent="0.2">
      <c r="A793" s="567">
        <v>872000</v>
      </c>
      <c r="B793" s="644">
        <v>872000</v>
      </c>
      <c r="C793" s="645" t="s">
        <v>206</v>
      </c>
      <c r="D793" s="422" t="s">
        <v>500</v>
      </c>
      <c r="E793" s="423"/>
      <c r="F793" s="424"/>
      <c r="G793" s="425"/>
      <c r="H793" s="651"/>
      <c r="I793" s="420">
        <v>28.92</v>
      </c>
      <c r="J793" s="420">
        <f t="shared" si="244"/>
        <v>28.92</v>
      </c>
      <c r="K793" s="421">
        <f t="shared" si="245"/>
        <v>34.36</v>
      </c>
      <c r="L793" s="647" t="s">
        <v>21</v>
      </c>
      <c r="M793" s="576"/>
      <c r="N793" s="576">
        <f t="shared" si="243"/>
        <v>0</v>
      </c>
      <c r="O793" s="577">
        <f t="shared" si="236"/>
        <v>0</v>
      </c>
      <c r="P793" s="578">
        <f t="shared" si="237"/>
        <v>0</v>
      </c>
      <c r="Q793" s="765"/>
      <c r="R793" s="576">
        <f t="shared" si="233"/>
        <v>0</v>
      </c>
      <c r="S793" s="576">
        <f t="shared" si="233"/>
        <v>0</v>
      </c>
      <c r="T793" s="577">
        <f t="shared" si="234"/>
        <v>0</v>
      </c>
      <c r="U793" s="578">
        <f t="shared" si="235"/>
        <v>0</v>
      </c>
      <c r="V793" s="579"/>
      <c r="W793" s="566"/>
      <c r="X793" s="586" t="str">
        <f t="shared" si="238"/>
        <v/>
      </c>
      <c r="Y793" s="586" t="str">
        <f t="shared" si="189"/>
        <v/>
      </c>
      <c r="Z793" s="586" t="str">
        <f t="shared" si="239"/>
        <v/>
      </c>
    </row>
    <row r="794" spans="1:26" ht="12" thickBot="1" x14ac:dyDescent="0.25">
      <c r="A794" s="567">
        <v>822000</v>
      </c>
      <c r="B794" s="644">
        <v>822000</v>
      </c>
      <c r="C794" s="645" t="s">
        <v>206</v>
      </c>
      <c r="D794" s="422" t="s">
        <v>496</v>
      </c>
      <c r="E794" s="423"/>
      <c r="F794" s="424"/>
      <c r="G794" s="425"/>
      <c r="H794" s="651"/>
      <c r="I794" s="420">
        <v>34.510000000000005</v>
      </c>
      <c r="J794" s="420">
        <f t="shared" si="244"/>
        <v>34.510000000000005</v>
      </c>
      <c r="K794" s="421">
        <f t="shared" si="245"/>
        <v>41</v>
      </c>
      <c r="L794" s="647" t="s">
        <v>18</v>
      </c>
      <c r="M794" s="576">
        <f>'ORÇ AV PADRE IVO'!M794+'ORÇ JOÃO NUNES'!M794+'ORÇ LAUDOMIRO'!M794</f>
        <v>633.34</v>
      </c>
      <c r="N794" s="576">
        <f t="shared" si="243"/>
        <v>41</v>
      </c>
      <c r="O794" s="577">
        <f t="shared" si="236"/>
        <v>25966.94</v>
      </c>
      <c r="P794" s="578">
        <f t="shared" si="237"/>
        <v>25966.94</v>
      </c>
      <c r="Q794" s="765"/>
      <c r="R794" s="576">
        <f t="shared" si="233"/>
        <v>633.34</v>
      </c>
      <c r="S794" s="576">
        <f t="shared" si="233"/>
        <v>41</v>
      </c>
      <c r="T794" s="577">
        <f t="shared" si="234"/>
        <v>25966.94</v>
      </c>
      <c r="U794" s="578">
        <f t="shared" si="235"/>
        <v>25966.94</v>
      </c>
      <c r="V794" s="579"/>
      <c r="W794" s="566"/>
      <c r="X794" s="586" t="str">
        <f t="shared" si="238"/>
        <v>x</v>
      </c>
      <c r="Y794" s="586" t="str">
        <f t="shared" si="189"/>
        <v>x</v>
      </c>
      <c r="Z794" s="586" t="str">
        <f t="shared" si="239"/>
        <v>x</v>
      </c>
    </row>
    <row r="795" spans="1:26" ht="12" hidden="1" thickBot="1" x14ac:dyDescent="0.25">
      <c r="A795" s="567">
        <v>820000</v>
      </c>
      <c r="B795" s="644" t="s">
        <v>313</v>
      </c>
      <c r="C795" s="645" t="s">
        <v>206</v>
      </c>
      <c r="D795" s="422" t="s">
        <v>301</v>
      </c>
      <c r="E795" s="423"/>
      <c r="F795" s="424"/>
      <c r="G795" s="425"/>
      <c r="H795" s="651"/>
      <c r="I795" s="420">
        <v>667.42000000000007</v>
      </c>
      <c r="J795" s="420">
        <f t="shared" si="244"/>
        <v>667.42000000000007</v>
      </c>
      <c r="K795" s="421">
        <f t="shared" si="245"/>
        <v>792.96</v>
      </c>
      <c r="L795" s="647" t="s">
        <v>18</v>
      </c>
      <c r="M795" s="576"/>
      <c r="N795" s="576">
        <f t="shared" si="243"/>
        <v>0</v>
      </c>
      <c r="O795" s="577">
        <f t="shared" si="236"/>
        <v>0</v>
      </c>
      <c r="P795" s="578">
        <f t="shared" si="237"/>
        <v>0</v>
      </c>
      <c r="Q795" s="765"/>
      <c r="R795" s="576">
        <f t="shared" si="233"/>
        <v>0</v>
      </c>
      <c r="S795" s="576">
        <f t="shared" si="233"/>
        <v>0</v>
      </c>
      <c r="T795" s="577">
        <f t="shared" si="234"/>
        <v>0</v>
      </c>
      <c r="U795" s="578">
        <f t="shared" si="235"/>
        <v>0</v>
      </c>
      <c r="V795" s="579"/>
      <c r="W795" s="566"/>
      <c r="X795" s="586" t="str">
        <f t="shared" si="238"/>
        <v/>
      </c>
      <c r="Y795" s="586" t="str">
        <f t="shared" si="189"/>
        <v/>
      </c>
      <c r="Z795" s="586" t="str">
        <f t="shared" si="239"/>
        <v/>
      </c>
    </row>
    <row r="796" spans="1:26" ht="12" hidden="1" thickBot="1" x14ac:dyDescent="0.25">
      <c r="A796" s="567">
        <v>821000</v>
      </c>
      <c r="B796" s="644">
        <v>821000</v>
      </c>
      <c r="C796" s="645" t="s">
        <v>206</v>
      </c>
      <c r="D796" s="422" t="s">
        <v>302</v>
      </c>
      <c r="E796" s="423"/>
      <c r="F796" s="424"/>
      <c r="G796" s="425"/>
      <c r="H796" s="651"/>
      <c r="I796" s="420">
        <v>181.85000000000002</v>
      </c>
      <c r="J796" s="420">
        <f t="shared" si="244"/>
        <v>181.85000000000002</v>
      </c>
      <c r="K796" s="421">
        <f t="shared" si="245"/>
        <v>216.06</v>
      </c>
      <c r="L796" s="647" t="s">
        <v>21</v>
      </c>
      <c r="M796" s="576"/>
      <c r="N796" s="576">
        <f t="shared" si="243"/>
        <v>0</v>
      </c>
      <c r="O796" s="577">
        <f t="shared" si="236"/>
        <v>0</v>
      </c>
      <c r="P796" s="578">
        <f t="shared" si="237"/>
        <v>0</v>
      </c>
      <c r="Q796" s="765"/>
      <c r="R796" s="576">
        <f t="shared" si="233"/>
        <v>0</v>
      </c>
      <c r="S796" s="576">
        <f t="shared" si="233"/>
        <v>0</v>
      </c>
      <c r="T796" s="577">
        <f t="shared" si="234"/>
        <v>0</v>
      </c>
      <c r="U796" s="578">
        <f t="shared" si="235"/>
        <v>0</v>
      </c>
      <c r="V796" s="579"/>
      <c r="W796" s="566"/>
      <c r="X796" s="586" t="str">
        <f t="shared" si="238"/>
        <v/>
      </c>
      <c r="Y796" s="586" t="str">
        <f t="shared" si="189"/>
        <v/>
      </c>
      <c r="Z796" s="586" t="str">
        <f t="shared" si="239"/>
        <v/>
      </c>
    </row>
    <row r="797" spans="1:26" ht="12" hidden="1" thickBot="1" x14ac:dyDescent="0.25">
      <c r="A797" s="567">
        <v>821300</v>
      </c>
      <c r="B797" s="644">
        <v>821300</v>
      </c>
      <c r="C797" s="645" t="s">
        <v>206</v>
      </c>
      <c r="D797" s="422" t="s">
        <v>303</v>
      </c>
      <c r="E797" s="423"/>
      <c r="F797" s="424"/>
      <c r="G797" s="425"/>
      <c r="H797" s="651"/>
      <c r="I797" s="420">
        <v>412.65</v>
      </c>
      <c r="J797" s="420">
        <f t="shared" si="244"/>
        <v>412.65</v>
      </c>
      <c r="K797" s="421">
        <f t="shared" si="245"/>
        <v>490.27</v>
      </c>
      <c r="L797" s="647" t="s">
        <v>21</v>
      </c>
      <c r="M797" s="576"/>
      <c r="N797" s="576">
        <f t="shared" si="243"/>
        <v>0</v>
      </c>
      <c r="O797" s="577">
        <f t="shared" si="236"/>
        <v>0</v>
      </c>
      <c r="P797" s="578">
        <f t="shared" si="237"/>
        <v>0</v>
      </c>
      <c r="Q797" s="765"/>
      <c r="R797" s="576">
        <f t="shared" si="233"/>
        <v>0</v>
      </c>
      <c r="S797" s="576">
        <f t="shared" si="233"/>
        <v>0</v>
      </c>
      <c r="T797" s="577">
        <f t="shared" si="234"/>
        <v>0</v>
      </c>
      <c r="U797" s="578">
        <f t="shared" si="235"/>
        <v>0</v>
      </c>
      <c r="V797" s="579"/>
      <c r="W797" s="566"/>
      <c r="X797" s="586" t="str">
        <f t="shared" si="238"/>
        <v/>
      </c>
      <c r="Y797" s="586" t="str">
        <f t="shared" si="189"/>
        <v/>
      </c>
      <c r="Z797" s="586" t="str">
        <f t="shared" si="239"/>
        <v/>
      </c>
    </row>
    <row r="798" spans="1:26" ht="12" hidden="1" thickBot="1" x14ac:dyDescent="0.25">
      <c r="A798" s="567">
        <v>820000</v>
      </c>
      <c r="B798" s="644" t="s">
        <v>314</v>
      </c>
      <c r="C798" s="645" t="s">
        <v>206</v>
      </c>
      <c r="D798" s="422" t="s">
        <v>304</v>
      </c>
      <c r="E798" s="423"/>
      <c r="F798" s="424"/>
      <c r="G798" s="425"/>
      <c r="H798" s="651"/>
      <c r="I798" s="420">
        <f>667.42*0.1964+181.85</f>
        <v>312.931288</v>
      </c>
      <c r="J798" s="420">
        <f>IF(ISBLANK(I798),"",SUM(H798:I798))*0.85</f>
        <v>265.99159479999997</v>
      </c>
      <c r="K798" s="421">
        <f t="shared" si="245"/>
        <v>316.02</v>
      </c>
      <c r="L798" s="647" t="s">
        <v>21</v>
      </c>
      <c r="M798" s="576"/>
      <c r="N798" s="576">
        <f t="shared" si="243"/>
        <v>0</v>
      </c>
      <c r="O798" s="577">
        <f t="shared" si="236"/>
        <v>0</v>
      </c>
      <c r="P798" s="578">
        <f t="shared" si="237"/>
        <v>0</v>
      </c>
      <c r="Q798" s="765"/>
      <c r="R798" s="576">
        <f t="shared" si="233"/>
        <v>0</v>
      </c>
      <c r="S798" s="576">
        <f t="shared" si="233"/>
        <v>0</v>
      </c>
      <c r="T798" s="577">
        <f t="shared" si="234"/>
        <v>0</v>
      </c>
      <c r="U798" s="578">
        <f t="shared" si="235"/>
        <v>0</v>
      </c>
      <c r="V798" s="579"/>
      <c r="W798" s="566"/>
      <c r="X798" s="586" t="str">
        <f t="shared" si="238"/>
        <v/>
      </c>
      <c r="Y798" s="586" t="str">
        <f t="shared" si="189"/>
        <v/>
      </c>
      <c r="Z798" s="586" t="str">
        <f t="shared" si="239"/>
        <v/>
      </c>
    </row>
    <row r="799" spans="1:26" ht="12" hidden="1" thickBot="1" x14ac:dyDescent="0.25">
      <c r="A799" s="567">
        <v>820000</v>
      </c>
      <c r="B799" s="644" t="s">
        <v>315</v>
      </c>
      <c r="C799" s="645" t="s">
        <v>206</v>
      </c>
      <c r="D799" s="422" t="s">
        <v>305</v>
      </c>
      <c r="E799" s="423"/>
      <c r="F799" s="424"/>
      <c r="G799" s="425"/>
      <c r="H799" s="651"/>
      <c r="I799" s="420">
        <f>667.42*0.1219+181.85</f>
        <v>263.20849799999996</v>
      </c>
      <c r="J799" s="420">
        <f>IF(ISBLANK(I799),"",SUM(H799:I799))*0.85</f>
        <v>223.72722329999996</v>
      </c>
      <c r="K799" s="421">
        <f t="shared" si="245"/>
        <v>265.81</v>
      </c>
      <c r="L799" s="647" t="s">
        <v>21</v>
      </c>
      <c r="M799" s="576"/>
      <c r="N799" s="576">
        <f t="shared" si="243"/>
        <v>0</v>
      </c>
      <c r="O799" s="577">
        <f t="shared" si="236"/>
        <v>0</v>
      </c>
      <c r="P799" s="578">
        <f t="shared" si="237"/>
        <v>0</v>
      </c>
      <c r="Q799" s="765"/>
      <c r="R799" s="576">
        <f t="shared" si="233"/>
        <v>0</v>
      </c>
      <c r="S799" s="576">
        <f t="shared" si="233"/>
        <v>0</v>
      </c>
      <c r="T799" s="577">
        <f t="shared" si="234"/>
        <v>0</v>
      </c>
      <c r="U799" s="578">
        <f t="shared" si="235"/>
        <v>0</v>
      </c>
      <c r="V799" s="579"/>
      <c r="W799" s="566"/>
      <c r="X799" s="586" t="str">
        <f t="shared" si="238"/>
        <v/>
      </c>
      <c r="Y799" s="586" t="str">
        <f t="shared" si="189"/>
        <v/>
      </c>
      <c r="Z799" s="586" t="str">
        <f t="shared" si="239"/>
        <v/>
      </c>
    </row>
    <row r="800" spans="1:26" ht="12" hidden="1" thickBot="1" x14ac:dyDescent="0.25">
      <c r="A800" s="567">
        <v>820000</v>
      </c>
      <c r="B800" s="644" t="s">
        <v>316</v>
      </c>
      <c r="C800" s="645" t="s">
        <v>206</v>
      </c>
      <c r="D800" s="422" t="s">
        <v>306</v>
      </c>
      <c r="E800" s="423"/>
      <c r="F800" s="424"/>
      <c r="G800" s="425"/>
      <c r="H800" s="651"/>
      <c r="I800" s="420">
        <f>667.42*0.216+181.85</f>
        <v>326.01271999999994</v>
      </c>
      <c r="J800" s="420">
        <f>IF(ISBLANK(I800),"",SUM(H800:I800))*0.85</f>
        <v>277.11081199999995</v>
      </c>
      <c r="K800" s="421">
        <f t="shared" si="245"/>
        <v>329.24</v>
      </c>
      <c r="L800" s="647" t="s">
        <v>21</v>
      </c>
      <c r="M800" s="576"/>
      <c r="N800" s="576">
        <f t="shared" si="243"/>
        <v>0</v>
      </c>
      <c r="O800" s="577">
        <f t="shared" si="236"/>
        <v>0</v>
      </c>
      <c r="P800" s="578">
        <f t="shared" si="237"/>
        <v>0</v>
      </c>
      <c r="Q800" s="765"/>
      <c r="R800" s="576">
        <f t="shared" si="233"/>
        <v>0</v>
      </c>
      <c r="S800" s="576">
        <f t="shared" si="233"/>
        <v>0</v>
      </c>
      <c r="T800" s="577">
        <f t="shared" si="234"/>
        <v>0</v>
      </c>
      <c r="U800" s="578">
        <f t="shared" si="235"/>
        <v>0</v>
      </c>
      <c r="V800" s="579"/>
      <c r="W800" s="566"/>
      <c r="X800" s="586" t="str">
        <f t="shared" si="238"/>
        <v/>
      </c>
      <c r="Y800" s="586" t="str">
        <f t="shared" si="189"/>
        <v/>
      </c>
      <c r="Z800" s="586" t="str">
        <f t="shared" si="239"/>
        <v/>
      </c>
    </row>
    <row r="801" spans="1:26" ht="12" hidden="1" thickBot="1" x14ac:dyDescent="0.25">
      <c r="A801" s="567">
        <v>820000</v>
      </c>
      <c r="B801" s="644" t="s">
        <v>317</v>
      </c>
      <c r="C801" s="645" t="s">
        <v>206</v>
      </c>
      <c r="D801" s="422" t="s">
        <v>307</v>
      </c>
      <c r="E801" s="423"/>
      <c r="F801" s="424"/>
      <c r="G801" s="425"/>
      <c r="H801" s="651"/>
      <c r="I801" s="420">
        <f>667.42*0.2025+181.85</f>
        <v>317.00254999999999</v>
      </c>
      <c r="J801" s="420">
        <f>IF(ISBLANK(I801),"",SUM(H801:I801))*0.85</f>
        <v>269.45216749999997</v>
      </c>
      <c r="K801" s="421">
        <f t="shared" si="245"/>
        <v>320.14</v>
      </c>
      <c r="L801" s="647" t="s">
        <v>21</v>
      </c>
      <c r="M801" s="576"/>
      <c r="N801" s="576">
        <f t="shared" si="243"/>
        <v>0</v>
      </c>
      <c r="O801" s="577">
        <f t="shared" si="236"/>
        <v>0</v>
      </c>
      <c r="P801" s="578">
        <f t="shared" si="237"/>
        <v>0</v>
      </c>
      <c r="Q801" s="765"/>
      <c r="R801" s="576">
        <f t="shared" si="233"/>
        <v>0</v>
      </c>
      <c r="S801" s="576">
        <f t="shared" si="233"/>
        <v>0</v>
      </c>
      <c r="T801" s="577">
        <f t="shared" si="234"/>
        <v>0</v>
      </c>
      <c r="U801" s="578">
        <f t="shared" si="235"/>
        <v>0</v>
      </c>
      <c r="V801" s="579"/>
      <c r="W801" s="566"/>
      <c r="X801" s="586" t="str">
        <f t="shared" si="238"/>
        <v/>
      </c>
      <c r="Y801" s="586" t="str">
        <f t="shared" si="189"/>
        <v/>
      </c>
      <c r="Z801" s="586" t="str">
        <f t="shared" si="239"/>
        <v/>
      </c>
    </row>
    <row r="802" spans="1:26" ht="12" hidden="1" thickBot="1" x14ac:dyDescent="0.25">
      <c r="A802" s="567">
        <v>820000</v>
      </c>
      <c r="B802" s="644" t="s">
        <v>318</v>
      </c>
      <c r="C802" s="645" t="s">
        <v>206</v>
      </c>
      <c r="D802" s="422" t="s">
        <v>308</v>
      </c>
      <c r="E802" s="423"/>
      <c r="F802" s="424"/>
      <c r="G802" s="425"/>
      <c r="H802" s="651"/>
      <c r="I802" s="420">
        <f>667.42*0.1964+412.65</f>
        <v>543.73128799999995</v>
      </c>
      <c r="J802" s="420">
        <f>IF(ISBLANK(I802),"",SUM(H802:I802))</f>
        <v>543.73128799999995</v>
      </c>
      <c r="K802" s="421">
        <f t="shared" si="245"/>
        <v>646.01</v>
      </c>
      <c r="L802" s="647" t="s">
        <v>21</v>
      </c>
      <c r="M802" s="576"/>
      <c r="N802" s="576">
        <f t="shared" si="243"/>
        <v>0</v>
      </c>
      <c r="O802" s="577">
        <f t="shared" si="236"/>
        <v>0</v>
      </c>
      <c r="P802" s="578">
        <f t="shared" si="237"/>
        <v>0</v>
      </c>
      <c r="Q802" s="765"/>
      <c r="R802" s="576">
        <f t="shared" si="233"/>
        <v>0</v>
      </c>
      <c r="S802" s="576">
        <f t="shared" si="233"/>
        <v>0</v>
      </c>
      <c r="T802" s="577">
        <f t="shared" si="234"/>
        <v>0</v>
      </c>
      <c r="U802" s="578">
        <f t="shared" si="235"/>
        <v>0</v>
      </c>
      <c r="V802" s="579"/>
      <c r="W802" s="566"/>
      <c r="X802" s="586" t="str">
        <f t="shared" si="238"/>
        <v/>
      </c>
      <c r="Y802" s="586" t="str">
        <f t="shared" si="189"/>
        <v/>
      </c>
      <c r="Z802" s="586" t="str">
        <f t="shared" si="239"/>
        <v/>
      </c>
    </row>
    <row r="803" spans="1:26" ht="12" hidden="1" thickBot="1" x14ac:dyDescent="0.25">
      <c r="A803" s="567">
        <v>820000</v>
      </c>
      <c r="B803" s="644" t="s">
        <v>319</v>
      </c>
      <c r="C803" s="645" t="s">
        <v>206</v>
      </c>
      <c r="D803" s="422" t="s">
        <v>309</v>
      </c>
      <c r="E803" s="423"/>
      <c r="F803" s="424"/>
      <c r="G803" s="425"/>
      <c r="H803" s="651"/>
      <c r="I803" s="420">
        <f>667.42*0.12194+412.65</f>
        <v>494.0351948</v>
      </c>
      <c r="J803" s="420">
        <f>IF(ISBLANK(I803),"",SUM(H803:I803))</f>
        <v>494.0351948</v>
      </c>
      <c r="K803" s="421">
        <f t="shared" si="245"/>
        <v>586.96</v>
      </c>
      <c r="L803" s="647" t="s">
        <v>21</v>
      </c>
      <c r="M803" s="576"/>
      <c r="N803" s="576">
        <f t="shared" si="243"/>
        <v>0</v>
      </c>
      <c r="O803" s="577">
        <f t="shared" si="236"/>
        <v>0</v>
      </c>
      <c r="P803" s="578">
        <f t="shared" si="237"/>
        <v>0</v>
      </c>
      <c r="Q803" s="765"/>
      <c r="R803" s="576">
        <f t="shared" si="233"/>
        <v>0</v>
      </c>
      <c r="S803" s="576">
        <f t="shared" si="233"/>
        <v>0</v>
      </c>
      <c r="T803" s="577">
        <f t="shared" si="234"/>
        <v>0</v>
      </c>
      <c r="U803" s="578">
        <f t="shared" si="235"/>
        <v>0</v>
      </c>
      <c r="V803" s="579"/>
      <c r="W803" s="566"/>
      <c r="X803" s="586" t="str">
        <f t="shared" si="238"/>
        <v/>
      </c>
      <c r="Y803" s="586" t="str">
        <f t="shared" si="189"/>
        <v/>
      </c>
      <c r="Z803" s="586" t="str">
        <f t="shared" si="239"/>
        <v/>
      </c>
    </row>
    <row r="804" spans="1:26" ht="12" hidden="1" thickBot="1" x14ac:dyDescent="0.25">
      <c r="A804" s="567">
        <v>820000</v>
      </c>
      <c r="B804" s="644" t="s">
        <v>320</v>
      </c>
      <c r="C804" s="645" t="s">
        <v>206</v>
      </c>
      <c r="D804" s="422" t="s">
        <v>310</v>
      </c>
      <c r="E804" s="423"/>
      <c r="F804" s="424"/>
      <c r="G804" s="425"/>
      <c r="H804" s="651"/>
      <c r="I804" s="420">
        <f>667.42*0.216+412.65</f>
        <v>556.8127199999999</v>
      </c>
      <c r="J804" s="420">
        <f>IF(ISBLANK(I804),"",SUM(H804:I804))</f>
        <v>556.8127199999999</v>
      </c>
      <c r="K804" s="421">
        <f t="shared" si="245"/>
        <v>661.55</v>
      </c>
      <c r="L804" s="647" t="s">
        <v>21</v>
      </c>
      <c r="M804" s="576"/>
      <c r="N804" s="576">
        <f t="shared" si="243"/>
        <v>0</v>
      </c>
      <c r="O804" s="577">
        <f t="shared" si="236"/>
        <v>0</v>
      </c>
      <c r="P804" s="578">
        <f t="shared" si="237"/>
        <v>0</v>
      </c>
      <c r="Q804" s="765"/>
      <c r="R804" s="576">
        <f t="shared" si="233"/>
        <v>0</v>
      </c>
      <c r="S804" s="576">
        <f t="shared" si="233"/>
        <v>0</v>
      </c>
      <c r="T804" s="577">
        <f t="shared" si="234"/>
        <v>0</v>
      </c>
      <c r="U804" s="578">
        <f t="shared" si="235"/>
        <v>0</v>
      </c>
      <c r="V804" s="579"/>
      <c r="W804" s="566"/>
      <c r="X804" s="586" t="str">
        <f t="shared" si="238"/>
        <v/>
      </c>
      <c r="Y804" s="586" t="str">
        <f t="shared" si="189"/>
        <v/>
      </c>
      <c r="Z804" s="586" t="str">
        <f t="shared" si="239"/>
        <v/>
      </c>
    </row>
    <row r="805" spans="1:26" ht="12" hidden="1" thickBot="1" x14ac:dyDescent="0.25">
      <c r="A805" s="567">
        <v>820000</v>
      </c>
      <c r="B805" s="644" t="s">
        <v>617</v>
      </c>
      <c r="C805" s="645" t="s">
        <v>206</v>
      </c>
      <c r="D805" s="422" t="s">
        <v>311</v>
      </c>
      <c r="E805" s="423"/>
      <c r="F805" s="424"/>
      <c r="G805" s="425"/>
      <c r="H805" s="651"/>
      <c r="I805" s="420">
        <f>667.42*0.2025+412.65</f>
        <v>547.80255</v>
      </c>
      <c r="J805" s="420">
        <f>IF(ISBLANK(I805),"",SUM(H805:I805))</f>
        <v>547.80255</v>
      </c>
      <c r="K805" s="421">
        <f t="shared" si="245"/>
        <v>650.84</v>
      </c>
      <c r="L805" s="647" t="s">
        <v>21</v>
      </c>
      <c r="M805" s="587"/>
      <c r="N805" s="576">
        <f t="shared" si="243"/>
        <v>0</v>
      </c>
      <c r="O805" s="577">
        <f t="shared" si="236"/>
        <v>0</v>
      </c>
      <c r="P805" s="578">
        <f t="shared" si="237"/>
        <v>0</v>
      </c>
      <c r="Q805" s="765"/>
      <c r="R805" s="650">
        <f t="shared" si="233"/>
        <v>0</v>
      </c>
      <c r="S805" s="587">
        <f t="shared" si="233"/>
        <v>0</v>
      </c>
      <c r="T805" s="577">
        <f t="shared" si="234"/>
        <v>0</v>
      </c>
      <c r="U805" s="578">
        <f t="shared" si="235"/>
        <v>0</v>
      </c>
      <c r="V805" s="579"/>
      <c r="W805" s="566"/>
      <c r="X805" s="586" t="str">
        <f t="shared" si="238"/>
        <v/>
      </c>
      <c r="Y805" s="586" t="str">
        <f t="shared" si="189"/>
        <v/>
      </c>
      <c r="Z805" s="586" t="str">
        <f t="shared" si="239"/>
        <v/>
      </c>
    </row>
    <row r="806" spans="1:26" ht="12" hidden="1" thickBot="1" x14ac:dyDescent="0.25">
      <c r="A806" s="567">
        <v>820000</v>
      </c>
      <c r="B806" s="644" t="s">
        <v>1637</v>
      </c>
      <c r="C806" s="645" t="s">
        <v>206</v>
      </c>
      <c r="D806" s="422" t="s">
        <v>635</v>
      </c>
      <c r="E806" s="423"/>
      <c r="F806" s="424"/>
      <c r="G806" s="425"/>
      <c r="H806" s="651"/>
      <c r="I806" s="420">
        <f>667.42*0.224+412.65</f>
        <v>562.15207999999996</v>
      </c>
      <c r="J806" s="420">
        <f>IF(ISBLANK(I806),"",SUM(H806:I806))</f>
        <v>562.15207999999996</v>
      </c>
      <c r="K806" s="421">
        <f t="shared" si="245"/>
        <v>667.89</v>
      </c>
      <c r="L806" s="647" t="s">
        <v>21</v>
      </c>
      <c r="M806" s="587"/>
      <c r="N806" s="576">
        <f t="shared" si="243"/>
        <v>0</v>
      </c>
      <c r="O806" s="577">
        <f t="shared" si="236"/>
        <v>0</v>
      </c>
      <c r="P806" s="578">
        <f t="shared" si="237"/>
        <v>0</v>
      </c>
      <c r="Q806" s="765"/>
      <c r="R806" s="650">
        <f t="shared" si="233"/>
        <v>0</v>
      </c>
      <c r="S806" s="587">
        <f t="shared" si="233"/>
        <v>0</v>
      </c>
      <c r="T806" s="577">
        <f t="shared" si="234"/>
        <v>0</v>
      </c>
      <c r="U806" s="578">
        <f t="shared" si="235"/>
        <v>0</v>
      </c>
      <c r="V806" s="579"/>
      <c r="W806" s="566"/>
      <c r="X806" s="586" t="str">
        <f t="shared" si="238"/>
        <v/>
      </c>
      <c r="Y806" s="586" t="str">
        <f t="shared" si="189"/>
        <v/>
      </c>
      <c r="Z806" s="586" t="str">
        <f t="shared" si="239"/>
        <v/>
      </c>
    </row>
    <row r="807" spans="1:26" ht="12" hidden="1" thickBot="1" x14ac:dyDescent="0.25">
      <c r="A807" s="567"/>
      <c r="B807" s="721" t="s">
        <v>187</v>
      </c>
      <c r="C807" s="654"/>
      <c r="D807" s="427" t="s">
        <v>469</v>
      </c>
      <c r="E807" s="491"/>
      <c r="F807" s="655"/>
      <c r="G807" s="656"/>
      <c r="H807" s="657"/>
      <c r="I807" s="429"/>
      <c r="J807" s="429"/>
      <c r="K807" s="429"/>
      <c r="L807" s="429" t="s">
        <v>614</v>
      </c>
      <c r="M807" s="657"/>
      <c r="N807" s="576">
        <f t="shared" si="243"/>
        <v>0</v>
      </c>
      <c r="O807" s="429">
        <f t="shared" si="236"/>
        <v>0</v>
      </c>
      <c r="P807" s="658">
        <f t="shared" si="237"/>
        <v>0</v>
      </c>
      <c r="Q807" s="765"/>
      <c r="R807" s="657"/>
      <c r="S807" s="429"/>
      <c r="T807" s="429">
        <f t="shared" si="234"/>
        <v>0</v>
      </c>
      <c r="U807" s="658">
        <f t="shared" si="235"/>
        <v>0</v>
      </c>
      <c r="V807" s="579"/>
      <c r="W807" s="637" t="str">
        <f>IF(OR(SUM(P808:P839)&gt;0,SUM(U808:U839)&gt;0),"y","")</f>
        <v/>
      </c>
      <c r="X807" s="586" t="str">
        <f t="shared" si="238"/>
        <v/>
      </c>
      <c r="Y807" s="586" t="str">
        <f t="shared" si="189"/>
        <v/>
      </c>
      <c r="Z807" s="586" t="str">
        <f t="shared" si="239"/>
        <v/>
      </c>
    </row>
    <row r="808" spans="1:26" ht="12" hidden="1" thickBot="1" x14ac:dyDescent="0.25">
      <c r="A808" s="567"/>
      <c r="B808" s="572" t="s">
        <v>187</v>
      </c>
      <c r="C808" s="573" t="s">
        <v>187</v>
      </c>
      <c r="D808" s="580"/>
      <c r="E808" s="575"/>
      <c r="F808" s="436"/>
      <c r="G808" s="431"/>
      <c r="H808" s="430"/>
      <c r="I808" s="432"/>
      <c r="J808" s="489"/>
      <c r="K808" s="490">
        <f>IF(ISBLANK(I808),0,ROUND(J808*(1+$F$10)*(1+$F$11*E808),2))</f>
        <v>0</v>
      </c>
      <c r="L808" s="435" t="s">
        <v>614</v>
      </c>
      <c r="M808" s="576"/>
      <c r="N808" s="576">
        <f t="shared" si="243"/>
        <v>0</v>
      </c>
      <c r="O808" s="577">
        <f t="shared" si="236"/>
        <v>0</v>
      </c>
      <c r="P808" s="578">
        <f t="shared" si="237"/>
        <v>0</v>
      </c>
      <c r="Q808" s="765"/>
      <c r="R808" s="576">
        <f t="shared" si="233"/>
        <v>0</v>
      </c>
      <c r="S808" s="576">
        <f t="shared" si="233"/>
        <v>0</v>
      </c>
      <c r="T808" s="577">
        <f t="shared" si="234"/>
        <v>0</v>
      </c>
      <c r="U808" s="659">
        <f t="shared" si="235"/>
        <v>0</v>
      </c>
      <c r="V808" s="579"/>
      <c r="W808" s="566"/>
      <c r="X808" s="586" t="str">
        <f t="shared" si="238"/>
        <v/>
      </c>
      <c r="Y808" s="586" t="str">
        <f t="shared" si="189"/>
        <v/>
      </c>
      <c r="Z808" s="586" t="str">
        <f t="shared" si="239"/>
        <v/>
      </c>
    </row>
    <row r="809" spans="1:26" ht="12" hidden="1" thickBot="1" x14ac:dyDescent="0.25">
      <c r="A809" s="652" t="s">
        <v>187</v>
      </c>
      <c r="B809" s="572" t="s">
        <v>187</v>
      </c>
      <c r="C809" s="573" t="s">
        <v>187</v>
      </c>
      <c r="D809" s="580"/>
      <c r="E809" s="575"/>
      <c r="F809" s="436"/>
      <c r="G809" s="431"/>
      <c r="H809" s="430"/>
      <c r="I809" s="432"/>
      <c r="J809" s="433"/>
      <c r="K809" s="437">
        <f t="shared" ref="K809:K839" si="246">IF(ISBLANK(J809),0,ROUND(J809*(1+$F$10)*(1+$F$11*E809),2))</f>
        <v>0</v>
      </c>
      <c r="L809" s="435" t="s">
        <v>614</v>
      </c>
      <c r="M809" s="576"/>
      <c r="N809" s="576">
        <f t="shared" si="243"/>
        <v>0</v>
      </c>
      <c r="O809" s="577">
        <f t="shared" si="236"/>
        <v>0</v>
      </c>
      <c r="P809" s="578">
        <f t="shared" si="237"/>
        <v>0</v>
      </c>
      <c r="Q809" s="765"/>
      <c r="R809" s="576">
        <f t="shared" si="233"/>
        <v>0</v>
      </c>
      <c r="S809" s="576">
        <f t="shared" si="233"/>
        <v>0</v>
      </c>
      <c r="T809" s="577">
        <f t="shared" si="234"/>
        <v>0</v>
      </c>
      <c r="U809" s="659">
        <f t="shared" si="235"/>
        <v>0</v>
      </c>
      <c r="V809" s="579"/>
      <c r="W809" s="566"/>
      <c r="X809" s="586" t="str">
        <f t="shared" si="238"/>
        <v/>
      </c>
      <c r="Y809" s="586" t="str">
        <f t="shared" si="189"/>
        <v/>
      </c>
      <c r="Z809" s="586" t="str">
        <f t="shared" si="239"/>
        <v/>
      </c>
    </row>
    <row r="810" spans="1:26" ht="12" hidden="1" thickBot="1" x14ac:dyDescent="0.25">
      <c r="A810" s="652" t="s">
        <v>187</v>
      </c>
      <c r="B810" s="572" t="s">
        <v>187</v>
      </c>
      <c r="C810" s="573" t="s">
        <v>187</v>
      </c>
      <c r="D810" s="580"/>
      <c r="E810" s="575"/>
      <c r="F810" s="436"/>
      <c r="G810" s="431"/>
      <c r="H810" s="430"/>
      <c r="I810" s="432"/>
      <c r="J810" s="433"/>
      <c r="K810" s="437">
        <f t="shared" si="246"/>
        <v>0</v>
      </c>
      <c r="L810" s="435" t="s">
        <v>614</v>
      </c>
      <c r="M810" s="576"/>
      <c r="N810" s="576">
        <f t="shared" si="243"/>
        <v>0</v>
      </c>
      <c r="O810" s="577">
        <f t="shared" si="236"/>
        <v>0</v>
      </c>
      <c r="P810" s="578">
        <f t="shared" si="237"/>
        <v>0</v>
      </c>
      <c r="Q810" s="765"/>
      <c r="R810" s="576">
        <f t="shared" si="233"/>
        <v>0</v>
      </c>
      <c r="S810" s="576">
        <f t="shared" si="233"/>
        <v>0</v>
      </c>
      <c r="T810" s="577">
        <f t="shared" si="234"/>
        <v>0</v>
      </c>
      <c r="U810" s="578">
        <f t="shared" si="235"/>
        <v>0</v>
      </c>
      <c r="V810" s="579"/>
      <c r="W810" s="566"/>
      <c r="X810" s="586" t="str">
        <f t="shared" si="238"/>
        <v/>
      </c>
      <c r="Y810" s="586" t="str">
        <f t="shared" si="189"/>
        <v/>
      </c>
      <c r="Z810" s="586" t="str">
        <f t="shared" si="239"/>
        <v/>
      </c>
    </row>
    <row r="811" spans="1:26" ht="12" hidden="1" thickBot="1" x14ac:dyDescent="0.25">
      <c r="A811" s="652" t="s">
        <v>187</v>
      </c>
      <c r="B811" s="572" t="s">
        <v>187</v>
      </c>
      <c r="C811" s="573" t="s">
        <v>187</v>
      </c>
      <c r="D811" s="580"/>
      <c r="E811" s="575"/>
      <c r="F811" s="436"/>
      <c r="G811" s="431"/>
      <c r="H811" s="430"/>
      <c r="I811" s="432"/>
      <c r="J811" s="433"/>
      <c r="K811" s="437">
        <f t="shared" si="246"/>
        <v>0</v>
      </c>
      <c r="L811" s="435" t="s">
        <v>614</v>
      </c>
      <c r="M811" s="576"/>
      <c r="N811" s="576">
        <f t="shared" si="243"/>
        <v>0</v>
      </c>
      <c r="O811" s="577">
        <f t="shared" si="236"/>
        <v>0</v>
      </c>
      <c r="P811" s="578">
        <f t="shared" si="237"/>
        <v>0</v>
      </c>
      <c r="Q811" s="765"/>
      <c r="R811" s="576">
        <f t="shared" si="233"/>
        <v>0</v>
      </c>
      <c r="S811" s="576">
        <f t="shared" si="233"/>
        <v>0</v>
      </c>
      <c r="T811" s="577">
        <f t="shared" si="234"/>
        <v>0</v>
      </c>
      <c r="U811" s="578">
        <f t="shared" si="235"/>
        <v>0</v>
      </c>
      <c r="V811" s="579"/>
      <c r="W811" s="566"/>
      <c r="X811" s="586" t="str">
        <f t="shared" si="238"/>
        <v/>
      </c>
      <c r="Y811" s="586" t="str">
        <f t="shared" si="189"/>
        <v/>
      </c>
      <c r="Z811" s="586" t="str">
        <f t="shared" si="239"/>
        <v/>
      </c>
    </row>
    <row r="812" spans="1:26" ht="12" hidden="1" thickBot="1" x14ac:dyDescent="0.25">
      <c r="A812" s="652" t="s">
        <v>187</v>
      </c>
      <c r="B812" s="572" t="s">
        <v>187</v>
      </c>
      <c r="C812" s="573" t="s">
        <v>187</v>
      </c>
      <c r="D812" s="580"/>
      <c r="E812" s="575"/>
      <c r="F812" s="436"/>
      <c r="G812" s="431"/>
      <c r="H812" s="430"/>
      <c r="I812" s="432"/>
      <c r="J812" s="433"/>
      <c r="K812" s="437">
        <f t="shared" si="246"/>
        <v>0</v>
      </c>
      <c r="L812" s="435" t="s">
        <v>614</v>
      </c>
      <c r="M812" s="576"/>
      <c r="N812" s="576">
        <f t="shared" si="243"/>
        <v>0</v>
      </c>
      <c r="O812" s="577">
        <f t="shared" si="236"/>
        <v>0</v>
      </c>
      <c r="P812" s="578">
        <f t="shared" si="237"/>
        <v>0</v>
      </c>
      <c r="Q812" s="765"/>
      <c r="R812" s="576">
        <f t="shared" si="233"/>
        <v>0</v>
      </c>
      <c r="S812" s="576">
        <f t="shared" si="233"/>
        <v>0</v>
      </c>
      <c r="T812" s="577">
        <f t="shared" si="234"/>
        <v>0</v>
      </c>
      <c r="U812" s="578">
        <f t="shared" si="235"/>
        <v>0</v>
      </c>
      <c r="V812" s="579"/>
      <c r="W812" s="566"/>
      <c r="X812" s="586" t="str">
        <f t="shared" si="238"/>
        <v/>
      </c>
      <c r="Y812" s="586" t="str">
        <f t="shared" si="189"/>
        <v/>
      </c>
      <c r="Z812" s="586" t="str">
        <f t="shared" si="239"/>
        <v/>
      </c>
    </row>
    <row r="813" spans="1:26" ht="12" hidden="1" thickBot="1" x14ac:dyDescent="0.25">
      <c r="A813" s="652" t="s">
        <v>187</v>
      </c>
      <c r="B813" s="572" t="s">
        <v>187</v>
      </c>
      <c r="C813" s="573" t="s">
        <v>187</v>
      </c>
      <c r="D813" s="580"/>
      <c r="E813" s="575"/>
      <c r="F813" s="436"/>
      <c r="G813" s="431"/>
      <c r="H813" s="430"/>
      <c r="I813" s="432"/>
      <c r="J813" s="433"/>
      <c r="K813" s="437">
        <f t="shared" si="246"/>
        <v>0</v>
      </c>
      <c r="L813" s="435" t="s">
        <v>614</v>
      </c>
      <c r="M813" s="576"/>
      <c r="N813" s="576">
        <f t="shared" si="243"/>
        <v>0</v>
      </c>
      <c r="O813" s="577">
        <f t="shared" si="236"/>
        <v>0</v>
      </c>
      <c r="P813" s="578">
        <f t="shared" si="237"/>
        <v>0</v>
      </c>
      <c r="Q813" s="765"/>
      <c r="R813" s="576">
        <f t="shared" si="233"/>
        <v>0</v>
      </c>
      <c r="S813" s="576">
        <f t="shared" si="233"/>
        <v>0</v>
      </c>
      <c r="T813" s="577">
        <f t="shared" si="234"/>
        <v>0</v>
      </c>
      <c r="U813" s="578">
        <f t="shared" si="235"/>
        <v>0</v>
      </c>
      <c r="V813" s="579"/>
      <c r="W813" s="566"/>
      <c r="X813" s="586" t="str">
        <f t="shared" si="238"/>
        <v/>
      </c>
      <c r="Y813" s="586" t="str">
        <f t="shared" si="189"/>
        <v/>
      </c>
      <c r="Z813" s="586" t="str">
        <f t="shared" si="239"/>
        <v/>
      </c>
    </row>
    <row r="814" spans="1:26" ht="12" hidden="1" thickBot="1" x14ac:dyDescent="0.25">
      <c r="A814" s="652" t="s">
        <v>187</v>
      </c>
      <c r="B814" s="572" t="s">
        <v>187</v>
      </c>
      <c r="C814" s="573" t="s">
        <v>187</v>
      </c>
      <c r="D814" s="580"/>
      <c r="E814" s="575"/>
      <c r="F814" s="436"/>
      <c r="G814" s="431"/>
      <c r="H814" s="430"/>
      <c r="I814" s="432"/>
      <c r="J814" s="433"/>
      <c r="K814" s="437">
        <f t="shared" si="246"/>
        <v>0</v>
      </c>
      <c r="L814" s="435" t="s">
        <v>614</v>
      </c>
      <c r="M814" s="576"/>
      <c r="N814" s="576">
        <f t="shared" si="243"/>
        <v>0</v>
      </c>
      <c r="O814" s="577">
        <f t="shared" si="236"/>
        <v>0</v>
      </c>
      <c r="P814" s="578">
        <f t="shared" si="237"/>
        <v>0</v>
      </c>
      <c r="Q814" s="765"/>
      <c r="R814" s="576">
        <f t="shared" si="233"/>
        <v>0</v>
      </c>
      <c r="S814" s="576">
        <f t="shared" si="233"/>
        <v>0</v>
      </c>
      <c r="T814" s="577">
        <f t="shared" si="234"/>
        <v>0</v>
      </c>
      <c r="U814" s="578">
        <f t="shared" si="235"/>
        <v>0</v>
      </c>
      <c r="V814" s="579"/>
      <c r="W814" s="566"/>
      <c r="X814" s="586" t="str">
        <f t="shared" si="238"/>
        <v/>
      </c>
      <c r="Y814" s="586" t="str">
        <f t="shared" si="189"/>
        <v/>
      </c>
      <c r="Z814" s="586" t="str">
        <f t="shared" si="239"/>
        <v/>
      </c>
    </row>
    <row r="815" spans="1:26" ht="12" hidden="1" thickBot="1" x14ac:dyDescent="0.25">
      <c r="A815" s="652" t="s">
        <v>187</v>
      </c>
      <c r="B815" s="572" t="s">
        <v>187</v>
      </c>
      <c r="C815" s="573" t="s">
        <v>187</v>
      </c>
      <c r="D815" s="580"/>
      <c r="E815" s="575"/>
      <c r="F815" s="436"/>
      <c r="G815" s="431"/>
      <c r="H815" s="430"/>
      <c r="I815" s="432"/>
      <c r="J815" s="433"/>
      <c r="K815" s="437">
        <f t="shared" si="246"/>
        <v>0</v>
      </c>
      <c r="L815" s="435" t="s">
        <v>614</v>
      </c>
      <c r="M815" s="576"/>
      <c r="N815" s="576">
        <f t="shared" si="243"/>
        <v>0</v>
      </c>
      <c r="O815" s="577">
        <f t="shared" si="236"/>
        <v>0</v>
      </c>
      <c r="P815" s="578">
        <f t="shared" si="237"/>
        <v>0</v>
      </c>
      <c r="Q815" s="765"/>
      <c r="R815" s="576">
        <f t="shared" si="233"/>
        <v>0</v>
      </c>
      <c r="S815" s="576">
        <f t="shared" si="233"/>
        <v>0</v>
      </c>
      <c r="T815" s="577">
        <f t="shared" si="234"/>
        <v>0</v>
      </c>
      <c r="U815" s="578">
        <f t="shared" si="235"/>
        <v>0</v>
      </c>
      <c r="V815" s="579"/>
      <c r="W815" s="566"/>
      <c r="X815" s="586" t="str">
        <f t="shared" si="238"/>
        <v/>
      </c>
      <c r="Y815" s="586" t="str">
        <f t="shared" si="189"/>
        <v/>
      </c>
      <c r="Z815" s="586" t="str">
        <f t="shared" si="239"/>
        <v/>
      </c>
    </row>
    <row r="816" spans="1:26" ht="12" hidden="1" thickBot="1" x14ac:dyDescent="0.25">
      <c r="A816" s="652" t="s">
        <v>187</v>
      </c>
      <c r="B816" s="572" t="s">
        <v>187</v>
      </c>
      <c r="C816" s="573" t="s">
        <v>187</v>
      </c>
      <c r="D816" s="580"/>
      <c r="E816" s="575"/>
      <c r="F816" s="436"/>
      <c r="G816" s="431"/>
      <c r="H816" s="430"/>
      <c r="I816" s="432"/>
      <c r="J816" s="433"/>
      <c r="K816" s="437">
        <f t="shared" si="246"/>
        <v>0</v>
      </c>
      <c r="L816" s="435" t="s">
        <v>614</v>
      </c>
      <c r="M816" s="576"/>
      <c r="N816" s="576">
        <f t="shared" si="243"/>
        <v>0</v>
      </c>
      <c r="O816" s="577">
        <f t="shared" si="236"/>
        <v>0</v>
      </c>
      <c r="P816" s="578">
        <f t="shared" si="237"/>
        <v>0</v>
      </c>
      <c r="Q816" s="765"/>
      <c r="R816" s="576">
        <f t="shared" si="233"/>
        <v>0</v>
      </c>
      <c r="S816" s="576">
        <f t="shared" si="233"/>
        <v>0</v>
      </c>
      <c r="T816" s="577">
        <f t="shared" si="234"/>
        <v>0</v>
      </c>
      <c r="U816" s="578">
        <f t="shared" si="235"/>
        <v>0</v>
      </c>
      <c r="V816" s="579"/>
      <c r="W816" s="566"/>
      <c r="X816" s="586" t="str">
        <f t="shared" si="238"/>
        <v/>
      </c>
      <c r="Y816" s="586" t="str">
        <f t="shared" si="189"/>
        <v/>
      </c>
      <c r="Z816" s="586" t="str">
        <f t="shared" si="239"/>
        <v/>
      </c>
    </row>
    <row r="817" spans="1:26" ht="12" hidden="1" thickBot="1" x14ac:dyDescent="0.25">
      <c r="A817" s="652" t="s">
        <v>187</v>
      </c>
      <c r="B817" s="572" t="s">
        <v>187</v>
      </c>
      <c r="C817" s="573" t="s">
        <v>187</v>
      </c>
      <c r="D817" s="580"/>
      <c r="E817" s="575"/>
      <c r="F817" s="436"/>
      <c r="G817" s="431"/>
      <c r="H817" s="430"/>
      <c r="I817" s="432"/>
      <c r="J817" s="433"/>
      <c r="K817" s="437">
        <f t="shared" si="246"/>
        <v>0</v>
      </c>
      <c r="L817" s="435" t="s">
        <v>614</v>
      </c>
      <c r="M817" s="576"/>
      <c r="N817" s="576">
        <f t="shared" si="243"/>
        <v>0</v>
      </c>
      <c r="O817" s="577">
        <f t="shared" si="236"/>
        <v>0</v>
      </c>
      <c r="P817" s="578">
        <f t="shared" si="237"/>
        <v>0</v>
      </c>
      <c r="Q817" s="765"/>
      <c r="R817" s="576">
        <f t="shared" si="233"/>
        <v>0</v>
      </c>
      <c r="S817" s="576">
        <f t="shared" si="233"/>
        <v>0</v>
      </c>
      <c r="T817" s="577">
        <f t="shared" si="234"/>
        <v>0</v>
      </c>
      <c r="U817" s="578">
        <f t="shared" si="235"/>
        <v>0</v>
      </c>
      <c r="V817" s="579"/>
      <c r="W817" s="566"/>
      <c r="X817" s="586" t="str">
        <f t="shared" si="238"/>
        <v/>
      </c>
      <c r="Y817" s="586" t="str">
        <f t="shared" si="189"/>
        <v/>
      </c>
      <c r="Z817" s="586" t="str">
        <f t="shared" si="239"/>
        <v/>
      </c>
    </row>
    <row r="818" spans="1:26" ht="12" hidden="1" thickBot="1" x14ac:dyDescent="0.25">
      <c r="A818" s="652" t="s">
        <v>187</v>
      </c>
      <c r="B818" s="572" t="s">
        <v>187</v>
      </c>
      <c r="C818" s="573" t="s">
        <v>187</v>
      </c>
      <c r="D818" s="580"/>
      <c r="E818" s="575"/>
      <c r="F818" s="436"/>
      <c r="G818" s="431"/>
      <c r="H818" s="430"/>
      <c r="I818" s="432"/>
      <c r="J818" s="433"/>
      <c r="K818" s="437">
        <f t="shared" si="246"/>
        <v>0</v>
      </c>
      <c r="L818" s="435" t="s">
        <v>614</v>
      </c>
      <c r="M818" s="576"/>
      <c r="N818" s="576">
        <f t="shared" si="243"/>
        <v>0</v>
      </c>
      <c r="O818" s="577">
        <f t="shared" si="236"/>
        <v>0</v>
      </c>
      <c r="P818" s="578">
        <f t="shared" si="237"/>
        <v>0</v>
      </c>
      <c r="Q818" s="765"/>
      <c r="R818" s="576">
        <f t="shared" si="233"/>
        <v>0</v>
      </c>
      <c r="S818" s="576">
        <f t="shared" si="233"/>
        <v>0</v>
      </c>
      <c r="T818" s="577">
        <f t="shared" si="234"/>
        <v>0</v>
      </c>
      <c r="U818" s="578">
        <f t="shared" si="235"/>
        <v>0</v>
      </c>
      <c r="V818" s="579"/>
      <c r="W818" s="566"/>
      <c r="X818" s="586" t="str">
        <f t="shared" si="238"/>
        <v/>
      </c>
      <c r="Y818" s="586" t="str">
        <f t="shared" si="189"/>
        <v/>
      </c>
      <c r="Z818" s="586" t="str">
        <f t="shared" si="239"/>
        <v/>
      </c>
    </row>
    <row r="819" spans="1:26" ht="12" hidden="1" thickBot="1" x14ac:dyDescent="0.25">
      <c r="A819" s="652" t="s">
        <v>187</v>
      </c>
      <c r="B819" s="572" t="s">
        <v>187</v>
      </c>
      <c r="C819" s="573" t="s">
        <v>187</v>
      </c>
      <c r="D819" s="580"/>
      <c r="E819" s="575"/>
      <c r="F819" s="436"/>
      <c r="G819" s="431"/>
      <c r="H819" s="430"/>
      <c r="I819" s="432"/>
      <c r="J819" s="433"/>
      <c r="K819" s="437">
        <f t="shared" si="246"/>
        <v>0</v>
      </c>
      <c r="L819" s="435" t="s">
        <v>614</v>
      </c>
      <c r="M819" s="576"/>
      <c r="N819" s="576">
        <f t="shared" si="243"/>
        <v>0</v>
      </c>
      <c r="O819" s="577">
        <f t="shared" si="236"/>
        <v>0</v>
      </c>
      <c r="P819" s="578">
        <f t="shared" si="237"/>
        <v>0</v>
      </c>
      <c r="Q819" s="765"/>
      <c r="R819" s="576">
        <f t="shared" si="233"/>
        <v>0</v>
      </c>
      <c r="S819" s="576">
        <f t="shared" si="233"/>
        <v>0</v>
      </c>
      <c r="T819" s="577">
        <f t="shared" si="234"/>
        <v>0</v>
      </c>
      <c r="U819" s="578">
        <f t="shared" si="235"/>
        <v>0</v>
      </c>
      <c r="V819" s="579"/>
      <c r="W819" s="566"/>
      <c r="X819" s="586" t="str">
        <f t="shared" si="238"/>
        <v/>
      </c>
      <c r="Y819" s="586" t="str">
        <f t="shared" si="189"/>
        <v/>
      </c>
      <c r="Z819" s="586" t="str">
        <f t="shared" si="239"/>
        <v/>
      </c>
    </row>
    <row r="820" spans="1:26" ht="12" hidden="1" thickBot="1" x14ac:dyDescent="0.25">
      <c r="A820" s="652" t="s">
        <v>187</v>
      </c>
      <c r="B820" s="572" t="s">
        <v>187</v>
      </c>
      <c r="C820" s="573" t="s">
        <v>187</v>
      </c>
      <c r="D820" s="580"/>
      <c r="E820" s="575"/>
      <c r="F820" s="436"/>
      <c r="G820" s="431"/>
      <c r="H820" s="430"/>
      <c r="I820" s="432"/>
      <c r="J820" s="433"/>
      <c r="K820" s="437">
        <f t="shared" si="246"/>
        <v>0</v>
      </c>
      <c r="L820" s="435" t="s">
        <v>614</v>
      </c>
      <c r="M820" s="576"/>
      <c r="N820" s="576">
        <f t="shared" si="243"/>
        <v>0</v>
      </c>
      <c r="O820" s="577">
        <f t="shared" si="236"/>
        <v>0</v>
      </c>
      <c r="P820" s="578">
        <f t="shared" si="237"/>
        <v>0</v>
      </c>
      <c r="Q820" s="765"/>
      <c r="R820" s="576">
        <f t="shared" ref="R820:S883" si="247">M820</f>
        <v>0</v>
      </c>
      <c r="S820" s="576">
        <f t="shared" si="247"/>
        <v>0</v>
      </c>
      <c r="T820" s="577">
        <f t="shared" ref="T820:T883" si="248">IF(ISBLANK(R820),0,ROUND(K820*R820,2))</f>
        <v>0</v>
      </c>
      <c r="U820" s="578">
        <f t="shared" ref="U820:U883" si="249">IF(ISBLANK(R820),0,ROUND(R820*S820,2))</f>
        <v>0</v>
      </c>
      <c r="V820" s="579"/>
      <c r="W820" s="566"/>
      <c r="X820" s="586" t="str">
        <f t="shared" si="238"/>
        <v/>
      </c>
      <c r="Y820" s="586" t="str">
        <f t="shared" si="189"/>
        <v/>
      </c>
      <c r="Z820" s="586" t="str">
        <f t="shared" si="239"/>
        <v/>
      </c>
    </row>
    <row r="821" spans="1:26" ht="12" hidden="1" thickBot="1" x14ac:dyDescent="0.25">
      <c r="A821" s="652" t="s">
        <v>187</v>
      </c>
      <c r="B821" s="572" t="s">
        <v>187</v>
      </c>
      <c r="C821" s="573" t="s">
        <v>187</v>
      </c>
      <c r="D821" s="580"/>
      <c r="E821" s="575"/>
      <c r="F821" s="436"/>
      <c r="G821" s="431"/>
      <c r="H821" s="430"/>
      <c r="I821" s="432"/>
      <c r="J821" s="433"/>
      <c r="K821" s="437">
        <f t="shared" si="246"/>
        <v>0</v>
      </c>
      <c r="L821" s="435" t="s">
        <v>614</v>
      </c>
      <c r="M821" s="576"/>
      <c r="N821" s="576">
        <f t="shared" si="243"/>
        <v>0</v>
      </c>
      <c r="O821" s="577">
        <f t="shared" ref="O821:O884" si="250">IF(ISBLANK(M821),0,ROUND(K821*M821,2))</f>
        <v>0</v>
      </c>
      <c r="P821" s="578">
        <f t="shared" ref="P821:P884" si="251">IF(ISBLANK(N821),0,ROUND(M821*N821,2))</f>
        <v>0</v>
      </c>
      <c r="Q821" s="765"/>
      <c r="R821" s="576">
        <f t="shared" si="247"/>
        <v>0</v>
      </c>
      <c r="S821" s="576">
        <f t="shared" si="247"/>
        <v>0</v>
      </c>
      <c r="T821" s="577">
        <f t="shared" si="248"/>
        <v>0</v>
      </c>
      <c r="U821" s="578">
        <f t="shared" si="249"/>
        <v>0</v>
      </c>
      <c r="V821" s="579"/>
      <c r="W821" s="566"/>
      <c r="X821" s="586" t="str">
        <f t="shared" si="238"/>
        <v/>
      </c>
      <c r="Y821" s="586" t="str">
        <f t="shared" si="189"/>
        <v/>
      </c>
      <c r="Z821" s="586" t="str">
        <f t="shared" si="239"/>
        <v/>
      </c>
    </row>
    <row r="822" spans="1:26" ht="12" hidden="1" thickBot="1" x14ac:dyDescent="0.25">
      <c r="A822" s="652" t="s">
        <v>187</v>
      </c>
      <c r="B822" s="572" t="s">
        <v>187</v>
      </c>
      <c r="C822" s="573" t="s">
        <v>187</v>
      </c>
      <c r="D822" s="580"/>
      <c r="E822" s="575"/>
      <c r="F822" s="436"/>
      <c r="G822" s="431"/>
      <c r="H822" s="430"/>
      <c r="I822" s="432"/>
      <c r="J822" s="433"/>
      <c r="K822" s="437">
        <f t="shared" si="246"/>
        <v>0</v>
      </c>
      <c r="L822" s="435" t="s">
        <v>614</v>
      </c>
      <c r="M822" s="576"/>
      <c r="N822" s="576">
        <f t="shared" si="243"/>
        <v>0</v>
      </c>
      <c r="O822" s="577">
        <f t="shared" si="250"/>
        <v>0</v>
      </c>
      <c r="P822" s="578">
        <f t="shared" si="251"/>
        <v>0</v>
      </c>
      <c r="Q822" s="765"/>
      <c r="R822" s="576">
        <f t="shared" si="247"/>
        <v>0</v>
      </c>
      <c r="S822" s="576">
        <f t="shared" si="247"/>
        <v>0</v>
      </c>
      <c r="T822" s="577">
        <f t="shared" si="248"/>
        <v>0</v>
      </c>
      <c r="U822" s="578">
        <f t="shared" si="249"/>
        <v>0</v>
      </c>
      <c r="V822" s="579"/>
      <c r="W822" s="566"/>
      <c r="X822" s="586" t="str">
        <f t="shared" si="238"/>
        <v/>
      </c>
      <c r="Y822" s="586" t="str">
        <f t="shared" si="189"/>
        <v/>
      </c>
      <c r="Z822" s="586" t="str">
        <f t="shared" si="239"/>
        <v/>
      </c>
    </row>
    <row r="823" spans="1:26" ht="12" hidden="1" thickBot="1" x14ac:dyDescent="0.25">
      <c r="A823" s="652" t="s">
        <v>187</v>
      </c>
      <c r="B823" s="572" t="s">
        <v>187</v>
      </c>
      <c r="C823" s="573" t="s">
        <v>187</v>
      </c>
      <c r="D823" s="580"/>
      <c r="E823" s="575"/>
      <c r="F823" s="436"/>
      <c r="G823" s="431"/>
      <c r="H823" s="430"/>
      <c r="I823" s="432"/>
      <c r="J823" s="433"/>
      <c r="K823" s="437">
        <f t="shared" si="246"/>
        <v>0</v>
      </c>
      <c r="L823" s="435" t="s">
        <v>614</v>
      </c>
      <c r="M823" s="576"/>
      <c r="N823" s="576">
        <f t="shared" si="243"/>
        <v>0</v>
      </c>
      <c r="O823" s="577">
        <f t="shared" si="250"/>
        <v>0</v>
      </c>
      <c r="P823" s="578">
        <f t="shared" si="251"/>
        <v>0</v>
      </c>
      <c r="Q823" s="765"/>
      <c r="R823" s="576">
        <f t="shared" si="247"/>
        <v>0</v>
      </c>
      <c r="S823" s="576">
        <f t="shared" si="247"/>
        <v>0</v>
      </c>
      <c r="T823" s="577">
        <f t="shared" si="248"/>
        <v>0</v>
      </c>
      <c r="U823" s="578">
        <f t="shared" si="249"/>
        <v>0</v>
      </c>
      <c r="V823" s="579"/>
      <c r="W823" s="566"/>
      <c r="X823" s="586" t="str">
        <f t="shared" si="238"/>
        <v/>
      </c>
      <c r="Y823" s="586" t="str">
        <f t="shared" si="189"/>
        <v/>
      </c>
      <c r="Z823" s="586" t="str">
        <f t="shared" si="239"/>
        <v/>
      </c>
    </row>
    <row r="824" spans="1:26" ht="12" hidden="1" thickBot="1" x14ac:dyDescent="0.25">
      <c r="A824" s="652" t="s">
        <v>187</v>
      </c>
      <c r="B824" s="572" t="s">
        <v>187</v>
      </c>
      <c r="C824" s="573" t="s">
        <v>187</v>
      </c>
      <c r="D824" s="580"/>
      <c r="E824" s="575"/>
      <c r="F824" s="436"/>
      <c r="G824" s="431"/>
      <c r="H824" s="430"/>
      <c r="I824" s="432"/>
      <c r="J824" s="433"/>
      <c r="K824" s="437">
        <f t="shared" si="246"/>
        <v>0</v>
      </c>
      <c r="L824" s="435" t="s">
        <v>614</v>
      </c>
      <c r="M824" s="576"/>
      <c r="N824" s="576">
        <f t="shared" si="243"/>
        <v>0</v>
      </c>
      <c r="O824" s="577">
        <f t="shared" si="250"/>
        <v>0</v>
      </c>
      <c r="P824" s="578">
        <f t="shared" si="251"/>
        <v>0</v>
      </c>
      <c r="Q824" s="765"/>
      <c r="R824" s="576">
        <f t="shared" si="247"/>
        <v>0</v>
      </c>
      <c r="S824" s="576">
        <f t="shared" si="247"/>
        <v>0</v>
      </c>
      <c r="T824" s="577">
        <f t="shared" si="248"/>
        <v>0</v>
      </c>
      <c r="U824" s="578">
        <f t="shared" si="249"/>
        <v>0</v>
      </c>
      <c r="V824" s="579"/>
      <c r="W824" s="566"/>
      <c r="X824" s="586" t="str">
        <f t="shared" si="238"/>
        <v/>
      </c>
      <c r="Y824" s="586" t="str">
        <f t="shared" si="189"/>
        <v/>
      </c>
      <c r="Z824" s="586" t="str">
        <f t="shared" si="239"/>
        <v/>
      </c>
    </row>
    <row r="825" spans="1:26" ht="12" hidden="1" thickBot="1" x14ac:dyDescent="0.25">
      <c r="A825" s="652" t="s">
        <v>187</v>
      </c>
      <c r="B825" s="572" t="s">
        <v>187</v>
      </c>
      <c r="C825" s="573" t="s">
        <v>187</v>
      </c>
      <c r="D825" s="580"/>
      <c r="E825" s="575"/>
      <c r="F825" s="436"/>
      <c r="G825" s="431"/>
      <c r="H825" s="430"/>
      <c r="I825" s="432"/>
      <c r="J825" s="433"/>
      <c r="K825" s="437">
        <f t="shared" si="246"/>
        <v>0</v>
      </c>
      <c r="L825" s="435" t="s">
        <v>614</v>
      </c>
      <c r="M825" s="576"/>
      <c r="N825" s="576">
        <f t="shared" si="243"/>
        <v>0</v>
      </c>
      <c r="O825" s="577">
        <f t="shared" si="250"/>
        <v>0</v>
      </c>
      <c r="P825" s="578">
        <f t="shared" si="251"/>
        <v>0</v>
      </c>
      <c r="Q825" s="765"/>
      <c r="R825" s="576">
        <f t="shared" si="247"/>
        <v>0</v>
      </c>
      <c r="S825" s="576">
        <f t="shared" si="247"/>
        <v>0</v>
      </c>
      <c r="T825" s="577">
        <f t="shared" si="248"/>
        <v>0</v>
      </c>
      <c r="U825" s="578">
        <f t="shared" si="249"/>
        <v>0</v>
      </c>
      <c r="V825" s="579"/>
      <c r="W825" s="566"/>
      <c r="X825" s="586" t="str">
        <f t="shared" si="238"/>
        <v/>
      </c>
      <c r="Y825" s="586" t="str">
        <f t="shared" si="189"/>
        <v/>
      </c>
      <c r="Z825" s="586" t="str">
        <f t="shared" si="239"/>
        <v/>
      </c>
    </row>
    <row r="826" spans="1:26" ht="12" hidden="1" thickBot="1" x14ac:dyDescent="0.25">
      <c r="A826" s="652" t="s">
        <v>187</v>
      </c>
      <c r="B826" s="572" t="s">
        <v>187</v>
      </c>
      <c r="C826" s="573" t="s">
        <v>187</v>
      </c>
      <c r="D826" s="580"/>
      <c r="E826" s="575"/>
      <c r="F826" s="436"/>
      <c r="G826" s="431"/>
      <c r="H826" s="430"/>
      <c r="I826" s="432"/>
      <c r="J826" s="433"/>
      <c r="K826" s="437">
        <f t="shared" si="246"/>
        <v>0</v>
      </c>
      <c r="L826" s="435" t="s">
        <v>614</v>
      </c>
      <c r="M826" s="576"/>
      <c r="N826" s="576">
        <f t="shared" si="243"/>
        <v>0</v>
      </c>
      <c r="O826" s="577">
        <f t="shared" si="250"/>
        <v>0</v>
      </c>
      <c r="P826" s="578">
        <f t="shared" si="251"/>
        <v>0</v>
      </c>
      <c r="Q826" s="765"/>
      <c r="R826" s="576">
        <f t="shared" si="247"/>
        <v>0</v>
      </c>
      <c r="S826" s="576">
        <f t="shared" si="247"/>
        <v>0</v>
      </c>
      <c r="T826" s="577">
        <f t="shared" si="248"/>
        <v>0</v>
      </c>
      <c r="U826" s="578">
        <f t="shared" si="249"/>
        <v>0</v>
      </c>
      <c r="V826" s="579"/>
      <c r="W826" s="566"/>
      <c r="X826" s="586" t="str">
        <f t="shared" si="238"/>
        <v/>
      </c>
      <c r="Y826" s="586" t="str">
        <f t="shared" si="189"/>
        <v/>
      </c>
      <c r="Z826" s="586" t="str">
        <f t="shared" si="239"/>
        <v/>
      </c>
    </row>
    <row r="827" spans="1:26" ht="12" hidden="1" thickBot="1" x14ac:dyDescent="0.25">
      <c r="A827" s="652" t="s">
        <v>187</v>
      </c>
      <c r="B827" s="572" t="s">
        <v>187</v>
      </c>
      <c r="C827" s="573" t="s">
        <v>187</v>
      </c>
      <c r="D827" s="580"/>
      <c r="E827" s="575"/>
      <c r="F827" s="436"/>
      <c r="G827" s="431"/>
      <c r="H827" s="430"/>
      <c r="I827" s="432"/>
      <c r="J827" s="433"/>
      <c r="K827" s="437">
        <f t="shared" si="246"/>
        <v>0</v>
      </c>
      <c r="L827" s="435" t="s">
        <v>614</v>
      </c>
      <c r="M827" s="576"/>
      <c r="N827" s="576">
        <f t="shared" si="243"/>
        <v>0</v>
      </c>
      <c r="O827" s="577">
        <f t="shared" si="250"/>
        <v>0</v>
      </c>
      <c r="P827" s="578">
        <f t="shared" si="251"/>
        <v>0</v>
      </c>
      <c r="Q827" s="765"/>
      <c r="R827" s="576">
        <f t="shared" si="247"/>
        <v>0</v>
      </c>
      <c r="S827" s="576">
        <f t="shared" si="247"/>
        <v>0</v>
      </c>
      <c r="T827" s="577">
        <f t="shared" si="248"/>
        <v>0</v>
      </c>
      <c r="U827" s="578">
        <f t="shared" si="249"/>
        <v>0</v>
      </c>
      <c r="V827" s="579"/>
      <c r="W827" s="566"/>
      <c r="X827" s="586" t="str">
        <f t="shared" si="238"/>
        <v/>
      </c>
      <c r="Y827" s="586" t="str">
        <f t="shared" si="189"/>
        <v/>
      </c>
      <c r="Z827" s="586" t="str">
        <f t="shared" si="239"/>
        <v/>
      </c>
    </row>
    <row r="828" spans="1:26" ht="12" hidden="1" thickBot="1" x14ac:dyDescent="0.25">
      <c r="A828" s="652" t="s">
        <v>187</v>
      </c>
      <c r="B828" s="572" t="s">
        <v>187</v>
      </c>
      <c r="C828" s="573" t="s">
        <v>187</v>
      </c>
      <c r="D828" s="580"/>
      <c r="E828" s="575"/>
      <c r="F828" s="436"/>
      <c r="G828" s="431"/>
      <c r="H828" s="430"/>
      <c r="I828" s="432"/>
      <c r="J828" s="433"/>
      <c r="K828" s="437">
        <f t="shared" si="246"/>
        <v>0</v>
      </c>
      <c r="L828" s="435" t="s">
        <v>614</v>
      </c>
      <c r="M828" s="576"/>
      <c r="N828" s="576">
        <f t="shared" si="243"/>
        <v>0</v>
      </c>
      <c r="O828" s="577">
        <f t="shared" si="250"/>
        <v>0</v>
      </c>
      <c r="P828" s="578">
        <f t="shared" si="251"/>
        <v>0</v>
      </c>
      <c r="Q828" s="765"/>
      <c r="R828" s="576">
        <f t="shared" si="247"/>
        <v>0</v>
      </c>
      <c r="S828" s="576">
        <f t="shared" si="247"/>
        <v>0</v>
      </c>
      <c r="T828" s="577">
        <f t="shared" si="248"/>
        <v>0</v>
      </c>
      <c r="U828" s="578">
        <f t="shared" si="249"/>
        <v>0</v>
      </c>
      <c r="V828" s="579"/>
      <c r="W828" s="566"/>
      <c r="X828" s="586" t="str">
        <f t="shared" si="238"/>
        <v/>
      </c>
      <c r="Y828" s="586" t="str">
        <f t="shared" si="189"/>
        <v/>
      </c>
      <c r="Z828" s="586" t="str">
        <f t="shared" si="239"/>
        <v/>
      </c>
    </row>
    <row r="829" spans="1:26" ht="12" hidden="1" thickBot="1" x14ac:dyDescent="0.25">
      <c r="A829" s="652" t="s">
        <v>187</v>
      </c>
      <c r="B829" s="572" t="s">
        <v>187</v>
      </c>
      <c r="C829" s="573" t="s">
        <v>187</v>
      </c>
      <c r="D829" s="580"/>
      <c r="E829" s="575"/>
      <c r="F829" s="436"/>
      <c r="G829" s="431"/>
      <c r="H829" s="430"/>
      <c r="I829" s="432"/>
      <c r="J829" s="433"/>
      <c r="K829" s="437">
        <f t="shared" si="246"/>
        <v>0</v>
      </c>
      <c r="L829" s="435" t="s">
        <v>614</v>
      </c>
      <c r="M829" s="576"/>
      <c r="N829" s="576">
        <f t="shared" si="243"/>
        <v>0</v>
      </c>
      <c r="O829" s="577">
        <f t="shared" si="250"/>
        <v>0</v>
      </c>
      <c r="P829" s="578">
        <f t="shared" si="251"/>
        <v>0</v>
      </c>
      <c r="Q829" s="765"/>
      <c r="R829" s="576">
        <f t="shared" si="247"/>
        <v>0</v>
      </c>
      <c r="S829" s="576">
        <f t="shared" si="247"/>
        <v>0</v>
      </c>
      <c r="T829" s="577">
        <f t="shared" si="248"/>
        <v>0</v>
      </c>
      <c r="U829" s="578">
        <f t="shared" si="249"/>
        <v>0</v>
      </c>
      <c r="V829" s="579"/>
      <c r="W829" s="566"/>
      <c r="X829" s="586" t="str">
        <f t="shared" ref="X829:X892" si="252">IF(W829="X","x",IF(W829="xx","x",IF(W829="xy","x",IF(W829="y","x",IF(OR(P829&gt;0,U829&gt;0),"x","")))))</f>
        <v/>
      </c>
      <c r="Y829" s="586" t="str">
        <f t="shared" si="189"/>
        <v/>
      </c>
      <c r="Z829" s="586" t="str">
        <f t="shared" si="239"/>
        <v/>
      </c>
    </row>
    <row r="830" spans="1:26" ht="12" hidden="1" thickBot="1" x14ac:dyDescent="0.25">
      <c r="A830" s="652" t="s">
        <v>187</v>
      </c>
      <c r="B830" s="572" t="s">
        <v>187</v>
      </c>
      <c r="C830" s="573" t="s">
        <v>187</v>
      </c>
      <c r="D830" s="580"/>
      <c r="E830" s="575"/>
      <c r="F830" s="436"/>
      <c r="G830" s="431"/>
      <c r="H830" s="430"/>
      <c r="I830" s="432"/>
      <c r="J830" s="433"/>
      <c r="K830" s="437">
        <f t="shared" si="246"/>
        <v>0</v>
      </c>
      <c r="L830" s="435" t="s">
        <v>614</v>
      </c>
      <c r="M830" s="576"/>
      <c r="N830" s="576">
        <f t="shared" si="243"/>
        <v>0</v>
      </c>
      <c r="O830" s="577">
        <f t="shared" si="250"/>
        <v>0</v>
      </c>
      <c r="P830" s="578">
        <f t="shared" si="251"/>
        <v>0</v>
      </c>
      <c r="Q830" s="765"/>
      <c r="R830" s="576">
        <f t="shared" si="247"/>
        <v>0</v>
      </c>
      <c r="S830" s="576">
        <f t="shared" si="247"/>
        <v>0</v>
      </c>
      <c r="T830" s="577">
        <f t="shared" si="248"/>
        <v>0</v>
      </c>
      <c r="U830" s="578">
        <f t="shared" si="249"/>
        <v>0</v>
      </c>
      <c r="V830" s="579"/>
      <c r="W830" s="566"/>
      <c r="X830" s="586" t="str">
        <f t="shared" si="252"/>
        <v/>
      </c>
      <c r="Y830" s="586" t="str">
        <f t="shared" si="189"/>
        <v/>
      </c>
      <c r="Z830" s="586" t="str">
        <f t="shared" si="239"/>
        <v/>
      </c>
    </row>
    <row r="831" spans="1:26" ht="12" hidden="1" thickBot="1" x14ac:dyDescent="0.25">
      <c r="A831" s="652" t="s">
        <v>187</v>
      </c>
      <c r="B831" s="572" t="s">
        <v>187</v>
      </c>
      <c r="C831" s="573" t="s">
        <v>187</v>
      </c>
      <c r="D831" s="580"/>
      <c r="E831" s="575"/>
      <c r="F831" s="436"/>
      <c r="G831" s="431"/>
      <c r="H831" s="430"/>
      <c r="I831" s="432"/>
      <c r="J831" s="433"/>
      <c r="K831" s="437">
        <f t="shared" si="246"/>
        <v>0</v>
      </c>
      <c r="L831" s="435" t="s">
        <v>614</v>
      </c>
      <c r="M831" s="576"/>
      <c r="N831" s="576">
        <f t="shared" si="243"/>
        <v>0</v>
      </c>
      <c r="O831" s="577">
        <f t="shared" si="250"/>
        <v>0</v>
      </c>
      <c r="P831" s="578">
        <f t="shared" si="251"/>
        <v>0</v>
      </c>
      <c r="Q831" s="765"/>
      <c r="R831" s="576">
        <f t="shared" si="247"/>
        <v>0</v>
      </c>
      <c r="S831" s="576">
        <f t="shared" si="247"/>
        <v>0</v>
      </c>
      <c r="T831" s="577">
        <f t="shared" si="248"/>
        <v>0</v>
      </c>
      <c r="U831" s="578">
        <f t="shared" si="249"/>
        <v>0</v>
      </c>
      <c r="V831" s="579"/>
      <c r="W831" s="566"/>
      <c r="X831" s="586" t="str">
        <f t="shared" si="252"/>
        <v/>
      </c>
      <c r="Y831" s="586" t="str">
        <f t="shared" si="189"/>
        <v/>
      </c>
      <c r="Z831" s="586" t="str">
        <f t="shared" si="239"/>
        <v/>
      </c>
    </row>
    <row r="832" spans="1:26" ht="43.35" hidden="1" customHeight="1" x14ac:dyDescent="0.2">
      <c r="A832" s="652" t="s">
        <v>187</v>
      </c>
      <c r="B832" s="572" t="s">
        <v>187</v>
      </c>
      <c r="C832" s="573" t="s">
        <v>187</v>
      </c>
      <c r="D832" s="580"/>
      <c r="E832" s="575"/>
      <c r="F832" s="436"/>
      <c r="G832" s="431"/>
      <c r="H832" s="430"/>
      <c r="I832" s="432"/>
      <c r="J832" s="433"/>
      <c r="K832" s="437">
        <f t="shared" si="246"/>
        <v>0</v>
      </c>
      <c r="L832" s="435" t="s">
        <v>614</v>
      </c>
      <c r="M832" s="576"/>
      <c r="N832" s="576">
        <f t="shared" si="243"/>
        <v>0</v>
      </c>
      <c r="O832" s="577">
        <f t="shared" si="250"/>
        <v>0</v>
      </c>
      <c r="P832" s="578">
        <f t="shared" si="251"/>
        <v>0</v>
      </c>
      <c r="Q832" s="765"/>
      <c r="R832" s="576">
        <f t="shared" si="247"/>
        <v>0</v>
      </c>
      <c r="S832" s="576">
        <f t="shared" si="247"/>
        <v>0</v>
      </c>
      <c r="T832" s="577">
        <f t="shared" si="248"/>
        <v>0</v>
      </c>
      <c r="U832" s="578">
        <f t="shared" si="249"/>
        <v>0</v>
      </c>
      <c r="V832" s="579"/>
      <c r="W832" s="566"/>
      <c r="X832" s="586" t="str">
        <f t="shared" si="252"/>
        <v/>
      </c>
      <c r="Y832" s="586" t="str">
        <f t="shared" si="189"/>
        <v/>
      </c>
      <c r="Z832" s="586" t="str">
        <f t="shared" si="239"/>
        <v/>
      </c>
    </row>
    <row r="833" spans="1:26" ht="12" hidden="1" thickBot="1" x14ac:dyDescent="0.25">
      <c r="A833" s="652" t="s">
        <v>187</v>
      </c>
      <c r="B833" s="572" t="s">
        <v>187</v>
      </c>
      <c r="C833" s="573" t="s">
        <v>187</v>
      </c>
      <c r="D833" s="580"/>
      <c r="E833" s="575"/>
      <c r="F833" s="436"/>
      <c r="G833" s="431"/>
      <c r="H833" s="430"/>
      <c r="I833" s="432"/>
      <c r="J833" s="433"/>
      <c r="K833" s="437">
        <f t="shared" si="246"/>
        <v>0</v>
      </c>
      <c r="L833" s="435" t="s">
        <v>614</v>
      </c>
      <c r="M833" s="576"/>
      <c r="N833" s="576">
        <f t="shared" si="243"/>
        <v>0</v>
      </c>
      <c r="O833" s="577">
        <f t="shared" si="250"/>
        <v>0</v>
      </c>
      <c r="P833" s="578">
        <f t="shared" si="251"/>
        <v>0</v>
      </c>
      <c r="Q833" s="765"/>
      <c r="R833" s="576">
        <f t="shared" si="247"/>
        <v>0</v>
      </c>
      <c r="S833" s="576">
        <f t="shared" si="247"/>
        <v>0</v>
      </c>
      <c r="T833" s="577">
        <f t="shared" si="248"/>
        <v>0</v>
      </c>
      <c r="U833" s="578">
        <f t="shared" si="249"/>
        <v>0</v>
      </c>
      <c r="V833" s="579"/>
      <c r="W833" s="566"/>
      <c r="X833" s="586" t="str">
        <f t="shared" si="252"/>
        <v/>
      </c>
      <c r="Y833" s="586" t="str">
        <f t="shared" si="189"/>
        <v/>
      </c>
      <c r="Z833" s="586" t="str">
        <f t="shared" si="239"/>
        <v/>
      </c>
    </row>
    <row r="834" spans="1:26" ht="12" hidden="1" thickBot="1" x14ac:dyDescent="0.25">
      <c r="A834" s="652" t="s">
        <v>187</v>
      </c>
      <c r="B834" s="572" t="s">
        <v>187</v>
      </c>
      <c r="C834" s="573" t="s">
        <v>187</v>
      </c>
      <c r="D834" s="580"/>
      <c r="E834" s="575"/>
      <c r="F834" s="436"/>
      <c r="G834" s="431"/>
      <c r="H834" s="430"/>
      <c r="I834" s="432"/>
      <c r="J834" s="433"/>
      <c r="K834" s="437">
        <f t="shared" si="246"/>
        <v>0</v>
      </c>
      <c r="L834" s="435" t="s">
        <v>614</v>
      </c>
      <c r="M834" s="576"/>
      <c r="N834" s="576">
        <f t="shared" si="243"/>
        <v>0</v>
      </c>
      <c r="O834" s="577">
        <f t="shared" si="250"/>
        <v>0</v>
      </c>
      <c r="P834" s="578">
        <f t="shared" si="251"/>
        <v>0</v>
      </c>
      <c r="Q834" s="765"/>
      <c r="R834" s="576">
        <f t="shared" si="247"/>
        <v>0</v>
      </c>
      <c r="S834" s="576">
        <f t="shared" si="247"/>
        <v>0</v>
      </c>
      <c r="T834" s="577">
        <f t="shared" si="248"/>
        <v>0</v>
      </c>
      <c r="U834" s="578">
        <f t="shared" si="249"/>
        <v>0</v>
      </c>
      <c r="V834" s="579"/>
      <c r="W834" s="566"/>
      <c r="X834" s="586" t="str">
        <f t="shared" si="252"/>
        <v/>
      </c>
      <c r="Y834" s="586"/>
      <c r="Z834" s="586"/>
    </row>
    <row r="835" spans="1:26" ht="12" hidden="1" thickBot="1" x14ac:dyDescent="0.25">
      <c r="A835" s="652" t="s">
        <v>187</v>
      </c>
      <c r="B835" s="572" t="s">
        <v>187</v>
      </c>
      <c r="C835" s="573" t="s">
        <v>187</v>
      </c>
      <c r="D835" s="580"/>
      <c r="E835" s="575"/>
      <c r="F835" s="436"/>
      <c r="G835" s="431"/>
      <c r="H835" s="430"/>
      <c r="I835" s="432"/>
      <c r="J835" s="433"/>
      <c r="K835" s="437">
        <f t="shared" si="246"/>
        <v>0</v>
      </c>
      <c r="L835" s="435" t="s">
        <v>614</v>
      </c>
      <c r="M835" s="576"/>
      <c r="N835" s="576">
        <f t="shared" si="243"/>
        <v>0</v>
      </c>
      <c r="O835" s="577">
        <f t="shared" si="250"/>
        <v>0</v>
      </c>
      <c r="P835" s="578">
        <f t="shared" si="251"/>
        <v>0</v>
      </c>
      <c r="Q835" s="765"/>
      <c r="R835" s="576">
        <f t="shared" si="247"/>
        <v>0</v>
      </c>
      <c r="S835" s="576">
        <f t="shared" si="247"/>
        <v>0</v>
      </c>
      <c r="T835" s="577">
        <f t="shared" si="248"/>
        <v>0</v>
      </c>
      <c r="U835" s="578">
        <f t="shared" si="249"/>
        <v>0</v>
      </c>
      <c r="V835" s="579"/>
      <c r="W835" s="566"/>
      <c r="X835" s="586" t="str">
        <f t="shared" si="252"/>
        <v/>
      </c>
      <c r="Y835" s="586" t="str">
        <f t="shared" si="189"/>
        <v/>
      </c>
      <c r="Z835" s="586" t="str">
        <f t="shared" si="239"/>
        <v/>
      </c>
    </row>
    <row r="836" spans="1:26" ht="12" hidden="1" thickBot="1" x14ac:dyDescent="0.25">
      <c r="A836" s="652" t="s">
        <v>187</v>
      </c>
      <c r="B836" s="572" t="s">
        <v>187</v>
      </c>
      <c r="C836" s="573" t="s">
        <v>187</v>
      </c>
      <c r="D836" s="580"/>
      <c r="E836" s="575"/>
      <c r="F836" s="436"/>
      <c r="G836" s="431"/>
      <c r="H836" s="430"/>
      <c r="I836" s="432"/>
      <c r="J836" s="433"/>
      <c r="K836" s="437">
        <f t="shared" si="246"/>
        <v>0</v>
      </c>
      <c r="L836" s="435" t="s">
        <v>614</v>
      </c>
      <c r="M836" s="576"/>
      <c r="N836" s="576">
        <f t="shared" si="243"/>
        <v>0</v>
      </c>
      <c r="O836" s="577">
        <f t="shared" si="250"/>
        <v>0</v>
      </c>
      <c r="P836" s="578">
        <f t="shared" si="251"/>
        <v>0</v>
      </c>
      <c r="Q836" s="765"/>
      <c r="R836" s="576">
        <f t="shared" si="247"/>
        <v>0</v>
      </c>
      <c r="S836" s="576">
        <f t="shared" si="247"/>
        <v>0</v>
      </c>
      <c r="T836" s="577">
        <f t="shared" si="248"/>
        <v>0</v>
      </c>
      <c r="U836" s="578">
        <f t="shared" si="249"/>
        <v>0</v>
      </c>
      <c r="V836" s="579"/>
      <c r="W836" s="566"/>
      <c r="X836" s="586" t="str">
        <f t="shared" si="252"/>
        <v/>
      </c>
      <c r="Y836" s="586" t="str">
        <f t="shared" si="189"/>
        <v/>
      </c>
      <c r="Z836" s="586" t="str">
        <f t="shared" si="239"/>
        <v/>
      </c>
    </row>
    <row r="837" spans="1:26" ht="12" hidden="1" thickBot="1" x14ac:dyDescent="0.25">
      <c r="A837" s="652" t="s">
        <v>187</v>
      </c>
      <c r="B837" s="572" t="s">
        <v>187</v>
      </c>
      <c r="C837" s="573" t="s">
        <v>187</v>
      </c>
      <c r="D837" s="580"/>
      <c r="E837" s="575"/>
      <c r="F837" s="436"/>
      <c r="G837" s="431"/>
      <c r="H837" s="430"/>
      <c r="I837" s="432"/>
      <c r="J837" s="433"/>
      <c r="K837" s="437">
        <f t="shared" si="246"/>
        <v>0</v>
      </c>
      <c r="L837" s="435" t="s">
        <v>614</v>
      </c>
      <c r="M837" s="576"/>
      <c r="N837" s="576">
        <f t="shared" si="243"/>
        <v>0</v>
      </c>
      <c r="O837" s="577">
        <f t="shared" si="250"/>
        <v>0</v>
      </c>
      <c r="P837" s="578">
        <f t="shared" si="251"/>
        <v>0</v>
      </c>
      <c r="Q837" s="765"/>
      <c r="R837" s="576">
        <f t="shared" si="247"/>
        <v>0</v>
      </c>
      <c r="S837" s="576">
        <f t="shared" si="247"/>
        <v>0</v>
      </c>
      <c r="T837" s="577">
        <f t="shared" si="248"/>
        <v>0</v>
      </c>
      <c r="U837" s="578">
        <f t="shared" si="249"/>
        <v>0</v>
      </c>
      <c r="V837" s="579"/>
      <c r="W837" s="566"/>
      <c r="X837" s="586" t="str">
        <f t="shared" si="252"/>
        <v/>
      </c>
      <c r="Y837" s="586" t="str">
        <f t="shared" si="189"/>
        <v/>
      </c>
      <c r="Z837" s="586" t="str">
        <f t="shared" si="239"/>
        <v/>
      </c>
    </row>
    <row r="838" spans="1:26" ht="12" hidden="1" thickBot="1" x14ac:dyDescent="0.25">
      <c r="A838" s="652" t="s">
        <v>187</v>
      </c>
      <c r="B838" s="572" t="s">
        <v>187</v>
      </c>
      <c r="C838" s="573" t="s">
        <v>187</v>
      </c>
      <c r="D838" s="580"/>
      <c r="E838" s="575"/>
      <c r="F838" s="436"/>
      <c r="G838" s="431"/>
      <c r="H838" s="430"/>
      <c r="I838" s="432"/>
      <c r="J838" s="433"/>
      <c r="K838" s="437">
        <f t="shared" si="246"/>
        <v>0</v>
      </c>
      <c r="L838" s="435" t="s">
        <v>614</v>
      </c>
      <c r="M838" s="576"/>
      <c r="N838" s="576">
        <f t="shared" si="243"/>
        <v>0</v>
      </c>
      <c r="O838" s="577">
        <f t="shared" si="250"/>
        <v>0</v>
      </c>
      <c r="P838" s="578">
        <f t="shared" si="251"/>
        <v>0</v>
      </c>
      <c r="Q838" s="765"/>
      <c r="R838" s="576">
        <f t="shared" si="247"/>
        <v>0</v>
      </c>
      <c r="S838" s="576">
        <f t="shared" si="247"/>
        <v>0</v>
      </c>
      <c r="T838" s="577">
        <f t="shared" si="248"/>
        <v>0</v>
      </c>
      <c r="U838" s="578">
        <f t="shared" si="249"/>
        <v>0</v>
      </c>
      <c r="V838" s="579"/>
      <c r="W838" s="566"/>
      <c r="X838" s="586" t="str">
        <f t="shared" si="252"/>
        <v/>
      </c>
      <c r="Y838" s="586" t="str">
        <f t="shared" si="189"/>
        <v/>
      </c>
      <c r="Z838" s="586" t="str">
        <f t="shared" si="239"/>
        <v/>
      </c>
    </row>
    <row r="839" spans="1:26" ht="12" hidden="1" thickBot="1" x14ac:dyDescent="0.25">
      <c r="A839" s="652" t="s">
        <v>187</v>
      </c>
      <c r="B839" s="581" t="s">
        <v>187</v>
      </c>
      <c r="C839" s="582" t="s">
        <v>187</v>
      </c>
      <c r="D839" s="583"/>
      <c r="E839" s="584"/>
      <c r="F839" s="438"/>
      <c r="G839" s="439"/>
      <c r="H839" s="440"/>
      <c r="I839" s="441"/>
      <c r="J839" s="442"/>
      <c r="K839" s="443">
        <f t="shared" si="246"/>
        <v>0</v>
      </c>
      <c r="L839" s="444" t="s">
        <v>614</v>
      </c>
      <c r="M839" s="576"/>
      <c r="N839" s="576">
        <f t="shared" si="243"/>
        <v>0</v>
      </c>
      <c r="O839" s="585">
        <f t="shared" si="250"/>
        <v>0</v>
      </c>
      <c r="P839" s="660">
        <f t="shared" si="251"/>
        <v>0</v>
      </c>
      <c r="Q839" s="765"/>
      <c r="R839" s="576">
        <f t="shared" si="247"/>
        <v>0</v>
      </c>
      <c r="S839" s="576">
        <f t="shared" si="247"/>
        <v>0</v>
      </c>
      <c r="T839" s="585">
        <f t="shared" si="248"/>
        <v>0</v>
      </c>
      <c r="U839" s="660">
        <f t="shared" si="249"/>
        <v>0</v>
      </c>
      <c r="V839" s="579"/>
      <c r="W839" s="566"/>
      <c r="X839" s="586" t="str">
        <f t="shared" si="252"/>
        <v/>
      </c>
      <c r="Y839" s="586" t="str">
        <f t="shared" si="189"/>
        <v/>
      </c>
      <c r="Z839" s="586" t="str">
        <f t="shared" si="239"/>
        <v/>
      </c>
    </row>
    <row r="840" spans="1:26" ht="12" hidden="1" thickBot="1" x14ac:dyDescent="0.25">
      <c r="A840" s="567" t="s">
        <v>321</v>
      </c>
      <c r="B840" s="664" t="s">
        <v>321</v>
      </c>
      <c r="C840" s="665"/>
      <c r="D840" s="666" t="s">
        <v>470</v>
      </c>
      <c r="E840" s="631"/>
      <c r="F840" s="632"/>
      <c r="G840" s="633"/>
      <c r="H840" s="409"/>
      <c r="I840" s="409"/>
      <c r="J840" s="409"/>
      <c r="K840" s="409"/>
      <c r="L840" s="409" t="s">
        <v>614</v>
      </c>
      <c r="M840" s="634"/>
      <c r="N840" s="797"/>
      <c r="O840" s="409">
        <f t="shared" si="250"/>
        <v>0</v>
      </c>
      <c r="P840" s="635">
        <f t="shared" si="251"/>
        <v>0</v>
      </c>
      <c r="Q840" s="635">
        <f>SUM(P841:P1689)</f>
        <v>0</v>
      </c>
      <c r="R840" s="634"/>
      <c r="S840" s="409"/>
      <c r="T840" s="409">
        <f t="shared" si="248"/>
        <v>0</v>
      </c>
      <c r="U840" s="635">
        <f t="shared" si="249"/>
        <v>0</v>
      </c>
      <c r="V840" s="636">
        <f>SUM(U841:U1689)</f>
        <v>0</v>
      </c>
      <c r="W840" s="637" t="str">
        <f>IF(OR(Q840&gt;0,V840&gt;0),"X","")</f>
        <v/>
      </c>
      <c r="X840" s="586" t="str">
        <f t="shared" si="252"/>
        <v/>
      </c>
      <c r="Y840" s="586" t="str">
        <f t="shared" si="189"/>
        <v/>
      </c>
      <c r="Z840" s="586" t="str">
        <f t="shared" si="239"/>
        <v/>
      </c>
    </row>
    <row r="841" spans="1:26" ht="12" hidden="1" thickBot="1" x14ac:dyDescent="0.25">
      <c r="A841" s="567">
        <v>702</v>
      </c>
      <c r="B841" s="644">
        <v>702</v>
      </c>
      <c r="C841" s="645" t="s">
        <v>458</v>
      </c>
      <c r="D841" s="422" t="s">
        <v>510</v>
      </c>
      <c r="E841" s="423"/>
      <c r="F841" s="424">
        <v>0</v>
      </c>
      <c r="G841" s="425"/>
      <c r="H841" s="651">
        <v>0</v>
      </c>
      <c r="I841" s="420">
        <v>456.36</v>
      </c>
      <c r="J841" s="420">
        <f t="shared" ref="J841:J846" si="253">IF(ISBLANK(I841),"",SUM(H841:I841))</f>
        <v>456.36</v>
      </c>
      <c r="K841" s="421">
        <f t="shared" ref="K841:K904" si="254">IF(ISBLANK(I841),0,ROUND(J841*(1+$F$10)*(1+$F$11*E841),2))</f>
        <v>542.20000000000005</v>
      </c>
      <c r="L841" s="647" t="s">
        <v>177</v>
      </c>
      <c r="M841" s="576"/>
      <c r="N841" s="576">
        <f t="shared" si="243"/>
        <v>0</v>
      </c>
      <c r="O841" s="577">
        <f t="shared" si="250"/>
        <v>0</v>
      </c>
      <c r="P841" s="578">
        <f t="shared" si="251"/>
        <v>0</v>
      </c>
      <c r="Q841" s="765"/>
      <c r="R841" s="576">
        <f t="shared" si="247"/>
        <v>0</v>
      </c>
      <c r="S841" s="576">
        <f t="shared" si="247"/>
        <v>0</v>
      </c>
      <c r="T841" s="577">
        <f t="shared" si="248"/>
        <v>0</v>
      </c>
      <c r="U841" s="578">
        <f t="shared" si="249"/>
        <v>0</v>
      </c>
      <c r="V841" s="579"/>
      <c r="W841" s="566"/>
      <c r="X841" s="586" t="str">
        <f t="shared" si="252"/>
        <v/>
      </c>
      <c r="Y841" s="586" t="str">
        <f t="shared" si="189"/>
        <v/>
      </c>
      <c r="Z841" s="586" t="str">
        <f t="shared" si="239"/>
        <v/>
      </c>
    </row>
    <row r="842" spans="1:26" ht="12" hidden="1" thickBot="1" x14ac:dyDescent="0.25">
      <c r="A842" s="567">
        <v>703</v>
      </c>
      <c r="B842" s="644">
        <v>703</v>
      </c>
      <c r="C842" s="645" t="s">
        <v>458</v>
      </c>
      <c r="D842" s="422" t="s">
        <v>511</v>
      </c>
      <c r="E842" s="423"/>
      <c r="F842" s="424">
        <v>0</v>
      </c>
      <c r="G842" s="425"/>
      <c r="H842" s="651">
        <v>0</v>
      </c>
      <c r="I842" s="420">
        <v>57.9</v>
      </c>
      <c r="J842" s="420">
        <f t="shared" si="253"/>
        <v>57.9</v>
      </c>
      <c r="K842" s="421">
        <f t="shared" si="254"/>
        <v>68.790000000000006</v>
      </c>
      <c r="L842" s="647" t="s">
        <v>21</v>
      </c>
      <c r="M842" s="576"/>
      <c r="N842" s="576">
        <f t="shared" si="243"/>
        <v>0</v>
      </c>
      <c r="O842" s="577">
        <f t="shared" si="250"/>
        <v>0</v>
      </c>
      <c r="P842" s="578">
        <f t="shared" si="251"/>
        <v>0</v>
      </c>
      <c r="Q842" s="765"/>
      <c r="R842" s="576">
        <f t="shared" si="247"/>
        <v>0</v>
      </c>
      <c r="S842" s="576">
        <f t="shared" si="247"/>
        <v>0</v>
      </c>
      <c r="T842" s="577">
        <f t="shared" si="248"/>
        <v>0</v>
      </c>
      <c r="U842" s="578">
        <f t="shared" si="249"/>
        <v>0</v>
      </c>
      <c r="V842" s="579"/>
      <c r="W842" s="566"/>
      <c r="X842" s="586" t="str">
        <f t="shared" si="252"/>
        <v/>
      </c>
      <c r="Y842" s="586" t="str">
        <f t="shared" si="189"/>
        <v/>
      </c>
      <c r="Z842" s="586" t="str">
        <f t="shared" si="239"/>
        <v/>
      </c>
    </row>
    <row r="843" spans="1:26" ht="12" hidden="1" thickBot="1" x14ac:dyDescent="0.25">
      <c r="A843" s="567">
        <v>704</v>
      </c>
      <c r="B843" s="644">
        <v>704</v>
      </c>
      <c r="C843" s="645" t="s">
        <v>458</v>
      </c>
      <c r="D843" s="422" t="s">
        <v>512</v>
      </c>
      <c r="E843" s="423"/>
      <c r="F843" s="424">
        <v>0</v>
      </c>
      <c r="G843" s="425"/>
      <c r="H843" s="651">
        <v>0</v>
      </c>
      <c r="I843" s="420">
        <v>44.54</v>
      </c>
      <c r="J843" s="420">
        <f t="shared" si="253"/>
        <v>44.54</v>
      </c>
      <c r="K843" s="421">
        <f t="shared" si="254"/>
        <v>52.92</v>
      </c>
      <c r="L843" s="647" t="s">
        <v>21</v>
      </c>
      <c r="M843" s="576"/>
      <c r="N843" s="576">
        <f t="shared" si="243"/>
        <v>0</v>
      </c>
      <c r="O843" s="577">
        <f t="shared" si="250"/>
        <v>0</v>
      </c>
      <c r="P843" s="578">
        <f t="shared" si="251"/>
        <v>0</v>
      </c>
      <c r="Q843" s="765"/>
      <c r="R843" s="576">
        <f t="shared" si="247"/>
        <v>0</v>
      </c>
      <c r="S843" s="576">
        <f t="shared" si="247"/>
        <v>0</v>
      </c>
      <c r="T843" s="577">
        <f t="shared" si="248"/>
        <v>0</v>
      </c>
      <c r="U843" s="578">
        <f t="shared" si="249"/>
        <v>0</v>
      </c>
      <c r="V843" s="579"/>
      <c r="W843" s="566"/>
      <c r="X843" s="586" t="str">
        <f t="shared" si="252"/>
        <v/>
      </c>
      <c r="Y843" s="586" t="str">
        <f t="shared" si="189"/>
        <v/>
      </c>
      <c r="Z843" s="586" t="str">
        <f t="shared" si="239"/>
        <v/>
      </c>
    </row>
    <row r="844" spans="1:26" ht="12" hidden="1" thickBot="1" x14ac:dyDescent="0.25">
      <c r="A844" s="567">
        <v>740</v>
      </c>
      <c r="B844" s="644">
        <v>740</v>
      </c>
      <c r="C844" s="645" t="s">
        <v>458</v>
      </c>
      <c r="D844" s="422" t="s">
        <v>1923</v>
      </c>
      <c r="E844" s="423"/>
      <c r="F844" s="424">
        <v>0</v>
      </c>
      <c r="G844" s="425"/>
      <c r="H844" s="651">
        <v>0</v>
      </c>
      <c r="I844" s="420">
        <v>54.82</v>
      </c>
      <c r="J844" s="420">
        <f t="shared" si="253"/>
        <v>54.82</v>
      </c>
      <c r="K844" s="421">
        <f t="shared" si="254"/>
        <v>65.13</v>
      </c>
      <c r="L844" s="647" t="s">
        <v>21</v>
      </c>
      <c r="M844" s="576"/>
      <c r="N844" s="576">
        <f t="shared" si="243"/>
        <v>0</v>
      </c>
      <c r="O844" s="577">
        <f t="shared" si="250"/>
        <v>0</v>
      </c>
      <c r="P844" s="578">
        <f t="shared" si="251"/>
        <v>0</v>
      </c>
      <c r="Q844" s="765"/>
      <c r="R844" s="576">
        <f t="shared" si="247"/>
        <v>0</v>
      </c>
      <c r="S844" s="576">
        <f t="shared" si="247"/>
        <v>0</v>
      </c>
      <c r="T844" s="577">
        <f t="shared" si="248"/>
        <v>0</v>
      </c>
      <c r="U844" s="578">
        <f t="shared" si="249"/>
        <v>0</v>
      </c>
      <c r="V844" s="579"/>
      <c r="W844" s="566"/>
      <c r="X844" s="586" t="str">
        <f t="shared" si="252"/>
        <v/>
      </c>
      <c r="Y844" s="586" t="str">
        <f t="shared" si="189"/>
        <v/>
      </c>
      <c r="Z844" s="586" t="str">
        <f t="shared" si="239"/>
        <v/>
      </c>
    </row>
    <row r="845" spans="1:26" ht="12" hidden="1" thickBot="1" x14ac:dyDescent="0.25">
      <c r="A845" s="567">
        <v>741</v>
      </c>
      <c r="B845" s="644">
        <v>741</v>
      </c>
      <c r="C845" s="645" t="s">
        <v>458</v>
      </c>
      <c r="D845" s="422" t="s">
        <v>1924</v>
      </c>
      <c r="E845" s="423"/>
      <c r="F845" s="424"/>
      <c r="G845" s="425"/>
      <c r="H845" s="651"/>
      <c r="I845" s="420">
        <v>149.38</v>
      </c>
      <c r="J845" s="420">
        <f t="shared" si="253"/>
        <v>149.38</v>
      </c>
      <c r="K845" s="421">
        <f t="shared" si="254"/>
        <v>177.48</v>
      </c>
      <c r="L845" s="647" t="s">
        <v>21</v>
      </c>
      <c r="M845" s="576"/>
      <c r="N845" s="576">
        <f t="shared" si="243"/>
        <v>0</v>
      </c>
      <c r="O845" s="577">
        <f t="shared" si="250"/>
        <v>0</v>
      </c>
      <c r="P845" s="578">
        <f t="shared" si="251"/>
        <v>0</v>
      </c>
      <c r="Q845" s="765"/>
      <c r="R845" s="576">
        <f t="shared" si="247"/>
        <v>0</v>
      </c>
      <c r="S845" s="576">
        <f t="shared" si="247"/>
        <v>0</v>
      </c>
      <c r="T845" s="577">
        <f t="shared" si="248"/>
        <v>0</v>
      </c>
      <c r="U845" s="578">
        <f t="shared" si="249"/>
        <v>0</v>
      </c>
      <c r="V845" s="579"/>
      <c r="W845" s="566"/>
      <c r="X845" s="586" t="str">
        <f t="shared" si="252"/>
        <v/>
      </c>
      <c r="Y845" s="586" t="str">
        <f t="shared" si="189"/>
        <v/>
      </c>
      <c r="Z845" s="586" t="str">
        <f t="shared" si="239"/>
        <v/>
      </c>
    </row>
    <row r="846" spans="1:26" ht="12" hidden="1" thickBot="1" x14ac:dyDescent="0.25">
      <c r="A846" s="567">
        <v>742</v>
      </c>
      <c r="B846" s="644">
        <v>742</v>
      </c>
      <c r="C846" s="645" t="s">
        <v>458</v>
      </c>
      <c r="D846" s="422" t="s">
        <v>1925</v>
      </c>
      <c r="E846" s="423"/>
      <c r="F846" s="424"/>
      <c r="G846" s="425"/>
      <c r="H846" s="651"/>
      <c r="I846" s="420">
        <v>45.23</v>
      </c>
      <c r="J846" s="420">
        <f t="shared" si="253"/>
        <v>45.23</v>
      </c>
      <c r="K846" s="421">
        <f t="shared" si="254"/>
        <v>53.74</v>
      </c>
      <c r="L846" s="647" t="s">
        <v>21</v>
      </c>
      <c r="M846" s="576"/>
      <c r="N846" s="576">
        <f t="shared" si="243"/>
        <v>0</v>
      </c>
      <c r="O846" s="577">
        <f t="shared" si="250"/>
        <v>0</v>
      </c>
      <c r="P846" s="578">
        <f t="shared" si="251"/>
        <v>0</v>
      </c>
      <c r="Q846" s="765"/>
      <c r="R846" s="576">
        <f t="shared" si="247"/>
        <v>0</v>
      </c>
      <c r="S846" s="576">
        <f t="shared" si="247"/>
        <v>0</v>
      </c>
      <c r="T846" s="577">
        <f t="shared" si="248"/>
        <v>0</v>
      </c>
      <c r="U846" s="578">
        <f t="shared" si="249"/>
        <v>0</v>
      </c>
      <c r="V846" s="579"/>
      <c r="W846" s="566"/>
      <c r="X846" s="586" t="str">
        <f t="shared" si="252"/>
        <v/>
      </c>
      <c r="Y846" s="586" t="str">
        <f t="shared" si="189"/>
        <v/>
      </c>
      <c r="Z846" s="586" t="str">
        <f t="shared" si="239"/>
        <v/>
      </c>
    </row>
    <row r="847" spans="1:26" ht="12" hidden="1" thickBot="1" x14ac:dyDescent="0.25">
      <c r="A847" s="567" t="s">
        <v>513</v>
      </c>
      <c r="B847" s="644" t="s">
        <v>513</v>
      </c>
      <c r="C847" s="645" t="s">
        <v>458</v>
      </c>
      <c r="D847" s="422" t="s">
        <v>1926</v>
      </c>
      <c r="E847" s="423"/>
      <c r="F847" s="424"/>
      <c r="G847" s="425"/>
      <c r="H847" s="651"/>
      <c r="I847" s="420">
        <v>18.16</v>
      </c>
      <c r="J847" s="420">
        <f t="shared" ref="J847:J861" si="255">IF(ISBLANK(I847),"",SUM(H847:I847))</f>
        <v>18.16</v>
      </c>
      <c r="K847" s="421">
        <f t="shared" si="254"/>
        <v>21.58</v>
      </c>
      <c r="L847" s="647" t="s">
        <v>21</v>
      </c>
      <c r="M847" s="576"/>
      <c r="N847" s="576">
        <f t="shared" si="243"/>
        <v>0</v>
      </c>
      <c r="O847" s="577">
        <f t="shared" si="250"/>
        <v>0</v>
      </c>
      <c r="P847" s="578">
        <f t="shared" si="251"/>
        <v>0</v>
      </c>
      <c r="Q847" s="765"/>
      <c r="R847" s="576">
        <f t="shared" si="247"/>
        <v>0</v>
      </c>
      <c r="S847" s="576">
        <f t="shared" si="247"/>
        <v>0</v>
      </c>
      <c r="T847" s="577">
        <f t="shared" si="248"/>
        <v>0</v>
      </c>
      <c r="U847" s="578">
        <f t="shared" si="249"/>
        <v>0</v>
      </c>
      <c r="V847" s="579"/>
      <c r="W847" s="566"/>
      <c r="X847" s="586" t="str">
        <f t="shared" si="252"/>
        <v/>
      </c>
      <c r="Y847" s="586" t="str">
        <f t="shared" si="189"/>
        <v/>
      </c>
      <c r="Z847" s="586" t="str">
        <f t="shared" si="239"/>
        <v/>
      </c>
    </row>
    <row r="848" spans="1:26" ht="12" hidden="1" thickBot="1" x14ac:dyDescent="0.25">
      <c r="A848" s="567">
        <v>743</v>
      </c>
      <c r="B848" s="644">
        <v>743</v>
      </c>
      <c r="C848" s="645" t="s">
        <v>458</v>
      </c>
      <c r="D848" s="422" t="s">
        <v>1927</v>
      </c>
      <c r="E848" s="423"/>
      <c r="F848" s="424"/>
      <c r="G848" s="425"/>
      <c r="H848" s="651"/>
      <c r="I848" s="420">
        <v>222.01</v>
      </c>
      <c r="J848" s="420">
        <f t="shared" si="255"/>
        <v>222.01</v>
      </c>
      <c r="K848" s="421">
        <f t="shared" si="254"/>
        <v>263.77</v>
      </c>
      <c r="L848" s="647" t="s">
        <v>21</v>
      </c>
      <c r="M848" s="576"/>
      <c r="N848" s="576">
        <f t="shared" si="243"/>
        <v>0</v>
      </c>
      <c r="O848" s="577">
        <f t="shared" si="250"/>
        <v>0</v>
      </c>
      <c r="P848" s="578">
        <f t="shared" si="251"/>
        <v>0</v>
      </c>
      <c r="Q848" s="765"/>
      <c r="R848" s="576">
        <f t="shared" si="247"/>
        <v>0</v>
      </c>
      <c r="S848" s="576">
        <f t="shared" si="247"/>
        <v>0</v>
      </c>
      <c r="T848" s="577">
        <f t="shared" si="248"/>
        <v>0</v>
      </c>
      <c r="U848" s="578">
        <f t="shared" si="249"/>
        <v>0</v>
      </c>
      <c r="V848" s="579"/>
      <c r="W848" s="566"/>
      <c r="X848" s="586" t="str">
        <f t="shared" si="252"/>
        <v/>
      </c>
      <c r="Y848" s="586" t="str">
        <f t="shared" si="189"/>
        <v/>
      </c>
      <c r="Z848" s="586" t="str">
        <f t="shared" si="239"/>
        <v/>
      </c>
    </row>
    <row r="849" spans="1:26" ht="12" hidden="1" thickBot="1" x14ac:dyDescent="0.25">
      <c r="A849" s="567" t="s">
        <v>514</v>
      </c>
      <c r="B849" s="644" t="s">
        <v>514</v>
      </c>
      <c r="C849" s="645" t="s">
        <v>458</v>
      </c>
      <c r="D849" s="422" t="s">
        <v>1928</v>
      </c>
      <c r="E849" s="423"/>
      <c r="F849" s="424"/>
      <c r="G849" s="425"/>
      <c r="H849" s="651"/>
      <c r="I849" s="420">
        <v>88.74</v>
      </c>
      <c r="J849" s="420">
        <f t="shared" si="255"/>
        <v>88.74</v>
      </c>
      <c r="K849" s="421">
        <f t="shared" si="254"/>
        <v>105.43</v>
      </c>
      <c r="L849" s="647" t="s">
        <v>21</v>
      </c>
      <c r="M849" s="576"/>
      <c r="N849" s="576">
        <f t="shared" si="243"/>
        <v>0</v>
      </c>
      <c r="O849" s="577">
        <f t="shared" si="250"/>
        <v>0</v>
      </c>
      <c r="P849" s="578">
        <f t="shared" si="251"/>
        <v>0</v>
      </c>
      <c r="Q849" s="765"/>
      <c r="R849" s="576">
        <f t="shared" si="247"/>
        <v>0</v>
      </c>
      <c r="S849" s="576">
        <f t="shared" si="247"/>
        <v>0</v>
      </c>
      <c r="T849" s="577">
        <f t="shared" si="248"/>
        <v>0</v>
      </c>
      <c r="U849" s="578">
        <f t="shared" si="249"/>
        <v>0</v>
      </c>
      <c r="V849" s="579"/>
      <c r="W849" s="566"/>
      <c r="X849" s="586" t="str">
        <f t="shared" si="252"/>
        <v/>
      </c>
      <c r="Y849" s="586" t="str">
        <f t="shared" si="189"/>
        <v/>
      </c>
      <c r="Z849" s="586" t="str">
        <f t="shared" si="239"/>
        <v/>
      </c>
    </row>
    <row r="850" spans="1:26" ht="12" hidden="1" thickBot="1" x14ac:dyDescent="0.25">
      <c r="A850" s="567">
        <v>744</v>
      </c>
      <c r="B850" s="644">
        <v>744</v>
      </c>
      <c r="C850" s="645" t="s">
        <v>458</v>
      </c>
      <c r="D850" s="422" t="s">
        <v>1929</v>
      </c>
      <c r="E850" s="423"/>
      <c r="F850" s="424"/>
      <c r="G850" s="425"/>
      <c r="H850" s="651"/>
      <c r="I850" s="420">
        <v>421.76</v>
      </c>
      <c r="J850" s="420">
        <f t="shared" si="255"/>
        <v>421.76</v>
      </c>
      <c r="K850" s="421">
        <f t="shared" si="254"/>
        <v>501.09</v>
      </c>
      <c r="L850" s="647" t="s">
        <v>21</v>
      </c>
      <c r="M850" s="576"/>
      <c r="N850" s="576">
        <f t="shared" si="243"/>
        <v>0</v>
      </c>
      <c r="O850" s="577">
        <f t="shared" si="250"/>
        <v>0</v>
      </c>
      <c r="P850" s="578">
        <f t="shared" si="251"/>
        <v>0</v>
      </c>
      <c r="Q850" s="765"/>
      <c r="R850" s="576">
        <f t="shared" si="247"/>
        <v>0</v>
      </c>
      <c r="S850" s="576">
        <f t="shared" si="247"/>
        <v>0</v>
      </c>
      <c r="T850" s="577">
        <f t="shared" si="248"/>
        <v>0</v>
      </c>
      <c r="U850" s="578">
        <f t="shared" si="249"/>
        <v>0</v>
      </c>
      <c r="V850" s="579"/>
      <c r="W850" s="566"/>
      <c r="X850" s="586" t="str">
        <f t="shared" si="252"/>
        <v/>
      </c>
      <c r="Y850" s="586" t="str">
        <f t="shared" si="189"/>
        <v/>
      </c>
      <c r="Z850" s="586" t="str">
        <f t="shared" si="239"/>
        <v/>
      </c>
    </row>
    <row r="851" spans="1:26" ht="23.25" hidden="1" thickBot="1" x14ac:dyDescent="0.25">
      <c r="A851" s="567" t="s">
        <v>515</v>
      </c>
      <c r="B851" s="644" t="s">
        <v>515</v>
      </c>
      <c r="C851" s="645" t="s">
        <v>458</v>
      </c>
      <c r="D851" s="422" t="s">
        <v>1930</v>
      </c>
      <c r="E851" s="423"/>
      <c r="F851" s="424"/>
      <c r="G851" s="425"/>
      <c r="H851" s="651"/>
      <c r="I851" s="420">
        <v>168.57</v>
      </c>
      <c r="J851" s="420">
        <f t="shared" si="255"/>
        <v>168.57</v>
      </c>
      <c r="K851" s="421">
        <f t="shared" si="254"/>
        <v>200.28</v>
      </c>
      <c r="L851" s="647" t="s">
        <v>21</v>
      </c>
      <c r="M851" s="576"/>
      <c r="N851" s="576">
        <f t="shared" si="243"/>
        <v>0</v>
      </c>
      <c r="O851" s="577">
        <f t="shared" si="250"/>
        <v>0</v>
      </c>
      <c r="P851" s="578">
        <f t="shared" si="251"/>
        <v>0</v>
      </c>
      <c r="Q851" s="765"/>
      <c r="R851" s="576">
        <f t="shared" si="247"/>
        <v>0</v>
      </c>
      <c r="S851" s="576">
        <f t="shared" si="247"/>
        <v>0</v>
      </c>
      <c r="T851" s="577">
        <f t="shared" si="248"/>
        <v>0</v>
      </c>
      <c r="U851" s="578">
        <f t="shared" si="249"/>
        <v>0</v>
      </c>
      <c r="V851" s="579"/>
      <c r="W851" s="566"/>
      <c r="X851" s="586" t="str">
        <f t="shared" si="252"/>
        <v/>
      </c>
      <c r="Y851" s="586" t="str">
        <f t="shared" si="189"/>
        <v/>
      </c>
      <c r="Z851" s="586" t="str">
        <f t="shared" si="239"/>
        <v/>
      </c>
    </row>
    <row r="852" spans="1:26" ht="12" hidden="1" thickBot="1" x14ac:dyDescent="0.25">
      <c r="A852" s="567">
        <v>745</v>
      </c>
      <c r="B852" s="644">
        <v>745</v>
      </c>
      <c r="C852" s="645" t="s">
        <v>458</v>
      </c>
      <c r="D852" s="422" t="s">
        <v>1931</v>
      </c>
      <c r="E852" s="423"/>
      <c r="F852" s="424"/>
      <c r="G852" s="425"/>
      <c r="H852" s="651"/>
      <c r="I852" s="420">
        <v>481.03</v>
      </c>
      <c r="J852" s="420">
        <f t="shared" si="255"/>
        <v>481.03</v>
      </c>
      <c r="K852" s="421">
        <f t="shared" si="254"/>
        <v>571.51</v>
      </c>
      <c r="L852" s="647" t="s">
        <v>21</v>
      </c>
      <c r="M852" s="576"/>
      <c r="N852" s="576">
        <f t="shared" ref="N852:N915" si="256">IF(M852=0,0,K852)</f>
        <v>0</v>
      </c>
      <c r="O852" s="577">
        <f t="shared" si="250"/>
        <v>0</v>
      </c>
      <c r="P852" s="578">
        <f t="shared" si="251"/>
        <v>0</v>
      </c>
      <c r="Q852" s="765"/>
      <c r="R852" s="576">
        <f t="shared" si="247"/>
        <v>0</v>
      </c>
      <c r="S852" s="576">
        <f t="shared" si="247"/>
        <v>0</v>
      </c>
      <c r="T852" s="577">
        <f t="shared" si="248"/>
        <v>0</v>
      </c>
      <c r="U852" s="578">
        <f t="shared" si="249"/>
        <v>0</v>
      </c>
      <c r="V852" s="579"/>
      <c r="W852" s="566"/>
      <c r="X852" s="586" t="str">
        <f t="shared" si="252"/>
        <v/>
      </c>
      <c r="Y852" s="586" t="str">
        <f t="shared" si="189"/>
        <v/>
      </c>
      <c r="Z852" s="586" t="str">
        <f t="shared" si="239"/>
        <v/>
      </c>
    </row>
    <row r="853" spans="1:26" ht="12" hidden="1" thickBot="1" x14ac:dyDescent="0.25">
      <c r="A853" s="567" t="s">
        <v>516</v>
      </c>
      <c r="B853" s="644" t="s">
        <v>516</v>
      </c>
      <c r="C853" s="645" t="s">
        <v>458</v>
      </c>
      <c r="D853" s="422" t="s">
        <v>1932</v>
      </c>
      <c r="E853" s="423"/>
      <c r="F853" s="424"/>
      <c r="G853" s="425"/>
      <c r="H853" s="651"/>
      <c r="I853" s="420">
        <v>192.55</v>
      </c>
      <c r="J853" s="420">
        <f t="shared" si="255"/>
        <v>192.55</v>
      </c>
      <c r="K853" s="421">
        <f t="shared" si="254"/>
        <v>228.77</v>
      </c>
      <c r="L853" s="647" t="s">
        <v>21</v>
      </c>
      <c r="M853" s="576"/>
      <c r="N853" s="576">
        <f t="shared" si="256"/>
        <v>0</v>
      </c>
      <c r="O853" s="577">
        <f t="shared" si="250"/>
        <v>0</v>
      </c>
      <c r="P853" s="578">
        <f t="shared" si="251"/>
        <v>0</v>
      </c>
      <c r="Q853" s="765"/>
      <c r="R853" s="576">
        <f t="shared" si="247"/>
        <v>0</v>
      </c>
      <c r="S853" s="576">
        <f t="shared" si="247"/>
        <v>0</v>
      </c>
      <c r="T853" s="577">
        <f t="shared" si="248"/>
        <v>0</v>
      </c>
      <c r="U853" s="578">
        <f t="shared" si="249"/>
        <v>0</v>
      </c>
      <c r="V853" s="579"/>
      <c r="W853" s="566"/>
      <c r="X853" s="586" t="str">
        <f t="shared" si="252"/>
        <v/>
      </c>
      <c r="Y853" s="586" t="str">
        <f t="shared" si="189"/>
        <v/>
      </c>
      <c r="Z853" s="586" t="str">
        <f t="shared" si="239"/>
        <v/>
      </c>
    </row>
    <row r="854" spans="1:26" ht="12" hidden="1" thickBot="1" x14ac:dyDescent="0.25">
      <c r="A854" s="567">
        <v>746</v>
      </c>
      <c r="B854" s="644">
        <v>746</v>
      </c>
      <c r="C854" s="645" t="s">
        <v>458</v>
      </c>
      <c r="D854" s="422" t="s">
        <v>1933</v>
      </c>
      <c r="E854" s="423"/>
      <c r="F854" s="424"/>
      <c r="G854" s="425"/>
      <c r="H854" s="651"/>
      <c r="I854" s="420">
        <v>577.30999999999995</v>
      </c>
      <c r="J854" s="420">
        <f t="shared" si="255"/>
        <v>577.30999999999995</v>
      </c>
      <c r="K854" s="421">
        <f t="shared" si="254"/>
        <v>685.9</v>
      </c>
      <c r="L854" s="647" t="s">
        <v>21</v>
      </c>
      <c r="M854" s="576"/>
      <c r="N854" s="576">
        <f t="shared" si="256"/>
        <v>0</v>
      </c>
      <c r="O854" s="577">
        <f t="shared" si="250"/>
        <v>0</v>
      </c>
      <c r="P854" s="578">
        <f t="shared" si="251"/>
        <v>0</v>
      </c>
      <c r="Q854" s="765"/>
      <c r="R854" s="576">
        <f t="shared" si="247"/>
        <v>0</v>
      </c>
      <c r="S854" s="576">
        <f t="shared" si="247"/>
        <v>0</v>
      </c>
      <c r="T854" s="577">
        <f t="shared" si="248"/>
        <v>0</v>
      </c>
      <c r="U854" s="578">
        <f t="shared" si="249"/>
        <v>0</v>
      </c>
      <c r="V854" s="579"/>
      <c r="W854" s="566"/>
      <c r="X854" s="586" t="str">
        <f t="shared" si="252"/>
        <v/>
      </c>
      <c r="Y854" s="586" t="str">
        <f t="shared" si="189"/>
        <v/>
      </c>
      <c r="Z854" s="586" t="str">
        <f t="shared" si="239"/>
        <v/>
      </c>
    </row>
    <row r="855" spans="1:26" ht="12" hidden="1" thickBot="1" x14ac:dyDescent="0.25">
      <c r="A855" s="567" t="s">
        <v>517</v>
      </c>
      <c r="B855" s="644" t="s">
        <v>517</v>
      </c>
      <c r="C855" s="645" t="s">
        <v>458</v>
      </c>
      <c r="D855" s="422" t="s">
        <v>1934</v>
      </c>
      <c r="E855" s="423"/>
      <c r="F855" s="424"/>
      <c r="G855" s="425"/>
      <c r="H855" s="651"/>
      <c r="I855" s="420">
        <v>230.92</v>
      </c>
      <c r="J855" s="420">
        <f t="shared" si="255"/>
        <v>230.92</v>
      </c>
      <c r="K855" s="421">
        <f t="shared" si="254"/>
        <v>274.36</v>
      </c>
      <c r="L855" s="647" t="s">
        <v>21</v>
      </c>
      <c r="M855" s="576"/>
      <c r="N855" s="576">
        <f t="shared" si="256"/>
        <v>0</v>
      </c>
      <c r="O855" s="577">
        <f t="shared" si="250"/>
        <v>0</v>
      </c>
      <c r="P855" s="578">
        <f t="shared" si="251"/>
        <v>0</v>
      </c>
      <c r="Q855" s="765"/>
      <c r="R855" s="576">
        <f t="shared" si="247"/>
        <v>0</v>
      </c>
      <c r="S855" s="576">
        <f t="shared" si="247"/>
        <v>0</v>
      </c>
      <c r="T855" s="577">
        <f t="shared" si="248"/>
        <v>0</v>
      </c>
      <c r="U855" s="578">
        <f t="shared" si="249"/>
        <v>0</v>
      </c>
      <c r="V855" s="579"/>
      <c r="W855" s="566"/>
      <c r="X855" s="586" t="str">
        <f t="shared" si="252"/>
        <v/>
      </c>
      <c r="Y855" s="586" t="str">
        <f t="shared" si="189"/>
        <v/>
      </c>
      <c r="Z855" s="586" t="str">
        <f t="shared" si="239"/>
        <v/>
      </c>
    </row>
    <row r="856" spans="1:26" ht="12" hidden="1" thickBot="1" x14ac:dyDescent="0.25">
      <c r="A856" s="567">
        <v>747</v>
      </c>
      <c r="B856" s="644">
        <v>747</v>
      </c>
      <c r="C856" s="645" t="s">
        <v>458</v>
      </c>
      <c r="D856" s="422" t="s">
        <v>1935</v>
      </c>
      <c r="E856" s="423"/>
      <c r="F856" s="424"/>
      <c r="G856" s="425"/>
      <c r="H856" s="651"/>
      <c r="I856" s="420">
        <v>867.84</v>
      </c>
      <c r="J856" s="420">
        <f t="shared" si="255"/>
        <v>867.84</v>
      </c>
      <c r="K856" s="421">
        <f t="shared" si="254"/>
        <v>1031.08</v>
      </c>
      <c r="L856" s="647" t="s">
        <v>21</v>
      </c>
      <c r="M856" s="576"/>
      <c r="N856" s="576">
        <f t="shared" si="256"/>
        <v>0</v>
      </c>
      <c r="O856" s="577">
        <f t="shared" si="250"/>
        <v>0</v>
      </c>
      <c r="P856" s="578">
        <f t="shared" si="251"/>
        <v>0</v>
      </c>
      <c r="Q856" s="765"/>
      <c r="R856" s="576">
        <f t="shared" si="247"/>
        <v>0</v>
      </c>
      <c r="S856" s="576">
        <f t="shared" si="247"/>
        <v>0</v>
      </c>
      <c r="T856" s="577">
        <f t="shared" si="248"/>
        <v>0</v>
      </c>
      <c r="U856" s="578">
        <f t="shared" si="249"/>
        <v>0</v>
      </c>
      <c r="V856" s="579"/>
      <c r="W856" s="566"/>
      <c r="X856" s="586" t="str">
        <f t="shared" si="252"/>
        <v/>
      </c>
      <c r="Y856" s="586" t="str">
        <f t="shared" si="189"/>
        <v/>
      </c>
      <c r="Z856" s="586" t="str">
        <f t="shared" si="239"/>
        <v/>
      </c>
    </row>
    <row r="857" spans="1:26" ht="12" hidden="1" thickBot="1" x14ac:dyDescent="0.25">
      <c r="A857" s="567" t="s">
        <v>518</v>
      </c>
      <c r="B857" s="644" t="s">
        <v>518</v>
      </c>
      <c r="C857" s="645" t="s">
        <v>458</v>
      </c>
      <c r="D857" s="422" t="s">
        <v>1936</v>
      </c>
      <c r="E857" s="423"/>
      <c r="F857" s="424"/>
      <c r="G857" s="425"/>
      <c r="H857" s="651"/>
      <c r="I857" s="420">
        <v>347.07</v>
      </c>
      <c r="J857" s="420">
        <f t="shared" si="255"/>
        <v>347.07</v>
      </c>
      <c r="K857" s="421">
        <f t="shared" si="254"/>
        <v>412.35</v>
      </c>
      <c r="L857" s="647" t="s">
        <v>21</v>
      </c>
      <c r="M857" s="576"/>
      <c r="N857" s="576">
        <f t="shared" si="256"/>
        <v>0</v>
      </c>
      <c r="O857" s="577">
        <f t="shared" si="250"/>
        <v>0</v>
      </c>
      <c r="P857" s="578">
        <f t="shared" si="251"/>
        <v>0</v>
      </c>
      <c r="Q857" s="765"/>
      <c r="R857" s="576">
        <f t="shared" si="247"/>
        <v>0</v>
      </c>
      <c r="S857" s="576">
        <f t="shared" si="247"/>
        <v>0</v>
      </c>
      <c r="T857" s="577">
        <f t="shared" si="248"/>
        <v>0</v>
      </c>
      <c r="U857" s="578">
        <f t="shared" si="249"/>
        <v>0</v>
      </c>
      <c r="V857" s="579"/>
      <c r="W857" s="566"/>
      <c r="X857" s="586" t="str">
        <f t="shared" si="252"/>
        <v/>
      </c>
      <c r="Y857" s="586" t="str">
        <f t="shared" si="189"/>
        <v/>
      </c>
      <c r="Z857" s="586" t="str">
        <f t="shared" si="239"/>
        <v/>
      </c>
    </row>
    <row r="858" spans="1:26" ht="12" hidden="1" thickBot="1" x14ac:dyDescent="0.25">
      <c r="A858" s="567">
        <v>748</v>
      </c>
      <c r="B858" s="644">
        <v>748</v>
      </c>
      <c r="C858" s="645" t="s">
        <v>458</v>
      </c>
      <c r="D858" s="422" t="s">
        <v>1937</v>
      </c>
      <c r="E858" s="423"/>
      <c r="F858" s="424"/>
      <c r="G858" s="425"/>
      <c r="H858" s="651"/>
      <c r="I858" s="420">
        <v>69.89</v>
      </c>
      <c r="J858" s="420">
        <f t="shared" si="255"/>
        <v>69.89</v>
      </c>
      <c r="K858" s="421">
        <f t="shared" si="254"/>
        <v>83.04</v>
      </c>
      <c r="L858" s="647" t="s">
        <v>21</v>
      </c>
      <c r="M858" s="576"/>
      <c r="N858" s="576">
        <f t="shared" si="256"/>
        <v>0</v>
      </c>
      <c r="O858" s="577">
        <f t="shared" si="250"/>
        <v>0</v>
      </c>
      <c r="P858" s="578">
        <f t="shared" si="251"/>
        <v>0</v>
      </c>
      <c r="Q858" s="765"/>
      <c r="R858" s="576">
        <f t="shared" si="247"/>
        <v>0</v>
      </c>
      <c r="S858" s="576">
        <f t="shared" si="247"/>
        <v>0</v>
      </c>
      <c r="T858" s="577">
        <f t="shared" si="248"/>
        <v>0</v>
      </c>
      <c r="U858" s="578">
        <f t="shared" si="249"/>
        <v>0</v>
      </c>
      <c r="V858" s="579"/>
      <c r="W858" s="566"/>
      <c r="X858" s="586" t="str">
        <f t="shared" si="252"/>
        <v/>
      </c>
      <c r="Y858" s="586" t="str">
        <f t="shared" si="189"/>
        <v/>
      </c>
      <c r="Z858" s="586" t="str">
        <f t="shared" si="239"/>
        <v/>
      </c>
    </row>
    <row r="859" spans="1:26" ht="12" hidden="1" thickBot="1" x14ac:dyDescent="0.25">
      <c r="A859" s="567" t="s">
        <v>519</v>
      </c>
      <c r="B859" s="644" t="s">
        <v>519</v>
      </c>
      <c r="C859" s="645" t="s">
        <v>458</v>
      </c>
      <c r="D859" s="422" t="s">
        <v>1938</v>
      </c>
      <c r="E859" s="423"/>
      <c r="F859" s="424"/>
      <c r="G859" s="425"/>
      <c r="H859" s="651"/>
      <c r="I859" s="420">
        <v>28.09</v>
      </c>
      <c r="J859" s="420">
        <f t="shared" si="255"/>
        <v>28.09</v>
      </c>
      <c r="K859" s="421">
        <f t="shared" si="254"/>
        <v>33.369999999999997</v>
      </c>
      <c r="L859" s="647" t="s">
        <v>21</v>
      </c>
      <c r="M859" s="576"/>
      <c r="N859" s="576">
        <f t="shared" si="256"/>
        <v>0</v>
      </c>
      <c r="O859" s="577">
        <f t="shared" si="250"/>
        <v>0</v>
      </c>
      <c r="P859" s="578">
        <f t="shared" si="251"/>
        <v>0</v>
      </c>
      <c r="Q859" s="765"/>
      <c r="R859" s="576">
        <f t="shared" si="247"/>
        <v>0</v>
      </c>
      <c r="S859" s="576">
        <f t="shared" si="247"/>
        <v>0</v>
      </c>
      <c r="T859" s="577">
        <f t="shared" si="248"/>
        <v>0</v>
      </c>
      <c r="U859" s="578">
        <f t="shared" si="249"/>
        <v>0</v>
      </c>
      <c r="V859" s="579"/>
      <c r="W859" s="566"/>
      <c r="X859" s="586" t="str">
        <f t="shared" si="252"/>
        <v/>
      </c>
      <c r="Y859" s="586" t="str">
        <f t="shared" si="189"/>
        <v/>
      </c>
      <c r="Z859" s="586" t="str">
        <f t="shared" si="239"/>
        <v/>
      </c>
    </row>
    <row r="860" spans="1:26" ht="12" hidden="1" thickBot="1" x14ac:dyDescent="0.25">
      <c r="A860" s="567">
        <v>759</v>
      </c>
      <c r="B860" s="644">
        <v>759</v>
      </c>
      <c r="C860" s="645" t="s">
        <v>458</v>
      </c>
      <c r="D860" s="422" t="s">
        <v>1939</v>
      </c>
      <c r="E860" s="423"/>
      <c r="F860" s="424"/>
      <c r="G860" s="425"/>
      <c r="H860" s="651"/>
      <c r="I860" s="420">
        <v>536.12</v>
      </c>
      <c r="J860" s="420">
        <f t="shared" si="255"/>
        <v>536.12</v>
      </c>
      <c r="K860" s="421">
        <f t="shared" si="254"/>
        <v>636.96</v>
      </c>
      <c r="L860" s="647" t="s">
        <v>21</v>
      </c>
      <c r="M860" s="576"/>
      <c r="N860" s="576">
        <f t="shared" si="256"/>
        <v>0</v>
      </c>
      <c r="O860" s="577">
        <f t="shared" si="250"/>
        <v>0</v>
      </c>
      <c r="P860" s="578">
        <f t="shared" si="251"/>
        <v>0</v>
      </c>
      <c r="Q860" s="765"/>
      <c r="R860" s="576">
        <f t="shared" si="247"/>
        <v>0</v>
      </c>
      <c r="S860" s="576">
        <f t="shared" si="247"/>
        <v>0</v>
      </c>
      <c r="T860" s="577">
        <f t="shared" si="248"/>
        <v>0</v>
      </c>
      <c r="U860" s="578">
        <f t="shared" si="249"/>
        <v>0</v>
      </c>
      <c r="V860" s="579"/>
      <c r="W860" s="566"/>
      <c r="X860" s="586" t="str">
        <f t="shared" si="252"/>
        <v/>
      </c>
      <c r="Y860" s="586" t="str">
        <f t="shared" si="189"/>
        <v/>
      </c>
      <c r="Z860" s="586" t="str">
        <f t="shared" si="239"/>
        <v/>
      </c>
    </row>
    <row r="861" spans="1:26" ht="12" hidden="1" thickBot="1" x14ac:dyDescent="0.25">
      <c r="A861" s="567" t="s">
        <v>520</v>
      </c>
      <c r="B861" s="644" t="s">
        <v>520</v>
      </c>
      <c r="C861" s="645" t="s">
        <v>458</v>
      </c>
      <c r="D861" s="422" t="s">
        <v>1940</v>
      </c>
      <c r="E861" s="423"/>
      <c r="F861" s="424"/>
      <c r="G861" s="425"/>
      <c r="H861" s="651"/>
      <c r="I861" s="420">
        <v>70.239999999999995</v>
      </c>
      <c r="J861" s="420">
        <f t="shared" si="255"/>
        <v>70.239999999999995</v>
      </c>
      <c r="K861" s="421">
        <f t="shared" si="254"/>
        <v>83.45</v>
      </c>
      <c r="L861" s="647" t="s">
        <v>21</v>
      </c>
      <c r="M861" s="576"/>
      <c r="N861" s="576">
        <f t="shared" si="256"/>
        <v>0</v>
      </c>
      <c r="O861" s="577">
        <f t="shared" si="250"/>
        <v>0</v>
      </c>
      <c r="P861" s="578">
        <f t="shared" si="251"/>
        <v>0</v>
      </c>
      <c r="Q861" s="765"/>
      <c r="R861" s="576">
        <f t="shared" si="247"/>
        <v>0</v>
      </c>
      <c r="S861" s="576">
        <f t="shared" si="247"/>
        <v>0</v>
      </c>
      <c r="T861" s="577">
        <f t="shared" si="248"/>
        <v>0</v>
      </c>
      <c r="U861" s="578">
        <f t="shared" si="249"/>
        <v>0</v>
      </c>
      <c r="V861" s="579"/>
      <c r="W861" s="566"/>
      <c r="X861" s="586" t="str">
        <f t="shared" si="252"/>
        <v/>
      </c>
      <c r="Y861" s="586" t="str">
        <f t="shared" si="189"/>
        <v/>
      </c>
      <c r="Z861" s="586" t="str">
        <f t="shared" si="239"/>
        <v/>
      </c>
    </row>
    <row r="862" spans="1:26" ht="12" hidden="1" thickBot="1" x14ac:dyDescent="0.25">
      <c r="A862" s="567">
        <v>751</v>
      </c>
      <c r="B862" s="644">
        <v>751</v>
      </c>
      <c r="C862" s="645" t="s">
        <v>458</v>
      </c>
      <c r="D862" s="422" t="s">
        <v>1941</v>
      </c>
      <c r="E862" s="423"/>
      <c r="F862" s="424"/>
      <c r="G862" s="425"/>
      <c r="H862" s="651"/>
      <c r="I862" s="420">
        <v>11.31</v>
      </c>
      <c r="J862" s="420">
        <f t="shared" ref="J862:J888" si="257">IF(ISBLANK(I862),"",SUM(H862:I862))</f>
        <v>11.31</v>
      </c>
      <c r="K862" s="421">
        <f t="shared" si="254"/>
        <v>13.44</v>
      </c>
      <c r="L862" s="647" t="s">
        <v>21</v>
      </c>
      <c r="M862" s="576"/>
      <c r="N862" s="576">
        <f t="shared" si="256"/>
        <v>0</v>
      </c>
      <c r="O862" s="577">
        <f t="shared" si="250"/>
        <v>0</v>
      </c>
      <c r="P862" s="578">
        <f t="shared" si="251"/>
        <v>0</v>
      </c>
      <c r="Q862" s="765"/>
      <c r="R862" s="576">
        <f t="shared" si="247"/>
        <v>0</v>
      </c>
      <c r="S862" s="576">
        <f t="shared" si="247"/>
        <v>0</v>
      </c>
      <c r="T862" s="577">
        <f t="shared" si="248"/>
        <v>0</v>
      </c>
      <c r="U862" s="578">
        <f t="shared" si="249"/>
        <v>0</v>
      </c>
      <c r="V862" s="579"/>
      <c r="W862" s="566"/>
      <c r="X862" s="586" t="str">
        <f t="shared" si="252"/>
        <v/>
      </c>
      <c r="Y862" s="586" t="str">
        <f t="shared" si="189"/>
        <v/>
      </c>
      <c r="Z862" s="586" t="str">
        <f t="shared" si="239"/>
        <v/>
      </c>
    </row>
    <row r="863" spans="1:26" ht="12" hidden="1" thickBot="1" x14ac:dyDescent="0.25">
      <c r="A863" s="567" t="s">
        <v>521</v>
      </c>
      <c r="B863" s="644" t="s">
        <v>521</v>
      </c>
      <c r="C863" s="645" t="s">
        <v>458</v>
      </c>
      <c r="D863" s="422" t="s">
        <v>1942</v>
      </c>
      <c r="E863" s="423"/>
      <c r="F863" s="424"/>
      <c r="G863" s="425"/>
      <c r="H863" s="651"/>
      <c r="I863" s="420">
        <v>4.45</v>
      </c>
      <c r="J863" s="420">
        <f t="shared" si="257"/>
        <v>4.45</v>
      </c>
      <c r="K863" s="421">
        <f t="shared" si="254"/>
        <v>5.29</v>
      </c>
      <c r="L863" s="647" t="s">
        <v>21</v>
      </c>
      <c r="M863" s="576"/>
      <c r="N863" s="576">
        <f t="shared" si="256"/>
        <v>0</v>
      </c>
      <c r="O863" s="577">
        <f t="shared" si="250"/>
        <v>0</v>
      </c>
      <c r="P863" s="578">
        <f t="shared" si="251"/>
        <v>0</v>
      </c>
      <c r="Q863" s="765"/>
      <c r="R863" s="576">
        <f t="shared" si="247"/>
        <v>0</v>
      </c>
      <c r="S863" s="576">
        <f t="shared" si="247"/>
        <v>0</v>
      </c>
      <c r="T863" s="577">
        <f t="shared" si="248"/>
        <v>0</v>
      </c>
      <c r="U863" s="578">
        <f t="shared" si="249"/>
        <v>0</v>
      </c>
      <c r="V863" s="579"/>
      <c r="W863" s="566"/>
      <c r="X863" s="586" t="str">
        <f t="shared" si="252"/>
        <v/>
      </c>
      <c r="Y863" s="586" t="str">
        <f t="shared" si="189"/>
        <v/>
      </c>
      <c r="Z863" s="586" t="str">
        <f t="shared" si="239"/>
        <v/>
      </c>
    </row>
    <row r="864" spans="1:26" ht="12" hidden="1" thickBot="1" x14ac:dyDescent="0.25">
      <c r="A864" s="567">
        <v>752</v>
      </c>
      <c r="B864" s="644">
        <v>752</v>
      </c>
      <c r="C864" s="645" t="s">
        <v>458</v>
      </c>
      <c r="D864" s="422" t="s">
        <v>1943</v>
      </c>
      <c r="E864" s="423"/>
      <c r="F864" s="424"/>
      <c r="G864" s="425"/>
      <c r="H864" s="651"/>
      <c r="I864" s="420">
        <v>28.78</v>
      </c>
      <c r="J864" s="420">
        <f t="shared" si="257"/>
        <v>28.78</v>
      </c>
      <c r="K864" s="421">
        <f t="shared" si="254"/>
        <v>34.19</v>
      </c>
      <c r="L864" s="647" t="s">
        <v>21</v>
      </c>
      <c r="M864" s="576"/>
      <c r="N864" s="576">
        <f t="shared" si="256"/>
        <v>0</v>
      </c>
      <c r="O864" s="577">
        <f t="shared" si="250"/>
        <v>0</v>
      </c>
      <c r="P864" s="578">
        <f t="shared" si="251"/>
        <v>0</v>
      </c>
      <c r="Q864" s="765"/>
      <c r="R864" s="576">
        <f t="shared" si="247"/>
        <v>0</v>
      </c>
      <c r="S864" s="576">
        <f t="shared" si="247"/>
        <v>0</v>
      </c>
      <c r="T864" s="577">
        <f t="shared" si="248"/>
        <v>0</v>
      </c>
      <c r="U864" s="578">
        <f t="shared" si="249"/>
        <v>0</v>
      </c>
      <c r="V864" s="579"/>
      <c r="W864" s="566"/>
      <c r="X864" s="586" t="str">
        <f t="shared" si="252"/>
        <v/>
      </c>
      <c r="Y864" s="586" t="str">
        <f t="shared" si="189"/>
        <v/>
      </c>
      <c r="Z864" s="586" t="str">
        <f t="shared" si="239"/>
        <v/>
      </c>
    </row>
    <row r="865" spans="1:26" ht="12" hidden="1" thickBot="1" x14ac:dyDescent="0.25">
      <c r="A865" s="567" t="s">
        <v>522</v>
      </c>
      <c r="B865" s="644" t="s">
        <v>522</v>
      </c>
      <c r="C865" s="645" t="s">
        <v>458</v>
      </c>
      <c r="D865" s="422" t="s">
        <v>1944</v>
      </c>
      <c r="E865" s="423"/>
      <c r="F865" s="424"/>
      <c r="G865" s="425"/>
      <c r="H865" s="651"/>
      <c r="I865" s="420">
        <v>28.78</v>
      </c>
      <c r="J865" s="420">
        <f t="shared" si="257"/>
        <v>28.78</v>
      </c>
      <c r="K865" s="421">
        <f t="shared" si="254"/>
        <v>34.19</v>
      </c>
      <c r="L865" s="647" t="s">
        <v>21</v>
      </c>
      <c r="M865" s="576"/>
      <c r="N865" s="576">
        <f t="shared" si="256"/>
        <v>0</v>
      </c>
      <c r="O865" s="577">
        <f t="shared" si="250"/>
        <v>0</v>
      </c>
      <c r="P865" s="578">
        <f t="shared" si="251"/>
        <v>0</v>
      </c>
      <c r="Q865" s="765"/>
      <c r="R865" s="576">
        <f t="shared" si="247"/>
        <v>0</v>
      </c>
      <c r="S865" s="576">
        <f t="shared" si="247"/>
        <v>0</v>
      </c>
      <c r="T865" s="577">
        <f t="shared" si="248"/>
        <v>0</v>
      </c>
      <c r="U865" s="578">
        <f t="shared" si="249"/>
        <v>0</v>
      </c>
      <c r="V865" s="579"/>
      <c r="W865" s="566"/>
      <c r="X865" s="586" t="str">
        <f t="shared" si="252"/>
        <v/>
      </c>
      <c r="Y865" s="586" t="str">
        <f t="shared" si="189"/>
        <v/>
      </c>
      <c r="Z865" s="586" t="str">
        <f t="shared" si="239"/>
        <v/>
      </c>
    </row>
    <row r="866" spans="1:26" ht="12" hidden="1" thickBot="1" x14ac:dyDescent="0.25">
      <c r="A866" s="567">
        <v>753</v>
      </c>
      <c r="B866" s="644">
        <v>753</v>
      </c>
      <c r="C866" s="645" t="s">
        <v>458</v>
      </c>
      <c r="D866" s="422" t="s">
        <v>1945</v>
      </c>
      <c r="E866" s="423"/>
      <c r="F866" s="424"/>
      <c r="G866" s="425"/>
      <c r="H866" s="651"/>
      <c r="I866" s="420">
        <v>62.7</v>
      </c>
      <c r="J866" s="420">
        <f t="shared" si="257"/>
        <v>62.7</v>
      </c>
      <c r="K866" s="421">
        <f t="shared" si="254"/>
        <v>74.489999999999995</v>
      </c>
      <c r="L866" s="647" t="s">
        <v>21</v>
      </c>
      <c r="M866" s="576"/>
      <c r="N866" s="576">
        <f t="shared" si="256"/>
        <v>0</v>
      </c>
      <c r="O866" s="577">
        <f t="shared" si="250"/>
        <v>0</v>
      </c>
      <c r="P866" s="578">
        <f t="shared" si="251"/>
        <v>0</v>
      </c>
      <c r="Q866" s="765"/>
      <c r="R866" s="576">
        <f t="shared" si="247"/>
        <v>0</v>
      </c>
      <c r="S866" s="576">
        <f t="shared" si="247"/>
        <v>0</v>
      </c>
      <c r="T866" s="577">
        <f t="shared" si="248"/>
        <v>0</v>
      </c>
      <c r="U866" s="578">
        <f t="shared" si="249"/>
        <v>0</v>
      </c>
      <c r="V866" s="579"/>
      <c r="W866" s="566"/>
      <c r="X866" s="586" t="str">
        <f t="shared" si="252"/>
        <v/>
      </c>
      <c r="Y866" s="586" t="str">
        <f t="shared" si="189"/>
        <v/>
      </c>
      <c r="Z866" s="586" t="str">
        <f t="shared" si="239"/>
        <v/>
      </c>
    </row>
    <row r="867" spans="1:26" ht="12" hidden="1" thickBot="1" x14ac:dyDescent="0.25">
      <c r="A867" s="567" t="s">
        <v>523</v>
      </c>
      <c r="B867" s="644" t="s">
        <v>523</v>
      </c>
      <c r="C867" s="645" t="s">
        <v>458</v>
      </c>
      <c r="D867" s="422" t="s">
        <v>1946</v>
      </c>
      <c r="E867" s="423"/>
      <c r="F867" s="424"/>
      <c r="G867" s="425"/>
      <c r="H867" s="651"/>
      <c r="I867" s="420">
        <v>62.7</v>
      </c>
      <c r="J867" s="420">
        <f t="shared" si="257"/>
        <v>62.7</v>
      </c>
      <c r="K867" s="421">
        <f t="shared" si="254"/>
        <v>74.489999999999995</v>
      </c>
      <c r="L867" s="647" t="s">
        <v>21</v>
      </c>
      <c r="M867" s="576"/>
      <c r="N867" s="576">
        <f t="shared" si="256"/>
        <v>0</v>
      </c>
      <c r="O867" s="577">
        <f t="shared" si="250"/>
        <v>0</v>
      </c>
      <c r="P867" s="578">
        <f t="shared" si="251"/>
        <v>0</v>
      </c>
      <c r="Q867" s="765"/>
      <c r="R867" s="576">
        <f t="shared" si="247"/>
        <v>0</v>
      </c>
      <c r="S867" s="576">
        <f t="shared" si="247"/>
        <v>0</v>
      </c>
      <c r="T867" s="577">
        <f t="shared" si="248"/>
        <v>0</v>
      </c>
      <c r="U867" s="578">
        <f t="shared" si="249"/>
        <v>0</v>
      </c>
      <c r="V867" s="579"/>
      <c r="W867" s="566"/>
      <c r="X867" s="586" t="str">
        <f t="shared" si="252"/>
        <v/>
      </c>
      <c r="Y867" s="586" t="str">
        <f t="shared" ref="Y867:Y930" si="258">IF(W867="X","x",IF(W867="y","x",IF(W867="xx","x",IF(U867&gt;0,"x",""))))</f>
        <v/>
      </c>
      <c r="Z867" s="586" t="str">
        <f t="shared" si="239"/>
        <v/>
      </c>
    </row>
    <row r="868" spans="1:26" ht="12" hidden="1" thickBot="1" x14ac:dyDescent="0.25">
      <c r="A868" s="567">
        <v>754</v>
      </c>
      <c r="B868" s="644">
        <v>754</v>
      </c>
      <c r="C868" s="645" t="s">
        <v>458</v>
      </c>
      <c r="D868" s="422" t="s">
        <v>1947</v>
      </c>
      <c r="E868" s="423"/>
      <c r="F868" s="424"/>
      <c r="G868" s="425"/>
      <c r="H868" s="651"/>
      <c r="I868" s="420">
        <v>71.95</v>
      </c>
      <c r="J868" s="420">
        <f t="shared" si="257"/>
        <v>71.95</v>
      </c>
      <c r="K868" s="421">
        <f t="shared" si="254"/>
        <v>85.48</v>
      </c>
      <c r="L868" s="647" t="s">
        <v>21</v>
      </c>
      <c r="M868" s="576"/>
      <c r="N868" s="576">
        <f t="shared" si="256"/>
        <v>0</v>
      </c>
      <c r="O868" s="577">
        <f t="shared" si="250"/>
        <v>0</v>
      </c>
      <c r="P868" s="578">
        <f t="shared" si="251"/>
        <v>0</v>
      </c>
      <c r="Q868" s="765"/>
      <c r="R868" s="576">
        <f t="shared" si="247"/>
        <v>0</v>
      </c>
      <c r="S868" s="576">
        <f t="shared" si="247"/>
        <v>0</v>
      </c>
      <c r="T868" s="577">
        <f t="shared" si="248"/>
        <v>0</v>
      </c>
      <c r="U868" s="578">
        <f t="shared" si="249"/>
        <v>0</v>
      </c>
      <c r="V868" s="579"/>
      <c r="W868" s="566"/>
      <c r="X868" s="586" t="str">
        <f t="shared" si="252"/>
        <v/>
      </c>
      <c r="Y868" s="586" t="str">
        <f t="shared" si="258"/>
        <v/>
      </c>
      <c r="Z868" s="586" t="str">
        <f t="shared" si="239"/>
        <v/>
      </c>
    </row>
    <row r="869" spans="1:26" ht="12" hidden="1" thickBot="1" x14ac:dyDescent="0.25">
      <c r="A869" s="567">
        <v>755</v>
      </c>
      <c r="B869" s="644">
        <v>755</v>
      </c>
      <c r="C869" s="645" t="s">
        <v>458</v>
      </c>
      <c r="D869" s="422" t="s">
        <v>1948</v>
      </c>
      <c r="E869" s="423"/>
      <c r="F869" s="424"/>
      <c r="G869" s="425"/>
      <c r="H869" s="651"/>
      <c r="I869" s="420">
        <v>15.08</v>
      </c>
      <c r="J869" s="420">
        <f t="shared" si="257"/>
        <v>15.08</v>
      </c>
      <c r="K869" s="421">
        <f t="shared" si="254"/>
        <v>17.920000000000002</v>
      </c>
      <c r="L869" s="647" t="s">
        <v>21</v>
      </c>
      <c r="M869" s="576"/>
      <c r="N869" s="576">
        <f t="shared" si="256"/>
        <v>0</v>
      </c>
      <c r="O869" s="577">
        <f t="shared" si="250"/>
        <v>0</v>
      </c>
      <c r="P869" s="578">
        <f t="shared" si="251"/>
        <v>0</v>
      </c>
      <c r="Q869" s="765"/>
      <c r="R869" s="576">
        <f t="shared" si="247"/>
        <v>0</v>
      </c>
      <c r="S869" s="576">
        <f t="shared" si="247"/>
        <v>0</v>
      </c>
      <c r="T869" s="577">
        <f t="shared" si="248"/>
        <v>0</v>
      </c>
      <c r="U869" s="578">
        <f t="shared" si="249"/>
        <v>0</v>
      </c>
      <c r="V869" s="579"/>
      <c r="W869" s="566"/>
      <c r="X869" s="586" t="str">
        <f t="shared" si="252"/>
        <v/>
      </c>
      <c r="Y869" s="586" t="str">
        <f t="shared" si="258"/>
        <v/>
      </c>
      <c r="Z869" s="586" t="str">
        <f t="shared" si="239"/>
        <v/>
      </c>
    </row>
    <row r="870" spans="1:26" ht="12" hidden="1" thickBot="1" x14ac:dyDescent="0.25">
      <c r="A870" s="567" t="s">
        <v>524</v>
      </c>
      <c r="B870" s="644" t="s">
        <v>524</v>
      </c>
      <c r="C870" s="645" t="s">
        <v>458</v>
      </c>
      <c r="D870" s="422" t="s">
        <v>1949</v>
      </c>
      <c r="E870" s="423"/>
      <c r="F870" s="424"/>
      <c r="G870" s="425"/>
      <c r="H870" s="651"/>
      <c r="I870" s="420">
        <v>6.17</v>
      </c>
      <c r="J870" s="420">
        <f t="shared" si="257"/>
        <v>6.17</v>
      </c>
      <c r="K870" s="421">
        <f t="shared" si="254"/>
        <v>7.33</v>
      </c>
      <c r="L870" s="647" t="s">
        <v>21</v>
      </c>
      <c r="M870" s="576"/>
      <c r="N870" s="576">
        <f t="shared" si="256"/>
        <v>0</v>
      </c>
      <c r="O870" s="577">
        <f t="shared" si="250"/>
        <v>0</v>
      </c>
      <c r="P870" s="578">
        <f t="shared" si="251"/>
        <v>0</v>
      </c>
      <c r="Q870" s="765"/>
      <c r="R870" s="576">
        <f t="shared" si="247"/>
        <v>0</v>
      </c>
      <c r="S870" s="576">
        <f t="shared" si="247"/>
        <v>0</v>
      </c>
      <c r="T870" s="577">
        <f t="shared" si="248"/>
        <v>0</v>
      </c>
      <c r="U870" s="578">
        <f t="shared" si="249"/>
        <v>0</v>
      </c>
      <c r="V870" s="579"/>
      <c r="W870" s="566"/>
      <c r="X870" s="586" t="str">
        <f t="shared" si="252"/>
        <v/>
      </c>
      <c r="Y870" s="586" t="str">
        <f t="shared" si="258"/>
        <v/>
      </c>
      <c r="Z870" s="586" t="str">
        <f t="shared" si="239"/>
        <v/>
      </c>
    </row>
    <row r="871" spans="1:26" ht="12" hidden="1" thickBot="1" x14ac:dyDescent="0.25">
      <c r="A871" s="567">
        <v>756</v>
      </c>
      <c r="B871" s="644">
        <v>756</v>
      </c>
      <c r="C871" s="645" t="s">
        <v>458</v>
      </c>
      <c r="D871" s="422" t="s">
        <v>1950</v>
      </c>
      <c r="E871" s="423"/>
      <c r="F871" s="424"/>
      <c r="G871" s="425"/>
      <c r="H871" s="651"/>
      <c r="I871" s="420">
        <v>24.67</v>
      </c>
      <c r="J871" s="420">
        <f t="shared" si="257"/>
        <v>24.67</v>
      </c>
      <c r="K871" s="421">
        <f t="shared" si="254"/>
        <v>29.31</v>
      </c>
      <c r="L871" s="647" t="s">
        <v>21</v>
      </c>
      <c r="M871" s="576"/>
      <c r="N871" s="576">
        <f t="shared" si="256"/>
        <v>0</v>
      </c>
      <c r="O871" s="577">
        <f t="shared" si="250"/>
        <v>0</v>
      </c>
      <c r="P871" s="578">
        <f t="shared" si="251"/>
        <v>0</v>
      </c>
      <c r="Q871" s="765"/>
      <c r="R871" s="576">
        <f t="shared" si="247"/>
        <v>0</v>
      </c>
      <c r="S871" s="576">
        <f t="shared" si="247"/>
        <v>0</v>
      </c>
      <c r="T871" s="577">
        <f t="shared" si="248"/>
        <v>0</v>
      </c>
      <c r="U871" s="578">
        <f t="shared" si="249"/>
        <v>0</v>
      </c>
      <c r="V871" s="579"/>
      <c r="W871" s="566"/>
      <c r="X871" s="586" t="str">
        <f t="shared" si="252"/>
        <v/>
      </c>
      <c r="Y871" s="586" t="str">
        <f t="shared" si="258"/>
        <v/>
      </c>
      <c r="Z871" s="586" t="str">
        <f t="shared" si="239"/>
        <v/>
      </c>
    </row>
    <row r="872" spans="1:26" ht="12" hidden="1" thickBot="1" x14ac:dyDescent="0.25">
      <c r="A872" s="567" t="s">
        <v>525</v>
      </c>
      <c r="B872" s="644" t="s">
        <v>525</v>
      </c>
      <c r="C872" s="645" t="s">
        <v>458</v>
      </c>
      <c r="D872" s="422" t="s">
        <v>1951</v>
      </c>
      <c r="E872" s="423"/>
      <c r="F872" s="424"/>
      <c r="G872" s="425"/>
      <c r="H872" s="651"/>
      <c r="I872" s="420">
        <v>9.94</v>
      </c>
      <c r="J872" s="420">
        <f t="shared" si="257"/>
        <v>9.94</v>
      </c>
      <c r="K872" s="421">
        <f t="shared" si="254"/>
        <v>11.81</v>
      </c>
      <c r="L872" s="647" t="s">
        <v>21</v>
      </c>
      <c r="M872" s="576"/>
      <c r="N872" s="576">
        <f t="shared" si="256"/>
        <v>0</v>
      </c>
      <c r="O872" s="577">
        <f t="shared" si="250"/>
        <v>0</v>
      </c>
      <c r="P872" s="578">
        <f t="shared" si="251"/>
        <v>0</v>
      </c>
      <c r="Q872" s="765"/>
      <c r="R872" s="576">
        <f t="shared" si="247"/>
        <v>0</v>
      </c>
      <c r="S872" s="576">
        <f t="shared" si="247"/>
        <v>0</v>
      </c>
      <c r="T872" s="577">
        <f t="shared" si="248"/>
        <v>0</v>
      </c>
      <c r="U872" s="578">
        <f t="shared" si="249"/>
        <v>0</v>
      </c>
      <c r="V872" s="579"/>
      <c r="W872" s="566"/>
      <c r="X872" s="586" t="str">
        <f t="shared" si="252"/>
        <v/>
      </c>
      <c r="Y872" s="586" t="str">
        <f t="shared" si="258"/>
        <v/>
      </c>
      <c r="Z872" s="586" t="str">
        <f t="shared" si="239"/>
        <v/>
      </c>
    </row>
    <row r="873" spans="1:26" ht="12" hidden="1" thickBot="1" x14ac:dyDescent="0.25">
      <c r="A873" s="567">
        <v>757</v>
      </c>
      <c r="B873" s="644">
        <v>757</v>
      </c>
      <c r="C873" s="645" t="s">
        <v>458</v>
      </c>
      <c r="D873" s="422" t="s">
        <v>1952</v>
      </c>
      <c r="E873" s="423"/>
      <c r="F873" s="424"/>
      <c r="G873" s="425"/>
      <c r="H873" s="651"/>
      <c r="I873" s="420">
        <v>15.42</v>
      </c>
      <c r="J873" s="420">
        <f t="shared" si="257"/>
        <v>15.42</v>
      </c>
      <c r="K873" s="421">
        <f t="shared" si="254"/>
        <v>18.32</v>
      </c>
      <c r="L873" s="647" t="s">
        <v>21</v>
      </c>
      <c r="M873" s="576"/>
      <c r="N873" s="576">
        <f t="shared" si="256"/>
        <v>0</v>
      </c>
      <c r="O873" s="577">
        <f t="shared" si="250"/>
        <v>0</v>
      </c>
      <c r="P873" s="578">
        <f t="shared" si="251"/>
        <v>0</v>
      </c>
      <c r="Q873" s="765"/>
      <c r="R873" s="576">
        <f t="shared" si="247"/>
        <v>0</v>
      </c>
      <c r="S873" s="576">
        <f t="shared" si="247"/>
        <v>0</v>
      </c>
      <c r="T873" s="577">
        <f t="shared" si="248"/>
        <v>0</v>
      </c>
      <c r="U873" s="578">
        <f t="shared" si="249"/>
        <v>0</v>
      </c>
      <c r="V873" s="579"/>
      <c r="W873" s="566"/>
      <c r="X873" s="586" t="str">
        <f t="shared" si="252"/>
        <v/>
      </c>
      <c r="Y873" s="586" t="str">
        <f t="shared" si="258"/>
        <v/>
      </c>
      <c r="Z873" s="586" t="str">
        <f t="shared" si="239"/>
        <v/>
      </c>
    </row>
    <row r="874" spans="1:26" ht="12" hidden="1" thickBot="1" x14ac:dyDescent="0.25">
      <c r="A874" s="567" t="s">
        <v>526</v>
      </c>
      <c r="B874" s="644" t="s">
        <v>526</v>
      </c>
      <c r="C874" s="645" t="s">
        <v>458</v>
      </c>
      <c r="D874" s="422" t="s">
        <v>1953</v>
      </c>
      <c r="E874" s="423"/>
      <c r="F874" s="424"/>
      <c r="G874" s="425"/>
      <c r="H874" s="651"/>
      <c r="I874" s="420">
        <v>6.17</v>
      </c>
      <c r="J874" s="420">
        <f t="shared" si="257"/>
        <v>6.17</v>
      </c>
      <c r="K874" s="421">
        <f t="shared" si="254"/>
        <v>7.33</v>
      </c>
      <c r="L874" s="647" t="s">
        <v>21</v>
      </c>
      <c r="M874" s="576"/>
      <c r="N874" s="576">
        <f t="shared" si="256"/>
        <v>0</v>
      </c>
      <c r="O874" s="577">
        <f t="shared" si="250"/>
        <v>0</v>
      </c>
      <c r="P874" s="578">
        <f t="shared" si="251"/>
        <v>0</v>
      </c>
      <c r="Q874" s="765"/>
      <c r="R874" s="576">
        <f t="shared" si="247"/>
        <v>0</v>
      </c>
      <c r="S874" s="576">
        <f t="shared" si="247"/>
        <v>0</v>
      </c>
      <c r="T874" s="577">
        <f t="shared" si="248"/>
        <v>0</v>
      </c>
      <c r="U874" s="578">
        <f t="shared" si="249"/>
        <v>0</v>
      </c>
      <c r="V874" s="579"/>
      <c r="W874" s="566"/>
      <c r="X874" s="586" t="str">
        <f t="shared" si="252"/>
        <v/>
      </c>
      <c r="Y874" s="586" t="str">
        <f t="shared" si="258"/>
        <v/>
      </c>
      <c r="Z874" s="586" t="str">
        <f t="shared" si="239"/>
        <v/>
      </c>
    </row>
    <row r="875" spans="1:26" ht="12" hidden="1" thickBot="1" x14ac:dyDescent="0.25">
      <c r="A875" s="567">
        <v>947</v>
      </c>
      <c r="B875" s="644">
        <v>947</v>
      </c>
      <c r="C875" s="645" t="s">
        <v>458</v>
      </c>
      <c r="D875" s="422" t="s">
        <v>1954</v>
      </c>
      <c r="E875" s="423"/>
      <c r="F875" s="424"/>
      <c r="G875" s="425"/>
      <c r="H875" s="651"/>
      <c r="I875" s="420">
        <v>34.26</v>
      </c>
      <c r="J875" s="420">
        <f t="shared" si="257"/>
        <v>34.26</v>
      </c>
      <c r="K875" s="421">
        <f t="shared" si="254"/>
        <v>40.700000000000003</v>
      </c>
      <c r="L875" s="647" t="s">
        <v>21</v>
      </c>
      <c r="M875" s="576"/>
      <c r="N875" s="576">
        <f t="shared" si="256"/>
        <v>0</v>
      </c>
      <c r="O875" s="577">
        <f t="shared" si="250"/>
        <v>0</v>
      </c>
      <c r="P875" s="578">
        <f t="shared" si="251"/>
        <v>0</v>
      </c>
      <c r="Q875" s="765"/>
      <c r="R875" s="576">
        <f t="shared" si="247"/>
        <v>0</v>
      </c>
      <c r="S875" s="576">
        <f t="shared" si="247"/>
        <v>0</v>
      </c>
      <c r="T875" s="577">
        <f t="shared" si="248"/>
        <v>0</v>
      </c>
      <c r="U875" s="578">
        <f t="shared" si="249"/>
        <v>0</v>
      </c>
      <c r="V875" s="579"/>
      <c r="W875" s="566"/>
      <c r="X875" s="586" t="str">
        <f t="shared" si="252"/>
        <v/>
      </c>
      <c r="Y875" s="586" t="str">
        <f t="shared" si="258"/>
        <v/>
      </c>
      <c r="Z875" s="586" t="str">
        <f t="shared" si="239"/>
        <v/>
      </c>
    </row>
    <row r="876" spans="1:26" ht="12" hidden="1" thickBot="1" x14ac:dyDescent="0.25">
      <c r="A876" s="567" t="s">
        <v>534</v>
      </c>
      <c r="B876" s="644" t="s">
        <v>534</v>
      </c>
      <c r="C876" s="645" t="s">
        <v>458</v>
      </c>
      <c r="D876" s="422" t="s">
        <v>1955</v>
      </c>
      <c r="E876" s="423"/>
      <c r="F876" s="424"/>
      <c r="G876" s="425"/>
      <c r="H876" s="651"/>
      <c r="I876" s="420">
        <v>34.26</v>
      </c>
      <c r="J876" s="420">
        <f t="shared" si="257"/>
        <v>34.26</v>
      </c>
      <c r="K876" s="421">
        <f t="shared" si="254"/>
        <v>40.700000000000003</v>
      </c>
      <c r="L876" s="647" t="s">
        <v>21</v>
      </c>
      <c r="M876" s="576"/>
      <c r="N876" s="576">
        <f t="shared" si="256"/>
        <v>0</v>
      </c>
      <c r="O876" s="577">
        <f t="shared" si="250"/>
        <v>0</v>
      </c>
      <c r="P876" s="578">
        <f t="shared" si="251"/>
        <v>0</v>
      </c>
      <c r="Q876" s="765"/>
      <c r="R876" s="576">
        <f t="shared" si="247"/>
        <v>0</v>
      </c>
      <c r="S876" s="576">
        <f t="shared" si="247"/>
        <v>0</v>
      </c>
      <c r="T876" s="577">
        <f t="shared" si="248"/>
        <v>0</v>
      </c>
      <c r="U876" s="578">
        <f t="shared" si="249"/>
        <v>0</v>
      </c>
      <c r="V876" s="579"/>
      <c r="W876" s="566"/>
      <c r="X876" s="586" t="str">
        <f t="shared" si="252"/>
        <v/>
      </c>
      <c r="Y876" s="586" t="str">
        <f t="shared" si="258"/>
        <v/>
      </c>
      <c r="Z876" s="586" t="str">
        <f t="shared" si="239"/>
        <v/>
      </c>
    </row>
    <row r="877" spans="1:26" ht="12" hidden="1" thickBot="1" x14ac:dyDescent="0.25">
      <c r="A877" s="567">
        <v>760</v>
      </c>
      <c r="B877" s="644">
        <v>760</v>
      </c>
      <c r="C877" s="645" t="s">
        <v>458</v>
      </c>
      <c r="D877" s="422" t="s">
        <v>1956</v>
      </c>
      <c r="E877" s="423"/>
      <c r="F877" s="424"/>
      <c r="G877" s="425"/>
      <c r="H877" s="651"/>
      <c r="I877" s="420">
        <v>17.47</v>
      </c>
      <c r="J877" s="420">
        <f t="shared" si="257"/>
        <v>17.47</v>
      </c>
      <c r="K877" s="421">
        <f t="shared" si="254"/>
        <v>20.76</v>
      </c>
      <c r="L877" s="647" t="s">
        <v>21</v>
      </c>
      <c r="M877" s="576"/>
      <c r="N877" s="576">
        <f t="shared" si="256"/>
        <v>0</v>
      </c>
      <c r="O877" s="577">
        <f t="shared" si="250"/>
        <v>0</v>
      </c>
      <c r="P877" s="578">
        <f t="shared" si="251"/>
        <v>0</v>
      </c>
      <c r="Q877" s="765"/>
      <c r="R877" s="576">
        <f t="shared" si="247"/>
        <v>0</v>
      </c>
      <c r="S877" s="576">
        <f t="shared" si="247"/>
        <v>0</v>
      </c>
      <c r="T877" s="577">
        <f t="shared" si="248"/>
        <v>0</v>
      </c>
      <c r="U877" s="578">
        <f t="shared" si="249"/>
        <v>0</v>
      </c>
      <c r="V877" s="579"/>
      <c r="W877" s="566"/>
      <c r="X877" s="586" t="str">
        <f t="shared" si="252"/>
        <v/>
      </c>
      <c r="Y877" s="586" t="str">
        <f t="shared" si="258"/>
        <v/>
      </c>
      <c r="Z877" s="586" t="str">
        <f t="shared" si="239"/>
        <v/>
      </c>
    </row>
    <row r="878" spans="1:26" ht="12" hidden="1" thickBot="1" x14ac:dyDescent="0.25">
      <c r="A878" s="567" t="s">
        <v>535</v>
      </c>
      <c r="B878" s="644" t="s">
        <v>535</v>
      </c>
      <c r="C878" s="645" t="s">
        <v>458</v>
      </c>
      <c r="D878" s="422" t="s">
        <v>1957</v>
      </c>
      <c r="E878" s="423"/>
      <c r="F878" s="424"/>
      <c r="G878" s="425"/>
      <c r="H878" s="651"/>
      <c r="I878" s="420">
        <v>6.85</v>
      </c>
      <c r="J878" s="420">
        <f t="shared" si="257"/>
        <v>6.85</v>
      </c>
      <c r="K878" s="421">
        <f t="shared" si="254"/>
        <v>8.14</v>
      </c>
      <c r="L878" s="647" t="s">
        <v>21</v>
      </c>
      <c r="M878" s="576"/>
      <c r="N878" s="576">
        <f t="shared" si="256"/>
        <v>0</v>
      </c>
      <c r="O878" s="577">
        <f t="shared" si="250"/>
        <v>0</v>
      </c>
      <c r="P878" s="578">
        <f t="shared" si="251"/>
        <v>0</v>
      </c>
      <c r="Q878" s="765"/>
      <c r="R878" s="576">
        <f t="shared" si="247"/>
        <v>0</v>
      </c>
      <c r="S878" s="576">
        <f t="shared" si="247"/>
        <v>0</v>
      </c>
      <c r="T878" s="577">
        <f t="shared" si="248"/>
        <v>0</v>
      </c>
      <c r="U878" s="578">
        <f t="shared" si="249"/>
        <v>0</v>
      </c>
      <c r="V878" s="579"/>
      <c r="W878" s="566"/>
      <c r="X878" s="586" t="str">
        <f t="shared" si="252"/>
        <v/>
      </c>
      <c r="Y878" s="586" t="str">
        <f t="shared" si="258"/>
        <v/>
      </c>
      <c r="Z878" s="586" t="str">
        <f t="shared" si="239"/>
        <v/>
      </c>
    </row>
    <row r="879" spans="1:26" ht="12" hidden="1" thickBot="1" x14ac:dyDescent="0.25">
      <c r="A879" s="567">
        <v>761</v>
      </c>
      <c r="B879" s="644">
        <v>761</v>
      </c>
      <c r="C879" s="645" t="s">
        <v>458</v>
      </c>
      <c r="D879" s="422" t="s">
        <v>1958</v>
      </c>
      <c r="E879" s="423"/>
      <c r="F879" s="424"/>
      <c r="G879" s="425"/>
      <c r="H879" s="651"/>
      <c r="I879" s="420">
        <v>13.36</v>
      </c>
      <c r="J879" s="420">
        <f t="shared" si="257"/>
        <v>13.36</v>
      </c>
      <c r="K879" s="421">
        <f t="shared" si="254"/>
        <v>15.87</v>
      </c>
      <c r="L879" s="647" t="s">
        <v>21</v>
      </c>
      <c r="M879" s="576"/>
      <c r="N879" s="576">
        <f t="shared" si="256"/>
        <v>0</v>
      </c>
      <c r="O879" s="577">
        <f t="shared" si="250"/>
        <v>0</v>
      </c>
      <c r="P879" s="578">
        <f t="shared" si="251"/>
        <v>0</v>
      </c>
      <c r="Q879" s="765"/>
      <c r="R879" s="576">
        <f t="shared" si="247"/>
        <v>0</v>
      </c>
      <c r="S879" s="576">
        <f t="shared" si="247"/>
        <v>0</v>
      </c>
      <c r="T879" s="577">
        <f t="shared" si="248"/>
        <v>0</v>
      </c>
      <c r="U879" s="578">
        <f t="shared" si="249"/>
        <v>0</v>
      </c>
      <c r="V879" s="579"/>
      <c r="W879" s="566"/>
      <c r="X879" s="586" t="str">
        <f t="shared" si="252"/>
        <v/>
      </c>
      <c r="Y879" s="586" t="str">
        <f t="shared" si="258"/>
        <v/>
      </c>
      <c r="Z879" s="586" t="str">
        <f t="shared" si="239"/>
        <v/>
      </c>
    </row>
    <row r="880" spans="1:26" ht="12" hidden="1" thickBot="1" x14ac:dyDescent="0.25">
      <c r="A880" s="567" t="s">
        <v>536</v>
      </c>
      <c r="B880" s="644" t="s">
        <v>536</v>
      </c>
      <c r="C880" s="645" t="s">
        <v>458</v>
      </c>
      <c r="D880" s="422" t="s">
        <v>1959</v>
      </c>
      <c r="E880" s="423"/>
      <c r="F880" s="424"/>
      <c r="G880" s="425"/>
      <c r="H880" s="651"/>
      <c r="I880" s="420">
        <v>5.48</v>
      </c>
      <c r="J880" s="420">
        <f t="shared" si="257"/>
        <v>5.48</v>
      </c>
      <c r="K880" s="421">
        <f t="shared" si="254"/>
        <v>6.51</v>
      </c>
      <c r="L880" s="647" t="s">
        <v>21</v>
      </c>
      <c r="M880" s="576"/>
      <c r="N880" s="576">
        <f t="shared" si="256"/>
        <v>0</v>
      </c>
      <c r="O880" s="577">
        <f t="shared" si="250"/>
        <v>0</v>
      </c>
      <c r="P880" s="578">
        <f t="shared" si="251"/>
        <v>0</v>
      </c>
      <c r="Q880" s="765"/>
      <c r="R880" s="576">
        <f t="shared" si="247"/>
        <v>0</v>
      </c>
      <c r="S880" s="576">
        <f t="shared" si="247"/>
        <v>0</v>
      </c>
      <c r="T880" s="577">
        <f t="shared" si="248"/>
        <v>0</v>
      </c>
      <c r="U880" s="578">
        <f t="shared" si="249"/>
        <v>0</v>
      </c>
      <c r="V880" s="579"/>
      <c r="W880" s="566"/>
      <c r="X880" s="586" t="str">
        <f t="shared" si="252"/>
        <v/>
      </c>
      <c r="Y880" s="586" t="str">
        <f t="shared" si="258"/>
        <v/>
      </c>
      <c r="Z880" s="586" t="str">
        <f t="shared" si="239"/>
        <v/>
      </c>
    </row>
    <row r="881" spans="1:26" ht="12" hidden="1" thickBot="1" x14ac:dyDescent="0.25">
      <c r="A881" s="567">
        <v>762</v>
      </c>
      <c r="B881" s="644">
        <v>762</v>
      </c>
      <c r="C881" s="645" t="s">
        <v>458</v>
      </c>
      <c r="D881" s="422" t="s">
        <v>1960</v>
      </c>
      <c r="E881" s="423"/>
      <c r="F881" s="424"/>
      <c r="G881" s="425"/>
      <c r="H881" s="651"/>
      <c r="I881" s="420">
        <v>21.58</v>
      </c>
      <c r="J881" s="420">
        <f t="shared" si="257"/>
        <v>21.58</v>
      </c>
      <c r="K881" s="421">
        <f t="shared" si="254"/>
        <v>25.64</v>
      </c>
      <c r="L881" s="647" t="s">
        <v>21</v>
      </c>
      <c r="M881" s="576"/>
      <c r="N881" s="576">
        <f t="shared" si="256"/>
        <v>0</v>
      </c>
      <c r="O881" s="577">
        <f t="shared" si="250"/>
        <v>0</v>
      </c>
      <c r="P881" s="578">
        <f t="shared" si="251"/>
        <v>0</v>
      </c>
      <c r="Q881" s="765"/>
      <c r="R881" s="576">
        <f t="shared" si="247"/>
        <v>0</v>
      </c>
      <c r="S881" s="576">
        <f t="shared" si="247"/>
        <v>0</v>
      </c>
      <c r="T881" s="577">
        <f t="shared" si="248"/>
        <v>0</v>
      </c>
      <c r="U881" s="578">
        <f t="shared" si="249"/>
        <v>0</v>
      </c>
      <c r="V881" s="579"/>
      <c r="W881" s="566"/>
      <c r="X881" s="586" t="str">
        <f t="shared" si="252"/>
        <v/>
      </c>
      <c r="Y881" s="586" t="str">
        <f t="shared" si="258"/>
        <v/>
      </c>
      <c r="Z881" s="586" t="str">
        <f t="shared" si="239"/>
        <v/>
      </c>
    </row>
    <row r="882" spans="1:26" ht="12" hidden="1" thickBot="1" x14ac:dyDescent="0.25">
      <c r="A882" s="567" t="s">
        <v>537</v>
      </c>
      <c r="B882" s="644" t="s">
        <v>537</v>
      </c>
      <c r="C882" s="645" t="s">
        <v>458</v>
      </c>
      <c r="D882" s="422" t="s">
        <v>1961</v>
      </c>
      <c r="E882" s="423"/>
      <c r="F882" s="424"/>
      <c r="G882" s="425"/>
      <c r="H882" s="651"/>
      <c r="I882" s="420">
        <v>8.57</v>
      </c>
      <c r="J882" s="420">
        <f t="shared" si="257"/>
        <v>8.57</v>
      </c>
      <c r="K882" s="421">
        <f t="shared" si="254"/>
        <v>10.18</v>
      </c>
      <c r="L882" s="647" t="s">
        <v>21</v>
      </c>
      <c r="M882" s="576"/>
      <c r="N882" s="576">
        <f t="shared" si="256"/>
        <v>0</v>
      </c>
      <c r="O882" s="577">
        <f t="shared" si="250"/>
        <v>0</v>
      </c>
      <c r="P882" s="578">
        <f t="shared" si="251"/>
        <v>0</v>
      </c>
      <c r="Q882" s="765"/>
      <c r="R882" s="576">
        <f t="shared" si="247"/>
        <v>0</v>
      </c>
      <c r="S882" s="576">
        <f t="shared" si="247"/>
        <v>0</v>
      </c>
      <c r="T882" s="577">
        <f t="shared" si="248"/>
        <v>0</v>
      </c>
      <c r="U882" s="578">
        <f t="shared" si="249"/>
        <v>0</v>
      </c>
      <c r="V882" s="579"/>
      <c r="W882" s="566"/>
      <c r="X882" s="586" t="str">
        <f t="shared" si="252"/>
        <v/>
      </c>
      <c r="Y882" s="586" t="str">
        <f t="shared" si="258"/>
        <v/>
      </c>
      <c r="Z882" s="586" t="str">
        <f t="shared" si="239"/>
        <v/>
      </c>
    </row>
    <row r="883" spans="1:26" ht="23.25" hidden="1" thickBot="1" x14ac:dyDescent="0.25">
      <c r="A883" s="567">
        <v>763</v>
      </c>
      <c r="B883" s="644">
        <v>763</v>
      </c>
      <c r="C883" s="645" t="s">
        <v>458</v>
      </c>
      <c r="D883" s="422" t="s">
        <v>1962</v>
      </c>
      <c r="E883" s="423"/>
      <c r="F883" s="424"/>
      <c r="G883" s="425"/>
      <c r="H883" s="651"/>
      <c r="I883" s="420">
        <v>23.3</v>
      </c>
      <c r="J883" s="420">
        <f t="shared" si="257"/>
        <v>23.3</v>
      </c>
      <c r="K883" s="421">
        <f t="shared" si="254"/>
        <v>27.68</v>
      </c>
      <c r="L883" s="647" t="s">
        <v>21</v>
      </c>
      <c r="M883" s="576"/>
      <c r="N883" s="576">
        <f t="shared" si="256"/>
        <v>0</v>
      </c>
      <c r="O883" s="577">
        <f t="shared" si="250"/>
        <v>0</v>
      </c>
      <c r="P883" s="578">
        <f t="shared" si="251"/>
        <v>0</v>
      </c>
      <c r="Q883" s="765"/>
      <c r="R883" s="576">
        <f t="shared" si="247"/>
        <v>0</v>
      </c>
      <c r="S883" s="576">
        <f t="shared" si="247"/>
        <v>0</v>
      </c>
      <c r="T883" s="577">
        <f t="shared" si="248"/>
        <v>0</v>
      </c>
      <c r="U883" s="578">
        <f t="shared" si="249"/>
        <v>0</v>
      </c>
      <c r="V883" s="579"/>
      <c r="W883" s="566"/>
      <c r="X883" s="586" t="str">
        <f t="shared" si="252"/>
        <v/>
      </c>
      <c r="Y883" s="586" t="str">
        <f t="shared" si="258"/>
        <v/>
      </c>
      <c r="Z883" s="586" t="str">
        <f t="shared" si="239"/>
        <v/>
      </c>
    </row>
    <row r="884" spans="1:26" ht="12" hidden="1" thickBot="1" x14ac:dyDescent="0.25">
      <c r="A884" s="567">
        <v>767</v>
      </c>
      <c r="B884" s="644">
        <v>767</v>
      </c>
      <c r="C884" s="645" t="s">
        <v>458</v>
      </c>
      <c r="D884" s="422" t="s">
        <v>1963</v>
      </c>
      <c r="E884" s="423"/>
      <c r="F884" s="424">
        <v>0</v>
      </c>
      <c r="G884" s="425"/>
      <c r="H884" s="651">
        <v>0</v>
      </c>
      <c r="I884" s="420">
        <v>19.53</v>
      </c>
      <c r="J884" s="420">
        <f t="shared" si="257"/>
        <v>19.53</v>
      </c>
      <c r="K884" s="421">
        <f t="shared" si="254"/>
        <v>23.2</v>
      </c>
      <c r="L884" s="647" t="s">
        <v>21</v>
      </c>
      <c r="M884" s="576"/>
      <c r="N884" s="576">
        <f t="shared" si="256"/>
        <v>0</v>
      </c>
      <c r="O884" s="577">
        <f t="shared" si="250"/>
        <v>0</v>
      </c>
      <c r="P884" s="578">
        <f t="shared" si="251"/>
        <v>0</v>
      </c>
      <c r="Q884" s="765"/>
      <c r="R884" s="576">
        <f t="shared" ref="R884:S947" si="259">M884</f>
        <v>0</v>
      </c>
      <c r="S884" s="576">
        <f t="shared" si="259"/>
        <v>0</v>
      </c>
      <c r="T884" s="577">
        <f t="shared" ref="T884:T947" si="260">IF(ISBLANK(R884),0,ROUND(K884*R884,2))</f>
        <v>0</v>
      </c>
      <c r="U884" s="578">
        <f t="shared" ref="U884:U947" si="261">IF(ISBLANK(R884),0,ROUND(R884*S884,2))</f>
        <v>0</v>
      </c>
      <c r="V884" s="579"/>
      <c r="W884" s="566"/>
      <c r="X884" s="586" t="str">
        <f t="shared" si="252"/>
        <v/>
      </c>
      <c r="Y884" s="586" t="str">
        <f t="shared" si="258"/>
        <v/>
      </c>
      <c r="Z884" s="586" t="str">
        <f t="shared" si="239"/>
        <v/>
      </c>
    </row>
    <row r="885" spans="1:26" ht="12" hidden="1" thickBot="1" x14ac:dyDescent="0.25">
      <c r="A885" s="567">
        <v>768</v>
      </c>
      <c r="B885" s="644">
        <v>768</v>
      </c>
      <c r="C885" s="645" t="s">
        <v>458</v>
      </c>
      <c r="D885" s="422" t="s">
        <v>1964</v>
      </c>
      <c r="E885" s="423"/>
      <c r="F885" s="424">
        <v>0</v>
      </c>
      <c r="G885" s="425"/>
      <c r="H885" s="651">
        <v>0</v>
      </c>
      <c r="I885" s="420">
        <v>44.54</v>
      </c>
      <c r="J885" s="420">
        <f t="shared" si="257"/>
        <v>44.54</v>
      </c>
      <c r="K885" s="421">
        <f t="shared" si="254"/>
        <v>52.92</v>
      </c>
      <c r="L885" s="647" t="s">
        <v>21</v>
      </c>
      <c r="M885" s="576"/>
      <c r="N885" s="576">
        <f t="shared" si="256"/>
        <v>0</v>
      </c>
      <c r="O885" s="577">
        <f t="shared" ref="O885:O948" si="262">IF(ISBLANK(M885),0,ROUND(K885*M885,2))</f>
        <v>0</v>
      </c>
      <c r="P885" s="578">
        <f t="shared" ref="P885:P948" si="263">IF(ISBLANK(N885),0,ROUND(M885*N885,2))</f>
        <v>0</v>
      </c>
      <c r="Q885" s="765"/>
      <c r="R885" s="576">
        <f t="shared" si="259"/>
        <v>0</v>
      </c>
      <c r="S885" s="576">
        <f t="shared" si="259"/>
        <v>0</v>
      </c>
      <c r="T885" s="577">
        <f t="shared" si="260"/>
        <v>0</v>
      </c>
      <c r="U885" s="578">
        <f t="shared" si="261"/>
        <v>0</v>
      </c>
      <c r="V885" s="579"/>
      <c r="W885" s="566"/>
      <c r="X885" s="586" t="str">
        <f t="shared" si="252"/>
        <v/>
      </c>
      <c r="Y885" s="586" t="str">
        <f t="shared" si="258"/>
        <v/>
      </c>
      <c r="Z885" s="586" t="str">
        <f t="shared" si="239"/>
        <v/>
      </c>
    </row>
    <row r="886" spans="1:26" ht="12" hidden="1" thickBot="1" x14ac:dyDescent="0.25">
      <c r="A886" s="567">
        <v>769</v>
      </c>
      <c r="B886" s="644">
        <v>769</v>
      </c>
      <c r="C886" s="645" t="s">
        <v>458</v>
      </c>
      <c r="D886" s="422" t="s">
        <v>1965</v>
      </c>
      <c r="E886" s="423"/>
      <c r="F886" s="424">
        <v>0</v>
      </c>
      <c r="G886" s="425"/>
      <c r="H886" s="651">
        <v>0</v>
      </c>
      <c r="I886" s="420">
        <v>163.77000000000001</v>
      </c>
      <c r="J886" s="420">
        <f t="shared" si="257"/>
        <v>163.77000000000001</v>
      </c>
      <c r="K886" s="421">
        <f t="shared" si="254"/>
        <v>194.58</v>
      </c>
      <c r="L886" s="647" t="s">
        <v>21</v>
      </c>
      <c r="M886" s="576"/>
      <c r="N886" s="576">
        <f t="shared" si="256"/>
        <v>0</v>
      </c>
      <c r="O886" s="577">
        <f t="shared" si="262"/>
        <v>0</v>
      </c>
      <c r="P886" s="578">
        <f t="shared" si="263"/>
        <v>0</v>
      </c>
      <c r="Q886" s="765"/>
      <c r="R886" s="576">
        <f t="shared" si="259"/>
        <v>0</v>
      </c>
      <c r="S886" s="576">
        <f t="shared" si="259"/>
        <v>0</v>
      </c>
      <c r="T886" s="577">
        <f t="shared" si="260"/>
        <v>0</v>
      </c>
      <c r="U886" s="578">
        <f t="shared" si="261"/>
        <v>0</v>
      </c>
      <c r="V886" s="579"/>
      <c r="W886" s="566"/>
      <c r="X886" s="586" t="str">
        <f t="shared" si="252"/>
        <v/>
      </c>
      <c r="Y886" s="586" t="str">
        <f t="shared" si="258"/>
        <v/>
      </c>
      <c r="Z886" s="586" t="str">
        <f t="shared" si="239"/>
        <v/>
      </c>
    </row>
    <row r="887" spans="1:26" ht="12" hidden="1" thickBot="1" x14ac:dyDescent="0.25">
      <c r="A887" s="567">
        <v>770</v>
      </c>
      <c r="B887" s="644">
        <v>770</v>
      </c>
      <c r="C887" s="645" t="s">
        <v>458</v>
      </c>
      <c r="D887" s="422" t="s">
        <v>1966</v>
      </c>
      <c r="E887" s="423"/>
      <c r="F887" s="424"/>
      <c r="G887" s="425"/>
      <c r="H887" s="651"/>
      <c r="I887" s="420">
        <v>56.53</v>
      </c>
      <c r="J887" s="420">
        <f t="shared" si="257"/>
        <v>56.53</v>
      </c>
      <c r="K887" s="421">
        <f t="shared" si="254"/>
        <v>67.16</v>
      </c>
      <c r="L887" s="647" t="s">
        <v>21</v>
      </c>
      <c r="M887" s="576"/>
      <c r="N887" s="576">
        <f t="shared" si="256"/>
        <v>0</v>
      </c>
      <c r="O887" s="577">
        <f t="shared" si="262"/>
        <v>0</v>
      </c>
      <c r="P887" s="578">
        <f t="shared" si="263"/>
        <v>0</v>
      </c>
      <c r="Q887" s="765"/>
      <c r="R887" s="576">
        <f t="shared" si="259"/>
        <v>0</v>
      </c>
      <c r="S887" s="576">
        <f t="shared" si="259"/>
        <v>0</v>
      </c>
      <c r="T887" s="577">
        <f t="shared" si="260"/>
        <v>0</v>
      </c>
      <c r="U887" s="578">
        <f t="shared" si="261"/>
        <v>0</v>
      </c>
      <c r="V887" s="579"/>
      <c r="W887" s="566"/>
      <c r="X887" s="586" t="str">
        <f t="shared" si="252"/>
        <v/>
      </c>
      <c r="Y887" s="586" t="str">
        <f t="shared" si="258"/>
        <v/>
      </c>
      <c r="Z887" s="586" t="str">
        <f t="shared" si="239"/>
        <v/>
      </c>
    </row>
    <row r="888" spans="1:26" ht="12" hidden="1" thickBot="1" x14ac:dyDescent="0.25">
      <c r="A888" s="567" t="s">
        <v>527</v>
      </c>
      <c r="B888" s="644" t="s">
        <v>527</v>
      </c>
      <c r="C888" s="645" t="s">
        <v>458</v>
      </c>
      <c r="D888" s="422" t="s">
        <v>1967</v>
      </c>
      <c r="E888" s="423"/>
      <c r="F888" s="424"/>
      <c r="G888" s="425"/>
      <c r="H888" s="651"/>
      <c r="I888" s="420">
        <v>22.61</v>
      </c>
      <c r="J888" s="420">
        <f t="shared" si="257"/>
        <v>22.61</v>
      </c>
      <c r="K888" s="421">
        <f t="shared" si="254"/>
        <v>26.86</v>
      </c>
      <c r="L888" s="647" t="s">
        <v>21</v>
      </c>
      <c r="M888" s="576"/>
      <c r="N888" s="576">
        <f t="shared" si="256"/>
        <v>0</v>
      </c>
      <c r="O888" s="577">
        <f t="shared" si="262"/>
        <v>0</v>
      </c>
      <c r="P888" s="578">
        <f t="shared" si="263"/>
        <v>0</v>
      </c>
      <c r="Q888" s="765"/>
      <c r="R888" s="576">
        <f t="shared" si="259"/>
        <v>0</v>
      </c>
      <c r="S888" s="576">
        <f t="shared" si="259"/>
        <v>0</v>
      </c>
      <c r="T888" s="577">
        <f t="shared" si="260"/>
        <v>0</v>
      </c>
      <c r="U888" s="578">
        <f t="shared" si="261"/>
        <v>0</v>
      </c>
      <c r="V888" s="579"/>
      <c r="W888" s="566"/>
      <c r="X888" s="586" t="str">
        <f t="shared" si="252"/>
        <v/>
      </c>
      <c r="Y888" s="586" t="str">
        <f t="shared" si="258"/>
        <v/>
      </c>
      <c r="Z888" s="586" t="str">
        <f t="shared" si="239"/>
        <v/>
      </c>
    </row>
    <row r="889" spans="1:26" ht="12" hidden="1" thickBot="1" x14ac:dyDescent="0.25">
      <c r="A889" s="567">
        <v>771</v>
      </c>
      <c r="B889" s="644">
        <v>771</v>
      </c>
      <c r="C889" s="645" t="s">
        <v>458</v>
      </c>
      <c r="D889" s="422" t="s">
        <v>1968</v>
      </c>
      <c r="E889" s="423"/>
      <c r="F889" s="424"/>
      <c r="G889" s="425"/>
      <c r="H889" s="651"/>
      <c r="I889" s="420">
        <v>81.2</v>
      </c>
      <c r="J889" s="420">
        <f t="shared" ref="J889:J895" si="264">IF(ISBLANK(I889),"",SUM(H889:I889))</f>
        <v>81.2</v>
      </c>
      <c r="K889" s="421">
        <f t="shared" si="254"/>
        <v>96.47</v>
      </c>
      <c r="L889" s="647" t="s">
        <v>21</v>
      </c>
      <c r="M889" s="576"/>
      <c r="N889" s="576">
        <f t="shared" si="256"/>
        <v>0</v>
      </c>
      <c r="O889" s="577">
        <f t="shared" si="262"/>
        <v>0</v>
      </c>
      <c r="P889" s="578">
        <f t="shared" si="263"/>
        <v>0</v>
      </c>
      <c r="Q889" s="765"/>
      <c r="R889" s="576">
        <f t="shared" si="259"/>
        <v>0</v>
      </c>
      <c r="S889" s="576">
        <f t="shared" si="259"/>
        <v>0</v>
      </c>
      <c r="T889" s="577">
        <f t="shared" si="260"/>
        <v>0</v>
      </c>
      <c r="U889" s="578">
        <f t="shared" si="261"/>
        <v>0</v>
      </c>
      <c r="V889" s="579"/>
      <c r="W889" s="566"/>
      <c r="X889" s="586" t="str">
        <f t="shared" si="252"/>
        <v/>
      </c>
      <c r="Y889" s="586" t="str">
        <f t="shared" si="258"/>
        <v/>
      </c>
      <c r="Z889" s="586" t="str">
        <f t="shared" si="239"/>
        <v/>
      </c>
    </row>
    <row r="890" spans="1:26" ht="12" hidden="1" thickBot="1" x14ac:dyDescent="0.25">
      <c r="A890" s="567" t="s">
        <v>528</v>
      </c>
      <c r="B890" s="644" t="s">
        <v>528</v>
      </c>
      <c r="C890" s="645" t="s">
        <v>458</v>
      </c>
      <c r="D890" s="422" t="s">
        <v>1969</v>
      </c>
      <c r="E890" s="423"/>
      <c r="F890" s="424"/>
      <c r="G890" s="425"/>
      <c r="H890" s="651"/>
      <c r="I890" s="420">
        <v>32.549999999999997</v>
      </c>
      <c r="J890" s="420">
        <f t="shared" si="264"/>
        <v>32.549999999999997</v>
      </c>
      <c r="K890" s="421">
        <f t="shared" si="254"/>
        <v>38.67</v>
      </c>
      <c r="L890" s="647" t="s">
        <v>21</v>
      </c>
      <c r="M890" s="576"/>
      <c r="N890" s="576">
        <f t="shared" si="256"/>
        <v>0</v>
      </c>
      <c r="O890" s="577">
        <f t="shared" si="262"/>
        <v>0</v>
      </c>
      <c r="P890" s="578">
        <f t="shared" si="263"/>
        <v>0</v>
      </c>
      <c r="Q890" s="765"/>
      <c r="R890" s="576">
        <f t="shared" si="259"/>
        <v>0</v>
      </c>
      <c r="S890" s="576">
        <f t="shared" si="259"/>
        <v>0</v>
      </c>
      <c r="T890" s="577">
        <f t="shared" si="260"/>
        <v>0</v>
      </c>
      <c r="U890" s="578">
        <f t="shared" si="261"/>
        <v>0</v>
      </c>
      <c r="V890" s="579"/>
      <c r="W890" s="566"/>
      <c r="X890" s="586" t="str">
        <f t="shared" si="252"/>
        <v/>
      </c>
      <c r="Y890" s="586" t="str">
        <f t="shared" si="258"/>
        <v/>
      </c>
      <c r="Z890" s="586" t="str">
        <f t="shared" si="239"/>
        <v/>
      </c>
    </row>
    <row r="891" spans="1:26" ht="12" hidden="1" thickBot="1" x14ac:dyDescent="0.25">
      <c r="A891" s="567">
        <v>772</v>
      </c>
      <c r="B891" s="644">
        <v>772</v>
      </c>
      <c r="C891" s="645" t="s">
        <v>458</v>
      </c>
      <c r="D891" s="422" t="s">
        <v>1970</v>
      </c>
      <c r="E891" s="423"/>
      <c r="F891" s="424"/>
      <c r="G891" s="425"/>
      <c r="H891" s="651"/>
      <c r="I891" s="420">
        <v>26.72</v>
      </c>
      <c r="J891" s="420">
        <f t="shared" si="264"/>
        <v>26.72</v>
      </c>
      <c r="K891" s="421">
        <f t="shared" si="254"/>
        <v>31.75</v>
      </c>
      <c r="L891" s="647" t="s">
        <v>21</v>
      </c>
      <c r="M891" s="576"/>
      <c r="N891" s="576">
        <f t="shared" si="256"/>
        <v>0</v>
      </c>
      <c r="O891" s="577">
        <f t="shared" si="262"/>
        <v>0</v>
      </c>
      <c r="P891" s="578">
        <f t="shared" si="263"/>
        <v>0</v>
      </c>
      <c r="Q891" s="765"/>
      <c r="R891" s="576">
        <f t="shared" si="259"/>
        <v>0</v>
      </c>
      <c r="S891" s="576">
        <f t="shared" si="259"/>
        <v>0</v>
      </c>
      <c r="T891" s="577">
        <f t="shared" si="260"/>
        <v>0</v>
      </c>
      <c r="U891" s="578">
        <f t="shared" si="261"/>
        <v>0</v>
      </c>
      <c r="V891" s="579"/>
      <c r="W891" s="566"/>
      <c r="X891" s="586" t="str">
        <f t="shared" si="252"/>
        <v/>
      </c>
      <c r="Y891" s="586" t="str">
        <f t="shared" si="258"/>
        <v/>
      </c>
      <c r="Z891" s="586" t="str">
        <f t="shared" si="239"/>
        <v/>
      </c>
    </row>
    <row r="892" spans="1:26" ht="12" hidden="1" thickBot="1" x14ac:dyDescent="0.25">
      <c r="A892" s="567" t="s">
        <v>529</v>
      </c>
      <c r="B892" s="644" t="s">
        <v>529</v>
      </c>
      <c r="C892" s="645" t="s">
        <v>458</v>
      </c>
      <c r="D892" s="422" t="s">
        <v>1971</v>
      </c>
      <c r="E892" s="423"/>
      <c r="F892" s="424"/>
      <c r="G892" s="425"/>
      <c r="H892" s="651"/>
      <c r="I892" s="420">
        <v>10.62</v>
      </c>
      <c r="J892" s="420">
        <f t="shared" si="264"/>
        <v>10.62</v>
      </c>
      <c r="K892" s="421">
        <f t="shared" si="254"/>
        <v>12.62</v>
      </c>
      <c r="L892" s="647" t="s">
        <v>21</v>
      </c>
      <c r="M892" s="576"/>
      <c r="N892" s="576">
        <f t="shared" si="256"/>
        <v>0</v>
      </c>
      <c r="O892" s="577">
        <f t="shared" si="262"/>
        <v>0</v>
      </c>
      <c r="P892" s="578">
        <f t="shared" si="263"/>
        <v>0</v>
      </c>
      <c r="Q892" s="765"/>
      <c r="R892" s="576">
        <f t="shared" si="259"/>
        <v>0</v>
      </c>
      <c r="S892" s="576">
        <f t="shared" si="259"/>
        <v>0</v>
      </c>
      <c r="T892" s="577">
        <f t="shared" si="260"/>
        <v>0</v>
      </c>
      <c r="U892" s="578">
        <f t="shared" si="261"/>
        <v>0</v>
      </c>
      <c r="V892" s="579"/>
      <c r="W892" s="566"/>
      <c r="X892" s="586" t="str">
        <f t="shared" si="252"/>
        <v/>
      </c>
      <c r="Y892" s="586" t="str">
        <f t="shared" si="258"/>
        <v/>
      </c>
      <c r="Z892" s="586" t="str">
        <f t="shared" si="239"/>
        <v/>
      </c>
    </row>
    <row r="893" spans="1:26" ht="12" hidden="1" thickBot="1" x14ac:dyDescent="0.25">
      <c r="A893" s="567">
        <v>773</v>
      </c>
      <c r="B893" s="644">
        <v>773</v>
      </c>
      <c r="C893" s="645" t="s">
        <v>458</v>
      </c>
      <c r="D893" s="422" t="s">
        <v>1972</v>
      </c>
      <c r="E893" s="423"/>
      <c r="F893" s="424"/>
      <c r="G893" s="425"/>
      <c r="H893" s="651"/>
      <c r="I893" s="420">
        <v>88.39</v>
      </c>
      <c r="J893" s="420">
        <f t="shared" si="264"/>
        <v>88.39</v>
      </c>
      <c r="K893" s="421">
        <f t="shared" si="254"/>
        <v>105.02</v>
      </c>
      <c r="L893" s="647" t="s">
        <v>21</v>
      </c>
      <c r="M893" s="576"/>
      <c r="N893" s="576">
        <f t="shared" si="256"/>
        <v>0</v>
      </c>
      <c r="O893" s="577">
        <f t="shared" si="262"/>
        <v>0</v>
      </c>
      <c r="P893" s="578">
        <f t="shared" si="263"/>
        <v>0</v>
      </c>
      <c r="Q893" s="765"/>
      <c r="R893" s="576">
        <f t="shared" si="259"/>
        <v>0</v>
      </c>
      <c r="S893" s="576">
        <f t="shared" si="259"/>
        <v>0</v>
      </c>
      <c r="T893" s="577">
        <f t="shared" si="260"/>
        <v>0</v>
      </c>
      <c r="U893" s="578">
        <f t="shared" si="261"/>
        <v>0</v>
      </c>
      <c r="V893" s="579"/>
      <c r="W893" s="566"/>
      <c r="X893" s="586" t="str">
        <f t="shared" ref="X893:X956" si="265">IF(W893="X","x",IF(W893="xx","x",IF(W893="xy","x",IF(W893="y","x",IF(OR(P893&gt;0,U893&gt;0),"x","")))))</f>
        <v/>
      </c>
      <c r="Y893" s="586" t="str">
        <f t="shared" si="258"/>
        <v/>
      </c>
      <c r="Z893" s="586" t="str">
        <f t="shared" si="239"/>
        <v/>
      </c>
    </row>
    <row r="894" spans="1:26" ht="12" hidden="1" thickBot="1" x14ac:dyDescent="0.25">
      <c r="A894" s="567">
        <v>774</v>
      </c>
      <c r="B894" s="644">
        <v>774</v>
      </c>
      <c r="C894" s="645" t="s">
        <v>458</v>
      </c>
      <c r="D894" s="422" t="s">
        <v>1973</v>
      </c>
      <c r="E894" s="423"/>
      <c r="F894" s="424"/>
      <c r="G894" s="425"/>
      <c r="H894" s="651"/>
      <c r="I894" s="420">
        <v>119.92</v>
      </c>
      <c r="J894" s="420">
        <f t="shared" si="264"/>
        <v>119.92</v>
      </c>
      <c r="K894" s="421">
        <f t="shared" si="254"/>
        <v>142.47999999999999</v>
      </c>
      <c r="L894" s="647" t="s">
        <v>21</v>
      </c>
      <c r="M894" s="576"/>
      <c r="N894" s="576">
        <f t="shared" si="256"/>
        <v>0</v>
      </c>
      <c r="O894" s="577">
        <f t="shared" si="262"/>
        <v>0</v>
      </c>
      <c r="P894" s="578">
        <f t="shared" si="263"/>
        <v>0</v>
      </c>
      <c r="Q894" s="765"/>
      <c r="R894" s="576">
        <f t="shared" si="259"/>
        <v>0</v>
      </c>
      <c r="S894" s="576">
        <f t="shared" si="259"/>
        <v>0</v>
      </c>
      <c r="T894" s="577">
        <f t="shared" si="260"/>
        <v>0</v>
      </c>
      <c r="U894" s="578">
        <f t="shared" si="261"/>
        <v>0</v>
      </c>
      <c r="V894" s="579"/>
      <c r="W894" s="566"/>
      <c r="X894" s="586" t="str">
        <f t="shared" si="265"/>
        <v/>
      </c>
      <c r="Y894" s="586" t="str">
        <f t="shared" si="258"/>
        <v/>
      </c>
      <c r="Z894" s="586" t="str">
        <f t="shared" si="239"/>
        <v/>
      </c>
    </row>
    <row r="895" spans="1:26" ht="12" hidden="1" thickBot="1" x14ac:dyDescent="0.25">
      <c r="A895" s="567" t="s">
        <v>530</v>
      </c>
      <c r="B895" s="644" t="s">
        <v>530</v>
      </c>
      <c r="C895" s="645" t="s">
        <v>458</v>
      </c>
      <c r="D895" s="422" t="s">
        <v>1974</v>
      </c>
      <c r="E895" s="423"/>
      <c r="F895" s="424"/>
      <c r="G895" s="425"/>
      <c r="H895" s="651"/>
      <c r="I895" s="420">
        <v>17.13</v>
      </c>
      <c r="J895" s="420">
        <f t="shared" si="264"/>
        <v>17.13</v>
      </c>
      <c r="K895" s="421">
        <f t="shared" si="254"/>
        <v>20.350000000000001</v>
      </c>
      <c r="L895" s="647" t="s">
        <v>21</v>
      </c>
      <c r="M895" s="576"/>
      <c r="N895" s="576">
        <f t="shared" si="256"/>
        <v>0</v>
      </c>
      <c r="O895" s="577">
        <f t="shared" si="262"/>
        <v>0</v>
      </c>
      <c r="P895" s="578">
        <f t="shared" si="263"/>
        <v>0</v>
      </c>
      <c r="Q895" s="765"/>
      <c r="R895" s="576">
        <f t="shared" si="259"/>
        <v>0</v>
      </c>
      <c r="S895" s="576">
        <f t="shared" si="259"/>
        <v>0</v>
      </c>
      <c r="T895" s="577">
        <f t="shared" si="260"/>
        <v>0</v>
      </c>
      <c r="U895" s="578">
        <f t="shared" si="261"/>
        <v>0</v>
      </c>
      <c r="V895" s="579"/>
      <c r="W895" s="566"/>
      <c r="X895" s="586" t="str">
        <f t="shared" si="265"/>
        <v/>
      </c>
      <c r="Y895" s="586" t="str">
        <f t="shared" si="258"/>
        <v/>
      </c>
      <c r="Z895" s="586" t="str">
        <f t="shared" si="239"/>
        <v/>
      </c>
    </row>
    <row r="896" spans="1:26" ht="23.25" hidden="1" thickBot="1" x14ac:dyDescent="0.25">
      <c r="A896" s="567">
        <v>775</v>
      </c>
      <c r="B896" s="644">
        <v>775</v>
      </c>
      <c r="C896" s="645" t="s">
        <v>458</v>
      </c>
      <c r="D896" s="422" t="s">
        <v>1975</v>
      </c>
      <c r="E896" s="423"/>
      <c r="F896" s="424"/>
      <c r="G896" s="425"/>
      <c r="H896" s="651"/>
      <c r="I896" s="420">
        <v>14.05</v>
      </c>
      <c r="J896" s="420">
        <f t="shared" ref="J896:J920" si="266">IF(ISBLANK(I896),"",SUM(H896:I896))</f>
        <v>14.05</v>
      </c>
      <c r="K896" s="421">
        <f t="shared" si="254"/>
        <v>16.690000000000001</v>
      </c>
      <c r="L896" s="647" t="s">
        <v>21</v>
      </c>
      <c r="M896" s="576"/>
      <c r="N896" s="576">
        <f t="shared" si="256"/>
        <v>0</v>
      </c>
      <c r="O896" s="577">
        <f t="shared" si="262"/>
        <v>0</v>
      </c>
      <c r="P896" s="578">
        <f t="shared" si="263"/>
        <v>0</v>
      </c>
      <c r="Q896" s="765"/>
      <c r="R896" s="576">
        <f t="shared" si="259"/>
        <v>0</v>
      </c>
      <c r="S896" s="576">
        <f t="shared" si="259"/>
        <v>0</v>
      </c>
      <c r="T896" s="577">
        <f t="shared" si="260"/>
        <v>0</v>
      </c>
      <c r="U896" s="578">
        <f t="shared" si="261"/>
        <v>0</v>
      </c>
      <c r="V896" s="579"/>
      <c r="W896" s="566"/>
      <c r="X896" s="586" t="str">
        <f t="shared" si="265"/>
        <v/>
      </c>
      <c r="Y896" s="586" t="str">
        <f t="shared" si="258"/>
        <v/>
      </c>
      <c r="Z896" s="586" t="str">
        <f t="shared" si="239"/>
        <v/>
      </c>
    </row>
    <row r="897" spans="1:26" ht="12" hidden="1" thickBot="1" x14ac:dyDescent="0.25">
      <c r="A897" s="567">
        <v>776</v>
      </c>
      <c r="B897" s="644">
        <v>776</v>
      </c>
      <c r="C897" s="645" t="s">
        <v>458</v>
      </c>
      <c r="D897" s="422" t="s">
        <v>1976</v>
      </c>
      <c r="E897" s="423"/>
      <c r="F897" s="424"/>
      <c r="G897" s="425"/>
      <c r="H897" s="651"/>
      <c r="I897" s="420">
        <v>17.47</v>
      </c>
      <c r="J897" s="420">
        <f t="shared" si="266"/>
        <v>17.47</v>
      </c>
      <c r="K897" s="421">
        <f t="shared" si="254"/>
        <v>20.76</v>
      </c>
      <c r="L897" s="647" t="s">
        <v>21</v>
      </c>
      <c r="M897" s="576"/>
      <c r="N897" s="576">
        <f t="shared" si="256"/>
        <v>0</v>
      </c>
      <c r="O897" s="577">
        <f t="shared" si="262"/>
        <v>0</v>
      </c>
      <c r="P897" s="578">
        <f t="shared" si="263"/>
        <v>0</v>
      </c>
      <c r="Q897" s="765"/>
      <c r="R897" s="576">
        <f t="shared" si="259"/>
        <v>0</v>
      </c>
      <c r="S897" s="576">
        <f t="shared" si="259"/>
        <v>0</v>
      </c>
      <c r="T897" s="577">
        <f t="shared" si="260"/>
        <v>0</v>
      </c>
      <c r="U897" s="578">
        <f t="shared" si="261"/>
        <v>0</v>
      </c>
      <c r="V897" s="579"/>
      <c r="W897" s="566"/>
      <c r="X897" s="586" t="str">
        <f t="shared" si="265"/>
        <v/>
      </c>
      <c r="Y897" s="586" t="str">
        <f t="shared" si="258"/>
        <v/>
      </c>
      <c r="Z897" s="586" t="str">
        <f t="shared" si="239"/>
        <v/>
      </c>
    </row>
    <row r="898" spans="1:26" ht="12" hidden="1" thickBot="1" x14ac:dyDescent="0.25">
      <c r="A898" s="567" t="s">
        <v>531</v>
      </c>
      <c r="B898" s="644" t="s">
        <v>531</v>
      </c>
      <c r="C898" s="645" t="s">
        <v>458</v>
      </c>
      <c r="D898" s="422" t="s">
        <v>1977</v>
      </c>
      <c r="E898" s="423"/>
      <c r="F898" s="424"/>
      <c r="G898" s="425"/>
      <c r="H898" s="651"/>
      <c r="I898" s="420">
        <v>6.85</v>
      </c>
      <c r="J898" s="420">
        <f t="shared" si="266"/>
        <v>6.85</v>
      </c>
      <c r="K898" s="421">
        <f t="shared" si="254"/>
        <v>8.14</v>
      </c>
      <c r="L898" s="647" t="s">
        <v>21</v>
      </c>
      <c r="M898" s="576"/>
      <c r="N898" s="576">
        <f t="shared" si="256"/>
        <v>0</v>
      </c>
      <c r="O898" s="577">
        <f t="shared" si="262"/>
        <v>0</v>
      </c>
      <c r="P898" s="578">
        <f t="shared" si="263"/>
        <v>0</v>
      </c>
      <c r="Q898" s="765"/>
      <c r="R898" s="576">
        <f t="shared" si="259"/>
        <v>0</v>
      </c>
      <c r="S898" s="576">
        <f t="shared" si="259"/>
        <v>0</v>
      </c>
      <c r="T898" s="577">
        <f t="shared" si="260"/>
        <v>0</v>
      </c>
      <c r="U898" s="578">
        <f t="shared" si="261"/>
        <v>0</v>
      </c>
      <c r="V898" s="579"/>
      <c r="W898" s="566"/>
      <c r="X898" s="586" t="str">
        <f t="shared" si="265"/>
        <v/>
      </c>
      <c r="Y898" s="586" t="str">
        <f t="shared" si="258"/>
        <v/>
      </c>
      <c r="Z898" s="586" t="str">
        <f t="shared" si="239"/>
        <v/>
      </c>
    </row>
    <row r="899" spans="1:26" ht="12" hidden="1" thickBot="1" x14ac:dyDescent="0.25">
      <c r="A899" s="567">
        <v>862</v>
      </c>
      <c r="B899" s="644">
        <v>862</v>
      </c>
      <c r="C899" s="645" t="s">
        <v>458</v>
      </c>
      <c r="D899" s="427" t="s">
        <v>1978</v>
      </c>
      <c r="E899" s="423"/>
      <c r="F899" s="424"/>
      <c r="G899" s="425"/>
      <c r="H899" s="651"/>
      <c r="I899" s="420">
        <v>425.19</v>
      </c>
      <c r="J899" s="420">
        <f t="shared" si="266"/>
        <v>425.19</v>
      </c>
      <c r="K899" s="421">
        <f t="shared" si="254"/>
        <v>505.17</v>
      </c>
      <c r="L899" s="647" t="s">
        <v>16</v>
      </c>
      <c r="M899" s="576"/>
      <c r="N899" s="576">
        <f t="shared" si="256"/>
        <v>0</v>
      </c>
      <c r="O899" s="577">
        <f t="shared" si="262"/>
        <v>0</v>
      </c>
      <c r="P899" s="578">
        <f t="shared" si="263"/>
        <v>0</v>
      </c>
      <c r="Q899" s="765"/>
      <c r="R899" s="576">
        <f t="shared" si="259"/>
        <v>0</v>
      </c>
      <c r="S899" s="576">
        <f t="shared" si="259"/>
        <v>0</v>
      </c>
      <c r="T899" s="577">
        <f t="shared" si="260"/>
        <v>0</v>
      </c>
      <c r="U899" s="578">
        <f t="shared" si="261"/>
        <v>0</v>
      </c>
      <c r="V899" s="579"/>
      <c r="W899" s="566"/>
      <c r="X899" s="586" t="str">
        <f t="shared" si="265"/>
        <v/>
      </c>
      <c r="Y899" s="586" t="str">
        <f t="shared" si="258"/>
        <v/>
      </c>
      <c r="Z899" s="586" t="str">
        <f t="shared" si="239"/>
        <v/>
      </c>
    </row>
    <row r="900" spans="1:26" ht="12" hidden="1" thickBot="1" x14ac:dyDescent="0.25">
      <c r="A900" s="567" t="s">
        <v>532</v>
      </c>
      <c r="B900" s="644" t="s">
        <v>532</v>
      </c>
      <c r="C900" s="645" t="s">
        <v>458</v>
      </c>
      <c r="D900" s="422" t="s">
        <v>1979</v>
      </c>
      <c r="E900" s="423"/>
      <c r="F900" s="424"/>
      <c r="G900" s="425"/>
      <c r="H900" s="651"/>
      <c r="I900" s="420">
        <v>297.73</v>
      </c>
      <c r="J900" s="420">
        <f t="shared" si="266"/>
        <v>297.73</v>
      </c>
      <c r="K900" s="421">
        <f t="shared" si="254"/>
        <v>353.73</v>
      </c>
      <c r="L900" s="647" t="s">
        <v>16</v>
      </c>
      <c r="M900" s="576"/>
      <c r="N900" s="576">
        <f t="shared" si="256"/>
        <v>0</v>
      </c>
      <c r="O900" s="577">
        <f t="shared" si="262"/>
        <v>0</v>
      </c>
      <c r="P900" s="578">
        <f t="shared" si="263"/>
        <v>0</v>
      </c>
      <c r="Q900" s="765"/>
      <c r="R900" s="576">
        <f t="shared" si="259"/>
        <v>0</v>
      </c>
      <c r="S900" s="576">
        <f t="shared" si="259"/>
        <v>0</v>
      </c>
      <c r="T900" s="577">
        <f t="shared" si="260"/>
        <v>0</v>
      </c>
      <c r="U900" s="578">
        <f t="shared" si="261"/>
        <v>0</v>
      </c>
      <c r="V900" s="579"/>
      <c r="W900" s="566"/>
      <c r="X900" s="586" t="str">
        <f t="shared" si="265"/>
        <v/>
      </c>
      <c r="Y900" s="586" t="str">
        <f t="shared" si="258"/>
        <v/>
      </c>
      <c r="Z900" s="586" t="str">
        <f t="shared" si="239"/>
        <v/>
      </c>
    </row>
    <row r="901" spans="1:26" ht="12" hidden="1" thickBot="1" x14ac:dyDescent="0.25">
      <c r="A901" s="567">
        <v>875</v>
      </c>
      <c r="B901" s="644">
        <v>875</v>
      </c>
      <c r="C901" s="645" t="s">
        <v>458</v>
      </c>
      <c r="D901" s="427" t="s">
        <v>1980</v>
      </c>
      <c r="E901" s="423"/>
      <c r="F901" s="424"/>
      <c r="G901" s="425"/>
      <c r="H901" s="651"/>
      <c r="I901" s="420">
        <v>7.19</v>
      </c>
      <c r="J901" s="420">
        <f t="shared" si="266"/>
        <v>7.19</v>
      </c>
      <c r="K901" s="421">
        <f t="shared" si="254"/>
        <v>8.5399999999999991</v>
      </c>
      <c r="L901" s="647" t="s">
        <v>21</v>
      </c>
      <c r="M901" s="576"/>
      <c r="N901" s="576">
        <f t="shared" si="256"/>
        <v>0</v>
      </c>
      <c r="O901" s="577">
        <f t="shared" si="262"/>
        <v>0</v>
      </c>
      <c r="P901" s="578">
        <f t="shared" si="263"/>
        <v>0</v>
      </c>
      <c r="Q901" s="765"/>
      <c r="R901" s="576">
        <f t="shared" si="259"/>
        <v>0</v>
      </c>
      <c r="S901" s="576">
        <f t="shared" si="259"/>
        <v>0</v>
      </c>
      <c r="T901" s="577">
        <f t="shared" si="260"/>
        <v>0</v>
      </c>
      <c r="U901" s="578">
        <f t="shared" si="261"/>
        <v>0</v>
      </c>
      <c r="V901" s="579"/>
      <c r="W901" s="566"/>
      <c r="X901" s="586" t="str">
        <f t="shared" si="265"/>
        <v/>
      </c>
      <c r="Y901" s="586" t="str">
        <f t="shared" si="258"/>
        <v/>
      </c>
      <c r="Z901" s="586" t="str">
        <f t="shared" si="239"/>
        <v/>
      </c>
    </row>
    <row r="902" spans="1:26" ht="12" hidden="1" thickBot="1" x14ac:dyDescent="0.25">
      <c r="A902" s="567" t="s">
        <v>533</v>
      </c>
      <c r="B902" s="644" t="s">
        <v>533</v>
      </c>
      <c r="C902" s="645" t="s">
        <v>458</v>
      </c>
      <c r="D902" s="427" t="s">
        <v>1981</v>
      </c>
      <c r="E902" s="423"/>
      <c r="F902" s="424"/>
      <c r="G902" s="425"/>
      <c r="H902" s="651"/>
      <c r="I902" s="420">
        <v>2.74</v>
      </c>
      <c r="J902" s="420">
        <f t="shared" si="266"/>
        <v>2.74</v>
      </c>
      <c r="K902" s="421">
        <f t="shared" si="254"/>
        <v>3.26</v>
      </c>
      <c r="L902" s="647" t="s">
        <v>21</v>
      </c>
      <c r="M902" s="576"/>
      <c r="N902" s="576">
        <f t="shared" si="256"/>
        <v>0</v>
      </c>
      <c r="O902" s="577">
        <f t="shared" si="262"/>
        <v>0</v>
      </c>
      <c r="P902" s="578">
        <f t="shared" si="263"/>
        <v>0</v>
      </c>
      <c r="Q902" s="765"/>
      <c r="R902" s="576">
        <f t="shared" si="259"/>
        <v>0</v>
      </c>
      <c r="S902" s="576">
        <f t="shared" si="259"/>
        <v>0</v>
      </c>
      <c r="T902" s="577">
        <f t="shared" si="260"/>
        <v>0</v>
      </c>
      <c r="U902" s="578">
        <f t="shared" si="261"/>
        <v>0</v>
      </c>
      <c r="V902" s="579"/>
      <c r="W902" s="566"/>
      <c r="X902" s="586" t="str">
        <f t="shared" si="265"/>
        <v/>
      </c>
      <c r="Y902" s="586" t="str">
        <f t="shared" si="258"/>
        <v/>
      </c>
      <c r="Z902" s="586" t="str">
        <f t="shared" si="239"/>
        <v/>
      </c>
    </row>
    <row r="903" spans="1:26" ht="12" hidden="1" thickBot="1" x14ac:dyDescent="0.25">
      <c r="A903" s="567">
        <v>780</v>
      </c>
      <c r="B903" s="644">
        <v>780</v>
      </c>
      <c r="C903" s="645" t="s">
        <v>458</v>
      </c>
      <c r="D903" s="422" t="s">
        <v>1982</v>
      </c>
      <c r="E903" s="423"/>
      <c r="F903" s="424"/>
      <c r="G903" s="425"/>
      <c r="H903" s="651"/>
      <c r="I903" s="420">
        <v>528.30999999999995</v>
      </c>
      <c r="J903" s="420">
        <f t="shared" si="266"/>
        <v>528.30999999999995</v>
      </c>
      <c r="K903" s="421">
        <f t="shared" si="254"/>
        <v>627.69000000000005</v>
      </c>
      <c r="L903" s="647" t="s">
        <v>177</v>
      </c>
      <c r="M903" s="576"/>
      <c r="N903" s="576">
        <f t="shared" si="256"/>
        <v>0</v>
      </c>
      <c r="O903" s="577">
        <f t="shared" si="262"/>
        <v>0</v>
      </c>
      <c r="P903" s="578">
        <f t="shared" si="263"/>
        <v>0</v>
      </c>
      <c r="Q903" s="765"/>
      <c r="R903" s="576">
        <f t="shared" si="259"/>
        <v>0</v>
      </c>
      <c r="S903" s="576">
        <f t="shared" si="259"/>
        <v>0</v>
      </c>
      <c r="T903" s="577">
        <f t="shared" si="260"/>
        <v>0</v>
      </c>
      <c r="U903" s="578">
        <f t="shared" si="261"/>
        <v>0</v>
      </c>
      <c r="V903" s="579"/>
      <c r="W903" s="566"/>
      <c r="X903" s="586" t="str">
        <f t="shared" si="265"/>
        <v/>
      </c>
      <c r="Y903" s="586" t="str">
        <f t="shared" si="258"/>
        <v/>
      </c>
      <c r="Z903" s="586" t="str">
        <f t="shared" si="239"/>
        <v/>
      </c>
    </row>
    <row r="904" spans="1:26" ht="12" hidden="1" thickBot="1" x14ac:dyDescent="0.25">
      <c r="A904" s="567" t="s">
        <v>538</v>
      </c>
      <c r="B904" s="644" t="s">
        <v>538</v>
      </c>
      <c r="C904" s="645" t="s">
        <v>458</v>
      </c>
      <c r="D904" s="422" t="s">
        <v>1983</v>
      </c>
      <c r="E904" s="423"/>
      <c r="F904" s="424"/>
      <c r="G904" s="425"/>
      <c r="H904" s="651"/>
      <c r="I904" s="420">
        <v>211.39</v>
      </c>
      <c r="J904" s="420">
        <f t="shared" si="266"/>
        <v>211.39</v>
      </c>
      <c r="K904" s="421">
        <f t="shared" si="254"/>
        <v>251.15</v>
      </c>
      <c r="L904" s="647" t="s">
        <v>177</v>
      </c>
      <c r="M904" s="576"/>
      <c r="N904" s="576">
        <f t="shared" si="256"/>
        <v>0</v>
      </c>
      <c r="O904" s="577">
        <f t="shared" si="262"/>
        <v>0</v>
      </c>
      <c r="P904" s="578">
        <f t="shared" si="263"/>
        <v>0</v>
      </c>
      <c r="Q904" s="765"/>
      <c r="R904" s="576">
        <f t="shared" si="259"/>
        <v>0</v>
      </c>
      <c r="S904" s="576">
        <f t="shared" si="259"/>
        <v>0</v>
      </c>
      <c r="T904" s="577">
        <f t="shared" si="260"/>
        <v>0</v>
      </c>
      <c r="U904" s="578">
        <f t="shared" si="261"/>
        <v>0</v>
      </c>
      <c r="V904" s="579"/>
      <c r="W904" s="566"/>
      <c r="X904" s="586" t="str">
        <f t="shared" si="265"/>
        <v/>
      </c>
      <c r="Y904" s="586" t="str">
        <f t="shared" si="258"/>
        <v/>
      </c>
      <c r="Z904" s="586" t="str">
        <f t="shared" si="239"/>
        <v/>
      </c>
    </row>
    <row r="905" spans="1:26" ht="23.25" hidden="1" thickBot="1" x14ac:dyDescent="0.25">
      <c r="A905" s="567">
        <v>781</v>
      </c>
      <c r="B905" s="644">
        <v>781</v>
      </c>
      <c r="C905" s="645" t="s">
        <v>458</v>
      </c>
      <c r="D905" s="422" t="s">
        <v>1984</v>
      </c>
      <c r="E905" s="423"/>
      <c r="F905" s="424"/>
      <c r="G905" s="425"/>
      <c r="H905" s="651"/>
      <c r="I905" s="420">
        <v>879.15</v>
      </c>
      <c r="J905" s="420">
        <f t="shared" si="266"/>
        <v>879.15</v>
      </c>
      <c r="K905" s="421">
        <f t="shared" ref="K905:K968" si="267">IF(ISBLANK(I905),0,ROUND(J905*(1+$F$10)*(1+$F$11*E905),2))</f>
        <v>1044.52</v>
      </c>
      <c r="L905" s="647" t="s">
        <v>177</v>
      </c>
      <c r="M905" s="576"/>
      <c r="N905" s="576">
        <f t="shared" si="256"/>
        <v>0</v>
      </c>
      <c r="O905" s="577">
        <f t="shared" si="262"/>
        <v>0</v>
      </c>
      <c r="P905" s="578">
        <f t="shared" si="263"/>
        <v>0</v>
      </c>
      <c r="Q905" s="765"/>
      <c r="R905" s="576">
        <f t="shared" si="259"/>
        <v>0</v>
      </c>
      <c r="S905" s="576">
        <f t="shared" si="259"/>
        <v>0</v>
      </c>
      <c r="T905" s="577">
        <f t="shared" si="260"/>
        <v>0</v>
      </c>
      <c r="U905" s="578">
        <f t="shared" si="261"/>
        <v>0</v>
      </c>
      <c r="V905" s="579"/>
      <c r="W905" s="566"/>
      <c r="X905" s="586" t="str">
        <f t="shared" si="265"/>
        <v/>
      </c>
      <c r="Y905" s="586" t="str">
        <f t="shared" si="258"/>
        <v/>
      </c>
      <c r="Z905" s="586" t="str">
        <f t="shared" si="239"/>
        <v/>
      </c>
    </row>
    <row r="906" spans="1:26" ht="12" hidden="1" thickBot="1" x14ac:dyDescent="0.25">
      <c r="A906" s="567" t="s">
        <v>539</v>
      </c>
      <c r="B906" s="644" t="s">
        <v>539</v>
      </c>
      <c r="C906" s="645" t="s">
        <v>458</v>
      </c>
      <c r="D906" s="422" t="s">
        <v>1985</v>
      </c>
      <c r="E906" s="423"/>
      <c r="F906" s="424"/>
      <c r="G906" s="425"/>
      <c r="H906" s="651"/>
      <c r="I906" s="420">
        <v>351.52</v>
      </c>
      <c r="J906" s="420">
        <f t="shared" si="266"/>
        <v>351.52</v>
      </c>
      <c r="K906" s="421">
        <f t="shared" si="267"/>
        <v>417.64</v>
      </c>
      <c r="L906" s="647" t="s">
        <v>177</v>
      </c>
      <c r="M906" s="576"/>
      <c r="N906" s="576">
        <f t="shared" si="256"/>
        <v>0</v>
      </c>
      <c r="O906" s="577">
        <f t="shared" si="262"/>
        <v>0</v>
      </c>
      <c r="P906" s="578">
        <f t="shared" si="263"/>
        <v>0</v>
      </c>
      <c r="Q906" s="765"/>
      <c r="R906" s="576">
        <f t="shared" si="259"/>
        <v>0</v>
      </c>
      <c r="S906" s="576">
        <f t="shared" si="259"/>
        <v>0</v>
      </c>
      <c r="T906" s="577">
        <f t="shared" si="260"/>
        <v>0</v>
      </c>
      <c r="U906" s="578">
        <f t="shared" si="261"/>
        <v>0</v>
      </c>
      <c r="V906" s="579"/>
      <c r="W906" s="566"/>
      <c r="X906" s="586" t="str">
        <f t="shared" si="265"/>
        <v/>
      </c>
      <c r="Y906" s="586" t="str">
        <f t="shared" si="258"/>
        <v/>
      </c>
      <c r="Z906" s="586" t="str">
        <f t="shared" si="239"/>
        <v/>
      </c>
    </row>
    <row r="907" spans="1:26" ht="23.25" hidden="1" thickBot="1" x14ac:dyDescent="0.25">
      <c r="A907" s="567">
        <v>782</v>
      </c>
      <c r="B907" s="644">
        <v>782</v>
      </c>
      <c r="C907" s="645" t="s">
        <v>458</v>
      </c>
      <c r="D907" s="422" t="s">
        <v>1986</v>
      </c>
      <c r="E907" s="423"/>
      <c r="F907" s="424"/>
      <c r="G907" s="425"/>
      <c r="H907" s="651"/>
      <c r="I907" s="420">
        <v>1465.37</v>
      </c>
      <c r="J907" s="420">
        <f t="shared" si="266"/>
        <v>1465.37</v>
      </c>
      <c r="K907" s="421">
        <f t="shared" si="267"/>
        <v>1741.01</v>
      </c>
      <c r="L907" s="647" t="s">
        <v>177</v>
      </c>
      <c r="M907" s="576"/>
      <c r="N907" s="576">
        <f t="shared" si="256"/>
        <v>0</v>
      </c>
      <c r="O907" s="577">
        <f t="shared" si="262"/>
        <v>0</v>
      </c>
      <c r="P907" s="578">
        <f t="shared" si="263"/>
        <v>0</v>
      </c>
      <c r="Q907" s="765"/>
      <c r="R907" s="576">
        <f t="shared" si="259"/>
        <v>0</v>
      </c>
      <c r="S907" s="576">
        <f t="shared" si="259"/>
        <v>0</v>
      </c>
      <c r="T907" s="577">
        <f t="shared" si="260"/>
        <v>0</v>
      </c>
      <c r="U907" s="578">
        <f t="shared" si="261"/>
        <v>0</v>
      </c>
      <c r="V907" s="579"/>
      <c r="W907" s="566"/>
      <c r="X907" s="586" t="str">
        <f t="shared" si="265"/>
        <v/>
      </c>
      <c r="Y907" s="586" t="str">
        <f t="shared" si="258"/>
        <v/>
      </c>
      <c r="Z907" s="586" t="str">
        <f t="shared" si="239"/>
        <v/>
      </c>
    </row>
    <row r="908" spans="1:26" ht="23.25" hidden="1" thickBot="1" x14ac:dyDescent="0.25">
      <c r="A908" s="567" t="s">
        <v>540</v>
      </c>
      <c r="B908" s="644" t="s">
        <v>540</v>
      </c>
      <c r="C908" s="645" t="s">
        <v>458</v>
      </c>
      <c r="D908" s="422" t="s">
        <v>1987</v>
      </c>
      <c r="E908" s="423"/>
      <c r="F908" s="424"/>
      <c r="G908" s="425"/>
      <c r="H908" s="651"/>
      <c r="I908" s="420">
        <v>586.21</v>
      </c>
      <c r="J908" s="420">
        <f t="shared" si="266"/>
        <v>586.21</v>
      </c>
      <c r="K908" s="421">
        <f t="shared" si="267"/>
        <v>696.48</v>
      </c>
      <c r="L908" s="647" t="s">
        <v>177</v>
      </c>
      <c r="M908" s="576"/>
      <c r="N908" s="576">
        <f t="shared" si="256"/>
        <v>0</v>
      </c>
      <c r="O908" s="577">
        <f t="shared" si="262"/>
        <v>0</v>
      </c>
      <c r="P908" s="578">
        <f t="shared" si="263"/>
        <v>0</v>
      </c>
      <c r="Q908" s="765"/>
      <c r="R908" s="576">
        <f t="shared" si="259"/>
        <v>0</v>
      </c>
      <c r="S908" s="576">
        <f t="shared" si="259"/>
        <v>0</v>
      </c>
      <c r="T908" s="577">
        <f t="shared" si="260"/>
        <v>0</v>
      </c>
      <c r="U908" s="578">
        <f t="shared" si="261"/>
        <v>0</v>
      </c>
      <c r="V908" s="579"/>
      <c r="W908" s="566"/>
      <c r="X908" s="586" t="str">
        <f t="shared" si="265"/>
        <v/>
      </c>
      <c r="Y908" s="586" t="str">
        <f t="shared" si="258"/>
        <v/>
      </c>
      <c r="Z908" s="586" t="str">
        <f t="shared" si="239"/>
        <v/>
      </c>
    </row>
    <row r="909" spans="1:26" ht="12" hidden="1" thickBot="1" x14ac:dyDescent="0.25">
      <c r="A909" s="567">
        <v>783</v>
      </c>
      <c r="B909" s="644">
        <v>783</v>
      </c>
      <c r="C909" s="645" t="s">
        <v>458</v>
      </c>
      <c r="D909" s="422" t="s">
        <v>1988</v>
      </c>
      <c r="E909" s="423"/>
      <c r="F909" s="424"/>
      <c r="G909" s="425"/>
      <c r="H909" s="651"/>
      <c r="I909" s="420">
        <v>1721.98</v>
      </c>
      <c r="J909" s="420">
        <f t="shared" si="266"/>
        <v>1721.98</v>
      </c>
      <c r="K909" s="421">
        <f t="shared" si="267"/>
        <v>2045.88</v>
      </c>
      <c r="L909" s="647" t="s">
        <v>177</v>
      </c>
      <c r="M909" s="576"/>
      <c r="N909" s="576">
        <f t="shared" si="256"/>
        <v>0</v>
      </c>
      <c r="O909" s="577">
        <f t="shared" si="262"/>
        <v>0</v>
      </c>
      <c r="P909" s="578">
        <f t="shared" si="263"/>
        <v>0</v>
      </c>
      <c r="Q909" s="765"/>
      <c r="R909" s="576">
        <f t="shared" si="259"/>
        <v>0</v>
      </c>
      <c r="S909" s="576">
        <f t="shared" si="259"/>
        <v>0</v>
      </c>
      <c r="T909" s="577">
        <f t="shared" si="260"/>
        <v>0</v>
      </c>
      <c r="U909" s="578">
        <f t="shared" si="261"/>
        <v>0</v>
      </c>
      <c r="V909" s="579"/>
      <c r="W909" s="566"/>
      <c r="X909" s="586" t="str">
        <f t="shared" si="265"/>
        <v/>
      </c>
      <c r="Y909" s="586" t="str">
        <f t="shared" si="258"/>
        <v/>
      </c>
      <c r="Z909" s="586" t="str">
        <f t="shared" si="239"/>
        <v/>
      </c>
    </row>
    <row r="910" spans="1:26" ht="12" hidden="1" thickBot="1" x14ac:dyDescent="0.25">
      <c r="A910" s="567" t="s">
        <v>541</v>
      </c>
      <c r="B910" s="644" t="s">
        <v>541</v>
      </c>
      <c r="C910" s="645" t="s">
        <v>458</v>
      </c>
      <c r="D910" s="422" t="s">
        <v>1989</v>
      </c>
      <c r="E910" s="423"/>
      <c r="F910" s="424"/>
      <c r="G910" s="425"/>
      <c r="H910" s="651"/>
      <c r="I910" s="420">
        <v>688.66</v>
      </c>
      <c r="J910" s="420">
        <f t="shared" si="266"/>
        <v>688.66</v>
      </c>
      <c r="K910" s="421">
        <f t="shared" si="267"/>
        <v>818.2</v>
      </c>
      <c r="L910" s="647" t="s">
        <v>177</v>
      </c>
      <c r="M910" s="576"/>
      <c r="N910" s="576">
        <f t="shared" si="256"/>
        <v>0</v>
      </c>
      <c r="O910" s="577">
        <f t="shared" si="262"/>
        <v>0</v>
      </c>
      <c r="P910" s="578">
        <f t="shared" si="263"/>
        <v>0</v>
      </c>
      <c r="Q910" s="765"/>
      <c r="R910" s="576">
        <f t="shared" si="259"/>
        <v>0</v>
      </c>
      <c r="S910" s="576">
        <f t="shared" si="259"/>
        <v>0</v>
      </c>
      <c r="T910" s="577">
        <f t="shared" si="260"/>
        <v>0</v>
      </c>
      <c r="U910" s="578">
        <f t="shared" si="261"/>
        <v>0</v>
      </c>
      <c r="V910" s="579"/>
      <c r="W910" s="566"/>
      <c r="X910" s="586" t="str">
        <f t="shared" si="265"/>
        <v/>
      </c>
      <c r="Y910" s="586" t="str">
        <f t="shared" si="258"/>
        <v/>
      </c>
      <c r="Z910" s="586" t="str">
        <f t="shared" si="239"/>
        <v/>
      </c>
    </row>
    <row r="911" spans="1:26" ht="12" hidden="1" thickBot="1" x14ac:dyDescent="0.25">
      <c r="A911" s="567">
        <v>784</v>
      </c>
      <c r="B911" s="644">
        <v>784</v>
      </c>
      <c r="C911" s="645" t="s">
        <v>458</v>
      </c>
      <c r="D911" s="422" t="s">
        <v>1990</v>
      </c>
      <c r="E911" s="423"/>
      <c r="F911" s="424"/>
      <c r="G911" s="425"/>
      <c r="H911" s="651"/>
      <c r="I911" s="420">
        <v>642.75</v>
      </c>
      <c r="J911" s="420">
        <f t="shared" si="266"/>
        <v>642.75</v>
      </c>
      <c r="K911" s="421">
        <f t="shared" si="267"/>
        <v>763.65</v>
      </c>
      <c r="L911" s="647" t="s">
        <v>177</v>
      </c>
      <c r="M911" s="576"/>
      <c r="N911" s="576">
        <f t="shared" si="256"/>
        <v>0</v>
      </c>
      <c r="O911" s="577">
        <f t="shared" si="262"/>
        <v>0</v>
      </c>
      <c r="P911" s="578">
        <f t="shared" si="263"/>
        <v>0</v>
      </c>
      <c r="Q911" s="765"/>
      <c r="R911" s="576">
        <f t="shared" si="259"/>
        <v>0</v>
      </c>
      <c r="S911" s="576">
        <f t="shared" si="259"/>
        <v>0</v>
      </c>
      <c r="T911" s="577">
        <f t="shared" si="260"/>
        <v>0</v>
      </c>
      <c r="U911" s="578">
        <f t="shared" si="261"/>
        <v>0</v>
      </c>
      <c r="V911" s="579"/>
      <c r="W911" s="566"/>
      <c r="X911" s="586" t="str">
        <f t="shared" si="265"/>
        <v/>
      </c>
      <c r="Y911" s="586" t="str">
        <f t="shared" si="258"/>
        <v/>
      </c>
      <c r="Z911" s="586" t="str">
        <f t="shared" si="239"/>
        <v/>
      </c>
    </row>
    <row r="912" spans="1:26" ht="12" hidden="1" thickBot="1" x14ac:dyDescent="0.25">
      <c r="A912" s="567" t="s">
        <v>542</v>
      </c>
      <c r="B912" s="644" t="s">
        <v>542</v>
      </c>
      <c r="C912" s="645" t="s">
        <v>458</v>
      </c>
      <c r="D912" s="422" t="s">
        <v>1991</v>
      </c>
      <c r="E912" s="423"/>
      <c r="F912" s="424"/>
      <c r="G912" s="425"/>
      <c r="H912" s="651"/>
      <c r="I912" s="420">
        <v>256.95999999999998</v>
      </c>
      <c r="J912" s="420">
        <f t="shared" si="266"/>
        <v>256.95999999999998</v>
      </c>
      <c r="K912" s="421">
        <f t="shared" si="267"/>
        <v>305.29000000000002</v>
      </c>
      <c r="L912" s="647" t="s">
        <v>177</v>
      </c>
      <c r="M912" s="576"/>
      <c r="N912" s="576">
        <f t="shared" si="256"/>
        <v>0</v>
      </c>
      <c r="O912" s="577">
        <f t="shared" si="262"/>
        <v>0</v>
      </c>
      <c r="P912" s="578">
        <f t="shared" si="263"/>
        <v>0</v>
      </c>
      <c r="Q912" s="765"/>
      <c r="R912" s="576">
        <f t="shared" si="259"/>
        <v>0</v>
      </c>
      <c r="S912" s="576">
        <f t="shared" si="259"/>
        <v>0</v>
      </c>
      <c r="T912" s="577">
        <f t="shared" si="260"/>
        <v>0</v>
      </c>
      <c r="U912" s="578">
        <f t="shared" si="261"/>
        <v>0</v>
      </c>
      <c r="V912" s="579"/>
      <c r="W912" s="566"/>
      <c r="X912" s="586" t="str">
        <f t="shared" si="265"/>
        <v/>
      </c>
      <c r="Y912" s="586" t="str">
        <f t="shared" si="258"/>
        <v/>
      </c>
      <c r="Z912" s="586" t="str">
        <f t="shared" si="239"/>
        <v/>
      </c>
    </row>
    <row r="913" spans="1:26" ht="12" hidden="1" thickBot="1" x14ac:dyDescent="0.25">
      <c r="A913" s="567">
        <v>785</v>
      </c>
      <c r="B913" s="644">
        <v>785</v>
      </c>
      <c r="C913" s="645" t="s">
        <v>458</v>
      </c>
      <c r="D913" s="422" t="s">
        <v>1992</v>
      </c>
      <c r="E913" s="423"/>
      <c r="F913" s="424"/>
      <c r="G913" s="425"/>
      <c r="H913" s="651"/>
      <c r="I913" s="420">
        <v>1706.57</v>
      </c>
      <c r="J913" s="420">
        <f t="shared" si="266"/>
        <v>1706.57</v>
      </c>
      <c r="K913" s="421">
        <f t="shared" si="267"/>
        <v>2027.58</v>
      </c>
      <c r="L913" s="647" t="s">
        <v>177</v>
      </c>
      <c r="M913" s="576"/>
      <c r="N913" s="576">
        <f t="shared" si="256"/>
        <v>0</v>
      </c>
      <c r="O913" s="577">
        <f t="shared" si="262"/>
        <v>0</v>
      </c>
      <c r="P913" s="578">
        <f t="shared" si="263"/>
        <v>0</v>
      </c>
      <c r="Q913" s="765"/>
      <c r="R913" s="576">
        <f t="shared" si="259"/>
        <v>0</v>
      </c>
      <c r="S913" s="576">
        <f t="shared" si="259"/>
        <v>0</v>
      </c>
      <c r="T913" s="577">
        <f t="shared" si="260"/>
        <v>0</v>
      </c>
      <c r="U913" s="578">
        <f t="shared" si="261"/>
        <v>0</v>
      </c>
      <c r="V913" s="579"/>
      <c r="W913" s="566"/>
      <c r="X913" s="586" t="str">
        <f t="shared" si="265"/>
        <v/>
      </c>
      <c r="Y913" s="586" t="str">
        <f t="shared" si="258"/>
        <v/>
      </c>
      <c r="Z913" s="586" t="str">
        <f t="shared" si="239"/>
        <v/>
      </c>
    </row>
    <row r="914" spans="1:26" ht="12" hidden="1" thickBot="1" x14ac:dyDescent="0.25">
      <c r="A914" s="567" t="s">
        <v>543</v>
      </c>
      <c r="B914" s="644" t="s">
        <v>543</v>
      </c>
      <c r="C914" s="645" t="s">
        <v>458</v>
      </c>
      <c r="D914" s="422" t="s">
        <v>1993</v>
      </c>
      <c r="E914" s="423"/>
      <c r="F914" s="424"/>
      <c r="G914" s="425"/>
      <c r="H914" s="651"/>
      <c r="I914" s="420">
        <v>659.19</v>
      </c>
      <c r="J914" s="420">
        <f t="shared" si="266"/>
        <v>659.19</v>
      </c>
      <c r="K914" s="421">
        <f t="shared" si="267"/>
        <v>783.18</v>
      </c>
      <c r="L914" s="647" t="s">
        <v>177</v>
      </c>
      <c r="M914" s="576"/>
      <c r="N914" s="576">
        <f t="shared" si="256"/>
        <v>0</v>
      </c>
      <c r="O914" s="577">
        <f t="shared" si="262"/>
        <v>0</v>
      </c>
      <c r="P914" s="578">
        <f t="shared" si="263"/>
        <v>0</v>
      </c>
      <c r="Q914" s="765"/>
      <c r="R914" s="576">
        <f t="shared" si="259"/>
        <v>0</v>
      </c>
      <c r="S914" s="576">
        <f t="shared" si="259"/>
        <v>0</v>
      </c>
      <c r="T914" s="577">
        <f t="shared" si="260"/>
        <v>0</v>
      </c>
      <c r="U914" s="578">
        <f t="shared" si="261"/>
        <v>0</v>
      </c>
      <c r="V914" s="579"/>
      <c r="W914" s="566"/>
      <c r="X914" s="586" t="str">
        <f t="shared" si="265"/>
        <v/>
      </c>
      <c r="Y914" s="586" t="str">
        <f t="shared" si="258"/>
        <v/>
      </c>
      <c r="Z914" s="586" t="str">
        <f t="shared" si="239"/>
        <v/>
      </c>
    </row>
    <row r="915" spans="1:26" ht="12" hidden="1" thickBot="1" x14ac:dyDescent="0.25">
      <c r="A915" s="567">
        <v>786</v>
      </c>
      <c r="B915" s="644">
        <v>786</v>
      </c>
      <c r="C915" s="645" t="s">
        <v>458</v>
      </c>
      <c r="D915" s="422" t="s">
        <v>1994</v>
      </c>
      <c r="E915" s="423"/>
      <c r="F915" s="424"/>
      <c r="G915" s="425"/>
      <c r="H915" s="651"/>
      <c r="I915" s="420">
        <v>535.51</v>
      </c>
      <c r="J915" s="420">
        <f t="shared" si="266"/>
        <v>535.51</v>
      </c>
      <c r="K915" s="421">
        <f t="shared" si="267"/>
        <v>636.24</v>
      </c>
      <c r="L915" s="647" t="s">
        <v>177</v>
      </c>
      <c r="M915" s="576"/>
      <c r="N915" s="576">
        <f t="shared" si="256"/>
        <v>0</v>
      </c>
      <c r="O915" s="577">
        <f t="shared" si="262"/>
        <v>0</v>
      </c>
      <c r="P915" s="578">
        <f t="shared" si="263"/>
        <v>0</v>
      </c>
      <c r="Q915" s="765"/>
      <c r="R915" s="576">
        <f t="shared" si="259"/>
        <v>0</v>
      </c>
      <c r="S915" s="576">
        <f t="shared" si="259"/>
        <v>0</v>
      </c>
      <c r="T915" s="577">
        <f t="shared" si="260"/>
        <v>0</v>
      </c>
      <c r="U915" s="578">
        <f t="shared" si="261"/>
        <v>0</v>
      </c>
      <c r="V915" s="579"/>
      <c r="W915" s="566"/>
      <c r="X915" s="586" t="str">
        <f t="shared" si="265"/>
        <v/>
      </c>
      <c r="Y915" s="586" t="str">
        <f t="shared" si="258"/>
        <v/>
      </c>
      <c r="Z915" s="586" t="str">
        <f t="shared" ref="Z915:Z978" si="268">IF(W915="X","x",IF(U915&gt;0,"x",""))</f>
        <v/>
      </c>
    </row>
    <row r="916" spans="1:26" ht="12" hidden="1" thickBot="1" x14ac:dyDescent="0.25">
      <c r="A916" s="567" t="s">
        <v>544</v>
      </c>
      <c r="B916" s="644" t="s">
        <v>544</v>
      </c>
      <c r="C916" s="645" t="s">
        <v>458</v>
      </c>
      <c r="D916" s="422" t="s">
        <v>1995</v>
      </c>
      <c r="E916" s="423"/>
      <c r="F916" s="424"/>
      <c r="G916" s="425"/>
      <c r="H916" s="651"/>
      <c r="I916" s="420">
        <v>214.13</v>
      </c>
      <c r="J916" s="420">
        <f t="shared" si="266"/>
        <v>214.13</v>
      </c>
      <c r="K916" s="421">
        <f t="shared" si="267"/>
        <v>254.41</v>
      </c>
      <c r="L916" s="647" t="s">
        <v>177</v>
      </c>
      <c r="M916" s="576"/>
      <c r="N916" s="576">
        <f t="shared" ref="N916:N979" si="269">IF(M916=0,0,K916)</f>
        <v>0</v>
      </c>
      <c r="O916" s="577">
        <f t="shared" si="262"/>
        <v>0</v>
      </c>
      <c r="P916" s="578">
        <f t="shared" si="263"/>
        <v>0</v>
      </c>
      <c r="Q916" s="765"/>
      <c r="R916" s="576">
        <f t="shared" si="259"/>
        <v>0</v>
      </c>
      <c r="S916" s="576">
        <f t="shared" si="259"/>
        <v>0</v>
      </c>
      <c r="T916" s="577">
        <f t="shared" si="260"/>
        <v>0</v>
      </c>
      <c r="U916" s="578">
        <f t="shared" si="261"/>
        <v>0</v>
      </c>
      <c r="V916" s="579"/>
      <c r="W916" s="566"/>
      <c r="X916" s="586" t="str">
        <f t="shared" si="265"/>
        <v/>
      </c>
      <c r="Y916" s="586" t="str">
        <f t="shared" si="258"/>
        <v/>
      </c>
      <c r="Z916" s="586" t="str">
        <f t="shared" si="268"/>
        <v/>
      </c>
    </row>
    <row r="917" spans="1:26" ht="12" hidden="1" thickBot="1" x14ac:dyDescent="0.25">
      <c r="A917" s="567">
        <v>787</v>
      </c>
      <c r="B917" s="644">
        <v>787</v>
      </c>
      <c r="C917" s="645" t="s">
        <v>458</v>
      </c>
      <c r="D917" s="422" t="s">
        <v>1996</v>
      </c>
      <c r="E917" s="423"/>
      <c r="F917" s="424"/>
      <c r="G917" s="425"/>
      <c r="H917" s="651"/>
      <c r="I917" s="420">
        <v>484.12</v>
      </c>
      <c r="J917" s="420">
        <f t="shared" si="266"/>
        <v>484.12</v>
      </c>
      <c r="K917" s="421">
        <f t="shared" si="267"/>
        <v>575.17999999999995</v>
      </c>
      <c r="L917" s="647" t="s">
        <v>177</v>
      </c>
      <c r="M917" s="576"/>
      <c r="N917" s="576">
        <f t="shared" si="269"/>
        <v>0</v>
      </c>
      <c r="O917" s="577">
        <f t="shared" si="262"/>
        <v>0</v>
      </c>
      <c r="P917" s="578">
        <f t="shared" si="263"/>
        <v>0</v>
      </c>
      <c r="Q917" s="765"/>
      <c r="R917" s="576">
        <f t="shared" si="259"/>
        <v>0</v>
      </c>
      <c r="S917" s="576">
        <f t="shared" si="259"/>
        <v>0</v>
      </c>
      <c r="T917" s="577">
        <f t="shared" si="260"/>
        <v>0</v>
      </c>
      <c r="U917" s="578">
        <f t="shared" si="261"/>
        <v>0</v>
      </c>
      <c r="V917" s="579"/>
      <c r="W917" s="566"/>
      <c r="X917" s="586" t="str">
        <f t="shared" si="265"/>
        <v/>
      </c>
      <c r="Y917" s="586" t="str">
        <f t="shared" si="258"/>
        <v/>
      </c>
      <c r="Z917" s="586" t="str">
        <f t="shared" si="268"/>
        <v/>
      </c>
    </row>
    <row r="918" spans="1:26" ht="12" hidden="1" thickBot="1" x14ac:dyDescent="0.25">
      <c r="A918" s="567" t="s">
        <v>545</v>
      </c>
      <c r="B918" s="644" t="s">
        <v>545</v>
      </c>
      <c r="C918" s="645" t="s">
        <v>458</v>
      </c>
      <c r="D918" s="422" t="s">
        <v>1997</v>
      </c>
      <c r="E918" s="423"/>
      <c r="F918" s="424"/>
      <c r="G918" s="425"/>
      <c r="H918" s="651"/>
      <c r="I918" s="420">
        <v>193.58</v>
      </c>
      <c r="J918" s="420">
        <f t="shared" si="266"/>
        <v>193.58</v>
      </c>
      <c r="K918" s="421">
        <f t="shared" si="267"/>
        <v>229.99</v>
      </c>
      <c r="L918" s="647" t="s">
        <v>177</v>
      </c>
      <c r="M918" s="576"/>
      <c r="N918" s="576">
        <f t="shared" si="269"/>
        <v>0</v>
      </c>
      <c r="O918" s="577">
        <f t="shared" si="262"/>
        <v>0</v>
      </c>
      <c r="P918" s="578">
        <f t="shared" si="263"/>
        <v>0</v>
      </c>
      <c r="Q918" s="765"/>
      <c r="R918" s="576">
        <f t="shared" si="259"/>
        <v>0</v>
      </c>
      <c r="S918" s="576">
        <f t="shared" si="259"/>
        <v>0</v>
      </c>
      <c r="T918" s="577">
        <f t="shared" si="260"/>
        <v>0</v>
      </c>
      <c r="U918" s="578">
        <f t="shared" si="261"/>
        <v>0</v>
      </c>
      <c r="V918" s="579"/>
      <c r="W918" s="566"/>
      <c r="X918" s="586" t="str">
        <f t="shared" si="265"/>
        <v/>
      </c>
      <c r="Y918" s="586" t="str">
        <f t="shared" si="258"/>
        <v/>
      </c>
      <c r="Z918" s="586" t="str">
        <f t="shared" si="268"/>
        <v/>
      </c>
    </row>
    <row r="919" spans="1:26" ht="12" hidden="1" thickBot="1" x14ac:dyDescent="0.25">
      <c r="A919" s="567">
        <v>790</v>
      </c>
      <c r="B919" s="644">
        <v>790</v>
      </c>
      <c r="C919" s="645" t="s">
        <v>458</v>
      </c>
      <c r="D919" s="422" t="s">
        <v>1998</v>
      </c>
      <c r="E919" s="423"/>
      <c r="F919" s="424"/>
      <c r="G919" s="425"/>
      <c r="H919" s="651"/>
      <c r="I919" s="420">
        <v>12.68</v>
      </c>
      <c r="J919" s="420">
        <f t="shared" si="266"/>
        <v>12.68</v>
      </c>
      <c r="K919" s="421">
        <f t="shared" si="267"/>
        <v>15.07</v>
      </c>
      <c r="L919" s="647" t="s">
        <v>19</v>
      </c>
      <c r="M919" s="576"/>
      <c r="N919" s="576">
        <f t="shared" si="269"/>
        <v>0</v>
      </c>
      <c r="O919" s="577">
        <f t="shared" si="262"/>
        <v>0</v>
      </c>
      <c r="P919" s="578">
        <f t="shared" si="263"/>
        <v>0</v>
      </c>
      <c r="Q919" s="765"/>
      <c r="R919" s="576">
        <f t="shared" si="259"/>
        <v>0</v>
      </c>
      <c r="S919" s="576">
        <f t="shared" si="259"/>
        <v>0</v>
      </c>
      <c r="T919" s="577">
        <f t="shared" si="260"/>
        <v>0</v>
      </c>
      <c r="U919" s="578">
        <f t="shared" si="261"/>
        <v>0</v>
      </c>
      <c r="V919" s="579"/>
      <c r="W919" s="566"/>
      <c r="X919" s="586" t="str">
        <f t="shared" si="265"/>
        <v/>
      </c>
      <c r="Y919" s="586" t="str">
        <f t="shared" si="258"/>
        <v/>
      </c>
      <c r="Z919" s="586" t="str">
        <f t="shared" si="268"/>
        <v/>
      </c>
    </row>
    <row r="920" spans="1:26" ht="12" hidden="1" thickBot="1" x14ac:dyDescent="0.25">
      <c r="A920" s="567" t="s">
        <v>546</v>
      </c>
      <c r="B920" s="644" t="s">
        <v>546</v>
      </c>
      <c r="C920" s="645" t="s">
        <v>458</v>
      </c>
      <c r="D920" s="422" t="s">
        <v>1999</v>
      </c>
      <c r="E920" s="423"/>
      <c r="F920" s="424"/>
      <c r="G920" s="425"/>
      <c r="H920" s="651"/>
      <c r="I920" s="420">
        <v>5.14</v>
      </c>
      <c r="J920" s="420">
        <f t="shared" si="266"/>
        <v>5.14</v>
      </c>
      <c r="K920" s="421">
        <f t="shared" si="267"/>
        <v>6.11</v>
      </c>
      <c r="L920" s="647" t="s">
        <v>19</v>
      </c>
      <c r="M920" s="576"/>
      <c r="N920" s="576">
        <f t="shared" si="269"/>
        <v>0</v>
      </c>
      <c r="O920" s="577">
        <f t="shared" si="262"/>
        <v>0</v>
      </c>
      <c r="P920" s="578">
        <f t="shared" si="263"/>
        <v>0</v>
      </c>
      <c r="Q920" s="765"/>
      <c r="R920" s="576">
        <f t="shared" si="259"/>
        <v>0</v>
      </c>
      <c r="S920" s="576">
        <f t="shared" si="259"/>
        <v>0</v>
      </c>
      <c r="T920" s="577">
        <f t="shared" si="260"/>
        <v>0</v>
      </c>
      <c r="U920" s="578">
        <f t="shared" si="261"/>
        <v>0</v>
      </c>
      <c r="V920" s="579"/>
      <c r="W920" s="566"/>
      <c r="X920" s="586" t="str">
        <f t="shared" si="265"/>
        <v/>
      </c>
      <c r="Y920" s="586" t="str">
        <f t="shared" si="258"/>
        <v/>
      </c>
      <c r="Z920" s="586" t="str">
        <f t="shared" si="268"/>
        <v/>
      </c>
    </row>
    <row r="921" spans="1:26" ht="12" hidden="1" thickBot="1" x14ac:dyDescent="0.25">
      <c r="A921" s="567">
        <v>800</v>
      </c>
      <c r="B921" s="644">
        <v>800</v>
      </c>
      <c r="C921" s="645" t="s">
        <v>458</v>
      </c>
      <c r="D921" s="422" t="s">
        <v>2000</v>
      </c>
      <c r="E921" s="423"/>
      <c r="F921" s="424"/>
      <c r="G921" s="425"/>
      <c r="H921" s="651"/>
      <c r="I921" s="420">
        <v>15.08</v>
      </c>
      <c r="J921" s="420">
        <f>IF(ISBLANK(I921),"",SUM(H921:I921))</f>
        <v>15.08</v>
      </c>
      <c r="K921" s="421">
        <f t="shared" si="267"/>
        <v>17.920000000000002</v>
      </c>
      <c r="L921" s="647" t="s">
        <v>21</v>
      </c>
      <c r="M921" s="576"/>
      <c r="N921" s="576">
        <f t="shared" si="269"/>
        <v>0</v>
      </c>
      <c r="O921" s="577">
        <f t="shared" si="262"/>
        <v>0</v>
      </c>
      <c r="P921" s="578">
        <f t="shared" si="263"/>
        <v>0</v>
      </c>
      <c r="Q921" s="765"/>
      <c r="R921" s="576">
        <f t="shared" si="259"/>
        <v>0</v>
      </c>
      <c r="S921" s="576">
        <f t="shared" si="259"/>
        <v>0</v>
      </c>
      <c r="T921" s="577">
        <f t="shared" si="260"/>
        <v>0</v>
      </c>
      <c r="U921" s="578">
        <f t="shared" si="261"/>
        <v>0</v>
      </c>
      <c r="V921" s="579"/>
      <c r="W921" s="566"/>
      <c r="X921" s="586" t="str">
        <f t="shared" si="265"/>
        <v/>
      </c>
      <c r="Y921" s="586" t="str">
        <f t="shared" si="258"/>
        <v/>
      </c>
      <c r="Z921" s="586" t="str">
        <f t="shared" si="268"/>
        <v/>
      </c>
    </row>
    <row r="922" spans="1:26" ht="12" hidden="1" thickBot="1" x14ac:dyDescent="0.25">
      <c r="A922" s="567">
        <v>860</v>
      </c>
      <c r="B922" s="644">
        <v>860</v>
      </c>
      <c r="C922" s="645" t="s">
        <v>458</v>
      </c>
      <c r="D922" s="422" t="s">
        <v>2001</v>
      </c>
      <c r="E922" s="423"/>
      <c r="F922" s="424"/>
      <c r="G922" s="425"/>
      <c r="H922" s="651"/>
      <c r="I922" s="420">
        <v>560.17999999999995</v>
      </c>
      <c r="J922" s="420">
        <f t="shared" ref="J922:J940" si="270">IF(ISBLANK(I922),"",SUM(H922:I922))</f>
        <v>560.17999999999995</v>
      </c>
      <c r="K922" s="421">
        <f t="shared" si="267"/>
        <v>665.55</v>
      </c>
      <c r="L922" s="647" t="s">
        <v>177</v>
      </c>
      <c r="M922" s="576"/>
      <c r="N922" s="576">
        <f t="shared" si="269"/>
        <v>0</v>
      </c>
      <c r="O922" s="577">
        <f t="shared" si="262"/>
        <v>0</v>
      </c>
      <c r="P922" s="578">
        <f t="shared" si="263"/>
        <v>0</v>
      </c>
      <c r="Q922" s="765"/>
      <c r="R922" s="576">
        <f t="shared" si="259"/>
        <v>0</v>
      </c>
      <c r="S922" s="576">
        <f t="shared" si="259"/>
        <v>0</v>
      </c>
      <c r="T922" s="577">
        <f t="shared" si="260"/>
        <v>0</v>
      </c>
      <c r="U922" s="578">
        <f t="shared" si="261"/>
        <v>0</v>
      </c>
      <c r="V922" s="579"/>
      <c r="W922" s="566"/>
      <c r="X922" s="586" t="str">
        <f t="shared" si="265"/>
        <v/>
      </c>
      <c r="Y922" s="586" t="str">
        <f t="shared" si="258"/>
        <v/>
      </c>
      <c r="Z922" s="586" t="str">
        <f t="shared" si="268"/>
        <v/>
      </c>
    </row>
    <row r="923" spans="1:26" ht="12" hidden="1" thickBot="1" x14ac:dyDescent="0.25">
      <c r="A923" s="567" t="s">
        <v>548</v>
      </c>
      <c r="B923" s="644" t="s">
        <v>548</v>
      </c>
      <c r="C923" s="645" t="s">
        <v>458</v>
      </c>
      <c r="D923" s="422" t="s">
        <v>2002</v>
      </c>
      <c r="E923" s="423"/>
      <c r="F923" s="424"/>
      <c r="G923" s="425"/>
      <c r="H923" s="651"/>
      <c r="I923" s="420">
        <v>224.07</v>
      </c>
      <c r="J923" s="420">
        <f t="shared" si="270"/>
        <v>224.07</v>
      </c>
      <c r="K923" s="421">
        <f t="shared" si="267"/>
        <v>266.22000000000003</v>
      </c>
      <c r="L923" s="647" t="s">
        <v>177</v>
      </c>
      <c r="M923" s="576"/>
      <c r="N923" s="576">
        <f t="shared" si="269"/>
        <v>0</v>
      </c>
      <c r="O923" s="577">
        <f t="shared" si="262"/>
        <v>0</v>
      </c>
      <c r="P923" s="578">
        <f t="shared" si="263"/>
        <v>0</v>
      </c>
      <c r="Q923" s="765"/>
      <c r="R923" s="576">
        <f t="shared" si="259"/>
        <v>0</v>
      </c>
      <c r="S923" s="576">
        <f t="shared" si="259"/>
        <v>0</v>
      </c>
      <c r="T923" s="577">
        <f t="shared" si="260"/>
        <v>0</v>
      </c>
      <c r="U923" s="578">
        <f t="shared" si="261"/>
        <v>0</v>
      </c>
      <c r="V923" s="579"/>
      <c r="W923" s="566"/>
      <c r="X923" s="586" t="str">
        <f t="shared" si="265"/>
        <v/>
      </c>
      <c r="Y923" s="586" t="str">
        <f t="shared" si="258"/>
        <v/>
      </c>
      <c r="Z923" s="586" t="str">
        <f t="shared" si="268"/>
        <v/>
      </c>
    </row>
    <row r="924" spans="1:26" ht="12" hidden="1" thickBot="1" x14ac:dyDescent="0.25">
      <c r="A924" s="567">
        <v>864</v>
      </c>
      <c r="B924" s="644">
        <v>864</v>
      </c>
      <c r="C924" s="645" t="s">
        <v>458</v>
      </c>
      <c r="D924" s="422" t="s">
        <v>2003</v>
      </c>
      <c r="E924" s="423"/>
      <c r="F924" s="424"/>
      <c r="G924" s="425"/>
      <c r="H924" s="651"/>
      <c r="I924" s="420">
        <v>6.85</v>
      </c>
      <c r="J924" s="420">
        <f t="shared" si="270"/>
        <v>6.85</v>
      </c>
      <c r="K924" s="421">
        <f t="shared" si="267"/>
        <v>8.14</v>
      </c>
      <c r="L924" s="647" t="s">
        <v>19</v>
      </c>
      <c r="M924" s="576"/>
      <c r="N924" s="576">
        <f t="shared" si="269"/>
        <v>0</v>
      </c>
      <c r="O924" s="577">
        <f t="shared" si="262"/>
        <v>0</v>
      </c>
      <c r="P924" s="578">
        <f t="shared" si="263"/>
        <v>0</v>
      </c>
      <c r="Q924" s="765"/>
      <c r="R924" s="576">
        <f t="shared" si="259"/>
        <v>0</v>
      </c>
      <c r="S924" s="576">
        <f t="shared" si="259"/>
        <v>0</v>
      </c>
      <c r="T924" s="577">
        <f t="shared" si="260"/>
        <v>0</v>
      </c>
      <c r="U924" s="578">
        <f t="shared" si="261"/>
        <v>0</v>
      </c>
      <c r="V924" s="579"/>
      <c r="W924" s="566"/>
      <c r="X924" s="586" t="str">
        <f t="shared" si="265"/>
        <v/>
      </c>
      <c r="Y924" s="586" t="str">
        <f t="shared" si="258"/>
        <v/>
      </c>
      <c r="Z924" s="586" t="str">
        <f t="shared" si="268"/>
        <v/>
      </c>
    </row>
    <row r="925" spans="1:26" ht="12" hidden="1" thickBot="1" x14ac:dyDescent="0.25">
      <c r="A925" s="567" t="s">
        <v>549</v>
      </c>
      <c r="B925" s="644" t="s">
        <v>549</v>
      </c>
      <c r="C925" s="645" t="s">
        <v>458</v>
      </c>
      <c r="D925" s="422" t="s">
        <v>2004</v>
      </c>
      <c r="E925" s="423"/>
      <c r="F925" s="424"/>
      <c r="G925" s="425"/>
      <c r="H925" s="651"/>
      <c r="I925" s="420">
        <v>5.14</v>
      </c>
      <c r="J925" s="420">
        <f t="shared" si="270"/>
        <v>5.14</v>
      </c>
      <c r="K925" s="421">
        <f t="shared" si="267"/>
        <v>6.11</v>
      </c>
      <c r="L925" s="647" t="s">
        <v>19</v>
      </c>
      <c r="M925" s="576"/>
      <c r="N925" s="576">
        <f t="shared" si="269"/>
        <v>0</v>
      </c>
      <c r="O925" s="577">
        <f t="shared" si="262"/>
        <v>0</v>
      </c>
      <c r="P925" s="578">
        <f t="shared" si="263"/>
        <v>0</v>
      </c>
      <c r="Q925" s="765"/>
      <c r="R925" s="576">
        <f t="shared" si="259"/>
        <v>0</v>
      </c>
      <c r="S925" s="576">
        <f t="shared" si="259"/>
        <v>0</v>
      </c>
      <c r="T925" s="577">
        <f t="shared" si="260"/>
        <v>0</v>
      </c>
      <c r="U925" s="578">
        <f t="shared" si="261"/>
        <v>0</v>
      </c>
      <c r="V925" s="579"/>
      <c r="W925" s="566"/>
      <c r="X925" s="586" t="str">
        <f t="shared" si="265"/>
        <v/>
      </c>
      <c r="Y925" s="586" t="str">
        <f t="shared" si="258"/>
        <v/>
      </c>
      <c r="Z925" s="586" t="str">
        <f t="shared" si="268"/>
        <v/>
      </c>
    </row>
    <row r="926" spans="1:26" ht="12" hidden="1" thickBot="1" x14ac:dyDescent="0.25">
      <c r="A926" s="567">
        <v>866</v>
      </c>
      <c r="B926" s="644">
        <v>866</v>
      </c>
      <c r="C926" s="645" t="s">
        <v>458</v>
      </c>
      <c r="D926" s="422" t="s">
        <v>2005</v>
      </c>
      <c r="E926" s="423"/>
      <c r="F926" s="424"/>
      <c r="G926" s="425"/>
      <c r="H926" s="651"/>
      <c r="I926" s="420">
        <v>33.92</v>
      </c>
      <c r="J926" s="420">
        <f t="shared" si="270"/>
        <v>33.92</v>
      </c>
      <c r="K926" s="421">
        <f t="shared" si="267"/>
        <v>40.299999999999997</v>
      </c>
      <c r="L926" s="647" t="s">
        <v>21</v>
      </c>
      <c r="M926" s="576"/>
      <c r="N926" s="576">
        <f t="shared" si="269"/>
        <v>0</v>
      </c>
      <c r="O926" s="577">
        <f t="shared" si="262"/>
        <v>0</v>
      </c>
      <c r="P926" s="578">
        <f t="shared" si="263"/>
        <v>0</v>
      </c>
      <c r="Q926" s="765"/>
      <c r="R926" s="576">
        <f t="shared" si="259"/>
        <v>0</v>
      </c>
      <c r="S926" s="576">
        <f t="shared" si="259"/>
        <v>0</v>
      </c>
      <c r="T926" s="577">
        <f t="shared" si="260"/>
        <v>0</v>
      </c>
      <c r="U926" s="578">
        <f t="shared" si="261"/>
        <v>0</v>
      </c>
      <c r="V926" s="579"/>
      <c r="W926" s="566"/>
      <c r="X926" s="586" t="str">
        <f t="shared" si="265"/>
        <v/>
      </c>
      <c r="Y926" s="586" t="str">
        <f t="shared" si="258"/>
        <v/>
      </c>
      <c r="Z926" s="586" t="str">
        <f t="shared" si="268"/>
        <v/>
      </c>
    </row>
    <row r="927" spans="1:26" ht="12" hidden="1" thickBot="1" x14ac:dyDescent="0.25">
      <c r="A927" s="567" t="s">
        <v>550</v>
      </c>
      <c r="B927" s="644" t="s">
        <v>550</v>
      </c>
      <c r="C927" s="645" t="s">
        <v>458</v>
      </c>
      <c r="D927" s="422" t="s">
        <v>2006</v>
      </c>
      <c r="E927" s="423"/>
      <c r="F927" s="424"/>
      <c r="G927" s="425"/>
      <c r="H927" s="651"/>
      <c r="I927" s="420">
        <v>13.7</v>
      </c>
      <c r="J927" s="420">
        <f t="shared" si="270"/>
        <v>13.7</v>
      </c>
      <c r="K927" s="421">
        <f t="shared" si="267"/>
        <v>16.28</v>
      </c>
      <c r="L927" s="647" t="s">
        <v>21</v>
      </c>
      <c r="M927" s="576"/>
      <c r="N927" s="576">
        <f t="shared" si="269"/>
        <v>0</v>
      </c>
      <c r="O927" s="577">
        <f t="shared" si="262"/>
        <v>0</v>
      </c>
      <c r="P927" s="578">
        <f t="shared" si="263"/>
        <v>0</v>
      </c>
      <c r="Q927" s="765"/>
      <c r="R927" s="576">
        <f t="shared" si="259"/>
        <v>0</v>
      </c>
      <c r="S927" s="576">
        <f t="shared" si="259"/>
        <v>0</v>
      </c>
      <c r="T927" s="577">
        <f t="shared" si="260"/>
        <v>0</v>
      </c>
      <c r="U927" s="578">
        <f t="shared" si="261"/>
        <v>0</v>
      </c>
      <c r="V927" s="579"/>
      <c r="W927" s="566"/>
      <c r="X927" s="586" t="str">
        <f t="shared" si="265"/>
        <v/>
      </c>
      <c r="Y927" s="586" t="str">
        <f t="shared" si="258"/>
        <v/>
      </c>
      <c r="Z927" s="586" t="str">
        <f t="shared" si="268"/>
        <v/>
      </c>
    </row>
    <row r="928" spans="1:26" ht="12" hidden="1" thickBot="1" x14ac:dyDescent="0.25">
      <c r="A928" s="567">
        <v>792</v>
      </c>
      <c r="B928" s="644">
        <v>792</v>
      </c>
      <c r="C928" s="645" t="s">
        <v>458</v>
      </c>
      <c r="D928" s="422" t="s">
        <v>2007</v>
      </c>
      <c r="E928" s="423"/>
      <c r="F928" s="424"/>
      <c r="G928" s="425"/>
      <c r="H928" s="651"/>
      <c r="I928" s="420">
        <v>395.04</v>
      </c>
      <c r="J928" s="420">
        <f t="shared" si="270"/>
        <v>395.04</v>
      </c>
      <c r="K928" s="421">
        <f t="shared" si="267"/>
        <v>469.35</v>
      </c>
      <c r="L928" s="647" t="s">
        <v>177</v>
      </c>
      <c r="M928" s="576"/>
      <c r="N928" s="576">
        <f t="shared" si="269"/>
        <v>0</v>
      </c>
      <c r="O928" s="577">
        <f t="shared" si="262"/>
        <v>0</v>
      </c>
      <c r="P928" s="578">
        <f t="shared" si="263"/>
        <v>0</v>
      </c>
      <c r="Q928" s="765"/>
      <c r="R928" s="576">
        <f t="shared" si="259"/>
        <v>0</v>
      </c>
      <c r="S928" s="576">
        <f t="shared" si="259"/>
        <v>0</v>
      </c>
      <c r="T928" s="577">
        <f t="shared" si="260"/>
        <v>0</v>
      </c>
      <c r="U928" s="578">
        <f t="shared" si="261"/>
        <v>0</v>
      </c>
      <c r="V928" s="579"/>
      <c r="W928" s="566"/>
      <c r="X928" s="586" t="str">
        <f t="shared" si="265"/>
        <v/>
      </c>
      <c r="Y928" s="586" t="str">
        <f t="shared" si="258"/>
        <v/>
      </c>
      <c r="Z928" s="586" t="str">
        <f t="shared" si="268"/>
        <v/>
      </c>
    </row>
    <row r="929" spans="1:26" ht="12" hidden="1" thickBot="1" x14ac:dyDescent="0.25">
      <c r="A929" s="567" t="s">
        <v>553</v>
      </c>
      <c r="B929" s="644" t="s">
        <v>553</v>
      </c>
      <c r="C929" s="645" t="s">
        <v>458</v>
      </c>
      <c r="D929" s="422" t="s">
        <v>2008</v>
      </c>
      <c r="E929" s="423"/>
      <c r="F929" s="424"/>
      <c r="G929" s="425"/>
      <c r="H929" s="651"/>
      <c r="I929" s="420">
        <v>157.94999999999999</v>
      </c>
      <c r="J929" s="420">
        <f t="shared" si="270"/>
        <v>157.94999999999999</v>
      </c>
      <c r="K929" s="421">
        <f t="shared" si="267"/>
        <v>187.66</v>
      </c>
      <c r="L929" s="647" t="s">
        <v>177</v>
      </c>
      <c r="M929" s="576"/>
      <c r="N929" s="576">
        <f t="shared" si="269"/>
        <v>0</v>
      </c>
      <c r="O929" s="577">
        <f t="shared" si="262"/>
        <v>0</v>
      </c>
      <c r="P929" s="578">
        <f t="shared" si="263"/>
        <v>0</v>
      </c>
      <c r="Q929" s="765"/>
      <c r="R929" s="576">
        <f t="shared" si="259"/>
        <v>0</v>
      </c>
      <c r="S929" s="576">
        <f t="shared" si="259"/>
        <v>0</v>
      </c>
      <c r="T929" s="577">
        <f t="shared" si="260"/>
        <v>0</v>
      </c>
      <c r="U929" s="578">
        <f t="shared" si="261"/>
        <v>0</v>
      </c>
      <c r="V929" s="579"/>
      <c r="W929" s="566"/>
      <c r="X929" s="586" t="str">
        <f t="shared" si="265"/>
        <v/>
      </c>
      <c r="Y929" s="586" t="str">
        <f t="shared" si="258"/>
        <v/>
      </c>
      <c r="Z929" s="586" t="str">
        <f t="shared" si="268"/>
        <v/>
      </c>
    </row>
    <row r="930" spans="1:26" ht="12" hidden="1" thickBot="1" x14ac:dyDescent="0.25">
      <c r="A930" s="567">
        <v>793</v>
      </c>
      <c r="B930" s="644">
        <v>793</v>
      </c>
      <c r="C930" s="645" t="s">
        <v>458</v>
      </c>
      <c r="D930" s="422" t="s">
        <v>2009</v>
      </c>
      <c r="E930" s="423"/>
      <c r="F930" s="424"/>
      <c r="G930" s="425"/>
      <c r="H930" s="651"/>
      <c r="I930" s="420">
        <v>504.33</v>
      </c>
      <c r="J930" s="420">
        <f t="shared" si="270"/>
        <v>504.33</v>
      </c>
      <c r="K930" s="421">
        <f t="shared" si="267"/>
        <v>599.19000000000005</v>
      </c>
      <c r="L930" s="647" t="s">
        <v>177</v>
      </c>
      <c r="M930" s="576"/>
      <c r="N930" s="576">
        <f t="shared" si="269"/>
        <v>0</v>
      </c>
      <c r="O930" s="577">
        <f t="shared" si="262"/>
        <v>0</v>
      </c>
      <c r="P930" s="578">
        <f t="shared" si="263"/>
        <v>0</v>
      </c>
      <c r="Q930" s="765"/>
      <c r="R930" s="576">
        <f t="shared" si="259"/>
        <v>0</v>
      </c>
      <c r="S930" s="576">
        <f t="shared" si="259"/>
        <v>0</v>
      </c>
      <c r="T930" s="577">
        <f t="shared" si="260"/>
        <v>0</v>
      </c>
      <c r="U930" s="578">
        <f t="shared" si="261"/>
        <v>0</v>
      </c>
      <c r="V930" s="579"/>
      <c r="W930" s="566"/>
      <c r="X930" s="586" t="str">
        <f t="shared" si="265"/>
        <v/>
      </c>
      <c r="Y930" s="586" t="str">
        <f t="shared" si="258"/>
        <v/>
      </c>
      <c r="Z930" s="586" t="str">
        <f t="shared" si="268"/>
        <v/>
      </c>
    </row>
    <row r="931" spans="1:26" ht="12" hidden="1" thickBot="1" x14ac:dyDescent="0.25">
      <c r="A931" s="567" t="s">
        <v>564</v>
      </c>
      <c r="B931" s="644" t="s">
        <v>564</v>
      </c>
      <c r="C931" s="645" t="s">
        <v>458</v>
      </c>
      <c r="D931" s="422" t="s">
        <v>2010</v>
      </c>
      <c r="E931" s="423"/>
      <c r="F931" s="424"/>
      <c r="G931" s="425"/>
      <c r="H931" s="651"/>
      <c r="I931" s="420">
        <v>202.14</v>
      </c>
      <c r="J931" s="420">
        <f t="shared" si="270"/>
        <v>202.14</v>
      </c>
      <c r="K931" s="421">
        <f t="shared" si="267"/>
        <v>240.16</v>
      </c>
      <c r="L931" s="647" t="s">
        <v>177</v>
      </c>
      <c r="M931" s="576"/>
      <c r="N931" s="576">
        <f t="shared" si="269"/>
        <v>0</v>
      </c>
      <c r="O931" s="577">
        <f t="shared" si="262"/>
        <v>0</v>
      </c>
      <c r="P931" s="578">
        <f t="shared" si="263"/>
        <v>0</v>
      </c>
      <c r="Q931" s="765"/>
      <c r="R931" s="576">
        <f t="shared" si="259"/>
        <v>0</v>
      </c>
      <c r="S931" s="576">
        <f t="shared" si="259"/>
        <v>0</v>
      </c>
      <c r="T931" s="577">
        <f t="shared" si="260"/>
        <v>0</v>
      </c>
      <c r="U931" s="578">
        <f t="shared" si="261"/>
        <v>0</v>
      </c>
      <c r="V931" s="579"/>
      <c r="W931" s="566"/>
      <c r="X931" s="586" t="str">
        <f t="shared" si="265"/>
        <v/>
      </c>
      <c r="Y931" s="586" t="str">
        <f t="shared" ref="Y931:Y994" si="271">IF(W931="X","x",IF(W931="y","x",IF(W931="xx","x",IF(U931&gt;0,"x",""))))</f>
        <v/>
      </c>
      <c r="Z931" s="586" t="str">
        <f t="shared" si="268"/>
        <v/>
      </c>
    </row>
    <row r="932" spans="1:26" ht="12" hidden="1" thickBot="1" x14ac:dyDescent="0.25">
      <c r="A932" s="567">
        <v>794</v>
      </c>
      <c r="B932" s="644">
        <v>794</v>
      </c>
      <c r="C932" s="645" t="s">
        <v>458</v>
      </c>
      <c r="D932" s="422" t="s">
        <v>2011</v>
      </c>
      <c r="E932" s="423"/>
      <c r="F932" s="424"/>
      <c r="G932" s="425"/>
      <c r="H932" s="651"/>
      <c r="I932" s="420">
        <v>516.32000000000005</v>
      </c>
      <c r="J932" s="420">
        <f t="shared" si="270"/>
        <v>516.32000000000005</v>
      </c>
      <c r="K932" s="421">
        <f t="shared" si="267"/>
        <v>613.44000000000005</v>
      </c>
      <c r="L932" s="647" t="s">
        <v>177</v>
      </c>
      <c r="M932" s="576"/>
      <c r="N932" s="576">
        <f t="shared" si="269"/>
        <v>0</v>
      </c>
      <c r="O932" s="577">
        <f t="shared" si="262"/>
        <v>0</v>
      </c>
      <c r="P932" s="578">
        <f t="shared" si="263"/>
        <v>0</v>
      </c>
      <c r="Q932" s="765"/>
      <c r="R932" s="576">
        <f t="shared" si="259"/>
        <v>0</v>
      </c>
      <c r="S932" s="576">
        <f t="shared" si="259"/>
        <v>0</v>
      </c>
      <c r="T932" s="577">
        <f t="shared" si="260"/>
        <v>0</v>
      </c>
      <c r="U932" s="578">
        <f t="shared" si="261"/>
        <v>0</v>
      </c>
      <c r="V932" s="579"/>
      <c r="W932" s="566"/>
      <c r="X932" s="586" t="str">
        <f t="shared" si="265"/>
        <v/>
      </c>
      <c r="Y932" s="586" t="str">
        <f t="shared" si="271"/>
        <v/>
      </c>
      <c r="Z932" s="586" t="str">
        <f t="shared" si="268"/>
        <v/>
      </c>
    </row>
    <row r="933" spans="1:26" ht="12" hidden="1" thickBot="1" x14ac:dyDescent="0.25">
      <c r="A933" s="567" t="s">
        <v>551</v>
      </c>
      <c r="B933" s="644" t="s">
        <v>551</v>
      </c>
      <c r="C933" s="645" t="s">
        <v>458</v>
      </c>
      <c r="D933" s="422" t="s">
        <v>556</v>
      </c>
      <c r="E933" s="423"/>
      <c r="F933" s="424"/>
      <c r="G933" s="425"/>
      <c r="H933" s="651"/>
      <c r="I933" s="420">
        <v>206.6</v>
      </c>
      <c r="J933" s="420">
        <f t="shared" si="270"/>
        <v>206.6</v>
      </c>
      <c r="K933" s="421">
        <f t="shared" si="267"/>
        <v>245.46</v>
      </c>
      <c r="L933" s="647" t="s">
        <v>177</v>
      </c>
      <c r="M933" s="576"/>
      <c r="N933" s="576">
        <f t="shared" si="269"/>
        <v>0</v>
      </c>
      <c r="O933" s="577">
        <f t="shared" si="262"/>
        <v>0</v>
      </c>
      <c r="P933" s="578">
        <f t="shared" si="263"/>
        <v>0</v>
      </c>
      <c r="Q933" s="765"/>
      <c r="R933" s="576">
        <f t="shared" si="259"/>
        <v>0</v>
      </c>
      <c r="S933" s="576">
        <f t="shared" si="259"/>
        <v>0</v>
      </c>
      <c r="T933" s="577">
        <f t="shared" si="260"/>
        <v>0</v>
      </c>
      <c r="U933" s="578">
        <f t="shared" si="261"/>
        <v>0</v>
      </c>
      <c r="V933" s="579"/>
      <c r="W933" s="566"/>
      <c r="X933" s="586" t="str">
        <f t="shared" si="265"/>
        <v/>
      </c>
      <c r="Y933" s="586" t="str">
        <f t="shared" si="271"/>
        <v/>
      </c>
      <c r="Z933" s="586" t="str">
        <f t="shared" si="268"/>
        <v/>
      </c>
    </row>
    <row r="934" spans="1:26" ht="12" hidden="1" thickBot="1" x14ac:dyDescent="0.25">
      <c r="A934" s="567">
        <v>795</v>
      </c>
      <c r="B934" s="644">
        <v>795</v>
      </c>
      <c r="C934" s="645" t="s">
        <v>458</v>
      </c>
      <c r="D934" s="422" t="s">
        <v>2012</v>
      </c>
      <c r="E934" s="423"/>
      <c r="F934" s="424"/>
      <c r="G934" s="425"/>
      <c r="H934" s="651"/>
      <c r="I934" s="420">
        <v>1527.72</v>
      </c>
      <c r="J934" s="420">
        <f t="shared" si="270"/>
        <v>1527.72</v>
      </c>
      <c r="K934" s="421">
        <f t="shared" si="267"/>
        <v>1815.08</v>
      </c>
      <c r="L934" s="647" t="s">
        <v>177</v>
      </c>
      <c r="M934" s="576"/>
      <c r="N934" s="576">
        <f t="shared" si="269"/>
        <v>0</v>
      </c>
      <c r="O934" s="577">
        <f t="shared" si="262"/>
        <v>0</v>
      </c>
      <c r="P934" s="578">
        <f t="shared" si="263"/>
        <v>0</v>
      </c>
      <c r="Q934" s="765"/>
      <c r="R934" s="576">
        <f t="shared" si="259"/>
        <v>0</v>
      </c>
      <c r="S934" s="576">
        <f t="shared" si="259"/>
        <v>0</v>
      </c>
      <c r="T934" s="577">
        <f t="shared" si="260"/>
        <v>0</v>
      </c>
      <c r="U934" s="578">
        <f t="shared" si="261"/>
        <v>0</v>
      </c>
      <c r="V934" s="579"/>
      <c r="W934" s="566"/>
      <c r="X934" s="586" t="str">
        <f t="shared" si="265"/>
        <v/>
      </c>
      <c r="Y934" s="586" t="str">
        <f t="shared" si="271"/>
        <v/>
      </c>
      <c r="Z934" s="586" t="str">
        <f t="shared" si="268"/>
        <v/>
      </c>
    </row>
    <row r="935" spans="1:26" ht="12" hidden="1" thickBot="1" x14ac:dyDescent="0.25">
      <c r="A935" s="567" t="s">
        <v>552</v>
      </c>
      <c r="B935" s="644" t="s">
        <v>552</v>
      </c>
      <c r="C935" s="645" t="s">
        <v>458</v>
      </c>
      <c r="D935" s="422" t="s">
        <v>557</v>
      </c>
      <c r="E935" s="423"/>
      <c r="F935" s="424"/>
      <c r="G935" s="425"/>
      <c r="H935" s="651"/>
      <c r="I935" s="420">
        <v>611.23</v>
      </c>
      <c r="J935" s="420">
        <f t="shared" si="270"/>
        <v>611.23</v>
      </c>
      <c r="K935" s="421">
        <f t="shared" si="267"/>
        <v>726.2</v>
      </c>
      <c r="L935" s="647" t="s">
        <v>177</v>
      </c>
      <c r="M935" s="576"/>
      <c r="N935" s="576">
        <f t="shared" si="269"/>
        <v>0</v>
      </c>
      <c r="O935" s="577">
        <f t="shared" si="262"/>
        <v>0</v>
      </c>
      <c r="P935" s="578">
        <f t="shared" si="263"/>
        <v>0</v>
      </c>
      <c r="Q935" s="765"/>
      <c r="R935" s="576">
        <f t="shared" si="259"/>
        <v>0</v>
      </c>
      <c r="S935" s="576">
        <f t="shared" si="259"/>
        <v>0</v>
      </c>
      <c r="T935" s="577">
        <f t="shared" si="260"/>
        <v>0</v>
      </c>
      <c r="U935" s="578">
        <f t="shared" si="261"/>
        <v>0</v>
      </c>
      <c r="V935" s="579"/>
      <c r="W935" s="566"/>
      <c r="X935" s="586" t="str">
        <f t="shared" si="265"/>
        <v/>
      </c>
      <c r="Y935" s="586" t="str">
        <f t="shared" si="271"/>
        <v/>
      </c>
      <c r="Z935" s="586" t="str">
        <f t="shared" si="268"/>
        <v/>
      </c>
    </row>
    <row r="936" spans="1:26" ht="12" hidden="1" thickBot="1" x14ac:dyDescent="0.25">
      <c r="A936" s="567">
        <v>796</v>
      </c>
      <c r="B936" s="644">
        <v>796</v>
      </c>
      <c r="C936" s="645" t="s">
        <v>458</v>
      </c>
      <c r="D936" s="422" t="s">
        <v>2013</v>
      </c>
      <c r="E936" s="423"/>
      <c r="F936" s="424"/>
      <c r="G936" s="425"/>
      <c r="H936" s="651"/>
      <c r="I936" s="420">
        <v>8.57</v>
      </c>
      <c r="J936" s="420">
        <f t="shared" si="270"/>
        <v>8.57</v>
      </c>
      <c r="K936" s="421">
        <f t="shared" si="267"/>
        <v>10.18</v>
      </c>
      <c r="L936" s="647" t="s">
        <v>19</v>
      </c>
      <c r="M936" s="576"/>
      <c r="N936" s="576">
        <f t="shared" si="269"/>
        <v>0</v>
      </c>
      <c r="O936" s="577">
        <f t="shared" si="262"/>
        <v>0</v>
      </c>
      <c r="P936" s="578">
        <f t="shared" si="263"/>
        <v>0</v>
      </c>
      <c r="Q936" s="765"/>
      <c r="R936" s="576">
        <f t="shared" si="259"/>
        <v>0</v>
      </c>
      <c r="S936" s="576">
        <f t="shared" si="259"/>
        <v>0</v>
      </c>
      <c r="T936" s="577">
        <f t="shared" si="260"/>
        <v>0</v>
      </c>
      <c r="U936" s="578">
        <f t="shared" si="261"/>
        <v>0</v>
      </c>
      <c r="V936" s="579"/>
      <c r="W936" s="566"/>
      <c r="X936" s="586" t="str">
        <f t="shared" si="265"/>
        <v/>
      </c>
      <c r="Y936" s="586" t="str">
        <f t="shared" si="271"/>
        <v/>
      </c>
      <c r="Z936" s="586" t="str">
        <f t="shared" si="268"/>
        <v/>
      </c>
    </row>
    <row r="937" spans="1:26" ht="12" hidden="1" thickBot="1" x14ac:dyDescent="0.25">
      <c r="A937" s="567" t="s">
        <v>554</v>
      </c>
      <c r="B937" s="644" t="s">
        <v>554</v>
      </c>
      <c r="C937" s="645" t="s">
        <v>458</v>
      </c>
      <c r="D937" s="422" t="s">
        <v>558</v>
      </c>
      <c r="E937" s="423"/>
      <c r="F937" s="424"/>
      <c r="G937" s="425"/>
      <c r="H937" s="651"/>
      <c r="I937" s="420">
        <v>3.43</v>
      </c>
      <c r="J937" s="420">
        <f t="shared" si="270"/>
        <v>3.43</v>
      </c>
      <c r="K937" s="421">
        <f t="shared" si="267"/>
        <v>4.08</v>
      </c>
      <c r="L937" s="647" t="s">
        <v>19</v>
      </c>
      <c r="M937" s="576"/>
      <c r="N937" s="576">
        <f t="shared" si="269"/>
        <v>0</v>
      </c>
      <c r="O937" s="577">
        <f t="shared" si="262"/>
        <v>0</v>
      </c>
      <c r="P937" s="578">
        <f t="shared" si="263"/>
        <v>0</v>
      </c>
      <c r="Q937" s="765"/>
      <c r="R937" s="576">
        <f t="shared" si="259"/>
        <v>0</v>
      </c>
      <c r="S937" s="576">
        <f t="shared" si="259"/>
        <v>0</v>
      </c>
      <c r="T937" s="577">
        <f t="shared" si="260"/>
        <v>0</v>
      </c>
      <c r="U937" s="578">
        <f t="shared" si="261"/>
        <v>0</v>
      </c>
      <c r="V937" s="579"/>
      <c r="W937" s="566"/>
      <c r="X937" s="586" t="str">
        <f t="shared" si="265"/>
        <v/>
      </c>
      <c r="Y937" s="586" t="str">
        <f t="shared" si="271"/>
        <v/>
      </c>
      <c r="Z937" s="586" t="str">
        <f t="shared" si="268"/>
        <v/>
      </c>
    </row>
    <row r="938" spans="1:26" ht="12" hidden="1" thickBot="1" x14ac:dyDescent="0.25">
      <c r="A938" s="567">
        <v>867</v>
      </c>
      <c r="B938" s="644">
        <v>867</v>
      </c>
      <c r="C938" s="645" t="s">
        <v>458</v>
      </c>
      <c r="D938" s="422" t="s">
        <v>2014</v>
      </c>
      <c r="E938" s="423"/>
      <c r="F938" s="424"/>
      <c r="G938" s="425"/>
      <c r="H938" s="651"/>
      <c r="I938" s="420">
        <v>11.99</v>
      </c>
      <c r="J938" s="420">
        <f t="shared" si="270"/>
        <v>11.99</v>
      </c>
      <c r="K938" s="421">
        <f t="shared" si="267"/>
        <v>14.25</v>
      </c>
      <c r="L938" s="647" t="s">
        <v>21</v>
      </c>
      <c r="M938" s="576"/>
      <c r="N938" s="576">
        <f t="shared" si="269"/>
        <v>0</v>
      </c>
      <c r="O938" s="577">
        <f t="shared" si="262"/>
        <v>0</v>
      </c>
      <c r="P938" s="578">
        <f t="shared" si="263"/>
        <v>0</v>
      </c>
      <c r="Q938" s="765"/>
      <c r="R938" s="576">
        <f t="shared" si="259"/>
        <v>0</v>
      </c>
      <c r="S938" s="576">
        <f t="shared" si="259"/>
        <v>0</v>
      </c>
      <c r="T938" s="577">
        <f t="shared" si="260"/>
        <v>0</v>
      </c>
      <c r="U938" s="578">
        <f t="shared" si="261"/>
        <v>0</v>
      </c>
      <c r="V938" s="579"/>
      <c r="W938" s="566"/>
      <c r="X938" s="586" t="str">
        <f t="shared" si="265"/>
        <v/>
      </c>
      <c r="Y938" s="586" t="str">
        <f t="shared" si="271"/>
        <v/>
      </c>
      <c r="Z938" s="586" t="str">
        <f t="shared" si="268"/>
        <v/>
      </c>
    </row>
    <row r="939" spans="1:26" ht="12" hidden="1" thickBot="1" x14ac:dyDescent="0.25">
      <c r="A939" s="567" t="s">
        <v>555</v>
      </c>
      <c r="B939" s="644" t="s">
        <v>555</v>
      </c>
      <c r="C939" s="645" t="s">
        <v>458</v>
      </c>
      <c r="D939" s="422" t="s">
        <v>559</v>
      </c>
      <c r="E939" s="423"/>
      <c r="F939" s="424"/>
      <c r="G939" s="425"/>
      <c r="H939" s="651"/>
      <c r="I939" s="420">
        <v>4.8</v>
      </c>
      <c r="J939" s="420">
        <f t="shared" si="270"/>
        <v>4.8</v>
      </c>
      <c r="K939" s="421">
        <f t="shared" si="267"/>
        <v>5.7</v>
      </c>
      <c r="L939" s="647" t="s">
        <v>21</v>
      </c>
      <c r="M939" s="576"/>
      <c r="N939" s="576">
        <f t="shared" si="269"/>
        <v>0</v>
      </c>
      <c r="O939" s="577">
        <f t="shared" si="262"/>
        <v>0</v>
      </c>
      <c r="P939" s="578">
        <f t="shared" si="263"/>
        <v>0</v>
      </c>
      <c r="Q939" s="765"/>
      <c r="R939" s="576">
        <f t="shared" si="259"/>
        <v>0</v>
      </c>
      <c r="S939" s="576">
        <f t="shared" si="259"/>
        <v>0</v>
      </c>
      <c r="T939" s="577">
        <f t="shared" si="260"/>
        <v>0</v>
      </c>
      <c r="U939" s="578">
        <f t="shared" si="261"/>
        <v>0</v>
      </c>
      <c r="V939" s="579"/>
      <c r="W939" s="566"/>
      <c r="X939" s="586" t="str">
        <f t="shared" si="265"/>
        <v/>
      </c>
      <c r="Y939" s="586" t="str">
        <f t="shared" si="271"/>
        <v/>
      </c>
      <c r="Z939" s="586" t="str">
        <f t="shared" si="268"/>
        <v/>
      </c>
    </row>
    <row r="940" spans="1:26" ht="12" hidden="1" thickBot="1" x14ac:dyDescent="0.25">
      <c r="A940" s="567">
        <v>801</v>
      </c>
      <c r="B940" s="644">
        <v>801</v>
      </c>
      <c r="C940" s="645" t="s">
        <v>458</v>
      </c>
      <c r="D940" s="422" t="s">
        <v>2015</v>
      </c>
      <c r="E940" s="423"/>
      <c r="F940" s="424"/>
      <c r="G940" s="425"/>
      <c r="H940" s="651"/>
      <c r="I940" s="420">
        <v>12.68</v>
      </c>
      <c r="J940" s="420">
        <f t="shared" si="270"/>
        <v>12.68</v>
      </c>
      <c r="K940" s="421">
        <f t="shared" si="267"/>
        <v>15.07</v>
      </c>
      <c r="L940" s="647" t="s">
        <v>21</v>
      </c>
      <c r="M940" s="576"/>
      <c r="N940" s="576">
        <f t="shared" si="269"/>
        <v>0</v>
      </c>
      <c r="O940" s="577">
        <f t="shared" si="262"/>
        <v>0</v>
      </c>
      <c r="P940" s="578">
        <f t="shared" si="263"/>
        <v>0</v>
      </c>
      <c r="Q940" s="765"/>
      <c r="R940" s="576">
        <f t="shared" si="259"/>
        <v>0</v>
      </c>
      <c r="S940" s="576">
        <f t="shared" si="259"/>
        <v>0</v>
      </c>
      <c r="T940" s="577">
        <f t="shared" si="260"/>
        <v>0</v>
      </c>
      <c r="U940" s="578">
        <f t="shared" si="261"/>
        <v>0</v>
      </c>
      <c r="V940" s="579"/>
      <c r="W940" s="566"/>
      <c r="X940" s="586" t="str">
        <f t="shared" si="265"/>
        <v/>
      </c>
      <c r="Y940" s="586" t="str">
        <f t="shared" si="271"/>
        <v/>
      </c>
      <c r="Z940" s="586" t="str">
        <f t="shared" si="268"/>
        <v/>
      </c>
    </row>
    <row r="941" spans="1:26" ht="12" hidden="1" thickBot="1" x14ac:dyDescent="0.25">
      <c r="A941" s="567">
        <v>813</v>
      </c>
      <c r="B941" s="644">
        <v>813</v>
      </c>
      <c r="C941" s="645" t="s">
        <v>458</v>
      </c>
      <c r="D941" s="422" t="s">
        <v>2016</v>
      </c>
      <c r="E941" s="423"/>
      <c r="F941" s="424"/>
      <c r="G941" s="425"/>
      <c r="H941" s="651"/>
      <c r="I941" s="420">
        <v>26.72</v>
      </c>
      <c r="J941" s="420">
        <f>IF(ISBLANK(I941),"",SUM(H941:I941))</f>
        <v>26.72</v>
      </c>
      <c r="K941" s="421">
        <f t="shared" si="267"/>
        <v>31.75</v>
      </c>
      <c r="L941" s="647" t="s">
        <v>21</v>
      </c>
      <c r="M941" s="576"/>
      <c r="N941" s="576">
        <f t="shared" si="269"/>
        <v>0</v>
      </c>
      <c r="O941" s="577">
        <f t="shared" si="262"/>
        <v>0</v>
      </c>
      <c r="P941" s="578">
        <f t="shared" si="263"/>
        <v>0</v>
      </c>
      <c r="Q941" s="765"/>
      <c r="R941" s="576">
        <f t="shared" si="259"/>
        <v>0</v>
      </c>
      <c r="S941" s="576">
        <f t="shared" si="259"/>
        <v>0</v>
      </c>
      <c r="T941" s="577">
        <f t="shared" si="260"/>
        <v>0</v>
      </c>
      <c r="U941" s="578">
        <f t="shared" si="261"/>
        <v>0</v>
      </c>
      <c r="V941" s="579"/>
      <c r="W941" s="566"/>
      <c r="X941" s="586" t="str">
        <f t="shared" si="265"/>
        <v/>
      </c>
      <c r="Y941" s="586" t="str">
        <f t="shared" si="271"/>
        <v/>
      </c>
      <c r="Z941" s="586" t="str">
        <f t="shared" si="268"/>
        <v/>
      </c>
    </row>
    <row r="942" spans="1:26" ht="12" hidden="1" thickBot="1" x14ac:dyDescent="0.25">
      <c r="A942" s="567" t="s">
        <v>560</v>
      </c>
      <c r="B942" s="644" t="s">
        <v>560</v>
      </c>
      <c r="C942" s="645" t="s">
        <v>458</v>
      </c>
      <c r="D942" s="422" t="s">
        <v>2017</v>
      </c>
      <c r="E942" s="423"/>
      <c r="F942" s="424"/>
      <c r="G942" s="425"/>
      <c r="H942" s="651"/>
      <c r="I942" s="420">
        <v>10.62</v>
      </c>
      <c r="J942" s="420">
        <f>IF(ISBLANK(I942),"",SUM(H942:I942))</f>
        <v>10.62</v>
      </c>
      <c r="K942" s="421">
        <f t="shared" si="267"/>
        <v>12.62</v>
      </c>
      <c r="L942" s="647" t="s">
        <v>21</v>
      </c>
      <c r="M942" s="576"/>
      <c r="N942" s="576">
        <f t="shared" si="269"/>
        <v>0</v>
      </c>
      <c r="O942" s="577">
        <f t="shared" si="262"/>
        <v>0</v>
      </c>
      <c r="P942" s="578">
        <f t="shared" si="263"/>
        <v>0</v>
      </c>
      <c r="Q942" s="765"/>
      <c r="R942" s="576">
        <f t="shared" si="259"/>
        <v>0</v>
      </c>
      <c r="S942" s="576">
        <f t="shared" si="259"/>
        <v>0</v>
      </c>
      <c r="T942" s="577">
        <f t="shared" si="260"/>
        <v>0</v>
      </c>
      <c r="U942" s="578">
        <f t="shared" si="261"/>
        <v>0</v>
      </c>
      <c r="V942" s="579"/>
      <c r="W942" s="566"/>
      <c r="X942" s="586" t="str">
        <f t="shared" si="265"/>
        <v/>
      </c>
      <c r="Y942" s="586" t="str">
        <f t="shared" si="271"/>
        <v/>
      </c>
      <c r="Z942" s="586" t="str">
        <f t="shared" si="268"/>
        <v/>
      </c>
    </row>
    <row r="943" spans="1:26" ht="12" hidden="1" thickBot="1" x14ac:dyDescent="0.25">
      <c r="A943" s="567">
        <v>811</v>
      </c>
      <c r="B943" s="644">
        <v>811</v>
      </c>
      <c r="C943" s="645" t="s">
        <v>458</v>
      </c>
      <c r="D943" s="422" t="s">
        <v>2018</v>
      </c>
      <c r="E943" s="423"/>
      <c r="F943" s="424"/>
      <c r="G943" s="425"/>
      <c r="H943" s="651"/>
      <c r="I943" s="420">
        <v>13.02</v>
      </c>
      <c r="J943" s="420">
        <f t="shared" ref="J943:J966" si="272">IF(ISBLANK(I943),"",SUM(H943:I943))</f>
        <v>13.02</v>
      </c>
      <c r="K943" s="421">
        <f t="shared" si="267"/>
        <v>15.47</v>
      </c>
      <c r="L943" s="647" t="s">
        <v>21</v>
      </c>
      <c r="M943" s="576"/>
      <c r="N943" s="576">
        <f t="shared" si="269"/>
        <v>0</v>
      </c>
      <c r="O943" s="577">
        <f t="shared" si="262"/>
        <v>0</v>
      </c>
      <c r="P943" s="578">
        <f t="shared" si="263"/>
        <v>0</v>
      </c>
      <c r="Q943" s="765"/>
      <c r="R943" s="576">
        <f t="shared" si="259"/>
        <v>0</v>
      </c>
      <c r="S943" s="576">
        <f t="shared" si="259"/>
        <v>0</v>
      </c>
      <c r="T943" s="577">
        <f t="shared" si="260"/>
        <v>0</v>
      </c>
      <c r="U943" s="578">
        <f t="shared" si="261"/>
        <v>0</v>
      </c>
      <c r="V943" s="579"/>
      <c r="W943" s="566"/>
      <c r="X943" s="586" t="str">
        <f t="shared" si="265"/>
        <v/>
      </c>
      <c r="Y943" s="586" t="str">
        <f t="shared" si="271"/>
        <v/>
      </c>
      <c r="Z943" s="586" t="str">
        <f t="shared" si="268"/>
        <v/>
      </c>
    </row>
    <row r="944" spans="1:26" ht="12" hidden="1" thickBot="1" x14ac:dyDescent="0.25">
      <c r="A944" s="567">
        <v>814</v>
      </c>
      <c r="B944" s="644">
        <v>814</v>
      </c>
      <c r="C944" s="645" t="s">
        <v>458</v>
      </c>
      <c r="D944" s="422" t="s">
        <v>2019</v>
      </c>
      <c r="E944" s="423"/>
      <c r="F944" s="424"/>
      <c r="G944" s="425"/>
      <c r="H944" s="651"/>
      <c r="I944" s="420">
        <v>34.6</v>
      </c>
      <c r="J944" s="420">
        <f t="shared" si="272"/>
        <v>34.6</v>
      </c>
      <c r="K944" s="421">
        <f t="shared" si="267"/>
        <v>41.11</v>
      </c>
      <c r="L944" s="647" t="s">
        <v>21</v>
      </c>
      <c r="M944" s="576"/>
      <c r="N944" s="576">
        <f t="shared" si="269"/>
        <v>0</v>
      </c>
      <c r="O944" s="577">
        <f t="shared" si="262"/>
        <v>0</v>
      </c>
      <c r="P944" s="578">
        <f t="shared" si="263"/>
        <v>0</v>
      </c>
      <c r="Q944" s="765"/>
      <c r="R944" s="576">
        <f t="shared" si="259"/>
        <v>0</v>
      </c>
      <c r="S944" s="576">
        <f t="shared" si="259"/>
        <v>0</v>
      </c>
      <c r="T944" s="577">
        <f t="shared" si="260"/>
        <v>0</v>
      </c>
      <c r="U944" s="578">
        <f t="shared" si="261"/>
        <v>0</v>
      </c>
      <c r="V944" s="579"/>
      <c r="W944" s="566"/>
      <c r="X944" s="586" t="str">
        <f t="shared" si="265"/>
        <v/>
      </c>
      <c r="Y944" s="586" t="str">
        <f t="shared" si="271"/>
        <v/>
      </c>
      <c r="Z944" s="586" t="str">
        <f t="shared" si="268"/>
        <v/>
      </c>
    </row>
    <row r="945" spans="1:26" ht="12" hidden="1" thickBot="1" x14ac:dyDescent="0.25">
      <c r="A945" s="567">
        <v>815</v>
      </c>
      <c r="B945" s="644">
        <v>815</v>
      </c>
      <c r="C945" s="645" t="s">
        <v>458</v>
      </c>
      <c r="D945" s="422" t="s">
        <v>2020</v>
      </c>
      <c r="E945" s="423"/>
      <c r="F945" s="424"/>
      <c r="G945" s="425"/>
      <c r="H945" s="651"/>
      <c r="I945" s="420">
        <v>60.64</v>
      </c>
      <c r="J945" s="420">
        <f t="shared" si="272"/>
        <v>60.64</v>
      </c>
      <c r="K945" s="421">
        <f t="shared" si="267"/>
        <v>72.05</v>
      </c>
      <c r="L945" s="647" t="s">
        <v>21</v>
      </c>
      <c r="M945" s="576"/>
      <c r="N945" s="576">
        <f t="shared" si="269"/>
        <v>0</v>
      </c>
      <c r="O945" s="577">
        <f t="shared" si="262"/>
        <v>0</v>
      </c>
      <c r="P945" s="578">
        <f t="shared" si="263"/>
        <v>0</v>
      </c>
      <c r="Q945" s="765"/>
      <c r="R945" s="576">
        <f t="shared" si="259"/>
        <v>0</v>
      </c>
      <c r="S945" s="576">
        <f t="shared" si="259"/>
        <v>0</v>
      </c>
      <c r="T945" s="577">
        <f t="shared" si="260"/>
        <v>0</v>
      </c>
      <c r="U945" s="578">
        <f t="shared" si="261"/>
        <v>0</v>
      </c>
      <c r="V945" s="579"/>
      <c r="W945" s="566"/>
      <c r="X945" s="586" t="str">
        <f t="shared" si="265"/>
        <v/>
      </c>
      <c r="Y945" s="586" t="str">
        <f t="shared" si="271"/>
        <v/>
      </c>
      <c r="Z945" s="586" t="str">
        <f t="shared" si="268"/>
        <v/>
      </c>
    </row>
    <row r="946" spans="1:26" ht="12" hidden="1" thickBot="1" x14ac:dyDescent="0.25">
      <c r="A946" s="567">
        <v>816</v>
      </c>
      <c r="B946" s="644">
        <v>816</v>
      </c>
      <c r="C946" s="645" t="s">
        <v>458</v>
      </c>
      <c r="D946" s="422" t="s">
        <v>2021</v>
      </c>
      <c r="E946" s="423"/>
      <c r="F946" s="424"/>
      <c r="G946" s="425"/>
      <c r="H946" s="651"/>
      <c r="I946" s="420">
        <v>28.78</v>
      </c>
      <c r="J946" s="420">
        <f t="shared" si="272"/>
        <v>28.78</v>
      </c>
      <c r="K946" s="421">
        <f t="shared" si="267"/>
        <v>34.19</v>
      </c>
      <c r="L946" s="647" t="s">
        <v>21</v>
      </c>
      <c r="M946" s="576"/>
      <c r="N946" s="576">
        <f t="shared" si="269"/>
        <v>0</v>
      </c>
      <c r="O946" s="577">
        <f t="shared" si="262"/>
        <v>0</v>
      </c>
      <c r="P946" s="578">
        <f t="shared" si="263"/>
        <v>0</v>
      </c>
      <c r="Q946" s="765"/>
      <c r="R946" s="576">
        <f t="shared" si="259"/>
        <v>0</v>
      </c>
      <c r="S946" s="576">
        <f t="shared" si="259"/>
        <v>0</v>
      </c>
      <c r="T946" s="577">
        <f t="shared" si="260"/>
        <v>0</v>
      </c>
      <c r="U946" s="578">
        <f t="shared" si="261"/>
        <v>0</v>
      </c>
      <c r="V946" s="579"/>
      <c r="W946" s="566"/>
      <c r="X946" s="586" t="str">
        <f t="shared" si="265"/>
        <v/>
      </c>
      <c r="Y946" s="586" t="str">
        <f t="shared" si="271"/>
        <v/>
      </c>
      <c r="Z946" s="586" t="str">
        <f t="shared" si="268"/>
        <v/>
      </c>
    </row>
    <row r="947" spans="1:26" ht="12" hidden="1" thickBot="1" x14ac:dyDescent="0.25">
      <c r="A947" s="567">
        <v>817</v>
      </c>
      <c r="B947" s="644">
        <v>817</v>
      </c>
      <c r="C947" s="645" t="s">
        <v>458</v>
      </c>
      <c r="D947" s="422" t="s">
        <v>2022</v>
      </c>
      <c r="E947" s="423"/>
      <c r="F947" s="424"/>
      <c r="G947" s="425"/>
      <c r="H947" s="651"/>
      <c r="I947" s="420">
        <v>41.46</v>
      </c>
      <c r="J947" s="420">
        <f t="shared" si="272"/>
        <v>41.46</v>
      </c>
      <c r="K947" s="421">
        <f t="shared" si="267"/>
        <v>49.26</v>
      </c>
      <c r="L947" s="647" t="s">
        <v>21</v>
      </c>
      <c r="M947" s="576"/>
      <c r="N947" s="576">
        <f t="shared" si="269"/>
        <v>0</v>
      </c>
      <c r="O947" s="577">
        <f t="shared" si="262"/>
        <v>0</v>
      </c>
      <c r="P947" s="578">
        <f t="shared" si="263"/>
        <v>0</v>
      </c>
      <c r="Q947" s="765"/>
      <c r="R947" s="576">
        <f t="shared" si="259"/>
        <v>0</v>
      </c>
      <c r="S947" s="576">
        <f t="shared" si="259"/>
        <v>0</v>
      </c>
      <c r="T947" s="577">
        <f t="shared" si="260"/>
        <v>0</v>
      </c>
      <c r="U947" s="578">
        <f t="shared" si="261"/>
        <v>0</v>
      </c>
      <c r="V947" s="579"/>
      <c r="W947" s="566"/>
      <c r="X947" s="586" t="str">
        <f t="shared" si="265"/>
        <v/>
      </c>
      <c r="Y947" s="586" t="str">
        <f t="shared" si="271"/>
        <v/>
      </c>
      <c r="Z947" s="586" t="str">
        <f t="shared" si="268"/>
        <v/>
      </c>
    </row>
    <row r="948" spans="1:26" ht="12" hidden="1" thickBot="1" x14ac:dyDescent="0.25">
      <c r="A948" s="567">
        <v>818</v>
      </c>
      <c r="B948" s="644">
        <v>818</v>
      </c>
      <c r="C948" s="645" t="s">
        <v>458</v>
      </c>
      <c r="D948" s="422" t="s">
        <v>2023</v>
      </c>
      <c r="E948" s="423"/>
      <c r="F948" s="424"/>
      <c r="G948" s="425"/>
      <c r="H948" s="651"/>
      <c r="I948" s="420">
        <v>15.42</v>
      </c>
      <c r="J948" s="420">
        <f t="shared" si="272"/>
        <v>15.42</v>
      </c>
      <c r="K948" s="421">
        <f t="shared" si="267"/>
        <v>18.32</v>
      </c>
      <c r="L948" s="647" t="s">
        <v>21</v>
      </c>
      <c r="M948" s="576"/>
      <c r="N948" s="576">
        <f t="shared" si="269"/>
        <v>0</v>
      </c>
      <c r="O948" s="577">
        <f t="shared" si="262"/>
        <v>0</v>
      </c>
      <c r="P948" s="578">
        <f t="shared" si="263"/>
        <v>0</v>
      </c>
      <c r="Q948" s="765"/>
      <c r="R948" s="576">
        <f t="shared" ref="R948:S1011" si="273">M948</f>
        <v>0</v>
      </c>
      <c r="S948" s="576">
        <f t="shared" si="273"/>
        <v>0</v>
      </c>
      <c r="T948" s="577">
        <f t="shared" ref="T948:T1011" si="274">IF(ISBLANK(R948),0,ROUND(K948*R948,2))</f>
        <v>0</v>
      </c>
      <c r="U948" s="578">
        <f t="shared" ref="U948:U1011" si="275">IF(ISBLANK(R948),0,ROUND(R948*S948,2))</f>
        <v>0</v>
      </c>
      <c r="V948" s="579"/>
      <c r="W948" s="566"/>
      <c r="X948" s="586" t="str">
        <f t="shared" si="265"/>
        <v/>
      </c>
      <c r="Y948" s="586" t="str">
        <f t="shared" si="271"/>
        <v/>
      </c>
      <c r="Z948" s="586" t="str">
        <f t="shared" si="268"/>
        <v/>
      </c>
    </row>
    <row r="949" spans="1:26" ht="12" hidden="1" thickBot="1" x14ac:dyDescent="0.25">
      <c r="A949" s="567">
        <v>819</v>
      </c>
      <c r="B949" s="644">
        <v>819</v>
      </c>
      <c r="C949" s="645" t="s">
        <v>458</v>
      </c>
      <c r="D949" s="422" t="s">
        <v>2024</v>
      </c>
      <c r="E949" s="423"/>
      <c r="F949" s="424"/>
      <c r="G949" s="425"/>
      <c r="H949" s="651"/>
      <c r="I949" s="420">
        <v>23.3</v>
      </c>
      <c r="J949" s="420">
        <f t="shared" si="272"/>
        <v>23.3</v>
      </c>
      <c r="K949" s="421">
        <f t="shared" si="267"/>
        <v>27.68</v>
      </c>
      <c r="L949" s="647" t="s">
        <v>19</v>
      </c>
      <c r="M949" s="576"/>
      <c r="N949" s="576">
        <f t="shared" si="269"/>
        <v>0</v>
      </c>
      <c r="O949" s="577">
        <f t="shared" ref="O949:O1012" si="276">IF(ISBLANK(M949),0,ROUND(K949*M949,2))</f>
        <v>0</v>
      </c>
      <c r="P949" s="578">
        <f t="shared" ref="P949:P1012" si="277">IF(ISBLANK(N949),0,ROUND(M949*N949,2))</f>
        <v>0</v>
      </c>
      <c r="Q949" s="765"/>
      <c r="R949" s="576">
        <f t="shared" si="273"/>
        <v>0</v>
      </c>
      <c r="S949" s="576">
        <f t="shared" si="273"/>
        <v>0</v>
      </c>
      <c r="T949" s="577">
        <f t="shared" si="274"/>
        <v>0</v>
      </c>
      <c r="U949" s="578">
        <f t="shared" si="275"/>
        <v>0</v>
      </c>
      <c r="V949" s="579"/>
      <c r="W949" s="566"/>
      <c r="X949" s="586" t="str">
        <f t="shared" si="265"/>
        <v/>
      </c>
      <c r="Y949" s="586" t="str">
        <f t="shared" si="271"/>
        <v/>
      </c>
      <c r="Z949" s="586" t="str">
        <f t="shared" si="268"/>
        <v/>
      </c>
    </row>
    <row r="950" spans="1:26" ht="12" hidden="1" thickBot="1" x14ac:dyDescent="0.25">
      <c r="A950" s="567">
        <v>820</v>
      </c>
      <c r="B950" s="644">
        <v>820</v>
      </c>
      <c r="C950" s="645" t="s">
        <v>458</v>
      </c>
      <c r="D950" s="422" t="s">
        <v>2025</v>
      </c>
      <c r="E950" s="423"/>
      <c r="F950" s="424"/>
      <c r="G950" s="425"/>
      <c r="H950" s="651"/>
      <c r="I950" s="420">
        <v>14.08</v>
      </c>
      <c r="J950" s="420">
        <f t="shared" si="272"/>
        <v>14.08</v>
      </c>
      <c r="K950" s="421">
        <f t="shared" si="267"/>
        <v>16.73</v>
      </c>
      <c r="L950" s="647" t="s">
        <v>21</v>
      </c>
      <c r="M950" s="576"/>
      <c r="N950" s="576">
        <f t="shared" si="269"/>
        <v>0</v>
      </c>
      <c r="O950" s="577">
        <f t="shared" si="276"/>
        <v>0</v>
      </c>
      <c r="P950" s="578">
        <f t="shared" si="277"/>
        <v>0</v>
      </c>
      <c r="Q950" s="765"/>
      <c r="R950" s="576">
        <f t="shared" si="273"/>
        <v>0</v>
      </c>
      <c r="S950" s="576">
        <f t="shared" si="273"/>
        <v>0</v>
      </c>
      <c r="T950" s="577">
        <f t="shared" si="274"/>
        <v>0</v>
      </c>
      <c r="U950" s="578">
        <f t="shared" si="275"/>
        <v>0</v>
      </c>
      <c r="V950" s="579"/>
      <c r="W950" s="566"/>
      <c r="X950" s="586" t="str">
        <f t="shared" si="265"/>
        <v/>
      </c>
      <c r="Y950" s="586" t="str">
        <f t="shared" si="271"/>
        <v/>
      </c>
      <c r="Z950" s="586" t="str">
        <f t="shared" si="268"/>
        <v/>
      </c>
    </row>
    <row r="951" spans="1:26" ht="12" hidden="1" thickBot="1" x14ac:dyDescent="0.25">
      <c r="A951" s="567">
        <v>821</v>
      </c>
      <c r="B951" s="644">
        <v>821</v>
      </c>
      <c r="C951" s="645" t="s">
        <v>458</v>
      </c>
      <c r="D951" s="422" t="s">
        <v>2026</v>
      </c>
      <c r="E951" s="423"/>
      <c r="F951" s="424"/>
      <c r="G951" s="425"/>
      <c r="H951" s="651"/>
      <c r="I951" s="420">
        <v>22.96</v>
      </c>
      <c r="J951" s="420">
        <f t="shared" si="272"/>
        <v>22.96</v>
      </c>
      <c r="K951" s="421">
        <f t="shared" si="267"/>
        <v>27.28</v>
      </c>
      <c r="L951" s="647" t="s">
        <v>21</v>
      </c>
      <c r="M951" s="576"/>
      <c r="N951" s="576">
        <f t="shared" si="269"/>
        <v>0</v>
      </c>
      <c r="O951" s="577">
        <f t="shared" si="276"/>
        <v>0</v>
      </c>
      <c r="P951" s="578">
        <f t="shared" si="277"/>
        <v>0</v>
      </c>
      <c r="Q951" s="765"/>
      <c r="R951" s="576">
        <f t="shared" si="273"/>
        <v>0</v>
      </c>
      <c r="S951" s="576">
        <f t="shared" si="273"/>
        <v>0</v>
      </c>
      <c r="T951" s="577">
        <f t="shared" si="274"/>
        <v>0</v>
      </c>
      <c r="U951" s="578">
        <f t="shared" si="275"/>
        <v>0</v>
      </c>
      <c r="V951" s="579"/>
      <c r="W951" s="566"/>
      <c r="X951" s="586" t="str">
        <f t="shared" si="265"/>
        <v/>
      </c>
      <c r="Y951" s="586" t="str">
        <f t="shared" si="271"/>
        <v/>
      </c>
      <c r="Z951" s="586" t="str">
        <f t="shared" si="268"/>
        <v/>
      </c>
    </row>
    <row r="952" spans="1:26" ht="12" hidden="1" thickBot="1" x14ac:dyDescent="0.25">
      <c r="A952" s="567">
        <v>871</v>
      </c>
      <c r="B952" s="644">
        <v>871</v>
      </c>
      <c r="C952" s="645" t="s">
        <v>458</v>
      </c>
      <c r="D952" s="422" t="s">
        <v>2027</v>
      </c>
      <c r="E952" s="423"/>
      <c r="F952" s="424"/>
      <c r="G952" s="425"/>
      <c r="H952" s="651"/>
      <c r="I952" s="420">
        <v>11.31</v>
      </c>
      <c r="J952" s="420">
        <f t="shared" si="272"/>
        <v>11.31</v>
      </c>
      <c r="K952" s="421">
        <f t="shared" si="267"/>
        <v>13.44</v>
      </c>
      <c r="L952" s="647" t="s">
        <v>21</v>
      </c>
      <c r="M952" s="576"/>
      <c r="N952" s="576">
        <f t="shared" si="269"/>
        <v>0</v>
      </c>
      <c r="O952" s="577">
        <f t="shared" si="276"/>
        <v>0</v>
      </c>
      <c r="P952" s="578">
        <f t="shared" si="277"/>
        <v>0</v>
      </c>
      <c r="Q952" s="765"/>
      <c r="R952" s="576">
        <f t="shared" si="273"/>
        <v>0</v>
      </c>
      <c r="S952" s="576">
        <f t="shared" si="273"/>
        <v>0</v>
      </c>
      <c r="T952" s="577">
        <f t="shared" si="274"/>
        <v>0</v>
      </c>
      <c r="U952" s="578">
        <f t="shared" si="275"/>
        <v>0</v>
      </c>
      <c r="V952" s="579"/>
      <c r="W952" s="566"/>
      <c r="X952" s="586" t="str">
        <f t="shared" si="265"/>
        <v/>
      </c>
      <c r="Y952" s="586" t="str">
        <f t="shared" si="271"/>
        <v/>
      </c>
      <c r="Z952" s="586" t="str">
        <f t="shared" si="268"/>
        <v/>
      </c>
    </row>
    <row r="953" spans="1:26" ht="12" hidden="1" thickBot="1" x14ac:dyDescent="0.25">
      <c r="A953" s="567" t="s">
        <v>561</v>
      </c>
      <c r="B953" s="644" t="s">
        <v>561</v>
      </c>
      <c r="C953" s="645" t="s">
        <v>458</v>
      </c>
      <c r="D953" s="422" t="s">
        <v>2028</v>
      </c>
      <c r="E953" s="423"/>
      <c r="F953" s="424"/>
      <c r="G953" s="425"/>
      <c r="H953" s="651"/>
      <c r="I953" s="420">
        <v>4.45</v>
      </c>
      <c r="J953" s="420">
        <f t="shared" si="272"/>
        <v>4.45</v>
      </c>
      <c r="K953" s="421">
        <f t="shared" si="267"/>
        <v>5.29</v>
      </c>
      <c r="L953" s="647" t="s">
        <v>21</v>
      </c>
      <c r="M953" s="576"/>
      <c r="N953" s="576">
        <f t="shared" si="269"/>
        <v>0</v>
      </c>
      <c r="O953" s="577">
        <f t="shared" si="276"/>
        <v>0</v>
      </c>
      <c r="P953" s="578">
        <f t="shared" si="277"/>
        <v>0</v>
      </c>
      <c r="Q953" s="765"/>
      <c r="R953" s="576">
        <f t="shared" si="273"/>
        <v>0</v>
      </c>
      <c r="S953" s="576">
        <f t="shared" si="273"/>
        <v>0</v>
      </c>
      <c r="T953" s="577">
        <f t="shared" si="274"/>
        <v>0</v>
      </c>
      <c r="U953" s="578">
        <f t="shared" si="275"/>
        <v>0</v>
      </c>
      <c r="V953" s="579"/>
      <c r="W953" s="566"/>
      <c r="X953" s="586" t="str">
        <f t="shared" si="265"/>
        <v/>
      </c>
      <c r="Y953" s="586" t="str">
        <f t="shared" si="271"/>
        <v/>
      </c>
      <c r="Z953" s="586" t="str">
        <f t="shared" si="268"/>
        <v/>
      </c>
    </row>
    <row r="954" spans="1:26" ht="12" hidden="1" thickBot="1" x14ac:dyDescent="0.25">
      <c r="A954" s="567">
        <v>834</v>
      </c>
      <c r="B954" s="644">
        <v>834</v>
      </c>
      <c r="C954" s="645" t="s">
        <v>458</v>
      </c>
      <c r="D954" s="422" t="s">
        <v>2029</v>
      </c>
      <c r="E954" s="423"/>
      <c r="F954" s="424"/>
      <c r="G954" s="425"/>
      <c r="H954" s="651"/>
      <c r="I954" s="420">
        <v>11.99</v>
      </c>
      <c r="J954" s="420">
        <f t="shared" si="272"/>
        <v>11.99</v>
      </c>
      <c r="K954" s="421">
        <f t="shared" si="267"/>
        <v>14.25</v>
      </c>
      <c r="L954" s="647" t="s">
        <v>21</v>
      </c>
      <c r="M954" s="576"/>
      <c r="N954" s="576">
        <f t="shared" si="269"/>
        <v>0</v>
      </c>
      <c r="O954" s="577">
        <f t="shared" si="276"/>
        <v>0</v>
      </c>
      <c r="P954" s="578">
        <f t="shared" si="277"/>
        <v>0</v>
      </c>
      <c r="Q954" s="765"/>
      <c r="R954" s="576">
        <f t="shared" si="273"/>
        <v>0</v>
      </c>
      <c r="S954" s="576">
        <f t="shared" si="273"/>
        <v>0</v>
      </c>
      <c r="T954" s="577">
        <f t="shared" si="274"/>
        <v>0</v>
      </c>
      <c r="U954" s="578">
        <f t="shared" si="275"/>
        <v>0</v>
      </c>
      <c r="V954" s="579"/>
      <c r="W954" s="566"/>
      <c r="X954" s="586" t="str">
        <f t="shared" si="265"/>
        <v/>
      </c>
      <c r="Y954" s="586" t="str">
        <f t="shared" si="271"/>
        <v/>
      </c>
      <c r="Z954" s="586" t="str">
        <f t="shared" si="268"/>
        <v/>
      </c>
    </row>
    <row r="955" spans="1:26" ht="12" hidden="1" thickBot="1" x14ac:dyDescent="0.25">
      <c r="A955" s="567" t="s">
        <v>562</v>
      </c>
      <c r="B955" s="644" t="s">
        <v>562</v>
      </c>
      <c r="C955" s="645" t="s">
        <v>458</v>
      </c>
      <c r="D955" s="422" t="s">
        <v>2030</v>
      </c>
      <c r="E955" s="423"/>
      <c r="F955" s="424"/>
      <c r="G955" s="425"/>
      <c r="H955" s="651"/>
      <c r="I955" s="420">
        <v>4.8</v>
      </c>
      <c r="J955" s="420">
        <f t="shared" si="272"/>
        <v>4.8</v>
      </c>
      <c r="K955" s="421">
        <f t="shared" si="267"/>
        <v>5.7</v>
      </c>
      <c r="L955" s="647" t="s">
        <v>21</v>
      </c>
      <c r="M955" s="576"/>
      <c r="N955" s="576">
        <f t="shared" si="269"/>
        <v>0</v>
      </c>
      <c r="O955" s="577">
        <f t="shared" si="276"/>
        <v>0</v>
      </c>
      <c r="P955" s="578">
        <f t="shared" si="277"/>
        <v>0</v>
      </c>
      <c r="Q955" s="765"/>
      <c r="R955" s="576">
        <f t="shared" si="273"/>
        <v>0</v>
      </c>
      <c r="S955" s="576">
        <f t="shared" si="273"/>
        <v>0</v>
      </c>
      <c r="T955" s="577">
        <f t="shared" si="274"/>
        <v>0</v>
      </c>
      <c r="U955" s="578">
        <f t="shared" si="275"/>
        <v>0</v>
      </c>
      <c r="V955" s="579"/>
      <c r="W955" s="566"/>
      <c r="X955" s="586" t="str">
        <f t="shared" si="265"/>
        <v/>
      </c>
      <c r="Y955" s="586" t="str">
        <f t="shared" si="271"/>
        <v/>
      </c>
      <c r="Z955" s="586" t="str">
        <f t="shared" si="268"/>
        <v/>
      </c>
    </row>
    <row r="956" spans="1:26" ht="23.25" hidden="1" thickBot="1" x14ac:dyDescent="0.25">
      <c r="A956" s="567">
        <v>835</v>
      </c>
      <c r="B956" s="644">
        <v>835</v>
      </c>
      <c r="C956" s="645" t="s">
        <v>458</v>
      </c>
      <c r="D956" s="422" t="s">
        <v>2031</v>
      </c>
      <c r="E956" s="423"/>
      <c r="F956" s="424"/>
      <c r="G956" s="425"/>
      <c r="H956" s="651"/>
      <c r="I956" s="420">
        <v>43.85</v>
      </c>
      <c r="J956" s="420">
        <f t="shared" si="272"/>
        <v>43.85</v>
      </c>
      <c r="K956" s="421">
        <f t="shared" si="267"/>
        <v>52.1</v>
      </c>
      <c r="L956" s="647" t="s">
        <v>21</v>
      </c>
      <c r="M956" s="576"/>
      <c r="N956" s="576">
        <f t="shared" si="269"/>
        <v>0</v>
      </c>
      <c r="O956" s="577">
        <f t="shared" si="276"/>
        <v>0</v>
      </c>
      <c r="P956" s="578">
        <f t="shared" si="277"/>
        <v>0</v>
      </c>
      <c r="Q956" s="765"/>
      <c r="R956" s="576">
        <f t="shared" si="273"/>
        <v>0</v>
      </c>
      <c r="S956" s="576">
        <f t="shared" si="273"/>
        <v>0</v>
      </c>
      <c r="T956" s="577">
        <f t="shared" si="274"/>
        <v>0</v>
      </c>
      <c r="U956" s="578">
        <f t="shared" si="275"/>
        <v>0</v>
      </c>
      <c r="V956" s="579"/>
      <c r="W956" s="566"/>
      <c r="X956" s="586" t="str">
        <f t="shared" si="265"/>
        <v/>
      </c>
      <c r="Y956" s="586" t="str">
        <f t="shared" si="271"/>
        <v/>
      </c>
      <c r="Z956" s="586" t="str">
        <f t="shared" si="268"/>
        <v/>
      </c>
    </row>
    <row r="957" spans="1:26" ht="23.25" hidden="1" thickBot="1" x14ac:dyDescent="0.25">
      <c r="A957" s="567" t="s">
        <v>565</v>
      </c>
      <c r="B957" s="644" t="s">
        <v>565</v>
      </c>
      <c r="C957" s="645" t="s">
        <v>458</v>
      </c>
      <c r="D957" s="422" t="s">
        <v>2032</v>
      </c>
      <c r="E957" s="423"/>
      <c r="F957" s="424"/>
      <c r="G957" s="425"/>
      <c r="H957" s="651"/>
      <c r="I957" s="420">
        <v>17.47</v>
      </c>
      <c r="J957" s="420">
        <f t="shared" si="272"/>
        <v>17.47</v>
      </c>
      <c r="K957" s="421">
        <f t="shared" si="267"/>
        <v>20.76</v>
      </c>
      <c r="L957" s="647" t="s">
        <v>21</v>
      </c>
      <c r="M957" s="576"/>
      <c r="N957" s="576">
        <f t="shared" si="269"/>
        <v>0</v>
      </c>
      <c r="O957" s="577">
        <f t="shared" si="276"/>
        <v>0</v>
      </c>
      <c r="P957" s="578">
        <f t="shared" si="277"/>
        <v>0</v>
      </c>
      <c r="Q957" s="765"/>
      <c r="R957" s="576">
        <f t="shared" si="273"/>
        <v>0</v>
      </c>
      <c r="S957" s="576">
        <f t="shared" si="273"/>
        <v>0</v>
      </c>
      <c r="T957" s="577">
        <f t="shared" si="274"/>
        <v>0</v>
      </c>
      <c r="U957" s="578">
        <f t="shared" si="275"/>
        <v>0</v>
      </c>
      <c r="V957" s="579"/>
      <c r="W957" s="566"/>
      <c r="X957" s="586" t="str">
        <f t="shared" ref="X957:X1020" si="278">IF(W957="X","x",IF(W957="xx","x",IF(W957="xy","x",IF(W957="y","x",IF(OR(P957&gt;0,U957&gt;0),"x","")))))</f>
        <v/>
      </c>
      <c r="Y957" s="586" t="str">
        <f t="shared" si="271"/>
        <v/>
      </c>
      <c r="Z957" s="586" t="str">
        <f t="shared" si="268"/>
        <v/>
      </c>
    </row>
    <row r="958" spans="1:26" ht="23.25" hidden="1" thickBot="1" x14ac:dyDescent="0.25">
      <c r="A958" s="567">
        <v>836</v>
      </c>
      <c r="B958" s="644">
        <v>836</v>
      </c>
      <c r="C958" s="645" t="s">
        <v>458</v>
      </c>
      <c r="D958" s="422" t="s">
        <v>2033</v>
      </c>
      <c r="E958" s="423"/>
      <c r="F958" s="424"/>
      <c r="G958" s="425"/>
      <c r="H958" s="651"/>
      <c r="I958" s="420">
        <v>114.78</v>
      </c>
      <c r="J958" s="420">
        <f t="shared" si="272"/>
        <v>114.78</v>
      </c>
      <c r="K958" s="421">
        <f t="shared" si="267"/>
        <v>136.37</v>
      </c>
      <c r="L958" s="647" t="s">
        <v>21</v>
      </c>
      <c r="M958" s="576"/>
      <c r="N958" s="576">
        <f t="shared" si="269"/>
        <v>0</v>
      </c>
      <c r="O958" s="577">
        <f t="shared" si="276"/>
        <v>0</v>
      </c>
      <c r="P958" s="578">
        <f t="shared" si="277"/>
        <v>0</v>
      </c>
      <c r="Q958" s="765"/>
      <c r="R958" s="576">
        <f t="shared" si="273"/>
        <v>0</v>
      </c>
      <c r="S958" s="576">
        <f t="shared" si="273"/>
        <v>0</v>
      </c>
      <c r="T958" s="577">
        <f t="shared" si="274"/>
        <v>0</v>
      </c>
      <c r="U958" s="578">
        <f t="shared" si="275"/>
        <v>0</v>
      </c>
      <c r="V958" s="579"/>
      <c r="W958" s="566"/>
      <c r="X958" s="586" t="str">
        <f t="shared" si="278"/>
        <v/>
      </c>
      <c r="Y958" s="586" t="str">
        <f t="shared" si="271"/>
        <v/>
      </c>
      <c r="Z958" s="586" t="str">
        <f t="shared" si="268"/>
        <v/>
      </c>
    </row>
    <row r="959" spans="1:26" ht="23.25" hidden="1" thickBot="1" x14ac:dyDescent="0.25">
      <c r="A959" s="567" t="s">
        <v>563</v>
      </c>
      <c r="B959" s="644" t="s">
        <v>563</v>
      </c>
      <c r="C959" s="645" t="s">
        <v>458</v>
      </c>
      <c r="D959" s="422" t="s">
        <v>2034</v>
      </c>
      <c r="E959" s="423"/>
      <c r="F959" s="424"/>
      <c r="G959" s="425"/>
      <c r="H959" s="651"/>
      <c r="I959" s="420">
        <v>57.56</v>
      </c>
      <c r="J959" s="420">
        <f t="shared" si="272"/>
        <v>57.56</v>
      </c>
      <c r="K959" s="421">
        <f t="shared" si="267"/>
        <v>68.39</v>
      </c>
      <c r="L959" s="647" t="s">
        <v>21</v>
      </c>
      <c r="M959" s="576"/>
      <c r="N959" s="576">
        <f t="shared" si="269"/>
        <v>0</v>
      </c>
      <c r="O959" s="577">
        <f t="shared" si="276"/>
        <v>0</v>
      </c>
      <c r="P959" s="578">
        <f t="shared" si="277"/>
        <v>0</v>
      </c>
      <c r="Q959" s="765"/>
      <c r="R959" s="576">
        <f t="shared" si="273"/>
        <v>0</v>
      </c>
      <c r="S959" s="576">
        <f t="shared" si="273"/>
        <v>0</v>
      </c>
      <c r="T959" s="577">
        <f t="shared" si="274"/>
        <v>0</v>
      </c>
      <c r="U959" s="578">
        <f t="shared" si="275"/>
        <v>0</v>
      </c>
      <c r="V959" s="579"/>
      <c r="W959" s="566"/>
      <c r="X959" s="586" t="str">
        <f t="shared" si="278"/>
        <v/>
      </c>
      <c r="Y959" s="586" t="str">
        <f t="shared" si="271"/>
        <v/>
      </c>
      <c r="Z959" s="586" t="str">
        <f t="shared" si="268"/>
        <v/>
      </c>
    </row>
    <row r="960" spans="1:26" ht="12" hidden="1" thickBot="1" x14ac:dyDescent="0.25">
      <c r="A960" s="567">
        <v>837</v>
      </c>
      <c r="B960" s="644">
        <v>837</v>
      </c>
      <c r="C960" s="645" t="s">
        <v>458</v>
      </c>
      <c r="D960" s="422" t="s">
        <v>2035</v>
      </c>
      <c r="E960" s="423"/>
      <c r="F960" s="424"/>
      <c r="G960" s="425"/>
      <c r="H960" s="651"/>
      <c r="I960" s="420">
        <v>20.9</v>
      </c>
      <c r="J960" s="420">
        <f t="shared" si="272"/>
        <v>20.9</v>
      </c>
      <c r="K960" s="421">
        <f t="shared" si="267"/>
        <v>24.83</v>
      </c>
      <c r="L960" s="647" t="s">
        <v>21</v>
      </c>
      <c r="M960" s="576"/>
      <c r="N960" s="576">
        <f t="shared" si="269"/>
        <v>0</v>
      </c>
      <c r="O960" s="577">
        <f t="shared" si="276"/>
        <v>0</v>
      </c>
      <c r="P960" s="578">
        <f t="shared" si="277"/>
        <v>0</v>
      </c>
      <c r="Q960" s="765"/>
      <c r="R960" s="576">
        <f t="shared" si="273"/>
        <v>0</v>
      </c>
      <c r="S960" s="576">
        <f t="shared" si="273"/>
        <v>0</v>
      </c>
      <c r="T960" s="577">
        <f t="shared" si="274"/>
        <v>0</v>
      </c>
      <c r="U960" s="578">
        <f t="shared" si="275"/>
        <v>0</v>
      </c>
      <c r="V960" s="579"/>
      <c r="W960" s="566"/>
      <c r="X960" s="586" t="str">
        <f t="shared" si="278"/>
        <v/>
      </c>
      <c r="Y960" s="586" t="str">
        <f t="shared" si="271"/>
        <v/>
      </c>
      <c r="Z960" s="586" t="str">
        <f t="shared" si="268"/>
        <v/>
      </c>
    </row>
    <row r="961" spans="1:26" ht="12" hidden="1" thickBot="1" x14ac:dyDescent="0.25">
      <c r="A961" s="567">
        <v>838</v>
      </c>
      <c r="B961" s="644">
        <v>838</v>
      </c>
      <c r="C961" s="645" t="s">
        <v>458</v>
      </c>
      <c r="D961" s="422" t="s">
        <v>2036</v>
      </c>
      <c r="E961" s="423"/>
      <c r="F961" s="424"/>
      <c r="G961" s="425"/>
      <c r="H961" s="651"/>
      <c r="I961" s="420">
        <v>53.11</v>
      </c>
      <c r="J961" s="420">
        <f t="shared" si="272"/>
        <v>53.11</v>
      </c>
      <c r="K961" s="421">
        <f t="shared" si="267"/>
        <v>63.1</v>
      </c>
      <c r="L961" s="647" t="s">
        <v>21</v>
      </c>
      <c r="M961" s="576"/>
      <c r="N961" s="576">
        <f t="shared" si="269"/>
        <v>0</v>
      </c>
      <c r="O961" s="577">
        <f t="shared" si="276"/>
        <v>0</v>
      </c>
      <c r="P961" s="578">
        <f t="shared" si="277"/>
        <v>0</v>
      </c>
      <c r="Q961" s="765"/>
      <c r="R961" s="576">
        <f t="shared" si="273"/>
        <v>0</v>
      </c>
      <c r="S961" s="576">
        <f t="shared" si="273"/>
        <v>0</v>
      </c>
      <c r="T961" s="577">
        <f t="shared" si="274"/>
        <v>0</v>
      </c>
      <c r="U961" s="578">
        <f t="shared" si="275"/>
        <v>0</v>
      </c>
      <c r="V961" s="579"/>
      <c r="W961" s="566"/>
      <c r="X961" s="586" t="str">
        <f t="shared" si="278"/>
        <v/>
      </c>
      <c r="Y961" s="586" t="str">
        <f t="shared" si="271"/>
        <v/>
      </c>
      <c r="Z961" s="586" t="str">
        <f t="shared" si="268"/>
        <v/>
      </c>
    </row>
    <row r="962" spans="1:26" ht="12" hidden="1" thickBot="1" x14ac:dyDescent="0.25">
      <c r="A962" s="567" t="s">
        <v>566</v>
      </c>
      <c r="B962" s="644" t="s">
        <v>566</v>
      </c>
      <c r="C962" s="645" t="s">
        <v>458</v>
      </c>
      <c r="D962" s="422" t="s">
        <v>574</v>
      </c>
      <c r="E962" s="423"/>
      <c r="F962" s="424"/>
      <c r="G962" s="425"/>
      <c r="H962" s="651"/>
      <c r="I962" s="420">
        <v>21.24</v>
      </c>
      <c r="J962" s="420">
        <f t="shared" si="272"/>
        <v>21.24</v>
      </c>
      <c r="K962" s="421">
        <f t="shared" si="267"/>
        <v>25.24</v>
      </c>
      <c r="L962" s="647" t="s">
        <v>21</v>
      </c>
      <c r="M962" s="576"/>
      <c r="N962" s="576">
        <f t="shared" si="269"/>
        <v>0</v>
      </c>
      <c r="O962" s="577">
        <f t="shared" si="276"/>
        <v>0</v>
      </c>
      <c r="P962" s="578">
        <f t="shared" si="277"/>
        <v>0</v>
      </c>
      <c r="Q962" s="765"/>
      <c r="R962" s="576">
        <f t="shared" si="273"/>
        <v>0</v>
      </c>
      <c r="S962" s="576">
        <f t="shared" si="273"/>
        <v>0</v>
      </c>
      <c r="T962" s="577">
        <f t="shared" si="274"/>
        <v>0</v>
      </c>
      <c r="U962" s="578">
        <f t="shared" si="275"/>
        <v>0</v>
      </c>
      <c r="V962" s="579"/>
      <c r="W962" s="566"/>
      <c r="X962" s="586" t="str">
        <f t="shared" si="278"/>
        <v/>
      </c>
      <c r="Y962" s="586" t="str">
        <f t="shared" si="271"/>
        <v/>
      </c>
      <c r="Z962" s="586" t="str">
        <f t="shared" si="268"/>
        <v/>
      </c>
    </row>
    <row r="963" spans="1:26" ht="12" hidden="1" thickBot="1" x14ac:dyDescent="0.25">
      <c r="A963" s="567">
        <v>839</v>
      </c>
      <c r="B963" s="644">
        <v>839</v>
      </c>
      <c r="C963" s="645" t="s">
        <v>458</v>
      </c>
      <c r="D963" s="422" t="s">
        <v>2037</v>
      </c>
      <c r="E963" s="423"/>
      <c r="F963" s="424"/>
      <c r="G963" s="425"/>
      <c r="H963" s="651"/>
      <c r="I963" s="420">
        <v>171.99</v>
      </c>
      <c r="J963" s="420">
        <f t="shared" si="272"/>
        <v>171.99</v>
      </c>
      <c r="K963" s="421">
        <f t="shared" si="267"/>
        <v>204.34</v>
      </c>
      <c r="L963" s="647" t="s">
        <v>21</v>
      </c>
      <c r="M963" s="576"/>
      <c r="N963" s="576">
        <f t="shared" si="269"/>
        <v>0</v>
      </c>
      <c r="O963" s="577">
        <f t="shared" si="276"/>
        <v>0</v>
      </c>
      <c r="P963" s="578">
        <f t="shared" si="277"/>
        <v>0</v>
      </c>
      <c r="Q963" s="765"/>
      <c r="R963" s="576">
        <f t="shared" si="273"/>
        <v>0</v>
      </c>
      <c r="S963" s="576">
        <f t="shared" si="273"/>
        <v>0</v>
      </c>
      <c r="T963" s="577">
        <f t="shared" si="274"/>
        <v>0</v>
      </c>
      <c r="U963" s="578">
        <f t="shared" si="275"/>
        <v>0</v>
      </c>
      <c r="V963" s="579"/>
      <c r="W963" s="566"/>
      <c r="X963" s="586" t="str">
        <f t="shared" si="278"/>
        <v/>
      </c>
      <c r="Y963" s="586" t="str">
        <f t="shared" si="271"/>
        <v/>
      </c>
      <c r="Z963" s="586" t="str">
        <f t="shared" si="268"/>
        <v/>
      </c>
    </row>
    <row r="964" spans="1:26" ht="12" hidden="1" thickBot="1" x14ac:dyDescent="0.25">
      <c r="A964" s="567" t="s">
        <v>567</v>
      </c>
      <c r="B964" s="644" t="s">
        <v>567</v>
      </c>
      <c r="C964" s="645" t="s">
        <v>458</v>
      </c>
      <c r="D964" s="422" t="s">
        <v>2038</v>
      </c>
      <c r="E964" s="423"/>
      <c r="F964" s="424"/>
      <c r="G964" s="425"/>
      <c r="H964" s="651"/>
      <c r="I964" s="420">
        <v>120.26</v>
      </c>
      <c r="J964" s="420">
        <f t="shared" si="272"/>
        <v>120.26</v>
      </c>
      <c r="K964" s="421">
        <f t="shared" si="267"/>
        <v>142.88</v>
      </c>
      <c r="L964" s="647" t="s">
        <v>21</v>
      </c>
      <c r="M964" s="576"/>
      <c r="N964" s="576">
        <f t="shared" si="269"/>
        <v>0</v>
      </c>
      <c r="O964" s="577">
        <f t="shared" si="276"/>
        <v>0</v>
      </c>
      <c r="P964" s="578">
        <f t="shared" si="277"/>
        <v>0</v>
      </c>
      <c r="Q964" s="765"/>
      <c r="R964" s="576">
        <f t="shared" si="273"/>
        <v>0</v>
      </c>
      <c r="S964" s="576">
        <f t="shared" si="273"/>
        <v>0</v>
      </c>
      <c r="T964" s="577">
        <f t="shared" si="274"/>
        <v>0</v>
      </c>
      <c r="U964" s="578">
        <f t="shared" si="275"/>
        <v>0</v>
      </c>
      <c r="V964" s="579"/>
      <c r="W964" s="566"/>
      <c r="X964" s="586" t="str">
        <f t="shared" si="278"/>
        <v/>
      </c>
      <c r="Y964" s="586" t="str">
        <f t="shared" si="271"/>
        <v/>
      </c>
      <c r="Z964" s="586" t="str">
        <f t="shared" si="268"/>
        <v/>
      </c>
    </row>
    <row r="965" spans="1:26" ht="12" hidden="1" thickBot="1" x14ac:dyDescent="0.25">
      <c r="A965" s="567">
        <v>840</v>
      </c>
      <c r="B965" s="644">
        <v>840</v>
      </c>
      <c r="C965" s="645" t="s">
        <v>458</v>
      </c>
      <c r="D965" s="422" t="s">
        <v>2039</v>
      </c>
      <c r="E965" s="423"/>
      <c r="F965" s="424"/>
      <c r="G965" s="425"/>
      <c r="H965" s="651"/>
      <c r="I965" s="420">
        <v>402.57</v>
      </c>
      <c r="J965" s="420">
        <f t="shared" si="272"/>
        <v>402.57</v>
      </c>
      <c r="K965" s="421">
        <f t="shared" si="267"/>
        <v>478.29</v>
      </c>
      <c r="L965" s="647" t="s">
        <v>21</v>
      </c>
      <c r="M965" s="576"/>
      <c r="N965" s="576">
        <f t="shared" si="269"/>
        <v>0</v>
      </c>
      <c r="O965" s="577">
        <f t="shared" si="276"/>
        <v>0</v>
      </c>
      <c r="P965" s="578">
        <f t="shared" si="277"/>
        <v>0</v>
      </c>
      <c r="Q965" s="765"/>
      <c r="R965" s="576">
        <f t="shared" si="273"/>
        <v>0</v>
      </c>
      <c r="S965" s="576">
        <f t="shared" si="273"/>
        <v>0</v>
      </c>
      <c r="T965" s="577">
        <f t="shared" si="274"/>
        <v>0</v>
      </c>
      <c r="U965" s="578">
        <f t="shared" si="275"/>
        <v>0</v>
      </c>
      <c r="V965" s="579"/>
      <c r="W965" s="566"/>
      <c r="X965" s="586" t="str">
        <f t="shared" si="278"/>
        <v/>
      </c>
      <c r="Y965" s="586" t="str">
        <f t="shared" si="271"/>
        <v/>
      </c>
      <c r="Z965" s="586" t="str">
        <f t="shared" si="268"/>
        <v/>
      </c>
    </row>
    <row r="966" spans="1:26" ht="12" hidden="1" thickBot="1" x14ac:dyDescent="0.25">
      <c r="A966" s="567" t="s">
        <v>568</v>
      </c>
      <c r="B966" s="644" t="s">
        <v>568</v>
      </c>
      <c r="C966" s="645" t="s">
        <v>458</v>
      </c>
      <c r="D966" s="422" t="s">
        <v>2040</v>
      </c>
      <c r="E966" s="423"/>
      <c r="F966" s="424"/>
      <c r="G966" s="425"/>
      <c r="H966" s="651"/>
      <c r="I966" s="420">
        <v>161.03</v>
      </c>
      <c r="J966" s="420">
        <f t="shared" si="272"/>
        <v>161.03</v>
      </c>
      <c r="K966" s="421">
        <f t="shared" si="267"/>
        <v>191.32</v>
      </c>
      <c r="L966" s="647" t="s">
        <v>21</v>
      </c>
      <c r="M966" s="576"/>
      <c r="N966" s="576">
        <f t="shared" si="269"/>
        <v>0</v>
      </c>
      <c r="O966" s="577">
        <f t="shared" si="276"/>
        <v>0</v>
      </c>
      <c r="P966" s="578">
        <f t="shared" si="277"/>
        <v>0</v>
      </c>
      <c r="Q966" s="765"/>
      <c r="R966" s="576">
        <f t="shared" si="273"/>
        <v>0</v>
      </c>
      <c r="S966" s="576">
        <f t="shared" si="273"/>
        <v>0</v>
      </c>
      <c r="T966" s="577">
        <f t="shared" si="274"/>
        <v>0</v>
      </c>
      <c r="U966" s="578">
        <f t="shared" si="275"/>
        <v>0</v>
      </c>
      <c r="V966" s="579"/>
      <c r="W966" s="566"/>
      <c r="X966" s="586" t="str">
        <f t="shared" si="278"/>
        <v/>
      </c>
      <c r="Y966" s="586" t="str">
        <f t="shared" si="271"/>
        <v/>
      </c>
      <c r="Z966" s="586" t="str">
        <f t="shared" si="268"/>
        <v/>
      </c>
    </row>
    <row r="967" spans="1:26" ht="12" hidden="1" thickBot="1" x14ac:dyDescent="0.25">
      <c r="A967" s="567">
        <v>841</v>
      </c>
      <c r="B967" s="644">
        <v>841</v>
      </c>
      <c r="C967" s="645" t="s">
        <v>458</v>
      </c>
      <c r="D967" s="422" t="s">
        <v>2041</v>
      </c>
      <c r="E967" s="423"/>
      <c r="F967" s="424"/>
      <c r="G967" s="425"/>
      <c r="H967" s="651"/>
      <c r="I967" s="420">
        <v>191.86</v>
      </c>
      <c r="J967" s="420">
        <f t="shared" ref="J967:J972" si="279">IF(ISBLANK(I967),"",SUM(H967:I967))</f>
        <v>191.86</v>
      </c>
      <c r="K967" s="421">
        <f t="shared" si="267"/>
        <v>227.95</v>
      </c>
      <c r="L967" s="647" t="s">
        <v>21</v>
      </c>
      <c r="M967" s="576"/>
      <c r="N967" s="576">
        <f t="shared" si="269"/>
        <v>0</v>
      </c>
      <c r="O967" s="577">
        <f t="shared" si="276"/>
        <v>0</v>
      </c>
      <c r="P967" s="578">
        <f t="shared" si="277"/>
        <v>0</v>
      </c>
      <c r="Q967" s="765"/>
      <c r="R967" s="576">
        <f t="shared" si="273"/>
        <v>0</v>
      </c>
      <c r="S967" s="576">
        <f t="shared" si="273"/>
        <v>0</v>
      </c>
      <c r="T967" s="577">
        <f t="shared" si="274"/>
        <v>0</v>
      </c>
      <c r="U967" s="578">
        <f t="shared" si="275"/>
        <v>0</v>
      </c>
      <c r="V967" s="579"/>
      <c r="W967" s="566"/>
      <c r="X967" s="586" t="str">
        <f t="shared" si="278"/>
        <v/>
      </c>
      <c r="Y967" s="586" t="str">
        <f t="shared" si="271"/>
        <v/>
      </c>
      <c r="Z967" s="586" t="str">
        <f t="shared" si="268"/>
        <v/>
      </c>
    </row>
    <row r="968" spans="1:26" ht="12" hidden="1" thickBot="1" x14ac:dyDescent="0.25">
      <c r="A968" s="567" t="s">
        <v>569</v>
      </c>
      <c r="B968" s="644" t="s">
        <v>569</v>
      </c>
      <c r="C968" s="645" t="s">
        <v>458</v>
      </c>
      <c r="D968" s="422" t="s">
        <v>2042</v>
      </c>
      <c r="E968" s="423"/>
      <c r="F968" s="424"/>
      <c r="G968" s="425"/>
      <c r="H968" s="651"/>
      <c r="I968" s="420">
        <v>76.75</v>
      </c>
      <c r="J968" s="420">
        <f t="shared" si="279"/>
        <v>76.75</v>
      </c>
      <c r="K968" s="421">
        <f t="shared" si="267"/>
        <v>91.19</v>
      </c>
      <c r="L968" s="647" t="s">
        <v>21</v>
      </c>
      <c r="M968" s="576"/>
      <c r="N968" s="576">
        <f t="shared" si="269"/>
        <v>0</v>
      </c>
      <c r="O968" s="577">
        <f t="shared" si="276"/>
        <v>0</v>
      </c>
      <c r="P968" s="578">
        <f t="shared" si="277"/>
        <v>0</v>
      </c>
      <c r="Q968" s="765"/>
      <c r="R968" s="576">
        <f t="shared" si="273"/>
        <v>0</v>
      </c>
      <c r="S968" s="576">
        <f t="shared" si="273"/>
        <v>0</v>
      </c>
      <c r="T968" s="577">
        <f t="shared" si="274"/>
        <v>0</v>
      </c>
      <c r="U968" s="578">
        <f t="shared" si="275"/>
        <v>0</v>
      </c>
      <c r="V968" s="579"/>
      <c r="W968" s="566"/>
      <c r="X968" s="586" t="str">
        <f t="shared" si="278"/>
        <v/>
      </c>
      <c r="Y968" s="586" t="str">
        <f t="shared" si="271"/>
        <v/>
      </c>
      <c r="Z968" s="586" t="str">
        <f t="shared" si="268"/>
        <v/>
      </c>
    </row>
    <row r="969" spans="1:26" ht="12" hidden="1" thickBot="1" x14ac:dyDescent="0.25">
      <c r="A969" s="567">
        <v>842</v>
      </c>
      <c r="B969" s="644">
        <v>842</v>
      </c>
      <c r="C969" s="645" t="s">
        <v>458</v>
      </c>
      <c r="D969" s="422" t="s">
        <v>2043</v>
      </c>
      <c r="E969" s="423"/>
      <c r="F969" s="424"/>
      <c r="G969" s="425"/>
      <c r="H969" s="651"/>
      <c r="I969" s="420">
        <v>11.99</v>
      </c>
      <c r="J969" s="420">
        <f t="shared" si="279"/>
        <v>11.99</v>
      </c>
      <c r="K969" s="421">
        <f t="shared" ref="K969:K1032" si="280">IF(ISBLANK(I969),0,ROUND(J969*(1+$F$10)*(1+$F$11*E969),2))</f>
        <v>14.25</v>
      </c>
      <c r="L969" s="647" t="s">
        <v>21</v>
      </c>
      <c r="M969" s="576"/>
      <c r="N969" s="576">
        <f t="shared" si="269"/>
        <v>0</v>
      </c>
      <c r="O969" s="577">
        <f t="shared" si="276"/>
        <v>0</v>
      </c>
      <c r="P969" s="578">
        <f t="shared" si="277"/>
        <v>0</v>
      </c>
      <c r="Q969" s="765"/>
      <c r="R969" s="576">
        <f t="shared" si="273"/>
        <v>0</v>
      </c>
      <c r="S969" s="576">
        <f t="shared" si="273"/>
        <v>0</v>
      </c>
      <c r="T969" s="577">
        <f t="shared" si="274"/>
        <v>0</v>
      </c>
      <c r="U969" s="578">
        <f t="shared" si="275"/>
        <v>0</v>
      </c>
      <c r="V969" s="579"/>
      <c r="W969" s="566"/>
      <c r="X969" s="586" t="str">
        <f t="shared" si="278"/>
        <v/>
      </c>
      <c r="Y969" s="586" t="str">
        <f t="shared" si="271"/>
        <v/>
      </c>
      <c r="Z969" s="586" t="str">
        <f t="shared" si="268"/>
        <v/>
      </c>
    </row>
    <row r="970" spans="1:26" ht="12" hidden="1" thickBot="1" x14ac:dyDescent="0.25">
      <c r="A970" s="567" t="s">
        <v>570</v>
      </c>
      <c r="B970" s="644" t="s">
        <v>570</v>
      </c>
      <c r="C970" s="645" t="s">
        <v>458</v>
      </c>
      <c r="D970" s="422" t="s">
        <v>2044</v>
      </c>
      <c r="E970" s="423"/>
      <c r="F970" s="424"/>
      <c r="G970" s="425"/>
      <c r="H970" s="651"/>
      <c r="I970" s="420">
        <v>4.8</v>
      </c>
      <c r="J970" s="420">
        <f t="shared" si="279"/>
        <v>4.8</v>
      </c>
      <c r="K970" s="421">
        <f t="shared" si="280"/>
        <v>5.7</v>
      </c>
      <c r="L970" s="647" t="s">
        <v>21</v>
      </c>
      <c r="M970" s="576"/>
      <c r="N970" s="576">
        <f t="shared" si="269"/>
        <v>0</v>
      </c>
      <c r="O970" s="577">
        <f t="shared" si="276"/>
        <v>0</v>
      </c>
      <c r="P970" s="578">
        <f t="shared" si="277"/>
        <v>0</v>
      </c>
      <c r="Q970" s="765"/>
      <c r="R970" s="576">
        <f t="shared" si="273"/>
        <v>0</v>
      </c>
      <c r="S970" s="576">
        <f t="shared" si="273"/>
        <v>0</v>
      </c>
      <c r="T970" s="577">
        <f t="shared" si="274"/>
        <v>0</v>
      </c>
      <c r="U970" s="578">
        <f t="shared" si="275"/>
        <v>0</v>
      </c>
      <c r="V970" s="579"/>
      <c r="W970" s="566"/>
      <c r="X970" s="586" t="str">
        <f t="shared" si="278"/>
        <v/>
      </c>
      <c r="Y970" s="586" t="str">
        <f t="shared" si="271"/>
        <v/>
      </c>
      <c r="Z970" s="586" t="str">
        <f t="shared" si="268"/>
        <v/>
      </c>
    </row>
    <row r="971" spans="1:26" ht="23.25" hidden="1" thickBot="1" x14ac:dyDescent="0.25">
      <c r="A971" s="567">
        <v>843</v>
      </c>
      <c r="B971" s="644">
        <v>843</v>
      </c>
      <c r="C971" s="645" t="s">
        <v>458</v>
      </c>
      <c r="D971" s="422" t="s">
        <v>2045</v>
      </c>
      <c r="E971" s="423"/>
      <c r="F971" s="424"/>
      <c r="G971" s="425"/>
      <c r="H971" s="651"/>
      <c r="I971" s="420">
        <v>133.28</v>
      </c>
      <c r="J971" s="420">
        <f t="shared" si="279"/>
        <v>133.28</v>
      </c>
      <c r="K971" s="421">
        <f t="shared" si="280"/>
        <v>158.35</v>
      </c>
      <c r="L971" s="647" t="s">
        <v>21</v>
      </c>
      <c r="M971" s="576"/>
      <c r="N971" s="576">
        <f t="shared" si="269"/>
        <v>0</v>
      </c>
      <c r="O971" s="577">
        <f t="shared" si="276"/>
        <v>0</v>
      </c>
      <c r="P971" s="578">
        <f t="shared" si="277"/>
        <v>0</v>
      </c>
      <c r="Q971" s="765"/>
      <c r="R971" s="576">
        <f t="shared" si="273"/>
        <v>0</v>
      </c>
      <c r="S971" s="576">
        <f t="shared" si="273"/>
        <v>0</v>
      </c>
      <c r="T971" s="577">
        <f t="shared" si="274"/>
        <v>0</v>
      </c>
      <c r="U971" s="578">
        <f t="shared" si="275"/>
        <v>0</v>
      </c>
      <c r="V971" s="579"/>
      <c r="W971" s="566"/>
      <c r="X971" s="586" t="str">
        <f t="shared" si="278"/>
        <v/>
      </c>
      <c r="Y971" s="586" t="str">
        <f t="shared" si="271"/>
        <v/>
      </c>
      <c r="Z971" s="586" t="str">
        <f t="shared" si="268"/>
        <v/>
      </c>
    </row>
    <row r="972" spans="1:26" ht="23.25" hidden="1" thickBot="1" x14ac:dyDescent="0.25">
      <c r="A972" s="567" t="s">
        <v>572</v>
      </c>
      <c r="B972" s="644" t="s">
        <v>572</v>
      </c>
      <c r="C972" s="645" t="s">
        <v>458</v>
      </c>
      <c r="D972" s="422" t="s">
        <v>2046</v>
      </c>
      <c r="E972" s="423"/>
      <c r="F972" s="424"/>
      <c r="G972" s="425"/>
      <c r="H972" s="651"/>
      <c r="I972" s="420">
        <v>53.45</v>
      </c>
      <c r="J972" s="420">
        <f t="shared" si="279"/>
        <v>53.45</v>
      </c>
      <c r="K972" s="421">
        <f t="shared" si="280"/>
        <v>63.5</v>
      </c>
      <c r="L972" s="647" t="s">
        <v>21</v>
      </c>
      <c r="M972" s="576"/>
      <c r="N972" s="576">
        <f t="shared" si="269"/>
        <v>0</v>
      </c>
      <c r="O972" s="577">
        <f t="shared" si="276"/>
        <v>0</v>
      </c>
      <c r="P972" s="578">
        <f t="shared" si="277"/>
        <v>0</v>
      </c>
      <c r="Q972" s="765"/>
      <c r="R972" s="576">
        <f t="shared" si="273"/>
        <v>0</v>
      </c>
      <c r="S972" s="576">
        <f t="shared" si="273"/>
        <v>0</v>
      </c>
      <c r="T972" s="577">
        <f t="shared" si="274"/>
        <v>0</v>
      </c>
      <c r="U972" s="578">
        <f t="shared" si="275"/>
        <v>0</v>
      </c>
      <c r="V972" s="579"/>
      <c r="W972" s="566"/>
      <c r="X972" s="586" t="str">
        <f t="shared" si="278"/>
        <v/>
      </c>
      <c r="Y972" s="586" t="str">
        <f t="shared" si="271"/>
        <v/>
      </c>
      <c r="Z972" s="586" t="str">
        <f t="shared" si="268"/>
        <v/>
      </c>
    </row>
    <row r="973" spans="1:26" ht="12" hidden="1" thickBot="1" x14ac:dyDescent="0.25">
      <c r="A973" s="567">
        <v>844</v>
      </c>
      <c r="B973" s="644">
        <v>844</v>
      </c>
      <c r="C973" s="645" t="s">
        <v>458</v>
      </c>
      <c r="D973" s="422" t="s">
        <v>2047</v>
      </c>
      <c r="E973" s="423"/>
      <c r="F973" s="424"/>
      <c r="G973" s="425"/>
      <c r="H973" s="651"/>
      <c r="I973" s="420">
        <v>45.23</v>
      </c>
      <c r="J973" s="420">
        <f t="shared" ref="J973:J979" si="281">IF(ISBLANK(I973),"",SUM(H973:I973))</f>
        <v>45.23</v>
      </c>
      <c r="K973" s="421">
        <f t="shared" si="280"/>
        <v>53.74</v>
      </c>
      <c r="L973" s="647" t="s">
        <v>21</v>
      </c>
      <c r="M973" s="576"/>
      <c r="N973" s="576">
        <f t="shared" si="269"/>
        <v>0</v>
      </c>
      <c r="O973" s="577">
        <f t="shared" si="276"/>
        <v>0</v>
      </c>
      <c r="P973" s="578">
        <f t="shared" si="277"/>
        <v>0</v>
      </c>
      <c r="Q973" s="765"/>
      <c r="R973" s="576">
        <f t="shared" si="273"/>
        <v>0</v>
      </c>
      <c r="S973" s="576">
        <f t="shared" si="273"/>
        <v>0</v>
      </c>
      <c r="T973" s="577">
        <f t="shared" si="274"/>
        <v>0</v>
      </c>
      <c r="U973" s="578">
        <f t="shared" si="275"/>
        <v>0</v>
      </c>
      <c r="V973" s="579"/>
      <c r="W973" s="566"/>
      <c r="X973" s="586" t="str">
        <f t="shared" si="278"/>
        <v/>
      </c>
      <c r="Y973" s="586" t="str">
        <f t="shared" si="271"/>
        <v/>
      </c>
      <c r="Z973" s="586" t="str">
        <f t="shared" si="268"/>
        <v/>
      </c>
    </row>
    <row r="974" spans="1:26" ht="12" hidden="1" thickBot="1" x14ac:dyDescent="0.25">
      <c r="A974" s="567">
        <v>845</v>
      </c>
      <c r="B974" s="644">
        <v>845</v>
      </c>
      <c r="C974" s="645" t="s">
        <v>458</v>
      </c>
      <c r="D974" s="422" t="s">
        <v>2048</v>
      </c>
      <c r="E974" s="423"/>
      <c r="F974" s="424"/>
      <c r="G974" s="425"/>
      <c r="H974" s="651"/>
      <c r="I974" s="420">
        <v>6.85</v>
      </c>
      <c r="J974" s="420">
        <f t="shared" si="281"/>
        <v>6.85</v>
      </c>
      <c r="K974" s="421">
        <f t="shared" si="280"/>
        <v>8.14</v>
      </c>
      <c r="L974" s="647" t="s">
        <v>21</v>
      </c>
      <c r="M974" s="576"/>
      <c r="N974" s="576">
        <f t="shared" si="269"/>
        <v>0</v>
      </c>
      <c r="O974" s="577">
        <f t="shared" si="276"/>
        <v>0</v>
      </c>
      <c r="P974" s="578">
        <f t="shared" si="277"/>
        <v>0</v>
      </c>
      <c r="Q974" s="765"/>
      <c r="R974" s="576">
        <f t="shared" si="273"/>
        <v>0</v>
      </c>
      <c r="S974" s="576">
        <f t="shared" si="273"/>
        <v>0</v>
      </c>
      <c r="T974" s="577">
        <f t="shared" si="274"/>
        <v>0</v>
      </c>
      <c r="U974" s="578">
        <f t="shared" si="275"/>
        <v>0</v>
      </c>
      <c r="V974" s="579"/>
      <c r="W974" s="566"/>
      <c r="X974" s="586" t="str">
        <f t="shared" si="278"/>
        <v/>
      </c>
      <c r="Y974" s="586" t="str">
        <f t="shared" si="271"/>
        <v/>
      </c>
      <c r="Z974" s="586" t="str">
        <f t="shared" si="268"/>
        <v/>
      </c>
    </row>
    <row r="975" spans="1:26" ht="12" hidden="1" thickBot="1" x14ac:dyDescent="0.25">
      <c r="A975" s="567" t="s">
        <v>571</v>
      </c>
      <c r="B975" s="644" t="s">
        <v>571</v>
      </c>
      <c r="C975" s="645" t="s">
        <v>458</v>
      </c>
      <c r="D975" s="422" t="s">
        <v>2049</v>
      </c>
      <c r="E975" s="423"/>
      <c r="F975" s="424"/>
      <c r="G975" s="425"/>
      <c r="H975" s="651"/>
      <c r="I975" s="420">
        <v>2.74</v>
      </c>
      <c r="J975" s="420">
        <f t="shared" si="281"/>
        <v>2.74</v>
      </c>
      <c r="K975" s="421">
        <f t="shared" si="280"/>
        <v>3.26</v>
      </c>
      <c r="L975" s="647" t="s">
        <v>21</v>
      </c>
      <c r="M975" s="576"/>
      <c r="N975" s="576">
        <f t="shared" si="269"/>
        <v>0</v>
      </c>
      <c r="O975" s="577">
        <f t="shared" si="276"/>
        <v>0</v>
      </c>
      <c r="P975" s="578">
        <f t="shared" si="277"/>
        <v>0</v>
      </c>
      <c r="Q975" s="765"/>
      <c r="R975" s="576">
        <f t="shared" si="273"/>
        <v>0</v>
      </c>
      <c r="S975" s="576">
        <f t="shared" si="273"/>
        <v>0</v>
      </c>
      <c r="T975" s="577">
        <f t="shared" si="274"/>
        <v>0</v>
      </c>
      <c r="U975" s="578">
        <f t="shared" si="275"/>
        <v>0</v>
      </c>
      <c r="V975" s="579"/>
      <c r="W975" s="566"/>
      <c r="X975" s="586" t="str">
        <f t="shared" si="278"/>
        <v/>
      </c>
      <c r="Y975" s="586" t="str">
        <f t="shared" si="271"/>
        <v/>
      </c>
      <c r="Z975" s="586" t="str">
        <f t="shared" si="268"/>
        <v/>
      </c>
    </row>
    <row r="976" spans="1:26" ht="12" hidden="1" thickBot="1" x14ac:dyDescent="0.25">
      <c r="A976" s="567">
        <v>846</v>
      </c>
      <c r="B976" s="644">
        <v>846</v>
      </c>
      <c r="C976" s="645" t="s">
        <v>458</v>
      </c>
      <c r="D976" s="422" t="s">
        <v>2050</v>
      </c>
      <c r="E976" s="423"/>
      <c r="F976" s="424"/>
      <c r="G976" s="425"/>
      <c r="H976" s="651"/>
      <c r="I976" s="420">
        <v>6.85</v>
      </c>
      <c r="J976" s="420">
        <f t="shared" si="281"/>
        <v>6.85</v>
      </c>
      <c r="K976" s="421">
        <f t="shared" si="280"/>
        <v>8.14</v>
      </c>
      <c r="L976" s="647" t="s">
        <v>21</v>
      </c>
      <c r="M976" s="576"/>
      <c r="N976" s="576">
        <f t="shared" si="269"/>
        <v>0</v>
      </c>
      <c r="O976" s="577">
        <f t="shared" si="276"/>
        <v>0</v>
      </c>
      <c r="P976" s="578">
        <f t="shared" si="277"/>
        <v>0</v>
      </c>
      <c r="Q976" s="765"/>
      <c r="R976" s="576">
        <f t="shared" si="273"/>
        <v>0</v>
      </c>
      <c r="S976" s="576">
        <f t="shared" si="273"/>
        <v>0</v>
      </c>
      <c r="T976" s="577">
        <f t="shared" si="274"/>
        <v>0</v>
      </c>
      <c r="U976" s="578">
        <f t="shared" si="275"/>
        <v>0</v>
      </c>
      <c r="V976" s="579"/>
      <c r="W976" s="566"/>
      <c r="X976" s="586" t="str">
        <f t="shared" si="278"/>
        <v/>
      </c>
      <c r="Y976" s="586" t="str">
        <f t="shared" si="271"/>
        <v/>
      </c>
      <c r="Z976" s="586" t="str">
        <f t="shared" si="268"/>
        <v/>
      </c>
    </row>
    <row r="977" spans="1:26" ht="12" hidden="1" thickBot="1" x14ac:dyDescent="0.25">
      <c r="A977" s="567">
        <v>859</v>
      </c>
      <c r="B977" s="644">
        <v>859</v>
      </c>
      <c r="C977" s="645" t="s">
        <v>458</v>
      </c>
      <c r="D977" s="422" t="s">
        <v>2051</v>
      </c>
      <c r="E977" s="423"/>
      <c r="F977" s="424"/>
      <c r="G977" s="425"/>
      <c r="H977" s="651"/>
      <c r="I977" s="420">
        <v>148.69999999999999</v>
      </c>
      <c r="J977" s="420">
        <f t="shared" si="281"/>
        <v>148.69999999999999</v>
      </c>
      <c r="K977" s="421">
        <f t="shared" si="280"/>
        <v>176.67</v>
      </c>
      <c r="L977" s="647" t="s">
        <v>21</v>
      </c>
      <c r="M977" s="576"/>
      <c r="N977" s="576">
        <f t="shared" si="269"/>
        <v>0</v>
      </c>
      <c r="O977" s="577">
        <f t="shared" si="276"/>
        <v>0</v>
      </c>
      <c r="P977" s="578">
        <f t="shared" si="277"/>
        <v>0</v>
      </c>
      <c r="Q977" s="765"/>
      <c r="R977" s="576">
        <f t="shared" si="273"/>
        <v>0</v>
      </c>
      <c r="S977" s="576">
        <f t="shared" si="273"/>
        <v>0</v>
      </c>
      <c r="T977" s="577">
        <f t="shared" si="274"/>
        <v>0</v>
      </c>
      <c r="U977" s="578">
        <f t="shared" si="275"/>
        <v>0</v>
      </c>
      <c r="V977" s="579"/>
      <c r="W977" s="566"/>
      <c r="X977" s="586" t="str">
        <f t="shared" si="278"/>
        <v/>
      </c>
      <c r="Y977" s="586" t="str">
        <f t="shared" si="271"/>
        <v/>
      </c>
      <c r="Z977" s="586" t="str">
        <f t="shared" si="268"/>
        <v/>
      </c>
    </row>
    <row r="978" spans="1:26" ht="12" hidden="1" thickBot="1" x14ac:dyDescent="0.25">
      <c r="A978" s="567" t="s">
        <v>573</v>
      </c>
      <c r="B978" s="644" t="s">
        <v>573</v>
      </c>
      <c r="C978" s="645" t="s">
        <v>458</v>
      </c>
      <c r="D978" s="422" t="s">
        <v>2052</v>
      </c>
      <c r="E978" s="423"/>
      <c r="F978" s="424"/>
      <c r="G978" s="425"/>
      <c r="H978" s="651"/>
      <c r="I978" s="420">
        <v>59.62</v>
      </c>
      <c r="J978" s="420">
        <f t="shared" si="281"/>
        <v>59.62</v>
      </c>
      <c r="K978" s="421">
        <f t="shared" si="280"/>
        <v>70.83</v>
      </c>
      <c r="L978" s="647" t="s">
        <v>21</v>
      </c>
      <c r="M978" s="576"/>
      <c r="N978" s="576">
        <f t="shared" si="269"/>
        <v>0</v>
      </c>
      <c r="O978" s="577">
        <f t="shared" si="276"/>
        <v>0</v>
      </c>
      <c r="P978" s="578">
        <f t="shared" si="277"/>
        <v>0</v>
      </c>
      <c r="Q978" s="765"/>
      <c r="R978" s="576">
        <f t="shared" si="273"/>
        <v>0</v>
      </c>
      <c r="S978" s="576">
        <f t="shared" si="273"/>
        <v>0</v>
      </c>
      <c r="T978" s="577">
        <f t="shared" si="274"/>
        <v>0</v>
      </c>
      <c r="U978" s="578">
        <f t="shared" si="275"/>
        <v>0</v>
      </c>
      <c r="V978" s="579"/>
      <c r="W978" s="566"/>
      <c r="X978" s="586" t="str">
        <f t="shared" si="278"/>
        <v/>
      </c>
      <c r="Y978" s="586" t="str">
        <f t="shared" si="271"/>
        <v/>
      </c>
      <c r="Z978" s="586" t="str">
        <f t="shared" si="268"/>
        <v/>
      </c>
    </row>
    <row r="979" spans="1:26" ht="23.25" hidden="1" thickBot="1" x14ac:dyDescent="0.25">
      <c r="A979" s="567">
        <v>102102</v>
      </c>
      <c r="B979" s="644">
        <v>102102</v>
      </c>
      <c r="C979" s="645" t="s">
        <v>670</v>
      </c>
      <c r="D979" s="422" t="s">
        <v>827</v>
      </c>
      <c r="E979" s="423"/>
      <c r="F979" s="424"/>
      <c r="G979" s="425"/>
      <c r="H979" s="651"/>
      <c r="I979" s="420">
        <v>9891.84</v>
      </c>
      <c r="J979" s="420">
        <f t="shared" si="281"/>
        <v>9891.84</v>
      </c>
      <c r="K979" s="421">
        <f t="shared" si="280"/>
        <v>11752.5</v>
      </c>
      <c r="L979" s="647" t="s">
        <v>2065</v>
      </c>
      <c r="M979" s="576"/>
      <c r="N979" s="576">
        <f t="shared" si="269"/>
        <v>0</v>
      </c>
      <c r="O979" s="577">
        <f t="shared" si="276"/>
        <v>0</v>
      </c>
      <c r="P979" s="578">
        <f t="shared" si="277"/>
        <v>0</v>
      </c>
      <c r="Q979" s="765"/>
      <c r="R979" s="576">
        <f t="shared" si="273"/>
        <v>0</v>
      </c>
      <c r="S979" s="576">
        <f t="shared" si="273"/>
        <v>0</v>
      </c>
      <c r="T979" s="577">
        <f t="shared" si="274"/>
        <v>0</v>
      </c>
      <c r="U979" s="578">
        <f t="shared" si="275"/>
        <v>0</v>
      </c>
      <c r="V979" s="579"/>
      <c r="W979" s="566"/>
      <c r="X979" s="586" t="str">
        <f t="shared" si="278"/>
        <v/>
      </c>
      <c r="Y979" s="586" t="str">
        <f t="shared" si="271"/>
        <v/>
      </c>
      <c r="Z979" s="586" t="str">
        <f t="shared" ref="Z979:Z1042" si="282">IF(W979="X","x",IF(U979&gt;0,"x",""))</f>
        <v/>
      </c>
    </row>
    <row r="980" spans="1:26" ht="23.25" hidden="1" thickBot="1" x14ac:dyDescent="0.25">
      <c r="A980" s="567">
        <v>102103</v>
      </c>
      <c r="B980" s="644">
        <v>102103</v>
      </c>
      <c r="C980" s="645" t="s">
        <v>670</v>
      </c>
      <c r="D980" s="422" t="s">
        <v>828</v>
      </c>
      <c r="E980" s="423"/>
      <c r="F980" s="424"/>
      <c r="G980" s="425"/>
      <c r="H980" s="651"/>
      <c r="I980" s="420">
        <v>11004</v>
      </c>
      <c r="J980" s="420">
        <f t="shared" ref="J980:J1042" si="283">IF(ISBLANK(I980),"",SUM(H980:I980))</f>
        <v>11004</v>
      </c>
      <c r="K980" s="421">
        <f t="shared" si="280"/>
        <v>13073.85</v>
      </c>
      <c r="L980" s="647" t="s">
        <v>2065</v>
      </c>
      <c r="M980" s="576"/>
      <c r="N980" s="576">
        <f t="shared" ref="N980:N1043" si="284">IF(M980=0,0,K980)</f>
        <v>0</v>
      </c>
      <c r="O980" s="577">
        <f t="shared" si="276"/>
        <v>0</v>
      </c>
      <c r="P980" s="578">
        <f t="shared" si="277"/>
        <v>0</v>
      </c>
      <c r="Q980" s="765"/>
      <c r="R980" s="576">
        <f t="shared" si="273"/>
        <v>0</v>
      </c>
      <c r="S980" s="576">
        <f t="shared" si="273"/>
        <v>0</v>
      </c>
      <c r="T980" s="577">
        <f t="shared" si="274"/>
        <v>0</v>
      </c>
      <c r="U980" s="578">
        <f t="shared" si="275"/>
        <v>0</v>
      </c>
      <c r="V980" s="579"/>
      <c r="W980" s="566"/>
      <c r="X980" s="586" t="str">
        <f t="shared" si="278"/>
        <v/>
      </c>
      <c r="Y980" s="586" t="str">
        <f t="shared" si="271"/>
        <v/>
      </c>
      <c r="Z980" s="586" t="str">
        <f t="shared" si="282"/>
        <v/>
      </c>
    </row>
    <row r="981" spans="1:26" ht="23.25" hidden="1" thickBot="1" x14ac:dyDescent="0.25">
      <c r="A981" s="567">
        <v>102104</v>
      </c>
      <c r="B981" s="644">
        <v>102104</v>
      </c>
      <c r="C981" s="645" t="s">
        <v>670</v>
      </c>
      <c r="D981" s="422" t="s">
        <v>829</v>
      </c>
      <c r="E981" s="423"/>
      <c r="F981" s="424"/>
      <c r="G981" s="425"/>
      <c r="H981" s="651"/>
      <c r="I981" s="420">
        <v>14103.55</v>
      </c>
      <c r="J981" s="420">
        <f t="shared" si="283"/>
        <v>14103.55</v>
      </c>
      <c r="K981" s="421">
        <f t="shared" si="280"/>
        <v>16756.43</v>
      </c>
      <c r="L981" s="647" t="s">
        <v>2065</v>
      </c>
      <c r="M981" s="576"/>
      <c r="N981" s="576">
        <f t="shared" si="284"/>
        <v>0</v>
      </c>
      <c r="O981" s="577">
        <f t="shared" si="276"/>
        <v>0</v>
      </c>
      <c r="P981" s="578">
        <f t="shared" si="277"/>
        <v>0</v>
      </c>
      <c r="Q981" s="765"/>
      <c r="R981" s="576">
        <f t="shared" si="273"/>
        <v>0</v>
      </c>
      <c r="S981" s="576">
        <f t="shared" si="273"/>
        <v>0</v>
      </c>
      <c r="T981" s="577">
        <f t="shared" si="274"/>
        <v>0</v>
      </c>
      <c r="U981" s="578">
        <f t="shared" si="275"/>
        <v>0</v>
      </c>
      <c r="V981" s="579"/>
      <c r="W981" s="566"/>
      <c r="X981" s="586" t="str">
        <f t="shared" si="278"/>
        <v/>
      </c>
      <c r="Y981" s="586" t="str">
        <f t="shared" si="271"/>
        <v/>
      </c>
      <c r="Z981" s="586" t="str">
        <f t="shared" si="282"/>
        <v/>
      </c>
    </row>
    <row r="982" spans="1:26" ht="23.25" hidden="1" thickBot="1" x14ac:dyDescent="0.25">
      <c r="A982" s="567">
        <v>102105</v>
      </c>
      <c r="B982" s="644">
        <v>102105</v>
      </c>
      <c r="C982" s="645" t="s">
        <v>670</v>
      </c>
      <c r="D982" s="422" t="s">
        <v>830</v>
      </c>
      <c r="E982" s="423"/>
      <c r="F982" s="424"/>
      <c r="G982" s="425"/>
      <c r="H982" s="651"/>
      <c r="I982" s="420">
        <v>17324</v>
      </c>
      <c r="J982" s="420">
        <f t="shared" si="283"/>
        <v>17324</v>
      </c>
      <c r="K982" s="421">
        <f t="shared" si="280"/>
        <v>20582.64</v>
      </c>
      <c r="L982" s="647" t="s">
        <v>2065</v>
      </c>
      <c r="M982" s="576"/>
      <c r="N982" s="576">
        <f t="shared" si="284"/>
        <v>0</v>
      </c>
      <c r="O982" s="577">
        <f t="shared" si="276"/>
        <v>0</v>
      </c>
      <c r="P982" s="578">
        <f t="shared" si="277"/>
        <v>0</v>
      </c>
      <c r="Q982" s="765"/>
      <c r="R982" s="576">
        <f t="shared" si="273"/>
        <v>0</v>
      </c>
      <c r="S982" s="576">
        <f t="shared" si="273"/>
        <v>0</v>
      </c>
      <c r="T982" s="577">
        <f t="shared" si="274"/>
        <v>0</v>
      </c>
      <c r="U982" s="578">
        <f t="shared" si="275"/>
        <v>0</v>
      </c>
      <c r="V982" s="579"/>
      <c r="W982" s="566"/>
      <c r="X982" s="586" t="str">
        <f t="shared" si="278"/>
        <v/>
      </c>
      <c r="Y982" s="586" t="str">
        <f t="shared" si="271"/>
        <v/>
      </c>
      <c r="Z982" s="586" t="str">
        <f t="shared" si="282"/>
        <v/>
      </c>
    </row>
    <row r="983" spans="1:26" ht="23.25" hidden="1" thickBot="1" x14ac:dyDescent="0.25">
      <c r="A983" s="567">
        <v>102106</v>
      </c>
      <c r="B983" s="644">
        <v>102106</v>
      </c>
      <c r="C983" s="645" t="s">
        <v>670</v>
      </c>
      <c r="D983" s="422" t="s">
        <v>831</v>
      </c>
      <c r="E983" s="423"/>
      <c r="F983" s="424"/>
      <c r="G983" s="425"/>
      <c r="H983" s="651"/>
      <c r="I983" s="420">
        <v>21717.759999999998</v>
      </c>
      <c r="J983" s="420">
        <f t="shared" si="283"/>
        <v>21717.759999999998</v>
      </c>
      <c r="K983" s="421">
        <f t="shared" si="280"/>
        <v>25802.87</v>
      </c>
      <c r="L983" s="647" t="s">
        <v>2065</v>
      </c>
      <c r="M983" s="576"/>
      <c r="N983" s="576">
        <f t="shared" si="284"/>
        <v>0</v>
      </c>
      <c r="O983" s="577">
        <f t="shared" si="276"/>
        <v>0</v>
      </c>
      <c r="P983" s="578">
        <f t="shared" si="277"/>
        <v>0</v>
      </c>
      <c r="Q983" s="765"/>
      <c r="R983" s="576">
        <f t="shared" si="273"/>
        <v>0</v>
      </c>
      <c r="S983" s="576">
        <f t="shared" si="273"/>
        <v>0</v>
      </c>
      <c r="T983" s="577">
        <f t="shared" si="274"/>
        <v>0</v>
      </c>
      <c r="U983" s="578">
        <f t="shared" si="275"/>
        <v>0</v>
      </c>
      <c r="V983" s="579"/>
      <c r="W983" s="566"/>
      <c r="X983" s="586" t="str">
        <f t="shared" si="278"/>
        <v/>
      </c>
      <c r="Y983" s="586" t="str">
        <f t="shared" si="271"/>
        <v/>
      </c>
      <c r="Z983" s="586" t="str">
        <f t="shared" si="282"/>
        <v/>
      </c>
    </row>
    <row r="984" spans="1:26" ht="23.25" hidden="1" thickBot="1" x14ac:dyDescent="0.25">
      <c r="A984" s="567">
        <v>102107</v>
      </c>
      <c r="B984" s="644">
        <v>102107</v>
      </c>
      <c r="C984" s="645" t="s">
        <v>670</v>
      </c>
      <c r="D984" s="422" t="s">
        <v>832</v>
      </c>
      <c r="E984" s="423"/>
      <c r="F984" s="424"/>
      <c r="G984" s="425"/>
      <c r="H984" s="651"/>
      <c r="I984" s="420">
        <v>30286.99</v>
      </c>
      <c r="J984" s="420">
        <f t="shared" si="283"/>
        <v>30286.99</v>
      </c>
      <c r="K984" s="421">
        <f t="shared" si="280"/>
        <v>35983.97</v>
      </c>
      <c r="L984" s="647" t="s">
        <v>2065</v>
      </c>
      <c r="M984" s="576"/>
      <c r="N984" s="576">
        <f t="shared" si="284"/>
        <v>0</v>
      </c>
      <c r="O984" s="577">
        <f t="shared" si="276"/>
        <v>0</v>
      </c>
      <c r="P984" s="578">
        <f t="shared" si="277"/>
        <v>0</v>
      </c>
      <c r="Q984" s="765"/>
      <c r="R984" s="576">
        <f t="shared" si="273"/>
        <v>0</v>
      </c>
      <c r="S984" s="576">
        <f t="shared" si="273"/>
        <v>0</v>
      </c>
      <c r="T984" s="577">
        <f t="shared" si="274"/>
        <v>0</v>
      </c>
      <c r="U984" s="578">
        <f t="shared" si="275"/>
        <v>0</v>
      </c>
      <c r="V984" s="579"/>
      <c r="W984" s="566"/>
      <c r="X984" s="586" t="str">
        <f t="shared" si="278"/>
        <v/>
      </c>
      <c r="Y984" s="586" t="str">
        <f t="shared" si="271"/>
        <v/>
      </c>
      <c r="Z984" s="586" t="str">
        <f t="shared" si="282"/>
        <v/>
      </c>
    </row>
    <row r="985" spans="1:26" ht="23.25" hidden="1" thickBot="1" x14ac:dyDescent="0.25">
      <c r="A985" s="567">
        <v>102108</v>
      </c>
      <c r="B985" s="644">
        <v>102108</v>
      </c>
      <c r="C985" s="645" t="s">
        <v>670</v>
      </c>
      <c r="D985" s="422" t="s">
        <v>833</v>
      </c>
      <c r="E985" s="423"/>
      <c r="F985" s="424"/>
      <c r="G985" s="425"/>
      <c r="H985" s="651"/>
      <c r="I985" s="420">
        <v>35262.17</v>
      </c>
      <c r="J985" s="420">
        <f t="shared" si="283"/>
        <v>35262.17</v>
      </c>
      <c r="K985" s="421">
        <f t="shared" si="280"/>
        <v>41894.980000000003</v>
      </c>
      <c r="L985" s="647" t="s">
        <v>2065</v>
      </c>
      <c r="M985" s="576"/>
      <c r="N985" s="576">
        <f t="shared" si="284"/>
        <v>0</v>
      </c>
      <c r="O985" s="577">
        <f t="shared" si="276"/>
        <v>0</v>
      </c>
      <c r="P985" s="578">
        <f t="shared" si="277"/>
        <v>0</v>
      </c>
      <c r="Q985" s="765"/>
      <c r="R985" s="576">
        <f t="shared" si="273"/>
        <v>0</v>
      </c>
      <c r="S985" s="576">
        <f t="shared" si="273"/>
        <v>0</v>
      </c>
      <c r="T985" s="577">
        <f t="shared" si="274"/>
        <v>0</v>
      </c>
      <c r="U985" s="578">
        <f t="shared" si="275"/>
        <v>0</v>
      </c>
      <c r="V985" s="579"/>
      <c r="W985" s="566"/>
      <c r="X985" s="586" t="str">
        <f t="shared" si="278"/>
        <v/>
      </c>
      <c r="Y985" s="586" t="str">
        <f t="shared" si="271"/>
        <v/>
      </c>
      <c r="Z985" s="586" t="str">
        <f t="shared" si="282"/>
        <v/>
      </c>
    </row>
    <row r="986" spans="1:26" ht="23.25" hidden="1" thickBot="1" x14ac:dyDescent="0.25">
      <c r="A986" s="567">
        <v>102109</v>
      </c>
      <c r="B986" s="644">
        <v>102109</v>
      </c>
      <c r="C986" s="645" t="s">
        <v>670</v>
      </c>
      <c r="D986" s="422" t="s">
        <v>834</v>
      </c>
      <c r="E986" s="423"/>
      <c r="F986" s="424"/>
      <c r="G986" s="425"/>
      <c r="H986" s="651"/>
      <c r="I986" s="420">
        <v>46.36</v>
      </c>
      <c r="J986" s="420">
        <f t="shared" si="283"/>
        <v>46.36</v>
      </c>
      <c r="K986" s="421">
        <f t="shared" si="280"/>
        <v>55.08</v>
      </c>
      <c r="L986" s="647" t="s">
        <v>2065</v>
      </c>
      <c r="M986" s="576"/>
      <c r="N986" s="576">
        <f t="shared" si="284"/>
        <v>0</v>
      </c>
      <c r="O986" s="577">
        <f t="shared" si="276"/>
        <v>0</v>
      </c>
      <c r="P986" s="578">
        <f t="shared" si="277"/>
        <v>0</v>
      </c>
      <c r="Q986" s="765"/>
      <c r="R986" s="576">
        <f t="shared" si="273"/>
        <v>0</v>
      </c>
      <c r="S986" s="576">
        <f t="shared" si="273"/>
        <v>0</v>
      </c>
      <c r="T986" s="577">
        <f t="shared" si="274"/>
        <v>0</v>
      </c>
      <c r="U986" s="578">
        <f t="shared" si="275"/>
        <v>0</v>
      </c>
      <c r="V986" s="579"/>
      <c r="W986" s="566"/>
      <c r="X986" s="586" t="str">
        <f t="shared" si="278"/>
        <v/>
      </c>
      <c r="Y986" s="586" t="str">
        <f t="shared" si="271"/>
        <v/>
      </c>
      <c r="Z986" s="586" t="str">
        <f t="shared" si="282"/>
        <v/>
      </c>
    </row>
    <row r="987" spans="1:26" ht="23.25" hidden="1" thickBot="1" x14ac:dyDescent="0.25">
      <c r="A987" s="567">
        <v>102110</v>
      </c>
      <c r="B987" s="644">
        <v>102110</v>
      </c>
      <c r="C987" s="645" t="s">
        <v>670</v>
      </c>
      <c r="D987" s="422" t="s">
        <v>835</v>
      </c>
      <c r="E987" s="423"/>
      <c r="F987" s="424"/>
      <c r="G987" s="425"/>
      <c r="H987" s="651"/>
      <c r="I987" s="420">
        <v>124.4</v>
      </c>
      <c r="J987" s="420">
        <f t="shared" si="283"/>
        <v>124.4</v>
      </c>
      <c r="K987" s="421">
        <f t="shared" si="280"/>
        <v>147.80000000000001</v>
      </c>
      <c r="L987" s="647" t="s">
        <v>2065</v>
      </c>
      <c r="M987" s="576"/>
      <c r="N987" s="576">
        <f t="shared" si="284"/>
        <v>0</v>
      </c>
      <c r="O987" s="577">
        <f t="shared" si="276"/>
        <v>0</v>
      </c>
      <c r="P987" s="578">
        <f t="shared" si="277"/>
        <v>0</v>
      </c>
      <c r="Q987" s="765"/>
      <c r="R987" s="576">
        <f t="shared" si="273"/>
        <v>0</v>
      </c>
      <c r="S987" s="576">
        <f t="shared" si="273"/>
        <v>0</v>
      </c>
      <c r="T987" s="577">
        <f t="shared" si="274"/>
        <v>0</v>
      </c>
      <c r="U987" s="578">
        <f t="shared" si="275"/>
        <v>0</v>
      </c>
      <c r="V987" s="579"/>
      <c r="W987" s="566"/>
      <c r="X987" s="586" t="str">
        <f t="shared" si="278"/>
        <v/>
      </c>
      <c r="Y987" s="586" t="str">
        <f t="shared" si="271"/>
        <v/>
      </c>
      <c r="Z987" s="586" t="str">
        <f t="shared" si="282"/>
        <v/>
      </c>
    </row>
    <row r="988" spans="1:26" ht="23.25" hidden="1" thickBot="1" x14ac:dyDescent="0.25">
      <c r="A988" s="567">
        <v>100619</v>
      </c>
      <c r="B988" s="644">
        <v>100619</v>
      </c>
      <c r="C988" s="645" t="s">
        <v>670</v>
      </c>
      <c r="D988" s="422" t="s">
        <v>836</v>
      </c>
      <c r="E988" s="423"/>
      <c r="F988" s="424"/>
      <c r="G988" s="425"/>
      <c r="H988" s="651"/>
      <c r="I988" s="420">
        <v>636.61</v>
      </c>
      <c r="J988" s="420">
        <f t="shared" si="283"/>
        <v>636.61</v>
      </c>
      <c r="K988" s="421">
        <f t="shared" si="280"/>
        <v>756.36</v>
      </c>
      <c r="L988" s="647" t="s">
        <v>2065</v>
      </c>
      <c r="M988" s="576"/>
      <c r="N988" s="576">
        <f t="shared" si="284"/>
        <v>0</v>
      </c>
      <c r="O988" s="577">
        <f t="shared" si="276"/>
        <v>0</v>
      </c>
      <c r="P988" s="578">
        <f t="shared" si="277"/>
        <v>0</v>
      </c>
      <c r="Q988" s="765"/>
      <c r="R988" s="576">
        <f t="shared" si="273"/>
        <v>0</v>
      </c>
      <c r="S988" s="576">
        <f t="shared" si="273"/>
        <v>0</v>
      </c>
      <c r="T988" s="577">
        <f t="shared" si="274"/>
        <v>0</v>
      </c>
      <c r="U988" s="578">
        <f t="shared" si="275"/>
        <v>0</v>
      </c>
      <c r="V988" s="579"/>
      <c r="W988" s="566"/>
      <c r="X988" s="586" t="str">
        <f t="shared" si="278"/>
        <v/>
      </c>
      <c r="Y988" s="586" t="str">
        <f t="shared" si="271"/>
        <v/>
      </c>
      <c r="Z988" s="586" t="str">
        <f t="shared" si="282"/>
        <v/>
      </c>
    </row>
    <row r="989" spans="1:26" ht="23.25" hidden="1" thickBot="1" x14ac:dyDescent="0.25">
      <c r="A989" s="567">
        <v>100620</v>
      </c>
      <c r="B989" s="644">
        <v>100620</v>
      </c>
      <c r="C989" s="645" t="s">
        <v>670</v>
      </c>
      <c r="D989" s="422" t="s">
        <v>837</v>
      </c>
      <c r="E989" s="423"/>
      <c r="F989" s="424"/>
      <c r="G989" s="425"/>
      <c r="H989" s="651"/>
      <c r="I989" s="420">
        <v>3872.57</v>
      </c>
      <c r="J989" s="420">
        <f t="shared" si="283"/>
        <v>3872.57</v>
      </c>
      <c r="K989" s="421">
        <f t="shared" si="280"/>
        <v>4601</v>
      </c>
      <c r="L989" s="647" t="s">
        <v>2065</v>
      </c>
      <c r="M989" s="576"/>
      <c r="N989" s="576">
        <f t="shared" si="284"/>
        <v>0</v>
      </c>
      <c r="O989" s="577">
        <f t="shared" si="276"/>
        <v>0</v>
      </c>
      <c r="P989" s="578">
        <f t="shared" si="277"/>
        <v>0</v>
      </c>
      <c r="Q989" s="765"/>
      <c r="R989" s="576">
        <f t="shared" si="273"/>
        <v>0</v>
      </c>
      <c r="S989" s="576">
        <f t="shared" si="273"/>
        <v>0</v>
      </c>
      <c r="T989" s="577">
        <f t="shared" si="274"/>
        <v>0</v>
      </c>
      <c r="U989" s="578">
        <f t="shared" si="275"/>
        <v>0</v>
      </c>
      <c r="V989" s="579"/>
      <c r="W989" s="566"/>
      <c r="X989" s="586" t="str">
        <f t="shared" si="278"/>
        <v/>
      </c>
      <c r="Y989" s="586" t="str">
        <f t="shared" si="271"/>
        <v/>
      </c>
      <c r="Z989" s="586" t="str">
        <f t="shared" si="282"/>
        <v/>
      </c>
    </row>
    <row r="990" spans="1:26" ht="23.25" hidden="1" thickBot="1" x14ac:dyDescent="0.25">
      <c r="A990" s="567">
        <v>100621</v>
      </c>
      <c r="B990" s="644">
        <v>100621</v>
      </c>
      <c r="C990" s="645" t="s">
        <v>670</v>
      </c>
      <c r="D990" s="422" t="s">
        <v>838</v>
      </c>
      <c r="E990" s="423"/>
      <c r="F990" s="424"/>
      <c r="G990" s="425"/>
      <c r="H990" s="651"/>
      <c r="I990" s="420">
        <v>4438.99</v>
      </c>
      <c r="J990" s="420">
        <f t="shared" si="283"/>
        <v>4438.99</v>
      </c>
      <c r="K990" s="421">
        <f t="shared" si="280"/>
        <v>5273.96</v>
      </c>
      <c r="L990" s="647" t="s">
        <v>2065</v>
      </c>
      <c r="M990" s="576"/>
      <c r="N990" s="576">
        <f t="shared" si="284"/>
        <v>0</v>
      </c>
      <c r="O990" s="577">
        <f t="shared" si="276"/>
        <v>0</v>
      </c>
      <c r="P990" s="578">
        <f t="shared" si="277"/>
        <v>0</v>
      </c>
      <c r="Q990" s="765"/>
      <c r="R990" s="576">
        <f t="shared" si="273"/>
        <v>0</v>
      </c>
      <c r="S990" s="576">
        <f t="shared" si="273"/>
        <v>0</v>
      </c>
      <c r="T990" s="577">
        <f t="shared" si="274"/>
        <v>0</v>
      </c>
      <c r="U990" s="578">
        <f t="shared" si="275"/>
        <v>0</v>
      </c>
      <c r="V990" s="579"/>
      <c r="W990" s="566"/>
      <c r="X990" s="586" t="str">
        <f t="shared" si="278"/>
        <v/>
      </c>
      <c r="Y990" s="586" t="str">
        <f t="shared" si="271"/>
        <v/>
      </c>
      <c r="Z990" s="586" t="str">
        <f t="shared" si="282"/>
        <v/>
      </c>
    </row>
    <row r="991" spans="1:26" ht="23.25" hidden="1" thickBot="1" x14ac:dyDescent="0.25">
      <c r="A991" s="567">
        <v>100622</v>
      </c>
      <c r="B991" s="644">
        <v>100622</v>
      </c>
      <c r="C991" s="645" t="s">
        <v>670</v>
      </c>
      <c r="D991" s="422" t="s">
        <v>839</v>
      </c>
      <c r="E991" s="423"/>
      <c r="F991" s="424"/>
      <c r="G991" s="425"/>
      <c r="H991" s="651"/>
      <c r="I991" s="420">
        <v>2912.84</v>
      </c>
      <c r="J991" s="420">
        <f t="shared" si="283"/>
        <v>2912.84</v>
      </c>
      <c r="K991" s="421">
        <f t="shared" si="280"/>
        <v>3460.75</v>
      </c>
      <c r="L991" s="647" t="s">
        <v>2065</v>
      </c>
      <c r="M991" s="576"/>
      <c r="N991" s="576">
        <f t="shared" si="284"/>
        <v>0</v>
      </c>
      <c r="O991" s="577">
        <f t="shared" si="276"/>
        <v>0</v>
      </c>
      <c r="P991" s="578">
        <f t="shared" si="277"/>
        <v>0</v>
      </c>
      <c r="Q991" s="765"/>
      <c r="R991" s="576">
        <f t="shared" si="273"/>
        <v>0</v>
      </c>
      <c r="S991" s="576">
        <f t="shared" si="273"/>
        <v>0</v>
      </c>
      <c r="T991" s="577">
        <f t="shared" si="274"/>
        <v>0</v>
      </c>
      <c r="U991" s="578">
        <f t="shared" si="275"/>
        <v>0</v>
      </c>
      <c r="V991" s="579"/>
      <c r="W991" s="566"/>
      <c r="X991" s="586" t="str">
        <f t="shared" si="278"/>
        <v/>
      </c>
      <c r="Y991" s="586" t="str">
        <f t="shared" si="271"/>
        <v/>
      </c>
      <c r="Z991" s="586" t="str">
        <f t="shared" si="282"/>
        <v/>
      </c>
    </row>
    <row r="992" spans="1:26" ht="23.25" hidden="1" thickBot="1" x14ac:dyDescent="0.25">
      <c r="A992" s="567">
        <v>100623</v>
      </c>
      <c r="B992" s="644">
        <v>100623</v>
      </c>
      <c r="C992" s="645" t="s">
        <v>670</v>
      </c>
      <c r="D992" s="422" t="s">
        <v>840</v>
      </c>
      <c r="E992" s="423"/>
      <c r="F992" s="424"/>
      <c r="G992" s="425"/>
      <c r="H992" s="651"/>
      <c r="I992" s="420">
        <v>3153.04</v>
      </c>
      <c r="J992" s="420">
        <f t="shared" si="283"/>
        <v>3153.04</v>
      </c>
      <c r="K992" s="421">
        <f t="shared" si="280"/>
        <v>3746.13</v>
      </c>
      <c r="L992" s="647" t="s">
        <v>2065</v>
      </c>
      <c r="M992" s="576"/>
      <c r="N992" s="576">
        <f t="shared" si="284"/>
        <v>0</v>
      </c>
      <c r="O992" s="577">
        <f t="shared" si="276"/>
        <v>0</v>
      </c>
      <c r="P992" s="578">
        <f t="shared" si="277"/>
        <v>0</v>
      </c>
      <c r="Q992" s="765"/>
      <c r="R992" s="576">
        <f t="shared" si="273"/>
        <v>0</v>
      </c>
      <c r="S992" s="576">
        <f t="shared" si="273"/>
        <v>0</v>
      </c>
      <c r="T992" s="577">
        <f t="shared" si="274"/>
        <v>0</v>
      </c>
      <c r="U992" s="578">
        <f t="shared" si="275"/>
        <v>0</v>
      </c>
      <c r="V992" s="579"/>
      <c r="W992" s="566"/>
      <c r="X992" s="586" t="str">
        <f t="shared" si="278"/>
        <v/>
      </c>
      <c r="Y992" s="586" t="str">
        <f t="shared" si="271"/>
        <v/>
      </c>
      <c r="Z992" s="586" t="str">
        <f t="shared" si="282"/>
        <v/>
      </c>
    </row>
    <row r="993" spans="1:26" ht="34.5" hidden="1" thickBot="1" x14ac:dyDescent="0.25">
      <c r="A993" s="567">
        <v>100578</v>
      </c>
      <c r="B993" s="644">
        <v>100578</v>
      </c>
      <c r="C993" s="645" t="s">
        <v>670</v>
      </c>
      <c r="D993" s="422" t="s">
        <v>841</v>
      </c>
      <c r="E993" s="423"/>
      <c r="F993" s="424"/>
      <c r="G993" s="425"/>
      <c r="H993" s="651"/>
      <c r="I993" s="420">
        <v>503.67</v>
      </c>
      <c r="J993" s="420">
        <f t="shared" si="283"/>
        <v>503.67</v>
      </c>
      <c r="K993" s="421">
        <f t="shared" si="280"/>
        <v>598.41</v>
      </c>
      <c r="L993" s="647" t="s">
        <v>2065</v>
      </c>
      <c r="M993" s="576"/>
      <c r="N993" s="576">
        <f t="shared" si="284"/>
        <v>0</v>
      </c>
      <c r="O993" s="577">
        <f t="shared" si="276"/>
        <v>0</v>
      </c>
      <c r="P993" s="578">
        <f t="shared" si="277"/>
        <v>0</v>
      </c>
      <c r="Q993" s="765"/>
      <c r="R993" s="576">
        <f t="shared" si="273"/>
        <v>0</v>
      </c>
      <c r="S993" s="576">
        <f t="shared" si="273"/>
        <v>0</v>
      </c>
      <c r="T993" s="577">
        <f t="shared" si="274"/>
        <v>0</v>
      </c>
      <c r="U993" s="578">
        <f t="shared" si="275"/>
        <v>0</v>
      </c>
      <c r="V993" s="579"/>
      <c r="W993" s="566"/>
      <c r="X993" s="586" t="str">
        <f t="shared" si="278"/>
        <v/>
      </c>
      <c r="Y993" s="586" t="str">
        <f t="shared" si="271"/>
        <v/>
      </c>
      <c r="Z993" s="586" t="str">
        <f t="shared" si="282"/>
        <v/>
      </c>
    </row>
    <row r="994" spans="1:26" ht="34.5" hidden="1" thickBot="1" x14ac:dyDescent="0.25">
      <c r="A994" s="567">
        <v>100579</v>
      </c>
      <c r="B994" s="644">
        <v>100579</v>
      </c>
      <c r="C994" s="645" t="s">
        <v>670</v>
      </c>
      <c r="D994" s="422" t="s">
        <v>842</v>
      </c>
      <c r="E994" s="423"/>
      <c r="F994" s="424"/>
      <c r="G994" s="425"/>
      <c r="H994" s="651"/>
      <c r="I994" s="420">
        <v>552.51</v>
      </c>
      <c r="J994" s="420">
        <f t="shared" si="283"/>
        <v>552.51</v>
      </c>
      <c r="K994" s="421">
        <f t="shared" si="280"/>
        <v>656.44</v>
      </c>
      <c r="L994" s="647" t="s">
        <v>2065</v>
      </c>
      <c r="M994" s="576"/>
      <c r="N994" s="576">
        <f t="shared" si="284"/>
        <v>0</v>
      </c>
      <c r="O994" s="577">
        <f t="shared" si="276"/>
        <v>0</v>
      </c>
      <c r="P994" s="578">
        <f t="shared" si="277"/>
        <v>0</v>
      </c>
      <c r="Q994" s="765"/>
      <c r="R994" s="576">
        <f t="shared" si="273"/>
        <v>0</v>
      </c>
      <c r="S994" s="576">
        <f t="shared" si="273"/>
        <v>0</v>
      </c>
      <c r="T994" s="577">
        <f t="shared" si="274"/>
        <v>0</v>
      </c>
      <c r="U994" s="578">
        <f t="shared" si="275"/>
        <v>0</v>
      </c>
      <c r="V994" s="579"/>
      <c r="W994" s="566"/>
      <c r="X994" s="586" t="str">
        <f t="shared" si="278"/>
        <v/>
      </c>
      <c r="Y994" s="586" t="str">
        <f t="shared" si="271"/>
        <v/>
      </c>
      <c r="Z994" s="586" t="str">
        <f t="shared" si="282"/>
        <v/>
      </c>
    </row>
    <row r="995" spans="1:26" ht="23.25" hidden="1" thickBot="1" x14ac:dyDescent="0.25">
      <c r="A995" s="567">
        <v>100580</v>
      </c>
      <c r="B995" s="644">
        <v>100580</v>
      </c>
      <c r="C995" s="645" t="s">
        <v>670</v>
      </c>
      <c r="D995" s="422" t="s">
        <v>843</v>
      </c>
      <c r="E995" s="423"/>
      <c r="F995" s="424"/>
      <c r="G995" s="425"/>
      <c r="H995" s="651"/>
      <c r="I995" s="420">
        <v>602.62</v>
      </c>
      <c r="J995" s="420">
        <f t="shared" si="283"/>
        <v>602.62</v>
      </c>
      <c r="K995" s="421">
        <f t="shared" si="280"/>
        <v>715.97</v>
      </c>
      <c r="L995" s="647" t="s">
        <v>2065</v>
      </c>
      <c r="M995" s="576"/>
      <c r="N995" s="576">
        <f t="shared" si="284"/>
        <v>0</v>
      </c>
      <c r="O995" s="577">
        <f t="shared" si="276"/>
        <v>0</v>
      </c>
      <c r="P995" s="578">
        <f t="shared" si="277"/>
        <v>0</v>
      </c>
      <c r="Q995" s="765"/>
      <c r="R995" s="576">
        <f t="shared" si="273"/>
        <v>0</v>
      </c>
      <c r="S995" s="576">
        <f t="shared" si="273"/>
        <v>0</v>
      </c>
      <c r="T995" s="577">
        <f t="shared" si="274"/>
        <v>0</v>
      </c>
      <c r="U995" s="578">
        <f t="shared" si="275"/>
        <v>0</v>
      </c>
      <c r="V995" s="579"/>
      <c r="W995" s="566"/>
      <c r="X995" s="586" t="str">
        <f t="shared" si="278"/>
        <v/>
      </c>
      <c r="Y995" s="586" t="str">
        <f t="shared" ref="Y995:Y1058" si="285">IF(W995="X","x",IF(W995="y","x",IF(W995="xx","x",IF(U995&gt;0,"x",""))))</f>
        <v/>
      </c>
      <c r="Z995" s="586" t="str">
        <f t="shared" si="282"/>
        <v/>
      </c>
    </row>
    <row r="996" spans="1:26" ht="34.5" hidden="1" thickBot="1" x14ac:dyDescent="0.25">
      <c r="A996" s="567">
        <v>100581</v>
      </c>
      <c r="B996" s="644">
        <v>100581</v>
      </c>
      <c r="C996" s="645" t="s">
        <v>670</v>
      </c>
      <c r="D996" s="422" t="s">
        <v>844</v>
      </c>
      <c r="E996" s="423"/>
      <c r="F996" s="424"/>
      <c r="G996" s="425"/>
      <c r="H996" s="651"/>
      <c r="I996" s="420">
        <v>576.72</v>
      </c>
      <c r="J996" s="420">
        <f t="shared" si="283"/>
        <v>576.72</v>
      </c>
      <c r="K996" s="421">
        <f t="shared" si="280"/>
        <v>685.2</v>
      </c>
      <c r="L996" s="647" t="s">
        <v>2065</v>
      </c>
      <c r="M996" s="576"/>
      <c r="N996" s="576">
        <f t="shared" si="284"/>
        <v>0</v>
      </c>
      <c r="O996" s="577">
        <f t="shared" si="276"/>
        <v>0</v>
      </c>
      <c r="P996" s="578">
        <f t="shared" si="277"/>
        <v>0</v>
      </c>
      <c r="Q996" s="765"/>
      <c r="R996" s="576">
        <f t="shared" si="273"/>
        <v>0</v>
      </c>
      <c r="S996" s="576">
        <f t="shared" si="273"/>
        <v>0</v>
      </c>
      <c r="T996" s="577">
        <f t="shared" si="274"/>
        <v>0</v>
      </c>
      <c r="U996" s="578">
        <f t="shared" si="275"/>
        <v>0</v>
      </c>
      <c r="V996" s="579"/>
      <c r="W996" s="566"/>
      <c r="X996" s="586" t="str">
        <f t="shared" si="278"/>
        <v/>
      </c>
      <c r="Y996" s="586" t="str">
        <f t="shared" si="285"/>
        <v/>
      </c>
      <c r="Z996" s="586" t="str">
        <f t="shared" si="282"/>
        <v/>
      </c>
    </row>
    <row r="997" spans="1:26" ht="34.5" hidden="1" thickBot="1" x14ac:dyDescent="0.25">
      <c r="A997" s="567">
        <v>100582</v>
      </c>
      <c r="B997" s="644">
        <v>100582</v>
      </c>
      <c r="C997" s="645" t="s">
        <v>670</v>
      </c>
      <c r="D997" s="422" t="s">
        <v>845</v>
      </c>
      <c r="E997" s="423"/>
      <c r="F997" s="424"/>
      <c r="G997" s="425"/>
      <c r="H997" s="651"/>
      <c r="I997" s="420">
        <v>666.99</v>
      </c>
      <c r="J997" s="420">
        <f t="shared" si="283"/>
        <v>666.99</v>
      </c>
      <c r="K997" s="421">
        <f t="shared" si="280"/>
        <v>792.45</v>
      </c>
      <c r="L997" s="647" t="s">
        <v>2065</v>
      </c>
      <c r="M997" s="576"/>
      <c r="N997" s="576">
        <f t="shared" si="284"/>
        <v>0</v>
      </c>
      <c r="O997" s="577">
        <f t="shared" si="276"/>
        <v>0</v>
      </c>
      <c r="P997" s="578">
        <f t="shared" si="277"/>
        <v>0</v>
      </c>
      <c r="Q997" s="765"/>
      <c r="R997" s="576">
        <f t="shared" si="273"/>
        <v>0</v>
      </c>
      <c r="S997" s="576">
        <f t="shared" si="273"/>
        <v>0</v>
      </c>
      <c r="T997" s="577">
        <f t="shared" si="274"/>
        <v>0</v>
      </c>
      <c r="U997" s="578">
        <f t="shared" si="275"/>
        <v>0</v>
      </c>
      <c r="V997" s="579"/>
      <c r="W997" s="566"/>
      <c r="X997" s="586" t="str">
        <f t="shared" si="278"/>
        <v/>
      </c>
      <c r="Y997" s="586" t="str">
        <f t="shared" si="285"/>
        <v/>
      </c>
      <c r="Z997" s="586" t="str">
        <f t="shared" si="282"/>
        <v/>
      </c>
    </row>
    <row r="998" spans="1:26" ht="34.5" hidden="1" thickBot="1" x14ac:dyDescent="0.25">
      <c r="A998" s="567">
        <v>100583</v>
      </c>
      <c r="B998" s="644">
        <v>100583</v>
      </c>
      <c r="C998" s="645" t="s">
        <v>670</v>
      </c>
      <c r="D998" s="422" t="s">
        <v>846</v>
      </c>
      <c r="E998" s="423"/>
      <c r="F998" s="424"/>
      <c r="G998" s="425"/>
      <c r="H998" s="651"/>
      <c r="I998" s="420">
        <v>602.57000000000005</v>
      </c>
      <c r="J998" s="420">
        <f t="shared" si="283"/>
        <v>602.57000000000005</v>
      </c>
      <c r="K998" s="421">
        <f t="shared" si="280"/>
        <v>715.91</v>
      </c>
      <c r="L998" s="647" t="s">
        <v>2065</v>
      </c>
      <c r="M998" s="576"/>
      <c r="N998" s="576">
        <f t="shared" si="284"/>
        <v>0</v>
      </c>
      <c r="O998" s="577">
        <f t="shared" si="276"/>
        <v>0</v>
      </c>
      <c r="P998" s="578">
        <f t="shared" si="277"/>
        <v>0</v>
      </c>
      <c r="Q998" s="765"/>
      <c r="R998" s="576">
        <f t="shared" si="273"/>
        <v>0</v>
      </c>
      <c r="S998" s="576">
        <f t="shared" si="273"/>
        <v>0</v>
      </c>
      <c r="T998" s="577">
        <f t="shared" si="274"/>
        <v>0</v>
      </c>
      <c r="U998" s="578">
        <f t="shared" si="275"/>
        <v>0</v>
      </c>
      <c r="V998" s="579"/>
      <c r="W998" s="566"/>
      <c r="X998" s="586" t="str">
        <f t="shared" si="278"/>
        <v/>
      </c>
      <c r="Y998" s="586" t="str">
        <f t="shared" si="285"/>
        <v/>
      </c>
      <c r="Z998" s="586" t="str">
        <f t="shared" si="282"/>
        <v/>
      </c>
    </row>
    <row r="999" spans="1:26" ht="23.25" hidden="1" thickBot="1" x14ac:dyDescent="0.25">
      <c r="A999" s="567">
        <v>100584</v>
      </c>
      <c r="B999" s="644">
        <v>100584</v>
      </c>
      <c r="C999" s="645" t="s">
        <v>670</v>
      </c>
      <c r="D999" s="422" t="s">
        <v>847</v>
      </c>
      <c r="E999" s="423"/>
      <c r="F999" s="424"/>
      <c r="G999" s="425"/>
      <c r="H999" s="651"/>
      <c r="I999" s="420">
        <v>656.87</v>
      </c>
      <c r="J999" s="420">
        <f t="shared" si="283"/>
        <v>656.87</v>
      </c>
      <c r="K999" s="421">
        <f t="shared" si="280"/>
        <v>780.43</v>
      </c>
      <c r="L999" s="647" t="s">
        <v>2065</v>
      </c>
      <c r="M999" s="576"/>
      <c r="N999" s="576">
        <f t="shared" si="284"/>
        <v>0</v>
      </c>
      <c r="O999" s="577">
        <f t="shared" si="276"/>
        <v>0</v>
      </c>
      <c r="P999" s="578">
        <f t="shared" si="277"/>
        <v>0</v>
      </c>
      <c r="Q999" s="765"/>
      <c r="R999" s="576">
        <f t="shared" si="273"/>
        <v>0</v>
      </c>
      <c r="S999" s="576">
        <f t="shared" si="273"/>
        <v>0</v>
      </c>
      <c r="T999" s="577">
        <f t="shared" si="274"/>
        <v>0</v>
      </c>
      <c r="U999" s="578">
        <f t="shared" si="275"/>
        <v>0</v>
      </c>
      <c r="V999" s="579"/>
      <c r="W999" s="566"/>
      <c r="X999" s="586" t="str">
        <f t="shared" si="278"/>
        <v/>
      </c>
      <c r="Y999" s="586" t="str">
        <f t="shared" si="285"/>
        <v/>
      </c>
      <c r="Z999" s="586" t="str">
        <f t="shared" si="282"/>
        <v/>
      </c>
    </row>
    <row r="1000" spans="1:26" ht="34.5" hidden="1" thickBot="1" x14ac:dyDescent="0.25">
      <c r="A1000" s="567">
        <v>100585</v>
      </c>
      <c r="B1000" s="644">
        <v>100585</v>
      </c>
      <c r="C1000" s="645" t="s">
        <v>670</v>
      </c>
      <c r="D1000" s="422" t="s">
        <v>848</v>
      </c>
      <c r="E1000" s="423"/>
      <c r="F1000" s="424"/>
      <c r="G1000" s="425"/>
      <c r="H1000" s="651"/>
      <c r="I1000" s="420">
        <v>652.87</v>
      </c>
      <c r="J1000" s="420">
        <f t="shared" si="283"/>
        <v>652.87</v>
      </c>
      <c r="K1000" s="421">
        <f t="shared" si="280"/>
        <v>775.67</v>
      </c>
      <c r="L1000" s="647" t="s">
        <v>2065</v>
      </c>
      <c r="M1000" s="576"/>
      <c r="N1000" s="576">
        <f t="shared" si="284"/>
        <v>0</v>
      </c>
      <c r="O1000" s="577">
        <f t="shared" si="276"/>
        <v>0</v>
      </c>
      <c r="P1000" s="578">
        <f t="shared" si="277"/>
        <v>0</v>
      </c>
      <c r="Q1000" s="765"/>
      <c r="R1000" s="576">
        <f t="shared" si="273"/>
        <v>0</v>
      </c>
      <c r="S1000" s="576">
        <f t="shared" si="273"/>
        <v>0</v>
      </c>
      <c r="T1000" s="577">
        <f t="shared" si="274"/>
        <v>0</v>
      </c>
      <c r="U1000" s="578">
        <f t="shared" si="275"/>
        <v>0</v>
      </c>
      <c r="V1000" s="579"/>
      <c r="W1000" s="566"/>
      <c r="X1000" s="586" t="str">
        <f t="shared" si="278"/>
        <v/>
      </c>
      <c r="Y1000" s="586" t="str">
        <f t="shared" si="285"/>
        <v/>
      </c>
      <c r="Z1000" s="586" t="str">
        <f t="shared" si="282"/>
        <v/>
      </c>
    </row>
    <row r="1001" spans="1:26" ht="23.25" hidden="1" thickBot="1" x14ac:dyDescent="0.25">
      <c r="A1001" s="567">
        <v>100586</v>
      </c>
      <c r="B1001" s="644">
        <v>100586</v>
      </c>
      <c r="C1001" s="645" t="s">
        <v>670</v>
      </c>
      <c r="D1001" s="422" t="s">
        <v>849</v>
      </c>
      <c r="E1001" s="423"/>
      <c r="F1001" s="424"/>
      <c r="G1001" s="425"/>
      <c r="H1001" s="651"/>
      <c r="I1001" s="420">
        <v>739.43</v>
      </c>
      <c r="J1001" s="420">
        <f t="shared" si="283"/>
        <v>739.43</v>
      </c>
      <c r="K1001" s="421">
        <f t="shared" si="280"/>
        <v>878.52</v>
      </c>
      <c r="L1001" s="647" t="s">
        <v>2065</v>
      </c>
      <c r="M1001" s="576"/>
      <c r="N1001" s="576">
        <f t="shared" si="284"/>
        <v>0</v>
      </c>
      <c r="O1001" s="577">
        <f t="shared" si="276"/>
        <v>0</v>
      </c>
      <c r="P1001" s="578">
        <f t="shared" si="277"/>
        <v>0</v>
      </c>
      <c r="Q1001" s="765"/>
      <c r="R1001" s="576">
        <f t="shared" si="273"/>
        <v>0</v>
      </c>
      <c r="S1001" s="576">
        <f t="shared" si="273"/>
        <v>0</v>
      </c>
      <c r="T1001" s="577">
        <f t="shared" si="274"/>
        <v>0</v>
      </c>
      <c r="U1001" s="578">
        <f t="shared" si="275"/>
        <v>0</v>
      </c>
      <c r="V1001" s="579"/>
      <c r="W1001" s="566"/>
      <c r="X1001" s="586" t="str">
        <f t="shared" si="278"/>
        <v/>
      </c>
      <c r="Y1001" s="586" t="str">
        <f t="shared" si="285"/>
        <v/>
      </c>
      <c r="Z1001" s="586" t="str">
        <f t="shared" si="282"/>
        <v/>
      </c>
    </row>
    <row r="1002" spans="1:26" ht="34.5" hidden="1" thickBot="1" x14ac:dyDescent="0.25">
      <c r="A1002" s="567">
        <v>100587</v>
      </c>
      <c r="B1002" s="644">
        <v>100587</v>
      </c>
      <c r="C1002" s="645" t="s">
        <v>670</v>
      </c>
      <c r="D1002" s="422" t="s">
        <v>850</v>
      </c>
      <c r="E1002" s="423"/>
      <c r="F1002" s="424"/>
      <c r="G1002" s="425"/>
      <c r="H1002" s="651"/>
      <c r="I1002" s="420">
        <v>704.86</v>
      </c>
      <c r="J1002" s="420">
        <f t="shared" si="283"/>
        <v>704.86</v>
      </c>
      <c r="K1002" s="421">
        <f t="shared" si="280"/>
        <v>837.44</v>
      </c>
      <c r="L1002" s="647" t="s">
        <v>2065</v>
      </c>
      <c r="M1002" s="576"/>
      <c r="N1002" s="576">
        <f t="shared" si="284"/>
        <v>0</v>
      </c>
      <c r="O1002" s="577">
        <f t="shared" si="276"/>
        <v>0</v>
      </c>
      <c r="P1002" s="578">
        <f t="shared" si="277"/>
        <v>0</v>
      </c>
      <c r="Q1002" s="765"/>
      <c r="R1002" s="576">
        <f t="shared" si="273"/>
        <v>0</v>
      </c>
      <c r="S1002" s="576">
        <f t="shared" si="273"/>
        <v>0</v>
      </c>
      <c r="T1002" s="577">
        <f t="shared" si="274"/>
        <v>0</v>
      </c>
      <c r="U1002" s="578">
        <f t="shared" si="275"/>
        <v>0</v>
      </c>
      <c r="V1002" s="579"/>
      <c r="W1002" s="566"/>
      <c r="X1002" s="586" t="str">
        <f t="shared" si="278"/>
        <v/>
      </c>
      <c r="Y1002" s="586" t="str">
        <f t="shared" si="285"/>
        <v/>
      </c>
      <c r="Z1002" s="586" t="str">
        <f t="shared" si="282"/>
        <v/>
      </c>
    </row>
    <row r="1003" spans="1:26" ht="23.25" hidden="1" thickBot="1" x14ac:dyDescent="0.25">
      <c r="A1003" s="567">
        <v>100588</v>
      </c>
      <c r="B1003" s="644">
        <v>100588</v>
      </c>
      <c r="C1003" s="645" t="s">
        <v>670</v>
      </c>
      <c r="D1003" s="422" t="s">
        <v>851</v>
      </c>
      <c r="E1003" s="423"/>
      <c r="F1003" s="424"/>
      <c r="G1003" s="425"/>
      <c r="H1003" s="651"/>
      <c r="I1003" s="420">
        <v>772.15</v>
      </c>
      <c r="J1003" s="420">
        <f t="shared" si="283"/>
        <v>772.15</v>
      </c>
      <c r="K1003" s="421">
        <f t="shared" si="280"/>
        <v>917.39</v>
      </c>
      <c r="L1003" s="647" t="s">
        <v>2065</v>
      </c>
      <c r="M1003" s="576"/>
      <c r="N1003" s="576">
        <f t="shared" si="284"/>
        <v>0</v>
      </c>
      <c r="O1003" s="577">
        <f t="shared" si="276"/>
        <v>0</v>
      </c>
      <c r="P1003" s="578">
        <f t="shared" si="277"/>
        <v>0</v>
      </c>
      <c r="Q1003" s="765"/>
      <c r="R1003" s="576">
        <f t="shared" si="273"/>
        <v>0</v>
      </c>
      <c r="S1003" s="576">
        <f t="shared" si="273"/>
        <v>0</v>
      </c>
      <c r="T1003" s="577">
        <f t="shared" si="274"/>
        <v>0</v>
      </c>
      <c r="U1003" s="578">
        <f t="shared" si="275"/>
        <v>0</v>
      </c>
      <c r="V1003" s="579"/>
      <c r="W1003" s="566"/>
      <c r="X1003" s="586" t="str">
        <f t="shared" si="278"/>
        <v/>
      </c>
      <c r="Y1003" s="586" t="str">
        <f t="shared" si="285"/>
        <v/>
      </c>
      <c r="Z1003" s="586" t="str">
        <f t="shared" si="282"/>
        <v/>
      </c>
    </row>
    <row r="1004" spans="1:26" ht="34.5" hidden="1" thickBot="1" x14ac:dyDescent="0.25">
      <c r="A1004" s="567">
        <v>100589</v>
      </c>
      <c r="B1004" s="644">
        <v>100589</v>
      </c>
      <c r="C1004" s="645" t="s">
        <v>670</v>
      </c>
      <c r="D1004" s="422" t="s">
        <v>852</v>
      </c>
      <c r="E1004" s="423"/>
      <c r="F1004" s="424"/>
      <c r="G1004" s="425"/>
      <c r="H1004" s="651"/>
      <c r="I1004" s="420">
        <v>777.45</v>
      </c>
      <c r="J1004" s="420">
        <f t="shared" si="283"/>
        <v>777.45</v>
      </c>
      <c r="K1004" s="421">
        <f t="shared" si="280"/>
        <v>923.69</v>
      </c>
      <c r="L1004" s="647" t="s">
        <v>2065</v>
      </c>
      <c r="M1004" s="576"/>
      <c r="N1004" s="576">
        <f t="shared" si="284"/>
        <v>0</v>
      </c>
      <c r="O1004" s="577">
        <f t="shared" si="276"/>
        <v>0</v>
      </c>
      <c r="P1004" s="578">
        <f t="shared" si="277"/>
        <v>0</v>
      </c>
      <c r="Q1004" s="765"/>
      <c r="R1004" s="576">
        <f t="shared" si="273"/>
        <v>0</v>
      </c>
      <c r="S1004" s="576">
        <f t="shared" si="273"/>
        <v>0</v>
      </c>
      <c r="T1004" s="577">
        <f t="shared" si="274"/>
        <v>0</v>
      </c>
      <c r="U1004" s="578">
        <f t="shared" si="275"/>
        <v>0</v>
      </c>
      <c r="V1004" s="579"/>
      <c r="W1004" s="566"/>
      <c r="X1004" s="586" t="str">
        <f t="shared" si="278"/>
        <v/>
      </c>
      <c r="Y1004" s="586" t="str">
        <f t="shared" si="285"/>
        <v/>
      </c>
      <c r="Z1004" s="586" t="str">
        <f t="shared" si="282"/>
        <v/>
      </c>
    </row>
    <row r="1005" spans="1:26" ht="34.5" hidden="1" thickBot="1" x14ac:dyDescent="0.25">
      <c r="A1005" s="567">
        <v>100590</v>
      </c>
      <c r="B1005" s="644">
        <v>100590</v>
      </c>
      <c r="C1005" s="645" t="s">
        <v>670</v>
      </c>
      <c r="D1005" s="422" t="s">
        <v>853</v>
      </c>
      <c r="E1005" s="423"/>
      <c r="F1005" s="424"/>
      <c r="G1005" s="425"/>
      <c r="H1005" s="651"/>
      <c r="I1005" s="420">
        <v>843.89</v>
      </c>
      <c r="J1005" s="420">
        <f t="shared" si="283"/>
        <v>843.89</v>
      </c>
      <c r="K1005" s="421">
        <f t="shared" si="280"/>
        <v>1002.63</v>
      </c>
      <c r="L1005" s="647" t="s">
        <v>2065</v>
      </c>
      <c r="M1005" s="576"/>
      <c r="N1005" s="576">
        <f t="shared" si="284"/>
        <v>0</v>
      </c>
      <c r="O1005" s="577">
        <f t="shared" si="276"/>
        <v>0</v>
      </c>
      <c r="P1005" s="578">
        <f t="shared" si="277"/>
        <v>0</v>
      </c>
      <c r="Q1005" s="765"/>
      <c r="R1005" s="576">
        <f t="shared" si="273"/>
        <v>0</v>
      </c>
      <c r="S1005" s="576">
        <f t="shared" si="273"/>
        <v>0</v>
      </c>
      <c r="T1005" s="577">
        <f t="shared" si="274"/>
        <v>0</v>
      </c>
      <c r="U1005" s="578">
        <f t="shared" si="275"/>
        <v>0</v>
      </c>
      <c r="V1005" s="579"/>
      <c r="W1005" s="566"/>
      <c r="X1005" s="586" t="str">
        <f t="shared" si="278"/>
        <v/>
      </c>
      <c r="Y1005" s="586" t="str">
        <f t="shared" si="285"/>
        <v/>
      </c>
      <c r="Z1005" s="586" t="str">
        <f t="shared" si="282"/>
        <v/>
      </c>
    </row>
    <row r="1006" spans="1:26" ht="34.5" hidden="1" thickBot="1" x14ac:dyDescent="0.25">
      <c r="A1006" s="567">
        <v>100591</v>
      </c>
      <c r="B1006" s="644">
        <v>100591</v>
      </c>
      <c r="C1006" s="645" t="s">
        <v>670</v>
      </c>
      <c r="D1006" s="422" t="s">
        <v>854</v>
      </c>
      <c r="E1006" s="423"/>
      <c r="F1006" s="424"/>
      <c r="G1006" s="425"/>
      <c r="H1006" s="651"/>
      <c r="I1006" s="420">
        <v>774.55</v>
      </c>
      <c r="J1006" s="420">
        <f t="shared" si="283"/>
        <v>774.55</v>
      </c>
      <c r="K1006" s="421">
        <f t="shared" si="280"/>
        <v>920.24</v>
      </c>
      <c r="L1006" s="647" t="s">
        <v>2065</v>
      </c>
      <c r="M1006" s="576"/>
      <c r="N1006" s="576">
        <f t="shared" si="284"/>
        <v>0</v>
      </c>
      <c r="O1006" s="577">
        <f t="shared" si="276"/>
        <v>0</v>
      </c>
      <c r="P1006" s="578">
        <f t="shared" si="277"/>
        <v>0</v>
      </c>
      <c r="Q1006" s="765"/>
      <c r="R1006" s="576">
        <f t="shared" si="273"/>
        <v>0</v>
      </c>
      <c r="S1006" s="576">
        <f t="shared" si="273"/>
        <v>0</v>
      </c>
      <c r="T1006" s="577">
        <f t="shared" si="274"/>
        <v>0</v>
      </c>
      <c r="U1006" s="578">
        <f t="shared" si="275"/>
        <v>0</v>
      </c>
      <c r="V1006" s="579"/>
      <c r="W1006" s="566"/>
      <c r="X1006" s="586" t="str">
        <f t="shared" si="278"/>
        <v/>
      </c>
      <c r="Y1006" s="586" t="str">
        <f t="shared" si="285"/>
        <v/>
      </c>
      <c r="Z1006" s="586" t="str">
        <f t="shared" si="282"/>
        <v/>
      </c>
    </row>
    <row r="1007" spans="1:26" ht="23.25" hidden="1" thickBot="1" x14ac:dyDescent="0.25">
      <c r="A1007" s="567">
        <v>100592</v>
      </c>
      <c r="B1007" s="644">
        <v>100592</v>
      </c>
      <c r="C1007" s="645" t="s">
        <v>670</v>
      </c>
      <c r="D1007" s="422" t="s">
        <v>855</v>
      </c>
      <c r="E1007" s="423"/>
      <c r="F1007" s="424"/>
      <c r="G1007" s="425"/>
      <c r="H1007" s="651"/>
      <c r="I1007" s="420">
        <v>829.61</v>
      </c>
      <c r="J1007" s="420">
        <f t="shared" si="283"/>
        <v>829.61</v>
      </c>
      <c r="K1007" s="421">
        <f t="shared" si="280"/>
        <v>985.66</v>
      </c>
      <c r="L1007" s="647" t="s">
        <v>2065</v>
      </c>
      <c r="M1007" s="576"/>
      <c r="N1007" s="576">
        <f t="shared" si="284"/>
        <v>0</v>
      </c>
      <c r="O1007" s="577">
        <f t="shared" si="276"/>
        <v>0</v>
      </c>
      <c r="P1007" s="578">
        <f t="shared" si="277"/>
        <v>0</v>
      </c>
      <c r="Q1007" s="765"/>
      <c r="R1007" s="576">
        <f t="shared" si="273"/>
        <v>0</v>
      </c>
      <c r="S1007" s="576">
        <f t="shared" si="273"/>
        <v>0</v>
      </c>
      <c r="T1007" s="577">
        <f t="shared" si="274"/>
        <v>0</v>
      </c>
      <c r="U1007" s="578">
        <f t="shared" si="275"/>
        <v>0</v>
      </c>
      <c r="V1007" s="579"/>
      <c r="W1007" s="566"/>
      <c r="X1007" s="586" t="str">
        <f t="shared" si="278"/>
        <v/>
      </c>
      <c r="Y1007" s="586" t="str">
        <f t="shared" si="285"/>
        <v/>
      </c>
      <c r="Z1007" s="586" t="str">
        <f t="shared" si="282"/>
        <v/>
      </c>
    </row>
    <row r="1008" spans="1:26" ht="34.5" hidden="1" thickBot="1" x14ac:dyDescent="0.25">
      <c r="A1008" s="567">
        <v>100593</v>
      </c>
      <c r="B1008" s="644">
        <v>100593</v>
      </c>
      <c r="C1008" s="645" t="s">
        <v>670</v>
      </c>
      <c r="D1008" s="422" t="s">
        <v>856</v>
      </c>
      <c r="E1008" s="423"/>
      <c r="F1008" s="424"/>
      <c r="G1008" s="425"/>
      <c r="H1008" s="651"/>
      <c r="I1008" s="420">
        <v>829.57</v>
      </c>
      <c r="J1008" s="420">
        <f t="shared" si="283"/>
        <v>829.57</v>
      </c>
      <c r="K1008" s="421">
        <f t="shared" si="280"/>
        <v>985.61</v>
      </c>
      <c r="L1008" s="647" t="s">
        <v>2065</v>
      </c>
      <c r="M1008" s="576"/>
      <c r="N1008" s="576">
        <f t="shared" si="284"/>
        <v>0</v>
      </c>
      <c r="O1008" s="577">
        <f t="shared" si="276"/>
        <v>0</v>
      </c>
      <c r="P1008" s="578">
        <f t="shared" si="277"/>
        <v>0</v>
      </c>
      <c r="Q1008" s="765"/>
      <c r="R1008" s="576">
        <f t="shared" si="273"/>
        <v>0</v>
      </c>
      <c r="S1008" s="576">
        <f t="shared" si="273"/>
        <v>0</v>
      </c>
      <c r="T1008" s="577">
        <f t="shared" si="274"/>
        <v>0</v>
      </c>
      <c r="U1008" s="578">
        <f t="shared" si="275"/>
        <v>0</v>
      </c>
      <c r="V1008" s="579"/>
      <c r="W1008" s="566"/>
      <c r="X1008" s="586" t="str">
        <f t="shared" si="278"/>
        <v/>
      </c>
      <c r="Y1008" s="586" t="str">
        <f t="shared" si="285"/>
        <v/>
      </c>
      <c r="Z1008" s="586" t="str">
        <f t="shared" si="282"/>
        <v/>
      </c>
    </row>
    <row r="1009" spans="1:26" ht="23.25" hidden="1" thickBot="1" x14ac:dyDescent="0.25">
      <c r="A1009" s="567">
        <v>100594</v>
      </c>
      <c r="B1009" s="644">
        <v>100594</v>
      </c>
      <c r="C1009" s="645" t="s">
        <v>670</v>
      </c>
      <c r="D1009" s="422" t="s">
        <v>857</v>
      </c>
      <c r="E1009" s="423"/>
      <c r="F1009" s="424"/>
      <c r="G1009" s="425"/>
      <c r="H1009" s="651"/>
      <c r="I1009" s="420">
        <v>922.98</v>
      </c>
      <c r="J1009" s="420">
        <f t="shared" si="283"/>
        <v>922.98</v>
      </c>
      <c r="K1009" s="421">
        <f t="shared" si="280"/>
        <v>1096.5899999999999</v>
      </c>
      <c r="L1009" s="647" t="s">
        <v>2065</v>
      </c>
      <c r="M1009" s="576"/>
      <c r="N1009" s="576">
        <f t="shared" si="284"/>
        <v>0</v>
      </c>
      <c r="O1009" s="577">
        <f t="shared" si="276"/>
        <v>0</v>
      </c>
      <c r="P1009" s="578">
        <f t="shared" si="277"/>
        <v>0</v>
      </c>
      <c r="Q1009" s="765"/>
      <c r="R1009" s="576">
        <f t="shared" si="273"/>
        <v>0</v>
      </c>
      <c r="S1009" s="576">
        <f t="shared" si="273"/>
        <v>0</v>
      </c>
      <c r="T1009" s="577">
        <f t="shared" si="274"/>
        <v>0</v>
      </c>
      <c r="U1009" s="578">
        <f t="shared" si="275"/>
        <v>0</v>
      </c>
      <c r="V1009" s="579"/>
      <c r="W1009" s="566"/>
      <c r="X1009" s="586" t="str">
        <f t="shared" si="278"/>
        <v/>
      </c>
      <c r="Y1009" s="586" t="str">
        <f t="shared" si="285"/>
        <v/>
      </c>
      <c r="Z1009" s="586" t="str">
        <f t="shared" si="282"/>
        <v/>
      </c>
    </row>
    <row r="1010" spans="1:26" ht="34.5" hidden="1" thickBot="1" x14ac:dyDescent="0.25">
      <c r="A1010" s="567">
        <v>100595</v>
      </c>
      <c r="B1010" s="644">
        <v>100595</v>
      </c>
      <c r="C1010" s="645" t="s">
        <v>670</v>
      </c>
      <c r="D1010" s="422" t="s">
        <v>858</v>
      </c>
      <c r="E1010" s="423"/>
      <c r="F1010" s="424"/>
      <c r="G1010" s="425"/>
      <c r="H1010" s="651"/>
      <c r="I1010" s="420">
        <v>994.6</v>
      </c>
      <c r="J1010" s="420">
        <f t="shared" si="283"/>
        <v>994.6</v>
      </c>
      <c r="K1010" s="421">
        <f t="shared" si="280"/>
        <v>1181.68</v>
      </c>
      <c r="L1010" s="647" t="s">
        <v>2065</v>
      </c>
      <c r="M1010" s="576"/>
      <c r="N1010" s="576">
        <f t="shared" si="284"/>
        <v>0</v>
      </c>
      <c r="O1010" s="577">
        <f t="shared" si="276"/>
        <v>0</v>
      </c>
      <c r="P1010" s="578">
        <f t="shared" si="277"/>
        <v>0</v>
      </c>
      <c r="Q1010" s="765"/>
      <c r="R1010" s="576">
        <f t="shared" si="273"/>
        <v>0</v>
      </c>
      <c r="S1010" s="576">
        <f t="shared" si="273"/>
        <v>0</v>
      </c>
      <c r="T1010" s="577">
        <f t="shared" si="274"/>
        <v>0</v>
      </c>
      <c r="U1010" s="578">
        <f t="shared" si="275"/>
        <v>0</v>
      </c>
      <c r="V1010" s="579"/>
      <c r="W1010" s="566"/>
      <c r="X1010" s="586" t="str">
        <f t="shared" si="278"/>
        <v/>
      </c>
      <c r="Y1010" s="586" t="str">
        <f t="shared" si="285"/>
        <v/>
      </c>
      <c r="Z1010" s="586" t="str">
        <f t="shared" si="282"/>
        <v/>
      </c>
    </row>
    <row r="1011" spans="1:26" ht="23.25" hidden="1" thickBot="1" x14ac:dyDescent="0.25">
      <c r="A1011" s="567">
        <v>100596</v>
      </c>
      <c r="B1011" s="644">
        <v>100596</v>
      </c>
      <c r="C1011" s="645" t="s">
        <v>670</v>
      </c>
      <c r="D1011" s="422" t="s">
        <v>859</v>
      </c>
      <c r="E1011" s="423"/>
      <c r="F1011" s="424"/>
      <c r="G1011" s="425"/>
      <c r="H1011" s="651"/>
      <c r="I1011" s="420">
        <v>1120.68</v>
      </c>
      <c r="J1011" s="420">
        <f t="shared" si="283"/>
        <v>1120.68</v>
      </c>
      <c r="K1011" s="421">
        <f t="shared" si="280"/>
        <v>1331.48</v>
      </c>
      <c r="L1011" s="647" t="s">
        <v>2065</v>
      </c>
      <c r="M1011" s="576"/>
      <c r="N1011" s="576">
        <f t="shared" si="284"/>
        <v>0</v>
      </c>
      <c r="O1011" s="577">
        <f t="shared" si="276"/>
        <v>0</v>
      </c>
      <c r="P1011" s="578">
        <f t="shared" si="277"/>
        <v>0</v>
      </c>
      <c r="Q1011" s="765"/>
      <c r="R1011" s="576">
        <f t="shared" si="273"/>
        <v>0</v>
      </c>
      <c r="S1011" s="576">
        <f t="shared" si="273"/>
        <v>0</v>
      </c>
      <c r="T1011" s="577">
        <f t="shared" si="274"/>
        <v>0</v>
      </c>
      <c r="U1011" s="578">
        <f t="shared" si="275"/>
        <v>0</v>
      </c>
      <c r="V1011" s="579"/>
      <c r="W1011" s="566"/>
      <c r="X1011" s="586" t="str">
        <f t="shared" si="278"/>
        <v/>
      </c>
      <c r="Y1011" s="586" t="str">
        <f t="shared" si="285"/>
        <v/>
      </c>
      <c r="Z1011" s="586" t="str">
        <f t="shared" si="282"/>
        <v/>
      </c>
    </row>
    <row r="1012" spans="1:26" ht="34.5" hidden="1" thickBot="1" x14ac:dyDescent="0.25">
      <c r="A1012" s="567">
        <v>100597</v>
      </c>
      <c r="B1012" s="644">
        <v>100597</v>
      </c>
      <c r="C1012" s="645" t="s">
        <v>670</v>
      </c>
      <c r="D1012" s="422" t="s">
        <v>860</v>
      </c>
      <c r="E1012" s="423"/>
      <c r="F1012" s="424"/>
      <c r="G1012" s="425"/>
      <c r="H1012" s="651"/>
      <c r="I1012" s="420">
        <v>1147.5</v>
      </c>
      <c r="J1012" s="420">
        <f t="shared" si="283"/>
        <v>1147.5</v>
      </c>
      <c r="K1012" s="421">
        <f t="shared" si="280"/>
        <v>1363.34</v>
      </c>
      <c r="L1012" s="647" t="s">
        <v>2065</v>
      </c>
      <c r="M1012" s="576"/>
      <c r="N1012" s="576">
        <f t="shared" si="284"/>
        <v>0</v>
      </c>
      <c r="O1012" s="577">
        <f t="shared" si="276"/>
        <v>0</v>
      </c>
      <c r="P1012" s="578">
        <f t="shared" si="277"/>
        <v>0</v>
      </c>
      <c r="Q1012" s="765"/>
      <c r="R1012" s="576">
        <f t="shared" ref="R1012:S1075" si="286">M1012</f>
        <v>0</v>
      </c>
      <c r="S1012" s="576">
        <f t="shared" si="286"/>
        <v>0</v>
      </c>
      <c r="T1012" s="577">
        <f t="shared" ref="T1012:T1075" si="287">IF(ISBLANK(R1012),0,ROUND(K1012*R1012,2))</f>
        <v>0</v>
      </c>
      <c r="U1012" s="578">
        <f t="shared" ref="U1012:U1075" si="288">IF(ISBLANK(R1012),0,ROUND(R1012*S1012,2))</f>
        <v>0</v>
      </c>
      <c r="V1012" s="579"/>
      <c r="W1012" s="566"/>
      <c r="X1012" s="586" t="str">
        <f t="shared" si="278"/>
        <v/>
      </c>
      <c r="Y1012" s="586" t="str">
        <f t="shared" si="285"/>
        <v/>
      </c>
      <c r="Z1012" s="586" t="str">
        <f t="shared" si="282"/>
        <v/>
      </c>
    </row>
    <row r="1013" spans="1:26" ht="23.25" hidden="1" thickBot="1" x14ac:dyDescent="0.25">
      <c r="A1013" s="567">
        <v>100598</v>
      </c>
      <c r="B1013" s="644">
        <v>100598</v>
      </c>
      <c r="C1013" s="645" t="s">
        <v>670</v>
      </c>
      <c r="D1013" s="422" t="s">
        <v>861</v>
      </c>
      <c r="E1013" s="423"/>
      <c r="F1013" s="424"/>
      <c r="G1013" s="425"/>
      <c r="H1013" s="651"/>
      <c r="I1013" s="420">
        <v>1251.46</v>
      </c>
      <c r="J1013" s="420">
        <f t="shared" si="283"/>
        <v>1251.46</v>
      </c>
      <c r="K1013" s="421">
        <f t="shared" si="280"/>
        <v>1486.86</v>
      </c>
      <c r="L1013" s="647" t="s">
        <v>2065</v>
      </c>
      <c r="M1013" s="576"/>
      <c r="N1013" s="576">
        <f t="shared" si="284"/>
        <v>0</v>
      </c>
      <c r="O1013" s="577">
        <f t="shared" ref="O1013:O1076" si="289">IF(ISBLANK(M1013),0,ROUND(K1013*M1013,2))</f>
        <v>0</v>
      </c>
      <c r="P1013" s="578">
        <f t="shared" ref="P1013:P1076" si="290">IF(ISBLANK(N1013),0,ROUND(M1013*N1013,2))</f>
        <v>0</v>
      </c>
      <c r="Q1013" s="765"/>
      <c r="R1013" s="576">
        <f t="shared" si="286"/>
        <v>0</v>
      </c>
      <c r="S1013" s="576">
        <f t="shared" si="286"/>
        <v>0</v>
      </c>
      <c r="T1013" s="577">
        <f t="shared" si="287"/>
        <v>0</v>
      </c>
      <c r="U1013" s="578">
        <f t="shared" si="288"/>
        <v>0</v>
      </c>
      <c r="V1013" s="579"/>
      <c r="W1013" s="566"/>
      <c r="X1013" s="586" t="str">
        <f t="shared" si="278"/>
        <v/>
      </c>
      <c r="Y1013" s="586" t="str">
        <f t="shared" si="285"/>
        <v/>
      </c>
      <c r="Z1013" s="586" t="str">
        <f t="shared" si="282"/>
        <v/>
      </c>
    </row>
    <row r="1014" spans="1:26" ht="34.5" hidden="1" thickBot="1" x14ac:dyDescent="0.25">
      <c r="A1014" s="567">
        <v>100599</v>
      </c>
      <c r="B1014" s="644">
        <v>100599</v>
      </c>
      <c r="C1014" s="645" t="s">
        <v>670</v>
      </c>
      <c r="D1014" s="422" t="s">
        <v>862</v>
      </c>
      <c r="E1014" s="423"/>
      <c r="F1014" s="424"/>
      <c r="G1014" s="425"/>
      <c r="H1014" s="651"/>
      <c r="I1014" s="420">
        <v>514.44000000000005</v>
      </c>
      <c r="J1014" s="420">
        <f t="shared" si="283"/>
        <v>514.44000000000005</v>
      </c>
      <c r="K1014" s="421">
        <f t="shared" si="280"/>
        <v>611.21</v>
      </c>
      <c r="L1014" s="647" t="s">
        <v>2065</v>
      </c>
      <c r="M1014" s="576"/>
      <c r="N1014" s="576">
        <f t="shared" si="284"/>
        <v>0</v>
      </c>
      <c r="O1014" s="577">
        <f t="shared" si="289"/>
        <v>0</v>
      </c>
      <c r="P1014" s="578">
        <f t="shared" si="290"/>
        <v>0</v>
      </c>
      <c r="Q1014" s="765"/>
      <c r="R1014" s="576">
        <f t="shared" si="286"/>
        <v>0</v>
      </c>
      <c r="S1014" s="576">
        <f t="shared" si="286"/>
        <v>0</v>
      </c>
      <c r="T1014" s="577">
        <f t="shared" si="287"/>
        <v>0</v>
      </c>
      <c r="U1014" s="578">
        <f t="shared" si="288"/>
        <v>0</v>
      </c>
      <c r="V1014" s="579"/>
      <c r="W1014" s="566"/>
      <c r="X1014" s="586" t="str">
        <f t="shared" si="278"/>
        <v/>
      </c>
      <c r="Y1014" s="586" t="str">
        <f t="shared" si="285"/>
        <v/>
      </c>
      <c r="Z1014" s="586" t="str">
        <f t="shared" si="282"/>
        <v/>
      </c>
    </row>
    <row r="1015" spans="1:26" ht="34.5" hidden="1" thickBot="1" x14ac:dyDescent="0.25">
      <c r="A1015" s="567">
        <v>100600</v>
      </c>
      <c r="B1015" s="644">
        <v>100600</v>
      </c>
      <c r="C1015" s="645" t="s">
        <v>670</v>
      </c>
      <c r="D1015" s="422" t="s">
        <v>863</v>
      </c>
      <c r="E1015" s="423"/>
      <c r="F1015" s="424"/>
      <c r="G1015" s="425"/>
      <c r="H1015" s="651"/>
      <c r="I1015" s="420">
        <v>601.97</v>
      </c>
      <c r="J1015" s="420">
        <f t="shared" si="283"/>
        <v>601.97</v>
      </c>
      <c r="K1015" s="421">
        <f t="shared" si="280"/>
        <v>715.2</v>
      </c>
      <c r="L1015" s="647" t="s">
        <v>2065</v>
      </c>
      <c r="M1015" s="576"/>
      <c r="N1015" s="576">
        <f t="shared" si="284"/>
        <v>0</v>
      </c>
      <c r="O1015" s="577">
        <f t="shared" si="289"/>
        <v>0</v>
      </c>
      <c r="P1015" s="578">
        <f t="shared" si="290"/>
        <v>0</v>
      </c>
      <c r="Q1015" s="765"/>
      <c r="R1015" s="576">
        <f t="shared" si="286"/>
        <v>0</v>
      </c>
      <c r="S1015" s="576">
        <f t="shared" si="286"/>
        <v>0</v>
      </c>
      <c r="T1015" s="577">
        <f t="shared" si="287"/>
        <v>0</v>
      </c>
      <c r="U1015" s="578">
        <f t="shared" si="288"/>
        <v>0</v>
      </c>
      <c r="V1015" s="579"/>
      <c r="W1015" s="566"/>
      <c r="X1015" s="586" t="str">
        <f t="shared" si="278"/>
        <v/>
      </c>
      <c r="Y1015" s="586" t="str">
        <f t="shared" si="285"/>
        <v/>
      </c>
      <c r="Z1015" s="586" t="str">
        <f t="shared" si="282"/>
        <v/>
      </c>
    </row>
    <row r="1016" spans="1:26" ht="34.5" hidden="1" thickBot="1" x14ac:dyDescent="0.25">
      <c r="A1016" s="567">
        <v>100601</v>
      </c>
      <c r="B1016" s="644">
        <v>100601</v>
      </c>
      <c r="C1016" s="645" t="s">
        <v>670</v>
      </c>
      <c r="D1016" s="422" t="s">
        <v>864</v>
      </c>
      <c r="E1016" s="423"/>
      <c r="F1016" s="424"/>
      <c r="G1016" s="425"/>
      <c r="H1016" s="651"/>
      <c r="I1016" s="420">
        <v>748.11</v>
      </c>
      <c r="J1016" s="420">
        <f t="shared" si="283"/>
        <v>748.11</v>
      </c>
      <c r="K1016" s="421">
        <f t="shared" si="280"/>
        <v>888.83</v>
      </c>
      <c r="L1016" s="647" t="s">
        <v>2065</v>
      </c>
      <c r="M1016" s="576"/>
      <c r="N1016" s="576">
        <f t="shared" si="284"/>
        <v>0</v>
      </c>
      <c r="O1016" s="577">
        <f t="shared" si="289"/>
        <v>0</v>
      </c>
      <c r="P1016" s="578">
        <f t="shared" si="290"/>
        <v>0</v>
      </c>
      <c r="Q1016" s="765"/>
      <c r="R1016" s="576">
        <f t="shared" si="286"/>
        <v>0</v>
      </c>
      <c r="S1016" s="576">
        <f t="shared" si="286"/>
        <v>0</v>
      </c>
      <c r="T1016" s="577">
        <f t="shared" si="287"/>
        <v>0</v>
      </c>
      <c r="U1016" s="578">
        <f t="shared" si="288"/>
        <v>0</v>
      </c>
      <c r="V1016" s="579"/>
      <c r="W1016" s="566"/>
      <c r="X1016" s="586" t="str">
        <f t="shared" si="278"/>
        <v/>
      </c>
      <c r="Y1016" s="586" t="str">
        <f t="shared" si="285"/>
        <v/>
      </c>
      <c r="Z1016" s="586" t="str">
        <f t="shared" si="282"/>
        <v/>
      </c>
    </row>
    <row r="1017" spans="1:26" ht="34.5" hidden="1" thickBot="1" x14ac:dyDescent="0.25">
      <c r="A1017" s="567">
        <v>100602</v>
      </c>
      <c r="B1017" s="644">
        <v>100602</v>
      </c>
      <c r="C1017" s="645" t="s">
        <v>670</v>
      </c>
      <c r="D1017" s="422" t="s">
        <v>865</v>
      </c>
      <c r="E1017" s="423"/>
      <c r="F1017" s="424"/>
      <c r="G1017" s="425"/>
      <c r="H1017" s="651"/>
      <c r="I1017" s="420">
        <v>930.41</v>
      </c>
      <c r="J1017" s="420">
        <f t="shared" si="283"/>
        <v>930.41</v>
      </c>
      <c r="K1017" s="421">
        <f t="shared" si="280"/>
        <v>1105.42</v>
      </c>
      <c r="L1017" s="647" t="s">
        <v>2065</v>
      </c>
      <c r="M1017" s="576"/>
      <c r="N1017" s="576">
        <f t="shared" si="284"/>
        <v>0</v>
      </c>
      <c r="O1017" s="577">
        <f t="shared" si="289"/>
        <v>0</v>
      </c>
      <c r="P1017" s="578">
        <f t="shared" si="290"/>
        <v>0</v>
      </c>
      <c r="Q1017" s="765"/>
      <c r="R1017" s="576">
        <f t="shared" si="286"/>
        <v>0</v>
      </c>
      <c r="S1017" s="576">
        <f t="shared" si="286"/>
        <v>0</v>
      </c>
      <c r="T1017" s="577">
        <f t="shared" si="287"/>
        <v>0</v>
      </c>
      <c r="U1017" s="578">
        <f t="shared" si="288"/>
        <v>0</v>
      </c>
      <c r="V1017" s="579"/>
      <c r="W1017" s="566"/>
      <c r="X1017" s="586" t="str">
        <f t="shared" si="278"/>
        <v/>
      </c>
      <c r="Y1017" s="586" t="str">
        <f t="shared" si="285"/>
        <v/>
      </c>
      <c r="Z1017" s="586" t="str">
        <f t="shared" si="282"/>
        <v/>
      </c>
    </row>
    <row r="1018" spans="1:26" ht="34.5" hidden="1" thickBot="1" x14ac:dyDescent="0.25">
      <c r="A1018" s="567">
        <v>100603</v>
      </c>
      <c r="B1018" s="644">
        <v>100603</v>
      </c>
      <c r="C1018" s="645" t="s">
        <v>670</v>
      </c>
      <c r="D1018" s="422" t="s">
        <v>866</v>
      </c>
      <c r="E1018" s="423"/>
      <c r="F1018" s="424"/>
      <c r="G1018" s="425"/>
      <c r="H1018" s="651"/>
      <c r="I1018" s="420">
        <v>1400.05</v>
      </c>
      <c r="J1018" s="420">
        <f t="shared" si="283"/>
        <v>1400.05</v>
      </c>
      <c r="K1018" s="421">
        <f t="shared" si="280"/>
        <v>1663.4</v>
      </c>
      <c r="L1018" s="647" t="s">
        <v>2065</v>
      </c>
      <c r="M1018" s="576"/>
      <c r="N1018" s="576">
        <f t="shared" si="284"/>
        <v>0</v>
      </c>
      <c r="O1018" s="577">
        <f t="shared" si="289"/>
        <v>0</v>
      </c>
      <c r="P1018" s="578">
        <f t="shared" si="290"/>
        <v>0</v>
      </c>
      <c r="Q1018" s="765"/>
      <c r="R1018" s="576">
        <f t="shared" si="286"/>
        <v>0</v>
      </c>
      <c r="S1018" s="576">
        <f t="shared" si="286"/>
        <v>0</v>
      </c>
      <c r="T1018" s="577">
        <f t="shared" si="287"/>
        <v>0</v>
      </c>
      <c r="U1018" s="578">
        <f t="shared" si="288"/>
        <v>0</v>
      </c>
      <c r="V1018" s="579"/>
      <c r="W1018" s="566"/>
      <c r="X1018" s="586" t="str">
        <f t="shared" si="278"/>
        <v/>
      </c>
      <c r="Y1018" s="586" t="str">
        <f t="shared" si="285"/>
        <v/>
      </c>
      <c r="Z1018" s="586" t="str">
        <f t="shared" si="282"/>
        <v/>
      </c>
    </row>
    <row r="1019" spans="1:26" ht="34.5" hidden="1" thickBot="1" x14ac:dyDescent="0.25">
      <c r="A1019" s="567">
        <v>100604</v>
      </c>
      <c r="B1019" s="644">
        <v>100604</v>
      </c>
      <c r="C1019" s="645" t="s">
        <v>670</v>
      </c>
      <c r="D1019" s="422" t="s">
        <v>867</v>
      </c>
      <c r="E1019" s="423"/>
      <c r="F1019" s="424"/>
      <c r="G1019" s="425"/>
      <c r="H1019" s="651"/>
      <c r="I1019" s="420">
        <v>642.01</v>
      </c>
      <c r="J1019" s="420">
        <f t="shared" si="283"/>
        <v>642.01</v>
      </c>
      <c r="K1019" s="421">
        <f t="shared" si="280"/>
        <v>762.77</v>
      </c>
      <c r="L1019" s="647" t="s">
        <v>2065</v>
      </c>
      <c r="M1019" s="576"/>
      <c r="N1019" s="576">
        <f t="shared" si="284"/>
        <v>0</v>
      </c>
      <c r="O1019" s="577">
        <f t="shared" si="289"/>
        <v>0</v>
      </c>
      <c r="P1019" s="578">
        <f t="shared" si="290"/>
        <v>0</v>
      </c>
      <c r="Q1019" s="765"/>
      <c r="R1019" s="576">
        <f t="shared" si="286"/>
        <v>0</v>
      </c>
      <c r="S1019" s="576">
        <f t="shared" si="286"/>
        <v>0</v>
      </c>
      <c r="T1019" s="577">
        <f t="shared" si="287"/>
        <v>0</v>
      </c>
      <c r="U1019" s="578">
        <f t="shared" si="288"/>
        <v>0</v>
      </c>
      <c r="V1019" s="579"/>
      <c r="W1019" s="566"/>
      <c r="X1019" s="586" t="str">
        <f t="shared" si="278"/>
        <v/>
      </c>
      <c r="Y1019" s="586" t="str">
        <f t="shared" si="285"/>
        <v/>
      </c>
      <c r="Z1019" s="586" t="str">
        <f t="shared" si="282"/>
        <v/>
      </c>
    </row>
    <row r="1020" spans="1:26" ht="34.5" hidden="1" thickBot="1" x14ac:dyDescent="0.25">
      <c r="A1020" s="567">
        <v>100605</v>
      </c>
      <c r="B1020" s="644">
        <v>100605</v>
      </c>
      <c r="C1020" s="645" t="s">
        <v>670</v>
      </c>
      <c r="D1020" s="422" t="s">
        <v>868</v>
      </c>
      <c r="E1020" s="423"/>
      <c r="F1020" s="424"/>
      <c r="G1020" s="425"/>
      <c r="H1020" s="651"/>
      <c r="I1020" s="420">
        <v>979.6</v>
      </c>
      <c r="J1020" s="420">
        <f t="shared" si="283"/>
        <v>979.6</v>
      </c>
      <c r="K1020" s="421">
        <f t="shared" si="280"/>
        <v>1163.8599999999999</v>
      </c>
      <c r="L1020" s="647" t="s">
        <v>2065</v>
      </c>
      <c r="M1020" s="576"/>
      <c r="N1020" s="576">
        <f t="shared" si="284"/>
        <v>0</v>
      </c>
      <c r="O1020" s="577">
        <f t="shared" si="289"/>
        <v>0</v>
      </c>
      <c r="P1020" s="578">
        <f t="shared" si="290"/>
        <v>0</v>
      </c>
      <c r="Q1020" s="765"/>
      <c r="R1020" s="576">
        <f t="shared" si="286"/>
        <v>0</v>
      </c>
      <c r="S1020" s="576">
        <f t="shared" si="286"/>
        <v>0</v>
      </c>
      <c r="T1020" s="577">
        <f t="shared" si="287"/>
        <v>0</v>
      </c>
      <c r="U1020" s="578">
        <f t="shared" si="288"/>
        <v>0</v>
      </c>
      <c r="V1020" s="579"/>
      <c r="W1020" s="566"/>
      <c r="X1020" s="586" t="str">
        <f t="shared" si="278"/>
        <v/>
      </c>
      <c r="Y1020" s="586" t="str">
        <f t="shared" si="285"/>
        <v/>
      </c>
      <c r="Z1020" s="586" t="str">
        <f t="shared" si="282"/>
        <v/>
      </c>
    </row>
    <row r="1021" spans="1:26" ht="34.5" hidden="1" thickBot="1" x14ac:dyDescent="0.25">
      <c r="A1021" s="567">
        <v>100606</v>
      </c>
      <c r="B1021" s="644">
        <v>100606</v>
      </c>
      <c r="C1021" s="645" t="s">
        <v>670</v>
      </c>
      <c r="D1021" s="422" t="s">
        <v>869</v>
      </c>
      <c r="E1021" s="423"/>
      <c r="F1021" s="424"/>
      <c r="G1021" s="425"/>
      <c r="H1021" s="651"/>
      <c r="I1021" s="420">
        <v>1461.07</v>
      </c>
      <c r="J1021" s="420">
        <f t="shared" si="283"/>
        <v>1461.07</v>
      </c>
      <c r="K1021" s="421">
        <f t="shared" si="280"/>
        <v>1735.9</v>
      </c>
      <c r="L1021" s="647" t="s">
        <v>2065</v>
      </c>
      <c r="M1021" s="576"/>
      <c r="N1021" s="576">
        <f t="shared" si="284"/>
        <v>0</v>
      </c>
      <c r="O1021" s="577">
        <f t="shared" si="289"/>
        <v>0</v>
      </c>
      <c r="P1021" s="578">
        <f t="shared" si="290"/>
        <v>0</v>
      </c>
      <c r="Q1021" s="765"/>
      <c r="R1021" s="576">
        <f t="shared" si="286"/>
        <v>0</v>
      </c>
      <c r="S1021" s="576">
        <f t="shared" si="286"/>
        <v>0</v>
      </c>
      <c r="T1021" s="577">
        <f t="shared" si="287"/>
        <v>0</v>
      </c>
      <c r="U1021" s="578">
        <f t="shared" si="288"/>
        <v>0</v>
      </c>
      <c r="V1021" s="579"/>
      <c r="W1021" s="566"/>
      <c r="X1021" s="586" t="str">
        <f t="shared" ref="X1021:X1084" si="291">IF(W1021="X","x",IF(W1021="xx","x",IF(W1021="xy","x",IF(W1021="y","x",IF(OR(P1021&gt;0,U1021&gt;0),"x","")))))</f>
        <v/>
      </c>
      <c r="Y1021" s="586" t="str">
        <f t="shared" si="285"/>
        <v/>
      </c>
      <c r="Z1021" s="586" t="str">
        <f t="shared" si="282"/>
        <v/>
      </c>
    </row>
    <row r="1022" spans="1:26" ht="34.5" hidden="1" thickBot="1" x14ac:dyDescent="0.25">
      <c r="A1022" s="567">
        <v>100607</v>
      </c>
      <c r="B1022" s="644">
        <v>100607</v>
      </c>
      <c r="C1022" s="645" t="s">
        <v>670</v>
      </c>
      <c r="D1022" s="422" t="s">
        <v>870</v>
      </c>
      <c r="E1022" s="423"/>
      <c r="F1022" s="424"/>
      <c r="G1022" s="425"/>
      <c r="H1022" s="651"/>
      <c r="I1022" s="420">
        <v>661.2</v>
      </c>
      <c r="J1022" s="420">
        <f t="shared" si="283"/>
        <v>661.2</v>
      </c>
      <c r="K1022" s="421">
        <f t="shared" si="280"/>
        <v>785.57</v>
      </c>
      <c r="L1022" s="647" t="s">
        <v>2065</v>
      </c>
      <c r="M1022" s="576"/>
      <c r="N1022" s="576">
        <f t="shared" si="284"/>
        <v>0</v>
      </c>
      <c r="O1022" s="577">
        <f t="shared" si="289"/>
        <v>0</v>
      </c>
      <c r="P1022" s="578">
        <f t="shared" si="290"/>
        <v>0</v>
      </c>
      <c r="Q1022" s="765"/>
      <c r="R1022" s="576">
        <f t="shared" si="286"/>
        <v>0</v>
      </c>
      <c r="S1022" s="576">
        <f t="shared" si="286"/>
        <v>0</v>
      </c>
      <c r="T1022" s="577">
        <f t="shared" si="287"/>
        <v>0</v>
      </c>
      <c r="U1022" s="578">
        <f t="shared" si="288"/>
        <v>0</v>
      </c>
      <c r="V1022" s="579"/>
      <c r="W1022" s="566"/>
      <c r="X1022" s="586" t="str">
        <f t="shared" si="291"/>
        <v/>
      </c>
      <c r="Y1022" s="586" t="str">
        <f t="shared" si="285"/>
        <v/>
      </c>
      <c r="Z1022" s="586" t="str">
        <f t="shared" si="282"/>
        <v/>
      </c>
    </row>
    <row r="1023" spans="1:26" ht="34.5" hidden="1" thickBot="1" x14ac:dyDescent="0.25">
      <c r="A1023" s="567">
        <v>100608</v>
      </c>
      <c r="B1023" s="644">
        <v>100608</v>
      </c>
      <c r="C1023" s="645" t="s">
        <v>670</v>
      </c>
      <c r="D1023" s="422" t="s">
        <v>871</v>
      </c>
      <c r="E1023" s="423"/>
      <c r="F1023" s="424"/>
      <c r="G1023" s="425"/>
      <c r="H1023" s="651"/>
      <c r="I1023" s="420">
        <v>1003.86</v>
      </c>
      <c r="J1023" s="420">
        <f t="shared" si="283"/>
        <v>1003.86</v>
      </c>
      <c r="K1023" s="421">
        <f t="shared" si="280"/>
        <v>1192.69</v>
      </c>
      <c r="L1023" s="647" t="s">
        <v>2065</v>
      </c>
      <c r="M1023" s="576"/>
      <c r="N1023" s="576">
        <f t="shared" si="284"/>
        <v>0</v>
      </c>
      <c r="O1023" s="577">
        <f t="shared" si="289"/>
        <v>0</v>
      </c>
      <c r="P1023" s="578">
        <f t="shared" si="290"/>
        <v>0</v>
      </c>
      <c r="Q1023" s="765"/>
      <c r="R1023" s="576">
        <f t="shared" si="286"/>
        <v>0</v>
      </c>
      <c r="S1023" s="576">
        <f t="shared" si="286"/>
        <v>0</v>
      </c>
      <c r="T1023" s="577">
        <f t="shared" si="287"/>
        <v>0</v>
      </c>
      <c r="U1023" s="578">
        <f t="shared" si="288"/>
        <v>0</v>
      </c>
      <c r="V1023" s="579"/>
      <c r="W1023" s="566"/>
      <c r="X1023" s="586" t="str">
        <f t="shared" si="291"/>
        <v/>
      </c>
      <c r="Y1023" s="586" t="str">
        <f t="shared" si="285"/>
        <v/>
      </c>
      <c r="Z1023" s="586" t="str">
        <f t="shared" si="282"/>
        <v/>
      </c>
    </row>
    <row r="1024" spans="1:26" ht="34.5" hidden="1" thickBot="1" x14ac:dyDescent="0.25">
      <c r="A1024" s="567">
        <v>100609</v>
      </c>
      <c r="B1024" s="644">
        <v>100609</v>
      </c>
      <c r="C1024" s="645" t="s">
        <v>670</v>
      </c>
      <c r="D1024" s="422" t="s">
        <v>872</v>
      </c>
      <c r="E1024" s="423"/>
      <c r="F1024" s="424"/>
      <c r="G1024" s="425"/>
      <c r="H1024" s="651"/>
      <c r="I1024" s="420">
        <v>1493.6</v>
      </c>
      <c r="J1024" s="420">
        <f t="shared" si="283"/>
        <v>1493.6</v>
      </c>
      <c r="K1024" s="421">
        <f t="shared" si="280"/>
        <v>1774.55</v>
      </c>
      <c r="L1024" s="647" t="s">
        <v>2065</v>
      </c>
      <c r="M1024" s="576"/>
      <c r="N1024" s="576">
        <f t="shared" si="284"/>
        <v>0</v>
      </c>
      <c r="O1024" s="577">
        <f t="shared" si="289"/>
        <v>0</v>
      </c>
      <c r="P1024" s="578">
        <f t="shared" si="290"/>
        <v>0</v>
      </c>
      <c r="Q1024" s="765"/>
      <c r="R1024" s="576">
        <f t="shared" si="286"/>
        <v>0</v>
      </c>
      <c r="S1024" s="576">
        <f t="shared" si="286"/>
        <v>0</v>
      </c>
      <c r="T1024" s="577">
        <f t="shared" si="287"/>
        <v>0</v>
      </c>
      <c r="U1024" s="578">
        <f t="shared" si="288"/>
        <v>0</v>
      </c>
      <c r="V1024" s="579"/>
      <c r="W1024" s="566"/>
      <c r="X1024" s="586" t="str">
        <f t="shared" si="291"/>
        <v/>
      </c>
      <c r="Y1024" s="586" t="str">
        <f t="shared" si="285"/>
        <v/>
      </c>
      <c r="Z1024" s="586" t="str">
        <f t="shared" si="282"/>
        <v/>
      </c>
    </row>
    <row r="1025" spans="1:26" ht="34.5" hidden="1" thickBot="1" x14ac:dyDescent="0.25">
      <c r="A1025" s="567">
        <v>100610</v>
      </c>
      <c r="B1025" s="644">
        <v>100610</v>
      </c>
      <c r="C1025" s="645" t="s">
        <v>670</v>
      </c>
      <c r="D1025" s="422" t="s">
        <v>873</v>
      </c>
      <c r="E1025" s="423"/>
      <c r="F1025" s="424"/>
      <c r="G1025" s="425"/>
      <c r="H1025" s="651"/>
      <c r="I1025" s="420">
        <v>680.33</v>
      </c>
      <c r="J1025" s="420">
        <f t="shared" si="283"/>
        <v>680.33</v>
      </c>
      <c r="K1025" s="421">
        <f t="shared" si="280"/>
        <v>808.3</v>
      </c>
      <c r="L1025" s="647" t="s">
        <v>2065</v>
      </c>
      <c r="M1025" s="576"/>
      <c r="N1025" s="576">
        <f t="shared" si="284"/>
        <v>0</v>
      </c>
      <c r="O1025" s="577">
        <f t="shared" si="289"/>
        <v>0</v>
      </c>
      <c r="P1025" s="578">
        <f t="shared" si="290"/>
        <v>0</v>
      </c>
      <c r="Q1025" s="765"/>
      <c r="R1025" s="576">
        <f t="shared" si="286"/>
        <v>0</v>
      </c>
      <c r="S1025" s="576">
        <f t="shared" si="286"/>
        <v>0</v>
      </c>
      <c r="T1025" s="577">
        <f t="shared" si="287"/>
        <v>0</v>
      </c>
      <c r="U1025" s="578">
        <f t="shared" si="288"/>
        <v>0</v>
      </c>
      <c r="V1025" s="579"/>
      <c r="W1025" s="566"/>
      <c r="X1025" s="586" t="str">
        <f t="shared" si="291"/>
        <v/>
      </c>
      <c r="Y1025" s="586" t="str">
        <f t="shared" si="285"/>
        <v/>
      </c>
      <c r="Z1025" s="586" t="str">
        <f t="shared" si="282"/>
        <v/>
      </c>
    </row>
    <row r="1026" spans="1:26" ht="34.5" hidden="1" thickBot="1" x14ac:dyDescent="0.25">
      <c r="A1026" s="567">
        <v>100611</v>
      </c>
      <c r="B1026" s="644">
        <v>100611</v>
      </c>
      <c r="C1026" s="645" t="s">
        <v>670</v>
      </c>
      <c r="D1026" s="422" t="s">
        <v>874</v>
      </c>
      <c r="E1026" s="423"/>
      <c r="F1026" s="424"/>
      <c r="G1026" s="425"/>
      <c r="H1026" s="651"/>
      <c r="I1026" s="420">
        <v>834.56</v>
      </c>
      <c r="J1026" s="420">
        <f t="shared" si="283"/>
        <v>834.56</v>
      </c>
      <c r="K1026" s="421">
        <f t="shared" si="280"/>
        <v>991.54</v>
      </c>
      <c r="L1026" s="647" t="s">
        <v>2065</v>
      </c>
      <c r="M1026" s="576"/>
      <c r="N1026" s="576">
        <f t="shared" si="284"/>
        <v>0</v>
      </c>
      <c r="O1026" s="577">
        <f t="shared" si="289"/>
        <v>0</v>
      </c>
      <c r="P1026" s="578">
        <f t="shared" si="290"/>
        <v>0</v>
      </c>
      <c r="Q1026" s="765"/>
      <c r="R1026" s="576">
        <f t="shared" si="286"/>
        <v>0</v>
      </c>
      <c r="S1026" s="576">
        <f t="shared" si="286"/>
        <v>0</v>
      </c>
      <c r="T1026" s="577">
        <f t="shared" si="287"/>
        <v>0</v>
      </c>
      <c r="U1026" s="578">
        <f t="shared" si="288"/>
        <v>0</v>
      </c>
      <c r="V1026" s="579"/>
      <c r="W1026" s="566"/>
      <c r="X1026" s="586" t="str">
        <f t="shared" si="291"/>
        <v/>
      </c>
      <c r="Y1026" s="586" t="str">
        <f t="shared" si="285"/>
        <v/>
      </c>
      <c r="Z1026" s="586" t="str">
        <f t="shared" si="282"/>
        <v/>
      </c>
    </row>
    <row r="1027" spans="1:26" ht="34.5" hidden="1" thickBot="1" x14ac:dyDescent="0.25">
      <c r="A1027" s="567">
        <v>100612</v>
      </c>
      <c r="B1027" s="644">
        <v>100612</v>
      </c>
      <c r="C1027" s="645" t="s">
        <v>670</v>
      </c>
      <c r="D1027" s="422" t="s">
        <v>875</v>
      </c>
      <c r="E1027" s="423"/>
      <c r="F1027" s="424"/>
      <c r="G1027" s="425"/>
      <c r="H1027" s="651"/>
      <c r="I1027" s="420">
        <v>1027.78</v>
      </c>
      <c r="J1027" s="420">
        <f t="shared" si="283"/>
        <v>1027.78</v>
      </c>
      <c r="K1027" s="421">
        <f t="shared" si="280"/>
        <v>1221.1099999999999</v>
      </c>
      <c r="L1027" s="647" t="s">
        <v>2065</v>
      </c>
      <c r="M1027" s="576"/>
      <c r="N1027" s="576">
        <f t="shared" si="284"/>
        <v>0</v>
      </c>
      <c r="O1027" s="577">
        <f t="shared" si="289"/>
        <v>0</v>
      </c>
      <c r="P1027" s="578">
        <f t="shared" si="290"/>
        <v>0</v>
      </c>
      <c r="Q1027" s="765"/>
      <c r="R1027" s="576">
        <f t="shared" si="286"/>
        <v>0</v>
      </c>
      <c r="S1027" s="576">
        <f t="shared" si="286"/>
        <v>0</v>
      </c>
      <c r="T1027" s="577">
        <f t="shared" si="287"/>
        <v>0</v>
      </c>
      <c r="U1027" s="578">
        <f t="shared" si="288"/>
        <v>0</v>
      </c>
      <c r="V1027" s="579"/>
      <c r="W1027" s="566"/>
      <c r="X1027" s="586" t="str">
        <f t="shared" si="291"/>
        <v/>
      </c>
      <c r="Y1027" s="586" t="str">
        <f t="shared" si="285"/>
        <v/>
      </c>
      <c r="Z1027" s="586" t="str">
        <f t="shared" si="282"/>
        <v/>
      </c>
    </row>
    <row r="1028" spans="1:26" ht="34.5" hidden="1" thickBot="1" x14ac:dyDescent="0.25">
      <c r="A1028" s="567">
        <v>100613</v>
      </c>
      <c r="B1028" s="644">
        <v>100613</v>
      </c>
      <c r="C1028" s="645" t="s">
        <v>670</v>
      </c>
      <c r="D1028" s="422" t="s">
        <v>876</v>
      </c>
      <c r="E1028" s="423"/>
      <c r="F1028" s="424"/>
      <c r="G1028" s="425"/>
      <c r="H1028" s="651"/>
      <c r="I1028" s="420">
        <v>1525.46</v>
      </c>
      <c r="J1028" s="420">
        <f t="shared" si="283"/>
        <v>1525.46</v>
      </c>
      <c r="K1028" s="421">
        <f t="shared" si="280"/>
        <v>1812.4</v>
      </c>
      <c r="L1028" s="647" t="s">
        <v>2065</v>
      </c>
      <c r="M1028" s="576"/>
      <c r="N1028" s="576">
        <f t="shared" si="284"/>
        <v>0</v>
      </c>
      <c r="O1028" s="577">
        <f t="shared" si="289"/>
        <v>0</v>
      </c>
      <c r="P1028" s="578">
        <f t="shared" si="290"/>
        <v>0</v>
      </c>
      <c r="Q1028" s="765"/>
      <c r="R1028" s="576">
        <f t="shared" si="286"/>
        <v>0</v>
      </c>
      <c r="S1028" s="576">
        <f t="shared" si="286"/>
        <v>0</v>
      </c>
      <c r="T1028" s="577">
        <f t="shared" si="287"/>
        <v>0</v>
      </c>
      <c r="U1028" s="578">
        <f t="shared" si="288"/>
        <v>0</v>
      </c>
      <c r="V1028" s="579"/>
      <c r="W1028" s="566"/>
      <c r="X1028" s="586" t="str">
        <f t="shared" si="291"/>
        <v/>
      </c>
      <c r="Y1028" s="586" t="str">
        <f t="shared" si="285"/>
        <v/>
      </c>
      <c r="Z1028" s="586" t="str">
        <f t="shared" si="282"/>
        <v/>
      </c>
    </row>
    <row r="1029" spans="1:26" ht="34.5" hidden="1" thickBot="1" x14ac:dyDescent="0.25">
      <c r="A1029" s="567">
        <v>100614</v>
      </c>
      <c r="B1029" s="644">
        <v>100614</v>
      </c>
      <c r="C1029" s="645" t="s">
        <v>670</v>
      </c>
      <c r="D1029" s="422" t="s">
        <v>877</v>
      </c>
      <c r="E1029" s="423"/>
      <c r="F1029" s="424"/>
      <c r="G1029" s="425"/>
      <c r="H1029" s="651"/>
      <c r="I1029" s="420">
        <v>877.14</v>
      </c>
      <c r="J1029" s="420">
        <f t="shared" si="283"/>
        <v>877.14</v>
      </c>
      <c r="K1029" s="421">
        <f t="shared" si="280"/>
        <v>1042.1300000000001</v>
      </c>
      <c r="L1029" s="647" t="s">
        <v>2065</v>
      </c>
      <c r="M1029" s="576"/>
      <c r="N1029" s="576">
        <f t="shared" si="284"/>
        <v>0</v>
      </c>
      <c r="O1029" s="577">
        <f t="shared" si="289"/>
        <v>0</v>
      </c>
      <c r="P1029" s="578">
        <f t="shared" si="290"/>
        <v>0</v>
      </c>
      <c r="Q1029" s="765"/>
      <c r="R1029" s="576">
        <f t="shared" si="286"/>
        <v>0</v>
      </c>
      <c r="S1029" s="576">
        <f t="shared" si="286"/>
        <v>0</v>
      </c>
      <c r="T1029" s="577">
        <f t="shared" si="287"/>
        <v>0</v>
      </c>
      <c r="U1029" s="578">
        <f t="shared" si="288"/>
        <v>0</v>
      </c>
      <c r="V1029" s="579"/>
      <c r="W1029" s="566"/>
      <c r="X1029" s="586" t="str">
        <f t="shared" si="291"/>
        <v/>
      </c>
      <c r="Y1029" s="586" t="str">
        <f t="shared" si="285"/>
        <v/>
      </c>
      <c r="Z1029" s="586" t="str">
        <f t="shared" si="282"/>
        <v/>
      </c>
    </row>
    <row r="1030" spans="1:26" ht="34.5" hidden="1" thickBot="1" x14ac:dyDescent="0.25">
      <c r="A1030" s="567">
        <v>100615</v>
      </c>
      <c r="B1030" s="644">
        <v>100615</v>
      </c>
      <c r="C1030" s="645" t="s">
        <v>670</v>
      </c>
      <c r="D1030" s="422" t="s">
        <v>878</v>
      </c>
      <c r="E1030" s="423"/>
      <c r="F1030" s="424"/>
      <c r="G1030" s="425"/>
      <c r="H1030" s="651"/>
      <c r="I1030" s="420">
        <v>1075.3</v>
      </c>
      <c r="J1030" s="420">
        <f t="shared" si="283"/>
        <v>1075.3</v>
      </c>
      <c r="K1030" s="421">
        <f t="shared" si="280"/>
        <v>1277.56</v>
      </c>
      <c r="L1030" s="647" t="s">
        <v>2065</v>
      </c>
      <c r="M1030" s="576"/>
      <c r="N1030" s="576">
        <f t="shared" si="284"/>
        <v>0</v>
      </c>
      <c r="O1030" s="577">
        <f t="shared" si="289"/>
        <v>0</v>
      </c>
      <c r="P1030" s="578">
        <f t="shared" si="290"/>
        <v>0</v>
      </c>
      <c r="Q1030" s="765"/>
      <c r="R1030" s="576">
        <f t="shared" si="286"/>
        <v>0</v>
      </c>
      <c r="S1030" s="576">
        <f t="shared" si="286"/>
        <v>0</v>
      </c>
      <c r="T1030" s="577">
        <f t="shared" si="287"/>
        <v>0</v>
      </c>
      <c r="U1030" s="578">
        <f t="shared" si="288"/>
        <v>0</v>
      </c>
      <c r="V1030" s="579"/>
      <c r="W1030" s="566"/>
      <c r="X1030" s="586" t="str">
        <f t="shared" si="291"/>
        <v/>
      </c>
      <c r="Y1030" s="586" t="str">
        <f t="shared" si="285"/>
        <v/>
      </c>
      <c r="Z1030" s="586" t="str">
        <f t="shared" si="282"/>
        <v/>
      </c>
    </row>
    <row r="1031" spans="1:26" ht="34.5" hidden="1" thickBot="1" x14ac:dyDescent="0.25">
      <c r="A1031" s="567">
        <v>100616</v>
      </c>
      <c r="B1031" s="644">
        <v>100616</v>
      </c>
      <c r="C1031" s="645" t="s">
        <v>670</v>
      </c>
      <c r="D1031" s="422" t="s">
        <v>879</v>
      </c>
      <c r="E1031" s="423"/>
      <c r="F1031" s="424"/>
      <c r="G1031" s="425"/>
      <c r="H1031" s="651"/>
      <c r="I1031" s="420">
        <v>1592.3</v>
      </c>
      <c r="J1031" s="420">
        <f t="shared" si="283"/>
        <v>1592.3</v>
      </c>
      <c r="K1031" s="421">
        <f t="shared" si="280"/>
        <v>1891.81</v>
      </c>
      <c r="L1031" s="647" t="s">
        <v>2065</v>
      </c>
      <c r="M1031" s="576"/>
      <c r="N1031" s="576">
        <f t="shared" si="284"/>
        <v>0</v>
      </c>
      <c r="O1031" s="577">
        <f t="shared" si="289"/>
        <v>0</v>
      </c>
      <c r="P1031" s="578">
        <f t="shared" si="290"/>
        <v>0</v>
      </c>
      <c r="Q1031" s="765"/>
      <c r="R1031" s="576">
        <f t="shared" si="286"/>
        <v>0</v>
      </c>
      <c r="S1031" s="576">
        <f t="shared" si="286"/>
        <v>0</v>
      </c>
      <c r="T1031" s="577">
        <f t="shared" si="287"/>
        <v>0</v>
      </c>
      <c r="U1031" s="578">
        <f t="shared" si="288"/>
        <v>0</v>
      </c>
      <c r="V1031" s="579"/>
      <c r="W1031" s="566"/>
      <c r="X1031" s="586" t="str">
        <f t="shared" si="291"/>
        <v/>
      </c>
      <c r="Y1031" s="586" t="str">
        <f t="shared" si="285"/>
        <v/>
      </c>
      <c r="Z1031" s="586" t="str">
        <f t="shared" si="282"/>
        <v/>
      </c>
    </row>
    <row r="1032" spans="1:26" ht="34.5" hidden="1" thickBot="1" x14ac:dyDescent="0.25">
      <c r="A1032" s="567">
        <v>100617</v>
      </c>
      <c r="B1032" s="644">
        <v>100617</v>
      </c>
      <c r="C1032" s="645" t="s">
        <v>670</v>
      </c>
      <c r="D1032" s="422" t="s">
        <v>880</v>
      </c>
      <c r="E1032" s="423"/>
      <c r="F1032" s="424"/>
      <c r="G1032" s="425"/>
      <c r="H1032" s="651"/>
      <c r="I1032" s="420">
        <v>1122.68</v>
      </c>
      <c r="J1032" s="420">
        <f t="shared" si="283"/>
        <v>1122.68</v>
      </c>
      <c r="K1032" s="421">
        <f t="shared" si="280"/>
        <v>1333.86</v>
      </c>
      <c r="L1032" s="647" t="s">
        <v>2065</v>
      </c>
      <c r="M1032" s="576"/>
      <c r="N1032" s="576">
        <f t="shared" si="284"/>
        <v>0</v>
      </c>
      <c r="O1032" s="577">
        <f t="shared" si="289"/>
        <v>0</v>
      </c>
      <c r="P1032" s="578">
        <f t="shared" si="290"/>
        <v>0</v>
      </c>
      <c r="Q1032" s="765"/>
      <c r="R1032" s="576">
        <f t="shared" si="286"/>
        <v>0</v>
      </c>
      <c r="S1032" s="576">
        <f t="shared" si="286"/>
        <v>0</v>
      </c>
      <c r="T1032" s="577">
        <f t="shared" si="287"/>
        <v>0</v>
      </c>
      <c r="U1032" s="578">
        <f t="shared" si="288"/>
        <v>0</v>
      </c>
      <c r="V1032" s="579"/>
      <c r="W1032" s="566"/>
      <c r="X1032" s="586" t="str">
        <f t="shared" si="291"/>
        <v/>
      </c>
      <c r="Y1032" s="586" t="str">
        <f t="shared" si="285"/>
        <v/>
      </c>
      <c r="Z1032" s="586" t="str">
        <f t="shared" si="282"/>
        <v/>
      </c>
    </row>
    <row r="1033" spans="1:26" ht="34.5" hidden="1" thickBot="1" x14ac:dyDescent="0.25">
      <c r="A1033" s="567">
        <v>100618</v>
      </c>
      <c r="B1033" s="644">
        <v>100618</v>
      </c>
      <c r="C1033" s="645" t="s">
        <v>670</v>
      </c>
      <c r="D1033" s="422" t="s">
        <v>881</v>
      </c>
      <c r="E1033" s="423"/>
      <c r="F1033" s="424"/>
      <c r="G1033" s="425"/>
      <c r="H1033" s="651"/>
      <c r="I1033" s="420">
        <v>1662.73</v>
      </c>
      <c r="J1033" s="420">
        <f t="shared" si="283"/>
        <v>1662.73</v>
      </c>
      <c r="K1033" s="421">
        <f t="shared" ref="K1033:K1096" si="292">IF(ISBLANK(I1033),0,ROUND(J1033*(1+$F$10)*(1+$F$11*E1033),2))</f>
        <v>1975.49</v>
      </c>
      <c r="L1033" s="647" t="s">
        <v>2065</v>
      </c>
      <c r="M1033" s="576"/>
      <c r="N1033" s="576">
        <f t="shared" si="284"/>
        <v>0</v>
      </c>
      <c r="O1033" s="577">
        <f t="shared" si="289"/>
        <v>0</v>
      </c>
      <c r="P1033" s="578">
        <f t="shared" si="290"/>
        <v>0</v>
      </c>
      <c r="Q1033" s="765"/>
      <c r="R1033" s="576">
        <f t="shared" si="286"/>
        <v>0</v>
      </c>
      <c r="S1033" s="576">
        <f t="shared" si="286"/>
        <v>0</v>
      </c>
      <c r="T1033" s="577">
        <f t="shared" si="287"/>
        <v>0</v>
      </c>
      <c r="U1033" s="578">
        <f t="shared" si="288"/>
        <v>0</v>
      </c>
      <c r="V1033" s="579"/>
      <c r="W1033" s="566"/>
      <c r="X1033" s="586" t="str">
        <f t="shared" si="291"/>
        <v/>
      </c>
      <c r="Y1033" s="586" t="str">
        <f t="shared" si="285"/>
        <v/>
      </c>
      <c r="Z1033" s="586" t="str">
        <f t="shared" si="282"/>
        <v/>
      </c>
    </row>
    <row r="1034" spans="1:26" ht="23.25" hidden="1" thickBot="1" x14ac:dyDescent="0.25">
      <c r="A1034" s="567">
        <v>97660</v>
      </c>
      <c r="B1034" s="644">
        <v>97660</v>
      </c>
      <c r="C1034" s="645" t="s">
        <v>670</v>
      </c>
      <c r="D1034" s="422" t="s">
        <v>882</v>
      </c>
      <c r="E1034" s="423"/>
      <c r="F1034" s="424"/>
      <c r="G1034" s="425"/>
      <c r="H1034" s="651"/>
      <c r="I1034" s="420">
        <v>0.67</v>
      </c>
      <c r="J1034" s="420">
        <f t="shared" si="283"/>
        <v>0.67</v>
      </c>
      <c r="K1034" s="421">
        <f t="shared" si="292"/>
        <v>0.8</v>
      </c>
      <c r="L1034" s="647" t="s">
        <v>2065</v>
      </c>
      <c r="M1034" s="576"/>
      <c r="N1034" s="576">
        <f t="shared" si="284"/>
        <v>0</v>
      </c>
      <c r="O1034" s="577">
        <f t="shared" si="289"/>
        <v>0</v>
      </c>
      <c r="P1034" s="578">
        <f t="shared" si="290"/>
        <v>0</v>
      </c>
      <c r="Q1034" s="765"/>
      <c r="R1034" s="576">
        <f t="shared" si="286"/>
        <v>0</v>
      </c>
      <c r="S1034" s="576">
        <f t="shared" si="286"/>
        <v>0</v>
      </c>
      <c r="T1034" s="577">
        <f t="shared" si="287"/>
        <v>0</v>
      </c>
      <c r="U1034" s="578">
        <f t="shared" si="288"/>
        <v>0</v>
      </c>
      <c r="V1034" s="579"/>
      <c r="W1034" s="566"/>
      <c r="X1034" s="586" t="str">
        <f t="shared" si="291"/>
        <v/>
      </c>
      <c r="Y1034" s="586" t="str">
        <f t="shared" si="285"/>
        <v/>
      </c>
      <c r="Z1034" s="586" t="str">
        <f t="shared" si="282"/>
        <v/>
      </c>
    </row>
    <row r="1035" spans="1:26" ht="12" hidden="1" thickBot="1" x14ac:dyDescent="0.25">
      <c r="A1035" s="567">
        <v>90447</v>
      </c>
      <c r="B1035" s="644">
        <v>90447</v>
      </c>
      <c r="C1035" s="645" t="s">
        <v>670</v>
      </c>
      <c r="D1035" s="422" t="s">
        <v>883</v>
      </c>
      <c r="E1035" s="423"/>
      <c r="F1035" s="424"/>
      <c r="G1035" s="425"/>
      <c r="H1035" s="651"/>
      <c r="I1035" s="420">
        <v>6.98</v>
      </c>
      <c r="J1035" s="420">
        <f t="shared" si="283"/>
        <v>6.98</v>
      </c>
      <c r="K1035" s="421">
        <f t="shared" si="292"/>
        <v>8.2899999999999991</v>
      </c>
      <c r="L1035" s="647" t="s">
        <v>79</v>
      </c>
      <c r="M1035" s="576"/>
      <c r="N1035" s="576">
        <f t="shared" si="284"/>
        <v>0</v>
      </c>
      <c r="O1035" s="577">
        <f t="shared" si="289"/>
        <v>0</v>
      </c>
      <c r="P1035" s="578">
        <f t="shared" si="290"/>
        <v>0</v>
      </c>
      <c r="Q1035" s="765"/>
      <c r="R1035" s="576">
        <f t="shared" si="286"/>
        <v>0</v>
      </c>
      <c r="S1035" s="576">
        <f t="shared" si="286"/>
        <v>0</v>
      </c>
      <c r="T1035" s="577">
        <f t="shared" si="287"/>
        <v>0</v>
      </c>
      <c r="U1035" s="578">
        <f t="shared" si="288"/>
        <v>0</v>
      </c>
      <c r="V1035" s="579"/>
      <c r="W1035" s="566"/>
      <c r="X1035" s="586" t="str">
        <f t="shared" si="291"/>
        <v/>
      </c>
      <c r="Y1035" s="586" t="str">
        <f t="shared" si="285"/>
        <v/>
      </c>
      <c r="Z1035" s="586" t="str">
        <f t="shared" si="282"/>
        <v/>
      </c>
    </row>
    <row r="1036" spans="1:26" ht="12" hidden="1" thickBot="1" x14ac:dyDescent="0.25">
      <c r="A1036" s="567">
        <v>90456</v>
      </c>
      <c r="B1036" s="644">
        <v>90456</v>
      </c>
      <c r="C1036" s="645" t="s">
        <v>670</v>
      </c>
      <c r="D1036" s="422" t="s">
        <v>884</v>
      </c>
      <c r="E1036" s="423"/>
      <c r="F1036" s="424"/>
      <c r="G1036" s="425"/>
      <c r="H1036" s="651"/>
      <c r="I1036" s="420">
        <v>4.51</v>
      </c>
      <c r="J1036" s="420">
        <f t="shared" si="283"/>
        <v>4.51</v>
      </c>
      <c r="K1036" s="421">
        <f t="shared" si="292"/>
        <v>5.36</v>
      </c>
      <c r="L1036" s="647" t="s">
        <v>2065</v>
      </c>
      <c r="M1036" s="576"/>
      <c r="N1036" s="576">
        <f t="shared" si="284"/>
        <v>0</v>
      </c>
      <c r="O1036" s="577">
        <f t="shared" si="289"/>
        <v>0</v>
      </c>
      <c r="P1036" s="578">
        <f t="shared" si="290"/>
        <v>0</v>
      </c>
      <c r="Q1036" s="765"/>
      <c r="R1036" s="576">
        <f t="shared" si="286"/>
        <v>0</v>
      </c>
      <c r="S1036" s="576">
        <f t="shared" si="286"/>
        <v>0</v>
      </c>
      <c r="T1036" s="577">
        <f t="shared" si="287"/>
        <v>0</v>
      </c>
      <c r="U1036" s="578">
        <f t="shared" si="288"/>
        <v>0</v>
      </c>
      <c r="V1036" s="579"/>
      <c r="W1036" s="566"/>
      <c r="X1036" s="586" t="str">
        <f t="shared" si="291"/>
        <v/>
      </c>
      <c r="Y1036" s="586" t="str">
        <f t="shared" si="285"/>
        <v/>
      </c>
      <c r="Z1036" s="586" t="str">
        <f t="shared" si="282"/>
        <v/>
      </c>
    </row>
    <row r="1037" spans="1:26" ht="23.25" hidden="1" thickBot="1" x14ac:dyDescent="0.25">
      <c r="A1037" s="567">
        <v>90457</v>
      </c>
      <c r="B1037" s="644">
        <v>90457</v>
      </c>
      <c r="C1037" s="645" t="s">
        <v>670</v>
      </c>
      <c r="D1037" s="422" t="s">
        <v>885</v>
      </c>
      <c r="E1037" s="423"/>
      <c r="F1037" s="424"/>
      <c r="G1037" s="425"/>
      <c r="H1037" s="651"/>
      <c r="I1037" s="420">
        <v>10.28</v>
      </c>
      <c r="J1037" s="420">
        <f t="shared" si="283"/>
        <v>10.28</v>
      </c>
      <c r="K1037" s="421">
        <f t="shared" si="292"/>
        <v>12.21</v>
      </c>
      <c r="L1037" s="647" t="s">
        <v>2065</v>
      </c>
      <c r="M1037" s="576"/>
      <c r="N1037" s="576">
        <f t="shared" si="284"/>
        <v>0</v>
      </c>
      <c r="O1037" s="577">
        <f t="shared" si="289"/>
        <v>0</v>
      </c>
      <c r="P1037" s="578">
        <f t="shared" si="290"/>
        <v>0</v>
      </c>
      <c r="Q1037" s="765"/>
      <c r="R1037" s="576">
        <f t="shared" si="286"/>
        <v>0</v>
      </c>
      <c r="S1037" s="576">
        <f t="shared" si="286"/>
        <v>0</v>
      </c>
      <c r="T1037" s="577">
        <f t="shared" si="287"/>
        <v>0</v>
      </c>
      <c r="U1037" s="578">
        <f t="shared" si="288"/>
        <v>0</v>
      </c>
      <c r="V1037" s="579"/>
      <c r="W1037" s="566"/>
      <c r="X1037" s="586" t="str">
        <f t="shared" si="291"/>
        <v/>
      </c>
      <c r="Y1037" s="586" t="str">
        <f t="shared" si="285"/>
        <v/>
      </c>
      <c r="Z1037" s="586" t="str">
        <f t="shared" si="282"/>
        <v/>
      </c>
    </row>
    <row r="1038" spans="1:26" ht="12" hidden="1" thickBot="1" x14ac:dyDescent="0.25">
      <c r="A1038" s="567">
        <v>90458</v>
      </c>
      <c r="B1038" s="644">
        <v>90458</v>
      </c>
      <c r="C1038" s="645" t="s">
        <v>670</v>
      </c>
      <c r="D1038" s="422" t="s">
        <v>886</v>
      </c>
      <c r="E1038" s="423"/>
      <c r="F1038" s="424"/>
      <c r="G1038" s="425"/>
      <c r="H1038" s="651"/>
      <c r="I1038" s="420">
        <v>29.17</v>
      </c>
      <c r="J1038" s="420">
        <f t="shared" si="283"/>
        <v>29.17</v>
      </c>
      <c r="K1038" s="421">
        <f t="shared" si="292"/>
        <v>34.659999999999997</v>
      </c>
      <c r="L1038" s="647" t="s">
        <v>2065</v>
      </c>
      <c r="M1038" s="576"/>
      <c r="N1038" s="576">
        <f t="shared" si="284"/>
        <v>0</v>
      </c>
      <c r="O1038" s="577">
        <f t="shared" si="289"/>
        <v>0</v>
      </c>
      <c r="P1038" s="578">
        <f t="shared" si="290"/>
        <v>0</v>
      </c>
      <c r="Q1038" s="765"/>
      <c r="R1038" s="576">
        <f t="shared" si="286"/>
        <v>0</v>
      </c>
      <c r="S1038" s="576">
        <f t="shared" si="286"/>
        <v>0</v>
      </c>
      <c r="T1038" s="577">
        <f t="shared" si="287"/>
        <v>0</v>
      </c>
      <c r="U1038" s="578">
        <f t="shared" si="288"/>
        <v>0</v>
      </c>
      <c r="V1038" s="579"/>
      <c r="W1038" s="566"/>
      <c r="X1038" s="586" t="str">
        <f t="shared" si="291"/>
        <v/>
      </c>
      <c r="Y1038" s="586" t="str">
        <f t="shared" si="285"/>
        <v/>
      </c>
      <c r="Z1038" s="586" t="str">
        <f t="shared" si="282"/>
        <v/>
      </c>
    </row>
    <row r="1039" spans="1:26" ht="23.25" hidden="1" thickBot="1" x14ac:dyDescent="0.25">
      <c r="A1039" s="567">
        <v>101938</v>
      </c>
      <c r="B1039" s="644">
        <v>101938</v>
      </c>
      <c r="C1039" s="645" t="s">
        <v>670</v>
      </c>
      <c r="D1039" s="422" t="s">
        <v>887</v>
      </c>
      <c r="E1039" s="423"/>
      <c r="F1039" s="424"/>
      <c r="G1039" s="425"/>
      <c r="H1039" s="651"/>
      <c r="I1039" s="420">
        <v>118.7</v>
      </c>
      <c r="J1039" s="420">
        <f t="shared" si="283"/>
        <v>118.7</v>
      </c>
      <c r="K1039" s="421">
        <f t="shared" si="292"/>
        <v>141.03</v>
      </c>
      <c r="L1039" s="647" t="s">
        <v>2065</v>
      </c>
      <c r="M1039" s="576"/>
      <c r="N1039" s="576">
        <f t="shared" si="284"/>
        <v>0</v>
      </c>
      <c r="O1039" s="577">
        <f t="shared" si="289"/>
        <v>0</v>
      </c>
      <c r="P1039" s="578">
        <f t="shared" si="290"/>
        <v>0</v>
      </c>
      <c r="Q1039" s="765"/>
      <c r="R1039" s="576">
        <f t="shared" si="286"/>
        <v>0</v>
      </c>
      <c r="S1039" s="576">
        <f t="shared" si="286"/>
        <v>0</v>
      </c>
      <c r="T1039" s="577">
        <f t="shared" si="287"/>
        <v>0</v>
      </c>
      <c r="U1039" s="578">
        <f t="shared" si="288"/>
        <v>0</v>
      </c>
      <c r="V1039" s="579"/>
      <c r="W1039" s="566"/>
      <c r="X1039" s="586" t="str">
        <f t="shared" si="291"/>
        <v/>
      </c>
      <c r="Y1039" s="586" t="str">
        <f t="shared" si="285"/>
        <v/>
      </c>
      <c r="Z1039" s="586" t="str">
        <f t="shared" si="282"/>
        <v/>
      </c>
    </row>
    <row r="1040" spans="1:26" ht="23.25" hidden="1" thickBot="1" x14ac:dyDescent="0.25">
      <c r="A1040" s="567">
        <v>101489</v>
      </c>
      <c r="B1040" s="644">
        <v>101489</v>
      </c>
      <c r="C1040" s="645" t="s">
        <v>670</v>
      </c>
      <c r="D1040" s="422" t="s">
        <v>888</v>
      </c>
      <c r="E1040" s="423"/>
      <c r="F1040" s="424"/>
      <c r="G1040" s="425"/>
      <c r="H1040" s="651"/>
      <c r="I1040" s="420">
        <v>1458.09</v>
      </c>
      <c r="J1040" s="420">
        <f t="shared" si="283"/>
        <v>1458.09</v>
      </c>
      <c r="K1040" s="421">
        <f t="shared" si="292"/>
        <v>1732.36</v>
      </c>
      <c r="L1040" s="647" t="s">
        <v>2065</v>
      </c>
      <c r="M1040" s="576"/>
      <c r="N1040" s="576">
        <f t="shared" si="284"/>
        <v>0</v>
      </c>
      <c r="O1040" s="577">
        <f t="shared" si="289"/>
        <v>0</v>
      </c>
      <c r="P1040" s="578">
        <f t="shared" si="290"/>
        <v>0</v>
      </c>
      <c r="Q1040" s="765"/>
      <c r="R1040" s="576">
        <f t="shared" si="286"/>
        <v>0</v>
      </c>
      <c r="S1040" s="576">
        <f t="shared" si="286"/>
        <v>0</v>
      </c>
      <c r="T1040" s="577">
        <f t="shared" si="287"/>
        <v>0</v>
      </c>
      <c r="U1040" s="578">
        <f t="shared" si="288"/>
        <v>0</v>
      </c>
      <c r="V1040" s="579"/>
      <c r="W1040" s="566"/>
      <c r="X1040" s="586" t="str">
        <f t="shared" si="291"/>
        <v/>
      </c>
      <c r="Y1040" s="586" t="str">
        <f t="shared" si="285"/>
        <v/>
      </c>
      <c r="Z1040" s="586" t="str">
        <f t="shared" si="282"/>
        <v/>
      </c>
    </row>
    <row r="1041" spans="1:26" ht="23.25" hidden="1" thickBot="1" x14ac:dyDescent="0.25">
      <c r="A1041" s="567">
        <v>101490</v>
      </c>
      <c r="B1041" s="644">
        <v>101490</v>
      </c>
      <c r="C1041" s="645" t="s">
        <v>670</v>
      </c>
      <c r="D1041" s="422" t="s">
        <v>889</v>
      </c>
      <c r="E1041" s="423"/>
      <c r="F1041" s="424"/>
      <c r="G1041" s="425"/>
      <c r="H1041" s="651"/>
      <c r="I1041" s="420">
        <v>1550.71</v>
      </c>
      <c r="J1041" s="420">
        <f t="shared" si="283"/>
        <v>1550.71</v>
      </c>
      <c r="K1041" s="421">
        <f t="shared" si="292"/>
        <v>1842.4</v>
      </c>
      <c r="L1041" s="647" t="s">
        <v>2065</v>
      </c>
      <c r="M1041" s="576"/>
      <c r="N1041" s="576">
        <f t="shared" si="284"/>
        <v>0</v>
      </c>
      <c r="O1041" s="577">
        <f t="shared" si="289"/>
        <v>0</v>
      </c>
      <c r="P1041" s="578">
        <f t="shared" si="290"/>
        <v>0</v>
      </c>
      <c r="Q1041" s="765"/>
      <c r="R1041" s="576">
        <f t="shared" si="286"/>
        <v>0</v>
      </c>
      <c r="S1041" s="576">
        <f t="shared" si="286"/>
        <v>0</v>
      </c>
      <c r="T1041" s="577">
        <f t="shared" si="287"/>
        <v>0</v>
      </c>
      <c r="U1041" s="578">
        <f t="shared" si="288"/>
        <v>0</v>
      </c>
      <c r="V1041" s="579"/>
      <c r="W1041" s="566"/>
      <c r="X1041" s="586" t="str">
        <f t="shared" si="291"/>
        <v/>
      </c>
      <c r="Y1041" s="586" t="str">
        <f t="shared" si="285"/>
        <v/>
      </c>
      <c r="Z1041" s="586" t="str">
        <f t="shared" si="282"/>
        <v/>
      </c>
    </row>
    <row r="1042" spans="1:26" ht="23.25" hidden="1" thickBot="1" x14ac:dyDescent="0.25">
      <c r="A1042" s="567">
        <v>101491</v>
      </c>
      <c r="B1042" s="644">
        <v>101491</v>
      </c>
      <c r="C1042" s="645" t="s">
        <v>670</v>
      </c>
      <c r="D1042" s="422" t="s">
        <v>890</v>
      </c>
      <c r="E1042" s="423"/>
      <c r="F1042" s="424"/>
      <c r="G1042" s="425"/>
      <c r="H1042" s="651"/>
      <c r="I1042" s="420">
        <v>1580.41</v>
      </c>
      <c r="J1042" s="420">
        <f t="shared" si="283"/>
        <v>1580.41</v>
      </c>
      <c r="K1042" s="421">
        <f t="shared" si="292"/>
        <v>1877.69</v>
      </c>
      <c r="L1042" s="647" t="s">
        <v>2065</v>
      </c>
      <c r="M1042" s="576"/>
      <c r="N1042" s="576">
        <f t="shared" si="284"/>
        <v>0</v>
      </c>
      <c r="O1042" s="577">
        <f t="shared" si="289"/>
        <v>0</v>
      </c>
      <c r="P1042" s="578">
        <f t="shared" si="290"/>
        <v>0</v>
      </c>
      <c r="Q1042" s="765"/>
      <c r="R1042" s="576">
        <f t="shared" si="286"/>
        <v>0</v>
      </c>
      <c r="S1042" s="576">
        <f t="shared" si="286"/>
        <v>0</v>
      </c>
      <c r="T1042" s="577">
        <f t="shared" si="287"/>
        <v>0</v>
      </c>
      <c r="U1042" s="578">
        <f t="shared" si="288"/>
        <v>0</v>
      </c>
      <c r="V1042" s="579"/>
      <c r="W1042" s="566"/>
      <c r="X1042" s="586" t="str">
        <f t="shared" si="291"/>
        <v/>
      </c>
      <c r="Y1042" s="586" t="str">
        <f t="shared" si="285"/>
        <v/>
      </c>
      <c r="Z1042" s="586" t="str">
        <f t="shared" si="282"/>
        <v/>
      </c>
    </row>
    <row r="1043" spans="1:26" ht="23.25" hidden="1" thickBot="1" x14ac:dyDescent="0.25">
      <c r="A1043" s="567">
        <v>101492</v>
      </c>
      <c r="B1043" s="644">
        <v>101492</v>
      </c>
      <c r="C1043" s="645" t="s">
        <v>670</v>
      </c>
      <c r="D1043" s="422" t="s">
        <v>891</v>
      </c>
      <c r="E1043" s="423"/>
      <c r="F1043" s="424"/>
      <c r="G1043" s="425"/>
      <c r="H1043" s="651"/>
      <c r="I1043" s="420">
        <v>1720.47</v>
      </c>
      <c r="J1043" s="420">
        <f t="shared" ref="J1043:J1106" si="293">IF(ISBLANK(I1043),"",SUM(H1043:I1043))</f>
        <v>1720.47</v>
      </c>
      <c r="K1043" s="421">
        <f t="shared" si="292"/>
        <v>2044.09</v>
      </c>
      <c r="L1043" s="647" t="s">
        <v>2065</v>
      </c>
      <c r="M1043" s="576"/>
      <c r="N1043" s="576">
        <f t="shared" si="284"/>
        <v>0</v>
      </c>
      <c r="O1043" s="577">
        <f t="shared" si="289"/>
        <v>0</v>
      </c>
      <c r="P1043" s="578">
        <f t="shared" si="290"/>
        <v>0</v>
      </c>
      <c r="Q1043" s="765"/>
      <c r="R1043" s="576">
        <f t="shared" si="286"/>
        <v>0</v>
      </c>
      <c r="S1043" s="576">
        <f t="shared" si="286"/>
        <v>0</v>
      </c>
      <c r="T1043" s="577">
        <f t="shared" si="287"/>
        <v>0</v>
      </c>
      <c r="U1043" s="578">
        <f t="shared" si="288"/>
        <v>0</v>
      </c>
      <c r="V1043" s="579"/>
      <c r="W1043" s="566"/>
      <c r="X1043" s="586" t="str">
        <f t="shared" si="291"/>
        <v/>
      </c>
      <c r="Y1043" s="586" t="str">
        <f t="shared" si="285"/>
        <v/>
      </c>
      <c r="Z1043" s="586" t="str">
        <f t="shared" ref="Z1043:Z1106" si="294">IF(W1043="X","x",IF(U1043&gt;0,"x",""))</f>
        <v/>
      </c>
    </row>
    <row r="1044" spans="1:26" ht="23.25" hidden="1" thickBot="1" x14ac:dyDescent="0.25">
      <c r="A1044" s="567">
        <v>101493</v>
      </c>
      <c r="B1044" s="644">
        <v>101493</v>
      </c>
      <c r="C1044" s="645" t="s">
        <v>670</v>
      </c>
      <c r="D1044" s="422" t="s">
        <v>892</v>
      </c>
      <c r="E1044" s="423"/>
      <c r="F1044" s="424"/>
      <c r="G1044" s="425"/>
      <c r="H1044" s="651"/>
      <c r="I1044" s="420">
        <v>1441.18</v>
      </c>
      <c r="J1044" s="420">
        <f t="shared" si="293"/>
        <v>1441.18</v>
      </c>
      <c r="K1044" s="421">
        <f t="shared" si="292"/>
        <v>1712.27</v>
      </c>
      <c r="L1044" s="647" t="s">
        <v>2065</v>
      </c>
      <c r="M1044" s="576"/>
      <c r="N1044" s="576">
        <f t="shared" ref="N1044:N1107" si="295">IF(M1044=0,0,K1044)</f>
        <v>0</v>
      </c>
      <c r="O1044" s="577">
        <f t="shared" si="289"/>
        <v>0</v>
      </c>
      <c r="P1044" s="578">
        <f t="shared" si="290"/>
        <v>0</v>
      </c>
      <c r="Q1044" s="765"/>
      <c r="R1044" s="576">
        <f t="shared" si="286"/>
        <v>0</v>
      </c>
      <c r="S1044" s="576">
        <f t="shared" si="286"/>
        <v>0</v>
      </c>
      <c r="T1044" s="577">
        <f t="shared" si="287"/>
        <v>0</v>
      </c>
      <c r="U1044" s="578">
        <f t="shared" si="288"/>
        <v>0</v>
      </c>
      <c r="V1044" s="579"/>
      <c r="W1044" s="566"/>
      <c r="X1044" s="586" t="str">
        <f t="shared" si="291"/>
        <v/>
      </c>
      <c r="Y1044" s="586" t="str">
        <f t="shared" si="285"/>
        <v/>
      </c>
      <c r="Z1044" s="586" t="str">
        <f t="shared" si="294"/>
        <v/>
      </c>
    </row>
    <row r="1045" spans="1:26" ht="23.25" hidden="1" thickBot="1" x14ac:dyDescent="0.25">
      <c r="A1045" s="567">
        <v>101494</v>
      </c>
      <c r="B1045" s="644">
        <v>101494</v>
      </c>
      <c r="C1045" s="645" t="s">
        <v>670</v>
      </c>
      <c r="D1045" s="422" t="s">
        <v>893</v>
      </c>
      <c r="E1045" s="423"/>
      <c r="F1045" s="424"/>
      <c r="G1045" s="425"/>
      <c r="H1045" s="651"/>
      <c r="I1045" s="420">
        <v>1533.8</v>
      </c>
      <c r="J1045" s="420">
        <f t="shared" si="293"/>
        <v>1533.8</v>
      </c>
      <c r="K1045" s="421">
        <f t="shared" si="292"/>
        <v>1822.31</v>
      </c>
      <c r="L1045" s="647" t="s">
        <v>2065</v>
      </c>
      <c r="M1045" s="576"/>
      <c r="N1045" s="576">
        <f t="shared" si="295"/>
        <v>0</v>
      </c>
      <c r="O1045" s="577">
        <f t="shared" si="289"/>
        <v>0</v>
      </c>
      <c r="P1045" s="578">
        <f t="shared" si="290"/>
        <v>0</v>
      </c>
      <c r="Q1045" s="765"/>
      <c r="R1045" s="576">
        <f t="shared" si="286"/>
        <v>0</v>
      </c>
      <c r="S1045" s="576">
        <f t="shared" si="286"/>
        <v>0</v>
      </c>
      <c r="T1045" s="577">
        <f t="shared" si="287"/>
        <v>0</v>
      </c>
      <c r="U1045" s="578">
        <f t="shared" si="288"/>
        <v>0</v>
      </c>
      <c r="V1045" s="579"/>
      <c r="W1045" s="566"/>
      <c r="X1045" s="586" t="str">
        <f t="shared" si="291"/>
        <v/>
      </c>
      <c r="Y1045" s="586" t="str">
        <f t="shared" si="285"/>
        <v/>
      </c>
      <c r="Z1045" s="586" t="str">
        <f t="shared" si="294"/>
        <v/>
      </c>
    </row>
    <row r="1046" spans="1:26" ht="23.25" hidden="1" thickBot="1" x14ac:dyDescent="0.25">
      <c r="A1046" s="567">
        <v>101495</v>
      </c>
      <c r="B1046" s="644">
        <v>101495</v>
      </c>
      <c r="C1046" s="645" t="s">
        <v>670</v>
      </c>
      <c r="D1046" s="422" t="s">
        <v>894</v>
      </c>
      <c r="E1046" s="423"/>
      <c r="F1046" s="424"/>
      <c r="G1046" s="425"/>
      <c r="H1046" s="651"/>
      <c r="I1046" s="420">
        <v>1563.5</v>
      </c>
      <c r="J1046" s="420">
        <f t="shared" si="293"/>
        <v>1563.5</v>
      </c>
      <c r="K1046" s="421">
        <f t="shared" si="292"/>
        <v>1857.59</v>
      </c>
      <c r="L1046" s="647" t="s">
        <v>2065</v>
      </c>
      <c r="M1046" s="576"/>
      <c r="N1046" s="576">
        <f t="shared" si="295"/>
        <v>0</v>
      </c>
      <c r="O1046" s="577">
        <f t="shared" si="289"/>
        <v>0</v>
      </c>
      <c r="P1046" s="578">
        <f t="shared" si="290"/>
        <v>0</v>
      </c>
      <c r="Q1046" s="765"/>
      <c r="R1046" s="576">
        <f t="shared" si="286"/>
        <v>0</v>
      </c>
      <c r="S1046" s="576">
        <f t="shared" si="286"/>
        <v>0</v>
      </c>
      <c r="T1046" s="577">
        <f t="shared" si="287"/>
        <v>0</v>
      </c>
      <c r="U1046" s="578">
        <f t="shared" si="288"/>
        <v>0</v>
      </c>
      <c r="V1046" s="579"/>
      <c r="W1046" s="566"/>
      <c r="X1046" s="586" t="str">
        <f t="shared" si="291"/>
        <v/>
      </c>
      <c r="Y1046" s="586" t="str">
        <f t="shared" si="285"/>
        <v/>
      </c>
      <c r="Z1046" s="586" t="str">
        <f t="shared" si="294"/>
        <v/>
      </c>
    </row>
    <row r="1047" spans="1:26" ht="23.25" hidden="1" thickBot="1" x14ac:dyDescent="0.25">
      <c r="A1047" s="567">
        <v>101496</v>
      </c>
      <c r="B1047" s="644">
        <v>101496</v>
      </c>
      <c r="C1047" s="645" t="s">
        <v>670</v>
      </c>
      <c r="D1047" s="422" t="s">
        <v>895</v>
      </c>
      <c r="E1047" s="423"/>
      <c r="F1047" s="424"/>
      <c r="G1047" s="425"/>
      <c r="H1047" s="651"/>
      <c r="I1047" s="420">
        <v>1703.56</v>
      </c>
      <c r="J1047" s="420">
        <f t="shared" si="293"/>
        <v>1703.56</v>
      </c>
      <c r="K1047" s="421">
        <f t="shared" si="292"/>
        <v>2024</v>
      </c>
      <c r="L1047" s="647" t="s">
        <v>2065</v>
      </c>
      <c r="M1047" s="576"/>
      <c r="N1047" s="576">
        <f t="shared" si="295"/>
        <v>0</v>
      </c>
      <c r="O1047" s="577">
        <f t="shared" si="289"/>
        <v>0</v>
      </c>
      <c r="P1047" s="578">
        <f t="shared" si="290"/>
        <v>0</v>
      </c>
      <c r="Q1047" s="765"/>
      <c r="R1047" s="576">
        <f t="shared" si="286"/>
        <v>0</v>
      </c>
      <c r="S1047" s="576">
        <f t="shared" si="286"/>
        <v>0</v>
      </c>
      <c r="T1047" s="577">
        <f t="shared" si="287"/>
        <v>0</v>
      </c>
      <c r="U1047" s="578">
        <f t="shared" si="288"/>
        <v>0</v>
      </c>
      <c r="V1047" s="579"/>
      <c r="W1047" s="566"/>
      <c r="X1047" s="586" t="str">
        <f t="shared" si="291"/>
        <v/>
      </c>
      <c r="Y1047" s="586" t="str">
        <f t="shared" si="285"/>
        <v/>
      </c>
      <c r="Z1047" s="586" t="str">
        <f t="shared" si="294"/>
        <v/>
      </c>
    </row>
    <row r="1048" spans="1:26" ht="23.25" hidden="1" thickBot="1" x14ac:dyDescent="0.25">
      <c r="A1048" s="567">
        <v>101497</v>
      </c>
      <c r="B1048" s="644">
        <v>101497</v>
      </c>
      <c r="C1048" s="645" t="s">
        <v>670</v>
      </c>
      <c r="D1048" s="422" t="s">
        <v>896</v>
      </c>
      <c r="E1048" s="423"/>
      <c r="F1048" s="424"/>
      <c r="G1048" s="425"/>
      <c r="H1048" s="651"/>
      <c r="I1048" s="420">
        <v>1733.98</v>
      </c>
      <c r="J1048" s="420">
        <f t="shared" si="293"/>
        <v>1733.98</v>
      </c>
      <c r="K1048" s="421">
        <f t="shared" si="292"/>
        <v>2060.14</v>
      </c>
      <c r="L1048" s="647" t="s">
        <v>2065</v>
      </c>
      <c r="M1048" s="576"/>
      <c r="N1048" s="576">
        <f t="shared" si="295"/>
        <v>0</v>
      </c>
      <c r="O1048" s="577">
        <f t="shared" si="289"/>
        <v>0</v>
      </c>
      <c r="P1048" s="578">
        <f t="shared" si="290"/>
        <v>0</v>
      </c>
      <c r="Q1048" s="765"/>
      <c r="R1048" s="576">
        <f t="shared" si="286"/>
        <v>0</v>
      </c>
      <c r="S1048" s="576">
        <f t="shared" si="286"/>
        <v>0</v>
      </c>
      <c r="T1048" s="577">
        <f t="shared" si="287"/>
        <v>0</v>
      </c>
      <c r="U1048" s="578">
        <f t="shared" si="288"/>
        <v>0</v>
      </c>
      <c r="V1048" s="579"/>
      <c r="W1048" s="566"/>
      <c r="X1048" s="586" t="str">
        <f t="shared" si="291"/>
        <v/>
      </c>
      <c r="Y1048" s="586" t="str">
        <f t="shared" si="285"/>
        <v/>
      </c>
      <c r="Z1048" s="586" t="str">
        <f t="shared" si="294"/>
        <v/>
      </c>
    </row>
    <row r="1049" spans="1:26" ht="23.25" hidden="1" thickBot="1" x14ac:dyDescent="0.25">
      <c r="A1049" s="567">
        <v>101498</v>
      </c>
      <c r="B1049" s="644">
        <v>101498</v>
      </c>
      <c r="C1049" s="645" t="s">
        <v>670</v>
      </c>
      <c r="D1049" s="422" t="s">
        <v>897</v>
      </c>
      <c r="E1049" s="423"/>
      <c r="F1049" s="424"/>
      <c r="G1049" s="425"/>
      <c r="H1049" s="651"/>
      <c r="I1049" s="420">
        <v>1874.17</v>
      </c>
      <c r="J1049" s="420">
        <f t="shared" si="293"/>
        <v>1874.17</v>
      </c>
      <c r="K1049" s="421">
        <f t="shared" si="292"/>
        <v>2226.6999999999998</v>
      </c>
      <c r="L1049" s="647" t="s">
        <v>2065</v>
      </c>
      <c r="M1049" s="576"/>
      <c r="N1049" s="576">
        <f t="shared" si="295"/>
        <v>0</v>
      </c>
      <c r="O1049" s="577">
        <f t="shared" si="289"/>
        <v>0</v>
      </c>
      <c r="P1049" s="578">
        <f t="shared" si="290"/>
        <v>0</v>
      </c>
      <c r="Q1049" s="765"/>
      <c r="R1049" s="576">
        <f t="shared" si="286"/>
        <v>0</v>
      </c>
      <c r="S1049" s="576">
        <f t="shared" si="286"/>
        <v>0</v>
      </c>
      <c r="T1049" s="577">
        <f t="shared" si="287"/>
        <v>0</v>
      </c>
      <c r="U1049" s="578">
        <f t="shared" si="288"/>
        <v>0</v>
      </c>
      <c r="V1049" s="579"/>
      <c r="W1049" s="566"/>
      <c r="X1049" s="586" t="str">
        <f t="shared" si="291"/>
        <v/>
      </c>
      <c r="Y1049" s="586" t="str">
        <f t="shared" si="285"/>
        <v/>
      </c>
      <c r="Z1049" s="586" t="str">
        <f t="shared" si="294"/>
        <v/>
      </c>
    </row>
    <row r="1050" spans="1:26" ht="23.25" hidden="1" thickBot="1" x14ac:dyDescent="0.25">
      <c r="A1050" s="567">
        <v>101499</v>
      </c>
      <c r="B1050" s="644">
        <v>101499</v>
      </c>
      <c r="C1050" s="645" t="s">
        <v>670</v>
      </c>
      <c r="D1050" s="422" t="s">
        <v>898</v>
      </c>
      <c r="E1050" s="423"/>
      <c r="F1050" s="424"/>
      <c r="G1050" s="425"/>
      <c r="H1050" s="651"/>
      <c r="I1050" s="420">
        <v>1919.13</v>
      </c>
      <c r="J1050" s="420">
        <f t="shared" si="293"/>
        <v>1919.13</v>
      </c>
      <c r="K1050" s="421">
        <f t="shared" si="292"/>
        <v>2280.12</v>
      </c>
      <c r="L1050" s="647" t="s">
        <v>2065</v>
      </c>
      <c r="M1050" s="576"/>
      <c r="N1050" s="576">
        <f t="shared" si="295"/>
        <v>0</v>
      </c>
      <c r="O1050" s="577">
        <f t="shared" si="289"/>
        <v>0</v>
      </c>
      <c r="P1050" s="578">
        <f t="shared" si="290"/>
        <v>0</v>
      </c>
      <c r="Q1050" s="765"/>
      <c r="R1050" s="576">
        <f t="shared" si="286"/>
        <v>0</v>
      </c>
      <c r="S1050" s="576">
        <f t="shared" si="286"/>
        <v>0</v>
      </c>
      <c r="T1050" s="577">
        <f t="shared" si="287"/>
        <v>0</v>
      </c>
      <c r="U1050" s="578">
        <f t="shared" si="288"/>
        <v>0</v>
      </c>
      <c r="V1050" s="579"/>
      <c r="W1050" s="566"/>
      <c r="X1050" s="586" t="str">
        <f t="shared" si="291"/>
        <v/>
      </c>
      <c r="Y1050" s="586" t="str">
        <f t="shared" si="285"/>
        <v/>
      </c>
      <c r="Z1050" s="586" t="str">
        <f t="shared" si="294"/>
        <v/>
      </c>
    </row>
    <row r="1051" spans="1:26" ht="23.25" hidden="1" thickBot="1" x14ac:dyDescent="0.25">
      <c r="A1051" s="567">
        <v>101500</v>
      </c>
      <c r="B1051" s="644">
        <v>101500</v>
      </c>
      <c r="C1051" s="645" t="s">
        <v>670</v>
      </c>
      <c r="D1051" s="422" t="s">
        <v>899</v>
      </c>
      <c r="E1051" s="423"/>
      <c r="F1051" s="424"/>
      <c r="G1051" s="425"/>
      <c r="H1051" s="651"/>
      <c r="I1051" s="420">
        <v>2113.15</v>
      </c>
      <c r="J1051" s="420">
        <f t="shared" si="293"/>
        <v>2113.15</v>
      </c>
      <c r="K1051" s="421">
        <f t="shared" si="292"/>
        <v>2510.63</v>
      </c>
      <c r="L1051" s="647" t="s">
        <v>2065</v>
      </c>
      <c r="M1051" s="576"/>
      <c r="N1051" s="576">
        <f t="shared" si="295"/>
        <v>0</v>
      </c>
      <c r="O1051" s="577">
        <f t="shared" si="289"/>
        <v>0</v>
      </c>
      <c r="P1051" s="578">
        <f t="shared" si="290"/>
        <v>0</v>
      </c>
      <c r="Q1051" s="765"/>
      <c r="R1051" s="576">
        <f t="shared" si="286"/>
        <v>0</v>
      </c>
      <c r="S1051" s="576">
        <f t="shared" si="286"/>
        <v>0</v>
      </c>
      <c r="T1051" s="577">
        <f t="shared" si="287"/>
        <v>0</v>
      </c>
      <c r="U1051" s="578">
        <f t="shared" si="288"/>
        <v>0</v>
      </c>
      <c r="V1051" s="579"/>
      <c r="W1051" s="566"/>
      <c r="X1051" s="586" t="str">
        <f t="shared" si="291"/>
        <v/>
      </c>
      <c r="Y1051" s="586" t="str">
        <f t="shared" si="285"/>
        <v/>
      </c>
      <c r="Z1051" s="586" t="str">
        <f t="shared" si="294"/>
        <v/>
      </c>
    </row>
    <row r="1052" spans="1:26" ht="23.25" hidden="1" thickBot="1" x14ac:dyDescent="0.25">
      <c r="A1052" s="567">
        <v>101501</v>
      </c>
      <c r="B1052" s="644">
        <v>101501</v>
      </c>
      <c r="C1052" s="645" t="s">
        <v>670</v>
      </c>
      <c r="D1052" s="422" t="s">
        <v>900</v>
      </c>
      <c r="E1052" s="423"/>
      <c r="F1052" s="424"/>
      <c r="G1052" s="425"/>
      <c r="H1052" s="651"/>
      <c r="I1052" s="420">
        <v>1724.18</v>
      </c>
      <c r="J1052" s="420">
        <f t="shared" si="293"/>
        <v>1724.18</v>
      </c>
      <c r="K1052" s="421">
        <f t="shared" si="292"/>
        <v>2048.5</v>
      </c>
      <c r="L1052" s="647" t="s">
        <v>2065</v>
      </c>
      <c r="M1052" s="576"/>
      <c r="N1052" s="576">
        <f t="shared" si="295"/>
        <v>0</v>
      </c>
      <c r="O1052" s="577">
        <f t="shared" si="289"/>
        <v>0</v>
      </c>
      <c r="P1052" s="578">
        <f t="shared" si="290"/>
        <v>0</v>
      </c>
      <c r="Q1052" s="765"/>
      <c r="R1052" s="576">
        <f t="shared" si="286"/>
        <v>0</v>
      </c>
      <c r="S1052" s="576">
        <f t="shared" si="286"/>
        <v>0</v>
      </c>
      <c r="T1052" s="577">
        <f t="shared" si="287"/>
        <v>0</v>
      </c>
      <c r="U1052" s="578">
        <f t="shared" si="288"/>
        <v>0</v>
      </c>
      <c r="V1052" s="579"/>
      <c r="W1052" s="566"/>
      <c r="X1052" s="586" t="str">
        <f t="shared" si="291"/>
        <v/>
      </c>
      <c r="Y1052" s="586" t="str">
        <f t="shared" si="285"/>
        <v/>
      </c>
      <c r="Z1052" s="586" t="str">
        <f t="shared" si="294"/>
        <v/>
      </c>
    </row>
    <row r="1053" spans="1:26" ht="23.25" hidden="1" thickBot="1" x14ac:dyDescent="0.25">
      <c r="A1053" s="567">
        <v>101502</v>
      </c>
      <c r="B1053" s="644">
        <v>101502</v>
      </c>
      <c r="C1053" s="645" t="s">
        <v>670</v>
      </c>
      <c r="D1053" s="422" t="s">
        <v>901</v>
      </c>
      <c r="E1053" s="423"/>
      <c r="F1053" s="424"/>
      <c r="G1053" s="425"/>
      <c r="H1053" s="651"/>
      <c r="I1053" s="420">
        <v>1864.37</v>
      </c>
      <c r="J1053" s="420">
        <f t="shared" si="293"/>
        <v>1864.37</v>
      </c>
      <c r="K1053" s="421">
        <f t="shared" si="292"/>
        <v>2215.06</v>
      </c>
      <c r="L1053" s="647" t="s">
        <v>2065</v>
      </c>
      <c r="M1053" s="576"/>
      <c r="N1053" s="576">
        <f t="shared" si="295"/>
        <v>0</v>
      </c>
      <c r="O1053" s="577">
        <f t="shared" si="289"/>
        <v>0</v>
      </c>
      <c r="P1053" s="578">
        <f t="shared" si="290"/>
        <v>0</v>
      </c>
      <c r="Q1053" s="765"/>
      <c r="R1053" s="576">
        <f t="shared" si="286"/>
        <v>0</v>
      </c>
      <c r="S1053" s="576">
        <f t="shared" si="286"/>
        <v>0</v>
      </c>
      <c r="T1053" s="577">
        <f t="shared" si="287"/>
        <v>0</v>
      </c>
      <c r="U1053" s="578">
        <f t="shared" si="288"/>
        <v>0</v>
      </c>
      <c r="V1053" s="579"/>
      <c r="W1053" s="566"/>
      <c r="X1053" s="586" t="str">
        <f t="shared" si="291"/>
        <v/>
      </c>
      <c r="Y1053" s="586" t="str">
        <f t="shared" si="285"/>
        <v/>
      </c>
      <c r="Z1053" s="586" t="str">
        <f t="shared" si="294"/>
        <v/>
      </c>
    </row>
    <row r="1054" spans="1:26" ht="23.25" hidden="1" thickBot="1" x14ac:dyDescent="0.25">
      <c r="A1054" s="567">
        <v>101503</v>
      </c>
      <c r="B1054" s="644">
        <v>101503</v>
      </c>
      <c r="C1054" s="645" t="s">
        <v>670</v>
      </c>
      <c r="D1054" s="422" t="s">
        <v>902</v>
      </c>
      <c r="E1054" s="423"/>
      <c r="F1054" s="424"/>
      <c r="G1054" s="425"/>
      <c r="H1054" s="651"/>
      <c r="I1054" s="420">
        <v>1909.33</v>
      </c>
      <c r="J1054" s="420">
        <f t="shared" si="293"/>
        <v>1909.33</v>
      </c>
      <c r="K1054" s="421">
        <f t="shared" si="292"/>
        <v>2268.4699999999998</v>
      </c>
      <c r="L1054" s="647" t="s">
        <v>2065</v>
      </c>
      <c r="M1054" s="576"/>
      <c r="N1054" s="576">
        <f t="shared" si="295"/>
        <v>0</v>
      </c>
      <c r="O1054" s="577">
        <f t="shared" si="289"/>
        <v>0</v>
      </c>
      <c r="P1054" s="578">
        <f t="shared" si="290"/>
        <v>0</v>
      </c>
      <c r="Q1054" s="765"/>
      <c r="R1054" s="576">
        <f t="shared" si="286"/>
        <v>0</v>
      </c>
      <c r="S1054" s="576">
        <f t="shared" si="286"/>
        <v>0</v>
      </c>
      <c r="T1054" s="577">
        <f t="shared" si="287"/>
        <v>0</v>
      </c>
      <c r="U1054" s="578">
        <f t="shared" si="288"/>
        <v>0</v>
      </c>
      <c r="V1054" s="579"/>
      <c r="W1054" s="566"/>
      <c r="X1054" s="586" t="str">
        <f t="shared" si="291"/>
        <v/>
      </c>
      <c r="Y1054" s="586" t="str">
        <f t="shared" si="285"/>
        <v/>
      </c>
      <c r="Z1054" s="586" t="str">
        <f t="shared" si="294"/>
        <v/>
      </c>
    </row>
    <row r="1055" spans="1:26" ht="23.25" hidden="1" thickBot="1" x14ac:dyDescent="0.25">
      <c r="A1055" s="567">
        <v>101504</v>
      </c>
      <c r="B1055" s="644">
        <v>101504</v>
      </c>
      <c r="C1055" s="645" t="s">
        <v>670</v>
      </c>
      <c r="D1055" s="422" t="s">
        <v>903</v>
      </c>
      <c r="E1055" s="423"/>
      <c r="F1055" s="424"/>
      <c r="G1055" s="425"/>
      <c r="H1055" s="651"/>
      <c r="I1055" s="420">
        <v>2103.35</v>
      </c>
      <c r="J1055" s="420">
        <f t="shared" si="293"/>
        <v>2103.35</v>
      </c>
      <c r="K1055" s="421">
        <f t="shared" si="292"/>
        <v>2498.9899999999998</v>
      </c>
      <c r="L1055" s="647" t="s">
        <v>2065</v>
      </c>
      <c r="M1055" s="576"/>
      <c r="N1055" s="576">
        <f t="shared" si="295"/>
        <v>0</v>
      </c>
      <c r="O1055" s="577">
        <f t="shared" si="289"/>
        <v>0</v>
      </c>
      <c r="P1055" s="578">
        <f t="shared" si="290"/>
        <v>0</v>
      </c>
      <c r="Q1055" s="765"/>
      <c r="R1055" s="576">
        <f t="shared" si="286"/>
        <v>0</v>
      </c>
      <c r="S1055" s="576">
        <f t="shared" si="286"/>
        <v>0</v>
      </c>
      <c r="T1055" s="577">
        <f t="shared" si="287"/>
        <v>0</v>
      </c>
      <c r="U1055" s="578">
        <f t="shared" si="288"/>
        <v>0</v>
      </c>
      <c r="V1055" s="579"/>
      <c r="W1055" s="566"/>
      <c r="X1055" s="586" t="str">
        <f t="shared" si="291"/>
        <v/>
      </c>
      <c r="Y1055" s="586" t="str">
        <f t="shared" si="285"/>
        <v/>
      </c>
      <c r="Z1055" s="586" t="str">
        <f t="shared" si="294"/>
        <v/>
      </c>
    </row>
    <row r="1056" spans="1:26" ht="23.25" hidden="1" thickBot="1" x14ac:dyDescent="0.25">
      <c r="A1056" s="567">
        <v>101505</v>
      </c>
      <c r="B1056" s="644">
        <v>101505</v>
      </c>
      <c r="C1056" s="645" t="s">
        <v>670</v>
      </c>
      <c r="D1056" s="422" t="s">
        <v>904</v>
      </c>
      <c r="E1056" s="423"/>
      <c r="F1056" s="424"/>
      <c r="G1056" s="425"/>
      <c r="H1056" s="651"/>
      <c r="I1056" s="420">
        <v>1850.2</v>
      </c>
      <c r="J1056" s="420">
        <f t="shared" si="293"/>
        <v>1850.2</v>
      </c>
      <c r="K1056" s="421">
        <f t="shared" si="292"/>
        <v>2198.2199999999998</v>
      </c>
      <c r="L1056" s="647" t="s">
        <v>2065</v>
      </c>
      <c r="M1056" s="576"/>
      <c r="N1056" s="576">
        <f t="shared" si="295"/>
        <v>0</v>
      </c>
      <c r="O1056" s="577">
        <f t="shared" si="289"/>
        <v>0</v>
      </c>
      <c r="P1056" s="578">
        <f t="shared" si="290"/>
        <v>0</v>
      </c>
      <c r="Q1056" s="765"/>
      <c r="R1056" s="576">
        <f t="shared" si="286"/>
        <v>0</v>
      </c>
      <c r="S1056" s="576">
        <f t="shared" si="286"/>
        <v>0</v>
      </c>
      <c r="T1056" s="577">
        <f t="shared" si="287"/>
        <v>0</v>
      </c>
      <c r="U1056" s="578">
        <f t="shared" si="288"/>
        <v>0</v>
      </c>
      <c r="V1056" s="579"/>
      <c r="W1056" s="566"/>
      <c r="X1056" s="586" t="str">
        <f t="shared" si="291"/>
        <v/>
      </c>
      <c r="Y1056" s="586" t="str">
        <f t="shared" si="285"/>
        <v/>
      </c>
      <c r="Z1056" s="586" t="str">
        <f t="shared" si="294"/>
        <v/>
      </c>
    </row>
    <row r="1057" spans="1:26" ht="23.25" hidden="1" thickBot="1" x14ac:dyDescent="0.25">
      <c r="A1057" s="567">
        <v>101506</v>
      </c>
      <c r="B1057" s="644">
        <v>101506</v>
      </c>
      <c r="C1057" s="645" t="s">
        <v>670</v>
      </c>
      <c r="D1057" s="422" t="s">
        <v>905</v>
      </c>
      <c r="E1057" s="423"/>
      <c r="F1057" s="424"/>
      <c r="G1057" s="425"/>
      <c r="H1057" s="651"/>
      <c r="I1057" s="420">
        <v>2037.13</v>
      </c>
      <c r="J1057" s="420">
        <f t="shared" si="293"/>
        <v>2037.13</v>
      </c>
      <c r="K1057" s="421">
        <f t="shared" si="292"/>
        <v>2420.31</v>
      </c>
      <c r="L1057" s="647" t="s">
        <v>2065</v>
      </c>
      <c r="M1057" s="576"/>
      <c r="N1057" s="576">
        <f t="shared" si="295"/>
        <v>0</v>
      </c>
      <c r="O1057" s="577">
        <f t="shared" si="289"/>
        <v>0</v>
      </c>
      <c r="P1057" s="578">
        <f t="shared" si="290"/>
        <v>0</v>
      </c>
      <c r="Q1057" s="765"/>
      <c r="R1057" s="576">
        <f t="shared" si="286"/>
        <v>0</v>
      </c>
      <c r="S1057" s="576">
        <f t="shared" si="286"/>
        <v>0</v>
      </c>
      <c r="T1057" s="577">
        <f t="shared" si="287"/>
        <v>0</v>
      </c>
      <c r="U1057" s="578">
        <f t="shared" si="288"/>
        <v>0</v>
      </c>
      <c r="V1057" s="579"/>
      <c r="W1057" s="566"/>
      <c r="X1057" s="586" t="str">
        <f t="shared" si="291"/>
        <v/>
      </c>
      <c r="Y1057" s="586" t="str">
        <f t="shared" si="285"/>
        <v/>
      </c>
      <c r="Z1057" s="586" t="str">
        <f t="shared" si="294"/>
        <v/>
      </c>
    </row>
    <row r="1058" spans="1:26" ht="23.25" hidden="1" thickBot="1" x14ac:dyDescent="0.25">
      <c r="A1058" s="567">
        <v>101507</v>
      </c>
      <c r="B1058" s="644">
        <v>101507</v>
      </c>
      <c r="C1058" s="645" t="s">
        <v>670</v>
      </c>
      <c r="D1058" s="422" t="s">
        <v>906</v>
      </c>
      <c r="E1058" s="423"/>
      <c r="F1058" s="424"/>
      <c r="G1058" s="425"/>
      <c r="H1058" s="651"/>
      <c r="I1058" s="420">
        <v>2097.0700000000002</v>
      </c>
      <c r="J1058" s="420">
        <f t="shared" si="293"/>
        <v>2097.0700000000002</v>
      </c>
      <c r="K1058" s="421">
        <f t="shared" si="292"/>
        <v>2491.5300000000002</v>
      </c>
      <c r="L1058" s="647" t="s">
        <v>2065</v>
      </c>
      <c r="M1058" s="576"/>
      <c r="N1058" s="576">
        <f t="shared" si="295"/>
        <v>0</v>
      </c>
      <c r="O1058" s="577">
        <f t="shared" si="289"/>
        <v>0</v>
      </c>
      <c r="P1058" s="578">
        <f t="shared" si="290"/>
        <v>0</v>
      </c>
      <c r="Q1058" s="765"/>
      <c r="R1058" s="576">
        <f t="shared" si="286"/>
        <v>0</v>
      </c>
      <c r="S1058" s="576">
        <f t="shared" si="286"/>
        <v>0</v>
      </c>
      <c r="T1058" s="577">
        <f t="shared" si="287"/>
        <v>0</v>
      </c>
      <c r="U1058" s="578">
        <f t="shared" si="288"/>
        <v>0</v>
      </c>
      <c r="V1058" s="579"/>
      <c r="W1058" s="566"/>
      <c r="X1058" s="586" t="str">
        <f t="shared" si="291"/>
        <v/>
      </c>
      <c r="Y1058" s="586" t="str">
        <f t="shared" si="285"/>
        <v/>
      </c>
      <c r="Z1058" s="586" t="str">
        <f t="shared" si="294"/>
        <v/>
      </c>
    </row>
    <row r="1059" spans="1:26" ht="23.25" hidden="1" thickBot="1" x14ac:dyDescent="0.25">
      <c r="A1059" s="567">
        <v>101508</v>
      </c>
      <c r="B1059" s="644">
        <v>101508</v>
      </c>
      <c r="C1059" s="645" t="s">
        <v>670</v>
      </c>
      <c r="D1059" s="422" t="s">
        <v>907</v>
      </c>
      <c r="E1059" s="423"/>
      <c r="F1059" s="424"/>
      <c r="G1059" s="425"/>
      <c r="H1059" s="651"/>
      <c r="I1059" s="420">
        <v>2344.09</v>
      </c>
      <c r="J1059" s="420">
        <f t="shared" si="293"/>
        <v>2344.09</v>
      </c>
      <c r="K1059" s="421">
        <f t="shared" si="292"/>
        <v>2785.01</v>
      </c>
      <c r="L1059" s="647" t="s">
        <v>2065</v>
      </c>
      <c r="M1059" s="576"/>
      <c r="N1059" s="576">
        <f t="shared" si="295"/>
        <v>0</v>
      </c>
      <c r="O1059" s="577">
        <f t="shared" si="289"/>
        <v>0</v>
      </c>
      <c r="P1059" s="578">
        <f t="shared" si="290"/>
        <v>0</v>
      </c>
      <c r="Q1059" s="765"/>
      <c r="R1059" s="576">
        <f t="shared" si="286"/>
        <v>0</v>
      </c>
      <c r="S1059" s="576">
        <f t="shared" si="286"/>
        <v>0</v>
      </c>
      <c r="T1059" s="577">
        <f t="shared" si="287"/>
        <v>0</v>
      </c>
      <c r="U1059" s="578">
        <f t="shared" si="288"/>
        <v>0</v>
      </c>
      <c r="V1059" s="579"/>
      <c r="W1059" s="566"/>
      <c r="X1059" s="586" t="str">
        <f t="shared" si="291"/>
        <v/>
      </c>
      <c r="Y1059" s="586" t="str">
        <f t="shared" ref="Y1059:Y1122" si="296">IF(W1059="X","x",IF(W1059="y","x",IF(W1059="xx","x",IF(U1059&gt;0,"x",""))))</f>
        <v/>
      </c>
      <c r="Z1059" s="586" t="str">
        <f t="shared" si="294"/>
        <v/>
      </c>
    </row>
    <row r="1060" spans="1:26" ht="23.25" hidden="1" thickBot="1" x14ac:dyDescent="0.25">
      <c r="A1060" s="567">
        <v>101509</v>
      </c>
      <c r="B1060" s="644">
        <v>101509</v>
      </c>
      <c r="C1060" s="645" t="s">
        <v>670</v>
      </c>
      <c r="D1060" s="422" t="s">
        <v>908</v>
      </c>
      <c r="E1060" s="423"/>
      <c r="F1060" s="424"/>
      <c r="G1060" s="425"/>
      <c r="H1060" s="651"/>
      <c r="I1060" s="420">
        <v>2006.91</v>
      </c>
      <c r="J1060" s="420">
        <f t="shared" si="293"/>
        <v>2006.91</v>
      </c>
      <c r="K1060" s="421">
        <f t="shared" si="292"/>
        <v>2384.41</v>
      </c>
      <c r="L1060" s="647" t="s">
        <v>2065</v>
      </c>
      <c r="M1060" s="576"/>
      <c r="N1060" s="576">
        <f t="shared" si="295"/>
        <v>0</v>
      </c>
      <c r="O1060" s="577">
        <f t="shared" si="289"/>
        <v>0</v>
      </c>
      <c r="P1060" s="578">
        <f t="shared" si="290"/>
        <v>0</v>
      </c>
      <c r="Q1060" s="765"/>
      <c r="R1060" s="576">
        <f t="shared" si="286"/>
        <v>0</v>
      </c>
      <c r="S1060" s="576">
        <f t="shared" si="286"/>
        <v>0</v>
      </c>
      <c r="T1060" s="577">
        <f t="shared" si="287"/>
        <v>0</v>
      </c>
      <c r="U1060" s="578">
        <f t="shared" si="288"/>
        <v>0</v>
      </c>
      <c r="V1060" s="579"/>
      <c r="W1060" s="566"/>
      <c r="X1060" s="586" t="str">
        <f t="shared" si="291"/>
        <v/>
      </c>
      <c r="Y1060" s="586" t="str">
        <f t="shared" si="296"/>
        <v/>
      </c>
      <c r="Z1060" s="586" t="str">
        <f t="shared" si="294"/>
        <v/>
      </c>
    </row>
    <row r="1061" spans="1:26" ht="23.25" hidden="1" thickBot="1" x14ac:dyDescent="0.25">
      <c r="A1061" s="567">
        <v>101510</v>
      </c>
      <c r="B1061" s="644">
        <v>101510</v>
      </c>
      <c r="C1061" s="645" t="s">
        <v>670</v>
      </c>
      <c r="D1061" s="422" t="s">
        <v>909</v>
      </c>
      <c r="E1061" s="423"/>
      <c r="F1061" s="424"/>
      <c r="G1061" s="425"/>
      <c r="H1061" s="651"/>
      <c r="I1061" s="420">
        <v>2193.84</v>
      </c>
      <c r="J1061" s="420">
        <f t="shared" si="293"/>
        <v>2193.84</v>
      </c>
      <c r="K1061" s="421">
        <f t="shared" si="292"/>
        <v>2606.5</v>
      </c>
      <c r="L1061" s="647" t="s">
        <v>2065</v>
      </c>
      <c r="M1061" s="576"/>
      <c r="N1061" s="576">
        <f t="shared" si="295"/>
        <v>0</v>
      </c>
      <c r="O1061" s="577">
        <f t="shared" si="289"/>
        <v>0</v>
      </c>
      <c r="P1061" s="578">
        <f t="shared" si="290"/>
        <v>0</v>
      </c>
      <c r="Q1061" s="765"/>
      <c r="R1061" s="576">
        <f t="shared" si="286"/>
        <v>0</v>
      </c>
      <c r="S1061" s="576">
        <f t="shared" si="286"/>
        <v>0</v>
      </c>
      <c r="T1061" s="577">
        <f t="shared" si="287"/>
        <v>0</v>
      </c>
      <c r="U1061" s="578">
        <f t="shared" si="288"/>
        <v>0</v>
      </c>
      <c r="V1061" s="579"/>
      <c r="W1061" s="566"/>
      <c r="X1061" s="586" t="str">
        <f t="shared" si="291"/>
        <v/>
      </c>
      <c r="Y1061" s="586" t="str">
        <f t="shared" si="296"/>
        <v/>
      </c>
      <c r="Z1061" s="586" t="str">
        <f t="shared" si="294"/>
        <v/>
      </c>
    </row>
    <row r="1062" spans="1:26" ht="23.25" hidden="1" thickBot="1" x14ac:dyDescent="0.25">
      <c r="A1062" s="567">
        <v>101511</v>
      </c>
      <c r="B1062" s="644">
        <v>101511</v>
      </c>
      <c r="C1062" s="645" t="s">
        <v>670</v>
      </c>
      <c r="D1062" s="422" t="s">
        <v>910</v>
      </c>
      <c r="E1062" s="423"/>
      <c r="F1062" s="424"/>
      <c r="G1062" s="425"/>
      <c r="H1062" s="651"/>
      <c r="I1062" s="420">
        <v>2253.7800000000002</v>
      </c>
      <c r="J1062" s="420">
        <f t="shared" si="293"/>
        <v>2253.7800000000002</v>
      </c>
      <c r="K1062" s="421">
        <f t="shared" si="292"/>
        <v>2677.72</v>
      </c>
      <c r="L1062" s="647" t="s">
        <v>2065</v>
      </c>
      <c r="M1062" s="576"/>
      <c r="N1062" s="576">
        <f t="shared" si="295"/>
        <v>0</v>
      </c>
      <c r="O1062" s="577">
        <f t="shared" si="289"/>
        <v>0</v>
      </c>
      <c r="P1062" s="578">
        <f t="shared" si="290"/>
        <v>0</v>
      </c>
      <c r="Q1062" s="765"/>
      <c r="R1062" s="576">
        <f t="shared" si="286"/>
        <v>0</v>
      </c>
      <c r="S1062" s="576">
        <f t="shared" si="286"/>
        <v>0</v>
      </c>
      <c r="T1062" s="577">
        <f t="shared" si="287"/>
        <v>0</v>
      </c>
      <c r="U1062" s="578">
        <f t="shared" si="288"/>
        <v>0</v>
      </c>
      <c r="V1062" s="579"/>
      <c r="W1062" s="566"/>
      <c r="X1062" s="586" t="str">
        <f t="shared" si="291"/>
        <v/>
      </c>
      <c r="Y1062" s="586" t="str">
        <f t="shared" si="296"/>
        <v/>
      </c>
      <c r="Z1062" s="586" t="str">
        <f t="shared" si="294"/>
        <v/>
      </c>
    </row>
    <row r="1063" spans="1:26" ht="23.25" hidden="1" thickBot="1" x14ac:dyDescent="0.25">
      <c r="A1063" s="567">
        <v>101512</v>
      </c>
      <c r="B1063" s="644">
        <v>101512</v>
      </c>
      <c r="C1063" s="645" t="s">
        <v>670</v>
      </c>
      <c r="D1063" s="422" t="s">
        <v>911</v>
      </c>
      <c r="E1063" s="423"/>
      <c r="F1063" s="424"/>
      <c r="G1063" s="425"/>
      <c r="H1063" s="651"/>
      <c r="I1063" s="420">
        <v>2500.8000000000002</v>
      </c>
      <c r="J1063" s="420">
        <f t="shared" si="293"/>
        <v>2500.8000000000002</v>
      </c>
      <c r="K1063" s="421">
        <f t="shared" si="292"/>
        <v>2971.2</v>
      </c>
      <c r="L1063" s="647" t="s">
        <v>2065</v>
      </c>
      <c r="M1063" s="576"/>
      <c r="N1063" s="576">
        <f t="shared" si="295"/>
        <v>0</v>
      </c>
      <c r="O1063" s="577">
        <f t="shared" si="289"/>
        <v>0</v>
      </c>
      <c r="P1063" s="578">
        <f t="shared" si="290"/>
        <v>0</v>
      </c>
      <c r="Q1063" s="765"/>
      <c r="R1063" s="576">
        <f t="shared" si="286"/>
        <v>0</v>
      </c>
      <c r="S1063" s="576">
        <f t="shared" si="286"/>
        <v>0</v>
      </c>
      <c r="T1063" s="577">
        <f t="shared" si="287"/>
        <v>0</v>
      </c>
      <c r="U1063" s="578">
        <f t="shared" si="288"/>
        <v>0</v>
      </c>
      <c r="V1063" s="579"/>
      <c r="W1063" s="566"/>
      <c r="X1063" s="586" t="str">
        <f t="shared" si="291"/>
        <v/>
      </c>
      <c r="Y1063" s="586" t="str">
        <f t="shared" si="296"/>
        <v/>
      </c>
      <c r="Z1063" s="586" t="str">
        <f t="shared" si="294"/>
        <v/>
      </c>
    </row>
    <row r="1064" spans="1:26" ht="23.25" hidden="1" thickBot="1" x14ac:dyDescent="0.25">
      <c r="A1064" s="567">
        <v>101513</v>
      </c>
      <c r="B1064" s="644">
        <v>101513</v>
      </c>
      <c r="C1064" s="645" t="s">
        <v>670</v>
      </c>
      <c r="D1064" s="422" t="s">
        <v>912</v>
      </c>
      <c r="E1064" s="423"/>
      <c r="F1064" s="424"/>
      <c r="G1064" s="425"/>
      <c r="H1064" s="651"/>
      <c r="I1064" s="420">
        <v>810.41</v>
      </c>
      <c r="J1064" s="420">
        <f t="shared" si="293"/>
        <v>810.41</v>
      </c>
      <c r="K1064" s="421">
        <f t="shared" si="292"/>
        <v>962.85</v>
      </c>
      <c r="L1064" s="647" t="s">
        <v>2065</v>
      </c>
      <c r="M1064" s="576"/>
      <c r="N1064" s="576">
        <f t="shared" si="295"/>
        <v>0</v>
      </c>
      <c r="O1064" s="577">
        <f t="shared" si="289"/>
        <v>0</v>
      </c>
      <c r="P1064" s="578">
        <f t="shared" si="290"/>
        <v>0</v>
      </c>
      <c r="Q1064" s="765"/>
      <c r="R1064" s="576">
        <f t="shared" si="286"/>
        <v>0</v>
      </c>
      <c r="S1064" s="576">
        <f t="shared" si="286"/>
        <v>0</v>
      </c>
      <c r="T1064" s="577">
        <f t="shared" si="287"/>
        <v>0</v>
      </c>
      <c r="U1064" s="578">
        <f t="shared" si="288"/>
        <v>0</v>
      </c>
      <c r="V1064" s="579"/>
      <c r="W1064" s="566"/>
      <c r="X1064" s="586" t="str">
        <f t="shared" si="291"/>
        <v/>
      </c>
      <c r="Y1064" s="586" t="str">
        <f t="shared" si="296"/>
        <v/>
      </c>
      <c r="Z1064" s="586" t="str">
        <f t="shared" si="294"/>
        <v/>
      </c>
    </row>
    <row r="1065" spans="1:26" ht="23.25" hidden="1" thickBot="1" x14ac:dyDescent="0.25">
      <c r="A1065" s="567">
        <v>101514</v>
      </c>
      <c r="B1065" s="644">
        <v>101514</v>
      </c>
      <c r="C1065" s="645" t="s">
        <v>670</v>
      </c>
      <c r="D1065" s="422" t="s">
        <v>913</v>
      </c>
      <c r="E1065" s="423"/>
      <c r="F1065" s="424"/>
      <c r="G1065" s="425"/>
      <c r="H1065" s="651"/>
      <c r="I1065" s="420">
        <v>921.56</v>
      </c>
      <c r="J1065" s="420">
        <f t="shared" si="293"/>
        <v>921.56</v>
      </c>
      <c r="K1065" s="421">
        <f t="shared" si="292"/>
        <v>1094.9100000000001</v>
      </c>
      <c r="L1065" s="647" t="s">
        <v>2065</v>
      </c>
      <c r="M1065" s="576"/>
      <c r="N1065" s="576">
        <f t="shared" si="295"/>
        <v>0</v>
      </c>
      <c r="O1065" s="577">
        <f t="shared" si="289"/>
        <v>0</v>
      </c>
      <c r="P1065" s="578">
        <f t="shared" si="290"/>
        <v>0</v>
      </c>
      <c r="Q1065" s="765"/>
      <c r="R1065" s="576">
        <f t="shared" si="286"/>
        <v>0</v>
      </c>
      <c r="S1065" s="576">
        <f t="shared" si="286"/>
        <v>0</v>
      </c>
      <c r="T1065" s="577">
        <f t="shared" si="287"/>
        <v>0</v>
      </c>
      <c r="U1065" s="578">
        <f t="shared" si="288"/>
        <v>0</v>
      </c>
      <c r="V1065" s="579"/>
      <c r="W1065" s="566"/>
      <c r="X1065" s="586" t="str">
        <f t="shared" si="291"/>
        <v/>
      </c>
      <c r="Y1065" s="586" t="str">
        <f t="shared" si="296"/>
        <v/>
      </c>
      <c r="Z1065" s="586" t="str">
        <f t="shared" si="294"/>
        <v/>
      </c>
    </row>
    <row r="1066" spans="1:26" ht="23.25" hidden="1" thickBot="1" x14ac:dyDescent="0.25">
      <c r="A1066" s="567">
        <v>101515</v>
      </c>
      <c r="B1066" s="644">
        <v>101515</v>
      </c>
      <c r="C1066" s="645" t="s">
        <v>670</v>
      </c>
      <c r="D1066" s="422" t="s">
        <v>914</v>
      </c>
      <c r="E1066" s="423"/>
      <c r="F1066" s="424"/>
      <c r="G1066" s="425"/>
      <c r="H1066" s="651"/>
      <c r="I1066" s="420">
        <v>957.2</v>
      </c>
      <c r="J1066" s="420">
        <f t="shared" si="293"/>
        <v>957.2</v>
      </c>
      <c r="K1066" s="421">
        <f t="shared" si="292"/>
        <v>1137.25</v>
      </c>
      <c r="L1066" s="647" t="s">
        <v>2065</v>
      </c>
      <c r="M1066" s="576"/>
      <c r="N1066" s="576">
        <f t="shared" si="295"/>
        <v>0</v>
      </c>
      <c r="O1066" s="577">
        <f t="shared" si="289"/>
        <v>0</v>
      </c>
      <c r="P1066" s="578">
        <f t="shared" si="290"/>
        <v>0</v>
      </c>
      <c r="Q1066" s="765"/>
      <c r="R1066" s="576">
        <f t="shared" si="286"/>
        <v>0</v>
      </c>
      <c r="S1066" s="576">
        <f t="shared" si="286"/>
        <v>0</v>
      </c>
      <c r="T1066" s="577">
        <f t="shared" si="287"/>
        <v>0</v>
      </c>
      <c r="U1066" s="578">
        <f t="shared" si="288"/>
        <v>0</v>
      </c>
      <c r="V1066" s="579"/>
      <c r="W1066" s="566"/>
      <c r="X1066" s="586" t="str">
        <f t="shared" si="291"/>
        <v/>
      </c>
      <c r="Y1066" s="586" t="str">
        <f t="shared" si="296"/>
        <v/>
      </c>
      <c r="Z1066" s="586" t="str">
        <f t="shared" si="294"/>
        <v/>
      </c>
    </row>
    <row r="1067" spans="1:26" ht="23.25" hidden="1" thickBot="1" x14ac:dyDescent="0.25">
      <c r="A1067" s="567">
        <v>101516</v>
      </c>
      <c r="B1067" s="644">
        <v>101516</v>
      </c>
      <c r="C1067" s="645" t="s">
        <v>670</v>
      </c>
      <c r="D1067" s="422" t="s">
        <v>915</v>
      </c>
      <c r="E1067" s="423"/>
      <c r="F1067" s="424"/>
      <c r="G1067" s="425"/>
      <c r="H1067" s="651"/>
      <c r="I1067" s="420">
        <v>1083.26</v>
      </c>
      <c r="J1067" s="420">
        <f t="shared" si="293"/>
        <v>1083.26</v>
      </c>
      <c r="K1067" s="421">
        <f t="shared" si="292"/>
        <v>1287.02</v>
      </c>
      <c r="L1067" s="647" t="s">
        <v>2065</v>
      </c>
      <c r="M1067" s="576"/>
      <c r="N1067" s="576">
        <f t="shared" si="295"/>
        <v>0</v>
      </c>
      <c r="O1067" s="577">
        <f t="shared" si="289"/>
        <v>0</v>
      </c>
      <c r="P1067" s="578">
        <f t="shared" si="290"/>
        <v>0</v>
      </c>
      <c r="Q1067" s="765"/>
      <c r="R1067" s="576">
        <f t="shared" si="286"/>
        <v>0</v>
      </c>
      <c r="S1067" s="576">
        <f t="shared" si="286"/>
        <v>0</v>
      </c>
      <c r="T1067" s="577">
        <f t="shared" si="287"/>
        <v>0</v>
      </c>
      <c r="U1067" s="578">
        <f t="shared" si="288"/>
        <v>0</v>
      </c>
      <c r="V1067" s="579"/>
      <c r="W1067" s="566"/>
      <c r="X1067" s="586" t="str">
        <f t="shared" si="291"/>
        <v/>
      </c>
      <c r="Y1067" s="586" t="str">
        <f t="shared" si="296"/>
        <v/>
      </c>
      <c r="Z1067" s="586" t="str">
        <f t="shared" si="294"/>
        <v/>
      </c>
    </row>
    <row r="1068" spans="1:26" ht="23.25" hidden="1" thickBot="1" x14ac:dyDescent="0.25">
      <c r="A1068" s="567">
        <v>101517</v>
      </c>
      <c r="B1068" s="644">
        <v>101517</v>
      </c>
      <c r="C1068" s="645" t="s">
        <v>670</v>
      </c>
      <c r="D1068" s="422" t="s">
        <v>916</v>
      </c>
      <c r="E1068" s="423"/>
      <c r="F1068" s="424"/>
      <c r="G1068" s="425"/>
      <c r="H1068" s="651"/>
      <c r="I1068" s="420">
        <v>793.49</v>
      </c>
      <c r="J1068" s="420">
        <f t="shared" si="293"/>
        <v>793.49</v>
      </c>
      <c r="K1068" s="421">
        <f t="shared" si="292"/>
        <v>942.75</v>
      </c>
      <c r="L1068" s="647" t="s">
        <v>2065</v>
      </c>
      <c r="M1068" s="576"/>
      <c r="N1068" s="576">
        <f t="shared" si="295"/>
        <v>0</v>
      </c>
      <c r="O1068" s="577">
        <f t="shared" si="289"/>
        <v>0</v>
      </c>
      <c r="P1068" s="578">
        <f t="shared" si="290"/>
        <v>0</v>
      </c>
      <c r="Q1068" s="765"/>
      <c r="R1068" s="576">
        <f t="shared" si="286"/>
        <v>0</v>
      </c>
      <c r="S1068" s="576">
        <f t="shared" si="286"/>
        <v>0</v>
      </c>
      <c r="T1068" s="577">
        <f t="shared" si="287"/>
        <v>0</v>
      </c>
      <c r="U1068" s="578">
        <f t="shared" si="288"/>
        <v>0</v>
      </c>
      <c r="V1068" s="579"/>
      <c r="W1068" s="566"/>
      <c r="X1068" s="586" t="str">
        <f t="shared" si="291"/>
        <v/>
      </c>
      <c r="Y1068" s="586" t="str">
        <f t="shared" si="296"/>
        <v/>
      </c>
      <c r="Z1068" s="586" t="str">
        <f t="shared" si="294"/>
        <v/>
      </c>
    </row>
    <row r="1069" spans="1:26" ht="23.25" hidden="1" thickBot="1" x14ac:dyDescent="0.25">
      <c r="A1069" s="567">
        <v>101518</v>
      </c>
      <c r="B1069" s="644">
        <v>101518</v>
      </c>
      <c r="C1069" s="645" t="s">
        <v>670</v>
      </c>
      <c r="D1069" s="422" t="s">
        <v>917</v>
      </c>
      <c r="E1069" s="423"/>
      <c r="F1069" s="424"/>
      <c r="G1069" s="425"/>
      <c r="H1069" s="651"/>
      <c r="I1069" s="420">
        <v>904.64</v>
      </c>
      <c r="J1069" s="420">
        <f t="shared" si="293"/>
        <v>904.64</v>
      </c>
      <c r="K1069" s="421">
        <f t="shared" si="292"/>
        <v>1074.8</v>
      </c>
      <c r="L1069" s="647" t="s">
        <v>2065</v>
      </c>
      <c r="M1069" s="576"/>
      <c r="N1069" s="576">
        <f t="shared" si="295"/>
        <v>0</v>
      </c>
      <c r="O1069" s="577">
        <f t="shared" si="289"/>
        <v>0</v>
      </c>
      <c r="P1069" s="578">
        <f t="shared" si="290"/>
        <v>0</v>
      </c>
      <c r="Q1069" s="765"/>
      <c r="R1069" s="576">
        <f t="shared" si="286"/>
        <v>0</v>
      </c>
      <c r="S1069" s="576">
        <f t="shared" si="286"/>
        <v>0</v>
      </c>
      <c r="T1069" s="577">
        <f t="shared" si="287"/>
        <v>0</v>
      </c>
      <c r="U1069" s="578">
        <f t="shared" si="288"/>
        <v>0</v>
      </c>
      <c r="V1069" s="579"/>
      <c r="W1069" s="566"/>
      <c r="X1069" s="586" t="str">
        <f t="shared" si="291"/>
        <v/>
      </c>
      <c r="Y1069" s="586" t="str">
        <f t="shared" si="296"/>
        <v/>
      </c>
      <c r="Z1069" s="586" t="str">
        <f t="shared" si="294"/>
        <v/>
      </c>
    </row>
    <row r="1070" spans="1:26" ht="23.25" hidden="1" thickBot="1" x14ac:dyDescent="0.25">
      <c r="A1070" s="567">
        <v>101519</v>
      </c>
      <c r="B1070" s="644">
        <v>101519</v>
      </c>
      <c r="C1070" s="645" t="s">
        <v>670</v>
      </c>
      <c r="D1070" s="422" t="s">
        <v>918</v>
      </c>
      <c r="E1070" s="423"/>
      <c r="F1070" s="424"/>
      <c r="G1070" s="425"/>
      <c r="H1070" s="651"/>
      <c r="I1070" s="420">
        <v>940.28</v>
      </c>
      <c r="J1070" s="420">
        <f t="shared" si="293"/>
        <v>940.28</v>
      </c>
      <c r="K1070" s="421">
        <f t="shared" si="292"/>
        <v>1117.1500000000001</v>
      </c>
      <c r="L1070" s="647" t="s">
        <v>2065</v>
      </c>
      <c r="M1070" s="576"/>
      <c r="N1070" s="576">
        <f t="shared" si="295"/>
        <v>0</v>
      </c>
      <c r="O1070" s="577">
        <f t="shared" si="289"/>
        <v>0</v>
      </c>
      <c r="P1070" s="578">
        <f t="shared" si="290"/>
        <v>0</v>
      </c>
      <c r="Q1070" s="765"/>
      <c r="R1070" s="576">
        <f t="shared" si="286"/>
        <v>0</v>
      </c>
      <c r="S1070" s="576">
        <f t="shared" si="286"/>
        <v>0</v>
      </c>
      <c r="T1070" s="577">
        <f t="shared" si="287"/>
        <v>0</v>
      </c>
      <c r="U1070" s="578">
        <f t="shared" si="288"/>
        <v>0</v>
      </c>
      <c r="V1070" s="579"/>
      <c r="W1070" s="566"/>
      <c r="X1070" s="586" t="str">
        <f t="shared" si="291"/>
        <v/>
      </c>
      <c r="Y1070" s="586" t="str">
        <f t="shared" si="296"/>
        <v/>
      </c>
      <c r="Z1070" s="586" t="str">
        <f t="shared" si="294"/>
        <v/>
      </c>
    </row>
    <row r="1071" spans="1:26" ht="23.25" hidden="1" thickBot="1" x14ac:dyDescent="0.25">
      <c r="A1071" s="567">
        <v>101520</v>
      </c>
      <c r="B1071" s="644">
        <v>101520</v>
      </c>
      <c r="C1071" s="645" t="s">
        <v>670</v>
      </c>
      <c r="D1071" s="422" t="s">
        <v>919</v>
      </c>
      <c r="E1071" s="423"/>
      <c r="F1071" s="424"/>
      <c r="G1071" s="425"/>
      <c r="H1071" s="651"/>
      <c r="I1071" s="420">
        <v>1066.3399999999999</v>
      </c>
      <c r="J1071" s="420">
        <f t="shared" si="293"/>
        <v>1066.3399999999999</v>
      </c>
      <c r="K1071" s="421">
        <f t="shared" si="292"/>
        <v>1266.92</v>
      </c>
      <c r="L1071" s="647" t="s">
        <v>2065</v>
      </c>
      <c r="M1071" s="576"/>
      <c r="N1071" s="576">
        <f t="shared" si="295"/>
        <v>0</v>
      </c>
      <c r="O1071" s="577">
        <f t="shared" si="289"/>
        <v>0</v>
      </c>
      <c r="P1071" s="578">
        <f t="shared" si="290"/>
        <v>0</v>
      </c>
      <c r="Q1071" s="765"/>
      <c r="R1071" s="576">
        <f t="shared" si="286"/>
        <v>0</v>
      </c>
      <c r="S1071" s="576">
        <f t="shared" si="286"/>
        <v>0</v>
      </c>
      <c r="T1071" s="577">
        <f t="shared" si="287"/>
        <v>0</v>
      </c>
      <c r="U1071" s="578">
        <f t="shared" si="288"/>
        <v>0</v>
      </c>
      <c r="V1071" s="579"/>
      <c r="W1071" s="566"/>
      <c r="X1071" s="586" t="str">
        <f t="shared" si="291"/>
        <v/>
      </c>
      <c r="Y1071" s="586" t="str">
        <f t="shared" si="296"/>
        <v/>
      </c>
      <c r="Z1071" s="586" t="str">
        <f t="shared" si="294"/>
        <v/>
      </c>
    </row>
    <row r="1072" spans="1:26" ht="23.25" hidden="1" thickBot="1" x14ac:dyDescent="0.25">
      <c r="A1072" s="567">
        <v>101521</v>
      </c>
      <c r="B1072" s="644">
        <v>101521</v>
      </c>
      <c r="C1072" s="645" t="s">
        <v>670</v>
      </c>
      <c r="D1072" s="422" t="s">
        <v>920</v>
      </c>
      <c r="E1072" s="423"/>
      <c r="F1072" s="424"/>
      <c r="G1072" s="425"/>
      <c r="H1072" s="651"/>
      <c r="I1072" s="420">
        <v>1101.6300000000001</v>
      </c>
      <c r="J1072" s="420">
        <f t="shared" si="293"/>
        <v>1101.6300000000001</v>
      </c>
      <c r="K1072" s="421">
        <f t="shared" si="292"/>
        <v>1308.8499999999999</v>
      </c>
      <c r="L1072" s="647" t="s">
        <v>2065</v>
      </c>
      <c r="M1072" s="576"/>
      <c r="N1072" s="576">
        <f t="shared" si="295"/>
        <v>0</v>
      </c>
      <c r="O1072" s="577">
        <f t="shared" si="289"/>
        <v>0</v>
      </c>
      <c r="P1072" s="578">
        <f t="shared" si="290"/>
        <v>0</v>
      </c>
      <c r="Q1072" s="765"/>
      <c r="R1072" s="576">
        <f t="shared" si="286"/>
        <v>0</v>
      </c>
      <c r="S1072" s="576">
        <f t="shared" si="286"/>
        <v>0</v>
      </c>
      <c r="T1072" s="577">
        <f t="shared" si="287"/>
        <v>0</v>
      </c>
      <c r="U1072" s="578">
        <f t="shared" si="288"/>
        <v>0</v>
      </c>
      <c r="V1072" s="579"/>
      <c r="W1072" s="566"/>
      <c r="X1072" s="586" t="str">
        <f t="shared" si="291"/>
        <v/>
      </c>
      <c r="Y1072" s="586" t="str">
        <f t="shared" si="296"/>
        <v/>
      </c>
      <c r="Z1072" s="586" t="str">
        <f t="shared" si="294"/>
        <v/>
      </c>
    </row>
    <row r="1073" spans="1:26" ht="23.25" hidden="1" thickBot="1" x14ac:dyDescent="0.25">
      <c r="A1073" s="567">
        <v>101522</v>
      </c>
      <c r="B1073" s="644">
        <v>101522</v>
      </c>
      <c r="C1073" s="645" t="s">
        <v>670</v>
      </c>
      <c r="D1073" s="422" t="s">
        <v>921</v>
      </c>
      <c r="E1073" s="423"/>
      <c r="F1073" s="424"/>
      <c r="G1073" s="425"/>
      <c r="H1073" s="651"/>
      <c r="I1073" s="420">
        <v>1268.3499999999999</v>
      </c>
      <c r="J1073" s="420">
        <f t="shared" si="293"/>
        <v>1268.3499999999999</v>
      </c>
      <c r="K1073" s="421">
        <f t="shared" si="292"/>
        <v>1506.93</v>
      </c>
      <c r="L1073" s="647" t="s">
        <v>2065</v>
      </c>
      <c r="M1073" s="576"/>
      <c r="N1073" s="576">
        <f t="shared" si="295"/>
        <v>0</v>
      </c>
      <c r="O1073" s="577">
        <f t="shared" si="289"/>
        <v>0</v>
      </c>
      <c r="P1073" s="578">
        <f t="shared" si="290"/>
        <v>0</v>
      </c>
      <c r="Q1073" s="765"/>
      <c r="R1073" s="576">
        <f t="shared" si="286"/>
        <v>0</v>
      </c>
      <c r="S1073" s="576">
        <f t="shared" si="286"/>
        <v>0</v>
      </c>
      <c r="T1073" s="577">
        <f t="shared" si="287"/>
        <v>0</v>
      </c>
      <c r="U1073" s="578">
        <f t="shared" si="288"/>
        <v>0</v>
      </c>
      <c r="V1073" s="579"/>
      <c r="W1073" s="566"/>
      <c r="X1073" s="586" t="str">
        <f t="shared" si="291"/>
        <v/>
      </c>
      <c r="Y1073" s="586" t="str">
        <f t="shared" si="296"/>
        <v/>
      </c>
      <c r="Z1073" s="586" t="str">
        <f t="shared" si="294"/>
        <v/>
      </c>
    </row>
    <row r="1074" spans="1:26" ht="23.25" hidden="1" thickBot="1" x14ac:dyDescent="0.25">
      <c r="A1074" s="567">
        <v>101523</v>
      </c>
      <c r="B1074" s="644">
        <v>101523</v>
      </c>
      <c r="C1074" s="645" t="s">
        <v>670</v>
      </c>
      <c r="D1074" s="422" t="s">
        <v>922</v>
      </c>
      <c r="E1074" s="423"/>
      <c r="F1074" s="424"/>
      <c r="G1074" s="425"/>
      <c r="H1074" s="651"/>
      <c r="I1074" s="420">
        <v>1321.81</v>
      </c>
      <c r="J1074" s="420">
        <f t="shared" si="293"/>
        <v>1321.81</v>
      </c>
      <c r="K1074" s="421">
        <f t="shared" si="292"/>
        <v>1570.44</v>
      </c>
      <c r="L1074" s="647" t="s">
        <v>2065</v>
      </c>
      <c r="M1074" s="576"/>
      <c r="N1074" s="576">
        <f t="shared" si="295"/>
        <v>0</v>
      </c>
      <c r="O1074" s="577">
        <f t="shared" si="289"/>
        <v>0</v>
      </c>
      <c r="P1074" s="578">
        <f t="shared" si="290"/>
        <v>0</v>
      </c>
      <c r="Q1074" s="765"/>
      <c r="R1074" s="576">
        <f t="shared" si="286"/>
        <v>0</v>
      </c>
      <c r="S1074" s="576">
        <f t="shared" si="286"/>
        <v>0</v>
      </c>
      <c r="T1074" s="577">
        <f t="shared" si="287"/>
        <v>0</v>
      </c>
      <c r="U1074" s="578">
        <f t="shared" si="288"/>
        <v>0</v>
      </c>
      <c r="V1074" s="579"/>
      <c r="W1074" s="566"/>
      <c r="X1074" s="586" t="str">
        <f t="shared" si="291"/>
        <v/>
      </c>
      <c r="Y1074" s="586" t="str">
        <f t="shared" si="296"/>
        <v/>
      </c>
      <c r="Z1074" s="586" t="str">
        <f t="shared" si="294"/>
        <v/>
      </c>
    </row>
    <row r="1075" spans="1:26" ht="23.25" hidden="1" thickBot="1" x14ac:dyDescent="0.25">
      <c r="A1075" s="567">
        <v>101524</v>
      </c>
      <c r="B1075" s="644">
        <v>101524</v>
      </c>
      <c r="C1075" s="645" t="s">
        <v>670</v>
      </c>
      <c r="D1075" s="422" t="s">
        <v>923</v>
      </c>
      <c r="E1075" s="423"/>
      <c r="F1075" s="424"/>
      <c r="G1075" s="425"/>
      <c r="H1075" s="651"/>
      <c r="I1075" s="420">
        <v>1510.9</v>
      </c>
      <c r="J1075" s="420">
        <f t="shared" si="293"/>
        <v>1510.9</v>
      </c>
      <c r="K1075" s="421">
        <f t="shared" si="292"/>
        <v>1795.1</v>
      </c>
      <c r="L1075" s="647" t="s">
        <v>2065</v>
      </c>
      <c r="M1075" s="576"/>
      <c r="N1075" s="576">
        <f t="shared" si="295"/>
        <v>0</v>
      </c>
      <c r="O1075" s="577">
        <f t="shared" si="289"/>
        <v>0</v>
      </c>
      <c r="P1075" s="578">
        <f t="shared" si="290"/>
        <v>0</v>
      </c>
      <c r="Q1075" s="765"/>
      <c r="R1075" s="576">
        <f t="shared" si="286"/>
        <v>0</v>
      </c>
      <c r="S1075" s="576">
        <f t="shared" si="286"/>
        <v>0</v>
      </c>
      <c r="T1075" s="577">
        <f t="shared" si="287"/>
        <v>0</v>
      </c>
      <c r="U1075" s="578">
        <f t="shared" si="288"/>
        <v>0</v>
      </c>
      <c r="V1075" s="579"/>
      <c r="W1075" s="566"/>
      <c r="X1075" s="586" t="str">
        <f t="shared" si="291"/>
        <v/>
      </c>
      <c r="Y1075" s="586" t="str">
        <f t="shared" si="296"/>
        <v/>
      </c>
      <c r="Z1075" s="586" t="str">
        <f t="shared" si="294"/>
        <v/>
      </c>
    </row>
    <row r="1076" spans="1:26" ht="23.25" hidden="1" thickBot="1" x14ac:dyDescent="0.25">
      <c r="A1076" s="567">
        <v>101525</v>
      </c>
      <c r="B1076" s="644">
        <v>101525</v>
      </c>
      <c r="C1076" s="645" t="s">
        <v>670</v>
      </c>
      <c r="D1076" s="422" t="s">
        <v>924</v>
      </c>
      <c r="E1076" s="423"/>
      <c r="F1076" s="424"/>
      <c r="G1076" s="425"/>
      <c r="H1076" s="651"/>
      <c r="I1076" s="420">
        <v>1091.83</v>
      </c>
      <c r="J1076" s="420">
        <f t="shared" si="293"/>
        <v>1091.83</v>
      </c>
      <c r="K1076" s="421">
        <f t="shared" si="292"/>
        <v>1297.2</v>
      </c>
      <c r="L1076" s="647" t="s">
        <v>2065</v>
      </c>
      <c r="M1076" s="576"/>
      <c r="N1076" s="576">
        <f t="shared" si="295"/>
        <v>0</v>
      </c>
      <c r="O1076" s="577">
        <f t="shared" si="289"/>
        <v>0</v>
      </c>
      <c r="P1076" s="578">
        <f t="shared" si="290"/>
        <v>0</v>
      </c>
      <c r="Q1076" s="765"/>
      <c r="R1076" s="576">
        <f t="shared" ref="R1076:S1139" si="297">M1076</f>
        <v>0</v>
      </c>
      <c r="S1076" s="576">
        <f t="shared" si="297"/>
        <v>0</v>
      </c>
      <c r="T1076" s="577">
        <f t="shared" ref="T1076:T1139" si="298">IF(ISBLANK(R1076),0,ROUND(K1076*R1076,2))</f>
        <v>0</v>
      </c>
      <c r="U1076" s="578">
        <f t="shared" ref="U1076:U1139" si="299">IF(ISBLANK(R1076),0,ROUND(R1076*S1076,2))</f>
        <v>0</v>
      </c>
      <c r="V1076" s="579"/>
      <c r="W1076" s="566"/>
      <c r="X1076" s="586" t="str">
        <f t="shared" si="291"/>
        <v/>
      </c>
      <c r="Y1076" s="586" t="str">
        <f t="shared" si="296"/>
        <v/>
      </c>
      <c r="Z1076" s="586" t="str">
        <f t="shared" si="294"/>
        <v/>
      </c>
    </row>
    <row r="1077" spans="1:26" ht="23.25" hidden="1" thickBot="1" x14ac:dyDescent="0.25">
      <c r="A1077" s="567">
        <v>101526</v>
      </c>
      <c r="B1077" s="644">
        <v>101526</v>
      </c>
      <c r="C1077" s="645" t="s">
        <v>670</v>
      </c>
      <c r="D1077" s="422" t="s">
        <v>925</v>
      </c>
      <c r="E1077" s="423"/>
      <c r="F1077" s="424"/>
      <c r="G1077" s="425"/>
      <c r="H1077" s="651"/>
      <c r="I1077" s="420">
        <v>1258.55</v>
      </c>
      <c r="J1077" s="420">
        <f t="shared" si="293"/>
        <v>1258.55</v>
      </c>
      <c r="K1077" s="421">
        <f t="shared" si="292"/>
        <v>1495.28</v>
      </c>
      <c r="L1077" s="647" t="s">
        <v>2065</v>
      </c>
      <c r="M1077" s="576"/>
      <c r="N1077" s="576">
        <f t="shared" si="295"/>
        <v>0</v>
      </c>
      <c r="O1077" s="577">
        <f t="shared" ref="O1077:O1140" si="300">IF(ISBLANK(M1077),0,ROUND(K1077*M1077,2))</f>
        <v>0</v>
      </c>
      <c r="P1077" s="578">
        <f t="shared" ref="P1077:P1140" si="301">IF(ISBLANK(N1077),0,ROUND(M1077*N1077,2))</f>
        <v>0</v>
      </c>
      <c r="Q1077" s="765"/>
      <c r="R1077" s="576">
        <f t="shared" si="297"/>
        <v>0</v>
      </c>
      <c r="S1077" s="576">
        <f t="shared" si="297"/>
        <v>0</v>
      </c>
      <c r="T1077" s="577">
        <f t="shared" si="298"/>
        <v>0</v>
      </c>
      <c r="U1077" s="578">
        <f t="shared" si="299"/>
        <v>0</v>
      </c>
      <c r="V1077" s="579"/>
      <c r="W1077" s="566"/>
      <c r="X1077" s="586" t="str">
        <f t="shared" si="291"/>
        <v/>
      </c>
      <c r="Y1077" s="586" t="str">
        <f t="shared" si="296"/>
        <v/>
      </c>
      <c r="Z1077" s="586" t="str">
        <f t="shared" si="294"/>
        <v/>
      </c>
    </row>
    <row r="1078" spans="1:26" ht="23.25" hidden="1" thickBot="1" x14ac:dyDescent="0.25">
      <c r="A1078" s="567">
        <v>101527</v>
      </c>
      <c r="B1078" s="644">
        <v>101527</v>
      </c>
      <c r="C1078" s="645" t="s">
        <v>670</v>
      </c>
      <c r="D1078" s="422" t="s">
        <v>926</v>
      </c>
      <c r="E1078" s="423"/>
      <c r="F1078" s="424"/>
      <c r="G1078" s="425"/>
      <c r="H1078" s="651"/>
      <c r="I1078" s="420">
        <v>1312.01</v>
      </c>
      <c r="J1078" s="420">
        <f t="shared" si="293"/>
        <v>1312.01</v>
      </c>
      <c r="K1078" s="421">
        <f t="shared" si="292"/>
        <v>1558.8</v>
      </c>
      <c r="L1078" s="647" t="s">
        <v>2065</v>
      </c>
      <c r="M1078" s="576"/>
      <c r="N1078" s="576">
        <f t="shared" si="295"/>
        <v>0</v>
      </c>
      <c r="O1078" s="577">
        <f t="shared" si="300"/>
        <v>0</v>
      </c>
      <c r="P1078" s="578">
        <f t="shared" si="301"/>
        <v>0</v>
      </c>
      <c r="Q1078" s="765"/>
      <c r="R1078" s="576">
        <f t="shared" si="297"/>
        <v>0</v>
      </c>
      <c r="S1078" s="576">
        <f t="shared" si="297"/>
        <v>0</v>
      </c>
      <c r="T1078" s="577">
        <f t="shared" si="298"/>
        <v>0</v>
      </c>
      <c r="U1078" s="578">
        <f t="shared" si="299"/>
        <v>0</v>
      </c>
      <c r="V1078" s="579"/>
      <c r="W1078" s="566"/>
      <c r="X1078" s="586" t="str">
        <f t="shared" si="291"/>
        <v/>
      </c>
      <c r="Y1078" s="586" t="str">
        <f t="shared" si="296"/>
        <v/>
      </c>
      <c r="Z1078" s="586" t="str">
        <f t="shared" si="294"/>
        <v/>
      </c>
    </row>
    <row r="1079" spans="1:26" ht="23.25" hidden="1" thickBot="1" x14ac:dyDescent="0.25">
      <c r="A1079" s="567">
        <v>101528</v>
      </c>
      <c r="B1079" s="644">
        <v>101528</v>
      </c>
      <c r="C1079" s="645" t="s">
        <v>670</v>
      </c>
      <c r="D1079" s="422" t="s">
        <v>927</v>
      </c>
      <c r="E1079" s="423"/>
      <c r="F1079" s="424"/>
      <c r="G1079" s="425"/>
      <c r="H1079" s="651"/>
      <c r="I1079" s="420">
        <v>1501.1</v>
      </c>
      <c r="J1079" s="420">
        <f t="shared" si="293"/>
        <v>1501.1</v>
      </c>
      <c r="K1079" s="421">
        <f t="shared" si="292"/>
        <v>1783.46</v>
      </c>
      <c r="L1079" s="647" t="s">
        <v>2065</v>
      </c>
      <c r="M1079" s="576"/>
      <c r="N1079" s="576">
        <f t="shared" si="295"/>
        <v>0</v>
      </c>
      <c r="O1079" s="577">
        <f t="shared" si="300"/>
        <v>0</v>
      </c>
      <c r="P1079" s="578">
        <f t="shared" si="301"/>
        <v>0</v>
      </c>
      <c r="Q1079" s="765"/>
      <c r="R1079" s="576">
        <f t="shared" si="297"/>
        <v>0</v>
      </c>
      <c r="S1079" s="576">
        <f t="shared" si="297"/>
        <v>0</v>
      </c>
      <c r="T1079" s="577">
        <f t="shared" si="298"/>
        <v>0</v>
      </c>
      <c r="U1079" s="578">
        <f t="shared" si="299"/>
        <v>0</v>
      </c>
      <c r="V1079" s="579"/>
      <c r="W1079" s="566"/>
      <c r="X1079" s="586" t="str">
        <f t="shared" si="291"/>
        <v/>
      </c>
      <c r="Y1079" s="586" t="str">
        <f t="shared" si="296"/>
        <v/>
      </c>
      <c r="Z1079" s="586" t="str">
        <f t="shared" si="294"/>
        <v/>
      </c>
    </row>
    <row r="1080" spans="1:26" ht="23.25" hidden="1" thickBot="1" x14ac:dyDescent="0.25">
      <c r="A1080" s="567">
        <v>101529</v>
      </c>
      <c r="B1080" s="644">
        <v>101529</v>
      </c>
      <c r="C1080" s="645" t="s">
        <v>670</v>
      </c>
      <c r="D1080" s="422" t="s">
        <v>928</v>
      </c>
      <c r="E1080" s="423"/>
      <c r="F1080" s="424"/>
      <c r="G1080" s="425"/>
      <c r="H1080" s="651"/>
      <c r="I1080" s="420">
        <v>1234.79</v>
      </c>
      <c r="J1080" s="420">
        <f t="shared" si="293"/>
        <v>1234.79</v>
      </c>
      <c r="K1080" s="421">
        <f t="shared" si="292"/>
        <v>1467.05</v>
      </c>
      <c r="L1080" s="647" t="s">
        <v>2065</v>
      </c>
      <c r="M1080" s="576"/>
      <c r="N1080" s="576">
        <f t="shared" si="295"/>
        <v>0</v>
      </c>
      <c r="O1080" s="577">
        <f t="shared" si="300"/>
        <v>0</v>
      </c>
      <c r="P1080" s="578">
        <f t="shared" si="301"/>
        <v>0</v>
      </c>
      <c r="Q1080" s="765"/>
      <c r="R1080" s="576">
        <f t="shared" si="297"/>
        <v>0</v>
      </c>
      <c r="S1080" s="576">
        <f t="shared" si="297"/>
        <v>0</v>
      </c>
      <c r="T1080" s="577">
        <f t="shared" si="298"/>
        <v>0</v>
      </c>
      <c r="U1080" s="578">
        <f t="shared" si="299"/>
        <v>0</v>
      </c>
      <c r="V1080" s="579"/>
      <c r="W1080" s="566"/>
      <c r="X1080" s="586" t="str">
        <f t="shared" si="291"/>
        <v/>
      </c>
      <c r="Y1080" s="586" t="str">
        <f t="shared" si="296"/>
        <v/>
      </c>
      <c r="Z1080" s="586" t="str">
        <f t="shared" si="294"/>
        <v/>
      </c>
    </row>
    <row r="1081" spans="1:26" ht="23.25" hidden="1" thickBot="1" x14ac:dyDescent="0.25">
      <c r="A1081" s="567">
        <v>101530</v>
      </c>
      <c r="B1081" s="644">
        <v>101530</v>
      </c>
      <c r="C1081" s="645" t="s">
        <v>670</v>
      </c>
      <c r="D1081" s="422" t="s">
        <v>929</v>
      </c>
      <c r="E1081" s="423"/>
      <c r="F1081" s="424"/>
      <c r="G1081" s="425"/>
      <c r="H1081" s="651"/>
      <c r="I1081" s="420">
        <v>1457.08</v>
      </c>
      <c r="J1081" s="420">
        <f t="shared" si="293"/>
        <v>1457.08</v>
      </c>
      <c r="K1081" s="421">
        <f t="shared" si="292"/>
        <v>1731.16</v>
      </c>
      <c r="L1081" s="647" t="s">
        <v>2065</v>
      </c>
      <c r="M1081" s="576"/>
      <c r="N1081" s="576">
        <f t="shared" si="295"/>
        <v>0</v>
      </c>
      <c r="O1081" s="577">
        <f t="shared" si="300"/>
        <v>0</v>
      </c>
      <c r="P1081" s="578">
        <f t="shared" si="301"/>
        <v>0</v>
      </c>
      <c r="Q1081" s="765"/>
      <c r="R1081" s="576">
        <f t="shared" si="297"/>
        <v>0</v>
      </c>
      <c r="S1081" s="576">
        <f t="shared" si="297"/>
        <v>0</v>
      </c>
      <c r="T1081" s="577">
        <f t="shared" si="298"/>
        <v>0</v>
      </c>
      <c r="U1081" s="578">
        <f t="shared" si="299"/>
        <v>0</v>
      </c>
      <c r="V1081" s="579"/>
      <c r="W1081" s="566"/>
      <c r="X1081" s="586" t="str">
        <f t="shared" si="291"/>
        <v/>
      </c>
      <c r="Y1081" s="586" t="str">
        <f t="shared" si="296"/>
        <v/>
      </c>
      <c r="Z1081" s="586" t="str">
        <f t="shared" si="294"/>
        <v/>
      </c>
    </row>
    <row r="1082" spans="1:26" ht="23.25" hidden="1" thickBot="1" x14ac:dyDescent="0.25">
      <c r="A1082" s="567">
        <v>101531</v>
      </c>
      <c r="B1082" s="644">
        <v>101531</v>
      </c>
      <c r="C1082" s="645" t="s">
        <v>670</v>
      </c>
      <c r="D1082" s="422" t="s">
        <v>930</v>
      </c>
      <c r="E1082" s="423"/>
      <c r="F1082" s="424"/>
      <c r="G1082" s="425"/>
      <c r="H1082" s="651"/>
      <c r="I1082" s="420">
        <v>1528.36</v>
      </c>
      <c r="J1082" s="420">
        <f t="shared" si="293"/>
        <v>1528.36</v>
      </c>
      <c r="K1082" s="421">
        <f t="shared" si="292"/>
        <v>1815.84</v>
      </c>
      <c r="L1082" s="647" t="s">
        <v>2065</v>
      </c>
      <c r="M1082" s="576"/>
      <c r="N1082" s="576">
        <f t="shared" si="295"/>
        <v>0</v>
      </c>
      <c r="O1082" s="577">
        <f t="shared" si="300"/>
        <v>0</v>
      </c>
      <c r="P1082" s="578">
        <f t="shared" si="301"/>
        <v>0</v>
      </c>
      <c r="Q1082" s="765"/>
      <c r="R1082" s="576">
        <f t="shared" si="297"/>
        <v>0</v>
      </c>
      <c r="S1082" s="576">
        <f t="shared" si="297"/>
        <v>0</v>
      </c>
      <c r="T1082" s="577">
        <f t="shared" si="298"/>
        <v>0</v>
      </c>
      <c r="U1082" s="578">
        <f t="shared" si="299"/>
        <v>0</v>
      </c>
      <c r="V1082" s="579"/>
      <c r="W1082" s="566"/>
      <c r="X1082" s="586" t="str">
        <f t="shared" si="291"/>
        <v/>
      </c>
      <c r="Y1082" s="586" t="str">
        <f t="shared" si="296"/>
        <v/>
      </c>
      <c r="Z1082" s="586" t="str">
        <f t="shared" si="294"/>
        <v/>
      </c>
    </row>
    <row r="1083" spans="1:26" ht="23.25" hidden="1" thickBot="1" x14ac:dyDescent="0.25">
      <c r="A1083" s="567">
        <v>101532</v>
      </c>
      <c r="B1083" s="644">
        <v>101532</v>
      </c>
      <c r="C1083" s="645" t="s">
        <v>670</v>
      </c>
      <c r="D1083" s="422" t="s">
        <v>931</v>
      </c>
      <c r="E1083" s="423"/>
      <c r="F1083" s="424"/>
      <c r="G1083" s="425"/>
      <c r="H1083" s="651"/>
      <c r="I1083" s="420">
        <v>1780.48</v>
      </c>
      <c r="J1083" s="420">
        <f t="shared" si="293"/>
        <v>1780.48</v>
      </c>
      <c r="K1083" s="421">
        <f t="shared" si="292"/>
        <v>2115.39</v>
      </c>
      <c r="L1083" s="647" t="s">
        <v>2065</v>
      </c>
      <c r="M1083" s="576"/>
      <c r="N1083" s="576">
        <f t="shared" si="295"/>
        <v>0</v>
      </c>
      <c r="O1083" s="577">
        <f t="shared" si="300"/>
        <v>0</v>
      </c>
      <c r="P1083" s="578">
        <f t="shared" si="301"/>
        <v>0</v>
      </c>
      <c r="Q1083" s="765"/>
      <c r="R1083" s="576">
        <f t="shared" si="297"/>
        <v>0</v>
      </c>
      <c r="S1083" s="576">
        <f t="shared" si="297"/>
        <v>0</v>
      </c>
      <c r="T1083" s="577">
        <f t="shared" si="298"/>
        <v>0</v>
      </c>
      <c r="U1083" s="578">
        <f t="shared" si="299"/>
        <v>0</v>
      </c>
      <c r="V1083" s="579"/>
      <c r="W1083" s="566"/>
      <c r="X1083" s="586" t="str">
        <f t="shared" si="291"/>
        <v/>
      </c>
      <c r="Y1083" s="586" t="str">
        <f t="shared" si="296"/>
        <v/>
      </c>
      <c r="Z1083" s="586" t="str">
        <f t="shared" si="294"/>
        <v/>
      </c>
    </row>
    <row r="1084" spans="1:26" ht="23.25" hidden="1" thickBot="1" x14ac:dyDescent="0.25">
      <c r="A1084" s="567">
        <v>101533</v>
      </c>
      <c r="B1084" s="644">
        <v>101533</v>
      </c>
      <c r="C1084" s="645" t="s">
        <v>670</v>
      </c>
      <c r="D1084" s="422" t="s">
        <v>932</v>
      </c>
      <c r="E1084" s="423"/>
      <c r="F1084" s="424"/>
      <c r="G1084" s="425"/>
      <c r="H1084" s="651"/>
      <c r="I1084" s="420">
        <v>1391.5</v>
      </c>
      <c r="J1084" s="420">
        <f t="shared" si="293"/>
        <v>1391.5</v>
      </c>
      <c r="K1084" s="421">
        <f t="shared" si="292"/>
        <v>1653.24</v>
      </c>
      <c r="L1084" s="647" t="s">
        <v>2065</v>
      </c>
      <c r="M1084" s="576"/>
      <c r="N1084" s="576">
        <f t="shared" si="295"/>
        <v>0</v>
      </c>
      <c r="O1084" s="577">
        <f t="shared" si="300"/>
        <v>0</v>
      </c>
      <c r="P1084" s="578">
        <f t="shared" si="301"/>
        <v>0</v>
      </c>
      <c r="Q1084" s="765"/>
      <c r="R1084" s="576">
        <f t="shared" si="297"/>
        <v>0</v>
      </c>
      <c r="S1084" s="576">
        <f t="shared" si="297"/>
        <v>0</v>
      </c>
      <c r="T1084" s="577">
        <f t="shared" si="298"/>
        <v>0</v>
      </c>
      <c r="U1084" s="578">
        <f t="shared" si="299"/>
        <v>0</v>
      </c>
      <c r="V1084" s="579"/>
      <c r="W1084" s="566"/>
      <c r="X1084" s="586" t="str">
        <f t="shared" si="291"/>
        <v/>
      </c>
      <c r="Y1084" s="586" t="str">
        <f t="shared" si="296"/>
        <v/>
      </c>
      <c r="Z1084" s="586" t="str">
        <f t="shared" si="294"/>
        <v/>
      </c>
    </row>
    <row r="1085" spans="1:26" ht="23.25" hidden="1" thickBot="1" x14ac:dyDescent="0.25">
      <c r="A1085" s="567">
        <v>101534</v>
      </c>
      <c r="B1085" s="644">
        <v>101534</v>
      </c>
      <c r="C1085" s="645" t="s">
        <v>670</v>
      </c>
      <c r="D1085" s="422" t="s">
        <v>933</v>
      </c>
      <c r="E1085" s="423"/>
      <c r="F1085" s="424"/>
      <c r="G1085" s="425"/>
      <c r="H1085" s="651"/>
      <c r="I1085" s="420">
        <v>1613.79</v>
      </c>
      <c r="J1085" s="420">
        <f t="shared" si="293"/>
        <v>1613.79</v>
      </c>
      <c r="K1085" s="421">
        <f t="shared" si="292"/>
        <v>1917.34</v>
      </c>
      <c r="L1085" s="647" t="s">
        <v>2065</v>
      </c>
      <c r="M1085" s="576"/>
      <c r="N1085" s="576">
        <f t="shared" si="295"/>
        <v>0</v>
      </c>
      <c r="O1085" s="577">
        <f t="shared" si="300"/>
        <v>0</v>
      </c>
      <c r="P1085" s="578">
        <f t="shared" si="301"/>
        <v>0</v>
      </c>
      <c r="Q1085" s="765"/>
      <c r="R1085" s="576">
        <f t="shared" si="297"/>
        <v>0</v>
      </c>
      <c r="S1085" s="576">
        <f t="shared" si="297"/>
        <v>0</v>
      </c>
      <c r="T1085" s="577">
        <f t="shared" si="298"/>
        <v>0</v>
      </c>
      <c r="U1085" s="578">
        <f t="shared" si="299"/>
        <v>0</v>
      </c>
      <c r="V1085" s="579"/>
      <c r="W1085" s="566"/>
      <c r="X1085" s="586" t="str">
        <f t="shared" ref="X1085:X1148" si="302">IF(W1085="X","x",IF(W1085="xx","x",IF(W1085="xy","x",IF(W1085="y","x",IF(OR(P1085&gt;0,U1085&gt;0),"x","")))))</f>
        <v/>
      </c>
      <c r="Y1085" s="586" t="str">
        <f t="shared" si="296"/>
        <v/>
      </c>
      <c r="Z1085" s="586" t="str">
        <f t="shared" si="294"/>
        <v/>
      </c>
    </row>
    <row r="1086" spans="1:26" ht="23.25" hidden="1" thickBot="1" x14ac:dyDescent="0.25">
      <c r="A1086" s="567">
        <v>101535</v>
      </c>
      <c r="B1086" s="644">
        <v>101535</v>
      </c>
      <c r="C1086" s="645" t="s">
        <v>670</v>
      </c>
      <c r="D1086" s="422" t="s">
        <v>934</v>
      </c>
      <c r="E1086" s="423"/>
      <c r="F1086" s="424"/>
      <c r="G1086" s="425"/>
      <c r="H1086" s="651"/>
      <c r="I1086" s="420">
        <v>1685.07</v>
      </c>
      <c r="J1086" s="420">
        <f t="shared" si="293"/>
        <v>1685.07</v>
      </c>
      <c r="K1086" s="421">
        <f t="shared" si="292"/>
        <v>2002.03</v>
      </c>
      <c r="L1086" s="647" t="s">
        <v>2065</v>
      </c>
      <c r="M1086" s="576"/>
      <c r="N1086" s="576">
        <f t="shared" si="295"/>
        <v>0</v>
      </c>
      <c r="O1086" s="577">
        <f t="shared" si="300"/>
        <v>0</v>
      </c>
      <c r="P1086" s="578">
        <f t="shared" si="301"/>
        <v>0</v>
      </c>
      <c r="Q1086" s="765"/>
      <c r="R1086" s="576">
        <f t="shared" si="297"/>
        <v>0</v>
      </c>
      <c r="S1086" s="576">
        <f t="shared" si="297"/>
        <v>0</v>
      </c>
      <c r="T1086" s="577">
        <f t="shared" si="298"/>
        <v>0</v>
      </c>
      <c r="U1086" s="578">
        <f t="shared" si="299"/>
        <v>0</v>
      </c>
      <c r="V1086" s="579"/>
      <c r="W1086" s="566"/>
      <c r="X1086" s="586" t="str">
        <f t="shared" si="302"/>
        <v/>
      </c>
      <c r="Y1086" s="586" t="str">
        <f t="shared" si="296"/>
        <v/>
      </c>
      <c r="Z1086" s="586" t="str">
        <f t="shared" si="294"/>
        <v/>
      </c>
    </row>
    <row r="1087" spans="1:26" ht="23.25" hidden="1" thickBot="1" x14ac:dyDescent="0.25">
      <c r="A1087" s="567">
        <v>101536</v>
      </c>
      <c r="B1087" s="644">
        <v>101536</v>
      </c>
      <c r="C1087" s="645" t="s">
        <v>670</v>
      </c>
      <c r="D1087" s="422" t="s">
        <v>935</v>
      </c>
      <c r="E1087" s="423"/>
      <c r="F1087" s="424"/>
      <c r="G1087" s="425"/>
      <c r="H1087" s="651"/>
      <c r="I1087" s="420">
        <v>1937.19</v>
      </c>
      <c r="J1087" s="420">
        <f t="shared" si="293"/>
        <v>1937.19</v>
      </c>
      <c r="K1087" s="421">
        <f t="shared" si="292"/>
        <v>2301.58</v>
      </c>
      <c r="L1087" s="647" t="s">
        <v>2065</v>
      </c>
      <c r="M1087" s="576"/>
      <c r="N1087" s="576">
        <f t="shared" si="295"/>
        <v>0</v>
      </c>
      <c r="O1087" s="577">
        <f t="shared" si="300"/>
        <v>0</v>
      </c>
      <c r="P1087" s="578">
        <f t="shared" si="301"/>
        <v>0</v>
      </c>
      <c r="Q1087" s="765"/>
      <c r="R1087" s="576">
        <f t="shared" si="297"/>
        <v>0</v>
      </c>
      <c r="S1087" s="576">
        <f t="shared" si="297"/>
        <v>0</v>
      </c>
      <c r="T1087" s="577">
        <f t="shared" si="298"/>
        <v>0</v>
      </c>
      <c r="U1087" s="578">
        <f t="shared" si="299"/>
        <v>0</v>
      </c>
      <c r="V1087" s="579"/>
      <c r="W1087" s="566"/>
      <c r="X1087" s="586" t="str">
        <f t="shared" si="302"/>
        <v/>
      </c>
      <c r="Y1087" s="586" t="str">
        <f t="shared" si="296"/>
        <v/>
      </c>
      <c r="Z1087" s="586" t="str">
        <f t="shared" si="294"/>
        <v/>
      </c>
    </row>
    <row r="1088" spans="1:26" ht="23.25" hidden="1" thickBot="1" x14ac:dyDescent="0.25">
      <c r="A1088" s="567" t="s">
        <v>936</v>
      </c>
      <c r="B1088" s="644" t="s">
        <v>936</v>
      </c>
      <c r="C1088" s="645" t="s">
        <v>2094</v>
      </c>
      <c r="D1088" s="422" t="s">
        <v>933</v>
      </c>
      <c r="E1088" s="423"/>
      <c r="F1088" s="424"/>
      <c r="G1088" s="425"/>
      <c r="H1088" s="651"/>
      <c r="I1088" s="420">
        <v>1724.04</v>
      </c>
      <c r="J1088" s="420">
        <f t="shared" si="293"/>
        <v>1724.04</v>
      </c>
      <c r="K1088" s="421">
        <f t="shared" si="292"/>
        <v>2048.33</v>
      </c>
      <c r="L1088" s="647" t="s">
        <v>2065</v>
      </c>
      <c r="M1088" s="576"/>
      <c r="N1088" s="576">
        <f t="shared" si="295"/>
        <v>0</v>
      </c>
      <c r="O1088" s="577">
        <f t="shared" si="300"/>
        <v>0</v>
      </c>
      <c r="P1088" s="578">
        <f t="shared" si="301"/>
        <v>0</v>
      </c>
      <c r="Q1088" s="765"/>
      <c r="R1088" s="576">
        <f t="shared" si="297"/>
        <v>0</v>
      </c>
      <c r="S1088" s="576">
        <f t="shared" si="297"/>
        <v>0</v>
      </c>
      <c r="T1088" s="577">
        <f t="shared" si="298"/>
        <v>0</v>
      </c>
      <c r="U1088" s="578">
        <f t="shared" si="299"/>
        <v>0</v>
      </c>
      <c r="V1088" s="579"/>
      <c r="W1088" s="566"/>
      <c r="X1088" s="586" t="str">
        <f t="shared" si="302"/>
        <v/>
      </c>
      <c r="Y1088" s="586" t="str">
        <f t="shared" si="296"/>
        <v/>
      </c>
      <c r="Z1088" s="586" t="str">
        <f t="shared" si="294"/>
        <v/>
      </c>
    </row>
    <row r="1089" spans="1:26" ht="23.25" hidden="1" thickBot="1" x14ac:dyDescent="0.25">
      <c r="A1089" s="567" t="s">
        <v>937</v>
      </c>
      <c r="B1089" s="644" t="s">
        <v>937</v>
      </c>
      <c r="C1089" s="645" t="s">
        <v>2094</v>
      </c>
      <c r="D1089" s="422" t="s">
        <v>934</v>
      </c>
      <c r="E1089" s="423"/>
      <c r="F1089" s="424"/>
      <c r="G1089" s="425"/>
      <c r="H1089" s="651"/>
      <c r="I1089" s="420">
        <v>1885.63</v>
      </c>
      <c r="J1089" s="420">
        <f t="shared" si="293"/>
        <v>1885.63</v>
      </c>
      <c r="K1089" s="421">
        <f t="shared" si="292"/>
        <v>2240.3200000000002</v>
      </c>
      <c r="L1089" s="647" t="s">
        <v>2065</v>
      </c>
      <c r="M1089" s="576"/>
      <c r="N1089" s="576">
        <f t="shared" si="295"/>
        <v>0</v>
      </c>
      <c r="O1089" s="577">
        <f t="shared" si="300"/>
        <v>0</v>
      </c>
      <c r="P1089" s="578">
        <f t="shared" si="301"/>
        <v>0</v>
      </c>
      <c r="Q1089" s="765"/>
      <c r="R1089" s="576">
        <f t="shared" si="297"/>
        <v>0</v>
      </c>
      <c r="S1089" s="576">
        <f t="shared" si="297"/>
        <v>0</v>
      </c>
      <c r="T1089" s="577">
        <f t="shared" si="298"/>
        <v>0</v>
      </c>
      <c r="U1089" s="578">
        <f t="shared" si="299"/>
        <v>0</v>
      </c>
      <c r="V1089" s="579"/>
      <c r="W1089" s="566"/>
      <c r="X1089" s="586" t="str">
        <f t="shared" si="302"/>
        <v/>
      </c>
      <c r="Y1089" s="586" t="str">
        <f t="shared" si="296"/>
        <v/>
      </c>
      <c r="Z1089" s="586" t="str">
        <f t="shared" si="294"/>
        <v/>
      </c>
    </row>
    <row r="1090" spans="1:26" ht="23.25" hidden="1" thickBot="1" x14ac:dyDescent="0.25">
      <c r="A1090" s="567" t="s">
        <v>938</v>
      </c>
      <c r="B1090" s="644" t="s">
        <v>938</v>
      </c>
      <c r="C1090" s="645" t="s">
        <v>2094</v>
      </c>
      <c r="D1090" s="422" t="s">
        <v>935</v>
      </c>
      <c r="E1090" s="423"/>
      <c r="F1090" s="424"/>
      <c r="G1090" s="425"/>
      <c r="H1090" s="651"/>
      <c r="I1090" s="420">
        <v>2193.96</v>
      </c>
      <c r="J1090" s="420">
        <f t="shared" si="293"/>
        <v>2193.96</v>
      </c>
      <c r="K1090" s="421">
        <f t="shared" si="292"/>
        <v>2606.64</v>
      </c>
      <c r="L1090" s="647" t="s">
        <v>2065</v>
      </c>
      <c r="M1090" s="576"/>
      <c r="N1090" s="576">
        <f t="shared" si="295"/>
        <v>0</v>
      </c>
      <c r="O1090" s="577">
        <f t="shared" si="300"/>
        <v>0</v>
      </c>
      <c r="P1090" s="578">
        <f t="shared" si="301"/>
        <v>0</v>
      </c>
      <c r="Q1090" s="765"/>
      <c r="R1090" s="576">
        <f t="shared" si="297"/>
        <v>0</v>
      </c>
      <c r="S1090" s="576">
        <f t="shared" si="297"/>
        <v>0</v>
      </c>
      <c r="T1090" s="577">
        <f t="shared" si="298"/>
        <v>0</v>
      </c>
      <c r="U1090" s="578">
        <f t="shared" si="299"/>
        <v>0</v>
      </c>
      <c r="V1090" s="579"/>
      <c r="W1090" s="566"/>
      <c r="X1090" s="586" t="str">
        <f t="shared" si="302"/>
        <v/>
      </c>
      <c r="Y1090" s="586" t="str">
        <f t="shared" si="296"/>
        <v/>
      </c>
      <c r="Z1090" s="586" t="str">
        <f t="shared" si="294"/>
        <v/>
      </c>
    </row>
    <row r="1091" spans="1:26" ht="12" hidden="1" thickBot="1" x14ac:dyDescent="0.25">
      <c r="A1091" s="567" t="s">
        <v>939</v>
      </c>
      <c r="B1091" s="644" t="s">
        <v>939</v>
      </c>
      <c r="C1091" s="645" t="s">
        <v>2094</v>
      </c>
      <c r="D1091" s="422" t="s">
        <v>940</v>
      </c>
      <c r="E1091" s="423"/>
      <c r="F1091" s="424"/>
      <c r="G1091" s="425"/>
      <c r="H1091" s="651"/>
      <c r="I1091" s="420">
        <v>2469.5</v>
      </c>
      <c r="J1091" s="420">
        <f t="shared" si="293"/>
        <v>2469.5</v>
      </c>
      <c r="K1091" s="421">
        <f t="shared" si="292"/>
        <v>2934.01</v>
      </c>
      <c r="L1091" s="647" t="s">
        <v>2065</v>
      </c>
      <c r="M1091" s="576"/>
      <c r="N1091" s="576">
        <f t="shared" si="295"/>
        <v>0</v>
      </c>
      <c r="O1091" s="577">
        <f t="shared" si="300"/>
        <v>0</v>
      </c>
      <c r="P1091" s="578">
        <f t="shared" si="301"/>
        <v>0</v>
      </c>
      <c r="Q1091" s="765"/>
      <c r="R1091" s="576">
        <f t="shared" si="297"/>
        <v>0</v>
      </c>
      <c r="S1091" s="576">
        <f t="shared" si="297"/>
        <v>0</v>
      </c>
      <c r="T1091" s="577">
        <f t="shared" si="298"/>
        <v>0</v>
      </c>
      <c r="U1091" s="578">
        <f t="shared" si="299"/>
        <v>0</v>
      </c>
      <c r="V1091" s="579"/>
      <c r="W1091" s="566"/>
      <c r="X1091" s="586" t="str">
        <f t="shared" si="302"/>
        <v/>
      </c>
      <c r="Y1091" s="586" t="str">
        <f t="shared" si="296"/>
        <v/>
      </c>
      <c r="Z1091" s="586" t="str">
        <f t="shared" si="294"/>
        <v/>
      </c>
    </row>
    <row r="1092" spans="1:26" ht="12" hidden="1" thickBot="1" x14ac:dyDescent="0.25">
      <c r="A1092" s="567" t="s">
        <v>941</v>
      </c>
      <c r="B1092" s="644" t="s">
        <v>941</v>
      </c>
      <c r="C1092" s="645" t="s">
        <v>2094</v>
      </c>
      <c r="D1092" s="422" t="s">
        <v>942</v>
      </c>
      <c r="E1092" s="423"/>
      <c r="F1092" s="424"/>
      <c r="G1092" s="425"/>
      <c r="H1092" s="651"/>
      <c r="I1092" s="420">
        <v>3665.37</v>
      </c>
      <c r="J1092" s="420">
        <f t="shared" si="293"/>
        <v>3665.37</v>
      </c>
      <c r="K1092" s="421">
        <f t="shared" si="292"/>
        <v>4354.83</v>
      </c>
      <c r="L1092" s="647" t="s">
        <v>2065</v>
      </c>
      <c r="M1092" s="576"/>
      <c r="N1092" s="576">
        <f t="shared" si="295"/>
        <v>0</v>
      </c>
      <c r="O1092" s="577">
        <f t="shared" si="300"/>
        <v>0</v>
      </c>
      <c r="P1092" s="578">
        <f t="shared" si="301"/>
        <v>0</v>
      </c>
      <c r="Q1092" s="765"/>
      <c r="R1092" s="576">
        <f t="shared" si="297"/>
        <v>0</v>
      </c>
      <c r="S1092" s="576">
        <f t="shared" si="297"/>
        <v>0</v>
      </c>
      <c r="T1092" s="577">
        <f t="shared" si="298"/>
        <v>0</v>
      </c>
      <c r="U1092" s="578">
        <f t="shared" si="299"/>
        <v>0</v>
      </c>
      <c r="V1092" s="579"/>
      <c r="W1092" s="566"/>
      <c r="X1092" s="586" t="str">
        <f t="shared" si="302"/>
        <v/>
      </c>
      <c r="Y1092" s="586" t="str">
        <f t="shared" si="296"/>
        <v/>
      </c>
      <c r="Z1092" s="586" t="str">
        <f t="shared" si="294"/>
        <v/>
      </c>
    </row>
    <row r="1093" spans="1:26" ht="12" hidden="1" thickBot="1" x14ac:dyDescent="0.25">
      <c r="A1093" s="567" t="s">
        <v>943</v>
      </c>
      <c r="B1093" s="644" t="s">
        <v>943</v>
      </c>
      <c r="C1093" s="645" t="s">
        <v>2094</v>
      </c>
      <c r="D1093" s="422" t="s">
        <v>944</v>
      </c>
      <c r="E1093" s="423"/>
      <c r="F1093" s="424"/>
      <c r="G1093" s="425"/>
      <c r="H1093" s="651"/>
      <c r="I1093" s="420">
        <v>4606.5</v>
      </c>
      <c r="J1093" s="420">
        <f t="shared" si="293"/>
        <v>4606.5</v>
      </c>
      <c r="K1093" s="421">
        <f t="shared" si="292"/>
        <v>5472.98</v>
      </c>
      <c r="L1093" s="647" t="s">
        <v>2065</v>
      </c>
      <c r="M1093" s="576"/>
      <c r="N1093" s="576">
        <f t="shared" si="295"/>
        <v>0</v>
      </c>
      <c r="O1093" s="577">
        <f t="shared" si="300"/>
        <v>0</v>
      </c>
      <c r="P1093" s="578">
        <f t="shared" si="301"/>
        <v>0</v>
      </c>
      <c r="Q1093" s="765"/>
      <c r="R1093" s="576">
        <f t="shared" si="297"/>
        <v>0</v>
      </c>
      <c r="S1093" s="576">
        <f t="shared" si="297"/>
        <v>0</v>
      </c>
      <c r="T1093" s="577">
        <f t="shared" si="298"/>
        <v>0</v>
      </c>
      <c r="U1093" s="578">
        <f t="shared" si="299"/>
        <v>0</v>
      </c>
      <c r="V1093" s="579"/>
      <c r="W1093" s="566"/>
      <c r="X1093" s="586" t="str">
        <f t="shared" si="302"/>
        <v/>
      </c>
      <c r="Y1093" s="586" t="str">
        <f t="shared" si="296"/>
        <v/>
      </c>
      <c r="Z1093" s="586" t="str">
        <f t="shared" si="294"/>
        <v/>
      </c>
    </row>
    <row r="1094" spans="1:26" ht="12" hidden="1" thickBot="1" x14ac:dyDescent="0.25">
      <c r="A1094" s="567">
        <v>96984</v>
      </c>
      <c r="B1094" s="644">
        <v>96984</v>
      </c>
      <c r="C1094" s="645" t="s">
        <v>670</v>
      </c>
      <c r="D1094" s="422" t="s">
        <v>945</v>
      </c>
      <c r="E1094" s="423"/>
      <c r="F1094" s="424"/>
      <c r="G1094" s="425"/>
      <c r="H1094" s="651"/>
      <c r="I1094" s="420">
        <v>65.59</v>
      </c>
      <c r="J1094" s="420">
        <f t="shared" si="293"/>
        <v>65.59</v>
      </c>
      <c r="K1094" s="421">
        <f t="shared" si="292"/>
        <v>77.930000000000007</v>
      </c>
      <c r="L1094" s="647" t="s">
        <v>2065</v>
      </c>
      <c r="M1094" s="576"/>
      <c r="N1094" s="576">
        <f t="shared" si="295"/>
        <v>0</v>
      </c>
      <c r="O1094" s="577">
        <f t="shared" si="300"/>
        <v>0</v>
      </c>
      <c r="P1094" s="578">
        <f t="shared" si="301"/>
        <v>0</v>
      </c>
      <c r="Q1094" s="765"/>
      <c r="R1094" s="576">
        <f t="shared" si="297"/>
        <v>0</v>
      </c>
      <c r="S1094" s="576">
        <f t="shared" si="297"/>
        <v>0</v>
      </c>
      <c r="T1094" s="577">
        <f t="shared" si="298"/>
        <v>0</v>
      </c>
      <c r="U1094" s="578">
        <f t="shared" si="299"/>
        <v>0</v>
      </c>
      <c r="V1094" s="579"/>
      <c r="W1094" s="566"/>
      <c r="X1094" s="586" t="str">
        <f t="shared" si="302"/>
        <v/>
      </c>
      <c r="Y1094" s="586" t="str">
        <f t="shared" si="296"/>
        <v/>
      </c>
      <c r="Z1094" s="586" t="str">
        <f t="shared" si="294"/>
        <v/>
      </c>
    </row>
    <row r="1095" spans="1:26" ht="23.25" hidden="1" thickBot="1" x14ac:dyDescent="0.25">
      <c r="A1095" s="567">
        <v>91831</v>
      </c>
      <c r="B1095" s="644">
        <v>91831</v>
      </c>
      <c r="C1095" s="645" t="s">
        <v>670</v>
      </c>
      <c r="D1095" s="422" t="s">
        <v>946</v>
      </c>
      <c r="E1095" s="423"/>
      <c r="F1095" s="424"/>
      <c r="G1095" s="425"/>
      <c r="H1095" s="651"/>
      <c r="I1095" s="420">
        <v>9.01</v>
      </c>
      <c r="J1095" s="420">
        <f t="shared" si="293"/>
        <v>9.01</v>
      </c>
      <c r="K1095" s="421">
        <f t="shared" si="292"/>
        <v>10.7</v>
      </c>
      <c r="L1095" s="647" t="s">
        <v>79</v>
      </c>
      <c r="M1095" s="576"/>
      <c r="N1095" s="576">
        <f t="shared" si="295"/>
        <v>0</v>
      </c>
      <c r="O1095" s="577">
        <f t="shared" si="300"/>
        <v>0</v>
      </c>
      <c r="P1095" s="578">
        <f t="shared" si="301"/>
        <v>0</v>
      </c>
      <c r="Q1095" s="765"/>
      <c r="R1095" s="576">
        <f t="shared" si="297"/>
        <v>0</v>
      </c>
      <c r="S1095" s="576">
        <f t="shared" si="297"/>
        <v>0</v>
      </c>
      <c r="T1095" s="577">
        <f t="shared" si="298"/>
        <v>0</v>
      </c>
      <c r="U1095" s="578">
        <f t="shared" si="299"/>
        <v>0</v>
      </c>
      <c r="V1095" s="579"/>
      <c r="W1095" s="566"/>
      <c r="X1095" s="586" t="str">
        <f t="shared" si="302"/>
        <v/>
      </c>
      <c r="Y1095" s="586" t="str">
        <f t="shared" si="296"/>
        <v/>
      </c>
      <c r="Z1095" s="586" t="str">
        <f t="shared" si="294"/>
        <v/>
      </c>
    </row>
    <row r="1096" spans="1:26" ht="23.25" hidden="1" thickBot="1" x14ac:dyDescent="0.25">
      <c r="A1096" s="567">
        <v>91834</v>
      </c>
      <c r="B1096" s="644">
        <v>91834</v>
      </c>
      <c r="C1096" s="645" t="s">
        <v>670</v>
      </c>
      <c r="D1096" s="422" t="s">
        <v>947</v>
      </c>
      <c r="E1096" s="423"/>
      <c r="F1096" s="424"/>
      <c r="G1096" s="425"/>
      <c r="H1096" s="651"/>
      <c r="I1096" s="420">
        <v>10.050000000000001</v>
      </c>
      <c r="J1096" s="420">
        <f t="shared" si="293"/>
        <v>10.050000000000001</v>
      </c>
      <c r="K1096" s="421">
        <f t="shared" si="292"/>
        <v>11.94</v>
      </c>
      <c r="L1096" s="647" t="s">
        <v>79</v>
      </c>
      <c r="M1096" s="576"/>
      <c r="N1096" s="576">
        <f t="shared" si="295"/>
        <v>0</v>
      </c>
      <c r="O1096" s="577">
        <f t="shared" si="300"/>
        <v>0</v>
      </c>
      <c r="P1096" s="578">
        <f t="shared" si="301"/>
        <v>0</v>
      </c>
      <c r="Q1096" s="765"/>
      <c r="R1096" s="576">
        <f t="shared" si="297"/>
        <v>0</v>
      </c>
      <c r="S1096" s="576">
        <f t="shared" si="297"/>
        <v>0</v>
      </c>
      <c r="T1096" s="577">
        <f t="shared" si="298"/>
        <v>0</v>
      </c>
      <c r="U1096" s="578">
        <f t="shared" si="299"/>
        <v>0</v>
      </c>
      <c r="V1096" s="579"/>
      <c r="W1096" s="566"/>
      <c r="X1096" s="586" t="str">
        <f t="shared" si="302"/>
        <v/>
      </c>
      <c r="Y1096" s="586" t="str">
        <f t="shared" si="296"/>
        <v/>
      </c>
      <c r="Z1096" s="586" t="str">
        <f t="shared" si="294"/>
        <v/>
      </c>
    </row>
    <row r="1097" spans="1:26" ht="23.25" hidden="1" thickBot="1" x14ac:dyDescent="0.25">
      <c r="A1097" s="567">
        <v>91836</v>
      </c>
      <c r="B1097" s="644">
        <v>91836</v>
      </c>
      <c r="C1097" s="645" t="s">
        <v>670</v>
      </c>
      <c r="D1097" s="422" t="s">
        <v>948</v>
      </c>
      <c r="E1097" s="423"/>
      <c r="F1097" s="424"/>
      <c r="G1097" s="425"/>
      <c r="H1097" s="651"/>
      <c r="I1097" s="420">
        <v>13.39</v>
      </c>
      <c r="J1097" s="420">
        <f t="shared" si="293"/>
        <v>13.39</v>
      </c>
      <c r="K1097" s="421">
        <f t="shared" ref="K1097:K1160" si="303">IF(ISBLANK(I1097),0,ROUND(J1097*(1+$F$10)*(1+$F$11*E1097),2))</f>
        <v>15.91</v>
      </c>
      <c r="L1097" s="647" t="s">
        <v>79</v>
      </c>
      <c r="M1097" s="576"/>
      <c r="N1097" s="576">
        <f t="shared" si="295"/>
        <v>0</v>
      </c>
      <c r="O1097" s="577">
        <f t="shared" si="300"/>
        <v>0</v>
      </c>
      <c r="P1097" s="578">
        <f t="shared" si="301"/>
        <v>0</v>
      </c>
      <c r="Q1097" s="765"/>
      <c r="R1097" s="576">
        <f t="shared" si="297"/>
        <v>0</v>
      </c>
      <c r="S1097" s="576">
        <f t="shared" si="297"/>
        <v>0</v>
      </c>
      <c r="T1097" s="577">
        <f t="shared" si="298"/>
        <v>0</v>
      </c>
      <c r="U1097" s="578">
        <f t="shared" si="299"/>
        <v>0</v>
      </c>
      <c r="V1097" s="579"/>
      <c r="W1097" s="566"/>
      <c r="X1097" s="586" t="str">
        <f t="shared" si="302"/>
        <v/>
      </c>
      <c r="Y1097" s="586" t="str">
        <f t="shared" si="296"/>
        <v/>
      </c>
      <c r="Z1097" s="586" t="str">
        <f t="shared" si="294"/>
        <v/>
      </c>
    </row>
    <row r="1098" spans="1:26" ht="23.25" hidden="1" thickBot="1" x14ac:dyDescent="0.25">
      <c r="A1098" s="567">
        <v>91842</v>
      </c>
      <c r="B1098" s="644">
        <v>91842</v>
      </c>
      <c r="C1098" s="645" t="s">
        <v>670</v>
      </c>
      <c r="D1098" s="422" t="s">
        <v>949</v>
      </c>
      <c r="E1098" s="423"/>
      <c r="F1098" s="424"/>
      <c r="G1098" s="425"/>
      <c r="H1098" s="651"/>
      <c r="I1098" s="420">
        <v>6.74</v>
      </c>
      <c r="J1098" s="420">
        <f t="shared" si="293"/>
        <v>6.74</v>
      </c>
      <c r="K1098" s="421">
        <f t="shared" si="303"/>
        <v>8.01</v>
      </c>
      <c r="L1098" s="647" t="s">
        <v>79</v>
      </c>
      <c r="M1098" s="576"/>
      <c r="N1098" s="576">
        <f t="shared" si="295"/>
        <v>0</v>
      </c>
      <c r="O1098" s="577">
        <f t="shared" si="300"/>
        <v>0</v>
      </c>
      <c r="P1098" s="578">
        <f t="shared" si="301"/>
        <v>0</v>
      </c>
      <c r="Q1098" s="765"/>
      <c r="R1098" s="576">
        <f t="shared" si="297"/>
        <v>0</v>
      </c>
      <c r="S1098" s="576">
        <f t="shared" si="297"/>
        <v>0</v>
      </c>
      <c r="T1098" s="577">
        <f t="shared" si="298"/>
        <v>0</v>
      </c>
      <c r="U1098" s="578">
        <f t="shared" si="299"/>
        <v>0</v>
      </c>
      <c r="V1098" s="579"/>
      <c r="W1098" s="566"/>
      <c r="X1098" s="586" t="str">
        <f t="shared" si="302"/>
        <v/>
      </c>
      <c r="Y1098" s="586" t="str">
        <f t="shared" si="296"/>
        <v/>
      </c>
      <c r="Z1098" s="586" t="str">
        <f t="shared" si="294"/>
        <v/>
      </c>
    </row>
    <row r="1099" spans="1:26" ht="23.25" hidden="1" thickBot="1" x14ac:dyDescent="0.25">
      <c r="A1099" s="567">
        <v>91844</v>
      </c>
      <c r="B1099" s="644">
        <v>91844</v>
      </c>
      <c r="C1099" s="645" t="s">
        <v>670</v>
      </c>
      <c r="D1099" s="422" t="s">
        <v>950</v>
      </c>
      <c r="E1099" s="423"/>
      <c r="F1099" s="424"/>
      <c r="G1099" s="425"/>
      <c r="H1099" s="651"/>
      <c r="I1099" s="420">
        <v>7.79</v>
      </c>
      <c r="J1099" s="420">
        <f t="shared" si="293"/>
        <v>7.79</v>
      </c>
      <c r="K1099" s="421">
        <f t="shared" si="303"/>
        <v>9.26</v>
      </c>
      <c r="L1099" s="647" t="s">
        <v>79</v>
      </c>
      <c r="M1099" s="576"/>
      <c r="N1099" s="576">
        <f t="shared" si="295"/>
        <v>0</v>
      </c>
      <c r="O1099" s="577">
        <f t="shared" si="300"/>
        <v>0</v>
      </c>
      <c r="P1099" s="578">
        <f t="shared" si="301"/>
        <v>0</v>
      </c>
      <c r="Q1099" s="765"/>
      <c r="R1099" s="576">
        <f t="shared" si="297"/>
        <v>0</v>
      </c>
      <c r="S1099" s="576">
        <f t="shared" si="297"/>
        <v>0</v>
      </c>
      <c r="T1099" s="577">
        <f t="shared" si="298"/>
        <v>0</v>
      </c>
      <c r="U1099" s="578">
        <f t="shared" si="299"/>
        <v>0</v>
      </c>
      <c r="V1099" s="579"/>
      <c r="W1099" s="566"/>
      <c r="X1099" s="586" t="str">
        <f t="shared" si="302"/>
        <v/>
      </c>
      <c r="Y1099" s="586" t="str">
        <f t="shared" si="296"/>
        <v/>
      </c>
      <c r="Z1099" s="586" t="str">
        <f t="shared" si="294"/>
        <v/>
      </c>
    </row>
    <row r="1100" spans="1:26" ht="23.25" hidden="1" thickBot="1" x14ac:dyDescent="0.25">
      <c r="A1100" s="567">
        <v>91846</v>
      </c>
      <c r="B1100" s="644">
        <v>91846</v>
      </c>
      <c r="C1100" s="645" t="s">
        <v>670</v>
      </c>
      <c r="D1100" s="422" t="s">
        <v>951</v>
      </c>
      <c r="E1100" s="423"/>
      <c r="F1100" s="424"/>
      <c r="G1100" s="425"/>
      <c r="H1100" s="651"/>
      <c r="I1100" s="420">
        <v>11.12</v>
      </c>
      <c r="J1100" s="420">
        <f t="shared" si="293"/>
        <v>11.12</v>
      </c>
      <c r="K1100" s="421">
        <f t="shared" si="303"/>
        <v>13.21</v>
      </c>
      <c r="L1100" s="647" t="s">
        <v>79</v>
      </c>
      <c r="M1100" s="576"/>
      <c r="N1100" s="576">
        <f t="shared" si="295"/>
        <v>0</v>
      </c>
      <c r="O1100" s="577">
        <f t="shared" si="300"/>
        <v>0</v>
      </c>
      <c r="P1100" s="578">
        <f t="shared" si="301"/>
        <v>0</v>
      </c>
      <c r="Q1100" s="765"/>
      <c r="R1100" s="576">
        <f t="shared" si="297"/>
        <v>0</v>
      </c>
      <c r="S1100" s="576">
        <f t="shared" si="297"/>
        <v>0</v>
      </c>
      <c r="T1100" s="577">
        <f t="shared" si="298"/>
        <v>0</v>
      </c>
      <c r="U1100" s="578">
        <f t="shared" si="299"/>
        <v>0</v>
      </c>
      <c r="V1100" s="579"/>
      <c r="W1100" s="566"/>
      <c r="X1100" s="586" t="str">
        <f t="shared" si="302"/>
        <v/>
      </c>
      <c r="Y1100" s="586" t="str">
        <f t="shared" si="296"/>
        <v/>
      </c>
      <c r="Z1100" s="586" t="str">
        <f t="shared" si="294"/>
        <v/>
      </c>
    </row>
    <row r="1101" spans="1:26" ht="23.25" hidden="1" thickBot="1" x14ac:dyDescent="0.25">
      <c r="A1101" s="567">
        <v>91852</v>
      </c>
      <c r="B1101" s="644">
        <v>91852</v>
      </c>
      <c r="C1101" s="645" t="s">
        <v>670</v>
      </c>
      <c r="D1101" s="422" t="s">
        <v>952</v>
      </c>
      <c r="E1101" s="423"/>
      <c r="F1101" s="424"/>
      <c r="G1101" s="425"/>
      <c r="H1101" s="651"/>
      <c r="I1101" s="420">
        <v>9.4499999999999993</v>
      </c>
      <c r="J1101" s="420">
        <f t="shared" si="293"/>
        <v>9.4499999999999993</v>
      </c>
      <c r="K1101" s="421">
        <f t="shared" si="303"/>
        <v>11.23</v>
      </c>
      <c r="L1101" s="647" t="s">
        <v>79</v>
      </c>
      <c r="M1101" s="576"/>
      <c r="N1101" s="576">
        <f t="shared" si="295"/>
        <v>0</v>
      </c>
      <c r="O1101" s="577">
        <f t="shared" si="300"/>
        <v>0</v>
      </c>
      <c r="P1101" s="578">
        <f t="shared" si="301"/>
        <v>0</v>
      </c>
      <c r="Q1101" s="765"/>
      <c r="R1101" s="576">
        <f t="shared" si="297"/>
        <v>0</v>
      </c>
      <c r="S1101" s="576">
        <f t="shared" si="297"/>
        <v>0</v>
      </c>
      <c r="T1101" s="577">
        <f t="shared" si="298"/>
        <v>0</v>
      </c>
      <c r="U1101" s="578">
        <f t="shared" si="299"/>
        <v>0</v>
      </c>
      <c r="V1101" s="579"/>
      <c r="W1101" s="566"/>
      <c r="X1101" s="586" t="str">
        <f t="shared" si="302"/>
        <v/>
      </c>
      <c r="Y1101" s="586" t="str">
        <f t="shared" si="296"/>
        <v/>
      </c>
      <c r="Z1101" s="586" t="str">
        <f t="shared" si="294"/>
        <v/>
      </c>
    </row>
    <row r="1102" spans="1:26" ht="23.25" hidden="1" thickBot="1" x14ac:dyDescent="0.25">
      <c r="A1102" s="567">
        <v>91854</v>
      </c>
      <c r="B1102" s="644">
        <v>91854</v>
      </c>
      <c r="C1102" s="645" t="s">
        <v>670</v>
      </c>
      <c r="D1102" s="422" t="s">
        <v>953</v>
      </c>
      <c r="E1102" s="423"/>
      <c r="F1102" s="424"/>
      <c r="G1102" s="425"/>
      <c r="H1102" s="651"/>
      <c r="I1102" s="420">
        <v>10.46</v>
      </c>
      <c r="J1102" s="420">
        <f t="shared" si="293"/>
        <v>10.46</v>
      </c>
      <c r="K1102" s="421">
        <f t="shared" si="303"/>
        <v>12.43</v>
      </c>
      <c r="L1102" s="647" t="s">
        <v>79</v>
      </c>
      <c r="M1102" s="576"/>
      <c r="N1102" s="576">
        <f t="shared" si="295"/>
        <v>0</v>
      </c>
      <c r="O1102" s="577">
        <f t="shared" si="300"/>
        <v>0</v>
      </c>
      <c r="P1102" s="578">
        <f t="shared" si="301"/>
        <v>0</v>
      </c>
      <c r="Q1102" s="765"/>
      <c r="R1102" s="576">
        <f t="shared" si="297"/>
        <v>0</v>
      </c>
      <c r="S1102" s="576">
        <f t="shared" si="297"/>
        <v>0</v>
      </c>
      <c r="T1102" s="577">
        <f t="shared" si="298"/>
        <v>0</v>
      </c>
      <c r="U1102" s="578">
        <f t="shared" si="299"/>
        <v>0</v>
      </c>
      <c r="V1102" s="579"/>
      <c r="W1102" s="566"/>
      <c r="X1102" s="586" t="str">
        <f t="shared" si="302"/>
        <v/>
      </c>
      <c r="Y1102" s="586" t="str">
        <f t="shared" si="296"/>
        <v/>
      </c>
      <c r="Z1102" s="586" t="str">
        <f t="shared" si="294"/>
        <v/>
      </c>
    </row>
    <row r="1103" spans="1:26" ht="23.25" hidden="1" thickBot="1" x14ac:dyDescent="0.25">
      <c r="A1103" s="567">
        <v>91856</v>
      </c>
      <c r="B1103" s="644">
        <v>91856</v>
      </c>
      <c r="C1103" s="645" t="s">
        <v>670</v>
      </c>
      <c r="D1103" s="422" t="s">
        <v>954</v>
      </c>
      <c r="E1103" s="423"/>
      <c r="F1103" s="424"/>
      <c r="G1103" s="425"/>
      <c r="H1103" s="651"/>
      <c r="I1103" s="420">
        <v>13.63</v>
      </c>
      <c r="J1103" s="420">
        <f t="shared" si="293"/>
        <v>13.63</v>
      </c>
      <c r="K1103" s="421">
        <f t="shared" si="303"/>
        <v>16.190000000000001</v>
      </c>
      <c r="L1103" s="647" t="s">
        <v>79</v>
      </c>
      <c r="M1103" s="576"/>
      <c r="N1103" s="576">
        <f t="shared" si="295"/>
        <v>0</v>
      </c>
      <c r="O1103" s="577">
        <f t="shared" si="300"/>
        <v>0</v>
      </c>
      <c r="P1103" s="578">
        <f t="shared" si="301"/>
        <v>0</v>
      </c>
      <c r="Q1103" s="765"/>
      <c r="R1103" s="576">
        <f t="shared" si="297"/>
        <v>0</v>
      </c>
      <c r="S1103" s="576">
        <f t="shared" si="297"/>
        <v>0</v>
      </c>
      <c r="T1103" s="577">
        <f t="shared" si="298"/>
        <v>0</v>
      </c>
      <c r="U1103" s="578">
        <f t="shared" si="299"/>
        <v>0</v>
      </c>
      <c r="V1103" s="579"/>
      <c r="W1103" s="566"/>
      <c r="X1103" s="586" t="str">
        <f t="shared" si="302"/>
        <v/>
      </c>
      <c r="Y1103" s="586" t="str">
        <f t="shared" si="296"/>
        <v/>
      </c>
      <c r="Z1103" s="586" t="str">
        <f t="shared" si="294"/>
        <v/>
      </c>
    </row>
    <row r="1104" spans="1:26" ht="23.25" hidden="1" thickBot="1" x14ac:dyDescent="0.25">
      <c r="A1104" s="567">
        <v>91833</v>
      </c>
      <c r="B1104" s="644">
        <v>91833</v>
      </c>
      <c r="C1104" s="645" t="s">
        <v>670</v>
      </c>
      <c r="D1104" s="422" t="s">
        <v>955</v>
      </c>
      <c r="E1104" s="423"/>
      <c r="F1104" s="424"/>
      <c r="G1104" s="425"/>
      <c r="H1104" s="651"/>
      <c r="I1104" s="420">
        <v>9.67</v>
      </c>
      <c r="J1104" s="420">
        <f t="shared" si="293"/>
        <v>9.67</v>
      </c>
      <c r="K1104" s="421">
        <f t="shared" si="303"/>
        <v>11.49</v>
      </c>
      <c r="L1104" s="647" t="s">
        <v>79</v>
      </c>
      <c r="M1104" s="576"/>
      <c r="N1104" s="576">
        <f t="shared" si="295"/>
        <v>0</v>
      </c>
      <c r="O1104" s="577">
        <f t="shared" si="300"/>
        <v>0</v>
      </c>
      <c r="P1104" s="578">
        <f t="shared" si="301"/>
        <v>0</v>
      </c>
      <c r="Q1104" s="765"/>
      <c r="R1104" s="576">
        <f t="shared" si="297"/>
        <v>0</v>
      </c>
      <c r="S1104" s="576">
        <f t="shared" si="297"/>
        <v>0</v>
      </c>
      <c r="T1104" s="577">
        <f t="shared" si="298"/>
        <v>0</v>
      </c>
      <c r="U1104" s="578">
        <f t="shared" si="299"/>
        <v>0</v>
      </c>
      <c r="V1104" s="579"/>
      <c r="W1104" s="566"/>
      <c r="X1104" s="586" t="str">
        <f t="shared" si="302"/>
        <v/>
      </c>
      <c r="Y1104" s="586" t="str">
        <f t="shared" si="296"/>
        <v/>
      </c>
      <c r="Z1104" s="586" t="str">
        <f t="shared" si="294"/>
        <v/>
      </c>
    </row>
    <row r="1105" spans="1:26" ht="23.25" hidden="1" thickBot="1" x14ac:dyDescent="0.25">
      <c r="A1105" s="567">
        <v>91835</v>
      </c>
      <c r="B1105" s="644">
        <v>91835</v>
      </c>
      <c r="C1105" s="645" t="s">
        <v>670</v>
      </c>
      <c r="D1105" s="422" t="s">
        <v>956</v>
      </c>
      <c r="E1105" s="423"/>
      <c r="F1105" s="424"/>
      <c r="G1105" s="425"/>
      <c r="H1105" s="651"/>
      <c r="I1105" s="420">
        <v>11.73</v>
      </c>
      <c r="J1105" s="420">
        <f t="shared" si="293"/>
        <v>11.73</v>
      </c>
      <c r="K1105" s="421">
        <f t="shared" si="303"/>
        <v>13.94</v>
      </c>
      <c r="L1105" s="647" t="s">
        <v>79</v>
      </c>
      <c r="M1105" s="576"/>
      <c r="N1105" s="576">
        <f t="shared" si="295"/>
        <v>0</v>
      </c>
      <c r="O1105" s="577">
        <f t="shared" si="300"/>
        <v>0</v>
      </c>
      <c r="P1105" s="578">
        <f t="shared" si="301"/>
        <v>0</v>
      </c>
      <c r="Q1105" s="765"/>
      <c r="R1105" s="576">
        <f t="shared" si="297"/>
        <v>0</v>
      </c>
      <c r="S1105" s="576">
        <f t="shared" si="297"/>
        <v>0</v>
      </c>
      <c r="T1105" s="577">
        <f t="shared" si="298"/>
        <v>0</v>
      </c>
      <c r="U1105" s="578">
        <f t="shared" si="299"/>
        <v>0</v>
      </c>
      <c r="V1105" s="579"/>
      <c r="W1105" s="566"/>
      <c r="X1105" s="586" t="str">
        <f t="shared" si="302"/>
        <v/>
      </c>
      <c r="Y1105" s="586" t="str">
        <f t="shared" si="296"/>
        <v/>
      </c>
      <c r="Z1105" s="586" t="str">
        <f t="shared" si="294"/>
        <v/>
      </c>
    </row>
    <row r="1106" spans="1:26" ht="23.25" hidden="1" thickBot="1" x14ac:dyDescent="0.25">
      <c r="A1106" s="567">
        <v>91837</v>
      </c>
      <c r="B1106" s="644">
        <v>91837</v>
      </c>
      <c r="C1106" s="645" t="s">
        <v>670</v>
      </c>
      <c r="D1106" s="422" t="s">
        <v>957</v>
      </c>
      <c r="E1106" s="423"/>
      <c r="F1106" s="424"/>
      <c r="G1106" s="425"/>
      <c r="H1106" s="651"/>
      <c r="I1106" s="420">
        <v>17.3</v>
      </c>
      <c r="J1106" s="420">
        <f t="shared" si="293"/>
        <v>17.3</v>
      </c>
      <c r="K1106" s="421">
        <f t="shared" si="303"/>
        <v>20.55</v>
      </c>
      <c r="L1106" s="647" t="s">
        <v>79</v>
      </c>
      <c r="M1106" s="576"/>
      <c r="N1106" s="576">
        <f t="shared" si="295"/>
        <v>0</v>
      </c>
      <c r="O1106" s="577">
        <f t="shared" si="300"/>
        <v>0</v>
      </c>
      <c r="P1106" s="578">
        <f t="shared" si="301"/>
        <v>0</v>
      </c>
      <c r="Q1106" s="765"/>
      <c r="R1106" s="576">
        <f t="shared" si="297"/>
        <v>0</v>
      </c>
      <c r="S1106" s="576">
        <f t="shared" si="297"/>
        <v>0</v>
      </c>
      <c r="T1106" s="577">
        <f t="shared" si="298"/>
        <v>0</v>
      </c>
      <c r="U1106" s="578">
        <f t="shared" si="299"/>
        <v>0</v>
      </c>
      <c r="V1106" s="579"/>
      <c r="W1106" s="566"/>
      <c r="X1106" s="586" t="str">
        <f t="shared" si="302"/>
        <v/>
      </c>
      <c r="Y1106" s="586" t="str">
        <f t="shared" si="296"/>
        <v/>
      </c>
      <c r="Z1106" s="586" t="str">
        <f t="shared" si="294"/>
        <v/>
      </c>
    </row>
    <row r="1107" spans="1:26" ht="23.25" hidden="1" thickBot="1" x14ac:dyDescent="0.25">
      <c r="A1107" s="567">
        <v>91843</v>
      </c>
      <c r="B1107" s="644">
        <v>91843</v>
      </c>
      <c r="C1107" s="645" t="s">
        <v>670</v>
      </c>
      <c r="D1107" s="422" t="s">
        <v>958</v>
      </c>
      <c r="E1107" s="423"/>
      <c r="F1107" s="424"/>
      <c r="G1107" s="425"/>
      <c r="H1107" s="651"/>
      <c r="I1107" s="420">
        <v>7.4</v>
      </c>
      <c r="J1107" s="420">
        <f t="shared" ref="J1107:J1170" si="304">IF(ISBLANK(I1107),"",SUM(H1107:I1107))</f>
        <v>7.4</v>
      </c>
      <c r="K1107" s="421">
        <f t="shared" si="303"/>
        <v>8.7899999999999991</v>
      </c>
      <c r="L1107" s="647" t="s">
        <v>79</v>
      </c>
      <c r="M1107" s="576"/>
      <c r="N1107" s="576">
        <f t="shared" si="295"/>
        <v>0</v>
      </c>
      <c r="O1107" s="577">
        <f t="shared" si="300"/>
        <v>0</v>
      </c>
      <c r="P1107" s="578">
        <f t="shared" si="301"/>
        <v>0</v>
      </c>
      <c r="Q1107" s="765"/>
      <c r="R1107" s="576">
        <f t="shared" si="297"/>
        <v>0</v>
      </c>
      <c r="S1107" s="576">
        <f t="shared" si="297"/>
        <v>0</v>
      </c>
      <c r="T1107" s="577">
        <f t="shared" si="298"/>
        <v>0</v>
      </c>
      <c r="U1107" s="578">
        <f t="shared" si="299"/>
        <v>0</v>
      </c>
      <c r="V1107" s="579"/>
      <c r="W1107" s="566"/>
      <c r="X1107" s="586" t="str">
        <f t="shared" si="302"/>
        <v/>
      </c>
      <c r="Y1107" s="586" t="str">
        <f t="shared" si="296"/>
        <v/>
      </c>
      <c r="Z1107" s="586" t="str">
        <f t="shared" ref="Z1107:Z1170" si="305">IF(W1107="X","x",IF(U1107&gt;0,"x",""))</f>
        <v/>
      </c>
    </row>
    <row r="1108" spans="1:26" ht="23.25" hidden="1" thickBot="1" x14ac:dyDescent="0.25">
      <c r="A1108" s="567">
        <v>91845</v>
      </c>
      <c r="B1108" s="644">
        <v>91845</v>
      </c>
      <c r="C1108" s="645" t="s">
        <v>670</v>
      </c>
      <c r="D1108" s="422" t="s">
        <v>959</v>
      </c>
      <c r="E1108" s="423"/>
      <c r="F1108" s="424"/>
      <c r="G1108" s="425"/>
      <c r="H1108" s="651"/>
      <c r="I1108" s="420">
        <v>9.4700000000000006</v>
      </c>
      <c r="J1108" s="420">
        <f t="shared" si="304"/>
        <v>9.4700000000000006</v>
      </c>
      <c r="K1108" s="421">
        <f t="shared" si="303"/>
        <v>11.25</v>
      </c>
      <c r="L1108" s="647" t="s">
        <v>79</v>
      </c>
      <c r="M1108" s="576"/>
      <c r="N1108" s="576">
        <f t="shared" ref="N1108:N1171" si="306">IF(M1108=0,0,K1108)</f>
        <v>0</v>
      </c>
      <c r="O1108" s="577">
        <f t="shared" si="300"/>
        <v>0</v>
      </c>
      <c r="P1108" s="578">
        <f t="shared" si="301"/>
        <v>0</v>
      </c>
      <c r="Q1108" s="765"/>
      <c r="R1108" s="576">
        <f t="shared" si="297"/>
        <v>0</v>
      </c>
      <c r="S1108" s="576">
        <f t="shared" si="297"/>
        <v>0</v>
      </c>
      <c r="T1108" s="577">
        <f t="shared" si="298"/>
        <v>0</v>
      </c>
      <c r="U1108" s="578">
        <f t="shared" si="299"/>
        <v>0</v>
      </c>
      <c r="V1108" s="579"/>
      <c r="W1108" s="566"/>
      <c r="X1108" s="586" t="str">
        <f t="shared" si="302"/>
        <v/>
      </c>
      <c r="Y1108" s="586" t="str">
        <f t="shared" si="296"/>
        <v/>
      </c>
      <c r="Z1108" s="586" t="str">
        <f t="shared" si="305"/>
        <v/>
      </c>
    </row>
    <row r="1109" spans="1:26" ht="23.25" hidden="1" thickBot="1" x14ac:dyDescent="0.25">
      <c r="A1109" s="567">
        <v>91847</v>
      </c>
      <c r="B1109" s="644">
        <v>91847</v>
      </c>
      <c r="C1109" s="645" t="s">
        <v>670</v>
      </c>
      <c r="D1109" s="422" t="s">
        <v>960</v>
      </c>
      <c r="E1109" s="423"/>
      <c r="F1109" s="424"/>
      <c r="G1109" s="425"/>
      <c r="H1109" s="651"/>
      <c r="I1109" s="420">
        <v>15.03</v>
      </c>
      <c r="J1109" s="420">
        <f t="shared" si="304"/>
        <v>15.03</v>
      </c>
      <c r="K1109" s="421">
        <f t="shared" si="303"/>
        <v>17.86</v>
      </c>
      <c r="L1109" s="647" t="s">
        <v>79</v>
      </c>
      <c r="M1109" s="576"/>
      <c r="N1109" s="576">
        <f t="shared" si="306"/>
        <v>0</v>
      </c>
      <c r="O1109" s="577">
        <f t="shared" si="300"/>
        <v>0</v>
      </c>
      <c r="P1109" s="578">
        <f t="shared" si="301"/>
        <v>0</v>
      </c>
      <c r="Q1109" s="765"/>
      <c r="R1109" s="576">
        <f t="shared" si="297"/>
        <v>0</v>
      </c>
      <c r="S1109" s="576">
        <f t="shared" si="297"/>
        <v>0</v>
      </c>
      <c r="T1109" s="577">
        <f t="shared" si="298"/>
        <v>0</v>
      </c>
      <c r="U1109" s="578">
        <f t="shared" si="299"/>
        <v>0</v>
      </c>
      <c r="V1109" s="579"/>
      <c r="W1109" s="566"/>
      <c r="X1109" s="586" t="str">
        <f t="shared" si="302"/>
        <v/>
      </c>
      <c r="Y1109" s="586" t="str">
        <f t="shared" si="296"/>
        <v/>
      </c>
      <c r="Z1109" s="586" t="str">
        <f t="shared" si="305"/>
        <v/>
      </c>
    </row>
    <row r="1110" spans="1:26" ht="23.25" hidden="1" thickBot="1" x14ac:dyDescent="0.25">
      <c r="A1110" s="567">
        <v>91853</v>
      </c>
      <c r="B1110" s="644">
        <v>91853</v>
      </c>
      <c r="C1110" s="645" t="s">
        <v>670</v>
      </c>
      <c r="D1110" s="422" t="s">
        <v>961</v>
      </c>
      <c r="E1110" s="423"/>
      <c r="F1110" s="424"/>
      <c r="G1110" s="425"/>
      <c r="H1110" s="651"/>
      <c r="I1110" s="420">
        <v>10.06</v>
      </c>
      <c r="J1110" s="420">
        <f t="shared" si="304"/>
        <v>10.06</v>
      </c>
      <c r="K1110" s="421">
        <f t="shared" si="303"/>
        <v>11.95</v>
      </c>
      <c r="L1110" s="647" t="s">
        <v>79</v>
      </c>
      <c r="M1110" s="576"/>
      <c r="N1110" s="576">
        <f t="shared" si="306"/>
        <v>0</v>
      </c>
      <c r="O1110" s="577">
        <f t="shared" si="300"/>
        <v>0</v>
      </c>
      <c r="P1110" s="578">
        <f t="shared" si="301"/>
        <v>0</v>
      </c>
      <c r="Q1110" s="765"/>
      <c r="R1110" s="576">
        <f t="shared" si="297"/>
        <v>0</v>
      </c>
      <c r="S1110" s="576">
        <f t="shared" si="297"/>
        <v>0</v>
      </c>
      <c r="T1110" s="577">
        <f t="shared" si="298"/>
        <v>0</v>
      </c>
      <c r="U1110" s="578">
        <f t="shared" si="299"/>
        <v>0</v>
      </c>
      <c r="V1110" s="579"/>
      <c r="W1110" s="566"/>
      <c r="X1110" s="586" t="str">
        <f t="shared" si="302"/>
        <v/>
      </c>
      <c r="Y1110" s="586" t="str">
        <f t="shared" si="296"/>
        <v/>
      </c>
      <c r="Z1110" s="586" t="str">
        <f t="shared" si="305"/>
        <v/>
      </c>
    </row>
    <row r="1111" spans="1:26" ht="23.25" hidden="1" thickBot="1" x14ac:dyDescent="0.25">
      <c r="A1111" s="567">
        <v>91855</v>
      </c>
      <c r="B1111" s="644">
        <v>91855</v>
      </c>
      <c r="C1111" s="645" t="s">
        <v>670</v>
      </c>
      <c r="D1111" s="422" t="s">
        <v>962</v>
      </c>
      <c r="E1111" s="423"/>
      <c r="F1111" s="424"/>
      <c r="G1111" s="425"/>
      <c r="H1111" s="651"/>
      <c r="I1111" s="420">
        <v>12.02</v>
      </c>
      <c r="J1111" s="420">
        <f t="shared" si="304"/>
        <v>12.02</v>
      </c>
      <c r="K1111" s="421">
        <f t="shared" si="303"/>
        <v>14.28</v>
      </c>
      <c r="L1111" s="647" t="s">
        <v>79</v>
      </c>
      <c r="M1111" s="576"/>
      <c r="N1111" s="576">
        <f t="shared" si="306"/>
        <v>0</v>
      </c>
      <c r="O1111" s="577">
        <f t="shared" si="300"/>
        <v>0</v>
      </c>
      <c r="P1111" s="578">
        <f t="shared" si="301"/>
        <v>0</v>
      </c>
      <c r="Q1111" s="765"/>
      <c r="R1111" s="576">
        <f t="shared" si="297"/>
        <v>0</v>
      </c>
      <c r="S1111" s="576">
        <f t="shared" si="297"/>
        <v>0</v>
      </c>
      <c r="T1111" s="577">
        <f t="shared" si="298"/>
        <v>0</v>
      </c>
      <c r="U1111" s="578">
        <f t="shared" si="299"/>
        <v>0</v>
      </c>
      <c r="V1111" s="579"/>
      <c r="W1111" s="566"/>
      <c r="X1111" s="586" t="str">
        <f t="shared" si="302"/>
        <v/>
      </c>
      <c r="Y1111" s="586" t="str">
        <f t="shared" si="296"/>
        <v/>
      </c>
      <c r="Z1111" s="586" t="str">
        <f t="shared" si="305"/>
        <v/>
      </c>
    </row>
    <row r="1112" spans="1:26" ht="23.25" hidden="1" thickBot="1" x14ac:dyDescent="0.25">
      <c r="A1112" s="567">
        <v>91857</v>
      </c>
      <c r="B1112" s="644">
        <v>91857</v>
      </c>
      <c r="C1112" s="645" t="s">
        <v>670</v>
      </c>
      <c r="D1112" s="422" t="s">
        <v>963</v>
      </c>
      <c r="E1112" s="423"/>
      <c r="F1112" s="424"/>
      <c r="G1112" s="425"/>
      <c r="H1112" s="651"/>
      <c r="I1112" s="420">
        <v>17.25</v>
      </c>
      <c r="J1112" s="420">
        <f t="shared" si="304"/>
        <v>17.25</v>
      </c>
      <c r="K1112" s="421">
        <f t="shared" si="303"/>
        <v>20.49</v>
      </c>
      <c r="L1112" s="647" t="s">
        <v>79</v>
      </c>
      <c r="M1112" s="576"/>
      <c r="N1112" s="576">
        <f t="shared" si="306"/>
        <v>0</v>
      </c>
      <c r="O1112" s="577">
        <f t="shared" si="300"/>
        <v>0</v>
      </c>
      <c r="P1112" s="578">
        <f t="shared" si="301"/>
        <v>0</v>
      </c>
      <c r="Q1112" s="765"/>
      <c r="R1112" s="576">
        <f t="shared" si="297"/>
        <v>0</v>
      </c>
      <c r="S1112" s="576">
        <f t="shared" si="297"/>
        <v>0</v>
      </c>
      <c r="T1112" s="577">
        <f t="shared" si="298"/>
        <v>0</v>
      </c>
      <c r="U1112" s="578">
        <f t="shared" si="299"/>
        <v>0</v>
      </c>
      <c r="V1112" s="579"/>
      <c r="W1112" s="566"/>
      <c r="X1112" s="586" t="str">
        <f t="shared" si="302"/>
        <v/>
      </c>
      <c r="Y1112" s="586" t="str">
        <f t="shared" si="296"/>
        <v/>
      </c>
      <c r="Z1112" s="586" t="str">
        <f t="shared" si="305"/>
        <v/>
      </c>
    </row>
    <row r="1113" spans="1:26" ht="23.25" hidden="1" thickBot="1" x14ac:dyDescent="0.25">
      <c r="A1113" s="567">
        <v>91874</v>
      </c>
      <c r="B1113" s="644">
        <v>91874</v>
      </c>
      <c r="C1113" s="645" t="s">
        <v>670</v>
      </c>
      <c r="D1113" s="422" t="s">
        <v>964</v>
      </c>
      <c r="E1113" s="423"/>
      <c r="F1113" s="424"/>
      <c r="G1113" s="425"/>
      <c r="H1113" s="651"/>
      <c r="I1113" s="420">
        <v>5.63</v>
      </c>
      <c r="J1113" s="420">
        <f t="shared" si="304"/>
        <v>5.63</v>
      </c>
      <c r="K1113" s="421">
        <f t="shared" si="303"/>
        <v>6.69</v>
      </c>
      <c r="L1113" s="647" t="s">
        <v>2065</v>
      </c>
      <c r="M1113" s="576"/>
      <c r="N1113" s="576">
        <f t="shared" si="306"/>
        <v>0</v>
      </c>
      <c r="O1113" s="577">
        <f t="shared" si="300"/>
        <v>0</v>
      </c>
      <c r="P1113" s="578">
        <f t="shared" si="301"/>
        <v>0</v>
      </c>
      <c r="Q1113" s="765"/>
      <c r="R1113" s="576">
        <f t="shared" si="297"/>
        <v>0</v>
      </c>
      <c r="S1113" s="576">
        <f t="shared" si="297"/>
        <v>0</v>
      </c>
      <c r="T1113" s="577">
        <f t="shared" si="298"/>
        <v>0</v>
      </c>
      <c r="U1113" s="578">
        <f t="shared" si="299"/>
        <v>0</v>
      </c>
      <c r="V1113" s="579"/>
      <c r="W1113" s="566"/>
      <c r="X1113" s="586" t="str">
        <f t="shared" si="302"/>
        <v/>
      </c>
      <c r="Y1113" s="586" t="str">
        <f t="shared" si="296"/>
        <v/>
      </c>
      <c r="Z1113" s="586" t="str">
        <f t="shared" si="305"/>
        <v/>
      </c>
    </row>
    <row r="1114" spans="1:26" ht="23.25" hidden="1" thickBot="1" x14ac:dyDescent="0.25">
      <c r="A1114" s="567">
        <v>91875</v>
      </c>
      <c r="B1114" s="644">
        <v>91875</v>
      </c>
      <c r="C1114" s="645" t="s">
        <v>670</v>
      </c>
      <c r="D1114" s="422" t="s">
        <v>965</v>
      </c>
      <c r="E1114" s="423"/>
      <c r="F1114" s="424"/>
      <c r="G1114" s="425"/>
      <c r="H1114" s="651"/>
      <c r="I1114" s="420">
        <v>7.49</v>
      </c>
      <c r="J1114" s="420">
        <f t="shared" si="304"/>
        <v>7.49</v>
      </c>
      <c r="K1114" s="421">
        <f t="shared" si="303"/>
        <v>8.9</v>
      </c>
      <c r="L1114" s="647" t="s">
        <v>2065</v>
      </c>
      <c r="M1114" s="576"/>
      <c r="N1114" s="576">
        <f t="shared" si="306"/>
        <v>0</v>
      </c>
      <c r="O1114" s="577">
        <f t="shared" si="300"/>
        <v>0</v>
      </c>
      <c r="P1114" s="578">
        <f t="shared" si="301"/>
        <v>0</v>
      </c>
      <c r="Q1114" s="765"/>
      <c r="R1114" s="576">
        <f t="shared" si="297"/>
        <v>0</v>
      </c>
      <c r="S1114" s="576">
        <f t="shared" si="297"/>
        <v>0</v>
      </c>
      <c r="T1114" s="577">
        <f t="shared" si="298"/>
        <v>0</v>
      </c>
      <c r="U1114" s="578">
        <f t="shared" si="299"/>
        <v>0</v>
      </c>
      <c r="V1114" s="579"/>
      <c r="W1114" s="566"/>
      <c r="X1114" s="586" t="str">
        <f t="shared" si="302"/>
        <v/>
      </c>
      <c r="Y1114" s="586" t="str">
        <f t="shared" si="296"/>
        <v/>
      </c>
      <c r="Z1114" s="586" t="str">
        <f t="shared" si="305"/>
        <v/>
      </c>
    </row>
    <row r="1115" spans="1:26" ht="23.25" hidden="1" thickBot="1" x14ac:dyDescent="0.25">
      <c r="A1115" s="567">
        <v>91876</v>
      </c>
      <c r="B1115" s="644">
        <v>91876</v>
      </c>
      <c r="C1115" s="645" t="s">
        <v>670</v>
      </c>
      <c r="D1115" s="422" t="s">
        <v>966</v>
      </c>
      <c r="E1115" s="423"/>
      <c r="F1115" s="424"/>
      <c r="G1115" s="425"/>
      <c r="H1115" s="651"/>
      <c r="I1115" s="420">
        <v>9.92</v>
      </c>
      <c r="J1115" s="420">
        <f t="shared" si="304"/>
        <v>9.92</v>
      </c>
      <c r="K1115" s="421">
        <f t="shared" si="303"/>
        <v>11.79</v>
      </c>
      <c r="L1115" s="647" t="s">
        <v>2065</v>
      </c>
      <c r="M1115" s="576"/>
      <c r="N1115" s="576">
        <f t="shared" si="306"/>
        <v>0</v>
      </c>
      <c r="O1115" s="577">
        <f t="shared" si="300"/>
        <v>0</v>
      </c>
      <c r="P1115" s="578">
        <f t="shared" si="301"/>
        <v>0</v>
      </c>
      <c r="Q1115" s="765"/>
      <c r="R1115" s="576">
        <f t="shared" si="297"/>
        <v>0</v>
      </c>
      <c r="S1115" s="576">
        <f t="shared" si="297"/>
        <v>0</v>
      </c>
      <c r="T1115" s="577">
        <f t="shared" si="298"/>
        <v>0</v>
      </c>
      <c r="U1115" s="578">
        <f t="shared" si="299"/>
        <v>0</v>
      </c>
      <c r="V1115" s="579"/>
      <c r="W1115" s="566"/>
      <c r="X1115" s="586" t="str">
        <f t="shared" si="302"/>
        <v/>
      </c>
      <c r="Y1115" s="586" t="str">
        <f t="shared" si="296"/>
        <v/>
      </c>
      <c r="Z1115" s="586" t="str">
        <f t="shared" si="305"/>
        <v/>
      </c>
    </row>
    <row r="1116" spans="1:26" ht="23.25" hidden="1" thickBot="1" x14ac:dyDescent="0.25">
      <c r="A1116" s="567">
        <v>91877</v>
      </c>
      <c r="B1116" s="644">
        <v>91877</v>
      </c>
      <c r="C1116" s="645" t="s">
        <v>670</v>
      </c>
      <c r="D1116" s="422" t="s">
        <v>967</v>
      </c>
      <c r="E1116" s="423"/>
      <c r="F1116" s="424"/>
      <c r="G1116" s="425"/>
      <c r="H1116" s="651"/>
      <c r="I1116" s="420">
        <v>13.33</v>
      </c>
      <c r="J1116" s="420">
        <f t="shared" si="304"/>
        <v>13.33</v>
      </c>
      <c r="K1116" s="421">
        <f t="shared" si="303"/>
        <v>15.84</v>
      </c>
      <c r="L1116" s="647" t="s">
        <v>2065</v>
      </c>
      <c r="M1116" s="576"/>
      <c r="N1116" s="576">
        <f t="shared" si="306"/>
        <v>0</v>
      </c>
      <c r="O1116" s="577">
        <f t="shared" si="300"/>
        <v>0</v>
      </c>
      <c r="P1116" s="578">
        <f t="shared" si="301"/>
        <v>0</v>
      </c>
      <c r="Q1116" s="765"/>
      <c r="R1116" s="576">
        <f t="shared" si="297"/>
        <v>0</v>
      </c>
      <c r="S1116" s="576">
        <f t="shared" si="297"/>
        <v>0</v>
      </c>
      <c r="T1116" s="577">
        <f t="shared" si="298"/>
        <v>0</v>
      </c>
      <c r="U1116" s="578">
        <f t="shared" si="299"/>
        <v>0</v>
      </c>
      <c r="V1116" s="579"/>
      <c r="W1116" s="566"/>
      <c r="X1116" s="586" t="str">
        <f t="shared" si="302"/>
        <v/>
      </c>
      <c r="Y1116" s="586" t="str">
        <f t="shared" si="296"/>
        <v/>
      </c>
      <c r="Z1116" s="586" t="str">
        <f t="shared" si="305"/>
        <v/>
      </c>
    </row>
    <row r="1117" spans="1:26" ht="23.25" hidden="1" thickBot="1" x14ac:dyDescent="0.25">
      <c r="A1117" s="567">
        <v>91878</v>
      </c>
      <c r="B1117" s="644">
        <v>91878</v>
      </c>
      <c r="C1117" s="645" t="s">
        <v>670</v>
      </c>
      <c r="D1117" s="422" t="s">
        <v>968</v>
      </c>
      <c r="E1117" s="423"/>
      <c r="F1117" s="424"/>
      <c r="G1117" s="425"/>
      <c r="H1117" s="651"/>
      <c r="I1117" s="420">
        <v>7.14</v>
      </c>
      <c r="J1117" s="420">
        <f t="shared" si="304"/>
        <v>7.14</v>
      </c>
      <c r="K1117" s="421">
        <f t="shared" si="303"/>
        <v>8.48</v>
      </c>
      <c r="L1117" s="647" t="s">
        <v>2065</v>
      </c>
      <c r="M1117" s="576"/>
      <c r="N1117" s="576">
        <f t="shared" si="306"/>
        <v>0</v>
      </c>
      <c r="O1117" s="577">
        <f t="shared" si="300"/>
        <v>0</v>
      </c>
      <c r="P1117" s="578">
        <f t="shared" si="301"/>
        <v>0</v>
      </c>
      <c r="Q1117" s="765"/>
      <c r="R1117" s="576">
        <f t="shared" si="297"/>
        <v>0</v>
      </c>
      <c r="S1117" s="576">
        <f t="shared" si="297"/>
        <v>0</v>
      </c>
      <c r="T1117" s="577">
        <f t="shared" si="298"/>
        <v>0</v>
      </c>
      <c r="U1117" s="578">
        <f t="shared" si="299"/>
        <v>0</v>
      </c>
      <c r="V1117" s="579"/>
      <c r="W1117" s="566"/>
      <c r="X1117" s="586" t="str">
        <f t="shared" si="302"/>
        <v/>
      </c>
      <c r="Y1117" s="586" t="str">
        <f t="shared" si="296"/>
        <v/>
      </c>
      <c r="Z1117" s="586" t="str">
        <f t="shared" si="305"/>
        <v/>
      </c>
    </row>
    <row r="1118" spans="1:26" ht="23.25" hidden="1" thickBot="1" x14ac:dyDescent="0.25">
      <c r="A1118" s="567">
        <v>91879</v>
      </c>
      <c r="B1118" s="644">
        <v>91879</v>
      </c>
      <c r="C1118" s="645" t="s">
        <v>670</v>
      </c>
      <c r="D1118" s="422" t="s">
        <v>969</v>
      </c>
      <c r="E1118" s="423"/>
      <c r="F1118" s="424"/>
      <c r="G1118" s="425"/>
      <c r="H1118" s="651"/>
      <c r="I1118" s="420">
        <v>8.9600000000000009</v>
      </c>
      <c r="J1118" s="420">
        <f t="shared" si="304"/>
        <v>8.9600000000000009</v>
      </c>
      <c r="K1118" s="421">
        <f t="shared" si="303"/>
        <v>10.65</v>
      </c>
      <c r="L1118" s="647" t="s">
        <v>2065</v>
      </c>
      <c r="M1118" s="576"/>
      <c r="N1118" s="576">
        <f t="shared" si="306"/>
        <v>0</v>
      </c>
      <c r="O1118" s="577">
        <f t="shared" si="300"/>
        <v>0</v>
      </c>
      <c r="P1118" s="578">
        <f t="shared" si="301"/>
        <v>0</v>
      </c>
      <c r="Q1118" s="765"/>
      <c r="R1118" s="576">
        <f t="shared" si="297"/>
        <v>0</v>
      </c>
      <c r="S1118" s="576">
        <f t="shared" si="297"/>
        <v>0</v>
      </c>
      <c r="T1118" s="577">
        <f t="shared" si="298"/>
        <v>0</v>
      </c>
      <c r="U1118" s="578">
        <f t="shared" si="299"/>
        <v>0</v>
      </c>
      <c r="V1118" s="579"/>
      <c r="W1118" s="566"/>
      <c r="X1118" s="586" t="str">
        <f t="shared" si="302"/>
        <v/>
      </c>
      <c r="Y1118" s="586" t="str">
        <f t="shared" si="296"/>
        <v/>
      </c>
      <c r="Z1118" s="586" t="str">
        <f t="shared" si="305"/>
        <v/>
      </c>
    </row>
    <row r="1119" spans="1:26" ht="23.25" hidden="1" thickBot="1" x14ac:dyDescent="0.25">
      <c r="A1119" s="567">
        <v>91880</v>
      </c>
      <c r="B1119" s="644">
        <v>91880</v>
      </c>
      <c r="C1119" s="645" t="s">
        <v>670</v>
      </c>
      <c r="D1119" s="422" t="s">
        <v>970</v>
      </c>
      <c r="E1119" s="423"/>
      <c r="F1119" s="424"/>
      <c r="G1119" s="425"/>
      <c r="H1119" s="651"/>
      <c r="I1119" s="420">
        <v>11.43</v>
      </c>
      <c r="J1119" s="420">
        <f t="shared" si="304"/>
        <v>11.43</v>
      </c>
      <c r="K1119" s="421">
        <f t="shared" si="303"/>
        <v>13.58</v>
      </c>
      <c r="L1119" s="647" t="s">
        <v>2065</v>
      </c>
      <c r="M1119" s="576"/>
      <c r="N1119" s="576">
        <f t="shared" si="306"/>
        <v>0</v>
      </c>
      <c r="O1119" s="577">
        <f t="shared" si="300"/>
        <v>0</v>
      </c>
      <c r="P1119" s="578">
        <f t="shared" si="301"/>
        <v>0</v>
      </c>
      <c r="Q1119" s="765"/>
      <c r="R1119" s="576">
        <f t="shared" si="297"/>
        <v>0</v>
      </c>
      <c r="S1119" s="576">
        <f t="shared" si="297"/>
        <v>0</v>
      </c>
      <c r="T1119" s="577">
        <f t="shared" si="298"/>
        <v>0</v>
      </c>
      <c r="U1119" s="578">
        <f t="shared" si="299"/>
        <v>0</v>
      </c>
      <c r="V1119" s="579"/>
      <c r="W1119" s="566"/>
      <c r="X1119" s="586" t="str">
        <f t="shared" si="302"/>
        <v/>
      </c>
      <c r="Y1119" s="586" t="str">
        <f t="shared" si="296"/>
        <v/>
      </c>
      <c r="Z1119" s="586" t="str">
        <f t="shared" si="305"/>
        <v/>
      </c>
    </row>
    <row r="1120" spans="1:26" ht="23.25" hidden="1" thickBot="1" x14ac:dyDescent="0.25">
      <c r="A1120" s="567">
        <v>91881</v>
      </c>
      <c r="B1120" s="644">
        <v>91881</v>
      </c>
      <c r="C1120" s="645" t="s">
        <v>670</v>
      </c>
      <c r="D1120" s="422" t="s">
        <v>971</v>
      </c>
      <c r="E1120" s="423"/>
      <c r="F1120" s="424"/>
      <c r="G1120" s="425"/>
      <c r="H1120" s="651"/>
      <c r="I1120" s="420">
        <v>14.84</v>
      </c>
      <c r="J1120" s="420">
        <f t="shared" si="304"/>
        <v>14.84</v>
      </c>
      <c r="K1120" s="421">
        <f t="shared" si="303"/>
        <v>17.63</v>
      </c>
      <c r="L1120" s="647" t="s">
        <v>2065</v>
      </c>
      <c r="M1120" s="576"/>
      <c r="N1120" s="576">
        <f t="shared" si="306"/>
        <v>0</v>
      </c>
      <c r="O1120" s="577">
        <f t="shared" si="300"/>
        <v>0</v>
      </c>
      <c r="P1120" s="578">
        <f t="shared" si="301"/>
        <v>0</v>
      </c>
      <c r="Q1120" s="765"/>
      <c r="R1120" s="576">
        <f t="shared" si="297"/>
        <v>0</v>
      </c>
      <c r="S1120" s="576">
        <f t="shared" si="297"/>
        <v>0</v>
      </c>
      <c r="T1120" s="577">
        <f t="shared" si="298"/>
        <v>0</v>
      </c>
      <c r="U1120" s="578">
        <f t="shared" si="299"/>
        <v>0</v>
      </c>
      <c r="V1120" s="579"/>
      <c r="W1120" s="566"/>
      <c r="X1120" s="586" t="str">
        <f t="shared" si="302"/>
        <v/>
      </c>
      <c r="Y1120" s="586" t="str">
        <f t="shared" si="296"/>
        <v/>
      </c>
      <c r="Z1120" s="586" t="str">
        <f t="shared" si="305"/>
        <v/>
      </c>
    </row>
    <row r="1121" spans="1:26" ht="23.25" hidden="1" thickBot="1" x14ac:dyDescent="0.25">
      <c r="A1121" s="567">
        <v>91882</v>
      </c>
      <c r="B1121" s="644">
        <v>91882</v>
      </c>
      <c r="C1121" s="645" t="s">
        <v>670</v>
      </c>
      <c r="D1121" s="422" t="s">
        <v>972</v>
      </c>
      <c r="E1121" s="423"/>
      <c r="F1121" s="424"/>
      <c r="G1121" s="425"/>
      <c r="H1121" s="651"/>
      <c r="I1121" s="420">
        <v>8.76</v>
      </c>
      <c r="J1121" s="420">
        <f t="shared" si="304"/>
        <v>8.76</v>
      </c>
      <c r="K1121" s="421">
        <f t="shared" si="303"/>
        <v>10.41</v>
      </c>
      <c r="L1121" s="647" t="s">
        <v>2065</v>
      </c>
      <c r="M1121" s="576"/>
      <c r="N1121" s="576">
        <f t="shared" si="306"/>
        <v>0</v>
      </c>
      <c r="O1121" s="577">
        <f t="shared" si="300"/>
        <v>0</v>
      </c>
      <c r="P1121" s="578">
        <f t="shared" si="301"/>
        <v>0</v>
      </c>
      <c r="Q1121" s="765"/>
      <c r="R1121" s="576">
        <f t="shared" si="297"/>
        <v>0</v>
      </c>
      <c r="S1121" s="576">
        <f t="shared" si="297"/>
        <v>0</v>
      </c>
      <c r="T1121" s="577">
        <f t="shared" si="298"/>
        <v>0</v>
      </c>
      <c r="U1121" s="578">
        <f t="shared" si="299"/>
        <v>0</v>
      </c>
      <c r="V1121" s="579"/>
      <c r="W1121" s="566"/>
      <c r="X1121" s="586" t="str">
        <f t="shared" si="302"/>
        <v/>
      </c>
      <c r="Y1121" s="586" t="str">
        <f t="shared" si="296"/>
        <v/>
      </c>
      <c r="Z1121" s="586" t="str">
        <f t="shared" si="305"/>
        <v/>
      </c>
    </row>
    <row r="1122" spans="1:26" ht="23.25" hidden="1" thickBot="1" x14ac:dyDescent="0.25">
      <c r="A1122" s="567">
        <v>91884</v>
      </c>
      <c r="B1122" s="644">
        <v>91884</v>
      </c>
      <c r="C1122" s="645" t="s">
        <v>670</v>
      </c>
      <c r="D1122" s="422" t="s">
        <v>973</v>
      </c>
      <c r="E1122" s="423"/>
      <c r="F1122" s="424"/>
      <c r="G1122" s="425"/>
      <c r="H1122" s="651"/>
      <c r="I1122" s="420">
        <v>10.210000000000001</v>
      </c>
      <c r="J1122" s="420">
        <f t="shared" si="304"/>
        <v>10.210000000000001</v>
      </c>
      <c r="K1122" s="421">
        <f t="shared" si="303"/>
        <v>12.13</v>
      </c>
      <c r="L1122" s="647" t="s">
        <v>2065</v>
      </c>
      <c r="M1122" s="576"/>
      <c r="N1122" s="576">
        <f t="shared" si="306"/>
        <v>0</v>
      </c>
      <c r="O1122" s="577">
        <f t="shared" si="300"/>
        <v>0</v>
      </c>
      <c r="P1122" s="578">
        <f t="shared" si="301"/>
        <v>0</v>
      </c>
      <c r="Q1122" s="765"/>
      <c r="R1122" s="576">
        <f t="shared" si="297"/>
        <v>0</v>
      </c>
      <c r="S1122" s="576">
        <f t="shared" si="297"/>
        <v>0</v>
      </c>
      <c r="T1122" s="577">
        <f t="shared" si="298"/>
        <v>0</v>
      </c>
      <c r="U1122" s="578">
        <f t="shared" si="299"/>
        <v>0</v>
      </c>
      <c r="V1122" s="579"/>
      <c r="W1122" s="566"/>
      <c r="X1122" s="586" t="str">
        <f t="shared" si="302"/>
        <v/>
      </c>
      <c r="Y1122" s="586" t="str">
        <f t="shared" si="296"/>
        <v/>
      </c>
      <c r="Z1122" s="586" t="str">
        <f t="shared" si="305"/>
        <v/>
      </c>
    </row>
    <row r="1123" spans="1:26" ht="23.25" hidden="1" thickBot="1" x14ac:dyDescent="0.25">
      <c r="A1123" s="567">
        <v>91885</v>
      </c>
      <c r="B1123" s="644">
        <v>91885</v>
      </c>
      <c r="C1123" s="645" t="s">
        <v>670</v>
      </c>
      <c r="D1123" s="422" t="s">
        <v>974</v>
      </c>
      <c r="E1123" s="423"/>
      <c r="F1123" s="424"/>
      <c r="G1123" s="425"/>
      <c r="H1123" s="651"/>
      <c r="I1123" s="420">
        <v>12.16</v>
      </c>
      <c r="J1123" s="420">
        <f t="shared" si="304"/>
        <v>12.16</v>
      </c>
      <c r="K1123" s="421">
        <f t="shared" si="303"/>
        <v>14.45</v>
      </c>
      <c r="L1123" s="647" t="s">
        <v>2065</v>
      </c>
      <c r="M1123" s="576"/>
      <c r="N1123" s="576">
        <f t="shared" si="306"/>
        <v>0</v>
      </c>
      <c r="O1123" s="577">
        <f t="shared" si="300"/>
        <v>0</v>
      </c>
      <c r="P1123" s="578">
        <f t="shared" si="301"/>
        <v>0</v>
      </c>
      <c r="Q1123" s="765"/>
      <c r="R1123" s="576">
        <f t="shared" si="297"/>
        <v>0</v>
      </c>
      <c r="S1123" s="576">
        <f t="shared" si="297"/>
        <v>0</v>
      </c>
      <c r="T1123" s="577">
        <f t="shared" si="298"/>
        <v>0</v>
      </c>
      <c r="U1123" s="578">
        <f t="shared" si="299"/>
        <v>0</v>
      </c>
      <c r="V1123" s="579"/>
      <c r="W1123" s="566"/>
      <c r="X1123" s="586" t="str">
        <f t="shared" si="302"/>
        <v/>
      </c>
      <c r="Y1123" s="586" t="str">
        <f t="shared" ref="Y1123:Y1186" si="307">IF(W1123="X","x",IF(W1123="y","x",IF(W1123="xx","x",IF(U1123&gt;0,"x",""))))</f>
        <v/>
      </c>
      <c r="Z1123" s="586" t="str">
        <f t="shared" si="305"/>
        <v/>
      </c>
    </row>
    <row r="1124" spans="1:26" ht="23.25" hidden="1" thickBot="1" x14ac:dyDescent="0.25">
      <c r="A1124" s="567">
        <v>91886</v>
      </c>
      <c r="B1124" s="644">
        <v>91886</v>
      </c>
      <c r="C1124" s="645" t="s">
        <v>670</v>
      </c>
      <c r="D1124" s="422" t="s">
        <v>975</v>
      </c>
      <c r="E1124" s="423"/>
      <c r="F1124" s="424"/>
      <c r="G1124" s="425"/>
      <c r="H1124" s="651"/>
      <c r="I1124" s="420">
        <v>15.01</v>
      </c>
      <c r="J1124" s="420">
        <f t="shared" si="304"/>
        <v>15.01</v>
      </c>
      <c r="K1124" s="421">
        <f t="shared" si="303"/>
        <v>17.829999999999998</v>
      </c>
      <c r="L1124" s="647" t="s">
        <v>2065</v>
      </c>
      <c r="M1124" s="576"/>
      <c r="N1124" s="576">
        <f t="shared" si="306"/>
        <v>0</v>
      </c>
      <c r="O1124" s="577">
        <f t="shared" si="300"/>
        <v>0</v>
      </c>
      <c r="P1124" s="578">
        <f t="shared" si="301"/>
        <v>0</v>
      </c>
      <c r="Q1124" s="765"/>
      <c r="R1124" s="576">
        <f t="shared" si="297"/>
        <v>0</v>
      </c>
      <c r="S1124" s="576">
        <f t="shared" si="297"/>
        <v>0</v>
      </c>
      <c r="T1124" s="577">
        <f t="shared" si="298"/>
        <v>0</v>
      </c>
      <c r="U1124" s="578">
        <f t="shared" si="299"/>
        <v>0</v>
      </c>
      <c r="V1124" s="579"/>
      <c r="W1124" s="566"/>
      <c r="X1124" s="586" t="str">
        <f t="shared" si="302"/>
        <v/>
      </c>
      <c r="Y1124" s="586" t="str">
        <f t="shared" si="307"/>
        <v/>
      </c>
      <c r="Z1124" s="586" t="str">
        <f t="shared" si="305"/>
        <v/>
      </c>
    </row>
    <row r="1125" spans="1:26" ht="23.25" hidden="1" thickBot="1" x14ac:dyDescent="0.25">
      <c r="A1125" s="567">
        <v>91887</v>
      </c>
      <c r="B1125" s="644">
        <v>91887</v>
      </c>
      <c r="C1125" s="645" t="s">
        <v>670</v>
      </c>
      <c r="D1125" s="422" t="s">
        <v>976</v>
      </c>
      <c r="E1125" s="423"/>
      <c r="F1125" s="424"/>
      <c r="G1125" s="425"/>
      <c r="H1125" s="651"/>
      <c r="I1125" s="420">
        <v>10.88</v>
      </c>
      <c r="J1125" s="420">
        <f t="shared" si="304"/>
        <v>10.88</v>
      </c>
      <c r="K1125" s="421">
        <f t="shared" si="303"/>
        <v>12.93</v>
      </c>
      <c r="L1125" s="647" t="s">
        <v>2065</v>
      </c>
      <c r="M1125" s="576"/>
      <c r="N1125" s="576">
        <f t="shared" si="306"/>
        <v>0</v>
      </c>
      <c r="O1125" s="577">
        <f t="shared" si="300"/>
        <v>0</v>
      </c>
      <c r="P1125" s="578">
        <f t="shared" si="301"/>
        <v>0</v>
      </c>
      <c r="Q1125" s="765"/>
      <c r="R1125" s="576">
        <f t="shared" si="297"/>
        <v>0</v>
      </c>
      <c r="S1125" s="576">
        <f t="shared" si="297"/>
        <v>0</v>
      </c>
      <c r="T1125" s="577">
        <f t="shared" si="298"/>
        <v>0</v>
      </c>
      <c r="U1125" s="578">
        <f t="shared" si="299"/>
        <v>0</v>
      </c>
      <c r="V1125" s="579"/>
      <c r="W1125" s="566"/>
      <c r="X1125" s="586" t="str">
        <f t="shared" si="302"/>
        <v/>
      </c>
      <c r="Y1125" s="586" t="str">
        <f t="shared" si="307"/>
        <v/>
      </c>
      <c r="Z1125" s="586" t="str">
        <f t="shared" si="305"/>
        <v/>
      </c>
    </row>
    <row r="1126" spans="1:26" ht="23.25" hidden="1" thickBot="1" x14ac:dyDescent="0.25">
      <c r="A1126" s="567">
        <v>91889</v>
      </c>
      <c r="B1126" s="644">
        <v>91889</v>
      </c>
      <c r="C1126" s="645" t="s">
        <v>670</v>
      </c>
      <c r="D1126" s="422" t="s">
        <v>977</v>
      </c>
      <c r="E1126" s="423"/>
      <c r="F1126" s="424"/>
      <c r="G1126" s="425"/>
      <c r="H1126" s="651"/>
      <c r="I1126" s="420">
        <v>10.41</v>
      </c>
      <c r="J1126" s="420">
        <f t="shared" si="304"/>
        <v>10.41</v>
      </c>
      <c r="K1126" s="421">
        <f t="shared" si="303"/>
        <v>12.37</v>
      </c>
      <c r="L1126" s="647" t="s">
        <v>2065</v>
      </c>
      <c r="M1126" s="576"/>
      <c r="N1126" s="576">
        <f t="shared" si="306"/>
        <v>0</v>
      </c>
      <c r="O1126" s="577">
        <f t="shared" si="300"/>
        <v>0</v>
      </c>
      <c r="P1126" s="578">
        <f t="shared" si="301"/>
        <v>0</v>
      </c>
      <c r="Q1126" s="765"/>
      <c r="R1126" s="576">
        <f t="shared" si="297"/>
        <v>0</v>
      </c>
      <c r="S1126" s="576">
        <f t="shared" si="297"/>
        <v>0</v>
      </c>
      <c r="T1126" s="577">
        <f t="shared" si="298"/>
        <v>0</v>
      </c>
      <c r="U1126" s="578">
        <f t="shared" si="299"/>
        <v>0</v>
      </c>
      <c r="V1126" s="579"/>
      <c r="W1126" s="566"/>
      <c r="X1126" s="586" t="str">
        <f t="shared" si="302"/>
        <v/>
      </c>
      <c r="Y1126" s="586" t="str">
        <f t="shared" si="307"/>
        <v/>
      </c>
      <c r="Z1126" s="586" t="str">
        <f t="shared" si="305"/>
        <v/>
      </c>
    </row>
    <row r="1127" spans="1:26" ht="23.25" hidden="1" thickBot="1" x14ac:dyDescent="0.25">
      <c r="A1127" s="567">
        <v>91890</v>
      </c>
      <c r="B1127" s="644">
        <v>91890</v>
      </c>
      <c r="C1127" s="645" t="s">
        <v>670</v>
      </c>
      <c r="D1127" s="422" t="s">
        <v>978</v>
      </c>
      <c r="E1127" s="423"/>
      <c r="F1127" s="424"/>
      <c r="G1127" s="425"/>
      <c r="H1127" s="651"/>
      <c r="I1127" s="420">
        <v>12.77</v>
      </c>
      <c r="J1127" s="420">
        <f t="shared" si="304"/>
        <v>12.77</v>
      </c>
      <c r="K1127" s="421">
        <f t="shared" si="303"/>
        <v>15.17</v>
      </c>
      <c r="L1127" s="647" t="s">
        <v>2065</v>
      </c>
      <c r="M1127" s="576"/>
      <c r="N1127" s="576">
        <f t="shared" si="306"/>
        <v>0</v>
      </c>
      <c r="O1127" s="577">
        <f t="shared" si="300"/>
        <v>0</v>
      </c>
      <c r="P1127" s="578">
        <f t="shared" si="301"/>
        <v>0</v>
      </c>
      <c r="Q1127" s="765"/>
      <c r="R1127" s="576">
        <f t="shared" si="297"/>
        <v>0</v>
      </c>
      <c r="S1127" s="576">
        <f t="shared" si="297"/>
        <v>0</v>
      </c>
      <c r="T1127" s="577">
        <f t="shared" si="298"/>
        <v>0</v>
      </c>
      <c r="U1127" s="578">
        <f t="shared" si="299"/>
        <v>0</v>
      </c>
      <c r="V1127" s="579"/>
      <c r="W1127" s="566"/>
      <c r="X1127" s="586" t="str">
        <f t="shared" si="302"/>
        <v/>
      </c>
      <c r="Y1127" s="586" t="str">
        <f t="shared" si="307"/>
        <v/>
      </c>
      <c r="Z1127" s="586" t="str">
        <f t="shared" si="305"/>
        <v/>
      </c>
    </row>
    <row r="1128" spans="1:26" ht="23.25" hidden="1" thickBot="1" x14ac:dyDescent="0.25">
      <c r="A1128" s="567">
        <v>91892</v>
      </c>
      <c r="B1128" s="644">
        <v>91892</v>
      </c>
      <c r="C1128" s="645" t="s">
        <v>670</v>
      </c>
      <c r="D1128" s="422" t="s">
        <v>979</v>
      </c>
      <c r="E1128" s="423"/>
      <c r="F1128" s="424"/>
      <c r="G1128" s="425"/>
      <c r="H1128" s="651"/>
      <c r="I1128" s="420">
        <v>15.93</v>
      </c>
      <c r="J1128" s="420">
        <f t="shared" si="304"/>
        <v>15.93</v>
      </c>
      <c r="K1128" s="421">
        <f t="shared" si="303"/>
        <v>18.93</v>
      </c>
      <c r="L1128" s="647" t="s">
        <v>2065</v>
      </c>
      <c r="M1128" s="576"/>
      <c r="N1128" s="576">
        <f t="shared" si="306"/>
        <v>0</v>
      </c>
      <c r="O1128" s="577">
        <f t="shared" si="300"/>
        <v>0</v>
      </c>
      <c r="P1128" s="578">
        <f t="shared" si="301"/>
        <v>0</v>
      </c>
      <c r="Q1128" s="765"/>
      <c r="R1128" s="576">
        <f t="shared" si="297"/>
        <v>0</v>
      </c>
      <c r="S1128" s="576">
        <f t="shared" si="297"/>
        <v>0</v>
      </c>
      <c r="T1128" s="577">
        <f t="shared" si="298"/>
        <v>0</v>
      </c>
      <c r="U1128" s="578">
        <f t="shared" si="299"/>
        <v>0</v>
      </c>
      <c r="V1128" s="579"/>
      <c r="W1128" s="566"/>
      <c r="X1128" s="586" t="str">
        <f t="shared" si="302"/>
        <v/>
      </c>
      <c r="Y1128" s="586" t="str">
        <f t="shared" si="307"/>
        <v/>
      </c>
      <c r="Z1128" s="586" t="str">
        <f t="shared" si="305"/>
        <v/>
      </c>
    </row>
    <row r="1129" spans="1:26" ht="23.25" hidden="1" thickBot="1" x14ac:dyDescent="0.25">
      <c r="A1129" s="567">
        <v>91893</v>
      </c>
      <c r="B1129" s="644">
        <v>91893</v>
      </c>
      <c r="C1129" s="645" t="s">
        <v>670</v>
      </c>
      <c r="D1129" s="422" t="s">
        <v>980</v>
      </c>
      <c r="E1129" s="423"/>
      <c r="F1129" s="424"/>
      <c r="G1129" s="425"/>
      <c r="H1129" s="651"/>
      <c r="I1129" s="420">
        <v>17.61</v>
      </c>
      <c r="J1129" s="420">
        <f t="shared" si="304"/>
        <v>17.61</v>
      </c>
      <c r="K1129" s="421">
        <f t="shared" si="303"/>
        <v>20.92</v>
      </c>
      <c r="L1129" s="647" t="s">
        <v>2065</v>
      </c>
      <c r="M1129" s="576"/>
      <c r="N1129" s="576">
        <f t="shared" si="306"/>
        <v>0</v>
      </c>
      <c r="O1129" s="577">
        <f t="shared" si="300"/>
        <v>0</v>
      </c>
      <c r="P1129" s="578">
        <f t="shared" si="301"/>
        <v>0</v>
      </c>
      <c r="Q1129" s="765"/>
      <c r="R1129" s="576">
        <f t="shared" si="297"/>
        <v>0</v>
      </c>
      <c r="S1129" s="576">
        <f t="shared" si="297"/>
        <v>0</v>
      </c>
      <c r="T1129" s="577">
        <f t="shared" si="298"/>
        <v>0</v>
      </c>
      <c r="U1129" s="578">
        <f t="shared" si="299"/>
        <v>0</v>
      </c>
      <c r="V1129" s="579"/>
      <c r="W1129" s="566"/>
      <c r="X1129" s="586" t="str">
        <f t="shared" si="302"/>
        <v/>
      </c>
      <c r="Y1129" s="586" t="str">
        <f t="shared" si="307"/>
        <v/>
      </c>
      <c r="Z1129" s="586" t="str">
        <f t="shared" si="305"/>
        <v/>
      </c>
    </row>
    <row r="1130" spans="1:26" ht="23.25" hidden="1" thickBot="1" x14ac:dyDescent="0.25">
      <c r="A1130" s="567">
        <v>91896</v>
      </c>
      <c r="B1130" s="644">
        <v>91896</v>
      </c>
      <c r="C1130" s="645" t="s">
        <v>670</v>
      </c>
      <c r="D1130" s="422" t="s">
        <v>981</v>
      </c>
      <c r="E1130" s="423"/>
      <c r="F1130" s="424"/>
      <c r="G1130" s="425"/>
      <c r="H1130" s="651"/>
      <c r="I1130" s="420">
        <v>21.34</v>
      </c>
      <c r="J1130" s="420">
        <f t="shared" si="304"/>
        <v>21.34</v>
      </c>
      <c r="K1130" s="421">
        <f t="shared" si="303"/>
        <v>25.35</v>
      </c>
      <c r="L1130" s="647" t="s">
        <v>2065</v>
      </c>
      <c r="M1130" s="576"/>
      <c r="N1130" s="576">
        <f t="shared" si="306"/>
        <v>0</v>
      </c>
      <c r="O1130" s="577">
        <f t="shared" si="300"/>
        <v>0</v>
      </c>
      <c r="P1130" s="578">
        <f t="shared" si="301"/>
        <v>0</v>
      </c>
      <c r="Q1130" s="765"/>
      <c r="R1130" s="576">
        <f t="shared" si="297"/>
        <v>0</v>
      </c>
      <c r="S1130" s="576">
        <f t="shared" si="297"/>
        <v>0</v>
      </c>
      <c r="T1130" s="577">
        <f t="shared" si="298"/>
        <v>0</v>
      </c>
      <c r="U1130" s="578">
        <f t="shared" si="299"/>
        <v>0</v>
      </c>
      <c r="V1130" s="579"/>
      <c r="W1130" s="566"/>
      <c r="X1130" s="586" t="str">
        <f t="shared" si="302"/>
        <v/>
      </c>
      <c r="Y1130" s="586" t="str">
        <f t="shared" si="307"/>
        <v/>
      </c>
      <c r="Z1130" s="586" t="str">
        <f t="shared" si="305"/>
        <v/>
      </c>
    </row>
    <row r="1131" spans="1:26" ht="23.25" hidden="1" thickBot="1" x14ac:dyDescent="0.25">
      <c r="A1131" s="567">
        <v>91898</v>
      </c>
      <c r="B1131" s="644">
        <v>91898</v>
      </c>
      <c r="C1131" s="645" t="s">
        <v>670</v>
      </c>
      <c r="D1131" s="422" t="s">
        <v>982</v>
      </c>
      <c r="E1131" s="423"/>
      <c r="F1131" s="424"/>
      <c r="G1131" s="425"/>
      <c r="H1131" s="651"/>
      <c r="I1131" s="420">
        <v>24.78</v>
      </c>
      <c r="J1131" s="420">
        <f t="shared" si="304"/>
        <v>24.78</v>
      </c>
      <c r="K1131" s="421">
        <f t="shared" si="303"/>
        <v>29.44</v>
      </c>
      <c r="L1131" s="647" t="s">
        <v>2065</v>
      </c>
      <c r="M1131" s="576"/>
      <c r="N1131" s="576">
        <f t="shared" si="306"/>
        <v>0</v>
      </c>
      <c r="O1131" s="577">
        <f t="shared" si="300"/>
        <v>0</v>
      </c>
      <c r="P1131" s="578">
        <f t="shared" si="301"/>
        <v>0</v>
      </c>
      <c r="Q1131" s="765"/>
      <c r="R1131" s="576">
        <f t="shared" si="297"/>
        <v>0</v>
      </c>
      <c r="S1131" s="576">
        <f t="shared" si="297"/>
        <v>0</v>
      </c>
      <c r="T1131" s="577">
        <f t="shared" si="298"/>
        <v>0</v>
      </c>
      <c r="U1131" s="578">
        <f t="shared" si="299"/>
        <v>0</v>
      </c>
      <c r="V1131" s="579"/>
      <c r="W1131" s="566"/>
      <c r="X1131" s="586" t="str">
        <f t="shared" si="302"/>
        <v/>
      </c>
      <c r="Y1131" s="586" t="str">
        <f t="shared" si="307"/>
        <v/>
      </c>
      <c r="Z1131" s="586" t="str">
        <f t="shared" si="305"/>
        <v/>
      </c>
    </row>
    <row r="1132" spans="1:26" ht="23.25" hidden="1" thickBot="1" x14ac:dyDescent="0.25">
      <c r="A1132" s="567">
        <v>91899</v>
      </c>
      <c r="B1132" s="644">
        <v>91899</v>
      </c>
      <c r="C1132" s="645" t="s">
        <v>670</v>
      </c>
      <c r="D1132" s="422" t="s">
        <v>983</v>
      </c>
      <c r="E1132" s="423"/>
      <c r="F1132" s="424"/>
      <c r="G1132" s="425"/>
      <c r="H1132" s="651"/>
      <c r="I1132" s="420">
        <v>13.07</v>
      </c>
      <c r="J1132" s="420">
        <f t="shared" si="304"/>
        <v>13.07</v>
      </c>
      <c r="K1132" s="421">
        <f t="shared" si="303"/>
        <v>15.53</v>
      </c>
      <c r="L1132" s="647" t="s">
        <v>2065</v>
      </c>
      <c r="M1132" s="576"/>
      <c r="N1132" s="576">
        <f t="shared" si="306"/>
        <v>0</v>
      </c>
      <c r="O1132" s="577">
        <f t="shared" si="300"/>
        <v>0</v>
      </c>
      <c r="P1132" s="578">
        <f t="shared" si="301"/>
        <v>0</v>
      </c>
      <c r="Q1132" s="765"/>
      <c r="R1132" s="576">
        <f t="shared" si="297"/>
        <v>0</v>
      </c>
      <c r="S1132" s="576">
        <f t="shared" si="297"/>
        <v>0</v>
      </c>
      <c r="T1132" s="577">
        <f t="shared" si="298"/>
        <v>0</v>
      </c>
      <c r="U1132" s="578">
        <f t="shared" si="299"/>
        <v>0</v>
      </c>
      <c r="V1132" s="579"/>
      <c r="W1132" s="566"/>
      <c r="X1132" s="586" t="str">
        <f t="shared" si="302"/>
        <v/>
      </c>
      <c r="Y1132" s="586" t="str">
        <f t="shared" si="307"/>
        <v/>
      </c>
      <c r="Z1132" s="586" t="str">
        <f t="shared" si="305"/>
        <v/>
      </c>
    </row>
    <row r="1133" spans="1:26" ht="23.25" hidden="1" thickBot="1" x14ac:dyDescent="0.25">
      <c r="A1133" s="567">
        <v>91901</v>
      </c>
      <c r="B1133" s="644">
        <v>91901</v>
      </c>
      <c r="C1133" s="645" t="s">
        <v>670</v>
      </c>
      <c r="D1133" s="422" t="s">
        <v>984</v>
      </c>
      <c r="E1133" s="423"/>
      <c r="F1133" s="424"/>
      <c r="G1133" s="425"/>
      <c r="H1133" s="651"/>
      <c r="I1133" s="420">
        <v>12.6</v>
      </c>
      <c r="J1133" s="420">
        <f t="shared" si="304"/>
        <v>12.6</v>
      </c>
      <c r="K1133" s="421">
        <f t="shared" si="303"/>
        <v>14.97</v>
      </c>
      <c r="L1133" s="647" t="s">
        <v>2065</v>
      </c>
      <c r="M1133" s="576"/>
      <c r="N1133" s="576">
        <f t="shared" si="306"/>
        <v>0</v>
      </c>
      <c r="O1133" s="577">
        <f t="shared" si="300"/>
        <v>0</v>
      </c>
      <c r="P1133" s="578">
        <f t="shared" si="301"/>
        <v>0</v>
      </c>
      <c r="Q1133" s="765"/>
      <c r="R1133" s="576">
        <f t="shared" si="297"/>
        <v>0</v>
      </c>
      <c r="S1133" s="576">
        <f t="shared" si="297"/>
        <v>0</v>
      </c>
      <c r="T1133" s="577">
        <f t="shared" si="298"/>
        <v>0</v>
      </c>
      <c r="U1133" s="578">
        <f t="shared" si="299"/>
        <v>0</v>
      </c>
      <c r="V1133" s="579"/>
      <c r="W1133" s="566"/>
      <c r="X1133" s="586" t="str">
        <f t="shared" si="302"/>
        <v/>
      </c>
      <c r="Y1133" s="586" t="str">
        <f t="shared" si="307"/>
        <v/>
      </c>
      <c r="Z1133" s="586" t="str">
        <f t="shared" si="305"/>
        <v/>
      </c>
    </row>
    <row r="1134" spans="1:26" ht="23.25" hidden="1" thickBot="1" x14ac:dyDescent="0.25">
      <c r="A1134" s="567">
        <v>91902</v>
      </c>
      <c r="B1134" s="644">
        <v>91902</v>
      </c>
      <c r="C1134" s="645" t="s">
        <v>670</v>
      </c>
      <c r="D1134" s="422" t="s">
        <v>985</v>
      </c>
      <c r="E1134" s="423"/>
      <c r="F1134" s="424"/>
      <c r="G1134" s="425"/>
      <c r="H1134" s="651"/>
      <c r="I1134" s="420">
        <v>14.96</v>
      </c>
      <c r="J1134" s="420">
        <f t="shared" si="304"/>
        <v>14.96</v>
      </c>
      <c r="K1134" s="421">
        <f t="shared" si="303"/>
        <v>17.77</v>
      </c>
      <c r="L1134" s="647" t="s">
        <v>2065</v>
      </c>
      <c r="M1134" s="576"/>
      <c r="N1134" s="576">
        <f t="shared" si="306"/>
        <v>0</v>
      </c>
      <c r="O1134" s="577">
        <f t="shared" si="300"/>
        <v>0</v>
      </c>
      <c r="P1134" s="578">
        <f t="shared" si="301"/>
        <v>0</v>
      </c>
      <c r="Q1134" s="765"/>
      <c r="R1134" s="576">
        <f t="shared" si="297"/>
        <v>0</v>
      </c>
      <c r="S1134" s="576">
        <f t="shared" si="297"/>
        <v>0</v>
      </c>
      <c r="T1134" s="577">
        <f t="shared" si="298"/>
        <v>0</v>
      </c>
      <c r="U1134" s="578">
        <f t="shared" si="299"/>
        <v>0</v>
      </c>
      <c r="V1134" s="579"/>
      <c r="W1134" s="566"/>
      <c r="X1134" s="586" t="str">
        <f t="shared" si="302"/>
        <v/>
      </c>
      <c r="Y1134" s="586" t="str">
        <f t="shared" si="307"/>
        <v/>
      </c>
      <c r="Z1134" s="586" t="str">
        <f t="shared" si="305"/>
        <v/>
      </c>
    </row>
    <row r="1135" spans="1:26" ht="23.25" hidden="1" thickBot="1" x14ac:dyDescent="0.25">
      <c r="A1135" s="567">
        <v>91895</v>
      </c>
      <c r="B1135" s="644">
        <v>91895</v>
      </c>
      <c r="C1135" s="645" t="s">
        <v>670</v>
      </c>
      <c r="D1135" s="422" t="s">
        <v>986</v>
      </c>
      <c r="E1135" s="423"/>
      <c r="F1135" s="424"/>
      <c r="G1135" s="425"/>
      <c r="H1135" s="651"/>
      <c r="I1135" s="420">
        <v>20.83</v>
      </c>
      <c r="J1135" s="420">
        <f t="shared" si="304"/>
        <v>20.83</v>
      </c>
      <c r="K1135" s="421">
        <f t="shared" si="303"/>
        <v>24.75</v>
      </c>
      <c r="L1135" s="647" t="s">
        <v>2065</v>
      </c>
      <c r="M1135" s="576"/>
      <c r="N1135" s="576">
        <f t="shared" si="306"/>
        <v>0</v>
      </c>
      <c r="O1135" s="577">
        <f t="shared" si="300"/>
        <v>0</v>
      </c>
      <c r="P1135" s="578">
        <f t="shared" si="301"/>
        <v>0</v>
      </c>
      <c r="Q1135" s="765"/>
      <c r="R1135" s="576">
        <f t="shared" si="297"/>
        <v>0</v>
      </c>
      <c r="S1135" s="576">
        <f t="shared" si="297"/>
        <v>0</v>
      </c>
      <c r="T1135" s="577">
        <f t="shared" si="298"/>
        <v>0</v>
      </c>
      <c r="U1135" s="578">
        <f t="shared" si="299"/>
        <v>0</v>
      </c>
      <c r="V1135" s="579"/>
      <c r="W1135" s="566"/>
      <c r="X1135" s="586" t="str">
        <f t="shared" si="302"/>
        <v/>
      </c>
      <c r="Y1135" s="586" t="str">
        <f t="shared" si="307"/>
        <v/>
      </c>
      <c r="Z1135" s="586" t="str">
        <f t="shared" si="305"/>
        <v/>
      </c>
    </row>
    <row r="1136" spans="1:26" ht="23.25" hidden="1" thickBot="1" x14ac:dyDescent="0.25">
      <c r="A1136" s="567">
        <v>91907</v>
      </c>
      <c r="B1136" s="644">
        <v>91907</v>
      </c>
      <c r="C1136" s="645" t="s">
        <v>670</v>
      </c>
      <c r="D1136" s="422" t="s">
        <v>987</v>
      </c>
      <c r="E1136" s="423"/>
      <c r="F1136" s="424"/>
      <c r="G1136" s="425"/>
      <c r="H1136" s="651"/>
      <c r="I1136" s="420">
        <v>23.02</v>
      </c>
      <c r="J1136" s="420">
        <f t="shared" si="304"/>
        <v>23.02</v>
      </c>
      <c r="K1136" s="421">
        <f t="shared" si="303"/>
        <v>27.35</v>
      </c>
      <c r="L1136" s="647" t="s">
        <v>2065</v>
      </c>
      <c r="M1136" s="576"/>
      <c r="N1136" s="576">
        <f t="shared" si="306"/>
        <v>0</v>
      </c>
      <c r="O1136" s="577">
        <f t="shared" si="300"/>
        <v>0</v>
      </c>
      <c r="P1136" s="578">
        <f t="shared" si="301"/>
        <v>0</v>
      </c>
      <c r="Q1136" s="765"/>
      <c r="R1136" s="576">
        <f t="shared" si="297"/>
        <v>0</v>
      </c>
      <c r="S1136" s="576">
        <f t="shared" si="297"/>
        <v>0</v>
      </c>
      <c r="T1136" s="577">
        <f t="shared" si="298"/>
        <v>0</v>
      </c>
      <c r="U1136" s="578">
        <f t="shared" si="299"/>
        <v>0</v>
      </c>
      <c r="V1136" s="579"/>
      <c r="W1136" s="566"/>
      <c r="X1136" s="586" t="str">
        <f t="shared" si="302"/>
        <v/>
      </c>
      <c r="Y1136" s="586" t="str">
        <f t="shared" si="307"/>
        <v/>
      </c>
      <c r="Z1136" s="586" t="str">
        <f t="shared" si="305"/>
        <v/>
      </c>
    </row>
    <row r="1137" spans="1:26" ht="23.25" hidden="1" thickBot="1" x14ac:dyDescent="0.25">
      <c r="A1137" s="567">
        <v>91919</v>
      </c>
      <c r="B1137" s="644">
        <v>91919</v>
      </c>
      <c r="C1137" s="645" t="s">
        <v>670</v>
      </c>
      <c r="D1137" s="422" t="s">
        <v>988</v>
      </c>
      <c r="E1137" s="423"/>
      <c r="F1137" s="424"/>
      <c r="G1137" s="425"/>
      <c r="H1137" s="651"/>
      <c r="I1137" s="420">
        <v>24.16</v>
      </c>
      <c r="J1137" s="420">
        <f t="shared" si="304"/>
        <v>24.16</v>
      </c>
      <c r="K1137" s="421">
        <f t="shared" si="303"/>
        <v>28.7</v>
      </c>
      <c r="L1137" s="647" t="s">
        <v>2065</v>
      </c>
      <c r="M1137" s="576"/>
      <c r="N1137" s="576">
        <f t="shared" si="306"/>
        <v>0</v>
      </c>
      <c r="O1137" s="577">
        <f t="shared" si="300"/>
        <v>0</v>
      </c>
      <c r="P1137" s="578">
        <f t="shared" si="301"/>
        <v>0</v>
      </c>
      <c r="Q1137" s="765"/>
      <c r="R1137" s="576">
        <f t="shared" si="297"/>
        <v>0</v>
      </c>
      <c r="S1137" s="576">
        <f t="shared" si="297"/>
        <v>0</v>
      </c>
      <c r="T1137" s="577">
        <f t="shared" si="298"/>
        <v>0</v>
      </c>
      <c r="U1137" s="578">
        <f t="shared" si="299"/>
        <v>0</v>
      </c>
      <c r="V1137" s="579"/>
      <c r="W1137" s="566"/>
      <c r="X1137" s="586" t="str">
        <f t="shared" si="302"/>
        <v/>
      </c>
      <c r="Y1137" s="586" t="str">
        <f t="shared" si="307"/>
        <v/>
      </c>
      <c r="Z1137" s="586" t="str">
        <f t="shared" si="305"/>
        <v/>
      </c>
    </row>
    <row r="1138" spans="1:26" ht="23.25" hidden="1" thickBot="1" x14ac:dyDescent="0.25">
      <c r="A1138" s="567">
        <v>91904</v>
      </c>
      <c r="B1138" s="644">
        <v>91904</v>
      </c>
      <c r="C1138" s="645" t="s">
        <v>670</v>
      </c>
      <c r="D1138" s="422" t="s">
        <v>989</v>
      </c>
      <c r="E1138" s="423"/>
      <c r="F1138" s="424"/>
      <c r="G1138" s="425"/>
      <c r="H1138" s="651"/>
      <c r="I1138" s="420">
        <v>18.12</v>
      </c>
      <c r="J1138" s="420">
        <f t="shared" si="304"/>
        <v>18.12</v>
      </c>
      <c r="K1138" s="421">
        <f t="shared" si="303"/>
        <v>21.53</v>
      </c>
      <c r="L1138" s="647" t="s">
        <v>2065</v>
      </c>
      <c r="M1138" s="576"/>
      <c r="N1138" s="576">
        <f t="shared" si="306"/>
        <v>0</v>
      </c>
      <c r="O1138" s="577">
        <f t="shared" si="300"/>
        <v>0</v>
      </c>
      <c r="P1138" s="578">
        <f t="shared" si="301"/>
        <v>0</v>
      </c>
      <c r="Q1138" s="765"/>
      <c r="R1138" s="576">
        <f t="shared" si="297"/>
        <v>0</v>
      </c>
      <c r="S1138" s="576">
        <f t="shared" si="297"/>
        <v>0</v>
      </c>
      <c r="T1138" s="577">
        <f t="shared" si="298"/>
        <v>0</v>
      </c>
      <c r="U1138" s="578">
        <f t="shared" si="299"/>
        <v>0</v>
      </c>
      <c r="V1138" s="579"/>
      <c r="W1138" s="566"/>
      <c r="X1138" s="586" t="str">
        <f t="shared" si="302"/>
        <v/>
      </c>
      <c r="Y1138" s="586" t="str">
        <f t="shared" si="307"/>
        <v/>
      </c>
      <c r="Z1138" s="586" t="str">
        <f t="shared" si="305"/>
        <v/>
      </c>
    </row>
    <row r="1139" spans="1:26" ht="23.25" hidden="1" thickBot="1" x14ac:dyDescent="0.25">
      <c r="A1139" s="567">
        <v>91905</v>
      </c>
      <c r="B1139" s="644">
        <v>91905</v>
      </c>
      <c r="C1139" s="645" t="s">
        <v>670</v>
      </c>
      <c r="D1139" s="422" t="s">
        <v>990</v>
      </c>
      <c r="E1139" s="423"/>
      <c r="F1139" s="424"/>
      <c r="G1139" s="425"/>
      <c r="H1139" s="651"/>
      <c r="I1139" s="420">
        <v>19.8</v>
      </c>
      <c r="J1139" s="420">
        <f t="shared" si="304"/>
        <v>19.8</v>
      </c>
      <c r="K1139" s="421">
        <f t="shared" si="303"/>
        <v>23.52</v>
      </c>
      <c r="L1139" s="647" t="s">
        <v>2065</v>
      </c>
      <c r="M1139" s="576"/>
      <c r="N1139" s="576">
        <f t="shared" si="306"/>
        <v>0</v>
      </c>
      <c r="O1139" s="577">
        <f t="shared" si="300"/>
        <v>0</v>
      </c>
      <c r="P1139" s="578">
        <f t="shared" si="301"/>
        <v>0</v>
      </c>
      <c r="Q1139" s="765"/>
      <c r="R1139" s="576">
        <f t="shared" si="297"/>
        <v>0</v>
      </c>
      <c r="S1139" s="576">
        <f t="shared" si="297"/>
        <v>0</v>
      </c>
      <c r="T1139" s="577">
        <f t="shared" si="298"/>
        <v>0</v>
      </c>
      <c r="U1139" s="578">
        <f t="shared" si="299"/>
        <v>0</v>
      </c>
      <c r="V1139" s="579"/>
      <c r="W1139" s="566"/>
      <c r="X1139" s="586" t="str">
        <f t="shared" si="302"/>
        <v/>
      </c>
      <c r="Y1139" s="586" t="str">
        <f t="shared" si="307"/>
        <v/>
      </c>
      <c r="Z1139" s="586" t="str">
        <f t="shared" si="305"/>
        <v/>
      </c>
    </row>
    <row r="1140" spans="1:26" ht="23.25" hidden="1" thickBot="1" x14ac:dyDescent="0.25">
      <c r="A1140" s="567">
        <v>91908</v>
      </c>
      <c r="B1140" s="644">
        <v>91908</v>
      </c>
      <c r="C1140" s="645" t="s">
        <v>670</v>
      </c>
      <c r="D1140" s="422" t="s">
        <v>991</v>
      </c>
      <c r="E1140" s="423"/>
      <c r="F1140" s="424"/>
      <c r="G1140" s="425"/>
      <c r="H1140" s="651"/>
      <c r="I1140" s="420">
        <v>23.58</v>
      </c>
      <c r="J1140" s="420">
        <f t="shared" si="304"/>
        <v>23.58</v>
      </c>
      <c r="K1140" s="421">
        <f t="shared" si="303"/>
        <v>28.02</v>
      </c>
      <c r="L1140" s="647" t="s">
        <v>2065</v>
      </c>
      <c r="M1140" s="576"/>
      <c r="N1140" s="576">
        <f t="shared" si="306"/>
        <v>0</v>
      </c>
      <c r="O1140" s="577">
        <f t="shared" si="300"/>
        <v>0</v>
      </c>
      <c r="P1140" s="578">
        <f t="shared" si="301"/>
        <v>0</v>
      </c>
      <c r="Q1140" s="765"/>
      <c r="R1140" s="576">
        <f t="shared" ref="R1140:S1203" si="308">M1140</f>
        <v>0</v>
      </c>
      <c r="S1140" s="576">
        <f t="shared" si="308"/>
        <v>0</v>
      </c>
      <c r="T1140" s="577">
        <f t="shared" ref="T1140:T1203" si="309">IF(ISBLANK(R1140),0,ROUND(K1140*R1140,2))</f>
        <v>0</v>
      </c>
      <c r="U1140" s="578">
        <f t="shared" ref="U1140:U1203" si="310">IF(ISBLANK(R1140),0,ROUND(R1140*S1140,2))</f>
        <v>0</v>
      </c>
      <c r="V1140" s="579"/>
      <c r="W1140" s="566"/>
      <c r="X1140" s="586" t="str">
        <f t="shared" si="302"/>
        <v/>
      </c>
      <c r="Y1140" s="586" t="str">
        <f t="shared" si="307"/>
        <v/>
      </c>
      <c r="Z1140" s="586" t="str">
        <f t="shared" si="305"/>
        <v/>
      </c>
    </row>
    <row r="1141" spans="1:26" ht="23.25" hidden="1" thickBot="1" x14ac:dyDescent="0.25">
      <c r="A1141" s="567">
        <v>91910</v>
      </c>
      <c r="B1141" s="644">
        <v>91910</v>
      </c>
      <c r="C1141" s="645" t="s">
        <v>670</v>
      </c>
      <c r="D1141" s="422" t="s">
        <v>992</v>
      </c>
      <c r="E1141" s="423"/>
      <c r="F1141" s="424"/>
      <c r="G1141" s="425"/>
      <c r="H1141" s="651"/>
      <c r="I1141" s="420">
        <v>27.02</v>
      </c>
      <c r="J1141" s="420">
        <f t="shared" si="304"/>
        <v>27.02</v>
      </c>
      <c r="K1141" s="421">
        <f t="shared" si="303"/>
        <v>32.1</v>
      </c>
      <c r="L1141" s="647" t="s">
        <v>2065</v>
      </c>
      <c r="M1141" s="576"/>
      <c r="N1141" s="576">
        <f t="shared" si="306"/>
        <v>0</v>
      </c>
      <c r="O1141" s="577">
        <f t="shared" ref="O1141:O1204" si="311">IF(ISBLANK(M1141),0,ROUND(K1141*M1141,2))</f>
        <v>0</v>
      </c>
      <c r="P1141" s="578">
        <f t="shared" ref="P1141:P1204" si="312">IF(ISBLANK(N1141),0,ROUND(M1141*N1141,2))</f>
        <v>0</v>
      </c>
      <c r="Q1141" s="765"/>
      <c r="R1141" s="576">
        <f t="shared" si="308"/>
        <v>0</v>
      </c>
      <c r="S1141" s="576">
        <f t="shared" si="308"/>
        <v>0</v>
      </c>
      <c r="T1141" s="577">
        <f t="shared" si="309"/>
        <v>0</v>
      </c>
      <c r="U1141" s="578">
        <f t="shared" si="310"/>
        <v>0</v>
      </c>
      <c r="V1141" s="579"/>
      <c r="W1141" s="566"/>
      <c r="X1141" s="586" t="str">
        <f t="shared" si="302"/>
        <v/>
      </c>
      <c r="Y1141" s="586" t="str">
        <f t="shared" si="307"/>
        <v/>
      </c>
      <c r="Z1141" s="586" t="str">
        <f t="shared" si="305"/>
        <v/>
      </c>
    </row>
    <row r="1142" spans="1:26" ht="23.25" hidden="1" thickBot="1" x14ac:dyDescent="0.25">
      <c r="A1142" s="567">
        <v>91911</v>
      </c>
      <c r="B1142" s="644">
        <v>91911</v>
      </c>
      <c r="C1142" s="645" t="s">
        <v>670</v>
      </c>
      <c r="D1142" s="422" t="s">
        <v>993</v>
      </c>
      <c r="E1142" s="423"/>
      <c r="F1142" s="424"/>
      <c r="G1142" s="425"/>
      <c r="H1142" s="651"/>
      <c r="I1142" s="420">
        <v>15.58</v>
      </c>
      <c r="J1142" s="420">
        <f t="shared" si="304"/>
        <v>15.58</v>
      </c>
      <c r="K1142" s="421">
        <f t="shared" si="303"/>
        <v>18.510000000000002</v>
      </c>
      <c r="L1142" s="647" t="s">
        <v>2065</v>
      </c>
      <c r="M1142" s="576"/>
      <c r="N1142" s="576">
        <f t="shared" si="306"/>
        <v>0</v>
      </c>
      <c r="O1142" s="577">
        <f t="shared" si="311"/>
        <v>0</v>
      </c>
      <c r="P1142" s="578">
        <f t="shared" si="312"/>
        <v>0</v>
      </c>
      <c r="Q1142" s="765"/>
      <c r="R1142" s="576">
        <f t="shared" si="308"/>
        <v>0</v>
      </c>
      <c r="S1142" s="576">
        <f t="shared" si="308"/>
        <v>0</v>
      </c>
      <c r="T1142" s="577">
        <f t="shared" si="309"/>
        <v>0</v>
      </c>
      <c r="U1142" s="578">
        <f t="shared" si="310"/>
        <v>0</v>
      </c>
      <c r="V1142" s="579"/>
      <c r="W1142" s="566"/>
      <c r="X1142" s="586" t="str">
        <f t="shared" si="302"/>
        <v/>
      </c>
      <c r="Y1142" s="586" t="str">
        <f t="shared" si="307"/>
        <v/>
      </c>
      <c r="Z1142" s="586" t="str">
        <f t="shared" si="305"/>
        <v/>
      </c>
    </row>
    <row r="1143" spans="1:26" ht="23.25" hidden="1" thickBot="1" x14ac:dyDescent="0.25">
      <c r="A1143" s="567">
        <v>91913</v>
      </c>
      <c r="B1143" s="644">
        <v>91913</v>
      </c>
      <c r="C1143" s="645" t="s">
        <v>670</v>
      </c>
      <c r="D1143" s="422" t="s">
        <v>994</v>
      </c>
      <c r="E1143" s="423"/>
      <c r="F1143" s="424"/>
      <c r="G1143" s="425"/>
      <c r="H1143" s="651"/>
      <c r="I1143" s="420">
        <v>15.11</v>
      </c>
      <c r="J1143" s="420">
        <f t="shared" si="304"/>
        <v>15.11</v>
      </c>
      <c r="K1143" s="421">
        <f t="shared" si="303"/>
        <v>17.95</v>
      </c>
      <c r="L1143" s="647" t="s">
        <v>2065</v>
      </c>
      <c r="M1143" s="576"/>
      <c r="N1143" s="576">
        <f t="shared" si="306"/>
        <v>0</v>
      </c>
      <c r="O1143" s="577">
        <f t="shared" si="311"/>
        <v>0</v>
      </c>
      <c r="P1143" s="578">
        <f t="shared" si="312"/>
        <v>0</v>
      </c>
      <c r="Q1143" s="765"/>
      <c r="R1143" s="576">
        <f t="shared" si="308"/>
        <v>0</v>
      </c>
      <c r="S1143" s="576">
        <f t="shared" si="308"/>
        <v>0</v>
      </c>
      <c r="T1143" s="577">
        <f t="shared" si="309"/>
        <v>0</v>
      </c>
      <c r="U1143" s="578">
        <f t="shared" si="310"/>
        <v>0</v>
      </c>
      <c r="V1143" s="579"/>
      <c r="W1143" s="566"/>
      <c r="X1143" s="586" t="str">
        <f t="shared" si="302"/>
        <v/>
      </c>
      <c r="Y1143" s="586" t="str">
        <f t="shared" si="307"/>
        <v/>
      </c>
      <c r="Z1143" s="586" t="str">
        <f t="shared" si="305"/>
        <v/>
      </c>
    </row>
    <row r="1144" spans="1:26" ht="23.25" hidden="1" thickBot="1" x14ac:dyDescent="0.25">
      <c r="A1144" s="567">
        <v>91914</v>
      </c>
      <c r="B1144" s="644">
        <v>91914</v>
      </c>
      <c r="C1144" s="645" t="s">
        <v>670</v>
      </c>
      <c r="D1144" s="422" t="s">
        <v>995</v>
      </c>
      <c r="E1144" s="423"/>
      <c r="F1144" s="424"/>
      <c r="G1144" s="425"/>
      <c r="H1144" s="651"/>
      <c r="I1144" s="420">
        <v>16.89</v>
      </c>
      <c r="J1144" s="420">
        <f t="shared" si="304"/>
        <v>16.89</v>
      </c>
      <c r="K1144" s="421">
        <f t="shared" si="303"/>
        <v>20.07</v>
      </c>
      <c r="L1144" s="647" t="s">
        <v>2065</v>
      </c>
      <c r="M1144" s="576"/>
      <c r="N1144" s="576">
        <f t="shared" si="306"/>
        <v>0</v>
      </c>
      <c r="O1144" s="577">
        <f t="shared" si="311"/>
        <v>0</v>
      </c>
      <c r="P1144" s="578">
        <f t="shared" si="312"/>
        <v>0</v>
      </c>
      <c r="Q1144" s="765"/>
      <c r="R1144" s="576">
        <f t="shared" si="308"/>
        <v>0</v>
      </c>
      <c r="S1144" s="576">
        <f t="shared" si="308"/>
        <v>0</v>
      </c>
      <c r="T1144" s="577">
        <f t="shared" si="309"/>
        <v>0</v>
      </c>
      <c r="U1144" s="578">
        <f t="shared" si="310"/>
        <v>0</v>
      </c>
      <c r="V1144" s="579"/>
      <c r="W1144" s="566"/>
      <c r="X1144" s="586" t="str">
        <f t="shared" si="302"/>
        <v/>
      </c>
      <c r="Y1144" s="586" t="str">
        <f t="shared" si="307"/>
        <v/>
      </c>
      <c r="Z1144" s="586" t="str">
        <f t="shared" si="305"/>
        <v/>
      </c>
    </row>
    <row r="1145" spans="1:26" ht="23.25" hidden="1" thickBot="1" x14ac:dyDescent="0.25">
      <c r="A1145" s="567">
        <v>91916</v>
      </c>
      <c r="B1145" s="644">
        <v>91916</v>
      </c>
      <c r="C1145" s="645" t="s">
        <v>670</v>
      </c>
      <c r="D1145" s="422" t="s">
        <v>996</v>
      </c>
      <c r="E1145" s="423"/>
      <c r="F1145" s="424"/>
      <c r="G1145" s="425"/>
      <c r="H1145" s="651"/>
      <c r="I1145" s="420">
        <v>20.05</v>
      </c>
      <c r="J1145" s="420">
        <f t="shared" si="304"/>
        <v>20.05</v>
      </c>
      <c r="K1145" s="421">
        <f t="shared" si="303"/>
        <v>23.82</v>
      </c>
      <c r="L1145" s="647" t="s">
        <v>2065</v>
      </c>
      <c r="M1145" s="576"/>
      <c r="N1145" s="576">
        <f t="shared" si="306"/>
        <v>0</v>
      </c>
      <c r="O1145" s="577">
        <f t="shared" si="311"/>
        <v>0</v>
      </c>
      <c r="P1145" s="578">
        <f t="shared" si="312"/>
        <v>0</v>
      </c>
      <c r="Q1145" s="765"/>
      <c r="R1145" s="576">
        <f t="shared" si="308"/>
        <v>0</v>
      </c>
      <c r="S1145" s="576">
        <f t="shared" si="308"/>
        <v>0</v>
      </c>
      <c r="T1145" s="577">
        <f t="shared" si="309"/>
        <v>0</v>
      </c>
      <c r="U1145" s="578">
        <f t="shared" si="310"/>
        <v>0</v>
      </c>
      <c r="V1145" s="579"/>
      <c r="W1145" s="566"/>
      <c r="X1145" s="586" t="str">
        <f t="shared" si="302"/>
        <v/>
      </c>
      <c r="Y1145" s="586" t="str">
        <f t="shared" si="307"/>
        <v/>
      </c>
      <c r="Z1145" s="586" t="str">
        <f t="shared" si="305"/>
        <v/>
      </c>
    </row>
    <row r="1146" spans="1:26" ht="23.25" hidden="1" thickBot="1" x14ac:dyDescent="0.25">
      <c r="A1146" s="567">
        <v>91917</v>
      </c>
      <c r="B1146" s="644">
        <v>91917</v>
      </c>
      <c r="C1146" s="645" t="s">
        <v>670</v>
      </c>
      <c r="D1146" s="422" t="s">
        <v>997</v>
      </c>
      <c r="E1146" s="423"/>
      <c r="F1146" s="424"/>
      <c r="G1146" s="425"/>
      <c r="H1146" s="651"/>
      <c r="I1146" s="420">
        <v>20.94</v>
      </c>
      <c r="J1146" s="420">
        <f t="shared" si="304"/>
        <v>20.94</v>
      </c>
      <c r="K1146" s="421">
        <f t="shared" si="303"/>
        <v>24.88</v>
      </c>
      <c r="L1146" s="647" t="s">
        <v>2065</v>
      </c>
      <c r="M1146" s="576"/>
      <c r="N1146" s="576">
        <f t="shared" si="306"/>
        <v>0</v>
      </c>
      <c r="O1146" s="577">
        <f t="shared" si="311"/>
        <v>0</v>
      </c>
      <c r="P1146" s="578">
        <f t="shared" si="312"/>
        <v>0</v>
      </c>
      <c r="Q1146" s="765"/>
      <c r="R1146" s="576">
        <f t="shared" si="308"/>
        <v>0</v>
      </c>
      <c r="S1146" s="576">
        <f t="shared" si="308"/>
        <v>0</v>
      </c>
      <c r="T1146" s="577">
        <f t="shared" si="309"/>
        <v>0</v>
      </c>
      <c r="U1146" s="578">
        <f t="shared" si="310"/>
        <v>0</v>
      </c>
      <c r="V1146" s="579"/>
      <c r="W1146" s="566"/>
      <c r="X1146" s="586" t="str">
        <f t="shared" si="302"/>
        <v/>
      </c>
      <c r="Y1146" s="586" t="str">
        <f t="shared" si="307"/>
        <v/>
      </c>
      <c r="Z1146" s="586" t="str">
        <f t="shared" si="305"/>
        <v/>
      </c>
    </row>
    <row r="1147" spans="1:26" ht="23.25" hidden="1" thickBot="1" x14ac:dyDescent="0.25">
      <c r="A1147" s="567">
        <v>91920</v>
      </c>
      <c r="B1147" s="644">
        <v>91920</v>
      </c>
      <c r="C1147" s="645" t="s">
        <v>670</v>
      </c>
      <c r="D1147" s="422" t="s">
        <v>998</v>
      </c>
      <c r="E1147" s="423"/>
      <c r="F1147" s="424"/>
      <c r="G1147" s="425"/>
      <c r="H1147" s="651"/>
      <c r="I1147" s="420">
        <v>23.84</v>
      </c>
      <c r="J1147" s="420">
        <f t="shared" si="304"/>
        <v>23.84</v>
      </c>
      <c r="K1147" s="421">
        <f t="shared" si="303"/>
        <v>28.32</v>
      </c>
      <c r="L1147" s="647" t="s">
        <v>2065</v>
      </c>
      <c r="M1147" s="576"/>
      <c r="N1147" s="576">
        <f t="shared" si="306"/>
        <v>0</v>
      </c>
      <c r="O1147" s="577">
        <f t="shared" si="311"/>
        <v>0</v>
      </c>
      <c r="P1147" s="578">
        <f t="shared" si="312"/>
        <v>0</v>
      </c>
      <c r="Q1147" s="765"/>
      <c r="R1147" s="576">
        <f t="shared" si="308"/>
        <v>0</v>
      </c>
      <c r="S1147" s="576">
        <f t="shared" si="308"/>
        <v>0</v>
      </c>
      <c r="T1147" s="577">
        <f t="shared" si="309"/>
        <v>0</v>
      </c>
      <c r="U1147" s="578">
        <f t="shared" si="310"/>
        <v>0</v>
      </c>
      <c r="V1147" s="579"/>
      <c r="W1147" s="566"/>
      <c r="X1147" s="586" t="str">
        <f t="shared" si="302"/>
        <v/>
      </c>
      <c r="Y1147" s="586" t="str">
        <f t="shared" si="307"/>
        <v/>
      </c>
      <c r="Z1147" s="586" t="str">
        <f t="shared" si="305"/>
        <v/>
      </c>
    </row>
    <row r="1148" spans="1:26" ht="23.25" hidden="1" thickBot="1" x14ac:dyDescent="0.25">
      <c r="A1148" s="567">
        <v>91922</v>
      </c>
      <c r="B1148" s="644">
        <v>91922</v>
      </c>
      <c r="C1148" s="645" t="s">
        <v>670</v>
      </c>
      <c r="D1148" s="422" t="s">
        <v>999</v>
      </c>
      <c r="E1148" s="423"/>
      <c r="F1148" s="424"/>
      <c r="G1148" s="425"/>
      <c r="H1148" s="651"/>
      <c r="I1148" s="420">
        <v>27.28</v>
      </c>
      <c r="J1148" s="420">
        <f t="shared" si="304"/>
        <v>27.28</v>
      </c>
      <c r="K1148" s="421">
        <f t="shared" si="303"/>
        <v>32.409999999999997</v>
      </c>
      <c r="L1148" s="647" t="s">
        <v>2065</v>
      </c>
      <c r="M1148" s="576"/>
      <c r="N1148" s="576">
        <f t="shared" si="306"/>
        <v>0</v>
      </c>
      <c r="O1148" s="577">
        <f t="shared" si="311"/>
        <v>0</v>
      </c>
      <c r="P1148" s="578">
        <f t="shared" si="312"/>
        <v>0</v>
      </c>
      <c r="Q1148" s="765"/>
      <c r="R1148" s="576">
        <f t="shared" si="308"/>
        <v>0</v>
      </c>
      <c r="S1148" s="576">
        <f t="shared" si="308"/>
        <v>0</v>
      </c>
      <c r="T1148" s="577">
        <f t="shared" si="309"/>
        <v>0</v>
      </c>
      <c r="U1148" s="578">
        <f t="shared" si="310"/>
        <v>0</v>
      </c>
      <c r="V1148" s="579"/>
      <c r="W1148" s="566"/>
      <c r="X1148" s="586" t="str">
        <f t="shared" si="302"/>
        <v/>
      </c>
      <c r="Y1148" s="586" t="str">
        <f t="shared" si="307"/>
        <v/>
      </c>
      <c r="Z1148" s="586" t="str">
        <f t="shared" si="305"/>
        <v/>
      </c>
    </row>
    <row r="1149" spans="1:26" ht="23.25" hidden="1" thickBot="1" x14ac:dyDescent="0.25">
      <c r="A1149" s="567">
        <v>93013</v>
      </c>
      <c r="B1149" s="644">
        <v>93013</v>
      </c>
      <c r="C1149" s="645" t="s">
        <v>670</v>
      </c>
      <c r="D1149" s="422" t="s">
        <v>1000</v>
      </c>
      <c r="E1149" s="423"/>
      <c r="F1149" s="424"/>
      <c r="G1149" s="425"/>
      <c r="H1149" s="651"/>
      <c r="I1149" s="420">
        <v>17.420000000000002</v>
      </c>
      <c r="J1149" s="420">
        <f t="shared" si="304"/>
        <v>17.420000000000002</v>
      </c>
      <c r="K1149" s="421">
        <f t="shared" si="303"/>
        <v>20.7</v>
      </c>
      <c r="L1149" s="647" t="s">
        <v>2065</v>
      </c>
      <c r="M1149" s="576"/>
      <c r="N1149" s="576">
        <f t="shared" si="306"/>
        <v>0</v>
      </c>
      <c r="O1149" s="577">
        <f t="shared" si="311"/>
        <v>0</v>
      </c>
      <c r="P1149" s="578">
        <f t="shared" si="312"/>
        <v>0</v>
      </c>
      <c r="Q1149" s="765"/>
      <c r="R1149" s="576">
        <f t="shared" si="308"/>
        <v>0</v>
      </c>
      <c r="S1149" s="576">
        <f t="shared" si="308"/>
        <v>0</v>
      </c>
      <c r="T1149" s="577">
        <f t="shared" si="309"/>
        <v>0</v>
      </c>
      <c r="U1149" s="578">
        <f t="shared" si="310"/>
        <v>0</v>
      </c>
      <c r="V1149" s="579"/>
      <c r="W1149" s="566"/>
      <c r="X1149" s="586" t="str">
        <f t="shared" ref="X1149:X1212" si="313">IF(W1149="X","x",IF(W1149="xx","x",IF(W1149="xy","x",IF(W1149="y","x",IF(OR(P1149&gt;0,U1149&gt;0),"x","")))))</f>
        <v/>
      </c>
      <c r="Y1149" s="586" t="str">
        <f t="shared" si="307"/>
        <v/>
      </c>
      <c r="Z1149" s="586" t="str">
        <f t="shared" si="305"/>
        <v/>
      </c>
    </row>
    <row r="1150" spans="1:26" ht="12" hidden="1" thickBot="1" x14ac:dyDescent="0.25">
      <c r="A1150" s="567">
        <v>93014</v>
      </c>
      <c r="B1150" s="644">
        <v>93014</v>
      </c>
      <c r="C1150" s="645" t="s">
        <v>670</v>
      </c>
      <c r="D1150" s="422" t="s">
        <v>1001</v>
      </c>
      <c r="E1150" s="423"/>
      <c r="F1150" s="424"/>
      <c r="G1150" s="425"/>
      <c r="H1150" s="651"/>
      <c r="I1150" s="420">
        <v>21.73</v>
      </c>
      <c r="J1150" s="420">
        <f t="shared" si="304"/>
        <v>21.73</v>
      </c>
      <c r="K1150" s="421">
        <f t="shared" si="303"/>
        <v>25.82</v>
      </c>
      <c r="L1150" s="647" t="s">
        <v>2065</v>
      </c>
      <c r="M1150" s="576"/>
      <c r="N1150" s="576">
        <f t="shared" si="306"/>
        <v>0</v>
      </c>
      <c r="O1150" s="577">
        <f t="shared" si="311"/>
        <v>0</v>
      </c>
      <c r="P1150" s="578">
        <f t="shared" si="312"/>
        <v>0</v>
      </c>
      <c r="Q1150" s="765"/>
      <c r="R1150" s="576">
        <f t="shared" si="308"/>
        <v>0</v>
      </c>
      <c r="S1150" s="576">
        <f t="shared" si="308"/>
        <v>0</v>
      </c>
      <c r="T1150" s="577">
        <f t="shared" si="309"/>
        <v>0</v>
      </c>
      <c r="U1150" s="578">
        <f t="shared" si="310"/>
        <v>0</v>
      </c>
      <c r="V1150" s="579"/>
      <c r="W1150" s="566"/>
      <c r="X1150" s="586" t="str">
        <f t="shared" si="313"/>
        <v/>
      </c>
      <c r="Y1150" s="586" t="str">
        <f t="shared" si="307"/>
        <v/>
      </c>
      <c r="Z1150" s="586" t="str">
        <f t="shared" si="305"/>
        <v/>
      </c>
    </row>
    <row r="1151" spans="1:26" ht="23.25" hidden="1" thickBot="1" x14ac:dyDescent="0.25">
      <c r="A1151" s="567">
        <v>93015</v>
      </c>
      <c r="B1151" s="644">
        <v>93015</v>
      </c>
      <c r="C1151" s="645" t="s">
        <v>670</v>
      </c>
      <c r="D1151" s="422" t="s">
        <v>1002</v>
      </c>
      <c r="E1151" s="423"/>
      <c r="F1151" s="424"/>
      <c r="G1151" s="425"/>
      <c r="H1151" s="651"/>
      <c r="I1151" s="420">
        <v>34.5</v>
      </c>
      <c r="J1151" s="420">
        <f t="shared" si="304"/>
        <v>34.5</v>
      </c>
      <c r="K1151" s="421">
        <f t="shared" si="303"/>
        <v>40.99</v>
      </c>
      <c r="L1151" s="647" t="s">
        <v>2065</v>
      </c>
      <c r="M1151" s="576"/>
      <c r="N1151" s="576">
        <f t="shared" si="306"/>
        <v>0</v>
      </c>
      <c r="O1151" s="577">
        <f t="shared" si="311"/>
        <v>0</v>
      </c>
      <c r="P1151" s="578">
        <f t="shared" si="312"/>
        <v>0</v>
      </c>
      <c r="Q1151" s="765"/>
      <c r="R1151" s="576">
        <f t="shared" si="308"/>
        <v>0</v>
      </c>
      <c r="S1151" s="576">
        <f t="shared" si="308"/>
        <v>0</v>
      </c>
      <c r="T1151" s="577">
        <f t="shared" si="309"/>
        <v>0</v>
      </c>
      <c r="U1151" s="578">
        <f t="shared" si="310"/>
        <v>0</v>
      </c>
      <c r="V1151" s="579"/>
      <c r="W1151" s="566"/>
      <c r="X1151" s="586" t="str">
        <f t="shared" si="313"/>
        <v/>
      </c>
      <c r="Y1151" s="586" t="str">
        <f t="shared" si="307"/>
        <v/>
      </c>
      <c r="Z1151" s="586" t="str">
        <f t="shared" si="305"/>
        <v/>
      </c>
    </row>
    <row r="1152" spans="1:26" ht="12" hidden="1" thickBot="1" x14ac:dyDescent="0.25">
      <c r="A1152" s="567">
        <v>93016</v>
      </c>
      <c r="B1152" s="644">
        <v>93016</v>
      </c>
      <c r="C1152" s="645" t="s">
        <v>670</v>
      </c>
      <c r="D1152" s="422" t="s">
        <v>1003</v>
      </c>
      <c r="E1152" s="423"/>
      <c r="F1152" s="424"/>
      <c r="G1152" s="425"/>
      <c r="H1152" s="651"/>
      <c r="I1152" s="420">
        <v>42.56</v>
      </c>
      <c r="J1152" s="420">
        <f t="shared" si="304"/>
        <v>42.56</v>
      </c>
      <c r="K1152" s="421">
        <f t="shared" si="303"/>
        <v>50.57</v>
      </c>
      <c r="L1152" s="647" t="s">
        <v>2065</v>
      </c>
      <c r="M1152" s="576"/>
      <c r="N1152" s="576">
        <f t="shared" si="306"/>
        <v>0</v>
      </c>
      <c r="O1152" s="577">
        <f t="shared" si="311"/>
        <v>0</v>
      </c>
      <c r="P1152" s="578">
        <f t="shared" si="312"/>
        <v>0</v>
      </c>
      <c r="Q1152" s="765"/>
      <c r="R1152" s="576">
        <f t="shared" si="308"/>
        <v>0</v>
      </c>
      <c r="S1152" s="576">
        <f t="shared" si="308"/>
        <v>0</v>
      </c>
      <c r="T1152" s="577">
        <f t="shared" si="309"/>
        <v>0</v>
      </c>
      <c r="U1152" s="578">
        <f t="shared" si="310"/>
        <v>0</v>
      </c>
      <c r="V1152" s="579"/>
      <c r="W1152" s="566"/>
      <c r="X1152" s="586" t="str">
        <f t="shared" si="313"/>
        <v/>
      </c>
      <c r="Y1152" s="586" t="str">
        <f t="shared" si="307"/>
        <v/>
      </c>
      <c r="Z1152" s="586" t="str">
        <f t="shared" si="305"/>
        <v/>
      </c>
    </row>
    <row r="1153" spans="1:26" ht="23.25" hidden="1" thickBot="1" x14ac:dyDescent="0.25">
      <c r="A1153" s="567">
        <v>93017</v>
      </c>
      <c r="B1153" s="644">
        <v>93017</v>
      </c>
      <c r="C1153" s="645" t="s">
        <v>670</v>
      </c>
      <c r="D1153" s="422" t="s">
        <v>1004</v>
      </c>
      <c r="E1153" s="423"/>
      <c r="F1153" s="424"/>
      <c r="G1153" s="425"/>
      <c r="H1153" s="651"/>
      <c r="I1153" s="420">
        <v>65.66</v>
      </c>
      <c r="J1153" s="420">
        <f t="shared" si="304"/>
        <v>65.66</v>
      </c>
      <c r="K1153" s="421">
        <f t="shared" si="303"/>
        <v>78.010000000000005</v>
      </c>
      <c r="L1153" s="647" t="s">
        <v>2065</v>
      </c>
      <c r="M1153" s="576"/>
      <c r="N1153" s="576">
        <f t="shared" si="306"/>
        <v>0</v>
      </c>
      <c r="O1153" s="577">
        <f t="shared" si="311"/>
        <v>0</v>
      </c>
      <c r="P1153" s="578">
        <f t="shared" si="312"/>
        <v>0</v>
      </c>
      <c r="Q1153" s="765"/>
      <c r="R1153" s="576">
        <f t="shared" si="308"/>
        <v>0</v>
      </c>
      <c r="S1153" s="576">
        <f t="shared" si="308"/>
        <v>0</v>
      </c>
      <c r="T1153" s="577">
        <f t="shared" si="309"/>
        <v>0</v>
      </c>
      <c r="U1153" s="578">
        <f t="shared" si="310"/>
        <v>0</v>
      </c>
      <c r="V1153" s="579"/>
      <c r="W1153" s="566"/>
      <c r="X1153" s="586" t="str">
        <f t="shared" si="313"/>
        <v/>
      </c>
      <c r="Y1153" s="586" t="str">
        <f t="shared" si="307"/>
        <v/>
      </c>
      <c r="Z1153" s="586" t="str">
        <f t="shared" si="305"/>
        <v/>
      </c>
    </row>
    <row r="1154" spans="1:26" ht="23.25" hidden="1" thickBot="1" x14ac:dyDescent="0.25">
      <c r="A1154" s="567">
        <v>93018</v>
      </c>
      <c r="B1154" s="644">
        <v>93018</v>
      </c>
      <c r="C1154" s="645" t="s">
        <v>670</v>
      </c>
      <c r="D1154" s="422" t="s">
        <v>1005</v>
      </c>
      <c r="E1154" s="423"/>
      <c r="F1154" s="424"/>
      <c r="G1154" s="425"/>
      <c r="H1154" s="651"/>
      <c r="I1154" s="420">
        <v>26.73</v>
      </c>
      <c r="J1154" s="420">
        <f t="shared" si="304"/>
        <v>26.73</v>
      </c>
      <c r="K1154" s="421">
        <f t="shared" si="303"/>
        <v>31.76</v>
      </c>
      <c r="L1154" s="647" t="s">
        <v>2065</v>
      </c>
      <c r="M1154" s="576"/>
      <c r="N1154" s="576">
        <f t="shared" si="306"/>
        <v>0</v>
      </c>
      <c r="O1154" s="577">
        <f t="shared" si="311"/>
        <v>0</v>
      </c>
      <c r="P1154" s="578">
        <f t="shared" si="312"/>
        <v>0</v>
      </c>
      <c r="Q1154" s="765"/>
      <c r="R1154" s="576">
        <f t="shared" si="308"/>
        <v>0</v>
      </c>
      <c r="S1154" s="576">
        <f t="shared" si="308"/>
        <v>0</v>
      </c>
      <c r="T1154" s="577">
        <f t="shared" si="309"/>
        <v>0</v>
      </c>
      <c r="U1154" s="578">
        <f t="shared" si="310"/>
        <v>0</v>
      </c>
      <c r="V1154" s="579"/>
      <c r="W1154" s="566"/>
      <c r="X1154" s="586" t="str">
        <f t="shared" si="313"/>
        <v/>
      </c>
      <c r="Y1154" s="586" t="str">
        <f t="shared" si="307"/>
        <v/>
      </c>
      <c r="Z1154" s="586" t="str">
        <f t="shared" si="305"/>
        <v/>
      </c>
    </row>
    <row r="1155" spans="1:26" ht="23.25" hidden="1" thickBot="1" x14ac:dyDescent="0.25">
      <c r="A1155" s="567">
        <v>93020</v>
      </c>
      <c r="B1155" s="644">
        <v>93020</v>
      </c>
      <c r="C1155" s="645" t="s">
        <v>670</v>
      </c>
      <c r="D1155" s="422" t="s">
        <v>1006</v>
      </c>
      <c r="E1155" s="423"/>
      <c r="F1155" s="424"/>
      <c r="G1155" s="425"/>
      <c r="H1155" s="651"/>
      <c r="I1155" s="420">
        <v>35.07</v>
      </c>
      <c r="J1155" s="420">
        <f t="shared" si="304"/>
        <v>35.07</v>
      </c>
      <c r="K1155" s="421">
        <f t="shared" si="303"/>
        <v>41.67</v>
      </c>
      <c r="L1155" s="647" t="s">
        <v>2065</v>
      </c>
      <c r="M1155" s="576"/>
      <c r="N1155" s="576">
        <f t="shared" si="306"/>
        <v>0</v>
      </c>
      <c r="O1155" s="577">
        <f t="shared" si="311"/>
        <v>0</v>
      </c>
      <c r="P1155" s="578">
        <f t="shared" si="312"/>
        <v>0</v>
      </c>
      <c r="Q1155" s="765"/>
      <c r="R1155" s="576">
        <f t="shared" si="308"/>
        <v>0</v>
      </c>
      <c r="S1155" s="576">
        <f t="shared" si="308"/>
        <v>0</v>
      </c>
      <c r="T1155" s="577">
        <f t="shared" si="309"/>
        <v>0</v>
      </c>
      <c r="U1155" s="578">
        <f t="shared" si="310"/>
        <v>0</v>
      </c>
      <c r="V1155" s="579"/>
      <c r="W1155" s="566"/>
      <c r="X1155" s="586" t="str">
        <f t="shared" si="313"/>
        <v/>
      </c>
      <c r="Y1155" s="586" t="str">
        <f t="shared" si="307"/>
        <v/>
      </c>
      <c r="Z1155" s="586" t="str">
        <f t="shared" si="305"/>
        <v/>
      </c>
    </row>
    <row r="1156" spans="1:26" ht="23.25" hidden="1" thickBot="1" x14ac:dyDescent="0.25">
      <c r="A1156" s="567">
        <v>93022</v>
      </c>
      <c r="B1156" s="644">
        <v>93022</v>
      </c>
      <c r="C1156" s="645" t="s">
        <v>670</v>
      </c>
      <c r="D1156" s="422" t="s">
        <v>1007</v>
      </c>
      <c r="E1156" s="423"/>
      <c r="F1156" s="424"/>
      <c r="G1156" s="425"/>
      <c r="H1156" s="651"/>
      <c r="I1156" s="420">
        <v>62.13</v>
      </c>
      <c r="J1156" s="420">
        <f t="shared" si="304"/>
        <v>62.13</v>
      </c>
      <c r="K1156" s="421">
        <f t="shared" si="303"/>
        <v>73.819999999999993</v>
      </c>
      <c r="L1156" s="647" t="s">
        <v>2065</v>
      </c>
      <c r="M1156" s="576"/>
      <c r="N1156" s="576">
        <f t="shared" si="306"/>
        <v>0</v>
      </c>
      <c r="O1156" s="577">
        <f t="shared" si="311"/>
        <v>0</v>
      </c>
      <c r="P1156" s="578">
        <f t="shared" si="312"/>
        <v>0</v>
      </c>
      <c r="Q1156" s="765"/>
      <c r="R1156" s="576">
        <f t="shared" si="308"/>
        <v>0</v>
      </c>
      <c r="S1156" s="576">
        <f t="shared" si="308"/>
        <v>0</v>
      </c>
      <c r="T1156" s="577">
        <f t="shared" si="309"/>
        <v>0</v>
      </c>
      <c r="U1156" s="578">
        <f t="shared" si="310"/>
        <v>0</v>
      </c>
      <c r="V1156" s="579"/>
      <c r="W1156" s="566"/>
      <c r="X1156" s="586" t="str">
        <f t="shared" si="313"/>
        <v/>
      </c>
      <c r="Y1156" s="586" t="str">
        <f t="shared" si="307"/>
        <v/>
      </c>
      <c r="Z1156" s="586" t="str">
        <f t="shared" si="305"/>
        <v/>
      </c>
    </row>
    <row r="1157" spans="1:26" ht="23.25" hidden="1" thickBot="1" x14ac:dyDescent="0.25">
      <c r="A1157" s="567">
        <v>93024</v>
      </c>
      <c r="B1157" s="644">
        <v>93024</v>
      </c>
      <c r="C1157" s="645" t="s">
        <v>670</v>
      </c>
      <c r="D1157" s="422" t="s">
        <v>1008</v>
      </c>
      <c r="E1157" s="423"/>
      <c r="F1157" s="424"/>
      <c r="G1157" s="425"/>
      <c r="H1157" s="651"/>
      <c r="I1157" s="420">
        <v>64.819999999999993</v>
      </c>
      <c r="J1157" s="420">
        <f t="shared" si="304"/>
        <v>64.819999999999993</v>
      </c>
      <c r="K1157" s="421">
        <f t="shared" si="303"/>
        <v>77.010000000000005</v>
      </c>
      <c r="L1157" s="647" t="s">
        <v>2065</v>
      </c>
      <c r="M1157" s="576"/>
      <c r="N1157" s="576">
        <f t="shared" si="306"/>
        <v>0</v>
      </c>
      <c r="O1157" s="577">
        <f t="shared" si="311"/>
        <v>0</v>
      </c>
      <c r="P1157" s="578">
        <f t="shared" si="312"/>
        <v>0</v>
      </c>
      <c r="Q1157" s="765"/>
      <c r="R1157" s="576">
        <f t="shared" si="308"/>
        <v>0</v>
      </c>
      <c r="S1157" s="576">
        <f t="shared" si="308"/>
        <v>0</v>
      </c>
      <c r="T1157" s="577">
        <f t="shared" si="309"/>
        <v>0</v>
      </c>
      <c r="U1157" s="578">
        <f t="shared" si="310"/>
        <v>0</v>
      </c>
      <c r="V1157" s="579"/>
      <c r="W1157" s="566"/>
      <c r="X1157" s="586" t="str">
        <f t="shared" si="313"/>
        <v/>
      </c>
      <c r="Y1157" s="586" t="str">
        <f t="shared" si="307"/>
        <v/>
      </c>
      <c r="Z1157" s="586" t="str">
        <f t="shared" si="305"/>
        <v/>
      </c>
    </row>
    <row r="1158" spans="1:26" ht="23.25" hidden="1" thickBot="1" x14ac:dyDescent="0.25">
      <c r="A1158" s="567">
        <v>93026</v>
      </c>
      <c r="B1158" s="644">
        <v>93026</v>
      </c>
      <c r="C1158" s="645" t="s">
        <v>670</v>
      </c>
      <c r="D1158" s="422" t="s">
        <v>1009</v>
      </c>
      <c r="E1158" s="423"/>
      <c r="F1158" s="424"/>
      <c r="G1158" s="425"/>
      <c r="H1158" s="651"/>
      <c r="I1158" s="420">
        <v>109.78</v>
      </c>
      <c r="J1158" s="420">
        <f t="shared" si="304"/>
        <v>109.78</v>
      </c>
      <c r="K1158" s="421">
        <f t="shared" si="303"/>
        <v>130.43</v>
      </c>
      <c r="L1158" s="647" t="s">
        <v>2065</v>
      </c>
      <c r="M1158" s="576"/>
      <c r="N1158" s="576">
        <f t="shared" si="306"/>
        <v>0</v>
      </c>
      <c r="O1158" s="577">
        <f t="shared" si="311"/>
        <v>0</v>
      </c>
      <c r="P1158" s="578">
        <f t="shared" si="312"/>
        <v>0</v>
      </c>
      <c r="Q1158" s="765"/>
      <c r="R1158" s="576">
        <f t="shared" si="308"/>
        <v>0</v>
      </c>
      <c r="S1158" s="576">
        <f t="shared" si="308"/>
        <v>0</v>
      </c>
      <c r="T1158" s="577">
        <f t="shared" si="309"/>
        <v>0</v>
      </c>
      <c r="U1158" s="578">
        <f t="shared" si="310"/>
        <v>0</v>
      </c>
      <c r="V1158" s="579"/>
      <c r="W1158" s="566"/>
      <c r="X1158" s="586" t="str">
        <f t="shared" si="313"/>
        <v/>
      </c>
      <c r="Y1158" s="586" t="str">
        <f t="shared" si="307"/>
        <v/>
      </c>
      <c r="Z1158" s="586" t="str">
        <f t="shared" si="305"/>
        <v/>
      </c>
    </row>
    <row r="1159" spans="1:26" ht="23.25" hidden="1" thickBot="1" x14ac:dyDescent="0.25">
      <c r="A1159" s="567">
        <v>97559</v>
      </c>
      <c r="B1159" s="644">
        <v>97559</v>
      </c>
      <c r="C1159" s="645" t="s">
        <v>670</v>
      </c>
      <c r="D1159" s="422" t="s">
        <v>1010</v>
      </c>
      <c r="E1159" s="423"/>
      <c r="F1159" s="424"/>
      <c r="G1159" s="425"/>
      <c r="H1159" s="651"/>
      <c r="I1159" s="420">
        <v>12.41</v>
      </c>
      <c r="J1159" s="420">
        <f t="shared" si="304"/>
        <v>12.41</v>
      </c>
      <c r="K1159" s="421">
        <f t="shared" si="303"/>
        <v>14.74</v>
      </c>
      <c r="L1159" s="647" t="s">
        <v>2065</v>
      </c>
      <c r="M1159" s="576"/>
      <c r="N1159" s="576">
        <f t="shared" si="306"/>
        <v>0</v>
      </c>
      <c r="O1159" s="577">
        <f t="shared" si="311"/>
        <v>0</v>
      </c>
      <c r="P1159" s="578">
        <f t="shared" si="312"/>
        <v>0</v>
      </c>
      <c r="Q1159" s="765"/>
      <c r="R1159" s="576">
        <f t="shared" si="308"/>
        <v>0</v>
      </c>
      <c r="S1159" s="576">
        <f t="shared" si="308"/>
        <v>0</v>
      </c>
      <c r="T1159" s="577">
        <f t="shared" si="309"/>
        <v>0</v>
      </c>
      <c r="U1159" s="578">
        <f t="shared" si="310"/>
        <v>0</v>
      </c>
      <c r="V1159" s="579"/>
      <c r="W1159" s="566"/>
      <c r="X1159" s="586" t="str">
        <f t="shared" si="313"/>
        <v/>
      </c>
      <c r="Y1159" s="586" t="str">
        <f t="shared" si="307"/>
        <v/>
      </c>
      <c r="Z1159" s="586" t="str">
        <f t="shared" si="305"/>
        <v/>
      </c>
    </row>
    <row r="1160" spans="1:26" ht="23.25" hidden="1" thickBot="1" x14ac:dyDescent="0.25">
      <c r="A1160" s="567">
        <v>97562</v>
      </c>
      <c r="B1160" s="644">
        <v>97562</v>
      </c>
      <c r="C1160" s="645" t="s">
        <v>670</v>
      </c>
      <c r="D1160" s="422" t="s">
        <v>1011</v>
      </c>
      <c r="E1160" s="423"/>
      <c r="F1160" s="424"/>
      <c r="G1160" s="425"/>
      <c r="H1160" s="651"/>
      <c r="I1160" s="420">
        <v>14.6</v>
      </c>
      <c r="J1160" s="420">
        <f t="shared" si="304"/>
        <v>14.6</v>
      </c>
      <c r="K1160" s="421">
        <f t="shared" si="303"/>
        <v>17.350000000000001</v>
      </c>
      <c r="L1160" s="647" t="s">
        <v>2065</v>
      </c>
      <c r="M1160" s="576"/>
      <c r="N1160" s="576">
        <f t="shared" si="306"/>
        <v>0</v>
      </c>
      <c r="O1160" s="577">
        <f t="shared" si="311"/>
        <v>0</v>
      </c>
      <c r="P1160" s="578">
        <f t="shared" si="312"/>
        <v>0</v>
      </c>
      <c r="Q1160" s="765"/>
      <c r="R1160" s="576">
        <f t="shared" si="308"/>
        <v>0</v>
      </c>
      <c r="S1160" s="576">
        <f t="shared" si="308"/>
        <v>0</v>
      </c>
      <c r="T1160" s="577">
        <f t="shared" si="309"/>
        <v>0</v>
      </c>
      <c r="U1160" s="578">
        <f t="shared" si="310"/>
        <v>0</v>
      </c>
      <c r="V1160" s="579"/>
      <c r="W1160" s="566"/>
      <c r="X1160" s="586" t="str">
        <f t="shared" si="313"/>
        <v/>
      </c>
      <c r="Y1160" s="586" t="str">
        <f t="shared" si="307"/>
        <v/>
      </c>
      <c r="Z1160" s="586" t="str">
        <f t="shared" si="305"/>
        <v/>
      </c>
    </row>
    <row r="1161" spans="1:26" ht="23.25" hidden="1" thickBot="1" x14ac:dyDescent="0.25">
      <c r="A1161" s="567">
        <v>97564</v>
      </c>
      <c r="B1161" s="644">
        <v>97564</v>
      </c>
      <c r="C1161" s="645" t="s">
        <v>670</v>
      </c>
      <c r="D1161" s="422" t="s">
        <v>1012</v>
      </c>
      <c r="E1161" s="423"/>
      <c r="F1161" s="424"/>
      <c r="G1161" s="425"/>
      <c r="H1161" s="651"/>
      <c r="I1161" s="420">
        <v>16.53</v>
      </c>
      <c r="J1161" s="420">
        <f t="shared" si="304"/>
        <v>16.53</v>
      </c>
      <c r="K1161" s="421">
        <f t="shared" ref="K1161:K1224" si="314">IF(ISBLANK(I1161),0,ROUND(J1161*(1+$F$10)*(1+$F$11*E1161),2))</f>
        <v>19.64</v>
      </c>
      <c r="L1161" s="647" t="s">
        <v>2065</v>
      </c>
      <c r="M1161" s="576"/>
      <c r="N1161" s="576">
        <f t="shared" si="306"/>
        <v>0</v>
      </c>
      <c r="O1161" s="577">
        <f t="shared" si="311"/>
        <v>0</v>
      </c>
      <c r="P1161" s="578">
        <f t="shared" si="312"/>
        <v>0</v>
      </c>
      <c r="Q1161" s="765"/>
      <c r="R1161" s="576">
        <f t="shared" si="308"/>
        <v>0</v>
      </c>
      <c r="S1161" s="576">
        <f t="shared" si="308"/>
        <v>0</v>
      </c>
      <c r="T1161" s="577">
        <f t="shared" si="309"/>
        <v>0</v>
      </c>
      <c r="U1161" s="578">
        <f t="shared" si="310"/>
        <v>0</v>
      </c>
      <c r="V1161" s="579"/>
      <c r="W1161" s="566"/>
      <c r="X1161" s="586" t="str">
        <f t="shared" si="313"/>
        <v/>
      </c>
      <c r="Y1161" s="586" t="str">
        <f t="shared" si="307"/>
        <v/>
      </c>
      <c r="Z1161" s="586" t="str">
        <f t="shared" si="305"/>
        <v/>
      </c>
    </row>
    <row r="1162" spans="1:26" ht="23.25" hidden="1" thickBot="1" x14ac:dyDescent="0.25">
      <c r="A1162" s="567">
        <v>91862</v>
      </c>
      <c r="B1162" s="644">
        <v>91862</v>
      </c>
      <c r="C1162" s="645" t="s">
        <v>670</v>
      </c>
      <c r="D1162" s="422" t="s">
        <v>1013</v>
      </c>
      <c r="E1162" s="423"/>
      <c r="F1162" s="424"/>
      <c r="G1162" s="425"/>
      <c r="H1162" s="651"/>
      <c r="I1162" s="420">
        <v>11.11</v>
      </c>
      <c r="J1162" s="420">
        <f t="shared" si="304"/>
        <v>11.11</v>
      </c>
      <c r="K1162" s="421">
        <f t="shared" si="314"/>
        <v>13.2</v>
      </c>
      <c r="L1162" s="647" t="s">
        <v>79</v>
      </c>
      <c r="M1162" s="576"/>
      <c r="N1162" s="576">
        <f t="shared" si="306"/>
        <v>0</v>
      </c>
      <c r="O1162" s="577">
        <f t="shared" si="311"/>
        <v>0</v>
      </c>
      <c r="P1162" s="578">
        <f t="shared" si="312"/>
        <v>0</v>
      </c>
      <c r="Q1162" s="765"/>
      <c r="R1162" s="576">
        <f t="shared" si="308"/>
        <v>0</v>
      </c>
      <c r="S1162" s="576">
        <f t="shared" si="308"/>
        <v>0</v>
      </c>
      <c r="T1162" s="577">
        <f t="shared" si="309"/>
        <v>0</v>
      </c>
      <c r="U1162" s="578">
        <f t="shared" si="310"/>
        <v>0</v>
      </c>
      <c r="V1162" s="579"/>
      <c r="W1162" s="566"/>
      <c r="X1162" s="586" t="str">
        <f t="shared" si="313"/>
        <v/>
      </c>
      <c r="Y1162" s="586" t="str">
        <f t="shared" si="307"/>
        <v/>
      </c>
      <c r="Z1162" s="586" t="str">
        <f t="shared" si="305"/>
        <v/>
      </c>
    </row>
    <row r="1163" spans="1:26" ht="23.25" hidden="1" thickBot="1" x14ac:dyDescent="0.25">
      <c r="A1163" s="567">
        <v>91863</v>
      </c>
      <c r="B1163" s="644">
        <v>91863</v>
      </c>
      <c r="C1163" s="645" t="s">
        <v>670</v>
      </c>
      <c r="D1163" s="422" t="s">
        <v>1014</v>
      </c>
      <c r="E1163" s="423"/>
      <c r="F1163" s="424"/>
      <c r="G1163" s="425"/>
      <c r="H1163" s="651"/>
      <c r="I1163" s="420">
        <v>13.11</v>
      </c>
      <c r="J1163" s="420">
        <f t="shared" si="304"/>
        <v>13.11</v>
      </c>
      <c r="K1163" s="421">
        <f t="shared" si="314"/>
        <v>15.58</v>
      </c>
      <c r="L1163" s="647" t="s">
        <v>79</v>
      </c>
      <c r="M1163" s="576"/>
      <c r="N1163" s="576">
        <f t="shared" si="306"/>
        <v>0</v>
      </c>
      <c r="O1163" s="577">
        <f t="shared" si="311"/>
        <v>0</v>
      </c>
      <c r="P1163" s="578">
        <f t="shared" si="312"/>
        <v>0</v>
      </c>
      <c r="Q1163" s="765"/>
      <c r="R1163" s="576">
        <f t="shared" si="308"/>
        <v>0</v>
      </c>
      <c r="S1163" s="576">
        <f t="shared" si="308"/>
        <v>0</v>
      </c>
      <c r="T1163" s="577">
        <f t="shared" si="309"/>
        <v>0</v>
      </c>
      <c r="U1163" s="578">
        <f t="shared" si="310"/>
        <v>0</v>
      </c>
      <c r="V1163" s="579"/>
      <c r="W1163" s="566"/>
      <c r="X1163" s="586" t="str">
        <f t="shared" si="313"/>
        <v/>
      </c>
      <c r="Y1163" s="586" t="str">
        <f t="shared" si="307"/>
        <v/>
      </c>
      <c r="Z1163" s="586" t="str">
        <f t="shared" si="305"/>
        <v/>
      </c>
    </row>
    <row r="1164" spans="1:26" ht="23.25" hidden="1" thickBot="1" x14ac:dyDescent="0.25">
      <c r="A1164" s="567">
        <v>91864</v>
      </c>
      <c r="B1164" s="644">
        <v>91864</v>
      </c>
      <c r="C1164" s="645" t="s">
        <v>670</v>
      </c>
      <c r="D1164" s="422" t="s">
        <v>1015</v>
      </c>
      <c r="E1164" s="423"/>
      <c r="F1164" s="424"/>
      <c r="G1164" s="425"/>
      <c r="H1164" s="651"/>
      <c r="I1164" s="420">
        <v>17.55</v>
      </c>
      <c r="J1164" s="420">
        <f t="shared" si="304"/>
        <v>17.55</v>
      </c>
      <c r="K1164" s="421">
        <f t="shared" si="314"/>
        <v>20.85</v>
      </c>
      <c r="L1164" s="647" t="s">
        <v>79</v>
      </c>
      <c r="M1164" s="576"/>
      <c r="N1164" s="576">
        <f t="shared" si="306"/>
        <v>0</v>
      </c>
      <c r="O1164" s="577">
        <f t="shared" si="311"/>
        <v>0</v>
      </c>
      <c r="P1164" s="578">
        <f t="shared" si="312"/>
        <v>0</v>
      </c>
      <c r="Q1164" s="765"/>
      <c r="R1164" s="576">
        <f t="shared" si="308"/>
        <v>0</v>
      </c>
      <c r="S1164" s="576">
        <f t="shared" si="308"/>
        <v>0</v>
      </c>
      <c r="T1164" s="577">
        <f t="shared" si="309"/>
        <v>0</v>
      </c>
      <c r="U1164" s="578">
        <f t="shared" si="310"/>
        <v>0</v>
      </c>
      <c r="V1164" s="579"/>
      <c r="W1164" s="566"/>
      <c r="X1164" s="586" t="str">
        <f t="shared" si="313"/>
        <v/>
      </c>
      <c r="Y1164" s="586" t="str">
        <f t="shared" si="307"/>
        <v/>
      </c>
      <c r="Z1164" s="586" t="str">
        <f t="shared" si="305"/>
        <v/>
      </c>
    </row>
    <row r="1165" spans="1:26" ht="23.25" hidden="1" thickBot="1" x14ac:dyDescent="0.25">
      <c r="A1165" s="567">
        <v>91865</v>
      </c>
      <c r="B1165" s="644">
        <v>91865</v>
      </c>
      <c r="C1165" s="645" t="s">
        <v>670</v>
      </c>
      <c r="D1165" s="422" t="s">
        <v>1016</v>
      </c>
      <c r="E1165" s="423"/>
      <c r="F1165" s="424"/>
      <c r="G1165" s="425"/>
      <c r="H1165" s="651"/>
      <c r="I1165" s="420">
        <v>21.93</v>
      </c>
      <c r="J1165" s="420">
        <f t="shared" si="304"/>
        <v>21.93</v>
      </c>
      <c r="K1165" s="421">
        <f t="shared" si="314"/>
        <v>26.06</v>
      </c>
      <c r="L1165" s="647" t="s">
        <v>79</v>
      </c>
      <c r="M1165" s="576"/>
      <c r="N1165" s="576">
        <f t="shared" si="306"/>
        <v>0</v>
      </c>
      <c r="O1165" s="577">
        <f t="shared" si="311"/>
        <v>0</v>
      </c>
      <c r="P1165" s="578">
        <f t="shared" si="312"/>
        <v>0</v>
      </c>
      <c r="Q1165" s="765"/>
      <c r="R1165" s="576">
        <f t="shared" si="308"/>
        <v>0</v>
      </c>
      <c r="S1165" s="576">
        <f t="shared" si="308"/>
        <v>0</v>
      </c>
      <c r="T1165" s="577">
        <f t="shared" si="309"/>
        <v>0</v>
      </c>
      <c r="U1165" s="578">
        <f t="shared" si="310"/>
        <v>0</v>
      </c>
      <c r="V1165" s="579"/>
      <c r="W1165" s="566"/>
      <c r="X1165" s="586" t="str">
        <f t="shared" si="313"/>
        <v/>
      </c>
      <c r="Y1165" s="586" t="str">
        <f t="shared" si="307"/>
        <v/>
      </c>
      <c r="Z1165" s="586" t="str">
        <f t="shared" si="305"/>
        <v/>
      </c>
    </row>
    <row r="1166" spans="1:26" ht="23.25" hidden="1" thickBot="1" x14ac:dyDescent="0.25">
      <c r="A1166" s="567">
        <v>91866</v>
      </c>
      <c r="B1166" s="644">
        <v>91866</v>
      </c>
      <c r="C1166" s="645" t="s">
        <v>670</v>
      </c>
      <c r="D1166" s="422" t="s">
        <v>1017</v>
      </c>
      <c r="E1166" s="423"/>
      <c r="F1166" s="424"/>
      <c r="G1166" s="425"/>
      <c r="H1166" s="651"/>
      <c r="I1166" s="420">
        <v>8.99</v>
      </c>
      <c r="J1166" s="420">
        <f t="shared" si="304"/>
        <v>8.99</v>
      </c>
      <c r="K1166" s="421">
        <f t="shared" si="314"/>
        <v>10.68</v>
      </c>
      <c r="L1166" s="647" t="s">
        <v>79</v>
      </c>
      <c r="M1166" s="576"/>
      <c r="N1166" s="576">
        <f t="shared" si="306"/>
        <v>0</v>
      </c>
      <c r="O1166" s="577">
        <f t="shared" si="311"/>
        <v>0</v>
      </c>
      <c r="P1166" s="578">
        <f t="shared" si="312"/>
        <v>0</v>
      </c>
      <c r="Q1166" s="765"/>
      <c r="R1166" s="576">
        <f t="shared" si="308"/>
        <v>0</v>
      </c>
      <c r="S1166" s="576">
        <f t="shared" si="308"/>
        <v>0</v>
      </c>
      <c r="T1166" s="577">
        <f t="shared" si="309"/>
        <v>0</v>
      </c>
      <c r="U1166" s="578">
        <f t="shared" si="310"/>
        <v>0</v>
      </c>
      <c r="V1166" s="579"/>
      <c r="W1166" s="566"/>
      <c r="X1166" s="586" t="str">
        <f t="shared" si="313"/>
        <v/>
      </c>
      <c r="Y1166" s="586" t="str">
        <f t="shared" si="307"/>
        <v/>
      </c>
      <c r="Z1166" s="586" t="str">
        <f t="shared" si="305"/>
        <v/>
      </c>
    </row>
    <row r="1167" spans="1:26" ht="23.25" hidden="1" thickBot="1" x14ac:dyDescent="0.25">
      <c r="A1167" s="567">
        <v>91867</v>
      </c>
      <c r="B1167" s="644">
        <v>91867</v>
      </c>
      <c r="C1167" s="645" t="s">
        <v>670</v>
      </c>
      <c r="D1167" s="422" t="s">
        <v>1018</v>
      </c>
      <c r="E1167" s="423"/>
      <c r="F1167" s="424"/>
      <c r="G1167" s="425"/>
      <c r="H1167" s="651"/>
      <c r="I1167" s="420">
        <v>11</v>
      </c>
      <c r="J1167" s="420">
        <f t="shared" si="304"/>
        <v>11</v>
      </c>
      <c r="K1167" s="421">
        <f t="shared" si="314"/>
        <v>13.07</v>
      </c>
      <c r="L1167" s="647" t="s">
        <v>79</v>
      </c>
      <c r="M1167" s="576"/>
      <c r="N1167" s="576">
        <f t="shared" si="306"/>
        <v>0</v>
      </c>
      <c r="O1167" s="577">
        <f t="shared" si="311"/>
        <v>0</v>
      </c>
      <c r="P1167" s="578">
        <f t="shared" si="312"/>
        <v>0</v>
      </c>
      <c r="Q1167" s="765"/>
      <c r="R1167" s="576">
        <f t="shared" si="308"/>
        <v>0</v>
      </c>
      <c r="S1167" s="576">
        <f t="shared" si="308"/>
        <v>0</v>
      </c>
      <c r="T1167" s="577">
        <f t="shared" si="309"/>
        <v>0</v>
      </c>
      <c r="U1167" s="578">
        <f t="shared" si="310"/>
        <v>0</v>
      </c>
      <c r="V1167" s="579"/>
      <c r="W1167" s="566"/>
      <c r="X1167" s="586" t="str">
        <f t="shared" si="313"/>
        <v/>
      </c>
      <c r="Y1167" s="586" t="str">
        <f t="shared" si="307"/>
        <v/>
      </c>
      <c r="Z1167" s="586" t="str">
        <f t="shared" si="305"/>
        <v/>
      </c>
    </row>
    <row r="1168" spans="1:26" ht="23.25" hidden="1" thickBot="1" x14ac:dyDescent="0.25">
      <c r="A1168" s="567">
        <v>91868</v>
      </c>
      <c r="B1168" s="644">
        <v>91868</v>
      </c>
      <c r="C1168" s="645" t="s">
        <v>670</v>
      </c>
      <c r="D1168" s="422" t="s">
        <v>1019</v>
      </c>
      <c r="E1168" s="423"/>
      <c r="F1168" s="424"/>
      <c r="G1168" s="425"/>
      <c r="H1168" s="651"/>
      <c r="I1168" s="420">
        <v>15.44</v>
      </c>
      <c r="J1168" s="420">
        <f t="shared" si="304"/>
        <v>15.44</v>
      </c>
      <c r="K1168" s="421">
        <f t="shared" si="314"/>
        <v>18.34</v>
      </c>
      <c r="L1168" s="647" t="s">
        <v>79</v>
      </c>
      <c r="M1168" s="576"/>
      <c r="N1168" s="576">
        <f t="shared" si="306"/>
        <v>0</v>
      </c>
      <c r="O1168" s="577">
        <f t="shared" si="311"/>
        <v>0</v>
      </c>
      <c r="P1168" s="578">
        <f t="shared" si="312"/>
        <v>0</v>
      </c>
      <c r="Q1168" s="765"/>
      <c r="R1168" s="576">
        <f t="shared" si="308"/>
        <v>0</v>
      </c>
      <c r="S1168" s="576">
        <f t="shared" si="308"/>
        <v>0</v>
      </c>
      <c r="T1168" s="577">
        <f t="shared" si="309"/>
        <v>0</v>
      </c>
      <c r="U1168" s="578">
        <f t="shared" si="310"/>
        <v>0</v>
      </c>
      <c r="V1168" s="579"/>
      <c r="W1168" s="566"/>
      <c r="X1168" s="586" t="str">
        <f t="shared" si="313"/>
        <v/>
      </c>
      <c r="Y1168" s="586" t="str">
        <f t="shared" si="307"/>
        <v/>
      </c>
      <c r="Z1168" s="586" t="str">
        <f t="shared" si="305"/>
        <v/>
      </c>
    </row>
    <row r="1169" spans="1:26" ht="23.25" hidden="1" thickBot="1" x14ac:dyDescent="0.25">
      <c r="A1169" s="567">
        <v>91869</v>
      </c>
      <c r="B1169" s="644">
        <v>91869</v>
      </c>
      <c r="C1169" s="645" t="s">
        <v>670</v>
      </c>
      <c r="D1169" s="422" t="s">
        <v>1020</v>
      </c>
      <c r="E1169" s="423"/>
      <c r="F1169" s="424"/>
      <c r="G1169" s="425"/>
      <c r="H1169" s="651"/>
      <c r="I1169" s="420">
        <v>19.829999999999998</v>
      </c>
      <c r="J1169" s="420">
        <f t="shared" si="304"/>
        <v>19.829999999999998</v>
      </c>
      <c r="K1169" s="421">
        <f t="shared" si="314"/>
        <v>23.56</v>
      </c>
      <c r="L1169" s="647" t="s">
        <v>79</v>
      </c>
      <c r="M1169" s="576"/>
      <c r="N1169" s="576">
        <f t="shared" si="306"/>
        <v>0</v>
      </c>
      <c r="O1169" s="577">
        <f t="shared" si="311"/>
        <v>0</v>
      </c>
      <c r="P1169" s="578">
        <f t="shared" si="312"/>
        <v>0</v>
      </c>
      <c r="Q1169" s="765"/>
      <c r="R1169" s="576">
        <f t="shared" si="308"/>
        <v>0</v>
      </c>
      <c r="S1169" s="576">
        <f t="shared" si="308"/>
        <v>0</v>
      </c>
      <c r="T1169" s="577">
        <f t="shared" si="309"/>
        <v>0</v>
      </c>
      <c r="U1169" s="578">
        <f t="shared" si="310"/>
        <v>0</v>
      </c>
      <c r="V1169" s="579"/>
      <c r="W1169" s="566"/>
      <c r="X1169" s="586" t="str">
        <f t="shared" si="313"/>
        <v/>
      </c>
      <c r="Y1169" s="586" t="str">
        <f t="shared" si="307"/>
        <v/>
      </c>
      <c r="Z1169" s="586" t="str">
        <f t="shared" si="305"/>
        <v/>
      </c>
    </row>
    <row r="1170" spans="1:26" ht="23.25" hidden="1" thickBot="1" x14ac:dyDescent="0.25">
      <c r="A1170" s="567">
        <v>91870</v>
      </c>
      <c r="B1170" s="644">
        <v>91870</v>
      </c>
      <c r="C1170" s="645" t="s">
        <v>670</v>
      </c>
      <c r="D1170" s="422" t="s">
        <v>1021</v>
      </c>
      <c r="E1170" s="423"/>
      <c r="F1170" s="424"/>
      <c r="G1170" s="425"/>
      <c r="H1170" s="651"/>
      <c r="I1170" s="420">
        <v>12.45</v>
      </c>
      <c r="J1170" s="420">
        <f t="shared" si="304"/>
        <v>12.45</v>
      </c>
      <c r="K1170" s="421">
        <f t="shared" si="314"/>
        <v>14.79</v>
      </c>
      <c r="L1170" s="647" t="s">
        <v>79</v>
      </c>
      <c r="M1170" s="576"/>
      <c r="N1170" s="576">
        <f t="shared" si="306"/>
        <v>0</v>
      </c>
      <c r="O1170" s="577">
        <f t="shared" si="311"/>
        <v>0</v>
      </c>
      <c r="P1170" s="578">
        <f t="shared" si="312"/>
        <v>0</v>
      </c>
      <c r="Q1170" s="765"/>
      <c r="R1170" s="576">
        <f t="shared" si="308"/>
        <v>0</v>
      </c>
      <c r="S1170" s="576">
        <f t="shared" si="308"/>
        <v>0</v>
      </c>
      <c r="T1170" s="577">
        <f t="shared" si="309"/>
        <v>0</v>
      </c>
      <c r="U1170" s="578">
        <f t="shared" si="310"/>
        <v>0</v>
      </c>
      <c r="V1170" s="579"/>
      <c r="W1170" s="566"/>
      <c r="X1170" s="586" t="str">
        <f t="shared" si="313"/>
        <v/>
      </c>
      <c r="Y1170" s="586" t="str">
        <f t="shared" si="307"/>
        <v/>
      </c>
      <c r="Z1170" s="586" t="str">
        <f t="shared" si="305"/>
        <v/>
      </c>
    </row>
    <row r="1171" spans="1:26" ht="23.25" hidden="1" thickBot="1" x14ac:dyDescent="0.25">
      <c r="A1171" s="567">
        <v>91871</v>
      </c>
      <c r="B1171" s="644">
        <v>91871</v>
      </c>
      <c r="C1171" s="645" t="s">
        <v>670</v>
      </c>
      <c r="D1171" s="422" t="s">
        <v>1022</v>
      </c>
      <c r="E1171" s="423"/>
      <c r="F1171" s="424"/>
      <c r="G1171" s="425"/>
      <c r="H1171" s="651"/>
      <c r="I1171" s="420">
        <v>14.5</v>
      </c>
      <c r="J1171" s="420">
        <f t="shared" ref="J1171:J1234" si="315">IF(ISBLANK(I1171),"",SUM(H1171:I1171))</f>
        <v>14.5</v>
      </c>
      <c r="K1171" s="421">
        <f t="shared" si="314"/>
        <v>17.23</v>
      </c>
      <c r="L1171" s="647" t="s">
        <v>79</v>
      </c>
      <c r="M1171" s="576"/>
      <c r="N1171" s="576">
        <f t="shared" si="306"/>
        <v>0</v>
      </c>
      <c r="O1171" s="577">
        <f t="shared" si="311"/>
        <v>0</v>
      </c>
      <c r="P1171" s="578">
        <f t="shared" si="312"/>
        <v>0</v>
      </c>
      <c r="Q1171" s="765"/>
      <c r="R1171" s="576">
        <f t="shared" si="308"/>
        <v>0</v>
      </c>
      <c r="S1171" s="576">
        <f t="shared" si="308"/>
        <v>0</v>
      </c>
      <c r="T1171" s="577">
        <f t="shared" si="309"/>
        <v>0</v>
      </c>
      <c r="U1171" s="578">
        <f t="shared" si="310"/>
        <v>0</v>
      </c>
      <c r="V1171" s="579"/>
      <c r="W1171" s="566"/>
      <c r="X1171" s="586" t="str">
        <f t="shared" si="313"/>
        <v/>
      </c>
      <c r="Y1171" s="586" t="str">
        <f t="shared" si="307"/>
        <v/>
      </c>
      <c r="Z1171" s="586" t="str">
        <f t="shared" ref="Z1171:Z1234" si="316">IF(W1171="X","x",IF(U1171&gt;0,"x",""))</f>
        <v/>
      </c>
    </row>
    <row r="1172" spans="1:26" ht="23.25" hidden="1" thickBot="1" x14ac:dyDescent="0.25">
      <c r="A1172" s="567">
        <v>91872</v>
      </c>
      <c r="B1172" s="644">
        <v>91872</v>
      </c>
      <c r="C1172" s="645" t="s">
        <v>670</v>
      </c>
      <c r="D1172" s="422" t="s">
        <v>1023</v>
      </c>
      <c r="E1172" s="423"/>
      <c r="F1172" s="424"/>
      <c r="G1172" s="425"/>
      <c r="H1172" s="651"/>
      <c r="I1172" s="420">
        <v>18.940000000000001</v>
      </c>
      <c r="J1172" s="420">
        <f t="shared" si="315"/>
        <v>18.940000000000001</v>
      </c>
      <c r="K1172" s="421">
        <f t="shared" si="314"/>
        <v>22.5</v>
      </c>
      <c r="L1172" s="647" t="s">
        <v>79</v>
      </c>
      <c r="M1172" s="576"/>
      <c r="N1172" s="576">
        <f t="shared" ref="N1172:N1235" si="317">IF(M1172=0,0,K1172)</f>
        <v>0</v>
      </c>
      <c r="O1172" s="577">
        <f t="shared" si="311"/>
        <v>0</v>
      </c>
      <c r="P1172" s="578">
        <f t="shared" si="312"/>
        <v>0</v>
      </c>
      <c r="Q1172" s="765"/>
      <c r="R1172" s="576">
        <f t="shared" si="308"/>
        <v>0</v>
      </c>
      <c r="S1172" s="576">
        <f t="shared" si="308"/>
        <v>0</v>
      </c>
      <c r="T1172" s="577">
        <f t="shared" si="309"/>
        <v>0</v>
      </c>
      <c r="U1172" s="578">
        <f t="shared" si="310"/>
        <v>0</v>
      </c>
      <c r="V1172" s="579"/>
      <c r="W1172" s="566"/>
      <c r="X1172" s="586" t="str">
        <f t="shared" si="313"/>
        <v/>
      </c>
      <c r="Y1172" s="586" t="str">
        <f t="shared" si="307"/>
        <v/>
      </c>
      <c r="Z1172" s="586" t="str">
        <f t="shared" si="316"/>
        <v/>
      </c>
    </row>
    <row r="1173" spans="1:26" ht="23.25" hidden="1" thickBot="1" x14ac:dyDescent="0.25">
      <c r="A1173" s="567">
        <v>91873</v>
      </c>
      <c r="B1173" s="644">
        <v>91873</v>
      </c>
      <c r="C1173" s="645" t="s">
        <v>670</v>
      </c>
      <c r="D1173" s="422" t="s">
        <v>1024</v>
      </c>
      <c r="E1173" s="423"/>
      <c r="F1173" s="424"/>
      <c r="G1173" s="425"/>
      <c r="H1173" s="651"/>
      <c r="I1173" s="420">
        <v>23.26</v>
      </c>
      <c r="J1173" s="420">
        <f t="shared" si="315"/>
        <v>23.26</v>
      </c>
      <c r="K1173" s="421">
        <f t="shared" si="314"/>
        <v>27.64</v>
      </c>
      <c r="L1173" s="647" t="s">
        <v>79</v>
      </c>
      <c r="M1173" s="576"/>
      <c r="N1173" s="576">
        <f t="shared" si="317"/>
        <v>0</v>
      </c>
      <c r="O1173" s="577">
        <f t="shared" si="311"/>
        <v>0</v>
      </c>
      <c r="P1173" s="578">
        <f t="shared" si="312"/>
        <v>0</v>
      </c>
      <c r="Q1173" s="765"/>
      <c r="R1173" s="576">
        <f t="shared" si="308"/>
        <v>0</v>
      </c>
      <c r="S1173" s="576">
        <f t="shared" si="308"/>
        <v>0</v>
      </c>
      <c r="T1173" s="577">
        <f t="shared" si="309"/>
        <v>0</v>
      </c>
      <c r="U1173" s="578">
        <f t="shared" si="310"/>
        <v>0</v>
      </c>
      <c r="V1173" s="579"/>
      <c r="W1173" s="566"/>
      <c r="X1173" s="586" t="str">
        <f t="shared" si="313"/>
        <v/>
      </c>
      <c r="Y1173" s="586" t="str">
        <f t="shared" si="307"/>
        <v/>
      </c>
      <c r="Z1173" s="586" t="str">
        <f t="shared" si="316"/>
        <v/>
      </c>
    </row>
    <row r="1174" spans="1:26" ht="12" hidden="1" thickBot="1" x14ac:dyDescent="0.25">
      <c r="A1174" s="567">
        <v>93008</v>
      </c>
      <c r="B1174" s="644">
        <v>93008</v>
      </c>
      <c r="C1174" s="645" t="s">
        <v>670</v>
      </c>
      <c r="D1174" s="422" t="s">
        <v>1025</v>
      </c>
      <c r="E1174" s="423"/>
      <c r="F1174" s="424"/>
      <c r="G1174" s="425"/>
      <c r="H1174" s="651"/>
      <c r="I1174" s="420">
        <v>19.809999999999999</v>
      </c>
      <c r="J1174" s="420">
        <f t="shared" si="315"/>
        <v>19.809999999999999</v>
      </c>
      <c r="K1174" s="421">
        <f t="shared" si="314"/>
        <v>23.54</v>
      </c>
      <c r="L1174" s="647" t="s">
        <v>79</v>
      </c>
      <c r="M1174" s="576"/>
      <c r="N1174" s="576">
        <f t="shared" si="317"/>
        <v>0</v>
      </c>
      <c r="O1174" s="577">
        <f t="shared" si="311"/>
        <v>0</v>
      </c>
      <c r="P1174" s="578">
        <f t="shared" si="312"/>
        <v>0</v>
      </c>
      <c r="Q1174" s="765"/>
      <c r="R1174" s="576">
        <f t="shared" si="308"/>
        <v>0</v>
      </c>
      <c r="S1174" s="576">
        <f t="shared" si="308"/>
        <v>0</v>
      </c>
      <c r="T1174" s="577">
        <f t="shared" si="309"/>
        <v>0</v>
      </c>
      <c r="U1174" s="578">
        <f t="shared" si="310"/>
        <v>0</v>
      </c>
      <c r="V1174" s="579"/>
      <c r="W1174" s="566"/>
      <c r="X1174" s="586" t="str">
        <f t="shared" si="313"/>
        <v/>
      </c>
      <c r="Y1174" s="586" t="str">
        <f t="shared" si="307"/>
        <v/>
      </c>
      <c r="Z1174" s="586" t="str">
        <f t="shared" si="316"/>
        <v/>
      </c>
    </row>
    <row r="1175" spans="1:26" ht="12" hidden="1" thickBot="1" x14ac:dyDescent="0.25">
      <c r="A1175" s="567">
        <v>93009</v>
      </c>
      <c r="B1175" s="644">
        <v>93009</v>
      </c>
      <c r="C1175" s="645" t="s">
        <v>670</v>
      </c>
      <c r="D1175" s="422" t="s">
        <v>1026</v>
      </c>
      <c r="E1175" s="423"/>
      <c r="F1175" s="424"/>
      <c r="G1175" s="425"/>
      <c r="H1175" s="651"/>
      <c r="I1175" s="420">
        <v>29.54</v>
      </c>
      <c r="J1175" s="420">
        <f t="shared" si="315"/>
        <v>29.54</v>
      </c>
      <c r="K1175" s="421">
        <f t="shared" si="314"/>
        <v>35.1</v>
      </c>
      <c r="L1175" s="647" t="s">
        <v>79</v>
      </c>
      <c r="M1175" s="576"/>
      <c r="N1175" s="576">
        <f t="shared" si="317"/>
        <v>0</v>
      </c>
      <c r="O1175" s="577">
        <f t="shared" si="311"/>
        <v>0</v>
      </c>
      <c r="P1175" s="578">
        <f t="shared" si="312"/>
        <v>0</v>
      </c>
      <c r="Q1175" s="765"/>
      <c r="R1175" s="576">
        <f t="shared" si="308"/>
        <v>0</v>
      </c>
      <c r="S1175" s="576">
        <f t="shared" si="308"/>
        <v>0</v>
      </c>
      <c r="T1175" s="577">
        <f t="shared" si="309"/>
        <v>0</v>
      </c>
      <c r="U1175" s="578">
        <f t="shared" si="310"/>
        <v>0</v>
      </c>
      <c r="V1175" s="579"/>
      <c r="W1175" s="566"/>
      <c r="X1175" s="586" t="str">
        <f t="shared" si="313"/>
        <v/>
      </c>
      <c r="Y1175" s="586" t="str">
        <f t="shared" si="307"/>
        <v/>
      </c>
      <c r="Z1175" s="586" t="str">
        <f t="shared" si="316"/>
        <v/>
      </c>
    </row>
    <row r="1176" spans="1:26" ht="12" hidden="1" thickBot="1" x14ac:dyDescent="0.25">
      <c r="A1176" s="567">
        <v>93010</v>
      </c>
      <c r="B1176" s="644">
        <v>93010</v>
      </c>
      <c r="C1176" s="645" t="s">
        <v>670</v>
      </c>
      <c r="D1176" s="422" t="s">
        <v>1027</v>
      </c>
      <c r="E1176" s="423"/>
      <c r="F1176" s="424"/>
      <c r="G1176" s="425"/>
      <c r="H1176" s="651"/>
      <c r="I1176" s="420">
        <v>41.34</v>
      </c>
      <c r="J1176" s="420">
        <f t="shared" si="315"/>
        <v>41.34</v>
      </c>
      <c r="K1176" s="421">
        <f t="shared" si="314"/>
        <v>49.12</v>
      </c>
      <c r="L1176" s="647" t="s">
        <v>79</v>
      </c>
      <c r="M1176" s="576"/>
      <c r="N1176" s="576">
        <f t="shared" si="317"/>
        <v>0</v>
      </c>
      <c r="O1176" s="577">
        <f t="shared" si="311"/>
        <v>0</v>
      </c>
      <c r="P1176" s="578">
        <f t="shared" si="312"/>
        <v>0</v>
      </c>
      <c r="Q1176" s="765"/>
      <c r="R1176" s="576">
        <f t="shared" si="308"/>
        <v>0</v>
      </c>
      <c r="S1176" s="576">
        <f t="shared" si="308"/>
        <v>0</v>
      </c>
      <c r="T1176" s="577">
        <f t="shared" si="309"/>
        <v>0</v>
      </c>
      <c r="U1176" s="578">
        <f t="shared" si="310"/>
        <v>0</v>
      </c>
      <c r="V1176" s="579"/>
      <c r="W1176" s="566"/>
      <c r="X1176" s="586" t="str">
        <f t="shared" si="313"/>
        <v/>
      </c>
      <c r="Y1176" s="586" t="str">
        <f t="shared" si="307"/>
        <v/>
      </c>
      <c r="Z1176" s="586" t="str">
        <f t="shared" si="316"/>
        <v/>
      </c>
    </row>
    <row r="1177" spans="1:26" ht="12" hidden="1" thickBot="1" x14ac:dyDescent="0.25">
      <c r="A1177" s="567">
        <v>93011</v>
      </c>
      <c r="B1177" s="644">
        <v>93011</v>
      </c>
      <c r="C1177" s="645" t="s">
        <v>670</v>
      </c>
      <c r="D1177" s="422" t="s">
        <v>1028</v>
      </c>
      <c r="E1177" s="423"/>
      <c r="F1177" s="424"/>
      <c r="G1177" s="425"/>
      <c r="H1177" s="651"/>
      <c r="I1177" s="420">
        <v>50.68</v>
      </c>
      <c r="J1177" s="420">
        <f t="shared" si="315"/>
        <v>50.68</v>
      </c>
      <c r="K1177" s="421">
        <f t="shared" si="314"/>
        <v>60.21</v>
      </c>
      <c r="L1177" s="647" t="s">
        <v>79</v>
      </c>
      <c r="M1177" s="576"/>
      <c r="N1177" s="576">
        <f t="shared" si="317"/>
        <v>0</v>
      </c>
      <c r="O1177" s="577">
        <f t="shared" si="311"/>
        <v>0</v>
      </c>
      <c r="P1177" s="578">
        <f t="shared" si="312"/>
        <v>0</v>
      </c>
      <c r="Q1177" s="765"/>
      <c r="R1177" s="576">
        <f t="shared" si="308"/>
        <v>0</v>
      </c>
      <c r="S1177" s="576">
        <f t="shared" si="308"/>
        <v>0</v>
      </c>
      <c r="T1177" s="577">
        <f t="shared" si="309"/>
        <v>0</v>
      </c>
      <c r="U1177" s="578">
        <f t="shared" si="310"/>
        <v>0</v>
      </c>
      <c r="V1177" s="579"/>
      <c r="W1177" s="566"/>
      <c r="X1177" s="586" t="str">
        <f t="shared" si="313"/>
        <v/>
      </c>
      <c r="Y1177" s="586" t="str">
        <f t="shared" si="307"/>
        <v/>
      </c>
      <c r="Z1177" s="586" t="str">
        <f t="shared" si="316"/>
        <v/>
      </c>
    </row>
    <row r="1178" spans="1:26" ht="12" hidden="1" thickBot="1" x14ac:dyDescent="0.25">
      <c r="A1178" s="567">
        <v>93012</v>
      </c>
      <c r="B1178" s="644">
        <v>93012</v>
      </c>
      <c r="C1178" s="645" t="s">
        <v>670</v>
      </c>
      <c r="D1178" s="422" t="s">
        <v>1029</v>
      </c>
      <c r="E1178" s="423"/>
      <c r="F1178" s="424"/>
      <c r="G1178" s="425"/>
      <c r="H1178" s="651"/>
      <c r="I1178" s="420">
        <v>76.91</v>
      </c>
      <c r="J1178" s="420">
        <f t="shared" si="315"/>
        <v>76.91</v>
      </c>
      <c r="K1178" s="421">
        <f t="shared" si="314"/>
        <v>91.38</v>
      </c>
      <c r="L1178" s="647" t="s">
        <v>79</v>
      </c>
      <c r="M1178" s="576"/>
      <c r="N1178" s="576">
        <f t="shared" si="317"/>
        <v>0</v>
      </c>
      <c r="O1178" s="577">
        <f t="shared" si="311"/>
        <v>0</v>
      </c>
      <c r="P1178" s="578">
        <f t="shared" si="312"/>
        <v>0</v>
      </c>
      <c r="Q1178" s="765"/>
      <c r="R1178" s="576">
        <f t="shared" si="308"/>
        <v>0</v>
      </c>
      <c r="S1178" s="576">
        <f t="shared" si="308"/>
        <v>0</v>
      </c>
      <c r="T1178" s="577">
        <f t="shared" si="309"/>
        <v>0</v>
      </c>
      <c r="U1178" s="578">
        <f t="shared" si="310"/>
        <v>0</v>
      </c>
      <c r="V1178" s="579"/>
      <c r="W1178" s="566"/>
      <c r="X1178" s="586" t="str">
        <f t="shared" si="313"/>
        <v/>
      </c>
      <c r="Y1178" s="586" t="str">
        <f t="shared" si="307"/>
        <v/>
      </c>
      <c r="Z1178" s="586" t="str">
        <f t="shared" si="316"/>
        <v/>
      </c>
    </row>
    <row r="1179" spans="1:26" ht="23.25" hidden="1" thickBot="1" x14ac:dyDescent="0.25">
      <c r="A1179" s="567">
        <v>95726</v>
      </c>
      <c r="B1179" s="644">
        <v>95726</v>
      </c>
      <c r="C1179" s="645" t="s">
        <v>670</v>
      </c>
      <c r="D1179" s="422" t="s">
        <v>1030</v>
      </c>
      <c r="E1179" s="423"/>
      <c r="F1179" s="424"/>
      <c r="G1179" s="425"/>
      <c r="H1179" s="651"/>
      <c r="I1179" s="420">
        <v>7.51</v>
      </c>
      <c r="J1179" s="420">
        <f t="shared" si="315"/>
        <v>7.51</v>
      </c>
      <c r="K1179" s="421">
        <f t="shared" si="314"/>
        <v>8.92</v>
      </c>
      <c r="L1179" s="647" t="s">
        <v>79</v>
      </c>
      <c r="M1179" s="576"/>
      <c r="N1179" s="576">
        <f t="shared" si="317"/>
        <v>0</v>
      </c>
      <c r="O1179" s="577">
        <f t="shared" si="311"/>
        <v>0</v>
      </c>
      <c r="P1179" s="578">
        <f t="shared" si="312"/>
        <v>0</v>
      </c>
      <c r="Q1179" s="765"/>
      <c r="R1179" s="576">
        <f t="shared" si="308"/>
        <v>0</v>
      </c>
      <c r="S1179" s="576">
        <f t="shared" si="308"/>
        <v>0</v>
      </c>
      <c r="T1179" s="577">
        <f t="shared" si="309"/>
        <v>0</v>
      </c>
      <c r="U1179" s="578">
        <f t="shared" si="310"/>
        <v>0</v>
      </c>
      <c r="V1179" s="579"/>
      <c r="W1179" s="566"/>
      <c r="X1179" s="586" t="str">
        <f t="shared" si="313"/>
        <v/>
      </c>
      <c r="Y1179" s="586" t="str">
        <f t="shared" si="307"/>
        <v/>
      </c>
      <c r="Z1179" s="586" t="str">
        <f t="shared" si="316"/>
        <v/>
      </c>
    </row>
    <row r="1180" spans="1:26" ht="23.25" hidden="1" thickBot="1" x14ac:dyDescent="0.25">
      <c r="A1180" s="567">
        <v>95727</v>
      </c>
      <c r="B1180" s="644">
        <v>95727</v>
      </c>
      <c r="C1180" s="645" t="s">
        <v>670</v>
      </c>
      <c r="D1180" s="422" t="s">
        <v>1031</v>
      </c>
      <c r="E1180" s="423"/>
      <c r="F1180" s="424"/>
      <c r="G1180" s="425"/>
      <c r="H1180" s="651"/>
      <c r="I1180" s="420">
        <v>8.6300000000000008</v>
      </c>
      <c r="J1180" s="420">
        <f t="shared" si="315"/>
        <v>8.6300000000000008</v>
      </c>
      <c r="K1180" s="421">
        <f t="shared" si="314"/>
        <v>10.25</v>
      </c>
      <c r="L1180" s="647" t="s">
        <v>79</v>
      </c>
      <c r="M1180" s="576"/>
      <c r="N1180" s="576">
        <f t="shared" si="317"/>
        <v>0</v>
      </c>
      <c r="O1180" s="577">
        <f t="shared" si="311"/>
        <v>0</v>
      </c>
      <c r="P1180" s="578">
        <f t="shared" si="312"/>
        <v>0</v>
      </c>
      <c r="Q1180" s="765"/>
      <c r="R1180" s="576">
        <f t="shared" si="308"/>
        <v>0</v>
      </c>
      <c r="S1180" s="576">
        <f t="shared" si="308"/>
        <v>0</v>
      </c>
      <c r="T1180" s="577">
        <f t="shared" si="309"/>
        <v>0</v>
      </c>
      <c r="U1180" s="578">
        <f t="shared" si="310"/>
        <v>0</v>
      </c>
      <c r="V1180" s="579"/>
      <c r="W1180" s="566"/>
      <c r="X1180" s="586" t="str">
        <f t="shared" si="313"/>
        <v/>
      </c>
      <c r="Y1180" s="586" t="str">
        <f t="shared" si="307"/>
        <v/>
      </c>
      <c r="Z1180" s="586" t="str">
        <f t="shared" si="316"/>
        <v/>
      </c>
    </row>
    <row r="1181" spans="1:26" ht="23.25" hidden="1" thickBot="1" x14ac:dyDescent="0.25">
      <c r="A1181" s="567">
        <v>95728</v>
      </c>
      <c r="B1181" s="644">
        <v>95728</v>
      </c>
      <c r="C1181" s="645" t="s">
        <v>670</v>
      </c>
      <c r="D1181" s="422" t="s">
        <v>1032</v>
      </c>
      <c r="E1181" s="423"/>
      <c r="F1181" s="424"/>
      <c r="G1181" s="425"/>
      <c r="H1181" s="651"/>
      <c r="I1181" s="420">
        <v>11.08</v>
      </c>
      <c r="J1181" s="420">
        <f t="shared" si="315"/>
        <v>11.08</v>
      </c>
      <c r="K1181" s="421">
        <f t="shared" si="314"/>
        <v>13.16</v>
      </c>
      <c r="L1181" s="647" t="s">
        <v>79</v>
      </c>
      <c r="M1181" s="576"/>
      <c r="N1181" s="576">
        <f t="shared" si="317"/>
        <v>0</v>
      </c>
      <c r="O1181" s="577">
        <f t="shared" si="311"/>
        <v>0</v>
      </c>
      <c r="P1181" s="578">
        <f t="shared" si="312"/>
        <v>0</v>
      </c>
      <c r="Q1181" s="765"/>
      <c r="R1181" s="576">
        <f t="shared" si="308"/>
        <v>0</v>
      </c>
      <c r="S1181" s="576">
        <f t="shared" si="308"/>
        <v>0</v>
      </c>
      <c r="T1181" s="577">
        <f t="shared" si="309"/>
        <v>0</v>
      </c>
      <c r="U1181" s="578">
        <f t="shared" si="310"/>
        <v>0</v>
      </c>
      <c r="V1181" s="579"/>
      <c r="W1181" s="566"/>
      <c r="X1181" s="586" t="str">
        <f t="shared" si="313"/>
        <v/>
      </c>
      <c r="Y1181" s="586" t="str">
        <f t="shared" si="307"/>
        <v/>
      </c>
      <c r="Z1181" s="586" t="str">
        <f t="shared" si="316"/>
        <v/>
      </c>
    </row>
    <row r="1182" spans="1:26" ht="23.25" hidden="1" thickBot="1" x14ac:dyDescent="0.25">
      <c r="A1182" s="567">
        <v>95729</v>
      </c>
      <c r="B1182" s="644">
        <v>95729</v>
      </c>
      <c r="C1182" s="645" t="s">
        <v>670</v>
      </c>
      <c r="D1182" s="422" t="s">
        <v>1033</v>
      </c>
      <c r="E1182" s="423"/>
      <c r="F1182" s="424"/>
      <c r="G1182" s="425"/>
      <c r="H1182" s="651"/>
      <c r="I1182" s="420">
        <v>9.75</v>
      </c>
      <c r="J1182" s="420">
        <f t="shared" si="315"/>
        <v>9.75</v>
      </c>
      <c r="K1182" s="421">
        <f t="shared" si="314"/>
        <v>11.58</v>
      </c>
      <c r="L1182" s="647" t="s">
        <v>79</v>
      </c>
      <c r="M1182" s="576"/>
      <c r="N1182" s="576">
        <f t="shared" si="317"/>
        <v>0</v>
      </c>
      <c r="O1182" s="577">
        <f t="shared" si="311"/>
        <v>0</v>
      </c>
      <c r="P1182" s="578">
        <f t="shared" si="312"/>
        <v>0</v>
      </c>
      <c r="Q1182" s="765"/>
      <c r="R1182" s="576">
        <f t="shared" si="308"/>
        <v>0</v>
      </c>
      <c r="S1182" s="576">
        <f t="shared" si="308"/>
        <v>0</v>
      </c>
      <c r="T1182" s="577">
        <f t="shared" si="309"/>
        <v>0</v>
      </c>
      <c r="U1182" s="578">
        <f t="shared" si="310"/>
        <v>0</v>
      </c>
      <c r="V1182" s="579"/>
      <c r="W1182" s="566"/>
      <c r="X1182" s="586" t="str">
        <f t="shared" si="313"/>
        <v/>
      </c>
      <c r="Y1182" s="586" t="str">
        <f t="shared" si="307"/>
        <v/>
      </c>
      <c r="Z1182" s="586" t="str">
        <f t="shared" si="316"/>
        <v/>
      </c>
    </row>
    <row r="1183" spans="1:26" ht="23.25" hidden="1" thickBot="1" x14ac:dyDescent="0.25">
      <c r="A1183" s="567">
        <v>95730</v>
      </c>
      <c r="B1183" s="644">
        <v>95730</v>
      </c>
      <c r="C1183" s="645" t="s">
        <v>670</v>
      </c>
      <c r="D1183" s="422" t="s">
        <v>1034</v>
      </c>
      <c r="E1183" s="423"/>
      <c r="F1183" s="424"/>
      <c r="G1183" s="425"/>
      <c r="H1183" s="651"/>
      <c r="I1183" s="420">
        <v>10.86</v>
      </c>
      <c r="J1183" s="420">
        <f t="shared" si="315"/>
        <v>10.86</v>
      </c>
      <c r="K1183" s="421">
        <f t="shared" si="314"/>
        <v>12.9</v>
      </c>
      <c r="L1183" s="647" t="s">
        <v>79</v>
      </c>
      <c r="M1183" s="576"/>
      <c r="N1183" s="576">
        <f t="shared" si="317"/>
        <v>0</v>
      </c>
      <c r="O1183" s="577">
        <f t="shared" si="311"/>
        <v>0</v>
      </c>
      <c r="P1183" s="578">
        <f t="shared" si="312"/>
        <v>0</v>
      </c>
      <c r="Q1183" s="765"/>
      <c r="R1183" s="576">
        <f t="shared" si="308"/>
        <v>0</v>
      </c>
      <c r="S1183" s="576">
        <f t="shared" si="308"/>
        <v>0</v>
      </c>
      <c r="T1183" s="577">
        <f t="shared" si="309"/>
        <v>0</v>
      </c>
      <c r="U1183" s="578">
        <f t="shared" si="310"/>
        <v>0</v>
      </c>
      <c r="V1183" s="579"/>
      <c r="W1183" s="566"/>
      <c r="X1183" s="586" t="str">
        <f t="shared" si="313"/>
        <v/>
      </c>
      <c r="Y1183" s="586" t="str">
        <f t="shared" si="307"/>
        <v/>
      </c>
      <c r="Z1183" s="586" t="str">
        <f t="shared" si="316"/>
        <v/>
      </c>
    </row>
    <row r="1184" spans="1:26" ht="23.25" hidden="1" thickBot="1" x14ac:dyDescent="0.25">
      <c r="A1184" s="567">
        <v>95731</v>
      </c>
      <c r="B1184" s="644">
        <v>95731</v>
      </c>
      <c r="C1184" s="645" t="s">
        <v>670</v>
      </c>
      <c r="D1184" s="422" t="s">
        <v>1035</v>
      </c>
      <c r="E1184" s="423"/>
      <c r="F1184" s="424"/>
      <c r="G1184" s="425"/>
      <c r="H1184" s="651"/>
      <c r="I1184" s="420">
        <v>13.31</v>
      </c>
      <c r="J1184" s="420">
        <f t="shared" si="315"/>
        <v>13.31</v>
      </c>
      <c r="K1184" s="421">
        <f t="shared" si="314"/>
        <v>15.81</v>
      </c>
      <c r="L1184" s="647" t="s">
        <v>79</v>
      </c>
      <c r="M1184" s="576"/>
      <c r="N1184" s="576">
        <f t="shared" si="317"/>
        <v>0</v>
      </c>
      <c r="O1184" s="577">
        <f t="shared" si="311"/>
        <v>0</v>
      </c>
      <c r="P1184" s="578">
        <f t="shared" si="312"/>
        <v>0</v>
      </c>
      <c r="Q1184" s="765"/>
      <c r="R1184" s="576">
        <f t="shared" si="308"/>
        <v>0</v>
      </c>
      <c r="S1184" s="576">
        <f t="shared" si="308"/>
        <v>0</v>
      </c>
      <c r="T1184" s="577">
        <f t="shared" si="309"/>
        <v>0</v>
      </c>
      <c r="U1184" s="578">
        <f t="shared" si="310"/>
        <v>0</v>
      </c>
      <c r="V1184" s="579"/>
      <c r="W1184" s="566"/>
      <c r="X1184" s="586" t="str">
        <f t="shared" si="313"/>
        <v/>
      </c>
      <c r="Y1184" s="586" t="str">
        <f t="shared" si="307"/>
        <v/>
      </c>
      <c r="Z1184" s="586" t="str">
        <f t="shared" si="316"/>
        <v/>
      </c>
    </row>
    <row r="1185" spans="1:26" ht="23.25" hidden="1" thickBot="1" x14ac:dyDescent="0.25">
      <c r="A1185" s="567">
        <v>95733</v>
      </c>
      <c r="B1185" s="644">
        <v>95733</v>
      </c>
      <c r="C1185" s="645" t="s">
        <v>670</v>
      </c>
      <c r="D1185" s="422" t="s">
        <v>1036</v>
      </c>
      <c r="E1185" s="423"/>
      <c r="F1185" s="424"/>
      <c r="G1185" s="425"/>
      <c r="H1185" s="651"/>
      <c r="I1185" s="420">
        <v>6.83</v>
      </c>
      <c r="J1185" s="420">
        <f t="shared" si="315"/>
        <v>6.83</v>
      </c>
      <c r="K1185" s="421">
        <f t="shared" si="314"/>
        <v>8.11</v>
      </c>
      <c r="L1185" s="647" t="s">
        <v>2065</v>
      </c>
      <c r="M1185" s="576"/>
      <c r="N1185" s="576">
        <f t="shared" si="317"/>
        <v>0</v>
      </c>
      <c r="O1185" s="577">
        <f t="shared" si="311"/>
        <v>0</v>
      </c>
      <c r="P1185" s="578">
        <f t="shared" si="312"/>
        <v>0</v>
      </c>
      <c r="Q1185" s="765"/>
      <c r="R1185" s="576">
        <f t="shared" si="308"/>
        <v>0</v>
      </c>
      <c r="S1185" s="576">
        <f t="shared" si="308"/>
        <v>0</v>
      </c>
      <c r="T1185" s="577">
        <f t="shared" si="309"/>
        <v>0</v>
      </c>
      <c r="U1185" s="578">
        <f t="shared" si="310"/>
        <v>0</v>
      </c>
      <c r="V1185" s="579"/>
      <c r="W1185" s="566"/>
      <c r="X1185" s="586" t="str">
        <f t="shared" si="313"/>
        <v/>
      </c>
      <c r="Y1185" s="586" t="str">
        <f t="shared" si="307"/>
        <v/>
      </c>
      <c r="Z1185" s="586" t="str">
        <f t="shared" si="316"/>
        <v/>
      </c>
    </row>
    <row r="1186" spans="1:26" ht="23.25" hidden="1" thickBot="1" x14ac:dyDescent="0.25">
      <c r="A1186" s="567">
        <v>95734</v>
      </c>
      <c r="B1186" s="644">
        <v>95734</v>
      </c>
      <c r="C1186" s="645" t="s">
        <v>670</v>
      </c>
      <c r="D1186" s="422" t="s">
        <v>1037</v>
      </c>
      <c r="E1186" s="423"/>
      <c r="F1186" s="424"/>
      <c r="G1186" s="425"/>
      <c r="H1186" s="651"/>
      <c r="I1186" s="420">
        <v>9.11</v>
      </c>
      <c r="J1186" s="420">
        <f t="shared" si="315"/>
        <v>9.11</v>
      </c>
      <c r="K1186" s="421">
        <f t="shared" si="314"/>
        <v>10.82</v>
      </c>
      <c r="L1186" s="647" t="s">
        <v>2065</v>
      </c>
      <c r="M1186" s="576"/>
      <c r="N1186" s="576">
        <f t="shared" si="317"/>
        <v>0</v>
      </c>
      <c r="O1186" s="577">
        <f t="shared" si="311"/>
        <v>0</v>
      </c>
      <c r="P1186" s="578">
        <f t="shared" si="312"/>
        <v>0</v>
      </c>
      <c r="Q1186" s="765"/>
      <c r="R1186" s="576">
        <f t="shared" si="308"/>
        <v>0</v>
      </c>
      <c r="S1186" s="576">
        <f t="shared" si="308"/>
        <v>0</v>
      </c>
      <c r="T1186" s="577">
        <f t="shared" si="309"/>
        <v>0</v>
      </c>
      <c r="U1186" s="578">
        <f t="shared" si="310"/>
        <v>0</v>
      </c>
      <c r="V1186" s="579"/>
      <c r="W1186" s="566"/>
      <c r="X1186" s="586" t="str">
        <f t="shared" si="313"/>
        <v/>
      </c>
      <c r="Y1186" s="586" t="str">
        <f t="shared" si="307"/>
        <v/>
      </c>
      <c r="Z1186" s="586" t="str">
        <f t="shared" si="316"/>
        <v/>
      </c>
    </row>
    <row r="1187" spans="1:26" ht="23.25" hidden="1" thickBot="1" x14ac:dyDescent="0.25">
      <c r="A1187" s="567">
        <v>95735</v>
      </c>
      <c r="B1187" s="644">
        <v>95735</v>
      </c>
      <c r="C1187" s="645" t="s">
        <v>670</v>
      </c>
      <c r="D1187" s="422" t="s">
        <v>1038</v>
      </c>
      <c r="E1187" s="423"/>
      <c r="F1187" s="424"/>
      <c r="G1187" s="425"/>
      <c r="H1187" s="651"/>
      <c r="I1187" s="420">
        <v>7.49</v>
      </c>
      <c r="J1187" s="420">
        <f t="shared" si="315"/>
        <v>7.49</v>
      </c>
      <c r="K1187" s="421">
        <f t="shared" si="314"/>
        <v>8.9</v>
      </c>
      <c r="L1187" s="647" t="s">
        <v>2065</v>
      </c>
      <c r="M1187" s="576"/>
      <c r="N1187" s="576">
        <f t="shared" si="317"/>
        <v>0</v>
      </c>
      <c r="O1187" s="577">
        <f t="shared" si="311"/>
        <v>0</v>
      </c>
      <c r="P1187" s="578">
        <f t="shared" si="312"/>
        <v>0</v>
      </c>
      <c r="Q1187" s="765"/>
      <c r="R1187" s="576">
        <f t="shared" si="308"/>
        <v>0</v>
      </c>
      <c r="S1187" s="576">
        <f t="shared" si="308"/>
        <v>0</v>
      </c>
      <c r="T1187" s="577">
        <f t="shared" si="309"/>
        <v>0</v>
      </c>
      <c r="U1187" s="578">
        <f t="shared" si="310"/>
        <v>0</v>
      </c>
      <c r="V1187" s="579"/>
      <c r="W1187" s="566"/>
      <c r="X1187" s="586" t="str">
        <f t="shared" si="313"/>
        <v/>
      </c>
      <c r="Y1187" s="586" t="str">
        <f t="shared" ref="Y1187:Y1250" si="318">IF(W1187="X","x",IF(W1187="y","x",IF(W1187="xx","x",IF(U1187&gt;0,"x",""))))</f>
        <v/>
      </c>
      <c r="Z1187" s="586" t="str">
        <f t="shared" si="316"/>
        <v/>
      </c>
    </row>
    <row r="1188" spans="1:26" ht="23.25" hidden="1" thickBot="1" x14ac:dyDescent="0.25">
      <c r="A1188" s="567">
        <v>95736</v>
      </c>
      <c r="B1188" s="644">
        <v>95736</v>
      </c>
      <c r="C1188" s="645" t="s">
        <v>670</v>
      </c>
      <c r="D1188" s="422" t="s">
        <v>1039</v>
      </c>
      <c r="E1188" s="423"/>
      <c r="F1188" s="424"/>
      <c r="G1188" s="425"/>
      <c r="H1188" s="651"/>
      <c r="I1188" s="420">
        <v>8.8699999999999992</v>
      </c>
      <c r="J1188" s="420">
        <f t="shared" si="315"/>
        <v>8.8699999999999992</v>
      </c>
      <c r="K1188" s="421">
        <f t="shared" si="314"/>
        <v>10.54</v>
      </c>
      <c r="L1188" s="647" t="s">
        <v>2065</v>
      </c>
      <c r="M1188" s="576"/>
      <c r="N1188" s="576">
        <f t="shared" si="317"/>
        <v>0</v>
      </c>
      <c r="O1188" s="577">
        <f t="shared" si="311"/>
        <v>0</v>
      </c>
      <c r="P1188" s="578">
        <f t="shared" si="312"/>
        <v>0</v>
      </c>
      <c r="Q1188" s="765"/>
      <c r="R1188" s="576">
        <f t="shared" si="308"/>
        <v>0</v>
      </c>
      <c r="S1188" s="576">
        <f t="shared" si="308"/>
        <v>0</v>
      </c>
      <c r="T1188" s="577">
        <f t="shared" si="309"/>
        <v>0</v>
      </c>
      <c r="U1188" s="578">
        <f t="shared" si="310"/>
        <v>0</v>
      </c>
      <c r="V1188" s="579"/>
      <c r="W1188" s="566"/>
      <c r="X1188" s="586" t="str">
        <f t="shared" si="313"/>
        <v/>
      </c>
      <c r="Y1188" s="586" t="str">
        <f t="shared" si="318"/>
        <v/>
      </c>
      <c r="Z1188" s="586" t="str">
        <f t="shared" si="316"/>
        <v/>
      </c>
    </row>
    <row r="1189" spans="1:26" ht="23.25" hidden="1" thickBot="1" x14ac:dyDescent="0.25">
      <c r="A1189" s="567">
        <v>95738</v>
      </c>
      <c r="B1189" s="644">
        <v>95738</v>
      </c>
      <c r="C1189" s="645" t="s">
        <v>670</v>
      </c>
      <c r="D1189" s="422" t="s">
        <v>1040</v>
      </c>
      <c r="E1189" s="423"/>
      <c r="F1189" s="424"/>
      <c r="G1189" s="425"/>
      <c r="H1189" s="651"/>
      <c r="I1189" s="420">
        <v>10.78</v>
      </c>
      <c r="J1189" s="420">
        <f t="shared" si="315"/>
        <v>10.78</v>
      </c>
      <c r="K1189" s="421">
        <f t="shared" si="314"/>
        <v>12.81</v>
      </c>
      <c r="L1189" s="647" t="s">
        <v>2065</v>
      </c>
      <c r="M1189" s="576"/>
      <c r="N1189" s="576">
        <f t="shared" si="317"/>
        <v>0</v>
      </c>
      <c r="O1189" s="577">
        <f t="shared" si="311"/>
        <v>0</v>
      </c>
      <c r="P1189" s="578">
        <f t="shared" si="312"/>
        <v>0</v>
      </c>
      <c r="Q1189" s="765"/>
      <c r="R1189" s="576">
        <f t="shared" si="308"/>
        <v>0</v>
      </c>
      <c r="S1189" s="576">
        <f t="shared" si="308"/>
        <v>0</v>
      </c>
      <c r="T1189" s="577">
        <f t="shared" si="309"/>
        <v>0</v>
      </c>
      <c r="U1189" s="578">
        <f t="shared" si="310"/>
        <v>0</v>
      </c>
      <c r="V1189" s="579"/>
      <c r="W1189" s="566"/>
      <c r="X1189" s="586" t="str">
        <f t="shared" si="313"/>
        <v/>
      </c>
      <c r="Y1189" s="586" t="str">
        <f t="shared" si="318"/>
        <v/>
      </c>
      <c r="Z1189" s="586" t="str">
        <f t="shared" si="316"/>
        <v/>
      </c>
    </row>
    <row r="1190" spans="1:26" ht="23.25" hidden="1" thickBot="1" x14ac:dyDescent="0.25">
      <c r="A1190" s="567">
        <v>95732</v>
      </c>
      <c r="B1190" s="644">
        <v>95732</v>
      </c>
      <c r="C1190" s="645" t="s">
        <v>670</v>
      </c>
      <c r="D1190" s="422" t="s">
        <v>1041</v>
      </c>
      <c r="E1190" s="423"/>
      <c r="F1190" s="424"/>
      <c r="G1190" s="425"/>
      <c r="H1190" s="651"/>
      <c r="I1190" s="420">
        <v>5.17</v>
      </c>
      <c r="J1190" s="420">
        <f t="shared" si="315"/>
        <v>5.17</v>
      </c>
      <c r="K1190" s="421">
        <f t="shared" si="314"/>
        <v>6.14</v>
      </c>
      <c r="L1190" s="647" t="s">
        <v>2065</v>
      </c>
      <c r="M1190" s="576"/>
      <c r="N1190" s="576">
        <f t="shared" si="317"/>
        <v>0</v>
      </c>
      <c r="O1190" s="577">
        <f t="shared" si="311"/>
        <v>0</v>
      </c>
      <c r="P1190" s="578">
        <f t="shared" si="312"/>
        <v>0</v>
      </c>
      <c r="Q1190" s="765"/>
      <c r="R1190" s="576">
        <f t="shared" si="308"/>
        <v>0</v>
      </c>
      <c r="S1190" s="576">
        <f t="shared" si="308"/>
        <v>0</v>
      </c>
      <c r="T1190" s="577">
        <f t="shared" si="309"/>
        <v>0</v>
      </c>
      <c r="U1190" s="578">
        <f t="shared" si="310"/>
        <v>0</v>
      </c>
      <c r="V1190" s="579"/>
      <c r="W1190" s="566"/>
      <c r="X1190" s="586" t="str">
        <f t="shared" si="313"/>
        <v/>
      </c>
      <c r="Y1190" s="586" t="str">
        <f t="shared" si="318"/>
        <v/>
      </c>
      <c r="Z1190" s="586" t="str">
        <f t="shared" si="316"/>
        <v/>
      </c>
    </row>
    <row r="1191" spans="1:26" ht="23.25" hidden="1" thickBot="1" x14ac:dyDescent="0.25">
      <c r="A1191" s="567">
        <v>95745</v>
      </c>
      <c r="B1191" s="644">
        <v>95745</v>
      </c>
      <c r="C1191" s="645" t="s">
        <v>670</v>
      </c>
      <c r="D1191" s="422" t="s">
        <v>1042</v>
      </c>
      <c r="E1191" s="423"/>
      <c r="F1191" s="424"/>
      <c r="G1191" s="425"/>
      <c r="H1191" s="651"/>
      <c r="I1191" s="420">
        <v>24.76</v>
      </c>
      <c r="J1191" s="420">
        <f t="shared" si="315"/>
        <v>24.76</v>
      </c>
      <c r="K1191" s="421">
        <f t="shared" si="314"/>
        <v>29.42</v>
      </c>
      <c r="L1191" s="647" t="s">
        <v>79</v>
      </c>
      <c r="M1191" s="576"/>
      <c r="N1191" s="576">
        <f t="shared" si="317"/>
        <v>0</v>
      </c>
      <c r="O1191" s="577">
        <f t="shared" si="311"/>
        <v>0</v>
      </c>
      <c r="P1191" s="578">
        <f t="shared" si="312"/>
        <v>0</v>
      </c>
      <c r="Q1191" s="765"/>
      <c r="R1191" s="576">
        <f t="shared" si="308"/>
        <v>0</v>
      </c>
      <c r="S1191" s="576">
        <f t="shared" si="308"/>
        <v>0</v>
      </c>
      <c r="T1191" s="577">
        <f t="shared" si="309"/>
        <v>0</v>
      </c>
      <c r="U1191" s="578">
        <f t="shared" si="310"/>
        <v>0</v>
      </c>
      <c r="V1191" s="579"/>
      <c r="W1191" s="566"/>
      <c r="X1191" s="586" t="str">
        <f t="shared" si="313"/>
        <v/>
      </c>
      <c r="Y1191" s="586" t="str">
        <f t="shared" si="318"/>
        <v/>
      </c>
      <c r="Z1191" s="586" t="str">
        <f t="shared" si="316"/>
        <v/>
      </c>
    </row>
    <row r="1192" spans="1:26" ht="23.25" hidden="1" thickBot="1" x14ac:dyDescent="0.25">
      <c r="A1192" s="567">
        <v>95746</v>
      </c>
      <c r="B1192" s="644">
        <v>95746</v>
      </c>
      <c r="C1192" s="645" t="s">
        <v>670</v>
      </c>
      <c r="D1192" s="422" t="s">
        <v>1043</v>
      </c>
      <c r="E1192" s="423"/>
      <c r="F1192" s="424"/>
      <c r="G1192" s="425"/>
      <c r="H1192" s="651"/>
      <c r="I1192" s="420">
        <v>30.83</v>
      </c>
      <c r="J1192" s="420">
        <f t="shared" si="315"/>
        <v>30.83</v>
      </c>
      <c r="K1192" s="421">
        <f t="shared" si="314"/>
        <v>36.630000000000003</v>
      </c>
      <c r="L1192" s="647" t="s">
        <v>79</v>
      </c>
      <c r="M1192" s="576"/>
      <c r="N1192" s="576">
        <f t="shared" si="317"/>
        <v>0</v>
      </c>
      <c r="O1192" s="577">
        <f t="shared" si="311"/>
        <v>0</v>
      </c>
      <c r="P1192" s="578">
        <f t="shared" si="312"/>
        <v>0</v>
      </c>
      <c r="Q1192" s="765"/>
      <c r="R1192" s="576">
        <f t="shared" si="308"/>
        <v>0</v>
      </c>
      <c r="S1192" s="576">
        <f t="shared" si="308"/>
        <v>0</v>
      </c>
      <c r="T1192" s="577">
        <f t="shared" si="309"/>
        <v>0</v>
      </c>
      <c r="U1192" s="578">
        <f t="shared" si="310"/>
        <v>0</v>
      </c>
      <c r="V1192" s="579"/>
      <c r="W1192" s="566"/>
      <c r="X1192" s="586" t="str">
        <f t="shared" si="313"/>
        <v/>
      </c>
      <c r="Y1192" s="586" t="str">
        <f t="shared" si="318"/>
        <v/>
      </c>
      <c r="Z1192" s="586" t="str">
        <f t="shared" si="316"/>
        <v/>
      </c>
    </row>
    <row r="1193" spans="1:26" ht="23.25" hidden="1" thickBot="1" x14ac:dyDescent="0.25">
      <c r="A1193" s="567">
        <v>95747</v>
      </c>
      <c r="B1193" s="644">
        <v>95747</v>
      </c>
      <c r="C1193" s="645" t="s">
        <v>670</v>
      </c>
      <c r="D1193" s="422" t="s">
        <v>1044</v>
      </c>
      <c r="E1193" s="423"/>
      <c r="F1193" s="424"/>
      <c r="G1193" s="425"/>
      <c r="H1193" s="651"/>
      <c r="I1193" s="420">
        <v>51.35</v>
      </c>
      <c r="J1193" s="420">
        <f t="shared" si="315"/>
        <v>51.35</v>
      </c>
      <c r="K1193" s="421">
        <f t="shared" si="314"/>
        <v>61.01</v>
      </c>
      <c r="L1193" s="647" t="s">
        <v>79</v>
      </c>
      <c r="M1193" s="576"/>
      <c r="N1193" s="576">
        <f t="shared" si="317"/>
        <v>0</v>
      </c>
      <c r="O1193" s="577">
        <f t="shared" si="311"/>
        <v>0</v>
      </c>
      <c r="P1193" s="578">
        <f t="shared" si="312"/>
        <v>0</v>
      </c>
      <c r="Q1193" s="765"/>
      <c r="R1193" s="576">
        <f t="shared" si="308"/>
        <v>0</v>
      </c>
      <c r="S1193" s="576">
        <f t="shared" si="308"/>
        <v>0</v>
      </c>
      <c r="T1193" s="577">
        <f t="shared" si="309"/>
        <v>0</v>
      </c>
      <c r="U1193" s="578">
        <f t="shared" si="310"/>
        <v>0</v>
      </c>
      <c r="V1193" s="579"/>
      <c r="W1193" s="566"/>
      <c r="X1193" s="586" t="str">
        <f t="shared" si="313"/>
        <v/>
      </c>
      <c r="Y1193" s="586" t="str">
        <f t="shared" si="318"/>
        <v/>
      </c>
      <c r="Z1193" s="586" t="str">
        <f t="shared" si="316"/>
        <v/>
      </c>
    </row>
    <row r="1194" spans="1:26" ht="23.25" hidden="1" thickBot="1" x14ac:dyDescent="0.25">
      <c r="A1194" s="567">
        <v>95748</v>
      </c>
      <c r="B1194" s="644">
        <v>95748</v>
      </c>
      <c r="C1194" s="645" t="s">
        <v>670</v>
      </c>
      <c r="D1194" s="422" t="s">
        <v>1045</v>
      </c>
      <c r="E1194" s="423"/>
      <c r="F1194" s="424"/>
      <c r="G1194" s="425"/>
      <c r="H1194" s="651"/>
      <c r="I1194" s="420">
        <v>55.37</v>
      </c>
      <c r="J1194" s="420">
        <f t="shared" si="315"/>
        <v>55.37</v>
      </c>
      <c r="K1194" s="421">
        <f t="shared" si="314"/>
        <v>65.790000000000006</v>
      </c>
      <c r="L1194" s="647" t="s">
        <v>79</v>
      </c>
      <c r="M1194" s="576"/>
      <c r="N1194" s="576">
        <f t="shared" si="317"/>
        <v>0</v>
      </c>
      <c r="O1194" s="577">
        <f t="shared" si="311"/>
        <v>0</v>
      </c>
      <c r="P1194" s="578">
        <f t="shared" si="312"/>
        <v>0</v>
      </c>
      <c r="Q1194" s="765"/>
      <c r="R1194" s="576">
        <f t="shared" si="308"/>
        <v>0</v>
      </c>
      <c r="S1194" s="576">
        <f t="shared" si="308"/>
        <v>0</v>
      </c>
      <c r="T1194" s="577">
        <f t="shared" si="309"/>
        <v>0</v>
      </c>
      <c r="U1194" s="578">
        <f t="shared" si="310"/>
        <v>0</v>
      </c>
      <c r="V1194" s="579"/>
      <c r="W1194" s="566"/>
      <c r="X1194" s="586" t="str">
        <f t="shared" si="313"/>
        <v/>
      </c>
      <c r="Y1194" s="586" t="str">
        <f t="shared" si="318"/>
        <v/>
      </c>
      <c r="Z1194" s="586" t="str">
        <f t="shared" si="316"/>
        <v/>
      </c>
    </row>
    <row r="1195" spans="1:26" ht="23.25" hidden="1" thickBot="1" x14ac:dyDescent="0.25">
      <c r="A1195" s="567">
        <v>95749</v>
      </c>
      <c r="B1195" s="644">
        <v>95749</v>
      </c>
      <c r="C1195" s="645" t="s">
        <v>670</v>
      </c>
      <c r="D1195" s="422" t="s">
        <v>1046</v>
      </c>
      <c r="E1195" s="423"/>
      <c r="F1195" s="424"/>
      <c r="G1195" s="425"/>
      <c r="H1195" s="651"/>
      <c r="I1195" s="420">
        <v>31.99</v>
      </c>
      <c r="J1195" s="420">
        <f t="shared" si="315"/>
        <v>31.99</v>
      </c>
      <c r="K1195" s="421">
        <f t="shared" si="314"/>
        <v>38.01</v>
      </c>
      <c r="L1195" s="647" t="s">
        <v>79</v>
      </c>
      <c r="M1195" s="576"/>
      <c r="N1195" s="576">
        <f t="shared" si="317"/>
        <v>0</v>
      </c>
      <c r="O1195" s="577">
        <f t="shared" si="311"/>
        <v>0</v>
      </c>
      <c r="P1195" s="578">
        <f t="shared" si="312"/>
        <v>0</v>
      </c>
      <c r="Q1195" s="765"/>
      <c r="R1195" s="576">
        <f t="shared" si="308"/>
        <v>0</v>
      </c>
      <c r="S1195" s="576">
        <f t="shared" si="308"/>
        <v>0</v>
      </c>
      <c r="T1195" s="577">
        <f t="shared" si="309"/>
        <v>0</v>
      </c>
      <c r="U1195" s="578">
        <f t="shared" si="310"/>
        <v>0</v>
      </c>
      <c r="V1195" s="579"/>
      <c r="W1195" s="566"/>
      <c r="X1195" s="586" t="str">
        <f t="shared" si="313"/>
        <v/>
      </c>
      <c r="Y1195" s="586" t="str">
        <f t="shared" si="318"/>
        <v/>
      </c>
      <c r="Z1195" s="586" t="str">
        <f t="shared" si="316"/>
        <v/>
      </c>
    </row>
    <row r="1196" spans="1:26" ht="23.25" hidden="1" thickBot="1" x14ac:dyDescent="0.25">
      <c r="A1196" s="567">
        <v>95750</v>
      </c>
      <c r="B1196" s="644">
        <v>95750</v>
      </c>
      <c r="C1196" s="645" t="s">
        <v>670</v>
      </c>
      <c r="D1196" s="422" t="s">
        <v>1047</v>
      </c>
      <c r="E1196" s="423"/>
      <c r="F1196" s="424"/>
      <c r="G1196" s="425"/>
      <c r="H1196" s="651"/>
      <c r="I1196" s="420">
        <v>37.89</v>
      </c>
      <c r="J1196" s="420">
        <f t="shared" si="315"/>
        <v>37.89</v>
      </c>
      <c r="K1196" s="421">
        <f t="shared" si="314"/>
        <v>45.02</v>
      </c>
      <c r="L1196" s="647" t="s">
        <v>79</v>
      </c>
      <c r="M1196" s="576"/>
      <c r="N1196" s="576">
        <f t="shared" si="317"/>
        <v>0</v>
      </c>
      <c r="O1196" s="577">
        <f t="shared" si="311"/>
        <v>0</v>
      </c>
      <c r="P1196" s="578">
        <f t="shared" si="312"/>
        <v>0</v>
      </c>
      <c r="Q1196" s="765"/>
      <c r="R1196" s="576">
        <f t="shared" si="308"/>
        <v>0</v>
      </c>
      <c r="S1196" s="576">
        <f t="shared" si="308"/>
        <v>0</v>
      </c>
      <c r="T1196" s="577">
        <f t="shared" si="309"/>
        <v>0</v>
      </c>
      <c r="U1196" s="578">
        <f t="shared" si="310"/>
        <v>0</v>
      </c>
      <c r="V1196" s="579"/>
      <c r="W1196" s="566"/>
      <c r="X1196" s="586" t="str">
        <f t="shared" si="313"/>
        <v/>
      </c>
      <c r="Y1196" s="586" t="str">
        <f t="shared" si="318"/>
        <v/>
      </c>
      <c r="Z1196" s="586" t="str">
        <f t="shared" si="316"/>
        <v/>
      </c>
    </row>
    <row r="1197" spans="1:26" ht="23.25" hidden="1" thickBot="1" x14ac:dyDescent="0.25">
      <c r="A1197" s="567">
        <v>95751</v>
      </c>
      <c r="B1197" s="644">
        <v>95751</v>
      </c>
      <c r="C1197" s="645" t="s">
        <v>670</v>
      </c>
      <c r="D1197" s="422" t="s">
        <v>1048</v>
      </c>
      <c r="E1197" s="423"/>
      <c r="F1197" s="424"/>
      <c r="G1197" s="425"/>
      <c r="H1197" s="651"/>
      <c r="I1197" s="420">
        <v>58.19</v>
      </c>
      <c r="J1197" s="420">
        <f t="shared" si="315"/>
        <v>58.19</v>
      </c>
      <c r="K1197" s="421">
        <f t="shared" si="314"/>
        <v>69.14</v>
      </c>
      <c r="L1197" s="647" t="s">
        <v>79</v>
      </c>
      <c r="M1197" s="576"/>
      <c r="N1197" s="576">
        <f t="shared" si="317"/>
        <v>0</v>
      </c>
      <c r="O1197" s="577">
        <f t="shared" si="311"/>
        <v>0</v>
      </c>
      <c r="P1197" s="578">
        <f t="shared" si="312"/>
        <v>0</v>
      </c>
      <c r="Q1197" s="765"/>
      <c r="R1197" s="576">
        <f t="shared" si="308"/>
        <v>0</v>
      </c>
      <c r="S1197" s="576">
        <f t="shared" si="308"/>
        <v>0</v>
      </c>
      <c r="T1197" s="577">
        <f t="shared" si="309"/>
        <v>0</v>
      </c>
      <c r="U1197" s="578">
        <f t="shared" si="310"/>
        <v>0</v>
      </c>
      <c r="V1197" s="579"/>
      <c r="W1197" s="566"/>
      <c r="X1197" s="586" t="str">
        <f t="shared" si="313"/>
        <v/>
      </c>
      <c r="Y1197" s="586" t="str">
        <f t="shared" si="318"/>
        <v/>
      </c>
      <c r="Z1197" s="586" t="str">
        <f t="shared" si="316"/>
        <v/>
      </c>
    </row>
    <row r="1198" spans="1:26" ht="23.25" hidden="1" thickBot="1" x14ac:dyDescent="0.25">
      <c r="A1198" s="567">
        <v>95752</v>
      </c>
      <c r="B1198" s="644">
        <v>95752</v>
      </c>
      <c r="C1198" s="645" t="s">
        <v>670</v>
      </c>
      <c r="D1198" s="422" t="s">
        <v>1049</v>
      </c>
      <c r="E1198" s="423"/>
      <c r="F1198" s="424"/>
      <c r="G1198" s="425"/>
      <c r="H1198" s="651"/>
      <c r="I1198" s="420">
        <v>61.97</v>
      </c>
      <c r="J1198" s="420">
        <f t="shared" si="315"/>
        <v>61.97</v>
      </c>
      <c r="K1198" s="421">
        <f t="shared" si="314"/>
        <v>73.63</v>
      </c>
      <c r="L1198" s="647" t="s">
        <v>79</v>
      </c>
      <c r="M1198" s="576"/>
      <c r="N1198" s="576">
        <f t="shared" si="317"/>
        <v>0</v>
      </c>
      <c r="O1198" s="577">
        <f t="shared" si="311"/>
        <v>0</v>
      </c>
      <c r="P1198" s="578">
        <f t="shared" si="312"/>
        <v>0</v>
      </c>
      <c r="Q1198" s="765"/>
      <c r="R1198" s="576">
        <f t="shared" si="308"/>
        <v>0</v>
      </c>
      <c r="S1198" s="576">
        <f t="shared" si="308"/>
        <v>0</v>
      </c>
      <c r="T1198" s="577">
        <f t="shared" si="309"/>
        <v>0</v>
      </c>
      <c r="U1198" s="578">
        <f t="shared" si="310"/>
        <v>0</v>
      </c>
      <c r="V1198" s="579"/>
      <c r="W1198" s="566"/>
      <c r="X1198" s="586" t="str">
        <f t="shared" si="313"/>
        <v/>
      </c>
      <c r="Y1198" s="586" t="str">
        <f t="shared" si="318"/>
        <v/>
      </c>
      <c r="Z1198" s="586" t="str">
        <f t="shared" si="316"/>
        <v/>
      </c>
    </row>
    <row r="1199" spans="1:26" ht="23.25" hidden="1" thickBot="1" x14ac:dyDescent="0.25">
      <c r="A1199" s="567">
        <v>95753</v>
      </c>
      <c r="B1199" s="644">
        <v>95753</v>
      </c>
      <c r="C1199" s="645" t="s">
        <v>670</v>
      </c>
      <c r="D1199" s="422" t="s">
        <v>1050</v>
      </c>
      <c r="E1199" s="423"/>
      <c r="F1199" s="424"/>
      <c r="G1199" s="425"/>
      <c r="H1199" s="651"/>
      <c r="I1199" s="420">
        <v>8.07</v>
      </c>
      <c r="J1199" s="420">
        <f t="shared" si="315"/>
        <v>8.07</v>
      </c>
      <c r="K1199" s="421">
        <f t="shared" si="314"/>
        <v>9.59</v>
      </c>
      <c r="L1199" s="647" t="s">
        <v>2065</v>
      </c>
      <c r="M1199" s="576"/>
      <c r="N1199" s="576">
        <f t="shared" si="317"/>
        <v>0</v>
      </c>
      <c r="O1199" s="577">
        <f t="shared" si="311"/>
        <v>0</v>
      </c>
      <c r="P1199" s="578">
        <f t="shared" si="312"/>
        <v>0</v>
      </c>
      <c r="Q1199" s="765"/>
      <c r="R1199" s="576">
        <f t="shared" si="308"/>
        <v>0</v>
      </c>
      <c r="S1199" s="576">
        <f t="shared" si="308"/>
        <v>0</v>
      </c>
      <c r="T1199" s="577">
        <f t="shared" si="309"/>
        <v>0</v>
      </c>
      <c r="U1199" s="578">
        <f t="shared" si="310"/>
        <v>0</v>
      </c>
      <c r="V1199" s="579"/>
      <c r="W1199" s="566"/>
      <c r="X1199" s="586" t="str">
        <f t="shared" si="313"/>
        <v/>
      </c>
      <c r="Y1199" s="586" t="str">
        <f t="shared" si="318"/>
        <v/>
      </c>
      <c r="Z1199" s="586" t="str">
        <f t="shared" si="316"/>
        <v/>
      </c>
    </row>
    <row r="1200" spans="1:26" ht="23.25" hidden="1" thickBot="1" x14ac:dyDescent="0.25">
      <c r="A1200" s="567">
        <v>95754</v>
      </c>
      <c r="B1200" s="644">
        <v>95754</v>
      </c>
      <c r="C1200" s="645" t="s">
        <v>670</v>
      </c>
      <c r="D1200" s="422" t="s">
        <v>1051</v>
      </c>
      <c r="E1200" s="423"/>
      <c r="F1200" s="424"/>
      <c r="G1200" s="425"/>
      <c r="H1200" s="651"/>
      <c r="I1200" s="420">
        <v>10.039999999999999</v>
      </c>
      <c r="J1200" s="420">
        <f t="shared" si="315"/>
        <v>10.039999999999999</v>
      </c>
      <c r="K1200" s="421">
        <f t="shared" si="314"/>
        <v>11.93</v>
      </c>
      <c r="L1200" s="647" t="s">
        <v>2065</v>
      </c>
      <c r="M1200" s="576"/>
      <c r="N1200" s="576">
        <f t="shared" si="317"/>
        <v>0</v>
      </c>
      <c r="O1200" s="577">
        <f t="shared" si="311"/>
        <v>0</v>
      </c>
      <c r="P1200" s="578">
        <f t="shared" si="312"/>
        <v>0</v>
      </c>
      <c r="Q1200" s="765"/>
      <c r="R1200" s="576">
        <f t="shared" si="308"/>
        <v>0</v>
      </c>
      <c r="S1200" s="576">
        <f t="shared" si="308"/>
        <v>0</v>
      </c>
      <c r="T1200" s="577">
        <f t="shared" si="309"/>
        <v>0</v>
      </c>
      <c r="U1200" s="578">
        <f t="shared" si="310"/>
        <v>0</v>
      </c>
      <c r="V1200" s="579"/>
      <c r="W1200" s="566"/>
      <c r="X1200" s="586" t="str">
        <f t="shared" si="313"/>
        <v/>
      </c>
      <c r="Y1200" s="586" t="str">
        <f t="shared" si="318"/>
        <v/>
      </c>
      <c r="Z1200" s="586" t="str">
        <f t="shared" si="316"/>
        <v/>
      </c>
    </row>
    <row r="1201" spans="1:26" ht="23.25" hidden="1" thickBot="1" x14ac:dyDescent="0.25">
      <c r="A1201" s="567">
        <v>95755</v>
      </c>
      <c r="B1201" s="644">
        <v>95755</v>
      </c>
      <c r="C1201" s="645" t="s">
        <v>670</v>
      </c>
      <c r="D1201" s="422" t="s">
        <v>1052</v>
      </c>
      <c r="E1201" s="423"/>
      <c r="F1201" s="424"/>
      <c r="G1201" s="425"/>
      <c r="H1201" s="651"/>
      <c r="I1201" s="420">
        <v>14.51</v>
      </c>
      <c r="J1201" s="420">
        <f t="shared" si="315"/>
        <v>14.51</v>
      </c>
      <c r="K1201" s="421">
        <f t="shared" si="314"/>
        <v>17.239999999999998</v>
      </c>
      <c r="L1201" s="647" t="s">
        <v>2065</v>
      </c>
      <c r="M1201" s="576"/>
      <c r="N1201" s="576">
        <f t="shared" si="317"/>
        <v>0</v>
      </c>
      <c r="O1201" s="577">
        <f t="shared" si="311"/>
        <v>0</v>
      </c>
      <c r="P1201" s="578">
        <f t="shared" si="312"/>
        <v>0</v>
      </c>
      <c r="Q1201" s="765"/>
      <c r="R1201" s="576">
        <f t="shared" si="308"/>
        <v>0</v>
      </c>
      <c r="S1201" s="576">
        <f t="shared" si="308"/>
        <v>0</v>
      </c>
      <c r="T1201" s="577">
        <f t="shared" si="309"/>
        <v>0</v>
      </c>
      <c r="U1201" s="578">
        <f t="shared" si="310"/>
        <v>0</v>
      </c>
      <c r="V1201" s="579"/>
      <c r="W1201" s="566"/>
      <c r="X1201" s="586" t="str">
        <f t="shared" si="313"/>
        <v/>
      </c>
      <c r="Y1201" s="586" t="str">
        <f t="shared" si="318"/>
        <v/>
      </c>
      <c r="Z1201" s="586" t="str">
        <f t="shared" si="316"/>
        <v/>
      </c>
    </row>
    <row r="1202" spans="1:26" ht="23.25" hidden="1" thickBot="1" x14ac:dyDescent="0.25">
      <c r="A1202" s="567">
        <v>95756</v>
      </c>
      <c r="B1202" s="644">
        <v>95756</v>
      </c>
      <c r="C1202" s="645" t="s">
        <v>670</v>
      </c>
      <c r="D1202" s="422" t="s">
        <v>1053</v>
      </c>
      <c r="E1202" s="423"/>
      <c r="F1202" s="424"/>
      <c r="G1202" s="425"/>
      <c r="H1202" s="651"/>
      <c r="I1202" s="420">
        <v>19.36</v>
      </c>
      <c r="J1202" s="420">
        <f t="shared" si="315"/>
        <v>19.36</v>
      </c>
      <c r="K1202" s="421">
        <f t="shared" si="314"/>
        <v>23</v>
      </c>
      <c r="L1202" s="647" t="s">
        <v>2065</v>
      </c>
      <c r="M1202" s="576"/>
      <c r="N1202" s="576">
        <f t="shared" si="317"/>
        <v>0</v>
      </c>
      <c r="O1202" s="577">
        <f t="shared" si="311"/>
        <v>0</v>
      </c>
      <c r="P1202" s="578">
        <f t="shared" si="312"/>
        <v>0</v>
      </c>
      <c r="Q1202" s="765"/>
      <c r="R1202" s="576">
        <f t="shared" si="308"/>
        <v>0</v>
      </c>
      <c r="S1202" s="576">
        <f t="shared" si="308"/>
        <v>0</v>
      </c>
      <c r="T1202" s="577">
        <f t="shared" si="309"/>
        <v>0</v>
      </c>
      <c r="U1202" s="578">
        <f t="shared" si="310"/>
        <v>0</v>
      </c>
      <c r="V1202" s="579"/>
      <c r="W1202" s="566"/>
      <c r="X1202" s="586" t="str">
        <f t="shared" si="313"/>
        <v/>
      </c>
      <c r="Y1202" s="586" t="str">
        <f t="shared" si="318"/>
        <v/>
      </c>
      <c r="Z1202" s="586" t="str">
        <f t="shared" si="316"/>
        <v/>
      </c>
    </row>
    <row r="1203" spans="1:26" ht="23.25" hidden="1" thickBot="1" x14ac:dyDescent="0.25">
      <c r="A1203" s="567">
        <v>95757</v>
      </c>
      <c r="B1203" s="644">
        <v>95757</v>
      </c>
      <c r="C1203" s="645" t="s">
        <v>670</v>
      </c>
      <c r="D1203" s="422" t="s">
        <v>1054</v>
      </c>
      <c r="E1203" s="423"/>
      <c r="F1203" s="424"/>
      <c r="G1203" s="425"/>
      <c r="H1203" s="651"/>
      <c r="I1203" s="420">
        <v>12.08</v>
      </c>
      <c r="J1203" s="420">
        <f t="shared" si="315"/>
        <v>12.08</v>
      </c>
      <c r="K1203" s="421">
        <f t="shared" si="314"/>
        <v>14.35</v>
      </c>
      <c r="L1203" s="647" t="s">
        <v>2065</v>
      </c>
      <c r="M1203" s="576"/>
      <c r="N1203" s="576">
        <f t="shared" si="317"/>
        <v>0</v>
      </c>
      <c r="O1203" s="577">
        <f t="shared" si="311"/>
        <v>0</v>
      </c>
      <c r="P1203" s="578">
        <f t="shared" si="312"/>
        <v>0</v>
      </c>
      <c r="Q1203" s="765"/>
      <c r="R1203" s="576">
        <f t="shared" si="308"/>
        <v>0</v>
      </c>
      <c r="S1203" s="576">
        <f t="shared" si="308"/>
        <v>0</v>
      </c>
      <c r="T1203" s="577">
        <f t="shared" si="309"/>
        <v>0</v>
      </c>
      <c r="U1203" s="578">
        <f t="shared" si="310"/>
        <v>0</v>
      </c>
      <c r="V1203" s="579"/>
      <c r="W1203" s="566"/>
      <c r="X1203" s="586" t="str">
        <f t="shared" si="313"/>
        <v/>
      </c>
      <c r="Y1203" s="586" t="str">
        <f t="shared" si="318"/>
        <v/>
      </c>
      <c r="Z1203" s="586" t="str">
        <f t="shared" si="316"/>
        <v/>
      </c>
    </row>
    <row r="1204" spans="1:26" ht="23.25" hidden="1" thickBot="1" x14ac:dyDescent="0.25">
      <c r="A1204" s="567">
        <v>95758</v>
      </c>
      <c r="B1204" s="644">
        <v>95758</v>
      </c>
      <c r="C1204" s="645" t="s">
        <v>670</v>
      </c>
      <c r="D1204" s="422" t="s">
        <v>1055</v>
      </c>
      <c r="E1204" s="423"/>
      <c r="F1204" s="424"/>
      <c r="G1204" s="425"/>
      <c r="H1204" s="651"/>
      <c r="I1204" s="420">
        <v>13.58</v>
      </c>
      <c r="J1204" s="420">
        <f t="shared" si="315"/>
        <v>13.58</v>
      </c>
      <c r="K1204" s="421">
        <f t="shared" si="314"/>
        <v>16.13</v>
      </c>
      <c r="L1204" s="647" t="s">
        <v>2065</v>
      </c>
      <c r="M1204" s="576"/>
      <c r="N1204" s="576">
        <f t="shared" si="317"/>
        <v>0</v>
      </c>
      <c r="O1204" s="577">
        <f t="shared" si="311"/>
        <v>0</v>
      </c>
      <c r="P1204" s="578">
        <f t="shared" si="312"/>
        <v>0</v>
      </c>
      <c r="Q1204" s="765"/>
      <c r="R1204" s="576">
        <f t="shared" ref="R1204:S1257" si="319">M1204</f>
        <v>0</v>
      </c>
      <c r="S1204" s="576">
        <f t="shared" si="319"/>
        <v>0</v>
      </c>
      <c r="T1204" s="577">
        <f t="shared" ref="T1204:T1267" si="320">IF(ISBLANK(R1204),0,ROUND(K1204*R1204,2))</f>
        <v>0</v>
      </c>
      <c r="U1204" s="578">
        <f t="shared" ref="U1204:U1267" si="321">IF(ISBLANK(R1204),0,ROUND(R1204*S1204,2))</f>
        <v>0</v>
      </c>
      <c r="V1204" s="579"/>
      <c r="W1204" s="566"/>
      <c r="X1204" s="586" t="str">
        <f t="shared" si="313"/>
        <v/>
      </c>
      <c r="Y1204" s="586" t="str">
        <f t="shared" si="318"/>
        <v/>
      </c>
      <c r="Z1204" s="586" t="str">
        <f t="shared" si="316"/>
        <v/>
      </c>
    </row>
    <row r="1205" spans="1:26" ht="23.25" hidden="1" thickBot="1" x14ac:dyDescent="0.25">
      <c r="A1205" s="567">
        <v>95759</v>
      </c>
      <c r="B1205" s="644">
        <v>95759</v>
      </c>
      <c r="C1205" s="645" t="s">
        <v>670</v>
      </c>
      <c r="D1205" s="422" t="s">
        <v>1056</v>
      </c>
      <c r="E1205" s="423"/>
      <c r="F1205" s="424"/>
      <c r="G1205" s="425"/>
      <c r="H1205" s="651"/>
      <c r="I1205" s="420">
        <v>17.38</v>
      </c>
      <c r="J1205" s="420">
        <f t="shared" si="315"/>
        <v>17.38</v>
      </c>
      <c r="K1205" s="421">
        <f t="shared" si="314"/>
        <v>20.65</v>
      </c>
      <c r="L1205" s="647" t="s">
        <v>2065</v>
      </c>
      <c r="M1205" s="576"/>
      <c r="N1205" s="576">
        <f t="shared" si="317"/>
        <v>0</v>
      </c>
      <c r="O1205" s="577">
        <f t="shared" ref="O1205:O1268" si="322">IF(ISBLANK(M1205),0,ROUND(K1205*M1205,2))</f>
        <v>0</v>
      </c>
      <c r="P1205" s="578">
        <f t="shared" ref="P1205:P1268" si="323">IF(ISBLANK(N1205),0,ROUND(M1205*N1205,2))</f>
        <v>0</v>
      </c>
      <c r="Q1205" s="765"/>
      <c r="R1205" s="576">
        <f t="shared" si="319"/>
        <v>0</v>
      </c>
      <c r="S1205" s="576">
        <f t="shared" si="319"/>
        <v>0</v>
      </c>
      <c r="T1205" s="577">
        <f t="shared" si="320"/>
        <v>0</v>
      </c>
      <c r="U1205" s="578">
        <f t="shared" si="321"/>
        <v>0</v>
      </c>
      <c r="V1205" s="579"/>
      <c r="W1205" s="566"/>
      <c r="X1205" s="586" t="str">
        <f t="shared" si="313"/>
        <v/>
      </c>
      <c r="Y1205" s="586" t="str">
        <f t="shared" si="318"/>
        <v/>
      </c>
      <c r="Z1205" s="586" t="str">
        <f t="shared" si="316"/>
        <v/>
      </c>
    </row>
    <row r="1206" spans="1:26" ht="23.25" hidden="1" thickBot="1" x14ac:dyDescent="0.25">
      <c r="A1206" s="567">
        <v>95760</v>
      </c>
      <c r="B1206" s="644">
        <v>95760</v>
      </c>
      <c r="C1206" s="645" t="s">
        <v>670</v>
      </c>
      <c r="D1206" s="422" t="s">
        <v>1057</v>
      </c>
      <c r="E1206" s="423"/>
      <c r="F1206" s="424"/>
      <c r="G1206" s="425"/>
      <c r="H1206" s="651"/>
      <c r="I1206" s="420">
        <v>21.47</v>
      </c>
      <c r="J1206" s="420">
        <f t="shared" si="315"/>
        <v>21.47</v>
      </c>
      <c r="K1206" s="421">
        <f t="shared" si="314"/>
        <v>25.51</v>
      </c>
      <c r="L1206" s="647" t="s">
        <v>2065</v>
      </c>
      <c r="M1206" s="576"/>
      <c r="N1206" s="576">
        <f t="shared" si="317"/>
        <v>0</v>
      </c>
      <c r="O1206" s="577">
        <f t="shared" si="322"/>
        <v>0</v>
      </c>
      <c r="P1206" s="578">
        <f t="shared" si="323"/>
        <v>0</v>
      </c>
      <c r="Q1206" s="765"/>
      <c r="R1206" s="576">
        <f t="shared" si="319"/>
        <v>0</v>
      </c>
      <c r="S1206" s="576">
        <f t="shared" si="319"/>
        <v>0</v>
      </c>
      <c r="T1206" s="577">
        <f t="shared" si="320"/>
        <v>0</v>
      </c>
      <c r="U1206" s="578">
        <f t="shared" si="321"/>
        <v>0</v>
      </c>
      <c r="V1206" s="579"/>
      <c r="W1206" s="566"/>
      <c r="X1206" s="586" t="str">
        <f t="shared" si="313"/>
        <v/>
      </c>
      <c r="Y1206" s="586" t="str">
        <f t="shared" si="318"/>
        <v/>
      </c>
      <c r="Z1206" s="586" t="str">
        <f t="shared" si="316"/>
        <v/>
      </c>
    </row>
    <row r="1207" spans="1:26" ht="23.25" hidden="1" thickBot="1" x14ac:dyDescent="0.25">
      <c r="A1207" s="567">
        <v>91839</v>
      </c>
      <c r="B1207" s="644">
        <v>91839</v>
      </c>
      <c r="C1207" s="645" t="s">
        <v>670</v>
      </c>
      <c r="D1207" s="422" t="s">
        <v>1058</v>
      </c>
      <c r="E1207" s="423"/>
      <c r="F1207" s="424"/>
      <c r="G1207" s="425"/>
      <c r="H1207" s="651"/>
      <c r="I1207" s="420">
        <v>10.48</v>
      </c>
      <c r="J1207" s="420">
        <f t="shared" si="315"/>
        <v>10.48</v>
      </c>
      <c r="K1207" s="421">
        <f t="shared" si="314"/>
        <v>12.45</v>
      </c>
      <c r="L1207" s="647" t="s">
        <v>79</v>
      </c>
      <c r="M1207" s="576"/>
      <c r="N1207" s="576">
        <f t="shared" si="317"/>
        <v>0</v>
      </c>
      <c r="O1207" s="577">
        <f t="shared" si="322"/>
        <v>0</v>
      </c>
      <c r="P1207" s="578">
        <f t="shared" si="323"/>
        <v>0</v>
      </c>
      <c r="Q1207" s="765"/>
      <c r="R1207" s="576">
        <f t="shared" si="319"/>
        <v>0</v>
      </c>
      <c r="S1207" s="576">
        <f t="shared" si="319"/>
        <v>0</v>
      </c>
      <c r="T1207" s="577">
        <f t="shared" si="320"/>
        <v>0</v>
      </c>
      <c r="U1207" s="578">
        <f t="shared" si="321"/>
        <v>0</v>
      </c>
      <c r="V1207" s="579"/>
      <c r="W1207" s="566"/>
      <c r="X1207" s="586" t="str">
        <f t="shared" si="313"/>
        <v/>
      </c>
      <c r="Y1207" s="586" t="str">
        <f t="shared" si="318"/>
        <v/>
      </c>
      <c r="Z1207" s="586" t="str">
        <f t="shared" si="316"/>
        <v/>
      </c>
    </row>
    <row r="1208" spans="1:26" ht="23.25" hidden="1" thickBot="1" x14ac:dyDescent="0.25">
      <c r="A1208" s="567">
        <v>91840</v>
      </c>
      <c r="B1208" s="644">
        <v>91840</v>
      </c>
      <c r="C1208" s="645" t="s">
        <v>670</v>
      </c>
      <c r="D1208" s="422" t="s">
        <v>1059</v>
      </c>
      <c r="E1208" s="423"/>
      <c r="F1208" s="424"/>
      <c r="G1208" s="425"/>
      <c r="H1208" s="651"/>
      <c r="I1208" s="420">
        <v>13.02</v>
      </c>
      <c r="J1208" s="420">
        <f t="shared" si="315"/>
        <v>13.02</v>
      </c>
      <c r="K1208" s="421">
        <f t="shared" si="314"/>
        <v>15.47</v>
      </c>
      <c r="L1208" s="647" t="s">
        <v>79</v>
      </c>
      <c r="M1208" s="576"/>
      <c r="N1208" s="576">
        <f t="shared" si="317"/>
        <v>0</v>
      </c>
      <c r="O1208" s="577">
        <f t="shared" si="322"/>
        <v>0</v>
      </c>
      <c r="P1208" s="578">
        <f t="shared" si="323"/>
        <v>0</v>
      </c>
      <c r="Q1208" s="765"/>
      <c r="R1208" s="576">
        <f t="shared" si="319"/>
        <v>0</v>
      </c>
      <c r="S1208" s="576">
        <f t="shared" si="319"/>
        <v>0</v>
      </c>
      <c r="T1208" s="577">
        <f t="shared" si="320"/>
        <v>0</v>
      </c>
      <c r="U1208" s="578">
        <f t="shared" si="321"/>
        <v>0</v>
      </c>
      <c r="V1208" s="579"/>
      <c r="W1208" s="566"/>
      <c r="X1208" s="586" t="str">
        <f t="shared" si="313"/>
        <v/>
      </c>
      <c r="Y1208" s="586" t="str">
        <f t="shared" si="318"/>
        <v/>
      </c>
      <c r="Z1208" s="586" t="str">
        <f t="shared" si="316"/>
        <v/>
      </c>
    </row>
    <row r="1209" spans="1:26" ht="23.25" hidden="1" thickBot="1" x14ac:dyDescent="0.25">
      <c r="A1209" s="567">
        <v>91841</v>
      </c>
      <c r="B1209" s="644">
        <v>91841</v>
      </c>
      <c r="C1209" s="645" t="s">
        <v>670</v>
      </c>
      <c r="D1209" s="422" t="s">
        <v>1060</v>
      </c>
      <c r="E1209" s="423"/>
      <c r="F1209" s="424"/>
      <c r="G1209" s="425"/>
      <c r="H1209" s="651"/>
      <c r="I1209" s="420">
        <v>12.42</v>
      </c>
      <c r="J1209" s="420">
        <f t="shared" si="315"/>
        <v>12.42</v>
      </c>
      <c r="K1209" s="421">
        <f t="shared" si="314"/>
        <v>14.76</v>
      </c>
      <c r="L1209" s="647" t="s">
        <v>79</v>
      </c>
      <c r="M1209" s="576"/>
      <c r="N1209" s="576">
        <f t="shared" si="317"/>
        <v>0</v>
      </c>
      <c r="O1209" s="577">
        <f t="shared" si="322"/>
        <v>0</v>
      </c>
      <c r="P1209" s="578">
        <f t="shared" si="323"/>
        <v>0</v>
      </c>
      <c r="Q1209" s="765"/>
      <c r="R1209" s="576">
        <f t="shared" si="319"/>
        <v>0</v>
      </c>
      <c r="S1209" s="576">
        <f t="shared" si="319"/>
        <v>0</v>
      </c>
      <c r="T1209" s="577">
        <f t="shared" si="320"/>
        <v>0</v>
      </c>
      <c r="U1209" s="578">
        <f t="shared" si="321"/>
        <v>0</v>
      </c>
      <c r="V1209" s="579"/>
      <c r="W1209" s="566"/>
      <c r="X1209" s="586" t="str">
        <f t="shared" si="313"/>
        <v/>
      </c>
      <c r="Y1209" s="586" t="str">
        <f t="shared" si="318"/>
        <v/>
      </c>
      <c r="Z1209" s="586" t="str">
        <f t="shared" si="316"/>
        <v/>
      </c>
    </row>
    <row r="1210" spans="1:26" ht="23.25" hidden="1" thickBot="1" x14ac:dyDescent="0.25">
      <c r="A1210" s="567">
        <v>91849</v>
      </c>
      <c r="B1210" s="644">
        <v>91849</v>
      </c>
      <c r="C1210" s="645" t="s">
        <v>670</v>
      </c>
      <c r="D1210" s="422" t="s">
        <v>1061</v>
      </c>
      <c r="E1210" s="423"/>
      <c r="F1210" s="424"/>
      <c r="G1210" s="425"/>
      <c r="H1210" s="651"/>
      <c r="I1210" s="420">
        <v>8.2100000000000009</v>
      </c>
      <c r="J1210" s="420">
        <f t="shared" si="315"/>
        <v>8.2100000000000009</v>
      </c>
      <c r="K1210" s="421">
        <f t="shared" si="314"/>
        <v>9.75</v>
      </c>
      <c r="L1210" s="647" t="s">
        <v>79</v>
      </c>
      <c r="M1210" s="576"/>
      <c r="N1210" s="576">
        <f t="shared" si="317"/>
        <v>0</v>
      </c>
      <c r="O1210" s="577">
        <f t="shared" si="322"/>
        <v>0</v>
      </c>
      <c r="P1210" s="578">
        <f t="shared" si="323"/>
        <v>0</v>
      </c>
      <c r="Q1210" s="765"/>
      <c r="R1210" s="576">
        <f t="shared" si="319"/>
        <v>0</v>
      </c>
      <c r="S1210" s="576">
        <f t="shared" si="319"/>
        <v>0</v>
      </c>
      <c r="T1210" s="577">
        <f t="shared" si="320"/>
        <v>0</v>
      </c>
      <c r="U1210" s="578">
        <f t="shared" si="321"/>
        <v>0</v>
      </c>
      <c r="V1210" s="579"/>
      <c r="W1210" s="566"/>
      <c r="X1210" s="586" t="str">
        <f t="shared" si="313"/>
        <v/>
      </c>
      <c r="Y1210" s="586" t="str">
        <f t="shared" si="318"/>
        <v/>
      </c>
      <c r="Z1210" s="586" t="str">
        <f t="shared" si="316"/>
        <v/>
      </c>
    </row>
    <row r="1211" spans="1:26" ht="23.25" hidden="1" thickBot="1" x14ac:dyDescent="0.25">
      <c r="A1211" s="567">
        <v>91850</v>
      </c>
      <c r="B1211" s="644">
        <v>91850</v>
      </c>
      <c r="C1211" s="645" t="s">
        <v>670</v>
      </c>
      <c r="D1211" s="422" t="s">
        <v>1062</v>
      </c>
      <c r="E1211" s="423"/>
      <c r="F1211" s="424"/>
      <c r="G1211" s="425"/>
      <c r="H1211" s="651"/>
      <c r="I1211" s="420">
        <v>10.81</v>
      </c>
      <c r="J1211" s="420">
        <f t="shared" si="315"/>
        <v>10.81</v>
      </c>
      <c r="K1211" s="421">
        <f t="shared" si="314"/>
        <v>12.84</v>
      </c>
      <c r="L1211" s="647" t="s">
        <v>79</v>
      </c>
      <c r="M1211" s="576"/>
      <c r="N1211" s="576">
        <f t="shared" si="317"/>
        <v>0</v>
      </c>
      <c r="O1211" s="577">
        <f t="shared" si="322"/>
        <v>0</v>
      </c>
      <c r="P1211" s="578">
        <f t="shared" si="323"/>
        <v>0</v>
      </c>
      <c r="Q1211" s="765"/>
      <c r="R1211" s="576">
        <f t="shared" si="319"/>
        <v>0</v>
      </c>
      <c r="S1211" s="576">
        <f t="shared" si="319"/>
        <v>0</v>
      </c>
      <c r="T1211" s="577">
        <f t="shared" si="320"/>
        <v>0</v>
      </c>
      <c r="U1211" s="578">
        <f t="shared" si="321"/>
        <v>0</v>
      </c>
      <c r="V1211" s="579"/>
      <c r="W1211" s="566"/>
      <c r="X1211" s="586" t="str">
        <f t="shared" si="313"/>
        <v/>
      </c>
      <c r="Y1211" s="586" t="str">
        <f t="shared" si="318"/>
        <v/>
      </c>
      <c r="Z1211" s="586" t="str">
        <f t="shared" si="316"/>
        <v/>
      </c>
    </row>
    <row r="1212" spans="1:26" ht="23.25" hidden="1" thickBot="1" x14ac:dyDescent="0.25">
      <c r="A1212" s="567">
        <v>91851</v>
      </c>
      <c r="B1212" s="644">
        <v>91851</v>
      </c>
      <c r="C1212" s="645" t="s">
        <v>670</v>
      </c>
      <c r="D1212" s="422" t="s">
        <v>1063</v>
      </c>
      <c r="E1212" s="423"/>
      <c r="F1212" s="424"/>
      <c r="G1212" s="425"/>
      <c r="H1212" s="651"/>
      <c r="I1212" s="420">
        <v>10.210000000000001</v>
      </c>
      <c r="J1212" s="420">
        <f t="shared" si="315"/>
        <v>10.210000000000001</v>
      </c>
      <c r="K1212" s="421">
        <f t="shared" si="314"/>
        <v>12.13</v>
      </c>
      <c r="L1212" s="647" t="s">
        <v>79</v>
      </c>
      <c r="M1212" s="576"/>
      <c r="N1212" s="576">
        <f t="shared" si="317"/>
        <v>0</v>
      </c>
      <c r="O1212" s="577">
        <f t="shared" si="322"/>
        <v>0</v>
      </c>
      <c r="P1212" s="578">
        <f t="shared" si="323"/>
        <v>0</v>
      </c>
      <c r="Q1212" s="765"/>
      <c r="R1212" s="576">
        <f t="shared" si="319"/>
        <v>0</v>
      </c>
      <c r="S1212" s="576">
        <f t="shared" si="319"/>
        <v>0</v>
      </c>
      <c r="T1212" s="577">
        <f t="shared" si="320"/>
        <v>0</v>
      </c>
      <c r="U1212" s="578">
        <f t="shared" si="321"/>
        <v>0</v>
      </c>
      <c r="V1212" s="579"/>
      <c r="W1212" s="566"/>
      <c r="X1212" s="586" t="str">
        <f t="shared" si="313"/>
        <v/>
      </c>
      <c r="Y1212" s="586" t="str">
        <f t="shared" si="318"/>
        <v/>
      </c>
      <c r="Z1212" s="586" t="str">
        <f t="shared" si="316"/>
        <v/>
      </c>
    </row>
    <row r="1213" spans="1:26" ht="23.25" hidden="1" thickBot="1" x14ac:dyDescent="0.25">
      <c r="A1213" s="567">
        <v>91859</v>
      </c>
      <c r="B1213" s="644">
        <v>91859</v>
      </c>
      <c r="C1213" s="645" t="s">
        <v>670</v>
      </c>
      <c r="D1213" s="422" t="s">
        <v>1064</v>
      </c>
      <c r="E1213" s="423"/>
      <c r="F1213" s="424"/>
      <c r="G1213" s="425"/>
      <c r="H1213" s="651"/>
      <c r="I1213" s="420">
        <v>10.95</v>
      </c>
      <c r="J1213" s="420">
        <f t="shared" si="315"/>
        <v>10.95</v>
      </c>
      <c r="K1213" s="421">
        <f t="shared" si="314"/>
        <v>13.01</v>
      </c>
      <c r="L1213" s="647" t="s">
        <v>79</v>
      </c>
      <c r="M1213" s="576"/>
      <c r="N1213" s="576">
        <f t="shared" si="317"/>
        <v>0</v>
      </c>
      <c r="O1213" s="577">
        <f t="shared" si="322"/>
        <v>0</v>
      </c>
      <c r="P1213" s="578">
        <f t="shared" si="323"/>
        <v>0</v>
      </c>
      <c r="Q1213" s="765"/>
      <c r="R1213" s="576">
        <f t="shared" si="319"/>
        <v>0</v>
      </c>
      <c r="S1213" s="576">
        <f t="shared" si="319"/>
        <v>0</v>
      </c>
      <c r="T1213" s="577">
        <f t="shared" si="320"/>
        <v>0</v>
      </c>
      <c r="U1213" s="578">
        <f t="shared" si="321"/>
        <v>0</v>
      </c>
      <c r="V1213" s="579"/>
      <c r="W1213" s="566"/>
      <c r="X1213" s="586" t="str">
        <f t="shared" ref="X1213:X1276" si="324">IF(W1213="X","x",IF(W1213="xx","x",IF(W1213="xy","x",IF(W1213="y","x",IF(OR(P1213&gt;0,U1213&gt;0),"x","")))))</f>
        <v/>
      </c>
      <c r="Y1213" s="586" t="str">
        <f t="shared" si="318"/>
        <v/>
      </c>
      <c r="Z1213" s="586" t="str">
        <f t="shared" si="316"/>
        <v/>
      </c>
    </row>
    <row r="1214" spans="1:26" ht="23.25" hidden="1" thickBot="1" x14ac:dyDescent="0.25">
      <c r="A1214" s="567">
        <v>91860</v>
      </c>
      <c r="B1214" s="644">
        <v>91860</v>
      </c>
      <c r="C1214" s="645" t="s">
        <v>670</v>
      </c>
      <c r="D1214" s="422" t="s">
        <v>1065</v>
      </c>
      <c r="E1214" s="423"/>
      <c r="F1214" s="424"/>
      <c r="G1214" s="425"/>
      <c r="H1214" s="651"/>
      <c r="I1214" s="420">
        <v>13.44</v>
      </c>
      <c r="J1214" s="420">
        <f t="shared" si="315"/>
        <v>13.44</v>
      </c>
      <c r="K1214" s="421">
        <f t="shared" si="314"/>
        <v>15.97</v>
      </c>
      <c r="L1214" s="647" t="s">
        <v>79</v>
      </c>
      <c r="M1214" s="576"/>
      <c r="N1214" s="576">
        <f t="shared" si="317"/>
        <v>0</v>
      </c>
      <c r="O1214" s="577">
        <f t="shared" si="322"/>
        <v>0</v>
      </c>
      <c r="P1214" s="578">
        <f t="shared" si="323"/>
        <v>0</v>
      </c>
      <c r="Q1214" s="765"/>
      <c r="R1214" s="576">
        <f t="shared" si="319"/>
        <v>0</v>
      </c>
      <c r="S1214" s="576">
        <f t="shared" si="319"/>
        <v>0</v>
      </c>
      <c r="T1214" s="577">
        <f t="shared" si="320"/>
        <v>0</v>
      </c>
      <c r="U1214" s="578">
        <f t="shared" si="321"/>
        <v>0</v>
      </c>
      <c r="V1214" s="579"/>
      <c r="W1214" s="566"/>
      <c r="X1214" s="586" t="str">
        <f t="shared" si="324"/>
        <v/>
      </c>
      <c r="Y1214" s="586" t="str">
        <f t="shared" si="318"/>
        <v/>
      </c>
      <c r="Z1214" s="586" t="str">
        <f t="shared" si="316"/>
        <v/>
      </c>
    </row>
    <row r="1215" spans="1:26" ht="23.25" hidden="1" thickBot="1" x14ac:dyDescent="0.25">
      <c r="A1215" s="567">
        <v>91861</v>
      </c>
      <c r="B1215" s="644">
        <v>91861</v>
      </c>
      <c r="C1215" s="645" t="s">
        <v>670</v>
      </c>
      <c r="D1215" s="422" t="s">
        <v>1066</v>
      </c>
      <c r="E1215" s="423"/>
      <c r="F1215" s="424"/>
      <c r="G1215" s="425"/>
      <c r="H1215" s="651"/>
      <c r="I1215" s="420">
        <v>12.88</v>
      </c>
      <c r="J1215" s="420">
        <f t="shared" si="315"/>
        <v>12.88</v>
      </c>
      <c r="K1215" s="421">
        <f t="shared" si="314"/>
        <v>15.3</v>
      </c>
      <c r="L1215" s="647" t="s">
        <v>79</v>
      </c>
      <c r="M1215" s="576"/>
      <c r="N1215" s="576">
        <f t="shared" si="317"/>
        <v>0</v>
      </c>
      <c r="O1215" s="577">
        <f t="shared" si="322"/>
        <v>0</v>
      </c>
      <c r="P1215" s="578">
        <f t="shared" si="323"/>
        <v>0</v>
      </c>
      <c r="Q1215" s="765"/>
      <c r="R1215" s="576">
        <f t="shared" si="319"/>
        <v>0</v>
      </c>
      <c r="S1215" s="576">
        <f t="shared" si="319"/>
        <v>0</v>
      </c>
      <c r="T1215" s="577">
        <f t="shared" si="320"/>
        <v>0</v>
      </c>
      <c r="U1215" s="578">
        <f t="shared" si="321"/>
        <v>0</v>
      </c>
      <c r="V1215" s="579"/>
      <c r="W1215" s="566"/>
      <c r="X1215" s="586" t="str">
        <f t="shared" si="324"/>
        <v/>
      </c>
      <c r="Y1215" s="586" t="str">
        <f t="shared" si="318"/>
        <v/>
      </c>
      <c r="Z1215" s="586" t="str">
        <f t="shared" si="316"/>
        <v/>
      </c>
    </row>
    <row r="1216" spans="1:26" ht="12" hidden="1" thickBot="1" x14ac:dyDescent="0.25">
      <c r="A1216" s="567">
        <v>97667</v>
      </c>
      <c r="B1216" s="644">
        <v>97667</v>
      </c>
      <c r="C1216" s="645" t="s">
        <v>670</v>
      </c>
      <c r="D1216" s="422" t="s">
        <v>1067</v>
      </c>
      <c r="E1216" s="423"/>
      <c r="F1216" s="424"/>
      <c r="G1216" s="425"/>
      <c r="H1216" s="651"/>
      <c r="I1216" s="420">
        <v>8.01</v>
      </c>
      <c r="J1216" s="420">
        <f t="shared" si="315"/>
        <v>8.01</v>
      </c>
      <c r="K1216" s="421">
        <f t="shared" si="314"/>
        <v>9.52</v>
      </c>
      <c r="L1216" s="647" t="s">
        <v>79</v>
      </c>
      <c r="M1216" s="576"/>
      <c r="N1216" s="576">
        <f t="shared" si="317"/>
        <v>0</v>
      </c>
      <c r="O1216" s="577">
        <f t="shared" si="322"/>
        <v>0</v>
      </c>
      <c r="P1216" s="578">
        <f t="shared" si="323"/>
        <v>0</v>
      </c>
      <c r="Q1216" s="765"/>
      <c r="R1216" s="576">
        <f t="shared" si="319"/>
        <v>0</v>
      </c>
      <c r="S1216" s="576">
        <f t="shared" si="319"/>
        <v>0</v>
      </c>
      <c r="T1216" s="577">
        <f t="shared" si="320"/>
        <v>0</v>
      </c>
      <c r="U1216" s="578">
        <f t="shared" si="321"/>
        <v>0</v>
      </c>
      <c r="V1216" s="579"/>
      <c r="W1216" s="566"/>
      <c r="X1216" s="586" t="str">
        <f t="shared" si="324"/>
        <v/>
      </c>
      <c r="Y1216" s="586" t="str">
        <f t="shared" si="318"/>
        <v/>
      </c>
      <c r="Z1216" s="586" t="str">
        <f t="shared" si="316"/>
        <v/>
      </c>
    </row>
    <row r="1217" spans="1:26" ht="12" hidden="1" thickBot="1" x14ac:dyDescent="0.25">
      <c r="A1217" s="567">
        <v>97668</v>
      </c>
      <c r="B1217" s="644">
        <v>97668</v>
      </c>
      <c r="C1217" s="645" t="s">
        <v>670</v>
      </c>
      <c r="D1217" s="422" t="s">
        <v>1068</v>
      </c>
      <c r="E1217" s="423"/>
      <c r="F1217" s="424"/>
      <c r="G1217" s="425"/>
      <c r="H1217" s="651"/>
      <c r="I1217" s="420">
        <v>11.42</v>
      </c>
      <c r="J1217" s="420">
        <f t="shared" si="315"/>
        <v>11.42</v>
      </c>
      <c r="K1217" s="421">
        <f t="shared" si="314"/>
        <v>13.57</v>
      </c>
      <c r="L1217" s="647" t="s">
        <v>79</v>
      </c>
      <c r="M1217" s="576"/>
      <c r="N1217" s="576">
        <f t="shared" si="317"/>
        <v>0</v>
      </c>
      <c r="O1217" s="577">
        <f t="shared" si="322"/>
        <v>0</v>
      </c>
      <c r="P1217" s="578">
        <f t="shared" si="323"/>
        <v>0</v>
      </c>
      <c r="Q1217" s="765"/>
      <c r="R1217" s="576">
        <f t="shared" si="319"/>
        <v>0</v>
      </c>
      <c r="S1217" s="576">
        <f t="shared" si="319"/>
        <v>0</v>
      </c>
      <c r="T1217" s="577">
        <f t="shared" si="320"/>
        <v>0</v>
      </c>
      <c r="U1217" s="578">
        <f t="shared" si="321"/>
        <v>0</v>
      </c>
      <c r="V1217" s="579"/>
      <c r="W1217" s="566"/>
      <c r="X1217" s="586" t="str">
        <f t="shared" si="324"/>
        <v/>
      </c>
      <c r="Y1217" s="586" t="str">
        <f t="shared" si="318"/>
        <v/>
      </c>
      <c r="Z1217" s="586" t="str">
        <f t="shared" si="316"/>
        <v/>
      </c>
    </row>
    <row r="1218" spans="1:26" ht="12" hidden="1" thickBot="1" x14ac:dyDescent="0.25">
      <c r="A1218" s="567">
        <v>97669</v>
      </c>
      <c r="B1218" s="644">
        <v>97669</v>
      </c>
      <c r="C1218" s="645" t="s">
        <v>670</v>
      </c>
      <c r="D1218" s="422" t="s">
        <v>1069</v>
      </c>
      <c r="E1218" s="423"/>
      <c r="F1218" s="424"/>
      <c r="G1218" s="425"/>
      <c r="H1218" s="651"/>
      <c r="I1218" s="420">
        <v>16.96</v>
      </c>
      <c r="J1218" s="420">
        <f t="shared" si="315"/>
        <v>16.96</v>
      </c>
      <c r="K1218" s="421">
        <f t="shared" si="314"/>
        <v>20.149999999999999</v>
      </c>
      <c r="L1218" s="647" t="s">
        <v>79</v>
      </c>
      <c r="M1218" s="576"/>
      <c r="N1218" s="576">
        <f t="shared" si="317"/>
        <v>0</v>
      </c>
      <c r="O1218" s="577">
        <f t="shared" si="322"/>
        <v>0</v>
      </c>
      <c r="P1218" s="578">
        <f t="shared" si="323"/>
        <v>0</v>
      </c>
      <c r="Q1218" s="765"/>
      <c r="R1218" s="576">
        <f t="shared" si="319"/>
        <v>0</v>
      </c>
      <c r="S1218" s="576">
        <f t="shared" si="319"/>
        <v>0</v>
      </c>
      <c r="T1218" s="577">
        <f t="shared" si="320"/>
        <v>0</v>
      </c>
      <c r="U1218" s="578">
        <f t="shared" si="321"/>
        <v>0</v>
      </c>
      <c r="V1218" s="579"/>
      <c r="W1218" s="566"/>
      <c r="X1218" s="586" t="str">
        <f t="shared" si="324"/>
        <v/>
      </c>
      <c r="Y1218" s="586" t="str">
        <f t="shared" si="318"/>
        <v/>
      </c>
      <c r="Z1218" s="586" t="str">
        <f t="shared" si="316"/>
        <v/>
      </c>
    </row>
    <row r="1219" spans="1:26" ht="12" hidden="1" thickBot="1" x14ac:dyDescent="0.25">
      <c r="A1219" s="567">
        <v>97670</v>
      </c>
      <c r="B1219" s="644">
        <v>97670</v>
      </c>
      <c r="C1219" s="645" t="s">
        <v>670</v>
      </c>
      <c r="D1219" s="422" t="s">
        <v>1070</v>
      </c>
      <c r="E1219" s="423"/>
      <c r="F1219" s="424"/>
      <c r="G1219" s="425"/>
      <c r="H1219" s="651"/>
      <c r="I1219" s="420">
        <v>21.64</v>
      </c>
      <c r="J1219" s="420">
        <f t="shared" si="315"/>
        <v>21.64</v>
      </c>
      <c r="K1219" s="421">
        <f t="shared" si="314"/>
        <v>25.71</v>
      </c>
      <c r="L1219" s="647" t="s">
        <v>79</v>
      </c>
      <c r="M1219" s="576"/>
      <c r="N1219" s="576">
        <f t="shared" si="317"/>
        <v>0</v>
      </c>
      <c r="O1219" s="577">
        <f t="shared" si="322"/>
        <v>0</v>
      </c>
      <c r="P1219" s="578">
        <f t="shared" si="323"/>
        <v>0</v>
      </c>
      <c r="Q1219" s="765"/>
      <c r="R1219" s="576">
        <f t="shared" si="319"/>
        <v>0</v>
      </c>
      <c r="S1219" s="576">
        <f t="shared" si="319"/>
        <v>0</v>
      </c>
      <c r="T1219" s="577">
        <f t="shared" si="320"/>
        <v>0</v>
      </c>
      <c r="U1219" s="578">
        <f t="shared" si="321"/>
        <v>0</v>
      </c>
      <c r="V1219" s="579"/>
      <c r="W1219" s="566"/>
      <c r="X1219" s="586" t="str">
        <f t="shared" si="324"/>
        <v/>
      </c>
      <c r="Y1219" s="586" t="str">
        <f t="shared" si="318"/>
        <v/>
      </c>
      <c r="Z1219" s="586" t="str">
        <f t="shared" si="316"/>
        <v/>
      </c>
    </row>
    <row r="1220" spans="1:26" ht="23.25" hidden="1" thickBot="1" x14ac:dyDescent="0.25">
      <c r="A1220" s="567">
        <v>91924</v>
      </c>
      <c r="B1220" s="644">
        <v>91924</v>
      </c>
      <c r="C1220" s="645" t="s">
        <v>670</v>
      </c>
      <c r="D1220" s="422" t="s">
        <v>1071</v>
      </c>
      <c r="E1220" s="423"/>
      <c r="F1220" s="424"/>
      <c r="G1220" s="425"/>
      <c r="H1220" s="651"/>
      <c r="I1220" s="420">
        <v>2.91</v>
      </c>
      <c r="J1220" s="420">
        <f t="shared" si="315"/>
        <v>2.91</v>
      </c>
      <c r="K1220" s="421">
        <f t="shared" si="314"/>
        <v>3.46</v>
      </c>
      <c r="L1220" s="647" t="s">
        <v>79</v>
      </c>
      <c r="M1220" s="576"/>
      <c r="N1220" s="576">
        <f t="shared" si="317"/>
        <v>0</v>
      </c>
      <c r="O1220" s="577">
        <f t="shared" si="322"/>
        <v>0</v>
      </c>
      <c r="P1220" s="578">
        <f t="shared" si="323"/>
        <v>0</v>
      </c>
      <c r="Q1220" s="765"/>
      <c r="R1220" s="576">
        <f t="shared" si="319"/>
        <v>0</v>
      </c>
      <c r="S1220" s="576">
        <f t="shared" si="319"/>
        <v>0</v>
      </c>
      <c r="T1220" s="577">
        <f t="shared" si="320"/>
        <v>0</v>
      </c>
      <c r="U1220" s="578">
        <f t="shared" si="321"/>
        <v>0</v>
      </c>
      <c r="V1220" s="579"/>
      <c r="W1220" s="566"/>
      <c r="X1220" s="586" t="str">
        <f t="shared" si="324"/>
        <v/>
      </c>
      <c r="Y1220" s="586" t="str">
        <f t="shared" si="318"/>
        <v/>
      </c>
      <c r="Z1220" s="586" t="str">
        <f t="shared" si="316"/>
        <v/>
      </c>
    </row>
    <row r="1221" spans="1:26" ht="23.25" hidden="1" thickBot="1" x14ac:dyDescent="0.25">
      <c r="A1221" s="567">
        <v>91926</v>
      </c>
      <c r="B1221" s="644">
        <v>91926</v>
      </c>
      <c r="C1221" s="645" t="s">
        <v>670</v>
      </c>
      <c r="D1221" s="422" t="s">
        <v>1072</v>
      </c>
      <c r="E1221" s="423"/>
      <c r="F1221" s="424"/>
      <c r="G1221" s="425"/>
      <c r="H1221" s="651"/>
      <c r="I1221" s="420">
        <v>4.2</v>
      </c>
      <c r="J1221" s="420">
        <f t="shared" si="315"/>
        <v>4.2</v>
      </c>
      <c r="K1221" s="421">
        <f t="shared" si="314"/>
        <v>4.99</v>
      </c>
      <c r="L1221" s="647" t="s">
        <v>79</v>
      </c>
      <c r="M1221" s="576"/>
      <c r="N1221" s="576">
        <f t="shared" si="317"/>
        <v>0</v>
      </c>
      <c r="O1221" s="577">
        <f t="shared" si="322"/>
        <v>0</v>
      </c>
      <c r="P1221" s="578">
        <f t="shared" si="323"/>
        <v>0</v>
      </c>
      <c r="Q1221" s="765"/>
      <c r="R1221" s="576">
        <f t="shared" si="319"/>
        <v>0</v>
      </c>
      <c r="S1221" s="576">
        <f t="shared" si="319"/>
        <v>0</v>
      </c>
      <c r="T1221" s="577">
        <f t="shared" si="320"/>
        <v>0</v>
      </c>
      <c r="U1221" s="578">
        <f t="shared" si="321"/>
        <v>0</v>
      </c>
      <c r="V1221" s="579"/>
      <c r="W1221" s="566"/>
      <c r="X1221" s="586" t="str">
        <f t="shared" si="324"/>
        <v/>
      </c>
      <c r="Y1221" s="586" t="str">
        <f t="shared" si="318"/>
        <v/>
      </c>
      <c r="Z1221" s="586" t="str">
        <f t="shared" si="316"/>
        <v/>
      </c>
    </row>
    <row r="1222" spans="1:26" ht="23.25" hidden="1" thickBot="1" x14ac:dyDescent="0.25">
      <c r="A1222" s="567">
        <v>91928</v>
      </c>
      <c r="B1222" s="644">
        <v>91928</v>
      </c>
      <c r="C1222" s="645" t="s">
        <v>670</v>
      </c>
      <c r="D1222" s="422" t="s">
        <v>1073</v>
      </c>
      <c r="E1222" s="423"/>
      <c r="F1222" s="424"/>
      <c r="G1222" s="425"/>
      <c r="H1222" s="651"/>
      <c r="I1222" s="420">
        <v>6.76</v>
      </c>
      <c r="J1222" s="420">
        <f t="shared" si="315"/>
        <v>6.76</v>
      </c>
      <c r="K1222" s="421">
        <f t="shared" si="314"/>
        <v>8.0299999999999994</v>
      </c>
      <c r="L1222" s="647" t="s">
        <v>79</v>
      </c>
      <c r="M1222" s="576"/>
      <c r="N1222" s="576">
        <f t="shared" si="317"/>
        <v>0</v>
      </c>
      <c r="O1222" s="577">
        <f t="shared" si="322"/>
        <v>0</v>
      </c>
      <c r="P1222" s="578">
        <f t="shared" si="323"/>
        <v>0</v>
      </c>
      <c r="Q1222" s="765"/>
      <c r="R1222" s="576">
        <f t="shared" si="319"/>
        <v>0</v>
      </c>
      <c r="S1222" s="576">
        <f t="shared" si="319"/>
        <v>0</v>
      </c>
      <c r="T1222" s="577">
        <f t="shared" si="320"/>
        <v>0</v>
      </c>
      <c r="U1222" s="578">
        <f t="shared" si="321"/>
        <v>0</v>
      </c>
      <c r="V1222" s="579"/>
      <c r="W1222" s="566"/>
      <c r="X1222" s="586" t="str">
        <f t="shared" si="324"/>
        <v/>
      </c>
      <c r="Y1222" s="586" t="str">
        <f t="shared" si="318"/>
        <v/>
      </c>
      <c r="Z1222" s="586" t="str">
        <f t="shared" si="316"/>
        <v/>
      </c>
    </row>
    <row r="1223" spans="1:26" ht="23.25" hidden="1" thickBot="1" x14ac:dyDescent="0.25">
      <c r="A1223" s="567">
        <v>91930</v>
      </c>
      <c r="B1223" s="644">
        <v>91930</v>
      </c>
      <c r="C1223" s="645" t="s">
        <v>670</v>
      </c>
      <c r="D1223" s="422" t="s">
        <v>1074</v>
      </c>
      <c r="E1223" s="423"/>
      <c r="F1223" s="424"/>
      <c r="G1223" s="425"/>
      <c r="H1223" s="651"/>
      <c r="I1223" s="420">
        <v>9.24</v>
      </c>
      <c r="J1223" s="420">
        <f t="shared" si="315"/>
        <v>9.24</v>
      </c>
      <c r="K1223" s="421">
        <f t="shared" si="314"/>
        <v>10.98</v>
      </c>
      <c r="L1223" s="647" t="s">
        <v>79</v>
      </c>
      <c r="M1223" s="576"/>
      <c r="N1223" s="576">
        <f t="shared" si="317"/>
        <v>0</v>
      </c>
      <c r="O1223" s="577">
        <f t="shared" si="322"/>
        <v>0</v>
      </c>
      <c r="P1223" s="578">
        <f t="shared" si="323"/>
        <v>0</v>
      </c>
      <c r="Q1223" s="765"/>
      <c r="R1223" s="576">
        <f t="shared" si="319"/>
        <v>0</v>
      </c>
      <c r="S1223" s="576">
        <f t="shared" si="319"/>
        <v>0</v>
      </c>
      <c r="T1223" s="577">
        <f t="shared" si="320"/>
        <v>0</v>
      </c>
      <c r="U1223" s="578">
        <f t="shared" si="321"/>
        <v>0</v>
      </c>
      <c r="V1223" s="579"/>
      <c r="W1223" s="566"/>
      <c r="X1223" s="586" t="str">
        <f t="shared" si="324"/>
        <v/>
      </c>
      <c r="Y1223" s="586" t="str">
        <f t="shared" si="318"/>
        <v/>
      </c>
      <c r="Z1223" s="586" t="str">
        <f t="shared" si="316"/>
        <v/>
      </c>
    </row>
    <row r="1224" spans="1:26" ht="23.25" hidden="1" thickBot="1" x14ac:dyDescent="0.25">
      <c r="A1224" s="567">
        <v>91932</v>
      </c>
      <c r="B1224" s="644">
        <v>91932</v>
      </c>
      <c r="C1224" s="645" t="s">
        <v>670</v>
      </c>
      <c r="D1224" s="422" t="s">
        <v>1075</v>
      </c>
      <c r="E1224" s="423"/>
      <c r="F1224" s="424"/>
      <c r="G1224" s="425"/>
      <c r="H1224" s="651"/>
      <c r="I1224" s="420">
        <v>15.13</v>
      </c>
      <c r="J1224" s="420">
        <f t="shared" si="315"/>
        <v>15.13</v>
      </c>
      <c r="K1224" s="421">
        <f t="shared" si="314"/>
        <v>17.98</v>
      </c>
      <c r="L1224" s="647" t="s">
        <v>79</v>
      </c>
      <c r="M1224" s="576"/>
      <c r="N1224" s="576">
        <f t="shared" si="317"/>
        <v>0</v>
      </c>
      <c r="O1224" s="577">
        <f t="shared" si="322"/>
        <v>0</v>
      </c>
      <c r="P1224" s="578">
        <f t="shared" si="323"/>
        <v>0</v>
      </c>
      <c r="Q1224" s="765"/>
      <c r="R1224" s="576">
        <f t="shared" si="319"/>
        <v>0</v>
      </c>
      <c r="S1224" s="576">
        <f t="shared" si="319"/>
        <v>0</v>
      </c>
      <c r="T1224" s="577">
        <f t="shared" si="320"/>
        <v>0</v>
      </c>
      <c r="U1224" s="578">
        <f t="shared" si="321"/>
        <v>0</v>
      </c>
      <c r="V1224" s="579"/>
      <c r="W1224" s="566"/>
      <c r="X1224" s="586" t="str">
        <f t="shared" si="324"/>
        <v/>
      </c>
      <c r="Y1224" s="586" t="str">
        <f t="shared" si="318"/>
        <v/>
      </c>
      <c r="Z1224" s="586" t="str">
        <f t="shared" si="316"/>
        <v/>
      </c>
    </row>
    <row r="1225" spans="1:26" ht="23.25" hidden="1" thickBot="1" x14ac:dyDescent="0.25">
      <c r="A1225" s="567">
        <v>91934</v>
      </c>
      <c r="B1225" s="644">
        <v>91934</v>
      </c>
      <c r="C1225" s="645" t="s">
        <v>670</v>
      </c>
      <c r="D1225" s="422" t="s">
        <v>1076</v>
      </c>
      <c r="E1225" s="423"/>
      <c r="F1225" s="424"/>
      <c r="G1225" s="425"/>
      <c r="H1225" s="651"/>
      <c r="I1225" s="420">
        <v>23.1</v>
      </c>
      <c r="J1225" s="420">
        <f t="shared" si="315"/>
        <v>23.1</v>
      </c>
      <c r="K1225" s="421">
        <f t="shared" ref="K1225:K1288" si="325">IF(ISBLANK(I1225),0,ROUND(J1225*(1+$F$10)*(1+$F$11*E1225),2))</f>
        <v>27.45</v>
      </c>
      <c r="L1225" s="647" t="s">
        <v>79</v>
      </c>
      <c r="M1225" s="576"/>
      <c r="N1225" s="576">
        <f t="shared" si="317"/>
        <v>0</v>
      </c>
      <c r="O1225" s="577">
        <f t="shared" si="322"/>
        <v>0</v>
      </c>
      <c r="P1225" s="578">
        <f t="shared" si="323"/>
        <v>0</v>
      </c>
      <c r="Q1225" s="765"/>
      <c r="R1225" s="576">
        <f t="shared" si="319"/>
        <v>0</v>
      </c>
      <c r="S1225" s="576">
        <f t="shared" si="319"/>
        <v>0</v>
      </c>
      <c r="T1225" s="577">
        <f t="shared" si="320"/>
        <v>0</v>
      </c>
      <c r="U1225" s="578">
        <f t="shared" si="321"/>
        <v>0</v>
      </c>
      <c r="V1225" s="579"/>
      <c r="W1225" s="566"/>
      <c r="X1225" s="586" t="str">
        <f t="shared" si="324"/>
        <v/>
      </c>
      <c r="Y1225" s="586" t="str">
        <f t="shared" si="318"/>
        <v/>
      </c>
      <c r="Z1225" s="586" t="str">
        <f t="shared" si="316"/>
        <v/>
      </c>
    </row>
    <row r="1226" spans="1:26" ht="23.25" hidden="1" thickBot="1" x14ac:dyDescent="0.25">
      <c r="A1226" s="567">
        <v>92979</v>
      </c>
      <c r="B1226" s="644">
        <v>92979</v>
      </c>
      <c r="C1226" s="645" t="s">
        <v>670</v>
      </c>
      <c r="D1226" s="422" t="s">
        <v>1077</v>
      </c>
      <c r="E1226" s="423"/>
      <c r="F1226" s="424"/>
      <c r="G1226" s="425"/>
      <c r="H1226" s="651"/>
      <c r="I1226" s="420">
        <v>10.07</v>
      </c>
      <c r="J1226" s="420">
        <f t="shared" si="315"/>
        <v>10.07</v>
      </c>
      <c r="K1226" s="421">
        <f t="shared" si="325"/>
        <v>11.96</v>
      </c>
      <c r="L1226" s="647" t="s">
        <v>79</v>
      </c>
      <c r="M1226" s="576"/>
      <c r="N1226" s="576">
        <f t="shared" si="317"/>
        <v>0</v>
      </c>
      <c r="O1226" s="577">
        <f t="shared" si="322"/>
        <v>0</v>
      </c>
      <c r="P1226" s="578">
        <f t="shared" si="323"/>
        <v>0</v>
      </c>
      <c r="Q1226" s="765"/>
      <c r="R1226" s="576">
        <f t="shared" si="319"/>
        <v>0</v>
      </c>
      <c r="S1226" s="576">
        <f t="shared" si="319"/>
        <v>0</v>
      </c>
      <c r="T1226" s="577">
        <f t="shared" si="320"/>
        <v>0</v>
      </c>
      <c r="U1226" s="578">
        <f t="shared" si="321"/>
        <v>0</v>
      </c>
      <c r="V1226" s="579"/>
      <c r="W1226" s="566"/>
      <c r="X1226" s="586" t="str">
        <f t="shared" si="324"/>
        <v/>
      </c>
      <c r="Y1226" s="586" t="str">
        <f t="shared" si="318"/>
        <v/>
      </c>
      <c r="Z1226" s="586" t="str">
        <f t="shared" si="316"/>
        <v/>
      </c>
    </row>
    <row r="1227" spans="1:26" ht="23.25" hidden="1" thickBot="1" x14ac:dyDescent="0.25">
      <c r="A1227" s="567">
        <v>92981</v>
      </c>
      <c r="B1227" s="644">
        <v>92981</v>
      </c>
      <c r="C1227" s="645" t="s">
        <v>670</v>
      </c>
      <c r="D1227" s="422" t="s">
        <v>1078</v>
      </c>
      <c r="E1227" s="423"/>
      <c r="F1227" s="424"/>
      <c r="G1227" s="425"/>
      <c r="H1227" s="651"/>
      <c r="I1227" s="420">
        <v>15.44</v>
      </c>
      <c r="J1227" s="420">
        <f t="shared" si="315"/>
        <v>15.44</v>
      </c>
      <c r="K1227" s="421">
        <f t="shared" si="325"/>
        <v>18.34</v>
      </c>
      <c r="L1227" s="647" t="s">
        <v>79</v>
      </c>
      <c r="M1227" s="576"/>
      <c r="N1227" s="576">
        <f t="shared" si="317"/>
        <v>0</v>
      </c>
      <c r="O1227" s="577">
        <f t="shared" si="322"/>
        <v>0</v>
      </c>
      <c r="P1227" s="578">
        <f t="shared" si="323"/>
        <v>0</v>
      </c>
      <c r="Q1227" s="765"/>
      <c r="R1227" s="576">
        <f t="shared" si="319"/>
        <v>0</v>
      </c>
      <c r="S1227" s="576">
        <f t="shared" si="319"/>
        <v>0</v>
      </c>
      <c r="T1227" s="577">
        <f t="shared" si="320"/>
        <v>0</v>
      </c>
      <c r="U1227" s="578">
        <f t="shared" si="321"/>
        <v>0</v>
      </c>
      <c r="V1227" s="579"/>
      <c r="W1227" s="566"/>
      <c r="X1227" s="586" t="str">
        <f t="shared" si="324"/>
        <v/>
      </c>
      <c r="Y1227" s="586" t="str">
        <f t="shared" si="318"/>
        <v/>
      </c>
      <c r="Z1227" s="586" t="str">
        <f t="shared" si="316"/>
        <v/>
      </c>
    </row>
    <row r="1228" spans="1:26" ht="23.25" hidden="1" thickBot="1" x14ac:dyDescent="0.25">
      <c r="A1228" s="567">
        <v>91925</v>
      </c>
      <c r="B1228" s="644">
        <v>91925</v>
      </c>
      <c r="C1228" s="645" t="s">
        <v>670</v>
      </c>
      <c r="D1228" s="422" t="s">
        <v>1079</v>
      </c>
      <c r="E1228" s="423"/>
      <c r="F1228" s="424"/>
      <c r="G1228" s="425"/>
      <c r="H1228" s="651"/>
      <c r="I1228" s="420">
        <v>4.07</v>
      </c>
      <c r="J1228" s="420">
        <f t="shared" si="315"/>
        <v>4.07</v>
      </c>
      <c r="K1228" s="421">
        <f t="shared" si="325"/>
        <v>4.84</v>
      </c>
      <c r="L1228" s="647" t="s">
        <v>79</v>
      </c>
      <c r="M1228" s="576"/>
      <c r="N1228" s="576">
        <f t="shared" si="317"/>
        <v>0</v>
      </c>
      <c r="O1228" s="577">
        <f t="shared" si="322"/>
        <v>0</v>
      </c>
      <c r="P1228" s="578">
        <f t="shared" si="323"/>
        <v>0</v>
      </c>
      <c r="Q1228" s="765"/>
      <c r="R1228" s="576">
        <f t="shared" si="319"/>
        <v>0</v>
      </c>
      <c r="S1228" s="576">
        <f t="shared" si="319"/>
        <v>0</v>
      </c>
      <c r="T1228" s="577">
        <f t="shared" si="320"/>
        <v>0</v>
      </c>
      <c r="U1228" s="578">
        <f t="shared" si="321"/>
        <v>0</v>
      </c>
      <c r="V1228" s="579"/>
      <c r="W1228" s="566"/>
      <c r="X1228" s="586" t="str">
        <f t="shared" si="324"/>
        <v/>
      </c>
      <c r="Y1228" s="586" t="str">
        <f t="shared" si="318"/>
        <v/>
      </c>
      <c r="Z1228" s="586" t="str">
        <f t="shared" si="316"/>
        <v/>
      </c>
    </row>
    <row r="1229" spans="1:26" ht="23.25" hidden="1" thickBot="1" x14ac:dyDescent="0.25">
      <c r="A1229" s="567">
        <v>91927</v>
      </c>
      <c r="B1229" s="644">
        <v>91927</v>
      </c>
      <c r="C1229" s="645" t="s">
        <v>670</v>
      </c>
      <c r="D1229" s="422" t="s">
        <v>1080</v>
      </c>
      <c r="E1229" s="423"/>
      <c r="F1229" s="424"/>
      <c r="G1229" s="425"/>
      <c r="H1229" s="651"/>
      <c r="I1229" s="420">
        <v>5.46</v>
      </c>
      <c r="J1229" s="420">
        <f t="shared" si="315"/>
        <v>5.46</v>
      </c>
      <c r="K1229" s="421">
        <f t="shared" si="325"/>
        <v>6.49</v>
      </c>
      <c r="L1229" s="647" t="s">
        <v>79</v>
      </c>
      <c r="M1229" s="576"/>
      <c r="N1229" s="576">
        <f t="shared" si="317"/>
        <v>0</v>
      </c>
      <c r="O1229" s="577">
        <f t="shared" si="322"/>
        <v>0</v>
      </c>
      <c r="P1229" s="578">
        <f t="shared" si="323"/>
        <v>0</v>
      </c>
      <c r="Q1229" s="765"/>
      <c r="R1229" s="576">
        <f t="shared" si="319"/>
        <v>0</v>
      </c>
      <c r="S1229" s="576">
        <f t="shared" si="319"/>
        <v>0</v>
      </c>
      <c r="T1229" s="577">
        <f t="shared" si="320"/>
        <v>0</v>
      </c>
      <c r="U1229" s="578">
        <f t="shared" si="321"/>
        <v>0</v>
      </c>
      <c r="V1229" s="579"/>
      <c r="W1229" s="566"/>
      <c r="X1229" s="586" t="str">
        <f t="shared" si="324"/>
        <v/>
      </c>
      <c r="Y1229" s="586" t="str">
        <f t="shared" si="318"/>
        <v/>
      </c>
      <c r="Z1229" s="586" t="str">
        <f t="shared" si="316"/>
        <v/>
      </c>
    </row>
    <row r="1230" spans="1:26" ht="23.25" hidden="1" thickBot="1" x14ac:dyDescent="0.25">
      <c r="A1230" s="567">
        <v>91929</v>
      </c>
      <c r="B1230" s="644">
        <v>91929</v>
      </c>
      <c r="C1230" s="645" t="s">
        <v>670</v>
      </c>
      <c r="D1230" s="422" t="s">
        <v>1081</v>
      </c>
      <c r="E1230" s="423"/>
      <c r="F1230" s="424"/>
      <c r="G1230" s="425"/>
      <c r="H1230" s="651"/>
      <c r="I1230" s="420">
        <v>7.64</v>
      </c>
      <c r="J1230" s="420">
        <f t="shared" si="315"/>
        <v>7.64</v>
      </c>
      <c r="K1230" s="421">
        <f t="shared" si="325"/>
        <v>9.08</v>
      </c>
      <c r="L1230" s="647" t="s">
        <v>79</v>
      </c>
      <c r="M1230" s="576"/>
      <c r="N1230" s="576">
        <f t="shared" si="317"/>
        <v>0</v>
      </c>
      <c r="O1230" s="577">
        <f t="shared" si="322"/>
        <v>0</v>
      </c>
      <c r="P1230" s="578">
        <f t="shared" si="323"/>
        <v>0</v>
      </c>
      <c r="Q1230" s="765"/>
      <c r="R1230" s="576">
        <f t="shared" si="319"/>
        <v>0</v>
      </c>
      <c r="S1230" s="576">
        <f t="shared" si="319"/>
        <v>0</v>
      </c>
      <c r="T1230" s="577">
        <f t="shared" si="320"/>
        <v>0</v>
      </c>
      <c r="U1230" s="578">
        <f t="shared" si="321"/>
        <v>0</v>
      </c>
      <c r="V1230" s="579"/>
      <c r="W1230" s="566"/>
      <c r="X1230" s="586" t="str">
        <f t="shared" si="324"/>
        <v/>
      </c>
      <c r="Y1230" s="586" t="str">
        <f t="shared" si="318"/>
        <v/>
      </c>
      <c r="Z1230" s="586" t="str">
        <f t="shared" si="316"/>
        <v/>
      </c>
    </row>
    <row r="1231" spans="1:26" ht="23.25" hidden="1" thickBot="1" x14ac:dyDescent="0.25">
      <c r="A1231" s="567">
        <v>91931</v>
      </c>
      <c r="B1231" s="644">
        <v>91931</v>
      </c>
      <c r="C1231" s="645" t="s">
        <v>670</v>
      </c>
      <c r="D1231" s="422" t="s">
        <v>1082</v>
      </c>
      <c r="E1231" s="423"/>
      <c r="F1231" s="424"/>
      <c r="G1231" s="425"/>
      <c r="H1231" s="651"/>
      <c r="I1231" s="420">
        <v>10.3</v>
      </c>
      <c r="J1231" s="420">
        <f t="shared" si="315"/>
        <v>10.3</v>
      </c>
      <c r="K1231" s="421">
        <f t="shared" si="325"/>
        <v>12.24</v>
      </c>
      <c r="L1231" s="647" t="s">
        <v>79</v>
      </c>
      <c r="M1231" s="576"/>
      <c r="N1231" s="576">
        <f t="shared" si="317"/>
        <v>0</v>
      </c>
      <c r="O1231" s="577">
        <f t="shared" si="322"/>
        <v>0</v>
      </c>
      <c r="P1231" s="578">
        <f t="shared" si="323"/>
        <v>0</v>
      </c>
      <c r="Q1231" s="765"/>
      <c r="R1231" s="576">
        <f t="shared" si="319"/>
        <v>0</v>
      </c>
      <c r="S1231" s="576">
        <f t="shared" si="319"/>
        <v>0</v>
      </c>
      <c r="T1231" s="577">
        <f t="shared" si="320"/>
        <v>0</v>
      </c>
      <c r="U1231" s="578">
        <f t="shared" si="321"/>
        <v>0</v>
      </c>
      <c r="V1231" s="579"/>
      <c r="W1231" s="566"/>
      <c r="X1231" s="586" t="str">
        <f t="shared" si="324"/>
        <v/>
      </c>
      <c r="Y1231" s="586" t="str">
        <f t="shared" si="318"/>
        <v/>
      </c>
      <c r="Z1231" s="586" t="str">
        <f t="shared" si="316"/>
        <v/>
      </c>
    </row>
    <row r="1232" spans="1:26" ht="23.25" hidden="1" thickBot="1" x14ac:dyDescent="0.25">
      <c r="A1232" s="567">
        <v>91933</v>
      </c>
      <c r="B1232" s="644">
        <v>91933</v>
      </c>
      <c r="C1232" s="645" t="s">
        <v>670</v>
      </c>
      <c r="D1232" s="422" t="s">
        <v>1083</v>
      </c>
      <c r="E1232" s="423"/>
      <c r="F1232" s="424"/>
      <c r="G1232" s="425"/>
      <c r="H1232" s="651"/>
      <c r="I1232" s="420">
        <v>16.13</v>
      </c>
      <c r="J1232" s="420">
        <f t="shared" si="315"/>
        <v>16.13</v>
      </c>
      <c r="K1232" s="421">
        <f t="shared" si="325"/>
        <v>19.16</v>
      </c>
      <c r="L1232" s="647" t="s">
        <v>79</v>
      </c>
      <c r="M1232" s="576"/>
      <c r="N1232" s="576">
        <f t="shared" si="317"/>
        <v>0</v>
      </c>
      <c r="O1232" s="577">
        <f t="shared" si="322"/>
        <v>0</v>
      </c>
      <c r="P1232" s="578">
        <f t="shared" si="323"/>
        <v>0</v>
      </c>
      <c r="Q1232" s="765"/>
      <c r="R1232" s="576">
        <f t="shared" si="319"/>
        <v>0</v>
      </c>
      <c r="S1232" s="576">
        <f t="shared" si="319"/>
        <v>0</v>
      </c>
      <c r="T1232" s="577">
        <f t="shared" si="320"/>
        <v>0</v>
      </c>
      <c r="U1232" s="578">
        <f t="shared" si="321"/>
        <v>0</v>
      </c>
      <c r="V1232" s="579"/>
      <c r="W1232" s="566"/>
      <c r="X1232" s="586" t="str">
        <f t="shared" si="324"/>
        <v/>
      </c>
      <c r="Y1232" s="586" t="str">
        <f t="shared" si="318"/>
        <v/>
      </c>
      <c r="Z1232" s="586" t="str">
        <f t="shared" si="316"/>
        <v/>
      </c>
    </row>
    <row r="1233" spans="1:26" ht="23.25" hidden="1" thickBot="1" x14ac:dyDescent="0.25">
      <c r="A1233" s="567">
        <v>91935</v>
      </c>
      <c r="B1233" s="644">
        <v>91935</v>
      </c>
      <c r="C1233" s="645" t="s">
        <v>670</v>
      </c>
      <c r="D1233" s="422" t="s">
        <v>1084</v>
      </c>
      <c r="E1233" s="423"/>
      <c r="F1233" s="424"/>
      <c r="G1233" s="425"/>
      <c r="H1233" s="651"/>
      <c r="I1233" s="420">
        <v>24.55</v>
      </c>
      <c r="J1233" s="420">
        <f t="shared" si="315"/>
        <v>24.55</v>
      </c>
      <c r="K1233" s="421">
        <f t="shared" si="325"/>
        <v>29.17</v>
      </c>
      <c r="L1233" s="647" t="s">
        <v>79</v>
      </c>
      <c r="M1233" s="576"/>
      <c r="N1233" s="576">
        <f t="shared" si="317"/>
        <v>0</v>
      </c>
      <c r="O1233" s="577">
        <f t="shared" si="322"/>
        <v>0</v>
      </c>
      <c r="P1233" s="578">
        <f t="shared" si="323"/>
        <v>0</v>
      </c>
      <c r="Q1233" s="765"/>
      <c r="R1233" s="576">
        <f t="shared" si="319"/>
        <v>0</v>
      </c>
      <c r="S1233" s="576">
        <f t="shared" si="319"/>
        <v>0</v>
      </c>
      <c r="T1233" s="577">
        <f t="shared" si="320"/>
        <v>0</v>
      </c>
      <c r="U1233" s="578">
        <f t="shared" si="321"/>
        <v>0</v>
      </c>
      <c r="V1233" s="579"/>
      <c r="W1233" s="566"/>
      <c r="X1233" s="586" t="str">
        <f t="shared" si="324"/>
        <v/>
      </c>
      <c r="Y1233" s="586" t="str">
        <f t="shared" si="318"/>
        <v/>
      </c>
      <c r="Z1233" s="586" t="str">
        <f t="shared" si="316"/>
        <v/>
      </c>
    </row>
    <row r="1234" spans="1:26" ht="23.25" hidden="1" thickBot="1" x14ac:dyDescent="0.25">
      <c r="A1234" s="567">
        <v>92980</v>
      </c>
      <c r="B1234" s="644">
        <v>92980</v>
      </c>
      <c r="C1234" s="645" t="s">
        <v>670</v>
      </c>
      <c r="D1234" s="422" t="s">
        <v>1085</v>
      </c>
      <c r="E1234" s="423"/>
      <c r="F1234" s="424"/>
      <c r="G1234" s="425"/>
      <c r="H1234" s="651"/>
      <c r="I1234" s="420">
        <v>10.93</v>
      </c>
      <c r="J1234" s="420">
        <f t="shared" si="315"/>
        <v>10.93</v>
      </c>
      <c r="K1234" s="421">
        <f t="shared" si="325"/>
        <v>12.99</v>
      </c>
      <c r="L1234" s="647" t="s">
        <v>79</v>
      </c>
      <c r="M1234" s="576"/>
      <c r="N1234" s="576">
        <f t="shared" si="317"/>
        <v>0</v>
      </c>
      <c r="O1234" s="577">
        <f t="shared" si="322"/>
        <v>0</v>
      </c>
      <c r="P1234" s="578">
        <f t="shared" si="323"/>
        <v>0</v>
      </c>
      <c r="Q1234" s="765"/>
      <c r="R1234" s="576">
        <f t="shared" si="319"/>
        <v>0</v>
      </c>
      <c r="S1234" s="576">
        <f t="shared" si="319"/>
        <v>0</v>
      </c>
      <c r="T1234" s="577">
        <f t="shared" si="320"/>
        <v>0</v>
      </c>
      <c r="U1234" s="578">
        <f t="shared" si="321"/>
        <v>0</v>
      </c>
      <c r="V1234" s="579"/>
      <c r="W1234" s="566"/>
      <c r="X1234" s="586" t="str">
        <f t="shared" si="324"/>
        <v/>
      </c>
      <c r="Y1234" s="586" t="str">
        <f t="shared" si="318"/>
        <v/>
      </c>
      <c r="Z1234" s="586" t="str">
        <f t="shared" si="316"/>
        <v/>
      </c>
    </row>
    <row r="1235" spans="1:26" ht="23.25" hidden="1" thickBot="1" x14ac:dyDescent="0.25">
      <c r="A1235" s="567">
        <v>92982</v>
      </c>
      <c r="B1235" s="644">
        <v>92982</v>
      </c>
      <c r="C1235" s="645" t="s">
        <v>670</v>
      </c>
      <c r="D1235" s="422" t="s">
        <v>1086</v>
      </c>
      <c r="E1235" s="423"/>
      <c r="F1235" s="424"/>
      <c r="G1235" s="425"/>
      <c r="H1235" s="651"/>
      <c r="I1235" s="420">
        <v>16.690000000000001</v>
      </c>
      <c r="J1235" s="420">
        <f t="shared" ref="J1235:J1298" si="326">IF(ISBLANK(I1235),"",SUM(H1235:I1235))</f>
        <v>16.690000000000001</v>
      </c>
      <c r="K1235" s="421">
        <f t="shared" si="325"/>
        <v>19.829999999999998</v>
      </c>
      <c r="L1235" s="647" t="s">
        <v>79</v>
      </c>
      <c r="M1235" s="576"/>
      <c r="N1235" s="576">
        <f t="shared" si="317"/>
        <v>0</v>
      </c>
      <c r="O1235" s="577">
        <f t="shared" si="322"/>
        <v>0</v>
      </c>
      <c r="P1235" s="578">
        <f t="shared" si="323"/>
        <v>0</v>
      </c>
      <c r="Q1235" s="765"/>
      <c r="R1235" s="576">
        <f t="shared" si="319"/>
        <v>0</v>
      </c>
      <c r="S1235" s="576">
        <f t="shared" si="319"/>
        <v>0</v>
      </c>
      <c r="T1235" s="577">
        <f t="shared" si="320"/>
        <v>0</v>
      </c>
      <c r="U1235" s="578">
        <f t="shared" si="321"/>
        <v>0</v>
      </c>
      <c r="V1235" s="579"/>
      <c r="W1235" s="566"/>
      <c r="X1235" s="586" t="str">
        <f t="shared" si="324"/>
        <v/>
      </c>
      <c r="Y1235" s="586" t="str">
        <f t="shared" si="318"/>
        <v/>
      </c>
      <c r="Z1235" s="586" t="str">
        <f t="shared" ref="Z1235:Z1298" si="327">IF(W1235="X","x",IF(U1235&gt;0,"x",""))</f>
        <v/>
      </c>
    </row>
    <row r="1236" spans="1:26" ht="23.25" hidden="1" thickBot="1" x14ac:dyDescent="0.25">
      <c r="A1236" s="567">
        <v>92984</v>
      </c>
      <c r="B1236" s="644">
        <v>92984</v>
      </c>
      <c r="C1236" s="645" t="s">
        <v>670</v>
      </c>
      <c r="D1236" s="422" t="s">
        <v>1087</v>
      </c>
      <c r="E1236" s="423"/>
      <c r="F1236" s="424"/>
      <c r="G1236" s="425"/>
      <c r="H1236" s="651"/>
      <c r="I1236" s="420">
        <v>27.25</v>
      </c>
      <c r="J1236" s="420">
        <f t="shared" si="326"/>
        <v>27.25</v>
      </c>
      <c r="K1236" s="421">
        <f t="shared" si="325"/>
        <v>32.380000000000003</v>
      </c>
      <c r="L1236" s="647" t="s">
        <v>79</v>
      </c>
      <c r="M1236" s="576"/>
      <c r="N1236" s="576">
        <f t="shared" ref="N1236:N1299" si="328">IF(M1236=0,0,K1236)</f>
        <v>0</v>
      </c>
      <c r="O1236" s="577">
        <f t="shared" si="322"/>
        <v>0</v>
      </c>
      <c r="P1236" s="578">
        <f t="shared" si="323"/>
        <v>0</v>
      </c>
      <c r="Q1236" s="765"/>
      <c r="R1236" s="576">
        <f t="shared" si="319"/>
        <v>0</v>
      </c>
      <c r="S1236" s="576">
        <f t="shared" si="319"/>
        <v>0</v>
      </c>
      <c r="T1236" s="577">
        <f t="shared" si="320"/>
        <v>0</v>
      </c>
      <c r="U1236" s="578">
        <f t="shared" si="321"/>
        <v>0</v>
      </c>
      <c r="V1236" s="579"/>
      <c r="W1236" s="566"/>
      <c r="X1236" s="586" t="str">
        <f t="shared" si="324"/>
        <v/>
      </c>
      <c r="Y1236" s="586" t="str">
        <f t="shared" si="318"/>
        <v/>
      </c>
      <c r="Z1236" s="586" t="str">
        <f t="shared" si="327"/>
        <v/>
      </c>
    </row>
    <row r="1237" spans="1:26" ht="23.25" hidden="1" thickBot="1" x14ac:dyDescent="0.25">
      <c r="A1237" s="567">
        <v>92986</v>
      </c>
      <c r="B1237" s="644">
        <v>92986</v>
      </c>
      <c r="C1237" s="645" t="s">
        <v>670</v>
      </c>
      <c r="D1237" s="422" t="s">
        <v>1088</v>
      </c>
      <c r="E1237" s="423"/>
      <c r="F1237" s="424"/>
      <c r="G1237" s="425"/>
      <c r="H1237" s="651"/>
      <c r="I1237" s="420">
        <v>36.799999999999997</v>
      </c>
      <c r="J1237" s="420">
        <f t="shared" si="326"/>
        <v>36.799999999999997</v>
      </c>
      <c r="K1237" s="421">
        <f t="shared" si="325"/>
        <v>43.72</v>
      </c>
      <c r="L1237" s="647" t="s">
        <v>79</v>
      </c>
      <c r="M1237" s="576"/>
      <c r="N1237" s="576">
        <f t="shared" si="328"/>
        <v>0</v>
      </c>
      <c r="O1237" s="577">
        <f t="shared" si="322"/>
        <v>0</v>
      </c>
      <c r="P1237" s="578">
        <f t="shared" si="323"/>
        <v>0</v>
      </c>
      <c r="Q1237" s="765"/>
      <c r="R1237" s="576">
        <f t="shared" si="319"/>
        <v>0</v>
      </c>
      <c r="S1237" s="576">
        <f t="shared" si="319"/>
        <v>0</v>
      </c>
      <c r="T1237" s="577">
        <f t="shared" si="320"/>
        <v>0</v>
      </c>
      <c r="U1237" s="578">
        <f t="shared" si="321"/>
        <v>0</v>
      </c>
      <c r="V1237" s="579"/>
      <c r="W1237" s="566"/>
      <c r="X1237" s="586" t="str">
        <f t="shared" si="324"/>
        <v/>
      </c>
      <c r="Y1237" s="586" t="str">
        <f t="shared" si="318"/>
        <v/>
      </c>
      <c r="Z1237" s="586" t="str">
        <f t="shared" si="327"/>
        <v/>
      </c>
    </row>
    <row r="1238" spans="1:26" ht="23.25" hidden="1" thickBot="1" x14ac:dyDescent="0.25">
      <c r="A1238" s="567">
        <v>92988</v>
      </c>
      <c r="B1238" s="644">
        <v>92988</v>
      </c>
      <c r="C1238" s="645" t="s">
        <v>670</v>
      </c>
      <c r="D1238" s="422" t="s">
        <v>1089</v>
      </c>
      <c r="E1238" s="423"/>
      <c r="F1238" s="424"/>
      <c r="G1238" s="425"/>
      <c r="H1238" s="651"/>
      <c r="I1238" s="420">
        <v>51.6</v>
      </c>
      <c r="J1238" s="420">
        <f t="shared" si="326"/>
        <v>51.6</v>
      </c>
      <c r="K1238" s="421">
        <f t="shared" si="325"/>
        <v>61.31</v>
      </c>
      <c r="L1238" s="647" t="s">
        <v>79</v>
      </c>
      <c r="M1238" s="576"/>
      <c r="N1238" s="576">
        <f t="shared" si="328"/>
        <v>0</v>
      </c>
      <c r="O1238" s="577">
        <f t="shared" si="322"/>
        <v>0</v>
      </c>
      <c r="P1238" s="578">
        <f t="shared" si="323"/>
        <v>0</v>
      </c>
      <c r="Q1238" s="765"/>
      <c r="R1238" s="576">
        <f t="shared" si="319"/>
        <v>0</v>
      </c>
      <c r="S1238" s="576">
        <f t="shared" si="319"/>
        <v>0</v>
      </c>
      <c r="T1238" s="577">
        <f t="shared" si="320"/>
        <v>0</v>
      </c>
      <c r="U1238" s="578">
        <f t="shared" si="321"/>
        <v>0</v>
      </c>
      <c r="V1238" s="579"/>
      <c r="W1238" s="566"/>
      <c r="X1238" s="586" t="str">
        <f t="shared" si="324"/>
        <v/>
      </c>
      <c r="Y1238" s="586" t="str">
        <f t="shared" si="318"/>
        <v/>
      </c>
      <c r="Z1238" s="586" t="str">
        <f t="shared" si="327"/>
        <v/>
      </c>
    </row>
    <row r="1239" spans="1:26" ht="23.25" hidden="1" thickBot="1" x14ac:dyDescent="0.25">
      <c r="A1239" s="567">
        <v>92990</v>
      </c>
      <c r="B1239" s="644">
        <v>92990</v>
      </c>
      <c r="C1239" s="645" t="s">
        <v>670</v>
      </c>
      <c r="D1239" s="422" t="s">
        <v>1090</v>
      </c>
      <c r="E1239" s="423"/>
      <c r="F1239" s="424"/>
      <c r="G1239" s="425"/>
      <c r="H1239" s="651"/>
      <c r="I1239" s="420">
        <v>70.7</v>
      </c>
      <c r="J1239" s="420">
        <f t="shared" si="326"/>
        <v>70.7</v>
      </c>
      <c r="K1239" s="421">
        <f t="shared" si="325"/>
        <v>84</v>
      </c>
      <c r="L1239" s="647" t="s">
        <v>79</v>
      </c>
      <c r="M1239" s="576"/>
      <c r="N1239" s="576">
        <f t="shared" si="328"/>
        <v>0</v>
      </c>
      <c r="O1239" s="577">
        <f t="shared" si="322"/>
        <v>0</v>
      </c>
      <c r="P1239" s="578">
        <f t="shared" si="323"/>
        <v>0</v>
      </c>
      <c r="Q1239" s="765"/>
      <c r="R1239" s="576">
        <f t="shared" si="319"/>
        <v>0</v>
      </c>
      <c r="S1239" s="576">
        <f t="shared" si="319"/>
        <v>0</v>
      </c>
      <c r="T1239" s="577">
        <f t="shared" si="320"/>
        <v>0</v>
      </c>
      <c r="U1239" s="578">
        <f t="shared" si="321"/>
        <v>0</v>
      </c>
      <c r="V1239" s="579"/>
      <c r="W1239" s="566"/>
      <c r="X1239" s="586" t="str">
        <f t="shared" si="324"/>
        <v/>
      </c>
      <c r="Y1239" s="586" t="str">
        <f t="shared" si="318"/>
        <v/>
      </c>
      <c r="Z1239" s="586" t="str">
        <f t="shared" si="327"/>
        <v/>
      </c>
    </row>
    <row r="1240" spans="1:26" ht="23.25" hidden="1" thickBot="1" x14ac:dyDescent="0.25">
      <c r="A1240" s="567">
        <v>92992</v>
      </c>
      <c r="B1240" s="644">
        <v>92992</v>
      </c>
      <c r="C1240" s="645" t="s">
        <v>670</v>
      </c>
      <c r="D1240" s="422" t="s">
        <v>1091</v>
      </c>
      <c r="E1240" s="423"/>
      <c r="F1240" s="424"/>
      <c r="G1240" s="425"/>
      <c r="H1240" s="651"/>
      <c r="I1240" s="420">
        <v>93.34</v>
      </c>
      <c r="J1240" s="420">
        <f t="shared" si="326"/>
        <v>93.34</v>
      </c>
      <c r="K1240" s="421">
        <f t="shared" si="325"/>
        <v>110.9</v>
      </c>
      <c r="L1240" s="647" t="s">
        <v>79</v>
      </c>
      <c r="M1240" s="576"/>
      <c r="N1240" s="576">
        <f t="shared" si="328"/>
        <v>0</v>
      </c>
      <c r="O1240" s="577">
        <f t="shared" si="322"/>
        <v>0</v>
      </c>
      <c r="P1240" s="578">
        <f t="shared" si="323"/>
        <v>0</v>
      </c>
      <c r="Q1240" s="765"/>
      <c r="R1240" s="576">
        <f t="shared" si="319"/>
        <v>0</v>
      </c>
      <c r="S1240" s="576">
        <f t="shared" si="319"/>
        <v>0</v>
      </c>
      <c r="T1240" s="577">
        <f t="shared" si="320"/>
        <v>0</v>
      </c>
      <c r="U1240" s="578">
        <f t="shared" si="321"/>
        <v>0</v>
      </c>
      <c r="V1240" s="579"/>
      <c r="W1240" s="566"/>
      <c r="X1240" s="586" t="str">
        <f t="shared" si="324"/>
        <v/>
      </c>
      <c r="Y1240" s="586" t="str">
        <f t="shared" si="318"/>
        <v/>
      </c>
      <c r="Z1240" s="586" t="str">
        <f t="shared" si="327"/>
        <v/>
      </c>
    </row>
    <row r="1241" spans="1:26" ht="23.25" hidden="1" thickBot="1" x14ac:dyDescent="0.25">
      <c r="A1241" s="567">
        <v>92994</v>
      </c>
      <c r="B1241" s="644">
        <v>92994</v>
      </c>
      <c r="C1241" s="645" t="s">
        <v>670</v>
      </c>
      <c r="D1241" s="422" t="s">
        <v>1092</v>
      </c>
      <c r="E1241" s="423"/>
      <c r="F1241" s="424"/>
      <c r="G1241" s="425"/>
      <c r="H1241" s="651"/>
      <c r="I1241" s="420">
        <v>120.71</v>
      </c>
      <c r="J1241" s="420">
        <f t="shared" si="326"/>
        <v>120.71</v>
      </c>
      <c r="K1241" s="421">
        <f t="shared" si="325"/>
        <v>143.41999999999999</v>
      </c>
      <c r="L1241" s="647" t="s">
        <v>79</v>
      </c>
      <c r="M1241" s="576"/>
      <c r="N1241" s="576">
        <f t="shared" si="328"/>
        <v>0</v>
      </c>
      <c r="O1241" s="577">
        <f t="shared" si="322"/>
        <v>0</v>
      </c>
      <c r="P1241" s="578">
        <f t="shared" si="323"/>
        <v>0</v>
      </c>
      <c r="Q1241" s="765"/>
      <c r="R1241" s="576">
        <f t="shared" si="319"/>
        <v>0</v>
      </c>
      <c r="S1241" s="576">
        <f t="shared" si="319"/>
        <v>0</v>
      </c>
      <c r="T1241" s="577">
        <f t="shared" si="320"/>
        <v>0</v>
      </c>
      <c r="U1241" s="578">
        <f t="shared" si="321"/>
        <v>0</v>
      </c>
      <c r="V1241" s="579"/>
      <c r="W1241" s="566"/>
      <c r="X1241" s="586" t="str">
        <f t="shared" si="324"/>
        <v/>
      </c>
      <c r="Y1241" s="586" t="str">
        <f t="shared" si="318"/>
        <v/>
      </c>
      <c r="Z1241" s="586" t="str">
        <f t="shared" si="327"/>
        <v/>
      </c>
    </row>
    <row r="1242" spans="1:26" ht="23.25" hidden="1" thickBot="1" x14ac:dyDescent="0.25">
      <c r="A1242" s="567">
        <v>92996</v>
      </c>
      <c r="B1242" s="644">
        <v>92996</v>
      </c>
      <c r="C1242" s="645" t="s">
        <v>670</v>
      </c>
      <c r="D1242" s="422" t="s">
        <v>1093</v>
      </c>
      <c r="E1242" s="423"/>
      <c r="F1242" s="424"/>
      <c r="G1242" s="425"/>
      <c r="H1242" s="651"/>
      <c r="I1242" s="420">
        <v>149.13999999999999</v>
      </c>
      <c r="J1242" s="420">
        <f t="shared" si="326"/>
        <v>149.13999999999999</v>
      </c>
      <c r="K1242" s="421">
        <f t="shared" si="325"/>
        <v>177.19</v>
      </c>
      <c r="L1242" s="647" t="s">
        <v>79</v>
      </c>
      <c r="M1242" s="576"/>
      <c r="N1242" s="576">
        <f t="shared" si="328"/>
        <v>0</v>
      </c>
      <c r="O1242" s="577">
        <f t="shared" si="322"/>
        <v>0</v>
      </c>
      <c r="P1242" s="578">
        <f t="shared" si="323"/>
        <v>0</v>
      </c>
      <c r="Q1242" s="765"/>
      <c r="R1242" s="576">
        <f t="shared" si="319"/>
        <v>0</v>
      </c>
      <c r="S1242" s="576">
        <f t="shared" si="319"/>
        <v>0</v>
      </c>
      <c r="T1242" s="577">
        <f t="shared" si="320"/>
        <v>0</v>
      </c>
      <c r="U1242" s="578">
        <f t="shared" si="321"/>
        <v>0</v>
      </c>
      <c r="V1242" s="579"/>
      <c r="W1242" s="566"/>
      <c r="X1242" s="586" t="str">
        <f t="shared" si="324"/>
        <v/>
      </c>
      <c r="Y1242" s="586" t="str">
        <f t="shared" si="318"/>
        <v/>
      </c>
      <c r="Z1242" s="586" t="str">
        <f t="shared" si="327"/>
        <v/>
      </c>
    </row>
    <row r="1243" spans="1:26" ht="23.25" hidden="1" thickBot="1" x14ac:dyDescent="0.25">
      <c r="A1243" s="567">
        <v>92998</v>
      </c>
      <c r="B1243" s="644">
        <v>92998</v>
      </c>
      <c r="C1243" s="645" t="s">
        <v>670</v>
      </c>
      <c r="D1243" s="422" t="s">
        <v>1094</v>
      </c>
      <c r="E1243" s="423"/>
      <c r="F1243" s="424"/>
      <c r="G1243" s="425"/>
      <c r="H1243" s="651"/>
      <c r="I1243" s="420">
        <v>182.4</v>
      </c>
      <c r="J1243" s="420">
        <f t="shared" si="326"/>
        <v>182.4</v>
      </c>
      <c r="K1243" s="421">
        <f t="shared" si="325"/>
        <v>216.71</v>
      </c>
      <c r="L1243" s="647" t="s">
        <v>79</v>
      </c>
      <c r="M1243" s="576"/>
      <c r="N1243" s="576">
        <f t="shared" si="328"/>
        <v>0</v>
      </c>
      <c r="O1243" s="577">
        <f t="shared" si="322"/>
        <v>0</v>
      </c>
      <c r="P1243" s="578">
        <f t="shared" si="323"/>
        <v>0</v>
      </c>
      <c r="Q1243" s="765"/>
      <c r="R1243" s="576">
        <f t="shared" si="319"/>
        <v>0</v>
      </c>
      <c r="S1243" s="576">
        <f t="shared" si="319"/>
        <v>0</v>
      </c>
      <c r="T1243" s="577">
        <f t="shared" si="320"/>
        <v>0</v>
      </c>
      <c r="U1243" s="578">
        <f t="shared" si="321"/>
        <v>0</v>
      </c>
      <c r="V1243" s="579"/>
      <c r="W1243" s="566"/>
      <c r="X1243" s="586" t="str">
        <f t="shared" si="324"/>
        <v/>
      </c>
      <c r="Y1243" s="586" t="str">
        <f t="shared" si="318"/>
        <v/>
      </c>
      <c r="Z1243" s="586" t="str">
        <f t="shared" si="327"/>
        <v/>
      </c>
    </row>
    <row r="1244" spans="1:26" ht="23.25" hidden="1" thickBot="1" x14ac:dyDescent="0.25">
      <c r="A1244" s="567">
        <v>93000</v>
      </c>
      <c r="B1244" s="644">
        <v>93000</v>
      </c>
      <c r="C1244" s="645" t="s">
        <v>670</v>
      </c>
      <c r="D1244" s="422" t="s">
        <v>1095</v>
      </c>
      <c r="E1244" s="423"/>
      <c r="F1244" s="424"/>
      <c r="G1244" s="425"/>
      <c r="H1244" s="651"/>
      <c r="I1244" s="420">
        <v>239.37</v>
      </c>
      <c r="J1244" s="420">
        <f t="shared" si="326"/>
        <v>239.37</v>
      </c>
      <c r="K1244" s="421">
        <f t="shared" si="325"/>
        <v>284.39999999999998</v>
      </c>
      <c r="L1244" s="647" t="s">
        <v>79</v>
      </c>
      <c r="M1244" s="576"/>
      <c r="N1244" s="576">
        <f t="shared" si="328"/>
        <v>0</v>
      </c>
      <c r="O1244" s="577">
        <f t="shared" si="322"/>
        <v>0</v>
      </c>
      <c r="P1244" s="578">
        <f t="shared" si="323"/>
        <v>0</v>
      </c>
      <c r="Q1244" s="765"/>
      <c r="R1244" s="576">
        <f t="shared" si="319"/>
        <v>0</v>
      </c>
      <c r="S1244" s="576">
        <f t="shared" si="319"/>
        <v>0</v>
      </c>
      <c r="T1244" s="577">
        <f t="shared" si="320"/>
        <v>0</v>
      </c>
      <c r="U1244" s="578">
        <f t="shared" si="321"/>
        <v>0</v>
      </c>
      <c r="V1244" s="579"/>
      <c r="W1244" s="566"/>
      <c r="X1244" s="586" t="str">
        <f t="shared" si="324"/>
        <v/>
      </c>
      <c r="Y1244" s="586" t="str">
        <f t="shared" si="318"/>
        <v/>
      </c>
      <c r="Z1244" s="586" t="str">
        <f t="shared" si="327"/>
        <v/>
      </c>
    </row>
    <row r="1245" spans="1:26" ht="23.25" hidden="1" thickBot="1" x14ac:dyDescent="0.25">
      <c r="A1245" s="567">
        <v>93002</v>
      </c>
      <c r="B1245" s="644">
        <v>93002</v>
      </c>
      <c r="C1245" s="645" t="s">
        <v>670</v>
      </c>
      <c r="D1245" s="422" t="s">
        <v>1096</v>
      </c>
      <c r="E1245" s="423"/>
      <c r="F1245" s="424"/>
      <c r="G1245" s="425"/>
      <c r="H1245" s="651"/>
      <c r="I1245" s="420">
        <v>299.02999999999997</v>
      </c>
      <c r="J1245" s="420">
        <f t="shared" si="326"/>
        <v>299.02999999999997</v>
      </c>
      <c r="K1245" s="421">
        <f t="shared" si="325"/>
        <v>355.28</v>
      </c>
      <c r="L1245" s="647" t="s">
        <v>79</v>
      </c>
      <c r="M1245" s="576"/>
      <c r="N1245" s="576">
        <f t="shared" si="328"/>
        <v>0</v>
      </c>
      <c r="O1245" s="577">
        <f t="shared" si="322"/>
        <v>0</v>
      </c>
      <c r="P1245" s="578">
        <f t="shared" si="323"/>
        <v>0</v>
      </c>
      <c r="Q1245" s="765"/>
      <c r="R1245" s="576">
        <f t="shared" si="319"/>
        <v>0</v>
      </c>
      <c r="S1245" s="576">
        <f t="shared" si="319"/>
        <v>0</v>
      </c>
      <c r="T1245" s="577">
        <f t="shared" si="320"/>
        <v>0</v>
      </c>
      <c r="U1245" s="578">
        <f t="shared" si="321"/>
        <v>0</v>
      </c>
      <c r="V1245" s="579"/>
      <c r="W1245" s="566"/>
      <c r="X1245" s="586" t="str">
        <f t="shared" si="324"/>
        <v/>
      </c>
      <c r="Y1245" s="586" t="str">
        <f t="shared" si="318"/>
        <v/>
      </c>
      <c r="Z1245" s="586" t="str">
        <f t="shared" si="327"/>
        <v/>
      </c>
    </row>
    <row r="1246" spans="1:26" ht="23.25" hidden="1" thickBot="1" x14ac:dyDescent="0.25">
      <c r="A1246" s="567">
        <v>101884</v>
      </c>
      <c r="B1246" s="644">
        <v>101884</v>
      </c>
      <c r="C1246" s="645" t="s">
        <v>670</v>
      </c>
      <c r="D1246" s="422" t="s">
        <v>1097</v>
      </c>
      <c r="E1246" s="423"/>
      <c r="F1246" s="424"/>
      <c r="G1246" s="425"/>
      <c r="H1246" s="651"/>
      <c r="I1246" s="420">
        <v>9.7899999999999991</v>
      </c>
      <c r="J1246" s="420">
        <f t="shared" si="326"/>
        <v>9.7899999999999991</v>
      </c>
      <c r="K1246" s="421">
        <f t="shared" si="325"/>
        <v>11.63</v>
      </c>
      <c r="L1246" s="647" t="s">
        <v>79</v>
      </c>
      <c r="M1246" s="576"/>
      <c r="N1246" s="576">
        <f t="shared" si="328"/>
        <v>0</v>
      </c>
      <c r="O1246" s="577">
        <f t="shared" si="322"/>
        <v>0</v>
      </c>
      <c r="P1246" s="578">
        <f t="shared" si="323"/>
        <v>0</v>
      </c>
      <c r="Q1246" s="765"/>
      <c r="R1246" s="576">
        <f t="shared" si="319"/>
        <v>0</v>
      </c>
      <c r="S1246" s="576">
        <f t="shared" si="319"/>
        <v>0</v>
      </c>
      <c r="T1246" s="577">
        <f t="shared" si="320"/>
        <v>0</v>
      </c>
      <c r="U1246" s="578">
        <f t="shared" si="321"/>
        <v>0</v>
      </c>
      <c r="V1246" s="579"/>
      <c r="W1246" s="566"/>
      <c r="X1246" s="586" t="str">
        <f t="shared" si="324"/>
        <v/>
      </c>
      <c r="Y1246" s="586" t="str">
        <f t="shared" si="318"/>
        <v/>
      </c>
      <c r="Z1246" s="586" t="str">
        <f t="shared" si="327"/>
        <v/>
      </c>
    </row>
    <row r="1247" spans="1:26" ht="23.25" hidden="1" thickBot="1" x14ac:dyDescent="0.25">
      <c r="A1247" s="567">
        <v>101885</v>
      </c>
      <c r="B1247" s="644">
        <v>101885</v>
      </c>
      <c r="C1247" s="645" t="s">
        <v>670</v>
      </c>
      <c r="D1247" s="422" t="s">
        <v>1098</v>
      </c>
      <c r="E1247" s="423"/>
      <c r="F1247" s="424"/>
      <c r="G1247" s="425"/>
      <c r="H1247" s="651"/>
      <c r="I1247" s="420">
        <v>10.65</v>
      </c>
      <c r="J1247" s="420">
        <f t="shared" si="326"/>
        <v>10.65</v>
      </c>
      <c r="K1247" s="421">
        <f t="shared" si="325"/>
        <v>12.65</v>
      </c>
      <c r="L1247" s="647" t="s">
        <v>79</v>
      </c>
      <c r="M1247" s="576"/>
      <c r="N1247" s="576">
        <f t="shared" si="328"/>
        <v>0</v>
      </c>
      <c r="O1247" s="577">
        <f t="shared" si="322"/>
        <v>0</v>
      </c>
      <c r="P1247" s="578">
        <f t="shared" si="323"/>
        <v>0</v>
      </c>
      <c r="Q1247" s="765"/>
      <c r="R1247" s="576">
        <f t="shared" si="319"/>
        <v>0</v>
      </c>
      <c r="S1247" s="576">
        <f t="shared" si="319"/>
        <v>0</v>
      </c>
      <c r="T1247" s="577">
        <f t="shared" si="320"/>
        <v>0</v>
      </c>
      <c r="U1247" s="578">
        <f t="shared" si="321"/>
        <v>0</v>
      </c>
      <c r="V1247" s="579"/>
      <c r="W1247" s="566"/>
      <c r="X1247" s="586" t="str">
        <f t="shared" si="324"/>
        <v/>
      </c>
      <c r="Y1247" s="586" t="str">
        <f t="shared" si="318"/>
        <v/>
      </c>
      <c r="Z1247" s="586" t="str">
        <f t="shared" si="327"/>
        <v/>
      </c>
    </row>
    <row r="1248" spans="1:26" ht="23.25" hidden="1" thickBot="1" x14ac:dyDescent="0.25">
      <c r="A1248" s="567">
        <v>101886</v>
      </c>
      <c r="B1248" s="644">
        <v>101886</v>
      </c>
      <c r="C1248" s="645" t="s">
        <v>670</v>
      </c>
      <c r="D1248" s="422" t="s">
        <v>1099</v>
      </c>
      <c r="E1248" s="423"/>
      <c r="F1248" s="424"/>
      <c r="G1248" s="425"/>
      <c r="H1248" s="651"/>
      <c r="I1248" s="420">
        <v>15.13</v>
      </c>
      <c r="J1248" s="420">
        <f t="shared" si="326"/>
        <v>15.13</v>
      </c>
      <c r="K1248" s="421">
        <f t="shared" si="325"/>
        <v>17.98</v>
      </c>
      <c r="L1248" s="647" t="s">
        <v>79</v>
      </c>
      <c r="M1248" s="576"/>
      <c r="N1248" s="576">
        <f t="shared" si="328"/>
        <v>0</v>
      </c>
      <c r="O1248" s="577">
        <f t="shared" si="322"/>
        <v>0</v>
      </c>
      <c r="P1248" s="578">
        <f t="shared" si="323"/>
        <v>0</v>
      </c>
      <c r="Q1248" s="765"/>
      <c r="R1248" s="576">
        <f t="shared" si="319"/>
        <v>0</v>
      </c>
      <c r="S1248" s="576">
        <f t="shared" si="319"/>
        <v>0</v>
      </c>
      <c r="T1248" s="577">
        <f t="shared" si="320"/>
        <v>0</v>
      </c>
      <c r="U1248" s="578">
        <f t="shared" si="321"/>
        <v>0</v>
      </c>
      <c r="V1248" s="579"/>
      <c r="W1248" s="566"/>
      <c r="X1248" s="586" t="str">
        <f t="shared" si="324"/>
        <v/>
      </c>
      <c r="Y1248" s="586" t="str">
        <f t="shared" si="318"/>
        <v/>
      </c>
      <c r="Z1248" s="586" t="str">
        <f t="shared" si="327"/>
        <v/>
      </c>
    </row>
    <row r="1249" spans="1:26" ht="23.25" hidden="1" thickBot="1" x14ac:dyDescent="0.25">
      <c r="A1249" s="567">
        <v>101887</v>
      </c>
      <c r="B1249" s="644">
        <v>101887</v>
      </c>
      <c r="C1249" s="645" t="s">
        <v>670</v>
      </c>
      <c r="D1249" s="422" t="s">
        <v>1100</v>
      </c>
      <c r="E1249" s="423"/>
      <c r="F1249" s="424"/>
      <c r="G1249" s="425"/>
      <c r="H1249" s="651"/>
      <c r="I1249" s="420">
        <v>16.38</v>
      </c>
      <c r="J1249" s="420">
        <f t="shared" si="326"/>
        <v>16.38</v>
      </c>
      <c r="K1249" s="421">
        <f t="shared" si="325"/>
        <v>19.46</v>
      </c>
      <c r="L1249" s="647" t="s">
        <v>79</v>
      </c>
      <c r="M1249" s="576"/>
      <c r="N1249" s="576">
        <f t="shared" si="328"/>
        <v>0</v>
      </c>
      <c r="O1249" s="577">
        <f t="shared" si="322"/>
        <v>0</v>
      </c>
      <c r="P1249" s="578">
        <f t="shared" si="323"/>
        <v>0</v>
      </c>
      <c r="Q1249" s="765"/>
      <c r="R1249" s="576">
        <f t="shared" si="319"/>
        <v>0</v>
      </c>
      <c r="S1249" s="576">
        <f t="shared" si="319"/>
        <v>0</v>
      </c>
      <c r="T1249" s="577">
        <f t="shared" si="320"/>
        <v>0</v>
      </c>
      <c r="U1249" s="578">
        <f t="shared" si="321"/>
        <v>0</v>
      </c>
      <c r="V1249" s="579"/>
      <c r="W1249" s="566"/>
      <c r="X1249" s="586" t="str">
        <f t="shared" si="324"/>
        <v/>
      </c>
      <c r="Y1249" s="586" t="str">
        <f t="shared" si="318"/>
        <v/>
      </c>
      <c r="Z1249" s="586" t="str">
        <f t="shared" si="327"/>
        <v/>
      </c>
    </row>
    <row r="1250" spans="1:26" ht="23.25" hidden="1" thickBot="1" x14ac:dyDescent="0.25">
      <c r="A1250" s="567">
        <v>101888</v>
      </c>
      <c r="B1250" s="644">
        <v>101888</v>
      </c>
      <c r="C1250" s="645" t="s">
        <v>670</v>
      </c>
      <c r="D1250" s="422" t="s">
        <v>1101</v>
      </c>
      <c r="E1250" s="423"/>
      <c r="F1250" s="424"/>
      <c r="G1250" s="425"/>
      <c r="H1250" s="651"/>
      <c r="I1250" s="420">
        <v>24.28</v>
      </c>
      <c r="J1250" s="420">
        <f t="shared" si="326"/>
        <v>24.28</v>
      </c>
      <c r="K1250" s="421">
        <f t="shared" si="325"/>
        <v>28.85</v>
      </c>
      <c r="L1250" s="647" t="s">
        <v>79</v>
      </c>
      <c r="M1250" s="576"/>
      <c r="N1250" s="576">
        <f t="shared" si="328"/>
        <v>0</v>
      </c>
      <c r="O1250" s="577">
        <f t="shared" si="322"/>
        <v>0</v>
      </c>
      <c r="P1250" s="578">
        <f t="shared" si="323"/>
        <v>0</v>
      </c>
      <c r="Q1250" s="765"/>
      <c r="R1250" s="576">
        <f t="shared" si="319"/>
        <v>0</v>
      </c>
      <c r="S1250" s="576">
        <f t="shared" si="319"/>
        <v>0</v>
      </c>
      <c r="T1250" s="577">
        <f t="shared" si="320"/>
        <v>0</v>
      </c>
      <c r="U1250" s="578">
        <f t="shared" si="321"/>
        <v>0</v>
      </c>
      <c r="V1250" s="579"/>
      <c r="W1250" s="566"/>
      <c r="X1250" s="586" t="str">
        <f t="shared" si="324"/>
        <v/>
      </c>
      <c r="Y1250" s="586" t="str">
        <f t="shared" si="318"/>
        <v/>
      </c>
      <c r="Z1250" s="586" t="str">
        <f t="shared" si="327"/>
        <v/>
      </c>
    </row>
    <row r="1251" spans="1:26" ht="23.25" hidden="1" thickBot="1" x14ac:dyDescent="0.25">
      <c r="A1251" s="567">
        <v>101889</v>
      </c>
      <c r="B1251" s="644">
        <v>101889</v>
      </c>
      <c r="C1251" s="645" t="s">
        <v>670</v>
      </c>
      <c r="D1251" s="422" t="s">
        <v>1102</v>
      </c>
      <c r="E1251" s="423"/>
      <c r="F1251" s="424"/>
      <c r="G1251" s="425"/>
      <c r="H1251" s="651"/>
      <c r="I1251" s="420">
        <v>24.98</v>
      </c>
      <c r="J1251" s="420">
        <f t="shared" si="326"/>
        <v>24.98</v>
      </c>
      <c r="K1251" s="421">
        <f t="shared" si="325"/>
        <v>29.68</v>
      </c>
      <c r="L1251" s="647" t="s">
        <v>79</v>
      </c>
      <c r="M1251" s="576"/>
      <c r="N1251" s="576">
        <f t="shared" si="328"/>
        <v>0</v>
      </c>
      <c r="O1251" s="577">
        <f t="shared" si="322"/>
        <v>0</v>
      </c>
      <c r="P1251" s="578">
        <f t="shared" si="323"/>
        <v>0</v>
      </c>
      <c r="Q1251" s="765"/>
      <c r="R1251" s="576">
        <f t="shared" si="319"/>
        <v>0</v>
      </c>
      <c r="S1251" s="576">
        <f t="shared" si="319"/>
        <v>0</v>
      </c>
      <c r="T1251" s="577">
        <f t="shared" si="320"/>
        <v>0</v>
      </c>
      <c r="U1251" s="578">
        <f t="shared" si="321"/>
        <v>0</v>
      </c>
      <c r="V1251" s="579"/>
      <c r="W1251" s="566"/>
      <c r="X1251" s="586" t="str">
        <f t="shared" si="324"/>
        <v/>
      </c>
      <c r="Y1251" s="586" t="str">
        <f t="shared" ref="Y1251:Y1314" si="329">IF(W1251="X","x",IF(W1251="y","x",IF(W1251="xx","x",IF(U1251&gt;0,"x",""))))</f>
        <v/>
      </c>
      <c r="Z1251" s="586" t="str">
        <f t="shared" si="327"/>
        <v/>
      </c>
    </row>
    <row r="1252" spans="1:26" ht="23.25" hidden="1" thickBot="1" x14ac:dyDescent="0.25">
      <c r="A1252" s="567">
        <v>101560</v>
      </c>
      <c r="B1252" s="644">
        <v>101560</v>
      </c>
      <c r="C1252" s="645" t="s">
        <v>670</v>
      </c>
      <c r="D1252" s="422" t="s">
        <v>1103</v>
      </c>
      <c r="E1252" s="423"/>
      <c r="F1252" s="424"/>
      <c r="G1252" s="425"/>
      <c r="H1252" s="651"/>
      <c r="I1252" s="420">
        <v>10.62</v>
      </c>
      <c r="J1252" s="420">
        <f t="shared" si="326"/>
        <v>10.62</v>
      </c>
      <c r="K1252" s="421">
        <f t="shared" si="325"/>
        <v>12.62</v>
      </c>
      <c r="L1252" s="647" t="s">
        <v>79</v>
      </c>
      <c r="M1252" s="576"/>
      <c r="N1252" s="576">
        <f t="shared" si="328"/>
        <v>0</v>
      </c>
      <c r="O1252" s="577">
        <f t="shared" si="322"/>
        <v>0</v>
      </c>
      <c r="P1252" s="578">
        <f t="shared" si="323"/>
        <v>0</v>
      </c>
      <c r="Q1252" s="765"/>
      <c r="R1252" s="576">
        <f t="shared" si="319"/>
        <v>0</v>
      </c>
      <c r="S1252" s="576">
        <f t="shared" si="319"/>
        <v>0</v>
      </c>
      <c r="T1252" s="577">
        <f t="shared" si="320"/>
        <v>0</v>
      </c>
      <c r="U1252" s="578">
        <f t="shared" si="321"/>
        <v>0</v>
      </c>
      <c r="V1252" s="579"/>
      <c r="W1252" s="566"/>
      <c r="X1252" s="586" t="str">
        <f t="shared" si="324"/>
        <v/>
      </c>
      <c r="Y1252" s="586" t="str">
        <f t="shared" si="329"/>
        <v/>
      </c>
      <c r="Z1252" s="586" t="str">
        <f t="shared" si="327"/>
        <v/>
      </c>
    </row>
    <row r="1253" spans="1:26" ht="23.25" hidden="1" thickBot="1" x14ac:dyDescent="0.25">
      <c r="A1253" s="567">
        <v>101561</v>
      </c>
      <c r="B1253" s="644">
        <v>101561</v>
      </c>
      <c r="C1253" s="645" t="s">
        <v>670</v>
      </c>
      <c r="D1253" s="422" t="s">
        <v>1104</v>
      </c>
      <c r="E1253" s="423"/>
      <c r="F1253" s="424"/>
      <c r="G1253" s="425"/>
      <c r="H1253" s="651"/>
      <c r="I1253" s="420">
        <v>16.25</v>
      </c>
      <c r="J1253" s="420">
        <f t="shared" si="326"/>
        <v>16.25</v>
      </c>
      <c r="K1253" s="421">
        <f t="shared" si="325"/>
        <v>19.309999999999999</v>
      </c>
      <c r="L1253" s="647" t="s">
        <v>79</v>
      </c>
      <c r="M1253" s="576"/>
      <c r="N1253" s="576">
        <f t="shared" si="328"/>
        <v>0</v>
      </c>
      <c r="O1253" s="577">
        <f t="shared" si="322"/>
        <v>0</v>
      </c>
      <c r="P1253" s="578">
        <f t="shared" si="323"/>
        <v>0</v>
      </c>
      <c r="Q1253" s="765"/>
      <c r="R1253" s="576">
        <f t="shared" si="319"/>
        <v>0</v>
      </c>
      <c r="S1253" s="576">
        <f t="shared" si="319"/>
        <v>0</v>
      </c>
      <c r="T1253" s="577">
        <f t="shared" si="320"/>
        <v>0</v>
      </c>
      <c r="U1253" s="578">
        <f t="shared" si="321"/>
        <v>0</v>
      </c>
      <c r="V1253" s="579"/>
      <c r="W1253" s="566"/>
      <c r="X1253" s="586" t="str">
        <f t="shared" si="324"/>
        <v/>
      </c>
      <c r="Y1253" s="586" t="str">
        <f t="shared" si="329"/>
        <v/>
      </c>
      <c r="Z1253" s="586" t="str">
        <f t="shared" si="327"/>
        <v/>
      </c>
    </row>
    <row r="1254" spans="1:26" ht="23.25" hidden="1" thickBot="1" x14ac:dyDescent="0.25">
      <c r="A1254" s="567">
        <v>101562</v>
      </c>
      <c r="B1254" s="644">
        <v>101562</v>
      </c>
      <c r="C1254" s="645" t="s">
        <v>670</v>
      </c>
      <c r="D1254" s="422" t="s">
        <v>1105</v>
      </c>
      <c r="E1254" s="423"/>
      <c r="F1254" s="424"/>
      <c r="G1254" s="425"/>
      <c r="H1254" s="651"/>
      <c r="I1254" s="420">
        <v>24.7</v>
      </c>
      <c r="J1254" s="420">
        <f t="shared" si="326"/>
        <v>24.7</v>
      </c>
      <c r="K1254" s="421">
        <f t="shared" si="325"/>
        <v>29.35</v>
      </c>
      <c r="L1254" s="647" t="s">
        <v>79</v>
      </c>
      <c r="M1254" s="576"/>
      <c r="N1254" s="576">
        <f t="shared" si="328"/>
        <v>0</v>
      </c>
      <c r="O1254" s="577">
        <f t="shared" si="322"/>
        <v>0</v>
      </c>
      <c r="P1254" s="578">
        <f t="shared" si="323"/>
        <v>0</v>
      </c>
      <c r="Q1254" s="765"/>
      <c r="R1254" s="576">
        <f t="shared" si="319"/>
        <v>0</v>
      </c>
      <c r="S1254" s="576">
        <f t="shared" si="319"/>
        <v>0</v>
      </c>
      <c r="T1254" s="577">
        <f t="shared" si="320"/>
        <v>0</v>
      </c>
      <c r="U1254" s="578">
        <f t="shared" si="321"/>
        <v>0</v>
      </c>
      <c r="V1254" s="579"/>
      <c r="W1254" s="566"/>
      <c r="X1254" s="586" t="str">
        <f t="shared" si="324"/>
        <v/>
      </c>
      <c r="Y1254" s="586" t="str">
        <f t="shared" si="329"/>
        <v/>
      </c>
      <c r="Z1254" s="586" t="str">
        <f t="shared" si="327"/>
        <v/>
      </c>
    </row>
    <row r="1255" spans="1:26" ht="23.25" hidden="1" thickBot="1" x14ac:dyDescent="0.25">
      <c r="A1255" s="567">
        <v>101563</v>
      </c>
      <c r="B1255" s="644">
        <v>101563</v>
      </c>
      <c r="C1255" s="645" t="s">
        <v>670</v>
      </c>
      <c r="D1255" s="422" t="s">
        <v>1106</v>
      </c>
      <c r="E1255" s="423"/>
      <c r="F1255" s="424"/>
      <c r="G1255" s="425"/>
      <c r="H1255" s="651"/>
      <c r="I1255" s="420">
        <v>34.020000000000003</v>
      </c>
      <c r="J1255" s="420">
        <f t="shared" si="326"/>
        <v>34.020000000000003</v>
      </c>
      <c r="K1255" s="421">
        <f t="shared" si="325"/>
        <v>40.42</v>
      </c>
      <c r="L1255" s="647" t="s">
        <v>79</v>
      </c>
      <c r="M1255" s="576"/>
      <c r="N1255" s="576">
        <f t="shared" si="328"/>
        <v>0</v>
      </c>
      <c r="O1255" s="577">
        <f t="shared" si="322"/>
        <v>0</v>
      </c>
      <c r="P1255" s="578">
        <f t="shared" si="323"/>
        <v>0</v>
      </c>
      <c r="Q1255" s="765"/>
      <c r="R1255" s="576">
        <f t="shared" si="319"/>
        <v>0</v>
      </c>
      <c r="S1255" s="576">
        <f t="shared" si="319"/>
        <v>0</v>
      </c>
      <c r="T1255" s="577">
        <f t="shared" si="320"/>
        <v>0</v>
      </c>
      <c r="U1255" s="578">
        <f t="shared" si="321"/>
        <v>0</v>
      </c>
      <c r="V1255" s="579"/>
      <c r="W1255" s="566"/>
      <c r="X1255" s="586" t="str">
        <f t="shared" si="324"/>
        <v/>
      </c>
      <c r="Y1255" s="586" t="str">
        <f t="shared" si="329"/>
        <v/>
      </c>
      <c r="Z1255" s="586" t="str">
        <f t="shared" si="327"/>
        <v/>
      </c>
    </row>
    <row r="1256" spans="1:26" ht="23.25" hidden="1" thickBot="1" x14ac:dyDescent="0.25">
      <c r="A1256" s="567">
        <v>101564</v>
      </c>
      <c r="B1256" s="644">
        <v>101564</v>
      </c>
      <c r="C1256" s="645" t="s">
        <v>670</v>
      </c>
      <c r="D1256" s="422" t="s">
        <v>1107</v>
      </c>
      <c r="E1256" s="423"/>
      <c r="F1256" s="424"/>
      <c r="G1256" s="425"/>
      <c r="H1256" s="651"/>
      <c r="I1256" s="420">
        <v>48.46</v>
      </c>
      <c r="J1256" s="420">
        <f t="shared" si="326"/>
        <v>48.46</v>
      </c>
      <c r="K1256" s="421">
        <f t="shared" si="325"/>
        <v>57.58</v>
      </c>
      <c r="L1256" s="647" t="s">
        <v>79</v>
      </c>
      <c r="M1256" s="576"/>
      <c r="N1256" s="576">
        <f t="shared" si="328"/>
        <v>0</v>
      </c>
      <c r="O1256" s="577">
        <f t="shared" si="322"/>
        <v>0</v>
      </c>
      <c r="P1256" s="578">
        <f t="shared" si="323"/>
        <v>0</v>
      </c>
      <c r="Q1256" s="765"/>
      <c r="R1256" s="576">
        <f t="shared" si="319"/>
        <v>0</v>
      </c>
      <c r="S1256" s="576">
        <f t="shared" si="319"/>
        <v>0</v>
      </c>
      <c r="T1256" s="577">
        <f t="shared" si="320"/>
        <v>0</v>
      </c>
      <c r="U1256" s="578">
        <f t="shared" si="321"/>
        <v>0</v>
      </c>
      <c r="V1256" s="579"/>
      <c r="W1256" s="566"/>
      <c r="X1256" s="586" t="str">
        <f t="shared" si="324"/>
        <v/>
      </c>
      <c r="Y1256" s="586" t="str">
        <f t="shared" si="329"/>
        <v/>
      </c>
      <c r="Z1256" s="586" t="str">
        <f t="shared" si="327"/>
        <v/>
      </c>
    </row>
    <row r="1257" spans="1:26" ht="23.25" hidden="1" thickBot="1" x14ac:dyDescent="0.25">
      <c r="A1257" s="567">
        <v>101565</v>
      </c>
      <c r="B1257" s="644">
        <v>101565</v>
      </c>
      <c r="C1257" s="645" t="s">
        <v>670</v>
      </c>
      <c r="D1257" s="422" t="s">
        <v>1108</v>
      </c>
      <c r="E1257" s="423"/>
      <c r="F1257" s="424"/>
      <c r="G1257" s="425"/>
      <c r="H1257" s="651"/>
      <c r="I1257" s="420">
        <v>67.099999999999994</v>
      </c>
      <c r="J1257" s="420">
        <f t="shared" si="326"/>
        <v>67.099999999999994</v>
      </c>
      <c r="K1257" s="421">
        <f t="shared" si="325"/>
        <v>79.72</v>
      </c>
      <c r="L1257" s="647" t="s">
        <v>79</v>
      </c>
      <c r="M1257" s="576"/>
      <c r="N1257" s="576">
        <f t="shared" si="328"/>
        <v>0</v>
      </c>
      <c r="O1257" s="577">
        <f t="shared" si="322"/>
        <v>0</v>
      </c>
      <c r="P1257" s="578">
        <f t="shared" si="323"/>
        <v>0</v>
      </c>
      <c r="Q1257" s="765"/>
      <c r="R1257" s="576">
        <f t="shared" si="319"/>
        <v>0</v>
      </c>
      <c r="S1257" s="576">
        <f t="shared" si="319"/>
        <v>0</v>
      </c>
      <c r="T1257" s="577">
        <f t="shared" si="320"/>
        <v>0</v>
      </c>
      <c r="U1257" s="578">
        <f t="shared" si="321"/>
        <v>0</v>
      </c>
      <c r="V1257" s="579"/>
      <c r="W1257" s="566"/>
      <c r="X1257" s="586" t="str">
        <f t="shared" si="324"/>
        <v/>
      </c>
      <c r="Y1257" s="586" t="str">
        <f t="shared" si="329"/>
        <v/>
      </c>
      <c r="Z1257" s="586" t="str">
        <f t="shared" si="327"/>
        <v/>
      </c>
    </row>
    <row r="1258" spans="1:26" ht="23.25" hidden="1" thickBot="1" x14ac:dyDescent="0.25">
      <c r="A1258" s="567">
        <v>101567</v>
      </c>
      <c r="B1258" s="644">
        <v>101567</v>
      </c>
      <c r="C1258" s="645" t="s">
        <v>670</v>
      </c>
      <c r="D1258" s="422" t="s">
        <v>1109</v>
      </c>
      <c r="E1258" s="423"/>
      <c r="F1258" s="424"/>
      <c r="G1258" s="425"/>
      <c r="H1258" s="651"/>
      <c r="I1258" s="420">
        <v>89.12</v>
      </c>
      <c r="J1258" s="420">
        <f t="shared" si="326"/>
        <v>89.12</v>
      </c>
      <c r="K1258" s="421">
        <f t="shared" si="325"/>
        <v>105.88</v>
      </c>
      <c r="L1258" s="647" t="s">
        <v>79</v>
      </c>
      <c r="M1258" s="576"/>
      <c r="N1258" s="576">
        <f t="shared" si="328"/>
        <v>0</v>
      </c>
      <c r="O1258" s="577">
        <f t="shared" si="322"/>
        <v>0</v>
      </c>
      <c r="P1258" s="578">
        <f t="shared" si="323"/>
        <v>0</v>
      </c>
      <c r="Q1258" s="765"/>
      <c r="R1258" s="576">
        <f t="shared" ref="R1258:S1321" si="330">M1258</f>
        <v>0</v>
      </c>
      <c r="S1258" s="576">
        <f t="shared" si="330"/>
        <v>0</v>
      </c>
      <c r="T1258" s="577">
        <f t="shared" si="320"/>
        <v>0</v>
      </c>
      <c r="U1258" s="578">
        <f t="shared" si="321"/>
        <v>0</v>
      </c>
      <c r="V1258" s="579"/>
      <c r="W1258" s="566"/>
      <c r="X1258" s="586" t="str">
        <f t="shared" si="324"/>
        <v/>
      </c>
      <c r="Y1258" s="586" t="str">
        <f t="shared" si="329"/>
        <v/>
      </c>
      <c r="Z1258" s="586" t="str">
        <f t="shared" si="327"/>
        <v/>
      </c>
    </row>
    <row r="1259" spans="1:26" ht="23.25" hidden="1" thickBot="1" x14ac:dyDescent="0.25">
      <c r="A1259" s="567">
        <v>101568</v>
      </c>
      <c r="B1259" s="644">
        <v>101568</v>
      </c>
      <c r="C1259" s="645" t="s">
        <v>670</v>
      </c>
      <c r="D1259" s="422" t="s">
        <v>1110</v>
      </c>
      <c r="E1259" s="423"/>
      <c r="F1259" s="424"/>
      <c r="G1259" s="425"/>
      <c r="H1259" s="651"/>
      <c r="I1259" s="420">
        <v>115.98</v>
      </c>
      <c r="J1259" s="420">
        <f t="shared" si="326"/>
        <v>115.98</v>
      </c>
      <c r="K1259" s="421">
        <f t="shared" si="325"/>
        <v>137.80000000000001</v>
      </c>
      <c r="L1259" s="647" t="s">
        <v>79</v>
      </c>
      <c r="M1259" s="576"/>
      <c r="N1259" s="576">
        <f t="shared" si="328"/>
        <v>0</v>
      </c>
      <c r="O1259" s="577">
        <f t="shared" si="322"/>
        <v>0</v>
      </c>
      <c r="P1259" s="578">
        <f t="shared" si="323"/>
        <v>0</v>
      </c>
      <c r="Q1259" s="765"/>
      <c r="R1259" s="576">
        <f t="shared" si="330"/>
        <v>0</v>
      </c>
      <c r="S1259" s="576">
        <f t="shared" si="330"/>
        <v>0</v>
      </c>
      <c r="T1259" s="577">
        <f t="shared" si="320"/>
        <v>0</v>
      </c>
      <c r="U1259" s="578">
        <f t="shared" si="321"/>
        <v>0</v>
      </c>
      <c r="V1259" s="579"/>
      <c r="W1259" s="566"/>
      <c r="X1259" s="586" t="str">
        <f t="shared" si="324"/>
        <v/>
      </c>
      <c r="Y1259" s="586" t="str">
        <f t="shared" si="329"/>
        <v/>
      </c>
      <c r="Z1259" s="586" t="str">
        <f t="shared" si="327"/>
        <v/>
      </c>
    </row>
    <row r="1260" spans="1:26" ht="23.25" hidden="1" thickBot="1" x14ac:dyDescent="0.25">
      <c r="A1260" s="567">
        <v>95777</v>
      </c>
      <c r="B1260" s="644">
        <v>95777</v>
      </c>
      <c r="C1260" s="645" t="s">
        <v>670</v>
      </c>
      <c r="D1260" s="422" t="s">
        <v>1111</v>
      </c>
      <c r="E1260" s="423"/>
      <c r="F1260" s="424"/>
      <c r="G1260" s="425"/>
      <c r="H1260" s="651"/>
      <c r="I1260" s="420">
        <v>31.07</v>
      </c>
      <c r="J1260" s="420">
        <f t="shared" si="326"/>
        <v>31.07</v>
      </c>
      <c r="K1260" s="421">
        <f t="shared" si="325"/>
        <v>36.909999999999997</v>
      </c>
      <c r="L1260" s="647" t="s">
        <v>2065</v>
      </c>
      <c r="M1260" s="576"/>
      <c r="N1260" s="576">
        <f t="shared" si="328"/>
        <v>0</v>
      </c>
      <c r="O1260" s="577">
        <f t="shared" si="322"/>
        <v>0</v>
      </c>
      <c r="P1260" s="578">
        <f t="shared" si="323"/>
        <v>0</v>
      </c>
      <c r="Q1260" s="765"/>
      <c r="R1260" s="576">
        <f t="shared" si="330"/>
        <v>0</v>
      </c>
      <c r="S1260" s="576">
        <f t="shared" si="330"/>
        <v>0</v>
      </c>
      <c r="T1260" s="577">
        <f t="shared" si="320"/>
        <v>0</v>
      </c>
      <c r="U1260" s="578">
        <f t="shared" si="321"/>
        <v>0</v>
      </c>
      <c r="V1260" s="579"/>
      <c r="W1260" s="566"/>
      <c r="X1260" s="586" t="str">
        <f t="shared" si="324"/>
        <v/>
      </c>
      <c r="Y1260" s="586" t="str">
        <f t="shared" si="329"/>
        <v/>
      </c>
      <c r="Z1260" s="586" t="str">
        <f t="shared" si="327"/>
        <v/>
      </c>
    </row>
    <row r="1261" spans="1:26" ht="23.25" hidden="1" thickBot="1" x14ac:dyDescent="0.25">
      <c r="A1261" s="567">
        <v>95778</v>
      </c>
      <c r="B1261" s="644">
        <v>95778</v>
      </c>
      <c r="C1261" s="645" t="s">
        <v>670</v>
      </c>
      <c r="D1261" s="422" t="s">
        <v>1112</v>
      </c>
      <c r="E1261" s="423"/>
      <c r="F1261" s="424"/>
      <c r="G1261" s="425"/>
      <c r="H1261" s="651"/>
      <c r="I1261" s="420">
        <v>31.83</v>
      </c>
      <c r="J1261" s="420">
        <f t="shared" si="326"/>
        <v>31.83</v>
      </c>
      <c r="K1261" s="421">
        <f t="shared" si="325"/>
        <v>37.82</v>
      </c>
      <c r="L1261" s="647" t="s">
        <v>2065</v>
      </c>
      <c r="M1261" s="576"/>
      <c r="N1261" s="576">
        <f t="shared" si="328"/>
        <v>0</v>
      </c>
      <c r="O1261" s="577">
        <f t="shared" si="322"/>
        <v>0</v>
      </c>
      <c r="P1261" s="578">
        <f t="shared" si="323"/>
        <v>0</v>
      </c>
      <c r="Q1261" s="765"/>
      <c r="R1261" s="576">
        <f t="shared" si="330"/>
        <v>0</v>
      </c>
      <c r="S1261" s="576">
        <f t="shared" si="330"/>
        <v>0</v>
      </c>
      <c r="T1261" s="577">
        <f t="shared" si="320"/>
        <v>0</v>
      </c>
      <c r="U1261" s="578">
        <f t="shared" si="321"/>
        <v>0</v>
      </c>
      <c r="V1261" s="579"/>
      <c r="W1261" s="566"/>
      <c r="X1261" s="586" t="str">
        <f t="shared" si="324"/>
        <v/>
      </c>
      <c r="Y1261" s="586" t="str">
        <f t="shared" si="329"/>
        <v/>
      </c>
      <c r="Z1261" s="586" t="str">
        <f t="shared" si="327"/>
        <v/>
      </c>
    </row>
    <row r="1262" spans="1:26" ht="23.25" hidden="1" thickBot="1" x14ac:dyDescent="0.25">
      <c r="A1262" s="567">
        <v>95779</v>
      </c>
      <c r="B1262" s="644">
        <v>95779</v>
      </c>
      <c r="C1262" s="645" t="s">
        <v>670</v>
      </c>
      <c r="D1262" s="422" t="s">
        <v>1113</v>
      </c>
      <c r="E1262" s="423"/>
      <c r="F1262" s="424"/>
      <c r="G1262" s="425"/>
      <c r="H1262" s="651"/>
      <c r="I1262" s="420">
        <v>29.28</v>
      </c>
      <c r="J1262" s="420">
        <f t="shared" si="326"/>
        <v>29.28</v>
      </c>
      <c r="K1262" s="421">
        <f t="shared" si="325"/>
        <v>34.79</v>
      </c>
      <c r="L1262" s="647" t="s">
        <v>2065</v>
      </c>
      <c r="M1262" s="576"/>
      <c r="N1262" s="576">
        <f t="shared" si="328"/>
        <v>0</v>
      </c>
      <c r="O1262" s="577">
        <f t="shared" si="322"/>
        <v>0</v>
      </c>
      <c r="P1262" s="578">
        <f t="shared" si="323"/>
        <v>0</v>
      </c>
      <c r="Q1262" s="765"/>
      <c r="R1262" s="576">
        <f t="shared" si="330"/>
        <v>0</v>
      </c>
      <c r="S1262" s="576">
        <f t="shared" si="330"/>
        <v>0</v>
      </c>
      <c r="T1262" s="577">
        <f t="shared" si="320"/>
        <v>0</v>
      </c>
      <c r="U1262" s="578">
        <f t="shared" si="321"/>
        <v>0</v>
      </c>
      <c r="V1262" s="579"/>
      <c r="W1262" s="566"/>
      <c r="X1262" s="586" t="str">
        <f t="shared" si="324"/>
        <v/>
      </c>
      <c r="Y1262" s="586" t="str">
        <f t="shared" si="329"/>
        <v/>
      </c>
      <c r="Z1262" s="586" t="str">
        <f t="shared" si="327"/>
        <v/>
      </c>
    </row>
    <row r="1263" spans="1:26" ht="23.25" hidden="1" thickBot="1" x14ac:dyDescent="0.25">
      <c r="A1263" s="567">
        <v>95780</v>
      </c>
      <c r="B1263" s="644">
        <v>95780</v>
      </c>
      <c r="C1263" s="645" t="s">
        <v>670</v>
      </c>
      <c r="D1263" s="422" t="s">
        <v>1114</v>
      </c>
      <c r="E1263" s="423"/>
      <c r="F1263" s="424"/>
      <c r="G1263" s="425"/>
      <c r="H1263" s="651"/>
      <c r="I1263" s="420">
        <v>35.340000000000003</v>
      </c>
      <c r="J1263" s="420">
        <f t="shared" si="326"/>
        <v>35.340000000000003</v>
      </c>
      <c r="K1263" s="421">
        <f t="shared" si="325"/>
        <v>41.99</v>
      </c>
      <c r="L1263" s="647" t="s">
        <v>2065</v>
      </c>
      <c r="M1263" s="576"/>
      <c r="N1263" s="576">
        <f t="shared" si="328"/>
        <v>0</v>
      </c>
      <c r="O1263" s="577">
        <f t="shared" si="322"/>
        <v>0</v>
      </c>
      <c r="P1263" s="578">
        <f t="shared" si="323"/>
        <v>0</v>
      </c>
      <c r="Q1263" s="765"/>
      <c r="R1263" s="576">
        <f t="shared" si="330"/>
        <v>0</v>
      </c>
      <c r="S1263" s="576">
        <f t="shared" si="330"/>
        <v>0</v>
      </c>
      <c r="T1263" s="577">
        <f t="shared" si="320"/>
        <v>0</v>
      </c>
      <c r="U1263" s="578">
        <f t="shared" si="321"/>
        <v>0</v>
      </c>
      <c r="V1263" s="579"/>
      <c r="W1263" s="566"/>
      <c r="X1263" s="586" t="str">
        <f t="shared" si="324"/>
        <v/>
      </c>
      <c r="Y1263" s="586" t="str">
        <f t="shared" si="329"/>
        <v/>
      </c>
      <c r="Z1263" s="586" t="str">
        <f t="shared" si="327"/>
        <v/>
      </c>
    </row>
    <row r="1264" spans="1:26" ht="23.25" hidden="1" thickBot="1" x14ac:dyDescent="0.25">
      <c r="A1264" s="567">
        <v>95781</v>
      </c>
      <c r="B1264" s="644">
        <v>95781</v>
      </c>
      <c r="C1264" s="645" t="s">
        <v>670</v>
      </c>
      <c r="D1264" s="422" t="s">
        <v>1115</v>
      </c>
      <c r="E1264" s="423"/>
      <c r="F1264" s="424"/>
      <c r="G1264" s="425"/>
      <c r="H1264" s="651"/>
      <c r="I1264" s="420">
        <v>35.9</v>
      </c>
      <c r="J1264" s="420">
        <f t="shared" si="326"/>
        <v>35.9</v>
      </c>
      <c r="K1264" s="421">
        <f t="shared" si="325"/>
        <v>42.65</v>
      </c>
      <c r="L1264" s="647" t="s">
        <v>2065</v>
      </c>
      <c r="M1264" s="576"/>
      <c r="N1264" s="576">
        <f t="shared" si="328"/>
        <v>0</v>
      </c>
      <c r="O1264" s="577">
        <f t="shared" si="322"/>
        <v>0</v>
      </c>
      <c r="P1264" s="578">
        <f t="shared" si="323"/>
        <v>0</v>
      </c>
      <c r="Q1264" s="765"/>
      <c r="R1264" s="576">
        <f t="shared" si="330"/>
        <v>0</v>
      </c>
      <c r="S1264" s="576">
        <f t="shared" si="330"/>
        <v>0</v>
      </c>
      <c r="T1264" s="577">
        <f t="shared" si="320"/>
        <v>0</v>
      </c>
      <c r="U1264" s="578">
        <f t="shared" si="321"/>
        <v>0</v>
      </c>
      <c r="V1264" s="579"/>
      <c r="W1264" s="566"/>
      <c r="X1264" s="586" t="str">
        <f t="shared" si="324"/>
        <v/>
      </c>
      <c r="Y1264" s="586" t="str">
        <f t="shared" si="329"/>
        <v/>
      </c>
      <c r="Z1264" s="586" t="str">
        <f t="shared" si="327"/>
        <v/>
      </c>
    </row>
    <row r="1265" spans="1:26" ht="23.25" hidden="1" thickBot="1" x14ac:dyDescent="0.25">
      <c r="A1265" s="567">
        <v>95782</v>
      </c>
      <c r="B1265" s="644">
        <v>95782</v>
      </c>
      <c r="C1265" s="645" t="s">
        <v>670</v>
      </c>
      <c r="D1265" s="422" t="s">
        <v>1116</v>
      </c>
      <c r="E1265" s="423"/>
      <c r="F1265" s="424"/>
      <c r="G1265" s="425"/>
      <c r="H1265" s="651"/>
      <c r="I1265" s="420">
        <v>37.39</v>
      </c>
      <c r="J1265" s="420">
        <f t="shared" si="326"/>
        <v>37.39</v>
      </c>
      <c r="K1265" s="421">
        <f t="shared" si="325"/>
        <v>44.42</v>
      </c>
      <c r="L1265" s="647" t="s">
        <v>2065</v>
      </c>
      <c r="M1265" s="576"/>
      <c r="N1265" s="576">
        <f t="shared" si="328"/>
        <v>0</v>
      </c>
      <c r="O1265" s="577">
        <f t="shared" si="322"/>
        <v>0</v>
      </c>
      <c r="P1265" s="578">
        <f t="shared" si="323"/>
        <v>0</v>
      </c>
      <c r="Q1265" s="765"/>
      <c r="R1265" s="576">
        <f t="shared" si="330"/>
        <v>0</v>
      </c>
      <c r="S1265" s="576">
        <f t="shared" si="330"/>
        <v>0</v>
      </c>
      <c r="T1265" s="577">
        <f t="shared" si="320"/>
        <v>0</v>
      </c>
      <c r="U1265" s="578">
        <f t="shared" si="321"/>
        <v>0</v>
      </c>
      <c r="V1265" s="579"/>
      <c r="W1265" s="566"/>
      <c r="X1265" s="586" t="str">
        <f t="shared" si="324"/>
        <v/>
      </c>
      <c r="Y1265" s="586" t="str">
        <f t="shared" si="329"/>
        <v/>
      </c>
      <c r="Z1265" s="586" t="str">
        <f t="shared" si="327"/>
        <v/>
      </c>
    </row>
    <row r="1266" spans="1:26" ht="23.25" hidden="1" thickBot="1" x14ac:dyDescent="0.25">
      <c r="A1266" s="567">
        <v>95785</v>
      </c>
      <c r="B1266" s="644">
        <v>95785</v>
      </c>
      <c r="C1266" s="645" t="s">
        <v>670</v>
      </c>
      <c r="D1266" s="422" t="s">
        <v>1117</v>
      </c>
      <c r="E1266" s="423"/>
      <c r="F1266" s="424"/>
      <c r="G1266" s="425"/>
      <c r="H1266" s="651"/>
      <c r="I1266" s="420">
        <v>42.52</v>
      </c>
      <c r="J1266" s="420">
        <f t="shared" si="326"/>
        <v>42.52</v>
      </c>
      <c r="K1266" s="421">
        <f t="shared" si="325"/>
        <v>50.52</v>
      </c>
      <c r="L1266" s="647" t="s">
        <v>2065</v>
      </c>
      <c r="M1266" s="576"/>
      <c r="N1266" s="576">
        <f t="shared" si="328"/>
        <v>0</v>
      </c>
      <c r="O1266" s="577">
        <f t="shared" si="322"/>
        <v>0</v>
      </c>
      <c r="P1266" s="578">
        <f t="shared" si="323"/>
        <v>0</v>
      </c>
      <c r="Q1266" s="765"/>
      <c r="R1266" s="576">
        <f t="shared" si="330"/>
        <v>0</v>
      </c>
      <c r="S1266" s="576">
        <f t="shared" si="330"/>
        <v>0</v>
      </c>
      <c r="T1266" s="577">
        <f t="shared" si="320"/>
        <v>0</v>
      </c>
      <c r="U1266" s="578">
        <f t="shared" si="321"/>
        <v>0</v>
      </c>
      <c r="V1266" s="579"/>
      <c r="W1266" s="566"/>
      <c r="X1266" s="586" t="str">
        <f t="shared" si="324"/>
        <v/>
      </c>
      <c r="Y1266" s="586" t="str">
        <f t="shared" si="329"/>
        <v/>
      </c>
      <c r="Z1266" s="586" t="str">
        <f t="shared" si="327"/>
        <v/>
      </c>
    </row>
    <row r="1267" spans="1:26" ht="23.25" hidden="1" thickBot="1" x14ac:dyDescent="0.25">
      <c r="A1267" s="567">
        <v>95787</v>
      </c>
      <c r="B1267" s="644">
        <v>95787</v>
      </c>
      <c r="C1267" s="645" t="s">
        <v>670</v>
      </c>
      <c r="D1267" s="422" t="s">
        <v>1118</v>
      </c>
      <c r="E1267" s="423"/>
      <c r="F1267" s="424"/>
      <c r="G1267" s="425"/>
      <c r="H1267" s="651"/>
      <c r="I1267" s="420">
        <v>31.39</v>
      </c>
      <c r="J1267" s="420">
        <f t="shared" si="326"/>
        <v>31.39</v>
      </c>
      <c r="K1267" s="421">
        <f t="shared" si="325"/>
        <v>37.29</v>
      </c>
      <c r="L1267" s="647" t="s">
        <v>2065</v>
      </c>
      <c r="M1267" s="576"/>
      <c r="N1267" s="576">
        <f t="shared" si="328"/>
        <v>0</v>
      </c>
      <c r="O1267" s="577">
        <f t="shared" si="322"/>
        <v>0</v>
      </c>
      <c r="P1267" s="578">
        <f t="shared" si="323"/>
        <v>0</v>
      </c>
      <c r="Q1267" s="765"/>
      <c r="R1267" s="576">
        <f t="shared" si="330"/>
        <v>0</v>
      </c>
      <c r="S1267" s="576">
        <f t="shared" si="330"/>
        <v>0</v>
      </c>
      <c r="T1267" s="577">
        <f t="shared" si="320"/>
        <v>0</v>
      </c>
      <c r="U1267" s="578">
        <f t="shared" si="321"/>
        <v>0</v>
      </c>
      <c r="V1267" s="579"/>
      <c r="W1267" s="566"/>
      <c r="X1267" s="586" t="str">
        <f t="shared" si="324"/>
        <v/>
      </c>
      <c r="Y1267" s="586" t="str">
        <f t="shared" si="329"/>
        <v/>
      </c>
      <c r="Z1267" s="586" t="str">
        <f t="shared" si="327"/>
        <v/>
      </c>
    </row>
    <row r="1268" spans="1:26" ht="23.25" hidden="1" thickBot="1" x14ac:dyDescent="0.25">
      <c r="A1268" s="567">
        <v>95789</v>
      </c>
      <c r="B1268" s="644">
        <v>95789</v>
      </c>
      <c r="C1268" s="645" t="s">
        <v>670</v>
      </c>
      <c r="D1268" s="422" t="s">
        <v>1119</v>
      </c>
      <c r="E1268" s="423"/>
      <c r="F1268" s="424"/>
      <c r="G1268" s="425"/>
      <c r="H1268" s="651"/>
      <c r="I1268" s="420">
        <v>38.909999999999997</v>
      </c>
      <c r="J1268" s="420">
        <f t="shared" si="326"/>
        <v>38.909999999999997</v>
      </c>
      <c r="K1268" s="421">
        <f t="shared" si="325"/>
        <v>46.23</v>
      </c>
      <c r="L1268" s="647" t="s">
        <v>2065</v>
      </c>
      <c r="M1268" s="576"/>
      <c r="N1268" s="576">
        <f t="shared" si="328"/>
        <v>0</v>
      </c>
      <c r="O1268" s="577">
        <f t="shared" si="322"/>
        <v>0</v>
      </c>
      <c r="P1268" s="578">
        <f t="shared" si="323"/>
        <v>0</v>
      </c>
      <c r="Q1268" s="765"/>
      <c r="R1268" s="576">
        <f t="shared" si="330"/>
        <v>0</v>
      </c>
      <c r="S1268" s="576">
        <f t="shared" si="330"/>
        <v>0</v>
      </c>
      <c r="T1268" s="577">
        <f t="shared" ref="T1268:T1331" si="331">IF(ISBLANK(R1268),0,ROUND(K1268*R1268,2))</f>
        <v>0</v>
      </c>
      <c r="U1268" s="578">
        <f t="shared" ref="U1268:U1331" si="332">IF(ISBLANK(R1268),0,ROUND(R1268*S1268,2))</f>
        <v>0</v>
      </c>
      <c r="V1268" s="579"/>
      <c r="W1268" s="566"/>
      <c r="X1268" s="586" t="str">
        <f t="shared" si="324"/>
        <v/>
      </c>
      <c r="Y1268" s="586" t="str">
        <f t="shared" si="329"/>
        <v/>
      </c>
      <c r="Z1268" s="586" t="str">
        <f t="shared" si="327"/>
        <v/>
      </c>
    </row>
    <row r="1269" spans="1:26" ht="23.25" hidden="1" thickBot="1" x14ac:dyDescent="0.25">
      <c r="A1269" s="567">
        <v>95791</v>
      </c>
      <c r="B1269" s="644">
        <v>95791</v>
      </c>
      <c r="C1269" s="645" t="s">
        <v>670</v>
      </c>
      <c r="D1269" s="422" t="s">
        <v>1120</v>
      </c>
      <c r="E1269" s="423"/>
      <c r="F1269" s="424"/>
      <c r="G1269" s="425"/>
      <c r="H1269" s="651"/>
      <c r="I1269" s="420">
        <v>50.14</v>
      </c>
      <c r="J1269" s="420">
        <f t="shared" si="326"/>
        <v>50.14</v>
      </c>
      <c r="K1269" s="421">
        <f t="shared" si="325"/>
        <v>59.57</v>
      </c>
      <c r="L1269" s="647" t="s">
        <v>2065</v>
      </c>
      <c r="M1269" s="576"/>
      <c r="N1269" s="576">
        <f t="shared" si="328"/>
        <v>0</v>
      </c>
      <c r="O1269" s="577">
        <f t="shared" ref="O1269:O1332" si="333">IF(ISBLANK(M1269),0,ROUND(K1269*M1269,2))</f>
        <v>0</v>
      </c>
      <c r="P1269" s="578">
        <f t="shared" ref="P1269:P1332" si="334">IF(ISBLANK(N1269),0,ROUND(M1269*N1269,2))</f>
        <v>0</v>
      </c>
      <c r="Q1269" s="765"/>
      <c r="R1269" s="576">
        <f t="shared" si="330"/>
        <v>0</v>
      </c>
      <c r="S1269" s="576">
        <f t="shared" si="330"/>
        <v>0</v>
      </c>
      <c r="T1269" s="577">
        <f t="shared" si="331"/>
        <v>0</v>
      </c>
      <c r="U1269" s="578">
        <f t="shared" si="332"/>
        <v>0</v>
      </c>
      <c r="V1269" s="579"/>
      <c r="W1269" s="566"/>
      <c r="X1269" s="586" t="str">
        <f t="shared" si="324"/>
        <v/>
      </c>
      <c r="Y1269" s="586" t="str">
        <f t="shared" si="329"/>
        <v/>
      </c>
      <c r="Z1269" s="586" t="str">
        <f t="shared" si="327"/>
        <v/>
      </c>
    </row>
    <row r="1270" spans="1:26" ht="23.25" hidden="1" thickBot="1" x14ac:dyDescent="0.25">
      <c r="A1270" s="567">
        <v>95795</v>
      </c>
      <c r="B1270" s="644">
        <v>95795</v>
      </c>
      <c r="C1270" s="645" t="s">
        <v>670</v>
      </c>
      <c r="D1270" s="422" t="s">
        <v>1121</v>
      </c>
      <c r="E1270" s="423"/>
      <c r="F1270" s="424"/>
      <c r="G1270" s="425"/>
      <c r="H1270" s="651"/>
      <c r="I1270" s="420">
        <v>36.229999999999997</v>
      </c>
      <c r="J1270" s="420">
        <f t="shared" si="326"/>
        <v>36.229999999999997</v>
      </c>
      <c r="K1270" s="421">
        <f t="shared" si="325"/>
        <v>43.04</v>
      </c>
      <c r="L1270" s="647" t="s">
        <v>2065</v>
      </c>
      <c r="M1270" s="576"/>
      <c r="N1270" s="576">
        <f t="shared" si="328"/>
        <v>0</v>
      </c>
      <c r="O1270" s="577">
        <f t="shared" si="333"/>
        <v>0</v>
      </c>
      <c r="P1270" s="578">
        <f t="shared" si="334"/>
        <v>0</v>
      </c>
      <c r="Q1270" s="765"/>
      <c r="R1270" s="576">
        <f t="shared" si="330"/>
        <v>0</v>
      </c>
      <c r="S1270" s="576">
        <f t="shared" si="330"/>
        <v>0</v>
      </c>
      <c r="T1270" s="577">
        <f t="shared" si="331"/>
        <v>0</v>
      </c>
      <c r="U1270" s="578">
        <f t="shared" si="332"/>
        <v>0</v>
      </c>
      <c r="V1270" s="579"/>
      <c r="W1270" s="566"/>
      <c r="X1270" s="586" t="str">
        <f t="shared" si="324"/>
        <v/>
      </c>
      <c r="Y1270" s="586" t="str">
        <f t="shared" si="329"/>
        <v/>
      </c>
      <c r="Z1270" s="586" t="str">
        <f t="shared" si="327"/>
        <v/>
      </c>
    </row>
    <row r="1271" spans="1:26" ht="23.25" hidden="1" thickBot="1" x14ac:dyDescent="0.25">
      <c r="A1271" s="567">
        <v>95796</v>
      </c>
      <c r="B1271" s="644">
        <v>95796</v>
      </c>
      <c r="C1271" s="645" t="s">
        <v>670</v>
      </c>
      <c r="D1271" s="422" t="s">
        <v>1122</v>
      </c>
      <c r="E1271" s="423"/>
      <c r="F1271" s="424"/>
      <c r="G1271" s="425"/>
      <c r="H1271" s="651"/>
      <c r="I1271" s="420">
        <v>45.79</v>
      </c>
      <c r="J1271" s="420">
        <f t="shared" si="326"/>
        <v>45.79</v>
      </c>
      <c r="K1271" s="421">
        <f t="shared" si="325"/>
        <v>54.4</v>
      </c>
      <c r="L1271" s="647" t="s">
        <v>2065</v>
      </c>
      <c r="M1271" s="576"/>
      <c r="N1271" s="576">
        <f t="shared" si="328"/>
        <v>0</v>
      </c>
      <c r="O1271" s="577">
        <f t="shared" si="333"/>
        <v>0</v>
      </c>
      <c r="P1271" s="578">
        <f t="shared" si="334"/>
        <v>0</v>
      </c>
      <c r="Q1271" s="765"/>
      <c r="R1271" s="576">
        <f t="shared" si="330"/>
        <v>0</v>
      </c>
      <c r="S1271" s="576">
        <f t="shared" si="330"/>
        <v>0</v>
      </c>
      <c r="T1271" s="577">
        <f t="shared" si="331"/>
        <v>0</v>
      </c>
      <c r="U1271" s="578">
        <f t="shared" si="332"/>
        <v>0</v>
      </c>
      <c r="V1271" s="579"/>
      <c r="W1271" s="566"/>
      <c r="X1271" s="586" t="str">
        <f t="shared" si="324"/>
        <v/>
      </c>
      <c r="Y1271" s="586" t="str">
        <f t="shared" si="329"/>
        <v/>
      </c>
      <c r="Z1271" s="586" t="str">
        <f t="shared" si="327"/>
        <v/>
      </c>
    </row>
    <row r="1272" spans="1:26" ht="23.25" hidden="1" thickBot="1" x14ac:dyDescent="0.25">
      <c r="A1272" s="567">
        <v>95797</v>
      </c>
      <c r="B1272" s="644">
        <v>95797</v>
      </c>
      <c r="C1272" s="645" t="s">
        <v>670</v>
      </c>
      <c r="D1272" s="422" t="s">
        <v>1123</v>
      </c>
      <c r="E1272" s="423"/>
      <c r="F1272" s="424"/>
      <c r="G1272" s="425"/>
      <c r="H1272" s="651"/>
      <c r="I1272" s="420">
        <v>58.23</v>
      </c>
      <c r="J1272" s="420">
        <f t="shared" si="326"/>
        <v>58.23</v>
      </c>
      <c r="K1272" s="421">
        <f t="shared" si="325"/>
        <v>69.180000000000007</v>
      </c>
      <c r="L1272" s="647" t="s">
        <v>2065</v>
      </c>
      <c r="M1272" s="576"/>
      <c r="N1272" s="576">
        <f t="shared" si="328"/>
        <v>0</v>
      </c>
      <c r="O1272" s="577">
        <f t="shared" si="333"/>
        <v>0</v>
      </c>
      <c r="P1272" s="578">
        <f t="shared" si="334"/>
        <v>0</v>
      </c>
      <c r="Q1272" s="765"/>
      <c r="R1272" s="576">
        <f t="shared" si="330"/>
        <v>0</v>
      </c>
      <c r="S1272" s="576">
        <f t="shared" si="330"/>
        <v>0</v>
      </c>
      <c r="T1272" s="577">
        <f t="shared" si="331"/>
        <v>0</v>
      </c>
      <c r="U1272" s="578">
        <f t="shared" si="332"/>
        <v>0</v>
      </c>
      <c r="V1272" s="579"/>
      <c r="W1272" s="566"/>
      <c r="X1272" s="586" t="str">
        <f t="shared" si="324"/>
        <v/>
      </c>
      <c r="Y1272" s="586" t="str">
        <f t="shared" si="329"/>
        <v/>
      </c>
      <c r="Z1272" s="586" t="str">
        <f t="shared" si="327"/>
        <v/>
      </c>
    </row>
    <row r="1273" spans="1:26" ht="23.25" hidden="1" thickBot="1" x14ac:dyDescent="0.25">
      <c r="A1273" s="567">
        <v>95801</v>
      </c>
      <c r="B1273" s="644">
        <v>95801</v>
      </c>
      <c r="C1273" s="645" t="s">
        <v>670</v>
      </c>
      <c r="D1273" s="422" t="s">
        <v>1124</v>
      </c>
      <c r="E1273" s="423"/>
      <c r="F1273" s="424"/>
      <c r="G1273" s="425"/>
      <c r="H1273" s="651"/>
      <c r="I1273" s="420">
        <v>43.52</v>
      </c>
      <c r="J1273" s="420">
        <f t="shared" si="326"/>
        <v>43.52</v>
      </c>
      <c r="K1273" s="421">
        <f t="shared" si="325"/>
        <v>51.71</v>
      </c>
      <c r="L1273" s="647" t="s">
        <v>2065</v>
      </c>
      <c r="M1273" s="576"/>
      <c r="N1273" s="576">
        <f t="shared" si="328"/>
        <v>0</v>
      </c>
      <c r="O1273" s="577">
        <f t="shared" si="333"/>
        <v>0</v>
      </c>
      <c r="P1273" s="578">
        <f t="shared" si="334"/>
        <v>0</v>
      </c>
      <c r="Q1273" s="765"/>
      <c r="R1273" s="576">
        <f t="shared" si="330"/>
        <v>0</v>
      </c>
      <c r="S1273" s="576">
        <f t="shared" si="330"/>
        <v>0</v>
      </c>
      <c r="T1273" s="577">
        <f t="shared" si="331"/>
        <v>0</v>
      </c>
      <c r="U1273" s="578">
        <f t="shared" si="332"/>
        <v>0</v>
      </c>
      <c r="V1273" s="579"/>
      <c r="W1273" s="566"/>
      <c r="X1273" s="586" t="str">
        <f t="shared" si="324"/>
        <v/>
      </c>
      <c r="Y1273" s="586" t="str">
        <f t="shared" si="329"/>
        <v/>
      </c>
      <c r="Z1273" s="586" t="str">
        <f t="shared" si="327"/>
        <v/>
      </c>
    </row>
    <row r="1274" spans="1:26" ht="23.25" hidden="1" thickBot="1" x14ac:dyDescent="0.25">
      <c r="A1274" s="567">
        <v>95802</v>
      </c>
      <c r="B1274" s="644">
        <v>95802</v>
      </c>
      <c r="C1274" s="645" t="s">
        <v>670</v>
      </c>
      <c r="D1274" s="422" t="s">
        <v>1125</v>
      </c>
      <c r="E1274" s="423"/>
      <c r="F1274" s="424"/>
      <c r="G1274" s="425"/>
      <c r="H1274" s="651"/>
      <c r="I1274" s="420">
        <v>48.57</v>
      </c>
      <c r="J1274" s="420">
        <f t="shared" si="326"/>
        <v>48.57</v>
      </c>
      <c r="K1274" s="421">
        <f t="shared" si="325"/>
        <v>57.71</v>
      </c>
      <c r="L1274" s="647" t="s">
        <v>2065</v>
      </c>
      <c r="M1274" s="576"/>
      <c r="N1274" s="576">
        <f t="shared" si="328"/>
        <v>0</v>
      </c>
      <c r="O1274" s="577">
        <f t="shared" si="333"/>
        <v>0</v>
      </c>
      <c r="P1274" s="578">
        <f t="shared" si="334"/>
        <v>0</v>
      </c>
      <c r="Q1274" s="765"/>
      <c r="R1274" s="576">
        <f t="shared" si="330"/>
        <v>0</v>
      </c>
      <c r="S1274" s="576">
        <f t="shared" si="330"/>
        <v>0</v>
      </c>
      <c r="T1274" s="577">
        <f t="shared" si="331"/>
        <v>0</v>
      </c>
      <c r="U1274" s="578">
        <f t="shared" si="332"/>
        <v>0</v>
      </c>
      <c r="V1274" s="579"/>
      <c r="W1274" s="566"/>
      <c r="X1274" s="586" t="str">
        <f t="shared" si="324"/>
        <v/>
      </c>
      <c r="Y1274" s="586" t="str">
        <f t="shared" si="329"/>
        <v/>
      </c>
      <c r="Z1274" s="586" t="str">
        <f t="shared" si="327"/>
        <v/>
      </c>
    </row>
    <row r="1275" spans="1:26" ht="23.25" hidden="1" thickBot="1" x14ac:dyDescent="0.25">
      <c r="A1275" s="567">
        <v>95803</v>
      </c>
      <c r="B1275" s="644">
        <v>95803</v>
      </c>
      <c r="C1275" s="645" t="s">
        <v>670</v>
      </c>
      <c r="D1275" s="422" t="s">
        <v>1126</v>
      </c>
      <c r="E1275" s="423"/>
      <c r="F1275" s="424"/>
      <c r="G1275" s="425"/>
      <c r="H1275" s="651"/>
      <c r="I1275" s="420">
        <v>64.45</v>
      </c>
      <c r="J1275" s="420">
        <f t="shared" si="326"/>
        <v>64.45</v>
      </c>
      <c r="K1275" s="421">
        <f t="shared" si="325"/>
        <v>76.569999999999993</v>
      </c>
      <c r="L1275" s="647" t="s">
        <v>2065</v>
      </c>
      <c r="M1275" s="576"/>
      <c r="N1275" s="576">
        <f t="shared" si="328"/>
        <v>0</v>
      </c>
      <c r="O1275" s="577">
        <f t="shared" si="333"/>
        <v>0</v>
      </c>
      <c r="P1275" s="578">
        <f t="shared" si="334"/>
        <v>0</v>
      </c>
      <c r="Q1275" s="765"/>
      <c r="R1275" s="576">
        <f t="shared" si="330"/>
        <v>0</v>
      </c>
      <c r="S1275" s="576">
        <f t="shared" si="330"/>
        <v>0</v>
      </c>
      <c r="T1275" s="577">
        <f t="shared" si="331"/>
        <v>0</v>
      </c>
      <c r="U1275" s="578">
        <f t="shared" si="332"/>
        <v>0</v>
      </c>
      <c r="V1275" s="579"/>
      <c r="W1275" s="566"/>
      <c r="X1275" s="586" t="str">
        <f t="shared" si="324"/>
        <v/>
      </c>
      <c r="Y1275" s="586" t="str">
        <f t="shared" si="329"/>
        <v/>
      </c>
      <c r="Z1275" s="586" t="str">
        <f t="shared" si="327"/>
        <v/>
      </c>
    </row>
    <row r="1276" spans="1:26" ht="23.25" hidden="1" thickBot="1" x14ac:dyDescent="0.25">
      <c r="A1276" s="567">
        <v>95804</v>
      </c>
      <c r="B1276" s="644">
        <v>95804</v>
      </c>
      <c r="C1276" s="645" t="s">
        <v>670</v>
      </c>
      <c r="D1276" s="422" t="s">
        <v>1127</v>
      </c>
      <c r="E1276" s="423"/>
      <c r="F1276" s="424"/>
      <c r="G1276" s="425"/>
      <c r="H1276" s="651"/>
      <c r="I1276" s="420">
        <v>31.37</v>
      </c>
      <c r="J1276" s="420">
        <f t="shared" si="326"/>
        <v>31.37</v>
      </c>
      <c r="K1276" s="421">
        <f t="shared" si="325"/>
        <v>37.270000000000003</v>
      </c>
      <c r="L1276" s="647" t="s">
        <v>2065</v>
      </c>
      <c r="M1276" s="576"/>
      <c r="N1276" s="576">
        <f t="shared" si="328"/>
        <v>0</v>
      </c>
      <c r="O1276" s="577">
        <f t="shared" si="333"/>
        <v>0</v>
      </c>
      <c r="P1276" s="578">
        <f t="shared" si="334"/>
        <v>0</v>
      </c>
      <c r="Q1276" s="765"/>
      <c r="R1276" s="576">
        <f t="shared" si="330"/>
        <v>0</v>
      </c>
      <c r="S1276" s="576">
        <f t="shared" si="330"/>
        <v>0</v>
      </c>
      <c r="T1276" s="577">
        <f t="shared" si="331"/>
        <v>0</v>
      </c>
      <c r="U1276" s="578">
        <f t="shared" si="332"/>
        <v>0</v>
      </c>
      <c r="V1276" s="579"/>
      <c r="W1276" s="566"/>
      <c r="X1276" s="586" t="str">
        <f t="shared" si="324"/>
        <v/>
      </c>
      <c r="Y1276" s="586" t="str">
        <f t="shared" si="329"/>
        <v/>
      </c>
      <c r="Z1276" s="586" t="str">
        <f t="shared" si="327"/>
        <v/>
      </c>
    </row>
    <row r="1277" spans="1:26" ht="23.25" hidden="1" thickBot="1" x14ac:dyDescent="0.25">
      <c r="A1277" s="567">
        <v>95805</v>
      </c>
      <c r="B1277" s="644">
        <v>95805</v>
      </c>
      <c r="C1277" s="645" t="s">
        <v>670</v>
      </c>
      <c r="D1277" s="422" t="s">
        <v>1128</v>
      </c>
      <c r="E1277" s="423"/>
      <c r="F1277" s="424"/>
      <c r="G1277" s="425"/>
      <c r="H1277" s="651"/>
      <c r="I1277" s="420">
        <v>31.61</v>
      </c>
      <c r="J1277" s="420">
        <f t="shared" si="326"/>
        <v>31.61</v>
      </c>
      <c r="K1277" s="421">
        <f t="shared" si="325"/>
        <v>37.56</v>
      </c>
      <c r="L1277" s="647" t="s">
        <v>2065</v>
      </c>
      <c r="M1277" s="576"/>
      <c r="N1277" s="576">
        <f t="shared" si="328"/>
        <v>0</v>
      </c>
      <c r="O1277" s="577">
        <f t="shared" si="333"/>
        <v>0</v>
      </c>
      <c r="P1277" s="578">
        <f t="shared" si="334"/>
        <v>0</v>
      </c>
      <c r="Q1277" s="765"/>
      <c r="R1277" s="576">
        <f t="shared" si="330"/>
        <v>0</v>
      </c>
      <c r="S1277" s="576">
        <f t="shared" si="330"/>
        <v>0</v>
      </c>
      <c r="T1277" s="577">
        <f t="shared" si="331"/>
        <v>0</v>
      </c>
      <c r="U1277" s="578">
        <f t="shared" si="332"/>
        <v>0</v>
      </c>
      <c r="V1277" s="579"/>
      <c r="W1277" s="566"/>
      <c r="X1277" s="586" t="str">
        <f t="shared" ref="X1277:X1340" si="335">IF(W1277="X","x",IF(W1277="xx","x",IF(W1277="xy","x",IF(W1277="y","x",IF(OR(P1277&gt;0,U1277&gt;0),"x","")))))</f>
        <v/>
      </c>
      <c r="Y1277" s="586" t="str">
        <f t="shared" si="329"/>
        <v/>
      </c>
      <c r="Z1277" s="586" t="str">
        <f t="shared" si="327"/>
        <v/>
      </c>
    </row>
    <row r="1278" spans="1:26" ht="23.25" hidden="1" thickBot="1" x14ac:dyDescent="0.25">
      <c r="A1278" s="567">
        <v>95806</v>
      </c>
      <c r="B1278" s="644">
        <v>95806</v>
      </c>
      <c r="C1278" s="645" t="s">
        <v>670</v>
      </c>
      <c r="D1278" s="422" t="s">
        <v>1129</v>
      </c>
      <c r="E1278" s="423"/>
      <c r="F1278" s="424"/>
      <c r="G1278" s="425"/>
      <c r="H1278" s="651"/>
      <c r="I1278" s="420">
        <v>32.68</v>
      </c>
      <c r="J1278" s="420">
        <f t="shared" si="326"/>
        <v>32.68</v>
      </c>
      <c r="K1278" s="421">
        <f t="shared" si="325"/>
        <v>38.83</v>
      </c>
      <c r="L1278" s="647" t="s">
        <v>2065</v>
      </c>
      <c r="M1278" s="576"/>
      <c r="N1278" s="576">
        <f t="shared" si="328"/>
        <v>0</v>
      </c>
      <c r="O1278" s="577">
        <f t="shared" si="333"/>
        <v>0</v>
      </c>
      <c r="P1278" s="578">
        <f t="shared" si="334"/>
        <v>0</v>
      </c>
      <c r="Q1278" s="765"/>
      <c r="R1278" s="576">
        <f t="shared" si="330"/>
        <v>0</v>
      </c>
      <c r="S1278" s="576">
        <f t="shared" si="330"/>
        <v>0</v>
      </c>
      <c r="T1278" s="577">
        <f t="shared" si="331"/>
        <v>0</v>
      </c>
      <c r="U1278" s="578">
        <f t="shared" si="332"/>
        <v>0</v>
      </c>
      <c r="V1278" s="579"/>
      <c r="W1278" s="566"/>
      <c r="X1278" s="586" t="str">
        <f t="shared" si="335"/>
        <v/>
      </c>
      <c r="Y1278" s="586" t="str">
        <f t="shared" si="329"/>
        <v/>
      </c>
      <c r="Z1278" s="586" t="str">
        <f t="shared" si="327"/>
        <v/>
      </c>
    </row>
    <row r="1279" spans="1:26" ht="23.25" hidden="1" thickBot="1" x14ac:dyDescent="0.25">
      <c r="A1279" s="567">
        <v>95807</v>
      </c>
      <c r="B1279" s="644">
        <v>95807</v>
      </c>
      <c r="C1279" s="645" t="s">
        <v>670</v>
      </c>
      <c r="D1279" s="422" t="s">
        <v>1130</v>
      </c>
      <c r="E1279" s="423"/>
      <c r="F1279" s="424"/>
      <c r="G1279" s="425"/>
      <c r="H1279" s="651"/>
      <c r="I1279" s="420">
        <v>35.81</v>
      </c>
      <c r="J1279" s="420">
        <f t="shared" si="326"/>
        <v>35.81</v>
      </c>
      <c r="K1279" s="421">
        <f t="shared" si="325"/>
        <v>42.55</v>
      </c>
      <c r="L1279" s="647" t="s">
        <v>2065</v>
      </c>
      <c r="M1279" s="576"/>
      <c r="N1279" s="576">
        <f t="shared" si="328"/>
        <v>0</v>
      </c>
      <c r="O1279" s="577">
        <f t="shared" si="333"/>
        <v>0</v>
      </c>
      <c r="P1279" s="578">
        <f t="shared" si="334"/>
        <v>0</v>
      </c>
      <c r="Q1279" s="765"/>
      <c r="R1279" s="576">
        <f t="shared" si="330"/>
        <v>0</v>
      </c>
      <c r="S1279" s="576">
        <f t="shared" si="330"/>
        <v>0</v>
      </c>
      <c r="T1279" s="577">
        <f t="shared" si="331"/>
        <v>0</v>
      </c>
      <c r="U1279" s="578">
        <f t="shared" si="332"/>
        <v>0</v>
      </c>
      <c r="V1279" s="579"/>
      <c r="W1279" s="566"/>
      <c r="X1279" s="586" t="str">
        <f t="shared" si="335"/>
        <v/>
      </c>
      <c r="Y1279" s="586" t="str">
        <f t="shared" si="329"/>
        <v/>
      </c>
      <c r="Z1279" s="586" t="str">
        <f t="shared" si="327"/>
        <v/>
      </c>
    </row>
    <row r="1280" spans="1:26" ht="23.25" hidden="1" thickBot="1" x14ac:dyDescent="0.25">
      <c r="A1280" s="567">
        <v>95808</v>
      </c>
      <c r="B1280" s="644">
        <v>95808</v>
      </c>
      <c r="C1280" s="645" t="s">
        <v>670</v>
      </c>
      <c r="D1280" s="422" t="s">
        <v>1131</v>
      </c>
      <c r="E1280" s="423"/>
      <c r="F1280" s="424"/>
      <c r="G1280" s="425"/>
      <c r="H1280" s="651"/>
      <c r="I1280" s="420">
        <v>36.549999999999997</v>
      </c>
      <c r="J1280" s="420">
        <f t="shared" si="326"/>
        <v>36.549999999999997</v>
      </c>
      <c r="K1280" s="421">
        <f t="shared" si="325"/>
        <v>43.43</v>
      </c>
      <c r="L1280" s="647" t="s">
        <v>2065</v>
      </c>
      <c r="M1280" s="576"/>
      <c r="N1280" s="576">
        <f t="shared" si="328"/>
        <v>0</v>
      </c>
      <c r="O1280" s="577">
        <f t="shared" si="333"/>
        <v>0</v>
      </c>
      <c r="P1280" s="578">
        <f t="shared" si="334"/>
        <v>0</v>
      </c>
      <c r="Q1280" s="765"/>
      <c r="R1280" s="576">
        <f t="shared" si="330"/>
        <v>0</v>
      </c>
      <c r="S1280" s="576">
        <f t="shared" si="330"/>
        <v>0</v>
      </c>
      <c r="T1280" s="577">
        <f t="shared" si="331"/>
        <v>0</v>
      </c>
      <c r="U1280" s="578">
        <f t="shared" si="332"/>
        <v>0</v>
      </c>
      <c r="V1280" s="579"/>
      <c r="W1280" s="566"/>
      <c r="X1280" s="586" t="str">
        <f t="shared" si="335"/>
        <v/>
      </c>
      <c r="Y1280" s="586" t="str">
        <f t="shared" si="329"/>
        <v/>
      </c>
      <c r="Z1280" s="586" t="str">
        <f t="shared" si="327"/>
        <v/>
      </c>
    </row>
    <row r="1281" spans="1:26" ht="23.25" hidden="1" thickBot="1" x14ac:dyDescent="0.25">
      <c r="A1281" s="567">
        <v>95809</v>
      </c>
      <c r="B1281" s="644">
        <v>95809</v>
      </c>
      <c r="C1281" s="645" t="s">
        <v>670</v>
      </c>
      <c r="D1281" s="422" t="s">
        <v>1132</v>
      </c>
      <c r="E1281" s="423"/>
      <c r="F1281" s="424"/>
      <c r="G1281" s="425"/>
      <c r="H1281" s="651"/>
      <c r="I1281" s="420">
        <v>40.49</v>
      </c>
      <c r="J1281" s="420">
        <f t="shared" si="326"/>
        <v>40.49</v>
      </c>
      <c r="K1281" s="421">
        <f t="shared" si="325"/>
        <v>48.11</v>
      </c>
      <c r="L1281" s="647" t="s">
        <v>2065</v>
      </c>
      <c r="M1281" s="576"/>
      <c r="N1281" s="576">
        <f t="shared" si="328"/>
        <v>0</v>
      </c>
      <c r="O1281" s="577">
        <f t="shared" si="333"/>
        <v>0</v>
      </c>
      <c r="P1281" s="578">
        <f t="shared" si="334"/>
        <v>0</v>
      </c>
      <c r="Q1281" s="765"/>
      <c r="R1281" s="576">
        <f t="shared" si="330"/>
        <v>0</v>
      </c>
      <c r="S1281" s="576">
        <f t="shared" si="330"/>
        <v>0</v>
      </c>
      <c r="T1281" s="577">
        <f t="shared" si="331"/>
        <v>0</v>
      </c>
      <c r="U1281" s="578">
        <f t="shared" si="332"/>
        <v>0</v>
      </c>
      <c r="V1281" s="579"/>
      <c r="W1281" s="566"/>
      <c r="X1281" s="586" t="str">
        <f t="shared" si="335"/>
        <v/>
      </c>
      <c r="Y1281" s="586" t="str">
        <f t="shared" si="329"/>
        <v/>
      </c>
      <c r="Z1281" s="586" t="str">
        <f t="shared" si="327"/>
        <v/>
      </c>
    </row>
    <row r="1282" spans="1:26" ht="23.25" hidden="1" thickBot="1" x14ac:dyDescent="0.25">
      <c r="A1282" s="567">
        <v>95810</v>
      </c>
      <c r="B1282" s="644">
        <v>95810</v>
      </c>
      <c r="C1282" s="645" t="s">
        <v>670</v>
      </c>
      <c r="D1282" s="422" t="s">
        <v>1133</v>
      </c>
      <c r="E1282" s="423"/>
      <c r="F1282" s="424"/>
      <c r="G1282" s="425"/>
      <c r="H1282" s="651"/>
      <c r="I1282" s="420">
        <v>21.91</v>
      </c>
      <c r="J1282" s="420">
        <f t="shared" si="326"/>
        <v>21.91</v>
      </c>
      <c r="K1282" s="421">
        <f t="shared" si="325"/>
        <v>26.03</v>
      </c>
      <c r="L1282" s="647" t="s">
        <v>2065</v>
      </c>
      <c r="M1282" s="576"/>
      <c r="N1282" s="576">
        <f t="shared" si="328"/>
        <v>0</v>
      </c>
      <c r="O1282" s="577">
        <f t="shared" si="333"/>
        <v>0</v>
      </c>
      <c r="P1282" s="578">
        <f t="shared" si="334"/>
        <v>0</v>
      </c>
      <c r="Q1282" s="765"/>
      <c r="R1282" s="576">
        <f t="shared" si="330"/>
        <v>0</v>
      </c>
      <c r="S1282" s="576">
        <f t="shared" si="330"/>
        <v>0</v>
      </c>
      <c r="T1282" s="577">
        <f t="shared" si="331"/>
        <v>0</v>
      </c>
      <c r="U1282" s="578">
        <f t="shared" si="332"/>
        <v>0</v>
      </c>
      <c r="V1282" s="579"/>
      <c r="W1282" s="566"/>
      <c r="X1282" s="586" t="str">
        <f t="shared" si="335"/>
        <v/>
      </c>
      <c r="Y1282" s="586" t="str">
        <f t="shared" si="329"/>
        <v/>
      </c>
      <c r="Z1282" s="586" t="str">
        <f t="shared" si="327"/>
        <v/>
      </c>
    </row>
    <row r="1283" spans="1:26" ht="23.25" hidden="1" thickBot="1" x14ac:dyDescent="0.25">
      <c r="A1283" s="567">
        <v>95811</v>
      </c>
      <c r="B1283" s="644">
        <v>95811</v>
      </c>
      <c r="C1283" s="645" t="s">
        <v>670</v>
      </c>
      <c r="D1283" s="422" t="s">
        <v>1134</v>
      </c>
      <c r="E1283" s="423"/>
      <c r="F1283" s="424"/>
      <c r="G1283" s="425"/>
      <c r="H1283" s="651"/>
      <c r="I1283" s="420">
        <v>22.65</v>
      </c>
      <c r="J1283" s="420">
        <f t="shared" si="326"/>
        <v>22.65</v>
      </c>
      <c r="K1283" s="421">
        <f t="shared" si="325"/>
        <v>26.91</v>
      </c>
      <c r="L1283" s="647" t="s">
        <v>2065</v>
      </c>
      <c r="M1283" s="576"/>
      <c r="N1283" s="576">
        <f t="shared" si="328"/>
        <v>0</v>
      </c>
      <c r="O1283" s="577">
        <f t="shared" si="333"/>
        <v>0</v>
      </c>
      <c r="P1283" s="578">
        <f t="shared" si="334"/>
        <v>0</v>
      </c>
      <c r="Q1283" s="765"/>
      <c r="R1283" s="576">
        <f t="shared" si="330"/>
        <v>0</v>
      </c>
      <c r="S1283" s="576">
        <f t="shared" si="330"/>
        <v>0</v>
      </c>
      <c r="T1283" s="577">
        <f t="shared" si="331"/>
        <v>0</v>
      </c>
      <c r="U1283" s="578">
        <f t="shared" si="332"/>
        <v>0</v>
      </c>
      <c r="V1283" s="579"/>
      <c r="W1283" s="566"/>
      <c r="X1283" s="586" t="str">
        <f t="shared" si="335"/>
        <v/>
      </c>
      <c r="Y1283" s="586" t="str">
        <f t="shared" si="329"/>
        <v/>
      </c>
      <c r="Z1283" s="586" t="str">
        <f t="shared" si="327"/>
        <v/>
      </c>
    </row>
    <row r="1284" spans="1:26" ht="23.25" hidden="1" thickBot="1" x14ac:dyDescent="0.25">
      <c r="A1284" s="567">
        <v>95812</v>
      </c>
      <c r="B1284" s="644">
        <v>95812</v>
      </c>
      <c r="C1284" s="645" t="s">
        <v>670</v>
      </c>
      <c r="D1284" s="422" t="s">
        <v>1135</v>
      </c>
      <c r="E1284" s="423"/>
      <c r="F1284" s="424"/>
      <c r="G1284" s="425"/>
      <c r="H1284" s="651"/>
      <c r="I1284" s="420">
        <v>26.58</v>
      </c>
      <c r="J1284" s="420">
        <f t="shared" si="326"/>
        <v>26.58</v>
      </c>
      <c r="K1284" s="421">
        <f t="shared" si="325"/>
        <v>31.58</v>
      </c>
      <c r="L1284" s="647" t="s">
        <v>2065</v>
      </c>
      <c r="M1284" s="576"/>
      <c r="N1284" s="576">
        <f t="shared" si="328"/>
        <v>0</v>
      </c>
      <c r="O1284" s="577">
        <f t="shared" si="333"/>
        <v>0</v>
      </c>
      <c r="P1284" s="578">
        <f t="shared" si="334"/>
        <v>0</v>
      </c>
      <c r="Q1284" s="765"/>
      <c r="R1284" s="576">
        <f t="shared" si="330"/>
        <v>0</v>
      </c>
      <c r="S1284" s="576">
        <f t="shared" si="330"/>
        <v>0</v>
      </c>
      <c r="T1284" s="577">
        <f t="shared" si="331"/>
        <v>0</v>
      </c>
      <c r="U1284" s="578">
        <f t="shared" si="332"/>
        <v>0</v>
      </c>
      <c r="V1284" s="579"/>
      <c r="W1284" s="566"/>
      <c r="X1284" s="586" t="str">
        <f t="shared" si="335"/>
        <v/>
      </c>
      <c r="Y1284" s="586" t="str">
        <f t="shared" si="329"/>
        <v/>
      </c>
      <c r="Z1284" s="586" t="str">
        <f t="shared" si="327"/>
        <v/>
      </c>
    </row>
    <row r="1285" spans="1:26" ht="23.25" hidden="1" thickBot="1" x14ac:dyDescent="0.25">
      <c r="A1285" s="567">
        <v>95813</v>
      </c>
      <c r="B1285" s="644">
        <v>95813</v>
      </c>
      <c r="C1285" s="645" t="s">
        <v>670</v>
      </c>
      <c r="D1285" s="422" t="s">
        <v>1136</v>
      </c>
      <c r="E1285" s="423"/>
      <c r="F1285" s="424"/>
      <c r="G1285" s="425"/>
      <c r="H1285" s="651"/>
      <c r="I1285" s="420">
        <v>25.84</v>
      </c>
      <c r="J1285" s="420">
        <f t="shared" si="326"/>
        <v>25.84</v>
      </c>
      <c r="K1285" s="421">
        <f t="shared" si="325"/>
        <v>30.7</v>
      </c>
      <c r="L1285" s="647" t="s">
        <v>2065</v>
      </c>
      <c r="M1285" s="576"/>
      <c r="N1285" s="576">
        <f t="shared" si="328"/>
        <v>0</v>
      </c>
      <c r="O1285" s="577">
        <f t="shared" si="333"/>
        <v>0</v>
      </c>
      <c r="P1285" s="578">
        <f t="shared" si="334"/>
        <v>0</v>
      </c>
      <c r="Q1285" s="765"/>
      <c r="R1285" s="576">
        <f t="shared" si="330"/>
        <v>0</v>
      </c>
      <c r="S1285" s="576">
        <f t="shared" si="330"/>
        <v>0</v>
      </c>
      <c r="T1285" s="577">
        <f t="shared" si="331"/>
        <v>0</v>
      </c>
      <c r="U1285" s="578">
        <f t="shared" si="332"/>
        <v>0</v>
      </c>
      <c r="V1285" s="579"/>
      <c r="W1285" s="566"/>
      <c r="X1285" s="586" t="str">
        <f t="shared" si="335"/>
        <v/>
      </c>
      <c r="Y1285" s="586" t="str">
        <f t="shared" si="329"/>
        <v/>
      </c>
      <c r="Z1285" s="586" t="str">
        <f t="shared" si="327"/>
        <v/>
      </c>
    </row>
    <row r="1286" spans="1:26" ht="23.25" hidden="1" thickBot="1" x14ac:dyDescent="0.25">
      <c r="A1286" s="567">
        <v>95814</v>
      </c>
      <c r="B1286" s="644">
        <v>95814</v>
      </c>
      <c r="C1286" s="645" t="s">
        <v>670</v>
      </c>
      <c r="D1286" s="422" t="s">
        <v>1137</v>
      </c>
      <c r="E1286" s="423"/>
      <c r="F1286" s="424"/>
      <c r="G1286" s="425"/>
      <c r="H1286" s="651"/>
      <c r="I1286" s="420">
        <v>26.95</v>
      </c>
      <c r="J1286" s="420">
        <f t="shared" si="326"/>
        <v>26.95</v>
      </c>
      <c r="K1286" s="421">
        <f t="shared" si="325"/>
        <v>32.020000000000003</v>
      </c>
      <c r="L1286" s="647" t="s">
        <v>2065</v>
      </c>
      <c r="M1286" s="576"/>
      <c r="N1286" s="576">
        <f t="shared" si="328"/>
        <v>0</v>
      </c>
      <c r="O1286" s="577">
        <f t="shared" si="333"/>
        <v>0</v>
      </c>
      <c r="P1286" s="578">
        <f t="shared" si="334"/>
        <v>0</v>
      </c>
      <c r="Q1286" s="765"/>
      <c r="R1286" s="576">
        <f t="shared" si="330"/>
        <v>0</v>
      </c>
      <c r="S1286" s="576">
        <f t="shared" si="330"/>
        <v>0</v>
      </c>
      <c r="T1286" s="577">
        <f t="shared" si="331"/>
        <v>0</v>
      </c>
      <c r="U1286" s="578">
        <f t="shared" si="332"/>
        <v>0</v>
      </c>
      <c r="V1286" s="579"/>
      <c r="W1286" s="566"/>
      <c r="X1286" s="586" t="str">
        <f t="shared" si="335"/>
        <v/>
      </c>
      <c r="Y1286" s="586" t="str">
        <f t="shared" si="329"/>
        <v/>
      </c>
      <c r="Z1286" s="586" t="str">
        <f t="shared" si="327"/>
        <v/>
      </c>
    </row>
    <row r="1287" spans="1:26" ht="23.25" hidden="1" thickBot="1" x14ac:dyDescent="0.25">
      <c r="A1287" s="567">
        <v>95815</v>
      </c>
      <c r="B1287" s="644">
        <v>95815</v>
      </c>
      <c r="C1287" s="645" t="s">
        <v>670</v>
      </c>
      <c r="D1287" s="422" t="s">
        <v>1138</v>
      </c>
      <c r="E1287" s="423"/>
      <c r="F1287" s="424"/>
      <c r="G1287" s="425"/>
      <c r="H1287" s="651"/>
      <c r="I1287" s="420">
        <v>34.72</v>
      </c>
      <c r="J1287" s="420">
        <f t="shared" si="326"/>
        <v>34.72</v>
      </c>
      <c r="K1287" s="421">
        <f t="shared" si="325"/>
        <v>41.25</v>
      </c>
      <c r="L1287" s="647" t="s">
        <v>2065</v>
      </c>
      <c r="M1287" s="576"/>
      <c r="N1287" s="576">
        <f t="shared" si="328"/>
        <v>0</v>
      </c>
      <c r="O1287" s="577">
        <f t="shared" si="333"/>
        <v>0</v>
      </c>
      <c r="P1287" s="578">
        <f t="shared" si="334"/>
        <v>0</v>
      </c>
      <c r="Q1287" s="765"/>
      <c r="R1287" s="576">
        <f t="shared" si="330"/>
        <v>0</v>
      </c>
      <c r="S1287" s="576">
        <f t="shared" si="330"/>
        <v>0</v>
      </c>
      <c r="T1287" s="577">
        <f t="shared" si="331"/>
        <v>0</v>
      </c>
      <c r="U1287" s="578">
        <f t="shared" si="332"/>
        <v>0</v>
      </c>
      <c r="V1287" s="579"/>
      <c r="W1287" s="566"/>
      <c r="X1287" s="586" t="str">
        <f t="shared" si="335"/>
        <v/>
      </c>
      <c r="Y1287" s="586" t="str">
        <f t="shared" si="329"/>
        <v/>
      </c>
      <c r="Z1287" s="586" t="str">
        <f t="shared" si="327"/>
        <v/>
      </c>
    </row>
    <row r="1288" spans="1:26" ht="23.25" hidden="1" thickBot="1" x14ac:dyDescent="0.25">
      <c r="A1288" s="567">
        <v>95816</v>
      </c>
      <c r="B1288" s="644">
        <v>95816</v>
      </c>
      <c r="C1288" s="645" t="s">
        <v>670</v>
      </c>
      <c r="D1288" s="422" t="s">
        <v>1139</v>
      </c>
      <c r="E1288" s="423"/>
      <c r="F1288" s="424"/>
      <c r="G1288" s="425"/>
      <c r="H1288" s="651"/>
      <c r="I1288" s="420">
        <v>44.08</v>
      </c>
      <c r="J1288" s="420">
        <f t="shared" si="326"/>
        <v>44.08</v>
      </c>
      <c r="K1288" s="421">
        <f t="shared" si="325"/>
        <v>52.37</v>
      </c>
      <c r="L1288" s="647" t="s">
        <v>2065</v>
      </c>
      <c r="M1288" s="576"/>
      <c r="N1288" s="576">
        <f t="shared" si="328"/>
        <v>0</v>
      </c>
      <c r="O1288" s="577">
        <f t="shared" si="333"/>
        <v>0</v>
      </c>
      <c r="P1288" s="578">
        <f t="shared" si="334"/>
        <v>0</v>
      </c>
      <c r="Q1288" s="765"/>
      <c r="R1288" s="576">
        <f t="shared" si="330"/>
        <v>0</v>
      </c>
      <c r="S1288" s="576">
        <f t="shared" si="330"/>
        <v>0</v>
      </c>
      <c r="T1288" s="577">
        <f t="shared" si="331"/>
        <v>0</v>
      </c>
      <c r="U1288" s="578">
        <f t="shared" si="332"/>
        <v>0</v>
      </c>
      <c r="V1288" s="579"/>
      <c r="W1288" s="566"/>
      <c r="X1288" s="586" t="str">
        <f t="shared" si="335"/>
        <v/>
      </c>
      <c r="Y1288" s="586" t="str">
        <f t="shared" si="329"/>
        <v/>
      </c>
      <c r="Z1288" s="586" t="str">
        <f t="shared" si="327"/>
        <v/>
      </c>
    </row>
    <row r="1289" spans="1:26" ht="23.25" hidden="1" thickBot="1" x14ac:dyDescent="0.25">
      <c r="A1289" s="567">
        <v>95817</v>
      </c>
      <c r="B1289" s="644">
        <v>95817</v>
      </c>
      <c r="C1289" s="645" t="s">
        <v>670</v>
      </c>
      <c r="D1289" s="422" t="s">
        <v>1140</v>
      </c>
      <c r="E1289" s="423"/>
      <c r="F1289" s="424"/>
      <c r="G1289" s="425"/>
      <c r="H1289" s="651"/>
      <c r="I1289" s="420">
        <v>44.84</v>
      </c>
      <c r="J1289" s="420">
        <f t="shared" si="326"/>
        <v>44.84</v>
      </c>
      <c r="K1289" s="421">
        <f t="shared" ref="K1289:K1352" si="336">IF(ISBLANK(I1289),0,ROUND(J1289*(1+$F$10)*(1+$F$11*E1289),2))</f>
        <v>53.27</v>
      </c>
      <c r="L1289" s="647" t="s">
        <v>2065</v>
      </c>
      <c r="M1289" s="576"/>
      <c r="N1289" s="576">
        <f t="shared" si="328"/>
        <v>0</v>
      </c>
      <c r="O1289" s="577">
        <f t="shared" si="333"/>
        <v>0</v>
      </c>
      <c r="P1289" s="578">
        <f t="shared" si="334"/>
        <v>0</v>
      </c>
      <c r="Q1289" s="765"/>
      <c r="R1289" s="576">
        <f t="shared" si="330"/>
        <v>0</v>
      </c>
      <c r="S1289" s="576">
        <f t="shared" si="330"/>
        <v>0</v>
      </c>
      <c r="T1289" s="577">
        <f t="shared" si="331"/>
        <v>0</v>
      </c>
      <c r="U1289" s="578">
        <f t="shared" si="332"/>
        <v>0</v>
      </c>
      <c r="V1289" s="579"/>
      <c r="W1289" s="566"/>
      <c r="X1289" s="586" t="str">
        <f t="shared" si="335"/>
        <v/>
      </c>
      <c r="Y1289" s="586" t="str">
        <f t="shared" si="329"/>
        <v/>
      </c>
      <c r="Z1289" s="586" t="str">
        <f t="shared" si="327"/>
        <v/>
      </c>
    </row>
    <row r="1290" spans="1:26" ht="23.25" hidden="1" thickBot="1" x14ac:dyDescent="0.25">
      <c r="A1290" s="567">
        <v>95818</v>
      </c>
      <c r="B1290" s="644">
        <v>95818</v>
      </c>
      <c r="C1290" s="645" t="s">
        <v>670</v>
      </c>
      <c r="D1290" s="422" t="s">
        <v>1141</v>
      </c>
      <c r="E1290" s="423"/>
      <c r="F1290" s="424"/>
      <c r="G1290" s="425"/>
      <c r="H1290" s="651"/>
      <c r="I1290" s="420">
        <v>55.31</v>
      </c>
      <c r="J1290" s="420">
        <f t="shared" si="326"/>
        <v>55.31</v>
      </c>
      <c r="K1290" s="421">
        <f t="shared" si="336"/>
        <v>65.709999999999994</v>
      </c>
      <c r="L1290" s="647" t="s">
        <v>2065</v>
      </c>
      <c r="M1290" s="576"/>
      <c r="N1290" s="576">
        <f t="shared" si="328"/>
        <v>0</v>
      </c>
      <c r="O1290" s="577">
        <f t="shared" si="333"/>
        <v>0</v>
      </c>
      <c r="P1290" s="578">
        <f t="shared" si="334"/>
        <v>0</v>
      </c>
      <c r="Q1290" s="765"/>
      <c r="R1290" s="576">
        <f t="shared" si="330"/>
        <v>0</v>
      </c>
      <c r="S1290" s="576">
        <f t="shared" si="330"/>
        <v>0</v>
      </c>
      <c r="T1290" s="577">
        <f t="shared" si="331"/>
        <v>0</v>
      </c>
      <c r="U1290" s="578">
        <f t="shared" si="332"/>
        <v>0</v>
      </c>
      <c r="V1290" s="579"/>
      <c r="W1290" s="566"/>
      <c r="X1290" s="586" t="str">
        <f t="shared" si="335"/>
        <v/>
      </c>
      <c r="Y1290" s="586" t="str">
        <f t="shared" si="329"/>
        <v/>
      </c>
      <c r="Z1290" s="586" t="str">
        <f t="shared" si="327"/>
        <v/>
      </c>
    </row>
    <row r="1291" spans="1:26" ht="12" hidden="1" thickBot="1" x14ac:dyDescent="0.25">
      <c r="A1291" s="567">
        <v>91936</v>
      </c>
      <c r="B1291" s="644">
        <v>91936</v>
      </c>
      <c r="C1291" s="645" t="s">
        <v>670</v>
      </c>
      <c r="D1291" s="422" t="s">
        <v>1142</v>
      </c>
      <c r="E1291" s="423"/>
      <c r="F1291" s="424"/>
      <c r="G1291" s="425"/>
      <c r="H1291" s="651"/>
      <c r="I1291" s="420">
        <v>17.34</v>
      </c>
      <c r="J1291" s="420">
        <f t="shared" si="326"/>
        <v>17.34</v>
      </c>
      <c r="K1291" s="421">
        <f t="shared" si="336"/>
        <v>20.6</v>
      </c>
      <c r="L1291" s="647" t="s">
        <v>2065</v>
      </c>
      <c r="M1291" s="576"/>
      <c r="N1291" s="576">
        <f t="shared" si="328"/>
        <v>0</v>
      </c>
      <c r="O1291" s="577">
        <f t="shared" si="333"/>
        <v>0</v>
      </c>
      <c r="P1291" s="578">
        <f t="shared" si="334"/>
        <v>0</v>
      </c>
      <c r="Q1291" s="765"/>
      <c r="R1291" s="576">
        <f t="shared" si="330"/>
        <v>0</v>
      </c>
      <c r="S1291" s="576">
        <f t="shared" si="330"/>
        <v>0</v>
      </c>
      <c r="T1291" s="577">
        <f t="shared" si="331"/>
        <v>0</v>
      </c>
      <c r="U1291" s="578">
        <f t="shared" si="332"/>
        <v>0</v>
      </c>
      <c r="V1291" s="579"/>
      <c r="W1291" s="566"/>
      <c r="X1291" s="586" t="str">
        <f t="shared" si="335"/>
        <v/>
      </c>
      <c r="Y1291" s="586" t="str">
        <f t="shared" si="329"/>
        <v/>
      </c>
      <c r="Z1291" s="586" t="str">
        <f t="shared" si="327"/>
        <v/>
      </c>
    </row>
    <row r="1292" spans="1:26" ht="12" hidden="1" thickBot="1" x14ac:dyDescent="0.25">
      <c r="A1292" s="567">
        <v>91937</v>
      </c>
      <c r="B1292" s="644">
        <v>91937</v>
      </c>
      <c r="C1292" s="645" t="s">
        <v>670</v>
      </c>
      <c r="D1292" s="422" t="s">
        <v>1143</v>
      </c>
      <c r="E1292" s="423"/>
      <c r="F1292" s="424"/>
      <c r="G1292" s="425"/>
      <c r="H1292" s="651"/>
      <c r="I1292" s="420">
        <v>14.3</v>
      </c>
      <c r="J1292" s="420">
        <f t="shared" si="326"/>
        <v>14.3</v>
      </c>
      <c r="K1292" s="421">
        <f t="shared" si="336"/>
        <v>16.989999999999998</v>
      </c>
      <c r="L1292" s="647" t="s">
        <v>2065</v>
      </c>
      <c r="M1292" s="576"/>
      <c r="N1292" s="576">
        <f t="shared" si="328"/>
        <v>0</v>
      </c>
      <c r="O1292" s="577">
        <f t="shared" si="333"/>
        <v>0</v>
      </c>
      <c r="P1292" s="578">
        <f t="shared" si="334"/>
        <v>0</v>
      </c>
      <c r="Q1292" s="765"/>
      <c r="R1292" s="576">
        <f t="shared" si="330"/>
        <v>0</v>
      </c>
      <c r="S1292" s="576">
        <f t="shared" si="330"/>
        <v>0</v>
      </c>
      <c r="T1292" s="577">
        <f t="shared" si="331"/>
        <v>0</v>
      </c>
      <c r="U1292" s="578">
        <f t="shared" si="332"/>
        <v>0</v>
      </c>
      <c r="V1292" s="579"/>
      <c r="W1292" s="566"/>
      <c r="X1292" s="586" t="str">
        <f t="shared" si="335"/>
        <v/>
      </c>
      <c r="Y1292" s="586" t="str">
        <f t="shared" si="329"/>
        <v/>
      </c>
      <c r="Z1292" s="586" t="str">
        <f t="shared" si="327"/>
        <v/>
      </c>
    </row>
    <row r="1293" spans="1:26" ht="23.25" hidden="1" thickBot="1" x14ac:dyDescent="0.25">
      <c r="A1293" s="567">
        <v>91939</v>
      </c>
      <c r="B1293" s="644">
        <v>91939</v>
      </c>
      <c r="C1293" s="645" t="s">
        <v>670</v>
      </c>
      <c r="D1293" s="422" t="s">
        <v>1144</v>
      </c>
      <c r="E1293" s="423"/>
      <c r="F1293" s="424"/>
      <c r="G1293" s="425"/>
      <c r="H1293" s="651"/>
      <c r="I1293" s="420">
        <v>31.44</v>
      </c>
      <c r="J1293" s="420">
        <f t="shared" si="326"/>
        <v>31.44</v>
      </c>
      <c r="K1293" s="421">
        <f t="shared" si="336"/>
        <v>37.35</v>
      </c>
      <c r="L1293" s="647" t="s">
        <v>2065</v>
      </c>
      <c r="M1293" s="576"/>
      <c r="N1293" s="576">
        <f t="shared" si="328"/>
        <v>0</v>
      </c>
      <c r="O1293" s="577">
        <f t="shared" si="333"/>
        <v>0</v>
      </c>
      <c r="P1293" s="578">
        <f t="shared" si="334"/>
        <v>0</v>
      </c>
      <c r="Q1293" s="765"/>
      <c r="R1293" s="576">
        <f t="shared" si="330"/>
        <v>0</v>
      </c>
      <c r="S1293" s="576">
        <f t="shared" si="330"/>
        <v>0</v>
      </c>
      <c r="T1293" s="577">
        <f t="shared" si="331"/>
        <v>0</v>
      </c>
      <c r="U1293" s="578">
        <f t="shared" si="332"/>
        <v>0</v>
      </c>
      <c r="V1293" s="579"/>
      <c r="W1293" s="566"/>
      <c r="X1293" s="586" t="str">
        <f t="shared" si="335"/>
        <v/>
      </c>
      <c r="Y1293" s="586" t="str">
        <f t="shared" si="329"/>
        <v/>
      </c>
      <c r="Z1293" s="586" t="str">
        <f t="shared" si="327"/>
        <v/>
      </c>
    </row>
    <row r="1294" spans="1:26" ht="23.25" hidden="1" thickBot="1" x14ac:dyDescent="0.25">
      <c r="A1294" s="567">
        <v>91940</v>
      </c>
      <c r="B1294" s="644">
        <v>91940</v>
      </c>
      <c r="C1294" s="645" t="s">
        <v>670</v>
      </c>
      <c r="D1294" s="422" t="s">
        <v>1145</v>
      </c>
      <c r="E1294" s="423"/>
      <c r="F1294" s="424"/>
      <c r="G1294" s="425"/>
      <c r="H1294" s="651"/>
      <c r="I1294" s="420">
        <v>17.239999999999998</v>
      </c>
      <c r="J1294" s="420">
        <f t="shared" si="326"/>
        <v>17.239999999999998</v>
      </c>
      <c r="K1294" s="421">
        <f t="shared" si="336"/>
        <v>20.48</v>
      </c>
      <c r="L1294" s="647" t="s">
        <v>2065</v>
      </c>
      <c r="M1294" s="576"/>
      <c r="N1294" s="576">
        <f t="shared" si="328"/>
        <v>0</v>
      </c>
      <c r="O1294" s="577">
        <f t="shared" si="333"/>
        <v>0</v>
      </c>
      <c r="P1294" s="578">
        <f t="shared" si="334"/>
        <v>0</v>
      </c>
      <c r="Q1294" s="765"/>
      <c r="R1294" s="576">
        <f t="shared" si="330"/>
        <v>0</v>
      </c>
      <c r="S1294" s="576">
        <f t="shared" si="330"/>
        <v>0</v>
      </c>
      <c r="T1294" s="577">
        <f t="shared" si="331"/>
        <v>0</v>
      </c>
      <c r="U1294" s="578">
        <f t="shared" si="332"/>
        <v>0</v>
      </c>
      <c r="V1294" s="579"/>
      <c r="W1294" s="566"/>
      <c r="X1294" s="586" t="str">
        <f t="shared" si="335"/>
        <v/>
      </c>
      <c r="Y1294" s="586" t="str">
        <f t="shared" si="329"/>
        <v/>
      </c>
      <c r="Z1294" s="586" t="str">
        <f t="shared" si="327"/>
        <v/>
      </c>
    </row>
    <row r="1295" spans="1:26" ht="23.25" hidden="1" thickBot="1" x14ac:dyDescent="0.25">
      <c r="A1295" s="567">
        <v>91941</v>
      </c>
      <c r="B1295" s="644">
        <v>91941</v>
      </c>
      <c r="C1295" s="645" t="s">
        <v>670</v>
      </c>
      <c r="D1295" s="422" t="s">
        <v>1146</v>
      </c>
      <c r="E1295" s="423"/>
      <c r="F1295" s="424"/>
      <c r="G1295" s="425"/>
      <c r="H1295" s="651"/>
      <c r="I1295" s="420">
        <v>11.91</v>
      </c>
      <c r="J1295" s="420">
        <f t="shared" si="326"/>
        <v>11.91</v>
      </c>
      <c r="K1295" s="421">
        <f t="shared" si="336"/>
        <v>14.15</v>
      </c>
      <c r="L1295" s="647" t="s">
        <v>2065</v>
      </c>
      <c r="M1295" s="576"/>
      <c r="N1295" s="576">
        <f t="shared" si="328"/>
        <v>0</v>
      </c>
      <c r="O1295" s="577">
        <f t="shared" si="333"/>
        <v>0</v>
      </c>
      <c r="P1295" s="578">
        <f t="shared" si="334"/>
        <v>0</v>
      </c>
      <c r="Q1295" s="765"/>
      <c r="R1295" s="576">
        <f t="shared" si="330"/>
        <v>0</v>
      </c>
      <c r="S1295" s="576">
        <f t="shared" si="330"/>
        <v>0</v>
      </c>
      <c r="T1295" s="577">
        <f t="shared" si="331"/>
        <v>0</v>
      </c>
      <c r="U1295" s="578">
        <f t="shared" si="332"/>
        <v>0</v>
      </c>
      <c r="V1295" s="579"/>
      <c r="W1295" s="566"/>
      <c r="X1295" s="586" t="str">
        <f t="shared" si="335"/>
        <v/>
      </c>
      <c r="Y1295" s="586" t="str">
        <f t="shared" si="329"/>
        <v/>
      </c>
      <c r="Z1295" s="586" t="str">
        <f t="shared" si="327"/>
        <v/>
      </c>
    </row>
    <row r="1296" spans="1:26" ht="23.25" hidden="1" thickBot="1" x14ac:dyDescent="0.25">
      <c r="A1296" s="567">
        <v>91942</v>
      </c>
      <c r="B1296" s="644">
        <v>91942</v>
      </c>
      <c r="C1296" s="645" t="s">
        <v>670</v>
      </c>
      <c r="D1296" s="422" t="s">
        <v>1147</v>
      </c>
      <c r="E1296" s="423"/>
      <c r="F1296" s="424"/>
      <c r="G1296" s="425"/>
      <c r="H1296" s="651"/>
      <c r="I1296" s="420">
        <v>39.409999999999997</v>
      </c>
      <c r="J1296" s="420">
        <f t="shared" si="326"/>
        <v>39.409999999999997</v>
      </c>
      <c r="K1296" s="421">
        <f t="shared" si="336"/>
        <v>46.82</v>
      </c>
      <c r="L1296" s="647" t="s">
        <v>2065</v>
      </c>
      <c r="M1296" s="576"/>
      <c r="N1296" s="576">
        <f t="shared" si="328"/>
        <v>0</v>
      </c>
      <c r="O1296" s="577">
        <f t="shared" si="333"/>
        <v>0</v>
      </c>
      <c r="P1296" s="578">
        <f t="shared" si="334"/>
        <v>0</v>
      </c>
      <c r="Q1296" s="765"/>
      <c r="R1296" s="576">
        <f t="shared" si="330"/>
        <v>0</v>
      </c>
      <c r="S1296" s="576">
        <f t="shared" si="330"/>
        <v>0</v>
      </c>
      <c r="T1296" s="577">
        <f t="shared" si="331"/>
        <v>0</v>
      </c>
      <c r="U1296" s="578">
        <f t="shared" si="332"/>
        <v>0</v>
      </c>
      <c r="V1296" s="579"/>
      <c r="W1296" s="566"/>
      <c r="X1296" s="586" t="str">
        <f t="shared" si="335"/>
        <v/>
      </c>
      <c r="Y1296" s="586" t="str">
        <f t="shared" si="329"/>
        <v/>
      </c>
      <c r="Z1296" s="586" t="str">
        <f t="shared" si="327"/>
        <v/>
      </c>
    </row>
    <row r="1297" spans="1:26" ht="23.25" hidden="1" thickBot="1" x14ac:dyDescent="0.25">
      <c r="A1297" s="567">
        <v>91943</v>
      </c>
      <c r="B1297" s="644">
        <v>91943</v>
      </c>
      <c r="C1297" s="645" t="s">
        <v>670</v>
      </c>
      <c r="D1297" s="422" t="s">
        <v>1148</v>
      </c>
      <c r="E1297" s="423"/>
      <c r="F1297" s="424"/>
      <c r="G1297" s="425"/>
      <c r="H1297" s="651"/>
      <c r="I1297" s="420">
        <v>23.07</v>
      </c>
      <c r="J1297" s="420">
        <f t="shared" si="326"/>
        <v>23.07</v>
      </c>
      <c r="K1297" s="421">
        <f t="shared" si="336"/>
        <v>27.41</v>
      </c>
      <c r="L1297" s="647" t="s">
        <v>2065</v>
      </c>
      <c r="M1297" s="576"/>
      <c r="N1297" s="576">
        <f t="shared" si="328"/>
        <v>0</v>
      </c>
      <c r="O1297" s="577">
        <f t="shared" si="333"/>
        <v>0</v>
      </c>
      <c r="P1297" s="578">
        <f t="shared" si="334"/>
        <v>0</v>
      </c>
      <c r="Q1297" s="765"/>
      <c r="R1297" s="576">
        <f t="shared" si="330"/>
        <v>0</v>
      </c>
      <c r="S1297" s="576">
        <f t="shared" si="330"/>
        <v>0</v>
      </c>
      <c r="T1297" s="577">
        <f t="shared" si="331"/>
        <v>0</v>
      </c>
      <c r="U1297" s="578">
        <f t="shared" si="332"/>
        <v>0</v>
      </c>
      <c r="V1297" s="579"/>
      <c r="W1297" s="566"/>
      <c r="X1297" s="586" t="str">
        <f t="shared" si="335"/>
        <v/>
      </c>
      <c r="Y1297" s="586" t="str">
        <f t="shared" si="329"/>
        <v/>
      </c>
      <c r="Z1297" s="586" t="str">
        <f t="shared" si="327"/>
        <v/>
      </c>
    </row>
    <row r="1298" spans="1:26" ht="23.25" hidden="1" thickBot="1" x14ac:dyDescent="0.25">
      <c r="A1298" s="567">
        <v>91944</v>
      </c>
      <c r="B1298" s="644">
        <v>91944</v>
      </c>
      <c r="C1298" s="645" t="s">
        <v>670</v>
      </c>
      <c r="D1298" s="422" t="s">
        <v>1149</v>
      </c>
      <c r="E1298" s="423"/>
      <c r="F1298" s="424"/>
      <c r="G1298" s="425"/>
      <c r="H1298" s="651"/>
      <c r="I1298" s="420">
        <v>16.97</v>
      </c>
      <c r="J1298" s="420">
        <f t="shared" si="326"/>
        <v>16.97</v>
      </c>
      <c r="K1298" s="421">
        <f t="shared" si="336"/>
        <v>20.16</v>
      </c>
      <c r="L1298" s="647" t="s">
        <v>2065</v>
      </c>
      <c r="M1298" s="576"/>
      <c r="N1298" s="576">
        <f t="shared" si="328"/>
        <v>0</v>
      </c>
      <c r="O1298" s="577">
        <f t="shared" si="333"/>
        <v>0</v>
      </c>
      <c r="P1298" s="578">
        <f t="shared" si="334"/>
        <v>0</v>
      </c>
      <c r="Q1298" s="765"/>
      <c r="R1298" s="576">
        <f t="shared" si="330"/>
        <v>0</v>
      </c>
      <c r="S1298" s="576">
        <f t="shared" si="330"/>
        <v>0</v>
      </c>
      <c r="T1298" s="577">
        <f t="shared" si="331"/>
        <v>0</v>
      </c>
      <c r="U1298" s="578">
        <f t="shared" si="332"/>
        <v>0</v>
      </c>
      <c r="V1298" s="579"/>
      <c r="W1298" s="566"/>
      <c r="X1298" s="586" t="str">
        <f t="shared" si="335"/>
        <v/>
      </c>
      <c r="Y1298" s="586" t="str">
        <f t="shared" si="329"/>
        <v/>
      </c>
      <c r="Z1298" s="586" t="str">
        <f t="shared" si="327"/>
        <v/>
      </c>
    </row>
    <row r="1299" spans="1:26" ht="23.25" hidden="1" thickBot="1" x14ac:dyDescent="0.25">
      <c r="A1299" s="567">
        <v>92865</v>
      </c>
      <c r="B1299" s="644">
        <v>92865</v>
      </c>
      <c r="C1299" s="645" t="s">
        <v>670</v>
      </c>
      <c r="D1299" s="422" t="s">
        <v>1150</v>
      </c>
      <c r="E1299" s="423"/>
      <c r="F1299" s="424"/>
      <c r="G1299" s="425"/>
      <c r="H1299" s="651"/>
      <c r="I1299" s="420">
        <v>12.27</v>
      </c>
      <c r="J1299" s="420">
        <f t="shared" ref="J1299:J1362" si="337">IF(ISBLANK(I1299),"",SUM(H1299:I1299))</f>
        <v>12.27</v>
      </c>
      <c r="K1299" s="421">
        <f t="shared" si="336"/>
        <v>14.58</v>
      </c>
      <c r="L1299" s="647" t="s">
        <v>2065</v>
      </c>
      <c r="M1299" s="576"/>
      <c r="N1299" s="576">
        <f t="shared" si="328"/>
        <v>0</v>
      </c>
      <c r="O1299" s="577">
        <f t="shared" si="333"/>
        <v>0</v>
      </c>
      <c r="P1299" s="578">
        <f t="shared" si="334"/>
        <v>0</v>
      </c>
      <c r="Q1299" s="765"/>
      <c r="R1299" s="576">
        <f t="shared" si="330"/>
        <v>0</v>
      </c>
      <c r="S1299" s="576">
        <f t="shared" si="330"/>
        <v>0</v>
      </c>
      <c r="T1299" s="577">
        <f t="shared" si="331"/>
        <v>0</v>
      </c>
      <c r="U1299" s="578">
        <f t="shared" si="332"/>
        <v>0</v>
      </c>
      <c r="V1299" s="579"/>
      <c r="W1299" s="566"/>
      <c r="X1299" s="586" t="str">
        <f t="shared" si="335"/>
        <v/>
      </c>
      <c r="Y1299" s="586" t="str">
        <f t="shared" si="329"/>
        <v/>
      </c>
      <c r="Z1299" s="586" t="str">
        <f t="shared" ref="Z1299:Z1362" si="338">IF(W1299="X","x",IF(U1299&gt;0,"x",""))</f>
        <v/>
      </c>
    </row>
    <row r="1300" spans="1:26" ht="23.25" hidden="1" thickBot="1" x14ac:dyDescent="0.25">
      <c r="A1300" s="567">
        <v>92866</v>
      </c>
      <c r="B1300" s="644">
        <v>92866</v>
      </c>
      <c r="C1300" s="645" t="s">
        <v>670</v>
      </c>
      <c r="D1300" s="422" t="s">
        <v>1151</v>
      </c>
      <c r="E1300" s="423"/>
      <c r="F1300" s="424"/>
      <c r="G1300" s="425"/>
      <c r="H1300" s="651"/>
      <c r="I1300" s="420">
        <v>9.66</v>
      </c>
      <c r="J1300" s="420">
        <f t="shared" si="337"/>
        <v>9.66</v>
      </c>
      <c r="K1300" s="421">
        <f t="shared" si="336"/>
        <v>11.48</v>
      </c>
      <c r="L1300" s="647" t="s">
        <v>2065</v>
      </c>
      <c r="M1300" s="576"/>
      <c r="N1300" s="576">
        <f t="shared" ref="N1300:N1363" si="339">IF(M1300=0,0,K1300)</f>
        <v>0</v>
      </c>
      <c r="O1300" s="577">
        <f t="shared" si="333"/>
        <v>0</v>
      </c>
      <c r="P1300" s="578">
        <f t="shared" si="334"/>
        <v>0</v>
      </c>
      <c r="Q1300" s="765"/>
      <c r="R1300" s="576">
        <f t="shared" si="330"/>
        <v>0</v>
      </c>
      <c r="S1300" s="576">
        <f t="shared" si="330"/>
        <v>0</v>
      </c>
      <c r="T1300" s="577">
        <f t="shared" si="331"/>
        <v>0</v>
      </c>
      <c r="U1300" s="578">
        <f t="shared" si="332"/>
        <v>0</v>
      </c>
      <c r="V1300" s="579"/>
      <c r="W1300" s="566"/>
      <c r="X1300" s="586" t="str">
        <f t="shared" si="335"/>
        <v/>
      </c>
      <c r="Y1300" s="586" t="str">
        <f t="shared" si="329"/>
        <v/>
      </c>
      <c r="Z1300" s="586" t="str">
        <f t="shared" si="338"/>
        <v/>
      </c>
    </row>
    <row r="1301" spans="1:26" ht="23.25" hidden="1" thickBot="1" x14ac:dyDescent="0.25">
      <c r="A1301" s="567">
        <v>92867</v>
      </c>
      <c r="B1301" s="644">
        <v>92867</v>
      </c>
      <c r="C1301" s="645" t="s">
        <v>670</v>
      </c>
      <c r="D1301" s="422" t="s">
        <v>1152</v>
      </c>
      <c r="E1301" s="423"/>
      <c r="F1301" s="424"/>
      <c r="G1301" s="425"/>
      <c r="H1301" s="651"/>
      <c r="I1301" s="420">
        <v>29.89</v>
      </c>
      <c r="J1301" s="420">
        <f t="shared" si="337"/>
        <v>29.89</v>
      </c>
      <c r="K1301" s="421">
        <f t="shared" si="336"/>
        <v>35.51</v>
      </c>
      <c r="L1301" s="647" t="s">
        <v>2065</v>
      </c>
      <c r="M1301" s="576"/>
      <c r="N1301" s="576">
        <f t="shared" si="339"/>
        <v>0</v>
      </c>
      <c r="O1301" s="577">
        <f t="shared" si="333"/>
        <v>0</v>
      </c>
      <c r="P1301" s="578">
        <f t="shared" si="334"/>
        <v>0</v>
      </c>
      <c r="Q1301" s="765"/>
      <c r="R1301" s="576">
        <f t="shared" si="330"/>
        <v>0</v>
      </c>
      <c r="S1301" s="576">
        <f t="shared" si="330"/>
        <v>0</v>
      </c>
      <c r="T1301" s="577">
        <f t="shared" si="331"/>
        <v>0</v>
      </c>
      <c r="U1301" s="578">
        <f t="shared" si="332"/>
        <v>0</v>
      </c>
      <c r="V1301" s="579"/>
      <c r="W1301" s="566"/>
      <c r="X1301" s="586" t="str">
        <f t="shared" si="335"/>
        <v/>
      </c>
      <c r="Y1301" s="586" t="str">
        <f t="shared" si="329"/>
        <v/>
      </c>
      <c r="Z1301" s="586" t="str">
        <f t="shared" si="338"/>
        <v/>
      </c>
    </row>
    <row r="1302" spans="1:26" ht="23.25" hidden="1" thickBot="1" x14ac:dyDescent="0.25">
      <c r="A1302" s="567">
        <v>92868</v>
      </c>
      <c r="B1302" s="644">
        <v>92868</v>
      </c>
      <c r="C1302" s="645" t="s">
        <v>670</v>
      </c>
      <c r="D1302" s="422" t="s">
        <v>1153</v>
      </c>
      <c r="E1302" s="423"/>
      <c r="F1302" s="424"/>
      <c r="G1302" s="425"/>
      <c r="H1302" s="651"/>
      <c r="I1302" s="420">
        <v>15.69</v>
      </c>
      <c r="J1302" s="420">
        <f t="shared" si="337"/>
        <v>15.69</v>
      </c>
      <c r="K1302" s="421">
        <f t="shared" si="336"/>
        <v>18.64</v>
      </c>
      <c r="L1302" s="647" t="s">
        <v>2065</v>
      </c>
      <c r="M1302" s="576"/>
      <c r="N1302" s="576">
        <f t="shared" si="339"/>
        <v>0</v>
      </c>
      <c r="O1302" s="577">
        <f t="shared" si="333"/>
        <v>0</v>
      </c>
      <c r="P1302" s="578">
        <f t="shared" si="334"/>
        <v>0</v>
      </c>
      <c r="Q1302" s="765"/>
      <c r="R1302" s="576">
        <f t="shared" si="330"/>
        <v>0</v>
      </c>
      <c r="S1302" s="576">
        <f t="shared" si="330"/>
        <v>0</v>
      </c>
      <c r="T1302" s="577">
        <f t="shared" si="331"/>
        <v>0</v>
      </c>
      <c r="U1302" s="578">
        <f t="shared" si="332"/>
        <v>0</v>
      </c>
      <c r="V1302" s="579"/>
      <c r="W1302" s="566"/>
      <c r="X1302" s="586" t="str">
        <f t="shared" si="335"/>
        <v/>
      </c>
      <c r="Y1302" s="586" t="str">
        <f t="shared" si="329"/>
        <v/>
      </c>
      <c r="Z1302" s="586" t="str">
        <f t="shared" si="338"/>
        <v/>
      </c>
    </row>
    <row r="1303" spans="1:26" ht="23.25" hidden="1" thickBot="1" x14ac:dyDescent="0.25">
      <c r="A1303" s="567">
        <v>92869</v>
      </c>
      <c r="B1303" s="644">
        <v>92869</v>
      </c>
      <c r="C1303" s="645" t="s">
        <v>670</v>
      </c>
      <c r="D1303" s="422" t="s">
        <v>1154</v>
      </c>
      <c r="E1303" s="423"/>
      <c r="F1303" s="424"/>
      <c r="G1303" s="425"/>
      <c r="H1303" s="651"/>
      <c r="I1303" s="420">
        <v>10.36</v>
      </c>
      <c r="J1303" s="420">
        <f t="shared" si="337"/>
        <v>10.36</v>
      </c>
      <c r="K1303" s="421">
        <f t="shared" si="336"/>
        <v>12.31</v>
      </c>
      <c r="L1303" s="647" t="s">
        <v>2065</v>
      </c>
      <c r="M1303" s="576"/>
      <c r="N1303" s="576">
        <f t="shared" si="339"/>
        <v>0</v>
      </c>
      <c r="O1303" s="577">
        <f t="shared" si="333"/>
        <v>0</v>
      </c>
      <c r="P1303" s="578">
        <f t="shared" si="334"/>
        <v>0</v>
      </c>
      <c r="Q1303" s="765"/>
      <c r="R1303" s="576">
        <f t="shared" si="330"/>
        <v>0</v>
      </c>
      <c r="S1303" s="576">
        <f t="shared" si="330"/>
        <v>0</v>
      </c>
      <c r="T1303" s="577">
        <f t="shared" si="331"/>
        <v>0</v>
      </c>
      <c r="U1303" s="578">
        <f t="shared" si="332"/>
        <v>0</v>
      </c>
      <c r="V1303" s="579"/>
      <c r="W1303" s="566"/>
      <c r="X1303" s="586" t="str">
        <f t="shared" si="335"/>
        <v/>
      </c>
      <c r="Y1303" s="586" t="str">
        <f t="shared" si="329"/>
        <v/>
      </c>
      <c r="Z1303" s="586" t="str">
        <f t="shared" si="338"/>
        <v/>
      </c>
    </row>
    <row r="1304" spans="1:26" ht="23.25" hidden="1" thickBot="1" x14ac:dyDescent="0.25">
      <c r="A1304" s="567">
        <v>92870</v>
      </c>
      <c r="B1304" s="644">
        <v>92870</v>
      </c>
      <c r="C1304" s="645" t="s">
        <v>670</v>
      </c>
      <c r="D1304" s="422" t="s">
        <v>1155</v>
      </c>
      <c r="E1304" s="423"/>
      <c r="F1304" s="424"/>
      <c r="G1304" s="425"/>
      <c r="H1304" s="651"/>
      <c r="I1304" s="420">
        <v>36.630000000000003</v>
      </c>
      <c r="J1304" s="420">
        <f t="shared" si="337"/>
        <v>36.630000000000003</v>
      </c>
      <c r="K1304" s="421">
        <f t="shared" si="336"/>
        <v>43.52</v>
      </c>
      <c r="L1304" s="647" t="s">
        <v>2065</v>
      </c>
      <c r="M1304" s="576"/>
      <c r="N1304" s="576">
        <f t="shared" si="339"/>
        <v>0</v>
      </c>
      <c r="O1304" s="577">
        <f t="shared" si="333"/>
        <v>0</v>
      </c>
      <c r="P1304" s="578">
        <f t="shared" si="334"/>
        <v>0</v>
      </c>
      <c r="Q1304" s="765"/>
      <c r="R1304" s="576">
        <f t="shared" si="330"/>
        <v>0</v>
      </c>
      <c r="S1304" s="576">
        <f t="shared" si="330"/>
        <v>0</v>
      </c>
      <c r="T1304" s="577">
        <f t="shared" si="331"/>
        <v>0</v>
      </c>
      <c r="U1304" s="578">
        <f t="shared" si="332"/>
        <v>0</v>
      </c>
      <c r="V1304" s="579"/>
      <c r="W1304" s="566"/>
      <c r="X1304" s="586" t="str">
        <f t="shared" si="335"/>
        <v/>
      </c>
      <c r="Y1304" s="586" t="str">
        <f t="shared" si="329"/>
        <v/>
      </c>
      <c r="Z1304" s="586" t="str">
        <f t="shared" si="338"/>
        <v/>
      </c>
    </row>
    <row r="1305" spans="1:26" ht="23.25" hidden="1" thickBot="1" x14ac:dyDescent="0.25">
      <c r="A1305" s="567">
        <v>92871</v>
      </c>
      <c r="B1305" s="644">
        <v>92871</v>
      </c>
      <c r="C1305" s="645" t="s">
        <v>670</v>
      </c>
      <c r="D1305" s="422" t="s">
        <v>1156</v>
      </c>
      <c r="E1305" s="423"/>
      <c r="F1305" s="424"/>
      <c r="G1305" s="425"/>
      <c r="H1305" s="651"/>
      <c r="I1305" s="420">
        <v>20.29</v>
      </c>
      <c r="J1305" s="420">
        <f t="shared" si="337"/>
        <v>20.29</v>
      </c>
      <c r="K1305" s="421">
        <f t="shared" si="336"/>
        <v>24.11</v>
      </c>
      <c r="L1305" s="647" t="s">
        <v>2065</v>
      </c>
      <c r="M1305" s="576"/>
      <c r="N1305" s="576">
        <f t="shared" si="339"/>
        <v>0</v>
      </c>
      <c r="O1305" s="577">
        <f t="shared" si="333"/>
        <v>0</v>
      </c>
      <c r="P1305" s="578">
        <f t="shared" si="334"/>
        <v>0</v>
      </c>
      <c r="Q1305" s="765"/>
      <c r="R1305" s="576">
        <f t="shared" si="330"/>
        <v>0</v>
      </c>
      <c r="S1305" s="576">
        <f t="shared" si="330"/>
        <v>0</v>
      </c>
      <c r="T1305" s="577">
        <f t="shared" si="331"/>
        <v>0</v>
      </c>
      <c r="U1305" s="578">
        <f t="shared" si="332"/>
        <v>0</v>
      </c>
      <c r="V1305" s="579"/>
      <c r="W1305" s="566"/>
      <c r="X1305" s="586" t="str">
        <f t="shared" si="335"/>
        <v/>
      </c>
      <c r="Y1305" s="586" t="str">
        <f t="shared" si="329"/>
        <v/>
      </c>
      <c r="Z1305" s="586" t="str">
        <f t="shared" si="338"/>
        <v/>
      </c>
    </row>
    <row r="1306" spans="1:26" ht="23.25" hidden="1" thickBot="1" x14ac:dyDescent="0.25">
      <c r="A1306" s="567">
        <v>92872</v>
      </c>
      <c r="B1306" s="644">
        <v>92872</v>
      </c>
      <c r="C1306" s="645" t="s">
        <v>670</v>
      </c>
      <c r="D1306" s="422" t="s">
        <v>1157</v>
      </c>
      <c r="E1306" s="423"/>
      <c r="F1306" s="424"/>
      <c r="G1306" s="425"/>
      <c r="H1306" s="651"/>
      <c r="I1306" s="420">
        <v>14.19</v>
      </c>
      <c r="J1306" s="420">
        <f t="shared" si="337"/>
        <v>14.19</v>
      </c>
      <c r="K1306" s="421">
        <f t="shared" si="336"/>
        <v>16.86</v>
      </c>
      <c r="L1306" s="647" t="s">
        <v>2065</v>
      </c>
      <c r="M1306" s="576"/>
      <c r="N1306" s="576">
        <f t="shared" si="339"/>
        <v>0</v>
      </c>
      <c r="O1306" s="577">
        <f t="shared" si="333"/>
        <v>0</v>
      </c>
      <c r="P1306" s="578">
        <f t="shared" si="334"/>
        <v>0</v>
      </c>
      <c r="Q1306" s="765"/>
      <c r="R1306" s="576">
        <f t="shared" si="330"/>
        <v>0</v>
      </c>
      <c r="S1306" s="576">
        <f t="shared" si="330"/>
        <v>0</v>
      </c>
      <c r="T1306" s="577">
        <f t="shared" si="331"/>
        <v>0</v>
      </c>
      <c r="U1306" s="578">
        <f t="shared" si="332"/>
        <v>0</v>
      </c>
      <c r="V1306" s="579"/>
      <c r="W1306" s="566"/>
      <c r="X1306" s="586" t="str">
        <f t="shared" si="335"/>
        <v/>
      </c>
      <c r="Y1306" s="586" t="str">
        <f t="shared" si="329"/>
        <v/>
      </c>
      <c r="Z1306" s="586" t="str">
        <f t="shared" si="338"/>
        <v/>
      </c>
    </row>
    <row r="1307" spans="1:26" ht="23.25" hidden="1" thickBot="1" x14ac:dyDescent="0.25">
      <c r="A1307" s="567">
        <v>97886</v>
      </c>
      <c r="B1307" s="644">
        <v>97886</v>
      </c>
      <c r="C1307" s="645" t="s">
        <v>670</v>
      </c>
      <c r="D1307" s="422" t="s">
        <v>1158</v>
      </c>
      <c r="E1307" s="423"/>
      <c r="F1307" s="424"/>
      <c r="G1307" s="425"/>
      <c r="H1307" s="651"/>
      <c r="I1307" s="420">
        <v>164.67</v>
      </c>
      <c r="J1307" s="420">
        <f t="shared" si="337"/>
        <v>164.67</v>
      </c>
      <c r="K1307" s="421">
        <f t="shared" si="336"/>
        <v>195.64</v>
      </c>
      <c r="L1307" s="647" t="s">
        <v>2065</v>
      </c>
      <c r="M1307" s="576"/>
      <c r="N1307" s="576">
        <f t="shared" si="339"/>
        <v>0</v>
      </c>
      <c r="O1307" s="577">
        <f t="shared" si="333"/>
        <v>0</v>
      </c>
      <c r="P1307" s="578">
        <f t="shared" si="334"/>
        <v>0</v>
      </c>
      <c r="Q1307" s="765"/>
      <c r="R1307" s="576">
        <f t="shared" si="330"/>
        <v>0</v>
      </c>
      <c r="S1307" s="576">
        <f t="shared" si="330"/>
        <v>0</v>
      </c>
      <c r="T1307" s="577">
        <f t="shared" si="331"/>
        <v>0</v>
      </c>
      <c r="U1307" s="578">
        <f t="shared" si="332"/>
        <v>0</v>
      </c>
      <c r="V1307" s="579"/>
      <c r="W1307" s="566"/>
      <c r="X1307" s="586" t="str">
        <f t="shared" si="335"/>
        <v/>
      </c>
      <c r="Y1307" s="586" t="str">
        <f t="shared" si="329"/>
        <v/>
      </c>
      <c r="Z1307" s="586" t="str">
        <f t="shared" si="338"/>
        <v/>
      </c>
    </row>
    <row r="1308" spans="1:26" ht="23.25" hidden="1" thickBot="1" x14ac:dyDescent="0.25">
      <c r="A1308" s="567">
        <v>97887</v>
      </c>
      <c r="B1308" s="644">
        <v>97887</v>
      </c>
      <c r="C1308" s="645" t="s">
        <v>670</v>
      </c>
      <c r="D1308" s="422" t="s">
        <v>1159</v>
      </c>
      <c r="E1308" s="423"/>
      <c r="F1308" s="424"/>
      <c r="G1308" s="425"/>
      <c r="H1308" s="651"/>
      <c r="I1308" s="420">
        <v>259.82</v>
      </c>
      <c r="J1308" s="420">
        <f t="shared" si="337"/>
        <v>259.82</v>
      </c>
      <c r="K1308" s="421">
        <f t="shared" si="336"/>
        <v>308.69</v>
      </c>
      <c r="L1308" s="647" t="s">
        <v>2065</v>
      </c>
      <c r="M1308" s="576"/>
      <c r="N1308" s="576">
        <f t="shared" si="339"/>
        <v>0</v>
      </c>
      <c r="O1308" s="577">
        <f t="shared" si="333"/>
        <v>0</v>
      </c>
      <c r="P1308" s="578">
        <f t="shared" si="334"/>
        <v>0</v>
      </c>
      <c r="Q1308" s="765"/>
      <c r="R1308" s="576">
        <f t="shared" si="330"/>
        <v>0</v>
      </c>
      <c r="S1308" s="576">
        <f t="shared" si="330"/>
        <v>0</v>
      </c>
      <c r="T1308" s="577">
        <f t="shared" si="331"/>
        <v>0</v>
      </c>
      <c r="U1308" s="578">
        <f t="shared" si="332"/>
        <v>0</v>
      </c>
      <c r="V1308" s="579"/>
      <c r="W1308" s="566"/>
      <c r="X1308" s="586" t="str">
        <f t="shared" si="335"/>
        <v/>
      </c>
      <c r="Y1308" s="586" t="str">
        <f t="shared" si="329"/>
        <v/>
      </c>
      <c r="Z1308" s="586" t="str">
        <f t="shared" si="338"/>
        <v/>
      </c>
    </row>
    <row r="1309" spans="1:26" ht="23.25" hidden="1" thickBot="1" x14ac:dyDescent="0.25">
      <c r="A1309" s="567">
        <v>97888</v>
      </c>
      <c r="B1309" s="644">
        <v>97888</v>
      </c>
      <c r="C1309" s="645" t="s">
        <v>670</v>
      </c>
      <c r="D1309" s="422" t="s">
        <v>1160</v>
      </c>
      <c r="E1309" s="423"/>
      <c r="F1309" s="424"/>
      <c r="G1309" s="425"/>
      <c r="H1309" s="651"/>
      <c r="I1309" s="420">
        <v>502.57</v>
      </c>
      <c r="J1309" s="420">
        <f t="shared" si="337"/>
        <v>502.57</v>
      </c>
      <c r="K1309" s="421">
        <f t="shared" si="336"/>
        <v>597.1</v>
      </c>
      <c r="L1309" s="647" t="s">
        <v>2065</v>
      </c>
      <c r="M1309" s="576"/>
      <c r="N1309" s="576">
        <f t="shared" si="339"/>
        <v>0</v>
      </c>
      <c r="O1309" s="577">
        <f t="shared" si="333"/>
        <v>0</v>
      </c>
      <c r="P1309" s="578">
        <f t="shared" si="334"/>
        <v>0</v>
      </c>
      <c r="Q1309" s="765"/>
      <c r="R1309" s="576">
        <f t="shared" si="330"/>
        <v>0</v>
      </c>
      <c r="S1309" s="576">
        <f t="shared" si="330"/>
        <v>0</v>
      </c>
      <c r="T1309" s="577">
        <f t="shared" si="331"/>
        <v>0</v>
      </c>
      <c r="U1309" s="578">
        <f t="shared" si="332"/>
        <v>0</v>
      </c>
      <c r="V1309" s="579"/>
      <c r="W1309" s="566"/>
      <c r="X1309" s="586" t="str">
        <f t="shared" si="335"/>
        <v/>
      </c>
      <c r="Y1309" s="586" t="str">
        <f t="shared" si="329"/>
        <v/>
      </c>
      <c r="Z1309" s="586" t="str">
        <f t="shared" si="338"/>
        <v/>
      </c>
    </row>
    <row r="1310" spans="1:26" ht="23.25" hidden="1" thickBot="1" x14ac:dyDescent="0.25">
      <c r="A1310" s="567">
        <v>97889</v>
      </c>
      <c r="B1310" s="644">
        <v>97889</v>
      </c>
      <c r="C1310" s="645" t="s">
        <v>670</v>
      </c>
      <c r="D1310" s="422" t="s">
        <v>1161</v>
      </c>
      <c r="E1310" s="423"/>
      <c r="F1310" s="424"/>
      <c r="G1310" s="425"/>
      <c r="H1310" s="651"/>
      <c r="I1310" s="420">
        <v>680.75</v>
      </c>
      <c r="J1310" s="420">
        <f t="shared" si="337"/>
        <v>680.75</v>
      </c>
      <c r="K1310" s="421">
        <f t="shared" si="336"/>
        <v>808.8</v>
      </c>
      <c r="L1310" s="647" t="s">
        <v>2065</v>
      </c>
      <c r="M1310" s="576"/>
      <c r="N1310" s="576">
        <f t="shared" si="339"/>
        <v>0</v>
      </c>
      <c r="O1310" s="577">
        <f t="shared" si="333"/>
        <v>0</v>
      </c>
      <c r="P1310" s="578">
        <f t="shared" si="334"/>
        <v>0</v>
      </c>
      <c r="Q1310" s="765"/>
      <c r="R1310" s="576">
        <f t="shared" si="330"/>
        <v>0</v>
      </c>
      <c r="S1310" s="576">
        <f t="shared" si="330"/>
        <v>0</v>
      </c>
      <c r="T1310" s="577">
        <f t="shared" si="331"/>
        <v>0</v>
      </c>
      <c r="U1310" s="578">
        <f t="shared" si="332"/>
        <v>0</v>
      </c>
      <c r="V1310" s="579"/>
      <c r="W1310" s="566"/>
      <c r="X1310" s="586" t="str">
        <f t="shared" si="335"/>
        <v/>
      </c>
      <c r="Y1310" s="586" t="str">
        <f t="shared" si="329"/>
        <v/>
      </c>
      <c r="Z1310" s="586" t="str">
        <f t="shared" si="338"/>
        <v/>
      </c>
    </row>
    <row r="1311" spans="1:26" ht="23.25" hidden="1" thickBot="1" x14ac:dyDescent="0.25">
      <c r="A1311" s="567">
        <v>97890</v>
      </c>
      <c r="B1311" s="644">
        <v>97890</v>
      </c>
      <c r="C1311" s="645" t="s">
        <v>670</v>
      </c>
      <c r="D1311" s="422" t="s">
        <v>1162</v>
      </c>
      <c r="E1311" s="423"/>
      <c r="F1311" s="424"/>
      <c r="G1311" s="425"/>
      <c r="H1311" s="651"/>
      <c r="I1311" s="420">
        <v>769.51</v>
      </c>
      <c r="J1311" s="420">
        <f t="shared" si="337"/>
        <v>769.51</v>
      </c>
      <c r="K1311" s="421">
        <f t="shared" si="336"/>
        <v>914.25</v>
      </c>
      <c r="L1311" s="647" t="s">
        <v>2065</v>
      </c>
      <c r="M1311" s="576"/>
      <c r="N1311" s="576">
        <f t="shared" si="339"/>
        <v>0</v>
      </c>
      <c r="O1311" s="577">
        <f t="shared" si="333"/>
        <v>0</v>
      </c>
      <c r="P1311" s="578">
        <f t="shared" si="334"/>
        <v>0</v>
      </c>
      <c r="Q1311" s="765"/>
      <c r="R1311" s="576">
        <f t="shared" si="330"/>
        <v>0</v>
      </c>
      <c r="S1311" s="576">
        <f t="shared" si="330"/>
        <v>0</v>
      </c>
      <c r="T1311" s="577">
        <f t="shared" si="331"/>
        <v>0</v>
      </c>
      <c r="U1311" s="578">
        <f t="shared" si="332"/>
        <v>0</v>
      </c>
      <c r="V1311" s="579"/>
      <c r="W1311" s="566"/>
      <c r="X1311" s="586" t="str">
        <f t="shared" si="335"/>
        <v/>
      </c>
      <c r="Y1311" s="586" t="str">
        <f t="shared" si="329"/>
        <v/>
      </c>
      <c r="Z1311" s="586" t="str">
        <f t="shared" si="338"/>
        <v/>
      </c>
    </row>
    <row r="1312" spans="1:26" ht="23.25" hidden="1" thickBot="1" x14ac:dyDescent="0.25">
      <c r="A1312" s="567">
        <v>97933</v>
      </c>
      <c r="B1312" s="644">
        <v>97933</v>
      </c>
      <c r="C1312" s="645" t="s">
        <v>670</v>
      </c>
      <c r="D1312" s="422" t="s">
        <v>1163</v>
      </c>
      <c r="E1312" s="423"/>
      <c r="F1312" s="424"/>
      <c r="G1312" s="425"/>
      <c r="H1312" s="651"/>
      <c r="I1312" s="420">
        <v>656.21</v>
      </c>
      <c r="J1312" s="420">
        <f t="shared" si="337"/>
        <v>656.21</v>
      </c>
      <c r="K1312" s="421">
        <f t="shared" si="336"/>
        <v>779.64</v>
      </c>
      <c r="L1312" s="647" t="s">
        <v>2065</v>
      </c>
      <c r="M1312" s="576"/>
      <c r="N1312" s="576">
        <f t="shared" si="339"/>
        <v>0</v>
      </c>
      <c r="O1312" s="577">
        <f t="shared" si="333"/>
        <v>0</v>
      </c>
      <c r="P1312" s="578">
        <f t="shared" si="334"/>
        <v>0</v>
      </c>
      <c r="Q1312" s="765"/>
      <c r="R1312" s="576">
        <f t="shared" si="330"/>
        <v>0</v>
      </c>
      <c r="S1312" s="576">
        <f t="shared" si="330"/>
        <v>0</v>
      </c>
      <c r="T1312" s="577">
        <f t="shared" si="331"/>
        <v>0</v>
      </c>
      <c r="U1312" s="578">
        <f t="shared" si="332"/>
        <v>0</v>
      </c>
      <c r="V1312" s="579"/>
      <c r="W1312" s="566"/>
      <c r="X1312" s="586" t="str">
        <f t="shared" si="335"/>
        <v/>
      </c>
      <c r="Y1312" s="586" t="str">
        <f t="shared" si="329"/>
        <v/>
      </c>
      <c r="Z1312" s="586" t="str">
        <f t="shared" si="338"/>
        <v/>
      </c>
    </row>
    <row r="1313" spans="1:26" ht="23.25" hidden="1" thickBot="1" x14ac:dyDescent="0.25">
      <c r="A1313" s="567">
        <v>97947</v>
      </c>
      <c r="B1313" s="644">
        <v>97947</v>
      </c>
      <c r="C1313" s="645" t="s">
        <v>670</v>
      </c>
      <c r="D1313" s="422" t="s">
        <v>1164</v>
      </c>
      <c r="E1313" s="423"/>
      <c r="F1313" s="424"/>
      <c r="G1313" s="425"/>
      <c r="H1313" s="651"/>
      <c r="I1313" s="420">
        <v>1610.54</v>
      </c>
      <c r="J1313" s="420">
        <f t="shared" si="337"/>
        <v>1610.54</v>
      </c>
      <c r="K1313" s="421">
        <f t="shared" si="336"/>
        <v>1913.48</v>
      </c>
      <c r="L1313" s="647" t="s">
        <v>2065</v>
      </c>
      <c r="M1313" s="576"/>
      <c r="N1313" s="576">
        <f t="shared" si="339"/>
        <v>0</v>
      </c>
      <c r="O1313" s="577">
        <f t="shared" si="333"/>
        <v>0</v>
      </c>
      <c r="P1313" s="578">
        <f t="shared" si="334"/>
        <v>0</v>
      </c>
      <c r="Q1313" s="765"/>
      <c r="R1313" s="576">
        <f t="shared" si="330"/>
        <v>0</v>
      </c>
      <c r="S1313" s="576">
        <f t="shared" si="330"/>
        <v>0</v>
      </c>
      <c r="T1313" s="577">
        <f t="shared" si="331"/>
        <v>0</v>
      </c>
      <c r="U1313" s="578">
        <f t="shared" si="332"/>
        <v>0</v>
      </c>
      <c r="V1313" s="579"/>
      <c r="W1313" s="566"/>
      <c r="X1313" s="586" t="str">
        <f t="shared" si="335"/>
        <v/>
      </c>
      <c r="Y1313" s="586" t="str">
        <f t="shared" si="329"/>
        <v/>
      </c>
      <c r="Z1313" s="586" t="str">
        <f t="shared" si="338"/>
        <v/>
      </c>
    </row>
    <row r="1314" spans="1:26" ht="23.25" hidden="1" thickBot="1" x14ac:dyDescent="0.25">
      <c r="A1314" s="567">
        <v>97948</v>
      </c>
      <c r="B1314" s="644">
        <v>97948</v>
      </c>
      <c r="C1314" s="645" t="s">
        <v>670</v>
      </c>
      <c r="D1314" s="422" t="s">
        <v>1165</v>
      </c>
      <c r="E1314" s="423"/>
      <c r="F1314" s="424"/>
      <c r="G1314" s="425"/>
      <c r="H1314" s="651"/>
      <c r="I1314" s="420">
        <v>2935.97</v>
      </c>
      <c r="J1314" s="420">
        <f t="shared" si="337"/>
        <v>2935.97</v>
      </c>
      <c r="K1314" s="421">
        <f t="shared" si="336"/>
        <v>3488.23</v>
      </c>
      <c r="L1314" s="647" t="s">
        <v>2065</v>
      </c>
      <c r="M1314" s="576"/>
      <c r="N1314" s="576">
        <f t="shared" si="339"/>
        <v>0</v>
      </c>
      <c r="O1314" s="577">
        <f t="shared" si="333"/>
        <v>0</v>
      </c>
      <c r="P1314" s="578">
        <f t="shared" si="334"/>
        <v>0</v>
      </c>
      <c r="Q1314" s="765"/>
      <c r="R1314" s="576">
        <f t="shared" si="330"/>
        <v>0</v>
      </c>
      <c r="S1314" s="576">
        <f t="shared" si="330"/>
        <v>0</v>
      </c>
      <c r="T1314" s="577">
        <f t="shared" si="331"/>
        <v>0</v>
      </c>
      <c r="U1314" s="578">
        <f t="shared" si="332"/>
        <v>0</v>
      </c>
      <c r="V1314" s="579"/>
      <c r="W1314" s="566"/>
      <c r="X1314" s="586" t="str">
        <f t="shared" si="335"/>
        <v/>
      </c>
      <c r="Y1314" s="586" t="str">
        <f t="shared" si="329"/>
        <v/>
      </c>
      <c r="Z1314" s="586" t="str">
        <f t="shared" si="338"/>
        <v/>
      </c>
    </row>
    <row r="1315" spans="1:26" ht="23.25" hidden="1" thickBot="1" x14ac:dyDescent="0.25">
      <c r="A1315" s="567">
        <v>97953</v>
      </c>
      <c r="B1315" s="644">
        <v>97953</v>
      </c>
      <c r="C1315" s="645" t="s">
        <v>670</v>
      </c>
      <c r="D1315" s="422" t="s">
        <v>1166</v>
      </c>
      <c r="E1315" s="423"/>
      <c r="F1315" s="424"/>
      <c r="G1315" s="425"/>
      <c r="H1315" s="651"/>
      <c r="I1315" s="420">
        <v>1084.21</v>
      </c>
      <c r="J1315" s="420">
        <f t="shared" si="337"/>
        <v>1084.21</v>
      </c>
      <c r="K1315" s="421">
        <f t="shared" si="336"/>
        <v>1288.1500000000001</v>
      </c>
      <c r="L1315" s="647" t="s">
        <v>2065</v>
      </c>
      <c r="M1315" s="576"/>
      <c r="N1315" s="576">
        <f t="shared" si="339"/>
        <v>0</v>
      </c>
      <c r="O1315" s="577">
        <f t="shared" si="333"/>
        <v>0</v>
      </c>
      <c r="P1315" s="578">
        <f t="shared" si="334"/>
        <v>0</v>
      </c>
      <c r="Q1315" s="765"/>
      <c r="R1315" s="576">
        <f t="shared" si="330"/>
        <v>0</v>
      </c>
      <c r="S1315" s="576">
        <f t="shared" si="330"/>
        <v>0</v>
      </c>
      <c r="T1315" s="577">
        <f t="shared" si="331"/>
        <v>0</v>
      </c>
      <c r="U1315" s="578">
        <f t="shared" si="332"/>
        <v>0</v>
      </c>
      <c r="V1315" s="579"/>
      <c r="W1315" s="566"/>
      <c r="X1315" s="586" t="str">
        <f t="shared" si="335"/>
        <v/>
      </c>
      <c r="Y1315" s="586" t="str">
        <f t="shared" ref="Y1315:Y1378" si="340">IF(W1315="X","x",IF(W1315="y","x",IF(W1315="xx","x",IF(U1315&gt;0,"x",""))))</f>
        <v/>
      </c>
      <c r="Z1315" s="586" t="str">
        <f t="shared" si="338"/>
        <v/>
      </c>
    </row>
    <row r="1316" spans="1:26" ht="23.25" hidden="1" thickBot="1" x14ac:dyDescent="0.25">
      <c r="A1316" s="567">
        <v>97955</v>
      </c>
      <c r="B1316" s="644">
        <v>97955</v>
      </c>
      <c r="C1316" s="645" t="s">
        <v>670</v>
      </c>
      <c r="D1316" s="422" t="s">
        <v>1167</v>
      </c>
      <c r="E1316" s="423"/>
      <c r="F1316" s="424"/>
      <c r="G1316" s="425"/>
      <c r="H1316" s="651"/>
      <c r="I1316" s="420">
        <v>2394.4699999999998</v>
      </c>
      <c r="J1316" s="420">
        <f t="shared" si="337"/>
        <v>2394.4699999999998</v>
      </c>
      <c r="K1316" s="421">
        <f t="shared" si="336"/>
        <v>2844.87</v>
      </c>
      <c r="L1316" s="647" t="s">
        <v>2065</v>
      </c>
      <c r="M1316" s="576"/>
      <c r="N1316" s="576">
        <f t="shared" si="339"/>
        <v>0</v>
      </c>
      <c r="O1316" s="577">
        <f t="shared" si="333"/>
        <v>0</v>
      </c>
      <c r="P1316" s="578">
        <f t="shared" si="334"/>
        <v>0</v>
      </c>
      <c r="Q1316" s="765"/>
      <c r="R1316" s="576">
        <f t="shared" si="330"/>
        <v>0</v>
      </c>
      <c r="S1316" s="576">
        <f t="shared" si="330"/>
        <v>0</v>
      </c>
      <c r="T1316" s="577">
        <f t="shared" si="331"/>
        <v>0</v>
      </c>
      <c r="U1316" s="578">
        <f t="shared" si="332"/>
        <v>0</v>
      </c>
      <c r="V1316" s="579"/>
      <c r="W1316" s="566"/>
      <c r="X1316" s="586" t="str">
        <f t="shared" si="335"/>
        <v/>
      </c>
      <c r="Y1316" s="586" t="str">
        <f t="shared" si="340"/>
        <v/>
      </c>
      <c r="Z1316" s="586" t="str">
        <f t="shared" si="338"/>
        <v/>
      </c>
    </row>
    <row r="1317" spans="1:26" ht="23.25" hidden="1" thickBot="1" x14ac:dyDescent="0.25">
      <c r="A1317" s="567">
        <v>97891</v>
      </c>
      <c r="B1317" s="644">
        <v>97891</v>
      </c>
      <c r="C1317" s="645" t="s">
        <v>670</v>
      </c>
      <c r="D1317" s="422" t="s">
        <v>1168</v>
      </c>
      <c r="E1317" s="423"/>
      <c r="F1317" s="424"/>
      <c r="G1317" s="425"/>
      <c r="H1317" s="651"/>
      <c r="I1317" s="420">
        <v>189.1</v>
      </c>
      <c r="J1317" s="420">
        <f t="shared" si="337"/>
        <v>189.1</v>
      </c>
      <c r="K1317" s="421">
        <f t="shared" si="336"/>
        <v>224.67</v>
      </c>
      <c r="L1317" s="647" t="s">
        <v>2065</v>
      </c>
      <c r="M1317" s="576"/>
      <c r="N1317" s="576">
        <f t="shared" si="339"/>
        <v>0</v>
      </c>
      <c r="O1317" s="577">
        <f t="shared" si="333"/>
        <v>0</v>
      </c>
      <c r="P1317" s="578">
        <f t="shared" si="334"/>
        <v>0</v>
      </c>
      <c r="Q1317" s="765"/>
      <c r="R1317" s="576">
        <f t="shared" si="330"/>
        <v>0</v>
      </c>
      <c r="S1317" s="576">
        <f t="shared" si="330"/>
        <v>0</v>
      </c>
      <c r="T1317" s="577">
        <f t="shared" si="331"/>
        <v>0</v>
      </c>
      <c r="U1317" s="578">
        <f t="shared" si="332"/>
        <v>0</v>
      </c>
      <c r="V1317" s="579"/>
      <c r="W1317" s="566"/>
      <c r="X1317" s="586" t="str">
        <f t="shared" si="335"/>
        <v/>
      </c>
      <c r="Y1317" s="586" t="str">
        <f t="shared" si="340"/>
        <v/>
      </c>
      <c r="Z1317" s="586" t="str">
        <f t="shared" si="338"/>
        <v/>
      </c>
    </row>
    <row r="1318" spans="1:26" ht="23.25" hidden="1" thickBot="1" x14ac:dyDescent="0.25">
      <c r="A1318" s="567">
        <v>97892</v>
      </c>
      <c r="B1318" s="644">
        <v>97892</v>
      </c>
      <c r="C1318" s="645" t="s">
        <v>670</v>
      </c>
      <c r="D1318" s="422" t="s">
        <v>1169</v>
      </c>
      <c r="E1318" s="423"/>
      <c r="F1318" s="424"/>
      <c r="G1318" s="425"/>
      <c r="H1318" s="651"/>
      <c r="I1318" s="420">
        <v>353.05</v>
      </c>
      <c r="J1318" s="420">
        <f t="shared" si="337"/>
        <v>353.05</v>
      </c>
      <c r="K1318" s="421">
        <f t="shared" si="336"/>
        <v>419.46</v>
      </c>
      <c r="L1318" s="647" t="s">
        <v>2065</v>
      </c>
      <c r="M1318" s="576"/>
      <c r="N1318" s="576">
        <f t="shared" si="339"/>
        <v>0</v>
      </c>
      <c r="O1318" s="577">
        <f t="shared" si="333"/>
        <v>0</v>
      </c>
      <c r="P1318" s="578">
        <f t="shared" si="334"/>
        <v>0</v>
      </c>
      <c r="Q1318" s="765"/>
      <c r="R1318" s="576">
        <f t="shared" si="330"/>
        <v>0</v>
      </c>
      <c r="S1318" s="576">
        <f t="shared" si="330"/>
        <v>0</v>
      </c>
      <c r="T1318" s="577">
        <f t="shared" si="331"/>
        <v>0</v>
      </c>
      <c r="U1318" s="578">
        <f t="shared" si="332"/>
        <v>0</v>
      </c>
      <c r="V1318" s="579"/>
      <c r="W1318" s="566"/>
      <c r="X1318" s="586" t="str">
        <f t="shared" si="335"/>
        <v/>
      </c>
      <c r="Y1318" s="586" t="str">
        <f t="shared" si="340"/>
        <v/>
      </c>
      <c r="Z1318" s="586" t="str">
        <f t="shared" si="338"/>
        <v/>
      </c>
    </row>
    <row r="1319" spans="1:26" ht="23.25" hidden="1" thickBot="1" x14ac:dyDescent="0.25">
      <c r="A1319" s="567">
        <v>97893</v>
      </c>
      <c r="B1319" s="644">
        <v>97893</v>
      </c>
      <c r="C1319" s="645" t="s">
        <v>670</v>
      </c>
      <c r="D1319" s="422" t="s">
        <v>1170</v>
      </c>
      <c r="E1319" s="423"/>
      <c r="F1319" s="424"/>
      <c r="G1319" s="425"/>
      <c r="H1319" s="651"/>
      <c r="I1319" s="420">
        <v>490.04</v>
      </c>
      <c r="J1319" s="420">
        <f t="shared" si="337"/>
        <v>490.04</v>
      </c>
      <c r="K1319" s="421">
        <f t="shared" si="336"/>
        <v>582.22</v>
      </c>
      <c r="L1319" s="647" t="s">
        <v>2065</v>
      </c>
      <c r="M1319" s="576"/>
      <c r="N1319" s="576">
        <f t="shared" si="339"/>
        <v>0</v>
      </c>
      <c r="O1319" s="577">
        <f t="shared" si="333"/>
        <v>0</v>
      </c>
      <c r="P1319" s="578">
        <f t="shared" si="334"/>
        <v>0</v>
      </c>
      <c r="Q1319" s="765"/>
      <c r="R1319" s="576">
        <f t="shared" si="330"/>
        <v>0</v>
      </c>
      <c r="S1319" s="576">
        <f t="shared" si="330"/>
        <v>0</v>
      </c>
      <c r="T1319" s="577">
        <f t="shared" si="331"/>
        <v>0</v>
      </c>
      <c r="U1319" s="578">
        <f t="shared" si="332"/>
        <v>0</v>
      </c>
      <c r="V1319" s="579"/>
      <c r="W1319" s="566"/>
      <c r="X1319" s="586" t="str">
        <f t="shared" si="335"/>
        <v/>
      </c>
      <c r="Y1319" s="586" t="str">
        <f t="shared" si="340"/>
        <v/>
      </c>
      <c r="Z1319" s="586" t="str">
        <f t="shared" si="338"/>
        <v/>
      </c>
    </row>
    <row r="1320" spans="1:26" ht="23.25" hidden="1" thickBot="1" x14ac:dyDescent="0.25">
      <c r="A1320" s="567">
        <v>97894</v>
      </c>
      <c r="B1320" s="644">
        <v>97894</v>
      </c>
      <c r="C1320" s="645" t="s">
        <v>670</v>
      </c>
      <c r="D1320" s="422" t="s">
        <v>1171</v>
      </c>
      <c r="E1320" s="423"/>
      <c r="F1320" s="424"/>
      <c r="G1320" s="425"/>
      <c r="H1320" s="651"/>
      <c r="I1320" s="420">
        <v>538.41999999999996</v>
      </c>
      <c r="J1320" s="420">
        <f t="shared" si="337"/>
        <v>538.41999999999996</v>
      </c>
      <c r="K1320" s="421">
        <f t="shared" si="336"/>
        <v>639.70000000000005</v>
      </c>
      <c r="L1320" s="647" t="s">
        <v>2065</v>
      </c>
      <c r="M1320" s="576"/>
      <c r="N1320" s="576">
        <f t="shared" si="339"/>
        <v>0</v>
      </c>
      <c r="O1320" s="577">
        <f t="shared" si="333"/>
        <v>0</v>
      </c>
      <c r="P1320" s="578">
        <f t="shared" si="334"/>
        <v>0</v>
      </c>
      <c r="Q1320" s="765"/>
      <c r="R1320" s="576">
        <f t="shared" si="330"/>
        <v>0</v>
      </c>
      <c r="S1320" s="576">
        <f t="shared" si="330"/>
        <v>0</v>
      </c>
      <c r="T1320" s="577">
        <f t="shared" si="331"/>
        <v>0</v>
      </c>
      <c r="U1320" s="578">
        <f t="shared" si="332"/>
        <v>0</v>
      </c>
      <c r="V1320" s="579"/>
      <c r="W1320" s="566"/>
      <c r="X1320" s="586" t="str">
        <f t="shared" si="335"/>
        <v/>
      </c>
      <c r="Y1320" s="586" t="str">
        <f t="shared" si="340"/>
        <v/>
      </c>
      <c r="Z1320" s="586" t="str">
        <f t="shared" si="338"/>
        <v/>
      </c>
    </row>
    <row r="1321" spans="1:26" ht="23.25" hidden="1" thickBot="1" x14ac:dyDescent="0.25">
      <c r="A1321" s="567">
        <v>97881</v>
      </c>
      <c r="B1321" s="644">
        <v>97881</v>
      </c>
      <c r="C1321" s="645" t="s">
        <v>670</v>
      </c>
      <c r="D1321" s="422" t="s">
        <v>1172</v>
      </c>
      <c r="E1321" s="423"/>
      <c r="F1321" s="424"/>
      <c r="G1321" s="425"/>
      <c r="H1321" s="651"/>
      <c r="I1321" s="420">
        <v>94.27</v>
      </c>
      <c r="J1321" s="420">
        <f t="shared" si="337"/>
        <v>94.27</v>
      </c>
      <c r="K1321" s="421">
        <f t="shared" si="336"/>
        <v>112</v>
      </c>
      <c r="L1321" s="647" t="s">
        <v>2065</v>
      </c>
      <c r="M1321" s="576"/>
      <c r="N1321" s="576">
        <f t="shared" si="339"/>
        <v>0</v>
      </c>
      <c r="O1321" s="577">
        <f t="shared" si="333"/>
        <v>0</v>
      </c>
      <c r="P1321" s="578">
        <f t="shared" si="334"/>
        <v>0</v>
      </c>
      <c r="Q1321" s="765"/>
      <c r="R1321" s="576">
        <f t="shared" si="330"/>
        <v>0</v>
      </c>
      <c r="S1321" s="576">
        <f t="shared" si="330"/>
        <v>0</v>
      </c>
      <c r="T1321" s="577">
        <f t="shared" si="331"/>
        <v>0</v>
      </c>
      <c r="U1321" s="578">
        <f t="shared" si="332"/>
        <v>0</v>
      </c>
      <c r="V1321" s="579"/>
      <c r="W1321" s="566"/>
      <c r="X1321" s="586" t="str">
        <f t="shared" si="335"/>
        <v/>
      </c>
      <c r="Y1321" s="586" t="str">
        <f t="shared" si="340"/>
        <v/>
      </c>
      <c r="Z1321" s="586" t="str">
        <f t="shared" si="338"/>
        <v/>
      </c>
    </row>
    <row r="1322" spans="1:26" ht="23.25" hidden="1" thickBot="1" x14ac:dyDescent="0.25">
      <c r="A1322" s="567">
        <v>97882</v>
      </c>
      <c r="B1322" s="644">
        <v>97882</v>
      </c>
      <c r="C1322" s="645" t="s">
        <v>670</v>
      </c>
      <c r="D1322" s="422" t="s">
        <v>1173</v>
      </c>
      <c r="E1322" s="423"/>
      <c r="F1322" s="424"/>
      <c r="G1322" s="425"/>
      <c r="H1322" s="651"/>
      <c r="I1322" s="420">
        <v>145.55000000000001</v>
      </c>
      <c r="J1322" s="420">
        <f t="shared" si="337"/>
        <v>145.55000000000001</v>
      </c>
      <c r="K1322" s="421">
        <f t="shared" si="336"/>
        <v>172.93</v>
      </c>
      <c r="L1322" s="647" t="s">
        <v>2065</v>
      </c>
      <c r="M1322" s="576"/>
      <c r="N1322" s="576">
        <f t="shared" si="339"/>
        <v>0</v>
      </c>
      <c r="O1322" s="577">
        <f t="shared" si="333"/>
        <v>0</v>
      </c>
      <c r="P1322" s="578">
        <f t="shared" si="334"/>
        <v>0</v>
      </c>
      <c r="Q1322" s="765"/>
      <c r="R1322" s="576">
        <f t="shared" ref="R1322:S1385" si="341">M1322</f>
        <v>0</v>
      </c>
      <c r="S1322" s="576">
        <f t="shared" si="341"/>
        <v>0</v>
      </c>
      <c r="T1322" s="577">
        <f t="shared" si="331"/>
        <v>0</v>
      </c>
      <c r="U1322" s="578">
        <f t="shared" si="332"/>
        <v>0</v>
      </c>
      <c r="V1322" s="579"/>
      <c r="W1322" s="566"/>
      <c r="X1322" s="586" t="str">
        <f t="shared" si="335"/>
        <v/>
      </c>
      <c r="Y1322" s="586" t="str">
        <f t="shared" si="340"/>
        <v/>
      </c>
      <c r="Z1322" s="586" t="str">
        <f t="shared" si="338"/>
        <v/>
      </c>
    </row>
    <row r="1323" spans="1:26" ht="23.25" hidden="1" thickBot="1" x14ac:dyDescent="0.25">
      <c r="A1323" s="567">
        <v>97883</v>
      </c>
      <c r="B1323" s="644">
        <v>97883</v>
      </c>
      <c r="C1323" s="645" t="s">
        <v>670</v>
      </c>
      <c r="D1323" s="422" t="s">
        <v>1174</v>
      </c>
      <c r="E1323" s="423"/>
      <c r="F1323" s="424"/>
      <c r="G1323" s="425"/>
      <c r="H1323" s="651"/>
      <c r="I1323" s="420">
        <v>282.02</v>
      </c>
      <c r="J1323" s="420">
        <f t="shared" si="337"/>
        <v>282.02</v>
      </c>
      <c r="K1323" s="421">
        <f t="shared" si="336"/>
        <v>335.07</v>
      </c>
      <c r="L1323" s="647" t="s">
        <v>2065</v>
      </c>
      <c r="M1323" s="576"/>
      <c r="N1323" s="576">
        <f t="shared" si="339"/>
        <v>0</v>
      </c>
      <c r="O1323" s="577">
        <f t="shared" si="333"/>
        <v>0</v>
      </c>
      <c r="P1323" s="578">
        <f t="shared" si="334"/>
        <v>0</v>
      </c>
      <c r="Q1323" s="765"/>
      <c r="R1323" s="576">
        <f t="shared" si="341"/>
        <v>0</v>
      </c>
      <c r="S1323" s="576">
        <f t="shared" si="341"/>
        <v>0</v>
      </c>
      <c r="T1323" s="577">
        <f t="shared" si="331"/>
        <v>0</v>
      </c>
      <c r="U1323" s="578">
        <f t="shared" si="332"/>
        <v>0</v>
      </c>
      <c r="V1323" s="579"/>
      <c r="W1323" s="566"/>
      <c r="X1323" s="586" t="str">
        <f t="shared" si="335"/>
        <v/>
      </c>
      <c r="Y1323" s="586" t="str">
        <f t="shared" si="340"/>
        <v/>
      </c>
      <c r="Z1323" s="586" t="str">
        <f t="shared" si="338"/>
        <v/>
      </c>
    </row>
    <row r="1324" spans="1:26" ht="23.25" hidden="1" thickBot="1" x14ac:dyDescent="0.25">
      <c r="A1324" s="567">
        <v>97884</v>
      </c>
      <c r="B1324" s="644">
        <v>97884</v>
      </c>
      <c r="C1324" s="645" t="s">
        <v>670</v>
      </c>
      <c r="D1324" s="422" t="s">
        <v>1175</v>
      </c>
      <c r="E1324" s="423"/>
      <c r="F1324" s="424"/>
      <c r="G1324" s="425"/>
      <c r="H1324" s="651"/>
      <c r="I1324" s="420">
        <v>541.54999999999995</v>
      </c>
      <c r="J1324" s="420">
        <f t="shared" si="337"/>
        <v>541.54999999999995</v>
      </c>
      <c r="K1324" s="421">
        <f t="shared" si="336"/>
        <v>643.41999999999996</v>
      </c>
      <c r="L1324" s="647" t="s">
        <v>2065</v>
      </c>
      <c r="M1324" s="576"/>
      <c r="N1324" s="576">
        <f t="shared" si="339"/>
        <v>0</v>
      </c>
      <c r="O1324" s="577">
        <f t="shared" si="333"/>
        <v>0</v>
      </c>
      <c r="P1324" s="578">
        <f t="shared" si="334"/>
        <v>0</v>
      </c>
      <c r="Q1324" s="765"/>
      <c r="R1324" s="576">
        <f t="shared" si="341"/>
        <v>0</v>
      </c>
      <c r="S1324" s="576">
        <f t="shared" si="341"/>
        <v>0</v>
      </c>
      <c r="T1324" s="577">
        <f t="shared" si="331"/>
        <v>0</v>
      </c>
      <c r="U1324" s="578">
        <f t="shared" si="332"/>
        <v>0</v>
      </c>
      <c r="V1324" s="579"/>
      <c r="W1324" s="566"/>
      <c r="X1324" s="586" t="str">
        <f t="shared" si="335"/>
        <v/>
      </c>
      <c r="Y1324" s="586" t="str">
        <f t="shared" si="340"/>
        <v/>
      </c>
      <c r="Z1324" s="586" t="str">
        <f t="shared" si="338"/>
        <v/>
      </c>
    </row>
    <row r="1325" spans="1:26" ht="23.25" hidden="1" thickBot="1" x14ac:dyDescent="0.25">
      <c r="A1325" s="567">
        <v>97885</v>
      </c>
      <c r="B1325" s="644">
        <v>97885</v>
      </c>
      <c r="C1325" s="645" t="s">
        <v>670</v>
      </c>
      <c r="D1325" s="422" t="s">
        <v>1176</v>
      </c>
      <c r="E1325" s="423"/>
      <c r="F1325" s="424"/>
      <c r="G1325" s="425"/>
      <c r="H1325" s="651"/>
      <c r="I1325" s="420">
        <v>825.06</v>
      </c>
      <c r="J1325" s="420">
        <f t="shared" si="337"/>
        <v>825.06</v>
      </c>
      <c r="K1325" s="421">
        <f t="shared" si="336"/>
        <v>980.25</v>
      </c>
      <c r="L1325" s="647" t="s">
        <v>2065</v>
      </c>
      <c r="M1325" s="576"/>
      <c r="N1325" s="576">
        <f t="shared" si="339"/>
        <v>0</v>
      </c>
      <c r="O1325" s="577">
        <f t="shared" si="333"/>
        <v>0</v>
      </c>
      <c r="P1325" s="578">
        <f t="shared" si="334"/>
        <v>0</v>
      </c>
      <c r="Q1325" s="765"/>
      <c r="R1325" s="576">
        <f t="shared" si="341"/>
        <v>0</v>
      </c>
      <c r="S1325" s="576">
        <f t="shared" si="341"/>
        <v>0</v>
      </c>
      <c r="T1325" s="577">
        <f t="shared" si="331"/>
        <v>0</v>
      </c>
      <c r="U1325" s="578">
        <f t="shared" si="332"/>
        <v>0</v>
      </c>
      <c r="V1325" s="579"/>
      <c r="W1325" s="566"/>
      <c r="X1325" s="586" t="str">
        <f t="shared" si="335"/>
        <v/>
      </c>
      <c r="Y1325" s="586" t="str">
        <f t="shared" si="340"/>
        <v/>
      </c>
      <c r="Z1325" s="586" t="str">
        <f t="shared" si="338"/>
        <v/>
      </c>
    </row>
    <row r="1326" spans="1:26" ht="23.25" hidden="1" thickBot="1" x14ac:dyDescent="0.25">
      <c r="A1326" s="567">
        <v>91945</v>
      </c>
      <c r="B1326" s="644">
        <v>91945</v>
      </c>
      <c r="C1326" s="645" t="s">
        <v>670</v>
      </c>
      <c r="D1326" s="422" t="s">
        <v>1177</v>
      </c>
      <c r="E1326" s="423"/>
      <c r="F1326" s="424"/>
      <c r="G1326" s="425"/>
      <c r="H1326" s="651"/>
      <c r="I1326" s="420">
        <v>11.39</v>
      </c>
      <c r="J1326" s="420">
        <f t="shared" si="337"/>
        <v>11.39</v>
      </c>
      <c r="K1326" s="421">
        <f t="shared" si="336"/>
        <v>13.53</v>
      </c>
      <c r="L1326" s="647" t="s">
        <v>2065</v>
      </c>
      <c r="M1326" s="576"/>
      <c r="N1326" s="576">
        <f t="shared" si="339"/>
        <v>0</v>
      </c>
      <c r="O1326" s="577">
        <f t="shared" si="333"/>
        <v>0</v>
      </c>
      <c r="P1326" s="578">
        <f t="shared" si="334"/>
        <v>0</v>
      </c>
      <c r="Q1326" s="765"/>
      <c r="R1326" s="576">
        <f t="shared" si="341"/>
        <v>0</v>
      </c>
      <c r="S1326" s="576">
        <f t="shared" si="341"/>
        <v>0</v>
      </c>
      <c r="T1326" s="577">
        <f t="shared" si="331"/>
        <v>0</v>
      </c>
      <c r="U1326" s="578">
        <f t="shared" si="332"/>
        <v>0</v>
      </c>
      <c r="V1326" s="579"/>
      <c r="W1326" s="566"/>
      <c r="X1326" s="586" t="str">
        <f t="shared" si="335"/>
        <v/>
      </c>
      <c r="Y1326" s="586" t="str">
        <f t="shared" si="340"/>
        <v/>
      </c>
      <c r="Z1326" s="586" t="str">
        <f t="shared" si="338"/>
        <v/>
      </c>
    </row>
    <row r="1327" spans="1:26" ht="23.25" hidden="1" thickBot="1" x14ac:dyDescent="0.25">
      <c r="A1327" s="567">
        <v>91946</v>
      </c>
      <c r="B1327" s="644">
        <v>91946</v>
      </c>
      <c r="C1327" s="645" t="s">
        <v>670</v>
      </c>
      <c r="D1327" s="422" t="s">
        <v>1178</v>
      </c>
      <c r="E1327" s="423"/>
      <c r="F1327" s="424"/>
      <c r="G1327" s="425"/>
      <c r="H1327" s="651"/>
      <c r="I1327" s="420">
        <v>9.73</v>
      </c>
      <c r="J1327" s="420">
        <f t="shared" si="337"/>
        <v>9.73</v>
      </c>
      <c r="K1327" s="421">
        <f t="shared" si="336"/>
        <v>11.56</v>
      </c>
      <c r="L1327" s="647" t="s">
        <v>2065</v>
      </c>
      <c r="M1327" s="576"/>
      <c r="N1327" s="576">
        <f t="shared" si="339"/>
        <v>0</v>
      </c>
      <c r="O1327" s="577">
        <f t="shared" si="333"/>
        <v>0</v>
      </c>
      <c r="P1327" s="578">
        <f t="shared" si="334"/>
        <v>0</v>
      </c>
      <c r="Q1327" s="765"/>
      <c r="R1327" s="576">
        <f t="shared" si="341"/>
        <v>0</v>
      </c>
      <c r="S1327" s="576">
        <f t="shared" si="341"/>
        <v>0</v>
      </c>
      <c r="T1327" s="577">
        <f t="shared" si="331"/>
        <v>0</v>
      </c>
      <c r="U1327" s="578">
        <f t="shared" si="332"/>
        <v>0</v>
      </c>
      <c r="V1327" s="579"/>
      <c r="W1327" s="566"/>
      <c r="X1327" s="586" t="str">
        <f t="shared" si="335"/>
        <v/>
      </c>
      <c r="Y1327" s="586" t="str">
        <f t="shared" si="340"/>
        <v/>
      </c>
      <c r="Z1327" s="586" t="str">
        <f t="shared" si="338"/>
        <v/>
      </c>
    </row>
    <row r="1328" spans="1:26" ht="23.25" hidden="1" thickBot="1" x14ac:dyDescent="0.25">
      <c r="A1328" s="567">
        <v>91947</v>
      </c>
      <c r="B1328" s="644">
        <v>91947</v>
      </c>
      <c r="C1328" s="645" t="s">
        <v>670</v>
      </c>
      <c r="D1328" s="422" t="s">
        <v>1179</v>
      </c>
      <c r="E1328" s="423"/>
      <c r="F1328" s="424"/>
      <c r="G1328" s="425"/>
      <c r="H1328" s="651"/>
      <c r="I1328" s="420">
        <v>8.6999999999999993</v>
      </c>
      <c r="J1328" s="420">
        <f t="shared" si="337"/>
        <v>8.6999999999999993</v>
      </c>
      <c r="K1328" s="421">
        <f t="shared" si="336"/>
        <v>10.34</v>
      </c>
      <c r="L1328" s="647" t="s">
        <v>2065</v>
      </c>
      <c r="M1328" s="576"/>
      <c r="N1328" s="576">
        <f t="shared" si="339"/>
        <v>0</v>
      </c>
      <c r="O1328" s="577">
        <f t="shared" si="333"/>
        <v>0</v>
      </c>
      <c r="P1328" s="578">
        <f t="shared" si="334"/>
        <v>0</v>
      </c>
      <c r="Q1328" s="765"/>
      <c r="R1328" s="576">
        <f t="shared" si="341"/>
        <v>0</v>
      </c>
      <c r="S1328" s="576">
        <f t="shared" si="341"/>
        <v>0</v>
      </c>
      <c r="T1328" s="577">
        <f t="shared" si="331"/>
        <v>0</v>
      </c>
      <c r="U1328" s="578">
        <f t="shared" si="332"/>
        <v>0</v>
      </c>
      <c r="V1328" s="579"/>
      <c r="W1328" s="566"/>
      <c r="X1328" s="586" t="str">
        <f t="shared" si="335"/>
        <v/>
      </c>
      <c r="Y1328" s="586" t="str">
        <f t="shared" si="340"/>
        <v/>
      </c>
      <c r="Z1328" s="586" t="str">
        <f t="shared" si="338"/>
        <v/>
      </c>
    </row>
    <row r="1329" spans="1:26" ht="23.25" hidden="1" thickBot="1" x14ac:dyDescent="0.25">
      <c r="A1329" s="567">
        <v>91949</v>
      </c>
      <c r="B1329" s="644">
        <v>91949</v>
      </c>
      <c r="C1329" s="645" t="s">
        <v>670</v>
      </c>
      <c r="D1329" s="422" t="s">
        <v>1180</v>
      </c>
      <c r="E1329" s="423"/>
      <c r="F1329" s="424"/>
      <c r="G1329" s="425"/>
      <c r="H1329" s="651"/>
      <c r="I1329" s="420">
        <v>17.899999999999999</v>
      </c>
      <c r="J1329" s="420">
        <f t="shared" si="337"/>
        <v>17.899999999999999</v>
      </c>
      <c r="K1329" s="421">
        <f t="shared" si="336"/>
        <v>21.27</v>
      </c>
      <c r="L1329" s="647" t="s">
        <v>2065</v>
      </c>
      <c r="M1329" s="576"/>
      <c r="N1329" s="576">
        <f t="shared" si="339"/>
        <v>0</v>
      </c>
      <c r="O1329" s="577">
        <f t="shared" si="333"/>
        <v>0</v>
      </c>
      <c r="P1329" s="578">
        <f t="shared" si="334"/>
        <v>0</v>
      </c>
      <c r="Q1329" s="765"/>
      <c r="R1329" s="576">
        <f t="shared" si="341"/>
        <v>0</v>
      </c>
      <c r="S1329" s="576">
        <f t="shared" si="341"/>
        <v>0</v>
      </c>
      <c r="T1329" s="577">
        <f t="shared" si="331"/>
        <v>0</v>
      </c>
      <c r="U1329" s="578">
        <f t="shared" si="332"/>
        <v>0</v>
      </c>
      <c r="V1329" s="579"/>
      <c r="W1329" s="566"/>
      <c r="X1329" s="586" t="str">
        <f t="shared" si="335"/>
        <v/>
      </c>
      <c r="Y1329" s="586" t="str">
        <f t="shared" si="340"/>
        <v/>
      </c>
      <c r="Z1329" s="586" t="str">
        <f t="shared" si="338"/>
        <v/>
      </c>
    </row>
    <row r="1330" spans="1:26" ht="23.25" hidden="1" thickBot="1" x14ac:dyDescent="0.25">
      <c r="A1330" s="567">
        <v>91950</v>
      </c>
      <c r="B1330" s="644">
        <v>91950</v>
      </c>
      <c r="C1330" s="645" t="s">
        <v>670</v>
      </c>
      <c r="D1330" s="422" t="s">
        <v>1181</v>
      </c>
      <c r="E1330" s="423"/>
      <c r="F1330" s="424"/>
      <c r="G1330" s="425"/>
      <c r="H1330" s="651"/>
      <c r="I1330" s="420">
        <v>15.89</v>
      </c>
      <c r="J1330" s="420">
        <f t="shared" si="337"/>
        <v>15.89</v>
      </c>
      <c r="K1330" s="421">
        <f t="shared" si="336"/>
        <v>18.88</v>
      </c>
      <c r="L1330" s="647" t="s">
        <v>2065</v>
      </c>
      <c r="M1330" s="576"/>
      <c r="N1330" s="576">
        <f t="shared" si="339"/>
        <v>0</v>
      </c>
      <c r="O1330" s="577">
        <f t="shared" si="333"/>
        <v>0</v>
      </c>
      <c r="P1330" s="578">
        <f t="shared" si="334"/>
        <v>0</v>
      </c>
      <c r="Q1330" s="765"/>
      <c r="R1330" s="576">
        <f t="shared" si="341"/>
        <v>0</v>
      </c>
      <c r="S1330" s="576">
        <f t="shared" si="341"/>
        <v>0</v>
      </c>
      <c r="T1330" s="577">
        <f t="shared" si="331"/>
        <v>0</v>
      </c>
      <c r="U1330" s="578">
        <f t="shared" si="332"/>
        <v>0</v>
      </c>
      <c r="V1330" s="579"/>
      <c r="W1330" s="566"/>
      <c r="X1330" s="586" t="str">
        <f t="shared" si="335"/>
        <v/>
      </c>
      <c r="Y1330" s="586" t="str">
        <f t="shared" si="340"/>
        <v/>
      </c>
      <c r="Z1330" s="586" t="str">
        <f t="shared" si="338"/>
        <v/>
      </c>
    </row>
    <row r="1331" spans="1:26" ht="23.25" hidden="1" thickBot="1" x14ac:dyDescent="0.25">
      <c r="A1331" s="567">
        <v>91951</v>
      </c>
      <c r="B1331" s="644">
        <v>91951</v>
      </c>
      <c r="C1331" s="645" t="s">
        <v>670</v>
      </c>
      <c r="D1331" s="422" t="s">
        <v>1182</v>
      </c>
      <c r="E1331" s="423"/>
      <c r="F1331" s="424"/>
      <c r="G1331" s="425"/>
      <c r="H1331" s="651"/>
      <c r="I1331" s="420">
        <v>14.69</v>
      </c>
      <c r="J1331" s="420">
        <f t="shared" si="337"/>
        <v>14.69</v>
      </c>
      <c r="K1331" s="421">
        <f t="shared" si="336"/>
        <v>17.45</v>
      </c>
      <c r="L1331" s="647" t="s">
        <v>2065</v>
      </c>
      <c r="M1331" s="576"/>
      <c r="N1331" s="576">
        <f t="shared" si="339"/>
        <v>0</v>
      </c>
      <c r="O1331" s="577">
        <f t="shared" si="333"/>
        <v>0</v>
      </c>
      <c r="P1331" s="578">
        <f t="shared" si="334"/>
        <v>0</v>
      </c>
      <c r="Q1331" s="765"/>
      <c r="R1331" s="576">
        <f t="shared" si="341"/>
        <v>0</v>
      </c>
      <c r="S1331" s="576">
        <f t="shared" si="341"/>
        <v>0</v>
      </c>
      <c r="T1331" s="577">
        <f t="shared" si="331"/>
        <v>0</v>
      </c>
      <c r="U1331" s="578">
        <f t="shared" si="332"/>
        <v>0</v>
      </c>
      <c r="V1331" s="579"/>
      <c r="W1331" s="566"/>
      <c r="X1331" s="586" t="str">
        <f t="shared" si="335"/>
        <v/>
      </c>
      <c r="Y1331" s="586" t="str">
        <f t="shared" si="340"/>
        <v/>
      </c>
      <c r="Z1331" s="586" t="str">
        <f t="shared" si="338"/>
        <v/>
      </c>
    </row>
    <row r="1332" spans="1:26" ht="23.25" hidden="1" thickBot="1" x14ac:dyDescent="0.25">
      <c r="A1332" s="567">
        <v>101946</v>
      </c>
      <c r="B1332" s="644">
        <v>101946</v>
      </c>
      <c r="C1332" s="645" t="s">
        <v>670</v>
      </c>
      <c r="D1332" s="422" t="s">
        <v>1183</v>
      </c>
      <c r="E1332" s="423"/>
      <c r="F1332" s="424"/>
      <c r="G1332" s="425"/>
      <c r="H1332" s="651"/>
      <c r="I1332" s="420">
        <v>173.46</v>
      </c>
      <c r="J1332" s="420">
        <f t="shared" si="337"/>
        <v>173.46</v>
      </c>
      <c r="K1332" s="421">
        <f t="shared" si="336"/>
        <v>206.09</v>
      </c>
      <c r="L1332" s="647" t="s">
        <v>2065</v>
      </c>
      <c r="M1332" s="576"/>
      <c r="N1332" s="576">
        <f t="shared" si="339"/>
        <v>0</v>
      </c>
      <c r="O1332" s="577">
        <f t="shared" si="333"/>
        <v>0</v>
      </c>
      <c r="P1332" s="578">
        <f t="shared" si="334"/>
        <v>0</v>
      </c>
      <c r="Q1332" s="765"/>
      <c r="R1332" s="576">
        <f t="shared" si="341"/>
        <v>0</v>
      </c>
      <c r="S1332" s="576">
        <f t="shared" si="341"/>
        <v>0</v>
      </c>
      <c r="T1332" s="577">
        <f t="shared" ref="T1332:T1395" si="342">IF(ISBLANK(R1332),0,ROUND(K1332*R1332,2))</f>
        <v>0</v>
      </c>
      <c r="U1332" s="578">
        <f t="shared" ref="U1332:U1395" si="343">IF(ISBLANK(R1332),0,ROUND(R1332*S1332,2))</f>
        <v>0</v>
      </c>
      <c r="V1332" s="579"/>
      <c r="W1332" s="566"/>
      <c r="X1332" s="586" t="str">
        <f t="shared" si="335"/>
        <v/>
      </c>
      <c r="Y1332" s="586" t="str">
        <f t="shared" si="340"/>
        <v/>
      </c>
      <c r="Z1332" s="586" t="str">
        <f t="shared" si="338"/>
        <v/>
      </c>
    </row>
    <row r="1333" spans="1:26" ht="23.25" hidden="1" thickBot="1" x14ac:dyDescent="0.25">
      <c r="A1333" s="567">
        <v>97362</v>
      </c>
      <c r="B1333" s="644">
        <v>97362</v>
      </c>
      <c r="C1333" s="645" t="s">
        <v>670</v>
      </c>
      <c r="D1333" s="422" t="s">
        <v>1184</v>
      </c>
      <c r="E1333" s="423"/>
      <c r="F1333" s="424"/>
      <c r="G1333" s="425"/>
      <c r="H1333" s="651"/>
      <c r="I1333" s="420">
        <v>2586.6799999999998</v>
      </c>
      <c r="J1333" s="420">
        <f t="shared" si="337"/>
        <v>2586.6799999999998</v>
      </c>
      <c r="K1333" s="421">
        <f t="shared" si="336"/>
        <v>3073.23</v>
      </c>
      <c r="L1333" s="647" t="s">
        <v>2065</v>
      </c>
      <c r="M1333" s="576"/>
      <c r="N1333" s="576">
        <f t="shared" si="339"/>
        <v>0</v>
      </c>
      <c r="O1333" s="577">
        <f t="shared" ref="O1333:O1396" si="344">IF(ISBLANK(M1333),0,ROUND(K1333*M1333,2))</f>
        <v>0</v>
      </c>
      <c r="P1333" s="578">
        <f t="shared" ref="P1333:P1396" si="345">IF(ISBLANK(N1333),0,ROUND(M1333*N1333,2))</f>
        <v>0</v>
      </c>
      <c r="Q1333" s="765"/>
      <c r="R1333" s="576">
        <f t="shared" si="341"/>
        <v>0</v>
      </c>
      <c r="S1333" s="576">
        <f t="shared" si="341"/>
        <v>0</v>
      </c>
      <c r="T1333" s="577">
        <f t="shared" si="342"/>
        <v>0</v>
      </c>
      <c r="U1333" s="578">
        <f t="shared" si="343"/>
        <v>0</v>
      </c>
      <c r="V1333" s="579"/>
      <c r="W1333" s="566"/>
      <c r="X1333" s="586" t="str">
        <f t="shared" si="335"/>
        <v/>
      </c>
      <c r="Y1333" s="586" t="str">
        <f t="shared" si="340"/>
        <v/>
      </c>
      <c r="Z1333" s="586" t="str">
        <f t="shared" si="338"/>
        <v/>
      </c>
    </row>
    <row r="1334" spans="1:26" ht="23.25" hidden="1" thickBot="1" x14ac:dyDescent="0.25">
      <c r="A1334" s="567">
        <v>97359</v>
      </c>
      <c r="B1334" s="644">
        <v>97359</v>
      </c>
      <c r="C1334" s="645" t="s">
        <v>670</v>
      </c>
      <c r="D1334" s="422" t="s">
        <v>1185</v>
      </c>
      <c r="E1334" s="423"/>
      <c r="F1334" s="424"/>
      <c r="G1334" s="425"/>
      <c r="H1334" s="651"/>
      <c r="I1334" s="420">
        <v>4007.03</v>
      </c>
      <c r="J1334" s="420">
        <f t="shared" si="337"/>
        <v>4007.03</v>
      </c>
      <c r="K1334" s="421">
        <f t="shared" si="336"/>
        <v>4760.75</v>
      </c>
      <c r="L1334" s="647" t="s">
        <v>2065</v>
      </c>
      <c r="M1334" s="576"/>
      <c r="N1334" s="576">
        <f t="shared" si="339"/>
        <v>0</v>
      </c>
      <c r="O1334" s="577">
        <f t="shared" si="344"/>
        <v>0</v>
      </c>
      <c r="P1334" s="578">
        <f t="shared" si="345"/>
        <v>0</v>
      </c>
      <c r="Q1334" s="765"/>
      <c r="R1334" s="576">
        <f t="shared" si="341"/>
        <v>0</v>
      </c>
      <c r="S1334" s="576">
        <f t="shared" si="341"/>
        <v>0</v>
      </c>
      <c r="T1334" s="577">
        <f t="shared" si="342"/>
        <v>0</v>
      </c>
      <c r="U1334" s="578">
        <f t="shared" si="343"/>
        <v>0</v>
      </c>
      <c r="V1334" s="579"/>
      <c r="W1334" s="566"/>
      <c r="X1334" s="586" t="str">
        <f t="shared" si="335"/>
        <v/>
      </c>
      <c r="Y1334" s="586" t="str">
        <f t="shared" si="340"/>
        <v/>
      </c>
      <c r="Z1334" s="586" t="str">
        <f t="shared" si="338"/>
        <v/>
      </c>
    </row>
    <row r="1335" spans="1:26" ht="23.25" hidden="1" thickBot="1" x14ac:dyDescent="0.25">
      <c r="A1335" s="567">
        <v>97360</v>
      </c>
      <c r="B1335" s="644">
        <v>97360</v>
      </c>
      <c r="C1335" s="645" t="s">
        <v>670</v>
      </c>
      <c r="D1335" s="422" t="s">
        <v>1186</v>
      </c>
      <c r="E1335" s="423"/>
      <c r="F1335" s="424"/>
      <c r="G1335" s="425"/>
      <c r="H1335" s="651"/>
      <c r="I1335" s="420">
        <v>7727.75</v>
      </c>
      <c r="J1335" s="420">
        <f t="shared" si="337"/>
        <v>7727.75</v>
      </c>
      <c r="K1335" s="421">
        <f t="shared" si="336"/>
        <v>9181.34</v>
      </c>
      <c r="L1335" s="647" t="s">
        <v>2065</v>
      </c>
      <c r="M1335" s="576"/>
      <c r="N1335" s="576">
        <f t="shared" si="339"/>
        <v>0</v>
      </c>
      <c r="O1335" s="577">
        <f t="shared" si="344"/>
        <v>0</v>
      </c>
      <c r="P1335" s="578">
        <f t="shared" si="345"/>
        <v>0</v>
      </c>
      <c r="Q1335" s="765"/>
      <c r="R1335" s="576">
        <f t="shared" si="341"/>
        <v>0</v>
      </c>
      <c r="S1335" s="576">
        <f t="shared" si="341"/>
        <v>0</v>
      </c>
      <c r="T1335" s="577">
        <f t="shared" si="342"/>
        <v>0</v>
      </c>
      <c r="U1335" s="578">
        <f t="shared" si="343"/>
        <v>0</v>
      </c>
      <c r="V1335" s="579"/>
      <c r="W1335" s="566"/>
      <c r="X1335" s="586" t="str">
        <f t="shared" si="335"/>
        <v/>
      </c>
      <c r="Y1335" s="586" t="str">
        <f t="shared" si="340"/>
        <v/>
      </c>
      <c r="Z1335" s="586" t="str">
        <f t="shared" si="338"/>
        <v/>
      </c>
    </row>
    <row r="1336" spans="1:26" ht="23.25" hidden="1" thickBot="1" x14ac:dyDescent="0.25">
      <c r="A1336" s="567">
        <v>97361</v>
      </c>
      <c r="B1336" s="644">
        <v>97361</v>
      </c>
      <c r="C1336" s="645" t="s">
        <v>670</v>
      </c>
      <c r="D1336" s="422" t="s">
        <v>1187</v>
      </c>
      <c r="E1336" s="423"/>
      <c r="F1336" s="424"/>
      <c r="G1336" s="425"/>
      <c r="H1336" s="651"/>
      <c r="I1336" s="420">
        <v>10303.67</v>
      </c>
      <c r="J1336" s="420">
        <f t="shared" si="337"/>
        <v>10303.67</v>
      </c>
      <c r="K1336" s="421">
        <f t="shared" si="336"/>
        <v>12241.79</v>
      </c>
      <c r="L1336" s="647" t="s">
        <v>2065</v>
      </c>
      <c r="M1336" s="576"/>
      <c r="N1336" s="576">
        <f t="shared" si="339"/>
        <v>0</v>
      </c>
      <c r="O1336" s="577">
        <f t="shared" si="344"/>
        <v>0</v>
      </c>
      <c r="P1336" s="578">
        <f t="shared" si="345"/>
        <v>0</v>
      </c>
      <c r="Q1336" s="765"/>
      <c r="R1336" s="576">
        <f t="shared" si="341"/>
        <v>0</v>
      </c>
      <c r="S1336" s="576">
        <f t="shared" si="341"/>
        <v>0</v>
      </c>
      <c r="T1336" s="577">
        <f t="shared" si="342"/>
        <v>0</v>
      </c>
      <c r="U1336" s="578">
        <f t="shared" si="343"/>
        <v>0</v>
      </c>
      <c r="V1336" s="579"/>
      <c r="W1336" s="566"/>
      <c r="X1336" s="586" t="str">
        <f t="shared" si="335"/>
        <v/>
      </c>
      <c r="Y1336" s="586" t="str">
        <f t="shared" si="340"/>
        <v/>
      </c>
      <c r="Z1336" s="586" t="str">
        <f t="shared" si="338"/>
        <v/>
      </c>
    </row>
    <row r="1337" spans="1:26" ht="23.25" hidden="1" thickBot="1" x14ac:dyDescent="0.25">
      <c r="A1337" s="567">
        <v>101875</v>
      </c>
      <c r="B1337" s="644">
        <v>101875</v>
      </c>
      <c r="C1337" s="645" t="s">
        <v>670</v>
      </c>
      <c r="D1337" s="422" t="s">
        <v>1188</v>
      </c>
      <c r="E1337" s="423"/>
      <c r="F1337" s="424"/>
      <c r="G1337" s="425"/>
      <c r="H1337" s="651"/>
      <c r="I1337" s="420">
        <v>547.15</v>
      </c>
      <c r="J1337" s="420">
        <f t="shared" si="337"/>
        <v>547.15</v>
      </c>
      <c r="K1337" s="421">
        <f t="shared" si="336"/>
        <v>650.07000000000005</v>
      </c>
      <c r="L1337" s="647" t="s">
        <v>2065</v>
      </c>
      <c r="M1337" s="576"/>
      <c r="N1337" s="576">
        <f t="shared" si="339"/>
        <v>0</v>
      </c>
      <c r="O1337" s="577">
        <f t="shared" si="344"/>
        <v>0</v>
      </c>
      <c r="P1337" s="578">
        <f t="shared" si="345"/>
        <v>0</v>
      </c>
      <c r="Q1337" s="765"/>
      <c r="R1337" s="576">
        <f t="shared" si="341"/>
        <v>0</v>
      </c>
      <c r="S1337" s="576">
        <f t="shared" si="341"/>
        <v>0</v>
      </c>
      <c r="T1337" s="577">
        <f t="shared" si="342"/>
        <v>0</v>
      </c>
      <c r="U1337" s="578">
        <f t="shared" si="343"/>
        <v>0</v>
      </c>
      <c r="V1337" s="579"/>
      <c r="W1337" s="566"/>
      <c r="X1337" s="586" t="str">
        <f t="shared" si="335"/>
        <v/>
      </c>
      <c r="Y1337" s="586" t="str">
        <f t="shared" si="340"/>
        <v/>
      </c>
      <c r="Z1337" s="586" t="str">
        <f t="shared" si="338"/>
        <v/>
      </c>
    </row>
    <row r="1338" spans="1:26" ht="23.25" hidden="1" thickBot="1" x14ac:dyDescent="0.25">
      <c r="A1338" s="567">
        <v>101876</v>
      </c>
      <c r="B1338" s="644">
        <v>101876</v>
      </c>
      <c r="C1338" s="645" t="s">
        <v>670</v>
      </c>
      <c r="D1338" s="422" t="s">
        <v>1189</v>
      </c>
      <c r="E1338" s="423"/>
      <c r="F1338" s="424"/>
      <c r="G1338" s="425"/>
      <c r="H1338" s="651"/>
      <c r="I1338" s="420">
        <v>88.65</v>
      </c>
      <c r="J1338" s="420">
        <f t="shared" si="337"/>
        <v>88.65</v>
      </c>
      <c r="K1338" s="421">
        <f t="shared" si="336"/>
        <v>105.33</v>
      </c>
      <c r="L1338" s="647" t="s">
        <v>2065</v>
      </c>
      <c r="M1338" s="576"/>
      <c r="N1338" s="576">
        <f t="shared" si="339"/>
        <v>0</v>
      </c>
      <c r="O1338" s="577">
        <f t="shared" si="344"/>
        <v>0</v>
      </c>
      <c r="P1338" s="578">
        <f t="shared" si="345"/>
        <v>0</v>
      </c>
      <c r="Q1338" s="765"/>
      <c r="R1338" s="576">
        <f t="shared" si="341"/>
        <v>0</v>
      </c>
      <c r="S1338" s="576">
        <f t="shared" si="341"/>
        <v>0</v>
      </c>
      <c r="T1338" s="577">
        <f t="shared" si="342"/>
        <v>0</v>
      </c>
      <c r="U1338" s="578">
        <f t="shared" si="343"/>
        <v>0</v>
      </c>
      <c r="V1338" s="579"/>
      <c r="W1338" s="566"/>
      <c r="X1338" s="586" t="str">
        <f t="shared" si="335"/>
        <v/>
      </c>
      <c r="Y1338" s="586" t="str">
        <f t="shared" si="340"/>
        <v/>
      </c>
      <c r="Z1338" s="586" t="str">
        <f t="shared" si="338"/>
        <v/>
      </c>
    </row>
    <row r="1339" spans="1:26" ht="23.25" hidden="1" thickBot="1" x14ac:dyDescent="0.25">
      <c r="A1339" s="567">
        <v>101877</v>
      </c>
      <c r="B1339" s="644">
        <v>101877</v>
      </c>
      <c r="C1339" s="645" t="s">
        <v>670</v>
      </c>
      <c r="D1339" s="422" t="s">
        <v>1190</v>
      </c>
      <c r="E1339" s="423"/>
      <c r="F1339" s="424"/>
      <c r="G1339" s="425"/>
      <c r="H1339" s="651"/>
      <c r="I1339" s="420">
        <v>60.92</v>
      </c>
      <c r="J1339" s="420">
        <f t="shared" si="337"/>
        <v>60.92</v>
      </c>
      <c r="K1339" s="421">
        <f t="shared" si="336"/>
        <v>72.38</v>
      </c>
      <c r="L1339" s="647" t="s">
        <v>2065</v>
      </c>
      <c r="M1339" s="576"/>
      <c r="N1339" s="576">
        <f t="shared" si="339"/>
        <v>0</v>
      </c>
      <c r="O1339" s="577">
        <f t="shared" si="344"/>
        <v>0</v>
      </c>
      <c r="P1339" s="578">
        <f t="shared" si="345"/>
        <v>0</v>
      </c>
      <c r="Q1339" s="765"/>
      <c r="R1339" s="576">
        <f t="shared" si="341"/>
        <v>0</v>
      </c>
      <c r="S1339" s="576">
        <f t="shared" si="341"/>
        <v>0</v>
      </c>
      <c r="T1339" s="577">
        <f t="shared" si="342"/>
        <v>0</v>
      </c>
      <c r="U1339" s="578">
        <f t="shared" si="343"/>
        <v>0</v>
      </c>
      <c r="V1339" s="579"/>
      <c r="W1339" s="566"/>
      <c r="X1339" s="586" t="str">
        <f t="shared" si="335"/>
        <v/>
      </c>
      <c r="Y1339" s="586" t="str">
        <f t="shared" si="340"/>
        <v/>
      </c>
      <c r="Z1339" s="586" t="str">
        <f t="shared" si="338"/>
        <v/>
      </c>
    </row>
    <row r="1340" spans="1:26" ht="23.25" hidden="1" thickBot="1" x14ac:dyDescent="0.25">
      <c r="A1340" s="567">
        <v>101878</v>
      </c>
      <c r="B1340" s="644">
        <v>101878</v>
      </c>
      <c r="C1340" s="645" t="s">
        <v>670</v>
      </c>
      <c r="D1340" s="422" t="s">
        <v>1191</v>
      </c>
      <c r="E1340" s="423"/>
      <c r="F1340" s="424"/>
      <c r="G1340" s="425"/>
      <c r="H1340" s="651"/>
      <c r="I1340" s="420">
        <v>747.59</v>
      </c>
      <c r="J1340" s="420">
        <f t="shared" si="337"/>
        <v>747.59</v>
      </c>
      <c r="K1340" s="421">
        <f t="shared" si="336"/>
        <v>888.21</v>
      </c>
      <c r="L1340" s="647" t="s">
        <v>2065</v>
      </c>
      <c r="M1340" s="576"/>
      <c r="N1340" s="576">
        <f t="shared" si="339"/>
        <v>0</v>
      </c>
      <c r="O1340" s="577">
        <f t="shared" si="344"/>
        <v>0</v>
      </c>
      <c r="P1340" s="578">
        <f t="shared" si="345"/>
        <v>0</v>
      </c>
      <c r="Q1340" s="765"/>
      <c r="R1340" s="576">
        <f t="shared" si="341"/>
        <v>0</v>
      </c>
      <c r="S1340" s="576">
        <f t="shared" si="341"/>
        <v>0</v>
      </c>
      <c r="T1340" s="577">
        <f t="shared" si="342"/>
        <v>0</v>
      </c>
      <c r="U1340" s="578">
        <f t="shared" si="343"/>
        <v>0</v>
      </c>
      <c r="V1340" s="579"/>
      <c r="W1340" s="566"/>
      <c r="X1340" s="586" t="str">
        <f t="shared" si="335"/>
        <v/>
      </c>
      <c r="Y1340" s="586" t="str">
        <f t="shared" si="340"/>
        <v/>
      </c>
      <c r="Z1340" s="586" t="str">
        <f t="shared" si="338"/>
        <v/>
      </c>
    </row>
    <row r="1341" spans="1:26" ht="23.25" hidden="1" thickBot="1" x14ac:dyDescent="0.25">
      <c r="A1341" s="567">
        <v>101879</v>
      </c>
      <c r="B1341" s="644">
        <v>101879</v>
      </c>
      <c r="C1341" s="645" t="s">
        <v>670</v>
      </c>
      <c r="D1341" s="422" t="s">
        <v>1192</v>
      </c>
      <c r="E1341" s="423"/>
      <c r="F1341" s="424"/>
      <c r="G1341" s="425"/>
      <c r="H1341" s="651"/>
      <c r="I1341" s="420">
        <v>795.05</v>
      </c>
      <c r="J1341" s="420">
        <f t="shared" si="337"/>
        <v>795.05</v>
      </c>
      <c r="K1341" s="421">
        <f t="shared" si="336"/>
        <v>944.6</v>
      </c>
      <c r="L1341" s="647" t="s">
        <v>2065</v>
      </c>
      <c r="M1341" s="576"/>
      <c r="N1341" s="576">
        <f t="shared" si="339"/>
        <v>0</v>
      </c>
      <c r="O1341" s="577">
        <f t="shared" si="344"/>
        <v>0</v>
      </c>
      <c r="P1341" s="578">
        <f t="shared" si="345"/>
        <v>0</v>
      </c>
      <c r="Q1341" s="765"/>
      <c r="R1341" s="576">
        <f t="shared" si="341"/>
        <v>0</v>
      </c>
      <c r="S1341" s="576">
        <f t="shared" si="341"/>
        <v>0</v>
      </c>
      <c r="T1341" s="577">
        <f t="shared" si="342"/>
        <v>0</v>
      </c>
      <c r="U1341" s="578">
        <f t="shared" si="343"/>
        <v>0</v>
      </c>
      <c r="V1341" s="579"/>
      <c r="W1341" s="566"/>
      <c r="X1341" s="586" t="str">
        <f t="shared" ref="X1341:X1404" si="346">IF(W1341="X","x",IF(W1341="xx","x",IF(W1341="xy","x",IF(W1341="y","x",IF(OR(P1341&gt;0,U1341&gt;0),"x","")))))</f>
        <v/>
      </c>
      <c r="Y1341" s="586" t="str">
        <f t="shared" si="340"/>
        <v/>
      </c>
      <c r="Z1341" s="586" t="str">
        <f t="shared" si="338"/>
        <v/>
      </c>
    </row>
    <row r="1342" spans="1:26" ht="23.25" hidden="1" thickBot="1" x14ac:dyDescent="0.25">
      <c r="A1342" s="567">
        <v>101880</v>
      </c>
      <c r="B1342" s="644">
        <v>101880</v>
      </c>
      <c r="C1342" s="645" t="s">
        <v>670</v>
      </c>
      <c r="D1342" s="422" t="s">
        <v>1193</v>
      </c>
      <c r="E1342" s="423"/>
      <c r="F1342" s="424"/>
      <c r="G1342" s="425"/>
      <c r="H1342" s="651"/>
      <c r="I1342" s="420">
        <v>914.44</v>
      </c>
      <c r="J1342" s="420">
        <f t="shared" si="337"/>
        <v>914.44</v>
      </c>
      <c r="K1342" s="421">
        <f t="shared" si="336"/>
        <v>1086.45</v>
      </c>
      <c r="L1342" s="647" t="s">
        <v>2065</v>
      </c>
      <c r="M1342" s="576"/>
      <c r="N1342" s="576">
        <f t="shared" si="339"/>
        <v>0</v>
      </c>
      <c r="O1342" s="577">
        <f t="shared" si="344"/>
        <v>0</v>
      </c>
      <c r="P1342" s="578">
        <f t="shared" si="345"/>
        <v>0</v>
      </c>
      <c r="Q1342" s="765"/>
      <c r="R1342" s="576">
        <f t="shared" si="341"/>
        <v>0</v>
      </c>
      <c r="S1342" s="576">
        <f t="shared" si="341"/>
        <v>0</v>
      </c>
      <c r="T1342" s="577">
        <f t="shared" si="342"/>
        <v>0</v>
      </c>
      <c r="U1342" s="578">
        <f t="shared" si="343"/>
        <v>0</v>
      </c>
      <c r="V1342" s="579"/>
      <c r="W1342" s="566"/>
      <c r="X1342" s="586" t="str">
        <f t="shared" si="346"/>
        <v/>
      </c>
      <c r="Y1342" s="586" t="str">
        <f t="shared" si="340"/>
        <v/>
      </c>
      <c r="Z1342" s="586" t="str">
        <f t="shared" si="338"/>
        <v/>
      </c>
    </row>
    <row r="1343" spans="1:26" ht="23.25" hidden="1" thickBot="1" x14ac:dyDescent="0.25">
      <c r="A1343" s="567">
        <v>101881</v>
      </c>
      <c r="B1343" s="644">
        <v>101881</v>
      </c>
      <c r="C1343" s="645" t="s">
        <v>670</v>
      </c>
      <c r="D1343" s="422" t="s">
        <v>1194</v>
      </c>
      <c r="E1343" s="423"/>
      <c r="F1343" s="424"/>
      <c r="G1343" s="425"/>
      <c r="H1343" s="651"/>
      <c r="I1343" s="420">
        <v>1321.07</v>
      </c>
      <c r="J1343" s="420">
        <f t="shared" si="337"/>
        <v>1321.07</v>
      </c>
      <c r="K1343" s="421">
        <f t="shared" si="336"/>
        <v>1569.56</v>
      </c>
      <c r="L1343" s="647" t="s">
        <v>2065</v>
      </c>
      <c r="M1343" s="576"/>
      <c r="N1343" s="576">
        <f t="shared" si="339"/>
        <v>0</v>
      </c>
      <c r="O1343" s="577">
        <f t="shared" si="344"/>
        <v>0</v>
      </c>
      <c r="P1343" s="578">
        <f t="shared" si="345"/>
        <v>0</v>
      </c>
      <c r="Q1343" s="765"/>
      <c r="R1343" s="576">
        <f t="shared" si="341"/>
        <v>0</v>
      </c>
      <c r="S1343" s="576">
        <f t="shared" si="341"/>
        <v>0</v>
      </c>
      <c r="T1343" s="577">
        <f t="shared" si="342"/>
        <v>0</v>
      </c>
      <c r="U1343" s="578">
        <f t="shared" si="343"/>
        <v>0</v>
      </c>
      <c r="V1343" s="579"/>
      <c r="W1343" s="566"/>
      <c r="X1343" s="586" t="str">
        <f t="shared" si="346"/>
        <v/>
      </c>
      <c r="Y1343" s="586" t="str">
        <f t="shared" si="340"/>
        <v/>
      </c>
      <c r="Z1343" s="586" t="str">
        <f t="shared" si="338"/>
        <v/>
      </c>
    </row>
    <row r="1344" spans="1:26" ht="23.25" hidden="1" thickBot="1" x14ac:dyDescent="0.25">
      <c r="A1344" s="567">
        <v>101882</v>
      </c>
      <c r="B1344" s="644">
        <v>101882</v>
      </c>
      <c r="C1344" s="645" t="s">
        <v>670</v>
      </c>
      <c r="D1344" s="422" t="s">
        <v>1195</v>
      </c>
      <c r="E1344" s="423"/>
      <c r="F1344" s="424"/>
      <c r="G1344" s="425"/>
      <c r="H1344" s="651"/>
      <c r="I1344" s="420">
        <v>1881.42</v>
      </c>
      <c r="J1344" s="420">
        <f t="shared" si="337"/>
        <v>1881.42</v>
      </c>
      <c r="K1344" s="421">
        <f t="shared" si="336"/>
        <v>2235.3200000000002</v>
      </c>
      <c r="L1344" s="647" t="s">
        <v>2065</v>
      </c>
      <c r="M1344" s="576"/>
      <c r="N1344" s="576">
        <f t="shared" si="339"/>
        <v>0</v>
      </c>
      <c r="O1344" s="577">
        <f t="shared" si="344"/>
        <v>0</v>
      </c>
      <c r="P1344" s="578">
        <f t="shared" si="345"/>
        <v>0</v>
      </c>
      <c r="Q1344" s="765"/>
      <c r="R1344" s="576">
        <f t="shared" si="341"/>
        <v>0</v>
      </c>
      <c r="S1344" s="576">
        <f t="shared" si="341"/>
        <v>0</v>
      </c>
      <c r="T1344" s="577">
        <f t="shared" si="342"/>
        <v>0</v>
      </c>
      <c r="U1344" s="578">
        <f t="shared" si="343"/>
        <v>0</v>
      </c>
      <c r="V1344" s="579"/>
      <c r="W1344" s="566"/>
      <c r="X1344" s="586" t="str">
        <f t="shared" si="346"/>
        <v/>
      </c>
      <c r="Y1344" s="586" t="str">
        <f t="shared" si="340"/>
        <v/>
      </c>
      <c r="Z1344" s="586" t="str">
        <f t="shared" si="338"/>
        <v/>
      </c>
    </row>
    <row r="1345" spans="1:26" ht="23.25" hidden="1" thickBot="1" x14ac:dyDescent="0.25">
      <c r="A1345" s="567">
        <v>101883</v>
      </c>
      <c r="B1345" s="644">
        <v>101883</v>
      </c>
      <c r="C1345" s="645" t="s">
        <v>670</v>
      </c>
      <c r="D1345" s="422" t="s">
        <v>1196</v>
      </c>
      <c r="E1345" s="423"/>
      <c r="F1345" s="424"/>
      <c r="G1345" s="425"/>
      <c r="H1345" s="651"/>
      <c r="I1345" s="420">
        <v>757.66</v>
      </c>
      <c r="J1345" s="420">
        <f t="shared" si="337"/>
        <v>757.66</v>
      </c>
      <c r="K1345" s="421">
        <f t="shared" si="336"/>
        <v>900.18</v>
      </c>
      <c r="L1345" s="647" t="s">
        <v>2065</v>
      </c>
      <c r="M1345" s="576"/>
      <c r="N1345" s="576">
        <f t="shared" si="339"/>
        <v>0</v>
      </c>
      <c r="O1345" s="577">
        <f t="shared" si="344"/>
        <v>0</v>
      </c>
      <c r="P1345" s="578">
        <f t="shared" si="345"/>
        <v>0</v>
      </c>
      <c r="Q1345" s="765"/>
      <c r="R1345" s="576">
        <f t="shared" si="341"/>
        <v>0</v>
      </c>
      <c r="S1345" s="576">
        <f t="shared" si="341"/>
        <v>0</v>
      </c>
      <c r="T1345" s="577">
        <f t="shared" si="342"/>
        <v>0</v>
      </c>
      <c r="U1345" s="578">
        <f t="shared" si="343"/>
        <v>0</v>
      </c>
      <c r="V1345" s="579"/>
      <c r="W1345" s="566"/>
      <c r="X1345" s="586" t="str">
        <f t="shared" si="346"/>
        <v/>
      </c>
      <c r="Y1345" s="586" t="str">
        <f t="shared" si="340"/>
        <v/>
      </c>
      <c r="Z1345" s="586" t="str">
        <f t="shared" si="338"/>
        <v/>
      </c>
    </row>
    <row r="1346" spans="1:26" ht="12" hidden="1" thickBot="1" x14ac:dyDescent="0.25">
      <c r="A1346" s="567">
        <v>101901</v>
      </c>
      <c r="B1346" s="644">
        <v>101901</v>
      </c>
      <c r="C1346" s="645" t="s">
        <v>670</v>
      </c>
      <c r="D1346" s="422" t="s">
        <v>1197</v>
      </c>
      <c r="E1346" s="423"/>
      <c r="F1346" s="424"/>
      <c r="G1346" s="425"/>
      <c r="H1346" s="651"/>
      <c r="I1346" s="420">
        <v>130.36000000000001</v>
      </c>
      <c r="J1346" s="420">
        <f t="shared" si="337"/>
        <v>130.36000000000001</v>
      </c>
      <c r="K1346" s="421">
        <f t="shared" si="336"/>
        <v>154.88</v>
      </c>
      <c r="L1346" s="647" t="s">
        <v>2065</v>
      </c>
      <c r="M1346" s="576"/>
      <c r="N1346" s="576">
        <f t="shared" si="339"/>
        <v>0</v>
      </c>
      <c r="O1346" s="577">
        <f t="shared" si="344"/>
        <v>0</v>
      </c>
      <c r="P1346" s="578">
        <f t="shared" si="345"/>
        <v>0</v>
      </c>
      <c r="Q1346" s="765"/>
      <c r="R1346" s="576">
        <f t="shared" si="341"/>
        <v>0</v>
      </c>
      <c r="S1346" s="576">
        <f t="shared" si="341"/>
        <v>0</v>
      </c>
      <c r="T1346" s="577">
        <f t="shared" si="342"/>
        <v>0</v>
      </c>
      <c r="U1346" s="578">
        <f t="shared" si="343"/>
        <v>0</v>
      </c>
      <c r="V1346" s="579"/>
      <c r="W1346" s="566"/>
      <c r="X1346" s="586" t="str">
        <f t="shared" si="346"/>
        <v/>
      </c>
      <c r="Y1346" s="586" t="str">
        <f t="shared" si="340"/>
        <v/>
      </c>
      <c r="Z1346" s="586" t="str">
        <f t="shared" si="338"/>
        <v/>
      </c>
    </row>
    <row r="1347" spans="1:26" ht="12" hidden="1" thickBot="1" x14ac:dyDescent="0.25">
      <c r="A1347" s="567">
        <v>101902</v>
      </c>
      <c r="B1347" s="644">
        <v>101902</v>
      </c>
      <c r="C1347" s="645" t="s">
        <v>670</v>
      </c>
      <c r="D1347" s="422" t="s">
        <v>1198</v>
      </c>
      <c r="E1347" s="423"/>
      <c r="F1347" s="424"/>
      <c r="G1347" s="425"/>
      <c r="H1347" s="651"/>
      <c r="I1347" s="420">
        <v>161.28</v>
      </c>
      <c r="J1347" s="420">
        <f t="shared" si="337"/>
        <v>161.28</v>
      </c>
      <c r="K1347" s="421">
        <f t="shared" si="336"/>
        <v>191.62</v>
      </c>
      <c r="L1347" s="647" t="s">
        <v>2065</v>
      </c>
      <c r="M1347" s="576"/>
      <c r="N1347" s="576">
        <f t="shared" si="339"/>
        <v>0</v>
      </c>
      <c r="O1347" s="577">
        <f t="shared" si="344"/>
        <v>0</v>
      </c>
      <c r="P1347" s="578">
        <f t="shared" si="345"/>
        <v>0</v>
      </c>
      <c r="Q1347" s="765"/>
      <c r="R1347" s="576">
        <f t="shared" si="341"/>
        <v>0</v>
      </c>
      <c r="S1347" s="576">
        <f t="shared" si="341"/>
        <v>0</v>
      </c>
      <c r="T1347" s="577">
        <f t="shared" si="342"/>
        <v>0</v>
      </c>
      <c r="U1347" s="578">
        <f t="shared" si="343"/>
        <v>0</v>
      </c>
      <c r="V1347" s="579"/>
      <c r="W1347" s="566"/>
      <c r="X1347" s="586" t="str">
        <f t="shared" si="346"/>
        <v/>
      </c>
      <c r="Y1347" s="586" t="str">
        <f t="shared" si="340"/>
        <v/>
      </c>
      <c r="Z1347" s="586" t="str">
        <f t="shared" si="338"/>
        <v/>
      </c>
    </row>
    <row r="1348" spans="1:26" ht="12" hidden="1" thickBot="1" x14ac:dyDescent="0.25">
      <c r="A1348" s="567">
        <v>101903</v>
      </c>
      <c r="B1348" s="644">
        <v>101903</v>
      </c>
      <c r="C1348" s="645" t="s">
        <v>670</v>
      </c>
      <c r="D1348" s="422" t="s">
        <v>1199</v>
      </c>
      <c r="E1348" s="423"/>
      <c r="F1348" s="424"/>
      <c r="G1348" s="425"/>
      <c r="H1348" s="651"/>
      <c r="I1348" s="420">
        <v>336.27</v>
      </c>
      <c r="J1348" s="420">
        <f t="shared" si="337"/>
        <v>336.27</v>
      </c>
      <c r="K1348" s="421">
        <f t="shared" si="336"/>
        <v>399.52</v>
      </c>
      <c r="L1348" s="647" t="s">
        <v>2065</v>
      </c>
      <c r="M1348" s="576"/>
      <c r="N1348" s="576">
        <f t="shared" si="339"/>
        <v>0</v>
      </c>
      <c r="O1348" s="577">
        <f t="shared" si="344"/>
        <v>0</v>
      </c>
      <c r="P1348" s="578">
        <f t="shared" si="345"/>
        <v>0</v>
      </c>
      <c r="Q1348" s="765"/>
      <c r="R1348" s="576">
        <f t="shared" si="341"/>
        <v>0</v>
      </c>
      <c r="S1348" s="576">
        <f t="shared" si="341"/>
        <v>0</v>
      </c>
      <c r="T1348" s="577">
        <f t="shared" si="342"/>
        <v>0</v>
      </c>
      <c r="U1348" s="578">
        <f t="shared" si="343"/>
        <v>0</v>
      </c>
      <c r="V1348" s="579"/>
      <c r="W1348" s="566"/>
      <c r="X1348" s="586" t="str">
        <f t="shared" si="346"/>
        <v/>
      </c>
      <c r="Y1348" s="586" t="str">
        <f t="shared" si="340"/>
        <v/>
      </c>
      <c r="Z1348" s="586" t="str">
        <f t="shared" si="338"/>
        <v/>
      </c>
    </row>
    <row r="1349" spans="1:26" ht="12" hidden="1" thickBot="1" x14ac:dyDescent="0.25">
      <c r="A1349" s="567">
        <v>101904</v>
      </c>
      <c r="B1349" s="644">
        <v>101904</v>
      </c>
      <c r="C1349" s="645" t="s">
        <v>670</v>
      </c>
      <c r="D1349" s="422" t="s">
        <v>1200</v>
      </c>
      <c r="E1349" s="423"/>
      <c r="F1349" s="424"/>
      <c r="G1349" s="425"/>
      <c r="H1349" s="651"/>
      <c r="I1349" s="420">
        <v>1230.0999999999999</v>
      </c>
      <c r="J1349" s="420">
        <f t="shared" si="337"/>
        <v>1230.0999999999999</v>
      </c>
      <c r="K1349" s="421">
        <f t="shared" si="336"/>
        <v>1461.48</v>
      </c>
      <c r="L1349" s="647" t="s">
        <v>2065</v>
      </c>
      <c r="M1349" s="576"/>
      <c r="N1349" s="576">
        <f t="shared" si="339"/>
        <v>0</v>
      </c>
      <c r="O1349" s="577">
        <f t="shared" si="344"/>
        <v>0</v>
      </c>
      <c r="P1349" s="578">
        <f t="shared" si="345"/>
        <v>0</v>
      </c>
      <c r="Q1349" s="765"/>
      <c r="R1349" s="576">
        <f t="shared" si="341"/>
        <v>0</v>
      </c>
      <c r="S1349" s="576">
        <f t="shared" si="341"/>
        <v>0</v>
      </c>
      <c r="T1349" s="577">
        <f t="shared" si="342"/>
        <v>0</v>
      </c>
      <c r="U1349" s="578">
        <f t="shared" si="343"/>
        <v>0</v>
      </c>
      <c r="V1349" s="579"/>
      <c r="W1349" s="566"/>
      <c r="X1349" s="586" t="str">
        <f t="shared" si="346"/>
        <v/>
      </c>
      <c r="Y1349" s="586" t="str">
        <f t="shared" si="340"/>
        <v/>
      </c>
      <c r="Z1349" s="586" t="str">
        <f t="shared" si="338"/>
        <v/>
      </c>
    </row>
    <row r="1350" spans="1:26" ht="23.25" hidden="1" thickBot="1" x14ac:dyDescent="0.25">
      <c r="A1350" s="567">
        <v>93653</v>
      </c>
      <c r="B1350" s="644">
        <v>93653</v>
      </c>
      <c r="C1350" s="645" t="s">
        <v>670</v>
      </c>
      <c r="D1350" s="422" t="s">
        <v>1201</v>
      </c>
      <c r="E1350" s="423"/>
      <c r="F1350" s="424"/>
      <c r="G1350" s="425"/>
      <c r="H1350" s="651"/>
      <c r="I1350" s="420">
        <v>13.64</v>
      </c>
      <c r="J1350" s="420">
        <f t="shared" si="337"/>
        <v>13.64</v>
      </c>
      <c r="K1350" s="421">
        <f t="shared" si="336"/>
        <v>16.21</v>
      </c>
      <c r="L1350" s="647" t="s">
        <v>2065</v>
      </c>
      <c r="M1350" s="576"/>
      <c r="N1350" s="576">
        <f t="shared" si="339"/>
        <v>0</v>
      </c>
      <c r="O1350" s="577">
        <f t="shared" si="344"/>
        <v>0</v>
      </c>
      <c r="P1350" s="578">
        <f t="shared" si="345"/>
        <v>0</v>
      </c>
      <c r="Q1350" s="765"/>
      <c r="R1350" s="576">
        <f t="shared" si="341"/>
        <v>0</v>
      </c>
      <c r="S1350" s="576">
        <f t="shared" si="341"/>
        <v>0</v>
      </c>
      <c r="T1350" s="577">
        <f t="shared" si="342"/>
        <v>0</v>
      </c>
      <c r="U1350" s="578">
        <f t="shared" si="343"/>
        <v>0</v>
      </c>
      <c r="V1350" s="579"/>
      <c r="W1350" s="566"/>
      <c r="X1350" s="586" t="str">
        <f t="shared" si="346"/>
        <v/>
      </c>
      <c r="Y1350" s="586" t="str">
        <f t="shared" si="340"/>
        <v/>
      </c>
      <c r="Z1350" s="586" t="str">
        <f t="shared" si="338"/>
        <v/>
      </c>
    </row>
    <row r="1351" spans="1:26" ht="23.25" hidden="1" thickBot="1" x14ac:dyDescent="0.25">
      <c r="A1351" s="567">
        <v>93654</v>
      </c>
      <c r="B1351" s="644">
        <v>93654</v>
      </c>
      <c r="C1351" s="645" t="s">
        <v>670</v>
      </c>
      <c r="D1351" s="422" t="s">
        <v>1202</v>
      </c>
      <c r="E1351" s="423"/>
      <c r="F1351" s="424"/>
      <c r="G1351" s="425"/>
      <c r="H1351" s="651"/>
      <c r="I1351" s="420">
        <v>14.29</v>
      </c>
      <c r="J1351" s="420">
        <f t="shared" si="337"/>
        <v>14.29</v>
      </c>
      <c r="K1351" s="421">
        <f t="shared" si="336"/>
        <v>16.98</v>
      </c>
      <c r="L1351" s="647" t="s">
        <v>2065</v>
      </c>
      <c r="M1351" s="576"/>
      <c r="N1351" s="576">
        <f t="shared" si="339"/>
        <v>0</v>
      </c>
      <c r="O1351" s="577">
        <f t="shared" si="344"/>
        <v>0</v>
      </c>
      <c r="P1351" s="578">
        <f t="shared" si="345"/>
        <v>0</v>
      </c>
      <c r="Q1351" s="765"/>
      <c r="R1351" s="576">
        <f t="shared" si="341"/>
        <v>0</v>
      </c>
      <c r="S1351" s="576">
        <f t="shared" si="341"/>
        <v>0</v>
      </c>
      <c r="T1351" s="577">
        <f t="shared" si="342"/>
        <v>0</v>
      </c>
      <c r="U1351" s="578">
        <f t="shared" si="343"/>
        <v>0</v>
      </c>
      <c r="V1351" s="579"/>
      <c r="W1351" s="566"/>
      <c r="X1351" s="586" t="str">
        <f t="shared" si="346"/>
        <v/>
      </c>
      <c r="Y1351" s="586" t="str">
        <f t="shared" si="340"/>
        <v/>
      </c>
      <c r="Z1351" s="586" t="str">
        <f t="shared" si="338"/>
        <v/>
      </c>
    </row>
    <row r="1352" spans="1:26" ht="23.25" hidden="1" thickBot="1" x14ac:dyDescent="0.25">
      <c r="A1352" s="567">
        <v>93655</v>
      </c>
      <c r="B1352" s="644">
        <v>93655</v>
      </c>
      <c r="C1352" s="645" t="s">
        <v>670</v>
      </c>
      <c r="D1352" s="422" t="s">
        <v>1203</v>
      </c>
      <c r="E1352" s="423"/>
      <c r="F1352" s="424"/>
      <c r="G1352" s="425"/>
      <c r="H1352" s="651"/>
      <c r="I1352" s="420">
        <v>15.53</v>
      </c>
      <c r="J1352" s="420">
        <f t="shared" si="337"/>
        <v>15.53</v>
      </c>
      <c r="K1352" s="421">
        <f t="shared" si="336"/>
        <v>18.45</v>
      </c>
      <c r="L1352" s="647" t="s">
        <v>2065</v>
      </c>
      <c r="M1352" s="576"/>
      <c r="N1352" s="576">
        <f t="shared" si="339"/>
        <v>0</v>
      </c>
      <c r="O1352" s="577">
        <f t="shared" si="344"/>
        <v>0</v>
      </c>
      <c r="P1352" s="578">
        <f t="shared" si="345"/>
        <v>0</v>
      </c>
      <c r="Q1352" s="765"/>
      <c r="R1352" s="576">
        <f t="shared" si="341"/>
        <v>0</v>
      </c>
      <c r="S1352" s="576">
        <f t="shared" si="341"/>
        <v>0</v>
      </c>
      <c r="T1352" s="577">
        <f t="shared" si="342"/>
        <v>0</v>
      </c>
      <c r="U1352" s="578">
        <f t="shared" si="343"/>
        <v>0</v>
      </c>
      <c r="V1352" s="579"/>
      <c r="W1352" s="566"/>
      <c r="X1352" s="586" t="str">
        <f t="shared" si="346"/>
        <v/>
      </c>
      <c r="Y1352" s="586" t="str">
        <f t="shared" si="340"/>
        <v/>
      </c>
      <c r="Z1352" s="586" t="str">
        <f t="shared" si="338"/>
        <v/>
      </c>
    </row>
    <row r="1353" spans="1:26" ht="23.25" hidden="1" thickBot="1" x14ac:dyDescent="0.25">
      <c r="A1353" s="567">
        <v>93656</v>
      </c>
      <c r="B1353" s="644">
        <v>93656</v>
      </c>
      <c r="C1353" s="645" t="s">
        <v>670</v>
      </c>
      <c r="D1353" s="422" t="s">
        <v>1204</v>
      </c>
      <c r="E1353" s="423"/>
      <c r="F1353" s="424"/>
      <c r="G1353" s="425"/>
      <c r="H1353" s="651"/>
      <c r="I1353" s="420">
        <v>15.53</v>
      </c>
      <c r="J1353" s="420">
        <f t="shared" si="337"/>
        <v>15.53</v>
      </c>
      <c r="K1353" s="421">
        <f t="shared" ref="K1353:K1416" si="347">IF(ISBLANK(I1353),0,ROUND(J1353*(1+$F$10)*(1+$F$11*E1353),2))</f>
        <v>18.45</v>
      </c>
      <c r="L1353" s="647" t="s">
        <v>2065</v>
      </c>
      <c r="M1353" s="576"/>
      <c r="N1353" s="576">
        <f t="shared" si="339"/>
        <v>0</v>
      </c>
      <c r="O1353" s="577">
        <f t="shared" si="344"/>
        <v>0</v>
      </c>
      <c r="P1353" s="578">
        <f t="shared" si="345"/>
        <v>0</v>
      </c>
      <c r="Q1353" s="765"/>
      <c r="R1353" s="576">
        <f t="shared" si="341"/>
        <v>0</v>
      </c>
      <c r="S1353" s="576">
        <f t="shared" si="341"/>
        <v>0</v>
      </c>
      <c r="T1353" s="577">
        <f t="shared" si="342"/>
        <v>0</v>
      </c>
      <c r="U1353" s="578">
        <f t="shared" si="343"/>
        <v>0</v>
      </c>
      <c r="V1353" s="579"/>
      <c r="W1353" s="566"/>
      <c r="X1353" s="586" t="str">
        <f t="shared" si="346"/>
        <v/>
      </c>
      <c r="Y1353" s="586" t="str">
        <f t="shared" si="340"/>
        <v/>
      </c>
      <c r="Z1353" s="586" t="str">
        <f t="shared" si="338"/>
        <v/>
      </c>
    </row>
    <row r="1354" spans="1:26" ht="23.25" hidden="1" thickBot="1" x14ac:dyDescent="0.25">
      <c r="A1354" s="567">
        <v>93657</v>
      </c>
      <c r="B1354" s="644">
        <v>93657</v>
      </c>
      <c r="C1354" s="645" t="s">
        <v>670</v>
      </c>
      <c r="D1354" s="422" t="s">
        <v>1205</v>
      </c>
      <c r="E1354" s="423"/>
      <c r="F1354" s="424"/>
      <c r="G1354" s="425"/>
      <c r="H1354" s="651"/>
      <c r="I1354" s="420">
        <v>17.04</v>
      </c>
      <c r="J1354" s="420">
        <f t="shared" si="337"/>
        <v>17.04</v>
      </c>
      <c r="K1354" s="421">
        <f t="shared" si="347"/>
        <v>20.25</v>
      </c>
      <c r="L1354" s="647" t="s">
        <v>2065</v>
      </c>
      <c r="M1354" s="576"/>
      <c r="N1354" s="576">
        <f t="shared" si="339"/>
        <v>0</v>
      </c>
      <c r="O1354" s="577">
        <f t="shared" si="344"/>
        <v>0</v>
      </c>
      <c r="P1354" s="578">
        <f t="shared" si="345"/>
        <v>0</v>
      </c>
      <c r="Q1354" s="765"/>
      <c r="R1354" s="576">
        <f t="shared" si="341"/>
        <v>0</v>
      </c>
      <c r="S1354" s="576">
        <f t="shared" si="341"/>
        <v>0</v>
      </c>
      <c r="T1354" s="577">
        <f t="shared" si="342"/>
        <v>0</v>
      </c>
      <c r="U1354" s="578">
        <f t="shared" si="343"/>
        <v>0</v>
      </c>
      <c r="V1354" s="579"/>
      <c r="W1354" s="566"/>
      <c r="X1354" s="586" t="str">
        <f t="shared" si="346"/>
        <v/>
      </c>
      <c r="Y1354" s="586" t="str">
        <f t="shared" si="340"/>
        <v/>
      </c>
      <c r="Z1354" s="586" t="str">
        <f t="shared" si="338"/>
        <v/>
      </c>
    </row>
    <row r="1355" spans="1:26" ht="23.25" hidden="1" thickBot="1" x14ac:dyDescent="0.25">
      <c r="A1355" s="567">
        <v>93658</v>
      </c>
      <c r="B1355" s="644">
        <v>93658</v>
      </c>
      <c r="C1355" s="645" t="s">
        <v>670</v>
      </c>
      <c r="D1355" s="422" t="s">
        <v>1206</v>
      </c>
      <c r="E1355" s="423"/>
      <c r="F1355" s="424"/>
      <c r="G1355" s="425"/>
      <c r="H1355" s="651"/>
      <c r="I1355" s="420">
        <v>24.72</v>
      </c>
      <c r="J1355" s="420">
        <f t="shared" si="337"/>
        <v>24.72</v>
      </c>
      <c r="K1355" s="421">
        <f t="shared" si="347"/>
        <v>29.37</v>
      </c>
      <c r="L1355" s="647" t="s">
        <v>2065</v>
      </c>
      <c r="M1355" s="576"/>
      <c r="N1355" s="576">
        <f t="shared" si="339"/>
        <v>0</v>
      </c>
      <c r="O1355" s="577">
        <f t="shared" si="344"/>
        <v>0</v>
      </c>
      <c r="P1355" s="578">
        <f t="shared" si="345"/>
        <v>0</v>
      </c>
      <c r="Q1355" s="765"/>
      <c r="R1355" s="576">
        <f t="shared" si="341"/>
        <v>0</v>
      </c>
      <c r="S1355" s="576">
        <f t="shared" si="341"/>
        <v>0</v>
      </c>
      <c r="T1355" s="577">
        <f t="shared" si="342"/>
        <v>0</v>
      </c>
      <c r="U1355" s="578">
        <f t="shared" si="343"/>
        <v>0</v>
      </c>
      <c r="V1355" s="579"/>
      <c r="W1355" s="566"/>
      <c r="X1355" s="586" t="str">
        <f t="shared" si="346"/>
        <v/>
      </c>
      <c r="Y1355" s="586" t="str">
        <f t="shared" si="340"/>
        <v/>
      </c>
      <c r="Z1355" s="586" t="str">
        <f t="shared" si="338"/>
        <v/>
      </c>
    </row>
    <row r="1356" spans="1:26" ht="23.25" hidden="1" thickBot="1" x14ac:dyDescent="0.25">
      <c r="A1356" s="567">
        <v>93659</v>
      </c>
      <c r="B1356" s="644">
        <v>93659</v>
      </c>
      <c r="C1356" s="645" t="s">
        <v>670</v>
      </c>
      <c r="D1356" s="422" t="s">
        <v>1207</v>
      </c>
      <c r="E1356" s="423"/>
      <c r="F1356" s="424"/>
      <c r="G1356" s="425"/>
      <c r="H1356" s="651"/>
      <c r="I1356" s="420">
        <v>27.81</v>
      </c>
      <c r="J1356" s="420">
        <f t="shared" si="337"/>
        <v>27.81</v>
      </c>
      <c r="K1356" s="421">
        <f t="shared" si="347"/>
        <v>33.04</v>
      </c>
      <c r="L1356" s="647" t="s">
        <v>2065</v>
      </c>
      <c r="M1356" s="576"/>
      <c r="N1356" s="576">
        <f t="shared" si="339"/>
        <v>0</v>
      </c>
      <c r="O1356" s="577">
        <f t="shared" si="344"/>
        <v>0</v>
      </c>
      <c r="P1356" s="578">
        <f t="shared" si="345"/>
        <v>0</v>
      </c>
      <c r="Q1356" s="765"/>
      <c r="R1356" s="576">
        <f t="shared" si="341"/>
        <v>0</v>
      </c>
      <c r="S1356" s="576">
        <f t="shared" si="341"/>
        <v>0</v>
      </c>
      <c r="T1356" s="577">
        <f t="shared" si="342"/>
        <v>0</v>
      </c>
      <c r="U1356" s="578">
        <f t="shared" si="343"/>
        <v>0</v>
      </c>
      <c r="V1356" s="579"/>
      <c r="W1356" s="566"/>
      <c r="X1356" s="586" t="str">
        <f t="shared" si="346"/>
        <v/>
      </c>
      <c r="Y1356" s="586" t="str">
        <f t="shared" si="340"/>
        <v/>
      </c>
      <c r="Z1356" s="586" t="str">
        <f t="shared" si="338"/>
        <v/>
      </c>
    </row>
    <row r="1357" spans="1:26" ht="23.25" hidden="1" thickBot="1" x14ac:dyDescent="0.25">
      <c r="A1357" s="567">
        <v>101890</v>
      </c>
      <c r="B1357" s="644">
        <v>101890</v>
      </c>
      <c r="C1357" s="645" t="s">
        <v>670</v>
      </c>
      <c r="D1357" s="422" t="s">
        <v>1208</v>
      </c>
      <c r="E1357" s="423"/>
      <c r="F1357" s="424"/>
      <c r="G1357" s="425"/>
      <c r="H1357" s="651"/>
      <c r="I1357" s="420">
        <v>18.760000000000002</v>
      </c>
      <c r="J1357" s="420">
        <f t="shared" si="337"/>
        <v>18.760000000000002</v>
      </c>
      <c r="K1357" s="421">
        <f t="shared" si="347"/>
        <v>22.29</v>
      </c>
      <c r="L1357" s="647" t="s">
        <v>2065</v>
      </c>
      <c r="M1357" s="576"/>
      <c r="N1357" s="576">
        <f t="shared" si="339"/>
        <v>0</v>
      </c>
      <c r="O1357" s="577">
        <f t="shared" si="344"/>
        <v>0</v>
      </c>
      <c r="P1357" s="578">
        <f t="shared" si="345"/>
        <v>0</v>
      </c>
      <c r="Q1357" s="765"/>
      <c r="R1357" s="576">
        <f t="shared" si="341"/>
        <v>0</v>
      </c>
      <c r="S1357" s="576">
        <f t="shared" si="341"/>
        <v>0</v>
      </c>
      <c r="T1357" s="577">
        <f t="shared" si="342"/>
        <v>0</v>
      </c>
      <c r="U1357" s="578">
        <f t="shared" si="343"/>
        <v>0</v>
      </c>
      <c r="V1357" s="579"/>
      <c r="W1357" s="566"/>
      <c r="X1357" s="586" t="str">
        <f t="shared" si="346"/>
        <v/>
      </c>
      <c r="Y1357" s="586" t="str">
        <f t="shared" si="340"/>
        <v/>
      </c>
      <c r="Z1357" s="586" t="str">
        <f t="shared" si="338"/>
        <v/>
      </c>
    </row>
    <row r="1358" spans="1:26" ht="23.25" hidden="1" thickBot="1" x14ac:dyDescent="0.25">
      <c r="A1358" s="567">
        <v>101891</v>
      </c>
      <c r="B1358" s="644">
        <v>101891</v>
      </c>
      <c r="C1358" s="645" t="s">
        <v>670</v>
      </c>
      <c r="D1358" s="422" t="s">
        <v>1209</v>
      </c>
      <c r="E1358" s="423"/>
      <c r="F1358" s="424"/>
      <c r="G1358" s="425"/>
      <c r="H1358" s="651"/>
      <c r="I1358" s="420">
        <v>32.28</v>
      </c>
      <c r="J1358" s="420">
        <f t="shared" si="337"/>
        <v>32.28</v>
      </c>
      <c r="K1358" s="421">
        <f t="shared" si="347"/>
        <v>38.35</v>
      </c>
      <c r="L1358" s="647" t="s">
        <v>2065</v>
      </c>
      <c r="M1358" s="576"/>
      <c r="N1358" s="576">
        <f t="shared" si="339"/>
        <v>0</v>
      </c>
      <c r="O1358" s="577">
        <f t="shared" si="344"/>
        <v>0</v>
      </c>
      <c r="P1358" s="578">
        <f t="shared" si="345"/>
        <v>0</v>
      </c>
      <c r="Q1358" s="765"/>
      <c r="R1358" s="576">
        <f t="shared" si="341"/>
        <v>0</v>
      </c>
      <c r="S1358" s="576">
        <f t="shared" si="341"/>
        <v>0</v>
      </c>
      <c r="T1358" s="577">
        <f t="shared" si="342"/>
        <v>0</v>
      </c>
      <c r="U1358" s="578">
        <f t="shared" si="343"/>
        <v>0</v>
      </c>
      <c r="V1358" s="579"/>
      <c r="W1358" s="566"/>
      <c r="X1358" s="586" t="str">
        <f t="shared" si="346"/>
        <v/>
      </c>
      <c r="Y1358" s="586" t="str">
        <f t="shared" si="340"/>
        <v/>
      </c>
      <c r="Z1358" s="586" t="str">
        <f t="shared" si="338"/>
        <v/>
      </c>
    </row>
    <row r="1359" spans="1:26" ht="12" hidden="1" thickBot="1" x14ac:dyDescent="0.25">
      <c r="A1359" s="567">
        <v>93660</v>
      </c>
      <c r="B1359" s="644">
        <v>93660</v>
      </c>
      <c r="C1359" s="645" t="s">
        <v>670</v>
      </c>
      <c r="D1359" s="422" t="s">
        <v>1210</v>
      </c>
      <c r="E1359" s="423"/>
      <c r="F1359" s="424"/>
      <c r="G1359" s="425"/>
      <c r="H1359" s="651"/>
      <c r="I1359" s="420">
        <v>68.16</v>
      </c>
      <c r="J1359" s="420">
        <f t="shared" si="337"/>
        <v>68.16</v>
      </c>
      <c r="K1359" s="421">
        <f t="shared" si="347"/>
        <v>80.98</v>
      </c>
      <c r="L1359" s="647" t="s">
        <v>2065</v>
      </c>
      <c r="M1359" s="576"/>
      <c r="N1359" s="576">
        <f t="shared" si="339"/>
        <v>0</v>
      </c>
      <c r="O1359" s="577">
        <f t="shared" si="344"/>
        <v>0</v>
      </c>
      <c r="P1359" s="578">
        <f t="shared" si="345"/>
        <v>0</v>
      </c>
      <c r="Q1359" s="765"/>
      <c r="R1359" s="576">
        <f t="shared" si="341"/>
        <v>0</v>
      </c>
      <c r="S1359" s="576">
        <f t="shared" si="341"/>
        <v>0</v>
      </c>
      <c r="T1359" s="577">
        <f t="shared" si="342"/>
        <v>0</v>
      </c>
      <c r="U1359" s="578">
        <f t="shared" si="343"/>
        <v>0</v>
      </c>
      <c r="V1359" s="579"/>
      <c r="W1359" s="566"/>
      <c r="X1359" s="586" t="str">
        <f t="shared" si="346"/>
        <v/>
      </c>
      <c r="Y1359" s="586" t="str">
        <f t="shared" si="340"/>
        <v/>
      </c>
      <c r="Z1359" s="586" t="str">
        <f t="shared" si="338"/>
        <v/>
      </c>
    </row>
    <row r="1360" spans="1:26" ht="12" hidden="1" thickBot="1" x14ac:dyDescent="0.25">
      <c r="A1360" s="567">
        <v>93661</v>
      </c>
      <c r="B1360" s="644">
        <v>93661</v>
      </c>
      <c r="C1360" s="645" t="s">
        <v>670</v>
      </c>
      <c r="D1360" s="422" t="s">
        <v>1211</v>
      </c>
      <c r="E1360" s="423"/>
      <c r="F1360" s="424"/>
      <c r="G1360" s="425"/>
      <c r="H1360" s="651"/>
      <c r="I1360" s="420">
        <v>69.459999999999994</v>
      </c>
      <c r="J1360" s="420">
        <f t="shared" si="337"/>
        <v>69.459999999999994</v>
      </c>
      <c r="K1360" s="421">
        <f t="shared" si="347"/>
        <v>82.53</v>
      </c>
      <c r="L1360" s="647" t="s">
        <v>2065</v>
      </c>
      <c r="M1360" s="576"/>
      <c r="N1360" s="576">
        <f t="shared" si="339"/>
        <v>0</v>
      </c>
      <c r="O1360" s="577">
        <f t="shared" si="344"/>
        <v>0</v>
      </c>
      <c r="P1360" s="578">
        <f t="shared" si="345"/>
        <v>0</v>
      </c>
      <c r="Q1360" s="765"/>
      <c r="R1360" s="576">
        <f t="shared" si="341"/>
        <v>0</v>
      </c>
      <c r="S1360" s="576">
        <f t="shared" si="341"/>
        <v>0</v>
      </c>
      <c r="T1360" s="577">
        <f t="shared" si="342"/>
        <v>0</v>
      </c>
      <c r="U1360" s="578">
        <f t="shared" si="343"/>
        <v>0</v>
      </c>
      <c r="V1360" s="579"/>
      <c r="W1360" s="566"/>
      <c r="X1360" s="586" t="str">
        <f t="shared" si="346"/>
        <v/>
      </c>
      <c r="Y1360" s="586" t="str">
        <f t="shared" si="340"/>
        <v/>
      </c>
      <c r="Z1360" s="586" t="str">
        <f t="shared" si="338"/>
        <v/>
      </c>
    </row>
    <row r="1361" spans="1:26" ht="12" hidden="1" thickBot="1" x14ac:dyDescent="0.25">
      <c r="A1361" s="567">
        <v>93662</v>
      </c>
      <c r="B1361" s="644">
        <v>93662</v>
      </c>
      <c r="C1361" s="645" t="s">
        <v>670</v>
      </c>
      <c r="D1361" s="422" t="s">
        <v>1212</v>
      </c>
      <c r="E1361" s="423"/>
      <c r="F1361" s="424"/>
      <c r="G1361" s="425"/>
      <c r="H1361" s="651"/>
      <c r="I1361" s="420">
        <v>71.930000000000007</v>
      </c>
      <c r="J1361" s="420">
        <f t="shared" si="337"/>
        <v>71.930000000000007</v>
      </c>
      <c r="K1361" s="421">
        <f t="shared" si="347"/>
        <v>85.46</v>
      </c>
      <c r="L1361" s="647" t="s">
        <v>2065</v>
      </c>
      <c r="M1361" s="576"/>
      <c r="N1361" s="576">
        <f t="shared" si="339"/>
        <v>0</v>
      </c>
      <c r="O1361" s="577">
        <f t="shared" si="344"/>
        <v>0</v>
      </c>
      <c r="P1361" s="578">
        <f t="shared" si="345"/>
        <v>0</v>
      </c>
      <c r="Q1361" s="765"/>
      <c r="R1361" s="576">
        <f t="shared" si="341"/>
        <v>0</v>
      </c>
      <c r="S1361" s="576">
        <f t="shared" si="341"/>
        <v>0</v>
      </c>
      <c r="T1361" s="577">
        <f t="shared" si="342"/>
        <v>0</v>
      </c>
      <c r="U1361" s="578">
        <f t="shared" si="343"/>
        <v>0</v>
      </c>
      <c r="V1361" s="579"/>
      <c r="W1361" s="566"/>
      <c r="X1361" s="586" t="str">
        <f t="shared" si="346"/>
        <v/>
      </c>
      <c r="Y1361" s="586" t="str">
        <f t="shared" si="340"/>
        <v/>
      </c>
      <c r="Z1361" s="586" t="str">
        <f t="shared" si="338"/>
        <v/>
      </c>
    </row>
    <row r="1362" spans="1:26" ht="12" hidden="1" thickBot="1" x14ac:dyDescent="0.25">
      <c r="A1362" s="567">
        <v>93663</v>
      </c>
      <c r="B1362" s="644">
        <v>93663</v>
      </c>
      <c r="C1362" s="645" t="s">
        <v>670</v>
      </c>
      <c r="D1362" s="422" t="s">
        <v>1213</v>
      </c>
      <c r="E1362" s="423"/>
      <c r="F1362" s="424"/>
      <c r="G1362" s="425"/>
      <c r="H1362" s="651"/>
      <c r="I1362" s="420">
        <v>71.930000000000007</v>
      </c>
      <c r="J1362" s="420">
        <f t="shared" si="337"/>
        <v>71.930000000000007</v>
      </c>
      <c r="K1362" s="421">
        <f t="shared" si="347"/>
        <v>85.46</v>
      </c>
      <c r="L1362" s="647" t="s">
        <v>2065</v>
      </c>
      <c r="M1362" s="576"/>
      <c r="N1362" s="576">
        <f t="shared" si="339"/>
        <v>0</v>
      </c>
      <c r="O1362" s="577">
        <f t="shared" si="344"/>
        <v>0</v>
      </c>
      <c r="P1362" s="578">
        <f t="shared" si="345"/>
        <v>0</v>
      </c>
      <c r="Q1362" s="765"/>
      <c r="R1362" s="576">
        <f t="shared" si="341"/>
        <v>0</v>
      </c>
      <c r="S1362" s="576">
        <f t="shared" si="341"/>
        <v>0</v>
      </c>
      <c r="T1362" s="577">
        <f t="shared" si="342"/>
        <v>0</v>
      </c>
      <c r="U1362" s="578">
        <f t="shared" si="343"/>
        <v>0</v>
      </c>
      <c r="V1362" s="579"/>
      <c r="W1362" s="566"/>
      <c r="X1362" s="586" t="str">
        <f t="shared" si="346"/>
        <v/>
      </c>
      <c r="Y1362" s="586" t="str">
        <f t="shared" si="340"/>
        <v/>
      </c>
      <c r="Z1362" s="586" t="str">
        <f t="shared" si="338"/>
        <v/>
      </c>
    </row>
    <row r="1363" spans="1:26" ht="12" hidden="1" thickBot="1" x14ac:dyDescent="0.25">
      <c r="A1363" s="567">
        <v>93664</v>
      </c>
      <c r="B1363" s="644">
        <v>93664</v>
      </c>
      <c r="C1363" s="645" t="s">
        <v>670</v>
      </c>
      <c r="D1363" s="422" t="s">
        <v>1214</v>
      </c>
      <c r="E1363" s="423"/>
      <c r="F1363" s="424"/>
      <c r="G1363" s="425"/>
      <c r="H1363" s="651"/>
      <c r="I1363" s="420">
        <v>74.94</v>
      </c>
      <c r="J1363" s="420">
        <f t="shared" ref="J1363:J1426" si="348">IF(ISBLANK(I1363),"",SUM(H1363:I1363))</f>
        <v>74.94</v>
      </c>
      <c r="K1363" s="421">
        <f t="shared" si="347"/>
        <v>89.04</v>
      </c>
      <c r="L1363" s="647" t="s">
        <v>2065</v>
      </c>
      <c r="M1363" s="576"/>
      <c r="N1363" s="576">
        <f t="shared" si="339"/>
        <v>0</v>
      </c>
      <c r="O1363" s="577">
        <f t="shared" si="344"/>
        <v>0</v>
      </c>
      <c r="P1363" s="578">
        <f t="shared" si="345"/>
        <v>0</v>
      </c>
      <c r="Q1363" s="765"/>
      <c r="R1363" s="576">
        <f t="shared" si="341"/>
        <v>0</v>
      </c>
      <c r="S1363" s="576">
        <f t="shared" si="341"/>
        <v>0</v>
      </c>
      <c r="T1363" s="577">
        <f t="shared" si="342"/>
        <v>0</v>
      </c>
      <c r="U1363" s="578">
        <f t="shared" si="343"/>
        <v>0</v>
      </c>
      <c r="V1363" s="579"/>
      <c r="W1363" s="566"/>
      <c r="X1363" s="586" t="str">
        <f t="shared" si="346"/>
        <v/>
      </c>
      <c r="Y1363" s="586" t="str">
        <f t="shared" si="340"/>
        <v/>
      </c>
      <c r="Z1363" s="586" t="str">
        <f t="shared" ref="Z1363:Z1426" si="349">IF(W1363="X","x",IF(U1363&gt;0,"x",""))</f>
        <v/>
      </c>
    </row>
    <row r="1364" spans="1:26" ht="12" hidden="1" thickBot="1" x14ac:dyDescent="0.25">
      <c r="A1364" s="567">
        <v>93665</v>
      </c>
      <c r="B1364" s="644">
        <v>93665</v>
      </c>
      <c r="C1364" s="645" t="s">
        <v>670</v>
      </c>
      <c r="D1364" s="422" t="s">
        <v>1215</v>
      </c>
      <c r="E1364" s="423"/>
      <c r="F1364" s="424"/>
      <c r="G1364" s="425"/>
      <c r="H1364" s="651"/>
      <c r="I1364" s="420">
        <v>78.790000000000006</v>
      </c>
      <c r="J1364" s="420">
        <f t="shared" si="348"/>
        <v>78.790000000000006</v>
      </c>
      <c r="K1364" s="421">
        <f t="shared" si="347"/>
        <v>93.61</v>
      </c>
      <c r="L1364" s="647" t="s">
        <v>2065</v>
      </c>
      <c r="M1364" s="576"/>
      <c r="N1364" s="576">
        <f t="shared" ref="N1364:N1427" si="350">IF(M1364=0,0,K1364)</f>
        <v>0</v>
      </c>
      <c r="O1364" s="577">
        <f t="shared" si="344"/>
        <v>0</v>
      </c>
      <c r="P1364" s="578">
        <f t="shared" si="345"/>
        <v>0</v>
      </c>
      <c r="Q1364" s="765"/>
      <c r="R1364" s="576">
        <f t="shared" si="341"/>
        <v>0</v>
      </c>
      <c r="S1364" s="576">
        <f t="shared" si="341"/>
        <v>0</v>
      </c>
      <c r="T1364" s="577">
        <f t="shared" si="342"/>
        <v>0</v>
      </c>
      <c r="U1364" s="578">
        <f t="shared" si="343"/>
        <v>0</v>
      </c>
      <c r="V1364" s="579"/>
      <c r="W1364" s="566"/>
      <c r="X1364" s="586" t="str">
        <f t="shared" si="346"/>
        <v/>
      </c>
      <c r="Y1364" s="586" t="str">
        <f t="shared" si="340"/>
        <v/>
      </c>
      <c r="Z1364" s="586" t="str">
        <f t="shared" si="349"/>
        <v/>
      </c>
    </row>
    <row r="1365" spans="1:26" ht="12" hidden="1" thickBot="1" x14ac:dyDescent="0.25">
      <c r="A1365" s="567">
        <v>93666</v>
      </c>
      <c r="B1365" s="644">
        <v>93666</v>
      </c>
      <c r="C1365" s="645" t="s">
        <v>670</v>
      </c>
      <c r="D1365" s="422" t="s">
        <v>1216</v>
      </c>
      <c r="E1365" s="423"/>
      <c r="F1365" s="424"/>
      <c r="G1365" s="425"/>
      <c r="H1365" s="651"/>
      <c r="I1365" s="420">
        <v>84.97</v>
      </c>
      <c r="J1365" s="420">
        <f t="shared" si="348"/>
        <v>84.97</v>
      </c>
      <c r="K1365" s="421">
        <f t="shared" si="347"/>
        <v>100.95</v>
      </c>
      <c r="L1365" s="647" t="s">
        <v>2065</v>
      </c>
      <c r="M1365" s="576"/>
      <c r="N1365" s="576">
        <f t="shared" si="350"/>
        <v>0</v>
      </c>
      <c r="O1365" s="577">
        <f t="shared" si="344"/>
        <v>0</v>
      </c>
      <c r="P1365" s="578">
        <f t="shared" si="345"/>
        <v>0</v>
      </c>
      <c r="Q1365" s="765"/>
      <c r="R1365" s="576">
        <f t="shared" si="341"/>
        <v>0</v>
      </c>
      <c r="S1365" s="576">
        <f t="shared" si="341"/>
        <v>0</v>
      </c>
      <c r="T1365" s="577">
        <f t="shared" si="342"/>
        <v>0</v>
      </c>
      <c r="U1365" s="578">
        <f t="shared" si="343"/>
        <v>0</v>
      </c>
      <c r="V1365" s="579"/>
      <c r="W1365" s="566"/>
      <c r="X1365" s="586" t="str">
        <f t="shared" si="346"/>
        <v/>
      </c>
      <c r="Y1365" s="586" t="str">
        <f t="shared" si="340"/>
        <v/>
      </c>
      <c r="Z1365" s="586" t="str">
        <f t="shared" si="349"/>
        <v/>
      </c>
    </row>
    <row r="1366" spans="1:26" ht="23.25" hidden="1" thickBot="1" x14ac:dyDescent="0.25">
      <c r="A1366" s="567">
        <v>101892</v>
      </c>
      <c r="B1366" s="644">
        <v>101892</v>
      </c>
      <c r="C1366" s="645" t="s">
        <v>670</v>
      </c>
      <c r="D1366" s="422" t="s">
        <v>1217</v>
      </c>
      <c r="E1366" s="423"/>
      <c r="F1366" s="424"/>
      <c r="G1366" s="425"/>
      <c r="H1366" s="651"/>
      <c r="I1366" s="420">
        <v>85.48</v>
      </c>
      <c r="J1366" s="420">
        <f t="shared" si="348"/>
        <v>85.48</v>
      </c>
      <c r="K1366" s="421">
        <f t="shared" si="347"/>
        <v>101.56</v>
      </c>
      <c r="L1366" s="647" t="s">
        <v>2065</v>
      </c>
      <c r="M1366" s="576"/>
      <c r="N1366" s="576">
        <f t="shared" si="350"/>
        <v>0</v>
      </c>
      <c r="O1366" s="577">
        <f t="shared" si="344"/>
        <v>0</v>
      </c>
      <c r="P1366" s="578">
        <f t="shared" si="345"/>
        <v>0</v>
      </c>
      <c r="Q1366" s="765"/>
      <c r="R1366" s="576">
        <f t="shared" si="341"/>
        <v>0</v>
      </c>
      <c r="S1366" s="576">
        <f t="shared" si="341"/>
        <v>0</v>
      </c>
      <c r="T1366" s="577">
        <f t="shared" si="342"/>
        <v>0</v>
      </c>
      <c r="U1366" s="578">
        <f t="shared" si="343"/>
        <v>0</v>
      </c>
      <c r="V1366" s="579"/>
      <c r="W1366" s="566"/>
      <c r="X1366" s="586" t="str">
        <f t="shared" si="346"/>
        <v/>
      </c>
      <c r="Y1366" s="586" t="str">
        <f t="shared" si="340"/>
        <v/>
      </c>
      <c r="Z1366" s="586" t="str">
        <f t="shared" si="349"/>
        <v/>
      </c>
    </row>
    <row r="1367" spans="1:26" ht="12" hidden="1" thickBot="1" x14ac:dyDescent="0.25">
      <c r="A1367" s="567">
        <v>93667</v>
      </c>
      <c r="B1367" s="644">
        <v>93667</v>
      </c>
      <c r="C1367" s="645" t="s">
        <v>670</v>
      </c>
      <c r="D1367" s="422" t="s">
        <v>1218</v>
      </c>
      <c r="E1367" s="423"/>
      <c r="F1367" s="424"/>
      <c r="G1367" s="425"/>
      <c r="H1367" s="651"/>
      <c r="I1367" s="420">
        <v>85</v>
      </c>
      <c r="J1367" s="420">
        <f t="shared" si="348"/>
        <v>85</v>
      </c>
      <c r="K1367" s="421">
        <f t="shared" si="347"/>
        <v>100.99</v>
      </c>
      <c r="L1367" s="647" t="s">
        <v>2065</v>
      </c>
      <c r="M1367" s="576"/>
      <c r="N1367" s="576">
        <f t="shared" si="350"/>
        <v>0</v>
      </c>
      <c r="O1367" s="577">
        <f t="shared" si="344"/>
        <v>0</v>
      </c>
      <c r="P1367" s="578">
        <f t="shared" si="345"/>
        <v>0</v>
      </c>
      <c r="Q1367" s="765"/>
      <c r="R1367" s="576">
        <f t="shared" si="341"/>
        <v>0</v>
      </c>
      <c r="S1367" s="576">
        <f t="shared" si="341"/>
        <v>0</v>
      </c>
      <c r="T1367" s="577">
        <f t="shared" si="342"/>
        <v>0</v>
      </c>
      <c r="U1367" s="578">
        <f t="shared" si="343"/>
        <v>0</v>
      </c>
      <c r="V1367" s="579"/>
      <c r="W1367" s="566"/>
      <c r="X1367" s="586" t="str">
        <f t="shared" si="346"/>
        <v/>
      </c>
      <c r="Y1367" s="586" t="str">
        <f t="shared" si="340"/>
        <v/>
      </c>
      <c r="Z1367" s="586" t="str">
        <f t="shared" si="349"/>
        <v/>
      </c>
    </row>
    <row r="1368" spans="1:26" ht="12" hidden="1" thickBot="1" x14ac:dyDescent="0.25">
      <c r="A1368" s="567">
        <v>93668</v>
      </c>
      <c r="B1368" s="644">
        <v>93668</v>
      </c>
      <c r="C1368" s="645" t="s">
        <v>670</v>
      </c>
      <c r="D1368" s="422" t="s">
        <v>1219</v>
      </c>
      <c r="E1368" s="423"/>
      <c r="F1368" s="424"/>
      <c r="G1368" s="425"/>
      <c r="H1368" s="651"/>
      <c r="I1368" s="420">
        <v>86.94</v>
      </c>
      <c r="J1368" s="420">
        <f t="shared" si="348"/>
        <v>86.94</v>
      </c>
      <c r="K1368" s="421">
        <f t="shared" si="347"/>
        <v>103.29</v>
      </c>
      <c r="L1368" s="647" t="s">
        <v>2065</v>
      </c>
      <c r="M1368" s="576"/>
      <c r="N1368" s="576">
        <f t="shared" si="350"/>
        <v>0</v>
      </c>
      <c r="O1368" s="577">
        <f t="shared" si="344"/>
        <v>0</v>
      </c>
      <c r="P1368" s="578">
        <f t="shared" si="345"/>
        <v>0</v>
      </c>
      <c r="Q1368" s="765"/>
      <c r="R1368" s="576">
        <f t="shared" si="341"/>
        <v>0</v>
      </c>
      <c r="S1368" s="576">
        <f t="shared" si="341"/>
        <v>0</v>
      </c>
      <c r="T1368" s="577">
        <f t="shared" si="342"/>
        <v>0</v>
      </c>
      <c r="U1368" s="578">
        <f t="shared" si="343"/>
        <v>0</v>
      </c>
      <c r="V1368" s="579"/>
      <c r="W1368" s="566"/>
      <c r="X1368" s="586" t="str">
        <f t="shared" si="346"/>
        <v/>
      </c>
      <c r="Y1368" s="586" t="str">
        <f t="shared" si="340"/>
        <v/>
      </c>
      <c r="Z1368" s="586" t="str">
        <f t="shared" si="349"/>
        <v/>
      </c>
    </row>
    <row r="1369" spans="1:26" ht="12" hidden="1" thickBot="1" x14ac:dyDescent="0.25">
      <c r="A1369" s="567">
        <v>93669</v>
      </c>
      <c r="B1369" s="644">
        <v>93669</v>
      </c>
      <c r="C1369" s="645" t="s">
        <v>670</v>
      </c>
      <c r="D1369" s="422" t="s">
        <v>1220</v>
      </c>
      <c r="E1369" s="423"/>
      <c r="F1369" s="424"/>
      <c r="G1369" s="425"/>
      <c r="H1369" s="651"/>
      <c r="I1369" s="420">
        <v>90.65</v>
      </c>
      <c r="J1369" s="420">
        <f t="shared" si="348"/>
        <v>90.65</v>
      </c>
      <c r="K1369" s="421">
        <f t="shared" si="347"/>
        <v>107.7</v>
      </c>
      <c r="L1369" s="647" t="s">
        <v>2065</v>
      </c>
      <c r="M1369" s="576"/>
      <c r="N1369" s="576">
        <f t="shared" si="350"/>
        <v>0</v>
      </c>
      <c r="O1369" s="577">
        <f t="shared" si="344"/>
        <v>0</v>
      </c>
      <c r="P1369" s="578">
        <f t="shared" si="345"/>
        <v>0</v>
      </c>
      <c r="Q1369" s="765"/>
      <c r="R1369" s="576">
        <f t="shared" si="341"/>
        <v>0</v>
      </c>
      <c r="S1369" s="576">
        <f t="shared" si="341"/>
        <v>0</v>
      </c>
      <c r="T1369" s="577">
        <f t="shared" si="342"/>
        <v>0</v>
      </c>
      <c r="U1369" s="578">
        <f t="shared" si="343"/>
        <v>0</v>
      </c>
      <c r="V1369" s="579"/>
      <c r="W1369" s="566"/>
      <c r="X1369" s="586" t="str">
        <f t="shared" si="346"/>
        <v/>
      </c>
      <c r="Y1369" s="586" t="str">
        <f t="shared" si="340"/>
        <v/>
      </c>
      <c r="Z1369" s="586" t="str">
        <f t="shared" si="349"/>
        <v/>
      </c>
    </row>
    <row r="1370" spans="1:26" ht="12" hidden="1" thickBot="1" x14ac:dyDescent="0.25">
      <c r="A1370" s="567">
        <v>93670</v>
      </c>
      <c r="B1370" s="644">
        <v>93670</v>
      </c>
      <c r="C1370" s="645" t="s">
        <v>670</v>
      </c>
      <c r="D1370" s="422" t="s">
        <v>1221</v>
      </c>
      <c r="E1370" s="423"/>
      <c r="F1370" s="424"/>
      <c r="G1370" s="425"/>
      <c r="H1370" s="651"/>
      <c r="I1370" s="420">
        <v>90.65</v>
      </c>
      <c r="J1370" s="420">
        <f t="shared" si="348"/>
        <v>90.65</v>
      </c>
      <c r="K1370" s="421">
        <f t="shared" si="347"/>
        <v>107.7</v>
      </c>
      <c r="L1370" s="647" t="s">
        <v>2065</v>
      </c>
      <c r="M1370" s="576"/>
      <c r="N1370" s="576">
        <f t="shared" si="350"/>
        <v>0</v>
      </c>
      <c r="O1370" s="577">
        <f t="shared" si="344"/>
        <v>0</v>
      </c>
      <c r="P1370" s="578">
        <f t="shared" si="345"/>
        <v>0</v>
      </c>
      <c r="Q1370" s="765"/>
      <c r="R1370" s="576">
        <f t="shared" si="341"/>
        <v>0</v>
      </c>
      <c r="S1370" s="576">
        <f t="shared" si="341"/>
        <v>0</v>
      </c>
      <c r="T1370" s="577">
        <f t="shared" si="342"/>
        <v>0</v>
      </c>
      <c r="U1370" s="578">
        <f t="shared" si="343"/>
        <v>0</v>
      </c>
      <c r="V1370" s="579"/>
      <c r="W1370" s="566"/>
      <c r="X1370" s="586" t="str">
        <f t="shared" si="346"/>
        <v/>
      </c>
      <c r="Y1370" s="586" t="str">
        <f t="shared" si="340"/>
        <v/>
      </c>
      <c r="Z1370" s="586" t="str">
        <f t="shared" si="349"/>
        <v/>
      </c>
    </row>
    <row r="1371" spans="1:26" ht="12" hidden="1" thickBot="1" x14ac:dyDescent="0.25">
      <c r="A1371" s="567">
        <v>93671</v>
      </c>
      <c r="B1371" s="644">
        <v>93671</v>
      </c>
      <c r="C1371" s="645" t="s">
        <v>670</v>
      </c>
      <c r="D1371" s="422" t="s">
        <v>1222</v>
      </c>
      <c r="E1371" s="423"/>
      <c r="F1371" s="424"/>
      <c r="G1371" s="425"/>
      <c r="H1371" s="651"/>
      <c r="I1371" s="420">
        <v>95.17</v>
      </c>
      <c r="J1371" s="420">
        <f t="shared" si="348"/>
        <v>95.17</v>
      </c>
      <c r="K1371" s="421">
        <f t="shared" si="347"/>
        <v>113.07</v>
      </c>
      <c r="L1371" s="647" t="s">
        <v>2065</v>
      </c>
      <c r="M1371" s="576"/>
      <c r="N1371" s="576">
        <f t="shared" si="350"/>
        <v>0</v>
      </c>
      <c r="O1371" s="577">
        <f t="shared" si="344"/>
        <v>0</v>
      </c>
      <c r="P1371" s="578">
        <f t="shared" si="345"/>
        <v>0</v>
      </c>
      <c r="Q1371" s="765"/>
      <c r="R1371" s="576">
        <f t="shared" si="341"/>
        <v>0</v>
      </c>
      <c r="S1371" s="576">
        <f t="shared" si="341"/>
        <v>0</v>
      </c>
      <c r="T1371" s="577">
        <f t="shared" si="342"/>
        <v>0</v>
      </c>
      <c r="U1371" s="578">
        <f t="shared" si="343"/>
        <v>0</v>
      </c>
      <c r="V1371" s="579"/>
      <c r="W1371" s="566"/>
      <c r="X1371" s="586" t="str">
        <f t="shared" si="346"/>
        <v/>
      </c>
      <c r="Y1371" s="586" t="str">
        <f t="shared" si="340"/>
        <v/>
      </c>
      <c r="Z1371" s="586" t="str">
        <f t="shared" si="349"/>
        <v/>
      </c>
    </row>
    <row r="1372" spans="1:26" ht="12" hidden="1" thickBot="1" x14ac:dyDescent="0.25">
      <c r="A1372" s="567">
        <v>93672</v>
      </c>
      <c r="B1372" s="644">
        <v>93672</v>
      </c>
      <c r="C1372" s="645" t="s">
        <v>670</v>
      </c>
      <c r="D1372" s="422" t="s">
        <v>1223</v>
      </c>
      <c r="E1372" s="423"/>
      <c r="F1372" s="424"/>
      <c r="G1372" s="425"/>
      <c r="H1372" s="651"/>
      <c r="I1372" s="420">
        <v>102.4</v>
      </c>
      <c r="J1372" s="420">
        <f t="shared" si="348"/>
        <v>102.4</v>
      </c>
      <c r="K1372" s="421">
        <f t="shared" si="347"/>
        <v>121.66</v>
      </c>
      <c r="L1372" s="647" t="s">
        <v>2065</v>
      </c>
      <c r="M1372" s="576"/>
      <c r="N1372" s="576">
        <f t="shared" si="350"/>
        <v>0</v>
      </c>
      <c r="O1372" s="577">
        <f t="shared" si="344"/>
        <v>0</v>
      </c>
      <c r="P1372" s="578">
        <f t="shared" si="345"/>
        <v>0</v>
      </c>
      <c r="Q1372" s="765"/>
      <c r="R1372" s="576">
        <f t="shared" si="341"/>
        <v>0</v>
      </c>
      <c r="S1372" s="576">
        <f t="shared" si="341"/>
        <v>0</v>
      </c>
      <c r="T1372" s="577">
        <f t="shared" si="342"/>
        <v>0</v>
      </c>
      <c r="U1372" s="578">
        <f t="shared" si="343"/>
        <v>0</v>
      </c>
      <c r="V1372" s="579"/>
      <c r="W1372" s="566"/>
      <c r="X1372" s="586" t="str">
        <f t="shared" si="346"/>
        <v/>
      </c>
      <c r="Y1372" s="586" t="str">
        <f t="shared" si="340"/>
        <v/>
      </c>
      <c r="Z1372" s="586" t="str">
        <f t="shared" si="349"/>
        <v/>
      </c>
    </row>
    <row r="1373" spans="1:26" ht="12" hidden="1" thickBot="1" x14ac:dyDescent="0.25">
      <c r="A1373" s="567">
        <v>93673</v>
      </c>
      <c r="B1373" s="644">
        <v>93673</v>
      </c>
      <c r="C1373" s="645" t="s">
        <v>670</v>
      </c>
      <c r="D1373" s="422" t="s">
        <v>1224</v>
      </c>
      <c r="E1373" s="423"/>
      <c r="F1373" s="424"/>
      <c r="G1373" s="425"/>
      <c r="H1373" s="651"/>
      <c r="I1373" s="420">
        <v>111.67</v>
      </c>
      <c r="J1373" s="420">
        <f t="shared" si="348"/>
        <v>111.67</v>
      </c>
      <c r="K1373" s="421">
        <f t="shared" si="347"/>
        <v>132.68</v>
      </c>
      <c r="L1373" s="647" t="s">
        <v>2065</v>
      </c>
      <c r="M1373" s="576"/>
      <c r="N1373" s="576">
        <f t="shared" si="350"/>
        <v>0</v>
      </c>
      <c r="O1373" s="577">
        <f t="shared" si="344"/>
        <v>0</v>
      </c>
      <c r="P1373" s="578">
        <f t="shared" si="345"/>
        <v>0</v>
      </c>
      <c r="Q1373" s="765"/>
      <c r="R1373" s="576">
        <f t="shared" si="341"/>
        <v>0</v>
      </c>
      <c r="S1373" s="576">
        <f t="shared" si="341"/>
        <v>0</v>
      </c>
      <c r="T1373" s="577">
        <f t="shared" si="342"/>
        <v>0</v>
      </c>
      <c r="U1373" s="578">
        <f t="shared" si="343"/>
        <v>0</v>
      </c>
      <c r="V1373" s="579"/>
      <c r="W1373" s="566"/>
      <c r="X1373" s="586" t="str">
        <f t="shared" si="346"/>
        <v/>
      </c>
      <c r="Y1373" s="586" t="str">
        <f t="shared" si="340"/>
        <v/>
      </c>
      <c r="Z1373" s="586" t="str">
        <f t="shared" si="349"/>
        <v/>
      </c>
    </row>
    <row r="1374" spans="1:26" ht="23.25" hidden="1" thickBot="1" x14ac:dyDescent="0.25">
      <c r="A1374" s="567">
        <v>101893</v>
      </c>
      <c r="B1374" s="644">
        <v>101893</v>
      </c>
      <c r="C1374" s="645" t="s">
        <v>670</v>
      </c>
      <c r="D1374" s="422" t="s">
        <v>1225</v>
      </c>
      <c r="E1374" s="423"/>
      <c r="F1374" s="424"/>
      <c r="G1374" s="425"/>
      <c r="H1374" s="651"/>
      <c r="I1374" s="420">
        <v>108.95</v>
      </c>
      <c r="J1374" s="420">
        <f t="shared" si="348"/>
        <v>108.95</v>
      </c>
      <c r="K1374" s="421">
        <f t="shared" si="347"/>
        <v>129.44</v>
      </c>
      <c r="L1374" s="647" t="s">
        <v>2065</v>
      </c>
      <c r="M1374" s="576"/>
      <c r="N1374" s="576">
        <f t="shared" si="350"/>
        <v>0</v>
      </c>
      <c r="O1374" s="577">
        <f t="shared" si="344"/>
        <v>0</v>
      </c>
      <c r="P1374" s="578">
        <f t="shared" si="345"/>
        <v>0</v>
      </c>
      <c r="Q1374" s="765"/>
      <c r="R1374" s="576">
        <f t="shared" si="341"/>
        <v>0</v>
      </c>
      <c r="S1374" s="576">
        <f t="shared" si="341"/>
        <v>0</v>
      </c>
      <c r="T1374" s="577">
        <f t="shared" si="342"/>
        <v>0</v>
      </c>
      <c r="U1374" s="578">
        <f t="shared" si="343"/>
        <v>0</v>
      </c>
      <c r="V1374" s="579"/>
      <c r="W1374" s="566"/>
      <c r="X1374" s="586" t="str">
        <f t="shared" si="346"/>
        <v/>
      </c>
      <c r="Y1374" s="586" t="str">
        <f t="shared" si="340"/>
        <v/>
      </c>
      <c r="Z1374" s="586" t="str">
        <f t="shared" si="349"/>
        <v/>
      </c>
    </row>
    <row r="1375" spans="1:26" ht="23.25" hidden="1" thickBot="1" x14ac:dyDescent="0.25">
      <c r="A1375" s="567">
        <v>101894</v>
      </c>
      <c r="B1375" s="644">
        <v>101894</v>
      </c>
      <c r="C1375" s="645" t="s">
        <v>670</v>
      </c>
      <c r="D1375" s="422" t="s">
        <v>1226</v>
      </c>
      <c r="E1375" s="423"/>
      <c r="F1375" s="424"/>
      <c r="G1375" s="425"/>
      <c r="H1375" s="651"/>
      <c r="I1375" s="420">
        <v>182.13</v>
      </c>
      <c r="J1375" s="420">
        <f t="shared" si="348"/>
        <v>182.13</v>
      </c>
      <c r="K1375" s="421">
        <f t="shared" si="347"/>
        <v>216.39</v>
      </c>
      <c r="L1375" s="647" t="s">
        <v>2065</v>
      </c>
      <c r="M1375" s="576"/>
      <c r="N1375" s="576">
        <f t="shared" si="350"/>
        <v>0</v>
      </c>
      <c r="O1375" s="577">
        <f t="shared" si="344"/>
        <v>0</v>
      </c>
      <c r="P1375" s="578">
        <f t="shared" si="345"/>
        <v>0</v>
      </c>
      <c r="Q1375" s="765"/>
      <c r="R1375" s="576">
        <f t="shared" si="341"/>
        <v>0</v>
      </c>
      <c r="S1375" s="576">
        <f t="shared" si="341"/>
        <v>0</v>
      </c>
      <c r="T1375" s="577">
        <f t="shared" si="342"/>
        <v>0</v>
      </c>
      <c r="U1375" s="578">
        <f t="shared" si="343"/>
        <v>0</v>
      </c>
      <c r="V1375" s="579"/>
      <c r="W1375" s="566"/>
      <c r="X1375" s="586" t="str">
        <f t="shared" si="346"/>
        <v/>
      </c>
      <c r="Y1375" s="586" t="str">
        <f t="shared" si="340"/>
        <v/>
      </c>
      <c r="Z1375" s="586" t="str">
        <f t="shared" si="349"/>
        <v/>
      </c>
    </row>
    <row r="1376" spans="1:26" ht="23.25" hidden="1" thickBot="1" x14ac:dyDescent="0.25">
      <c r="A1376" s="567">
        <v>101663</v>
      </c>
      <c r="B1376" s="644">
        <v>101663</v>
      </c>
      <c r="C1376" s="645" t="s">
        <v>670</v>
      </c>
      <c r="D1376" s="422" t="s">
        <v>1227</v>
      </c>
      <c r="E1376" s="423"/>
      <c r="F1376" s="424"/>
      <c r="G1376" s="425"/>
      <c r="H1376" s="651"/>
      <c r="I1376" s="420">
        <v>26.57</v>
      </c>
      <c r="J1376" s="420">
        <f t="shared" si="348"/>
        <v>26.57</v>
      </c>
      <c r="K1376" s="421">
        <f t="shared" si="347"/>
        <v>31.57</v>
      </c>
      <c r="L1376" s="647" t="s">
        <v>2065</v>
      </c>
      <c r="M1376" s="576"/>
      <c r="N1376" s="576">
        <f t="shared" si="350"/>
        <v>0</v>
      </c>
      <c r="O1376" s="577">
        <f t="shared" si="344"/>
        <v>0</v>
      </c>
      <c r="P1376" s="578">
        <f t="shared" si="345"/>
        <v>0</v>
      </c>
      <c r="Q1376" s="765"/>
      <c r="R1376" s="576">
        <f t="shared" si="341"/>
        <v>0</v>
      </c>
      <c r="S1376" s="576">
        <f t="shared" si="341"/>
        <v>0</v>
      </c>
      <c r="T1376" s="577">
        <f t="shared" si="342"/>
        <v>0</v>
      </c>
      <c r="U1376" s="578">
        <f t="shared" si="343"/>
        <v>0</v>
      </c>
      <c r="V1376" s="579"/>
      <c r="W1376" s="566"/>
      <c r="X1376" s="586" t="str">
        <f t="shared" si="346"/>
        <v/>
      </c>
      <c r="Y1376" s="586" t="str">
        <f t="shared" si="340"/>
        <v/>
      </c>
      <c r="Z1376" s="586" t="str">
        <f t="shared" si="349"/>
        <v/>
      </c>
    </row>
    <row r="1377" spans="1:26" ht="23.25" hidden="1" thickBot="1" x14ac:dyDescent="0.25">
      <c r="A1377" s="567">
        <v>101664</v>
      </c>
      <c r="B1377" s="644">
        <v>101664</v>
      </c>
      <c r="C1377" s="645" t="s">
        <v>670</v>
      </c>
      <c r="D1377" s="422" t="s">
        <v>1228</v>
      </c>
      <c r="E1377" s="423"/>
      <c r="F1377" s="424"/>
      <c r="G1377" s="425"/>
      <c r="H1377" s="651"/>
      <c r="I1377" s="420">
        <v>27.65</v>
      </c>
      <c r="J1377" s="420">
        <f t="shared" si="348"/>
        <v>27.65</v>
      </c>
      <c r="K1377" s="421">
        <f t="shared" si="347"/>
        <v>32.85</v>
      </c>
      <c r="L1377" s="647" t="s">
        <v>2065</v>
      </c>
      <c r="M1377" s="576"/>
      <c r="N1377" s="576">
        <f t="shared" si="350"/>
        <v>0</v>
      </c>
      <c r="O1377" s="577">
        <f t="shared" si="344"/>
        <v>0</v>
      </c>
      <c r="P1377" s="578">
        <f t="shared" si="345"/>
        <v>0</v>
      </c>
      <c r="Q1377" s="765"/>
      <c r="R1377" s="576">
        <f t="shared" si="341"/>
        <v>0</v>
      </c>
      <c r="S1377" s="576">
        <f t="shared" si="341"/>
        <v>0</v>
      </c>
      <c r="T1377" s="577">
        <f t="shared" si="342"/>
        <v>0</v>
      </c>
      <c r="U1377" s="578">
        <f t="shared" si="343"/>
        <v>0</v>
      </c>
      <c r="V1377" s="579"/>
      <c r="W1377" s="566"/>
      <c r="X1377" s="586" t="str">
        <f t="shared" si="346"/>
        <v/>
      </c>
      <c r="Y1377" s="586" t="str">
        <f t="shared" si="340"/>
        <v/>
      </c>
      <c r="Z1377" s="586" t="str">
        <f t="shared" si="349"/>
        <v/>
      </c>
    </row>
    <row r="1378" spans="1:26" ht="23.25" hidden="1" thickBot="1" x14ac:dyDescent="0.25">
      <c r="A1378" s="567">
        <v>101665</v>
      </c>
      <c r="B1378" s="644">
        <v>101665</v>
      </c>
      <c r="C1378" s="645" t="s">
        <v>670</v>
      </c>
      <c r="D1378" s="422" t="s">
        <v>1229</v>
      </c>
      <c r="E1378" s="423"/>
      <c r="F1378" s="424"/>
      <c r="G1378" s="425"/>
      <c r="H1378" s="651"/>
      <c r="I1378" s="420">
        <v>32.299999999999997</v>
      </c>
      <c r="J1378" s="420">
        <f t="shared" si="348"/>
        <v>32.299999999999997</v>
      </c>
      <c r="K1378" s="421">
        <f t="shared" si="347"/>
        <v>38.380000000000003</v>
      </c>
      <c r="L1378" s="647" t="s">
        <v>2065</v>
      </c>
      <c r="M1378" s="576"/>
      <c r="N1378" s="576">
        <f t="shared" si="350"/>
        <v>0</v>
      </c>
      <c r="O1378" s="577">
        <f t="shared" si="344"/>
        <v>0</v>
      </c>
      <c r="P1378" s="578">
        <f t="shared" si="345"/>
        <v>0</v>
      </c>
      <c r="Q1378" s="765"/>
      <c r="R1378" s="576">
        <f t="shared" si="341"/>
        <v>0</v>
      </c>
      <c r="S1378" s="576">
        <f t="shared" si="341"/>
        <v>0</v>
      </c>
      <c r="T1378" s="577">
        <f t="shared" si="342"/>
        <v>0</v>
      </c>
      <c r="U1378" s="578">
        <f t="shared" si="343"/>
        <v>0</v>
      </c>
      <c r="V1378" s="579"/>
      <c r="W1378" s="566"/>
      <c r="X1378" s="586" t="str">
        <f t="shared" si="346"/>
        <v/>
      </c>
      <c r="Y1378" s="586" t="str">
        <f t="shared" si="340"/>
        <v/>
      </c>
      <c r="Z1378" s="586" t="str">
        <f t="shared" si="349"/>
        <v/>
      </c>
    </row>
    <row r="1379" spans="1:26" ht="23.25" hidden="1" thickBot="1" x14ac:dyDescent="0.25">
      <c r="A1379" s="567">
        <v>101895</v>
      </c>
      <c r="B1379" s="644">
        <v>101895</v>
      </c>
      <c r="C1379" s="645" t="s">
        <v>670</v>
      </c>
      <c r="D1379" s="422" t="s">
        <v>1230</v>
      </c>
      <c r="E1379" s="423"/>
      <c r="F1379" s="424"/>
      <c r="G1379" s="425"/>
      <c r="H1379" s="651"/>
      <c r="I1379" s="420">
        <v>502.46</v>
      </c>
      <c r="J1379" s="420">
        <f t="shared" si="348"/>
        <v>502.46</v>
      </c>
      <c r="K1379" s="421">
        <f t="shared" si="347"/>
        <v>596.97</v>
      </c>
      <c r="L1379" s="647" t="s">
        <v>2065</v>
      </c>
      <c r="M1379" s="576"/>
      <c r="N1379" s="576">
        <f t="shared" si="350"/>
        <v>0</v>
      </c>
      <c r="O1379" s="577">
        <f t="shared" si="344"/>
        <v>0</v>
      </c>
      <c r="P1379" s="578">
        <f t="shared" si="345"/>
        <v>0</v>
      </c>
      <c r="Q1379" s="765"/>
      <c r="R1379" s="576">
        <f t="shared" si="341"/>
        <v>0</v>
      </c>
      <c r="S1379" s="576">
        <f t="shared" si="341"/>
        <v>0</v>
      </c>
      <c r="T1379" s="577">
        <f t="shared" si="342"/>
        <v>0</v>
      </c>
      <c r="U1379" s="578">
        <f t="shared" si="343"/>
        <v>0</v>
      </c>
      <c r="V1379" s="579"/>
      <c r="W1379" s="566"/>
      <c r="X1379" s="586" t="str">
        <f t="shared" si="346"/>
        <v/>
      </c>
      <c r="Y1379" s="586" t="str">
        <f t="shared" ref="Y1379:Y1442" si="351">IF(W1379="X","x",IF(W1379="y","x",IF(W1379="xx","x",IF(U1379&gt;0,"x",""))))</f>
        <v/>
      </c>
      <c r="Z1379" s="586" t="str">
        <f t="shared" si="349"/>
        <v/>
      </c>
    </row>
    <row r="1380" spans="1:26" ht="23.25" hidden="1" thickBot="1" x14ac:dyDescent="0.25">
      <c r="A1380" s="567">
        <v>101896</v>
      </c>
      <c r="B1380" s="644">
        <v>101896</v>
      </c>
      <c r="C1380" s="645" t="s">
        <v>670</v>
      </c>
      <c r="D1380" s="422" t="s">
        <v>1231</v>
      </c>
      <c r="E1380" s="423"/>
      <c r="F1380" s="424"/>
      <c r="G1380" s="425"/>
      <c r="H1380" s="651"/>
      <c r="I1380" s="420">
        <v>758.3</v>
      </c>
      <c r="J1380" s="420">
        <f t="shared" si="348"/>
        <v>758.3</v>
      </c>
      <c r="K1380" s="421">
        <f t="shared" si="347"/>
        <v>900.94</v>
      </c>
      <c r="L1380" s="647" t="s">
        <v>2065</v>
      </c>
      <c r="M1380" s="576"/>
      <c r="N1380" s="576">
        <f t="shared" si="350"/>
        <v>0</v>
      </c>
      <c r="O1380" s="577">
        <f t="shared" si="344"/>
        <v>0</v>
      </c>
      <c r="P1380" s="578">
        <f t="shared" si="345"/>
        <v>0</v>
      </c>
      <c r="Q1380" s="765"/>
      <c r="R1380" s="576">
        <f t="shared" si="341"/>
        <v>0</v>
      </c>
      <c r="S1380" s="576">
        <f t="shared" si="341"/>
        <v>0</v>
      </c>
      <c r="T1380" s="577">
        <f t="shared" si="342"/>
        <v>0</v>
      </c>
      <c r="U1380" s="578">
        <f t="shared" si="343"/>
        <v>0</v>
      </c>
      <c r="V1380" s="579"/>
      <c r="W1380" s="566"/>
      <c r="X1380" s="586" t="str">
        <f t="shared" si="346"/>
        <v/>
      </c>
      <c r="Y1380" s="586" t="str">
        <f t="shared" si="351"/>
        <v/>
      </c>
      <c r="Z1380" s="586" t="str">
        <f t="shared" si="349"/>
        <v/>
      </c>
    </row>
    <row r="1381" spans="1:26" ht="23.25" hidden="1" thickBot="1" x14ac:dyDescent="0.25">
      <c r="A1381" s="567">
        <v>101897</v>
      </c>
      <c r="B1381" s="644">
        <v>101897</v>
      </c>
      <c r="C1381" s="645" t="s">
        <v>670</v>
      </c>
      <c r="D1381" s="422" t="s">
        <v>1232</v>
      </c>
      <c r="E1381" s="423"/>
      <c r="F1381" s="424"/>
      <c r="G1381" s="425"/>
      <c r="H1381" s="651"/>
      <c r="I1381" s="420">
        <v>1217.54</v>
      </c>
      <c r="J1381" s="420">
        <f t="shared" si="348"/>
        <v>1217.54</v>
      </c>
      <c r="K1381" s="421">
        <f t="shared" si="347"/>
        <v>1446.56</v>
      </c>
      <c r="L1381" s="647" t="s">
        <v>2065</v>
      </c>
      <c r="M1381" s="576"/>
      <c r="N1381" s="576">
        <f t="shared" si="350"/>
        <v>0</v>
      </c>
      <c r="O1381" s="577">
        <f t="shared" si="344"/>
        <v>0</v>
      </c>
      <c r="P1381" s="578">
        <f t="shared" si="345"/>
        <v>0</v>
      </c>
      <c r="Q1381" s="765"/>
      <c r="R1381" s="576">
        <f t="shared" si="341"/>
        <v>0</v>
      </c>
      <c r="S1381" s="576">
        <f t="shared" si="341"/>
        <v>0</v>
      </c>
      <c r="T1381" s="577">
        <f t="shared" si="342"/>
        <v>0</v>
      </c>
      <c r="U1381" s="578">
        <f t="shared" si="343"/>
        <v>0</v>
      </c>
      <c r="V1381" s="579"/>
      <c r="W1381" s="566"/>
      <c r="X1381" s="586" t="str">
        <f t="shared" si="346"/>
        <v/>
      </c>
      <c r="Y1381" s="586" t="str">
        <f t="shared" si="351"/>
        <v/>
      </c>
      <c r="Z1381" s="586" t="str">
        <f t="shared" si="349"/>
        <v/>
      </c>
    </row>
    <row r="1382" spans="1:26" ht="23.25" hidden="1" thickBot="1" x14ac:dyDescent="0.25">
      <c r="A1382" s="567">
        <v>101898</v>
      </c>
      <c r="B1382" s="644">
        <v>101898</v>
      </c>
      <c r="C1382" s="645" t="s">
        <v>670</v>
      </c>
      <c r="D1382" s="422" t="s">
        <v>1233</v>
      </c>
      <c r="E1382" s="423"/>
      <c r="F1382" s="424"/>
      <c r="G1382" s="425"/>
      <c r="H1382" s="651"/>
      <c r="I1382" s="420">
        <v>1635.35</v>
      </c>
      <c r="J1382" s="420">
        <f t="shared" si="348"/>
        <v>1635.35</v>
      </c>
      <c r="K1382" s="421">
        <f t="shared" si="347"/>
        <v>1942.96</v>
      </c>
      <c r="L1382" s="647" t="s">
        <v>2065</v>
      </c>
      <c r="M1382" s="576"/>
      <c r="N1382" s="576">
        <f t="shared" si="350"/>
        <v>0</v>
      </c>
      <c r="O1382" s="577">
        <f t="shared" si="344"/>
        <v>0</v>
      </c>
      <c r="P1382" s="578">
        <f t="shared" si="345"/>
        <v>0</v>
      </c>
      <c r="Q1382" s="765"/>
      <c r="R1382" s="576">
        <f t="shared" si="341"/>
        <v>0</v>
      </c>
      <c r="S1382" s="576">
        <f t="shared" si="341"/>
        <v>0</v>
      </c>
      <c r="T1382" s="577">
        <f t="shared" si="342"/>
        <v>0</v>
      </c>
      <c r="U1382" s="578">
        <f t="shared" si="343"/>
        <v>0</v>
      </c>
      <c r="V1382" s="579"/>
      <c r="W1382" s="566"/>
      <c r="X1382" s="586" t="str">
        <f t="shared" si="346"/>
        <v/>
      </c>
      <c r="Y1382" s="586" t="str">
        <f t="shared" si="351"/>
        <v/>
      </c>
      <c r="Z1382" s="586" t="str">
        <f t="shared" si="349"/>
        <v/>
      </c>
    </row>
    <row r="1383" spans="1:26" ht="23.25" hidden="1" thickBot="1" x14ac:dyDescent="0.25">
      <c r="A1383" s="567">
        <v>101899</v>
      </c>
      <c r="B1383" s="644">
        <v>101899</v>
      </c>
      <c r="C1383" s="645" t="s">
        <v>670</v>
      </c>
      <c r="D1383" s="422" t="s">
        <v>1234</v>
      </c>
      <c r="E1383" s="423"/>
      <c r="F1383" s="424"/>
      <c r="G1383" s="425"/>
      <c r="H1383" s="651"/>
      <c r="I1383" s="420">
        <v>2629.16</v>
      </c>
      <c r="J1383" s="420">
        <f t="shared" si="348"/>
        <v>2629.16</v>
      </c>
      <c r="K1383" s="421">
        <f t="shared" si="347"/>
        <v>3123.7</v>
      </c>
      <c r="L1383" s="647" t="s">
        <v>2065</v>
      </c>
      <c r="M1383" s="576"/>
      <c r="N1383" s="576">
        <f t="shared" si="350"/>
        <v>0</v>
      </c>
      <c r="O1383" s="577">
        <f t="shared" si="344"/>
        <v>0</v>
      </c>
      <c r="P1383" s="578">
        <f t="shared" si="345"/>
        <v>0</v>
      </c>
      <c r="Q1383" s="765"/>
      <c r="R1383" s="576">
        <f t="shared" si="341"/>
        <v>0</v>
      </c>
      <c r="S1383" s="576">
        <f t="shared" si="341"/>
        <v>0</v>
      </c>
      <c r="T1383" s="577">
        <f t="shared" si="342"/>
        <v>0</v>
      </c>
      <c r="U1383" s="578">
        <f t="shared" si="343"/>
        <v>0</v>
      </c>
      <c r="V1383" s="579"/>
      <c r="W1383" s="566"/>
      <c r="X1383" s="586" t="str">
        <f t="shared" si="346"/>
        <v/>
      </c>
      <c r="Y1383" s="586" t="str">
        <f t="shared" si="351"/>
        <v/>
      </c>
      <c r="Z1383" s="586" t="str">
        <f t="shared" si="349"/>
        <v/>
      </c>
    </row>
    <row r="1384" spans="1:26" ht="12" hidden="1" thickBot="1" x14ac:dyDescent="0.25">
      <c r="A1384" s="567">
        <v>101900</v>
      </c>
      <c r="B1384" s="644">
        <v>101900</v>
      </c>
      <c r="C1384" s="645" t="s">
        <v>670</v>
      </c>
      <c r="D1384" s="422" t="s">
        <v>1235</v>
      </c>
      <c r="E1384" s="423"/>
      <c r="F1384" s="424"/>
      <c r="G1384" s="425"/>
      <c r="H1384" s="651"/>
      <c r="I1384" s="420">
        <v>5507.67</v>
      </c>
      <c r="J1384" s="420">
        <f t="shared" si="348"/>
        <v>5507.67</v>
      </c>
      <c r="K1384" s="421">
        <f t="shared" si="347"/>
        <v>6543.66</v>
      </c>
      <c r="L1384" s="647" t="s">
        <v>2065</v>
      </c>
      <c r="M1384" s="576"/>
      <c r="N1384" s="576">
        <f t="shared" si="350"/>
        <v>0</v>
      </c>
      <c r="O1384" s="577">
        <f t="shared" si="344"/>
        <v>0</v>
      </c>
      <c r="P1384" s="578">
        <f t="shared" si="345"/>
        <v>0</v>
      </c>
      <c r="Q1384" s="765"/>
      <c r="R1384" s="576">
        <f t="shared" si="341"/>
        <v>0</v>
      </c>
      <c r="S1384" s="576">
        <f t="shared" si="341"/>
        <v>0</v>
      </c>
      <c r="T1384" s="577">
        <f t="shared" si="342"/>
        <v>0</v>
      </c>
      <c r="U1384" s="578">
        <f t="shared" si="343"/>
        <v>0</v>
      </c>
      <c r="V1384" s="579"/>
      <c r="W1384" s="566"/>
      <c r="X1384" s="586" t="str">
        <f t="shared" si="346"/>
        <v/>
      </c>
      <c r="Y1384" s="586" t="str">
        <f t="shared" si="351"/>
        <v/>
      </c>
      <c r="Z1384" s="586" t="str">
        <f t="shared" si="349"/>
        <v/>
      </c>
    </row>
    <row r="1385" spans="1:26" ht="23.25" hidden="1" thickBot="1" x14ac:dyDescent="0.25">
      <c r="A1385" s="567">
        <v>91952</v>
      </c>
      <c r="B1385" s="644">
        <v>91952</v>
      </c>
      <c r="C1385" s="645" t="s">
        <v>670</v>
      </c>
      <c r="D1385" s="422" t="s">
        <v>1236</v>
      </c>
      <c r="E1385" s="423"/>
      <c r="F1385" s="424"/>
      <c r="G1385" s="425"/>
      <c r="H1385" s="651"/>
      <c r="I1385" s="420">
        <v>21.32</v>
      </c>
      <c r="J1385" s="420">
        <f t="shared" si="348"/>
        <v>21.32</v>
      </c>
      <c r="K1385" s="421">
        <f t="shared" si="347"/>
        <v>25.33</v>
      </c>
      <c r="L1385" s="647" t="s">
        <v>2065</v>
      </c>
      <c r="M1385" s="576"/>
      <c r="N1385" s="576">
        <f t="shared" si="350"/>
        <v>0</v>
      </c>
      <c r="O1385" s="577">
        <f t="shared" si="344"/>
        <v>0</v>
      </c>
      <c r="P1385" s="578">
        <f t="shared" si="345"/>
        <v>0</v>
      </c>
      <c r="Q1385" s="765"/>
      <c r="R1385" s="576">
        <f t="shared" si="341"/>
        <v>0</v>
      </c>
      <c r="S1385" s="576">
        <f t="shared" si="341"/>
        <v>0</v>
      </c>
      <c r="T1385" s="577">
        <f t="shared" si="342"/>
        <v>0</v>
      </c>
      <c r="U1385" s="578">
        <f t="shared" si="343"/>
        <v>0</v>
      </c>
      <c r="V1385" s="579"/>
      <c r="W1385" s="566"/>
      <c r="X1385" s="586" t="str">
        <f t="shared" si="346"/>
        <v/>
      </c>
      <c r="Y1385" s="586" t="str">
        <f t="shared" si="351"/>
        <v/>
      </c>
      <c r="Z1385" s="586" t="str">
        <f t="shared" si="349"/>
        <v/>
      </c>
    </row>
    <row r="1386" spans="1:26" ht="23.25" hidden="1" thickBot="1" x14ac:dyDescent="0.25">
      <c r="A1386" s="567">
        <v>91953</v>
      </c>
      <c r="B1386" s="644">
        <v>91953</v>
      </c>
      <c r="C1386" s="645" t="s">
        <v>670</v>
      </c>
      <c r="D1386" s="422" t="s">
        <v>1237</v>
      </c>
      <c r="E1386" s="423"/>
      <c r="F1386" s="424"/>
      <c r="G1386" s="425"/>
      <c r="H1386" s="651"/>
      <c r="I1386" s="420">
        <v>31.05</v>
      </c>
      <c r="J1386" s="420">
        <f t="shared" si="348"/>
        <v>31.05</v>
      </c>
      <c r="K1386" s="421">
        <f t="shared" si="347"/>
        <v>36.89</v>
      </c>
      <c r="L1386" s="647" t="s">
        <v>2065</v>
      </c>
      <c r="M1386" s="576"/>
      <c r="N1386" s="576">
        <f t="shared" si="350"/>
        <v>0</v>
      </c>
      <c r="O1386" s="577">
        <f t="shared" si="344"/>
        <v>0</v>
      </c>
      <c r="P1386" s="578">
        <f t="shared" si="345"/>
        <v>0</v>
      </c>
      <c r="Q1386" s="765"/>
      <c r="R1386" s="576">
        <f t="shared" ref="R1386:S1449" si="352">M1386</f>
        <v>0</v>
      </c>
      <c r="S1386" s="576">
        <f t="shared" si="352"/>
        <v>0</v>
      </c>
      <c r="T1386" s="577">
        <f t="shared" si="342"/>
        <v>0</v>
      </c>
      <c r="U1386" s="578">
        <f t="shared" si="343"/>
        <v>0</v>
      </c>
      <c r="V1386" s="579"/>
      <c r="W1386" s="566"/>
      <c r="X1386" s="586" t="str">
        <f t="shared" si="346"/>
        <v/>
      </c>
      <c r="Y1386" s="586" t="str">
        <f t="shared" si="351"/>
        <v/>
      </c>
      <c r="Z1386" s="586" t="str">
        <f t="shared" si="349"/>
        <v/>
      </c>
    </row>
    <row r="1387" spans="1:26" ht="23.25" hidden="1" thickBot="1" x14ac:dyDescent="0.25">
      <c r="A1387" s="567">
        <v>91956</v>
      </c>
      <c r="B1387" s="644">
        <v>91956</v>
      </c>
      <c r="C1387" s="645" t="s">
        <v>670</v>
      </c>
      <c r="D1387" s="422" t="s">
        <v>1238</v>
      </c>
      <c r="E1387" s="423"/>
      <c r="F1387" s="424"/>
      <c r="G1387" s="425"/>
      <c r="H1387" s="651"/>
      <c r="I1387" s="420">
        <v>46.71</v>
      </c>
      <c r="J1387" s="420">
        <f t="shared" si="348"/>
        <v>46.71</v>
      </c>
      <c r="K1387" s="421">
        <f t="shared" si="347"/>
        <v>55.5</v>
      </c>
      <c r="L1387" s="647" t="s">
        <v>2065</v>
      </c>
      <c r="M1387" s="576"/>
      <c r="N1387" s="576">
        <f t="shared" si="350"/>
        <v>0</v>
      </c>
      <c r="O1387" s="577">
        <f t="shared" si="344"/>
        <v>0</v>
      </c>
      <c r="P1387" s="578">
        <f t="shared" si="345"/>
        <v>0</v>
      </c>
      <c r="Q1387" s="765"/>
      <c r="R1387" s="576">
        <f t="shared" si="352"/>
        <v>0</v>
      </c>
      <c r="S1387" s="576">
        <f t="shared" si="352"/>
        <v>0</v>
      </c>
      <c r="T1387" s="577">
        <f t="shared" si="342"/>
        <v>0</v>
      </c>
      <c r="U1387" s="578">
        <f t="shared" si="343"/>
        <v>0</v>
      </c>
      <c r="V1387" s="579"/>
      <c r="W1387" s="566"/>
      <c r="X1387" s="586" t="str">
        <f t="shared" si="346"/>
        <v/>
      </c>
      <c r="Y1387" s="586" t="str">
        <f t="shared" si="351"/>
        <v/>
      </c>
      <c r="Z1387" s="586" t="str">
        <f t="shared" si="349"/>
        <v/>
      </c>
    </row>
    <row r="1388" spans="1:26" ht="23.25" hidden="1" thickBot="1" x14ac:dyDescent="0.25">
      <c r="A1388" s="567">
        <v>91957</v>
      </c>
      <c r="B1388" s="644">
        <v>91957</v>
      </c>
      <c r="C1388" s="645" t="s">
        <v>670</v>
      </c>
      <c r="D1388" s="422" t="s">
        <v>1239</v>
      </c>
      <c r="E1388" s="423"/>
      <c r="F1388" s="424"/>
      <c r="G1388" s="425"/>
      <c r="H1388" s="651"/>
      <c r="I1388" s="420">
        <v>56.44</v>
      </c>
      <c r="J1388" s="420">
        <f t="shared" si="348"/>
        <v>56.44</v>
      </c>
      <c r="K1388" s="421">
        <f t="shared" si="347"/>
        <v>67.06</v>
      </c>
      <c r="L1388" s="647" t="s">
        <v>2065</v>
      </c>
      <c r="M1388" s="576"/>
      <c r="N1388" s="576">
        <f t="shared" si="350"/>
        <v>0</v>
      </c>
      <c r="O1388" s="577">
        <f t="shared" si="344"/>
        <v>0</v>
      </c>
      <c r="P1388" s="578">
        <f t="shared" si="345"/>
        <v>0</v>
      </c>
      <c r="Q1388" s="765"/>
      <c r="R1388" s="576">
        <f t="shared" si="352"/>
        <v>0</v>
      </c>
      <c r="S1388" s="576">
        <f t="shared" si="352"/>
        <v>0</v>
      </c>
      <c r="T1388" s="577">
        <f t="shared" si="342"/>
        <v>0</v>
      </c>
      <c r="U1388" s="578">
        <f t="shared" si="343"/>
        <v>0</v>
      </c>
      <c r="V1388" s="579"/>
      <c r="W1388" s="566"/>
      <c r="X1388" s="586" t="str">
        <f t="shared" si="346"/>
        <v/>
      </c>
      <c r="Y1388" s="586" t="str">
        <f t="shared" si="351"/>
        <v/>
      </c>
      <c r="Z1388" s="586" t="str">
        <f t="shared" si="349"/>
        <v/>
      </c>
    </row>
    <row r="1389" spans="1:26" ht="23.25" hidden="1" thickBot="1" x14ac:dyDescent="0.25">
      <c r="A1389" s="567">
        <v>91958</v>
      </c>
      <c r="B1389" s="644">
        <v>91958</v>
      </c>
      <c r="C1389" s="645" t="s">
        <v>670</v>
      </c>
      <c r="D1389" s="422" t="s">
        <v>1240</v>
      </c>
      <c r="E1389" s="423"/>
      <c r="F1389" s="424"/>
      <c r="G1389" s="425"/>
      <c r="H1389" s="651"/>
      <c r="I1389" s="420">
        <v>39.520000000000003</v>
      </c>
      <c r="J1389" s="420">
        <f t="shared" si="348"/>
        <v>39.520000000000003</v>
      </c>
      <c r="K1389" s="421">
        <f t="shared" si="347"/>
        <v>46.95</v>
      </c>
      <c r="L1389" s="647" t="s">
        <v>2065</v>
      </c>
      <c r="M1389" s="576"/>
      <c r="N1389" s="576">
        <f t="shared" si="350"/>
        <v>0</v>
      </c>
      <c r="O1389" s="577">
        <f t="shared" si="344"/>
        <v>0</v>
      </c>
      <c r="P1389" s="578">
        <f t="shared" si="345"/>
        <v>0</v>
      </c>
      <c r="Q1389" s="765"/>
      <c r="R1389" s="576">
        <f t="shared" si="352"/>
        <v>0</v>
      </c>
      <c r="S1389" s="576">
        <f t="shared" si="352"/>
        <v>0</v>
      </c>
      <c r="T1389" s="577">
        <f t="shared" si="342"/>
        <v>0</v>
      </c>
      <c r="U1389" s="578">
        <f t="shared" si="343"/>
        <v>0</v>
      </c>
      <c r="V1389" s="579"/>
      <c r="W1389" s="566"/>
      <c r="X1389" s="586" t="str">
        <f t="shared" si="346"/>
        <v/>
      </c>
      <c r="Y1389" s="586" t="str">
        <f t="shared" si="351"/>
        <v/>
      </c>
      <c r="Z1389" s="586" t="str">
        <f t="shared" si="349"/>
        <v/>
      </c>
    </row>
    <row r="1390" spans="1:26" ht="23.25" hidden="1" thickBot="1" x14ac:dyDescent="0.25">
      <c r="A1390" s="567">
        <v>91959</v>
      </c>
      <c r="B1390" s="644">
        <v>91959</v>
      </c>
      <c r="C1390" s="645" t="s">
        <v>670</v>
      </c>
      <c r="D1390" s="422" t="s">
        <v>1241</v>
      </c>
      <c r="E1390" s="423"/>
      <c r="F1390" s="424"/>
      <c r="G1390" s="425"/>
      <c r="H1390" s="651"/>
      <c r="I1390" s="420">
        <v>49.25</v>
      </c>
      <c r="J1390" s="420">
        <f t="shared" si="348"/>
        <v>49.25</v>
      </c>
      <c r="K1390" s="421">
        <f t="shared" si="347"/>
        <v>58.51</v>
      </c>
      <c r="L1390" s="647" t="s">
        <v>2065</v>
      </c>
      <c r="M1390" s="576"/>
      <c r="N1390" s="576">
        <f t="shared" si="350"/>
        <v>0</v>
      </c>
      <c r="O1390" s="577">
        <f t="shared" si="344"/>
        <v>0</v>
      </c>
      <c r="P1390" s="578">
        <f t="shared" si="345"/>
        <v>0</v>
      </c>
      <c r="Q1390" s="765"/>
      <c r="R1390" s="576">
        <f t="shared" si="352"/>
        <v>0</v>
      </c>
      <c r="S1390" s="576">
        <f t="shared" si="352"/>
        <v>0</v>
      </c>
      <c r="T1390" s="577">
        <f t="shared" si="342"/>
        <v>0</v>
      </c>
      <c r="U1390" s="578">
        <f t="shared" si="343"/>
        <v>0</v>
      </c>
      <c r="V1390" s="579"/>
      <c r="W1390" s="566"/>
      <c r="X1390" s="586" t="str">
        <f t="shared" si="346"/>
        <v/>
      </c>
      <c r="Y1390" s="586" t="str">
        <f t="shared" si="351"/>
        <v/>
      </c>
      <c r="Z1390" s="586" t="str">
        <f t="shared" si="349"/>
        <v/>
      </c>
    </row>
    <row r="1391" spans="1:26" ht="23.25" hidden="1" thickBot="1" x14ac:dyDescent="0.25">
      <c r="A1391" s="567">
        <v>91962</v>
      </c>
      <c r="B1391" s="644">
        <v>91962</v>
      </c>
      <c r="C1391" s="645" t="s">
        <v>670</v>
      </c>
      <c r="D1391" s="422" t="s">
        <v>1242</v>
      </c>
      <c r="E1391" s="423"/>
      <c r="F1391" s="424"/>
      <c r="G1391" s="425"/>
      <c r="H1391" s="651"/>
      <c r="I1391" s="420">
        <v>72.150000000000006</v>
      </c>
      <c r="J1391" s="420">
        <f t="shared" si="348"/>
        <v>72.150000000000006</v>
      </c>
      <c r="K1391" s="421">
        <f t="shared" si="347"/>
        <v>85.72</v>
      </c>
      <c r="L1391" s="647" t="s">
        <v>2065</v>
      </c>
      <c r="M1391" s="576"/>
      <c r="N1391" s="576">
        <f t="shared" si="350"/>
        <v>0</v>
      </c>
      <c r="O1391" s="577">
        <f t="shared" si="344"/>
        <v>0</v>
      </c>
      <c r="P1391" s="578">
        <f t="shared" si="345"/>
        <v>0</v>
      </c>
      <c r="Q1391" s="765"/>
      <c r="R1391" s="576">
        <f t="shared" si="352"/>
        <v>0</v>
      </c>
      <c r="S1391" s="576">
        <f t="shared" si="352"/>
        <v>0</v>
      </c>
      <c r="T1391" s="577">
        <f t="shared" si="342"/>
        <v>0</v>
      </c>
      <c r="U1391" s="578">
        <f t="shared" si="343"/>
        <v>0</v>
      </c>
      <c r="V1391" s="579"/>
      <c r="W1391" s="566"/>
      <c r="X1391" s="586" t="str">
        <f t="shared" si="346"/>
        <v/>
      </c>
      <c r="Y1391" s="586" t="str">
        <f t="shared" si="351"/>
        <v/>
      </c>
      <c r="Z1391" s="586" t="str">
        <f t="shared" si="349"/>
        <v/>
      </c>
    </row>
    <row r="1392" spans="1:26" ht="23.25" hidden="1" thickBot="1" x14ac:dyDescent="0.25">
      <c r="A1392" s="567">
        <v>91963</v>
      </c>
      <c r="B1392" s="644">
        <v>91963</v>
      </c>
      <c r="C1392" s="645" t="s">
        <v>670</v>
      </c>
      <c r="D1392" s="422" t="s">
        <v>1243</v>
      </c>
      <c r="E1392" s="423"/>
      <c r="F1392" s="424"/>
      <c r="G1392" s="425"/>
      <c r="H1392" s="651"/>
      <c r="I1392" s="420">
        <v>81.88</v>
      </c>
      <c r="J1392" s="420">
        <f t="shared" si="348"/>
        <v>81.88</v>
      </c>
      <c r="K1392" s="421">
        <f t="shared" si="347"/>
        <v>97.28</v>
      </c>
      <c r="L1392" s="647" t="s">
        <v>2065</v>
      </c>
      <c r="M1392" s="576"/>
      <c r="N1392" s="576">
        <f t="shared" si="350"/>
        <v>0</v>
      </c>
      <c r="O1392" s="577">
        <f t="shared" si="344"/>
        <v>0</v>
      </c>
      <c r="P1392" s="578">
        <f t="shared" si="345"/>
        <v>0</v>
      </c>
      <c r="Q1392" s="765"/>
      <c r="R1392" s="576">
        <f t="shared" si="352"/>
        <v>0</v>
      </c>
      <c r="S1392" s="576">
        <f t="shared" si="352"/>
        <v>0</v>
      </c>
      <c r="T1392" s="577">
        <f t="shared" si="342"/>
        <v>0</v>
      </c>
      <c r="U1392" s="578">
        <f t="shared" si="343"/>
        <v>0</v>
      </c>
      <c r="V1392" s="579"/>
      <c r="W1392" s="566"/>
      <c r="X1392" s="586" t="str">
        <f t="shared" si="346"/>
        <v/>
      </c>
      <c r="Y1392" s="586" t="str">
        <f t="shared" si="351"/>
        <v/>
      </c>
      <c r="Z1392" s="586" t="str">
        <f t="shared" si="349"/>
        <v/>
      </c>
    </row>
    <row r="1393" spans="1:26" ht="23.25" hidden="1" thickBot="1" x14ac:dyDescent="0.25">
      <c r="A1393" s="567">
        <v>91964</v>
      </c>
      <c r="B1393" s="644">
        <v>91964</v>
      </c>
      <c r="C1393" s="645" t="s">
        <v>670</v>
      </c>
      <c r="D1393" s="422" t="s">
        <v>1244</v>
      </c>
      <c r="E1393" s="423"/>
      <c r="F1393" s="424"/>
      <c r="G1393" s="425"/>
      <c r="H1393" s="651"/>
      <c r="I1393" s="420">
        <v>64.91</v>
      </c>
      <c r="J1393" s="420">
        <f t="shared" si="348"/>
        <v>64.91</v>
      </c>
      <c r="K1393" s="421">
        <f t="shared" si="347"/>
        <v>77.12</v>
      </c>
      <c r="L1393" s="647" t="s">
        <v>2065</v>
      </c>
      <c r="M1393" s="576"/>
      <c r="N1393" s="576">
        <f t="shared" si="350"/>
        <v>0</v>
      </c>
      <c r="O1393" s="577">
        <f t="shared" si="344"/>
        <v>0</v>
      </c>
      <c r="P1393" s="578">
        <f t="shared" si="345"/>
        <v>0</v>
      </c>
      <c r="Q1393" s="765"/>
      <c r="R1393" s="576">
        <f t="shared" si="352"/>
        <v>0</v>
      </c>
      <c r="S1393" s="576">
        <f t="shared" si="352"/>
        <v>0</v>
      </c>
      <c r="T1393" s="577">
        <f t="shared" si="342"/>
        <v>0</v>
      </c>
      <c r="U1393" s="578">
        <f t="shared" si="343"/>
        <v>0</v>
      </c>
      <c r="V1393" s="579"/>
      <c r="W1393" s="566"/>
      <c r="X1393" s="586" t="str">
        <f t="shared" si="346"/>
        <v/>
      </c>
      <c r="Y1393" s="586" t="str">
        <f t="shared" si="351"/>
        <v/>
      </c>
      <c r="Z1393" s="586" t="str">
        <f t="shared" si="349"/>
        <v/>
      </c>
    </row>
    <row r="1394" spans="1:26" ht="23.25" hidden="1" thickBot="1" x14ac:dyDescent="0.25">
      <c r="A1394" s="567">
        <v>91965</v>
      </c>
      <c r="B1394" s="644">
        <v>91965</v>
      </c>
      <c r="C1394" s="645" t="s">
        <v>670</v>
      </c>
      <c r="D1394" s="422" t="s">
        <v>1245</v>
      </c>
      <c r="E1394" s="423"/>
      <c r="F1394" s="424"/>
      <c r="G1394" s="425"/>
      <c r="H1394" s="651"/>
      <c r="I1394" s="420">
        <v>74.64</v>
      </c>
      <c r="J1394" s="420">
        <f t="shared" si="348"/>
        <v>74.64</v>
      </c>
      <c r="K1394" s="421">
        <f t="shared" si="347"/>
        <v>88.68</v>
      </c>
      <c r="L1394" s="647" t="s">
        <v>2065</v>
      </c>
      <c r="M1394" s="576"/>
      <c r="N1394" s="576">
        <f t="shared" si="350"/>
        <v>0</v>
      </c>
      <c r="O1394" s="577">
        <f t="shared" si="344"/>
        <v>0</v>
      </c>
      <c r="P1394" s="578">
        <f t="shared" si="345"/>
        <v>0</v>
      </c>
      <c r="Q1394" s="765"/>
      <c r="R1394" s="576">
        <f t="shared" si="352"/>
        <v>0</v>
      </c>
      <c r="S1394" s="576">
        <f t="shared" si="352"/>
        <v>0</v>
      </c>
      <c r="T1394" s="577">
        <f t="shared" si="342"/>
        <v>0</v>
      </c>
      <c r="U1394" s="578">
        <f t="shared" si="343"/>
        <v>0</v>
      </c>
      <c r="V1394" s="579"/>
      <c r="W1394" s="566"/>
      <c r="X1394" s="586" t="str">
        <f t="shared" si="346"/>
        <v/>
      </c>
      <c r="Y1394" s="586" t="str">
        <f t="shared" si="351"/>
        <v/>
      </c>
      <c r="Z1394" s="586" t="str">
        <f t="shared" si="349"/>
        <v/>
      </c>
    </row>
    <row r="1395" spans="1:26" ht="23.25" hidden="1" thickBot="1" x14ac:dyDescent="0.25">
      <c r="A1395" s="567">
        <v>91966</v>
      </c>
      <c r="B1395" s="644">
        <v>91966</v>
      </c>
      <c r="C1395" s="645" t="s">
        <v>670</v>
      </c>
      <c r="D1395" s="422" t="s">
        <v>1246</v>
      </c>
      <c r="E1395" s="423"/>
      <c r="F1395" s="424"/>
      <c r="G1395" s="425"/>
      <c r="H1395" s="651"/>
      <c r="I1395" s="420">
        <v>57.72</v>
      </c>
      <c r="J1395" s="420">
        <f t="shared" si="348"/>
        <v>57.72</v>
      </c>
      <c r="K1395" s="421">
        <f t="shared" si="347"/>
        <v>68.58</v>
      </c>
      <c r="L1395" s="647" t="s">
        <v>2065</v>
      </c>
      <c r="M1395" s="576"/>
      <c r="N1395" s="576">
        <f t="shared" si="350"/>
        <v>0</v>
      </c>
      <c r="O1395" s="577">
        <f t="shared" si="344"/>
        <v>0</v>
      </c>
      <c r="P1395" s="578">
        <f t="shared" si="345"/>
        <v>0</v>
      </c>
      <c r="Q1395" s="765"/>
      <c r="R1395" s="576">
        <f t="shared" si="352"/>
        <v>0</v>
      </c>
      <c r="S1395" s="576">
        <f t="shared" si="352"/>
        <v>0</v>
      </c>
      <c r="T1395" s="577">
        <f t="shared" si="342"/>
        <v>0</v>
      </c>
      <c r="U1395" s="578">
        <f t="shared" si="343"/>
        <v>0</v>
      </c>
      <c r="V1395" s="579"/>
      <c r="W1395" s="566"/>
      <c r="X1395" s="586" t="str">
        <f t="shared" si="346"/>
        <v/>
      </c>
      <c r="Y1395" s="586" t="str">
        <f t="shared" si="351"/>
        <v/>
      </c>
      <c r="Z1395" s="586" t="str">
        <f t="shared" si="349"/>
        <v/>
      </c>
    </row>
    <row r="1396" spans="1:26" ht="23.25" hidden="1" thickBot="1" x14ac:dyDescent="0.25">
      <c r="A1396" s="567">
        <v>91967</v>
      </c>
      <c r="B1396" s="644">
        <v>91967</v>
      </c>
      <c r="C1396" s="645" t="s">
        <v>670</v>
      </c>
      <c r="D1396" s="422" t="s">
        <v>1247</v>
      </c>
      <c r="E1396" s="423"/>
      <c r="F1396" s="424"/>
      <c r="G1396" s="425"/>
      <c r="H1396" s="651"/>
      <c r="I1396" s="420">
        <v>67.45</v>
      </c>
      <c r="J1396" s="420">
        <f t="shared" si="348"/>
        <v>67.45</v>
      </c>
      <c r="K1396" s="421">
        <f t="shared" si="347"/>
        <v>80.14</v>
      </c>
      <c r="L1396" s="647" t="s">
        <v>2065</v>
      </c>
      <c r="M1396" s="576"/>
      <c r="N1396" s="576">
        <f t="shared" si="350"/>
        <v>0</v>
      </c>
      <c r="O1396" s="577">
        <f t="shared" si="344"/>
        <v>0</v>
      </c>
      <c r="P1396" s="578">
        <f t="shared" si="345"/>
        <v>0</v>
      </c>
      <c r="Q1396" s="765"/>
      <c r="R1396" s="576">
        <f t="shared" si="352"/>
        <v>0</v>
      </c>
      <c r="S1396" s="576">
        <f t="shared" si="352"/>
        <v>0</v>
      </c>
      <c r="T1396" s="577">
        <f t="shared" ref="T1396:T1459" si="353">IF(ISBLANK(R1396),0,ROUND(K1396*R1396,2))</f>
        <v>0</v>
      </c>
      <c r="U1396" s="578">
        <f t="shared" ref="U1396:U1459" si="354">IF(ISBLANK(R1396),0,ROUND(R1396*S1396,2))</f>
        <v>0</v>
      </c>
      <c r="V1396" s="579"/>
      <c r="W1396" s="566"/>
      <c r="X1396" s="586" t="str">
        <f t="shared" si="346"/>
        <v/>
      </c>
      <c r="Y1396" s="586" t="str">
        <f t="shared" si="351"/>
        <v/>
      </c>
      <c r="Z1396" s="586" t="str">
        <f t="shared" si="349"/>
        <v/>
      </c>
    </row>
    <row r="1397" spans="1:26" ht="23.25" hidden="1" thickBot="1" x14ac:dyDescent="0.25">
      <c r="A1397" s="567">
        <v>91970</v>
      </c>
      <c r="B1397" s="644">
        <v>91970</v>
      </c>
      <c r="C1397" s="645" t="s">
        <v>670</v>
      </c>
      <c r="D1397" s="422" t="s">
        <v>1248</v>
      </c>
      <c r="E1397" s="423"/>
      <c r="F1397" s="424"/>
      <c r="G1397" s="425"/>
      <c r="H1397" s="651"/>
      <c r="I1397" s="420">
        <v>83.48</v>
      </c>
      <c r="J1397" s="420">
        <f t="shared" si="348"/>
        <v>83.48</v>
      </c>
      <c r="K1397" s="421">
        <f t="shared" si="347"/>
        <v>99.18</v>
      </c>
      <c r="L1397" s="647" t="s">
        <v>2065</v>
      </c>
      <c r="M1397" s="576"/>
      <c r="N1397" s="576">
        <f t="shared" si="350"/>
        <v>0</v>
      </c>
      <c r="O1397" s="577">
        <f t="shared" ref="O1397:O1460" si="355">IF(ISBLANK(M1397),0,ROUND(K1397*M1397,2))</f>
        <v>0</v>
      </c>
      <c r="P1397" s="578">
        <f t="shared" ref="P1397:P1460" si="356">IF(ISBLANK(N1397),0,ROUND(M1397*N1397,2))</f>
        <v>0</v>
      </c>
      <c r="Q1397" s="765"/>
      <c r="R1397" s="576">
        <f t="shared" si="352"/>
        <v>0</v>
      </c>
      <c r="S1397" s="576">
        <f t="shared" si="352"/>
        <v>0</v>
      </c>
      <c r="T1397" s="577">
        <f t="shared" si="353"/>
        <v>0</v>
      </c>
      <c r="U1397" s="578">
        <f t="shared" si="354"/>
        <v>0</v>
      </c>
      <c r="V1397" s="579"/>
      <c r="W1397" s="566"/>
      <c r="X1397" s="586" t="str">
        <f t="shared" si="346"/>
        <v/>
      </c>
      <c r="Y1397" s="586" t="str">
        <f t="shared" si="351"/>
        <v/>
      </c>
      <c r="Z1397" s="586" t="str">
        <f t="shared" si="349"/>
        <v/>
      </c>
    </row>
    <row r="1398" spans="1:26" ht="23.25" hidden="1" thickBot="1" x14ac:dyDescent="0.25">
      <c r="A1398" s="567">
        <v>91971</v>
      </c>
      <c r="B1398" s="644">
        <v>91971</v>
      </c>
      <c r="C1398" s="645" t="s">
        <v>670</v>
      </c>
      <c r="D1398" s="422" t="s">
        <v>1249</v>
      </c>
      <c r="E1398" s="423"/>
      <c r="F1398" s="424"/>
      <c r="G1398" s="425"/>
      <c r="H1398" s="651"/>
      <c r="I1398" s="420">
        <v>99.37</v>
      </c>
      <c r="J1398" s="420">
        <f t="shared" si="348"/>
        <v>99.37</v>
      </c>
      <c r="K1398" s="421">
        <f t="shared" si="347"/>
        <v>118.06</v>
      </c>
      <c r="L1398" s="647" t="s">
        <v>2065</v>
      </c>
      <c r="M1398" s="576"/>
      <c r="N1398" s="576">
        <f t="shared" si="350"/>
        <v>0</v>
      </c>
      <c r="O1398" s="577">
        <f t="shared" si="355"/>
        <v>0</v>
      </c>
      <c r="P1398" s="578">
        <f t="shared" si="356"/>
        <v>0</v>
      </c>
      <c r="Q1398" s="765"/>
      <c r="R1398" s="576">
        <f t="shared" si="352"/>
        <v>0</v>
      </c>
      <c r="S1398" s="576">
        <f t="shared" si="352"/>
        <v>0</v>
      </c>
      <c r="T1398" s="577">
        <f t="shared" si="353"/>
        <v>0</v>
      </c>
      <c r="U1398" s="578">
        <f t="shared" si="354"/>
        <v>0</v>
      </c>
      <c r="V1398" s="579"/>
      <c r="W1398" s="566"/>
      <c r="X1398" s="586" t="str">
        <f t="shared" si="346"/>
        <v/>
      </c>
      <c r="Y1398" s="586" t="str">
        <f t="shared" si="351"/>
        <v/>
      </c>
      <c r="Z1398" s="586" t="str">
        <f t="shared" si="349"/>
        <v/>
      </c>
    </row>
    <row r="1399" spans="1:26" ht="23.25" hidden="1" thickBot="1" x14ac:dyDescent="0.25">
      <c r="A1399" s="567">
        <v>91972</v>
      </c>
      <c r="B1399" s="644">
        <v>91972</v>
      </c>
      <c r="C1399" s="645" t="s">
        <v>670</v>
      </c>
      <c r="D1399" s="422" t="s">
        <v>1250</v>
      </c>
      <c r="E1399" s="423"/>
      <c r="F1399" s="424"/>
      <c r="G1399" s="425"/>
      <c r="H1399" s="651"/>
      <c r="I1399" s="420">
        <v>90.73</v>
      </c>
      <c r="J1399" s="420">
        <f t="shared" si="348"/>
        <v>90.73</v>
      </c>
      <c r="K1399" s="421">
        <f t="shared" si="347"/>
        <v>107.8</v>
      </c>
      <c r="L1399" s="647" t="s">
        <v>2065</v>
      </c>
      <c r="M1399" s="576"/>
      <c r="N1399" s="576">
        <f t="shared" si="350"/>
        <v>0</v>
      </c>
      <c r="O1399" s="577">
        <f t="shared" si="355"/>
        <v>0</v>
      </c>
      <c r="P1399" s="578">
        <f t="shared" si="356"/>
        <v>0</v>
      </c>
      <c r="Q1399" s="765"/>
      <c r="R1399" s="576">
        <f t="shared" si="352"/>
        <v>0</v>
      </c>
      <c r="S1399" s="576">
        <f t="shared" si="352"/>
        <v>0</v>
      </c>
      <c r="T1399" s="577">
        <f t="shared" si="353"/>
        <v>0</v>
      </c>
      <c r="U1399" s="578">
        <f t="shared" si="354"/>
        <v>0</v>
      </c>
      <c r="V1399" s="579"/>
      <c r="W1399" s="566"/>
      <c r="X1399" s="586" t="str">
        <f t="shared" si="346"/>
        <v/>
      </c>
      <c r="Y1399" s="586" t="str">
        <f t="shared" si="351"/>
        <v/>
      </c>
      <c r="Z1399" s="586" t="str">
        <f t="shared" si="349"/>
        <v/>
      </c>
    </row>
    <row r="1400" spans="1:26" ht="23.25" hidden="1" thickBot="1" x14ac:dyDescent="0.25">
      <c r="A1400" s="567">
        <v>91973</v>
      </c>
      <c r="B1400" s="644">
        <v>91973</v>
      </c>
      <c r="C1400" s="645" t="s">
        <v>670</v>
      </c>
      <c r="D1400" s="422" t="s">
        <v>1251</v>
      </c>
      <c r="E1400" s="423"/>
      <c r="F1400" s="424"/>
      <c r="G1400" s="425"/>
      <c r="H1400" s="651"/>
      <c r="I1400" s="420">
        <v>106.62</v>
      </c>
      <c r="J1400" s="420">
        <f t="shared" si="348"/>
        <v>106.62</v>
      </c>
      <c r="K1400" s="421">
        <f t="shared" si="347"/>
        <v>126.68</v>
      </c>
      <c r="L1400" s="647" t="s">
        <v>2065</v>
      </c>
      <c r="M1400" s="576"/>
      <c r="N1400" s="576">
        <f t="shared" si="350"/>
        <v>0</v>
      </c>
      <c r="O1400" s="577">
        <f t="shared" si="355"/>
        <v>0</v>
      </c>
      <c r="P1400" s="578">
        <f t="shared" si="356"/>
        <v>0</v>
      </c>
      <c r="Q1400" s="765"/>
      <c r="R1400" s="576">
        <f t="shared" si="352"/>
        <v>0</v>
      </c>
      <c r="S1400" s="576">
        <f t="shared" si="352"/>
        <v>0</v>
      </c>
      <c r="T1400" s="577">
        <f t="shared" si="353"/>
        <v>0</v>
      </c>
      <c r="U1400" s="578">
        <f t="shared" si="354"/>
        <v>0</v>
      </c>
      <c r="V1400" s="579"/>
      <c r="W1400" s="566"/>
      <c r="X1400" s="586" t="str">
        <f t="shared" si="346"/>
        <v/>
      </c>
      <c r="Y1400" s="586" t="str">
        <f t="shared" si="351"/>
        <v/>
      </c>
      <c r="Z1400" s="586" t="str">
        <f t="shared" si="349"/>
        <v/>
      </c>
    </row>
    <row r="1401" spans="1:26" ht="23.25" hidden="1" thickBot="1" x14ac:dyDescent="0.25">
      <c r="A1401" s="567">
        <v>91974</v>
      </c>
      <c r="B1401" s="644">
        <v>91974</v>
      </c>
      <c r="C1401" s="645" t="s">
        <v>670</v>
      </c>
      <c r="D1401" s="422" t="s">
        <v>1252</v>
      </c>
      <c r="E1401" s="423"/>
      <c r="F1401" s="424"/>
      <c r="G1401" s="425"/>
      <c r="H1401" s="651"/>
      <c r="I1401" s="420">
        <v>76.239999999999995</v>
      </c>
      <c r="J1401" s="420">
        <f t="shared" si="348"/>
        <v>76.239999999999995</v>
      </c>
      <c r="K1401" s="421">
        <f t="shared" si="347"/>
        <v>90.58</v>
      </c>
      <c r="L1401" s="647" t="s">
        <v>2065</v>
      </c>
      <c r="M1401" s="576"/>
      <c r="N1401" s="576">
        <f t="shared" si="350"/>
        <v>0</v>
      </c>
      <c r="O1401" s="577">
        <f t="shared" si="355"/>
        <v>0</v>
      </c>
      <c r="P1401" s="578">
        <f t="shared" si="356"/>
        <v>0</v>
      </c>
      <c r="Q1401" s="765"/>
      <c r="R1401" s="576">
        <f t="shared" si="352"/>
        <v>0</v>
      </c>
      <c r="S1401" s="576">
        <f t="shared" si="352"/>
        <v>0</v>
      </c>
      <c r="T1401" s="577">
        <f t="shared" si="353"/>
        <v>0</v>
      </c>
      <c r="U1401" s="578">
        <f t="shared" si="354"/>
        <v>0</v>
      </c>
      <c r="V1401" s="579"/>
      <c r="W1401" s="566"/>
      <c r="X1401" s="586" t="str">
        <f t="shared" si="346"/>
        <v/>
      </c>
      <c r="Y1401" s="586" t="str">
        <f t="shared" si="351"/>
        <v/>
      </c>
      <c r="Z1401" s="586" t="str">
        <f t="shared" si="349"/>
        <v/>
      </c>
    </row>
    <row r="1402" spans="1:26" ht="23.25" hidden="1" thickBot="1" x14ac:dyDescent="0.25">
      <c r="A1402" s="567">
        <v>91975</v>
      </c>
      <c r="B1402" s="644">
        <v>91975</v>
      </c>
      <c r="C1402" s="645" t="s">
        <v>670</v>
      </c>
      <c r="D1402" s="422" t="s">
        <v>1253</v>
      </c>
      <c r="E1402" s="423"/>
      <c r="F1402" s="424"/>
      <c r="G1402" s="425"/>
      <c r="H1402" s="651"/>
      <c r="I1402" s="420">
        <v>92.13</v>
      </c>
      <c r="J1402" s="420">
        <f t="shared" si="348"/>
        <v>92.13</v>
      </c>
      <c r="K1402" s="421">
        <f t="shared" si="347"/>
        <v>109.46</v>
      </c>
      <c r="L1402" s="647" t="s">
        <v>2065</v>
      </c>
      <c r="M1402" s="576"/>
      <c r="N1402" s="576">
        <f t="shared" si="350"/>
        <v>0</v>
      </c>
      <c r="O1402" s="577">
        <f t="shared" si="355"/>
        <v>0</v>
      </c>
      <c r="P1402" s="578">
        <f t="shared" si="356"/>
        <v>0</v>
      </c>
      <c r="Q1402" s="765"/>
      <c r="R1402" s="576">
        <f t="shared" si="352"/>
        <v>0</v>
      </c>
      <c r="S1402" s="576">
        <f t="shared" si="352"/>
        <v>0</v>
      </c>
      <c r="T1402" s="577">
        <f t="shared" si="353"/>
        <v>0</v>
      </c>
      <c r="U1402" s="578">
        <f t="shared" si="354"/>
        <v>0</v>
      </c>
      <c r="V1402" s="579"/>
      <c r="W1402" s="566"/>
      <c r="X1402" s="586" t="str">
        <f t="shared" si="346"/>
        <v/>
      </c>
      <c r="Y1402" s="586" t="str">
        <f t="shared" si="351"/>
        <v/>
      </c>
      <c r="Z1402" s="586" t="str">
        <f t="shared" si="349"/>
        <v/>
      </c>
    </row>
    <row r="1403" spans="1:26" ht="23.25" hidden="1" thickBot="1" x14ac:dyDescent="0.25">
      <c r="A1403" s="567">
        <v>91976</v>
      </c>
      <c r="B1403" s="644">
        <v>91976</v>
      </c>
      <c r="C1403" s="645" t="s">
        <v>670</v>
      </c>
      <c r="D1403" s="422" t="s">
        <v>1254</v>
      </c>
      <c r="E1403" s="423"/>
      <c r="F1403" s="424"/>
      <c r="G1403" s="425"/>
      <c r="H1403" s="651"/>
      <c r="I1403" s="420">
        <v>112.75</v>
      </c>
      <c r="J1403" s="420">
        <f t="shared" si="348"/>
        <v>112.75</v>
      </c>
      <c r="K1403" s="421">
        <f t="shared" si="347"/>
        <v>133.96</v>
      </c>
      <c r="L1403" s="647" t="s">
        <v>2065</v>
      </c>
      <c r="M1403" s="576"/>
      <c r="N1403" s="576">
        <f t="shared" si="350"/>
        <v>0</v>
      </c>
      <c r="O1403" s="577">
        <f t="shared" si="355"/>
        <v>0</v>
      </c>
      <c r="P1403" s="578">
        <f t="shared" si="356"/>
        <v>0</v>
      </c>
      <c r="Q1403" s="765"/>
      <c r="R1403" s="576">
        <f t="shared" si="352"/>
        <v>0</v>
      </c>
      <c r="S1403" s="576">
        <f t="shared" si="352"/>
        <v>0</v>
      </c>
      <c r="T1403" s="577">
        <f t="shared" si="353"/>
        <v>0</v>
      </c>
      <c r="U1403" s="578">
        <f t="shared" si="354"/>
        <v>0</v>
      </c>
      <c r="V1403" s="579"/>
      <c r="W1403" s="566"/>
      <c r="X1403" s="586" t="str">
        <f t="shared" si="346"/>
        <v/>
      </c>
      <c r="Y1403" s="586" t="str">
        <f t="shared" si="351"/>
        <v/>
      </c>
      <c r="Z1403" s="586" t="str">
        <f t="shared" si="349"/>
        <v/>
      </c>
    </row>
    <row r="1404" spans="1:26" ht="23.25" hidden="1" thickBot="1" x14ac:dyDescent="0.25">
      <c r="A1404" s="567">
        <v>91977</v>
      </c>
      <c r="B1404" s="644">
        <v>91977</v>
      </c>
      <c r="C1404" s="645" t="s">
        <v>670</v>
      </c>
      <c r="D1404" s="422" t="s">
        <v>1255</v>
      </c>
      <c r="E1404" s="423"/>
      <c r="F1404" s="424"/>
      <c r="G1404" s="425"/>
      <c r="H1404" s="651"/>
      <c r="I1404" s="420">
        <v>128.63999999999999</v>
      </c>
      <c r="J1404" s="420">
        <f t="shared" si="348"/>
        <v>128.63999999999999</v>
      </c>
      <c r="K1404" s="421">
        <f t="shared" si="347"/>
        <v>152.84</v>
      </c>
      <c r="L1404" s="647" t="s">
        <v>2065</v>
      </c>
      <c r="M1404" s="576"/>
      <c r="N1404" s="576">
        <f t="shared" si="350"/>
        <v>0</v>
      </c>
      <c r="O1404" s="577">
        <f t="shared" si="355"/>
        <v>0</v>
      </c>
      <c r="P1404" s="578">
        <f t="shared" si="356"/>
        <v>0</v>
      </c>
      <c r="Q1404" s="765"/>
      <c r="R1404" s="576">
        <f t="shared" si="352"/>
        <v>0</v>
      </c>
      <c r="S1404" s="576">
        <f t="shared" si="352"/>
        <v>0</v>
      </c>
      <c r="T1404" s="577">
        <f t="shared" si="353"/>
        <v>0</v>
      </c>
      <c r="U1404" s="578">
        <f t="shared" si="354"/>
        <v>0</v>
      </c>
      <c r="V1404" s="579"/>
      <c r="W1404" s="566"/>
      <c r="X1404" s="586" t="str">
        <f t="shared" si="346"/>
        <v/>
      </c>
      <c r="Y1404" s="586" t="str">
        <f t="shared" si="351"/>
        <v/>
      </c>
      <c r="Z1404" s="586" t="str">
        <f t="shared" si="349"/>
        <v/>
      </c>
    </row>
    <row r="1405" spans="1:26" ht="23.25" hidden="1" thickBot="1" x14ac:dyDescent="0.25">
      <c r="A1405" s="567">
        <v>92022</v>
      </c>
      <c r="B1405" s="644">
        <v>92022</v>
      </c>
      <c r="C1405" s="645" t="s">
        <v>670</v>
      </c>
      <c r="D1405" s="422" t="s">
        <v>1256</v>
      </c>
      <c r="E1405" s="423"/>
      <c r="F1405" s="424"/>
      <c r="G1405" s="425"/>
      <c r="H1405" s="651"/>
      <c r="I1405" s="420">
        <v>45.13</v>
      </c>
      <c r="J1405" s="420">
        <f t="shared" si="348"/>
        <v>45.13</v>
      </c>
      <c r="K1405" s="421">
        <f t="shared" si="347"/>
        <v>53.62</v>
      </c>
      <c r="L1405" s="647" t="s">
        <v>2065</v>
      </c>
      <c r="M1405" s="576"/>
      <c r="N1405" s="576">
        <f t="shared" si="350"/>
        <v>0</v>
      </c>
      <c r="O1405" s="577">
        <f t="shared" si="355"/>
        <v>0</v>
      </c>
      <c r="P1405" s="578">
        <f t="shared" si="356"/>
        <v>0</v>
      </c>
      <c r="Q1405" s="765"/>
      <c r="R1405" s="576">
        <f t="shared" si="352"/>
        <v>0</v>
      </c>
      <c r="S1405" s="576">
        <f t="shared" si="352"/>
        <v>0</v>
      </c>
      <c r="T1405" s="577">
        <f t="shared" si="353"/>
        <v>0</v>
      </c>
      <c r="U1405" s="578">
        <f t="shared" si="354"/>
        <v>0</v>
      </c>
      <c r="V1405" s="579"/>
      <c r="W1405" s="566"/>
      <c r="X1405" s="586" t="str">
        <f t="shared" ref="X1405:X1468" si="357">IF(W1405="X","x",IF(W1405="xx","x",IF(W1405="xy","x",IF(W1405="y","x",IF(OR(P1405&gt;0,U1405&gt;0),"x","")))))</f>
        <v/>
      </c>
      <c r="Y1405" s="586" t="str">
        <f t="shared" si="351"/>
        <v/>
      </c>
      <c r="Z1405" s="586" t="str">
        <f t="shared" si="349"/>
        <v/>
      </c>
    </row>
    <row r="1406" spans="1:26" ht="23.25" hidden="1" thickBot="1" x14ac:dyDescent="0.25">
      <c r="A1406" s="567">
        <v>92023</v>
      </c>
      <c r="B1406" s="644">
        <v>92023</v>
      </c>
      <c r="C1406" s="645" t="s">
        <v>670</v>
      </c>
      <c r="D1406" s="422" t="s">
        <v>1257</v>
      </c>
      <c r="E1406" s="423"/>
      <c r="F1406" s="424"/>
      <c r="G1406" s="425"/>
      <c r="H1406" s="651"/>
      <c r="I1406" s="420">
        <v>54.86</v>
      </c>
      <c r="J1406" s="420">
        <f t="shared" si="348"/>
        <v>54.86</v>
      </c>
      <c r="K1406" s="421">
        <f t="shared" si="347"/>
        <v>65.180000000000007</v>
      </c>
      <c r="L1406" s="647" t="s">
        <v>2065</v>
      </c>
      <c r="M1406" s="576"/>
      <c r="N1406" s="576">
        <f t="shared" si="350"/>
        <v>0</v>
      </c>
      <c r="O1406" s="577">
        <f t="shared" si="355"/>
        <v>0</v>
      </c>
      <c r="P1406" s="578">
        <f t="shared" si="356"/>
        <v>0</v>
      </c>
      <c r="Q1406" s="765"/>
      <c r="R1406" s="576">
        <f t="shared" si="352"/>
        <v>0</v>
      </c>
      <c r="S1406" s="576">
        <f t="shared" si="352"/>
        <v>0</v>
      </c>
      <c r="T1406" s="577">
        <f t="shared" si="353"/>
        <v>0</v>
      </c>
      <c r="U1406" s="578">
        <f t="shared" si="354"/>
        <v>0</v>
      </c>
      <c r="V1406" s="579"/>
      <c r="W1406" s="566"/>
      <c r="X1406" s="586" t="str">
        <f t="shared" si="357"/>
        <v/>
      </c>
      <c r="Y1406" s="586" t="str">
        <f t="shared" si="351"/>
        <v/>
      </c>
      <c r="Z1406" s="586" t="str">
        <f t="shared" si="349"/>
        <v/>
      </c>
    </row>
    <row r="1407" spans="1:26" ht="23.25" hidden="1" thickBot="1" x14ac:dyDescent="0.25">
      <c r="A1407" s="567">
        <v>92024</v>
      </c>
      <c r="B1407" s="644">
        <v>92024</v>
      </c>
      <c r="C1407" s="645" t="s">
        <v>670</v>
      </c>
      <c r="D1407" s="422" t="s">
        <v>1258</v>
      </c>
      <c r="E1407" s="423"/>
      <c r="F1407" s="424"/>
      <c r="G1407" s="425"/>
      <c r="H1407" s="651"/>
      <c r="I1407" s="420">
        <v>68.989999999999995</v>
      </c>
      <c r="J1407" s="420">
        <f t="shared" si="348"/>
        <v>68.989999999999995</v>
      </c>
      <c r="K1407" s="421">
        <f t="shared" si="347"/>
        <v>81.97</v>
      </c>
      <c r="L1407" s="647" t="s">
        <v>2065</v>
      </c>
      <c r="M1407" s="576"/>
      <c r="N1407" s="576">
        <f t="shared" si="350"/>
        <v>0</v>
      </c>
      <c r="O1407" s="577">
        <f t="shared" si="355"/>
        <v>0</v>
      </c>
      <c r="P1407" s="578">
        <f t="shared" si="356"/>
        <v>0</v>
      </c>
      <c r="Q1407" s="765"/>
      <c r="R1407" s="576">
        <f t="shared" si="352"/>
        <v>0</v>
      </c>
      <c r="S1407" s="576">
        <f t="shared" si="352"/>
        <v>0</v>
      </c>
      <c r="T1407" s="577">
        <f t="shared" si="353"/>
        <v>0</v>
      </c>
      <c r="U1407" s="578">
        <f t="shared" si="354"/>
        <v>0</v>
      </c>
      <c r="V1407" s="579"/>
      <c r="W1407" s="566"/>
      <c r="X1407" s="586" t="str">
        <f t="shared" si="357"/>
        <v/>
      </c>
      <c r="Y1407" s="586" t="str">
        <f t="shared" si="351"/>
        <v/>
      </c>
      <c r="Z1407" s="586" t="str">
        <f t="shared" si="349"/>
        <v/>
      </c>
    </row>
    <row r="1408" spans="1:26" ht="23.25" hidden="1" thickBot="1" x14ac:dyDescent="0.25">
      <c r="A1408" s="567">
        <v>92025</v>
      </c>
      <c r="B1408" s="644">
        <v>92025</v>
      </c>
      <c r="C1408" s="645" t="s">
        <v>670</v>
      </c>
      <c r="D1408" s="422" t="s">
        <v>1259</v>
      </c>
      <c r="E1408" s="423"/>
      <c r="F1408" s="424"/>
      <c r="G1408" s="425"/>
      <c r="H1408" s="651"/>
      <c r="I1408" s="420">
        <v>78.72</v>
      </c>
      <c r="J1408" s="420">
        <f t="shared" si="348"/>
        <v>78.72</v>
      </c>
      <c r="K1408" s="421">
        <f t="shared" si="347"/>
        <v>93.53</v>
      </c>
      <c r="L1408" s="647" t="s">
        <v>2065</v>
      </c>
      <c r="M1408" s="576"/>
      <c r="N1408" s="576">
        <f t="shared" si="350"/>
        <v>0</v>
      </c>
      <c r="O1408" s="577">
        <f t="shared" si="355"/>
        <v>0</v>
      </c>
      <c r="P1408" s="578">
        <f t="shared" si="356"/>
        <v>0</v>
      </c>
      <c r="Q1408" s="765"/>
      <c r="R1408" s="576">
        <f t="shared" si="352"/>
        <v>0</v>
      </c>
      <c r="S1408" s="576">
        <f t="shared" si="352"/>
        <v>0</v>
      </c>
      <c r="T1408" s="577">
        <f t="shared" si="353"/>
        <v>0</v>
      </c>
      <c r="U1408" s="578">
        <f t="shared" si="354"/>
        <v>0</v>
      </c>
      <c r="V1408" s="579"/>
      <c r="W1408" s="566"/>
      <c r="X1408" s="586" t="str">
        <f t="shared" si="357"/>
        <v/>
      </c>
      <c r="Y1408" s="586" t="str">
        <f t="shared" si="351"/>
        <v/>
      </c>
      <c r="Z1408" s="586" t="str">
        <f t="shared" si="349"/>
        <v/>
      </c>
    </row>
    <row r="1409" spans="1:26" ht="23.25" hidden="1" thickBot="1" x14ac:dyDescent="0.25">
      <c r="A1409" s="567">
        <v>92026</v>
      </c>
      <c r="B1409" s="644">
        <v>92026</v>
      </c>
      <c r="C1409" s="645" t="s">
        <v>670</v>
      </c>
      <c r="D1409" s="422" t="s">
        <v>1260</v>
      </c>
      <c r="E1409" s="423"/>
      <c r="F1409" s="424"/>
      <c r="G1409" s="425"/>
      <c r="H1409" s="651"/>
      <c r="I1409" s="420">
        <v>63.33</v>
      </c>
      <c r="J1409" s="420">
        <f t="shared" si="348"/>
        <v>63.33</v>
      </c>
      <c r="K1409" s="421">
        <f t="shared" si="347"/>
        <v>75.239999999999995</v>
      </c>
      <c r="L1409" s="647" t="s">
        <v>2065</v>
      </c>
      <c r="M1409" s="576"/>
      <c r="N1409" s="576">
        <f t="shared" si="350"/>
        <v>0</v>
      </c>
      <c r="O1409" s="577">
        <f t="shared" si="355"/>
        <v>0</v>
      </c>
      <c r="P1409" s="578">
        <f t="shared" si="356"/>
        <v>0</v>
      </c>
      <c r="Q1409" s="765"/>
      <c r="R1409" s="576">
        <f t="shared" si="352"/>
        <v>0</v>
      </c>
      <c r="S1409" s="576">
        <f t="shared" si="352"/>
        <v>0</v>
      </c>
      <c r="T1409" s="577">
        <f t="shared" si="353"/>
        <v>0</v>
      </c>
      <c r="U1409" s="578">
        <f t="shared" si="354"/>
        <v>0</v>
      </c>
      <c r="V1409" s="579"/>
      <c r="W1409" s="566"/>
      <c r="X1409" s="586" t="str">
        <f t="shared" si="357"/>
        <v/>
      </c>
      <c r="Y1409" s="586" t="str">
        <f t="shared" si="351"/>
        <v/>
      </c>
      <c r="Z1409" s="586" t="str">
        <f t="shared" si="349"/>
        <v/>
      </c>
    </row>
    <row r="1410" spans="1:26" ht="23.25" hidden="1" thickBot="1" x14ac:dyDescent="0.25">
      <c r="A1410" s="567">
        <v>92027</v>
      </c>
      <c r="B1410" s="644">
        <v>92027</v>
      </c>
      <c r="C1410" s="645" t="s">
        <v>670</v>
      </c>
      <c r="D1410" s="422" t="s">
        <v>1261</v>
      </c>
      <c r="E1410" s="423"/>
      <c r="F1410" s="424"/>
      <c r="G1410" s="425"/>
      <c r="H1410" s="651"/>
      <c r="I1410" s="420">
        <v>73.06</v>
      </c>
      <c r="J1410" s="420">
        <f t="shared" si="348"/>
        <v>73.06</v>
      </c>
      <c r="K1410" s="421">
        <f t="shared" si="347"/>
        <v>86.8</v>
      </c>
      <c r="L1410" s="647" t="s">
        <v>2065</v>
      </c>
      <c r="M1410" s="576"/>
      <c r="N1410" s="576">
        <f t="shared" si="350"/>
        <v>0</v>
      </c>
      <c r="O1410" s="577">
        <f t="shared" si="355"/>
        <v>0</v>
      </c>
      <c r="P1410" s="578">
        <f t="shared" si="356"/>
        <v>0</v>
      </c>
      <c r="Q1410" s="765"/>
      <c r="R1410" s="576">
        <f t="shared" si="352"/>
        <v>0</v>
      </c>
      <c r="S1410" s="576">
        <f t="shared" si="352"/>
        <v>0</v>
      </c>
      <c r="T1410" s="577">
        <f t="shared" si="353"/>
        <v>0</v>
      </c>
      <c r="U1410" s="578">
        <f t="shared" si="354"/>
        <v>0</v>
      </c>
      <c r="V1410" s="579"/>
      <c r="W1410" s="566"/>
      <c r="X1410" s="586" t="str">
        <f t="shared" si="357"/>
        <v/>
      </c>
      <c r="Y1410" s="586" t="str">
        <f t="shared" si="351"/>
        <v/>
      </c>
      <c r="Z1410" s="586" t="str">
        <f t="shared" si="349"/>
        <v/>
      </c>
    </row>
    <row r="1411" spans="1:26" ht="23.25" hidden="1" thickBot="1" x14ac:dyDescent="0.25">
      <c r="A1411" s="567">
        <v>92034</v>
      </c>
      <c r="B1411" s="644">
        <v>92034</v>
      </c>
      <c r="C1411" s="645" t="s">
        <v>670</v>
      </c>
      <c r="D1411" s="422" t="s">
        <v>1262</v>
      </c>
      <c r="E1411" s="423"/>
      <c r="F1411" s="424"/>
      <c r="G1411" s="425"/>
      <c r="H1411" s="651"/>
      <c r="I1411" s="420">
        <v>70.569999999999993</v>
      </c>
      <c r="J1411" s="420">
        <f t="shared" si="348"/>
        <v>70.569999999999993</v>
      </c>
      <c r="K1411" s="421">
        <f t="shared" si="347"/>
        <v>83.84</v>
      </c>
      <c r="L1411" s="647" t="s">
        <v>2065</v>
      </c>
      <c r="M1411" s="576"/>
      <c r="N1411" s="576">
        <f t="shared" si="350"/>
        <v>0</v>
      </c>
      <c r="O1411" s="577">
        <f t="shared" si="355"/>
        <v>0</v>
      </c>
      <c r="P1411" s="578">
        <f t="shared" si="356"/>
        <v>0</v>
      </c>
      <c r="Q1411" s="765"/>
      <c r="R1411" s="576">
        <f t="shared" si="352"/>
        <v>0</v>
      </c>
      <c r="S1411" s="576">
        <f t="shared" si="352"/>
        <v>0</v>
      </c>
      <c r="T1411" s="577">
        <f t="shared" si="353"/>
        <v>0</v>
      </c>
      <c r="U1411" s="578">
        <f t="shared" si="354"/>
        <v>0</v>
      </c>
      <c r="V1411" s="579"/>
      <c r="W1411" s="566"/>
      <c r="X1411" s="586" t="str">
        <f t="shared" si="357"/>
        <v/>
      </c>
      <c r="Y1411" s="586" t="str">
        <f t="shared" si="351"/>
        <v/>
      </c>
      <c r="Z1411" s="586" t="str">
        <f t="shared" si="349"/>
        <v/>
      </c>
    </row>
    <row r="1412" spans="1:26" ht="23.25" hidden="1" thickBot="1" x14ac:dyDescent="0.25">
      <c r="A1412" s="567">
        <v>92035</v>
      </c>
      <c r="B1412" s="644">
        <v>92035</v>
      </c>
      <c r="C1412" s="645" t="s">
        <v>670</v>
      </c>
      <c r="D1412" s="422" t="s">
        <v>1263</v>
      </c>
      <c r="E1412" s="423"/>
      <c r="F1412" s="424"/>
      <c r="G1412" s="425"/>
      <c r="H1412" s="651"/>
      <c r="I1412" s="420">
        <v>80.3</v>
      </c>
      <c r="J1412" s="420">
        <f t="shared" si="348"/>
        <v>80.3</v>
      </c>
      <c r="K1412" s="421">
        <f t="shared" si="347"/>
        <v>95.4</v>
      </c>
      <c r="L1412" s="647" t="s">
        <v>2065</v>
      </c>
      <c r="M1412" s="576"/>
      <c r="N1412" s="576">
        <f t="shared" si="350"/>
        <v>0</v>
      </c>
      <c r="O1412" s="577">
        <f t="shared" si="355"/>
        <v>0</v>
      </c>
      <c r="P1412" s="578">
        <f t="shared" si="356"/>
        <v>0</v>
      </c>
      <c r="Q1412" s="765"/>
      <c r="R1412" s="576">
        <f t="shared" si="352"/>
        <v>0</v>
      </c>
      <c r="S1412" s="576">
        <f t="shared" si="352"/>
        <v>0</v>
      </c>
      <c r="T1412" s="577">
        <f t="shared" si="353"/>
        <v>0</v>
      </c>
      <c r="U1412" s="578">
        <f t="shared" si="354"/>
        <v>0</v>
      </c>
      <c r="V1412" s="579"/>
      <c r="W1412" s="566"/>
      <c r="X1412" s="586" t="str">
        <f t="shared" si="357"/>
        <v/>
      </c>
      <c r="Y1412" s="586" t="str">
        <f t="shared" si="351"/>
        <v/>
      </c>
      <c r="Z1412" s="586" t="str">
        <f t="shared" si="349"/>
        <v/>
      </c>
    </row>
    <row r="1413" spans="1:26" ht="23.25" hidden="1" thickBot="1" x14ac:dyDescent="0.25">
      <c r="A1413" s="567">
        <v>91954</v>
      </c>
      <c r="B1413" s="644">
        <v>91954</v>
      </c>
      <c r="C1413" s="645" t="s">
        <v>670</v>
      </c>
      <c r="D1413" s="422" t="s">
        <v>1264</v>
      </c>
      <c r="E1413" s="423"/>
      <c r="F1413" s="424"/>
      <c r="G1413" s="425"/>
      <c r="H1413" s="651"/>
      <c r="I1413" s="420">
        <v>28.57</v>
      </c>
      <c r="J1413" s="420">
        <f t="shared" si="348"/>
        <v>28.57</v>
      </c>
      <c r="K1413" s="421">
        <f t="shared" si="347"/>
        <v>33.94</v>
      </c>
      <c r="L1413" s="647" t="s">
        <v>2065</v>
      </c>
      <c r="M1413" s="576"/>
      <c r="N1413" s="576">
        <f t="shared" si="350"/>
        <v>0</v>
      </c>
      <c r="O1413" s="577">
        <f t="shared" si="355"/>
        <v>0</v>
      </c>
      <c r="P1413" s="578">
        <f t="shared" si="356"/>
        <v>0</v>
      </c>
      <c r="Q1413" s="765"/>
      <c r="R1413" s="576">
        <f t="shared" si="352"/>
        <v>0</v>
      </c>
      <c r="S1413" s="576">
        <f t="shared" si="352"/>
        <v>0</v>
      </c>
      <c r="T1413" s="577">
        <f t="shared" si="353"/>
        <v>0</v>
      </c>
      <c r="U1413" s="578">
        <f t="shared" si="354"/>
        <v>0</v>
      </c>
      <c r="V1413" s="579"/>
      <c r="W1413" s="566"/>
      <c r="X1413" s="586" t="str">
        <f t="shared" si="357"/>
        <v/>
      </c>
      <c r="Y1413" s="586" t="str">
        <f t="shared" si="351"/>
        <v/>
      </c>
      <c r="Z1413" s="586" t="str">
        <f t="shared" si="349"/>
        <v/>
      </c>
    </row>
    <row r="1414" spans="1:26" ht="23.25" hidden="1" thickBot="1" x14ac:dyDescent="0.25">
      <c r="A1414" s="567">
        <v>91955</v>
      </c>
      <c r="B1414" s="644">
        <v>91955</v>
      </c>
      <c r="C1414" s="645" t="s">
        <v>670</v>
      </c>
      <c r="D1414" s="422" t="s">
        <v>1265</v>
      </c>
      <c r="E1414" s="423"/>
      <c r="F1414" s="424"/>
      <c r="G1414" s="425"/>
      <c r="H1414" s="651"/>
      <c r="I1414" s="420">
        <v>38.299999999999997</v>
      </c>
      <c r="J1414" s="420">
        <f t="shared" si="348"/>
        <v>38.299999999999997</v>
      </c>
      <c r="K1414" s="421">
        <f t="shared" si="347"/>
        <v>45.5</v>
      </c>
      <c r="L1414" s="647" t="s">
        <v>2065</v>
      </c>
      <c r="M1414" s="576"/>
      <c r="N1414" s="576">
        <f t="shared" si="350"/>
        <v>0</v>
      </c>
      <c r="O1414" s="577">
        <f t="shared" si="355"/>
        <v>0</v>
      </c>
      <c r="P1414" s="578">
        <f t="shared" si="356"/>
        <v>0</v>
      </c>
      <c r="Q1414" s="765"/>
      <c r="R1414" s="576">
        <f t="shared" si="352"/>
        <v>0</v>
      </c>
      <c r="S1414" s="576">
        <f t="shared" si="352"/>
        <v>0</v>
      </c>
      <c r="T1414" s="577">
        <f t="shared" si="353"/>
        <v>0</v>
      </c>
      <c r="U1414" s="578">
        <f t="shared" si="354"/>
        <v>0</v>
      </c>
      <c r="V1414" s="579"/>
      <c r="W1414" s="566"/>
      <c r="X1414" s="586" t="str">
        <f t="shared" si="357"/>
        <v/>
      </c>
      <c r="Y1414" s="586" t="str">
        <f t="shared" si="351"/>
        <v/>
      </c>
      <c r="Z1414" s="586" t="str">
        <f t="shared" si="349"/>
        <v/>
      </c>
    </row>
    <row r="1415" spans="1:26" ht="23.25" hidden="1" thickBot="1" x14ac:dyDescent="0.25">
      <c r="A1415" s="567">
        <v>91960</v>
      </c>
      <c r="B1415" s="644">
        <v>91960</v>
      </c>
      <c r="C1415" s="645" t="s">
        <v>670</v>
      </c>
      <c r="D1415" s="422" t="s">
        <v>1266</v>
      </c>
      <c r="E1415" s="423"/>
      <c r="F1415" s="424"/>
      <c r="G1415" s="425"/>
      <c r="H1415" s="651"/>
      <c r="I1415" s="420">
        <v>53.95</v>
      </c>
      <c r="J1415" s="420">
        <f t="shared" si="348"/>
        <v>53.95</v>
      </c>
      <c r="K1415" s="421">
        <f t="shared" si="347"/>
        <v>64.099999999999994</v>
      </c>
      <c r="L1415" s="647" t="s">
        <v>2065</v>
      </c>
      <c r="M1415" s="576"/>
      <c r="N1415" s="576">
        <f t="shared" si="350"/>
        <v>0</v>
      </c>
      <c r="O1415" s="577">
        <f t="shared" si="355"/>
        <v>0</v>
      </c>
      <c r="P1415" s="578">
        <f t="shared" si="356"/>
        <v>0</v>
      </c>
      <c r="Q1415" s="765"/>
      <c r="R1415" s="576">
        <f t="shared" si="352"/>
        <v>0</v>
      </c>
      <c r="S1415" s="576">
        <f t="shared" si="352"/>
        <v>0</v>
      </c>
      <c r="T1415" s="577">
        <f t="shared" si="353"/>
        <v>0</v>
      </c>
      <c r="U1415" s="578">
        <f t="shared" si="354"/>
        <v>0</v>
      </c>
      <c r="V1415" s="579"/>
      <c r="W1415" s="566"/>
      <c r="X1415" s="586" t="str">
        <f t="shared" si="357"/>
        <v/>
      </c>
      <c r="Y1415" s="586" t="str">
        <f t="shared" si="351"/>
        <v/>
      </c>
      <c r="Z1415" s="586" t="str">
        <f t="shared" si="349"/>
        <v/>
      </c>
    </row>
    <row r="1416" spans="1:26" ht="23.25" hidden="1" thickBot="1" x14ac:dyDescent="0.25">
      <c r="A1416" s="567">
        <v>91961</v>
      </c>
      <c r="B1416" s="644">
        <v>91961</v>
      </c>
      <c r="C1416" s="645" t="s">
        <v>670</v>
      </c>
      <c r="D1416" s="422" t="s">
        <v>1267</v>
      </c>
      <c r="E1416" s="423"/>
      <c r="F1416" s="424"/>
      <c r="G1416" s="425"/>
      <c r="H1416" s="651"/>
      <c r="I1416" s="420">
        <v>63.68</v>
      </c>
      <c r="J1416" s="420">
        <f t="shared" si="348"/>
        <v>63.68</v>
      </c>
      <c r="K1416" s="421">
        <f t="shared" si="347"/>
        <v>75.66</v>
      </c>
      <c r="L1416" s="647" t="s">
        <v>2065</v>
      </c>
      <c r="M1416" s="576"/>
      <c r="N1416" s="576">
        <f t="shared" si="350"/>
        <v>0</v>
      </c>
      <c r="O1416" s="577">
        <f t="shared" si="355"/>
        <v>0</v>
      </c>
      <c r="P1416" s="578">
        <f t="shared" si="356"/>
        <v>0</v>
      </c>
      <c r="Q1416" s="765"/>
      <c r="R1416" s="576">
        <f t="shared" si="352"/>
        <v>0</v>
      </c>
      <c r="S1416" s="576">
        <f t="shared" si="352"/>
        <v>0</v>
      </c>
      <c r="T1416" s="577">
        <f t="shared" si="353"/>
        <v>0</v>
      </c>
      <c r="U1416" s="578">
        <f t="shared" si="354"/>
        <v>0</v>
      </c>
      <c r="V1416" s="579"/>
      <c r="W1416" s="566"/>
      <c r="X1416" s="586" t="str">
        <f t="shared" si="357"/>
        <v/>
      </c>
      <c r="Y1416" s="586" t="str">
        <f t="shared" si="351"/>
        <v/>
      </c>
      <c r="Z1416" s="586" t="str">
        <f t="shared" si="349"/>
        <v/>
      </c>
    </row>
    <row r="1417" spans="1:26" ht="23.25" hidden="1" thickBot="1" x14ac:dyDescent="0.25">
      <c r="A1417" s="567">
        <v>91968</v>
      </c>
      <c r="B1417" s="644">
        <v>91968</v>
      </c>
      <c r="C1417" s="645" t="s">
        <v>670</v>
      </c>
      <c r="D1417" s="422" t="s">
        <v>1268</v>
      </c>
      <c r="E1417" s="423"/>
      <c r="F1417" s="424"/>
      <c r="G1417" s="425"/>
      <c r="H1417" s="651"/>
      <c r="I1417" s="420">
        <v>79.349999999999994</v>
      </c>
      <c r="J1417" s="420">
        <f t="shared" si="348"/>
        <v>79.349999999999994</v>
      </c>
      <c r="K1417" s="421">
        <f t="shared" ref="K1417:K1480" si="358">IF(ISBLANK(I1417),0,ROUND(J1417*(1+$F$10)*(1+$F$11*E1417),2))</f>
        <v>94.28</v>
      </c>
      <c r="L1417" s="647" t="s">
        <v>2065</v>
      </c>
      <c r="M1417" s="576"/>
      <c r="N1417" s="576">
        <f t="shared" si="350"/>
        <v>0</v>
      </c>
      <c r="O1417" s="577">
        <f t="shared" si="355"/>
        <v>0</v>
      </c>
      <c r="P1417" s="578">
        <f t="shared" si="356"/>
        <v>0</v>
      </c>
      <c r="Q1417" s="765"/>
      <c r="R1417" s="576">
        <f t="shared" si="352"/>
        <v>0</v>
      </c>
      <c r="S1417" s="576">
        <f t="shared" si="352"/>
        <v>0</v>
      </c>
      <c r="T1417" s="577">
        <f t="shared" si="353"/>
        <v>0</v>
      </c>
      <c r="U1417" s="578">
        <f t="shared" si="354"/>
        <v>0</v>
      </c>
      <c r="V1417" s="579"/>
      <c r="W1417" s="566"/>
      <c r="X1417" s="586" t="str">
        <f t="shared" si="357"/>
        <v/>
      </c>
      <c r="Y1417" s="586" t="str">
        <f t="shared" si="351"/>
        <v/>
      </c>
      <c r="Z1417" s="586" t="str">
        <f t="shared" si="349"/>
        <v/>
      </c>
    </row>
    <row r="1418" spans="1:26" ht="23.25" hidden="1" thickBot="1" x14ac:dyDescent="0.25">
      <c r="A1418" s="567">
        <v>91969</v>
      </c>
      <c r="B1418" s="644">
        <v>91969</v>
      </c>
      <c r="C1418" s="645" t="s">
        <v>670</v>
      </c>
      <c r="D1418" s="422" t="s">
        <v>1269</v>
      </c>
      <c r="E1418" s="423"/>
      <c r="F1418" s="424"/>
      <c r="G1418" s="425"/>
      <c r="H1418" s="651"/>
      <c r="I1418" s="420">
        <v>89.08</v>
      </c>
      <c r="J1418" s="420">
        <f t="shared" si="348"/>
        <v>89.08</v>
      </c>
      <c r="K1418" s="421">
        <f t="shared" si="358"/>
        <v>105.84</v>
      </c>
      <c r="L1418" s="647" t="s">
        <v>2065</v>
      </c>
      <c r="M1418" s="576"/>
      <c r="N1418" s="576">
        <f t="shared" si="350"/>
        <v>0</v>
      </c>
      <c r="O1418" s="577">
        <f t="shared" si="355"/>
        <v>0</v>
      </c>
      <c r="P1418" s="578">
        <f t="shared" si="356"/>
        <v>0</v>
      </c>
      <c r="Q1418" s="765"/>
      <c r="R1418" s="576">
        <f t="shared" si="352"/>
        <v>0</v>
      </c>
      <c r="S1418" s="576">
        <f t="shared" si="352"/>
        <v>0</v>
      </c>
      <c r="T1418" s="577">
        <f t="shared" si="353"/>
        <v>0</v>
      </c>
      <c r="U1418" s="578">
        <f t="shared" si="354"/>
        <v>0</v>
      </c>
      <c r="V1418" s="579"/>
      <c r="W1418" s="566"/>
      <c r="X1418" s="586" t="str">
        <f t="shared" si="357"/>
        <v/>
      </c>
      <c r="Y1418" s="586" t="str">
        <f t="shared" si="351"/>
        <v/>
      </c>
      <c r="Z1418" s="586" t="str">
        <f t="shared" si="349"/>
        <v/>
      </c>
    </row>
    <row r="1419" spans="1:26" ht="23.25" hidden="1" thickBot="1" x14ac:dyDescent="0.25">
      <c r="A1419" s="567">
        <v>92028</v>
      </c>
      <c r="B1419" s="644">
        <v>92028</v>
      </c>
      <c r="C1419" s="645" t="s">
        <v>670</v>
      </c>
      <c r="D1419" s="422" t="s">
        <v>1270</v>
      </c>
      <c r="E1419" s="423"/>
      <c r="F1419" s="424"/>
      <c r="G1419" s="425"/>
      <c r="H1419" s="651"/>
      <c r="I1419" s="420">
        <v>52.37</v>
      </c>
      <c r="J1419" s="420">
        <f t="shared" si="348"/>
        <v>52.37</v>
      </c>
      <c r="K1419" s="421">
        <f t="shared" si="358"/>
        <v>62.22</v>
      </c>
      <c r="L1419" s="647" t="s">
        <v>2065</v>
      </c>
      <c r="M1419" s="576"/>
      <c r="N1419" s="576">
        <f t="shared" si="350"/>
        <v>0</v>
      </c>
      <c r="O1419" s="577">
        <f t="shared" si="355"/>
        <v>0</v>
      </c>
      <c r="P1419" s="578">
        <f t="shared" si="356"/>
        <v>0</v>
      </c>
      <c r="Q1419" s="765"/>
      <c r="R1419" s="576">
        <f t="shared" si="352"/>
        <v>0</v>
      </c>
      <c r="S1419" s="576">
        <f t="shared" si="352"/>
        <v>0</v>
      </c>
      <c r="T1419" s="577">
        <f t="shared" si="353"/>
        <v>0</v>
      </c>
      <c r="U1419" s="578">
        <f t="shared" si="354"/>
        <v>0</v>
      </c>
      <c r="V1419" s="579"/>
      <c r="W1419" s="566"/>
      <c r="X1419" s="586" t="str">
        <f t="shared" si="357"/>
        <v/>
      </c>
      <c r="Y1419" s="586" t="str">
        <f t="shared" si="351"/>
        <v/>
      </c>
      <c r="Z1419" s="586" t="str">
        <f t="shared" si="349"/>
        <v/>
      </c>
    </row>
    <row r="1420" spans="1:26" ht="23.25" hidden="1" thickBot="1" x14ac:dyDescent="0.25">
      <c r="A1420" s="567">
        <v>92029</v>
      </c>
      <c r="B1420" s="644">
        <v>92029</v>
      </c>
      <c r="C1420" s="645" t="s">
        <v>670</v>
      </c>
      <c r="D1420" s="422" t="s">
        <v>1271</v>
      </c>
      <c r="E1420" s="423"/>
      <c r="F1420" s="424"/>
      <c r="G1420" s="425"/>
      <c r="H1420" s="651"/>
      <c r="I1420" s="420">
        <v>62.1</v>
      </c>
      <c r="J1420" s="420">
        <f t="shared" si="348"/>
        <v>62.1</v>
      </c>
      <c r="K1420" s="421">
        <f t="shared" si="358"/>
        <v>73.78</v>
      </c>
      <c r="L1420" s="647" t="s">
        <v>2065</v>
      </c>
      <c r="M1420" s="576"/>
      <c r="N1420" s="576">
        <f t="shared" si="350"/>
        <v>0</v>
      </c>
      <c r="O1420" s="577">
        <f t="shared" si="355"/>
        <v>0</v>
      </c>
      <c r="P1420" s="578">
        <f t="shared" si="356"/>
        <v>0</v>
      </c>
      <c r="Q1420" s="765"/>
      <c r="R1420" s="576">
        <f t="shared" si="352"/>
        <v>0</v>
      </c>
      <c r="S1420" s="576">
        <f t="shared" si="352"/>
        <v>0</v>
      </c>
      <c r="T1420" s="577">
        <f t="shared" si="353"/>
        <v>0</v>
      </c>
      <c r="U1420" s="578">
        <f t="shared" si="354"/>
        <v>0</v>
      </c>
      <c r="V1420" s="579"/>
      <c r="W1420" s="566"/>
      <c r="X1420" s="586" t="str">
        <f t="shared" si="357"/>
        <v/>
      </c>
      <c r="Y1420" s="586" t="str">
        <f t="shared" si="351"/>
        <v/>
      </c>
      <c r="Z1420" s="586" t="str">
        <f t="shared" si="349"/>
        <v/>
      </c>
    </row>
    <row r="1421" spans="1:26" ht="23.25" hidden="1" thickBot="1" x14ac:dyDescent="0.25">
      <c r="A1421" s="567">
        <v>92030</v>
      </c>
      <c r="B1421" s="644">
        <v>92030</v>
      </c>
      <c r="C1421" s="645" t="s">
        <v>670</v>
      </c>
      <c r="D1421" s="422" t="s">
        <v>1272</v>
      </c>
      <c r="E1421" s="423"/>
      <c r="F1421" s="424"/>
      <c r="G1421" s="425"/>
      <c r="H1421" s="651"/>
      <c r="I1421" s="420">
        <v>76.19</v>
      </c>
      <c r="J1421" s="420">
        <f t="shared" si="348"/>
        <v>76.19</v>
      </c>
      <c r="K1421" s="421">
        <f t="shared" si="358"/>
        <v>90.52</v>
      </c>
      <c r="L1421" s="647" t="s">
        <v>2065</v>
      </c>
      <c r="M1421" s="576"/>
      <c r="N1421" s="576">
        <f t="shared" si="350"/>
        <v>0</v>
      </c>
      <c r="O1421" s="577">
        <f t="shared" si="355"/>
        <v>0</v>
      </c>
      <c r="P1421" s="578">
        <f t="shared" si="356"/>
        <v>0</v>
      </c>
      <c r="Q1421" s="765"/>
      <c r="R1421" s="576">
        <f t="shared" si="352"/>
        <v>0</v>
      </c>
      <c r="S1421" s="576">
        <f t="shared" si="352"/>
        <v>0</v>
      </c>
      <c r="T1421" s="577">
        <f t="shared" si="353"/>
        <v>0</v>
      </c>
      <c r="U1421" s="578">
        <f t="shared" si="354"/>
        <v>0</v>
      </c>
      <c r="V1421" s="579"/>
      <c r="W1421" s="566"/>
      <c r="X1421" s="586" t="str">
        <f t="shared" si="357"/>
        <v/>
      </c>
      <c r="Y1421" s="586" t="str">
        <f t="shared" si="351"/>
        <v/>
      </c>
      <c r="Z1421" s="586" t="str">
        <f t="shared" si="349"/>
        <v/>
      </c>
    </row>
    <row r="1422" spans="1:26" ht="23.25" hidden="1" thickBot="1" x14ac:dyDescent="0.25">
      <c r="A1422" s="567">
        <v>92031</v>
      </c>
      <c r="B1422" s="644">
        <v>92031</v>
      </c>
      <c r="C1422" s="645" t="s">
        <v>670</v>
      </c>
      <c r="D1422" s="422" t="s">
        <v>1273</v>
      </c>
      <c r="E1422" s="423"/>
      <c r="F1422" s="424"/>
      <c r="G1422" s="425"/>
      <c r="H1422" s="651"/>
      <c r="I1422" s="420">
        <v>85.92</v>
      </c>
      <c r="J1422" s="420">
        <f t="shared" si="348"/>
        <v>85.92</v>
      </c>
      <c r="K1422" s="421">
        <f t="shared" si="358"/>
        <v>102.08</v>
      </c>
      <c r="L1422" s="647" t="s">
        <v>2065</v>
      </c>
      <c r="M1422" s="576"/>
      <c r="N1422" s="576">
        <f t="shared" si="350"/>
        <v>0</v>
      </c>
      <c r="O1422" s="577">
        <f t="shared" si="355"/>
        <v>0</v>
      </c>
      <c r="P1422" s="578">
        <f t="shared" si="356"/>
        <v>0</v>
      </c>
      <c r="Q1422" s="765"/>
      <c r="R1422" s="576">
        <f t="shared" si="352"/>
        <v>0</v>
      </c>
      <c r="S1422" s="576">
        <f t="shared" si="352"/>
        <v>0</v>
      </c>
      <c r="T1422" s="577">
        <f t="shared" si="353"/>
        <v>0</v>
      </c>
      <c r="U1422" s="578">
        <f t="shared" si="354"/>
        <v>0</v>
      </c>
      <c r="V1422" s="579"/>
      <c r="W1422" s="566"/>
      <c r="X1422" s="586" t="str">
        <f t="shared" si="357"/>
        <v/>
      </c>
      <c r="Y1422" s="586" t="str">
        <f t="shared" si="351"/>
        <v/>
      </c>
      <c r="Z1422" s="586" t="str">
        <f t="shared" si="349"/>
        <v/>
      </c>
    </row>
    <row r="1423" spans="1:26" ht="23.25" hidden="1" thickBot="1" x14ac:dyDescent="0.25">
      <c r="A1423" s="567">
        <v>92032</v>
      </c>
      <c r="B1423" s="644">
        <v>92032</v>
      </c>
      <c r="C1423" s="645" t="s">
        <v>670</v>
      </c>
      <c r="D1423" s="422" t="s">
        <v>1274</v>
      </c>
      <c r="E1423" s="423"/>
      <c r="F1423" s="424"/>
      <c r="G1423" s="425"/>
      <c r="H1423" s="651"/>
      <c r="I1423" s="420">
        <v>77.77</v>
      </c>
      <c r="J1423" s="420">
        <f t="shared" si="348"/>
        <v>77.77</v>
      </c>
      <c r="K1423" s="421">
        <f t="shared" si="358"/>
        <v>92.4</v>
      </c>
      <c r="L1423" s="647" t="s">
        <v>2065</v>
      </c>
      <c r="M1423" s="576"/>
      <c r="N1423" s="576">
        <f t="shared" si="350"/>
        <v>0</v>
      </c>
      <c r="O1423" s="577">
        <f t="shared" si="355"/>
        <v>0</v>
      </c>
      <c r="P1423" s="578">
        <f t="shared" si="356"/>
        <v>0</v>
      </c>
      <c r="Q1423" s="765"/>
      <c r="R1423" s="576">
        <f t="shared" si="352"/>
        <v>0</v>
      </c>
      <c r="S1423" s="576">
        <f t="shared" si="352"/>
        <v>0</v>
      </c>
      <c r="T1423" s="577">
        <f t="shared" si="353"/>
        <v>0</v>
      </c>
      <c r="U1423" s="578">
        <f t="shared" si="354"/>
        <v>0</v>
      </c>
      <c r="V1423" s="579"/>
      <c r="W1423" s="566"/>
      <c r="X1423" s="586" t="str">
        <f t="shared" si="357"/>
        <v/>
      </c>
      <c r="Y1423" s="586" t="str">
        <f t="shared" si="351"/>
        <v/>
      </c>
      <c r="Z1423" s="586" t="str">
        <f t="shared" si="349"/>
        <v/>
      </c>
    </row>
    <row r="1424" spans="1:26" ht="23.25" hidden="1" thickBot="1" x14ac:dyDescent="0.25">
      <c r="A1424" s="567">
        <v>92033</v>
      </c>
      <c r="B1424" s="644">
        <v>92033</v>
      </c>
      <c r="C1424" s="645" t="s">
        <v>670</v>
      </c>
      <c r="D1424" s="422" t="s">
        <v>1275</v>
      </c>
      <c r="E1424" s="423"/>
      <c r="F1424" s="424"/>
      <c r="G1424" s="425"/>
      <c r="H1424" s="651"/>
      <c r="I1424" s="420">
        <v>87.5</v>
      </c>
      <c r="J1424" s="420">
        <f t="shared" si="348"/>
        <v>87.5</v>
      </c>
      <c r="K1424" s="421">
        <f t="shared" si="358"/>
        <v>103.96</v>
      </c>
      <c r="L1424" s="647" t="s">
        <v>2065</v>
      </c>
      <c r="M1424" s="576"/>
      <c r="N1424" s="576">
        <f t="shared" si="350"/>
        <v>0</v>
      </c>
      <c r="O1424" s="577">
        <f t="shared" si="355"/>
        <v>0</v>
      </c>
      <c r="P1424" s="578">
        <f t="shared" si="356"/>
        <v>0</v>
      </c>
      <c r="Q1424" s="765"/>
      <c r="R1424" s="576">
        <f t="shared" si="352"/>
        <v>0</v>
      </c>
      <c r="S1424" s="576">
        <f t="shared" si="352"/>
        <v>0</v>
      </c>
      <c r="T1424" s="577">
        <f t="shared" si="353"/>
        <v>0</v>
      </c>
      <c r="U1424" s="578">
        <f t="shared" si="354"/>
        <v>0</v>
      </c>
      <c r="V1424" s="579"/>
      <c r="W1424" s="566"/>
      <c r="X1424" s="586" t="str">
        <f t="shared" si="357"/>
        <v/>
      </c>
      <c r="Y1424" s="586" t="str">
        <f t="shared" si="351"/>
        <v/>
      </c>
      <c r="Z1424" s="586" t="str">
        <f t="shared" si="349"/>
        <v/>
      </c>
    </row>
    <row r="1425" spans="1:26" ht="23.25" hidden="1" thickBot="1" x14ac:dyDescent="0.25">
      <c r="A1425" s="567">
        <v>91978</v>
      </c>
      <c r="B1425" s="644">
        <v>91978</v>
      </c>
      <c r="C1425" s="645" t="s">
        <v>670</v>
      </c>
      <c r="D1425" s="422" t="s">
        <v>1276</v>
      </c>
      <c r="E1425" s="423"/>
      <c r="F1425" s="424"/>
      <c r="G1425" s="425"/>
      <c r="H1425" s="651"/>
      <c r="I1425" s="420">
        <v>46.88</v>
      </c>
      <c r="J1425" s="420">
        <f t="shared" si="348"/>
        <v>46.88</v>
      </c>
      <c r="K1425" s="421">
        <f t="shared" si="358"/>
        <v>55.7</v>
      </c>
      <c r="L1425" s="647" t="s">
        <v>2065</v>
      </c>
      <c r="M1425" s="576"/>
      <c r="N1425" s="576">
        <f t="shared" si="350"/>
        <v>0</v>
      </c>
      <c r="O1425" s="577">
        <f t="shared" si="355"/>
        <v>0</v>
      </c>
      <c r="P1425" s="578">
        <f t="shared" si="356"/>
        <v>0</v>
      </c>
      <c r="Q1425" s="765"/>
      <c r="R1425" s="576">
        <f t="shared" si="352"/>
        <v>0</v>
      </c>
      <c r="S1425" s="576">
        <f t="shared" si="352"/>
        <v>0</v>
      </c>
      <c r="T1425" s="577">
        <f t="shared" si="353"/>
        <v>0</v>
      </c>
      <c r="U1425" s="578">
        <f t="shared" si="354"/>
        <v>0</v>
      </c>
      <c r="V1425" s="579"/>
      <c r="W1425" s="566"/>
      <c r="X1425" s="586" t="str">
        <f t="shared" si="357"/>
        <v/>
      </c>
      <c r="Y1425" s="586" t="str">
        <f t="shared" si="351"/>
        <v/>
      </c>
      <c r="Z1425" s="586" t="str">
        <f t="shared" si="349"/>
        <v/>
      </c>
    </row>
    <row r="1426" spans="1:26" ht="23.25" hidden="1" thickBot="1" x14ac:dyDescent="0.25">
      <c r="A1426" s="567">
        <v>91979</v>
      </c>
      <c r="B1426" s="644">
        <v>91979</v>
      </c>
      <c r="C1426" s="645" t="s">
        <v>670</v>
      </c>
      <c r="D1426" s="422" t="s">
        <v>1277</v>
      </c>
      <c r="E1426" s="423"/>
      <c r="F1426" s="424"/>
      <c r="G1426" s="425"/>
      <c r="H1426" s="651"/>
      <c r="I1426" s="420">
        <v>56.61</v>
      </c>
      <c r="J1426" s="420">
        <f t="shared" si="348"/>
        <v>56.61</v>
      </c>
      <c r="K1426" s="421">
        <f t="shared" si="358"/>
        <v>67.260000000000005</v>
      </c>
      <c r="L1426" s="647" t="s">
        <v>2065</v>
      </c>
      <c r="M1426" s="576"/>
      <c r="N1426" s="576">
        <f t="shared" si="350"/>
        <v>0</v>
      </c>
      <c r="O1426" s="577">
        <f t="shared" si="355"/>
        <v>0</v>
      </c>
      <c r="P1426" s="578">
        <f t="shared" si="356"/>
        <v>0</v>
      </c>
      <c r="Q1426" s="765"/>
      <c r="R1426" s="576">
        <f t="shared" si="352"/>
        <v>0</v>
      </c>
      <c r="S1426" s="576">
        <f t="shared" si="352"/>
        <v>0</v>
      </c>
      <c r="T1426" s="577">
        <f t="shared" si="353"/>
        <v>0</v>
      </c>
      <c r="U1426" s="578">
        <f t="shared" si="354"/>
        <v>0</v>
      </c>
      <c r="V1426" s="579"/>
      <c r="W1426" s="566"/>
      <c r="X1426" s="586" t="str">
        <f t="shared" si="357"/>
        <v/>
      </c>
      <c r="Y1426" s="586" t="str">
        <f t="shared" si="351"/>
        <v/>
      </c>
      <c r="Z1426" s="586" t="str">
        <f t="shared" si="349"/>
        <v/>
      </c>
    </row>
    <row r="1427" spans="1:26" ht="23.25" hidden="1" thickBot="1" x14ac:dyDescent="0.25">
      <c r="A1427" s="567">
        <v>91980</v>
      </c>
      <c r="B1427" s="644">
        <v>91980</v>
      </c>
      <c r="C1427" s="645" t="s">
        <v>670</v>
      </c>
      <c r="D1427" s="422" t="s">
        <v>1278</v>
      </c>
      <c r="E1427" s="423"/>
      <c r="F1427" s="424"/>
      <c r="G1427" s="425"/>
      <c r="H1427" s="651"/>
      <c r="I1427" s="420">
        <v>45.2</v>
      </c>
      <c r="J1427" s="420">
        <f t="shared" ref="J1427:J1490" si="359">IF(ISBLANK(I1427),"",SUM(H1427:I1427))</f>
        <v>45.2</v>
      </c>
      <c r="K1427" s="421">
        <f t="shared" si="358"/>
        <v>53.7</v>
      </c>
      <c r="L1427" s="647" t="s">
        <v>2065</v>
      </c>
      <c r="M1427" s="576"/>
      <c r="N1427" s="576">
        <f t="shared" si="350"/>
        <v>0</v>
      </c>
      <c r="O1427" s="577">
        <f t="shared" si="355"/>
        <v>0</v>
      </c>
      <c r="P1427" s="578">
        <f t="shared" si="356"/>
        <v>0</v>
      </c>
      <c r="Q1427" s="765"/>
      <c r="R1427" s="576">
        <f t="shared" si="352"/>
        <v>0</v>
      </c>
      <c r="S1427" s="576">
        <f t="shared" si="352"/>
        <v>0</v>
      </c>
      <c r="T1427" s="577">
        <f t="shared" si="353"/>
        <v>0</v>
      </c>
      <c r="U1427" s="578">
        <f t="shared" si="354"/>
        <v>0</v>
      </c>
      <c r="V1427" s="579"/>
      <c r="W1427" s="566"/>
      <c r="X1427" s="586" t="str">
        <f t="shared" si="357"/>
        <v/>
      </c>
      <c r="Y1427" s="586" t="str">
        <f t="shared" si="351"/>
        <v/>
      </c>
      <c r="Z1427" s="586" t="str">
        <f t="shared" ref="Z1427:Z1490" si="360">IF(W1427="X","x",IF(U1427&gt;0,"x",""))</f>
        <v/>
      </c>
    </row>
    <row r="1428" spans="1:26" ht="23.25" hidden="1" thickBot="1" x14ac:dyDescent="0.25">
      <c r="A1428" s="567">
        <v>91981</v>
      </c>
      <c r="B1428" s="644">
        <v>91981</v>
      </c>
      <c r="C1428" s="645" t="s">
        <v>670</v>
      </c>
      <c r="D1428" s="422" t="s">
        <v>1279</v>
      </c>
      <c r="E1428" s="423"/>
      <c r="F1428" s="424"/>
      <c r="G1428" s="425"/>
      <c r="H1428" s="651"/>
      <c r="I1428" s="420">
        <v>54.93</v>
      </c>
      <c r="J1428" s="420">
        <f t="shared" si="359"/>
        <v>54.93</v>
      </c>
      <c r="K1428" s="421">
        <f t="shared" si="358"/>
        <v>65.260000000000005</v>
      </c>
      <c r="L1428" s="647" t="s">
        <v>2065</v>
      </c>
      <c r="M1428" s="576"/>
      <c r="N1428" s="576">
        <f t="shared" ref="N1428:N1491" si="361">IF(M1428=0,0,K1428)</f>
        <v>0</v>
      </c>
      <c r="O1428" s="577">
        <f t="shared" si="355"/>
        <v>0</v>
      </c>
      <c r="P1428" s="578">
        <f t="shared" si="356"/>
        <v>0</v>
      </c>
      <c r="Q1428" s="765"/>
      <c r="R1428" s="576">
        <f t="shared" si="352"/>
        <v>0</v>
      </c>
      <c r="S1428" s="576">
        <f t="shared" si="352"/>
        <v>0</v>
      </c>
      <c r="T1428" s="577">
        <f t="shared" si="353"/>
        <v>0</v>
      </c>
      <c r="U1428" s="578">
        <f t="shared" si="354"/>
        <v>0</v>
      </c>
      <c r="V1428" s="579"/>
      <c r="W1428" s="566"/>
      <c r="X1428" s="586" t="str">
        <f t="shared" si="357"/>
        <v/>
      </c>
      <c r="Y1428" s="586" t="str">
        <f t="shared" si="351"/>
        <v/>
      </c>
      <c r="Z1428" s="586" t="str">
        <f t="shared" si="360"/>
        <v/>
      </c>
    </row>
    <row r="1429" spans="1:26" ht="23.25" hidden="1" thickBot="1" x14ac:dyDescent="0.25">
      <c r="A1429" s="567">
        <v>91978</v>
      </c>
      <c r="B1429" s="644">
        <v>91978</v>
      </c>
      <c r="C1429" s="645" t="s">
        <v>670</v>
      </c>
      <c r="D1429" s="422" t="s">
        <v>1276</v>
      </c>
      <c r="E1429" s="423"/>
      <c r="F1429" s="424"/>
      <c r="G1429" s="425"/>
      <c r="H1429" s="651"/>
      <c r="I1429" s="420">
        <v>46.88</v>
      </c>
      <c r="J1429" s="420">
        <f t="shared" si="359"/>
        <v>46.88</v>
      </c>
      <c r="K1429" s="421">
        <f t="shared" si="358"/>
        <v>55.7</v>
      </c>
      <c r="L1429" s="647" t="s">
        <v>2065</v>
      </c>
      <c r="M1429" s="576"/>
      <c r="N1429" s="576">
        <f t="shared" si="361"/>
        <v>0</v>
      </c>
      <c r="O1429" s="577">
        <f t="shared" si="355"/>
        <v>0</v>
      </c>
      <c r="P1429" s="578">
        <f t="shared" si="356"/>
        <v>0</v>
      </c>
      <c r="Q1429" s="765"/>
      <c r="R1429" s="576">
        <f t="shared" si="352"/>
        <v>0</v>
      </c>
      <c r="S1429" s="576">
        <f t="shared" si="352"/>
        <v>0</v>
      </c>
      <c r="T1429" s="577">
        <f t="shared" si="353"/>
        <v>0</v>
      </c>
      <c r="U1429" s="578">
        <f t="shared" si="354"/>
        <v>0</v>
      </c>
      <c r="V1429" s="579"/>
      <c r="W1429" s="566"/>
      <c r="X1429" s="586" t="str">
        <f t="shared" si="357"/>
        <v/>
      </c>
      <c r="Y1429" s="586" t="str">
        <f t="shared" si="351"/>
        <v/>
      </c>
      <c r="Z1429" s="586" t="str">
        <f t="shared" si="360"/>
        <v/>
      </c>
    </row>
    <row r="1430" spans="1:26" ht="23.25" hidden="1" thickBot="1" x14ac:dyDescent="0.25">
      <c r="A1430" s="567">
        <v>91979</v>
      </c>
      <c r="B1430" s="644">
        <v>91979</v>
      </c>
      <c r="C1430" s="645" t="s">
        <v>670</v>
      </c>
      <c r="D1430" s="422" t="s">
        <v>1277</v>
      </c>
      <c r="E1430" s="423"/>
      <c r="F1430" s="424"/>
      <c r="G1430" s="425"/>
      <c r="H1430" s="651"/>
      <c r="I1430" s="420">
        <v>56.61</v>
      </c>
      <c r="J1430" s="420">
        <f t="shared" si="359"/>
        <v>56.61</v>
      </c>
      <c r="K1430" s="421">
        <f t="shared" si="358"/>
        <v>67.260000000000005</v>
      </c>
      <c r="L1430" s="647" t="s">
        <v>2065</v>
      </c>
      <c r="M1430" s="576"/>
      <c r="N1430" s="576">
        <f t="shared" si="361"/>
        <v>0</v>
      </c>
      <c r="O1430" s="577">
        <f t="shared" si="355"/>
        <v>0</v>
      </c>
      <c r="P1430" s="578">
        <f t="shared" si="356"/>
        <v>0</v>
      </c>
      <c r="Q1430" s="765"/>
      <c r="R1430" s="576">
        <f t="shared" si="352"/>
        <v>0</v>
      </c>
      <c r="S1430" s="576">
        <f t="shared" si="352"/>
        <v>0</v>
      </c>
      <c r="T1430" s="577">
        <f t="shared" si="353"/>
        <v>0</v>
      </c>
      <c r="U1430" s="578">
        <f t="shared" si="354"/>
        <v>0</v>
      </c>
      <c r="V1430" s="579"/>
      <c r="W1430" s="566"/>
      <c r="X1430" s="586" t="str">
        <f t="shared" si="357"/>
        <v/>
      </c>
      <c r="Y1430" s="586" t="str">
        <f t="shared" si="351"/>
        <v/>
      </c>
      <c r="Z1430" s="586" t="str">
        <f t="shared" si="360"/>
        <v/>
      </c>
    </row>
    <row r="1431" spans="1:26" ht="23.25" hidden="1" thickBot="1" x14ac:dyDescent="0.25">
      <c r="A1431" s="567">
        <v>91980</v>
      </c>
      <c r="B1431" s="644">
        <v>91980</v>
      </c>
      <c r="C1431" s="645" t="s">
        <v>670</v>
      </c>
      <c r="D1431" s="422" t="s">
        <v>1278</v>
      </c>
      <c r="E1431" s="423"/>
      <c r="F1431" s="424"/>
      <c r="G1431" s="425"/>
      <c r="H1431" s="651"/>
      <c r="I1431" s="420">
        <v>45.2</v>
      </c>
      <c r="J1431" s="420">
        <f t="shared" si="359"/>
        <v>45.2</v>
      </c>
      <c r="K1431" s="421">
        <f t="shared" si="358"/>
        <v>53.7</v>
      </c>
      <c r="L1431" s="647" t="s">
        <v>2065</v>
      </c>
      <c r="M1431" s="576"/>
      <c r="N1431" s="576">
        <f t="shared" si="361"/>
        <v>0</v>
      </c>
      <c r="O1431" s="577">
        <f t="shared" si="355"/>
        <v>0</v>
      </c>
      <c r="P1431" s="578">
        <f t="shared" si="356"/>
        <v>0</v>
      </c>
      <c r="Q1431" s="765"/>
      <c r="R1431" s="576">
        <f t="shared" si="352"/>
        <v>0</v>
      </c>
      <c r="S1431" s="576">
        <f t="shared" si="352"/>
        <v>0</v>
      </c>
      <c r="T1431" s="577">
        <f t="shared" si="353"/>
        <v>0</v>
      </c>
      <c r="U1431" s="578">
        <f t="shared" si="354"/>
        <v>0</v>
      </c>
      <c r="V1431" s="579"/>
      <c r="W1431" s="566"/>
      <c r="X1431" s="586" t="str">
        <f t="shared" si="357"/>
        <v/>
      </c>
      <c r="Y1431" s="586" t="str">
        <f t="shared" si="351"/>
        <v/>
      </c>
      <c r="Z1431" s="586" t="str">
        <f t="shared" si="360"/>
        <v/>
      </c>
    </row>
    <row r="1432" spans="1:26" ht="23.25" hidden="1" thickBot="1" x14ac:dyDescent="0.25">
      <c r="A1432" s="567">
        <v>91981</v>
      </c>
      <c r="B1432" s="644">
        <v>91981</v>
      </c>
      <c r="C1432" s="645" t="s">
        <v>670</v>
      </c>
      <c r="D1432" s="422" t="s">
        <v>1279</v>
      </c>
      <c r="E1432" s="423"/>
      <c r="F1432" s="424"/>
      <c r="G1432" s="425"/>
      <c r="H1432" s="651"/>
      <c r="I1432" s="420">
        <v>54.93</v>
      </c>
      <c r="J1432" s="420">
        <f t="shared" si="359"/>
        <v>54.93</v>
      </c>
      <c r="K1432" s="421">
        <f t="shared" si="358"/>
        <v>65.260000000000005</v>
      </c>
      <c r="L1432" s="647" t="s">
        <v>2065</v>
      </c>
      <c r="M1432" s="576"/>
      <c r="N1432" s="576">
        <f t="shared" si="361"/>
        <v>0</v>
      </c>
      <c r="O1432" s="577">
        <f t="shared" si="355"/>
        <v>0</v>
      </c>
      <c r="P1432" s="578">
        <f t="shared" si="356"/>
        <v>0</v>
      </c>
      <c r="Q1432" s="765"/>
      <c r="R1432" s="576">
        <f t="shared" si="352"/>
        <v>0</v>
      </c>
      <c r="S1432" s="576">
        <f t="shared" si="352"/>
        <v>0</v>
      </c>
      <c r="T1432" s="577">
        <f t="shared" si="353"/>
        <v>0</v>
      </c>
      <c r="U1432" s="578">
        <f t="shared" si="354"/>
        <v>0</v>
      </c>
      <c r="V1432" s="579"/>
      <c r="W1432" s="566"/>
      <c r="X1432" s="586" t="str">
        <f t="shared" si="357"/>
        <v/>
      </c>
      <c r="Y1432" s="586" t="str">
        <f t="shared" si="351"/>
        <v/>
      </c>
      <c r="Z1432" s="586" t="str">
        <f t="shared" si="360"/>
        <v/>
      </c>
    </row>
    <row r="1433" spans="1:26" ht="23.25" hidden="1" thickBot="1" x14ac:dyDescent="0.25">
      <c r="A1433" s="567">
        <v>91982</v>
      </c>
      <c r="B1433" s="644">
        <v>91982</v>
      </c>
      <c r="C1433" s="645" t="s">
        <v>670</v>
      </c>
      <c r="D1433" s="422" t="s">
        <v>1280</v>
      </c>
      <c r="E1433" s="423"/>
      <c r="F1433" s="424"/>
      <c r="G1433" s="425"/>
      <c r="H1433" s="651"/>
      <c r="I1433" s="420">
        <v>118.52</v>
      </c>
      <c r="J1433" s="420">
        <f t="shared" si="359"/>
        <v>118.52</v>
      </c>
      <c r="K1433" s="421">
        <f t="shared" si="358"/>
        <v>140.81</v>
      </c>
      <c r="L1433" s="647" t="s">
        <v>2065</v>
      </c>
      <c r="M1433" s="576"/>
      <c r="N1433" s="576">
        <f t="shared" si="361"/>
        <v>0</v>
      </c>
      <c r="O1433" s="577">
        <f t="shared" si="355"/>
        <v>0</v>
      </c>
      <c r="P1433" s="578">
        <f t="shared" si="356"/>
        <v>0</v>
      </c>
      <c r="Q1433" s="765"/>
      <c r="R1433" s="576">
        <f t="shared" si="352"/>
        <v>0</v>
      </c>
      <c r="S1433" s="576">
        <f t="shared" si="352"/>
        <v>0</v>
      </c>
      <c r="T1433" s="577">
        <f t="shared" si="353"/>
        <v>0</v>
      </c>
      <c r="U1433" s="578">
        <f t="shared" si="354"/>
        <v>0</v>
      </c>
      <c r="V1433" s="579"/>
      <c r="W1433" s="566"/>
      <c r="X1433" s="586" t="str">
        <f t="shared" si="357"/>
        <v/>
      </c>
      <c r="Y1433" s="586" t="str">
        <f t="shared" si="351"/>
        <v/>
      </c>
      <c r="Z1433" s="586" t="str">
        <f t="shared" si="360"/>
        <v/>
      </c>
    </row>
    <row r="1434" spans="1:26" ht="23.25" hidden="1" thickBot="1" x14ac:dyDescent="0.25">
      <c r="A1434" s="567">
        <v>91983</v>
      </c>
      <c r="B1434" s="644">
        <v>91983</v>
      </c>
      <c r="C1434" s="645" t="s">
        <v>670</v>
      </c>
      <c r="D1434" s="422" t="s">
        <v>1281</v>
      </c>
      <c r="E1434" s="423"/>
      <c r="F1434" s="424"/>
      <c r="G1434" s="425"/>
      <c r="H1434" s="651"/>
      <c r="I1434" s="420">
        <v>128.25</v>
      </c>
      <c r="J1434" s="420">
        <f t="shared" si="359"/>
        <v>128.25</v>
      </c>
      <c r="K1434" s="421">
        <f t="shared" si="358"/>
        <v>152.37</v>
      </c>
      <c r="L1434" s="647" t="s">
        <v>2065</v>
      </c>
      <c r="M1434" s="576"/>
      <c r="N1434" s="576">
        <f t="shared" si="361"/>
        <v>0</v>
      </c>
      <c r="O1434" s="577">
        <f t="shared" si="355"/>
        <v>0</v>
      </c>
      <c r="P1434" s="578">
        <f t="shared" si="356"/>
        <v>0</v>
      </c>
      <c r="Q1434" s="765"/>
      <c r="R1434" s="576">
        <f t="shared" si="352"/>
        <v>0</v>
      </c>
      <c r="S1434" s="576">
        <f t="shared" si="352"/>
        <v>0</v>
      </c>
      <c r="T1434" s="577">
        <f t="shared" si="353"/>
        <v>0</v>
      </c>
      <c r="U1434" s="578">
        <f t="shared" si="354"/>
        <v>0</v>
      </c>
      <c r="V1434" s="579"/>
      <c r="W1434" s="566"/>
      <c r="X1434" s="586" t="str">
        <f t="shared" si="357"/>
        <v/>
      </c>
      <c r="Y1434" s="586" t="str">
        <f t="shared" si="351"/>
        <v/>
      </c>
      <c r="Z1434" s="586" t="str">
        <f t="shared" si="360"/>
        <v/>
      </c>
    </row>
    <row r="1435" spans="1:26" ht="23.25" hidden="1" thickBot="1" x14ac:dyDescent="0.25">
      <c r="A1435" s="567">
        <v>91984</v>
      </c>
      <c r="B1435" s="644">
        <v>91984</v>
      </c>
      <c r="C1435" s="645" t="s">
        <v>670</v>
      </c>
      <c r="D1435" s="422" t="s">
        <v>1282</v>
      </c>
      <c r="E1435" s="423"/>
      <c r="F1435" s="424"/>
      <c r="G1435" s="425"/>
      <c r="H1435" s="651"/>
      <c r="I1435" s="420">
        <v>19.77</v>
      </c>
      <c r="J1435" s="420">
        <f t="shared" si="359"/>
        <v>19.77</v>
      </c>
      <c r="K1435" s="421">
        <f t="shared" si="358"/>
        <v>23.49</v>
      </c>
      <c r="L1435" s="647" t="s">
        <v>2065</v>
      </c>
      <c r="M1435" s="576"/>
      <c r="N1435" s="576">
        <f t="shared" si="361"/>
        <v>0</v>
      </c>
      <c r="O1435" s="577">
        <f t="shared" si="355"/>
        <v>0</v>
      </c>
      <c r="P1435" s="578">
        <f t="shared" si="356"/>
        <v>0</v>
      </c>
      <c r="Q1435" s="765"/>
      <c r="R1435" s="576">
        <f t="shared" si="352"/>
        <v>0</v>
      </c>
      <c r="S1435" s="576">
        <f t="shared" si="352"/>
        <v>0</v>
      </c>
      <c r="T1435" s="577">
        <f t="shared" si="353"/>
        <v>0</v>
      </c>
      <c r="U1435" s="578">
        <f t="shared" si="354"/>
        <v>0</v>
      </c>
      <c r="V1435" s="579"/>
      <c r="W1435" s="566"/>
      <c r="X1435" s="586" t="str">
        <f t="shared" si="357"/>
        <v/>
      </c>
      <c r="Y1435" s="586" t="str">
        <f t="shared" si="351"/>
        <v/>
      </c>
      <c r="Z1435" s="586" t="str">
        <f t="shared" si="360"/>
        <v/>
      </c>
    </row>
    <row r="1436" spans="1:26" ht="23.25" hidden="1" thickBot="1" x14ac:dyDescent="0.25">
      <c r="A1436" s="567">
        <v>91985</v>
      </c>
      <c r="B1436" s="644">
        <v>91985</v>
      </c>
      <c r="C1436" s="645" t="s">
        <v>670</v>
      </c>
      <c r="D1436" s="422" t="s">
        <v>1283</v>
      </c>
      <c r="E1436" s="423"/>
      <c r="F1436" s="424"/>
      <c r="G1436" s="425"/>
      <c r="H1436" s="651"/>
      <c r="I1436" s="420">
        <v>29.5</v>
      </c>
      <c r="J1436" s="420">
        <f t="shared" si="359"/>
        <v>29.5</v>
      </c>
      <c r="K1436" s="421">
        <f t="shared" si="358"/>
        <v>35.049999999999997</v>
      </c>
      <c r="L1436" s="647" t="s">
        <v>2065</v>
      </c>
      <c r="M1436" s="576"/>
      <c r="N1436" s="576">
        <f t="shared" si="361"/>
        <v>0</v>
      </c>
      <c r="O1436" s="577">
        <f t="shared" si="355"/>
        <v>0</v>
      </c>
      <c r="P1436" s="578">
        <f t="shared" si="356"/>
        <v>0</v>
      </c>
      <c r="Q1436" s="765"/>
      <c r="R1436" s="576">
        <f t="shared" si="352"/>
        <v>0</v>
      </c>
      <c r="S1436" s="576">
        <f t="shared" si="352"/>
        <v>0</v>
      </c>
      <c r="T1436" s="577">
        <f t="shared" si="353"/>
        <v>0</v>
      </c>
      <c r="U1436" s="578">
        <f t="shared" si="354"/>
        <v>0</v>
      </c>
      <c r="V1436" s="579"/>
      <c r="W1436" s="566"/>
      <c r="X1436" s="586" t="str">
        <f t="shared" si="357"/>
        <v/>
      </c>
      <c r="Y1436" s="586" t="str">
        <f t="shared" si="351"/>
        <v/>
      </c>
      <c r="Z1436" s="586" t="str">
        <f t="shared" si="360"/>
        <v/>
      </c>
    </row>
    <row r="1437" spans="1:26" ht="23.25" hidden="1" thickBot="1" x14ac:dyDescent="0.25">
      <c r="A1437" s="567">
        <v>91986</v>
      </c>
      <c r="B1437" s="644">
        <v>91986</v>
      </c>
      <c r="C1437" s="645" t="s">
        <v>670</v>
      </c>
      <c r="D1437" s="422" t="s">
        <v>1284</v>
      </c>
      <c r="E1437" s="423"/>
      <c r="F1437" s="424"/>
      <c r="G1437" s="425"/>
      <c r="H1437" s="651"/>
      <c r="I1437" s="420">
        <v>44.02</v>
      </c>
      <c r="J1437" s="420">
        <f t="shared" si="359"/>
        <v>44.02</v>
      </c>
      <c r="K1437" s="421">
        <f t="shared" si="358"/>
        <v>52.3</v>
      </c>
      <c r="L1437" s="647" t="s">
        <v>2065</v>
      </c>
      <c r="M1437" s="576"/>
      <c r="N1437" s="576">
        <f t="shared" si="361"/>
        <v>0</v>
      </c>
      <c r="O1437" s="577">
        <f t="shared" si="355"/>
        <v>0</v>
      </c>
      <c r="P1437" s="578">
        <f t="shared" si="356"/>
        <v>0</v>
      </c>
      <c r="Q1437" s="765"/>
      <c r="R1437" s="576">
        <f t="shared" si="352"/>
        <v>0</v>
      </c>
      <c r="S1437" s="576">
        <f t="shared" si="352"/>
        <v>0</v>
      </c>
      <c r="T1437" s="577">
        <f t="shared" si="353"/>
        <v>0</v>
      </c>
      <c r="U1437" s="578">
        <f t="shared" si="354"/>
        <v>0</v>
      </c>
      <c r="V1437" s="579"/>
      <c r="W1437" s="566"/>
      <c r="X1437" s="586" t="str">
        <f t="shared" si="357"/>
        <v/>
      </c>
      <c r="Y1437" s="586" t="str">
        <f t="shared" si="351"/>
        <v/>
      </c>
      <c r="Z1437" s="586" t="str">
        <f t="shared" si="360"/>
        <v/>
      </c>
    </row>
    <row r="1438" spans="1:26" ht="23.25" hidden="1" thickBot="1" x14ac:dyDescent="0.25">
      <c r="A1438" s="567">
        <v>91987</v>
      </c>
      <c r="B1438" s="644">
        <v>91987</v>
      </c>
      <c r="C1438" s="645" t="s">
        <v>670</v>
      </c>
      <c r="D1438" s="422" t="s">
        <v>1285</v>
      </c>
      <c r="E1438" s="423"/>
      <c r="F1438" s="424"/>
      <c r="G1438" s="425"/>
      <c r="H1438" s="651"/>
      <c r="I1438" s="420">
        <v>53.75</v>
      </c>
      <c r="J1438" s="420">
        <f t="shared" si="359"/>
        <v>53.75</v>
      </c>
      <c r="K1438" s="421">
        <f t="shared" si="358"/>
        <v>63.86</v>
      </c>
      <c r="L1438" s="647" t="s">
        <v>2065</v>
      </c>
      <c r="M1438" s="576"/>
      <c r="N1438" s="576">
        <f t="shared" si="361"/>
        <v>0</v>
      </c>
      <c r="O1438" s="577">
        <f t="shared" si="355"/>
        <v>0</v>
      </c>
      <c r="P1438" s="578">
        <f t="shared" si="356"/>
        <v>0</v>
      </c>
      <c r="Q1438" s="765"/>
      <c r="R1438" s="576">
        <f t="shared" si="352"/>
        <v>0</v>
      </c>
      <c r="S1438" s="576">
        <f t="shared" si="352"/>
        <v>0</v>
      </c>
      <c r="T1438" s="577">
        <f t="shared" si="353"/>
        <v>0</v>
      </c>
      <c r="U1438" s="578">
        <f t="shared" si="354"/>
        <v>0</v>
      </c>
      <c r="V1438" s="579"/>
      <c r="W1438" s="566"/>
      <c r="X1438" s="586" t="str">
        <f t="shared" si="357"/>
        <v/>
      </c>
      <c r="Y1438" s="586" t="str">
        <f t="shared" si="351"/>
        <v/>
      </c>
      <c r="Z1438" s="586" t="str">
        <f t="shared" si="360"/>
        <v/>
      </c>
    </row>
    <row r="1439" spans="1:26" ht="23.25" hidden="1" thickBot="1" x14ac:dyDescent="0.25">
      <c r="A1439" s="567">
        <v>91988</v>
      </c>
      <c r="B1439" s="644">
        <v>91988</v>
      </c>
      <c r="C1439" s="645" t="s">
        <v>670</v>
      </c>
      <c r="D1439" s="422" t="s">
        <v>1286</v>
      </c>
      <c r="E1439" s="423"/>
      <c r="F1439" s="424"/>
      <c r="G1439" s="425"/>
      <c r="H1439" s="651"/>
      <c r="I1439" s="420">
        <v>25.42</v>
      </c>
      <c r="J1439" s="420">
        <f t="shared" si="359"/>
        <v>25.42</v>
      </c>
      <c r="K1439" s="421">
        <f t="shared" si="358"/>
        <v>30.2</v>
      </c>
      <c r="L1439" s="647" t="s">
        <v>2065</v>
      </c>
      <c r="M1439" s="576"/>
      <c r="N1439" s="576">
        <f t="shared" si="361"/>
        <v>0</v>
      </c>
      <c r="O1439" s="577">
        <f t="shared" si="355"/>
        <v>0</v>
      </c>
      <c r="P1439" s="578">
        <f t="shared" si="356"/>
        <v>0</v>
      </c>
      <c r="Q1439" s="765"/>
      <c r="R1439" s="576">
        <f t="shared" si="352"/>
        <v>0</v>
      </c>
      <c r="S1439" s="576">
        <f t="shared" si="352"/>
        <v>0</v>
      </c>
      <c r="T1439" s="577">
        <f t="shared" si="353"/>
        <v>0</v>
      </c>
      <c r="U1439" s="578">
        <f t="shared" si="354"/>
        <v>0</v>
      </c>
      <c r="V1439" s="579"/>
      <c r="W1439" s="566"/>
      <c r="X1439" s="586" t="str">
        <f t="shared" si="357"/>
        <v/>
      </c>
      <c r="Y1439" s="586" t="str">
        <f t="shared" si="351"/>
        <v/>
      </c>
      <c r="Z1439" s="586" t="str">
        <f t="shared" si="360"/>
        <v/>
      </c>
    </row>
    <row r="1440" spans="1:26" ht="23.25" hidden="1" thickBot="1" x14ac:dyDescent="0.25">
      <c r="A1440" s="567">
        <v>91989</v>
      </c>
      <c r="B1440" s="644">
        <v>91989</v>
      </c>
      <c r="C1440" s="645" t="s">
        <v>670</v>
      </c>
      <c r="D1440" s="422" t="s">
        <v>1287</v>
      </c>
      <c r="E1440" s="423"/>
      <c r="F1440" s="424"/>
      <c r="G1440" s="425"/>
      <c r="H1440" s="651"/>
      <c r="I1440" s="420">
        <v>35.15</v>
      </c>
      <c r="J1440" s="420">
        <f t="shared" si="359"/>
        <v>35.15</v>
      </c>
      <c r="K1440" s="421">
        <f t="shared" si="358"/>
        <v>41.76</v>
      </c>
      <c r="L1440" s="647" t="s">
        <v>2065</v>
      </c>
      <c r="M1440" s="576"/>
      <c r="N1440" s="576">
        <f t="shared" si="361"/>
        <v>0</v>
      </c>
      <c r="O1440" s="577">
        <f t="shared" si="355"/>
        <v>0</v>
      </c>
      <c r="P1440" s="578">
        <f t="shared" si="356"/>
        <v>0</v>
      </c>
      <c r="Q1440" s="765"/>
      <c r="R1440" s="576">
        <f t="shared" si="352"/>
        <v>0</v>
      </c>
      <c r="S1440" s="576">
        <f t="shared" si="352"/>
        <v>0</v>
      </c>
      <c r="T1440" s="577">
        <f t="shared" si="353"/>
        <v>0</v>
      </c>
      <c r="U1440" s="578">
        <f t="shared" si="354"/>
        <v>0</v>
      </c>
      <c r="V1440" s="579"/>
      <c r="W1440" s="566"/>
      <c r="X1440" s="586" t="str">
        <f t="shared" si="357"/>
        <v/>
      </c>
      <c r="Y1440" s="586" t="str">
        <f t="shared" si="351"/>
        <v/>
      </c>
      <c r="Z1440" s="586" t="str">
        <f t="shared" si="360"/>
        <v/>
      </c>
    </row>
    <row r="1441" spans="1:26" ht="23.25" hidden="1" thickBot="1" x14ac:dyDescent="0.25">
      <c r="A1441" s="567">
        <v>91990</v>
      </c>
      <c r="B1441" s="644">
        <v>91990</v>
      </c>
      <c r="C1441" s="645" t="s">
        <v>670</v>
      </c>
      <c r="D1441" s="422" t="s">
        <v>1288</v>
      </c>
      <c r="E1441" s="423"/>
      <c r="F1441" s="424"/>
      <c r="G1441" s="425"/>
      <c r="H1441" s="651"/>
      <c r="I1441" s="420">
        <v>36.799999999999997</v>
      </c>
      <c r="J1441" s="420">
        <f t="shared" si="359"/>
        <v>36.799999999999997</v>
      </c>
      <c r="K1441" s="421">
        <f t="shared" si="358"/>
        <v>43.72</v>
      </c>
      <c r="L1441" s="647" t="s">
        <v>2065</v>
      </c>
      <c r="M1441" s="576"/>
      <c r="N1441" s="576">
        <f t="shared" si="361"/>
        <v>0</v>
      </c>
      <c r="O1441" s="577">
        <f t="shared" si="355"/>
        <v>0</v>
      </c>
      <c r="P1441" s="578">
        <f t="shared" si="356"/>
        <v>0</v>
      </c>
      <c r="Q1441" s="765"/>
      <c r="R1441" s="576">
        <f t="shared" si="352"/>
        <v>0</v>
      </c>
      <c r="S1441" s="576">
        <f t="shared" si="352"/>
        <v>0</v>
      </c>
      <c r="T1441" s="577">
        <f t="shared" si="353"/>
        <v>0</v>
      </c>
      <c r="U1441" s="578">
        <f t="shared" si="354"/>
        <v>0</v>
      </c>
      <c r="V1441" s="579"/>
      <c r="W1441" s="566"/>
      <c r="X1441" s="586" t="str">
        <f t="shared" si="357"/>
        <v/>
      </c>
      <c r="Y1441" s="586" t="str">
        <f t="shared" si="351"/>
        <v/>
      </c>
      <c r="Z1441" s="586" t="str">
        <f t="shared" si="360"/>
        <v/>
      </c>
    </row>
    <row r="1442" spans="1:26" ht="23.25" hidden="1" thickBot="1" x14ac:dyDescent="0.25">
      <c r="A1442" s="567">
        <v>91991</v>
      </c>
      <c r="B1442" s="644">
        <v>91991</v>
      </c>
      <c r="C1442" s="645" t="s">
        <v>670</v>
      </c>
      <c r="D1442" s="422" t="s">
        <v>1289</v>
      </c>
      <c r="E1442" s="423"/>
      <c r="F1442" s="424"/>
      <c r="G1442" s="425"/>
      <c r="H1442" s="651"/>
      <c r="I1442" s="420">
        <v>39.85</v>
      </c>
      <c r="J1442" s="420">
        <f t="shared" si="359"/>
        <v>39.85</v>
      </c>
      <c r="K1442" s="421">
        <f t="shared" si="358"/>
        <v>47.35</v>
      </c>
      <c r="L1442" s="647" t="s">
        <v>2065</v>
      </c>
      <c r="M1442" s="576"/>
      <c r="N1442" s="576">
        <f t="shared" si="361"/>
        <v>0</v>
      </c>
      <c r="O1442" s="577">
        <f t="shared" si="355"/>
        <v>0</v>
      </c>
      <c r="P1442" s="578">
        <f t="shared" si="356"/>
        <v>0</v>
      </c>
      <c r="Q1442" s="765"/>
      <c r="R1442" s="576">
        <f t="shared" si="352"/>
        <v>0</v>
      </c>
      <c r="S1442" s="576">
        <f t="shared" si="352"/>
        <v>0</v>
      </c>
      <c r="T1442" s="577">
        <f t="shared" si="353"/>
        <v>0</v>
      </c>
      <c r="U1442" s="578">
        <f t="shared" si="354"/>
        <v>0</v>
      </c>
      <c r="V1442" s="579"/>
      <c r="W1442" s="566"/>
      <c r="X1442" s="586" t="str">
        <f t="shared" si="357"/>
        <v/>
      </c>
      <c r="Y1442" s="586" t="str">
        <f t="shared" si="351"/>
        <v/>
      </c>
      <c r="Z1442" s="586" t="str">
        <f t="shared" si="360"/>
        <v/>
      </c>
    </row>
    <row r="1443" spans="1:26" ht="23.25" hidden="1" thickBot="1" x14ac:dyDescent="0.25">
      <c r="A1443" s="567">
        <v>91992</v>
      </c>
      <c r="B1443" s="644">
        <v>91992</v>
      </c>
      <c r="C1443" s="645" t="s">
        <v>670</v>
      </c>
      <c r="D1443" s="422" t="s">
        <v>1290</v>
      </c>
      <c r="E1443" s="423"/>
      <c r="F1443" s="424"/>
      <c r="G1443" s="425"/>
      <c r="H1443" s="651"/>
      <c r="I1443" s="420">
        <v>46.53</v>
      </c>
      <c r="J1443" s="420">
        <f t="shared" si="359"/>
        <v>46.53</v>
      </c>
      <c r="K1443" s="421">
        <f t="shared" si="358"/>
        <v>55.28</v>
      </c>
      <c r="L1443" s="647" t="s">
        <v>2065</v>
      </c>
      <c r="M1443" s="576"/>
      <c r="N1443" s="576">
        <f t="shared" si="361"/>
        <v>0</v>
      </c>
      <c r="O1443" s="577">
        <f t="shared" si="355"/>
        <v>0</v>
      </c>
      <c r="P1443" s="578">
        <f t="shared" si="356"/>
        <v>0</v>
      </c>
      <c r="Q1443" s="765"/>
      <c r="R1443" s="576">
        <f t="shared" si="352"/>
        <v>0</v>
      </c>
      <c r="S1443" s="576">
        <f t="shared" si="352"/>
        <v>0</v>
      </c>
      <c r="T1443" s="577">
        <f t="shared" si="353"/>
        <v>0</v>
      </c>
      <c r="U1443" s="578">
        <f t="shared" si="354"/>
        <v>0</v>
      </c>
      <c r="V1443" s="579"/>
      <c r="W1443" s="566"/>
      <c r="X1443" s="586" t="str">
        <f t="shared" si="357"/>
        <v/>
      </c>
      <c r="Y1443" s="586" t="str">
        <f t="shared" ref="Y1443:Y1506" si="362">IF(W1443="X","x",IF(W1443="y","x",IF(W1443="xx","x",IF(U1443&gt;0,"x",""))))</f>
        <v/>
      </c>
      <c r="Z1443" s="586" t="str">
        <f t="shared" si="360"/>
        <v/>
      </c>
    </row>
    <row r="1444" spans="1:26" ht="23.25" hidden="1" thickBot="1" x14ac:dyDescent="0.25">
      <c r="A1444" s="567">
        <v>91993</v>
      </c>
      <c r="B1444" s="644">
        <v>91993</v>
      </c>
      <c r="C1444" s="645" t="s">
        <v>670</v>
      </c>
      <c r="D1444" s="422" t="s">
        <v>1291</v>
      </c>
      <c r="E1444" s="423"/>
      <c r="F1444" s="424"/>
      <c r="G1444" s="425"/>
      <c r="H1444" s="651"/>
      <c r="I1444" s="420">
        <v>49.58</v>
      </c>
      <c r="J1444" s="420">
        <f t="shared" si="359"/>
        <v>49.58</v>
      </c>
      <c r="K1444" s="421">
        <f t="shared" si="358"/>
        <v>58.91</v>
      </c>
      <c r="L1444" s="647" t="s">
        <v>2065</v>
      </c>
      <c r="M1444" s="576"/>
      <c r="N1444" s="576">
        <f t="shared" si="361"/>
        <v>0</v>
      </c>
      <c r="O1444" s="577">
        <f t="shared" si="355"/>
        <v>0</v>
      </c>
      <c r="P1444" s="578">
        <f t="shared" si="356"/>
        <v>0</v>
      </c>
      <c r="Q1444" s="765"/>
      <c r="R1444" s="576">
        <f t="shared" si="352"/>
        <v>0</v>
      </c>
      <c r="S1444" s="576">
        <f t="shared" si="352"/>
        <v>0</v>
      </c>
      <c r="T1444" s="577">
        <f t="shared" si="353"/>
        <v>0</v>
      </c>
      <c r="U1444" s="578">
        <f t="shared" si="354"/>
        <v>0</v>
      </c>
      <c r="V1444" s="579"/>
      <c r="W1444" s="566"/>
      <c r="X1444" s="586" t="str">
        <f t="shared" si="357"/>
        <v/>
      </c>
      <c r="Y1444" s="586" t="str">
        <f t="shared" si="362"/>
        <v/>
      </c>
      <c r="Z1444" s="586" t="str">
        <f t="shared" si="360"/>
        <v/>
      </c>
    </row>
    <row r="1445" spans="1:26" ht="23.25" hidden="1" thickBot="1" x14ac:dyDescent="0.25">
      <c r="A1445" s="567">
        <v>91994</v>
      </c>
      <c r="B1445" s="644">
        <v>91994</v>
      </c>
      <c r="C1445" s="645" t="s">
        <v>670</v>
      </c>
      <c r="D1445" s="422" t="s">
        <v>1292</v>
      </c>
      <c r="E1445" s="423"/>
      <c r="F1445" s="424"/>
      <c r="G1445" s="425"/>
      <c r="H1445" s="651"/>
      <c r="I1445" s="420">
        <v>26.99</v>
      </c>
      <c r="J1445" s="420">
        <f t="shared" si="359"/>
        <v>26.99</v>
      </c>
      <c r="K1445" s="421">
        <f t="shared" si="358"/>
        <v>32.07</v>
      </c>
      <c r="L1445" s="647" t="s">
        <v>2065</v>
      </c>
      <c r="M1445" s="576"/>
      <c r="N1445" s="576">
        <f t="shared" si="361"/>
        <v>0</v>
      </c>
      <c r="O1445" s="577">
        <f t="shared" si="355"/>
        <v>0</v>
      </c>
      <c r="P1445" s="578">
        <f t="shared" si="356"/>
        <v>0</v>
      </c>
      <c r="Q1445" s="765"/>
      <c r="R1445" s="576">
        <f t="shared" si="352"/>
        <v>0</v>
      </c>
      <c r="S1445" s="576">
        <f t="shared" si="352"/>
        <v>0</v>
      </c>
      <c r="T1445" s="577">
        <f t="shared" si="353"/>
        <v>0</v>
      </c>
      <c r="U1445" s="578">
        <f t="shared" si="354"/>
        <v>0</v>
      </c>
      <c r="V1445" s="579"/>
      <c r="W1445" s="566"/>
      <c r="X1445" s="586" t="str">
        <f t="shared" si="357"/>
        <v/>
      </c>
      <c r="Y1445" s="586" t="str">
        <f t="shared" si="362"/>
        <v/>
      </c>
      <c r="Z1445" s="586" t="str">
        <f t="shared" si="360"/>
        <v/>
      </c>
    </row>
    <row r="1446" spans="1:26" ht="23.25" hidden="1" thickBot="1" x14ac:dyDescent="0.25">
      <c r="A1446" s="567">
        <v>91995</v>
      </c>
      <c r="B1446" s="644">
        <v>91995</v>
      </c>
      <c r="C1446" s="645" t="s">
        <v>670</v>
      </c>
      <c r="D1446" s="422" t="s">
        <v>1293</v>
      </c>
      <c r="E1446" s="423"/>
      <c r="F1446" s="424"/>
      <c r="G1446" s="425"/>
      <c r="H1446" s="651"/>
      <c r="I1446" s="420">
        <v>30.04</v>
      </c>
      <c r="J1446" s="420">
        <f t="shared" si="359"/>
        <v>30.04</v>
      </c>
      <c r="K1446" s="421">
        <f t="shared" si="358"/>
        <v>35.69</v>
      </c>
      <c r="L1446" s="647" t="s">
        <v>2065</v>
      </c>
      <c r="M1446" s="576"/>
      <c r="N1446" s="576">
        <f t="shared" si="361"/>
        <v>0</v>
      </c>
      <c r="O1446" s="577">
        <f t="shared" si="355"/>
        <v>0</v>
      </c>
      <c r="P1446" s="578">
        <f t="shared" si="356"/>
        <v>0</v>
      </c>
      <c r="Q1446" s="765"/>
      <c r="R1446" s="576">
        <f t="shared" si="352"/>
        <v>0</v>
      </c>
      <c r="S1446" s="576">
        <f t="shared" si="352"/>
        <v>0</v>
      </c>
      <c r="T1446" s="577">
        <f t="shared" si="353"/>
        <v>0</v>
      </c>
      <c r="U1446" s="578">
        <f t="shared" si="354"/>
        <v>0</v>
      </c>
      <c r="V1446" s="579"/>
      <c r="W1446" s="566"/>
      <c r="X1446" s="586" t="str">
        <f t="shared" si="357"/>
        <v/>
      </c>
      <c r="Y1446" s="586" t="str">
        <f t="shared" si="362"/>
        <v/>
      </c>
      <c r="Z1446" s="586" t="str">
        <f t="shared" si="360"/>
        <v/>
      </c>
    </row>
    <row r="1447" spans="1:26" ht="23.25" hidden="1" thickBot="1" x14ac:dyDescent="0.25">
      <c r="A1447" s="567">
        <v>91996</v>
      </c>
      <c r="B1447" s="644">
        <v>91996</v>
      </c>
      <c r="C1447" s="645" t="s">
        <v>670</v>
      </c>
      <c r="D1447" s="422" t="s">
        <v>1294</v>
      </c>
      <c r="E1447" s="423"/>
      <c r="F1447" s="424"/>
      <c r="G1447" s="425"/>
      <c r="H1447" s="651"/>
      <c r="I1447" s="420">
        <v>36.72</v>
      </c>
      <c r="J1447" s="420">
        <f t="shared" si="359"/>
        <v>36.72</v>
      </c>
      <c r="K1447" s="421">
        <f t="shared" si="358"/>
        <v>43.63</v>
      </c>
      <c r="L1447" s="647" t="s">
        <v>2065</v>
      </c>
      <c r="M1447" s="576"/>
      <c r="N1447" s="576">
        <f t="shared" si="361"/>
        <v>0</v>
      </c>
      <c r="O1447" s="577">
        <f t="shared" si="355"/>
        <v>0</v>
      </c>
      <c r="P1447" s="578">
        <f t="shared" si="356"/>
        <v>0</v>
      </c>
      <c r="Q1447" s="765"/>
      <c r="R1447" s="576">
        <f t="shared" si="352"/>
        <v>0</v>
      </c>
      <c r="S1447" s="576">
        <f t="shared" si="352"/>
        <v>0</v>
      </c>
      <c r="T1447" s="577">
        <f t="shared" si="353"/>
        <v>0</v>
      </c>
      <c r="U1447" s="578">
        <f t="shared" si="354"/>
        <v>0</v>
      </c>
      <c r="V1447" s="579"/>
      <c r="W1447" s="566"/>
      <c r="X1447" s="586" t="str">
        <f t="shared" si="357"/>
        <v/>
      </c>
      <c r="Y1447" s="586" t="str">
        <f t="shared" si="362"/>
        <v/>
      </c>
      <c r="Z1447" s="586" t="str">
        <f t="shared" si="360"/>
        <v/>
      </c>
    </row>
    <row r="1448" spans="1:26" ht="23.25" hidden="1" thickBot="1" x14ac:dyDescent="0.25">
      <c r="A1448" s="567">
        <v>91997</v>
      </c>
      <c r="B1448" s="644">
        <v>91997</v>
      </c>
      <c r="C1448" s="645" t="s">
        <v>670</v>
      </c>
      <c r="D1448" s="422" t="s">
        <v>1295</v>
      </c>
      <c r="E1448" s="423"/>
      <c r="F1448" s="424"/>
      <c r="G1448" s="425"/>
      <c r="H1448" s="651"/>
      <c r="I1448" s="420">
        <v>39.770000000000003</v>
      </c>
      <c r="J1448" s="420">
        <f t="shared" si="359"/>
        <v>39.770000000000003</v>
      </c>
      <c r="K1448" s="421">
        <f t="shared" si="358"/>
        <v>47.25</v>
      </c>
      <c r="L1448" s="647" t="s">
        <v>2065</v>
      </c>
      <c r="M1448" s="576"/>
      <c r="N1448" s="576">
        <f t="shared" si="361"/>
        <v>0</v>
      </c>
      <c r="O1448" s="577">
        <f t="shared" si="355"/>
        <v>0</v>
      </c>
      <c r="P1448" s="578">
        <f t="shared" si="356"/>
        <v>0</v>
      </c>
      <c r="Q1448" s="765"/>
      <c r="R1448" s="576">
        <f t="shared" si="352"/>
        <v>0</v>
      </c>
      <c r="S1448" s="576">
        <f t="shared" si="352"/>
        <v>0</v>
      </c>
      <c r="T1448" s="577">
        <f t="shared" si="353"/>
        <v>0</v>
      </c>
      <c r="U1448" s="578">
        <f t="shared" si="354"/>
        <v>0</v>
      </c>
      <c r="V1448" s="579"/>
      <c r="W1448" s="566"/>
      <c r="X1448" s="586" t="str">
        <f t="shared" si="357"/>
        <v/>
      </c>
      <c r="Y1448" s="586" t="str">
        <f t="shared" si="362"/>
        <v/>
      </c>
      <c r="Z1448" s="586" t="str">
        <f t="shared" si="360"/>
        <v/>
      </c>
    </row>
    <row r="1449" spans="1:26" ht="23.25" hidden="1" thickBot="1" x14ac:dyDescent="0.25">
      <c r="A1449" s="567">
        <v>91998</v>
      </c>
      <c r="B1449" s="644">
        <v>91998</v>
      </c>
      <c r="C1449" s="645" t="s">
        <v>670</v>
      </c>
      <c r="D1449" s="422" t="s">
        <v>1296</v>
      </c>
      <c r="E1449" s="423"/>
      <c r="F1449" s="424"/>
      <c r="G1449" s="425"/>
      <c r="H1449" s="651"/>
      <c r="I1449" s="420">
        <v>23.17</v>
      </c>
      <c r="J1449" s="420">
        <f t="shared" si="359"/>
        <v>23.17</v>
      </c>
      <c r="K1449" s="421">
        <f t="shared" si="358"/>
        <v>27.53</v>
      </c>
      <c r="L1449" s="647" t="s">
        <v>2065</v>
      </c>
      <c r="M1449" s="576"/>
      <c r="N1449" s="576">
        <f t="shared" si="361"/>
        <v>0</v>
      </c>
      <c r="O1449" s="577">
        <f t="shared" si="355"/>
        <v>0</v>
      </c>
      <c r="P1449" s="578">
        <f t="shared" si="356"/>
        <v>0</v>
      </c>
      <c r="Q1449" s="765"/>
      <c r="R1449" s="576">
        <f t="shared" si="352"/>
        <v>0</v>
      </c>
      <c r="S1449" s="576">
        <f t="shared" si="352"/>
        <v>0</v>
      </c>
      <c r="T1449" s="577">
        <f t="shared" si="353"/>
        <v>0</v>
      </c>
      <c r="U1449" s="578">
        <f t="shared" si="354"/>
        <v>0</v>
      </c>
      <c r="V1449" s="579"/>
      <c r="W1449" s="566"/>
      <c r="X1449" s="586" t="str">
        <f t="shared" si="357"/>
        <v/>
      </c>
      <c r="Y1449" s="586" t="str">
        <f t="shared" si="362"/>
        <v/>
      </c>
      <c r="Z1449" s="586" t="str">
        <f t="shared" si="360"/>
        <v/>
      </c>
    </row>
    <row r="1450" spans="1:26" ht="23.25" hidden="1" thickBot="1" x14ac:dyDescent="0.25">
      <c r="A1450" s="567">
        <v>91999</v>
      </c>
      <c r="B1450" s="644">
        <v>91999</v>
      </c>
      <c r="C1450" s="645" t="s">
        <v>670</v>
      </c>
      <c r="D1450" s="422" t="s">
        <v>1297</v>
      </c>
      <c r="E1450" s="423"/>
      <c r="F1450" s="424"/>
      <c r="G1450" s="425"/>
      <c r="H1450" s="651"/>
      <c r="I1450" s="420">
        <v>26.22</v>
      </c>
      <c r="J1450" s="420">
        <f t="shared" si="359"/>
        <v>26.22</v>
      </c>
      <c r="K1450" s="421">
        <f t="shared" si="358"/>
        <v>31.15</v>
      </c>
      <c r="L1450" s="647" t="s">
        <v>2065</v>
      </c>
      <c r="M1450" s="576"/>
      <c r="N1450" s="576">
        <f t="shared" si="361"/>
        <v>0</v>
      </c>
      <c r="O1450" s="577">
        <f t="shared" si="355"/>
        <v>0</v>
      </c>
      <c r="P1450" s="578">
        <f t="shared" si="356"/>
        <v>0</v>
      </c>
      <c r="Q1450" s="765"/>
      <c r="R1450" s="576">
        <f t="shared" ref="R1450:S1513" si="363">M1450</f>
        <v>0</v>
      </c>
      <c r="S1450" s="576">
        <f t="shared" si="363"/>
        <v>0</v>
      </c>
      <c r="T1450" s="577">
        <f t="shared" si="353"/>
        <v>0</v>
      </c>
      <c r="U1450" s="578">
        <f t="shared" si="354"/>
        <v>0</v>
      </c>
      <c r="V1450" s="579"/>
      <c r="W1450" s="566"/>
      <c r="X1450" s="586" t="str">
        <f t="shared" si="357"/>
        <v/>
      </c>
      <c r="Y1450" s="586" t="str">
        <f t="shared" si="362"/>
        <v/>
      </c>
      <c r="Z1450" s="586" t="str">
        <f t="shared" si="360"/>
        <v/>
      </c>
    </row>
    <row r="1451" spans="1:26" ht="23.25" hidden="1" thickBot="1" x14ac:dyDescent="0.25">
      <c r="A1451" s="567">
        <v>92000</v>
      </c>
      <c r="B1451" s="644">
        <v>92000</v>
      </c>
      <c r="C1451" s="645" t="s">
        <v>670</v>
      </c>
      <c r="D1451" s="422" t="s">
        <v>1298</v>
      </c>
      <c r="E1451" s="423"/>
      <c r="F1451" s="424"/>
      <c r="G1451" s="425"/>
      <c r="H1451" s="651"/>
      <c r="I1451" s="420">
        <v>32.9</v>
      </c>
      <c r="J1451" s="420">
        <f t="shared" si="359"/>
        <v>32.9</v>
      </c>
      <c r="K1451" s="421">
        <f t="shared" si="358"/>
        <v>39.090000000000003</v>
      </c>
      <c r="L1451" s="647" t="s">
        <v>2065</v>
      </c>
      <c r="M1451" s="576"/>
      <c r="N1451" s="576">
        <f t="shared" si="361"/>
        <v>0</v>
      </c>
      <c r="O1451" s="577">
        <f t="shared" si="355"/>
        <v>0</v>
      </c>
      <c r="P1451" s="578">
        <f t="shared" si="356"/>
        <v>0</v>
      </c>
      <c r="Q1451" s="765"/>
      <c r="R1451" s="576">
        <f t="shared" si="363"/>
        <v>0</v>
      </c>
      <c r="S1451" s="576">
        <f t="shared" si="363"/>
        <v>0</v>
      </c>
      <c r="T1451" s="577">
        <f t="shared" si="353"/>
        <v>0</v>
      </c>
      <c r="U1451" s="578">
        <f t="shared" si="354"/>
        <v>0</v>
      </c>
      <c r="V1451" s="579"/>
      <c r="W1451" s="566"/>
      <c r="X1451" s="586" t="str">
        <f t="shared" si="357"/>
        <v/>
      </c>
      <c r="Y1451" s="586" t="str">
        <f t="shared" si="362"/>
        <v/>
      </c>
      <c r="Z1451" s="586" t="str">
        <f t="shared" si="360"/>
        <v/>
      </c>
    </row>
    <row r="1452" spans="1:26" ht="23.25" hidden="1" thickBot="1" x14ac:dyDescent="0.25">
      <c r="A1452" s="567">
        <v>92001</v>
      </c>
      <c r="B1452" s="644">
        <v>92001</v>
      </c>
      <c r="C1452" s="645" t="s">
        <v>670</v>
      </c>
      <c r="D1452" s="422" t="s">
        <v>1299</v>
      </c>
      <c r="E1452" s="423"/>
      <c r="F1452" s="424"/>
      <c r="G1452" s="425"/>
      <c r="H1452" s="651"/>
      <c r="I1452" s="420">
        <v>35.950000000000003</v>
      </c>
      <c r="J1452" s="420">
        <f t="shared" si="359"/>
        <v>35.950000000000003</v>
      </c>
      <c r="K1452" s="421">
        <f t="shared" si="358"/>
        <v>42.71</v>
      </c>
      <c r="L1452" s="647" t="s">
        <v>2065</v>
      </c>
      <c r="M1452" s="576"/>
      <c r="N1452" s="576">
        <f t="shared" si="361"/>
        <v>0</v>
      </c>
      <c r="O1452" s="577">
        <f t="shared" si="355"/>
        <v>0</v>
      </c>
      <c r="P1452" s="578">
        <f t="shared" si="356"/>
        <v>0</v>
      </c>
      <c r="Q1452" s="765"/>
      <c r="R1452" s="576">
        <f t="shared" si="363"/>
        <v>0</v>
      </c>
      <c r="S1452" s="576">
        <f t="shared" si="363"/>
        <v>0</v>
      </c>
      <c r="T1452" s="577">
        <f t="shared" si="353"/>
        <v>0</v>
      </c>
      <c r="U1452" s="578">
        <f t="shared" si="354"/>
        <v>0</v>
      </c>
      <c r="V1452" s="579"/>
      <c r="W1452" s="566"/>
      <c r="X1452" s="586" t="str">
        <f t="shared" si="357"/>
        <v/>
      </c>
      <c r="Y1452" s="586" t="str">
        <f t="shared" si="362"/>
        <v/>
      </c>
      <c r="Z1452" s="586" t="str">
        <f t="shared" si="360"/>
        <v/>
      </c>
    </row>
    <row r="1453" spans="1:26" ht="23.25" hidden="1" thickBot="1" x14ac:dyDescent="0.25">
      <c r="A1453" s="567">
        <v>92002</v>
      </c>
      <c r="B1453" s="644">
        <v>92002</v>
      </c>
      <c r="C1453" s="645" t="s">
        <v>670</v>
      </c>
      <c r="D1453" s="422" t="s">
        <v>1300</v>
      </c>
      <c r="E1453" s="423"/>
      <c r="F1453" s="424"/>
      <c r="G1453" s="425"/>
      <c r="H1453" s="651"/>
      <c r="I1453" s="420">
        <v>50.79</v>
      </c>
      <c r="J1453" s="420">
        <f t="shared" si="359"/>
        <v>50.79</v>
      </c>
      <c r="K1453" s="421">
        <f t="shared" si="358"/>
        <v>60.34</v>
      </c>
      <c r="L1453" s="647" t="s">
        <v>2065</v>
      </c>
      <c r="M1453" s="576"/>
      <c r="N1453" s="576">
        <f t="shared" si="361"/>
        <v>0</v>
      </c>
      <c r="O1453" s="577">
        <f t="shared" si="355"/>
        <v>0</v>
      </c>
      <c r="P1453" s="578">
        <f t="shared" si="356"/>
        <v>0</v>
      </c>
      <c r="Q1453" s="765"/>
      <c r="R1453" s="576">
        <f t="shared" si="363"/>
        <v>0</v>
      </c>
      <c r="S1453" s="576">
        <f t="shared" si="363"/>
        <v>0</v>
      </c>
      <c r="T1453" s="577">
        <f t="shared" si="353"/>
        <v>0</v>
      </c>
      <c r="U1453" s="578">
        <f t="shared" si="354"/>
        <v>0</v>
      </c>
      <c r="V1453" s="579"/>
      <c r="W1453" s="566"/>
      <c r="X1453" s="586" t="str">
        <f t="shared" si="357"/>
        <v/>
      </c>
      <c r="Y1453" s="586" t="str">
        <f t="shared" si="362"/>
        <v/>
      </c>
      <c r="Z1453" s="586" t="str">
        <f t="shared" si="360"/>
        <v/>
      </c>
    </row>
    <row r="1454" spans="1:26" ht="23.25" hidden="1" thickBot="1" x14ac:dyDescent="0.25">
      <c r="A1454" s="567">
        <v>92003</v>
      </c>
      <c r="B1454" s="644">
        <v>92003</v>
      </c>
      <c r="C1454" s="645" t="s">
        <v>670</v>
      </c>
      <c r="D1454" s="422" t="s">
        <v>1301</v>
      </c>
      <c r="E1454" s="423"/>
      <c r="F1454" s="424"/>
      <c r="G1454" s="425"/>
      <c r="H1454" s="651"/>
      <c r="I1454" s="420">
        <v>56.89</v>
      </c>
      <c r="J1454" s="420">
        <f t="shared" si="359"/>
        <v>56.89</v>
      </c>
      <c r="K1454" s="421">
        <f t="shared" si="358"/>
        <v>67.59</v>
      </c>
      <c r="L1454" s="647" t="s">
        <v>2065</v>
      </c>
      <c r="M1454" s="576"/>
      <c r="N1454" s="576">
        <f t="shared" si="361"/>
        <v>0</v>
      </c>
      <c r="O1454" s="577">
        <f t="shared" si="355"/>
        <v>0</v>
      </c>
      <c r="P1454" s="578">
        <f t="shared" si="356"/>
        <v>0</v>
      </c>
      <c r="Q1454" s="765"/>
      <c r="R1454" s="576">
        <f t="shared" si="363"/>
        <v>0</v>
      </c>
      <c r="S1454" s="576">
        <f t="shared" si="363"/>
        <v>0</v>
      </c>
      <c r="T1454" s="577">
        <f t="shared" si="353"/>
        <v>0</v>
      </c>
      <c r="U1454" s="578">
        <f t="shared" si="354"/>
        <v>0</v>
      </c>
      <c r="V1454" s="579"/>
      <c r="W1454" s="566"/>
      <c r="X1454" s="586" t="str">
        <f t="shared" si="357"/>
        <v/>
      </c>
      <c r="Y1454" s="586" t="str">
        <f t="shared" si="362"/>
        <v/>
      </c>
      <c r="Z1454" s="586" t="str">
        <f t="shared" si="360"/>
        <v/>
      </c>
    </row>
    <row r="1455" spans="1:26" ht="23.25" hidden="1" thickBot="1" x14ac:dyDescent="0.25">
      <c r="A1455" s="567">
        <v>92004</v>
      </c>
      <c r="B1455" s="644">
        <v>92004</v>
      </c>
      <c r="C1455" s="645" t="s">
        <v>670</v>
      </c>
      <c r="D1455" s="422" t="s">
        <v>1302</v>
      </c>
      <c r="E1455" s="423"/>
      <c r="F1455" s="424"/>
      <c r="G1455" s="425"/>
      <c r="H1455" s="651"/>
      <c r="I1455" s="420">
        <v>60.52</v>
      </c>
      <c r="J1455" s="420">
        <f t="shared" si="359"/>
        <v>60.52</v>
      </c>
      <c r="K1455" s="421">
        <f t="shared" si="358"/>
        <v>71.900000000000006</v>
      </c>
      <c r="L1455" s="647" t="s">
        <v>2065</v>
      </c>
      <c r="M1455" s="576"/>
      <c r="N1455" s="576">
        <f t="shared" si="361"/>
        <v>0</v>
      </c>
      <c r="O1455" s="577">
        <f t="shared" si="355"/>
        <v>0</v>
      </c>
      <c r="P1455" s="578">
        <f t="shared" si="356"/>
        <v>0</v>
      </c>
      <c r="Q1455" s="765"/>
      <c r="R1455" s="576">
        <f t="shared" si="363"/>
        <v>0</v>
      </c>
      <c r="S1455" s="576">
        <f t="shared" si="363"/>
        <v>0</v>
      </c>
      <c r="T1455" s="577">
        <f t="shared" si="353"/>
        <v>0</v>
      </c>
      <c r="U1455" s="578">
        <f t="shared" si="354"/>
        <v>0</v>
      </c>
      <c r="V1455" s="579"/>
      <c r="W1455" s="566"/>
      <c r="X1455" s="586" t="str">
        <f t="shared" si="357"/>
        <v/>
      </c>
      <c r="Y1455" s="586" t="str">
        <f t="shared" si="362"/>
        <v/>
      </c>
      <c r="Z1455" s="586" t="str">
        <f t="shared" si="360"/>
        <v/>
      </c>
    </row>
    <row r="1456" spans="1:26" ht="23.25" hidden="1" thickBot="1" x14ac:dyDescent="0.25">
      <c r="A1456" s="567">
        <v>92005</v>
      </c>
      <c r="B1456" s="644">
        <v>92005</v>
      </c>
      <c r="C1456" s="645" t="s">
        <v>670</v>
      </c>
      <c r="D1456" s="422" t="s">
        <v>1303</v>
      </c>
      <c r="E1456" s="423"/>
      <c r="F1456" s="424"/>
      <c r="G1456" s="425"/>
      <c r="H1456" s="651"/>
      <c r="I1456" s="420">
        <v>66.62</v>
      </c>
      <c r="J1456" s="420">
        <f t="shared" si="359"/>
        <v>66.62</v>
      </c>
      <c r="K1456" s="421">
        <f t="shared" si="358"/>
        <v>79.150000000000006</v>
      </c>
      <c r="L1456" s="647" t="s">
        <v>2065</v>
      </c>
      <c r="M1456" s="576"/>
      <c r="N1456" s="576">
        <f t="shared" si="361"/>
        <v>0</v>
      </c>
      <c r="O1456" s="577">
        <f t="shared" si="355"/>
        <v>0</v>
      </c>
      <c r="P1456" s="578">
        <f t="shared" si="356"/>
        <v>0</v>
      </c>
      <c r="Q1456" s="765"/>
      <c r="R1456" s="576">
        <f t="shared" si="363"/>
        <v>0</v>
      </c>
      <c r="S1456" s="576">
        <f t="shared" si="363"/>
        <v>0</v>
      </c>
      <c r="T1456" s="577">
        <f t="shared" si="353"/>
        <v>0</v>
      </c>
      <c r="U1456" s="578">
        <f t="shared" si="354"/>
        <v>0</v>
      </c>
      <c r="V1456" s="579"/>
      <c r="W1456" s="566"/>
      <c r="X1456" s="586" t="str">
        <f t="shared" si="357"/>
        <v/>
      </c>
      <c r="Y1456" s="586" t="str">
        <f t="shared" si="362"/>
        <v/>
      </c>
      <c r="Z1456" s="586" t="str">
        <f t="shared" si="360"/>
        <v/>
      </c>
    </row>
    <row r="1457" spans="1:26" ht="23.25" hidden="1" thickBot="1" x14ac:dyDescent="0.25">
      <c r="A1457" s="567">
        <v>92006</v>
      </c>
      <c r="B1457" s="644">
        <v>92006</v>
      </c>
      <c r="C1457" s="645" t="s">
        <v>670</v>
      </c>
      <c r="D1457" s="422" t="s">
        <v>1304</v>
      </c>
      <c r="E1457" s="423"/>
      <c r="F1457" s="424"/>
      <c r="G1457" s="425"/>
      <c r="H1457" s="651"/>
      <c r="I1457" s="420">
        <v>43.18</v>
      </c>
      <c r="J1457" s="420">
        <f t="shared" si="359"/>
        <v>43.18</v>
      </c>
      <c r="K1457" s="421">
        <f t="shared" si="358"/>
        <v>51.3</v>
      </c>
      <c r="L1457" s="647" t="s">
        <v>2065</v>
      </c>
      <c r="M1457" s="576"/>
      <c r="N1457" s="576">
        <f t="shared" si="361"/>
        <v>0</v>
      </c>
      <c r="O1457" s="577">
        <f t="shared" si="355"/>
        <v>0</v>
      </c>
      <c r="P1457" s="578">
        <f t="shared" si="356"/>
        <v>0</v>
      </c>
      <c r="Q1457" s="765"/>
      <c r="R1457" s="576">
        <f t="shared" si="363"/>
        <v>0</v>
      </c>
      <c r="S1457" s="576">
        <f t="shared" si="363"/>
        <v>0</v>
      </c>
      <c r="T1457" s="577">
        <f t="shared" si="353"/>
        <v>0</v>
      </c>
      <c r="U1457" s="578">
        <f t="shared" si="354"/>
        <v>0</v>
      </c>
      <c r="V1457" s="579"/>
      <c r="W1457" s="566"/>
      <c r="X1457" s="586" t="str">
        <f t="shared" si="357"/>
        <v/>
      </c>
      <c r="Y1457" s="586" t="str">
        <f t="shared" si="362"/>
        <v/>
      </c>
      <c r="Z1457" s="586" t="str">
        <f t="shared" si="360"/>
        <v/>
      </c>
    </row>
    <row r="1458" spans="1:26" ht="23.25" hidden="1" thickBot="1" x14ac:dyDescent="0.25">
      <c r="A1458" s="567">
        <v>92007</v>
      </c>
      <c r="B1458" s="644">
        <v>92007</v>
      </c>
      <c r="C1458" s="645" t="s">
        <v>670</v>
      </c>
      <c r="D1458" s="422" t="s">
        <v>1305</v>
      </c>
      <c r="E1458" s="423"/>
      <c r="F1458" s="424"/>
      <c r="G1458" s="425"/>
      <c r="H1458" s="651"/>
      <c r="I1458" s="420">
        <v>49.28</v>
      </c>
      <c r="J1458" s="420">
        <f t="shared" si="359"/>
        <v>49.28</v>
      </c>
      <c r="K1458" s="421">
        <f t="shared" si="358"/>
        <v>58.55</v>
      </c>
      <c r="L1458" s="647" t="s">
        <v>2065</v>
      </c>
      <c r="M1458" s="576"/>
      <c r="N1458" s="576">
        <f t="shared" si="361"/>
        <v>0</v>
      </c>
      <c r="O1458" s="577">
        <f t="shared" si="355"/>
        <v>0</v>
      </c>
      <c r="P1458" s="578">
        <f t="shared" si="356"/>
        <v>0</v>
      </c>
      <c r="Q1458" s="765"/>
      <c r="R1458" s="576">
        <f t="shared" si="363"/>
        <v>0</v>
      </c>
      <c r="S1458" s="576">
        <f t="shared" si="363"/>
        <v>0</v>
      </c>
      <c r="T1458" s="577">
        <f t="shared" si="353"/>
        <v>0</v>
      </c>
      <c r="U1458" s="578">
        <f t="shared" si="354"/>
        <v>0</v>
      </c>
      <c r="V1458" s="579"/>
      <c r="W1458" s="566"/>
      <c r="X1458" s="586" t="str">
        <f t="shared" si="357"/>
        <v/>
      </c>
      <c r="Y1458" s="586" t="str">
        <f t="shared" si="362"/>
        <v/>
      </c>
      <c r="Z1458" s="586" t="str">
        <f t="shared" si="360"/>
        <v/>
      </c>
    </row>
    <row r="1459" spans="1:26" ht="23.25" hidden="1" thickBot="1" x14ac:dyDescent="0.25">
      <c r="A1459" s="567">
        <v>92008</v>
      </c>
      <c r="B1459" s="644">
        <v>92008</v>
      </c>
      <c r="C1459" s="645" t="s">
        <v>670</v>
      </c>
      <c r="D1459" s="422" t="s">
        <v>1306</v>
      </c>
      <c r="E1459" s="423"/>
      <c r="F1459" s="424"/>
      <c r="G1459" s="425"/>
      <c r="H1459" s="651"/>
      <c r="I1459" s="420">
        <v>52.91</v>
      </c>
      <c r="J1459" s="420">
        <f t="shared" si="359"/>
        <v>52.91</v>
      </c>
      <c r="K1459" s="421">
        <f t="shared" si="358"/>
        <v>62.86</v>
      </c>
      <c r="L1459" s="647" t="s">
        <v>2065</v>
      </c>
      <c r="M1459" s="576"/>
      <c r="N1459" s="576">
        <f t="shared" si="361"/>
        <v>0</v>
      </c>
      <c r="O1459" s="577">
        <f t="shared" si="355"/>
        <v>0</v>
      </c>
      <c r="P1459" s="578">
        <f t="shared" si="356"/>
        <v>0</v>
      </c>
      <c r="Q1459" s="765"/>
      <c r="R1459" s="576">
        <f t="shared" si="363"/>
        <v>0</v>
      </c>
      <c r="S1459" s="576">
        <f t="shared" si="363"/>
        <v>0</v>
      </c>
      <c r="T1459" s="577">
        <f t="shared" si="353"/>
        <v>0</v>
      </c>
      <c r="U1459" s="578">
        <f t="shared" si="354"/>
        <v>0</v>
      </c>
      <c r="V1459" s="579"/>
      <c r="W1459" s="566"/>
      <c r="X1459" s="586" t="str">
        <f t="shared" si="357"/>
        <v/>
      </c>
      <c r="Y1459" s="586" t="str">
        <f t="shared" si="362"/>
        <v/>
      </c>
      <c r="Z1459" s="586" t="str">
        <f t="shared" si="360"/>
        <v/>
      </c>
    </row>
    <row r="1460" spans="1:26" ht="23.25" hidden="1" thickBot="1" x14ac:dyDescent="0.25">
      <c r="A1460" s="567">
        <v>92009</v>
      </c>
      <c r="B1460" s="644">
        <v>92009</v>
      </c>
      <c r="C1460" s="645" t="s">
        <v>670</v>
      </c>
      <c r="D1460" s="422" t="s">
        <v>1307</v>
      </c>
      <c r="E1460" s="423"/>
      <c r="F1460" s="424"/>
      <c r="G1460" s="425"/>
      <c r="H1460" s="651"/>
      <c r="I1460" s="420">
        <v>59.01</v>
      </c>
      <c r="J1460" s="420">
        <f t="shared" si="359"/>
        <v>59.01</v>
      </c>
      <c r="K1460" s="421">
        <f t="shared" si="358"/>
        <v>70.11</v>
      </c>
      <c r="L1460" s="647" t="s">
        <v>2065</v>
      </c>
      <c r="M1460" s="576"/>
      <c r="N1460" s="576">
        <f t="shared" si="361"/>
        <v>0</v>
      </c>
      <c r="O1460" s="577">
        <f t="shared" si="355"/>
        <v>0</v>
      </c>
      <c r="P1460" s="578">
        <f t="shared" si="356"/>
        <v>0</v>
      </c>
      <c r="Q1460" s="765"/>
      <c r="R1460" s="576">
        <f t="shared" si="363"/>
        <v>0</v>
      </c>
      <c r="S1460" s="576">
        <f t="shared" si="363"/>
        <v>0</v>
      </c>
      <c r="T1460" s="577">
        <f t="shared" ref="T1460:T1523" si="364">IF(ISBLANK(R1460),0,ROUND(K1460*R1460,2))</f>
        <v>0</v>
      </c>
      <c r="U1460" s="578">
        <f t="shared" ref="U1460:U1523" si="365">IF(ISBLANK(R1460),0,ROUND(R1460*S1460,2))</f>
        <v>0</v>
      </c>
      <c r="V1460" s="579"/>
      <c r="W1460" s="566"/>
      <c r="X1460" s="586" t="str">
        <f t="shared" si="357"/>
        <v/>
      </c>
      <c r="Y1460" s="586" t="str">
        <f t="shared" si="362"/>
        <v/>
      </c>
      <c r="Z1460" s="586" t="str">
        <f t="shared" si="360"/>
        <v/>
      </c>
    </row>
    <row r="1461" spans="1:26" ht="23.25" hidden="1" thickBot="1" x14ac:dyDescent="0.25">
      <c r="A1461" s="567">
        <v>92010</v>
      </c>
      <c r="B1461" s="644">
        <v>92010</v>
      </c>
      <c r="C1461" s="645" t="s">
        <v>670</v>
      </c>
      <c r="D1461" s="422" t="s">
        <v>1308</v>
      </c>
      <c r="E1461" s="423"/>
      <c r="F1461" s="424"/>
      <c r="G1461" s="425"/>
      <c r="H1461" s="651"/>
      <c r="I1461" s="420">
        <v>74.61</v>
      </c>
      <c r="J1461" s="420">
        <f t="shared" si="359"/>
        <v>74.61</v>
      </c>
      <c r="K1461" s="421">
        <f t="shared" si="358"/>
        <v>88.64</v>
      </c>
      <c r="L1461" s="647" t="s">
        <v>2065</v>
      </c>
      <c r="M1461" s="576"/>
      <c r="N1461" s="576">
        <f t="shared" si="361"/>
        <v>0</v>
      </c>
      <c r="O1461" s="577">
        <f t="shared" ref="O1461:O1524" si="366">IF(ISBLANK(M1461),0,ROUND(K1461*M1461,2))</f>
        <v>0</v>
      </c>
      <c r="P1461" s="578">
        <f t="shared" ref="P1461:P1524" si="367">IF(ISBLANK(N1461),0,ROUND(M1461*N1461,2))</f>
        <v>0</v>
      </c>
      <c r="Q1461" s="765"/>
      <c r="R1461" s="576">
        <f t="shared" si="363"/>
        <v>0</v>
      </c>
      <c r="S1461" s="576">
        <f t="shared" si="363"/>
        <v>0</v>
      </c>
      <c r="T1461" s="577">
        <f t="shared" si="364"/>
        <v>0</v>
      </c>
      <c r="U1461" s="578">
        <f t="shared" si="365"/>
        <v>0</v>
      </c>
      <c r="V1461" s="579"/>
      <c r="W1461" s="566"/>
      <c r="X1461" s="586" t="str">
        <f t="shared" si="357"/>
        <v/>
      </c>
      <c r="Y1461" s="586" t="str">
        <f t="shared" si="362"/>
        <v/>
      </c>
      <c r="Z1461" s="586" t="str">
        <f t="shared" si="360"/>
        <v/>
      </c>
    </row>
    <row r="1462" spans="1:26" ht="23.25" hidden="1" thickBot="1" x14ac:dyDescent="0.25">
      <c r="A1462" s="567">
        <v>92011</v>
      </c>
      <c r="B1462" s="644">
        <v>92011</v>
      </c>
      <c r="C1462" s="645" t="s">
        <v>670</v>
      </c>
      <c r="D1462" s="422" t="s">
        <v>1309</v>
      </c>
      <c r="E1462" s="423"/>
      <c r="F1462" s="424"/>
      <c r="G1462" s="425"/>
      <c r="H1462" s="651"/>
      <c r="I1462" s="420">
        <v>83.76</v>
      </c>
      <c r="J1462" s="420">
        <f t="shared" si="359"/>
        <v>83.76</v>
      </c>
      <c r="K1462" s="421">
        <f t="shared" si="358"/>
        <v>99.52</v>
      </c>
      <c r="L1462" s="647" t="s">
        <v>2065</v>
      </c>
      <c r="M1462" s="576"/>
      <c r="N1462" s="576">
        <f t="shared" si="361"/>
        <v>0</v>
      </c>
      <c r="O1462" s="577">
        <f t="shared" si="366"/>
        <v>0</v>
      </c>
      <c r="P1462" s="578">
        <f t="shared" si="367"/>
        <v>0</v>
      </c>
      <c r="Q1462" s="765"/>
      <c r="R1462" s="576">
        <f t="shared" si="363"/>
        <v>0</v>
      </c>
      <c r="S1462" s="576">
        <f t="shared" si="363"/>
        <v>0</v>
      </c>
      <c r="T1462" s="577">
        <f t="shared" si="364"/>
        <v>0</v>
      </c>
      <c r="U1462" s="578">
        <f t="shared" si="365"/>
        <v>0</v>
      </c>
      <c r="V1462" s="579"/>
      <c r="W1462" s="566"/>
      <c r="X1462" s="586" t="str">
        <f t="shared" si="357"/>
        <v/>
      </c>
      <c r="Y1462" s="586" t="str">
        <f t="shared" si="362"/>
        <v/>
      </c>
      <c r="Z1462" s="586" t="str">
        <f t="shared" si="360"/>
        <v/>
      </c>
    </row>
    <row r="1463" spans="1:26" ht="23.25" hidden="1" thickBot="1" x14ac:dyDescent="0.25">
      <c r="A1463" s="567">
        <v>92012</v>
      </c>
      <c r="B1463" s="644">
        <v>92012</v>
      </c>
      <c r="C1463" s="645" t="s">
        <v>670</v>
      </c>
      <c r="D1463" s="422" t="s">
        <v>1310</v>
      </c>
      <c r="E1463" s="423"/>
      <c r="F1463" s="424"/>
      <c r="G1463" s="425"/>
      <c r="H1463" s="651"/>
      <c r="I1463" s="420">
        <v>84.34</v>
      </c>
      <c r="J1463" s="420">
        <f t="shared" si="359"/>
        <v>84.34</v>
      </c>
      <c r="K1463" s="421">
        <f t="shared" si="358"/>
        <v>100.2</v>
      </c>
      <c r="L1463" s="647" t="s">
        <v>2065</v>
      </c>
      <c r="M1463" s="576"/>
      <c r="N1463" s="576">
        <f t="shared" si="361"/>
        <v>0</v>
      </c>
      <c r="O1463" s="577">
        <f t="shared" si="366"/>
        <v>0</v>
      </c>
      <c r="P1463" s="578">
        <f t="shared" si="367"/>
        <v>0</v>
      </c>
      <c r="Q1463" s="765"/>
      <c r="R1463" s="576">
        <f t="shared" si="363"/>
        <v>0</v>
      </c>
      <c r="S1463" s="576">
        <f t="shared" si="363"/>
        <v>0</v>
      </c>
      <c r="T1463" s="577">
        <f t="shared" si="364"/>
        <v>0</v>
      </c>
      <c r="U1463" s="578">
        <f t="shared" si="365"/>
        <v>0</v>
      </c>
      <c r="V1463" s="579"/>
      <c r="W1463" s="566"/>
      <c r="X1463" s="586" t="str">
        <f t="shared" si="357"/>
        <v/>
      </c>
      <c r="Y1463" s="586" t="str">
        <f t="shared" si="362"/>
        <v/>
      </c>
      <c r="Z1463" s="586" t="str">
        <f t="shared" si="360"/>
        <v/>
      </c>
    </row>
    <row r="1464" spans="1:26" ht="23.25" hidden="1" thickBot="1" x14ac:dyDescent="0.25">
      <c r="A1464" s="567">
        <v>92013</v>
      </c>
      <c r="B1464" s="644">
        <v>92013</v>
      </c>
      <c r="C1464" s="645" t="s">
        <v>670</v>
      </c>
      <c r="D1464" s="422" t="s">
        <v>1311</v>
      </c>
      <c r="E1464" s="423"/>
      <c r="F1464" s="424"/>
      <c r="G1464" s="425"/>
      <c r="H1464" s="651"/>
      <c r="I1464" s="420">
        <v>93.49</v>
      </c>
      <c r="J1464" s="420">
        <f t="shared" si="359"/>
        <v>93.49</v>
      </c>
      <c r="K1464" s="421">
        <f t="shared" si="358"/>
        <v>111.08</v>
      </c>
      <c r="L1464" s="647" t="s">
        <v>2065</v>
      </c>
      <c r="M1464" s="576"/>
      <c r="N1464" s="576">
        <f t="shared" si="361"/>
        <v>0</v>
      </c>
      <c r="O1464" s="577">
        <f t="shared" si="366"/>
        <v>0</v>
      </c>
      <c r="P1464" s="578">
        <f t="shared" si="367"/>
        <v>0</v>
      </c>
      <c r="Q1464" s="765"/>
      <c r="R1464" s="576">
        <f t="shared" si="363"/>
        <v>0</v>
      </c>
      <c r="S1464" s="576">
        <f t="shared" si="363"/>
        <v>0</v>
      </c>
      <c r="T1464" s="577">
        <f t="shared" si="364"/>
        <v>0</v>
      </c>
      <c r="U1464" s="578">
        <f t="shared" si="365"/>
        <v>0</v>
      </c>
      <c r="V1464" s="579"/>
      <c r="W1464" s="566"/>
      <c r="X1464" s="586" t="str">
        <f t="shared" si="357"/>
        <v/>
      </c>
      <c r="Y1464" s="586" t="str">
        <f t="shared" si="362"/>
        <v/>
      </c>
      <c r="Z1464" s="586" t="str">
        <f t="shared" si="360"/>
        <v/>
      </c>
    </row>
    <row r="1465" spans="1:26" ht="23.25" hidden="1" thickBot="1" x14ac:dyDescent="0.25">
      <c r="A1465" s="567">
        <v>92014</v>
      </c>
      <c r="B1465" s="644">
        <v>92014</v>
      </c>
      <c r="C1465" s="645" t="s">
        <v>670</v>
      </c>
      <c r="D1465" s="422" t="s">
        <v>1312</v>
      </c>
      <c r="E1465" s="423"/>
      <c r="F1465" s="424"/>
      <c r="G1465" s="425"/>
      <c r="H1465" s="651"/>
      <c r="I1465" s="420">
        <v>63.18</v>
      </c>
      <c r="J1465" s="420">
        <f t="shared" si="359"/>
        <v>63.18</v>
      </c>
      <c r="K1465" s="421">
        <f t="shared" si="358"/>
        <v>75.06</v>
      </c>
      <c r="L1465" s="647" t="s">
        <v>2065</v>
      </c>
      <c r="M1465" s="576"/>
      <c r="N1465" s="576">
        <f t="shared" si="361"/>
        <v>0</v>
      </c>
      <c r="O1465" s="577">
        <f t="shared" si="366"/>
        <v>0</v>
      </c>
      <c r="P1465" s="578">
        <f t="shared" si="367"/>
        <v>0</v>
      </c>
      <c r="Q1465" s="765"/>
      <c r="R1465" s="576">
        <f t="shared" si="363"/>
        <v>0</v>
      </c>
      <c r="S1465" s="576">
        <f t="shared" si="363"/>
        <v>0</v>
      </c>
      <c r="T1465" s="577">
        <f t="shared" si="364"/>
        <v>0</v>
      </c>
      <c r="U1465" s="578">
        <f t="shared" si="365"/>
        <v>0</v>
      </c>
      <c r="V1465" s="579"/>
      <c r="W1465" s="566"/>
      <c r="X1465" s="586" t="str">
        <f t="shared" si="357"/>
        <v/>
      </c>
      <c r="Y1465" s="586" t="str">
        <f t="shared" si="362"/>
        <v/>
      </c>
      <c r="Z1465" s="586" t="str">
        <f t="shared" si="360"/>
        <v/>
      </c>
    </row>
    <row r="1466" spans="1:26" ht="23.25" hidden="1" thickBot="1" x14ac:dyDescent="0.25">
      <c r="A1466" s="567">
        <v>92015</v>
      </c>
      <c r="B1466" s="644">
        <v>92015</v>
      </c>
      <c r="C1466" s="645" t="s">
        <v>670</v>
      </c>
      <c r="D1466" s="422" t="s">
        <v>1313</v>
      </c>
      <c r="E1466" s="423"/>
      <c r="F1466" s="424"/>
      <c r="G1466" s="425"/>
      <c r="H1466" s="651"/>
      <c r="I1466" s="420">
        <v>72.33</v>
      </c>
      <c r="J1466" s="420">
        <f t="shared" si="359"/>
        <v>72.33</v>
      </c>
      <c r="K1466" s="421">
        <f t="shared" si="358"/>
        <v>85.94</v>
      </c>
      <c r="L1466" s="647" t="s">
        <v>2065</v>
      </c>
      <c r="M1466" s="576"/>
      <c r="N1466" s="576">
        <f t="shared" si="361"/>
        <v>0</v>
      </c>
      <c r="O1466" s="577">
        <f t="shared" si="366"/>
        <v>0</v>
      </c>
      <c r="P1466" s="578">
        <f t="shared" si="367"/>
        <v>0</v>
      </c>
      <c r="Q1466" s="765"/>
      <c r="R1466" s="576">
        <f t="shared" si="363"/>
        <v>0</v>
      </c>
      <c r="S1466" s="576">
        <f t="shared" si="363"/>
        <v>0</v>
      </c>
      <c r="T1466" s="577">
        <f t="shared" si="364"/>
        <v>0</v>
      </c>
      <c r="U1466" s="578">
        <f t="shared" si="365"/>
        <v>0</v>
      </c>
      <c r="V1466" s="579"/>
      <c r="W1466" s="566"/>
      <c r="X1466" s="586" t="str">
        <f t="shared" si="357"/>
        <v/>
      </c>
      <c r="Y1466" s="586" t="str">
        <f t="shared" si="362"/>
        <v/>
      </c>
      <c r="Z1466" s="586" t="str">
        <f t="shared" si="360"/>
        <v/>
      </c>
    </row>
    <row r="1467" spans="1:26" ht="23.25" hidden="1" thickBot="1" x14ac:dyDescent="0.25">
      <c r="A1467" s="567">
        <v>92016</v>
      </c>
      <c r="B1467" s="644">
        <v>92016</v>
      </c>
      <c r="C1467" s="645" t="s">
        <v>670</v>
      </c>
      <c r="D1467" s="422" t="s">
        <v>1314</v>
      </c>
      <c r="E1467" s="423"/>
      <c r="F1467" s="424"/>
      <c r="G1467" s="425"/>
      <c r="H1467" s="651"/>
      <c r="I1467" s="420">
        <v>72.91</v>
      </c>
      <c r="J1467" s="420">
        <f t="shared" si="359"/>
        <v>72.91</v>
      </c>
      <c r="K1467" s="421">
        <f t="shared" si="358"/>
        <v>86.62</v>
      </c>
      <c r="L1467" s="647" t="s">
        <v>2065</v>
      </c>
      <c r="M1467" s="576"/>
      <c r="N1467" s="576">
        <f t="shared" si="361"/>
        <v>0</v>
      </c>
      <c r="O1467" s="577">
        <f t="shared" si="366"/>
        <v>0</v>
      </c>
      <c r="P1467" s="578">
        <f t="shared" si="367"/>
        <v>0</v>
      </c>
      <c r="Q1467" s="765"/>
      <c r="R1467" s="576">
        <f t="shared" si="363"/>
        <v>0</v>
      </c>
      <c r="S1467" s="576">
        <f t="shared" si="363"/>
        <v>0</v>
      </c>
      <c r="T1467" s="577">
        <f t="shared" si="364"/>
        <v>0</v>
      </c>
      <c r="U1467" s="578">
        <f t="shared" si="365"/>
        <v>0</v>
      </c>
      <c r="V1467" s="579"/>
      <c r="W1467" s="566"/>
      <c r="X1467" s="586" t="str">
        <f t="shared" si="357"/>
        <v/>
      </c>
      <c r="Y1467" s="586" t="str">
        <f t="shared" si="362"/>
        <v/>
      </c>
      <c r="Z1467" s="586" t="str">
        <f t="shared" si="360"/>
        <v/>
      </c>
    </row>
    <row r="1468" spans="1:26" ht="23.25" hidden="1" thickBot="1" x14ac:dyDescent="0.25">
      <c r="A1468" s="567">
        <v>92017</v>
      </c>
      <c r="B1468" s="644">
        <v>92017</v>
      </c>
      <c r="C1468" s="645" t="s">
        <v>670</v>
      </c>
      <c r="D1468" s="422" t="s">
        <v>1315</v>
      </c>
      <c r="E1468" s="423"/>
      <c r="F1468" s="424"/>
      <c r="G1468" s="425"/>
      <c r="H1468" s="651"/>
      <c r="I1468" s="420">
        <v>82.06</v>
      </c>
      <c r="J1468" s="420">
        <f t="shared" si="359"/>
        <v>82.06</v>
      </c>
      <c r="K1468" s="421">
        <f t="shared" si="358"/>
        <v>97.5</v>
      </c>
      <c r="L1468" s="647" t="s">
        <v>2065</v>
      </c>
      <c r="M1468" s="576"/>
      <c r="N1468" s="576">
        <f t="shared" si="361"/>
        <v>0</v>
      </c>
      <c r="O1468" s="577">
        <f t="shared" si="366"/>
        <v>0</v>
      </c>
      <c r="P1468" s="578">
        <f t="shared" si="367"/>
        <v>0</v>
      </c>
      <c r="Q1468" s="765"/>
      <c r="R1468" s="576">
        <f t="shared" si="363"/>
        <v>0</v>
      </c>
      <c r="S1468" s="576">
        <f t="shared" si="363"/>
        <v>0</v>
      </c>
      <c r="T1468" s="577">
        <f t="shared" si="364"/>
        <v>0</v>
      </c>
      <c r="U1468" s="578">
        <f t="shared" si="365"/>
        <v>0</v>
      </c>
      <c r="V1468" s="579"/>
      <c r="W1468" s="566"/>
      <c r="X1468" s="586" t="str">
        <f t="shared" si="357"/>
        <v/>
      </c>
      <c r="Y1468" s="586" t="str">
        <f t="shared" si="362"/>
        <v/>
      </c>
      <c r="Z1468" s="586" t="str">
        <f t="shared" si="360"/>
        <v/>
      </c>
    </row>
    <row r="1469" spans="1:26" ht="23.25" hidden="1" thickBot="1" x14ac:dyDescent="0.25">
      <c r="A1469" s="567">
        <v>92018</v>
      </c>
      <c r="B1469" s="644">
        <v>92018</v>
      </c>
      <c r="C1469" s="645" t="s">
        <v>670</v>
      </c>
      <c r="D1469" s="422" t="s">
        <v>1316</v>
      </c>
      <c r="E1469" s="423"/>
      <c r="F1469" s="424"/>
      <c r="G1469" s="425"/>
      <c r="H1469" s="651"/>
      <c r="I1469" s="420">
        <v>83.7</v>
      </c>
      <c r="J1469" s="420">
        <f t="shared" si="359"/>
        <v>83.7</v>
      </c>
      <c r="K1469" s="421">
        <f t="shared" si="358"/>
        <v>99.44</v>
      </c>
      <c r="L1469" s="647" t="s">
        <v>2065</v>
      </c>
      <c r="M1469" s="576"/>
      <c r="N1469" s="576">
        <f t="shared" si="361"/>
        <v>0</v>
      </c>
      <c r="O1469" s="577">
        <f t="shared" si="366"/>
        <v>0</v>
      </c>
      <c r="P1469" s="578">
        <f t="shared" si="367"/>
        <v>0</v>
      </c>
      <c r="Q1469" s="765"/>
      <c r="R1469" s="576">
        <f t="shared" si="363"/>
        <v>0</v>
      </c>
      <c r="S1469" s="576">
        <f t="shared" si="363"/>
        <v>0</v>
      </c>
      <c r="T1469" s="577">
        <f t="shared" si="364"/>
        <v>0</v>
      </c>
      <c r="U1469" s="578">
        <f t="shared" si="365"/>
        <v>0</v>
      </c>
      <c r="V1469" s="579"/>
      <c r="W1469" s="566"/>
      <c r="X1469" s="586" t="str">
        <f t="shared" ref="X1469:X1532" si="368">IF(W1469="X","x",IF(W1469="xx","x",IF(W1469="xy","x",IF(W1469="y","x",IF(OR(P1469&gt;0,U1469&gt;0),"x","")))))</f>
        <v/>
      </c>
      <c r="Y1469" s="586" t="str">
        <f t="shared" si="362"/>
        <v/>
      </c>
      <c r="Z1469" s="586" t="str">
        <f t="shared" si="360"/>
        <v/>
      </c>
    </row>
    <row r="1470" spans="1:26" ht="23.25" hidden="1" thickBot="1" x14ac:dyDescent="0.25">
      <c r="A1470" s="567">
        <v>92019</v>
      </c>
      <c r="B1470" s="644">
        <v>92019</v>
      </c>
      <c r="C1470" s="645" t="s">
        <v>670</v>
      </c>
      <c r="D1470" s="422" t="s">
        <v>1317</v>
      </c>
      <c r="E1470" s="423"/>
      <c r="F1470" s="424"/>
      <c r="G1470" s="425"/>
      <c r="H1470" s="651"/>
      <c r="I1470" s="420">
        <v>99.59</v>
      </c>
      <c r="J1470" s="420">
        <f t="shared" si="359"/>
        <v>99.59</v>
      </c>
      <c r="K1470" s="421">
        <f t="shared" si="358"/>
        <v>118.32</v>
      </c>
      <c r="L1470" s="647" t="s">
        <v>2065</v>
      </c>
      <c r="M1470" s="576"/>
      <c r="N1470" s="576">
        <f t="shared" si="361"/>
        <v>0</v>
      </c>
      <c r="O1470" s="577">
        <f t="shared" si="366"/>
        <v>0</v>
      </c>
      <c r="P1470" s="578">
        <f t="shared" si="367"/>
        <v>0</v>
      </c>
      <c r="Q1470" s="765"/>
      <c r="R1470" s="576">
        <f t="shared" si="363"/>
        <v>0</v>
      </c>
      <c r="S1470" s="576">
        <f t="shared" si="363"/>
        <v>0</v>
      </c>
      <c r="T1470" s="577">
        <f t="shared" si="364"/>
        <v>0</v>
      </c>
      <c r="U1470" s="578">
        <f t="shared" si="365"/>
        <v>0</v>
      </c>
      <c r="V1470" s="579"/>
      <c r="W1470" s="566"/>
      <c r="X1470" s="586" t="str">
        <f t="shared" si="368"/>
        <v/>
      </c>
      <c r="Y1470" s="586" t="str">
        <f t="shared" si="362"/>
        <v/>
      </c>
      <c r="Z1470" s="586" t="str">
        <f t="shared" si="360"/>
        <v/>
      </c>
    </row>
    <row r="1471" spans="1:26" ht="23.25" hidden="1" thickBot="1" x14ac:dyDescent="0.25">
      <c r="A1471" s="567">
        <v>92020</v>
      </c>
      <c r="B1471" s="644">
        <v>92020</v>
      </c>
      <c r="C1471" s="645" t="s">
        <v>670</v>
      </c>
      <c r="D1471" s="422" t="s">
        <v>1318</v>
      </c>
      <c r="E1471" s="423"/>
      <c r="F1471" s="424"/>
      <c r="G1471" s="425"/>
      <c r="H1471" s="651"/>
      <c r="I1471" s="420">
        <v>123.97</v>
      </c>
      <c r="J1471" s="420">
        <f t="shared" si="359"/>
        <v>123.97</v>
      </c>
      <c r="K1471" s="421">
        <f t="shared" si="358"/>
        <v>147.29</v>
      </c>
      <c r="L1471" s="647" t="s">
        <v>2065</v>
      </c>
      <c r="M1471" s="576"/>
      <c r="N1471" s="576">
        <f t="shared" si="361"/>
        <v>0</v>
      </c>
      <c r="O1471" s="577">
        <f t="shared" si="366"/>
        <v>0</v>
      </c>
      <c r="P1471" s="578">
        <f t="shared" si="367"/>
        <v>0</v>
      </c>
      <c r="Q1471" s="765"/>
      <c r="R1471" s="576">
        <f t="shared" si="363"/>
        <v>0</v>
      </c>
      <c r="S1471" s="576">
        <f t="shared" si="363"/>
        <v>0</v>
      </c>
      <c r="T1471" s="577">
        <f t="shared" si="364"/>
        <v>0</v>
      </c>
      <c r="U1471" s="578">
        <f t="shared" si="365"/>
        <v>0</v>
      </c>
      <c r="V1471" s="579"/>
      <c r="W1471" s="566"/>
      <c r="X1471" s="586" t="str">
        <f t="shared" si="368"/>
        <v/>
      </c>
      <c r="Y1471" s="586" t="str">
        <f t="shared" si="362"/>
        <v/>
      </c>
      <c r="Z1471" s="586" t="str">
        <f t="shared" si="360"/>
        <v/>
      </c>
    </row>
    <row r="1472" spans="1:26" ht="23.25" hidden="1" thickBot="1" x14ac:dyDescent="0.25">
      <c r="A1472" s="567">
        <v>92021</v>
      </c>
      <c r="B1472" s="644">
        <v>92021</v>
      </c>
      <c r="C1472" s="645" t="s">
        <v>670</v>
      </c>
      <c r="D1472" s="422" t="s">
        <v>1319</v>
      </c>
      <c r="E1472" s="423"/>
      <c r="F1472" s="424"/>
      <c r="G1472" s="425"/>
      <c r="H1472" s="651"/>
      <c r="I1472" s="420">
        <v>139.86000000000001</v>
      </c>
      <c r="J1472" s="420">
        <f t="shared" si="359"/>
        <v>139.86000000000001</v>
      </c>
      <c r="K1472" s="421">
        <f t="shared" si="358"/>
        <v>166.17</v>
      </c>
      <c r="L1472" s="647" t="s">
        <v>2065</v>
      </c>
      <c r="M1472" s="576"/>
      <c r="N1472" s="576">
        <f t="shared" si="361"/>
        <v>0</v>
      </c>
      <c r="O1472" s="577">
        <f t="shared" si="366"/>
        <v>0</v>
      </c>
      <c r="P1472" s="578">
        <f t="shared" si="367"/>
        <v>0</v>
      </c>
      <c r="Q1472" s="765"/>
      <c r="R1472" s="576">
        <f t="shared" si="363"/>
        <v>0</v>
      </c>
      <c r="S1472" s="576">
        <f t="shared" si="363"/>
        <v>0</v>
      </c>
      <c r="T1472" s="577">
        <f t="shared" si="364"/>
        <v>0</v>
      </c>
      <c r="U1472" s="578">
        <f t="shared" si="365"/>
        <v>0</v>
      </c>
      <c r="V1472" s="579"/>
      <c r="W1472" s="566"/>
      <c r="X1472" s="586" t="str">
        <f t="shared" si="368"/>
        <v/>
      </c>
      <c r="Y1472" s="586" t="str">
        <f t="shared" si="362"/>
        <v/>
      </c>
      <c r="Z1472" s="586" t="str">
        <f t="shared" si="360"/>
        <v/>
      </c>
    </row>
    <row r="1473" spans="1:26" ht="23.25" hidden="1" thickBot="1" x14ac:dyDescent="0.25">
      <c r="A1473" s="567">
        <v>93141</v>
      </c>
      <c r="B1473" s="644">
        <v>93141</v>
      </c>
      <c r="C1473" s="645" t="s">
        <v>670</v>
      </c>
      <c r="D1473" s="422" t="s">
        <v>1320</v>
      </c>
      <c r="E1473" s="423"/>
      <c r="F1473" s="424"/>
      <c r="G1473" s="425"/>
      <c r="H1473" s="651"/>
      <c r="I1473" s="420">
        <v>196.92</v>
      </c>
      <c r="J1473" s="420">
        <f t="shared" si="359"/>
        <v>196.92</v>
      </c>
      <c r="K1473" s="421">
        <f t="shared" si="358"/>
        <v>233.96</v>
      </c>
      <c r="L1473" s="647" t="s">
        <v>2065</v>
      </c>
      <c r="M1473" s="576"/>
      <c r="N1473" s="576">
        <f t="shared" si="361"/>
        <v>0</v>
      </c>
      <c r="O1473" s="577">
        <f t="shared" si="366"/>
        <v>0</v>
      </c>
      <c r="P1473" s="578">
        <f t="shared" si="367"/>
        <v>0</v>
      </c>
      <c r="Q1473" s="765"/>
      <c r="R1473" s="576">
        <f t="shared" si="363"/>
        <v>0</v>
      </c>
      <c r="S1473" s="576">
        <f t="shared" si="363"/>
        <v>0</v>
      </c>
      <c r="T1473" s="577">
        <f t="shared" si="364"/>
        <v>0</v>
      </c>
      <c r="U1473" s="578">
        <f t="shared" si="365"/>
        <v>0</v>
      </c>
      <c r="V1473" s="579"/>
      <c r="W1473" s="566"/>
      <c r="X1473" s="586" t="str">
        <f t="shared" si="368"/>
        <v/>
      </c>
      <c r="Y1473" s="586" t="str">
        <f t="shared" si="362"/>
        <v/>
      </c>
      <c r="Z1473" s="586" t="str">
        <f t="shared" si="360"/>
        <v/>
      </c>
    </row>
    <row r="1474" spans="1:26" ht="23.25" hidden="1" thickBot="1" x14ac:dyDescent="0.25">
      <c r="A1474" s="567">
        <v>93142</v>
      </c>
      <c r="B1474" s="644">
        <v>93142</v>
      </c>
      <c r="C1474" s="645" t="s">
        <v>670</v>
      </c>
      <c r="D1474" s="422" t="s">
        <v>1321</v>
      </c>
      <c r="E1474" s="423"/>
      <c r="F1474" s="424"/>
      <c r="G1474" s="425"/>
      <c r="H1474" s="651"/>
      <c r="I1474" s="420">
        <v>220.72</v>
      </c>
      <c r="J1474" s="420">
        <f t="shared" si="359"/>
        <v>220.72</v>
      </c>
      <c r="K1474" s="421">
        <f t="shared" si="358"/>
        <v>262.24</v>
      </c>
      <c r="L1474" s="647" t="s">
        <v>2065</v>
      </c>
      <c r="M1474" s="576"/>
      <c r="N1474" s="576">
        <f t="shared" si="361"/>
        <v>0</v>
      </c>
      <c r="O1474" s="577">
        <f t="shared" si="366"/>
        <v>0</v>
      </c>
      <c r="P1474" s="578">
        <f t="shared" si="367"/>
        <v>0</v>
      </c>
      <c r="Q1474" s="765"/>
      <c r="R1474" s="576">
        <f t="shared" si="363"/>
        <v>0</v>
      </c>
      <c r="S1474" s="576">
        <f t="shared" si="363"/>
        <v>0</v>
      </c>
      <c r="T1474" s="577">
        <f t="shared" si="364"/>
        <v>0</v>
      </c>
      <c r="U1474" s="578">
        <f t="shared" si="365"/>
        <v>0</v>
      </c>
      <c r="V1474" s="579"/>
      <c r="W1474" s="566"/>
      <c r="X1474" s="586" t="str">
        <f t="shared" si="368"/>
        <v/>
      </c>
      <c r="Y1474" s="586" t="str">
        <f t="shared" si="362"/>
        <v/>
      </c>
      <c r="Z1474" s="586" t="str">
        <f t="shared" si="360"/>
        <v/>
      </c>
    </row>
    <row r="1475" spans="1:26" ht="23.25" hidden="1" thickBot="1" x14ac:dyDescent="0.25">
      <c r="A1475" s="567">
        <v>93143</v>
      </c>
      <c r="B1475" s="644">
        <v>93143</v>
      </c>
      <c r="C1475" s="645" t="s">
        <v>670</v>
      </c>
      <c r="D1475" s="422" t="s">
        <v>1322</v>
      </c>
      <c r="E1475" s="423"/>
      <c r="F1475" s="424"/>
      <c r="G1475" s="425"/>
      <c r="H1475" s="651"/>
      <c r="I1475" s="420">
        <v>199.97</v>
      </c>
      <c r="J1475" s="420">
        <f t="shared" si="359"/>
        <v>199.97</v>
      </c>
      <c r="K1475" s="421">
        <f t="shared" si="358"/>
        <v>237.58</v>
      </c>
      <c r="L1475" s="647" t="s">
        <v>2065</v>
      </c>
      <c r="M1475" s="576"/>
      <c r="N1475" s="576">
        <f t="shared" si="361"/>
        <v>0</v>
      </c>
      <c r="O1475" s="577">
        <f t="shared" si="366"/>
        <v>0</v>
      </c>
      <c r="P1475" s="578">
        <f t="shared" si="367"/>
        <v>0</v>
      </c>
      <c r="Q1475" s="765"/>
      <c r="R1475" s="576">
        <f t="shared" si="363"/>
        <v>0</v>
      </c>
      <c r="S1475" s="576">
        <f t="shared" si="363"/>
        <v>0</v>
      </c>
      <c r="T1475" s="577">
        <f t="shared" si="364"/>
        <v>0</v>
      </c>
      <c r="U1475" s="578">
        <f t="shared" si="365"/>
        <v>0</v>
      </c>
      <c r="V1475" s="579"/>
      <c r="W1475" s="566"/>
      <c r="X1475" s="586" t="str">
        <f t="shared" si="368"/>
        <v/>
      </c>
      <c r="Y1475" s="586" t="str">
        <f t="shared" si="362"/>
        <v/>
      </c>
      <c r="Z1475" s="586" t="str">
        <f t="shared" si="360"/>
        <v/>
      </c>
    </row>
    <row r="1476" spans="1:26" ht="23.25" hidden="1" thickBot="1" x14ac:dyDescent="0.25">
      <c r="A1476" s="567">
        <v>93144</v>
      </c>
      <c r="B1476" s="644">
        <v>93144</v>
      </c>
      <c r="C1476" s="645" t="s">
        <v>670</v>
      </c>
      <c r="D1476" s="422" t="s">
        <v>1323</v>
      </c>
      <c r="E1476" s="423"/>
      <c r="F1476" s="424"/>
      <c r="G1476" s="425"/>
      <c r="H1476" s="651"/>
      <c r="I1476" s="420">
        <v>253.83</v>
      </c>
      <c r="J1476" s="420">
        <f t="shared" si="359"/>
        <v>253.83</v>
      </c>
      <c r="K1476" s="421">
        <f t="shared" si="358"/>
        <v>301.58</v>
      </c>
      <c r="L1476" s="647" t="s">
        <v>2065</v>
      </c>
      <c r="M1476" s="576"/>
      <c r="N1476" s="576">
        <f t="shared" si="361"/>
        <v>0</v>
      </c>
      <c r="O1476" s="577">
        <f t="shared" si="366"/>
        <v>0</v>
      </c>
      <c r="P1476" s="578">
        <f t="shared" si="367"/>
        <v>0</v>
      </c>
      <c r="Q1476" s="765"/>
      <c r="R1476" s="576">
        <f t="shared" si="363"/>
        <v>0</v>
      </c>
      <c r="S1476" s="576">
        <f t="shared" si="363"/>
        <v>0</v>
      </c>
      <c r="T1476" s="577">
        <f t="shared" si="364"/>
        <v>0</v>
      </c>
      <c r="U1476" s="578">
        <f t="shared" si="365"/>
        <v>0</v>
      </c>
      <c r="V1476" s="579"/>
      <c r="W1476" s="566"/>
      <c r="X1476" s="586" t="str">
        <f t="shared" si="368"/>
        <v/>
      </c>
      <c r="Y1476" s="586" t="str">
        <f t="shared" si="362"/>
        <v/>
      </c>
      <c r="Z1476" s="586" t="str">
        <f t="shared" si="360"/>
        <v/>
      </c>
    </row>
    <row r="1477" spans="1:26" ht="34.5" hidden="1" thickBot="1" x14ac:dyDescent="0.25">
      <c r="A1477" s="567">
        <v>93145</v>
      </c>
      <c r="B1477" s="644">
        <v>93145</v>
      </c>
      <c r="C1477" s="645" t="s">
        <v>670</v>
      </c>
      <c r="D1477" s="422" t="s">
        <v>1324</v>
      </c>
      <c r="E1477" s="423"/>
      <c r="F1477" s="424"/>
      <c r="G1477" s="425"/>
      <c r="H1477" s="651"/>
      <c r="I1477" s="420">
        <v>239.5</v>
      </c>
      <c r="J1477" s="420">
        <f t="shared" si="359"/>
        <v>239.5</v>
      </c>
      <c r="K1477" s="421">
        <f t="shared" si="358"/>
        <v>284.55</v>
      </c>
      <c r="L1477" s="647" t="s">
        <v>2065</v>
      </c>
      <c r="M1477" s="576"/>
      <c r="N1477" s="576">
        <f t="shared" si="361"/>
        <v>0</v>
      </c>
      <c r="O1477" s="577">
        <f t="shared" si="366"/>
        <v>0</v>
      </c>
      <c r="P1477" s="578">
        <f t="shared" si="367"/>
        <v>0</v>
      </c>
      <c r="Q1477" s="765"/>
      <c r="R1477" s="576">
        <f t="shared" si="363"/>
        <v>0</v>
      </c>
      <c r="S1477" s="576">
        <f t="shared" si="363"/>
        <v>0</v>
      </c>
      <c r="T1477" s="577">
        <f t="shared" si="364"/>
        <v>0</v>
      </c>
      <c r="U1477" s="578">
        <f t="shared" si="365"/>
        <v>0</v>
      </c>
      <c r="V1477" s="579"/>
      <c r="W1477" s="566"/>
      <c r="X1477" s="586" t="str">
        <f t="shared" si="368"/>
        <v/>
      </c>
      <c r="Y1477" s="586" t="str">
        <f t="shared" si="362"/>
        <v/>
      </c>
      <c r="Z1477" s="586" t="str">
        <f t="shared" si="360"/>
        <v/>
      </c>
    </row>
    <row r="1478" spans="1:26" ht="34.5" hidden="1" thickBot="1" x14ac:dyDescent="0.25">
      <c r="A1478" s="567">
        <v>93146</v>
      </c>
      <c r="B1478" s="644">
        <v>93146</v>
      </c>
      <c r="C1478" s="645" t="s">
        <v>670</v>
      </c>
      <c r="D1478" s="422" t="s">
        <v>1325</v>
      </c>
      <c r="E1478" s="423"/>
      <c r="F1478" s="424"/>
      <c r="G1478" s="425"/>
      <c r="H1478" s="651"/>
      <c r="I1478" s="420">
        <v>258.95999999999998</v>
      </c>
      <c r="J1478" s="420">
        <f t="shared" si="359"/>
        <v>258.95999999999998</v>
      </c>
      <c r="K1478" s="421">
        <f t="shared" si="358"/>
        <v>307.67</v>
      </c>
      <c r="L1478" s="647" t="s">
        <v>2065</v>
      </c>
      <c r="M1478" s="576"/>
      <c r="N1478" s="576">
        <f t="shared" si="361"/>
        <v>0</v>
      </c>
      <c r="O1478" s="577">
        <f t="shared" si="366"/>
        <v>0</v>
      </c>
      <c r="P1478" s="578">
        <f t="shared" si="367"/>
        <v>0</v>
      </c>
      <c r="Q1478" s="765"/>
      <c r="R1478" s="576">
        <f t="shared" si="363"/>
        <v>0</v>
      </c>
      <c r="S1478" s="576">
        <f t="shared" si="363"/>
        <v>0</v>
      </c>
      <c r="T1478" s="577">
        <f t="shared" si="364"/>
        <v>0</v>
      </c>
      <c r="U1478" s="578">
        <f t="shared" si="365"/>
        <v>0</v>
      </c>
      <c r="V1478" s="579"/>
      <c r="W1478" s="566"/>
      <c r="X1478" s="586" t="str">
        <f t="shared" si="368"/>
        <v/>
      </c>
      <c r="Y1478" s="586" t="str">
        <f t="shared" si="362"/>
        <v/>
      </c>
      <c r="Z1478" s="586" t="str">
        <f t="shared" si="360"/>
        <v/>
      </c>
    </row>
    <row r="1479" spans="1:26" ht="34.5" hidden="1" thickBot="1" x14ac:dyDescent="0.25">
      <c r="A1479" s="567">
        <v>93147</v>
      </c>
      <c r="B1479" s="644">
        <v>93147</v>
      </c>
      <c r="C1479" s="645" t="s">
        <v>670</v>
      </c>
      <c r="D1479" s="422" t="s">
        <v>1326</v>
      </c>
      <c r="E1479" s="423"/>
      <c r="F1479" s="424"/>
      <c r="G1479" s="425"/>
      <c r="H1479" s="651"/>
      <c r="I1479" s="420">
        <v>295.49</v>
      </c>
      <c r="J1479" s="420">
        <f t="shared" si="359"/>
        <v>295.49</v>
      </c>
      <c r="K1479" s="421">
        <f t="shared" si="358"/>
        <v>351.07</v>
      </c>
      <c r="L1479" s="647" t="s">
        <v>2065</v>
      </c>
      <c r="M1479" s="576"/>
      <c r="N1479" s="576">
        <f t="shared" si="361"/>
        <v>0</v>
      </c>
      <c r="O1479" s="577">
        <f t="shared" si="366"/>
        <v>0</v>
      </c>
      <c r="P1479" s="578">
        <f t="shared" si="367"/>
        <v>0</v>
      </c>
      <c r="Q1479" s="765"/>
      <c r="R1479" s="576">
        <f t="shared" si="363"/>
        <v>0</v>
      </c>
      <c r="S1479" s="576">
        <f t="shared" si="363"/>
        <v>0</v>
      </c>
      <c r="T1479" s="577">
        <f t="shared" si="364"/>
        <v>0</v>
      </c>
      <c r="U1479" s="578">
        <f t="shared" si="365"/>
        <v>0</v>
      </c>
      <c r="V1479" s="579"/>
      <c r="W1479" s="566"/>
      <c r="X1479" s="586" t="str">
        <f t="shared" si="368"/>
        <v/>
      </c>
      <c r="Y1479" s="586" t="str">
        <f t="shared" si="362"/>
        <v/>
      </c>
      <c r="Z1479" s="586" t="str">
        <f t="shared" si="360"/>
        <v/>
      </c>
    </row>
    <row r="1480" spans="1:26" ht="23.25" hidden="1" thickBot="1" x14ac:dyDescent="0.25">
      <c r="A1480" s="567">
        <v>93128</v>
      </c>
      <c r="B1480" s="644">
        <v>93128</v>
      </c>
      <c r="C1480" s="645" t="s">
        <v>670</v>
      </c>
      <c r="D1480" s="422" t="s">
        <v>1327</v>
      </c>
      <c r="E1480" s="423"/>
      <c r="F1480" s="424"/>
      <c r="G1480" s="425"/>
      <c r="H1480" s="651"/>
      <c r="I1480" s="420">
        <v>162.77000000000001</v>
      </c>
      <c r="J1480" s="420">
        <f t="shared" si="359"/>
        <v>162.77000000000001</v>
      </c>
      <c r="K1480" s="421">
        <f t="shared" si="358"/>
        <v>193.39</v>
      </c>
      <c r="L1480" s="647" t="s">
        <v>2065</v>
      </c>
      <c r="M1480" s="576"/>
      <c r="N1480" s="576">
        <f t="shared" si="361"/>
        <v>0</v>
      </c>
      <c r="O1480" s="577">
        <f t="shared" si="366"/>
        <v>0</v>
      </c>
      <c r="P1480" s="578">
        <f t="shared" si="367"/>
        <v>0</v>
      </c>
      <c r="Q1480" s="765"/>
      <c r="R1480" s="576">
        <f t="shared" si="363"/>
        <v>0</v>
      </c>
      <c r="S1480" s="576">
        <f t="shared" si="363"/>
        <v>0</v>
      </c>
      <c r="T1480" s="577">
        <f t="shared" si="364"/>
        <v>0</v>
      </c>
      <c r="U1480" s="578">
        <f t="shared" si="365"/>
        <v>0</v>
      </c>
      <c r="V1480" s="579"/>
      <c r="W1480" s="566"/>
      <c r="X1480" s="586" t="str">
        <f t="shared" si="368"/>
        <v/>
      </c>
      <c r="Y1480" s="586" t="str">
        <f t="shared" si="362"/>
        <v/>
      </c>
      <c r="Z1480" s="586" t="str">
        <f t="shared" si="360"/>
        <v/>
      </c>
    </row>
    <row r="1481" spans="1:26" ht="34.5" hidden="1" thickBot="1" x14ac:dyDescent="0.25">
      <c r="A1481" s="567">
        <v>93137</v>
      </c>
      <c r="B1481" s="644">
        <v>93137</v>
      </c>
      <c r="C1481" s="645" t="s">
        <v>670</v>
      </c>
      <c r="D1481" s="422" t="s">
        <v>1328</v>
      </c>
      <c r="E1481" s="423"/>
      <c r="F1481" s="424"/>
      <c r="G1481" s="425"/>
      <c r="H1481" s="651"/>
      <c r="I1481" s="420">
        <v>193.19</v>
      </c>
      <c r="J1481" s="420">
        <f t="shared" si="359"/>
        <v>193.19</v>
      </c>
      <c r="K1481" s="421">
        <f t="shared" ref="K1481:K1544" si="369">IF(ISBLANK(I1481),0,ROUND(J1481*(1+$F$10)*(1+$F$11*E1481),2))</f>
        <v>229.53</v>
      </c>
      <c r="L1481" s="647" t="s">
        <v>2065</v>
      </c>
      <c r="M1481" s="576"/>
      <c r="N1481" s="576">
        <f t="shared" si="361"/>
        <v>0</v>
      </c>
      <c r="O1481" s="577">
        <f t="shared" si="366"/>
        <v>0</v>
      </c>
      <c r="P1481" s="578">
        <f t="shared" si="367"/>
        <v>0</v>
      </c>
      <c r="Q1481" s="765"/>
      <c r="R1481" s="576">
        <f t="shared" si="363"/>
        <v>0</v>
      </c>
      <c r="S1481" s="576">
        <f t="shared" si="363"/>
        <v>0</v>
      </c>
      <c r="T1481" s="577">
        <f t="shared" si="364"/>
        <v>0</v>
      </c>
      <c r="U1481" s="578">
        <f t="shared" si="365"/>
        <v>0</v>
      </c>
      <c r="V1481" s="579"/>
      <c r="W1481" s="566"/>
      <c r="X1481" s="586" t="str">
        <f t="shared" si="368"/>
        <v/>
      </c>
      <c r="Y1481" s="586" t="str">
        <f t="shared" si="362"/>
        <v/>
      </c>
      <c r="Z1481" s="586" t="str">
        <f t="shared" si="360"/>
        <v/>
      </c>
    </row>
    <row r="1482" spans="1:26" ht="34.5" hidden="1" thickBot="1" x14ac:dyDescent="0.25">
      <c r="A1482" s="567">
        <v>93138</v>
      </c>
      <c r="B1482" s="644">
        <v>93138</v>
      </c>
      <c r="C1482" s="645" t="s">
        <v>670</v>
      </c>
      <c r="D1482" s="422" t="s">
        <v>1329</v>
      </c>
      <c r="E1482" s="423"/>
      <c r="F1482" s="424"/>
      <c r="G1482" s="425"/>
      <c r="H1482" s="651"/>
      <c r="I1482" s="420">
        <v>182.24</v>
      </c>
      <c r="J1482" s="420">
        <f t="shared" si="359"/>
        <v>182.24</v>
      </c>
      <c r="K1482" s="421">
        <f t="shared" si="369"/>
        <v>216.52</v>
      </c>
      <c r="L1482" s="647" t="s">
        <v>2065</v>
      </c>
      <c r="M1482" s="576"/>
      <c r="N1482" s="576">
        <f t="shared" si="361"/>
        <v>0</v>
      </c>
      <c r="O1482" s="577">
        <f t="shared" si="366"/>
        <v>0</v>
      </c>
      <c r="P1482" s="578">
        <f t="shared" si="367"/>
        <v>0</v>
      </c>
      <c r="Q1482" s="765"/>
      <c r="R1482" s="576">
        <f t="shared" si="363"/>
        <v>0</v>
      </c>
      <c r="S1482" s="576">
        <f t="shared" si="363"/>
        <v>0</v>
      </c>
      <c r="T1482" s="577">
        <f t="shared" si="364"/>
        <v>0</v>
      </c>
      <c r="U1482" s="578">
        <f t="shared" si="365"/>
        <v>0</v>
      </c>
      <c r="V1482" s="579"/>
      <c r="W1482" s="566"/>
      <c r="X1482" s="586" t="str">
        <f t="shared" si="368"/>
        <v/>
      </c>
      <c r="Y1482" s="586" t="str">
        <f t="shared" si="362"/>
        <v/>
      </c>
      <c r="Z1482" s="586" t="str">
        <f t="shared" si="360"/>
        <v/>
      </c>
    </row>
    <row r="1483" spans="1:26" ht="34.5" hidden="1" thickBot="1" x14ac:dyDescent="0.25">
      <c r="A1483" s="567">
        <v>93139</v>
      </c>
      <c r="B1483" s="644">
        <v>93139</v>
      </c>
      <c r="C1483" s="645" t="s">
        <v>670</v>
      </c>
      <c r="D1483" s="422" t="s">
        <v>1330</v>
      </c>
      <c r="E1483" s="423"/>
      <c r="F1483" s="424"/>
      <c r="G1483" s="425"/>
      <c r="H1483" s="651"/>
      <c r="I1483" s="420">
        <v>232.07</v>
      </c>
      <c r="J1483" s="420">
        <f t="shared" si="359"/>
        <v>232.07</v>
      </c>
      <c r="K1483" s="421">
        <f t="shared" si="369"/>
        <v>275.72000000000003</v>
      </c>
      <c r="L1483" s="647" t="s">
        <v>2065</v>
      </c>
      <c r="M1483" s="576"/>
      <c r="N1483" s="576">
        <f t="shared" si="361"/>
        <v>0</v>
      </c>
      <c r="O1483" s="577">
        <f t="shared" si="366"/>
        <v>0</v>
      </c>
      <c r="P1483" s="578">
        <f t="shared" si="367"/>
        <v>0</v>
      </c>
      <c r="Q1483" s="765"/>
      <c r="R1483" s="576">
        <f t="shared" si="363"/>
        <v>0</v>
      </c>
      <c r="S1483" s="576">
        <f t="shared" si="363"/>
        <v>0</v>
      </c>
      <c r="T1483" s="577">
        <f t="shared" si="364"/>
        <v>0</v>
      </c>
      <c r="U1483" s="578">
        <f t="shared" si="365"/>
        <v>0</v>
      </c>
      <c r="V1483" s="579"/>
      <c r="W1483" s="566"/>
      <c r="X1483" s="586" t="str">
        <f t="shared" si="368"/>
        <v/>
      </c>
      <c r="Y1483" s="586" t="str">
        <f t="shared" si="362"/>
        <v/>
      </c>
      <c r="Z1483" s="586" t="str">
        <f t="shared" si="360"/>
        <v/>
      </c>
    </row>
    <row r="1484" spans="1:26" ht="34.5" hidden="1" thickBot="1" x14ac:dyDescent="0.25">
      <c r="A1484" s="567">
        <v>93140</v>
      </c>
      <c r="B1484" s="644">
        <v>93140</v>
      </c>
      <c r="C1484" s="645" t="s">
        <v>670</v>
      </c>
      <c r="D1484" s="422" t="s">
        <v>1331</v>
      </c>
      <c r="E1484" s="423"/>
      <c r="F1484" s="424"/>
      <c r="G1484" s="425"/>
      <c r="H1484" s="651"/>
      <c r="I1484" s="420">
        <v>218.71</v>
      </c>
      <c r="J1484" s="420">
        <f t="shared" si="359"/>
        <v>218.71</v>
      </c>
      <c r="K1484" s="421">
        <f t="shared" si="369"/>
        <v>259.85000000000002</v>
      </c>
      <c r="L1484" s="647" t="s">
        <v>2065</v>
      </c>
      <c r="M1484" s="576"/>
      <c r="N1484" s="576">
        <f t="shared" si="361"/>
        <v>0</v>
      </c>
      <c r="O1484" s="577">
        <f t="shared" si="366"/>
        <v>0</v>
      </c>
      <c r="P1484" s="578">
        <f t="shared" si="367"/>
        <v>0</v>
      </c>
      <c r="Q1484" s="765"/>
      <c r="R1484" s="576">
        <f t="shared" si="363"/>
        <v>0</v>
      </c>
      <c r="S1484" s="576">
        <f t="shared" si="363"/>
        <v>0</v>
      </c>
      <c r="T1484" s="577">
        <f t="shared" si="364"/>
        <v>0</v>
      </c>
      <c r="U1484" s="578">
        <f t="shared" si="365"/>
        <v>0</v>
      </c>
      <c r="V1484" s="579"/>
      <c r="W1484" s="566"/>
      <c r="X1484" s="586" t="str">
        <f t="shared" si="368"/>
        <v/>
      </c>
      <c r="Y1484" s="586" t="str">
        <f t="shared" si="362"/>
        <v/>
      </c>
      <c r="Z1484" s="586" t="str">
        <f t="shared" si="360"/>
        <v/>
      </c>
    </row>
    <row r="1485" spans="1:26" ht="23.25" hidden="1" thickBot="1" x14ac:dyDescent="0.25">
      <c r="A1485" s="567">
        <v>97595</v>
      </c>
      <c r="B1485" s="644">
        <v>97595</v>
      </c>
      <c r="C1485" s="645" t="s">
        <v>670</v>
      </c>
      <c r="D1485" s="422" t="s">
        <v>1332</v>
      </c>
      <c r="E1485" s="423"/>
      <c r="F1485" s="424"/>
      <c r="G1485" s="425"/>
      <c r="H1485" s="651"/>
      <c r="I1485" s="420">
        <v>141.28</v>
      </c>
      <c r="J1485" s="420">
        <f t="shared" si="359"/>
        <v>141.28</v>
      </c>
      <c r="K1485" s="421">
        <f t="shared" si="369"/>
        <v>167.85</v>
      </c>
      <c r="L1485" s="647" t="s">
        <v>2065</v>
      </c>
      <c r="M1485" s="576"/>
      <c r="N1485" s="576">
        <f t="shared" si="361"/>
        <v>0</v>
      </c>
      <c r="O1485" s="577">
        <f t="shared" si="366"/>
        <v>0</v>
      </c>
      <c r="P1485" s="578">
        <f t="shared" si="367"/>
        <v>0</v>
      </c>
      <c r="Q1485" s="765"/>
      <c r="R1485" s="576">
        <f t="shared" si="363"/>
        <v>0</v>
      </c>
      <c r="S1485" s="576">
        <f t="shared" si="363"/>
        <v>0</v>
      </c>
      <c r="T1485" s="577">
        <f t="shared" si="364"/>
        <v>0</v>
      </c>
      <c r="U1485" s="578">
        <f t="shared" si="365"/>
        <v>0</v>
      </c>
      <c r="V1485" s="579"/>
      <c r="W1485" s="566"/>
      <c r="X1485" s="586" t="str">
        <f t="shared" si="368"/>
        <v/>
      </c>
      <c r="Y1485" s="586" t="str">
        <f t="shared" si="362"/>
        <v/>
      </c>
      <c r="Z1485" s="586" t="str">
        <f t="shared" si="360"/>
        <v/>
      </c>
    </row>
    <row r="1486" spans="1:26" ht="23.25" hidden="1" thickBot="1" x14ac:dyDescent="0.25">
      <c r="A1486" s="567">
        <v>97596</v>
      </c>
      <c r="B1486" s="644">
        <v>97596</v>
      </c>
      <c r="C1486" s="645" t="s">
        <v>670</v>
      </c>
      <c r="D1486" s="422" t="s">
        <v>1333</v>
      </c>
      <c r="E1486" s="423"/>
      <c r="F1486" s="424"/>
      <c r="G1486" s="425"/>
      <c r="H1486" s="651"/>
      <c r="I1486" s="420">
        <v>95.65</v>
      </c>
      <c r="J1486" s="420">
        <f t="shared" si="359"/>
        <v>95.65</v>
      </c>
      <c r="K1486" s="421">
        <f t="shared" si="369"/>
        <v>113.64</v>
      </c>
      <c r="L1486" s="647" t="s">
        <v>2065</v>
      </c>
      <c r="M1486" s="576"/>
      <c r="N1486" s="576">
        <f t="shared" si="361"/>
        <v>0</v>
      </c>
      <c r="O1486" s="577">
        <f t="shared" si="366"/>
        <v>0</v>
      </c>
      <c r="P1486" s="578">
        <f t="shared" si="367"/>
        <v>0</v>
      </c>
      <c r="Q1486" s="765"/>
      <c r="R1486" s="576">
        <f t="shared" si="363"/>
        <v>0</v>
      </c>
      <c r="S1486" s="576">
        <f t="shared" si="363"/>
        <v>0</v>
      </c>
      <c r="T1486" s="577">
        <f t="shared" si="364"/>
        <v>0</v>
      </c>
      <c r="U1486" s="578">
        <f t="shared" si="365"/>
        <v>0</v>
      </c>
      <c r="V1486" s="579"/>
      <c r="W1486" s="566"/>
      <c r="X1486" s="586" t="str">
        <f t="shared" si="368"/>
        <v/>
      </c>
      <c r="Y1486" s="586" t="str">
        <f t="shared" si="362"/>
        <v/>
      </c>
      <c r="Z1486" s="586" t="str">
        <f t="shared" si="360"/>
        <v/>
      </c>
    </row>
    <row r="1487" spans="1:26" ht="23.25" hidden="1" thickBot="1" x14ac:dyDescent="0.25">
      <c r="A1487" s="567">
        <v>97597</v>
      </c>
      <c r="B1487" s="644">
        <v>97597</v>
      </c>
      <c r="C1487" s="645" t="s">
        <v>670</v>
      </c>
      <c r="D1487" s="422" t="s">
        <v>1334</v>
      </c>
      <c r="E1487" s="423"/>
      <c r="F1487" s="424"/>
      <c r="G1487" s="425"/>
      <c r="H1487" s="651"/>
      <c r="I1487" s="420">
        <v>97.68</v>
      </c>
      <c r="J1487" s="420">
        <f t="shared" si="359"/>
        <v>97.68</v>
      </c>
      <c r="K1487" s="421">
        <f t="shared" si="369"/>
        <v>116.05</v>
      </c>
      <c r="L1487" s="647" t="s">
        <v>2065</v>
      </c>
      <c r="M1487" s="576"/>
      <c r="N1487" s="576">
        <f t="shared" si="361"/>
        <v>0</v>
      </c>
      <c r="O1487" s="577">
        <f t="shared" si="366"/>
        <v>0</v>
      </c>
      <c r="P1487" s="578">
        <f t="shared" si="367"/>
        <v>0</v>
      </c>
      <c r="Q1487" s="765"/>
      <c r="R1487" s="576">
        <f t="shared" si="363"/>
        <v>0</v>
      </c>
      <c r="S1487" s="576">
        <f t="shared" si="363"/>
        <v>0</v>
      </c>
      <c r="T1487" s="577">
        <f t="shared" si="364"/>
        <v>0</v>
      </c>
      <c r="U1487" s="578">
        <f t="shared" si="365"/>
        <v>0</v>
      </c>
      <c r="V1487" s="579"/>
      <c r="W1487" s="566"/>
      <c r="X1487" s="586" t="str">
        <f t="shared" si="368"/>
        <v/>
      </c>
      <c r="Y1487" s="586" t="str">
        <f t="shared" si="362"/>
        <v/>
      </c>
      <c r="Z1487" s="586" t="str">
        <f t="shared" si="360"/>
        <v/>
      </c>
    </row>
    <row r="1488" spans="1:26" ht="23.25" hidden="1" thickBot="1" x14ac:dyDescent="0.25">
      <c r="A1488" s="567">
        <v>97598</v>
      </c>
      <c r="B1488" s="644">
        <v>97598</v>
      </c>
      <c r="C1488" s="645" t="s">
        <v>670</v>
      </c>
      <c r="D1488" s="422" t="s">
        <v>1335</v>
      </c>
      <c r="E1488" s="423"/>
      <c r="F1488" s="424"/>
      <c r="G1488" s="425"/>
      <c r="H1488" s="651"/>
      <c r="I1488" s="420">
        <v>91.85</v>
      </c>
      <c r="J1488" s="420">
        <f t="shared" si="359"/>
        <v>91.85</v>
      </c>
      <c r="K1488" s="421">
        <f t="shared" si="369"/>
        <v>109.13</v>
      </c>
      <c r="L1488" s="647" t="s">
        <v>2065</v>
      </c>
      <c r="M1488" s="576"/>
      <c r="N1488" s="576">
        <f t="shared" si="361"/>
        <v>0</v>
      </c>
      <c r="O1488" s="577">
        <f t="shared" si="366"/>
        <v>0</v>
      </c>
      <c r="P1488" s="578">
        <f t="shared" si="367"/>
        <v>0</v>
      </c>
      <c r="Q1488" s="765"/>
      <c r="R1488" s="576">
        <f t="shared" si="363"/>
        <v>0</v>
      </c>
      <c r="S1488" s="576">
        <f t="shared" si="363"/>
        <v>0</v>
      </c>
      <c r="T1488" s="577">
        <f t="shared" si="364"/>
        <v>0</v>
      </c>
      <c r="U1488" s="578">
        <f t="shared" si="365"/>
        <v>0</v>
      </c>
      <c r="V1488" s="579"/>
      <c r="W1488" s="566"/>
      <c r="X1488" s="586" t="str">
        <f t="shared" si="368"/>
        <v/>
      </c>
      <c r="Y1488" s="586" t="str">
        <f t="shared" si="362"/>
        <v/>
      </c>
      <c r="Z1488" s="586" t="str">
        <f t="shared" si="360"/>
        <v/>
      </c>
    </row>
    <row r="1489" spans="1:26" ht="23.25" hidden="1" thickBot="1" x14ac:dyDescent="0.25">
      <c r="A1489" s="567">
        <v>97599</v>
      </c>
      <c r="B1489" s="644">
        <v>97599</v>
      </c>
      <c r="C1489" s="645" t="s">
        <v>670</v>
      </c>
      <c r="D1489" s="422" t="s">
        <v>1336</v>
      </c>
      <c r="E1489" s="423"/>
      <c r="F1489" s="424"/>
      <c r="G1489" s="425"/>
      <c r="H1489" s="651"/>
      <c r="I1489" s="420">
        <v>29.25</v>
      </c>
      <c r="J1489" s="420">
        <f t="shared" si="359"/>
        <v>29.25</v>
      </c>
      <c r="K1489" s="421">
        <f t="shared" si="369"/>
        <v>34.75</v>
      </c>
      <c r="L1489" s="647" t="s">
        <v>2065</v>
      </c>
      <c r="M1489" s="576"/>
      <c r="N1489" s="576">
        <f t="shared" si="361"/>
        <v>0</v>
      </c>
      <c r="O1489" s="577">
        <f t="shared" si="366"/>
        <v>0</v>
      </c>
      <c r="P1489" s="578">
        <f t="shared" si="367"/>
        <v>0</v>
      </c>
      <c r="Q1489" s="765"/>
      <c r="R1489" s="576">
        <f t="shared" si="363"/>
        <v>0</v>
      </c>
      <c r="S1489" s="576">
        <f t="shared" si="363"/>
        <v>0</v>
      </c>
      <c r="T1489" s="577">
        <f t="shared" si="364"/>
        <v>0</v>
      </c>
      <c r="U1489" s="578">
        <f t="shared" si="365"/>
        <v>0</v>
      </c>
      <c r="V1489" s="579"/>
      <c r="W1489" s="566"/>
      <c r="X1489" s="586" t="str">
        <f t="shared" si="368"/>
        <v/>
      </c>
      <c r="Y1489" s="586" t="str">
        <f t="shared" si="362"/>
        <v/>
      </c>
      <c r="Z1489" s="586" t="str">
        <f t="shared" si="360"/>
        <v/>
      </c>
    </row>
    <row r="1490" spans="1:26" ht="23.25" hidden="1" thickBot="1" x14ac:dyDescent="0.25">
      <c r="A1490" s="567">
        <v>97583</v>
      </c>
      <c r="B1490" s="644">
        <v>97583</v>
      </c>
      <c r="C1490" s="645" t="s">
        <v>670</v>
      </c>
      <c r="D1490" s="422" t="s">
        <v>1337</v>
      </c>
      <c r="E1490" s="423"/>
      <c r="F1490" s="424"/>
      <c r="G1490" s="425"/>
      <c r="H1490" s="651"/>
      <c r="I1490" s="420">
        <v>120.49</v>
      </c>
      <c r="J1490" s="420">
        <f t="shared" si="359"/>
        <v>120.49</v>
      </c>
      <c r="K1490" s="421">
        <f t="shared" si="369"/>
        <v>143.15</v>
      </c>
      <c r="L1490" s="647" t="s">
        <v>2065</v>
      </c>
      <c r="M1490" s="576"/>
      <c r="N1490" s="576">
        <f t="shared" si="361"/>
        <v>0</v>
      </c>
      <c r="O1490" s="577">
        <f t="shared" si="366"/>
        <v>0</v>
      </c>
      <c r="P1490" s="578">
        <f t="shared" si="367"/>
        <v>0</v>
      </c>
      <c r="Q1490" s="765"/>
      <c r="R1490" s="576">
        <f t="shared" si="363"/>
        <v>0</v>
      </c>
      <c r="S1490" s="576">
        <f t="shared" si="363"/>
        <v>0</v>
      </c>
      <c r="T1490" s="577">
        <f t="shared" si="364"/>
        <v>0</v>
      </c>
      <c r="U1490" s="578">
        <f t="shared" si="365"/>
        <v>0</v>
      </c>
      <c r="V1490" s="579"/>
      <c r="W1490" s="566"/>
      <c r="X1490" s="586" t="str">
        <f t="shared" si="368"/>
        <v/>
      </c>
      <c r="Y1490" s="586" t="str">
        <f t="shared" si="362"/>
        <v/>
      </c>
      <c r="Z1490" s="586" t="str">
        <f t="shared" si="360"/>
        <v/>
      </c>
    </row>
    <row r="1491" spans="1:26" ht="23.25" hidden="1" thickBot="1" x14ac:dyDescent="0.25">
      <c r="A1491" s="567">
        <v>101662</v>
      </c>
      <c r="B1491" s="644">
        <v>101662</v>
      </c>
      <c r="C1491" s="645" t="s">
        <v>670</v>
      </c>
      <c r="D1491" s="422" t="s">
        <v>1338</v>
      </c>
      <c r="E1491" s="423"/>
      <c r="F1491" s="424"/>
      <c r="G1491" s="425"/>
      <c r="H1491" s="651"/>
      <c r="I1491" s="420">
        <v>970.72</v>
      </c>
      <c r="J1491" s="420">
        <f t="shared" ref="J1491:J1554" si="370">IF(ISBLANK(I1491),"",SUM(H1491:I1491))</f>
        <v>970.72</v>
      </c>
      <c r="K1491" s="421">
        <f t="shared" si="369"/>
        <v>1153.31</v>
      </c>
      <c r="L1491" s="647" t="s">
        <v>2065</v>
      </c>
      <c r="M1491" s="576"/>
      <c r="N1491" s="576">
        <f t="shared" si="361"/>
        <v>0</v>
      </c>
      <c r="O1491" s="577">
        <f t="shared" si="366"/>
        <v>0</v>
      </c>
      <c r="P1491" s="578">
        <f t="shared" si="367"/>
        <v>0</v>
      </c>
      <c r="Q1491" s="765"/>
      <c r="R1491" s="576">
        <f t="shared" si="363"/>
        <v>0</v>
      </c>
      <c r="S1491" s="576">
        <f t="shared" si="363"/>
        <v>0</v>
      </c>
      <c r="T1491" s="577">
        <f t="shared" si="364"/>
        <v>0</v>
      </c>
      <c r="U1491" s="578">
        <f t="shared" si="365"/>
        <v>0</v>
      </c>
      <c r="V1491" s="579"/>
      <c r="W1491" s="566"/>
      <c r="X1491" s="586" t="str">
        <f t="shared" si="368"/>
        <v/>
      </c>
      <c r="Y1491" s="586" t="str">
        <f t="shared" si="362"/>
        <v/>
      </c>
      <c r="Z1491" s="586" t="str">
        <f t="shared" ref="Z1491:Z1554" si="371">IF(W1491="X","x",IF(U1491&gt;0,"x",""))</f>
        <v/>
      </c>
    </row>
    <row r="1492" spans="1:26" ht="23.25" hidden="1" thickBot="1" x14ac:dyDescent="0.25">
      <c r="A1492" s="567">
        <v>101652</v>
      </c>
      <c r="B1492" s="644">
        <v>101652</v>
      </c>
      <c r="C1492" s="645" t="s">
        <v>670</v>
      </c>
      <c r="D1492" s="422" t="s">
        <v>1339</v>
      </c>
      <c r="E1492" s="423"/>
      <c r="F1492" s="424"/>
      <c r="G1492" s="425"/>
      <c r="H1492" s="651"/>
      <c r="I1492" s="420">
        <v>702.82</v>
      </c>
      <c r="J1492" s="420">
        <f t="shared" si="370"/>
        <v>702.82</v>
      </c>
      <c r="K1492" s="421">
        <f t="shared" si="369"/>
        <v>835.02</v>
      </c>
      <c r="L1492" s="647" t="s">
        <v>2065</v>
      </c>
      <c r="M1492" s="576"/>
      <c r="N1492" s="576">
        <f t="shared" ref="N1492:N1555" si="372">IF(M1492=0,0,K1492)</f>
        <v>0</v>
      </c>
      <c r="O1492" s="577">
        <f t="shared" si="366"/>
        <v>0</v>
      </c>
      <c r="P1492" s="578">
        <f t="shared" si="367"/>
        <v>0</v>
      </c>
      <c r="Q1492" s="765"/>
      <c r="R1492" s="576">
        <f t="shared" si="363"/>
        <v>0</v>
      </c>
      <c r="S1492" s="576">
        <f t="shared" si="363"/>
        <v>0</v>
      </c>
      <c r="T1492" s="577">
        <f t="shared" si="364"/>
        <v>0</v>
      </c>
      <c r="U1492" s="578">
        <f t="shared" si="365"/>
        <v>0</v>
      </c>
      <c r="V1492" s="579"/>
      <c r="W1492" s="566"/>
      <c r="X1492" s="586" t="str">
        <f t="shared" si="368"/>
        <v/>
      </c>
      <c r="Y1492" s="586" t="str">
        <f t="shared" si="362"/>
        <v/>
      </c>
      <c r="Z1492" s="586" t="str">
        <f t="shared" si="371"/>
        <v/>
      </c>
    </row>
    <row r="1493" spans="1:26" ht="34.5" hidden="1" thickBot="1" x14ac:dyDescent="0.25">
      <c r="A1493" s="567">
        <v>101653</v>
      </c>
      <c r="B1493" s="644">
        <v>101653</v>
      </c>
      <c r="C1493" s="645" t="s">
        <v>670</v>
      </c>
      <c r="D1493" s="422" t="s">
        <v>1340</v>
      </c>
      <c r="E1493" s="423"/>
      <c r="F1493" s="424"/>
      <c r="G1493" s="425"/>
      <c r="H1493" s="651"/>
      <c r="I1493" s="420">
        <v>345.88</v>
      </c>
      <c r="J1493" s="420">
        <f t="shared" si="370"/>
        <v>345.88</v>
      </c>
      <c r="K1493" s="421">
        <f t="shared" si="369"/>
        <v>410.94</v>
      </c>
      <c r="L1493" s="647" t="s">
        <v>2065</v>
      </c>
      <c r="M1493" s="576"/>
      <c r="N1493" s="576">
        <f t="shared" si="372"/>
        <v>0</v>
      </c>
      <c r="O1493" s="577">
        <f t="shared" si="366"/>
        <v>0</v>
      </c>
      <c r="P1493" s="578">
        <f t="shared" si="367"/>
        <v>0</v>
      </c>
      <c r="Q1493" s="765"/>
      <c r="R1493" s="576">
        <f t="shared" si="363"/>
        <v>0</v>
      </c>
      <c r="S1493" s="576">
        <f t="shared" si="363"/>
        <v>0</v>
      </c>
      <c r="T1493" s="577">
        <f t="shared" si="364"/>
        <v>0</v>
      </c>
      <c r="U1493" s="578">
        <f t="shared" si="365"/>
        <v>0</v>
      </c>
      <c r="V1493" s="579"/>
      <c r="W1493" s="566"/>
      <c r="X1493" s="586" t="str">
        <f t="shared" si="368"/>
        <v/>
      </c>
      <c r="Y1493" s="586" t="str">
        <f t="shared" si="362"/>
        <v/>
      </c>
      <c r="Z1493" s="586" t="str">
        <f t="shared" si="371"/>
        <v/>
      </c>
    </row>
    <row r="1494" spans="1:26" ht="23.25" hidden="1" thickBot="1" x14ac:dyDescent="0.25">
      <c r="A1494" s="567">
        <v>97584</v>
      </c>
      <c r="B1494" s="644">
        <v>97584</v>
      </c>
      <c r="C1494" s="645" t="s">
        <v>670</v>
      </c>
      <c r="D1494" s="422" t="s">
        <v>1341</v>
      </c>
      <c r="E1494" s="423"/>
      <c r="F1494" s="424"/>
      <c r="G1494" s="425"/>
      <c r="H1494" s="651"/>
      <c r="I1494" s="420">
        <v>171.1</v>
      </c>
      <c r="J1494" s="420">
        <f t="shared" si="370"/>
        <v>171.1</v>
      </c>
      <c r="K1494" s="421">
        <f t="shared" si="369"/>
        <v>203.28</v>
      </c>
      <c r="L1494" s="647" t="s">
        <v>2065</v>
      </c>
      <c r="M1494" s="576"/>
      <c r="N1494" s="576">
        <f t="shared" si="372"/>
        <v>0</v>
      </c>
      <c r="O1494" s="577">
        <f t="shared" si="366"/>
        <v>0</v>
      </c>
      <c r="P1494" s="578">
        <f t="shared" si="367"/>
        <v>0</v>
      </c>
      <c r="Q1494" s="765"/>
      <c r="R1494" s="576">
        <f t="shared" si="363"/>
        <v>0</v>
      </c>
      <c r="S1494" s="576">
        <f t="shared" si="363"/>
        <v>0</v>
      </c>
      <c r="T1494" s="577">
        <f t="shared" si="364"/>
        <v>0</v>
      </c>
      <c r="U1494" s="578">
        <f t="shared" si="365"/>
        <v>0</v>
      </c>
      <c r="V1494" s="579"/>
      <c r="W1494" s="566"/>
      <c r="X1494" s="586" t="str">
        <f t="shared" si="368"/>
        <v/>
      </c>
      <c r="Y1494" s="586" t="str">
        <f t="shared" si="362"/>
        <v/>
      </c>
      <c r="Z1494" s="586" t="str">
        <f t="shared" si="371"/>
        <v/>
      </c>
    </row>
    <row r="1495" spans="1:26" ht="23.25" hidden="1" thickBot="1" x14ac:dyDescent="0.25">
      <c r="A1495" s="567">
        <v>97585</v>
      </c>
      <c r="B1495" s="644">
        <v>97585</v>
      </c>
      <c r="C1495" s="645" t="s">
        <v>670</v>
      </c>
      <c r="D1495" s="422" t="s">
        <v>1342</v>
      </c>
      <c r="E1495" s="423"/>
      <c r="F1495" s="424"/>
      <c r="G1495" s="425"/>
      <c r="H1495" s="651"/>
      <c r="I1495" s="420">
        <v>163.49</v>
      </c>
      <c r="J1495" s="420">
        <f t="shared" si="370"/>
        <v>163.49</v>
      </c>
      <c r="K1495" s="421">
        <f t="shared" si="369"/>
        <v>194.24</v>
      </c>
      <c r="L1495" s="647" t="s">
        <v>2065</v>
      </c>
      <c r="M1495" s="576"/>
      <c r="N1495" s="576">
        <f t="shared" si="372"/>
        <v>0</v>
      </c>
      <c r="O1495" s="577">
        <f t="shared" si="366"/>
        <v>0</v>
      </c>
      <c r="P1495" s="578">
        <f t="shared" si="367"/>
        <v>0</v>
      </c>
      <c r="Q1495" s="765"/>
      <c r="R1495" s="576">
        <f t="shared" si="363"/>
        <v>0</v>
      </c>
      <c r="S1495" s="576">
        <f t="shared" si="363"/>
        <v>0</v>
      </c>
      <c r="T1495" s="577">
        <f t="shared" si="364"/>
        <v>0</v>
      </c>
      <c r="U1495" s="578">
        <f t="shared" si="365"/>
        <v>0</v>
      </c>
      <c r="V1495" s="579"/>
      <c r="W1495" s="566"/>
      <c r="X1495" s="586" t="str">
        <f t="shared" si="368"/>
        <v/>
      </c>
      <c r="Y1495" s="586" t="str">
        <f t="shared" si="362"/>
        <v/>
      </c>
      <c r="Z1495" s="586" t="str">
        <f t="shared" si="371"/>
        <v/>
      </c>
    </row>
    <row r="1496" spans="1:26" ht="23.25" hidden="1" thickBot="1" x14ac:dyDescent="0.25">
      <c r="A1496" s="567">
        <v>97586</v>
      </c>
      <c r="B1496" s="644">
        <v>97586</v>
      </c>
      <c r="C1496" s="645" t="s">
        <v>670</v>
      </c>
      <c r="D1496" s="422" t="s">
        <v>1343</v>
      </c>
      <c r="E1496" s="423"/>
      <c r="F1496" s="424"/>
      <c r="G1496" s="425"/>
      <c r="H1496" s="651"/>
      <c r="I1496" s="420">
        <v>224.61</v>
      </c>
      <c r="J1496" s="420">
        <f t="shared" si="370"/>
        <v>224.61</v>
      </c>
      <c r="K1496" s="421">
        <f t="shared" si="369"/>
        <v>266.86</v>
      </c>
      <c r="L1496" s="647" t="s">
        <v>2065</v>
      </c>
      <c r="M1496" s="576"/>
      <c r="N1496" s="576">
        <f t="shared" si="372"/>
        <v>0</v>
      </c>
      <c r="O1496" s="577">
        <f t="shared" si="366"/>
        <v>0</v>
      </c>
      <c r="P1496" s="578">
        <f t="shared" si="367"/>
        <v>0</v>
      </c>
      <c r="Q1496" s="765"/>
      <c r="R1496" s="576">
        <f t="shared" si="363"/>
        <v>0</v>
      </c>
      <c r="S1496" s="576">
        <f t="shared" si="363"/>
        <v>0</v>
      </c>
      <c r="T1496" s="577">
        <f t="shared" si="364"/>
        <v>0</v>
      </c>
      <c r="U1496" s="578">
        <f t="shared" si="365"/>
        <v>0</v>
      </c>
      <c r="V1496" s="579"/>
      <c r="W1496" s="566"/>
      <c r="X1496" s="586" t="str">
        <f t="shared" si="368"/>
        <v/>
      </c>
      <c r="Y1496" s="586" t="str">
        <f t="shared" si="362"/>
        <v/>
      </c>
      <c r="Z1496" s="586" t="str">
        <f t="shared" si="371"/>
        <v/>
      </c>
    </row>
    <row r="1497" spans="1:26" ht="23.25" hidden="1" thickBot="1" x14ac:dyDescent="0.25">
      <c r="A1497" s="567">
        <v>97587</v>
      </c>
      <c r="B1497" s="644">
        <v>97587</v>
      </c>
      <c r="C1497" s="645" t="s">
        <v>670</v>
      </c>
      <c r="D1497" s="422" t="s">
        <v>1344</v>
      </c>
      <c r="E1497" s="423"/>
      <c r="F1497" s="424"/>
      <c r="G1497" s="425"/>
      <c r="H1497" s="651"/>
      <c r="I1497" s="420">
        <v>416.88</v>
      </c>
      <c r="J1497" s="420">
        <f t="shared" si="370"/>
        <v>416.88</v>
      </c>
      <c r="K1497" s="421">
        <f t="shared" si="369"/>
        <v>495.3</v>
      </c>
      <c r="L1497" s="647" t="s">
        <v>2065</v>
      </c>
      <c r="M1497" s="576"/>
      <c r="N1497" s="576">
        <f t="shared" si="372"/>
        <v>0</v>
      </c>
      <c r="O1497" s="577">
        <f t="shared" si="366"/>
        <v>0</v>
      </c>
      <c r="P1497" s="578">
        <f t="shared" si="367"/>
        <v>0</v>
      </c>
      <c r="Q1497" s="765"/>
      <c r="R1497" s="576">
        <f t="shared" si="363"/>
        <v>0</v>
      </c>
      <c r="S1497" s="576">
        <f t="shared" si="363"/>
        <v>0</v>
      </c>
      <c r="T1497" s="577">
        <f t="shared" si="364"/>
        <v>0</v>
      </c>
      <c r="U1497" s="578">
        <f t="shared" si="365"/>
        <v>0</v>
      </c>
      <c r="V1497" s="579"/>
      <c r="W1497" s="566"/>
      <c r="X1497" s="586" t="str">
        <f t="shared" si="368"/>
        <v/>
      </c>
      <c r="Y1497" s="586" t="str">
        <f t="shared" si="362"/>
        <v/>
      </c>
      <c r="Z1497" s="586" t="str">
        <f t="shared" si="371"/>
        <v/>
      </c>
    </row>
    <row r="1498" spans="1:26" ht="23.25" hidden="1" thickBot="1" x14ac:dyDescent="0.25">
      <c r="A1498" s="567">
        <v>97589</v>
      </c>
      <c r="B1498" s="644">
        <v>97589</v>
      </c>
      <c r="C1498" s="645" t="s">
        <v>670</v>
      </c>
      <c r="D1498" s="422" t="s">
        <v>1345</v>
      </c>
      <c r="E1498" s="423"/>
      <c r="F1498" s="424"/>
      <c r="G1498" s="425"/>
      <c r="H1498" s="651"/>
      <c r="I1498" s="420">
        <v>48.7</v>
      </c>
      <c r="J1498" s="420">
        <f t="shared" si="370"/>
        <v>48.7</v>
      </c>
      <c r="K1498" s="421">
        <f t="shared" si="369"/>
        <v>57.86</v>
      </c>
      <c r="L1498" s="647" t="s">
        <v>2065</v>
      </c>
      <c r="M1498" s="576"/>
      <c r="N1498" s="576">
        <f t="shared" si="372"/>
        <v>0</v>
      </c>
      <c r="O1498" s="577">
        <f t="shared" si="366"/>
        <v>0</v>
      </c>
      <c r="P1498" s="578">
        <f t="shared" si="367"/>
        <v>0</v>
      </c>
      <c r="Q1498" s="765"/>
      <c r="R1498" s="576">
        <f t="shared" si="363"/>
        <v>0</v>
      </c>
      <c r="S1498" s="576">
        <f t="shared" si="363"/>
        <v>0</v>
      </c>
      <c r="T1498" s="577">
        <f t="shared" si="364"/>
        <v>0</v>
      </c>
      <c r="U1498" s="578">
        <f t="shared" si="365"/>
        <v>0</v>
      </c>
      <c r="V1498" s="579"/>
      <c r="W1498" s="566"/>
      <c r="X1498" s="586" t="str">
        <f t="shared" si="368"/>
        <v/>
      </c>
      <c r="Y1498" s="586" t="str">
        <f t="shared" si="362"/>
        <v/>
      </c>
      <c r="Z1498" s="586" t="str">
        <f t="shared" si="371"/>
        <v/>
      </c>
    </row>
    <row r="1499" spans="1:26" ht="23.25" hidden="1" thickBot="1" x14ac:dyDescent="0.25">
      <c r="A1499" s="567">
        <v>97590</v>
      </c>
      <c r="B1499" s="644">
        <v>97590</v>
      </c>
      <c r="C1499" s="645" t="s">
        <v>670</v>
      </c>
      <c r="D1499" s="422" t="s">
        <v>1346</v>
      </c>
      <c r="E1499" s="423"/>
      <c r="F1499" s="424"/>
      <c r="G1499" s="425"/>
      <c r="H1499" s="651"/>
      <c r="I1499" s="420">
        <v>133.15</v>
      </c>
      <c r="J1499" s="420">
        <f t="shared" si="370"/>
        <v>133.15</v>
      </c>
      <c r="K1499" s="421">
        <f t="shared" si="369"/>
        <v>158.19999999999999</v>
      </c>
      <c r="L1499" s="647" t="s">
        <v>2065</v>
      </c>
      <c r="M1499" s="576"/>
      <c r="N1499" s="576">
        <f t="shared" si="372"/>
        <v>0</v>
      </c>
      <c r="O1499" s="577">
        <f t="shared" si="366"/>
        <v>0</v>
      </c>
      <c r="P1499" s="578">
        <f t="shared" si="367"/>
        <v>0</v>
      </c>
      <c r="Q1499" s="765"/>
      <c r="R1499" s="576">
        <f t="shared" si="363"/>
        <v>0</v>
      </c>
      <c r="S1499" s="576">
        <f t="shared" si="363"/>
        <v>0</v>
      </c>
      <c r="T1499" s="577">
        <f t="shared" si="364"/>
        <v>0</v>
      </c>
      <c r="U1499" s="578">
        <f t="shared" si="365"/>
        <v>0</v>
      </c>
      <c r="V1499" s="579"/>
      <c r="W1499" s="566"/>
      <c r="X1499" s="586" t="str">
        <f t="shared" si="368"/>
        <v/>
      </c>
      <c r="Y1499" s="586" t="str">
        <f t="shared" si="362"/>
        <v/>
      </c>
      <c r="Z1499" s="586" t="str">
        <f t="shared" si="371"/>
        <v/>
      </c>
    </row>
    <row r="1500" spans="1:26" ht="23.25" hidden="1" thickBot="1" x14ac:dyDescent="0.25">
      <c r="A1500" s="567">
        <v>97591</v>
      </c>
      <c r="B1500" s="644">
        <v>97591</v>
      </c>
      <c r="C1500" s="645" t="s">
        <v>670</v>
      </c>
      <c r="D1500" s="422" t="s">
        <v>1347</v>
      </c>
      <c r="E1500" s="423"/>
      <c r="F1500" s="424"/>
      <c r="G1500" s="425"/>
      <c r="H1500" s="651"/>
      <c r="I1500" s="420">
        <v>172.18</v>
      </c>
      <c r="J1500" s="420">
        <f t="shared" si="370"/>
        <v>172.18</v>
      </c>
      <c r="K1500" s="421">
        <f t="shared" si="369"/>
        <v>204.57</v>
      </c>
      <c r="L1500" s="647" t="s">
        <v>2065</v>
      </c>
      <c r="M1500" s="576"/>
      <c r="N1500" s="576">
        <f t="shared" si="372"/>
        <v>0</v>
      </c>
      <c r="O1500" s="577">
        <f t="shared" si="366"/>
        <v>0</v>
      </c>
      <c r="P1500" s="578">
        <f t="shared" si="367"/>
        <v>0</v>
      </c>
      <c r="Q1500" s="765"/>
      <c r="R1500" s="576">
        <f t="shared" si="363"/>
        <v>0</v>
      </c>
      <c r="S1500" s="576">
        <f t="shared" si="363"/>
        <v>0</v>
      </c>
      <c r="T1500" s="577">
        <f t="shared" si="364"/>
        <v>0</v>
      </c>
      <c r="U1500" s="578">
        <f t="shared" si="365"/>
        <v>0</v>
      </c>
      <c r="V1500" s="579"/>
      <c r="W1500" s="566"/>
      <c r="X1500" s="586" t="str">
        <f t="shared" si="368"/>
        <v/>
      </c>
      <c r="Y1500" s="586" t="str">
        <f t="shared" si="362"/>
        <v/>
      </c>
      <c r="Z1500" s="586" t="str">
        <f t="shared" si="371"/>
        <v/>
      </c>
    </row>
    <row r="1501" spans="1:26" ht="23.25" hidden="1" thickBot="1" x14ac:dyDescent="0.25">
      <c r="A1501" s="567">
        <v>103782</v>
      </c>
      <c r="B1501" s="644">
        <v>103782</v>
      </c>
      <c r="C1501" s="645" t="s">
        <v>670</v>
      </c>
      <c r="D1501" s="422" t="s">
        <v>2095</v>
      </c>
      <c r="E1501" s="423"/>
      <c r="F1501" s="424"/>
      <c r="G1501" s="425"/>
      <c r="H1501" s="651"/>
      <c r="I1501" s="420">
        <v>39.75</v>
      </c>
      <c r="J1501" s="420">
        <f t="shared" si="370"/>
        <v>39.75</v>
      </c>
      <c r="K1501" s="421">
        <f t="shared" si="369"/>
        <v>47.23</v>
      </c>
      <c r="L1501" s="647" t="s">
        <v>2065</v>
      </c>
      <c r="M1501" s="576"/>
      <c r="N1501" s="576">
        <f t="shared" si="372"/>
        <v>0</v>
      </c>
      <c r="O1501" s="577">
        <f t="shared" si="366"/>
        <v>0</v>
      </c>
      <c r="P1501" s="578">
        <f t="shared" si="367"/>
        <v>0</v>
      </c>
      <c r="Q1501" s="765"/>
      <c r="R1501" s="576">
        <f t="shared" si="363"/>
        <v>0</v>
      </c>
      <c r="S1501" s="576">
        <f t="shared" si="363"/>
        <v>0</v>
      </c>
      <c r="T1501" s="577">
        <f t="shared" si="364"/>
        <v>0</v>
      </c>
      <c r="U1501" s="578">
        <f t="shared" si="365"/>
        <v>0</v>
      </c>
      <c r="V1501" s="579"/>
      <c r="W1501" s="566"/>
      <c r="X1501" s="586" t="str">
        <f t="shared" si="368"/>
        <v/>
      </c>
      <c r="Y1501" s="586" t="str">
        <f t="shared" si="362"/>
        <v/>
      </c>
      <c r="Z1501" s="586" t="str">
        <f t="shared" si="371"/>
        <v/>
      </c>
    </row>
    <row r="1502" spans="1:26" ht="23.25" hidden="1" thickBot="1" x14ac:dyDescent="0.25">
      <c r="A1502" s="567">
        <v>97593</v>
      </c>
      <c r="B1502" s="644">
        <v>97593</v>
      </c>
      <c r="C1502" s="645" t="s">
        <v>670</v>
      </c>
      <c r="D1502" s="422" t="s">
        <v>1348</v>
      </c>
      <c r="E1502" s="423"/>
      <c r="F1502" s="424"/>
      <c r="G1502" s="425"/>
      <c r="H1502" s="651"/>
      <c r="I1502" s="420">
        <v>199.41</v>
      </c>
      <c r="J1502" s="420">
        <f t="shared" si="370"/>
        <v>199.41</v>
      </c>
      <c r="K1502" s="421">
        <f t="shared" si="369"/>
        <v>236.92</v>
      </c>
      <c r="L1502" s="647" t="s">
        <v>2065</v>
      </c>
      <c r="M1502" s="576"/>
      <c r="N1502" s="576">
        <f t="shared" si="372"/>
        <v>0</v>
      </c>
      <c r="O1502" s="577">
        <f t="shared" si="366"/>
        <v>0</v>
      </c>
      <c r="P1502" s="578">
        <f t="shared" si="367"/>
        <v>0</v>
      </c>
      <c r="Q1502" s="765"/>
      <c r="R1502" s="576">
        <f t="shared" si="363"/>
        <v>0</v>
      </c>
      <c r="S1502" s="576">
        <f t="shared" si="363"/>
        <v>0</v>
      </c>
      <c r="T1502" s="577">
        <f t="shared" si="364"/>
        <v>0</v>
      </c>
      <c r="U1502" s="578">
        <f t="shared" si="365"/>
        <v>0</v>
      </c>
      <c r="V1502" s="579"/>
      <c r="W1502" s="566"/>
      <c r="X1502" s="586" t="str">
        <f t="shared" si="368"/>
        <v/>
      </c>
      <c r="Y1502" s="586" t="str">
        <f t="shared" si="362"/>
        <v/>
      </c>
      <c r="Z1502" s="586" t="str">
        <f t="shared" si="371"/>
        <v/>
      </c>
    </row>
    <row r="1503" spans="1:26" ht="23.25" hidden="1" thickBot="1" x14ac:dyDescent="0.25">
      <c r="A1503" s="567">
        <v>97594</v>
      </c>
      <c r="B1503" s="644">
        <v>97594</v>
      </c>
      <c r="C1503" s="645" t="s">
        <v>670</v>
      </c>
      <c r="D1503" s="422" t="s">
        <v>1349</v>
      </c>
      <c r="E1503" s="423"/>
      <c r="F1503" s="424"/>
      <c r="G1503" s="425"/>
      <c r="H1503" s="651"/>
      <c r="I1503" s="420">
        <v>174.96</v>
      </c>
      <c r="J1503" s="420">
        <f t="shared" si="370"/>
        <v>174.96</v>
      </c>
      <c r="K1503" s="421">
        <f t="shared" si="369"/>
        <v>207.87</v>
      </c>
      <c r="L1503" s="647" t="s">
        <v>2065</v>
      </c>
      <c r="M1503" s="576"/>
      <c r="N1503" s="576">
        <f t="shared" si="372"/>
        <v>0</v>
      </c>
      <c r="O1503" s="577">
        <f t="shared" si="366"/>
        <v>0</v>
      </c>
      <c r="P1503" s="578">
        <f t="shared" si="367"/>
        <v>0</v>
      </c>
      <c r="Q1503" s="765"/>
      <c r="R1503" s="576">
        <f t="shared" si="363"/>
        <v>0</v>
      </c>
      <c r="S1503" s="576">
        <f t="shared" si="363"/>
        <v>0</v>
      </c>
      <c r="T1503" s="577">
        <f t="shared" si="364"/>
        <v>0</v>
      </c>
      <c r="U1503" s="578">
        <f t="shared" si="365"/>
        <v>0</v>
      </c>
      <c r="V1503" s="579"/>
      <c r="W1503" s="566"/>
      <c r="X1503" s="586" t="str">
        <f t="shared" si="368"/>
        <v/>
      </c>
      <c r="Y1503" s="586" t="str">
        <f t="shared" si="362"/>
        <v/>
      </c>
      <c r="Z1503" s="586" t="str">
        <f t="shared" si="371"/>
        <v/>
      </c>
    </row>
    <row r="1504" spans="1:26" ht="23.25" hidden="1" thickBot="1" x14ac:dyDescent="0.25">
      <c r="A1504" s="567">
        <v>101666</v>
      </c>
      <c r="B1504" s="644">
        <v>101666</v>
      </c>
      <c r="C1504" s="645" t="s">
        <v>670</v>
      </c>
      <c r="D1504" s="422" t="s">
        <v>1350</v>
      </c>
      <c r="E1504" s="423"/>
      <c r="F1504" s="424"/>
      <c r="G1504" s="425"/>
      <c r="H1504" s="651"/>
      <c r="I1504" s="420">
        <v>547.97</v>
      </c>
      <c r="J1504" s="420">
        <f t="shared" si="370"/>
        <v>547.97</v>
      </c>
      <c r="K1504" s="421">
        <f t="shared" si="369"/>
        <v>651.04</v>
      </c>
      <c r="L1504" s="647" t="s">
        <v>2065</v>
      </c>
      <c r="M1504" s="576"/>
      <c r="N1504" s="576">
        <f t="shared" si="372"/>
        <v>0</v>
      </c>
      <c r="O1504" s="577">
        <f t="shared" si="366"/>
        <v>0</v>
      </c>
      <c r="P1504" s="578">
        <f t="shared" si="367"/>
        <v>0</v>
      </c>
      <c r="Q1504" s="765"/>
      <c r="R1504" s="576">
        <f t="shared" si="363"/>
        <v>0</v>
      </c>
      <c r="S1504" s="576">
        <f t="shared" si="363"/>
        <v>0</v>
      </c>
      <c r="T1504" s="577">
        <f t="shared" si="364"/>
        <v>0</v>
      </c>
      <c r="U1504" s="578">
        <f t="shared" si="365"/>
        <v>0</v>
      </c>
      <c r="V1504" s="579"/>
      <c r="W1504" s="566"/>
      <c r="X1504" s="586" t="str">
        <f t="shared" si="368"/>
        <v/>
      </c>
      <c r="Y1504" s="586" t="str">
        <f t="shared" si="362"/>
        <v/>
      </c>
      <c r="Z1504" s="586" t="str">
        <f t="shared" si="371"/>
        <v/>
      </c>
    </row>
    <row r="1505" spans="1:26" ht="23.25" hidden="1" thickBot="1" x14ac:dyDescent="0.25">
      <c r="A1505" s="567">
        <v>97600</v>
      </c>
      <c r="B1505" s="644">
        <v>97600</v>
      </c>
      <c r="C1505" s="645" t="s">
        <v>670</v>
      </c>
      <c r="D1505" s="422" t="s">
        <v>1351</v>
      </c>
      <c r="E1505" s="423"/>
      <c r="F1505" s="424"/>
      <c r="G1505" s="425"/>
      <c r="H1505" s="651"/>
      <c r="I1505" s="420">
        <v>370.04</v>
      </c>
      <c r="J1505" s="420">
        <f t="shared" si="370"/>
        <v>370.04</v>
      </c>
      <c r="K1505" s="421">
        <f t="shared" si="369"/>
        <v>439.64</v>
      </c>
      <c r="L1505" s="647" t="s">
        <v>2065</v>
      </c>
      <c r="M1505" s="576"/>
      <c r="N1505" s="576">
        <f t="shared" si="372"/>
        <v>0</v>
      </c>
      <c r="O1505" s="577">
        <f t="shared" si="366"/>
        <v>0</v>
      </c>
      <c r="P1505" s="578">
        <f t="shared" si="367"/>
        <v>0</v>
      </c>
      <c r="Q1505" s="765"/>
      <c r="R1505" s="576">
        <f t="shared" si="363"/>
        <v>0</v>
      </c>
      <c r="S1505" s="576">
        <f t="shared" si="363"/>
        <v>0</v>
      </c>
      <c r="T1505" s="577">
        <f t="shared" si="364"/>
        <v>0</v>
      </c>
      <c r="U1505" s="578">
        <f t="shared" si="365"/>
        <v>0</v>
      </c>
      <c r="V1505" s="579"/>
      <c r="W1505" s="566"/>
      <c r="X1505" s="586" t="str">
        <f t="shared" si="368"/>
        <v/>
      </c>
      <c r="Y1505" s="586" t="str">
        <f t="shared" si="362"/>
        <v/>
      </c>
      <c r="Z1505" s="586" t="str">
        <f t="shared" si="371"/>
        <v/>
      </c>
    </row>
    <row r="1506" spans="1:26" ht="23.25" hidden="1" thickBot="1" x14ac:dyDescent="0.25">
      <c r="A1506" s="567">
        <v>97601</v>
      </c>
      <c r="B1506" s="644">
        <v>97601</v>
      </c>
      <c r="C1506" s="645" t="s">
        <v>670</v>
      </c>
      <c r="D1506" s="422" t="s">
        <v>1352</v>
      </c>
      <c r="E1506" s="423"/>
      <c r="F1506" s="424"/>
      <c r="G1506" s="425"/>
      <c r="H1506" s="651"/>
      <c r="I1506" s="420">
        <v>392.82</v>
      </c>
      <c r="J1506" s="420">
        <f t="shared" si="370"/>
        <v>392.82</v>
      </c>
      <c r="K1506" s="421">
        <f t="shared" si="369"/>
        <v>466.71</v>
      </c>
      <c r="L1506" s="647" t="s">
        <v>2065</v>
      </c>
      <c r="M1506" s="576"/>
      <c r="N1506" s="576">
        <f t="shared" si="372"/>
        <v>0</v>
      </c>
      <c r="O1506" s="577">
        <f t="shared" si="366"/>
        <v>0</v>
      </c>
      <c r="P1506" s="578">
        <f t="shared" si="367"/>
        <v>0</v>
      </c>
      <c r="Q1506" s="765"/>
      <c r="R1506" s="576">
        <f t="shared" si="363"/>
        <v>0</v>
      </c>
      <c r="S1506" s="576">
        <f t="shared" si="363"/>
        <v>0</v>
      </c>
      <c r="T1506" s="577">
        <f t="shared" si="364"/>
        <v>0</v>
      </c>
      <c r="U1506" s="578">
        <f t="shared" si="365"/>
        <v>0</v>
      </c>
      <c r="V1506" s="579"/>
      <c r="W1506" s="566"/>
      <c r="X1506" s="586" t="str">
        <f t="shared" si="368"/>
        <v/>
      </c>
      <c r="Y1506" s="586" t="str">
        <f t="shared" si="362"/>
        <v/>
      </c>
      <c r="Z1506" s="586" t="str">
        <f t="shared" si="371"/>
        <v/>
      </c>
    </row>
    <row r="1507" spans="1:26" ht="12" hidden="1" thickBot="1" x14ac:dyDescent="0.25">
      <c r="A1507" s="567">
        <v>97611</v>
      </c>
      <c r="B1507" s="644">
        <v>97611</v>
      </c>
      <c r="C1507" s="645" t="s">
        <v>670</v>
      </c>
      <c r="D1507" s="422" t="s">
        <v>1353</v>
      </c>
      <c r="E1507" s="423"/>
      <c r="F1507" s="424"/>
      <c r="G1507" s="425"/>
      <c r="H1507" s="651"/>
      <c r="I1507" s="420">
        <v>27.91</v>
      </c>
      <c r="J1507" s="420">
        <f t="shared" si="370"/>
        <v>27.91</v>
      </c>
      <c r="K1507" s="421">
        <f t="shared" si="369"/>
        <v>33.159999999999997</v>
      </c>
      <c r="L1507" s="647" t="s">
        <v>2065</v>
      </c>
      <c r="M1507" s="576"/>
      <c r="N1507" s="576">
        <f t="shared" si="372"/>
        <v>0</v>
      </c>
      <c r="O1507" s="577">
        <f t="shared" si="366"/>
        <v>0</v>
      </c>
      <c r="P1507" s="578">
        <f t="shared" si="367"/>
        <v>0</v>
      </c>
      <c r="Q1507" s="765"/>
      <c r="R1507" s="576">
        <f t="shared" si="363"/>
        <v>0</v>
      </c>
      <c r="S1507" s="576">
        <f t="shared" si="363"/>
        <v>0</v>
      </c>
      <c r="T1507" s="577">
        <f t="shared" si="364"/>
        <v>0</v>
      </c>
      <c r="U1507" s="578">
        <f t="shared" si="365"/>
        <v>0</v>
      </c>
      <c r="V1507" s="579"/>
      <c r="W1507" s="566"/>
      <c r="X1507" s="586" t="str">
        <f t="shared" si="368"/>
        <v/>
      </c>
      <c r="Y1507" s="586" t="str">
        <f t="shared" ref="Y1507:Y1570" si="373">IF(W1507="X","x",IF(W1507="y","x",IF(W1507="xx","x",IF(U1507&gt;0,"x",""))))</f>
        <v/>
      </c>
      <c r="Z1507" s="586" t="str">
        <f t="shared" si="371"/>
        <v/>
      </c>
    </row>
    <row r="1508" spans="1:26" ht="12" hidden="1" thickBot="1" x14ac:dyDescent="0.25">
      <c r="A1508" s="567">
        <v>97612</v>
      </c>
      <c r="B1508" s="644">
        <v>97612</v>
      </c>
      <c r="C1508" s="645" t="s">
        <v>670</v>
      </c>
      <c r="D1508" s="422" t="s">
        <v>1354</v>
      </c>
      <c r="E1508" s="423"/>
      <c r="F1508" s="424"/>
      <c r="G1508" s="425"/>
      <c r="H1508" s="651"/>
      <c r="I1508" s="420">
        <v>30.46</v>
      </c>
      <c r="J1508" s="420">
        <f t="shared" si="370"/>
        <v>30.46</v>
      </c>
      <c r="K1508" s="421">
        <f t="shared" si="369"/>
        <v>36.19</v>
      </c>
      <c r="L1508" s="647" t="s">
        <v>2065</v>
      </c>
      <c r="M1508" s="576"/>
      <c r="N1508" s="576">
        <f t="shared" si="372"/>
        <v>0</v>
      </c>
      <c r="O1508" s="577">
        <f t="shared" si="366"/>
        <v>0</v>
      </c>
      <c r="P1508" s="578">
        <f t="shared" si="367"/>
        <v>0</v>
      </c>
      <c r="Q1508" s="765"/>
      <c r="R1508" s="576">
        <f t="shared" si="363"/>
        <v>0</v>
      </c>
      <c r="S1508" s="576">
        <f t="shared" si="363"/>
        <v>0</v>
      </c>
      <c r="T1508" s="577">
        <f t="shared" si="364"/>
        <v>0</v>
      </c>
      <c r="U1508" s="578">
        <f t="shared" si="365"/>
        <v>0</v>
      </c>
      <c r="V1508" s="579"/>
      <c r="W1508" s="566"/>
      <c r="X1508" s="586" t="str">
        <f t="shared" si="368"/>
        <v/>
      </c>
      <c r="Y1508" s="586" t="str">
        <f t="shared" si="373"/>
        <v/>
      </c>
      <c r="Z1508" s="586" t="str">
        <f t="shared" si="371"/>
        <v/>
      </c>
    </row>
    <row r="1509" spans="1:26" ht="23.25" hidden="1" thickBot="1" x14ac:dyDescent="0.25">
      <c r="A1509" s="567">
        <v>97615</v>
      </c>
      <c r="B1509" s="644">
        <v>97615</v>
      </c>
      <c r="C1509" s="645" t="s">
        <v>670</v>
      </c>
      <c r="D1509" s="422" t="s">
        <v>1355</v>
      </c>
      <c r="E1509" s="423"/>
      <c r="F1509" s="424"/>
      <c r="G1509" s="425"/>
      <c r="H1509" s="651"/>
      <c r="I1509" s="420">
        <v>71.03</v>
      </c>
      <c r="J1509" s="420">
        <f t="shared" si="370"/>
        <v>71.03</v>
      </c>
      <c r="K1509" s="421">
        <f t="shared" si="369"/>
        <v>84.39</v>
      </c>
      <c r="L1509" s="647" t="s">
        <v>2065</v>
      </c>
      <c r="M1509" s="576"/>
      <c r="N1509" s="576">
        <f t="shared" si="372"/>
        <v>0</v>
      </c>
      <c r="O1509" s="577">
        <f t="shared" si="366"/>
        <v>0</v>
      </c>
      <c r="P1509" s="578">
        <f t="shared" si="367"/>
        <v>0</v>
      </c>
      <c r="Q1509" s="765"/>
      <c r="R1509" s="576">
        <f t="shared" si="363"/>
        <v>0</v>
      </c>
      <c r="S1509" s="576">
        <f t="shared" si="363"/>
        <v>0</v>
      </c>
      <c r="T1509" s="577">
        <f t="shared" si="364"/>
        <v>0</v>
      </c>
      <c r="U1509" s="578">
        <f t="shared" si="365"/>
        <v>0</v>
      </c>
      <c r="V1509" s="579"/>
      <c r="W1509" s="566"/>
      <c r="X1509" s="586" t="str">
        <f t="shared" si="368"/>
        <v/>
      </c>
      <c r="Y1509" s="586" t="str">
        <f t="shared" si="373"/>
        <v/>
      </c>
      <c r="Z1509" s="586" t="str">
        <f t="shared" si="371"/>
        <v/>
      </c>
    </row>
    <row r="1510" spans="1:26" ht="23.25" hidden="1" thickBot="1" x14ac:dyDescent="0.25">
      <c r="A1510" s="567">
        <v>97616</v>
      </c>
      <c r="B1510" s="644">
        <v>97616</v>
      </c>
      <c r="C1510" s="645" t="s">
        <v>670</v>
      </c>
      <c r="D1510" s="422" t="s">
        <v>1356</v>
      </c>
      <c r="E1510" s="423"/>
      <c r="F1510" s="424"/>
      <c r="G1510" s="425"/>
      <c r="H1510" s="651"/>
      <c r="I1510" s="420">
        <v>82.58</v>
      </c>
      <c r="J1510" s="420">
        <f t="shared" si="370"/>
        <v>82.58</v>
      </c>
      <c r="K1510" s="421">
        <f t="shared" si="369"/>
        <v>98.11</v>
      </c>
      <c r="L1510" s="647" t="s">
        <v>2065</v>
      </c>
      <c r="M1510" s="576"/>
      <c r="N1510" s="576">
        <f t="shared" si="372"/>
        <v>0</v>
      </c>
      <c r="O1510" s="577">
        <f t="shared" si="366"/>
        <v>0</v>
      </c>
      <c r="P1510" s="578">
        <f t="shared" si="367"/>
        <v>0</v>
      </c>
      <c r="Q1510" s="765"/>
      <c r="R1510" s="576">
        <f t="shared" si="363"/>
        <v>0</v>
      </c>
      <c r="S1510" s="576">
        <f t="shared" si="363"/>
        <v>0</v>
      </c>
      <c r="T1510" s="577">
        <f t="shared" si="364"/>
        <v>0</v>
      </c>
      <c r="U1510" s="578">
        <f t="shared" si="365"/>
        <v>0</v>
      </c>
      <c r="V1510" s="579"/>
      <c r="W1510" s="566"/>
      <c r="X1510" s="586" t="str">
        <f t="shared" si="368"/>
        <v/>
      </c>
      <c r="Y1510" s="586" t="str">
        <f t="shared" si="373"/>
        <v/>
      </c>
      <c r="Z1510" s="586" t="str">
        <f t="shared" si="371"/>
        <v/>
      </c>
    </row>
    <row r="1511" spans="1:26" ht="23.25" hidden="1" thickBot="1" x14ac:dyDescent="0.25">
      <c r="A1511" s="567">
        <v>97617</v>
      </c>
      <c r="B1511" s="644">
        <v>97617</v>
      </c>
      <c r="C1511" s="645" t="s">
        <v>670</v>
      </c>
      <c r="D1511" s="422" t="s">
        <v>1357</v>
      </c>
      <c r="E1511" s="423"/>
      <c r="F1511" s="424"/>
      <c r="G1511" s="425"/>
      <c r="H1511" s="651"/>
      <c r="I1511" s="420">
        <v>82.19</v>
      </c>
      <c r="J1511" s="420">
        <f t="shared" si="370"/>
        <v>82.19</v>
      </c>
      <c r="K1511" s="421">
        <f t="shared" si="369"/>
        <v>97.65</v>
      </c>
      <c r="L1511" s="647" t="s">
        <v>2065</v>
      </c>
      <c r="M1511" s="576"/>
      <c r="N1511" s="576">
        <f t="shared" si="372"/>
        <v>0</v>
      </c>
      <c r="O1511" s="577">
        <f t="shared" si="366"/>
        <v>0</v>
      </c>
      <c r="P1511" s="578">
        <f t="shared" si="367"/>
        <v>0</v>
      </c>
      <c r="Q1511" s="765"/>
      <c r="R1511" s="576">
        <f t="shared" si="363"/>
        <v>0</v>
      </c>
      <c r="S1511" s="576">
        <f t="shared" si="363"/>
        <v>0</v>
      </c>
      <c r="T1511" s="577">
        <f t="shared" si="364"/>
        <v>0</v>
      </c>
      <c r="U1511" s="578">
        <f t="shared" si="365"/>
        <v>0</v>
      </c>
      <c r="V1511" s="579"/>
      <c r="W1511" s="566"/>
      <c r="X1511" s="586" t="str">
        <f t="shared" si="368"/>
        <v/>
      </c>
      <c r="Y1511" s="586" t="str">
        <f t="shared" si="373"/>
        <v/>
      </c>
      <c r="Z1511" s="586" t="str">
        <f t="shared" si="371"/>
        <v/>
      </c>
    </row>
    <row r="1512" spans="1:26" ht="23.25" hidden="1" thickBot="1" x14ac:dyDescent="0.25">
      <c r="A1512" s="567">
        <v>97618</v>
      </c>
      <c r="B1512" s="644">
        <v>97618</v>
      </c>
      <c r="C1512" s="645" t="s">
        <v>670</v>
      </c>
      <c r="D1512" s="422" t="s">
        <v>1358</v>
      </c>
      <c r="E1512" s="423"/>
      <c r="F1512" s="424"/>
      <c r="G1512" s="425"/>
      <c r="H1512" s="651"/>
      <c r="I1512" s="420">
        <v>74.61</v>
      </c>
      <c r="J1512" s="420">
        <f t="shared" si="370"/>
        <v>74.61</v>
      </c>
      <c r="K1512" s="421">
        <f t="shared" si="369"/>
        <v>88.64</v>
      </c>
      <c r="L1512" s="647" t="s">
        <v>2065</v>
      </c>
      <c r="M1512" s="576"/>
      <c r="N1512" s="576">
        <f t="shared" si="372"/>
        <v>0</v>
      </c>
      <c r="O1512" s="577">
        <f t="shared" si="366"/>
        <v>0</v>
      </c>
      <c r="P1512" s="578">
        <f t="shared" si="367"/>
        <v>0</v>
      </c>
      <c r="Q1512" s="765"/>
      <c r="R1512" s="576">
        <f t="shared" si="363"/>
        <v>0</v>
      </c>
      <c r="S1512" s="576">
        <f t="shared" si="363"/>
        <v>0</v>
      </c>
      <c r="T1512" s="577">
        <f t="shared" si="364"/>
        <v>0</v>
      </c>
      <c r="U1512" s="578">
        <f t="shared" si="365"/>
        <v>0</v>
      </c>
      <c r="V1512" s="579"/>
      <c r="W1512" s="566"/>
      <c r="X1512" s="586" t="str">
        <f t="shared" si="368"/>
        <v/>
      </c>
      <c r="Y1512" s="586" t="str">
        <f t="shared" si="373"/>
        <v/>
      </c>
      <c r="Z1512" s="586" t="str">
        <f t="shared" si="371"/>
        <v/>
      </c>
    </row>
    <row r="1513" spans="1:26" ht="23.25" hidden="1" thickBot="1" x14ac:dyDescent="0.25">
      <c r="A1513" s="567">
        <v>97613</v>
      </c>
      <c r="B1513" s="644">
        <v>97613</v>
      </c>
      <c r="C1513" s="645" t="s">
        <v>670</v>
      </c>
      <c r="D1513" s="422" t="s">
        <v>1359</v>
      </c>
      <c r="E1513" s="423"/>
      <c r="F1513" s="424"/>
      <c r="G1513" s="425"/>
      <c r="H1513" s="651"/>
      <c r="I1513" s="420">
        <v>38.93</v>
      </c>
      <c r="J1513" s="420">
        <f t="shared" si="370"/>
        <v>38.93</v>
      </c>
      <c r="K1513" s="421">
        <f t="shared" si="369"/>
        <v>46.25</v>
      </c>
      <c r="L1513" s="647" t="s">
        <v>2065</v>
      </c>
      <c r="M1513" s="576"/>
      <c r="N1513" s="576">
        <f t="shared" si="372"/>
        <v>0</v>
      </c>
      <c r="O1513" s="577">
        <f t="shared" si="366"/>
        <v>0</v>
      </c>
      <c r="P1513" s="578">
        <f t="shared" si="367"/>
        <v>0</v>
      </c>
      <c r="Q1513" s="765"/>
      <c r="R1513" s="576">
        <f t="shared" si="363"/>
        <v>0</v>
      </c>
      <c r="S1513" s="576">
        <f t="shared" si="363"/>
        <v>0</v>
      </c>
      <c r="T1513" s="577">
        <f t="shared" si="364"/>
        <v>0</v>
      </c>
      <c r="U1513" s="578">
        <f t="shared" si="365"/>
        <v>0</v>
      </c>
      <c r="V1513" s="579"/>
      <c r="W1513" s="566"/>
      <c r="X1513" s="586" t="str">
        <f t="shared" si="368"/>
        <v/>
      </c>
      <c r="Y1513" s="586" t="str">
        <f t="shared" si="373"/>
        <v/>
      </c>
      <c r="Z1513" s="586" t="str">
        <f t="shared" si="371"/>
        <v/>
      </c>
    </row>
    <row r="1514" spans="1:26" ht="23.25" hidden="1" thickBot="1" x14ac:dyDescent="0.25">
      <c r="A1514" s="567">
        <v>97614</v>
      </c>
      <c r="B1514" s="644">
        <v>97614</v>
      </c>
      <c r="C1514" s="645" t="s">
        <v>670</v>
      </c>
      <c r="D1514" s="422" t="s">
        <v>1360</v>
      </c>
      <c r="E1514" s="423"/>
      <c r="F1514" s="424"/>
      <c r="G1514" s="425"/>
      <c r="H1514" s="651"/>
      <c r="I1514" s="420">
        <v>69.52</v>
      </c>
      <c r="J1514" s="420">
        <f t="shared" si="370"/>
        <v>69.52</v>
      </c>
      <c r="K1514" s="421">
        <f t="shared" si="369"/>
        <v>82.6</v>
      </c>
      <c r="L1514" s="647" t="s">
        <v>2065</v>
      </c>
      <c r="M1514" s="576"/>
      <c r="N1514" s="576">
        <f t="shared" si="372"/>
        <v>0</v>
      </c>
      <c r="O1514" s="577">
        <f t="shared" si="366"/>
        <v>0</v>
      </c>
      <c r="P1514" s="578">
        <f t="shared" si="367"/>
        <v>0</v>
      </c>
      <c r="Q1514" s="765"/>
      <c r="R1514" s="576">
        <f t="shared" ref="R1514:S1577" si="374">M1514</f>
        <v>0</v>
      </c>
      <c r="S1514" s="576">
        <f t="shared" si="374"/>
        <v>0</v>
      </c>
      <c r="T1514" s="577">
        <f t="shared" si="364"/>
        <v>0</v>
      </c>
      <c r="U1514" s="578">
        <f t="shared" si="365"/>
        <v>0</v>
      </c>
      <c r="V1514" s="579"/>
      <c r="W1514" s="566"/>
      <c r="X1514" s="586" t="str">
        <f t="shared" si="368"/>
        <v/>
      </c>
      <c r="Y1514" s="586" t="str">
        <f t="shared" si="373"/>
        <v/>
      </c>
      <c r="Z1514" s="586" t="str">
        <f t="shared" si="371"/>
        <v/>
      </c>
    </row>
    <row r="1515" spans="1:26" ht="12" hidden="1" thickBot="1" x14ac:dyDescent="0.25">
      <c r="A1515" s="567">
        <v>101648</v>
      </c>
      <c r="B1515" s="644">
        <v>101648</v>
      </c>
      <c r="C1515" s="645" t="s">
        <v>670</v>
      </c>
      <c r="D1515" s="422" t="s">
        <v>1361</v>
      </c>
      <c r="E1515" s="423"/>
      <c r="F1515" s="424"/>
      <c r="G1515" s="425"/>
      <c r="H1515" s="651"/>
      <c r="I1515" s="420">
        <v>64.48</v>
      </c>
      <c r="J1515" s="420">
        <f t="shared" si="370"/>
        <v>64.48</v>
      </c>
      <c r="K1515" s="421">
        <f t="shared" si="369"/>
        <v>76.61</v>
      </c>
      <c r="L1515" s="647" t="s">
        <v>2065</v>
      </c>
      <c r="M1515" s="576"/>
      <c r="N1515" s="576">
        <f t="shared" si="372"/>
        <v>0</v>
      </c>
      <c r="O1515" s="577">
        <f t="shared" si="366"/>
        <v>0</v>
      </c>
      <c r="P1515" s="578">
        <f t="shared" si="367"/>
        <v>0</v>
      </c>
      <c r="Q1515" s="765"/>
      <c r="R1515" s="576">
        <f t="shared" si="374"/>
        <v>0</v>
      </c>
      <c r="S1515" s="576">
        <f t="shared" si="374"/>
        <v>0</v>
      </c>
      <c r="T1515" s="577">
        <f t="shared" si="364"/>
        <v>0</v>
      </c>
      <c r="U1515" s="578">
        <f t="shared" si="365"/>
        <v>0</v>
      </c>
      <c r="V1515" s="579"/>
      <c r="W1515" s="566"/>
      <c r="X1515" s="586" t="str">
        <f t="shared" si="368"/>
        <v/>
      </c>
      <c r="Y1515" s="586" t="str">
        <f t="shared" si="373"/>
        <v/>
      </c>
      <c r="Z1515" s="586" t="str">
        <f t="shared" si="371"/>
        <v/>
      </c>
    </row>
    <row r="1516" spans="1:26" ht="12" hidden="1" thickBot="1" x14ac:dyDescent="0.25">
      <c r="A1516" s="567">
        <v>101649</v>
      </c>
      <c r="B1516" s="644">
        <v>101649</v>
      </c>
      <c r="C1516" s="645" t="s">
        <v>670</v>
      </c>
      <c r="D1516" s="422" t="s">
        <v>1362</v>
      </c>
      <c r="E1516" s="423"/>
      <c r="F1516" s="424"/>
      <c r="G1516" s="425"/>
      <c r="H1516" s="651"/>
      <c r="I1516" s="420">
        <v>74.34</v>
      </c>
      <c r="J1516" s="420">
        <f t="shared" si="370"/>
        <v>74.34</v>
      </c>
      <c r="K1516" s="421">
        <f t="shared" si="369"/>
        <v>88.32</v>
      </c>
      <c r="L1516" s="647" t="s">
        <v>2065</v>
      </c>
      <c r="M1516" s="576"/>
      <c r="N1516" s="576">
        <f t="shared" si="372"/>
        <v>0</v>
      </c>
      <c r="O1516" s="577">
        <f t="shared" si="366"/>
        <v>0</v>
      </c>
      <c r="P1516" s="578">
        <f t="shared" si="367"/>
        <v>0</v>
      </c>
      <c r="Q1516" s="765"/>
      <c r="R1516" s="576">
        <f t="shared" si="374"/>
        <v>0</v>
      </c>
      <c r="S1516" s="576">
        <f t="shared" si="374"/>
        <v>0</v>
      </c>
      <c r="T1516" s="577">
        <f t="shared" si="364"/>
        <v>0</v>
      </c>
      <c r="U1516" s="578">
        <f t="shared" si="365"/>
        <v>0</v>
      </c>
      <c r="V1516" s="579"/>
      <c r="W1516" s="566"/>
      <c r="X1516" s="586" t="str">
        <f t="shared" si="368"/>
        <v/>
      </c>
      <c r="Y1516" s="586" t="str">
        <f t="shared" si="373"/>
        <v/>
      </c>
      <c r="Z1516" s="586" t="str">
        <f t="shared" si="371"/>
        <v/>
      </c>
    </row>
    <row r="1517" spans="1:26" ht="12" hidden="1" thickBot="1" x14ac:dyDescent="0.25">
      <c r="A1517" s="567">
        <v>101650</v>
      </c>
      <c r="B1517" s="644">
        <v>101650</v>
      </c>
      <c r="C1517" s="645" t="s">
        <v>670</v>
      </c>
      <c r="D1517" s="422" t="s">
        <v>1363</v>
      </c>
      <c r="E1517" s="423"/>
      <c r="F1517" s="424"/>
      <c r="G1517" s="425"/>
      <c r="H1517" s="651"/>
      <c r="I1517" s="420">
        <v>86.44</v>
      </c>
      <c r="J1517" s="420">
        <f t="shared" si="370"/>
        <v>86.44</v>
      </c>
      <c r="K1517" s="421">
        <f t="shared" si="369"/>
        <v>102.7</v>
      </c>
      <c r="L1517" s="647" t="s">
        <v>2065</v>
      </c>
      <c r="M1517" s="576"/>
      <c r="N1517" s="576">
        <f t="shared" si="372"/>
        <v>0</v>
      </c>
      <c r="O1517" s="577">
        <f t="shared" si="366"/>
        <v>0</v>
      </c>
      <c r="P1517" s="578">
        <f t="shared" si="367"/>
        <v>0</v>
      </c>
      <c r="Q1517" s="765"/>
      <c r="R1517" s="576">
        <f t="shared" si="374"/>
        <v>0</v>
      </c>
      <c r="S1517" s="576">
        <f t="shared" si="374"/>
        <v>0</v>
      </c>
      <c r="T1517" s="577">
        <f t="shared" si="364"/>
        <v>0</v>
      </c>
      <c r="U1517" s="578">
        <f t="shared" si="365"/>
        <v>0</v>
      </c>
      <c r="V1517" s="579"/>
      <c r="W1517" s="566"/>
      <c r="X1517" s="586" t="str">
        <f t="shared" si="368"/>
        <v/>
      </c>
      <c r="Y1517" s="586" t="str">
        <f t="shared" si="373"/>
        <v/>
      </c>
      <c r="Z1517" s="586" t="str">
        <f t="shared" si="371"/>
        <v/>
      </c>
    </row>
    <row r="1518" spans="1:26" ht="12" hidden="1" thickBot="1" x14ac:dyDescent="0.25">
      <c r="A1518" s="567">
        <v>101640</v>
      </c>
      <c r="B1518" s="644">
        <v>101640</v>
      </c>
      <c r="C1518" s="645" t="s">
        <v>670</v>
      </c>
      <c r="D1518" s="422" t="s">
        <v>1364</v>
      </c>
      <c r="E1518" s="423"/>
      <c r="F1518" s="424"/>
      <c r="G1518" s="425"/>
      <c r="H1518" s="651"/>
      <c r="I1518" s="420">
        <v>118.24</v>
      </c>
      <c r="J1518" s="420">
        <f t="shared" si="370"/>
        <v>118.24</v>
      </c>
      <c r="K1518" s="421">
        <f t="shared" si="369"/>
        <v>140.47999999999999</v>
      </c>
      <c r="L1518" s="647" t="s">
        <v>2065</v>
      </c>
      <c r="M1518" s="576"/>
      <c r="N1518" s="576">
        <f t="shared" si="372"/>
        <v>0</v>
      </c>
      <c r="O1518" s="577">
        <f t="shared" si="366"/>
        <v>0</v>
      </c>
      <c r="P1518" s="578">
        <f t="shared" si="367"/>
        <v>0</v>
      </c>
      <c r="Q1518" s="765"/>
      <c r="R1518" s="576">
        <f t="shared" si="374"/>
        <v>0</v>
      </c>
      <c r="S1518" s="576">
        <f t="shared" si="374"/>
        <v>0</v>
      </c>
      <c r="T1518" s="577">
        <f t="shared" si="364"/>
        <v>0</v>
      </c>
      <c r="U1518" s="578">
        <f t="shared" si="365"/>
        <v>0</v>
      </c>
      <c r="V1518" s="579"/>
      <c r="W1518" s="566"/>
      <c r="X1518" s="586" t="str">
        <f t="shared" si="368"/>
        <v/>
      </c>
      <c r="Y1518" s="586" t="str">
        <f t="shared" si="373"/>
        <v/>
      </c>
      <c r="Z1518" s="586" t="str">
        <f t="shared" si="371"/>
        <v/>
      </c>
    </row>
    <row r="1519" spans="1:26" ht="12" hidden="1" thickBot="1" x14ac:dyDescent="0.25">
      <c r="A1519" s="567">
        <v>101641</v>
      </c>
      <c r="B1519" s="644">
        <v>101641</v>
      </c>
      <c r="C1519" s="645" t="s">
        <v>670</v>
      </c>
      <c r="D1519" s="422" t="s">
        <v>1365</v>
      </c>
      <c r="E1519" s="423"/>
      <c r="F1519" s="424"/>
      <c r="G1519" s="425"/>
      <c r="H1519" s="651"/>
      <c r="I1519" s="420">
        <v>61.12</v>
      </c>
      <c r="J1519" s="420">
        <f t="shared" si="370"/>
        <v>61.12</v>
      </c>
      <c r="K1519" s="421">
        <f t="shared" si="369"/>
        <v>72.62</v>
      </c>
      <c r="L1519" s="647" t="s">
        <v>2065</v>
      </c>
      <c r="M1519" s="576"/>
      <c r="N1519" s="576">
        <f t="shared" si="372"/>
        <v>0</v>
      </c>
      <c r="O1519" s="577">
        <f t="shared" si="366"/>
        <v>0</v>
      </c>
      <c r="P1519" s="578">
        <f t="shared" si="367"/>
        <v>0</v>
      </c>
      <c r="Q1519" s="765"/>
      <c r="R1519" s="576">
        <f t="shared" si="374"/>
        <v>0</v>
      </c>
      <c r="S1519" s="576">
        <f t="shared" si="374"/>
        <v>0</v>
      </c>
      <c r="T1519" s="577">
        <f t="shared" si="364"/>
        <v>0</v>
      </c>
      <c r="U1519" s="578">
        <f t="shared" si="365"/>
        <v>0</v>
      </c>
      <c r="V1519" s="579"/>
      <c r="W1519" s="566"/>
      <c r="X1519" s="586" t="str">
        <f t="shared" si="368"/>
        <v/>
      </c>
      <c r="Y1519" s="586" t="str">
        <f t="shared" si="373"/>
        <v/>
      </c>
      <c r="Z1519" s="586" t="str">
        <f t="shared" si="371"/>
        <v/>
      </c>
    </row>
    <row r="1520" spans="1:26" ht="12" hidden="1" thickBot="1" x14ac:dyDescent="0.25">
      <c r="A1520" s="567">
        <v>101642</v>
      </c>
      <c r="B1520" s="644">
        <v>101642</v>
      </c>
      <c r="C1520" s="645" t="s">
        <v>670</v>
      </c>
      <c r="D1520" s="422" t="s">
        <v>1366</v>
      </c>
      <c r="E1520" s="423"/>
      <c r="F1520" s="424"/>
      <c r="G1520" s="425"/>
      <c r="H1520" s="651"/>
      <c r="I1520" s="420">
        <v>30.53</v>
      </c>
      <c r="J1520" s="420">
        <f t="shared" si="370"/>
        <v>30.53</v>
      </c>
      <c r="K1520" s="421">
        <f t="shared" si="369"/>
        <v>36.270000000000003</v>
      </c>
      <c r="L1520" s="647" t="s">
        <v>2065</v>
      </c>
      <c r="M1520" s="576"/>
      <c r="N1520" s="576">
        <f t="shared" si="372"/>
        <v>0</v>
      </c>
      <c r="O1520" s="577">
        <f t="shared" si="366"/>
        <v>0</v>
      </c>
      <c r="P1520" s="578">
        <f t="shared" si="367"/>
        <v>0</v>
      </c>
      <c r="Q1520" s="765"/>
      <c r="R1520" s="576">
        <f t="shared" si="374"/>
        <v>0</v>
      </c>
      <c r="S1520" s="576">
        <f t="shared" si="374"/>
        <v>0</v>
      </c>
      <c r="T1520" s="577">
        <f t="shared" si="364"/>
        <v>0</v>
      </c>
      <c r="U1520" s="578">
        <f t="shared" si="365"/>
        <v>0</v>
      </c>
      <c r="V1520" s="579"/>
      <c r="W1520" s="566"/>
      <c r="X1520" s="586" t="str">
        <f t="shared" si="368"/>
        <v/>
      </c>
      <c r="Y1520" s="586" t="str">
        <f t="shared" si="373"/>
        <v/>
      </c>
      <c r="Z1520" s="586" t="str">
        <f t="shared" si="371"/>
        <v/>
      </c>
    </row>
    <row r="1521" spans="1:26" ht="12" hidden="1" thickBot="1" x14ac:dyDescent="0.25">
      <c r="A1521" s="567">
        <v>101643</v>
      </c>
      <c r="B1521" s="644">
        <v>101643</v>
      </c>
      <c r="C1521" s="645" t="s">
        <v>670</v>
      </c>
      <c r="D1521" s="422" t="s">
        <v>1367</v>
      </c>
      <c r="E1521" s="423"/>
      <c r="F1521" s="424"/>
      <c r="G1521" s="425"/>
      <c r="H1521" s="651"/>
      <c r="I1521" s="420">
        <v>53.31</v>
      </c>
      <c r="J1521" s="420">
        <f t="shared" si="370"/>
        <v>53.31</v>
      </c>
      <c r="K1521" s="421">
        <f t="shared" si="369"/>
        <v>63.34</v>
      </c>
      <c r="L1521" s="647" t="s">
        <v>2065</v>
      </c>
      <c r="M1521" s="576"/>
      <c r="N1521" s="576">
        <f t="shared" si="372"/>
        <v>0</v>
      </c>
      <c r="O1521" s="577">
        <f t="shared" si="366"/>
        <v>0</v>
      </c>
      <c r="P1521" s="578">
        <f t="shared" si="367"/>
        <v>0</v>
      </c>
      <c r="Q1521" s="765"/>
      <c r="R1521" s="576">
        <f t="shared" si="374"/>
        <v>0</v>
      </c>
      <c r="S1521" s="576">
        <f t="shared" si="374"/>
        <v>0</v>
      </c>
      <c r="T1521" s="577">
        <f t="shared" si="364"/>
        <v>0</v>
      </c>
      <c r="U1521" s="578">
        <f t="shared" si="365"/>
        <v>0</v>
      </c>
      <c r="V1521" s="579"/>
      <c r="W1521" s="566"/>
      <c r="X1521" s="586" t="str">
        <f t="shared" si="368"/>
        <v/>
      </c>
      <c r="Y1521" s="586" t="str">
        <f t="shared" si="373"/>
        <v/>
      </c>
      <c r="Z1521" s="586" t="str">
        <f t="shared" si="371"/>
        <v/>
      </c>
    </row>
    <row r="1522" spans="1:26" ht="12" hidden="1" thickBot="1" x14ac:dyDescent="0.25">
      <c r="A1522" s="567">
        <v>101644</v>
      </c>
      <c r="B1522" s="644">
        <v>101644</v>
      </c>
      <c r="C1522" s="645" t="s">
        <v>670</v>
      </c>
      <c r="D1522" s="422" t="s">
        <v>1368</v>
      </c>
      <c r="E1522" s="423"/>
      <c r="F1522" s="424"/>
      <c r="G1522" s="425"/>
      <c r="H1522" s="651"/>
      <c r="I1522" s="420">
        <v>72.23</v>
      </c>
      <c r="J1522" s="420">
        <f t="shared" si="370"/>
        <v>72.23</v>
      </c>
      <c r="K1522" s="421">
        <f t="shared" si="369"/>
        <v>85.82</v>
      </c>
      <c r="L1522" s="647" t="s">
        <v>2065</v>
      </c>
      <c r="M1522" s="576"/>
      <c r="N1522" s="576">
        <f t="shared" si="372"/>
        <v>0</v>
      </c>
      <c r="O1522" s="577">
        <f t="shared" si="366"/>
        <v>0</v>
      </c>
      <c r="P1522" s="578">
        <f t="shared" si="367"/>
        <v>0</v>
      </c>
      <c r="Q1522" s="765"/>
      <c r="R1522" s="576">
        <f t="shared" si="374"/>
        <v>0</v>
      </c>
      <c r="S1522" s="576">
        <f t="shared" si="374"/>
        <v>0</v>
      </c>
      <c r="T1522" s="577">
        <f t="shared" si="364"/>
        <v>0</v>
      </c>
      <c r="U1522" s="578">
        <f t="shared" si="365"/>
        <v>0</v>
      </c>
      <c r="V1522" s="579"/>
      <c r="W1522" s="566"/>
      <c r="X1522" s="586" t="str">
        <f t="shared" si="368"/>
        <v/>
      </c>
      <c r="Y1522" s="586" t="str">
        <f t="shared" si="373"/>
        <v/>
      </c>
      <c r="Z1522" s="586" t="str">
        <f t="shared" si="371"/>
        <v/>
      </c>
    </row>
    <row r="1523" spans="1:26" ht="12" hidden="1" thickBot="1" x14ac:dyDescent="0.25">
      <c r="A1523" s="567">
        <v>101645</v>
      </c>
      <c r="B1523" s="644">
        <v>101645</v>
      </c>
      <c r="C1523" s="645" t="s">
        <v>670</v>
      </c>
      <c r="D1523" s="422" t="s">
        <v>1369</v>
      </c>
      <c r="E1523" s="423"/>
      <c r="F1523" s="424"/>
      <c r="G1523" s="425"/>
      <c r="H1523" s="651"/>
      <c r="I1523" s="420">
        <v>34.06</v>
      </c>
      <c r="J1523" s="420">
        <f t="shared" si="370"/>
        <v>34.06</v>
      </c>
      <c r="K1523" s="421">
        <f t="shared" si="369"/>
        <v>40.47</v>
      </c>
      <c r="L1523" s="647" t="s">
        <v>2065</v>
      </c>
      <c r="M1523" s="576"/>
      <c r="N1523" s="576">
        <f t="shared" si="372"/>
        <v>0</v>
      </c>
      <c r="O1523" s="577">
        <f t="shared" si="366"/>
        <v>0</v>
      </c>
      <c r="P1523" s="578">
        <f t="shared" si="367"/>
        <v>0</v>
      </c>
      <c r="Q1523" s="765"/>
      <c r="R1523" s="576">
        <f t="shared" si="374"/>
        <v>0</v>
      </c>
      <c r="S1523" s="576">
        <f t="shared" si="374"/>
        <v>0</v>
      </c>
      <c r="T1523" s="577">
        <f t="shared" si="364"/>
        <v>0</v>
      </c>
      <c r="U1523" s="578">
        <f t="shared" si="365"/>
        <v>0</v>
      </c>
      <c r="V1523" s="579"/>
      <c r="W1523" s="566"/>
      <c r="X1523" s="586" t="str">
        <f t="shared" si="368"/>
        <v/>
      </c>
      <c r="Y1523" s="586" t="str">
        <f t="shared" si="373"/>
        <v/>
      </c>
      <c r="Z1523" s="586" t="str">
        <f t="shared" si="371"/>
        <v/>
      </c>
    </row>
    <row r="1524" spans="1:26" ht="12" hidden="1" thickBot="1" x14ac:dyDescent="0.25">
      <c r="A1524" s="567">
        <v>101646</v>
      </c>
      <c r="B1524" s="644">
        <v>101646</v>
      </c>
      <c r="C1524" s="645" t="s">
        <v>670</v>
      </c>
      <c r="D1524" s="422" t="s">
        <v>1370</v>
      </c>
      <c r="E1524" s="423"/>
      <c r="F1524" s="424"/>
      <c r="G1524" s="425"/>
      <c r="H1524" s="651"/>
      <c r="I1524" s="420">
        <v>45.31</v>
      </c>
      <c r="J1524" s="420">
        <f t="shared" si="370"/>
        <v>45.31</v>
      </c>
      <c r="K1524" s="421">
        <f t="shared" si="369"/>
        <v>53.83</v>
      </c>
      <c r="L1524" s="647" t="s">
        <v>2065</v>
      </c>
      <c r="M1524" s="576"/>
      <c r="N1524" s="576">
        <f t="shared" si="372"/>
        <v>0</v>
      </c>
      <c r="O1524" s="577">
        <f t="shared" si="366"/>
        <v>0</v>
      </c>
      <c r="P1524" s="578">
        <f t="shared" si="367"/>
        <v>0</v>
      </c>
      <c r="Q1524" s="765"/>
      <c r="R1524" s="576">
        <f t="shared" si="374"/>
        <v>0</v>
      </c>
      <c r="S1524" s="576">
        <f t="shared" si="374"/>
        <v>0</v>
      </c>
      <c r="T1524" s="577">
        <f t="shared" ref="T1524:T1587" si="375">IF(ISBLANK(R1524),0,ROUND(K1524*R1524,2))</f>
        <v>0</v>
      </c>
      <c r="U1524" s="578">
        <f t="shared" ref="U1524:U1587" si="376">IF(ISBLANK(R1524),0,ROUND(R1524*S1524,2))</f>
        <v>0</v>
      </c>
      <c r="V1524" s="579"/>
      <c r="W1524" s="566"/>
      <c r="X1524" s="586" t="str">
        <f t="shared" si="368"/>
        <v/>
      </c>
      <c r="Y1524" s="586" t="str">
        <f t="shared" si="373"/>
        <v/>
      </c>
      <c r="Z1524" s="586" t="str">
        <f t="shared" si="371"/>
        <v/>
      </c>
    </row>
    <row r="1525" spans="1:26" ht="12" hidden="1" thickBot="1" x14ac:dyDescent="0.25">
      <c r="A1525" s="567">
        <v>101647</v>
      </c>
      <c r="B1525" s="644">
        <v>101647</v>
      </c>
      <c r="C1525" s="645" t="s">
        <v>670</v>
      </c>
      <c r="D1525" s="422" t="s">
        <v>1371</v>
      </c>
      <c r="E1525" s="423"/>
      <c r="F1525" s="424"/>
      <c r="G1525" s="425"/>
      <c r="H1525" s="651"/>
      <c r="I1525" s="420">
        <v>83.44</v>
      </c>
      <c r="J1525" s="420">
        <f t="shared" si="370"/>
        <v>83.44</v>
      </c>
      <c r="K1525" s="421">
        <f t="shared" si="369"/>
        <v>99.14</v>
      </c>
      <c r="L1525" s="647" t="s">
        <v>2065</v>
      </c>
      <c r="M1525" s="576"/>
      <c r="N1525" s="576">
        <f t="shared" si="372"/>
        <v>0</v>
      </c>
      <c r="O1525" s="577">
        <f t="shared" ref="O1525:O1588" si="377">IF(ISBLANK(M1525),0,ROUND(K1525*M1525,2))</f>
        <v>0</v>
      </c>
      <c r="P1525" s="578">
        <f t="shared" ref="P1525:P1588" si="378">IF(ISBLANK(N1525),0,ROUND(M1525*N1525,2))</f>
        <v>0</v>
      </c>
      <c r="Q1525" s="765"/>
      <c r="R1525" s="576">
        <f t="shared" si="374"/>
        <v>0</v>
      </c>
      <c r="S1525" s="576">
        <f t="shared" si="374"/>
        <v>0</v>
      </c>
      <c r="T1525" s="577">
        <f t="shared" si="375"/>
        <v>0</v>
      </c>
      <c r="U1525" s="578">
        <f t="shared" si="376"/>
        <v>0</v>
      </c>
      <c r="V1525" s="579"/>
      <c r="W1525" s="566"/>
      <c r="X1525" s="586" t="str">
        <f t="shared" si="368"/>
        <v/>
      </c>
      <c r="Y1525" s="586" t="str">
        <f t="shared" si="373"/>
        <v/>
      </c>
      <c r="Z1525" s="586" t="str">
        <f t="shared" si="371"/>
        <v/>
      </c>
    </row>
    <row r="1526" spans="1:26" ht="23.25" hidden="1" thickBot="1" x14ac:dyDescent="0.25">
      <c r="A1526" s="567">
        <v>102085</v>
      </c>
      <c r="B1526" s="644">
        <v>102085</v>
      </c>
      <c r="C1526" s="645" t="s">
        <v>670</v>
      </c>
      <c r="D1526" s="422" t="s">
        <v>1372</v>
      </c>
      <c r="E1526" s="423"/>
      <c r="F1526" s="424"/>
      <c r="G1526" s="425"/>
      <c r="H1526" s="651"/>
      <c r="I1526" s="420">
        <v>277.33999999999997</v>
      </c>
      <c r="J1526" s="420">
        <f t="shared" si="370"/>
        <v>277.33999999999997</v>
      </c>
      <c r="K1526" s="421">
        <f t="shared" si="369"/>
        <v>329.51</v>
      </c>
      <c r="L1526" s="647" t="s">
        <v>2065</v>
      </c>
      <c r="M1526" s="576"/>
      <c r="N1526" s="576">
        <f t="shared" si="372"/>
        <v>0</v>
      </c>
      <c r="O1526" s="577">
        <f t="shared" si="377"/>
        <v>0</v>
      </c>
      <c r="P1526" s="578">
        <f t="shared" si="378"/>
        <v>0</v>
      </c>
      <c r="Q1526" s="765"/>
      <c r="R1526" s="576">
        <f t="shared" si="374"/>
        <v>0</v>
      </c>
      <c r="S1526" s="576">
        <f t="shared" si="374"/>
        <v>0</v>
      </c>
      <c r="T1526" s="577">
        <f t="shared" si="375"/>
        <v>0</v>
      </c>
      <c r="U1526" s="578">
        <f t="shared" si="376"/>
        <v>0</v>
      </c>
      <c r="V1526" s="579"/>
      <c r="W1526" s="566"/>
      <c r="X1526" s="586" t="str">
        <f t="shared" si="368"/>
        <v/>
      </c>
      <c r="Y1526" s="586" t="str">
        <f t="shared" si="373"/>
        <v/>
      </c>
      <c r="Z1526" s="586" t="str">
        <f t="shared" si="371"/>
        <v/>
      </c>
    </row>
    <row r="1527" spans="1:26" ht="23.25" hidden="1" thickBot="1" x14ac:dyDescent="0.25">
      <c r="A1527" s="567">
        <v>97605</v>
      </c>
      <c r="B1527" s="644">
        <v>97605</v>
      </c>
      <c r="C1527" s="645" t="s">
        <v>670</v>
      </c>
      <c r="D1527" s="422" t="s">
        <v>1373</v>
      </c>
      <c r="E1527" s="423"/>
      <c r="F1527" s="424"/>
      <c r="G1527" s="425"/>
      <c r="H1527" s="651"/>
      <c r="I1527" s="420">
        <v>125.56</v>
      </c>
      <c r="J1527" s="420">
        <f t="shared" si="370"/>
        <v>125.56</v>
      </c>
      <c r="K1527" s="421">
        <f t="shared" si="369"/>
        <v>149.18</v>
      </c>
      <c r="L1527" s="647" t="s">
        <v>2065</v>
      </c>
      <c r="M1527" s="576"/>
      <c r="N1527" s="576">
        <f t="shared" si="372"/>
        <v>0</v>
      </c>
      <c r="O1527" s="577">
        <f t="shared" si="377"/>
        <v>0</v>
      </c>
      <c r="P1527" s="578">
        <f t="shared" si="378"/>
        <v>0</v>
      </c>
      <c r="Q1527" s="765"/>
      <c r="R1527" s="576">
        <f t="shared" si="374"/>
        <v>0</v>
      </c>
      <c r="S1527" s="576">
        <f t="shared" si="374"/>
        <v>0</v>
      </c>
      <c r="T1527" s="577">
        <f t="shared" si="375"/>
        <v>0</v>
      </c>
      <c r="U1527" s="578">
        <f t="shared" si="376"/>
        <v>0</v>
      </c>
      <c r="V1527" s="579"/>
      <c r="W1527" s="566"/>
      <c r="X1527" s="586" t="str">
        <f t="shared" si="368"/>
        <v/>
      </c>
      <c r="Y1527" s="586" t="str">
        <f t="shared" si="373"/>
        <v/>
      </c>
      <c r="Z1527" s="586" t="str">
        <f t="shared" si="371"/>
        <v/>
      </c>
    </row>
    <row r="1528" spans="1:26" ht="23.25" hidden="1" thickBot="1" x14ac:dyDescent="0.25">
      <c r="A1528" s="567">
        <v>101654</v>
      </c>
      <c r="B1528" s="644">
        <v>101654</v>
      </c>
      <c r="C1528" s="645" t="s">
        <v>670</v>
      </c>
      <c r="D1528" s="422" t="s">
        <v>1374</v>
      </c>
      <c r="E1528" s="423"/>
      <c r="F1528" s="424"/>
      <c r="G1528" s="425"/>
      <c r="H1528" s="651"/>
      <c r="I1528" s="420">
        <v>306.95</v>
      </c>
      <c r="J1528" s="420">
        <f t="shared" si="370"/>
        <v>306.95</v>
      </c>
      <c r="K1528" s="421">
        <f t="shared" si="369"/>
        <v>364.69</v>
      </c>
      <c r="L1528" s="647" t="s">
        <v>2065</v>
      </c>
      <c r="M1528" s="576"/>
      <c r="N1528" s="576">
        <f t="shared" si="372"/>
        <v>0</v>
      </c>
      <c r="O1528" s="577">
        <f t="shared" si="377"/>
        <v>0</v>
      </c>
      <c r="P1528" s="578">
        <f t="shared" si="378"/>
        <v>0</v>
      </c>
      <c r="Q1528" s="765"/>
      <c r="R1528" s="576">
        <f t="shared" si="374"/>
        <v>0</v>
      </c>
      <c r="S1528" s="576">
        <f t="shared" si="374"/>
        <v>0</v>
      </c>
      <c r="T1528" s="577">
        <f t="shared" si="375"/>
        <v>0</v>
      </c>
      <c r="U1528" s="578">
        <f t="shared" si="376"/>
        <v>0</v>
      </c>
      <c r="V1528" s="579"/>
      <c r="W1528" s="566"/>
      <c r="X1528" s="586" t="str">
        <f t="shared" si="368"/>
        <v/>
      </c>
      <c r="Y1528" s="586" t="str">
        <f t="shared" si="373"/>
        <v/>
      </c>
      <c r="Z1528" s="586" t="str">
        <f t="shared" si="371"/>
        <v/>
      </c>
    </row>
    <row r="1529" spans="1:26" ht="23.25" hidden="1" thickBot="1" x14ac:dyDescent="0.25">
      <c r="A1529" s="567">
        <v>101655</v>
      </c>
      <c r="B1529" s="644">
        <v>101655</v>
      </c>
      <c r="C1529" s="645" t="s">
        <v>670</v>
      </c>
      <c r="D1529" s="422" t="s">
        <v>1375</v>
      </c>
      <c r="E1529" s="423"/>
      <c r="F1529" s="424"/>
      <c r="G1529" s="425"/>
      <c r="H1529" s="651"/>
      <c r="I1529" s="420">
        <v>500.81</v>
      </c>
      <c r="J1529" s="420">
        <f t="shared" si="370"/>
        <v>500.81</v>
      </c>
      <c r="K1529" s="421">
        <f t="shared" si="369"/>
        <v>595.01</v>
      </c>
      <c r="L1529" s="647" t="s">
        <v>2065</v>
      </c>
      <c r="M1529" s="576"/>
      <c r="N1529" s="576">
        <f t="shared" si="372"/>
        <v>0</v>
      </c>
      <c r="O1529" s="577">
        <f t="shared" si="377"/>
        <v>0</v>
      </c>
      <c r="P1529" s="578">
        <f t="shared" si="378"/>
        <v>0</v>
      </c>
      <c r="Q1529" s="765"/>
      <c r="R1529" s="576">
        <f t="shared" si="374"/>
        <v>0</v>
      </c>
      <c r="S1529" s="576">
        <f t="shared" si="374"/>
        <v>0</v>
      </c>
      <c r="T1529" s="577">
        <f t="shared" si="375"/>
        <v>0</v>
      </c>
      <c r="U1529" s="578">
        <f t="shared" si="376"/>
        <v>0</v>
      </c>
      <c r="V1529" s="579"/>
      <c r="W1529" s="566"/>
      <c r="X1529" s="586" t="str">
        <f t="shared" si="368"/>
        <v/>
      </c>
      <c r="Y1529" s="586" t="str">
        <f t="shared" si="373"/>
        <v/>
      </c>
      <c r="Z1529" s="586" t="str">
        <f t="shared" si="371"/>
        <v/>
      </c>
    </row>
    <row r="1530" spans="1:26" ht="23.25" hidden="1" thickBot="1" x14ac:dyDescent="0.25">
      <c r="A1530" s="567">
        <v>101656</v>
      </c>
      <c r="B1530" s="644">
        <v>101656</v>
      </c>
      <c r="C1530" s="645" t="s">
        <v>670</v>
      </c>
      <c r="D1530" s="422" t="s">
        <v>1376</v>
      </c>
      <c r="E1530" s="423"/>
      <c r="F1530" s="424"/>
      <c r="G1530" s="425"/>
      <c r="H1530" s="651"/>
      <c r="I1530" s="420">
        <v>546.08000000000004</v>
      </c>
      <c r="J1530" s="420">
        <f t="shared" si="370"/>
        <v>546.08000000000004</v>
      </c>
      <c r="K1530" s="421">
        <f t="shared" si="369"/>
        <v>648.79999999999995</v>
      </c>
      <c r="L1530" s="647" t="s">
        <v>2065</v>
      </c>
      <c r="M1530" s="576"/>
      <c r="N1530" s="576">
        <f t="shared" si="372"/>
        <v>0</v>
      </c>
      <c r="O1530" s="577">
        <f t="shared" si="377"/>
        <v>0</v>
      </c>
      <c r="P1530" s="578">
        <f t="shared" si="378"/>
        <v>0</v>
      </c>
      <c r="Q1530" s="765"/>
      <c r="R1530" s="576">
        <f t="shared" si="374"/>
        <v>0</v>
      </c>
      <c r="S1530" s="576">
        <f t="shared" si="374"/>
        <v>0</v>
      </c>
      <c r="T1530" s="577">
        <f t="shared" si="375"/>
        <v>0</v>
      </c>
      <c r="U1530" s="578">
        <f t="shared" si="376"/>
        <v>0</v>
      </c>
      <c r="V1530" s="579"/>
      <c r="W1530" s="566"/>
      <c r="X1530" s="586" t="str">
        <f t="shared" si="368"/>
        <v/>
      </c>
      <c r="Y1530" s="586" t="str">
        <f t="shared" si="373"/>
        <v/>
      </c>
      <c r="Z1530" s="586" t="str">
        <f t="shared" si="371"/>
        <v/>
      </c>
    </row>
    <row r="1531" spans="1:26" ht="23.25" hidden="1" thickBot="1" x14ac:dyDescent="0.25">
      <c r="A1531" s="567">
        <v>101657</v>
      </c>
      <c r="B1531" s="644">
        <v>101657</v>
      </c>
      <c r="C1531" s="645" t="s">
        <v>670</v>
      </c>
      <c r="D1531" s="422" t="s">
        <v>1377</v>
      </c>
      <c r="E1531" s="423"/>
      <c r="F1531" s="424"/>
      <c r="G1531" s="425"/>
      <c r="H1531" s="651"/>
      <c r="I1531" s="420">
        <v>642.5</v>
      </c>
      <c r="J1531" s="420">
        <f t="shared" si="370"/>
        <v>642.5</v>
      </c>
      <c r="K1531" s="421">
        <f t="shared" si="369"/>
        <v>763.35</v>
      </c>
      <c r="L1531" s="647" t="s">
        <v>2065</v>
      </c>
      <c r="M1531" s="576"/>
      <c r="N1531" s="576">
        <f t="shared" si="372"/>
        <v>0</v>
      </c>
      <c r="O1531" s="577">
        <f t="shared" si="377"/>
        <v>0</v>
      </c>
      <c r="P1531" s="578">
        <f t="shared" si="378"/>
        <v>0</v>
      </c>
      <c r="Q1531" s="765"/>
      <c r="R1531" s="576">
        <f t="shared" si="374"/>
        <v>0</v>
      </c>
      <c r="S1531" s="576">
        <f t="shared" si="374"/>
        <v>0</v>
      </c>
      <c r="T1531" s="577">
        <f t="shared" si="375"/>
        <v>0</v>
      </c>
      <c r="U1531" s="578">
        <f t="shared" si="376"/>
        <v>0</v>
      </c>
      <c r="V1531" s="579"/>
      <c r="W1531" s="566"/>
      <c r="X1531" s="586" t="str">
        <f t="shared" si="368"/>
        <v/>
      </c>
      <c r="Y1531" s="586" t="str">
        <f t="shared" si="373"/>
        <v/>
      </c>
      <c r="Z1531" s="586" t="str">
        <f t="shared" si="371"/>
        <v/>
      </c>
    </row>
    <row r="1532" spans="1:26" ht="23.25" hidden="1" thickBot="1" x14ac:dyDescent="0.25">
      <c r="A1532" s="567">
        <v>101658</v>
      </c>
      <c r="B1532" s="644">
        <v>101658</v>
      </c>
      <c r="C1532" s="645" t="s">
        <v>670</v>
      </c>
      <c r="D1532" s="422" t="s">
        <v>1378</v>
      </c>
      <c r="E1532" s="423"/>
      <c r="F1532" s="424"/>
      <c r="G1532" s="425"/>
      <c r="H1532" s="651"/>
      <c r="I1532" s="420">
        <v>840.76</v>
      </c>
      <c r="J1532" s="420">
        <f t="shared" si="370"/>
        <v>840.76</v>
      </c>
      <c r="K1532" s="421">
        <f t="shared" si="369"/>
        <v>998.91</v>
      </c>
      <c r="L1532" s="647" t="s">
        <v>2065</v>
      </c>
      <c r="M1532" s="576"/>
      <c r="N1532" s="576">
        <f t="shared" si="372"/>
        <v>0</v>
      </c>
      <c r="O1532" s="577">
        <f t="shared" si="377"/>
        <v>0</v>
      </c>
      <c r="P1532" s="578">
        <f t="shared" si="378"/>
        <v>0</v>
      </c>
      <c r="Q1532" s="765"/>
      <c r="R1532" s="576">
        <f t="shared" si="374"/>
        <v>0</v>
      </c>
      <c r="S1532" s="576">
        <f t="shared" si="374"/>
        <v>0</v>
      </c>
      <c r="T1532" s="577">
        <f t="shared" si="375"/>
        <v>0</v>
      </c>
      <c r="U1532" s="578">
        <f t="shared" si="376"/>
        <v>0</v>
      </c>
      <c r="V1532" s="579"/>
      <c r="W1532" s="566"/>
      <c r="X1532" s="586" t="str">
        <f t="shared" si="368"/>
        <v/>
      </c>
      <c r="Y1532" s="586" t="str">
        <f t="shared" si="373"/>
        <v/>
      </c>
      <c r="Z1532" s="586" t="str">
        <f t="shared" si="371"/>
        <v/>
      </c>
    </row>
    <row r="1533" spans="1:26" ht="23.25" hidden="1" thickBot="1" x14ac:dyDescent="0.25">
      <c r="A1533" s="567">
        <v>101659</v>
      </c>
      <c r="B1533" s="644">
        <v>101659</v>
      </c>
      <c r="C1533" s="645" t="s">
        <v>670</v>
      </c>
      <c r="D1533" s="422" t="s">
        <v>1379</v>
      </c>
      <c r="E1533" s="423"/>
      <c r="F1533" s="424"/>
      <c r="G1533" s="425"/>
      <c r="H1533" s="651"/>
      <c r="I1533" s="420">
        <v>964.07</v>
      </c>
      <c r="J1533" s="420">
        <f t="shared" si="370"/>
        <v>964.07</v>
      </c>
      <c r="K1533" s="421">
        <f t="shared" si="369"/>
        <v>1145.4100000000001</v>
      </c>
      <c r="L1533" s="647" t="s">
        <v>2065</v>
      </c>
      <c r="M1533" s="576"/>
      <c r="N1533" s="576">
        <f t="shared" si="372"/>
        <v>0</v>
      </c>
      <c r="O1533" s="577">
        <f t="shared" si="377"/>
        <v>0</v>
      </c>
      <c r="P1533" s="578">
        <f t="shared" si="378"/>
        <v>0</v>
      </c>
      <c r="Q1533" s="765"/>
      <c r="R1533" s="576">
        <f t="shared" si="374"/>
        <v>0</v>
      </c>
      <c r="S1533" s="576">
        <f t="shared" si="374"/>
        <v>0</v>
      </c>
      <c r="T1533" s="577">
        <f t="shared" si="375"/>
        <v>0</v>
      </c>
      <c r="U1533" s="578">
        <f t="shared" si="376"/>
        <v>0</v>
      </c>
      <c r="V1533" s="579"/>
      <c r="W1533" s="566"/>
      <c r="X1533" s="586" t="str">
        <f t="shared" ref="X1533:X1596" si="379">IF(W1533="X","x",IF(W1533="xx","x",IF(W1533="xy","x",IF(W1533="y","x",IF(OR(P1533&gt;0,U1533&gt;0),"x","")))))</f>
        <v/>
      </c>
      <c r="Y1533" s="586" t="str">
        <f t="shared" si="373"/>
        <v/>
      </c>
      <c r="Z1533" s="586" t="str">
        <f t="shared" si="371"/>
        <v/>
      </c>
    </row>
    <row r="1534" spans="1:26" ht="23.25" hidden="1" thickBot="1" x14ac:dyDescent="0.25">
      <c r="A1534" s="567">
        <v>101660</v>
      </c>
      <c r="B1534" s="644">
        <v>101660</v>
      </c>
      <c r="C1534" s="645" t="s">
        <v>670</v>
      </c>
      <c r="D1534" s="422" t="s">
        <v>1380</v>
      </c>
      <c r="E1534" s="423"/>
      <c r="F1534" s="424"/>
      <c r="G1534" s="425"/>
      <c r="H1534" s="651"/>
      <c r="I1534" s="420">
        <v>1546.17</v>
      </c>
      <c r="J1534" s="420">
        <f t="shared" si="370"/>
        <v>1546.17</v>
      </c>
      <c r="K1534" s="421">
        <f t="shared" si="369"/>
        <v>1837</v>
      </c>
      <c r="L1534" s="647" t="s">
        <v>2065</v>
      </c>
      <c r="M1534" s="576"/>
      <c r="N1534" s="576">
        <f t="shared" si="372"/>
        <v>0</v>
      </c>
      <c r="O1534" s="577">
        <f t="shared" si="377"/>
        <v>0</v>
      </c>
      <c r="P1534" s="578">
        <f t="shared" si="378"/>
        <v>0</v>
      </c>
      <c r="Q1534" s="765"/>
      <c r="R1534" s="576">
        <f t="shared" si="374"/>
        <v>0</v>
      </c>
      <c r="S1534" s="576">
        <f t="shared" si="374"/>
        <v>0</v>
      </c>
      <c r="T1534" s="577">
        <f t="shared" si="375"/>
        <v>0</v>
      </c>
      <c r="U1534" s="578">
        <f t="shared" si="376"/>
        <v>0</v>
      </c>
      <c r="V1534" s="579"/>
      <c r="W1534" s="566"/>
      <c r="X1534" s="586" t="str">
        <f t="shared" si="379"/>
        <v/>
      </c>
      <c r="Y1534" s="586" t="str">
        <f t="shared" si="373"/>
        <v/>
      </c>
      <c r="Z1534" s="586" t="str">
        <f t="shared" si="371"/>
        <v/>
      </c>
    </row>
    <row r="1535" spans="1:26" ht="23.25" hidden="1" thickBot="1" x14ac:dyDescent="0.25">
      <c r="A1535" s="567">
        <v>97606</v>
      </c>
      <c r="B1535" s="644">
        <v>97606</v>
      </c>
      <c r="C1535" s="645" t="s">
        <v>670</v>
      </c>
      <c r="D1535" s="422" t="s">
        <v>1381</v>
      </c>
      <c r="E1535" s="423"/>
      <c r="F1535" s="424"/>
      <c r="G1535" s="425"/>
      <c r="H1535" s="651"/>
      <c r="I1535" s="420">
        <v>135.91999999999999</v>
      </c>
      <c r="J1535" s="420">
        <f t="shared" si="370"/>
        <v>135.91999999999999</v>
      </c>
      <c r="K1535" s="421">
        <f t="shared" si="369"/>
        <v>161.49</v>
      </c>
      <c r="L1535" s="647" t="s">
        <v>2065</v>
      </c>
      <c r="M1535" s="576"/>
      <c r="N1535" s="576">
        <f t="shared" si="372"/>
        <v>0</v>
      </c>
      <c r="O1535" s="577">
        <f t="shared" si="377"/>
        <v>0</v>
      </c>
      <c r="P1535" s="578">
        <f t="shared" si="378"/>
        <v>0</v>
      </c>
      <c r="Q1535" s="765"/>
      <c r="R1535" s="576">
        <f t="shared" si="374"/>
        <v>0</v>
      </c>
      <c r="S1535" s="576">
        <f t="shared" si="374"/>
        <v>0</v>
      </c>
      <c r="T1535" s="577">
        <f t="shared" si="375"/>
        <v>0</v>
      </c>
      <c r="U1535" s="578">
        <f t="shared" si="376"/>
        <v>0</v>
      </c>
      <c r="V1535" s="579"/>
      <c r="W1535" s="566"/>
      <c r="X1535" s="586" t="str">
        <f t="shared" si="379"/>
        <v/>
      </c>
      <c r="Y1535" s="586" t="str">
        <f t="shared" si="373"/>
        <v/>
      </c>
      <c r="Z1535" s="586" t="str">
        <f t="shared" si="371"/>
        <v/>
      </c>
    </row>
    <row r="1536" spans="1:26" ht="23.25" hidden="1" thickBot="1" x14ac:dyDescent="0.25">
      <c r="A1536" s="567">
        <v>97607</v>
      </c>
      <c r="B1536" s="644">
        <v>97607</v>
      </c>
      <c r="C1536" s="645" t="s">
        <v>670</v>
      </c>
      <c r="D1536" s="422" t="s">
        <v>1382</v>
      </c>
      <c r="E1536" s="423"/>
      <c r="F1536" s="424"/>
      <c r="G1536" s="425"/>
      <c r="H1536" s="651"/>
      <c r="I1536" s="420">
        <v>152.28</v>
      </c>
      <c r="J1536" s="420">
        <f t="shared" si="370"/>
        <v>152.28</v>
      </c>
      <c r="K1536" s="421">
        <f t="shared" si="369"/>
        <v>180.92</v>
      </c>
      <c r="L1536" s="647" t="s">
        <v>2065</v>
      </c>
      <c r="M1536" s="576"/>
      <c r="N1536" s="576">
        <f t="shared" si="372"/>
        <v>0</v>
      </c>
      <c r="O1536" s="577">
        <f t="shared" si="377"/>
        <v>0</v>
      </c>
      <c r="P1536" s="578">
        <f t="shared" si="378"/>
        <v>0</v>
      </c>
      <c r="Q1536" s="765"/>
      <c r="R1536" s="576">
        <f t="shared" si="374"/>
        <v>0</v>
      </c>
      <c r="S1536" s="576">
        <f t="shared" si="374"/>
        <v>0</v>
      </c>
      <c r="T1536" s="577">
        <f t="shared" si="375"/>
        <v>0</v>
      </c>
      <c r="U1536" s="578">
        <f t="shared" si="376"/>
        <v>0</v>
      </c>
      <c r="V1536" s="579"/>
      <c r="W1536" s="566"/>
      <c r="X1536" s="586" t="str">
        <f t="shared" si="379"/>
        <v/>
      </c>
      <c r="Y1536" s="586" t="str">
        <f t="shared" si="373"/>
        <v/>
      </c>
      <c r="Z1536" s="586" t="str">
        <f t="shared" si="371"/>
        <v/>
      </c>
    </row>
    <row r="1537" spans="1:26" ht="23.25" hidden="1" thickBot="1" x14ac:dyDescent="0.25">
      <c r="A1537" s="567">
        <v>97608</v>
      </c>
      <c r="B1537" s="644">
        <v>97608</v>
      </c>
      <c r="C1537" s="645" t="s">
        <v>670</v>
      </c>
      <c r="D1537" s="422" t="s">
        <v>1383</v>
      </c>
      <c r="E1537" s="423"/>
      <c r="F1537" s="424"/>
      <c r="G1537" s="425"/>
      <c r="H1537" s="651"/>
      <c r="I1537" s="420">
        <v>162.63999999999999</v>
      </c>
      <c r="J1537" s="420">
        <f t="shared" si="370"/>
        <v>162.63999999999999</v>
      </c>
      <c r="K1537" s="421">
        <f t="shared" si="369"/>
        <v>193.23</v>
      </c>
      <c r="L1537" s="647" t="s">
        <v>2065</v>
      </c>
      <c r="M1537" s="576"/>
      <c r="N1537" s="576">
        <f t="shared" si="372"/>
        <v>0</v>
      </c>
      <c r="O1537" s="577">
        <f t="shared" si="377"/>
        <v>0</v>
      </c>
      <c r="P1537" s="578">
        <f t="shared" si="378"/>
        <v>0</v>
      </c>
      <c r="Q1537" s="765"/>
      <c r="R1537" s="576">
        <f t="shared" si="374"/>
        <v>0</v>
      </c>
      <c r="S1537" s="576">
        <f t="shared" si="374"/>
        <v>0</v>
      </c>
      <c r="T1537" s="577">
        <f t="shared" si="375"/>
        <v>0</v>
      </c>
      <c r="U1537" s="578">
        <f t="shared" si="376"/>
        <v>0</v>
      </c>
      <c r="V1537" s="579"/>
      <c r="W1537" s="566"/>
      <c r="X1537" s="586" t="str">
        <f t="shared" si="379"/>
        <v/>
      </c>
      <c r="Y1537" s="586" t="str">
        <f t="shared" si="373"/>
        <v/>
      </c>
      <c r="Z1537" s="586" t="str">
        <f t="shared" si="371"/>
        <v/>
      </c>
    </row>
    <row r="1538" spans="1:26" ht="12" hidden="1" thickBot="1" x14ac:dyDescent="0.25">
      <c r="A1538" s="567">
        <v>100902</v>
      </c>
      <c r="B1538" s="644">
        <v>100902</v>
      </c>
      <c r="C1538" s="645" t="s">
        <v>670</v>
      </c>
      <c r="D1538" s="422" t="s">
        <v>1384</v>
      </c>
      <c r="E1538" s="423"/>
      <c r="F1538" s="424"/>
      <c r="G1538" s="425"/>
      <c r="H1538" s="651"/>
      <c r="I1538" s="420">
        <v>28.34</v>
      </c>
      <c r="J1538" s="420">
        <f t="shared" si="370"/>
        <v>28.34</v>
      </c>
      <c r="K1538" s="421">
        <f t="shared" si="369"/>
        <v>33.67</v>
      </c>
      <c r="L1538" s="647" t="s">
        <v>2065</v>
      </c>
      <c r="M1538" s="576"/>
      <c r="N1538" s="576">
        <f t="shared" si="372"/>
        <v>0</v>
      </c>
      <c r="O1538" s="577">
        <f t="shared" si="377"/>
        <v>0</v>
      </c>
      <c r="P1538" s="578">
        <f t="shared" si="378"/>
        <v>0</v>
      </c>
      <c r="Q1538" s="765"/>
      <c r="R1538" s="576">
        <f t="shared" si="374"/>
        <v>0</v>
      </c>
      <c r="S1538" s="576">
        <f t="shared" si="374"/>
        <v>0</v>
      </c>
      <c r="T1538" s="577">
        <f t="shared" si="375"/>
        <v>0</v>
      </c>
      <c r="U1538" s="578">
        <f t="shared" si="376"/>
        <v>0</v>
      </c>
      <c r="V1538" s="579"/>
      <c r="W1538" s="566"/>
      <c r="X1538" s="586" t="str">
        <f t="shared" si="379"/>
        <v/>
      </c>
      <c r="Y1538" s="586" t="str">
        <f t="shared" si="373"/>
        <v/>
      </c>
      <c r="Z1538" s="586" t="str">
        <f t="shared" si="371"/>
        <v/>
      </c>
    </row>
    <row r="1539" spans="1:26" ht="12" hidden="1" thickBot="1" x14ac:dyDescent="0.25">
      <c r="A1539" s="567">
        <v>100903</v>
      </c>
      <c r="B1539" s="644">
        <v>100903</v>
      </c>
      <c r="C1539" s="645" t="s">
        <v>670</v>
      </c>
      <c r="D1539" s="422" t="s">
        <v>1385</v>
      </c>
      <c r="E1539" s="423"/>
      <c r="F1539" s="424"/>
      <c r="G1539" s="425"/>
      <c r="H1539" s="651"/>
      <c r="I1539" s="420">
        <v>33.5</v>
      </c>
      <c r="J1539" s="420">
        <f t="shared" si="370"/>
        <v>33.5</v>
      </c>
      <c r="K1539" s="421">
        <f t="shared" si="369"/>
        <v>39.799999999999997</v>
      </c>
      <c r="L1539" s="647" t="s">
        <v>2065</v>
      </c>
      <c r="M1539" s="576"/>
      <c r="N1539" s="576">
        <f t="shared" si="372"/>
        <v>0</v>
      </c>
      <c r="O1539" s="577">
        <f t="shared" si="377"/>
        <v>0</v>
      </c>
      <c r="P1539" s="578">
        <f t="shared" si="378"/>
        <v>0</v>
      </c>
      <c r="Q1539" s="765"/>
      <c r="R1539" s="576">
        <f t="shared" si="374"/>
        <v>0</v>
      </c>
      <c r="S1539" s="576">
        <f t="shared" si="374"/>
        <v>0</v>
      </c>
      <c r="T1539" s="577">
        <f t="shared" si="375"/>
        <v>0</v>
      </c>
      <c r="U1539" s="578">
        <f t="shared" si="376"/>
        <v>0</v>
      </c>
      <c r="V1539" s="579"/>
      <c r="W1539" s="566"/>
      <c r="X1539" s="586" t="str">
        <f t="shared" si="379"/>
        <v/>
      </c>
      <c r="Y1539" s="586" t="str">
        <f t="shared" si="373"/>
        <v/>
      </c>
      <c r="Z1539" s="586" t="str">
        <f t="shared" si="371"/>
        <v/>
      </c>
    </row>
    <row r="1540" spans="1:26" ht="23.25" hidden="1" thickBot="1" x14ac:dyDescent="0.25">
      <c r="A1540" s="567">
        <v>100904</v>
      </c>
      <c r="B1540" s="644">
        <v>100904</v>
      </c>
      <c r="C1540" s="645" t="s">
        <v>670</v>
      </c>
      <c r="D1540" s="422" t="s">
        <v>1386</v>
      </c>
      <c r="E1540" s="423"/>
      <c r="F1540" s="424"/>
      <c r="G1540" s="425"/>
      <c r="H1540" s="651"/>
      <c r="I1540" s="420">
        <v>120.49</v>
      </c>
      <c r="J1540" s="420">
        <f t="shared" si="370"/>
        <v>120.49</v>
      </c>
      <c r="K1540" s="421">
        <f t="shared" si="369"/>
        <v>143.15</v>
      </c>
      <c r="L1540" s="647" t="s">
        <v>2065</v>
      </c>
      <c r="M1540" s="576"/>
      <c r="N1540" s="576">
        <f t="shared" si="372"/>
        <v>0</v>
      </c>
      <c r="O1540" s="577">
        <f t="shared" si="377"/>
        <v>0</v>
      </c>
      <c r="P1540" s="578">
        <f t="shared" si="378"/>
        <v>0</v>
      </c>
      <c r="Q1540" s="765"/>
      <c r="R1540" s="576">
        <f t="shared" si="374"/>
        <v>0</v>
      </c>
      <c r="S1540" s="576">
        <f t="shared" si="374"/>
        <v>0</v>
      </c>
      <c r="T1540" s="577">
        <f t="shared" si="375"/>
        <v>0</v>
      </c>
      <c r="U1540" s="578">
        <f t="shared" si="376"/>
        <v>0</v>
      </c>
      <c r="V1540" s="579"/>
      <c r="W1540" s="566"/>
      <c r="X1540" s="586" t="str">
        <f t="shared" si="379"/>
        <v/>
      </c>
      <c r="Y1540" s="586" t="str">
        <f t="shared" si="373"/>
        <v/>
      </c>
      <c r="Z1540" s="586" t="str">
        <f t="shared" si="371"/>
        <v/>
      </c>
    </row>
    <row r="1541" spans="1:26" ht="23.25" hidden="1" thickBot="1" x14ac:dyDescent="0.25">
      <c r="A1541" s="567">
        <v>100905</v>
      </c>
      <c r="B1541" s="644">
        <v>100905</v>
      </c>
      <c r="C1541" s="645" t="s">
        <v>670</v>
      </c>
      <c r="D1541" s="422" t="s">
        <v>1387</v>
      </c>
      <c r="E1541" s="423"/>
      <c r="F1541" s="424"/>
      <c r="G1541" s="425"/>
      <c r="H1541" s="651"/>
      <c r="I1541" s="420">
        <v>326.97000000000003</v>
      </c>
      <c r="J1541" s="420">
        <f t="shared" si="370"/>
        <v>326.97000000000003</v>
      </c>
      <c r="K1541" s="421">
        <f t="shared" si="369"/>
        <v>388.47</v>
      </c>
      <c r="L1541" s="647" t="s">
        <v>2065</v>
      </c>
      <c r="M1541" s="576"/>
      <c r="N1541" s="576">
        <f t="shared" si="372"/>
        <v>0</v>
      </c>
      <c r="O1541" s="577">
        <f t="shared" si="377"/>
        <v>0</v>
      </c>
      <c r="P1541" s="578">
        <f t="shared" si="378"/>
        <v>0</v>
      </c>
      <c r="Q1541" s="765"/>
      <c r="R1541" s="576">
        <f t="shared" si="374"/>
        <v>0</v>
      </c>
      <c r="S1541" s="576">
        <f t="shared" si="374"/>
        <v>0</v>
      </c>
      <c r="T1541" s="577">
        <f t="shared" si="375"/>
        <v>0</v>
      </c>
      <c r="U1541" s="578">
        <f t="shared" si="376"/>
        <v>0</v>
      </c>
      <c r="V1541" s="579"/>
      <c r="W1541" s="566"/>
      <c r="X1541" s="586" t="str">
        <f t="shared" si="379"/>
        <v/>
      </c>
      <c r="Y1541" s="586" t="str">
        <f t="shared" si="373"/>
        <v/>
      </c>
      <c r="Z1541" s="586" t="str">
        <f t="shared" si="371"/>
        <v/>
      </c>
    </row>
    <row r="1542" spans="1:26" ht="23.25" hidden="1" thickBot="1" x14ac:dyDescent="0.25">
      <c r="A1542" s="567">
        <v>100906</v>
      </c>
      <c r="B1542" s="644">
        <v>100906</v>
      </c>
      <c r="C1542" s="645" t="s">
        <v>670</v>
      </c>
      <c r="D1542" s="422" t="s">
        <v>1388</v>
      </c>
      <c r="E1542" s="423"/>
      <c r="F1542" s="424"/>
      <c r="G1542" s="425"/>
      <c r="H1542" s="651"/>
      <c r="I1542" s="420">
        <v>449.21</v>
      </c>
      <c r="J1542" s="420">
        <f t="shared" si="370"/>
        <v>449.21</v>
      </c>
      <c r="K1542" s="421">
        <f t="shared" si="369"/>
        <v>533.71</v>
      </c>
      <c r="L1542" s="647" t="s">
        <v>2065</v>
      </c>
      <c r="M1542" s="576"/>
      <c r="N1542" s="576">
        <f t="shared" si="372"/>
        <v>0</v>
      </c>
      <c r="O1542" s="577">
        <f t="shared" si="377"/>
        <v>0</v>
      </c>
      <c r="P1542" s="578">
        <f t="shared" si="378"/>
        <v>0</v>
      </c>
      <c r="Q1542" s="765"/>
      <c r="R1542" s="576">
        <f t="shared" si="374"/>
        <v>0</v>
      </c>
      <c r="S1542" s="576">
        <f t="shared" si="374"/>
        <v>0</v>
      </c>
      <c r="T1542" s="577">
        <f t="shared" si="375"/>
        <v>0</v>
      </c>
      <c r="U1542" s="578">
        <f t="shared" si="376"/>
        <v>0</v>
      </c>
      <c r="V1542" s="579"/>
      <c r="W1542" s="566"/>
      <c r="X1542" s="586" t="str">
        <f t="shared" si="379"/>
        <v/>
      </c>
      <c r="Y1542" s="586" t="str">
        <f t="shared" si="373"/>
        <v/>
      </c>
      <c r="Z1542" s="586" t="str">
        <f t="shared" si="371"/>
        <v/>
      </c>
    </row>
    <row r="1543" spans="1:26" ht="23.25" hidden="1" thickBot="1" x14ac:dyDescent="0.25">
      <c r="A1543" s="567">
        <v>100919</v>
      </c>
      <c r="B1543" s="644">
        <v>100919</v>
      </c>
      <c r="C1543" s="645" t="s">
        <v>670</v>
      </c>
      <c r="D1543" s="422" t="s">
        <v>1389</v>
      </c>
      <c r="E1543" s="423"/>
      <c r="F1543" s="424"/>
      <c r="G1543" s="425"/>
      <c r="H1543" s="651"/>
      <c r="I1543" s="420">
        <v>79.510000000000005</v>
      </c>
      <c r="J1543" s="420">
        <f t="shared" si="370"/>
        <v>79.510000000000005</v>
      </c>
      <c r="K1543" s="421">
        <f t="shared" si="369"/>
        <v>94.47</v>
      </c>
      <c r="L1543" s="647" t="s">
        <v>2065</v>
      </c>
      <c r="M1543" s="576"/>
      <c r="N1543" s="576">
        <f t="shared" si="372"/>
        <v>0</v>
      </c>
      <c r="O1543" s="577">
        <f t="shared" si="377"/>
        <v>0</v>
      </c>
      <c r="P1543" s="578">
        <f t="shared" si="378"/>
        <v>0</v>
      </c>
      <c r="Q1543" s="765"/>
      <c r="R1543" s="576">
        <f t="shared" si="374"/>
        <v>0</v>
      </c>
      <c r="S1543" s="576">
        <f t="shared" si="374"/>
        <v>0</v>
      </c>
      <c r="T1543" s="577">
        <f t="shared" si="375"/>
        <v>0</v>
      </c>
      <c r="U1543" s="578">
        <f t="shared" si="376"/>
        <v>0</v>
      </c>
      <c r="V1543" s="579"/>
      <c r="W1543" s="566"/>
      <c r="X1543" s="586" t="str">
        <f t="shared" si="379"/>
        <v/>
      </c>
      <c r="Y1543" s="586" t="str">
        <f t="shared" si="373"/>
        <v/>
      </c>
      <c r="Z1543" s="586" t="str">
        <f t="shared" si="371"/>
        <v/>
      </c>
    </row>
    <row r="1544" spans="1:26" ht="23.25" hidden="1" thickBot="1" x14ac:dyDescent="0.25">
      <c r="A1544" s="567">
        <v>100920</v>
      </c>
      <c r="B1544" s="644">
        <v>100920</v>
      </c>
      <c r="C1544" s="645" t="s">
        <v>670</v>
      </c>
      <c r="D1544" s="422" t="s">
        <v>1390</v>
      </c>
      <c r="E1544" s="423"/>
      <c r="F1544" s="424"/>
      <c r="G1544" s="425"/>
      <c r="H1544" s="651"/>
      <c r="I1544" s="420">
        <v>135.91999999999999</v>
      </c>
      <c r="J1544" s="420">
        <f t="shared" si="370"/>
        <v>135.91999999999999</v>
      </c>
      <c r="K1544" s="421">
        <f t="shared" si="369"/>
        <v>161.49</v>
      </c>
      <c r="L1544" s="647" t="s">
        <v>2065</v>
      </c>
      <c r="M1544" s="576"/>
      <c r="N1544" s="576">
        <f t="shared" si="372"/>
        <v>0</v>
      </c>
      <c r="O1544" s="577">
        <f t="shared" si="377"/>
        <v>0</v>
      </c>
      <c r="P1544" s="578">
        <f t="shared" si="378"/>
        <v>0</v>
      </c>
      <c r="Q1544" s="765"/>
      <c r="R1544" s="576">
        <f t="shared" si="374"/>
        <v>0</v>
      </c>
      <c r="S1544" s="576">
        <f t="shared" si="374"/>
        <v>0</v>
      </c>
      <c r="T1544" s="577">
        <f t="shared" si="375"/>
        <v>0</v>
      </c>
      <c r="U1544" s="578">
        <f t="shared" si="376"/>
        <v>0</v>
      </c>
      <c r="V1544" s="579"/>
      <c r="W1544" s="566"/>
      <c r="X1544" s="586" t="str">
        <f t="shared" si="379"/>
        <v/>
      </c>
      <c r="Y1544" s="586" t="str">
        <f t="shared" si="373"/>
        <v/>
      </c>
      <c r="Z1544" s="586" t="str">
        <f t="shared" si="371"/>
        <v/>
      </c>
    </row>
    <row r="1545" spans="1:26" ht="12" hidden="1" thickBot="1" x14ac:dyDescent="0.25">
      <c r="A1545" s="567">
        <v>97609</v>
      </c>
      <c r="B1545" s="644">
        <v>97609</v>
      </c>
      <c r="C1545" s="645" t="s">
        <v>670</v>
      </c>
      <c r="D1545" s="422" t="s">
        <v>1391</v>
      </c>
      <c r="E1545" s="423"/>
      <c r="F1545" s="424"/>
      <c r="G1545" s="425"/>
      <c r="H1545" s="651"/>
      <c r="I1545" s="420">
        <v>17.55</v>
      </c>
      <c r="J1545" s="420">
        <f t="shared" si="370"/>
        <v>17.55</v>
      </c>
      <c r="K1545" s="421">
        <f t="shared" ref="K1545:K1608" si="380">IF(ISBLANK(I1545),0,ROUND(J1545*(1+$F$10)*(1+$F$11*E1545),2))</f>
        <v>20.85</v>
      </c>
      <c r="L1545" s="647" t="s">
        <v>2065</v>
      </c>
      <c r="M1545" s="576"/>
      <c r="N1545" s="576">
        <f t="shared" si="372"/>
        <v>0</v>
      </c>
      <c r="O1545" s="577">
        <f t="shared" si="377"/>
        <v>0</v>
      </c>
      <c r="P1545" s="578">
        <f t="shared" si="378"/>
        <v>0</v>
      </c>
      <c r="Q1545" s="765"/>
      <c r="R1545" s="576">
        <f t="shared" si="374"/>
        <v>0</v>
      </c>
      <c r="S1545" s="576">
        <f t="shared" si="374"/>
        <v>0</v>
      </c>
      <c r="T1545" s="577">
        <f t="shared" si="375"/>
        <v>0</v>
      </c>
      <c r="U1545" s="578">
        <f t="shared" si="376"/>
        <v>0</v>
      </c>
      <c r="V1545" s="579"/>
      <c r="W1545" s="566"/>
      <c r="X1545" s="586" t="str">
        <f t="shared" si="379"/>
        <v/>
      </c>
      <c r="Y1545" s="586" t="str">
        <f t="shared" si="373"/>
        <v/>
      </c>
      <c r="Z1545" s="586" t="str">
        <f t="shared" si="371"/>
        <v/>
      </c>
    </row>
    <row r="1546" spans="1:26" ht="12" hidden="1" thickBot="1" x14ac:dyDescent="0.25">
      <c r="A1546" s="567">
        <v>97610</v>
      </c>
      <c r="B1546" s="644">
        <v>97610</v>
      </c>
      <c r="C1546" s="645" t="s">
        <v>670</v>
      </c>
      <c r="D1546" s="422" t="s">
        <v>1392</v>
      </c>
      <c r="E1546" s="423"/>
      <c r="F1546" s="424"/>
      <c r="G1546" s="425"/>
      <c r="H1546" s="651"/>
      <c r="I1546" s="420">
        <v>18.72</v>
      </c>
      <c r="J1546" s="420">
        <f t="shared" si="370"/>
        <v>18.72</v>
      </c>
      <c r="K1546" s="421">
        <f t="shared" si="380"/>
        <v>22.24</v>
      </c>
      <c r="L1546" s="647" t="s">
        <v>2065</v>
      </c>
      <c r="M1546" s="576"/>
      <c r="N1546" s="576">
        <f t="shared" si="372"/>
        <v>0</v>
      </c>
      <c r="O1546" s="577">
        <f t="shared" si="377"/>
        <v>0</v>
      </c>
      <c r="P1546" s="578">
        <f t="shared" si="378"/>
        <v>0</v>
      </c>
      <c r="Q1546" s="765"/>
      <c r="R1546" s="576">
        <f t="shared" si="374"/>
        <v>0</v>
      </c>
      <c r="S1546" s="576">
        <f t="shared" si="374"/>
        <v>0</v>
      </c>
      <c r="T1546" s="577">
        <f t="shared" si="375"/>
        <v>0</v>
      </c>
      <c r="U1546" s="578">
        <f t="shared" si="376"/>
        <v>0</v>
      </c>
      <c r="V1546" s="579"/>
      <c r="W1546" s="566"/>
      <c r="X1546" s="586" t="str">
        <f t="shared" si="379"/>
        <v/>
      </c>
      <c r="Y1546" s="586" t="str">
        <f t="shared" si="373"/>
        <v/>
      </c>
      <c r="Z1546" s="586" t="str">
        <f t="shared" si="371"/>
        <v/>
      </c>
    </row>
    <row r="1547" spans="1:26" ht="23.25" hidden="1" thickBot="1" x14ac:dyDescent="0.25">
      <c r="A1547" s="567">
        <v>101537</v>
      </c>
      <c r="B1547" s="644">
        <v>101537</v>
      </c>
      <c r="C1547" s="645" t="s">
        <v>670</v>
      </c>
      <c r="D1547" s="422" t="s">
        <v>1393</v>
      </c>
      <c r="E1547" s="423"/>
      <c r="F1547" s="424"/>
      <c r="G1547" s="425"/>
      <c r="H1547" s="651"/>
      <c r="I1547" s="420">
        <v>140.06</v>
      </c>
      <c r="J1547" s="420">
        <f t="shared" si="370"/>
        <v>140.06</v>
      </c>
      <c r="K1547" s="421">
        <f t="shared" si="380"/>
        <v>166.41</v>
      </c>
      <c r="L1547" s="647" t="s">
        <v>2065</v>
      </c>
      <c r="M1547" s="576"/>
      <c r="N1547" s="576">
        <f t="shared" si="372"/>
        <v>0</v>
      </c>
      <c r="O1547" s="577">
        <f t="shared" si="377"/>
        <v>0</v>
      </c>
      <c r="P1547" s="578">
        <f t="shared" si="378"/>
        <v>0</v>
      </c>
      <c r="Q1547" s="765"/>
      <c r="R1547" s="576">
        <f t="shared" si="374"/>
        <v>0</v>
      </c>
      <c r="S1547" s="576">
        <f t="shared" si="374"/>
        <v>0</v>
      </c>
      <c r="T1547" s="577">
        <f t="shared" si="375"/>
        <v>0</v>
      </c>
      <c r="U1547" s="578">
        <f t="shared" si="376"/>
        <v>0</v>
      </c>
      <c r="V1547" s="579"/>
      <c r="W1547" s="566"/>
      <c r="X1547" s="586" t="str">
        <f t="shared" si="379"/>
        <v/>
      </c>
      <c r="Y1547" s="586" t="str">
        <f t="shared" si="373"/>
        <v/>
      </c>
      <c r="Z1547" s="586" t="str">
        <f t="shared" si="371"/>
        <v/>
      </c>
    </row>
    <row r="1548" spans="1:26" ht="12" hidden="1" thickBot="1" x14ac:dyDescent="0.25">
      <c r="A1548" s="567">
        <v>97054</v>
      </c>
      <c r="B1548" s="644">
        <v>97054</v>
      </c>
      <c r="C1548" s="645" t="s">
        <v>670</v>
      </c>
      <c r="D1548" s="422" t="s">
        <v>1394</v>
      </c>
      <c r="E1548" s="423"/>
      <c r="F1548" s="424"/>
      <c r="G1548" s="425"/>
      <c r="H1548" s="651"/>
      <c r="I1548" s="420">
        <v>29.87</v>
      </c>
      <c r="J1548" s="420">
        <f t="shared" si="370"/>
        <v>29.87</v>
      </c>
      <c r="K1548" s="421">
        <f t="shared" si="380"/>
        <v>35.49</v>
      </c>
      <c r="L1548" s="647" t="s">
        <v>2065</v>
      </c>
      <c r="M1548" s="576"/>
      <c r="N1548" s="576">
        <f t="shared" si="372"/>
        <v>0</v>
      </c>
      <c r="O1548" s="577">
        <f t="shared" si="377"/>
        <v>0</v>
      </c>
      <c r="P1548" s="578">
        <f t="shared" si="378"/>
        <v>0</v>
      </c>
      <c r="Q1548" s="765"/>
      <c r="R1548" s="576">
        <f t="shared" si="374"/>
        <v>0</v>
      </c>
      <c r="S1548" s="576">
        <f t="shared" si="374"/>
        <v>0</v>
      </c>
      <c r="T1548" s="577">
        <f t="shared" si="375"/>
        <v>0</v>
      </c>
      <c r="U1548" s="578">
        <f t="shared" si="376"/>
        <v>0</v>
      </c>
      <c r="V1548" s="579"/>
      <c r="W1548" s="566"/>
      <c r="X1548" s="586" t="str">
        <f t="shared" si="379"/>
        <v/>
      </c>
      <c r="Y1548" s="586" t="str">
        <f t="shared" si="373"/>
        <v/>
      </c>
      <c r="Z1548" s="586" t="str">
        <f t="shared" si="371"/>
        <v/>
      </c>
    </row>
    <row r="1549" spans="1:26" ht="12" hidden="1" thickBot="1" x14ac:dyDescent="0.25">
      <c r="A1549" s="567">
        <v>101538</v>
      </c>
      <c r="B1549" s="644">
        <v>101538</v>
      </c>
      <c r="C1549" s="645" t="s">
        <v>670</v>
      </c>
      <c r="D1549" s="422" t="s">
        <v>1395</v>
      </c>
      <c r="E1549" s="423"/>
      <c r="F1549" s="424"/>
      <c r="G1549" s="425"/>
      <c r="H1549" s="651"/>
      <c r="I1549" s="420">
        <v>33.700000000000003</v>
      </c>
      <c r="J1549" s="420">
        <f t="shared" si="370"/>
        <v>33.700000000000003</v>
      </c>
      <c r="K1549" s="421">
        <f t="shared" si="380"/>
        <v>40.04</v>
      </c>
      <c r="L1549" s="647" t="s">
        <v>2065</v>
      </c>
      <c r="M1549" s="576"/>
      <c r="N1549" s="576">
        <f t="shared" si="372"/>
        <v>0</v>
      </c>
      <c r="O1549" s="577">
        <f t="shared" si="377"/>
        <v>0</v>
      </c>
      <c r="P1549" s="578">
        <f t="shared" si="378"/>
        <v>0</v>
      </c>
      <c r="Q1549" s="765"/>
      <c r="R1549" s="576">
        <f t="shared" si="374"/>
        <v>0</v>
      </c>
      <c r="S1549" s="576">
        <f t="shared" si="374"/>
        <v>0</v>
      </c>
      <c r="T1549" s="577">
        <f t="shared" si="375"/>
        <v>0</v>
      </c>
      <c r="U1549" s="578">
        <f t="shared" si="376"/>
        <v>0</v>
      </c>
      <c r="V1549" s="579"/>
      <c r="W1549" s="566"/>
      <c r="X1549" s="586" t="str">
        <f t="shared" si="379"/>
        <v/>
      </c>
      <c r="Y1549" s="586" t="str">
        <f t="shared" si="373"/>
        <v/>
      </c>
      <c r="Z1549" s="586" t="str">
        <f t="shared" si="371"/>
        <v/>
      </c>
    </row>
    <row r="1550" spans="1:26" ht="12" hidden="1" thickBot="1" x14ac:dyDescent="0.25">
      <c r="A1550" s="567">
        <v>101539</v>
      </c>
      <c r="B1550" s="644">
        <v>101539</v>
      </c>
      <c r="C1550" s="645" t="s">
        <v>670</v>
      </c>
      <c r="D1550" s="422" t="s">
        <v>1396</v>
      </c>
      <c r="E1550" s="423"/>
      <c r="F1550" s="424"/>
      <c r="G1550" s="425"/>
      <c r="H1550" s="651"/>
      <c r="I1550" s="420">
        <v>57.83</v>
      </c>
      <c r="J1550" s="420">
        <f t="shared" si="370"/>
        <v>57.83</v>
      </c>
      <c r="K1550" s="421">
        <f t="shared" si="380"/>
        <v>68.709999999999994</v>
      </c>
      <c r="L1550" s="647" t="s">
        <v>2065</v>
      </c>
      <c r="M1550" s="576"/>
      <c r="N1550" s="576">
        <f t="shared" si="372"/>
        <v>0</v>
      </c>
      <c r="O1550" s="577">
        <f t="shared" si="377"/>
        <v>0</v>
      </c>
      <c r="P1550" s="578">
        <f t="shared" si="378"/>
        <v>0</v>
      </c>
      <c r="Q1550" s="765"/>
      <c r="R1550" s="576">
        <f t="shared" si="374"/>
        <v>0</v>
      </c>
      <c r="S1550" s="576">
        <f t="shared" si="374"/>
        <v>0</v>
      </c>
      <c r="T1550" s="577">
        <f t="shared" si="375"/>
        <v>0</v>
      </c>
      <c r="U1550" s="578">
        <f t="shared" si="376"/>
        <v>0</v>
      </c>
      <c r="V1550" s="579"/>
      <c r="W1550" s="566"/>
      <c r="X1550" s="586" t="str">
        <f t="shared" si="379"/>
        <v/>
      </c>
      <c r="Y1550" s="586" t="str">
        <f t="shared" si="373"/>
        <v/>
      </c>
      <c r="Z1550" s="586" t="str">
        <f t="shared" si="371"/>
        <v/>
      </c>
    </row>
    <row r="1551" spans="1:26" ht="12" hidden="1" thickBot="1" x14ac:dyDescent="0.25">
      <c r="A1551" s="567">
        <v>101540</v>
      </c>
      <c r="B1551" s="644">
        <v>101540</v>
      </c>
      <c r="C1551" s="645" t="s">
        <v>670</v>
      </c>
      <c r="D1551" s="422" t="s">
        <v>1397</v>
      </c>
      <c r="E1551" s="423"/>
      <c r="F1551" s="424"/>
      <c r="G1551" s="425"/>
      <c r="H1551" s="651"/>
      <c r="I1551" s="420">
        <v>95.28</v>
      </c>
      <c r="J1551" s="420">
        <f t="shared" si="370"/>
        <v>95.28</v>
      </c>
      <c r="K1551" s="421">
        <f t="shared" si="380"/>
        <v>113.2</v>
      </c>
      <c r="L1551" s="647" t="s">
        <v>2065</v>
      </c>
      <c r="M1551" s="576"/>
      <c r="N1551" s="576">
        <f t="shared" si="372"/>
        <v>0</v>
      </c>
      <c r="O1551" s="577">
        <f t="shared" si="377"/>
        <v>0</v>
      </c>
      <c r="P1551" s="578">
        <f t="shared" si="378"/>
        <v>0</v>
      </c>
      <c r="Q1551" s="765"/>
      <c r="R1551" s="576">
        <f t="shared" si="374"/>
        <v>0</v>
      </c>
      <c r="S1551" s="576">
        <f t="shared" si="374"/>
        <v>0</v>
      </c>
      <c r="T1551" s="577">
        <f t="shared" si="375"/>
        <v>0</v>
      </c>
      <c r="U1551" s="578">
        <f t="shared" si="376"/>
        <v>0</v>
      </c>
      <c r="V1551" s="579"/>
      <c r="W1551" s="566"/>
      <c r="X1551" s="586" t="str">
        <f t="shared" si="379"/>
        <v/>
      </c>
      <c r="Y1551" s="586" t="str">
        <f t="shared" si="373"/>
        <v/>
      </c>
      <c r="Z1551" s="586" t="str">
        <f t="shared" si="371"/>
        <v/>
      </c>
    </row>
    <row r="1552" spans="1:26" ht="12" hidden="1" thickBot="1" x14ac:dyDescent="0.25">
      <c r="A1552" s="567">
        <v>101541</v>
      </c>
      <c r="B1552" s="644">
        <v>101541</v>
      </c>
      <c r="C1552" s="645" t="s">
        <v>670</v>
      </c>
      <c r="D1552" s="422" t="s">
        <v>1398</v>
      </c>
      <c r="E1552" s="423"/>
      <c r="F1552" s="424"/>
      <c r="G1552" s="425"/>
      <c r="H1552" s="651"/>
      <c r="I1552" s="420">
        <v>124.8</v>
      </c>
      <c r="J1552" s="420">
        <f t="shared" si="370"/>
        <v>124.8</v>
      </c>
      <c r="K1552" s="421">
        <f t="shared" si="380"/>
        <v>148.27000000000001</v>
      </c>
      <c r="L1552" s="647" t="s">
        <v>2065</v>
      </c>
      <c r="M1552" s="576"/>
      <c r="N1552" s="576">
        <f t="shared" si="372"/>
        <v>0</v>
      </c>
      <c r="O1552" s="577">
        <f t="shared" si="377"/>
        <v>0</v>
      </c>
      <c r="P1552" s="578">
        <f t="shared" si="378"/>
        <v>0</v>
      </c>
      <c r="Q1552" s="765"/>
      <c r="R1552" s="576">
        <f t="shared" si="374"/>
        <v>0</v>
      </c>
      <c r="S1552" s="576">
        <f t="shared" si="374"/>
        <v>0</v>
      </c>
      <c r="T1552" s="577">
        <f t="shared" si="375"/>
        <v>0</v>
      </c>
      <c r="U1552" s="578">
        <f t="shared" si="376"/>
        <v>0</v>
      </c>
      <c r="V1552" s="579"/>
      <c r="W1552" s="566"/>
      <c r="X1552" s="586" t="str">
        <f t="shared" si="379"/>
        <v/>
      </c>
      <c r="Y1552" s="586" t="str">
        <f t="shared" si="373"/>
        <v/>
      </c>
      <c r="Z1552" s="586" t="str">
        <f t="shared" si="371"/>
        <v/>
      </c>
    </row>
    <row r="1553" spans="1:26" ht="12" hidden="1" thickBot="1" x14ac:dyDescent="0.25">
      <c r="A1553" s="567">
        <v>101542</v>
      </c>
      <c r="B1553" s="644">
        <v>101542</v>
      </c>
      <c r="C1553" s="645" t="s">
        <v>670</v>
      </c>
      <c r="D1553" s="422" t="s">
        <v>1399</v>
      </c>
      <c r="E1553" s="423"/>
      <c r="F1553" s="424"/>
      <c r="G1553" s="425"/>
      <c r="H1553" s="651"/>
      <c r="I1553" s="420">
        <v>26.15</v>
      </c>
      <c r="J1553" s="420">
        <f t="shared" si="370"/>
        <v>26.15</v>
      </c>
      <c r="K1553" s="421">
        <f t="shared" si="380"/>
        <v>31.07</v>
      </c>
      <c r="L1553" s="647" t="s">
        <v>2065</v>
      </c>
      <c r="M1553" s="576"/>
      <c r="N1553" s="576">
        <f t="shared" si="372"/>
        <v>0</v>
      </c>
      <c r="O1553" s="577">
        <f t="shared" si="377"/>
        <v>0</v>
      </c>
      <c r="P1553" s="578">
        <f t="shared" si="378"/>
        <v>0</v>
      </c>
      <c r="Q1553" s="765"/>
      <c r="R1553" s="576">
        <f t="shared" si="374"/>
        <v>0</v>
      </c>
      <c r="S1553" s="576">
        <f t="shared" si="374"/>
        <v>0</v>
      </c>
      <c r="T1553" s="577">
        <f t="shared" si="375"/>
        <v>0</v>
      </c>
      <c r="U1553" s="578">
        <f t="shared" si="376"/>
        <v>0</v>
      </c>
      <c r="V1553" s="579"/>
      <c r="W1553" s="566"/>
      <c r="X1553" s="586" t="str">
        <f t="shared" si="379"/>
        <v/>
      </c>
      <c r="Y1553" s="586" t="str">
        <f t="shared" si="373"/>
        <v/>
      </c>
      <c r="Z1553" s="586" t="str">
        <f t="shared" si="371"/>
        <v/>
      </c>
    </row>
    <row r="1554" spans="1:26" ht="12" hidden="1" thickBot="1" x14ac:dyDescent="0.25">
      <c r="A1554" s="567">
        <v>101543</v>
      </c>
      <c r="B1554" s="644">
        <v>101543</v>
      </c>
      <c r="C1554" s="645" t="s">
        <v>670</v>
      </c>
      <c r="D1554" s="422" t="s">
        <v>1400</v>
      </c>
      <c r="E1554" s="423"/>
      <c r="F1554" s="424"/>
      <c r="G1554" s="425"/>
      <c r="H1554" s="651"/>
      <c r="I1554" s="420">
        <v>47.67</v>
      </c>
      <c r="J1554" s="420">
        <f t="shared" si="370"/>
        <v>47.67</v>
      </c>
      <c r="K1554" s="421">
        <f t="shared" si="380"/>
        <v>56.64</v>
      </c>
      <c r="L1554" s="647" t="s">
        <v>2065</v>
      </c>
      <c r="M1554" s="576"/>
      <c r="N1554" s="576">
        <f t="shared" si="372"/>
        <v>0</v>
      </c>
      <c r="O1554" s="577">
        <f t="shared" si="377"/>
        <v>0</v>
      </c>
      <c r="P1554" s="578">
        <f t="shared" si="378"/>
        <v>0</v>
      </c>
      <c r="Q1554" s="765"/>
      <c r="R1554" s="576">
        <f t="shared" si="374"/>
        <v>0</v>
      </c>
      <c r="S1554" s="576">
        <f t="shared" si="374"/>
        <v>0</v>
      </c>
      <c r="T1554" s="577">
        <f t="shared" si="375"/>
        <v>0</v>
      </c>
      <c r="U1554" s="578">
        <f t="shared" si="376"/>
        <v>0</v>
      </c>
      <c r="V1554" s="579"/>
      <c r="W1554" s="566"/>
      <c r="X1554" s="586" t="str">
        <f t="shared" si="379"/>
        <v/>
      </c>
      <c r="Y1554" s="586" t="str">
        <f t="shared" si="373"/>
        <v/>
      </c>
      <c r="Z1554" s="586" t="str">
        <f t="shared" si="371"/>
        <v/>
      </c>
    </row>
    <row r="1555" spans="1:26" ht="12" hidden="1" thickBot="1" x14ac:dyDescent="0.25">
      <c r="A1555" s="567">
        <v>101544</v>
      </c>
      <c r="B1555" s="644">
        <v>101544</v>
      </c>
      <c r="C1555" s="645" t="s">
        <v>670</v>
      </c>
      <c r="D1555" s="422" t="s">
        <v>1401</v>
      </c>
      <c r="E1555" s="423"/>
      <c r="F1555" s="424"/>
      <c r="G1555" s="425"/>
      <c r="H1555" s="651"/>
      <c r="I1555" s="420">
        <v>75.22</v>
      </c>
      <c r="J1555" s="420">
        <f t="shared" ref="J1555:J1618" si="381">IF(ISBLANK(I1555),"",SUM(H1555:I1555))</f>
        <v>75.22</v>
      </c>
      <c r="K1555" s="421">
        <f t="shared" si="380"/>
        <v>89.37</v>
      </c>
      <c r="L1555" s="647" t="s">
        <v>2065</v>
      </c>
      <c r="M1555" s="576"/>
      <c r="N1555" s="576">
        <f t="shared" si="372"/>
        <v>0</v>
      </c>
      <c r="O1555" s="577">
        <f t="shared" si="377"/>
        <v>0</v>
      </c>
      <c r="P1555" s="578">
        <f t="shared" si="378"/>
        <v>0</v>
      </c>
      <c r="Q1555" s="765"/>
      <c r="R1555" s="576">
        <f t="shared" si="374"/>
        <v>0</v>
      </c>
      <c r="S1555" s="576">
        <f t="shared" si="374"/>
        <v>0</v>
      </c>
      <c r="T1555" s="577">
        <f t="shared" si="375"/>
        <v>0</v>
      </c>
      <c r="U1555" s="578">
        <f t="shared" si="376"/>
        <v>0</v>
      </c>
      <c r="V1555" s="579"/>
      <c r="W1555" s="566"/>
      <c r="X1555" s="586" t="str">
        <f t="shared" si="379"/>
        <v/>
      </c>
      <c r="Y1555" s="586" t="str">
        <f t="shared" si="373"/>
        <v/>
      </c>
      <c r="Z1555" s="586" t="str">
        <f t="shared" ref="Z1555:Z1618" si="382">IF(W1555="X","x",IF(U1555&gt;0,"x",""))</f>
        <v/>
      </c>
    </row>
    <row r="1556" spans="1:26" ht="12" hidden="1" thickBot="1" x14ac:dyDescent="0.25">
      <c r="A1556" s="567">
        <v>101545</v>
      </c>
      <c r="B1556" s="644">
        <v>101545</v>
      </c>
      <c r="C1556" s="645" t="s">
        <v>670</v>
      </c>
      <c r="D1556" s="422" t="s">
        <v>1402</v>
      </c>
      <c r="E1556" s="423"/>
      <c r="F1556" s="424"/>
      <c r="G1556" s="425"/>
      <c r="H1556" s="651"/>
      <c r="I1556" s="420">
        <v>107.28</v>
      </c>
      <c r="J1556" s="420">
        <f t="shared" si="381"/>
        <v>107.28</v>
      </c>
      <c r="K1556" s="421">
        <f t="shared" si="380"/>
        <v>127.46</v>
      </c>
      <c r="L1556" s="647" t="s">
        <v>2065</v>
      </c>
      <c r="M1556" s="576"/>
      <c r="N1556" s="576">
        <f t="shared" ref="N1556:N1619" si="383">IF(M1556=0,0,K1556)</f>
        <v>0</v>
      </c>
      <c r="O1556" s="577">
        <f t="shared" si="377"/>
        <v>0</v>
      </c>
      <c r="P1556" s="578">
        <f t="shared" si="378"/>
        <v>0</v>
      </c>
      <c r="Q1556" s="765"/>
      <c r="R1556" s="576">
        <f t="shared" si="374"/>
        <v>0</v>
      </c>
      <c r="S1556" s="576">
        <f t="shared" si="374"/>
        <v>0</v>
      </c>
      <c r="T1556" s="577">
        <f t="shared" si="375"/>
        <v>0</v>
      </c>
      <c r="U1556" s="578">
        <f t="shared" si="376"/>
        <v>0</v>
      </c>
      <c r="V1556" s="579"/>
      <c r="W1556" s="566"/>
      <c r="X1556" s="586" t="str">
        <f t="shared" si="379"/>
        <v/>
      </c>
      <c r="Y1556" s="586" t="str">
        <f t="shared" si="373"/>
        <v/>
      </c>
      <c r="Z1556" s="586" t="str">
        <f t="shared" si="382"/>
        <v/>
      </c>
    </row>
    <row r="1557" spans="1:26" ht="12" hidden="1" thickBot="1" x14ac:dyDescent="0.25">
      <c r="A1557" s="567">
        <v>101546</v>
      </c>
      <c r="B1557" s="644">
        <v>101546</v>
      </c>
      <c r="C1557" s="645" t="s">
        <v>670</v>
      </c>
      <c r="D1557" s="422" t="s">
        <v>1403</v>
      </c>
      <c r="E1557" s="423"/>
      <c r="F1557" s="424"/>
      <c r="G1557" s="425"/>
      <c r="H1557" s="651"/>
      <c r="I1557" s="420">
        <v>31.93</v>
      </c>
      <c r="J1557" s="420">
        <f t="shared" si="381"/>
        <v>31.93</v>
      </c>
      <c r="K1557" s="421">
        <f t="shared" si="380"/>
        <v>37.94</v>
      </c>
      <c r="L1557" s="647" t="s">
        <v>2065</v>
      </c>
      <c r="M1557" s="576"/>
      <c r="N1557" s="576">
        <f t="shared" si="383"/>
        <v>0</v>
      </c>
      <c r="O1557" s="577">
        <f t="shared" si="377"/>
        <v>0</v>
      </c>
      <c r="P1557" s="578">
        <f t="shared" si="378"/>
        <v>0</v>
      </c>
      <c r="Q1557" s="765"/>
      <c r="R1557" s="576">
        <f t="shared" si="374"/>
        <v>0</v>
      </c>
      <c r="S1557" s="576">
        <f t="shared" si="374"/>
        <v>0</v>
      </c>
      <c r="T1557" s="577">
        <f t="shared" si="375"/>
        <v>0</v>
      </c>
      <c r="U1557" s="578">
        <f t="shared" si="376"/>
        <v>0</v>
      </c>
      <c r="V1557" s="579"/>
      <c r="W1557" s="566"/>
      <c r="X1557" s="586" t="str">
        <f t="shared" si="379"/>
        <v/>
      </c>
      <c r="Y1557" s="586" t="str">
        <f t="shared" si="373"/>
        <v/>
      </c>
      <c r="Z1557" s="586" t="str">
        <f t="shared" si="382"/>
        <v/>
      </c>
    </row>
    <row r="1558" spans="1:26" ht="12" hidden="1" thickBot="1" x14ac:dyDescent="0.25">
      <c r="A1558" s="567">
        <v>101547</v>
      </c>
      <c r="B1558" s="644">
        <v>101547</v>
      </c>
      <c r="C1558" s="645" t="s">
        <v>670</v>
      </c>
      <c r="D1558" s="422" t="s">
        <v>1404</v>
      </c>
      <c r="E1558" s="423"/>
      <c r="F1558" s="424"/>
      <c r="G1558" s="425"/>
      <c r="H1558" s="651"/>
      <c r="I1558" s="420">
        <v>99.94</v>
      </c>
      <c r="J1558" s="420">
        <f t="shared" si="381"/>
        <v>99.94</v>
      </c>
      <c r="K1558" s="421">
        <f t="shared" si="380"/>
        <v>118.74</v>
      </c>
      <c r="L1558" s="647" t="s">
        <v>2065</v>
      </c>
      <c r="M1558" s="576"/>
      <c r="N1558" s="576">
        <f t="shared" si="383"/>
        <v>0</v>
      </c>
      <c r="O1558" s="577">
        <f t="shared" si="377"/>
        <v>0</v>
      </c>
      <c r="P1558" s="578">
        <f t="shared" si="378"/>
        <v>0</v>
      </c>
      <c r="Q1558" s="765"/>
      <c r="R1558" s="576">
        <f t="shared" si="374"/>
        <v>0</v>
      </c>
      <c r="S1558" s="576">
        <f t="shared" si="374"/>
        <v>0</v>
      </c>
      <c r="T1558" s="577">
        <f t="shared" si="375"/>
        <v>0</v>
      </c>
      <c r="U1558" s="578">
        <f t="shared" si="376"/>
        <v>0</v>
      </c>
      <c r="V1558" s="579"/>
      <c r="W1558" s="566"/>
      <c r="X1558" s="586" t="str">
        <f t="shared" si="379"/>
        <v/>
      </c>
      <c r="Y1558" s="586" t="str">
        <f t="shared" si="373"/>
        <v/>
      </c>
      <c r="Z1558" s="586" t="str">
        <f t="shared" si="382"/>
        <v/>
      </c>
    </row>
    <row r="1559" spans="1:26" ht="12" hidden="1" thickBot="1" x14ac:dyDescent="0.25">
      <c r="A1559" s="567">
        <v>101548</v>
      </c>
      <c r="B1559" s="644">
        <v>101548</v>
      </c>
      <c r="C1559" s="645" t="s">
        <v>670</v>
      </c>
      <c r="D1559" s="422" t="s">
        <v>1405</v>
      </c>
      <c r="E1559" s="423"/>
      <c r="F1559" s="424"/>
      <c r="G1559" s="425"/>
      <c r="H1559" s="651"/>
      <c r="I1559" s="420">
        <v>7.94</v>
      </c>
      <c r="J1559" s="420">
        <f t="shared" si="381"/>
        <v>7.94</v>
      </c>
      <c r="K1559" s="421">
        <f t="shared" si="380"/>
        <v>9.43</v>
      </c>
      <c r="L1559" s="647" t="s">
        <v>2065</v>
      </c>
      <c r="M1559" s="576"/>
      <c r="N1559" s="576">
        <f t="shared" si="383"/>
        <v>0</v>
      </c>
      <c r="O1559" s="577">
        <f t="shared" si="377"/>
        <v>0</v>
      </c>
      <c r="P1559" s="578">
        <f t="shared" si="378"/>
        <v>0</v>
      </c>
      <c r="Q1559" s="765"/>
      <c r="R1559" s="576">
        <f t="shared" si="374"/>
        <v>0</v>
      </c>
      <c r="S1559" s="576">
        <f t="shared" si="374"/>
        <v>0</v>
      </c>
      <c r="T1559" s="577">
        <f t="shared" si="375"/>
        <v>0</v>
      </c>
      <c r="U1559" s="578">
        <f t="shared" si="376"/>
        <v>0</v>
      </c>
      <c r="V1559" s="579"/>
      <c r="W1559" s="566"/>
      <c r="X1559" s="586" t="str">
        <f t="shared" si="379"/>
        <v/>
      </c>
      <c r="Y1559" s="586" t="str">
        <f t="shared" si="373"/>
        <v/>
      </c>
      <c r="Z1559" s="586" t="str">
        <f t="shared" si="382"/>
        <v/>
      </c>
    </row>
    <row r="1560" spans="1:26" ht="23.25" hidden="1" thickBot="1" x14ac:dyDescent="0.25">
      <c r="A1560" s="567">
        <v>101549</v>
      </c>
      <c r="B1560" s="644">
        <v>101549</v>
      </c>
      <c r="C1560" s="645" t="s">
        <v>670</v>
      </c>
      <c r="D1560" s="422" t="s">
        <v>1406</v>
      </c>
      <c r="E1560" s="423"/>
      <c r="F1560" s="424"/>
      <c r="G1560" s="425"/>
      <c r="H1560" s="651"/>
      <c r="I1560" s="420">
        <v>21.86</v>
      </c>
      <c r="J1560" s="420">
        <f t="shared" si="381"/>
        <v>21.86</v>
      </c>
      <c r="K1560" s="421">
        <f t="shared" si="380"/>
        <v>25.97</v>
      </c>
      <c r="L1560" s="647" t="s">
        <v>2065</v>
      </c>
      <c r="M1560" s="576"/>
      <c r="N1560" s="576">
        <f t="shared" si="383"/>
        <v>0</v>
      </c>
      <c r="O1560" s="577">
        <f t="shared" si="377"/>
        <v>0</v>
      </c>
      <c r="P1560" s="578">
        <f t="shared" si="378"/>
        <v>0</v>
      </c>
      <c r="Q1560" s="765"/>
      <c r="R1560" s="576">
        <f t="shared" si="374"/>
        <v>0</v>
      </c>
      <c r="S1560" s="576">
        <f t="shared" si="374"/>
        <v>0</v>
      </c>
      <c r="T1560" s="577">
        <f t="shared" si="375"/>
        <v>0</v>
      </c>
      <c r="U1560" s="578">
        <f t="shared" si="376"/>
        <v>0</v>
      </c>
      <c r="V1560" s="579"/>
      <c r="W1560" s="566"/>
      <c r="X1560" s="586" t="str">
        <f t="shared" si="379"/>
        <v/>
      </c>
      <c r="Y1560" s="586" t="str">
        <f t="shared" si="373"/>
        <v/>
      </c>
      <c r="Z1560" s="586" t="str">
        <f t="shared" si="382"/>
        <v/>
      </c>
    </row>
    <row r="1561" spans="1:26" ht="23.25" hidden="1" thickBot="1" x14ac:dyDescent="0.25">
      <c r="A1561" s="567">
        <v>101553</v>
      </c>
      <c r="B1561" s="644">
        <v>101553</v>
      </c>
      <c r="C1561" s="645" t="s">
        <v>670</v>
      </c>
      <c r="D1561" s="422" t="s">
        <v>1407</v>
      </c>
      <c r="E1561" s="423"/>
      <c r="F1561" s="424"/>
      <c r="G1561" s="425"/>
      <c r="H1561" s="651"/>
      <c r="I1561" s="420">
        <v>11.77</v>
      </c>
      <c r="J1561" s="420">
        <f t="shared" si="381"/>
        <v>11.77</v>
      </c>
      <c r="K1561" s="421">
        <f t="shared" si="380"/>
        <v>13.98</v>
      </c>
      <c r="L1561" s="647" t="s">
        <v>2065</v>
      </c>
      <c r="M1561" s="576"/>
      <c r="N1561" s="576">
        <f t="shared" si="383"/>
        <v>0</v>
      </c>
      <c r="O1561" s="577">
        <f t="shared" si="377"/>
        <v>0</v>
      </c>
      <c r="P1561" s="578">
        <f t="shared" si="378"/>
        <v>0</v>
      </c>
      <c r="Q1561" s="765"/>
      <c r="R1561" s="576">
        <f t="shared" si="374"/>
        <v>0</v>
      </c>
      <c r="S1561" s="576">
        <f t="shared" si="374"/>
        <v>0</v>
      </c>
      <c r="T1561" s="577">
        <f t="shared" si="375"/>
        <v>0</v>
      </c>
      <c r="U1561" s="578">
        <f t="shared" si="376"/>
        <v>0</v>
      </c>
      <c r="V1561" s="579"/>
      <c r="W1561" s="566"/>
      <c r="X1561" s="586" t="str">
        <f t="shared" si="379"/>
        <v/>
      </c>
      <c r="Y1561" s="586" t="str">
        <f t="shared" si="373"/>
        <v/>
      </c>
      <c r="Z1561" s="586" t="str">
        <f t="shared" si="382"/>
        <v/>
      </c>
    </row>
    <row r="1562" spans="1:26" ht="23.25" hidden="1" thickBot="1" x14ac:dyDescent="0.25">
      <c r="A1562" s="567">
        <v>101554</v>
      </c>
      <c r="B1562" s="644">
        <v>101554</v>
      </c>
      <c r="C1562" s="645" t="s">
        <v>670</v>
      </c>
      <c r="D1562" s="422" t="s">
        <v>1408</v>
      </c>
      <c r="E1562" s="423"/>
      <c r="F1562" s="424"/>
      <c r="G1562" s="425"/>
      <c r="H1562" s="651"/>
      <c r="I1562" s="420">
        <v>9.0500000000000007</v>
      </c>
      <c r="J1562" s="420">
        <f t="shared" si="381"/>
        <v>9.0500000000000007</v>
      </c>
      <c r="K1562" s="421">
        <f t="shared" si="380"/>
        <v>10.75</v>
      </c>
      <c r="L1562" s="647" t="s">
        <v>2065</v>
      </c>
      <c r="M1562" s="576"/>
      <c r="N1562" s="576">
        <f t="shared" si="383"/>
        <v>0</v>
      </c>
      <c r="O1562" s="577">
        <f t="shared" si="377"/>
        <v>0</v>
      </c>
      <c r="P1562" s="578">
        <f t="shared" si="378"/>
        <v>0</v>
      </c>
      <c r="Q1562" s="765"/>
      <c r="R1562" s="576">
        <f t="shared" si="374"/>
        <v>0</v>
      </c>
      <c r="S1562" s="576">
        <f t="shared" si="374"/>
        <v>0</v>
      </c>
      <c r="T1562" s="577">
        <f t="shared" si="375"/>
        <v>0</v>
      </c>
      <c r="U1562" s="578">
        <f t="shared" si="376"/>
        <v>0</v>
      </c>
      <c r="V1562" s="579"/>
      <c r="W1562" s="566"/>
      <c r="X1562" s="586" t="str">
        <f t="shared" si="379"/>
        <v/>
      </c>
      <c r="Y1562" s="586" t="str">
        <f t="shared" si="373"/>
        <v/>
      </c>
      <c r="Z1562" s="586" t="str">
        <f t="shared" si="382"/>
        <v/>
      </c>
    </row>
    <row r="1563" spans="1:26" ht="23.25" hidden="1" thickBot="1" x14ac:dyDescent="0.25">
      <c r="A1563" s="567">
        <v>101555</v>
      </c>
      <c r="B1563" s="644">
        <v>101555</v>
      </c>
      <c r="C1563" s="645" t="s">
        <v>670</v>
      </c>
      <c r="D1563" s="422" t="s">
        <v>1409</v>
      </c>
      <c r="E1563" s="423"/>
      <c r="F1563" s="424"/>
      <c r="G1563" s="425"/>
      <c r="H1563" s="651"/>
      <c r="I1563" s="420">
        <v>6.57</v>
      </c>
      <c r="J1563" s="420">
        <f t="shared" si="381"/>
        <v>6.57</v>
      </c>
      <c r="K1563" s="421">
        <f t="shared" si="380"/>
        <v>7.81</v>
      </c>
      <c r="L1563" s="647" t="s">
        <v>2065</v>
      </c>
      <c r="M1563" s="576"/>
      <c r="N1563" s="576">
        <f t="shared" si="383"/>
        <v>0</v>
      </c>
      <c r="O1563" s="577">
        <f t="shared" si="377"/>
        <v>0</v>
      </c>
      <c r="P1563" s="578">
        <f t="shared" si="378"/>
        <v>0</v>
      </c>
      <c r="Q1563" s="765"/>
      <c r="R1563" s="576">
        <f t="shared" si="374"/>
        <v>0</v>
      </c>
      <c r="S1563" s="576">
        <f t="shared" si="374"/>
        <v>0</v>
      </c>
      <c r="T1563" s="577">
        <f t="shared" si="375"/>
        <v>0</v>
      </c>
      <c r="U1563" s="578">
        <f t="shared" si="376"/>
        <v>0</v>
      </c>
      <c r="V1563" s="579"/>
      <c r="W1563" s="566"/>
      <c r="X1563" s="586" t="str">
        <f t="shared" si="379"/>
        <v/>
      </c>
      <c r="Y1563" s="586" t="str">
        <f t="shared" si="373"/>
        <v/>
      </c>
      <c r="Z1563" s="586" t="str">
        <f t="shared" si="382"/>
        <v/>
      </c>
    </row>
    <row r="1564" spans="1:26" ht="23.25" hidden="1" thickBot="1" x14ac:dyDescent="0.25">
      <c r="A1564" s="567">
        <v>101556</v>
      </c>
      <c r="B1564" s="644">
        <v>101556</v>
      </c>
      <c r="C1564" s="645" t="s">
        <v>670</v>
      </c>
      <c r="D1564" s="422" t="s">
        <v>1410</v>
      </c>
      <c r="E1564" s="423"/>
      <c r="F1564" s="424"/>
      <c r="G1564" s="425"/>
      <c r="H1564" s="651"/>
      <c r="I1564" s="420">
        <v>6.17</v>
      </c>
      <c r="J1564" s="420">
        <f t="shared" si="381"/>
        <v>6.17</v>
      </c>
      <c r="K1564" s="421">
        <f t="shared" si="380"/>
        <v>7.33</v>
      </c>
      <c r="L1564" s="647" t="s">
        <v>2065</v>
      </c>
      <c r="M1564" s="576"/>
      <c r="N1564" s="576">
        <f t="shared" si="383"/>
        <v>0</v>
      </c>
      <c r="O1564" s="577">
        <f t="shared" si="377"/>
        <v>0</v>
      </c>
      <c r="P1564" s="578">
        <f t="shared" si="378"/>
        <v>0</v>
      </c>
      <c r="Q1564" s="765"/>
      <c r="R1564" s="576">
        <f t="shared" si="374"/>
        <v>0</v>
      </c>
      <c r="S1564" s="576">
        <f t="shared" si="374"/>
        <v>0</v>
      </c>
      <c r="T1564" s="577">
        <f t="shared" si="375"/>
        <v>0</v>
      </c>
      <c r="U1564" s="578">
        <f t="shared" si="376"/>
        <v>0</v>
      </c>
      <c r="V1564" s="579"/>
      <c r="W1564" s="566"/>
      <c r="X1564" s="586" t="str">
        <f t="shared" si="379"/>
        <v/>
      </c>
      <c r="Y1564" s="586" t="str">
        <f t="shared" si="373"/>
        <v/>
      </c>
      <c r="Z1564" s="586" t="str">
        <f t="shared" si="382"/>
        <v/>
      </c>
    </row>
    <row r="1565" spans="1:26" ht="23.25" hidden="1" thickBot="1" x14ac:dyDescent="0.25">
      <c r="A1565" s="567">
        <v>101626</v>
      </c>
      <c r="B1565" s="644">
        <v>101626</v>
      </c>
      <c r="C1565" s="645" t="s">
        <v>670</v>
      </c>
      <c r="D1565" s="422" t="s">
        <v>1411</v>
      </c>
      <c r="E1565" s="423"/>
      <c r="F1565" s="424"/>
      <c r="G1565" s="425"/>
      <c r="H1565" s="651"/>
      <c r="I1565" s="420">
        <v>245.61</v>
      </c>
      <c r="J1565" s="420">
        <f t="shared" si="381"/>
        <v>245.61</v>
      </c>
      <c r="K1565" s="421">
        <f t="shared" si="380"/>
        <v>291.81</v>
      </c>
      <c r="L1565" s="647" t="s">
        <v>2065</v>
      </c>
      <c r="M1565" s="576"/>
      <c r="N1565" s="576">
        <f t="shared" si="383"/>
        <v>0</v>
      </c>
      <c r="O1565" s="577">
        <f t="shared" si="377"/>
        <v>0</v>
      </c>
      <c r="P1565" s="578">
        <f t="shared" si="378"/>
        <v>0</v>
      </c>
      <c r="Q1565" s="765"/>
      <c r="R1565" s="576">
        <f t="shared" si="374"/>
        <v>0</v>
      </c>
      <c r="S1565" s="576">
        <f t="shared" si="374"/>
        <v>0</v>
      </c>
      <c r="T1565" s="577">
        <f t="shared" si="375"/>
        <v>0</v>
      </c>
      <c r="U1565" s="578">
        <f t="shared" si="376"/>
        <v>0</v>
      </c>
      <c r="V1565" s="579"/>
      <c r="W1565" s="566"/>
      <c r="X1565" s="586" t="str">
        <f t="shared" si="379"/>
        <v/>
      </c>
      <c r="Y1565" s="586" t="str">
        <f t="shared" si="373"/>
        <v/>
      </c>
      <c r="Z1565" s="586" t="str">
        <f t="shared" si="382"/>
        <v/>
      </c>
    </row>
    <row r="1566" spans="1:26" ht="23.25" hidden="1" thickBot="1" x14ac:dyDescent="0.25">
      <c r="A1566" s="567">
        <v>101627</v>
      </c>
      <c r="B1566" s="644">
        <v>101627</v>
      </c>
      <c r="C1566" s="645" t="s">
        <v>670</v>
      </c>
      <c r="D1566" s="422" t="s">
        <v>1412</v>
      </c>
      <c r="E1566" s="423"/>
      <c r="F1566" s="424"/>
      <c r="G1566" s="425"/>
      <c r="H1566" s="651"/>
      <c r="I1566" s="420">
        <v>384.01</v>
      </c>
      <c r="J1566" s="420">
        <f t="shared" si="381"/>
        <v>384.01</v>
      </c>
      <c r="K1566" s="421">
        <f t="shared" si="380"/>
        <v>456.24</v>
      </c>
      <c r="L1566" s="647" t="s">
        <v>2065</v>
      </c>
      <c r="M1566" s="576"/>
      <c r="N1566" s="576">
        <f t="shared" si="383"/>
        <v>0</v>
      </c>
      <c r="O1566" s="577">
        <f t="shared" si="377"/>
        <v>0</v>
      </c>
      <c r="P1566" s="578">
        <f t="shared" si="378"/>
        <v>0</v>
      </c>
      <c r="Q1566" s="765"/>
      <c r="R1566" s="576">
        <f t="shared" si="374"/>
        <v>0</v>
      </c>
      <c r="S1566" s="576">
        <f t="shared" si="374"/>
        <v>0</v>
      </c>
      <c r="T1566" s="577">
        <f t="shared" si="375"/>
        <v>0</v>
      </c>
      <c r="U1566" s="578">
        <f t="shared" si="376"/>
        <v>0</v>
      </c>
      <c r="V1566" s="579"/>
      <c r="W1566" s="566"/>
      <c r="X1566" s="586" t="str">
        <f t="shared" si="379"/>
        <v/>
      </c>
      <c r="Y1566" s="586" t="str">
        <f t="shared" si="373"/>
        <v/>
      </c>
      <c r="Z1566" s="586" t="str">
        <f t="shared" si="382"/>
        <v/>
      </c>
    </row>
    <row r="1567" spans="1:26" ht="23.25" hidden="1" thickBot="1" x14ac:dyDescent="0.25">
      <c r="A1567" s="567">
        <v>101628</v>
      </c>
      <c r="B1567" s="644">
        <v>101628</v>
      </c>
      <c r="C1567" s="645" t="s">
        <v>670</v>
      </c>
      <c r="D1567" s="422" t="s">
        <v>1413</v>
      </c>
      <c r="E1567" s="423"/>
      <c r="F1567" s="424"/>
      <c r="G1567" s="425"/>
      <c r="H1567" s="651"/>
      <c r="I1567" s="420">
        <v>181.59</v>
      </c>
      <c r="J1567" s="420">
        <f t="shared" si="381"/>
        <v>181.59</v>
      </c>
      <c r="K1567" s="421">
        <f t="shared" si="380"/>
        <v>215.75</v>
      </c>
      <c r="L1567" s="647" t="s">
        <v>2065</v>
      </c>
      <c r="M1567" s="576"/>
      <c r="N1567" s="576">
        <f t="shared" si="383"/>
        <v>0</v>
      </c>
      <c r="O1567" s="577">
        <f t="shared" si="377"/>
        <v>0</v>
      </c>
      <c r="P1567" s="578">
        <f t="shared" si="378"/>
        <v>0</v>
      </c>
      <c r="Q1567" s="765"/>
      <c r="R1567" s="576">
        <f t="shared" si="374"/>
        <v>0</v>
      </c>
      <c r="S1567" s="576">
        <f t="shared" si="374"/>
        <v>0</v>
      </c>
      <c r="T1567" s="577">
        <f t="shared" si="375"/>
        <v>0</v>
      </c>
      <c r="U1567" s="578">
        <f t="shared" si="376"/>
        <v>0</v>
      </c>
      <c r="V1567" s="579"/>
      <c r="W1567" s="566"/>
      <c r="X1567" s="586" t="str">
        <f t="shared" si="379"/>
        <v/>
      </c>
      <c r="Y1567" s="586" t="str">
        <f t="shared" si="373"/>
        <v/>
      </c>
      <c r="Z1567" s="586" t="str">
        <f t="shared" si="382"/>
        <v/>
      </c>
    </row>
    <row r="1568" spans="1:26" ht="23.25" hidden="1" thickBot="1" x14ac:dyDescent="0.25">
      <c r="A1568" s="567">
        <v>101629</v>
      </c>
      <c r="B1568" s="644">
        <v>101629</v>
      </c>
      <c r="C1568" s="645" t="s">
        <v>670</v>
      </c>
      <c r="D1568" s="422" t="s">
        <v>1414</v>
      </c>
      <c r="E1568" s="423"/>
      <c r="F1568" s="424"/>
      <c r="G1568" s="425"/>
      <c r="H1568" s="651"/>
      <c r="I1568" s="420">
        <v>214.56</v>
      </c>
      <c r="J1568" s="420">
        <f t="shared" si="381"/>
        <v>214.56</v>
      </c>
      <c r="K1568" s="421">
        <f t="shared" si="380"/>
        <v>254.92</v>
      </c>
      <c r="L1568" s="647" t="s">
        <v>2065</v>
      </c>
      <c r="M1568" s="576"/>
      <c r="N1568" s="576">
        <f t="shared" si="383"/>
        <v>0</v>
      </c>
      <c r="O1568" s="577">
        <f t="shared" si="377"/>
        <v>0</v>
      </c>
      <c r="P1568" s="578">
        <f t="shared" si="378"/>
        <v>0</v>
      </c>
      <c r="Q1568" s="765"/>
      <c r="R1568" s="576">
        <f t="shared" si="374"/>
        <v>0</v>
      </c>
      <c r="S1568" s="576">
        <f t="shared" si="374"/>
        <v>0</v>
      </c>
      <c r="T1568" s="577">
        <f t="shared" si="375"/>
        <v>0</v>
      </c>
      <c r="U1568" s="578">
        <f t="shared" si="376"/>
        <v>0</v>
      </c>
      <c r="V1568" s="579"/>
      <c r="W1568" s="566"/>
      <c r="X1568" s="586" t="str">
        <f t="shared" si="379"/>
        <v/>
      </c>
      <c r="Y1568" s="586" t="str">
        <f t="shared" si="373"/>
        <v/>
      </c>
      <c r="Z1568" s="586" t="str">
        <f t="shared" si="382"/>
        <v/>
      </c>
    </row>
    <row r="1569" spans="1:26" ht="23.25" hidden="1" thickBot="1" x14ac:dyDescent="0.25">
      <c r="A1569" s="567">
        <v>100921</v>
      </c>
      <c r="B1569" s="644">
        <v>100921</v>
      </c>
      <c r="C1569" s="645" t="s">
        <v>670</v>
      </c>
      <c r="D1569" s="422" t="s">
        <v>1415</v>
      </c>
      <c r="E1569" s="423"/>
      <c r="F1569" s="424"/>
      <c r="G1569" s="425"/>
      <c r="H1569" s="651"/>
      <c r="I1569" s="420">
        <v>85.94</v>
      </c>
      <c r="J1569" s="420">
        <f t="shared" si="381"/>
        <v>85.94</v>
      </c>
      <c r="K1569" s="421">
        <f t="shared" si="380"/>
        <v>102.11</v>
      </c>
      <c r="L1569" s="647" t="s">
        <v>2065</v>
      </c>
      <c r="M1569" s="576"/>
      <c r="N1569" s="576">
        <f t="shared" si="383"/>
        <v>0</v>
      </c>
      <c r="O1569" s="577">
        <f t="shared" si="377"/>
        <v>0</v>
      </c>
      <c r="P1569" s="578">
        <f t="shared" si="378"/>
        <v>0</v>
      </c>
      <c r="Q1569" s="765"/>
      <c r="R1569" s="576">
        <f t="shared" si="374"/>
        <v>0</v>
      </c>
      <c r="S1569" s="576">
        <f t="shared" si="374"/>
        <v>0</v>
      </c>
      <c r="T1569" s="577">
        <f t="shared" si="375"/>
        <v>0</v>
      </c>
      <c r="U1569" s="578">
        <f t="shared" si="376"/>
        <v>0</v>
      </c>
      <c r="V1569" s="579"/>
      <c r="W1569" s="566"/>
      <c r="X1569" s="586" t="str">
        <f t="shared" si="379"/>
        <v/>
      </c>
      <c r="Y1569" s="586" t="str">
        <f t="shared" si="373"/>
        <v/>
      </c>
      <c r="Z1569" s="586" t="str">
        <f t="shared" si="382"/>
        <v/>
      </c>
    </row>
    <row r="1570" spans="1:26" ht="23.25" hidden="1" thickBot="1" x14ac:dyDescent="0.25">
      <c r="A1570" s="567">
        <v>100922</v>
      </c>
      <c r="B1570" s="644">
        <v>100922</v>
      </c>
      <c r="C1570" s="645" t="s">
        <v>670</v>
      </c>
      <c r="D1570" s="422" t="s">
        <v>1416</v>
      </c>
      <c r="E1570" s="423"/>
      <c r="F1570" s="424"/>
      <c r="G1570" s="425"/>
      <c r="H1570" s="651"/>
      <c r="I1570" s="420">
        <v>62.04</v>
      </c>
      <c r="J1570" s="420">
        <f t="shared" si="381"/>
        <v>62.04</v>
      </c>
      <c r="K1570" s="421">
        <f t="shared" si="380"/>
        <v>73.709999999999994</v>
      </c>
      <c r="L1570" s="647" t="s">
        <v>2065</v>
      </c>
      <c r="M1570" s="576"/>
      <c r="N1570" s="576">
        <f t="shared" si="383"/>
        <v>0</v>
      </c>
      <c r="O1570" s="577">
        <f t="shared" si="377"/>
        <v>0</v>
      </c>
      <c r="P1570" s="578">
        <f t="shared" si="378"/>
        <v>0</v>
      </c>
      <c r="Q1570" s="765"/>
      <c r="R1570" s="576">
        <f t="shared" si="374"/>
        <v>0</v>
      </c>
      <c r="S1570" s="576">
        <f t="shared" si="374"/>
        <v>0</v>
      </c>
      <c r="T1570" s="577">
        <f t="shared" si="375"/>
        <v>0</v>
      </c>
      <c r="U1570" s="578">
        <f t="shared" si="376"/>
        <v>0</v>
      </c>
      <c r="V1570" s="579"/>
      <c r="W1570" s="566"/>
      <c r="X1570" s="586" t="str">
        <f t="shared" si="379"/>
        <v/>
      </c>
      <c r="Y1570" s="586" t="str">
        <f t="shared" si="373"/>
        <v/>
      </c>
      <c r="Z1570" s="586" t="str">
        <f t="shared" si="382"/>
        <v/>
      </c>
    </row>
    <row r="1571" spans="1:26" ht="23.25" hidden="1" thickBot="1" x14ac:dyDescent="0.25">
      <c r="A1571" s="567">
        <v>100923</v>
      </c>
      <c r="B1571" s="644">
        <v>100923</v>
      </c>
      <c r="C1571" s="645" t="s">
        <v>670</v>
      </c>
      <c r="D1571" s="422" t="s">
        <v>1417</v>
      </c>
      <c r="E1571" s="423"/>
      <c r="F1571" s="424"/>
      <c r="G1571" s="425"/>
      <c r="H1571" s="651"/>
      <c r="I1571" s="420">
        <v>72.95</v>
      </c>
      <c r="J1571" s="420">
        <f t="shared" si="381"/>
        <v>72.95</v>
      </c>
      <c r="K1571" s="421">
        <f t="shared" si="380"/>
        <v>86.67</v>
      </c>
      <c r="L1571" s="647" t="s">
        <v>2065</v>
      </c>
      <c r="M1571" s="576"/>
      <c r="N1571" s="576">
        <f t="shared" si="383"/>
        <v>0</v>
      </c>
      <c r="O1571" s="577">
        <f t="shared" si="377"/>
        <v>0</v>
      </c>
      <c r="P1571" s="578">
        <f t="shared" si="378"/>
        <v>0</v>
      </c>
      <c r="Q1571" s="765"/>
      <c r="R1571" s="576">
        <f t="shared" si="374"/>
        <v>0</v>
      </c>
      <c r="S1571" s="576">
        <f t="shared" si="374"/>
        <v>0</v>
      </c>
      <c r="T1571" s="577">
        <f t="shared" si="375"/>
        <v>0</v>
      </c>
      <c r="U1571" s="578">
        <f t="shared" si="376"/>
        <v>0</v>
      </c>
      <c r="V1571" s="579"/>
      <c r="W1571" s="566"/>
      <c r="X1571" s="586" t="str">
        <f t="shared" si="379"/>
        <v/>
      </c>
      <c r="Y1571" s="586" t="str">
        <f t="shared" ref="Y1571:Y1634" si="384">IF(W1571="X","x",IF(W1571="y","x",IF(W1571="xx","x",IF(U1571&gt;0,"x",""))))</f>
        <v/>
      </c>
      <c r="Z1571" s="586" t="str">
        <f t="shared" si="382"/>
        <v/>
      </c>
    </row>
    <row r="1572" spans="1:26" ht="23.25" hidden="1" thickBot="1" x14ac:dyDescent="0.25">
      <c r="A1572" s="567">
        <v>101661</v>
      </c>
      <c r="B1572" s="644">
        <v>101661</v>
      </c>
      <c r="C1572" s="645" t="s">
        <v>670</v>
      </c>
      <c r="D1572" s="422" t="s">
        <v>1418</v>
      </c>
      <c r="E1572" s="423"/>
      <c r="F1572" s="424"/>
      <c r="G1572" s="425"/>
      <c r="H1572" s="651"/>
      <c r="I1572" s="420">
        <v>119.82</v>
      </c>
      <c r="J1572" s="420">
        <f t="shared" si="381"/>
        <v>119.82</v>
      </c>
      <c r="K1572" s="421">
        <f t="shared" si="380"/>
        <v>142.36000000000001</v>
      </c>
      <c r="L1572" s="647" t="s">
        <v>2065</v>
      </c>
      <c r="M1572" s="576"/>
      <c r="N1572" s="576">
        <f t="shared" si="383"/>
        <v>0</v>
      </c>
      <c r="O1572" s="577">
        <f t="shared" si="377"/>
        <v>0</v>
      </c>
      <c r="P1572" s="578">
        <f t="shared" si="378"/>
        <v>0</v>
      </c>
      <c r="Q1572" s="765"/>
      <c r="R1572" s="576">
        <f t="shared" si="374"/>
        <v>0</v>
      </c>
      <c r="S1572" s="576">
        <f t="shared" si="374"/>
        <v>0</v>
      </c>
      <c r="T1572" s="577">
        <f t="shared" si="375"/>
        <v>0</v>
      </c>
      <c r="U1572" s="578">
        <f t="shared" si="376"/>
        <v>0</v>
      </c>
      <c r="V1572" s="579"/>
      <c r="W1572" s="566"/>
      <c r="X1572" s="586" t="str">
        <f t="shared" si="379"/>
        <v/>
      </c>
      <c r="Y1572" s="586" t="str">
        <f t="shared" si="384"/>
        <v/>
      </c>
      <c r="Z1572" s="586" t="str">
        <f t="shared" si="382"/>
        <v/>
      </c>
    </row>
    <row r="1573" spans="1:26" ht="12" hidden="1" thickBot="1" x14ac:dyDescent="0.25">
      <c r="A1573" s="567">
        <v>101651</v>
      </c>
      <c r="B1573" s="644">
        <v>101651</v>
      </c>
      <c r="C1573" s="645" t="s">
        <v>670</v>
      </c>
      <c r="D1573" s="422" t="s">
        <v>1419</v>
      </c>
      <c r="E1573" s="423"/>
      <c r="F1573" s="424"/>
      <c r="G1573" s="425"/>
      <c r="H1573" s="651"/>
      <c r="I1573" s="420">
        <v>68.14</v>
      </c>
      <c r="J1573" s="420">
        <f t="shared" si="381"/>
        <v>68.14</v>
      </c>
      <c r="K1573" s="421">
        <f t="shared" si="380"/>
        <v>80.959999999999994</v>
      </c>
      <c r="L1573" s="647" t="s">
        <v>2065</v>
      </c>
      <c r="M1573" s="576"/>
      <c r="N1573" s="576">
        <f t="shared" si="383"/>
        <v>0</v>
      </c>
      <c r="O1573" s="577">
        <f t="shared" si="377"/>
        <v>0</v>
      </c>
      <c r="P1573" s="578">
        <f t="shared" si="378"/>
        <v>0</v>
      </c>
      <c r="Q1573" s="765"/>
      <c r="R1573" s="576">
        <f t="shared" si="374"/>
        <v>0</v>
      </c>
      <c r="S1573" s="576">
        <f t="shared" si="374"/>
        <v>0</v>
      </c>
      <c r="T1573" s="577">
        <f t="shared" si="375"/>
        <v>0</v>
      </c>
      <c r="U1573" s="578">
        <f t="shared" si="376"/>
        <v>0</v>
      </c>
      <c r="V1573" s="579"/>
      <c r="W1573" s="566"/>
      <c r="X1573" s="586" t="str">
        <f t="shared" si="379"/>
        <v/>
      </c>
      <c r="Y1573" s="586" t="str">
        <f t="shared" si="384"/>
        <v/>
      </c>
      <c r="Z1573" s="586" t="str">
        <f t="shared" si="382"/>
        <v/>
      </c>
    </row>
    <row r="1574" spans="1:26" ht="12" hidden="1" thickBot="1" x14ac:dyDescent="0.25">
      <c r="A1574" s="567">
        <v>101630</v>
      </c>
      <c r="B1574" s="644">
        <v>101630</v>
      </c>
      <c r="C1574" s="645" t="s">
        <v>670</v>
      </c>
      <c r="D1574" s="422" t="s">
        <v>1420</v>
      </c>
      <c r="E1574" s="423"/>
      <c r="F1574" s="424"/>
      <c r="G1574" s="425"/>
      <c r="H1574" s="651"/>
      <c r="I1574" s="420">
        <v>79.58</v>
      </c>
      <c r="J1574" s="420">
        <f t="shared" si="381"/>
        <v>79.58</v>
      </c>
      <c r="K1574" s="421">
        <f t="shared" si="380"/>
        <v>94.55</v>
      </c>
      <c r="L1574" s="647" t="s">
        <v>2065</v>
      </c>
      <c r="M1574" s="576"/>
      <c r="N1574" s="576">
        <f t="shared" si="383"/>
        <v>0</v>
      </c>
      <c r="O1574" s="577">
        <f t="shared" si="377"/>
        <v>0</v>
      </c>
      <c r="P1574" s="578">
        <f t="shared" si="378"/>
        <v>0</v>
      </c>
      <c r="Q1574" s="765"/>
      <c r="R1574" s="576">
        <f t="shared" si="374"/>
        <v>0</v>
      </c>
      <c r="S1574" s="576">
        <f t="shared" si="374"/>
        <v>0</v>
      </c>
      <c r="T1574" s="577">
        <f t="shared" si="375"/>
        <v>0</v>
      </c>
      <c r="U1574" s="578">
        <f t="shared" si="376"/>
        <v>0</v>
      </c>
      <c r="V1574" s="579"/>
      <c r="W1574" s="566"/>
      <c r="X1574" s="586" t="str">
        <f t="shared" si="379"/>
        <v/>
      </c>
      <c r="Y1574" s="586" t="str">
        <f t="shared" si="384"/>
        <v/>
      </c>
      <c r="Z1574" s="586" t="str">
        <f t="shared" si="382"/>
        <v/>
      </c>
    </row>
    <row r="1575" spans="1:26" ht="23.25" hidden="1" thickBot="1" x14ac:dyDescent="0.25">
      <c r="A1575" s="567">
        <v>101631</v>
      </c>
      <c r="B1575" s="644">
        <v>101631</v>
      </c>
      <c r="C1575" s="645" t="s">
        <v>670</v>
      </c>
      <c r="D1575" s="422" t="s">
        <v>1421</v>
      </c>
      <c r="E1575" s="423"/>
      <c r="F1575" s="424"/>
      <c r="G1575" s="425"/>
      <c r="H1575" s="651"/>
      <c r="I1575" s="420">
        <v>24.58</v>
      </c>
      <c r="J1575" s="420">
        <f t="shared" si="381"/>
        <v>24.58</v>
      </c>
      <c r="K1575" s="421">
        <f t="shared" si="380"/>
        <v>29.2</v>
      </c>
      <c r="L1575" s="647" t="s">
        <v>2065</v>
      </c>
      <c r="M1575" s="576"/>
      <c r="N1575" s="576">
        <f t="shared" si="383"/>
        <v>0</v>
      </c>
      <c r="O1575" s="577">
        <f t="shared" si="377"/>
        <v>0</v>
      </c>
      <c r="P1575" s="578">
        <f t="shared" si="378"/>
        <v>0</v>
      </c>
      <c r="Q1575" s="765"/>
      <c r="R1575" s="576">
        <f t="shared" si="374"/>
        <v>0</v>
      </c>
      <c r="S1575" s="576">
        <f t="shared" si="374"/>
        <v>0</v>
      </c>
      <c r="T1575" s="577">
        <f t="shared" si="375"/>
        <v>0</v>
      </c>
      <c r="U1575" s="578">
        <f t="shared" si="376"/>
        <v>0</v>
      </c>
      <c r="V1575" s="579"/>
      <c r="W1575" s="566"/>
      <c r="X1575" s="586" t="str">
        <f t="shared" si="379"/>
        <v/>
      </c>
      <c r="Y1575" s="586" t="str">
        <f t="shared" si="384"/>
        <v/>
      </c>
      <c r="Z1575" s="586" t="str">
        <f t="shared" si="382"/>
        <v/>
      </c>
    </row>
    <row r="1576" spans="1:26" ht="23.25" hidden="1" thickBot="1" x14ac:dyDescent="0.25">
      <c r="A1576" s="567">
        <v>101632</v>
      </c>
      <c r="B1576" s="644">
        <v>101632</v>
      </c>
      <c r="C1576" s="645" t="s">
        <v>670</v>
      </c>
      <c r="D1576" s="422" t="s">
        <v>1422</v>
      </c>
      <c r="E1576" s="423"/>
      <c r="F1576" s="424"/>
      <c r="G1576" s="425"/>
      <c r="H1576" s="651"/>
      <c r="I1576" s="420">
        <v>55.15</v>
      </c>
      <c r="J1576" s="420">
        <f t="shared" si="381"/>
        <v>55.15</v>
      </c>
      <c r="K1576" s="421">
        <f t="shared" si="380"/>
        <v>65.52</v>
      </c>
      <c r="L1576" s="647" t="s">
        <v>2065</v>
      </c>
      <c r="M1576" s="576"/>
      <c r="N1576" s="576">
        <f t="shared" si="383"/>
        <v>0</v>
      </c>
      <c r="O1576" s="577">
        <f t="shared" si="377"/>
        <v>0</v>
      </c>
      <c r="P1576" s="578">
        <f t="shared" si="378"/>
        <v>0</v>
      </c>
      <c r="Q1576" s="765"/>
      <c r="R1576" s="576">
        <f t="shared" si="374"/>
        <v>0</v>
      </c>
      <c r="S1576" s="576">
        <f t="shared" si="374"/>
        <v>0</v>
      </c>
      <c r="T1576" s="577">
        <f t="shared" si="375"/>
        <v>0</v>
      </c>
      <c r="U1576" s="578">
        <f t="shared" si="376"/>
        <v>0</v>
      </c>
      <c r="V1576" s="579"/>
      <c r="W1576" s="566"/>
      <c r="X1576" s="586" t="str">
        <f t="shared" si="379"/>
        <v/>
      </c>
      <c r="Y1576" s="586" t="str">
        <f t="shared" si="384"/>
        <v/>
      </c>
      <c r="Z1576" s="586" t="str">
        <f t="shared" si="382"/>
        <v/>
      </c>
    </row>
    <row r="1577" spans="1:26" ht="23.25" hidden="1" thickBot="1" x14ac:dyDescent="0.25">
      <c r="A1577" s="567">
        <v>101633</v>
      </c>
      <c r="B1577" s="644">
        <v>101633</v>
      </c>
      <c r="C1577" s="645" t="s">
        <v>670</v>
      </c>
      <c r="D1577" s="422" t="s">
        <v>1423</v>
      </c>
      <c r="E1577" s="423"/>
      <c r="F1577" s="424"/>
      <c r="G1577" s="425"/>
      <c r="H1577" s="651"/>
      <c r="I1577" s="420">
        <v>121.12</v>
      </c>
      <c r="J1577" s="420">
        <f t="shared" si="381"/>
        <v>121.12</v>
      </c>
      <c r="K1577" s="421">
        <f t="shared" si="380"/>
        <v>143.9</v>
      </c>
      <c r="L1577" s="647" t="s">
        <v>2065</v>
      </c>
      <c r="M1577" s="576"/>
      <c r="N1577" s="576">
        <f t="shared" si="383"/>
        <v>0</v>
      </c>
      <c r="O1577" s="577">
        <f t="shared" si="377"/>
        <v>0</v>
      </c>
      <c r="P1577" s="578">
        <f t="shared" si="378"/>
        <v>0</v>
      </c>
      <c r="Q1577" s="765"/>
      <c r="R1577" s="576">
        <f t="shared" si="374"/>
        <v>0</v>
      </c>
      <c r="S1577" s="576">
        <f t="shared" si="374"/>
        <v>0</v>
      </c>
      <c r="T1577" s="577">
        <f t="shared" si="375"/>
        <v>0</v>
      </c>
      <c r="U1577" s="578">
        <f t="shared" si="376"/>
        <v>0</v>
      </c>
      <c r="V1577" s="579"/>
      <c r="W1577" s="566"/>
      <c r="X1577" s="586" t="str">
        <f t="shared" si="379"/>
        <v/>
      </c>
      <c r="Y1577" s="586" t="str">
        <f t="shared" si="384"/>
        <v/>
      </c>
      <c r="Z1577" s="586" t="str">
        <f t="shared" si="382"/>
        <v/>
      </c>
    </row>
    <row r="1578" spans="1:26" ht="23.25" hidden="1" thickBot="1" x14ac:dyDescent="0.25">
      <c r="A1578" s="567">
        <v>101636</v>
      </c>
      <c r="B1578" s="644">
        <v>101636</v>
      </c>
      <c r="C1578" s="645" t="s">
        <v>670</v>
      </c>
      <c r="D1578" s="422" t="s">
        <v>1424</v>
      </c>
      <c r="E1578" s="423"/>
      <c r="F1578" s="424"/>
      <c r="G1578" s="425"/>
      <c r="H1578" s="651"/>
      <c r="I1578" s="420">
        <v>175.9</v>
      </c>
      <c r="J1578" s="420">
        <f t="shared" si="381"/>
        <v>175.9</v>
      </c>
      <c r="K1578" s="421">
        <f t="shared" si="380"/>
        <v>208.99</v>
      </c>
      <c r="L1578" s="647" t="s">
        <v>2065</v>
      </c>
      <c r="M1578" s="576"/>
      <c r="N1578" s="576">
        <f t="shared" si="383"/>
        <v>0</v>
      </c>
      <c r="O1578" s="577">
        <f t="shared" si="377"/>
        <v>0</v>
      </c>
      <c r="P1578" s="578">
        <f t="shared" si="378"/>
        <v>0</v>
      </c>
      <c r="Q1578" s="765"/>
      <c r="R1578" s="576">
        <f t="shared" ref="R1578:S1641" si="385">M1578</f>
        <v>0</v>
      </c>
      <c r="S1578" s="576">
        <f t="shared" si="385"/>
        <v>0</v>
      </c>
      <c r="T1578" s="577">
        <f t="shared" si="375"/>
        <v>0</v>
      </c>
      <c r="U1578" s="578">
        <f t="shared" si="376"/>
        <v>0</v>
      </c>
      <c r="V1578" s="579"/>
      <c r="W1578" s="566"/>
      <c r="X1578" s="586" t="str">
        <f t="shared" si="379"/>
        <v/>
      </c>
      <c r="Y1578" s="586" t="str">
        <f t="shared" si="384"/>
        <v/>
      </c>
      <c r="Z1578" s="586" t="str">
        <f t="shared" si="382"/>
        <v/>
      </c>
    </row>
    <row r="1579" spans="1:26" ht="23.25" hidden="1" thickBot="1" x14ac:dyDescent="0.25">
      <c r="A1579" s="567">
        <v>101637</v>
      </c>
      <c r="B1579" s="644">
        <v>101637</v>
      </c>
      <c r="C1579" s="645" t="s">
        <v>670</v>
      </c>
      <c r="D1579" s="422" t="s">
        <v>1425</v>
      </c>
      <c r="E1579" s="423"/>
      <c r="F1579" s="424"/>
      <c r="G1579" s="425"/>
      <c r="H1579" s="651"/>
      <c r="I1579" s="420">
        <v>169.44</v>
      </c>
      <c r="J1579" s="420">
        <f t="shared" si="381"/>
        <v>169.44</v>
      </c>
      <c r="K1579" s="421">
        <f t="shared" si="380"/>
        <v>201.31</v>
      </c>
      <c r="L1579" s="647" t="s">
        <v>2065</v>
      </c>
      <c r="M1579" s="576"/>
      <c r="N1579" s="576">
        <f t="shared" si="383"/>
        <v>0</v>
      </c>
      <c r="O1579" s="577">
        <f t="shared" si="377"/>
        <v>0</v>
      </c>
      <c r="P1579" s="578">
        <f t="shared" si="378"/>
        <v>0</v>
      </c>
      <c r="Q1579" s="765"/>
      <c r="R1579" s="576">
        <f t="shared" si="385"/>
        <v>0</v>
      </c>
      <c r="S1579" s="576">
        <f t="shared" si="385"/>
        <v>0</v>
      </c>
      <c r="T1579" s="577">
        <f t="shared" si="375"/>
        <v>0</v>
      </c>
      <c r="U1579" s="578">
        <f t="shared" si="376"/>
        <v>0</v>
      </c>
      <c r="V1579" s="579"/>
      <c r="W1579" s="566"/>
      <c r="X1579" s="586" t="str">
        <f t="shared" si="379"/>
        <v/>
      </c>
      <c r="Y1579" s="586" t="str">
        <f t="shared" si="384"/>
        <v/>
      </c>
      <c r="Z1579" s="586" t="str">
        <f t="shared" si="382"/>
        <v/>
      </c>
    </row>
    <row r="1580" spans="1:26" ht="12" hidden="1" thickBot="1" x14ac:dyDescent="0.25">
      <c r="A1580" s="567">
        <v>96985</v>
      </c>
      <c r="B1580" s="644">
        <v>96985</v>
      </c>
      <c r="C1580" s="645" t="s">
        <v>670</v>
      </c>
      <c r="D1580" s="422" t="s">
        <v>1426</v>
      </c>
      <c r="E1580" s="423"/>
      <c r="F1580" s="424"/>
      <c r="G1580" s="425"/>
      <c r="H1580" s="651"/>
      <c r="I1580" s="420">
        <v>93.33</v>
      </c>
      <c r="J1580" s="420">
        <f t="shared" si="381"/>
        <v>93.33</v>
      </c>
      <c r="K1580" s="421">
        <f t="shared" si="380"/>
        <v>110.89</v>
      </c>
      <c r="L1580" s="647" t="s">
        <v>2065</v>
      </c>
      <c r="M1580" s="576"/>
      <c r="N1580" s="576">
        <f t="shared" si="383"/>
        <v>0</v>
      </c>
      <c r="O1580" s="577">
        <f t="shared" si="377"/>
        <v>0</v>
      </c>
      <c r="P1580" s="578">
        <f t="shared" si="378"/>
        <v>0</v>
      </c>
      <c r="Q1580" s="765"/>
      <c r="R1580" s="576">
        <f t="shared" si="385"/>
        <v>0</v>
      </c>
      <c r="S1580" s="576">
        <f t="shared" si="385"/>
        <v>0</v>
      </c>
      <c r="T1580" s="577">
        <f t="shared" si="375"/>
        <v>0</v>
      </c>
      <c r="U1580" s="578">
        <f t="shared" si="376"/>
        <v>0</v>
      </c>
      <c r="V1580" s="579"/>
      <c r="W1580" s="566"/>
      <c r="X1580" s="586" t="str">
        <f t="shared" si="379"/>
        <v/>
      </c>
      <c r="Y1580" s="586" t="str">
        <f t="shared" si="384"/>
        <v/>
      </c>
      <c r="Z1580" s="586" t="str">
        <f t="shared" si="382"/>
        <v/>
      </c>
    </row>
    <row r="1581" spans="1:26" ht="12" hidden="1" thickBot="1" x14ac:dyDescent="0.25">
      <c r="A1581" s="567">
        <v>96986</v>
      </c>
      <c r="B1581" s="644">
        <v>96986</v>
      </c>
      <c r="C1581" s="645" t="s">
        <v>670</v>
      </c>
      <c r="D1581" s="422" t="s">
        <v>1427</v>
      </c>
      <c r="E1581" s="423"/>
      <c r="F1581" s="424"/>
      <c r="G1581" s="425"/>
      <c r="H1581" s="651"/>
      <c r="I1581" s="420">
        <v>139.19999999999999</v>
      </c>
      <c r="J1581" s="420">
        <f t="shared" si="381"/>
        <v>139.19999999999999</v>
      </c>
      <c r="K1581" s="421">
        <f t="shared" si="380"/>
        <v>165.38</v>
      </c>
      <c r="L1581" s="647" t="s">
        <v>2065</v>
      </c>
      <c r="M1581" s="576"/>
      <c r="N1581" s="576">
        <f t="shared" si="383"/>
        <v>0</v>
      </c>
      <c r="O1581" s="577">
        <f t="shared" si="377"/>
        <v>0</v>
      </c>
      <c r="P1581" s="578">
        <f t="shared" si="378"/>
        <v>0</v>
      </c>
      <c r="Q1581" s="765"/>
      <c r="R1581" s="576">
        <f t="shared" si="385"/>
        <v>0</v>
      </c>
      <c r="S1581" s="576">
        <f t="shared" si="385"/>
        <v>0</v>
      </c>
      <c r="T1581" s="577">
        <f t="shared" si="375"/>
        <v>0</v>
      </c>
      <c r="U1581" s="578">
        <f t="shared" si="376"/>
        <v>0</v>
      </c>
      <c r="V1581" s="579"/>
      <c r="W1581" s="566"/>
      <c r="X1581" s="586" t="str">
        <f t="shared" si="379"/>
        <v/>
      </c>
      <c r="Y1581" s="586" t="str">
        <f t="shared" si="384"/>
        <v/>
      </c>
      <c r="Z1581" s="586" t="str">
        <f t="shared" si="382"/>
        <v/>
      </c>
    </row>
    <row r="1582" spans="1:26" ht="12" hidden="1" thickBot="1" x14ac:dyDescent="0.25">
      <c r="A1582" s="567">
        <v>96987</v>
      </c>
      <c r="B1582" s="644">
        <v>96987</v>
      </c>
      <c r="C1582" s="645" t="s">
        <v>670</v>
      </c>
      <c r="D1582" s="422" t="s">
        <v>1428</v>
      </c>
      <c r="E1582" s="423"/>
      <c r="F1582" s="424"/>
      <c r="G1582" s="425"/>
      <c r="H1582" s="651"/>
      <c r="I1582" s="420">
        <v>118.53</v>
      </c>
      <c r="J1582" s="420">
        <f t="shared" si="381"/>
        <v>118.53</v>
      </c>
      <c r="K1582" s="421">
        <f t="shared" si="380"/>
        <v>140.83000000000001</v>
      </c>
      <c r="L1582" s="647" t="s">
        <v>2065</v>
      </c>
      <c r="M1582" s="576"/>
      <c r="N1582" s="576">
        <f t="shared" si="383"/>
        <v>0</v>
      </c>
      <c r="O1582" s="577">
        <f t="shared" si="377"/>
        <v>0</v>
      </c>
      <c r="P1582" s="578">
        <f t="shared" si="378"/>
        <v>0</v>
      </c>
      <c r="Q1582" s="765"/>
      <c r="R1582" s="576">
        <f t="shared" si="385"/>
        <v>0</v>
      </c>
      <c r="S1582" s="576">
        <f t="shared" si="385"/>
        <v>0</v>
      </c>
      <c r="T1582" s="577">
        <f t="shared" si="375"/>
        <v>0</v>
      </c>
      <c r="U1582" s="578">
        <f t="shared" si="376"/>
        <v>0</v>
      </c>
      <c r="V1582" s="579"/>
      <c r="W1582" s="566"/>
      <c r="X1582" s="586" t="str">
        <f t="shared" si="379"/>
        <v/>
      </c>
      <c r="Y1582" s="586" t="str">
        <f t="shared" si="384"/>
        <v/>
      </c>
      <c r="Z1582" s="586" t="str">
        <f t="shared" si="382"/>
        <v/>
      </c>
    </row>
    <row r="1583" spans="1:26" ht="12" hidden="1" thickBot="1" x14ac:dyDescent="0.25">
      <c r="A1583" s="567">
        <v>96988</v>
      </c>
      <c r="B1583" s="644">
        <v>96988</v>
      </c>
      <c r="C1583" s="645" t="s">
        <v>670</v>
      </c>
      <c r="D1583" s="422" t="s">
        <v>1429</v>
      </c>
      <c r="E1583" s="423"/>
      <c r="F1583" s="424"/>
      <c r="G1583" s="425"/>
      <c r="H1583" s="651"/>
      <c r="I1583" s="420">
        <v>183.83</v>
      </c>
      <c r="J1583" s="420">
        <f t="shared" si="381"/>
        <v>183.83</v>
      </c>
      <c r="K1583" s="421">
        <f t="shared" si="380"/>
        <v>218.41</v>
      </c>
      <c r="L1583" s="647" t="s">
        <v>2065</v>
      </c>
      <c r="M1583" s="576"/>
      <c r="N1583" s="576">
        <f t="shared" si="383"/>
        <v>0</v>
      </c>
      <c r="O1583" s="577">
        <f t="shared" si="377"/>
        <v>0</v>
      </c>
      <c r="P1583" s="578">
        <f t="shared" si="378"/>
        <v>0</v>
      </c>
      <c r="Q1583" s="765"/>
      <c r="R1583" s="576">
        <f t="shared" si="385"/>
        <v>0</v>
      </c>
      <c r="S1583" s="576">
        <f t="shared" si="385"/>
        <v>0</v>
      </c>
      <c r="T1583" s="577">
        <f t="shared" si="375"/>
        <v>0</v>
      </c>
      <c r="U1583" s="578">
        <f t="shared" si="376"/>
        <v>0</v>
      </c>
      <c r="V1583" s="579"/>
      <c r="W1583" s="566"/>
      <c r="X1583" s="586" t="str">
        <f t="shared" si="379"/>
        <v/>
      </c>
      <c r="Y1583" s="586" t="str">
        <f t="shared" si="384"/>
        <v/>
      </c>
      <c r="Z1583" s="586" t="str">
        <f t="shared" si="382"/>
        <v/>
      </c>
    </row>
    <row r="1584" spans="1:26" ht="23.25" hidden="1" thickBot="1" x14ac:dyDescent="0.25">
      <c r="A1584" s="567">
        <v>96971</v>
      </c>
      <c r="B1584" s="644">
        <v>96971</v>
      </c>
      <c r="C1584" s="645" t="s">
        <v>670</v>
      </c>
      <c r="D1584" s="422" t="s">
        <v>1430</v>
      </c>
      <c r="E1584" s="423"/>
      <c r="F1584" s="424"/>
      <c r="G1584" s="425"/>
      <c r="H1584" s="651"/>
      <c r="I1584" s="420">
        <v>36.29</v>
      </c>
      <c r="J1584" s="420">
        <f t="shared" si="381"/>
        <v>36.29</v>
      </c>
      <c r="K1584" s="421">
        <f t="shared" si="380"/>
        <v>43.12</v>
      </c>
      <c r="L1584" s="647" t="s">
        <v>79</v>
      </c>
      <c r="M1584" s="576"/>
      <c r="N1584" s="576">
        <f t="shared" si="383"/>
        <v>0</v>
      </c>
      <c r="O1584" s="577">
        <f t="shared" si="377"/>
        <v>0</v>
      </c>
      <c r="P1584" s="578">
        <f t="shared" si="378"/>
        <v>0</v>
      </c>
      <c r="Q1584" s="765"/>
      <c r="R1584" s="576">
        <f t="shared" si="385"/>
        <v>0</v>
      </c>
      <c r="S1584" s="576">
        <f t="shared" si="385"/>
        <v>0</v>
      </c>
      <c r="T1584" s="577">
        <f t="shared" si="375"/>
        <v>0</v>
      </c>
      <c r="U1584" s="578">
        <f t="shared" si="376"/>
        <v>0</v>
      </c>
      <c r="V1584" s="579"/>
      <c r="W1584" s="566"/>
      <c r="X1584" s="586" t="str">
        <f t="shared" si="379"/>
        <v/>
      </c>
      <c r="Y1584" s="586" t="str">
        <f t="shared" si="384"/>
        <v/>
      </c>
      <c r="Z1584" s="586" t="str">
        <f t="shared" si="382"/>
        <v/>
      </c>
    </row>
    <row r="1585" spans="1:26" ht="23.25" hidden="1" thickBot="1" x14ac:dyDescent="0.25">
      <c r="A1585" s="567">
        <v>96972</v>
      </c>
      <c r="B1585" s="644">
        <v>96972</v>
      </c>
      <c r="C1585" s="645" t="s">
        <v>670</v>
      </c>
      <c r="D1585" s="422" t="s">
        <v>1431</v>
      </c>
      <c r="E1585" s="423"/>
      <c r="F1585" s="424"/>
      <c r="G1585" s="425"/>
      <c r="H1585" s="651"/>
      <c r="I1585" s="420">
        <v>51.07</v>
      </c>
      <c r="J1585" s="420">
        <f t="shared" si="381"/>
        <v>51.07</v>
      </c>
      <c r="K1585" s="421">
        <f t="shared" si="380"/>
        <v>60.68</v>
      </c>
      <c r="L1585" s="647" t="s">
        <v>79</v>
      </c>
      <c r="M1585" s="576"/>
      <c r="N1585" s="576">
        <f t="shared" si="383"/>
        <v>0</v>
      </c>
      <c r="O1585" s="577">
        <f t="shared" si="377"/>
        <v>0</v>
      </c>
      <c r="P1585" s="578">
        <f t="shared" si="378"/>
        <v>0</v>
      </c>
      <c r="Q1585" s="765"/>
      <c r="R1585" s="576">
        <f t="shared" si="385"/>
        <v>0</v>
      </c>
      <c r="S1585" s="576">
        <f t="shared" si="385"/>
        <v>0</v>
      </c>
      <c r="T1585" s="577">
        <f t="shared" si="375"/>
        <v>0</v>
      </c>
      <c r="U1585" s="578">
        <f t="shared" si="376"/>
        <v>0</v>
      </c>
      <c r="V1585" s="579"/>
      <c r="W1585" s="566"/>
      <c r="X1585" s="586" t="str">
        <f t="shared" si="379"/>
        <v/>
      </c>
      <c r="Y1585" s="586" t="str">
        <f t="shared" si="384"/>
        <v/>
      </c>
      <c r="Z1585" s="586" t="str">
        <f t="shared" si="382"/>
        <v/>
      </c>
    </row>
    <row r="1586" spans="1:26" ht="23.25" hidden="1" thickBot="1" x14ac:dyDescent="0.25">
      <c r="A1586" s="567">
        <v>96973</v>
      </c>
      <c r="B1586" s="644">
        <v>96973</v>
      </c>
      <c r="C1586" s="645" t="s">
        <v>670</v>
      </c>
      <c r="D1586" s="422" t="s">
        <v>1432</v>
      </c>
      <c r="E1586" s="423"/>
      <c r="F1586" s="424"/>
      <c r="G1586" s="425"/>
      <c r="H1586" s="651"/>
      <c r="I1586" s="420">
        <v>65.52</v>
      </c>
      <c r="J1586" s="420">
        <f t="shared" si="381"/>
        <v>65.52</v>
      </c>
      <c r="K1586" s="421">
        <f t="shared" si="380"/>
        <v>77.84</v>
      </c>
      <c r="L1586" s="647" t="s">
        <v>79</v>
      </c>
      <c r="M1586" s="576"/>
      <c r="N1586" s="576">
        <f t="shared" si="383"/>
        <v>0</v>
      </c>
      <c r="O1586" s="577">
        <f t="shared" si="377"/>
        <v>0</v>
      </c>
      <c r="P1586" s="578">
        <f t="shared" si="378"/>
        <v>0</v>
      </c>
      <c r="Q1586" s="765"/>
      <c r="R1586" s="576">
        <f t="shared" si="385"/>
        <v>0</v>
      </c>
      <c r="S1586" s="576">
        <f t="shared" si="385"/>
        <v>0</v>
      </c>
      <c r="T1586" s="577">
        <f t="shared" si="375"/>
        <v>0</v>
      </c>
      <c r="U1586" s="578">
        <f t="shared" si="376"/>
        <v>0</v>
      </c>
      <c r="V1586" s="579"/>
      <c r="W1586" s="566"/>
      <c r="X1586" s="586" t="str">
        <f t="shared" si="379"/>
        <v/>
      </c>
      <c r="Y1586" s="586" t="str">
        <f t="shared" si="384"/>
        <v/>
      </c>
      <c r="Z1586" s="586" t="str">
        <f t="shared" si="382"/>
        <v/>
      </c>
    </row>
    <row r="1587" spans="1:26" ht="23.25" hidden="1" thickBot="1" x14ac:dyDescent="0.25">
      <c r="A1587" s="567">
        <v>96974</v>
      </c>
      <c r="B1587" s="644">
        <v>96974</v>
      </c>
      <c r="C1587" s="645" t="s">
        <v>670</v>
      </c>
      <c r="D1587" s="422" t="s">
        <v>1433</v>
      </c>
      <c r="E1587" s="423"/>
      <c r="F1587" s="424"/>
      <c r="G1587" s="425"/>
      <c r="H1587" s="651"/>
      <c r="I1587" s="420">
        <v>84.79</v>
      </c>
      <c r="J1587" s="420">
        <f t="shared" si="381"/>
        <v>84.79</v>
      </c>
      <c r="K1587" s="421">
        <f t="shared" si="380"/>
        <v>100.74</v>
      </c>
      <c r="L1587" s="647" t="s">
        <v>79</v>
      </c>
      <c r="M1587" s="576"/>
      <c r="N1587" s="576">
        <f t="shared" si="383"/>
        <v>0</v>
      </c>
      <c r="O1587" s="577">
        <f t="shared" si="377"/>
        <v>0</v>
      </c>
      <c r="P1587" s="578">
        <f t="shared" si="378"/>
        <v>0</v>
      </c>
      <c r="Q1587" s="765"/>
      <c r="R1587" s="576">
        <f t="shared" si="385"/>
        <v>0</v>
      </c>
      <c r="S1587" s="576">
        <f t="shared" si="385"/>
        <v>0</v>
      </c>
      <c r="T1587" s="577">
        <f t="shared" si="375"/>
        <v>0</v>
      </c>
      <c r="U1587" s="578">
        <f t="shared" si="376"/>
        <v>0</v>
      </c>
      <c r="V1587" s="579"/>
      <c r="W1587" s="566"/>
      <c r="X1587" s="586" t="str">
        <f t="shared" si="379"/>
        <v/>
      </c>
      <c r="Y1587" s="586" t="str">
        <f t="shared" si="384"/>
        <v/>
      </c>
      <c r="Z1587" s="586" t="str">
        <f t="shared" si="382"/>
        <v/>
      </c>
    </row>
    <row r="1588" spans="1:26" ht="23.25" hidden="1" thickBot="1" x14ac:dyDescent="0.25">
      <c r="A1588" s="567">
        <v>96975</v>
      </c>
      <c r="B1588" s="644">
        <v>96975</v>
      </c>
      <c r="C1588" s="645" t="s">
        <v>670</v>
      </c>
      <c r="D1588" s="422" t="s">
        <v>1434</v>
      </c>
      <c r="E1588" s="423"/>
      <c r="F1588" s="424"/>
      <c r="G1588" s="425"/>
      <c r="H1588" s="651"/>
      <c r="I1588" s="420">
        <v>110.82</v>
      </c>
      <c r="J1588" s="420">
        <f t="shared" si="381"/>
        <v>110.82</v>
      </c>
      <c r="K1588" s="421">
        <f t="shared" si="380"/>
        <v>131.66999999999999</v>
      </c>
      <c r="L1588" s="647" t="s">
        <v>79</v>
      </c>
      <c r="M1588" s="576"/>
      <c r="N1588" s="576">
        <f t="shared" si="383"/>
        <v>0</v>
      </c>
      <c r="O1588" s="577">
        <f t="shared" si="377"/>
        <v>0</v>
      </c>
      <c r="P1588" s="578">
        <f t="shared" si="378"/>
        <v>0</v>
      </c>
      <c r="Q1588" s="765"/>
      <c r="R1588" s="576">
        <f t="shared" si="385"/>
        <v>0</v>
      </c>
      <c r="S1588" s="576">
        <f t="shared" si="385"/>
        <v>0</v>
      </c>
      <c r="T1588" s="577">
        <f t="shared" ref="T1588:T1651" si="386">IF(ISBLANK(R1588),0,ROUND(K1588*R1588,2))</f>
        <v>0</v>
      </c>
      <c r="U1588" s="578">
        <f t="shared" ref="U1588:U1651" si="387">IF(ISBLANK(R1588),0,ROUND(R1588*S1588,2))</f>
        <v>0</v>
      </c>
      <c r="V1588" s="579"/>
      <c r="W1588" s="566"/>
      <c r="X1588" s="586" t="str">
        <f t="shared" si="379"/>
        <v/>
      </c>
      <c r="Y1588" s="586" t="str">
        <f t="shared" si="384"/>
        <v/>
      </c>
      <c r="Z1588" s="586" t="str">
        <f t="shared" si="382"/>
        <v/>
      </c>
    </row>
    <row r="1589" spans="1:26" ht="23.25" hidden="1" thickBot="1" x14ac:dyDescent="0.25">
      <c r="A1589" s="567">
        <v>96976</v>
      </c>
      <c r="B1589" s="644">
        <v>96976</v>
      </c>
      <c r="C1589" s="645" t="s">
        <v>670</v>
      </c>
      <c r="D1589" s="422" t="s">
        <v>1435</v>
      </c>
      <c r="E1589" s="423"/>
      <c r="F1589" s="424"/>
      <c r="G1589" s="425"/>
      <c r="H1589" s="651"/>
      <c r="I1589" s="420">
        <v>145.71</v>
      </c>
      <c r="J1589" s="420">
        <f t="shared" si="381"/>
        <v>145.71</v>
      </c>
      <c r="K1589" s="421">
        <f t="shared" si="380"/>
        <v>173.12</v>
      </c>
      <c r="L1589" s="647" t="s">
        <v>79</v>
      </c>
      <c r="M1589" s="576"/>
      <c r="N1589" s="576">
        <f t="shared" si="383"/>
        <v>0</v>
      </c>
      <c r="O1589" s="577">
        <f t="shared" ref="O1589:O1652" si="388">IF(ISBLANK(M1589),0,ROUND(K1589*M1589,2))</f>
        <v>0</v>
      </c>
      <c r="P1589" s="578">
        <f t="shared" ref="P1589:P1652" si="389">IF(ISBLANK(N1589),0,ROUND(M1589*N1589,2))</f>
        <v>0</v>
      </c>
      <c r="Q1589" s="765"/>
      <c r="R1589" s="576">
        <f t="shared" si="385"/>
        <v>0</v>
      </c>
      <c r="S1589" s="576">
        <f t="shared" si="385"/>
        <v>0</v>
      </c>
      <c r="T1589" s="577">
        <f t="shared" si="386"/>
        <v>0</v>
      </c>
      <c r="U1589" s="578">
        <f t="shared" si="387"/>
        <v>0</v>
      </c>
      <c r="V1589" s="579"/>
      <c r="W1589" s="566"/>
      <c r="X1589" s="586" t="str">
        <f t="shared" si="379"/>
        <v/>
      </c>
      <c r="Y1589" s="586" t="str">
        <f t="shared" si="384"/>
        <v/>
      </c>
      <c r="Z1589" s="586" t="str">
        <f t="shared" si="382"/>
        <v/>
      </c>
    </row>
    <row r="1590" spans="1:26" ht="23.25" hidden="1" thickBot="1" x14ac:dyDescent="0.25">
      <c r="A1590" s="567">
        <v>96977</v>
      </c>
      <c r="B1590" s="644">
        <v>96977</v>
      </c>
      <c r="C1590" s="645" t="s">
        <v>670</v>
      </c>
      <c r="D1590" s="422" t="s">
        <v>1436</v>
      </c>
      <c r="E1590" s="423"/>
      <c r="F1590" s="424"/>
      <c r="G1590" s="425"/>
      <c r="H1590" s="651"/>
      <c r="I1590" s="420">
        <v>59.41</v>
      </c>
      <c r="J1590" s="420">
        <f t="shared" si="381"/>
        <v>59.41</v>
      </c>
      <c r="K1590" s="421">
        <f t="shared" si="380"/>
        <v>70.59</v>
      </c>
      <c r="L1590" s="647" t="s">
        <v>79</v>
      </c>
      <c r="M1590" s="576"/>
      <c r="N1590" s="576">
        <f t="shared" si="383"/>
        <v>0</v>
      </c>
      <c r="O1590" s="577">
        <f t="shared" si="388"/>
        <v>0</v>
      </c>
      <c r="P1590" s="578">
        <f t="shared" si="389"/>
        <v>0</v>
      </c>
      <c r="Q1590" s="765"/>
      <c r="R1590" s="576">
        <f t="shared" si="385"/>
        <v>0</v>
      </c>
      <c r="S1590" s="576">
        <f t="shared" si="385"/>
        <v>0</v>
      </c>
      <c r="T1590" s="577">
        <f t="shared" si="386"/>
        <v>0</v>
      </c>
      <c r="U1590" s="578">
        <f t="shared" si="387"/>
        <v>0</v>
      </c>
      <c r="V1590" s="579"/>
      <c r="W1590" s="566"/>
      <c r="X1590" s="586" t="str">
        <f t="shared" si="379"/>
        <v/>
      </c>
      <c r="Y1590" s="586" t="str">
        <f t="shared" si="384"/>
        <v/>
      </c>
      <c r="Z1590" s="586" t="str">
        <f t="shared" si="382"/>
        <v/>
      </c>
    </row>
    <row r="1591" spans="1:26" ht="23.25" hidden="1" thickBot="1" x14ac:dyDescent="0.25">
      <c r="A1591" s="567">
        <v>96978</v>
      </c>
      <c r="B1591" s="644">
        <v>96978</v>
      </c>
      <c r="C1591" s="645" t="s">
        <v>670</v>
      </c>
      <c r="D1591" s="422" t="s">
        <v>1437</v>
      </c>
      <c r="E1591" s="423"/>
      <c r="F1591" s="424"/>
      <c r="G1591" s="425"/>
      <c r="H1591" s="651"/>
      <c r="I1591" s="420">
        <v>83.34</v>
      </c>
      <c r="J1591" s="420">
        <f t="shared" si="381"/>
        <v>83.34</v>
      </c>
      <c r="K1591" s="421">
        <f t="shared" si="380"/>
        <v>99.02</v>
      </c>
      <c r="L1591" s="647" t="s">
        <v>79</v>
      </c>
      <c r="M1591" s="576"/>
      <c r="N1591" s="576">
        <f t="shared" si="383"/>
        <v>0</v>
      </c>
      <c r="O1591" s="577">
        <f t="shared" si="388"/>
        <v>0</v>
      </c>
      <c r="P1591" s="578">
        <f t="shared" si="389"/>
        <v>0</v>
      </c>
      <c r="Q1591" s="765"/>
      <c r="R1591" s="576">
        <f t="shared" si="385"/>
        <v>0</v>
      </c>
      <c r="S1591" s="576">
        <f t="shared" si="385"/>
        <v>0</v>
      </c>
      <c r="T1591" s="577">
        <f t="shared" si="386"/>
        <v>0</v>
      </c>
      <c r="U1591" s="578">
        <f t="shared" si="387"/>
        <v>0</v>
      </c>
      <c r="V1591" s="579"/>
      <c r="W1591" s="566"/>
      <c r="X1591" s="586" t="str">
        <f t="shared" si="379"/>
        <v/>
      </c>
      <c r="Y1591" s="586" t="str">
        <f t="shared" si="384"/>
        <v/>
      </c>
      <c r="Z1591" s="586" t="str">
        <f t="shared" si="382"/>
        <v/>
      </c>
    </row>
    <row r="1592" spans="1:26" ht="23.25" hidden="1" thickBot="1" x14ac:dyDescent="0.25">
      <c r="A1592" s="567">
        <v>96979</v>
      </c>
      <c r="B1592" s="644">
        <v>96979</v>
      </c>
      <c r="C1592" s="645" t="s">
        <v>670</v>
      </c>
      <c r="D1592" s="422" t="s">
        <v>1438</v>
      </c>
      <c r="E1592" s="423"/>
      <c r="F1592" s="424"/>
      <c r="G1592" s="425"/>
      <c r="H1592" s="651"/>
      <c r="I1592" s="420">
        <v>116.87</v>
      </c>
      <c r="J1592" s="420">
        <f t="shared" si="381"/>
        <v>116.87</v>
      </c>
      <c r="K1592" s="421">
        <f t="shared" si="380"/>
        <v>138.85</v>
      </c>
      <c r="L1592" s="647" t="s">
        <v>79</v>
      </c>
      <c r="M1592" s="576"/>
      <c r="N1592" s="576">
        <f t="shared" si="383"/>
        <v>0</v>
      </c>
      <c r="O1592" s="577">
        <f t="shared" si="388"/>
        <v>0</v>
      </c>
      <c r="P1592" s="578">
        <f t="shared" si="389"/>
        <v>0</v>
      </c>
      <c r="Q1592" s="765"/>
      <c r="R1592" s="576">
        <f t="shared" si="385"/>
        <v>0</v>
      </c>
      <c r="S1592" s="576">
        <f t="shared" si="385"/>
        <v>0</v>
      </c>
      <c r="T1592" s="577">
        <f t="shared" si="386"/>
        <v>0</v>
      </c>
      <c r="U1592" s="578">
        <f t="shared" si="387"/>
        <v>0</v>
      </c>
      <c r="V1592" s="579"/>
      <c r="W1592" s="566"/>
      <c r="X1592" s="586" t="str">
        <f t="shared" si="379"/>
        <v/>
      </c>
      <c r="Y1592" s="586" t="str">
        <f t="shared" si="384"/>
        <v/>
      </c>
      <c r="Z1592" s="586" t="str">
        <f t="shared" si="382"/>
        <v/>
      </c>
    </row>
    <row r="1593" spans="1:26" ht="12" hidden="1" thickBot="1" x14ac:dyDescent="0.25">
      <c r="A1593" s="567">
        <v>96989</v>
      </c>
      <c r="B1593" s="644">
        <v>96989</v>
      </c>
      <c r="C1593" s="645" t="s">
        <v>670</v>
      </c>
      <c r="D1593" s="422" t="s">
        <v>1439</v>
      </c>
      <c r="E1593" s="423"/>
      <c r="F1593" s="424"/>
      <c r="G1593" s="425"/>
      <c r="H1593" s="651"/>
      <c r="I1593" s="420">
        <v>153.85</v>
      </c>
      <c r="J1593" s="420">
        <f t="shared" si="381"/>
        <v>153.85</v>
      </c>
      <c r="K1593" s="421">
        <f t="shared" si="380"/>
        <v>182.79</v>
      </c>
      <c r="L1593" s="647" t="s">
        <v>2065</v>
      </c>
      <c r="M1593" s="576"/>
      <c r="N1593" s="576">
        <f t="shared" si="383"/>
        <v>0</v>
      </c>
      <c r="O1593" s="577">
        <f t="shared" si="388"/>
        <v>0</v>
      </c>
      <c r="P1593" s="578">
        <f t="shared" si="389"/>
        <v>0</v>
      </c>
      <c r="Q1593" s="765"/>
      <c r="R1593" s="576">
        <f t="shared" si="385"/>
        <v>0</v>
      </c>
      <c r="S1593" s="576">
        <f t="shared" si="385"/>
        <v>0</v>
      </c>
      <c r="T1593" s="577">
        <f t="shared" si="386"/>
        <v>0</v>
      </c>
      <c r="U1593" s="578">
        <f t="shared" si="387"/>
        <v>0</v>
      </c>
      <c r="V1593" s="579"/>
      <c r="W1593" s="566"/>
      <c r="X1593" s="586" t="str">
        <f t="shared" si="379"/>
        <v/>
      </c>
      <c r="Y1593" s="586" t="str">
        <f t="shared" si="384"/>
        <v/>
      </c>
      <c r="Z1593" s="586" t="str">
        <f t="shared" si="382"/>
        <v/>
      </c>
    </row>
    <row r="1594" spans="1:26" ht="12" hidden="1" thickBot="1" x14ac:dyDescent="0.25">
      <c r="A1594" s="567">
        <v>98463</v>
      </c>
      <c r="B1594" s="644">
        <v>98463</v>
      </c>
      <c r="C1594" s="645" t="s">
        <v>670</v>
      </c>
      <c r="D1594" s="422" t="s">
        <v>1440</v>
      </c>
      <c r="E1594" s="423"/>
      <c r="F1594" s="424"/>
      <c r="G1594" s="425"/>
      <c r="H1594" s="651"/>
      <c r="I1594" s="420">
        <v>25.58</v>
      </c>
      <c r="J1594" s="420">
        <f t="shared" si="381"/>
        <v>25.58</v>
      </c>
      <c r="K1594" s="421">
        <f t="shared" si="380"/>
        <v>30.39</v>
      </c>
      <c r="L1594" s="647" t="s">
        <v>2065</v>
      </c>
      <c r="M1594" s="576"/>
      <c r="N1594" s="576">
        <f t="shared" si="383"/>
        <v>0</v>
      </c>
      <c r="O1594" s="577">
        <f t="shared" si="388"/>
        <v>0</v>
      </c>
      <c r="P1594" s="578">
        <f t="shared" si="389"/>
        <v>0</v>
      </c>
      <c r="Q1594" s="765"/>
      <c r="R1594" s="576">
        <f t="shared" si="385"/>
        <v>0</v>
      </c>
      <c r="S1594" s="576">
        <f t="shared" si="385"/>
        <v>0</v>
      </c>
      <c r="T1594" s="577">
        <f t="shared" si="386"/>
        <v>0</v>
      </c>
      <c r="U1594" s="578">
        <f t="shared" si="387"/>
        <v>0</v>
      </c>
      <c r="V1594" s="579"/>
      <c r="W1594" s="566"/>
      <c r="X1594" s="586" t="str">
        <f t="shared" si="379"/>
        <v/>
      </c>
      <c r="Y1594" s="586" t="str">
        <f t="shared" si="384"/>
        <v/>
      </c>
      <c r="Z1594" s="586" t="str">
        <f t="shared" si="382"/>
        <v/>
      </c>
    </row>
    <row r="1595" spans="1:26" ht="23.25" hidden="1" thickBot="1" x14ac:dyDescent="0.25">
      <c r="A1595" s="567">
        <v>100560</v>
      </c>
      <c r="B1595" s="644">
        <v>100560</v>
      </c>
      <c r="C1595" s="645" t="s">
        <v>670</v>
      </c>
      <c r="D1595" s="422" t="s">
        <v>1441</v>
      </c>
      <c r="E1595" s="423"/>
      <c r="F1595" s="424"/>
      <c r="G1595" s="425"/>
      <c r="H1595" s="651"/>
      <c r="I1595" s="420">
        <v>136.51</v>
      </c>
      <c r="J1595" s="420">
        <f t="shared" si="381"/>
        <v>136.51</v>
      </c>
      <c r="K1595" s="421">
        <f t="shared" si="380"/>
        <v>162.19</v>
      </c>
      <c r="L1595" s="647" t="s">
        <v>2065</v>
      </c>
      <c r="M1595" s="576"/>
      <c r="N1595" s="576">
        <f t="shared" si="383"/>
        <v>0</v>
      </c>
      <c r="O1595" s="577">
        <f t="shared" si="388"/>
        <v>0</v>
      </c>
      <c r="P1595" s="578">
        <f t="shared" si="389"/>
        <v>0</v>
      </c>
      <c r="Q1595" s="765"/>
      <c r="R1595" s="576">
        <f t="shared" si="385"/>
        <v>0</v>
      </c>
      <c r="S1595" s="576">
        <f t="shared" si="385"/>
        <v>0</v>
      </c>
      <c r="T1595" s="577">
        <f t="shared" si="386"/>
        <v>0</v>
      </c>
      <c r="U1595" s="578">
        <f t="shared" si="387"/>
        <v>0</v>
      </c>
      <c r="V1595" s="579"/>
      <c r="W1595" s="566"/>
      <c r="X1595" s="586" t="str">
        <f t="shared" si="379"/>
        <v/>
      </c>
      <c r="Y1595" s="586" t="str">
        <f t="shared" si="384"/>
        <v/>
      </c>
      <c r="Z1595" s="586" t="str">
        <f t="shared" si="382"/>
        <v/>
      </c>
    </row>
    <row r="1596" spans="1:26" ht="23.25" hidden="1" thickBot="1" x14ac:dyDescent="0.25">
      <c r="A1596" s="567">
        <v>100561</v>
      </c>
      <c r="B1596" s="644">
        <v>100561</v>
      </c>
      <c r="C1596" s="645" t="s">
        <v>670</v>
      </c>
      <c r="D1596" s="422" t="s">
        <v>1442</v>
      </c>
      <c r="E1596" s="423"/>
      <c r="F1596" s="424"/>
      <c r="G1596" s="425"/>
      <c r="H1596" s="651"/>
      <c r="I1596" s="420">
        <v>253.7</v>
      </c>
      <c r="J1596" s="420">
        <f t="shared" si="381"/>
        <v>253.7</v>
      </c>
      <c r="K1596" s="421">
        <f t="shared" si="380"/>
        <v>301.42</v>
      </c>
      <c r="L1596" s="647" t="s">
        <v>2065</v>
      </c>
      <c r="M1596" s="576"/>
      <c r="N1596" s="576">
        <f t="shared" si="383"/>
        <v>0</v>
      </c>
      <c r="O1596" s="577">
        <f t="shared" si="388"/>
        <v>0</v>
      </c>
      <c r="P1596" s="578">
        <f t="shared" si="389"/>
        <v>0</v>
      </c>
      <c r="Q1596" s="765"/>
      <c r="R1596" s="576">
        <f t="shared" si="385"/>
        <v>0</v>
      </c>
      <c r="S1596" s="576">
        <f t="shared" si="385"/>
        <v>0</v>
      </c>
      <c r="T1596" s="577">
        <f t="shared" si="386"/>
        <v>0</v>
      </c>
      <c r="U1596" s="578">
        <f t="shared" si="387"/>
        <v>0</v>
      </c>
      <c r="V1596" s="579"/>
      <c r="W1596" s="566"/>
      <c r="X1596" s="586" t="str">
        <f t="shared" si="379"/>
        <v/>
      </c>
      <c r="Y1596" s="586" t="str">
        <f t="shared" si="384"/>
        <v/>
      </c>
      <c r="Z1596" s="586" t="str">
        <f t="shared" si="382"/>
        <v/>
      </c>
    </row>
    <row r="1597" spans="1:26" ht="23.25" hidden="1" thickBot="1" x14ac:dyDescent="0.25">
      <c r="A1597" s="567">
        <v>100562</v>
      </c>
      <c r="B1597" s="644">
        <v>100562</v>
      </c>
      <c r="C1597" s="645" t="s">
        <v>670</v>
      </c>
      <c r="D1597" s="422" t="s">
        <v>1443</v>
      </c>
      <c r="E1597" s="423"/>
      <c r="F1597" s="424"/>
      <c r="G1597" s="425"/>
      <c r="H1597" s="651"/>
      <c r="I1597" s="420">
        <v>394.91</v>
      </c>
      <c r="J1597" s="420">
        <f t="shared" si="381"/>
        <v>394.91</v>
      </c>
      <c r="K1597" s="421">
        <f t="shared" si="380"/>
        <v>469.19</v>
      </c>
      <c r="L1597" s="647" t="s">
        <v>2065</v>
      </c>
      <c r="M1597" s="576"/>
      <c r="N1597" s="576">
        <f t="shared" si="383"/>
        <v>0</v>
      </c>
      <c r="O1597" s="577">
        <f t="shared" si="388"/>
        <v>0</v>
      </c>
      <c r="P1597" s="578">
        <f t="shared" si="389"/>
        <v>0</v>
      </c>
      <c r="Q1597" s="765"/>
      <c r="R1597" s="576">
        <f t="shared" si="385"/>
        <v>0</v>
      </c>
      <c r="S1597" s="576">
        <f t="shared" si="385"/>
        <v>0</v>
      </c>
      <c r="T1597" s="577">
        <f t="shared" si="386"/>
        <v>0</v>
      </c>
      <c r="U1597" s="578">
        <f t="shared" si="387"/>
        <v>0</v>
      </c>
      <c r="V1597" s="579"/>
      <c r="W1597" s="566"/>
      <c r="X1597" s="586" t="str">
        <f t="shared" ref="X1597:X1660" si="390">IF(W1597="X","x",IF(W1597="xx","x",IF(W1597="xy","x",IF(W1597="y","x",IF(OR(P1597&gt;0,U1597&gt;0),"x","")))))</f>
        <v/>
      </c>
      <c r="Y1597" s="586" t="str">
        <f t="shared" si="384"/>
        <v/>
      </c>
      <c r="Z1597" s="586" t="str">
        <f t="shared" si="382"/>
        <v/>
      </c>
    </row>
    <row r="1598" spans="1:26" ht="23.25" hidden="1" thickBot="1" x14ac:dyDescent="0.25">
      <c r="A1598" s="567">
        <v>100563</v>
      </c>
      <c r="B1598" s="644">
        <v>100563</v>
      </c>
      <c r="C1598" s="645" t="s">
        <v>670</v>
      </c>
      <c r="D1598" s="422" t="s">
        <v>1444</v>
      </c>
      <c r="E1598" s="423"/>
      <c r="F1598" s="424"/>
      <c r="G1598" s="425"/>
      <c r="H1598" s="651"/>
      <c r="I1598" s="420">
        <v>570.80999999999995</v>
      </c>
      <c r="J1598" s="420">
        <f t="shared" si="381"/>
        <v>570.80999999999995</v>
      </c>
      <c r="K1598" s="421">
        <f t="shared" si="380"/>
        <v>678.18</v>
      </c>
      <c r="L1598" s="647" t="s">
        <v>2065</v>
      </c>
      <c r="M1598" s="576"/>
      <c r="N1598" s="576">
        <f t="shared" si="383"/>
        <v>0</v>
      </c>
      <c r="O1598" s="577">
        <f t="shared" si="388"/>
        <v>0</v>
      </c>
      <c r="P1598" s="578">
        <f t="shared" si="389"/>
        <v>0</v>
      </c>
      <c r="Q1598" s="765"/>
      <c r="R1598" s="576">
        <f t="shared" si="385"/>
        <v>0</v>
      </c>
      <c r="S1598" s="576">
        <f t="shared" si="385"/>
        <v>0</v>
      </c>
      <c r="T1598" s="577">
        <f t="shared" si="386"/>
        <v>0</v>
      </c>
      <c r="U1598" s="578">
        <f t="shared" si="387"/>
        <v>0</v>
      </c>
      <c r="V1598" s="579"/>
      <c r="W1598" s="566"/>
      <c r="X1598" s="586" t="str">
        <f t="shared" si="390"/>
        <v/>
      </c>
      <c r="Y1598" s="586" t="str">
        <f t="shared" si="384"/>
        <v/>
      </c>
      <c r="Z1598" s="586" t="str">
        <f t="shared" si="382"/>
        <v/>
      </c>
    </row>
    <row r="1599" spans="1:26" ht="23.25" hidden="1" thickBot="1" x14ac:dyDescent="0.25">
      <c r="A1599" s="567">
        <v>100556</v>
      </c>
      <c r="B1599" s="644">
        <v>100556</v>
      </c>
      <c r="C1599" s="645" t="s">
        <v>670</v>
      </c>
      <c r="D1599" s="422" t="s">
        <v>1445</v>
      </c>
      <c r="E1599" s="423"/>
      <c r="F1599" s="424"/>
      <c r="G1599" s="425"/>
      <c r="H1599" s="651"/>
      <c r="I1599" s="420">
        <v>50.44</v>
      </c>
      <c r="J1599" s="420">
        <f t="shared" si="381"/>
        <v>50.44</v>
      </c>
      <c r="K1599" s="421">
        <f t="shared" si="380"/>
        <v>59.93</v>
      </c>
      <c r="L1599" s="647" t="s">
        <v>2065</v>
      </c>
      <c r="M1599" s="576"/>
      <c r="N1599" s="576">
        <f t="shared" si="383"/>
        <v>0</v>
      </c>
      <c r="O1599" s="577">
        <f t="shared" si="388"/>
        <v>0</v>
      </c>
      <c r="P1599" s="578">
        <f t="shared" si="389"/>
        <v>0</v>
      </c>
      <c r="Q1599" s="765"/>
      <c r="R1599" s="576">
        <f t="shared" si="385"/>
        <v>0</v>
      </c>
      <c r="S1599" s="576">
        <f t="shared" si="385"/>
        <v>0</v>
      </c>
      <c r="T1599" s="577">
        <f t="shared" si="386"/>
        <v>0</v>
      </c>
      <c r="U1599" s="578">
        <f t="shared" si="387"/>
        <v>0</v>
      </c>
      <c r="V1599" s="579"/>
      <c r="W1599" s="566"/>
      <c r="X1599" s="586" t="str">
        <f t="shared" si="390"/>
        <v/>
      </c>
      <c r="Y1599" s="586" t="str">
        <f t="shared" si="384"/>
        <v/>
      </c>
      <c r="Z1599" s="586" t="str">
        <f t="shared" si="382"/>
        <v/>
      </c>
    </row>
    <row r="1600" spans="1:26" ht="23.25" hidden="1" thickBot="1" x14ac:dyDescent="0.25">
      <c r="A1600" s="567">
        <v>100557</v>
      </c>
      <c r="B1600" s="644">
        <v>100557</v>
      </c>
      <c r="C1600" s="645" t="s">
        <v>670</v>
      </c>
      <c r="D1600" s="422" t="s">
        <v>1446</v>
      </c>
      <c r="E1600" s="423"/>
      <c r="F1600" s="424"/>
      <c r="G1600" s="425"/>
      <c r="H1600" s="651"/>
      <c r="I1600" s="420">
        <v>659.16</v>
      </c>
      <c r="J1600" s="420">
        <f t="shared" si="381"/>
        <v>659.16</v>
      </c>
      <c r="K1600" s="421">
        <f t="shared" si="380"/>
        <v>783.15</v>
      </c>
      <c r="L1600" s="647" t="s">
        <v>2065</v>
      </c>
      <c r="M1600" s="576"/>
      <c r="N1600" s="576">
        <f t="shared" si="383"/>
        <v>0</v>
      </c>
      <c r="O1600" s="577">
        <f t="shared" si="388"/>
        <v>0</v>
      </c>
      <c r="P1600" s="578">
        <f t="shared" si="389"/>
        <v>0</v>
      </c>
      <c r="Q1600" s="765"/>
      <c r="R1600" s="576">
        <f t="shared" si="385"/>
        <v>0</v>
      </c>
      <c r="S1600" s="576">
        <f t="shared" si="385"/>
        <v>0</v>
      </c>
      <c r="T1600" s="577">
        <f t="shared" si="386"/>
        <v>0</v>
      </c>
      <c r="U1600" s="578">
        <f t="shared" si="387"/>
        <v>0</v>
      </c>
      <c r="V1600" s="579"/>
      <c r="W1600" s="566"/>
      <c r="X1600" s="586" t="str">
        <f t="shared" si="390"/>
        <v/>
      </c>
      <c r="Y1600" s="586" t="str">
        <f t="shared" si="384"/>
        <v/>
      </c>
      <c r="Z1600" s="586" t="str">
        <f t="shared" si="382"/>
        <v/>
      </c>
    </row>
    <row r="1601" spans="1:26" ht="23.25" hidden="1" thickBot="1" x14ac:dyDescent="0.25">
      <c r="A1601" s="567">
        <v>98294</v>
      </c>
      <c r="B1601" s="644">
        <v>98294</v>
      </c>
      <c r="C1601" s="645" t="s">
        <v>670</v>
      </c>
      <c r="D1601" s="422" t="s">
        <v>1447</v>
      </c>
      <c r="E1601" s="423"/>
      <c r="F1601" s="424"/>
      <c r="G1601" s="425"/>
      <c r="H1601" s="651"/>
      <c r="I1601" s="420">
        <v>7.19</v>
      </c>
      <c r="J1601" s="420">
        <f t="shared" si="381"/>
        <v>7.19</v>
      </c>
      <c r="K1601" s="421">
        <f t="shared" si="380"/>
        <v>8.5399999999999991</v>
      </c>
      <c r="L1601" s="647" t="s">
        <v>79</v>
      </c>
      <c r="M1601" s="576"/>
      <c r="N1601" s="576">
        <f t="shared" si="383"/>
        <v>0</v>
      </c>
      <c r="O1601" s="577">
        <f t="shared" si="388"/>
        <v>0</v>
      </c>
      <c r="P1601" s="578">
        <f t="shared" si="389"/>
        <v>0</v>
      </c>
      <c r="Q1601" s="765"/>
      <c r="R1601" s="576">
        <f t="shared" si="385"/>
        <v>0</v>
      </c>
      <c r="S1601" s="576">
        <f t="shared" si="385"/>
        <v>0</v>
      </c>
      <c r="T1601" s="577">
        <f t="shared" si="386"/>
        <v>0</v>
      </c>
      <c r="U1601" s="578">
        <f t="shared" si="387"/>
        <v>0</v>
      </c>
      <c r="V1601" s="579"/>
      <c r="W1601" s="566"/>
      <c r="X1601" s="586" t="str">
        <f t="shared" si="390"/>
        <v/>
      </c>
      <c r="Y1601" s="586" t="str">
        <f t="shared" si="384"/>
        <v/>
      </c>
      <c r="Z1601" s="586" t="str">
        <f t="shared" si="382"/>
        <v/>
      </c>
    </row>
    <row r="1602" spans="1:26" ht="23.25" hidden="1" thickBot="1" x14ac:dyDescent="0.25">
      <c r="A1602" s="567">
        <v>98295</v>
      </c>
      <c r="B1602" s="644">
        <v>98295</v>
      </c>
      <c r="C1602" s="645" t="s">
        <v>670</v>
      </c>
      <c r="D1602" s="422" t="s">
        <v>1448</v>
      </c>
      <c r="E1602" s="423"/>
      <c r="F1602" s="424"/>
      <c r="G1602" s="425"/>
      <c r="H1602" s="651"/>
      <c r="I1602" s="420">
        <v>6.46</v>
      </c>
      <c r="J1602" s="420">
        <f t="shared" si="381"/>
        <v>6.46</v>
      </c>
      <c r="K1602" s="421">
        <f t="shared" si="380"/>
        <v>7.68</v>
      </c>
      <c r="L1602" s="647" t="s">
        <v>79</v>
      </c>
      <c r="M1602" s="576"/>
      <c r="N1602" s="576">
        <f t="shared" si="383"/>
        <v>0</v>
      </c>
      <c r="O1602" s="577">
        <f t="shared" si="388"/>
        <v>0</v>
      </c>
      <c r="P1602" s="578">
        <f t="shared" si="389"/>
        <v>0</v>
      </c>
      <c r="Q1602" s="765"/>
      <c r="R1602" s="576">
        <f t="shared" si="385"/>
        <v>0</v>
      </c>
      <c r="S1602" s="576">
        <f t="shared" si="385"/>
        <v>0</v>
      </c>
      <c r="T1602" s="577">
        <f t="shared" si="386"/>
        <v>0</v>
      </c>
      <c r="U1602" s="578">
        <f t="shared" si="387"/>
        <v>0</v>
      </c>
      <c r="V1602" s="579"/>
      <c r="W1602" s="566"/>
      <c r="X1602" s="586" t="str">
        <f t="shared" si="390"/>
        <v/>
      </c>
      <c r="Y1602" s="586" t="str">
        <f t="shared" si="384"/>
        <v/>
      </c>
      <c r="Z1602" s="586" t="str">
        <f t="shared" si="382"/>
        <v/>
      </c>
    </row>
    <row r="1603" spans="1:26" ht="23.25" hidden="1" thickBot="1" x14ac:dyDescent="0.25">
      <c r="A1603" s="567">
        <v>98296</v>
      </c>
      <c r="B1603" s="644">
        <v>98296</v>
      </c>
      <c r="C1603" s="645" t="s">
        <v>670</v>
      </c>
      <c r="D1603" s="422" t="s">
        <v>1449</v>
      </c>
      <c r="E1603" s="423"/>
      <c r="F1603" s="424"/>
      <c r="G1603" s="425"/>
      <c r="H1603" s="651"/>
      <c r="I1603" s="420">
        <v>4.9400000000000004</v>
      </c>
      <c r="J1603" s="420">
        <f t="shared" si="381"/>
        <v>4.9400000000000004</v>
      </c>
      <c r="K1603" s="421">
        <f t="shared" si="380"/>
        <v>5.87</v>
      </c>
      <c r="L1603" s="647" t="s">
        <v>79</v>
      </c>
      <c r="M1603" s="576"/>
      <c r="N1603" s="576">
        <f t="shared" si="383"/>
        <v>0</v>
      </c>
      <c r="O1603" s="577">
        <f t="shared" si="388"/>
        <v>0</v>
      </c>
      <c r="P1603" s="578">
        <f t="shared" si="389"/>
        <v>0</v>
      </c>
      <c r="Q1603" s="765"/>
      <c r="R1603" s="576">
        <f t="shared" si="385"/>
        <v>0</v>
      </c>
      <c r="S1603" s="576">
        <f t="shared" si="385"/>
        <v>0</v>
      </c>
      <c r="T1603" s="577">
        <f t="shared" si="386"/>
        <v>0</v>
      </c>
      <c r="U1603" s="578">
        <f t="shared" si="387"/>
        <v>0</v>
      </c>
      <c r="V1603" s="579"/>
      <c r="W1603" s="566"/>
      <c r="X1603" s="586" t="str">
        <f t="shared" si="390"/>
        <v/>
      </c>
      <c r="Y1603" s="586" t="str">
        <f t="shared" si="384"/>
        <v/>
      </c>
      <c r="Z1603" s="586" t="str">
        <f t="shared" si="382"/>
        <v/>
      </c>
    </row>
    <row r="1604" spans="1:26" ht="23.25" hidden="1" thickBot="1" x14ac:dyDescent="0.25">
      <c r="A1604" s="567">
        <v>98297</v>
      </c>
      <c r="B1604" s="644">
        <v>98297</v>
      </c>
      <c r="C1604" s="645" t="s">
        <v>670</v>
      </c>
      <c r="D1604" s="422" t="s">
        <v>1450</v>
      </c>
      <c r="E1604" s="423"/>
      <c r="F1604" s="424"/>
      <c r="G1604" s="425"/>
      <c r="H1604" s="651"/>
      <c r="I1604" s="420">
        <v>3.76</v>
      </c>
      <c r="J1604" s="420">
        <f t="shared" si="381"/>
        <v>3.76</v>
      </c>
      <c r="K1604" s="421">
        <f t="shared" si="380"/>
        <v>4.47</v>
      </c>
      <c r="L1604" s="647" t="s">
        <v>79</v>
      </c>
      <c r="M1604" s="576"/>
      <c r="N1604" s="576">
        <f t="shared" si="383"/>
        <v>0</v>
      </c>
      <c r="O1604" s="577">
        <f t="shared" si="388"/>
        <v>0</v>
      </c>
      <c r="P1604" s="578">
        <f t="shared" si="389"/>
        <v>0</v>
      </c>
      <c r="Q1604" s="765"/>
      <c r="R1604" s="576">
        <f t="shared" si="385"/>
        <v>0</v>
      </c>
      <c r="S1604" s="576">
        <f t="shared" si="385"/>
        <v>0</v>
      </c>
      <c r="T1604" s="577">
        <f t="shared" si="386"/>
        <v>0</v>
      </c>
      <c r="U1604" s="578">
        <f t="shared" si="387"/>
        <v>0</v>
      </c>
      <c r="V1604" s="579"/>
      <c r="W1604" s="566"/>
      <c r="X1604" s="586" t="str">
        <f t="shared" si="390"/>
        <v/>
      </c>
      <c r="Y1604" s="586" t="str">
        <f t="shared" si="384"/>
        <v/>
      </c>
      <c r="Z1604" s="586" t="str">
        <f t="shared" si="382"/>
        <v/>
      </c>
    </row>
    <row r="1605" spans="1:26" ht="12" hidden="1" thickBot="1" x14ac:dyDescent="0.25">
      <c r="A1605" s="567">
        <v>98301</v>
      </c>
      <c r="B1605" s="644">
        <v>98301</v>
      </c>
      <c r="C1605" s="645" t="s">
        <v>670</v>
      </c>
      <c r="D1605" s="422" t="s">
        <v>1451</v>
      </c>
      <c r="E1605" s="423"/>
      <c r="F1605" s="424"/>
      <c r="G1605" s="425"/>
      <c r="H1605" s="651"/>
      <c r="I1605" s="420">
        <v>684.6</v>
      </c>
      <c r="J1605" s="420">
        <f t="shared" si="381"/>
        <v>684.6</v>
      </c>
      <c r="K1605" s="421">
        <f t="shared" si="380"/>
        <v>813.37</v>
      </c>
      <c r="L1605" s="647" t="s">
        <v>2065</v>
      </c>
      <c r="M1605" s="576"/>
      <c r="N1605" s="576">
        <f t="shared" si="383"/>
        <v>0</v>
      </c>
      <c r="O1605" s="577">
        <f t="shared" si="388"/>
        <v>0</v>
      </c>
      <c r="P1605" s="578">
        <f t="shared" si="389"/>
        <v>0</v>
      </c>
      <c r="Q1605" s="765"/>
      <c r="R1605" s="576">
        <f t="shared" si="385"/>
        <v>0</v>
      </c>
      <c r="S1605" s="576">
        <f t="shared" si="385"/>
        <v>0</v>
      </c>
      <c r="T1605" s="577">
        <f t="shared" si="386"/>
        <v>0</v>
      </c>
      <c r="U1605" s="578">
        <f t="shared" si="387"/>
        <v>0</v>
      </c>
      <c r="V1605" s="579"/>
      <c r="W1605" s="566"/>
      <c r="X1605" s="586" t="str">
        <f t="shared" si="390"/>
        <v/>
      </c>
      <c r="Y1605" s="586" t="str">
        <f t="shared" si="384"/>
        <v/>
      </c>
      <c r="Z1605" s="586" t="str">
        <f t="shared" si="382"/>
        <v/>
      </c>
    </row>
    <row r="1606" spans="1:26" ht="12" hidden="1" thickBot="1" x14ac:dyDescent="0.25">
      <c r="A1606" s="567">
        <v>98302</v>
      </c>
      <c r="B1606" s="644">
        <v>98302</v>
      </c>
      <c r="C1606" s="645" t="s">
        <v>670</v>
      </c>
      <c r="D1606" s="422" t="s">
        <v>1452</v>
      </c>
      <c r="E1606" s="423"/>
      <c r="F1606" s="424"/>
      <c r="G1606" s="425"/>
      <c r="H1606" s="651"/>
      <c r="I1606" s="420">
        <v>1290.3900000000001</v>
      </c>
      <c r="J1606" s="420">
        <f t="shared" si="381"/>
        <v>1290.3900000000001</v>
      </c>
      <c r="K1606" s="421">
        <f t="shared" si="380"/>
        <v>1533.11</v>
      </c>
      <c r="L1606" s="647" t="s">
        <v>2065</v>
      </c>
      <c r="M1606" s="576"/>
      <c r="N1606" s="576">
        <f t="shared" si="383"/>
        <v>0</v>
      </c>
      <c r="O1606" s="577">
        <f t="shared" si="388"/>
        <v>0</v>
      </c>
      <c r="P1606" s="578">
        <f t="shared" si="389"/>
        <v>0</v>
      </c>
      <c r="Q1606" s="765"/>
      <c r="R1606" s="576">
        <f t="shared" si="385"/>
        <v>0</v>
      </c>
      <c r="S1606" s="576">
        <f t="shared" si="385"/>
        <v>0</v>
      </c>
      <c r="T1606" s="577">
        <f t="shared" si="386"/>
        <v>0</v>
      </c>
      <c r="U1606" s="578">
        <f t="shared" si="387"/>
        <v>0</v>
      </c>
      <c r="V1606" s="579"/>
      <c r="W1606" s="566"/>
      <c r="X1606" s="586" t="str">
        <f t="shared" si="390"/>
        <v/>
      </c>
      <c r="Y1606" s="586" t="str">
        <f t="shared" si="384"/>
        <v/>
      </c>
      <c r="Z1606" s="586" t="str">
        <f t="shared" si="382"/>
        <v/>
      </c>
    </row>
    <row r="1607" spans="1:26" ht="12" hidden="1" thickBot="1" x14ac:dyDescent="0.25">
      <c r="A1607" s="567">
        <v>98304</v>
      </c>
      <c r="B1607" s="644">
        <v>98304</v>
      </c>
      <c r="C1607" s="645" t="s">
        <v>670</v>
      </c>
      <c r="D1607" s="422" t="s">
        <v>1453</v>
      </c>
      <c r="E1607" s="423"/>
      <c r="F1607" s="424"/>
      <c r="G1607" s="425"/>
      <c r="H1607" s="651"/>
      <c r="I1607" s="420">
        <v>4050.61</v>
      </c>
      <c r="J1607" s="420">
        <f t="shared" si="381"/>
        <v>4050.61</v>
      </c>
      <c r="K1607" s="421">
        <f t="shared" si="380"/>
        <v>4812.53</v>
      </c>
      <c r="L1607" s="647" t="s">
        <v>2065</v>
      </c>
      <c r="M1607" s="576"/>
      <c r="N1607" s="576">
        <f t="shared" si="383"/>
        <v>0</v>
      </c>
      <c r="O1607" s="577">
        <f t="shared" si="388"/>
        <v>0</v>
      </c>
      <c r="P1607" s="578">
        <f t="shared" si="389"/>
        <v>0</v>
      </c>
      <c r="Q1607" s="765"/>
      <c r="R1607" s="576">
        <f t="shared" si="385"/>
        <v>0</v>
      </c>
      <c r="S1607" s="576">
        <f t="shared" si="385"/>
        <v>0</v>
      </c>
      <c r="T1607" s="577">
        <f t="shared" si="386"/>
        <v>0</v>
      </c>
      <c r="U1607" s="578">
        <f t="shared" si="387"/>
        <v>0</v>
      </c>
      <c r="V1607" s="579"/>
      <c r="W1607" s="566"/>
      <c r="X1607" s="586" t="str">
        <f t="shared" si="390"/>
        <v/>
      </c>
      <c r="Y1607" s="586" t="str">
        <f t="shared" si="384"/>
        <v/>
      </c>
      <c r="Z1607" s="586" t="str">
        <f t="shared" si="382"/>
        <v/>
      </c>
    </row>
    <row r="1608" spans="1:26" ht="12" hidden="1" thickBot="1" x14ac:dyDescent="0.25">
      <c r="A1608" s="567">
        <v>98307</v>
      </c>
      <c r="B1608" s="644">
        <v>98307</v>
      </c>
      <c r="C1608" s="645" t="s">
        <v>670</v>
      </c>
      <c r="D1608" s="422" t="s">
        <v>1454</v>
      </c>
      <c r="E1608" s="423"/>
      <c r="F1608" s="424"/>
      <c r="G1608" s="425"/>
      <c r="H1608" s="651"/>
      <c r="I1608" s="420">
        <v>60.66</v>
      </c>
      <c r="J1608" s="420">
        <f t="shared" si="381"/>
        <v>60.66</v>
      </c>
      <c r="K1608" s="421">
        <f t="shared" si="380"/>
        <v>72.069999999999993</v>
      </c>
      <c r="L1608" s="647" t="s">
        <v>2065</v>
      </c>
      <c r="M1608" s="576"/>
      <c r="N1608" s="576">
        <f t="shared" si="383"/>
        <v>0</v>
      </c>
      <c r="O1608" s="577">
        <f t="shared" si="388"/>
        <v>0</v>
      </c>
      <c r="P1608" s="578">
        <f t="shared" si="389"/>
        <v>0</v>
      </c>
      <c r="Q1608" s="765"/>
      <c r="R1608" s="576">
        <f t="shared" si="385"/>
        <v>0</v>
      </c>
      <c r="S1608" s="576">
        <f t="shared" si="385"/>
        <v>0</v>
      </c>
      <c r="T1608" s="577">
        <f t="shared" si="386"/>
        <v>0</v>
      </c>
      <c r="U1608" s="578">
        <f t="shared" si="387"/>
        <v>0</v>
      </c>
      <c r="V1608" s="579"/>
      <c r="W1608" s="566"/>
      <c r="X1608" s="586" t="str">
        <f t="shared" si="390"/>
        <v/>
      </c>
      <c r="Y1608" s="586" t="str">
        <f t="shared" si="384"/>
        <v/>
      </c>
      <c r="Z1608" s="586" t="str">
        <f t="shared" si="382"/>
        <v/>
      </c>
    </row>
    <row r="1609" spans="1:26" ht="12" hidden="1" thickBot="1" x14ac:dyDescent="0.25">
      <c r="A1609" s="567">
        <v>98308</v>
      </c>
      <c r="B1609" s="644">
        <v>98308</v>
      </c>
      <c r="C1609" s="645" t="s">
        <v>670</v>
      </c>
      <c r="D1609" s="422" t="s">
        <v>1455</v>
      </c>
      <c r="E1609" s="423"/>
      <c r="F1609" s="424"/>
      <c r="G1609" s="425"/>
      <c r="H1609" s="651"/>
      <c r="I1609" s="420">
        <v>39.03</v>
      </c>
      <c r="J1609" s="420">
        <f t="shared" si="381"/>
        <v>39.03</v>
      </c>
      <c r="K1609" s="421">
        <f t="shared" ref="K1609:K1656" si="391">IF(ISBLANK(I1609),0,ROUND(J1609*(1+$F$10)*(1+$F$11*E1609),2))</f>
        <v>46.37</v>
      </c>
      <c r="L1609" s="647" t="s">
        <v>2065</v>
      </c>
      <c r="M1609" s="576"/>
      <c r="N1609" s="576">
        <f t="shared" si="383"/>
        <v>0</v>
      </c>
      <c r="O1609" s="577">
        <f t="shared" si="388"/>
        <v>0</v>
      </c>
      <c r="P1609" s="578">
        <f t="shared" si="389"/>
        <v>0</v>
      </c>
      <c r="Q1609" s="765"/>
      <c r="R1609" s="576">
        <f t="shared" si="385"/>
        <v>0</v>
      </c>
      <c r="S1609" s="576">
        <f t="shared" si="385"/>
        <v>0</v>
      </c>
      <c r="T1609" s="577">
        <f t="shared" si="386"/>
        <v>0</v>
      </c>
      <c r="U1609" s="578">
        <f t="shared" si="387"/>
        <v>0</v>
      </c>
      <c r="V1609" s="579"/>
      <c r="W1609" s="566"/>
      <c r="X1609" s="586" t="str">
        <f t="shared" si="390"/>
        <v/>
      </c>
      <c r="Y1609" s="586" t="str">
        <f t="shared" si="384"/>
        <v/>
      </c>
      <c r="Z1609" s="586" t="str">
        <f t="shared" si="382"/>
        <v/>
      </c>
    </row>
    <row r="1610" spans="1:26" ht="12" hidden="1" thickBot="1" x14ac:dyDescent="0.25">
      <c r="A1610" s="567">
        <v>98593</v>
      </c>
      <c r="B1610" s="644">
        <v>98593</v>
      </c>
      <c r="C1610" s="645" t="s">
        <v>670</v>
      </c>
      <c r="D1610" s="422" t="s">
        <v>1456</v>
      </c>
      <c r="E1610" s="423"/>
      <c r="F1610" s="424"/>
      <c r="G1610" s="425"/>
      <c r="H1610" s="651"/>
      <c r="I1610" s="420">
        <v>2815.39</v>
      </c>
      <c r="J1610" s="420">
        <f t="shared" si="381"/>
        <v>2815.39</v>
      </c>
      <c r="K1610" s="421">
        <f t="shared" si="391"/>
        <v>3344.96</v>
      </c>
      <c r="L1610" s="647" t="s">
        <v>2065</v>
      </c>
      <c r="M1610" s="576"/>
      <c r="N1610" s="576">
        <f t="shared" si="383"/>
        <v>0</v>
      </c>
      <c r="O1610" s="577">
        <f t="shared" si="388"/>
        <v>0</v>
      </c>
      <c r="P1610" s="578">
        <f t="shared" si="389"/>
        <v>0</v>
      </c>
      <c r="Q1610" s="765"/>
      <c r="R1610" s="576">
        <f t="shared" si="385"/>
        <v>0</v>
      </c>
      <c r="S1610" s="576">
        <f t="shared" si="385"/>
        <v>0</v>
      </c>
      <c r="T1610" s="577">
        <f t="shared" si="386"/>
        <v>0</v>
      </c>
      <c r="U1610" s="578">
        <f t="shared" si="387"/>
        <v>0</v>
      </c>
      <c r="V1610" s="579"/>
      <c r="W1610" s="566"/>
      <c r="X1610" s="586" t="str">
        <f t="shared" si="390"/>
        <v/>
      </c>
      <c r="Y1610" s="586" t="str">
        <f t="shared" si="384"/>
        <v/>
      </c>
      <c r="Z1610" s="586" t="str">
        <f t="shared" si="382"/>
        <v/>
      </c>
    </row>
    <row r="1611" spans="1:26" ht="23.25" hidden="1" thickBot="1" x14ac:dyDescent="0.25">
      <c r="A1611" s="567">
        <v>98400</v>
      </c>
      <c r="B1611" s="644">
        <v>98400</v>
      </c>
      <c r="C1611" s="645" t="s">
        <v>670</v>
      </c>
      <c r="D1611" s="422" t="s">
        <v>1457</v>
      </c>
      <c r="E1611" s="423"/>
      <c r="F1611" s="424"/>
      <c r="G1611" s="425"/>
      <c r="H1611" s="651"/>
      <c r="I1611" s="420">
        <v>14.58</v>
      </c>
      <c r="J1611" s="420">
        <f t="shared" si="381"/>
        <v>14.58</v>
      </c>
      <c r="K1611" s="421">
        <f t="shared" si="391"/>
        <v>17.32</v>
      </c>
      <c r="L1611" s="647" t="s">
        <v>79</v>
      </c>
      <c r="M1611" s="576"/>
      <c r="N1611" s="576">
        <f t="shared" si="383"/>
        <v>0</v>
      </c>
      <c r="O1611" s="577">
        <f t="shared" si="388"/>
        <v>0</v>
      </c>
      <c r="P1611" s="578">
        <f t="shared" si="389"/>
        <v>0</v>
      </c>
      <c r="Q1611" s="765"/>
      <c r="R1611" s="576">
        <f t="shared" si="385"/>
        <v>0</v>
      </c>
      <c r="S1611" s="576">
        <f t="shared" si="385"/>
        <v>0</v>
      </c>
      <c r="T1611" s="577">
        <f t="shared" si="386"/>
        <v>0</v>
      </c>
      <c r="U1611" s="578">
        <f t="shared" si="387"/>
        <v>0</v>
      </c>
      <c r="V1611" s="579"/>
      <c r="W1611" s="566"/>
      <c r="X1611" s="586" t="str">
        <f t="shared" si="390"/>
        <v/>
      </c>
      <c r="Y1611" s="586" t="str">
        <f t="shared" si="384"/>
        <v/>
      </c>
      <c r="Z1611" s="586" t="str">
        <f t="shared" si="382"/>
        <v/>
      </c>
    </row>
    <row r="1612" spans="1:26" ht="23.25" hidden="1" thickBot="1" x14ac:dyDescent="0.25">
      <c r="A1612" s="567">
        <v>98401</v>
      </c>
      <c r="B1612" s="644">
        <v>98401</v>
      </c>
      <c r="C1612" s="645" t="s">
        <v>670</v>
      </c>
      <c r="D1612" s="422" t="s">
        <v>1458</v>
      </c>
      <c r="E1612" s="423"/>
      <c r="F1612" s="424"/>
      <c r="G1612" s="425"/>
      <c r="H1612" s="651"/>
      <c r="I1612" s="420">
        <v>22.67</v>
      </c>
      <c r="J1612" s="420">
        <f t="shared" si="381"/>
        <v>22.67</v>
      </c>
      <c r="K1612" s="421">
        <f t="shared" si="391"/>
        <v>26.93</v>
      </c>
      <c r="L1612" s="647" t="s">
        <v>79</v>
      </c>
      <c r="M1612" s="576"/>
      <c r="N1612" s="576">
        <f t="shared" si="383"/>
        <v>0</v>
      </c>
      <c r="O1612" s="577">
        <f t="shared" si="388"/>
        <v>0</v>
      </c>
      <c r="P1612" s="578">
        <f t="shared" si="389"/>
        <v>0</v>
      </c>
      <c r="Q1612" s="765"/>
      <c r="R1612" s="576">
        <f t="shared" si="385"/>
        <v>0</v>
      </c>
      <c r="S1612" s="576">
        <f t="shared" si="385"/>
        <v>0</v>
      </c>
      <c r="T1612" s="577">
        <f t="shared" si="386"/>
        <v>0</v>
      </c>
      <c r="U1612" s="578">
        <f t="shared" si="387"/>
        <v>0</v>
      </c>
      <c r="V1612" s="579"/>
      <c r="W1612" s="566"/>
      <c r="X1612" s="586" t="str">
        <f t="shared" si="390"/>
        <v/>
      </c>
      <c r="Y1612" s="586" t="str">
        <f t="shared" si="384"/>
        <v/>
      </c>
      <c r="Z1612" s="586" t="str">
        <f t="shared" si="382"/>
        <v/>
      </c>
    </row>
    <row r="1613" spans="1:26" ht="23.25" hidden="1" thickBot="1" x14ac:dyDescent="0.25">
      <c r="A1613" s="567">
        <v>98402</v>
      </c>
      <c r="B1613" s="644">
        <v>98402</v>
      </c>
      <c r="C1613" s="645" t="s">
        <v>670</v>
      </c>
      <c r="D1613" s="422" t="s">
        <v>1459</v>
      </c>
      <c r="E1613" s="423"/>
      <c r="F1613" s="424"/>
      <c r="G1613" s="425"/>
      <c r="H1613" s="651"/>
      <c r="I1613" s="420">
        <v>26.41</v>
      </c>
      <c r="J1613" s="420">
        <f t="shared" si="381"/>
        <v>26.41</v>
      </c>
      <c r="K1613" s="421">
        <f t="shared" si="391"/>
        <v>31.38</v>
      </c>
      <c r="L1613" s="647" t="s">
        <v>79</v>
      </c>
      <c r="M1613" s="576"/>
      <c r="N1613" s="576">
        <f t="shared" si="383"/>
        <v>0</v>
      </c>
      <c r="O1613" s="577">
        <f t="shared" si="388"/>
        <v>0</v>
      </c>
      <c r="P1613" s="578">
        <f t="shared" si="389"/>
        <v>0</v>
      </c>
      <c r="Q1613" s="765"/>
      <c r="R1613" s="576">
        <f t="shared" si="385"/>
        <v>0</v>
      </c>
      <c r="S1613" s="576">
        <f t="shared" si="385"/>
        <v>0</v>
      </c>
      <c r="T1613" s="577">
        <f t="shared" si="386"/>
        <v>0</v>
      </c>
      <c r="U1613" s="578">
        <f t="shared" si="387"/>
        <v>0</v>
      </c>
      <c r="V1613" s="579"/>
      <c r="W1613" s="566"/>
      <c r="X1613" s="586" t="str">
        <f t="shared" si="390"/>
        <v/>
      </c>
      <c r="Y1613" s="586" t="str">
        <f t="shared" si="384"/>
        <v/>
      </c>
      <c r="Z1613" s="586" t="str">
        <f t="shared" si="382"/>
        <v/>
      </c>
    </row>
    <row r="1614" spans="1:26" ht="23.25" hidden="1" thickBot="1" x14ac:dyDescent="0.25">
      <c r="A1614" s="567">
        <v>98267</v>
      </c>
      <c r="B1614" s="644">
        <v>98267</v>
      </c>
      <c r="C1614" s="645" t="s">
        <v>670</v>
      </c>
      <c r="D1614" s="422" t="s">
        <v>1460</v>
      </c>
      <c r="E1614" s="423"/>
      <c r="F1614" s="424"/>
      <c r="G1614" s="425"/>
      <c r="H1614" s="651"/>
      <c r="I1614" s="420">
        <v>11.95</v>
      </c>
      <c r="J1614" s="420">
        <f t="shared" si="381"/>
        <v>11.95</v>
      </c>
      <c r="K1614" s="421">
        <f t="shared" si="391"/>
        <v>14.2</v>
      </c>
      <c r="L1614" s="647" t="s">
        <v>79</v>
      </c>
      <c r="M1614" s="576"/>
      <c r="N1614" s="576">
        <f t="shared" si="383"/>
        <v>0</v>
      </c>
      <c r="O1614" s="577">
        <f t="shared" si="388"/>
        <v>0</v>
      </c>
      <c r="P1614" s="578">
        <f t="shared" si="389"/>
        <v>0</v>
      </c>
      <c r="Q1614" s="765"/>
      <c r="R1614" s="576">
        <f t="shared" si="385"/>
        <v>0</v>
      </c>
      <c r="S1614" s="576">
        <f t="shared" si="385"/>
        <v>0</v>
      </c>
      <c r="T1614" s="577">
        <f t="shared" si="386"/>
        <v>0</v>
      </c>
      <c r="U1614" s="578">
        <f t="shared" si="387"/>
        <v>0</v>
      </c>
      <c r="V1614" s="579"/>
      <c r="W1614" s="566"/>
      <c r="X1614" s="586" t="str">
        <f t="shared" si="390"/>
        <v/>
      </c>
      <c r="Y1614" s="586" t="str">
        <f t="shared" si="384"/>
        <v/>
      </c>
      <c r="Z1614" s="586" t="str">
        <f t="shared" si="382"/>
        <v/>
      </c>
    </row>
    <row r="1615" spans="1:26" ht="23.25" hidden="1" thickBot="1" x14ac:dyDescent="0.25">
      <c r="A1615" s="567">
        <v>98268</v>
      </c>
      <c r="B1615" s="644">
        <v>98268</v>
      </c>
      <c r="C1615" s="645" t="s">
        <v>670</v>
      </c>
      <c r="D1615" s="422" t="s">
        <v>1461</v>
      </c>
      <c r="E1615" s="423"/>
      <c r="F1615" s="424"/>
      <c r="G1615" s="425"/>
      <c r="H1615" s="651"/>
      <c r="I1615" s="420">
        <v>19.010000000000002</v>
      </c>
      <c r="J1615" s="420">
        <f t="shared" si="381"/>
        <v>19.010000000000002</v>
      </c>
      <c r="K1615" s="421">
        <f t="shared" si="391"/>
        <v>22.59</v>
      </c>
      <c r="L1615" s="647" t="s">
        <v>79</v>
      </c>
      <c r="M1615" s="576"/>
      <c r="N1615" s="576">
        <f t="shared" si="383"/>
        <v>0</v>
      </c>
      <c r="O1615" s="577">
        <f t="shared" si="388"/>
        <v>0</v>
      </c>
      <c r="P1615" s="578">
        <f t="shared" si="389"/>
        <v>0</v>
      </c>
      <c r="Q1615" s="765"/>
      <c r="R1615" s="576">
        <f t="shared" si="385"/>
        <v>0</v>
      </c>
      <c r="S1615" s="576">
        <f t="shared" si="385"/>
        <v>0</v>
      </c>
      <c r="T1615" s="577">
        <f t="shared" si="386"/>
        <v>0</v>
      </c>
      <c r="U1615" s="578">
        <f t="shared" si="387"/>
        <v>0</v>
      </c>
      <c r="V1615" s="579"/>
      <c r="W1615" s="566"/>
      <c r="X1615" s="586" t="str">
        <f t="shared" si="390"/>
        <v/>
      </c>
      <c r="Y1615" s="586" t="str">
        <f t="shared" si="384"/>
        <v/>
      </c>
      <c r="Z1615" s="586" t="str">
        <f t="shared" si="382"/>
        <v/>
      </c>
    </row>
    <row r="1616" spans="1:26" ht="23.25" hidden="1" thickBot="1" x14ac:dyDescent="0.25">
      <c r="A1616" s="567">
        <v>98269</v>
      </c>
      <c r="B1616" s="644">
        <v>98269</v>
      </c>
      <c r="C1616" s="645" t="s">
        <v>670</v>
      </c>
      <c r="D1616" s="422" t="s">
        <v>1462</v>
      </c>
      <c r="E1616" s="423"/>
      <c r="F1616" s="424"/>
      <c r="G1616" s="425"/>
      <c r="H1616" s="651"/>
      <c r="I1616" s="420">
        <v>25.84</v>
      </c>
      <c r="J1616" s="420">
        <f t="shared" si="381"/>
        <v>25.84</v>
      </c>
      <c r="K1616" s="421">
        <f t="shared" si="391"/>
        <v>30.7</v>
      </c>
      <c r="L1616" s="647" t="s">
        <v>79</v>
      </c>
      <c r="M1616" s="576"/>
      <c r="N1616" s="576">
        <f t="shared" si="383"/>
        <v>0</v>
      </c>
      <c r="O1616" s="577">
        <f t="shared" si="388"/>
        <v>0</v>
      </c>
      <c r="P1616" s="578">
        <f t="shared" si="389"/>
        <v>0</v>
      </c>
      <c r="Q1616" s="765"/>
      <c r="R1616" s="576">
        <f t="shared" si="385"/>
        <v>0</v>
      </c>
      <c r="S1616" s="576">
        <f t="shared" si="385"/>
        <v>0</v>
      </c>
      <c r="T1616" s="577">
        <f t="shared" si="386"/>
        <v>0</v>
      </c>
      <c r="U1616" s="578">
        <f t="shared" si="387"/>
        <v>0</v>
      </c>
      <c r="V1616" s="579"/>
      <c r="W1616" s="566"/>
      <c r="X1616" s="586" t="str">
        <f t="shared" si="390"/>
        <v/>
      </c>
      <c r="Y1616" s="586" t="str">
        <f t="shared" si="384"/>
        <v/>
      </c>
      <c r="Z1616" s="586" t="str">
        <f t="shared" si="382"/>
        <v/>
      </c>
    </row>
    <row r="1617" spans="1:26" ht="23.25" hidden="1" thickBot="1" x14ac:dyDescent="0.25">
      <c r="A1617" s="567">
        <v>98270</v>
      </c>
      <c r="B1617" s="644">
        <v>98270</v>
      </c>
      <c r="C1617" s="645" t="s">
        <v>670</v>
      </c>
      <c r="D1617" s="422" t="s">
        <v>1463</v>
      </c>
      <c r="E1617" s="423"/>
      <c r="F1617" s="424"/>
      <c r="G1617" s="425"/>
      <c r="H1617" s="651"/>
      <c r="I1617" s="420">
        <v>38.770000000000003</v>
      </c>
      <c r="J1617" s="420">
        <f t="shared" si="381"/>
        <v>38.770000000000003</v>
      </c>
      <c r="K1617" s="421">
        <f t="shared" si="391"/>
        <v>46.06</v>
      </c>
      <c r="L1617" s="647" t="s">
        <v>79</v>
      </c>
      <c r="M1617" s="576"/>
      <c r="N1617" s="576">
        <f t="shared" si="383"/>
        <v>0</v>
      </c>
      <c r="O1617" s="577">
        <f t="shared" si="388"/>
        <v>0</v>
      </c>
      <c r="P1617" s="578">
        <f t="shared" si="389"/>
        <v>0</v>
      </c>
      <c r="Q1617" s="765"/>
      <c r="R1617" s="576">
        <f t="shared" si="385"/>
        <v>0</v>
      </c>
      <c r="S1617" s="576">
        <f t="shared" si="385"/>
        <v>0</v>
      </c>
      <c r="T1617" s="577">
        <f t="shared" si="386"/>
        <v>0</v>
      </c>
      <c r="U1617" s="578">
        <f t="shared" si="387"/>
        <v>0</v>
      </c>
      <c r="V1617" s="579"/>
      <c r="W1617" s="566"/>
      <c r="X1617" s="586" t="str">
        <f t="shared" si="390"/>
        <v/>
      </c>
      <c r="Y1617" s="586" t="str">
        <f t="shared" si="384"/>
        <v/>
      </c>
      <c r="Z1617" s="586" t="str">
        <f t="shared" si="382"/>
        <v/>
      </c>
    </row>
    <row r="1618" spans="1:26" ht="23.25" hidden="1" thickBot="1" x14ac:dyDescent="0.25">
      <c r="A1618" s="567">
        <v>98271</v>
      </c>
      <c r="B1618" s="644">
        <v>98271</v>
      </c>
      <c r="C1618" s="645" t="s">
        <v>670</v>
      </c>
      <c r="D1618" s="422" t="s">
        <v>1464</v>
      </c>
      <c r="E1618" s="423"/>
      <c r="F1618" s="424"/>
      <c r="G1618" s="425"/>
      <c r="H1618" s="651"/>
      <c r="I1618" s="420">
        <v>54.34</v>
      </c>
      <c r="J1618" s="420">
        <f t="shared" si="381"/>
        <v>54.34</v>
      </c>
      <c r="K1618" s="421">
        <f t="shared" si="391"/>
        <v>64.56</v>
      </c>
      <c r="L1618" s="647" t="s">
        <v>79</v>
      </c>
      <c r="M1618" s="576"/>
      <c r="N1618" s="576">
        <f t="shared" si="383"/>
        <v>0</v>
      </c>
      <c r="O1618" s="577">
        <f t="shared" si="388"/>
        <v>0</v>
      </c>
      <c r="P1618" s="578">
        <f t="shared" si="389"/>
        <v>0</v>
      </c>
      <c r="Q1618" s="765"/>
      <c r="R1618" s="576">
        <f t="shared" si="385"/>
        <v>0</v>
      </c>
      <c r="S1618" s="576">
        <f t="shared" si="385"/>
        <v>0</v>
      </c>
      <c r="T1618" s="577">
        <f t="shared" si="386"/>
        <v>0</v>
      </c>
      <c r="U1618" s="578">
        <f t="shared" si="387"/>
        <v>0</v>
      </c>
      <c r="V1618" s="579"/>
      <c r="W1618" s="566"/>
      <c r="X1618" s="586" t="str">
        <f t="shared" si="390"/>
        <v/>
      </c>
      <c r="Y1618" s="586" t="str">
        <f t="shared" si="384"/>
        <v/>
      </c>
      <c r="Z1618" s="586" t="str">
        <f t="shared" si="382"/>
        <v/>
      </c>
    </row>
    <row r="1619" spans="1:26" ht="23.25" hidden="1" thickBot="1" x14ac:dyDescent="0.25">
      <c r="A1619" s="567">
        <v>98272</v>
      </c>
      <c r="B1619" s="644">
        <v>98272</v>
      </c>
      <c r="C1619" s="645" t="s">
        <v>670</v>
      </c>
      <c r="D1619" s="422" t="s">
        <v>1465</v>
      </c>
      <c r="E1619" s="423"/>
      <c r="F1619" s="424"/>
      <c r="G1619" s="425"/>
      <c r="H1619" s="651"/>
      <c r="I1619" s="420">
        <v>124.06</v>
      </c>
      <c r="J1619" s="420">
        <f t="shared" ref="J1619:J1655" si="392">IF(ISBLANK(I1619),"",SUM(H1619:I1619))</f>
        <v>124.06</v>
      </c>
      <c r="K1619" s="421">
        <f t="shared" si="391"/>
        <v>147.4</v>
      </c>
      <c r="L1619" s="647" t="s">
        <v>79</v>
      </c>
      <c r="M1619" s="576"/>
      <c r="N1619" s="576">
        <f t="shared" si="383"/>
        <v>0</v>
      </c>
      <c r="O1619" s="577">
        <f t="shared" si="388"/>
        <v>0</v>
      </c>
      <c r="P1619" s="578">
        <f t="shared" si="389"/>
        <v>0</v>
      </c>
      <c r="Q1619" s="765"/>
      <c r="R1619" s="576">
        <f t="shared" si="385"/>
        <v>0</v>
      </c>
      <c r="S1619" s="576">
        <f t="shared" si="385"/>
        <v>0</v>
      </c>
      <c r="T1619" s="577">
        <f t="shared" si="386"/>
        <v>0</v>
      </c>
      <c r="U1619" s="578">
        <f t="shared" si="387"/>
        <v>0</v>
      </c>
      <c r="V1619" s="579"/>
      <c r="W1619" s="566"/>
      <c r="X1619" s="586" t="str">
        <f t="shared" si="390"/>
        <v/>
      </c>
      <c r="Y1619" s="586" t="str">
        <f t="shared" si="384"/>
        <v/>
      </c>
      <c r="Z1619" s="586" t="str">
        <f t="shared" ref="Z1619:Z1682" si="393">IF(W1619="X","x",IF(U1619&gt;0,"x",""))</f>
        <v/>
      </c>
    </row>
    <row r="1620" spans="1:26" ht="23.25" hidden="1" thickBot="1" x14ac:dyDescent="0.25">
      <c r="A1620" s="567">
        <v>98276</v>
      </c>
      <c r="B1620" s="644">
        <v>98276</v>
      </c>
      <c r="C1620" s="645" t="s">
        <v>670</v>
      </c>
      <c r="D1620" s="422" t="s">
        <v>1466</v>
      </c>
      <c r="E1620" s="423"/>
      <c r="F1620" s="424"/>
      <c r="G1620" s="425"/>
      <c r="H1620" s="651"/>
      <c r="I1620" s="420">
        <v>8.8000000000000007</v>
      </c>
      <c r="J1620" s="420">
        <f t="shared" si="392"/>
        <v>8.8000000000000007</v>
      </c>
      <c r="K1620" s="421">
        <f t="shared" si="391"/>
        <v>10.46</v>
      </c>
      <c r="L1620" s="647" t="s">
        <v>79</v>
      </c>
      <c r="M1620" s="576"/>
      <c r="N1620" s="576">
        <f t="shared" ref="N1620:N1683" si="394">IF(M1620=0,0,K1620)</f>
        <v>0</v>
      </c>
      <c r="O1620" s="577">
        <f t="shared" si="388"/>
        <v>0</v>
      </c>
      <c r="P1620" s="578">
        <f t="shared" si="389"/>
        <v>0</v>
      </c>
      <c r="Q1620" s="765"/>
      <c r="R1620" s="576">
        <f t="shared" si="385"/>
        <v>0</v>
      </c>
      <c r="S1620" s="576">
        <f t="shared" si="385"/>
        <v>0</v>
      </c>
      <c r="T1620" s="577">
        <f t="shared" si="386"/>
        <v>0</v>
      </c>
      <c r="U1620" s="578">
        <f t="shared" si="387"/>
        <v>0</v>
      </c>
      <c r="V1620" s="579"/>
      <c r="W1620" s="566"/>
      <c r="X1620" s="586" t="str">
        <f t="shared" si="390"/>
        <v/>
      </c>
      <c r="Y1620" s="586" t="str">
        <f t="shared" si="384"/>
        <v/>
      </c>
      <c r="Z1620" s="586" t="str">
        <f t="shared" si="393"/>
        <v/>
      </c>
    </row>
    <row r="1621" spans="1:26" ht="23.25" hidden="1" thickBot="1" x14ac:dyDescent="0.25">
      <c r="A1621" s="567">
        <v>98277</v>
      </c>
      <c r="B1621" s="644">
        <v>98277</v>
      </c>
      <c r="C1621" s="645" t="s">
        <v>670</v>
      </c>
      <c r="D1621" s="422" t="s">
        <v>1467</v>
      </c>
      <c r="E1621" s="423"/>
      <c r="F1621" s="424"/>
      <c r="G1621" s="425"/>
      <c r="H1621" s="651"/>
      <c r="I1621" s="420">
        <v>15.87</v>
      </c>
      <c r="J1621" s="420">
        <f t="shared" si="392"/>
        <v>15.87</v>
      </c>
      <c r="K1621" s="421">
        <f t="shared" si="391"/>
        <v>18.86</v>
      </c>
      <c r="L1621" s="647" t="s">
        <v>79</v>
      </c>
      <c r="M1621" s="576"/>
      <c r="N1621" s="576">
        <f t="shared" si="394"/>
        <v>0</v>
      </c>
      <c r="O1621" s="577">
        <f t="shared" si="388"/>
        <v>0</v>
      </c>
      <c r="P1621" s="578">
        <f t="shared" si="389"/>
        <v>0</v>
      </c>
      <c r="Q1621" s="765"/>
      <c r="R1621" s="576">
        <f t="shared" si="385"/>
        <v>0</v>
      </c>
      <c r="S1621" s="576">
        <f t="shared" si="385"/>
        <v>0</v>
      </c>
      <c r="T1621" s="577">
        <f t="shared" si="386"/>
        <v>0</v>
      </c>
      <c r="U1621" s="578">
        <f t="shared" si="387"/>
        <v>0</v>
      </c>
      <c r="V1621" s="579"/>
      <c r="W1621" s="566"/>
      <c r="X1621" s="586" t="str">
        <f t="shared" si="390"/>
        <v/>
      </c>
      <c r="Y1621" s="586" t="str">
        <f t="shared" si="384"/>
        <v/>
      </c>
      <c r="Z1621" s="586" t="str">
        <f t="shared" si="393"/>
        <v/>
      </c>
    </row>
    <row r="1622" spans="1:26" ht="23.25" hidden="1" thickBot="1" x14ac:dyDescent="0.25">
      <c r="A1622" s="567">
        <v>98278</v>
      </c>
      <c r="B1622" s="644">
        <v>98278</v>
      </c>
      <c r="C1622" s="645" t="s">
        <v>670</v>
      </c>
      <c r="D1622" s="422" t="s">
        <v>1468</v>
      </c>
      <c r="E1622" s="423"/>
      <c r="F1622" s="424"/>
      <c r="G1622" s="425"/>
      <c r="H1622" s="651"/>
      <c r="I1622" s="420">
        <v>22.71</v>
      </c>
      <c r="J1622" s="420">
        <f t="shared" si="392"/>
        <v>22.71</v>
      </c>
      <c r="K1622" s="421">
        <f t="shared" si="391"/>
        <v>26.98</v>
      </c>
      <c r="L1622" s="647" t="s">
        <v>79</v>
      </c>
      <c r="M1622" s="576"/>
      <c r="N1622" s="576">
        <f t="shared" si="394"/>
        <v>0</v>
      </c>
      <c r="O1622" s="577">
        <f t="shared" si="388"/>
        <v>0</v>
      </c>
      <c r="P1622" s="578">
        <f t="shared" si="389"/>
        <v>0</v>
      </c>
      <c r="Q1622" s="765"/>
      <c r="R1622" s="576">
        <f t="shared" si="385"/>
        <v>0</v>
      </c>
      <c r="S1622" s="576">
        <f t="shared" si="385"/>
        <v>0</v>
      </c>
      <c r="T1622" s="577">
        <f t="shared" si="386"/>
        <v>0</v>
      </c>
      <c r="U1622" s="578">
        <f t="shared" si="387"/>
        <v>0</v>
      </c>
      <c r="V1622" s="579"/>
      <c r="W1622" s="566"/>
      <c r="X1622" s="586" t="str">
        <f t="shared" si="390"/>
        <v/>
      </c>
      <c r="Y1622" s="586" t="str">
        <f t="shared" si="384"/>
        <v/>
      </c>
      <c r="Z1622" s="586" t="str">
        <f t="shared" si="393"/>
        <v/>
      </c>
    </row>
    <row r="1623" spans="1:26" ht="23.25" hidden="1" thickBot="1" x14ac:dyDescent="0.25">
      <c r="A1623" s="567">
        <v>98279</v>
      </c>
      <c r="B1623" s="644">
        <v>98279</v>
      </c>
      <c r="C1623" s="645" t="s">
        <v>670</v>
      </c>
      <c r="D1623" s="422" t="s">
        <v>1469</v>
      </c>
      <c r="E1623" s="423"/>
      <c r="F1623" s="424"/>
      <c r="G1623" s="425"/>
      <c r="H1623" s="651"/>
      <c r="I1623" s="420">
        <v>35.619999999999997</v>
      </c>
      <c r="J1623" s="420">
        <f t="shared" si="392"/>
        <v>35.619999999999997</v>
      </c>
      <c r="K1623" s="421">
        <f t="shared" si="391"/>
        <v>42.32</v>
      </c>
      <c r="L1623" s="647" t="s">
        <v>79</v>
      </c>
      <c r="M1623" s="576"/>
      <c r="N1623" s="576">
        <f t="shared" si="394"/>
        <v>0</v>
      </c>
      <c r="O1623" s="577">
        <f t="shared" si="388"/>
        <v>0</v>
      </c>
      <c r="P1623" s="578">
        <f t="shared" si="389"/>
        <v>0</v>
      </c>
      <c r="Q1623" s="765"/>
      <c r="R1623" s="576">
        <f t="shared" si="385"/>
        <v>0</v>
      </c>
      <c r="S1623" s="576">
        <f t="shared" si="385"/>
        <v>0</v>
      </c>
      <c r="T1623" s="577">
        <f t="shared" si="386"/>
        <v>0</v>
      </c>
      <c r="U1623" s="578">
        <f t="shared" si="387"/>
        <v>0</v>
      </c>
      <c r="V1623" s="579"/>
      <c r="W1623" s="566"/>
      <c r="X1623" s="586" t="str">
        <f t="shared" si="390"/>
        <v/>
      </c>
      <c r="Y1623" s="586" t="str">
        <f t="shared" si="384"/>
        <v/>
      </c>
      <c r="Z1623" s="586" t="str">
        <f t="shared" si="393"/>
        <v/>
      </c>
    </row>
    <row r="1624" spans="1:26" ht="23.25" hidden="1" thickBot="1" x14ac:dyDescent="0.25">
      <c r="A1624" s="567">
        <v>98286</v>
      </c>
      <c r="B1624" s="644">
        <v>98286</v>
      </c>
      <c r="C1624" s="645" t="s">
        <v>670</v>
      </c>
      <c r="D1624" s="422" t="s">
        <v>1470</v>
      </c>
      <c r="E1624" s="423"/>
      <c r="F1624" s="424"/>
      <c r="G1624" s="425"/>
      <c r="H1624" s="651"/>
      <c r="I1624" s="420">
        <v>15.99</v>
      </c>
      <c r="J1624" s="420">
        <f t="shared" si="392"/>
        <v>15.99</v>
      </c>
      <c r="K1624" s="421">
        <f t="shared" si="391"/>
        <v>19</v>
      </c>
      <c r="L1624" s="647" t="s">
        <v>79</v>
      </c>
      <c r="M1624" s="576"/>
      <c r="N1624" s="576">
        <f t="shared" si="394"/>
        <v>0</v>
      </c>
      <c r="O1624" s="577">
        <f t="shared" si="388"/>
        <v>0</v>
      </c>
      <c r="P1624" s="578">
        <f t="shared" si="389"/>
        <v>0</v>
      </c>
      <c r="Q1624" s="765"/>
      <c r="R1624" s="576">
        <f t="shared" si="385"/>
        <v>0</v>
      </c>
      <c r="S1624" s="576">
        <f t="shared" si="385"/>
        <v>0</v>
      </c>
      <c r="T1624" s="577">
        <f t="shared" si="386"/>
        <v>0</v>
      </c>
      <c r="U1624" s="578">
        <f t="shared" si="387"/>
        <v>0</v>
      </c>
      <c r="V1624" s="579"/>
      <c r="W1624" s="566"/>
      <c r="X1624" s="586" t="str">
        <f t="shared" si="390"/>
        <v/>
      </c>
      <c r="Y1624" s="586" t="str">
        <f t="shared" si="384"/>
        <v/>
      </c>
      <c r="Z1624" s="586" t="str">
        <f t="shared" si="393"/>
        <v/>
      </c>
    </row>
    <row r="1625" spans="1:26" ht="23.25" hidden="1" thickBot="1" x14ac:dyDescent="0.25">
      <c r="A1625" s="567">
        <v>98293</v>
      </c>
      <c r="B1625" s="644">
        <v>98293</v>
      </c>
      <c r="C1625" s="645" t="s">
        <v>670</v>
      </c>
      <c r="D1625" s="422" t="s">
        <v>1471</v>
      </c>
      <c r="E1625" s="423"/>
      <c r="F1625" s="424"/>
      <c r="G1625" s="425"/>
      <c r="H1625" s="651"/>
      <c r="I1625" s="420">
        <v>9.52</v>
      </c>
      <c r="J1625" s="420">
        <f t="shared" si="392"/>
        <v>9.52</v>
      </c>
      <c r="K1625" s="421">
        <f t="shared" si="391"/>
        <v>11.31</v>
      </c>
      <c r="L1625" s="647" t="s">
        <v>79</v>
      </c>
      <c r="M1625" s="576"/>
      <c r="N1625" s="576">
        <f t="shared" si="394"/>
        <v>0</v>
      </c>
      <c r="O1625" s="577">
        <f t="shared" si="388"/>
        <v>0</v>
      </c>
      <c r="P1625" s="578">
        <f t="shared" si="389"/>
        <v>0</v>
      </c>
      <c r="Q1625" s="765"/>
      <c r="R1625" s="576">
        <f t="shared" si="385"/>
        <v>0</v>
      </c>
      <c r="S1625" s="576">
        <f t="shared" si="385"/>
        <v>0</v>
      </c>
      <c r="T1625" s="577">
        <f t="shared" si="386"/>
        <v>0</v>
      </c>
      <c r="U1625" s="578">
        <f t="shared" si="387"/>
        <v>0</v>
      </c>
      <c r="V1625" s="579"/>
      <c r="W1625" s="566"/>
      <c r="X1625" s="586" t="str">
        <f t="shared" si="390"/>
        <v/>
      </c>
      <c r="Y1625" s="586" t="str">
        <f t="shared" si="384"/>
        <v/>
      </c>
      <c r="Z1625" s="586" t="str">
        <f t="shared" si="393"/>
        <v/>
      </c>
    </row>
    <row r="1626" spans="1:26" ht="23.25" hidden="1" thickBot="1" x14ac:dyDescent="0.25">
      <c r="A1626" s="567">
        <v>98261</v>
      </c>
      <c r="B1626" s="644">
        <v>98261</v>
      </c>
      <c r="C1626" s="645" t="s">
        <v>670</v>
      </c>
      <c r="D1626" s="422" t="s">
        <v>1472</v>
      </c>
      <c r="E1626" s="423"/>
      <c r="F1626" s="424"/>
      <c r="G1626" s="425"/>
      <c r="H1626" s="651"/>
      <c r="I1626" s="420">
        <v>4</v>
      </c>
      <c r="J1626" s="420">
        <f t="shared" si="392"/>
        <v>4</v>
      </c>
      <c r="K1626" s="421">
        <f t="shared" si="391"/>
        <v>4.75</v>
      </c>
      <c r="L1626" s="647" t="s">
        <v>79</v>
      </c>
      <c r="M1626" s="576"/>
      <c r="N1626" s="576">
        <f t="shared" si="394"/>
        <v>0</v>
      </c>
      <c r="O1626" s="577">
        <f t="shared" si="388"/>
        <v>0</v>
      </c>
      <c r="P1626" s="578">
        <f t="shared" si="389"/>
        <v>0</v>
      </c>
      <c r="Q1626" s="765"/>
      <c r="R1626" s="576">
        <f t="shared" si="385"/>
        <v>0</v>
      </c>
      <c r="S1626" s="576">
        <f t="shared" si="385"/>
        <v>0</v>
      </c>
      <c r="T1626" s="577">
        <f t="shared" si="386"/>
        <v>0</v>
      </c>
      <c r="U1626" s="578">
        <f t="shared" si="387"/>
        <v>0</v>
      </c>
      <c r="V1626" s="579"/>
      <c r="W1626" s="566"/>
      <c r="X1626" s="586" t="str">
        <f t="shared" si="390"/>
        <v/>
      </c>
      <c r="Y1626" s="586" t="str">
        <f t="shared" si="384"/>
        <v/>
      </c>
      <c r="Z1626" s="586" t="str">
        <f t="shared" si="393"/>
        <v/>
      </c>
    </row>
    <row r="1627" spans="1:26" ht="23.25" hidden="1" thickBot="1" x14ac:dyDescent="0.25">
      <c r="A1627" s="567">
        <v>98262</v>
      </c>
      <c r="B1627" s="644">
        <v>98262</v>
      </c>
      <c r="C1627" s="645" t="s">
        <v>670</v>
      </c>
      <c r="D1627" s="422" t="s">
        <v>1473</v>
      </c>
      <c r="E1627" s="423"/>
      <c r="F1627" s="424"/>
      <c r="G1627" s="425"/>
      <c r="H1627" s="651"/>
      <c r="I1627" s="420">
        <v>4.8899999999999997</v>
      </c>
      <c r="J1627" s="420">
        <f t="shared" si="392"/>
        <v>4.8899999999999997</v>
      </c>
      <c r="K1627" s="421">
        <f t="shared" si="391"/>
        <v>5.81</v>
      </c>
      <c r="L1627" s="647" t="s">
        <v>79</v>
      </c>
      <c r="M1627" s="576"/>
      <c r="N1627" s="576">
        <f t="shared" si="394"/>
        <v>0</v>
      </c>
      <c r="O1627" s="577">
        <f t="shared" si="388"/>
        <v>0</v>
      </c>
      <c r="P1627" s="578">
        <f t="shared" si="389"/>
        <v>0</v>
      </c>
      <c r="Q1627" s="765"/>
      <c r="R1627" s="576">
        <f t="shared" si="385"/>
        <v>0</v>
      </c>
      <c r="S1627" s="576">
        <f t="shared" si="385"/>
        <v>0</v>
      </c>
      <c r="T1627" s="577">
        <f t="shared" si="386"/>
        <v>0</v>
      </c>
      <c r="U1627" s="578">
        <f t="shared" si="387"/>
        <v>0</v>
      </c>
      <c r="V1627" s="579"/>
      <c r="W1627" s="566"/>
      <c r="X1627" s="586" t="str">
        <f t="shared" si="390"/>
        <v/>
      </c>
      <c r="Y1627" s="586" t="str">
        <f t="shared" si="384"/>
        <v/>
      </c>
      <c r="Z1627" s="586" t="str">
        <f t="shared" si="393"/>
        <v/>
      </c>
    </row>
    <row r="1628" spans="1:26" ht="23.25" hidden="1" thickBot="1" x14ac:dyDescent="0.25">
      <c r="A1628" s="567">
        <v>98263</v>
      </c>
      <c r="B1628" s="644">
        <v>98263</v>
      </c>
      <c r="C1628" s="645" t="s">
        <v>670</v>
      </c>
      <c r="D1628" s="422" t="s">
        <v>1474</v>
      </c>
      <c r="E1628" s="423"/>
      <c r="F1628" s="424"/>
      <c r="G1628" s="425"/>
      <c r="H1628" s="651"/>
      <c r="I1628" s="420">
        <v>5.12</v>
      </c>
      <c r="J1628" s="420">
        <f t="shared" si="392"/>
        <v>5.12</v>
      </c>
      <c r="K1628" s="421">
        <f t="shared" si="391"/>
        <v>6.08</v>
      </c>
      <c r="L1628" s="647" t="s">
        <v>79</v>
      </c>
      <c r="M1628" s="576"/>
      <c r="N1628" s="576">
        <f t="shared" si="394"/>
        <v>0</v>
      </c>
      <c r="O1628" s="577">
        <f t="shared" si="388"/>
        <v>0</v>
      </c>
      <c r="P1628" s="578">
        <f t="shared" si="389"/>
        <v>0</v>
      </c>
      <c r="Q1628" s="765"/>
      <c r="R1628" s="576">
        <f t="shared" si="385"/>
        <v>0</v>
      </c>
      <c r="S1628" s="576">
        <f t="shared" si="385"/>
        <v>0</v>
      </c>
      <c r="T1628" s="577">
        <f t="shared" si="386"/>
        <v>0</v>
      </c>
      <c r="U1628" s="578">
        <f t="shared" si="387"/>
        <v>0</v>
      </c>
      <c r="V1628" s="579"/>
      <c r="W1628" s="566"/>
      <c r="X1628" s="586" t="str">
        <f t="shared" si="390"/>
        <v/>
      </c>
      <c r="Y1628" s="586" t="str">
        <f t="shared" si="384"/>
        <v/>
      </c>
      <c r="Z1628" s="586" t="str">
        <f t="shared" si="393"/>
        <v/>
      </c>
    </row>
    <row r="1629" spans="1:26" ht="23.25" hidden="1" thickBot="1" x14ac:dyDescent="0.25">
      <c r="A1629" s="567">
        <v>98264</v>
      </c>
      <c r="B1629" s="644">
        <v>98264</v>
      </c>
      <c r="C1629" s="645" t="s">
        <v>670</v>
      </c>
      <c r="D1629" s="422" t="s">
        <v>1475</v>
      </c>
      <c r="E1629" s="423"/>
      <c r="F1629" s="424"/>
      <c r="G1629" s="425"/>
      <c r="H1629" s="651"/>
      <c r="I1629" s="420">
        <v>6.09</v>
      </c>
      <c r="J1629" s="420">
        <f t="shared" si="392"/>
        <v>6.09</v>
      </c>
      <c r="K1629" s="421">
        <f t="shared" si="391"/>
        <v>7.24</v>
      </c>
      <c r="L1629" s="647" t="s">
        <v>79</v>
      </c>
      <c r="M1629" s="576"/>
      <c r="N1629" s="576">
        <f t="shared" si="394"/>
        <v>0</v>
      </c>
      <c r="O1629" s="577">
        <f t="shared" si="388"/>
        <v>0</v>
      </c>
      <c r="P1629" s="578">
        <f t="shared" si="389"/>
        <v>0</v>
      </c>
      <c r="Q1629" s="765"/>
      <c r="R1629" s="576">
        <f t="shared" si="385"/>
        <v>0</v>
      </c>
      <c r="S1629" s="576">
        <f t="shared" si="385"/>
        <v>0</v>
      </c>
      <c r="T1629" s="577">
        <f t="shared" si="386"/>
        <v>0</v>
      </c>
      <c r="U1629" s="578">
        <f t="shared" si="387"/>
        <v>0</v>
      </c>
      <c r="V1629" s="579"/>
      <c r="W1629" s="566"/>
      <c r="X1629" s="586" t="str">
        <f t="shared" si="390"/>
        <v/>
      </c>
      <c r="Y1629" s="586" t="str">
        <f t="shared" si="384"/>
        <v/>
      </c>
      <c r="Z1629" s="586" t="str">
        <f t="shared" si="393"/>
        <v/>
      </c>
    </row>
    <row r="1630" spans="1:26" ht="23.25" hidden="1" thickBot="1" x14ac:dyDescent="0.25">
      <c r="A1630" s="567">
        <v>98265</v>
      </c>
      <c r="B1630" s="644">
        <v>98265</v>
      </c>
      <c r="C1630" s="645" t="s">
        <v>670</v>
      </c>
      <c r="D1630" s="422" t="s">
        <v>1476</v>
      </c>
      <c r="E1630" s="423"/>
      <c r="F1630" s="424"/>
      <c r="G1630" s="425"/>
      <c r="H1630" s="651"/>
      <c r="I1630" s="420">
        <v>6.72</v>
      </c>
      <c r="J1630" s="420">
        <f t="shared" si="392"/>
        <v>6.72</v>
      </c>
      <c r="K1630" s="421">
        <f t="shared" si="391"/>
        <v>7.98</v>
      </c>
      <c r="L1630" s="647" t="s">
        <v>79</v>
      </c>
      <c r="M1630" s="576"/>
      <c r="N1630" s="576">
        <f t="shared" si="394"/>
        <v>0</v>
      </c>
      <c r="O1630" s="577">
        <f t="shared" si="388"/>
        <v>0</v>
      </c>
      <c r="P1630" s="578">
        <f t="shared" si="389"/>
        <v>0</v>
      </c>
      <c r="Q1630" s="765"/>
      <c r="R1630" s="576">
        <f t="shared" si="385"/>
        <v>0</v>
      </c>
      <c r="S1630" s="576">
        <f t="shared" si="385"/>
        <v>0</v>
      </c>
      <c r="T1630" s="577">
        <f t="shared" si="386"/>
        <v>0</v>
      </c>
      <c r="U1630" s="578">
        <f t="shared" si="387"/>
        <v>0</v>
      </c>
      <c r="V1630" s="579"/>
      <c r="W1630" s="566"/>
      <c r="X1630" s="586" t="str">
        <f t="shared" si="390"/>
        <v/>
      </c>
      <c r="Y1630" s="586" t="str">
        <f t="shared" si="384"/>
        <v/>
      </c>
      <c r="Z1630" s="586" t="str">
        <f t="shared" si="393"/>
        <v/>
      </c>
    </row>
    <row r="1631" spans="1:26" ht="23.25" hidden="1" thickBot="1" x14ac:dyDescent="0.25">
      <c r="A1631" s="567">
        <v>98266</v>
      </c>
      <c r="B1631" s="644">
        <v>98266</v>
      </c>
      <c r="C1631" s="645" t="s">
        <v>670</v>
      </c>
      <c r="D1631" s="422" t="s">
        <v>1477</v>
      </c>
      <c r="E1631" s="423"/>
      <c r="F1631" s="424"/>
      <c r="G1631" s="425"/>
      <c r="H1631" s="651"/>
      <c r="I1631" s="420">
        <v>7.6</v>
      </c>
      <c r="J1631" s="420">
        <f t="shared" si="392"/>
        <v>7.6</v>
      </c>
      <c r="K1631" s="421">
        <f t="shared" si="391"/>
        <v>9.0299999999999994</v>
      </c>
      <c r="L1631" s="647" t="s">
        <v>79</v>
      </c>
      <c r="M1631" s="576"/>
      <c r="N1631" s="576">
        <f t="shared" si="394"/>
        <v>0</v>
      </c>
      <c r="O1631" s="577">
        <f t="shared" si="388"/>
        <v>0</v>
      </c>
      <c r="P1631" s="578">
        <f t="shared" si="389"/>
        <v>0</v>
      </c>
      <c r="Q1631" s="765"/>
      <c r="R1631" s="576">
        <f t="shared" si="385"/>
        <v>0</v>
      </c>
      <c r="S1631" s="576">
        <f t="shared" si="385"/>
        <v>0</v>
      </c>
      <c r="T1631" s="577">
        <f t="shared" si="386"/>
        <v>0</v>
      </c>
      <c r="U1631" s="578">
        <f t="shared" si="387"/>
        <v>0</v>
      </c>
      <c r="V1631" s="579"/>
      <c r="W1631" s="566"/>
      <c r="X1631" s="586" t="str">
        <f t="shared" si="390"/>
        <v/>
      </c>
      <c r="Y1631" s="586" t="str">
        <f t="shared" si="384"/>
        <v/>
      </c>
      <c r="Z1631" s="586" t="str">
        <f t="shared" si="393"/>
        <v/>
      </c>
    </row>
    <row r="1632" spans="1:26" ht="23.25" hidden="1" thickBot="1" x14ac:dyDescent="0.25">
      <c r="A1632" s="567">
        <v>98273</v>
      </c>
      <c r="B1632" s="644">
        <v>98273</v>
      </c>
      <c r="C1632" s="645" t="s">
        <v>670</v>
      </c>
      <c r="D1632" s="422" t="s">
        <v>1478</v>
      </c>
      <c r="E1632" s="423"/>
      <c r="F1632" s="424"/>
      <c r="G1632" s="425"/>
      <c r="H1632" s="651"/>
      <c r="I1632" s="420">
        <v>2.95</v>
      </c>
      <c r="J1632" s="420">
        <f t="shared" si="392"/>
        <v>2.95</v>
      </c>
      <c r="K1632" s="421">
        <f t="shared" si="391"/>
        <v>3.5</v>
      </c>
      <c r="L1632" s="647" t="s">
        <v>79</v>
      </c>
      <c r="M1632" s="576"/>
      <c r="N1632" s="576">
        <f t="shared" si="394"/>
        <v>0</v>
      </c>
      <c r="O1632" s="577">
        <f t="shared" si="388"/>
        <v>0</v>
      </c>
      <c r="P1632" s="578">
        <f t="shared" si="389"/>
        <v>0</v>
      </c>
      <c r="Q1632" s="765"/>
      <c r="R1632" s="576">
        <f t="shared" si="385"/>
        <v>0</v>
      </c>
      <c r="S1632" s="576">
        <f t="shared" si="385"/>
        <v>0</v>
      </c>
      <c r="T1632" s="577">
        <f t="shared" si="386"/>
        <v>0</v>
      </c>
      <c r="U1632" s="578">
        <f t="shared" si="387"/>
        <v>0</v>
      </c>
      <c r="V1632" s="579"/>
      <c r="W1632" s="566"/>
      <c r="X1632" s="586" t="str">
        <f t="shared" si="390"/>
        <v/>
      </c>
      <c r="Y1632" s="586" t="str">
        <f t="shared" si="384"/>
        <v/>
      </c>
      <c r="Z1632" s="586" t="str">
        <f t="shared" si="393"/>
        <v/>
      </c>
    </row>
    <row r="1633" spans="1:26" ht="23.25" hidden="1" thickBot="1" x14ac:dyDescent="0.25">
      <c r="A1633" s="567">
        <v>98274</v>
      </c>
      <c r="B1633" s="644">
        <v>98274</v>
      </c>
      <c r="C1633" s="645" t="s">
        <v>670</v>
      </c>
      <c r="D1633" s="422" t="s">
        <v>1479</v>
      </c>
      <c r="E1633" s="423"/>
      <c r="F1633" s="424"/>
      <c r="G1633" s="425"/>
      <c r="H1633" s="651"/>
      <c r="I1633" s="420">
        <v>3.57</v>
      </c>
      <c r="J1633" s="420">
        <f t="shared" si="392"/>
        <v>3.57</v>
      </c>
      <c r="K1633" s="421">
        <f t="shared" si="391"/>
        <v>4.24</v>
      </c>
      <c r="L1633" s="647" t="s">
        <v>79</v>
      </c>
      <c r="M1633" s="576"/>
      <c r="N1633" s="576">
        <f t="shared" si="394"/>
        <v>0</v>
      </c>
      <c r="O1633" s="577">
        <f t="shared" si="388"/>
        <v>0</v>
      </c>
      <c r="P1633" s="578">
        <f t="shared" si="389"/>
        <v>0</v>
      </c>
      <c r="Q1633" s="765"/>
      <c r="R1633" s="576">
        <f t="shared" si="385"/>
        <v>0</v>
      </c>
      <c r="S1633" s="576">
        <f t="shared" si="385"/>
        <v>0</v>
      </c>
      <c r="T1633" s="577">
        <f t="shared" si="386"/>
        <v>0</v>
      </c>
      <c r="U1633" s="578">
        <f t="shared" si="387"/>
        <v>0</v>
      </c>
      <c r="V1633" s="579"/>
      <c r="W1633" s="566"/>
      <c r="X1633" s="586" t="str">
        <f t="shared" si="390"/>
        <v/>
      </c>
      <c r="Y1633" s="586" t="str">
        <f t="shared" si="384"/>
        <v/>
      </c>
      <c r="Z1633" s="586" t="str">
        <f t="shared" si="393"/>
        <v/>
      </c>
    </row>
    <row r="1634" spans="1:26" ht="23.25" hidden="1" thickBot="1" x14ac:dyDescent="0.25">
      <c r="A1634" s="567">
        <v>98275</v>
      </c>
      <c r="B1634" s="644">
        <v>98275</v>
      </c>
      <c r="C1634" s="645" t="s">
        <v>670</v>
      </c>
      <c r="D1634" s="422" t="s">
        <v>1480</v>
      </c>
      <c r="E1634" s="423"/>
      <c r="F1634" s="424"/>
      <c r="G1634" s="425"/>
      <c r="H1634" s="651"/>
      <c r="I1634" s="420">
        <v>4.45</v>
      </c>
      <c r="J1634" s="420">
        <f t="shared" si="392"/>
        <v>4.45</v>
      </c>
      <c r="K1634" s="421">
        <f t="shared" si="391"/>
        <v>5.29</v>
      </c>
      <c r="L1634" s="647" t="s">
        <v>79</v>
      </c>
      <c r="M1634" s="576"/>
      <c r="N1634" s="576">
        <f t="shared" si="394"/>
        <v>0</v>
      </c>
      <c r="O1634" s="577">
        <f t="shared" si="388"/>
        <v>0</v>
      </c>
      <c r="P1634" s="578">
        <f t="shared" si="389"/>
        <v>0</v>
      </c>
      <c r="Q1634" s="765"/>
      <c r="R1634" s="576">
        <f t="shared" si="385"/>
        <v>0</v>
      </c>
      <c r="S1634" s="576">
        <f t="shared" si="385"/>
        <v>0</v>
      </c>
      <c r="T1634" s="577">
        <f t="shared" si="386"/>
        <v>0</v>
      </c>
      <c r="U1634" s="578">
        <f t="shared" si="387"/>
        <v>0</v>
      </c>
      <c r="V1634" s="579"/>
      <c r="W1634" s="566"/>
      <c r="X1634" s="586" t="str">
        <f t="shared" si="390"/>
        <v/>
      </c>
      <c r="Y1634" s="586" t="str">
        <f t="shared" si="384"/>
        <v/>
      </c>
      <c r="Z1634" s="586" t="str">
        <f t="shared" si="393"/>
        <v/>
      </c>
    </row>
    <row r="1635" spans="1:26" ht="23.25" hidden="1" thickBot="1" x14ac:dyDescent="0.25">
      <c r="A1635" s="567">
        <v>98280</v>
      </c>
      <c r="B1635" s="644">
        <v>98280</v>
      </c>
      <c r="C1635" s="645" t="s">
        <v>670</v>
      </c>
      <c r="D1635" s="422" t="s">
        <v>1481</v>
      </c>
      <c r="E1635" s="423"/>
      <c r="F1635" s="424"/>
      <c r="G1635" s="425"/>
      <c r="H1635" s="651"/>
      <c r="I1635" s="420">
        <v>8.0500000000000007</v>
      </c>
      <c r="J1635" s="420">
        <f t="shared" si="392"/>
        <v>8.0500000000000007</v>
      </c>
      <c r="K1635" s="421">
        <f t="shared" si="391"/>
        <v>9.56</v>
      </c>
      <c r="L1635" s="647" t="s">
        <v>79</v>
      </c>
      <c r="M1635" s="576"/>
      <c r="N1635" s="576">
        <f t="shared" si="394"/>
        <v>0</v>
      </c>
      <c r="O1635" s="577">
        <f t="shared" si="388"/>
        <v>0</v>
      </c>
      <c r="P1635" s="578">
        <f t="shared" si="389"/>
        <v>0</v>
      </c>
      <c r="Q1635" s="765"/>
      <c r="R1635" s="576">
        <f t="shared" si="385"/>
        <v>0</v>
      </c>
      <c r="S1635" s="576">
        <f t="shared" si="385"/>
        <v>0</v>
      </c>
      <c r="T1635" s="577">
        <f t="shared" si="386"/>
        <v>0</v>
      </c>
      <c r="U1635" s="578">
        <f t="shared" si="387"/>
        <v>0</v>
      </c>
      <c r="V1635" s="579"/>
      <c r="W1635" s="566"/>
      <c r="X1635" s="586" t="str">
        <f t="shared" si="390"/>
        <v/>
      </c>
      <c r="Y1635" s="586" t="str">
        <f t="shared" ref="Y1635:Y1698" si="395">IF(W1635="X","x",IF(W1635="y","x",IF(W1635="xx","x",IF(U1635&gt;0,"x",""))))</f>
        <v/>
      </c>
      <c r="Z1635" s="586" t="str">
        <f t="shared" si="393"/>
        <v/>
      </c>
    </row>
    <row r="1636" spans="1:26" ht="23.25" hidden="1" thickBot="1" x14ac:dyDescent="0.25">
      <c r="A1636" s="567">
        <v>98281</v>
      </c>
      <c r="B1636" s="644">
        <v>98281</v>
      </c>
      <c r="C1636" s="645" t="s">
        <v>670</v>
      </c>
      <c r="D1636" s="422" t="s">
        <v>1482</v>
      </c>
      <c r="E1636" s="423"/>
      <c r="F1636" s="424"/>
      <c r="G1636" s="425"/>
      <c r="H1636" s="651"/>
      <c r="I1636" s="420">
        <v>8.94</v>
      </c>
      <c r="J1636" s="420">
        <f t="shared" si="392"/>
        <v>8.94</v>
      </c>
      <c r="K1636" s="421">
        <f t="shared" si="391"/>
        <v>10.62</v>
      </c>
      <c r="L1636" s="647" t="s">
        <v>79</v>
      </c>
      <c r="M1636" s="576"/>
      <c r="N1636" s="576">
        <f t="shared" si="394"/>
        <v>0</v>
      </c>
      <c r="O1636" s="577">
        <f t="shared" si="388"/>
        <v>0</v>
      </c>
      <c r="P1636" s="578">
        <f t="shared" si="389"/>
        <v>0</v>
      </c>
      <c r="Q1636" s="765"/>
      <c r="R1636" s="576">
        <f t="shared" si="385"/>
        <v>0</v>
      </c>
      <c r="S1636" s="576">
        <f t="shared" si="385"/>
        <v>0</v>
      </c>
      <c r="T1636" s="577">
        <f t="shared" si="386"/>
        <v>0</v>
      </c>
      <c r="U1636" s="578">
        <f t="shared" si="387"/>
        <v>0</v>
      </c>
      <c r="V1636" s="579"/>
      <c r="W1636" s="566"/>
      <c r="X1636" s="586" t="str">
        <f t="shared" si="390"/>
        <v/>
      </c>
      <c r="Y1636" s="586" t="str">
        <f t="shared" si="395"/>
        <v/>
      </c>
      <c r="Z1636" s="586" t="str">
        <f t="shared" si="393"/>
        <v/>
      </c>
    </row>
    <row r="1637" spans="1:26" ht="23.25" hidden="1" thickBot="1" x14ac:dyDescent="0.25">
      <c r="A1637" s="567">
        <v>98282</v>
      </c>
      <c r="B1637" s="644">
        <v>98282</v>
      </c>
      <c r="C1637" s="645" t="s">
        <v>670</v>
      </c>
      <c r="D1637" s="422" t="s">
        <v>1483</v>
      </c>
      <c r="E1637" s="423"/>
      <c r="F1637" s="424"/>
      <c r="G1637" s="425"/>
      <c r="H1637" s="651"/>
      <c r="I1637" s="420">
        <v>9.16</v>
      </c>
      <c r="J1637" s="420">
        <f t="shared" si="392"/>
        <v>9.16</v>
      </c>
      <c r="K1637" s="421">
        <f t="shared" si="391"/>
        <v>10.88</v>
      </c>
      <c r="L1637" s="647" t="s">
        <v>79</v>
      </c>
      <c r="M1637" s="576"/>
      <c r="N1637" s="576">
        <f t="shared" si="394"/>
        <v>0</v>
      </c>
      <c r="O1637" s="577">
        <f t="shared" si="388"/>
        <v>0</v>
      </c>
      <c r="P1637" s="578">
        <f t="shared" si="389"/>
        <v>0</v>
      </c>
      <c r="Q1637" s="765"/>
      <c r="R1637" s="576">
        <f t="shared" si="385"/>
        <v>0</v>
      </c>
      <c r="S1637" s="576">
        <f t="shared" si="385"/>
        <v>0</v>
      </c>
      <c r="T1637" s="577">
        <f t="shared" si="386"/>
        <v>0</v>
      </c>
      <c r="U1637" s="578">
        <f t="shared" si="387"/>
        <v>0</v>
      </c>
      <c r="V1637" s="579"/>
      <c r="W1637" s="566"/>
      <c r="X1637" s="586" t="str">
        <f t="shared" si="390"/>
        <v/>
      </c>
      <c r="Y1637" s="586" t="str">
        <f t="shared" si="395"/>
        <v/>
      </c>
      <c r="Z1637" s="586" t="str">
        <f t="shared" si="393"/>
        <v/>
      </c>
    </row>
    <row r="1638" spans="1:26" ht="23.25" hidden="1" thickBot="1" x14ac:dyDescent="0.25">
      <c r="A1638" s="567">
        <v>98283</v>
      </c>
      <c r="B1638" s="644">
        <v>98283</v>
      </c>
      <c r="C1638" s="645" t="s">
        <v>670</v>
      </c>
      <c r="D1638" s="422" t="s">
        <v>1484</v>
      </c>
      <c r="E1638" s="423"/>
      <c r="F1638" s="424"/>
      <c r="G1638" s="425"/>
      <c r="H1638" s="651"/>
      <c r="I1638" s="420">
        <v>10.14</v>
      </c>
      <c r="J1638" s="420">
        <f t="shared" si="392"/>
        <v>10.14</v>
      </c>
      <c r="K1638" s="421">
        <f t="shared" si="391"/>
        <v>12.05</v>
      </c>
      <c r="L1638" s="647" t="s">
        <v>79</v>
      </c>
      <c r="M1638" s="576"/>
      <c r="N1638" s="576">
        <f t="shared" si="394"/>
        <v>0</v>
      </c>
      <c r="O1638" s="577">
        <f t="shared" si="388"/>
        <v>0</v>
      </c>
      <c r="P1638" s="578">
        <f t="shared" si="389"/>
        <v>0</v>
      </c>
      <c r="Q1638" s="765"/>
      <c r="R1638" s="576">
        <f t="shared" si="385"/>
        <v>0</v>
      </c>
      <c r="S1638" s="576">
        <f t="shared" si="385"/>
        <v>0</v>
      </c>
      <c r="T1638" s="577">
        <f t="shared" si="386"/>
        <v>0</v>
      </c>
      <c r="U1638" s="578">
        <f t="shared" si="387"/>
        <v>0</v>
      </c>
      <c r="V1638" s="579"/>
      <c r="W1638" s="566"/>
      <c r="X1638" s="586" t="str">
        <f t="shared" si="390"/>
        <v/>
      </c>
      <c r="Y1638" s="586" t="str">
        <f t="shared" si="395"/>
        <v/>
      </c>
      <c r="Z1638" s="586" t="str">
        <f t="shared" si="393"/>
        <v/>
      </c>
    </row>
    <row r="1639" spans="1:26" ht="23.25" hidden="1" thickBot="1" x14ac:dyDescent="0.25">
      <c r="A1639" s="567">
        <v>98284</v>
      </c>
      <c r="B1639" s="644">
        <v>98284</v>
      </c>
      <c r="C1639" s="645" t="s">
        <v>670</v>
      </c>
      <c r="D1639" s="422" t="s">
        <v>1485</v>
      </c>
      <c r="E1639" s="423"/>
      <c r="F1639" s="424"/>
      <c r="G1639" s="425"/>
      <c r="H1639" s="651"/>
      <c r="I1639" s="420">
        <v>10.76</v>
      </c>
      <c r="J1639" s="420">
        <f t="shared" si="392"/>
        <v>10.76</v>
      </c>
      <c r="K1639" s="421">
        <f t="shared" si="391"/>
        <v>12.78</v>
      </c>
      <c r="L1639" s="647" t="s">
        <v>79</v>
      </c>
      <c r="M1639" s="576"/>
      <c r="N1639" s="576">
        <f t="shared" si="394"/>
        <v>0</v>
      </c>
      <c r="O1639" s="577">
        <f t="shared" si="388"/>
        <v>0</v>
      </c>
      <c r="P1639" s="578">
        <f t="shared" si="389"/>
        <v>0</v>
      </c>
      <c r="Q1639" s="765"/>
      <c r="R1639" s="576">
        <f t="shared" si="385"/>
        <v>0</v>
      </c>
      <c r="S1639" s="576">
        <f t="shared" si="385"/>
        <v>0</v>
      </c>
      <c r="T1639" s="577">
        <f t="shared" si="386"/>
        <v>0</v>
      </c>
      <c r="U1639" s="578">
        <f t="shared" si="387"/>
        <v>0</v>
      </c>
      <c r="V1639" s="579"/>
      <c r="W1639" s="566"/>
      <c r="X1639" s="586" t="str">
        <f t="shared" si="390"/>
        <v/>
      </c>
      <c r="Y1639" s="586" t="str">
        <f t="shared" si="395"/>
        <v/>
      </c>
      <c r="Z1639" s="586" t="str">
        <f t="shared" si="393"/>
        <v/>
      </c>
    </row>
    <row r="1640" spans="1:26" ht="23.25" hidden="1" thickBot="1" x14ac:dyDescent="0.25">
      <c r="A1640" s="567">
        <v>98285</v>
      </c>
      <c r="B1640" s="644">
        <v>98285</v>
      </c>
      <c r="C1640" s="645" t="s">
        <v>670</v>
      </c>
      <c r="D1640" s="422" t="s">
        <v>1486</v>
      </c>
      <c r="E1640" s="423"/>
      <c r="F1640" s="424"/>
      <c r="G1640" s="425"/>
      <c r="H1640" s="651"/>
      <c r="I1640" s="420">
        <v>11.65</v>
      </c>
      <c r="J1640" s="420">
        <f t="shared" si="392"/>
        <v>11.65</v>
      </c>
      <c r="K1640" s="421">
        <f t="shared" si="391"/>
        <v>13.84</v>
      </c>
      <c r="L1640" s="647" t="s">
        <v>79</v>
      </c>
      <c r="M1640" s="576"/>
      <c r="N1640" s="576">
        <f t="shared" si="394"/>
        <v>0</v>
      </c>
      <c r="O1640" s="577">
        <f t="shared" si="388"/>
        <v>0</v>
      </c>
      <c r="P1640" s="578">
        <f t="shared" si="389"/>
        <v>0</v>
      </c>
      <c r="Q1640" s="765"/>
      <c r="R1640" s="576">
        <f t="shared" si="385"/>
        <v>0</v>
      </c>
      <c r="S1640" s="576">
        <f t="shared" si="385"/>
        <v>0</v>
      </c>
      <c r="T1640" s="577">
        <f t="shared" si="386"/>
        <v>0</v>
      </c>
      <c r="U1640" s="578">
        <f t="shared" si="387"/>
        <v>0</v>
      </c>
      <c r="V1640" s="579"/>
      <c r="W1640" s="566"/>
      <c r="X1640" s="586" t="str">
        <f t="shared" si="390"/>
        <v/>
      </c>
      <c r="Y1640" s="586" t="str">
        <f t="shared" si="395"/>
        <v/>
      </c>
      <c r="Z1640" s="586" t="str">
        <f t="shared" si="393"/>
        <v/>
      </c>
    </row>
    <row r="1641" spans="1:26" ht="23.25" hidden="1" thickBot="1" x14ac:dyDescent="0.25">
      <c r="A1641" s="567">
        <v>98287</v>
      </c>
      <c r="B1641" s="644">
        <v>98287</v>
      </c>
      <c r="C1641" s="645" t="s">
        <v>670</v>
      </c>
      <c r="D1641" s="422" t="s">
        <v>1487</v>
      </c>
      <c r="E1641" s="423"/>
      <c r="F1641" s="424"/>
      <c r="G1641" s="425"/>
      <c r="H1641" s="651"/>
      <c r="I1641" s="420">
        <v>1.57</v>
      </c>
      <c r="J1641" s="420">
        <f t="shared" si="392"/>
        <v>1.57</v>
      </c>
      <c r="K1641" s="421">
        <f t="shared" si="391"/>
        <v>1.87</v>
      </c>
      <c r="L1641" s="647" t="s">
        <v>79</v>
      </c>
      <c r="M1641" s="576"/>
      <c r="N1641" s="576">
        <f t="shared" si="394"/>
        <v>0</v>
      </c>
      <c r="O1641" s="577">
        <f t="shared" si="388"/>
        <v>0</v>
      </c>
      <c r="P1641" s="578">
        <f t="shared" si="389"/>
        <v>0</v>
      </c>
      <c r="Q1641" s="765"/>
      <c r="R1641" s="576">
        <f t="shared" si="385"/>
        <v>0</v>
      </c>
      <c r="S1641" s="576">
        <f t="shared" si="385"/>
        <v>0</v>
      </c>
      <c r="T1641" s="577">
        <f t="shared" si="386"/>
        <v>0</v>
      </c>
      <c r="U1641" s="578">
        <f t="shared" si="387"/>
        <v>0</v>
      </c>
      <c r="V1641" s="579"/>
      <c r="W1641" s="566"/>
      <c r="X1641" s="586" t="str">
        <f t="shared" si="390"/>
        <v/>
      </c>
      <c r="Y1641" s="586" t="str">
        <f t="shared" si="395"/>
        <v/>
      </c>
      <c r="Z1641" s="586" t="str">
        <f t="shared" si="393"/>
        <v/>
      </c>
    </row>
    <row r="1642" spans="1:26" ht="23.25" hidden="1" thickBot="1" x14ac:dyDescent="0.25">
      <c r="A1642" s="567">
        <v>98288</v>
      </c>
      <c r="B1642" s="644">
        <v>98288</v>
      </c>
      <c r="C1642" s="645" t="s">
        <v>670</v>
      </c>
      <c r="D1642" s="422" t="s">
        <v>1488</v>
      </c>
      <c r="E1642" s="423"/>
      <c r="F1642" s="424"/>
      <c r="G1642" s="425"/>
      <c r="H1642" s="651"/>
      <c r="I1642" s="420">
        <v>2.4700000000000002</v>
      </c>
      <c r="J1642" s="420">
        <f t="shared" si="392"/>
        <v>2.4700000000000002</v>
      </c>
      <c r="K1642" s="421">
        <f t="shared" si="391"/>
        <v>2.93</v>
      </c>
      <c r="L1642" s="647" t="s">
        <v>79</v>
      </c>
      <c r="M1642" s="576"/>
      <c r="N1642" s="576">
        <f t="shared" si="394"/>
        <v>0</v>
      </c>
      <c r="O1642" s="577">
        <f t="shared" si="388"/>
        <v>0</v>
      </c>
      <c r="P1642" s="578">
        <f t="shared" si="389"/>
        <v>0</v>
      </c>
      <c r="Q1642" s="765"/>
      <c r="R1642" s="576">
        <f t="shared" ref="R1642:S1711" si="396">M1642</f>
        <v>0</v>
      </c>
      <c r="S1642" s="576">
        <f t="shared" si="396"/>
        <v>0</v>
      </c>
      <c r="T1642" s="577">
        <f t="shared" si="386"/>
        <v>0</v>
      </c>
      <c r="U1642" s="578">
        <f t="shared" si="387"/>
        <v>0</v>
      </c>
      <c r="V1642" s="579"/>
      <c r="W1642" s="566"/>
      <c r="X1642" s="586" t="str">
        <f t="shared" si="390"/>
        <v/>
      </c>
      <c r="Y1642" s="586" t="str">
        <f t="shared" si="395"/>
        <v/>
      </c>
      <c r="Z1642" s="586" t="str">
        <f t="shared" si="393"/>
        <v/>
      </c>
    </row>
    <row r="1643" spans="1:26" ht="23.25" hidden="1" thickBot="1" x14ac:dyDescent="0.25">
      <c r="A1643" s="567">
        <v>98289</v>
      </c>
      <c r="B1643" s="644">
        <v>98289</v>
      </c>
      <c r="C1643" s="645" t="s">
        <v>670</v>
      </c>
      <c r="D1643" s="422" t="s">
        <v>1489</v>
      </c>
      <c r="E1643" s="423"/>
      <c r="F1643" s="424"/>
      <c r="G1643" s="425"/>
      <c r="H1643" s="651"/>
      <c r="I1643" s="420">
        <v>2.69</v>
      </c>
      <c r="J1643" s="420">
        <f t="shared" si="392"/>
        <v>2.69</v>
      </c>
      <c r="K1643" s="421">
        <f t="shared" si="391"/>
        <v>3.2</v>
      </c>
      <c r="L1643" s="647" t="s">
        <v>79</v>
      </c>
      <c r="M1643" s="576"/>
      <c r="N1643" s="576">
        <f t="shared" si="394"/>
        <v>0</v>
      </c>
      <c r="O1643" s="577">
        <f t="shared" si="388"/>
        <v>0</v>
      </c>
      <c r="P1643" s="578">
        <f t="shared" si="389"/>
        <v>0</v>
      </c>
      <c r="Q1643" s="765"/>
      <c r="R1643" s="576">
        <f t="shared" si="396"/>
        <v>0</v>
      </c>
      <c r="S1643" s="576">
        <f t="shared" si="396"/>
        <v>0</v>
      </c>
      <c r="T1643" s="577">
        <f t="shared" si="386"/>
        <v>0</v>
      </c>
      <c r="U1643" s="578">
        <f t="shared" si="387"/>
        <v>0</v>
      </c>
      <c r="V1643" s="579"/>
      <c r="W1643" s="566"/>
      <c r="X1643" s="586" t="str">
        <f t="shared" si="390"/>
        <v/>
      </c>
      <c r="Y1643" s="586" t="str">
        <f t="shared" si="395"/>
        <v/>
      </c>
      <c r="Z1643" s="586" t="str">
        <f t="shared" si="393"/>
        <v/>
      </c>
    </row>
    <row r="1644" spans="1:26" ht="23.25" hidden="1" thickBot="1" x14ac:dyDescent="0.25">
      <c r="A1644" s="567">
        <v>98290</v>
      </c>
      <c r="B1644" s="644">
        <v>98290</v>
      </c>
      <c r="C1644" s="645" t="s">
        <v>670</v>
      </c>
      <c r="D1644" s="422" t="s">
        <v>1490</v>
      </c>
      <c r="E1644" s="423"/>
      <c r="F1644" s="424"/>
      <c r="G1644" s="425"/>
      <c r="H1644" s="651"/>
      <c r="I1644" s="420">
        <v>3.66</v>
      </c>
      <c r="J1644" s="420">
        <f t="shared" si="392"/>
        <v>3.66</v>
      </c>
      <c r="K1644" s="421">
        <f t="shared" si="391"/>
        <v>4.3499999999999996</v>
      </c>
      <c r="L1644" s="647" t="s">
        <v>79</v>
      </c>
      <c r="M1644" s="576"/>
      <c r="N1644" s="576">
        <f t="shared" si="394"/>
        <v>0</v>
      </c>
      <c r="O1644" s="577">
        <f t="shared" si="388"/>
        <v>0</v>
      </c>
      <c r="P1644" s="578">
        <f t="shared" si="389"/>
        <v>0</v>
      </c>
      <c r="Q1644" s="765"/>
      <c r="R1644" s="576">
        <f t="shared" si="396"/>
        <v>0</v>
      </c>
      <c r="S1644" s="576">
        <f t="shared" si="396"/>
        <v>0</v>
      </c>
      <c r="T1644" s="577">
        <f t="shared" si="386"/>
        <v>0</v>
      </c>
      <c r="U1644" s="578">
        <f t="shared" si="387"/>
        <v>0</v>
      </c>
      <c r="V1644" s="579"/>
      <c r="W1644" s="566"/>
      <c r="X1644" s="586" t="str">
        <f t="shared" si="390"/>
        <v/>
      </c>
      <c r="Y1644" s="586" t="str">
        <f t="shared" si="395"/>
        <v/>
      </c>
      <c r="Z1644" s="586" t="str">
        <f t="shared" si="393"/>
        <v/>
      </c>
    </row>
    <row r="1645" spans="1:26" ht="23.25" hidden="1" thickBot="1" x14ac:dyDescent="0.25">
      <c r="A1645" s="567">
        <v>98291</v>
      </c>
      <c r="B1645" s="644">
        <v>98291</v>
      </c>
      <c r="C1645" s="645" t="s">
        <v>670</v>
      </c>
      <c r="D1645" s="422" t="s">
        <v>1491</v>
      </c>
      <c r="E1645" s="423"/>
      <c r="F1645" s="424"/>
      <c r="G1645" s="425"/>
      <c r="H1645" s="651"/>
      <c r="I1645" s="420">
        <v>4.29</v>
      </c>
      <c r="J1645" s="420">
        <f t="shared" si="392"/>
        <v>4.29</v>
      </c>
      <c r="K1645" s="421">
        <f t="shared" si="391"/>
        <v>5.0999999999999996</v>
      </c>
      <c r="L1645" s="647" t="s">
        <v>79</v>
      </c>
      <c r="M1645" s="576"/>
      <c r="N1645" s="576">
        <f t="shared" si="394"/>
        <v>0</v>
      </c>
      <c r="O1645" s="577">
        <f t="shared" si="388"/>
        <v>0</v>
      </c>
      <c r="P1645" s="578">
        <f t="shared" si="389"/>
        <v>0</v>
      </c>
      <c r="Q1645" s="765"/>
      <c r="R1645" s="576">
        <f t="shared" si="396"/>
        <v>0</v>
      </c>
      <c r="S1645" s="576">
        <f t="shared" si="396"/>
        <v>0</v>
      </c>
      <c r="T1645" s="577">
        <f t="shared" si="386"/>
        <v>0</v>
      </c>
      <c r="U1645" s="578">
        <f t="shared" si="387"/>
        <v>0</v>
      </c>
      <c r="V1645" s="579"/>
      <c r="W1645" s="566"/>
      <c r="X1645" s="586" t="str">
        <f t="shared" si="390"/>
        <v/>
      </c>
      <c r="Y1645" s="586" t="str">
        <f t="shared" si="395"/>
        <v/>
      </c>
      <c r="Z1645" s="586" t="str">
        <f t="shared" si="393"/>
        <v/>
      </c>
    </row>
    <row r="1646" spans="1:26" ht="23.25" hidden="1" thickBot="1" x14ac:dyDescent="0.25">
      <c r="A1646" s="567">
        <v>98292</v>
      </c>
      <c r="B1646" s="644">
        <v>98292</v>
      </c>
      <c r="C1646" s="645" t="s">
        <v>670</v>
      </c>
      <c r="D1646" s="422" t="s">
        <v>1492</v>
      </c>
      <c r="E1646" s="423"/>
      <c r="F1646" s="424"/>
      <c r="G1646" s="425"/>
      <c r="H1646" s="651"/>
      <c r="I1646" s="420">
        <v>5.17</v>
      </c>
      <c r="J1646" s="420">
        <f t="shared" si="392"/>
        <v>5.17</v>
      </c>
      <c r="K1646" s="421">
        <f t="shared" si="391"/>
        <v>6.14</v>
      </c>
      <c r="L1646" s="647" t="s">
        <v>79</v>
      </c>
      <c r="M1646" s="576"/>
      <c r="N1646" s="576">
        <f t="shared" si="394"/>
        <v>0</v>
      </c>
      <c r="O1646" s="577">
        <f t="shared" si="388"/>
        <v>0</v>
      </c>
      <c r="P1646" s="578">
        <f t="shared" si="389"/>
        <v>0</v>
      </c>
      <c r="Q1646" s="765"/>
      <c r="R1646" s="576">
        <f t="shared" si="396"/>
        <v>0</v>
      </c>
      <c r="S1646" s="576">
        <f t="shared" si="396"/>
        <v>0</v>
      </c>
      <c r="T1646" s="577">
        <f t="shared" si="386"/>
        <v>0</v>
      </c>
      <c r="U1646" s="578">
        <f t="shared" si="387"/>
        <v>0</v>
      </c>
      <c r="V1646" s="579"/>
      <c r="W1646" s="566"/>
      <c r="X1646" s="586" t="str">
        <f t="shared" si="390"/>
        <v/>
      </c>
      <c r="Y1646" s="586" t="str">
        <f t="shared" si="395"/>
        <v/>
      </c>
      <c r="Z1646" s="586" t="str">
        <f t="shared" si="393"/>
        <v/>
      </c>
    </row>
    <row r="1647" spans="1:26" ht="12" hidden="1" thickBot="1" x14ac:dyDescent="0.25">
      <c r="A1647" s="567">
        <v>98397</v>
      </c>
      <c r="B1647" s="644">
        <v>98397</v>
      </c>
      <c r="C1647" s="645" t="s">
        <v>670</v>
      </c>
      <c r="D1647" s="422" t="s">
        <v>1493</v>
      </c>
      <c r="E1647" s="423"/>
      <c r="F1647" s="424"/>
      <c r="G1647" s="425"/>
      <c r="H1647" s="651"/>
      <c r="I1647" s="420">
        <v>12.48</v>
      </c>
      <c r="J1647" s="420">
        <f t="shared" si="392"/>
        <v>12.48</v>
      </c>
      <c r="K1647" s="421">
        <f t="shared" si="391"/>
        <v>14.83</v>
      </c>
      <c r="L1647" s="647" t="s">
        <v>2096</v>
      </c>
      <c r="M1647" s="576"/>
      <c r="N1647" s="576">
        <f t="shared" si="394"/>
        <v>0</v>
      </c>
      <c r="O1647" s="577">
        <f t="shared" si="388"/>
        <v>0</v>
      </c>
      <c r="P1647" s="578">
        <f t="shared" si="389"/>
        <v>0</v>
      </c>
      <c r="Q1647" s="765"/>
      <c r="R1647" s="576">
        <f t="shared" si="396"/>
        <v>0</v>
      </c>
      <c r="S1647" s="576">
        <f t="shared" si="396"/>
        <v>0</v>
      </c>
      <c r="T1647" s="577">
        <f t="shared" si="386"/>
        <v>0</v>
      </c>
      <c r="U1647" s="578">
        <f t="shared" si="387"/>
        <v>0</v>
      </c>
      <c r="V1647" s="579"/>
      <c r="W1647" s="566"/>
      <c r="X1647" s="586" t="str">
        <f t="shared" si="390"/>
        <v/>
      </c>
      <c r="Y1647" s="586" t="str">
        <f t="shared" si="395"/>
        <v/>
      </c>
      <c r="Z1647" s="586" t="str">
        <f t="shared" si="393"/>
        <v/>
      </c>
    </row>
    <row r="1648" spans="1:26" ht="23.25" hidden="1" thickBot="1" x14ac:dyDescent="0.25">
      <c r="A1648" s="567">
        <v>97327</v>
      </c>
      <c r="B1648" s="644">
        <v>97327</v>
      </c>
      <c r="C1648" s="645" t="s">
        <v>670</v>
      </c>
      <c r="D1648" s="422" t="s">
        <v>1494</v>
      </c>
      <c r="E1648" s="423"/>
      <c r="F1648" s="424"/>
      <c r="G1648" s="425"/>
      <c r="H1648" s="651"/>
      <c r="I1648" s="420">
        <v>30.85</v>
      </c>
      <c r="J1648" s="420">
        <f t="shared" si="392"/>
        <v>30.85</v>
      </c>
      <c r="K1648" s="421">
        <f t="shared" si="391"/>
        <v>36.65</v>
      </c>
      <c r="L1648" s="647" t="s">
        <v>79</v>
      </c>
      <c r="M1648" s="576"/>
      <c r="N1648" s="576">
        <f t="shared" si="394"/>
        <v>0</v>
      </c>
      <c r="O1648" s="577">
        <f t="shared" si="388"/>
        <v>0</v>
      </c>
      <c r="P1648" s="578">
        <f t="shared" si="389"/>
        <v>0</v>
      </c>
      <c r="Q1648" s="765"/>
      <c r="R1648" s="576">
        <f t="shared" si="396"/>
        <v>0</v>
      </c>
      <c r="S1648" s="576">
        <f t="shared" si="396"/>
        <v>0</v>
      </c>
      <c r="T1648" s="577">
        <f t="shared" si="386"/>
        <v>0</v>
      </c>
      <c r="U1648" s="578">
        <f t="shared" si="387"/>
        <v>0</v>
      </c>
      <c r="V1648" s="579"/>
      <c r="W1648" s="566"/>
      <c r="X1648" s="586" t="str">
        <f t="shared" si="390"/>
        <v/>
      </c>
      <c r="Y1648" s="586" t="str">
        <f t="shared" si="395"/>
        <v/>
      </c>
      <c r="Z1648" s="586" t="str">
        <f t="shared" si="393"/>
        <v/>
      </c>
    </row>
    <row r="1649" spans="1:26" ht="23.25" hidden="1" thickBot="1" x14ac:dyDescent="0.25">
      <c r="A1649" s="567">
        <v>97328</v>
      </c>
      <c r="B1649" s="644">
        <v>97328</v>
      </c>
      <c r="C1649" s="645" t="s">
        <v>670</v>
      </c>
      <c r="D1649" s="422" t="s">
        <v>1495</v>
      </c>
      <c r="E1649" s="423"/>
      <c r="F1649" s="424"/>
      <c r="G1649" s="425"/>
      <c r="H1649" s="651"/>
      <c r="I1649" s="420">
        <v>51.57</v>
      </c>
      <c r="J1649" s="420">
        <f t="shared" si="392"/>
        <v>51.57</v>
      </c>
      <c r="K1649" s="421">
        <f t="shared" si="391"/>
        <v>61.27</v>
      </c>
      <c r="L1649" s="647" t="s">
        <v>79</v>
      </c>
      <c r="M1649" s="576"/>
      <c r="N1649" s="576">
        <f t="shared" si="394"/>
        <v>0</v>
      </c>
      <c r="O1649" s="577">
        <f t="shared" si="388"/>
        <v>0</v>
      </c>
      <c r="P1649" s="578">
        <f t="shared" si="389"/>
        <v>0</v>
      </c>
      <c r="Q1649" s="765"/>
      <c r="R1649" s="576">
        <f t="shared" si="396"/>
        <v>0</v>
      </c>
      <c r="S1649" s="576">
        <f t="shared" si="396"/>
        <v>0</v>
      </c>
      <c r="T1649" s="577">
        <f t="shared" si="386"/>
        <v>0</v>
      </c>
      <c r="U1649" s="578">
        <f t="shared" si="387"/>
        <v>0</v>
      </c>
      <c r="V1649" s="579"/>
      <c r="W1649" s="566"/>
      <c r="X1649" s="586" t="str">
        <f t="shared" si="390"/>
        <v/>
      </c>
      <c r="Y1649" s="586" t="str">
        <f t="shared" si="395"/>
        <v/>
      </c>
      <c r="Z1649" s="586" t="str">
        <f t="shared" si="393"/>
        <v/>
      </c>
    </row>
    <row r="1650" spans="1:26" ht="23.25" hidden="1" thickBot="1" x14ac:dyDescent="0.25">
      <c r="A1650" s="567">
        <v>97329</v>
      </c>
      <c r="B1650" s="644">
        <v>97329</v>
      </c>
      <c r="C1650" s="645" t="s">
        <v>670</v>
      </c>
      <c r="D1650" s="422" t="s">
        <v>1496</v>
      </c>
      <c r="E1650" s="423"/>
      <c r="F1650" s="424"/>
      <c r="G1650" s="425"/>
      <c r="H1650" s="651"/>
      <c r="I1650" s="420">
        <v>65.66</v>
      </c>
      <c r="J1650" s="420">
        <f t="shared" si="392"/>
        <v>65.66</v>
      </c>
      <c r="K1650" s="421">
        <f t="shared" si="391"/>
        <v>78.010000000000005</v>
      </c>
      <c r="L1650" s="647" t="s">
        <v>79</v>
      </c>
      <c r="M1650" s="576"/>
      <c r="N1650" s="576">
        <f t="shared" si="394"/>
        <v>0</v>
      </c>
      <c r="O1650" s="577">
        <f t="shared" si="388"/>
        <v>0</v>
      </c>
      <c r="P1650" s="578">
        <f t="shared" si="389"/>
        <v>0</v>
      </c>
      <c r="Q1650" s="765"/>
      <c r="R1650" s="576">
        <f t="shared" si="396"/>
        <v>0</v>
      </c>
      <c r="S1650" s="576">
        <f t="shared" si="396"/>
        <v>0</v>
      </c>
      <c r="T1650" s="577">
        <f t="shared" si="386"/>
        <v>0</v>
      </c>
      <c r="U1650" s="578">
        <f t="shared" si="387"/>
        <v>0</v>
      </c>
      <c r="V1650" s="579"/>
      <c r="W1650" s="566"/>
      <c r="X1650" s="586" t="str">
        <f t="shared" si="390"/>
        <v/>
      </c>
      <c r="Y1650" s="586" t="str">
        <f t="shared" si="395"/>
        <v/>
      </c>
      <c r="Z1650" s="586" t="str">
        <f t="shared" si="393"/>
        <v/>
      </c>
    </row>
    <row r="1651" spans="1:26" ht="23.25" hidden="1" thickBot="1" x14ac:dyDescent="0.25">
      <c r="A1651" s="567">
        <v>97330</v>
      </c>
      <c r="B1651" s="644">
        <v>97330</v>
      </c>
      <c r="C1651" s="645" t="s">
        <v>670</v>
      </c>
      <c r="D1651" s="422" t="s">
        <v>1497</v>
      </c>
      <c r="E1651" s="423"/>
      <c r="F1651" s="424"/>
      <c r="G1651" s="425"/>
      <c r="H1651" s="651"/>
      <c r="I1651" s="420">
        <v>80.34</v>
      </c>
      <c r="J1651" s="420">
        <f t="shared" si="392"/>
        <v>80.34</v>
      </c>
      <c r="K1651" s="421">
        <f t="shared" si="391"/>
        <v>95.45</v>
      </c>
      <c r="L1651" s="647" t="s">
        <v>79</v>
      </c>
      <c r="M1651" s="576"/>
      <c r="N1651" s="576">
        <f t="shared" si="394"/>
        <v>0</v>
      </c>
      <c r="O1651" s="577">
        <f t="shared" si="388"/>
        <v>0</v>
      </c>
      <c r="P1651" s="578">
        <f t="shared" si="389"/>
        <v>0</v>
      </c>
      <c r="Q1651" s="765"/>
      <c r="R1651" s="576">
        <f t="shared" si="396"/>
        <v>0</v>
      </c>
      <c r="S1651" s="576">
        <f t="shared" si="396"/>
        <v>0</v>
      </c>
      <c r="T1651" s="577">
        <f t="shared" si="386"/>
        <v>0</v>
      </c>
      <c r="U1651" s="578">
        <f t="shared" si="387"/>
        <v>0</v>
      </c>
      <c r="V1651" s="579"/>
      <c r="W1651" s="566"/>
      <c r="X1651" s="586" t="str">
        <f t="shared" si="390"/>
        <v/>
      </c>
      <c r="Y1651" s="586" t="str">
        <f t="shared" si="395"/>
        <v/>
      </c>
      <c r="Z1651" s="586" t="str">
        <f t="shared" si="393"/>
        <v/>
      </c>
    </row>
    <row r="1652" spans="1:26" ht="23.25" hidden="1" thickBot="1" x14ac:dyDescent="0.25">
      <c r="A1652" s="567">
        <v>97331</v>
      </c>
      <c r="B1652" s="644">
        <v>97331</v>
      </c>
      <c r="C1652" s="645" t="s">
        <v>670</v>
      </c>
      <c r="D1652" s="422" t="s">
        <v>1498</v>
      </c>
      <c r="E1652" s="423"/>
      <c r="F1652" s="424"/>
      <c r="G1652" s="425"/>
      <c r="H1652" s="651"/>
      <c r="I1652" s="420">
        <v>31.2</v>
      </c>
      <c r="J1652" s="420">
        <f t="shared" si="392"/>
        <v>31.2</v>
      </c>
      <c r="K1652" s="421">
        <f t="shared" si="391"/>
        <v>37.07</v>
      </c>
      <c r="L1652" s="647" t="s">
        <v>79</v>
      </c>
      <c r="M1652" s="576"/>
      <c r="N1652" s="576">
        <f t="shared" si="394"/>
        <v>0</v>
      </c>
      <c r="O1652" s="577">
        <f t="shared" si="388"/>
        <v>0</v>
      </c>
      <c r="P1652" s="578">
        <f t="shared" si="389"/>
        <v>0</v>
      </c>
      <c r="Q1652" s="765"/>
      <c r="R1652" s="576">
        <f t="shared" si="396"/>
        <v>0</v>
      </c>
      <c r="S1652" s="576">
        <f t="shared" si="396"/>
        <v>0</v>
      </c>
      <c r="T1652" s="577">
        <f t="shared" ref="T1652:T1721" si="397">IF(ISBLANK(R1652),0,ROUND(K1652*R1652,2))</f>
        <v>0</v>
      </c>
      <c r="U1652" s="578">
        <f t="shared" ref="U1652:U1721" si="398">IF(ISBLANK(R1652),0,ROUND(R1652*S1652,2))</f>
        <v>0</v>
      </c>
      <c r="V1652" s="579"/>
      <c r="W1652" s="566"/>
      <c r="X1652" s="586" t="str">
        <f t="shared" si="390"/>
        <v/>
      </c>
      <c r="Y1652" s="586" t="str">
        <f t="shared" si="395"/>
        <v/>
      </c>
      <c r="Z1652" s="586" t="str">
        <f t="shared" si="393"/>
        <v/>
      </c>
    </row>
    <row r="1653" spans="1:26" ht="23.25" hidden="1" thickBot="1" x14ac:dyDescent="0.25">
      <c r="A1653" s="567">
        <v>97332</v>
      </c>
      <c r="B1653" s="644">
        <v>97332</v>
      </c>
      <c r="C1653" s="645" t="s">
        <v>670</v>
      </c>
      <c r="D1653" s="422" t="s">
        <v>1499</v>
      </c>
      <c r="E1653" s="423"/>
      <c r="F1653" s="424"/>
      <c r="G1653" s="425"/>
      <c r="H1653" s="651"/>
      <c r="I1653" s="420">
        <v>51.97</v>
      </c>
      <c r="J1653" s="420">
        <f t="shared" si="392"/>
        <v>51.97</v>
      </c>
      <c r="K1653" s="421">
        <f t="shared" si="391"/>
        <v>61.75</v>
      </c>
      <c r="L1653" s="647" t="s">
        <v>79</v>
      </c>
      <c r="M1653" s="576"/>
      <c r="N1653" s="576">
        <f t="shared" si="394"/>
        <v>0</v>
      </c>
      <c r="O1653" s="577">
        <f t="shared" ref="O1653:O1722" si="399">IF(ISBLANK(M1653),0,ROUND(K1653*M1653,2))</f>
        <v>0</v>
      </c>
      <c r="P1653" s="578">
        <f t="shared" ref="P1653:P1722" si="400">IF(ISBLANK(N1653),0,ROUND(M1653*N1653,2))</f>
        <v>0</v>
      </c>
      <c r="Q1653" s="765"/>
      <c r="R1653" s="576">
        <f t="shared" si="396"/>
        <v>0</v>
      </c>
      <c r="S1653" s="576">
        <f t="shared" si="396"/>
        <v>0</v>
      </c>
      <c r="T1653" s="577">
        <f t="shared" si="397"/>
        <v>0</v>
      </c>
      <c r="U1653" s="578">
        <f t="shared" si="398"/>
        <v>0</v>
      </c>
      <c r="V1653" s="579"/>
      <c r="W1653" s="566"/>
      <c r="X1653" s="586" t="str">
        <f t="shared" si="390"/>
        <v/>
      </c>
      <c r="Y1653" s="586" t="str">
        <f t="shared" si="395"/>
        <v/>
      </c>
      <c r="Z1653" s="586" t="str">
        <f t="shared" si="393"/>
        <v/>
      </c>
    </row>
    <row r="1654" spans="1:26" ht="23.25" hidden="1" thickBot="1" x14ac:dyDescent="0.25">
      <c r="A1654" s="567">
        <v>97333</v>
      </c>
      <c r="B1654" s="644">
        <v>97333</v>
      </c>
      <c r="C1654" s="645" t="s">
        <v>670</v>
      </c>
      <c r="D1654" s="422" t="s">
        <v>1500</v>
      </c>
      <c r="E1654" s="423"/>
      <c r="F1654" s="424"/>
      <c r="G1654" s="425"/>
      <c r="H1654" s="651"/>
      <c r="I1654" s="420">
        <v>66.16</v>
      </c>
      <c r="J1654" s="420">
        <f t="shared" si="392"/>
        <v>66.16</v>
      </c>
      <c r="K1654" s="421">
        <f t="shared" si="391"/>
        <v>78.599999999999994</v>
      </c>
      <c r="L1654" s="647" t="s">
        <v>79</v>
      </c>
      <c r="M1654" s="576"/>
      <c r="N1654" s="576">
        <f t="shared" si="394"/>
        <v>0</v>
      </c>
      <c r="O1654" s="577">
        <f t="shared" si="399"/>
        <v>0</v>
      </c>
      <c r="P1654" s="578">
        <f t="shared" si="400"/>
        <v>0</v>
      </c>
      <c r="Q1654" s="765"/>
      <c r="R1654" s="576">
        <f t="shared" si="396"/>
        <v>0</v>
      </c>
      <c r="S1654" s="576">
        <f t="shared" si="396"/>
        <v>0</v>
      </c>
      <c r="T1654" s="577">
        <f t="shared" si="397"/>
        <v>0</v>
      </c>
      <c r="U1654" s="578">
        <f t="shared" si="398"/>
        <v>0</v>
      </c>
      <c r="V1654" s="579"/>
      <c r="W1654" s="566"/>
      <c r="X1654" s="586" t="str">
        <f t="shared" si="390"/>
        <v/>
      </c>
      <c r="Y1654" s="586" t="str">
        <f t="shared" si="395"/>
        <v/>
      </c>
      <c r="Z1654" s="586" t="str">
        <f t="shared" si="393"/>
        <v/>
      </c>
    </row>
    <row r="1655" spans="1:26" ht="23.25" hidden="1" thickBot="1" x14ac:dyDescent="0.25">
      <c r="A1655" s="567">
        <v>97334</v>
      </c>
      <c r="B1655" s="644">
        <v>97334</v>
      </c>
      <c r="C1655" s="645" t="s">
        <v>670</v>
      </c>
      <c r="D1655" s="422" t="s">
        <v>1501</v>
      </c>
      <c r="E1655" s="423"/>
      <c r="F1655" s="424"/>
      <c r="G1655" s="425"/>
      <c r="H1655" s="651"/>
      <c r="I1655" s="420">
        <v>80.89</v>
      </c>
      <c r="J1655" s="420">
        <f t="shared" si="392"/>
        <v>80.89</v>
      </c>
      <c r="K1655" s="421">
        <f t="shared" si="391"/>
        <v>96.11</v>
      </c>
      <c r="L1655" s="647" t="s">
        <v>79</v>
      </c>
      <c r="M1655" s="576"/>
      <c r="N1655" s="576">
        <f t="shared" si="394"/>
        <v>0</v>
      </c>
      <c r="O1655" s="577">
        <f t="shared" si="399"/>
        <v>0</v>
      </c>
      <c r="P1655" s="578">
        <f t="shared" si="400"/>
        <v>0</v>
      </c>
      <c r="Q1655" s="765"/>
      <c r="R1655" s="576">
        <f t="shared" si="396"/>
        <v>0</v>
      </c>
      <c r="S1655" s="576">
        <f t="shared" si="396"/>
        <v>0</v>
      </c>
      <c r="T1655" s="577">
        <f t="shared" si="397"/>
        <v>0</v>
      </c>
      <c r="U1655" s="578">
        <f t="shared" si="398"/>
        <v>0</v>
      </c>
      <c r="V1655" s="579"/>
      <c r="W1655" s="566"/>
      <c r="X1655" s="722" t="str">
        <f t="shared" si="390"/>
        <v/>
      </c>
      <c r="Y1655" s="722" t="str">
        <f t="shared" si="395"/>
        <v/>
      </c>
      <c r="Z1655" s="722" t="str">
        <f t="shared" si="393"/>
        <v/>
      </c>
    </row>
    <row r="1656" spans="1:26" ht="15.6" hidden="1" customHeight="1" x14ac:dyDescent="0.2">
      <c r="A1656" s="567">
        <v>844000</v>
      </c>
      <c r="B1656" s="644">
        <v>844000</v>
      </c>
      <c r="C1656" s="645" t="s">
        <v>206</v>
      </c>
      <c r="D1656" s="422" t="s">
        <v>594</v>
      </c>
      <c r="E1656" s="423"/>
      <c r="F1656" s="424"/>
      <c r="G1656" s="425"/>
      <c r="H1656" s="651"/>
      <c r="I1656" s="420">
        <v>5148.5</v>
      </c>
      <c r="J1656" s="420">
        <f>IF(ISBLANK(I1656),"",SUM(H1656:I1656))</f>
        <v>5148.5</v>
      </c>
      <c r="K1656" s="421">
        <f t="shared" si="391"/>
        <v>6116.93</v>
      </c>
      <c r="L1656" s="647" t="s">
        <v>21</v>
      </c>
      <c r="M1656" s="576"/>
      <c r="N1656" s="576">
        <f t="shared" si="394"/>
        <v>0</v>
      </c>
      <c r="O1656" s="577">
        <f t="shared" si="399"/>
        <v>0</v>
      </c>
      <c r="P1656" s="578">
        <f t="shared" si="400"/>
        <v>0</v>
      </c>
      <c r="Q1656" s="765"/>
      <c r="R1656" s="576">
        <f t="shared" si="396"/>
        <v>0</v>
      </c>
      <c r="S1656" s="576">
        <f t="shared" si="396"/>
        <v>0</v>
      </c>
      <c r="T1656" s="577">
        <f t="shared" si="397"/>
        <v>0</v>
      </c>
      <c r="U1656" s="578">
        <f t="shared" si="398"/>
        <v>0</v>
      </c>
      <c r="V1656" s="579"/>
      <c r="W1656" s="566"/>
      <c r="X1656" s="586" t="str">
        <f t="shared" si="390"/>
        <v/>
      </c>
      <c r="Y1656" s="586" t="str">
        <f t="shared" si="395"/>
        <v/>
      </c>
      <c r="Z1656" s="586" t="str">
        <f t="shared" si="393"/>
        <v/>
      </c>
    </row>
    <row r="1657" spans="1:26" ht="12" hidden="1" thickBot="1" x14ac:dyDescent="0.25">
      <c r="A1657" s="652" t="s">
        <v>187</v>
      </c>
      <c r="B1657" s="653" t="s">
        <v>187</v>
      </c>
      <c r="C1657" s="654"/>
      <c r="D1657" s="427" t="s">
        <v>575</v>
      </c>
      <c r="E1657" s="491"/>
      <c r="F1657" s="655"/>
      <c r="G1657" s="656"/>
      <c r="H1657" s="657"/>
      <c r="I1657" s="429">
        <v>0</v>
      </c>
      <c r="J1657" s="429"/>
      <c r="K1657" s="429"/>
      <c r="L1657" s="429" t="s">
        <v>614</v>
      </c>
      <c r="M1657" s="657"/>
      <c r="N1657" s="576">
        <f t="shared" si="394"/>
        <v>0</v>
      </c>
      <c r="O1657" s="429">
        <f t="shared" si="399"/>
        <v>0</v>
      </c>
      <c r="P1657" s="658">
        <f t="shared" si="400"/>
        <v>0</v>
      </c>
      <c r="Q1657" s="765"/>
      <c r="R1657" s="657"/>
      <c r="S1657" s="429"/>
      <c r="T1657" s="429">
        <f t="shared" si="397"/>
        <v>0</v>
      </c>
      <c r="U1657" s="658">
        <f t="shared" si="398"/>
        <v>0</v>
      </c>
      <c r="V1657" s="579"/>
      <c r="W1657" s="637" t="str">
        <f>IF(OR(SUM(P1658:P1689)&gt;0,SUM(U1658:U1689)&gt;0),"y","")</f>
        <v/>
      </c>
      <c r="X1657" s="586" t="str">
        <f t="shared" si="390"/>
        <v/>
      </c>
      <c r="Y1657" s="586" t="str">
        <f t="shared" si="395"/>
        <v/>
      </c>
      <c r="Z1657" s="586" t="str">
        <f t="shared" si="393"/>
        <v/>
      </c>
    </row>
    <row r="1658" spans="1:26" ht="12" hidden="1" thickBot="1" x14ac:dyDescent="0.25">
      <c r="A1658" s="652" t="s">
        <v>187</v>
      </c>
      <c r="B1658" s="572" t="s">
        <v>187</v>
      </c>
      <c r="C1658" s="573" t="s">
        <v>187</v>
      </c>
      <c r="D1658" s="580"/>
      <c r="E1658" s="575"/>
      <c r="F1658" s="436"/>
      <c r="G1658" s="431"/>
      <c r="H1658" s="430"/>
      <c r="I1658" s="432"/>
      <c r="J1658" s="433"/>
      <c r="K1658" s="434">
        <f t="shared" ref="K1658:K1689" si="401">IF(ISBLANK(J1658),0,ROUND(J1658*(1+$F$10)*(1+$F$11*E1658),2))</f>
        <v>0</v>
      </c>
      <c r="L1658" s="435" t="s">
        <v>614</v>
      </c>
      <c r="M1658" s="587"/>
      <c r="N1658" s="576">
        <f t="shared" si="394"/>
        <v>0</v>
      </c>
      <c r="O1658" s="577">
        <f t="shared" si="399"/>
        <v>0</v>
      </c>
      <c r="P1658" s="578">
        <f t="shared" si="400"/>
        <v>0</v>
      </c>
      <c r="Q1658" s="765"/>
      <c r="R1658" s="650">
        <f t="shared" si="396"/>
        <v>0</v>
      </c>
      <c r="S1658" s="587">
        <f t="shared" si="396"/>
        <v>0</v>
      </c>
      <c r="T1658" s="577">
        <f t="shared" si="397"/>
        <v>0</v>
      </c>
      <c r="U1658" s="578">
        <f t="shared" si="398"/>
        <v>0</v>
      </c>
      <c r="V1658" s="579"/>
      <c r="W1658" s="566"/>
      <c r="X1658" s="586" t="str">
        <f t="shared" si="390"/>
        <v/>
      </c>
      <c r="Y1658" s="586" t="str">
        <f t="shared" si="395"/>
        <v/>
      </c>
      <c r="Z1658" s="586" t="str">
        <f t="shared" si="393"/>
        <v/>
      </c>
    </row>
    <row r="1659" spans="1:26" ht="12" hidden="1" thickBot="1" x14ac:dyDescent="0.25">
      <c r="A1659" s="652" t="s">
        <v>187</v>
      </c>
      <c r="B1659" s="572" t="s">
        <v>187</v>
      </c>
      <c r="C1659" s="573" t="s">
        <v>187</v>
      </c>
      <c r="D1659" s="580"/>
      <c r="E1659" s="575"/>
      <c r="F1659" s="436"/>
      <c r="G1659" s="431"/>
      <c r="H1659" s="430"/>
      <c r="I1659" s="432"/>
      <c r="J1659" s="433"/>
      <c r="K1659" s="437">
        <f t="shared" si="401"/>
        <v>0</v>
      </c>
      <c r="L1659" s="435" t="s">
        <v>614</v>
      </c>
      <c r="M1659" s="576"/>
      <c r="N1659" s="576">
        <f t="shared" si="394"/>
        <v>0</v>
      </c>
      <c r="O1659" s="577">
        <f t="shared" si="399"/>
        <v>0</v>
      </c>
      <c r="P1659" s="578">
        <f t="shared" si="400"/>
        <v>0</v>
      </c>
      <c r="Q1659" s="765"/>
      <c r="R1659" s="576">
        <f t="shared" si="396"/>
        <v>0</v>
      </c>
      <c r="S1659" s="576">
        <f t="shared" si="396"/>
        <v>0</v>
      </c>
      <c r="T1659" s="577">
        <f t="shared" si="397"/>
        <v>0</v>
      </c>
      <c r="U1659" s="659">
        <f t="shared" si="398"/>
        <v>0</v>
      </c>
      <c r="V1659" s="579"/>
      <c r="W1659" s="566"/>
      <c r="X1659" s="586" t="str">
        <f t="shared" si="390"/>
        <v/>
      </c>
      <c r="Y1659" s="586" t="str">
        <f t="shared" si="395"/>
        <v/>
      </c>
      <c r="Z1659" s="586" t="str">
        <f t="shared" si="393"/>
        <v/>
      </c>
    </row>
    <row r="1660" spans="1:26" ht="12" hidden="1" thickBot="1" x14ac:dyDescent="0.25">
      <c r="A1660" s="652" t="s">
        <v>187</v>
      </c>
      <c r="B1660" s="572" t="s">
        <v>187</v>
      </c>
      <c r="C1660" s="573" t="s">
        <v>187</v>
      </c>
      <c r="D1660" s="580"/>
      <c r="E1660" s="575"/>
      <c r="F1660" s="436"/>
      <c r="G1660" s="431"/>
      <c r="H1660" s="430"/>
      <c r="I1660" s="432"/>
      <c r="J1660" s="433"/>
      <c r="K1660" s="437">
        <f t="shared" si="401"/>
        <v>0</v>
      </c>
      <c r="L1660" s="435" t="s">
        <v>614</v>
      </c>
      <c r="M1660" s="576"/>
      <c r="N1660" s="576">
        <f t="shared" si="394"/>
        <v>0</v>
      </c>
      <c r="O1660" s="577">
        <f t="shared" si="399"/>
        <v>0</v>
      </c>
      <c r="P1660" s="578">
        <f t="shared" si="400"/>
        <v>0</v>
      </c>
      <c r="Q1660" s="765"/>
      <c r="R1660" s="576">
        <f t="shared" si="396"/>
        <v>0</v>
      </c>
      <c r="S1660" s="576">
        <f t="shared" si="396"/>
        <v>0</v>
      </c>
      <c r="T1660" s="577">
        <f t="shared" si="397"/>
        <v>0</v>
      </c>
      <c r="U1660" s="578">
        <f t="shared" si="398"/>
        <v>0</v>
      </c>
      <c r="V1660" s="579"/>
      <c r="W1660" s="566"/>
      <c r="X1660" s="586" t="str">
        <f t="shared" si="390"/>
        <v/>
      </c>
      <c r="Y1660" s="586" t="str">
        <f t="shared" si="395"/>
        <v/>
      </c>
      <c r="Z1660" s="586" t="str">
        <f t="shared" si="393"/>
        <v/>
      </c>
    </row>
    <row r="1661" spans="1:26" ht="12" hidden="1" thickBot="1" x14ac:dyDescent="0.25">
      <c r="A1661" s="652" t="s">
        <v>187</v>
      </c>
      <c r="B1661" s="572" t="s">
        <v>187</v>
      </c>
      <c r="C1661" s="573" t="s">
        <v>187</v>
      </c>
      <c r="D1661" s="580"/>
      <c r="E1661" s="575"/>
      <c r="F1661" s="436"/>
      <c r="G1661" s="431"/>
      <c r="H1661" s="430"/>
      <c r="I1661" s="432"/>
      <c r="J1661" s="433"/>
      <c r="K1661" s="437">
        <f t="shared" si="401"/>
        <v>0</v>
      </c>
      <c r="L1661" s="435" t="s">
        <v>614</v>
      </c>
      <c r="M1661" s="576"/>
      <c r="N1661" s="576">
        <f t="shared" si="394"/>
        <v>0</v>
      </c>
      <c r="O1661" s="577">
        <f t="shared" si="399"/>
        <v>0</v>
      </c>
      <c r="P1661" s="578">
        <f t="shared" si="400"/>
        <v>0</v>
      </c>
      <c r="Q1661" s="765"/>
      <c r="R1661" s="576">
        <f t="shared" si="396"/>
        <v>0</v>
      </c>
      <c r="S1661" s="576">
        <f t="shared" si="396"/>
        <v>0</v>
      </c>
      <c r="T1661" s="577">
        <f t="shared" si="397"/>
        <v>0</v>
      </c>
      <c r="U1661" s="578">
        <f t="shared" si="398"/>
        <v>0</v>
      </c>
      <c r="V1661" s="579"/>
      <c r="W1661" s="566"/>
      <c r="X1661" s="586" t="str">
        <f t="shared" ref="X1661:X1724" si="402">IF(W1661="X","x",IF(W1661="xx","x",IF(W1661="xy","x",IF(W1661="y","x",IF(OR(P1661&gt;0,U1661&gt;0),"x","")))))</f>
        <v/>
      </c>
      <c r="Y1661" s="586" t="str">
        <f t="shared" si="395"/>
        <v/>
      </c>
      <c r="Z1661" s="586" t="str">
        <f t="shared" si="393"/>
        <v/>
      </c>
    </row>
    <row r="1662" spans="1:26" ht="12" hidden="1" thickBot="1" x14ac:dyDescent="0.25">
      <c r="A1662" s="652" t="s">
        <v>187</v>
      </c>
      <c r="B1662" s="572" t="s">
        <v>187</v>
      </c>
      <c r="C1662" s="573" t="s">
        <v>187</v>
      </c>
      <c r="D1662" s="580"/>
      <c r="E1662" s="575"/>
      <c r="F1662" s="436"/>
      <c r="G1662" s="431"/>
      <c r="H1662" s="430"/>
      <c r="I1662" s="432"/>
      <c r="J1662" s="433"/>
      <c r="K1662" s="437">
        <f t="shared" si="401"/>
        <v>0</v>
      </c>
      <c r="L1662" s="435" t="s">
        <v>614</v>
      </c>
      <c r="M1662" s="576"/>
      <c r="N1662" s="576">
        <f t="shared" si="394"/>
        <v>0</v>
      </c>
      <c r="O1662" s="577">
        <f t="shared" si="399"/>
        <v>0</v>
      </c>
      <c r="P1662" s="578">
        <f t="shared" si="400"/>
        <v>0</v>
      </c>
      <c r="Q1662" s="765"/>
      <c r="R1662" s="576">
        <f t="shared" si="396"/>
        <v>0</v>
      </c>
      <c r="S1662" s="576">
        <f t="shared" si="396"/>
        <v>0</v>
      </c>
      <c r="T1662" s="577">
        <f t="shared" si="397"/>
        <v>0</v>
      </c>
      <c r="U1662" s="578">
        <f t="shared" si="398"/>
        <v>0</v>
      </c>
      <c r="V1662" s="579"/>
      <c r="W1662" s="566"/>
      <c r="X1662" s="586" t="str">
        <f t="shared" si="402"/>
        <v/>
      </c>
      <c r="Y1662" s="586" t="str">
        <f t="shared" si="395"/>
        <v/>
      </c>
      <c r="Z1662" s="586" t="str">
        <f t="shared" si="393"/>
        <v/>
      </c>
    </row>
    <row r="1663" spans="1:26" ht="12" hidden="1" thickBot="1" x14ac:dyDescent="0.25">
      <c r="A1663" s="652" t="s">
        <v>187</v>
      </c>
      <c r="B1663" s="572" t="s">
        <v>187</v>
      </c>
      <c r="C1663" s="573" t="s">
        <v>187</v>
      </c>
      <c r="D1663" s="580"/>
      <c r="E1663" s="575"/>
      <c r="F1663" s="436"/>
      <c r="G1663" s="431"/>
      <c r="H1663" s="430"/>
      <c r="I1663" s="432"/>
      <c r="J1663" s="433"/>
      <c r="K1663" s="437">
        <f t="shared" si="401"/>
        <v>0</v>
      </c>
      <c r="L1663" s="435" t="s">
        <v>614</v>
      </c>
      <c r="M1663" s="576"/>
      <c r="N1663" s="576">
        <f t="shared" si="394"/>
        <v>0</v>
      </c>
      <c r="O1663" s="577">
        <f t="shared" si="399"/>
        <v>0</v>
      </c>
      <c r="P1663" s="578">
        <f t="shared" si="400"/>
        <v>0</v>
      </c>
      <c r="Q1663" s="765"/>
      <c r="R1663" s="576">
        <f t="shared" si="396"/>
        <v>0</v>
      </c>
      <c r="S1663" s="576">
        <f t="shared" si="396"/>
        <v>0</v>
      </c>
      <c r="T1663" s="577">
        <f t="shared" si="397"/>
        <v>0</v>
      </c>
      <c r="U1663" s="578">
        <f t="shared" si="398"/>
        <v>0</v>
      </c>
      <c r="V1663" s="579"/>
      <c r="W1663" s="566"/>
      <c r="X1663" s="586" t="str">
        <f t="shared" si="402"/>
        <v/>
      </c>
      <c r="Y1663" s="586" t="str">
        <f t="shared" si="395"/>
        <v/>
      </c>
      <c r="Z1663" s="586" t="str">
        <f t="shared" si="393"/>
        <v/>
      </c>
    </row>
    <row r="1664" spans="1:26" ht="12" hidden="1" thickBot="1" x14ac:dyDescent="0.25">
      <c r="A1664" s="652" t="s">
        <v>187</v>
      </c>
      <c r="B1664" s="572" t="s">
        <v>187</v>
      </c>
      <c r="C1664" s="573" t="s">
        <v>187</v>
      </c>
      <c r="D1664" s="580"/>
      <c r="E1664" s="575"/>
      <c r="F1664" s="436"/>
      <c r="G1664" s="431"/>
      <c r="H1664" s="430"/>
      <c r="I1664" s="432"/>
      <c r="J1664" s="433"/>
      <c r="K1664" s="437">
        <f t="shared" si="401"/>
        <v>0</v>
      </c>
      <c r="L1664" s="435" t="s">
        <v>614</v>
      </c>
      <c r="M1664" s="576"/>
      <c r="N1664" s="576">
        <f t="shared" si="394"/>
        <v>0</v>
      </c>
      <c r="O1664" s="577">
        <f t="shared" si="399"/>
        <v>0</v>
      </c>
      <c r="P1664" s="578">
        <f t="shared" si="400"/>
        <v>0</v>
      </c>
      <c r="Q1664" s="765"/>
      <c r="R1664" s="576">
        <f t="shared" si="396"/>
        <v>0</v>
      </c>
      <c r="S1664" s="576">
        <f t="shared" si="396"/>
        <v>0</v>
      </c>
      <c r="T1664" s="577">
        <f t="shared" si="397"/>
        <v>0</v>
      </c>
      <c r="U1664" s="578">
        <f t="shared" si="398"/>
        <v>0</v>
      </c>
      <c r="V1664" s="579"/>
      <c r="W1664" s="566"/>
      <c r="X1664" s="586" t="str">
        <f t="shared" si="402"/>
        <v/>
      </c>
      <c r="Y1664" s="586" t="str">
        <f t="shared" si="395"/>
        <v/>
      </c>
      <c r="Z1664" s="586" t="str">
        <f t="shared" si="393"/>
        <v/>
      </c>
    </row>
    <row r="1665" spans="1:26" ht="12" hidden="1" thickBot="1" x14ac:dyDescent="0.25">
      <c r="A1665" s="652" t="s">
        <v>187</v>
      </c>
      <c r="B1665" s="572" t="s">
        <v>187</v>
      </c>
      <c r="C1665" s="573" t="s">
        <v>187</v>
      </c>
      <c r="D1665" s="580"/>
      <c r="E1665" s="575"/>
      <c r="F1665" s="436"/>
      <c r="G1665" s="431"/>
      <c r="H1665" s="430"/>
      <c r="I1665" s="432"/>
      <c r="J1665" s="433"/>
      <c r="K1665" s="437">
        <f t="shared" si="401"/>
        <v>0</v>
      </c>
      <c r="L1665" s="435" t="s">
        <v>614</v>
      </c>
      <c r="M1665" s="576"/>
      <c r="N1665" s="576">
        <f t="shared" si="394"/>
        <v>0</v>
      </c>
      <c r="O1665" s="577">
        <f t="shared" si="399"/>
        <v>0</v>
      </c>
      <c r="P1665" s="578">
        <f t="shared" si="400"/>
        <v>0</v>
      </c>
      <c r="Q1665" s="765"/>
      <c r="R1665" s="576">
        <f t="shared" si="396"/>
        <v>0</v>
      </c>
      <c r="S1665" s="576">
        <f t="shared" si="396"/>
        <v>0</v>
      </c>
      <c r="T1665" s="577">
        <f t="shared" si="397"/>
        <v>0</v>
      </c>
      <c r="U1665" s="578">
        <f t="shared" si="398"/>
        <v>0</v>
      </c>
      <c r="V1665" s="579"/>
      <c r="W1665" s="566"/>
      <c r="X1665" s="586" t="str">
        <f t="shared" si="402"/>
        <v/>
      </c>
      <c r="Y1665" s="586" t="str">
        <f t="shared" si="395"/>
        <v/>
      </c>
      <c r="Z1665" s="586" t="str">
        <f t="shared" si="393"/>
        <v/>
      </c>
    </row>
    <row r="1666" spans="1:26" ht="12" hidden="1" thickBot="1" x14ac:dyDescent="0.25">
      <c r="A1666" s="652" t="s">
        <v>187</v>
      </c>
      <c r="B1666" s="572" t="s">
        <v>187</v>
      </c>
      <c r="C1666" s="573" t="s">
        <v>187</v>
      </c>
      <c r="D1666" s="580"/>
      <c r="E1666" s="575"/>
      <c r="F1666" s="436"/>
      <c r="G1666" s="431"/>
      <c r="H1666" s="430"/>
      <c r="I1666" s="432"/>
      <c r="J1666" s="433"/>
      <c r="K1666" s="437">
        <f t="shared" si="401"/>
        <v>0</v>
      </c>
      <c r="L1666" s="435" t="s">
        <v>614</v>
      </c>
      <c r="M1666" s="576"/>
      <c r="N1666" s="576">
        <f t="shared" si="394"/>
        <v>0</v>
      </c>
      <c r="O1666" s="577">
        <f t="shared" si="399"/>
        <v>0</v>
      </c>
      <c r="P1666" s="578">
        <f t="shared" si="400"/>
        <v>0</v>
      </c>
      <c r="Q1666" s="765"/>
      <c r="R1666" s="576">
        <f t="shared" si="396"/>
        <v>0</v>
      </c>
      <c r="S1666" s="576">
        <f t="shared" si="396"/>
        <v>0</v>
      </c>
      <c r="T1666" s="577">
        <f t="shared" si="397"/>
        <v>0</v>
      </c>
      <c r="U1666" s="578">
        <f t="shared" si="398"/>
        <v>0</v>
      </c>
      <c r="V1666" s="579"/>
      <c r="W1666" s="566"/>
      <c r="X1666" s="586" t="str">
        <f t="shared" si="402"/>
        <v/>
      </c>
      <c r="Y1666" s="586" t="str">
        <f t="shared" si="395"/>
        <v/>
      </c>
      <c r="Z1666" s="586" t="str">
        <f t="shared" si="393"/>
        <v/>
      </c>
    </row>
    <row r="1667" spans="1:26" ht="12" hidden="1" thickBot="1" x14ac:dyDescent="0.25">
      <c r="A1667" s="652" t="s">
        <v>187</v>
      </c>
      <c r="B1667" s="572" t="s">
        <v>187</v>
      </c>
      <c r="C1667" s="573" t="s">
        <v>187</v>
      </c>
      <c r="D1667" s="580"/>
      <c r="E1667" s="575"/>
      <c r="F1667" s="436"/>
      <c r="G1667" s="431"/>
      <c r="H1667" s="430"/>
      <c r="I1667" s="432"/>
      <c r="J1667" s="433"/>
      <c r="K1667" s="437">
        <f t="shared" si="401"/>
        <v>0</v>
      </c>
      <c r="L1667" s="435" t="s">
        <v>614</v>
      </c>
      <c r="M1667" s="576"/>
      <c r="N1667" s="576">
        <f t="shared" si="394"/>
        <v>0</v>
      </c>
      <c r="O1667" s="577">
        <f t="shared" si="399"/>
        <v>0</v>
      </c>
      <c r="P1667" s="578">
        <f t="shared" si="400"/>
        <v>0</v>
      </c>
      <c r="Q1667" s="765"/>
      <c r="R1667" s="576">
        <f t="shared" si="396"/>
        <v>0</v>
      </c>
      <c r="S1667" s="576">
        <f t="shared" si="396"/>
        <v>0</v>
      </c>
      <c r="T1667" s="577">
        <f t="shared" si="397"/>
        <v>0</v>
      </c>
      <c r="U1667" s="578">
        <f t="shared" si="398"/>
        <v>0</v>
      </c>
      <c r="V1667" s="579"/>
      <c r="W1667" s="566"/>
      <c r="X1667" s="586" t="str">
        <f t="shared" si="402"/>
        <v/>
      </c>
      <c r="Y1667" s="586" t="str">
        <f t="shared" si="395"/>
        <v/>
      </c>
      <c r="Z1667" s="586" t="str">
        <f t="shared" si="393"/>
        <v/>
      </c>
    </row>
    <row r="1668" spans="1:26" ht="12" hidden="1" thickBot="1" x14ac:dyDescent="0.25">
      <c r="A1668" s="652" t="s">
        <v>187</v>
      </c>
      <c r="B1668" s="572" t="s">
        <v>187</v>
      </c>
      <c r="C1668" s="573" t="s">
        <v>187</v>
      </c>
      <c r="D1668" s="580"/>
      <c r="E1668" s="575"/>
      <c r="F1668" s="436"/>
      <c r="G1668" s="431"/>
      <c r="H1668" s="430"/>
      <c r="I1668" s="432"/>
      <c r="J1668" s="433"/>
      <c r="K1668" s="437">
        <f t="shared" si="401"/>
        <v>0</v>
      </c>
      <c r="L1668" s="435" t="s">
        <v>614</v>
      </c>
      <c r="M1668" s="576"/>
      <c r="N1668" s="576">
        <f t="shared" si="394"/>
        <v>0</v>
      </c>
      <c r="O1668" s="577">
        <f t="shared" si="399"/>
        <v>0</v>
      </c>
      <c r="P1668" s="578">
        <f t="shared" si="400"/>
        <v>0</v>
      </c>
      <c r="Q1668" s="765"/>
      <c r="R1668" s="576">
        <f t="shared" si="396"/>
        <v>0</v>
      </c>
      <c r="S1668" s="576">
        <f t="shared" si="396"/>
        <v>0</v>
      </c>
      <c r="T1668" s="577">
        <f t="shared" si="397"/>
        <v>0</v>
      </c>
      <c r="U1668" s="578">
        <f t="shared" si="398"/>
        <v>0</v>
      </c>
      <c r="V1668" s="579"/>
      <c r="W1668" s="566"/>
      <c r="X1668" s="586" t="str">
        <f t="shared" si="402"/>
        <v/>
      </c>
      <c r="Y1668" s="586" t="str">
        <f t="shared" si="395"/>
        <v/>
      </c>
      <c r="Z1668" s="586" t="str">
        <f t="shared" si="393"/>
        <v/>
      </c>
    </row>
    <row r="1669" spans="1:26" ht="12" hidden="1" thickBot="1" x14ac:dyDescent="0.25">
      <c r="A1669" s="652" t="s">
        <v>187</v>
      </c>
      <c r="B1669" s="572" t="s">
        <v>187</v>
      </c>
      <c r="C1669" s="573" t="s">
        <v>187</v>
      </c>
      <c r="D1669" s="580"/>
      <c r="E1669" s="575"/>
      <c r="F1669" s="436"/>
      <c r="G1669" s="431"/>
      <c r="H1669" s="430"/>
      <c r="I1669" s="432"/>
      <c r="J1669" s="433"/>
      <c r="K1669" s="437">
        <f t="shared" si="401"/>
        <v>0</v>
      </c>
      <c r="L1669" s="435" t="s">
        <v>614</v>
      </c>
      <c r="M1669" s="576"/>
      <c r="N1669" s="576">
        <f t="shared" si="394"/>
        <v>0</v>
      </c>
      <c r="O1669" s="577">
        <f t="shared" si="399"/>
        <v>0</v>
      </c>
      <c r="P1669" s="578">
        <f t="shared" si="400"/>
        <v>0</v>
      </c>
      <c r="Q1669" s="765"/>
      <c r="R1669" s="576">
        <f t="shared" si="396"/>
        <v>0</v>
      </c>
      <c r="S1669" s="576">
        <f t="shared" si="396"/>
        <v>0</v>
      </c>
      <c r="T1669" s="577">
        <f t="shared" si="397"/>
        <v>0</v>
      </c>
      <c r="U1669" s="578">
        <f t="shared" si="398"/>
        <v>0</v>
      </c>
      <c r="V1669" s="579"/>
      <c r="W1669" s="566"/>
      <c r="X1669" s="586" t="str">
        <f t="shared" si="402"/>
        <v/>
      </c>
      <c r="Y1669" s="586" t="str">
        <f t="shared" si="395"/>
        <v/>
      </c>
      <c r="Z1669" s="586" t="str">
        <f t="shared" si="393"/>
        <v/>
      </c>
    </row>
    <row r="1670" spans="1:26" ht="12" hidden="1" thickBot="1" x14ac:dyDescent="0.25">
      <c r="A1670" s="652" t="s">
        <v>187</v>
      </c>
      <c r="B1670" s="572" t="s">
        <v>187</v>
      </c>
      <c r="C1670" s="573" t="s">
        <v>187</v>
      </c>
      <c r="D1670" s="580"/>
      <c r="E1670" s="575"/>
      <c r="F1670" s="436"/>
      <c r="G1670" s="431"/>
      <c r="H1670" s="430"/>
      <c r="I1670" s="432"/>
      <c r="J1670" s="433"/>
      <c r="K1670" s="437">
        <f t="shared" si="401"/>
        <v>0</v>
      </c>
      <c r="L1670" s="435" t="s">
        <v>614</v>
      </c>
      <c r="M1670" s="576"/>
      <c r="N1670" s="576">
        <f t="shared" si="394"/>
        <v>0</v>
      </c>
      <c r="O1670" s="577">
        <f t="shared" si="399"/>
        <v>0</v>
      </c>
      <c r="P1670" s="578">
        <f t="shared" si="400"/>
        <v>0</v>
      </c>
      <c r="Q1670" s="765"/>
      <c r="R1670" s="576">
        <f t="shared" si="396"/>
        <v>0</v>
      </c>
      <c r="S1670" s="576">
        <f t="shared" si="396"/>
        <v>0</v>
      </c>
      <c r="T1670" s="577">
        <f t="shared" si="397"/>
        <v>0</v>
      </c>
      <c r="U1670" s="578">
        <f t="shared" si="398"/>
        <v>0</v>
      </c>
      <c r="V1670" s="579"/>
      <c r="W1670" s="566"/>
      <c r="X1670" s="586" t="str">
        <f t="shared" si="402"/>
        <v/>
      </c>
      <c r="Y1670" s="586" t="str">
        <f t="shared" si="395"/>
        <v/>
      </c>
      <c r="Z1670" s="586" t="str">
        <f t="shared" si="393"/>
        <v/>
      </c>
    </row>
    <row r="1671" spans="1:26" ht="12" hidden="1" thickBot="1" x14ac:dyDescent="0.25">
      <c r="A1671" s="652" t="s">
        <v>187</v>
      </c>
      <c r="B1671" s="572" t="s">
        <v>187</v>
      </c>
      <c r="C1671" s="573" t="s">
        <v>187</v>
      </c>
      <c r="D1671" s="580"/>
      <c r="E1671" s="575"/>
      <c r="F1671" s="436"/>
      <c r="G1671" s="431"/>
      <c r="H1671" s="430"/>
      <c r="I1671" s="432"/>
      <c r="J1671" s="433"/>
      <c r="K1671" s="437">
        <f t="shared" si="401"/>
        <v>0</v>
      </c>
      <c r="L1671" s="435" t="s">
        <v>614</v>
      </c>
      <c r="M1671" s="576"/>
      <c r="N1671" s="576">
        <f t="shared" si="394"/>
        <v>0</v>
      </c>
      <c r="O1671" s="577">
        <f t="shared" si="399"/>
        <v>0</v>
      </c>
      <c r="P1671" s="578">
        <f t="shared" si="400"/>
        <v>0</v>
      </c>
      <c r="Q1671" s="765"/>
      <c r="R1671" s="576">
        <f t="shared" si="396"/>
        <v>0</v>
      </c>
      <c r="S1671" s="576">
        <f t="shared" si="396"/>
        <v>0</v>
      </c>
      <c r="T1671" s="577">
        <f t="shared" si="397"/>
        <v>0</v>
      </c>
      <c r="U1671" s="578">
        <f t="shared" si="398"/>
        <v>0</v>
      </c>
      <c r="V1671" s="579"/>
      <c r="W1671" s="566"/>
      <c r="X1671" s="586" t="str">
        <f t="shared" si="402"/>
        <v/>
      </c>
      <c r="Y1671" s="586" t="str">
        <f t="shared" si="395"/>
        <v/>
      </c>
      <c r="Z1671" s="586" t="str">
        <f t="shared" si="393"/>
        <v/>
      </c>
    </row>
    <row r="1672" spans="1:26" ht="12" hidden="1" thickBot="1" x14ac:dyDescent="0.25">
      <c r="A1672" s="652" t="s">
        <v>187</v>
      </c>
      <c r="B1672" s="572" t="s">
        <v>187</v>
      </c>
      <c r="C1672" s="573" t="s">
        <v>187</v>
      </c>
      <c r="D1672" s="580"/>
      <c r="E1672" s="575"/>
      <c r="F1672" s="436"/>
      <c r="G1672" s="431"/>
      <c r="H1672" s="430"/>
      <c r="I1672" s="432"/>
      <c r="J1672" s="433"/>
      <c r="K1672" s="437">
        <f t="shared" si="401"/>
        <v>0</v>
      </c>
      <c r="L1672" s="435" t="s">
        <v>614</v>
      </c>
      <c r="M1672" s="576"/>
      <c r="N1672" s="576">
        <f t="shared" si="394"/>
        <v>0</v>
      </c>
      <c r="O1672" s="577">
        <f t="shared" si="399"/>
        <v>0</v>
      </c>
      <c r="P1672" s="578">
        <f t="shared" si="400"/>
        <v>0</v>
      </c>
      <c r="Q1672" s="765"/>
      <c r="R1672" s="576">
        <f t="shared" si="396"/>
        <v>0</v>
      </c>
      <c r="S1672" s="576">
        <f t="shared" si="396"/>
        <v>0</v>
      </c>
      <c r="T1672" s="577">
        <f t="shared" si="397"/>
        <v>0</v>
      </c>
      <c r="U1672" s="578">
        <f t="shared" si="398"/>
        <v>0</v>
      </c>
      <c r="V1672" s="579"/>
      <c r="W1672" s="566"/>
      <c r="X1672" s="586" t="str">
        <f t="shared" si="402"/>
        <v/>
      </c>
      <c r="Y1672" s="586" t="str">
        <f t="shared" si="395"/>
        <v/>
      </c>
      <c r="Z1672" s="586" t="str">
        <f t="shared" si="393"/>
        <v/>
      </c>
    </row>
    <row r="1673" spans="1:26" ht="12" hidden="1" thickBot="1" x14ac:dyDescent="0.25">
      <c r="A1673" s="652" t="s">
        <v>187</v>
      </c>
      <c r="B1673" s="572" t="s">
        <v>187</v>
      </c>
      <c r="C1673" s="573" t="s">
        <v>187</v>
      </c>
      <c r="D1673" s="580"/>
      <c r="E1673" s="575"/>
      <c r="F1673" s="436"/>
      <c r="G1673" s="431"/>
      <c r="H1673" s="430"/>
      <c r="I1673" s="432"/>
      <c r="J1673" s="433"/>
      <c r="K1673" s="437">
        <f t="shared" si="401"/>
        <v>0</v>
      </c>
      <c r="L1673" s="435" t="s">
        <v>614</v>
      </c>
      <c r="M1673" s="576"/>
      <c r="N1673" s="576">
        <f t="shared" si="394"/>
        <v>0</v>
      </c>
      <c r="O1673" s="577">
        <f t="shared" si="399"/>
        <v>0</v>
      </c>
      <c r="P1673" s="578">
        <f t="shared" si="400"/>
        <v>0</v>
      </c>
      <c r="Q1673" s="765"/>
      <c r="R1673" s="576">
        <f t="shared" si="396"/>
        <v>0</v>
      </c>
      <c r="S1673" s="576">
        <f t="shared" si="396"/>
        <v>0</v>
      </c>
      <c r="T1673" s="577">
        <f t="shared" si="397"/>
        <v>0</v>
      </c>
      <c r="U1673" s="578">
        <f t="shared" si="398"/>
        <v>0</v>
      </c>
      <c r="V1673" s="579"/>
      <c r="W1673" s="566"/>
      <c r="X1673" s="586" t="str">
        <f t="shared" si="402"/>
        <v/>
      </c>
      <c r="Y1673" s="586" t="str">
        <f t="shared" si="395"/>
        <v/>
      </c>
      <c r="Z1673" s="586" t="str">
        <f t="shared" si="393"/>
        <v/>
      </c>
    </row>
    <row r="1674" spans="1:26" ht="12" hidden="1" thickBot="1" x14ac:dyDescent="0.25">
      <c r="A1674" s="652" t="s">
        <v>187</v>
      </c>
      <c r="B1674" s="572" t="s">
        <v>187</v>
      </c>
      <c r="C1674" s="573" t="s">
        <v>187</v>
      </c>
      <c r="D1674" s="580"/>
      <c r="E1674" s="575"/>
      <c r="F1674" s="436"/>
      <c r="G1674" s="431"/>
      <c r="H1674" s="430"/>
      <c r="I1674" s="432"/>
      <c r="J1674" s="433"/>
      <c r="K1674" s="437">
        <f t="shared" si="401"/>
        <v>0</v>
      </c>
      <c r="L1674" s="435" t="s">
        <v>614</v>
      </c>
      <c r="M1674" s="576"/>
      <c r="N1674" s="576">
        <f t="shared" si="394"/>
        <v>0</v>
      </c>
      <c r="O1674" s="577">
        <f t="shared" si="399"/>
        <v>0</v>
      </c>
      <c r="P1674" s="578">
        <f t="shared" si="400"/>
        <v>0</v>
      </c>
      <c r="Q1674" s="765"/>
      <c r="R1674" s="576">
        <f t="shared" si="396"/>
        <v>0</v>
      </c>
      <c r="S1674" s="576">
        <f t="shared" si="396"/>
        <v>0</v>
      </c>
      <c r="T1674" s="577">
        <f t="shared" si="397"/>
        <v>0</v>
      </c>
      <c r="U1674" s="578">
        <f t="shared" si="398"/>
        <v>0</v>
      </c>
      <c r="V1674" s="579"/>
      <c r="W1674" s="566"/>
      <c r="X1674" s="586" t="str">
        <f t="shared" si="402"/>
        <v/>
      </c>
      <c r="Y1674" s="586" t="str">
        <f t="shared" si="395"/>
        <v/>
      </c>
      <c r="Z1674" s="586" t="str">
        <f t="shared" si="393"/>
        <v/>
      </c>
    </row>
    <row r="1675" spans="1:26" ht="12" hidden="1" thickBot="1" x14ac:dyDescent="0.25">
      <c r="A1675" s="652" t="s">
        <v>187</v>
      </c>
      <c r="B1675" s="572" t="s">
        <v>187</v>
      </c>
      <c r="C1675" s="573" t="s">
        <v>187</v>
      </c>
      <c r="D1675" s="580"/>
      <c r="E1675" s="575"/>
      <c r="F1675" s="436"/>
      <c r="G1675" s="431"/>
      <c r="H1675" s="430"/>
      <c r="I1675" s="432"/>
      <c r="J1675" s="433"/>
      <c r="K1675" s="437">
        <f t="shared" si="401"/>
        <v>0</v>
      </c>
      <c r="L1675" s="435" t="s">
        <v>614</v>
      </c>
      <c r="M1675" s="576"/>
      <c r="N1675" s="576">
        <f t="shared" si="394"/>
        <v>0</v>
      </c>
      <c r="O1675" s="577">
        <f t="shared" si="399"/>
        <v>0</v>
      </c>
      <c r="P1675" s="578">
        <f t="shared" si="400"/>
        <v>0</v>
      </c>
      <c r="Q1675" s="765"/>
      <c r="R1675" s="576">
        <f t="shared" si="396"/>
        <v>0</v>
      </c>
      <c r="S1675" s="576">
        <f t="shared" si="396"/>
        <v>0</v>
      </c>
      <c r="T1675" s="577">
        <f t="shared" si="397"/>
        <v>0</v>
      </c>
      <c r="U1675" s="578">
        <f t="shared" si="398"/>
        <v>0</v>
      </c>
      <c r="V1675" s="579"/>
      <c r="W1675" s="566"/>
      <c r="X1675" s="586" t="str">
        <f t="shared" si="402"/>
        <v/>
      </c>
      <c r="Y1675" s="586" t="str">
        <f t="shared" si="395"/>
        <v/>
      </c>
      <c r="Z1675" s="586" t="str">
        <f t="shared" si="393"/>
        <v/>
      </c>
    </row>
    <row r="1676" spans="1:26" ht="12" hidden="1" thickBot="1" x14ac:dyDescent="0.25">
      <c r="A1676" s="652" t="s">
        <v>187</v>
      </c>
      <c r="B1676" s="572" t="s">
        <v>187</v>
      </c>
      <c r="C1676" s="573" t="s">
        <v>187</v>
      </c>
      <c r="D1676" s="580"/>
      <c r="E1676" s="575"/>
      <c r="F1676" s="436"/>
      <c r="G1676" s="431"/>
      <c r="H1676" s="430"/>
      <c r="I1676" s="432"/>
      <c r="J1676" s="433"/>
      <c r="K1676" s="437">
        <f t="shared" si="401"/>
        <v>0</v>
      </c>
      <c r="L1676" s="435" t="s">
        <v>614</v>
      </c>
      <c r="M1676" s="576"/>
      <c r="N1676" s="576">
        <f t="shared" si="394"/>
        <v>0</v>
      </c>
      <c r="O1676" s="577">
        <f t="shared" si="399"/>
        <v>0</v>
      </c>
      <c r="P1676" s="578">
        <f t="shared" si="400"/>
        <v>0</v>
      </c>
      <c r="Q1676" s="765"/>
      <c r="R1676" s="576">
        <f t="shared" si="396"/>
        <v>0</v>
      </c>
      <c r="S1676" s="576">
        <f t="shared" si="396"/>
        <v>0</v>
      </c>
      <c r="T1676" s="577">
        <f t="shared" si="397"/>
        <v>0</v>
      </c>
      <c r="U1676" s="578">
        <f t="shared" si="398"/>
        <v>0</v>
      </c>
      <c r="V1676" s="579"/>
      <c r="W1676" s="566"/>
      <c r="X1676" s="586" t="str">
        <f t="shared" si="402"/>
        <v/>
      </c>
      <c r="Y1676" s="586" t="str">
        <f t="shared" si="395"/>
        <v/>
      </c>
      <c r="Z1676" s="586" t="str">
        <f t="shared" si="393"/>
        <v/>
      </c>
    </row>
    <row r="1677" spans="1:26" ht="12" hidden="1" thickBot="1" x14ac:dyDescent="0.25">
      <c r="A1677" s="652" t="s">
        <v>187</v>
      </c>
      <c r="B1677" s="572" t="s">
        <v>187</v>
      </c>
      <c r="C1677" s="573" t="s">
        <v>187</v>
      </c>
      <c r="D1677" s="580"/>
      <c r="E1677" s="575"/>
      <c r="F1677" s="436"/>
      <c r="G1677" s="431"/>
      <c r="H1677" s="430"/>
      <c r="I1677" s="432"/>
      <c r="J1677" s="433"/>
      <c r="K1677" s="437">
        <f t="shared" si="401"/>
        <v>0</v>
      </c>
      <c r="L1677" s="435" t="s">
        <v>614</v>
      </c>
      <c r="M1677" s="576"/>
      <c r="N1677" s="576">
        <f t="shared" si="394"/>
        <v>0</v>
      </c>
      <c r="O1677" s="577">
        <f t="shared" si="399"/>
        <v>0</v>
      </c>
      <c r="P1677" s="578">
        <f t="shared" si="400"/>
        <v>0</v>
      </c>
      <c r="Q1677" s="765"/>
      <c r="R1677" s="576">
        <f t="shared" si="396"/>
        <v>0</v>
      </c>
      <c r="S1677" s="576">
        <f t="shared" si="396"/>
        <v>0</v>
      </c>
      <c r="T1677" s="577">
        <f t="shared" si="397"/>
        <v>0</v>
      </c>
      <c r="U1677" s="578">
        <f t="shared" si="398"/>
        <v>0</v>
      </c>
      <c r="V1677" s="579"/>
      <c r="W1677" s="566"/>
      <c r="X1677" s="586" t="str">
        <f t="shared" si="402"/>
        <v/>
      </c>
      <c r="Y1677" s="586" t="str">
        <f t="shared" si="395"/>
        <v/>
      </c>
      <c r="Z1677" s="586" t="str">
        <f t="shared" si="393"/>
        <v/>
      </c>
    </row>
    <row r="1678" spans="1:26" ht="12" hidden="1" thickBot="1" x14ac:dyDescent="0.25">
      <c r="A1678" s="652" t="s">
        <v>187</v>
      </c>
      <c r="B1678" s="572" t="s">
        <v>187</v>
      </c>
      <c r="C1678" s="573" t="s">
        <v>187</v>
      </c>
      <c r="D1678" s="580"/>
      <c r="E1678" s="575"/>
      <c r="F1678" s="436"/>
      <c r="G1678" s="431"/>
      <c r="H1678" s="430"/>
      <c r="I1678" s="432"/>
      <c r="J1678" s="433"/>
      <c r="K1678" s="437">
        <f t="shared" si="401"/>
        <v>0</v>
      </c>
      <c r="L1678" s="435" t="s">
        <v>614</v>
      </c>
      <c r="M1678" s="576"/>
      <c r="N1678" s="576">
        <f t="shared" si="394"/>
        <v>0</v>
      </c>
      <c r="O1678" s="577">
        <f t="shared" si="399"/>
        <v>0</v>
      </c>
      <c r="P1678" s="578">
        <f t="shared" si="400"/>
        <v>0</v>
      </c>
      <c r="Q1678" s="765"/>
      <c r="R1678" s="576">
        <f t="shared" si="396"/>
        <v>0</v>
      </c>
      <c r="S1678" s="576">
        <f t="shared" si="396"/>
        <v>0</v>
      </c>
      <c r="T1678" s="577">
        <f t="shared" si="397"/>
        <v>0</v>
      </c>
      <c r="U1678" s="578">
        <f t="shared" si="398"/>
        <v>0</v>
      </c>
      <c r="V1678" s="579"/>
      <c r="W1678" s="566"/>
      <c r="X1678" s="586" t="str">
        <f t="shared" si="402"/>
        <v/>
      </c>
      <c r="Y1678" s="586" t="str">
        <f t="shared" si="395"/>
        <v/>
      </c>
      <c r="Z1678" s="586" t="str">
        <f t="shared" si="393"/>
        <v/>
      </c>
    </row>
    <row r="1679" spans="1:26" ht="12" hidden="1" thickBot="1" x14ac:dyDescent="0.25">
      <c r="A1679" s="652" t="s">
        <v>187</v>
      </c>
      <c r="B1679" s="572" t="s">
        <v>187</v>
      </c>
      <c r="C1679" s="573" t="s">
        <v>187</v>
      </c>
      <c r="D1679" s="580"/>
      <c r="E1679" s="575"/>
      <c r="F1679" s="436"/>
      <c r="G1679" s="431"/>
      <c r="H1679" s="430"/>
      <c r="I1679" s="432"/>
      <c r="J1679" s="433"/>
      <c r="K1679" s="437">
        <f t="shared" si="401"/>
        <v>0</v>
      </c>
      <c r="L1679" s="435" t="s">
        <v>614</v>
      </c>
      <c r="M1679" s="576"/>
      <c r="N1679" s="576">
        <f t="shared" si="394"/>
        <v>0</v>
      </c>
      <c r="O1679" s="577">
        <f t="shared" si="399"/>
        <v>0</v>
      </c>
      <c r="P1679" s="578">
        <f t="shared" si="400"/>
        <v>0</v>
      </c>
      <c r="Q1679" s="765"/>
      <c r="R1679" s="576">
        <f t="shared" si="396"/>
        <v>0</v>
      </c>
      <c r="S1679" s="576">
        <f t="shared" si="396"/>
        <v>0</v>
      </c>
      <c r="T1679" s="577">
        <f t="shared" si="397"/>
        <v>0</v>
      </c>
      <c r="U1679" s="578">
        <f t="shared" si="398"/>
        <v>0</v>
      </c>
      <c r="V1679" s="579"/>
      <c r="W1679" s="566"/>
      <c r="X1679" s="586" t="str">
        <f t="shared" si="402"/>
        <v/>
      </c>
      <c r="Y1679" s="586" t="str">
        <f t="shared" si="395"/>
        <v/>
      </c>
      <c r="Z1679" s="586" t="str">
        <f t="shared" si="393"/>
        <v/>
      </c>
    </row>
    <row r="1680" spans="1:26" ht="12" hidden="1" thickBot="1" x14ac:dyDescent="0.25">
      <c r="A1680" s="652" t="s">
        <v>187</v>
      </c>
      <c r="B1680" s="572" t="s">
        <v>187</v>
      </c>
      <c r="C1680" s="573" t="s">
        <v>187</v>
      </c>
      <c r="D1680" s="580"/>
      <c r="E1680" s="575"/>
      <c r="F1680" s="436"/>
      <c r="G1680" s="431"/>
      <c r="H1680" s="430"/>
      <c r="I1680" s="432"/>
      <c r="J1680" s="433"/>
      <c r="K1680" s="437">
        <f t="shared" si="401"/>
        <v>0</v>
      </c>
      <c r="L1680" s="435" t="s">
        <v>614</v>
      </c>
      <c r="M1680" s="576"/>
      <c r="N1680" s="576">
        <f t="shared" si="394"/>
        <v>0</v>
      </c>
      <c r="O1680" s="577">
        <f t="shared" si="399"/>
        <v>0</v>
      </c>
      <c r="P1680" s="578">
        <f t="shared" si="400"/>
        <v>0</v>
      </c>
      <c r="Q1680" s="765"/>
      <c r="R1680" s="576">
        <f t="shared" si="396"/>
        <v>0</v>
      </c>
      <c r="S1680" s="576">
        <f t="shared" si="396"/>
        <v>0</v>
      </c>
      <c r="T1680" s="577">
        <f t="shared" si="397"/>
        <v>0</v>
      </c>
      <c r="U1680" s="578">
        <f t="shared" si="398"/>
        <v>0</v>
      </c>
      <c r="V1680" s="579"/>
      <c r="W1680" s="566"/>
      <c r="X1680" s="586" t="str">
        <f t="shared" si="402"/>
        <v/>
      </c>
      <c r="Y1680" s="586" t="str">
        <f t="shared" si="395"/>
        <v/>
      </c>
      <c r="Z1680" s="586" t="str">
        <f t="shared" si="393"/>
        <v/>
      </c>
    </row>
    <row r="1681" spans="1:26" ht="12" hidden="1" thickBot="1" x14ac:dyDescent="0.25">
      <c r="A1681" s="652" t="s">
        <v>187</v>
      </c>
      <c r="B1681" s="572" t="s">
        <v>187</v>
      </c>
      <c r="C1681" s="573" t="s">
        <v>187</v>
      </c>
      <c r="D1681" s="580"/>
      <c r="E1681" s="575"/>
      <c r="F1681" s="436"/>
      <c r="G1681" s="431"/>
      <c r="H1681" s="430"/>
      <c r="I1681" s="432"/>
      <c r="J1681" s="433"/>
      <c r="K1681" s="437">
        <f t="shared" si="401"/>
        <v>0</v>
      </c>
      <c r="L1681" s="435" t="s">
        <v>614</v>
      </c>
      <c r="M1681" s="576"/>
      <c r="N1681" s="576">
        <f t="shared" si="394"/>
        <v>0</v>
      </c>
      <c r="O1681" s="577">
        <f t="shared" si="399"/>
        <v>0</v>
      </c>
      <c r="P1681" s="578">
        <f t="shared" si="400"/>
        <v>0</v>
      </c>
      <c r="Q1681" s="765"/>
      <c r="R1681" s="576">
        <f t="shared" si="396"/>
        <v>0</v>
      </c>
      <c r="S1681" s="576">
        <f t="shared" si="396"/>
        <v>0</v>
      </c>
      <c r="T1681" s="577">
        <f t="shared" si="397"/>
        <v>0</v>
      </c>
      <c r="U1681" s="578">
        <f t="shared" si="398"/>
        <v>0</v>
      </c>
      <c r="V1681" s="579"/>
      <c r="W1681" s="566"/>
      <c r="X1681" s="586" t="str">
        <f t="shared" si="402"/>
        <v/>
      </c>
      <c r="Y1681" s="586" t="str">
        <f t="shared" si="395"/>
        <v/>
      </c>
      <c r="Z1681" s="586" t="str">
        <f t="shared" si="393"/>
        <v/>
      </c>
    </row>
    <row r="1682" spans="1:26" ht="12" hidden="1" thickBot="1" x14ac:dyDescent="0.25">
      <c r="A1682" s="652" t="s">
        <v>187</v>
      </c>
      <c r="B1682" s="572" t="s">
        <v>187</v>
      </c>
      <c r="C1682" s="573" t="s">
        <v>187</v>
      </c>
      <c r="D1682" s="580"/>
      <c r="E1682" s="575"/>
      <c r="F1682" s="436"/>
      <c r="G1682" s="431"/>
      <c r="H1682" s="430"/>
      <c r="I1682" s="432"/>
      <c r="J1682" s="433"/>
      <c r="K1682" s="437">
        <f t="shared" si="401"/>
        <v>0</v>
      </c>
      <c r="L1682" s="435" t="s">
        <v>614</v>
      </c>
      <c r="M1682" s="576"/>
      <c r="N1682" s="576">
        <f t="shared" si="394"/>
        <v>0</v>
      </c>
      <c r="O1682" s="577">
        <f t="shared" si="399"/>
        <v>0</v>
      </c>
      <c r="P1682" s="578">
        <f t="shared" si="400"/>
        <v>0</v>
      </c>
      <c r="Q1682" s="765"/>
      <c r="R1682" s="576">
        <f t="shared" si="396"/>
        <v>0</v>
      </c>
      <c r="S1682" s="576">
        <f t="shared" si="396"/>
        <v>0</v>
      </c>
      <c r="T1682" s="577">
        <f t="shared" si="397"/>
        <v>0</v>
      </c>
      <c r="U1682" s="578">
        <f t="shared" si="398"/>
        <v>0</v>
      </c>
      <c r="V1682" s="579"/>
      <c r="W1682" s="566"/>
      <c r="X1682" s="586" t="str">
        <f t="shared" si="402"/>
        <v/>
      </c>
      <c r="Y1682" s="586" t="str">
        <f t="shared" si="395"/>
        <v/>
      </c>
      <c r="Z1682" s="586" t="str">
        <f t="shared" si="393"/>
        <v/>
      </c>
    </row>
    <row r="1683" spans="1:26" ht="12" hidden="1" thickBot="1" x14ac:dyDescent="0.25">
      <c r="A1683" s="652" t="s">
        <v>187</v>
      </c>
      <c r="B1683" s="572" t="s">
        <v>187</v>
      </c>
      <c r="C1683" s="573" t="s">
        <v>187</v>
      </c>
      <c r="D1683" s="580"/>
      <c r="E1683" s="575"/>
      <c r="F1683" s="436"/>
      <c r="G1683" s="431"/>
      <c r="H1683" s="430"/>
      <c r="I1683" s="432"/>
      <c r="J1683" s="433"/>
      <c r="K1683" s="437">
        <f t="shared" si="401"/>
        <v>0</v>
      </c>
      <c r="L1683" s="435" t="s">
        <v>614</v>
      </c>
      <c r="M1683" s="576"/>
      <c r="N1683" s="576">
        <f t="shared" si="394"/>
        <v>0</v>
      </c>
      <c r="O1683" s="577">
        <f t="shared" si="399"/>
        <v>0</v>
      </c>
      <c r="P1683" s="578">
        <f t="shared" si="400"/>
        <v>0</v>
      </c>
      <c r="Q1683" s="765"/>
      <c r="R1683" s="576">
        <f t="shared" si="396"/>
        <v>0</v>
      </c>
      <c r="S1683" s="576">
        <f t="shared" si="396"/>
        <v>0</v>
      </c>
      <c r="T1683" s="577">
        <f t="shared" si="397"/>
        <v>0</v>
      </c>
      <c r="U1683" s="578">
        <f t="shared" si="398"/>
        <v>0</v>
      </c>
      <c r="V1683" s="579"/>
      <c r="W1683" s="566"/>
      <c r="X1683" s="586" t="str">
        <f t="shared" si="402"/>
        <v/>
      </c>
      <c r="Y1683" s="586" t="str">
        <f t="shared" si="395"/>
        <v/>
      </c>
      <c r="Z1683" s="586" t="str">
        <f t="shared" ref="Z1683:Z1746" si="403">IF(W1683="X","x",IF(U1683&gt;0,"x",""))</f>
        <v/>
      </c>
    </row>
    <row r="1684" spans="1:26" ht="12" hidden="1" thickBot="1" x14ac:dyDescent="0.25">
      <c r="A1684" s="652" t="s">
        <v>187</v>
      </c>
      <c r="B1684" s="572" t="s">
        <v>187</v>
      </c>
      <c r="C1684" s="573" t="s">
        <v>187</v>
      </c>
      <c r="D1684" s="580"/>
      <c r="E1684" s="575"/>
      <c r="F1684" s="436"/>
      <c r="G1684" s="431"/>
      <c r="H1684" s="430"/>
      <c r="I1684" s="432"/>
      <c r="J1684" s="433"/>
      <c r="K1684" s="437">
        <f t="shared" si="401"/>
        <v>0</v>
      </c>
      <c r="L1684" s="435" t="s">
        <v>614</v>
      </c>
      <c r="M1684" s="576"/>
      <c r="N1684" s="576">
        <f t="shared" ref="N1684:N1747" si="404">IF(M1684=0,0,K1684)</f>
        <v>0</v>
      </c>
      <c r="O1684" s="577">
        <f t="shared" si="399"/>
        <v>0</v>
      </c>
      <c r="P1684" s="578">
        <f t="shared" si="400"/>
        <v>0</v>
      </c>
      <c r="Q1684" s="765"/>
      <c r="R1684" s="576">
        <f t="shared" si="396"/>
        <v>0</v>
      </c>
      <c r="S1684" s="576">
        <f t="shared" si="396"/>
        <v>0</v>
      </c>
      <c r="T1684" s="577">
        <f t="shared" si="397"/>
        <v>0</v>
      </c>
      <c r="U1684" s="578">
        <f t="shared" si="398"/>
        <v>0</v>
      </c>
      <c r="V1684" s="579"/>
      <c r="W1684" s="566"/>
      <c r="X1684" s="586" t="str">
        <f t="shared" si="402"/>
        <v/>
      </c>
      <c r="Y1684" s="586" t="str">
        <f t="shared" si="395"/>
        <v/>
      </c>
      <c r="Z1684" s="586" t="str">
        <f t="shared" si="403"/>
        <v/>
      </c>
    </row>
    <row r="1685" spans="1:26" ht="12" hidden="1" thickBot="1" x14ac:dyDescent="0.25">
      <c r="A1685" s="652" t="s">
        <v>187</v>
      </c>
      <c r="B1685" s="572" t="s">
        <v>187</v>
      </c>
      <c r="C1685" s="573" t="s">
        <v>187</v>
      </c>
      <c r="D1685" s="580"/>
      <c r="E1685" s="575"/>
      <c r="F1685" s="436"/>
      <c r="G1685" s="431"/>
      <c r="H1685" s="430"/>
      <c r="I1685" s="432"/>
      <c r="J1685" s="433"/>
      <c r="K1685" s="437">
        <f t="shared" si="401"/>
        <v>0</v>
      </c>
      <c r="L1685" s="435" t="s">
        <v>614</v>
      </c>
      <c r="M1685" s="576"/>
      <c r="N1685" s="576">
        <f t="shared" si="404"/>
        <v>0</v>
      </c>
      <c r="O1685" s="577">
        <f t="shared" si="399"/>
        <v>0</v>
      </c>
      <c r="P1685" s="578">
        <f t="shared" si="400"/>
        <v>0</v>
      </c>
      <c r="Q1685" s="765"/>
      <c r="R1685" s="576">
        <f t="shared" si="396"/>
        <v>0</v>
      </c>
      <c r="S1685" s="576">
        <f t="shared" si="396"/>
        <v>0</v>
      </c>
      <c r="T1685" s="577">
        <f t="shared" si="397"/>
        <v>0</v>
      </c>
      <c r="U1685" s="578">
        <f t="shared" si="398"/>
        <v>0</v>
      </c>
      <c r="V1685" s="579"/>
      <c r="W1685" s="566"/>
      <c r="X1685" s="586" t="str">
        <f t="shared" si="402"/>
        <v/>
      </c>
      <c r="Y1685" s="586" t="str">
        <f t="shared" si="395"/>
        <v/>
      </c>
      <c r="Z1685" s="586" t="str">
        <f t="shared" si="403"/>
        <v/>
      </c>
    </row>
    <row r="1686" spans="1:26" ht="12" hidden="1" thickBot="1" x14ac:dyDescent="0.25">
      <c r="A1686" s="652" t="s">
        <v>187</v>
      </c>
      <c r="B1686" s="572" t="s">
        <v>187</v>
      </c>
      <c r="C1686" s="573" t="s">
        <v>187</v>
      </c>
      <c r="D1686" s="580"/>
      <c r="E1686" s="575"/>
      <c r="F1686" s="436"/>
      <c r="G1686" s="431"/>
      <c r="H1686" s="430"/>
      <c r="I1686" s="432"/>
      <c r="J1686" s="433"/>
      <c r="K1686" s="437">
        <f t="shared" si="401"/>
        <v>0</v>
      </c>
      <c r="L1686" s="435" t="s">
        <v>614</v>
      </c>
      <c r="M1686" s="576"/>
      <c r="N1686" s="576">
        <f t="shared" si="404"/>
        <v>0</v>
      </c>
      <c r="O1686" s="577">
        <f t="shared" si="399"/>
        <v>0</v>
      </c>
      <c r="P1686" s="578">
        <f t="shared" si="400"/>
        <v>0</v>
      </c>
      <c r="Q1686" s="765"/>
      <c r="R1686" s="576">
        <f t="shared" si="396"/>
        <v>0</v>
      </c>
      <c r="S1686" s="576">
        <f t="shared" si="396"/>
        <v>0</v>
      </c>
      <c r="T1686" s="577">
        <f t="shared" si="397"/>
        <v>0</v>
      </c>
      <c r="U1686" s="578">
        <f t="shared" si="398"/>
        <v>0</v>
      </c>
      <c r="V1686" s="579"/>
      <c r="W1686" s="566"/>
      <c r="X1686" s="586" t="str">
        <f t="shared" si="402"/>
        <v/>
      </c>
      <c r="Y1686" s="586" t="str">
        <f t="shared" si="395"/>
        <v/>
      </c>
      <c r="Z1686" s="586" t="str">
        <f t="shared" si="403"/>
        <v/>
      </c>
    </row>
    <row r="1687" spans="1:26" ht="12" hidden="1" thickBot="1" x14ac:dyDescent="0.25">
      <c r="A1687" s="652" t="s">
        <v>187</v>
      </c>
      <c r="B1687" s="572" t="s">
        <v>187</v>
      </c>
      <c r="C1687" s="573" t="s">
        <v>187</v>
      </c>
      <c r="D1687" s="580"/>
      <c r="E1687" s="575"/>
      <c r="F1687" s="436"/>
      <c r="G1687" s="431"/>
      <c r="H1687" s="430"/>
      <c r="I1687" s="432"/>
      <c r="J1687" s="433"/>
      <c r="K1687" s="437">
        <f t="shared" si="401"/>
        <v>0</v>
      </c>
      <c r="L1687" s="435" t="s">
        <v>614</v>
      </c>
      <c r="M1687" s="576"/>
      <c r="N1687" s="576">
        <f t="shared" si="404"/>
        <v>0</v>
      </c>
      <c r="O1687" s="577">
        <f t="shared" si="399"/>
        <v>0</v>
      </c>
      <c r="P1687" s="578">
        <f t="shared" si="400"/>
        <v>0</v>
      </c>
      <c r="Q1687" s="765"/>
      <c r="R1687" s="576">
        <f t="shared" si="396"/>
        <v>0</v>
      </c>
      <c r="S1687" s="576">
        <f t="shared" si="396"/>
        <v>0</v>
      </c>
      <c r="T1687" s="577">
        <f t="shared" si="397"/>
        <v>0</v>
      </c>
      <c r="U1687" s="578">
        <f t="shared" si="398"/>
        <v>0</v>
      </c>
      <c r="V1687" s="579"/>
      <c r="W1687" s="566"/>
      <c r="X1687" s="586" t="str">
        <f t="shared" si="402"/>
        <v/>
      </c>
      <c r="Y1687" s="586" t="str">
        <f t="shared" si="395"/>
        <v/>
      </c>
      <c r="Z1687" s="586" t="str">
        <f t="shared" si="403"/>
        <v/>
      </c>
    </row>
    <row r="1688" spans="1:26" ht="12" hidden="1" thickBot="1" x14ac:dyDescent="0.25">
      <c r="A1688" s="652" t="s">
        <v>187</v>
      </c>
      <c r="B1688" s="572" t="s">
        <v>187</v>
      </c>
      <c r="C1688" s="573" t="s">
        <v>187</v>
      </c>
      <c r="D1688" s="580"/>
      <c r="E1688" s="575"/>
      <c r="F1688" s="436"/>
      <c r="G1688" s="431"/>
      <c r="H1688" s="430"/>
      <c r="I1688" s="432"/>
      <c r="J1688" s="433"/>
      <c r="K1688" s="437">
        <f t="shared" si="401"/>
        <v>0</v>
      </c>
      <c r="L1688" s="435" t="s">
        <v>614</v>
      </c>
      <c r="M1688" s="576"/>
      <c r="N1688" s="576">
        <f t="shared" si="404"/>
        <v>0</v>
      </c>
      <c r="O1688" s="577">
        <f t="shared" si="399"/>
        <v>0</v>
      </c>
      <c r="P1688" s="578">
        <f t="shared" si="400"/>
        <v>0</v>
      </c>
      <c r="Q1688" s="765"/>
      <c r="R1688" s="576">
        <f t="shared" si="396"/>
        <v>0</v>
      </c>
      <c r="S1688" s="576">
        <f t="shared" si="396"/>
        <v>0</v>
      </c>
      <c r="T1688" s="577">
        <f t="shared" si="397"/>
        <v>0</v>
      </c>
      <c r="U1688" s="578">
        <f t="shared" si="398"/>
        <v>0</v>
      </c>
      <c r="V1688" s="579"/>
      <c r="W1688" s="566"/>
      <c r="X1688" s="586" t="str">
        <f t="shared" si="402"/>
        <v/>
      </c>
      <c r="Y1688" s="586" t="str">
        <f t="shared" si="395"/>
        <v/>
      </c>
      <c r="Z1688" s="586" t="str">
        <f t="shared" si="403"/>
        <v/>
      </c>
    </row>
    <row r="1689" spans="1:26" ht="12" hidden="1" thickBot="1" x14ac:dyDescent="0.25">
      <c r="A1689" s="652" t="s">
        <v>187</v>
      </c>
      <c r="B1689" s="581" t="s">
        <v>187</v>
      </c>
      <c r="C1689" s="582" t="s">
        <v>187</v>
      </c>
      <c r="D1689" s="583"/>
      <c r="E1689" s="584"/>
      <c r="F1689" s="438"/>
      <c r="G1689" s="439"/>
      <c r="H1689" s="440"/>
      <c r="I1689" s="441"/>
      <c r="J1689" s="442"/>
      <c r="K1689" s="443">
        <f t="shared" si="401"/>
        <v>0</v>
      </c>
      <c r="L1689" s="444" t="s">
        <v>614</v>
      </c>
      <c r="M1689" s="576"/>
      <c r="N1689" s="576">
        <f t="shared" si="404"/>
        <v>0</v>
      </c>
      <c r="O1689" s="585">
        <f t="shared" si="399"/>
        <v>0</v>
      </c>
      <c r="P1689" s="660">
        <f t="shared" si="400"/>
        <v>0</v>
      </c>
      <c r="Q1689" s="765"/>
      <c r="R1689" s="576">
        <f t="shared" si="396"/>
        <v>0</v>
      </c>
      <c r="S1689" s="576">
        <f t="shared" si="396"/>
        <v>0</v>
      </c>
      <c r="T1689" s="585">
        <f t="shared" si="397"/>
        <v>0</v>
      </c>
      <c r="U1689" s="660">
        <f t="shared" si="398"/>
        <v>0</v>
      </c>
      <c r="V1689" s="579"/>
      <c r="W1689" s="566"/>
      <c r="X1689" s="586" t="str">
        <f t="shared" si="402"/>
        <v/>
      </c>
      <c r="Y1689" s="586" t="str">
        <f t="shared" si="395"/>
        <v/>
      </c>
      <c r="Z1689" s="586" t="str">
        <f t="shared" si="403"/>
        <v/>
      </c>
    </row>
    <row r="1690" spans="1:26" ht="12" hidden="1" thickBot="1" x14ac:dyDescent="0.25">
      <c r="A1690" s="567" t="s">
        <v>473</v>
      </c>
      <c r="B1690" s="664" t="s">
        <v>471</v>
      </c>
      <c r="C1690" s="665"/>
      <c r="D1690" s="666" t="s">
        <v>472</v>
      </c>
      <c r="E1690" s="631"/>
      <c r="F1690" s="632"/>
      <c r="G1690" s="633"/>
      <c r="H1690" s="634"/>
      <c r="I1690" s="409">
        <v>0</v>
      </c>
      <c r="J1690" s="409"/>
      <c r="K1690" s="409"/>
      <c r="L1690" s="409" t="s">
        <v>614</v>
      </c>
      <c r="M1690" s="634"/>
      <c r="N1690" s="797"/>
      <c r="O1690" s="409">
        <f t="shared" si="399"/>
        <v>0</v>
      </c>
      <c r="P1690" s="635">
        <f t="shared" si="400"/>
        <v>0</v>
      </c>
      <c r="Q1690" s="635">
        <f>SUM(P1691:P1784)</f>
        <v>0</v>
      </c>
      <c r="R1690" s="634"/>
      <c r="S1690" s="409"/>
      <c r="T1690" s="409">
        <f t="shared" si="397"/>
        <v>0</v>
      </c>
      <c r="U1690" s="635">
        <f t="shared" si="398"/>
        <v>0</v>
      </c>
      <c r="V1690" s="636">
        <f>SUM(U1691:U1784)</f>
        <v>0</v>
      </c>
      <c r="W1690" s="637" t="str">
        <f>IF(OR(Q1690&gt;0,V1690&gt;0),"X","")</f>
        <v/>
      </c>
      <c r="X1690" s="586" t="str">
        <f t="shared" si="402"/>
        <v/>
      </c>
      <c r="Y1690" s="586" t="str">
        <f t="shared" si="395"/>
        <v/>
      </c>
      <c r="Z1690" s="586" t="str">
        <f t="shared" si="403"/>
        <v/>
      </c>
    </row>
    <row r="1691" spans="1:26" ht="12" hidden="1" thickBot="1" x14ac:dyDescent="0.25">
      <c r="A1691" s="567">
        <v>850000</v>
      </c>
      <c r="B1691" s="644">
        <v>850000</v>
      </c>
      <c r="C1691" s="645" t="s">
        <v>206</v>
      </c>
      <c r="D1691" s="422" t="s">
        <v>294</v>
      </c>
      <c r="E1691" s="423"/>
      <c r="F1691" s="418">
        <v>20</v>
      </c>
      <c r="G1691" s="425">
        <v>1.73</v>
      </c>
      <c r="H1691" s="649">
        <f t="shared" ref="H1691" si="405">IF(F1691&lt;=30,(1.07*F1691+2.68)*G1691,((1.07*30+2.68)+1.07*(F1691-30))*G1691)</f>
        <v>41.6584</v>
      </c>
      <c r="I1691" s="420">
        <v>7093.9400000000005</v>
      </c>
      <c r="J1691" s="420">
        <f t="shared" ref="J1691:J1696" si="406">IF(ISBLANK(I1691),"",SUM(H1691:I1691))</f>
        <v>7135.5984000000008</v>
      </c>
      <c r="K1691" s="421">
        <f t="shared" ref="K1691:K1751" si="407">IF(ISBLANK(I1691),0,ROUND(J1691*(1+$F$10)*(1+$F$11*E1691),2))</f>
        <v>8477.7999999999993</v>
      </c>
      <c r="L1691" s="647" t="s">
        <v>21</v>
      </c>
      <c r="M1691" s="576"/>
      <c r="N1691" s="576">
        <f t="shared" si="404"/>
        <v>0</v>
      </c>
      <c r="O1691" s="577">
        <f t="shared" si="399"/>
        <v>0</v>
      </c>
      <c r="P1691" s="578">
        <f t="shared" si="400"/>
        <v>0</v>
      </c>
      <c r="Q1691" s="765"/>
      <c r="R1691" s="576">
        <f t="shared" si="396"/>
        <v>0</v>
      </c>
      <c r="S1691" s="576">
        <f t="shared" si="396"/>
        <v>0</v>
      </c>
      <c r="T1691" s="577">
        <f t="shared" si="397"/>
        <v>0</v>
      </c>
      <c r="U1691" s="578">
        <f t="shared" si="398"/>
        <v>0</v>
      </c>
      <c r="V1691" s="579"/>
      <c r="W1691" s="566"/>
      <c r="X1691" s="586" t="str">
        <f t="shared" si="402"/>
        <v/>
      </c>
      <c r="Y1691" s="586" t="str">
        <f t="shared" si="395"/>
        <v/>
      </c>
      <c r="Z1691" s="586" t="str">
        <f t="shared" si="403"/>
        <v/>
      </c>
    </row>
    <row r="1692" spans="1:26" ht="12" hidden="1" thickBot="1" x14ac:dyDescent="0.25">
      <c r="A1692" s="567">
        <v>603000</v>
      </c>
      <c r="B1692" s="644" t="s">
        <v>1861</v>
      </c>
      <c r="C1692" s="645" t="s">
        <v>206</v>
      </c>
      <c r="D1692" s="422" t="s">
        <v>276</v>
      </c>
      <c r="E1692" s="423"/>
      <c r="F1692" s="424"/>
      <c r="G1692" s="425"/>
      <c r="H1692" s="663"/>
      <c r="I1692" s="420">
        <v>17.84</v>
      </c>
      <c r="J1692" s="420">
        <f t="shared" si="406"/>
        <v>17.84</v>
      </c>
      <c r="K1692" s="421">
        <f t="shared" si="407"/>
        <v>21.2</v>
      </c>
      <c r="L1692" s="647" t="s">
        <v>23</v>
      </c>
      <c r="M1692" s="576"/>
      <c r="N1692" s="576">
        <f t="shared" si="404"/>
        <v>0</v>
      </c>
      <c r="O1692" s="577">
        <f t="shared" si="399"/>
        <v>0</v>
      </c>
      <c r="P1692" s="578">
        <f t="shared" si="400"/>
        <v>0</v>
      </c>
      <c r="Q1692" s="765"/>
      <c r="R1692" s="576">
        <f t="shared" si="396"/>
        <v>0</v>
      </c>
      <c r="S1692" s="576">
        <f t="shared" si="396"/>
        <v>0</v>
      </c>
      <c r="T1692" s="577">
        <f t="shared" si="397"/>
        <v>0</v>
      </c>
      <c r="U1692" s="578">
        <f t="shared" si="398"/>
        <v>0</v>
      </c>
      <c r="V1692" s="579"/>
      <c r="W1692" s="566"/>
      <c r="X1692" s="586" t="str">
        <f t="shared" si="402"/>
        <v/>
      </c>
      <c r="Y1692" s="586" t="str">
        <f t="shared" si="395"/>
        <v/>
      </c>
      <c r="Z1692" s="586" t="str">
        <f t="shared" si="403"/>
        <v/>
      </c>
    </row>
    <row r="1693" spans="1:26" ht="12" hidden="1" thickBot="1" x14ac:dyDescent="0.25">
      <c r="A1693" s="567">
        <v>603300</v>
      </c>
      <c r="B1693" s="644" t="s">
        <v>1862</v>
      </c>
      <c r="C1693" s="645" t="s">
        <v>206</v>
      </c>
      <c r="D1693" s="422" t="s">
        <v>277</v>
      </c>
      <c r="E1693" s="423"/>
      <c r="F1693" s="424"/>
      <c r="G1693" s="425"/>
      <c r="H1693" s="663"/>
      <c r="I1693" s="420">
        <v>19.490000000000002</v>
      </c>
      <c r="J1693" s="420">
        <f t="shared" si="406"/>
        <v>19.490000000000002</v>
      </c>
      <c r="K1693" s="421">
        <f t="shared" si="407"/>
        <v>23.16</v>
      </c>
      <c r="L1693" s="647" t="s">
        <v>23</v>
      </c>
      <c r="M1693" s="576"/>
      <c r="N1693" s="576">
        <f t="shared" si="404"/>
        <v>0</v>
      </c>
      <c r="O1693" s="577">
        <f t="shared" si="399"/>
        <v>0</v>
      </c>
      <c r="P1693" s="578">
        <f t="shared" si="400"/>
        <v>0</v>
      </c>
      <c r="Q1693" s="765"/>
      <c r="R1693" s="576">
        <f t="shared" si="396"/>
        <v>0</v>
      </c>
      <c r="S1693" s="576">
        <f t="shared" si="396"/>
        <v>0</v>
      </c>
      <c r="T1693" s="577">
        <f t="shared" si="397"/>
        <v>0</v>
      </c>
      <c r="U1693" s="578">
        <f t="shared" si="398"/>
        <v>0</v>
      </c>
      <c r="V1693" s="579"/>
      <c r="W1693" s="566"/>
      <c r="X1693" s="586" t="str">
        <f t="shared" si="402"/>
        <v/>
      </c>
      <c r="Y1693" s="586" t="str">
        <f t="shared" si="395"/>
        <v/>
      </c>
      <c r="Z1693" s="586" t="str">
        <f t="shared" si="403"/>
        <v/>
      </c>
    </row>
    <row r="1694" spans="1:26" ht="12" hidden="1" thickBot="1" x14ac:dyDescent="0.25">
      <c r="A1694" s="567">
        <v>601100</v>
      </c>
      <c r="B1694" s="644" t="s">
        <v>1627</v>
      </c>
      <c r="C1694" s="645" t="s">
        <v>206</v>
      </c>
      <c r="D1694" s="422" t="s">
        <v>335</v>
      </c>
      <c r="E1694" s="423"/>
      <c r="F1694" s="424"/>
      <c r="G1694" s="425"/>
      <c r="H1694" s="651"/>
      <c r="I1694" s="420">
        <v>50.31</v>
      </c>
      <c r="J1694" s="420">
        <f t="shared" si="406"/>
        <v>50.31</v>
      </c>
      <c r="K1694" s="421">
        <f t="shared" si="407"/>
        <v>59.77</v>
      </c>
      <c r="L1694" s="647" t="s">
        <v>16</v>
      </c>
      <c r="M1694" s="576"/>
      <c r="N1694" s="576">
        <f t="shared" si="404"/>
        <v>0</v>
      </c>
      <c r="O1694" s="577">
        <f t="shared" si="399"/>
        <v>0</v>
      </c>
      <c r="P1694" s="578">
        <f t="shared" si="400"/>
        <v>0</v>
      </c>
      <c r="Q1694" s="765"/>
      <c r="R1694" s="576">
        <f t="shared" si="396"/>
        <v>0</v>
      </c>
      <c r="S1694" s="576">
        <f t="shared" si="396"/>
        <v>0</v>
      </c>
      <c r="T1694" s="577">
        <f t="shared" si="397"/>
        <v>0</v>
      </c>
      <c r="U1694" s="578">
        <f t="shared" si="398"/>
        <v>0</v>
      </c>
      <c r="V1694" s="579"/>
      <c r="W1694" s="566"/>
      <c r="X1694" s="586" t="str">
        <f t="shared" si="402"/>
        <v/>
      </c>
      <c r="Y1694" s="586" t="str">
        <f t="shared" si="395"/>
        <v/>
      </c>
      <c r="Z1694" s="586" t="str">
        <f t="shared" si="403"/>
        <v/>
      </c>
    </row>
    <row r="1695" spans="1:26" ht="12" hidden="1" thickBot="1" x14ac:dyDescent="0.25">
      <c r="A1695" s="567">
        <v>520100</v>
      </c>
      <c r="B1695" s="644" t="s">
        <v>1863</v>
      </c>
      <c r="C1695" s="645" t="s">
        <v>206</v>
      </c>
      <c r="D1695" s="422" t="s">
        <v>285</v>
      </c>
      <c r="E1695" s="423"/>
      <c r="F1695" s="418">
        <v>0.5</v>
      </c>
      <c r="G1695" s="419">
        <f>1.5*1.4</f>
        <v>2.0999999999999996</v>
      </c>
      <c r="H1695" s="649">
        <f t="shared" ref="H1695:H1698" si="408">IF(F1695&lt;=30,(1.07*F1695+2.68)*G1695,((1.07*30+2.68)+1.07*(F1695-30))*G1695)</f>
        <v>6.7514999999999992</v>
      </c>
      <c r="I1695" s="449">
        <v>13.587999999999999</v>
      </c>
      <c r="J1695" s="420">
        <f t="shared" si="406"/>
        <v>20.339499999999997</v>
      </c>
      <c r="K1695" s="421">
        <f t="shared" si="407"/>
        <v>24.17</v>
      </c>
      <c r="L1695" s="647" t="s">
        <v>16</v>
      </c>
      <c r="M1695" s="576"/>
      <c r="N1695" s="576">
        <f t="shared" si="404"/>
        <v>0</v>
      </c>
      <c r="O1695" s="577">
        <f t="shared" si="399"/>
        <v>0</v>
      </c>
      <c r="P1695" s="578">
        <f t="shared" si="400"/>
        <v>0</v>
      </c>
      <c r="Q1695" s="765"/>
      <c r="R1695" s="576">
        <f t="shared" si="396"/>
        <v>0</v>
      </c>
      <c r="S1695" s="576">
        <f t="shared" si="396"/>
        <v>0</v>
      </c>
      <c r="T1695" s="577">
        <f t="shared" si="397"/>
        <v>0</v>
      </c>
      <c r="U1695" s="578">
        <f t="shared" si="398"/>
        <v>0</v>
      </c>
      <c r="V1695" s="579"/>
      <c r="W1695" s="566"/>
      <c r="X1695" s="586" t="str">
        <f t="shared" si="402"/>
        <v/>
      </c>
      <c r="Y1695" s="586" t="str">
        <f t="shared" si="395"/>
        <v/>
      </c>
      <c r="Z1695" s="586" t="str">
        <f t="shared" si="403"/>
        <v/>
      </c>
    </row>
    <row r="1696" spans="1:26" ht="12" hidden="1" thickBot="1" x14ac:dyDescent="0.25">
      <c r="A1696" s="567">
        <v>520100</v>
      </c>
      <c r="B1696" s="644" t="s">
        <v>1864</v>
      </c>
      <c r="C1696" s="645" t="s">
        <v>206</v>
      </c>
      <c r="D1696" s="422" t="s">
        <v>286</v>
      </c>
      <c r="E1696" s="423"/>
      <c r="F1696" s="418">
        <v>15</v>
      </c>
      <c r="G1696" s="419">
        <f>1.5*1.4</f>
        <v>2.0999999999999996</v>
      </c>
      <c r="H1696" s="649">
        <f t="shared" si="408"/>
        <v>39.332999999999991</v>
      </c>
      <c r="I1696" s="449">
        <v>13.587999999999999</v>
      </c>
      <c r="J1696" s="420">
        <f t="shared" si="406"/>
        <v>52.920999999999992</v>
      </c>
      <c r="K1696" s="421">
        <f t="shared" si="407"/>
        <v>62.88</v>
      </c>
      <c r="L1696" s="647" t="s">
        <v>16</v>
      </c>
      <c r="M1696" s="576"/>
      <c r="N1696" s="576">
        <f t="shared" si="404"/>
        <v>0</v>
      </c>
      <c r="O1696" s="577">
        <f t="shared" si="399"/>
        <v>0</v>
      </c>
      <c r="P1696" s="578">
        <f t="shared" si="400"/>
        <v>0</v>
      </c>
      <c r="Q1696" s="765"/>
      <c r="R1696" s="576">
        <f t="shared" si="396"/>
        <v>0</v>
      </c>
      <c r="S1696" s="576">
        <f t="shared" si="396"/>
        <v>0</v>
      </c>
      <c r="T1696" s="577">
        <f t="shared" si="397"/>
        <v>0</v>
      </c>
      <c r="U1696" s="578">
        <f t="shared" si="398"/>
        <v>0</v>
      </c>
      <c r="V1696" s="579"/>
      <c r="W1696" s="566"/>
      <c r="X1696" s="586" t="str">
        <f t="shared" si="402"/>
        <v/>
      </c>
      <c r="Y1696" s="586" t="str">
        <f t="shared" si="395"/>
        <v/>
      </c>
      <c r="Z1696" s="586" t="str">
        <f t="shared" si="403"/>
        <v/>
      </c>
    </row>
    <row r="1697" spans="1:26" ht="12" hidden="1" thickBot="1" x14ac:dyDescent="0.25">
      <c r="A1697" s="567">
        <v>532500</v>
      </c>
      <c r="B1697" s="644" t="s">
        <v>1865</v>
      </c>
      <c r="C1697" s="645" t="s">
        <v>206</v>
      </c>
      <c r="D1697" s="451" t="s">
        <v>340</v>
      </c>
      <c r="E1697" s="423"/>
      <c r="F1697" s="424">
        <v>20</v>
      </c>
      <c r="G1697" s="425">
        <v>1.7250000000000001</v>
      </c>
      <c r="H1697" s="649">
        <f t="shared" si="408"/>
        <v>41.538000000000004</v>
      </c>
      <c r="I1697" s="420">
        <v>97.26</v>
      </c>
      <c r="J1697" s="420">
        <f>IF(ISBLANK(I1697),"",SUM(H1697:I1697))</f>
        <v>138.798</v>
      </c>
      <c r="K1697" s="421">
        <f t="shared" si="407"/>
        <v>164.91</v>
      </c>
      <c r="L1697" s="647" t="s">
        <v>16</v>
      </c>
      <c r="M1697" s="576"/>
      <c r="N1697" s="576">
        <f t="shared" si="404"/>
        <v>0</v>
      </c>
      <c r="O1697" s="577">
        <f t="shared" si="399"/>
        <v>0</v>
      </c>
      <c r="P1697" s="578">
        <f t="shared" si="400"/>
        <v>0</v>
      </c>
      <c r="Q1697" s="765"/>
      <c r="R1697" s="576">
        <f t="shared" si="396"/>
        <v>0</v>
      </c>
      <c r="S1697" s="576">
        <f t="shared" si="396"/>
        <v>0</v>
      </c>
      <c r="T1697" s="577">
        <f t="shared" si="397"/>
        <v>0</v>
      </c>
      <c r="U1697" s="578">
        <f t="shared" si="398"/>
        <v>0</v>
      </c>
      <c r="V1697" s="579"/>
      <c r="W1697" s="566"/>
      <c r="X1697" s="586" t="str">
        <f t="shared" si="402"/>
        <v/>
      </c>
      <c r="Y1697" s="586" t="str">
        <f t="shared" si="395"/>
        <v/>
      </c>
      <c r="Z1697" s="586" t="str">
        <f t="shared" si="403"/>
        <v/>
      </c>
    </row>
    <row r="1698" spans="1:26" ht="14.45" hidden="1" customHeight="1" x14ac:dyDescent="0.2">
      <c r="A1698" s="567">
        <v>603900</v>
      </c>
      <c r="B1698" s="644" t="s">
        <v>1866</v>
      </c>
      <c r="C1698" s="645" t="s">
        <v>206</v>
      </c>
      <c r="D1698" s="451" t="s">
        <v>341</v>
      </c>
      <c r="E1698" s="423"/>
      <c r="F1698" s="424">
        <v>20</v>
      </c>
      <c r="G1698" s="425">
        <v>1.5</v>
      </c>
      <c r="H1698" s="649">
        <f t="shared" si="408"/>
        <v>36.120000000000005</v>
      </c>
      <c r="I1698" s="420">
        <v>124.3</v>
      </c>
      <c r="J1698" s="420">
        <f>IF(ISBLANK(I1698),"",SUM(H1698:I1698))</f>
        <v>160.42000000000002</v>
      </c>
      <c r="K1698" s="421">
        <f t="shared" si="407"/>
        <v>190.6</v>
      </c>
      <c r="L1698" s="647" t="s">
        <v>16</v>
      </c>
      <c r="M1698" s="576"/>
      <c r="N1698" s="576">
        <f t="shared" si="404"/>
        <v>0</v>
      </c>
      <c r="O1698" s="577">
        <f t="shared" si="399"/>
        <v>0</v>
      </c>
      <c r="P1698" s="578">
        <f t="shared" si="400"/>
        <v>0</v>
      </c>
      <c r="Q1698" s="765"/>
      <c r="R1698" s="576">
        <f t="shared" si="396"/>
        <v>0</v>
      </c>
      <c r="S1698" s="576">
        <f t="shared" si="396"/>
        <v>0</v>
      </c>
      <c r="T1698" s="577">
        <f t="shared" si="397"/>
        <v>0</v>
      </c>
      <c r="U1698" s="578">
        <f t="shared" si="398"/>
        <v>0</v>
      </c>
      <c r="V1698" s="579"/>
      <c r="W1698" s="566"/>
      <c r="X1698" s="586" t="str">
        <f t="shared" si="402"/>
        <v/>
      </c>
      <c r="Y1698" s="586" t="str">
        <f t="shared" si="395"/>
        <v/>
      </c>
      <c r="Z1698" s="586" t="str">
        <f t="shared" si="403"/>
        <v/>
      </c>
    </row>
    <row r="1699" spans="1:26" ht="12" hidden="1" thickBot="1" x14ac:dyDescent="0.25">
      <c r="A1699" s="567">
        <v>605000</v>
      </c>
      <c r="B1699" s="644" t="s">
        <v>1867</v>
      </c>
      <c r="C1699" s="645" t="s">
        <v>206</v>
      </c>
      <c r="D1699" s="422" t="s">
        <v>274</v>
      </c>
      <c r="E1699" s="423"/>
      <c r="F1699" s="424"/>
      <c r="G1699" s="425"/>
      <c r="H1699" s="651">
        <f>SUM(H1700:H1702)</f>
        <v>305.33319999999998</v>
      </c>
      <c r="I1699" s="420">
        <v>408.95</v>
      </c>
      <c r="J1699" s="420">
        <f>IF(ISBLANK(I1699),"",SUM(H1699:I1699))</f>
        <v>714.28319999999997</v>
      </c>
      <c r="K1699" s="421">
        <f t="shared" si="407"/>
        <v>848.64</v>
      </c>
      <c r="L1699" s="647" t="s">
        <v>16</v>
      </c>
      <c r="M1699" s="576"/>
      <c r="N1699" s="576">
        <f t="shared" si="404"/>
        <v>0</v>
      </c>
      <c r="O1699" s="577">
        <f t="shared" si="399"/>
        <v>0</v>
      </c>
      <c r="P1699" s="578">
        <f t="shared" si="400"/>
        <v>0</v>
      </c>
      <c r="Q1699" s="765"/>
      <c r="R1699" s="576">
        <f t="shared" si="396"/>
        <v>0</v>
      </c>
      <c r="S1699" s="576">
        <f t="shared" si="396"/>
        <v>0</v>
      </c>
      <c r="T1699" s="577">
        <f t="shared" si="397"/>
        <v>0</v>
      </c>
      <c r="U1699" s="578">
        <f t="shared" si="398"/>
        <v>0</v>
      </c>
      <c r="V1699" s="579"/>
      <c r="W1699" s="566"/>
      <c r="X1699" s="586" t="str">
        <f t="shared" si="402"/>
        <v/>
      </c>
      <c r="Y1699" s="586" t="str">
        <f t="shared" ref="Y1699:Y1764" si="409">IF(W1699="X","x",IF(W1699="y","x",IF(W1699="xx","x",IF(U1699&gt;0,"x",""))))</f>
        <v/>
      </c>
      <c r="Z1699" s="586" t="str">
        <f t="shared" si="403"/>
        <v/>
      </c>
    </row>
    <row r="1700" spans="1:26" ht="12" hidden="1" thickBot="1" x14ac:dyDescent="0.25">
      <c r="A1700" s="567" t="s">
        <v>168</v>
      </c>
      <c r="B1700" s="644" t="s">
        <v>168</v>
      </c>
      <c r="C1700" s="645"/>
      <c r="D1700" s="451" t="s">
        <v>212</v>
      </c>
      <c r="E1700" s="423"/>
      <c r="F1700" s="424">
        <v>500</v>
      </c>
      <c r="G1700" s="425">
        <v>0.18</v>
      </c>
      <c r="H1700" s="649">
        <f>IF(F1700&lt;=30,(0.78*F1700+7.82)*G1700,((0.78*30+7.82)+0.78*(F1700-30))*G1700)</f>
        <v>71.607600000000005</v>
      </c>
      <c r="I1700" s="420">
        <v>0</v>
      </c>
      <c r="J1700" s="420"/>
      <c r="K1700" s="421">
        <f t="shared" si="407"/>
        <v>0</v>
      </c>
      <c r="L1700" s="668" t="s">
        <v>614</v>
      </c>
      <c r="M1700" s="669"/>
      <c r="N1700" s="576">
        <f t="shared" si="404"/>
        <v>0</v>
      </c>
      <c r="O1700" s="577">
        <f t="shared" si="399"/>
        <v>0</v>
      </c>
      <c r="P1700" s="578">
        <f t="shared" si="400"/>
        <v>0</v>
      </c>
      <c r="Q1700" s="765"/>
      <c r="R1700" s="669"/>
      <c r="S1700" s="670"/>
      <c r="T1700" s="577">
        <f t="shared" si="397"/>
        <v>0</v>
      </c>
      <c r="U1700" s="578">
        <f t="shared" si="398"/>
        <v>0</v>
      </c>
      <c r="V1700" s="579"/>
      <c r="W1700" s="637" t="str">
        <f>IF(U1699&gt;0,"xx",IF(P1699&gt;0,"xy",""))</f>
        <v/>
      </c>
      <c r="X1700" s="586" t="str">
        <f t="shared" si="402"/>
        <v/>
      </c>
      <c r="Y1700" s="586" t="str">
        <f t="shared" si="409"/>
        <v/>
      </c>
      <c r="Z1700" s="586" t="str">
        <f t="shared" si="403"/>
        <v/>
      </c>
    </row>
    <row r="1701" spans="1:26" ht="12" hidden="1" thickBot="1" x14ac:dyDescent="0.25">
      <c r="A1701" s="567" t="s">
        <v>168</v>
      </c>
      <c r="B1701" s="644" t="s">
        <v>168</v>
      </c>
      <c r="C1701" s="645"/>
      <c r="D1701" s="451" t="s">
        <v>248</v>
      </c>
      <c r="E1701" s="423"/>
      <c r="F1701" s="424">
        <v>180</v>
      </c>
      <c r="G1701" s="425">
        <v>1.06</v>
      </c>
      <c r="H1701" s="663">
        <f t="shared" ref="H1701:H1706" si="410">IF(F1701&lt;=30,(1.07*F1701+2.68)*G1701,((1.07*30+2.68)+1.07*(F1701-30))*G1701)</f>
        <v>206.99680000000001</v>
      </c>
      <c r="I1701" s="420">
        <v>0</v>
      </c>
      <c r="J1701" s="420"/>
      <c r="K1701" s="421">
        <f t="shared" si="407"/>
        <v>0</v>
      </c>
      <c r="L1701" s="668" t="s">
        <v>614</v>
      </c>
      <c r="M1701" s="669"/>
      <c r="N1701" s="576">
        <f t="shared" si="404"/>
        <v>0</v>
      </c>
      <c r="O1701" s="577">
        <f t="shared" si="399"/>
        <v>0</v>
      </c>
      <c r="P1701" s="578">
        <f t="shared" si="400"/>
        <v>0</v>
      </c>
      <c r="Q1701" s="765"/>
      <c r="R1701" s="669"/>
      <c r="S1701" s="670"/>
      <c r="T1701" s="577">
        <f t="shared" si="397"/>
        <v>0</v>
      </c>
      <c r="U1701" s="578">
        <f t="shared" si="398"/>
        <v>0</v>
      </c>
      <c r="V1701" s="579"/>
      <c r="W1701" s="637" t="str">
        <f>IF(U1699&gt;0,"xx",IF(P1699&gt;0,"xy",""))</f>
        <v/>
      </c>
      <c r="X1701" s="586" t="str">
        <f t="shared" si="402"/>
        <v/>
      </c>
      <c r="Y1701" s="586" t="str">
        <f t="shared" si="409"/>
        <v/>
      </c>
      <c r="Z1701" s="586" t="str">
        <f t="shared" si="403"/>
        <v/>
      </c>
    </row>
    <row r="1702" spans="1:26" ht="12" hidden="1" thickBot="1" x14ac:dyDescent="0.25">
      <c r="A1702" s="567" t="s">
        <v>168</v>
      </c>
      <c r="B1702" s="644" t="s">
        <v>168</v>
      </c>
      <c r="C1702" s="645"/>
      <c r="D1702" s="451" t="s">
        <v>252</v>
      </c>
      <c r="E1702" s="423"/>
      <c r="F1702" s="424">
        <v>20</v>
      </c>
      <c r="G1702" s="425">
        <v>1.1100000000000001</v>
      </c>
      <c r="H1702" s="663">
        <f t="shared" si="410"/>
        <v>26.728800000000003</v>
      </c>
      <c r="I1702" s="420">
        <v>0</v>
      </c>
      <c r="J1702" s="420"/>
      <c r="K1702" s="421">
        <f t="shared" si="407"/>
        <v>0</v>
      </c>
      <c r="L1702" s="668" t="s">
        <v>614</v>
      </c>
      <c r="M1702" s="669"/>
      <c r="N1702" s="576">
        <f t="shared" si="404"/>
        <v>0</v>
      </c>
      <c r="O1702" s="577">
        <f t="shared" si="399"/>
        <v>0</v>
      </c>
      <c r="P1702" s="578">
        <f t="shared" si="400"/>
        <v>0</v>
      </c>
      <c r="Q1702" s="765"/>
      <c r="R1702" s="669"/>
      <c r="S1702" s="670"/>
      <c r="T1702" s="577">
        <f t="shared" si="397"/>
        <v>0</v>
      </c>
      <c r="U1702" s="578">
        <f t="shared" si="398"/>
        <v>0</v>
      </c>
      <c r="V1702" s="579"/>
      <c r="W1702" s="637" t="str">
        <f>IF(U1699&gt;0,"xx",IF(P1699&gt;0,"xy",""))</f>
        <v/>
      </c>
      <c r="X1702" s="586" t="str">
        <f t="shared" si="402"/>
        <v/>
      </c>
      <c r="Y1702" s="586" t="str">
        <f t="shared" si="409"/>
        <v/>
      </c>
      <c r="Z1702" s="586" t="str">
        <f t="shared" si="403"/>
        <v/>
      </c>
    </row>
    <row r="1703" spans="1:26" ht="12" hidden="1" thickBot="1" x14ac:dyDescent="0.25">
      <c r="A1703" s="567">
        <v>400500</v>
      </c>
      <c r="B1703" s="644" t="s">
        <v>1868</v>
      </c>
      <c r="C1703" s="645" t="s">
        <v>206</v>
      </c>
      <c r="D1703" s="422" t="s">
        <v>1608</v>
      </c>
      <c r="E1703" s="423"/>
      <c r="F1703" s="424">
        <v>20</v>
      </c>
      <c r="G1703" s="425">
        <v>1.73</v>
      </c>
      <c r="H1703" s="663">
        <f t="shared" si="410"/>
        <v>41.6584</v>
      </c>
      <c r="I1703" s="420">
        <v>80.100000000000009</v>
      </c>
      <c r="J1703" s="420">
        <f>IF(ISBLANK(I1703),"",SUM(H1703:I1703))</f>
        <v>121.75840000000001</v>
      </c>
      <c r="K1703" s="421">
        <f t="shared" si="407"/>
        <v>144.66</v>
      </c>
      <c r="L1703" s="647" t="s">
        <v>16</v>
      </c>
      <c r="M1703" s="576"/>
      <c r="N1703" s="576">
        <f t="shared" si="404"/>
        <v>0</v>
      </c>
      <c r="O1703" s="577">
        <f t="shared" si="399"/>
        <v>0</v>
      </c>
      <c r="P1703" s="578">
        <f t="shared" si="400"/>
        <v>0</v>
      </c>
      <c r="Q1703" s="765"/>
      <c r="R1703" s="576">
        <f t="shared" ref="R1703:S1706" si="411">M1703</f>
        <v>0</v>
      </c>
      <c r="S1703" s="576">
        <f t="shared" si="411"/>
        <v>0</v>
      </c>
      <c r="T1703" s="577">
        <f t="shared" si="397"/>
        <v>0</v>
      </c>
      <c r="U1703" s="578">
        <f t="shared" si="398"/>
        <v>0</v>
      </c>
      <c r="V1703" s="579"/>
      <c r="W1703" s="566"/>
      <c r="X1703" s="586" t="str">
        <f t="shared" si="402"/>
        <v/>
      </c>
      <c r="Y1703" s="586" t="str">
        <f t="shared" si="409"/>
        <v/>
      </c>
      <c r="Z1703" s="586" t="str">
        <f t="shared" si="403"/>
        <v/>
      </c>
    </row>
    <row r="1704" spans="1:26" ht="12" hidden="1" thickBot="1" x14ac:dyDescent="0.25">
      <c r="A1704" s="567">
        <v>532500</v>
      </c>
      <c r="B1704" s="644" t="s">
        <v>1869</v>
      </c>
      <c r="C1704" s="645" t="s">
        <v>206</v>
      </c>
      <c r="D1704" s="422" t="s">
        <v>1609</v>
      </c>
      <c r="E1704" s="423"/>
      <c r="F1704" s="424">
        <v>20</v>
      </c>
      <c r="G1704" s="425">
        <v>1.7250000000000001</v>
      </c>
      <c r="H1704" s="663">
        <f t="shared" si="410"/>
        <v>41.538000000000004</v>
      </c>
      <c r="I1704" s="420">
        <v>97.26</v>
      </c>
      <c r="J1704" s="420">
        <f>IF(ISBLANK(I1704),"",SUM(H1704:I1704))</f>
        <v>138.798</v>
      </c>
      <c r="K1704" s="421">
        <f t="shared" si="407"/>
        <v>164.91</v>
      </c>
      <c r="L1704" s="647" t="s">
        <v>16</v>
      </c>
      <c r="M1704" s="576"/>
      <c r="N1704" s="576">
        <f t="shared" si="404"/>
        <v>0</v>
      </c>
      <c r="O1704" s="577">
        <f t="shared" si="399"/>
        <v>0</v>
      </c>
      <c r="P1704" s="578">
        <f t="shared" si="400"/>
        <v>0</v>
      </c>
      <c r="Q1704" s="765"/>
      <c r="R1704" s="576">
        <f t="shared" si="411"/>
        <v>0</v>
      </c>
      <c r="S1704" s="576">
        <f t="shared" si="411"/>
        <v>0</v>
      </c>
      <c r="T1704" s="577">
        <f t="shared" si="397"/>
        <v>0</v>
      </c>
      <c r="U1704" s="578">
        <f t="shared" si="398"/>
        <v>0</v>
      </c>
      <c r="V1704" s="579"/>
      <c r="W1704" s="566"/>
      <c r="X1704" s="586" t="str">
        <f t="shared" si="402"/>
        <v/>
      </c>
      <c r="Y1704" s="586" t="str">
        <f t="shared" si="409"/>
        <v/>
      </c>
      <c r="Z1704" s="586" t="str">
        <f t="shared" si="403"/>
        <v/>
      </c>
    </row>
    <row r="1705" spans="1:26" ht="12" hidden="1" thickBot="1" x14ac:dyDescent="0.25">
      <c r="A1705" s="567">
        <v>532600</v>
      </c>
      <c r="B1705" s="644" t="s">
        <v>1870</v>
      </c>
      <c r="C1705" s="645" t="s">
        <v>206</v>
      </c>
      <c r="D1705" s="422" t="s">
        <v>1610</v>
      </c>
      <c r="E1705" s="423"/>
      <c r="F1705" s="418">
        <v>15</v>
      </c>
      <c r="G1705" s="425">
        <f>ROUND(1.5*1.5,4)</f>
        <v>2.25</v>
      </c>
      <c r="H1705" s="663">
        <f t="shared" si="410"/>
        <v>42.142499999999998</v>
      </c>
      <c r="I1705" s="420">
        <v>15.533333333333335</v>
      </c>
      <c r="J1705" s="420">
        <f>IF(ISBLANK(I1705),"",SUM(H1705:I1705))</f>
        <v>57.67583333333333</v>
      </c>
      <c r="K1705" s="421">
        <f t="shared" si="407"/>
        <v>68.52</v>
      </c>
      <c r="L1705" s="647" t="s">
        <v>16</v>
      </c>
      <c r="M1705" s="576"/>
      <c r="N1705" s="576">
        <f t="shared" si="404"/>
        <v>0</v>
      </c>
      <c r="O1705" s="577">
        <f t="shared" si="399"/>
        <v>0</v>
      </c>
      <c r="P1705" s="578">
        <f t="shared" si="400"/>
        <v>0</v>
      </c>
      <c r="Q1705" s="765"/>
      <c r="R1705" s="576">
        <f t="shared" si="411"/>
        <v>0</v>
      </c>
      <c r="S1705" s="576">
        <f t="shared" si="411"/>
        <v>0</v>
      </c>
      <c r="T1705" s="577">
        <f t="shared" si="397"/>
        <v>0</v>
      </c>
      <c r="U1705" s="578">
        <f t="shared" si="398"/>
        <v>0</v>
      </c>
      <c r="V1705" s="579"/>
      <c r="W1705" s="566"/>
      <c r="X1705" s="586" t="str">
        <f t="shared" si="402"/>
        <v/>
      </c>
      <c r="Y1705" s="586" t="str">
        <f t="shared" si="409"/>
        <v/>
      </c>
      <c r="Z1705" s="586" t="str">
        <f t="shared" si="403"/>
        <v/>
      </c>
    </row>
    <row r="1706" spans="1:26" ht="12" hidden="1" thickBot="1" x14ac:dyDescent="0.25">
      <c r="A1706" s="567">
        <v>603900</v>
      </c>
      <c r="B1706" s="644" t="s">
        <v>1871</v>
      </c>
      <c r="C1706" s="645" t="s">
        <v>206</v>
      </c>
      <c r="D1706" s="422" t="s">
        <v>1611</v>
      </c>
      <c r="E1706" s="423"/>
      <c r="F1706" s="424">
        <v>20</v>
      </c>
      <c r="G1706" s="425">
        <v>1.5</v>
      </c>
      <c r="H1706" s="663">
        <f t="shared" si="410"/>
        <v>36.120000000000005</v>
      </c>
      <c r="I1706" s="420">
        <v>124.3</v>
      </c>
      <c r="J1706" s="420">
        <f>IF(ISBLANK(I1706),"",SUM(H1706:I1706))</f>
        <v>160.42000000000002</v>
      </c>
      <c r="K1706" s="421">
        <f t="shared" si="407"/>
        <v>190.6</v>
      </c>
      <c r="L1706" s="647" t="s">
        <v>16</v>
      </c>
      <c r="M1706" s="576"/>
      <c r="N1706" s="576">
        <f t="shared" si="404"/>
        <v>0</v>
      </c>
      <c r="O1706" s="577">
        <f t="shared" si="399"/>
        <v>0</v>
      </c>
      <c r="P1706" s="578">
        <f t="shared" si="400"/>
        <v>0</v>
      </c>
      <c r="Q1706" s="765"/>
      <c r="R1706" s="576">
        <f t="shared" si="411"/>
        <v>0</v>
      </c>
      <c r="S1706" s="576">
        <f t="shared" si="411"/>
        <v>0</v>
      </c>
      <c r="T1706" s="577">
        <f t="shared" si="397"/>
        <v>0</v>
      </c>
      <c r="U1706" s="578">
        <f t="shared" si="398"/>
        <v>0</v>
      </c>
      <c r="V1706" s="579"/>
      <c r="W1706" s="566"/>
      <c r="X1706" s="586" t="str">
        <f t="shared" si="402"/>
        <v/>
      </c>
      <c r="Y1706" s="586" t="str">
        <f t="shared" si="409"/>
        <v/>
      </c>
      <c r="Z1706" s="586" t="str">
        <f t="shared" si="403"/>
        <v/>
      </c>
    </row>
    <row r="1707" spans="1:26" ht="12" hidden="1" thickBot="1" x14ac:dyDescent="0.25">
      <c r="A1707" s="567">
        <v>605000</v>
      </c>
      <c r="B1707" s="644" t="s">
        <v>1872</v>
      </c>
      <c r="C1707" s="645" t="s">
        <v>206</v>
      </c>
      <c r="D1707" s="422" t="s">
        <v>348</v>
      </c>
      <c r="E1707" s="423"/>
      <c r="F1707" s="424"/>
      <c r="G1707" s="425"/>
      <c r="H1707" s="651">
        <f>SUM(H1708:H1710)</f>
        <v>305.33319999999998</v>
      </c>
      <c r="I1707" s="420">
        <v>408.95</v>
      </c>
      <c r="J1707" s="420">
        <f>IF(ISBLANK(I1707),"",SUM(H1707:I1707))</f>
        <v>714.28319999999997</v>
      </c>
      <c r="K1707" s="421">
        <f t="shared" si="407"/>
        <v>848.64</v>
      </c>
      <c r="L1707" s="647" t="s">
        <v>16</v>
      </c>
      <c r="M1707" s="576"/>
      <c r="N1707" s="576">
        <f t="shared" si="404"/>
        <v>0</v>
      </c>
      <c r="O1707" s="577">
        <f t="shared" si="399"/>
        <v>0</v>
      </c>
      <c r="P1707" s="578">
        <f t="shared" si="400"/>
        <v>0</v>
      </c>
      <c r="Q1707" s="765"/>
      <c r="R1707" s="576">
        <f t="shared" si="396"/>
        <v>0</v>
      </c>
      <c r="S1707" s="576">
        <f t="shared" si="396"/>
        <v>0</v>
      </c>
      <c r="T1707" s="577">
        <f t="shared" si="397"/>
        <v>0</v>
      </c>
      <c r="U1707" s="578">
        <f t="shared" si="398"/>
        <v>0</v>
      </c>
      <c r="V1707" s="579"/>
      <c r="W1707" s="566"/>
      <c r="X1707" s="586" t="str">
        <f t="shared" si="402"/>
        <v/>
      </c>
      <c r="Y1707" s="586" t="str">
        <f t="shared" si="409"/>
        <v/>
      </c>
      <c r="Z1707" s="586" t="str">
        <f t="shared" si="403"/>
        <v/>
      </c>
    </row>
    <row r="1708" spans="1:26" ht="12" hidden="1" thickBot="1" x14ac:dyDescent="0.25">
      <c r="A1708" s="567" t="s">
        <v>168</v>
      </c>
      <c r="B1708" s="644" t="s">
        <v>168</v>
      </c>
      <c r="C1708" s="645"/>
      <c r="D1708" s="451" t="s">
        <v>212</v>
      </c>
      <c r="E1708" s="423"/>
      <c r="F1708" s="424">
        <v>500</v>
      </c>
      <c r="G1708" s="425">
        <v>0.18</v>
      </c>
      <c r="H1708" s="649">
        <f>IF(F1708&lt;=30,(0.78*F1708+7.82)*G1708,((0.78*30+7.82)+0.78*(F1708-30))*G1708)</f>
        <v>71.607600000000005</v>
      </c>
      <c r="I1708" s="420">
        <v>0</v>
      </c>
      <c r="J1708" s="420"/>
      <c r="K1708" s="421">
        <f t="shared" si="407"/>
        <v>0</v>
      </c>
      <c r="L1708" s="668" t="s">
        <v>614</v>
      </c>
      <c r="M1708" s="669"/>
      <c r="N1708" s="576">
        <f t="shared" si="404"/>
        <v>0</v>
      </c>
      <c r="O1708" s="577">
        <f t="shared" si="399"/>
        <v>0</v>
      </c>
      <c r="P1708" s="578">
        <f t="shared" si="400"/>
        <v>0</v>
      </c>
      <c r="Q1708" s="765"/>
      <c r="R1708" s="669"/>
      <c r="S1708" s="670"/>
      <c r="T1708" s="577">
        <f t="shared" si="397"/>
        <v>0</v>
      </c>
      <c r="U1708" s="578">
        <f t="shared" si="398"/>
        <v>0</v>
      </c>
      <c r="V1708" s="579"/>
      <c r="W1708" s="637" t="str">
        <f>IF(U1707&gt;0,"xx",IF(P1707&gt;0,"xy",""))</f>
        <v/>
      </c>
      <c r="X1708" s="586" t="str">
        <f t="shared" si="402"/>
        <v/>
      </c>
      <c r="Y1708" s="586" t="str">
        <f t="shared" si="409"/>
        <v/>
      </c>
      <c r="Z1708" s="586" t="str">
        <f t="shared" si="403"/>
        <v/>
      </c>
    </row>
    <row r="1709" spans="1:26" ht="12" hidden="1" thickBot="1" x14ac:dyDescent="0.25">
      <c r="A1709" s="567" t="s">
        <v>168</v>
      </c>
      <c r="B1709" s="644" t="s">
        <v>168</v>
      </c>
      <c r="C1709" s="645"/>
      <c r="D1709" s="451" t="s">
        <v>248</v>
      </c>
      <c r="E1709" s="423"/>
      <c r="F1709" s="424">
        <v>180</v>
      </c>
      <c r="G1709" s="425">
        <v>1.06</v>
      </c>
      <c r="H1709" s="663">
        <f t="shared" ref="H1709:H1710" si="412">IF(F1709&lt;=30,(1.07*F1709+2.68)*G1709,((1.07*30+2.68)+1.07*(F1709-30))*G1709)</f>
        <v>206.99680000000001</v>
      </c>
      <c r="I1709" s="420">
        <v>0</v>
      </c>
      <c r="J1709" s="420"/>
      <c r="K1709" s="421">
        <f t="shared" si="407"/>
        <v>0</v>
      </c>
      <c r="L1709" s="668" t="s">
        <v>614</v>
      </c>
      <c r="M1709" s="669"/>
      <c r="N1709" s="576">
        <f t="shared" si="404"/>
        <v>0</v>
      </c>
      <c r="O1709" s="577">
        <f t="shared" si="399"/>
        <v>0</v>
      </c>
      <c r="P1709" s="578">
        <f t="shared" si="400"/>
        <v>0</v>
      </c>
      <c r="Q1709" s="765"/>
      <c r="R1709" s="669"/>
      <c r="S1709" s="670"/>
      <c r="T1709" s="577">
        <f t="shared" si="397"/>
        <v>0</v>
      </c>
      <c r="U1709" s="578">
        <f t="shared" si="398"/>
        <v>0</v>
      </c>
      <c r="V1709" s="579"/>
      <c r="W1709" s="637" t="str">
        <f>IF(U1707&gt;0,"xx",IF(P1707&gt;0,"xy",""))</f>
        <v/>
      </c>
      <c r="X1709" s="586" t="str">
        <f t="shared" si="402"/>
        <v/>
      </c>
      <c r="Y1709" s="586" t="str">
        <f t="shared" si="409"/>
        <v/>
      </c>
      <c r="Z1709" s="586" t="str">
        <f t="shared" si="403"/>
        <v/>
      </c>
    </row>
    <row r="1710" spans="1:26" ht="12" hidden="1" thickBot="1" x14ac:dyDescent="0.25">
      <c r="A1710" s="567" t="s">
        <v>168</v>
      </c>
      <c r="B1710" s="644" t="s">
        <v>168</v>
      </c>
      <c r="C1710" s="645"/>
      <c r="D1710" s="451" t="s">
        <v>252</v>
      </c>
      <c r="E1710" s="423"/>
      <c r="F1710" s="424">
        <v>20</v>
      </c>
      <c r="G1710" s="425">
        <v>1.1100000000000001</v>
      </c>
      <c r="H1710" s="663">
        <f t="shared" si="412"/>
        <v>26.728800000000003</v>
      </c>
      <c r="I1710" s="420">
        <v>0</v>
      </c>
      <c r="J1710" s="420"/>
      <c r="K1710" s="421">
        <f t="shared" si="407"/>
        <v>0</v>
      </c>
      <c r="L1710" s="668" t="s">
        <v>614</v>
      </c>
      <c r="M1710" s="669"/>
      <c r="N1710" s="576">
        <f t="shared" si="404"/>
        <v>0</v>
      </c>
      <c r="O1710" s="577">
        <f t="shared" si="399"/>
        <v>0</v>
      </c>
      <c r="P1710" s="578">
        <f t="shared" si="400"/>
        <v>0</v>
      </c>
      <c r="Q1710" s="765"/>
      <c r="R1710" s="669"/>
      <c r="S1710" s="670"/>
      <c r="T1710" s="577">
        <f t="shared" si="397"/>
        <v>0</v>
      </c>
      <c r="U1710" s="578">
        <f t="shared" si="398"/>
        <v>0</v>
      </c>
      <c r="V1710" s="579"/>
      <c r="W1710" s="637" t="str">
        <f>IF(U1707&gt;0,"xx",IF(P1707&gt;0,"xy",""))</f>
        <v/>
      </c>
      <c r="X1710" s="586" t="str">
        <f t="shared" si="402"/>
        <v/>
      </c>
      <c r="Y1710" s="586" t="str">
        <f t="shared" si="409"/>
        <v/>
      </c>
      <c r="Z1710" s="586" t="str">
        <f t="shared" si="403"/>
        <v/>
      </c>
    </row>
    <row r="1711" spans="1:26" ht="12" hidden="1" thickBot="1" x14ac:dyDescent="0.25">
      <c r="A1711" s="567">
        <v>606000</v>
      </c>
      <c r="B1711" s="644" t="s">
        <v>1638</v>
      </c>
      <c r="C1711" s="645" t="s">
        <v>206</v>
      </c>
      <c r="D1711" s="422" t="s">
        <v>349</v>
      </c>
      <c r="E1711" s="423"/>
      <c r="F1711" s="424"/>
      <c r="G1711" s="425"/>
      <c r="H1711" s="651">
        <f>SUM(H1712:H1714)</f>
        <v>235.96230000000003</v>
      </c>
      <c r="I1711" s="420">
        <v>365.08</v>
      </c>
      <c r="J1711" s="420">
        <f>IF(ISBLANK(I1711),"",SUM(H1711:I1711))</f>
        <v>601.04230000000007</v>
      </c>
      <c r="K1711" s="421">
        <f t="shared" si="407"/>
        <v>714.1</v>
      </c>
      <c r="L1711" s="647" t="s">
        <v>16</v>
      </c>
      <c r="M1711" s="576"/>
      <c r="N1711" s="576">
        <f t="shared" si="404"/>
        <v>0</v>
      </c>
      <c r="O1711" s="577">
        <f t="shared" si="399"/>
        <v>0</v>
      </c>
      <c r="P1711" s="578">
        <f t="shared" si="400"/>
        <v>0</v>
      </c>
      <c r="Q1711" s="765"/>
      <c r="R1711" s="576">
        <f t="shared" si="396"/>
        <v>0</v>
      </c>
      <c r="S1711" s="576">
        <f t="shared" si="396"/>
        <v>0</v>
      </c>
      <c r="T1711" s="577">
        <f t="shared" si="397"/>
        <v>0</v>
      </c>
      <c r="U1711" s="578">
        <f t="shared" si="398"/>
        <v>0</v>
      </c>
      <c r="V1711" s="579"/>
      <c r="W1711" s="566"/>
      <c r="X1711" s="586" t="str">
        <f t="shared" si="402"/>
        <v/>
      </c>
      <c r="Y1711" s="586" t="str">
        <f t="shared" si="409"/>
        <v/>
      </c>
      <c r="Z1711" s="586" t="str">
        <f t="shared" si="403"/>
        <v/>
      </c>
    </row>
    <row r="1712" spans="1:26" ht="12" hidden="1" thickBot="1" x14ac:dyDescent="0.25">
      <c r="A1712" s="567" t="s">
        <v>168</v>
      </c>
      <c r="B1712" s="644" t="s">
        <v>168</v>
      </c>
      <c r="C1712" s="645"/>
      <c r="D1712" s="451" t="s">
        <v>212</v>
      </c>
      <c r="E1712" s="423"/>
      <c r="F1712" s="424">
        <v>500</v>
      </c>
      <c r="G1712" s="425">
        <v>0.189</v>
      </c>
      <c r="H1712" s="649">
        <f>IF(F1712&lt;=30,(0.78*F1712+7.82)*G1712,((0.78*30+7.82)+0.78*(F1712-30))*G1712)</f>
        <v>75.18798000000001</v>
      </c>
      <c r="I1712" s="420">
        <v>0</v>
      </c>
      <c r="J1712" s="420"/>
      <c r="K1712" s="421">
        <f t="shared" si="407"/>
        <v>0</v>
      </c>
      <c r="L1712" s="668" t="s">
        <v>614</v>
      </c>
      <c r="M1712" s="669"/>
      <c r="N1712" s="576">
        <f t="shared" si="404"/>
        <v>0</v>
      </c>
      <c r="O1712" s="577">
        <f t="shared" si="399"/>
        <v>0</v>
      </c>
      <c r="P1712" s="578">
        <f t="shared" si="400"/>
        <v>0</v>
      </c>
      <c r="Q1712" s="765"/>
      <c r="R1712" s="669"/>
      <c r="S1712" s="670"/>
      <c r="T1712" s="577">
        <f t="shared" si="397"/>
        <v>0</v>
      </c>
      <c r="U1712" s="578">
        <f t="shared" si="398"/>
        <v>0</v>
      </c>
      <c r="V1712" s="579"/>
      <c r="W1712" s="637" t="str">
        <f>IF(U1711&gt;0,"xx",IF(P1711&gt;0,"xy",""))</f>
        <v/>
      </c>
      <c r="X1712" s="586" t="str">
        <f t="shared" si="402"/>
        <v/>
      </c>
      <c r="Y1712" s="586" t="str">
        <f t="shared" si="409"/>
        <v/>
      </c>
      <c r="Z1712" s="586" t="str">
        <f t="shared" si="403"/>
        <v/>
      </c>
    </row>
    <row r="1713" spans="1:26" ht="12" hidden="1" thickBot="1" x14ac:dyDescent="0.25">
      <c r="A1713" s="567" t="s">
        <v>168</v>
      </c>
      <c r="B1713" s="644" t="s">
        <v>168</v>
      </c>
      <c r="C1713" s="645"/>
      <c r="D1713" s="451" t="s">
        <v>248</v>
      </c>
      <c r="E1713" s="423"/>
      <c r="F1713" s="424">
        <v>180</v>
      </c>
      <c r="G1713" s="425">
        <v>0.67200000000000004</v>
      </c>
      <c r="H1713" s="663">
        <f t="shared" ref="H1713:H1714" si="413">IF(F1713&lt;=30,(1.07*F1713+2.68)*G1713,((1.07*30+2.68)+1.07*(F1713-30))*G1713)</f>
        <v>131.22816</v>
      </c>
      <c r="I1713" s="420">
        <v>0</v>
      </c>
      <c r="J1713" s="420"/>
      <c r="K1713" s="421">
        <f t="shared" si="407"/>
        <v>0</v>
      </c>
      <c r="L1713" s="668" t="s">
        <v>614</v>
      </c>
      <c r="M1713" s="669"/>
      <c r="N1713" s="576">
        <f t="shared" si="404"/>
        <v>0</v>
      </c>
      <c r="O1713" s="577">
        <f t="shared" si="399"/>
        <v>0</v>
      </c>
      <c r="P1713" s="578">
        <f t="shared" si="400"/>
        <v>0</v>
      </c>
      <c r="Q1713" s="765"/>
      <c r="R1713" s="669"/>
      <c r="S1713" s="670"/>
      <c r="T1713" s="577">
        <f t="shared" si="397"/>
        <v>0</v>
      </c>
      <c r="U1713" s="578">
        <f t="shared" si="398"/>
        <v>0</v>
      </c>
      <c r="V1713" s="579"/>
      <c r="W1713" s="637" t="str">
        <f>IF(U1711&gt;0,"xx",IF(P1711&gt;0,"xy",""))</f>
        <v/>
      </c>
      <c r="X1713" s="586" t="str">
        <f t="shared" si="402"/>
        <v/>
      </c>
      <c r="Y1713" s="586" t="str">
        <f t="shared" si="409"/>
        <v/>
      </c>
      <c r="Z1713" s="586" t="str">
        <f t="shared" si="403"/>
        <v/>
      </c>
    </row>
    <row r="1714" spans="1:26" ht="12" hidden="1" thickBot="1" x14ac:dyDescent="0.25">
      <c r="A1714" s="567" t="s">
        <v>168</v>
      </c>
      <c r="B1714" s="644" t="s">
        <v>168</v>
      </c>
      <c r="C1714" s="645"/>
      <c r="D1714" s="451" t="s">
        <v>350</v>
      </c>
      <c r="E1714" s="423"/>
      <c r="F1714" s="424">
        <v>20</v>
      </c>
      <c r="G1714" s="425">
        <v>1.2270000000000001</v>
      </c>
      <c r="H1714" s="663">
        <f t="shared" si="413"/>
        <v>29.546160000000004</v>
      </c>
      <c r="I1714" s="420">
        <v>0</v>
      </c>
      <c r="J1714" s="420"/>
      <c r="K1714" s="421">
        <f t="shared" si="407"/>
        <v>0</v>
      </c>
      <c r="L1714" s="668" t="s">
        <v>614</v>
      </c>
      <c r="M1714" s="669"/>
      <c r="N1714" s="576">
        <f t="shared" si="404"/>
        <v>0</v>
      </c>
      <c r="O1714" s="577">
        <f t="shared" si="399"/>
        <v>0</v>
      </c>
      <c r="P1714" s="578">
        <f t="shared" si="400"/>
        <v>0</v>
      </c>
      <c r="Q1714" s="765"/>
      <c r="R1714" s="669"/>
      <c r="S1714" s="670"/>
      <c r="T1714" s="577">
        <f t="shared" si="397"/>
        <v>0</v>
      </c>
      <c r="U1714" s="578">
        <f t="shared" si="398"/>
        <v>0</v>
      </c>
      <c r="V1714" s="579"/>
      <c r="W1714" s="637" t="str">
        <f>IF(U1711&gt;0,"xx",IF(P1711&gt;0,"xy",""))</f>
        <v/>
      </c>
      <c r="X1714" s="586" t="str">
        <f t="shared" si="402"/>
        <v/>
      </c>
      <c r="Y1714" s="586" t="str">
        <f t="shared" si="409"/>
        <v/>
      </c>
      <c r="Z1714" s="586" t="str">
        <f t="shared" si="403"/>
        <v/>
      </c>
    </row>
    <row r="1715" spans="1:26" ht="12" hidden="1" thickBot="1" x14ac:dyDescent="0.25">
      <c r="A1715" s="567">
        <v>605200</v>
      </c>
      <c r="B1715" s="644" t="s">
        <v>1640</v>
      </c>
      <c r="C1715" s="645" t="s">
        <v>206</v>
      </c>
      <c r="D1715" s="422" t="s">
        <v>351</v>
      </c>
      <c r="E1715" s="423"/>
      <c r="F1715" s="424"/>
      <c r="G1715" s="425"/>
      <c r="H1715" s="651">
        <f>SUM(H1716:H1718)</f>
        <v>321.60899999999998</v>
      </c>
      <c r="I1715" s="420">
        <v>455.36</v>
      </c>
      <c r="J1715" s="420">
        <f>IF(ISBLANK(I1715),"",SUM(H1715:I1715))</f>
        <v>776.96900000000005</v>
      </c>
      <c r="K1715" s="421">
        <f t="shared" si="407"/>
        <v>923.12</v>
      </c>
      <c r="L1715" s="647" t="s">
        <v>16</v>
      </c>
      <c r="M1715" s="576"/>
      <c r="N1715" s="576">
        <f t="shared" si="404"/>
        <v>0</v>
      </c>
      <c r="O1715" s="577">
        <f t="shared" si="399"/>
        <v>0</v>
      </c>
      <c r="P1715" s="578">
        <f t="shared" si="400"/>
        <v>0</v>
      </c>
      <c r="Q1715" s="765"/>
      <c r="R1715" s="576">
        <f t="shared" ref="R1715:S1771" si="414">M1715</f>
        <v>0</v>
      </c>
      <c r="S1715" s="576">
        <f t="shared" si="414"/>
        <v>0</v>
      </c>
      <c r="T1715" s="577">
        <f t="shared" si="397"/>
        <v>0</v>
      </c>
      <c r="U1715" s="578">
        <f t="shared" si="398"/>
        <v>0</v>
      </c>
      <c r="V1715" s="579"/>
      <c r="W1715" s="566"/>
      <c r="X1715" s="586" t="str">
        <f t="shared" si="402"/>
        <v/>
      </c>
      <c r="Y1715" s="586" t="str">
        <f t="shared" si="409"/>
        <v/>
      </c>
      <c r="Z1715" s="586" t="str">
        <f t="shared" si="403"/>
        <v/>
      </c>
    </row>
    <row r="1716" spans="1:26" ht="12" hidden="1" thickBot="1" x14ac:dyDescent="0.25">
      <c r="A1716" s="567" t="s">
        <v>168</v>
      </c>
      <c r="B1716" s="644" t="s">
        <v>168</v>
      </c>
      <c r="C1716" s="645"/>
      <c r="D1716" s="451" t="s">
        <v>212</v>
      </c>
      <c r="E1716" s="423"/>
      <c r="F1716" s="424">
        <v>500</v>
      </c>
      <c r="G1716" s="425">
        <v>0.27</v>
      </c>
      <c r="H1716" s="649">
        <f>IF(F1716&lt;=30,(0.78*F1716+7.82)*G1716,((0.78*30+7.82)+0.78*(F1716-30))*G1716)</f>
        <v>107.41140000000001</v>
      </c>
      <c r="I1716" s="420">
        <v>0</v>
      </c>
      <c r="J1716" s="420"/>
      <c r="K1716" s="421">
        <f t="shared" si="407"/>
        <v>0</v>
      </c>
      <c r="L1716" s="668" t="s">
        <v>614</v>
      </c>
      <c r="M1716" s="669"/>
      <c r="N1716" s="576">
        <f t="shared" si="404"/>
        <v>0</v>
      </c>
      <c r="O1716" s="577">
        <f t="shared" si="399"/>
        <v>0</v>
      </c>
      <c r="P1716" s="578">
        <f t="shared" si="400"/>
        <v>0</v>
      </c>
      <c r="Q1716" s="765"/>
      <c r="R1716" s="669"/>
      <c r="S1716" s="670"/>
      <c r="T1716" s="577">
        <f t="shared" si="397"/>
        <v>0</v>
      </c>
      <c r="U1716" s="578">
        <f t="shared" si="398"/>
        <v>0</v>
      </c>
      <c r="V1716" s="579"/>
      <c r="W1716" s="637" t="str">
        <f>IF(U1715&gt;0,"xx",IF(P1715&gt;0,"xy",""))</f>
        <v/>
      </c>
      <c r="X1716" s="586" t="str">
        <f t="shared" si="402"/>
        <v/>
      </c>
      <c r="Y1716" s="586" t="str">
        <f t="shared" si="409"/>
        <v/>
      </c>
      <c r="Z1716" s="586" t="str">
        <f t="shared" si="403"/>
        <v/>
      </c>
    </row>
    <row r="1717" spans="1:26" ht="12" hidden="1" thickBot="1" x14ac:dyDescent="0.25">
      <c r="A1717" s="567" t="s">
        <v>168</v>
      </c>
      <c r="B1717" s="644" t="s">
        <v>168</v>
      </c>
      <c r="C1717" s="645"/>
      <c r="D1717" s="451" t="s">
        <v>248</v>
      </c>
      <c r="E1717" s="423"/>
      <c r="F1717" s="424">
        <v>180</v>
      </c>
      <c r="G1717" s="425">
        <v>0.96</v>
      </c>
      <c r="H1717" s="663">
        <f t="shared" ref="H1717:H1718" si="415">IF(F1717&lt;=30,(1.07*F1717+2.68)*G1717,((1.07*30+2.68)+1.07*(F1717-30))*G1717)</f>
        <v>187.46879999999999</v>
      </c>
      <c r="I1717" s="420">
        <v>0</v>
      </c>
      <c r="J1717" s="420"/>
      <c r="K1717" s="421">
        <f t="shared" si="407"/>
        <v>0</v>
      </c>
      <c r="L1717" s="668" t="s">
        <v>614</v>
      </c>
      <c r="M1717" s="669"/>
      <c r="N1717" s="576">
        <f t="shared" si="404"/>
        <v>0</v>
      </c>
      <c r="O1717" s="577">
        <f t="shared" si="399"/>
        <v>0</v>
      </c>
      <c r="P1717" s="578">
        <f t="shared" si="400"/>
        <v>0</v>
      </c>
      <c r="Q1717" s="765"/>
      <c r="R1717" s="669"/>
      <c r="S1717" s="670"/>
      <c r="T1717" s="577">
        <f t="shared" si="397"/>
        <v>0</v>
      </c>
      <c r="U1717" s="578">
        <f t="shared" si="398"/>
        <v>0</v>
      </c>
      <c r="V1717" s="579"/>
      <c r="W1717" s="637" t="str">
        <f>IF(U1715&gt;0,"xx",IF(P1715&gt;0,"xy",""))</f>
        <v/>
      </c>
      <c r="X1717" s="586" t="str">
        <f t="shared" si="402"/>
        <v/>
      </c>
      <c r="Y1717" s="586" t="str">
        <f t="shared" si="409"/>
        <v/>
      </c>
      <c r="Z1717" s="586" t="str">
        <f t="shared" si="403"/>
        <v/>
      </c>
    </row>
    <row r="1718" spans="1:26" ht="12" hidden="1" thickBot="1" x14ac:dyDescent="0.25">
      <c r="A1718" s="567" t="s">
        <v>168</v>
      </c>
      <c r="B1718" s="644" t="s">
        <v>168</v>
      </c>
      <c r="C1718" s="645"/>
      <c r="D1718" s="451" t="s">
        <v>252</v>
      </c>
      <c r="E1718" s="423"/>
      <c r="F1718" s="424">
        <v>20</v>
      </c>
      <c r="G1718" s="425">
        <v>1.1100000000000001</v>
      </c>
      <c r="H1718" s="663">
        <f t="shared" si="415"/>
        <v>26.728800000000003</v>
      </c>
      <c r="I1718" s="420">
        <v>0</v>
      </c>
      <c r="J1718" s="420"/>
      <c r="K1718" s="421">
        <f t="shared" si="407"/>
        <v>0</v>
      </c>
      <c r="L1718" s="668" t="s">
        <v>614</v>
      </c>
      <c r="M1718" s="669"/>
      <c r="N1718" s="576">
        <f t="shared" si="404"/>
        <v>0</v>
      </c>
      <c r="O1718" s="577">
        <f t="shared" si="399"/>
        <v>0</v>
      </c>
      <c r="P1718" s="578">
        <f t="shared" si="400"/>
        <v>0</v>
      </c>
      <c r="Q1718" s="765"/>
      <c r="R1718" s="669"/>
      <c r="S1718" s="670"/>
      <c r="T1718" s="577">
        <f t="shared" si="397"/>
        <v>0</v>
      </c>
      <c r="U1718" s="578">
        <f t="shared" si="398"/>
        <v>0</v>
      </c>
      <c r="V1718" s="579"/>
      <c r="W1718" s="637" t="str">
        <f>IF(U1715&gt;0,"xx",IF(P1715&gt;0,"xy",""))</f>
        <v/>
      </c>
      <c r="X1718" s="586" t="str">
        <f t="shared" si="402"/>
        <v/>
      </c>
      <c r="Y1718" s="586" t="str">
        <f t="shared" si="409"/>
        <v/>
      </c>
      <c r="Z1718" s="586" t="str">
        <f t="shared" si="403"/>
        <v/>
      </c>
    </row>
    <row r="1719" spans="1:26" ht="12" hidden="1" thickBot="1" x14ac:dyDescent="0.25">
      <c r="A1719" s="567">
        <v>605300</v>
      </c>
      <c r="B1719" s="644" t="s">
        <v>1715</v>
      </c>
      <c r="C1719" s="645" t="s">
        <v>206</v>
      </c>
      <c r="D1719" s="422" t="s">
        <v>352</v>
      </c>
      <c r="E1719" s="423"/>
      <c r="F1719" s="424"/>
      <c r="G1719" s="425"/>
      <c r="H1719" s="651">
        <f>SUM(H1720:H1722)</f>
        <v>337.86228</v>
      </c>
      <c r="I1719" s="420">
        <v>487.71000000000004</v>
      </c>
      <c r="J1719" s="420">
        <f>IF(ISBLANK(I1719),"",SUM(H1719:I1719))</f>
        <v>825.57228000000009</v>
      </c>
      <c r="K1719" s="421">
        <f t="shared" si="407"/>
        <v>980.86</v>
      </c>
      <c r="L1719" s="647" t="s">
        <v>16</v>
      </c>
      <c r="M1719" s="576"/>
      <c r="N1719" s="576">
        <f t="shared" si="404"/>
        <v>0</v>
      </c>
      <c r="O1719" s="577">
        <f t="shared" si="399"/>
        <v>0</v>
      </c>
      <c r="P1719" s="578">
        <f t="shared" si="400"/>
        <v>0</v>
      </c>
      <c r="Q1719" s="765"/>
      <c r="R1719" s="576">
        <f t="shared" si="414"/>
        <v>0</v>
      </c>
      <c r="S1719" s="576">
        <f t="shared" si="414"/>
        <v>0</v>
      </c>
      <c r="T1719" s="577">
        <f t="shared" si="397"/>
        <v>0</v>
      </c>
      <c r="U1719" s="578">
        <f t="shared" si="398"/>
        <v>0</v>
      </c>
      <c r="V1719" s="579"/>
      <c r="W1719" s="566"/>
      <c r="X1719" s="586" t="str">
        <f t="shared" si="402"/>
        <v/>
      </c>
      <c r="Y1719" s="586" t="str">
        <f t="shared" si="409"/>
        <v/>
      </c>
      <c r="Z1719" s="586" t="str">
        <f t="shared" si="403"/>
        <v/>
      </c>
    </row>
    <row r="1720" spans="1:26" ht="12" hidden="1" thickBot="1" x14ac:dyDescent="0.25">
      <c r="A1720" s="567" t="s">
        <v>168</v>
      </c>
      <c r="B1720" s="644" t="s">
        <v>168</v>
      </c>
      <c r="C1720" s="645"/>
      <c r="D1720" s="451" t="s">
        <v>212</v>
      </c>
      <c r="E1720" s="423"/>
      <c r="F1720" s="424">
        <v>500</v>
      </c>
      <c r="G1720" s="425">
        <v>0.33</v>
      </c>
      <c r="H1720" s="649">
        <f>IF(F1720&lt;=30,(0.78*F1720+7.82)*G1720,((0.78*30+7.82)+0.78*(F1720-30))*G1720)</f>
        <v>131.28060000000002</v>
      </c>
      <c r="I1720" s="420">
        <v>0</v>
      </c>
      <c r="J1720" s="420"/>
      <c r="K1720" s="421">
        <f t="shared" si="407"/>
        <v>0</v>
      </c>
      <c r="L1720" s="668" t="s">
        <v>614</v>
      </c>
      <c r="M1720" s="669"/>
      <c r="N1720" s="576">
        <f t="shared" si="404"/>
        <v>0</v>
      </c>
      <c r="O1720" s="577">
        <f t="shared" si="399"/>
        <v>0</v>
      </c>
      <c r="P1720" s="578">
        <f t="shared" si="400"/>
        <v>0</v>
      </c>
      <c r="Q1720" s="765"/>
      <c r="R1720" s="669"/>
      <c r="S1720" s="670"/>
      <c r="T1720" s="577">
        <f t="shared" si="397"/>
        <v>0</v>
      </c>
      <c r="U1720" s="578">
        <f t="shared" si="398"/>
        <v>0</v>
      </c>
      <c r="V1720" s="579"/>
      <c r="W1720" s="637" t="str">
        <f>IF(U1719&gt;0,"xx",IF(P1719&gt;0,"xy",""))</f>
        <v/>
      </c>
      <c r="X1720" s="586" t="str">
        <f t="shared" si="402"/>
        <v/>
      </c>
      <c r="Y1720" s="586" t="str">
        <f t="shared" si="409"/>
        <v/>
      </c>
      <c r="Z1720" s="586" t="str">
        <f t="shared" si="403"/>
        <v/>
      </c>
    </row>
    <row r="1721" spans="1:26" ht="12" hidden="1" thickBot="1" x14ac:dyDescent="0.25">
      <c r="A1721" s="567" t="s">
        <v>168</v>
      </c>
      <c r="B1721" s="644" t="s">
        <v>168</v>
      </c>
      <c r="C1721" s="645"/>
      <c r="D1721" s="451" t="s">
        <v>248</v>
      </c>
      <c r="E1721" s="423"/>
      <c r="F1721" s="424">
        <v>180</v>
      </c>
      <c r="G1721" s="425">
        <v>0.92100000000000004</v>
      </c>
      <c r="H1721" s="663">
        <f t="shared" ref="H1721:H1722" si="416">IF(F1721&lt;=30,(1.07*F1721+2.68)*G1721,((1.07*30+2.68)+1.07*(F1721-30))*G1721)</f>
        <v>179.85288</v>
      </c>
      <c r="I1721" s="420">
        <v>0</v>
      </c>
      <c r="J1721" s="420"/>
      <c r="K1721" s="421">
        <f t="shared" si="407"/>
        <v>0</v>
      </c>
      <c r="L1721" s="668" t="s">
        <v>614</v>
      </c>
      <c r="M1721" s="669"/>
      <c r="N1721" s="576">
        <f t="shared" si="404"/>
        <v>0</v>
      </c>
      <c r="O1721" s="577">
        <f t="shared" si="399"/>
        <v>0</v>
      </c>
      <c r="P1721" s="578">
        <f t="shared" si="400"/>
        <v>0</v>
      </c>
      <c r="Q1721" s="765"/>
      <c r="R1721" s="669"/>
      <c r="S1721" s="670"/>
      <c r="T1721" s="577">
        <f t="shared" si="397"/>
        <v>0</v>
      </c>
      <c r="U1721" s="578">
        <f t="shared" si="398"/>
        <v>0</v>
      </c>
      <c r="V1721" s="579"/>
      <c r="W1721" s="637" t="str">
        <f>IF(U1719&gt;0,"xx",IF(P1719&gt;0,"xy",""))</f>
        <v/>
      </c>
      <c r="X1721" s="586" t="str">
        <f t="shared" si="402"/>
        <v/>
      </c>
      <c r="Y1721" s="586" t="str">
        <f t="shared" si="409"/>
        <v/>
      </c>
      <c r="Z1721" s="586" t="str">
        <f t="shared" si="403"/>
        <v/>
      </c>
    </row>
    <row r="1722" spans="1:26" ht="12" hidden="1" thickBot="1" x14ac:dyDescent="0.25">
      <c r="A1722" s="567" t="s">
        <v>168</v>
      </c>
      <c r="B1722" s="644" t="s">
        <v>168</v>
      </c>
      <c r="C1722" s="645"/>
      <c r="D1722" s="451" t="s">
        <v>252</v>
      </c>
      <c r="E1722" s="423"/>
      <c r="F1722" s="424">
        <v>20</v>
      </c>
      <c r="G1722" s="425">
        <v>1.1100000000000001</v>
      </c>
      <c r="H1722" s="663">
        <f t="shared" si="416"/>
        <v>26.728800000000003</v>
      </c>
      <c r="I1722" s="420">
        <v>0</v>
      </c>
      <c r="J1722" s="420"/>
      <c r="K1722" s="421">
        <f t="shared" si="407"/>
        <v>0</v>
      </c>
      <c r="L1722" s="668" t="s">
        <v>614</v>
      </c>
      <c r="M1722" s="669"/>
      <c r="N1722" s="576">
        <f t="shared" si="404"/>
        <v>0</v>
      </c>
      <c r="O1722" s="577">
        <f t="shared" si="399"/>
        <v>0</v>
      </c>
      <c r="P1722" s="578">
        <f t="shared" si="400"/>
        <v>0</v>
      </c>
      <c r="Q1722" s="765"/>
      <c r="R1722" s="669"/>
      <c r="S1722" s="670"/>
      <c r="T1722" s="577">
        <f t="shared" ref="T1722:T1785" si="417">IF(ISBLANK(R1722),0,ROUND(K1722*R1722,2))</f>
        <v>0</v>
      </c>
      <c r="U1722" s="578">
        <f t="shared" ref="U1722:U1785" si="418">IF(ISBLANK(R1722),0,ROUND(R1722*S1722,2))</f>
        <v>0</v>
      </c>
      <c r="V1722" s="579"/>
      <c r="W1722" s="637" t="str">
        <f>IF(U1719&gt;0,"xx",IF(P1719&gt;0,"xy",""))</f>
        <v/>
      </c>
      <c r="X1722" s="586" t="str">
        <f t="shared" si="402"/>
        <v/>
      </c>
      <c r="Y1722" s="586" t="str">
        <f t="shared" si="409"/>
        <v/>
      </c>
      <c r="Z1722" s="586" t="str">
        <f t="shared" si="403"/>
        <v/>
      </c>
    </row>
    <row r="1723" spans="1:26" ht="12" hidden="1" thickBot="1" x14ac:dyDescent="0.25">
      <c r="A1723" s="567">
        <v>605400</v>
      </c>
      <c r="B1723" s="644" t="s">
        <v>1642</v>
      </c>
      <c r="C1723" s="645" t="s">
        <v>206</v>
      </c>
      <c r="D1723" s="422" t="s">
        <v>353</v>
      </c>
      <c r="E1723" s="423"/>
      <c r="F1723" s="424"/>
      <c r="G1723" s="425"/>
      <c r="H1723" s="651">
        <f>SUM(H1724:H1726)</f>
        <v>362.76447999999999</v>
      </c>
      <c r="I1723" s="420">
        <v>495.4</v>
      </c>
      <c r="J1723" s="420">
        <f>IF(ISBLANK(I1723),"",SUM(H1723:I1723))</f>
        <v>858.16447999999991</v>
      </c>
      <c r="K1723" s="421">
        <f t="shared" si="407"/>
        <v>1019.59</v>
      </c>
      <c r="L1723" s="647" t="s">
        <v>16</v>
      </c>
      <c r="M1723" s="576"/>
      <c r="N1723" s="576">
        <f t="shared" si="404"/>
        <v>0</v>
      </c>
      <c r="O1723" s="577">
        <f t="shared" ref="O1723:O1786" si="419">IF(ISBLANK(M1723),0,ROUND(K1723*M1723,2))</f>
        <v>0</v>
      </c>
      <c r="P1723" s="578">
        <f t="shared" ref="P1723:P1786" si="420">IF(ISBLANK(N1723),0,ROUND(M1723*N1723,2))</f>
        <v>0</v>
      </c>
      <c r="Q1723" s="765"/>
      <c r="R1723" s="576">
        <f t="shared" si="414"/>
        <v>0</v>
      </c>
      <c r="S1723" s="576">
        <f t="shared" si="414"/>
        <v>0</v>
      </c>
      <c r="T1723" s="577">
        <f t="shared" si="417"/>
        <v>0</v>
      </c>
      <c r="U1723" s="578">
        <f t="shared" si="418"/>
        <v>0</v>
      </c>
      <c r="V1723" s="579"/>
      <c r="W1723" s="566"/>
      <c r="X1723" s="586" t="str">
        <f t="shared" si="402"/>
        <v/>
      </c>
      <c r="Y1723" s="586" t="str">
        <f t="shared" si="409"/>
        <v/>
      </c>
      <c r="Z1723" s="586" t="str">
        <f t="shared" si="403"/>
        <v/>
      </c>
    </row>
    <row r="1724" spans="1:26" ht="12" hidden="1" thickBot="1" x14ac:dyDescent="0.25">
      <c r="A1724" s="567" t="s">
        <v>168</v>
      </c>
      <c r="B1724" s="644" t="s">
        <v>168</v>
      </c>
      <c r="C1724" s="645"/>
      <c r="D1724" s="451" t="s">
        <v>212</v>
      </c>
      <c r="E1724" s="423"/>
      <c r="F1724" s="424">
        <v>500</v>
      </c>
      <c r="G1724" s="425">
        <v>0.34399999999999997</v>
      </c>
      <c r="H1724" s="649">
        <f>IF(F1724&lt;=30,(0.78*F1724+7.82)*G1724,((0.78*30+7.82)+0.78*(F1724-30))*G1724)</f>
        <v>136.85008000000002</v>
      </c>
      <c r="I1724" s="420">
        <v>0</v>
      </c>
      <c r="J1724" s="420"/>
      <c r="K1724" s="421">
        <f t="shared" si="407"/>
        <v>0</v>
      </c>
      <c r="L1724" s="668" t="s">
        <v>614</v>
      </c>
      <c r="M1724" s="669"/>
      <c r="N1724" s="576">
        <f t="shared" si="404"/>
        <v>0</v>
      </c>
      <c r="O1724" s="577">
        <f t="shared" si="419"/>
        <v>0</v>
      </c>
      <c r="P1724" s="578">
        <f t="shared" si="420"/>
        <v>0</v>
      </c>
      <c r="Q1724" s="765"/>
      <c r="R1724" s="669"/>
      <c r="S1724" s="670"/>
      <c r="T1724" s="577">
        <f t="shared" si="417"/>
        <v>0</v>
      </c>
      <c r="U1724" s="578">
        <f t="shared" si="418"/>
        <v>0</v>
      </c>
      <c r="V1724" s="579"/>
      <c r="W1724" s="637" t="str">
        <f>IF(U1723&gt;0,"xx",IF(P1723&gt;0,"xy",""))</f>
        <v/>
      </c>
      <c r="X1724" s="586" t="str">
        <f t="shared" si="402"/>
        <v/>
      </c>
      <c r="Y1724" s="586" t="str">
        <f t="shared" si="409"/>
        <v/>
      </c>
      <c r="Z1724" s="586" t="str">
        <f t="shared" si="403"/>
        <v/>
      </c>
    </row>
    <row r="1725" spans="1:26" ht="12" hidden="1" thickBot="1" x14ac:dyDescent="0.25">
      <c r="A1725" s="567" t="s">
        <v>168</v>
      </c>
      <c r="B1725" s="644" t="s">
        <v>168</v>
      </c>
      <c r="C1725" s="645"/>
      <c r="D1725" s="451" t="s">
        <v>248</v>
      </c>
      <c r="E1725" s="423"/>
      <c r="F1725" s="424">
        <v>180</v>
      </c>
      <c r="G1725" s="425">
        <v>1.02</v>
      </c>
      <c r="H1725" s="663">
        <f t="shared" ref="H1725:H1726" si="421">IF(F1725&lt;=30,(1.07*F1725+2.68)*G1725,((1.07*30+2.68)+1.07*(F1725-30))*G1725)</f>
        <v>199.18559999999999</v>
      </c>
      <c r="I1725" s="420">
        <v>0</v>
      </c>
      <c r="J1725" s="420"/>
      <c r="K1725" s="421">
        <f t="shared" si="407"/>
        <v>0</v>
      </c>
      <c r="L1725" s="668" t="s">
        <v>614</v>
      </c>
      <c r="M1725" s="669"/>
      <c r="N1725" s="576">
        <f t="shared" si="404"/>
        <v>0</v>
      </c>
      <c r="O1725" s="577">
        <f t="shared" si="419"/>
        <v>0</v>
      </c>
      <c r="P1725" s="578">
        <f t="shared" si="420"/>
        <v>0</v>
      </c>
      <c r="Q1725" s="765"/>
      <c r="R1725" s="669"/>
      <c r="S1725" s="670"/>
      <c r="T1725" s="577">
        <f t="shared" si="417"/>
        <v>0</v>
      </c>
      <c r="U1725" s="578">
        <f t="shared" si="418"/>
        <v>0</v>
      </c>
      <c r="V1725" s="579"/>
      <c r="W1725" s="637" t="str">
        <f>IF(U1723&gt;0,"xx",IF(P1723&gt;0,"xy",""))</f>
        <v/>
      </c>
      <c r="X1725" s="586" t="str">
        <f t="shared" ref="X1725:X1792" si="422">IF(W1725="X","x",IF(W1725="xx","x",IF(W1725="xy","x",IF(W1725="y","x",IF(OR(P1725&gt;0,U1725&gt;0),"x","")))))</f>
        <v/>
      </c>
      <c r="Y1725" s="586" t="str">
        <f t="shared" si="409"/>
        <v/>
      </c>
      <c r="Z1725" s="586" t="str">
        <f t="shared" si="403"/>
        <v/>
      </c>
    </row>
    <row r="1726" spans="1:26" ht="12" hidden="1" thickBot="1" x14ac:dyDescent="0.25">
      <c r="A1726" s="567" t="s">
        <v>168</v>
      </c>
      <c r="B1726" s="644" t="s">
        <v>168</v>
      </c>
      <c r="C1726" s="645"/>
      <c r="D1726" s="451" t="s">
        <v>252</v>
      </c>
      <c r="E1726" s="423"/>
      <c r="F1726" s="424">
        <v>20</v>
      </c>
      <c r="G1726" s="425">
        <v>1.1100000000000001</v>
      </c>
      <c r="H1726" s="663">
        <f t="shared" si="421"/>
        <v>26.728800000000003</v>
      </c>
      <c r="I1726" s="420">
        <v>0</v>
      </c>
      <c r="J1726" s="420"/>
      <c r="K1726" s="421">
        <f t="shared" si="407"/>
        <v>0</v>
      </c>
      <c r="L1726" s="668" t="s">
        <v>614</v>
      </c>
      <c r="M1726" s="669"/>
      <c r="N1726" s="576">
        <f t="shared" si="404"/>
        <v>0</v>
      </c>
      <c r="O1726" s="577">
        <f t="shared" si="419"/>
        <v>0</v>
      </c>
      <c r="P1726" s="578">
        <f t="shared" si="420"/>
        <v>0</v>
      </c>
      <c r="Q1726" s="765"/>
      <c r="R1726" s="669"/>
      <c r="S1726" s="670"/>
      <c r="T1726" s="577">
        <f t="shared" si="417"/>
        <v>0</v>
      </c>
      <c r="U1726" s="578">
        <f t="shared" si="418"/>
        <v>0</v>
      </c>
      <c r="V1726" s="579"/>
      <c r="W1726" s="637" t="str">
        <f>IF(U1723&gt;0,"xx",IF(P1723&gt;0,"xy",""))</f>
        <v/>
      </c>
      <c r="X1726" s="586" t="str">
        <f t="shared" si="422"/>
        <v/>
      </c>
      <c r="Y1726" s="586" t="str">
        <f t="shared" si="409"/>
        <v/>
      </c>
      <c r="Z1726" s="586" t="str">
        <f t="shared" si="403"/>
        <v/>
      </c>
    </row>
    <row r="1727" spans="1:26" ht="12" hidden="1" thickBot="1" x14ac:dyDescent="0.25">
      <c r="A1727" s="567">
        <v>831000</v>
      </c>
      <c r="B1727" s="644" t="s">
        <v>1873</v>
      </c>
      <c r="C1727" s="645" t="s">
        <v>206</v>
      </c>
      <c r="D1727" s="422" t="s">
        <v>280</v>
      </c>
      <c r="E1727" s="423"/>
      <c r="F1727" s="424"/>
      <c r="G1727" s="425"/>
      <c r="H1727" s="651"/>
      <c r="I1727" s="420">
        <v>41.120000000000005</v>
      </c>
      <c r="J1727" s="420">
        <f t="shared" ref="J1727:J1734" si="423">IF(ISBLANK(I1727),"",SUM(H1727:I1727))</f>
        <v>41.120000000000005</v>
      </c>
      <c r="K1727" s="421">
        <f t="shared" si="407"/>
        <v>48.85</v>
      </c>
      <c r="L1727" s="647" t="s">
        <v>19</v>
      </c>
      <c r="M1727" s="576"/>
      <c r="N1727" s="576">
        <f t="shared" si="404"/>
        <v>0</v>
      </c>
      <c r="O1727" s="577">
        <f t="shared" si="419"/>
        <v>0</v>
      </c>
      <c r="P1727" s="578">
        <f t="shared" si="420"/>
        <v>0</v>
      </c>
      <c r="Q1727" s="765"/>
      <c r="R1727" s="576">
        <f t="shared" si="414"/>
        <v>0</v>
      </c>
      <c r="S1727" s="576">
        <f t="shared" si="414"/>
        <v>0</v>
      </c>
      <c r="T1727" s="577">
        <f t="shared" si="417"/>
        <v>0</v>
      </c>
      <c r="U1727" s="578">
        <f t="shared" si="418"/>
        <v>0</v>
      </c>
      <c r="V1727" s="579"/>
      <c r="W1727" s="566"/>
      <c r="X1727" s="586" t="str">
        <f t="shared" si="422"/>
        <v/>
      </c>
      <c r="Y1727" s="586" t="str">
        <f t="shared" si="409"/>
        <v/>
      </c>
      <c r="Z1727" s="586" t="str">
        <f t="shared" si="403"/>
        <v/>
      </c>
    </row>
    <row r="1728" spans="1:26" ht="12" hidden="1" thickBot="1" x14ac:dyDescent="0.25">
      <c r="A1728" s="567">
        <v>830000</v>
      </c>
      <c r="B1728" s="644" t="s">
        <v>1874</v>
      </c>
      <c r="C1728" s="645" t="s">
        <v>206</v>
      </c>
      <c r="D1728" s="422" t="s">
        <v>281</v>
      </c>
      <c r="E1728" s="423"/>
      <c r="F1728" s="424"/>
      <c r="G1728" s="425"/>
      <c r="H1728" s="651"/>
      <c r="I1728" s="420">
        <v>34.14</v>
      </c>
      <c r="J1728" s="420">
        <f t="shared" si="423"/>
        <v>34.14</v>
      </c>
      <c r="K1728" s="421">
        <f t="shared" si="407"/>
        <v>40.56</v>
      </c>
      <c r="L1728" s="647" t="s">
        <v>19</v>
      </c>
      <c r="M1728" s="576"/>
      <c r="N1728" s="576">
        <f t="shared" si="404"/>
        <v>0</v>
      </c>
      <c r="O1728" s="577">
        <f t="shared" si="419"/>
        <v>0</v>
      </c>
      <c r="P1728" s="578">
        <f t="shared" si="420"/>
        <v>0</v>
      </c>
      <c r="Q1728" s="765"/>
      <c r="R1728" s="576">
        <f t="shared" si="414"/>
        <v>0</v>
      </c>
      <c r="S1728" s="576">
        <f t="shared" si="414"/>
        <v>0</v>
      </c>
      <c r="T1728" s="577">
        <f t="shared" si="417"/>
        <v>0</v>
      </c>
      <c r="U1728" s="578">
        <f t="shared" si="418"/>
        <v>0</v>
      </c>
      <c r="V1728" s="579"/>
      <c r="W1728" s="566"/>
      <c r="X1728" s="586" t="str">
        <f t="shared" si="422"/>
        <v/>
      </c>
      <c r="Y1728" s="586" t="str">
        <f t="shared" si="409"/>
        <v/>
      </c>
      <c r="Z1728" s="586" t="str">
        <f t="shared" si="403"/>
        <v/>
      </c>
    </row>
    <row r="1729" spans="1:26" ht="12" hidden="1" thickBot="1" x14ac:dyDescent="0.25">
      <c r="A1729" s="567">
        <v>823000</v>
      </c>
      <c r="B1729" s="644" t="s">
        <v>1636</v>
      </c>
      <c r="C1729" s="645" t="s">
        <v>206</v>
      </c>
      <c r="D1729" s="422" t="s">
        <v>282</v>
      </c>
      <c r="E1729" s="423"/>
      <c r="F1729" s="424">
        <v>0</v>
      </c>
      <c r="G1729" s="425"/>
      <c r="H1729" s="651"/>
      <c r="I1729" s="420">
        <v>486.65</v>
      </c>
      <c r="J1729" s="420">
        <f t="shared" si="423"/>
        <v>486.65</v>
      </c>
      <c r="K1729" s="421">
        <f t="shared" si="407"/>
        <v>578.19000000000005</v>
      </c>
      <c r="L1729" s="647" t="s">
        <v>19</v>
      </c>
      <c r="M1729" s="576"/>
      <c r="N1729" s="576">
        <f t="shared" si="404"/>
        <v>0</v>
      </c>
      <c r="O1729" s="577">
        <f t="shared" si="419"/>
        <v>0</v>
      </c>
      <c r="P1729" s="578">
        <f t="shared" si="420"/>
        <v>0</v>
      </c>
      <c r="Q1729" s="765"/>
      <c r="R1729" s="576">
        <f t="shared" si="414"/>
        <v>0</v>
      </c>
      <c r="S1729" s="576">
        <f t="shared" si="414"/>
        <v>0</v>
      </c>
      <c r="T1729" s="577">
        <f t="shared" si="417"/>
        <v>0</v>
      </c>
      <c r="U1729" s="578">
        <f t="shared" si="418"/>
        <v>0</v>
      </c>
      <c r="V1729" s="579"/>
      <c r="W1729" s="566"/>
      <c r="X1729" s="586" t="str">
        <f t="shared" si="422"/>
        <v/>
      </c>
      <c r="Y1729" s="586" t="str">
        <f t="shared" si="409"/>
        <v/>
      </c>
      <c r="Z1729" s="586" t="str">
        <f t="shared" si="403"/>
        <v/>
      </c>
    </row>
    <row r="1730" spans="1:26" ht="12" hidden="1" thickBot="1" x14ac:dyDescent="0.25">
      <c r="A1730" s="567">
        <v>97623</v>
      </c>
      <c r="B1730" s="644" t="s">
        <v>1598</v>
      </c>
      <c r="C1730" s="645" t="s">
        <v>670</v>
      </c>
      <c r="D1730" s="416" t="s">
        <v>1595</v>
      </c>
      <c r="E1730" s="417"/>
      <c r="F1730" s="418"/>
      <c r="G1730" s="419"/>
      <c r="H1730" s="646"/>
      <c r="I1730" s="420">
        <v>175.28</v>
      </c>
      <c r="J1730" s="420">
        <f t="shared" si="423"/>
        <v>175.28</v>
      </c>
      <c r="K1730" s="421">
        <f t="shared" si="407"/>
        <v>208.25</v>
      </c>
      <c r="L1730" s="647" t="s">
        <v>16</v>
      </c>
      <c r="M1730" s="576"/>
      <c r="N1730" s="576">
        <f t="shared" si="404"/>
        <v>0</v>
      </c>
      <c r="O1730" s="577">
        <f t="shared" si="419"/>
        <v>0</v>
      </c>
      <c r="P1730" s="578">
        <f t="shared" si="420"/>
        <v>0</v>
      </c>
      <c r="Q1730" s="765"/>
      <c r="R1730" s="650">
        <f t="shared" si="414"/>
        <v>0</v>
      </c>
      <c r="S1730" s="587">
        <f t="shared" si="414"/>
        <v>0</v>
      </c>
      <c r="T1730" s="577">
        <f t="shared" si="417"/>
        <v>0</v>
      </c>
      <c r="U1730" s="578">
        <f t="shared" si="418"/>
        <v>0</v>
      </c>
      <c r="V1730" s="579"/>
      <c r="W1730" s="566"/>
      <c r="X1730" s="586" t="str">
        <f t="shared" si="422"/>
        <v/>
      </c>
      <c r="Y1730" s="586" t="str">
        <f t="shared" si="409"/>
        <v/>
      </c>
      <c r="Z1730" s="586" t="str">
        <f t="shared" si="403"/>
        <v/>
      </c>
    </row>
    <row r="1731" spans="1:26" ht="12" hidden="1" thickBot="1" x14ac:dyDescent="0.25">
      <c r="A1731" s="567">
        <v>97624</v>
      </c>
      <c r="B1731" s="644" t="s">
        <v>1599</v>
      </c>
      <c r="C1731" s="645" t="s">
        <v>670</v>
      </c>
      <c r="D1731" s="416" t="s">
        <v>1597</v>
      </c>
      <c r="E1731" s="417"/>
      <c r="F1731" s="418"/>
      <c r="G1731" s="419"/>
      <c r="H1731" s="646"/>
      <c r="I1731" s="420">
        <v>107.58</v>
      </c>
      <c r="J1731" s="420">
        <f t="shared" si="423"/>
        <v>107.58</v>
      </c>
      <c r="K1731" s="421">
        <f t="shared" si="407"/>
        <v>127.82</v>
      </c>
      <c r="L1731" s="647" t="s">
        <v>16</v>
      </c>
      <c r="M1731" s="576"/>
      <c r="N1731" s="576">
        <f t="shared" si="404"/>
        <v>0</v>
      </c>
      <c r="O1731" s="577">
        <f t="shared" si="419"/>
        <v>0</v>
      </c>
      <c r="P1731" s="578">
        <f t="shared" si="420"/>
        <v>0</v>
      </c>
      <c r="Q1731" s="765"/>
      <c r="R1731" s="650">
        <f t="shared" si="414"/>
        <v>0</v>
      </c>
      <c r="S1731" s="587">
        <f t="shared" si="414"/>
        <v>0</v>
      </c>
      <c r="T1731" s="577">
        <f t="shared" si="417"/>
        <v>0</v>
      </c>
      <c r="U1731" s="578">
        <f t="shared" si="418"/>
        <v>0</v>
      </c>
      <c r="V1731" s="579"/>
      <c r="W1731" s="566"/>
      <c r="X1731" s="586" t="str">
        <f t="shared" si="422"/>
        <v/>
      </c>
      <c r="Y1731" s="586" t="str">
        <f t="shared" si="409"/>
        <v/>
      </c>
      <c r="Z1731" s="586" t="str">
        <f t="shared" si="403"/>
        <v/>
      </c>
    </row>
    <row r="1732" spans="1:26" ht="12" hidden="1" thickBot="1" x14ac:dyDescent="0.25">
      <c r="A1732" s="567">
        <v>606500</v>
      </c>
      <c r="B1732" s="644" t="s">
        <v>1600</v>
      </c>
      <c r="C1732" s="645" t="s">
        <v>206</v>
      </c>
      <c r="D1732" s="416" t="s">
        <v>501</v>
      </c>
      <c r="E1732" s="417"/>
      <c r="F1732" s="418"/>
      <c r="G1732" s="419"/>
      <c r="H1732" s="646"/>
      <c r="I1732" s="420">
        <v>169.87</v>
      </c>
      <c r="J1732" s="420">
        <f t="shared" si="423"/>
        <v>169.87</v>
      </c>
      <c r="K1732" s="421">
        <f t="shared" si="407"/>
        <v>201.82</v>
      </c>
      <c r="L1732" s="647" t="s">
        <v>16</v>
      </c>
      <c r="M1732" s="576"/>
      <c r="N1732" s="576">
        <f t="shared" si="404"/>
        <v>0</v>
      </c>
      <c r="O1732" s="577">
        <f t="shared" si="419"/>
        <v>0</v>
      </c>
      <c r="P1732" s="578">
        <f t="shared" si="420"/>
        <v>0</v>
      </c>
      <c r="Q1732" s="765"/>
      <c r="R1732" s="650">
        <f t="shared" si="414"/>
        <v>0</v>
      </c>
      <c r="S1732" s="587">
        <f t="shared" si="414"/>
        <v>0</v>
      </c>
      <c r="T1732" s="577">
        <f t="shared" si="417"/>
        <v>0</v>
      </c>
      <c r="U1732" s="578">
        <f t="shared" si="418"/>
        <v>0</v>
      </c>
      <c r="V1732" s="579"/>
      <c r="W1732" s="566"/>
      <c r="X1732" s="586" t="str">
        <f t="shared" si="422"/>
        <v/>
      </c>
      <c r="Y1732" s="586" t="str">
        <f t="shared" si="409"/>
        <v/>
      </c>
      <c r="Z1732" s="586" t="str">
        <f t="shared" si="403"/>
        <v/>
      </c>
    </row>
    <row r="1733" spans="1:26" ht="12" hidden="1" thickBot="1" x14ac:dyDescent="0.25">
      <c r="A1733" s="567">
        <v>841000</v>
      </c>
      <c r="B1733" s="644" t="s">
        <v>1593</v>
      </c>
      <c r="C1733" s="645" t="s">
        <v>206</v>
      </c>
      <c r="D1733" s="422" t="s">
        <v>477</v>
      </c>
      <c r="E1733" s="423"/>
      <c r="F1733" s="424">
        <v>0</v>
      </c>
      <c r="G1733" s="425"/>
      <c r="H1733" s="651"/>
      <c r="I1733" s="420">
        <v>11.64</v>
      </c>
      <c r="J1733" s="420">
        <f t="shared" si="423"/>
        <v>11.64</v>
      </c>
      <c r="K1733" s="421">
        <f t="shared" si="407"/>
        <v>13.83</v>
      </c>
      <c r="L1733" s="647" t="s">
        <v>19</v>
      </c>
      <c r="M1733" s="576"/>
      <c r="N1733" s="576">
        <f t="shared" si="404"/>
        <v>0</v>
      </c>
      <c r="O1733" s="577">
        <f t="shared" si="419"/>
        <v>0</v>
      </c>
      <c r="P1733" s="578">
        <f t="shared" si="420"/>
        <v>0</v>
      </c>
      <c r="Q1733" s="765"/>
      <c r="R1733" s="576">
        <f t="shared" si="414"/>
        <v>0</v>
      </c>
      <c r="S1733" s="576">
        <f t="shared" si="414"/>
        <v>0</v>
      </c>
      <c r="T1733" s="577">
        <f t="shared" si="417"/>
        <v>0</v>
      </c>
      <c r="U1733" s="578">
        <f t="shared" si="418"/>
        <v>0</v>
      </c>
      <c r="V1733" s="579"/>
      <c r="W1733" s="566"/>
      <c r="X1733" s="586" t="str">
        <f t="shared" si="422"/>
        <v/>
      </c>
      <c r="Y1733" s="586" t="str">
        <f t="shared" si="409"/>
        <v/>
      </c>
      <c r="Z1733" s="586" t="str">
        <f t="shared" si="403"/>
        <v/>
      </c>
    </row>
    <row r="1734" spans="1:26" ht="12" hidden="1" thickBot="1" x14ac:dyDescent="0.25">
      <c r="A1734" s="567">
        <v>840000</v>
      </c>
      <c r="B1734" s="644" t="s">
        <v>1716</v>
      </c>
      <c r="C1734" s="645" t="s">
        <v>206</v>
      </c>
      <c r="D1734" s="422" t="s">
        <v>279</v>
      </c>
      <c r="E1734" s="423"/>
      <c r="F1734" s="424">
        <v>0</v>
      </c>
      <c r="G1734" s="425"/>
      <c r="H1734" s="651"/>
      <c r="I1734" s="420">
        <v>32.15</v>
      </c>
      <c r="J1734" s="420">
        <f t="shared" si="423"/>
        <v>32.15</v>
      </c>
      <c r="K1734" s="421">
        <f t="shared" si="407"/>
        <v>38.200000000000003</v>
      </c>
      <c r="L1734" s="647" t="s">
        <v>19</v>
      </c>
      <c r="M1734" s="576"/>
      <c r="N1734" s="576">
        <f t="shared" si="404"/>
        <v>0</v>
      </c>
      <c r="O1734" s="577">
        <f t="shared" si="419"/>
        <v>0</v>
      </c>
      <c r="P1734" s="578">
        <f t="shared" si="420"/>
        <v>0</v>
      </c>
      <c r="Q1734" s="765"/>
      <c r="R1734" s="576">
        <f t="shared" si="414"/>
        <v>0</v>
      </c>
      <c r="S1734" s="576">
        <f t="shared" si="414"/>
        <v>0</v>
      </c>
      <c r="T1734" s="577">
        <f t="shared" si="417"/>
        <v>0</v>
      </c>
      <c r="U1734" s="578">
        <f t="shared" si="418"/>
        <v>0</v>
      </c>
      <c r="V1734" s="579"/>
      <c r="W1734" s="566"/>
      <c r="X1734" s="586" t="str">
        <f>IF(W1734="X","x",IF(W1734="xx","x",IF(W1734="xy","x",IF(W1734="y","x",IF(OR(P1734&gt;0,U1734&gt;0),"x","")))))</f>
        <v/>
      </c>
      <c r="Y1734" s="586" t="str">
        <f>IF(W1734="X","x",IF(W1734="y","x",IF(W1734="xx","x",IF(U1734&gt;0,"x",""))))</f>
        <v/>
      </c>
      <c r="Z1734" s="586" t="str">
        <f t="shared" si="403"/>
        <v/>
      </c>
    </row>
    <row r="1735" spans="1:26" ht="12" hidden="1" thickBot="1" x14ac:dyDescent="0.25">
      <c r="A1735" s="567">
        <v>606600</v>
      </c>
      <c r="B1735" s="644" t="s">
        <v>1579</v>
      </c>
      <c r="C1735" s="645" t="s">
        <v>206</v>
      </c>
      <c r="D1735" s="422" t="s">
        <v>200</v>
      </c>
      <c r="E1735" s="423"/>
      <c r="F1735" s="424">
        <v>0</v>
      </c>
      <c r="G1735" s="425"/>
      <c r="H1735" s="651"/>
      <c r="I1735" s="420">
        <v>300.33999999999997</v>
      </c>
      <c r="J1735" s="420">
        <f t="shared" ref="J1735:J1740" si="424">IF(ISBLANK(I1735),"",SUM(H1735:I1735))</f>
        <v>300.33999999999997</v>
      </c>
      <c r="K1735" s="421">
        <f t="shared" si="407"/>
        <v>356.83</v>
      </c>
      <c r="L1735" s="647" t="s">
        <v>16</v>
      </c>
      <c r="M1735" s="576"/>
      <c r="N1735" s="576">
        <f t="shared" si="404"/>
        <v>0</v>
      </c>
      <c r="O1735" s="577">
        <f t="shared" si="419"/>
        <v>0</v>
      </c>
      <c r="P1735" s="578">
        <f t="shared" si="420"/>
        <v>0</v>
      </c>
      <c r="Q1735" s="765"/>
      <c r="R1735" s="576">
        <f t="shared" si="414"/>
        <v>0</v>
      </c>
      <c r="S1735" s="576">
        <f t="shared" si="414"/>
        <v>0</v>
      </c>
      <c r="T1735" s="577">
        <f t="shared" si="417"/>
        <v>0</v>
      </c>
      <c r="U1735" s="578">
        <f t="shared" si="418"/>
        <v>0</v>
      </c>
      <c r="V1735" s="579"/>
      <c r="W1735" s="566"/>
      <c r="X1735" s="586" t="str">
        <f t="shared" si="422"/>
        <v/>
      </c>
      <c r="Y1735" s="586" t="str">
        <f t="shared" si="409"/>
        <v/>
      </c>
      <c r="Z1735" s="586" t="str">
        <f t="shared" si="403"/>
        <v/>
      </c>
    </row>
    <row r="1736" spans="1:26" ht="12" hidden="1" thickBot="1" x14ac:dyDescent="0.25">
      <c r="A1736" s="567">
        <v>606700</v>
      </c>
      <c r="B1736" s="644" t="s">
        <v>1582</v>
      </c>
      <c r="C1736" s="645" t="s">
        <v>206</v>
      </c>
      <c r="D1736" s="422" t="s">
        <v>273</v>
      </c>
      <c r="E1736" s="423"/>
      <c r="F1736" s="424">
        <v>0</v>
      </c>
      <c r="G1736" s="425"/>
      <c r="H1736" s="651"/>
      <c r="I1736" s="420">
        <v>143.94</v>
      </c>
      <c r="J1736" s="420">
        <f t="shared" si="424"/>
        <v>143.94</v>
      </c>
      <c r="K1736" s="421">
        <f t="shared" si="407"/>
        <v>171.02</v>
      </c>
      <c r="L1736" s="647" t="s">
        <v>16</v>
      </c>
      <c r="M1736" s="576"/>
      <c r="N1736" s="576">
        <f t="shared" si="404"/>
        <v>0</v>
      </c>
      <c r="O1736" s="577">
        <f t="shared" si="419"/>
        <v>0</v>
      </c>
      <c r="P1736" s="578">
        <f t="shared" si="420"/>
        <v>0</v>
      </c>
      <c r="Q1736" s="765"/>
      <c r="R1736" s="576">
        <f t="shared" si="414"/>
        <v>0</v>
      </c>
      <c r="S1736" s="576">
        <f t="shared" si="414"/>
        <v>0</v>
      </c>
      <c r="T1736" s="577">
        <f t="shared" si="417"/>
        <v>0</v>
      </c>
      <c r="U1736" s="578">
        <f t="shared" si="418"/>
        <v>0</v>
      </c>
      <c r="V1736" s="579"/>
      <c r="W1736" s="566"/>
      <c r="X1736" s="586" t="str">
        <f t="shared" si="422"/>
        <v/>
      </c>
      <c r="Y1736" s="586" t="str">
        <f t="shared" si="409"/>
        <v/>
      </c>
      <c r="Z1736" s="586" t="str">
        <f t="shared" si="403"/>
        <v/>
      </c>
    </row>
    <row r="1737" spans="1:26" ht="12" hidden="1" thickBot="1" x14ac:dyDescent="0.25">
      <c r="A1737" s="567">
        <v>603700</v>
      </c>
      <c r="B1737" s="644" t="s">
        <v>1644</v>
      </c>
      <c r="C1737" s="645" t="s">
        <v>206</v>
      </c>
      <c r="D1737" s="422" t="s">
        <v>338</v>
      </c>
      <c r="E1737" s="423"/>
      <c r="F1737" s="424">
        <v>20</v>
      </c>
      <c r="G1737" s="425">
        <v>1.8</v>
      </c>
      <c r="H1737" s="663">
        <f t="shared" ref="H1737:H1738" si="425">IF(F1737&lt;=30,(1.07*F1737+2.68)*G1737,((1.07*30+2.68)+1.07*(F1737-30))*G1737)</f>
        <v>43.344000000000001</v>
      </c>
      <c r="I1737" s="420">
        <v>201.64</v>
      </c>
      <c r="J1737" s="420">
        <f t="shared" si="424"/>
        <v>244.98399999999998</v>
      </c>
      <c r="K1737" s="421">
        <f t="shared" si="407"/>
        <v>291.07</v>
      </c>
      <c r="L1737" s="647" t="s">
        <v>16</v>
      </c>
      <c r="M1737" s="576"/>
      <c r="N1737" s="576">
        <f t="shared" si="404"/>
        <v>0</v>
      </c>
      <c r="O1737" s="577">
        <f t="shared" si="419"/>
        <v>0</v>
      </c>
      <c r="P1737" s="578">
        <f t="shared" si="420"/>
        <v>0</v>
      </c>
      <c r="Q1737" s="765"/>
      <c r="R1737" s="576">
        <f t="shared" si="414"/>
        <v>0</v>
      </c>
      <c r="S1737" s="576">
        <f t="shared" si="414"/>
        <v>0</v>
      </c>
      <c r="T1737" s="577">
        <f t="shared" si="417"/>
        <v>0</v>
      </c>
      <c r="U1737" s="578">
        <f t="shared" si="418"/>
        <v>0</v>
      </c>
      <c r="V1737" s="579"/>
      <c r="W1737" s="637"/>
      <c r="X1737" s="586" t="str">
        <f t="shared" si="422"/>
        <v/>
      </c>
      <c r="Y1737" s="586" t="str">
        <f t="shared" si="409"/>
        <v/>
      </c>
      <c r="Z1737" s="586" t="str">
        <f t="shared" si="403"/>
        <v/>
      </c>
    </row>
    <row r="1738" spans="1:26" ht="12" hidden="1" thickBot="1" x14ac:dyDescent="0.25">
      <c r="A1738" s="567">
        <v>603800</v>
      </c>
      <c r="B1738" s="644" t="s">
        <v>1645</v>
      </c>
      <c r="C1738" s="645" t="s">
        <v>206</v>
      </c>
      <c r="D1738" s="422" t="s">
        <v>339</v>
      </c>
      <c r="E1738" s="423"/>
      <c r="F1738" s="424">
        <v>20</v>
      </c>
      <c r="G1738" s="425">
        <v>1.5</v>
      </c>
      <c r="H1738" s="663">
        <f t="shared" si="425"/>
        <v>36.120000000000005</v>
      </c>
      <c r="I1738" s="420">
        <v>119.45</v>
      </c>
      <c r="J1738" s="420">
        <f t="shared" si="424"/>
        <v>155.57</v>
      </c>
      <c r="K1738" s="421">
        <f t="shared" si="407"/>
        <v>184.83</v>
      </c>
      <c r="L1738" s="647" t="s">
        <v>16</v>
      </c>
      <c r="M1738" s="576"/>
      <c r="N1738" s="576">
        <f t="shared" si="404"/>
        <v>0</v>
      </c>
      <c r="O1738" s="577">
        <f t="shared" si="419"/>
        <v>0</v>
      </c>
      <c r="P1738" s="578">
        <f t="shared" si="420"/>
        <v>0</v>
      </c>
      <c r="Q1738" s="765"/>
      <c r="R1738" s="576">
        <f t="shared" si="414"/>
        <v>0</v>
      </c>
      <c r="S1738" s="576">
        <f t="shared" si="414"/>
        <v>0</v>
      </c>
      <c r="T1738" s="577">
        <f t="shared" si="417"/>
        <v>0</v>
      </c>
      <c r="U1738" s="578">
        <f t="shared" si="418"/>
        <v>0</v>
      </c>
      <c r="V1738" s="579"/>
      <c r="W1738" s="566"/>
      <c r="X1738" s="586" t="str">
        <f t="shared" si="422"/>
        <v/>
      </c>
      <c r="Y1738" s="586" t="str">
        <f t="shared" si="409"/>
        <v/>
      </c>
      <c r="Z1738" s="586" t="str">
        <f t="shared" si="403"/>
        <v/>
      </c>
    </row>
    <row r="1739" spans="1:26" ht="12" hidden="1" thickBot="1" x14ac:dyDescent="0.25">
      <c r="A1739" s="567">
        <v>600000</v>
      </c>
      <c r="B1739" s="644" t="s">
        <v>1648</v>
      </c>
      <c r="C1739" s="645" t="s">
        <v>206</v>
      </c>
      <c r="D1739" s="422" t="s">
        <v>322</v>
      </c>
      <c r="E1739" s="423"/>
      <c r="F1739" s="424">
        <v>0</v>
      </c>
      <c r="G1739" s="425">
        <v>0</v>
      </c>
      <c r="H1739" s="651"/>
      <c r="I1739" s="420">
        <v>46.12</v>
      </c>
      <c r="J1739" s="420">
        <f t="shared" si="424"/>
        <v>46.12</v>
      </c>
      <c r="K1739" s="421">
        <f t="shared" si="407"/>
        <v>54.8</v>
      </c>
      <c r="L1739" s="647" t="s">
        <v>16</v>
      </c>
      <c r="M1739" s="576"/>
      <c r="N1739" s="576">
        <f t="shared" si="404"/>
        <v>0</v>
      </c>
      <c r="O1739" s="577">
        <f t="shared" si="419"/>
        <v>0</v>
      </c>
      <c r="P1739" s="578">
        <f t="shared" si="420"/>
        <v>0</v>
      </c>
      <c r="Q1739" s="765"/>
      <c r="R1739" s="576">
        <f t="shared" si="414"/>
        <v>0</v>
      </c>
      <c r="S1739" s="576">
        <f t="shared" si="414"/>
        <v>0</v>
      </c>
      <c r="T1739" s="577">
        <f t="shared" si="417"/>
        <v>0</v>
      </c>
      <c r="U1739" s="578">
        <f t="shared" si="418"/>
        <v>0</v>
      </c>
      <c r="V1739" s="579"/>
      <c r="W1739" s="566"/>
      <c r="X1739" s="586" t="str">
        <f t="shared" si="422"/>
        <v/>
      </c>
      <c r="Y1739" s="586" t="str">
        <f t="shared" si="409"/>
        <v/>
      </c>
      <c r="Z1739" s="586" t="str">
        <f t="shared" si="403"/>
        <v/>
      </c>
    </row>
    <row r="1740" spans="1:26" ht="12" hidden="1" thickBot="1" x14ac:dyDescent="0.25">
      <c r="A1740" s="567">
        <v>602000</v>
      </c>
      <c r="B1740" s="644" t="s">
        <v>2097</v>
      </c>
      <c r="C1740" s="645" t="s">
        <v>206</v>
      </c>
      <c r="D1740" s="422" t="s">
        <v>2092</v>
      </c>
      <c r="E1740" s="423"/>
      <c r="F1740" s="424"/>
      <c r="G1740" s="425"/>
      <c r="H1740" s="651"/>
      <c r="I1740" s="420">
        <v>58.84</v>
      </c>
      <c r="J1740" s="420">
        <f t="shared" si="424"/>
        <v>58.84</v>
      </c>
      <c r="K1740" s="421">
        <f t="shared" si="407"/>
        <v>69.91</v>
      </c>
      <c r="L1740" s="647" t="s">
        <v>18</v>
      </c>
      <c r="M1740" s="576"/>
      <c r="N1740" s="576">
        <f t="shared" si="404"/>
        <v>0</v>
      </c>
      <c r="O1740" s="577">
        <f t="shared" si="419"/>
        <v>0</v>
      </c>
      <c r="P1740" s="578">
        <f t="shared" si="420"/>
        <v>0</v>
      </c>
      <c r="Q1740" s="765"/>
      <c r="R1740" s="576">
        <f t="shared" si="414"/>
        <v>0</v>
      </c>
      <c r="S1740" s="576">
        <f t="shared" si="414"/>
        <v>0</v>
      </c>
      <c r="T1740" s="577">
        <f t="shared" si="417"/>
        <v>0</v>
      </c>
      <c r="U1740" s="578">
        <f t="shared" si="418"/>
        <v>0</v>
      </c>
      <c r="V1740" s="579"/>
      <c r="W1740" s="566"/>
      <c r="X1740" s="586" t="str">
        <f t="shared" si="422"/>
        <v/>
      </c>
      <c r="Y1740" s="586" t="str">
        <f t="shared" si="409"/>
        <v/>
      </c>
      <c r="Z1740" s="586" t="str">
        <f t="shared" si="403"/>
        <v/>
      </c>
    </row>
    <row r="1741" spans="1:26" ht="12" hidden="1" thickBot="1" x14ac:dyDescent="0.25">
      <c r="A1741" s="567">
        <v>600310</v>
      </c>
      <c r="B1741" s="644" t="s">
        <v>1588</v>
      </c>
      <c r="C1741" s="645" t="s">
        <v>206</v>
      </c>
      <c r="D1741" s="416" t="s">
        <v>474</v>
      </c>
      <c r="E1741" s="417"/>
      <c r="F1741" s="418"/>
      <c r="G1741" s="419"/>
      <c r="H1741" s="646"/>
      <c r="I1741" s="420">
        <v>138.22</v>
      </c>
      <c r="J1741" s="420">
        <f t="shared" ref="J1741:J1751" si="426">IF(ISBLANK(I1741),"",SUM(H1741:I1741))</f>
        <v>138.22</v>
      </c>
      <c r="K1741" s="421">
        <f t="shared" si="407"/>
        <v>164.22</v>
      </c>
      <c r="L1741" s="647" t="s">
        <v>21</v>
      </c>
      <c r="M1741" s="576"/>
      <c r="N1741" s="576">
        <f t="shared" si="404"/>
        <v>0</v>
      </c>
      <c r="O1741" s="577">
        <f t="shared" si="419"/>
        <v>0</v>
      </c>
      <c r="P1741" s="578">
        <f t="shared" si="420"/>
        <v>0</v>
      </c>
      <c r="Q1741" s="765"/>
      <c r="R1741" s="576">
        <f t="shared" si="414"/>
        <v>0</v>
      </c>
      <c r="S1741" s="576">
        <f t="shared" si="414"/>
        <v>0</v>
      </c>
      <c r="T1741" s="577">
        <f t="shared" si="417"/>
        <v>0</v>
      </c>
      <c r="U1741" s="578">
        <f t="shared" si="418"/>
        <v>0</v>
      </c>
      <c r="V1741" s="579"/>
      <c r="W1741" s="566"/>
      <c r="X1741" s="586" t="str">
        <f t="shared" si="422"/>
        <v/>
      </c>
      <c r="Y1741" s="586" t="str">
        <f t="shared" si="409"/>
        <v/>
      </c>
      <c r="Z1741" s="586" t="str">
        <f t="shared" si="403"/>
        <v/>
      </c>
    </row>
    <row r="1742" spans="1:26" ht="12" hidden="1" thickBot="1" x14ac:dyDescent="0.25">
      <c r="A1742" s="567">
        <v>633000</v>
      </c>
      <c r="B1742" s="644" t="s">
        <v>1650</v>
      </c>
      <c r="C1742" s="645" t="s">
        <v>206</v>
      </c>
      <c r="D1742" s="416" t="s">
        <v>623</v>
      </c>
      <c r="E1742" s="417"/>
      <c r="F1742" s="418"/>
      <c r="G1742" s="419"/>
      <c r="H1742" s="646"/>
      <c r="I1742" s="420">
        <v>76.88</v>
      </c>
      <c r="J1742" s="420">
        <f>IF(ISBLANK(I1742),"",SUM(H1742:I1742))</f>
        <v>76.88</v>
      </c>
      <c r="K1742" s="421">
        <f t="shared" si="407"/>
        <v>91.34</v>
      </c>
      <c r="L1742" s="647" t="s">
        <v>19</v>
      </c>
      <c r="M1742" s="576"/>
      <c r="N1742" s="576">
        <f t="shared" si="404"/>
        <v>0</v>
      </c>
      <c r="O1742" s="577">
        <f t="shared" si="419"/>
        <v>0</v>
      </c>
      <c r="P1742" s="578">
        <f t="shared" si="420"/>
        <v>0</v>
      </c>
      <c r="Q1742" s="765"/>
      <c r="R1742" s="576">
        <f t="shared" si="414"/>
        <v>0</v>
      </c>
      <c r="S1742" s="576">
        <f t="shared" si="414"/>
        <v>0</v>
      </c>
      <c r="T1742" s="577">
        <f t="shared" si="417"/>
        <v>0</v>
      </c>
      <c r="U1742" s="578">
        <f t="shared" si="418"/>
        <v>0</v>
      </c>
      <c r="V1742" s="579"/>
      <c r="W1742" s="566"/>
      <c r="X1742" s="586" t="str">
        <f t="shared" si="422"/>
        <v/>
      </c>
      <c r="Y1742" s="586" t="str">
        <f t="shared" si="409"/>
        <v/>
      </c>
      <c r="Z1742" s="586" t="str">
        <f t="shared" si="403"/>
        <v/>
      </c>
    </row>
    <row r="1743" spans="1:26" ht="12" hidden="1" thickBot="1" x14ac:dyDescent="0.25">
      <c r="A1743" s="567">
        <v>633100</v>
      </c>
      <c r="B1743" s="644" t="s">
        <v>1652</v>
      </c>
      <c r="C1743" s="645" t="s">
        <v>206</v>
      </c>
      <c r="D1743" s="416" t="s">
        <v>624</v>
      </c>
      <c r="E1743" s="417"/>
      <c r="F1743" s="418"/>
      <c r="G1743" s="419"/>
      <c r="H1743" s="646"/>
      <c r="I1743" s="420">
        <v>153.77000000000001</v>
      </c>
      <c r="J1743" s="420">
        <f>IF(ISBLANK(I1743),"",SUM(H1743:I1743))</f>
        <v>153.77000000000001</v>
      </c>
      <c r="K1743" s="421">
        <f t="shared" si="407"/>
        <v>182.69</v>
      </c>
      <c r="L1743" s="647" t="s">
        <v>19</v>
      </c>
      <c r="M1743" s="576"/>
      <c r="N1743" s="576">
        <f t="shared" si="404"/>
        <v>0</v>
      </c>
      <c r="O1743" s="577">
        <f t="shared" si="419"/>
        <v>0</v>
      </c>
      <c r="P1743" s="578">
        <f t="shared" si="420"/>
        <v>0</v>
      </c>
      <c r="Q1743" s="765"/>
      <c r="R1743" s="576">
        <f t="shared" si="414"/>
        <v>0</v>
      </c>
      <c r="S1743" s="576">
        <f t="shared" si="414"/>
        <v>0</v>
      </c>
      <c r="T1743" s="577">
        <f t="shared" si="417"/>
        <v>0</v>
      </c>
      <c r="U1743" s="578">
        <f t="shared" si="418"/>
        <v>0</v>
      </c>
      <c r="V1743" s="579"/>
      <c r="W1743" s="566"/>
      <c r="X1743" s="586" t="str">
        <f t="shared" si="422"/>
        <v/>
      </c>
      <c r="Y1743" s="586" t="str">
        <f t="shared" si="409"/>
        <v/>
      </c>
      <c r="Z1743" s="586" t="str">
        <f t="shared" si="403"/>
        <v/>
      </c>
    </row>
    <row r="1744" spans="1:26" ht="12" hidden="1" thickBot="1" x14ac:dyDescent="0.25">
      <c r="A1744" s="567">
        <v>633200</v>
      </c>
      <c r="B1744" s="644" t="s">
        <v>1653</v>
      </c>
      <c r="C1744" s="645" t="s">
        <v>206</v>
      </c>
      <c r="D1744" s="416" t="s">
        <v>625</v>
      </c>
      <c r="E1744" s="417"/>
      <c r="F1744" s="418"/>
      <c r="G1744" s="419"/>
      <c r="H1744" s="646"/>
      <c r="I1744" s="420">
        <v>230.65</v>
      </c>
      <c r="J1744" s="420">
        <f>IF(ISBLANK(I1744),"",SUM(H1744:I1744))</f>
        <v>230.65</v>
      </c>
      <c r="K1744" s="421">
        <f t="shared" si="407"/>
        <v>274.04000000000002</v>
      </c>
      <c r="L1744" s="647" t="s">
        <v>19</v>
      </c>
      <c r="M1744" s="576"/>
      <c r="N1744" s="576">
        <f t="shared" si="404"/>
        <v>0</v>
      </c>
      <c r="O1744" s="577">
        <f t="shared" si="419"/>
        <v>0</v>
      </c>
      <c r="P1744" s="578">
        <f t="shared" si="420"/>
        <v>0</v>
      </c>
      <c r="Q1744" s="765"/>
      <c r="R1744" s="576">
        <f t="shared" si="414"/>
        <v>0</v>
      </c>
      <c r="S1744" s="576">
        <f t="shared" si="414"/>
        <v>0</v>
      </c>
      <c r="T1744" s="577">
        <f t="shared" si="417"/>
        <v>0</v>
      </c>
      <c r="U1744" s="578">
        <f t="shared" si="418"/>
        <v>0</v>
      </c>
      <c r="V1744" s="579"/>
      <c r="W1744" s="566"/>
      <c r="X1744" s="586" t="str">
        <f t="shared" si="422"/>
        <v/>
      </c>
      <c r="Y1744" s="586" t="str">
        <f t="shared" si="409"/>
        <v/>
      </c>
      <c r="Z1744" s="586" t="str">
        <f t="shared" si="403"/>
        <v/>
      </c>
    </row>
    <row r="1745" spans="1:26" ht="12" hidden="1" thickBot="1" x14ac:dyDescent="0.25">
      <c r="A1745" s="567">
        <v>800900</v>
      </c>
      <c r="B1745" s="644" t="s">
        <v>1590</v>
      </c>
      <c r="C1745" s="645" t="s">
        <v>206</v>
      </c>
      <c r="D1745" s="416" t="s">
        <v>475</v>
      </c>
      <c r="E1745" s="417"/>
      <c r="F1745" s="418"/>
      <c r="G1745" s="419"/>
      <c r="H1745" s="646"/>
      <c r="I1745" s="420">
        <v>13.34</v>
      </c>
      <c r="J1745" s="420">
        <f t="shared" si="426"/>
        <v>13.34</v>
      </c>
      <c r="K1745" s="421">
        <f t="shared" si="407"/>
        <v>15.85</v>
      </c>
      <c r="L1745" s="647" t="s">
        <v>18</v>
      </c>
      <c r="M1745" s="576"/>
      <c r="N1745" s="576">
        <f t="shared" si="404"/>
        <v>0</v>
      </c>
      <c r="O1745" s="577">
        <f t="shared" si="419"/>
        <v>0</v>
      </c>
      <c r="P1745" s="578">
        <f t="shared" si="420"/>
        <v>0</v>
      </c>
      <c r="Q1745" s="765"/>
      <c r="R1745" s="576">
        <f t="shared" si="414"/>
        <v>0</v>
      </c>
      <c r="S1745" s="576">
        <f t="shared" si="414"/>
        <v>0</v>
      </c>
      <c r="T1745" s="577">
        <f t="shared" si="417"/>
        <v>0</v>
      </c>
      <c r="U1745" s="578">
        <f t="shared" si="418"/>
        <v>0</v>
      </c>
      <c r="V1745" s="579"/>
      <c r="W1745" s="566"/>
      <c r="X1745" s="586" t="str">
        <f t="shared" si="422"/>
        <v/>
      </c>
      <c r="Y1745" s="586" t="str">
        <f t="shared" si="409"/>
        <v/>
      </c>
      <c r="Z1745" s="586" t="str">
        <f t="shared" si="403"/>
        <v/>
      </c>
    </row>
    <row r="1746" spans="1:26" ht="12" hidden="1" thickBot="1" x14ac:dyDescent="0.25">
      <c r="A1746" s="567">
        <v>801100</v>
      </c>
      <c r="B1746" s="644" t="s">
        <v>1591</v>
      </c>
      <c r="C1746" s="645" t="s">
        <v>206</v>
      </c>
      <c r="D1746" s="416" t="s">
        <v>293</v>
      </c>
      <c r="E1746" s="417"/>
      <c r="F1746" s="418"/>
      <c r="G1746" s="419"/>
      <c r="H1746" s="646"/>
      <c r="I1746" s="420">
        <v>19.09</v>
      </c>
      <c r="J1746" s="420">
        <f t="shared" si="426"/>
        <v>19.09</v>
      </c>
      <c r="K1746" s="421">
        <f t="shared" si="407"/>
        <v>22.68</v>
      </c>
      <c r="L1746" s="647" t="s">
        <v>18</v>
      </c>
      <c r="M1746" s="587"/>
      <c r="N1746" s="576">
        <f t="shared" si="404"/>
        <v>0</v>
      </c>
      <c r="O1746" s="577">
        <f t="shared" si="419"/>
        <v>0</v>
      </c>
      <c r="P1746" s="578">
        <f t="shared" si="420"/>
        <v>0</v>
      </c>
      <c r="Q1746" s="765"/>
      <c r="R1746" s="650">
        <f t="shared" si="414"/>
        <v>0</v>
      </c>
      <c r="S1746" s="587">
        <f t="shared" si="414"/>
        <v>0</v>
      </c>
      <c r="T1746" s="577">
        <f t="shared" si="417"/>
        <v>0</v>
      </c>
      <c r="U1746" s="578">
        <f t="shared" si="418"/>
        <v>0</v>
      </c>
      <c r="V1746" s="579"/>
      <c r="W1746" s="566"/>
      <c r="X1746" s="586" t="str">
        <f t="shared" si="422"/>
        <v/>
      </c>
      <c r="Y1746" s="586" t="str">
        <f t="shared" si="409"/>
        <v/>
      </c>
      <c r="Z1746" s="586" t="str">
        <f t="shared" si="403"/>
        <v/>
      </c>
    </row>
    <row r="1747" spans="1:26" ht="12" hidden="1" thickBot="1" x14ac:dyDescent="0.25">
      <c r="A1747" s="567">
        <v>600510</v>
      </c>
      <c r="B1747" s="644" t="s">
        <v>1717</v>
      </c>
      <c r="C1747" s="645" t="s">
        <v>206</v>
      </c>
      <c r="D1747" s="416" t="s">
        <v>476</v>
      </c>
      <c r="E1747" s="417"/>
      <c r="F1747" s="418"/>
      <c r="G1747" s="419"/>
      <c r="H1747" s="646"/>
      <c r="I1747" s="420">
        <v>2.39</v>
      </c>
      <c r="J1747" s="420">
        <f t="shared" si="426"/>
        <v>2.39</v>
      </c>
      <c r="K1747" s="421">
        <f t="shared" si="407"/>
        <v>2.84</v>
      </c>
      <c r="L1747" s="647" t="s">
        <v>19</v>
      </c>
      <c r="M1747" s="587"/>
      <c r="N1747" s="576">
        <f t="shared" si="404"/>
        <v>0</v>
      </c>
      <c r="O1747" s="577">
        <f t="shared" si="419"/>
        <v>0</v>
      </c>
      <c r="P1747" s="578">
        <f t="shared" si="420"/>
        <v>0</v>
      </c>
      <c r="Q1747" s="765"/>
      <c r="R1747" s="650">
        <f t="shared" si="414"/>
        <v>0</v>
      </c>
      <c r="S1747" s="587">
        <f t="shared" si="414"/>
        <v>0</v>
      </c>
      <c r="T1747" s="577">
        <f t="shared" si="417"/>
        <v>0</v>
      </c>
      <c r="U1747" s="578">
        <f t="shared" si="418"/>
        <v>0</v>
      </c>
      <c r="V1747" s="579"/>
      <c r="W1747" s="566"/>
      <c r="X1747" s="586" t="str">
        <f t="shared" si="422"/>
        <v/>
      </c>
      <c r="Y1747" s="586" t="str">
        <f t="shared" si="409"/>
        <v/>
      </c>
      <c r="Z1747" s="586" t="str">
        <f t="shared" ref="Z1747:Z1810" si="427">IF(W1747="X","x",IF(U1747&gt;0,"x",""))</f>
        <v/>
      </c>
    </row>
    <row r="1748" spans="1:26" ht="12" hidden="1" thickBot="1" x14ac:dyDescent="0.25">
      <c r="A1748" s="567">
        <v>521450</v>
      </c>
      <c r="B1748" s="450" t="s">
        <v>1875</v>
      </c>
      <c r="C1748" s="473" t="s">
        <v>206</v>
      </c>
      <c r="D1748" s="422" t="s">
        <v>238</v>
      </c>
      <c r="E1748" s="423"/>
      <c r="F1748" s="424">
        <v>20</v>
      </c>
      <c r="G1748" s="419">
        <v>0.3</v>
      </c>
      <c r="H1748" s="663">
        <f t="shared" ref="H1748" si="428">IF(F1748&lt;=30,(1.07*F1748+2.68)*G1748,((1.07*30+2.68)+1.07*(F1748-30))*G1748)</f>
        <v>7.2240000000000002</v>
      </c>
      <c r="I1748" s="420">
        <v>24.94</v>
      </c>
      <c r="J1748" s="420">
        <f>IF(ISBLANK(I1748),"",SUM(H1748:I1748))</f>
        <v>32.164000000000001</v>
      </c>
      <c r="K1748" s="421">
        <f t="shared" si="407"/>
        <v>38.21</v>
      </c>
      <c r="L1748" s="647" t="s">
        <v>18</v>
      </c>
      <c r="M1748" s="576"/>
      <c r="N1748" s="576">
        <f t="shared" ref="N1748:N1811" si="429">IF(M1748=0,0,K1748)</f>
        <v>0</v>
      </c>
      <c r="O1748" s="577">
        <f t="shared" si="419"/>
        <v>0</v>
      </c>
      <c r="P1748" s="578">
        <f t="shared" si="420"/>
        <v>0</v>
      </c>
      <c r="Q1748" s="765"/>
      <c r="R1748" s="576">
        <f t="shared" si="414"/>
        <v>0</v>
      </c>
      <c r="S1748" s="576">
        <f t="shared" si="414"/>
        <v>0</v>
      </c>
      <c r="T1748" s="577">
        <f t="shared" si="417"/>
        <v>0</v>
      </c>
      <c r="U1748" s="578">
        <f t="shared" si="418"/>
        <v>0</v>
      </c>
      <c r="V1748" s="579"/>
      <c r="W1748" s="566"/>
      <c r="X1748" s="586" t="str">
        <f t="shared" si="422"/>
        <v/>
      </c>
      <c r="Y1748" s="586" t="str">
        <f t="shared" si="409"/>
        <v/>
      </c>
      <c r="Z1748" s="586" t="str">
        <f t="shared" si="427"/>
        <v/>
      </c>
    </row>
    <row r="1749" spans="1:26" ht="12" hidden="1" thickBot="1" x14ac:dyDescent="0.25">
      <c r="A1749" s="567">
        <v>511300</v>
      </c>
      <c r="B1749" s="644" t="s">
        <v>1541</v>
      </c>
      <c r="C1749" s="645" t="s">
        <v>206</v>
      </c>
      <c r="D1749" s="422" t="s">
        <v>202</v>
      </c>
      <c r="E1749" s="423"/>
      <c r="F1749" s="424">
        <v>0</v>
      </c>
      <c r="G1749" s="425">
        <v>0</v>
      </c>
      <c r="H1749" s="651">
        <v>0</v>
      </c>
      <c r="I1749" s="420">
        <v>0.3</v>
      </c>
      <c r="J1749" s="420">
        <f t="shared" si="426"/>
        <v>0.3</v>
      </c>
      <c r="K1749" s="421">
        <f t="shared" si="407"/>
        <v>0.36</v>
      </c>
      <c r="L1749" s="647" t="s">
        <v>18</v>
      </c>
      <c r="M1749" s="576"/>
      <c r="N1749" s="576">
        <f t="shared" si="429"/>
        <v>0</v>
      </c>
      <c r="O1749" s="577">
        <f t="shared" si="419"/>
        <v>0</v>
      </c>
      <c r="P1749" s="578">
        <f t="shared" si="420"/>
        <v>0</v>
      </c>
      <c r="Q1749" s="765"/>
      <c r="R1749" s="576">
        <f t="shared" si="414"/>
        <v>0</v>
      </c>
      <c r="S1749" s="576">
        <f t="shared" si="414"/>
        <v>0</v>
      </c>
      <c r="T1749" s="577">
        <f t="shared" si="417"/>
        <v>0</v>
      </c>
      <c r="U1749" s="578">
        <f t="shared" si="418"/>
        <v>0</v>
      </c>
      <c r="V1749" s="579"/>
      <c r="W1749" s="566"/>
      <c r="X1749" s="586" t="str">
        <f t="shared" si="422"/>
        <v/>
      </c>
      <c r="Y1749" s="586" t="str">
        <f t="shared" si="409"/>
        <v/>
      </c>
      <c r="Z1749" s="586" t="str">
        <f t="shared" si="427"/>
        <v/>
      </c>
    </row>
    <row r="1750" spans="1:26" ht="12" hidden="1" thickBot="1" x14ac:dyDescent="0.25">
      <c r="A1750" s="567">
        <v>521450</v>
      </c>
      <c r="B1750" s="644" t="s">
        <v>1547</v>
      </c>
      <c r="C1750" s="645" t="s">
        <v>206</v>
      </c>
      <c r="D1750" s="422" t="s">
        <v>485</v>
      </c>
      <c r="E1750" s="423"/>
      <c r="F1750" s="424"/>
      <c r="G1750" s="419"/>
      <c r="H1750" s="651"/>
      <c r="I1750" s="420">
        <v>9.42</v>
      </c>
      <c r="J1750" s="420">
        <f t="shared" si="426"/>
        <v>9.42</v>
      </c>
      <c r="K1750" s="421">
        <f t="shared" si="407"/>
        <v>11.19</v>
      </c>
      <c r="L1750" s="647" t="s">
        <v>18</v>
      </c>
      <c r="M1750" s="576"/>
      <c r="N1750" s="576">
        <f t="shared" si="429"/>
        <v>0</v>
      </c>
      <c r="O1750" s="577">
        <f t="shared" si="419"/>
        <v>0</v>
      </c>
      <c r="P1750" s="578">
        <f t="shared" si="420"/>
        <v>0</v>
      </c>
      <c r="Q1750" s="765"/>
      <c r="R1750" s="576">
        <f t="shared" si="414"/>
        <v>0</v>
      </c>
      <c r="S1750" s="576">
        <f t="shared" si="414"/>
        <v>0</v>
      </c>
      <c r="T1750" s="577">
        <f t="shared" si="417"/>
        <v>0</v>
      </c>
      <c r="U1750" s="578">
        <f t="shared" si="418"/>
        <v>0</v>
      </c>
      <c r="V1750" s="579"/>
      <c r="W1750" s="566"/>
      <c r="X1750" s="586" t="str">
        <f t="shared" si="422"/>
        <v/>
      </c>
      <c r="Y1750" s="586" t="str">
        <f t="shared" si="409"/>
        <v/>
      </c>
      <c r="Z1750" s="586" t="str">
        <f t="shared" si="427"/>
        <v/>
      </c>
    </row>
    <row r="1751" spans="1:26" ht="12" hidden="1" thickBot="1" x14ac:dyDescent="0.25">
      <c r="A1751" s="567">
        <v>521450</v>
      </c>
      <c r="B1751" s="644" t="s">
        <v>1548</v>
      </c>
      <c r="C1751" s="645" t="s">
        <v>206</v>
      </c>
      <c r="D1751" s="422" t="s">
        <v>240</v>
      </c>
      <c r="E1751" s="423"/>
      <c r="F1751" s="424"/>
      <c r="G1751" s="419"/>
      <c r="H1751" s="651"/>
      <c r="I1751" s="420">
        <v>13.188000000000001</v>
      </c>
      <c r="J1751" s="420">
        <f t="shared" si="426"/>
        <v>13.188000000000001</v>
      </c>
      <c r="K1751" s="421">
        <f t="shared" si="407"/>
        <v>15.67</v>
      </c>
      <c r="L1751" s="647" t="s">
        <v>18</v>
      </c>
      <c r="M1751" s="576"/>
      <c r="N1751" s="576">
        <f t="shared" si="429"/>
        <v>0</v>
      </c>
      <c r="O1751" s="577">
        <f t="shared" si="419"/>
        <v>0</v>
      </c>
      <c r="P1751" s="578">
        <f t="shared" si="420"/>
        <v>0</v>
      </c>
      <c r="Q1751" s="765"/>
      <c r="R1751" s="576">
        <f t="shared" si="414"/>
        <v>0</v>
      </c>
      <c r="S1751" s="576">
        <f t="shared" si="414"/>
        <v>0</v>
      </c>
      <c r="T1751" s="577">
        <f t="shared" si="417"/>
        <v>0</v>
      </c>
      <c r="U1751" s="578">
        <f t="shared" si="418"/>
        <v>0</v>
      </c>
      <c r="V1751" s="579"/>
      <c r="W1751" s="566"/>
      <c r="X1751" s="586" t="str">
        <f t="shared" si="422"/>
        <v/>
      </c>
      <c r="Y1751" s="586" t="str">
        <f t="shared" si="409"/>
        <v/>
      </c>
      <c r="Z1751" s="586" t="str">
        <f t="shared" si="427"/>
        <v/>
      </c>
    </row>
    <row r="1752" spans="1:26" ht="12" hidden="1" thickBot="1" x14ac:dyDescent="0.25">
      <c r="A1752" s="652" t="s">
        <v>187</v>
      </c>
      <c r="B1752" s="653" t="s">
        <v>187</v>
      </c>
      <c r="C1752" s="654"/>
      <c r="D1752" s="427" t="s">
        <v>593</v>
      </c>
      <c r="E1752" s="491"/>
      <c r="F1752" s="655"/>
      <c r="G1752" s="656"/>
      <c r="H1752" s="657"/>
      <c r="I1752" s="429"/>
      <c r="J1752" s="429"/>
      <c r="K1752" s="429"/>
      <c r="L1752" s="429" t="s">
        <v>614</v>
      </c>
      <c r="M1752" s="657"/>
      <c r="N1752" s="576">
        <f t="shared" si="429"/>
        <v>0</v>
      </c>
      <c r="O1752" s="429">
        <f t="shared" si="419"/>
        <v>0</v>
      </c>
      <c r="P1752" s="658">
        <f t="shared" si="420"/>
        <v>0</v>
      </c>
      <c r="Q1752" s="765"/>
      <c r="R1752" s="657"/>
      <c r="S1752" s="429"/>
      <c r="T1752" s="429">
        <f t="shared" si="417"/>
        <v>0</v>
      </c>
      <c r="U1752" s="658">
        <f t="shared" si="418"/>
        <v>0</v>
      </c>
      <c r="V1752" s="579"/>
      <c r="W1752" s="637" t="str">
        <f>IF(OR(SUM(P1753:P1784)&gt;0,SUM(U1753:U1784)&gt;0),"y","")</f>
        <v/>
      </c>
      <c r="X1752" s="586" t="str">
        <f t="shared" si="422"/>
        <v/>
      </c>
      <c r="Y1752" s="586" t="str">
        <f t="shared" si="409"/>
        <v/>
      </c>
      <c r="Z1752" s="586" t="str">
        <f t="shared" si="427"/>
        <v/>
      </c>
    </row>
    <row r="1753" spans="1:26" ht="12" hidden="1" thickBot="1" x14ac:dyDescent="0.25">
      <c r="A1753" s="652" t="s">
        <v>187</v>
      </c>
      <c r="B1753" s="572" t="s">
        <v>187</v>
      </c>
      <c r="C1753" s="573" t="s">
        <v>187</v>
      </c>
      <c r="D1753" s="574"/>
      <c r="E1753" s="575"/>
      <c r="F1753" s="436"/>
      <c r="G1753" s="431"/>
      <c r="H1753" s="430"/>
      <c r="I1753" s="432"/>
      <c r="J1753" s="433"/>
      <c r="K1753" s="434">
        <f t="shared" ref="K1753:K1784" si="430">IF(ISBLANK(J1753),0,ROUND(J1753*(1+$F$10)*(1+$F$11*E1753),2))</f>
        <v>0</v>
      </c>
      <c r="L1753" s="435" t="s">
        <v>614</v>
      </c>
      <c r="M1753" s="587"/>
      <c r="N1753" s="576">
        <f t="shared" si="429"/>
        <v>0</v>
      </c>
      <c r="O1753" s="577">
        <f t="shared" si="419"/>
        <v>0</v>
      </c>
      <c r="P1753" s="578">
        <f t="shared" si="420"/>
        <v>0</v>
      </c>
      <c r="Q1753" s="765"/>
      <c r="R1753" s="650">
        <f t="shared" si="414"/>
        <v>0</v>
      </c>
      <c r="S1753" s="587">
        <f t="shared" si="414"/>
        <v>0</v>
      </c>
      <c r="T1753" s="577">
        <f t="shared" si="417"/>
        <v>0</v>
      </c>
      <c r="U1753" s="578">
        <f t="shared" si="418"/>
        <v>0</v>
      </c>
      <c r="V1753" s="579"/>
      <c r="W1753" s="566"/>
      <c r="X1753" s="586" t="str">
        <f t="shared" si="422"/>
        <v/>
      </c>
      <c r="Y1753" s="586" t="str">
        <f t="shared" si="409"/>
        <v/>
      </c>
      <c r="Z1753" s="586" t="str">
        <f t="shared" si="427"/>
        <v/>
      </c>
    </row>
    <row r="1754" spans="1:26" ht="12" hidden="1" thickBot="1" x14ac:dyDescent="0.25">
      <c r="A1754" s="652" t="s">
        <v>187</v>
      </c>
      <c r="B1754" s="572" t="s">
        <v>187</v>
      </c>
      <c r="C1754" s="573" t="s">
        <v>187</v>
      </c>
      <c r="D1754" s="580"/>
      <c r="E1754" s="575"/>
      <c r="F1754" s="436"/>
      <c r="G1754" s="431"/>
      <c r="H1754" s="430"/>
      <c r="I1754" s="432"/>
      <c r="J1754" s="433"/>
      <c r="K1754" s="437">
        <f t="shared" si="430"/>
        <v>0</v>
      </c>
      <c r="L1754" s="435" t="s">
        <v>614</v>
      </c>
      <c r="M1754" s="576"/>
      <c r="N1754" s="576">
        <f t="shared" si="429"/>
        <v>0</v>
      </c>
      <c r="O1754" s="577">
        <f t="shared" si="419"/>
        <v>0</v>
      </c>
      <c r="P1754" s="578">
        <f t="shared" si="420"/>
        <v>0</v>
      </c>
      <c r="Q1754" s="765"/>
      <c r="R1754" s="576">
        <f t="shared" si="414"/>
        <v>0</v>
      </c>
      <c r="S1754" s="576">
        <f t="shared" si="414"/>
        <v>0</v>
      </c>
      <c r="T1754" s="577">
        <f t="shared" si="417"/>
        <v>0</v>
      </c>
      <c r="U1754" s="659">
        <f t="shared" si="418"/>
        <v>0</v>
      </c>
      <c r="V1754" s="579"/>
      <c r="W1754" s="566"/>
      <c r="X1754" s="586" t="str">
        <f t="shared" si="422"/>
        <v/>
      </c>
      <c r="Y1754" s="586" t="str">
        <f t="shared" si="409"/>
        <v/>
      </c>
      <c r="Z1754" s="586" t="str">
        <f t="shared" si="427"/>
        <v/>
      </c>
    </row>
    <row r="1755" spans="1:26" ht="12" hidden="1" thickBot="1" x14ac:dyDescent="0.25">
      <c r="A1755" s="652" t="s">
        <v>187</v>
      </c>
      <c r="B1755" s="572" t="s">
        <v>187</v>
      </c>
      <c r="C1755" s="573" t="s">
        <v>187</v>
      </c>
      <c r="D1755" s="580"/>
      <c r="E1755" s="575"/>
      <c r="F1755" s="436"/>
      <c r="G1755" s="431"/>
      <c r="H1755" s="430"/>
      <c r="I1755" s="432"/>
      <c r="J1755" s="433"/>
      <c r="K1755" s="437">
        <f t="shared" si="430"/>
        <v>0</v>
      </c>
      <c r="L1755" s="435" t="s">
        <v>614</v>
      </c>
      <c r="M1755" s="576"/>
      <c r="N1755" s="576">
        <f t="shared" si="429"/>
        <v>0</v>
      </c>
      <c r="O1755" s="577">
        <f t="shared" si="419"/>
        <v>0</v>
      </c>
      <c r="P1755" s="578">
        <f t="shared" si="420"/>
        <v>0</v>
      </c>
      <c r="Q1755" s="765"/>
      <c r="R1755" s="576">
        <f t="shared" si="414"/>
        <v>0</v>
      </c>
      <c r="S1755" s="576">
        <f t="shared" si="414"/>
        <v>0</v>
      </c>
      <c r="T1755" s="577">
        <f t="shared" si="417"/>
        <v>0</v>
      </c>
      <c r="U1755" s="578">
        <f t="shared" si="418"/>
        <v>0</v>
      </c>
      <c r="V1755" s="579"/>
      <c r="W1755" s="566"/>
      <c r="X1755" s="586" t="str">
        <f t="shared" si="422"/>
        <v/>
      </c>
      <c r="Y1755" s="586" t="str">
        <f t="shared" si="409"/>
        <v/>
      </c>
      <c r="Z1755" s="586" t="str">
        <f t="shared" si="427"/>
        <v/>
      </c>
    </row>
    <row r="1756" spans="1:26" ht="12" hidden="1" thickBot="1" x14ac:dyDescent="0.25">
      <c r="A1756" s="652" t="s">
        <v>187</v>
      </c>
      <c r="B1756" s="572" t="s">
        <v>187</v>
      </c>
      <c r="C1756" s="573" t="s">
        <v>187</v>
      </c>
      <c r="D1756" s="580"/>
      <c r="E1756" s="575"/>
      <c r="F1756" s="436"/>
      <c r="G1756" s="431"/>
      <c r="H1756" s="430"/>
      <c r="I1756" s="432"/>
      <c r="J1756" s="433"/>
      <c r="K1756" s="437">
        <f t="shared" si="430"/>
        <v>0</v>
      </c>
      <c r="L1756" s="435" t="s">
        <v>614</v>
      </c>
      <c r="M1756" s="576"/>
      <c r="N1756" s="576">
        <f t="shared" si="429"/>
        <v>0</v>
      </c>
      <c r="O1756" s="577">
        <f t="shared" si="419"/>
        <v>0</v>
      </c>
      <c r="P1756" s="578">
        <f t="shared" si="420"/>
        <v>0</v>
      </c>
      <c r="Q1756" s="765"/>
      <c r="R1756" s="576">
        <f t="shared" si="414"/>
        <v>0</v>
      </c>
      <c r="S1756" s="576">
        <f t="shared" si="414"/>
        <v>0</v>
      </c>
      <c r="T1756" s="577">
        <f t="shared" si="417"/>
        <v>0</v>
      </c>
      <c r="U1756" s="578">
        <f t="shared" si="418"/>
        <v>0</v>
      </c>
      <c r="V1756" s="579"/>
      <c r="W1756" s="566"/>
      <c r="X1756" s="586" t="str">
        <f t="shared" si="422"/>
        <v/>
      </c>
      <c r="Y1756" s="586" t="str">
        <f t="shared" si="409"/>
        <v/>
      </c>
      <c r="Z1756" s="586" t="str">
        <f t="shared" si="427"/>
        <v/>
      </c>
    </row>
    <row r="1757" spans="1:26" ht="12" hidden="1" thickBot="1" x14ac:dyDescent="0.25">
      <c r="A1757" s="652" t="s">
        <v>187</v>
      </c>
      <c r="B1757" s="572" t="s">
        <v>187</v>
      </c>
      <c r="C1757" s="573" t="s">
        <v>187</v>
      </c>
      <c r="D1757" s="580"/>
      <c r="E1757" s="575"/>
      <c r="F1757" s="436"/>
      <c r="G1757" s="431"/>
      <c r="H1757" s="430"/>
      <c r="I1757" s="432"/>
      <c r="J1757" s="433"/>
      <c r="K1757" s="437">
        <f t="shared" si="430"/>
        <v>0</v>
      </c>
      <c r="L1757" s="435" t="s">
        <v>614</v>
      </c>
      <c r="M1757" s="576"/>
      <c r="N1757" s="576">
        <f t="shared" si="429"/>
        <v>0</v>
      </c>
      <c r="O1757" s="577">
        <f t="shared" si="419"/>
        <v>0</v>
      </c>
      <c r="P1757" s="578">
        <f t="shared" si="420"/>
        <v>0</v>
      </c>
      <c r="Q1757" s="765"/>
      <c r="R1757" s="576">
        <f t="shared" si="414"/>
        <v>0</v>
      </c>
      <c r="S1757" s="576">
        <f t="shared" si="414"/>
        <v>0</v>
      </c>
      <c r="T1757" s="577">
        <f t="shared" si="417"/>
        <v>0</v>
      </c>
      <c r="U1757" s="578">
        <f t="shared" si="418"/>
        <v>0</v>
      </c>
      <c r="V1757" s="579"/>
      <c r="W1757" s="566"/>
      <c r="X1757" s="586" t="str">
        <f t="shared" si="422"/>
        <v/>
      </c>
      <c r="Y1757" s="586" t="str">
        <f t="shared" si="409"/>
        <v/>
      </c>
      <c r="Z1757" s="586" t="str">
        <f t="shared" si="427"/>
        <v/>
      </c>
    </row>
    <row r="1758" spans="1:26" ht="12" hidden="1" thickBot="1" x14ac:dyDescent="0.25">
      <c r="A1758" s="652" t="s">
        <v>187</v>
      </c>
      <c r="B1758" s="572" t="s">
        <v>187</v>
      </c>
      <c r="C1758" s="573" t="s">
        <v>187</v>
      </c>
      <c r="D1758" s="580"/>
      <c r="E1758" s="575"/>
      <c r="F1758" s="436"/>
      <c r="G1758" s="431"/>
      <c r="H1758" s="430"/>
      <c r="I1758" s="432"/>
      <c r="J1758" s="433"/>
      <c r="K1758" s="437">
        <f t="shared" si="430"/>
        <v>0</v>
      </c>
      <c r="L1758" s="435" t="s">
        <v>614</v>
      </c>
      <c r="M1758" s="576"/>
      <c r="N1758" s="576">
        <f t="shared" si="429"/>
        <v>0</v>
      </c>
      <c r="O1758" s="577">
        <f t="shared" si="419"/>
        <v>0</v>
      </c>
      <c r="P1758" s="578">
        <f t="shared" si="420"/>
        <v>0</v>
      </c>
      <c r="Q1758" s="765"/>
      <c r="R1758" s="576">
        <f t="shared" si="414"/>
        <v>0</v>
      </c>
      <c r="S1758" s="576">
        <f t="shared" si="414"/>
        <v>0</v>
      </c>
      <c r="T1758" s="577">
        <f t="shared" si="417"/>
        <v>0</v>
      </c>
      <c r="U1758" s="578">
        <f t="shared" si="418"/>
        <v>0</v>
      </c>
      <c r="V1758" s="579"/>
      <c r="W1758" s="566"/>
      <c r="X1758" s="586" t="str">
        <f t="shared" si="422"/>
        <v/>
      </c>
      <c r="Y1758" s="586" t="str">
        <f t="shared" si="409"/>
        <v/>
      </c>
      <c r="Z1758" s="586" t="str">
        <f t="shared" si="427"/>
        <v/>
      </c>
    </row>
    <row r="1759" spans="1:26" ht="12" hidden="1" thickBot="1" x14ac:dyDescent="0.25">
      <c r="A1759" s="652" t="s">
        <v>187</v>
      </c>
      <c r="B1759" s="572" t="s">
        <v>187</v>
      </c>
      <c r="C1759" s="573" t="s">
        <v>187</v>
      </c>
      <c r="D1759" s="580"/>
      <c r="E1759" s="575"/>
      <c r="F1759" s="436"/>
      <c r="G1759" s="431"/>
      <c r="H1759" s="430"/>
      <c r="I1759" s="432"/>
      <c r="J1759" s="433"/>
      <c r="K1759" s="437">
        <f t="shared" si="430"/>
        <v>0</v>
      </c>
      <c r="L1759" s="435" t="s">
        <v>614</v>
      </c>
      <c r="M1759" s="576"/>
      <c r="N1759" s="576">
        <f t="shared" si="429"/>
        <v>0</v>
      </c>
      <c r="O1759" s="577">
        <f t="shared" si="419"/>
        <v>0</v>
      </c>
      <c r="P1759" s="578">
        <f t="shared" si="420"/>
        <v>0</v>
      </c>
      <c r="Q1759" s="765"/>
      <c r="R1759" s="576">
        <f t="shared" si="414"/>
        <v>0</v>
      </c>
      <c r="S1759" s="576">
        <f t="shared" si="414"/>
        <v>0</v>
      </c>
      <c r="T1759" s="577">
        <f t="shared" si="417"/>
        <v>0</v>
      </c>
      <c r="U1759" s="578">
        <f t="shared" si="418"/>
        <v>0</v>
      </c>
      <c r="V1759" s="579"/>
      <c r="W1759" s="566"/>
      <c r="X1759" s="586" t="str">
        <f t="shared" si="422"/>
        <v/>
      </c>
      <c r="Y1759" s="586" t="str">
        <f t="shared" si="409"/>
        <v/>
      </c>
      <c r="Z1759" s="586" t="str">
        <f t="shared" si="427"/>
        <v/>
      </c>
    </row>
    <row r="1760" spans="1:26" ht="12" hidden="1" thickBot="1" x14ac:dyDescent="0.25">
      <c r="A1760" s="652" t="s">
        <v>187</v>
      </c>
      <c r="B1760" s="572" t="s">
        <v>187</v>
      </c>
      <c r="C1760" s="573" t="s">
        <v>187</v>
      </c>
      <c r="D1760" s="580"/>
      <c r="E1760" s="575"/>
      <c r="F1760" s="436"/>
      <c r="G1760" s="431"/>
      <c r="H1760" s="430"/>
      <c r="I1760" s="432"/>
      <c r="J1760" s="433"/>
      <c r="K1760" s="437">
        <f t="shared" si="430"/>
        <v>0</v>
      </c>
      <c r="L1760" s="435" t="s">
        <v>614</v>
      </c>
      <c r="M1760" s="576"/>
      <c r="N1760" s="576">
        <f t="shared" si="429"/>
        <v>0</v>
      </c>
      <c r="O1760" s="577">
        <f t="shared" si="419"/>
        <v>0</v>
      </c>
      <c r="P1760" s="578">
        <f t="shared" si="420"/>
        <v>0</v>
      </c>
      <c r="Q1760" s="765"/>
      <c r="R1760" s="576">
        <f t="shared" si="414"/>
        <v>0</v>
      </c>
      <c r="S1760" s="576">
        <f t="shared" si="414"/>
        <v>0</v>
      </c>
      <c r="T1760" s="577">
        <f t="shared" si="417"/>
        <v>0</v>
      </c>
      <c r="U1760" s="578">
        <f t="shared" si="418"/>
        <v>0</v>
      </c>
      <c r="V1760" s="579"/>
      <c r="W1760" s="566"/>
      <c r="X1760" s="586" t="str">
        <f t="shared" si="422"/>
        <v/>
      </c>
      <c r="Y1760" s="586" t="str">
        <f t="shared" si="409"/>
        <v/>
      </c>
      <c r="Z1760" s="586" t="str">
        <f t="shared" si="427"/>
        <v/>
      </c>
    </row>
    <row r="1761" spans="1:26" ht="12" hidden="1" thickBot="1" x14ac:dyDescent="0.25">
      <c r="A1761" s="652" t="s">
        <v>187</v>
      </c>
      <c r="B1761" s="572" t="s">
        <v>187</v>
      </c>
      <c r="C1761" s="573" t="s">
        <v>187</v>
      </c>
      <c r="D1761" s="580"/>
      <c r="E1761" s="575"/>
      <c r="F1761" s="436"/>
      <c r="G1761" s="431"/>
      <c r="H1761" s="430"/>
      <c r="I1761" s="432"/>
      <c r="J1761" s="433"/>
      <c r="K1761" s="437">
        <f t="shared" si="430"/>
        <v>0</v>
      </c>
      <c r="L1761" s="435" t="s">
        <v>614</v>
      </c>
      <c r="M1761" s="576"/>
      <c r="N1761" s="576">
        <f t="shared" si="429"/>
        <v>0</v>
      </c>
      <c r="O1761" s="577">
        <f t="shared" si="419"/>
        <v>0</v>
      </c>
      <c r="P1761" s="578">
        <f t="shared" si="420"/>
        <v>0</v>
      </c>
      <c r="Q1761" s="765"/>
      <c r="R1761" s="576">
        <f t="shared" si="414"/>
        <v>0</v>
      </c>
      <c r="S1761" s="576">
        <f t="shared" si="414"/>
        <v>0</v>
      </c>
      <c r="T1761" s="577">
        <f t="shared" si="417"/>
        <v>0</v>
      </c>
      <c r="U1761" s="578">
        <f t="shared" si="418"/>
        <v>0</v>
      </c>
      <c r="V1761" s="579"/>
      <c r="W1761" s="566"/>
      <c r="X1761" s="586" t="str">
        <f t="shared" si="422"/>
        <v/>
      </c>
      <c r="Y1761" s="586" t="str">
        <f t="shared" si="409"/>
        <v/>
      </c>
      <c r="Z1761" s="586" t="str">
        <f t="shared" si="427"/>
        <v/>
      </c>
    </row>
    <row r="1762" spans="1:26" ht="12" hidden="1" thickBot="1" x14ac:dyDescent="0.25">
      <c r="A1762" s="652" t="s">
        <v>187</v>
      </c>
      <c r="B1762" s="572" t="s">
        <v>187</v>
      </c>
      <c r="C1762" s="573" t="s">
        <v>187</v>
      </c>
      <c r="D1762" s="580"/>
      <c r="E1762" s="575"/>
      <c r="F1762" s="436"/>
      <c r="G1762" s="431"/>
      <c r="H1762" s="430"/>
      <c r="I1762" s="432"/>
      <c r="J1762" s="433"/>
      <c r="K1762" s="437">
        <f t="shared" si="430"/>
        <v>0</v>
      </c>
      <c r="L1762" s="435" t="s">
        <v>614</v>
      </c>
      <c r="M1762" s="576"/>
      <c r="N1762" s="576">
        <f t="shared" si="429"/>
        <v>0</v>
      </c>
      <c r="O1762" s="577">
        <f t="shared" si="419"/>
        <v>0</v>
      </c>
      <c r="P1762" s="578">
        <f t="shared" si="420"/>
        <v>0</v>
      </c>
      <c r="Q1762" s="765"/>
      <c r="R1762" s="576">
        <f t="shared" si="414"/>
        <v>0</v>
      </c>
      <c r="S1762" s="576">
        <f t="shared" si="414"/>
        <v>0</v>
      </c>
      <c r="T1762" s="577">
        <f t="shared" si="417"/>
        <v>0</v>
      </c>
      <c r="U1762" s="578">
        <f t="shared" si="418"/>
        <v>0</v>
      </c>
      <c r="V1762" s="579"/>
      <c r="W1762" s="566"/>
      <c r="X1762" s="586" t="str">
        <f t="shared" si="422"/>
        <v/>
      </c>
      <c r="Y1762" s="586" t="str">
        <f t="shared" si="409"/>
        <v/>
      </c>
      <c r="Z1762" s="586" t="str">
        <f t="shared" si="427"/>
        <v/>
      </c>
    </row>
    <row r="1763" spans="1:26" ht="12" hidden="1" thickBot="1" x14ac:dyDescent="0.25">
      <c r="A1763" s="652" t="s">
        <v>187</v>
      </c>
      <c r="B1763" s="572" t="s">
        <v>187</v>
      </c>
      <c r="C1763" s="573" t="s">
        <v>187</v>
      </c>
      <c r="D1763" s="580"/>
      <c r="E1763" s="575"/>
      <c r="F1763" s="436"/>
      <c r="G1763" s="431"/>
      <c r="H1763" s="430"/>
      <c r="I1763" s="432"/>
      <c r="J1763" s="433"/>
      <c r="K1763" s="437">
        <f t="shared" si="430"/>
        <v>0</v>
      </c>
      <c r="L1763" s="435" t="s">
        <v>614</v>
      </c>
      <c r="M1763" s="576"/>
      <c r="N1763" s="576">
        <f t="shared" si="429"/>
        <v>0</v>
      </c>
      <c r="O1763" s="577">
        <f t="shared" si="419"/>
        <v>0</v>
      </c>
      <c r="P1763" s="578">
        <f t="shared" si="420"/>
        <v>0</v>
      </c>
      <c r="Q1763" s="765"/>
      <c r="R1763" s="576">
        <f t="shared" si="414"/>
        <v>0</v>
      </c>
      <c r="S1763" s="576">
        <f t="shared" si="414"/>
        <v>0</v>
      </c>
      <c r="T1763" s="577">
        <f t="shared" si="417"/>
        <v>0</v>
      </c>
      <c r="U1763" s="578">
        <f t="shared" si="418"/>
        <v>0</v>
      </c>
      <c r="V1763" s="579"/>
      <c r="W1763" s="566"/>
      <c r="X1763" s="586" t="str">
        <f t="shared" si="422"/>
        <v/>
      </c>
      <c r="Y1763" s="586" t="str">
        <f t="shared" si="409"/>
        <v/>
      </c>
      <c r="Z1763" s="586" t="str">
        <f t="shared" si="427"/>
        <v/>
      </c>
    </row>
    <row r="1764" spans="1:26" ht="12" hidden="1" thickBot="1" x14ac:dyDescent="0.25">
      <c r="A1764" s="652" t="s">
        <v>187</v>
      </c>
      <c r="B1764" s="572" t="s">
        <v>187</v>
      </c>
      <c r="C1764" s="573" t="s">
        <v>187</v>
      </c>
      <c r="D1764" s="580"/>
      <c r="E1764" s="575"/>
      <c r="F1764" s="436"/>
      <c r="G1764" s="431"/>
      <c r="H1764" s="430"/>
      <c r="I1764" s="432"/>
      <c r="J1764" s="433"/>
      <c r="K1764" s="437">
        <f t="shared" si="430"/>
        <v>0</v>
      </c>
      <c r="L1764" s="435" t="s">
        <v>614</v>
      </c>
      <c r="M1764" s="576"/>
      <c r="N1764" s="576">
        <f t="shared" si="429"/>
        <v>0</v>
      </c>
      <c r="O1764" s="577">
        <f t="shared" si="419"/>
        <v>0</v>
      </c>
      <c r="P1764" s="578">
        <f t="shared" si="420"/>
        <v>0</v>
      </c>
      <c r="Q1764" s="765"/>
      <c r="R1764" s="576">
        <f t="shared" si="414"/>
        <v>0</v>
      </c>
      <c r="S1764" s="576">
        <f t="shared" si="414"/>
        <v>0</v>
      </c>
      <c r="T1764" s="577">
        <f t="shared" si="417"/>
        <v>0</v>
      </c>
      <c r="U1764" s="578">
        <f t="shared" si="418"/>
        <v>0</v>
      </c>
      <c r="V1764" s="579"/>
      <c r="W1764" s="566"/>
      <c r="X1764" s="586" t="str">
        <f t="shared" si="422"/>
        <v/>
      </c>
      <c r="Y1764" s="586" t="str">
        <f t="shared" si="409"/>
        <v/>
      </c>
      <c r="Z1764" s="586" t="str">
        <f t="shared" si="427"/>
        <v/>
      </c>
    </row>
    <row r="1765" spans="1:26" ht="12" hidden="1" thickBot="1" x14ac:dyDescent="0.25">
      <c r="A1765" s="652" t="s">
        <v>187</v>
      </c>
      <c r="B1765" s="572" t="s">
        <v>187</v>
      </c>
      <c r="C1765" s="573" t="s">
        <v>187</v>
      </c>
      <c r="D1765" s="580"/>
      <c r="E1765" s="575"/>
      <c r="F1765" s="436"/>
      <c r="G1765" s="431"/>
      <c r="H1765" s="430"/>
      <c r="I1765" s="432"/>
      <c r="J1765" s="433"/>
      <c r="K1765" s="437">
        <f t="shared" si="430"/>
        <v>0</v>
      </c>
      <c r="L1765" s="435" t="s">
        <v>614</v>
      </c>
      <c r="M1765" s="576"/>
      <c r="N1765" s="576">
        <f t="shared" si="429"/>
        <v>0</v>
      </c>
      <c r="O1765" s="577">
        <f t="shared" si="419"/>
        <v>0</v>
      </c>
      <c r="P1765" s="578">
        <f t="shared" si="420"/>
        <v>0</v>
      </c>
      <c r="Q1765" s="765"/>
      <c r="R1765" s="576">
        <f t="shared" si="414"/>
        <v>0</v>
      </c>
      <c r="S1765" s="576">
        <f t="shared" si="414"/>
        <v>0</v>
      </c>
      <c r="T1765" s="577">
        <f t="shared" si="417"/>
        <v>0</v>
      </c>
      <c r="U1765" s="578">
        <f t="shared" si="418"/>
        <v>0</v>
      </c>
      <c r="V1765" s="579"/>
      <c r="W1765" s="566"/>
      <c r="X1765" s="586" t="str">
        <f t="shared" si="422"/>
        <v/>
      </c>
      <c r="Y1765" s="586" t="str">
        <f t="shared" ref="Y1765:Y2051" si="431">IF(W1765="X","x",IF(W1765="y","x",IF(W1765="xx","x",IF(U1765&gt;0,"x",""))))</f>
        <v/>
      </c>
      <c r="Z1765" s="586" t="str">
        <f t="shared" si="427"/>
        <v/>
      </c>
    </row>
    <row r="1766" spans="1:26" ht="12" hidden="1" thickBot="1" x14ac:dyDescent="0.25">
      <c r="A1766" s="652" t="s">
        <v>187</v>
      </c>
      <c r="B1766" s="572" t="s">
        <v>187</v>
      </c>
      <c r="C1766" s="573" t="s">
        <v>187</v>
      </c>
      <c r="D1766" s="580"/>
      <c r="E1766" s="575"/>
      <c r="F1766" s="436"/>
      <c r="G1766" s="431"/>
      <c r="H1766" s="430"/>
      <c r="I1766" s="432"/>
      <c r="J1766" s="433"/>
      <c r="K1766" s="437">
        <f t="shared" si="430"/>
        <v>0</v>
      </c>
      <c r="L1766" s="435" t="s">
        <v>614</v>
      </c>
      <c r="M1766" s="576"/>
      <c r="N1766" s="576">
        <f t="shared" si="429"/>
        <v>0</v>
      </c>
      <c r="O1766" s="577">
        <f t="shared" si="419"/>
        <v>0</v>
      </c>
      <c r="P1766" s="578">
        <f t="shared" si="420"/>
        <v>0</v>
      </c>
      <c r="Q1766" s="765"/>
      <c r="R1766" s="576">
        <f t="shared" si="414"/>
        <v>0</v>
      </c>
      <c r="S1766" s="576">
        <f t="shared" si="414"/>
        <v>0</v>
      </c>
      <c r="T1766" s="577">
        <f t="shared" si="417"/>
        <v>0</v>
      </c>
      <c r="U1766" s="578">
        <f t="shared" si="418"/>
        <v>0</v>
      </c>
      <c r="V1766" s="579"/>
      <c r="W1766" s="566"/>
      <c r="X1766" s="586" t="str">
        <f t="shared" si="422"/>
        <v/>
      </c>
      <c r="Y1766" s="586" t="str">
        <f t="shared" si="431"/>
        <v/>
      </c>
      <c r="Z1766" s="586" t="str">
        <f t="shared" si="427"/>
        <v/>
      </c>
    </row>
    <row r="1767" spans="1:26" ht="12" hidden="1" thickBot="1" x14ac:dyDescent="0.25">
      <c r="A1767" s="652" t="s">
        <v>187</v>
      </c>
      <c r="B1767" s="572" t="s">
        <v>187</v>
      </c>
      <c r="C1767" s="573" t="s">
        <v>187</v>
      </c>
      <c r="D1767" s="580"/>
      <c r="E1767" s="575"/>
      <c r="F1767" s="436"/>
      <c r="G1767" s="431"/>
      <c r="H1767" s="430"/>
      <c r="I1767" s="432"/>
      <c r="J1767" s="433"/>
      <c r="K1767" s="437">
        <f t="shared" si="430"/>
        <v>0</v>
      </c>
      <c r="L1767" s="435" t="s">
        <v>614</v>
      </c>
      <c r="M1767" s="576"/>
      <c r="N1767" s="576">
        <f t="shared" si="429"/>
        <v>0</v>
      </c>
      <c r="O1767" s="577">
        <f t="shared" si="419"/>
        <v>0</v>
      </c>
      <c r="P1767" s="578">
        <f t="shared" si="420"/>
        <v>0</v>
      </c>
      <c r="Q1767" s="765"/>
      <c r="R1767" s="576">
        <f t="shared" si="414"/>
        <v>0</v>
      </c>
      <c r="S1767" s="576">
        <f t="shared" si="414"/>
        <v>0</v>
      </c>
      <c r="T1767" s="577">
        <f t="shared" si="417"/>
        <v>0</v>
      </c>
      <c r="U1767" s="578">
        <f t="shared" si="418"/>
        <v>0</v>
      </c>
      <c r="V1767" s="579"/>
      <c r="W1767" s="566"/>
      <c r="X1767" s="586" t="str">
        <f t="shared" si="422"/>
        <v/>
      </c>
      <c r="Y1767" s="586" t="str">
        <f t="shared" si="431"/>
        <v/>
      </c>
      <c r="Z1767" s="586" t="str">
        <f t="shared" si="427"/>
        <v/>
      </c>
    </row>
    <row r="1768" spans="1:26" ht="12" hidden="1" thickBot="1" x14ac:dyDescent="0.25">
      <c r="A1768" s="652" t="s">
        <v>187</v>
      </c>
      <c r="B1768" s="572" t="s">
        <v>187</v>
      </c>
      <c r="C1768" s="573" t="s">
        <v>187</v>
      </c>
      <c r="D1768" s="580"/>
      <c r="E1768" s="575"/>
      <c r="F1768" s="436"/>
      <c r="G1768" s="431"/>
      <c r="H1768" s="430"/>
      <c r="I1768" s="432"/>
      <c r="J1768" s="433"/>
      <c r="K1768" s="437">
        <f t="shared" si="430"/>
        <v>0</v>
      </c>
      <c r="L1768" s="435" t="s">
        <v>614</v>
      </c>
      <c r="M1768" s="576"/>
      <c r="N1768" s="576">
        <f t="shared" si="429"/>
        <v>0</v>
      </c>
      <c r="O1768" s="577">
        <f t="shared" si="419"/>
        <v>0</v>
      </c>
      <c r="P1768" s="578">
        <f t="shared" si="420"/>
        <v>0</v>
      </c>
      <c r="Q1768" s="765"/>
      <c r="R1768" s="576">
        <f t="shared" si="414"/>
        <v>0</v>
      </c>
      <c r="S1768" s="576">
        <f t="shared" si="414"/>
        <v>0</v>
      </c>
      <c r="T1768" s="577">
        <f t="shared" si="417"/>
        <v>0</v>
      </c>
      <c r="U1768" s="578">
        <f t="shared" si="418"/>
        <v>0</v>
      </c>
      <c r="V1768" s="579"/>
      <c r="W1768" s="566"/>
      <c r="X1768" s="586" t="str">
        <f t="shared" si="422"/>
        <v/>
      </c>
      <c r="Y1768" s="586" t="str">
        <f t="shared" si="431"/>
        <v/>
      </c>
      <c r="Z1768" s="586" t="str">
        <f t="shared" si="427"/>
        <v/>
      </c>
    </row>
    <row r="1769" spans="1:26" ht="12" hidden="1" thickBot="1" x14ac:dyDescent="0.25">
      <c r="A1769" s="652" t="s">
        <v>187</v>
      </c>
      <c r="B1769" s="572" t="s">
        <v>187</v>
      </c>
      <c r="C1769" s="573" t="s">
        <v>187</v>
      </c>
      <c r="D1769" s="580"/>
      <c r="E1769" s="575"/>
      <c r="F1769" s="436"/>
      <c r="G1769" s="431"/>
      <c r="H1769" s="430"/>
      <c r="I1769" s="432"/>
      <c r="J1769" s="433"/>
      <c r="K1769" s="437">
        <f t="shared" si="430"/>
        <v>0</v>
      </c>
      <c r="L1769" s="435" t="s">
        <v>614</v>
      </c>
      <c r="M1769" s="576"/>
      <c r="N1769" s="576">
        <f t="shared" si="429"/>
        <v>0</v>
      </c>
      <c r="O1769" s="577">
        <f t="shared" si="419"/>
        <v>0</v>
      </c>
      <c r="P1769" s="578">
        <f t="shared" si="420"/>
        <v>0</v>
      </c>
      <c r="Q1769" s="765"/>
      <c r="R1769" s="576">
        <f t="shared" si="414"/>
        <v>0</v>
      </c>
      <c r="S1769" s="576">
        <f t="shared" si="414"/>
        <v>0</v>
      </c>
      <c r="T1769" s="577">
        <f t="shared" si="417"/>
        <v>0</v>
      </c>
      <c r="U1769" s="578">
        <f t="shared" si="418"/>
        <v>0</v>
      </c>
      <c r="V1769" s="579"/>
      <c r="W1769" s="566"/>
      <c r="X1769" s="586" t="str">
        <f t="shared" si="422"/>
        <v/>
      </c>
      <c r="Y1769" s="586" t="str">
        <f t="shared" si="431"/>
        <v/>
      </c>
      <c r="Z1769" s="586" t="str">
        <f t="shared" si="427"/>
        <v/>
      </c>
    </row>
    <row r="1770" spans="1:26" ht="12" hidden="1" thickBot="1" x14ac:dyDescent="0.25">
      <c r="A1770" s="652" t="s">
        <v>187</v>
      </c>
      <c r="B1770" s="572" t="s">
        <v>187</v>
      </c>
      <c r="C1770" s="573" t="s">
        <v>187</v>
      </c>
      <c r="D1770" s="580"/>
      <c r="E1770" s="575"/>
      <c r="F1770" s="436"/>
      <c r="G1770" s="431"/>
      <c r="H1770" s="430"/>
      <c r="I1770" s="432"/>
      <c r="J1770" s="433"/>
      <c r="K1770" s="437">
        <f t="shared" si="430"/>
        <v>0</v>
      </c>
      <c r="L1770" s="435" t="s">
        <v>614</v>
      </c>
      <c r="M1770" s="576"/>
      <c r="N1770" s="576">
        <f t="shared" si="429"/>
        <v>0</v>
      </c>
      <c r="O1770" s="577">
        <f t="shared" si="419"/>
        <v>0</v>
      </c>
      <c r="P1770" s="578">
        <f t="shared" si="420"/>
        <v>0</v>
      </c>
      <c r="Q1770" s="765"/>
      <c r="R1770" s="576">
        <f t="shared" si="414"/>
        <v>0</v>
      </c>
      <c r="S1770" s="576">
        <f t="shared" si="414"/>
        <v>0</v>
      </c>
      <c r="T1770" s="577">
        <f t="shared" si="417"/>
        <v>0</v>
      </c>
      <c r="U1770" s="578">
        <f t="shared" si="418"/>
        <v>0</v>
      </c>
      <c r="V1770" s="579"/>
      <c r="W1770" s="566"/>
      <c r="X1770" s="586" t="str">
        <f t="shared" si="422"/>
        <v/>
      </c>
      <c r="Y1770" s="586" t="str">
        <f t="shared" si="431"/>
        <v/>
      </c>
      <c r="Z1770" s="586" t="str">
        <f t="shared" si="427"/>
        <v/>
      </c>
    </row>
    <row r="1771" spans="1:26" ht="12" hidden="1" thickBot="1" x14ac:dyDescent="0.25">
      <c r="A1771" s="652" t="s">
        <v>187</v>
      </c>
      <c r="B1771" s="572" t="s">
        <v>187</v>
      </c>
      <c r="C1771" s="573" t="s">
        <v>187</v>
      </c>
      <c r="D1771" s="580"/>
      <c r="E1771" s="575"/>
      <c r="F1771" s="436"/>
      <c r="G1771" s="431"/>
      <c r="H1771" s="430"/>
      <c r="I1771" s="432"/>
      <c r="J1771" s="433"/>
      <c r="K1771" s="437">
        <f t="shared" si="430"/>
        <v>0</v>
      </c>
      <c r="L1771" s="435" t="s">
        <v>614</v>
      </c>
      <c r="M1771" s="576"/>
      <c r="N1771" s="576">
        <f t="shared" si="429"/>
        <v>0</v>
      </c>
      <c r="O1771" s="577">
        <f t="shared" si="419"/>
        <v>0</v>
      </c>
      <c r="P1771" s="578">
        <f t="shared" si="420"/>
        <v>0</v>
      </c>
      <c r="Q1771" s="765"/>
      <c r="R1771" s="576">
        <f t="shared" si="414"/>
        <v>0</v>
      </c>
      <c r="S1771" s="576">
        <f t="shared" si="414"/>
        <v>0</v>
      </c>
      <c r="T1771" s="577">
        <f t="shared" si="417"/>
        <v>0</v>
      </c>
      <c r="U1771" s="578">
        <f t="shared" si="418"/>
        <v>0</v>
      </c>
      <c r="V1771" s="579"/>
      <c r="W1771" s="566"/>
      <c r="X1771" s="586" t="str">
        <f t="shared" si="422"/>
        <v/>
      </c>
      <c r="Y1771" s="586" t="str">
        <f t="shared" si="431"/>
        <v/>
      </c>
      <c r="Z1771" s="586" t="str">
        <f t="shared" si="427"/>
        <v/>
      </c>
    </row>
    <row r="1772" spans="1:26" ht="12" hidden="1" thickBot="1" x14ac:dyDescent="0.25">
      <c r="A1772" s="652" t="s">
        <v>187</v>
      </c>
      <c r="B1772" s="572" t="s">
        <v>187</v>
      </c>
      <c r="C1772" s="573" t="s">
        <v>187</v>
      </c>
      <c r="D1772" s="580"/>
      <c r="E1772" s="575"/>
      <c r="F1772" s="436"/>
      <c r="G1772" s="431"/>
      <c r="H1772" s="430"/>
      <c r="I1772" s="432"/>
      <c r="J1772" s="433"/>
      <c r="K1772" s="437">
        <f t="shared" si="430"/>
        <v>0</v>
      </c>
      <c r="L1772" s="435" t="s">
        <v>614</v>
      </c>
      <c r="M1772" s="576"/>
      <c r="N1772" s="576">
        <f t="shared" si="429"/>
        <v>0</v>
      </c>
      <c r="O1772" s="577">
        <f t="shared" si="419"/>
        <v>0</v>
      </c>
      <c r="P1772" s="578">
        <f t="shared" si="420"/>
        <v>0</v>
      </c>
      <c r="Q1772" s="765"/>
      <c r="R1772" s="576">
        <f t="shared" ref="R1772:S1837" si="432">M1772</f>
        <v>0</v>
      </c>
      <c r="S1772" s="576">
        <f t="shared" si="432"/>
        <v>0</v>
      </c>
      <c r="T1772" s="577">
        <f t="shared" si="417"/>
        <v>0</v>
      </c>
      <c r="U1772" s="578">
        <f t="shared" si="418"/>
        <v>0</v>
      </c>
      <c r="V1772" s="579"/>
      <c r="W1772" s="566"/>
      <c r="X1772" s="586" t="str">
        <f t="shared" si="422"/>
        <v/>
      </c>
      <c r="Y1772" s="586" t="str">
        <f t="shared" si="431"/>
        <v/>
      </c>
      <c r="Z1772" s="586" t="str">
        <f t="shared" si="427"/>
        <v/>
      </c>
    </row>
    <row r="1773" spans="1:26" ht="12" hidden="1" thickBot="1" x14ac:dyDescent="0.25">
      <c r="A1773" s="652" t="s">
        <v>187</v>
      </c>
      <c r="B1773" s="572" t="s">
        <v>187</v>
      </c>
      <c r="C1773" s="573" t="s">
        <v>187</v>
      </c>
      <c r="D1773" s="580"/>
      <c r="E1773" s="575"/>
      <c r="F1773" s="436"/>
      <c r="G1773" s="431"/>
      <c r="H1773" s="430"/>
      <c r="I1773" s="432"/>
      <c r="J1773" s="433"/>
      <c r="K1773" s="437">
        <f t="shared" si="430"/>
        <v>0</v>
      </c>
      <c r="L1773" s="435" t="s">
        <v>614</v>
      </c>
      <c r="M1773" s="576"/>
      <c r="N1773" s="576">
        <f t="shared" si="429"/>
        <v>0</v>
      </c>
      <c r="O1773" s="577">
        <f t="shared" si="419"/>
        <v>0</v>
      </c>
      <c r="P1773" s="578">
        <f t="shared" si="420"/>
        <v>0</v>
      </c>
      <c r="Q1773" s="765"/>
      <c r="R1773" s="576">
        <f t="shared" si="432"/>
        <v>0</v>
      </c>
      <c r="S1773" s="576">
        <f t="shared" si="432"/>
        <v>0</v>
      </c>
      <c r="T1773" s="577">
        <f t="shared" si="417"/>
        <v>0</v>
      </c>
      <c r="U1773" s="578">
        <f t="shared" si="418"/>
        <v>0</v>
      </c>
      <c r="V1773" s="579"/>
      <c r="W1773" s="566"/>
      <c r="X1773" s="586" t="str">
        <f t="shared" si="422"/>
        <v/>
      </c>
      <c r="Y1773" s="586" t="str">
        <f t="shared" si="431"/>
        <v/>
      </c>
      <c r="Z1773" s="586" t="str">
        <f t="shared" si="427"/>
        <v/>
      </c>
    </row>
    <row r="1774" spans="1:26" ht="12" hidden="1" thickBot="1" x14ac:dyDescent="0.25">
      <c r="A1774" s="652" t="s">
        <v>187</v>
      </c>
      <c r="B1774" s="572" t="s">
        <v>187</v>
      </c>
      <c r="C1774" s="573" t="s">
        <v>187</v>
      </c>
      <c r="D1774" s="580"/>
      <c r="E1774" s="575"/>
      <c r="F1774" s="436"/>
      <c r="G1774" s="431"/>
      <c r="H1774" s="430"/>
      <c r="I1774" s="432"/>
      <c r="J1774" s="433"/>
      <c r="K1774" s="437">
        <f t="shared" si="430"/>
        <v>0</v>
      </c>
      <c r="L1774" s="435" t="s">
        <v>614</v>
      </c>
      <c r="M1774" s="576"/>
      <c r="N1774" s="576">
        <f t="shared" si="429"/>
        <v>0</v>
      </c>
      <c r="O1774" s="577">
        <f t="shared" si="419"/>
        <v>0</v>
      </c>
      <c r="P1774" s="578">
        <f t="shared" si="420"/>
        <v>0</v>
      </c>
      <c r="Q1774" s="765"/>
      <c r="R1774" s="576">
        <f t="shared" si="432"/>
        <v>0</v>
      </c>
      <c r="S1774" s="576">
        <f t="shared" si="432"/>
        <v>0</v>
      </c>
      <c r="T1774" s="577">
        <f t="shared" si="417"/>
        <v>0</v>
      </c>
      <c r="U1774" s="578">
        <f t="shared" si="418"/>
        <v>0</v>
      </c>
      <c r="V1774" s="579"/>
      <c r="W1774" s="566"/>
      <c r="X1774" s="586" t="str">
        <f t="shared" si="422"/>
        <v/>
      </c>
      <c r="Y1774" s="586" t="str">
        <f t="shared" si="431"/>
        <v/>
      </c>
      <c r="Z1774" s="586" t="str">
        <f t="shared" si="427"/>
        <v/>
      </c>
    </row>
    <row r="1775" spans="1:26" ht="12" hidden="1" thickBot="1" x14ac:dyDescent="0.25">
      <c r="A1775" s="652" t="s">
        <v>187</v>
      </c>
      <c r="B1775" s="572" t="s">
        <v>187</v>
      </c>
      <c r="C1775" s="573" t="s">
        <v>187</v>
      </c>
      <c r="D1775" s="580"/>
      <c r="E1775" s="575"/>
      <c r="F1775" s="436"/>
      <c r="G1775" s="431"/>
      <c r="H1775" s="430"/>
      <c r="I1775" s="432"/>
      <c r="J1775" s="433"/>
      <c r="K1775" s="437">
        <f t="shared" si="430"/>
        <v>0</v>
      </c>
      <c r="L1775" s="435" t="s">
        <v>614</v>
      </c>
      <c r="M1775" s="576"/>
      <c r="N1775" s="576">
        <f t="shared" si="429"/>
        <v>0</v>
      </c>
      <c r="O1775" s="577">
        <f t="shared" si="419"/>
        <v>0</v>
      </c>
      <c r="P1775" s="578">
        <f t="shared" si="420"/>
        <v>0</v>
      </c>
      <c r="Q1775" s="765"/>
      <c r="R1775" s="576">
        <f t="shared" si="432"/>
        <v>0</v>
      </c>
      <c r="S1775" s="576">
        <f t="shared" si="432"/>
        <v>0</v>
      </c>
      <c r="T1775" s="577">
        <f t="shared" si="417"/>
        <v>0</v>
      </c>
      <c r="U1775" s="578">
        <f t="shared" si="418"/>
        <v>0</v>
      </c>
      <c r="V1775" s="579"/>
      <c r="W1775" s="566"/>
      <c r="X1775" s="586" t="str">
        <f t="shared" si="422"/>
        <v/>
      </c>
      <c r="Y1775" s="586" t="str">
        <f t="shared" si="431"/>
        <v/>
      </c>
      <c r="Z1775" s="586" t="str">
        <f t="shared" si="427"/>
        <v/>
      </c>
    </row>
    <row r="1776" spans="1:26" ht="12" hidden="1" thickBot="1" x14ac:dyDescent="0.25">
      <c r="A1776" s="652" t="s">
        <v>187</v>
      </c>
      <c r="B1776" s="572" t="s">
        <v>187</v>
      </c>
      <c r="C1776" s="573" t="s">
        <v>187</v>
      </c>
      <c r="D1776" s="580"/>
      <c r="E1776" s="575"/>
      <c r="F1776" s="436"/>
      <c r="G1776" s="431"/>
      <c r="H1776" s="430"/>
      <c r="I1776" s="432"/>
      <c r="J1776" s="433"/>
      <c r="K1776" s="437">
        <f t="shared" si="430"/>
        <v>0</v>
      </c>
      <c r="L1776" s="435" t="s">
        <v>614</v>
      </c>
      <c r="M1776" s="576"/>
      <c r="N1776" s="576">
        <f t="shared" si="429"/>
        <v>0</v>
      </c>
      <c r="O1776" s="577">
        <f t="shared" si="419"/>
        <v>0</v>
      </c>
      <c r="P1776" s="578">
        <f t="shared" si="420"/>
        <v>0</v>
      </c>
      <c r="Q1776" s="765"/>
      <c r="R1776" s="576">
        <f t="shared" si="432"/>
        <v>0</v>
      </c>
      <c r="S1776" s="576">
        <f t="shared" si="432"/>
        <v>0</v>
      </c>
      <c r="T1776" s="577">
        <f t="shared" si="417"/>
        <v>0</v>
      </c>
      <c r="U1776" s="578">
        <f t="shared" si="418"/>
        <v>0</v>
      </c>
      <c r="V1776" s="579"/>
      <c r="W1776" s="566"/>
      <c r="X1776" s="586" t="str">
        <f t="shared" si="422"/>
        <v/>
      </c>
      <c r="Y1776" s="586" t="str">
        <f t="shared" si="431"/>
        <v/>
      </c>
      <c r="Z1776" s="586" t="str">
        <f t="shared" si="427"/>
        <v/>
      </c>
    </row>
    <row r="1777" spans="1:26" ht="12" hidden="1" thickBot="1" x14ac:dyDescent="0.25">
      <c r="A1777" s="652" t="s">
        <v>187</v>
      </c>
      <c r="B1777" s="572" t="s">
        <v>187</v>
      </c>
      <c r="C1777" s="573" t="s">
        <v>187</v>
      </c>
      <c r="D1777" s="580"/>
      <c r="E1777" s="575"/>
      <c r="F1777" s="436"/>
      <c r="G1777" s="431"/>
      <c r="H1777" s="430"/>
      <c r="I1777" s="432"/>
      <c r="J1777" s="433"/>
      <c r="K1777" s="437">
        <f t="shared" si="430"/>
        <v>0</v>
      </c>
      <c r="L1777" s="435" t="s">
        <v>614</v>
      </c>
      <c r="M1777" s="576"/>
      <c r="N1777" s="576">
        <f t="shared" si="429"/>
        <v>0</v>
      </c>
      <c r="O1777" s="577">
        <f t="shared" si="419"/>
        <v>0</v>
      </c>
      <c r="P1777" s="578">
        <f t="shared" si="420"/>
        <v>0</v>
      </c>
      <c r="Q1777" s="765"/>
      <c r="R1777" s="576">
        <f t="shared" si="432"/>
        <v>0</v>
      </c>
      <c r="S1777" s="576">
        <f t="shared" si="432"/>
        <v>0</v>
      </c>
      <c r="T1777" s="577">
        <f t="shared" si="417"/>
        <v>0</v>
      </c>
      <c r="U1777" s="578">
        <f t="shared" si="418"/>
        <v>0</v>
      </c>
      <c r="V1777" s="579"/>
      <c r="W1777" s="566"/>
      <c r="X1777" s="586" t="str">
        <f t="shared" si="422"/>
        <v/>
      </c>
      <c r="Y1777" s="586" t="str">
        <f t="shared" si="431"/>
        <v/>
      </c>
      <c r="Z1777" s="586" t="str">
        <f t="shared" si="427"/>
        <v/>
      </c>
    </row>
    <row r="1778" spans="1:26" ht="12" hidden="1" thickBot="1" x14ac:dyDescent="0.25">
      <c r="A1778" s="652" t="s">
        <v>187</v>
      </c>
      <c r="B1778" s="572" t="s">
        <v>187</v>
      </c>
      <c r="C1778" s="573" t="s">
        <v>187</v>
      </c>
      <c r="D1778" s="580"/>
      <c r="E1778" s="575"/>
      <c r="F1778" s="436"/>
      <c r="G1778" s="431"/>
      <c r="H1778" s="430"/>
      <c r="I1778" s="432"/>
      <c r="J1778" s="433"/>
      <c r="K1778" s="437">
        <f t="shared" si="430"/>
        <v>0</v>
      </c>
      <c r="L1778" s="435" t="s">
        <v>614</v>
      </c>
      <c r="M1778" s="576"/>
      <c r="N1778" s="576">
        <f t="shared" si="429"/>
        <v>0</v>
      </c>
      <c r="O1778" s="577">
        <f t="shared" si="419"/>
        <v>0</v>
      </c>
      <c r="P1778" s="578">
        <f t="shared" si="420"/>
        <v>0</v>
      </c>
      <c r="Q1778" s="765"/>
      <c r="R1778" s="576">
        <f t="shared" si="432"/>
        <v>0</v>
      </c>
      <c r="S1778" s="576">
        <f t="shared" si="432"/>
        <v>0</v>
      </c>
      <c r="T1778" s="577">
        <f t="shared" si="417"/>
        <v>0</v>
      </c>
      <c r="U1778" s="578">
        <f t="shared" si="418"/>
        <v>0</v>
      </c>
      <c r="V1778" s="579"/>
      <c r="W1778" s="566"/>
      <c r="X1778" s="586" t="str">
        <f t="shared" si="422"/>
        <v/>
      </c>
      <c r="Y1778" s="586" t="str">
        <f t="shared" si="431"/>
        <v/>
      </c>
      <c r="Z1778" s="586" t="str">
        <f t="shared" si="427"/>
        <v/>
      </c>
    </row>
    <row r="1779" spans="1:26" ht="12" hidden="1" thickBot="1" x14ac:dyDescent="0.25">
      <c r="A1779" s="652" t="s">
        <v>187</v>
      </c>
      <c r="B1779" s="572" t="s">
        <v>187</v>
      </c>
      <c r="C1779" s="573" t="s">
        <v>187</v>
      </c>
      <c r="D1779" s="580"/>
      <c r="E1779" s="575"/>
      <c r="F1779" s="436"/>
      <c r="G1779" s="431"/>
      <c r="H1779" s="430"/>
      <c r="I1779" s="432"/>
      <c r="J1779" s="433"/>
      <c r="K1779" s="437">
        <f t="shared" si="430"/>
        <v>0</v>
      </c>
      <c r="L1779" s="435" t="s">
        <v>614</v>
      </c>
      <c r="M1779" s="576"/>
      <c r="N1779" s="576">
        <f t="shared" si="429"/>
        <v>0</v>
      </c>
      <c r="O1779" s="577">
        <f t="shared" si="419"/>
        <v>0</v>
      </c>
      <c r="P1779" s="578">
        <f t="shared" si="420"/>
        <v>0</v>
      </c>
      <c r="Q1779" s="765"/>
      <c r="R1779" s="576">
        <f t="shared" si="432"/>
        <v>0</v>
      </c>
      <c r="S1779" s="576">
        <f t="shared" si="432"/>
        <v>0</v>
      </c>
      <c r="T1779" s="577">
        <f t="shared" si="417"/>
        <v>0</v>
      </c>
      <c r="U1779" s="578">
        <f t="shared" si="418"/>
        <v>0</v>
      </c>
      <c r="V1779" s="579"/>
      <c r="W1779" s="566"/>
      <c r="X1779" s="586" t="str">
        <f t="shared" si="422"/>
        <v/>
      </c>
      <c r="Y1779" s="586" t="str">
        <f t="shared" si="431"/>
        <v/>
      </c>
      <c r="Z1779" s="586" t="str">
        <f t="shared" si="427"/>
        <v/>
      </c>
    </row>
    <row r="1780" spans="1:26" ht="12" hidden="1" thickBot="1" x14ac:dyDescent="0.25">
      <c r="A1780" s="652" t="s">
        <v>187</v>
      </c>
      <c r="B1780" s="572" t="s">
        <v>187</v>
      </c>
      <c r="C1780" s="573" t="s">
        <v>187</v>
      </c>
      <c r="D1780" s="580"/>
      <c r="E1780" s="575"/>
      <c r="F1780" s="436"/>
      <c r="G1780" s="431"/>
      <c r="H1780" s="430"/>
      <c r="I1780" s="432"/>
      <c r="J1780" s="433"/>
      <c r="K1780" s="437">
        <f t="shared" si="430"/>
        <v>0</v>
      </c>
      <c r="L1780" s="435" t="s">
        <v>614</v>
      </c>
      <c r="M1780" s="576"/>
      <c r="N1780" s="576">
        <f t="shared" si="429"/>
        <v>0</v>
      </c>
      <c r="O1780" s="577">
        <f t="shared" si="419"/>
        <v>0</v>
      </c>
      <c r="P1780" s="578">
        <f t="shared" si="420"/>
        <v>0</v>
      </c>
      <c r="Q1780" s="765"/>
      <c r="R1780" s="576">
        <f t="shared" si="432"/>
        <v>0</v>
      </c>
      <c r="S1780" s="576">
        <f t="shared" si="432"/>
        <v>0</v>
      </c>
      <c r="T1780" s="577">
        <f t="shared" si="417"/>
        <v>0</v>
      </c>
      <c r="U1780" s="578">
        <f t="shared" si="418"/>
        <v>0</v>
      </c>
      <c r="V1780" s="579"/>
      <c r="W1780" s="566"/>
      <c r="X1780" s="586" t="str">
        <f t="shared" si="422"/>
        <v/>
      </c>
      <c r="Y1780" s="586" t="str">
        <f t="shared" si="431"/>
        <v/>
      </c>
      <c r="Z1780" s="586" t="str">
        <f t="shared" si="427"/>
        <v/>
      </c>
    </row>
    <row r="1781" spans="1:26" ht="12" hidden="1" thickBot="1" x14ac:dyDescent="0.25">
      <c r="A1781" s="652" t="s">
        <v>187</v>
      </c>
      <c r="B1781" s="572" t="s">
        <v>187</v>
      </c>
      <c r="C1781" s="573" t="s">
        <v>187</v>
      </c>
      <c r="D1781" s="580"/>
      <c r="E1781" s="575"/>
      <c r="F1781" s="436"/>
      <c r="G1781" s="431"/>
      <c r="H1781" s="430"/>
      <c r="I1781" s="432"/>
      <c r="J1781" s="433"/>
      <c r="K1781" s="437">
        <f t="shared" si="430"/>
        <v>0</v>
      </c>
      <c r="L1781" s="435" t="s">
        <v>614</v>
      </c>
      <c r="M1781" s="576"/>
      <c r="N1781" s="576">
        <f t="shared" si="429"/>
        <v>0</v>
      </c>
      <c r="O1781" s="577">
        <f t="shared" si="419"/>
        <v>0</v>
      </c>
      <c r="P1781" s="578">
        <f t="shared" si="420"/>
        <v>0</v>
      </c>
      <c r="Q1781" s="765"/>
      <c r="R1781" s="576">
        <f t="shared" si="432"/>
        <v>0</v>
      </c>
      <c r="S1781" s="576">
        <f t="shared" si="432"/>
        <v>0</v>
      </c>
      <c r="T1781" s="577">
        <f t="shared" si="417"/>
        <v>0</v>
      </c>
      <c r="U1781" s="578">
        <f t="shared" si="418"/>
        <v>0</v>
      </c>
      <c r="V1781" s="579"/>
      <c r="W1781" s="566"/>
      <c r="X1781" s="586" t="str">
        <f t="shared" si="422"/>
        <v/>
      </c>
      <c r="Y1781" s="586" t="str">
        <f t="shared" si="431"/>
        <v/>
      </c>
      <c r="Z1781" s="586" t="str">
        <f t="shared" si="427"/>
        <v/>
      </c>
    </row>
    <row r="1782" spans="1:26" ht="12" hidden="1" thickBot="1" x14ac:dyDescent="0.25">
      <c r="A1782" s="652" t="s">
        <v>187</v>
      </c>
      <c r="B1782" s="572" t="s">
        <v>187</v>
      </c>
      <c r="C1782" s="573" t="s">
        <v>187</v>
      </c>
      <c r="D1782" s="580"/>
      <c r="E1782" s="575"/>
      <c r="F1782" s="436"/>
      <c r="G1782" s="431"/>
      <c r="H1782" s="430"/>
      <c r="I1782" s="432"/>
      <c r="J1782" s="433"/>
      <c r="K1782" s="437">
        <f t="shared" si="430"/>
        <v>0</v>
      </c>
      <c r="L1782" s="435" t="s">
        <v>614</v>
      </c>
      <c r="M1782" s="576"/>
      <c r="N1782" s="576">
        <f t="shared" si="429"/>
        <v>0</v>
      </c>
      <c r="O1782" s="577">
        <f t="shared" si="419"/>
        <v>0</v>
      </c>
      <c r="P1782" s="578">
        <f t="shared" si="420"/>
        <v>0</v>
      </c>
      <c r="Q1782" s="765"/>
      <c r="R1782" s="576">
        <f t="shared" si="432"/>
        <v>0</v>
      </c>
      <c r="S1782" s="576">
        <f t="shared" si="432"/>
        <v>0</v>
      </c>
      <c r="T1782" s="577">
        <f t="shared" si="417"/>
        <v>0</v>
      </c>
      <c r="U1782" s="578">
        <f t="shared" si="418"/>
        <v>0</v>
      </c>
      <c r="V1782" s="579"/>
      <c r="W1782" s="566"/>
      <c r="X1782" s="586" t="str">
        <f t="shared" si="422"/>
        <v/>
      </c>
      <c r="Y1782" s="586" t="str">
        <f t="shared" si="431"/>
        <v/>
      </c>
      <c r="Z1782" s="586" t="str">
        <f t="shared" si="427"/>
        <v/>
      </c>
    </row>
    <row r="1783" spans="1:26" ht="12" hidden="1" thickBot="1" x14ac:dyDescent="0.25">
      <c r="A1783" s="652" t="s">
        <v>187</v>
      </c>
      <c r="B1783" s="572" t="s">
        <v>187</v>
      </c>
      <c r="C1783" s="573" t="s">
        <v>187</v>
      </c>
      <c r="D1783" s="580"/>
      <c r="E1783" s="575"/>
      <c r="F1783" s="436"/>
      <c r="G1783" s="431"/>
      <c r="H1783" s="430"/>
      <c r="I1783" s="432"/>
      <c r="J1783" s="433"/>
      <c r="K1783" s="437">
        <f t="shared" si="430"/>
        <v>0</v>
      </c>
      <c r="L1783" s="435" t="s">
        <v>614</v>
      </c>
      <c r="M1783" s="576"/>
      <c r="N1783" s="576">
        <f t="shared" si="429"/>
        <v>0</v>
      </c>
      <c r="O1783" s="577">
        <f t="shared" si="419"/>
        <v>0</v>
      </c>
      <c r="P1783" s="578">
        <f t="shared" si="420"/>
        <v>0</v>
      </c>
      <c r="Q1783" s="765"/>
      <c r="R1783" s="576">
        <f t="shared" si="432"/>
        <v>0</v>
      </c>
      <c r="S1783" s="576">
        <f t="shared" si="432"/>
        <v>0</v>
      </c>
      <c r="T1783" s="577">
        <f t="shared" si="417"/>
        <v>0</v>
      </c>
      <c r="U1783" s="578">
        <f t="shared" si="418"/>
        <v>0</v>
      </c>
      <c r="V1783" s="579"/>
      <c r="W1783" s="566"/>
      <c r="X1783" s="586" t="str">
        <f t="shared" si="422"/>
        <v/>
      </c>
      <c r="Y1783" s="586" t="str">
        <f t="shared" si="431"/>
        <v/>
      </c>
      <c r="Z1783" s="586" t="str">
        <f t="shared" si="427"/>
        <v/>
      </c>
    </row>
    <row r="1784" spans="1:26" ht="12" hidden="1" thickBot="1" x14ac:dyDescent="0.25">
      <c r="A1784" s="652" t="s">
        <v>187</v>
      </c>
      <c r="B1784" s="581" t="s">
        <v>187</v>
      </c>
      <c r="C1784" s="582" t="s">
        <v>187</v>
      </c>
      <c r="D1784" s="583"/>
      <c r="E1784" s="584"/>
      <c r="F1784" s="438"/>
      <c r="G1784" s="439"/>
      <c r="H1784" s="440"/>
      <c r="I1784" s="441"/>
      <c r="J1784" s="442"/>
      <c r="K1784" s="443">
        <f t="shared" si="430"/>
        <v>0</v>
      </c>
      <c r="L1784" s="444" t="s">
        <v>614</v>
      </c>
      <c r="M1784" s="576"/>
      <c r="N1784" s="576">
        <f t="shared" si="429"/>
        <v>0</v>
      </c>
      <c r="O1784" s="585">
        <f t="shared" si="419"/>
        <v>0</v>
      </c>
      <c r="P1784" s="660">
        <f t="shared" si="420"/>
        <v>0</v>
      </c>
      <c r="Q1784" s="765"/>
      <c r="R1784" s="576">
        <f t="shared" si="432"/>
        <v>0</v>
      </c>
      <c r="S1784" s="576">
        <f t="shared" si="432"/>
        <v>0</v>
      </c>
      <c r="T1784" s="585">
        <f t="shared" si="417"/>
        <v>0</v>
      </c>
      <c r="U1784" s="660">
        <f t="shared" si="418"/>
        <v>0</v>
      </c>
      <c r="V1784" s="579"/>
      <c r="W1784" s="566"/>
      <c r="X1784" s="586" t="str">
        <f t="shared" si="422"/>
        <v/>
      </c>
      <c r="Y1784" s="586" t="str">
        <f t="shared" si="431"/>
        <v/>
      </c>
      <c r="Z1784" s="586" t="str">
        <f t="shared" si="427"/>
        <v/>
      </c>
    </row>
    <row r="1785" spans="1:26" ht="12" hidden="1" thickBot="1" x14ac:dyDescent="0.25">
      <c r="A1785" s="652" t="s">
        <v>187</v>
      </c>
      <c r="B1785" s="664" t="s">
        <v>473</v>
      </c>
      <c r="C1785" s="665"/>
      <c r="D1785" s="666" t="s">
        <v>462</v>
      </c>
      <c r="E1785" s="631"/>
      <c r="F1785" s="632"/>
      <c r="G1785" s="633"/>
      <c r="H1785" s="634"/>
      <c r="I1785" s="409"/>
      <c r="J1785" s="409"/>
      <c r="K1785" s="409"/>
      <c r="L1785" s="409" t="s">
        <v>614</v>
      </c>
      <c r="M1785" s="634"/>
      <c r="N1785" s="797"/>
      <c r="O1785" s="409">
        <f t="shared" si="419"/>
        <v>0</v>
      </c>
      <c r="P1785" s="635">
        <f t="shared" si="420"/>
        <v>0</v>
      </c>
      <c r="Q1785" s="635">
        <f>SUM(P1786:P2662)</f>
        <v>0</v>
      </c>
      <c r="R1785" s="634"/>
      <c r="S1785" s="409"/>
      <c r="T1785" s="409">
        <f t="shared" si="417"/>
        <v>0</v>
      </c>
      <c r="U1785" s="635">
        <f t="shared" si="418"/>
        <v>0</v>
      </c>
      <c r="V1785" s="636">
        <f>SUM(U1786:U2662)</f>
        <v>0</v>
      </c>
      <c r="W1785" s="637" t="str">
        <f>IF(OR(Q1785&gt;0,V1785&gt;0),"X","")</f>
        <v/>
      </c>
      <c r="X1785" s="586" t="str">
        <f t="shared" si="422"/>
        <v/>
      </c>
      <c r="Y1785" s="586" t="str">
        <f t="shared" si="431"/>
        <v/>
      </c>
      <c r="Z1785" s="586" t="str">
        <f t="shared" si="427"/>
        <v/>
      </c>
    </row>
    <row r="1786" spans="1:26" ht="12" hidden="1" thickBot="1" x14ac:dyDescent="0.25">
      <c r="A1786" s="567">
        <v>600000</v>
      </c>
      <c r="B1786" s="644" t="s">
        <v>1649</v>
      </c>
      <c r="C1786" s="645" t="s">
        <v>206</v>
      </c>
      <c r="D1786" s="422" t="s">
        <v>322</v>
      </c>
      <c r="E1786" s="423"/>
      <c r="F1786" s="424">
        <v>0</v>
      </c>
      <c r="G1786" s="425">
        <v>0</v>
      </c>
      <c r="H1786" s="651">
        <f t="shared" ref="H1786:H1801" si="433">IF(F1786&lt;=30,(0.62*F1786+6.29)*G1786,((0.62*30+6.29)+0.62*(F1786-30))*G1786)</f>
        <v>0</v>
      </c>
      <c r="I1786" s="420">
        <v>46.12</v>
      </c>
      <c r="J1786" s="420">
        <f>IF(ISBLANK(I1786),"",SUM(H1786:I1786))</f>
        <v>46.12</v>
      </c>
      <c r="K1786" s="421">
        <f t="shared" ref="K1786:K1855" si="434">IF(ISBLANK(I1786),0,ROUND(J1786*(1+$F$10)*(1+$F$11*E1786),2))</f>
        <v>54.8</v>
      </c>
      <c r="L1786" s="647" t="s">
        <v>16</v>
      </c>
      <c r="M1786" s="576"/>
      <c r="N1786" s="576">
        <f t="shared" si="429"/>
        <v>0</v>
      </c>
      <c r="O1786" s="577">
        <f t="shared" si="419"/>
        <v>0</v>
      </c>
      <c r="P1786" s="578">
        <f t="shared" si="420"/>
        <v>0</v>
      </c>
      <c r="Q1786" s="765"/>
      <c r="R1786" s="576">
        <f t="shared" si="432"/>
        <v>0</v>
      </c>
      <c r="S1786" s="576">
        <f t="shared" si="432"/>
        <v>0</v>
      </c>
      <c r="T1786" s="577">
        <f t="shared" ref="T1786:T1851" si="435">IF(ISBLANK(R1786),0,ROUND(K1786*R1786,2))</f>
        <v>0</v>
      </c>
      <c r="U1786" s="578">
        <f t="shared" ref="U1786:U1851" si="436">IF(ISBLANK(R1786),0,ROUND(R1786*S1786,2))</f>
        <v>0</v>
      </c>
      <c r="V1786" s="579"/>
      <c r="W1786" s="566"/>
      <c r="X1786" s="586" t="str">
        <f t="shared" si="422"/>
        <v/>
      </c>
      <c r="Y1786" s="586" t="str">
        <f t="shared" si="431"/>
        <v/>
      </c>
      <c r="Z1786" s="586" t="str">
        <f t="shared" si="427"/>
        <v/>
      </c>
    </row>
    <row r="1787" spans="1:26" ht="12" hidden="1" thickBot="1" x14ac:dyDescent="0.25">
      <c r="A1787" s="567">
        <v>600300</v>
      </c>
      <c r="B1787" s="644">
        <v>600300</v>
      </c>
      <c r="C1787" s="645" t="s">
        <v>206</v>
      </c>
      <c r="D1787" s="422" t="s">
        <v>323</v>
      </c>
      <c r="E1787" s="423"/>
      <c r="F1787" s="424">
        <v>0</v>
      </c>
      <c r="G1787" s="425">
        <v>0</v>
      </c>
      <c r="H1787" s="651">
        <f t="shared" si="433"/>
        <v>0</v>
      </c>
      <c r="I1787" s="420">
        <v>12.45</v>
      </c>
      <c r="J1787" s="420">
        <f t="shared" ref="J1787:J1801" si="437">IF(ISBLANK(I1787),"",SUM(H1787:I1787))</f>
        <v>12.45</v>
      </c>
      <c r="K1787" s="421">
        <f t="shared" si="434"/>
        <v>14.79</v>
      </c>
      <c r="L1787" s="647" t="s">
        <v>16</v>
      </c>
      <c r="M1787" s="576"/>
      <c r="N1787" s="576">
        <f t="shared" si="429"/>
        <v>0</v>
      </c>
      <c r="O1787" s="577">
        <f t="shared" ref="O1787:O1852" si="438">IF(ISBLANK(M1787),0,ROUND(K1787*M1787,2))</f>
        <v>0</v>
      </c>
      <c r="P1787" s="578">
        <f t="shared" ref="P1787:P1852" si="439">IF(ISBLANK(N1787),0,ROUND(M1787*N1787,2))</f>
        <v>0</v>
      </c>
      <c r="Q1787" s="765"/>
      <c r="R1787" s="576">
        <f t="shared" si="432"/>
        <v>0</v>
      </c>
      <c r="S1787" s="576">
        <f t="shared" si="432"/>
        <v>0</v>
      </c>
      <c r="T1787" s="577">
        <f t="shared" si="435"/>
        <v>0</v>
      </c>
      <c r="U1787" s="578">
        <f t="shared" si="436"/>
        <v>0</v>
      </c>
      <c r="V1787" s="579"/>
      <c r="W1787" s="566"/>
      <c r="X1787" s="586" t="str">
        <f t="shared" si="422"/>
        <v/>
      </c>
      <c r="Y1787" s="586" t="str">
        <f t="shared" si="431"/>
        <v/>
      </c>
      <c r="Z1787" s="586" t="str">
        <f t="shared" si="427"/>
        <v/>
      </c>
    </row>
    <row r="1788" spans="1:26" ht="12" hidden="1" thickBot="1" x14ac:dyDescent="0.25">
      <c r="A1788" s="567">
        <v>600400</v>
      </c>
      <c r="B1788" s="644">
        <v>600400</v>
      </c>
      <c r="C1788" s="645" t="s">
        <v>206</v>
      </c>
      <c r="D1788" s="422" t="s">
        <v>324</v>
      </c>
      <c r="E1788" s="423"/>
      <c r="F1788" s="424">
        <v>0</v>
      </c>
      <c r="G1788" s="425"/>
      <c r="H1788" s="651">
        <f t="shared" si="433"/>
        <v>0</v>
      </c>
      <c r="I1788" s="420">
        <v>12.77</v>
      </c>
      <c r="J1788" s="420">
        <f t="shared" si="437"/>
        <v>12.77</v>
      </c>
      <c r="K1788" s="421">
        <f t="shared" si="434"/>
        <v>15.17</v>
      </c>
      <c r="L1788" s="647" t="s">
        <v>16</v>
      </c>
      <c r="M1788" s="576"/>
      <c r="N1788" s="576">
        <f t="shared" si="429"/>
        <v>0</v>
      </c>
      <c r="O1788" s="577">
        <f t="shared" si="438"/>
        <v>0</v>
      </c>
      <c r="P1788" s="578">
        <f t="shared" si="439"/>
        <v>0</v>
      </c>
      <c r="Q1788" s="765"/>
      <c r="R1788" s="576">
        <f t="shared" si="432"/>
        <v>0</v>
      </c>
      <c r="S1788" s="576">
        <f t="shared" si="432"/>
        <v>0</v>
      </c>
      <c r="T1788" s="577">
        <f t="shared" si="435"/>
        <v>0</v>
      </c>
      <c r="U1788" s="578">
        <f t="shared" si="436"/>
        <v>0</v>
      </c>
      <c r="V1788" s="579"/>
      <c r="W1788" s="566"/>
      <c r="X1788" s="586" t="str">
        <f t="shared" si="422"/>
        <v/>
      </c>
      <c r="Y1788" s="586" t="str">
        <f t="shared" si="431"/>
        <v/>
      </c>
      <c r="Z1788" s="586" t="str">
        <f t="shared" si="427"/>
        <v/>
      </c>
    </row>
    <row r="1789" spans="1:26" ht="12" hidden="1" thickBot="1" x14ac:dyDescent="0.25">
      <c r="A1789" s="567">
        <v>600500</v>
      </c>
      <c r="B1789" s="644">
        <v>600500</v>
      </c>
      <c r="C1789" s="645" t="s">
        <v>206</v>
      </c>
      <c r="D1789" s="422" t="s">
        <v>325</v>
      </c>
      <c r="E1789" s="423"/>
      <c r="F1789" s="424">
        <v>0</v>
      </c>
      <c r="G1789" s="425"/>
      <c r="H1789" s="651">
        <f t="shared" si="433"/>
        <v>0</v>
      </c>
      <c r="I1789" s="420">
        <v>76.27000000000001</v>
      </c>
      <c r="J1789" s="420">
        <f t="shared" si="437"/>
        <v>76.27000000000001</v>
      </c>
      <c r="K1789" s="421">
        <f t="shared" si="434"/>
        <v>90.62</v>
      </c>
      <c r="L1789" s="647" t="s">
        <v>16</v>
      </c>
      <c r="M1789" s="576"/>
      <c r="N1789" s="576">
        <f t="shared" si="429"/>
        <v>0</v>
      </c>
      <c r="O1789" s="577">
        <f t="shared" si="438"/>
        <v>0</v>
      </c>
      <c r="P1789" s="578">
        <f t="shared" si="439"/>
        <v>0</v>
      </c>
      <c r="Q1789" s="765"/>
      <c r="R1789" s="576">
        <f t="shared" si="432"/>
        <v>0</v>
      </c>
      <c r="S1789" s="576">
        <f t="shared" si="432"/>
        <v>0</v>
      </c>
      <c r="T1789" s="577">
        <f t="shared" si="435"/>
        <v>0</v>
      </c>
      <c r="U1789" s="578">
        <f t="shared" si="436"/>
        <v>0</v>
      </c>
      <c r="V1789" s="579"/>
      <c r="W1789" s="566"/>
      <c r="X1789" s="586" t="str">
        <f t="shared" si="422"/>
        <v/>
      </c>
      <c r="Y1789" s="586" t="str">
        <f t="shared" si="431"/>
        <v/>
      </c>
      <c r="Z1789" s="586" t="str">
        <f t="shared" si="427"/>
        <v/>
      </c>
    </row>
    <row r="1790" spans="1:26" ht="12" hidden="1" thickBot="1" x14ac:dyDescent="0.25">
      <c r="A1790" s="567">
        <v>600310</v>
      </c>
      <c r="B1790" s="644" t="s">
        <v>1589</v>
      </c>
      <c r="C1790" s="645" t="s">
        <v>206</v>
      </c>
      <c r="D1790" s="416" t="s">
        <v>474</v>
      </c>
      <c r="E1790" s="417"/>
      <c r="F1790" s="418"/>
      <c r="G1790" s="419"/>
      <c r="H1790" s="646">
        <f t="shared" si="433"/>
        <v>0</v>
      </c>
      <c r="I1790" s="420">
        <v>138.22</v>
      </c>
      <c r="J1790" s="420">
        <f>IF(ISBLANK(I1790),"",SUM(H1790:I1790))</f>
        <v>138.22</v>
      </c>
      <c r="K1790" s="421">
        <f t="shared" si="434"/>
        <v>164.22</v>
      </c>
      <c r="L1790" s="647" t="s">
        <v>21</v>
      </c>
      <c r="M1790" s="576"/>
      <c r="N1790" s="576">
        <f t="shared" si="429"/>
        <v>0</v>
      </c>
      <c r="O1790" s="577">
        <f t="shared" si="438"/>
        <v>0</v>
      </c>
      <c r="P1790" s="578">
        <f t="shared" si="439"/>
        <v>0</v>
      </c>
      <c r="Q1790" s="765"/>
      <c r="R1790" s="576">
        <f t="shared" si="432"/>
        <v>0</v>
      </c>
      <c r="S1790" s="576">
        <f t="shared" si="432"/>
        <v>0</v>
      </c>
      <c r="T1790" s="577">
        <f t="shared" si="435"/>
        <v>0</v>
      </c>
      <c r="U1790" s="578">
        <f t="shared" si="436"/>
        <v>0</v>
      </c>
      <c r="V1790" s="579"/>
      <c r="W1790" s="566"/>
      <c r="X1790" s="586" t="str">
        <f t="shared" si="422"/>
        <v/>
      </c>
      <c r="Y1790" s="586" t="str">
        <f t="shared" si="431"/>
        <v/>
      </c>
      <c r="Z1790" s="586" t="str">
        <f t="shared" si="427"/>
        <v/>
      </c>
    </row>
    <row r="1791" spans="1:26" ht="12" hidden="1" thickBot="1" x14ac:dyDescent="0.25">
      <c r="A1791" s="567">
        <v>633000</v>
      </c>
      <c r="B1791" s="644" t="s">
        <v>1651</v>
      </c>
      <c r="C1791" s="645" t="s">
        <v>206</v>
      </c>
      <c r="D1791" s="416" t="s">
        <v>623</v>
      </c>
      <c r="E1791" s="417"/>
      <c r="F1791" s="418"/>
      <c r="G1791" s="419"/>
      <c r="H1791" s="646">
        <f t="shared" si="433"/>
        <v>0</v>
      </c>
      <c r="I1791" s="420">
        <v>76.88</v>
      </c>
      <c r="J1791" s="420">
        <f>IF(ISBLANK(I1791),"",SUM(H1791:I1791))</f>
        <v>76.88</v>
      </c>
      <c r="K1791" s="421">
        <f t="shared" si="434"/>
        <v>91.34</v>
      </c>
      <c r="L1791" s="647" t="s">
        <v>19</v>
      </c>
      <c r="M1791" s="576"/>
      <c r="N1791" s="576">
        <f t="shared" si="429"/>
        <v>0</v>
      </c>
      <c r="O1791" s="577">
        <f t="shared" si="438"/>
        <v>0</v>
      </c>
      <c r="P1791" s="578">
        <f t="shared" si="439"/>
        <v>0</v>
      </c>
      <c r="Q1791" s="765"/>
      <c r="R1791" s="576">
        <f t="shared" si="432"/>
        <v>0</v>
      </c>
      <c r="S1791" s="576">
        <f t="shared" si="432"/>
        <v>0</v>
      </c>
      <c r="T1791" s="577">
        <f t="shared" si="435"/>
        <v>0</v>
      </c>
      <c r="U1791" s="578">
        <f t="shared" si="436"/>
        <v>0</v>
      </c>
      <c r="V1791" s="579"/>
      <c r="W1791" s="566"/>
      <c r="X1791" s="586" t="str">
        <f t="shared" si="422"/>
        <v/>
      </c>
      <c r="Y1791" s="586" t="str">
        <f t="shared" si="431"/>
        <v/>
      </c>
      <c r="Z1791" s="586" t="str">
        <f t="shared" si="427"/>
        <v/>
      </c>
    </row>
    <row r="1792" spans="1:26" ht="12" hidden="1" thickBot="1" x14ac:dyDescent="0.25">
      <c r="A1792" s="567">
        <v>633100</v>
      </c>
      <c r="B1792" s="644" t="s">
        <v>1654</v>
      </c>
      <c r="C1792" s="645" t="s">
        <v>206</v>
      </c>
      <c r="D1792" s="416" t="s">
        <v>624</v>
      </c>
      <c r="E1792" s="417"/>
      <c r="F1792" s="418"/>
      <c r="G1792" s="419"/>
      <c r="H1792" s="646">
        <f t="shared" si="433"/>
        <v>0</v>
      </c>
      <c r="I1792" s="420">
        <v>153.77000000000001</v>
      </c>
      <c r="J1792" s="420">
        <f>IF(ISBLANK(I1792),"",SUM(H1792:I1792))</f>
        <v>153.77000000000001</v>
      </c>
      <c r="K1792" s="421">
        <f t="shared" si="434"/>
        <v>182.69</v>
      </c>
      <c r="L1792" s="647" t="s">
        <v>19</v>
      </c>
      <c r="M1792" s="576"/>
      <c r="N1792" s="576">
        <f t="shared" si="429"/>
        <v>0</v>
      </c>
      <c r="O1792" s="577">
        <f t="shared" si="438"/>
        <v>0</v>
      </c>
      <c r="P1792" s="578">
        <f t="shared" si="439"/>
        <v>0</v>
      </c>
      <c r="Q1792" s="765"/>
      <c r="R1792" s="576">
        <f t="shared" si="432"/>
        <v>0</v>
      </c>
      <c r="S1792" s="576">
        <f t="shared" si="432"/>
        <v>0</v>
      </c>
      <c r="T1792" s="577">
        <f t="shared" si="435"/>
        <v>0</v>
      </c>
      <c r="U1792" s="578">
        <f t="shared" si="436"/>
        <v>0</v>
      </c>
      <c r="V1792" s="579"/>
      <c r="W1792" s="566"/>
      <c r="X1792" s="586" t="str">
        <f t="shared" si="422"/>
        <v/>
      </c>
      <c r="Y1792" s="586" t="str">
        <f t="shared" si="431"/>
        <v/>
      </c>
      <c r="Z1792" s="586" t="str">
        <f t="shared" si="427"/>
        <v/>
      </c>
    </row>
    <row r="1793" spans="1:26" ht="12" hidden="1" thickBot="1" x14ac:dyDescent="0.25">
      <c r="A1793" s="567">
        <v>633200</v>
      </c>
      <c r="B1793" s="644" t="s">
        <v>1655</v>
      </c>
      <c r="C1793" s="645" t="s">
        <v>206</v>
      </c>
      <c r="D1793" s="416" t="s">
        <v>625</v>
      </c>
      <c r="E1793" s="417"/>
      <c r="F1793" s="418"/>
      <c r="G1793" s="419"/>
      <c r="H1793" s="646">
        <f t="shared" si="433"/>
        <v>0</v>
      </c>
      <c r="I1793" s="420">
        <v>230.65</v>
      </c>
      <c r="J1793" s="420">
        <f>IF(ISBLANK(I1793),"",SUM(H1793:I1793))</f>
        <v>230.65</v>
      </c>
      <c r="K1793" s="421">
        <f t="shared" si="434"/>
        <v>274.04000000000002</v>
      </c>
      <c r="L1793" s="647" t="s">
        <v>19</v>
      </c>
      <c r="M1793" s="576"/>
      <c r="N1793" s="576">
        <f t="shared" si="429"/>
        <v>0</v>
      </c>
      <c r="O1793" s="577">
        <f t="shared" si="438"/>
        <v>0</v>
      </c>
      <c r="P1793" s="578">
        <f t="shared" si="439"/>
        <v>0</v>
      </c>
      <c r="Q1793" s="765"/>
      <c r="R1793" s="576">
        <f t="shared" si="432"/>
        <v>0</v>
      </c>
      <c r="S1793" s="576">
        <f t="shared" si="432"/>
        <v>0</v>
      </c>
      <c r="T1793" s="577">
        <f t="shared" si="435"/>
        <v>0</v>
      </c>
      <c r="U1793" s="578">
        <f t="shared" si="436"/>
        <v>0</v>
      </c>
      <c r="V1793" s="579"/>
      <c r="W1793" s="566"/>
      <c r="X1793" s="586" t="str">
        <f t="shared" ref="X1793:X1873" si="440">IF(W1793="X","x",IF(W1793="xx","x",IF(W1793="xy","x",IF(W1793="y","x",IF(OR(P1793&gt;0,U1793&gt;0),"x","")))))</f>
        <v/>
      </c>
      <c r="Y1793" s="586" t="str">
        <f t="shared" si="431"/>
        <v/>
      </c>
      <c r="Z1793" s="586" t="str">
        <f t="shared" si="427"/>
        <v/>
      </c>
    </row>
    <row r="1794" spans="1:26" ht="12" hidden="1" thickBot="1" x14ac:dyDescent="0.25">
      <c r="A1794" s="567">
        <v>630300</v>
      </c>
      <c r="B1794" s="644">
        <v>630300</v>
      </c>
      <c r="C1794" s="645" t="s">
        <v>206</v>
      </c>
      <c r="D1794" s="422" t="s">
        <v>326</v>
      </c>
      <c r="E1794" s="423"/>
      <c r="F1794" s="424"/>
      <c r="G1794" s="425"/>
      <c r="H1794" s="646">
        <f t="shared" si="433"/>
        <v>0</v>
      </c>
      <c r="I1794" s="420">
        <v>16.32</v>
      </c>
      <c r="J1794" s="420">
        <f t="shared" si="437"/>
        <v>16.32</v>
      </c>
      <c r="K1794" s="421">
        <f t="shared" si="434"/>
        <v>19.39</v>
      </c>
      <c r="L1794" s="647" t="s">
        <v>19</v>
      </c>
      <c r="M1794" s="576"/>
      <c r="N1794" s="576">
        <f t="shared" si="429"/>
        <v>0</v>
      </c>
      <c r="O1794" s="577">
        <f t="shared" si="438"/>
        <v>0</v>
      </c>
      <c r="P1794" s="578">
        <f t="shared" si="439"/>
        <v>0</v>
      </c>
      <c r="Q1794" s="765"/>
      <c r="R1794" s="576">
        <f t="shared" si="432"/>
        <v>0</v>
      </c>
      <c r="S1794" s="576">
        <f t="shared" si="432"/>
        <v>0</v>
      </c>
      <c r="T1794" s="577">
        <f t="shared" si="435"/>
        <v>0</v>
      </c>
      <c r="U1794" s="578">
        <f t="shared" si="436"/>
        <v>0</v>
      </c>
      <c r="V1794" s="579"/>
      <c r="W1794" s="566"/>
      <c r="X1794" s="586" t="str">
        <f t="shared" si="440"/>
        <v/>
      </c>
      <c r="Y1794" s="586" t="str">
        <f t="shared" si="431"/>
        <v/>
      </c>
      <c r="Z1794" s="586" t="str">
        <f t="shared" si="427"/>
        <v/>
      </c>
    </row>
    <row r="1795" spans="1:26" ht="12" hidden="1" thickBot="1" x14ac:dyDescent="0.25">
      <c r="A1795" s="567">
        <v>630400</v>
      </c>
      <c r="B1795" s="644">
        <v>630400</v>
      </c>
      <c r="C1795" s="645" t="s">
        <v>206</v>
      </c>
      <c r="D1795" s="451" t="s">
        <v>327</v>
      </c>
      <c r="E1795" s="423"/>
      <c r="F1795" s="424"/>
      <c r="G1795" s="425"/>
      <c r="H1795" s="646">
        <f t="shared" si="433"/>
        <v>0</v>
      </c>
      <c r="I1795" s="420">
        <v>20.399999999999999</v>
      </c>
      <c r="J1795" s="420">
        <f t="shared" si="437"/>
        <v>20.399999999999999</v>
      </c>
      <c r="K1795" s="421">
        <f t="shared" si="434"/>
        <v>24.24</v>
      </c>
      <c r="L1795" s="647" t="s">
        <v>19</v>
      </c>
      <c r="M1795" s="576"/>
      <c r="N1795" s="576">
        <f t="shared" si="429"/>
        <v>0</v>
      </c>
      <c r="O1795" s="577">
        <f t="shared" si="438"/>
        <v>0</v>
      </c>
      <c r="P1795" s="578">
        <f t="shared" si="439"/>
        <v>0</v>
      </c>
      <c r="Q1795" s="765"/>
      <c r="R1795" s="576">
        <f t="shared" si="432"/>
        <v>0</v>
      </c>
      <c r="S1795" s="576">
        <f t="shared" si="432"/>
        <v>0</v>
      </c>
      <c r="T1795" s="577">
        <f t="shared" si="435"/>
        <v>0</v>
      </c>
      <c r="U1795" s="578">
        <f t="shared" si="436"/>
        <v>0</v>
      </c>
      <c r="V1795" s="579"/>
      <c r="W1795" s="566"/>
      <c r="X1795" s="586" t="str">
        <f t="shared" si="440"/>
        <v/>
      </c>
      <c r="Y1795" s="586" t="str">
        <f t="shared" si="431"/>
        <v/>
      </c>
      <c r="Z1795" s="586" t="str">
        <f t="shared" si="427"/>
        <v/>
      </c>
    </row>
    <row r="1796" spans="1:26" ht="12" hidden="1" thickBot="1" x14ac:dyDescent="0.25">
      <c r="A1796" s="567">
        <v>630500</v>
      </c>
      <c r="B1796" s="644">
        <v>630500</v>
      </c>
      <c r="C1796" s="645" t="s">
        <v>206</v>
      </c>
      <c r="D1796" s="451" t="s">
        <v>328</v>
      </c>
      <c r="E1796" s="423"/>
      <c r="F1796" s="424"/>
      <c r="G1796" s="425"/>
      <c r="H1796" s="651">
        <f t="shared" si="433"/>
        <v>0</v>
      </c>
      <c r="I1796" s="420">
        <v>22.26</v>
      </c>
      <c r="J1796" s="420">
        <f t="shared" si="437"/>
        <v>22.26</v>
      </c>
      <c r="K1796" s="421">
        <f t="shared" si="434"/>
        <v>26.45</v>
      </c>
      <c r="L1796" s="647" t="s">
        <v>19</v>
      </c>
      <c r="M1796" s="576"/>
      <c r="N1796" s="576">
        <f t="shared" si="429"/>
        <v>0</v>
      </c>
      <c r="O1796" s="577">
        <f t="shared" si="438"/>
        <v>0</v>
      </c>
      <c r="P1796" s="578">
        <f t="shared" si="439"/>
        <v>0</v>
      </c>
      <c r="Q1796" s="765"/>
      <c r="R1796" s="576">
        <f t="shared" si="432"/>
        <v>0</v>
      </c>
      <c r="S1796" s="576">
        <f t="shared" si="432"/>
        <v>0</v>
      </c>
      <c r="T1796" s="577">
        <f t="shared" si="435"/>
        <v>0</v>
      </c>
      <c r="U1796" s="578">
        <f t="shared" si="436"/>
        <v>0</v>
      </c>
      <c r="V1796" s="579"/>
      <c r="W1796" s="566"/>
      <c r="X1796" s="586" t="str">
        <f t="shared" si="440"/>
        <v/>
      </c>
      <c r="Y1796" s="586" t="str">
        <f t="shared" si="431"/>
        <v/>
      </c>
      <c r="Z1796" s="586" t="str">
        <f t="shared" si="427"/>
        <v/>
      </c>
    </row>
    <row r="1797" spans="1:26" ht="12" hidden="1" thickBot="1" x14ac:dyDescent="0.25">
      <c r="A1797" s="567">
        <v>630600</v>
      </c>
      <c r="B1797" s="644">
        <v>630600</v>
      </c>
      <c r="C1797" s="645" t="s">
        <v>206</v>
      </c>
      <c r="D1797" s="451" t="s">
        <v>329</v>
      </c>
      <c r="E1797" s="423"/>
      <c r="F1797" s="424"/>
      <c r="G1797" s="425"/>
      <c r="H1797" s="651">
        <f t="shared" si="433"/>
        <v>0</v>
      </c>
      <c r="I1797" s="420">
        <v>24.48</v>
      </c>
      <c r="J1797" s="420">
        <f t="shared" si="437"/>
        <v>24.48</v>
      </c>
      <c r="K1797" s="421">
        <f t="shared" si="434"/>
        <v>29.08</v>
      </c>
      <c r="L1797" s="647" t="s">
        <v>19</v>
      </c>
      <c r="M1797" s="576"/>
      <c r="N1797" s="576">
        <f t="shared" si="429"/>
        <v>0</v>
      </c>
      <c r="O1797" s="577">
        <f t="shared" si="438"/>
        <v>0</v>
      </c>
      <c r="P1797" s="578">
        <f t="shared" si="439"/>
        <v>0</v>
      </c>
      <c r="Q1797" s="765"/>
      <c r="R1797" s="576">
        <f t="shared" si="432"/>
        <v>0</v>
      </c>
      <c r="S1797" s="576">
        <f t="shared" si="432"/>
        <v>0</v>
      </c>
      <c r="T1797" s="577">
        <f t="shared" si="435"/>
        <v>0</v>
      </c>
      <c r="U1797" s="578">
        <f t="shared" si="436"/>
        <v>0</v>
      </c>
      <c r="V1797" s="579"/>
      <c r="W1797" s="566"/>
      <c r="X1797" s="586" t="str">
        <f t="shared" si="440"/>
        <v/>
      </c>
      <c r="Y1797" s="586" t="str">
        <f t="shared" si="431"/>
        <v/>
      </c>
      <c r="Z1797" s="586" t="str">
        <f t="shared" si="427"/>
        <v/>
      </c>
    </row>
    <row r="1798" spans="1:26" ht="12" hidden="1" thickBot="1" x14ac:dyDescent="0.25">
      <c r="A1798" s="567">
        <v>630800</v>
      </c>
      <c r="B1798" s="644">
        <v>630800</v>
      </c>
      <c r="C1798" s="645" t="s">
        <v>206</v>
      </c>
      <c r="D1798" s="422" t="s">
        <v>330</v>
      </c>
      <c r="E1798" s="423"/>
      <c r="F1798" s="424"/>
      <c r="G1798" s="425"/>
      <c r="H1798" s="651">
        <f t="shared" si="433"/>
        <v>0</v>
      </c>
      <c r="I1798" s="420">
        <v>48.97</v>
      </c>
      <c r="J1798" s="420">
        <f t="shared" si="437"/>
        <v>48.97</v>
      </c>
      <c r="K1798" s="421">
        <f t="shared" si="434"/>
        <v>58.18</v>
      </c>
      <c r="L1798" s="647" t="s">
        <v>19</v>
      </c>
      <c r="M1798" s="576"/>
      <c r="N1798" s="576">
        <f t="shared" si="429"/>
        <v>0</v>
      </c>
      <c r="O1798" s="577">
        <f t="shared" si="438"/>
        <v>0</v>
      </c>
      <c r="P1798" s="578">
        <f t="shared" si="439"/>
        <v>0</v>
      </c>
      <c r="Q1798" s="765"/>
      <c r="R1798" s="576">
        <f t="shared" si="432"/>
        <v>0</v>
      </c>
      <c r="S1798" s="576">
        <f t="shared" si="432"/>
        <v>0</v>
      </c>
      <c r="T1798" s="577">
        <f t="shared" si="435"/>
        <v>0</v>
      </c>
      <c r="U1798" s="578">
        <f t="shared" si="436"/>
        <v>0</v>
      </c>
      <c r="V1798" s="579"/>
      <c r="W1798" s="566"/>
      <c r="X1798" s="586" t="str">
        <f t="shared" si="440"/>
        <v/>
      </c>
      <c r="Y1798" s="586" t="str">
        <f t="shared" si="431"/>
        <v/>
      </c>
      <c r="Z1798" s="586" t="str">
        <f t="shared" si="427"/>
        <v/>
      </c>
    </row>
    <row r="1799" spans="1:26" ht="12" hidden="1" thickBot="1" x14ac:dyDescent="0.25">
      <c r="A1799" s="567">
        <v>631000</v>
      </c>
      <c r="B1799" s="644">
        <v>631000</v>
      </c>
      <c r="C1799" s="645" t="s">
        <v>206</v>
      </c>
      <c r="D1799" s="422" t="s">
        <v>331</v>
      </c>
      <c r="E1799" s="423"/>
      <c r="F1799" s="424"/>
      <c r="G1799" s="425"/>
      <c r="H1799" s="651">
        <f t="shared" si="433"/>
        <v>0</v>
      </c>
      <c r="I1799" s="420">
        <v>47.43</v>
      </c>
      <c r="J1799" s="420">
        <f t="shared" si="437"/>
        <v>47.43</v>
      </c>
      <c r="K1799" s="421">
        <f t="shared" si="434"/>
        <v>56.35</v>
      </c>
      <c r="L1799" s="647" t="s">
        <v>19</v>
      </c>
      <c r="M1799" s="576"/>
      <c r="N1799" s="576">
        <f t="shared" si="429"/>
        <v>0</v>
      </c>
      <c r="O1799" s="577">
        <f t="shared" si="438"/>
        <v>0</v>
      </c>
      <c r="P1799" s="578">
        <f t="shared" si="439"/>
        <v>0</v>
      </c>
      <c r="Q1799" s="765"/>
      <c r="R1799" s="576">
        <f t="shared" si="432"/>
        <v>0</v>
      </c>
      <c r="S1799" s="576">
        <f t="shared" si="432"/>
        <v>0</v>
      </c>
      <c r="T1799" s="577">
        <f t="shared" si="435"/>
        <v>0</v>
      </c>
      <c r="U1799" s="578">
        <f t="shared" si="436"/>
        <v>0</v>
      </c>
      <c r="V1799" s="579"/>
      <c r="W1799" s="566"/>
      <c r="X1799" s="586" t="str">
        <f t="shared" si="440"/>
        <v/>
      </c>
      <c r="Y1799" s="586" t="str">
        <f t="shared" si="431"/>
        <v/>
      </c>
      <c r="Z1799" s="586" t="str">
        <f t="shared" si="427"/>
        <v/>
      </c>
    </row>
    <row r="1800" spans="1:26" ht="12" hidden="1" thickBot="1" x14ac:dyDescent="0.25">
      <c r="A1800" s="567">
        <v>631200</v>
      </c>
      <c r="B1800" s="644">
        <v>631200</v>
      </c>
      <c r="C1800" s="645" t="s">
        <v>206</v>
      </c>
      <c r="D1800" s="422" t="s">
        <v>332</v>
      </c>
      <c r="E1800" s="423"/>
      <c r="F1800" s="424"/>
      <c r="G1800" s="425"/>
      <c r="H1800" s="651">
        <f t="shared" si="433"/>
        <v>0</v>
      </c>
      <c r="I1800" s="420">
        <v>56.92</v>
      </c>
      <c r="J1800" s="420">
        <f t="shared" si="437"/>
        <v>56.92</v>
      </c>
      <c r="K1800" s="421">
        <f t="shared" si="434"/>
        <v>67.63</v>
      </c>
      <c r="L1800" s="647" t="s">
        <v>19</v>
      </c>
      <c r="M1800" s="576"/>
      <c r="N1800" s="576">
        <f t="shared" si="429"/>
        <v>0</v>
      </c>
      <c r="O1800" s="577">
        <f t="shared" si="438"/>
        <v>0</v>
      </c>
      <c r="P1800" s="578">
        <f t="shared" si="439"/>
        <v>0</v>
      </c>
      <c r="Q1800" s="765"/>
      <c r="R1800" s="576">
        <f t="shared" si="432"/>
        <v>0</v>
      </c>
      <c r="S1800" s="576">
        <f t="shared" si="432"/>
        <v>0</v>
      </c>
      <c r="T1800" s="577">
        <f t="shared" si="435"/>
        <v>0</v>
      </c>
      <c r="U1800" s="578">
        <f t="shared" si="436"/>
        <v>0</v>
      </c>
      <c r="V1800" s="579"/>
      <c r="W1800" s="566"/>
      <c r="X1800" s="586" t="str">
        <f t="shared" si="440"/>
        <v/>
      </c>
      <c r="Y1800" s="586" t="str">
        <f t="shared" si="431"/>
        <v/>
      </c>
      <c r="Z1800" s="586" t="str">
        <f t="shared" si="427"/>
        <v/>
      </c>
    </row>
    <row r="1801" spans="1:26" ht="12" hidden="1" thickBot="1" x14ac:dyDescent="0.25">
      <c r="A1801" s="567">
        <v>631500</v>
      </c>
      <c r="B1801" s="644">
        <v>631500</v>
      </c>
      <c r="C1801" s="645" t="s">
        <v>206</v>
      </c>
      <c r="D1801" s="422" t="s">
        <v>333</v>
      </c>
      <c r="E1801" s="423"/>
      <c r="F1801" s="424"/>
      <c r="G1801" s="425"/>
      <c r="H1801" s="651">
        <f t="shared" si="433"/>
        <v>0</v>
      </c>
      <c r="I1801" s="420">
        <v>71.150000000000006</v>
      </c>
      <c r="J1801" s="420">
        <f t="shared" si="437"/>
        <v>71.150000000000006</v>
      </c>
      <c r="K1801" s="421">
        <f t="shared" si="434"/>
        <v>84.53</v>
      </c>
      <c r="L1801" s="647" t="s">
        <v>19</v>
      </c>
      <c r="M1801" s="576"/>
      <c r="N1801" s="576">
        <f t="shared" si="429"/>
        <v>0</v>
      </c>
      <c r="O1801" s="577">
        <f t="shared" si="438"/>
        <v>0</v>
      </c>
      <c r="P1801" s="578">
        <f t="shared" si="439"/>
        <v>0</v>
      </c>
      <c r="Q1801" s="765"/>
      <c r="R1801" s="576">
        <f t="shared" si="432"/>
        <v>0</v>
      </c>
      <c r="S1801" s="576">
        <f t="shared" si="432"/>
        <v>0</v>
      </c>
      <c r="T1801" s="577">
        <f t="shared" si="435"/>
        <v>0</v>
      </c>
      <c r="U1801" s="578">
        <f t="shared" si="436"/>
        <v>0</v>
      </c>
      <c r="V1801" s="579"/>
      <c r="W1801" s="566"/>
      <c r="X1801" s="586" t="str">
        <f t="shared" si="440"/>
        <v/>
      </c>
      <c r="Y1801" s="586" t="str">
        <f t="shared" si="431"/>
        <v/>
      </c>
      <c r="Z1801" s="586" t="str">
        <f t="shared" si="427"/>
        <v/>
      </c>
    </row>
    <row r="1802" spans="1:26" ht="12" hidden="1" thickBot="1" x14ac:dyDescent="0.25">
      <c r="A1802" s="567">
        <v>860200</v>
      </c>
      <c r="B1802" s="644">
        <v>860200</v>
      </c>
      <c r="C1802" s="645" t="s">
        <v>206</v>
      </c>
      <c r="D1802" s="422" t="s">
        <v>1502</v>
      </c>
      <c r="E1802" s="423"/>
      <c r="F1802" s="424"/>
      <c r="G1802" s="425"/>
      <c r="H1802" s="651">
        <f>SUM(H1803:H1804)</f>
        <v>23.508294000000003</v>
      </c>
      <c r="I1802" s="420">
        <v>744.48</v>
      </c>
      <c r="J1802" s="420">
        <f>IF(ISBLANK(I1802),"",SUM(H1802:I1802))</f>
        <v>767.988294</v>
      </c>
      <c r="K1802" s="421">
        <f t="shared" si="434"/>
        <v>912.45</v>
      </c>
      <c r="L1802" s="647" t="s">
        <v>16</v>
      </c>
      <c r="M1802" s="576"/>
      <c r="N1802" s="576">
        <f t="shared" si="429"/>
        <v>0</v>
      </c>
      <c r="O1802" s="577">
        <f t="shared" si="438"/>
        <v>0</v>
      </c>
      <c r="P1802" s="578">
        <f t="shared" si="439"/>
        <v>0</v>
      </c>
      <c r="Q1802" s="765"/>
      <c r="R1802" s="576">
        <f t="shared" si="432"/>
        <v>0</v>
      </c>
      <c r="S1802" s="576">
        <f t="shared" si="432"/>
        <v>0</v>
      </c>
      <c r="T1802" s="577">
        <f t="shared" si="435"/>
        <v>0</v>
      </c>
      <c r="U1802" s="578">
        <f t="shared" si="436"/>
        <v>0</v>
      </c>
      <c r="V1802" s="579"/>
      <c r="W1802" s="566"/>
      <c r="X1802" s="586" t="str">
        <f t="shared" si="440"/>
        <v/>
      </c>
      <c r="Y1802" s="586" t="str">
        <f t="shared" si="431"/>
        <v/>
      </c>
      <c r="Z1802" s="586" t="str">
        <f t="shared" si="427"/>
        <v/>
      </c>
    </row>
    <row r="1803" spans="1:26" ht="12" hidden="1" thickBot="1" x14ac:dyDescent="0.25">
      <c r="A1803" s="567" t="s">
        <v>168</v>
      </c>
      <c r="B1803" s="644" t="s">
        <v>168</v>
      </c>
      <c r="C1803" s="645"/>
      <c r="D1803" s="451" t="s">
        <v>1503</v>
      </c>
      <c r="E1803" s="423"/>
      <c r="F1803" s="424">
        <v>10</v>
      </c>
      <c r="G1803" s="425">
        <v>1.7250000000000001</v>
      </c>
      <c r="H1803" s="663">
        <f t="shared" ref="H1803:H1822" si="441">IF(F1803&lt;=30,(1.07*F1803+2.68)*G1803,((1.07*30+2.68)+1.07*(F1803-30))*G1803)</f>
        <v>23.080500000000004</v>
      </c>
      <c r="I1803" s="420"/>
      <c r="J1803" s="420"/>
      <c r="K1803" s="421">
        <f t="shared" si="434"/>
        <v>0</v>
      </c>
      <c r="L1803" s="668" t="s">
        <v>614</v>
      </c>
      <c r="M1803" s="669"/>
      <c r="N1803" s="576">
        <f t="shared" si="429"/>
        <v>0</v>
      </c>
      <c r="O1803" s="577">
        <f t="shared" si="438"/>
        <v>0</v>
      </c>
      <c r="P1803" s="578">
        <f t="shared" si="439"/>
        <v>0</v>
      </c>
      <c r="Q1803" s="765"/>
      <c r="R1803" s="669"/>
      <c r="S1803" s="670"/>
      <c r="T1803" s="577">
        <f t="shared" si="435"/>
        <v>0</v>
      </c>
      <c r="U1803" s="578">
        <f t="shared" si="436"/>
        <v>0</v>
      </c>
      <c r="V1803" s="579"/>
      <c r="W1803" s="637" t="str">
        <f>IF(U1802&gt;0,"xx",IF(P1802&gt;0,"xy",""))</f>
        <v/>
      </c>
      <c r="X1803" s="586" t="str">
        <f t="shared" si="440"/>
        <v/>
      </c>
      <c r="Y1803" s="586" t="str">
        <f t="shared" si="431"/>
        <v/>
      </c>
      <c r="Z1803" s="586" t="str">
        <f t="shared" si="427"/>
        <v/>
      </c>
    </row>
    <row r="1804" spans="1:26" ht="12" hidden="1" thickBot="1" x14ac:dyDescent="0.25">
      <c r="A1804" s="567" t="s">
        <v>168</v>
      </c>
      <c r="B1804" s="644" t="s">
        <v>168</v>
      </c>
      <c r="C1804" s="645"/>
      <c r="D1804" s="451" t="s">
        <v>334</v>
      </c>
      <c r="E1804" s="423"/>
      <c r="F1804" s="424">
        <v>30</v>
      </c>
      <c r="G1804" s="425">
        <v>1.23E-2</v>
      </c>
      <c r="H1804" s="663">
        <f t="shared" si="441"/>
        <v>0.42779400000000001</v>
      </c>
      <c r="I1804" s="420"/>
      <c r="J1804" s="420"/>
      <c r="K1804" s="421">
        <f t="shared" si="434"/>
        <v>0</v>
      </c>
      <c r="L1804" s="668" t="s">
        <v>614</v>
      </c>
      <c r="M1804" s="669"/>
      <c r="N1804" s="576">
        <f t="shared" si="429"/>
        <v>0</v>
      </c>
      <c r="O1804" s="577">
        <f t="shared" si="438"/>
        <v>0</v>
      </c>
      <c r="P1804" s="578">
        <f t="shared" si="439"/>
        <v>0</v>
      </c>
      <c r="Q1804" s="765"/>
      <c r="R1804" s="669"/>
      <c r="S1804" s="670"/>
      <c r="T1804" s="577">
        <f t="shared" si="435"/>
        <v>0</v>
      </c>
      <c r="U1804" s="578">
        <f t="shared" si="436"/>
        <v>0</v>
      </c>
      <c r="V1804" s="579"/>
      <c r="W1804" s="637" t="str">
        <f>IF(U1802&gt;0,"xx",IF(P1802&gt;0,"xy",""))</f>
        <v/>
      </c>
      <c r="X1804" s="586" t="str">
        <f t="shared" si="440"/>
        <v/>
      </c>
      <c r="Y1804" s="586" t="str">
        <f t="shared" si="431"/>
        <v/>
      </c>
      <c r="Z1804" s="586" t="str">
        <f t="shared" si="427"/>
        <v/>
      </c>
    </row>
    <row r="1805" spans="1:26" ht="12" hidden="1" thickBot="1" x14ac:dyDescent="0.25">
      <c r="A1805" s="567">
        <v>860100</v>
      </c>
      <c r="B1805" s="644">
        <v>860100</v>
      </c>
      <c r="C1805" s="645" t="s">
        <v>206</v>
      </c>
      <c r="D1805" s="422" t="s">
        <v>1504</v>
      </c>
      <c r="E1805" s="423"/>
      <c r="F1805" s="424"/>
      <c r="G1805" s="425"/>
      <c r="H1805" s="651">
        <f>SUM(H1806:H1807)</f>
        <v>23.529162000000003</v>
      </c>
      <c r="I1805" s="420">
        <v>700.8900000000001</v>
      </c>
      <c r="J1805" s="420">
        <f>IF(ISBLANK(I1805),"",SUM(H1805:I1805))</f>
        <v>724.41916200000014</v>
      </c>
      <c r="K1805" s="421">
        <f t="shared" si="434"/>
        <v>860.68</v>
      </c>
      <c r="L1805" s="647" t="s">
        <v>16</v>
      </c>
      <c r="M1805" s="576"/>
      <c r="N1805" s="576">
        <f t="shared" si="429"/>
        <v>0</v>
      </c>
      <c r="O1805" s="577">
        <f t="shared" si="438"/>
        <v>0</v>
      </c>
      <c r="P1805" s="578">
        <f t="shared" si="439"/>
        <v>0</v>
      </c>
      <c r="Q1805" s="765"/>
      <c r="R1805" s="576">
        <f t="shared" si="432"/>
        <v>0</v>
      </c>
      <c r="S1805" s="576">
        <f>N1805</f>
        <v>0</v>
      </c>
      <c r="T1805" s="577">
        <f t="shared" si="435"/>
        <v>0</v>
      </c>
      <c r="U1805" s="578">
        <f t="shared" si="436"/>
        <v>0</v>
      </c>
      <c r="V1805" s="579"/>
      <c r="W1805" s="566"/>
      <c r="X1805" s="586" t="str">
        <f t="shared" si="440"/>
        <v/>
      </c>
      <c r="Y1805" s="586" t="str">
        <f t="shared" si="431"/>
        <v/>
      </c>
      <c r="Z1805" s="586" t="str">
        <f t="shared" si="427"/>
        <v/>
      </c>
    </row>
    <row r="1806" spans="1:26" ht="12" hidden="1" thickBot="1" x14ac:dyDescent="0.25">
      <c r="A1806" s="567" t="s">
        <v>168</v>
      </c>
      <c r="B1806" s="644" t="s">
        <v>168</v>
      </c>
      <c r="C1806" s="645"/>
      <c r="D1806" s="451" t="s">
        <v>1503</v>
      </c>
      <c r="E1806" s="423"/>
      <c r="F1806" s="424">
        <v>10</v>
      </c>
      <c r="G1806" s="425">
        <v>1.7250000000000001</v>
      </c>
      <c r="H1806" s="663">
        <f t="shared" si="441"/>
        <v>23.080500000000004</v>
      </c>
      <c r="I1806" s="420"/>
      <c r="J1806" s="420"/>
      <c r="K1806" s="421">
        <f t="shared" si="434"/>
        <v>0</v>
      </c>
      <c r="L1806" s="668" t="s">
        <v>614</v>
      </c>
      <c r="M1806" s="669"/>
      <c r="N1806" s="576">
        <f t="shared" si="429"/>
        <v>0</v>
      </c>
      <c r="O1806" s="577">
        <f t="shared" si="438"/>
        <v>0</v>
      </c>
      <c r="P1806" s="578">
        <f t="shared" si="439"/>
        <v>0</v>
      </c>
      <c r="Q1806" s="765"/>
      <c r="R1806" s="669"/>
      <c r="S1806" s="670"/>
      <c r="T1806" s="577">
        <f t="shared" si="435"/>
        <v>0</v>
      </c>
      <c r="U1806" s="578">
        <f t="shared" si="436"/>
        <v>0</v>
      </c>
      <c r="V1806" s="579"/>
      <c r="W1806" s="637" t="str">
        <f>IF(U1805&gt;0,"xx",IF(P1805&gt;0,"xy",""))</f>
        <v/>
      </c>
      <c r="X1806" s="586" t="str">
        <f t="shared" si="440"/>
        <v/>
      </c>
      <c r="Y1806" s="586" t="str">
        <f t="shared" si="431"/>
        <v/>
      </c>
      <c r="Z1806" s="586" t="str">
        <f t="shared" si="427"/>
        <v/>
      </c>
    </row>
    <row r="1807" spans="1:26" ht="12" hidden="1" thickBot="1" x14ac:dyDescent="0.25">
      <c r="A1807" s="567" t="s">
        <v>168</v>
      </c>
      <c r="B1807" s="644" t="s">
        <v>168</v>
      </c>
      <c r="C1807" s="645"/>
      <c r="D1807" s="451" t="s">
        <v>334</v>
      </c>
      <c r="E1807" s="423"/>
      <c r="F1807" s="424">
        <v>30</v>
      </c>
      <c r="G1807" s="425">
        <v>1.29E-2</v>
      </c>
      <c r="H1807" s="663">
        <f t="shared" si="441"/>
        <v>0.44866200000000001</v>
      </c>
      <c r="I1807" s="420"/>
      <c r="J1807" s="420"/>
      <c r="K1807" s="421">
        <f t="shared" si="434"/>
        <v>0</v>
      </c>
      <c r="L1807" s="668" t="s">
        <v>614</v>
      </c>
      <c r="M1807" s="669"/>
      <c r="N1807" s="576">
        <f t="shared" si="429"/>
        <v>0</v>
      </c>
      <c r="O1807" s="577">
        <f t="shared" si="438"/>
        <v>0</v>
      </c>
      <c r="P1807" s="578">
        <f t="shared" si="439"/>
        <v>0</v>
      </c>
      <c r="Q1807" s="765"/>
      <c r="R1807" s="669"/>
      <c r="S1807" s="670"/>
      <c r="T1807" s="577">
        <f t="shared" si="435"/>
        <v>0</v>
      </c>
      <c r="U1807" s="578">
        <f t="shared" si="436"/>
        <v>0</v>
      </c>
      <c r="V1807" s="579"/>
      <c r="W1807" s="637" t="str">
        <f>IF(U1805&gt;0,"xx",IF(P1805&gt;0,"xy",""))</f>
        <v/>
      </c>
      <c r="X1807" s="586" t="str">
        <f t="shared" si="440"/>
        <v/>
      </c>
      <c r="Y1807" s="586" t="str">
        <f t="shared" si="431"/>
        <v/>
      </c>
      <c r="Z1807" s="586" t="str">
        <f t="shared" si="427"/>
        <v/>
      </c>
    </row>
    <row r="1808" spans="1:26" ht="12" hidden="1" thickBot="1" x14ac:dyDescent="0.25">
      <c r="A1808" s="567">
        <v>860150</v>
      </c>
      <c r="B1808" s="644">
        <v>860150</v>
      </c>
      <c r="C1808" s="645" t="s">
        <v>206</v>
      </c>
      <c r="D1808" s="422" t="s">
        <v>1505</v>
      </c>
      <c r="E1808" s="423"/>
      <c r="F1808" s="424"/>
      <c r="G1808" s="425"/>
      <c r="H1808" s="651">
        <f>SUM(H1809:H1810)</f>
        <v>23.376130000000003</v>
      </c>
      <c r="I1808" s="420">
        <v>669.31</v>
      </c>
      <c r="J1808" s="420">
        <f>IF(ISBLANK(I1808),"",SUM(H1808:I1808))</f>
        <v>692.68612999999993</v>
      </c>
      <c r="K1808" s="421">
        <f t="shared" si="434"/>
        <v>822.98</v>
      </c>
      <c r="L1808" s="647" t="s">
        <v>16</v>
      </c>
      <c r="M1808" s="576"/>
      <c r="N1808" s="576">
        <f t="shared" si="429"/>
        <v>0</v>
      </c>
      <c r="O1808" s="577">
        <f t="shared" si="438"/>
        <v>0</v>
      </c>
      <c r="P1808" s="578">
        <f t="shared" si="439"/>
        <v>0</v>
      </c>
      <c r="Q1808" s="765"/>
      <c r="R1808" s="576">
        <f t="shared" si="432"/>
        <v>0</v>
      </c>
      <c r="S1808" s="576">
        <f>N1808</f>
        <v>0</v>
      </c>
      <c r="T1808" s="577">
        <f t="shared" si="435"/>
        <v>0</v>
      </c>
      <c r="U1808" s="578">
        <f t="shared" si="436"/>
        <v>0</v>
      </c>
      <c r="V1808" s="579"/>
      <c r="W1808" s="566"/>
      <c r="X1808" s="586" t="str">
        <f t="shared" si="440"/>
        <v/>
      </c>
      <c r="Y1808" s="586" t="str">
        <f t="shared" si="431"/>
        <v/>
      </c>
      <c r="Z1808" s="586" t="str">
        <f t="shared" si="427"/>
        <v/>
      </c>
    </row>
    <row r="1809" spans="1:26" ht="12" hidden="1" thickBot="1" x14ac:dyDescent="0.25">
      <c r="A1809" s="567" t="s">
        <v>168</v>
      </c>
      <c r="B1809" s="644" t="s">
        <v>168</v>
      </c>
      <c r="C1809" s="645"/>
      <c r="D1809" s="451" t="s">
        <v>1503</v>
      </c>
      <c r="E1809" s="423"/>
      <c r="F1809" s="424">
        <v>10</v>
      </c>
      <c r="G1809" s="425">
        <v>1.7250000000000001</v>
      </c>
      <c r="H1809" s="663">
        <f t="shared" si="441"/>
        <v>23.080500000000004</v>
      </c>
      <c r="I1809" s="420"/>
      <c r="J1809" s="420"/>
      <c r="K1809" s="421">
        <f t="shared" si="434"/>
        <v>0</v>
      </c>
      <c r="L1809" s="668" t="s">
        <v>614</v>
      </c>
      <c r="M1809" s="669"/>
      <c r="N1809" s="576">
        <f t="shared" si="429"/>
        <v>0</v>
      </c>
      <c r="O1809" s="577">
        <f t="shared" si="438"/>
        <v>0</v>
      </c>
      <c r="P1809" s="578">
        <f t="shared" si="439"/>
        <v>0</v>
      </c>
      <c r="Q1809" s="765"/>
      <c r="R1809" s="669"/>
      <c r="S1809" s="670"/>
      <c r="T1809" s="577">
        <f t="shared" si="435"/>
        <v>0</v>
      </c>
      <c r="U1809" s="578">
        <f t="shared" si="436"/>
        <v>0</v>
      </c>
      <c r="V1809" s="579"/>
      <c r="W1809" s="637" t="str">
        <f>IF(U1808&gt;0,"xx",IF(P1808&gt;0,"xy",""))</f>
        <v/>
      </c>
      <c r="X1809" s="586" t="str">
        <f t="shared" si="440"/>
        <v/>
      </c>
      <c r="Y1809" s="586" t="str">
        <f t="shared" si="431"/>
        <v/>
      </c>
      <c r="Z1809" s="586" t="str">
        <f t="shared" si="427"/>
        <v/>
      </c>
    </row>
    <row r="1810" spans="1:26" ht="12" hidden="1" thickBot="1" x14ac:dyDescent="0.25">
      <c r="A1810" s="567" t="s">
        <v>168</v>
      </c>
      <c r="B1810" s="644" t="s">
        <v>168</v>
      </c>
      <c r="C1810" s="645"/>
      <c r="D1810" s="451" t="s">
        <v>334</v>
      </c>
      <c r="E1810" s="423"/>
      <c r="F1810" s="424">
        <v>30</v>
      </c>
      <c r="G1810" s="425">
        <v>8.5000000000000006E-3</v>
      </c>
      <c r="H1810" s="663">
        <f t="shared" si="441"/>
        <v>0.29563</v>
      </c>
      <c r="I1810" s="420"/>
      <c r="J1810" s="420"/>
      <c r="K1810" s="421">
        <f t="shared" si="434"/>
        <v>0</v>
      </c>
      <c r="L1810" s="668" t="s">
        <v>614</v>
      </c>
      <c r="M1810" s="669"/>
      <c r="N1810" s="576">
        <f t="shared" si="429"/>
        <v>0</v>
      </c>
      <c r="O1810" s="577">
        <f t="shared" si="438"/>
        <v>0</v>
      </c>
      <c r="P1810" s="578">
        <f t="shared" si="439"/>
        <v>0</v>
      </c>
      <c r="Q1810" s="765"/>
      <c r="R1810" s="669"/>
      <c r="S1810" s="670"/>
      <c r="T1810" s="577">
        <f t="shared" si="435"/>
        <v>0</v>
      </c>
      <c r="U1810" s="578">
        <f t="shared" si="436"/>
        <v>0</v>
      </c>
      <c r="V1810" s="579"/>
      <c r="W1810" s="637" t="str">
        <f>IF(U1808&gt;0,"xx",IF(P1808&gt;0,"xy",""))</f>
        <v/>
      </c>
      <c r="X1810" s="586" t="str">
        <f t="shared" si="440"/>
        <v/>
      </c>
      <c r="Y1810" s="586" t="str">
        <f t="shared" si="431"/>
        <v/>
      </c>
      <c r="Z1810" s="586" t="str">
        <f t="shared" si="427"/>
        <v/>
      </c>
    </row>
    <row r="1811" spans="1:26" ht="12" hidden="1" thickBot="1" x14ac:dyDescent="0.25">
      <c r="A1811" s="567">
        <v>860000</v>
      </c>
      <c r="B1811" s="644">
        <v>860000</v>
      </c>
      <c r="C1811" s="645" t="s">
        <v>206</v>
      </c>
      <c r="D1811" s="422" t="s">
        <v>1506</v>
      </c>
      <c r="E1811" s="423"/>
      <c r="F1811" s="424"/>
      <c r="G1811" s="425"/>
      <c r="H1811" s="651">
        <f>SUM(H1812:H1813)</f>
        <v>23.396998000000004</v>
      </c>
      <c r="I1811" s="420">
        <v>666.58999999999992</v>
      </c>
      <c r="J1811" s="420">
        <f>IF(ISBLANK(I1811),"",SUM(H1811:I1811))</f>
        <v>689.98699799999997</v>
      </c>
      <c r="K1811" s="421">
        <f t="shared" si="434"/>
        <v>819.77</v>
      </c>
      <c r="L1811" s="647" t="s">
        <v>16</v>
      </c>
      <c r="M1811" s="576"/>
      <c r="N1811" s="576">
        <f t="shared" si="429"/>
        <v>0</v>
      </c>
      <c r="O1811" s="577">
        <f t="shared" si="438"/>
        <v>0</v>
      </c>
      <c r="P1811" s="578">
        <f t="shared" si="439"/>
        <v>0</v>
      </c>
      <c r="Q1811" s="765"/>
      <c r="R1811" s="576">
        <f t="shared" si="432"/>
        <v>0</v>
      </c>
      <c r="S1811" s="576">
        <f>N1811</f>
        <v>0</v>
      </c>
      <c r="T1811" s="577">
        <f t="shared" si="435"/>
        <v>0</v>
      </c>
      <c r="U1811" s="578">
        <f t="shared" si="436"/>
        <v>0</v>
      </c>
      <c r="V1811" s="579"/>
      <c r="W1811" s="566"/>
      <c r="X1811" s="586" t="str">
        <f t="shared" si="440"/>
        <v/>
      </c>
      <c r="Y1811" s="586" t="str">
        <f t="shared" si="431"/>
        <v/>
      </c>
      <c r="Z1811" s="586" t="str">
        <f t="shared" ref="Z1811:Z1823" si="442">IF(W1811="X","x",IF(U1811&gt;0,"x",""))</f>
        <v/>
      </c>
    </row>
    <row r="1812" spans="1:26" ht="12" hidden="1" thickBot="1" x14ac:dyDescent="0.25">
      <c r="A1812" s="567" t="s">
        <v>168</v>
      </c>
      <c r="B1812" s="644" t="s">
        <v>168</v>
      </c>
      <c r="C1812" s="645"/>
      <c r="D1812" s="451" t="s">
        <v>1503</v>
      </c>
      <c r="E1812" s="423"/>
      <c r="F1812" s="424">
        <v>10</v>
      </c>
      <c r="G1812" s="425">
        <v>1.7250000000000001</v>
      </c>
      <c r="H1812" s="663">
        <f t="shared" si="441"/>
        <v>23.080500000000004</v>
      </c>
      <c r="I1812" s="420"/>
      <c r="J1812" s="420"/>
      <c r="K1812" s="421">
        <f t="shared" si="434"/>
        <v>0</v>
      </c>
      <c r="L1812" s="668" t="s">
        <v>614</v>
      </c>
      <c r="M1812" s="669"/>
      <c r="N1812" s="576">
        <f t="shared" ref="N1812:N1875" si="443">IF(M1812=0,0,K1812)</f>
        <v>0</v>
      </c>
      <c r="O1812" s="577">
        <f t="shared" si="438"/>
        <v>0</v>
      </c>
      <c r="P1812" s="578">
        <f t="shared" si="439"/>
        <v>0</v>
      </c>
      <c r="Q1812" s="765"/>
      <c r="R1812" s="669"/>
      <c r="S1812" s="670"/>
      <c r="T1812" s="577">
        <f t="shared" si="435"/>
        <v>0</v>
      </c>
      <c r="U1812" s="578">
        <f t="shared" si="436"/>
        <v>0</v>
      </c>
      <c r="V1812" s="579"/>
      <c r="W1812" s="637" t="str">
        <f>IF(U1811&gt;0,"xx",IF(P1811&gt;0,"xy",""))</f>
        <v/>
      </c>
      <c r="X1812" s="586" t="str">
        <f t="shared" si="440"/>
        <v/>
      </c>
      <c r="Y1812" s="586" t="str">
        <f t="shared" si="431"/>
        <v/>
      </c>
      <c r="Z1812" s="586" t="str">
        <f t="shared" si="442"/>
        <v/>
      </c>
    </row>
    <row r="1813" spans="1:26" ht="12" hidden="1" thickBot="1" x14ac:dyDescent="0.25">
      <c r="A1813" s="567" t="s">
        <v>168</v>
      </c>
      <c r="B1813" s="644" t="s">
        <v>168</v>
      </c>
      <c r="C1813" s="645"/>
      <c r="D1813" s="451" t="s">
        <v>334</v>
      </c>
      <c r="E1813" s="423"/>
      <c r="F1813" s="424">
        <v>30</v>
      </c>
      <c r="G1813" s="425">
        <v>9.1000000000000004E-3</v>
      </c>
      <c r="H1813" s="663">
        <f t="shared" si="441"/>
        <v>0.316498</v>
      </c>
      <c r="I1813" s="420"/>
      <c r="J1813" s="420"/>
      <c r="K1813" s="421">
        <f t="shared" si="434"/>
        <v>0</v>
      </c>
      <c r="L1813" s="668" t="s">
        <v>614</v>
      </c>
      <c r="M1813" s="669"/>
      <c r="N1813" s="576">
        <f t="shared" si="443"/>
        <v>0</v>
      </c>
      <c r="O1813" s="577">
        <f t="shared" si="438"/>
        <v>0</v>
      </c>
      <c r="P1813" s="578">
        <f t="shared" si="439"/>
        <v>0</v>
      </c>
      <c r="Q1813" s="765"/>
      <c r="R1813" s="669"/>
      <c r="S1813" s="670"/>
      <c r="T1813" s="577">
        <f t="shared" si="435"/>
        <v>0</v>
      </c>
      <c r="U1813" s="578">
        <f t="shared" si="436"/>
        <v>0</v>
      </c>
      <c r="V1813" s="579"/>
      <c r="W1813" s="637" t="str">
        <f>IF(U1811&gt;0,"xx",IF(P1811&gt;0,"xy",""))</f>
        <v/>
      </c>
      <c r="X1813" s="586" t="str">
        <f t="shared" si="440"/>
        <v/>
      </c>
      <c r="Y1813" s="586" t="str">
        <f t="shared" si="431"/>
        <v/>
      </c>
      <c r="Z1813" s="586" t="str">
        <f t="shared" si="442"/>
        <v/>
      </c>
    </row>
    <row r="1814" spans="1:26" ht="12" hidden="1" thickBot="1" x14ac:dyDescent="0.25">
      <c r="A1814" s="567">
        <v>860017</v>
      </c>
      <c r="B1814" s="644">
        <v>860017</v>
      </c>
      <c r="C1814" s="645" t="s">
        <v>206</v>
      </c>
      <c r="D1814" s="422" t="s">
        <v>1507</v>
      </c>
      <c r="E1814" s="423"/>
      <c r="F1814" s="424"/>
      <c r="G1814" s="425"/>
      <c r="H1814" s="651">
        <f>SUM(H1815:H1816)</f>
        <v>4.1357300000000006</v>
      </c>
      <c r="I1814" s="420">
        <v>214.35000000000002</v>
      </c>
      <c r="J1814" s="420">
        <f>IF(ISBLANK(I1814),"",SUM(H1814:I1814))</f>
        <v>218.48573000000002</v>
      </c>
      <c r="K1814" s="421">
        <f t="shared" si="434"/>
        <v>259.58</v>
      </c>
      <c r="L1814" s="647" t="s">
        <v>16</v>
      </c>
      <c r="M1814" s="576"/>
      <c r="N1814" s="576">
        <f t="shared" si="443"/>
        <v>0</v>
      </c>
      <c r="O1814" s="577">
        <f t="shared" si="438"/>
        <v>0</v>
      </c>
      <c r="P1814" s="578">
        <f t="shared" si="439"/>
        <v>0</v>
      </c>
      <c r="Q1814" s="765"/>
      <c r="R1814" s="576">
        <f t="shared" si="432"/>
        <v>0</v>
      </c>
      <c r="S1814" s="576">
        <f>N1814</f>
        <v>0</v>
      </c>
      <c r="T1814" s="577">
        <f t="shared" si="435"/>
        <v>0</v>
      </c>
      <c r="U1814" s="578">
        <f t="shared" si="436"/>
        <v>0</v>
      </c>
      <c r="V1814" s="579"/>
      <c r="W1814" s="566"/>
      <c r="X1814" s="586" t="str">
        <f t="shared" si="440"/>
        <v/>
      </c>
      <c r="Y1814" s="586" t="str">
        <f t="shared" si="431"/>
        <v/>
      </c>
      <c r="Z1814" s="586" t="str">
        <f t="shared" si="442"/>
        <v/>
      </c>
    </row>
    <row r="1815" spans="1:26" ht="12" hidden="1" thickBot="1" x14ac:dyDescent="0.25">
      <c r="A1815" s="567" t="s">
        <v>168</v>
      </c>
      <c r="B1815" s="644" t="s">
        <v>168</v>
      </c>
      <c r="C1815" s="645"/>
      <c r="D1815" s="451" t="s">
        <v>1503</v>
      </c>
      <c r="E1815" s="423"/>
      <c r="F1815" s="424">
        <v>10</v>
      </c>
      <c r="G1815" s="425">
        <v>0.3</v>
      </c>
      <c r="H1815" s="663">
        <f t="shared" si="441"/>
        <v>4.0140000000000002</v>
      </c>
      <c r="I1815" s="420"/>
      <c r="J1815" s="420"/>
      <c r="K1815" s="421">
        <f t="shared" si="434"/>
        <v>0</v>
      </c>
      <c r="L1815" s="668" t="s">
        <v>614</v>
      </c>
      <c r="M1815" s="669"/>
      <c r="N1815" s="576">
        <f t="shared" si="443"/>
        <v>0</v>
      </c>
      <c r="O1815" s="577">
        <f t="shared" si="438"/>
        <v>0</v>
      </c>
      <c r="P1815" s="578">
        <f t="shared" si="439"/>
        <v>0</v>
      </c>
      <c r="Q1815" s="765"/>
      <c r="R1815" s="669"/>
      <c r="S1815" s="670"/>
      <c r="T1815" s="577">
        <f t="shared" si="435"/>
        <v>0</v>
      </c>
      <c r="U1815" s="578">
        <f t="shared" si="436"/>
        <v>0</v>
      </c>
      <c r="V1815" s="579"/>
      <c r="W1815" s="637" t="str">
        <f>IF(U1814&gt;0,"xx",IF(P1814&gt;0,"xy",""))</f>
        <v/>
      </c>
      <c r="X1815" s="586" t="str">
        <f t="shared" si="440"/>
        <v/>
      </c>
      <c r="Y1815" s="586" t="str">
        <f t="shared" si="431"/>
        <v/>
      </c>
      <c r="Z1815" s="586" t="str">
        <f t="shared" si="442"/>
        <v/>
      </c>
    </row>
    <row r="1816" spans="1:26" ht="12" hidden="1" thickBot="1" x14ac:dyDescent="0.25">
      <c r="A1816" s="567" t="s">
        <v>168</v>
      </c>
      <c r="B1816" s="644" t="s">
        <v>168</v>
      </c>
      <c r="C1816" s="645"/>
      <c r="D1816" s="451" t="s">
        <v>334</v>
      </c>
      <c r="E1816" s="423"/>
      <c r="F1816" s="424">
        <v>30</v>
      </c>
      <c r="G1816" s="425">
        <v>3.5000000000000001E-3</v>
      </c>
      <c r="H1816" s="663">
        <f t="shared" si="441"/>
        <v>0.12173</v>
      </c>
      <c r="I1816" s="420"/>
      <c r="J1816" s="420"/>
      <c r="K1816" s="421">
        <f t="shared" si="434"/>
        <v>0</v>
      </c>
      <c r="L1816" s="668" t="s">
        <v>614</v>
      </c>
      <c r="M1816" s="669"/>
      <c r="N1816" s="576">
        <f t="shared" si="443"/>
        <v>0</v>
      </c>
      <c r="O1816" s="577">
        <f t="shared" si="438"/>
        <v>0</v>
      </c>
      <c r="P1816" s="578">
        <f t="shared" si="439"/>
        <v>0</v>
      </c>
      <c r="Q1816" s="765"/>
      <c r="R1816" s="669"/>
      <c r="S1816" s="670"/>
      <c r="T1816" s="577">
        <f t="shared" si="435"/>
        <v>0</v>
      </c>
      <c r="U1816" s="578">
        <f t="shared" si="436"/>
        <v>0</v>
      </c>
      <c r="V1816" s="579"/>
      <c r="W1816" s="637" t="str">
        <f>IF(U1814&gt;0,"xx",IF(P1814&gt;0,"xy",""))</f>
        <v/>
      </c>
      <c r="X1816" s="586" t="str">
        <f t="shared" si="440"/>
        <v/>
      </c>
      <c r="Y1816" s="586" t="str">
        <f t="shared" si="431"/>
        <v/>
      </c>
      <c r="Z1816" s="586" t="str">
        <f t="shared" si="442"/>
        <v/>
      </c>
    </row>
    <row r="1817" spans="1:26" ht="12" hidden="1" thickBot="1" x14ac:dyDescent="0.25">
      <c r="A1817" s="567">
        <v>860023</v>
      </c>
      <c r="B1817" s="644">
        <v>860023</v>
      </c>
      <c r="C1817" s="645" t="s">
        <v>206</v>
      </c>
      <c r="D1817" s="422" t="s">
        <v>1508</v>
      </c>
      <c r="E1817" s="423"/>
      <c r="F1817" s="424"/>
      <c r="G1817" s="425"/>
      <c r="H1817" s="651">
        <f>SUM(H1818:H1819)</f>
        <v>7.0702259999999999</v>
      </c>
      <c r="I1817" s="420">
        <v>240.56</v>
      </c>
      <c r="J1817" s="420">
        <f>IF(ISBLANK(I1817),"",SUM(H1817:I1817))</f>
        <v>247.63022599999999</v>
      </c>
      <c r="K1817" s="421">
        <f t="shared" si="434"/>
        <v>294.20999999999998</v>
      </c>
      <c r="L1817" s="647" t="s">
        <v>16</v>
      </c>
      <c r="M1817" s="576"/>
      <c r="N1817" s="576">
        <f t="shared" si="443"/>
        <v>0</v>
      </c>
      <c r="O1817" s="577">
        <f t="shared" si="438"/>
        <v>0</v>
      </c>
      <c r="P1817" s="578">
        <f t="shared" si="439"/>
        <v>0</v>
      </c>
      <c r="Q1817" s="765"/>
      <c r="R1817" s="576">
        <f t="shared" si="432"/>
        <v>0</v>
      </c>
      <c r="S1817" s="576">
        <f>N1817</f>
        <v>0</v>
      </c>
      <c r="T1817" s="577">
        <f t="shared" si="435"/>
        <v>0</v>
      </c>
      <c r="U1817" s="578">
        <f t="shared" si="436"/>
        <v>0</v>
      </c>
      <c r="V1817" s="579"/>
      <c r="W1817" s="566"/>
      <c r="X1817" s="586" t="str">
        <f t="shared" si="440"/>
        <v/>
      </c>
      <c r="Y1817" s="586" t="str">
        <f t="shared" si="431"/>
        <v/>
      </c>
      <c r="Z1817" s="586" t="str">
        <f t="shared" si="442"/>
        <v/>
      </c>
    </row>
    <row r="1818" spans="1:26" ht="12" hidden="1" thickBot="1" x14ac:dyDescent="0.25">
      <c r="A1818" s="567" t="s">
        <v>168</v>
      </c>
      <c r="B1818" s="644" t="s">
        <v>168</v>
      </c>
      <c r="C1818" s="645"/>
      <c r="D1818" s="451" t="s">
        <v>1503</v>
      </c>
      <c r="E1818" s="423"/>
      <c r="F1818" s="424">
        <v>10</v>
      </c>
      <c r="G1818" s="425">
        <v>0.51749999999999996</v>
      </c>
      <c r="H1818" s="663">
        <f t="shared" si="441"/>
        <v>6.92415</v>
      </c>
      <c r="I1818" s="420"/>
      <c r="J1818" s="420"/>
      <c r="K1818" s="421">
        <f t="shared" si="434"/>
        <v>0</v>
      </c>
      <c r="L1818" s="668" t="s">
        <v>614</v>
      </c>
      <c r="M1818" s="669"/>
      <c r="N1818" s="576">
        <f t="shared" si="443"/>
        <v>0</v>
      </c>
      <c r="O1818" s="577">
        <f t="shared" si="438"/>
        <v>0</v>
      </c>
      <c r="P1818" s="578">
        <f t="shared" si="439"/>
        <v>0</v>
      </c>
      <c r="Q1818" s="765"/>
      <c r="R1818" s="669"/>
      <c r="S1818" s="670"/>
      <c r="T1818" s="577">
        <f t="shared" si="435"/>
        <v>0</v>
      </c>
      <c r="U1818" s="578">
        <f t="shared" si="436"/>
        <v>0</v>
      </c>
      <c r="V1818" s="579"/>
      <c r="W1818" s="637" t="str">
        <f>IF(U1817&gt;0,"xx",IF(P1817&gt;0,"xy",""))</f>
        <v/>
      </c>
      <c r="X1818" s="586" t="str">
        <f t="shared" si="440"/>
        <v/>
      </c>
      <c r="Y1818" s="586" t="str">
        <f t="shared" si="431"/>
        <v/>
      </c>
      <c r="Z1818" s="586" t="str">
        <f t="shared" si="442"/>
        <v/>
      </c>
    </row>
    <row r="1819" spans="1:26" ht="12" hidden="1" thickBot="1" x14ac:dyDescent="0.25">
      <c r="A1819" s="567" t="s">
        <v>168</v>
      </c>
      <c r="B1819" s="644" t="s">
        <v>168</v>
      </c>
      <c r="C1819" s="645"/>
      <c r="D1819" s="451" t="s">
        <v>334</v>
      </c>
      <c r="E1819" s="423"/>
      <c r="F1819" s="424">
        <v>30</v>
      </c>
      <c r="G1819" s="425">
        <v>4.1999999999999997E-3</v>
      </c>
      <c r="H1819" s="663">
        <f t="shared" si="441"/>
        <v>0.14607599999999998</v>
      </c>
      <c r="I1819" s="420"/>
      <c r="J1819" s="420"/>
      <c r="K1819" s="421">
        <f t="shared" si="434"/>
        <v>0</v>
      </c>
      <c r="L1819" s="668" t="s">
        <v>614</v>
      </c>
      <c r="M1819" s="669"/>
      <c r="N1819" s="576">
        <f t="shared" si="443"/>
        <v>0</v>
      </c>
      <c r="O1819" s="577">
        <f t="shared" si="438"/>
        <v>0</v>
      </c>
      <c r="P1819" s="578">
        <f t="shared" si="439"/>
        <v>0</v>
      </c>
      <c r="Q1819" s="765"/>
      <c r="R1819" s="669"/>
      <c r="S1819" s="670"/>
      <c r="T1819" s="577">
        <f t="shared" si="435"/>
        <v>0</v>
      </c>
      <c r="U1819" s="578">
        <f t="shared" si="436"/>
        <v>0</v>
      </c>
      <c r="V1819" s="579"/>
      <c r="W1819" s="637" t="str">
        <f>IF(U1817&gt;0,"xx",IF(P1817&gt;0,"xy",""))</f>
        <v/>
      </c>
      <c r="X1819" s="586" t="str">
        <f t="shared" si="440"/>
        <v/>
      </c>
      <c r="Y1819" s="586" t="str">
        <f t="shared" si="431"/>
        <v/>
      </c>
      <c r="Z1819" s="586" t="str">
        <f t="shared" si="442"/>
        <v/>
      </c>
    </row>
    <row r="1820" spans="1:26" ht="12" hidden="1" thickBot="1" x14ac:dyDescent="0.25">
      <c r="A1820" s="567">
        <v>861030</v>
      </c>
      <c r="B1820" s="644">
        <v>861030</v>
      </c>
      <c r="C1820" s="645" t="s">
        <v>206</v>
      </c>
      <c r="D1820" s="422" t="s">
        <v>1509</v>
      </c>
      <c r="E1820" s="423"/>
      <c r="F1820" s="424"/>
      <c r="G1820" s="425"/>
      <c r="H1820" s="651">
        <f>SUM(H1821:H1822)</f>
        <v>23.508294000000003</v>
      </c>
      <c r="I1820" s="420">
        <v>268.45</v>
      </c>
      <c r="J1820" s="420">
        <f>IF(ISBLANK(I1820),"",SUM(H1820:I1820))</f>
        <v>291.95829399999997</v>
      </c>
      <c r="K1820" s="421">
        <f t="shared" si="434"/>
        <v>346.88</v>
      </c>
      <c r="L1820" s="647" t="s">
        <v>16</v>
      </c>
      <c r="M1820" s="576"/>
      <c r="N1820" s="576">
        <f t="shared" si="443"/>
        <v>0</v>
      </c>
      <c r="O1820" s="577">
        <f t="shared" si="438"/>
        <v>0</v>
      </c>
      <c r="P1820" s="578">
        <f t="shared" si="439"/>
        <v>0</v>
      </c>
      <c r="Q1820" s="765"/>
      <c r="R1820" s="576">
        <f t="shared" si="432"/>
        <v>0</v>
      </c>
      <c r="S1820" s="576">
        <f>N1820</f>
        <v>0</v>
      </c>
      <c r="T1820" s="577">
        <f t="shared" si="435"/>
        <v>0</v>
      </c>
      <c r="U1820" s="578">
        <f t="shared" si="436"/>
        <v>0</v>
      </c>
      <c r="V1820" s="579"/>
      <c r="W1820" s="566"/>
      <c r="X1820" s="586" t="str">
        <f t="shared" si="440"/>
        <v/>
      </c>
      <c r="Y1820" s="586" t="str">
        <f t="shared" si="431"/>
        <v/>
      </c>
      <c r="Z1820" s="586" t="str">
        <f t="shared" si="442"/>
        <v/>
      </c>
    </row>
    <row r="1821" spans="1:26" ht="12" hidden="1" thickBot="1" x14ac:dyDescent="0.25">
      <c r="A1821" s="567" t="s">
        <v>168</v>
      </c>
      <c r="B1821" s="644" t="s">
        <v>168</v>
      </c>
      <c r="C1821" s="645"/>
      <c r="D1821" s="451" t="s">
        <v>1503</v>
      </c>
      <c r="E1821" s="423"/>
      <c r="F1821" s="424">
        <v>10</v>
      </c>
      <c r="G1821" s="425">
        <v>1.7250000000000001</v>
      </c>
      <c r="H1821" s="663">
        <f t="shared" si="441"/>
        <v>23.080500000000004</v>
      </c>
      <c r="I1821" s="420"/>
      <c r="J1821" s="420"/>
      <c r="K1821" s="421">
        <f t="shared" si="434"/>
        <v>0</v>
      </c>
      <c r="L1821" s="668" t="s">
        <v>614</v>
      </c>
      <c r="M1821" s="669"/>
      <c r="N1821" s="576">
        <f t="shared" si="443"/>
        <v>0</v>
      </c>
      <c r="O1821" s="577">
        <f t="shared" si="438"/>
        <v>0</v>
      </c>
      <c r="P1821" s="578">
        <f t="shared" si="439"/>
        <v>0</v>
      </c>
      <c r="Q1821" s="765"/>
      <c r="R1821" s="669"/>
      <c r="S1821" s="670"/>
      <c r="T1821" s="577">
        <f t="shared" si="435"/>
        <v>0</v>
      </c>
      <c r="U1821" s="578">
        <f t="shared" si="436"/>
        <v>0</v>
      </c>
      <c r="V1821" s="579"/>
      <c r="W1821" s="637" t="str">
        <f>IF(U1820&gt;0,"xx",IF(P1820&gt;0,"xy",""))</f>
        <v/>
      </c>
      <c r="X1821" s="586" t="str">
        <f t="shared" si="440"/>
        <v/>
      </c>
      <c r="Y1821" s="586" t="str">
        <f t="shared" si="431"/>
        <v/>
      </c>
      <c r="Z1821" s="586" t="str">
        <f t="shared" si="442"/>
        <v/>
      </c>
    </row>
    <row r="1822" spans="1:26" ht="12" hidden="1" thickBot="1" x14ac:dyDescent="0.25">
      <c r="A1822" s="567" t="s">
        <v>168</v>
      </c>
      <c r="B1822" s="644" t="s">
        <v>168</v>
      </c>
      <c r="C1822" s="645"/>
      <c r="D1822" s="451" t="s">
        <v>334</v>
      </c>
      <c r="E1822" s="423"/>
      <c r="F1822" s="424">
        <v>30</v>
      </c>
      <c r="G1822" s="425">
        <v>1.23E-2</v>
      </c>
      <c r="H1822" s="663">
        <f t="shared" si="441"/>
        <v>0.42779400000000001</v>
      </c>
      <c r="I1822" s="420"/>
      <c r="J1822" s="420"/>
      <c r="K1822" s="421">
        <f t="shared" si="434"/>
        <v>0</v>
      </c>
      <c r="L1822" s="668" t="s">
        <v>614</v>
      </c>
      <c r="M1822" s="669"/>
      <c r="N1822" s="576">
        <f t="shared" si="443"/>
        <v>0</v>
      </c>
      <c r="O1822" s="577">
        <f t="shared" si="438"/>
        <v>0</v>
      </c>
      <c r="P1822" s="578">
        <f t="shared" si="439"/>
        <v>0</v>
      </c>
      <c r="Q1822" s="765"/>
      <c r="R1822" s="669"/>
      <c r="S1822" s="670"/>
      <c r="T1822" s="577">
        <f t="shared" si="435"/>
        <v>0</v>
      </c>
      <c r="U1822" s="578">
        <f t="shared" si="436"/>
        <v>0</v>
      </c>
      <c r="V1822" s="579"/>
      <c r="W1822" s="637" t="str">
        <f>IF(U1820&gt;0,"xx",IF(P1820&gt;0,"xy",""))</f>
        <v/>
      </c>
      <c r="X1822" s="586" t="str">
        <f t="shared" si="440"/>
        <v/>
      </c>
      <c r="Y1822" s="586" t="str">
        <f t="shared" si="431"/>
        <v/>
      </c>
      <c r="Z1822" s="586" t="str">
        <f t="shared" si="442"/>
        <v/>
      </c>
    </row>
    <row r="1823" spans="1:26" ht="12" hidden="1" thickBot="1" x14ac:dyDescent="0.25">
      <c r="A1823" s="567">
        <v>601200</v>
      </c>
      <c r="B1823" s="644" t="s">
        <v>1656</v>
      </c>
      <c r="C1823" s="645" t="s">
        <v>206</v>
      </c>
      <c r="D1823" s="422" t="s">
        <v>1510</v>
      </c>
      <c r="E1823" s="423"/>
      <c r="F1823" s="424"/>
      <c r="G1823" s="425"/>
      <c r="H1823" s="651"/>
      <c r="I1823" s="420">
        <v>31.9</v>
      </c>
      <c r="J1823" s="420">
        <f>IF(ISBLANK(I1823),"",SUM(H1823:I1823))*0.9</f>
        <v>28.71</v>
      </c>
      <c r="K1823" s="421">
        <f t="shared" si="434"/>
        <v>34.11</v>
      </c>
      <c r="L1823" s="647" t="s">
        <v>16</v>
      </c>
      <c r="M1823" s="576"/>
      <c r="N1823" s="576">
        <f t="shared" si="443"/>
        <v>0</v>
      </c>
      <c r="O1823" s="577">
        <f t="shared" si="438"/>
        <v>0</v>
      </c>
      <c r="P1823" s="578">
        <f t="shared" si="439"/>
        <v>0</v>
      </c>
      <c r="Q1823" s="765"/>
      <c r="R1823" s="576">
        <f t="shared" si="432"/>
        <v>0</v>
      </c>
      <c r="S1823" s="576">
        <f t="shared" si="432"/>
        <v>0</v>
      </c>
      <c r="T1823" s="577">
        <f t="shared" si="435"/>
        <v>0</v>
      </c>
      <c r="U1823" s="578">
        <f t="shared" si="436"/>
        <v>0</v>
      </c>
      <c r="V1823" s="579"/>
      <c r="W1823" s="566"/>
      <c r="X1823" s="586" t="str">
        <f t="shared" si="440"/>
        <v/>
      </c>
      <c r="Y1823" s="586" t="str">
        <f t="shared" si="431"/>
        <v/>
      </c>
      <c r="Z1823" s="586" t="str">
        <f t="shared" si="442"/>
        <v/>
      </c>
    </row>
    <row r="1824" spans="1:26" ht="12" hidden="1" thickBot="1" x14ac:dyDescent="0.25">
      <c r="A1824" s="567">
        <v>601200</v>
      </c>
      <c r="B1824" s="644" t="s">
        <v>1657</v>
      </c>
      <c r="C1824" s="645" t="s">
        <v>206</v>
      </c>
      <c r="D1824" s="422" t="s">
        <v>336</v>
      </c>
      <c r="E1824" s="423"/>
      <c r="F1824" s="424"/>
      <c r="G1824" s="425"/>
      <c r="H1824" s="651"/>
      <c r="I1824" s="420">
        <v>15.95</v>
      </c>
      <c r="J1824" s="420">
        <f>IF(ISBLANK(I1824),"",SUM(H1824:I1824))*0.9</f>
        <v>14.355</v>
      </c>
      <c r="K1824" s="421">
        <f t="shared" si="434"/>
        <v>17.059999999999999</v>
      </c>
      <c r="L1824" s="647" t="s">
        <v>1519</v>
      </c>
      <c r="M1824" s="576"/>
      <c r="N1824" s="576">
        <f t="shared" si="443"/>
        <v>0</v>
      </c>
      <c r="O1824" s="577">
        <f t="shared" si="438"/>
        <v>0</v>
      </c>
      <c r="P1824" s="578">
        <f t="shared" si="439"/>
        <v>0</v>
      </c>
      <c r="Q1824" s="765"/>
      <c r="R1824" s="576">
        <f t="shared" si="432"/>
        <v>0</v>
      </c>
      <c r="S1824" s="576">
        <f t="shared" si="432"/>
        <v>0</v>
      </c>
      <c r="T1824" s="577">
        <f t="shared" si="435"/>
        <v>0</v>
      </c>
      <c r="U1824" s="578">
        <f t="shared" si="436"/>
        <v>0</v>
      </c>
      <c r="V1824" s="579"/>
      <c r="W1824" s="566"/>
      <c r="X1824" s="586" t="str">
        <f>IF(W1824="X","x",IF(W1824="xx","x",IF(W1824="xy","x",IF(W1824="y","x",IF(OR(P1824&gt;0,U1824&gt;0),"x","")))))</f>
        <v/>
      </c>
      <c r="Y1824" s="586" t="str">
        <f>IF(W1824="X","x",IF(W1824="y","x",IF(W1824="xx","x",IF(U1824&gt;0,"x",""))))</f>
        <v/>
      </c>
      <c r="Z1824" s="586" t="str">
        <f>IF(W1824="X","x",IF(U1824&gt;0,"x",""))</f>
        <v/>
      </c>
    </row>
    <row r="1825" spans="1:26" ht="12" hidden="1" thickBot="1" x14ac:dyDescent="0.25">
      <c r="A1825" s="567">
        <v>97623</v>
      </c>
      <c r="B1825" s="644" t="s">
        <v>1601</v>
      </c>
      <c r="C1825" s="645" t="s">
        <v>670</v>
      </c>
      <c r="D1825" s="416" t="s">
        <v>1595</v>
      </c>
      <c r="E1825" s="417"/>
      <c r="F1825" s="418"/>
      <c r="G1825" s="419"/>
      <c r="H1825" s="646"/>
      <c r="I1825" s="420">
        <v>175.28</v>
      </c>
      <c r="J1825" s="420">
        <f t="shared" ref="J1825:J1833" si="444">IF(ISBLANK(I1825),"",SUM(H1825:I1825))</f>
        <v>175.28</v>
      </c>
      <c r="K1825" s="421">
        <f t="shared" si="434"/>
        <v>208.25</v>
      </c>
      <c r="L1825" s="647" t="s">
        <v>16</v>
      </c>
      <c r="M1825" s="576"/>
      <c r="N1825" s="576">
        <f t="shared" si="443"/>
        <v>0</v>
      </c>
      <c r="O1825" s="577">
        <f t="shared" si="438"/>
        <v>0</v>
      </c>
      <c r="P1825" s="578">
        <f t="shared" si="439"/>
        <v>0</v>
      </c>
      <c r="Q1825" s="765"/>
      <c r="R1825" s="650">
        <f t="shared" si="432"/>
        <v>0</v>
      </c>
      <c r="S1825" s="587">
        <f t="shared" si="432"/>
        <v>0</v>
      </c>
      <c r="T1825" s="577">
        <f t="shared" si="435"/>
        <v>0</v>
      </c>
      <c r="U1825" s="578">
        <f t="shared" si="436"/>
        <v>0</v>
      </c>
      <c r="V1825" s="579"/>
      <c r="W1825" s="566"/>
      <c r="X1825" s="586" t="str">
        <f>IF(W1825="X","x",IF(W1825="xx","x",IF(W1825="xy","x",IF(W1825="y","x",IF(OR(P1825&gt;0,U1825&gt;0),"x","")))))</f>
        <v/>
      </c>
      <c r="Y1825" s="586" t="str">
        <f>IF(W1825="X","x",IF(W1825="y","x",IF(W1825="xx","x",IF(U1825&gt;0,"x",""))))</f>
        <v/>
      </c>
      <c r="Z1825" s="586" t="str">
        <f>IF(W1825="X","x",IF(U1825&gt;0,"x",""))</f>
        <v/>
      </c>
    </row>
    <row r="1826" spans="1:26" ht="12" hidden="1" thickBot="1" x14ac:dyDescent="0.25">
      <c r="A1826" s="567">
        <v>97624</v>
      </c>
      <c r="B1826" s="644" t="s">
        <v>1602</v>
      </c>
      <c r="C1826" s="645" t="s">
        <v>670</v>
      </c>
      <c r="D1826" s="416" t="s">
        <v>1597</v>
      </c>
      <c r="E1826" s="417"/>
      <c r="F1826" s="418"/>
      <c r="G1826" s="419"/>
      <c r="H1826" s="646"/>
      <c r="I1826" s="420">
        <v>107.58</v>
      </c>
      <c r="J1826" s="420">
        <f t="shared" si="444"/>
        <v>107.58</v>
      </c>
      <c r="K1826" s="421">
        <f t="shared" si="434"/>
        <v>127.82</v>
      </c>
      <c r="L1826" s="647" t="s">
        <v>16</v>
      </c>
      <c r="M1826" s="576"/>
      <c r="N1826" s="576">
        <f t="shared" si="443"/>
        <v>0</v>
      </c>
      <c r="O1826" s="577">
        <f t="shared" si="438"/>
        <v>0</v>
      </c>
      <c r="P1826" s="578">
        <f t="shared" si="439"/>
        <v>0</v>
      </c>
      <c r="Q1826" s="765"/>
      <c r="R1826" s="650">
        <f t="shared" si="432"/>
        <v>0</v>
      </c>
      <c r="S1826" s="587">
        <f t="shared" si="432"/>
        <v>0</v>
      </c>
      <c r="T1826" s="577">
        <f t="shared" si="435"/>
        <v>0</v>
      </c>
      <c r="U1826" s="578">
        <f t="shared" si="436"/>
        <v>0</v>
      </c>
      <c r="V1826" s="579"/>
      <c r="W1826" s="566"/>
      <c r="X1826" s="586" t="str">
        <f>IF(W1826="X","x",IF(W1826="xx","x",IF(W1826="xy","x",IF(W1826="y","x",IF(OR(P1826&gt;0,U1826&gt;0),"x","")))))</f>
        <v/>
      </c>
      <c r="Y1826" s="586" t="str">
        <f>IF(W1826="X","x",IF(W1826="y","x",IF(W1826="xx","x",IF(U1826&gt;0,"x",""))))</f>
        <v/>
      </c>
      <c r="Z1826" s="586" t="str">
        <f>IF(W1826="X","x",IF(U1826&gt;0,"x",""))</f>
        <v/>
      </c>
    </row>
    <row r="1827" spans="1:26" ht="12" hidden="1" thickBot="1" x14ac:dyDescent="0.25">
      <c r="A1827" s="567">
        <v>606500</v>
      </c>
      <c r="B1827" s="644" t="s">
        <v>1603</v>
      </c>
      <c r="C1827" s="645" t="s">
        <v>206</v>
      </c>
      <c r="D1827" s="422" t="s">
        <v>501</v>
      </c>
      <c r="E1827" s="423"/>
      <c r="F1827" s="424"/>
      <c r="G1827" s="425"/>
      <c r="H1827" s="651"/>
      <c r="I1827" s="420">
        <v>169.87</v>
      </c>
      <c r="J1827" s="420">
        <f t="shared" si="444"/>
        <v>169.87</v>
      </c>
      <c r="K1827" s="421">
        <f t="shared" si="434"/>
        <v>201.82</v>
      </c>
      <c r="L1827" s="647" t="s">
        <v>16</v>
      </c>
      <c r="M1827" s="576"/>
      <c r="N1827" s="576">
        <f t="shared" si="443"/>
        <v>0</v>
      </c>
      <c r="O1827" s="577">
        <f t="shared" si="438"/>
        <v>0</v>
      </c>
      <c r="P1827" s="578">
        <f t="shared" si="439"/>
        <v>0</v>
      </c>
      <c r="Q1827" s="765"/>
      <c r="R1827" s="576">
        <f t="shared" si="432"/>
        <v>0</v>
      </c>
      <c r="S1827" s="576">
        <f t="shared" si="432"/>
        <v>0</v>
      </c>
      <c r="T1827" s="577">
        <f t="shared" si="435"/>
        <v>0</v>
      </c>
      <c r="U1827" s="578">
        <f t="shared" si="436"/>
        <v>0</v>
      </c>
      <c r="V1827" s="579"/>
      <c r="W1827" s="566"/>
      <c r="X1827" s="586" t="str">
        <f t="shared" si="440"/>
        <v/>
      </c>
      <c r="Y1827" s="586" t="str">
        <f t="shared" si="431"/>
        <v/>
      </c>
      <c r="Z1827" s="586" t="str">
        <f t="shared" ref="Z1827:Z1940" si="445">IF(W1827="X","x",IF(U1827&gt;0,"x",""))</f>
        <v/>
      </c>
    </row>
    <row r="1828" spans="1:26" ht="12" hidden="1" thickBot="1" x14ac:dyDescent="0.25">
      <c r="A1828" s="567">
        <v>606700</v>
      </c>
      <c r="B1828" s="644" t="s">
        <v>1583</v>
      </c>
      <c r="C1828" s="645" t="s">
        <v>206</v>
      </c>
      <c r="D1828" s="422" t="s">
        <v>199</v>
      </c>
      <c r="E1828" s="423"/>
      <c r="F1828" s="424"/>
      <c r="G1828" s="425"/>
      <c r="H1828" s="651">
        <f>IF(F1828&lt;=30,(0.31*F1828+0.77)*G1828,((0.31*30+0.77)+0.31*(F1828-30))*G1828)</f>
        <v>0</v>
      </c>
      <c r="I1828" s="420">
        <v>143.94</v>
      </c>
      <c r="J1828" s="420">
        <f t="shared" si="444"/>
        <v>143.94</v>
      </c>
      <c r="K1828" s="421">
        <f t="shared" si="434"/>
        <v>171.02</v>
      </c>
      <c r="L1828" s="647" t="s">
        <v>16</v>
      </c>
      <c r="M1828" s="576"/>
      <c r="N1828" s="576">
        <f t="shared" si="443"/>
        <v>0</v>
      </c>
      <c r="O1828" s="577">
        <f t="shared" si="438"/>
        <v>0</v>
      </c>
      <c r="P1828" s="578">
        <f t="shared" si="439"/>
        <v>0</v>
      </c>
      <c r="Q1828" s="765"/>
      <c r="R1828" s="576">
        <f t="shared" si="432"/>
        <v>0</v>
      </c>
      <c r="S1828" s="576">
        <f t="shared" si="432"/>
        <v>0</v>
      </c>
      <c r="T1828" s="577">
        <f t="shared" si="435"/>
        <v>0</v>
      </c>
      <c r="U1828" s="578">
        <f t="shared" si="436"/>
        <v>0</v>
      </c>
      <c r="V1828" s="579"/>
      <c r="W1828" s="566"/>
      <c r="X1828" s="586" t="str">
        <f t="shared" si="440"/>
        <v/>
      </c>
      <c r="Y1828" s="586" t="str">
        <f t="shared" si="431"/>
        <v/>
      </c>
      <c r="Z1828" s="586" t="str">
        <f t="shared" si="445"/>
        <v/>
      </c>
    </row>
    <row r="1829" spans="1:26" ht="12" hidden="1" thickBot="1" x14ac:dyDescent="0.25">
      <c r="A1829" s="567">
        <v>606600</v>
      </c>
      <c r="B1829" s="644" t="s">
        <v>1580</v>
      </c>
      <c r="C1829" s="645" t="s">
        <v>206</v>
      </c>
      <c r="D1829" s="422" t="s">
        <v>200</v>
      </c>
      <c r="E1829" s="423"/>
      <c r="F1829" s="424"/>
      <c r="G1829" s="425"/>
      <c r="H1829" s="651">
        <f>IF(F1829&lt;=30,(0.31*F1829+0.77)*G1829,((0.31*30+0.77)+0.31*(F1829-30))*G1829)</f>
        <v>0</v>
      </c>
      <c r="I1829" s="420">
        <v>300.33999999999997</v>
      </c>
      <c r="J1829" s="420">
        <f t="shared" si="444"/>
        <v>300.33999999999997</v>
      </c>
      <c r="K1829" s="421">
        <f t="shared" si="434"/>
        <v>356.83</v>
      </c>
      <c r="L1829" s="647" t="s">
        <v>16</v>
      </c>
      <c r="M1829" s="576"/>
      <c r="N1829" s="576">
        <f t="shared" si="443"/>
        <v>0</v>
      </c>
      <c r="O1829" s="577">
        <f t="shared" si="438"/>
        <v>0</v>
      </c>
      <c r="P1829" s="578">
        <f t="shared" si="439"/>
        <v>0</v>
      </c>
      <c r="Q1829" s="765"/>
      <c r="R1829" s="576">
        <f t="shared" si="432"/>
        <v>0</v>
      </c>
      <c r="S1829" s="576">
        <f t="shared" si="432"/>
        <v>0</v>
      </c>
      <c r="T1829" s="577">
        <f t="shared" si="435"/>
        <v>0</v>
      </c>
      <c r="U1829" s="578">
        <f t="shared" si="436"/>
        <v>0</v>
      </c>
      <c r="V1829" s="579"/>
      <c r="W1829" s="566"/>
      <c r="X1829" s="586" t="str">
        <f t="shared" si="440"/>
        <v/>
      </c>
      <c r="Y1829" s="586" t="str">
        <f t="shared" si="431"/>
        <v/>
      </c>
      <c r="Z1829" s="586" t="str">
        <f t="shared" si="445"/>
        <v/>
      </c>
    </row>
    <row r="1830" spans="1:26" ht="12" hidden="1" thickBot="1" x14ac:dyDescent="0.25">
      <c r="A1830" s="567">
        <v>602000</v>
      </c>
      <c r="B1830" s="644" t="s">
        <v>2098</v>
      </c>
      <c r="C1830" s="645" t="s">
        <v>206</v>
      </c>
      <c r="D1830" s="422" t="s">
        <v>2092</v>
      </c>
      <c r="E1830" s="423"/>
      <c r="F1830" s="424"/>
      <c r="G1830" s="425"/>
      <c r="H1830" s="651">
        <f>IF(F1830&lt;=30,(0.31*F1830+0.77)*G1830,((0.31*30+0.77)+0.31*(F1830-30))*G1830)</f>
        <v>0</v>
      </c>
      <c r="I1830" s="420">
        <v>58.84</v>
      </c>
      <c r="J1830" s="420">
        <f t="shared" si="444"/>
        <v>58.84</v>
      </c>
      <c r="K1830" s="421">
        <f t="shared" si="434"/>
        <v>69.91</v>
      </c>
      <c r="L1830" s="647" t="s">
        <v>18</v>
      </c>
      <c r="M1830" s="576"/>
      <c r="N1830" s="576">
        <f t="shared" si="443"/>
        <v>0</v>
      </c>
      <c r="O1830" s="577">
        <f t="shared" si="438"/>
        <v>0</v>
      </c>
      <c r="P1830" s="578">
        <f t="shared" si="439"/>
        <v>0</v>
      </c>
      <c r="Q1830" s="765"/>
      <c r="R1830" s="576">
        <f t="shared" si="432"/>
        <v>0</v>
      </c>
      <c r="S1830" s="576">
        <f t="shared" si="432"/>
        <v>0</v>
      </c>
      <c r="T1830" s="577">
        <f t="shared" si="435"/>
        <v>0</v>
      </c>
      <c r="U1830" s="578">
        <f t="shared" si="436"/>
        <v>0</v>
      </c>
      <c r="V1830" s="579"/>
      <c r="W1830" s="566"/>
      <c r="X1830" s="586" t="str">
        <f t="shared" si="440"/>
        <v/>
      </c>
      <c r="Y1830" s="586" t="str">
        <f t="shared" si="431"/>
        <v/>
      </c>
      <c r="Z1830" s="586" t="str">
        <f t="shared" si="445"/>
        <v/>
      </c>
    </row>
    <row r="1831" spans="1:26" ht="12" hidden="1" thickBot="1" x14ac:dyDescent="0.25">
      <c r="A1831" s="567">
        <v>603000</v>
      </c>
      <c r="B1831" s="644" t="s">
        <v>1876</v>
      </c>
      <c r="C1831" s="645" t="s">
        <v>206</v>
      </c>
      <c r="D1831" s="422" t="s">
        <v>276</v>
      </c>
      <c r="E1831" s="423"/>
      <c r="F1831" s="424"/>
      <c r="G1831" s="425"/>
      <c r="H1831" s="651">
        <f>IF(F1831&lt;=30,(0.31*F1831+0.77)*G1831,((0.31*30+0.77)+0.31*(F1831-30))*G1831)</f>
        <v>0</v>
      </c>
      <c r="I1831" s="420">
        <v>17.84</v>
      </c>
      <c r="J1831" s="420">
        <f t="shared" si="444"/>
        <v>17.84</v>
      </c>
      <c r="K1831" s="421">
        <f t="shared" si="434"/>
        <v>21.2</v>
      </c>
      <c r="L1831" s="647" t="s">
        <v>23</v>
      </c>
      <c r="M1831" s="576"/>
      <c r="N1831" s="576">
        <f t="shared" si="443"/>
        <v>0</v>
      </c>
      <c r="O1831" s="577">
        <f t="shared" si="438"/>
        <v>0</v>
      </c>
      <c r="P1831" s="578">
        <f t="shared" si="439"/>
        <v>0</v>
      </c>
      <c r="Q1831" s="765"/>
      <c r="R1831" s="576">
        <f t="shared" si="432"/>
        <v>0</v>
      </c>
      <c r="S1831" s="576">
        <f t="shared" si="432"/>
        <v>0</v>
      </c>
      <c r="T1831" s="577">
        <f t="shared" si="435"/>
        <v>0</v>
      </c>
      <c r="U1831" s="578">
        <f t="shared" si="436"/>
        <v>0</v>
      </c>
      <c r="V1831" s="579"/>
      <c r="W1831" s="566"/>
      <c r="X1831" s="586" t="str">
        <f t="shared" si="440"/>
        <v/>
      </c>
      <c r="Y1831" s="586" t="str">
        <f t="shared" si="431"/>
        <v/>
      </c>
      <c r="Z1831" s="586" t="str">
        <f t="shared" si="445"/>
        <v/>
      </c>
    </row>
    <row r="1832" spans="1:26" ht="12" hidden="1" thickBot="1" x14ac:dyDescent="0.25">
      <c r="A1832" s="567">
        <v>603300</v>
      </c>
      <c r="B1832" s="644" t="s">
        <v>1877</v>
      </c>
      <c r="C1832" s="645" t="s">
        <v>206</v>
      </c>
      <c r="D1832" s="422" t="s">
        <v>277</v>
      </c>
      <c r="E1832" s="423"/>
      <c r="F1832" s="424"/>
      <c r="G1832" s="425"/>
      <c r="H1832" s="651">
        <f>IF(F1832&lt;=30,(0.31*F1832+0.77)*G1832,((0.31*30+0.77)+0.31*(F1832-30))*G1832)</f>
        <v>0</v>
      </c>
      <c r="I1832" s="420">
        <v>19.490000000000002</v>
      </c>
      <c r="J1832" s="420">
        <f t="shared" si="444"/>
        <v>19.490000000000002</v>
      </c>
      <c r="K1832" s="421">
        <f t="shared" si="434"/>
        <v>23.16</v>
      </c>
      <c r="L1832" s="647" t="s">
        <v>23</v>
      </c>
      <c r="M1832" s="576"/>
      <c r="N1832" s="576">
        <f t="shared" si="443"/>
        <v>0</v>
      </c>
      <c r="O1832" s="577">
        <f t="shared" si="438"/>
        <v>0</v>
      </c>
      <c r="P1832" s="578">
        <f t="shared" si="439"/>
        <v>0</v>
      </c>
      <c r="Q1832" s="765"/>
      <c r="R1832" s="576">
        <f t="shared" si="432"/>
        <v>0</v>
      </c>
      <c r="S1832" s="576">
        <f t="shared" si="432"/>
        <v>0</v>
      </c>
      <c r="T1832" s="577">
        <f t="shared" si="435"/>
        <v>0</v>
      </c>
      <c r="U1832" s="578">
        <f t="shared" si="436"/>
        <v>0</v>
      </c>
      <c r="V1832" s="579"/>
      <c r="W1832" s="566"/>
      <c r="X1832" s="586" t="str">
        <f t="shared" si="440"/>
        <v/>
      </c>
      <c r="Y1832" s="586" t="str">
        <f t="shared" si="431"/>
        <v/>
      </c>
      <c r="Z1832" s="586" t="str">
        <f t="shared" si="445"/>
        <v/>
      </c>
    </row>
    <row r="1833" spans="1:26" ht="12" hidden="1" thickBot="1" x14ac:dyDescent="0.25">
      <c r="A1833" s="567">
        <v>603600</v>
      </c>
      <c r="B1833" s="644">
        <v>603600</v>
      </c>
      <c r="C1833" s="645" t="s">
        <v>206</v>
      </c>
      <c r="D1833" s="422" t="s">
        <v>337</v>
      </c>
      <c r="E1833" s="423"/>
      <c r="F1833" s="424"/>
      <c r="G1833" s="425"/>
      <c r="H1833" s="651">
        <f>SUM(H1834:H1836)</f>
        <v>175.4948</v>
      </c>
      <c r="I1833" s="420">
        <v>278.64</v>
      </c>
      <c r="J1833" s="420">
        <f t="shared" si="444"/>
        <v>454.13479999999998</v>
      </c>
      <c r="K1833" s="421">
        <f t="shared" si="434"/>
        <v>539.55999999999995</v>
      </c>
      <c r="L1833" s="647" t="s">
        <v>16</v>
      </c>
      <c r="M1833" s="576"/>
      <c r="N1833" s="576">
        <f t="shared" si="443"/>
        <v>0</v>
      </c>
      <c r="O1833" s="577">
        <f t="shared" si="438"/>
        <v>0</v>
      </c>
      <c r="P1833" s="578">
        <f t="shared" si="439"/>
        <v>0</v>
      </c>
      <c r="Q1833" s="765"/>
      <c r="R1833" s="576">
        <f t="shared" si="432"/>
        <v>0</v>
      </c>
      <c r="S1833" s="576">
        <f t="shared" si="432"/>
        <v>0</v>
      </c>
      <c r="T1833" s="577">
        <f t="shared" si="435"/>
        <v>0</v>
      </c>
      <c r="U1833" s="578">
        <f t="shared" si="436"/>
        <v>0</v>
      </c>
      <c r="V1833" s="579"/>
      <c r="W1833" s="566"/>
      <c r="X1833" s="586" t="str">
        <f t="shared" si="440"/>
        <v/>
      </c>
      <c r="Y1833" s="586" t="str">
        <f t="shared" si="431"/>
        <v/>
      </c>
      <c r="Z1833" s="586" t="str">
        <f t="shared" si="445"/>
        <v/>
      </c>
    </row>
    <row r="1834" spans="1:26" ht="12" hidden="1" thickBot="1" x14ac:dyDescent="0.25">
      <c r="A1834" s="567" t="s">
        <v>168</v>
      </c>
      <c r="B1834" s="644" t="s">
        <v>168</v>
      </c>
      <c r="C1834" s="645"/>
      <c r="D1834" s="422" t="s">
        <v>212</v>
      </c>
      <c r="E1834" s="423"/>
      <c r="F1834" s="424">
        <v>500</v>
      </c>
      <c r="G1834" s="425">
        <v>0.1</v>
      </c>
      <c r="H1834" s="649">
        <f>IF(F1834&lt;=30,(0.78*F1834+7.82)*G1834,((0.78*30+7.82)+0.78*(F1834-30))*G1834)</f>
        <v>39.782000000000011</v>
      </c>
      <c r="I1834" s="420"/>
      <c r="J1834" s="420"/>
      <c r="K1834" s="421">
        <f t="shared" si="434"/>
        <v>0</v>
      </c>
      <c r="L1834" s="647"/>
      <c r="M1834" s="723"/>
      <c r="N1834" s="576">
        <f t="shared" si="443"/>
        <v>0</v>
      </c>
      <c r="O1834" s="577">
        <f t="shared" si="438"/>
        <v>0</v>
      </c>
      <c r="P1834" s="578">
        <f t="shared" si="439"/>
        <v>0</v>
      </c>
      <c r="Q1834" s="765"/>
      <c r="R1834" s="723"/>
      <c r="S1834" s="723"/>
      <c r="T1834" s="577">
        <f t="shared" si="435"/>
        <v>0</v>
      </c>
      <c r="U1834" s="578">
        <f t="shared" si="436"/>
        <v>0</v>
      </c>
      <c r="V1834" s="579"/>
      <c r="W1834" s="566" t="str">
        <f>IF(U1833&gt;0,"xx",IF(P1833&gt;0,"xy",""))</f>
        <v/>
      </c>
      <c r="X1834" s="586" t="str">
        <f t="shared" si="440"/>
        <v/>
      </c>
      <c r="Y1834" s="586" t="str">
        <f t="shared" si="431"/>
        <v/>
      </c>
      <c r="Z1834" s="586" t="str">
        <f t="shared" si="445"/>
        <v/>
      </c>
    </row>
    <row r="1835" spans="1:26" ht="12" hidden="1" thickBot="1" x14ac:dyDescent="0.25">
      <c r="A1835" s="567" t="s">
        <v>168</v>
      </c>
      <c r="B1835" s="644" t="s">
        <v>168</v>
      </c>
      <c r="C1835" s="645"/>
      <c r="D1835" s="422" t="s">
        <v>248</v>
      </c>
      <c r="E1835" s="423"/>
      <c r="F1835" s="424">
        <v>180</v>
      </c>
      <c r="G1835" s="425">
        <v>0.51</v>
      </c>
      <c r="H1835" s="663">
        <f t="shared" ref="H1835:H1840" si="446">IF(F1835&lt;=30,(1.07*F1835+2.68)*G1835,((1.07*30+2.68)+1.07*(F1835-30))*G1835)</f>
        <v>99.592799999999997</v>
      </c>
      <c r="I1835" s="420"/>
      <c r="J1835" s="420"/>
      <c r="K1835" s="421">
        <f t="shared" si="434"/>
        <v>0</v>
      </c>
      <c r="L1835" s="647"/>
      <c r="M1835" s="723"/>
      <c r="N1835" s="576">
        <f t="shared" si="443"/>
        <v>0</v>
      </c>
      <c r="O1835" s="577">
        <f t="shared" si="438"/>
        <v>0</v>
      </c>
      <c r="P1835" s="578">
        <f t="shared" si="439"/>
        <v>0</v>
      </c>
      <c r="Q1835" s="765"/>
      <c r="R1835" s="723"/>
      <c r="S1835" s="723"/>
      <c r="T1835" s="577">
        <f t="shared" si="435"/>
        <v>0</v>
      </c>
      <c r="U1835" s="578">
        <f t="shared" si="436"/>
        <v>0</v>
      </c>
      <c r="V1835" s="579"/>
      <c r="W1835" s="566" t="str">
        <f>IF(U1833&gt;0,"xx",IF(P1833&gt;0,"xy",""))</f>
        <v/>
      </c>
      <c r="X1835" s="586" t="str">
        <f t="shared" si="440"/>
        <v/>
      </c>
      <c r="Y1835" s="586" t="str">
        <f t="shared" si="431"/>
        <v/>
      </c>
      <c r="Z1835" s="586" t="str">
        <f t="shared" si="445"/>
        <v/>
      </c>
    </row>
    <row r="1836" spans="1:26" ht="12" hidden="1" thickBot="1" x14ac:dyDescent="0.25">
      <c r="A1836" s="567" t="s">
        <v>168</v>
      </c>
      <c r="B1836" s="644" t="s">
        <v>168</v>
      </c>
      <c r="C1836" s="645"/>
      <c r="D1836" s="422" t="s">
        <v>252</v>
      </c>
      <c r="E1836" s="423"/>
      <c r="F1836" s="424">
        <v>20</v>
      </c>
      <c r="G1836" s="425">
        <v>1.5</v>
      </c>
      <c r="H1836" s="663">
        <f t="shared" si="446"/>
        <v>36.120000000000005</v>
      </c>
      <c r="I1836" s="420"/>
      <c r="J1836" s="420"/>
      <c r="K1836" s="421">
        <f t="shared" si="434"/>
        <v>0</v>
      </c>
      <c r="L1836" s="647"/>
      <c r="M1836" s="723"/>
      <c r="N1836" s="576">
        <f t="shared" si="443"/>
        <v>0</v>
      </c>
      <c r="O1836" s="577">
        <f t="shared" si="438"/>
        <v>0</v>
      </c>
      <c r="P1836" s="578">
        <f t="shared" si="439"/>
        <v>0</v>
      </c>
      <c r="Q1836" s="765"/>
      <c r="R1836" s="723"/>
      <c r="S1836" s="723"/>
      <c r="T1836" s="577">
        <f t="shared" si="435"/>
        <v>0</v>
      </c>
      <c r="U1836" s="578">
        <f t="shared" si="436"/>
        <v>0</v>
      </c>
      <c r="V1836" s="579"/>
      <c r="W1836" s="566" t="str">
        <f>IF(U1833&gt;0,"xx",IF(P1833&gt;0,"xy",""))</f>
        <v/>
      </c>
      <c r="X1836" s="586" t="str">
        <f t="shared" si="440"/>
        <v/>
      </c>
      <c r="Y1836" s="586" t="str">
        <f t="shared" si="431"/>
        <v/>
      </c>
      <c r="Z1836" s="586" t="str">
        <f t="shared" si="445"/>
        <v/>
      </c>
    </row>
    <row r="1837" spans="1:26" ht="12" hidden="1" thickBot="1" x14ac:dyDescent="0.25">
      <c r="A1837" s="567">
        <v>603700</v>
      </c>
      <c r="B1837" s="644" t="s">
        <v>1646</v>
      </c>
      <c r="C1837" s="645" t="s">
        <v>206</v>
      </c>
      <c r="D1837" s="422" t="s">
        <v>338</v>
      </c>
      <c r="E1837" s="423"/>
      <c r="F1837" s="424">
        <v>20</v>
      </c>
      <c r="G1837" s="425">
        <v>1.8</v>
      </c>
      <c r="H1837" s="663">
        <f t="shared" si="446"/>
        <v>43.344000000000001</v>
      </c>
      <c r="I1837" s="420">
        <v>201.64</v>
      </c>
      <c r="J1837" s="420">
        <f>IF(ISBLANK(I1837),"",SUM(H1837:I1837))</f>
        <v>244.98399999999998</v>
      </c>
      <c r="K1837" s="421">
        <f t="shared" si="434"/>
        <v>291.07</v>
      </c>
      <c r="L1837" s="647" t="s">
        <v>16</v>
      </c>
      <c r="M1837" s="576"/>
      <c r="N1837" s="576">
        <f t="shared" si="443"/>
        <v>0</v>
      </c>
      <c r="O1837" s="577">
        <f t="shared" si="438"/>
        <v>0</v>
      </c>
      <c r="P1837" s="578">
        <f t="shared" si="439"/>
        <v>0</v>
      </c>
      <c r="Q1837" s="765"/>
      <c r="R1837" s="576">
        <f t="shared" si="432"/>
        <v>0</v>
      </c>
      <c r="S1837" s="576">
        <f>N1837</f>
        <v>0</v>
      </c>
      <c r="T1837" s="577">
        <f t="shared" si="435"/>
        <v>0</v>
      </c>
      <c r="U1837" s="578">
        <f t="shared" si="436"/>
        <v>0</v>
      </c>
      <c r="V1837" s="579"/>
      <c r="W1837" s="566"/>
      <c r="X1837" s="586" t="str">
        <f t="shared" si="440"/>
        <v/>
      </c>
      <c r="Y1837" s="586" t="str">
        <f t="shared" si="431"/>
        <v/>
      </c>
      <c r="Z1837" s="586" t="str">
        <f t="shared" si="445"/>
        <v/>
      </c>
    </row>
    <row r="1838" spans="1:26" ht="12" hidden="1" thickBot="1" x14ac:dyDescent="0.25">
      <c r="A1838" s="567">
        <v>603800</v>
      </c>
      <c r="B1838" s="644" t="s">
        <v>1647</v>
      </c>
      <c r="C1838" s="645" t="s">
        <v>206</v>
      </c>
      <c r="D1838" s="422" t="s">
        <v>339</v>
      </c>
      <c r="E1838" s="423"/>
      <c r="F1838" s="424">
        <v>20</v>
      </c>
      <c r="G1838" s="425">
        <v>1.5</v>
      </c>
      <c r="H1838" s="663">
        <f t="shared" si="446"/>
        <v>36.120000000000005</v>
      </c>
      <c r="I1838" s="420">
        <v>119.45</v>
      </c>
      <c r="J1838" s="420">
        <f>IF(ISBLANK(I1838),"",SUM(H1838:I1838))</f>
        <v>155.57</v>
      </c>
      <c r="K1838" s="421">
        <f t="shared" si="434"/>
        <v>184.83</v>
      </c>
      <c r="L1838" s="647" t="s">
        <v>16</v>
      </c>
      <c r="M1838" s="576"/>
      <c r="N1838" s="576">
        <f t="shared" si="443"/>
        <v>0</v>
      </c>
      <c r="O1838" s="577">
        <f t="shared" si="438"/>
        <v>0</v>
      </c>
      <c r="P1838" s="578">
        <f t="shared" si="439"/>
        <v>0</v>
      </c>
      <c r="Q1838" s="765"/>
      <c r="R1838" s="576">
        <f>M1838</f>
        <v>0</v>
      </c>
      <c r="S1838" s="576">
        <f>N1838</f>
        <v>0</v>
      </c>
      <c r="T1838" s="577">
        <f t="shared" si="435"/>
        <v>0</v>
      </c>
      <c r="U1838" s="578">
        <f t="shared" si="436"/>
        <v>0</v>
      </c>
      <c r="V1838" s="579"/>
      <c r="W1838" s="566"/>
      <c r="X1838" s="586" t="str">
        <f t="shared" si="440"/>
        <v/>
      </c>
      <c r="Y1838" s="586" t="str">
        <f t="shared" si="431"/>
        <v/>
      </c>
      <c r="Z1838" s="586" t="str">
        <f t="shared" si="445"/>
        <v/>
      </c>
    </row>
    <row r="1839" spans="1:26" ht="12" hidden="1" thickBot="1" x14ac:dyDescent="0.25">
      <c r="A1839" s="567">
        <v>532500</v>
      </c>
      <c r="B1839" s="644" t="s">
        <v>1878</v>
      </c>
      <c r="C1839" s="645" t="s">
        <v>206</v>
      </c>
      <c r="D1839" s="451" t="s">
        <v>340</v>
      </c>
      <c r="E1839" s="423"/>
      <c r="F1839" s="424">
        <v>20</v>
      </c>
      <c r="G1839" s="425">
        <v>1.7250000000000001</v>
      </c>
      <c r="H1839" s="663">
        <f t="shared" si="446"/>
        <v>41.538000000000004</v>
      </c>
      <c r="I1839" s="420">
        <v>97.26</v>
      </c>
      <c r="J1839" s="420">
        <f>IF(ISBLANK(I1839),"",SUM(H1839:I1839))</f>
        <v>138.798</v>
      </c>
      <c r="K1839" s="421">
        <f t="shared" si="434"/>
        <v>164.91</v>
      </c>
      <c r="L1839" s="647" t="s">
        <v>16</v>
      </c>
      <c r="M1839" s="576"/>
      <c r="N1839" s="576">
        <f t="shared" si="443"/>
        <v>0</v>
      </c>
      <c r="O1839" s="577">
        <f t="shared" si="438"/>
        <v>0</v>
      </c>
      <c r="P1839" s="578">
        <f t="shared" si="439"/>
        <v>0</v>
      </c>
      <c r="Q1839" s="765"/>
      <c r="R1839" s="576">
        <f>M1839</f>
        <v>0</v>
      </c>
      <c r="S1839" s="576">
        <f>N1839</f>
        <v>0</v>
      </c>
      <c r="T1839" s="577">
        <f t="shared" si="435"/>
        <v>0</v>
      </c>
      <c r="U1839" s="578">
        <f t="shared" si="436"/>
        <v>0</v>
      </c>
      <c r="V1839" s="579"/>
      <c r="W1839" s="566"/>
      <c r="X1839" s="586" t="str">
        <f t="shared" si="440"/>
        <v/>
      </c>
      <c r="Y1839" s="586" t="str">
        <f>IF(W1839="X","x",IF(W1839="y","x",IF(W1839="xx","x",IF(U1839&gt;0,"x",""))))</f>
        <v/>
      </c>
      <c r="Z1839" s="586" t="str">
        <f t="shared" si="445"/>
        <v/>
      </c>
    </row>
    <row r="1840" spans="1:26" ht="12" hidden="1" thickBot="1" x14ac:dyDescent="0.25">
      <c r="A1840" s="567">
        <v>603900</v>
      </c>
      <c r="B1840" s="644" t="s">
        <v>1879</v>
      </c>
      <c r="C1840" s="645" t="s">
        <v>206</v>
      </c>
      <c r="D1840" s="422" t="s">
        <v>341</v>
      </c>
      <c r="E1840" s="423"/>
      <c r="F1840" s="424">
        <v>20</v>
      </c>
      <c r="G1840" s="425">
        <v>1.5</v>
      </c>
      <c r="H1840" s="663">
        <f t="shared" si="446"/>
        <v>36.120000000000005</v>
      </c>
      <c r="I1840" s="420">
        <v>124.3</v>
      </c>
      <c r="J1840" s="420">
        <f>IF(ISBLANK(I1840),"",SUM(H1840:I1840))</f>
        <v>160.42000000000002</v>
      </c>
      <c r="K1840" s="421">
        <f t="shared" si="434"/>
        <v>190.6</v>
      </c>
      <c r="L1840" s="647" t="s">
        <v>16</v>
      </c>
      <c r="M1840" s="576"/>
      <c r="N1840" s="576">
        <f t="shared" si="443"/>
        <v>0</v>
      </c>
      <c r="O1840" s="577">
        <f t="shared" si="438"/>
        <v>0</v>
      </c>
      <c r="P1840" s="578">
        <f t="shared" si="439"/>
        <v>0</v>
      </c>
      <c r="Q1840" s="765"/>
      <c r="R1840" s="576">
        <f>M1840</f>
        <v>0</v>
      </c>
      <c r="S1840" s="576">
        <f>N1840</f>
        <v>0</v>
      </c>
      <c r="T1840" s="577">
        <f t="shared" si="435"/>
        <v>0</v>
      </c>
      <c r="U1840" s="578">
        <f t="shared" si="436"/>
        <v>0</v>
      </c>
      <c r="V1840" s="579"/>
      <c r="W1840" s="566"/>
      <c r="X1840" s="586" t="str">
        <f t="shared" si="440"/>
        <v/>
      </c>
      <c r="Y1840" s="586" t="str">
        <f t="shared" si="431"/>
        <v/>
      </c>
      <c r="Z1840" s="586" t="str">
        <f t="shared" si="445"/>
        <v/>
      </c>
    </row>
    <row r="1841" spans="1:26" ht="12" hidden="1" thickBot="1" x14ac:dyDescent="0.25">
      <c r="A1841" s="567">
        <v>605000</v>
      </c>
      <c r="B1841" s="644" t="s">
        <v>1880</v>
      </c>
      <c r="C1841" s="645" t="s">
        <v>206</v>
      </c>
      <c r="D1841" s="422" t="s">
        <v>274</v>
      </c>
      <c r="E1841" s="423"/>
      <c r="F1841" s="424"/>
      <c r="G1841" s="425"/>
      <c r="H1841" s="651">
        <f>SUM(H1842:H1844)</f>
        <v>305.33319999999998</v>
      </c>
      <c r="I1841" s="420">
        <v>408.95</v>
      </c>
      <c r="J1841" s="420">
        <f>IF(ISBLANK(I1841),"",SUM(H1841:I1841))</f>
        <v>714.28319999999997</v>
      </c>
      <c r="K1841" s="421">
        <f t="shared" si="434"/>
        <v>848.64</v>
      </c>
      <c r="L1841" s="647" t="s">
        <v>16</v>
      </c>
      <c r="M1841" s="576"/>
      <c r="N1841" s="576">
        <f t="shared" si="443"/>
        <v>0</v>
      </c>
      <c r="O1841" s="577">
        <f t="shared" si="438"/>
        <v>0</v>
      </c>
      <c r="P1841" s="578">
        <f t="shared" si="439"/>
        <v>0</v>
      </c>
      <c r="Q1841" s="765"/>
      <c r="R1841" s="576">
        <f>M1841</f>
        <v>0</v>
      </c>
      <c r="S1841" s="576">
        <f>N1841</f>
        <v>0</v>
      </c>
      <c r="T1841" s="577">
        <f t="shared" si="435"/>
        <v>0</v>
      </c>
      <c r="U1841" s="578">
        <f t="shared" si="436"/>
        <v>0</v>
      </c>
      <c r="V1841" s="579"/>
      <c r="W1841" s="566"/>
      <c r="X1841" s="586" t="str">
        <f t="shared" si="440"/>
        <v/>
      </c>
      <c r="Y1841" s="586" t="str">
        <f t="shared" si="431"/>
        <v/>
      </c>
      <c r="Z1841" s="586" t="str">
        <f t="shared" si="445"/>
        <v/>
      </c>
    </row>
    <row r="1842" spans="1:26" ht="12" hidden="1" thickBot="1" x14ac:dyDescent="0.25">
      <c r="A1842" s="567" t="s">
        <v>168</v>
      </c>
      <c r="B1842" s="644" t="s">
        <v>168</v>
      </c>
      <c r="C1842" s="645"/>
      <c r="D1842" s="451" t="s">
        <v>212</v>
      </c>
      <c r="E1842" s="423"/>
      <c r="F1842" s="424">
        <v>500</v>
      </c>
      <c r="G1842" s="425">
        <v>0.18</v>
      </c>
      <c r="H1842" s="649">
        <f>IF(F1842&lt;=30,(0.78*F1842+7.82)*G1842,((0.78*30+7.82)+0.78*(F1842-30))*G1842)</f>
        <v>71.607600000000005</v>
      </c>
      <c r="I1842" s="420">
        <v>0</v>
      </c>
      <c r="J1842" s="420"/>
      <c r="K1842" s="421">
        <f t="shared" si="434"/>
        <v>0</v>
      </c>
      <c r="L1842" s="668" t="s">
        <v>614</v>
      </c>
      <c r="M1842" s="669"/>
      <c r="N1842" s="576">
        <f t="shared" si="443"/>
        <v>0</v>
      </c>
      <c r="O1842" s="577">
        <f t="shared" si="438"/>
        <v>0</v>
      </c>
      <c r="P1842" s="578">
        <f t="shared" si="439"/>
        <v>0</v>
      </c>
      <c r="Q1842" s="765"/>
      <c r="R1842" s="669"/>
      <c r="S1842" s="670"/>
      <c r="T1842" s="577">
        <f t="shared" si="435"/>
        <v>0</v>
      </c>
      <c r="U1842" s="578">
        <f t="shared" si="436"/>
        <v>0</v>
      </c>
      <c r="V1842" s="579"/>
      <c r="W1842" s="637" t="str">
        <f>IF(U1841&gt;0,"xx",IF(P1841&gt;0,"xy",""))</f>
        <v/>
      </c>
      <c r="X1842" s="586" t="str">
        <f t="shared" si="440"/>
        <v/>
      </c>
      <c r="Y1842" s="586" t="str">
        <f t="shared" si="431"/>
        <v/>
      </c>
      <c r="Z1842" s="586" t="str">
        <f t="shared" si="445"/>
        <v/>
      </c>
    </row>
    <row r="1843" spans="1:26" ht="12" hidden="1" thickBot="1" x14ac:dyDescent="0.25">
      <c r="A1843" s="567" t="s">
        <v>168</v>
      </c>
      <c r="B1843" s="644" t="s">
        <v>168</v>
      </c>
      <c r="C1843" s="645"/>
      <c r="D1843" s="451" t="s">
        <v>248</v>
      </c>
      <c r="E1843" s="423"/>
      <c r="F1843" s="424">
        <v>180</v>
      </c>
      <c r="G1843" s="425">
        <v>1.06</v>
      </c>
      <c r="H1843" s="663">
        <f t="shared" ref="H1843:H1844" si="447">IF(F1843&lt;=30,(1.07*F1843+2.68)*G1843,((1.07*30+2.68)+1.07*(F1843-30))*G1843)</f>
        <v>206.99680000000001</v>
      </c>
      <c r="I1843" s="420">
        <v>0</v>
      </c>
      <c r="J1843" s="420"/>
      <c r="K1843" s="421">
        <f t="shared" si="434"/>
        <v>0</v>
      </c>
      <c r="L1843" s="668" t="s">
        <v>614</v>
      </c>
      <c r="M1843" s="669"/>
      <c r="N1843" s="576">
        <f t="shared" si="443"/>
        <v>0</v>
      </c>
      <c r="O1843" s="577">
        <f t="shared" si="438"/>
        <v>0</v>
      </c>
      <c r="P1843" s="578">
        <f t="shared" si="439"/>
        <v>0</v>
      </c>
      <c r="Q1843" s="765"/>
      <c r="R1843" s="669"/>
      <c r="S1843" s="670"/>
      <c r="T1843" s="577">
        <f t="shared" si="435"/>
        <v>0</v>
      </c>
      <c r="U1843" s="578">
        <f t="shared" si="436"/>
        <v>0</v>
      </c>
      <c r="V1843" s="579"/>
      <c r="W1843" s="637" t="str">
        <f>IF(U1841&gt;0,"xx",IF(P1841&gt;0,"xy",""))</f>
        <v/>
      </c>
      <c r="X1843" s="586" t="str">
        <f t="shared" si="440"/>
        <v/>
      </c>
      <c r="Y1843" s="586" t="str">
        <f t="shared" si="431"/>
        <v/>
      </c>
      <c r="Z1843" s="586" t="str">
        <f t="shared" si="445"/>
        <v/>
      </c>
    </row>
    <row r="1844" spans="1:26" ht="12" hidden="1" thickBot="1" x14ac:dyDescent="0.25">
      <c r="A1844" s="567" t="s">
        <v>168</v>
      </c>
      <c r="B1844" s="644" t="s">
        <v>168</v>
      </c>
      <c r="C1844" s="645"/>
      <c r="D1844" s="451" t="s">
        <v>252</v>
      </c>
      <c r="E1844" s="423"/>
      <c r="F1844" s="424">
        <v>20</v>
      </c>
      <c r="G1844" s="425">
        <v>1.1100000000000001</v>
      </c>
      <c r="H1844" s="663">
        <f t="shared" si="447"/>
        <v>26.728800000000003</v>
      </c>
      <c r="I1844" s="420">
        <v>0</v>
      </c>
      <c r="J1844" s="420"/>
      <c r="K1844" s="421">
        <f t="shared" si="434"/>
        <v>0</v>
      </c>
      <c r="L1844" s="668" t="s">
        <v>614</v>
      </c>
      <c r="M1844" s="669"/>
      <c r="N1844" s="576">
        <f t="shared" si="443"/>
        <v>0</v>
      </c>
      <c r="O1844" s="577">
        <f t="shared" si="438"/>
        <v>0</v>
      </c>
      <c r="P1844" s="578">
        <f t="shared" si="439"/>
        <v>0</v>
      </c>
      <c r="Q1844" s="765"/>
      <c r="R1844" s="669"/>
      <c r="S1844" s="670"/>
      <c r="T1844" s="577">
        <f t="shared" si="435"/>
        <v>0</v>
      </c>
      <c r="U1844" s="578">
        <f t="shared" si="436"/>
        <v>0</v>
      </c>
      <c r="V1844" s="579"/>
      <c r="W1844" s="637" t="str">
        <f>IF(U1841&gt;0,"xx",IF(P1841&gt;0,"xy",""))</f>
        <v/>
      </c>
      <c r="X1844" s="586" t="str">
        <f t="shared" si="440"/>
        <v/>
      </c>
      <c r="Y1844" s="586" t="str">
        <f t="shared" si="431"/>
        <v/>
      </c>
      <c r="Z1844" s="586" t="str">
        <f t="shared" si="445"/>
        <v/>
      </c>
    </row>
    <row r="1845" spans="1:26" ht="12" hidden="1" thickBot="1" x14ac:dyDescent="0.25">
      <c r="A1845" s="567">
        <v>603500</v>
      </c>
      <c r="B1845" s="644">
        <v>603500</v>
      </c>
      <c r="C1845" s="645" t="s">
        <v>206</v>
      </c>
      <c r="D1845" s="422" t="s">
        <v>342</v>
      </c>
      <c r="E1845" s="423"/>
      <c r="F1845" s="424"/>
      <c r="G1845" s="425"/>
      <c r="H1845" s="651">
        <f>IF(F1845&lt;=30,(0.31*F1845+0.77)*G1845,((0.31*30+0.77)+0.31*(F1845-30))*G1845)</f>
        <v>0</v>
      </c>
      <c r="I1845" s="420">
        <v>1272.48</v>
      </c>
      <c r="J1845" s="420">
        <f>IF(ISBLANK(I1845),"",SUM(H1845:I1845))</f>
        <v>1272.48</v>
      </c>
      <c r="K1845" s="421">
        <f t="shared" si="434"/>
        <v>1511.83</v>
      </c>
      <c r="L1845" s="647" t="s">
        <v>16</v>
      </c>
      <c r="M1845" s="576"/>
      <c r="N1845" s="576">
        <f t="shared" si="443"/>
        <v>0</v>
      </c>
      <c r="O1845" s="577">
        <f t="shared" si="438"/>
        <v>0</v>
      </c>
      <c r="P1845" s="578">
        <f t="shared" si="439"/>
        <v>0</v>
      </c>
      <c r="Q1845" s="765"/>
      <c r="R1845" s="576">
        <f t="shared" ref="R1845:S1847" si="448">M1845</f>
        <v>0</v>
      </c>
      <c r="S1845" s="576">
        <f t="shared" si="448"/>
        <v>0</v>
      </c>
      <c r="T1845" s="577">
        <f t="shared" si="435"/>
        <v>0</v>
      </c>
      <c r="U1845" s="578">
        <f t="shared" si="436"/>
        <v>0</v>
      </c>
      <c r="V1845" s="579"/>
      <c r="W1845" s="566"/>
      <c r="X1845" s="586" t="str">
        <f t="shared" si="440"/>
        <v/>
      </c>
      <c r="Y1845" s="586" t="str">
        <f t="shared" si="431"/>
        <v/>
      </c>
      <c r="Z1845" s="586" t="str">
        <f t="shared" si="445"/>
        <v/>
      </c>
    </row>
    <row r="1846" spans="1:26" ht="12" hidden="1" thickBot="1" x14ac:dyDescent="0.25">
      <c r="A1846" s="567">
        <v>603500</v>
      </c>
      <c r="B1846" s="644" t="s">
        <v>1881</v>
      </c>
      <c r="C1846" s="645" t="s">
        <v>206</v>
      </c>
      <c r="D1846" s="422" t="s">
        <v>343</v>
      </c>
      <c r="E1846" s="423"/>
      <c r="F1846" s="424"/>
      <c r="G1846" s="425"/>
      <c r="H1846" s="651">
        <f>IF(F1846&lt;=30,(0.31*F1846+0.77)*G1846,((0.31*30+0.77)+0.31*(F1846-30))*G1846)</f>
        <v>0</v>
      </c>
      <c r="I1846" s="420">
        <v>806.62687000000005</v>
      </c>
      <c r="J1846" s="420">
        <f>IF(ISBLANK(I1846),"",SUM(H1846:I1846))*0.86</f>
        <v>693.69910820000007</v>
      </c>
      <c r="K1846" s="421">
        <f t="shared" si="434"/>
        <v>824.18</v>
      </c>
      <c r="L1846" s="647" t="s">
        <v>16</v>
      </c>
      <c r="M1846" s="576"/>
      <c r="N1846" s="576">
        <f t="shared" si="443"/>
        <v>0</v>
      </c>
      <c r="O1846" s="577">
        <f t="shared" si="438"/>
        <v>0</v>
      </c>
      <c r="P1846" s="578">
        <f t="shared" si="439"/>
        <v>0</v>
      </c>
      <c r="Q1846" s="765"/>
      <c r="R1846" s="576">
        <f t="shared" si="448"/>
        <v>0</v>
      </c>
      <c r="S1846" s="576">
        <f t="shared" si="448"/>
        <v>0</v>
      </c>
      <c r="T1846" s="577">
        <f t="shared" si="435"/>
        <v>0</v>
      </c>
      <c r="U1846" s="578">
        <f t="shared" si="436"/>
        <v>0</v>
      </c>
      <c r="V1846" s="579"/>
      <c r="W1846" s="566"/>
      <c r="X1846" s="586" t="str">
        <f t="shared" si="440"/>
        <v/>
      </c>
      <c r="Y1846" s="586" t="str">
        <f t="shared" si="431"/>
        <v/>
      </c>
      <c r="Z1846" s="586" t="str">
        <f t="shared" si="445"/>
        <v/>
      </c>
    </row>
    <row r="1847" spans="1:26" ht="12" hidden="1" thickBot="1" x14ac:dyDescent="0.25">
      <c r="A1847" s="567">
        <v>604000</v>
      </c>
      <c r="B1847" s="644">
        <v>604000</v>
      </c>
      <c r="C1847" s="645" t="s">
        <v>206</v>
      </c>
      <c r="D1847" s="422" t="s">
        <v>344</v>
      </c>
      <c r="E1847" s="423"/>
      <c r="F1847" s="424"/>
      <c r="G1847" s="425"/>
      <c r="H1847" s="651">
        <f>SUM(H1848:H1849)</f>
        <v>480.21987999999999</v>
      </c>
      <c r="I1847" s="420">
        <v>507.14</v>
      </c>
      <c r="J1847" s="420">
        <f>IF(ISBLANK(I1847),"",SUM(H1847:I1847))</f>
        <v>987.35987999999998</v>
      </c>
      <c r="K1847" s="421">
        <f t="shared" si="434"/>
        <v>1173.08</v>
      </c>
      <c r="L1847" s="647" t="s">
        <v>16</v>
      </c>
      <c r="M1847" s="576"/>
      <c r="N1847" s="576">
        <f t="shared" si="443"/>
        <v>0</v>
      </c>
      <c r="O1847" s="577">
        <f t="shared" si="438"/>
        <v>0</v>
      </c>
      <c r="P1847" s="578">
        <f t="shared" si="439"/>
        <v>0</v>
      </c>
      <c r="Q1847" s="765"/>
      <c r="R1847" s="576">
        <f t="shared" si="448"/>
        <v>0</v>
      </c>
      <c r="S1847" s="576">
        <f t="shared" si="448"/>
        <v>0</v>
      </c>
      <c r="T1847" s="577">
        <f t="shared" si="435"/>
        <v>0</v>
      </c>
      <c r="U1847" s="578">
        <f t="shared" si="436"/>
        <v>0</v>
      </c>
      <c r="V1847" s="579"/>
      <c r="W1847" s="566"/>
      <c r="X1847" s="586" t="str">
        <f t="shared" si="440"/>
        <v/>
      </c>
      <c r="Y1847" s="586" t="str">
        <f t="shared" si="431"/>
        <v/>
      </c>
      <c r="Z1847" s="586" t="str">
        <f t="shared" si="445"/>
        <v/>
      </c>
    </row>
    <row r="1848" spans="1:26" ht="12" hidden="1" thickBot="1" x14ac:dyDescent="0.25">
      <c r="A1848" s="567" t="s">
        <v>168</v>
      </c>
      <c r="B1848" s="644" t="s">
        <v>168</v>
      </c>
      <c r="C1848" s="645"/>
      <c r="D1848" s="422" t="s">
        <v>212</v>
      </c>
      <c r="E1848" s="423"/>
      <c r="F1848" s="424">
        <v>500</v>
      </c>
      <c r="G1848" s="425">
        <v>0.434</v>
      </c>
      <c r="H1848" s="649">
        <f>IF(F1848&lt;=30,(0.78*F1848+7.82)*G1848,((0.78*30+7.82)+0.78*(F1848-30))*G1848)</f>
        <v>172.65388000000002</v>
      </c>
      <c r="I1848" s="420"/>
      <c r="J1848" s="420"/>
      <c r="K1848" s="421">
        <f t="shared" si="434"/>
        <v>0</v>
      </c>
      <c r="L1848" s="647"/>
      <c r="M1848" s="723"/>
      <c r="N1848" s="576">
        <f t="shared" si="443"/>
        <v>0</v>
      </c>
      <c r="O1848" s="577">
        <f t="shared" si="438"/>
        <v>0</v>
      </c>
      <c r="P1848" s="578">
        <f t="shared" si="439"/>
        <v>0</v>
      </c>
      <c r="Q1848" s="765"/>
      <c r="R1848" s="723"/>
      <c r="S1848" s="723"/>
      <c r="T1848" s="577">
        <f t="shared" si="435"/>
        <v>0</v>
      </c>
      <c r="U1848" s="578">
        <f t="shared" si="436"/>
        <v>0</v>
      </c>
      <c r="V1848" s="579"/>
      <c r="W1848" s="566" t="str">
        <f>IF(U1847&gt;0,"xx",IF(P1847&gt;0,"xy",""))</f>
        <v/>
      </c>
      <c r="X1848" s="586" t="str">
        <f t="shared" si="440"/>
        <v/>
      </c>
      <c r="Y1848" s="586" t="str">
        <f t="shared" si="431"/>
        <v/>
      </c>
      <c r="Z1848" s="586" t="str">
        <f t="shared" si="445"/>
        <v/>
      </c>
    </row>
    <row r="1849" spans="1:26" ht="12" hidden="1" thickBot="1" x14ac:dyDescent="0.25">
      <c r="A1849" s="567" t="s">
        <v>168</v>
      </c>
      <c r="B1849" s="644" t="s">
        <v>168</v>
      </c>
      <c r="C1849" s="645"/>
      <c r="D1849" s="422" t="s">
        <v>248</v>
      </c>
      <c r="E1849" s="423"/>
      <c r="F1849" s="424">
        <v>180</v>
      </c>
      <c r="G1849" s="425">
        <v>1.575</v>
      </c>
      <c r="H1849" s="663">
        <f t="shared" ref="H1849" si="449">IF(F1849&lt;=30,(1.07*F1849+2.68)*G1849,((1.07*30+2.68)+1.07*(F1849-30))*G1849)</f>
        <v>307.56599999999997</v>
      </c>
      <c r="I1849" s="420"/>
      <c r="J1849" s="420"/>
      <c r="K1849" s="421">
        <f t="shared" si="434"/>
        <v>0</v>
      </c>
      <c r="L1849" s="647"/>
      <c r="M1849" s="723"/>
      <c r="N1849" s="576">
        <f t="shared" si="443"/>
        <v>0</v>
      </c>
      <c r="O1849" s="577">
        <f t="shared" si="438"/>
        <v>0</v>
      </c>
      <c r="P1849" s="578">
        <f t="shared" si="439"/>
        <v>0</v>
      </c>
      <c r="Q1849" s="765"/>
      <c r="R1849" s="723"/>
      <c r="S1849" s="723"/>
      <c r="T1849" s="577">
        <f t="shared" si="435"/>
        <v>0</v>
      </c>
      <c r="U1849" s="578">
        <f t="shared" si="436"/>
        <v>0</v>
      </c>
      <c r="V1849" s="579"/>
      <c r="W1849" s="566" t="str">
        <f>IF(U1847&gt;0,"xx",IF(P1847&gt;0,"xy",""))</f>
        <v/>
      </c>
      <c r="X1849" s="586" t="str">
        <f t="shared" si="440"/>
        <v/>
      </c>
      <c r="Y1849" s="586" t="str">
        <f t="shared" si="431"/>
        <v/>
      </c>
      <c r="Z1849" s="586" t="str">
        <f t="shared" si="445"/>
        <v/>
      </c>
    </row>
    <row r="1850" spans="1:26" ht="12" hidden="1" thickBot="1" x14ac:dyDescent="0.25">
      <c r="A1850" s="567">
        <v>604100</v>
      </c>
      <c r="B1850" s="644">
        <v>604100</v>
      </c>
      <c r="C1850" s="645" t="s">
        <v>206</v>
      </c>
      <c r="D1850" s="422" t="s">
        <v>345</v>
      </c>
      <c r="E1850" s="423"/>
      <c r="F1850" s="424"/>
      <c r="G1850" s="425"/>
      <c r="H1850" s="651">
        <f>SUM(H1851:H1852)</f>
        <v>497.14390000000003</v>
      </c>
      <c r="I1850" s="420">
        <v>449.91999999999996</v>
      </c>
      <c r="J1850" s="420">
        <f>IF(ISBLANK(I1850),"",SUM(H1850:I1850))</f>
        <v>947.06389999999999</v>
      </c>
      <c r="K1850" s="421">
        <f t="shared" si="434"/>
        <v>1125.21</v>
      </c>
      <c r="L1850" s="647" t="s">
        <v>16</v>
      </c>
      <c r="M1850" s="576"/>
      <c r="N1850" s="576">
        <f t="shared" si="443"/>
        <v>0</v>
      </c>
      <c r="O1850" s="577">
        <f t="shared" si="438"/>
        <v>0</v>
      </c>
      <c r="P1850" s="578">
        <f t="shared" si="439"/>
        <v>0</v>
      </c>
      <c r="Q1850" s="765"/>
      <c r="R1850" s="576">
        <f>M1850</f>
        <v>0</v>
      </c>
      <c r="S1850" s="576">
        <f>N1850</f>
        <v>0</v>
      </c>
      <c r="T1850" s="577">
        <f t="shared" si="435"/>
        <v>0</v>
      </c>
      <c r="U1850" s="578">
        <f t="shared" si="436"/>
        <v>0</v>
      </c>
      <c r="V1850" s="579"/>
      <c r="W1850" s="566"/>
      <c r="X1850" s="586" t="str">
        <f t="shared" si="440"/>
        <v/>
      </c>
      <c r="Y1850" s="586" t="str">
        <f t="shared" si="431"/>
        <v/>
      </c>
      <c r="Z1850" s="586" t="str">
        <f t="shared" si="445"/>
        <v/>
      </c>
    </row>
    <row r="1851" spans="1:26" ht="12" hidden="1" thickBot="1" x14ac:dyDescent="0.25">
      <c r="A1851" s="567" t="s">
        <v>168</v>
      </c>
      <c r="B1851" s="644" t="s">
        <v>168</v>
      </c>
      <c r="C1851" s="645"/>
      <c r="D1851" s="422" t="s">
        <v>212</v>
      </c>
      <c r="E1851" s="423"/>
      <c r="F1851" s="424">
        <v>500</v>
      </c>
      <c r="G1851" s="425">
        <v>0.42499999999999999</v>
      </c>
      <c r="H1851" s="649">
        <f>IF(F1851&lt;=30,(0.78*F1851+7.82)*G1851,((0.78*30+7.82)+0.78*(F1851-30))*G1851)</f>
        <v>169.07350000000002</v>
      </c>
      <c r="I1851" s="420"/>
      <c r="J1851" s="420"/>
      <c r="K1851" s="421">
        <f t="shared" si="434"/>
        <v>0</v>
      </c>
      <c r="L1851" s="647"/>
      <c r="M1851" s="723"/>
      <c r="N1851" s="576">
        <f t="shared" si="443"/>
        <v>0</v>
      </c>
      <c r="O1851" s="577">
        <f t="shared" si="438"/>
        <v>0</v>
      </c>
      <c r="P1851" s="578">
        <f t="shared" si="439"/>
        <v>0</v>
      </c>
      <c r="Q1851" s="765"/>
      <c r="R1851" s="723"/>
      <c r="S1851" s="723"/>
      <c r="T1851" s="577">
        <f t="shared" si="435"/>
        <v>0</v>
      </c>
      <c r="U1851" s="578">
        <f t="shared" si="436"/>
        <v>0</v>
      </c>
      <c r="V1851" s="579"/>
      <c r="W1851" s="566" t="str">
        <f>IF(U1850&gt;0,"xx",IF(P1850&gt;0,"xy",""))</f>
        <v/>
      </c>
      <c r="X1851" s="586" t="str">
        <f t="shared" si="440"/>
        <v/>
      </c>
      <c r="Y1851" s="586" t="str">
        <f t="shared" si="431"/>
        <v/>
      </c>
      <c r="Z1851" s="586" t="str">
        <f t="shared" si="445"/>
        <v/>
      </c>
    </row>
    <row r="1852" spans="1:26" ht="12" hidden="1" thickBot="1" x14ac:dyDescent="0.25">
      <c r="A1852" s="567" t="s">
        <v>168</v>
      </c>
      <c r="B1852" s="644" t="s">
        <v>168</v>
      </c>
      <c r="C1852" s="645"/>
      <c r="D1852" s="422" t="s">
        <v>248</v>
      </c>
      <c r="E1852" s="423"/>
      <c r="F1852" s="424">
        <v>180</v>
      </c>
      <c r="G1852" s="425">
        <v>1.68</v>
      </c>
      <c r="H1852" s="663">
        <f t="shared" ref="H1852:H1855" si="450">IF(F1852&lt;=30,(1.07*F1852+2.68)*G1852,((1.07*30+2.68)+1.07*(F1852-30))*G1852)</f>
        <v>328.07040000000001</v>
      </c>
      <c r="I1852" s="420"/>
      <c r="J1852" s="420"/>
      <c r="K1852" s="421">
        <f t="shared" si="434"/>
        <v>0</v>
      </c>
      <c r="L1852" s="647"/>
      <c r="M1852" s="723"/>
      <c r="N1852" s="576">
        <f t="shared" si="443"/>
        <v>0</v>
      </c>
      <c r="O1852" s="577">
        <f t="shared" si="438"/>
        <v>0</v>
      </c>
      <c r="P1852" s="578">
        <f t="shared" si="439"/>
        <v>0</v>
      </c>
      <c r="Q1852" s="765"/>
      <c r="R1852" s="723"/>
      <c r="S1852" s="723"/>
      <c r="T1852" s="577">
        <f t="shared" ref="T1852:T1919" si="451">IF(ISBLANK(R1852),0,ROUND(K1852*R1852,2))</f>
        <v>0</v>
      </c>
      <c r="U1852" s="578">
        <f t="shared" ref="U1852:U1919" si="452">IF(ISBLANK(R1852),0,ROUND(R1852*S1852,2))</f>
        <v>0</v>
      </c>
      <c r="V1852" s="579"/>
      <c r="W1852" s="566" t="str">
        <f>IF(U1850&gt;0,"xx",IF(P1850&gt;0,"xy",""))</f>
        <v/>
      </c>
      <c r="X1852" s="586" t="str">
        <f t="shared" si="440"/>
        <v/>
      </c>
      <c r="Y1852" s="586" t="str">
        <f t="shared" si="431"/>
        <v/>
      </c>
      <c r="Z1852" s="586" t="str">
        <f t="shared" si="445"/>
        <v/>
      </c>
    </row>
    <row r="1853" spans="1:26" ht="12" hidden="1" thickBot="1" x14ac:dyDescent="0.25">
      <c r="A1853" s="567">
        <v>640000</v>
      </c>
      <c r="B1853" s="644">
        <v>640000</v>
      </c>
      <c r="C1853" s="645" t="s">
        <v>206</v>
      </c>
      <c r="D1853" s="422" t="s">
        <v>346</v>
      </c>
      <c r="E1853" s="423"/>
      <c r="F1853" s="424"/>
      <c r="G1853" s="425"/>
      <c r="H1853" s="651">
        <f>SUM(H1854:H1855)</f>
        <v>100.25912000000001</v>
      </c>
      <c r="I1853" s="420">
        <v>95.3</v>
      </c>
      <c r="J1853" s="420">
        <f>IF(ISBLANK(I1853),"",SUM(H1853:I1853))</f>
        <v>195.55912000000001</v>
      </c>
      <c r="K1853" s="421">
        <f t="shared" si="434"/>
        <v>232.34</v>
      </c>
      <c r="L1853" s="647" t="s">
        <v>19</v>
      </c>
      <c r="M1853" s="576"/>
      <c r="N1853" s="576">
        <f t="shared" si="443"/>
        <v>0</v>
      </c>
      <c r="O1853" s="577">
        <f t="shared" ref="O1853:O1920" si="453">IF(ISBLANK(M1853),0,ROUND(K1853*M1853,2))</f>
        <v>0</v>
      </c>
      <c r="P1853" s="578">
        <f t="shared" ref="P1853:P1920" si="454">IF(ISBLANK(N1853),0,ROUND(M1853*N1853,2))</f>
        <v>0</v>
      </c>
      <c r="Q1853" s="765"/>
      <c r="R1853" s="576">
        <f>M1853</f>
        <v>0</v>
      </c>
      <c r="S1853" s="576">
        <f>N1853</f>
        <v>0</v>
      </c>
      <c r="T1853" s="577">
        <f t="shared" si="451"/>
        <v>0</v>
      </c>
      <c r="U1853" s="578">
        <f t="shared" si="452"/>
        <v>0</v>
      </c>
      <c r="V1853" s="579"/>
      <c r="W1853" s="566"/>
      <c r="X1853" s="586" t="str">
        <f t="shared" si="440"/>
        <v/>
      </c>
      <c r="Y1853" s="586" t="str">
        <f t="shared" si="431"/>
        <v/>
      </c>
      <c r="Z1853" s="586" t="str">
        <f t="shared" si="445"/>
        <v/>
      </c>
    </row>
    <row r="1854" spans="1:26" ht="12" hidden="1" thickBot="1" x14ac:dyDescent="0.25">
      <c r="A1854" s="567" t="s">
        <v>168</v>
      </c>
      <c r="B1854" s="644" t="s">
        <v>168</v>
      </c>
      <c r="C1854" s="645"/>
      <c r="D1854" s="422" t="s">
        <v>248</v>
      </c>
      <c r="E1854" s="423"/>
      <c r="F1854" s="424">
        <v>180</v>
      </c>
      <c r="G1854" s="425">
        <v>0.50700000000000001</v>
      </c>
      <c r="H1854" s="663">
        <f t="shared" si="450"/>
        <v>99.006960000000007</v>
      </c>
      <c r="I1854" s="420"/>
      <c r="J1854" s="420"/>
      <c r="K1854" s="421">
        <f t="shared" si="434"/>
        <v>0</v>
      </c>
      <c r="L1854" s="647"/>
      <c r="M1854" s="723"/>
      <c r="N1854" s="576">
        <f t="shared" si="443"/>
        <v>0</v>
      </c>
      <c r="O1854" s="577">
        <f t="shared" si="453"/>
        <v>0</v>
      </c>
      <c r="P1854" s="578">
        <f t="shared" si="454"/>
        <v>0</v>
      </c>
      <c r="Q1854" s="765"/>
      <c r="R1854" s="723"/>
      <c r="S1854" s="723"/>
      <c r="T1854" s="577">
        <f t="shared" si="451"/>
        <v>0</v>
      </c>
      <c r="U1854" s="578">
        <f t="shared" si="452"/>
        <v>0</v>
      </c>
      <c r="V1854" s="579"/>
      <c r="W1854" s="566" t="str">
        <f>IF(U1853&gt;0,"xx",IF(P1853&gt;0,"xy",""))</f>
        <v/>
      </c>
      <c r="X1854" s="586" t="str">
        <f t="shared" si="440"/>
        <v/>
      </c>
      <c r="Y1854" s="586" t="str">
        <f t="shared" si="431"/>
        <v/>
      </c>
      <c r="Z1854" s="586" t="str">
        <f t="shared" si="445"/>
        <v/>
      </c>
    </row>
    <row r="1855" spans="1:26" ht="12" hidden="1" thickBot="1" x14ac:dyDescent="0.25">
      <c r="A1855" s="567" t="s">
        <v>168</v>
      </c>
      <c r="B1855" s="644" t="s">
        <v>168</v>
      </c>
      <c r="C1855" s="645"/>
      <c r="D1855" s="422" t="s">
        <v>347</v>
      </c>
      <c r="E1855" s="423"/>
      <c r="F1855" s="424">
        <v>20</v>
      </c>
      <c r="G1855" s="425">
        <v>5.1999999999999998E-2</v>
      </c>
      <c r="H1855" s="663">
        <f t="shared" si="450"/>
        <v>1.2521599999999999</v>
      </c>
      <c r="I1855" s="420"/>
      <c r="J1855" s="420"/>
      <c r="K1855" s="421">
        <f t="shared" si="434"/>
        <v>0</v>
      </c>
      <c r="L1855" s="647"/>
      <c r="M1855" s="723"/>
      <c r="N1855" s="576">
        <f t="shared" si="443"/>
        <v>0</v>
      </c>
      <c r="O1855" s="577">
        <f t="shared" si="453"/>
        <v>0</v>
      </c>
      <c r="P1855" s="578">
        <f t="shared" si="454"/>
        <v>0</v>
      </c>
      <c r="Q1855" s="765"/>
      <c r="R1855" s="723"/>
      <c r="S1855" s="723"/>
      <c r="T1855" s="577">
        <f t="shared" si="451"/>
        <v>0</v>
      </c>
      <c r="U1855" s="578">
        <f t="shared" si="452"/>
        <v>0</v>
      </c>
      <c r="V1855" s="579"/>
      <c r="W1855" s="566" t="str">
        <f>IF(U1853&gt;0,"xx",IF(P1853&gt;0,"xy",""))</f>
        <v/>
      </c>
      <c r="X1855" s="586" t="str">
        <f t="shared" si="440"/>
        <v/>
      </c>
      <c r="Y1855" s="586" t="str">
        <f t="shared" si="431"/>
        <v/>
      </c>
      <c r="Z1855" s="586" t="str">
        <f t="shared" si="445"/>
        <v/>
      </c>
    </row>
    <row r="1856" spans="1:26" ht="12" hidden="1" thickBot="1" x14ac:dyDescent="0.25">
      <c r="A1856" s="567">
        <v>605000</v>
      </c>
      <c r="B1856" s="644" t="s">
        <v>1633</v>
      </c>
      <c r="C1856" s="645" t="s">
        <v>206</v>
      </c>
      <c r="D1856" s="422" t="s">
        <v>348</v>
      </c>
      <c r="E1856" s="423"/>
      <c r="F1856" s="424"/>
      <c r="G1856" s="425"/>
      <c r="H1856" s="651">
        <f>SUM(H1857:H1859)</f>
        <v>305.33319999999998</v>
      </c>
      <c r="I1856" s="420">
        <v>408.95</v>
      </c>
      <c r="J1856" s="420">
        <f>IF(ISBLANK(I1856),"",SUM(H1856:I1856))</f>
        <v>714.28319999999997</v>
      </c>
      <c r="K1856" s="421">
        <f t="shared" ref="K1856:K1919" si="455">IF(ISBLANK(I1856),0,ROUND(J1856*(1+$F$10)*(1+$F$11*E1856),2))</f>
        <v>848.64</v>
      </c>
      <c r="L1856" s="647" t="s">
        <v>16</v>
      </c>
      <c r="M1856" s="576"/>
      <c r="N1856" s="576">
        <f t="shared" si="443"/>
        <v>0</v>
      </c>
      <c r="O1856" s="577">
        <f t="shared" si="453"/>
        <v>0</v>
      </c>
      <c r="P1856" s="578">
        <f t="shared" si="454"/>
        <v>0</v>
      </c>
      <c r="Q1856" s="765"/>
      <c r="R1856" s="576">
        <f>M1856</f>
        <v>0</v>
      </c>
      <c r="S1856" s="576">
        <f>N1856</f>
        <v>0</v>
      </c>
      <c r="T1856" s="577">
        <f t="shared" si="451"/>
        <v>0</v>
      </c>
      <c r="U1856" s="578">
        <f t="shared" si="452"/>
        <v>0</v>
      </c>
      <c r="V1856" s="579"/>
      <c r="W1856" s="566"/>
      <c r="X1856" s="586" t="str">
        <f t="shared" si="440"/>
        <v/>
      </c>
      <c r="Y1856" s="586" t="str">
        <f t="shared" si="431"/>
        <v/>
      </c>
      <c r="Z1856" s="586" t="str">
        <f t="shared" si="445"/>
        <v/>
      </c>
    </row>
    <row r="1857" spans="1:26" ht="12" hidden="1" thickBot="1" x14ac:dyDescent="0.25">
      <c r="A1857" s="567" t="s">
        <v>168</v>
      </c>
      <c r="B1857" s="644" t="s">
        <v>168</v>
      </c>
      <c r="C1857" s="645"/>
      <c r="D1857" s="422" t="s">
        <v>212</v>
      </c>
      <c r="E1857" s="423"/>
      <c r="F1857" s="424">
        <v>500</v>
      </c>
      <c r="G1857" s="425">
        <v>0.18</v>
      </c>
      <c r="H1857" s="649">
        <f>IF(F1857&lt;=30,(0.78*F1857+7.82)*G1857,((0.78*30+7.82)+0.78*(F1857-30))*G1857)</f>
        <v>71.607600000000005</v>
      </c>
      <c r="I1857" s="420"/>
      <c r="J1857" s="420"/>
      <c r="K1857" s="421">
        <f t="shared" si="455"/>
        <v>0</v>
      </c>
      <c r="L1857" s="647"/>
      <c r="M1857" s="723"/>
      <c r="N1857" s="576">
        <f t="shared" si="443"/>
        <v>0</v>
      </c>
      <c r="O1857" s="577">
        <f t="shared" si="453"/>
        <v>0</v>
      </c>
      <c r="P1857" s="578">
        <f t="shared" si="454"/>
        <v>0</v>
      </c>
      <c r="Q1857" s="765"/>
      <c r="R1857" s="723"/>
      <c r="S1857" s="723"/>
      <c r="T1857" s="577">
        <f t="shared" si="451"/>
        <v>0</v>
      </c>
      <c r="U1857" s="578">
        <f t="shared" si="452"/>
        <v>0</v>
      </c>
      <c r="V1857" s="579"/>
      <c r="W1857" s="566" t="str">
        <f>IF(U1856&gt;0,"xx",IF(P1856&gt;0,"xy",""))</f>
        <v/>
      </c>
      <c r="X1857" s="586" t="str">
        <f t="shared" si="440"/>
        <v/>
      </c>
      <c r="Y1857" s="586" t="str">
        <f t="shared" si="431"/>
        <v/>
      </c>
      <c r="Z1857" s="586" t="str">
        <f t="shared" si="445"/>
        <v/>
      </c>
    </row>
    <row r="1858" spans="1:26" ht="12" hidden="1" thickBot="1" x14ac:dyDescent="0.25">
      <c r="A1858" s="567" t="s">
        <v>168</v>
      </c>
      <c r="B1858" s="644" t="s">
        <v>168</v>
      </c>
      <c r="C1858" s="645"/>
      <c r="D1858" s="422" t="s">
        <v>248</v>
      </c>
      <c r="E1858" s="423"/>
      <c r="F1858" s="424">
        <v>180</v>
      </c>
      <c r="G1858" s="425">
        <v>1.06</v>
      </c>
      <c r="H1858" s="663">
        <f t="shared" ref="H1858:H1859" si="456">IF(F1858&lt;=30,(1.07*F1858+2.68)*G1858,((1.07*30+2.68)+1.07*(F1858-30))*G1858)</f>
        <v>206.99680000000001</v>
      </c>
      <c r="I1858" s="420"/>
      <c r="J1858" s="420"/>
      <c r="K1858" s="421">
        <f t="shared" si="455"/>
        <v>0</v>
      </c>
      <c r="L1858" s="647"/>
      <c r="M1858" s="723"/>
      <c r="N1858" s="576">
        <f t="shared" si="443"/>
        <v>0</v>
      </c>
      <c r="O1858" s="577">
        <f t="shared" si="453"/>
        <v>0</v>
      </c>
      <c r="P1858" s="578">
        <f t="shared" si="454"/>
        <v>0</v>
      </c>
      <c r="Q1858" s="765"/>
      <c r="R1858" s="723"/>
      <c r="S1858" s="723"/>
      <c r="T1858" s="577">
        <f t="shared" si="451"/>
        <v>0</v>
      </c>
      <c r="U1858" s="578">
        <f t="shared" si="452"/>
        <v>0</v>
      </c>
      <c r="V1858" s="579"/>
      <c r="W1858" s="566" t="str">
        <f>IF(U1856&gt;0,"xx",IF(P1856&gt;0,"xy",""))</f>
        <v/>
      </c>
      <c r="X1858" s="586" t="str">
        <f t="shared" si="440"/>
        <v/>
      </c>
      <c r="Y1858" s="586" t="str">
        <f t="shared" si="431"/>
        <v/>
      </c>
      <c r="Z1858" s="586" t="str">
        <f t="shared" si="445"/>
        <v/>
      </c>
    </row>
    <row r="1859" spans="1:26" ht="12" hidden="1" thickBot="1" x14ac:dyDescent="0.25">
      <c r="A1859" s="567" t="s">
        <v>168</v>
      </c>
      <c r="B1859" s="644" t="s">
        <v>168</v>
      </c>
      <c r="C1859" s="645"/>
      <c r="D1859" s="422" t="s">
        <v>252</v>
      </c>
      <c r="E1859" s="423"/>
      <c r="F1859" s="424">
        <v>20</v>
      </c>
      <c r="G1859" s="425">
        <v>1.1100000000000001</v>
      </c>
      <c r="H1859" s="663">
        <f t="shared" si="456"/>
        <v>26.728800000000003</v>
      </c>
      <c r="I1859" s="420"/>
      <c r="J1859" s="420"/>
      <c r="K1859" s="421">
        <f t="shared" si="455"/>
        <v>0</v>
      </c>
      <c r="L1859" s="647"/>
      <c r="M1859" s="723"/>
      <c r="N1859" s="576">
        <f t="shared" si="443"/>
        <v>0</v>
      </c>
      <c r="O1859" s="577">
        <f t="shared" si="453"/>
        <v>0</v>
      </c>
      <c r="P1859" s="578">
        <f t="shared" si="454"/>
        <v>0</v>
      </c>
      <c r="Q1859" s="765"/>
      <c r="R1859" s="723"/>
      <c r="S1859" s="723"/>
      <c r="T1859" s="577">
        <f t="shared" si="451"/>
        <v>0</v>
      </c>
      <c r="U1859" s="578">
        <f t="shared" si="452"/>
        <v>0</v>
      </c>
      <c r="V1859" s="579"/>
      <c r="W1859" s="566" t="str">
        <f>IF(U1856&gt;0,"xx",IF(P1856&gt;0,"xy",""))</f>
        <v/>
      </c>
      <c r="X1859" s="586" t="str">
        <f t="shared" si="440"/>
        <v/>
      </c>
      <c r="Y1859" s="586" t="str">
        <f t="shared" si="431"/>
        <v/>
      </c>
      <c r="Z1859" s="586" t="str">
        <f t="shared" si="445"/>
        <v/>
      </c>
    </row>
    <row r="1860" spans="1:26" ht="12" hidden="1" thickBot="1" x14ac:dyDescent="0.25">
      <c r="A1860" s="567">
        <v>606000</v>
      </c>
      <c r="B1860" s="644" t="s">
        <v>1639</v>
      </c>
      <c r="C1860" s="645" t="s">
        <v>206</v>
      </c>
      <c r="D1860" s="422" t="s">
        <v>636</v>
      </c>
      <c r="E1860" s="423"/>
      <c r="F1860" s="424"/>
      <c r="G1860" s="425"/>
      <c r="H1860" s="651">
        <f>SUM(H1861:H1863)</f>
        <v>235.96230000000003</v>
      </c>
      <c r="I1860" s="420">
        <v>365.08</v>
      </c>
      <c r="J1860" s="420">
        <f>IF(ISBLANK(I1860),"",SUM(H1860:I1860))</f>
        <v>601.04230000000007</v>
      </c>
      <c r="K1860" s="421">
        <f t="shared" si="455"/>
        <v>714.1</v>
      </c>
      <c r="L1860" s="647" t="s">
        <v>16</v>
      </c>
      <c r="M1860" s="576"/>
      <c r="N1860" s="576">
        <f t="shared" si="443"/>
        <v>0</v>
      </c>
      <c r="O1860" s="577">
        <f t="shared" si="453"/>
        <v>0</v>
      </c>
      <c r="P1860" s="578">
        <f t="shared" si="454"/>
        <v>0</v>
      </c>
      <c r="Q1860" s="765"/>
      <c r="R1860" s="576">
        <f>M1860</f>
        <v>0</v>
      </c>
      <c r="S1860" s="576">
        <f>N1860</f>
        <v>0</v>
      </c>
      <c r="T1860" s="577">
        <f t="shared" si="451"/>
        <v>0</v>
      </c>
      <c r="U1860" s="578">
        <f t="shared" si="452"/>
        <v>0</v>
      </c>
      <c r="V1860" s="579"/>
      <c r="W1860" s="566"/>
      <c r="X1860" s="586" t="str">
        <f t="shared" si="440"/>
        <v/>
      </c>
      <c r="Y1860" s="586" t="str">
        <f t="shared" si="431"/>
        <v/>
      </c>
      <c r="Z1860" s="586" t="str">
        <f t="shared" si="445"/>
        <v/>
      </c>
    </row>
    <row r="1861" spans="1:26" ht="12" hidden="1" thickBot="1" x14ac:dyDescent="0.25">
      <c r="A1861" s="567" t="s">
        <v>168</v>
      </c>
      <c r="B1861" s="644" t="s">
        <v>168</v>
      </c>
      <c r="C1861" s="645"/>
      <c r="D1861" s="422" t="s">
        <v>212</v>
      </c>
      <c r="E1861" s="423"/>
      <c r="F1861" s="424">
        <v>500</v>
      </c>
      <c r="G1861" s="425">
        <v>0.189</v>
      </c>
      <c r="H1861" s="649">
        <f>IF(F1861&lt;=30,(0.78*F1861+7.82)*G1861,((0.78*30+7.82)+0.78*(F1861-30))*G1861)</f>
        <v>75.18798000000001</v>
      </c>
      <c r="I1861" s="420"/>
      <c r="J1861" s="420"/>
      <c r="K1861" s="421">
        <f t="shared" si="455"/>
        <v>0</v>
      </c>
      <c r="L1861" s="647"/>
      <c r="M1861" s="723"/>
      <c r="N1861" s="576">
        <f t="shared" si="443"/>
        <v>0</v>
      </c>
      <c r="O1861" s="577">
        <f t="shared" si="453"/>
        <v>0</v>
      </c>
      <c r="P1861" s="578">
        <f t="shared" si="454"/>
        <v>0</v>
      </c>
      <c r="Q1861" s="765"/>
      <c r="R1861" s="723"/>
      <c r="S1861" s="723"/>
      <c r="T1861" s="577">
        <f t="shared" si="451"/>
        <v>0</v>
      </c>
      <c r="U1861" s="578">
        <f t="shared" si="452"/>
        <v>0</v>
      </c>
      <c r="V1861" s="579"/>
      <c r="W1861" s="566" t="str">
        <f>IF(U1860&gt;0,"xx",IF(P1860&gt;0,"xy",""))</f>
        <v/>
      </c>
      <c r="X1861" s="586" t="str">
        <f t="shared" si="440"/>
        <v/>
      </c>
      <c r="Y1861" s="586" t="str">
        <f t="shared" si="431"/>
        <v/>
      </c>
      <c r="Z1861" s="586" t="str">
        <f t="shared" si="445"/>
        <v/>
      </c>
    </row>
    <row r="1862" spans="1:26" ht="12" hidden="1" thickBot="1" x14ac:dyDescent="0.25">
      <c r="A1862" s="567" t="s">
        <v>168</v>
      </c>
      <c r="B1862" s="644" t="s">
        <v>168</v>
      </c>
      <c r="C1862" s="645"/>
      <c r="D1862" s="422" t="s">
        <v>248</v>
      </c>
      <c r="E1862" s="423"/>
      <c r="F1862" s="424">
        <v>180</v>
      </c>
      <c r="G1862" s="425">
        <v>0.67200000000000004</v>
      </c>
      <c r="H1862" s="663">
        <f t="shared" ref="H1862:H1863" si="457">IF(F1862&lt;=30,(1.07*F1862+2.68)*G1862,((1.07*30+2.68)+1.07*(F1862-30))*G1862)</f>
        <v>131.22816</v>
      </c>
      <c r="I1862" s="420"/>
      <c r="J1862" s="420"/>
      <c r="K1862" s="421">
        <f t="shared" si="455"/>
        <v>0</v>
      </c>
      <c r="L1862" s="647"/>
      <c r="M1862" s="723"/>
      <c r="N1862" s="576">
        <f t="shared" si="443"/>
        <v>0</v>
      </c>
      <c r="O1862" s="577">
        <f t="shared" si="453"/>
        <v>0</v>
      </c>
      <c r="P1862" s="578">
        <f t="shared" si="454"/>
        <v>0</v>
      </c>
      <c r="Q1862" s="765"/>
      <c r="R1862" s="723"/>
      <c r="S1862" s="723"/>
      <c r="T1862" s="577">
        <f t="shared" si="451"/>
        <v>0</v>
      </c>
      <c r="U1862" s="578">
        <f t="shared" si="452"/>
        <v>0</v>
      </c>
      <c r="V1862" s="579"/>
      <c r="W1862" s="566" t="str">
        <f>IF(U1860&gt;0,"xx",IF(P1860&gt;0,"xy",""))</f>
        <v/>
      </c>
      <c r="X1862" s="586" t="str">
        <f t="shared" si="440"/>
        <v/>
      </c>
      <c r="Y1862" s="586" t="str">
        <f t="shared" si="431"/>
        <v/>
      </c>
      <c r="Z1862" s="586" t="str">
        <f t="shared" si="445"/>
        <v/>
      </c>
    </row>
    <row r="1863" spans="1:26" ht="12" hidden="1" thickBot="1" x14ac:dyDescent="0.25">
      <c r="A1863" s="567" t="s">
        <v>168</v>
      </c>
      <c r="B1863" s="644" t="s">
        <v>168</v>
      </c>
      <c r="C1863" s="645"/>
      <c r="D1863" s="422" t="s">
        <v>350</v>
      </c>
      <c r="E1863" s="423"/>
      <c r="F1863" s="424">
        <v>20</v>
      </c>
      <c r="G1863" s="425">
        <v>1.2270000000000001</v>
      </c>
      <c r="H1863" s="663">
        <f t="shared" si="457"/>
        <v>29.546160000000004</v>
      </c>
      <c r="I1863" s="420"/>
      <c r="J1863" s="420"/>
      <c r="K1863" s="421">
        <f t="shared" si="455"/>
        <v>0</v>
      </c>
      <c r="L1863" s="647"/>
      <c r="M1863" s="723"/>
      <c r="N1863" s="576">
        <f t="shared" si="443"/>
        <v>0</v>
      </c>
      <c r="O1863" s="577">
        <f t="shared" si="453"/>
        <v>0</v>
      </c>
      <c r="P1863" s="578">
        <f t="shared" si="454"/>
        <v>0</v>
      </c>
      <c r="Q1863" s="765"/>
      <c r="R1863" s="723"/>
      <c r="S1863" s="723"/>
      <c r="T1863" s="577">
        <f t="shared" si="451"/>
        <v>0</v>
      </c>
      <c r="U1863" s="578">
        <f t="shared" si="452"/>
        <v>0</v>
      </c>
      <c r="V1863" s="579"/>
      <c r="W1863" s="566" t="str">
        <f>IF(U1860&gt;0,"xx",IF(P1860&gt;0,"xy",""))</f>
        <v/>
      </c>
      <c r="X1863" s="586" t="str">
        <f t="shared" si="440"/>
        <v/>
      </c>
      <c r="Y1863" s="586" t="str">
        <f t="shared" si="431"/>
        <v/>
      </c>
      <c r="Z1863" s="586" t="str">
        <f t="shared" si="445"/>
        <v/>
      </c>
    </row>
    <row r="1864" spans="1:26" ht="12" hidden="1" thickBot="1" x14ac:dyDescent="0.25">
      <c r="A1864" s="567">
        <v>605100</v>
      </c>
      <c r="B1864" s="644">
        <v>605100</v>
      </c>
      <c r="C1864" s="645" t="s">
        <v>206</v>
      </c>
      <c r="D1864" s="422" t="s">
        <v>1511</v>
      </c>
      <c r="E1864" s="423"/>
      <c r="F1864" s="424"/>
      <c r="G1864" s="425"/>
      <c r="H1864" s="651">
        <f>SUM(H1865:H1867)</f>
        <v>313.28960000000001</v>
      </c>
      <c r="I1864" s="420">
        <v>420.33</v>
      </c>
      <c r="J1864" s="420">
        <f>IF(ISBLANK(I1864),"",SUM(H1864:I1864))</f>
        <v>733.61959999999999</v>
      </c>
      <c r="K1864" s="421">
        <f t="shared" si="455"/>
        <v>871.61</v>
      </c>
      <c r="L1864" s="647" t="s">
        <v>16</v>
      </c>
      <c r="M1864" s="576"/>
      <c r="N1864" s="576">
        <f t="shared" si="443"/>
        <v>0</v>
      </c>
      <c r="O1864" s="577">
        <f t="shared" si="453"/>
        <v>0</v>
      </c>
      <c r="P1864" s="578">
        <f t="shared" si="454"/>
        <v>0</v>
      </c>
      <c r="Q1864" s="765"/>
      <c r="R1864" s="576">
        <f>M1864</f>
        <v>0</v>
      </c>
      <c r="S1864" s="576">
        <f>N1864</f>
        <v>0</v>
      </c>
      <c r="T1864" s="577">
        <f t="shared" si="451"/>
        <v>0</v>
      </c>
      <c r="U1864" s="578">
        <f t="shared" si="452"/>
        <v>0</v>
      </c>
      <c r="V1864" s="579"/>
      <c r="W1864" s="566"/>
      <c r="X1864" s="586" t="str">
        <f>IF(W1864="X","x",IF(W1864="xx","x",IF(W1864="xy","x",IF(W1864="y","x",IF(OR(P1864&gt;0,U1864&gt;0),"x","")))))</f>
        <v/>
      </c>
      <c r="Y1864" s="586" t="str">
        <f>IF(W1864="X","x",IF(W1864="y","x",IF(W1864="xx","x",IF(U1864&gt;0,"x",""))))</f>
        <v/>
      </c>
      <c r="Z1864" s="586" t="str">
        <f>IF(W1864="X","x",IF(U1864&gt;0,"x",""))</f>
        <v/>
      </c>
    </row>
    <row r="1865" spans="1:26" ht="12" hidden="1" thickBot="1" x14ac:dyDescent="0.25">
      <c r="A1865" s="567" t="s">
        <v>168</v>
      </c>
      <c r="B1865" s="644" t="s">
        <v>168</v>
      </c>
      <c r="C1865" s="645"/>
      <c r="D1865" s="422" t="s">
        <v>212</v>
      </c>
      <c r="E1865" s="423"/>
      <c r="F1865" s="424">
        <v>500</v>
      </c>
      <c r="G1865" s="425">
        <v>0.2</v>
      </c>
      <c r="H1865" s="649">
        <f>IF(F1865&lt;=30,(0.78*F1865+7.82)*G1865,((0.78*30+7.82)+0.78*(F1865-30))*G1865)</f>
        <v>79.564000000000021</v>
      </c>
      <c r="I1865" s="420"/>
      <c r="J1865" s="420"/>
      <c r="K1865" s="421">
        <f t="shared" si="455"/>
        <v>0</v>
      </c>
      <c r="L1865" s="647"/>
      <c r="M1865" s="723"/>
      <c r="N1865" s="576">
        <f t="shared" si="443"/>
        <v>0</v>
      </c>
      <c r="O1865" s="577">
        <f t="shared" si="453"/>
        <v>0</v>
      </c>
      <c r="P1865" s="578">
        <f t="shared" si="454"/>
        <v>0</v>
      </c>
      <c r="Q1865" s="765"/>
      <c r="R1865" s="723"/>
      <c r="S1865" s="723"/>
      <c r="T1865" s="577">
        <f t="shared" si="451"/>
        <v>0</v>
      </c>
      <c r="U1865" s="578">
        <f t="shared" si="452"/>
        <v>0</v>
      </c>
      <c r="V1865" s="579"/>
      <c r="W1865" s="566" t="str">
        <f>IF(U1864&gt;0,"xx",IF(P1864&gt;0,"xy",""))</f>
        <v/>
      </c>
      <c r="X1865" s="586" t="str">
        <f>IF(W1865="X","x",IF(W1865="xx","x",IF(W1865="xy","x",IF(W1865="y","x",IF(OR(P1865&gt;0,U1865&gt;0),"x","")))))</f>
        <v/>
      </c>
      <c r="Y1865" s="586" t="str">
        <f>IF(W1865="X","x",IF(W1865="y","x",IF(W1865="xx","x",IF(U1865&gt;0,"x",""))))</f>
        <v/>
      </c>
      <c r="Z1865" s="586" t="str">
        <f>IF(W1865="X","x",IF(U1865&gt;0,"x",""))</f>
        <v/>
      </c>
    </row>
    <row r="1866" spans="1:26" ht="12" hidden="1" thickBot="1" x14ac:dyDescent="0.25">
      <c r="A1866" s="567" t="s">
        <v>168</v>
      </c>
      <c r="B1866" s="644" t="s">
        <v>168</v>
      </c>
      <c r="C1866" s="645"/>
      <c r="D1866" s="422" t="s">
        <v>248</v>
      </c>
      <c r="E1866" s="423"/>
      <c r="F1866" s="424">
        <v>180</v>
      </c>
      <c r="G1866" s="425">
        <v>1.06</v>
      </c>
      <c r="H1866" s="663">
        <f t="shared" ref="H1866:H1867" si="458">IF(F1866&lt;=30,(1.07*F1866+2.68)*G1866,((1.07*30+2.68)+1.07*(F1866-30))*G1866)</f>
        <v>206.99680000000001</v>
      </c>
      <c r="I1866" s="420"/>
      <c r="J1866" s="420"/>
      <c r="K1866" s="421">
        <f t="shared" si="455"/>
        <v>0</v>
      </c>
      <c r="L1866" s="647"/>
      <c r="M1866" s="723"/>
      <c r="N1866" s="576">
        <f t="shared" si="443"/>
        <v>0</v>
      </c>
      <c r="O1866" s="577">
        <f t="shared" si="453"/>
        <v>0</v>
      </c>
      <c r="P1866" s="578">
        <f t="shared" si="454"/>
        <v>0</v>
      </c>
      <c r="Q1866" s="765"/>
      <c r="R1866" s="723"/>
      <c r="S1866" s="723"/>
      <c r="T1866" s="577">
        <f t="shared" si="451"/>
        <v>0</v>
      </c>
      <c r="U1866" s="578">
        <f t="shared" si="452"/>
        <v>0</v>
      </c>
      <c r="V1866" s="579"/>
      <c r="W1866" s="566" t="str">
        <f>IF(U1864&gt;0,"xx",IF(P1864&gt;0,"xy",""))</f>
        <v/>
      </c>
      <c r="X1866" s="586" t="str">
        <f>IF(W1866="X","x",IF(W1866="xx","x",IF(W1866="xy","x",IF(W1866="y","x",IF(OR(P1866&gt;0,U1866&gt;0),"x","")))))</f>
        <v/>
      </c>
      <c r="Y1866" s="586" t="str">
        <f>IF(W1866="X","x",IF(W1866="y","x",IF(W1866="xx","x",IF(U1866&gt;0,"x",""))))</f>
        <v/>
      </c>
      <c r="Z1866" s="586" t="str">
        <f>IF(W1866="X","x",IF(U1866&gt;0,"x",""))</f>
        <v/>
      </c>
    </row>
    <row r="1867" spans="1:26" ht="12" hidden="1" thickBot="1" x14ac:dyDescent="0.25">
      <c r="A1867" s="567" t="s">
        <v>168</v>
      </c>
      <c r="B1867" s="644" t="s">
        <v>168</v>
      </c>
      <c r="C1867" s="645"/>
      <c r="D1867" s="422" t="s">
        <v>252</v>
      </c>
      <c r="E1867" s="423"/>
      <c r="F1867" s="424">
        <v>20</v>
      </c>
      <c r="G1867" s="425">
        <v>1.1100000000000001</v>
      </c>
      <c r="H1867" s="663">
        <f t="shared" si="458"/>
        <v>26.728800000000003</v>
      </c>
      <c r="I1867" s="420"/>
      <c r="J1867" s="420"/>
      <c r="K1867" s="421">
        <f t="shared" si="455"/>
        <v>0</v>
      </c>
      <c r="L1867" s="647"/>
      <c r="M1867" s="723"/>
      <c r="N1867" s="576">
        <f t="shared" si="443"/>
        <v>0</v>
      </c>
      <c r="O1867" s="577">
        <f t="shared" si="453"/>
        <v>0</v>
      </c>
      <c r="P1867" s="578">
        <f t="shared" si="454"/>
        <v>0</v>
      </c>
      <c r="Q1867" s="765"/>
      <c r="R1867" s="723"/>
      <c r="S1867" s="723"/>
      <c r="T1867" s="577">
        <f t="shared" si="451"/>
        <v>0</v>
      </c>
      <c r="U1867" s="578">
        <f t="shared" si="452"/>
        <v>0</v>
      </c>
      <c r="V1867" s="579"/>
      <c r="W1867" s="566" t="str">
        <f>IF(U1864&gt;0,"xx",IF(P1864&gt;0,"xy",""))</f>
        <v/>
      </c>
      <c r="X1867" s="586" t="str">
        <f>IF(W1867="X","x",IF(W1867="xx","x",IF(W1867="xy","x",IF(W1867="y","x",IF(OR(P1867&gt;0,U1867&gt;0),"x","")))))</f>
        <v/>
      </c>
      <c r="Y1867" s="586" t="str">
        <f>IF(W1867="X","x",IF(W1867="y","x",IF(W1867="xx","x",IF(U1867&gt;0,"x",""))))</f>
        <v/>
      </c>
      <c r="Z1867" s="586" t="str">
        <f>IF(W1867="X","x",IF(U1867&gt;0,"x",""))</f>
        <v/>
      </c>
    </row>
    <row r="1868" spans="1:26" ht="12" hidden="1" thickBot="1" x14ac:dyDescent="0.25">
      <c r="A1868" s="567">
        <v>605200</v>
      </c>
      <c r="B1868" s="644" t="s">
        <v>1641</v>
      </c>
      <c r="C1868" s="645" t="s">
        <v>206</v>
      </c>
      <c r="D1868" s="422" t="s">
        <v>351</v>
      </c>
      <c r="E1868" s="423"/>
      <c r="F1868" s="424"/>
      <c r="G1868" s="425"/>
      <c r="H1868" s="651">
        <f>SUM(H1869:H1871)</f>
        <v>321.60899999999998</v>
      </c>
      <c r="I1868" s="420">
        <v>455.36</v>
      </c>
      <c r="J1868" s="420">
        <f>IF(ISBLANK(I1868),"",SUM(H1868:I1868))</f>
        <v>776.96900000000005</v>
      </c>
      <c r="K1868" s="421">
        <f t="shared" si="455"/>
        <v>923.12</v>
      </c>
      <c r="L1868" s="647" t="s">
        <v>16</v>
      </c>
      <c r="M1868" s="576"/>
      <c r="N1868" s="576">
        <f t="shared" si="443"/>
        <v>0</v>
      </c>
      <c r="O1868" s="577">
        <f t="shared" si="453"/>
        <v>0</v>
      </c>
      <c r="P1868" s="578">
        <f t="shared" si="454"/>
        <v>0</v>
      </c>
      <c r="Q1868" s="765"/>
      <c r="R1868" s="576">
        <f>M1868</f>
        <v>0</v>
      </c>
      <c r="S1868" s="576">
        <f>N1868</f>
        <v>0</v>
      </c>
      <c r="T1868" s="577">
        <f t="shared" si="451"/>
        <v>0</v>
      </c>
      <c r="U1868" s="578">
        <f t="shared" si="452"/>
        <v>0</v>
      </c>
      <c r="V1868" s="579"/>
      <c r="W1868" s="566"/>
      <c r="X1868" s="586" t="str">
        <f t="shared" si="440"/>
        <v/>
      </c>
      <c r="Y1868" s="586" t="str">
        <f t="shared" si="431"/>
        <v/>
      </c>
      <c r="Z1868" s="586" t="str">
        <f t="shared" si="445"/>
        <v/>
      </c>
    </row>
    <row r="1869" spans="1:26" ht="12" hidden="1" thickBot="1" x14ac:dyDescent="0.25">
      <c r="A1869" s="567" t="s">
        <v>168</v>
      </c>
      <c r="B1869" s="644" t="s">
        <v>168</v>
      </c>
      <c r="C1869" s="645"/>
      <c r="D1869" s="422" t="s">
        <v>212</v>
      </c>
      <c r="E1869" s="423"/>
      <c r="F1869" s="424">
        <v>500</v>
      </c>
      <c r="G1869" s="425">
        <v>0.27</v>
      </c>
      <c r="H1869" s="649">
        <f>IF(F1869&lt;=30,(0.78*F1869+7.82)*G1869,((0.78*30+7.82)+0.78*(F1869-30))*G1869)</f>
        <v>107.41140000000001</v>
      </c>
      <c r="I1869" s="420"/>
      <c r="J1869" s="420"/>
      <c r="K1869" s="421">
        <f t="shared" si="455"/>
        <v>0</v>
      </c>
      <c r="L1869" s="647"/>
      <c r="M1869" s="723"/>
      <c r="N1869" s="576">
        <f t="shared" si="443"/>
        <v>0</v>
      </c>
      <c r="O1869" s="577">
        <f t="shared" si="453"/>
        <v>0</v>
      </c>
      <c r="P1869" s="578">
        <f t="shared" si="454"/>
        <v>0</v>
      </c>
      <c r="Q1869" s="765"/>
      <c r="R1869" s="723"/>
      <c r="S1869" s="723"/>
      <c r="T1869" s="577">
        <f t="shared" si="451"/>
        <v>0</v>
      </c>
      <c r="U1869" s="578">
        <f t="shared" si="452"/>
        <v>0</v>
      </c>
      <c r="V1869" s="579"/>
      <c r="W1869" s="566" t="str">
        <f>IF(U1868&gt;0,"xx",IF(P1868&gt;0,"xy",""))</f>
        <v/>
      </c>
      <c r="X1869" s="586" t="str">
        <f t="shared" si="440"/>
        <v/>
      </c>
      <c r="Y1869" s="586" t="str">
        <f t="shared" si="431"/>
        <v/>
      </c>
      <c r="Z1869" s="586" t="str">
        <f t="shared" si="445"/>
        <v/>
      </c>
    </row>
    <row r="1870" spans="1:26" ht="12" hidden="1" thickBot="1" x14ac:dyDescent="0.25">
      <c r="A1870" s="567" t="s">
        <v>168</v>
      </c>
      <c r="B1870" s="644" t="s">
        <v>168</v>
      </c>
      <c r="C1870" s="645"/>
      <c r="D1870" s="422" t="s">
        <v>248</v>
      </c>
      <c r="E1870" s="423"/>
      <c r="F1870" s="424">
        <v>180</v>
      </c>
      <c r="G1870" s="425">
        <v>0.96</v>
      </c>
      <c r="H1870" s="663">
        <f t="shared" ref="H1870:H1871" si="459">IF(F1870&lt;=30,(1.07*F1870+2.68)*G1870,((1.07*30+2.68)+1.07*(F1870-30))*G1870)</f>
        <v>187.46879999999999</v>
      </c>
      <c r="I1870" s="420"/>
      <c r="J1870" s="420"/>
      <c r="K1870" s="421">
        <f t="shared" si="455"/>
        <v>0</v>
      </c>
      <c r="L1870" s="647"/>
      <c r="M1870" s="723"/>
      <c r="N1870" s="576">
        <f t="shared" si="443"/>
        <v>0</v>
      </c>
      <c r="O1870" s="577">
        <f t="shared" si="453"/>
        <v>0</v>
      </c>
      <c r="P1870" s="578">
        <f t="shared" si="454"/>
        <v>0</v>
      </c>
      <c r="Q1870" s="765"/>
      <c r="R1870" s="723"/>
      <c r="S1870" s="723"/>
      <c r="T1870" s="577">
        <f t="shared" si="451"/>
        <v>0</v>
      </c>
      <c r="U1870" s="578">
        <f t="shared" si="452"/>
        <v>0</v>
      </c>
      <c r="V1870" s="579"/>
      <c r="W1870" s="566" t="str">
        <f>IF(U1868&gt;0,"xx",IF(P1868&gt;0,"xy",""))</f>
        <v/>
      </c>
      <c r="X1870" s="586" t="str">
        <f t="shared" si="440"/>
        <v/>
      </c>
      <c r="Y1870" s="586" t="str">
        <f t="shared" si="431"/>
        <v/>
      </c>
      <c r="Z1870" s="586" t="str">
        <f t="shared" si="445"/>
        <v/>
      </c>
    </row>
    <row r="1871" spans="1:26" ht="12" hidden="1" thickBot="1" x14ac:dyDescent="0.25">
      <c r="A1871" s="567" t="s">
        <v>168</v>
      </c>
      <c r="B1871" s="644" t="s">
        <v>168</v>
      </c>
      <c r="C1871" s="645"/>
      <c r="D1871" s="422" t="s">
        <v>252</v>
      </c>
      <c r="E1871" s="423"/>
      <c r="F1871" s="424">
        <v>20</v>
      </c>
      <c r="G1871" s="425">
        <v>1.1100000000000001</v>
      </c>
      <c r="H1871" s="663">
        <f t="shared" si="459"/>
        <v>26.728800000000003</v>
      </c>
      <c r="I1871" s="420"/>
      <c r="J1871" s="420"/>
      <c r="K1871" s="421">
        <f t="shared" si="455"/>
        <v>0</v>
      </c>
      <c r="L1871" s="647"/>
      <c r="M1871" s="723"/>
      <c r="N1871" s="576">
        <f t="shared" si="443"/>
        <v>0</v>
      </c>
      <c r="O1871" s="577">
        <f t="shared" si="453"/>
        <v>0</v>
      </c>
      <c r="P1871" s="578">
        <f t="shared" si="454"/>
        <v>0</v>
      </c>
      <c r="Q1871" s="765"/>
      <c r="R1871" s="723"/>
      <c r="S1871" s="723"/>
      <c r="T1871" s="577">
        <f t="shared" si="451"/>
        <v>0</v>
      </c>
      <c r="U1871" s="578">
        <f t="shared" si="452"/>
        <v>0</v>
      </c>
      <c r="V1871" s="579"/>
      <c r="W1871" s="566" t="str">
        <f>IF(U1868&gt;0,"xx",IF(P1868&gt;0,"xy",""))</f>
        <v/>
      </c>
      <c r="X1871" s="586" t="str">
        <f t="shared" si="440"/>
        <v/>
      </c>
      <c r="Y1871" s="586" t="str">
        <f t="shared" si="431"/>
        <v/>
      </c>
      <c r="Z1871" s="586" t="str">
        <f t="shared" si="445"/>
        <v/>
      </c>
    </row>
    <row r="1872" spans="1:26" ht="12" hidden="1" thickBot="1" x14ac:dyDescent="0.25">
      <c r="A1872" s="567">
        <v>605300</v>
      </c>
      <c r="B1872" s="644" t="s">
        <v>1718</v>
      </c>
      <c r="C1872" s="645" t="s">
        <v>206</v>
      </c>
      <c r="D1872" s="422" t="s">
        <v>352</v>
      </c>
      <c r="E1872" s="423"/>
      <c r="F1872" s="424"/>
      <c r="G1872" s="425"/>
      <c r="H1872" s="651">
        <f>SUM(H1873:H1875)</f>
        <v>337.86228</v>
      </c>
      <c r="I1872" s="420">
        <v>487.71000000000004</v>
      </c>
      <c r="J1872" s="420">
        <f>IF(ISBLANK(I1872),"",SUM(H1872:I1872))</f>
        <v>825.57228000000009</v>
      </c>
      <c r="K1872" s="421">
        <f t="shared" si="455"/>
        <v>980.86</v>
      </c>
      <c r="L1872" s="647" t="s">
        <v>16</v>
      </c>
      <c r="M1872" s="576"/>
      <c r="N1872" s="576">
        <f t="shared" si="443"/>
        <v>0</v>
      </c>
      <c r="O1872" s="577">
        <f t="shared" si="453"/>
        <v>0</v>
      </c>
      <c r="P1872" s="578">
        <f t="shared" si="454"/>
        <v>0</v>
      </c>
      <c r="Q1872" s="765"/>
      <c r="R1872" s="576">
        <f>M1872</f>
        <v>0</v>
      </c>
      <c r="S1872" s="576">
        <f>N1872</f>
        <v>0</v>
      </c>
      <c r="T1872" s="577">
        <f t="shared" si="451"/>
        <v>0</v>
      </c>
      <c r="U1872" s="578">
        <f t="shared" si="452"/>
        <v>0</v>
      </c>
      <c r="V1872" s="579"/>
      <c r="W1872" s="566"/>
      <c r="X1872" s="586" t="str">
        <f t="shared" si="440"/>
        <v/>
      </c>
      <c r="Y1872" s="586" t="str">
        <f t="shared" si="431"/>
        <v/>
      </c>
      <c r="Z1872" s="586" t="str">
        <f t="shared" si="445"/>
        <v/>
      </c>
    </row>
    <row r="1873" spans="1:26" ht="12" hidden="1" thickBot="1" x14ac:dyDescent="0.25">
      <c r="A1873" s="567" t="s">
        <v>168</v>
      </c>
      <c r="B1873" s="644" t="s">
        <v>168</v>
      </c>
      <c r="C1873" s="645"/>
      <c r="D1873" s="422" t="s">
        <v>212</v>
      </c>
      <c r="E1873" s="423"/>
      <c r="F1873" s="424">
        <v>500</v>
      </c>
      <c r="G1873" s="425">
        <v>0.33</v>
      </c>
      <c r="H1873" s="649">
        <f>IF(F1873&lt;=30,(0.78*F1873+7.82)*G1873,((0.78*30+7.82)+0.78*(F1873-30))*G1873)</f>
        <v>131.28060000000002</v>
      </c>
      <c r="I1873" s="420"/>
      <c r="J1873" s="420"/>
      <c r="K1873" s="421">
        <f t="shared" si="455"/>
        <v>0</v>
      </c>
      <c r="L1873" s="647"/>
      <c r="M1873" s="723"/>
      <c r="N1873" s="576">
        <f t="shared" si="443"/>
        <v>0</v>
      </c>
      <c r="O1873" s="577">
        <f t="shared" si="453"/>
        <v>0</v>
      </c>
      <c r="P1873" s="578">
        <f t="shared" si="454"/>
        <v>0</v>
      </c>
      <c r="Q1873" s="765"/>
      <c r="R1873" s="723"/>
      <c r="S1873" s="723"/>
      <c r="T1873" s="577">
        <f t="shared" si="451"/>
        <v>0</v>
      </c>
      <c r="U1873" s="578">
        <f t="shared" si="452"/>
        <v>0</v>
      </c>
      <c r="V1873" s="579"/>
      <c r="W1873" s="566" t="str">
        <f>IF(U1872&gt;0,"xx",IF(P1872&gt;0,"xy",""))</f>
        <v/>
      </c>
      <c r="X1873" s="586" t="str">
        <f t="shared" si="440"/>
        <v/>
      </c>
      <c r="Y1873" s="586" t="str">
        <f t="shared" si="431"/>
        <v/>
      </c>
      <c r="Z1873" s="586" t="str">
        <f t="shared" si="445"/>
        <v/>
      </c>
    </row>
    <row r="1874" spans="1:26" ht="12" hidden="1" thickBot="1" x14ac:dyDescent="0.25">
      <c r="A1874" s="567" t="s">
        <v>168</v>
      </c>
      <c r="B1874" s="644" t="s">
        <v>168</v>
      </c>
      <c r="C1874" s="645"/>
      <c r="D1874" s="422" t="s">
        <v>248</v>
      </c>
      <c r="E1874" s="423"/>
      <c r="F1874" s="424">
        <v>180</v>
      </c>
      <c r="G1874" s="425">
        <v>0.92100000000000004</v>
      </c>
      <c r="H1874" s="663">
        <f t="shared" ref="H1874:H1875" si="460">IF(F1874&lt;=30,(1.07*F1874+2.68)*G1874,((1.07*30+2.68)+1.07*(F1874-30))*G1874)</f>
        <v>179.85288</v>
      </c>
      <c r="I1874" s="420"/>
      <c r="J1874" s="420"/>
      <c r="K1874" s="421">
        <f t="shared" si="455"/>
        <v>0</v>
      </c>
      <c r="L1874" s="647"/>
      <c r="M1874" s="723"/>
      <c r="N1874" s="576">
        <f t="shared" si="443"/>
        <v>0</v>
      </c>
      <c r="O1874" s="577">
        <f t="shared" si="453"/>
        <v>0</v>
      </c>
      <c r="P1874" s="578">
        <f t="shared" si="454"/>
        <v>0</v>
      </c>
      <c r="Q1874" s="765"/>
      <c r="R1874" s="723"/>
      <c r="S1874" s="723"/>
      <c r="T1874" s="577">
        <f t="shared" si="451"/>
        <v>0</v>
      </c>
      <c r="U1874" s="578">
        <f t="shared" si="452"/>
        <v>0</v>
      </c>
      <c r="V1874" s="579"/>
      <c r="W1874" s="566" t="str">
        <f>IF(U1872&gt;0,"xx",IF(P1872&gt;0,"xy",""))</f>
        <v/>
      </c>
      <c r="X1874" s="586" t="str">
        <f t="shared" ref="X1874:X1969" si="461">IF(W1874="X","x",IF(W1874="xx","x",IF(W1874="xy","x",IF(W1874="y","x",IF(OR(P1874&gt;0,U1874&gt;0),"x","")))))</f>
        <v/>
      </c>
      <c r="Y1874" s="586" t="str">
        <f t="shared" si="431"/>
        <v/>
      </c>
      <c r="Z1874" s="586" t="str">
        <f t="shared" si="445"/>
        <v/>
      </c>
    </row>
    <row r="1875" spans="1:26" ht="12" hidden="1" thickBot="1" x14ac:dyDescent="0.25">
      <c r="A1875" s="567" t="s">
        <v>168</v>
      </c>
      <c r="B1875" s="644" t="s">
        <v>168</v>
      </c>
      <c r="C1875" s="645"/>
      <c r="D1875" s="422" t="s">
        <v>252</v>
      </c>
      <c r="E1875" s="423"/>
      <c r="F1875" s="424">
        <v>20</v>
      </c>
      <c r="G1875" s="425">
        <v>1.1100000000000001</v>
      </c>
      <c r="H1875" s="663">
        <f t="shared" si="460"/>
        <v>26.728800000000003</v>
      </c>
      <c r="I1875" s="420"/>
      <c r="J1875" s="420"/>
      <c r="K1875" s="421">
        <f t="shared" si="455"/>
        <v>0</v>
      </c>
      <c r="L1875" s="647"/>
      <c r="M1875" s="723"/>
      <c r="N1875" s="576">
        <f t="shared" si="443"/>
        <v>0</v>
      </c>
      <c r="O1875" s="577">
        <f t="shared" si="453"/>
        <v>0</v>
      </c>
      <c r="P1875" s="578">
        <f t="shared" si="454"/>
        <v>0</v>
      </c>
      <c r="Q1875" s="765"/>
      <c r="R1875" s="723"/>
      <c r="S1875" s="723"/>
      <c r="T1875" s="577">
        <f t="shared" si="451"/>
        <v>0</v>
      </c>
      <c r="U1875" s="578">
        <f t="shared" si="452"/>
        <v>0</v>
      </c>
      <c r="V1875" s="579"/>
      <c r="W1875" s="566" t="str">
        <f>IF(U1872&gt;0,"xx",IF(P1872&gt;0,"xy",""))</f>
        <v/>
      </c>
      <c r="X1875" s="586" t="str">
        <f t="shared" si="461"/>
        <v/>
      </c>
      <c r="Y1875" s="586" t="str">
        <f t="shared" si="431"/>
        <v/>
      </c>
      <c r="Z1875" s="586" t="str">
        <f t="shared" si="445"/>
        <v/>
      </c>
    </row>
    <row r="1876" spans="1:26" ht="12" hidden="1" thickBot="1" x14ac:dyDescent="0.25">
      <c r="A1876" s="567">
        <v>605400</v>
      </c>
      <c r="B1876" s="644" t="s">
        <v>1643</v>
      </c>
      <c r="C1876" s="645" t="s">
        <v>206</v>
      </c>
      <c r="D1876" s="422" t="s">
        <v>353</v>
      </c>
      <c r="E1876" s="423"/>
      <c r="F1876" s="424"/>
      <c r="G1876" s="425"/>
      <c r="H1876" s="651">
        <f>SUM(H1877:H1879)</f>
        <v>362.76447999999999</v>
      </c>
      <c r="I1876" s="420">
        <v>495.4</v>
      </c>
      <c r="J1876" s="420">
        <f>IF(ISBLANK(I1876),"",SUM(H1876:I1876))</f>
        <v>858.16447999999991</v>
      </c>
      <c r="K1876" s="421">
        <f t="shared" si="455"/>
        <v>1019.59</v>
      </c>
      <c r="L1876" s="647" t="s">
        <v>16</v>
      </c>
      <c r="M1876" s="576"/>
      <c r="N1876" s="576">
        <f t="shared" ref="N1876:N1939" si="462">IF(M1876=0,0,K1876)</f>
        <v>0</v>
      </c>
      <c r="O1876" s="577">
        <f t="shared" si="453"/>
        <v>0</v>
      </c>
      <c r="P1876" s="578">
        <f t="shared" si="454"/>
        <v>0</v>
      </c>
      <c r="Q1876" s="765"/>
      <c r="R1876" s="576">
        <f>M1876</f>
        <v>0</v>
      </c>
      <c r="S1876" s="576">
        <f>N1876</f>
        <v>0</v>
      </c>
      <c r="T1876" s="577">
        <f t="shared" si="451"/>
        <v>0</v>
      </c>
      <c r="U1876" s="578">
        <f t="shared" si="452"/>
        <v>0</v>
      </c>
      <c r="V1876" s="579"/>
      <c r="W1876" s="566"/>
      <c r="X1876" s="586" t="str">
        <f t="shared" si="461"/>
        <v/>
      </c>
      <c r="Y1876" s="586" t="str">
        <f t="shared" si="431"/>
        <v/>
      </c>
      <c r="Z1876" s="586" t="str">
        <f t="shared" si="445"/>
        <v/>
      </c>
    </row>
    <row r="1877" spans="1:26" ht="12" hidden="1" thickBot="1" x14ac:dyDescent="0.25">
      <c r="A1877" s="567" t="s">
        <v>168</v>
      </c>
      <c r="B1877" s="644" t="s">
        <v>168</v>
      </c>
      <c r="C1877" s="645"/>
      <c r="D1877" s="422" t="s">
        <v>212</v>
      </c>
      <c r="E1877" s="423"/>
      <c r="F1877" s="424">
        <v>500</v>
      </c>
      <c r="G1877" s="425">
        <v>0.34399999999999997</v>
      </c>
      <c r="H1877" s="649">
        <f>IF(F1877&lt;=30,(0.78*F1877+7.82)*G1877,((0.78*30+7.82)+0.78*(F1877-30))*G1877)</f>
        <v>136.85008000000002</v>
      </c>
      <c r="I1877" s="420">
        <v>0</v>
      </c>
      <c r="J1877" s="420"/>
      <c r="K1877" s="421">
        <f t="shared" si="455"/>
        <v>0</v>
      </c>
      <c r="L1877" s="647"/>
      <c r="M1877" s="723"/>
      <c r="N1877" s="576">
        <f t="shared" si="462"/>
        <v>0</v>
      </c>
      <c r="O1877" s="577">
        <f t="shared" si="453"/>
        <v>0</v>
      </c>
      <c r="P1877" s="578">
        <f t="shared" si="454"/>
        <v>0</v>
      </c>
      <c r="Q1877" s="765"/>
      <c r="R1877" s="723"/>
      <c r="S1877" s="723"/>
      <c r="T1877" s="577">
        <f t="shared" si="451"/>
        <v>0</v>
      </c>
      <c r="U1877" s="578">
        <f t="shared" si="452"/>
        <v>0</v>
      </c>
      <c r="V1877" s="579"/>
      <c r="W1877" s="566" t="str">
        <f>IF(U1876&gt;0,"xx",IF(P1876&gt;0,"xy",""))</f>
        <v/>
      </c>
      <c r="X1877" s="586" t="str">
        <f t="shared" si="461"/>
        <v/>
      </c>
      <c r="Y1877" s="586" t="str">
        <f t="shared" si="431"/>
        <v/>
      </c>
      <c r="Z1877" s="586" t="str">
        <f t="shared" si="445"/>
        <v/>
      </c>
    </row>
    <row r="1878" spans="1:26" ht="12" hidden="1" thickBot="1" x14ac:dyDescent="0.25">
      <c r="A1878" s="567" t="s">
        <v>168</v>
      </c>
      <c r="B1878" s="644" t="s">
        <v>168</v>
      </c>
      <c r="C1878" s="645"/>
      <c r="D1878" s="422" t="s">
        <v>248</v>
      </c>
      <c r="E1878" s="423"/>
      <c r="F1878" s="424">
        <v>180</v>
      </c>
      <c r="G1878" s="425">
        <v>1.02</v>
      </c>
      <c r="H1878" s="663">
        <f t="shared" ref="H1878:H1879" si="463">IF(F1878&lt;=30,(1.07*F1878+2.68)*G1878,((1.07*30+2.68)+1.07*(F1878-30))*G1878)</f>
        <v>199.18559999999999</v>
      </c>
      <c r="I1878" s="420">
        <v>0</v>
      </c>
      <c r="J1878" s="420"/>
      <c r="K1878" s="421">
        <f t="shared" si="455"/>
        <v>0</v>
      </c>
      <c r="L1878" s="647"/>
      <c r="M1878" s="723"/>
      <c r="N1878" s="576">
        <f t="shared" si="462"/>
        <v>0</v>
      </c>
      <c r="O1878" s="577">
        <f t="shared" si="453"/>
        <v>0</v>
      </c>
      <c r="P1878" s="578">
        <f t="shared" si="454"/>
        <v>0</v>
      </c>
      <c r="Q1878" s="765"/>
      <c r="R1878" s="723"/>
      <c r="S1878" s="723"/>
      <c r="T1878" s="577">
        <f t="shared" si="451"/>
        <v>0</v>
      </c>
      <c r="U1878" s="578">
        <f t="shared" si="452"/>
        <v>0</v>
      </c>
      <c r="V1878" s="579"/>
      <c r="W1878" s="566" t="str">
        <f>IF(U1876&gt;0,"xx",IF(P1876&gt;0,"xy",""))</f>
        <v/>
      </c>
      <c r="X1878" s="586" t="str">
        <f t="shared" si="461"/>
        <v/>
      </c>
      <c r="Y1878" s="586" t="str">
        <f t="shared" si="431"/>
        <v/>
      </c>
      <c r="Z1878" s="586" t="str">
        <f t="shared" si="445"/>
        <v/>
      </c>
    </row>
    <row r="1879" spans="1:26" ht="12" hidden="1" thickBot="1" x14ac:dyDescent="0.25">
      <c r="A1879" s="567" t="s">
        <v>168</v>
      </c>
      <c r="B1879" s="644" t="s">
        <v>168</v>
      </c>
      <c r="C1879" s="645"/>
      <c r="D1879" s="422" t="s">
        <v>252</v>
      </c>
      <c r="E1879" s="423"/>
      <c r="F1879" s="424">
        <v>20</v>
      </c>
      <c r="G1879" s="425">
        <v>1.1100000000000001</v>
      </c>
      <c r="H1879" s="663">
        <f t="shared" si="463"/>
        <v>26.728800000000003</v>
      </c>
      <c r="I1879" s="420">
        <v>0</v>
      </c>
      <c r="J1879" s="420"/>
      <c r="K1879" s="421">
        <f t="shared" si="455"/>
        <v>0</v>
      </c>
      <c r="L1879" s="647"/>
      <c r="M1879" s="723"/>
      <c r="N1879" s="576">
        <f t="shared" si="462"/>
        <v>0</v>
      </c>
      <c r="O1879" s="577">
        <f t="shared" si="453"/>
        <v>0</v>
      </c>
      <c r="P1879" s="578">
        <f t="shared" si="454"/>
        <v>0</v>
      </c>
      <c r="Q1879" s="765"/>
      <c r="R1879" s="723"/>
      <c r="S1879" s="723"/>
      <c r="T1879" s="577">
        <f t="shared" si="451"/>
        <v>0</v>
      </c>
      <c r="U1879" s="578">
        <f t="shared" si="452"/>
        <v>0</v>
      </c>
      <c r="V1879" s="579"/>
      <c r="W1879" s="566" t="str">
        <f>IF(U1876&gt;0,"xx",IF(P1876&gt;0,"xy",""))</f>
        <v/>
      </c>
      <c r="X1879" s="586" t="str">
        <f t="shared" si="461"/>
        <v/>
      </c>
      <c r="Y1879" s="586" t="str">
        <f t="shared" si="431"/>
        <v/>
      </c>
      <c r="Z1879" s="586" t="str">
        <f t="shared" si="445"/>
        <v/>
      </c>
    </row>
    <row r="1880" spans="1:26" ht="12" hidden="1" thickBot="1" x14ac:dyDescent="0.25">
      <c r="A1880" s="567">
        <v>605500</v>
      </c>
      <c r="B1880" s="644">
        <v>605500</v>
      </c>
      <c r="C1880" s="645" t="s">
        <v>206</v>
      </c>
      <c r="D1880" s="422" t="s">
        <v>1512</v>
      </c>
      <c r="E1880" s="423"/>
      <c r="F1880" s="424"/>
      <c r="G1880" s="425"/>
      <c r="H1880" s="651">
        <f>SUM(H1881:H1883)</f>
        <v>350.76675999999998</v>
      </c>
      <c r="I1880" s="420">
        <v>517.38</v>
      </c>
      <c r="J1880" s="420">
        <f>IF(ISBLANK(I1880),"",SUM(H1880:I1880))</f>
        <v>868.14675999999997</v>
      </c>
      <c r="K1880" s="421">
        <f t="shared" si="455"/>
        <v>1031.45</v>
      </c>
      <c r="L1880" s="647" t="s">
        <v>16</v>
      </c>
      <c r="M1880" s="576"/>
      <c r="N1880" s="576">
        <f t="shared" si="462"/>
        <v>0</v>
      </c>
      <c r="O1880" s="577">
        <f t="shared" si="453"/>
        <v>0</v>
      </c>
      <c r="P1880" s="578">
        <f t="shared" si="454"/>
        <v>0</v>
      </c>
      <c r="Q1880" s="765"/>
      <c r="R1880" s="576">
        <f>M1880</f>
        <v>0</v>
      </c>
      <c r="S1880" s="576">
        <f>N1880</f>
        <v>0</v>
      </c>
      <c r="T1880" s="577">
        <f t="shared" si="451"/>
        <v>0</v>
      </c>
      <c r="U1880" s="578">
        <f t="shared" si="452"/>
        <v>0</v>
      </c>
      <c r="V1880" s="579"/>
      <c r="W1880" s="566"/>
      <c r="X1880" s="586" t="str">
        <f>IF(W1880="X","x",IF(W1880="xx","x",IF(W1880="xy","x",IF(W1880="y","x",IF(OR(P1880&gt;0,U1880&gt;0),"x","")))))</f>
        <v/>
      </c>
      <c r="Y1880" s="586" t="str">
        <f>IF(W1880="X","x",IF(W1880="y","x",IF(W1880="xx","x",IF(U1880&gt;0,"x",""))))</f>
        <v/>
      </c>
      <c r="Z1880" s="586" t="str">
        <f>IF(W1880="X","x",IF(U1880&gt;0,"x",""))</f>
        <v/>
      </c>
    </row>
    <row r="1881" spans="1:26" ht="12" hidden="1" thickBot="1" x14ac:dyDescent="0.25">
      <c r="A1881" s="567" t="s">
        <v>168</v>
      </c>
      <c r="B1881" s="644" t="s">
        <v>168</v>
      </c>
      <c r="C1881" s="645"/>
      <c r="D1881" s="422" t="s">
        <v>212</v>
      </c>
      <c r="E1881" s="423"/>
      <c r="F1881" s="424">
        <v>500</v>
      </c>
      <c r="G1881" s="425">
        <v>0.38600000000000001</v>
      </c>
      <c r="H1881" s="649">
        <f>IF(F1881&lt;=30,(0.78*F1881+7.82)*G1881,((0.78*30+7.82)+0.78*(F1881-30))*G1881)</f>
        <v>153.55852000000002</v>
      </c>
      <c r="I1881" s="420">
        <v>0</v>
      </c>
      <c r="J1881" s="420"/>
      <c r="K1881" s="421">
        <f t="shared" si="455"/>
        <v>0</v>
      </c>
      <c r="L1881" s="647"/>
      <c r="M1881" s="723"/>
      <c r="N1881" s="576">
        <f t="shared" si="462"/>
        <v>0</v>
      </c>
      <c r="O1881" s="577">
        <f t="shared" si="453"/>
        <v>0</v>
      </c>
      <c r="P1881" s="578">
        <f t="shared" si="454"/>
        <v>0</v>
      </c>
      <c r="Q1881" s="765"/>
      <c r="R1881" s="723"/>
      <c r="S1881" s="723"/>
      <c r="T1881" s="577">
        <f t="shared" si="451"/>
        <v>0</v>
      </c>
      <c r="U1881" s="578">
        <f t="shared" si="452"/>
        <v>0</v>
      </c>
      <c r="V1881" s="579"/>
      <c r="W1881" s="566" t="str">
        <f>IF(U1880&gt;0,"xx",IF(P1880&gt;0,"xy",""))</f>
        <v/>
      </c>
      <c r="X1881" s="586" t="str">
        <f>IF(W1881="X","x",IF(W1881="xx","x",IF(W1881="xy","x",IF(W1881="y","x",IF(OR(P1881&gt;0,U1881&gt;0),"x","")))))</f>
        <v/>
      </c>
      <c r="Y1881" s="586" t="str">
        <f>IF(W1881="X","x",IF(W1881="y","x",IF(W1881="xx","x",IF(U1881&gt;0,"x",""))))</f>
        <v/>
      </c>
      <c r="Z1881" s="586" t="str">
        <f>IF(W1881="X","x",IF(U1881&gt;0,"x",""))</f>
        <v/>
      </c>
    </row>
    <row r="1882" spans="1:26" ht="12" hidden="1" thickBot="1" x14ac:dyDescent="0.25">
      <c r="A1882" s="567" t="s">
        <v>168</v>
      </c>
      <c r="B1882" s="644" t="s">
        <v>168</v>
      </c>
      <c r="C1882" s="645"/>
      <c r="D1882" s="422" t="s">
        <v>248</v>
      </c>
      <c r="E1882" s="423"/>
      <c r="F1882" s="424">
        <v>180</v>
      </c>
      <c r="G1882" s="425">
        <v>0.873</v>
      </c>
      <c r="H1882" s="663">
        <f t="shared" ref="H1882:H1883" si="464">IF(F1882&lt;=30,(1.07*F1882+2.68)*G1882,((1.07*30+2.68)+1.07*(F1882-30))*G1882)</f>
        <v>170.47944000000001</v>
      </c>
      <c r="I1882" s="420">
        <v>0</v>
      </c>
      <c r="J1882" s="420"/>
      <c r="K1882" s="421">
        <f t="shared" si="455"/>
        <v>0</v>
      </c>
      <c r="L1882" s="647"/>
      <c r="M1882" s="723"/>
      <c r="N1882" s="576">
        <f t="shared" si="462"/>
        <v>0</v>
      </c>
      <c r="O1882" s="577">
        <f t="shared" si="453"/>
        <v>0</v>
      </c>
      <c r="P1882" s="578">
        <f t="shared" si="454"/>
        <v>0</v>
      </c>
      <c r="Q1882" s="765"/>
      <c r="R1882" s="723"/>
      <c r="S1882" s="723"/>
      <c r="T1882" s="577">
        <f t="shared" si="451"/>
        <v>0</v>
      </c>
      <c r="U1882" s="578">
        <f t="shared" si="452"/>
        <v>0</v>
      </c>
      <c r="V1882" s="579"/>
      <c r="W1882" s="566" t="str">
        <f>IF(U1880&gt;0,"xx",IF(P1880&gt;0,"xy",""))</f>
        <v/>
      </c>
      <c r="X1882" s="586" t="str">
        <f>IF(W1882="X","x",IF(W1882="xx","x",IF(W1882="xy","x",IF(W1882="y","x",IF(OR(P1882&gt;0,U1882&gt;0),"x","")))))</f>
        <v/>
      </c>
      <c r="Y1882" s="586" t="str">
        <f>IF(W1882="X","x",IF(W1882="y","x",IF(W1882="xx","x",IF(U1882&gt;0,"x",""))))</f>
        <v/>
      </c>
      <c r="Z1882" s="586" t="str">
        <f>IF(W1882="X","x",IF(U1882&gt;0,"x",""))</f>
        <v/>
      </c>
    </row>
    <row r="1883" spans="1:26" ht="12" hidden="1" thickBot="1" x14ac:dyDescent="0.25">
      <c r="A1883" s="567" t="s">
        <v>168</v>
      </c>
      <c r="B1883" s="644" t="s">
        <v>168</v>
      </c>
      <c r="C1883" s="645"/>
      <c r="D1883" s="422" t="s">
        <v>252</v>
      </c>
      <c r="E1883" s="423"/>
      <c r="F1883" s="424">
        <v>20</v>
      </c>
      <c r="G1883" s="425">
        <v>1.1100000000000001</v>
      </c>
      <c r="H1883" s="663">
        <f t="shared" si="464"/>
        <v>26.728800000000003</v>
      </c>
      <c r="I1883" s="420">
        <v>0</v>
      </c>
      <c r="J1883" s="420"/>
      <c r="K1883" s="421">
        <f t="shared" si="455"/>
        <v>0</v>
      </c>
      <c r="L1883" s="647"/>
      <c r="M1883" s="723"/>
      <c r="N1883" s="576">
        <f t="shared" si="462"/>
        <v>0</v>
      </c>
      <c r="O1883" s="577">
        <f t="shared" si="453"/>
        <v>0</v>
      </c>
      <c r="P1883" s="578">
        <f t="shared" si="454"/>
        <v>0</v>
      </c>
      <c r="Q1883" s="765"/>
      <c r="R1883" s="723"/>
      <c r="S1883" s="723"/>
      <c r="T1883" s="577">
        <f t="shared" si="451"/>
        <v>0</v>
      </c>
      <c r="U1883" s="578">
        <f t="shared" si="452"/>
        <v>0</v>
      </c>
      <c r="V1883" s="579"/>
      <c r="W1883" s="566" t="str">
        <f>IF(U1880&gt;0,"xx",IF(P1880&gt;0,"xy",""))</f>
        <v/>
      </c>
      <c r="X1883" s="586" t="str">
        <f>IF(W1883="X","x",IF(W1883="xx","x",IF(W1883="xy","x",IF(W1883="y","x",IF(OR(P1883&gt;0,U1883&gt;0),"x","")))))</f>
        <v/>
      </c>
      <c r="Y1883" s="586" t="str">
        <f>IF(W1883="X","x",IF(W1883="y","x",IF(W1883="xx","x",IF(U1883&gt;0,"x",""))))</f>
        <v/>
      </c>
      <c r="Z1883" s="586" t="str">
        <f>IF(W1883="X","x",IF(U1883&gt;0,"x",""))</f>
        <v/>
      </c>
    </row>
    <row r="1884" spans="1:26" ht="12" hidden="1" thickBot="1" x14ac:dyDescent="0.25">
      <c r="A1884" s="567">
        <v>605600</v>
      </c>
      <c r="B1884" s="644">
        <v>605600</v>
      </c>
      <c r="C1884" s="645" t="s">
        <v>206</v>
      </c>
      <c r="D1884" s="422" t="s">
        <v>1513</v>
      </c>
      <c r="E1884" s="423"/>
      <c r="F1884" s="424"/>
      <c r="G1884" s="425"/>
      <c r="H1884" s="651">
        <f>SUM(H1885:H1887)</f>
        <v>353.87019999999995</v>
      </c>
      <c r="I1884" s="420">
        <v>529.53</v>
      </c>
      <c r="J1884" s="420">
        <f>IF(ISBLANK(I1884),"",SUM(H1884:I1884))</f>
        <v>883.40019999999993</v>
      </c>
      <c r="K1884" s="421">
        <f t="shared" si="455"/>
        <v>1049.57</v>
      </c>
      <c r="L1884" s="647" t="s">
        <v>16</v>
      </c>
      <c r="M1884" s="576"/>
      <c r="N1884" s="576">
        <f t="shared" si="462"/>
        <v>0</v>
      </c>
      <c r="O1884" s="577">
        <f t="shared" si="453"/>
        <v>0</v>
      </c>
      <c r="P1884" s="578">
        <f t="shared" si="454"/>
        <v>0</v>
      </c>
      <c r="Q1884" s="765"/>
      <c r="R1884" s="576">
        <f>M1884</f>
        <v>0</v>
      </c>
      <c r="S1884" s="576">
        <f>N1884</f>
        <v>0</v>
      </c>
      <c r="T1884" s="577">
        <f t="shared" si="451"/>
        <v>0</v>
      </c>
      <c r="U1884" s="578">
        <f t="shared" si="452"/>
        <v>0</v>
      </c>
      <c r="V1884" s="579"/>
      <c r="W1884" s="566"/>
      <c r="X1884" s="586" t="str">
        <f t="shared" ref="X1884:X1903" si="465">IF(W1884="X","x",IF(W1884="xx","x",IF(W1884="xy","x",IF(W1884="y","x",IF(OR(P1884&gt;0,U1884&gt;0),"x","")))))</f>
        <v/>
      </c>
      <c r="Y1884" s="586" t="str">
        <f t="shared" ref="Y1884:Y1903" si="466">IF(W1884="X","x",IF(W1884="y","x",IF(W1884="xx","x",IF(U1884&gt;0,"x",""))))</f>
        <v/>
      </c>
      <c r="Z1884" s="586" t="str">
        <f t="shared" ref="Z1884:Z1903" si="467">IF(W1884="X","x",IF(U1884&gt;0,"x",""))</f>
        <v/>
      </c>
    </row>
    <row r="1885" spans="1:26" ht="12" hidden="1" thickBot="1" x14ac:dyDescent="0.25">
      <c r="A1885" s="567" t="s">
        <v>168</v>
      </c>
      <c r="B1885" s="644" t="s">
        <v>168</v>
      </c>
      <c r="C1885" s="645"/>
      <c r="D1885" s="422" t="s">
        <v>212</v>
      </c>
      <c r="E1885" s="423"/>
      <c r="F1885" s="424">
        <v>500</v>
      </c>
      <c r="G1885" s="425">
        <v>0.41</v>
      </c>
      <c r="H1885" s="649">
        <f>IF(F1885&lt;=30,(0.78*F1885+7.82)*G1885,((0.78*30+7.82)+0.78*(F1885-30))*G1885)</f>
        <v>163.1062</v>
      </c>
      <c r="I1885" s="420">
        <v>0</v>
      </c>
      <c r="J1885" s="420"/>
      <c r="K1885" s="421">
        <f t="shared" si="455"/>
        <v>0</v>
      </c>
      <c r="L1885" s="647"/>
      <c r="M1885" s="723"/>
      <c r="N1885" s="576">
        <f t="shared" si="462"/>
        <v>0</v>
      </c>
      <c r="O1885" s="577">
        <f t="shared" si="453"/>
        <v>0</v>
      </c>
      <c r="P1885" s="578">
        <f t="shared" si="454"/>
        <v>0</v>
      </c>
      <c r="Q1885" s="765"/>
      <c r="R1885" s="723"/>
      <c r="S1885" s="723"/>
      <c r="T1885" s="577">
        <f t="shared" si="451"/>
        <v>0</v>
      </c>
      <c r="U1885" s="578">
        <f t="shared" si="452"/>
        <v>0</v>
      </c>
      <c r="V1885" s="579"/>
      <c r="W1885" s="566" t="str">
        <f>IF(U1884&gt;0,"xx",IF(P1884&gt;0,"xy",""))</f>
        <v/>
      </c>
      <c r="X1885" s="586" t="str">
        <f t="shared" si="465"/>
        <v/>
      </c>
      <c r="Y1885" s="586" t="str">
        <f t="shared" si="466"/>
        <v/>
      </c>
      <c r="Z1885" s="586" t="str">
        <f t="shared" si="467"/>
        <v/>
      </c>
    </row>
    <row r="1886" spans="1:26" ht="12" hidden="1" thickBot="1" x14ac:dyDescent="0.25">
      <c r="A1886" s="567" t="s">
        <v>168</v>
      </c>
      <c r="B1886" s="644" t="s">
        <v>168</v>
      </c>
      <c r="C1886" s="645"/>
      <c r="D1886" s="422" t="s">
        <v>248</v>
      </c>
      <c r="E1886" s="423"/>
      <c r="F1886" s="424">
        <v>180</v>
      </c>
      <c r="G1886" s="425">
        <v>0.84</v>
      </c>
      <c r="H1886" s="663">
        <f t="shared" ref="H1886:H1887" si="468">IF(F1886&lt;=30,(1.07*F1886+2.68)*G1886,((1.07*30+2.68)+1.07*(F1886-30))*G1886)</f>
        <v>164.0352</v>
      </c>
      <c r="I1886" s="420">
        <v>0</v>
      </c>
      <c r="J1886" s="420"/>
      <c r="K1886" s="421">
        <f t="shared" si="455"/>
        <v>0</v>
      </c>
      <c r="L1886" s="647"/>
      <c r="M1886" s="723"/>
      <c r="N1886" s="576">
        <f t="shared" si="462"/>
        <v>0</v>
      </c>
      <c r="O1886" s="577">
        <f t="shared" si="453"/>
        <v>0</v>
      </c>
      <c r="P1886" s="578">
        <f t="shared" si="454"/>
        <v>0</v>
      </c>
      <c r="Q1886" s="765"/>
      <c r="R1886" s="723"/>
      <c r="S1886" s="723"/>
      <c r="T1886" s="577">
        <f t="shared" si="451"/>
        <v>0</v>
      </c>
      <c r="U1886" s="578">
        <f t="shared" si="452"/>
        <v>0</v>
      </c>
      <c r="V1886" s="579"/>
      <c r="W1886" s="566" t="str">
        <f>IF(U1884&gt;0,"xx",IF(P1884&gt;0,"xy",""))</f>
        <v/>
      </c>
      <c r="X1886" s="586" t="str">
        <f t="shared" si="465"/>
        <v/>
      </c>
      <c r="Y1886" s="586" t="str">
        <f t="shared" si="466"/>
        <v/>
      </c>
      <c r="Z1886" s="586" t="str">
        <f t="shared" si="467"/>
        <v/>
      </c>
    </row>
    <row r="1887" spans="1:26" ht="12" hidden="1" thickBot="1" x14ac:dyDescent="0.25">
      <c r="A1887" s="567" t="s">
        <v>168</v>
      </c>
      <c r="B1887" s="644" t="s">
        <v>168</v>
      </c>
      <c r="C1887" s="645"/>
      <c r="D1887" s="422" t="s">
        <v>252</v>
      </c>
      <c r="E1887" s="423"/>
      <c r="F1887" s="424">
        <v>20</v>
      </c>
      <c r="G1887" s="425">
        <v>1.1100000000000001</v>
      </c>
      <c r="H1887" s="663">
        <f t="shared" si="468"/>
        <v>26.728800000000003</v>
      </c>
      <c r="I1887" s="420">
        <v>0</v>
      </c>
      <c r="J1887" s="420"/>
      <c r="K1887" s="421">
        <f t="shared" si="455"/>
        <v>0</v>
      </c>
      <c r="L1887" s="647"/>
      <c r="M1887" s="723"/>
      <c r="N1887" s="576">
        <f t="shared" si="462"/>
        <v>0</v>
      </c>
      <c r="O1887" s="577">
        <f t="shared" si="453"/>
        <v>0</v>
      </c>
      <c r="P1887" s="578">
        <f t="shared" si="454"/>
        <v>0</v>
      </c>
      <c r="Q1887" s="765"/>
      <c r="R1887" s="723"/>
      <c r="S1887" s="723"/>
      <c r="T1887" s="577">
        <f t="shared" si="451"/>
        <v>0</v>
      </c>
      <c r="U1887" s="578">
        <f t="shared" si="452"/>
        <v>0</v>
      </c>
      <c r="V1887" s="579"/>
      <c r="W1887" s="566" t="str">
        <f>IF(U1884&gt;0,"xx",IF(P1884&gt;0,"xy",""))</f>
        <v/>
      </c>
      <c r="X1887" s="586" t="str">
        <f t="shared" si="465"/>
        <v/>
      </c>
      <c r="Y1887" s="586" t="str">
        <f t="shared" si="466"/>
        <v/>
      </c>
      <c r="Z1887" s="586" t="str">
        <f t="shared" si="467"/>
        <v/>
      </c>
    </row>
    <row r="1888" spans="1:26" ht="12" hidden="1" thickBot="1" x14ac:dyDescent="0.25">
      <c r="A1888" s="567">
        <v>605700</v>
      </c>
      <c r="B1888" s="644">
        <v>605700</v>
      </c>
      <c r="C1888" s="645" t="s">
        <v>206</v>
      </c>
      <c r="D1888" s="422" t="s">
        <v>1514</v>
      </c>
      <c r="E1888" s="423"/>
      <c r="F1888" s="424"/>
      <c r="G1888" s="425"/>
      <c r="H1888" s="651">
        <f>SUM(H1889:H1891)</f>
        <v>358.8974</v>
      </c>
      <c r="I1888" s="420">
        <v>540.22</v>
      </c>
      <c r="J1888" s="420">
        <f>IF(ISBLANK(I1888),"",SUM(H1888:I1888))</f>
        <v>899.11740000000009</v>
      </c>
      <c r="K1888" s="421">
        <f t="shared" si="455"/>
        <v>1068.24</v>
      </c>
      <c r="L1888" s="647" t="s">
        <v>16</v>
      </c>
      <c r="M1888" s="576"/>
      <c r="N1888" s="576">
        <f t="shared" si="462"/>
        <v>0</v>
      </c>
      <c r="O1888" s="577">
        <f t="shared" si="453"/>
        <v>0</v>
      </c>
      <c r="P1888" s="578">
        <f t="shared" si="454"/>
        <v>0</v>
      </c>
      <c r="Q1888" s="765"/>
      <c r="R1888" s="576">
        <f>M1888</f>
        <v>0</v>
      </c>
      <c r="S1888" s="576">
        <f>N1888</f>
        <v>0</v>
      </c>
      <c r="T1888" s="577">
        <f t="shared" si="451"/>
        <v>0</v>
      </c>
      <c r="U1888" s="578">
        <f t="shared" si="452"/>
        <v>0</v>
      </c>
      <c r="V1888" s="579"/>
      <c r="W1888" s="566"/>
      <c r="X1888" s="586" t="str">
        <f t="shared" si="465"/>
        <v/>
      </c>
      <c r="Y1888" s="586" t="str">
        <f t="shared" si="466"/>
        <v/>
      </c>
      <c r="Z1888" s="586" t="str">
        <f t="shared" si="467"/>
        <v/>
      </c>
    </row>
    <row r="1889" spans="1:26" ht="12" hidden="1" thickBot="1" x14ac:dyDescent="0.25">
      <c r="A1889" s="567" t="s">
        <v>168</v>
      </c>
      <c r="B1889" s="644" t="s">
        <v>168</v>
      </c>
      <c r="C1889" s="645"/>
      <c r="D1889" s="422" t="s">
        <v>212</v>
      </c>
      <c r="E1889" s="423"/>
      <c r="F1889" s="424">
        <v>500</v>
      </c>
      <c r="G1889" s="425">
        <v>0.43</v>
      </c>
      <c r="H1889" s="649">
        <f>IF(F1889&lt;=30,(0.78*F1889+7.82)*G1889,((0.78*30+7.82)+0.78*(F1889-30))*G1889)</f>
        <v>171.06260000000003</v>
      </c>
      <c r="I1889" s="420">
        <v>0</v>
      </c>
      <c r="J1889" s="420"/>
      <c r="K1889" s="421">
        <f t="shared" si="455"/>
        <v>0</v>
      </c>
      <c r="L1889" s="647"/>
      <c r="M1889" s="723"/>
      <c r="N1889" s="576">
        <f t="shared" si="462"/>
        <v>0</v>
      </c>
      <c r="O1889" s="577">
        <f t="shared" si="453"/>
        <v>0</v>
      </c>
      <c r="P1889" s="578">
        <f t="shared" si="454"/>
        <v>0</v>
      </c>
      <c r="Q1889" s="765"/>
      <c r="R1889" s="723"/>
      <c r="S1889" s="723"/>
      <c r="T1889" s="577">
        <f t="shared" si="451"/>
        <v>0</v>
      </c>
      <c r="U1889" s="578">
        <f t="shared" si="452"/>
        <v>0</v>
      </c>
      <c r="V1889" s="579"/>
      <c r="W1889" s="566" t="str">
        <f>IF(U1888&gt;0,"xx",IF(P1888&gt;0,"xy",""))</f>
        <v/>
      </c>
      <c r="X1889" s="586" t="str">
        <f t="shared" si="465"/>
        <v/>
      </c>
      <c r="Y1889" s="586" t="str">
        <f t="shared" si="466"/>
        <v/>
      </c>
      <c r="Z1889" s="586" t="str">
        <f t="shared" si="467"/>
        <v/>
      </c>
    </row>
    <row r="1890" spans="1:26" ht="12" hidden="1" thickBot="1" x14ac:dyDescent="0.25">
      <c r="A1890" s="567" t="s">
        <v>168</v>
      </c>
      <c r="B1890" s="644" t="s">
        <v>168</v>
      </c>
      <c r="C1890" s="645"/>
      <c r="D1890" s="422" t="s">
        <v>248</v>
      </c>
      <c r="E1890" s="423"/>
      <c r="F1890" s="424">
        <v>180</v>
      </c>
      <c r="G1890" s="425">
        <v>0.82499999999999996</v>
      </c>
      <c r="H1890" s="663">
        <f t="shared" ref="H1890:H1891" si="469">IF(F1890&lt;=30,(1.07*F1890+2.68)*G1890,((1.07*30+2.68)+1.07*(F1890-30))*G1890)</f>
        <v>161.10599999999999</v>
      </c>
      <c r="I1890" s="420">
        <v>0</v>
      </c>
      <c r="J1890" s="420"/>
      <c r="K1890" s="421">
        <f t="shared" si="455"/>
        <v>0</v>
      </c>
      <c r="L1890" s="647"/>
      <c r="M1890" s="723"/>
      <c r="N1890" s="576">
        <f t="shared" si="462"/>
        <v>0</v>
      </c>
      <c r="O1890" s="577">
        <f t="shared" si="453"/>
        <v>0</v>
      </c>
      <c r="P1890" s="578">
        <f t="shared" si="454"/>
        <v>0</v>
      </c>
      <c r="Q1890" s="765"/>
      <c r="R1890" s="723"/>
      <c r="S1890" s="723"/>
      <c r="T1890" s="577">
        <f t="shared" si="451"/>
        <v>0</v>
      </c>
      <c r="U1890" s="578">
        <f t="shared" si="452"/>
        <v>0</v>
      </c>
      <c r="V1890" s="579"/>
      <c r="W1890" s="566" t="str">
        <f>IF(U1888&gt;0,"xx",IF(P1888&gt;0,"xy",""))</f>
        <v/>
      </c>
      <c r="X1890" s="586" t="str">
        <f t="shared" si="465"/>
        <v/>
      </c>
      <c r="Y1890" s="586" t="str">
        <f t="shared" si="466"/>
        <v/>
      </c>
      <c r="Z1890" s="586" t="str">
        <f t="shared" si="467"/>
        <v/>
      </c>
    </row>
    <row r="1891" spans="1:26" ht="12" hidden="1" thickBot="1" x14ac:dyDescent="0.25">
      <c r="A1891" s="567" t="s">
        <v>168</v>
      </c>
      <c r="B1891" s="644" t="s">
        <v>168</v>
      </c>
      <c r="C1891" s="645"/>
      <c r="D1891" s="422" t="s">
        <v>252</v>
      </c>
      <c r="E1891" s="423"/>
      <c r="F1891" s="424">
        <v>20</v>
      </c>
      <c r="G1891" s="425">
        <v>1.1100000000000001</v>
      </c>
      <c r="H1891" s="663">
        <f t="shared" si="469"/>
        <v>26.728800000000003</v>
      </c>
      <c r="I1891" s="420">
        <v>0</v>
      </c>
      <c r="J1891" s="420"/>
      <c r="K1891" s="421">
        <f t="shared" si="455"/>
        <v>0</v>
      </c>
      <c r="L1891" s="647"/>
      <c r="M1891" s="723"/>
      <c r="N1891" s="576">
        <f t="shared" si="462"/>
        <v>0</v>
      </c>
      <c r="O1891" s="577">
        <f t="shared" si="453"/>
        <v>0</v>
      </c>
      <c r="P1891" s="578">
        <f t="shared" si="454"/>
        <v>0</v>
      </c>
      <c r="Q1891" s="765"/>
      <c r="R1891" s="723"/>
      <c r="S1891" s="723"/>
      <c r="T1891" s="577">
        <f t="shared" si="451"/>
        <v>0</v>
      </c>
      <c r="U1891" s="578">
        <f t="shared" si="452"/>
        <v>0</v>
      </c>
      <c r="V1891" s="579"/>
      <c r="W1891" s="566" t="str">
        <f>IF(U1888&gt;0,"xx",IF(P1888&gt;0,"xy",""))</f>
        <v/>
      </c>
      <c r="X1891" s="586" t="str">
        <f t="shared" si="465"/>
        <v/>
      </c>
      <c r="Y1891" s="586" t="str">
        <f t="shared" si="466"/>
        <v/>
      </c>
      <c r="Z1891" s="586" t="str">
        <f t="shared" si="467"/>
        <v/>
      </c>
    </row>
    <row r="1892" spans="1:26" ht="12" hidden="1" thickBot="1" x14ac:dyDescent="0.25">
      <c r="A1892" s="567">
        <v>605800</v>
      </c>
      <c r="B1892" s="644">
        <v>605800</v>
      </c>
      <c r="C1892" s="645" t="s">
        <v>206</v>
      </c>
      <c r="D1892" s="422" t="s">
        <v>1515</v>
      </c>
      <c r="E1892" s="423"/>
      <c r="F1892" s="424"/>
      <c r="G1892" s="425"/>
      <c r="H1892" s="651">
        <f>SUM(H1893:H1895)</f>
        <v>360.88649999999996</v>
      </c>
      <c r="I1892" s="420">
        <v>543.05999999999995</v>
      </c>
      <c r="J1892" s="420">
        <f>IF(ISBLANK(I1892),"",SUM(H1892:I1892))</f>
        <v>903.9464999999999</v>
      </c>
      <c r="K1892" s="421">
        <f t="shared" si="455"/>
        <v>1073.98</v>
      </c>
      <c r="L1892" s="647" t="s">
        <v>16</v>
      </c>
      <c r="M1892" s="576"/>
      <c r="N1892" s="576">
        <f t="shared" si="462"/>
        <v>0</v>
      </c>
      <c r="O1892" s="577">
        <f t="shared" si="453"/>
        <v>0</v>
      </c>
      <c r="P1892" s="578">
        <f t="shared" si="454"/>
        <v>0</v>
      </c>
      <c r="Q1892" s="765"/>
      <c r="R1892" s="576">
        <f>M1892</f>
        <v>0</v>
      </c>
      <c r="S1892" s="576">
        <f>N1892</f>
        <v>0</v>
      </c>
      <c r="T1892" s="577">
        <f t="shared" si="451"/>
        <v>0</v>
      </c>
      <c r="U1892" s="578">
        <f t="shared" si="452"/>
        <v>0</v>
      </c>
      <c r="V1892" s="579"/>
      <c r="W1892" s="566"/>
      <c r="X1892" s="586" t="str">
        <f t="shared" si="465"/>
        <v/>
      </c>
      <c r="Y1892" s="586" t="str">
        <f t="shared" si="466"/>
        <v/>
      </c>
      <c r="Z1892" s="586" t="str">
        <f t="shared" si="467"/>
        <v/>
      </c>
    </row>
    <row r="1893" spans="1:26" ht="12" hidden="1" thickBot="1" x14ac:dyDescent="0.25">
      <c r="A1893" s="567" t="s">
        <v>168</v>
      </c>
      <c r="B1893" s="644" t="s">
        <v>168</v>
      </c>
      <c r="C1893" s="645"/>
      <c r="D1893" s="422" t="s">
        <v>212</v>
      </c>
      <c r="E1893" s="423"/>
      <c r="F1893" s="424">
        <v>500</v>
      </c>
      <c r="G1893" s="425">
        <v>0.435</v>
      </c>
      <c r="H1893" s="649">
        <f>IF(F1893&lt;=30,(0.78*F1893+7.82)*G1893,((0.78*30+7.82)+0.78*(F1893-30))*G1893)</f>
        <v>173.05170000000001</v>
      </c>
      <c r="I1893" s="420">
        <v>0</v>
      </c>
      <c r="J1893" s="420"/>
      <c r="K1893" s="421">
        <f t="shared" si="455"/>
        <v>0</v>
      </c>
      <c r="L1893" s="647"/>
      <c r="M1893" s="723"/>
      <c r="N1893" s="576">
        <f t="shared" si="462"/>
        <v>0</v>
      </c>
      <c r="O1893" s="577">
        <f t="shared" si="453"/>
        <v>0</v>
      </c>
      <c r="P1893" s="578">
        <f t="shared" si="454"/>
        <v>0</v>
      </c>
      <c r="Q1893" s="765"/>
      <c r="R1893" s="723"/>
      <c r="S1893" s="723"/>
      <c r="T1893" s="577">
        <f t="shared" si="451"/>
        <v>0</v>
      </c>
      <c r="U1893" s="578">
        <f t="shared" si="452"/>
        <v>0</v>
      </c>
      <c r="V1893" s="579"/>
      <c r="W1893" s="566" t="str">
        <f>IF(U1892&gt;0,"xx",IF(P1892&gt;0,"xy",""))</f>
        <v/>
      </c>
      <c r="X1893" s="586" t="str">
        <f t="shared" si="465"/>
        <v/>
      </c>
      <c r="Y1893" s="586" t="str">
        <f t="shared" si="466"/>
        <v/>
      </c>
      <c r="Z1893" s="586" t="str">
        <f t="shared" si="467"/>
        <v/>
      </c>
    </row>
    <row r="1894" spans="1:26" ht="12" hidden="1" thickBot="1" x14ac:dyDescent="0.25">
      <c r="A1894" s="567" t="s">
        <v>168</v>
      </c>
      <c r="B1894" s="644" t="s">
        <v>168</v>
      </c>
      <c r="C1894" s="645"/>
      <c r="D1894" s="422" t="s">
        <v>248</v>
      </c>
      <c r="E1894" s="423"/>
      <c r="F1894" s="424">
        <v>180</v>
      </c>
      <c r="G1894" s="425">
        <v>0.82499999999999996</v>
      </c>
      <c r="H1894" s="663">
        <f t="shared" ref="H1894:H1895" si="470">IF(F1894&lt;=30,(1.07*F1894+2.68)*G1894,((1.07*30+2.68)+1.07*(F1894-30))*G1894)</f>
        <v>161.10599999999999</v>
      </c>
      <c r="I1894" s="420">
        <v>0</v>
      </c>
      <c r="J1894" s="420"/>
      <c r="K1894" s="421">
        <f t="shared" si="455"/>
        <v>0</v>
      </c>
      <c r="L1894" s="647"/>
      <c r="M1894" s="723"/>
      <c r="N1894" s="576">
        <f t="shared" si="462"/>
        <v>0</v>
      </c>
      <c r="O1894" s="577">
        <f t="shared" si="453"/>
        <v>0</v>
      </c>
      <c r="P1894" s="578">
        <f t="shared" si="454"/>
        <v>0</v>
      </c>
      <c r="Q1894" s="765"/>
      <c r="R1894" s="723"/>
      <c r="S1894" s="723"/>
      <c r="T1894" s="577">
        <f t="shared" si="451"/>
        <v>0</v>
      </c>
      <c r="U1894" s="578">
        <f t="shared" si="452"/>
        <v>0</v>
      </c>
      <c r="V1894" s="579"/>
      <c r="W1894" s="566" t="str">
        <f>IF(U1892&gt;0,"xx",IF(P1892&gt;0,"xy",""))</f>
        <v/>
      </c>
      <c r="X1894" s="586" t="str">
        <f t="shared" si="465"/>
        <v/>
      </c>
      <c r="Y1894" s="586" t="str">
        <f t="shared" si="466"/>
        <v/>
      </c>
      <c r="Z1894" s="586" t="str">
        <f t="shared" si="467"/>
        <v/>
      </c>
    </row>
    <row r="1895" spans="1:26" ht="12" hidden="1" thickBot="1" x14ac:dyDescent="0.25">
      <c r="A1895" s="567" t="s">
        <v>168</v>
      </c>
      <c r="B1895" s="644" t="s">
        <v>168</v>
      </c>
      <c r="C1895" s="645"/>
      <c r="D1895" s="422" t="s">
        <v>252</v>
      </c>
      <c r="E1895" s="423"/>
      <c r="F1895" s="424">
        <v>20</v>
      </c>
      <c r="G1895" s="425">
        <v>1.1100000000000001</v>
      </c>
      <c r="H1895" s="663">
        <f t="shared" si="470"/>
        <v>26.728800000000003</v>
      </c>
      <c r="I1895" s="420">
        <v>0</v>
      </c>
      <c r="J1895" s="420"/>
      <c r="K1895" s="421">
        <f t="shared" si="455"/>
        <v>0</v>
      </c>
      <c r="L1895" s="647"/>
      <c r="M1895" s="723"/>
      <c r="N1895" s="576">
        <f t="shared" si="462"/>
        <v>0</v>
      </c>
      <c r="O1895" s="577">
        <f t="shared" si="453"/>
        <v>0</v>
      </c>
      <c r="P1895" s="578">
        <f t="shared" si="454"/>
        <v>0</v>
      </c>
      <c r="Q1895" s="765"/>
      <c r="R1895" s="723"/>
      <c r="S1895" s="723"/>
      <c r="T1895" s="577">
        <f t="shared" si="451"/>
        <v>0</v>
      </c>
      <c r="U1895" s="578">
        <f t="shared" si="452"/>
        <v>0</v>
      </c>
      <c r="V1895" s="579"/>
      <c r="W1895" s="566" t="str">
        <f>IF(U1892&gt;0,"xx",IF(P1892&gt;0,"xy",""))</f>
        <v/>
      </c>
      <c r="X1895" s="586" t="str">
        <f t="shared" si="465"/>
        <v/>
      </c>
      <c r="Y1895" s="586" t="str">
        <f t="shared" si="466"/>
        <v/>
      </c>
      <c r="Z1895" s="586" t="str">
        <f t="shared" si="467"/>
        <v/>
      </c>
    </row>
    <row r="1896" spans="1:26" ht="12" hidden="1" thickBot="1" x14ac:dyDescent="0.25">
      <c r="A1896" s="567">
        <v>605900</v>
      </c>
      <c r="B1896" s="644">
        <v>605900</v>
      </c>
      <c r="C1896" s="645" t="s">
        <v>206</v>
      </c>
      <c r="D1896" s="422" t="s">
        <v>1516</v>
      </c>
      <c r="E1896" s="423"/>
      <c r="F1896" s="424"/>
      <c r="G1896" s="425"/>
      <c r="H1896" s="651">
        <f>SUM(H1897:H1899)</f>
        <v>370.00080000000003</v>
      </c>
      <c r="I1896" s="420">
        <v>566.61</v>
      </c>
      <c r="J1896" s="420">
        <f>IF(ISBLANK(I1896),"",SUM(H1896:I1896))</f>
        <v>936.61080000000004</v>
      </c>
      <c r="K1896" s="421">
        <f t="shared" si="455"/>
        <v>1112.79</v>
      </c>
      <c r="L1896" s="647" t="s">
        <v>16</v>
      </c>
      <c r="M1896" s="576"/>
      <c r="N1896" s="576">
        <f t="shared" si="462"/>
        <v>0</v>
      </c>
      <c r="O1896" s="577">
        <f t="shared" si="453"/>
        <v>0</v>
      </c>
      <c r="P1896" s="578">
        <f t="shared" si="454"/>
        <v>0</v>
      </c>
      <c r="Q1896" s="765"/>
      <c r="R1896" s="576">
        <f>M1896</f>
        <v>0</v>
      </c>
      <c r="S1896" s="576">
        <f>N1896</f>
        <v>0</v>
      </c>
      <c r="T1896" s="577">
        <f t="shared" si="451"/>
        <v>0</v>
      </c>
      <c r="U1896" s="578">
        <f t="shared" si="452"/>
        <v>0</v>
      </c>
      <c r="V1896" s="579"/>
      <c r="W1896" s="566"/>
      <c r="X1896" s="586" t="str">
        <f t="shared" si="465"/>
        <v/>
      </c>
      <c r="Y1896" s="586" t="str">
        <f t="shared" si="466"/>
        <v/>
      </c>
      <c r="Z1896" s="586" t="str">
        <f t="shared" si="467"/>
        <v/>
      </c>
    </row>
    <row r="1897" spans="1:26" ht="12" hidden="1" thickBot="1" x14ac:dyDescent="0.25">
      <c r="A1897" s="567" t="s">
        <v>168</v>
      </c>
      <c r="B1897" s="644" t="s">
        <v>168</v>
      </c>
      <c r="C1897" s="645"/>
      <c r="D1897" s="422" t="s">
        <v>212</v>
      </c>
      <c r="E1897" s="423"/>
      <c r="F1897" s="424">
        <v>500</v>
      </c>
      <c r="G1897" s="425">
        <v>0.48</v>
      </c>
      <c r="H1897" s="649">
        <f>IF(F1897&lt;=30,(0.78*F1897+7.82)*G1897,((0.78*30+7.82)+0.78*(F1897-30))*G1897)</f>
        <v>190.95360000000002</v>
      </c>
      <c r="I1897" s="420">
        <v>0</v>
      </c>
      <c r="J1897" s="420"/>
      <c r="K1897" s="421">
        <f t="shared" si="455"/>
        <v>0</v>
      </c>
      <c r="L1897" s="647"/>
      <c r="M1897" s="723"/>
      <c r="N1897" s="576">
        <f t="shared" si="462"/>
        <v>0</v>
      </c>
      <c r="O1897" s="577">
        <f t="shared" si="453"/>
        <v>0</v>
      </c>
      <c r="P1897" s="578">
        <f t="shared" si="454"/>
        <v>0</v>
      </c>
      <c r="Q1897" s="765"/>
      <c r="R1897" s="723"/>
      <c r="S1897" s="723"/>
      <c r="T1897" s="577">
        <f t="shared" si="451"/>
        <v>0</v>
      </c>
      <c r="U1897" s="578">
        <f t="shared" si="452"/>
        <v>0</v>
      </c>
      <c r="V1897" s="579"/>
      <c r="W1897" s="566" t="str">
        <f>IF(U1896&gt;0,"xx",IF(P1896&gt;0,"xy",""))</f>
        <v/>
      </c>
      <c r="X1897" s="586" t="str">
        <f t="shared" si="465"/>
        <v/>
      </c>
      <c r="Y1897" s="586" t="str">
        <f t="shared" si="466"/>
        <v/>
      </c>
      <c r="Z1897" s="586" t="str">
        <f t="shared" si="467"/>
        <v/>
      </c>
    </row>
    <row r="1898" spans="1:26" ht="12" hidden="1" thickBot="1" x14ac:dyDescent="0.25">
      <c r="A1898" s="567" t="s">
        <v>168</v>
      </c>
      <c r="B1898" s="644" t="s">
        <v>168</v>
      </c>
      <c r="C1898" s="645"/>
      <c r="D1898" s="422" t="s">
        <v>248</v>
      </c>
      <c r="E1898" s="423"/>
      <c r="F1898" s="424">
        <v>180</v>
      </c>
      <c r="G1898" s="425">
        <v>0.78</v>
      </c>
      <c r="H1898" s="663">
        <f t="shared" ref="H1898:H1899" si="471">IF(F1898&lt;=30,(1.07*F1898+2.68)*G1898,((1.07*30+2.68)+1.07*(F1898-30))*G1898)</f>
        <v>152.3184</v>
      </c>
      <c r="I1898" s="420">
        <v>0</v>
      </c>
      <c r="J1898" s="420"/>
      <c r="K1898" s="421">
        <f t="shared" si="455"/>
        <v>0</v>
      </c>
      <c r="L1898" s="647"/>
      <c r="M1898" s="723"/>
      <c r="N1898" s="576">
        <f t="shared" si="462"/>
        <v>0</v>
      </c>
      <c r="O1898" s="577">
        <f t="shared" si="453"/>
        <v>0</v>
      </c>
      <c r="P1898" s="578">
        <f t="shared" si="454"/>
        <v>0</v>
      </c>
      <c r="Q1898" s="765"/>
      <c r="R1898" s="723"/>
      <c r="S1898" s="723"/>
      <c r="T1898" s="577">
        <f t="shared" si="451"/>
        <v>0</v>
      </c>
      <c r="U1898" s="578">
        <f t="shared" si="452"/>
        <v>0</v>
      </c>
      <c r="V1898" s="579"/>
      <c r="W1898" s="566" t="str">
        <f>IF(U1896&gt;0,"xx",IF(P1896&gt;0,"xy",""))</f>
        <v/>
      </c>
      <c r="X1898" s="586" t="str">
        <f t="shared" si="465"/>
        <v/>
      </c>
      <c r="Y1898" s="586" t="str">
        <f t="shared" si="466"/>
        <v/>
      </c>
      <c r="Z1898" s="586" t="str">
        <f t="shared" si="467"/>
        <v/>
      </c>
    </row>
    <row r="1899" spans="1:26" ht="12" hidden="1" thickBot="1" x14ac:dyDescent="0.25">
      <c r="A1899" s="567" t="s">
        <v>168</v>
      </c>
      <c r="B1899" s="644" t="s">
        <v>168</v>
      </c>
      <c r="C1899" s="645"/>
      <c r="D1899" s="422" t="s">
        <v>252</v>
      </c>
      <c r="E1899" s="423"/>
      <c r="F1899" s="424">
        <v>20</v>
      </c>
      <c r="G1899" s="425">
        <v>1.1100000000000001</v>
      </c>
      <c r="H1899" s="663">
        <f t="shared" si="471"/>
        <v>26.728800000000003</v>
      </c>
      <c r="I1899" s="420">
        <v>0</v>
      </c>
      <c r="J1899" s="420"/>
      <c r="K1899" s="421">
        <f t="shared" si="455"/>
        <v>0</v>
      </c>
      <c r="L1899" s="647"/>
      <c r="M1899" s="723"/>
      <c r="N1899" s="576">
        <f t="shared" si="462"/>
        <v>0</v>
      </c>
      <c r="O1899" s="577">
        <f t="shared" si="453"/>
        <v>0</v>
      </c>
      <c r="P1899" s="578">
        <f t="shared" si="454"/>
        <v>0</v>
      </c>
      <c r="Q1899" s="765"/>
      <c r="R1899" s="723"/>
      <c r="S1899" s="723"/>
      <c r="T1899" s="577">
        <f t="shared" si="451"/>
        <v>0</v>
      </c>
      <c r="U1899" s="578">
        <f t="shared" si="452"/>
        <v>0</v>
      </c>
      <c r="V1899" s="579"/>
      <c r="W1899" s="566" t="str">
        <f>IF(U1896&gt;0,"xx",IF(P1896&gt;0,"xy",""))</f>
        <v/>
      </c>
      <c r="X1899" s="586" t="str">
        <f t="shared" si="465"/>
        <v/>
      </c>
      <c r="Y1899" s="586" t="str">
        <f t="shared" si="466"/>
        <v/>
      </c>
      <c r="Z1899" s="586" t="str">
        <f t="shared" si="467"/>
        <v/>
      </c>
    </row>
    <row r="1900" spans="1:26" ht="12" hidden="1" thickBot="1" x14ac:dyDescent="0.25">
      <c r="A1900" s="567">
        <v>606200</v>
      </c>
      <c r="B1900" s="644">
        <v>606200</v>
      </c>
      <c r="C1900" s="645" t="s">
        <v>206</v>
      </c>
      <c r="D1900" s="422" t="s">
        <v>1517</v>
      </c>
      <c r="E1900" s="423"/>
      <c r="F1900" s="424"/>
      <c r="G1900" s="425"/>
      <c r="H1900" s="651">
        <f>SUM(H1901:H1903)</f>
        <v>376.87264000000005</v>
      </c>
      <c r="I1900" s="420">
        <v>583.43999999999994</v>
      </c>
      <c r="J1900" s="420">
        <f>IF(ISBLANK(I1900),"",SUM(H1900:I1900))</f>
        <v>960.31263999999999</v>
      </c>
      <c r="K1900" s="421">
        <f t="shared" si="455"/>
        <v>1140.95</v>
      </c>
      <c r="L1900" s="647" t="s">
        <v>16</v>
      </c>
      <c r="M1900" s="576"/>
      <c r="N1900" s="576">
        <f t="shared" si="462"/>
        <v>0</v>
      </c>
      <c r="O1900" s="577">
        <f t="shared" si="453"/>
        <v>0</v>
      </c>
      <c r="P1900" s="578">
        <f t="shared" si="454"/>
        <v>0</v>
      </c>
      <c r="Q1900" s="765"/>
      <c r="R1900" s="576">
        <f>M1900</f>
        <v>0</v>
      </c>
      <c r="S1900" s="576">
        <f>N1900</f>
        <v>0</v>
      </c>
      <c r="T1900" s="577">
        <f t="shared" si="451"/>
        <v>0</v>
      </c>
      <c r="U1900" s="578">
        <f t="shared" si="452"/>
        <v>0</v>
      </c>
      <c r="V1900" s="579"/>
      <c r="W1900" s="566"/>
      <c r="X1900" s="586" t="str">
        <f t="shared" si="465"/>
        <v/>
      </c>
      <c r="Y1900" s="586" t="str">
        <f t="shared" si="466"/>
        <v/>
      </c>
      <c r="Z1900" s="586" t="str">
        <f t="shared" si="467"/>
        <v/>
      </c>
    </row>
    <row r="1901" spans="1:26" ht="12" hidden="1" thickBot="1" x14ac:dyDescent="0.25">
      <c r="A1901" s="567" t="s">
        <v>168</v>
      </c>
      <c r="B1901" s="644" t="s">
        <v>168</v>
      </c>
      <c r="C1901" s="645"/>
      <c r="D1901" s="422" t="s">
        <v>212</v>
      </c>
      <c r="E1901" s="423"/>
      <c r="F1901" s="424">
        <v>500</v>
      </c>
      <c r="G1901" s="425">
        <v>0.51200000000000001</v>
      </c>
      <c r="H1901" s="649">
        <f>IF(F1901&lt;=30,(0.78*F1901+7.82)*G1901,((0.78*30+7.82)+0.78*(F1901-30))*G1901)</f>
        <v>203.68384000000003</v>
      </c>
      <c r="I1901" s="420">
        <v>0</v>
      </c>
      <c r="J1901" s="420"/>
      <c r="K1901" s="421">
        <f t="shared" si="455"/>
        <v>0</v>
      </c>
      <c r="L1901" s="647"/>
      <c r="M1901" s="723"/>
      <c r="N1901" s="576">
        <f t="shared" si="462"/>
        <v>0</v>
      </c>
      <c r="O1901" s="577">
        <f t="shared" si="453"/>
        <v>0</v>
      </c>
      <c r="P1901" s="578">
        <f t="shared" si="454"/>
        <v>0</v>
      </c>
      <c r="Q1901" s="765"/>
      <c r="R1901" s="723"/>
      <c r="S1901" s="723"/>
      <c r="T1901" s="577">
        <f t="shared" si="451"/>
        <v>0</v>
      </c>
      <c r="U1901" s="578">
        <f t="shared" si="452"/>
        <v>0</v>
      </c>
      <c r="V1901" s="579"/>
      <c r="W1901" s="566" t="str">
        <f>IF(U1900&gt;0,"xx",IF(P1900&gt;0,"xy",""))</f>
        <v/>
      </c>
      <c r="X1901" s="586" t="str">
        <f t="shared" si="465"/>
        <v/>
      </c>
      <c r="Y1901" s="586" t="str">
        <f t="shared" si="466"/>
        <v/>
      </c>
      <c r="Z1901" s="586" t="str">
        <f t="shared" si="467"/>
        <v/>
      </c>
    </row>
    <row r="1902" spans="1:26" ht="12" hidden="1" thickBot="1" x14ac:dyDescent="0.25">
      <c r="A1902" s="567" t="s">
        <v>168</v>
      </c>
      <c r="B1902" s="644" t="s">
        <v>168</v>
      </c>
      <c r="C1902" s="645"/>
      <c r="D1902" s="422" t="s">
        <v>248</v>
      </c>
      <c r="E1902" s="423"/>
      <c r="F1902" s="424">
        <v>180</v>
      </c>
      <c r="G1902" s="425">
        <v>0.75</v>
      </c>
      <c r="H1902" s="663">
        <f t="shared" ref="H1902:H1903" si="472">IF(F1902&lt;=30,(1.07*F1902+2.68)*G1902,((1.07*30+2.68)+1.07*(F1902-30))*G1902)</f>
        <v>146.46</v>
      </c>
      <c r="I1902" s="420">
        <v>0</v>
      </c>
      <c r="J1902" s="420"/>
      <c r="K1902" s="421">
        <f t="shared" si="455"/>
        <v>0</v>
      </c>
      <c r="L1902" s="647"/>
      <c r="M1902" s="723"/>
      <c r="N1902" s="576">
        <f t="shared" si="462"/>
        <v>0</v>
      </c>
      <c r="O1902" s="577">
        <f t="shared" si="453"/>
        <v>0</v>
      </c>
      <c r="P1902" s="578">
        <f t="shared" si="454"/>
        <v>0</v>
      </c>
      <c r="Q1902" s="765"/>
      <c r="R1902" s="723"/>
      <c r="S1902" s="723"/>
      <c r="T1902" s="577">
        <f t="shared" si="451"/>
        <v>0</v>
      </c>
      <c r="U1902" s="578">
        <f t="shared" si="452"/>
        <v>0</v>
      </c>
      <c r="V1902" s="579"/>
      <c r="W1902" s="566" t="str">
        <f>IF(U1900&gt;0,"xx",IF(P1900&gt;0,"xy",""))</f>
        <v/>
      </c>
      <c r="X1902" s="586" t="str">
        <f t="shared" si="465"/>
        <v/>
      </c>
      <c r="Y1902" s="586" t="str">
        <f t="shared" si="466"/>
        <v/>
      </c>
      <c r="Z1902" s="586" t="str">
        <f t="shared" si="467"/>
        <v/>
      </c>
    </row>
    <row r="1903" spans="1:26" ht="12" hidden="1" thickBot="1" x14ac:dyDescent="0.25">
      <c r="A1903" s="567" t="s">
        <v>168</v>
      </c>
      <c r="B1903" s="644" t="s">
        <v>168</v>
      </c>
      <c r="C1903" s="645"/>
      <c r="D1903" s="422" t="s">
        <v>252</v>
      </c>
      <c r="E1903" s="423"/>
      <c r="F1903" s="424">
        <v>20</v>
      </c>
      <c r="G1903" s="425">
        <v>1.1100000000000001</v>
      </c>
      <c r="H1903" s="663">
        <f t="shared" si="472"/>
        <v>26.728800000000003</v>
      </c>
      <c r="I1903" s="420">
        <v>0</v>
      </c>
      <c r="J1903" s="420"/>
      <c r="K1903" s="421">
        <f t="shared" si="455"/>
        <v>0</v>
      </c>
      <c r="L1903" s="647"/>
      <c r="M1903" s="723"/>
      <c r="N1903" s="576">
        <f t="shared" si="462"/>
        <v>0</v>
      </c>
      <c r="O1903" s="577">
        <f t="shared" si="453"/>
        <v>0</v>
      </c>
      <c r="P1903" s="578">
        <f t="shared" si="454"/>
        <v>0</v>
      </c>
      <c r="Q1903" s="765"/>
      <c r="R1903" s="723"/>
      <c r="S1903" s="723"/>
      <c r="T1903" s="577">
        <f t="shared" si="451"/>
        <v>0</v>
      </c>
      <c r="U1903" s="578">
        <f t="shared" si="452"/>
        <v>0</v>
      </c>
      <c r="V1903" s="579"/>
      <c r="W1903" s="566" t="str">
        <f>IF(U1900&gt;0,"xx",IF(P1900&gt;0,"xy",""))</f>
        <v/>
      </c>
      <c r="X1903" s="586" t="str">
        <f t="shared" si="465"/>
        <v/>
      </c>
      <c r="Y1903" s="586" t="str">
        <f t="shared" si="466"/>
        <v/>
      </c>
      <c r="Z1903" s="586" t="str">
        <f t="shared" si="467"/>
        <v/>
      </c>
    </row>
    <row r="1904" spans="1:26" ht="12" hidden="1" thickBot="1" x14ac:dyDescent="0.25">
      <c r="A1904" s="567">
        <v>622000</v>
      </c>
      <c r="B1904" s="644">
        <v>622000</v>
      </c>
      <c r="C1904" s="645" t="s">
        <v>206</v>
      </c>
      <c r="D1904" s="422" t="s">
        <v>626</v>
      </c>
      <c r="E1904" s="423"/>
      <c r="F1904" s="424"/>
      <c r="G1904" s="425"/>
      <c r="H1904" s="651">
        <f>SUM(H1905:H1908)</f>
        <v>51.614808000000004</v>
      </c>
      <c r="I1904" s="420">
        <v>225.42</v>
      </c>
      <c r="J1904" s="420">
        <f>IF(ISBLANK(I1904),"",SUM(H1904:I1904))</f>
        <v>277.034808</v>
      </c>
      <c r="K1904" s="421">
        <f t="shared" si="455"/>
        <v>329.15</v>
      </c>
      <c r="L1904" s="647" t="s">
        <v>21</v>
      </c>
      <c r="M1904" s="576"/>
      <c r="N1904" s="576">
        <f t="shared" si="462"/>
        <v>0</v>
      </c>
      <c r="O1904" s="577">
        <f t="shared" si="453"/>
        <v>0</v>
      </c>
      <c r="P1904" s="578">
        <f t="shared" si="454"/>
        <v>0</v>
      </c>
      <c r="Q1904" s="765"/>
      <c r="R1904" s="576">
        <f>M1904</f>
        <v>0</v>
      </c>
      <c r="S1904" s="576">
        <f>N1904</f>
        <v>0</v>
      </c>
      <c r="T1904" s="577">
        <f t="shared" si="451"/>
        <v>0</v>
      </c>
      <c r="U1904" s="578">
        <f t="shared" si="452"/>
        <v>0</v>
      </c>
      <c r="V1904" s="579"/>
      <c r="W1904" s="566"/>
      <c r="X1904" s="586" t="str">
        <f t="shared" si="461"/>
        <v/>
      </c>
      <c r="Y1904" s="586" t="str">
        <f t="shared" si="431"/>
        <v/>
      </c>
      <c r="Z1904" s="586" t="str">
        <f t="shared" si="445"/>
        <v/>
      </c>
    </row>
    <row r="1905" spans="1:26" ht="12" hidden="1" thickBot="1" x14ac:dyDescent="0.25">
      <c r="A1905" s="567" t="s">
        <v>168</v>
      </c>
      <c r="B1905" s="644" t="s">
        <v>168</v>
      </c>
      <c r="C1905" s="645"/>
      <c r="D1905" s="422" t="s">
        <v>212</v>
      </c>
      <c r="E1905" s="423"/>
      <c r="F1905" s="424">
        <v>500</v>
      </c>
      <c r="G1905" s="425">
        <v>4.24E-2</v>
      </c>
      <c r="H1905" s="649">
        <f>IF(F1905&lt;=30,(0.78*F1905+7.82)*G1905,((0.78*30+7.82)+0.78*(F1905-30))*G1905)</f>
        <v>16.867568000000002</v>
      </c>
      <c r="I1905" s="420">
        <v>0</v>
      </c>
      <c r="J1905" s="420"/>
      <c r="K1905" s="421">
        <f t="shared" si="455"/>
        <v>0</v>
      </c>
      <c r="L1905" s="647"/>
      <c r="M1905" s="723"/>
      <c r="N1905" s="576">
        <f t="shared" si="462"/>
        <v>0</v>
      </c>
      <c r="O1905" s="577">
        <f t="shared" si="453"/>
        <v>0</v>
      </c>
      <c r="P1905" s="578">
        <f t="shared" si="454"/>
        <v>0</v>
      </c>
      <c r="Q1905" s="765"/>
      <c r="R1905" s="723"/>
      <c r="S1905" s="723"/>
      <c r="T1905" s="577">
        <f t="shared" si="451"/>
        <v>0</v>
      </c>
      <c r="U1905" s="578">
        <f t="shared" si="452"/>
        <v>0</v>
      </c>
      <c r="V1905" s="579"/>
      <c r="W1905" s="566" t="str">
        <f>IF(U1904&gt;0,"xx",IF(P1904&gt;0,"xy",""))</f>
        <v/>
      </c>
      <c r="X1905" s="586" t="str">
        <f t="shared" si="461"/>
        <v/>
      </c>
      <c r="Y1905" s="586" t="str">
        <f t="shared" si="431"/>
        <v/>
      </c>
      <c r="Z1905" s="586" t="str">
        <f t="shared" si="445"/>
        <v/>
      </c>
    </row>
    <row r="1906" spans="1:26" ht="12" hidden="1" thickBot="1" x14ac:dyDescent="0.25">
      <c r="A1906" s="567" t="s">
        <v>168</v>
      </c>
      <c r="B1906" s="644" t="s">
        <v>168</v>
      </c>
      <c r="C1906" s="645"/>
      <c r="D1906" s="422" t="s">
        <v>248</v>
      </c>
      <c r="E1906" s="423"/>
      <c r="F1906" s="424">
        <v>180</v>
      </c>
      <c r="G1906" s="425">
        <v>0.1507</v>
      </c>
      <c r="H1906" s="663">
        <f t="shared" ref="H1906:H1907" si="473">IF(F1906&lt;=30,(1.07*F1906+2.68)*G1906,((1.07*30+2.68)+1.07*(F1906-30))*G1906)</f>
        <v>29.428695999999999</v>
      </c>
      <c r="I1906" s="420">
        <v>0</v>
      </c>
      <c r="J1906" s="420"/>
      <c r="K1906" s="421">
        <f t="shared" si="455"/>
        <v>0</v>
      </c>
      <c r="L1906" s="647"/>
      <c r="M1906" s="723"/>
      <c r="N1906" s="576">
        <f t="shared" si="462"/>
        <v>0</v>
      </c>
      <c r="O1906" s="577">
        <f t="shared" si="453"/>
        <v>0</v>
      </c>
      <c r="P1906" s="578">
        <f t="shared" si="454"/>
        <v>0</v>
      </c>
      <c r="Q1906" s="765"/>
      <c r="R1906" s="723"/>
      <c r="S1906" s="723"/>
      <c r="T1906" s="577">
        <f t="shared" si="451"/>
        <v>0</v>
      </c>
      <c r="U1906" s="578">
        <f t="shared" si="452"/>
        <v>0</v>
      </c>
      <c r="V1906" s="579"/>
      <c r="W1906" s="566" t="str">
        <f>IF(U1904&gt;0,"xx",IF(P1904&gt;0,"xy",""))</f>
        <v/>
      </c>
      <c r="X1906" s="586" t="str">
        <f t="shared" si="461"/>
        <v/>
      </c>
      <c r="Y1906" s="586" t="str">
        <f t="shared" si="431"/>
        <v/>
      </c>
      <c r="Z1906" s="586" t="str">
        <f t="shared" si="445"/>
        <v/>
      </c>
    </row>
    <row r="1907" spans="1:26" ht="12" hidden="1" thickBot="1" x14ac:dyDescent="0.25">
      <c r="A1907" s="567" t="s">
        <v>168</v>
      </c>
      <c r="B1907" s="644" t="s">
        <v>168</v>
      </c>
      <c r="C1907" s="645"/>
      <c r="D1907" s="422" t="s">
        <v>252</v>
      </c>
      <c r="E1907" s="423"/>
      <c r="F1907" s="424">
        <v>20</v>
      </c>
      <c r="G1907" s="425">
        <v>0.17430000000000001</v>
      </c>
      <c r="H1907" s="663">
        <f t="shared" si="473"/>
        <v>4.1971440000000007</v>
      </c>
      <c r="I1907" s="420">
        <v>0</v>
      </c>
      <c r="J1907" s="420"/>
      <c r="K1907" s="421">
        <f t="shared" si="455"/>
        <v>0</v>
      </c>
      <c r="L1907" s="647"/>
      <c r="M1907" s="723"/>
      <c r="N1907" s="576">
        <f t="shared" si="462"/>
        <v>0</v>
      </c>
      <c r="O1907" s="577">
        <f t="shared" si="453"/>
        <v>0</v>
      </c>
      <c r="P1907" s="578">
        <f t="shared" si="454"/>
        <v>0</v>
      </c>
      <c r="Q1907" s="765"/>
      <c r="R1907" s="723"/>
      <c r="S1907" s="723"/>
      <c r="T1907" s="577">
        <f t="shared" si="451"/>
        <v>0</v>
      </c>
      <c r="U1907" s="578">
        <f t="shared" si="452"/>
        <v>0</v>
      </c>
      <c r="V1907" s="579"/>
      <c r="W1907" s="566" t="str">
        <f>IF(U1904&gt;0,"xx",IF(P1904&gt;0,"xy",""))</f>
        <v/>
      </c>
      <c r="X1907" s="586" t="str">
        <f t="shared" si="461"/>
        <v/>
      </c>
      <c r="Y1907" s="586" t="str">
        <f t="shared" si="431"/>
        <v/>
      </c>
      <c r="Z1907" s="586" t="str">
        <f t="shared" si="445"/>
        <v/>
      </c>
    </row>
    <row r="1908" spans="1:26" ht="12" hidden="1" thickBot="1" x14ac:dyDescent="0.25">
      <c r="A1908" s="567" t="s">
        <v>168</v>
      </c>
      <c r="B1908" s="644" t="s">
        <v>168</v>
      </c>
      <c r="C1908" s="645"/>
      <c r="D1908" s="422" t="s">
        <v>347</v>
      </c>
      <c r="E1908" s="423"/>
      <c r="F1908" s="424">
        <v>20</v>
      </c>
      <c r="G1908" s="425">
        <v>0.06</v>
      </c>
      <c r="H1908" s="663">
        <f>IF(F1908&lt;=30,(0.62*F1908+6.29)*G1908,((0.62*30+6.29)+0.62*(F1908-30))*G1908)</f>
        <v>1.1214</v>
      </c>
      <c r="I1908" s="420">
        <v>0</v>
      </c>
      <c r="J1908" s="420"/>
      <c r="K1908" s="421">
        <f t="shared" si="455"/>
        <v>0</v>
      </c>
      <c r="L1908" s="647"/>
      <c r="M1908" s="723"/>
      <c r="N1908" s="576">
        <f t="shared" si="462"/>
        <v>0</v>
      </c>
      <c r="O1908" s="577">
        <f t="shared" si="453"/>
        <v>0</v>
      </c>
      <c r="P1908" s="578">
        <f t="shared" si="454"/>
        <v>0</v>
      </c>
      <c r="Q1908" s="765"/>
      <c r="R1908" s="723"/>
      <c r="S1908" s="723"/>
      <c r="T1908" s="577">
        <f t="shared" si="451"/>
        <v>0</v>
      </c>
      <c r="U1908" s="578">
        <f t="shared" si="452"/>
        <v>0</v>
      </c>
      <c r="V1908" s="579"/>
      <c r="W1908" s="566" t="str">
        <f>IF(U1904&gt;0,"xx",IF(P1904&gt;0,"xy",""))</f>
        <v/>
      </c>
      <c r="X1908" s="586" t="str">
        <f t="shared" si="461"/>
        <v/>
      </c>
      <c r="Y1908" s="586" t="str">
        <f t="shared" si="431"/>
        <v/>
      </c>
      <c r="Z1908" s="586" t="str">
        <f t="shared" si="445"/>
        <v/>
      </c>
    </row>
    <row r="1909" spans="1:26" ht="12" hidden="1" thickBot="1" x14ac:dyDescent="0.25">
      <c r="A1909" s="567">
        <v>620000</v>
      </c>
      <c r="B1909" s="644" t="s">
        <v>1658</v>
      </c>
      <c r="C1909" s="645" t="s">
        <v>206</v>
      </c>
      <c r="D1909" s="422" t="s">
        <v>627</v>
      </c>
      <c r="E1909" s="423"/>
      <c r="F1909" s="424"/>
      <c r="G1909" s="425"/>
      <c r="H1909" s="651">
        <f>SUM(H1910:H1912)</f>
        <v>75.751080000000002</v>
      </c>
      <c r="I1909" s="420">
        <v>359.52</v>
      </c>
      <c r="J1909" s="420">
        <f>IF(ISBLANK(I1909),"",SUM(H1909:I1909))</f>
        <v>435.27107999999998</v>
      </c>
      <c r="K1909" s="421">
        <f t="shared" si="455"/>
        <v>517.15</v>
      </c>
      <c r="L1909" s="647" t="s">
        <v>21</v>
      </c>
      <c r="M1909" s="576"/>
      <c r="N1909" s="576">
        <f t="shared" si="462"/>
        <v>0</v>
      </c>
      <c r="O1909" s="577">
        <f t="shared" si="453"/>
        <v>0</v>
      </c>
      <c r="P1909" s="578">
        <f t="shared" si="454"/>
        <v>0</v>
      </c>
      <c r="Q1909" s="765"/>
      <c r="R1909" s="576">
        <f>M1909</f>
        <v>0</v>
      </c>
      <c r="S1909" s="576">
        <f>N1909</f>
        <v>0</v>
      </c>
      <c r="T1909" s="577">
        <f t="shared" si="451"/>
        <v>0</v>
      </c>
      <c r="U1909" s="578">
        <f t="shared" si="452"/>
        <v>0</v>
      </c>
      <c r="V1909" s="579"/>
      <c r="W1909" s="566"/>
      <c r="X1909" s="586" t="str">
        <f t="shared" si="461"/>
        <v/>
      </c>
      <c r="Y1909" s="586" t="str">
        <f t="shared" si="431"/>
        <v/>
      </c>
      <c r="Z1909" s="586" t="str">
        <f t="shared" si="445"/>
        <v/>
      </c>
    </row>
    <row r="1910" spans="1:26" ht="12" hidden="1" thickBot="1" x14ac:dyDescent="0.25">
      <c r="A1910" s="567" t="s">
        <v>168</v>
      </c>
      <c r="B1910" s="644" t="s">
        <v>168</v>
      </c>
      <c r="C1910" s="645"/>
      <c r="D1910" s="422" t="s">
        <v>212</v>
      </c>
      <c r="E1910" s="423"/>
      <c r="F1910" s="424">
        <v>500</v>
      </c>
      <c r="G1910" s="425">
        <v>6.3600000000000004E-2</v>
      </c>
      <c r="H1910" s="649">
        <f>IF(F1910&lt;=30,(0.78*F1910+7.82)*G1910,((0.78*30+7.82)+0.78*(F1910-30))*G1910)</f>
        <v>25.301352000000005</v>
      </c>
      <c r="I1910" s="420">
        <v>0</v>
      </c>
      <c r="J1910" s="420"/>
      <c r="K1910" s="421">
        <f t="shared" si="455"/>
        <v>0</v>
      </c>
      <c r="L1910" s="647"/>
      <c r="M1910" s="723"/>
      <c r="N1910" s="576">
        <f t="shared" si="462"/>
        <v>0</v>
      </c>
      <c r="O1910" s="577">
        <f t="shared" si="453"/>
        <v>0</v>
      </c>
      <c r="P1910" s="578">
        <f t="shared" si="454"/>
        <v>0</v>
      </c>
      <c r="Q1910" s="765"/>
      <c r="R1910" s="723"/>
      <c r="S1910" s="723"/>
      <c r="T1910" s="577">
        <f t="shared" si="451"/>
        <v>0</v>
      </c>
      <c r="U1910" s="578">
        <f t="shared" si="452"/>
        <v>0</v>
      </c>
      <c r="V1910" s="579"/>
      <c r="W1910" s="566" t="str">
        <f>IF(U1909&gt;0,"xx",IF(P1909&gt;0,"xy",""))</f>
        <v/>
      </c>
      <c r="X1910" s="586" t="str">
        <f t="shared" si="461"/>
        <v/>
      </c>
      <c r="Y1910" s="586" t="str">
        <f t="shared" si="431"/>
        <v/>
      </c>
      <c r="Z1910" s="586" t="str">
        <f t="shared" si="445"/>
        <v/>
      </c>
    </row>
    <row r="1911" spans="1:26" ht="12" hidden="1" thickBot="1" x14ac:dyDescent="0.25">
      <c r="A1911" s="567" t="s">
        <v>168</v>
      </c>
      <c r="B1911" s="644" t="s">
        <v>168</v>
      </c>
      <c r="C1911" s="645"/>
      <c r="D1911" s="422" t="s">
        <v>248</v>
      </c>
      <c r="E1911" s="423"/>
      <c r="F1911" s="424">
        <v>180</v>
      </c>
      <c r="G1911" s="425">
        <v>0.2261</v>
      </c>
      <c r="H1911" s="663">
        <f t="shared" ref="H1911:H1912" si="474">IF(F1911&lt;=30,(1.07*F1911+2.68)*G1911,((1.07*30+2.68)+1.07*(F1911-30))*G1911)</f>
        <v>44.152808</v>
      </c>
      <c r="I1911" s="420">
        <v>0</v>
      </c>
      <c r="J1911" s="420"/>
      <c r="K1911" s="421">
        <f t="shared" si="455"/>
        <v>0</v>
      </c>
      <c r="L1911" s="647"/>
      <c r="M1911" s="723"/>
      <c r="N1911" s="576">
        <f t="shared" si="462"/>
        <v>0</v>
      </c>
      <c r="O1911" s="577">
        <f t="shared" si="453"/>
        <v>0</v>
      </c>
      <c r="P1911" s="578">
        <f t="shared" si="454"/>
        <v>0</v>
      </c>
      <c r="Q1911" s="765"/>
      <c r="R1911" s="723"/>
      <c r="S1911" s="723"/>
      <c r="T1911" s="577">
        <f t="shared" si="451"/>
        <v>0</v>
      </c>
      <c r="U1911" s="578">
        <f t="shared" si="452"/>
        <v>0</v>
      </c>
      <c r="V1911" s="579"/>
      <c r="W1911" s="566" t="str">
        <f>IF(U1909&gt;0,"xx",IF(P1909&gt;0,"xy",""))</f>
        <v/>
      </c>
      <c r="X1911" s="586" t="str">
        <f t="shared" si="461"/>
        <v/>
      </c>
      <c r="Y1911" s="586" t="str">
        <f t="shared" si="431"/>
        <v/>
      </c>
      <c r="Z1911" s="586" t="str">
        <f t="shared" si="445"/>
        <v/>
      </c>
    </row>
    <row r="1912" spans="1:26" ht="12" hidden="1" thickBot="1" x14ac:dyDescent="0.25">
      <c r="A1912" s="567" t="s">
        <v>168</v>
      </c>
      <c r="B1912" s="644" t="s">
        <v>168</v>
      </c>
      <c r="C1912" s="645"/>
      <c r="D1912" s="422" t="s">
        <v>252</v>
      </c>
      <c r="E1912" s="423"/>
      <c r="F1912" s="424">
        <v>20</v>
      </c>
      <c r="G1912" s="425">
        <v>0.26150000000000001</v>
      </c>
      <c r="H1912" s="663">
        <f t="shared" si="474"/>
        <v>6.296920000000001</v>
      </c>
      <c r="I1912" s="420">
        <v>0</v>
      </c>
      <c r="J1912" s="420"/>
      <c r="K1912" s="421">
        <f t="shared" si="455"/>
        <v>0</v>
      </c>
      <c r="L1912" s="647"/>
      <c r="M1912" s="723"/>
      <c r="N1912" s="576">
        <f t="shared" si="462"/>
        <v>0</v>
      </c>
      <c r="O1912" s="577">
        <f t="shared" si="453"/>
        <v>0</v>
      </c>
      <c r="P1912" s="578">
        <f t="shared" si="454"/>
        <v>0</v>
      </c>
      <c r="Q1912" s="765"/>
      <c r="R1912" s="723"/>
      <c r="S1912" s="723"/>
      <c r="T1912" s="577">
        <f t="shared" si="451"/>
        <v>0</v>
      </c>
      <c r="U1912" s="578">
        <f t="shared" si="452"/>
        <v>0</v>
      </c>
      <c r="V1912" s="579"/>
      <c r="W1912" s="566" t="str">
        <f>IF(U1909&gt;0,"xx",IF(P1909&gt;0,"xy",""))</f>
        <v/>
      </c>
      <c r="X1912" s="586" t="str">
        <f t="shared" si="461"/>
        <v/>
      </c>
      <c r="Y1912" s="586" t="str">
        <f t="shared" si="431"/>
        <v/>
      </c>
      <c r="Z1912" s="586" t="str">
        <f t="shared" si="445"/>
        <v/>
      </c>
    </row>
    <row r="1913" spans="1:26" ht="12" hidden="1" thickBot="1" x14ac:dyDescent="0.25">
      <c r="A1913" s="567">
        <v>620000</v>
      </c>
      <c r="B1913" s="644" t="s">
        <v>1659</v>
      </c>
      <c r="C1913" s="645" t="s">
        <v>206</v>
      </c>
      <c r="D1913" s="422" t="s">
        <v>354</v>
      </c>
      <c r="E1913" s="423"/>
      <c r="F1913" s="424"/>
      <c r="G1913" s="425"/>
      <c r="H1913" s="651">
        <f>SUM(H1914:H1916)</f>
        <v>144.12123599999998</v>
      </c>
      <c r="I1913" s="420">
        <v>609.32000000000005</v>
      </c>
      <c r="J1913" s="420">
        <f>IF(ISBLANK(I1913),"",SUM(H1913:I1913))</f>
        <v>753.441236</v>
      </c>
      <c r="K1913" s="421">
        <f t="shared" si="455"/>
        <v>895.16</v>
      </c>
      <c r="L1913" s="647" t="s">
        <v>21</v>
      </c>
      <c r="M1913" s="576"/>
      <c r="N1913" s="576">
        <f t="shared" si="462"/>
        <v>0</v>
      </c>
      <c r="O1913" s="577">
        <f t="shared" si="453"/>
        <v>0</v>
      </c>
      <c r="P1913" s="578">
        <f t="shared" si="454"/>
        <v>0</v>
      </c>
      <c r="Q1913" s="765"/>
      <c r="R1913" s="576">
        <f>M1913</f>
        <v>0</v>
      </c>
      <c r="S1913" s="576">
        <f>N1913</f>
        <v>0</v>
      </c>
      <c r="T1913" s="577">
        <f t="shared" si="451"/>
        <v>0</v>
      </c>
      <c r="U1913" s="578">
        <f t="shared" si="452"/>
        <v>0</v>
      </c>
      <c r="V1913" s="579"/>
      <c r="W1913" s="566"/>
      <c r="X1913" s="586" t="str">
        <f t="shared" si="461"/>
        <v/>
      </c>
      <c r="Y1913" s="586" t="str">
        <f t="shared" si="431"/>
        <v/>
      </c>
      <c r="Z1913" s="586" t="str">
        <f t="shared" si="445"/>
        <v/>
      </c>
    </row>
    <row r="1914" spans="1:26" ht="12" hidden="1" thickBot="1" x14ac:dyDescent="0.25">
      <c r="A1914" s="567" t="s">
        <v>168</v>
      </c>
      <c r="B1914" s="644" t="s">
        <v>168</v>
      </c>
      <c r="C1914" s="645"/>
      <c r="D1914" s="422" t="s">
        <v>212</v>
      </c>
      <c r="E1914" s="423"/>
      <c r="F1914" s="424">
        <v>500</v>
      </c>
      <c r="G1914" s="425">
        <v>0.1154</v>
      </c>
      <c r="H1914" s="649">
        <f>IF(F1914&lt;=30,(0.78*F1914+7.82)*G1914,((0.78*30+7.82)+0.78*(F1914-30))*G1914)</f>
        <v>45.908428000000008</v>
      </c>
      <c r="I1914" s="420">
        <v>0</v>
      </c>
      <c r="J1914" s="420"/>
      <c r="K1914" s="421">
        <f t="shared" si="455"/>
        <v>0</v>
      </c>
      <c r="L1914" s="647"/>
      <c r="M1914" s="723"/>
      <c r="N1914" s="576">
        <f t="shared" si="462"/>
        <v>0</v>
      </c>
      <c r="O1914" s="577">
        <f t="shared" si="453"/>
        <v>0</v>
      </c>
      <c r="P1914" s="578">
        <f t="shared" si="454"/>
        <v>0</v>
      </c>
      <c r="Q1914" s="765"/>
      <c r="R1914" s="723"/>
      <c r="S1914" s="723"/>
      <c r="T1914" s="577">
        <f t="shared" si="451"/>
        <v>0</v>
      </c>
      <c r="U1914" s="578">
        <f t="shared" si="452"/>
        <v>0</v>
      </c>
      <c r="V1914" s="579"/>
      <c r="W1914" s="566" t="str">
        <f>IF(U1913&gt;0,"xx",IF(P1913&gt;0,"xy",""))</f>
        <v/>
      </c>
      <c r="X1914" s="586" t="str">
        <f t="shared" si="461"/>
        <v/>
      </c>
      <c r="Y1914" s="586" t="str">
        <f t="shared" si="431"/>
        <v/>
      </c>
      <c r="Z1914" s="586" t="str">
        <f t="shared" si="445"/>
        <v/>
      </c>
    </row>
    <row r="1915" spans="1:26" ht="12" hidden="1" thickBot="1" x14ac:dyDescent="0.25">
      <c r="A1915" s="567" t="s">
        <v>168</v>
      </c>
      <c r="B1915" s="644" t="s">
        <v>168</v>
      </c>
      <c r="C1915" s="645"/>
      <c r="D1915" s="422" t="s">
        <v>248</v>
      </c>
      <c r="E1915" s="423"/>
      <c r="F1915" s="424">
        <v>180</v>
      </c>
      <c r="G1915" s="425">
        <v>0.41049999999999998</v>
      </c>
      <c r="H1915" s="663">
        <f t="shared" ref="H1915:H1916" si="475">IF(F1915&lt;=30,(1.07*F1915+2.68)*G1915,((1.07*30+2.68)+1.07*(F1915-30))*G1915)</f>
        <v>80.162439999999989</v>
      </c>
      <c r="I1915" s="420">
        <v>0</v>
      </c>
      <c r="J1915" s="420"/>
      <c r="K1915" s="421">
        <f t="shared" si="455"/>
        <v>0</v>
      </c>
      <c r="L1915" s="647"/>
      <c r="M1915" s="723"/>
      <c r="N1915" s="576">
        <f t="shared" si="462"/>
        <v>0</v>
      </c>
      <c r="O1915" s="577">
        <f t="shared" si="453"/>
        <v>0</v>
      </c>
      <c r="P1915" s="578">
        <f t="shared" si="454"/>
        <v>0</v>
      </c>
      <c r="Q1915" s="765"/>
      <c r="R1915" s="723"/>
      <c r="S1915" s="723"/>
      <c r="T1915" s="577">
        <f t="shared" si="451"/>
        <v>0</v>
      </c>
      <c r="U1915" s="578">
        <f t="shared" si="452"/>
        <v>0</v>
      </c>
      <c r="V1915" s="579"/>
      <c r="W1915" s="566" t="str">
        <f>IF(U1913&gt;0,"xx",IF(P1913&gt;0,"xy",""))</f>
        <v/>
      </c>
      <c r="X1915" s="586" t="str">
        <f t="shared" si="461"/>
        <v/>
      </c>
      <c r="Y1915" s="586" t="str">
        <f t="shared" si="431"/>
        <v/>
      </c>
      <c r="Z1915" s="586" t="str">
        <f t="shared" si="445"/>
        <v/>
      </c>
    </row>
    <row r="1916" spans="1:26" ht="12" hidden="1" thickBot="1" x14ac:dyDescent="0.25">
      <c r="A1916" s="567" t="s">
        <v>168</v>
      </c>
      <c r="B1916" s="644" t="s">
        <v>168</v>
      </c>
      <c r="C1916" s="645"/>
      <c r="D1916" s="422" t="s">
        <v>252</v>
      </c>
      <c r="E1916" s="423"/>
      <c r="F1916" s="424">
        <v>20</v>
      </c>
      <c r="G1916" s="425">
        <v>0.74960000000000004</v>
      </c>
      <c r="H1916" s="663">
        <f t="shared" si="475"/>
        <v>18.050368000000002</v>
      </c>
      <c r="I1916" s="420">
        <v>0</v>
      </c>
      <c r="J1916" s="420"/>
      <c r="K1916" s="421">
        <f t="shared" si="455"/>
        <v>0</v>
      </c>
      <c r="L1916" s="647"/>
      <c r="M1916" s="723"/>
      <c r="N1916" s="576">
        <f t="shared" si="462"/>
        <v>0</v>
      </c>
      <c r="O1916" s="577">
        <f t="shared" si="453"/>
        <v>0</v>
      </c>
      <c r="P1916" s="578">
        <f t="shared" si="454"/>
        <v>0</v>
      </c>
      <c r="Q1916" s="765"/>
      <c r="R1916" s="723"/>
      <c r="S1916" s="723"/>
      <c r="T1916" s="577">
        <f t="shared" si="451"/>
        <v>0</v>
      </c>
      <c r="U1916" s="578">
        <f t="shared" si="452"/>
        <v>0</v>
      </c>
      <c r="V1916" s="579"/>
      <c r="W1916" s="566" t="str">
        <f>IF(U1913&gt;0,"xx",IF(P1913&gt;0,"xy",""))</f>
        <v/>
      </c>
      <c r="X1916" s="586" t="str">
        <f t="shared" si="461"/>
        <v/>
      </c>
      <c r="Y1916" s="586" t="str">
        <f t="shared" si="431"/>
        <v/>
      </c>
      <c r="Z1916" s="586" t="str">
        <f t="shared" si="445"/>
        <v/>
      </c>
    </row>
    <row r="1917" spans="1:26" ht="12" hidden="1" thickBot="1" x14ac:dyDescent="0.25">
      <c r="A1917" s="567">
        <v>620000</v>
      </c>
      <c r="B1917" s="644" t="s">
        <v>1660</v>
      </c>
      <c r="C1917" s="645" t="s">
        <v>206</v>
      </c>
      <c r="D1917" s="422" t="s">
        <v>628</v>
      </c>
      <c r="E1917" s="423"/>
      <c r="F1917" s="424"/>
      <c r="G1917" s="425"/>
      <c r="H1917" s="651">
        <f>SUM(H1918:H1920)</f>
        <v>195.56134000000003</v>
      </c>
      <c r="I1917" s="420">
        <v>757.46</v>
      </c>
      <c r="J1917" s="420">
        <f>IF(ISBLANK(I1917),"",SUM(H1917:I1917))</f>
        <v>953.02134000000001</v>
      </c>
      <c r="K1917" s="421">
        <f t="shared" si="455"/>
        <v>1132.28</v>
      </c>
      <c r="L1917" s="647" t="s">
        <v>21</v>
      </c>
      <c r="M1917" s="576"/>
      <c r="N1917" s="576">
        <f t="shared" si="462"/>
        <v>0</v>
      </c>
      <c r="O1917" s="577">
        <f t="shared" si="453"/>
        <v>0</v>
      </c>
      <c r="P1917" s="578">
        <f t="shared" si="454"/>
        <v>0</v>
      </c>
      <c r="Q1917" s="765"/>
      <c r="R1917" s="576">
        <f>M1917</f>
        <v>0</v>
      </c>
      <c r="S1917" s="576">
        <f>N1917</f>
        <v>0</v>
      </c>
      <c r="T1917" s="577">
        <f t="shared" si="451"/>
        <v>0</v>
      </c>
      <c r="U1917" s="578">
        <f t="shared" si="452"/>
        <v>0</v>
      </c>
      <c r="V1917" s="579"/>
      <c r="W1917" s="566"/>
      <c r="X1917" s="586" t="str">
        <f t="shared" si="461"/>
        <v/>
      </c>
      <c r="Y1917" s="586" t="str">
        <f t="shared" si="431"/>
        <v/>
      </c>
      <c r="Z1917" s="586" t="str">
        <f t="shared" si="445"/>
        <v/>
      </c>
    </row>
    <row r="1918" spans="1:26" ht="12" hidden="1" thickBot="1" x14ac:dyDescent="0.25">
      <c r="A1918" s="567" t="s">
        <v>168</v>
      </c>
      <c r="B1918" s="644" t="s">
        <v>168</v>
      </c>
      <c r="C1918" s="645"/>
      <c r="D1918" s="422" t="s">
        <v>212</v>
      </c>
      <c r="E1918" s="423"/>
      <c r="F1918" s="424">
        <v>500</v>
      </c>
      <c r="G1918" s="425">
        <v>0.15659999999999999</v>
      </c>
      <c r="H1918" s="649">
        <f>IF(F1918&lt;=30,(0.78*F1918+7.82)*G1918,((0.78*30+7.82)+0.78*(F1918-30))*G1918)</f>
        <v>62.298612000000006</v>
      </c>
      <c r="I1918" s="420">
        <v>0</v>
      </c>
      <c r="J1918" s="420"/>
      <c r="K1918" s="421">
        <f t="shared" si="455"/>
        <v>0</v>
      </c>
      <c r="L1918" s="647"/>
      <c r="M1918" s="723"/>
      <c r="N1918" s="576">
        <f t="shared" si="462"/>
        <v>0</v>
      </c>
      <c r="O1918" s="577">
        <f t="shared" si="453"/>
        <v>0</v>
      </c>
      <c r="P1918" s="578">
        <f t="shared" si="454"/>
        <v>0</v>
      </c>
      <c r="Q1918" s="765"/>
      <c r="R1918" s="723"/>
      <c r="S1918" s="723"/>
      <c r="T1918" s="577">
        <f t="shared" si="451"/>
        <v>0</v>
      </c>
      <c r="U1918" s="578">
        <f t="shared" si="452"/>
        <v>0</v>
      </c>
      <c r="V1918" s="579"/>
      <c r="W1918" s="566" t="str">
        <f>IF(U1917&gt;0,"xx",IF(P1917&gt;0,"xy",""))</f>
        <v/>
      </c>
      <c r="X1918" s="586" t="str">
        <f t="shared" si="461"/>
        <v/>
      </c>
      <c r="Y1918" s="586" t="str">
        <f t="shared" si="431"/>
        <v/>
      </c>
      <c r="Z1918" s="586" t="str">
        <f t="shared" si="445"/>
        <v/>
      </c>
    </row>
    <row r="1919" spans="1:26" ht="12" hidden="1" thickBot="1" x14ac:dyDescent="0.25">
      <c r="A1919" s="567" t="s">
        <v>168</v>
      </c>
      <c r="B1919" s="644" t="s">
        <v>168</v>
      </c>
      <c r="C1919" s="645"/>
      <c r="D1919" s="422" t="s">
        <v>248</v>
      </c>
      <c r="E1919" s="423"/>
      <c r="F1919" s="424">
        <v>180</v>
      </c>
      <c r="G1919" s="425">
        <v>0.55700000000000005</v>
      </c>
      <c r="H1919" s="663">
        <f t="shared" ref="H1919:H1920" si="476">IF(F1919&lt;=30,(1.07*F1919+2.68)*G1919,((1.07*30+2.68)+1.07*(F1919-30))*G1919)</f>
        <v>108.77096000000002</v>
      </c>
      <c r="I1919" s="420">
        <v>0</v>
      </c>
      <c r="J1919" s="420"/>
      <c r="K1919" s="421">
        <f t="shared" si="455"/>
        <v>0</v>
      </c>
      <c r="L1919" s="647"/>
      <c r="M1919" s="723"/>
      <c r="N1919" s="576">
        <f t="shared" si="462"/>
        <v>0</v>
      </c>
      <c r="O1919" s="577">
        <f t="shared" si="453"/>
        <v>0</v>
      </c>
      <c r="P1919" s="578">
        <f t="shared" si="454"/>
        <v>0</v>
      </c>
      <c r="Q1919" s="765"/>
      <c r="R1919" s="723"/>
      <c r="S1919" s="723"/>
      <c r="T1919" s="577">
        <f t="shared" si="451"/>
        <v>0</v>
      </c>
      <c r="U1919" s="578">
        <f t="shared" si="452"/>
        <v>0</v>
      </c>
      <c r="V1919" s="579"/>
      <c r="W1919" s="566" t="str">
        <f>IF(U1917&gt;0,"xx",IF(P1917&gt;0,"xy",""))</f>
        <v/>
      </c>
      <c r="X1919" s="586" t="str">
        <f t="shared" si="461"/>
        <v/>
      </c>
      <c r="Y1919" s="586" t="str">
        <f t="shared" si="431"/>
        <v/>
      </c>
      <c r="Z1919" s="586" t="str">
        <f t="shared" si="445"/>
        <v/>
      </c>
    </row>
    <row r="1920" spans="1:26" ht="12" hidden="1" thickBot="1" x14ac:dyDescent="0.25">
      <c r="A1920" s="567" t="s">
        <v>168</v>
      </c>
      <c r="B1920" s="644" t="s">
        <v>168</v>
      </c>
      <c r="C1920" s="645"/>
      <c r="D1920" s="422" t="s">
        <v>252</v>
      </c>
      <c r="E1920" s="423"/>
      <c r="F1920" s="424">
        <v>20</v>
      </c>
      <c r="G1920" s="425">
        <v>1.0170999999999999</v>
      </c>
      <c r="H1920" s="663">
        <f t="shared" si="476"/>
        <v>24.491768</v>
      </c>
      <c r="I1920" s="420">
        <v>0</v>
      </c>
      <c r="J1920" s="420"/>
      <c r="K1920" s="421">
        <f t="shared" ref="K1920:K1983" si="477">IF(ISBLANK(I1920),0,ROUND(J1920*(1+$F$10)*(1+$F$11*E1920),2))</f>
        <v>0</v>
      </c>
      <c r="L1920" s="647"/>
      <c r="M1920" s="723"/>
      <c r="N1920" s="576">
        <f t="shared" si="462"/>
        <v>0</v>
      </c>
      <c r="O1920" s="577">
        <f t="shared" si="453"/>
        <v>0</v>
      </c>
      <c r="P1920" s="578">
        <f t="shared" si="454"/>
        <v>0</v>
      </c>
      <c r="Q1920" s="765"/>
      <c r="R1920" s="723"/>
      <c r="S1920" s="723"/>
      <c r="T1920" s="577">
        <f t="shared" ref="T1920:T1983" si="478">IF(ISBLANK(R1920),0,ROUND(K1920*R1920,2))</f>
        <v>0</v>
      </c>
      <c r="U1920" s="578">
        <f t="shared" ref="U1920:U1983" si="479">IF(ISBLANK(R1920),0,ROUND(R1920*S1920,2))</f>
        <v>0</v>
      </c>
      <c r="V1920" s="579"/>
      <c r="W1920" s="566" t="str">
        <f>IF(U1917&gt;0,"xx",IF(P1917&gt;0,"xy",""))</f>
        <v/>
      </c>
      <c r="X1920" s="586" t="str">
        <f t="shared" si="461"/>
        <v/>
      </c>
      <c r="Y1920" s="586" t="str">
        <f t="shared" si="431"/>
        <v/>
      </c>
      <c r="Z1920" s="586" t="str">
        <f t="shared" si="445"/>
        <v/>
      </c>
    </row>
    <row r="1921" spans="1:26" ht="12" hidden="1" thickBot="1" x14ac:dyDescent="0.25">
      <c r="A1921" s="567">
        <v>620100</v>
      </c>
      <c r="B1921" s="644" t="s">
        <v>1661</v>
      </c>
      <c r="C1921" s="645" t="s">
        <v>206</v>
      </c>
      <c r="D1921" s="422" t="s">
        <v>355</v>
      </c>
      <c r="E1921" s="423"/>
      <c r="F1921" s="424"/>
      <c r="G1921" s="425"/>
      <c r="H1921" s="651">
        <f>SUM(H1922:H1924)</f>
        <v>247.00144400000002</v>
      </c>
      <c r="I1921" s="420">
        <v>905.59</v>
      </c>
      <c r="J1921" s="420">
        <f>IF(ISBLANK(I1921),"",SUM(H1921:I1921))</f>
        <v>1152.5914440000001</v>
      </c>
      <c r="K1921" s="421">
        <f t="shared" si="477"/>
        <v>1369.39</v>
      </c>
      <c r="L1921" s="647" t="s">
        <v>21</v>
      </c>
      <c r="M1921" s="576"/>
      <c r="N1921" s="576">
        <f t="shared" si="462"/>
        <v>0</v>
      </c>
      <c r="O1921" s="577">
        <f t="shared" ref="O1921:O1984" si="480">IF(ISBLANK(M1921),0,ROUND(K1921*M1921,2))</f>
        <v>0</v>
      </c>
      <c r="P1921" s="578">
        <f t="shared" ref="P1921:P1984" si="481">IF(ISBLANK(N1921),0,ROUND(M1921*N1921,2))</f>
        <v>0</v>
      </c>
      <c r="Q1921" s="765"/>
      <c r="R1921" s="576">
        <f>M1921</f>
        <v>0</v>
      </c>
      <c r="S1921" s="576">
        <f>N1921</f>
        <v>0</v>
      </c>
      <c r="T1921" s="577">
        <f t="shared" si="478"/>
        <v>0</v>
      </c>
      <c r="U1921" s="578">
        <f t="shared" si="479"/>
        <v>0</v>
      </c>
      <c r="V1921" s="579"/>
      <c r="W1921" s="566"/>
      <c r="X1921" s="586" t="str">
        <f t="shared" si="461"/>
        <v/>
      </c>
      <c r="Y1921" s="586" t="str">
        <f t="shared" si="431"/>
        <v/>
      </c>
      <c r="Z1921" s="586" t="str">
        <f t="shared" si="445"/>
        <v/>
      </c>
    </row>
    <row r="1922" spans="1:26" ht="12" hidden="1" thickBot="1" x14ac:dyDescent="0.25">
      <c r="A1922" s="567" t="s">
        <v>168</v>
      </c>
      <c r="B1922" s="644" t="s">
        <v>168</v>
      </c>
      <c r="C1922" s="645"/>
      <c r="D1922" s="422" t="s">
        <v>212</v>
      </c>
      <c r="E1922" s="423"/>
      <c r="F1922" s="424">
        <v>500</v>
      </c>
      <c r="G1922" s="425">
        <v>0.1978</v>
      </c>
      <c r="H1922" s="649">
        <f>IF(F1922&lt;=30,(0.78*F1922+7.82)*G1922,((0.78*30+7.82)+0.78*(F1922-30))*G1922)</f>
        <v>78.688796000000011</v>
      </c>
      <c r="I1922" s="420">
        <v>0</v>
      </c>
      <c r="J1922" s="420"/>
      <c r="K1922" s="421">
        <f t="shared" si="477"/>
        <v>0</v>
      </c>
      <c r="L1922" s="647"/>
      <c r="M1922" s="723"/>
      <c r="N1922" s="576">
        <f t="shared" si="462"/>
        <v>0</v>
      </c>
      <c r="O1922" s="577">
        <f t="shared" si="480"/>
        <v>0</v>
      </c>
      <c r="P1922" s="578">
        <f t="shared" si="481"/>
        <v>0</v>
      </c>
      <c r="Q1922" s="765"/>
      <c r="R1922" s="723"/>
      <c r="S1922" s="723"/>
      <c r="T1922" s="577">
        <f t="shared" si="478"/>
        <v>0</v>
      </c>
      <c r="U1922" s="578">
        <f t="shared" si="479"/>
        <v>0</v>
      </c>
      <c r="V1922" s="579"/>
      <c r="W1922" s="566" t="str">
        <f>IF(U1921&gt;0,"xx",IF(P1921&gt;0,"xy",""))</f>
        <v/>
      </c>
      <c r="X1922" s="586" t="str">
        <f t="shared" si="461"/>
        <v/>
      </c>
      <c r="Y1922" s="586" t="str">
        <f t="shared" si="431"/>
        <v/>
      </c>
      <c r="Z1922" s="586" t="str">
        <f t="shared" si="445"/>
        <v/>
      </c>
    </row>
    <row r="1923" spans="1:26" ht="12" hidden="1" thickBot="1" x14ac:dyDescent="0.25">
      <c r="A1923" s="567" t="s">
        <v>168</v>
      </c>
      <c r="B1923" s="644" t="s">
        <v>168</v>
      </c>
      <c r="C1923" s="645"/>
      <c r="D1923" s="422" t="s">
        <v>248</v>
      </c>
      <c r="E1923" s="423"/>
      <c r="F1923" s="424">
        <v>180</v>
      </c>
      <c r="G1923" s="425">
        <v>0.70350000000000001</v>
      </c>
      <c r="H1923" s="663">
        <f t="shared" ref="H1923:H1924" si="482">IF(F1923&lt;=30,(1.07*F1923+2.68)*G1923,((1.07*30+2.68)+1.07*(F1923-30))*G1923)</f>
        <v>137.37948</v>
      </c>
      <c r="I1923" s="420">
        <v>0</v>
      </c>
      <c r="J1923" s="420"/>
      <c r="K1923" s="421">
        <f t="shared" si="477"/>
        <v>0</v>
      </c>
      <c r="L1923" s="647"/>
      <c r="M1923" s="723"/>
      <c r="N1923" s="576">
        <f t="shared" si="462"/>
        <v>0</v>
      </c>
      <c r="O1923" s="577">
        <f t="shared" si="480"/>
        <v>0</v>
      </c>
      <c r="P1923" s="578">
        <f t="shared" si="481"/>
        <v>0</v>
      </c>
      <c r="Q1923" s="765"/>
      <c r="R1923" s="723"/>
      <c r="S1923" s="723"/>
      <c r="T1923" s="577">
        <f t="shared" si="478"/>
        <v>0</v>
      </c>
      <c r="U1923" s="578">
        <f t="shared" si="479"/>
        <v>0</v>
      </c>
      <c r="V1923" s="579"/>
      <c r="W1923" s="566" t="str">
        <f>IF(U1921&gt;0,"xx",IF(P1921&gt;0,"xy",""))</f>
        <v/>
      </c>
      <c r="X1923" s="586" t="str">
        <f t="shared" si="461"/>
        <v/>
      </c>
      <c r="Y1923" s="586" t="str">
        <f t="shared" si="431"/>
        <v/>
      </c>
      <c r="Z1923" s="586" t="str">
        <f t="shared" si="445"/>
        <v/>
      </c>
    </row>
    <row r="1924" spans="1:26" ht="12" hidden="1" thickBot="1" x14ac:dyDescent="0.25">
      <c r="A1924" s="567" t="s">
        <v>168</v>
      </c>
      <c r="B1924" s="644" t="s">
        <v>168</v>
      </c>
      <c r="C1924" s="645"/>
      <c r="D1924" s="422" t="s">
        <v>252</v>
      </c>
      <c r="E1924" s="423"/>
      <c r="F1924" s="424">
        <v>20</v>
      </c>
      <c r="G1924" s="425">
        <v>1.2846</v>
      </c>
      <c r="H1924" s="663">
        <f t="shared" si="482"/>
        <v>30.933168000000002</v>
      </c>
      <c r="I1924" s="420">
        <v>0</v>
      </c>
      <c r="J1924" s="420"/>
      <c r="K1924" s="421">
        <f t="shared" si="477"/>
        <v>0</v>
      </c>
      <c r="L1924" s="647"/>
      <c r="M1924" s="723"/>
      <c r="N1924" s="576">
        <f t="shared" si="462"/>
        <v>0</v>
      </c>
      <c r="O1924" s="577">
        <f t="shared" si="480"/>
        <v>0</v>
      </c>
      <c r="P1924" s="578">
        <f t="shared" si="481"/>
        <v>0</v>
      </c>
      <c r="Q1924" s="765"/>
      <c r="R1924" s="723"/>
      <c r="S1924" s="723"/>
      <c r="T1924" s="577">
        <f t="shared" si="478"/>
        <v>0</v>
      </c>
      <c r="U1924" s="578">
        <f t="shared" si="479"/>
        <v>0</v>
      </c>
      <c r="V1924" s="579"/>
      <c r="W1924" s="566" t="str">
        <f>IF(U1921&gt;0,"xx",IF(P1921&gt;0,"xy",""))</f>
        <v/>
      </c>
      <c r="X1924" s="586" t="str">
        <f t="shared" si="461"/>
        <v/>
      </c>
      <c r="Y1924" s="586" t="str">
        <f t="shared" si="431"/>
        <v/>
      </c>
      <c r="Z1924" s="586" t="str">
        <f t="shared" si="445"/>
        <v/>
      </c>
    </row>
    <row r="1925" spans="1:26" ht="12" hidden="1" thickBot="1" x14ac:dyDescent="0.25">
      <c r="A1925" s="567">
        <v>620100</v>
      </c>
      <c r="B1925" s="644" t="s">
        <v>1662</v>
      </c>
      <c r="C1925" s="645" t="s">
        <v>206</v>
      </c>
      <c r="D1925" s="422" t="s">
        <v>629</v>
      </c>
      <c r="E1925" s="423"/>
      <c r="F1925" s="424"/>
      <c r="G1925" s="425"/>
      <c r="H1925" s="651">
        <f>SUM(H1926:H1928)</f>
        <v>278.53616000000005</v>
      </c>
      <c r="I1925" s="420">
        <v>1080.42</v>
      </c>
      <c r="J1925" s="420">
        <f>IF(ISBLANK(I1925),"",SUM(H1925:I1925))</f>
        <v>1358.9561600000002</v>
      </c>
      <c r="K1925" s="421">
        <f t="shared" si="477"/>
        <v>1614.58</v>
      </c>
      <c r="L1925" s="647" t="s">
        <v>21</v>
      </c>
      <c r="M1925" s="576"/>
      <c r="N1925" s="576">
        <f t="shared" si="462"/>
        <v>0</v>
      </c>
      <c r="O1925" s="577">
        <f t="shared" si="480"/>
        <v>0</v>
      </c>
      <c r="P1925" s="578">
        <f t="shared" si="481"/>
        <v>0</v>
      </c>
      <c r="Q1925" s="765"/>
      <c r="R1925" s="576">
        <f>M1925</f>
        <v>0</v>
      </c>
      <c r="S1925" s="576">
        <f>N1925</f>
        <v>0</v>
      </c>
      <c r="T1925" s="577">
        <f t="shared" si="478"/>
        <v>0</v>
      </c>
      <c r="U1925" s="578">
        <f t="shared" si="479"/>
        <v>0</v>
      </c>
      <c r="V1925" s="579"/>
      <c r="W1925" s="566"/>
      <c r="X1925" s="586" t="str">
        <f t="shared" si="461"/>
        <v/>
      </c>
      <c r="Y1925" s="586" t="str">
        <f t="shared" si="431"/>
        <v/>
      </c>
      <c r="Z1925" s="586" t="str">
        <f t="shared" si="445"/>
        <v/>
      </c>
    </row>
    <row r="1926" spans="1:26" ht="12" hidden="1" thickBot="1" x14ac:dyDescent="0.25">
      <c r="A1926" s="567" t="s">
        <v>168</v>
      </c>
      <c r="B1926" s="644" t="s">
        <v>168</v>
      </c>
      <c r="C1926" s="645"/>
      <c r="D1926" s="422" t="s">
        <v>212</v>
      </c>
      <c r="E1926" s="423"/>
      <c r="F1926" s="424">
        <v>500</v>
      </c>
      <c r="G1926" s="425">
        <v>0.2424</v>
      </c>
      <c r="H1926" s="649">
        <f>IF(F1926&lt;=30,(0.78*F1926+7.82)*G1926,((0.78*30+7.82)+0.78*(F1926-30))*G1926)</f>
        <v>96.431568000000013</v>
      </c>
      <c r="I1926" s="420">
        <v>0</v>
      </c>
      <c r="J1926" s="420"/>
      <c r="K1926" s="421">
        <f t="shared" si="477"/>
        <v>0</v>
      </c>
      <c r="L1926" s="647"/>
      <c r="M1926" s="723"/>
      <c r="N1926" s="576">
        <f t="shared" si="462"/>
        <v>0</v>
      </c>
      <c r="O1926" s="577">
        <f t="shared" si="480"/>
        <v>0</v>
      </c>
      <c r="P1926" s="578">
        <f t="shared" si="481"/>
        <v>0</v>
      </c>
      <c r="Q1926" s="765"/>
      <c r="R1926" s="723"/>
      <c r="S1926" s="723"/>
      <c r="T1926" s="577">
        <f t="shared" si="478"/>
        <v>0</v>
      </c>
      <c r="U1926" s="578">
        <f t="shared" si="479"/>
        <v>0</v>
      </c>
      <c r="V1926" s="579"/>
      <c r="W1926" s="566" t="str">
        <f>IF(U1925&gt;0,"xx",IF(P1925&gt;0,"xy",""))</f>
        <v/>
      </c>
      <c r="X1926" s="586" t="str">
        <f t="shared" si="461"/>
        <v/>
      </c>
      <c r="Y1926" s="586" t="str">
        <f t="shared" si="431"/>
        <v/>
      </c>
      <c r="Z1926" s="586" t="str">
        <f t="shared" si="445"/>
        <v/>
      </c>
    </row>
    <row r="1927" spans="1:26" ht="12" hidden="1" thickBot="1" x14ac:dyDescent="0.25">
      <c r="A1927" s="567" t="s">
        <v>168</v>
      </c>
      <c r="B1927" s="644" t="s">
        <v>168</v>
      </c>
      <c r="C1927" s="645"/>
      <c r="D1927" s="422" t="s">
        <v>248</v>
      </c>
      <c r="E1927" s="423"/>
      <c r="F1927" s="424">
        <v>180</v>
      </c>
      <c r="G1927" s="425">
        <v>0.86180000000000001</v>
      </c>
      <c r="H1927" s="663">
        <f t="shared" ref="H1927:H1928" si="483">IF(F1927&lt;=30,(1.07*F1927+2.68)*G1927,((1.07*30+2.68)+1.07*(F1927-30))*G1927)</f>
        <v>168.292304</v>
      </c>
      <c r="I1927" s="420">
        <v>0</v>
      </c>
      <c r="J1927" s="420"/>
      <c r="K1927" s="421">
        <f t="shared" si="477"/>
        <v>0</v>
      </c>
      <c r="L1927" s="647"/>
      <c r="M1927" s="723"/>
      <c r="N1927" s="576">
        <f t="shared" si="462"/>
        <v>0</v>
      </c>
      <c r="O1927" s="577">
        <f t="shared" si="480"/>
        <v>0</v>
      </c>
      <c r="P1927" s="578">
        <f t="shared" si="481"/>
        <v>0</v>
      </c>
      <c r="Q1927" s="765"/>
      <c r="R1927" s="723"/>
      <c r="S1927" s="723"/>
      <c r="T1927" s="577">
        <f t="shared" si="478"/>
        <v>0</v>
      </c>
      <c r="U1927" s="578">
        <f t="shared" si="479"/>
        <v>0</v>
      </c>
      <c r="V1927" s="579"/>
      <c r="W1927" s="566" t="str">
        <f>IF(U1925&gt;0,"xx",IF(P1925&gt;0,"xy",""))</f>
        <v/>
      </c>
      <c r="X1927" s="586" t="str">
        <f t="shared" si="461"/>
        <v/>
      </c>
      <c r="Y1927" s="586" t="str">
        <f t="shared" si="431"/>
        <v/>
      </c>
      <c r="Z1927" s="586" t="str">
        <f t="shared" si="445"/>
        <v/>
      </c>
    </row>
    <row r="1928" spans="1:26" ht="12" hidden="1" thickBot="1" x14ac:dyDescent="0.25">
      <c r="A1928" s="567" t="s">
        <v>168</v>
      </c>
      <c r="B1928" s="644" t="s">
        <v>168</v>
      </c>
      <c r="C1928" s="645"/>
      <c r="D1928" s="422" t="s">
        <v>252</v>
      </c>
      <c r="E1928" s="423"/>
      <c r="F1928" s="424">
        <v>20</v>
      </c>
      <c r="G1928" s="425">
        <v>0.5736</v>
      </c>
      <c r="H1928" s="663">
        <f t="shared" si="483"/>
        <v>13.812288000000001</v>
      </c>
      <c r="I1928" s="420">
        <v>0</v>
      </c>
      <c r="J1928" s="420"/>
      <c r="K1928" s="421">
        <f t="shared" si="477"/>
        <v>0</v>
      </c>
      <c r="L1928" s="647"/>
      <c r="M1928" s="723"/>
      <c r="N1928" s="576">
        <f t="shared" si="462"/>
        <v>0</v>
      </c>
      <c r="O1928" s="577">
        <f t="shared" si="480"/>
        <v>0</v>
      </c>
      <c r="P1928" s="578">
        <f t="shared" si="481"/>
        <v>0</v>
      </c>
      <c r="Q1928" s="765"/>
      <c r="R1928" s="723"/>
      <c r="S1928" s="723"/>
      <c r="T1928" s="577">
        <f t="shared" si="478"/>
        <v>0</v>
      </c>
      <c r="U1928" s="578">
        <f t="shared" si="479"/>
        <v>0</v>
      </c>
      <c r="V1928" s="579"/>
      <c r="W1928" s="566" t="str">
        <f>IF(U1925&gt;0,"xx",IF(P1925&gt;0,"xy",""))</f>
        <v/>
      </c>
      <c r="X1928" s="586" t="str">
        <f t="shared" si="461"/>
        <v/>
      </c>
      <c r="Y1928" s="586" t="str">
        <f t="shared" si="431"/>
        <v/>
      </c>
      <c r="Z1928" s="586" t="str">
        <f t="shared" si="445"/>
        <v/>
      </c>
    </row>
    <row r="1929" spans="1:26" ht="12" hidden="1" thickBot="1" x14ac:dyDescent="0.25">
      <c r="A1929" s="567">
        <v>620200</v>
      </c>
      <c r="B1929" s="644" t="s">
        <v>1665</v>
      </c>
      <c r="C1929" s="645" t="s">
        <v>206</v>
      </c>
      <c r="D1929" s="422" t="s">
        <v>356</v>
      </c>
      <c r="E1929" s="423"/>
      <c r="F1929" s="424"/>
      <c r="G1929" s="425"/>
      <c r="H1929" s="651">
        <f>SUM(H1930:H1932)</f>
        <v>358.16915799999998</v>
      </c>
      <c r="I1929" s="420">
        <v>1255.25</v>
      </c>
      <c r="J1929" s="420">
        <f>IF(ISBLANK(I1929),"",SUM(H1929:I1929))</f>
        <v>1613.4191579999999</v>
      </c>
      <c r="K1929" s="421">
        <f t="shared" si="477"/>
        <v>1916.9</v>
      </c>
      <c r="L1929" s="647" t="s">
        <v>21</v>
      </c>
      <c r="M1929" s="576"/>
      <c r="N1929" s="576">
        <f t="shared" si="462"/>
        <v>0</v>
      </c>
      <c r="O1929" s="577">
        <f t="shared" si="480"/>
        <v>0</v>
      </c>
      <c r="P1929" s="578">
        <f t="shared" si="481"/>
        <v>0</v>
      </c>
      <c r="Q1929" s="765"/>
      <c r="R1929" s="576">
        <f>M1929</f>
        <v>0</v>
      </c>
      <c r="S1929" s="576">
        <f>N1929</f>
        <v>0</v>
      </c>
      <c r="T1929" s="577">
        <f t="shared" si="478"/>
        <v>0</v>
      </c>
      <c r="U1929" s="578">
        <f t="shared" si="479"/>
        <v>0</v>
      </c>
      <c r="V1929" s="579"/>
      <c r="W1929" s="566"/>
      <c r="X1929" s="586" t="str">
        <f t="shared" si="461"/>
        <v/>
      </c>
      <c r="Y1929" s="586" t="str">
        <f t="shared" si="431"/>
        <v/>
      </c>
      <c r="Z1929" s="586" t="str">
        <f t="shared" si="445"/>
        <v/>
      </c>
    </row>
    <row r="1930" spans="1:26" ht="12" hidden="1" thickBot="1" x14ac:dyDescent="0.25">
      <c r="A1930" s="567" t="s">
        <v>168</v>
      </c>
      <c r="B1930" s="644" t="s">
        <v>168</v>
      </c>
      <c r="C1930" s="645"/>
      <c r="D1930" s="422" t="s">
        <v>212</v>
      </c>
      <c r="E1930" s="423"/>
      <c r="F1930" s="424">
        <v>500</v>
      </c>
      <c r="G1930" s="425">
        <v>0.28689999999999999</v>
      </c>
      <c r="H1930" s="649">
        <f>IF(F1930&lt;=30,(0.78*F1930+7.82)*G1930,((0.78*30+7.82)+0.78*(F1930-30))*G1930)</f>
        <v>114.13455800000001</v>
      </c>
      <c r="I1930" s="420">
        <v>0</v>
      </c>
      <c r="J1930" s="420"/>
      <c r="K1930" s="421">
        <f t="shared" si="477"/>
        <v>0</v>
      </c>
      <c r="L1930" s="647"/>
      <c r="M1930" s="723"/>
      <c r="N1930" s="576">
        <f t="shared" si="462"/>
        <v>0</v>
      </c>
      <c r="O1930" s="577">
        <f t="shared" si="480"/>
        <v>0</v>
      </c>
      <c r="P1930" s="578">
        <f t="shared" si="481"/>
        <v>0</v>
      </c>
      <c r="Q1930" s="765"/>
      <c r="R1930" s="723"/>
      <c r="S1930" s="723"/>
      <c r="T1930" s="577">
        <f t="shared" si="478"/>
        <v>0</v>
      </c>
      <c r="U1930" s="578">
        <f t="shared" si="479"/>
        <v>0</v>
      </c>
      <c r="V1930" s="579"/>
      <c r="W1930" s="566" t="str">
        <f>IF(U1929&gt;0,"xx",IF(P1929&gt;0,"xy",""))</f>
        <v/>
      </c>
      <c r="X1930" s="586" t="str">
        <f t="shared" si="461"/>
        <v/>
      </c>
      <c r="Y1930" s="586" t="str">
        <f t="shared" si="431"/>
        <v/>
      </c>
      <c r="Z1930" s="586" t="str">
        <f t="shared" si="445"/>
        <v/>
      </c>
    </row>
    <row r="1931" spans="1:26" ht="12" hidden="1" thickBot="1" x14ac:dyDescent="0.25">
      <c r="A1931" s="567" t="s">
        <v>168</v>
      </c>
      <c r="B1931" s="644" t="s">
        <v>168</v>
      </c>
      <c r="C1931" s="645"/>
      <c r="D1931" s="422" t="s">
        <v>248</v>
      </c>
      <c r="E1931" s="423"/>
      <c r="F1931" s="424">
        <v>180</v>
      </c>
      <c r="G1931" s="425">
        <v>1.02</v>
      </c>
      <c r="H1931" s="663">
        <f t="shared" ref="H1931:H1932" si="484">IF(F1931&lt;=30,(1.07*F1931+2.68)*G1931,((1.07*30+2.68)+1.07*(F1931-30))*G1931)</f>
        <v>199.18559999999999</v>
      </c>
      <c r="I1931" s="420">
        <v>0</v>
      </c>
      <c r="J1931" s="420"/>
      <c r="K1931" s="421">
        <f t="shared" si="477"/>
        <v>0</v>
      </c>
      <c r="L1931" s="647"/>
      <c r="M1931" s="723"/>
      <c r="N1931" s="576">
        <f t="shared" si="462"/>
        <v>0</v>
      </c>
      <c r="O1931" s="577">
        <f t="shared" si="480"/>
        <v>0</v>
      </c>
      <c r="P1931" s="578">
        <f t="shared" si="481"/>
        <v>0</v>
      </c>
      <c r="Q1931" s="765"/>
      <c r="R1931" s="723"/>
      <c r="S1931" s="723"/>
      <c r="T1931" s="577">
        <f t="shared" si="478"/>
        <v>0</v>
      </c>
      <c r="U1931" s="578">
        <f t="shared" si="479"/>
        <v>0</v>
      </c>
      <c r="V1931" s="579"/>
      <c r="W1931" s="566" t="str">
        <f>IF(U1929&gt;0,"xx",IF(P1929&gt;0,"xy",""))</f>
        <v/>
      </c>
      <c r="X1931" s="586" t="str">
        <f t="shared" si="461"/>
        <v/>
      </c>
      <c r="Y1931" s="586" t="str">
        <f t="shared" si="431"/>
        <v/>
      </c>
      <c r="Z1931" s="586" t="str">
        <f t="shared" si="445"/>
        <v/>
      </c>
    </row>
    <row r="1932" spans="1:26" ht="12" hidden="1" thickBot="1" x14ac:dyDescent="0.25">
      <c r="A1932" s="567" t="s">
        <v>168</v>
      </c>
      <c r="B1932" s="644" t="s">
        <v>168</v>
      </c>
      <c r="C1932" s="645"/>
      <c r="D1932" s="422" t="s">
        <v>252</v>
      </c>
      <c r="E1932" s="423"/>
      <c r="F1932" s="424">
        <v>20</v>
      </c>
      <c r="G1932" s="425">
        <v>1.8625</v>
      </c>
      <c r="H1932" s="663">
        <f t="shared" si="484"/>
        <v>44.849000000000004</v>
      </c>
      <c r="I1932" s="420">
        <v>0</v>
      </c>
      <c r="J1932" s="420"/>
      <c r="K1932" s="421">
        <f t="shared" si="477"/>
        <v>0</v>
      </c>
      <c r="L1932" s="647"/>
      <c r="M1932" s="723"/>
      <c r="N1932" s="576">
        <f t="shared" si="462"/>
        <v>0</v>
      </c>
      <c r="O1932" s="577">
        <f t="shared" si="480"/>
        <v>0</v>
      </c>
      <c r="P1932" s="578">
        <f t="shared" si="481"/>
        <v>0</v>
      </c>
      <c r="Q1932" s="765"/>
      <c r="R1932" s="723"/>
      <c r="S1932" s="723"/>
      <c r="T1932" s="577">
        <f t="shared" si="478"/>
        <v>0</v>
      </c>
      <c r="U1932" s="578">
        <f t="shared" si="479"/>
        <v>0</v>
      </c>
      <c r="V1932" s="579"/>
      <c r="W1932" s="566" t="str">
        <f>IF(U1929&gt;0,"xx",IF(P1929&gt;0,"xy",""))</f>
        <v/>
      </c>
      <c r="X1932" s="586" t="str">
        <f t="shared" si="461"/>
        <v/>
      </c>
      <c r="Y1932" s="586" t="str">
        <f t="shared" si="431"/>
        <v/>
      </c>
      <c r="Z1932" s="586" t="str">
        <f t="shared" si="445"/>
        <v/>
      </c>
    </row>
    <row r="1933" spans="1:26" ht="12" hidden="1" thickBot="1" x14ac:dyDescent="0.25">
      <c r="A1933" s="567">
        <v>620300</v>
      </c>
      <c r="B1933" s="644">
        <v>620300</v>
      </c>
      <c r="C1933" s="645" t="s">
        <v>206</v>
      </c>
      <c r="D1933" s="422" t="s">
        <v>357</v>
      </c>
      <c r="E1933" s="423"/>
      <c r="F1933" s="424"/>
      <c r="G1933" s="425"/>
      <c r="H1933" s="651">
        <f>SUM(H1934:H1936)</f>
        <v>537.50214200000005</v>
      </c>
      <c r="I1933" s="420">
        <v>1787.05</v>
      </c>
      <c r="J1933" s="420">
        <f>IF(ISBLANK(I1933),"",SUM(H1933:I1933))</f>
        <v>2324.552142</v>
      </c>
      <c r="K1933" s="421">
        <f t="shared" si="477"/>
        <v>2761.8</v>
      </c>
      <c r="L1933" s="647" t="s">
        <v>21</v>
      </c>
      <c r="M1933" s="576"/>
      <c r="N1933" s="576">
        <f t="shared" si="462"/>
        <v>0</v>
      </c>
      <c r="O1933" s="577">
        <f t="shared" si="480"/>
        <v>0</v>
      </c>
      <c r="P1933" s="578">
        <f t="shared" si="481"/>
        <v>0</v>
      </c>
      <c r="Q1933" s="765"/>
      <c r="R1933" s="576">
        <f>M1933</f>
        <v>0</v>
      </c>
      <c r="S1933" s="576">
        <f>N1933</f>
        <v>0</v>
      </c>
      <c r="T1933" s="577">
        <f t="shared" si="478"/>
        <v>0</v>
      </c>
      <c r="U1933" s="578">
        <f t="shared" si="479"/>
        <v>0</v>
      </c>
      <c r="V1933" s="579"/>
      <c r="W1933" s="566"/>
      <c r="X1933" s="586" t="str">
        <f t="shared" si="461"/>
        <v/>
      </c>
      <c r="Y1933" s="586" t="str">
        <f t="shared" si="431"/>
        <v/>
      </c>
      <c r="Z1933" s="586" t="str">
        <f t="shared" si="445"/>
        <v/>
      </c>
    </row>
    <row r="1934" spans="1:26" ht="12" hidden="1" thickBot="1" x14ac:dyDescent="0.25">
      <c r="A1934" s="567" t="s">
        <v>168</v>
      </c>
      <c r="B1934" s="644" t="s">
        <v>168</v>
      </c>
      <c r="C1934" s="645"/>
      <c r="D1934" s="422" t="s">
        <v>212</v>
      </c>
      <c r="E1934" s="423"/>
      <c r="F1934" s="424">
        <v>500</v>
      </c>
      <c r="G1934" s="425">
        <v>0.43049999999999999</v>
      </c>
      <c r="H1934" s="649">
        <f>IF(F1934&lt;=30,(0.78*F1934+7.82)*G1934,((0.78*30+7.82)+0.78*(F1934-30))*G1934)</f>
        <v>171.26151000000002</v>
      </c>
      <c r="I1934" s="420">
        <v>0</v>
      </c>
      <c r="J1934" s="420"/>
      <c r="K1934" s="421">
        <f t="shared" si="477"/>
        <v>0</v>
      </c>
      <c r="L1934" s="647"/>
      <c r="M1934" s="723"/>
      <c r="N1934" s="576">
        <f t="shared" si="462"/>
        <v>0</v>
      </c>
      <c r="O1934" s="577">
        <f t="shared" si="480"/>
        <v>0</v>
      </c>
      <c r="P1934" s="578">
        <f t="shared" si="481"/>
        <v>0</v>
      </c>
      <c r="Q1934" s="765"/>
      <c r="R1934" s="723"/>
      <c r="S1934" s="723"/>
      <c r="T1934" s="577">
        <f t="shared" si="478"/>
        <v>0</v>
      </c>
      <c r="U1934" s="578">
        <f t="shared" si="479"/>
        <v>0</v>
      </c>
      <c r="V1934" s="579"/>
      <c r="W1934" s="566" t="str">
        <f>IF(U1933&gt;0,"xx",IF(P1933&gt;0,"xy",""))</f>
        <v/>
      </c>
      <c r="X1934" s="586" t="str">
        <f t="shared" si="461"/>
        <v/>
      </c>
      <c r="Y1934" s="586" t="str">
        <f t="shared" si="431"/>
        <v/>
      </c>
      <c r="Z1934" s="586" t="str">
        <f t="shared" si="445"/>
        <v/>
      </c>
    </row>
    <row r="1935" spans="1:26" ht="12" hidden="1" thickBot="1" x14ac:dyDescent="0.25">
      <c r="A1935" s="567" t="s">
        <v>168</v>
      </c>
      <c r="B1935" s="644" t="s">
        <v>168</v>
      </c>
      <c r="C1935" s="645"/>
      <c r="D1935" s="422" t="s">
        <v>248</v>
      </c>
      <c r="E1935" s="423"/>
      <c r="F1935" s="424">
        <v>180</v>
      </c>
      <c r="G1935" s="425">
        <v>1.5307999999999999</v>
      </c>
      <c r="H1935" s="663">
        <f t="shared" ref="H1935:H1936" si="485">IF(F1935&lt;=30,(1.07*F1935+2.68)*G1935,((1.07*30+2.68)+1.07*(F1935-30))*G1935)</f>
        <v>298.93462399999999</v>
      </c>
      <c r="I1935" s="420">
        <v>0</v>
      </c>
      <c r="J1935" s="420"/>
      <c r="K1935" s="421">
        <f t="shared" si="477"/>
        <v>0</v>
      </c>
      <c r="L1935" s="647"/>
      <c r="M1935" s="723"/>
      <c r="N1935" s="576">
        <f t="shared" si="462"/>
        <v>0</v>
      </c>
      <c r="O1935" s="577">
        <f t="shared" si="480"/>
        <v>0</v>
      </c>
      <c r="P1935" s="578">
        <f t="shared" si="481"/>
        <v>0</v>
      </c>
      <c r="Q1935" s="765"/>
      <c r="R1935" s="723"/>
      <c r="S1935" s="723"/>
      <c r="T1935" s="577">
        <f t="shared" si="478"/>
        <v>0</v>
      </c>
      <c r="U1935" s="578">
        <f t="shared" si="479"/>
        <v>0</v>
      </c>
      <c r="V1935" s="579"/>
      <c r="W1935" s="566" t="str">
        <f>IF(U1933&gt;0,"xx",IF(P1933&gt;0,"xy",""))</f>
        <v/>
      </c>
      <c r="X1935" s="586" t="str">
        <f t="shared" si="461"/>
        <v/>
      </c>
      <c r="Y1935" s="586" t="str">
        <f t="shared" si="431"/>
        <v/>
      </c>
      <c r="Z1935" s="586" t="str">
        <f t="shared" si="445"/>
        <v/>
      </c>
    </row>
    <row r="1936" spans="1:26" ht="12" hidden="1" thickBot="1" x14ac:dyDescent="0.25">
      <c r="A1936" s="567" t="s">
        <v>168</v>
      </c>
      <c r="B1936" s="644" t="s">
        <v>168</v>
      </c>
      <c r="C1936" s="645"/>
      <c r="D1936" s="422" t="s">
        <v>252</v>
      </c>
      <c r="E1936" s="423"/>
      <c r="F1936" s="424">
        <v>20</v>
      </c>
      <c r="G1936" s="425">
        <v>2.7951000000000001</v>
      </c>
      <c r="H1936" s="663">
        <f t="shared" si="485"/>
        <v>67.306008000000006</v>
      </c>
      <c r="I1936" s="420">
        <v>0</v>
      </c>
      <c r="J1936" s="420"/>
      <c r="K1936" s="421">
        <f t="shared" si="477"/>
        <v>0</v>
      </c>
      <c r="L1936" s="647"/>
      <c r="M1936" s="723"/>
      <c r="N1936" s="576">
        <f t="shared" si="462"/>
        <v>0</v>
      </c>
      <c r="O1936" s="577">
        <f t="shared" si="480"/>
        <v>0</v>
      </c>
      <c r="P1936" s="578">
        <f t="shared" si="481"/>
        <v>0</v>
      </c>
      <c r="Q1936" s="765"/>
      <c r="R1936" s="723"/>
      <c r="S1936" s="723"/>
      <c r="T1936" s="577">
        <f t="shared" si="478"/>
        <v>0</v>
      </c>
      <c r="U1936" s="578">
        <f t="shared" si="479"/>
        <v>0</v>
      </c>
      <c r="V1936" s="579"/>
      <c r="W1936" s="566" t="str">
        <f>IF(U1933&gt;0,"xx",IF(P1933&gt;0,"xy",""))</f>
        <v/>
      </c>
      <c r="X1936" s="586" t="str">
        <f t="shared" si="461"/>
        <v/>
      </c>
      <c r="Y1936" s="586" t="str">
        <f t="shared" si="431"/>
        <v/>
      </c>
      <c r="Z1936" s="586" t="str">
        <f t="shared" si="445"/>
        <v/>
      </c>
    </row>
    <row r="1937" spans="1:26" ht="12" hidden="1" thickBot="1" x14ac:dyDescent="0.25">
      <c r="A1937" s="567">
        <v>620400</v>
      </c>
      <c r="B1937" s="644">
        <v>620400</v>
      </c>
      <c r="C1937" s="645" t="s">
        <v>206</v>
      </c>
      <c r="D1937" s="422" t="s">
        <v>358</v>
      </c>
      <c r="E1937" s="423"/>
      <c r="F1937" s="424"/>
      <c r="G1937" s="425"/>
      <c r="H1937" s="651">
        <f>SUM(H1938:H1940)</f>
        <v>725.77926200000013</v>
      </c>
      <c r="I1937" s="420">
        <v>2290.1999999999998</v>
      </c>
      <c r="J1937" s="420">
        <f>IF(ISBLANK(I1937),"",SUM(H1937:I1937))</f>
        <v>3015.9792619999998</v>
      </c>
      <c r="K1937" s="421">
        <f t="shared" si="477"/>
        <v>3583.28</v>
      </c>
      <c r="L1937" s="647" t="s">
        <v>21</v>
      </c>
      <c r="M1937" s="576"/>
      <c r="N1937" s="576">
        <f t="shared" si="462"/>
        <v>0</v>
      </c>
      <c r="O1937" s="577">
        <f t="shared" si="480"/>
        <v>0</v>
      </c>
      <c r="P1937" s="578">
        <f t="shared" si="481"/>
        <v>0</v>
      </c>
      <c r="Q1937" s="765"/>
      <c r="R1937" s="576">
        <f>M1937</f>
        <v>0</v>
      </c>
      <c r="S1937" s="576">
        <f>N1937</f>
        <v>0</v>
      </c>
      <c r="T1937" s="577">
        <f t="shared" si="478"/>
        <v>0</v>
      </c>
      <c r="U1937" s="578">
        <f t="shared" si="479"/>
        <v>0</v>
      </c>
      <c r="V1937" s="579"/>
      <c r="W1937" s="566"/>
      <c r="X1937" s="586" t="str">
        <f t="shared" si="461"/>
        <v/>
      </c>
      <c r="Y1937" s="586" t="str">
        <f t="shared" si="431"/>
        <v/>
      </c>
      <c r="Z1937" s="586" t="str">
        <f t="shared" si="445"/>
        <v/>
      </c>
    </row>
    <row r="1938" spans="1:26" ht="12" hidden="1" thickBot="1" x14ac:dyDescent="0.25">
      <c r="A1938" s="567" t="s">
        <v>168</v>
      </c>
      <c r="B1938" s="644" t="s">
        <v>168</v>
      </c>
      <c r="C1938" s="645"/>
      <c r="D1938" s="422" t="s">
        <v>212</v>
      </c>
      <c r="E1938" s="423"/>
      <c r="F1938" s="424">
        <v>500</v>
      </c>
      <c r="G1938" s="425">
        <v>0.58130000000000004</v>
      </c>
      <c r="H1938" s="649">
        <f>IF(F1938&lt;=30,(0.78*F1938+7.82)*G1938,((0.78*30+7.82)+0.78*(F1938-30))*G1938)</f>
        <v>231.25276600000004</v>
      </c>
      <c r="I1938" s="420">
        <v>0</v>
      </c>
      <c r="J1938" s="420"/>
      <c r="K1938" s="421">
        <f t="shared" si="477"/>
        <v>0</v>
      </c>
      <c r="L1938" s="647"/>
      <c r="M1938" s="723"/>
      <c r="N1938" s="576">
        <f t="shared" si="462"/>
        <v>0</v>
      </c>
      <c r="O1938" s="577">
        <f t="shared" si="480"/>
        <v>0</v>
      </c>
      <c r="P1938" s="578">
        <f t="shared" si="481"/>
        <v>0</v>
      </c>
      <c r="Q1938" s="765"/>
      <c r="R1938" s="723"/>
      <c r="S1938" s="723"/>
      <c r="T1938" s="577">
        <f t="shared" si="478"/>
        <v>0</v>
      </c>
      <c r="U1938" s="578">
        <f t="shared" si="479"/>
        <v>0</v>
      </c>
      <c r="V1938" s="579"/>
      <c r="W1938" s="566" t="str">
        <f>IF(U1937&gt;0,"xx",IF(P1937&gt;0,"xy",""))</f>
        <v/>
      </c>
      <c r="X1938" s="586" t="str">
        <f t="shared" si="461"/>
        <v/>
      </c>
      <c r="Y1938" s="586" t="str">
        <f t="shared" si="431"/>
        <v/>
      </c>
      <c r="Z1938" s="586" t="str">
        <f t="shared" si="445"/>
        <v/>
      </c>
    </row>
    <row r="1939" spans="1:26" ht="12" hidden="1" thickBot="1" x14ac:dyDescent="0.25">
      <c r="A1939" s="567" t="s">
        <v>168</v>
      </c>
      <c r="B1939" s="644" t="s">
        <v>168</v>
      </c>
      <c r="C1939" s="645"/>
      <c r="D1939" s="422" t="s">
        <v>248</v>
      </c>
      <c r="E1939" s="423"/>
      <c r="F1939" s="424">
        <v>180</v>
      </c>
      <c r="G1939" s="425">
        <v>2.0670000000000002</v>
      </c>
      <c r="H1939" s="663">
        <f t="shared" ref="H1939:H1940" si="486">IF(F1939&lt;=30,(1.07*F1939+2.68)*G1939,((1.07*30+2.68)+1.07*(F1939-30))*G1939)</f>
        <v>403.64376000000004</v>
      </c>
      <c r="I1939" s="420">
        <v>0</v>
      </c>
      <c r="J1939" s="420"/>
      <c r="K1939" s="421">
        <f t="shared" si="477"/>
        <v>0</v>
      </c>
      <c r="L1939" s="647"/>
      <c r="M1939" s="723"/>
      <c r="N1939" s="576">
        <f t="shared" si="462"/>
        <v>0</v>
      </c>
      <c r="O1939" s="577">
        <f t="shared" si="480"/>
        <v>0</v>
      </c>
      <c r="P1939" s="578">
        <f t="shared" si="481"/>
        <v>0</v>
      </c>
      <c r="Q1939" s="765"/>
      <c r="R1939" s="723"/>
      <c r="S1939" s="723"/>
      <c r="T1939" s="577">
        <f t="shared" si="478"/>
        <v>0</v>
      </c>
      <c r="U1939" s="578">
        <f t="shared" si="479"/>
        <v>0</v>
      </c>
      <c r="V1939" s="579"/>
      <c r="W1939" s="566" t="str">
        <f>IF(U1937&gt;0,"xx",IF(P1937&gt;0,"xy",""))</f>
        <v/>
      </c>
      <c r="X1939" s="586" t="str">
        <f t="shared" si="461"/>
        <v/>
      </c>
      <c r="Y1939" s="586" t="str">
        <f t="shared" si="431"/>
        <v/>
      </c>
      <c r="Z1939" s="586" t="str">
        <f t="shared" si="445"/>
        <v/>
      </c>
    </row>
    <row r="1940" spans="1:26" ht="12" hidden="1" thickBot="1" x14ac:dyDescent="0.25">
      <c r="A1940" s="567" t="s">
        <v>168</v>
      </c>
      <c r="B1940" s="644" t="s">
        <v>168</v>
      </c>
      <c r="C1940" s="645"/>
      <c r="D1940" s="422" t="s">
        <v>252</v>
      </c>
      <c r="E1940" s="423"/>
      <c r="F1940" s="424">
        <v>20</v>
      </c>
      <c r="G1940" s="425">
        <v>3.7742</v>
      </c>
      <c r="H1940" s="663">
        <f t="shared" si="486"/>
        <v>90.882736000000008</v>
      </c>
      <c r="I1940" s="420">
        <v>0</v>
      </c>
      <c r="J1940" s="420"/>
      <c r="K1940" s="421">
        <f t="shared" si="477"/>
        <v>0</v>
      </c>
      <c r="L1940" s="647"/>
      <c r="M1940" s="723"/>
      <c r="N1940" s="576">
        <f t="shared" ref="N1940:N2003" si="487">IF(M1940=0,0,K1940)</f>
        <v>0</v>
      </c>
      <c r="O1940" s="577">
        <f t="shared" si="480"/>
        <v>0</v>
      </c>
      <c r="P1940" s="578">
        <f t="shared" si="481"/>
        <v>0</v>
      </c>
      <c r="Q1940" s="765"/>
      <c r="R1940" s="723"/>
      <c r="S1940" s="723"/>
      <c r="T1940" s="577">
        <f t="shared" si="478"/>
        <v>0</v>
      </c>
      <c r="U1940" s="578">
        <f t="shared" si="479"/>
        <v>0</v>
      </c>
      <c r="V1940" s="579"/>
      <c r="W1940" s="566" t="str">
        <f>IF(U1937&gt;0,"xx",IF(P1937&gt;0,"xy",""))</f>
        <v/>
      </c>
      <c r="X1940" s="586" t="str">
        <f t="shared" si="461"/>
        <v/>
      </c>
      <c r="Y1940" s="586" t="str">
        <f t="shared" si="431"/>
        <v/>
      </c>
      <c r="Z1940" s="586" t="str">
        <f t="shared" si="445"/>
        <v/>
      </c>
    </row>
    <row r="1941" spans="1:26" ht="12" hidden="1" thickBot="1" x14ac:dyDescent="0.25">
      <c r="A1941" s="567">
        <v>620500</v>
      </c>
      <c r="B1941" s="644">
        <v>620500</v>
      </c>
      <c r="C1941" s="645" t="s">
        <v>206</v>
      </c>
      <c r="D1941" s="422" t="s">
        <v>359</v>
      </c>
      <c r="E1941" s="423"/>
      <c r="F1941" s="424"/>
      <c r="G1941" s="425"/>
      <c r="H1941" s="651">
        <f>SUM(H1942:H1944)</f>
        <v>1457.2623920000001</v>
      </c>
      <c r="I1941" s="420">
        <v>4098.9299999999994</v>
      </c>
      <c r="J1941" s="420">
        <f>IF(ISBLANK(I1941),"",SUM(H1941:I1941))</f>
        <v>5556.192391999999</v>
      </c>
      <c r="K1941" s="421">
        <f t="shared" si="477"/>
        <v>6601.31</v>
      </c>
      <c r="L1941" s="647" t="s">
        <v>21</v>
      </c>
      <c r="M1941" s="576"/>
      <c r="N1941" s="576">
        <f t="shared" si="487"/>
        <v>0</v>
      </c>
      <c r="O1941" s="577">
        <f t="shared" si="480"/>
        <v>0</v>
      </c>
      <c r="P1941" s="578">
        <f t="shared" si="481"/>
        <v>0</v>
      </c>
      <c r="Q1941" s="765"/>
      <c r="R1941" s="576">
        <f>M1941</f>
        <v>0</v>
      </c>
      <c r="S1941" s="576">
        <f>N1941</f>
        <v>0</v>
      </c>
      <c r="T1941" s="577">
        <f t="shared" si="478"/>
        <v>0</v>
      </c>
      <c r="U1941" s="578">
        <f t="shared" si="479"/>
        <v>0</v>
      </c>
      <c r="V1941" s="579"/>
      <c r="W1941" s="566"/>
      <c r="X1941" s="586" t="str">
        <f t="shared" si="461"/>
        <v/>
      </c>
      <c r="Y1941" s="586" t="str">
        <f t="shared" si="431"/>
        <v/>
      </c>
      <c r="Z1941" s="586" t="str">
        <f t="shared" ref="Z1941:Z2023" si="488">IF(W1941="X","x",IF(U1941&gt;0,"x",""))</f>
        <v/>
      </c>
    </row>
    <row r="1942" spans="1:26" ht="12" hidden="1" thickBot="1" x14ac:dyDescent="0.25">
      <c r="A1942" s="567" t="s">
        <v>168</v>
      </c>
      <c r="B1942" s="644" t="s">
        <v>168</v>
      </c>
      <c r="C1942" s="645"/>
      <c r="D1942" s="422" t="s">
        <v>212</v>
      </c>
      <c r="E1942" s="423"/>
      <c r="F1942" s="424">
        <v>500</v>
      </c>
      <c r="G1942" s="425">
        <v>1.1672</v>
      </c>
      <c r="H1942" s="649">
        <f>IF(F1942&lt;=30,(0.78*F1942+7.82)*G1942,((0.78*30+7.82)+0.78*(F1942-30))*G1942)</f>
        <v>464.33550400000007</v>
      </c>
      <c r="I1942" s="420">
        <v>0</v>
      </c>
      <c r="J1942" s="420"/>
      <c r="K1942" s="421">
        <f t="shared" si="477"/>
        <v>0</v>
      </c>
      <c r="L1942" s="647"/>
      <c r="M1942" s="723"/>
      <c r="N1942" s="576">
        <f t="shared" si="487"/>
        <v>0</v>
      </c>
      <c r="O1942" s="577">
        <f t="shared" si="480"/>
        <v>0</v>
      </c>
      <c r="P1942" s="578">
        <f t="shared" si="481"/>
        <v>0</v>
      </c>
      <c r="Q1942" s="765"/>
      <c r="R1942" s="723"/>
      <c r="S1942" s="723"/>
      <c r="T1942" s="577">
        <f t="shared" si="478"/>
        <v>0</v>
      </c>
      <c r="U1942" s="578">
        <f t="shared" si="479"/>
        <v>0</v>
      </c>
      <c r="V1942" s="579"/>
      <c r="W1942" s="566" t="str">
        <f>IF(U1941&gt;0,"xx",IF(P1941&gt;0,"xy",""))</f>
        <v/>
      </c>
      <c r="X1942" s="586" t="str">
        <f t="shared" si="461"/>
        <v/>
      </c>
      <c r="Y1942" s="586" t="str">
        <f t="shared" si="431"/>
        <v/>
      </c>
      <c r="Z1942" s="586" t="str">
        <f t="shared" si="488"/>
        <v/>
      </c>
    </row>
    <row r="1943" spans="1:26" ht="12" hidden="1" thickBot="1" x14ac:dyDescent="0.25">
      <c r="A1943" s="567" t="s">
        <v>168</v>
      </c>
      <c r="B1943" s="644" t="s">
        <v>168</v>
      </c>
      <c r="C1943" s="645"/>
      <c r="D1943" s="422" t="s">
        <v>248</v>
      </c>
      <c r="E1943" s="423"/>
      <c r="F1943" s="424">
        <v>180</v>
      </c>
      <c r="G1943" s="425">
        <v>4.1501999999999999</v>
      </c>
      <c r="H1943" s="663">
        <f t="shared" ref="H1943:H1944" si="489">IF(F1943&lt;=30,(1.07*F1943+2.68)*G1943,((1.07*30+2.68)+1.07*(F1943-30))*G1943)</f>
        <v>810.45105599999999</v>
      </c>
      <c r="I1943" s="420">
        <v>0</v>
      </c>
      <c r="J1943" s="420"/>
      <c r="K1943" s="421">
        <f t="shared" si="477"/>
        <v>0</v>
      </c>
      <c r="L1943" s="647"/>
      <c r="M1943" s="723"/>
      <c r="N1943" s="576">
        <f t="shared" si="487"/>
        <v>0</v>
      </c>
      <c r="O1943" s="577">
        <f t="shared" si="480"/>
        <v>0</v>
      </c>
      <c r="P1943" s="578">
        <f t="shared" si="481"/>
        <v>0</v>
      </c>
      <c r="Q1943" s="765"/>
      <c r="R1943" s="723"/>
      <c r="S1943" s="723"/>
      <c r="T1943" s="577">
        <f t="shared" si="478"/>
        <v>0</v>
      </c>
      <c r="U1943" s="578">
        <f t="shared" si="479"/>
        <v>0</v>
      </c>
      <c r="V1943" s="579"/>
      <c r="W1943" s="566" t="str">
        <f>IF(U1941&gt;0,"xx",IF(P1941&gt;0,"xy",""))</f>
        <v/>
      </c>
      <c r="X1943" s="586" t="str">
        <f t="shared" si="461"/>
        <v/>
      </c>
      <c r="Y1943" s="586" t="str">
        <f t="shared" si="431"/>
        <v/>
      </c>
      <c r="Z1943" s="586" t="str">
        <f t="shared" si="488"/>
        <v/>
      </c>
    </row>
    <row r="1944" spans="1:26" ht="12" hidden="1" thickBot="1" x14ac:dyDescent="0.25">
      <c r="A1944" s="567" t="s">
        <v>168</v>
      </c>
      <c r="B1944" s="644" t="s">
        <v>168</v>
      </c>
      <c r="C1944" s="645"/>
      <c r="D1944" s="422" t="s">
        <v>252</v>
      </c>
      <c r="E1944" s="423"/>
      <c r="F1944" s="424">
        <v>20</v>
      </c>
      <c r="G1944" s="425">
        <v>7.5778999999999996</v>
      </c>
      <c r="H1944" s="663">
        <f t="shared" si="489"/>
        <v>182.475832</v>
      </c>
      <c r="I1944" s="420">
        <v>0</v>
      </c>
      <c r="J1944" s="420"/>
      <c r="K1944" s="421">
        <f t="shared" si="477"/>
        <v>0</v>
      </c>
      <c r="L1944" s="647"/>
      <c r="M1944" s="723"/>
      <c r="N1944" s="576">
        <f t="shared" si="487"/>
        <v>0</v>
      </c>
      <c r="O1944" s="577">
        <f t="shared" si="480"/>
        <v>0</v>
      </c>
      <c r="P1944" s="578">
        <f t="shared" si="481"/>
        <v>0</v>
      </c>
      <c r="Q1944" s="765"/>
      <c r="R1944" s="723"/>
      <c r="S1944" s="723"/>
      <c r="T1944" s="577">
        <f t="shared" si="478"/>
        <v>0</v>
      </c>
      <c r="U1944" s="578">
        <f t="shared" si="479"/>
        <v>0</v>
      </c>
      <c r="V1944" s="579"/>
      <c r="W1944" s="566" t="str">
        <f>IF(U1941&gt;0,"xx",IF(P1941&gt;0,"xy",""))</f>
        <v/>
      </c>
      <c r="X1944" s="586" t="str">
        <f t="shared" si="461"/>
        <v/>
      </c>
      <c r="Y1944" s="586" t="str">
        <f t="shared" si="431"/>
        <v/>
      </c>
      <c r="Z1944" s="586" t="str">
        <f t="shared" si="488"/>
        <v/>
      </c>
    </row>
    <row r="1945" spans="1:26" ht="12" hidden="1" thickBot="1" x14ac:dyDescent="0.25">
      <c r="A1945" s="567">
        <v>620600</v>
      </c>
      <c r="B1945" s="644">
        <v>620600</v>
      </c>
      <c r="C1945" s="645" t="s">
        <v>206</v>
      </c>
      <c r="D1945" s="422" t="s">
        <v>360</v>
      </c>
      <c r="E1945" s="423"/>
      <c r="F1945" s="424"/>
      <c r="G1945" s="425"/>
      <c r="H1945" s="651">
        <f>SUM(H1946:H1948)</f>
        <v>2801.5291540000003</v>
      </c>
      <c r="I1945" s="420">
        <v>7314.29</v>
      </c>
      <c r="J1945" s="420">
        <f>IF(ISBLANK(I1945),"",SUM(H1945:I1945))</f>
        <v>10115.819154000001</v>
      </c>
      <c r="K1945" s="421">
        <f t="shared" si="477"/>
        <v>12018.6</v>
      </c>
      <c r="L1945" s="647" t="s">
        <v>21</v>
      </c>
      <c r="M1945" s="576"/>
      <c r="N1945" s="576">
        <f t="shared" si="487"/>
        <v>0</v>
      </c>
      <c r="O1945" s="577">
        <f t="shared" si="480"/>
        <v>0</v>
      </c>
      <c r="P1945" s="578">
        <f t="shared" si="481"/>
        <v>0</v>
      </c>
      <c r="Q1945" s="765"/>
      <c r="R1945" s="576">
        <f>M1945</f>
        <v>0</v>
      </c>
      <c r="S1945" s="576">
        <f>N1945</f>
        <v>0</v>
      </c>
      <c r="T1945" s="577">
        <f t="shared" si="478"/>
        <v>0</v>
      </c>
      <c r="U1945" s="578">
        <f t="shared" si="479"/>
        <v>0</v>
      </c>
      <c r="V1945" s="579"/>
      <c r="W1945" s="566"/>
      <c r="X1945" s="586" t="str">
        <f t="shared" si="461"/>
        <v/>
      </c>
      <c r="Y1945" s="586" t="str">
        <f t="shared" si="431"/>
        <v/>
      </c>
      <c r="Z1945" s="586" t="str">
        <f t="shared" si="488"/>
        <v/>
      </c>
    </row>
    <row r="1946" spans="1:26" ht="12" hidden="1" thickBot="1" x14ac:dyDescent="0.25">
      <c r="A1946" s="567" t="s">
        <v>168</v>
      </c>
      <c r="B1946" s="644" t="s">
        <v>168</v>
      </c>
      <c r="C1946" s="645"/>
      <c r="D1946" s="422" t="s">
        <v>212</v>
      </c>
      <c r="E1946" s="423"/>
      <c r="F1946" s="424">
        <v>500</v>
      </c>
      <c r="G1946" s="425">
        <v>2.2439</v>
      </c>
      <c r="H1946" s="649">
        <f>IF(F1946&lt;=30,(0.78*F1946+7.82)*G1946,((0.78*30+7.82)+0.78*(F1946-30))*G1946)</f>
        <v>892.66829800000016</v>
      </c>
      <c r="I1946" s="420">
        <v>0</v>
      </c>
      <c r="J1946" s="420"/>
      <c r="K1946" s="421">
        <f t="shared" si="477"/>
        <v>0</v>
      </c>
      <c r="L1946" s="647"/>
      <c r="M1946" s="723"/>
      <c r="N1946" s="576">
        <f t="shared" si="487"/>
        <v>0</v>
      </c>
      <c r="O1946" s="577">
        <f t="shared" si="480"/>
        <v>0</v>
      </c>
      <c r="P1946" s="578">
        <f t="shared" si="481"/>
        <v>0</v>
      </c>
      <c r="Q1946" s="765"/>
      <c r="R1946" s="723"/>
      <c r="S1946" s="723"/>
      <c r="T1946" s="577">
        <f t="shared" si="478"/>
        <v>0</v>
      </c>
      <c r="U1946" s="578">
        <f t="shared" si="479"/>
        <v>0</v>
      </c>
      <c r="V1946" s="579"/>
      <c r="W1946" s="566" t="str">
        <f>IF(U1945&gt;0,"xx",IF(P1945&gt;0,"xy",""))</f>
        <v/>
      </c>
      <c r="X1946" s="586" t="str">
        <f t="shared" si="461"/>
        <v/>
      </c>
      <c r="Y1946" s="586" t="str">
        <f t="shared" si="431"/>
        <v/>
      </c>
      <c r="Z1946" s="586" t="str">
        <f t="shared" si="488"/>
        <v/>
      </c>
    </row>
    <row r="1947" spans="1:26" ht="12" hidden="1" thickBot="1" x14ac:dyDescent="0.25">
      <c r="A1947" s="567" t="s">
        <v>168</v>
      </c>
      <c r="B1947" s="644" t="s">
        <v>168</v>
      </c>
      <c r="C1947" s="645"/>
      <c r="D1947" s="422" t="s">
        <v>248</v>
      </c>
      <c r="E1947" s="423"/>
      <c r="F1947" s="424">
        <v>180</v>
      </c>
      <c r="G1947" s="425">
        <v>7.9786000000000001</v>
      </c>
      <c r="H1947" s="663">
        <f t="shared" ref="H1947:H1948" si="490">IF(F1947&lt;=30,(1.07*F1947+2.68)*G1947,((1.07*30+2.68)+1.07*(F1947-30))*G1947)</f>
        <v>1558.0610080000001</v>
      </c>
      <c r="I1947" s="420">
        <v>0</v>
      </c>
      <c r="J1947" s="420"/>
      <c r="K1947" s="421">
        <f t="shared" si="477"/>
        <v>0</v>
      </c>
      <c r="L1947" s="647"/>
      <c r="M1947" s="723"/>
      <c r="N1947" s="576">
        <f t="shared" si="487"/>
        <v>0</v>
      </c>
      <c r="O1947" s="577">
        <f t="shared" si="480"/>
        <v>0</v>
      </c>
      <c r="P1947" s="578">
        <f t="shared" si="481"/>
        <v>0</v>
      </c>
      <c r="Q1947" s="765"/>
      <c r="R1947" s="723"/>
      <c r="S1947" s="723"/>
      <c r="T1947" s="577">
        <f t="shared" si="478"/>
        <v>0</v>
      </c>
      <c r="U1947" s="578">
        <f t="shared" si="479"/>
        <v>0</v>
      </c>
      <c r="V1947" s="579"/>
      <c r="W1947" s="566" t="str">
        <f>IF(U1945&gt;0,"xx",IF(P1945&gt;0,"xy",""))</f>
        <v/>
      </c>
      <c r="X1947" s="586" t="str">
        <f t="shared" si="461"/>
        <v/>
      </c>
      <c r="Y1947" s="586" t="str">
        <f t="shared" si="431"/>
        <v/>
      </c>
      <c r="Z1947" s="586" t="str">
        <f t="shared" si="488"/>
        <v/>
      </c>
    </row>
    <row r="1948" spans="1:26" ht="12" hidden="1" thickBot="1" x14ac:dyDescent="0.25">
      <c r="A1948" s="567" t="s">
        <v>168</v>
      </c>
      <c r="B1948" s="644" t="s">
        <v>168</v>
      </c>
      <c r="C1948" s="645"/>
      <c r="D1948" s="422" t="s">
        <v>252</v>
      </c>
      <c r="E1948" s="423"/>
      <c r="F1948" s="424">
        <v>20</v>
      </c>
      <c r="G1948" s="425">
        <v>14.568099999999999</v>
      </c>
      <c r="H1948" s="663">
        <f t="shared" si="490"/>
        <v>350.799848</v>
      </c>
      <c r="I1948" s="420">
        <v>0</v>
      </c>
      <c r="J1948" s="420"/>
      <c r="K1948" s="421">
        <f t="shared" si="477"/>
        <v>0</v>
      </c>
      <c r="L1948" s="647"/>
      <c r="M1948" s="723"/>
      <c r="N1948" s="576">
        <f t="shared" si="487"/>
        <v>0</v>
      </c>
      <c r="O1948" s="577">
        <f t="shared" si="480"/>
        <v>0</v>
      </c>
      <c r="P1948" s="578">
        <f t="shared" si="481"/>
        <v>0</v>
      </c>
      <c r="Q1948" s="765"/>
      <c r="R1948" s="723"/>
      <c r="S1948" s="723"/>
      <c r="T1948" s="577">
        <f t="shared" si="478"/>
        <v>0</v>
      </c>
      <c r="U1948" s="578">
        <f t="shared" si="479"/>
        <v>0</v>
      </c>
      <c r="V1948" s="579"/>
      <c r="W1948" s="566" t="str">
        <f>IF(U1945&gt;0,"xx",IF(P1945&gt;0,"xy",""))</f>
        <v/>
      </c>
      <c r="X1948" s="586" t="str">
        <f t="shared" si="461"/>
        <v/>
      </c>
      <c r="Y1948" s="586" t="str">
        <f t="shared" si="431"/>
        <v/>
      </c>
      <c r="Z1948" s="586" t="str">
        <f t="shared" si="488"/>
        <v/>
      </c>
    </row>
    <row r="1949" spans="1:26" ht="12" hidden="1" thickBot="1" x14ac:dyDescent="0.25">
      <c r="A1949" s="567">
        <v>620100</v>
      </c>
      <c r="B1949" s="644" t="s">
        <v>1663</v>
      </c>
      <c r="C1949" s="645" t="s">
        <v>206</v>
      </c>
      <c r="D1949" s="422" t="s">
        <v>361</v>
      </c>
      <c r="E1949" s="423"/>
      <c r="F1949" s="424"/>
      <c r="G1949" s="425"/>
      <c r="H1949" s="651">
        <f>SUM(H1950:H1952)</f>
        <v>357.50190600000002</v>
      </c>
      <c r="I1949" s="420">
        <v>1246.7937242356304</v>
      </c>
      <c r="J1949" s="420">
        <f>IF(ISBLANK(I1949),"",SUM(H1949:I1949))</f>
        <v>1604.2956302356304</v>
      </c>
      <c r="K1949" s="421">
        <f t="shared" si="477"/>
        <v>1906.06</v>
      </c>
      <c r="L1949" s="647" t="s">
        <v>21</v>
      </c>
      <c r="M1949" s="576"/>
      <c r="N1949" s="576">
        <f t="shared" si="487"/>
        <v>0</v>
      </c>
      <c r="O1949" s="577">
        <f t="shared" si="480"/>
        <v>0</v>
      </c>
      <c r="P1949" s="578">
        <f t="shared" si="481"/>
        <v>0</v>
      </c>
      <c r="Q1949" s="765"/>
      <c r="R1949" s="576">
        <f>M1949</f>
        <v>0</v>
      </c>
      <c r="S1949" s="576">
        <f>N1949</f>
        <v>0</v>
      </c>
      <c r="T1949" s="577">
        <f t="shared" si="478"/>
        <v>0</v>
      </c>
      <c r="U1949" s="578">
        <f t="shared" si="479"/>
        <v>0</v>
      </c>
      <c r="V1949" s="579"/>
      <c r="W1949" s="566"/>
      <c r="X1949" s="586" t="str">
        <f t="shared" si="461"/>
        <v/>
      </c>
      <c r="Y1949" s="586" t="str">
        <f t="shared" si="431"/>
        <v/>
      </c>
      <c r="Z1949" s="586" t="str">
        <f t="shared" si="488"/>
        <v/>
      </c>
    </row>
    <row r="1950" spans="1:26" ht="12" hidden="1" thickBot="1" x14ac:dyDescent="0.25">
      <c r="A1950" s="567" t="s">
        <v>168</v>
      </c>
      <c r="B1950" s="644" t="s">
        <v>168</v>
      </c>
      <c r="C1950" s="645"/>
      <c r="D1950" s="422" t="s">
        <v>212</v>
      </c>
      <c r="E1950" s="423"/>
      <c r="F1950" s="424">
        <v>500</v>
      </c>
      <c r="G1950" s="425">
        <v>0.2863</v>
      </c>
      <c r="H1950" s="649">
        <f>IF(F1950&lt;=30,(0.78*F1950+7.82)*G1950,((0.78*30+7.82)+0.78*(F1950-30))*G1950)</f>
        <v>113.89586600000001</v>
      </c>
      <c r="I1950" s="420">
        <v>0</v>
      </c>
      <c r="J1950" s="420"/>
      <c r="K1950" s="421">
        <f t="shared" si="477"/>
        <v>0</v>
      </c>
      <c r="L1950" s="647"/>
      <c r="M1950" s="723"/>
      <c r="N1950" s="576">
        <f t="shared" si="487"/>
        <v>0</v>
      </c>
      <c r="O1950" s="577">
        <f t="shared" si="480"/>
        <v>0</v>
      </c>
      <c r="P1950" s="578">
        <f t="shared" si="481"/>
        <v>0</v>
      </c>
      <c r="Q1950" s="765"/>
      <c r="R1950" s="723"/>
      <c r="S1950" s="723"/>
      <c r="T1950" s="577">
        <f t="shared" si="478"/>
        <v>0</v>
      </c>
      <c r="U1950" s="578">
        <f t="shared" si="479"/>
        <v>0</v>
      </c>
      <c r="V1950" s="579"/>
      <c r="W1950" s="566" t="str">
        <f>IF(U1949&gt;0,"xx",IF(P1949&gt;0,"xy",""))</f>
        <v/>
      </c>
      <c r="X1950" s="586" t="str">
        <f t="shared" si="461"/>
        <v/>
      </c>
      <c r="Y1950" s="586" t="str">
        <f t="shared" si="431"/>
        <v/>
      </c>
      <c r="Z1950" s="586" t="str">
        <f t="shared" si="488"/>
        <v/>
      </c>
    </row>
    <row r="1951" spans="1:26" ht="12" hidden="1" thickBot="1" x14ac:dyDescent="0.25">
      <c r="A1951" s="567" t="s">
        <v>168</v>
      </c>
      <c r="B1951" s="644" t="s">
        <v>168</v>
      </c>
      <c r="C1951" s="645"/>
      <c r="D1951" s="422" t="s">
        <v>248</v>
      </c>
      <c r="E1951" s="423"/>
      <c r="F1951" s="424">
        <v>180</v>
      </c>
      <c r="G1951" s="425">
        <v>1.0182</v>
      </c>
      <c r="H1951" s="663">
        <f t="shared" ref="H1951:H1952" si="491">IF(F1951&lt;=30,(1.07*F1951+2.68)*G1951,((1.07*30+2.68)+1.07*(F1951-30))*G1951)</f>
        <v>198.83409599999999</v>
      </c>
      <c r="I1951" s="420">
        <v>0</v>
      </c>
      <c r="J1951" s="420"/>
      <c r="K1951" s="421">
        <f t="shared" si="477"/>
        <v>0</v>
      </c>
      <c r="L1951" s="647"/>
      <c r="M1951" s="723"/>
      <c r="N1951" s="576">
        <f t="shared" si="487"/>
        <v>0</v>
      </c>
      <c r="O1951" s="577">
        <f t="shared" si="480"/>
        <v>0</v>
      </c>
      <c r="P1951" s="578">
        <f t="shared" si="481"/>
        <v>0</v>
      </c>
      <c r="Q1951" s="765"/>
      <c r="R1951" s="723"/>
      <c r="S1951" s="723"/>
      <c r="T1951" s="577">
        <f t="shared" si="478"/>
        <v>0</v>
      </c>
      <c r="U1951" s="578">
        <f t="shared" si="479"/>
        <v>0</v>
      </c>
      <c r="V1951" s="579"/>
      <c r="W1951" s="566" t="str">
        <f>IF(U1949&gt;0,"xx",IF(P1949&gt;0,"xy",""))</f>
        <v/>
      </c>
      <c r="X1951" s="586" t="str">
        <f t="shared" si="461"/>
        <v/>
      </c>
      <c r="Y1951" s="586" t="str">
        <f t="shared" si="431"/>
        <v/>
      </c>
      <c r="Z1951" s="586" t="str">
        <f t="shared" si="488"/>
        <v/>
      </c>
    </row>
    <row r="1952" spans="1:26" ht="12" hidden="1" thickBot="1" x14ac:dyDescent="0.25">
      <c r="A1952" s="567" t="s">
        <v>168</v>
      </c>
      <c r="B1952" s="644" t="s">
        <v>168</v>
      </c>
      <c r="C1952" s="645"/>
      <c r="D1952" s="422" t="s">
        <v>252</v>
      </c>
      <c r="E1952" s="423"/>
      <c r="F1952" s="424">
        <v>20</v>
      </c>
      <c r="G1952" s="425">
        <v>1.8593</v>
      </c>
      <c r="H1952" s="663">
        <f t="shared" si="491"/>
        <v>44.771944000000005</v>
      </c>
      <c r="I1952" s="420">
        <v>0</v>
      </c>
      <c r="J1952" s="420"/>
      <c r="K1952" s="421">
        <f t="shared" si="477"/>
        <v>0</v>
      </c>
      <c r="L1952" s="647"/>
      <c r="M1952" s="723"/>
      <c r="N1952" s="576">
        <f t="shared" si="487"/>
        <v>0</v>
      </c>
      <c r="O1952" s="577">
        <f t="shared" si="480"/>
        <v>0</v>
      </c>
      <c r="P1952" s="578">
        <f t="shared" si="481"/>
        <v>0</v>
      </c>
      <c r="Q1952" s="765"/>
      <c r="R1952" s="723"/>
      <c r="S1952" s="723"/>
      <c r="T1952" s="577">
        <f t="shared" si="478"/>
        <v>0</v>
      </c>
      <c r="U1952" s="578">
        <f t="shared" si="479"/>
        <v>0</v>
      </c>
      <c r="V1952" s="579"/>
      <c r="W1952" s="566" t="str">
        <f>IF(U1949&gt;0,"xx",IF(P1949&gt;0,"xy",""))</f>
        <v/>
      </c>
      <c r="X1952" s="586" t="str">
        <f t="shared" si="461"/>
        <v/>
      </c>
      <c r="Y1952" s="586" t="str">
        <f t="shared" si="431"/>
        <v/>
      </c>
      <c r="Z1952" s="586" t="str">
        <f t="shared" si="488"/>
        <v/>
      </c>
    </row>
    <row r="1953" spans="1:26" ht="12" hidden="1" thickBot="1" x14ac:dyDescent="0.25">
      <c r="A1953" s="567">
        <v>620200</v>
      </c>
      <c r="B1953" s="644" t="s">
        <v>1666</v>
      </c>
      <c r="C1953" s="645" t="s">
        <v>206</v>
      </c>
      <c r="D1953" s="422" t="s">
        <v>362</v>
      </c>
      <c r="E1953" s="423"/>
      <c r="F1953" s="424"/>
      <c r="G1953" s="425"/>
      <c r="H1953" s="651">
        <f>SUM(H1954:H1956)</f>
        <v>518.42137400000001</v>
      </c>
      <c r="I1953" s="420">
        <v>1735.8033996841357</v>
      </c>
      <c r="J1953" s="420">
        <f>IF(ISBLANK(I1953),"",SUM(H1953:I1953))</f>
        <v>2254.2247736841355</v>
      </c>
      <c r="K1953" s="421">
        <f t="shared" si="477"/>
        <v>2678.24</v>
      </c>
      <c r="L1953" s="647" t="s">
        <v>21</v>
      </c>
      <c r="M1953" s="576"/>
      <c r="N1953" s="576">
        <f t="shared" si="487"/>
        <v>0</v>
      </c>
      <c r="O1953" s="577">
        <f t="shared" si="480"/>
        <v>0</v>
      </c>
      <c r="P1953" s="578">
        <f t="shared" si="481"/>
        <v>0</v>
      </c>
      <c r="Q1953" s="765"/>
      <c r="R1953" s="576">
        <f>M1953</f>
        <v>0</v>
      </c>
      <c r="S1953" s="576">
        <f>N1953</f>
        <v>0</v>
      </c>
      <c r="T1953" s="577">
        <f t="shared" si="478"/>
        <v>0</v>
      </c>
      <c r="U1953" s="578">
        <f t="shared" si="479"/>
        <v>0</v>
      </c>
      <c r="V1953" s="579"/>
      <c r="W1953" s="566"/>
      <c r="X1953" s="586" t="str">
        <f t="shared" si="461"/>
        <v/>
      </c>
      <c r="Y1953" s="586" t="str">
        <f t="shared" si="431"/>
        <v/>
      </c>
      <c r="Z1953" s="586" t="str">
        <f t="shared" si="488"/>
        <v/>
      </c>
    </row>
    <row r="1954" spans="1:26" ht="12" hidden="1" thickBot="1" x14ac:dyDescent="0.25">
      <c r="A1954" s="567" t="s">
        <v>168</v>
      </c>
      <c r="B1954" s="644" t="s">
        <v>168</v>
      </c>
      <c r="C1954" s="645"/>
      <c r="D1954" s="422" t="s">
        <v>212</v>
      </c>
      <c r="E1954" s="423"/>
      <c r="F1954" s="424">
        <v>500</v>
      </c>
      <c r="G1954" s="425">
        <v>0.4153</v>
      </c>
      <c r="H1954" s="649">
        <f>IF(F1954&lt;=30,(0.78*F1954+7.82)*G1954,((0.78*30+7.82)+0.78*(F1954-30))*G1954)</f>
        <v>165.21464600000002</v>
      </c>
      <c r="I1954" s="420">
        <v>0</v>
      </c>
      <c r="J1954" s="420"/>
      <c r="K1954" s="421">
        <f t="shared" si="477"/>
        <v>0</v>
      </c>
      <c r="L1954" s="647"/>
      <c r="M1954" s="723"/>
      <c r="N1954" s="576">
        <f t="shared" si="487"/>
        <v>0</v>
      </c>
      <c r="O1954" s="577">
        <f t="shared" si="480"/>
        <v>0</v>
      </c>
      <c r="P1954" s="578">
        <f t="shared" si="481"/>
        <v>0</v>
      </c>
      <c r="Q1954" s="765"/>
      <c r="R1954" s="723"/>
      <c r="S1954" s="723"/>
      <c r="T1954" s="577">
        <f t="shared" si="478"/>
        <v>0</v>
      </c>
      <c r="U1954" s="578">
        <f t="shared" si="479"/>
        <v>0</v>
      </c>
      <c r="V1954" s="579"/>
      <c r="W1954" s="566" t="str">
        <f>IF(U1953&gt;0,"xx",IF(P1953&gt;0,"xy",""))</f>
        <v/>
      </c>
      <c r="X1954" s="586" t="str">
        <f t="shared" si="461"/>
        <v/>
      </c>
      <c r="Y1954" s="586" t="str">
        <f t="shared" si="431"/>
        <v/>
      </c>
      <c r="Z1954" s="586" t="str">
        <f t="shared" si="488"/>
        <v/>
      </c>
    </row>
    <row r="1955" spans="1:26" ht="12" hidden="1" thickBot="1" x14ac:dyDescent="0.25">
      <c r="A1955" s="567" t="s">
        <v>168</v>
      </c>
      <c r="B1955" s="644" t="s">
        <v>168</v>
      </c>
      <c r="C1955" s="645"/>
      <c r="D1955" s="422" t="s">
        <v>248</v>
      </c>
      <c r="E1955" s="423"/>
      <c r="F1955" s="424">
        <v>180</v>
      </c>
      <c r="G1955" s="425">
        <v>1.4762999999999999</v>
      </c>
      <c r="H1955" s="663">
        <f t="shared" ref="H1955:H1956" si="492">IF(F1955&lt;=30,(1.07*F1955+2.68)*G1955,((1.07*30+2.68)+1.07*(F1955-30))*G1955)</f>
        <v>288.29186399999998</v>
      </c>
      <c r="I1955" s="420">
        <v>0</v>
      </c>
      <c r="J1955" s="420"/>
      <c r="K1955" s="421">
        <f t="shared" si="477"/>
        <v>0</v>
      </c>
      <c r="L1955" s="647"/>
      <c r="M1955" s="723"/>
      <c r="N1955" s="576">
        <f t="shared" si="487"/>
        <v>0</v>
      </c>
      <c r="O1955" s="577">
        <f t="shared" si="480"/>
        <v>0</v>
      </c>
      <c r="P1955" s="578">
        <f t="shared" si="481"/>
        <v>0</v>
      </c>
      <c r="Q1955" s="765"/>
      <c r="R1955" s="723"/>
      <c r="S1955" s="723"/>
      <c r="T1955" s="577">
        <f t="shared" si="478"/>
        <v>0</v>
      </c>
      <c r="U1955" s="578">
        <f t="shared" si="479"/>
        <v>0</v>
      </c>
      <c r="V1955" s="579"/>
      <c r="W1955" s="566" t="str">
        <f>IF(U1953&gt;0,"xx",IF(P1953&gt;0,"xy",""))</f>
        <v/>
      </c>
      <c r="X1955" s="586" t="str">
        <f t="shared" si="461"/>
        <v/>
      </c>
      <c r="Y1955" s="586" t="str">
        <f t="shared" si="431"/>
        <v/>
      </c>
      <c r="Z1955" s="586" t="str">
        <f t="shared" si="488"/>
        <v/>
      </c>
    </row>
    <row r="1956" spans="1:26" ht="12" hidden="1" thickBot="1" x14ac:dyDescent="0.25">
      <c r="A1956" s="567" t="s">
        <v>168</v>
      </c>
      <c r="B1956" s="644" t="s">
        <v>168</v>
      </c>
      <c r="C1956" s="645"/>
      <c r="D1956" s="422" t="s">
        <v>252</v>
      </c>
      <c r="E1956" s="423"/>
      <c r="F1956" s="424">
        <v>20</v>
      </c>
      <c r="G1956" s="425">
        <v>2.6958000000000002</v>
      </c>
      <c r="H1956" s="663">
        <f t="shared" si="492"/>
        <v>64.914864000000009</v>
      </c>
      <c r="I1956" s="420">
        <v>0</v>
      </c>
      <c r="J1956" s="420"/>
      <c r="K1956" s="421">
        <f t="shared" si="477"/>
        <v>0</v>
      </c>
      <c r="L1956" s="647"/>
      <c r="M1956" s="723"/>
      <c r="N1956" s="576">
        <f t="shared" si="487"/>
        <v>0</v>
      </c>
      <c r="O1956" s="577">
        <f t="shared" si="480"/>
        <v>0</v>
      </c>
      <c r="P1956" s="578">
        <f t="shared" si="481"/>
        <v>0</v>
      </c>
      <c r="Q1956" s="765"/>
      <c r="R1956" s="723"/>
      <c r="S1956" s="723"/>
      <c r="T1956" s="577">
        <f t="shared" si="478"/>
        <v>0</v>
      </c>
      <c r="U1956" s="578">
        <f t="shared" si="479"/>
        <v>0</v>
      </c>
      <c r="V1956" s="579"/>
      <c r="W1956" s="566" t="str">
        <f>IF(U1953&gt;0,"xx",IF(P1953&gt;0,"xy",""))</f>
        <v/>
      </c>
      <c r="X1956" s="586" t="str">
        <f t="shared" si="461"/>
        <v/>
      </c>
      <c r="Y1956" s="586" t="str">
        <f t="shared" si="431"/>
        <v/>
      </c>
      <c r="Z1956" s="586" t="str">
        <f t="shared" si="488"/>
        <v/>
      </c>
    </row>
    <row r="1957" spans="1:26" ht="12" hidden="1" thickBot="1" x14ac:dyDescent="0.25">
      <c r="A1957" s="567">
        <v>620700</v>
      </c>
      <c r="B1957" s="644">
        <v>620700</v>
      </c>
      <c r="C1957" s="645" t="s">
        <v>206</v>
      </c>
      <c r="D1957" s="422" t="s">
        <v>363</v>
      </c>
      <c r="E1957" s="423"/>
      <c r="F1957" s="424"/>
      <c r="G1957" s="425"/>
      <c r="H1957" s="651">
        <f>SUM(H1958:H1960)</f>
        <v>777.93530600000008</v>
      </c>
      <c r="I1957" s="420">
        <v>2474.02</v>
      </c>
      <c r="J1957" s="420">
        <f>IF(ISBLANK(I1957),"",SUM(H1957:I1957))</f>
        <v>3251.9553059999998</v>
      </c>
      <c r="K1957" s="421">
        <f t="shared" si="477"/>
        <v>3863.65</v>
      </c>
      <c r="L1957" s="647" t="s">
        <v>21</v>
      </c>
      <c r="M1957" s="576"/>
      <c r="N1957" s="576">
        <f t="shared" si="487"/>
        <v>0</v>
      </c>
      <c r="O1957" s="577">
        <f t="shared" si="480"/>
        <v>0</v>
      </c>
      <c r="P1957" s="578">
        <f t="shared" si="481"/>
        <v>0</v>
      </c>
      <c r="Q1957" s="765"/>
      <c r="R1957" s="576">
        <f>M1957</f>
        <v>0</v>
      </c>
      <c r="S1957" s="576">
        <f>N1957</f>
        <v>0</v>
      </c>
      <c r="T1957" s="577">
        <f t="shared" si="478"/>
        <v>0</v>
      </c>
      <c r="U1957" s="578">
        <f t="shared" si="479"/>
        <v>0</v>
      </c>
      <c r="V1957" s="579"/>
      <c r="W1957" s="566"/>
      <c r="X1957" s="586" t="str">
        <f t="shared" si="461"/>
        <v/>
      </c>
      <c r="Y1957" s="586" t="str">
        <f t="shared" si="431"/>
        <v/>
      </c>
      <c r="Z1957" s="586" t="str">
        <f t="shared" si="488"/>
        <v/>
      </c>
    </row>
    <row r="1958" spans="1:26" ht="12" hidden="1" thickBot="1" x14ac:dyDescent="0.25">
      <c r="A1958" s="567" t="s">
        <v>168</v>
      </c>
      <c r="B1958" s="644" t="s">
        <v>168</v>
      </c>
      <c r="C1958" s="645"/>
      <c r="D1958" s="422" t="s">
        <v>212</v>
      </c>
      <c r="E1958" s="423"/>
      <c r="F1958" s="424">
        <v>500</v>
      </c>
      <c r="G1958" s="425" t="s">
        <v>97</v>
      </c>
      <c r="H1958" s="649">
        <f>IF(F1958&lt;=30,(0.78*F1958+7.82)*G1958,((0.78*30+7.82)+0.78*(F1958-30))*G1958)</f>
        <v>247.88164200000003</v>
      </c>
      <c r="I1958" s="420">
        <v>0</v>
      </c>
      <c r="J1958" s="420"/>
      <c r="K1958" s="421">
        <f t="shared" si="477"/>
        <v>0</v>
      </c>
      <c r="L1958" s="647"/>
      <c r="M1958" s="723"/>
      <c r="N1958" s="576">
        <f t="shared" si="487"/>
        <v>0</v>
      </c>
      <c r="O1958" s="577">
        <f t="shared" si="480"/>
        <v>0</v>
      </c>
      <c r="P1958" s="578">
        <f t="shared" si="481"/>
        <v>0</v>
      </c>
      <c r="Q1958" s="765"/>
      <c r="R1958" s="723"/>
      <c r="S1958" s="723"/>
      <c r="T1958" s="577">
        <f t="shared" si="478"/>
        <v>0</v>
      </c>
      <c r="U1958" s="578">
        <f t="shared" si="479"/>
        <v>0</v>
      </c>
      <c r="V1958" s="579"/>
      <c r="W1958" s="566" t="str">
        <f>IF(U1957&gt;0,"xx",IF(P1957&gt;0,"xy",""))</f>
        <v/>
      </c>
      <c r="X1958" s="586" t="str">
        <f t="shared" si="461"/>
        <v/>
      </c>
      <c r="Y1958" s="586" t="str">
        <f t="shared" si="431"/>
        <v/>
      </c>
      <c r="Z1958" s="586" t="str">
        <f t="shared" si="488"/>
        <v/>
      </c>
    </row>
    <row r="1959" spans="1:26" ht="12" hidden="1" thickBot="1" x14ac:dyDescent="0.25">
      <c r="A1959" s="567" t="s">
        <v>168</v>
      </c>
      <c r="B1959" s="644" t="s">
        <v>168</v>
      </c>
      <c r="C1959" s="645"/>
      <c r="D1959" s="422" t="s">
        <v>248</v>
      </c>
      <c r="E1959" s="423"/>
      <c r="F1959" s="424">
        <v>180</v>
      </c>
      <c r="G1959" s="425" t="s">
        <v>98</v>
      </c>
      <c r="H1959" s="663">
        <f t="shared" ref="H1959:H1960" si="493">IF(F1959&lt;=30,(1.07*F1959+2.68)*G1959,((1.07*30+2.68)+1.07*(F1959-30))*G1959)</f>
        <v>432.64284000000004</v>
      </c>
      <c r="I1959" s="420">
        <v>0</v>
      </c>
      <c r="J1959" s="420"/>
      <c r="K1959" s="421">
        <f t="shared" si="477"/>
        <v>0</v>
      </c>
      <c r="L1959" s="647"/>
      <c r="M1959" s="723"/>
      <c r="N1959" s="576">
        <f t="shared" si="487"/>
        <v>0</v>
      </c>
      <c r="O1959" s="577">
        <f t="shared" si="480"/>
        <v>0</v>
      </c>
      <c r="P1959" s="578">
        <f t="shared" si="481"/>
        <v>0</v>
      </c>
      <c r="Q1959" s="765"/>
      <c r="R1959" s="723"/>
      <c r="S1959" s="723"/>
      <c r="T1959" s="577">
        <f t="shared" si="478"/>
        <v>0</v>
      </c>
      <c r="U1959" s="578">
        <f t="shared" si="479"/>
        <v>0</v>
      </c>
      <c r="V1959" s="579"/>
      <c r="W1959" s="566" t="str">
        <f>IF(U1957&gt;0,"xx",IF(P1957&gt;0,"xy",""))</f>
        <v/>
      </c>
      <c r="X1959" s="586" t="str">
        <f t="shared" si="461"/>
        <v/>
      </c>
      <c r="Y1959" s="586" t="str">
        <f t="shared" si="431"/>
        <v/>
      </c>
      <c r="Z1959" s="586" t="str">
        <f t="shared" si="488"/>
        <v/>
      </c>
    </row>
    <row r="1960" spans="1:26" ht="12" hidden="1" thickBot="1" x14ac:dyDescent="0.25">
      <c r="A1960" s="567" t="s">
        <v>168</v>
      </c>
      <c r="B1960" s="644" t="s">
        <v>168</v>
      </c>
      <c r="C1960" s="645"/>
      <c r="D1960" s="422" t="s">
        <v>252</v>
      </c>
      <c r="E1960" s="423"/>
      <c r="F1960" s="424">
        <v>20</v>
      </c>
      <c r="G1960" s="425">
        <v>4.0453000000000001</v>
      </c>
      <c r="H1960" s="663">
        <f t="shared" si="493"/>
        <v>97.410824000000005</v>
      </c>
      <c r="I1960" s="420">
        <v>0</v>
      </c>
      <c r="J1960" s="420"/>
      <c r="K1960" s="421">
        <f t="shared" si="477"/>
        <v>0</v>
      </c>
      <c r="L1960" s="647"/>
      <c r="M1960" s="723"/>
      <c r="N1960" s="576">
        <f t="shared" si="487"/>
        <v>0</v>
      </c>
      <c r="O1960" s="577">
        <f t="shared" si="480"/>
        <v>0</v>
      </c>
      <c r="P1960" s="578">
        <f t="shared" si="481"/>
        <v>0</v>
      </c>
      <c r="Q1960" s="765"/>
      <c r="R1960" s="723"/>
      <c r="S1960" s="723"/>
      <c r="T1960" s="577">
        <f t="shared" si="478"/>
        <v>0</v>
      </c>
      <c r="U1960" s="578">
        <f t="shared" si="479"/>
        <v>0</v>
      </c>
      <c r="V1960" s="579"/>
      <c r="W1960" s="566" t="str">
        <f>IF(U1957&gt;0,"xx",IF(P1957&gt;0,"xy",""))</f>
        <v/>
      </c>
      <c r="X1960" s="586" t="str">
        <f t="shared" si="461"/>
        <v/>
      </c>
      <c r="Y1960" s="586" t="str">
        <f t="shared" si="431"/>
        <v/>
      </c>
      <c r="Z1960" s="586" t="str">
        <f t="shared" si="488"/>
        <v/>
      </c>
    </row>
    <row r="1961" spans="1:26" ht="12" hidden="1" thickBot="1" x14ac:dyDescent="0.25">
      <c r="A1961" s="567">
        <v>620800</v>
      </c>
      <c r="B1961" s="644">
        <v>620800</v>
      </c>
      <c r="C1961" s="645" t="s">
        <v>206</v>
      </c>
      <c r="D1961" s="422" t="s">
        <v>364</v>
      </c>
      <c r="E1961" s="423"/>
      <c r="F1961" s="424"/>
      <c r="G1961" s="425"/>
      <c r="H1961" s="651">
        <f>SUM(H1962:H1964)</f>
        <v>1022.8832060000001</v>
      </c>
      <c r="I1961" s="420">
        <v>3147.76</v>
      </c>
      <c r="J1961" s="420">
        <f>IF(ISBLANK(I1961),"",SUM(H1961:I1961))</f>
        <v>4170.6432060000006</v>
      </c>
      <c r="K1961" s="421">
        <f t="shared" si="477"/>
        <v>4955.1400000000003</v>
      </c>
      <c r="L1961" s="647" t="s">
        <v>21</v>
      </c>
      <c r="M1961" s="576"/>
      <c r="N1961" s="576">
        <f t="shared" si="487"/>
        <v>0</v>
      </c>
      <c r="O1961" s="577">
        <f t="shared" si="480"/>
        <v>0</v>
      </c>
      <c r="P1961" s="578">
        <f t="shared" si="481"/>
        <v>0</v>
      </c>
      <c r="Q1961" s="765"/>
      <c r="R1961" s="576">
        <f>M1961</f>
        <v>0</v>
      </c>
      <c r="S1961" s="576">
        <f>N1961</f>
        <v>0</v>
      </c>
      <c r="T1961" s="577">
        <f t="shared" si="478"/>
        <v>0</v>
      </c>
      <c r="U1961" s="578">
        <f t="shared" si="479"/>
        <v>0</v>
      </c>
      <c r="V1961" s="579"/>
      <c r="W1961" s="566"/>
      <c r="X1961" s="586" t="str">
        <f t="shared" si="461"/>
        <v/>
      </c>
      <c r="Y1961" s="586" t="str">
        <f t="shared" si="431"/>
        <v/>
      </c>
      <c r="Z1961" s="586" t="str">
        <f t="shared" si="488"/>
        <v/>
      </c>
    </row>
    <row r="1962" spans="1:26" ht="12" hidden="1" thickBot="1" x14ac:dyDescent="0.25">
      <c r="A1962" s="567" t="s">
        <v>168</v>
      </c>
      <c r="B1962" s="644" t="s">
        <v>168</v>
      </c>
      <c r="C1962" s="645"/>
      <c r="D1962" s="422" t="s">
        <v>212</v>
      </c>
      <c r="E1962" s="423"/>
      <c r="F1962" s="424">
        <v>500</v>
      </c>
      <c r="G1962" s="425">
        <v>0.81930000000000003</v>
      </c>
      <c r="H1962" s="649">
        <f>IF(F1962&lt;=30,(0.78*F1962+7.82)*G1962,((0.78*30+7.82)+0.78*(F1962-30))*G1962)</f>
        <v>325.93392600000004</v>
      </c>
      <c r="I1962" s="420">
        <v>0</v>
      </c>
      <c r="J1962" s="420"/>
      <c r="K1962" s="421">
        <f t="shared" si="477"/>
        <v>0</v>
      </c>
      <c r="L1962" s="647"/>
      <c r="M1962" s="723"/>
      <c r="N1962" s="576">
        <f t="shared" si="487"/>
        <v>0</v>
      </c>
      <c r="O1962" s="577">
        <f t="shared" si="480"/>
        <v>0</v>
      </c>
      <c r="P1962" s="578">
        <f t="shared" si="481"/>
        <v>0</v>
      </c>
      <c r="Q1962" s="765"/>
      <c r="R1962" s="723"/>
      <c r="S1962" s="723"/>
      <c r="T1962" s="577">
        <f t="shared" si="478"/>
        <v>0</v>
      </c>
      <c r="U1962" s="578">
        <f t="shared" si="479"/>
        <v>0</v>
      </c>
      <c r="V1962" s="579"/>
      <c r="W1962" s="566" t="str">
        <f>IF(U1961&gt;0,"xx",IF(P1961&gt;0,"xy",""))</f>
        <v/>
      </c>
      <c r="X1962" s="586" t="str">
        <f t="shared" si="461"/>
        <v/>
      </c>
      <c r="Y1962" s="586" t="str">
        <f t="shared" si="431"/>
        <v/>
      </c>
      <c r="Z1962" s="586" t="str">
        <f t="shared" si="488"/>
        <v/>
      </c>
    </row>
    <row r="1963" spans="1:26" ht="12" hidden="1" thickBot="1" x14ac:dyDescent="0.25">
      <c r="A1963" s="567" t="s">
        <v>168</v>
      </c>
      <c r="B1963" s="644" t="s">
        <v>168</v>
      </c>
      <c r="C1963" s="645"/>
      <c r="D1963" s="422" t="s">
        <v>248</v>
      </c>
      <c r="E1963" s="423"/>
      <c r="F1963" s="424">
        <v>180</v>
      </c>
      <c r="G1963" s="425">
        <v>2.9131</v>
      </c>
      <c r="H1963" s="663">
        <f t="shared" ref="H1963:H1964" si="494">IF(F1963&lt;=30,(1.07*F1963+2.68)*G1963,((1.07*30+2.68)+1.07*(F1963-30))*G1963)</f>
        <v>568.87016800000004</v>
      </c>
      <c r="I1963" s="420">
        <v>0</v>
      </c>
      <c r="J1963" s="420"/>
      <c r="K1963" s="421">
        <f t="shared" si="477"/>
        <v>0</v>
      </c>
      <c r="L1963" s="647"/>
      <c r="M1963" s="723"/>
      <c r="N1963" s="576">
        <f t="shared" si="487"/>
        <v>0</v>
      </c>
      <c r="O1963" s="577">
        <f t="shared" si="480"/>
        <v>0</v>
      </c>
      <c r="P1963" s="578">
        <f t="shared" si="481"/>
        <v>0</v>
      </c>
      <c r="Q1963" s="765"/>
      <c r="R1963" s="723"/>
      <c r="S1963" s="723"/>
      <c r="T1963" s="577">
        <f t="shared" si="478"/>
        <v>0</v>
      </c>
      <c r="U1963" s="578">
        <f t="shared" si="479"/>
        <v>0</v>
      </c>
      <c r="V1963" s="579"/>
      <c r="W1963" s="566" t="str">
        <f>IF(U1961&gt;0,"xx",IF(P1961&gt;0,"xy",""))</f>
        <v/>
      </c>
      <c r="X1963" s="586" t="str">
        <f t="shared" si="461"/>
        <v/>
      </c>
      <c r="Y1963" s="586" t="str">
        <f t="shared" si="431"/>
        <v/>
      </c>
      <c r="Z1963" s="586" t="str">
        <f t="shared" si="488"/>
        <v/>
      </c>
    </row>
    <row r="1964" spans="1:26" ht="12" hidden="1" thickBot="1" x14ac:dyDescent="0.25">
      <c r="A1964" s="567" t="s">
        <v>168</v>
      </c>
      <c r="B1964" s="644" t="s">
        <v>168</v>
      </c>
      <c r="C1964" s="645"/>
      <c r="D1964" s="422" t="s">
        <v>252</v>
      </c>
      <c r="E1964" s="423"/>
      <c r="F1964" s="424">
        <v>20</v>
      </c>
      <c r="G1964" s="425">
        <v>5.3189000000000002</v>
      </c>
      <c r="H1964" s="663">
        <f t="shared" si="494"/>
        <v>128.07911200000001</v>
      </c>
      <c r="I1964" s="420">
        <v>0</v>
      </c>
      <c r="J1964" s="420"/>
      <c r="K1964" s="421">
        <f t="shared" si="477"/>
        <v>0</v>
      </c>
      <c r="L1964" s="647"/>
      <c r="M1964" s="723"/>
      <c r="N1964" s="576">
        <f t="shared" si="487"/>
        <v>0</v>
      </c>
      <c r="O1964" s="577">
        <f t="shared" si="480"/>
        <v>0</v>
      </c>
      <c r="P1964" s="578">
        <f t="shared" si="481"/>
        <v>0</v>
      </c>
      <c r="Q1964" s="765"/>
      <c r="R1964" s="723"/>
      <c r="S1964" s="723"/>
      <c r="T1964" s="577">
        <f t="shared" si="478"/>
        <v>0</v>
      </c>
      <c r="U1964" s="578">
        <f t="shared" si="479"/>
        <v>0</v>
      </c>
      <c r="V1964" s="579"/>
      <c r="W1964" s="566" t="str">
        <f>IF(U1961&gt;0,"xx",IF(P1961&gt;0,"xy",""))</f>
        <v/>
      </c>
      <c r="X1964" s="586" t="str">
        <f t="shared" si="461"/>
        <v/>
      </c>
      <c r="Y1964" s="586" t="str">
        <f t="shared" si="431"/>
        <v/>
      </c>
      <c r="Z1964" s="586" t="str">
        <f t="shared" si="488"/>
        <v/>
      </c>
    </row>
    <row r="1965" spans="1:26" ht="12" hidden="1" thickBot="1" x14ac:dyDescent="0.25">
      <c r="A1965" s="567">
        <v>620900</v>
      </c>
      <c r="B1965" s="644">
        <v>620900</v>
      </c>
      <c r="C1965" s="645" t="s">
        <v>206</v>
      </c>
      <c r="D1965" s="422" t="s">
        <v>365</v>
      </c>
      <c r="E1965" s="423"/>
      <c r="F1965" s="424"/>
      <c r="G1965" s="425"/>
      <c r="H1965" s="651">
        <f>SUM(H1966:H1968)</f>
        <v>2010.6033520000003</v>
      </c>
      <c r="I1965" s="420">
        <v>5533.08</v>
      </c>
      <c r="J1965" s="420">
        <f>IF(ISBLANK(I1965),"",SUM(H1965:I1965))</f>
        <v>7543.683352</v>
      </c>
      <c r="K1965" s="421">
        <f t="shared" si="477"/>
        <v>8962.65</v>
      </c>
      <c r="L1965" s="647" t="s">
        <v>21</v>
      </c>
      <c r="M1965" s="576"/>
      <c r="N1965" s="576">
        <f t="shared" si="487"/>
        <v>0</v>
      </c>
      <c r="O1965" s="577">
        <f t="shared" si="480"/>
        <v>0</v>
      </c>
      <c r="P1965" s="578">
        <f t="shared" si="481"/>
        <v>0</v>
      </c>
      <c r="Q1965" s="765"/>
      <c r="R1965" s="576">
        <f>M1965</f>
        <v>0</v>
      </c>
      <c r="S1965" s="576">
        <f>N1965</f>
        <v>0</v>
      </c>
      <c r="T1965" s="577">
        <f t="shared" si="478"/>
        <v>0</v>
      </c>
      <c r="U1965" s="578">
        <f t="shared" si="479"/>
        <v>0</v>
      </c>
      <c r="V1965" s="579"/>
      <c r="W1965" s="566"/>
      <c r="X1965" s="586" t="str">
        <f t="shared" si="461"/>
        <v/>
      </c>
      <c r="Y1965" s="586" t="str">
        <f t="shared" si="431"/>
        <v/>
      </c>
      <c r="Z1965" s="586" t="str">
        <f t="shared" si="488"/>
        <v/>
      </c>
    </row>
    <row r="1966" spans="1:26" ht="12" hidden="1" thickBot="1" x14ac:dyDescent="0.25">
      <c r="A1966" s="567" t="s">
        <v>168</v>
      </c>
      <c r="B1966" s="644" t="s">
        <v>168</v>
      </c>
      <c r="C1966" s="645"/>
      <c r="D1966" s="422" t="s">
        <v>212</v>
      </c>
      <c r="E1966" s="423"/>
      <c r="F1966" s="424">
        <v>500</v>
      </c>
      <c r="G1966" s="425">
        <v>1.6104000000000001</v>
      </c>
      <c r="H1966" s="649">
        <f>IF(F1966&lt;=30,(0.78*F1966+7.82)*G1966,((0.78*30+7.82)+0.78*(F1966-30))*G1966)</f>
        <v>640.64932800000008</v>
      </c>
      <c r="I1966" s="420">
        <v>0</v>
      </c>
      <c r="J1966" s="420"/>
      <c r="K1966" s="421">
        <f t="shared" si="477"/>
        <v>0</v>
      </c>
      <c r="L1966" s="647"/>
      <c r="M1966" s="723"/>
      <c r="N1966" s="576">
        <f t="shared" si="487"/>
        <v>0</v>
      </c>
      <c r="O1966" s="577">
        <f t="shared" si="480"/>
        <v>0</v>
      </c>
      <c r="P1966" s="578">
        <f t="shared" si="481"/>
        <v>0</v>
      </c>
      <c r="Q1966" s="765"/>
      <c r="R1966" s="723"/>
      <c r="S1966" s="723"/>
      <c r="T1966" s="577">
        <f t="shared" si="478"/>
        <v>0</v>
      </c>
      <c r="U1966" s="578">
        <f t="shared" si="479"/>
        <v>0</v>
      </c>
      <c r="V1966" s="579"/>
      <c r="W1966" s="566" t="str">
        <f>IF(U1965&gt;0,"xx",IF(P1965&gt;0,"xy",""))</f>
        <v/>
      </c>
      <c r="X1966" s="586" t="str">
        <f t="shared" si="461"/>
        <v/>
      </c>
      <c r="Y1966" s="586" t="str">
        <f t="shared" si="431"/>
        <v/>
      </c>
      <c r="Z1966" s="586" t="str">
        <f t="shared" si="488"/>
        <v/>
      </c>
    </row>
    <row r="1967" spans="1:26" ht="12" hidden="1" thickBot="1" x14ac:dyDescent="0.25">
      <c r="A1967" s="567" t="s">
        <v>168</v>
      </c>
      <c r="B1967" s="644" t="s">
        <v>168</v>
      </c>
      <c r="C1967" s="645"/>
      <c r="D1967" s="422" t="s">
        <v>248</v>
      </c>
      <c r="E1967" s="423"/>
      <c r="F1967" s="424">
        <v>180</v>
      </c>
      <c r="G1967" s="425">
        <v>5.7260999999999997</v>
      </c>
      <c r="H1967" s="663">
        <f t="shared" ref="H1967:H1968" si="495">IF(F1967&lt;=30,(1.07*F1967+2.68)*G1967,((1.07*30+2.68)+1.07*(F1967-30))*G1967)</f>
        <v>1118.192808</v>
      </c>
      <c r="I1967" s="420">
        <v>0</v>
      </c>
      <c r="J1967" s="420"/>
      <c r="K1967" s="421">
        <f t="shared" si="477"/>
        <v>0</v>
      </c>
      <c r="L1967" s="647"/>
      <c r="M1967" s="723"/>
      <c r="N1967" s="576">
        <f t="shared" si="487"/>
        <v>0</v>
      </c>
      <c r="O1967" s="577">
        <f t="shared" si="480"/>
        <v>0</v>
      </c>
      <c r="P1967" s="578">
        <f t="shared" si="481"/>
        <v>0</v>
      </c>
      <c r="Q1967" s="765"/>
      <c r="R1967" s="723"/>
      <c r="S1967" s="723"/>
      <c r="T1967" s="577">
        <f t="shared" si="478"/>
        <v>0</v>
      </c>
      <c r="U1967" s="578">
        <f t="shared" si="479"/>
        <v>0</v>
      </c>
      <c r="V1967" s="579"/>
      <c r="W1967" s="566" t="str">
        <f>IF(U1965&gt;0,"xx",IF(P1965&gt;0,"xy",""))</f>
        <v/>
      </c>
      <c r="X1967" s="586" t="str">
        <f t="shared" si="461"/>
        <v/>
      </c>
      <c r="Y1967" s="586" t="str">
        <f t="shared" si="431"/>
        <v/>
      </c>
      <c r="Z1967" s="586" t="str">
        <f t="shared" si="488"/>
        <v/>
      </c>
    </row>
    <row r="1968" spans="1:26" ht="12" hidden="1" thickBot="1" x14ac:dyDescent="0.25">
      <c r="A1968" s="567" t="s">
        <v>168</v>
      </c>
      <c r="B1968" s="644" t="s">
        <v>168</v>
      </c>
      <c r="C1968" s="645"/>
      <c r="D1968" s="422" t="s">
        <v>252</v>
      </c>
      <c r="E1968" s="423"/>
      <c r="F1968" s="424">
        <v>20</v>
      </c>
      <c r="G1968" s="425">
        <v>10.4552</v>
      </c>
      <c r="H1968" s="663">
        <f t="shared" si="495"/>
        <v>251.76121600000002</v>
      </c>
      <c r="I1968" s="420">
        <v>0</v>
      </c>
      <c r="J1968" s="420"/>
      <c r="K1968" s="421">
        <f t="shared" si="477"/>
        <v>0</v>
      </c>
      <c r="L1968" s="647"/>
      <c r="M1968" s="723"/>
      <c r="N1968" s="576">
        <f t="shared" si="487"/>
        <v>0</v>
      </c>
      <c r="O1968" s="577">
        <f t="shared" si="480"/>
        <v>0</v>
      </c>
      <c r="P1968" s="578">
        <f t="shared" si="481"/>
        <v>0</v>
      </c>
      <c r="Q1968" s="765"/>
      <c r="R1968" s="723"/>
      <c r="S1968" s="723"/>
      <c r="T1968" s="577">
        <f t="shared" si="478"/>
        <v>0</v>
      </c>
      <c r="U1968" s="578">
        <f t="shared" si="479"/>
        <v>0</v>
      </c>
      <c r="V1968" s="579"/>
      <c r="W1968" s="566" t="str">
        <f>IF(U1965&gt;0,"xx",IF(P1965&gt;0,"xy",""))</f>
        <v/>
      </c>
      <c r="X1968" s="586" t="str">
        <f t="shared" si="461"/>
        <v/>
      </c>
      <c r="Y1968" s="586" t="str">
        <f t="shared" si="431"/>
        <v/>
      </c>
      <c r="Z1968" s="586" t="str">
        <f t="shared" si="488"/>
        <v/>
      </c>
    </row>
    <row r="1969" spans="1:26" ht="12" hidden="1" thickBot="1" x14ac:dyDescent="0.25">
      <c r="A1969" s="567">
        <v>621000</v>
      </c>
      <c r="B1969" s="644">
        <v>621000</v>
      </c>
      <c r="C1969" s="645" t="s">
        <v>206</v>
      </c>
      <c r="D1969" s="422" t="s">
        <v>366</v>
      </c>
      <c r="E1969" s="423"/>
      <c r="F1969" s="424"/>
      <c r="G1969" s="425"/>
      <c r="H1969" s="651">
        <f>SUM(H1970:H1972)</f>
        <v>3846.6164920000001</v>
      </c>
      <c r="I1969" s="420">
        <v>9821.8000000000011</v>
      </c>
      <c r="J1969" s="420">
        <f>IF(ISBLANK(I1969),"",SUM(H1969:I1969))</f>
        <v>13668.416492</v>
      </c>
      <c r="K1969" s="421">
        <f t="shared" si="477"/>
        <v>16239.45</v>
      </c>
      <c r="L1969" s="647" t="s">
        <v>21</v>
      </c>
      <c r="M1969" s="576"/>
      <c r="N1969" s="576">
        <f t="shared" si="487"/>
        <v>0</v>
      </c>
      <c r="O1969" s="577">
        <f t="shared" si="480"/>
        <v>0</v>
      </c>
      <c r="P1969" s="578">
        <f t="shared" si="481"/>
        <v>0</v>
      </c>
      <c r="Q1969" s="765"/>
      <c r="R1969" s="576">
        <f>M1969</f>
        <v>0</v>
      </c>
      <c r="S1969" s="576">
        <f>N1969</f>
        <v>0</v>
      </c>
      <c r="T1969" s="577">
        <f t="shared" si="478"/>
        <v>0</v>
      </c>
      <c r="U1969" s="578">
        <f t="shared" si="479"/>
        <v>0</v>
      </c>
      <c r="V1969" s="579"/>
      <c r="W1969" s="566"/>
      <c r="X1969" s="586" t="str">
        <f t="shared" si="461"/>
        <v/>
      </c>
      <c r="Y1969" s="586" t="str">
        <f t="shared" si="431"/>
        <v/>
      </c>
      <c r="Z1969" s="586" t="str">
        <f t="shared" si="488"/>
        <v/>
      </c>
    </row>
    <row r="1970" spans="1:26" ht="12" hidden="1" thickBot="1" x14ac:dyDescent="0.25">
      <c r="A1970" s="567" t="s">
        <v>168</v>
      </c>
      <c r="B1970" s="644" t="s">
        <v>168</v>
      </c>
      <c r="C1970" s="645"/>
      <c r="D1970" s="422" t="s">
        <v>212</v>
      </c>
      <c r="E1970" s="423"/>
      <c r="F1970" s="424">
        <v>500</v>
      </c>
      <c r="G1970" s="425">
        <v>3.081</v>
      </c>
      <c r="H1970" s="649">
        <f>IF(F1970&lt;=30,(0.78*F1970+7.82)*G1970,((0.78*30+7.82)+0.78*(F1970-30))*G1970)</f>
        <v>1225.6834200000001</v>
      </c>
      <c r="I1970" s="420">
        <v>0</v>
      </c>
      <c r="J1970" s="420"/>
      <c r="K1970" s="421">
        <f t="shared" si="477"/>
        <v>0</v>
      </c>
      <c r="L1970" s="647"/>
      <c r="M1970" s="723"/>
      <c r="N1970" s="576">
        <f t="shared" si="487"/>
        <v>0</v>
      </c>
      <c r="O1970" s="577">
        <f t="shared" si="480"/>
        <v>0</v>
      </c>
      <c r="P1970" s="578">
        <f t="shared" si="481"/>
        <v>0</v>
      </c>
      <c r="Q1970" s="765"/>
      <c r="R1970" s="723"/>
      <c r="S1970" s="723"/>
      <c r="T1970" s="577">
        <f t="shared" si="478"/>
        <v>0</v>
      </c>
      <c r="U1970" s="578">
        <f t="shared" si="479"/>
        <v>0</v>
      </c>
      <c r="V1970" s="579"/>
      <c r="W1970" s="566" t="str">
        <f>IF(U1969&gt;0,"xx",IF(P1969&gt;0,"xy",""))</f>
        <v/>
      </c>
      <c r="X1970" s="586" t="str">
        <f t="shared" ref="X1970:X2038" si="496">IF(W1970="X","x",IF(W1970="xx","x",IF(W1970="xy","x",IF(W1970="y","x",IF(OR(P1970&gt;0,U1970&gt;0),"x","")))))</f>
        <v/>
      </c>
      <c r="Y1970" s="586" t="str">
        <f t="shared" si="431"/>
        <v/>
      </c>
      <c r="Z1970" s="586" t="str">
        <f t="shared" si="488"/>
        <v/>
      </c>
    </row>
    <row r="1971" spans="1:26" ht="12" hidden="1" thickBot="1" x14ac:dyDescent="0.25">
      <c r="A1971" s="567" t="s">
        <v>168</v>
      </c>
      <c r="B1971" s="644" t="s">
        <v>168</v>
      </c>
      <c r="C1971" s="645"/>
      <c r="D1971" s="422" t="s">
        <v>248</v>
      </c>
      <c r="E1971" s="423"/>
      <c r="F1971" s="424">
        <v>180</v>
      </c>
      <c r="G1971" s="425">
        <v>10.9549</v>
      </c>
      <c r="H1971" s="663">
        <f t="shared" ref="H1971:H1972" si="497">IF(F1971&lt;=30,(1.07*F1971+2.68)*G1971,((1.07*30+2.68)+1.07*(F1971-30))*G1971)</f>
        <v>2139.272872</v>
      </c>
      <c r="I1971" s="420">
        <v>0</v>
      </c>
      <c r="J1971" s="420"/>
      <c r="K1971" s="421">
        <f t="shared" si="477"/>
        <v>0</v>
      </c>
      <c r="L1971" s="647"/>
      <c r="M1971" s="723"/>
      <c r="N1971" s="576">
        <f t="shared" si="487"/>
        <v>0</v>
      </c>
      <c r="O1971" s="577">
        <f t="shared" si="480"/>
        <v>0</v>
      </c>
      <c r="P1971" s="578">
        <f t="shared" si="481"/>
        <v>0</v>
      </c>
      <c r="Q1971" s="765"/>
      <c r="R1971" s="723"/>
      <c r="S1971" s="723"/>
      <c r="T1971" s="577">
        <f t="shared" si="478"/>
        <v>0</v>
      </c>
      <c r="U1971" s="578">
        <f t="shared" si="479"/>
        <v>0</v>
      </c>
      <c r="V1971" s="579"/>
      <c r="W1971" s="566" t="str">
        <f>IF(U1969&gt;0,"xx",IF(P1969&gt;0,"xy",""))</f>
        <v/>
      </c>
      <c r="X1971" s="586" t="str">
        <f t="shared" si="496"/>
        <v/>
      </c>
      <c r="Y1971" s="586" t="str">
        <f t="shared" si="431"/>
        <v/>
      </c>
      <c r="Z1971" s="586" t="str">
        <f t="shared" si="488"/>
        <v/>
      </c>
    </row>
    <row r="1972" spans="1:26" ht="12" hidden="1" thickBot="1" x14ac:dyDescent="0.25">
      <c r="A1972" s="567" t="s">
        <v>168</v>
      </c>
      <c r="B1972" s="644" t="s">
        <v>168</v>
      </c>
      <c r="C1972" s="645"/>
      <c r="D1972" s="422" t="s">
        <v>252</v>
      </c>
      <c r="E1972" s="423"/>
      <c r="F1972" s="424">
        <v>20</v>
      </c>
      <c r="G1972" s="425">
        <v>20.002500000000001</v>
      </c>
      <c r="H1972" s="663">
        <f t="shared" si="497"/>
        <v>481.66020000000009</v>
      </c>
      <c r="I1972" s="420">
        <v>0</v>
      </c>
      <c r="J1972" s="420"/>
      <c r="K1972" s="421">
        <f t="shared" si="477"/>
        <v>0</v>
      </c>
      <c r="L1972" s="647"/>
      <c r="M1972" s="723"/>
      <c r="N1972" s="576">
        <f t="shared" si="487"/>
        <v>0</v>
      </c>
      <c r="O1972" s="577">
        <f t="shared" si="480"/>
        <v>0</v>
      </c>
      <c r="P1972" s="578">
        <f t="shared" si="481"/>
        <v>0</v>
      </c>
      <c r="Q1972" s="765"/>
      <c r="R1972" s="723"/>
      <c r="S1972" s="723"/>
      <c r="T1972" s="577">
        <f t="shared" si="478"/>
        <v>0</v>
      </c>
      <c r="U1972" s="578">
        <f t="shared" si="479"/>
        <v>0</v>
      </c>
      <c r="V1972" s="579"/>
      <c r="W1972" s="566" t="str">
        <f>IF(U1969&gt;0,"xx",IF(P1969&gt;0,"xy",""))</f>
        <v/>
      </c>
      <c r="X1972" s="586" t="str">
        <f t="shared" si="496"/>
        <v/>
      </c>
      <c r="Y1972" s="586" t="str">
        <f t="shared" si="431"/>
        <v/>
      </c>
      <c r="Z1972" s="586" t="str">
        <f t="shared" si="488"/>
        <v/>
      </c>
    </row>
    <row r="1973" spans="1:26" ht="12" hidden="1" thickBot="1" x14ac:dyDescent="0.25">
      <c r="A1973" s="567">
        <v>620100</v>
      </c>
      <c r="B1973" s="644" t="s">
        <v>1664</v>
      </c>
      <c r="C1973" s="645" t="s">
        <v>206</v>
      </c>
      <c r="D1973" s="422" t="s">
        <v>367</v>
      </c>
      <c r="E1973" s="423"/>
      <c r="F1973" s="424"/>
      <c r="G1973" s="425"/>
      <c r="H1973" s="651">
        <f>SUM(H1974:H1976)</f>
        <v>468.02189600000008</v>
      </c>
      <c r="I1973" s="420">
        <v>1587.9896375507797</v>
      </c>
      <c r="J1973" s="420">
        <f>IF(ISBLANK(I1973),"",SUM(H1973:I1973))</f>
        <v>2056.0115335507799</v>
      </c>
      <c r="K1973" s="421">
        <f t="shared" si="477"/>
        <v>2442.75</v>
      </c>
      <c r="L1973" s="647" t="s">
        <v>21</v>
      </c>
      <c r="M1973" s="576"/>
      <c r="N1973" s="576">
        <f t="shared" si="487"/>
        <v>0</v>
      </c>
      <c r="O1973" s="577">
        <f t="shared" si="480"/>
        <v>0</v>
      </c>
      <c r="P1973" s="578">
        <f t="shared" si="481"/>
        <v>0</v>
      </c>
      <c r="Q1973" s="765"/>
      <c r="R1973" s="576">
        <f>M1973</f>
        <v>0</v>
      </c>
      <c r="S1973" s="576">
        <f>N1973</f>
        <v>0</v>
      </c>
      <c r="T1973" s="577">
        <f t="shared" si="478"/>
        <v>0</v>
      </c>
      <c r="U1973" s="578">
        <f t="shared" si="479"/>
        <v>0</v>
      </c>
      <c r="V1973" s="579"/>
      <c r="W1973" s="566"/>
      <c r="X1973" s="586" t="str">
        <f t="shared" si="496"/>
        <v/>
      </c>
      <c r="Y1973" s="586" t="str">
        <f t="shared" si="431"/>
        <v/>
      </c>
      <c r="Z1973" s="586" t="str">
        <f t="shared" si="488"/>
        <v/>
      </c>
    </row>
    <row r="1974" spans="1:26" ht="12" hidden="1" thickBot="1" x14ac:dyDescent="0.25">
      <c r="A1974" s="567" t="s">
        <v>168</v>
      </c>
      <c r="B1974" s="644" t="s">
        <v>168</v>
      </c>
      <c r="C1974" s="645"/>
      <c r="D1974" s="422" t="s">
        <v>212</v>
      </c>
      <c r="E1974" s="423"/>
      <c r="F1974" s="424">
        <v>500</v>
      </c>
      <c r="G1974" s="425">
        <v>0.37480000000000002</v>
      </c>
      <c r="H1974" s="649">
        <f>IF(F1974&lt;=30,(0.78*F1974+7.82)*G1974,((0.78*30+7.82)+0.78*(F1974-30))*G1974)</f>
        <v>149.10293600000003</v>
      </c>
      <c r="I1974" s="420">
        <v>0</v>
      </c>
      <c r="J1974" s="420"/>
      <c r="K1974" s="421">
        <f t="shared" si="477"/>
        <v>0</v>
      </c>
      <c r="L1974" s="647"/>
      <c r="M1974" s="723"/>
      <c r="N1974" s="576">
        <f t="shared" si="487"/>
        <v>0</v>
      </c>
      <c r="O1974" s="577">
        <f t="shared" si="480"/>
        <v>0</v>
      </c>
      <c r="P1974" s="578">
        <f t="shared" si="481"/>
        <v>0</v>
      </c>
      <c r="Q1974" s="765"/>
      <c r="R1974" s="723"/>
      <c r="S1974" s="723"/>
      <c r="T1974" s="577">
        <f t="shared" si="478"/>
        <v>0</v>
      </c>
      <c r="U1974" s="578">
        <f t="shared" si="479"/>
        <v>0</v>
      </c>
      <c r="V1974" s="579"/>
      <c r="W1974" s="566" t="str">
        <f>IF(U1973&gt;0,"xx",IF(P1973&gt;0,"xy",""))</f>
        <v/>
      </c>
      <c r="X1974" s="586" t="str">
        <f t="shared" si="496"/>
        <v/>
      </c>
      <c r="Y1974" s="586" t="str">
        <f t="shared" si="431"/>
        <v/>
      </c>
      <c r="Z1974" s="586" t="str">
        <f t="shared" si="488"/>
        <v/>
      </c>
    </row>
    <row r="1975" spans="1:26" ht="12" hidden="1" thickBot="1" x14ac:dyDescent="0.25">
      <c r="A1975" s="567" t="s">
        <v>168</v>
      </c>
      <c r="B1975" s="644" t="s">
        <v>168</v>
      </c>
      <c r="C1975" s="645"/>
      <c r="D1975" s="422" t="s">
        <v>248</v>
      </c>
      <c r="E1975" s="423"/>
      <c r="F1975" s="424">
        <v>180</v>
      </c>
      <c r="G1975" s="425">
        <v>1.333</v>
      </c>
      <c r="H1975" s="663">
        <f t="shared" ref="H1975:H1976" si="498">IF(F1975&lt;=30,(1.07*F1975+2.68)*G1975,((1.07*30+2.68)+1.07*(F1975-30))*G1975)</f>
        <v>260.30824000000001</v>
      </c>
      <c r="I1975" s="420">
        <v>0</v>
      </c>
      <c r="J1975" s="420"/>
      <c r="K1975" s="421">
        <f t="shared" si="477"/>
        <v>0</v>
      </c>
      <c r="L1975" s="647"/>
      <c r="M1975" s="723"/>
      <c r="N1975" s="576">
        <f t="shared" si="487"/>
        <v>0</v>
      </c>
      <c r="O1975" s="577">
        <f t="shared" si="480"/>
        <v>0</v>
      </c>
      <c r="P1975" s="578">
        <f t="shared" si="481"/>
        <v>0</v>
      </c>
      <c r="Q1975" s="765"/>
      <c r="R1975" s="723"/>
      <c r="S1975" s="723"/>
      <c r="T1975" s="577">
        <f t="shared" si="478"/>
        <v>0</v>
      </c>
      <c r="U1975" s="578">
        <f t="shared" si="479"/>
        <v>0</v>
      </c>
      <c r="V1975" s="579"/>
      <c r="W1975" s="566" t="str">
        <f>IF(U1973&gt;0,"xx",IF(P1973&gt;0,"xy",""))</f>
        <v/>
      </c>
      <c r="X1975" s="586" t="str">
        <f t="shared" si="496"/>
        <v/>
      </c>
      <c r="Y1975" s="586" t="str">
        <f t="shared" si="431"/>
        <v/>
      </c>
      <c r="Z1975" s="586" t="str">
        <f t="shared" si="488"/>
        <v/>
      </c>
    </row>
    <row r="1976" spans="1:26" ht="12" hidden="1" thickBot="1" x14ac:dyDescent="0.25">
      <c r="A1976" s="567" t="s">
        <v>168</v>
      </c>
      <c r="B1976" s="644" t="s">
        <v>168</v>
      </c>
      <c r="C1976" s="645"/>
      <c r="D1976" s="422" t="s">
        <v>252</v>
      </c>
      <c r="E1976" s="423"/>
      <c r="F1976" s="424">
        <v>20</v>
      </c>
      <c r="G1976" s="425">
        <v>2.4340000000000002</v>
      </c>
      <c r="H1976" s="663">
        <f t="shared" si="498"/>
        <v>58.610720000000008</v>
      </c>
      <c r="I1976" s="420">
        <v>0</v>
      </c>
      <c r="J1976" s="420"/>
      <c r="K1976" s="421">
        <f t="shared" si="477"/>
        <v>0</v>
      </c>
      <c r="L1976" s="647"/>
      <c r="M1976" s="723"/>
      <c r="N1976" s="576">
        <f t="shared" si="487"/>
        <v>0</v>
      </c>
      <c r="O1976" s="577">
        <f t="shared" si="480"/>
        <v>0</v>
      </c>
      <c r="P1976" s="578">
        <f t="shared" si="481"/>
        <v>0</v>
      </c>
      <c r="Q1976" s="765"/>
      <c r="R1976" s="723"/>
      <c r="S1976" s="723"/>
      <c r="T1976" s="577">
        <f t="shared" si="478"/>
        <v>0</v>
      </c>
      <c r="U1976" s="578">
        <f t="shared" si="479"/>
        <v>0</v>
      </c>
      <c r="V1976" s="579"/>
      <c r="W1976" s="566" t="str">
        <f>IF(U1973&gt;0,"xx",IF(P1973&gt;0,"xy",""))</f>
        <v/>
      </c>
      <c r="X1976" s="586" t="str">
        <f t="shared" si="496"/>
        <v/>
      </c>
      <c r="Y1976" s="586" t="str">
        <f t="shared" si="431"/>
        <v/>
      </c>
      <c r="Z1976" s="586" t="str">
        <f t="shared" si="488"/>
        <v/>
      </c>
    </row>
    <row r="1977" spans="1:26" ht="12" hidden="1" thickBot="1" x14ac:dyDescent="0.25">
      <c r="A1977" s="567">
        <v>620200</v>
      </c>
      <c r="B1977" s="644" t="s">
        <v>1667</v>
      </c>
      <c r="C1977" s="645" t="s">
        <v>206</v>
      </c>
      <c r="D1977" s="422" t="s">
        <v>368</v>
      </c>
      <c r="E1977" s="423"/>
      <c r="F1977" s="424"/>
      <c r="G1977" s="425">
        <v>0</v>
      </c>
      <c r="H1977" s="651">
        <f>SUM(H1978:H1980)</f>
        <v>678.65092800000014</v>
      </c>
      <c r="I1977" s="420">
        <v>2216.3489884477904</v>
      </c>
      <c r="J1977" s="420">
        <f>IF(ISBLANK(I1977),"",SUM(H1977:I1977))</f>
        <v>2894.9999164477904</v>
      </c>
      <c r="K1977" s="421">
        <f t="shared" si="477"/>
        <v>3439.55</v>
      </c>
      <c r="L1977" s="647" t="s">
        <v>21</v>
      </c>
      <c r="M1977" s="576"/>
      <c r="N1977" s="576">
        <f t="shared" si="487"/>
        <v>0</v>
      </c>
      <c r="O1977" s="577">
        <f t="shared" si="480"/>
        <v>0</v>
      </c>
      <c r="P1977" s="578">
        <f t="shared" si="481"/>
        <v>0</v>
      </c>
      <c r="Q1977" s="765"/>
      <c r="R1977" s="576">
        <f>M1977</f>
        <v>0</v>
      </c>
      <c r="S1977" s="576">
        <f>N1977</f>
        <v>0</v>
      </c>
      <c r="T1977" s="577">
        <f t="shared" si="478"/>
        <v>0</v>
      </c>
      <c r="U1977" s="578">
        <f t="shared" si="479"/>
        <v>0</v>
      </c>
      <c r="V1977" s="579"/>
      <c r="W1977" s="566"/>
      <c r="X1977" s="586" t="str">
        <f t="shared" si="496"/>
        <v/>
      </c>
      <c r="Y1977" s="586" t="str">
        <f t="shared" si="431"/>
        <v/>
      </c>
      <c r="Z1977" s="586" t="str">
        <f t="shared" si="488"/>
        <v/>
      </c>
    </row>
    <row r="1978" spans="1:26" ht="12" hidden="1" thickBot="1" x14ac:dyDescent="0.25">
      <c r="A1978" s="567" t="s">
        <v>168</v>
      </c>
      <c r="B1978" s="644" t="s">
        <v>168</v>
      </c>
      <c r="C1978" s="645"/>
      <c r="D1978" s="422" t="s">
        <v>212</v>
      </c>
      <c r="E1978" s="423"/>
      <c r="F1978" s="424">
        <v>500</v>
      </c>
      <c r="G1978" s="425">
        <v>0.54359999999999997</v>
      </c>
      <c r="H1978" s="649">
        <f>IF(F1978&lt;=30,(0.78*F1978+7.82)*G1978,((0.78*30+7.82)+0.78*(F1978-30))*G1978)</f>
        <v>216.254952</v>
      </c>
      <c r="I1978" s="420">
        <v>0</v>
      </c>
      <c r="J1978" s="420"/>
      <c r="K1978" s="421">
        <f t="shared" si="477"/>
        <v>0</v>
      </c>
      <c r="L1978" s="647"/>
      <c r="M1978" s="723"/>
      <c r="N1978" s="576">
        <f t="shared" si="487"/>
        <v>0</v>
      </c>
      <c r="O1978" s="577">
        <f t="shared" si="480"/>
        <v>0</v>
      </c>
      <c r="P1978" s="578">
        <f t="shared" si="481"/>
        <v>0</v>
      </c>
      <c r="Q1978" s="765"/>
      <c r="R1978" s="723"/>
      <c r="S1978" s="723"/>
      <c r="T1978" s="577">
        <f t="shared" si="478"/>
        <v>0</v>
      </c>
      <c r="U1978" s="578">
        <f t="shared" si="479"/>
        <v>0</v>
      </c>
      <c r="V1978" s="579"/>
      <c r="W1978" s="566" t="str">
        <f>IF(U1977&gt;0,"xx",IF(P1977&gt;0,"xy",""))</f>
        <v/>
      </c>
      <c r="X1978" s="586" t="str">
        <f t="shared" si="496"/>
        <v/>
      </c>
      <c r="Y1978" s="586" t="str">
        <f t="shared" si="431"/>
        <v/>
      </c>
      <c r="Z1978" s="586" t="str">
        <f t="shared" si="488"/>
        <v/>
      </c>
    </row>
    <row r="1979" spans="1:26" ht="12" hidden="1" thickBot="1" x14ac:dyDescent="0.25">
      <c r="A1979" s="567" t="s">
        <v>168</v>
      </c>
      <c r="B1979" s="644" t="s">
        <v>168</v>
      </c>
      <c r="C1979" s="645"/>
      <c r="D1979" s="422" t="s">
        <v>248</v>
      </c>
      <c r="E1979" s="423"/>
      <c r="F1979" s="424">
        <v>180</v>
      </c>
      <c r="G1979" s="425">
        <v>1.9327000000000001</v>
      </c>
      <c r="H1979" s="663">
        <f t="shared" ref="H1979:H1980" si="499">IF(F1979&lt;=30,(1.07*F1979+2.68)*G1979,((1.07*30+2.68)+1.07*(F1979-30))*G1979)</f>
        <v>377.41765600000002</v>
      </c>
      <c r="I1979" s="420">
        <v>0</v>
      </c>
      <c r="J1979" s="420"/>
      <c r="K1979" s="421">
        <f t="shared" si="477"/>
        <v>0</v>
      </c>
      <c r="L1979" s="647"/>
      <c r="M1979" s="723"/>
      <c r="N1979" s="576">
        <f t="shared" si="487"/>
        <v>0</v>
      </c>
      <c r="O1979" s="577">
        <f t="shared" si="480"/>
        <v>0</v>
      </c>
      <c r="P1979" s="578">
        <f t="shared" si="481"/>
        <v>0</v>
      </c>
      <c r="Q1979" s="765"/>
      <c r="R1979" s="723"/>
      <c r="S1979" s="723"/>
      <c r="T1979" s="577">
        <f t="shared" si="478"/>
        <v>0</v>
      </c>
      <c r="U1979" s="578">
        <f t="shared" si="479"/>
        <v>0</v>
      </c>
      <c r="V1979" s="579"/>
      <c r="W1979" s="566" t="str">
        <f>IF(U1977&gt;0,"xx",IF(P1977&gt;0,"xy",""))</f>
        <v/>
      </c>
      <c r="X1979" s="586" t="str">
        <f t="shared" si="496"/>
        <v/>
      </c>
      <c r="Y1979" s="586" t="str">
        <f t="shared" si="431"/>
        <v/>
      </c>
      <c r="Z1979" s="586" t="str">
        <f t="shared" si="488"/>
        <v/>
      </c>
    </row>
    <row r="1980" spans="1:26" ht="12" hidden="1" thickBot="1" x14ac:dyDescent="0.25">
      <c r="A1980" s="567" t="s">
        <v>168</v>
      </c>
      <c r="B1980" s="644" t="s">
        <v>168</v>
      </c>
      <c r="C1980" s="645"/>
      <c r="D1980" s="422" t="s">
        <v>252</v>
      </c>
      <c r="E1980" s="423"/>
      <c r="F1980" s="424">
        <v>20</v>
      </c>
      <c r="G1980" s="425">
        <v>3.5289999999999999</v>
      </c>
      <c r="H1980" s="663">
        <f t="shared" si="499"/>
        <v>84.978320000000011</v>
      </c>
      <c r="I1980" s="420">
        <v>0</v>
      </c>
      <c r="J1980" s="420"/>
      <c r="K1980" s="421">
        <f t="shared" si="477"/>
        <v>0</v>
      </c>
      <c r="L1980" s="647"/>
      <c r="M1980" s="723"/>
      <c r="N1980" s="576">
        <f t="shared" si="487"/>
        <v>0</v>
      </c>
      <c r="O1980" s="577">
        <f t="shared" si="480"/>
        <v>0</v>
      </c>
      <c r="P1980" s="578">
        <f t="shared" si="481"/>
        <v>0</v>
      </c>
      <c r="Q1980" s="765"/>
      <c r="R1980" s="723"/>
      <c r="S1980" s="723"/>
      <c r="T1980" s="577">
        <f t="shared" si="478"/>
        <v>0</v>
      </c>
      <c r="U1980" s="578">
        <f t="shared" si="479"/>
        <v>0</v>
      </c>
      <c r="V1980" s="579"/>
      <c r="W1980" s="566" t="str">
        <f>IF(U1977&gt;0,"xx",IF(P1977&gt;0,"xy",""))</f>
        <v/>
      </c>
      <c r="X1980" s="586" t="str">
        <f t="shared" si="496"/>
        <v/>
      </c>
      <c r="Y1980" s="586" t="str">
        <f t="shared" si="431"/>
        <v/>
      </c>
      <c r="Z1980" s="586" t="str">
        <f t="shared" si="488"/>
        <v/>
      </c>
    </row>
    <row r="1981" spans="1:26" ht="12" hidden="1" thickBot="1" x14ac:dyDescent="0.25">
      <c r="A1981" s="567">
        <v>621100</v>
      </c>
      <c r="B1981" s="644">
        <v>621100</v>
      </c>
      <c r="C1981" s="645" t="s">
        <v>206</v>
      </c>
      <c r="D1981" s="422" t="s">
        <v>369</v>
      </c>
      <c r="E1981" s="423"/>
      <c r="F1981" s="424"/>
      <c r="G1981" s="425"/>
      <c r="H1981" s="651">
        <f>SUM(H1982:H1984)</f>
        <v>1018.392814</v>
      </c>
      <c r="I1981" s="420">
        <v>3160.98</v>
      </c>
      <c r="J1981" s="420">
        <f>IF(ISBLANK(I1981),"",SUM(H1981:I1981))</f>
        <v>4179.3728140000003</v>
      </c>
      <c r="K1981" s="421">
        <f t="shared" si="477"/>
        <v>4965.51</v>
      </c>
      <c r="L1981" s="647" t="s">
        <v>21</v>
      </c>
      <c r="M1981" s="576"/>
      <c r="N1981" s="576">
        <f t="shared" si="487"/>
        <v>0</v>
      </c>
      <c r="O1981" s="577">
        <f t="shared" si="480"/>
        <v>0</v>
      </c>
      <c r="P1981" s="578">
        <f t="shared" si="481"/>
        <v>0</v>
      </c>
      <c r="Q1981" s="765"/>
      <c r="R1981" s="576">
        <f>M1981</f>
        <v>0</v>
      </c>
      <c r="S1981" s="576">
        <f>N1981</f>
        <v>0</v>
      </c>
      <c r="T1981" s="577">
        <f t="shared" si="478"/>
        <v>0</v>
      </c>
      <c r="U1981" s="578">
        <f t="shared" si="479"/>
        <v>0</v>
      </c>
      <c r="V1981" s="579"/>
      <c r="W1981" s="566"/>
      <c r="X1981" s="586" t="str">
        <f t="shared" si="496"/>
        <v/>
      </c>
      <c r="Y1981" s="586" t="str">
        <f t="shared" si="431"/>
        <v/>
      </c>
      <c r="Z1981" s="586" t="str">
        <f t="shared" si="488"/>
        <v/>
      </c>
    </row>
    <row r="1982" spans="1:26" ht="12" hidden="1" thickBot="1" x14ac:dyDescent="0.25">
      <c r="A1982" s="567" t="s">
        <v>168</v>
      </c>
      <c r="B1982" s="644" t="s">
        <v>168</v>
      </c>
      <c r="C1982" s="645"/>
      <c r="D1982" s="422" t="s">
        <v>212</v>
      </c>
      <c r="E1982" s="423"/>
      <c r="F1982" s="424">
        <v>500</v>
      </c>
      <c r="G1982" s="425">
        <v>0.81569999999999998</v>
      </c>
      <c r="H1982" s="649">
        <f>IF(F1982&lt;=30,(0.78*F1982+7.82)*G1982,((0.78*30+7.82)+0.78*(F1982-30))*G1982)</f>
        <v>324.50177400000001</v>
      </c>
      <c r="I1982" s="420">
        <v>0</v>
      </c>
      <c r="J1982" s="420"/>
      <c r="K1982" s="421">
        <f t="shared" si="477"/>
        <v>0</v>
      </c>
      <c r="L1982" s="647"/>
      <c r="M1982" s="723"/>
      <c r="N1982" s="576">
        <f t="shared" si="487"/>
        <v>0</v>
      </c>
      <c r="O1982" s="577">
        <f t="shared" si="480"/>
        <v>0</v>
      </c>
      <c r="P1982" s="578">
        <f t="shared" si="481"/>
        <v>0</v>
      </c>
      <c r="Q1982" s="765"/>
      <c r="R1982" s="723"/>
      <c r="S1982" s="723"/>
      <c r="T1982" s="577">
        <f t="shared" si="478"/>
        <v>0</v>
      </c>
      <c r="U1982" s="578">
        <f t="shared" si="479"/>
        <v>0</v>
      </c>
      <c r="V1982" s="579"/>
      <c r="W1982" s="566" t="str">
        <f>IF(U1981&gt;0,"xx",IF(P1981&gt;0,"xy",""))</f>
        <v/>
      </c>
      <c r="X1982" s="586" t="str">
        <f t="shared" si="496"/>
        <v/>
      </c>
      <c r="Y1982" s="586" t="str">
        <f t="shared" si="431"/>
        <v/>
      </c>
      <c r="Z1982" s="586" t="str">
        <f t="shared" si="488"/>
        <v/>
      </c>
    </row>
    <row r="1983" spans="1:26" ht="12" hidden="1" thickBot="1" x14ac:dyDescent="0.25">
      <c r="A1983" s="567" t="s">
        <v>168</v>
      </c>
      <c r="B1983" s="644" t="s">
        <v>168</v>
      </c>
      <c r="C1983" s="645"/>
      <c r="D1983" s="422" t="s">
        <v>248</v>
      </c>
      <c r="E1983" s="423"/>
      <c r="F1983" s="424">
        <v>180</v>
      </c>
      <c r="G1983" s="425">
        <v>2.9003000000000001</v>
      </c>
      <c r="H1983" s="663">
        <f t="shared" ref="H1983:H1984" si="500">IF(F1983&lt;=30,(1.07*F1983+2.68)*G1983,((1.07*30+2.68)+1.07*(F1983-30))*G1983)</f>
        <v>566.37058400000001</v>
      </c>
      <c r="I1983" s="420">
        <v>0</v>
      </c>
      <c r="J1983" s="420"/>
      <c r="K1983" s="421">
        <f t="shared" si="477"/>
        <v>0</v>
      </c>
      <c r="L1983" s="647"/>
      <c r="M1983" s="723"/>
      <c r="N1983" s="576">
        <f t="shared" si="487"/>
        <v>0</v>
      </c>
      <c r="O1983" s="577">
        <f t="shared" si="480"/>
        <v>0</v>
      </c>
      <c r="P1983" s="578">
        <f t="shared" si="481"/>
        <v>0</v>
      </c>
      <c r="Q1983" s="765"/>
      <c r="R1983" s="723"/>
      <c r="S1983" s="723"/>
      <c r="T1983" s="577">
        <f t="shared" si="478"/>
        <v>0</v>
      </c>
      <c r="U1983" s="578">
        <f t="shared" si="479"/>
        <v>0</v>
      </c>
      <c r="V1983" s="579"/>
      <c r="W1983" s="566" t="str">
        <f>IF(U1981&gt;0,"xx",IF(P1981&gt;0,"xy",""))</f>
        <v/>
      </c>
      <c r="X1983" s="586" t="str">
        <f t="shared" si="496"/>
        <v/>
      </c>
      <c r="Y1983" s="586" t="str">
        <f t="shared" si="431"/>
        <v/>
      </c>
      <c r="Z1983" s="586" t="str">
        <f t="shared" si="488"/>
        <v/>
      </c>
    </row>
    <row r="1984" spans="1:26" ht="12" hidden="1" thickBot="1" x14ac:dyDescent="0.25">
      <c r="A1984" s="567" t="s">
        <v>168</v>
      </c>
      <c r="B1984" s="644" t="s">
        <v>168</v>
      </c>
      <c r="C1984" s="645"/>
      <c r="D1984" s="422" t="s">
        <v>252</v>
      </c>
      <c r="E1984" s="423"/>
      <c r="F1984" s="424">
        <v>20</v>
      </c>
      <c r="G1984" s="425">
        <v>5.2957000000000001</v>
      </c>
      <c r="H1984" s="663">
        <f t="shared" si="500"/>
        <v>127.52045600000001</v>
      </c>
      <c r="I1984" s="420">
        <v>0</v>
      </c>
      <c r="J1984" s="420"/>
      <c r="K1984" s="421">
        <f t="shared" ref="K1984:K2047" si="501">IF(ISBLANK(I1984),0,ROUND(J1984*(1+$F$10)*(1+$F$11*E1984),2))</f>
        <v>0</v>
      </c>
      <c r="L1984" s="647"/>
      <c r="M1984" s="723"/>
      <c r="N1984" s="576">
        <f t="shared" si="487"/>
        <v>0</v>
      </c>
      <c r="O1984" s="577">
        <f t="shared" si="480"/>
        <v>0</v>
      </c>
      <c r="P1984" s="578">
        <f t="shared" si="481"/>
        <v>0</v>
      </c>
      <c r="Q1984" s="765"/>
      <c r="R1984" s="723"/>
      <c r="S1984" s="723"/>
      <c r="T1984" s="577">
        <f t="shared" ref="T1984:T2047" si="502">IF(ISBLANK(R1984),0,ROUND(K1984*R1984,2))</f>
        <v>0</v>
      </c>
      <c r="U1984" s="578">
        <f t="shared" ref="U1984:U2047" si="503">IF(ISBLANK(R1984),0,ROUND(R1984*S1984,2))</f>
        <v>0</v>
      </c>
      <c r="V1984" s="579"/>
      <c r="W1984" s="566" t="str">
        <f>IF(U1981&gt;0,"xx",IF(P1981&gt;0,"xy",""))</f>
        <v/>
      </c>
      <c r="X1984" s="586" t="str">
        <f t="shared" si="496"/>
        <v/>
      </c>
      <c r="Y1984" s="586" t="str">
        <f t="shared" si="431"/>
        <v/>
      </c>
      <c r="Z1984" s="586" t="str">
        <f t="shared" si="488"/>
        <v/>
      </c>
    </row>
    <row r="1985" spans="1:26" ht="12" hidden="1" thickBot="1" x14ac:dyDescent="0.25">
      <c r="A1985" s="567">
        <v>621200</v>
      </c>
      <c r="B1985" s="644">
        <v>621200</v>
      </c>
      <c r="C1985" s="645" t="s">
        <v>206</v>
      </c>
      <c r="D1985" s="422" t="s">
        <v>370</v>
      </c>
      <c r="E1985" s="423"/>
      <c r="F1985" s="424"/>
      <c r="G1985" s="425"/>
      <c r="H1985" s="651">
        <f>SUM(H1986:H1988)</f>
        <v>1320.1778119999999</v>
      </c>
      <c r="I1985" s="420">
        <v>4005.68</v>
      </c>
      <c r="J1985" s="420">
        <f>IF(ISBLANK(I1985),"",SUM(H1985:I1985))</f>
        <v>5325.8578120000002</v>
      </c>
      <c r="K1985" s="421">
        <f t="shared" si="501"/>
        <v>6327.65</v>
      </c>
      <c r="L1985" s="647" t="s">
        <v>21</v>
      </c>
      <c r="M1985" s="576"/>
      <c r="N1985" s="576">
        <f t="shared" si="487"/>
        <v>0</v>
      </c>
      <c r="O1985" s="577">
        <f t="shared" ref="O1985:O2048" si="504">IF(ISBLANK(M1985),0,ROUND(K1985*M1985,2))</f>
        <v>0</v>
      </c>
      <c r="P1985" s="578">
        <f t="shared" ref="P1985:P2048" si="505">IF(ISBLANK(N1985),0,ROUND(M1985*N1985,2))</f>
        <v>0</v>
      </c>
      <c r="Q1985" s="765"/>
      <c r="R1985" s="576">
        <f>M1985</f>
        <v>0</v>
      </c>
      <c r="S1985" s="576">
        <f>N1985</f>
        <v>0</v>
      </c>
      <c r="T1985" s="577">
        <f t="shared" si="502"/>
        <v>0</v>
      </c>
      <c r="U1985" s="578">
        <f t="shared" si="503"/>
        <v>0</v>
      </c>
      <c r="V1985" s="579"/>
      <c r="W1985" s="566"/>
      <c r="X1985" s="586" t="str">
        <f t="shared" si="496"/>
        <v/>
      </c>
      <c r="Y1985" s="586" t="str">
        <f t="shared" si="431"/>
        <v/>
      </c>
      <c r="Z1985" s="586" t="str">
        <f t="shared" si="488"/>
        <v/>
      </c>
    </row>
    <row r="1986" spans="1:26" ht="12" hidden="1" thickBot="1" x14ac:dyDescent="0.25">
      <c r="A1986" s="567" t="s">
        <v>168</v>
      </c>
      <c r="B1986" s="644" t="s">
        <v>168</v>
      </c>
      <c r="C1986" s="645"/>
      <c r="D1986" s="422" t="s">
        <v>212</v>
      </c>
      <c r="E1986" s="423"/>
      <c r="F1986" s="424">
        <v>500</v>
      </c>
      <c r="G1986" s="425">
        <v>1.0573999999999999</v>
      </c>
      <c r="H1986" s="649">
        <f>IF(F1986&lt;=30,(0.78*F1986+7.82)*G1986,((0.78*30+7.82)+0.78*(F1986-30))*G1986)</f>
        <v>420.65486800000002</v>
      </c>
      <c r="I1986" s="420">
        <v>0</v>
      </c>
      <c r="J1986" s="420"/>
      <c r="K1986" s="421">
        <f t="shared" si="501"/>
        <v>0</v>
      </c>
      <c r="L1986" s="647"/>
      <c r="M1986" s="723"/>
      <c r="N1986" s="576">
        <f t="shared" si="487"/>
        <v>0</v>
      </c>
      <c r="O1986" s="577">
        <f t="shared" si="504"/>
        <v>0</v>
      </c>
      <c r="P1986" s="578">
        <f t="shared" si="505"/>
        <v>0</v>
      </c>
      <c r="Q1986" s="765"/>
      <c r="R1986" s="723"/>
      <c r="S1986" s="723"/>
      <c r="T1986" s="577">
        <f t="shared" si="502"/>
        <v>0</v>
      </c>
      <c r="U1986" s="578">
        <f t="shared" si="503"/>
        <v>0</v>
      </c>
      <c r="V1986" s="579"/>
      <c r="W1986" s="566" t="str">
        <f>IF(U1985&gt;0,"xx",IF(P1985&gt;0,"xy",""))</f>
        <v/>
      </c>
      <c r="X1986" s="586" t="str">
        <f t="shared" si="496"/>
        <v/>
      </c>
      <c r="Y1986" s="586" t="str">
        <f t="shared" si="431"/>
        <v/>
      </c>
      <c r="Z1986" s="586" t="str">
        <f t="shared" si="488"/>
        <v/>
      </c>
    </row>
    <row r="1987" spans="1:26" ht="12" hidden="1" thickBot="1" x14ac:dyDescent="0.25">
      <c r="A1987" s="567" t="s">
        <v>168</v>
      </c>
      <c r="B1987" s="644" t="s">
        <v>168</v>
      </c>
      <c r="C1987" s="645"/>
      <c r="D1987" s="422" t="s">
        <v>248</v>
      </c>
      <c r="E1987" s="423"/>
      <c r="F1987" s="424">
        <v>180</v>
      </c>
      <c r="G1987" s="425">
        <v>3.7597999999999998</v>
      </c>
      <c r="H1987" s="663">
        <f t="shared" ref="H1987:H1988" si="506">IF(F1987&lt;=30,(1.07*F1987+2.68)*G1987,((1.07*30+2.68)+1.07*(F1987-30))*G1987)</f>
        <v>734.21374400000002</v>
      </c>
      <c r="I1987" s="420">
        <v>0</v>
      </c>
      <c r="J1987" s="420"/>
      <c r="K1987" s="421">
        <f t="shared" si="501"/>
        <v>0</v>
      </c>
      <c r="L1987" s="647"/>
      <c r="M1987" s="723"/>
      <c r="N1987" s="576">
        <f t="shared" si="487"/>
        <v>0</v>
      </c>
      <c r="O1987" s="577">
        <f t="shared" si="504"/>
        <v>0</v>
      </c>
      <c r="P1987" s="578">
        <f t="shared" si="505"/>
        <v>0</v>
      </c>
      <c r="Q1987" s="765"/>
      <c r="R1987" s="723"/>
      <c r="S1987" s="723"/>
      <c r="T1987" s="577">
        <f t="shared" si="502"/>
        <v>0</v>
      </c>
      <c r="U1987" s="578">
        <f t="shared" si="503"/>
        <v>0</v>
      </c>
      <c r="V1987" s="579"/>
      <c r="W1987" s="566" t="str">
        <f>IF(U1985&gt;0,"xx",IF(P1985&gt;0,"xy",""))</f>
        <v/>
      </c>
      <c r="X1987" s="586" t="str">
        <f t="shared" si="496"/>
        <v/>
      </c>
      <c r="Y1987" s="586" t="str">
        <f t="shared" si="431"/>
        <v/>
      </c>
      <c r="Z1987" s="586" t="str">
        <f t="shared" si="488"/>
        <v/>
      </c>
    </row>
    <row r="1988" spans="1:26" ht="12" hidden="1" thickBot="1" x14ac:dyDescent="0.25">
      <c r="A1988" s="567" t="s">
        <v>168</v>
      </c>
      <c r="B1988" s="644" t="s">
        <v>168</v>
      </c>
      <c r="C1988" s="645"/>
      <c r="D1988" s="422" t="s">
        <v>252</v>
      </c>
      <c r="E1988" s="423"/>
      <c r="F1988" s="424">
        <v>20</v>
      </c>
      <c r="G1988" s="425">
        <v>6.8650000000000002</v>
      </c>
      <c r="H1988" s="663">
        <f t="shared" si="506"/>
        <v>165.3092</v>
      </c>
      <c r="I1988" s="420">
        <v>0</v>
      </c>
      <c r="J1988" s="420"/>
      <c r="K1988" s="421">
        <f t="shared" si="501"/>
        <v>0</v>
      </c>
      <c r="L1988" s="647"/>
      <c r="M1988" s="723"/>
      <c r="N1988" s="576">
        <f t="shared" si="487"/>
        <v>0</v>
      </c>
      <c r="O1988" s="577">
        <f t="shared" si="504"/>
        <v>0</v>
      </c>
      <c r="P1988" s="578">
        <f t="shared" si="505"/>
        <v>0</v>
      </c>
      <c r="Q1988" s="765"/>
      <c r="R1988" s="723"/>
      <c r="S1988" s="723"/>
      <c r="T1988" s="577">
        <f t="shared" si="502"/>
        <v>0</v>
      </c>
      <c r="U1988" s="578">
        <f t="shared" si="503"/>
        <v>0</v>
      </c>
      <c r="V1988" s="579"/>
      <c r="W1988" s="566" t="str">
        <f>IF(U1985&gt;0,"xx",IF(P1985&gt;0,"xy",""))</f>
        <v/>
      </c>
      <c r="X1988" s="586" t="str">
        <f t="shared" si="496"/>
        <v/>
      </c>
      <c r="Y1988" s="586" t="str">
        <f t="shared" si="431"/>
        <v/>
      </c>
      <c r="Z1988" s="586" t="str">
        <f t="shared" si="488"/>
        <v/>
      </c>
    </row>
    <row r="1989" spans="1:26" ht="12" hidden="1" thickBot="1" x14ac:dyDescent="0.25">
      <c r="A1989" s="567">
        <v>621300</v>
      </c>
      <c r="B1989" s="644">
        <v>621300</v>
      </c>
      <c r="C1989" s="645" t="s">
        <v>206</v>
      </c>
      <c r="D1989" s="422" t="s">
        <v>371</v>
      </c>
      <c r="E1989" s="423"/>
      <c r="F1989" s="424"/>
      <c r="G1989" s="425"/>
      <c r="H1989" s="651">
        <f>SUM(H1990:H1992)</f>
        <v>2565.1334440000001</v>
      </c>
      <c r="I1989" s="420">
        <v>6969.67</v>
      </c>
      <c r="J1989" s="420">
        <f>IF(ISBLANK(I1989),"",SUM(H1989:I1989))</f>
        <v>9534.803444000001</v>
      </c>
      <c r="K1989" s="421">
        <f t="shared" si="501"/>
        <v>11328.3</v>
      </c>
      <c r="L1989" s="647" t="s">
        <v>21</v>
      </c>
      <c r="M1989" s="576"/>
      <c r="N1989" s="576">
        <f t="shared" si="487"/>
        <v>0</v>
      </c>
      <c r="O1989" s="577">
        <f t="shared" si="504"/>
        <v>0</v>
      </c>
      <c r="P1989" s="578">
        <f t="shared" si="505"/>
        <v>0</v>
      </c>
      <c r="Q1989" s="765"/>
      <c r="R1989" s="576">
        <f>M1989</f>
        <v>0</v>
      </c>
      <c r="S1989" s="576">
        <f>N1989</f>
        <v>0</v>
      </c>
      <c r="T1989" s="577">
        <f t="shared" si="502"/>
        <v>0</v>
      </c>
      <c r="U1989" s="578">
        <f t="shared" si="503"/>
        <v>0</v>
      </c>
      <c r="V1989" s="579"/>
      <c r="W1989" s="566"/>
      <c r="X1989" s="586" t="str">
        <f t="shared" si="496"/>
        <v/>
      </c>
      <c r="Y1989" s="586" t="str">
        <f t="shared" si="431"/>
        <v/>
      </c>
      <c r="Z1989" s="586" t="str">
        <f t="shared" si="488"/>
        <v/>
      </c>
    </row>
    <row r="1990" spans="1:26" ht="12" hidden="1" thickBot="1" x14ac:dyDescent="0.25">
      <c r="A1990" s="567" t="s">
        <v>168</v>
      </c>
      <c r="B1990" s="644" t="s">
        <v>168</v>
      </c>
      <c r="C1990" s="645"/>
      <c r="D1990" s="422" t="s">
        <v>212</v>
      </c>
      <c r="E1990" s="423"/>
      <c r="F1990" s="424">
        <v>500</v>
      </c>
      <c r="G1990" s="425">
        <v>2.0546000000000002</v>
      </c>
      <c r="H1990" s="649">
        <f>IF(F1990&lt;=30,(0.78*F1990+7.82)*G1990,((0.78*30+7.82)+0.78*(F1990-30))*G1990)</f>
        <v>817.36097200000017</v>
      </c>
      <c r="I1990" s="420">
        <v>0</v>
      </c>
      <c r="J1990" s="420"/>
      <c r="K1990" s="421">
        <f t="shared" si="501"/>
        <v>0</v>
      </c>
      <c r="L1990" s="647"/>
      <c r="M1990" s="723"/>
      <c r="N1990" s="576">
        <f t="shared" si="487"/>
        <v>0</v>
      </c>
      <c r="O1990" s="577">
        <f t="shared" si="504"/>
        <v>0</v>
      </c>
      <c r="P1990" s="578">
        <f t="shared" si="505"/>
        <v>0</v>
      </c>
      <c r="Q1990" s="765"/>
      <c r="R1990" s="723"/>
      <c r="S1990" s="723"/>
      <c r="T1990" s="577">
        <f t="shared" si="502"/>
        <v>0</v>
      </c>
      <c r="U1990" s="578">
        <f t="shared" si="503"/>
        <v>0</v>
      </c>
      <c r="V1990" s="579"/>
      <c r="W1990" s="566" t="str">
        <f>IF(U1989&gt;0,"xx",IF(P1989&gt;0,"xy",""))</f>
        <v/>
      </c>
      <c r="X1990" s="586" t="str">
        <f t="shared" si="496"/>
        <v/>
      </c>
      <c r="Y1990" s="586" t="str">
        <f t="shared" si="431"/>
        <v/>
      </c>
      <c r="Z1990" s="586" t="str">
        <f t="shared" si="488"/>
        <v/>
      </c>
    </row>
    <row r="1991" spans="1:26" ht="12" hidden="1" thickBot="1" x14ac:dyDescent="0.25">
      <c r="A1991" s="567" t="s">
        <v>168</v>
      </c>
      <c r="B1991" s="644" t="s">
        <v>168</v>
      </c>
      <c r="C1991" s="645"/>
      <c r="D1991" s="422" t="s">
        <v>248</v>
      </c>
      <c r="E1991" s="423"/>
      <c r="F1991" s="424">
        <v>180</v>
      </c>
      <c r="G1991" s="425">
        <v>7.3052999999999999</v>
      </c>
      <c r="H1991" s="663">
        <f t="shared" ref="H1991:H1992" si="507">IF(F1991&lt;=30,(1.07*F1991+2.68)*G1991,((1.07*30+2.68)+1.07*(F1991-30))*G1991)</f>
        <v>1426.578984</v>
      </c>
      <c r="I1991" s="420">
        <v>0</v>
      </c>
      <c r="J1991" s="420"/>
      <c r="K1991" s="421">
        <f t="shared" si="501"/>
        <v>0</v>
      </c>
      <c r="L1991" s="647"/>
      <c r="M1991" s="723"/>
      <c r="N1991" s="576">
        <f t="shared" si="487"/>
        <v>0</v>
      </c>
      <c r="O1991" s="577">
        <f t="shared" si="504"/>
        <v>0</v>
      </c>
      <c r="P1991" s="578">
        <f t="shared" si="505"/>
        <v>0</v>
      </c>
      <c r="Q1991" s="765"/>
      <c r="R1991" s="723"/>
      <c r="S1991" s="723"/>
      <c r="T1991" s="577">
        <f t="shared" si="502"/>
        <v>0</v>
      </c>
      <c r="U1991" s="578">
        <f t="shared" si="503"/>
        <v>0</v>
      </c>
      <c r="V1991" s="579"/>
      <c r="W1991" s="566" t="str">
        <f>IF(U1989&gt;0,"xx",IF(P1989&gt;0,"xy",""))</f>
        <v/>
      </c>
      <c r="X1991" s="586" t="str">
        <f t="shared" si="496"/>
        <v/>
      </c>
      <c r="Y1991" s="586" t="str">
        <f t="shared" si="431"/>
        <v/>
      </c>
      <c r="Z1991" s="586" t="str">
        <f t="shared" si="488"/>
        <v/>
      </c>
    </row>
    <row r="1992" spans="1:26" ht="12" hidden="1" thickBot="1" x14ac:dyDescent="0.25">
      <c r="A1992" s="567" t="s">
        <v>168</v>
      </c>
      <c r="B1992" s="644" t="s">
        <v>168</v>
      </c>
      <c r="C1992" s="645"/>
      <c r="D1992" s="422" t="s">
        <v>252</v>
      </c>
      <c r="E1992" s="423"/>
      <c r="F1992" s="424">
        <v>20</v>
      </c>
      <c r="G1992" s="425">
        <v>13.3386</v>
      </c>
      <c r="H1992" s="663">
        <f t="shared" si="507"/>
        <v>321.193488</v>
      </c>
      <c r="I1992" s="420">
        <v>0</v>
      </c>
      <c r="J1992" s="420"/>
      <c r="K1992" s="421">
        <f t="shared" si="501"/>
        <v>0</v>
      </c>
      <c r="L1992" s="647"/>
      <c r="M1992" s="723"/>
      <c r="N1992" s="576">
        <f t="shared" si="487"/>
        <v>0</v>
      </c>
      <c r="O1992" s="577">
        <f t="shared" si="504"/>
        <v>0</v>
      </c>
      <c r="P1992" s="578">
        <f t="shared" si="505"/>
        <v>0</v>
      </c>
      <c r="Q1992" s="765"/>
      <c r="R1992" s="723"/>
      <c r="S1992" s="723"/>
      <c r="T1992" s="577">
        <f t="shared" si="502"/>
        <v>0</v>
      </c>
      <c r="U1992" s="578">
        <f t="shared" si="503"/>
        <v>0</v>
      </c>
      <c r="V1992" s="579"/>
      <c r="W1992" s="566" t="str">
        <f>IF(U1989&gt;0,"xx",IF(P1989&gt;0,"xy",""))</f>
        <v/>
      </c>
      <c r="X1992" s="586" t="str">
        <f t="shared" si="496"/>
        <v/>
      </c>
      <c r="Y1992" s="586" t="str">
        <f t="shared" si="431"/>
        <v/>
      </c>
      <c r="Z1992" s="586" t="str">
        <f t="shared" si="488"/>
        <v/>
      </c>
    </row>
    <row r="1993" spans="1:26" ht="12" hidden="1" thickBot="1" x14ac:dyDescent="0.25">
      <c r="A1993" s="567">
        <v>621400</v>
      </c>
      <c r="B1993" s="644">
        <v>621400</v>
      </c>
      <c r="C1993" s="645" t="s">
        <v>206</v>
      </c>
      <c r="D1993" s="422" t="s">
        <v>372</v>
      </c>
      <c r="E1993" s="423"/>
      <c r="F1993" s="424"/>
      <c r="G1993" s="425"/>
      <c r="H1993" s="651">
        <f>SUM(H1994:H1996)</f>
        <v>4891.4586740000004</v>
      </c>
      <c r="I1993" s="420">
        <v>12328.35</v>
      </c>
      <c r="J1993" s="420">
        <f>IF(ISBLANK(I1993),"",SUM(H1993:I1993))</f>
        <v>17219.808674</v>
      </c>
      <c r="K1993" s="421">
        <f t="shared" si="501"/>
        <v>20458.849999999999</v>
      </c>
      <c r="L1993" s="647" t="s">
        <v>21</v>
      </c>
      <c r="M1993" s="576"/>
      <c r="N1993" s="576">
        <f t="shared" si="487"/>
        <v>0</v>
      </c>
      <c r="O1993" s="577">
        <f t="shared" si="504"/>
        <v>0</v>
      </c>
      <c r="P1993" s="578">
        <f t="shared" si="505"/>
        <v>0</v>
      </c>
      <c r="Q1993" s="765"/>
      <c r="R1993" s="576">
        <f>M1993</f>
        <v>0</v>
      </c>
      <c r="S1993" s="576">
        <f>N1993</f>
        <v>0</v>
      </c>
      <c r="T1993" s="577">
        <f t="shared" si="502"/>
        <v>0</v>
      </c>
      <c r="U1993" s="578">
        <f t="shared" si="503"/>
        <v>0</v>
      </c>
      <c r="V1993" s="579"/>
      <c r="W1993" s="566"/>
      <c r="X1993" s="586" t="str">
        <f t="shared" si="496"/>
        <v/>
      </c>
      <c r="Y1993" s="586" t="str">
        <f t="shared" si="431"/>
        <v/>
      </c>
      <c r="Z1993" s="586" t="str">
        <f t="shared" si="488"/>
        <v/>
      </c>
    </row>
    <row r="1994" spans="1:26" ht="12" hidden="1" thickBot="1" x14ac:dyDescent="0.25">
      <c r="A1994" s="567" t="s">
        <v>168</v>
      </c>
      <c r="B1994" s="644" t="s">
        <v>168</v>
      </c>
      <c r="C1994" s="645"/>
      <c r="D1994" s="422" t="s">
        <v>212</v>
      </c>
      <c r="E1994" s="423"/>
      <c r="F1994" s="424">
        <v>500</v>
      </c>
      <c r="G1994" s="425">
        <v>3.9178999999999999</v>
      </c>
      <c r="H1994" s="649">
        <f>IF(F1994&lt;=30,(0.78*F1994+7.82)*G1994,((0.78*30+7.82)+0.78*(F1994-30))*G1994)</f>
        <v>1558.6189780000002</v>
      </c>
      <c r="I1994" s="420"/>
      <c r="J1994" s="420"/>
      <c r="K1994" s="421">
        <f t="shared" si="501"/>
        <v>0</v>
      </c>
      <c r="L1994" s="647"/>
      <c r="M1994" s="723"/>
      <c r="N1994" s="576">
        <f t="shared" si="487"/>
        <v>0</v>
      </c>
      <c r="O1994" s="577">
        <f t="shared" si="504"/>
        <v>0</v>
      </c>
      <c r="P1994" s="578">
        <f t="shared" si="505"/>
        <v>0</v>
      </c>
      <c r="Q1994" s="765"/>
      <c r="R1994" s="723"/>
      <c r="S1994" s="723"/>
      <c r="T1994" s="577">
        <f t="shared" si="502"/>
        <v>0</v>
      </c>
      <c r="U1994" s="578">
        <f t="shared" si="503"/>
        <v>0</v>
      </c>
      <c r="V1994" s="579"/>
      <c r="W1994" s="566" t="str">
        <f>IF(U1993&gt;0,"xx",IF(P1993&gt;0,"xy",""))</f>
        <v/>
      </c>
      <c r="X1994" s="586" t="str">
        <f t="shared" si="496"/>
        <v/>
      </c>
      <c r="Y1994" s="586" t="str">
        <f t="shared" si="431"/>
        <v/>
      </c>
      <c r="Z1994" s="586" t="str">
        <f t="shared" si="488"/>
        <v/>
      </c>
    </row>
    <row r="1995" spans="1:26" ht="12" hidden="1" thickBot="1" x14ac:dyDescent="0.25">
      <c r="A1995" s="567" t="s">
        <v>168</v>
      </c>
      <c r="B1995" s="644" t="s">
        <v>168</v>
      </c>
      <c r="C1995" s="645"/>
      <c r="D1995" s="422" t="s">
        <v>248</v>
      </c>
      <c r="E1995" s="423"/>
      <c r="F1995" s="424">
        <v>180</v>
      </c>
      <c r="G1995" s="425">
        <v>13.9305</v>
      </c>
      <c r="H1995" s="663">
        <f t="shared" ref="H1995:H1996" si="508">IF(F1995&lt;=30,(1.07*F1995+2.68)*G1995,((1.07*30+2.68)+1.07*(F1995-30))*G1995)</f>
        <v>2720.3480399999999</v>
      </c>
      <c r="I1995" s="420"/>
      <c r="J1995" s="420"/>
      <c r="K1995" s="421">
        <f t="shared" si="501"/>
        <v>0</v>
      </c>
      <c r="L1995" s="647"/>
      <c r="M1995" s="723"/>
      <c r="N1995" s="576">
        <f t="shared" si="487"/>
        <v>0</v>
      </c>
      <c r="O1995" s="577">
        <f t="shared" si="504"/>
        <v>0</v>
      </c>
      <c r="P1995" s="578">
        <f t="shared" si="505"/>
        <v>0</v>
      </c>
      <c r="Q1995" s="765"/>
      <c r="R1995" s="723"/>
      <c r="S1995" s="723"/>
      <c r="T1995" s="577">
        <f t="shared" si="502"/>
        <v>0</v>
      </c>
      <c r="U1995" s="578">
        <f t="shared" si="503"/>
        <v>0</v>
      </c>
      <c r="V1995" s="579"/>
      <c r="W1995" s="566" t="str">
        <f>IF(U1993&gt;0,"xx",IF(P1993&gt;0,"xy",""))</f>
        <v/>
      </c>
      <c r="X1995" s="586" t="str">
        <f t="shared" si="496"/>
        <v/>
      </c>
      <c r="Y1995" s="586" t="str">
        <f t="shared" si="431"/>
        <v/>
      </c>
      <c r="Z1995" s="586" t="str">
        <f t="shared" si="488"/>
        <v/>
      </c>
    </row>
    <row r="1996" spans="1:26" ht="12" hidden="1" thickBot="1" x14ac:dyDescent="0.25">
      <c r="A1996" s="567" t="s">
        <v>168</v>
      </c>
      <c r="B1996" s="644" t="s">
        <v>168</v>
      </c>
      <c r="C1996" s="645"/>
      <c r="D1996" s="422" t="s">
        <v>252</v>
      </c>
      <c r="E1996" s="423"/>
      <c r="F1996" s="424">
        <v>20</v>
      </c>
      <c r="G1996" s="425">
        <v>25.435699999999997</v>
      </c>
      <c r="H1996" s="663">
        <f t="shared" si="508"/>
        <v>612.49165599999992</v>
      </c>
      <c r="I1996" s="420"/>
      <c r="J1996" s="420"/>
      <c r="K1996" s="421">
        <f t="shared" si="501"/>
        <v>0</v>
      </c>
      <c r="L1996" s="647"/>
      <c r="M1996" s="723"/>
      <c r="N1996" s="576">
        <f t="shared" si="487"/>
        <v>0</v>
      </c>
      <c r="O1996" s="577">
        <f t="shared" si="504"/>
        <v>0</v>
      </c>
      <c r="P1996" s="578">
        <f t="shared" si="505"/>
        <v>0</v>
      </c>
      <c r="Q1996" s="765"/>
      <c r="R1996" s="723"/>
      <c r="S1996" s="723"/>
      <c r="T1996" s="577">
        <f t="shared" si="502"/>
        <v>0</v>
      </c>
      <c r="U1996" s="578">
        <f t="shared" si="503"/>
        <v>0</v>
      </c>
      <c r="V1996" s="579"/>
      <c r="W1996" s="566" t="str">
        <f>IF(U1993&gt;0,"xx",IF(P1993&gt;0,"xy",""))</f>
        <v/>
      </c>
      <c r="X1996" s="586" t="str">
        <f t="shared" si="496"/>
        <v/>
      </c>
      <c r="Y1996" s="586" t="str">
        <f t="shared" si="431"/>
        <v/>
      </c>
      <c r="Z1996" s="586" t="str">
        <f t="shared" si="488"/>
        <v/>
      </c>
    </row>
    <row r="1997" spans="1:26" ht="12" hidden="1" thickBot="1" x14ac:dyDescent="0.25">
      <c r="A1997" s="567">
        <v>607500</v>
      </c>
      <c r="B1997" s="644">
        <v>607500</v>
      </c>
      <c r="C1997" s="645" t="s">
        <v>206</v>
      </c>
      <c r="D1997" s="422" t="s">
        <v>506</v>
      </c>
      <c r="E1997" s="423"/>
      <c r="F1997" s="424"/>
      <c r="G1997" s="425"/>
      <c r="H1997" s="651">
        <f>SUM(H1998:H2000)</f>
        <v>1.8180100000000001</v>
      </c>
      <c r="I1997" s="420">
        <v>43.25</v>
      </c>
      <c r="J1997" s="420">
        <f>IF(ISBLANK(I1997),"",SUM(H1997:I1997))</f>
        <v>45.068010000000001</v>
      </c>
      <c r="K1997" s="421">
        <f t="shared" si="501"/>
        <v>53.55</v>
      </c>
      <c r="L1997" s="647" t="s">
        <v>19</v>
      </c>
      <c r="M1997" s="576"/>
      <c r="N1997" s="576">
        <f t="shared" si="487"/>
        <v>0</v>
      </c>
      <c r="O1997" s="577">
        <f t="shared" si="504"/>
        <v>0</v>
      </c>
      <c r="P1997" s="578">
        <f t="shared" si="505"/>
        <v>0</v>
      </c>
      <c r="Q1997" s="765"/>
      <c r="R1997" s="576">
        <f>M1997</f>
        <v>0</v>
      </c>
      <c r="S1997" s="576">
        <f>N1997</f>
        <v>0</v>
      </c>
      <c r="T1997" s="577">
        <f t="shared" si="502"/>
        <v>0</v>
      </c>
      <c r="U1997" s="578">
        <f t="shared" si="503"/>
        <v>0</v>
      </c>
      <c r="V1997" s="579"/>
      <c r="W1997" s="566"/>
      <c r="X1997" s="586" t="str">
        <f t="shared" si="496"/>
        <v/>
      </c>
      <c r="Y1997" s="586" t="str">
        <f t="shared" si="431"/>
        <v/>
      </c>
      <c r="Z1997" s="586" t="str">
        <f t="shared" si="488"/>
        <v/>
      </c>
    </row>
    <row r="1998" spans="1:26" ht="12" hidden="1" thickBot="1" x14ac:dyDescent="0.25">
      <c r="A1998" s="567" t="s">
        <v>168</v>
      </c>
      <c r="B1998" s="644" t="s">
        <v>168</v>
      </c>
      <c r="C1998" s="645"/>
      <c r="D1998" s="422" t="s">
        <v>212</v>
      </c>
      <c r="E1998" s="423"/>
      <c r="F1998" s="424">
        <v>500</v>
      </c>
      <c r="G1998" s="425">
        <v>2.9999999999999997E-4</v>
      </c>
      <c r="H1998" s="649">
        <f>IF(F1998&lt;=30,(0.78*F1998+7.82)*G1998,((0.78*30+7.82)+0.78*(F1998-30))*G1998)</f>
        <v>0.11934600000000001</v>
      </c>
      <c r="I1998" s="420"/>
      <c r="J1998" s="420"/>
      <c r="K1998" s="421">
        <f t="shared" si="501"/>
        <v>0</v>
      </c>
      <c r="L1998" s="647"/>
      <c r="M1998" s="723"/>
      <c r="N1998" s="576">
        <f t="shared" si="487"/>
        <v>0</v>
      </c>
      <c r="O1998" s="577">
        <f t="shared" si="504"/>
        <v>0</v>
      </c>
      <c r="P1998" s="578">
        <f t="shared" si="505"/>
        <v>0</v>
      </c>
      <c r="Q1998" s="765"/>
      <c r="R1998" s="723"/>
      <c r="S1998" s="723"/>
      <c r="T1998" s="577">
        <f t="shared" si="502"/>
        <v>0</v>
      </c>
      <c r="U1998" s="578">
        <f t="shared" si="503"/>
        <v>0</v>
      </c>
      <c r="V1998" s="579"/>
      <c r="W1998" s="566" t="str">
        <f>IF(U1997&gt;0,"xx",IF(P1997&gt;0,"xy",""))</f>
        <v/>
      </c>
      <c r="X1998" s="586" t="str">
        <f t="shared" si="496"/>
        <v/>
      </c>
      <c r="Y1998" s="586" t="str">
        <f t="shared" si="431"/>
        <v/>
      </c>
      <c r="Z1998" s="586" t="str">
        <f t="shared" si="488"/>
        <v/>
      </c>
    </row>
    <row r="1999" spans="1:26" ht="12" hidden="1" thickBot="1" x14ac:dyDescent="0.25">
      <c r="A1999" s="567" t="s">
        <v>168</v>
      </c>
      <c r="B1999" s="644" t="s">
        <v>168</v>
      </c>
      <c r="C1999" s="645"/>
      <c r="D1999" s="422" t="s">
        <v>248</v>
      </c>
      <c r="E1999" s="423"/>
      <c r="F1999" s="424">
        <v>180</v>
      </c>
      <c r="G1999" s="425">
        <v>1.2999999999999999E-3</v>
      </c>
      <c r="H1999" s="663">
        <f t="shared" ref="H1999:H2000" si="509">IF(F1999&lt;=30,(1.07*F1999+2.68)*G1999,((1.07*30+2.68)+1.07*(F1999-30))*G1999)</f>
        <v>0.25386399999999998</v>
      </c>
      <c r="I1999" s="420"/>
      <c r="J1999" s="420"/>
      <c r="K1999" s="421">
        <f t="shared" si="501"/>
        <v>0</v>
      </c>
      <c r="L1999" s="647"/>
      <c r="M1999" s="723"/>
      <c r="N1999" s="576">
        <f t="shared" si="487"/>
        <v>0</v>
      </c>
      <c r="O1999" s="577">
        <f t="shared" si="504"/>
        <v>0</v>
      </c>
      <c r="P1999" s="578">
        <f t="shared" si="505"/>
        <v>0</v>
      </c>
      <c r="Q1999" s="765"/>
      <c r="R1999" s="723"/>
      <c r="S1999" s="723"/>
      <c r="T1999" s="577">
        <f t="shared" si="502"/>
        <v>0</v>
      </c>
      <c r="U1999" s="578">
        <f t="shared" si="503"/>
        <v>0</v>
      </c>
      <c r="V1999" s="579"/>
      <c r="W1999" s="566" t="str">
        <f>IF(U1997&gt;0,"xx",IF(P1997&gt;0,"xy",""))</f>
        <v/>
      </c>
      <c r="X1999" s="586" t="str">
        <f t="shared" si="496"/>
        <v/>
      </c>
      <c r="Y1999" s="586" t="str">
        <f t="shared" si="431"/>
        <v/>
      </c>
      <c r="Z1999" s="586" t="str">
        <f t="shared" si="488"/>
        <v/>
      </c>
    </row>
    <row r="2000" spans="1:26" ht="12" hidden="1" thickBot="1" x14ac:dyDescent="0.25">
      <c r="A2000" s="567" t="s">
        <v>168</v>
      </c>
      <c r="B2000" s="644" t="s">
        <v>168</v>
      </c>
      <c r="C2000" s="645"/>
      <c r="D2000" s="422" t="s">
        <v>347</v>
      </c>
      <c r="E2000" s="423"/>
      <c r="F2000" s="424">
        <v>20</v>
      </c>
      <c r="G2000" s="425">
        <v>0.06</v>
      </c>
      <c r="H2000" s="663">
        <f t="shared" si="509"/>
        <v>1.4448000000000001</v>
      </c>
      <c r="I2000" s="420"/>
      <c r="J2000" s="420"/>
      <c r="K2000" s="421">
        <f t="shared" si="501"/>
        <v>0</v>
      </c>
      <c r="L2000" s="647"/>
      <c r="M2000" s="723"/>
      <c r="N2000" s="576">
        <f t="shared" si="487"/>
        <v>0</v>
      </c>
      <c r="O2000" s="577">
        <f t="shared" si="504"/>
        <v>0</v>
      </c>
      <c r="P2000" s="578">
        <f t="shared" si="505"/>
        <v>0</v>
      </c>
      <c r="Q2000" s="765"/>
      <c r="R2000" s="723"/>
      <c r="S2000" s="723"/>
      <c r="T2000" s="577">
        <f t="shared" si="502"/>
        <v>0</v>
      </c>
      <c r="U2000" s="578">
        <f t="shared" si="503"/>
        <v>0</v>
      </c>
      <c r="V2000" s="579"/>
      <c r="W2000" s="566" t="str">
        <f>IF(U1997&gt;0,"xx",IF(P1997&gt;0,"xy",""))</f>
        <v/>
      </c>
      <c r="X2000" s="586" t="str">
        <f t="shared" si="496"/>
        <v/>
      </c>
      <c r="Y2000" s="586" t="str">
        <f t="shared" si="431"/>
        <v/>
      </c>
      <c r="Z2000" s="586" t="str">
        <f t="shared" si="488"/>
        <v/>
      </c>
    </row>
    <row r="2001" spans="1:26" ht="12" hidden="1" thickBot="1" x14ac:dyDescent="0.25">
      <c r="A2001" s="567">
        <v>607600</v>
      </c>
      <c r="B2001" s="644">
        <v>607600</v>
      </c>
      <c r="C2001" s="645" t="s">
        <v>206</v>
      </c>
      <c r="D2001" s="422" t="s">
        <v>507</v>
      </c>
      <c r="E2001" s="423"/>
      <c r="F2001" s="424"/>
      <c r="G2001" s="425"/>
      <c r="H2001" s="651">
        <f>SUM(H2002:H2004)</f>
        <v>2.8854480000000002</v>
      </c>
      <c r="I2001" s="420">
        <v>52.180000000000007</v>
      </c>
      <c r="J2001" s="420">
        <f>IF(ISBLANK(I2001),"",SUM(H2001:I2001))</f>
        <v>55.065448000000004</v>
      </c>
      <c r="K2001" s="421">
        <f t="shared" si="501"/>
        <v>65.42</v>
      </c>
      <c r="L2001" s="647" t="s">
        <v>19</v>
      </c>
      <c r="M2001" s="576"/>
      <c r="N2001" s="576">
        <f t="shared" si="487"/>
        <v>0</v>
      </c>
      <c r="O2001" s="577">
        <f t="shared" si="504"/>
        <v>0</v>
      </c>
      <c r="P2001" s="578">
        <f t="shared" si="505"/>
        <v>0</v>
      </c>
      <c r="Q2001" s="765"/>
      <c r="R2001" s="576">
        <f>M2001</f>
        <v>0</v>
      </c>
      <c r="S2001" s="576">
        <f>N2001</f>
        <v>0</v>
      </c>
      <c r="T2001" s="577">
        <f t="shared" si="502"/>
        <v>0</v>
      </c>
      <c r="U2001" s="578">
        <f t="shared" si="503"/>
        <v>0</v>
      </c>
      <c r="V2001" s="579"/>
      <c r="W2001" s="566"/>
      <c r="X2001" s="586" t="str">
        <f t="shared" si="496"/>
        <v/>
      </c>
      <c r="Y2001" s="586" t="str">
        <f t="shared" si="431"/>
        <v/>
      </c>
      <c r="Z2001" s="586" t="str">
        <f t="shared" si="488"/>
        <v/>
      </c>
    </row>
    <row r="2002" spans="1:26" ht="12" hidden="1" thickBot="1" x14ac:dyDescent="0.25">
      <c r="A2002" s="567" t="s">
        <v>168</v>
      </c>
      <c r="B2002" s="644" t="s">
        <v>168</v>
      </c>
      <c r="C2002" s="645"/>
      <c r="D2002" s="422" t="s">
        <v>212</v>
      </c>
      <c r="E2002" s="423"/>
      <c r="F2002" s="424">
        <v>500</v>
      </c>
      <c r="G2002" s="425">
        <v>4.0000000000000002E-4</v>
      </c>
      <c r="H2002" s="649">
        <f>IF(F2002&lt;=30,(0.78*F2002+7.82)*G2002,((0.78*30+7.82)+0.78*(F2002-30))*G2002)</f>
        <v>0.15912800000000002</v>
      </c>
      <c r="I2002" s="420"/>
      <c r="J2002" s="420"/>
      <c r="K2002" s="421">
        <f t="shared" si="501"/>
        <v>0</v>
      </c>
      <c r="L2002" s="647"/>
      <c r="M2002" s="723"/>
      <c r="N2002" s="576">
        <f t="shared" si="487"/>
        <v>0</v>
      </c>
      <c r="O2002" s="577">
        <f t="shared" si="504"/>
        <v>0</v>
      </c>
      <c r="P2002" s="578">
        <f t="shared" si="505"/>
        <v>0</v>
      </c>
      <c r="Q2002" s="765"/>
      <c r="R2002" s="723"/>
      <c r="S2002" s="723"/>
      <c r="T2002" s="577">
        <f t="shared" si="502"/>
        <v>0</v>
      </c>
      <c r="U2002" s="578">
        <f t="shared" si="503"/>
        <v>0</v>
      </c>
      <c r="V2002" s="579"/>
      <c r="W2002" s="566" t="str">
        <f>IF(U2001&gt;0,"xx",IF(P2001&gt;0,"xy",""))</f>
        <v/>
      </c>
      <c r="X2002" s="586" t="str">
        <f t="shared" si="496"/>
        <v/>
      </c>
      <c r="Y2002" s="586" t="str">
        <f t="shared" si="431"/>
        <v/>
      </c>
      <c r="Z2002" s="586" t="str">
        <f t="shared" si="488"/>
        <v/>
      </c>
    </row>
    <row r="2003" spans="1:26" ht="12" hidden="1" thickBot="1" x14ac:dyDescent="0.25">
      <c r="A2003" s="567" t="s">
        <v>168</v>
      </c>
      <c r="B2003" s="644" t="s">
        <v>168</v>
      </c>
      <c r="C2003" s="645"/>
      <c r="D2003" s="422" t="s">
        <v>248</v>
      </c>
      <c r="E2003" s="423"/>
      <c r="F2003" s="424">
        <v>180</v>
      </c>
      <c r="G2003" s="425">
        <v>2E-3</v>
      </c>
      <c r="H2003" s="663">
        <f t="shared" ref="H2003:H2004" si="510">IF(F2003&lt;=30,(1.07*F2003+2.68)*G2003,((1.07*30+2.68)+1.07*(F2003-30))*G2003)</f>
        <v>0.39056000000000002</v>
      </c>
      <c r="I2003" s="420"/>
      <c r="J2003" s="420"/>
      <c r="K2003" s="421">
        <f t="shared" si="501"/>
        <v>0</v>
      </c>
      <c r="L2003" s="647"/>
      <c r="M2003" s="723"/>
      <c r="N2003" s="576">
        <f t="shared" si="487"/>
        <v>0</v>
      </c>
      <c r="O2003" s="577">
        <f t="shared" si="504"/>
        <v>0</v>
      </c>
      <c r="P2003" s="578">
        <f t="shared" si="505"/>
        <v>0</v>
      </c>
      <c r="Q2003" s="765"/>
      <c r="R2003" s="723"/>
      <c r="S2003" s="723"/>
      <c r="T2003" s="577">
        <f t="shared" si="502"/>
        <v>0</v>
      </c>
      <c r="U2003" s="578">
        <f t="shared" si="503"/>
        <v>0</v>
      </c>
      <c r="V2003" s="579"/>
      <c r="W2003" s="566" t="str">
        <f>IF(U2001&gt;0,"xx",IF(P2001&gt;0,"xy",""))</f>
        <v/>
      </c>
      <c r="X2003" s="586" t="str">
        <f t="shared" si="496"/>
        <v/>
      </c>
      <c r="Y2003" s="586" t="str">
        <f t="shared" si="431"/>
        <v/>
      </c>
      <c r="Z2003" s="586" t="str">
        <f t="shared" si="488"/>
        <v/>
      </c>
    </row>
    <row r="2004" spans="1:26" ht="12" hidden="1" thickBot="1" x14ac:dyDescent="0.25">
      <c r="A2004" s="567" t="s">
        <v>168</v>
      </c>
      <c r="B2004" s="644" t="s">
        <v>168</v>
      </c>
      <c r="C2004" s="645"/>
      <c r="D2004" s="422" t="s">
        <v>347</v>
      </c>
      <c r="E2004" s="423"/>
      <c r="F2004" s="424">
        <v>20</v>
      </c>
      <c r="G2004" s="425">
        <v>9.7000000000000003E-2</v>
      </c>
      <c r="H2004" s="663">
        <f t="shared" si="510"/>
        <v>2.3357600000000001</v>
      </c>
      <c r="I2004" s="420"/>
      <c r="J2004" s="420"/>
      <c r="K2004" s="421">
        <f t="shared" si="501"/>
        <v>0</v>
      </c>
      <c r="L2004" s="647"/>
      <c r="M2004" s="723"/>
      <c r="N2004" s="576">
        <f t="shared" ref="N2004:N2067" si="511">IF(M2004=0,0,K2004)</f>
        <v>0</v>
      </c>
      <c r="O2004" s="577">
        <f t="shared" si="504"/>
        <v>0</v>
      </c>
      <c r="P2004" s="578">
        <f t="shared" si="505"/>
        <v>0</v>
      </c>
      <c r="Q2004" s="765"/>
      <c r="R2004" s="723"/>
      <c r="S2004" s="723"/>
      <c r="T2004" s="577">
        <f t="shared" si="502"/>
        <v>0</v>
      </c>
      <c r="U2004" s="578">
        <f t="shared" si="503"/>
        <v>0</v>
      </c>
      <c r="V2004" s="579"/>
      <c r="W2004" s="566" t="str">
        <f>IF(U2001&gt;0,"xx",IF(P2001&gt;0,"xy",""))</f>
        <v/>
      </c>
      <c r="X2004" s="586" t="str">
        <f t="shared" si="496"/>
        <v/>
      </c>
      <c r="Y2004" s="586" t="str">
        <f t="shared" si="431"/>
        <v/>
      </c>
      <c r="Z2004" s="586" t="str">
        <f t="shared" si="488"/>
        <v/>
      </c>
    </row>
    <row r="2005" spans="1:26" ht="12" hidden="1" thickBot="1" x14ac:dyDescent="0.25">
      <c r="A2005" s="567">
        <v>610400</v>
      </c>
      <c r="B2005" s="644" t="s">
        <v>1668</v>
      </c>
      <c r="C2005" s="645" t="s">
        <v>206</v>
      </c>
      <c r="D2005" s="422" t="s">
        <v>373</v>
      </c>
      <c r="E2005" s="423"/>
      <c r="F2005" s="424"/>
      <c r="G2005" s="425"/>
      <c r="H2005" s="651">
        <f>SUM(H2006:H2008)</f>
        <v>5.3574580000000003</v>
      </c>
      <c r="I2005" s="420">
        <v>78.7</v>
      </c>
      <c r="J2005" s="420">
        <f>IF(ISBLANK(I2005),"",SUM(H2005:I2005))</f>
        <v>84.057457999999997</v>
      </c>
      <c r="K2005" s="421">
        <f t="shared" si="501"/>
        <v>99.87</v>
      </c>
      <c r="L2005" s="647" t="s">
        <v>19</v>
      </c>
      <c r="M2005" s="576"/>
      <c r="N2005" s="576">
        <f t="shared" si="511"/>
        <v>0</v>
      </c>
      <c r="O2005" s="577">
        <f t="shared" si="504"/>
        <v>0</v>
      </c>
      <c r="P2005" s="578">
        <f t="shared" si="505"/>
        <v>0</v>
      </c>
      <c r="Q2005" s="765"/>
      <c r="R2005" s="576">
        <f>M2005</f>
        <v>0</v>
      </c>
      <c r="S2005" s="576">
        <f>N2005</f>
        <v>0</v>
      </c>
      <c r="T2005" s="577">
        <f t="shared" si="502"/>
        <v>0</v>
      </c>
      <c r="U2005" s="578">
        <f t="shared" si="503"/>
        <v>0</v>
      </c>
      <c r="V2005" s="579"/>
      <c r="W2005" s="566"/>
      <c r="X2005" s="586" t="str">
        <f t="shared" si="496"/>
        <v/>
      </c>
      <c r="Y2005" s="586" t="str">
        <f t="shared" si="431"/>
        <v/>
      </c>
      <c r="Z2005" s="586" t="str">
        <f t="shared" si="488"/>
        <v/>
      </c>
    </row>
    <row r="2006" spans="1:26" ht="12" hidden="1" thickBot="1" x14ac:dyDescent="0.25">
      <c r="A2006" s="567" t="s">
        <v>168</v>
      </c>
      <c r="B2006" s="644" t="s">
        <v>168</v>
      </c>
      <c r="C2006" s="645"/>
      <c r="D2006" s="422" t="s">
        <v>212</v>
      </c>
      <c r="E2006" s="423"/>
      <c r="F2006" s="424">
        <v>500</v>
      </c>
      <c r="G2006" s="425">
        <v>1.9E-3</v>
      </c>
      <c r="H2006" s="649">
        <f>IF(F2006&lt;=30,(0.78*F2006+7.82)*G2006,((0.78*30+7.82)+0.78*(F2006-30))*G2006)</f>
        <v>0.75585800000000014</v>
      </c>
      <c r="I2006" s="420"/>
      <c r="J2006" s="420"/>
      <c r="K2006" s="421">
        <f t="shared" si="501"/>
        <v>0</v>
      </c>
      <c r="L2006" s="647"/>
      <c r="M2006" s="723"/>
      <c r="N2006" s="576">
        <f t="shared" si="511"/>
        <v>0</v>
      </c>
      <c r="O2006" s="577">
        <f t="shared" si="504"/>
        <v>0</v>
      </c>
      <c r="P2006" s="578">
        <f t="shared" si="505"/>
        <v>0</v>
      </c>
      <c r="Q2006" s="765"/>
      <c r="R2006" s="723"/>
      <c r="S2006" s="723"/>
      <c r="T2006" s="577">
        <f t="shared" si="502"/>
        <v>0</v>
      </c>
      <c r="U2006" s="578">
        <f t="shared" si="503"/>
        <v>0</v>
      </c>
      <c r="V2006" s="579"/>
      <c r="W2006" s="566" t="str">
        <f>IF(U2005&gt;0,"xx",IF(P2005&gt;0,"xy",""))</f>
        <v/>
      </c>
      <c r="X2006" s="586" t="str">
        <f t="shared" si="496"/>
        <v/>
      </c>
      <c r="Y2006" s="586" t="str">
        <f t="shared" si="431"/>
        <v/>
      </c>
      <c r="Z2006" s="586" t="str">
        <f t="shared" si="488"/>
        <v/>
      </c>
    </row>
    <row r="2007" spans="1:26" ht="12" hidden="1" thickBot="1" x14ac:dyDescent="0.25">
      <c r="A2007" s="567" t="s">
        <v>168</v>
      </c>
      <c r="B2007" s="644" t="s">
        <v>168</v>
      </c>
      <c r="C2007" s="645"/>
      <c r="D2007" s="422" t="s">
        <v>248</v>
      </c>
      <c r="E2007" s="423"/>
      <c r="F2007" s="424">
        <v>180</v>
      </c>
      <c r="G2007" s="425">
        <v>0.01</v>
      </c>
      <c r="H2007" s="663">
        <f t="shared" ref="H2007:H2008" si="512">IF(F2007&lt;=30,(1.07*F2007+2.68)*G2007,((1.07*30+2.68)+1.07*(F2007-30))*G2007)</f>
        <v>1.9528000000000001</v>
      </c>
      <c r="I2007" s="420"/>
      <c r="J2007" s="420"/>
      <c r="K2007" s="421">
        <f t="shared" si="501"/>
        <v>0</v>
      </c>
      <c r="L2007" s="647"/>
      <c r="M2007" s="723"/>
      <c r="N2007" s="576">
        <f t="shared" si="511"/>
        <v>0</v>
      </c>
      <c r="O2007" s="577">
        <f t="shared" si="504"/>
        <v>0</v>
      </c>
      <c r="P2007" s="578">
        <f t="shared" si="505"/>
        <v>0</v>
      </c>
      <c r="Q2007" s="765"/>
      <c r="R2007" s="723"/>
      <c r="S2007" s="723"/>
      <c r="T2007" s="577">
        <f t="shared" si="502"/>
        <v>0</v>
      </c>
      <c r="U2007" s="578">
        <f t="shared" si="503"/>
        <v>0</v>
      </c>
      <c r="V2007" s="579"/>
      <c r="W2007" s="566" t="str">
        <f>IF(U2005&gt;0,"xx",IF(P2005&gt;0,"xy",""))</f>
        <v/>
      </c>
      <c r="X2007" s="586" t="str">
        <f t="shared" si="496"/>
        <v/>
      </c>
      <c r="Y2007" s="586" t="str">
        <f t="shared" si="431"/>
        <v/>
      </c>
      <c r="Z2007" s="586" t="str">
        <f t="shared" si="488"/>
        <v/>
      </c>
    </row>
    <row r="2008" spans="1:26" ht="12" hidden="1" thickBot="1" x14ac:dyDescent="0.25">
      <c r="A2008" s="567" t="s">
        <v>168</v>
      </c>
      <c r="B2008" s="644" t="s">
        <v>168</v>
      </c>
      <c r="C2008" s="645"/>
      <c r="D2008" s="422" t="s">
        <v>347</v>
      </c>
      <c r="E2008" s="423"/>
      <c r="F2008" s="424">
        <v>20</v>
      </c>
      <c r="G2008" s="425">
        <v>0.11</v>
      </c>
      <c r="H2008" s="663">
        <f t="shared" si="512"/>
        <v>2.6488</v>
      </c>
      <c r="I2008" s="420"/>
      <c r="J2008" s="420"/>
      <c r="K2008" s="421">
        <f t="shared" si="501"/>
        <v>0</v>
      </c>
      <c r="L2008" s="647"/>
      <c r="M2008" s="723"/>
      <c r="N2008" s="576">
        <f t="shared" si="511"/>
        <v>0</v>
      </c>
      <c r="O2008" s="577">
        <f t="shared" si="504"/>
        <v>0</v>
      </c>
      <c r="P2008" s="578">
        <f t="shared" si="505"/>
        <v>0</v>
      </c>
      <c r="Q2008" s="765"/>
      <c r="R2008" s="723"/>
      <c r="S2008" s="723"/>
      <c r="T2008" s="577">
        <f t="shared" si="502"/>
        <v>0</v>
      </c>
      <c r="U2008" s="578">
        <f t="shared" si="503"/>
        <v>0</v>
      </c>
      <c r="V2008" s="579"/>
      <c r="W2008" s="566" t="str">
        <f>IF(U2005&gt;0,"xx",IF(P2005&gt;0,"xy",""))</f>
        <v/>
      </c>
      <c r="X2008" s="586" t="str">
        <f t="shared" si="496"/>
        <v/>
      </c>
      <c r="Y2008" s="586" t="str">
        <f t="shared" si="431"/>
        <v/>
      </c>
      <c r="Z2008" s="586" t="str">
        <f t="shared" si="488"/>
        <v/>
      </c>
    </row>
    <row r="2009" spans="1:26" ht="12" hidden="1" thickBot="1" x14ac:dyDescent="0.25">
      <c r="A2009" s="567">
        <v>610400</v>
      </c>
      <c r="B2009" s="644" t="s">
        <v>1669</v>
      </c>
      <c r="C2009" s="645" t="s">
        <v>206</v>
      </c>
      <c r="D2009" s="422" t="s">
        <v>508</v>
      </c>
      <c r="E2009" s="423"/>
      <c r="F2009" s="424"/>
      <c r="G2009" s="425"/>
      <c r="H2009" s="651">
        <f>SUM(H2010:H2012)</f>
        <v>9.2197619999999993</v>
      </c>
      <c r="I2009" s="420">
        <v>106.14</v>
      </c>
      <c r="J2009" s="420">
        <f>IF(ISBLANK(I2009),"",SUM(H2009:I2009))</f>
        <v>115.359762</v>
      </c>
      <c r="K2009" s="421">
        <f t="shared" si="501"/>
        <v>137.06</v>
      </c>
      <c r="L2009" s="647" t="s">
        <v>19</v>
      </c>
      <c r="M2009" s="576"/>
      <c r="N2009" s="576">
        <f t="shared" si="511"/>
        <v>0</v>
      </c>
      <c r="O2009" s="577">
        <f t="shared" si="504"/>
        <v>0</v>
      </c>
      <c r="P2009" s="578">
        <f t="shared" si="505"/>
        <v>0</v>
      </c>
      <c r="Q2009" s="765"/>
      <c r="R2009" s="576">
        <f>M2009</f>
        <v>0</v>
      </c>
      <c r="S2009" s="576">
        <f>N2009</f>
        <v>0</v>
      </c>
      <c r="T2009" s="577">
        <f t="shared" si="502"/>
        <v>0</v>
      </c>
      <c r="U2009" s="578">
        <f t="shared" si="503"/>
        <v>0</v>
      </c>
      <c r="V2009" s="579"/>
      <c r="W2009" s="566"/>
      <c r="X2009" s="586" t="str">
        <f t="shared" si="496"/>
        <v/>
      </c>
      <c r="Y2009" s="586" t="str">
        <f t="shared" si="431"/>
        <v/>
      </c>
      <c r="Z2009" s="586" t="str">
        <f t="shared" si="488"/>
        <v/>
      </c>
    </row>
    <row r="2010" spans="1:26" ht="12" hidden="1" thickBot="1" x14ac:dyDescent="0.25">
      <c r="A2010" s="567" t="s">
        <v>168</v>
      </c>
      <c r="B2010" s="644" t="s">
        <v>168</v>
      </c>
      <c r="C2010" s="645"/>
      <c r="D2010" s="422" t="s">
        <v>212</v>
      </c>
      <c r="E2010" s="423"/>
      <c r="F2010" s="424">
        <v>500</v>
      </c>
      <c r="G2010" s="425">
        <v>2.3E-3</v>
      </c>
      <c r="H2010" s="649">
        <f>IF(F2010&lt;=30,(0.78*F2010+7.82)*G2010,((0.78*30+7.82)+0.78*(F2010-30))*G2010)</f>
        <v>0.91498600000000008</v>
      </c>
      <c r="I2010" s="420"/>
      <c r="J2010" s="420"/>
      <c r="K2010" s="421">
        <f t="shared" si="501"/>
        <v>0</v>
      </c>
      <c r="L2010" s="647"/>
      <c r="M2010" s="723"/>
      <c r="N2010" s="576">
        <f t="shared" si="511"/>
        <v>0</v>
      </c>
      <c r="O2010" s="577">
        <f t="shared" si="504"/>
        <v>0</v>
      </c>
      <c r="P2010" s="578">
        <f t="shared" si="505"/>
        <v>0</v>
      </c>
      <c r="Q2010" s="765"/>
      <c r="R2010" s="723"/>
      <c r="S2010" s="723"/>
      <c r="T2010" s="577">
        <f t="shared" si="502"/>
        <v>0</v>
      </c>
      <c r="U2010" s="578">
        <f t="shared" si="503"/>
        <v>0</v>
      </c>
      <c r="V2010" s="579"/>
      <c r="W2010" s="566" t="str">
        <f>IF(U2009&gt;0,"xx",IF(P2009&gt;0,"xy",""))</f>
        <v/>
      </c>
      <c r="X2010" s="586" t="str">
        <f t="shared" si="496"/>
        <v/>
      </c>
      <c r="Y2010" s="586" t="str">
        <f t="shared" si="431"/>
        <v/>
      </c>
      <c r="Z2010" s="586" t="str">
        <f t="shared" si="488"/>
        <v/>
      </c>
    </row>
    <row r="2011" spans="1:26" ht="12" hidden="1" thickBot="1" x14ac:dyDescent="0.25">
      <c r="A2011" s="567" t="s">
        <v>168</v>
      </c>
      <c r="B2011" s="644" t="s">
        <v>168</v>
      </c>
      <c r="C2011" s="645"/>
      <c r="D2011" s="422" t="s">
        <v>248</v>
      </c>
      <c r="E2011" s="423"/>
      <c r="F2011" s="424">
        <v>180</v>
      </c>
      <c r="G2011" s="425">
        <v>1.17E-2</v>
      </c>
      <c r="H2011" s="663">
        <f t="shared" ref="H2011:H2012" si="513">IF(F2011&lt;=30,(1.07*F2011+2.68)*G2011,((1.07*30+2.68)+1.07*(F2011-30))*G2011)</f>
        <v>2.2847759999999999</v>
      </c>
      <c r="I2011" s="420"/>
      <c r="J2011" s="420"/>
      <c r="K2011" s="421">
        <f t="shared" si="501"/>
        <v>0</v>
      </c>
      <c r="L2011" s="647"/>
      <c r="M2011" s="723"/>
      <c r="N2011" s="576">
        <f t="shared" si="511"/>
        <v>0</v>
      </c>
      <c r="O2011" s="577">
        <f t="shared" si="504"/>
        <v>0</v>
      </c>
      <c r="P2011" s="578">
        <f t="shared" si="505"/>
        <v>0</v>
      </c>
      <c r="Q2011" s="765"/>
      <c r="R2011" s="723"/>
      <c r="S2011" s="723"/>
      <c r="T2011" s="577">
        <f t="shared" si="502"/>
        <v>0</v>
      </c>
      <c r="U2011" s="578">
        <f t="shared" si="503"/>
        <v>0</v>
      </c>
      <c r="V2011" s="579"/>
      <c r="W2011" s="566" t="str">
        <f>IF(U2009&gt;0,"xx",IF(P2009&gt;0,"xy",""))</f>
        <v/>
      </c>
      <c r="X2011" s="586" t="str">
        <f t="shared" si="496"/>
        <v/>
      </c>
      <c r="Y2011" s="586" t="str">
        <f t="shared" si="431"/>
        <v/>
      </c>
      <c r="Z2011" s="586" t="str">
        <f t="shared" si="488"/>
        <v/>
      </c>
    </row>
    <row r="2012" spans="1:26" ht="12" hidden="1" thickBot="1" x14ac:dyDescent="0.25">
      <c r="A2012" s="567" t="s">
        <v>168</v>
      </c>
      <c r="B2012" s="644" t="s">
        <v>168</v>
      </c>
      <c r="C2012" s="645"/>
      <c r="D2012" s="422" t="s">
        <v>347</v>
      </c>
      <c r="E2012" s="423"/>
      <c r="F2012" s="424">
        <v>20</v>
      </c>
      <c r="G2012" s="425">
        <v>0.25</v>
      </c>
      <c r="H2012" s="663">
        <f t="shared" si="513"/>
        <v>6.0200000000000005</v>
      </c>
      <c r="I2012" s="420"/>
      <c r="J2012" s="420"/>
      <c r="K2012" s="421">
        <f t="shared" si="501"/>
        <v>0</v>
      </c>
      <c r="L2012" s="647"/>
      <c r="M2012" s="723"/>
      <c r="N2012" s="576">
        <f t="shared" si="511"/>
        <v>0</v>
      </c>
      <c r="O2012" s="577">
        <f t="shared" si="504"/>
        <v>0</v>
      </c>
      <c r="P2012" s="578">
        <f t="shared" si="505"/>
        <v>0</v>
      </c>
      <c r="Q2012" s="765"/>
      <c r="R2012" s="723"/>
      <c r="S2012" s="723"/>
      <c r="T2012" s="577">
        <f t="shared" si="502"/>
        <v>0</v>
      </c>
      <c r="U2012" s="578">
        <f t="shared" si="503"/>
        <v>0</v>
      </c>
      <c r="V2012" s="579"/>
      <c r="W2012" s="566" t="str">
        <f>IF(U2009&gt;0,"xx",IF(P2009&gt;0,"xy",""))</f>
        <v/>
      </c>
      <c r="X2012" s="586" t="str">
        <f t="shared" si="496"/>
        <v/>
      </c>
      <c r="Y2012" s="586" t="str">
        <f t="shared" si="431"/>
        <v/>
      </c>
      <c r="Z2012" s="586" t="str">
        <f t="shared" si="488"/>
        <v/>
      </c>
    </row>
    <row r="2013" spans="1:26" ht="12" hidden="1" thickBot="1" x14ac:dyDescent="0.25">
      <c r="A2013" s="567">
        <v>610600</v>
      </c>
      <c r="B2013" s="644" t="s">
        <v>1672</v>
      </c>
      <c r="C2013" s="645" t="s">
        <v>206</v>
      </c>
      <c r="D2013" s="422" t="s">
        <v>374</v>
      </c>
      <c r="E2013" s="423"/>
      <c r="F2013" s="424"/>
      <c r="G2013" s="425"/>
      <c r="H2013" s="651">
        <f>SUM(H2014:H2016)</f>
        <v>13.042284000000002</v>
      </c>
      <c r="I2013" s="420">
        <v>133.58000000000001</v>
      </c>
      <c r="J2013" s="420">
        <f>IF(ISBLANK(I2013),"",SUM(H2013:I2013))</f>
        <v>146.62228400000001</v>
      </c>
      <c r="K2013" s="421">
        <f t="shared" si="501"/>
        <v>174.2</v>
      </c>
      <c r="L2013" s="647" t="s">
        <v>19</v>
      </c>
      <c r="M2013" s="576"/>
      <c r="N2013" s="576">
        <f t="shared" si="511"/>
        <v>0</v>
      </c>
      <c r="O2013" s="577">
        <f t="shared" si="504"/>
        <v>0</v>
      </c>
      <c r="P2013" s="578">
        <f t="shared" si="505"/>
        <v>0</v>
      </c>
      <c r="Q2013" s="765"/>
      <c r="R2013" s="576">
        <f>M2013</f>
        <v>0</v>
      </c>
      <c r="S2013" s="576">
        <f>N2013</f>
        <v>0</v>
      </c>
      <c r="T2013" s="577">
        <f t="shared" si="502"/>
        <v>0</v>
      </c>
      <c r="U2013" s="578">
        <f t="shared" si="503"/>
        <v>0</v>
      </c>
      <c r="V2013" s="579"/>
      <c r="W2013" s="566"/>
      <c r="X2013" s="586" t="str">
        <f t="shared" si="496"/>
        <v/>
      </c>
      <c r="Y2013" s="586" t="str">
        <f t="shared" si="431"/>
        <v/>
      </c>
      <c r="Z2013" s="586" t="str">
        <f t="shared" si="488"/>
        <v/>
      </c>
    </row>
    <row r="2014" spans="1:26" ht="12" hidden="1" thickBot="1" x14ac:dyDescent="0.25">
      <c r="A2014" s="567" t="s">
        <v>168</v>
      </c>
      <c r="B2014" s="644" t="s">
        <v>168</v>
      </c>
      <c r="C2014" s="645"/>
      <c r="D2014" s="422" t="s">
        <v>212</v>
      </c>
      <c r="E2014" s="423"/>
      <c r="F2014" s="424">
        <v>500</v>
      </c>
      <c r="G2014" s="425">
        <v>2.5999999999999999E-3</v>
      </c>
      <c r="H2014" s="649">
        <f>IF(F2014&lt;=30,(0.78*F2014+7.82)*G2014,((0.78*30+7.82)+0.78*(F2014-30))*G2014)</f>
        <v>1.034332</v>
      </c>
      <c r="I2014" s="420"/>
      <c r="J2014" s="420"/>
      <c r="K2014" s="421">
        <f t="shared" si="501"/>
        <v>0</v>
      </c>
      <c r="L2014" s="647"/>
      <c r="M2014" s="723"/>
      <c r="N2014" s="576">
        <f t="shared" si="511"/>
        <v>0</v>
      </c>
      <c r="O2014" s="577">
        <f t="shared" si="504"/>
        <v>0</v>
      </c>
      <c r="P2014" s="578">
        <f t="shared" si="505"/>
        <v>0</v>
      </c>
      <c r="Q2014" s="765"/>
      <c r="R2014" s="723"/>
      <c r="S2014" s="723"/>
      <c r="T2014" s="577">
        <f t="shared" si="502"/>
        <v>0</v>
      </c>
      <c r="U2014" s="578">
        <f t="shared" si="503"/>
        <v>0</v>
      </c>
      <c r="V2014" s="579"/>
      <c r="W2014" s="566" t="str">
        <f>IF(U2013&gt;0,"xx",IF(P2013&gt;0,"xy",""))</f>
        <v/>
      </c>
      <c r="X2014" s="586" t="str">
        <f t="shared" si="496"/>
        <v/>
      </c>
      <c r="Y2014" s="586" t="str">
        <f t="shared" si="431"/>
        <v/>
      </c>
      <c r="Z2014" s="586" t="str">
        <f t="shared" si="488"/>
        <v/>
      </c>
    </row>
    <row r="2015" spans="1:26" ht="12" hidden="1" thickBot="1" x14ac:dyDescent="0.25">
      <c r="A2015" s="567" t="s">
        <v>168</v>
      </c>
      <c r="B2015" s="644" t="s">
        <v>168</v>
      </c>
      <c r="C2015" s="645"/>
      <c r="D2015" s="422" t="s">
        <v>248</v>
      </c>
      <c r="E2015" s="423"/>
      <c r="F2015" s="424">
        <v>180</v>
      </c>
      <c r="G2015" s="425">
        <v>1.34E-2</v>
      </c>
      <c r="H2015" s="663">
        <f t="shared" ref="H2015:H2016" si="514">IF(F2015&lt;=30,(1.07*F2015+2.68)*G2015,((1.07*30+2.68)+1.07*(F2015-30))*G2015)</f>
        <v>2.616752</v>
      </c>
      <c r="I2015" s="420"/>
      <c r="J2015" s="420"/>
      <c r="K2015" s="421">
        <f t="shared" si="501"/>
        <v>0</v>
      </c>
      <c r="L2015" s="647"/>
      <c r="M2015" s="723"/>
      <c r="N2015" s="576">
        <f t="shared" si="511"/>
        <v>0</v>
      </c>
      <c r="O2015" s="577">
        <f t="shared" si="504"/>
        <v>0</v>
      </c>
      <c r="P2015" s="578">
        <f t="shared" si="505"/>
        <v>0</v>
      </c>
      <c r="Q2015" s="765"/>
      <c r="R2015" s="723"/>
      <c r="S2015" s="723"/>
      <c r="T2015" s="577">
        <f t="shared" si="502"/>
        <v>0</v>
      </c>
      <c r="U2015" s="578">
        <f t="shared" si="503"/>
        <v>0</v>
      </c>
      <c r="V2015" s="579"/>
      <c r="W2015" s="566" t="str">
        <f>IF(U2013&gt;0,"xx",IF(P2013&gt;0,"xy",""))</f>
        <v/>
      </c>
      <c r="X2015" s="586" t="str">
        <f t="shared" si="496"/>
        <v/>
      </c>
      <c r="Y2015" s="586" t="str">
        <f t="shared" si="431"/>
        <v/>
      </c>
      <c r="Z2015" s="586" t="str">
        <f t="shared" si="488"/>
        <v/>
      </c>
    </row>
    <row r="2016" spans="1:26" ht="12" hidden="1" thickBot="1" x14ac:dyDescent="0.25">
      <c r="A2016" s="567" t="s">
        <v>168</v>
      </c>
      <c r="B2016" s="644" t="s">
        <v>168</v>
      </c>
      <c r="C2016" s="645"/>
      <c r="D2016" s="422" t="s">
        <v>347</v>
      </c>
      <c r="E2016" s="423"/>
      <c r="F2016" s="424">
        <v>20</v>
      </c>
      <c r="G2016" s="425">
        <v>0.39</v>
      </c>
      <c r="H2016" s="663">
        <f t="shared" si="514"/>
        <v>9.3912000000000013</v>
      </c>
      <c r="I2016" s="420"/>
      <c r="J2016" s="420"/>
      <c r="K2016" s="421">
        <f t="shared" si="501"/>
        <v>0</v>
      </c>
      <c r="L2016" s="647"/>
      <c r="M2016" s="723"/>
      <c r="N2016" s="576">
        <f t="shared" si="511"/>
        <v>0</v>
      </c>
      <c r="O2016" s="577">
        <f t="shared" si="504"/>
        <v>0</v>
      </c>
      <c r="P2016" s="578">
        <f t="shared" si="505"/>
        <v>0</v>
      </c>
      <c r="Q2016" s="765"/>
      <c r="R2016" s="723"/>
      <c r="S2016" s="723"/>
      <c r="T2016" s="577">
        <f t="shared" si="502"/>
        <v>0</v>
      </c>
      <c r="U2016" s="578">
        <f t="shared" si="503"/>
        <v>0</v>
      </c>
      <c r="V2016" s="579"/>
      <c r="W2016" s="566" t="str">
        <f>IF(U2013&gt;0,"xx",IF(P2013&gt;0,"xy",""))</f>
        <v/>
      </c>
      <c r="X2016" s="586" t="str">
        <f t="shared" si="496"/>
        <v/>
      </c>
      <c r="Y2016" s="586" t="str">
        <f t="shared" si="431"/>
        <v/>
      </c>
      <c r="Z2016" s="586" t="str">
        <f t="shared" si="488"/>
        <v/>
      </c>
    </row>
    <row r="2017" spans="1:26" ht="12" hidden="1" thickBot="1" x14ac:dyDescent="0.25">
      <c r="A2017" s="567">
        <v>610600</v>
      </c>
      <c r="B2017" s="644" t="s">
        <v>1673</v>
      </c>
      <c r="C2017" s="645" t="s">
        <v>206</v>
      </c>
      <c r="D2017" s="422" t="s">
        <v>509</v>
      </c>
      <c r="E2017" s="423"/>
      <c r="F2017" s="424"/>
      <c r="G2017" s="425"/>
      <c r="H2017" s="651">
        <f>SUM(H2018:H2020)</f>
        <v>16.864806000000002</v>
      </c>
      <c r="I2017" s="420">
        <v>202.41</v>
      </c>
      <c r="J2017" s="420">
        <f>IF(ISBLANK(I2017),"",SUM(H2017:I2017))</f>
        <v>219.27480600000001</v>
      </c>
      <c r="K2017" s="421">
        <f t="shared" si="501"/>
        <v>260.52</v>
      </c>
      <c r="L2017" s="647" t="s">
        <v>19</v>
      </c>
      <c r="M2017" s="576"/>
      <c r="N2017" s="576">
        <f t="shared" si="511"/>
        <v>0</v>
      </c>
      <c r="O2017" s="577">
        <f t="shared" si="504"/>
        <v>0</v>
      </c>
      <c r="P2017" s="578">
        <f t="shared" si="505"/>
        <v>0</v>
      </c>
      <c r="Q2017" s="765"/>
      <c r="R2017" s="576">
        <f>M2017</f>
        <v>0</v>
      </c>
      <c r="S2017" s="576">
        <f>N2017</f>
        <v>0</v>
      </c>
      <c r="T2017" s="577">
        <f t="shared" si="502"/>
        <v>0</v>
      </c>
      <c r="U2017" s="578">
        <f t="shared" si="503"/>
        <v>0</v>
      </c>
      <c r="V2017" s="579"/>
      <c r="W2017" s="566"/>
      <c r="X2017" s="586" t="str">
        <f t="shared" si="496"/>
        <v/>
      </c>
      <c r="Y2017" s="586" t="str">
        <f t="shared" si="431"/>
        <v/>
      </c>
      <c r="Z2017" s="586" t="str">
        <f t="shared" si="488"/>
        <v/>
      </c>
    </row>
    <row r="2018" spans="1:26" ht="12" hidden="1" thickBot="1" x14ac:dyDescent="0.25">
      <c r="A2018" s="567" t="s">
        <v>168</v>
      </c>
      <c r="B2018" s="644" t="s">
        <v>168</v>
      </c>
      <c r="C2018" s="645"/>
      <c r="D2018" s="422" t="s">
        <v>212</v>
      </c>
      <c r="E2018" s="423"/>
      <c r="F2018" s="424">
        <v>500</v>
      </c>
      <c r="G2018" s="425">
        <v>2.8999999999999998E-3</v>
      </c>
      <c r="H2018" s="649">
        <f>IF(F2018&lt;=30,(0.78*F2018+7.82)*G2018,((0.78*30+7.82)+0.78*(F2018-30))*G2018)</f>
        <v>1.153678</v>
      </c>
      <c r="I2018" s="420"/>
      <c r="J2018" s="420"/>
      <c r="K2018" s="421">
        <f t="shared" si="501"/>
        <v>0</v>
      </c>
      <c r="L2018" s="647"/>
      <c r="M2018" s="723"/>
      <c r="N2018" s="576">
        <f t="shared" si="511"/>
        <v>0</v>
      </c>
      <c r="O2018" s="577">
        <f t="shared" si="504"/>
        <v>0</v>
      </c>
      <c r="P2018" s="578">
        <f t="shared" si="505"/>
        <v>0</v>
      </c>
      <c r="Q2018" s="765"/>
      <c r="R2018" s="723"/>
      <c r="S2018" s="723"/>
      <c r="T2018" s="577">
        <f t="shared" si="502"/>
        <v>0</v>
      </c>
      <c r="U2018" s="578">
        <f t="shared" si="503"/>
        <v>0</v>
      </c>
      <c r="V2018" s="579"/>
      <c r="W2018" s="566" t="str">
        <f>IF(U2017&gt;0,"xx",IF(P2017&gt;0,"xy",""))</f>
        <v/>
      </c>
      <c r="X2018" s="586" t="str">
        <f t="shared" si="496"/>
        <v/>
      </c>
      <c r="Y2018" s="586" t="str">
        <f t="shared" si="431"/>
        <v/>
      </c>
      <c r="Z2018" s="586" t="str">
        <f t="shared" si="488"/>
        <v/>
      </c>
    </row>
    <row r="2019" spans="1:26" ht="12" hidden="1" thickBot="1" x14ac:dyDescent="0.25">
      <c r="A2019" s="567" t="s">
        <v>168</v>
      </c>
      <c r="B2019" s="644" t="s">
        <v>168</v>
      </c>
      <c r="C2019" s="645"/>
      <c r="D2019" s="422" t="s">
        <v>248</v>
      </c>
      <c r="E2019" s="423"/>
      <c r="F2019" s="424">
        <v>180</v>
      </c>
      <c r="G2019" s="425">
        <v>1.5100000000000001E-2</v>
      </c>
      <c r="H2019" s="663">
        <f t="shared" ref="H2019:H2020" si="515">IF(F2019&lt;=30,(1.07*F2019+2.68)*G2019,((1.07*30+2.68)+1.07*(F2019-30))*G2019)</f>
        <v>2.948728</v>
      </c>
      <c r="I2019" s="420"/>
      <c r="J2019" s="420"/>
      <c r="K2019" s="421">
        <f t="shared" si="501"/>
        <v>0</v>
      </c>
      <c r="L2019" s="647"/>
      <c r="M2019" s="723"/>
      <c r="N2019" s="576">
        <f t="shared" si="511"/>
        <v>0</v>
      </c>
      <c r="O2019" s="577">
        <f t="shared" si="504"/>
        <v>0</v>
      </c>
      <c r="P2019" s="578">
        <f t="shared" si="505"/>
        <v>0</v>
      </c>
      <c r="Q2019" s="765"/>
      <c r="R2019" s="723"/>
      <c r="S2019" s="723"/>
      <c r="T2019" s="577">
        <f t="shared" si="502"/>
        <v>0</v>
      </c>
      <c r="U2019" s="578">
        <f t="shared" si="503"/>
        <v>0</v>
      </c>
      <c r="V2019" s="579"/>
      <c r="W2019" s="566" t="str">
        <f>IF(U2017&gt;0,"xx",IF(P2017&gt;0,"xy",""))</f>
        <v/>
      </c>
      <c r="X2019" s="586" t="str">
        <f t="shared" si="496"/>
        <v/>
      </c>
      <c r="Y2019" s="586" t="str">
        <f t="shared" si="431"/>
        <v/>
      </c>
      <c r="Z2019" s="586" t="str">
        <f t="shared" si="488"/>
        <v/>
      </c>
    </row>
    <row r="2020" spans="1:26" ht="12" hidden="1" thickBot="1" x14ac:dyDescent="0.25">
      <c r="A2020" s="567" t="s">
        <v>168</v>
      </c>
      <c r="B2020" s="644" t="s">
        <v>168</v>
      </c>
      <c r="C2020" s="645"/>
      <c r="D2020" s="422" t="s">
        <v>347</v>
      </c>
      <c r="E2020" s="423"/>
      <c r="F2020" s="424">
        <v>20</v>
      </c>
      <c r="G2020" s="425">
        <v>0.53</v>
      </c>
      <c r="H2020" s="663">
        <f t="shared" si="515"/>
        <v>12.762400000000001</v>
      </c>
      <c r="I2020" s="420"/>
      <c r="J2020" s="420"/>
      <c r="K2020" s="421">
        <f t="shared" si="501"/>
        <v>0</v>
      </c>
      <c r="L2020" s="647"/>
      <c r="M2020" s="723"/>
      <c r="N2020" s="576">
        <f t="shared" si="511"/>
        <v>0</v>
      </c>
      <c r="O2020" s="577">
        <f t="shared" si="504"/>
        <v>0</v>
      </c>
      <c r="P2020" s="578">
        <f t="shared" si="505"/>
        <v>0</v>
      </c>
      <c r="Q2020" s="765"/>
      <c r="R2020" s="723"/>
      <c r="S2020" s="723"/>
      <c r="T2020" s="577">
        <f t="shared" si="502"/>
        <v>0</v>
      </c>
      <c r="U2020" s="578">
        <f t="shared" si="503"/>
        <v>0</v>
      </c>
      <c r="V2020" s="579"/>
      <c r="W2020" s="566" t="str">
        <f>IF(U2017&gt;0,"xx",IF(P2017&gt;0,"xy",""))</f>
        <v/>
      </c>
      <c r="X2020" s="586" t="str">
        <f t="shared" si="496"/>
        <v/>
      </c>
      <c r="Y2020" s="586" t="str">
        <f t="shared" si="431"/>
        <v/>
      </c>
      <c r="Z2020" s="586" t="str">
        <f t="shared" si="488"/>
        <v/>
      </c>
    </row>
    <row r="2021" spans="1:26" ht="12" hidden="1" thickBot="1" x14ac:dyDescent="0.25">
      <c r="A2021" s="567">
        <v>610800</v>
      </c>
      <c r="B2021" s="644" t="s">
        <v>1678</v>
      </c>
      <c r="C2021" s="645" t="s">
        <v>206</v>
      </c>
      <c r="D2021" s="422" t="s">
        <v>375</v>
      </c>
      <c r="E2021" s="423"/>
      <c r="F2021" s="424"/>
      <c r="G2021" s="425"/>
      <c r="H2021" s="651">
        <f>SUM(H2022:H2024)</f>
        <v>20.687328000000001</v>
      </c>
      <c r="I2021" s="420">
        <v>271.24</v>
      </c>
      <c r="J2021" s="420">
        <f>IF(ISBLANK(I2021),"",SUM(H2021:I2021))</f>
        <v>291.92732799999999</v>
      </c>
      <c r="K2021" s="421">
        <f t="shared" si="501"/>
        <v>346.84</v>
      </c>
      <c r="L2021" s="647" t="s">
        <v>19</v>
      </c>
      <c r="M2021" s="576"/>
      <c r="N2021" s="576">
        <f t="shared" si="511"/>
        <v>0</v>
      </c>
      <c r="O2021" s="577">
        <f t="shared" si="504"/>
        <v>0</v>
      </c>
      <c r="P2021" s="578">
        <f t="shared" si="505"/>
        <v>0</v>
      </c>
      <c r="Q2021" s="765"/>
      <c r="R2021" s="576">
        <f>M2021</f>
        <v>0</v>
      </c>
      <c r="S2021" s="576">
        <f>N2021</f>
        <v>0</v>
      </c>
      <c r="T2021" s="577">
        <f t="shared" si="502"/>
        <v>0</v>
      </c>
      <c r="U2021" s="578">
        <f t="shared" si="503"/>
        <v>0</v>
      </c>
      <c r="V2021" s="579"/>
      <c r="W2021" s="566"/>
      <c r="X2021" s="586" t="str">
        <f t="shared" si="496"/>
        <v/>
      </c>
      <c r="Y2021" s="586" t="str">
        <f t="shared" si="431"/>
        <v/>
      </c>
      <c r="Z2021" s="586" t="str">
        <f t="shared" si="488"/>
        <v/>
      </c>
    </row>
    <row r="2022" spans="1:26" ht="12" hidden="1" thickBot="1" x14ac:dyDescent="0.25">
      <c r="A2022" s="567" t="s">
        <v>168</v>
      </c>
      <c r="B2022" s="644" t="s">
        <v>168</v>
      </c>
      <c r="C2022" s="645"/>
      <c r="D2022" s="422" t="s">
        <v>212</v>
      </c>
      <c r="E2022" s="423"/>
      <c r="F2022" s="424">
        <v>500</v>
      </c>
      <c r="G2022" s="425">
        <v>3.2000000000000002E-3</v>
      </c>
      <c r="H2022" s="649">
        <f>IF(F2022&lt;=30,(0.78*F2022+7.82)*G2022,((0.78*30+7.82)+0.78*(F2022-30))*G2022)</f>
        <v>1.2730240000000002</v>
      </c>
      <c r="I2022" s="420"/>
      <c r="J2022" s="420"/>
      <c r="K2022" s="421">
        <f t="shared" si="501"/>
        <v>0</v>
      </c>
      <c r="L2022" s="647"/>
      <c r="M2022" s="723"/>
      <c r="N2022" s="576">
        <f t="shared" si="511"/>
        <v>0</v>
      </c>
      <c r="O2022" s="577">
        <f t="shared" si="504"/>
        <v>0</v>
      </c>
      <c r="P2022" s="578">
        <f t="shared" si="505"/>
        <v>0</v>
      </c>
      <c r="Q2022" s="765"/>
      <c r="R2022" s="723"/>
      <c r="S2022" s="723"/>
      <c r="T2022" s="577">
        <f t="shared" si="502"/>
        <v>0</v>
      </c>
      <c r="U2022" s="578">
        <f t="shared" si="503"/>
        <v>0</v>
      </c>
      <c r="V2022" s="579"/>
      <c r="W2022" s="566" t="str">
        <f>IF(U2021&gt;0,"xx",IF(P2021&gt;0,"xy",""))</f>
        <v/>
      </c>
      <c r="X2022" s="586" t="str">
        <f t="shared" si="496"/>
        <v/>
      </c>
      <c r="Y2022" s="586" t="str">
        <f t="shared" si="431"/>
        <v/>
      </c>
      <c r="Z2022" s="586" t="str">
        <f t="shared" si="488"/>
        <v/>
      </c>
    </row>
    <row r="2023" spans="1:26" ht="12" hidden="1" thickBot="1" x14ac:dyDescent="0.25">
      <c r="A2023" s="567" t="s">
        <v>168</v>
      </c>
      <c r="B2023" s="644" t="s">
        <v>168</v>
      </c>
      <c r="C2023" s="645"/>
      <c r="D2023" s="422" t="s">
        <v>248</v>
      </c>
      <c r="E2023" s="423"/>
      <c r="F2023" s="424">
        <v>180</v>
      </c>
      <c r="G2023" s="425">
        <v>1.6799999999999999E-2</v>
      </c>
      <c r="H2023" s="663">
        <f t="shared" ref="H2023:H2024" si="516">IF(F2023&lt;=30,(1.07*F2023+2.68)*G2023,((1.07*30+2.68)+1.07*(F2023-30))*G2023)</f>
        <v>3.2807039999999996</v>
      </c>
      <c r="I2023" s="420"/>
      <c r="J2023" s="420"/>
      <c r="K2023" s="421">
        <f t="shared" si="501"/>
        <v>0</v>
      </c>
      <c r="L2023" s="647"/>
      <c r="M2023" s="723"/>
      <c r="N2023" s="576">
        <f t="shared" si="511"/>
        <v>0</v>
      </c>
      <c r="O2023" s="577">
        <f t="shared" si="504"/>
        <v>0</v>
      </c>
      <c r="P2023" s="578">
        <f t="shared" si="505"/>
        <v>0</v>
      </c>
      <c r="Q2023" s="765"/>
      <c r="R2023" s="723"/>
      <c r="S2023" s="723"/>
      <c r="T2023" s="577">
        <f t="shared" si="502"/>
        <v>0</v>
      </c>
      <c r="U2023" s="578">
        <f t="shared" si="503"/>
        <v>0</v>
      </c>
      <c r="V2023" s="579"/>
      <c r="W2023" s="566" t="str">
        <f>IF(U2021&gt;0,"xx",IF(P2021&gt;0,"xy",""))</f>
        <v/>
      </c>
      <c r="X2023" s="586" t="str">
        <f t="shared" si="496"/>
        <v/>
      </c>
      <c r="Y2023" s="586" t="str">
        <f t="shared" si="431"/>
        <v/>
      </c>
      <c r="Z2023" s="586" t="str">
        <f t="shared" si="488"/>
        <v/>
      </c>
    </row>
    <row r="2024" spans="1:26" ht="12" hidden="1" thickBot="1" x14ac:dyDescent="0.25">
      <c r="A2024" s="567" t="s">
        <v>168</v>
      </c>
      <c r="B2024" s="644" t="s">
        <v>168</v>
      </c>
      <c r="C2024" s="645"/>
      <c r="D2024" s="422" t="s">
        <v>347</v>
      </c>
      <c r="E2024" s="423"/>
      <c r="F2024" s="424">
        <v>20</v>
      </c>
      <c r="G2024" s="425">
        <v>0.67</v>
      </c>
      <c r="H2024" s="663">
        <f t="shared" si="516"/>
        <v>16.133600000000001</v>
      </c>
      <c r="I2024" s="420"/>
      <c r="J2024" s="420"/>
      <c r="K2024" s="421">
        <f t="shared" si="501"/>
        <v>0</v>
      </c>
      <c r="L2024" s="647"/>
      <c r="M2024" s="723"/>
      <c r="N2024" s="576">
        <f t="shared" si="511"/>
        <v>0</v>
      </c>
      <c r="O2024" s="577">
        <f t="shared" si="504"/>
        <v>0</v>
      </c>
      <c r="P2024" s="578">
        <f t="shared" si="505"/>
        <v>0</v>
      </c>
      <c r="Q2024" s="765"/>
      <c r="R2024" s="723"/>
      <c r="S2024" s="723"/>
      <c r="T2024" s="577">
        <f t="shared" si="502"/>
        <v>0</v>
      </c>
      <c r="U2024" s="578">
        <f t="shared" si="503"/>
        <v>0</v>
      </c>
      <c r="V2024" s="579"/>
      <c r="W2024" s="566" t="str">
        <f>IF(U2021&gt;0,"xx",IF(P2021&gt;0,"xy",""))</f>
        <v/>
      </c>
      <c r="X2024" s="586" t="str">
        <f t="shared" si="496"/>
        <v/>
      </c>
      <c r="Y2024" s="586" t="str">
        <f t="shared" si="431"/>
        <v/>
      </c>
      <c r="Z2024" s="586" t="str">
        <f t="shared" ref="Z2024:Z2087" si="517">IF(W2024="X","x",IF(U2024&gt;0,"x",""))</f>
        <v/>
      </c>
    </row>
    <row r="2025" spans="1:26" ht="12" hidden="1" thickBot="1" x14ac:dyDescent="0.25">
      <c r="A2025" s="567">
        <v>610400</v>
      </c>
      <c r="B2025" s="644" t="s">
        <v>1670</v>
      </c>
      <c r="C2025" s="645" t="s">
        <v>206</v>
      </c>
      <c r="D2025" s="422" t="s">
        <v>376</v>
      </c>
      <c r="E2025" s="423"/>
      <c r="F2025" s="424"/>
      <c r="G2025" s="425"/>
      <c r="H2025" s="651">
        <f>SUM(H2026:H2028)</f>
        <v>5.3574580000000003</v>
      </c>
      <c r="I2025" s="420">
        <v>127.35</v>
      </c>
      <c r="J2025" s="420">
        <f>IF(ISBLANK(I2025),"",SUM(H2025:I2025))</f>
        <v>132.707458</v>
      </c>
      <c r="K2025" s="421">
        <f t="shared" si="501"/>
        <v>157.66999999999999</v>
      </c>
      <c r="L2025" s="647" t="s">
        <v>19</v>
      </c>
      <c r="M2025" s="576"/>
      <c r="N2025" s="576">
        <f t="shared" si="511"/>
        <v>0</v>
      </c>
      <c r="O2025" s="577">
        <f t="shared" si="504"/>
        <v>0</v>
      </c>
      <c r="P2025" s="578">
        <f t="shared" si="505"/>
        <v>0</v>
      </c>
      <c r="Q2025" s="765"/>
      <c r="R2025" s="576">
        <f>M2025</f>
        <v>0</v>
      </c>
      <c r="S2025" s="576">
        <f>N2025</f>
        <v>0</v>
      </c>
      <c r="T2025" s="577">
        <f t="shared" si="502"/>
        <v>0</v>
      </c>
      <c r="U2025" s="578">
        <f t="shared" si="503"/>
        <v>0</v>
      </c>
      <c r="V2025" s="579"/>
      <c r="W2025" s="566"/>
      <c r="X2025" s="586" t="str">
        <f t="shared" si="496"/>
        <v/>
      </c>
      <c r="Y2025" s="586" t="str">
        <f t="shared" si="431"/>
        <v/>
      </c>
      <c r="Z2025" s="586" t="str">
        <f t="shared" si="517"/>
        <v/>
      </c>
    </row>
    <row r="2026" spans="1:26" ht="12" hidden="1" thickBot="1" x14ac:dyDescent="0.25">
      <c r="A2026" s="567" t="s">
        <v>168</v>
      </c>
      <c r="B2026" s="644" t="s">
        <v>168</v>
      </c>
      <c r="C2026" s="645"/>
      <c r="D2026" s="422" t="s">
        <v>212</v>
      </c>
      <c r="E2026" s="423"/>
      <c r="F2026" s="424">
        <v>500</v>
      </c>
      <c r="G2026" s="425">
        <v>1.9E-3</v>
      </c>
      <c r="H2026" s="649">
        <f>IF(F2026&lt;=30,(0.78*F2026+7.82)*G2026,((0.78*30+7.82)+0.78*(F2026-30))*G2026)</f>
        <v>0.75585800000000014</v>
      </c>
      <c r="I2026" s="420"/>
      <c r="J2026" s="420"/>
      <c r="K2026" s="421">
        <f t="shared" si="501"/>
        <v>0</v>
      </c>
      <c r="L2026" s="647"/>
      <c r="M2026" s="723"/>
      <c r="N2026" s="576">
        <f t="shared" si="511"/>
        <v>0</v>
      </c>
      <c r="O2026" s="577">
        <f t="shared" si="504"/>
        <v>0</v>
      </c>
      <c r="P2026" s="578">
        <f t="shared" si="505"/>
        <v>0</v>
      </c>
      <c r="Q2026" s="765"/>
      <c r="R2026" s="723"/>
      <c r="S2026" s="723"/>
      <c r="T2026" s="577">
        <f t="shared" si="502"/>
        <v>0</v>
      </c>
      <c r="U2026" s="578">
        <f t="shared" si="503"/>
        <v>0</v>
      </c>
      <c r="V2026" s="579"/>
      <c r="W2026" s="566" t="str">
        <f>IF(U2025&gt;0,"xx",IF(P2025&gt;0,"xy",""))</f>
        <v/>
      </c>
      <c r="X2026" s="586" t="str">
        <f t="shared" si="496"/>
        <v/>
      </c>
      <c r="Y2026" s="586" t="str">
        <f t="shared" si="431"/>
        <v/>
      </c>
      <c r="Z2026" s="586" t="str">
        <f t="shared" si="517"/>
        <v/>
      </c>
    </row>
    <row r="2027" spans="1:26" ht="12" hidden="1" thickBot="1" x14ac:dyDescent="0.25">
      <c r="A2027" s="567" t="s">
        <v>168</v>
      </c>
      <c r="B2027" s="644" t="s">
        <v>168</v>
      </c>
      <c r="C2027" s="645"/>
      <c r="D2027" s="422" t="s">
        <v>248</v>
      </c>
      <c r="E2027" s="423"/>
      <c r="F2027" s="424">
        <v>180</v>
      </c>
      <c r="G2027" s="425">
        <v>0.01</v>
      </c>
      <c r="H2027" s="663">
        <f t="shared" ref="H2027:H2028" si="518">IF(F2027&lt;=30,(1.07*F2027+2.68)*G2027,((1.07*30+2.68)+1.07*(F2027-30))*G2027)</f>
        <v>1.9528000000000001</v>
      </c>
      <c r="I2027" s="420"/>
      <c r="J2027" s="420"/>
      <c r="K2027" s="421">
        <f t="shared" si="501"/>
        <v>0</v>
      </c>
      <c r="L2027" s="647"/>
      <c r="M2027" s="723"/>
      <c r="N2027" s="576">
        <f t="shared" si="511"/>
        <v>0</v>
      </c>
      <c r="O2027" s="577">
        <f t="shared" si="504"/>
        <v>0</v>
      </c>
      <c r="P2027" s="578">
        <f t="shared" si="505"/>
        <v>0</v>
      </c>
      <c r="Q2027" s="765"/>
      <c r="R2027" s="723"/>
      <c r="S2027" s="723"/>
      <c r="T2027" s="577">
        <f t="shared" si="502"/>
        <v>0</v>
      </c>
      <c r="U2027" s="578">
        <f t="shared" si="503"/>
        <v>0</v>
      </c>
      <c r="V2027" s="579"/>
      <c r="W2027" s="566" t="str">
        <f>IF(U2025&gt;0,"xx",IF(P2025&gt;0,"xy",""))</f>
        <v/>
      </c>
      <c r="X2027" s="586" t="str">
        <f t="shared" si="496"/>
        <v/>
      </c>
      <c r="Y2027" s="586" t="str">
        <f t="shared" si="431"/>
        <v/>
      </c>
      <c r="Z2027" s="586" t="str">
        <f t="shared" si="517"/>
        <v/>
      </c>
    </row>
    <row r="2028" spans="1:26" ht="12" hidden="1" thickBot="1" x14ac:dyDescent="0.25">
      <c r="A2028" s="567" t="s">
        <v>168</v>
      </c>
      <c r="B2028" s="644" t="s">
        <v>168</v>
      </c>
      <c r="C2028" s="645"/>
      <c r="D2028" s="422" t="s">
        <v>347</v>
      </c>
      <c r="E2028" s="423"/>
      <c r="F2028" s="424">
        <v>20</v>
      </c>
      <c r="G2028" s="425">
        <v>0.11</v>
      </c>
      <c r="H2028" s="663">
        <f t="shared" si="518"/>
        <v>2.6488</v>
      </c>
      <c r="I2028" s="420"/>
      <c r="J2028" s="420"/>
      <c r="K2028" s="421">
        <f t="shared" si="501"/>
        <v>0</v>
      </c>
      <c r="L2028" s="647"/>
      <c r="M2028" s="723"/>
      <c r="N2028" s="576">
        <f t="shared" si="511"/>
        <v>0</v>
      </c>
      <c r="O2028" s="577">
        <f t="shared" si="504"/>
        <v>0</v>
      </c>
      <c r="P2028" s="578">
        <f t="shared" si="505"/>
        <v>0</v>
      </c>
      <c r="Q2028" s="765"/>
      <c r="R2028" s="723"/>
      <c r="S2028" s="723"/>
      <c r="T2028" s="577">
        <f t="shared" si="502"/>
        <v>0</v>
      </c>
      <c r="U2028" s="578">
        <f t="shared" si="503"/>
        <v>0</v>
      </c>
      <c r="V2028" s="579"/>
      <c r="W2028" s="566" t="str">
        <f>IF(U2025&gt;0,"xx",IF(P2025&gt;0,"xy",""))</f>
        <v/>
      </c>
      <c r="X2028" s="586" t="str">
        <f t="shared" si="496"/>
        <v/>
      </c>
      <c r="Y2028" s="586" t="str">
        <f t="shared" si="431"/>
        <v/>
      </c>
      <c r="Z2028" s="586" t="str">
        <f t="shared" si="517"/>
        <v/>
      </c>
    </row>
    <row r="2029" spans="1:26" ht="12" hidden="1" thickBot="1" x14ac:dyDescent="0.25">
      <c r="A2029" s="567">
        <v>610600</v>
      </c>
      <c r="B2029" s="644" t="s">
        <v>1674</v>
      </c>
      <c r="C2029" s="645" t="s">
        <v>206</v>
      </c>
      <c r="D2029" s="422" t="s">
        <v>578</v>
      </c>
      <c r="E2029" s="423"/>
      <c r="F2029" s="424"/>
      <c r="G2029" s="425"/>
      <c r="H2029" s="651">
        <f>SUM(H2030:H2032)</f>
        <v>9.2197619999999993</v>
      </c>
      <c r="I2029" s="420">
        <v>197.23499999999999</v>
      </c>
      <c r="J2029" s="420">
        <f>IF(ISBLANK(I2029),"",SUM(H2029:I2029))</f>
        <v>206.45476199999999</v>
      </c>
      <c r="K2029" s="421">
        <f t="shared" si="501"/>
        <v>245.29</v>
      </c>
      <c r="L2029" s="647" t="s">
        <v>19</v>
      </c>
      <c r="M2029" s="576"/>
      <c r="N2029" s="576">
        <f t="shared" si="511"/>
        <v>0</v>
      </c>
      <c r="O2029" s="577">
        <f t="shared" si="504"/>
        <v>0</v>
      </c>
      <c r="P2029" s="578">
        <f t="shared" si="505"/>
        <v>0</v>
      </c>
      <c r="Q2029" s="765"/>
      <c r="R2029" s="576">
        <f>M2029</f>
        <v>0</v>
      </c>
      <c r="S2029" s="576">
        <f>N2029</f>
        <v>0</v>
      </c>
      <c r="T2029" s="577">
        <f t="shared" si="502"/>
        <v>0</v>
      </c>
      <c r="U2029" s="578">
        <f t="shared" si="503"/>
        <v>0</v>
      </c>
      <c r="V2029" s="579"/>
      <c r="W2029" s="566"/>
      <c r="X2029" s="586" t="str">
        <f t="shared" si="496"/>
        <v/>
      </c>
      <c r="Y2029" s="586" t="str">
        <f t="shared" si="431"/>
        <v/>
      </c>
      <c r="Z2029" s="586" t="str">
        <f t="shared" si="517"/>
        <v/>
      </c>
    </row>
    <row r="2030" spans="1:26" ht="12" hidden="1" thickBot="1" x14ac:dyDescent="0.25">
      <c r="A2030" s="567" t="s">
        <v>168</v>
      </c>
      <c r="B2030" s="644" t="s">
        <v>168</v>
      </c>
      <c r="C2030" s="645"/>
      <c r="D2030" s="422" t="s">
        <v>212</v>
      </c>
      <c r="E2030" s="423"/>
      <c r="F2030" s="424">
        <v>500</v>
      </c>
      <c r="G2030" s="425">
        <v>2.3E-3</v>
      </c>
      <c r="H2030" s="649">
        <f>IF(F2030&lt;=30,(0.78*F2030+7.82)*G2030,((0.78*30+7.82)+0.78*(F2030-30))*G2030)</f>
        <v>0.91498600000000008</v>
      </c>
      <c r="I2030" s="420"/>
      <c r="J2030" s="420"/>
      <c r="K2030" s="421">
        <f t="shared" si="501"/>
        <v>0</v>
      </c>
      <c r="L2030" s="647"/>
      <c r="M2030" s="723"/>
      <c r="N2030" s="576">
        <f t="shared" si="511"/>
        <v>0</v>
      </c>
      <c r="O2030" s="577">
        <f t="shared" si="504"/>
        <v>0</v>
      </c>
      <c r="P2030" s="578">
        <f t="shared" si="505"/>
        <v>0</v>
      </c>
      <c r="Q2030" s="765"/>
      <c r="R2030" s="723"/>
      <c r="S2030" s="723"/>
      <c r="T2030" s="577">
        <f t="shared" si="502"/>
        <v>0</v>
      </c>
      <c r="U2030" s="578">
        <f t="shared" si="503"/>
        <v>0</v>
      </c>
      <c r="V2030" s="579"/>
      <c r="W2030" s="566" t="str">
        <f>IF(U2029&gt;0,"xx",IF(P2029&gt;0,"xy",""))</f>
        <v/>
      </c>
      <c r="X2030" s="586" t="str">
        <f t="shared" si="496"/>
        <v/>
      </c>
      <c r="Y2030" s="586" t="str">
        <f t="shared" si="431"/>
        <v/>
      </c>
      <c r="Z2030" s="586" t="str">
        <f t="shared" si="517"/>
        <v/>
      </c>
    </row>
    <row r="2031" spans="1:26" ht="12" hidden="1" thickBot="1" x14ac:dyDescent="0.25">
      <c r="A2031" s="567" t="s">
        <v>168</v>
      </c>
      <c r="B2031" s="644" t="s">
        <v>168</v>
      </c>
      <c r="C2031" s="645"/>
      <c r="D2031" s="422" t="s">
        <v>248</v>
      </c>
      <c r="E2031" s="423"/>
      <c r="F2031" s="424">
        <v>180</v>
      </c>
      <c r="G2031" s="425">
        <v>1.17E-2</v>
      </c>
      <c r="H2031" s="663">
        <f t="shared" ref="H2031:H2032" si="519">IF(F2031&lt;=30,(1.07*F2031+2.68)*G2031,((1.07*30+2.68)+1.07*(F2031-30))*G2031)</f>
        <v>2.2847759999999999</v>
      </c>
      <c r="I2031" s="420"/>
      <c r="J2031" s="420"/>
      <c r="K2031" s="421">
        <f t="shared" si="501"/>
        <v>0</v>
      </c>
      <c r="L2031" s="647"/>
      <c r="M2031" s="723"/>
      <c r="N2031" s="576">
        <f t="shared" si="511"/>
        <v>0</v>
      </c>
      <c r="O2031" s="577">
        <f t="shared" si="504"/>
        <v>0</v>
      </c>
      <c r="P2031" s="578">
        <f t="shared" si="505"/>
        <v>0</v>
      </c>
      <c r="Q2031" s="765"/>
      <c r="R2031" s="723"/>
      <c r="S2031" s="723"/>
      <c r="T2031" s="577">
        <f t="shared" si="502"/>
        <v>0</v>
      </c>
      <c r="U2031" s="578">
        <f t="shared" si="503"/>
        <v>0</v>
      </c>
      <c r="V2031" s="579"/>
      <c r="W2031" s="566" t="str">
        <f>IF(U2029&gt;0,"xx",IF(P2029&gt;0,"xy",""))</f>
        <v/>
      </c>
      <c r="X2031" s="586" t="str">
        <f t="shared" si="496"/>
        <v/>
      </c>
      <c r="Y2031" s="586" t="str">
        <f t="shared" si="431"/>
        <v/>
      </c>
      <c r="Z2031" s="586" t="str">
        <f t="shared" si="517"/>
        <v/>
      </c>
    </row>
    <row r="2032" spans="1:26" ht="12" hidden="1" thickBot="1" x14ac:dyDescent="0.25">
      <c r="A2032" s="567" t="s">
        <v>168</v>
      </c>
      <c r="B2032" s="644" t="s">
        <v>168</v>
      </c>
      <c r="C2032" s="645"/>
      <c r="D2032" s="422" t="s">
        <v>347</v>
      </c>
      <c r="E2032" s="423"/>
      <c r="F2032" s="424">
        <v>20</v>
      </c>
      <c r="G2032" s="425">
        <v>0.25</v>
      </c>
      <c r="H2032" s="663">
        <f t="shared" si="519"/>
        <v>6.0200000000000005</v>
      </c>
      <c r="I2032" s="420"/>
      <c r="J2032" s="420"/>
      <c r="K2032" s="421">
        <f t="shared" si="501"/>
        <v>0</v>
      </c>
      <c r="L2032" s="647"/>
      <c r="M2032" s="723"/>
      <c r="N2032" s="576">
        <f t="shared" si="511"/>
        <v>0</v>
      </c>
      <c r="O2032" s="577">
        <f t="shared" si="504"/>
        <v>0</v>
      </c>
      <c r="P2032" s="578">
        <f t="shared" si="505"/>
        <v>0</v>
      </c>
      <c r="Q2032" s="765"/>
      <c r="R2032" s="723"/>
      <c r="S2032" s="723"/>
      <c r="T2032" s="577">
        <f t="shared" si="502"/>
        <v>0</v>
      </c>
      <c r="U2032" s="578">
        <f t="shared" si="503"/>
        <v>0</v>
      </c>
      <c r="V2032" s="579"/>
      <c r="W2032" s="566" t="str">
        <f>IF(U2029&gt;0,"xx",IF(P2029&gt;0,"xy",""))</f>
        <v/>
      </c>
      <c r="X2032" s="586" t="str">
        <f t="shared" si="496"/>
        <v/>
      </c>
      <c r="Y2032" s="586" t="str">
        <f t="shared" si="431"/>
        <v/>
      </c>
      <c r="Z2032" s="586" t="str">
        <f t="shared" si="517"/>
        <v/>
      </c>
    </row>
    <row r="2033" spans="1:26" ht="12" hidden="1" thickBot="1" x14ac:dyDescent="0.25">
      <c r="A2033" s="567">
        <v>610600</v>
      </c>
      <c r="B2033" s="644" t="s">
        <v>1675</v>
      </c>
      <c r="C2033" s="645" t="s">
        <v>206</v>
      </c>
      <c r="D2033" s="422" t="s">
        <v>377</v>
      </c>
      <c r="E2033" s="423"/>
      <c r="F2033" s="424"/>
      <c r="G2033" s="425"/>
      <c r="H2033" s="651">
        <f>SUM(H2034:H2036)</f>
        <v>13.042284000000002</v>
      </c>
      <c r="I2033" s="420">
        <v>267.11999999999995</v>
      </c>
      <c r="J2033" s="420">
        <f>IF(ISBLANK(I2033),"",SUM(H2033:I2033))</f>
        <v>280.16228399999994</v>
      </c>
      <c r="K2033" s="421">
        <f t="shared" si="501"/>
        <v>332.86</v>
      </c>
      <c r="L2033" s="647" t="s">
        <v>19</v>
      </c>
      <c r="M2033" s="576"/>
      <c r="N2033" s="576">
        <f t="shared" si="511"/>
        <v>0</v>
      </c>
      <c r="O2033" s="577">
        <f t="shared" si="504"/>
        <v>0</v>
      </c>
      <c r="P2033" s="578">
        <f t="shared" si="505"/>
        <v>0</v>
      </c>
      <c r="Q2033" s="765"/>
      <c r="R2033" s="576">
        <f>M2033</f>
        <v>0</v>
      </c>
      <c r="S2033" s="576">
        <f>N2033</f>
        <v>0</v>
      </c>
      <c r="T2033" s="577">
        <f t="shared" si="502"/>
        <v>0</v>
      </c>
      <c r="U2033" s="578">
        <f t="shared" si="503"/>
        <v>0</v>
      </c>
      <c r="V2033" s="579"/>
      <c r="W2033" s="566"/>
      <c r="X2033" s="586" t="str">
        <f t="shared" si="496"/>
        <v/>
      </c>
      <c r="Y2033" s="586" t="str">
        <f t="shared" si="431"/>
        <v/>
      </c>
      <c r="Z2033" s="586" t="str">
        <f t="shared" si="517"/>
        <v/>
      </c>
    </row>
    <row r="2034" spans="1:26" ht="12" hidden="1" thickBot="1" x14ac:dyDescent="0.25">
      <c r="A2034" s="567" t="s">
        <v>168</v>
      </c>
      <c r="B2034" s="644" t="s">
        <v>168</v>
      </c>
      <c r="C2034" s="645"/>
      <c r="D2034" s="422" t="s">
        <v>212</v>
      </c>
      <c r="E2034" s="423"/>
      <c r="F2034" s="424">
        <v>500</v>
      </c>
      <c r="G2034" s="425">
        <v>2.5999999999999999E-3</v>
      </c>
      <c r="H2034" s="649">
        <f>IF(F2034&lt;=30,(0.78*F2034+7.82)*G2034,((0.78*30+7.82)+0.78*(F2034-30))*G2034)</f>
        <v>1.034332</v>
      </c>
      <c r="I2034" s="420"/>
      <c r="J2034" s="420"/>
      <c r="K2034" s="421">
        <f t="shared" si="501"/>
        <v>0</v>
      </c>
      <c r="L2034" s="647"/>
      <c r="M2034" s="723"/>
      <c r="N2034" s="576">
        <f t="shared" si="511"/>
        <v>0</v>
      </c>
      <c r="O2034" s="577">
        <f t="shared" si="504"/>
        <v>0</v>
      </c>
      <c r="P2034" s="578">
        <f t="shared" si="505"/>
        <v>0</v>
      </c>
      <c r="Q2034" s="765"/>
      <c r="R2034" s="723"/>
      <c r="S2034" s="723"/>
      <c r="T2034" s="577">
        <f t="shared" si="502"/>
        <v>0</v>
      </c>
      <c r="U2034" s="578">
        <f t="shared" si="503"/>
        <v>0</v>
      </c>
      <c r="V2034" s="579"/>
      <c r="W2034" s="566" t="str">
        <f>IF(U2033&gt;0,"xx",IF(P2033&gt;0,"xy",""))</f>
        <v/>
      </c>
      <c r="X2034" s="586" t="str">
        <f t="shared" si="496"/>
        <v/>
      </c>
      <c r="Y2034" s="586" t="str">
        <f t="shared" si="431"/>
        <v/>
      </c>
      <c r="Z2034" s="586" t="str">
        <f t="shared" si="517"/>
        <v/>
      </c>
    </row>
    <row r="2035" spans="1:26" ht="12" hidden="1" thickBot="1" x14ac:dyDescent="0.25">
      <c r="A2035" s="567" t="s">
        <v>168</v>
      </c>
      <c r="B2035" s="644" t="s">
        <v>168</v>
      </c>
      <c r="C2035" s="645"/>
      <c r="D2035" s="422" t="s">
        <v>248</v>
      </c>
      <c r="E2035" s="423"/>
      <c r="F2035" s="424">
        <v>180</v>
      </c>
      <c r="G2035" s="425">
        <v>1.34E-2</v>
      </c>
      <c r="H2035" s="663">
        <f t="shared" ref="H2035:H2036" si="520">IF(F2035&lt;=30,(1.07*F2035+2.68)*G2035,((1.07*30+2.68)+1.07*(F2035-30))*G2035)</f>
        <v>2.616752</v>
      </c>
      <c r="I2035" s="420"/>
      <c r="J2035" s="420"/>
      <c r="K2035" s="421">
        <f t="shared" si="501"/>
        <v>0</v>
      </c>
      <c r="L2035" s="647"/>
      <c r="M2035" s="723"/>
      <c r="N2035" s="576">
        <f t="shared" si="511"/>
        <v>0</v>
      </c>
      <c r="O2035" s="577">
        <f t="shared" si="504"/>
        <v>0</v>
      </c>
      <c r="P2035" s="578">
        <f t="shared" si="505"/>
        <v>0</v>
      </c>
      <c r="Q2035" s="765"/>
      <c r="R2035" s="723"/>
      <c r="S2035" s="723"/>
      <c r="T2035" s="577">
        <f t="shared" si="502"/>
        <v>0</v>
      </c>
      <c r="U2035" s="578">
        <f t="shared" si="503"/>
        <v>0</v>
      </c>
      <c r="V2035" s="579"/>
      <c r="W2035" s="566" t="str">
        <f>IF(U2033&gt;0,"xx",IF(P2033&gt;0,"xy",""))</f>
        <v/>
      </c>
      <c r="X2035" s="586" t="str">
        <f t="shared" si="496"/>
        <v/>
      </c>
      <c r="Y2035" s="586" t="str">
        <f t="shared" si="431"/>
        <v/>
      </c>
      <c r="Z2035" s="586" t="str">
        <f t="shared" si="517"/>
        <v/>
      </c>
    </row>
    <row r="2036" spans="1:26" ht="12" hidden="1" thickBot="1" x14ac:dyDescent="0.25">
      <c r="A2036" s="567" t="s">
        <v>168</v>
      </c>
      <c r="B2036" s="644" t="s">
        <v>168</v>
      </c>
      <c r="C2036" s="645"/>
      <c r="D2036" s="422" t="s">
        <v>347</v>
      </c>
      <c r="E2036" s="423"/>
      <c r="F2036" s="424">
        <v>20</v>
      </c>
      <c r="G2036" s="425">
        <v>0.39</v>
      </c>
      <c r="H2036" s="663">
        <f t="shared" si="520"/>
        <v>9.3912000000000013</v>
      </c>
      <c r="I2036" s="420"/>
      <c r="J2036" s="420"/>
      <c r="K2036" s="421">
        <f t="shared" si="501"/>
        <v>0</v>
      </c>
      <c r="L2036" s="647"/>
      <c r="M2036" s="723"/>
      <c r="N2036" s="576">
        <f t="shared" si="511"/>
        <v>0</v>
      </c>
      <c r="O2036" s="577">
        <f t="shared" si="504"/>
        <v>0</v>
      </c>
      <c r="P2036" s="578">
        <f t="shared" si="505"/>
        <v>0</v>
      </c>
      <c r="Q2036" s="765"/>
      <c r="R2036" s="723"/>
      <c r="S2036" s="723"/>
      <c r="T2036" s="577">
        <f t="shared" si="502"/>
        <v>0</v>
      </c>
      <c r="U2036" s="578">
        <f t="shared" si="503"/>
        <v>0</v>
      </c>
      <c r="V2036" s="579"/>
      <c r="W2036" s="566" t="str">
        <f>IF(U2033&gt;0,"xx",IF(P2033&gt;0,"xy",""))</f>
        <v/>
      </c>
      <c r="X2036" s="586" t="str">
        <f t="shared" si="496"/>
        <v/>
      </c>
      <c r="Y2036" s="586" t="str">
        <f t="shared" si="431"/>
        <v/>
      </c>
      <c r="Z2036" s="586" t="str">
        <f t="shared" si="517"/>
        <v/>
      </c>
    </row>
    <row r="2037" spans="1:26" ht="12" hidden="1" thickBot="1" x14ac:dyDescent="0.25">
      <c r="A2037" s="567">
        <v>610800</v>
      </c>
      <c r="B2037" s="644" t="s">
        <v>1679</v>
      </c>
      <c r="C2037" s="645" t="s">
        <v>206</v>
      </c>
      <c r="D2037" s="422" t="s">
        <v>576</v>
      </c>
      <c r="E2037" s="423"/>
      <c r="F2037" s="424"/>
      <c r="G2037" s="425"/>
      <c r="H2037" s="651">
        <f>SUM(H2038:H2040)</f>
        <v>16.864806000000002</v>
      </c>
      <c r="I2037" s="420">
        <v>366.05500000000001</v>
      </c>
      <c r="J2037" s="420">
        <f>IF(ISBLANK(I2037),"",SUM(H2037:I2037))</f>
        <v>382.91980599999999</v>
      </c>
      <c r="K2037" s="421">
        <f t="shared" si="501"/>
        <v>454.95</v>
      </c>
      <c r="L2037" s="647" t="s">
        <v>19</v>
      </c>
      <c r="M2037" s="576"/>
      <c r="N2037" s="576">
        <f t="shared" si="511"/>
        <v>0</v>
      </c>
      <c r="O2037" s="577">
        <f t="shared" si="504"/>
        <v>0</v>
      </c>
      <c r="P2037" s="578">
        <f t="shared" si="505"/>
        <v>0</v>
      </c>
      <c r="Q2037" s="765"/>
      <c r="R2037" s="576">
        <f>M2037</f>
        <v>0</v>
      </c>
      <c r="S2037" s="576">
        <f>N2037</f>
        <v>0</v>
      </c>
      <c r="T2037" s="577">
        <f t="shared" si="502"/>
        <v>0</v>
      </c>
      <c r="U2037" s="578">
        <f t="shared" si="503"/>
        <v>0</v>
      </c>
      <c r="V2037" s="579"/>
      <c r="W2037" s="566"/>
      <c r="X2037" s="586" t="str">
        <f t="shared" si="496"/>
        <v/>
      </c>
      <c r="Y2037" s="586" t="str">
        <f t="shared" si="431"/>
        <v/>
      </c>
      <c r="Z2037" s="586" t="str">
        <f t="shared" si="517"/>
        <v/>
      </c>
    </row>
    <row r="2038" spans="1:26" ht="12" hidden="1" thickBot="1" x14ac:dyDescent="0.25">
      <c r="A2038" s="567" t="s">
        <v>168</v>
      </c>
      <c r="B2038" s="644" t="s">
        <v>168</v>
      </c>
      <c r="C2038" s="645"/>
      <c r="D2038" s="422" t="s">
        <v>212</v>
      </c>
      <c r="E2038" s="423"/>
      <c r="F2038" s="424">
        <v>500</v>
      </c>
      <c r="G2038" s="425">
        <v>2.8999999999999998E-3</v>
      </c>
      <c r="H2038" s="649">
        <f>IF(F2038&lt;=30,(0.78*F2038+7.82)*G2038,((0.78*30+7.82)+0.78*(F2038-30))*G2038)</f>
        <v>1.153678</v>
      </c>
      <c r="I2038" s="420"/>
      <c r="J2038" s="420"/>
      <c r="K2038" s="421">
        <f t="shared" si="501"/>
        <v>0</v>
      </c>
      <c r="L2038" s="647"/>
      <c r="M2038" s="723"/>
      <c r="N2038" s="576">
        <f t="shared" si="511"/>
        <v>0</v>
      </c>
      <c r="O2038" s="577">
        <f t="shared" si="504"/>
        <v>0</v>
      </c>
      <c r="P2038" s="578">
        <f t="shared" si="505"/>
        <v>0</v>
      </c>
      <c r="Q2038" s="765"/>
      <c r="R2038" s="723"/>
      <c r="S2038" s="723"/>
      <c r="T2038" s="577">
        <f t="shared" si="502"/>
        <v>0</v>
      </c>
      <c r="U2038" s="578">
        <f t="shared" si="503"/>
        <v>0</v>
      </c>
      <c r="V2038" s="579"/>
      <c r="W2038" s="566" t="str">
        <f>IF(U2037&gt;0,"xx",IF(P2037&gt;0,"xy",""))</f>
        <v/>
      </c>
      <c r="X2038" s="586" t="str">
        <f t="shared" si="496"/>
        <v/>
      </c>
      <c r="Y2038" s="586" t="str">
        <f t="shared" si="431"/>
        <v/>
      </c>
      <c r="Z2038" s="586" t="str">
        <f t="shared" si="517"/>
        <v/>
      </c>
    </row>
    <row r="2039" spans="1:26" ht="12" hidden="1" thickBot="1" x14ac:dyDescent="0.25">
      <c r="A2039" s="567" t="s">
        <v>168</v>
      </c>
      <c r="B2039" s="644" t="s">
        <v>168</v>
      </c>
      <c r="C2039" s="645"/>
      <c r="D2039" s="422" t="s">
        <v>248</v>
      </c>
      <c r="E2039" s="423"/>
      <c r="F2039" s="424">
        <v>180</v>
      </c>
      <c r="G2039" s="425">
        <v>1.5100000000000001E-2</v>
      </c>
      <c r="H2039" s="663">
        <f t="shared" ref="H2039:H2040" si="521">IF(F2039&lt;=30,(1.07*F2039+2.68)*G2039,((1.07*30+2.68)+1.07*(F2039-30))*G2039)</f>
        <v>2.948728</v>
      </c>
      <c r="I2039" s="420"/>
      <c r="J2039" s="420"/>
      <c r="K2039" s="421">
        <f t="shared" si="501"/>
        <v>0</v>
      </c>
      <c r="L2039" s="647"/>
      <c r="M2039" s="723"/>
      <c r="N2039" s="576">
        <f t="shared" si="511"/>
        <v>0</v>
      </c>
      <c r="O2039" s="577">
        <f t="shared" si="504"/>
        <v>0</v>
      </c>
      <c r="P2039" s="578">
        <f t="shared" si="505"/>
        <v>0</v>
      </c>
      <c r="Q2039" s="765"/>
      <c r="R2039" s="723"/>
      <c r="S2039" s="723"/>
      <c r="T2039" s="577">
        <f t="shared" si="502"/>
        <v>0</v>
      </c>
      <c r="U2039" s="578">
        <f t="shared" si="503"/>
        <v>0</v>
      </c>
      <c r="V2039" s="579"/>
      <c r="W2039" s="566" t="str">
        <f>IF(U2037&gt;0,"xx",IF(P2037&gt;0,"xy",""))</f>
        <v/>
      </c>
      <c r="X2039" s="586" t="str">
        <f t="shared" ref="X2039:X2119" si="522">IF(W2039="X","x",IF(W2039="xx","x",IF(W2039="xy","x",IF(W2039="y","x",IF(OR(P2039&gt;0,U2039&gt;0),"x","")))))</f>
        <v/>
      </c>
      <c r="Y2039" s="586" t="str">
        <f t="shared" si="431"/>
        <v/>
      </c>
      <c r="Z2039" s="586" t="str">
        <f t="shared" si="517"/>
        <v/>
      </c>
    </row>
    <row r="2040" spans="1:26" ht="12" hidden="1" thickBot="1" x14ac:dyDescent="0.25">
      <c r="A2040" s="567" t="s">
        <v>168</v>
      </c>
      <c r="B2040" s="644" t="s">
        <v>168</v>
      </c>
      <c r="C2040" s="645"/>
      <c r="D2040" s="422" t="s">
        <v>347</v>
      </c>
      <c r="E2040" s="423"/>
      <c r="F2040" s="424">
        <v>20</v>
      </c>
      <c r="G2040" s="425">
        <v>0.53</v>
      </c>
      <c r="H2040" s="663">
        <f t="shared" si="521"/>
        <v>12.762400000000001</v>
      </c>
      <c r="I2040" s="420"/>
      <c r="J2040" s="420"/>
      <c r="K2040" s="421">
        <f t="shared" si="501"/>
        <v>0</v>
      </c>
      <c r="L2040" s="647"/>
      <c r="M2040" s="723"/>
      <c r="N2040" s="576">
        <f t="shared" si="511"/>
        <v>0</v>
      </c>
      <c r="O2040" s="577">
        <f t="shared" si="504"/>
        <v>0</v>
      </c>
      <c r="P2040" s="578">
        <f t="shared" si="505"/>
        <v>0</v>
      </c>
      <c r="Q2040" s="765"/>
      <c r="R2040" s="723"/>
      <c r="S2040" s="723"/>
      <c r="T2040" s="577">
        <f t="shared" si="502"/>
        <v>0</v>
      </c>
      <c r="U2040" s="578">
        <f t="shared" si="503"/>
        <v>0</v>
      </c>
      <c r="V2040" s="579"/>
      <c r="W2040" s="566" t="str">
        <f>IF(U2037&gt;0,"xx",IF(P2037&gt;0,"xy",""))</f>
        <v/>
      </c>
      <c r="X2040" s="586" t="str">
        <f t="shared" si="522"/>
        <v/>
      </c>
      <c r="Y2040" s="586" t="str">
        <f t="shared" si="431"/>
        <v/>
      </c>
      <c r="Z2040" s="586" t="str">
        <f t="shared" si="517"/>
        <v/>
      </c>
    </row>
    <row r="2041" spans="1:26" ht="12" hidden="1" thickBot="1" x14ac:dyDescent="0.25">
      <c r="A2041" s="567">
        <v>610800</v>
      </c>
      <c r="B2041" s="644" t="s">
        <v>1680</v>
      </c>
      <c r="C2041" s="645" t="s">
        <v>206</v>
      </c>
      <c r="D2041" s="422" t="s">
        <v>378</v>
      </c>
      <c r="E2041" s="423"/>
      <c r="F2041" s="424"/>
      <c r="G2041" s="425"/>
      <c r="H2041" s="651">
        <f>SUM(H2042:H2044)</f>
        <v>20.687328000000001</v>
      </c>
      <c r="I2041" s="420">
        <v>464.99</v>
      </c>
      <c r="J2041" s="420">
        <f>IF(ISBLANK(I2041),"",SUM(H2041:I2041))</f>
        <v>485.67732799999999</v>
      </c>
      <c r="K2041" s="421">
        <f t="shared" si="501"/>
        <v>577.03</v>
      </c>
      <c r="L2041" s="647" t="s">
        <v>19</v>
      </c>
      <c r="M2041" s="576"/>
      <c r="N2041" s="576">
        <f t="shared" si="511"/>
        <v>0</v>
      </c>
      <c r="O2041" s="577">
        <f t="shared" si="504"/>
        <v>0</v>
      </c>
      <c r="P2041" s="578">
        <f t="shared" si="505"/>
        <v>0</v>
      </c>
      <c r="Q2041" s="765"/>
      <c r="R2041" s="576">
        <f>M2041</f>
        <v>0</v>
      </c>
      <c r="S2041" s="576">
        <f>N2041</f>
        <v>0</v>
      </c>
      <c r="T2041" s="577">
        <f t="shared" si="502"/>
        <v>0</v>
      </c>
      <c r="U2041" s="578">
        <f t="shared" si="503"/>
        <v>0</v>
      </c>
      <c r="V2041" s="579"/>
      <c r="W2041" s="566"/>
      <c r="X2041" s="586" t="str">
        <f t="shared" si="522"/>
        <v/>
      </c>
      <c r="Y2041" s="586" t="str">
        <f t="shared" si="431"/>
        <v/>
      </c>
      <c r="Z2041" s="586" t="str">
        <f t="shared" si="517"/>
        <v/>
      </c>
    </row>
    <row r="2042" spans="1:26" ht="12" hidden="1" thickBot="1" x14ac:dyDescent="0.25">
      <c r="A2042" s="567" t="s">
        <v>168</v>
      </c>
      <c r="B2042" s="644" t="s">
        <v>168</v>
      </c>
      <c r="C2042" s="645"/>
      <c r="D2042" s="422" t="s">
        <v>212</v>
      </c>
      <c r="E2042" s="423"/>
      <c r="F2042" s="424">
        <v>500</v>
      </c>
      <c r="G2042" s="425">
        <v>3.2000000000000002E-3</v>
      </c>
      <c r="H2042" s="649">
        <f>IF(F2042&lt;=30,(0.78*F2042+7.82)*G2042,((0.78*30+7.82)+0.78*(F2042-30))*G2042)</f>
        <v>1.2730240000000002</v>
      </c>
      <c r="I2042" s="420"/>
      <c r="J2042" s="420"/>
      <c r="K2042" s="421">
        <f t="shared" si="501"/>
        <v>0</v>
      </c>
      <c r="L2042" s="647"/>
      <c r="M2042" s="723"/>
      <c r="N2042" s="576">
        <f t="shared" si="511"/>
        <v>0</v>
      </c>
      <c r="O2042" s="577">
        <f t="shared" si="504"/>
        <v>0</v>
      </c>
      <c r="P2042" s="578">
        <f t="shared" si="505"/>
        <v>0</v>
      </c>
      <c r="Q2042" s="765"/>
      <c r="R2042" s="723"/>
      <c r="S2042" s="723"/>
      <c r="T2042" s="577">
        <f t="shared" si="502"/>
        <v>0</v>
      </c>
      <c r="U2042" s="578">
        <f t="shared" si="503"/>
        <v>0</v>
      </c>
      <c r="V2042" s="579"/>
      <c r="W2042" s="566" t="str">
        <f>IF(U2041&gt;0,"xx",IF(P2041&gt;0,"xy",""))</f>
        <v/>
      </c>
      <c r="X2042" s="586" t="str">
        <f t="shared" si="522"/>
        <v/>
      </c>
      <c r="Y2042" s="586" t="str">
        <f t="shared" si="431"/>
        <v/>
      </c>
      <c r="Z2042" s="586" t="str">
        <f t="shared" si="517"/>
        <v/>
      </c>
    </row>
    <row r="2043" spans="1:26" ht="12" hidden="1" thickBot="1" x14ac:dyDescent="0.25">
      <c r="A2043" s="567" t="s">
        <v>168</v>
      </c>
      <c r="B2043" s="644" t="s">
        <v>168</v>
      </c>
      <c r="C2043" s="645"/>
      <c r="D2043" s="422" t="s">
        <v>248</v>
      </c>
      <c r="E2043" s="423"/>
      <c r="F2043" s="424">
        <v>180</v>
      </c>
      <c r="G2043" s="425">
        <v>1.6799999999999999E-2</v>
      </c>
      <c r="H2043" s="663">
        <f t="shared" ref="H2043:H2044" si="523">IF(F2043&lt;=30,(1.07*F2043+2.68)*G2043,((1.07*30+2.68)+1.07*(F2043-30))*G2043)</f>
        <v>3.2807039999999996</v>
      </c>
      <c r="I2043" s="420"/>
      <c r="J2043" s="420"/>
      <c r="K2043" s="421">
        <f t="shared" si="501"/>
        <v>0</v>
      </c>
      <c r="L2043" s="647"/>
      <c r="M2043" s="723"/>
      <c r="N2043" s="576">
        <f t="shared" si="511"/>
        <v>0</v>
      </c>
      <c r="O2043" s="577">
        <f t="shared" si="504"/>
        <v>0</v>
      </c>
      <c r="P2043" s="578">
        <f t="shared" si="505"/>
        <v>0</v>
      </c>
      <c r="Q2043" s="765"/>
      <c r="R2043" s="723"/>
      <c r="S2043" s="723"/>
      <c r="T2043" s="577">
        <f t="shared" si="502"/>
        <v>0</v>
      </c>
      <c r="U2043" s="578">
        <f t="shared" si="503"/>
        <v>0</v>
      </c>
      <c r="V2043" s="579"/>
      <c r="W2043" s="566" t="str">
        <f>IF(U2041&gt;0,"xx",IF(P2041&gt;0,"xy",""))</f>
        <v/>
      </c>
      <c r="X2043" s="586" t="str">
        <f t="shared" si="522"/>
        <v/>
      </c>
      <c r="Y2043" s="586" t="str">
        <f t="shared" si="431"/>
        <v/>
      </c>
      <c r="Z2043" s="586" t="str">
        <f t="shared" si="517"/>
        <v/>
      </c>
    </row>
    <row r="2044" spans="1:26" ht="12" hidden="1" thickBot="1" x14ac:dyDescent="0.25">
      <c r="A2044" s="567" t="s">
        <v>168</v>
      </c>
      <c r="B2044" s="644" t="s">
        <v>168</v>
      </c>
      <c r="C2044" s="645"/>
      <c r="D2044" s="422" t="s">
        <v>347</v>
      </c>
      <c r="E2044" s="423"/>
      <c r="F2044" s="424">
        <v>20</v>
      </c>
      <c r="G2044" s="425">
        <v>0.67</v>
      </c>
      <c r="H2044" s="663">
        <f t="shared" si="523"/>
        <v>16.133600000000001</v>
      </c>
      <c r="I2044" s="420"/>
      <c r="J2044" s="420"/>
      <c r="K2044" s="421">
        <f t="shared" si="501"/>
        <v>0</v>
      </c>
      <c r="L2044" s="647"/>
      <c r="M2044" s="723"/>
      <c r="N2044" s="576">
        <f t="shared" si="511"/>
        <v>0</v>
      </c>
      <c r="O2044" s="577">
        <f t="shared" si="504"/>
        <v>0</v>
      </c>
      <c r="P2044" s="578">
        <f t="shared" si="505"/>
        <v>0</v>
      </c>
      <c r="Q2044" s="765"/>
      <c r="R2044" s="723"/>
      <c r="S2044" s="723"/>
      <c r="T2044" s="577">
        <f t="shared" si="502"/>
        <v>0</v>
      </c>
      <c r="U2044" s="578">
        <f t="shared" si="503"/>
        <v>0</v>
      </c>
      <c r="V2044" s="579"/>
      <c r="W2044" s="566" t="str">
        <f>IF(U2041&gt;0,"xx",IF(P2041&gt;0,"xy",""))</f>
        <v/>
      </c>
      <c r="X2044" s="586" t="str">
        <f t="shared" si="522"/>
        <v/>
      </c>
      <c r="Y2044" s="586" t="str">
        <f t="shared" si="431"/>
        <v/>
      </c>
      <c r="Z2044" s="586" t="str">
        <f t="shared" si="517"/>
        <v/>
      </c>
    </row>
    <row r="2045" spans="1:26" ht="12" hidden="1" thickBot="1" x14ac:dyDescent="0.25">
      <c r="A2045" s="567">
        <v>611000</v>
      </c>
      <c r="B2045" s="644" t="s">
        <v>1687</v>
      </c>
      <c r="C2045" s="645" t="s">
        <v>206</v>
      </c>
      <c r="D2045" s="422" t="s">
        <v>577</v>
      </c>
      <c r="E2045" s="423"/>
      <c r="F2045" s="424"/>
      <c r="G2045" s="425"/>
      <c r="H2045" s="651">
        <f>SUM(H2046:H2048)</f>
        <v>25.798960000000001</v>
      </c>
      <c r="I2045" s="420">
        <v>535.85500000000002</v>
      </c>
      <c r="J2045" s="420">
        <f>IF(ISBLANK(I2045),"",SUM(H2045:I2045))</f>
        <v>561.65395999999998</v>
      </c>
      <c r="K2045" s="421">
        <f t="shared" si="501"/>
        <v>667.3</v>
      </c>
      <c r="L2045" s="647" t="s">
        <v>19</v>
      </c>
      <c r="M2045" s="576"/>
      <c r="N2045" s="576">
        <f t="shared" si="511"/>
        <v>0</v>
      </c>
      <c r="O2045" s="577">
        <f t="shared" si="504"/>
        <v>0</v>
      </c>
      <c r="P2045" s="578">
        <f t="shared" si="505"/>
        <v>0</v>
      </c>
      <c r="Q2045" s="765"/>
      <c r="R2045" s="576">
        <f>M2045</f>
        <v>0</v>
      </c>
      <c r="S2045" s="576">
        <f>N2045</f>
        <v>0</v>
      </c>
      <c r="T2045" s="577">
        <f t="shared" si="502"/>
        <v>0</v>
      </c>
      <c r="U2045" s="578">
        <f t="shared" si="503"/>
        <v>0</v>
      </c>
      <c r="V2045" s="579"/>
      <c r="W2045" s="566"/>
      <c r="X2045" s="586" t="str">
        <f t="shared" si="522"/>
        <v/>
      </c>
      <c r="Y2045" s="586" t="str">
        <f t="shared" si="431"/>
        <v/>
      </c>
      <c r="Z2045" s="586" t="str">
        <f t="shared" si="517"/>
        <v/>
      </c>
    </row>
    <row r="2046" spans="1:26" ht="12" hidden="1" thickBot="1" x14ac:dyDescent="0.25">
      <c r="A2046" s="567" t="s">
        <v>168</v>
      </c>
      <c r="B2046" s="644" t="s">
        <v>168</v>
      </c>
      <c r="C2046" s="645"/>
      <c r="D2046" s="422" t="s">
        <v>212</v>
      </c>
      <c r="E2046" s="423"/>
      <c r="F2046" s="424">
        <v>500</v>
      </c>
      <c r="G2046" s="425">
        <v>4.0000000000000001E-3</v>
      </c>
      <c r="H2046" s="649">
        <f>IF(F2046&lt;=30,(0.78*F2046+7.82)*G2046,((0.78*30+7.82)+0.78*(F2046-30))*G2046)</f>
        <v>1.5912800000000002</v>
      </c>
      <c r="I2046" s="420"/>
      <c r="J2046" s="420"/>
      <c r="K2046" s="421">
        <f t="shared" si="501"/>
        <v>0</v>
      </c>
      <c r="L2046" s="647"/>
      <c r="M2046" s="723"/>
      <c r="N2046" s="576">
        <f t="shared" si="511"/>
        <v>0</v>
      </c>
      <c r="O2046" s="577">
        <f t="shared" si="504"/>
        <v>0</v>
      </c>
      <c r="P2046" s="578">
        <f t="shared" si="505"/>
        <v>0</v>
      </c>
      <c r="Q2046" s="765"/>
      <c r="R2046" s="723"/>
      <c r="S2046" s="723"/>
      <c r="T2046" s="577">
        <f t="shared" si="502"/>
        <v>0</v>
      </c>
      <c r="U2046" s="578">
        <f t="shared" si="503"/>
        <v>0</v>
      </c>
      <c r="V2046" s="579"/>
      <c r="W2046" s="566" t="str">
        <f>IF(U2045&gt;0,"xx",IF(P2045&gt;0,"xy",""))</f>
        <v/>
      </c>
      <c r="X2046" s="586" t="str">
        <f t="shared" si="522"/>
        <v/>
      </c>
      <c r="Y2046" s="586" t="str">
        <f t="shared" si="431"/>
        <v/>
      </c>
      <c r="Z2046" s="586" t="str">
        <f t="shared" si="517"/>
        <v/>
      </c>
    </row>
    <row r="2047" spans="1:26" ht="12" hidden="1" thickBot="1" x14ac:dyDescent="0.25">
      <c r="A2047" s="567" t="s">
        <v>168</v>
      </c>
      <c r="B2047" s="644" t="s">
        <v>168</v>
      </c>
      <c r="C2047" s="645"/>
      <c r="D2047" s="422" t="s">
        <v>248</v>
      </c>
      <c r="E2047" s="423"/>
      <c r="F2047" s="424">
        <v>180</v>
      </c>
      <c r="G2047" s="425">
        <v>2.1000000000000001E-2</v>
      </c>
      <c r="H2047" s="663">
        <f t="shared" ref="H2047:H2048" si="524">IF(F2047&lt;=30,(1.07*F2047+2.68)*G2047,((1.07*30+2.68)+1.07*(F2047-30))*G2047)</f>
        <v>4.1008800000000001</v>
      </c>
      <c r="I2047" s="420"/>
      <c r="J2047" s="420"/>
      <c r="K2047" s="421">
        <f t="shared" si="501"/>
        <v>0</v>
      </c>
      <c r="L2047" s="647"/>
      <c r="M2047" s="723"/>
      <c r="N2047" s="576">
        <f t="shared" si="511"/>
        <v>0</v>
      </c>
      <c r="O2047" s="577">
        <f t="shared" si="504"/>
        <v>0</v>
      </c>
      <c r="P2047" s="578">
        <f t="shared" si="505"/>
        <v>0</v>
      </c>
      <c r="Q2047" s="765"/>
      <c r="R2047" s="723"/>
      <c r="S2047" s="723"/>
      <c r="T2047" s="577">
        <f t="shared" si="502"/>
        <v>0</v>
      </c>
      <c r="U2047" s="578">
        <f t="shared" si="503"/>
        <v>0</v>
      </c>
      <c r="V2047" s="579"/>
      <c r="W2047" s="566" t="str">
        <f>IF(U2045&gt;0,"xx",IF(P2045&gt;0,"xy",""))</f>
        <v/>
      </c>
      <c r="X2047" s="586" t="str">
        <f t="shared" si="522"/>
        <v/>
      </c>
      <c r="Y2047" s="586" t="str">
        <f t="shared" si="431"/>
        <v/>
      </c>
      <c r="Z2047" s="586" t="str">
        <f t="shared" si="517"/>
        <v/>
      </c>
    </row>
    <row r="2048" spans="1:26" ht="12" hidden="1" thickBot="1" x14ac:dyDescent="0.25">
      <c r="A2048" s="567" t="s">
        <v>168</v>
      </c>
      <c r="B2048" s="644" t="s">
        <v>168</v>
      </c>
      <c r="C2048" s="645"/>
      <c r="D2048" s="422" t="s">
        <v>347</v>
      </c>
      <c r="E2048" s="423"/>
      <c r="F2048" s="424">
        <v>20</v>
      </c>
      <c r="G2048" s="425">
        <v>0.83499999999999996</v>
      </c>
      <c r="H2048" s="663">
        <f t="shared" si="524"/>
        <v>20.1068</v>
      </c>
      <c r="I2048" s="420"/>
      <c r="J2048" s="420"/>
      <c r="K2048" s="421">
        <f t="shared" ref="K2048:K2111" si="525">IF(ISBLANK(I2048),0,ROUND(J2048*(1+$F$10)*(1+$F$11*E2048),2))</f>
        <v>0</v>
      </c>
      <c r="L2048" s="647"/>
      <c r="M2048" s="723"/>
      <c r="N2048" s="576">
        <f t="shared" si="511"/>
        <v>0</v>
      </c>
      <c r="O2048" s="577">
        <f t="shared" si="504"/>
        <v>0</v>
      </c>
      <c r="P2048" s="578">
        <f t="shared" si="505"/>
        <v>0</v>
      </c>
      <c r="Q2048" s="765"/>
      <c r="R2048" s="723"/>
      <c r="S2048" s="723"/>
      <c r="T2048" s="577">
        <f t="shared" ref="T2048:T2111" si="526">IF(ISBLANK(R2048),0,ROUND(K2048*R2048,2))</f>
        <v>0</v>
      </c>
      <c r="U2048" s="578">
        <f t="shared" ref="U2048:U2111" si="527">IF(ISBLANK(R2048),0,ROUND(R2048*S2048,2))</f>
        <v>0</v>
      </c>
      <c r="V2048" s="579"/>
      <c r="W2048" s="566" t="str">
        <f>IF(U2045&gt;0,"xx",IF(P2045&gt;0,"xy",""))</f>
        <v/>
      </c>
      <c r="X2048" s="586" t="str">
        <f t="shared" si="522"/>
        <v/>
      </c>
      <c r="Y2048" s="586" t="str">
        <f t="shared" si="431"/>
        <v/>
      </c>
      <c r="Z2048" s="586" t="str">
        <f t="shared" si="517"/>
        <v/>
      </c>
    </row>
    <row r="2049" spans="1:26" ht="12" hidden="1" thickBot="1" x14ac:dyDescent="0.25">
      <c r="A2049" s="567">
        <v>611000</v>
      </c>
      <c r="B2049" s="644" t="s">
        <v>1688</v>
      </c>
      <c r="C2049" s="645" t="s">
        <v>206</v>
      </c>
      <c r="D2049" s="422" t="s">
        <v>379</v>
      </c>
      <c r="E2049" s="423"/>
      <c r="F2049" s="424"/>
      <c r="G2049" s="425"/>
      <c r="H2049" s="651">
        <f>SUM(H2050:H2052)</f>
        <v>30.910592000000001</v>
      </c>
      <c r="I2049" s="420">
        <v>606.72</v>
      </c>
      <c r="J2049" s="420">
        <f>IF(ISBLANK(I2049),"",SUM(H2049:I2049))</f>
        <v>637.63059199999998</v>
      </c>
      <c r="K2049" s="421">
        <f t="shared" si="525"/>
        <v>757.57</v>
      </c>
      <c r="L2049" s="647" t="s">
        <v>19</v>
      </c>
      <c r="M2049" s="576"/>
      <c r="N2049" s="576">
        <f t="shared" si="511"/>
        <v>0</v>
      </c>
      <c r="O2049" s="577">
        <f t="shared" ref="O2049:O2112" si="528">IF(ISBLANK(M2049),0,ROUND(K2049*M2049,2))</f>
        <v>0</v>
      </c>
      <c r="P2049" s="578">
        <f t="shared" ref="P2049:P2112" si="529">IF(ISBLANK(N2049),0,ROUND(M2049*N2049,2))</f>
        <v>0</v>
      </c>
      <c r="Q2049" s="765"/>
      <c r="R2049" s="576">
        <f>M2049</f>
        <v>0</v>
      </c>
      <c r="S2049" s="576">
        <f>N2049</f>
        <v>0</v>
      </c>
      <c r="T2049" s="577">
        <f t="shared" si="526"/>
        <v>0</v>
      </c>
      <c r="U2049" s="578">
        <f t="shared" si="527"/>
        <v>0</v>
      </c>
      <c r="V2049" s="579"/>
      <c r="W2049" s="566"/>
      <c r="X2049" s="586" t="str">
        <f t="shared" si="522"/>
        <v/>
      </c>
      <c r="Y2049" s="586" t="str">
        <f t="shared" si="431"/>
        <v/>
      </c>
      <c r="Z2049" s="586" t="str">
        <f t="shared" si="517"/>
        <v/>
      </c>
    </row>
    <row r="2050" spans="1:26" ht="12" hidden="1" thickBot="1" x14ac:dyDescent="0.25">
      <c r="A2050" s="567" t="s">
        <v>168</v>
      </c>
      <c r="B2050" s="644" t="s">
        <v>168</v>
      </c>
      <c r="C2050" s="645"/>
      <c r="D2050" s="422" t="s">
        <v>212</v>
      </c>
      <c r="E2050" s="423"/>
      <c r="F2050" s="424">
        <v>500</v>
      </c>
      <c r="G2050" s="425">
        <v>4.7999999999999996E-3</v>
      </c>
      <c r="H2050" s="649">
        <f>IF(F2050&lt;=30,(0.78*F2050+7.82)*G2050,((0.78*30+7.82)+0.78*(F2050-30))*G2050)</f>
        <v>1.9095360000000001</v>
      </c>
      <c r="I2050" s="420"/>
      <c r="J2050" s="420"/>
      <c r="K2050" s="421">
        <f t="shared" si="525"/>
        <v>0</v>
      </c>
      <c r="L2050" s="647"/>
      <c r="M2050" s="723"/>
      <c r="N2050" s="576">
        <f t="shared" si="511"/>
        <v>0</v>
      </c>
      <c r="O2050" s="577">
        <f t="shared" si="528"/>
        <v>0</v>
      </c>
      <c r="P2050" s="578">
        <f t="shared" si="529"/>
        <v>0</v>
      </c>
      <c r="Q2050" s="765"/>
      <c r="R2050" s="723"/>
      <c r="S2050" s="723"/>
      <c r="T2050" s="577">
        <f t="shared" si="526"/>
        <v>0</v>
      </c>
      <c r="U2050" s="578">
        <f t="shared" si="527"/>
        <v>0</v>
      </c>
      <c r="V2050" s="579"/>
      <c r="W2050" s="566" t="str">
        <f>IF(U2049&gt;0,"xx",IF(P2049&gt;0,"xy",""))</f>
        <v/>
      </c>
      <c r="X2050" s="586" t="str">
        <f t="shared" si="522"/>
        <v/>
      </c>
      <c r="Y2050" s="586" t="str">
        <f t="shared" si="431"/>
        <v/>
      </c>
      <c r="Z2050" s="586" t="str">
        <f t="shared" si="517"/>
        <v/>
      </c>
    </row>
    <row r="2051" spans="1:26" ht="12" hidden="1" thickBot="1" x14ac:dyDescent="0.25">
      <c r="A2051" s="567" t="s">
        <v>168</v>
      </c>
      <c r="B2051" s="644" t="s">
        <v>168</v>
      </c>
      <c r="C2051" s="645"/>
      <c r="D2051" s="422" t="s">
        <v>248</v>
      </c>
      <c r="E2051" s="423"/>
      <c r="F2051" s="424">
        <v>180</v>
      </c>
      <c r="G2051" s="425">
        <v>2.52E-2</v>
      </c>
      <c r="H2051" s="663">
        <f t="shared" ref="H2051:H2052" si="530">IF(F2051&lt;=30,(1.07*F2051+2.68)*G2051,((1.07*30+2.68)+1.07*(F2051-30))*G2051)</f>
        <v>4.9210560000000001</v>
      </c>
      <c r="I2051" s="420"/>
      <c r="J2051" s="420"/>
      <c r="K2051" s="421">
        <f t="shared" si="525"/>
        <v>0</v>
      </c>
      <c r="L2051" s="647"/>
      <c r="M2051" s="723"/>
      <c r="N2051" s="576">
        <f t="shared" si="511"/>
        <v>0</v>
      </c>
      <c r="O2051" s="577">
        <f t="shared" si="528"/>
        <v>0</v>
      </c>
      <c r="P2051" s="578">
        <f t="shared" si="529"/>
        <v>0</v>
      </c>
      <c r="Q2051" s="765"/>
      <c r="R2051" s="723"/>
      <c r="S2051" s="723"/>
      <c r="T2051" s="577">
        <f t="shared" si="526"/>
        <v>0</v>
      </c>
      <c r="U2051" s="578">
        <f t="shared" si="527"/>
        <v>0</v>
      </c>
      <c r="V2051" s="579"/>
      <c r="W2051" s="566" t="str">
        <f>IF(U2049&gt;0,"xx",IF(P2049&gt;0,"xy",""))</f>
        <v/>
      </c>
      <c r="X2051" s="586" t="str">
        <f t="shared" si="522"/>
        <v/>
      </c>
      <c r="Y2051" s="586" t="str">
        <f t="shared" si="431"/>
        <v/>
      </c>
      <c r="Z2051" s="586" t="str">
        <f t="shared" si="517"/>
        <v/>
      </c>
    </row>
    <row r="2052" spans="1:26" ht="12" hidden="1" thickBot="1" x14ac:dyDescent="0.25">
      <c r="A2052" s="567" t="s">
        <v>168</v>
      </c>
      <c r="B2052" s="644" t="s">
        <v>168</v>
      </c>
      <c r="C2052" s="645"/>
      <c r="D2052" s="422" t="s">
        <v>347</v>
      </c>
      <c r="E2052" s="423"/>
      <c r="F2052" s="424">
        <v>20</v>
      </c>
      <c r="G2052" s="425">
        <v>1</v>
      </c>
      <c r="H2052" s="663">
        <f t="shared" si="530"/>
        <v>24.080000000000002</v>
      </c>
      <c r="I2052" s="420"/>
      <c r="J2052" s="420"/>
      <c r="K2052" s="421">
        <f t="shared" si="525"/>
        <v>0</v>
      </c>
      <c r="L2052" s="647"/>
      <c r="M2052" s="723"/>
      <c r="N2052" s="576">
        <f t="shared" si="511"/>
        <v>0</v>
      </c>
      <c r="O2052" s="577">
        <f t="shared" si="528"/>
        <v>0</v>
      </c>
      <c r="P2052" s="578">
        <f t="shared" si="529"/>
        <v>0</v>
      </c>
      <c r="Q2052" s="765"/>
      <c r="R2052" s="723"/>
      <c r="S2052" s="723"/>
      <c r="T2052" s="577">
        <f t="shared" si="526"/>
        <v>0</v>
      </c>
      <c r="U2052" s="578">
        <f t="shared" si="527"/>
        <v>0</v>
      </c>
      <c r="V2052" s="579"/>
      <c r="W2052" s="566" t="str">
        <f>IF(U2049&gt;0,"xx",IF(P2049&gt;0,"xy",""))</f>
        <v/>
      </c>
      <c r="X2052" s="586" t="str">
        <f t="shared" si="522"/>
        <v/>
      </c>
      <c r="Y2052" s="586" t="str">
        <f t="shared" ref="Y2052:Y2306" si="531">IF(W2052="X","x",IF(W2052="y","x",IF(W2052="xx","x",IF(U2052&gt;0,"x",""))))</f>
        <v/>
      </c>
      <c r="Z2052" s="586" t="str">
        <f t="shared" si="517"/>
        <v/>
      </c>
    </row>
    <row r="2053" spans="1:26" ht="12" hidden="1" thickBot="1" x14ac:dyDescent="0.25">
      <c r="A2053" s="567">
        <v>611200</v>
      </c>
      <c r="B2053" s="644" t="s">
        <v>1691</v>
      </c>
      <c r="C2053" s="645" t="s">
        <v>206</v>
      </c>
      <c r="D2053" s="422" t="s">
        <v>380</v>
      </c>
      <c r="E2053" s="423"/>
      <c r="F2053" s="424"/>
      <c r="G2053" s="425"/>
      <c r="H2053" s="651">
        <f>SUM(H2054:H2056)</f>
        <v>43.822438000000005</v>
      </c>
      <c r="I2053" s="420">
        <v>890.05</v>
      </c>
      <c r="J2053" s="420">
        <f>IF(ISBLANK(I2053),"",SUM(H2053:I2053))</f>
        <v>933.87243799999999</v>
      </c>
      <c r="K2053" s="421">
        <f t="shared" si="525"/>
        <v>1109.53</v>
      </c>
      <c r="L2053" s="647" t="s">
        <v>19</v>
      </c>
      <c r="M2053" s="576"/>
      <c r="N2053" s="576">
        <f t="shared" si="511"/>
        <v>0</v>
      </c>
      <c r="O2053" s="577">
        <f t="shared" si="528"/>
        <v>0</v>
      </c>
      <c r="P2053" s="578">
        <f t="shared" si="529"/>
        <v>0</v>
      </c>
      <c r="Q2053" s="765"/>
      <c r="R2053" s="576">
        <f>M2053</f>
        <v>0</v>
      </c>
      <c r="S2053" s="576">
        <f>N2053</f>
        <v>0</v>
      </c>
      <c r="T2053" s="577">
        <f t="shared" si="526"/>
        <v>0</v>
      </c>
      <c r="U2053" s="578">
        <f t="shared" si="527"/>
        <v>0</v>
      </c>
      <c r="V2053" s="579"/>
      <c r="W2053" s="566"/>
      <c r="X2053" s="586" t="str">
        <f t="shared" si="522"/>
        <v/>
      </c>
      <c r="Y2053" s="586" t="str">
        <f t="shared" si="531"/>
        <v/>
      </c>
      <c r="Z2053" s="586" t="str">
        <f t="shared" si="517"/>
        <v/>
      </c>
    </row>
    <row r="2054" spans="1:26" ht="12" hidden="1" thickBot="1" x14ac:dyDescent="0.25">
      <c r="A2054" s="567" t="s">
        <v>168</v>
      </c>
      <c r="B2054" s="644" t="s">
        <v>168</v>
      </c>
      <c r="C2054" s="645"/>
      <c r="D2054" s="422" t="s">
        <v>212</v>
      </c>
      <c r="E2054" s="423"/>
      <c r="F2054" s="424">
        <v>500</v>
      </c>
      <c r="G2054" s="425">
        <v>6.4999999999999997E-3</v>
      </c>
      <c r="H2054" s="649">
        <f>IF(F2054&lt;=30,(0.78*F2054+7.82)*G2054,((0.78*30+7.82)+0.78*(F2054-30))*G2054)</f>
        <v>2.5858300000000001</v>
      </c>
      <c r="I2054" s="420"/>
      <c r="J2054" s="420"/>
      <c r="K2054" s="421">
        <f t="shared" si="525"/>
        <v>0</v>
      </c>
      <c r="L2054" s="647"/>
      <c r="M2054" s="723"/>
      <c r="N2054" s="576">
        <f t="shared" si="511"/>
        <v>0</v>
      </c>
      <c r="O2054" s="577">
        <f t="shared" si="528"/>
        <v>0</v>
      </c>
      <c r="P2054" s="578">
        <f t="shared" si="529"/>
        <v>0</v>
      </c>
      <c r="Q2054" s="765"/>
      <c r="R2054" s="723"/>
      <c r="S2054" s="723"/>
      <c r="T2054" s="577">
        <f t="shared" si="526"/>
        <v>0</v>
      </c>
      <c r="U2054" s="578">
        <f t="shared" si="527"/>
        <v>0</v>
      </c>
      <c r="V2054" s="579"/>
      <c r="W2054" s="566" t="str">
        <f>IF(U2053&gt;0,"xx",IF(P2053&gt;0,"xy",""))</f>
        <v/>
      </c>
      <c r="X2054" s="586" t="str">
        <f t="shared" si="522"/>
        <v/>
      </c>
      <c r="Y2054" s="586" t="str">
        <f t="shared" si="531"/>
        <v/>
      </c>
      <c r="Z2054" s="586" t="str">
        <f t="shared" si="517"/>
        <v/>
      </c>
    </row>
    <row r="2055" spans="1:26" ht="12" hidden="1" thickBot="1" x14ac:dyDescent="0.25">
      <c r="A2055" s="567" t="s">
        <v>168</v>
      </c>
      <c r="B2055" s="644" t="s">
        <v>168</v>
      </c>
      <c r="C2055" s="645"/>
      <c r="D2055" s="422" t="s">
        <v>248</v>
      </c>
      <c r="E2055" s="423"/>
      <c r="F2055" s="424">
        <v>180</v>
      </c>
      <c r="G2055" s="425">
        <v>3.3599999999999998E-2</v>
      </c>
      <c r="H2055" s="663">
        <f t="shared" ref="H2055:H2056" si="532">IF(F2055&lt;=30,(1.07*F2055+2.68)*G2055,((1.07*30+2.68)+1.07*(F2055-30))*G2055)</f>
        <v>6.5614079999999992</v>
      </c>
      <c r="I2055" s="420"/>
      <c r="J2055" s="420"/>
      <c r="K2055" s="421">
        <f t="shared" si="525"/>
        <v>0</v>
      </c>
      <c r="L2055" s="647"/>
      <c r="M2055" s="723"/>
      <c r="N2055" s="576">
        <f t="shared" si="511"/>
        <v>0</v>
      </c>
      <c r="O2055" s="577">
        <f t="shared" si="528"/>
        <v>0</v>
      </c>
      <c r="P2055" s="578">
        <f t="shared" si="529"/>
        <v>0</v>
      </c>
      <c r="Q2055" s="765"/>
      <c r="R2055" s="723"/>
      <c r="S2055" s="723"/>
      <c r="T2055" s="577">
        <f t="shared" si="526"/>
        <v>0</v>
      </c>
      <c r="U2055" s="578">
        <f t="shared" si="527"/>
        <v>0</v>
      </c>
      <c r="V2055" s="579"/>
      <c r="W2055" s="566" t="str">
        <f>IF(U2053&gt;0,"xx",IF(P2053&gt;0,"xy",""))</f>
        <v/>
      </c>
      <c r="X2055" s="586" t="str">
        <f t="shared" si="522"/>
        <v/>
      </c>
      <c r="Y2055" s="586" t="str">
        <f t="shared" si="531"/>
        <v/>
      </c>
      <c r="Z2055" s="586" t="str">
        <f t="shared" si="517"/>
        <v/>
      </c>
    </row>
    <row r="2056" spans="1:26" ht="12" hidden="1" thickBot="1" x14ac:dyDescent="0.25">
      <c r="A2056" s="567" t="s">
        <v>168</v>
      </c>
      <c r="B2056" s="644" t="s">
        <v>168</v>
      </c>
      <c r="C2056" s="645"/>
      <c r="D2056" s="422" t="s">
        <v>347</v>
      </c>
      <c r="E2056" s="423"/>
      <c r="F2056" s="424">
        <v>20</v>
      </c>
      <c r="G2056" s="425">
        <v>1.44</v>
      </c>
      <c r="H2056" s="663">
        <f t="shared" si="532"/>
        <v>34.675200000000004</v>
      </c>
      <c r="I2056" s="420"/>
      <c r="J2056" s="420"/>
      <c r="K2056" s="421">
        <f t="shared" si="525"/>
        <v>0</v>
      </c>
      <c r="L2056" s="647"/>
      <c r="M2056" s="723"/>
      <c r="N2056" s="576">
        <f t="shared" si="511"/>
        <v>0</v>
      </c>
      <c r="O2056" s="577">
        <f t="shared" si="528"/>
        <v>0</v>
      </c>
      <c r="P2056" s="578">
        <f t="shared" si="529"/>
        <v>0</v>
      </c>
      <c r="Q2056" s="765"/>
      <c r="R2056" s="723"/>
      <c r="S2056" s="723"/>
      <c r="T2056" s="577">
        <f t="shared" si="526"/>
        <v>0</v>
      </c>
      <c r="U2056" s="578">
        <f t="shared" si="527"/>
        <v>0</v>
      </c>
      <c r="V2056" s="579"/>
      <c r="W2056" s="566" t="str">
        <f>IF(U2053&gt;0,"xx",IF(P2053&gt;0,"xy",""))</f>
        <v/>
      </c>
      <c r="X2056" s="586" t="str">
        <f t="shared" si="522"/>
        <v/>
      </c>
      <c r="Y2056" s="586" t="str">
        <f t="shared" si="531"/>
        <v/>
      </c>
      <c r="Z2056" s="586" t="str">
        <f t="shared" si="517"/>
        <v/>
      </c>
    </row>
    <row r="2057" spans="1:26" ht="12" hidden="1" thickBot="1" x14ac:dyDescent="0.25">
      <c r="A2057" s="567">
        <v>611400</v>
      </c>
      <c r="B2057" s="644" t="s">
        <v>1693</v>
      </c>
      <c r="C2057" s="645" t="s">
        <v>206</v>
      </c>
      <c r="D2057" s="422" t="s">
        <v>381</v>
      </c>
      <c r="E2057" s="423"/>
      <c r="F2057" s="424"/>
      <c r="G2057" s="425"/>
      <c r="H2057" s="651">
        <f>SUM(H2058:H2060)</f>
        <v>51.156102000000004</v>
      </c>
      <c r="I2057" s="420">
        <v>1100.21</v>
      </c>
      <c r="J2057" s="420">
        <f>IF(ISBLANK(I2057),"",SUM(H2057:I2057))</f>
        <v>1151.366102</v>
      </c>
      <c r="K2057" s="421">
        <f t="shared" si="525"/>
        <v>1367.94</v>
      </c>
      <c r="L2057" s="647" t="s">
        <v>19</v>
      </c>
      <c r="M2057" s="576"/>
      <c r="N2057" s="576">
        <f t="shared" si="511"/>
        <v>0</v>
      </c>
      <c r="O2057" s="577">
        <f t="shared" si="528"/>
        <v>0</v>
      </c>
      <c r="P2057" s="578">
        <f t="shared" si="529"/>
        <v>0</v>
      </c>
      <c r="Q2057" s="765"/>
      <c r="R2057" s="576">
        <f>M2057</f>
        <v>0</v>
      </c>
      <c r="S2057" s="576">
        <f>N2057</f>
        <v>0</v>
      </c>
      <c r="T2057" s="577">
        <f t="shared" si="526"/>
        <v>0</v>
      </c>
      <c r="U2057" s="578">
        <f t="shared" si="527"/>
        <v>0</v>
      </c>
      <c r="V2057" s="579"/>
      <c r="W2057" s="566"/>
      <c r="X2057" s="586" t="str">
        <f t="shared" si="522"/>
        <v/>
      </c>
      <c r="Y2057" s="586" t="str">
        <f t="shared" si="531"/>
        <v/>
      </c>
      <c r="Z2057" s="586" t="str">
        <f t="shared" si="517"/>
        <v/>
      </c>
    </row>
    <row r="2058" spans="1:26" ht="12" hidden="1" thickBot="1" x14ac:dyDescent="0.25">
      <c r="A2058" s="567" t="s">
        <v>168</v>
      </c>
      <c r="B2058" s="644" t="s">
        <v>168</v>
      </c>
      <c r="C2058" s="645"/>
      <c r="D2058" s="422" t="s">
        <v>212</v>
      </c>
      <c r="E2058" s="423"/>
      <c r="F2058" s="424">
        <v>500</v>
      </c>
      <c r="G2058" s="425">
        <v>8.0999999999999996E-3</v>
      </c>
      <c r="H2058" s="649">
        <f>IF(F2058&lt;=30,(0.78*F2058+7.82)*G2058,((0.78*30+7.82)+0.78*(F2058-30))*G2058)</f>
        <v>3.2223420000000003</v>
      </c>
      <c r="I2058" s="420"/>
      <c r="J2058" s="420"/>
      <c r="K2058" s="421">
        <f t="shared" si="525"/>
        <v>0</v>
      </c>
      <c r="L2058" s="647"/>
      <c r="M2058" s="723"/>
      <c r="N2058" s="576">
        <f t="shared" si="511"/>
        <v>0</v>
      </c>
      <c r="O2058" s="577">
        <f t="shared" si="528"/>
        <v>0</v>
      </c>
      <c r="P2058" s="578">
        <f t="shared" si="529"/>
        <v>0</v>
      </c>
      <c r="Q2058" s="765"/>
      <c r="R2058" s="723"/>
      <c r="S2058" s="723"/>
      <c r="T2058" s="577">
        <f t="shared" si="526"/>
        <v>0</v>
      </c>
      <c r="U2058" s="578">
        <f t="shared" si="527"/>
        <v>0</v>
      </c>
      <c r="V2058" s="579"/>
      <c r="W2058" s="566" t="str">
        <f>IF(U2057&gt;0,"xx",IF(P2057&gt;0,"xy",""))</f>
        <v/>
      </c>
      <c r="X2058" s="586" t="str">
        <f t="shared" si="522"/>
        <v/>
      </c>
      <c r="Y2058" s="586" t="str">
        <f t="shared" si="531"/>
        <v/>
      </c>
      <c r="Z2058" s="586" t="str">
        <f t="shared" si="517"/>
        <v/>
      </c>
    </row>
    <row r="2059" spans="1:26" ht="12" hidden="1" thickBot="1" x14ac:dyDescent="0.25">
      <c r="A2059" s="567" t="s">
        <v>168</v>
      </c>
      <c r="B2059" s="644" t="s">
        <v>168</v>
      </c>
      <c r="C2059" s="645"/>
      <c r="D2059" s="422" t="s">
        <v>248</v>
      </c>
      <c r="E2059" s="423"/>
      <c r="F2059" s="424">
        <v>180</v>
      </c>
      <c r="G2059" s="425">
        <v>4.2000000000000003E-2</v>
      </c>
      <c r="H2059" s="663">
        <f t="shared" ref="H2059:H2060" si="533">IF(F2059&lt;=30,(1.07*F2059+2.68)*G2059,((1.07*30+2.68)+1.07*(F2059-30))*G2059)</f>
        <v>8.2017600000000002</v>
      </c>
      <c r="I2059" s="420"/>
      <c r="J2059" s="420"/>
      <c r="K2059" s="421">
        <f t="shared" si="525"/>
        <v>0</v>
      </c>
      <c r="L2059" s="647"/>
      <c r="M2059" s="723"/>
      <c r="N2059" s="576">
        <f t="shared" si="511"/>
        <v>0</v>
      </c>
      <c r="O2059" s="577">
        <f t="shared" si="528"/>
        <v>0</v>
      </c>
      <c r="P2059" s="578">
        <f t="shared" si="529"/>
        <v>0</v>
      </c>
      <c r="Q2059" s="765"/>
      <c r="R2059" s="723"/>
      <c r="S2059" s="723"/>
      <c r="T2059" s="577">
        <f t="shared" si="526"/>
        <v>0</v>
      </c>
      <c r="U2059" s="578">
        <f t="shared" si="527"/>
        <v>0</v>
      </c>
      <c r="V2059" s="579"/>
      <c r="W2059" s="566" t="str">
        <f>IF(U2057&gt;0,"xx",IF(P2057&gt;0,"xy",""))</f>
        <v/>
      </c>
      <c r="X2059" s="586" t="str">
        <f t="shared" si="522"/>
        <v/>
      </c>
      <c r="Y2059" s="586" t="str">
        <f t="shared" si="531"/>
        <v/>
      </c>
      <c r="Z2059" s="586" t="str">
        <f t="shared" si="517"/>
        <v/>
      </c>
    </row>
    <row r="2060" spans="1:26" ht="12" hidden="1" thickBot="1" x14ac:dyDescent="0.25">
      <c r="A2060" s="567" t="s">
        <v>168</v>
      </c>
      <c r="B2060" s="644" t="s">
        <v>168</v>
      </c>
      <c r="C2060" s="645"/>
      <c r="D2060" s="422" t="s">
        <v>347</v>
      </c>
      <c r="E2060" s="423"/>
      <c r="F2060" s="424">
        <v>20</v>
      </c>
      <c r="G2060" s="425">
        <v>1.65</v>
      </c>
      <c r="H2060" s="663">
        <f t="shared" si="533"/>
        <v>39.731999999999999</v>
      </c>
      <c r="I2060" s="420"/>
      <c r="J2060" s="420"/>
      <c r="K2060" s="421">
        <f t="shared" si="525"/>
        <v>0</v>
      </c>
      <c r="L2060" s="647"/>
      <c r="M2060" s="723"/>
      <c r="N2060" s="576">
        <f t="shared" si="511"/>
        <v>0</v>
      </c>
      <c r="O2060" s="577">
        <f t="shared" si="528"/>
        <v>0</v>
      </c>
      <c r="P2060" s="578">
        <f t="shared" si="529"/>
        <v>0</v>
      </c>
      <c r="Q2060" s="765"/>
      <c r="R2060" s="723"/>
      <c r="S2060" s="723"/>
      <c r="T2060" s="577">
        <f t="shared" si="526"/>
        <v>0</v>
      </c>
      <c r="U2060" s="578">
        <f t="shared" si="527"/>
        <v>0</v>
      </c>
      <c r="V2060" s="579"/>
      <c r="W2060" s="566" t="str">
        <f>IF(U2057&gt;0,"xx",IF(P2057&gt;0,"xy",""))</f>
        <v/>
      </c>
      <c r="X2060" s="586" t="str">
        <f t="shared" si="522"/>
        <v/>
      </c>
      <c r="Y2060" s="586" t="str">
        <f t="shared" si="531"/>
        <v/>
      </c>
      <c r="Z2060" s="586" t="str">
        <f t="shared" si="517"/>
        <v/>
      </c>
    </row>
    <row r="2061" spans="1:26" ht="12" hidden="1" thickBot="1" x14ac:dyDescent="0.25">
      <c r="A2061" s="567">
        <v>611400</v>
      </c>
      <c r="B2061" s="644" t="s">
        <v>1694</v>
      </c>
      <c r="C2061" s="645" t="s">
        <v>206</v>
      </c>
      <c r="D2061" s="422" t="s">
        <v>382</v>
      </c>
      <c r="E2061" s="423"/>
      <c r="F2061" s="424"/>
      <c r="G2061" s="425"/>
      <c r="H2061" s="651">
        <f>SUM(H2062:H2064)</f>
        <v>61.624152000000009</v>
      </c>
      <c r="I2061" s="420">
        <v>1466.6260000000002</v>
      </c>
      <c r="J2061" s="420">
        <f>IF(ISBLANK(I2061),"",SUM(H2061:I2061))</f>
        <v>1528.2501520000003</v>
      </c>
      <c r="K2061" s="421">
        <f t="shared" si="525"/>
        <v>1815.71</v>
      </c>
      <c r="L2061" s="647" t="s">
        <v>19</v>
      </c>
      <c r="M2061" s="576"/>
      <c r="N2061" s="576">
        <f t="shared" si="511"/>
        <v>0</v>
      </c>
      <c r="O2061" s="577">
        <f t="shared" si="528"/>
        <v>0</v>
      </c>
      <c r="P2061" s="578">
        <f t="shared" si="529"/>
        <v>0</v>
      </c>
      <c r="Q2061" s="765"/>
      <c r="R2061" s="576">
        <f>M2061</f>
        <v>0</v>
      </c>
      <c r="S2061" s="576">
        <f>N2061</f>
        <v>0</v>
      </c>
      <c r="T2061" s="577">
        <f t="shared" si="526"/>
        <v>0</v>
      </c>
      <c r="U2061" s="578">
        <f t="shared" si="527"/>
        <v>0</v>
      </c>
      <c r="V2061" s="579"/>
      <c r="W2061" s="566"/>
      <c r="X2061" s="586" t="str">
        <f t="shared" si="522"/>
        <v/>
      </c>
      <c r="Y2061" s="586" t="str">
        <f t="shared" si="531"/>
        <v/>
      </c>
      <c r="Z2061" s="586" t="str">
        <f t="shared" si="517"/>
        <v/>
      </c>
    </row>
    <row r="2062" spans="1:26" ht="12" hidden="1" thickBot="1" x14ac:dyDescent="0.25">
      <c r="A2062" s="567" t="s">
        <v>168</v>
      </c>
      <c r="B2062" s="644" t="s">
        <v>168</v>
      </c>
      <c r="C2062" s="645"/>
      <c r="D2062" s="422" t="s">
        <v>212</v>
      </c>
      <c r="E2062" s="423"/>
      <c r="F2062" s="424">
        <v>500</v>
      </c>
      <c r="G2062" s="425">
        <v>9.1999999999999998E-3</v>
      </c>
      <c r="H2062" s="649">
        <f>IF(F2062&lt;=30,(0.78*F2062+7.82)*G2062,((0.78*30+7.82)+0.78*(F2062-30))*G2062)</f>
        <v>3.6599440000000003</v>
      </c>
      <c r="I2062" s="420"/>
      <c r="J2062" s="420"/>
      <c r="K2062" s="421">
        <f t="shared" si="525"/>
        <v>0</v>
      </c>
      <c r="L2062" s="647"/>
      <c r="M2062" s="723"/>
      <c r="N2062" s="576">
        <f t="shared" si="511"/>
        <v>0</v>
      </c>
      <c r="O2062" s="577">
        <f t="shared" si="528"/>
        <v>0</v>
      </c>
      <c r="P2062" s="578">
        <f t="shared" si="529"/>
        <v>0</v>
      </c>
      <c r="Q2062" s="765"/>
      <c r="R2062" s="723"/>
      <c r="S2062" s="723"/>
      <c r="T2062" s="577">
        <f t="shared" si="526"/>
        <v>0</v>
      </c>
      <c r="U2062" s="578">
        <f t="shared" si="527"/>
        <v>0</v>
      </c>
      <c r="V2062" s="579"/>
      <c r="W2062" s="566" t="str">
        <f>IF(U2061&gt;0,"xx",IF(P2061&gt;0,"xy",""))</f>
        <v/>
      </c>
      <c r="X2062" s="586" t="str">
        <f t="shared" si="522"/>
        <v/>
      </c>
      <c r="Y2062" s="586" t="str">
        <f t="shared" si="531"/>
        <v/>
      </c>
      <c r="Z2062" s="586" t="str">
        <f t="shared" si="517"/>
        <v/>
      </c>
    </row>
    <row r="2063" spans="1:26" ht="12" hidden="1" thickBot="1" x14ac:dyDescent="0.25">
      <c r="A2063" s="567" t="s">
        <v>168</v>
      </c>
      <c r="B2063" s="644" t="s">
        <v>168</v>
      </c>
      <c r="C2063" s="645"/>
      <c r="D2063" s="422" t="s">
        <v>248</v>
      </c>
      <c r="E2063" s="423"/>
      <c r="F2063" s="424">
        <v>180</v>
      </c>
      <c r="G2063" s="425">
        <v>4.7899999999999998E-2</v>
      </c>
      <c r="H2063" s="663">
        <f t="shared" ref="H2063:H2064" si="534">IF(F2063&lt;=30,(1.07*F2063+2.68)*G2063,((1.07*30+2.68)+1.07*(F2063-30))*G2063)</f>
        <v>9.3539119999999993</v>
      </c>
      <c r="I2063" s="420"/>
      <c r="J2063" s="420"/>
      <c r="K2063" s="421">
        <f t="shared" si="525"/>
        <v>0</v>
      </c>
      <c r="L2063" s="647"/>
      <c r="M2063" s="723"/>
      <c r="N2063" s="576">
        <f t="shared" si="511"/>
        <v>0</v>
      </c>
      <c r="O2063" s="577">
        <f t="shared" si="528"/>
        <v>0</v>
      </c>
      <c r="P2063" s="578">
        <f t="shared" si="529"/>
        <v>0</v>
      </c>
      <c r="Q2063" s="765"/>
      <c r="R2063" s="723"/>
      <c r="S2063" s="723"/>
      <c r="T2063" s="577">
        <f t="shared" si="526"/>
        <v>0</v>
      </c>
      <c r="U2063" s="578">
        <f t="shared" si="527"/>
        <v>0</v>
      </c>
      <c r="V2063" s="579"/>
      <c r="W2063" s="566" t="str">
        <f>IF(U2061&gt;0,"xx",IF(P2061&gt;0,"xy",""))</f>
        <v/>
      </c>
      <c r="X2063" s="586" t="str">
        <f t="shared" si="522"/>
        <v/>
      </c>
      <c r="Y2063" s="586" t="str">
        <f t="shared" si="531"/>
        <v/>
      </c>
      <c r="Z2063" s="586" t="str">
        <f t="shared" si="517"/>
        <v/>
      </c>
    </row>
    <row r="2064" spans="1:26" ht="12" hidden="1" thickBot="1" x14ac:dyDescent="0.25">
      <c r="A2064" s="567" t="s">
        <v>168</v>
      </c>
      <c r="B2064" s="644" t="s">
        <v>168</v>
      </c>
      <c r="C2064" s="645"/>
      <c r="D2064" s="422" t="s">
        <v>347</v>
      </c>
      <c r="E2064" s="423"/>
      <c r="F2064" s="424">
        <v>20</v>
      </c>
      <c r="G2064" s="425">
        <v>2.0186999999999999</v>
      </c>
      <c r="H2064" s="663">
        <f t="shared" si="534"/>
        <v>48.610296000000005</v>
      </c>
      <c r="I2064" s="420"/>
      <c r="J2064" s="420"/>
      <c r="K2064" s="421">
        <f t="shared" si="525"/>
        <v>0</v>
      </c>
      <c r="L2064" s="647"/>
      <c r="M2064" s="723"/>
      <c r="N2064" s="576">
        <f t="shared" si="511"/>
        <v>0</v>
      </c>
      <c r="O2064" s="577">
        <f t="shared" si="528"/>
        <v>0</v>
      </c>
      <c r="P2064" s="578">
        <f t="shared" si="529"/>
        <v>0</v>
      </c>
      <c r="Q2064" s="765"/>
      <c r="R2064" s="723"/>
      <c r="S2064" s="723"/>
      <c r="T2064" s="577">
        <f t="shared" si="526"/>
        <v>0</v>
      </c>
      <c r="U2064" s="578">
        <f t="shared" si="527"/>
        <v>0</v>
      </c>
      <c r="V2064" s="579"/>
      <c r="W2064" s="566" t="str">
        <f>IF(U2061&gt;0,"xx",IF(P2061&gt;0,"xy",""))</f>
        <v/>
      </c>
      <c r="X2064" s="586" t="str">
        <f t="shared" si="522"/>
        <v/>
      </c>
      <c r="Y2064" s="586" t="str">
        <f t="shared" si="531"/>
        <v/>
      </c>
      <c r="Z2064" s="586" t="str">
        <f t="shared" si="517"/>
        <v/>
      </c>
    </row>
    <row r="2065" spans="1:26" ht="12" hidden="1" thickBot="1" x14ac:dyDescent="0.25">
      <c r="A2065" s="567">
        <v>611600</v>
      </c>
      <c r="B2065" s="644" t="s">
        <v>1697</v>
      </c>
      <c r="C2065" s="645" t="s">
        <v>206</v>
      </c>
      <c r="D2065" s="422" t="s">
        <v>383</v>
      </c>
      <c r="E2065" s="423"/>
      <c r="F2065" s="424"/>
      <c r="G2065" s="425"/>
      <c r="H2065" s="651">
        <f>SUM(H2066:H2068)</f>
        <v>65.472966</v>
      </c>
      <c r="I2065" s="420">
        <v>2245.2599999999998</v>
      </c>
      <c r="J2065" s="420">
        <f>IF(ISBLANK(I2065),"",SUM(H2065:I2065))</f>
        <v>2310.7329659999996</v>
      </c>
      <c r="K2065" s="421">
        <f t="shared" si="525"/>
        <v>2745.38</v>
      </c>
      <c r="L2065" s="647" t="s">
        <v>19</v>
      </c>
      <c r="M2065" s="576"/>
      <c r="N2065" s="576">
        <f t="shared" si="511"/>
        <v>0</v>
      </c>
      <c r="O2065" s="577">
        <f t="shared" si="528"/>
        <v>0</v>
      </c>
      <c r="P2065" s="578">
        <f t="shared" si="529"/>
        <v>0</v>
      </c>
      <c r="Q2065" s="765"/>
      <c r="R2065" s="576">
        <f>M2065</f>
        <v>0</v>
      </c>
      <c r="S2065" s="576">
        <f>N2065</f>
        <v>0</v>
      </c>
      <c r="T2065" s="577">
        <f t="shared" si="526"/>
        <v>0</v>
      </c>
      <c r="U2065" s="578">
        <f t="shared" si="527"/>
        <v>0</v>
      </c>
      <c r="V2065" s="579"/>
      <c r="W2065" s="566"/>
      <c r="X2065" s="586" t="str">
        <f t="shared" si="522"/>
        <v/>
      </c>
      <c r="Y2065" s="586" t="str">
        <f t="shared" si="531"/>
        <v/>
      </c>
      <c r="Z2065" s="586" t="str">
        <f t="shared" si="517"/>
        <v/>
      </c>
    </row>
    <row r="2066" spans="1:26" ht="12" hidden="1" thickBot="1" x14ac:dyDescent="0.25">
      <c r="A2066" s="567" t="s">
        <v>168</v>
      </c>
      <c r="B2066" s="644" t="s">
        <v>168</v>
      </c>
      <c r="C2066" s="645"/>
      <c r="D2066" s="422" t="s">
        <v>212</v>
      </c>
      <c r="E2066" s="423"/>
      <c r="F2066" s="424">
        <v>500</v>
      </c>
      <c r="G2066" s="425">
        <v>9.7000000000000003E-3</v>
      </c>
      <c r="H2066" s="649">
        <f>IF(F2066&lt;=30,(0.78*F2066+7.82)*G2066,((0.78*30+7.82)+0.78*(F2066-30))*G2066)</f>
        <v>3.8588540000000005</v>
      </c>
      <c r="I2066" s="420"/>
      <c r="J2066" s="420"/>
      <c r="K2066" s="421">
        <f t="shared" si="525"/>
        <v>0</v>
      </c>
      <c r="L2066" s="647"/>
      <c r="M2066" s="723"/>
      <c r="N2066" s="576">
        <f t="shared" si="511"/>
        <v>0</v>
      </c>
      <c r="O2066" s="577">
        <f t="shared" si="528"/>
        <v>0</v>
      </c>
      <c r="P2066" s="578">
        <f t="shared" si="529"/>
        <v>0</v>
      </c>
      <c r="Q2066" s="765"/>
      <c r="R2066" s="723"/>
      <c r="S2066" s="723"/>
      <c r="T2066" s="577">
        <f t="shared" si="526"/>
        <v>0</v>
      </c>
      <c r="U2066" s="578">
        <f t="shared" si="527"/>
        <v>0</v>
      </c>
      <c r="V2066" s="579"/>
      <c r="W2066" s="566" t="str">
        <f>IF(U2065&gt;0,"xx",IF(P2065&gt;0,"xy",""))</f>
        <v/>
      </c>
      <c r="X2066" s="586" t="str">
        <f t="shared" si="522"/>
        <v/>
      </c>
      <c r="Y2066" s="586" t="str">
        <f t="shared" si="531"/>
        <v/>
      </c>
      <c r="Z2066" s="586" t="str">
        <f t="shared" si="517"/>
        <v/>
      </c>
    </row>
    <row r="2067" spans="1:26" ht="12" hidden="1" thickBot="1" x14ac:dyDescent="0.25">
      <c r="A2067" s="567" t="s">
        <v>168</v>
      </c>
      <c r="B2067" s="644" t="s">
        <v>168</v>
      </c>
      <c r="C2067" s="645"/>
      <c r="D2067" s="422" t="s">
        <v>248</v>
      </c>
      <c r="E2067" s="423"/>
      <c r="F2067" s="424">
        <v>180</v>
      </c>
      <c r="G2067" s="425">
        <v>5.04E-2</v>
      </c>
      <c r="H2067" s="663">
        <f t="shared" ref="H2067:H2068" si="535">IF(F2067&lt;=30,(1.07*F2067+2.68)*G2067,((1.07*30+2.68)+1.07*(F2067-30))*G2067)</f>
        <v>9.8421120000000002</v>
      </c>
      <c r="I2067" s="420"/>
      <c r="J2067" s="420"/>
      <c r="K2067" s="421">
        <f t="shared" si="525"/>
        <v>0</v>
      </c>
      <c r="L2067" s="647"/>
      <c r="M2067" s="723"/>
      <c r="N2067" s="576">
        <f t="shared" si="511"/>
        <v>0</v>
      </c>
      <c r="O2067" s="577">
        <f t="shared" si="528"/>
        <v>0</v>
      </c>
      <c r="P2067" s="578">
        <f t="shared" si="529"/>
        <v>0</v>
      </c>
      <c r="Q2067" s="765"/>
      <c r="R2067" s="723"/>
      <c r="S2067" s="723"/>
      <c r="T2067" s="577">
        <f t="shared" si="526"/>
        <v>0</v>
      </c>
      <c r="U2067" s="578">
        <f t="shared" si="527"/>
        <v>0</v>
      </c>
      <c r="V2067" s="579"/>
      <c r="W2067" s="566" t="str">
        <f>IF(U2065&gt;0,"xx",IF(P2065&gt;0,"xy",""))</f>
        <v/>
      </c>
      <c r="X2067" s="586" t="str">
        <f t="shared" si="522"/>
        <v/>
      </c>
      <c r="Y2067" s="586" t="str">
        <f t="shared" si="531"/>
        <v/>
      </c>
      <c r="Z2067" s="586" t="str">
        <f t="shared" si="517"/>
        <v/>
      </c>
    </row>
    <row r="2068" spans="1:26" ht="12" hidden="1" thickBot="1" x14ac:dyDescent="0.25">
      <c r="A2068" s="567" t="s">
        <v>168</v>
      </c>
      <c r="B2068" s="644" t="s">
        <v>168</v>
      </c>
      <c r="C2068" s="645"/>
      <c r="D2068" s="422" t="s">
        <v>347</v>
      </c>
      <c r="E2068" s="423"/>
      <c r="F2068" s="424">
        <v>20</v>
      </c>
      <c r="G2068" s="425">
        <v>2.15</v>
      </c>
      <c r="H2068" s="663">
        <f t="shared" si="535"/>
        <v>51.771999999999998</v>
      </c>
      <c r="I2068" s="420"/>
      <c r="J2068" s="420"/>
      <c r="K2068" s="421">
        <f t="shared" si="525"/>
        <v>0</v>
      </c>
      <c r="L2068" s="647"/>
      <c r="M2068" s="723"/>
      <c r="N2068" s="576">
        <f t="shared" ref="N2068:N2131" si="536">IF(M2068=0,0,K2068)</f>
        <v>0</v>
      </c>
      <c r="O2068" s="577">
        <f t="shared" si="528"/>
        <v>0</v>
      </c>
      <c r="P2068" s="578">
        <f t="shared" si="529"/>
        <v>0</v>
      </c>
      <c r="Q2068" s="765"/>
      <c r="R2068" s="723"/>
      <c r="S2068" s="723"/>
      <c r="T2068" s="577">
        <f t="shared" si="526"/>
        <v>0</v>
      </c>
      <c r="U2068" s="578">
        <f t="shared" si="527"/>
        <v>0</v>
      </c>
      <c r="V2068" s="579"/>
      <c r="W2068" s="566" t="str">
        <f>IF(U2065&gt;0,"xx",IF(P2065&gt;0,"xy",""))</f>
        <v/>
      </c>
      <c r="X2068" s="586" t="str">
        <f t="shared" si="522"/>
        <v/>
      </c>
      <c r="Y2068" s="586" t="str">
        <f t="shared" si="531"/>
        <v/>
      </c>
      <c r="Z2068" s="586" t="str">
        <f t="shared" si="517"/>
        <v/>
      </c>
    </row>
    <row r="2069" spans="1:26" ht="12" hidden="1" thickBot="1" x14ac:dyDescent="0.25">
      <c r="A2069" s="567">
        <v>610400</v>
      </c>
      <c r="B2069" s="644" t="s">
        <v>1671</v>
      </c>
      <c r="C2069" s="645" t="s">
        <v>206</v>
      </c>
      <c r="D2069" s="422" t="s">
        <v>384</v>
      </c>
      <c r="E2069" s="423"/>
      <c r="F2069" s="424"/>
      <c r="G2069" s="425"/>
      <c r="H2069" s="651">
        <f>SUM(H2070:H2072)</f>
        <v>6.489218000000001</v>
      </c>
      <c r="I2069" s="420">
        <v>138.35</v>
      </c>
      <c r="J2069" s="420">
        <f>IF(ISBLANK(I2069),"",SUM(H2069:I2069))</f>
        <v>144.83921799999999</v>
      </c>
      <c r="K2069" s="421">
        <f t="shared" si="525"/>
        <v>172.08</v>
      </c>
      <c r="L2069" s="647" t="s">
        <v>19</v>
      </c>
      <c r="M2069" s="576"/>
      <c r="N2069" s="576">
        <f t="shared" si="536"/>
        <v>0</v>
      </c>
      <c r="O2069" s="577">
        <f t="shared" si="528"/>
        <v>0</v>
      </c>
      <c r="P2069" s="578">
        <f t="shared" si="529"/>
        <v>0</v>
      </c>
      <c r="Q2069" s="765"/>
      <c r="R2069" s="576">
        <f>M2069</f>
        <v>0</v>
      </c>
      <c r="S2069" s="576">
        <f>N2069</f>
        <v>0</v>
      </c>
      <c r="T2069" s="577">
        <f t="shared" si="526"/>
        <v>0</v>
      </c>
      <c r="U2069" s="578">
        <f t="shared" si="527"/>
        <v>0</v>
      </c>
      <c r="V2069" s="579"/>
      <c r="W2069" s="566"/>
      <c r="X2069" s="586" t="str">
        <f t="shared" si="522"/>
        <v/>
      </c>
      <c r="Y2069" s="586" t="str">
        <f t="shared" si="531"/>
        <v/>
      </c>
      <c r="Z2069" s="586" t="str">
        <f t="shared" si="517"/>
        <v/>
      </c>
    </row>
    <row r="2070" spans="1:26" ht="12" hidden="1" thickBot="1" x14ac:dyDescent="0.25">
      <c r="A2070" s="567" t="s">
        <v>168</v>
      </c>
      <c r="B2070" s="644" t="s">
        <v>168</v>
      </c>
      <c r="C2070" s="645"/>
      <c r="D2070" s="422" t="s">
        <v>212</v>
      </c>
      <c r="E2070" s="423"/>
      <c r="F2070" s="424">
        <v>500</v>
      </c>
      <c r="G2070" s="425">
        <v>1.9E-3</v>
      </c>
      <c r="H2070" s="649">
        <f>IF(F2070&lt;=30,(0.78*F2070+7.82)*G2070,((0.78*30+7.82)+0.78*(F2070-30))*G2070)</f>
        <v>0.75585800000000014</v>
      </c>
      <c r="I2070" s="420"/>
      <c r="J2070" s="420"/>
      <c r="K2070" s="421">
        <f t="shared" si="525"/>
        <v>0</v>
      </c>
      <c r="L2070" s="647"/>
      <c r="M2070" s="723"/>
      <c r="N2070" s="576">
        <f t="shared" si="536"/>
        <v>0</v>
      </c>
      <c r="O2070" s="577">
        <f t="shared" si="528"/>
        <v>0</v>
      </c>
      <c r="P2070" s="578">
        <f t="shared" si="529"/>
        <v>0</v>
      </c>
      <c r="Q2070" s="765"/>
      <c r="R2070" s="723"/>
      <c r="S2070" s="723"/>
      <c r="T2070" s="577">
        <f t="shared" si="526"/>
        <v>0</v>
      </c>
      <c r="U2070" s="578">
        <f t="shared" si="527"/>
        <v>0</v>
      </c>
      <c r="V2070" s="579"/>
      <c r="W2070" s="566" t="str">
        <f>IF(U2069&gt;0,"xx",IF(P2069&gt;0,"xy",""))</f>
        <v/>
      </c>
      <c r="X2070" s="586" t="str">
        <f t="shared" si="522"/>
        <v/>
      </c>
      <c r="Y2070" s="586" t="str">
        <f t="shared" si="531"/>
        <v/>
      </c>
      <c r="Z2070" s="586" t="str">
        <f t="shared" si="517"/>
        <v/>
      </c>
    </row>
    <row r="2071" spans="1:26" ht="12" hidden="1" thickBot="1" x14ac:dyDescent="0.25">
      <c r="A2071" s="567" t="s">
        <v>168</v>
      </c>
      <c r="B2071" s="644" t="s">
        <v>168</v>
      </c>
      <c r="C2071" s="645"/>
      <c r="D2071" s="422" t="s">
        <v>248</v>
      </c>
      <c r="E2071" s="423"/>
      <c r="F2071" s="424">
        <v>180</v>
      </c>
      <c r="G2071" s="425">
        <v>0.01</v>
      </c>
      <c r="H2071" s="663">
        <f t="shared" ref="H2071:H2072" si="537">IF(F2071&lt;=30,(1.07*F2071+2.68)*G2071,((1.07*30+2.68)+1.07*(F2071-30))*G2071)</f>
        <v>1.9528000000000001</v>
      </c>
      <c r="I2071" s="420"/>
      <c r="J2071" s="420"/>
      <c r="K2071" s="421">
        <f t="shared" si="525"/>
        <v>0</v>
      </c>
      <c r="L2071" s="647"/>
      <c r="M2071" s="723"/>
      <c r="N2071" s="576">
        <f t="shared" si="536"/>
        <v>0</v>
      </c>
      <c r="O2071" s="577">
        <f t="shared" si="528"/>
        <v>0</v>
      </c>
      <c r="P2071" s="578">
        <f t="shared" si="529"/>
        <v>0</v>
      </c>
      <c r="Q2071" s="765"/>
      <c r="R2071" s="723"/>
      <c r="S2071" s="723"/>
      <c r="T2071" s="577">
        <f t="shared" si="526"/>
        <v>0</v>
      </c>
      <c r="U2071" s="578">
        <f t="shared" si="527"/>
        <v>0</v>
      </c>
      <c r="V2071" s="579"/>
      <c r="W2071" s="566" t="str">
        <f>IF(U2069&gt;0,"xx",IF(P2069&gt;0,"xy",""))</f>
        <v/>
      </c>
      <c r="X2071" s="586" t="str">
        <f t="shared" si="522"/>
        <v/>
      </c>
      <c r="Y2071" s="586" t="str">
        <f t="shared" si="531"/>
        <v/>
      </c>
      <c r="Z2071" s="586" t="str">
        <f t="shared" si="517"/>
        <v/>
      </c>
    </row>
    <row r="2072" spans="1:26" ht="12" hidden="1" thickBot="1" x14ac:dyDescent="0.25">
      <c r="A2072" s="567" t="s">
        <v>168</v>
      </c>
      <c r="B2072" s="644" t="s">
        <v>168</v>
      </c>
      <c r="C2072" s="645"/>
      <c r="D2072" s="422" t="s">
        <v>347</v>
      </c>
      <c r="E2072" s="423"/>
      <c r="F2072" s="424">
        <v>20</v>
      </c>
      <c r="G2072" s="425">
        <v>0.157</v>
      </c>
      <c r="H2072" s="663">
        <f t="shared" si="537"/>
        <v>3.7805600000000004</v>
      </c>
      <c r="I2072" s="420"/>
      <c r="J2072" s="420"/>
      <c r="K2072" s="421">
        <f t="shared" si="525"/>
        <v>0</v>
      </c>
      <c r="L2072" s="647"/>
      <c r="M2072" s="723"/>
      <c r="N2072" s="576">
        <f t="shared" si="536"/>
        <v>0</v>
      </c>
      <c r="O2072" s="577">
        <f t="shared" si="528"/>
        <v>0</v>
      </c>
      <c r="P2072" s="578">
        <f t="shared" si="529"/>
        <v>0</v>
      </c>
      <c r="Q2072" s="765"/>
      <c r="R2072" s="723"/>
      <c r="S2072" s="723"/>
      <c r="T2072" s="577">
        <f t="shared" si="526"/>
        <v>0</v>
      </c>
      <c r="U2072" s="578">
        <f t="shared" si="527"/>
        <v>0</v>
      </c>
      <c r="V2072" s="579"/>
      <c r="W2072" s="566" t="str">
        <f>IF(U2069&gt;0,"xx",IF(P2069&gt;0,"xy",""))</f>
        <v/>
      </c>
      <c r="X2072" s="586" t="str">
        <f t="shared" si="522"/>
        <v/>
      </c>
      <c r="Y2072" s="586" t="str">
        <f t="shared" si="531"/>
        <v/>
      </c>
      <c r="Z2072" s="586" t="str">
        <f t="shared" si="517"/>
        <v/>
      </c>
    </row>
    <row r="2073" spans="1:26" ht="12" hidden="1" thickBot="1" x14ac:dyDescent="0.25">
      <c r="A2073" s="567">
        <v>610600</v>
      </c>
      <c r="B2073" s="644" t="s">
        <v>1676</v>
      </c>
      <c r="C2073" s="645" t="s">
        <v>206</v>
      </c>
      <c r="D2073" s="422" t="s">
        <v>579</v>
      </c>
      <c r="E2073" s="423"/>
      <c r="F2073" s="424"/>
      <c r="G2073" s="425"/>
      <c r="H2073" s="651">
        <f>SUM(H2074:H2076)</f>
        <v>9.2197619999999993</v>
      </c>
      <c r="I2073" s="420">
        <v>219.99999999999997</v>
      </c>
      <c r="J2073" s="420">
        <f>IF(ISBLANK(I2073),"",SUM(H2073:I2073))</f>
        <v>229.21976199999997</v>
      </c>
      <c r="K2073" s="421">
        <f t="shared" si="525"/>
        <v>272.33999999999997</v>
      </c>
      <c r="L2073" s="647" t="s">
        <v>19</v>
      </c>
      <c r="M2073" s="576"/>
      <c r="N2073" s="576">
        <f t="shared" si="536"/>
        <v>0</v>
      </c>
      <c r="O2073" s="577">
        <f t="shared" si="528"/>
        <v>0</v>
      </c>
      <c r="P2073" s="578">
        <f t="shared" si="529"/>
        <v>0</v>
      </c>
      <c r="Q2073" s="765"/>
      <c r="R2073" s="576">
        <f>M2073</f>
        <v>0</v>
      </c>
      <c r="S2073" s="576">
        <f>N2073</f>
        <v>0</v>
      </c>
      <c r="T2073" s="577">
        <f t="shared" si="526"/>
        <v>0</v>
      </c>
      <c r="U2073" s="578">
        <f t="shared" si="527"/>
        <v>0</v>
      </c>
      <c r="V2073" s="579"/>
      <c r="W2073" s="566"/>
      <c r="X2073" s="586" t="str">
        <f t="shared" si="522"/>
        <v/>
      </c>
      <c r="Y2073" s="586" t="str">
        <f t="shared" si="531"/>
        <v/>
      </c>
      <c r="Z2073" s="586" t="str">
        <f t="shared" si="517"/>
        <v/>
      </c>
    </row>
    <row r="2074" spans="1:26" ht="12" hidden="1" thickBot="1" x14ac:dyDescent="0.25">
      <c r="A2074" s="567" t="s">
        <v>168</v>
      </c>
      <c r="B2074" s="644" t="s">
        <v>168</v>
      </c>
      <c r="C2074" s="645"/>
      <c r="D2074" s="422" t="s">
        <v>212</v>
      </c>
      <c r="E2074" s="423"/>
      <c r="F2074" s="424">
        <v>500</v>
      </c>
      <c r="G2074" s="425">
        <v>2.3E-3</v>
      </c>
      <c r="H2074" s="649">
        <f>IF(F2074&lt;=30,(0.78*F2074+7.82)*G2074,((0.78*30+7.82)+0.78*(F2074-30))*G2074)</f>
        <v>0.91498600000000008</v>
      </c>
      <c r="I2074" s="420"/>
      <c r="J2074" s="420"/>
      <c r="K2074" s="421">
        <f t="shared" si="525"/>
        <v>0</v>
      </c>
      <c r="L2074" s="647"/>
      <c r="M2074" s="723"/>
      <c r="N2074" s="576">
        <f t="shared" si="536"/>
        <v>0</v>
      </c>
      <c r="O2074" s="577">
        <f t="shared" si="528"/>
        <v>0</v>
      </c>
      <c r="P2074" s="578">
        <f t="shared" si="529"/>
        <v>0</v>
      </c>
      <c r="Q2074" s="765"/>
      <c r="R2074" s="723"/>
      <c r="S2074" s="723"/>
      <c r="T2074" s="577">
        <f t="shared" si="526"/>
        <v>0</v>
      </c>
      <c r="U2074" s="578">
        <f t="shared" si="527"/>
        <v>0</v>
      </c>
      <c r="V2074" s="579"/>
      <c r="W2074" s="566" t="str">
        <f>IF(U2073&gt;0,"xx",IF(P2073&gt;0,"xy",""))</f>
        <v/>
      </c>
      <c r="X2074" s="586" t="str">
        <f t="shared" si="522"/>
        <v/>
      </c>
      <c r="Y2074" s="586" t="str">
        <f t="shared" si="531"/>
        <v/>
      </c>
      <c r="Z2074" s="586" t="str">
        <f t="shared" si="517"/>
        <v/>
      </c>
    </row>
    <row r="2075" spans="1:26" ht="12" hidden="1" thickBot="1" x14ac:dyDescent="0.25">
      <c r="A2075" s="567" t="s">
        <v>168</v>
      </c>
      <c r="B2075" s="644" t="s">
        <v>168</v>
      </c>
      <c r="C2075" s="645"/>
      <c r="D2075" s="422" t="s">
        <v>248</v>
      </c>
      <c r="E2075" s="423"/>
      <c r="F2075" s="424">
        <v>180</v>
      </c>
      <c r="G2075" s="425">
        <v>1.17E-2</v>
      </c>
      <c r="H2075" s="663">
        <f t="shared" ref="H2075:H2076" si="538">IF(F2075&lt;=30,(1.07*F2075+2.68)*G2075,((1.07*30+2.68)+1.07*(F2075-30))*G2075)</f>
        <v>2.2847759999999999</v>
      </c>
      <c r="I2075" s="420"/>
      <c r="J2075" s="420"/>
      <c r="K2075" s="421">
        <f t="shared" si="525"/>
        <v>0</v>
      </c>
      <c r="L2075" s="647"/>
      <c r="M2075" s="723"/>
      <c r="N2075" s="576">
        <f t="shared" si="536"/>
        <v>0</v>
      </c>
      <c r="O2075" s="577">
        <f t="shared" si="528"/>
        <v>0</v>
      </c>
      <c r="P2075" s="578">
        <f t="shared" si="529"/>
        <v>0</v>
      </c>
      <c r="Q2075" s="765"/>
      <c r="R2075" s="723"/>
      <c r="S2075" s="723"/>
      <c r="T2075" s="577">
        <f t="shared" si="526"/>
        <v>0</v>
      </c>
      <c r="U2075" s="578">
        <f t="shared" si="527"/>
        <v>0</v>
      </c>
      <c r="V2075" s="579"/>
      <c r="W2075" s="566" t="str">
        <f>IF(U2073&gt;0,"xx",IF(P2073&gt;0,"xy",""))</f>
        <v/>
      </c>
      <c r="X2075" s="586" t="str">
        <f t="shared" si="522"/>
        <v/>
      </c>
      <c r="Y2075" s="586" t="str">
        <f t="shared" si="531"/>
        <v/>
      </c>
      <c r="Z2075" s="586" t="str">
        <f t="shared" si="517"/>
        <v/>
      </c>
    </row>
    <row r="2076" spans="1:26" ht="12" hidden="1" thickBot="1" x14ac:dyDescent="0.25">
      <c r="A2076" s="567" t="s">
        <v>168</v>
      </c>
      <c r="B2076" s="644" t="s">
        <v>168</v>
      </c>
      <c r="C2076" s="645"/>
      <c r="D2076" s="422" t="s">
        <v>347</v>
      </c>
      <c r="E2076" s="423"/>
      <c r="F2076" s="424">
        <v>20</v>
      </c>
      <c r="G2076" s="425">
        <v>0.25</v>
      </c>
      <c r="H2076" s="663">
        <f t="shared" si="538"/>
        <v>6.0200000000000005</v>
      </c>
      <c r="I2076" s="420"/>
      <c r="J2076" s="420"/>
      <c r="K2076" s="421">
        <f t="shared" si="525"/>
        <v>0</v>
      </c>
      <c r="L2076" s="647"/>
      <c r="M2076" s="723"/>
      <c r="N2076" s="576">
        <f t="shared" si="536"/>
        <v>0</v>
      </c>
      <c r="O2076" s="577">
        <f t="shared" si="528"/>
        <v>0</v>
      </c>
      <c r="P2076" s="578">
        <f t="shared" si="529"/>
        <v>0</v>
      </c>
      <c r="Q2076" s="765"/>
      <c r="R2076" s="723"/>
      <c r="S2076" s="723"/>
      <c r="T2076" s="577">
        <f t="shared" si="526"/>
        <v>0</v>
      </c>
      <c r="U2076" s="578">
        <f t="shared" si="527"/>
        <v>0</v>
      </c>
      <c r="V2076" s="579"/>
      <c r="W2076" s="566" t="str">
        <f>IF(U2073&gt;0,"xx",IF(P2073&gt;0,"xy",""))</f>
        <v/>
      </c>
      <c r="X2076" s="586" t="str">
        <f t="shared" si="522"/>
        <v/>
      </c>
      <c r="Y2076" s="586" t="str">
        <f t="shared" si="531"/>
        <v/>
      </c>
      <c r="Z2076" s="586" t="str">
        <f t="shared" si="517"/>
        <v/>
      </c>
    </row>
    <row r="2077" spans="1:26" ht="12" hidden="1" thickBot="1" x14ac:dyDescent="0.25">
      <c r="A2077" s="567">
        <v>610600</v>
      </c>
      <c r="B2077" s="644" t="s">
        <v>1677</v>
      </c>
      <c r="C2077" s="645" t="s">
        <v>206</v>
      </c>
      <c r="D2077" s="422" t="s">
        <v>385</v>
      </c>
      <c r="E2077" s="423"/>
      <c r="F2077" s="424"/>
      <c r="G2077" s="425"/>
      <c r="H2077" s="651">
        <f>SUM(H2078:H2080)</f>
        <v>13.042284000000002</v>
      </c>
      <c r="I2077" s="420">
        <v>301.64999999999998</v>
      </c>
      <c r="J2077" s="420">
        <f>IF(ISBLANK(I2077),"",SUM(H2077:I2077))</f>
        <v>314.69228399999997</v>
      </c>
      <c r="K2077" s="421">
        <f t="shared" si="525"/>
        <v>373.89</v>
      </c>
      <c r="L2077" s="647" t="s">
        <v>19</v>
      </c>
      <c r="M2077" s="576"/>
      <c r="N2077" s="576">
        <f t="shared" si="536"/>
        <v>0</v>
      </c>
      <c r="O2077" s="577">
        <f t="shared" si="528"/>
        <v>0</v>
      </c>
      <c r="P2077" s="578">
        <f t="shared" si="529"/>
        <v>0</v>
      </c>
      <c r="Q2077" s="765"/>
      <c r="R2077" s="576">
        <f>M2077</f>
        <v>0</v>
      </c>
      <c r="S2077" s="576">
        <f>N2077</f>
        <v>0</v>
      </c>
      <c r="T2077" s="577">
        <f t="shared" si="526"/>
        <v>0</v>
      </c>
      <c r="U2077" s="578">
        <f t="shared" si="527"/>
        <v>0</v>
      </c>
      <c r="V2077" s="579"/>
      <c r="W2077" s="566"/>
      <c r="X2077" s="586" t="str">
        <f t="shared" si="522"/>
        <v/>
      </c>
      <c r="Y2077" s="586" t="str">
        <f t="shared" si="531"/>
        <v/>
      </c>
      <c r="Z2077" s="586" t="str">
        <f t="shared" si="517"/>
        <v/>
      </c>
    </row>
    <row r="2078" spans="1:26" ht="12" hidden="1" thickBot="1" x14ac:dyDescent="0.25">
      <c r="A2078" s="567" t="s">
        <v>168</v>
      </c>
      <c r="B2078" s="644" t="s">
        <v>168</v>
      </c>
      <c r="C2078" s="645"/>
      <c r="D2078" s="422" t="s">
        <v>212</v>
      </c>
      <c r="E2078" s="423"/>
      <c r="F2078" s="424">
        <v>500</v>
      </c>
      <c r="G2078" s="425">
        <v>2.5999999999999999E-3</v>
      </c>
      <c r="H2078" s="649">
        <f>IF(F2078&lt;=30,(0.78*F2078+7.82)*G2078,((0.78*30+7.82)+0.78*(F2078-30))*G2078)</f>
        <v>1.034332</v>
      </c>
      <c r="I2078" s="420"/>
      <c r="J2078" s="420"/>
      <c r="K2078" s="421">
        <f t="shared" si="525"/>
        <v>0</v>
      </c>
      <c r="L2078" s="647"/>
      <c r="M2078" s="723"/>
      <c r="N2078" s="576">
        <f t="shared" si="536"/>
        <v>0</v>
      </c>
      <c r="O2078" s="577">
        <f t="shared" si="528"/>
        <v>0</v>
      </c>
      <c r="P2078" s="578">
        <f t="shared" si="529"/>
        <v>0</v>
      </c>
      <c r="Q2078" s="765"/>
      <c r="R2078" s="723"/>
      <c r="S2078" s="723"/>
      <c r="T2078" s="577">
        <f t="shared" si="526"/>
        <v>0</v>
      </c>
      <c r="U2078" s="578">
        <f t="shared" si="527"/>
        <v>0</v>
      </c>
      <c r="V2078" s="579"/>
      <c r="W2078" s="566" t="str">
        <f>IF(U2077&gt;0,"xx",IF(P2077&gt;0,"xy",""))</f>
        <v/>
      </c>
      <c r="X2078" s="586" t="str">
        <f t="shared" si="522"/>
        <v/>
      </c>
      <c r="Y2078" s="586" t="str">
        <f t="shared" si="531"/>
        <v/>
      </c>
      <c r="Z2078" s="586" t="str">
        <f t="shared" si="517"/>
        <v/>
      </c>
    </row>
    <row r="2079" spans="1:26" ht="12" hidden="1" thickBot="1" x14ac:dyDescent="0.25">
      <c r="A2079" s="567" t="s">
        <v>168</v>
      </c>
      <c r="B2079" s="644" t="s">
        <v>168</v>
      </c>
      <c r="C2079" s="645"/>
      <c r="D2079" s="422" t="s">
        <v>248</v>
      </c>
      <c r="E2079" s="423"/>
      <c r="F2079" s="424">
        <v>180</v>
      </c>
      <c r="G2079" s="425">
        <v>1.34E-2</v>
      </c>
      <c r="H2079" s="663">
        <f t="shared" ref="H2079:H2080" si="539">IF(F2079&lt;=30,(1.07*F2079+2.68)*G2079,((1.07*30+2.68)+1.07*(F2079-30))*G2079)</f>
        <v>2.616752</v>
      </c>
      <c r="I2079" s="420"/>
      <c r="J2079" s="420"/>
      <c r="K2079" s="421">
        <f t="shared" si="525"/>
        <v>0</v>
      </c>
      <c r="L2079" s="647"/>
      <c r="M2079" s="723"/>
      <c r="N2079" s="576">
        <f t="shared" si="536"/>
        <v>0</v>
      </c>
      <c r="O2079" s="577">
        <f t="shared" si="528"/>
        <v>0</v>
      </c>
      <c r="P2079" s="578">
        <f t="shared" si="529"/>
        <v>0</v>
      </c>
      <c r="Q2079" s="765"/>
      <c r="R2079" s="723"/>
      <c r="S2079" s="723"/>
      <c r="T2079" s="577">
        <f t="shared" si="526"/>
        <v>0</v>
      </c>
      <c r="U2079" s="578">
        <f t="shared" si="527"/>
        <v>0</v>
      </c>
      <c r="V2079" s="579"/>
      <c r="W2079" s="566" t="str">
        <f>IF(U2077&gt;0,"xx",IF(P2077&gt;0,"xy",""))</f>
        <v/>
      </c>
      <c r="X2079" s="586" t="str">
        <f t="shared" si="522"/>
        <v/>
      </c>
      <c r="Y2079" s="586" t="str">
        <f t="shared" si="531"/>
        <v/>
      </c>
      <c r="Z2079" s="586" t="str">
        <f t="shared" si="517"/>
        <v/>
      </c>
    </row>
    <row r="2080" spans="1:26" ht="12" hidden="1" thickBot="1" x14ac:dyDescent="0.25">
      <c r="A2080" s="567" t="s">
        <v>168</v>
      </c>
      <c r="B2080" s="644" t="s">
        <v>168</v>
      </c>
      <c r="C2080" s="645"/>
      <c r="D2080" s="422" t="s">
        <v>347</v>
      </c>
      <c r="E2080" s="423"/>
      <c r="F2080" s="424">
        <v>20</v>
      </c>
      <c r="G2080" s="425">
        <v>0.39</v>
      </c>
      <c r="H2080" s="663">
        <f t="shared" si="539"/>
        <v>9.3912000000000013</v>
      </c>
      <c r="I2080" s="420"/>
      <c r="J2080" s="420"/>
      <c r="K2080" s="421">
        <f t="shared" si="525"/>
        <v>0</v>
      </c>
      <c r="L2080" s="647"/>
      <c r="M2080" s="723"/>
      <c r="N2080" s="576">
        <f t="shared" si="536"/>
        <v>0</v>
      </c>
      <c r="O2080" s="577">
        <f t="shared" si="528"/>
        <v>0</v>
      </c>
      <c r="P2080" s="578">
        <f t="shared" si="529"/>
        <v>0</v>
      </c>
      <c r="Q2080" s="765"/>
      <c r="R2080" s="723"/>
      <c r="S2080" s="723"/>
      <c r="T2080" s="577">
        <f t="shared" si="526"/>
        <v>0</v>
      </c>
      <c r="U2080" s="578">
        <f t="shared" si="527"/>
        <v>0</v>
      </c>
      <c r="V2080" s="579"/>
      <c r="W2080" s="566" t="str">
        <f>IF(U2077&gt;0,"xx",IF(P2077&gt;0,"xy",""))</f>
        <v/>
      </c>
      <c r="X2080" s="586" t="str">
        <f t="shared" si="522"/>
        <v/>
      </c>
      <c r="Y2080" s="586" t="str">
        <f t="shared" si="531"/>
        <v/>
      </c>
      <c r="Z2080" s="586" t="str">
        <f t="shared" si="517"/>
        <v/>
      </c>
    </row>
    <row r="2081" spans="1:26" ht="12" hidden="1" thickBot="1" x14ac:dyDescent="0.25">
      <c r="A2081" s="567">
        <v>610800</v>
      </c>
      <c r="B2081" s="644" t="s">
        <v>1681</v>
      </c>
      <c r="C2081" s="645" t="s">
        <v>206</v>
      </c>
      <c r="D2081" s="422" t="s">
        <v>580</v>
      </c>
      <c r="E2081" s="423"/>
      <c r="F2081" s="424"/>
      <c r="G2081" s="425"/>
      <c r="H2081" s="651">
        <f>SUM(H2082:H2084)</f>
        <v>16.864806000000002</v>
      </c>
      <c r="I2081" s="420">
        <v>409.69499999999999</v>
      </c>
      <c r="J2081" s="420">
        <f>IF(ISBLANK(I2081),"",SUM(H2081:I2081))</f>
        <v>426.55980599999998</v>
      </c>
      <c r="K2081" s="421">
        <f t="shared" si="525"/>
        <v>506.8</v>
      </c>
      <c r="L2081" s="647" t="s">
        <v>19</v>
      </c>
      <c r="M2081" s="576"/>
      <c r="N2081" s="576">
        <f t="shared" si="536"/>
        <v>0</v>
      </c>
      <c r="O2081" s="577">
        <f t="shared" si="528"/>
        <v>0</v>
      </c>
      <c r="P2081" s="578">
        <f t="shared" si="529"/>
        <v>0</v>
      </c>
      <c r="Q2081" s="765"/>
      <c r="R2081" s="576">
        <f>M2081</f>
        <v>0</v>
      </c>
      <c r="S2081" s="576">
        <f>N2081</f>
        <v>0</v>
      </c>
      <c r="T2081" s="577">
        <f t="shared" si="526"/>
        <v>0</v>
      </c>
      <c r="U2081" s="578">
        <f t="shared" si="527"/>
        <v>0</v>
      </c>
      <c r="V2081" s="579"/>
      <c r="W2081" s="566"/>
      <c r="X2081" s="586" t="str">
        <f t="shared" si="522"/>
        <v/>
      </c>
      <c r="Y2081" s="586" t="str">
        <f t="shared" si="531"/>
        <v/>
      </c>
      <c r="Z2081" s="586" t="str">
        <f t="shared" si="517"/>
        <v/>
      </c>
    </row>
    <row r="2082" spans="1:26" ht="12" hidden="1" thickBot="1" x14ac:dyDescent="0.25">
      <c r="A2082" s="567" t="s">
        <v>168</v>
      </c>
      <c r="B2082" s="644" t="s">
        <v>168</v>
      </c>
      <c r="C2082" s="645"/>
      <c r="D2082" s="422" t="s">
        <v>212</v>
      </c>
      <c r="E2082" s="423"/>
      <c r="F2082" s="424">
        <v>500</v>
      </c>
      <c r="G2082" s="425">
        <v>2.8999999999999998E-3</v>
      </c>
      <c r="H2082" s="649">
        <f>IF(F2082&lt;=30,(0.78*F2082+7.82)*G2082,((0.78*30+7.82)+0.78*(F2082-30))*G2082)</f>
        <v>1.153678</v>
      </c>
      <c r="I2082" s="420"/>
      <c r="J2082" s="420"/>
      <c r="K2082" s="421">
        <f t="shared" si="525"/>
        <v>0</v>
      </c>
      <c r="L2082" s="647"/>
      <c r="M2082" s="723"/>
      <c r="N2082" s="576">
        <f t="shared" si="536"/>
        <v>0</v>
      </c>
      <c r="O2082" s="577">
        <f t="shared" si="528"/>
        <v>0</v>
      </c>
      <c r="P2082" s="578">
        <f t="shared" si="529"/>
        <v>0</v>
      </c>
      <c r="Q2082" s="765"/>
      <c r="R2082" s="723"/>
      <c r="S2082" s="723"/>
      <c r="T2082" s="577">
        <f t="shared" si="526"/>
        <v>0</v>
      </c>
      <c r="U2082" s="578">
        <f t="shared" si="527"/>
        <v>0</v>
      </c>
      <c r="V2082" s="579"/>
      <c r="W2082" s="566" t="str">
        <f>IF(U2081&gt;0,"xx",IF(P2081&gt;0,"xy",""))</f>
        <v/>
      </c>
      <c r="X2082" s="586" t="str">
        <f t="shared" si="522"/>
        <v/>
      </c>
      <c r="Y2082" s="586" t="str">
        <f t="shared" si="531"/>
        <v/>
      </c>
      <c r="Z2082" s="586" t="str">
        <f t="shared" si="517"/>
        <v/>
      </c>
    </row>
    <row r="2083" spans="1:26" ht="12" hidden="1" thickBot="1" x14ac:dyDescent="0.25">
      <c r="A2083" s="567" t="s">
        <v>168</v>
      </c>
      <c r="B2083" s="644" t="s">
        <v>168</v>
      </c>
      <c r="C2083" s="645"/>
      <c r="D2083" s="422" t="s">
        <v>248</v>
      </c>
      <c r="E2083" s="423"/>
      <c r="F2083" s="424">
        <v>180</v>
      </c>
      <c r="G2083" s="425">
        <v>1.5100000000000001E-2</v>
      </c>
      <c r="H2083" s="663">
        <f t="shared" ref="H2083:H2084" si="540">IF(F2083&lt;=30,(1.07*F2083+2.68)*G2083,((1.07*30+2.68)+1.07*(F2083-30))*G2083)</f>
        <v>2.948728</v>
      </c>
      <c r="I2083" s="420"/>
      <c r="J2083" s="420"/>
      <c r="K2083" s="421">
        <f t="shared" si="525"/>
        <v>0</v>
      </c>
      <c r="L2083" s="647"/>
      <c r="M2083" s="723"/>
      <c r="N2083" s="576">
        <f t="shared" si="536"/>
        <v>0</v>
      </c>
      <c r="O2083" s="577">
        <f t="shared" si="528"/>
        <v>0</v>
      </c>
      <c r="P2083" s="578">
        <f t="shared" si="529"/>
        <v>0</v>
      </c>
      <c r="Q2083" s="765"/>
      <c r="R2083" s="723"/>
      <c r="S2083" s="723"/>
      <c r="T2083" s="577">
        <f t="shared" si="526"/>
        <v>0</v>
      </c>
      <c r="U2083" s="578">
        <f t="shared" si="527"/>
        <v>0</v>
      </c>
      <c r="V2083" s="579"/>
      <c r="W2083" s="566" t="str">
        <f>IF(U2081&gt;0,"xx",IF(P2081&gt;0,"xy",""))</f>
        <v/>
      </c>
      <c r="X2083" s="586" t="str">
        <f t="shared" si="522"/>
        <v/>
      </c>
      <c r="Y2083" s="586" t="str">
        <f t="shared" si="531"/>
        <v/>
      </c>
      <c r="Z2083" s="586" t="str">
        <f t="shared" si="517"/>
        <v/>
      </c>
    </row>
    <row r="2084" spans="1:26" ht="12" hidden="1" thickBot="1" x14ac:dyDescent="0.25">
      <c r="A2084" s="567" t="s">
        <v>168</v>
      </c>
      <c r="B2084" s="644" t="s">
        <v>168</v>
      </c>
      <c r="C2084" s="645"/>
      <c r="D2084" s="422" t="s">
        <v>347</v>
      </c>
      <c r="E2084" s="423"/>
      <c r="F2084" s="424">
        <v>20</v>
      </c>
      <c r="G2084" s="425">
        <v>0.53</v>
      </c>
      <c r="H2084" s="663">
        <f t="shared" si="540"/>
        <v>12.762400000000001</v>
      </c>
      <c r="I2084" s="420"/>
      <c r="J2084" s="420"/>
      <c r="K2084" s="421">
        <f t="shared" si="525"/>
        <v>0</v>
      </c>
      <c r="L2084" s="647"/>
      <c r="M2084" s="723"/>
      <c r="N2084" s="576">
        <f t="shared" si="536"/>
        <v>0</v>
      </c>
      <c r="O2084" s="577">
        <f t="shared" si="528"/>
        <v>0</v>
      </c>
      <c r="P2084" s="578">
        <f t="shared" si="529"/>
        <v>0</v>
      </c>
      <c r="Q2084" s="765"/>
      <c r="R2084" s="723"/>
      <c r="S2084" s="723"/>
      <c r="T2084" s="577">
        <f t="shared" si="526"/>
        <v>0</v>
      </c>
      <c r="U2084" s="578">
        <f t="shared" si="527"/>
        <v>0</v>
      </c>
      <c r="V2084" s="579"/>
      <c r="W2084" s="566" t="str">
        <f>IF(U2081&gt;0,"xx",IF(P2081&gt;0,"xy",""))</f>
        <v/>
      </c>
      <c r="X2084" s="586" t="str">
        <f t="shared" si="522"/>
        <v/>
      </c>
      <c r="Y2084" s="586" t="str">
        <f t="shared" si="531"/>
        <v/>
      </c>
      <c r="Z2084" s="586" t="str">
        <f t="shared" si="517"/>
        <v/>
      </c>
    </row>
    <row r="2085" spans="1:26" ht="12" hidden="1" thickBot="1" x14ac:dyDescent="0.25">
      <c r="A2085" s="567">
        <v>610800</v>
      </c>
      <c r="B2085" s="644" t="s">
        <v>1682</v>
      </c>
      <c r="C2085" s="645" t="s">
        <v>206</v>
      </c>
      <c r="D2085" s="422" t="s">
        <v>386</v>
      </c>
      <c r="E2085" s="423"/>
      <c r="F2085" s="424"/>
      <c r="G2085" s="425"/>
      <c r="H2085" s="651">
        <f>SUM(H2086:H2088)</f>
        <v>20.687328000000001</v>
      </c>
      <c r="I2085" s="420">
        <v>517.74</v>
      </c>
      <c r="J2085" s="420">
        <f>IF(ISBLANK(I2085),"",SUM(H2085:I2085))</f>
        <v>538.42732799999999</v>
      </c>
      <c r="K2085" s="421">
        <f t="shared" si="525"/>
        <v>639.71</v>
      </c>
      <c r="L2085" s="647" t="s">
        <v>19</v>
      </c>
      <c r="M2085" s="576"/>
      <c r="N2085" s="576">
        <f t="shared" si="536"/>
        <v>0</v>
      </c>
      <c r="O2085" s="577">
        <f t="shared" si="528"/>
        <v>0</v>
      </c>
      <c r="P2085" s="578">
        <f t="shared" si="529"/>
        <v>0</v>
      </c>
      <c r="Q2085" s="765"/>
      <c r="R2085" s="576">
        <f>M2085</f>
        <v>0</v>
      </c>
      <c r="S2085" s="576">
        <f>N2085</f>
        <v>0</v>
      </c>
      <c r="T2085" s="577">
        <f t="shared" si="526"/>
        <v>0</v>
      </c>
      <c r="U2085" s="578">
        <f t="shared" si="527"/>
        <v>0</v>
      </c>
      <c r="V2085" s="579"/>
      <c r="W2085" s="566"/>
      <c r="X2085" s="586" t="str">
        <f t="shared" si="522"/>
        <v/>
      </c>
      <c r="Y2085" s="586" t="str">
        <f t="shared" si="531"/>
        <v/>
      </c>
      <c r="Z2085" s="586" t="str">
        <f t="shared" si="517"/>
        <v/>
      </c>
    </row>
    <row r="2086" spans="1:26" ht="12" hidden="1" thickBot="1" x14ac:dyDescent="0.25">
      <c r="A2086" s="567" t="s">
        <v>168</v>
      </c>
      <c r="B2086" s="644" t="s">
        <v>168</v>
      </c>
      <c r="C2086" s="645"/>
      <c r="D2086" s="422" t="s">
        <v>212</v>
      </c>
      <c r="E2086" s="423"/>
      <c r="F2086" s="424">
        <v>500</v>
      </c>
      <c r="G2086" s="425">
        <v>3.2000000000000002E-3</v>
      </c>
      <c r="H2086" s="649">
        <f>IF(F2086&lt;=30,(0.78*F2086+7.82)*G2086,((0.78*30+7.82)+0.78*(F2086-30))*G2086)</f>
        <v>1.2730240000000002</v>
      </c>
      <c r="I2086" s="420"/>
      <c r="J2086" s="420"/>
      <c r="K2086" s="421">
        <f t="shared" si="525"/>
        <v>0</v>
      </c>
      <c r="L2086" s="647"/>
      <c r="M2086" s="723"/>
      <c r="N2086" s="576">
        <f t="shared" si="536"/>
        <v>0</v>
      </c>
      <c r="O2086" s="577">
        <f t="shared" si="528"/>
        <v>0</v>
      </c>
      <c r="P2086" s="578">
        <f t="shared" si="529"/>
        <v>0</v>
      </c>
      <c r="Q2086" s="765"/>
      <c r="R2086" s="723"/>
      <c r="S2086" s="723"/>
      <c r="T2086" s="577">
        <f t="shared" si="526"/>
        <v>0</v>
      </c>
      <c r="U2086" s="578">
        <f t="shared" si="527"/>
        <v>0</v>
      </c>
      <c r="V2086" s="579"/>
      <c r="W2086" s="566" t="str">
        <f>IF(U2085&gt;0,"xx",IF(P2085&gt;0,"xy",""))</f>
        <v/>
      </c>
      <c r="X2086" s="586" t="str">
        <f t="shared" si="522"/>
        <v/>
      </c>
      <c r="Y2086" s="586" t="str">
        <f t="shared" si="531"/>
        <v/>
      </c>
      <c r="Z2086" s="586" t="str">
        <f t="shared" si="517"/>
        <v/>
      </c>
    </row>
    <row r="2087" spans="1:26" ht="12" hidden="1" thickBot="1" x14ac:dyDescent="0.25">
      <c r="A2087" s="567" t="s">
        <v>168</v>
      </c>
      <c r="B2087" s="644" t="s">
        <v>168</v>
      </c>
      <c r="C2087" s="645"/>
      <c r="D2087" s="422" t="s">
        <v>248</v>
      </c>
      <c r="E2087" s="423"/>
      <c r="F2087" s="424">
        <v>180</v>
      </c>
      <c r="G2087" s="425">
        <v>1.6799999999999999E-2</v>
      </c>
      <c r="H2087" s="663">
        <f t="shared" ref="H2087:H2088" si="541">IF(F2087&lt;=30,(1.07*F2087+2.68)*G2087,((1.07*30+2.68)+1.07*(F2087-30))*G2087)</f>
        <v>3.2807039999999996</v>
      </c>
      <c r="I2087" s="420"/>
      <c r="J2087" s="420"/>
      <c r="K2087" s="421">
        <f t="shared" si="525"/>
        <v>0</v>
      </c>
      <c r="L2087" s="647"/>
      <c r="M2087" s="723"/>
      <c r="N2087" s="576">
        <f t="shared" si="536"/>
        <v>0</v>
      </c>
      <c r="O2087" s="577">
        <f t="shared" si="528"/>
        <v>0</v>
      </c>
      <c r="P2087" s="578">
        <f t="shared" si="529"/>
        <v>0</v>
      </c>
      <c r="Q2087" s="765"/>
      <c r="R2087" s="723"/>
      <c r="S2087" s="723"/>
      <c r="T2087" s="577">
        <f t="shared" si="526"/>
        <v>0</v>
      </c>
      <c r="U2087" s="578">
        <f t="shared" si="527"/>
        <v>0</v>
      </c>
      <c r="V2087" s="579"/>
      <c r="W2087" s="566" t="str">
        <f>IF(U2085&gt;0,"xx",IF(P2085&gt;0,"xy",""))</f>
        <v/>
      </c>
      <c r="X2087" s="586" t="str">
        <f t="shared" si="522"/>
        <v/>
      </c>
      <c r="Y2087" s="586" t="str">
        <f t="shared" si="531"/>
        <v/>
      </c>
      <c r="Z2087" s="586" t="str">
        <f t="shared" si="517"/>
        <v/>
      </c>
    </row>
    <row r="2088" spans="1:26" ht="12" hidden="1" thickBot="1" x14ac:dyDescent="0.25">
      <c r="A2088" s="567" t="s">
        <v>168</v>
      </c>
      <c r="B2088" s="644" t="s">
        <v>168</v>
      </c>
      <c r="C2088" s="645"/>
      <c r="D2088" s="422" t="s">
        <v>347</v>
      </c>
      <c r="E2088" s="423"/>
      <c r="F2088" s="424">
        <v>20</v>
      </c>
      <c r="G2088" s="425">
        <v>0.67</v>
      </c>
      <c r="H2088" s="663">
        <f t="shared" si="541"/>
        <v>16.133600000000001</v>
      </c>
      <c r="I2088" s="420"/>
      <c r="J2088" s="420"/>
      <c r="K2088" s="421">
        <f t="shared" si="525"/>
        <v>0</v>
      </c>
      <c r="L2088" s="647"/>
      <c r="M2088" s="723"/>
      <c r="N2088" s="576">
        <f t="shared" si="536"/>
        <v>0</v>
      </c>
      <c r="O2088" s="577">
        <f t="shared" si="528"/>
        <v>0</v>
      </c>
      <c r="P2088" s="578">
        <f t="shared" si="529"/>
        <v>0</v>
      </c>
      <c r="Q2088" s="765"/>
      <c r="R2088" s="723"/>
      <c r="S2088" s="723"/>
      <c r="T2088" s="577">
        <f t="shared" si="526"/>
        <v>0</v>
      </c>
      <c r="U2088" s="578">
        <f t="shared" si="527"/>
        <v>0</v>
      </c>
      <c r="V2088" s="579"/>
      <c r="W2088" s="566" t="str">
        <f>IF(U2085&gt;0,"xx",IF(P2085&gt;0,"xy",""))</f>
        <v/>
      </c>
      <c r="X2088" s="586" t="str">
        <f t="shared" si="522"/>
        <v/>
      </c>
      <c r="Y2088" s="586" t="str">
        <f t="shared" si="531"/>
        <v/>
      </c>
      <c r="Z2088" s="586" t="str">
        <f t="shared" ref="Z2088:Z2151" si="542">IF(W2088="X","x",IF(U2088&gt;0,"x",""))</f>
        <v/>
      </c>
    </row>
    <row r="2089" spans="1:26" ht="12" hidden="1" thickBot="1" x14ac:dyDescent="0.25">
      <c r="A2089" s="567">
        <v>611000</v>
      </c>
      <c r="B2089" s="644" t="s">
        <v>1689</v>
      </c>
      <c r="C2089" s="645" t="s">
        <v>206</v>
      </c>
      <c r="D2089" s="422" t="s">
        <v>581</v>
      </c>
      <c r="E2089" s="423"/>
      <c r="F2089" s="424"/>
      <c r="G2089" s="425"/>
      <c r="H2089" s="651">
        <f>SUM(H2090:H2092)</f>
        <v>25.798960000000001</v>
      </c>
      <c r="I2089" s="420">
        <v>634.35500000000002</v>
      </c>
      <c r="J2089" s="420">
        <f>IF(ISBLANK(I2089),"",SUM(H2089:I2089))</f>
        <v>660.15395999999998</v>
      </c>
      <c r="K2089" s="421">
        <f t="shared" si="525"/>
        <v>784.33</v>
      </c>
      <c r="L2089" s="647" t="s">
        <v>19</v>
      </c>
      <c r="M2089" s="576"/>
      <c r="N2089" s="576">
        <f t="shared" si="536"/>
        <v>0</v>
      </c>
      <c r="O2089" s="577">
        <f t="shared" si="528"/>
        <v>0</v>
      </c>
      <c r="P2089" s="578">
        <f t="shared" si="529"/>
        <v>0</v>
      </c>
      <c r="Q2089" s="765"/>
      <c r="R2089" s="576">
        <f>M2089</f>
        <v>0</v>
      </c>
      <c r="S2089" s="576">
        <f>N2089</f>
        <v>0</v>
      </c>
      <c r="T2089" s="577">
        <f t="shared" si="526"/>
        <v>0</v>
      </c>
      <c r="U2089" s="578">
        <f t="shared" si="527"/>
        <v>0</v>
      </c>
      <c r="V2089" s="579"/>
      <c r="W2089" s="566"/>
      <c r="X2089" s="586" t="str">
        <f t="shared" si="522"/>
        <v/>
      </c>
      <c r="Y2089" s="586" t="str">
        <f t="shared" si="531"/>
        <v/>
      </c>
      <c r="Z2089" s="586" t="str">
        <f t="shared" si="542"/>
        <v/>
      </c>
    </row>
    <row r="2090" spans="1:26" ht="12" hidden="1" thickBot="1" x14ac:dyDescent="0.25">
      <c r="A2090" s="567" t="s">
        <v>168</v>
      </c>
      <c r="B2090" s="644" t="s">
        <v>168</v>
      </c>
      <c r="C2090" s="645"/>
      <c r="D2090" s="422" t="s">
        <v>212</v>
      </c>
      <c r="E2090" s="423"/>
      <c r="F2090" s="424">
        <v>500</v>
      </c>
      <c r="G2090" s="425">
        <v>4.0000000000000001E-3</v>
      </c>
      <c r="H2090" s="649">
        <f>IF(F2090&lt;=30,(0.78*F2090+7.82)*G2090,((0.78*30+7.82)+0.78*(F2090-30))*G2090)</f>
        <v>1.5912800000000002</v>
      </c>
      <c r="I2090" s="420"/>
      <c r="J2090" s="420"/>
      <c r="K2090" s="421">
        <f t="shared" si="525"/>
        <v>0</v>
      </c>
      <c r="L2090" s="647"/>
      <c r="M2090" s="723"/>
      <c r="N2090" s="576">
        <f t="shared" si="536"/>
        <v>0</v>
      </c>
      <c r="O2090" s="577">
        <f t="shared" si="528"/>
        <v>0</v>
      </c>
      <c r="P2090" s="578">
        <f t="shared" si="529"/>
        <v>0</v>
      </c>
      <c r="Q2090" s="765"/>
      <c r="R2090" s="723"/>
      <c r="S2090" s="723"/>
      <c r="T2090" s="577">
        <f t="shared" si="526"/>
        <v>0</v>
      </c>
      <c r="U2090" s="578">
        <f t="shared" si="527"/>
        <v>0</v>
      </c>
      <c r="V2090" s="579"/>
      <c r="W2090" s="566" t="str">
        <f>IF(U2089&gt;0,"xx",IF(P2089&gt;0,"xy",""))</f>
        <v/>
      </c>
      <c r="X2090" s="586" t="str">
        <f t="shared" si="522"/>
        <v/>
      </c>
      <c r="Y2090" s="586" t="str">
        <f t="shared" si="531"/>
        <v/>
      </c>
      <c r="Z2090" s="586" t="str">
        <f t="shared" si="542"/>
        <v/>
      </c>
    </row>
    <row r="2091" spans="1:26" ht="12" hidden="1" thickBot="1" x14ac:dyDescent="0.25">
      <c r="A2091" s="567" t="s">
        <v>168</v>
      </c>
      <c r="B2091" s="644" t="s">
        <v>168</v>
      </c>
      <c r="C2091" s="645"/>
      <c r="D2091" s="422" t="s">
        <v>248</v>
      </c>
      <c r="E2091" s="423"/>
      <c r="F2091" s="424">
        <v>180</v>
      </c>
      <c r="G2091" s="425">
        <v>2.1000000000000001E-2</v>
      </c>
      <c r="H2091" s="663">
        <f t="shared" ref="H2091:H2092" si="543">IF(F2091&lt;=30,(1.07*F2091+2.68)*G2091,((1.07*30+2.68)+1.07*(F2091-30))*G2091)</f>
        <v>4.1008800000000001</v>
      </c>
      <c r="I2091" s="420"/>
      <c r="J2091" s="420"/>
      <c r="K2091" s="421">
        <f t="shared" si="525"/>
        <v>0</v>
      </c>
      <c r="L2091" s="647"/>
      <c r="M2091" s="723"/>
      <c r="N2091" s="576">
        <f t="shared" si="536"/>
        <v>0</v>
      </c>
      <c r="O2091" s="577">
        <f t="shared" si="528"/>
        <v>0</v>
      </c>
      <c r="P2091" s="578">
        <f t="shared" si="529"/>
        <v>0</v>
      </c>
      <c r="Q2091" s="765"/>
      <c r="R2091" s="723"/>
      <c r="S2091" s="723"/>
      <c r="T2091" s="577">
        <f t="shared" si="526"/>
        <v>0</v>
      </c>
      <c r="U2091" s="578">
        <f t="shared" si="527"/>
        <v>0</v>
      </c>
      <c r="V2091" s="579"/>
      <c r="W2091" s="566" t="str">
        <f>IF(U2089&gt;0,"xx",IF(P2089&gt;0,"xy",""))</f>
        <v/>
      </c>
      <c r="X2091" s="586" t="str">
        <f t="shared" si="522"/>
        <v/>
      </c>
      <c r="Y2091" s="586" t="str">
        <f t="shared" si="531"/>
        <v/>
      </c>
      <c r="Z2091" s="586" t="str">
        <f t="shared" si="542"/>
        <v/>
      </c>
    </row>
    <row r="2092" spans="1:26" ht="12" hidden="1" thickBot="1" x14ac:dyDescent="0.25">
      <c r="A2092" s="567" t="s">
        <v>168</v>
      </c>
      <c r="B2092" s="644" t="s">
        <v>168</v>
      </c>
      <c r="C2092" s="645"/>
      <c r="D2092" s="422" t="s">
        <v>347</v>
      </c>
      <c r="E2092" s="423"/>
      <c r="F2092" s="424">
        <v>20</v>
      </c>
      <c r="G2092" s="425">
        <v>0.83499999999999996</v>
      </c>
      <c r="H2092" s="663">
        <f t="shared" si="543"/>
        <v>20.1068</v>
      </c>
      <c r="I2092" s="420"/>
      <c r="J2092" s="420"/>
      <c r="K2092" s="421">
        <f t="shared" si="525"/>
        <v>0</v>
      </c>
      <c r="L2092" s="647"/>
      <c r="M2092" s="723"/>
      <c r="N2092" s="576">
        <f t="shared" si="536"/>
        <v>0</v>
      </c>
      <c r="O2092" s="577">
        <f t="shared" si="528"/>
        <v>0</v>
      </c>
      <c r="P2092" s="578">
        <f t="shared" si="529"/>
        <v>0</v>
      </c>
      <c r="Q2092" s="765"/>
      <c r="R2092" s="723"/>
      <c r="S2092" s="723"/>
      <c r="T2092" s="577">
        <f t="shared" si="526"/>
        <v>0</v>
      </c>
      <c r="U2092" s="578">
        <f t="shared" si="527"/>
        <v>0</v>
      </c>
      <c r="V2092" s="579"/>
      <c r="W2092" s="566" t="str">
        <f>IF(U2089&gt;0,"xx",IF(P2089&gt;0,"xy",""))</f>
        <v/>
      </c>
      <c r="X2092" s="586" t="str">
        <f t="shared" si="522"/>
        <v/>
      </c>
      <c r="Y2092" s="586" t="str">
        <f t="shared" si="531"/>
        <v/>
      </c>
      <c r="Z2092" s="586" t="str">
        <f t="shared" si="542"/>
        <v/>
      </c>
    </row>
    <row r="2093" spans="1:26" ht="12" hidden="1" thickBot="1" x14ac:dyDescent="0.25">
      <c r="A2093" s="567">
        <v>611000</v>
      </c>
      <c r="B2093" s="644" t="s">
        <v>1690</v>
      </c>
      <c r="C2093" s="645" t="s">
        <v>206</v>
      </c>
      <c r="D2093" s="422" t="s">
        <v>387</v>
      </c>
      <c r="E2093" s="423"/>
      <c r="F2093" s="424"/>
      <c r="G2093" s="425"/>
      <c r="H2093" s="651">
        <f>SUM(H2094:H2096)</f>
        <v>30.910592000000001</v>
      </c>
      <c r="I2093" s="420">
        <v>750.97</v>
      </c>
      <c r="J2093" s="420">
        <f>IF(ISBLANK(I2093),"",SUM(H2093:I2093))</f>
        <v>781.88059199999998</v>
      </c>
      <c r="K2093" s="421">
        <f t="shared" si="525"/>
        <v>928.95</v>
      </c>
      <c r="L2093" s="647" t="s">
        <v>19</v>
      </c>
      <c r="M2093" s="576"/>
      <c r="N2093" s="576">
        <f t="shared" si="536"/>
        <v>0</v>
      </c>
      <c r="O2093" s="577">
        <f t="shared" si="528"/>
        <v>0</v>
      </c>
      <c r="P2093" s="578">
        <f t="shared" si="529"/>
        <v>0</v>
      </c>
      <c r="Q2093" s="765"/>
      <c r="R2093" s="576">
        <f>M2093</f>
        <v>0</v>
      </c>
      <c r="S2093" s="576">
        <f>N2093</f>
        <v>0</v>
      </c>
      <c r="T2093" s="577">
        <f t="shared" si="526"/>
        <v>0</v>
      </c>
      <c r="U2093" s="578">
        <f t="shared" si="527"/>
        <v>0</v>
      </c>
      <c r="V2093" s="579"/>
      <c r="W2093" s="566"/>
      <c r="X2093" s="586" t="str">
        <f t="shared" si="522"/>
        <v/>
      </c>
      <c r="Y2093" s="586" t="str">
        <f t="shared" si="531"/>
        <v/>
      </c>
      <c r="Z2093" s="586" t="str">
        <f t="shared" si="542"/>
        <v/>
      </c>
    </row>
    <row r="2094" spans="1:26" ht="12" hidden="1" thickBot="1" x14ac:dyDescent="0.25">
      <c r="A2094" s="567" t="s">
        <v>168</v>
      </c>
      <c r="B2094" s="644" t="s">
        <v>168</v>
      </c>
      <c r="C2094" s="645"/>
      <c r="D2094" s="422" t="s">
        <v>212</v>
      </c>
      <c r="E2094" s="423"/>
      <c r="F2094" s="424">
        <v>500</v>
      </c>
      <c r="G2094" s="425">
        <v>4.7999999999999996E-3</v>
      </c>
      <c r="H2094" s="649">
        <f>IF(F2094&lt;=30,(0.78*F2094+7.82)*G2094,((0.78*30+7.82)+0.78*(F2094-30))*G2094)</f>
        <v>1.9095360000000001</v>
      </c>
      <c r="I2094" s="420"/>
      <c r="J2094" s="420"/>
      <c r="K2094" s="421">
        <f t="shared" si="525"/>
        <v>0</v>
      </c>
      <c r="L2094" s="647"/>
      <c r="M2094" s="723"/>
      <c r="N2094" s="576">
        <f t="shared" si="536"/>
        <v>0</v>
      </c>
      <c r="O2094" s="577">
        <f t="shared" si="528"/>
        <v>0</v>
      </c>
      <c r="P2094" s="578">
        <f t="shared" si="529"/>
        <v>0</v>
      </c>
      <c r="Q2094" s="765"/>
      <c r="R2094" s="723"/>
      <c r="S2094" s="723"/>
      <c r="T2094" s="577">
        <f t="shared" si="526"/>
        <v>0</v>
      </c>
      <c r="U2094" s="578">
        <f t="shared" si="527"/>
        <v>0</v>
      </c>
      <c r="V2094" s="579"/>
      <c r="W2094" s="566" t="str">
        <f>IF(U2093&gt;0,"xx",IF(P2093&gt;0,"xy",""))</f>
        <v/>
      </c>
      <c r="X2094" s="586" t="str">
        <f t="shared" si="522"/>
        <v/>
      </c>
      <c r="Y2094" s="586" t="str">
        <f t="shared" si="531"/>
        <v/>
      </c>
      <c r="Z2094" s="586" t="str">
        <f t="shared" si="542"/>
        <v/>
      </c>
    </row>
    <row r="2095" spans="1:26" ht="12" hidden="1" thickBot="1" x14ac:dyDescent="0.25">
      <c r="A2095" s="567" t="s">
        <v>168</v>
      </c>
      <c r="B2095" s="644" t="s">
        <v>168</v>
      </c>
      <c r="C2095" s="645"/>
      <c r="D2095" s="422" t="s">
        <v>248</v>
      </c>
      <c r="E2095" s="423"/>
      <c r="F2095" s="424">
        <v>180</v>
      </c>
      <c r="G2095" s="425">
        <v>2.52E-2</v>
      </c>
      <c r="H2095" s="663">
        <f t="shared" ref="H2095:H2096" si="544">IF(F2095&lt;=30,(1.07*F2095+2.68)*G2095,((1.07*30+2.68)+1.07*(F2095-30))*G2095)</f>
        <v>4.9210560000000001</v>
      </c>
      <c r="I2095" s="420"/>
      <c r="J2095" s="420"/>
      <c r="K2095" s="421">
        <f t="shared" si="525"/>
        <v>0</v>
      </c>
      <c r="L2095" s="647"/>
      <c r="M2095" s="723"/>
      <c r="N2095" s="576">
        <f t="shared" si="536"/>
        <v>0</v>
      </c>
      <c r="O2095" s="577">
        <f t="shared" si="528"/>
        <v>0</v>
      </c>
      <c r="P2095" s="578">
        <f t="shared" si="529"/>
        <v>0</v>
      </c>
      <c r="Q2095" s="765"/>
      <c r="R2095" s="723"/>
      <c r="S2095" s="723"/>
      <c r="T2095" s="577">
        <f t="shared" si="526"/>
        <v>0</v>
      </c>
      <c r="U2095" s="578">
        <f t="shared" si="527"/>
        <v>0</v>
      </c>
      <c r="V2095" s="579"/>
      <c r="W2095" s="566" t="str">
        <f>IF(U2093&gt;0,"xx",IF(P2093&gt;0,"xy",""))</f>
        <v/>
      </c>
      <c r="X2095" s="586" t="str">
        <f t="shared" si="522"/>
        <v/>
      </c>
      <c r="Y2095" s="586" t="str">
        <f t="shared" si="531"/>
        <v/>
      </c>
      <c r="Z2095" s="586" t="str">
        <f t="shared" si="542"/>
        <v/>
      </c>
    </row>
    <row r="2096" spans="1:26" ht="12" hidden="1" thickBot="1" x14ac:dyDescent="0.25">
      <c r="A2096" s="567" t="s">
        <v>168</v>
      </c>
      <c r="B2096" s="644" t="s">
        <v>168</v>
      </c>
      <c r="C2096" s="645"/>
      <c r="D2096" s="422" t="s">
        <v>347</v>
      </c>
      <c r="E2096" s="423"/>
      <c r="F2096" s="424">
        <v>20</v>
      </c>
      <c r="G2096" s="425">
        <v>1</v>
      </c>
      <c r="H2096" s="663">
        <f t="shared" si="544"/>
        <v>24.080000000000002</v>
      </c>
      <c r="I2096" s="420"/>
      <c r="J2096" s="420"/>
      <c r="K2096" s="421">
        <f t="shared" si="525"/>
        <v>0</v>
      </c>
      <c r="L2096" s="647"/>
      <c r="M2096" s="723"/>
      <c r="N2096" s="576">
        <f t="shared" si="536"/>
        <v>0</v>
      </c>
      <c r="O2096" s="577">
        <f t="shared" si="528"/>
        <v>0</v>
      </c>
      <c r="P2096" s="578">
        <f t="shared" si="529"/>
        <v>0</v>
      </c>
      <c r="Q2096" s="765"/>
      <c r="R2096" s="723"/>
      <c r="S2096" s="723"/>
      <c r="T2096" s="577">
        <f t="shared" si="526"/>
        <v>0</v>
      </c>
      <c r="U2096" s="578">
        <f t="shared" si="527"/>
        <v>0</v>
      </c>
      <c r="V2096" s="579"/>
      <c r="W2096" s="566" t="str">
        <f>IF(U2093&gt;0,"xx",IF(P2093&gt;0,"xy",""))</f>
        <v/>
      </c>
      <c r="X2096" s="586" t="str">
        <f t="shared" si="522"/>
        <v/>
      </c>
      <c r="Y2096" s="586" t="str">
        <f t="shared" si="531"/>
        <v/>
      </c>
      <c r="Z2096" s="586" t="str">
        <f t="shared" si="542"/>
        <v/>
      </c>
    </row>
    <row r="2097" spans="1:26" ht="12" hidden="1" thickBot="1" x14ac:dyDescent="0.25">
      <c r="A2097" s="567">
        <v>611200</v>
      </c>
      <c r="B2097" s="644" t="s">
        <v>1692</v>
      </c>
      <c r="C2097" s="645" t="s">
        <v>206</v>
      </c>
      <c r="D2097" s="422" t="s">
        <v>388</v>
      </c>
      <c r="E2097" s="423"/>
      <c r="F2097" s="424"/>
      <c r="G2097" s="425"/>
      <c r="H2097" s="651">
        <f>SUM(H2098:H2100)</f>
        <v>43.822438000000005</v>
      </c>
      <c r="I2097" s="420">
        <v>997.43000000000006</v>
      </c>
      <c r="J2097" s="420">
        <f>IF(ISBLANK(I2097),"",SUM(H2097:I2097))</f>
        <v>1041.252438</v>
      </c>
      <c r="K2097" s="421">
        <f t="shared" si="525"/>
        <v>1237.1099999999999</v>
      </c>
      <c r="L2097" s="647" t="s">
        <v>19</v>
      </c>
      <c r="M2097" s="576"/>
      <c r="N2097" s="576">
        <f t="shared" si="536"/>
        <v>0</v>
      </c>
      <c r="O2097" s="577">
        <f t="shared" si="528"/>
        <v>0</v>
      </c>
      <c r="P2097" s="578">
        <f t="shared" si="529"/>
        <v>0</v>
      </c>
      <c r="Q2097" s="765"/>
      <c r="R2097" s="576">
        <f>M2097</f>
        <v>0</v>
      </c>
      <c r="S2097" s="576">
        <f>N2097</f>
        <v>0</v>
      </c>
      <c r="T2097" s="577">
        <f t="shared" si="526"/>
        <v>0</v>
      </c>
      <c r="U2097" s="578">
        <f t="shared" si="527"/>
        <v>0</v>
      </c>
      <c r="V2097" s="579"/>
      <c r="W2097" s="566"/>
      <c r="X2097" s="586" t="str">
        <f t="shared" si="522"/>
        <v/>
      </c>
      <c r="Y2097" s="586" t="str">
        <f t="shared" si="531"/>
        <v/>
      </c>
      <c r="Z2097" s="586" t="str">
        <f t="shared" si="542"/>
        <v/>
      </c>
    </row>
    <row r="2098" spans="1:26" ht="12" hidden="1" thickBot="1" x14ac:dyDescent="0.25">
      <c r="A2098" s="567" t="s">
        <v>168</v>
      </c>
      <c r="B2098" s="644" t="s">
        <v>168</v>
      </c>
      <c r="C2098" s="645"/>
      <c r="D2098" s="422" t="s">
        <v>212</v>
      </c>
      <c r="E2098" s="423"/>
      <c r="F2098" s="424">
        <v>500</v>
      </c>
      <c r="G2098" s="425">
        <v>6.4999999999999997E-3</v>
      </c>
      <c r="H2098" s="649">
        <f>IF(F2098&lt;=30,(0.78*F2098+7.82)*G2098,((0.78*30+7.82)+0.78*(F2098-30))*G2098)</f>
        <v>2.5858300000000001</v>
      </c>
      <c r="I2098" s="420"/>
      <c r="J2098" s="420"/>
      <c r="K2098" s="421">
        <f t="shared" si="525"/>
        <v>0</v>
      </c>
      <c r="L2098" s="647"/>
      <c r="M2098" s="723"/>
      <c r="N2098" s="576">
        <f t="shared" si="536"/>
        <v>0</v>
      </c>
      <c r="O2098" s="577">
        <f t="shared" si="528"/>
        <v>0</v>
      </c>
      <c r="P2098" s="578">
        <f t="shared" si="529"/>
        <v>0</v>
      </c>
      <c r="Q2098" s="765"/>
      <c r="R2098" s="723"/>
      <c r="S2098" s="723"/>
      <c r="T2098" s="577">
        <f t="shared" si="526"/>
        <v>0</v>
      </c>
      <c r="U2098" s="578">
        <f t="shared" si="527"/>
        <v>0</v>
      </c>
      <c r="V2098" s="579"/>
      <c r="W2098" s="566" t="str">
        <f>IF(U2097&gt;0,"xx",IF(P2097&gt;0,"xy",""))</f>
        <v/>
      </c>
      <c r="X2098" s="586" t="str">
        <f t="shared" si="522"/>
        <v/>
      </c>
      <c r="Y2098" s="586" t="str">
        <f t="shared" si="531"/>
        <v/>
      </c>
      <c r="Z2098" s="586" t="str">
        <f t="shared" si="542"/>
        <v/>
      </c>
    </row>
    <row r="2099" spans="1:26" ht="12" hidden="1" thickBot="1" x14ac:dyDescent="0.25">
      <c r="A2099" s="567" t="s">
        <v>168</v>
      </c>
      <c r="B2099" s="644" t="s">
        <v>168</v>
      </c>
      <c r="C2099" s="645"/>
      <c r="D2099" s="422" t="s">
        <v>248</v>
      </c>
      <c r="E2099" s="423"/>
      <c r="F2099" s="424">
        <v>180</v>
      </c>
      <c r="G2099" s="425">
        <v>3.3599999999999998E-2</v>
      </c>
      <c r="H2099" s="663">
        <f t="shared" ref="H2099:H2100" si="545">IF(F2099&lt;=30,(1.07*F2099+2.68)*G2099,((1.07*30+2.68)+1.07*(F2099-30))*G2099)</f>
        <v>6.5614079999999992</v>
      </c>
      <c r="I2099" s="420"/>
      <c r="J2099" s="420"/>
      <c r="K2099" s="421">
        <f t="shared" si="525"/>
        <v>0</v>
      </c>
      <c r="L2099" s="647"/>
      <c r="M2099" s="723"/>
      <c r="N2099" s="576">
        <f t="shared" si="536"/>
        <v>0</v>
      </c>
      <c r="O2099" s="577">
        <f t="shared" si="528"/>
        <v>0</v>
      </c>
      <c r="P2099" s="578">
        <f t="shared" si="529"/>
        <v>0</v>
      </c>
      <c r="Q2099" s="765"/>
      <c r="R2099" s="723"/>
      <c r="S2099" s="723"/>
      <c r="T2099" s="577">
        <f t="shared" si="526"/>
        <v>0</v>
      </c>
      <c r="U2099" s="578">
        <f t="shared" si="527"/>
        <v>0</v>
      </c>
      <c r="V2099" s="579"/>
      <c r="W2099" s="566" t="str">
        <f>IF(U2097&gt;0,"xx",IF(P2097&gt;0,"xy",""))</f>
        <v/>
      </c>
      <c r="X2099" s="586" t="str">
        <f t="shared" si="522"/>
        <v/>
      </c>
      <c r="Y2099" s="586" t="str">
        <f t="shared" si="531"/>
        <v/>
      </c>
      <c r="Z2099" s="586" t="str">
        <f t="shared" si="542"/>
        <v/>
      </c>
    </row>
    <row r="2100" spans="1:26" ht="12" hidden="1" thickBot="1" x14ac:dyDescent="0.25">
      <c r="A2100" s="567" t="s">
        <v>168</v>
      </c>
      <c r="B2100" s="644" t="s">
        <v>168</v>
      </c>
      <c r="C2100" s="645"/>
      <c r="D2100" s="422" t="s">
        <v>347</v>
      </c>
      <c r="E2100" s="423"/>
      <c r="F2100" s="424">
        <v>20</v>
      </c>
      <c r="G2100" s="425">
        <v>1.44</v>
      </c>
      <c r="H2100" s="663">
        <f t="shared" si="545"/>
        <v>34.675200000000004</v>
      </c>
      <c r="I2100" s="420"/>
      <c r="J2100" s="420"/>
      <c r="K2100" s="421">
        <f t="shared" si="525"/>
        <v>0</v>
      </c>
      <c r="L2100" s="647"/>
      <c r="M2100" s="723"/>
      <c r="N2100" s="576">
        <f t="shared" si="536"/>
        <v>0</v>
      </c>
      <c r="O2100" s="577">
        <f t="shared" si="528"/>
        <v>0</v>
      </c>
      <c r="P2100" s="578">
        <f t="shared" si="529"/>
        <v>0</v>
      </c>
      <c r="Q2100" s="765"/>
      <c r="R2100" s="723"/>
      <c r="S2100" s="723"/>
      <c r="T2100" s="577">
        <f t="shared" si="526"/>
        <v>0</v>
      </c>
      <c r="U2100" s="578">
        <f t="shared" si="527"/>
        <v>0</v>
      </c>
      <c r="V2100" s="579"/>
      <c r="W2100" s="566" t="str">
        <f>IF(U2097&gt;0,"xx",IF(P2097&gt;0,"xy",""))</f>
        <v/>
      </c>
      <c r="X2100" s="586" t="str">
        <f t="shared" si="522"/>
        <v/>
      </c>
      <c r="Y2100" s="586" t="str">
        <f t="shared" si="531"/>
        <v/>
      </c>
      <c r="Z2100" s="586" t="str">
        <f t="shared" si="542"/>
        <v/>
      </c>
    </row>
    <row r="2101" spans="1:26" ht="12" hidden="1" thickBot="1" x14ac:dyDescent="0.25">
      <c r="A2101" s="567">
        <v>611400</v>
      </c>
      <c r="B2101" s="644" t="s">
        <v>1695</v>
      </c>
      <c r="C2101" s="645" t="s">
        <v>206</v>
      </c>
      <c r="D2101" s="422" t="s">
        <v>389</v>
      </c>
      <c r="E2101" s="423"/>
      <c r="F2101" s="424"/>
      <c r="G2101" s="425"/>
      <c r="H2101" s="651">
        <f>SUM(H2102:H2104)</f>
        <v>51.156102000000004</v>
      </c>
      <c r="I2101" s="420">
        <v>1260.26</v>
      </c>
      <c r="J2101" s="420">
        <f>IF(ISBLANK(I2101),"",SUM(H2101:I2101))</f>
        <v>1311.4161019999999</v>
      </c>
      <c r="K2101" s="421">
        <f t="shared" si="525"/>
        <v>1558.09</v>
      </c>
      <c r="L2101" s="647" t="s">
        <v>19</v>
      </c>
      <c r="M2101" s="576"/>
      <c r="N2101" s="576">
        <f t="shared" si="536"/>
        <v>0</v>
      </c>
      <c r="O2101" s="577">
        <f t="shared" si="528"/>
        <v>0</v>
      </c>
      <c r="P2101" s="578">
        <f t="shared" si="529"/>
        <v>0</v>
      </c>
      <c r="Q2101" s="765"/>
      <c r="R2101" s="576">
        <f>M2101</f>
        <v>0</v>
      </c>
      <c r="S2101" s="576">
        <f>N2101</f>
        <v>0</v>
      </c>
      <c r="T2101" s="577">
        <f t="shared" si="526"/>
        <v>0</v>
      </c>
      <c r="U2101" s="578">
        <f t="shared" si="527"/>
        <v>0</v>
      </c>
      <c r="V2101" s="579"/>
      <c r="W2101" s="566"/>
      <c r="X2101" s="586" t="str">
        <f t="shared" si="522"/>
        <v/>
      </c>
      <c r="Y2101" s="586" t="str">
        <f t="shared" si="531"/>
        <v/>
      </c>
      <c r="Z2101" s="586" t="str">
        <f t="shared" si="542"/>
        <v/>
      </c>
    </row>
    <row r="2102" spans="1:26" ht="12" hidden="1" thickBot="1" x14ac:dyDescent="0.25">
      <c r="A2102" s="567" t="s">
        <v>168</v>
      </c>
      <c r="B2102" s="644" t="s">
        <v>168</v>
      </c>
      <c r="C2102" s="645"/>
      <c r="D2102" s="422" t="s">
        <v>212</v>
      </c>
      <c r="E2102" s="423"/>
      <c r="F2102" s="424">
        <v>500</v>
      </c>
      <c r="G2102" s="425">
        <v>8.0999999999999996E-3</v>
      </c>
      <c r="H2102" s="649">
        <f>IF(F2102&lt;=30,(0.78*F2102+7.82)*G2102,((0.78*30+7.82)+0.78*(F2102-30))*G2102)</f>
        <v>3.2223420000000003</v>
      </c>
      <c r="I2102" s="420"/>
      <c r="J2102" s="420" t="str">
        <f>IF(ISBLANK(I2102),"",SUM(H2102:I2102))</f>
        <v/>
      </c>
      <c r="K2102" s="421">
        <f t="shared" si="525"/>
        <v>0</v>
      </c>
      <c r="L2102" s="647"/>
      <c r="M2102" s="723"/>
      <c r="N2102" s="576">
        <f t="shared" si="536"/>
        <v>0</v>
      </c>
      <c r="O2102" s="577">
        <f t="shared" si="528"/>
        <v>0</v>
      </c>
      <c r="P2102" s="578">
        <f t="shared" si="529"/>
        <v>0</v>
      </c>
      <c r="Q2102" s="765"/>
      <c r="R2102" s="723"/>
      <c r="S2102" s="723"/>
      <c r="T2102" s="577">
        <f t="shared" si="526"/>
        <v>0</v>
      </c>
      <c r="U2102" s="578">
        <f t="shared" si="527"/>
        <v>0</v>
      </c>
      <c r="V2102" s="579"/>
      <c r="W2102" s="566" t="str">
        <f>IF(U2101&gt;0,"xx",IF(P2101&gt;0,"xy",""))</f>
        <v/>
      </c>
      <c r="X2102" s="586" t="str">
        <f t="shared" si="522"/>
        <v/>
      </c>
      <c r="Y2102" s="586" t="str">
        <f t="shared" si="531"/>
        <v/>
      </c>
      <c r="Z2102" s="586" t="str">
        <f t="shared" si="542"/>
        <v/>
      </c>
    </row>
    <row r="2103" spans="1:26" ht="12" hidden="1" thickBot="1" x14ac:dyDescent="0.25">
      <c r="A2103" s="567" t="s">
        <v>168</v>
      </c>
      <c r="B2103" s="644" t="s">
        <v>168</v>
      </c>
      <c r="C2103" s="645"/>
      <c r="D2103" s="422" t="s">
        <v>248</v>
      </c>
      <c r="E2103" s="423"/>
      <c r="F2103" s="424">
        <v>180</v>
      </c>
      <c r="G2103" s="425">
        <v>4.2000000000000003E-2</v>
      </c>
      <c r="H2103" s="663">
        <f t="shared" ref="H2103:H2104" si="546">IF(F2103&lt;=30,(1.07*F2103+2.68)*G2103,((1.07*30+2.68)+1.07*(F2103-30))*G2103)</f>
        <v>8.2017600000000002</v>
      </c>
      <c r="I2103" s="420"/>
      <c r="J2103" s="420" t="str">
        <f>IF(ISBLANK(I2103),"",SUM(H2103:I2103))</f>
        <v/>
      </c>
      <c r="K2103" s="421">
        <f t="shared" si="525"/>
        <v>0</v>
      </c>
      <c r="L2103" s="647"/>
      <c r="M2103" s="723"/>
      <c r="N2103" s="576">
        <f t="shared" si="536"/>
        <v>0</v>
      </c>
      <c r="O2103" s="577">
        <f t="shared" si="528"/>
        <v>0</v>
      </c>
      <c r="P2103" s="578">
        <f t="shared" si="529"/>
        <v>0</v>
      </c>
      <c r="Q2103" s="765"/>
      <c r="R2103" s="723"/>
      <c r="S2103" s="723"/>
      <c r="T2103" s="577">
        <f t="shared" si="526"/>
        <v>0</v>
      </c>
      <c r="U2103" s="578">
        <f t="shared" si="527"/>
        <v>0</v>
      </c>
      <c r="V2103" s="579"/>
      <c r="W2103" s="566" t="str">
        <f>IF(U2101&gt;0,"xx",IF(P2101&gt;0,"xy",""))</f>
        <v/>
      </c>
      <c r="X2103" s="586" t="str">
        <f t="shared" si="522"/>
        <v/>
      </c>
      <c r="Y2103" s="586" t="str">
        <f t="shared" si="531"/>
        <v/>
      </c>
      <c r="Z2103" s="586" t="str">
        <f t="shared" si="542"/>
        <v/>
      </c>
    </row>
    <row r="2104" spans="1:26" ht="12" hidden="1" thickBot="1" x14ac:dyDescent="0.25">
      <c r="A2104" s="567" t="s">
        <v>168</v>
      </c>
      <c r="B2104" s="644" t="s">
        <v>168</v>
      </c>
      <c r="C2104" s="645"/>
      <c r="D2104" s="422" t="s">
        <v>347</v>
      </c>
      <c r="E2104" s="423"/>
      <c r="F2104" s="424">
        <v>20</v>
      </c>
      <c r="G2104" s="425">
        <v>1.65</v>
      </c>
      <c r="H2104" s="663">
        <f t="shared" si="546"/>
        <v>39.731999999999999</v>
      </c>
      <c r="I2104" s="420"/>
      <c r="J2104" s="420" t="str">
        <f>IF(ISBLANK(I2104),"",SUM(H2104:I2104))</f>
        <v/>
      </c>
      <c r="K2104" s="421">
        <f t="shared" si="525"/>
        <v>0</v>
      </c>
      <c r="L2104" s="647"/>
      <c r="M2104" s="723"/>
      <c r="N2104" s="576">
        <f t="shared" si="536"/>
        <v>0</v>
      </c>
      <c r="O2104" s="577">
        <f t="shared" si="528"/>
        <v>0</v>
      </c>
      <c r="P2104" s="578">
        <f t="shared" si="529"/>
        <v>0</v>
      </c>
      <c r="Q2104" s="765"/>
      <c r="R2104" s="723"/>
      <c r="S2104" s="723"/>
      <c r="T2104" s="577">
        <f t="shared" si="526"/>
        <v>0</v>
      </c>
      <c r="U2104" s="578">
        <f t="shared" si="527"/>
        <v>0</v>
      </c>
      <c r="V2104" s="579"/>
      <c r="W2104" s="566" t="str">
        <f>IF(U2101&gt;0,"xx",IF(P2101&gt;0,"xy",""))</f>
        <v/>
      </c>
      <c r="X2104" s="586" t="str">
        <f t="shared" si="522"/>
        <v/>
      </c>
      <c r="Y2104" s="586" t="str">
        <f t="shared" si="531"/>
        <v/>
      </c>
      <c r="Z2104" s="586" t="str">
        <f t="shared" si="542"/>
        <v/>
      </c>
    </row>
    <row r="2105" spans="1:26" ht="12" hidden="1" thickBot="1" x14ac:dyDescent="0.25">
      <c r="A2105" s="567">
        <v>611400</v>
      </c>
      <c r="B2105" s="644" t="s">
        <v>1696</v>
      </c>
      <c r="C2105" s="645" t="s">
        <v>206</v>
      </c>
      <c r="D2105" s="422" t="s">
        <v>390</v>
      </c>
      <c r="E2105" s="423"/>
      <c r="F2105" s="424"/>
      <c r="G2105" s="425"/>
      <c r="H2105" s="651">
        <f>SUM(H2106:H2108)</f>
        <v>61.624152000000009</v>
      </c>
      <c r="I2105" s="420">
        <v>1678.6472000000001</v>
      </c>
      <c r="J2105" s="420">
        <f>IF(ISBLANK(I2105),"",SUM(H2105:I2105))</f>
        <v>1740.2713520000002</v>
      </c>
      <c r="K2105" s="421">
        <f t="shared" si="525"/>
        <v>2067.62</v>
      </c>
      <c r="L2105" s="647" t="s">
        <v>19</v>
      </c>
      <c r="M2105" s="576"/>
      <c r="N2105" s="576">
        <f t="shared" si="536"/>
        <v>0</v>
      </c>
      <c r="O2105" s="577">
        <f t="shared" si="528"/>
        <v>0</v>
      </c>
      <c r="P2105" s="578">
        <f t="shared" si="529"/>
        <v>0</v>
      </c>
      <c r="Q2105" s="765"/>
      <c r="R2105" s="576">
        <f>M2105</f>
        <v>0</v>
      </c>
      <c r="S2105" s="576">
        <f>N2105</f>
        <v>0</v>
      </c>
      <c r="T2105" s="577">
        <f t="shared" si="526"/>
        <v>0</v>
      </c>
      <c r="U2105" s="578">
        <f t="shared" si="527"/>
        <v>0</v>
      </c>
      <c r="V2105" s="579"/>
      <c r="W2105" s="566"/>
      <c r="X2105" s="586" t="str">
        <f t="shared" si="522"/>
        <v/>
      </c>
      <c r="Y2105" s="586" t="str">
        <f t="shared" si="531"/>
        <v/>
      </c>
      <c r="Z2105" s="586" t="str">
        <f t="shared" si="542"/>
        <v/>
      </c>
    </row>
    <row r="2106" spans="1:26" ht="12" hidden="1" thickBot="1" x14ac:dyDescent="0.25">
      <c r="A2106" s="567" t="s">
        <v>168</v>
      </c>
      <c r="B2106" s="644" t="s">
        <v>168</v>
      </c>
      <c r="C2106" s="645"/>
      <c r="D2106" s="422" t="s">
        <v>212</v>
      </c>
      <c r="E2106" s="423"/>
      <c r="F2106" s="424">
        <v>500</v>
      </c>
      <c r="G2106" s="425">
        <v>9.1999999999999998E-3</v>
      </c>
      <c r="H2106" s="649">
        <f>IF(F2106&lt;=30,(0.78*F2106+7.82)*G2106,((0.78*30+7.82)+0.78*(F2106-30))*G2106)</f>
        <v>3.6599440000000003</v>
      </c>
      <c r="I2106" s="420"/>
      <c r="J2106" s="420"/>
      <c r="K2106" s="421">
        <f t="shared" si="525"/>
        <v>0</v>
      </c>
      <c r="L2106" s="647"/>
      <c r="M2106" s="723"/>
      <c r="N2106" s="576">
        <f t="shared" si="536"/>
        <v>0</v>
      </c>
      <c r="O2106" s="577">
        <f t="shared" si="528"/>
        <v>0</v>
      </c>
      <c r="P2106" s="578">
        <f t="shared" si="529"/>
        <v>0</v>
      </c>
      <c r="Q2106" s="765"/>
      <c r="R2106" s="723"/>
      <c r="S2106" s="723"/>
      <c r="T2106" s="577">
        <f t="shared" si="526"/>
        <v>0</v>
      </c>
      <c r="U2106" s="578">
        <f t="shared" si="527"/>
        <v>0</v>
      </c>
      <c r="V2106" s="579"/>
      <c r="W2106" s="566" t="str">
        <f>IF(U2105&gt;0,"xx",IF(P2105&gt;0,"xy",""))</f>
        <v/>
      </c>
      <c r="X2106" s="586" t="str">
        <f t="shared" si="522"/>
        <v/>
      </c>
      <c r="Y2106" s="586" t="str">
        <f t="shared" si="531"/>
        <v/>
      </c>
      <c r="Z2106" s="586" t="str">
        <f t="shared" si="542"/>
        <v/>
      </c>
    </row>
    <row r="2107" spans="1:26" ht="12" hidden="1" thickBot="1" x14ac:dyDescent="0.25">
      <c r="A2107" s="567" t="s">
        <v>168</v>
      </c>
      <c r="B2107" s="644" t="s">
        <v>168</v>
      </c>
      <c r="C2107" s="645"/>
      <c r="D2107" s="422" t="s">
        <v>248</v>
      </c>
      <c r="E2107" s="423"/>
      <c r="F2107" s="424">
        <v>180</v>
      </c>
      <c r="G2107" s="425">
        <v>4.7899999999999998E-2</v>
      </c>
      <c r="H2107" s="663">
        <f t="shared" ref="H2107:H2108" si="547">IF(F2107&lt;=30,(1.07*F2107+2.68)*G2107,((1.07*30+2.68)+1.07*(F2107-30))*G2107)</f>
        <v>9.3539119999999993</v>
      </c>
      <c r="I2107" s="420"/>
      <c r="J2107" s="420"/>
      <c r="K2107" s="421">
        <f t="shared" si="525"/>
        <v>0</v>
      </c>
      <c r="L2107" s="647"/>
      <c r="M2107" s="723"/>
      <c r="N2107" s="576">
        <f t="shared" si="536"/>
        <v>0</v>
      </c>
      <c r="O2107" s="577">
        <f t="shared" si="528"/>
        <v>0</v>
      </c>
      <c r="P2107" s="578">
        <f t="shared" si="529"/>
        <v>0</v>
      </c>
      <c r="Q2107" s="765"/>
      <c r="R2107" s="723"/>
      <c r="S2107" s="723"/>
      <c r="T2107" s="577">
        <f t="shared" si="526"/>
        <v>0</v>
      </c>
      <c r="U2107" s="578">
        <f t="shared" si="527"/>
        <v>0</v>
      </c>
      <c r="V2107" s="579"/>
      <c r="W2107" s="566" t="str">
        <f>IF(U2105&gt;0,"xx",IF(P2105&gt;0,"xy",""))</f>
        <v/>
      </c>
      <c r="X2107" s="586" t="str">
        <f t="shared" si="522"/>
        <v/>
      </c>
      <c r="Y2107" s="586" t="str">
        <f t="shared" si="531"/>
        <v/>
      </c>
      <c r="Z2107" s="586" t="str">
        <f t="shared" si="542"/>
        <v/>
      </c>
    </row>
    <row r="2108" spans="1:26" ht="12" hidden="1" thickBot="1" x14ac:dyDescent="0.25">
      <c r="A2108" s="567" t="s">
        <v>168</v>
      </c>
      <c r="B2108" s="644" t="s">
        <v>168</v>
      </c>
      <c r="C2108" s="645"/>
      <c r="D2108" s="422" t="s">
        <v>347</v>
      </c>
      <c r="E2108" s="423"/>
      <c r="F2108" s="424">
        <v>20</v>
      </c>
      <c r="G2108" s="425">
        <v>2.0186999999999999</v>
      </c>
      <c r="H2108" s="663">
        <f t="shared" si="547"/>
        <v>48.610296000000005</v>
      </c>
      <c r="I2108" s="420"/>
      <c r="J2108" s="420"/>
      <c r="K2108" s="421">
        <f t="shared" si="525"/>
        <v>0</v>
      </c>
      <c r="L2108" s="647"/>
      <c r="M2108" s="723"/>
      <c r="N2108" s="576">
        <f t="shared" si="536"/>
        <v>0</v>
      </c>
      <c r="O2108" s="577">
        <f t="shared" si="528"/>
        <v>0</v>
      </c>
      <c r="P2108" s="578">
        <f t="shared" si="529"/>
        <v>0</v>
      </c>
      <c r="Q2108" s="765"/>
      <c r="R2108" s="723"/>
      <c r="S2108" s="723"/>
      <c r="T2108" s="577">
        <f t="shared" si="526"/>
        <v>0</v>
      </c>
      <c r="U2108" s="578">
        <f t="shared" si="527"/>
        <v>0</v>
      </c>
      <c r="V2108" s="579"/>
      <c r="W2108" s="566" t="str">
        <f>IF(U2105&gt;0,"xx",IF(P2105&gt;0,"xy",""))</f>
        <v/>
      </c>
      <c r="X2108" s="586" t="str">
        <f t="shared" si="522"/>
        <v/>
      </c>
      <c r="Y2108" s="586" t="str">
        <f t="shared" si="531"/>
        <v/>
      </c>
      <c r="Z2108" s="586" t="str">
        <f t="shared" si="542"/>
        <v/>
      </c>
    </row>
    <row r="2109" spans="1:26" ht="12" hidden="1" thickBot="1" x14ac:dyDescent="0.25">
      <c r="A2109" s="567">
        <v>611600</v>
      </c>
      <c r="B2109" s="644" t="s">
        <v>1698</v>
      </c>
      <c r="C2109" s="645" t="s">
        <v>206</v>
      </c>
      <c r="D2109" s="422" t="s">
        <v>391</v>
      </c>
      <c r="E2109" s="423"/>
      <c r="F2109" s="424"/>
      <c r="G2109" s="425"/>
      <c r="H2109" s="651">
        <f>SUM(H2110:H2112)</f>
        <v>65.472966</v>
      </c>
      <c r="I2109" s="420">
        <v>2567.7199999999998</v>
      </c>
      <c r="J2109" s="420">
        <f>IF(ISBLANK(I2109),"",SUM(H2109:I2109))</f>
        <v>2633.1929659999996</v>
      </c>
      <c r="K2109" s="421">
        <f t="shared" si="525"/>
        <v>3128.5</v>
      </c>
      <c r="L2109" s="647" t="s">
        <v>19</v>
      </c>
      <c r="M2109" s="576"/>
      <c r="N2109" s="576">
        <f t="shared" si="536"/>
        <v>0</v>
      </c>
      <c r="O2109" s="577">
        <f t="shared" si="528"/>
        <v>0</v>
      </c>
      <c r="P2109" s="578">
        <f t="shared" si="529"/>
        <v>0</v>
      </c>
      <c r="Q2109" s="765"/>
      <c r="R2109" s="576">
        <f>M2109</f>
        <v>0</v>
      </c>
      <c r="S2109" s="576">
        <f>N2109</f>
        <v>0</v>
      </c>
      <c r="T2109" s="577">
        <f t="shared" si="526"/>
        <v>0</v>
      </c>
      <c r="U2109" s="578">
        <f t="shared" si="527"/>
        <v>0</v>
      </c>
      <c r="V2109" s="579"/>
      <c r="W2109" s="566"/>
      <c r="X2109" s="586" t="str">
        <f t="shared" si="522"/>
        <v/>
      </c>
      <c r="Y2109" s="586" t="str">
        <f t="shared" si="531"/>
        <v/>
      </c>
      <c r="Z2109" s="586" t="str">
        <f t="shared" si="542"/>
        <v/>
      </c>
    </row>
    <row r="2110" spans="1:26" ht="12" hidden="1" thickBot="1" x14ac:dyDescent="0.25">
      <c r="A2110" s="567" t="s">
        <v>168</v>
      </c>
      <c r="B2110" s="644" t="s">
        <v>168</v>
      </c>
      <c r="C2110" s="645"/>
      <c r="D2110" s="422" t="s">
        <v>212</v>
      </c>
      <c r="E2110" s="423"/>
      <c r="F2110" s="424">
        <v>500</v>
      </c>
      <c r="G2110" s="425">
        <v>9.7000000000000003E-3</v>
      </c>
      <c r="H2110" s="649">
        <f>IF(F2110&lt;=30,(0.78*F2110+7.82)*G2110,((0.78*30+7.82)+0.78*(F2110-30))*G2110)</f>
        <v>3.8588540000000005</v>
      </c>
      <c r="I2110" s="420"/>
      <c r="J2110" s="420"/>
      <c r="K2110" s="421">
        <f t="shared" si="525"/>
        <v>0</v>
      </c>
      <c r="L2110" s="647"/>
      <c r="M2110" s="723"/>
      <c r="N2110" s="576">
        <f t="shared" si="536"/>
        <v>0</v>
      </c>
      <c r="O2110" s="577">
        <f t="shared" si="528"/>
        <v>0</v>
      </c>
      <c r="P2110" s="578">
        <f t="shared" si="529"/>
        <v>0</v>
      </c>
      <c r="Q2110" s="765"/>
      <c r="R2110" s="723"/>
      <c r="S2110" s="723"/>
      <c r="T2110" s="577">
        <f t="shared" si="526"/>
        <v>0</v>
      </c>
      <c r="U2110" s="578">
        <f t="shared" si="527"/>
        <v>0</v>
      </c>
      <c r="V2110" s="579"/>
      <c r="W2110" s="566" t="str">
        <f>IF(U2109&gt;0,"xx",IF(P2109&gt;0,"xy",""))</f>
        <v/>
      </c>
      <c r="X2110" s="586" t="str">
        <f t="shared" si="522"/>
        <v/>
      </c>
      <c r="Y2110" s="586" t="str">
        <f t="shared" si="531"/>
        <v/>
      </c>
      <c r="Z2110" s="586" t="str">
        <f t="shared" si="542"/>
        <v/>
      </c>
    </row>
    <row r="2111" spans="1:26" ht="12" hidden="1" thickBot="1" x14ac:dyDescent="0.25">
      <c r="A2111" s="567" t="s">
        <v>168</v>
      </c>
      <c r="B2111" s="644" t="s">
        <v>168</v>
      </c>
      <c r="C2111" s="645"/>
      <c r="D2111" s="422" t="s">
        <v>248</v>
      </c>
      <c r="E2111" s="423"/>
      <c r="F2111" s="424">
        <v>180</v>
      </c>
      <c r="G2111" s="425">
        <v>5.04E-2</v>
      </c>
      <c r="H2111" s="663">
        <f t="shared" ref="H2111:H2112" si="548">IF(F2111&lt;=30,(1.07*F2111+2.68)*G2111,((1.07*30+2.68)+1.07*(F2111-30))*G2111)</f>
        <v>9.8421120000000002</v>
      </c>
      <c r="I2111" s="420"/>
      <c r="J2111" s="420"/>
      <c r="K2111" s="421">
        <f t="shared" si="525"/>
        <v>0</v>
      </c>
      <c r="L2111" s="647"/>
      <c r="M2111" s="723"/>
      <c r="N2111" s="576">
        <f t="shared" si="536"/>
        <v>0</v>
      </c>
      <c r="O2111" s="577">
        <f t="shared" si="528"/>
        <v>0</v>
      </c>
      <c r="P2111" s="578">
        <f t="shared" si="529"/>
        <v>0</v>
      </c>
      <c r="Q2111" s="765"/>
      <c r="R2111" s="723"/>
      <c r="S2111" s="723"/>
      <c r="T2111" s="577">
        <f t="shared" si="526"/>
        <v>0</v>
      </c>
      <c r="U2111" s="578">
        <f t="shared" si="527"/>
        <v>0</v>
      </c>
      <c r="V2111" s="579"/>
      <c r="W2111" s="566" t="str">
        <f>IF(U2109&gt;0,"xx",IF(P2109&gt;0,"xy",""))</f>
        <v/>
      </c>
      <c r="X2111" s="586" t="str">
        <f t="shared" si="522"/>
        <v/>
      </c>
      <c r="Y2111" s="586" t="str">
        <f t="shared" si="531"/>
        <v/>
      </c>
      <c r="Z2111" s="586" t="str">
        <f t="shared" si="542"/>
        <v/>
      </c>
    </row>
    <row r="2112" spans="1:26" ht="12" hidden="1" thickBot="1" x14ac:dyDescent="0.25">
      <c r="A2112" s="567" t="s">
        <v>168</v>
      </c>
      <c r="B2112" s="644" t="s">
        <v>168</v>
      </c>
      <c r="C2112" s="645"/>
      <c r="D2112" s="422" t="s">
        <v>347</v>
      </c>
      <c r="E2112" s="423"/>
      <c r="F2112" s="424">
        <v>20</v>
      </c>
      <c r="G2112" s="425">
        <v>2.15</v>
      </c>
      <c r="H2112" s="663">
        <f t="shared" si="548"/>
        <v>51.771999999999998</v>
      </c>
      <c r="I2112" s="420"/>
      <c r="J2112" s="420"/>
      <c r="K2112" s="421">
        <f t="shared" ref="K2112:K2175" si="549">IF(ISBLANK(I2112),0,ROUND(J2112*(1+$F$10)*(1+$F$11*E2112),2))</f>
        <v>0</v>
      </c>
      <c r="L2112" s="647"/>
      <c r="M2112" s="723"/>
      <c r="N2112" s="576">
        <f t="shared" si="536"/>
        <v>0</v>
      </c>
      <c r="O2112" s="577">
        <f t="shared" si="528"/>
        <v>0</v>
      </c>
      <c r="P2112" s="578">
        <f t="shared" si="529"/>
        <v>0</v>
      </c>
      <c r="Q2112" s="765"/>
      <c r="R2112" s="723"/>
      <c r="S2112" s="723"/>
      <c r="T2112" s="577">
        <f t="shared" ref="T2112:T2175" si="550">IF(ISBLANK(R2112),0,ROUND(K2112*R2112,2))</f>
        <v>0</v>
      </c>
      <c r="U2112" s="578">
        <f t="shared" ref="U2112:U2175" si="551">IF(ISBLANK(R2112),0,ROUND(R2112*S2112,2))</f>
        <v>0</v>
      </c>
      <c r="V2112" s="579"/>
      <c r="W2112" s="566" t="str">
        <f>IF(U2109&gt;0,"xx",IF(P2109&gt;0,"xy",""))</f>
        <v/>
      </c>
      <c r="X2112" s="586" t="str">
        <f t="shared" si="522"/>
        <v/>
      </c>
      <c r="Y2112" s="586" t="str">
        <f t="shared" si="531"/>
        <v/>
      </c>
      <c r="Z2112" s="586" t="str">
        <f t="shared" si="542"/>
        <v/>
      </c>
    </row>
    <row r="2113" spans="1:26" ht="12" hidden="1" thickBot="1" x14ac:dyDescent="0.25">
      <c r="A2113" s="567">
        <v>610500</v>
      </c>
      <c r="B2113" s="644">
        <v>610500</v>
      </c>
      <c r="C2113" s="645" t="s">
        <v>206</v>
      </c>
      <c r="D2113" s="422" t="s">
        <v>392</v>
      </c>
      <c r="E2113" s="423"/>
      <c r="F2113" s="424"/>
      <c r="G2113" s="425"/>
      <c r="H2113" s="651">
        <f>SUM(H2114:H2117)</f>
        <v>32.403676000000004</v>
      </c>
      <c r="I2113" s="420">
        <v>204.02</v>
      </c>
      <c r="J2113" s="420">
        <f>IF(ISBLANK(I2113),"",SUM(H2113:I2113))</f>
        <v>236.423676</v>
      </c>
      <c r="K2113" s="421">
        <f t="shared" si="549"/>
        <v>280.89</v>
      </c>
      <c r="L2113" s="647" t="s">
        <v>19</v>
      </c>
      <c r="M2113" s="576"/>
      <c r="N2113" s="576">
        <f t="shared" si="536"/>
        <v>0</v>
      </c>
      <c r="O2113" s="577">
        <f t="shared" ref="O2113:O2176" si="552">IF(ISBLANK(M2113),0,ROUND(K2113*M2113,2))</f>
        <v>0</v>
      </c>
      <c r="P2113" s="578">
        <f t="shared" ref="P2113:P2176" si="553">IF(ISBLANK(N2113),0,ROUND(M2113*N2113,2))</f>
        <v>0</v>
      </c>
      <c r="Q2113" s="765"/>
      <c r="R2113" s="576">
        <f>M2113</f>
        <v>0</v>
      </c>
      <c r="S2113" s="576">
        <f>N2113</f>
        <v>0</v>
      </c>
      <c r="T2113" s="577">
        <f t="shared" si="550"/>
        <v>0</v>
      </c>
      <c r="U2113" s="578">
        <f t="shared" si="551"/>
        <v>0</v>
      </c>
      <c r="V2113" s="579"/>
      <c r="W2113" s="566"/>
      <c r="X2113" s="586" t="str">
        <f t="shared" si="522"/>
        <v/>
      </c>
      <c r="Y2113" s="586" t="str">
        <f t="shared" si="531"/>
        <v/>
      </c>
      <c r="Z2113" s="586" t="str">
        <f t="shared" si="542"/>
        <v/>
      </c>
    </row>
    <row r="2114" spans="1:26" ht="12" hidden="1" thickBot="1" x14ac:dyDescent="0.25">
      <c r="A2114" s="567" t="s">
        <v>168</v>
      </c>
      <c r="B2114" s="644" t="s">
        <v>168</v>
      </c>
      <c r="C2114" s="645"/>
      <c r="D2114" s="422" t="s">
        <v>212</v>
      </c>
      <c r="E2114" s="423"/>
      <c r="F2114" s="424">
        <v>500</v>
      </c>
      <c r="G2114" s="425">
        <v>2.2599999999999999E-2</v>
      </c>
      <c r="H2114" s="649">
        <f>IF(F2114&lt;=30,(0.78*F2114+7.82)*G2114,((0.78*30+7.82)+0.78*(F2114-30))*G2114)</f>
        <v>8.9907320000000013</v>
      </c>
      <c r="I2114" s="420"/>
      <c r="J2114" s="420"/>
      <c r="K2114" s="421">
        <f t="shared" si="549"/>
        <v>0</v>
      </c>
      <c r="L2114" s="647"/>
      <c r="M2114" s="723"/>
      <c r="N2114" s="576">
        <f t="shared" si="536"/>
        <v>0</v>
      </c>
      <c r="O2114" s="577">
        <f t="shared" si="552"/>
        <v>0</v>
      </c>
      <c r="P2114" s="578">
        <f t="shared" si="553"/>
        <v>0</v>
      </c>
      <c r="Q2114" s="765"/>
      <c r="R2114" s="723"/>
      <c r="S2114" s="723"/>
      <c r="T2114" s="577">
        <f t="shared" si="550"/>
        <v>0</v>
      </c>
      <c r="U2114" s="578">
        <f t="shared" si="551"/>
        <v>0</v>
      </c>
      <c r="V2114" s="579"/>
      <c r="W2114" s="566" t="str">
        <f>IF(U2113&gt;0,"xx",IF(P2113&gt;0,"xy",""))</f>
        <v/>
      </c>
      <c r="X2114" s="586" t="str">
        <f t="shared" si="522"/>
        <v/>
      </c>
      <c r="Y2114" s="586" t="str">
        <f t="shared" si="531"/>
        <v/>
      </c>
      <c r="Z2114" s="586" t="str">
        <f t="shared" si="542"/>
        <v/>
      </c>
    </row>
    <row r="2115" spans="1:26" ht="12" hidden="1" thickBot="1" x14ac:dyDescent="0.25">
      <c r="A2115" s="567" t="s">
        <v>168</v>
      </c>
      <c r="B2115" s="644" t="s">
        <v>168</v>
      </c>
      <c r="C2115" s="645"/>
      <c r="D2115" s="422" t="s">
        <v>248</v>
      </c>
      <c r="E2115" s="423"/>
      <c r="F2115" s="424">
        <v>180</v>
      </c>
      <c r="G2115" s="425">
        <v>8.3900000000000002E-2</v>
      </c>
      <c r="H2115" s="663">
        <f t="shared" ref="H2115:H2117" si="554">IF(F2115&lt;=30,(1.07*F2115+2.68)*G2115,((1.07*30+2.68)+1.07*(F2115-30))*G2115)</f>
        <v>16.383991999999999</v>
      </c>
      <c r="I2115" s="420"/>
      <c r="J2115" s="420"/>
      <c r="K2115" s="421">
        <f t="shared" si="549"/>
        <v>0</v>
      </c>
      <c r="L2115" s="647"/>
      <c r="M2115" s="723"/>
      <c r="N2115" s="576">
        <f t="shared" si="536"/>
        <v>0</v>
      </c>
      <c r="O2115" s="577">
        <f t="shared" si="552"/>
        <v>0</v>
      </c>
      <c r="P2115" s="578">
        <f t="shared" si="553"/>
        <v>0</v>
      </c>
      <c r="Q2115" s="765"/>
      <c r="R2115" s="723"/>
      <c r="S2115" s="723"/>
      <c r="T2115" s="577">
        <f t="shared" si="550"/>
        <v>0</v>
      </c>
      <c r="U2115" s="578">
        <f t="shared" si="551"/>
        <v>0</v>
      </c>
      <c r="V2115" s="579"/>
      <c r="W2115" s="566" t="str">
        <f>IF(U2113&gt;0,"xx",IF(P2113&gt;0,"xy",""))</f>
        <v/>
      </c>
      <c r="X2115" s="586" t="str">
        <f t="shared" si="522"/>
        <v/>
      </c>
      <c r="Y2115" s="586" t="str">
        <f t="shared" si="531"/>
        <v/>
      </c>
      <c r="Z2115" s="586" t="str">
        <f t="shared" si="542"/>
        <v/>
      </c>
    </row>
    <row r="2116" spans="1:26" ht="12" hidden="1" thickBot="1" x14ac:dyDescent="0.25">
      <c r="A2116" s="567" t="s">
        <v>168</v>
      </c>
      <c r="B2116" s="644" t="s">
        <v>168</v>
      </c>
      <c r="C2116" s="645"/>
      <c r="D2116" s="422" t="s">
        <v>252</v>
      </c>
      <c r="E2116" s="423"/>
      <c r="F2116" s="424">
        <v>20</v>
      </c>
      <c r="G2116" s="425">
        <v>0.13490000000000002</v>
      </c>
      <c r="H2116" s="663">
        <f t="shared" si="554"/>
        <v>3.2483920000000008</v>
      </c>
      <c r="I2116" s="420"/>
      <c r="J2116" s="420"/>
      <c r="K2116" s="421">
        <f t="shared" si="549"/>
        <v>0</v>
      </c>
      <c r="L2116" s="647"/>
      <c r="M2116" s="723"/>
      <c r="N2116" s="576">
        <f t="shared" si="536"/>
        <v>0</v>
      </c>
      <c r="O2116" s="577">
        <f t="shared" si="552"/>
        <v>0</v>
      </c>
      <c r="P2116" s="578">
        <f t="shared" si="553"/>
        <v>0</v>
      </c>
      <c r="Q2116" s="765"/>
      <c r="R2116" s="723"/>
      <c r="S2116" s="723"/>
      <c r="T2116" s="577">
        <f t="shared" si="550"/>
        <v>0</v>
      </c>
      <c r="U2116" s="578">
        <f t="shared" si="551"/>
        <v>0</v>
      </c>
      <c r="V2116" s="579"/>
      <c r="W2116" s="566" t="str">
        <f>IF(U2113&gt;0,"xx",IF(P2113&gt;0,"xy",""))</f>
        <v/>
      </c>
      <c r="X2116" s="586" t="str">
        <f t="shared" si="522"/>
        <v/>
      </c>
      <c r="Y2116" s="586" t="str">
        <f t="shared" si="531"/>
        <v/>
      </c>
      <c r="Z2116" s="586" t="str">
        <f t="shared" si="542"/>
        <v/>
      </c>
    </row>
    <row r="2117" spans="1:26" ht="12" hidden="1" thickBot="1" x14ac:dyDescent="0.25">
      <c r="A2117" s="567" t="s">
        <v>168</v>
      </c>
      <c r="B2117" s="644" t="s">
        <v>168</v>
      </c>
      <c r="C2117" s="645"/>
      <c r="D2117" s="422" t="s">
        <v>347</v>
      </c>
      <c r="E2117" s="423"/>
      <c r="F2117" s="424">
        <v>20</v>
      </c>
      <c r="G2117" s="425">
        <v>0.157</v>
      </c>
      <c r="H2117" s="663">
        <f t="shared" si="554"/>
        <v>3.7805600000000004</v>
      </c>
      <c r="I2117" s="420"/>
      <c r="J2117" s="420"/>
      <c r="K2117" s="421">
        <f t="shared" si="549"/>
        <v>0</v>
      </c>
      <c r="L2117" s="647"/>
      <c r="M2117" s="723"/>
      <c r="N2117" s="576">
        <f t="shared" si="536"/>
        <v>0</v>
      </c>
      <c r="O2117" s="577">
        <f t="shared" si="552"/>
        <v>0</v>
      </c>
      <c r="P2117" s="578">
        <f t="shared" si="553"/>
        <v>0</v>
      </c>
      <c r="Q2117" s="765"/>
      <c r="R2117" s="723"/>
      <c r="S2117" s="723"/>
      <c r="T2117" s="577">
        <f t="shared" si="550"/>
        <v>0</v>
      </c>
      <c r="U2117" s="578">
        <f t="shared" si="551"/>
        <v>0</v>
      </c>
      <c r="V2117" s="579"/>
      <c r="W2117" s="566" t="str">
        <f>IF(U2113&gt;0,"xx",IF(P2113&gt;0,"xy",""))</f>
        <v/>
      </c>
      <c r="X2117" s="586" t="str">
        <f t="shared" si="522"/>
        <v/>
      </c>
      <c r="Y2117" s="586" t="str">
        <f t="shared" si="531"/>
        <v/>
      </c>
      <c r="Z2117" s="586" t="str">
        <f t="shared" si="542"/>
        <v/>
      </c>
    </row>
    <row r="2118" spans="1:26" ht="12" hidden="1" thickBot="1" x14ac:dyDescent="0.25">
      <c r="A2118" s="567">
        <v>610700</v>
      </c>
      <c r="B2118" s="644" t="s">
        <v>1683</v>
      </c>
      <c r="C2118" s="645" t="s">
        <v>206</v>
      </c>
      <c r="D2118" s="422" t="s">
        <v>582</v>
      </c>
      <c r="E2118" s="423"/>
      <c r="F2118" s="424"/>
      <c r="G2118" s="425"/>
      <c r="H2118" s="651">
        <f>SUM(H2119:H2122)</f>
        <v>42.100252000000005</v>
      </c>
      <c r="I2118" s="420">
        <v>300.04999999999995</v>
      </c>
      <c r="J2118" s="420">
        <f>IF(ISBLANK(I2118),"",SUM(H2118:I2118))</f>
        <v>342.15025199999997</v>
      </c>
      <c r="K2118" s="421">
        <f t="shared" si="549"/>
        <v>406.51</v>
      </c>
      <c r="L2118" s="647" t="s">
        <v>19</v>
      </c>
      <c r="M2118" s="576"/>
      <c r="N2118" s="576">
        <f t="shared" si="536"/>
        <v>0</v>
      </c>
      <c r="O2118" s="577">
        <f t="shared" si="552"/>
        <v>0</v>
      </c>
      <c r="P2118" s="578">
        <f t="shared" si="553"/>
        <v>0</v>
      </c>
      <c r="Q2118" s="765"/>
      <c r="R2118" s="576">
        <f>M2118</f>
        <v>0</v>
      </c>
      <c r="S2118" s="576">
        <f>N2118</f>
        <v>0</v>
      </c>
      <c r="T2118" s="577">
        <f t="shared" si="550"/>
        <v>0</v>
      </c>
      <c r="U2118" s="578">
        <f t="shared" si="551"/>
        <v>0</v>
      </c>
      <c r="V2118" s="579"/>
      <c r="W2118" s="566"/>
      <c r="X2118" s="586" t="str">
        <f t="shared" si="522"/>
        <v/>
      </c>
      <c r="Y2118" s="586" t="str">
        <f t="shared" si="531"/>
        <v/>
      </c>
      <c r="Z2118" s="586" t="str">
        <f t="shared" si="542"/>
        <v/>
      </c>
    </row>
    <row r="2119" spans="1:26" ht="12" hidden="1" thickBot="1" x14ac:dyDescent="0.25">
      <c r="A2119" s="567" t="s">
        <v>168</v>
      </c>
      <c r="B2119" s="644" t="s">
        <v>168</v>
      </c>
      <c r="C2119" s="645"/>
      <c r="D2119" s="422" t="s">
        <v>212</v>
      </c>
      <c r="E2119" s="423"/>
      <c r="F2119" s="424">
        <v>500</v>
      </c>
      <c r="G2119" s="425">
        <v>2.86E-2</v>
      </c>
      <c r="H2119" s="649">
        <f>IF(F2119&lt;=30,(0.78*F2119+7.82)*G2119,((0.78*30+7.82)+0.78*(F2119-30))*G2119)</f>
        <v>11.377652000000001</v>
      </c>
      <c r="I2119" s="420"/>
      <c r="J2119" s="420"/>
      <c r="K2119" s="421">
        <f t="shared" si="549"/>
        <v>0</v>
      </c>
      <c r="L2119" s="647"/>
      <c r="M2119" s="723"/>
      <c r="N2119" s="576">
        <f t="shared" si="536"/>
        <v>0</v>
      </c>
      <c r="O2119" s="577">
        <f t="shared" si="552"/>
        <v>0</v>
      </c>
      <c r="P2119" s="578">
        <f t="shared" si="553"/>
        <v>0</v>
      </c>
      <c r="Q2119" s="765"/>
      <c r="R2119" s="723"/>
      <c r="S2119" s="723"/>
      <c r="T2119" s="577">
        <f t="shared" si="550"/>
        <v>0</v>
      </c>
      <c r="U2119" s="578">
        <f t="shared" si="551"/>
        <v>0</v>
      </c>
      <c r="V2119" s="579"/>
      <c r="W2119" s="566" t="str">
        <f>IF(U2118&gt;0,"xx",IF(P2118&gt;0,"xy",""))</f>
        <v/>
      </c>
      <c r="X2119" s="586" t="str">
        <f t="shared" si="522"/>
        <v/>
      </c>
      <c r="Y2119" s="586" t="str">
        <f t="shared" si="531"/>
        <v/>
      </c>
      <c r="Z2119" s="586" t="str">
        <f t="shared" si="542"/>
        <v/>
      </c>
    </row>
    <row r="2120" spans="1:26" ht="12" hidden="1" thickBot="1" x14ac:dyDescent="0.25">
      <c r="A2120" s="567" t="s">
        <v>168</v>
      </c>
      <c r="B2120" s="644" t="s">
        <v>168</v>
      </c>
      <c r="C2120" s="645"/>
      <c r="D2120" s="422" t="s">
        <v>248</v>
      </c>
      <c r="E2120" s="423"/>
      <c r="F2120" s="424">
        <v>180</v>
      </c>
      <c r="G2120" s="425">
        <v>0.10539999999999999</v>
      </c>
      <c r="H2120" s="663">
        <f t="shared" ref="H2120:H2122" si="555">IF(F2120&lt;=30,(1.07*F2120+2.68)*G2120,((1.07*30+2.68)+1.07*(F2120-30))*G2120)</f>
        <v>20.582511999999998</v>
      </c>
      <c r="I2120" s="420"/>
      <c r="J2120" s="420"/>
      <c r="K2120" s="421">
        <f t="shared" si="549"/>
        <v>0</v>
      </c>
      <c r="L2120" s="647"/>
      <c r="M2120" s="723"/>
      <c r="N2120" s="576">
        <f t="shared" si="536"/>
        <v>0</v>
      </c>
      <c r="O2120" s="577">
        <f t="shared" si="552"/>
        <v>0</v>
      </c>
      <c r="P2120" s="578">
        <f t="shared" si="553"/>
        <v>0</v>
      </c>
      <c r="Q2120" s="765"/>
      <c r="R2120" s="723"/>
      <c r="S2120" s="723"/>
      <c r="T2120" s="577">
        <f t="shared" si="550"/>
        <v>0</v>
      </c>
      <c r="U2120" s="578">
        <f t="shared" si="551"/>
        <v>0</v>
      </c>
      <c r="V2120" s="579"/>
      <c r="W2120" s="566" t="str">
        <f>IF(U2118&gt;0,"xx",IF(P2118&gt;0,"xy",""))</f>
        <v/>
      </c>
      <c r="X2120" s="586" t="str">
        <f t="shared" ref="X2120:X2191" si="556">IF(W2120="X","x",IF(W2120="xx","x",IF(W2120="xy","x",IF(W2120="y","x",IF(OR(P2120&gt;0,U2120&gt;0),"x","")))))</f>
        <v/>
      </c>
      <c r="Y2120" s="586" t="str">
        <f t="shared" si="531"/>
        <v/>
      </c>
      <c r="Z2120" s="586" t="str">
        <f t="shared" si="542"/>
        <v/>
      </c>
    </row>
    <row r="2121" spans="1:26" ht="12" hidden="1" thickBot="1" x14ac:dyDescent="0.25">
      <c r="A2121" s="567" t="s">
        <v>168</v>
      </c>
      <c r="B2121" s="644" t="s">
        <v>168</v>
      </c>
      <c r="C2121" s="645"/>
      <c r="D2121" s="422" t="s">
        <v>252</v>
      </c>
      <c r="E2121" s="423"/>
      <c r="F2121" s="424">
        <v>20</v>
      </c>
      <c r="G2121" s="425">
        <v>0.1711</v>
      </c>
      <c r="H2121" s="663">
        <f t="shared" si="555"/>
        <v>4.120088</v>
      </c>
      <c r="I2121" s="420"/>
      <c r="J2121" s="420"/>
      <c r="K2121" s="421">
        <f t="shared" si="549"/>
        <v>0</v>
      </c>
      <c r="L2121" s="647"/>
      <c r="M2121" s="723"/>
      <c r="N2121" s="576">
        <f t="shared" si="536"/>
        <v>0</v>
      </c>
      <c r="O2121" s="577">
        <f t="shared" si="552"/>
        <v>0</v>
      </c>
      <c r="P2121" s="578">
        <f t="shared" si="553"/>
        <v>0</v>
      </c>
      <c r="Q2121" s="765"/>
      <c r="R2121" s="723"/>
      <c r="S2121" s="723"/>
      <c r="T2121" s="577">
        <f t="shared" si="550"/>
        <v>0</v>
      </c>
      <c r="U2121" s="578">
        <f t="shared" si="551"/>
        <v>0</v>
      </c>
      <c r="V2121" s="579"/>
      <c r="W2121" s="566" t="str">
        <f>IF(U2118&gt;0,"xx",IF(P2118&gt;0,"xy",""))</f>
        <v/>
      </c>
      <c r="X2121" s="586" t="str">
        <f t="shared" si="556"/>
        <v/>
      </c>
      <c r="Y2121" s="586" t="str">
        <f t="shared" si="531"/>
        <v/>
      </c>
      <c r="Z2121" s="586" t="str">
        <f t="shared" si="542"/>
        <v/>
      </c>
    </row>
    <row r="2122" spans="1:26" ht="12" hidden="1" thickBot="1" x14ac:dyDescent="0.25">
      <c r="A2122" s="567" t="s">
        <v>168</v>
      </c>
      <c r="B2122" s="644" t="s">
        <v>168</v>
      </c>
      <c r="C2122" s="645"/>
      <c r="D2122" s="422" t="s">
        <v>347</v>
      </c>
      <c r="E2122" s="423"/>
      <c r="F2122" s="424">
        <v>20</v>
      </c>
      <c r="G2122" s="425">
        <v>0.25</v>
      </c>
      <c r="H2122" s="663">
        <f t="shared" si="555"/>
        <v>6.0200000000000005</v>
      </c>
      <c r="I2122" s="420"/>
      <c r="J2122" s="420"/>
      <c r="K2122" s="421">
        <f t="shared" si="549"/>
        <v>0</v>
      </c>
      <c r="L2122" s="647"/>
      <c r="M2122" s="723"/>
      <c r="N2122" s="576">
        <f t="shared" si="536"/>
        <v>0</v>
      </c>
      <c r="O2122" s="577">
        <f t="shared" si="552"/>
        <v>0</v>
      </c>
      <c r="P2122" s="578">
        <f t="shared" si="553"/>
        <v>0</v>
      </c>
      <c r="Q2122" s="765"/>
      <c r="R2122" s="723"/>
      <c r="S2122" s="723"/>
      <c r="T2122" s="577">
        <f t="shared" si="550"/>
        <v>0</v>
      </c>
      <c r="U2122" s="578">
        <f t="shared" si="551"/>
        <v>0</v>
      </c>
      <c r="V2122" s="579"/>
      <c r="W2122" s="566" t="str">
        <f>IF(U2118&gt;0,"xx",IF(P2118&gt;0,"xy",""))</f>
        <v/>
      </c>
      <c r="X2122" s="586" t="str">
        <f t="shared" si="556"/>
        <v/>
      </c>
      <c r="Y2122" s="586" t="str">
        <f t="shared" si="531"/>
        <v/>
      </c>
      <c r="Z2122" s="586" t="str">
        <f t="shared" si="542"/>
        <v/>
      </c>
    </row>
    <row r="2123" spans="1:26" ht="12" hidden="1" thickBot="1" x14ac:dyDescent="0.25">
      <c r="A2123" s="567">
        <v>610700</v>
      </c>
      <c r="B2123" s="644" t="s">
        <v>1684</v>
      </c>
      <c r="C2123" s="645" t="s">
        <v>206</v>
      </c>
      <c r="D2123" s="422" t="s">
        <v>393</v>
      </c>
      <c r="E2123" s="423"/>
      <c r="F2123" s="424"/>
      <c r="G2123" s="425"/>
      <c r="H2123" s="651">
        <f>SUM(H2124:H2127)</f>
        <v>50.288166000000011</v>
      </c>
      <c r="I2123" s="420">
        <v>396.08</v>
      </c>
      <c r="J2123" s="420">
        <f>IF(ISBLANK(I2123),"",SUM(H2123:I2123))</f>
        <v>446.36816599999997</v>
      </c>
      <c r="K2123" s="421">
        <f t="shared" si="549"/>
        <v>530.33000000000004</v>
      </c>
      <c r="L2123" s="647" t="s">
        <v>19</v>
      </c>
      <c r="M2123" s="576"/>
      <c r="N2123" s="576">
        <f t="shared" si="536"/>
        <v>0</v>
      </c>
      <c r="O2123" s="577">
        <f t="shared" si="552"/>
        <v>0</v>
      </c>
      <c r="P2123" s="578">
        <f t="shared" si="553"/>
        <v>0</v>
      </c>
      <c r="Q2123" s="765"/>
      <c r="R2123" s="576">
        <f>M2123</f>
        <v>0</v>
      </c>
      <c r="S2123" s="576">
        <f>N2123</f>
        <v>0</v>
      </c>
      <c r="T2123" s="577">
        <f t="shared" si="550"/>
        <v>0</v>
      </c>
      <c r="U2123" s="578">
        <f t="shared" si="551"/>
        <v>0</v>
      </c>
      <c r="V2123" s="579"/>
      <c r="W2123" s="566"/>
      <c r="X2123" s="586" t="str">
        <f t="shared" si="556"/>
        <v/>
      </c>
      <c r="Y2123" s="586" t="str">
        <f t="shared" si="531"/>
        <v/>
      </c>
      <c r="Z2123" s="586" t="str">
        <f t="shared" si="542"/>
        <v/>
      </c>
    </row>
    <row r="2124" spans="1:26" ht="12" hidden="1" thickBot="1" x14ac:dyDescent="0.25">
      <c r="A2124" s="567" t="s">
        <v>168</v>
      </c>
      <c r="B2124" s="644" t="s">
        <v>168</v>
      </c>
      <c r="C2124" s="645"/>
      <c r="D2124" s="422" t="s">
        <v>212</v>
      </c>
      <c r="E2124" s="423"/>
      <c r="F2124" s="424">
        <v>500</v>
      </c>
      <c r="G2124" s="425">
        <v>3.4500000000000003E-2</v>
      </c>
      <c r="H2124" s="649">
        <f>IF(F2124&lt;=30,(0.78*F2124+7.82)*G2124,((0.78*30+7.82)+0.78*(F2124-30))*G2124)</f>
        <v>13.724790000000002</v>
      </c>
      <c r="I2124" s="420"/>
      <c r="J2124" s="420"/>
      <c r="K2124" s="421">
        <f t="shared" si="549"/>
        <v>0</v>
      </c>
      <c r="L2124" s="647"/>
      <c r="M2124" s="723"/>
      <c r="N2124" s="576">
        <f t="shared" si="536"/>
        <v>0</v>
      </c>
      <c r="O2124" s="577">
        <f t="shared" si="552"/>
        <v>0</v>
      </c>
      <c r="P2124" s="578">
        <f t="shared" si="553"/>
        <v>0</v>
      </c>
      <c r="Q2124" s="765"/>
      <c r="R2124" s="723"/>
      <c r="S2124" s="723"/>
      <c r="T2124" s="577">
        <f t="shared" si="550"/>
        <v>0</v>
      </c>
      <c r="U2124" s="578">
        <f t="shared" si="551"/>
        <v>0</v>
      </c>
      <c r="V2124" s="579"/>
      <c r="W2124" s="566" t="str">
        <f>IF(U2123&gt;0,"xx",IF(P2123&gt;0,"xy",""))</f>
        <v/>
      </c>
      <c r="X2124" s="586" t="str">
        <f t="shared" si="556"/>
        <v/>
      </c>
      <c r="Y2124" s="586" t="str">
        <f t="shared" si="531"/>
        <v/>
      </c>
      <c r="Z2124" s="586" t="str">
        <f t="shared" si="542"/>
        <v/>
      </c>
    </row>
    <row r="2125" spans="1:26" ht="12" hidden="1" thickBot="1" x14ac:dyDescent="0.25">
      <c r="A2125" s="567" t="s">
        <v>168</v>
      </c>
      <c r="B2125" s="644" t="s">
        <v>168</v>
      </c>
      <c r="C2125" s="645"/>
      <c r="D2125" s="422" t="s">
        <v>248</v>
      </c>
      <c r="E2125" s="423"/>
      <c r="F2125" s="424">
        <v>180</v>
      </c>
      <c r="G2125" s="425">
        <v>0.12690000000000001</v>
      </c>
      <c r="H2125" s="663">
        <f t="shared" ref="H2125:H2127" si="557">IF(F2125&lt;=30,(1.07*F2125+2.68)*G2125,((1.07*30+2.68)+1.07*(F2125-30))*G2125)</f>
        <v>24.781032000000003</v>
      </c>
      <c r="I2125" s="420"/>
      <c r="J2125" s="420"/>
      <c r="K2125" s="421">
        <f t="shared" si="549"/>
        <v>0</v>
      </c>
      <c r="L2125" s="647"/>
      <c r="M2125" s="723"/>
      <c r="N2125" s="576">
        <f t="shared" si="536"/>
        <v>0</v>
      </c>
      <c r="O2125" s="577">
        <f t="shared" si="552"/>
        <v>0</v>
      </c>
      <c r="P2125" s="578">
        <f t="shared" si="553"/>
        <v>0</v>
      </c>
      <c r="Q2125" s="765"/>
      <c r="R2125" s="723"/>
      <c r="S2125" s="723"/>
      <c r="T2125" s="577">
        <f t="shared" si="550"/>
        <v>0</v>
      </c>
      <c r="U2125" s="578">
        <f t="shared" si="551"/>
        <v>0</v>
      </c>
      <c r="V2125" s="579"/>
      <c r="W2125" s="566" t="str">
        <f>IF(U2123&gt;0,"xx",IF(P2123&gt;0,"xy",""))</f>
        <v/>
      </c>
      <c r="X2125" s="586" t="str">
        <f t="shared" si="556"/>
        <v/>
      </c>
      <c r="Y2125" s="586" t="str">
        <f t="shared" si="531"/>
        <v/>
      </c>
      <c r="Z2125" s="586" t="str">
        <f t="shared" si="542"/>
        <v/>
      </c>
    </row>
    <row r="2126" spans="1:26" ht="12" hidden="1" thickBot="1" x14ac:dyDescent="0.25">
      <c r="A2126" s="567" t="s">
        <v>168</v>
      </c>
      <c r="B2126" s="644" t="s">
        <v>168</v>
      </c>
      <c r="C2126" s="645"/>
      <c r="D2126" s="422" t="s">
        <v>252</v>
      </c>
      <c r="E2126" s="423"/>
      <c r="F2126" s="424">
        <v>20</v>
      </c>
      <c r="G2126" s="425">
        <v>0.20729999999999998</v>
      </c>
      <c r="H2126" s="663">
        <f t="shared" si="557"/>
        <v>4.991784</v>
      </c>
      <c r="I2126" s="420"/>
      <c r="J2126" s="420"/>
      <c r="K2126" s="421">
        <f t="shared" si="549"/>
        <v>0</v>
      </c>
      <c r="L2126" s="647"/>
      <c r="M2126" s="723"/>
      <c r="N2126" s="576">
        <f t="shared" si="536"/>
        <v>0</v>
      </c>
      <c r="O2126" s="577">
        <f t="shared" si="552"/>
        <v>0</v>
      </c>
      <c r="P2126" s="578">
        <f t="shared" si="553"/>
        <v>0</v>
      </c>
      <c r="Q2126" s="765"/>
      <c r="R2126" s="723"/>
      <c r="S2126" s="723"/>
      <c r="T2126" s="577">
        <f t="shared" si="550"/>
        <v>0</v>
      </c>
      <c r="U2126" s="578">
        <f t="shared" si="551"/>
        <v>0</v>
      </c>
      <c r="V2126" s="579"/>
      <c r="W2126" s="566" t="str">
        <f>IF(U2123&gt;0,"xx",IF(P2123&gt;0,"xy",""))</f>
        <v/>
      </c>
      <c r="X2126" s="586" t="str">
        <f t="shared" si="556"/>
        <v/>
      </c>
      <c r="Y2126" s="586" t="str">
        <f t="shared" si="531"/>
        <v/>
      </c>
      <c r="Z2126" s="586" t="str">
        <f t="shared" si="542"/>
        <v/>
      </c>
    </row>
    <row r="2127" spans="1:26" ht="12" hidden="1" thickBot="1" x14ac:dyDescent="0.25">
      <c r="A2127" s="567" t="s">
        <v>168</v>
      </c>
      <c r="B2127" s="644" t="s">
        <v>168</v>
      </c>
      <c r="C2127" s="645"/>
      <c r="D2127" s="422" t="s">
        <v>347</v>
      </c>
      <c r="E2127" s="423"/>
      <c r="F2127" s="424">
        <v>20</v>
      </c>
      <c r="G2127" s="425">
        <v>0.28199999999999997</v>
      </c>
      <c r="H2127" s="663">
        <f t="shared" si="557"/>
        <v>6.7905600000000002</v>
      </c>
      <c r="I2127" s="420"/>
      <c r="J2127" s="420"/>
      <c r="K2127" s="421">
        <f t="shared" si="549"/>
        <v>0</v>
      </c>
      <c r="L2127" s="647"/>
      <c r="M2127" s="723"/>
      <c r="N2127" s="576">
        <f t="shared" si="536"/>
        <v>0</v>
      </c>
      <c r="O2127" s="577">
        <f t="shared" si="552"/>
        <v>0</v>
      </c>
      <c r="P2127" s="578">
        <f t="shared" si="553"/>
        <v>0</v>
      </c>
      <c r="Q2127" s="765"/>
      <c r="R2127" s="723"/>
      <c r="S2127" s="723"/>
      <c r="T2127" s="577">
        <f t="shared" si="550"/>
        <v>0</v>
      </c>
      <c r="U2127" s="578">
        <f t="shared" si="551"/>
        <v>0</v>
      </c>
      <c r="V2127" s="579"/>
      <c r="W2127" s="566" t="str">
        <f>IF(U2123&gt;0,"xx",IF(P2123&gt;0,"xy",""))</f>
        <v/>
      </c>
      <c r="X2127" s="586" t="str">
        <f t="shared" si="556"/>
        <v/>
      </c>
      <c r="Y2127" s="586" t="str">
        <f t="shared" si="531"/>
        <v/>
      </c>
      <c r="Z2127" s="586" t="str">
        <f t="shared" si="542"/>
        <v/>
      </c>
    </row>
    <row r="2128" spans="1:26" ht="12" hidden="1" thickBot="1" x14ac:dyDescent="0.25">
      <c r="A2128" s="567">
        <v>610900</v>
      </c>
      <c r="B2128" s="644" t="s">
        <v>1685</v>
      </c>
      <c r="C2128" s="645" t="s">
        <v>206</v>
      </c>
      <c r="D2128" s="422" t="s">
        <v>583</v>
      </c>
      <c r="E2128" s="423"/>
      <c r="F2128" s="424"/>
      <c r="G2128" s="425"/>
      <c r="H2128" s="651">
        <f>SUM(H2129:H2132)</f>
        <v>72.192176000000003</v>
      </c>
      <c r="I2128" s="420">
        <v>534.75</v>
      </c>
      <c r="J2128" s="420">
        <f>IF(ISBLANK(I2128),"",SUM(H2128:I2128))</f>
        <v>606.94217600000002</v>
      </c>
      <c r="K2128" s="421">
        <f t="shared" si="549"/>
        <v>721.11</v>
      </c>
      <c r="L2128" s="647" t="s">
        <v>19</v>
      </c>
      <c r="M2128" s="576"/>
      <c r="N2128" s="576">
        <f t="shared" si="536"/>
        <v>0</v>
      </c>
      <c r="O2128" s="577">
        <f t="shared" si="552"/>
        <v>0</v>
      </c>
      <c r="P2128" s="578">
        <f t="shared" si="553"/>
        <v>0</v>
      </c>
      <c r="Q2128" s="765"/>
      <c r="R2128" s="576">
        <f>M2128</f>
        <v>0</v>
      </c>
      <c r="S2128" s="576">
        <f>N2128</f>
        <v>0</v>
      </c>
      <c r="T2128" s="577">
        <f t="shared" si="550"/>
        <v>0</v>
      </c>
      <c r="U2128" s="578">
        <f t="shared" si="551"/>
        <v>0</v>
      </c>
      <c r="V2128" s="579"/>
      <c r="W2128" s="566"/>
      <c r="X2128" s="586" t="str">
        <f t="shared" si="556"/>
        <v/>
      </c>
      <c r="Y2128" s="586" t="str">
        <f t="shared" si="531"/>
        <v/>
      </c>
      <c r="Z2128" s="586" t="str">
        <f t="shared" si="542"/>
        <v/>
      </c>
    </row>
    <row r="2129" spans="1:26" ht="12" hidden="1" thickBot="1" x14ac:dyDescent="0.25">
      <c r="A2129" s="567" t="s">
        <v>168</v>
      </c>
      <c r="B2129" s="644" t="s">
        <v>168</v>
      </c>
      <c r="C2129" s="645"/>
      <c r="D2129" s="422" t="s">
        <v>212</v>
      </c>
      <c r="E2129" s="423"/>
      <c r="F2129" s="424">
        <v>500</v>
      </c>
      <c r="G2129" s="425">
        <v>4.7199999999999999E-2</v>
      </c>
      <c r="H2129" s="649">
        <f>IF(F2129&lt;=30,(0.78*F2129+7.82)*G2129,((0.78*30+7.82)+0.78*(F2129-30))*G2129)</f>
        <v>18.777104000000001</v>
      </c>
      <c r="I2129" s="420"/>
      <c r="J2129" s="420"/>
      <c r="K2129" s="421">
        <f t="shared" si="549"/>
        <v>0</v>
      </c>
      <c r="L2129" s="647"/>
      <c r="M2129" s="723"/>
      <c r="N2129" s="576">
        <f t="shared" si="536"/>
        <v>0</v>
      </c>
      <c r="O2129" s="577">
        <f t="shared" si="552"/>
        <v>0</v>
      </c>
      <c r="P2129" s="578">
        <f t="shared" si="553"/>
        <v>0</v>
      </c>
      <c r="Q2129" s="765"/>
      <c r="R2129" s="723"/>
      <c r="S2129" s="723"/>
      <c r="T2129" s="577">
        <f t="shared" si="550"/>
        <v>0</v>
      </c>
      <c r="U2129" s="578">
        <f t="shared" si="551"/>
        <v>0</v>
      </c>
      <c r="V2129" s="579"/>
      <c r="W2129" s="566" t="str">
        <f>IF(U2128&gt;0,"xx",IF(P2128&gt;0,"xy",""))</f>
        <v/>
      </c>
      <c r="X2129" s="586" t="str">
        <f t="shared" si="556"/>
        <v/>
      </c>
      <c r="Y2129" s="586" t="str">
        <f t="shared" si="531"/>
        <v/>
      </c>
      <c r="Z2129" s="586" t="str">
        <f t="shared" si="542"/>
        <v/>
      </c>
    </row>
    <row r="2130" spans="1:26" ht="12" hidden="1" thickBot="1" x14ac:dyDescent="0.25">
      <c r="A2130" s="567" t="s">
        <v>168</v>
      </c>
      <c r="B2130" s="644" t="s">
        <v>168</v>
      </c>
      <c r="C2130" s="645"/>
      <c r="D2130" s="422" t="s">
        <v>248</v>
      </c>
      <c r="E2130" s="423"/>
      <c r="F2130" s="424">
        <v>180</v>
      </c>
      <c r="G2130" s="425">
        <v>0.17269999999999999</v>
      </c>
      <c r="H2130" s="663">
        <f t="shared" ref="H2130:H2132" si="558">IF(F2130&lt;=30,(1.07*F2130+2.68)*G2130,((1.07*30+2.68)+1.07*(F2130-30))*G2130)</f>
        <v>33.724855999999996</v>
      </c>
      <c r="I2130" s="420"/>
      <c r="J2130" s="420"/>
      <c r="K2130" s="421">
        <f t="shared" si="549"/>
        <v>0</v>
      </c>
      <c r="L2130" s="647"/>
      <c r="M2130" s="723"/>
      <c r="N2130" s="576">
        <f t="shared" si="536"/>
        <v>0</v>
      </c>
      <c r="O2130" s="577">
        <f t="shared" si="552"/>
        <v>0</v>
      </c>
      <c r="P2130" s="578">
        <f t="shared" si="553"/>
        <v>0</v>
      </c>
      <c r="Q2130" s="765"/>
      <c r="R2130" s="723"/>
      <c r="S2130" s="723"/>
      <c r="T2130" s="577">
        <f t="shared" si="550"/>
        <v>0</v>
      </c>
      <c r="U2130" s="578">
        <f t="shared" si="551"/>
        <v>0</v>
      </c>
      <c r="V2130" s="579"/>
      <c r="W2130" s="566" t="str">
        <f>IF(U2128&gt;0,"xx",IF(P2128&gt;0,"xy",""))</f>
        <v/>
      </c>
      <c r="X2130" s="586" t="str">
        <f t="shared" si="556"/>
        <v/>
      </c>
      <c r="Y2130" s="586" t="str">
        <f t="shared" si="531"/>
        <v/>
      </c>
      <c r="Z2130" s="586" t="str">
        <f t="shared" si="542"/>
        <v/>
      </c>
    </row>
    <row r="2131" spans="1:26" ht="12" hidden="1" thickBot="1" x14ac:dyDescent="0.25">
      <c r="A2131" s="567" t="s">
        <v>168</v>
      </c>
      <c r="B2131" s="644" t="s">
        <v>168</v>
      </c>
      <c r="C2131" s="645"/>
      <c r="D2131" s="422" t="s">
        <v>252</v>
      </c>
      <c r="E2131" s="423"/>
      <c r="F2131" s="424">
        <v>20</v>
      </c>
      <c r="G2131" s="425">
        <v>0.28770000000000001</v>
      </c>
      <c r="H2131" s="663">
        <f t="shared" si="558"/>
        <v>6.9278160000000009</v>
      </c>
      <c r="I2131" s="420"/>
      <c r="J2131" s="420"/>
      <c r="K2131" s="421">
        <f t="shared" si="549"/>
        <v>0</v>
      </c>
      <c r="L2131" s="647"/>
      <c r="M2131" s="723"/>
      <c r="N2131" s="576">
        <f t="shared" si="536"/>
        <v>0</v>
      </c>
      <c r="O2131" s="577">
        <f t="shared" si="552"/>
        <v>0</v>
      </c>
      <c r="P2131" s="578">
        <f t="shared" si="553"/>
        <v>0</v>
      </c>
      <c r="Q2131" s="765"/>
      <c r="R2131" s="723"/>
      <c r="S2131" s="723"/>
      <c r="T2131" s="577">
        <f t="shared" si="550"/>
        <v>0</v>
      </c>
      <c r="U2131" s="578">
        <f t="shared" si="551"/>
        <v>0</v>
      </c>
      <c r="V2131" s="579"/>
      <c r="W2131" s="566" t="str">
        <f>IF(U2128&gt;0,"xx",IF(P2128&gt;0,"xy",""))</f>
        <v/>
      </c>
      <c r="X2131" s="586" t="str">
        <f t="shared" si="556"/>
        <v/>
      </c>
      <c r="Y2131" s="586" t="str">
        <f t="shared" si="531"/>
        <v/>
      </c>
      <c r="Z2131" s="586" t="str">
        <f t="shared" si="542"/>
        <v/>
      </c>
    </row>
    <row r="2132" spans="1:26" ht="12" hidden="1" thickBot="1" x14ac:dyDescent="0.25">
      <c r="A2132" s="567" t="s">
        <v>168</v>
      </c>
      <c r="B2132" s="644" t="s">
        <v>168</v>
      </c>
      <c r="C2132" s="645"/>
      <c r="D2132" s="422" t="s">
        <v>347</v>
      </c>
      <c r="E2132" s="423"/>
      <c r="F2132" s="424">
        <v>20</v>
      </c>
      <c r="G2132" s="425">
        <v>0.53</v>
      </c>
      <c r="H2132" s="663">
        <f t="shared" si="558"/>
        <v>12.762400000000001</v>
      </c>
      <c r="I2132" s="420"/>
      <c r="J2132" s="420"/>
      <c r="K2132" s="421">
        <f t="shared" si="549"/>
        <v>0</v>
      </c>
      <c r="L2132" s="647"/>
      <c r="M2132" s="723"/>
      <c r="N2132" s="576">
        <f t="shared" ref="N2132:N2195" si="559">IF(M2132=0,0,K2132)</f>
        <v>0</v>
      </c>
      <c r="O2132" s="577">
        <f t="shared" si="552"/>
        <v>0</v>
      </c>
      <c r="P2132" s="578">
        <f t="shared" si="553"/>
        <v>0</v>
      </c>
      <c r="Q2132" s="765"/>
      <c r="R2132" s="723"/>
      <c r="S2132" s="723"/>
      <c r="T2132" s="577">
        <f t="shared" si="550"/>
        <v>0</v>
      </c>
      <c r="U2132" s="578">
        <f t="shared" si="551"/>
        <v>0</v>
      </c>
      <c r="V2132" s="579"/>
      <c r="W2132" s="566" t="str">
        <f>IF(U2128&gt;0,"xx",IF(P2128&gt;0,"xy",""))</f>
        <v/>
      </c>
      <c r="X2132" s="586" t="str">
        <f t="shared" si="556"/>
        <v/>
      </c>
      <c r="Y2132" s="586" t="str">
        <f t="shared" si="531"/>
        <v/>
      </c>
      <c r="Z2132" s="586" t="str">
        <f t="shared" si="542"/>
        <v/>
      </c>
    </row>
    <row r="2133" spans="1:26" ht="12" hidden="1" thickBot="1" x14ac:dyDescent="0.25">
      <c r="A2133" s="567">
        <v>610900</v>
      </c>
      <c r="B2133" s="644" t="s">
        <v>1686</v>
      </c>
      <c r="C2133" s="645" t="s">
        <v>206</v>
      </c>
      <c r="D2133" s="422" t="s">
        <v>394</v>
      </c>
      <c r="E2133" s="423"/>
      <c r="F2133" s="424"/>
      <c r="G2133" s="425"/>
      <c r="H2133" s="651">
        <f>SUM(H2134:H2137)</f>
        <v>91.957618000000011</v>
      </c>
      <c r="I2133" s="420">
        <v>673.42000000000007</v>
      </c>
      <c r="J2133" s="420">
        <f>IF(ISBLANK(I2133),"",SUM(H2133:I2133))</f>
        <v>765.3776180000001</v>
      </c>
      <c r="K2133" s="421">
        <f t="shared" si="549"/>
        <v>909.35</v>
      </c>
      <c r="L2133" s="647" t="s">
        <v>19</v>
      </c>
      <c r="M2133" s="576"/>
      <c r="N2133" s="576">
        <f t="shared" si="559"/>
        <v>0</v>
      </c>
      <c r="O2133" s="577">
        <f t="shared" si="552"/>
        <v>0</v>
      </c>
      <c r="P2133" s="578">
        <f t="shared" si="553"/>
        <v>0</v>
      </c>
      <c r="Q2133" s="765"/>
      <c r="R2133" s="576">
        <f>M2133</f>
        <v>0</v>
      </c>
      <c r="S2133" s="576">
        <f>N2133</f>
        <v>0</v>
      </c>
      <c r="T2133" s="577">
        <f t="shared" si="550"/>
        <v>0</v>
      </c>
      <c r="U2133" s="578">
        <f t="shared" si="551"/>
        <v>0</v>
      </c>
      <c r="V2133" s="579"/>
      <c r="W2133" s="566"/>
      <c r="X2133" s="586" t="str">
        <f t="shared" si="556"/>
        <v/>
      </c>
      <c r="Y2133" s="586" t="str">
        <f t="shared" si="531"/>
        <v/>
      </c>
      <c r="Z2133" s="586" t="str">
        <f t="shared" si="542"/>
        <v/>
      </c>
    </row>
    <row r="2134" spans="1:26" ht="12" hidden="1" thickBot="1" x14ac:dyDescent="0.25">
      <c r="A2134" s="567" t="s">
        <v>168</v>
      </c>
      <c r="B2134" s="644" t="s">
        <v>168</v>
      </c>
      <c r="C2134" s="645"/>
      <c r="D2134" s="422" t="s">
        <v>212</v>
      </c>
      <c r="E2134" s="423"/>
      <c r="F2134" s="424">
        <v>500</v>
      </c>
      <c r="G2134" s="425">
        <v>5.9900000000000002E-2</v>
      </c>
      <c r="H2134" s="649">
        <f>IF(F2134&lt;=30,(0.78*F2134+7.82)*G2134,((0.78*30+7.82)+0.78*(F2134-30))*G2134)</f>
        <v>23.829418000000004</v>
      </c>
      <c r="I2134" s="420"/>
      <c r="J2134" s="420"/>
      <c r="K2134" s="421">
        <f t="shared" si="549"/>
        <v>0</v>
      </c>
      <c r="L2134" s="647"/>
      <c r="M2134" s="723"/>
      <c r="N2134" s="576">
        <f t="shared" si="559"/>
        <v>0</v>
      </c>
      <c r="O2134" s="577">
        <f t="shared" si="552"/>
        <v>0</v>
      </c>
      <c r="P2134" s="578">
        <f t="shared" si="553"/>
        <v>0</v>
      </c>
      <c r="Q2134" s="765"/>
      <c r="R2134" s="723"/>
      <c r="S2134" s="723"/>
      <c r="T2134" s="577">
        <f t="shared" si="550"/>
        <v>0</v>
      </c>
      <c r="U2134" s="578">
        <f t="shared" si="551"/>
        <v>0</v>
      </c>
      <c r="V2134" s="579"/>
      <c r="W2134" s="566" t="str">
        <f>IF(U2133&gt;0,"xx",IF(P2133&gt;0,"xy",""))</f>
        <v/>
      </c>
      <c r="X2134" s="586" t="str">
        <f t="shared" si="556"/>
        <v/>
      </c>
      <c r="Y2134" s="586" t="str">
        <f t="shared" si="531"/>
        <v/>
      </c>
      <c r="Z2134" s="586" t="str">
        <f t="shared" si="542"/>
        <v/>
      </c>
    </row>
    <row r="2135" spans="1:26" ht="12" hidden="1" thickBot="1" x14ac:dyDescent="0.25">
      <c r="A2135" s="567" t="s">
        <v>168</v>
      </c>
      <c r="B2135" s="644" t="s">
        <v>168</v>
      </c>
      <c r="C2135" s="645"/>
      <c r="D2135" s="422" t="s">
        <v>248</v>
      </c>
      <c r="E2135" s="423"/>
      <c r="F2135" s="424">
        <v>180</v>
      </c>
      <c r="G2135" s="425">
        <v>0.21840000000000001</v>
      </c>
      <c r="H2135" s="663">
        <f t="shared" ref="H2135:H2137" si="560">IF(F2135&lt;=30,(1.07*F2135+2.68)*G2135,((1.07*30+2.68)+1.07*(F2135-30))*G2135)</f>
        <v>42.649152000000001</v>
      </c>
      <c r="I2135" s="420"/>
      <c r="J2135" s="420"/>
      <c r="K2135" s="421">
        <f t="shared" si="549"/>
        <v>0</v>
      </c>
      <c r="L2135" s="647"/>
      <c r="M2135" s="723"/>
      <c r="N2135" s="576">
        <f t="shared" si="559"/>
        <v>0</v>
      </c>
      <c r="O2135" s="577">
        <f t="shared" si="552"/>
        <v>0</v>
      </c>
      <c r="P2135" s="578">
        <f t="shared" si="553"/>
        <v>0</v>
      </c>
      <c r="Q2135" s="765"/>
      <c r="R2135" s="723"/>
      <c r="S2135" s="723"/>
      <c r="T2135" s="577">
        <f t="shared" si="550"/>
        <v>0</v>
      </c>
      <c r="U2135" s="578">
        <f t="shared" si="551"/>
        <v>0</v>
      </c>
      <c r="V2135" s="579"/>
      <c r="W2135" s="566" t="str">
        <f>IF(U2133&gt;0,"xx",IF(P2133&gt;0,"xy",""))</f>
        <v/>
      </c>
      <c r="X2135" s="586" t="str">
        <f t="shared" si="556"/>
        <v/>
      </c>
      <c r="Y2135" s="586" t="str">
        <f t="shared" si="531"/>
        <v/>
      </c>
      <c r="Z2135" s="586" t="str">
        <f t="shared" si="542"/>
        <v/>
      </c>
    </row>
    <row r="2136" spans="1:26" ht="12" hidden="1" thickBot="1" x14ac:dyDescent="0.25">
      <c r="A2136" s="567" t="s">
        <v>168</v>
      </c>
      <c r="B2136" s="644" t="s">
        <v>168</v>
      </c>
      <c r="C2136" s="645"/>
      <c r="D2136" s="422" t="s">
        <v>252</v>
      </c>
      <c r="E2136" s="423"/>
      <c r="F2136" s="424">
        <v>20</v>
      </c>
      <c r="G2136" s="425">
        <v>0.36809999999999998</v>
      </c>
      <c r="H2136" s="663">
        <f t="shared" si="560"/>
        <v>8.8638480000000008</v>
      </c>
      <c r="I2136" s="420"/>
      <c r="J2136" s="420"/>
      <c r="K2136" s="421">
        <f t="shared" si="549"/>
        <v>0</v>
      </c>
      <c r="L2136" s="647"/>
      <c r="M2136" s="723"/>
      <c r="N2136" s="576">
        <f t="shared" si="559"/>
        <v>0</v>
      </c>
      <c r="O2136" s="577">
        <f t="shared" si="552"/>
        <v>0</v>
      </c>
      <c r="P2136" s="578">
        <f t="shared" si="553"/>
        <v>0</v>
      </c>
      <c r="Q2136" s="765"/>
      <c r="R2136" s="723"/>
      <c r="S2136" s="723"/>
      <c r="T2136" s="577">
        <f t="shared" si="550"/>
        <v>0</v>
      </c>
      <c r="U2136" s="578">
        <f t="shared" si="551"/>
        <v>0</v>
      </c>
      <c r="V2136" s="579"/>
      <c r="W2136" s="566" t="str">
        <f>IF(U2133&gt;0,"xx",IF(P2133&gt;0,"xy",""))</f>
        <v/>
      </c>
      <c r="X2136" s="586" t="str">
        <f t="shared" si="556"/>
        <v/>
      </c>
      <c r="Y2136" s="586" t="str">
        <f t="shared" si="531"/>
        <v/>
      </c>
      <c r="Z2136" s="586" t="str">
        <f t="shared" si="542"/>
        <v/>
      </c>
    </row>
    <row r="2137" spans="1:26" ht="12" hidden="1" thickBot="1" x14ac:dyDescent="0.25">
      <c r="A2137" s="567" t="s">
        <v>168</v>
      </c>
      <c r="B2137" s="644" t="s">
        <v>168</v>
      </c>
      <c r="C2137" s="645"/>
      <c r="D2137" s="422" t="s">
        <v>347</v>
      </c>
      <c r="E2137" s="423"/>
      <c r="F2137" s="424">
        <v>20</v>
      </c>
      <c r="G2137" s="425">
        <v>0.69</v>
      </c>
      <c r="H2137" s="663">
        <f t="shared" si="560"/>
        <v>16.615200000000002</v>
      </c>
      <c r="I2137" s="420"/>
      <c r="J2137" s="420"/>
      <c r="K2137" s="421">
        <f t="shared" si="549"/>
        <v>0</v>
      </c>
      <c r="L2137" s="647"/>
      <c r="M2137" s="723"/>
      <c r="N2137" s="576">
        <f t="shared" si="559"/>
        <v>0</v>
      </c>
      <c r="O2137" s="577">
        <f t="shared" si="552"/>
        <v>0</v>
      </c>
      <c r="P2137" s="578">
        <f t="shared" si="553"/>
        <v>0</v>
      </c>
      <c r="Q2137" s="765"/>
      <c r="R2137" s="723"/>
      <c r="S2137" s="723"/>
      <c r="T2137" s="577">
        <f t="shared" si="550"/>
        <v>0</v>
      </c>
      <c r="U2137" s="578">
        <f t="shared" si="551"/>
        <v>0</v>
      </c>
      <c r="V2137" s="579"/>
      <c r="W2137" s="566" t="str">
        <f>IF(U2133&gt;0,"xx",IF(P2133&gt;0,"xy",""))</f>
        <v/>
      </c>
      <c r="X2137" s="586" t="str">
        <f t="shared" si="556"/>
        <v/>
      </c>
      <c r="Y2137" s="586" t="str">
        <f t="shared" si="531"/>
        <v/>
      </c>
      <c r="Z2137" s="586" t="str">
        <f t="shared" si="542"/>
        <v/>
      </c>
    </row>
    <row r="2138" spans="1:26" ht="12" hidden="1" thickBot="1" x14ac:dyDescent="0.25">
      <c r="A2138" s="567">
        <v>611100</v>
      </c>
      <c r="B2138" s="644" t="s">
        <v>1699</v>
      </c>
      <c r="C2138" s="645" t="s">
        <v>206</v>
      </c>
      <c r="D2138" s="422" t="s">
        <v>584</v>
      </c>
      <c r="E2138" s="423"/>
      <c r="F2138" s="424"/>
      <c r="G2138" s="425"/>
      <c r="H2138" s="651">
        <f>SUM(H2139:H2142)</f>
        <v>115.465452</v>
      </c>
      <c r="I2138" s="420">
        <v>831.46</v>
      </c>
      <c r="J2138" s="420">
        <f>IF(ISBLANK(I2138),"",SUM(H2138:I2138))</f>
        <v>946.92545200000006</v>
      </c>
      <c r="K2138" s="421">
        <f t="shared" si="549"/>
        <v>1125.04</v>
      </c>
      <c r="L2138" s="647" t="s">
        <v>19</v>
      </c>
      <c r="M2138" s="576"/>
      <c r="N2138" s="576">
        <f t="shared" si="559"/>
        <v>0</v>
      </c>
      <c r="O2138" s="577">
        <f t="shared" si="552"/>
        <v>0</v>
      </c>
      <c r="P2138" s="578">
        <f t="shared" si="553"/>
        <v>0</v>
      </c>
      <c r="Q2138" s="765"/>
      <c r="R2138" s="576">
        <f>M2138</f>
        <v>0</v>
      </c>
      <c r="S2138" s="576">
        <f>N2138</f>
        <v>0</v>
      </c>
      <c r="T2138" s="577">
        <f t="shared" si="550"/>
        <v>0</v>
      </c>
      <c r="U2138" s="578">
        <f t="shared" si="551"/>
        <v>0</v>
      </c>
      <c r="V2138" s="579"/>
      <c r="W2138" s="566"/>
      <c r="X2138" s="586" t="str">
        <f t="shared" si="556"/>
        <v/>
      </c>
      <c r="Y2138" s="586" t="str">
        <f t="shared" si="531"/>
        <v/>
      </c>
      <c r="Z2138" s="586" t="str">
        <f t="shared" si="542"/>
        <v/>
      </c>
    </row>
    <row r="2139" spans="1:26" ht="12" hidden="1" thickBot="1" x14ac:dyDescent="0.25">
      <c r="A2139" s="567" t="s">
        <v>168</v>
      </c>
      <c r="B2139" s="644" t="s">
        <v>168</v>
      </c>
      <c r="C2139" s="645"/>
      <c r="D2139" s="422" t="s">
        <v>212</v>
      </c>
      <c r="E2139" s="423"/>
      <c r="F2139" s="424">
        <v>500</v>
      </c>
      <c r="G2139" s="425">
        <v>7.5800000000000006E-2</v>
      </c>
      <c r="H2139" s="649">
        <f>IF(F2139&lt;=30,(0.78*F2139+7.82)*G2139,((0.78*30+7.82)+0.78*(F2139-30))*G2139)</f>
        <v>30.154756000000006</v>
      </c>
      <c r="I2139" s="420"/>
      <c r="J2139" s="420"/>
      <c r="K2139" s="421">
        <f t="shared" si="549"/>
        <v>0</v>
      </c>
      <c r="L2139" s="647"/>
      <c r="M2139" s="723"/>
      <c r="N2139" s="576">
        <f t="shared" si="559"/>
        <v>0</v>
      </c>
      <c r="O2139" s="577">
        <f t="shared" si="552"/>
        <v>0</v>
      </c>
      <c r="P2139" s="578">
        <f t="shared" si="553"/>
        <v>0</v>
      </c>
      <c r="Q2139" s="765"/>
      <c r="R2139" s="723"/>
      <c r="S2139" s="723"/>
      <c r="T2139" s="577">
        <f t="shared" si="550"/>
        <v>0</v>
      </c>
      <c r="U2139" s="578">
        <f t="shared" si="551"/>
        <v>0</v>
      </c>
      <c r="V2139" s="579"/>
      <c r="W2139" s="566" t="str">
        <f>IF(U2138&gt;0,"xx",IF(P2138&gt;0,"xy",""))</f>
        <v/>
      </c>
      <c r="X2139" s="586" t="str">
        <f t="shared" si="556"/>
        <v/>
      </c>
      <c r="Y2139" s="586" t="str">
        <f t="shared" si="531"/>
        <v/>
      </c>
      <c r="Z2139" s="586" t="str">
        <f t="shared" si="542"/>
        <v/>
      </c>
    </row>
    <row r="2140" spans="1:26" ht="12" hidden="1" thickBot="1" x14ac:dyDescent="0.25">
      <c r="A2140" s="567" t="s">
        <v>168</v>
      </c>
      <c r="B2140" s="644" t="s">
        <v>168</v>
      </c>
      <c r="C2140" s="645"/>
      <c r="D2140" s="422" t="s">
        <v>248</v>
      </c>
      <c r="E2140" s="423"/>
      <c r="F2140" s="424">
        <v>180</v>
      </c>
      <c r="G2140" s="425">
        <v>0.27639999999999998</v>
      </c>
      <c r="H2140" s="663">
        <f t="shared" ref="H2140:H2142" si="561">IF(F2140&lt;=30,(1.07*F2140+2.68)*G2140,((1.07*30+2.68)+1.07*(F2140-30))*G2140)</f>
        <v>53.975391999999999</v>
      </c>
      <c r="I2140" s="420"/>
      <c r="J2140" s="420"/>
      <c r="K2140" s="421">
        <f t="shared" si="549"/>
        <v>0</v>
      </c>
      <c r="L2140" s="647"/>
      <c r="M2140" s="723"/>
      <c r="N2140" s="576">
        <f t="shared" si="559"/>
        <v>0</v>
      </c>
      <c r="O2140" s="577">
        <f t="shared" si="552"/>
        <v>0</v>
      </c>
      <c r="P2140" s="578">
        <f t="shared" si="553"/>
        <v>0</v>
      </c>
      <c r="Q2140" s="765"/>
      <c r="R2140" s="723"/>
      <c r="S2140" s="723"/>
      <c r="T2140" s="577">
        <f t="shared" si="550"/>
        <v>0</v>
      </c>
      <c r="U2140" s="578">
        <f t="shared" si="551"/>
        <v>0</v>
      </c>
      <c r="V2140" s="579"/>
      <c r="W2140" s="566" t="str">
        <f>IF(U2138&gt;0,"xx",IF(P2138&gt;0,"xy",""))</f>
        <v/>
      </c>
      <c r="X2140" s="586" t="str">
        <f t="shared" si="556"/>
        <v/>
      </c>
      <c r="Y2140" s="586" t="str">
        <f t="shared" si="531"/>
        <v/>
      </c>
      <c r="Z2140" s="586" t="str">
        <f t="shared" si="542"/>
        <v/>
      </c>
    </row>
    <row r="2141" spans="1:26" ht="12" hidden="1" thickBot="1" x14ac:dyDescent="0.25">
      <c r="A2141" s="567" t="s">
        <v>168</v>
      </c>
      <c r="B2141" s="644" t="s">
        <v>168</v>
      </c>
      <c r="C2141" s="645"/>
      <c r="D2141" s="422" t="s">
        <v>252</v>
      </c>
      <c r="E2141" s="423"/>
      <c r="F2141" s="424">
        <v>20</v>
      </c>
      <c r="G2141" s="425">
        <v>0.46629999999999999</v>
      </c>
      <c r="H2141" s="663">
        <f t="shared" si="561"/>
        <v>11.228504000000001</v>
      </c>
      <c r="I2141" s="420"/>
      <c r="J2141" s="420"/>
      <c r="K2141" s="421">
        <f t="shared" si="549"/>
        <v>0</v>
      </c>
      <c r="L2141" s="647"/>
      <c r="M2141" s="723"/>
      <c r="N2141" s="576">
        <f t="shared" si="559"/>
        <v>0</v>
      </c>
      <c r="O2141" s="577">
        <f t="shared" si="552"/>
        <v>0</v>
      </c>
      <c r="P2141" s="578">
        <f t="shared" si="553"/>
        <v>0</v>
      </c>
      <c r="Q2141" s="765"/>
      <c r="R2141" s="723"/>
      <c r="S2141" s="723"/>
      <c r="T2141" s="577">
        <f t="shared" si="550"/>
        <v>0</v>
      </c>
      <c r="U2141" s="578">
        <f t="shared" si="551"/>
        <v>0</v>
      </c>
      <c r="V2141" s="579"/>
      <c r="W2141" s="566" t="str">
        <f>IF(U2138&gt;0,"xx",IF(P2138&gt;0,"xy",""))</f>
        <v/>
      </c>
      <c r="X2141" s="586" t="str">
        <f t="shared" si="556"/>
        <v/>
      </c>
      <c r="Y2141" s="586" t="str">
        <f t="shared" si="531"/>
        <v/>
      </c>
      <c r="Z2141" s="586" t="str">
        <f t="shared" si="542"/>
        <v/>
      </c>
    </row>
    <row r="2142" spans="1:26" ht="12" hidden="1" thickBot="1" x14ac:dyDescent="0.25">
      <c r="A2142" s="567" t="s">
        <v>168</v>
      </c>
      <c r="B2142" s="644" t="s">
        <v>168</v>
      </c>
      <c r="C2142" s="645"/>
      <c r="D2142" s="422" t="s">
        <v>347</v>
      </c>
      <c r="E2142" s="423"/>
      <c r="F2142" s="424">
        <v>20</v>
      </c>
      <c r="G2142" s="425">
        <v>0.83499999999999996</v>
      </c>
      <c r="H2142" s="663">
        <f t="shared" si="561"/>
        <v>20.1068</v>
      </c>
      <c r="I2142" s="420"/>
      <c r="J2142" s="420"/>
      <c r="K2142" s="421">
        <f t="shared" si="549"/>
        <v>0</v>
      </c>
      <c r="L2142" s="647"/>
      <c r="M2142" s="723"/>
      <c r="N2142" s="576">
        <f t="shared" si="559"/>
        <v>0</v>
      </c>
      <c r="O2142" s="577">
        <f t="shared" si="552"/>
        <v>0</v>
      </c>
      <c r="P2142" s="578">
        <f t="shared" si="553"/>
        <v>0</v>
      </c>
      <c r="Q2142" s="765"/>
      <c r="R2142" s="723"/>
      <c r="S2142" s="723"/>
      <c r="T2142" s="577">
        <f t="shared" si="550"/>
        <v>0</v>
      </c>
      <c r="U2142" s="578">
        <f t="shared" si="551"/>
        <v>0</v>
      </c>
      <c r="V2142" s="579"/>
      <c r="W2142" s="566" t="str">
        <f>IF(U2138&gt;0,"xx",IF(P2138&gt;0,"xy",""))</f>
        <v/>
      </c>
      <c r="X2142" s="586" t="str">
        <f t="shared" si="556"/>
        <v/>
      </c>
      <c r="Y2142" s="586" t="str">
        <f t="shared" si="531"/>
        <v/>
      </c>
      <c r="Z2142" s="586" t="str">
        <f t="shared" si="542"/>
        <v/>
      </c>
    </row>
    <row r="2143" spans="1:26" ht="12" hidden="1" thickBot="1" x14ac:dyDescent="0.25">
      <c r="A2143" s="567">
        <v>611100</v>
      </c>
      <c r="B2143" s="644" t="s">
        <v>1700</v>
      </c>
      <c r="C2143" s="645" t="s">
        <v>206</v>
      </c>
      <c r="D2143" s="422" t="s">
        <v>395</v>
      </c>
      <c r="E2143" s="423"/>
      <c r="F2143" s="424"/>
      <c r="G2143" s="425"/>
      <c r="H2143" s="651">
        <f>SUM(H2144:H2147)</f>
        <v>139.43295000000003</v>
      </c>
      <c r="I2143" s="420">
        <v>989.5</v>
      </c>
      <c r="J2143" s="420">
        <f>IF(ISBLANK(I2143),"",SUM(H2143:I2143))</f>
        <v>1128.9329500000001</v>
      </c>
      <c r="K2143" s="421">
        <f t="shared" si="549"/>
        <v>1341.29</v>
      </c>
      <c r="L2143" s="647" t="s">
        <v>19</v>
      </c>
      <c r="M2143" s="576"/>
      <c r="N2143" s="576">
        <f t="shared" si="559"/>
        <v>0</v>
      </c>
      <c r="O2143" s="577">
        <f t="shared" si="552"/>
        <v>0</v>
      </c>
      <c r="P2143" s="578">
        <f t="shared" si="553"/>
        <v>0</v>
      </c>
      <c r="Q2143" s="765"/>
      <c r="R2143" s="576">
        <f>M2143</f>
        <v>0</v>
      </c>
      <c r="S2143" s="576">
        <f>N2143</f>
        <v>0</v>
      </c>
      <c r="T2143" s="577">
        <f t="shared" si="550"/>
        <v>0</v>
      </c>
      <c r="U2143" s="578">
        <f t="shared" si="551"/>
        <v>0</v>
      </c>
      <c r="V2143" s="579"/>
      <c r="W2143" s="566"/>
      <c r="X2143" s="586" t="str">
        <f t="shared" si="556"/>
        <v/>
      </c>
      <c r="Y2143" s="586" t="str">
        <f t="shared" si="531"/>
        <v/>
      </c>
      <c r="Z2143" s="586" t="str">
        <f t="shared" si="542"/>
        <v/>
      </c>
    </row>
    <row r="2144" spans="1:26" ht="12" hidden="1" thickBot="1" x14ac:dyDescent="0.25">
      <c r="A2144" s="567" t="s">
        <v>168</v>
      </c>
      <c r="B2144" s="644" t="s">
        <v>168</v>
      </c>
      <c r="C2144" s="645"/>
      <c r="D2144" s="422" t="s">
        <v>212</v>
      </c>
      <c r="E2144" s="423"/>
      <c r="F2144" s="424">
        <v>500</v>
      </c>
      <c r="G2144" s="425">
        <v>9.1700000000000004E-2</v>
      </c>
      <c r="H2144" s="649">
        <f>IF(F2144&lt;=30,(0.78*F2144+7.82)*G2144,((0.78*30+7.82)+0.78*(F2144-30))*G2144)</f>
        <v>36.480094000000008</v>
      </c>
      <c r="I2144" s="420"/>
      <c r="J2144" s="420"/>
      <c r="K2144" s="421">
        <f t="shared" si="549"/>
        <v>0</v>
      </c>
      <c r="L2144" s="647"/>
      <c r="M2144" s="723"/>
      <c r="N2144" s="576">
        <f t="shared" si="559"/>
        <v>0</v>
      </c>
      <c r="O2144" s="577">
        <f t="shared" si="552"/>
        <v>0</v>
      </c>
      <c r="P2144" s="578">
        <f t="shared" si="553"/>
        <v>0</v>
      </c>
      <c r="Q2144" s="765"/>
      <c r="R2144" s="723"/>
      <c r="S2144" s="723"/>
      <c r="T2144" s="577">
        <f t="shared" si="550"/>
        <v>0</v>
      </c>
      <c r="U2144" s="578">
        <f t="shared" si="551"/>
        <v>0</v>
      </c>
      <c r="V2144" s="579"/>
      <c r="W2144" s="566" t="str">
        <f>IF(U2143&gt;0,"xx",IF(P2143&gt;0,"xy",""))</f>
        <v/>
      </c>
      <c r="X2144" s="586" t="str">
        <f t="shared" si="556"/>
        <v/>
      </c>
      <c r="Y2144" s="586" t="str">
        <f t="shared" si="531"/>
        <v/>
      </c>
      <c r="Z2144" s="586" t="str">
        <f t="shared" si="542"/>
        <v/>
      </c>
    </row>
    <row r="2145" spans="1:26" ht="12" hidden="1" thickBot="1" x14ac:dyDescent="0.25">
      <c r="A2145" s="567" t="s">
        <v>168</v>
      </c>
      <c r="B2145" s="644" t="s">
        <v>168</v>
      </c>
      <c r="C2145" s="645"/>
      <c r="D2145" s="422" t="s">
        <v>248</v>
      </c>
      <c r="E2145" s="423"/>
      <c r="F2145" s="424">
        <v>180</v>
      </c>
      <c r="G2145" s="425">
        <v>0.33429999999999999</v>
      </c>
      <c r="H2145" s="663">
        <f t="shared" ref="H2145:H2147" si="562">IF(F2145&lt;=30,(1.07*F2145+2.68)*G2145,((1.07*30+2.68)+1.07*(F2145-30))*G2145)</f>
        <v>65.282104000000004</v>
      </c>
      <c r="I2145" s="420"/>
      <c r="J2145" s="420"/>
      <c r="K2145" s="421">
        <f t="shared" si="549"/>
        <v>0</v>
      </c>
      <c r="L2145" s="647"/>
      <c r="M2145" s="723"/>
      <c r="N2145" s="576">
        <f t="shared" si="559"/>
        <v>0</v>
      </c>
      <c r="O2145" s="577">
        <f t="shared" si="552"/>
        <v>0</v>
      </c>
      <c r="P2145" s="578">
        <f t="shared" si="553"/>
        <v>0</v>
      </c>
      <c r="Q2145" s="765"/>
      <c r="R2145" s="723"/>
      <c r="S2145" s="723"/>
      <c r="T2145" s="577">
        <f t="shared" si="550"/>
        <v>0</v>
      </c>
      <c r="U2145" s="578">
        <f t="shared" si="551"/>
        <v>0</v>
      </c>
      <c r="V2145" s="579"/>
      <c r="W2145" s="566" t="str">
        <f>IF(U2143&gt;0,"xx",IF(P2143&gt;0,"xy",""))</f>
        <v/>
      </c>
      <c r="X2145" s="586" t="str">
        <f t="shared" si="556"/>
        <v/>
      </c>
      <c r="Y2145" s="586" t="str">
        <f t="shared" si="531"/>
        <v/>
      </c>
      <c r="Z2145" s="586" t="str">
        <f t="shared" si="542"/>
        <v/>
      </c>
    </row>
    <row r="2146" spans="1:26" ht="12" hidden="1" thickBot="1" x14ac:dyDescent="0.25">
      <c r="A2146" s="567" t="s">
        <v>168</v>
      </c>
      <c r="B2146" s="644" t="s">
        <v>168</v>
      </c>
      <c r="C2146" s="645"/>
      <c r="D2146" s="422" t="s">
        <v>252</v>
      </c>
      <c r="E2146" s="423"/>
      <c r="F2146" s="424">
        <v>20</v>
      </c>
      <c r="G2146" s="425">
        <v>0.56440000000000001</v>
      </c>
      <c r="H2146" s="663">
        <f t="shared" si="562"/>
        <v>13.590752000000002</v>
      </c>
      <c r="I2146" s="420"/>
      <c r="J2146" s="420"/>
      <c r="K2146" s="421">
        <f t="shared" si="549"/>
        <v>0</v>
      </c>
      <c r="L2146" s="647"/>
      <c r="M2146" s="723"/>
      <c r="N2146" s="576">
        <f t="shared" si="559"/>
        <v>0</v>
      </c>
      <c r="O2146" s="577">
        <f t="shared" si="552"/>
        <v>0</v>
      </c>
      <c r="P2146" s="578">
        <f t="shared" si="553"/>
        <v>0</v>
      </c>
      <c r="Q2146" s="765"/>
      <c r="R2146" s="723"/>
      <c r="S2146" s="723"/>
      <c r="T2146" s="577">
        <f t="shared" si="550"/>
        <v>0</v>
      </c>
      <c r="U2146" s="578">
        <f t="shared" si="551"/>
        <v>0</v>
      </c>
      <c r="V2146" s="579"/>
      <c r="W2146" s="566" t="str">
        <f>IF(U2143&gt;0,"xx",IF(P2143&gt;0,"xy",""))</f>
        <v/>
      </c>
      <c r="X2146" s="586" t="str">
        <f t="shared" si="556"/>
        <v/>
      </c>
      <c r="Y2146" s="586" t="str">
        <f t="shared" si="531"/>
        <v/>
      </c>
      <c r="Z2146" s="586" t="str">
        <f t="shared" si="542"/>
        <v/>
      </c>
    </row>
    <row r="2147" spans="1:26" ht="12" hidden="1" thickBot="1" x14ac:dyDescent="0.25">
      <c r="A2147" s="567" t="s">
        <v>168</v>
      </c>
      <c r="B2147" s="644" t="s">
        <v>168</v>
      </c>
      <c r="C2147" s="645"/>
      <c r="D2147" s="422" t="s">
        <v>347</v>
      </c>
      <c r="E2147" s="423"/>
      <c r="F2147" s="424">
        <v>20</v>
      </c>
      <c r="G2147" s="425">
        <v>1</v>
      </c>
      <c r="H2147" s="663">
        <f t="shared" si="562"/>
        <v>24.080000000000002</v>
      </c>
      <c r="I2147" s="420"/>
      <c r="J2147" s="420"/>
      <c r="K2147" s="421">
        <f t="shared" si="549"/>
        <v>0</v>
      </c>
      <c r="L2147" s="647"/>
      <c r="M2147" s="723"/>
      <c r="N2147" s="576">
        <f t="shared" si="559"/>
        <v>0</v>
      </c>
      <c r="O2147" s="577">
        <f t="shared" si="552"/>
        <v>0</v>
      </c>
      <c r="P2147" s="578">
        <f t="shared" si="553"/>
        <v>0</v>
      </c>
      <c r="Q2147" s="765"/>
      <c r="R2147" s="723"/>
      <c r="S2147" s="723"/>
      <c r="T2147" s="577">
        <f t="shared" si="550"/>
        <v>0</v>
      </c>
      <c r="U2147" s="578">
        <f t="shared" si="551"/>
        <v>0</v>
      </c>
      <c r="V2147" s="579"/>
      <c r="W2147" s="566" t="str">
        <f>IF(U2143&gt;0,"xx",IF(P2143&gt;0,"xy",""))</f>
        <v/>
      </c>
      <c r="X2147" s="586" t="str">
        <f t="shared" si="556"/>
        <v/>
      </c>
      <c r="Y2147" s="586" t="str">
        <f t="shared" si="531"/>
        <v/>
      </c>
      <c r="Z2147" s="586" t="str">
        <f t="shared" si="542"/>
        <v/>
      </c>
    </row>
    <row r="2148" spans="1:26" ht="12" hidden="1" thickBot="1" x14ac:dyDescent="0.25">
      <c r="A2148" s="567">
        <v>611300</v>
      </c>
      <c r="B2148" s="644">
        <v>611300</v>
      </c>
      <c r="C2148" s="645" t="s">
        <v>206</v>
      </c>
      <c r="D2148" s="422" t="s">
        <v>396</v>
      </c>
      <c r="E2148" s="423"/>
      <c r="F2148" s="424"/>
      <c r="G2148" s="425"/>
      <c r="H2148" s="651">
        <f>SUM(H2149:H2152)</f>
        <v>194.57126400000004</v>
      </c>
      <c r="I2148" s="420">
        <v>1318.96</v>
      </c>
      <c r="J2148" s="420">
        <f>IF(ISBLANK(I2148),"",SUM(H2148:I2148))</f>
        <v>1513.5312640000002</v>
      </c>
      <c r="K2148" s="421">
        <f t="shared" si="549"/>
        <v>1798.23</v>
      </c>
      <c r="L2148" s="647" t="s">
        <v>19</v>
      </c>
      <c r="M2148" s="576"/>
      <c r="N2148" s="576">
        <f t="shared" si="559"/>
        <v>0</v>
      </c>
      <c r="O2148" s="577">
        <f t="shared" si="552"/>
        <v>0</v>
      </c>
      <c r="P2148" s="578">
        <f t="shared" si="553"/>
        <v>0</v>
      </c>
      <c r="Q2148" s="765"/>
      <c r="R2148" s="576">
        <f>M2148</f>
        <v>0</v>
      </c>
      <c r="S2148" s="576">
        <f>N2148</f>
        <v>0</v>
      </c>
      <c r="T2148" s="577">
        <f t="shared" si="550"/>
        <v>0</v>
      </c>
      <c r="U2148" s="578">
        <f t="shared" si="551"/>
        <v>0</v>
      </c>
      <c r="V2148" s="579"/>
      <c r="W2148" s="566"/>
      <c r="X2148" s="586" t="str">
        <f t="shared" si="556"/>
        <v/>
      </c>
      <c r="Y2148" s="586" t="str">
        <f t="shared" si="531"/>
        <v/>
      </c>
      <c r="Z2148" s="586" t="str">
        <f t="shared" si="542"/>
        <v/>
      </c>
    </row>
    <row r="2149" spans="1:26" ht="12" hidden="1" thickBot="1" x14ac:dyDescent="0.25">
      <c r="A2149" s="567" t="s">
        <v>168</v>
      </c>
      <c r="B2149" s="644" t="s">
        <v>168</v>
      </c>
      <c r="C2149" s="645"/>
      <c r="D2149" s="422" t="s">
        <v>212</v>
      </c>
      <c r="E2149" s="423"/>
      <c r="F2149" s="424">
        <v>500</v>
      </c>
      <c r="G2149" s="425">
        <v>0.12720000000000001</v>
      </c>
      <c r="H2149" s="649">
        <f>IF(F2149&lt;=30,(0.78*F2149+7.82)*G2149,((0.78*30+7.82)+0.78*(F2149-30))*G2149)</f>
        <v>50.60270400000001</v>
      </c>
      <c r="I2149" s="420"/>
      <c r="J2149" s="420"/>
      <c r="K2149" s="421">
        <f t="shared" si="549"/>
        <v>0</v>
      </c>
      <c r="L2149" s="647"/>
      <c r="M2149" s="723"/>
      <c r="N2149" s="576">
        <f t="shared" si="559"/>
        <v>0</v>
      </c>
      <c r="O2149" s="577">
        <f t="shared" si="552"/>
        <v>0</v>
      </c>
      <c r="P2149" s="578">
        <f t="shared" si="553"/>
        <v>0</v>
      </c>
      <c r="Q2149" s="765"/>
      <c r="R2149" s="723"/>
      <c r="S2149" s="723"/>
      <c r="T2149" s="577">
        <f t="shared" si="550"/>
        <v>0</v>
      </c>
      <c r="U2149" s="578">
        <f t="shared" si="551"/>
        <v>0</v>
      </c>
      <c r="V2149" s="579"/>
      <c r="W2149" s="566" t="str">
        <f>IF(U2148&gt;0,"xx",IF(P2148&gt;0,"xy",""))</f>
        <v/>
      </c>
      <c r="X2149" s="586" t="str">
        <f t="shared" si="556"/>
        <v/>
      </c>
      <c r="Y2149" s="586" t="str">
        <f t="shared" si="531"/>
        <v/>
      </c>
      <c r="Z2149" s="586" t="str">
        <f t="shared" si="542"/>
        <v/>
      </c>
    </row>
    <row r="2150" spans="1:26" ht="12" hidden="1" thickBot="1" x14ac:dyDescent="0.25">
      <c r="A2150" s="567" t="s">
        <v>168</v>
      </c>
      <c r="B2150" s="644" t="s">
        <v>168</v>
      </c>
      <c r="C2150" s="645"/>
      <c r="D2150" s="422" t="s">
        <v>248</v>
      </c>
      <c r="E2150" s="423"/>
      <c r="F2150" s="424">
        <v>180</v>
      </c>
      <c r="G2150" s="425">
        <v>0.46300000000000002</v>
      </c>
      <c r="H2150" s="663">
        <f t="shared" ref="H2150:H2152" si="563">IF(F2150&lt;=30,(1.07*F2150+2.68)*G2150,((1.07*30+2.68)+1.07*(F2150-30))*G2150)</f>
        <v>90.414640000000006</v>
      </c>
      <c r="I2150" s="420"/>
      <c r="J2150" s="420"/>
      <c r="K2150" s="421">
        <f t="shared" si="549"/>
        <v>0</v>
      </c>
      <c r="L2150" s="647"/>
      <c r="M2150" s="723"/>
      <c r="N2150" s="576">
        <f t="shared" si="559"/>
        <v>0</v>
      </c>
      <c r="O2150" s="577">
        <f t="shared" si="552"/>
        <v>0</v>
      </c>
      <c r="P2150" s="578">
        <f t="shared" si="553"/>
        <v>0</v>
      </c>
      <c r="Q2150" s="765"/>
      <c r="R2150" s="723"/>
      <c r="S2150" s="723"/>
      <c r="T2150" s="577">
        <f t="shared" si="550"/>
        <v>0</v>
      </c>
      <c r="U2150" s="578">
        <f t="shared" si="551"/>
        <v>0</v>
      </c>
      <c r="V2150" s="579"/>
      <c r="W2150" s="566" t="str">
        <f>IF(U2148&gt;0,"xx",IF(P2148&gt;0,"xy",""))</f>
        <v/>
      </c>
      <c r="X2150" s="586" t="str">
        <f t="shared" si="556"/>
        <v/>
      </c>
      <c r="Y2150" s="586" t="str">
        <f t="shared" si="531"/>
        <v/>
      </c>
      <c r="Z2150" s="586" t="str">
        <f t="shared" si="542"/>
        <v/>
      </c>
    </row>
    <row r="2151" spans="1:26" ht="12" hidden="1" thickBot="1" x14ac:dyDescent="0.25">
      <c r="A2151" s="567" t="s">
        <v>168</v>
      </c>
      <c r="B2151" s="644" t="s">
        <v>168</v>
      </c>
      <c r="C2151" s="645"/>
      <c r="D2151" s="422" t="s">
        <v>252</v>
      </c>
      <c r="E2151" s="423"/>
      <c r="F2151" s="424">
        <v>20</v>
      </c>
      <c r="G2151" s="425">
        <v>0.78400000000000003</v>
      </c>
      <c r="H2151" s="663">
        <f t="shared" si="563"/>
        <v>18.878720000000001</v>
      </c>
      <c r="I2151" s="420"/>
      <c r="J2151" s="420"/>
      <c r="K2151" s="421">
        <f t="shared" si="549"/>
        <v>0</v>
      </c>
      <c r="L2151" s="647"/>
      <c r="M2151" s="723"/>
      <c r="N2151" s="576">
        <f t="shared" si="559"/>
        <v>0</v>
      </c>
      <c r="O2151" s="577">
        <f t="shared" si="552"/>
        <v>0</v>
      </c>
      <c r="P2151" s="578">
        <f t="shared" si="553"/>
        <v>0</v>
      </c>
      <c r="Q2151" s="765"/>
      <c r="R2151" s="723"/>
      <c r="S2151" s="723"/>
      <c r="T2151" s="577">
        <f t="shared" si="550"/>
        <v>0</v>
      </c>
      <c r="U2151" s="578">
        <f t="shared" si="551"/>
        <v>0</v>
      </c>
      <c r="V2151" s="579"/>
      <c r="W2151" s="566" t="str">
        <f>IF(U2148&gt;0,"xx",IF(P2148&gt;0,"xy",""))</f>
        <v/>
      </c>
      <c r="X2151" s="586" t="str">
        <f t="shared" si="556"/>
        <v/>
      </c>
      <c r="Y2151" s="586" t="str">
        <f t="shared" si="531"/>
        <v/>
      </c>
      <c r="Z2151" s="586" t="str">
        <f t="shared" si="542"/>
        <v/>
      </c>
    </row>
    <row r="2152" spans="1:26" ht="12" hidden="1" thickBot="1" x14ac:dyDescent="0.25">
      <c r="A2152" s="567" t="s">
        <v>168</v>
      </c>
      <c r="B2152" s="644" t="s">
        <v>168</v>
      </c>
      <c r="C2152" s="645"/>
      <c r="D2152" s="422" t="s">
        <v>347</v>
      </c>
      <c r="E2152" s="423"/>
      <c r="F2152" s="424">
        <v>20</v>
      </c>
      <c r="G2152" s="425">
        <v>1.44</v>
      </c>
      <c r="H2152" s="663">
        <f t="shared" si="563"/>
        <v>34.675200000000004</v>
      </c>
      <c r="I2152" s="420"/>
      <c r="J2152" s="420"/>
      <c r="K2152" s="421">
        <f t="shared" si="549"/>
        <v>0</v>
      </c>
      <c r="L2152" s="647"/>
      <c r="M2152" s="723"/>
      <c r="N2152" s="576">
        <f t="shared" si="559"/>
        <v>0</v>
      </c>
      <c r="O2152" s="577">
        <f t="shared" si="552"/>
        <v>0</v>
      </c>
      <c r="P2152" s="578">
        <f t="shared" si="553"/>
        <v>0</v>
      </c>
      <c r="Q2152" s="765"/>
      <c r="R2152" s="723"/>
      <c r="S2152" s="723"/>
      <c r="T2152" s="577">
        <f t="shared" si="550"/>
        <v>0</v>
      </c>
      <c r="U2152" s="578">
        <f t="shared" si="551"/>
        <v>0</v>
      </c>
      <c r="V2152" s="579"/>
      <c r="W2152" s="566" t="str">
        <f>IF(U2148&gt;0,"xx",IF(P2148&gt;0,"xy",""))</f>
        <v/>
      </c>
      <c r="X2152" s="586" t="str">
        <f t="shared" si="556"/>
        <v/>
      </c>
      <c r="Y2152" s="586" t="str">
        <f t="shared" si="531"/>
        <v/>
      </c>
      <c r="Z2152" s="586" t="str">
        <f t="shared" ref="Z2152:Z2215" si="564">IF(W2152="X","x",IF(U2152&gt;0,"x",""))</f>
        <v/>
      </c>
    </row>
    <row r="2153" spans="1:26" ht="12" hidden="1" thickBot="1" x14ac:dyDescent="0.25">
      <c r="A2153" s="567">
        <v>611500</v>
      </c>
      <c r="B2153" s="644" t="s">
        <v>1701</v>
      </c>
      <c r="C2153" s="645" t="s">
        <v>206</v>
      </c>
      <c r="D2153" s="422" t="s">
        <v>397</v>
      </c>
      <c r="E2153" s="423"/>
      <c r="F2153" s="424"/>
      <c r="G2153" s="425"/>
      <c r="H2153" s="651">
        <f>SUM(H2154:H2157)</f>
        <v>274.56131600000003</v>
      </c>
      <c r="I2153" s="420">
        <v>1721.3</v>
      </c>
      <c r="J2153" s="420">
        <f>IF(ISBLANK(I2153),"",SUM(H2153:I2153))</f>
        <v>1995.861316</v>
      </c>
      <c r="K2153" s="421">
        <f t="shared" si="549"/>
        <v>2371.2800000000002</v>
      </c>
      <c r="L2153" s="647" t="s">
        <v>19</v>
      </c>
      <c r="M2153" s="576"/>
      <c r="N2153" s="576">
        <f t="shared" si="559"/>
        <v>0</v>
      </c>
      <c r="O2153" s="577">
        <f t="shared" si="552"/>
        <v>0</v>
      </c>
      <c r="P2153" s="578">
        <f t="shared" si="553"/>
        <v>0</v>
      </c>
      <c r="Q2153" s="765"/>
      <c r="R2153" s="576">
        <f>M2153</f>
        <v>0</v>
      </c>
      <c r="S2153" s="576">
        <f>N2153</f>
        <v>0</v>
      </c>
      <c r="T2153" s="577">
        <f t="shared" si="550"/>
        <v>0</v>
      </c>
      <c r="U2153" s="578">
        <f t="shared" si="551"/>
        <v>0</v>
      </c>
      <c r="V2153" s="579"/>
      <c r="W2153" s="566"/>
      <c r="X2153" s="586" t="str">
        <f t="shared" si="556"/>
        <v/>
      </c>
      <c r="Y2153" s="586" t="str">
        <f t="shared" si="531"/>
        <v/>
      </c>
      <c r="Z2153" s="586" t="str">
        <f t="shared" si="564"/>
        <v/>
      </c>
    </row>
    <row r="2154" spans="1:26" ht="12" hidden="1" thickBot="1" x14ac:dyDescent="0.25">
      <c r="A2154" s="567" t="s">
        <v>168</v>
      </c>
      <c r="B2154" s="644" t="s">
        <v>168</v>
      </c>
      <c r="C2154" s="645"/>
      <c r="D2154" s="422" t="s">
        <v>212</v>
      </c>
      <c r="E2154" s="423"/>
      <c r="F2154" s="424">
        <v>500</v>
      </c>
      <c r="G2154" s="425">
        <v>0.187</v>
      </c>
      <c r="H2154" s="649">
        <f>IF(F2154&lt;=30,(0.78*F2154+7.82)*G2154,((0.78*30+7.82)+0.78*(F2154-30))*G2154)</f>
        <v>74.392340000000004</v>
      </c>
      <c r="I2154" s="420"/>
      <c r="J2154" s="420"/>
      <c r="K2154" s="421">
        <f t="shared" si="549"/>
        <v>0</v>
      </c>
      <c r="L2154" s="647"/>
      <c r="M2154" s="723"/>
      <c r="N2154" s="576">
        <f t="shared" si="559"/>
        <v>0</v>
      </c>
      <c r="O2154" s="577">
        <f t="shared" si="552"/>
        <v>0</v>
      </c>
      <c r="P2154" s="578">
        <f t="shared" si="553"/>
        <v>0</v>
      </c>
      <c r="Q2154" s="765"/>
      <c r="R2154" s="723"/>
      <c r="S2154" s="723"/>
      <c r="T2154" s="577">
        <f t="shared" si="550"/>
        <v>0</v>
      </c>
      <c r="U2154" s="578">
        <f t="shared" si="551"/>
        <v>0</v>
      </c>
      <c r="V2154" s="579"/>
      <c r="W2154" s="566" t="str">
        <f>IF(U2153&gt;0,"xx",IF(P2153&gt;0,"xy",""))</f>
        <v/>
      </c>
      <c r="X2154" s="586" t="str">
        <f t="shared" si="556"/>
        <v/>
      </c>
      <c r="Y2154" s="586" t="str">
        <f t="shared" si="531"/>
        <v/>
      </c>
      <c r="Z2154" s="586" t="str">
        <f t="shared" si="564"/>
        <v/>
      </c>
    </row>
    <row r="2155" spans="1:26" ht="12" hidden="1" thickBot="1" x14ac:dyDescent="0.25">
      <c r="A2155" s="567" t="s">
        <v>168</v>
      </c>
      <c r="B2155" s="644" t="s">
        <v>168</v>
      </c>
      <c r="C2155" s="645"/>
      <c r="D2155" s="422" t="s">
        <v>248</v>
      </c>
      <c r="E2155" s="423"/>
      <c r="F2155" s="424">
        <v>180</v>
      </c>
      <c r="G2155" s="425">
        <v>0.67830000000000001</v>
      </c>
      <c r="H2155" s="663">
        <f t="shared" ref="H2155:H2157" si="565">IF(F2155&lt;=30,(1.07*F2155+2.68)*G2155,((1.07*30+2.68)+1.07*(F2155-30))*G2155)</f>
        <v>132.45842400000001</v>
      </c>
      <c r="I2155" s="420"/>
      <c r="J2155" s="420"/>
      <c r="K2155" s="421">
        <f t="shared" si="549"/>
        <v>0</v>
      </c>
      <c r="L2155" s="647"/>
      <c r="M2155" s="723"/>
      <c r="N2155" s="576">
        <f t="shared" si="559"/>
        <v>0</v>
      </c>
      <c r="O2155" s="577">
        <f t="shared" si="552"/>
        <v>0</v>
      </c>
      <c r="P2155" s="578">
        <f t="shared" si="553"/>
        <v>0</v>
      </c>
      <c r="Q2155" s="765"/>
      <c r="R2155" s="723"/>
      <c r="S2155" s="723"/>
      <c r="T2155" s="577">
        <f t="shared" si="550"/>
        <v>0</v>
      </c>
      <c r="U2155" s="578">
        <f t="shared" si="551"/>
        <v>0</v>
      </c>
      <c r="V2155" s="579"/>
      <c r="W2155" s="566" t="str">
        <f>IF(U2153&gt;0,"xx",IF(P2153&gt;0,"xy",""))</f>
        <v/>
      </c>
      <c r="X2155" s="586" t="str">
        <f t="shared" si="556"/>
        <v/>
      </c>
      <c r="Y2155" s="586" t="str">
        <f t="shared" si="531"/>
        <v/>
      </c>
      <c r="Z2155" s="586" t="str">
        <f t="shared" si="564"/>
        <v/>
      </c>
    </row>
    <row r="2156" spans="1:26" ht="12" hidden="1" thickBot="1" x14ac:dyDescent="0.25">
      <c r="A2156" s="567" t="s">
        <v>168</v>
      </c>
      <c r="B2156" s="644" t="s">
        <v>168</v>
      </c>
      <c r="C2156" s="645"/>
      <c r="D2156" s="422" t="s">
        <v>252</v>
      </c>
      <c r="E2156" s="423"/>
      <c r="F2156" s="424">
        <v>20</v>
      </c>
      <c r="G2156" s="425">
        <v>1.1618999999999999</v>
      </c>
      <c r="H2156" s="663">
        <f t="shared" si="565"/>
        <v>27.978552000000001</v>
      </c>
      <c r="I2156" s="420"/>
      <c r="J2156" s="420"/>
      <c r="K2156" s="421">
        <f t="shared" si="549"/>
        <v>0</v>
      </c>
      <c r="L2156" s="647"/>
      <c r="M2156" s="723"/>
      <c r="N2156" s="576">
        <f t="shared" si="559"/>
        <v>0</v>
      </c>
      <c r="O2156" s="577">
        <f t="shared" si="552"/>
        <v>0</v>
      </c>
      <c r="P2156" s="578">
        <f t="shared" si="553"/>
        <v>0</v>
      </c>
      <c r="Q2156" s="765"/>
      <c r="R2156" s="723"/>
      <c r="S2156" s="723"/>
      <c r="T2156" s="577">
        <f t="shared" si="550"/>
        <v>0</v>
      </c>
      <c r="U2156" s="578">
        <f t="shared" si="551"/>
        <v>0</v>
      </c>
      <c r="V2156" s="579"/>
      <c r="W2156" s="566" t="str">
        <f>IF(U2153&gt;0,"xx",IF(P2153&gt;0,"xy",""))</f>
        <v/>
      </c>
      <c r="X2156" s="586" t="str">
        <f t="shared" si="556"/>
        <v/>
      </c>
      <c r="Y2156" s="586" t="str">
        <f t="shared" si="531"/>
        <v/>
      </c>
      <c r="Z2156" s="586" t="str">
        <f t="shared" si="564"/>
        <v/>
      </c>
    </row>
    <row r="2157" spans="1:26" ht="12" hidden="1" thickBot="1" x14ac:dyDescent="0.25">
      <c r="A2157" s="567" t="s">
        <v>168</v>
      </c>
      <c r="B2157" s="644" t="s">
        <v>168</v>
      </c>
      <c r="C2157" s="645"/>
      <c r="D2157" s="422" t="s">
        <v>347</v>
      </c>
      <c r="E2157" s="423"/>
      <c r="F2157" s="424">
        <v>20</v>
      </c>
      <c r="G2157" s="425">
        <v>1.65</v>
      </c>
      <c r="H2157" s="663">
        <f t="shared" si="565"/>
        <v>39.731999999999999</v>
      </c>
      <c r="I2157" s="420"/>
      <c r="J2157" s="420"/>
      <c r="K2157" s="421">
        <f t="shared" si="549"/>
        <v>0</v>
      </c>
      <c r="L2157" s="647"/>
      <c r="M2157" s="723"/>
      <c r="N2157" s="576">
        <f t="shared" si="559"/>
        <v>0</v>
      </c>
      <c r="O2157" s="577">
        <f t="shared" si="552"/>
        <v>0</v>
      </c>
      <c r="P2157" s="578">
        <f t="shared" si="553"/>
        <v>0</v>
      </c>
      <c r="Q2157" s="765"/>
      <c r="R2157" s="723"/>
      <c r="S2157" s="723"/>
      <c r="T2157" s="577">
        <f t="shared" si="550"/>
        <v>0</v>
      </c>
      <c r="U2157" s="578">
        <f t="shared" si="551"/>
        <v>0</v>
      </c>
      <c r="V2157" s="579"/>
      <c r="W2157" s="566" t="str">
        <f>IF(U2153&gt;0,"xx",IF(P2153&gt;0,"xy",""))</f>
        <v/>
      </c>
      <c r="X2157" s="586" t="str">
        <f t="shared" si="556"/>
        <v/>
      </c>
      <c r="Y2157" s="586" t="str">
        <f t="shared" si="531"/>
        <v/>
      </c>
      <c r="Z2157" s="586" t="str">
        <f t="shared" si="564"/>
        <v/>
      </c>
    </row>
    <row r="2158" spans="1:26" ht="12" hidden="1" thickBot="1" x14ac:dyDescent="0.25">
      <c r="A2158" s="567">
        <v>611500</v>
      </c>
      <c r="B2158" s="644" t="s">
        <v>1702</v>
      </c>
      <c r="C2158" s="645" t="s">
        <v>206</v>
      </c>
      <c r="D2158" s="422" t="s">
        <v>398</v>
      </c>
      <c r="E2158" s="423"/>
      <c r="F2158" s="424"/>
      <c r="G2158" s="425"/>
      <c r="H2158" s="651">
        <f>SUM(H2159:H2162)</f>
        <v>377.75290999999999</v>
      </c>
      <c r="I2158" s="420">
        <v>2241.7736</v>
      </c>
      <c r="J2158" s="420">
        <f>IF(ISBLANK(I2158),"",SUM(H2158:I2158))</f>
        <v>2619.5265100000001</v>
      </c>
      <c r="K2158" s="421">
        <f t="shared" si="549"/>
        <v>3112.26</v>
      </c>
      <c r="L2158" s="647" t="s">
        <v>19</v>
      </c>
      <c r="M2158" s="576"/>
      <c r="N2158" s="576">
        <f t="shared" si="559"/>
        <v>0</v>
      </c>
      <c r="O2158" s="577">
        <f t="shared" si="552"/>
        <v>0</v>
      </c>
      <c r="P2158" s="578">
        <f t="shared" si="553"/>
        <v>0</v>
      </c>
      <c r="Q2158" s="765"/>
      <c r="R2158" s="576">
        <f>M2158</f>
        <v>0</v>
      </c>
      <c r="S2158" s="576">
        <f>N2158</f>
        <v>0</v>
      </c>
      <c r="T2158" s="577">
        <f t="shared" si="550"/>
        <v>0</v>
      </c>
      <c r="U2158" s="578">
        <f t="shared" si="551"/>
        <v>0</v>
      </c>
      <c r="V2158" s="579"/>
      <c r="W2158" s="566"/>
      <c r="X2158" s="586" t="str">
        <f t="shared" si="556"/>
        <v/>
      </c>
      <c r="Y2158" s="586" t="str">
        <f t="shared" si="531"/>
        <v/>
      </c>
      <c r="Z2158" s="586" t="str">
        <f t="shared" si="564"/>
        <v/>
      </c>
    </row>
    <row r="2159" spans="1:26" ht="12" hidden="1" thickBot="1" x14ac:dyDescent="0.25">
      <c r="A2159" s="567" t="s">
        <v>168</v>
      </c>
      <c r="B2159" s="644" t="s">
        <v>168</v>
      </c>
      <c r="C2159" s="645"/>
      <c r="D2159" s="422" t="s">
        <v>212</v>
      </c>
      <c r="E2159" s="423"/>
      <c r="F2159" s="424">
        <v>500</v>
      </c>
      <c r="G2159" s="425">
        <v>0.27410000000000001</v>
      </c>
      <c r="H2159" s="649">
        <f>IF(F2159&lt;=30,(0.78*F2159+7.82)*G2159,((0.78*30+7.82)+0.78*(F2159-30))*G2159)</f>
        <v>109.04246200000001</v>
      </c>
      <c r="I2159" s="420"/>
      <c r="J2159" s="420"/>
      <c r="K2159" s="421">
        <f t="shared" si="549"/>
        <v>0</v>
      </c>
      <c r="L2159" s="647"/>
      <c r="M2159" s="723"/>
      <c r="N2159" s="576">
        <f t="shared" si="559"/>
        <v>0</v>
      </c>
      <c r="O2159" s="577">
        <f t="shared" si="552"/>
        <v>0</v>
      </c>
      <c r="P2159" s="578">
        <f t="shared" si="553"/>
        <v>0</v>
      </c>
      <c r="Q2159" s="765"/>
      <c r="R2159" s="723"/>
      <c r="S2159" s="723"/>
      <c r="T2159" s="577">
        <f t="shared" si="550"/>
        <v>0</v>
      </c>
      <c r="U2159" s="578">
        <f t="shared" si="551"/>
        <v>0</v>
      </c>
      <c r="V2159" s="579"/>
      <c r="W2159" s="566" t="str">
        <f>IF(U2158&gt;0,"xx",IF(P2158&gt;0,"xy",""))</f>
        <v/>
      </c>
      <c r="X2159" s="586" t="str">
        <f t="shared" si="556"/>
        <v/>
      </c>
      <c r="Y2159" s="586" t="str">
        <f t="shared" si="531"/>
        <v/>
      </c>
      <c r="Z2159" s="586" t="str">
        <f t="shared" si="564"/>
        <v/>
      </c>
    </row>
    <row r="2160" spans="1:26" ht="12" hidden="1" thickBot="1" x14ac:dyDescent="0.25">
      <c r="A2160" s="567" t="s">
        <v>168</v>
      </c>
      <c r="B2160" s="644" t="s">
        <v>168</v>
      </c>
      <c r="C2160" s="645"/>
      <c r="D2160" s="422" t="s">
        <v>248</v>
      </c>
      <c r="E2160" s="423"/>
      <c r="F2160" s="424">
        <v>180</v>
      </c>
      <c r="G2160" s="425">
        <v>0.9748</v>
      </c>
      <c r="H2160" s="663">
        <f t="shared" ref="H2160:H2162" si="566">IF(F2160&lt;=30,(1.07*F2160+2.68)*G2160,((1.07*30+2.68)+1.07*(F2160-30))*G2160)</f>
        <v>190.35894400000001</v>
      </c>
      <c r="I2160" s="420"/>
      <c r="J2160" s="420"/>
      <c r="K2160" s="421">
        <f t="shared" si="549"/>
        <v>0</v>
      </c>
      <c r="L2160" s="647"/>
      <c r="M2160" s="723"/>
      <c r="N2160" s="576">
        <f t="shared" si="559"/>
        <v>0</v>
      </c>
      <c r="O2160" s="577">
        <f t="shared" si="552"/>
        <v>0</v>
      </c>
      <c r="P2160" s="578">
        <f t="shared" si="553"/>
        <v>0</v>
      </c>
      <c r="Q2160" s="765"/>
      <c r="R2160" s="723"/>
      <c r="S2160" s="723"/>
      <c r="T2160" s="577">
        <f t="shared" si="550"/>
        <v>0</v>
      </c>
      <c r="U2160" s="578">
        <f t="shared" si="551"/>
        <v>0</v>
      </c>
      <c r="V2160" s="579"/>
      <c r="W2160" s="566" t="str">
        <f>IF(U2158&gt;0,"xx",IF(P2158&gt;0,"xy",""))</f>
        <v/>
      </c>
      <c r="X2160" s="586" t="str">
        <f t="shared" si="556"/>
        <v/>
      </c>
      <c r="Y2160" s="586" t="str">
        <f t="shared" si="531"/>
        <v/>
      </c>
      <c r="Z2160" s="586" t="str">
        <f t="shared" si="564"/>
        <v/>
      </c>
    </row>
    <row r="2161" spans="1:26" ht="12" hidden="1" thickBot="1" x14ac:dyDescent="0.25">
      <c r="A2161" s="567" t="s">
        <v>168</v>
      </c>
      <c r="B2161" s="644" t="s">
        <v>168</v>
      </c>
      <c r="C2161" s="645"/>
      <c r="D2161" s="422" t="s">
        <v>252</v>
      </c>
      <c r="E2161" s="423"/>
      <c r="F2161" s="424">
        <v>20</v>
      </c>
      <c r="G2161" s="425">
        <v>2.2538</v>
      </c>
      <c r="H2161" s="663">
        <f t="shared" si="566"/>
        <v>54.271504000000007</v>
      </c>
      <c r="I2161" s="420"/>
      <c r="J2161" s="420"/>
      <c r="K2161" s="421">
        <f t="shared" si="549"/>
        <v>0</v>
      </c>
      <c r="L2161" s="647"/>
      <c r="M2161" s="723"/>
      <c r="N2161" s="576">
        <f t="shared" si="559"/>
        <v>0</v>
      </c>
      <c r="O2161" s="577">
        <f t="shared" si="552"/>
        <v>0</v>
      </c>
      <c r="P2161" s="578">
        <f t="shared" si="553"/>
        <v>0</v>
      </c>
      <c r="Q2161" s="765"/>
      <c r="R2161" s="723"/>
      <c r="S2161" s="723"/>
      <c r="T2161" s="577">
        <f t="shared" si="550"/>
        <v>0</v>
      </c>
      <c r="U2161" s="578">
        <f t="shared" si="551"/>
        <v>0</v>
      </c>
      <c r="V2161" s="579"/>
      <c r="W2161" s="566" t="str">
        <f>IF(U2158&gt;0,"xx",IF(P2158&gt;0,"xy",""))</f>
        <v/>
      </c>
      <c r="X2161" s="586" t="str">
        <f t="shared" si="556"/>
        <v/>
      </c>
      <c r="Y2161" s="586" t="str">
        <f t="shared" si="531"/>
        <v/>
      </c>
      <c r="Z2161" s="586" t="str">
        <f t="shared" si="564"/>
        <v/>
      </c>
    </row>
    <row r="2162" spans="1:26" ht="12" hidden="1" thickBot="1" x14ac:dyDescent="0.25">
      <c r="A2162" s="567" t="s">
        <v>168</v>
      </c>
      <c r="B2162" s="644" t="s">
        <v>168</v>
      </c>
      <c r="C2162" s="645"/>
      <c r="D2162" s="422" t="s">
        <v>347</v>
      </c>
      <c r="E2162" s="423"/>
      <c r="F2162" s="424">
        <v>20</v>
      </c>
      <c r="G2162" s="425">
        <v>1</v>
      </c>
      <c r="H2162" s="663">
        <f t="shared" si="566"/>
        <v>24.080000000000002</v>
      </c>
      <c r="I2162" s="420"/>
      <c r="J2162" s="420"/>
      <c r="K2162" s="421">
        <f t="shared" si="549"/>
        <v>0</v>
      </c>
      <c r="L2162" s="647"/>
      <c r="M2162" s="723"/>
      <c r="N2162" s="576">
        <f t="shared" si="559"/>
        <v>0</v>
      </c>
      <c r="O2162" s="577">
        <f t="shared" si="552"/>
        <v>0</v>
      </c>
      <c r="P2162" s="578">
        <f t="shared" si="553"/>
        <v>0</v>
      </c>
      <c r="Q2162" s="765"/>
      <c r="R2162" s="723"/>
      <c r="S2162" s="723"/>
      <c r="T2162" s="577">
        <f t="shared" si="550"/>
        <v>0</v>
      </c>
      <c r="U2162" s="578">
        <f t="shared" si="551"/>
        <v>0</v>
      </c>
      <c r="V2162" s="579"/>
      <c r="W2162" s="566" t="str">
        <f>IF(U2158&gt;0,"xx",IF(P2158&gt;0,"xy",""))</f>
        <v/>
      </c>
      <c r="X2162" s="586" t="str">
        <f t="shared" si="556"/>
        <v/>
      </c>
      <c r="Y2162" s="586" t="str">
        <f t="shared" si="531"/>
        <v/>
      </c>
      <c r="Z2162" s="586" t="str">
        <f t="shared" si="564"/>
        <v/>
      </c>
    </row>
    <row r="2163" spans="1:26" ht="12" hidden="1" thickBot="1" x14ac:dyDescent="0.25">
      <c r="A2163" s="567">
        <v>611700</v>
      </c>
      <c r="B2163" s="644">
        <v>611700</v>
      </c>
      <c r="C2163" s="645" t="s">
        <v>206</v>
      </c>
      <c r="D2163" s="422" t="s">
        <v>399</v>
      </c>
      <c r="E2163" s="423"/>
      <c r="F2163" s="424"/>
      <c r="G2163" s="425"/>
      <c r="H2163" s="651">
        <f>SUM(H2164:H2167)</f>
        <v>435.66670800000003</v>
      </c>
      <c r="I2163" s="420">
        <v>3347.7799999999997</v>
      </c>
      <c r="J2163" s="420">
        <f>IF(ISBLANK(I2163),"",SUM(H2163:I2163))</f>
        <v>3783.4467079999999</v>
      </c>
      <c r="K2163" s="421">
        <f t="shared" si="549"/>
        <v>4495.1099999999997</v>
      </c>
      <c r="L2163" s="647" t="s">
        <v>19</v>
      </c>
      <c r="M2163" s="576"/>
      <c r="N2163" s="576">
        <f t="shared" si="559"/>
        <v>0</v>
      </c>
      <c r="O2163" s="577">
        <f t="shared" si="552"/>
        <v>0</v>
      </c>
      <c r="P2163" s="578">
        <f t="shared" si="553"/>
        <v>0</v>
      </c>
      <c r="Q2163" s="765"/>
      <c r="R2163" s="576">
        <f>M2163</f>
        <v>0</v>
      </c>
      <c r="S2163" s="576">
        <f>N2163</f>
        <v>0</v>
      </c>
      <c r="T2163" s="577">
        <f t="shared" si="550"/>
        <v>0</v>
      </c>
      <c r="U2163" s="578">
        <f t="shared" si="551"/>
        <v>0</v>
      </c>
      <c r="V2163" s="579"/>
      <c r="W2163" s="566"/>
      <c r="X2163" s="586" t="str">
        <f t="shared" si="556"/>
        <v/>
      </c>
      <c r="Y2163" s="586" t="str">
        <f t="shared" si="531"/>
        <v/>
      </c>
      <c r="Z2163" s="586" t="str">
        <f t="shared" si="564"/>
        <v/>
      </c>
    </row>
    <row r="2164" spans="1:26" ht="12" hidden="1" thickBot="1" x14ac:dyDescent="0.25">
      <c r="A2164" s="567" t="s">
        <v>168</v>
      </c>
      <c r="B2164" s="644" t="s">
        <v>168</v>
      </c>
      <c r="C2164" s="645"/>
      <c r="D2164" s="422" t="s">
        <v>212</v>
      </c>
      <c r="E2164" s="423"/>
      <c r="F2164" s="424">
        <v>500</v>
      </c>
      <c r="G2164" s="425">
        <v>0.30620000000000003</v>
      </c>
      <c r="H2164" s="649">
        <f>IF(F2164&lt;=30,(0.78*F2164+7.82)*G2164,((0.78*30+7.82)+0.78*(F2164-30))*G2164)</f>
        <v>121.81248400000003</v>
      </c>
      <c r="I2164" s="420"/>
      <c r="J2164" s="420"/>
      <c r="K2164" s="421">
        <f t="shared" si="549"/>
        <v>0</v>
      </c>
      <c r="L2164" s="647"/>
      <c r="M2164" s="723"/>
      <c r="N2164" s="576">
        <f t="shared" si="559"/>
        <v>0</v>
      </c>
      <c r="O2164" s="577">
        <f t="shared" si="552"/>
        <v>0</v>
      </c>
      <c r="P2164" s="578">
        <f t="shared" si="553"/>
        <v>0</v>
      </c>
      <c r="Q2164" s="765"/>
      <c r="R2164" s="723"/>
      <c r="S2164" s="723"/>
      <c r="T2164" s="577">
        <f t="shared" si="550"/>
        <v>0</v>
      </c>
      <c r="U2164" s="578">
        <f t="shared" si="551"/>
        <v>0</v>
      </c>
      <c r="V2164" s="579"/>
      <c r="W2164" s="566" t="str">
        <f>IF(U2163&gt;0,"xx",IF(P2163&gt;0,"xy",""))</f>
        <v/>
      </c>
      <c r="X2164" s="586" t="str">
        <f t="shared" si="556"/>
        <v/>
      </c>
      <c r="Y2164" s="586" t="str">
        <f t="shared" si="531"/>
        <v/>
      </c>
      <c r="Z2164" s="586" t="str">
        <f t="shared" si="564"/>
        <v/>
      </c>
    </row>
    <row r="2165" spans="1:26" ht="12" hidden="1" thickBot="1" x14ac:dyDescent="0.25">
      <c r="A2165" s="567" t="s">
        <v>168</v>
      </c>
      <c r="B2165" s="644" t="s">
        <v>168</v>
      </c>
      <c r="C2165" s="645"/>
      <c r="D2165" s="422" t="s">
        <v>248</v>
      </c>
      <c r="E2165" s="423"/>
      <c r="F2165" s="424">
        <v>180</v>
      </c>
      <c r="G2165" s="425">
        <v>1.1047</v>
      </c>
      <c r="H2165" s="663">
        <f t="shared" ref="H2165:H2167" si="567">IF(F2165&lt;=30,(1.07*F2165+2.68)*G2165,((1.07*30+2.68)+1.07*(F2165-30))*G2165)</f>
        <v>215.72581600000001</v>
      </c>
      <c r="I2165" s="420"/>
      <c r="J2165" s="420"/>
      <c r="K2165" s="421">
        <f t="shared" si="549"/>
        <v>0</v>
      </c>
      <c r="L2165" s="647"/>
      <c r="M2165" s="723"/>
      <c r="N2165" s="576">
        <f t="shared" si="559"/>
        <v>0</v>
      </c>
      <c r="O2165" s="577">
        <f t="shared" si="552"/>
        <v>0</v>
      </c>
      <c r="P2165" s="578">
        <f t="shared" si="553"/>
        <v>0</v>
      </c>
      <c r="Q2165" s="765"/>
      <c r="R2165" s="723"/>
      <c r="S2165" s="723"/>
      <c r="T2165" s="577">
        <f t="shared" si="550"/>
        <v>0</v>
      </c>
      <c r="U2165" s="578">
        <f t="shared" si="551"/>
        <v>0</v>
      </c>
      <c r="V2165" s="579"/>
      <c r="W2165" s="566" t="str">
        <f>IF(U2163&gt;0,"xx",IF(P2163&gt;0,"xy",""))</f>
        <v/>
      </c>
      <c r="X2165" s="586" t="str">
        <f t="shared" si="556"/>
        <v/>
      </c>
      <c r="Y2165" s="586" t="str">
        <f t="shared" si="531"/>
        <v/>
      </c>
      <c r="Z2165" s="586" t="str">
        <f t="shared" si="564"/>
        <v/>
      </c>
    </row>
    <row r="2166" spans="1:26" ht="12" hidden="1" thickBot="1" x14ac:dyDescent="0.25">
      <c r="A2166" s="567" t="s">
        <v>168</v>
      </c>
      <c r="B2166" s="644" t="s">
        <v>168</v>
      </c>
      <c r="C2166" s="645"/>
      <c r="D2166" s="422" t="s">
        <v>252</v>
      </c>
      <c r="E2166" s="423"/>
      <c r="F2166" s="424">
        <v>20</v>
      </c>
      <c r="G2166" s="425">
        <v>1.9251</v>
      </c>
      <c r="H2166" s="663">
        <f t="shared" si="567"/>
        <v>46.356408000000002</v>
      </c>
      <c r="I2166" s="420"/>
      <c r="J2166" s="420"/>
      <c r="K2166" s="421">
        <f t="shared" si="549"/>
        <v>0</v>
      </c>
      <c r="L2166" s="647"/>
      <c r="M2166" s="723"/>
      <c r="N2166" s="576">
        <f t="shared" si="559"/>
        <v>0</v>
      </c>
      <c r="O2166" s="577">
        <f t="shared" si="552"/>
        <v>0</v>
      </c>
      <c r="P2166" s="578">
        <f t="shared" si="553"/>
        <v>0</v>
      </c>
      <c r="Q2166" s="765"/>
      <c r="R2166" s="723"/>
      <c r="S2166" s="723"/>
      <c r="T2166" s="577">
        <f t="shared" si="550"/>
        <v>0</v>
      </c>
      <c r="U2166" s="578">
        <f t="shared" si="551"/>
        <v>0</v>
      </c>
      <c r="V2166" s="579"/>
      <c r="W2166" s="566" t="str">
        <f>IF(U2163&gt;0,"xx",IF(P2163&gt;0,"xy",""))</f>
        <v/>
      </c>
      <c r="X2166" s="586" t="str">
        <f t="shared" si="556"/>
        <v/>
      </c>
      <c r="Y2166" s="586" t="str">
        <f t="shared" si="531"/>
        <v/>
      </c>
      <c r="Z2166" s="586" t="str">
        <f t="shared" si="564"/>
        <v/>
      </c>
    </row>
    <row r="2167" spans="1:26" ht="12" hidden="1" thickBot="1" x14ac:dyDescent="0.25">
      <c r="A2167" s="567" t="s">
        <v>168</v>
      </c>
      <c r="B2167" s="644" t="s">
        <v>168</v>
      </c>
      <c r="C2167" s="645"/>
      <c r="D2167" s="422" t="s">
        <v>347</v>
      </c>
      <c r="E2167" s="423"/>
      <c r="F2167" s="424">
        <v>20</v>
      </c>
      <c r="G2167" s="425">
        <v>2.15</v>
      </c>
      <c r="H2167" s="663">
        <f t="shared" si="567"/>
        <v>51.771999999999998</v>
      </c>
      <c r="I2167" s="420"/>
      <c r="J2167" s="420"/>
      <c r="K2167" s="421">
        <f t="shared" si="549"/>
        <v>0</v>
      </c>
      <c r="L2167" s="647"/>
      <c r="M2167" s="723"/>
      <c r="N2167" s="576">
        <f t="shared" si="559"/>
        <v>0</v>
      </c>
      <c r="O2167" s="577">
        <f t="shared" si="552"/>
        <v>0</v>
      </c>
      <c r="P2167" s="578">
        <f t="shared" si="553"/>
        <v>0</v>
      </c>
      <c r="Q2167" s="765"/>
      <c r="R2167" s="723"/>
      <c r="S2167" s="723"/>
      <c r="T2167" s="577">
        <f t="shared" si="550"/>
        <v>0</v>
      </c>
      <c r="U2167" s="578">
        <f t="shared" si="551"/>
        <v>0</v>
      </c>
      <c r="V2167" s="579"/>
      <c r="W2167" s="566" t="str">
        <f>IF(U2163&gt;0,"xx",IF(P2163&gt;0,"xy",""))</f>
        <v/>
      </c>
      <c r="X2167" s="586" t="str">
        <f t="shared" si="556"/>
        <v/>
      </c>
      <c r="Y2167" s="586" t="str">
        <f t="shared" si="531"/>
        <v/>
      </c>
      <c r="Z2167" s="586" t="str">
        <f t="shared" si="564"/>
        <v/>
      </c>
    </row>
    <row r="2168" spans="1:26" ht="12" hidden="1" thickBot="1" x14ac:dyDescent="0.25">
      <c r="A2168" s="567" t="s">
        <v>24</v>
      </c>
      <c r="B2168" s="644" t="s">
        <v>24</v>
      </c>
      <c r="C2168" s="645" t="s">
        <v>206</v>
      </c>
      <c r="D2168" s="422" t="s">
        <v>69</v>
      </c>
      <c r="E2168" s="423"/>
      <c r="F2168" s="424"/>
      <c r="G2168" s="425"/>
      <c r="H2168" s="651">
        <f>SUM(H2169:H2173)</f>
        <v>214.58049988800002</v>
      </c>
      <c r="I2168" s="420">
        <f>VLOOKUP(D2168,'[2]ENSAIOS DE ORÇAMENTO'!$C$3:$L$79,8,FALSE)</f>
        <v>1382.6843920000001</v>
      </c>
      <c r="J2168" s="420">
        <f>IF(ISBLANK(I2168),"",SUM(H2168:I2168))</f>
        <v>1597.2648918880002</v>
      </c>
      <c r="K2168" s="421">
        <f t="shared" si="549"/>
        <v>1897.71</v>
      </c>
      <c r="L2168" s="647" t="s">
        <v>21</v>
      </c>
      <c r="M2168" s="576"/>
      <c r="N2168" s="576">
        <f t="shared" si="559"/>
        <v>0</v>
      </c>
      <c r="O2168" s="577">
        <f t="shared" si="552"/>
        <v>0</v>
      </c>
      <c r="P2168" s="578">
        <f t="shared" si="553"/>
        <v>0</v>
      </c>
      <c r="Q2168" s="765"/>
      <c r="R2168" s="576">
        <f>M2168</f>
        <v>0</v>
      </c>
      <c r="S2168" s="576">
        <f>N2168</f>
        <v>0</v>
      </c>
      <c r="T2168" s="577">
        <f t="shared" si="550"/>
        <v>0</v>
      </c>
      <c r="U2168" s="578">
        <f t="shared" si="551"/>
        <v>0</v>
      </c>
      <c r="V2168" s="579"/>
      <c r="W2168" s="566"/>
      <c r="X2168" s="586" t="str">
        <f t="shared" si="556"/>
        <v/>
      </c>
      <c r="Y2168" s="586" t="str">
        <f t="shared" si="531"/>
        <v/>
      </c>
      <c r="Z2168" s="586" t="str">
        <f t="shared" si="564"/>
        <v/>
      </c>
    </row>
    <row r="2169" spans="1:26" ht="12" hidden="1" thickBot="1" x14ac:dyDescent="0.25">
      <c r="A2169" s="567" t="s">
        <v>168</v>
      </c>
      <c r="B2169" s="644" t="s">
        <v>168</v>
      </c>
      <c r="C2169" s="645"/>
      <c r="D2169" s="422" t="s">
        <v>212</v>
      </c>
      <c r="E2169" s="423"/>
      <c r="F2169" s="424">
        <v>500</v>
      </c>
      <c r="G2169" s="425">
        <f>VLOOKUP(D2168,'[2]ENSAIOS DE ORÇAMENTO'!$C$3:$L$79,4,FALSE)</f>
        <v>0.11541040000000001</v>
      </c>
      <c r="H2169" s="649">
        <f>IF(F2169&lt;=30,(0.78*F2169+7.82)*G2169,((0.78*30+7.82)+0.78*(F2169-30))*G2169)</f>
        <v>45.912565328000007</v>
      </c>
      <c r="I2169" s="420"/>
      <c r="J2169" s="420"/>
      <c r="K2169" s="421">
        <f t="shared" si="549"/>
        <v>0</v>
      </c>
      <c r="L2169" s="647"/>
      <c r="M2169" s="723"/>
      <c r="N2169" s="576">
        <f t="shared" si="559"/>
        <v>0</v>
      </c>
      <c r="O2169" s="577">
        <f t="shared" si="552"/>
        <v>0</v>
      </c>
      <c r="P2169" s="578">
        <f t="shared" si="553"/>
        <v>0</v>
      </c>
      <c r="Q2169" s="765"/>
      <c r="R2169" s="723"/>
      <c r="S2169" s="723"/>
      <c r="T2169" s="577">
        <f t="shared" si="550"/>
        <v>0</v>
      </c>
      <c r="U2169" s="578">
        <f t="shared" si="551"/>
        <v>0</v>
      </c>
      <c r="V2169" s="579"/>
      <c r="W2169" s="566" t="str">
        <f>IF(U2168&gt;0,"xx",IF(P2168&gt;0,"xy",""))</f>
        <v/>
      </c>
      <c r="X2169" s="586" t="str">
        <f t="shared" si="556"/>
        <v/>
      </c>
      <c r="Y2169" s="586" t="str">
        <f t="shared" si="531"/>
        <v/>
      </c>
      <c r="Z2169" s="586" t="str">
        <f t="shared" si="564"/>
        <v/>
      </c>
    </row>
    <row r="2170" spans="1:26" ht="12" hidden="1" thickBot="1" x14ac:dyDescent="0.25">
      <c r="A2170" s="567" t="s">
        <v>168</v>
      </c>
      <c r="B2170" s="644" t="s">
        <v>168</v>
      </c>
      <c r="C2170" s="645"/>
      <c r="D2170" s="422" t="s">
        <v>248</v>
      </c>
      <c r="E2170" s="423"/>
      <c r="F2170" s="424">
        <v>180</v>
      </c>
      <c r="G2170" s="425">
        <f>VLOOKUP(D2168,'[2]ENSAIOS DE ORÇAMENTO'!$C$3:$L$79,5,FALSE)</f>
        <v>0.62209000000000003</v>
      </c>
      <c r="H2170" s="663">
        <f t="shared" ref="H2170:H2172" si="568">IF(F2170&lt;=30,(1.07*F2170+2.68)*G2170,((1.07*30+2.68)+1.07*(F2170-30))*G2170)</f>
        <v>121.4817352</v>
      </c>
      <c r="I2170" s="420"/>
      <c r="J2170" s="420"/>
      <c r="K2170" s="421">
        <f t="shared" si="549"/>
        <v>0</v>
      </c>
      <c r="L2170" s="647"/>
      <c r="M2170" s="723"/>
      <c r="N2170" s="576">
        <f t="shared" si="559"/>
        <v>0</v>
      </c>
      <c r="O2170" s="577">
        <f t="shared" si="552"/>
        <v>0</v>
      </c>
      <c r="P2170" s="578">
        <f t="shared" si="553"/>
        <v>0</v>
      </c>
      <c r="Q2170" s="765"/>
      <c r="R2170" s="723"/>
      <c r="S2170" s="723"/>
      <c r="T2170" s="577">
        <f t="shared" si="550"/>
        <v>0</v>
      </c>
      <c r="U2170" s="578">
        <f t="shared" si="551"/>
        <v>0</v>
      </c>
      <c r="V2170" s="579"/>
      <c r="W2170" s="566" t="str">
        <f>IF(U2168&gt;0,"xx",IF(P2168&gt;0,"xy",""))</f>
        <v/>
      </c>
      <c r="X2170" s="586" t="str">
        <f t="shared" si="556"/>
        <v/>
      </c>
      <c r="Y2170" s="586" t="str">
        <f t="shared" si="531"/>
        <v/>
      </c>
      <c r="Z2170" s="586" t="str">
        <f t="shared" si="564"/>
        <v/>
      </c>
    </row>
    <row r="2171" spans="1:26" ht="12" hidden="1" thickBot="1" x14ac:dyDescent="0.25">
      <c r="A2171" s="567" t="s">
        <v>168</v>
      </c>
      <c r="B2171" s="644" t="s">
        <v>168</v>
      </c>
      <c r="C2171" s="645"/>
      <c r="D2171" s="422" t="s">
        <v>252</v>
      </c>
      <c r="E2171" s="423"/>
      <c r="F2171" s="424">
        <v>20</v>
      </c>
      <c r="G2171" s="425">
        <f>VLOOKUP(D2168,'[2]ENSAIOS DE ORÇAMENTO'!$C$3:$L$79,6,FALSE)</f>
        <v>0.20424000000000003</v>
      </c>
      <c r="H2171" s="663">
        <f t="shared" si="568"/>
        <v>4.9180992000000012</v>
      </c>
      <c r="I2171" s="420"/>
      <c r="J2171" s="420"/>
      <c r="K2171" s="421">
        <f t="shared" si="549"/>
        <v>0</v>
      </c>
      <c r="L2171" s="647"/>
      <c r="M2171" s="723"/>
      <c r="N2171" s="576">
        <f t="shared" si="559"/>
        <v>0</v>
      </c>
      <c r="O2171" s="577">
        <f t="shared" si="552"/>
        <v>0</v>
      </c>
      <c r="P2171" s="578">
        <f t="shared" si="553"/>
        <v>0</v>
      </c>
      <c r="Q2171" s="765"/>
      <c r="R2171" s="723"/>
      <c r="S2171" s="723"/>
      <c r="T2171" s="577">
        <f t="shared" si="550"/>
        <v>0</v>
      </c>
      <c r="U2171" s="578">
        <f t="shared" si="551"/>
        <v>0</v>
      </c>
      <c r="V2171" s="579"/>
      <c r="W2171" s="566" t="str">
        <f>IF(U2168&gt;0,"xx",IF(P2168&gt;0,"xy",""))</f>
        <v/>
      </c>
      <c r="X2171" s="586" t="str">
        <f t="shared" si="556"/>
        <v/>
      </c>
      <c r="Y2171" s="586" t="str">
        <f t="shared" si="531"/>
        <v/>
      </c>
      <c r="Z2171" s="586" t="str">
        <f t="shared" si="564"/>
        <v/>
      </c>
    </row>
    <row r="2172" spans="1:26" ht="12" hidden="1" thickBot="1" x14ac:dyDescent="0.25">
      <c r="A2172" s="567" t="s">
        <v>168</v>
      </c>
      <c r="B2172" s="644" t="s">
        <v>168</v>
      </c>
      <c r="C2172" s="645"/>
      <c r="D2172" s="422" t="s">
        <v>400</v>
      </c>
      <c r="E2172" s="423"/>
      <c r="F2172" s="424">
        <v>30</v>
      </c>
      <c r="G2172" s="425">
        <f>VLOOKUP(D2168,'[2]ENSAIOS DE ORÇAMENTO'!$C$3:$L$79,3,FALSE)</f>
        <v>0.87983999999999996</v>
      </c>
      <c r="H2172" s="663">
        <f t="shared" si="568"/>
        <v>30.600835199999999</v>
      </c>
      <c r="I2172" s="420"/>
      <c r="J2172" s="420"/>
      <c r="K2172" s="421">
        <f t="shared" si="549"/>
        <v>0</v>
      </c>
      <c r="L2172" s="647"/>
      <c r="M2172" s="723"/>
      <c r="N2172" s="576">
        <f t="shared" si="559"/>
        <v>0</v>
      </c>
      <c r="O2172" s="577">
        <f t="shared" si="552"/>
        <v>0</v>
      </c>
      <c r="P2172" s="578">
        <f t="shared" si="553"/>
        <v>0</v>
      </c>
      <c r="Q2172" s="765"/>
      <c r="R2172" s="723"/>
      <c r="S2172" s="723"/>
      <c r="T2172" s="577">
        <f t="shared" si="550"/>
        <v>0</v>
      </c>
      <c r="U2172" s="578">
        <f t="shared" si="551"/>
        <v>0</v>
      </c>
      <c r="V2172" s="579"/>
      <c r="W2172" s="566" t="str">
        <f>IF(U2168&gt;0,"xx",IF(P2168&gt;0,"xy",""))</f>
        <v/>
      </c>
      <c r="X2172" s="586" t="str">
        <f t="shared" si="556"/>
        <v/>
      </c>
      <c r="Y2172" s="586" t="str">
        <f t="shared" si="531"/>
        <v/>
      </c>
      <c r="Z2172" s="586" t="str">
        <f t="shared" si="564"/>
        <v/>
      </c>
    </row>
    <row r="2173" spans="1:26" ht="12" hidden="1" thickBot="1" x14ac:dyDescent="0.25">
      <c r="A2173" s="567" t="s">
        <v>168</v>
      </c>
      <c r="B2173" s="644" t="s">
        <v>168</v>
      </c>
      <c r="C2173" s="645"/>
      <c r="D2173" s="422" t="s">
        <v>401</v>
      </c>
      <c r="E2173" s="423"/>
      <c r="F2173" s="424">
        <v>500</v>
      </c>
      <c r="G2173" s="425">
        <f>VLOOKUP(D2168,'[2]ENSAIOS DE ORÇAMENTO'!$C$3:$L$79,10,FALSE)</f>
        <v>2.9328E-2</v>
      </c>
      <c r="H2173" s="649">
        <f>IF(F2173&lt;=30,(0.78*F2173+7.82)*G2173,((0.78*30+7.82)+0.78*(F2173-30))*G2173)</f>
        <v>11.667264960000001</v>
      </c>
      <c r="I2173" s="420"/>
      <c r="J2173" s="420"/>
      <c r="K2173" s="421">
        <f t="shared" si="549"/>
        <v>0</v>
      </c>
      <c r="L2173" s="647"/>
      <c r="M2173" s="723"/>
      <c r="N2173" s="576">
        <f t="shared" si="559"/>
        <v>0</v>
      </c>
      <c r="O2173" s="577">
        <f t="shared" si="552"/>
        <v>0</v>
      </c>
      <c r="P2173" s="578">
        <f t="shared" si="553"/>
        <v>0</v>
      </c>
      <c r="Q2173" s="765"/>
      <c r="R2173" s="723"/>
      <c r="S2173" s="723"/>
      <c r="T2173" s="577">
        <f t="shared" si="550"/>
        <v>0</v>
      </c>
      <c r="U2173" s="578">
        <f t="shared" si="551"/>
        <v>0</v>
      </c>
      <c r="V2173" s="579"/>
      <c r="W2173" s="566" t="str">
        <f>IF(U2168&gt;0,"xx",IF(P2168&gt;0,"xy",""))</f>
        <v/>
      </c>
      <c r="X2173" s="586" t="str">
        <f t="shared" si="556"/>
        <v/>
      </c>
      <c r="Y2173" s="586" t="str">
        <f t="shared" si="531"/>
        <v/>
      </c>
      <c r="Z2173" s="586" t="str">
        <f t="shared" si="564"/>
        <v/>
      </c>
    </row>
    <row r="2174" spans="1:26" ht="12" hidden="1" thickBot="1" x14ac:dyDescent="0.25">
      <c r="A2174" s="567" t="s">
        <v>25</v>
      </c>
      <c r="B2174" s="644" t="s">
        <v>25</v>
      </c>
      <c r="C2174" s="645" t="s">
        <v>206</v>
      </c>
      <c r="D2174" s="422" t="s">
        <v>70</v>
      </c>
      <c r="E2174" s="423"/>
      <c r="F2174" s="424"/>
      <c r="G2174" s="425"/>
      <c r="H2174" s="651">
        <f>SUM(H2175:H2179)</f>
        <v>253.44839336000004</v>
      </c>
      <c r="I2174" s="420">
        <f>VLOOKUP(D2174,'[2]ENSAIOS DE ORÇAMENTO'!$C$3:$L$79,8,FALSE)</f>
        <v>1534.9440399999999</v>
      </c>
      <c r="J2174" s="420">
        <f>IF(ISBLANK(I2174),"",SUM(H2174:I2174))</f>
        <v>1788.3924333599998</v>
      </c>
      <c r="K2174" s="421">
        <f t="shared" si="549"/>
        <v>2124.79</v>
      </c>
      <c r="L2174" s="647" t="s">
        <v>21</v>
      </c>
      <c r="M2174" s="576"/>
      <c r="N2174" s="576">
        <f t="shared" si="559"/>
        <v>0</v>
      </c>
      <c r="O2174" s="577">
        <f t="shared" si="552"/>
        <v>0</v>
      </c>
      <c r="P2174" s="578">
        <f t="shared" si="553"/>
        <v>0</v>
      </c>
      <c r="Q2174" s="765"/>
      <c r="R2174" s="576">
        <f>M2174</f>
        <v>0</v>
      </c>
      <c r="S2174" s="576">
        <f>N2174</f>
        <v>0</v>
      </c>
      <c r="T2174" s="577">
        <f t="shared" si="550"/>
        <v>0</v>
      </c>
      <c r="U2174" s="578">
        <f t="shared" si="551"/>
        <v>0</v>
      </c>
      <c r="V2174" s="579"/>
      <c r="W2174" s="566"/>
      <c r="X2174" s="586" t="str">
        <f t="shared" si="556"/>
        <v/>
      </c>
      <c r="Y2174" s="586" t="str">
        <f t="shared" si="531"/>
        <v/>
      </c>
      <c r="Z2174" s="586" t="str">
        <f t="shared" si="564"/>
        <v/>
      </c>
    </row>
    <row r="2175" spans="1:26" ht="12" hidden="1" thickBot="1" x14ac:dyDescent="0.25">
      <c r="A2175" s="567" t="s">
        <v>168</v>
      </c>
      <c r="B2175" s="644" t="s">
        <v>168</v>
      </c>
      <c r="C2175" s="645"/>
      <c r="D2175" s="422" t="s">
        <v>212</v>
      </c>
      <c r="E2175" s="423"/>
      <c r="F2175" s="424">
        <v>500</v>
      </c>
      <c r="G2175" s="425">
        <f>VLOOKUP(D2174,'[2]ENSAIOS DE ORÇAMENTO'!$C$3:$L$79,4,FALSE)</f>
        <v>0.132608</v>
      </c>
      <c r="H2175" s="649">
        <f>IF(F2175&lt;=30,(0.78*F2175+7.82)*G2175,((0.78*30+7.82)+0.78*(F2175-30))*G2175)</f>
        <v>52.754114560000005</v>
      </c>
      <c r="I2175" s="420"/>
      <c r="J2175" s="420"/>
      <c r="K2175" s="421">
        <f t="shared" si="549"/>
        <v>0</v>
      </c>
      <c r="L2175" s="647"/>
      <c r="M2175" s="723"/>
      <c r="N2175" s="576">
        <f t="shared" si="559"/>
        <v>0</v>
      </c>
      <c r="O2175" s="577">
        <f t="shared" si="552"/>
        <v>0</v>
      </c>
      <c r="P2175" s="578">
        <f t="shared" si="553"/>
        <v>0</v>
      </c>
      <c r="Q2175" s="765"/>
      <c r="R2175" s="723"/>
      <c r="S2175" s="723"/>
      <c r="T2175" s="577">
        <f t="shared" si="550"/>
        <v>0</v>
      </c>
      <c r="U2175" s="578">
        <f t="shared" si="551"/>
        <v>0</v>
      </c>
      <c r="V2175" s="579"/>
      <c r="W2175" s="566" t="str">
        <f>IF(U2174&gt;0,"xx",IF(P2174&gt;0,"xy",""))</f>
        <v/>
      </c>
      <c r="X2175" s="586" t="str">
        <f t="shared" si="556"/>
        <v/>
      </c>
      <c r="Y2175" s="586" t="str">
        <f t="shared" si="531"/>
        <v/>
      </c>
      <c r="Z2175" s="586" t="str">
        <f t="shared" si="564"/>
        <v/>
      </c>
    </row>
    <row r="2176" spans="1:26" ht="12" hidden="1" thickBot="1" x14ac:dyDescent="0.25">
      <c r="A2176" s="567" t="s">
        <v>168</v>
      </c>
      <c r="B2176" s="644" t="s">
        <v>168</v>
      </c>
      <c r="C2176" s="645"/>
      <c r="D2176" s="422" t="s">
        <v>248</v>
      </c>
      <c r="E2176" s="423"/>
      <c r="F2176" s="424">
        <v>180</v>
      </c>
      <c r="G2176" s="425">
        <f>VLOOKUP(D2174,'[2]ENSAIOS DE ORÇAMENTO'!$C$3:$L$79,5,FALSE)</f>
        <v>0.73198000000000008</v>
      </c>
      <c r="H2176" s="663">
        <f t="shared" ref="H2176:H2178" si="569">IF(F2176&lt;=30,(1.07*F2176+2.68)*G2176,((1.07*30+2.68)+1.07*(F2176-30))*G2176)</f>
        <v>142.94105440000001</v>
      </c>
      <c r="I2176" s="420"/>
      <c r="J2176" s="420"/>
      <c r="K2176" s="421">
        <f t="shared" ref="K2176:K2239" si="570">IF(ISBLANK(I2176),0,ROUND(J2176*(1+$F$10)*(1+$F$11*E2176),2))</f>
        <v>0</v>
      </c>
      <c r="L2176" s="647"/>
      <c r="M2176" s="723"/>
      <c r="N2176" s="576">
        <f t="shared" si="559"/>
        <v>0</v>
      </c>
      <c r="O2176" s="577">
        <f t="shared" si="552"/>
        <v>0</v>
      </c>
      <c r="P2176" s="578">
        <f t="shared" si="553"/>
        <v>0</v>
      </c>
      <c r="Q2176" s="765"/>
      <c r="R2176" s="723"/>
      <c r="S2176" s="723"/>
      <c r="T2176" s="577">
        <f t="shared" ref="T2176:T2239" si="571">IF(ISBLANK(R2176),0,ROUND(K2176*R2176,2))</f>
        <v>0</v>
      </c>
      <c r="U2176" s="578">
        <f t="shared" ref="U2176:U2239" si="572">IF(ISBLANK(R2176),0,ROUND(R2176*S2176,2))</f>
        <v>0</v>
      </c>
      <c r="V2176" s="579"/>
      <c r="W2176" s="566" t="str">
        <f>IF(U2174&gt;0,"xx",IF(P2174&gt;0,"xy",""))</f>
        <v/>
      </c>
      <c r="X2176" s="586" t="str">
        <f t="shared" si="556"/>
        <v/>
      </c>
      <c r="Y2176" s="586" t="str">
        <f t="shared" si="531"/>
        <v/>
      </c>
      <c r="Z2176" s="586" t="str">
        <f t="shared" si="564"/>
        <v/>
      </c>
    </row>
    <row r="2177" spans="1:26" ht="12" hidden="1" thickBot="1" x14ac:dyDescent="0.25">
      <c r="A2177" s="567" t="s">
        <v>168</v>
      </c>
      <c r="B2177" s="644" t="s">
        <v>168</v>
      </c>
      <c r="C2177" s="645"/>
      <c r="D2177" s="422" t="s">
        <v>252</v>
      </c>
      <c r="E2177" s="423"/>
      <c r="F2177" s="424">
        <v>20</v>
      </c>
      <c r="G2177" s="425">
        <f>VLOOKUP(D2174,'[2]ENSAIOS DE ORÇAMENTO'!$C$3:$L$79,6,FALSE)</f>
        <v>0.20424000000000003</v>
      </c>
      <c r="H2177" s="663">
        <f t="shared" si="569"/>
        <v>4.9180992000000012</v>
      </c>
      <c r="I2177" s="420"/>
      <c r="J2177" s="420"/>
      <c r="K2177" s="421">
        <f t="shared" si="570"/>
        <v>0</v>
      </c>
      <c r="L2177" s="647"/>
      <c r="M2177" s="723"/>
      <c r="N2177" s="576">
        <f t="shared" si="559"/>
        <v>0</v>
      </c>
      <c r="O2177" s="577">
        <f t="shared" ref="O2177:O2240" si="573">IF(ISBLANK(M2177),0,ROUND(K2177*M2177,2))</f>
        <v>0</v>
      </c>
      <c r="P2177" s="578">
        <f t="shared" ref="P2177:P2240" si="574">IF(ISBLANK(N2177),0,ROUND(M2177*N2177,2))</f>
        <v>0</v>
      </c>
      <c r="Q2177" s="765"/>
      <c r="R2177" s="723"/>
      <c r="S2177" s="723"/>
      <c r="T2177" s="577">
        <f t="shared" si="571"/>
        <v>0</v>
      </c>
      <c r="U2177" s="578">
        <f t="shared" si="572"/>
        <v>0</v>
      </c>
      <c r="V2177" s="579"/>
      <c r="W2177" s="566" t="str">
        <f>IF(U2174&gt;0,"xx",IF(P2174&gt;0,"xy",""))</f>
        <v/>
      </c>
      <c r="X2177" s="586" t="str">
        <f t="shared" si="556"/>
        <v/>
      </c>
      <c r="Y2177" s="586" t="str">
        <f t="shared" si="531"/>
        <v/>
      </c>
      <c r="Z2177" s="586" t="str">
        <f t="shared" si="564"/>
        <v/>
      </c>
    </row>
    <row r="2178" spans="1:26" ht="12" hidden="1" thickBot="1" x14ac:dyDescent="0.25">
      <c r="A2178" s="567" t="s">
        <v>168</v>
      </c>
      <c r="B2178" s="644" t="s">
        <v>168</v>
      </c>
      <c r="C2178" s="645"/>
      <c r="D2178" s="422" t="s">
        <v>400</v>
      </c>
      <c r="E2178" s="423"/>
      <c r="F2178" s="424">
        <v>30</v>
      </c>
      <c r="G2178" s="425">
        <f>VLOOKUP(D2174,'[2]ENSAIOS DE ORÇAMENTO'!$C$3:$L$79,3,FALSE)</f>
        <v>1.0998000000000001</v>
      </c>
      <c r="H2178" s="663">
        <f t="shared" si="569"/>
        <v>38.251044000000007</v>
      </c>
      <c r="I2178" s="420"/>
      <c r="J2178" s="420"/>
      <c r="K2178" s="421">
        <f t="shared" si="570"/>
        <v>0</v>
      </c>
      <c r="L2178" s="647"/>
      <c r="M2178" s="723"/>
      <c r="N2178" s="576">
        <f t="shared" si="559"/>
        <v>0</v>
      </c>
      <c r="O2178" s="577">
        <f t="shared" si="573"/>
        <v>0</v>
      </c>
      <c r="P2178" s="578">
        <f t="shared" si="574"/>
        <v>0</v>
      </c>
      <c r="Q2178" s="765"/>
      <c r="R2178" s="723"/>
      <c r="S2178" s="723"/>
      <c r="T2178" s="577">
        <f t="shared" si="571"/>
        <v>0</v>
      </c>
      <c r="U2178" s="578">
        <f t="shared" si="572"/>
        <v>0</v>
      </c>
      <c r="V2178" s="579"/>
      <c r="W2178" s="566" t="str">
        <f>IF(U2174&gt;0,"xx",IF(P2174&gt;0,"xy",""))</f>
        <v/>
      </c>
      <c r="X2178" s="586" t="str">
        <f t="shared" si="556"/>
        <v/>
      </c>
      <c r="Y2178" s="586" t="str">
        <f t="shared" si="531"/>
        <v/>
      </c>
      <c r="Z2178" s="586" t="str">
        <f t="shared" si="564"/>
        <v/>
      </c>
    </row>
    <row r="2179" spans="1:26" ht="12" hidden="1" thickBot="1" x14ac:dyDescent="0.25">
      <c r="A2179" s="567" t="s">
        <v>168</v>
      </c>
      <c r="B2179" s="644" t="s">
        <v>168</v>
      </c>
      <c r="C2179" s="645"/>
      <c r="D2179" s="422" t="s">
        <v>401</v>
      </c>
      <c r="E2179" s="423"/>
      <c r="F2179" s="424">
        <v>500</v>
      </c>
      <c r="G2179" s="425">
        <f>VLOOKUP(D2174,'[2]ENSAIOS DE ORÇAMENTO'!$C$3:$L$79,10,FALSE)</f>
        <v>3.6659999999999998E-2</v>
      </c>
      <c r="H2179" s="649">
        <f>IF(F2179&lt;=30,(0.78*F2179+7.82)*G2179,((0.78*30+7.82)+0.78*(F2179-30))*G2179)</f>
        <v>14.584081200000002</v>
      </c>
      <c r="I2179" s="420"/>
      <c r="J2179" s="420"/>
      <c r="K2179" s="421">
        <f t="shared" si="570"/>
        <v>0</v>
      </c>
      <c r="L2179" s="647"/>
      <c r="M2179" s="723"/>
      <c r="N2179" s="576">
        <f t="shared" si="559"/>
        <v>0</v>
      </c>
      <c r="O2179" s="577">
        <f t="shared" si="573"/>
        <v>0</v>
      </c>
      <c r="P2179" s="578">
        <f t="shared" si="574"/>
        <v>0</v>
      </c>
      <c r="Q2179" s="765"/>
      <c r="R2179" s="723"/>
      <c r="S2179" s="723"/>
      <c r="T2179" s="577">
        <f t="shared" si="571"/>
        <v>0</v>
      </c>
      <c r="U2179" s="578">
        <f t="shared" si="572"/>
        <v>0</v>
      </c>
      <c r="V2179" s="579"/>
      <c r="W2179" s="566" t="str">
        <f>IF(U2174&gt;0,"xx",IF(P2174&gt;0,"xy",""))</f>
        <v/>
      </c>
      <c r="X2179" s="586" t="str">
        <f t="shared" si="556"/>
        <v/>
      </c>
      <c r="Y2179" s="586" t="str">
        <f t="shared" si="531"/>
        <v/>
      </c>
      <c r="Z2179" s="586" t="str">
        <f t="shared" si="564"/>
        <v/>
      </c>
    </row>
    <row r="2180" spans="1:26" ht="12" hidden="1" thickBot="1" x14ac:dyDescent="0.25">
      <c r="A2180" s="567" t="s">
        <v>26</v>
      </c>
      <c r="B2180" s="644" t="s">
        <v>26</v>
      </c>
      <c r="C2180" s="645" t="s">
        <v>206</v>
      </c>
      <c r="D2180" s="422" t="s">
        <v>71</v>
      </c>
      <c r="E2180" s="423"/>
      <c r="F2180" s="424"/>
      <c r="G2180" s="425"/>
      <c r="H2180" s="651">
        <f>SUM(H2181:H2185)</f>
        <v>317.76500247800004</v>
      </c>
      <c r="I2180" s="420">
        <f>VLOOKUP(D2180,'[2]ENSAIOS DE ORÇAMENTO'!$C$3:$L$79,8,FALSE)</f>
        <v>1786.7909519999998</v>
      </c>
      <c r="J2180" s="420">
        <f>IF(ISBLANK(I2180),"",SUM(H2180:I2180))</f>
        <v>2104.5559544779999</v>
      </c>
      <c r="K2180" s="421">
        <f t="shared" si="570"/>
        <v>2500.42</v>
      </c>
      <c r="L2180" s="647" t="s">
        <v>21</v>
      </c>
      <c r="M2180" s="576"/>
      <c r="N2180" s="576">
        <f t="shared" si="559"/>
        <v>0</v>
      </c>
      <c r="O2180" s="577">
        <f t="shared" si="573"/>
        <v>0</v>
      </c>
      <c r="P2180" s="578">
        <f t="shared" si="574"/>
        <v>0</v>
      </c>
      <c r="Q2180" s="765"/>
      <c r="R2180" s="576">
        <f>M2180</f>
        <v>0</v>
      </c>
      <c r="S2180" s="576">
        <f>N2180</f>
        <v>0</v>
      </c>
      <c r="T2180" s="577">
        <f t="shared" si="571"/>
        <v>0</v>
      </c>
      <c r="U2180" s="578">
        <f t="shared" si="572"/>
        <v>0</v>
      </c>
      <c r="V2180" s="579"/>
      <c r="W2180" s="566"/>
      <c r="X2180" s="586" t="str">
        <f t="shared" si="556"/>
        <v/>
      </c>
      <c r="Y2180" s="586" t="str">
        <f t="shared" si="531"/>
        <v/>
      </c>
      <c r="Z2180" s="586" t="str">
        <f t="shared" si="564"/>
        <v/>
      </c>
    </row>
    <row r="2181" spans="1:26" ht="12" hidden="1" thickBot="1" x14ac:dyDescent="0.25">
      <c r="A2181" s="567" t="s">
        <v>168</v>
      </c>
      <c r="B2181" s="644" t="s">
        <v>168</v>
      </c>
      <c r="C2181" s="645"/>
      <c r="D2181" s="422" t="s">
        <v>212</v>
      </c>
      <c r="E2181" s="423"/>
      <c r="F2181" s="424">
        <v>500</v>
      </c>
      <c r="G2181" s="425">
        <f>VLOOKUP(D2180,'[2]ENSAIOS DE ORÇAMENTO'!$C$3:$L$79,4,FALSE)</f>
        <v>0.1610819</v>
      </c>
      <c r="H2181" s="649">
        <f>IF(F2181&lt;=30,(0.78*F2181+7.82)*G2181,((0.78*30+7.82)+0.78*(F2181-30))*G2181)</f>
        <v>64.081601458000009</v>
      </c>
      <c r="I2181" s="420"/>
      <c r="J2181" s="420"/>
      <c r="K2181" s="421">
        <f t="shared" si="570"/>
        <v>0</v>
      </c>
      <c r="L2181" s="647"/>
      <c r="M2181" s="723"/>
      <c r="N2181" s="576">
        <f t="shared" si="559"/>
        <v>0</v>
      </c>
      <c r="O2181" s="577">
        <f t="shared" si="573"/>
        <v>0</v>
      </c>
      <c r="P2181" s="578">
        <f t="shared" si="574"/>
        <v>0</v>
      </c>
      <c r="Q2181" s="765"/>
      <c r="R2181" s="723"/>
      <c r="S2181" s="723"/>
      <c r="T2181" s="577">
        <f t="shared" si="571"/>
        <v>0</v>
      </c>
      <c r="U2181" s="578">
        <f t="shared" si="572"/>
        <v>0</v>
      </c>
      <c r="V2181" s="579"/>
      <c r="W2181" s="566" t="str">
        <f>IF(U2180&gt;0,"xx",IF(P2180&gt;0,"xy",""))</f>
        <v/>
      </c>
      <c r="X2181" s="586" t="str">
        <f t="shared" si="556"/>
        <v/>
      </c>
      <c r="Y2181" s="586" t="str">
        <f t="shared" si="531"/>
        <v/>
      </c>
      <c r="Z2181" s="586" t="str">
        <f t="shared" si="564"/>
        <v/>
      </c>
    </row>
    <row r="2182" spans="1:26" ht="12" hidden="1" thickBot="1" x14ac:dyDescent="0.25">
      <c r="A2182" s="567" t="s">
        <v>168</v>
      </c>
      <c r="B2182" s="644" t="s">
        <v>168</v>
      </c>
      <c r="C2182" s="645"/>
      <c r="D2182" s="422" t="s">
        <v>248</v>
      </c>
      <c r="E2182" s="423"/>
      <c r="F2182" s="424">
        <v>180</v>
      </c>
      <c r="G2182" s="425">
        <f>VLOOKUP(D2180,'[2]ENSAIOS DE ORÇAMENTO'!$C$3:$L$79,5,FALSE)</f>
        <v>0.91383625000000013</v>
      </c>
      <c r="H2182" s="663">
        <f t="shared" ref="H2182:H2184" si="575">IF(F2182&lt;=30,(1.07*F2182+2.68)*G2182,((1.07*30+2.68)+1.07*(F2182-30))*G2182)</f>
        <v>178.45394290000002</v>
      </c>
      <c r="I2182" s="420"/>
      <c r="J2182" s="420"/>
      <c r="K2182" s="421">
        <f t="shared" si="570"/>
        <v>0</v>
      </c>
      <c r="L2182" s="647"/>
      <c r="M2182" s="723"/>
      <c r="N2182" s="576">
        <f t="shared" si="559"/>
        <v>0</v>
      </c>
      <c r="O2182" s="577">
        <f t="shared" si="573"/>
        <v>0</v>
      </c>
      <c r="P2182" s="578">
        <f t="shared" si="574"/>
        <v>0</v>
      </c>
      <c r="Q2182" s="765"/>
      <c r="R2182" s="723"/>
      <c r="S2182" s="723"/>
      <c r="T2182" s="577">
        <f t="shared" si="571"/>
        <v>0</v>
      </c>
      <c r="U2182" s="578">
        <f t="shared" si="572"/>
        <v>0</v>
      </c>
      <c r="V2182" s="579"/>
      <c r="W2182" s="566" t="str">
        <f>IF(U2180&gt;0,"xx",IF(P2180&gt;0,"xy",""))</f>
        <v/>
      </c>
      <c r="X2182" s="586" t="str">
        <f t="shared" si="556"/>
        <v/>
      </c>
      <c r="Y2182" s="586" t="str">
        <f t="shared" si="531"/>
        <v/>
      </c>
      <c r="Z2182" s="586" t="str">
        <f t="shared" si="564"/>
        <v/>
      </c>
    </row>
    <row r="2183" spans="1:26" ht="12" hidden="1" thickBot="1" x14ac:dyDescent="0.25">
      <c r="A2183" s="567" t="s">
        <v>168</v>
      </c>
      <c r="B2183" s="644" t="s">
        <v>168</v>
      </c>
      <c r="C2183" s="645"/>
      <c r="D2183" s="422" t="s">
        <v>252</v>
      </c>
      <c r="E2183" s="423"/>
      <c r="F2183" s="424">
        <v>20</v>
      </c>
      <c r="G2183" s="425">
        <f>VLOOKUP(D2180,'[2]ENSAIOS DE ORÇAMENTO'!$C$3:$L$79,6,FALSE)</f>
        <v>0.20424000000000003</v>
      </c>
      <c r="H2183" s="663">
        <f t="shared" si="575"/>
        <v>4.9180992000000012</v>
      </c>
      <c r="I2183" s="420"/>
      <c r="J2183" s="420"/>
      <c r="K2183" s="421">
        <f t="shared" si="570"/>
        <v>0</v>
      </c>
      <c r="L2183" s="647"/>
      <c r="M2183" s="723"/>
      <c r="N2183" s="576">
        <f t="shared" si="559"/>
        <v>0</v>
      </c>
      <c r="O2183" s="577">
        <f t="shared" si="573"/>
        <v>0</v>
      </c>
      <c r="P2183" s="578">
        <f t="shared" si="574"/>
        <v>0</v>
      </c>
      <c r="Q2183" s="765"/>
      <c r="R2183" s="723"/>
      <c r="S2183" s="723"/>
      <c r="T2183" s="577">
        <f t="shared" si="571"/>
        <v>0</v>
      </c>
      <c r="U2183" s="578">
        <f t="shared" si="572"/>
        <v>0</v>
      </c>
      <c r="V2183" s="579"/>
      <c r="W2183" s="566" t="str">
        <f>IF(U2180&gt;0,"xx",IF(P2180&gt;0,"xy",""))</f>
        <v/>
      </c>
      <c r="X2183" s="586" t="str">
        <f t="shared" si="556"/>
        <v/>
      </c>
      <c r="Y2183" s="586" t="str">
        <f t="shared" si="531"/>
        <v/>
      </c>
      <c r="Z2183" s="586" t="str">
        <f t="shared" si="564"/>
        <v/>
      </c>
    </row>
    <row r="2184" spans="1:26" ht="12" hidden="1" thickBot="1" x14ac:dyDescent="0.25">
      <c r="A2184" s="567" t="s">
        <v>168</v>
      </c>
      <c r="B2184" s="644" t="s">
        <v>168</v>
      </c>
      <c r="C2184" s="645"/>
      <c r="D2184" s="422" t="s">
        <v>400</v>
      </c>
      <c r="E2184" s="423"/>
      <c r="F2184" s="424">
        <v>30</v>
      </c>
      <c r="G2184" s="425">
        <f>VLOOKUP(D2180,'[2]ENSAIOS DE ORÇAMENTO'!$C$3:$L$79,3,FALSE)</f>
        <v>1.4635799999999999</v>
      </c>
      <c r="H2184" s="663">
        <f t="shared" si="575"/>
        <v>50.903312399999997</v>
      </c>
      <c r="I2184" s="420"/>
      <c r="J2184" s="420"/>
      <c r="K2184" s="421">
        <f t="shared" si="570"/>
        <v>0</v>
      </c>
      <c r="L2184" s="647"/>
      <c r="M2184" s="723"/>
      <c r="N2184" s="576">
        <f t="shared" si="559"/>
        <v>0</v>
      </c>
      <c r="O2184" s="577">
        <f t="shared" si="573"/>
        <v>0</v>
      </c>
      <c r="P2184" s="578">
        <f t="shared" si="574"/>
        <v>0</v>
      </c>
      <c r="Q2184" s="765"/>
      <c r="R2184" s="723"/>
      <c r="S2184" s="723"/>
      <c r="T2184" s="577">
        <f t="shared" si="571"/>
        <v>0</v>
      </c>
      <c r="U2184" s="578">
        <f t="shared" si="572"/>
        <v>0</v>
      </c>
      <c r="V2184" s="579"/>
      <c r="W2184" s="566" t="str">
        <f>IF(U2180&gt;0,"xx",IF(P2180&gt;0,"xy",""))</f>
        <v/>
      </c>
      <c r="X2184" s="586" t="str">
        <f t="shared" si="556"/>
        <v/>
      </c>
      <c r="Y2184" s="586" t="str">
        <f t="shared" si="531"/>
        <v/>
      </c>
      <c r="Z2184" s="586" t="str">
        <f t="shared" si="564"/>
        <v/>
      </c>
    </row>
    <row r="2185" spans="1:26" ht="12" hidden="1" thickBot="1" x14ac:dyDescent="0.25">
      <c r="A2185" s="567" t="s">
        <v>168</v>
      </c>
      <c r="B2185" s="644" t="s">
        <v>168</v>
      </c>
      <c r="C2185" s="645"/>
      <c r="D2185" s="422" t="s">
        <v>401</v>
      </c>
      <c r="E2185" s="423"/>
      <c r="F2185" s="424">
        <v>500</v>
      </c>
      <c r="G2185" s="425">
        <f>VLOOKUP(D2180,'[2]ENSAIOS DE ORÇAMENTO'!$C$3:$L$79,10,FALSE)</f>
        <v>4.8785999999999996E-2</v>
      </c>
      <c r="H2185" s="649">
        <f>IF(F2185&lt;=30,(0.78*F2185+7.82)*G2185,((0.78*30+7.82)+0.78*(F2185-30))*G2185)</f>
        <v>19.408046519999999</v>
      </c>
      <c r="I2185" s="420"/>
      <c r="J2185" s="420"/>
      <c r="K2185" s="421">
        <f t="shared" si="570"/>
        <v>0</v>
      </c>
      <c r="L2185" s="647"/>
      <c r="M2185" s="723"/>
      <c r="N2185" s="576">
        <f t="shared" si="559"/>
        <v>0</v>
      </c>
      <c r="O2185" s="577">
        <f t="shared" si="573"/>
        <v>0</v>
      </c>
      <c r="P2185" s="578">
        <f t="shared" si="574"/>
        <v>0</v>
      </c>
      <c r="Q2185" s="765"/>
      <c r="R2185" s="723"/>
      <c r="S2185" s="723"/>
      <c r="T2185" s="577">
        <f t="shared" si="571"/>
        <v>0</v>
      </c>
      <c r="U2185" s="578">
        <f t="shared" si="572"/>
        <v>0</v>
      </c>
      <c r="V2185" s="579"/>
      <c r="W2185" s="566" t="str">
        <f>IF(U2180&gt;0,"xx",IF(P2180&gt;0,"xy",""))</f>
        <v/>
      </c>
      <c r="X2185" s="586" t="str">
        <f t="shared" si="556"/>
        <v/>
      </c>
      <c r="Y2185" s="586" t="str">
        <f t="shared" si="531"/>
        <v/>
      </c>
      <c r="Z2185" s="586" t="str">
        <f t="shared" si="564"/>
        <v/>
      </c>
    </row>
    <row r="2186" spans="1:26" ht="12" hidden="1" thickBot="1" x14ac:dyDescent="0.25">
      <c r="A2186" s="567" t="s">
        <v>27</v>
      </c>
      <c r="B2186" s="644" t="s">
        <v>27</v>
      </c>
      <c r="C2186" s="645" t="s">
        <v>206</v>
      </c>
      <c r="D2186" s="422" t="s">
        <v>72</v>
      </c>
      <c r="E2186" s="423"/>
      <c r="F2186" s="424"/>
      <c r="G2186" s="425"/>
      <c r="H2186" s="651">
        <f>SUM(H2187:H2191)</f>
        <v>383.47125160200005</v>
      </c>
      <c r="I2186" s="420">
        <f>VLOOKUP(D2186,'[2]ENSAIOS DE ORÇAMENTO'!$C$3:$L$79,8,FALSE)</f>
        <v>2044.395368</v>
      </c>
      <c r="J2186" s="420">
        <f>IF(ISBLANK(I2186),"",SUM(H2186:I2186))</f>
        <v>2427.8666196019999</v>
      </c>
      <c r="K2186" s="421">
        <f t="shared" si="570"/>
        <v>2884.55</v>
      </c>
      <c r="L2186" s="647" t="s">
        <v>21</v>
      </c>
      <c r="M2186" s="576"/>
      <c r="N2186" s="576">
        <f t="shared" si="559"/>
        <v>0</v>
      </c>
      <c r="O2186" s="577">
        <f t="shared" si="573"/>
        <v>0</v>
      </c>
      <c r="P2186" s="578">
        <f t="shared" si="574"/>
        <v>0</v>
      </c>
      <c r="Q2186" s="765"/>
      <c r="R2186" s="576">
        <f>M2186</f>
        <v>0</v>
      </c>
      <c r="S2186" s="576">
        <f>N2186</f>
        <v>0</v>
      </c>
      <c r="T2186" s="577">
        <f t="shared" si="571"/>
        <v>0</v>
      </c>
      <c r="U2186" s="578">
        <f t="shared" si="572"/>
        <v>0</v>
      </c>
      <c r="V2186" s="579"/>
      <c r="W2186" s="566"/>
      <c r="X2186" s="586" t="str">
        <f t="shared" si="556"/>
        <v/>
      </c>
      <c r="Y2186" s="586" t="str">
        <f t="shared" si="531"/>
        <v/>
      </c>
      <c r="Z2186" s="586" t="str">
        <f t="shared" si="564"/>
        <v/>
      </c>
    </row>
    <row r="2187" spans="1:26" ht="12" hidden="1" thickBot="1" x14ac:dyDescent="0.25">
      <c r="A2187" s="567" t="s">
        <v>168</v>
      </c>
      <c r="B2187" s="644" t="s">
        <v>168</v>
      </c>
      <c r="C2187" s="645"/>
      <c r="D2187" s="422" t="s">
        <v>212</v>
      </c>
      <c r="E2187" s="423"/>
      <c r="F2187" s="424">
        <v>500</v>
      </c>
      <c r="G2187" s="425">
        <f>VLOOKUP(D2186,'[2]ENSAIOS DE ORÇAMENTO'!$C$3:$L$79,4,FALSE)</f>
        <v>0.19012209999999999</v>
      </c>
      <c r="H2187" s="649">
        <f>IF(F2187&lt;=30,(0.78*F2187+7.82)*G2187,((0.78*30+7.82)+0.78*(F2187-30))*G2187)</f>
        <v>75.634373822000001</v>
      </c>
      <c r="I2187" s="420"/>
      <c r="J2187" s="420"/>
      <c r="K2187" s="421">
        <f t="shared" si="570"/>
        <v>0</v>
      </c>
      <c r="L2187" s="647"/>
      <c r="M2187" s="723"/>
      <c r="N2187" s="576">
        <f t="shared" si="559"/>
        <v>0</v>
      </c>
      <c r="O2187" s="577">
        <f t="shared" si="573"/>
        <v>0</v>
      </c>
      <c r="P2187" s="578">
        <f t="shared" si="574"/>
        <v>0</v>
      </c>
      <c r="Q2187" s="765"/>
      <c r="R2187" s="723"/>
      <c r="S2187" s="723"/>
      <c r="T2187" s="577">
        <f t="shared" si="571"/>
        <v>0</v>
      </c>
      <c r="U2187" s="578">
        <f t="shared" si="572"/>
        <v>0</v>
      </c>
      <c r="V2187" s="579"/>
      <c r="W2187" s="566" t="str">
        <f>IF(U2186&gt;0,"xx",IF(P2186&gt;0,"xy",""))</f>
        <v/>
      </c>
      <c r="X2187" s="586" t="str">
        <f t="shared" si="556"/>
        <v/>
      </c>
      <c r="Y2187" s="586" t="str">
        <f t="shared" si="531"/>
        <v/>
      </c>
      <c r="Z2187" s="586" t="str">
        <f t="shared" si="564"/>
        <v/>
      </c>
    </row>
    <row r="2188" spans="1:26" ht="12" hidden="1" thickBot="1" x14ac:dyDescent="0.25">
      <c r="A2188" s="567" t="s">
        <v>168</v>
      </c>
      <c r="B2188" s="644" t="s">
        <v>168</v>
      </c>
      <c r="C2188" s="645"/>
      <c r="D2188" s="422" t="s">
        <v>248</v>
      </c>
      <c r="E2188" s="423"/>
      <c r="F2188" s="424">
        <v>180</v>
      </c>
      <c r="G2188" s="425">
        <f>VLOOKUP(D2186,'[2]ENSAIOS DE ORÇAMENTO'!$C$3:$L$79,5,FALSE)</f>
        <v>1.09957375</v>
      </c>
      <c r="H2188" s="663">
        <f t="shared" ref="H2188:H2190" si="576">IF(F2188&lt;=30,(1.07*F2188+2.68)*G2188,((1.07*30+2.68)+1.07*(F2188-30))*G2188)</f>
        <v>214.7247619</v>
      </c>
      <c r="I2188" s="420"/>
      <c r="J2188" s="420"/>
      <c r="K2188" s="421">
        <f t="shared" si="570"/>
        <v>0</v>
      </c>
      <c r="L2188" s="647"/>
      <c r="M2188" s="723"/>
      <c r="N2188" s="576">
        <f t="shared" si="559"/>
        <v>0</v>
      </c>
      <c r="O2188" s="577">
        <f t="shared" si="573"/>
        <v>0</v>
      </c>
      <c r="P2188" s="578">
        <f t="shared" si="574"/>
        <v>0</v>
      </c>
      <c r="Q2188" s="765"/>
      <c r="R2188" s="723"/>
      <c r="S2188" s="723"/>
      <c r="T2188" s="577">
        <f t="shared" si="571"/>
        <v>0</v>
      </c>
      <c r="U2188" s="578">
        <f t="shared" si="572"/>
        <v>0</v>
      </c>
      <c r="V2188" s="579"/>
      <c r="W2188" s="566" t="str">
        <f>IF(U2186&gt;0,"xx",IF(P2186&gt;0,"xy",""))</f>
        <v/>
      </c>
      <c r="X2188" s="586" t="str">
        <f t="shared" si="556"/>
        <v/>
      </c>
      <c r="Y2188" s="586" t="str">
        <f t="shared" si="531"/>
        <v/>
      </c>
      <c r="Z2188" s="586" t="str">
        <f t="shared" si="564"/>
        <v/>
      </c>
    </row>
    <row r="2189" spans="1:26" ht="12" hidden="1" thickBot="1" x14ac:dyDescent="0.25">
      <c r="A2189" s="567" t="s">
        <v>168</v>
      </c>
      <c r="B2189" s="644" t="s">
        <v>168</v>
      </c>
      <c r="C2189" s="645"/>
      <c r="D2189" s="422" t="s">
        <v>252</v>
      </c>
      <c r="E2189" s="423"/>
      <c r="F2189" s="424">
        <v>20</v>
      </c>
      <c r="G2189" s="425">
        <f>VLOOKUP(D2186,'[2]ENSAIOS DE ORÇAMENTO'!$C$3:$L$79,6,FALSE)</f>
        <v>0.20424000000000003</v>
      </c>
      <c r="H2189" s="663">
        <f t="shared" si="576"/>
        <v>4.9180992000000012</v>
      </c>
      <c r="I2189" s="420"/>
      <c r="J2189" s="420"/>
      <c r="K2189" s="421">
        <f t="shared" si="570"/>
        <v>0</v>
      </c>
      <c r="L2189" s="647"/>
      <c r="M2189" s="723"/>
      <c r="N2189" s="576">
        <f t="shared" si="559"/>
        <v>0</v>
      </c>
      <c r="O2189" s="577">
        <f t="shared" si="573"/>
        <v>0</v>
      </c>
      <c r="P2189" s="578">
        <f t="shared" si="574"/>
        <v>0</v>
      </c>
      <c r="Q2189" s="765"/>
      <c r="R2189" s="723"/>
      <c r="S2189" s="723"/>
      <c r="T2189" s="577">
        <f t="shared" si="571"/>
        <v>0</v>
      </c>
      <c r="U2189" s="578">
        <f t="shared" si="572"/>
        <v>0</v>
      </c>
      <c r="V2189" s="579"/>
      <c r="W2189" s="566" t="str">
        <f>IF(U2186&gt;0,"xx",IF(P2186&gt;0,"xy",""))</f>
        <v/>
      </c>
      <c r="X2189" s="586" t="str">
        <f t="shared" si="556"/>
        <v/>
      </c>
      <c r="Y2189" s="586" t="str">
        <f t="shared" si="531"/>
        <v/>
      </c>
      <c r="Z2189" s="586" t="str">
        <f t="shared" si="564"/>
        <v/>
      </c>
    </row>
    <row r="2190" spans="1:26" ht="12" hidden="1" thickBot="1" x14ac:dyDescent="0.25">
      <c r="A2190" s="567" t="s">
        <v>168</v>
      </c>
      <c r="B2190" s="644" t="s">
        <v>168</v>
      </c>
      <c r="C2190" s="645"/>
      <c r="D2190" s="422" t="s">
        <v>400</v>
      </c>
      <c r="E2190" s="423"/>
      <c r="F2190" s="424">
        <v>30</v>
      </c>
      <c r="G2190" s="425">
        <f>VLOOKUP(D2186,'[2]ENSAIOS DE ORÇAMENTO'!$C$3:$L$79,3,FALSE)</f>
        <v>1.8358199999999998</v>
      </c>
      <c r="H2190" s="663">
        <f t="shared" si="576"/>
        <v>63.849819599999996</v>
      </c>
      <c r="I2190" s="420"/>
      <c r="J2190" s="420"/>
      <c r="K2190" s="421">
        <f t="shared" si="570"/>
        <v>0</v>
      </c>
      <c r="L2190" s="647"/>
      <c r="M2190" s="723"/>
      <c r="N2190" s="576">
        <f t="shared" si="559"/>
        <v>0</v>
      </c>
      <c r="O2190" s="577">
        <f t="shared" si="573"/>
        <v>0</v>
      </c>
      <c r="P2190" s="578">
        <f t="shared" si="574"/>
        <v>0</v>
      </c>
      <c r="Q2190" s="765"/>
      <c r="R2190" s="723"/>
      <c r="S2190" s="723"/>
      <c r="T2190" s="577">
        <f t="shared" si="571"/>
        <v>0</v>
      </c>
      <c r="U2190" s="578">
        <f t="shared" si="572"/>
        <v>0</v>
      </c>
      <c r="V2190" s="579"/>
      <c r="W2190" s="566" t="str">
        <f>IF(U2186&gt;0,"xx",IF(P2186&gt;0,"xy",""))</f>
        <v/>
      </c>
      <c r="X2190" s="586" t="str">
        <f t="shared" si="556"/>
        <v/>
      </c>
      <c r="Y2190" s="586" t="str">
        <f t="shared" si="531"/>
        <v/>
      </c>
      <c r="Z2190" s="586" t="str">
        <f t="shared" si="564"/>
        <v/>
      </c>
    </row>
    <row r="2191" spans="1:26" ht="12" hidden="1" thickBot="1" x14ac:dyDescent="0.25">
      <c r="A2191" s="567" t="s">
        <v>168</v>
      </c>
      <c r="B2191" s="644" t="s">
        <v>168</v>
      </c>
      <c r="C2191" s="645"/>
      <c r="D2191" s="422" t="s">
        <v>401</v>
      </c>
      <c r="E2191" s="423"/>
      <c r="F2191" s="424">
        <v>500</v>
      </c>
      <c r="G2191" s="425">
        <f>VLOOKUP(D2186,'[2]ENSAIOS DE ORÇAMENTO'!$C$3:$L$79,10,FALSE)</f>
        <v>6.1193999999999998E-2</v>
      </c>
      <c r="H2191" s="649">
        <f>IF(F2191&lt;=30,(0.78*F2191+7.82)*G2191,((0.78*30+7.82)+0.78*(F2191-30))*G2191)</f>
        <v>24.344197080000001</v>
      </c>
      <c r="I2191" s="420"/>
      <c r="J2191" s="420"/>
      <c r="K2191" s="421">
        <f t="shared" si="570"/>
        <v>0</v>
      </c>
      <c r="L2191" s="647"/>
      <c r="M2191" s="723"/>
      <c r="N2191" s="576">
        <f t="shared" si="559"/>
        <v>0</v>
      </c>
      <c r="O2191" s="577">
        <f t="shared" si="573"/>
        <v>0</v>
      </c>
      <c r="P2191" s="578">
        <f t="shared" si="574"/>
        <v>0</v>
      </c>
      <c r="Q2191" s="765"/>
      <c r="R2191" s="723"/>
      <c r="S2191" s="723"/>
      <c r="T2191" s="577">
        <f t="shared" si="571"/>
        <v>0</v>
      </c>
      <c r="U2191" s="578">
        <f t="shared" si="572"/>
        <v>0</v>
      </c>
      <c r="V2191" s="579"/>
      <c r="W2191" s="566" t="str">
        <f>IF(U2186&gt;0,"xx",IF(P2186&gt;0,"xy",""))</f>
        <v/>
      </c>
      <c r="X2191" s="586" t="str">
        <f t="shared" si="556"/>
        <v/>
      </c>
      <c r="Y2191" s="586" t="str">
        <f t="shared" si="531"/>
        <v/>
      </c>
      <c r="Z2191" s="586" t="str">
        <f t="shared" si="564"/>
        <v/>
      </c>
    </row>
    <row r="2192" spans="1:26" ht="12" hidden="1" thickBot="1" x14ac:dyDescent="0.25">
      <c r="A2192" s="567" t="s">
        <v>113</v>
      </c>
      <c r="B2192" s="644" t="s">
        <v>113</v>
      </c>
      <c r="C2192" s="645" t="s">
        <v>206</v>
      </c>
      <c r="D2192" s="422" t="s">
        <v>402</v>
      </c>
      <c r="E2192" s="423"/>
      <c r="F2192" s="424"/>
      <c r="G2192" s="425"/>
      <c r="H2192" s="651">
        <f>SUM(H2193:H2197)</f>
        <v>456.5251684000001</v>
      </c>
      <c r="I2192" s="420">
        <f>VLOOKUP(D2192,'[2]ENSAIOS DE ORÇAMENTO'!$C$3:$L$79,8,FALSE)</f>
        <v>1094.7577000000001</v>
      </c>
      <c r="J2192" s="420">
        <f>IF(ISBLANK(I2192),"",SUM(H2192:I2192))</f>
        <v>1551.2828684000001</v>
      </c>
      <c r="K2192" s="421">
        <f t="shared" si="570"/>
        <v>1843.08</v>
      </c>
      <c r="L2192" s="647" t="s">
        <v>21</v>
      </c>
      <c r="M2192" s="576"/>
      <c r="N2192" s="576">
        <f t="shared" si="559"/>
        <v>0</v>
      </c>
      <c r="O2192" s="577">
        <f t="shared" si="573"/>
        <v>0</v>
      </c>
      <c r="P2192" s="578">
        <f t="shared" si="574"/>
        <v>0</v>
      </c>
      <c r="Q2192" s="765"/>
      <c r="R2192" s="576">
        <f>M2192</f>
        <v>0</v>
      </c>
      <c r="S2192" s="576">
        <f>N2192</f>
        <v>0</v>
      </c>
      <c r="T2192" s="577">
        <f t="shared" si="571"/>
        <v>0</v>
      </c>
      <c r="U2192" s="578">
        <f t="shared" si="572"/>
        <v>0</v>
      </c>
      <c r="V2192" s="579"/>
      <c r="W2192" s="566"/>
      <c r="X2192" s="586" t="str">
        <f t="shared" ref="X2192:X2277" si="577">IF(W2192="X","x",IF(W2192="xx","x",IF(W2192="xy","x",IF(W2192="y","x",IF(OR(P2192&gt;0,U2192&gt;0),"x","")))))</f>
        <v/>
      </c>
      <c r="Y2192" s="586" t="str">
        <f t="shared" si="531"/>
        <v/>
      </c>
      <c r="Z2192" s="586" t="str">
        <f t="shared" si="564"/>
        <v/>
      </c>
    </row>
    <row r="2193" spans="1:26" ht="12" hidden="1" thickBot="1" x14ac:dyDescent="0.25">
      <c r="A2193" s="567" t="s">
        <v>168</v>
      </c>
      <c r="B2193" s="644" t="s">
        <v>168</v>
      </c>
      <c r="C2193" s="645"/>
      <c r="D2193" s="422" t="s">
        <v>212</v>
      </c>
      <c r="E2193" s="423"/>
      <c r="F2193" s="424">
        <v>500</v>
      </c>
      <c r="G2193" s="425">
        <f>VLOOKUP(D2192,'[2]ENSAIOS DE ORÇAMENTO'!$C$3:$L$79,4,FALSE)</f>
        <v>0.43266000000000004</v>
      </c>
      <c r="H2193" s="649">
        <f>IF(F2193&lt;=30,(0.78*F2193+7.82)*G2193,((0.78*30+7.82)+0.78*(F2193-30))*G2193)</f>
        <v>172.12080120000005</v>
      </c>
      <c r="I2193" s="420"/>
      <c r="J2193" s="420"/>
      <c r="K2193" s="421">
        <f t="shared" si="570"/>
        <v>0</v>
      </c>
      <c r="L2193" s="647"/>
      <c r="M2193" s="723"/>
      <c r="N2193" s="576">
        <f t="shared" si="559"/>
        <v>0</v>
      </c>
      <c r="O2193" s="577">
        <f t="shared" si="573"/>
        <v>0</v>
      </c>
      <c r="P2193" s="578">
        <f t="shared" si="574"/>
        <v>0</v>
      </c>
      <c r="Q2193" s="765"/>
      <c r="R2193" s="723"/>
      <c r="S2193" s="723"/>
      <c r="T2193" s="577">
        <f t="shared" si="571"/>
        <v>0</v>
      </c>
      <c r="U2193" s="578">
        <f t="shared" si="572"/>
        <v>0</v>
      </c>
      <c r="V2193" s="579"/>
      <c r="W2193" s="566" t="str">
        <f>IF(U2192&gt;0,"xx",IF(P2192&gt;0,"xy",""))</f>
        <v/>
      </c>
      <c r="X2193" s="586" t="str">
        <f t="shared" si="577"/>
        <v/>
      </c>
      <c r="Y2193" s="586" t="str">
        <f t="shared" si="531"/>
        <v/>
      </c>
      <c r="Z2193" s="586" t="str">
        <f t="shared" si="564"/>
        <v/>
      </c>
    </row>
    <row r="2194" spans="1:26" ht="12" hidden="1" thickBot="1" x14ac:dyDescent="0.25">
      <c r="A2194" s="567" t="s">
        <v>168</v>
      </c>
      <c r="B2194" s="644" t="s">
        <v>168</v>
      </c>
      <c r="C2194" s="645"/>
      <c r="D2194" s="422" t="s">
        <v>248</v>
      </c>
      <c r="E2194" s="423"/>
      <c r="F2194" s="424">
        <v>180</v>
      </c>
      <c r="G2194" s="425">
        <f>VLOOKUP(D2192,'[2]ENSAIOS DE ORÇAMENTO'!$C$3:$L$79,5,FALSE)</f>
        <v>1.26997</v>
      </c>
      <c r="H2194" s="663">
        <f t="shared" ref="H2194:H2196" si="578">IF(F2194&lt;=30,(1.07*F2194+2.68)*G2194,((1.07*30+2.68)+1.07*(F2194-30))*G2194)</f>
        <v>247.99974160000002</v>
      </c>
      <c r="I2194" s="420"/>
      <c r="J2194" s="420"/>
      <c r="K2194" s="421">
        <f t="shared" si="570"/>
        <v>0</v>
      </c>
      <c r="L2194" s="647"/>
      <c r="M2194" s="723"/>
      <c r="N2194" s="576">
        <f t="shared" si="559"/>
        <v>0</v>
      </c>
      <c r="O2194" s="577">
        <f t="shared" si="573"/>
        <v>0</v>
      </c>
      <c r="P2194" s="578">
        <f t="shared" si="574"/>
        <v>0</v>
      </c>
      <c r="Q2194" s="765"/>
      <c r="R2194" s="723"/>
      <c r="S2194" s="723"/>
      <c r="T2194" s="577">
        <f t="shared" si="571"/>
        <v>0</v>
      </c>
      <c r="U2194" s="578">
        <f t="shared" si="572"/>
        <v>0</v>
      </c>
      <c r="V2194" s="579"/>
      <c r="W2194" s="566" t="str">
        <f>IF(U2192&gt;0,"xx",IF(P2192&gt;0,"xy",""))</f>
        <v/>
      </c>
      <c r="X2194" s="586" t="str">
        <f t="shared" si="577"/>
        <v/>
      </c>
      <c r="Y2194" s="586" t="str">
        <f t="shared" si="531"/>
        <v/>
      </c>
      <c r="Z2194" s="586" t="str">
        <f t="shared" si="564"/>
        <v/>
      </c>
    </row>
    <row r="2195" spans="1:26" ht="12" hidden="1" thickBot="1" x14ac:dyDescent="0.25">
      <c r="A2195" s="567" t="s">
        <v>168</v>
      </c>
      <c r="B2195" s="644" t="s">
        <v>168</v>
      </c>
      <c r="C2195" s="645"/>
      <c r="D2195" s="422" t="s">
        <v>252</v>
      </c>
      <c r="E2195" s="423"/>
      <c r="F2195" s="424">
        <v>20</v>
      </c>
      <c r="G2195" s="425">
        <f>VLOOKUP(D2192,'[2]ENSAIOS DE ORÇAMENTO'!$C$3:$L$79,6,FALSE)</f>
        <v>1.5118200000000002</v>
      </c>
      <c r="H2195" s="663">
        <f t="shared" si="578"/>
        <v>36.40462560000001</v>
      </c>
      <c r="I2195" s="420"/>
      <c r="J2195" s="420"/>
      <c r="K2195" s="421">
        <f t="shared" si="570"/>
        <v>0</v>
      </c>
      <c r="L2195" s="647"/>
      <c r="M2195" s="723"/>
      <c r="N2195" s="576">
        <f t="shared" si="559"/>
        <v>0</v>
      </c>
      <c r="O2195" s="577">
        <f t="shared" si="573"/>
        <v>0</v>
      </c>
      <c r="P2195" s="578">
        <f t="shared" si="574"/>
        <v>0</v>
      </c>
      <c r="Q2195" s="765"/>
      <c r="R2195" s="723"/>
      <c r="S2195" s="723"/>
      <c r="T2195" s="577">
        <f t="shared" si="571"/>
        <v>0</v>
      </c>
      <c r="U2195" s="578">
        <f t="shared" si="572"/>
        <v>0</v>
      </c>
      <c r="V2195" s="579"/>
      <c r="W2195" s="566" t="str">
        <f>IF(U2192&gt;0,"xx",IF(P2192&gt;0,"xy",""))</f>
        <v/>
      </c>
      <c r="X2195" s="586" t="str">
        <f t="shared" si="577"/>
        <v/>
      </c>
      <c r="Y2195" s="586" t="str">
        <f t="shared" si="531"/>
        <v/>
      </c>
      <c r="Z2195" s="586" t="str">
        <f t="shared" si="564"/>
        <v/>
      </c>
    </row>
    <row r="2196" spans="1:26" ht="12" hidden="1" thickBot="1" x14ac:dyDescent="0.25">
      <c r="A2196" s="567" t="s">
        <v>168</v>
      </c>
      <c r="B2196" s="644" t="s">
        <v>168</v>
      </c>
      <c r="C2196" s="645"/>
      <c r="D2196" s="422" t="s">
        <v>400</v>
      </c>
      <c r="E2196" s="423"/>
      <c r="F2196" s="424">
        <v>30</v>
      </c>
      <c r="G2196" s="425">
        <f>VLOOKUP(D2192,'[2]ENSAIOS DE ORÇAMENTO'!$C$3:$L$79,3,FALSE)</f>
        <v>0</v>
      </c>
      <c r="H2196" s="663">
        <f t="shared" si="578"/>
        <v>0</v>
      </c>
      <c r="I2196" s="420"/>
      <c r="J2196" s="420"/>
      <c r="K2196" s="421">
        <f t="shared" si="570"/>
        <v>0</v>
      </c>
      <c r="L2196" s="647"/>
      <c r="M2196" s="723"/>
      <c r="N2196" s="576">
        <f t="shared" ref="N2196:N2259" si="579">IF(M2196=0,0,K2196)</f>
        <v>0</v>
      </c>
      <c r="O2196" s="577">
        <f t="shared" si="573"/>
        <v>0</v>
      </c>
      <c r="P2196" s="578">
        <f t="shared" si="574"/>
        <v>0</v>
      </c>
      <c r="Q2196" s="765"/>
      <c r="R2196" s="723"/>
      <c r="S2196" s="723"/>
      <c r="T2196" s="577">
        <f t="shared" si="571"/>
        <v>0</v>
      </c>
      <c r="U2196" s="578">
        <f t="shared" si="572"/>
        <v>0</v>
      </c>
      <c r="V2196" s="579"/>
      <c r="W2196" s="566" t="str">
        <f>IF(U2192&gt;0,"xx",IF(P2192&gt;0,"xy",""))</f>
        <v/>
      </c>
      <c r="X2196" s="586" t="str">
        <f t="shared" si="577"/>
        <v/>
      </c>
      <c r="Y2196" s="586" t="str">
        <f t="shared" si="531"/>
        <v/>
      </c>
      <c r="Z2196" s="586" t="str">
        <f t="shared" si="564"/>
        <v/>
      </c>
    </row>
    <row r="2197" spans="1:26" ht="12" hidden="1" thickBot="1" x14ac:dyDescent="0.25">
      <c r="A2197" s="567" t="s">
        <v>168</v>
      </c>
      <c r="B2197" s="644" t="s">
        <v>168</v>
      </c>
      <c r="C2197" s="645"/>
      <c r="D2197" s="422" t="s">
        <v>401</v>
      </c>
      <c r="E2197" s="423"/>
      <c r="F2197" s="424">
        <v>500</v>
      </c>
      <c r="G2197" s="425">
        <f>VLOOKUP(D2192,'[2]ENSAIOS DE ORÇAMENTO'!$C$3:$L$79,10,FALSE)</f>
        <v>0</v>
      </c>
      <c r="H2197" s="649">
        <f>IF(F2197&lt;=30,(0.78*F2197+7.82)*G2197,((0.78*30+7.82)+0.78*(F2197-30))*G2197)</f>
        <v>0</v>
      </c>
      <c r="I2197" s="420"/>
      <c r="J2197" s="420"/>
      <c r="K2197" s="421">
        <f t="shared" si="570"/>
        <v>0</v>
      </c>
      <c r="L2197" s="647"/>
      <c r="M2197" s="723"/>
      <c r="N2197" s="576">
        <f t="shared" si="579"/>
        <v>0</v>
      </c>
      <c r="O2197" s="577">
        <f t="shared" si="573"/>
        <v>0</v>
      </c>
      <c r="P2197" s="578">
        <f t="shared" si="574"/>
        <v>0</v>
      </c>
      <c r="Q2197" s="765"/>
      <c r="R2197" s="723"/>
      <c r="S2197" s="723"/>
      <c r="T2197" s="577">
        <f t="shared" si="571"/>
        <v>0</v>
      </c>
      <c r="U2197" s="578">
        <f t="shared" si="572"/>
        <v>0</v>
      </c>
      <c r="V2197" s="579"/>
      <c r="W2197" s="566" t="str">
        <f>IF(U2192&gt;0,"xx",IF(P2192&gt;0,"xy",""))</f>
        <v/>
      </c>
      <c r="X2197" s="586" t="str">
        <f t="shared" si="577"/>
        <v/>
      </c>
      <c r="Y2197" s="586" t="str">
        <f t="shared" si="531"/>
        <v/>
      </c>
      <c r="Z2197" s="586" t="str">
        <f t="shared" si="564"/>
        <v/>
      </c>
    </row>
    <row r="2198" spans="1:26" ht="12" hidden="1" thickBot="1" x14ac:dyDescent="0.25">
      <c r="A2198" s="567" t="s">
        <v>114</v>
      </c>
      <c r="B2198" s="644" t="s">
        <v>114</v>
      </c>
      <c r="C2198" s="645" t="s">
        <v>206</v>
      </c>
      <c r="D2198" s="422" t="s">
        <v>403</v>
      </c>
      <c r="E2198" s="423"/>
      <c r="F2198" s="424"/>
      <c r="G2198" s="425">
        <f>G2222</f>
        <v>0</v>
      </c>
      <c r="H2198" s="651">
        <f>SUM(H2199:H2203)</f>
        <v>568.01972080000007</v>
      </c>
      <c r="I2198" s="420">
        <f>VLOOKUP(D2198,'[2]ENSAIOS DE ORÇAMENTO'!$C$3:$L$79,8,FALSE)</f>
        <v>1275.7076000000002</v>
      </c>
      <c r="J2198" s="420">
        <f>IF(ISBLANK(I2198),"",SUM(H2198:I2198))</f>
        <v>1843.7273208000001</v>
      </c>
      <c r="K2198" s="421">
        <f t="shared" si="570"/>
        <v>2190.5300000000002</v>
      </c>
      <c r="L2198" s="647" t="s">
        <v>21</v>
      </c>
      <c r="M2198" s="576"/>
      <c r="N2198" s="576">
        <f t="shared" si="579"/>
        <v>0</v>
      </c>
      <c r="O2198" s="577">
        <f t="shared" si="573"/>
        <v>0</v>
      </c>
      <c r="P2198" s="578">
        <f t="shared" si="574"/>
        <v>0</v>
      </c>
      <c r="Q2198" s="765"/>
      <c r="R2198" s="576">
        <f>M2198</f>
        <v>0</v>
      </c>
      <c r="S2198" s="576">
        <f>N2198</f>
        <v>0</v>
      </c>
      <c r="T2198" s="577">
        <f t="shared" si="571"/>
        <v>0</v>
      </c>
      <c r="U2198" s="578">
        <f t="shared" si="572"/>
        <v>0</v>
      </c>
      <c r="V2198" s="579"/>
      <c r="W2198" s="566"/>
      <c r="X2198" s="586" t="str">
        <f t="shared" si="577"/>
        <v/>
      </c>
      <c r="Y2198" s="586" t="str">
        <f t="shared" si="531"/>
        <v/>
      </c>
      <c r="Z2198" s="586" t="str">
        <f t="shared" si="564"/>
        <v/>
      </c>
    </row>
    <row r="2199" spans="1:26" ht="12" hidden="1" thickBot="1" x14ac:dyDescent="0.25">
      <c r="A2199" s="567" t="s">
        <v>168</v>
      </c>
      <c r="B2199" s="644" t="s">
        <v>168</v>
      </c>
      <c r="C2199" s="645"/>
      <c r="D2199" s="422" t="s">
        <v>212</v>
      </c>
      <c r="E2199" s="423"/>
      <c r="F2199" s="424">
        <v>500</v>
      </c>
      <c r="G2199" s="425">
        <f>VLOOKUP(D2198,'[2]ENSAIOS DE ORÇAMENTO'!$C$3:$L$79,4,FALSE)</f>
        <v>0.54156000000000004</v>
      </c>
      <c r="H2199" s="649">
        <f>IF(F2199&lt;=30,(0.78*F2199+7.82)*G2199,((0.78*30+7.82)+0.78*(F2199-30))*G2199)</f>
        <v>215.44339920000004</v>
      </c>
      <c r="I2199" s="420"/>
      <c r="J2199" s="420"/>
      <c r="K2199" s="421">
        <f t="shared" si="570"/>
        <v>0</v>
      </c>
      <c r="L2199" s="647"/>
      <c r="M2199" s="723"/>
      <c r="N2199" s="576">
        <f t="shared" si="579"/>
        <v>0</v>
      </c>
      <c r="O2199" s="577">
        <f t="shared" si="573"/>
        <v>0</v>
      </c>
      <c r="P2199" s="578">
        <f t="shared" si="574"/>
        <v>0</v>
      </c>
      <c r="Q2199" s="765"/>
      <c r="R2199" s="723"/>
      <c r="S2199" s="723"/>
      <c r="T2199" s="577">
        <f t="shared" si="571"/>
        <v>0</v>
      </c>
      <c r="U2199" s="578">
        <f t="shared" si="572"/>
        <v>0</v>
      </c>
      <c r="V2199" s="579"/>
      <c r="W2199" s="566" t="str">
        <f>IF(U2198&gt;0,"xx",IF(P2198&gt;0,"xy",""))</f>
        <v/>
      </c>
      <c r="X2199" s="586" t="str">
        <f t="shared" si="577"/>
        <v/>
      </c>
      <c r="Y2199" s="586" t="str">
        <f t="shared" si="531"/>
        <v/>
      </c>
      <c r="Z2199" s="586" t="str">
        <f t="shared" si="564"/>
        <v/>
      </c>
    </row>
    <row r="2200" spans="1:26" ht="12" hidden="1" thickBot="1" x14ac:dyDescent="0.25">
      <c r="A2200" s="567" t="s">
        <v>168</v>
      </c>
      <c r="B2200" s="644" t="s">
        <v>168</v>
      </c>
      <c r="C2200" s="645"/>
      <c r="D2200" s="422" t="s">
        <v>248</v>
      </c>
      <c r="E2200" s="423"/>
      <c r="F2200" s="424">
        <v>180</v>
      </c>
      <c r="G2200" s="425">
        <f>VLOOKUP(D2198,'[2]ENSAIOS DE ORÇAMENTO'!$C$3:$L$79,5,FALSE)</f>
        <v>1.5739000000000001</v>
      </c>
      <c r="H2200" s="663">
        <f t="shared" ref="H2200:H2202" si="580">IF(F2200&lt;=30,(1.07*F2200+2.68)*G2200,((1.07*30+2.68)+1.07*(F2200-30))*G2200)</f>
        <v>307.35119200000003</v>
      </c>
      <c r="I2200" s="420"/>
      <c r="J2200" s="420"/>
      <c r="K2200" s="421">
        <f t="shared" si="570"/>
        <v>0</v>
      </c>
      <c r="L2200" s="647"/>
      <c r="M2200" s="723"/>
      <c r="N2200" s="576">
        <f t="shared" si="579"/>
        <v>0</v>
      </c>
      <c r="O2200" s="577">
        <f t="shared" si="573"/>
        <v>0</v>
      </c>
      <c r="P2200" s="578">
        <f t="shared" si="574"/>
        <v>0</v>
      </c>
      <c r="Q2200" s="765"/>
      <c r="R2200" s="723"/>
      <c r="S2200" s="723"/>
      <c r="T2200" s="577">
        <f t="shared" si="571"/>
        <v>0</v>
      </c>
      <c r="U2200" s="578">
        <f t="shared" si="572"/>
        <v>0</v>
      </c>
      <c r="V2200" s="579"/>
      <c r="W2200" s="566" t="str">
        <f>IF(U2198&gt;0,"xx",IF(P2198&gt;0,"xy",""))</f>
        <v/>
      </c>
      <c r="X2200" s="586" t="str">
        <f t="shared" si="577"/>
        <v/>
      </c>
      <c r="Y2200" s="586" t="str">
        <f t="shared" si="531"/>
        <v/>
      </c>
      <c r="Z2200" s="586" t="str">
        <f t="shared" si="564"/>
        <v/>
      </c>
    </row>
    <row r="2201" spans="1:26" ht="12" hidden="1" thickBot="1" x14ac:dyDescent="0.25">
      <c r="A2201" s="567" t="s">
        <v>168</v>
      </c>
      <c r="B2201" s="644" t="s">
        <v>168</v>
      </c>
      <c r="C2201" s="645"/>
      <c r="D2201" s="422" t="s">
        <v>252</v>
      </c>
      <c r="E2201" s="423"/>
      <c r="F2201" s="424">
        <v>20</v>
      </c>
      <c r="G2201" s="425">
        <f>VLOOKUP(D2198,'[2]ENSAIOS DE ORÇAMENTO'!$C$3:$L$79,6,FALSE)</f>
        <v>1.8781200000000002</v>
      </c>
      <c r="H2201" s="663">
        <f t="shared" si="580"/>
        <v>45.22512960000001</v>
      </c>
      <c r="I2201" s="420"/>
      <c r="J2201" s="420"/>
      <c r="K2201" s="421">
        <f t="shared" si="570"/>
        <v>0</v>
      </c>
      <c r="L2201" s="647"/>
      <c r="M2201" s="723"/>
      <c r="N2201" s="576">
        <f t="shared" si="579"/>
        <v>0</v>
      </c>
      <c r="O2201" s="577">
        <f t="shared" si="573"/>
        <v>0</v>
      </c>
      <c r="P2201" s="578">
        <f t="shared" si="574"/>
        <v>0</v>
      </c>
      <c r="Q2201" s="765"/>
      <c r="R2201" s="723"/>
      <c r="S2201" s="723"/>
      <c r="T2201" s="577">
        <f t="shared" si="571"/>
        <v>0</v>
      </c>
      <c r="U2201" s="578">
        <f t="shared" si="572"/>
        <v>0</v>
      </c>
      <c r="V2201" s="579"/>
      <c r="W2201" s="566" t="str">
        <f>IF(U2198&gt;0,"xx",IF(P2198&gt;0,"xy",""))</f>
        <v/>
      </c>
      <c r="X2201" s="586" t="str">
        <f t="shared" si="577"/>
        <v/>
      </c>
      <c r="Y2201" s="586" t="str">
        <f t="shared" si="531"/>
        <v/>
      </c>
      <c r="Z2201" s="586" t="str">
        <f t="shared" si="564"/>
        <v/>
      </c>
    </row>
    <row r="2202" spans="1:26" ht="12" hidden="1" thickBot="1" x14ac:dyDescent="0.25">
      <c r="A2202" s="567" t="s">
        <v>168</v>
      </c>
      <c r="B2202" s="644" t="s">
        <v>168</v>
      </c>
      <c r="C2202" s="645"/>
      <c r="D2202" s="422" t="s">
        <v>400</v>
      </c>
      <c r="E2202" s="423"/>
      <c r="F2202" s="424">
        <v>30</v>
      </c>
      <c r="G2202" s="425">
        <f>VLOOKUP(D2198,'[2]ENSAIOS DE ORÇAMENTO'!$C$3:$L$79,3,FALSE)</f>
        <v>0</v>
      </c>
      <c r="H2202" s="663">
        <f t="shared" si="580"/>
        <v>0</v>
      </c>
      <c r="I2202" s="420"/>
      <c r="J2202" s="420"/>
      <c r="K2202" s="421">
        <f t="shared" si="570"/>
        <v>0</v>
      </c>
      <c r="L2202" s="647"/>
      <c r="M2202" s="723"/>
      <c r="N2202" s="576">
        <f t="shared" si="579"/>
        <v>0</v>
      </c>
      <c r="O2202" s="577">
        <f t="shared" si="573"/>
        <v>0</v>
      </c>
      <c r="P2202" s="578">
        <f t="shared" si="574"/>
        <v>0</v>
      </c>
      <c r="Q2202" s="765"/>
      <c r="R2202" s="723"/>
      <c r="S2202" s="723"/>
      <c r="T2202" s="577">
        <f t="shared" si="571"/>
        <v>0</v>
      </c>
      <c r="U2202" s="578">
        <f t="shared" si="572"/>
        <v>0</v>
      </c>
      <c r="V2202" s="579"/>
      <c r="W2202" s="566" t="str">
        <f>IF(U2198&gt;0,"xx",IF(P2198&gt;0,"xy",""))</f>
        <v/>
      </c>
      <c r="X2202" s="586" t="str">
        <f t="shared" si="577"/>
        <v/>
      </c>
      <c r="Y2202" s="586" t="str">
        <f t="shared" si="531"/>
        <v/>
      </c>
      <c r="Z2202" s="586" t="str">
        <f t="shared" si="564"/>
        <v/>
      </c>
    </row>
    <row r="2203" spans="1:26" ht="12" hidden="1" thickBot="1" x14ac:dyDescent="0.25">
      <c r="A2203" s="567" t="s">
        <v>168</v>
      </c>
      <c r="B2203" s="644" t="s">
        <v>168</v>
      </c>
      <c r="C2203" s="645"/>
      <c r="D2203" s="422" t="s">
        <v>401</v>
      </c>
      <c r="E2203" s="423"/>
      <c r="F2203" s="424">
        <v>500</v>
      </c>
      <c r="G2203" s="425">
        <f>VLOOKUP(D2198,'[2]ENSAIOS DE ORÇAMENTO'!$C$3:$L$79,10,FALSE)</f>
        <v>0</v>
      </c>
      <c r="H2203" s="649">
        <f>IF(F2203&lt;=30,(0.78*F2203+7.82)*G2203,((0.78*30+7.82)+0.78*(F2203-30))*G2203)</f>
        <v>0</v>
      </c>
      <c r="I2203" s="420"/>
      <c r="J2203" s="420"/>
      <c r="K2203" s="421">
        <f t="shared" si="570"/>
        <v>0</v>
      </c>
      <c r="L2203" s="647"/>
      <c r="M2203" s="723"/>
      <c r="N2203" s="576">
        <f t="shared" si="579"/>
        <v>0</v>
      </c>
      <c r="O2203" s="577">
        <f t="shared" si="573"/>
        <v>0</v>
      </c>
      <c r="P2203" s="578">
        <f t="shared" si="574"/>
        <v>0</v>
      </c>
      <c r="Q2203" s="765"/>
      <c r="R2203" s="723"/>
      <c r="S2203" s="723"/>
      <c r="T2203" s="577">
        <f t="shared" si="571"/>
        <v>0</v>
      </c>
      <c r="U2203" s="578">
        <f t="shared" si="572"/>
        <v>0</v>
      </c>
      <c r="V2203" s="579"/>
      <c r="W2203" s="566" t="str">
        <f>IF(U2198&gt;0,"xx",IF(P2198&gt;0,"xy",""))</f>
        <v/>
      </c>
      <c r="X2203" s="586" t="str">
        <f t="shared" si="577"/>
        <v/>
      </c>
      <c r="Y2203" s="586" t="str">
        <f t="shared" si="531"/>
        <v/>
      </c>
      <c r="Z2203" s="586" t="str">
        <f t="shared" si="564"/>
        <v/>
      </c>
    </row>
    <row r="2204" spans="1:26" ht="12" hidden="1" thickBot="1" x14ac:dyDescent="0.25">
      <c r="A2204" s="567" t="s">
        <v>115</v>
      </c>
      <c r="B2204" s="644" t="s">
        <v>115</v>
      </c>
      <c r="C2204" s="645" t="s">
        <v>206</v>
      </c>
      <c r="D2204" s="422" t="s">
        <v>404</v>
      </c>
      <c r="E2204" s="423"/>
      <c r="F2204" s="424"/>
      <c r="G2204" s="425">
        <f>G2228</f>
        <v>0</v>
      </c>
      <c r="H2204" s="651">
        <f>SUM(H2205:H2209)</f>
        <v>750.46535200000017</v>
      </c>
      <c r="I2204" s="420">
        <f>VLOOKUP(D2204,'[2]ENSAIOS DE ORÇAMENTO'!$C$3:$L$79,8,FALSE)</f>
        <v>1572.3155999999999</v>
      </c>
      <c r="J2204" s="420">
        <f>IF(ISBLANK(I2204),"",SUM(H2204:I2204))</f>
        <v>2322.7809520000001</v>
      </c>
      <c r="K2204" s="421">
        <f t="shared" si="570"/>
        <v>2759.7</v>
      </c>
      <c r="L2204" s="647" t="s">
        <v>21</v>
      </c>
      <c r="M2204" s="576"/>
      <c r="N2204" s="576">
        <f t="shared" si="579"/>
        <v>0</v>
      </c>
      <c r="O2204" s="577">
        <f t="shared" si="573"/>
        <v>0</v>
      </c>
      <c r="P2204" s="578">
        <f t="shared" si="574"/>
        <v>0</v>
      </c>
      <c r="Q2204" s="765"/>
      <c r="R2204" s="576">
        <f>M2204</f>
        <v>0</v>
      </c>
      <c r="S2204" s="576">
        <f>N2204</f>
        <v>0</v>
      </c>
      <c r="T2204" s="577">
        <f t="shared" si="571"/>
        <v>0</v>
      </c>
      <c r="U2204" s="578">
        <f t="shared" si="572"/>
        <v>0</v>
      </c>
      <c r="V2204" s="579"/>
      <c r="W2204" s="566"/>
      <c r="X2204" s="586" t="str">
        <f t="shared" si="577"/>
        <v/>
      </c>
      <c r="Y2204" s="586" t="str">
        <f t="shared" si="531"/>
        <v/>
      </c>
      <c r="Z2204" s="586" t="str">
        <f t="shared" si="564"/>
        <v/>
      </c>
    </row>
    <row r="2205" spans="1:26" ht="12" hidden="1" thickBot="1" x14ac:dyDescent="0.25">
      <c r="A2205" s="567" t="s">
        <v>168</v>
      </c>
      <c r="B2205" s="644" t="s">
        <v>168</v>
      </c>
      <c r="C2205" s="645"/>
      <c r="D2205" s="422" t="s">
        <v>212</v>
      </c>
      <c r="E2205" s="423"/>
      <c r="F2205" s="424">
        <v>500</v>
      </c>
      <c r="G2205" s="425">
        <f>VLOOKUP(D2204,'[2]ENSAIOS DE ORÇAMENTO'!$C$3:$L$79,4,FALSE)</f>
        <v>0.71976000000000007</v>
      </c>
      <c r="H2205" s="649">
        <f>IF(F2205&lt;=30,(0.78*F2205+7.82)*G2205,((0.78*30+7.82)+0.78*(F2205-30))*G2205)</f>
        <v>286.33492320000005</v>
      </c>
      <c r="I2205" s="420"/>
      <c r="J2205" s="420"/>
      <c r="K2205" s="421">
        <f t="shared" si="570"/>
        <v>0</v>
      </c>
      <c r="L2205" s="647"/>
      <c r="M2205" s="723"/>
      <c r="N2205" s="576">
        <f t="shared" si="579"/>
        <v>0</v>
      </c>
      <c r="O2205" s="577">
        <f t="shared" si="573"/>
        <v>0</v>
      </c>
      <c r="P2205" s="578">
        <f t="shared" si="574"/>
        <v>0</v>
      </c>
      <c r="Q2205" s="765"/>
      <c r="R2205" s="723"/>
      <c r="S2205" s="723"/>
      <c r="T2205" s="577">
        <f t="shared" si="571"/>
        <v>0</v>
      </c>
      <c r="U2205" s="578">
        <f t="shared" si="572"/>
        <v>0</v>
      </c>
      <c r="V2205" s="579"/>
      <c r="W2205" s="566" t="str">
        <f>IF(U2204&gt;0,"xx",IF(P2204&gt;0,"xy",""))</f>
        <v/>
      </c>
      <c r="X2205" s="586" t="str">
        <f t="shared" si="577"/>
        <v/>
      </c>
      <c r="Y2205" s="586" t="str">
        <f t="shared" si="531"/>
        <v/>
      </c>
      <c r="Z2205" s="586" t="str">
        <f t="shared" si="564"/>
        <v/>
      </c>
    </row>
    <row r="2206" spans="1:26" ht="12" hidden="1" thickBot="1" x14ac:dyDescent="0.25">
      <c r="A2206" s="567" t="s">
        <v>168</v>
      </c>
      <c r="B2206" s="644" t="s">
        <v>168</v>
      </c>
      <c r="C2206" s="645"/>
      <c r="D2206" s="422" t="s">
        <v>248</v>
      </c>
      <c r="E2206" s="423"/>
      <c r="F2206" s="424">
        <v>180</v>
      </c>
      <c r="G2206" s="425">
        <f>VLOOKUP(D2204,'[2]ENSAIOS DE ORÇAMENTO'!$C$3:$L$79,5,FALSE)</f>
        <v>2.0712400000000004</v>
      </c>
      <c r="H2206" s="663">
        <f t="shared" ref="H2206:H2208" si="581">IF(F2206&lt;=30,(1.07*F2206+2.68)*G2206,((1.07*30+2.68)+1.07*(F2206-30))*G2206)</f>
        <v>404.4717472000001</v>
      </c>
      <c r="I2206" s="420"/>
      <c r="J2206" s="420"/>
      <c r="K2206" s="421">
        <f t="shared" si="570"/>
        <v>0</v>
      </c>
      <c r="L2206" s="647"/>
      <c r="M2206" s="723"/>
      <c r="N2206" s="576">
        <f t="shared" si="579"/>
        <v>0</v>
      </c>
      <c r="O2206" s="577">
        <f t="shared" si="573"/>
        <v>0</v>
      </c>
      <c r="P2206" s="578">
        <f t="shared" si="574"/>
        <v>0</v>
      </c>
      <c r="Q2206" s="765"/>
      <c r="R2206" s="723"/>
      <c r="S2206" s="723"/>
      <c r="T2206" s="577">
        <f t="shared" si="571"/>
        <v>0</v>
      </c>
      <c r="U2206" s="578">
        <f t="shared" si="572"/>
        <v>0</v>
      </c>
      <c r="V2206" s="579"/>
      <c r="W2206" s="566" t="str">
        <f>IF(U2204&gt;0,"xx",IF(P2204&gt;0,"xy",""))</f>
        <v/>
      </c>
      <c r="X2206" s="586" t="str">
        <f t="shared" si="577"/>
        <v/>
      </c>
      <c r="Y2206" s="586" t="str">
        <f t="shared" si="531"/>
        <v/>
      </c>
      <c r="Z2206" s="586" t="str">
        <f t="shared" si="564"/>
        <v/>
      </c>
    </row>
    <row r="2207" spans="1:26" ht="12" hidden="1" thickBot="1" x14ac:dyDescent="0.25">
      <c r="A2207" s="567" t="s">
        <v>168</v>
      </c>
      <c r="B2207" s="644" t="s">
        <v>168</v>
      </c>
      <c r="C2207" s="645"/>
      <c r="D2207" s="422" t="s">
        <v>252</v>
      </c>
      <c r="E2207" s="423"/>
      <c r="F2207" s="424">
        <v>20</v>
      </c>
      <c r="G2207" s="425">
        <f>VLOOKUP(D2204,'[2]ENSAIOS DE ORÇAMENTO'!$C$3:$L$79,6,FALSE)</f>
        <v>2.4775200000000002</v>
      </c>
      <c r="H2207" s="663">
        <f t="shared" si="581"/>
        <v>59.658681600000008</v>
      </c>
      <c r="I2207" s="420"/>
      <c r="J2207" s="420"/>
      <c r="K2207" s="421">
        <f t="shared" si="570"/>
        <v>0</v>
      </c>
      <c r="L2207" s="647"/>
      <c r="M2207" s="723"/>
      <c r="N2207" s="576">
        <f t="shared" si="579"/>
        <v>0</v>
      </c>
      <c r="O2207" s="577">
        <f t="shared" si="573"/>
        <v>0</v>
      </c>
      <c r="P2207" s="578">
        <f t="shared" si="574"/>
        <v>0</v>
      </c>
      <c r="Q2207" s="765"/>
      <c r="R2207" s="723"/>
      <c r="S2207" s="723"/>
      <c r="T2207" s="577">
        <f t="shared" si="571"/>
        <v>0</v>
      </c>
      <c r="U2207" s="578">
        <f t="shared" si="572"/>
        <v>0</v>
      </c>
      <c r="V2207" s="579"/>
      <c r="W2207" s="566" t="str">
        <f>IF(U2204&gt;0,"xx",IF(P2204&gt;0,"xy",""))</f>
        <v/>
      </c>
      <c r="X2207" s="586" t="str">
        <f t="shared" si="577"/>
        <v/>
      </c>
      <c r="Y2207" s="586" t="str">
        <f t="shared" si="531"/>
        <v/>
      </c>
      <c r="Z2207" s="586" t="str">
        <f t="shared" si="564"/>
        <v/>
      </c>
    </row>
    <row r="2208" spans="1:26" ht="12" hidden="1" thickBot="1" x14ac:dyDescent="0.25">
      <c r="A2208" s="567" t="s">
        <v>168</v>
      </c>
      <c r="B2208" s="644" t="s">
        <v>168</v>
      </c>
      <c r="C2208" s="645"/>
      <c r="D2208" s="422" t="s">
        <v>400</v>
      </c>
      <c r="E2208" s="423"/>
      <c r="F2208" s="424">
        <v>30</v>
      </c>
      <c r="G2208" s="425">
        <f>VLOOKUP(D2204,'[2]ENSAIOS DE ORÇAMENTO'!$C$3:$L$79,3,FALSE)</f>
        <v>0</v>
      </c>
      <c r="H2208" s="663">
        <f t="shared" si="581"/>
        <v>0</v>
      </c>
      <c r="I2208" s="420"/>
      <c r="J2208" s="420"/>
      <c r="K2208" s="421">
        <f t="shared" si="570"/>
        <v>0</v>
      </c>
      <c r="L2208" s="647"/>
      <c r="M2208" s="723"/>
      <c r="N2208" s="576">
        <f t="shared" si="579"/>
        <v>0</v>
      </c>
      <c r="O2208" s="577">
        <f t="shared" si="573"/>
        <v>0</v>
      </c>
      <c r="P2208" s="578">
        <f t="shared" si="574"/>
        <v>0</v>
      </c>
      <c r="Q2208" s="765"/>
      <c r="R2208" s="723"/>
      <c r="S2208" s="723"/>
      <c r="T2208" s="577">
        <f t="shared" si="571"/>
        <v>0</v>
      </c>
      <c r="U2208" s="578">
        <f t="shared" si="572"/>
        <v>0</v>
      </c>
      <c r="V2208" s="579"/>
      <c r="W2208" s="566" t="str">
        <f>IF(U2204&gt;0,"xx",IF(P2204&gt;0,"xy",""))</f>
        <v/>
      </c>
      <c r="X2208" s="586" t="str">
        <f t="shared" si="577"/>
        <v/>
      </c>
      <c r="Y2208" s="586" t="str">
        <f t="shared" si="531"/>
        <v/>
      </c>
      <c r="Z2208" s="586" t="str">
        <f t="shared" si="564"/>
        <v/>
      </c>
    </row>
    <row r="2209" spans="1:26" ht="12" hidden="1" thickBot="1" x14ac:dyDescent="0.25">
      <c r="A2209" s="567" t="s">
        <v>168</v>
      </c>
      <c r="B2209" s="644" t="s">
        <v>168</v>
      </c>
      <c r="C2209" s="645"/>
      <c r="D2209" s="422" t="s">
        <v>401</v>
      </c>
      <c r="E2209" s="423"/>
      <c r="F2209" s="424">
        <v>500</v>
      </c>
      <c r="G2209" s="425">
        <f>VLOOKUP(D2204,'[2]ENSAIOS DE ORÇAMENTO'!$C$3:$L$79,10,FALSE)</f>
        <v>0</v>
      </c>
      <c r="H2209" s="649">
        <f>IF(F2209&lt;=30,(0.78*F2209+7.82)*G2209,((0.78*30+7.82)+0.78*(F2209-30))*G2209)</f>
        <v>0</v>
      </c>
      <c r="I2209" s="420"/>
      <c r="J2209" s="420"/>
      <c r="K2209" s="421">
        <f t="shared" si="570"/>
        <v>0</v>
      </c>
      <c r="L2209" s="647"/>
      <c r="M2209" s="723"/>
      <c r="N2209" s="576">
        <f t="shared" si="579"/>
        <v>0</v>
      </c>
      <c r="O2209" s="577">
        <f t="shared" si="573"/>
        <v>0</v>
      </c>
      <c r="P2209" s="578">
        <f t="shared" si="574"/>
        <v>0</v>
      </c>
      <c r="Q2209" s="765"/>
      <c r="R2209" s="723"/>
      <c r="S2209" s="723"/>
      <c r="T2209" s="577">
        <f t="shared" si="571"/>
        <v>0</v>
      </c>
      <c r="U2209" s="578">
        <f t="shared" si="572"/>
        <v>0</v>
      </c>
      <c r="V2209" s="579"/>
      <c r="W2209" s="566" t="str">
        <f>IF(U2204&gt;0,"xx",IF(P2204&gt;0,"xy",""))</f>
        <v/>
      </c>
      <c r="X2209" s="586" t="str">
        <f t="shared" si="577"/>
        <v/>
      </c>
      <c r="Y2209" s="586" t="str">
        <f t="shared" si="531"/>
        <v/>
      </c>
      <c r="Z2209" s="586" t="str">
        <f t="shared" si="564"/>
        <v/>
      </c>
    </row>
    <row r="2210" spans="1:26" ht="12" hidden="1" thickBot="1" x14ac:dyDescent="0.25">
      <c r="A2210" s="567" t="s">
        <v>116</v>
      </c>
      <c r="B2210" s="644" t="s">
        <v>116</v>
      </c>
      <c r="C2210" s="645" t="s">
        <v>206</v>
      </c>
      <c r="D2210" s="422" t="s">
        <v>405</v>
      </c>
      <c r="E2210" s="423"/>
      <c r="F2210" s="424"/>
      <c r="G2210" s="425">
        <f>G2234</f>
        <v>0</v>
      </c>
      <c r="H2210" s="651">
        <f>IF(F2210&lt;=30,(0.62*F2210+6.29)*G2210,((0.62*30+6.29)+0.62*(F2210-30))*G2210)</f>
        <v>0</v>
      </c>
      <c r="I2210" s="420">
        <f>VLOOKUP(D2210,'[2]ENSAIOS DE ORÇAMENTO'!$C$3:$L$79,8,FALSE)</f>
        <v>1873.8007000000002</v>
      </c>
      <c r="J2210" s="420">
        <f>IF(ISBLANK(I2210),"",SUM(H2210:I2210))</f>
        <v>1873.8007000000002</v>
      </c>
      <c r="K2210" s="421">
        <f t="shared" si="570"/>
        <v>2226.2600000000002</v>
      </c>
      <c r="L2210" s="647" t="s">
        <v>21</v>
      </c>
      <c r="M2210" s="576"/>
      <c r="N2210" s="576">
        <f t="shared" si="579"/>
        <v>0</v>
      </c>
      <c r="O2210" s="577">
        <f t="shared" si="573"/>
        <v>0</v>
      </c>
      <c r="P2210" s="578">
        <f t="shared" si="574"/>
        <v>0</v>
      </c>
      <c r="Q2210" s="765"/>
      <c r="R2210" s="576">
        <f>M2210</f>
        <v>0</v>
      </c>
      <c r="S2210" s="576">
        <f>N2210</f>
        <v>0</v>
      </c>
      <c r="T2210" s="577">
        <f t="shared" si="571"/>
        <v>0</v>
      </c>
      <c r="U2210" s="578">
        <f t="shared" si="572"/>
        <v>0</v>
      </c>
      <c r="V2210" s="579"/>
      <c r="W2210" s="566"/>
      <c r="X2210" s="586" t="str">
        <f t="shared" si="577"/>
        <v/>
      </c>
      <c r="Y2210" s="586" t="str">
        <f t="shared" si="531"/>
        <v/>
      </c>
      <c r="Z2210" s="586" t="str">
        <f t="shared" si="564"/>
        <v/>
      </c>
    </row>
    <row r="2211" spans="1:26" ht="12" hidden="1" thickBot="1" x14ac:dyDescent="0.25">
      <c r="A2211" s="567" t="s">
        <v>168</v>
      </c>
      <c r="B2211" s="644" t="s">
        <v>168</v>
      </c>
      <c r="C2211" s="645"/>
      <c r="D2211" s="422" t="s">
        <v>212</v>
      </c>
      <c r="E2211" s="423"/>
      <c r="F2211" s="424">
        <v>500</v>
      </c>
      <c r="G2211" s="425">
        <f>VLOOKUP(D2210,'[2]ENSAIOS DE ORÇAMENTO'!$C$3:$L$79,4,FALSE)</f>
        <v>0.90125999999999995</v>
      </c>
      <c r="H2211" s="649">
        <f>IF(F2211&lt;=30,(0.78*F2211+7.82)*G2211,((0.78*30+7.82)+0.78*(F2211-30))*G2211)</f>
        <v>358.53925320000002</v>
      </c>
      <c r="I2211" s="420"/>
      <c r="J2211" s="420"/>
      <c r="K2211" s="421">
        <f t="shared" si="570"/>
        <v>0</v>
      </c>
      <c r="L2211" s="647"/>
      <c r="M2211" s="723"/>
      <c r="N2211" s="576">
        <f t="shared" si="579"/>
        <v>0</v>
      </c>
      <c r="O2211" s="577">
        <f t="shared" si="573"/>
        <v>0</v>
      </c>
      <c r="P2211" s="578">
        <f t="shared" si="574"/>
        <v>0</v>
      </c>
      <c r="Q2211" s="765"/>
      <c r="R2211" s="723"/>
      <c r="S2211" s="723"/>
      <c r="T2211" s="577">
        <f t="shared" si="571"/>
        <v>0</v>
      </c>
      <c r="U2211" s="578">
        <f t="shared" si="572"/>
        <v>0</v>
      </c>
      <c r="V2211" s="579"/>
      <c r="W2211" s="566" t="str">
        <f>IF(U2210&gt;0,"xx",IF(P2210&gt;0,"xy",""))</f>
        <v/>
      </c>
      <c r="X2211" s="586" t="str">
        <f t="shared" si="577"/>
        <v/>
      </c>
      <c r="Y2211" s="586" t="str">
        <f t="shared" si="531"/>
        <v/>
      </c>
      <c r="Z2211" s="586" t="str">
        <f t="shared" si="564"/>
        <v/>
      </c>
    </row>
    <row r="2212" spans="1:26" ht="12" hidden="1" thickBot="1" x14ac:dyDescent="0.25">
      <c r="A2212" s="567" t="s">
        <v>168</v>
      </c>
      <c r="B2212" s="644" t="s">
        <v>168</v>
      </c>
      <c r="C2212" s="645"/>
      <c r="D2212" s="422" t="s">
        <v>248</v>
      </c>
      <c r="E2212" s="423"/>
      <c r="F2212" s="424">
        <v>180</v>
      </c>
      <c r="G2212" s="425">
        <f>VLOOKUP(D2210,'[2]ENSAIOS DE ORÇAMENTO'!$C$3:$L$79,5,FALSE)</f>
        <v>2.5777900000000002</v>
      </c>
      <c r="H2212" s="663">
        <f t="shared" ref="H2212:H2214" si="582">IF(F2212&lt;=30,(1.07*F2212+2.68)*G2212,((1.07*30+2.68)+1.07*(F2212-30))*G2212)</f>
        <v>503.39083120000004</v>
      </c>
      <c r="I2212" s="420"/>
      <c r="J2212" s="420"/>
      <c r="K2212" s="421">
        <f t="shared" si="570"/>
        <v>0</v>
      </c>
      <c r="L2212" s="647"/>
      <c r="M2212" s="723"/>
      <c r="N2212" s="576">
        <f t="shared" si="579"/>
        <v>0</v>
      </c>
      <c r="O2212" s="577">
        <f t="shared" si="573"/>
        <v>0</v>
      </c>
      <c r="P2212" s="578">
        <f t="shared" si="574"/>
        <v>0</v>
      </c>
      <c r="Q2212" s="765"/>
      <c r="R2212" s="723"/>
      <c r="S2212" s="723"/>
      <c r="T2212" s="577">
        <f t="shared" si="571"/>
        <v>0</v>
      </c>
      <c r="U2212" s="578">
        <f t="shared" si="572"/>
        <v>0</v>
      </c>
      <c r="V2212" s="579"/>
      <c r="W2212" s="566" t="str">
        <f>IF(U2210&gt;0,"xx",IF(P2210&gt;0,"xy",""))</f>
        <v/>
      </c>
      <c r="X2212" s="586" t="str">
        <f t="shared" si="577"/>
        <v/>
      </c>
      <c r="Y2212" s="586" t="str">
        <f t="shared" si="531"/>
        <v/>
      </c>
      <c r="Z2212" s="586" t="str">
        <f t="shared" si="564"/>
        <v/>
      </c>
    </row>
    <row r="2213" spans="1:26" ht="12" hidden="1" thickBot="1" x14ac:dyDescent="0.25">
      <c r="A2213" s="567" t="s">
        <v>168</v>
      </c>
      <c r="B2213" s="644" t="s">
        <v>168</v>
      </c>
      <c r="C2213" s="645"/>
      <c r="D2213" s="422" t="s">
        <v>252</v>
      </c>
      <c r="E2213" s="423"/>
      <c r="F2213" s="424">
        <v>20</v>
      </c>
      <c r="G2213" s="425">
        <f>VLOOKUP(D2210,'[2]ENSAIOS DE ORÇAMENTO'!$C$3:$L$79,6,FALSE)</f>
        <v>3.0880200000000002</v>
      </c>
      <c r="H2213" s="663">
        <f t="shared" si="582"/>
        <v>74.359521600000008</v>
      </c>
      <c r="I2213" s="420"/>
      <c r="J2213" s="420"/>
      <c r="K2213" s="421">
        <f t="shared" si="570"/>
        <v>0</v>
      </c>
      <c r="L2213" s="647"/>
      <c r="M2213" s="723"/>
      <c r="N2213" s="576">
        <f t="shared" si="579"/>
        <v>0</v>
      </c>
      <c r="O2213" s="577">
        <f t="shared" si="573"/>
        <v>0</v>
      </c>
      <c r="P2213" s="578">
        <f t="shared" si="574"/>
        <v>0</v>
      </c>
      <c r="Q2213" s="765"/>
      <c r="R2213" s="723"/>
      <c r="S2213" s="723"/>
      <c r="T2213" s="577">
        <f t="shared" si="571"/>
        <v>0</v>
      </c>
      <c r="U2213" s="578">
        <f t="shared" si="572"/>
        <v>0</v>
      </c>
      <c r="V2213" s="579"/>
      <c r="W2213" s="566" t="str">
        <f>IF(U2210&gt;0,"xx",IF(P2210&gt;0,"xy",""))</f>
        <v/>
      </c>
      <c r="X2213" s="586" t="str">
        <f t="shared" si="577"/>
        <v/>
      </c>
      <c r="Y2213" s="586" t="str">
        <f t="shared" si="531"/>
        <v/>
      </c>
      <c r="Z2213" s="586" t="str">
        <f t="shared" si="564"/>
        <v/>
      </c>
    </row>
    <row r="2214" spans="1:26" ht="12" hidden="1" thickBot="1" x14ac:dyDescent="0.25">
      <c r="A2214" s="567" t="s">
        <v>168</v>
      </c>
      <c r="B2214" s="644" t="s">
        <v>168</v>
      </c>
      <c r="C2214" s="645"/>
      <c r="D2214" s="422" t="s">
        <v>400</v>
      </c>
      <c r="E2214" s="423"/>
      <c r="F2214" s="424">
        <v>30</v>
      </c>
      <c r="G2214" s="425">
        <f>VLOOKUP(D2210,'[2]ENSAIOS DE ORÇAMENTO'!$C$3:$L$79,3,FALSE)</f>
        <v>0</v>
      </c>
      <c r="H2214" s="663">
        <f t="shared" si="582"/>
        <v>0</v>
      </c>
      <c r="I2214" s="420"/>
      <c r="J2214" s="420"/>
      <c r="K2214" s="421">
        <f t="shared" si="570"/>
        <v>0</v>
      </c>
      <c r="L2214" s="647"/>
      <c r="M2214" s="723"/>
      <c r="N2214" s="576">
        <f t="shared" si="579"/>
        <v>0</v>
      </c>
      <c r="O2214" s="577">
        <f t="shared" si="573"/>
        <v>0</v>
      </c>
      <c r="P2214" s="578">
        <f t="shared" si="574"/>
        <v>0</v>
      </c>
      <c r="Q2214" s="765"/>
      <c r="R2214" s="723"/>
      <c r="S2214" s="723"/>
      <c r="T2214" s="577">
        <f t="shared" si="571"/>
        <v>0</v>
      </c>
      <c r="U2214" s="578">
        <f t="shared" si="572"/>
        <v>0</v>
      </c>
      <c r="V2214" s="579"/>
      <c r="W2214" s="566" t="str">
        <f>IF(U2210&gt;0,"xx",IF(P2210&gt;0,"xy",""))</f>
        <v/>
      </c>
      <c r="X2214" s="586" t="str">
        <f t="shared" si="577"/>
        <v/>
      </c>
      <c r="Y2214" s="586" t="str">
        <f t="shared" si="531"/>
        <v/>
      </c>
      <c r="Z2214" s="586" t="str">
        <f t="shared" si="564"/>
        <v/>
      </c>
    </row>
    <row r="2215" spans="1:26" ht="12" hidden="1" thickBot="1" x14ac:dyDescent="0.25">
      <c r="A2215" s="567" t="s">
        <v>168</v>
      </c>
      <c r="B2215" s="644" t="s">
        <v>168</v>
      </c>
      <c r="C2215" s="645"/>
      <c r="D2215" s="422" t="s">
        <v>401</v>
      </c>
      <c r="E2215" s="423"/>
      <c r="F2215" s="424">
        <v>500</v>
      </c>
      <c r="G2215" s="425">
        <f>VLOOKUP(D2210,'[2]ENSAIOS DE ORÇAMENTO'!$C$3:$L$79,10,FALSE)</f>
        <v>0</v>
      </c>
      <c r="H2215" s="649">
        <f>IF(F2215&lt;=30,(0.78*F2215+7.82)*G2215,((0.78*30+7.82)+0.78*(F2215-30))*G2215)</f>
        <v>0</v>
      </c>
      <c r="I2215" s="420"/>
      <c r="J2215" s="420"/>
      <c r="K2215" s="421">
        <f t="shared" si="570"/>
        <v>0</v>
      </c>
      <c r="L2215" s="647"/>
      <c r="M2215" s="723"/>
      <c r="N2215" s="576">
        <f t="shared" si="579"/>
        <v>0</v>
      </c>
      <c r="O2215" s="577">
        <f t="shared" si="573"/>
        <v>0</v>
      </c>
      <c r="P2215" s="578">
        <f t="shared" si="574"/>
        <v>0</v>
      </c>
      <c r="Q2215" s="765"/>
      <c r="R2215" s="723"/>
      <c r="S2215" s="723"/>
      <c r="T2215" s="577">
        <f t="shared" si="571"/>
        <v>0</v>
      </c>
      <c r="U2215" s="578">
        <f t="shared" si="572"/>
        <v>0</v>
      </c>
      <c r="V2215" s="579"/>
      <c r="W2215" s="566" t="str">
        <f>IF(U2210&gt;0,"xx",IF(P2210&gt;0,"xy",""))</f>
        <v/>
      </c>
      <c r="X2215" s="586" t="str">
        <f t="shared" si="577"/>
        <v/>
      </c>
      <c r="Y2215" s="586" t="str">
        <f t="shared" si="531"/>
        <v/>
      </c>
      <c r="Z2215" s="586" t="str">
        <f t="shared" si="564"/>
        <v/>
      </c>
    </row>
    <row r="2216" spans="1:26" ht="12" hidden="1" thickBot="1" x14ac:dyDescent="0.25">
      <c r="A2216" s="567" t="s">
        <v>28</v>
      </c>
      <c r="B2216" s="644" t="s">
        <v>28</v>
      </c>
      <c r="C2216" s="645" t="s">
        <v>206</v>
      </c>
      <c r="D2216" s="422" t="s">
        <v>108</v>
      </c>
      <c r="E2216" s="423"/>
      <c r="F2216" s="424"/>
      <c r="G2216" s="425"/>
      <c r="H2216" s="651">
        <f>SUM(H2217:H2221)</f>
        <v>216.43740439999999</v>
      </c>
      <c r="I2216" s="420">
        <f>VLOOKUP(D2216,'[2]ENSAIOS DE ORÇAMENTO'!$C$3:$L$79,8,FALSE)</f>
        <v>1829.9006999999997</v>
      </c>
      <c r="J2216" s="420">
        <f>IF(ISBLANK(I2216),"",SUM(H2216:I2216))</f>
        <v>2046.3381043999998</v>
      </c>
      <c r="K2216" s="421">
        <f t="shared" si="570"/>
        <v>2431.25</v>
      </c>
      <c r="L2216" s="647" t="s">
        <v>21</v>
      </c>
      <c r="M2216" s="576"/>
      <c r="N2216" s="576">
        <f t="shared" si="579"/>
        <v>0</v>
      </c>
      <c r="O2216" s="577">
        <f t="shared" si="573"/>
        <v>0</v>
      </c>
      <c r="P2216" s="578">
        <f t="shared" si="574"/>
        <v>0</v>
      </c>
      <c r="Q2216" s="765"/>
      <c r="R2216" s="576">
        <f>M2216</f>
        <v>0</v>
      </c>
      <c r="S2216" s="576">
        <f>N2216</f>
        <v>0</v>
      </c>
      <c r="T2216" s="577">
        <f t="shared" si="571"/>
        <v>0</v>
      </c>
      <c r="U2216" s="578">
        <f t="shared" si="572"/>
        <v>0</v>
      </c>
      <c r="V2216" s="579"/>
      <c r="W2216" s="566"/>
      <c r="X2216" s="586" t="str">
        <f t="shared" si="577"/>
        <v/>
      </c>
      <c r="Y2216" s="586" t="str">
        <f t="shared" si="531"/>
        <v/>
      </c>
      <c r="Z2216" s="586" t="str">
        <f t="shared" ref="Z2216:Z2279" si="583">IF(W2216="X","x",IF(U2216&gt;0,"x",""))</f>
        <v/>
      </c>
    </row>
    <row r="2217" spans="1:26" ht="12" hidden="1" thickBot="1" x14ac:dyDescent="0.25">
      <c r="A2217" s="567" t="s">
        <v>168</v>
      </c>
      <c r="B2217" s="644" t="s">
        <v>168</v>
      </c>
      <c r="C2217" s="645"/>
      <c r="D2217" s="422" t="s">
        <v>212</v>
      </c>
      <c r="E2217" s="423"/>
      <c r="F2217" s="424">
        <v>500</v>
      </c>
      <c r="G2217" s="425">
        <f>VLOOKUP(D2216,'[2]ENSAIOS DE ORÇAMENTO'!$C$3:$L$79,4,FALSE)</f>
        <v>0.20478000000000002</v>
      </c>
      <c r="H2217" s="649">
        <f>IF(F2217&lt;=30,(0.78*F2217+7.82)*G2217,((0.78*30+7.82)+0.78*(F2217-30))*G2217)</f>
        <v>81.465579600000012</v>
      </c>
      <c r="I2217" s="420"/>
      <c r="J2217" s="420"/>
      <c r="K2217" s="421">
        <f t="shared" si="570"/>
        <v>0</v>
      </c>
      <c r="L2217" s="647"/>
      <c r="M2217" s="723"/>
      <c r="N2217" s="576">
        <f t="shared" si="579"/>
        <v>0</v>
      </c>
      <c r="O2217" s="577">
        <f t="shared" si="573"/>
        <v>0</v>
      </c>
      <c r="P2217" s="578">
        <f t="shared" si="574"/>
        <v>0</v>
      </c>
      <c r="Q2217" s="765"/>
      <c r="R2217" s="723"/>
      <c r="S2217" s="723"/>
      <c r="T2217" s="577">
        <f t="shared" si="571"/>
        <v>0</v>
      </c>
      <c r="U2217" s="578">
        <f t="shared" si="572"/>
        <v>0</v>
      </c>
      <c r="V2217" s="579"/>
      <c r="W2217" s="566" t="str">
        <f>IF(U2216&gt;0,"xx",IF(P2216&gt;0,"xy",""))</f>
        <v/>
      </c>
      <c r="X2217" s="586" t="str">
        <f t="shared" si="577"/>
        <v/>
      </c>
      <c r="Y2217" s="586" t="str">
        <f t="shared" si="531"/>
        <v/>
      </c>
      <c r="Z2217" s="586" t="str">
        <f t="shared" si="583"/>
        <v/>
      </c>
    </row>
    <row r="2218" spans="1:26" ht="12" hidden="1" thickBot="1" x14ac:dyDescent="0.25">
      <c r="A2218" s="567" t="s">
        <v>168</v>
      </c>
      <c r="B2218" s="644" t="s">
        <v>168</v>
      </c>
      <c r="C2218" s="645"/>
      <c r="D2218" s="422" t="s">
        <v>248</v>
      </c>
      <c r="E2218" s="423"/>
      <c r="F2218" s="424">
        <v>180</v>
      </c>
      <c r="G2218" s="425">
        <f>VLOOKUP(D2216,'[2]ENSAIOS DE ORÇAMENTO'!$C$3:$L$79,5,FALSE)</f>
        <v>0.60275000000000001</v>
      </c>
      <c r="H2218" s="663">
        <f t="shared" ref="H2218:H2220" si="584">IF(F2218&lt;=30,(1.07*F2218+2.68)*G2218,((1.07*30+2.68)+1.07*(F2218-30))*G2218)</f>
        <v>117.70502</v>
      </c>
      <c r="I2218" s="420"/>
      <c r="J2218" s="420"/>
      <c r="K2218" s="421">
        <f t="shared" si="570"/>
        <v>0</v>
      </c>
      <c r="L2218" s="647"/>
      <c r="M2218" s="723"/>
      <c r="N2218" s="576">
        <f t="shared" si="579"/>
        <v>0</v>
      </c>
      <c r="O2218" s="577">
        <f t="shared" si="573"/>
        <v>0</v>
      </c>
      <c r="P2218" s="578">
        <f t="shared" si="574"/>
        <v>0</v>
      </c>
      <c r="Q2218" s="765"/>
      <c r="R2218" s="723"/>
      <c r="S2218" s="723"/>
      <c r="T2218" s="577">
        <f t="shared" si="571"/>
        <v>0</v>
      </c>
      <c r="U2218" s="578">
        <f t="shared" si="572"/>
        <v>0</v>
      </c>
      <c r="V2218" s="579"/>
      <c r="W2218" s="566" t="str">
        <f>IF(U2216&gt;0,"xx",IF(P2216&gt;0,"xy",""))</f>
        <v/>
      </c>
      <c r="X2218" s="586" t="str">
        <f t="shared" si="577"/>
        <v/>
      </c>
      <c r="Y2218" s="586" t="str">
        <f t="shared" si="531"/>
        <v/>
      </c>
      <c r="Z2218" s="586" t="str">
        <f t="shared" si="583"/>
        <v/>
      </c>
    </row>
    <row r="2219" spans="1:26" ht="12" hidden="1" thickBot="1" x14ac:dyDescent="0.25">
      <c r="A2219" s="567" t="s">
        <v>168</v>
      </c>
      <c r="B2219" s="644" t="s">
        <v>168</v>
      </c>
      <c r="C2219" s="645"/>
      <c r="D2219" s="422" t="s">
        <v>252</v>
      </c>
      <c r="E2219" s="423"/>
      <c r="F2219" s="424">
        <v>20</v>
      </c>
      <c r="G2219" s="425">
        <f>VLOOKUP(D2216,'[2]ENSAIOS DE ORÇAMENTO'!$C$3:$L$79,6,FALSE)</f>
        <v>0.71706000000000003</v>
      </c>
      <c r="H2219" s="663">
        <f t="shared" si="584"/>
        <v>17.266804800000003</v>
      </c>
      <c r="I2219" s="420"/>
      <c r="J2219" s="420"/>
      <c r="K2219" s="421">
        <f t="shared" si="570"/>
        <v>0</v>
      </c>
      <c r="L2219" s="647"/>
      <c r="M2219" s="723"/>
      <c r="N2219" s="576">
        <f t="shared" si="579"/>
        <v>0</v>
      </c>
      <c r="O2219" s="577">
        <f t="shared" si="573"/>
        <v>0</v>
      </c>
      <c r="P2219" s="578">
        <f t="shared" si="574"/>
        <v>0</v>
      </c>
      <c r="Q2219" s="765"/>
      <c r="R2219" s="723"/>
      <c r="S2219" s="723"/>
      <c r="T2219" s="577">
        <f t="shared" si="571"/>
        <v>0</v>
      </c>
      <c r="U2219" s="578">
        <f t="shared" si="572"/>
        <v>0</v>
      </c>
      <c r="V2219" s="579"/>
      <c r="W2219" s="566" t="str">
        <f>IF(U2216&gt;0,"xx",IF(P2216&gt;0,"xy",""))</f>
        <v/>
      </c>
      <c r="X2219" s="586" t="str">
        <f t="shared" si="577"/>
        <v/>
      </c>
      <c r="Y2219" s="586" t="str">
        <f t="shared" si="531"/>
        <v/>
      </c>
      <c r="Z2219" s="586" t="str">
        <f t="shared" si="583"/>
        <v/>
      </c>
    </row>
    <row r="2220" spans="1:26" ht="12" hidden="1" thickBot="1" x14ac:dyDescent="0.25">
      <c r="A2220" s="567" t="s">
        <v>168</v>
      </c>
      <c r="B2220" s="644" t="s">
        <v>168</v>
      </c>
      <c r="C2220" s="645"/>
      <c r="D2220" s="422" t="s">
        <v>400</v>
      </c>
      <c r="E2220" s="423"/>
      <c r="F2220" s="424">
        <v>30</v>
      </c>
      <c r="G2220" s="425">
        <f>VLOOKUP(D2216,'[2]ENSAIOS DE ORÇAMENTO'!$C$3:$L$79,3,FALSE)</f>
        <v>0</v>
      </c>
      <c r="H2220" s="663">
        <f t="shared" si="584"/>
        <v>0</v>
      </c>
      <c r="I2220" s="420"/>
      <c r="J2220" s="420"/>
      <c r="K2220" s="421">
        <f t="shared" si="570"/>
        <v>0</v>
      </c>
      <c r="L2220" s="647"/>
      <c r="M2220" s="723"/>
      <c r="N2220" s="576">
        <f t="shared" si="579"/>
        <v>0</v>
      </c>
      <c r="O2220" s="577">
        <f t="shared" si="573"/>
        <v>0</v>
      </c>
      <c r="P2220" s="578">
        <f t="shared" si="574"/>
        <v>0</v>
      </c>
      <c r="Q2220" s="765"/>
      <c r="R2220" s="723"/>
      <c r="S2220" s="723"/>
      <c r="T2220" s="577">
        <f t="shared" si="571"/>
        <v>0</v>
      </c>
      <c r="U2220" s="578">
        <f t="shared" si="572"/>
        <v>0</v>
      </c>
      <c r="V2220" s="579"/>
      <c r="W2220" s="566" t="str">
        <f>IF(U2216&gt;0,"xx",IF(P2216&gt;0,"xy",""))</f>
        <v/>
      </c>
      <c r="X2220" s="586" t="str">
        <f t="shared" si="577"/>
        <v/>
      </c>
      <c r="Y2220" s="586" t="str">
        <f t="shared" si="531"/>
        <v/>
      </c>
      <c r="Z2220" s="586" t="str">
        <f t="shared" si="583"/>
        <v/>
      </c>
    </row>
    <row r="2221" spans="1:26" ht="12" hidden="1" thickBot="1" x14ac:dyDescent="0.25">
      <c r="A2221" s="567" t="s">
        <v>168</v>
      </c>
      <c r="B2221" s="644" t="s">
        <v>168</v>
      </c>
      <c r="C2221" s="645"/>
      <c r="D2221" s="422" t="s">
        <v>401</v>
      </c>
      <c r="E2221" s="423"/>
      <c r="F2221" s="424">
        <v>500</v>
      </c>
      <c r="G2221" s="425">
        <f>VLOOKUP(D2216,'[2]ENSAIOS DE ORÇAMENTO'!$C$3:$L$79,10,FALSE)</f>
        <v>0</v>
      </c>
      <c r="H2221" s="649">
        <f>IF(F2221&lt;=30,(0.78*F2221+7.82)*G2221,((0.78*30+7.82)+0.78*(F2221-30))*G2221)</f>
        <v>0</v>
      </c>
      <c r="I2221" s="420"/>
      <c r="J2221" s="420"/>
      <c r="K2221" s="421">
        <f t="shared" si="570"/>
        <v>0</v>
      </c>
      <c r="L2221" s="647"/>
      <c r="M2221" s="723"/>
      <c r="N2221" s="576">
        <f t="shared" si="579"/>
        <v>0</v>
      </c>
      <c r="O2221" s="577">
        <f t="shared" si="573"/>
        <v>0</v>
      </c>
      <c r="P2221" s="578">
        <f t="shared" si="574"/>
        <v>0</v>
      </c>
      <c r="Q2221" s="765"/>
      <c r="R2221" s="723"/>
      <c r="S2221" s="723"/>
      <c r="T2221" s="577">
        <f t="shared" si="571"/>
        <v>0</v>
      </c>
      <c r="U2221" s="578">
        <f t="shared" si="572"/>
        <v>0</v>
      </c>
      <c r="V2221" s="579"/>
      <c r="W2221" s="566" t="str">
        <f>IF(U2216&gt;0,"xx",IF(P2216&gt;0,"xy",""))</f>
        <v/>
      </c>
      <c r="X2221" s="586" t="str">
        <f t="shared" si="577"/>
        <v/>
      </c>
      <c r="Y2221" s="586" t="str">
        <f t="shared" si="531"/>
        <v/>
      </c>
      <c r="Z2221" s="586" t="str">
        <f t="shared" si="583"/>
        <v/>
      </c>
    </row>
    <row r="2222" spans="1:26" ht="12" hidden="1" thickBot="1" x14ac:dyDescent="0.25">
      <c r="A2222" s="567" t="s">
        <v>29</v>
      </c>
      <c r="B2222" s="644" t="s">
        <v>29</v>
      </c>
      <c r="C2222" s="645" t="s">
        <v>206</v>
      </c>
      <c r="D2222" s="422" t="s">
        <v>105</v>
      </c>
      <c r="E2222" s="423"/>
      <c r="F2222" s="424"/>
      <c r="G2222" s="425"/>
      <c r="H2222" s="651">
        <f>SUM(H2223:H2227)</f>
        <v>270.49536919999997</v>
      </c>
      <c r="I2222" s="420">
        <f>VLOOKUP(D2222,'[2]ENSAIOS DE ORÇAMENTO'!$C$3:$L$79,8,FALSE)</f>
        <v>2209.8910999999998</v>
      </c>
      <c r="J2222" s="420">
        <f>IF(ISBLANK(I2222),"",SUM(H2222:I2222))</f>
        <v>2480.3864691999997</v>
      </c>
      <c r="K2222" s="421">
        <f t="shared" si="570"/>
        <v>2946.95</v>
      </c>
      <c r="L2222" s="647" t="s">
        <v>21</v>
      </c>
      <c r="M2222" s="576"/>
      <c r="N2222" s="576">
        <f t="shared" si="579"/>
        <v>0</v>
      </c>
      <c r="O2222" s="577">
        <f t="shared" si="573"/>
        <v>0</v>
      </c>
      <c r="P2222" s="578">
        <f t="shared" si="574"/>
        <v>0</v>
      </c>
      <c r="Q2222" s="765"/>
      <c r="R2222" s="576">
        <f>M2222</f>
        <v>0</v>
      </c>
      <c r="S2222" s="576">
        <f>N2222</f>
        <v>0</v>
      </c>
      <c r="T2222" s="577">
        <f t="shared" si="571"/>
        <v>0</v>
      </c>
      <c r="U2222" s="578">
        <f t="shared" si="572"/>
        <v>0</v>
      </c>
      <c r="V2222" s="579"/>
      <c r="W2222" s="566"/>
      <c r="X2222" s="586" t="str">
        <f t="shared" si="577"/>
        <v/>
      </c>
      <c r="Y2222" s="586" t="str">
        <f t="shared" si="531"/>
        <v/>
      </c>
      <c r="Z2222" s="586" t="str">
        <f t="shared" si="583"/>
        <v/>
      </c>
    </row>
    <row r="2223" spans="1:26" ht="12" hidden="1" thickBot="1" x14ac:dyDescent="0.25">
      <c r="A2223" s="567" t="s">
        <v>168</v>
      </c>
      <c r="B2223" s="644" t="s">
        <v>168</v>
      </c>
      <c r="C2223" s="645"/>
      <c r="D2223" s="422" t="s">
        <v>212</v>
      </c>
      <c r="E2223" s="423"/>
      <c r="F2223" s="424">
        <v>500</v>
      </c>
      <c r="G2223" s="425">
        <f>VLOOKUP(D2222,'[2]ENSAIOS DE ORÇAMENTO'!$C$3:$L$79,4,FALSE)</f>
        <v>0.25757999999999998</v>
      </c>
      <c r="H2223" s="649">
        <f>IF(F2223&lt;=30,(0.78*F2223+7.82)*G2223,((0.78*30+7.82)+0.78*(F2223-30))*G2223)</f>
        <v>102.4704756</v>
      </c>
      <c r="I2223" s="420"/>
      <c r="J2223" s="420"/>
      <c r="K2223" s="421">
        <f t="shared" si="570"/>
        <v>0</v>
      </c>
      <c r="L2223" s="647"/>
      <c r="M2223" s="723"/>
      <c r="N2223" s="576">
        <f t="shared" si="579"/>
        <v>0</v>
      </c>
      <c r="O2223" s="577">
        <f t="shared" si="573"/>
        <v>0</v>
      </c>
      <c r="P2223" s="578">
        <f t="shared" si="574"/>
        <v>0</v>
      </c>
      <c r="Q2223" s="765"/>
      <c r="R2223" s="723"/>
      <c r="S2223" s="723"/>
      <c r="T2223" s="577">
        <f t="shared" si="571"/>
        <v>0</v>
      </c>
      <c r="U2223" s="578">
        <f t="shared" si="572"/>
        <v>0</v>
      </c>
      <c r="V2223" s="579"/>
      <c r="W2223" s="566" t="str">
        <f>IF(U2222&gt;0,"xx",IF(P2222&gt;0,"xy",""))</f>
        <v/>
      </c>
      <c r="X2223" s="586" t="str">
        <f t="shared" si="577"/>
        <v/>
      </c>
      <c r="Y2223" s="586" t="str">
        <f t="shared" si="531"/>
        <v/>
      </c>
      <c r="Z2223" s="586" t="str">
        <f t="shared" si="583"/>
        <v/>
      </c>
    </row>
    <row r="2224" spans="1:26" ht="12" hidden="1" thickBot="1" x14ac:dyDescent="0.25">
      <c r="A2224" s="567" t="s">
        <v>168</v>
      </c>
      <c r="B2224" s="644" t="s">
        <v>168</v>
      </c>
      <c r="C2224" s="645"/>
      <c r="D2224" s="422" t="s">
        <v>248</v>
      </c>
      <c r="E2224" s="423"/>
      <c r="F2224" s="424">
        <v>180</v>
      </c>
      <c r="G2224" s="425">
        <f>VLOOKUP(D2222,'[2]ENSAIOS DE ORÇAMENTO'!$C$3:$L$79,5,FALSE)</f>
        <v>0.75010999999999994</v>
      </c>
      <c r="H2224" s="663">
        <f t="shared" ref="H2224:H2226" si="585">IF(F2224&lt;=30,(1.07*F2224+2.68)*G2224,((1.07*30+2.68)+1.07*(F2224-30))*G2224)</f>
        <v>146.48148079999999</v>
      </c>
      <c r="I2224" s="420"/>
      <c r="J2224" s="420"/>
      <c r="K2224" s="421">
        <f t="shared" si="570"/>
        <v>0</v>
      </c>
      <c r="L2224" s="647"/>
      <c r="M2224" s="723"/>
      <c r="N2224" s="576">
        <f t="shared" si="579"/>
        <v>0</v>
      </c>
      <c r="O2224" s="577">
        <f t="shared" si="573"/>
        <v>0</v>
      </c>
      <c r="P2224" s="578">
        <f t="shared" si="574"/>
        <v>0</v>
      </c>
      <c r="Q2224" s="765"/>
      <c r="R2224" s="723"/>
      <c r="S2224" s="723"/>
      <c r="T2224" s="577">
        <f t="shared" si="571"/>
        <v>0</v>
      </c>
      <c r="U2224" s="578">
        <f t="shared" si="572"/>
        <v>0</v>
      </c>
      <c r="V2224" s="579"/>
      <c r="W2224" s="566" t="str">
        <f>IF(U2222&gt;0,"xx",IF(P2222&gt;0,"xy",""))</f>
        <v/>
      </c>
      <c r="X2224" s="586" t="str">
        <f t="shared" si="577"/>
        <v/>
      </c>
      <c r="Y2224" s="586" t="str">
        <f t="shared" si="531"/>
        <v/>
      </c>
      <c r="Z2224" s="586" t="str">
        <f t="shared" si="583"/>
        <v/>
      </c>
    </row>
    <row r="2225" spans="1:26" ht="12" hidden="1" thickBot="1" x14ac:dyDescent="0.25">
      <c r="A2225" s="567" t="s">
        <v>168</v>
      </c>
      <c r="B2225" s="644" t="s">
        <v>168</v>
      </c>
      <c r="C2225" s="645"/>
      <c r="D2225" s="422" t="s">
        <v>252</v>
      </c>
      <c r="E2225" s="423"/>
      <c r="F2225" s="424">
        <v>20</v>
      </c>
      <c r="G2225" s="425">
        <f>VLOOKUP(D2222,'[2]ENSAIOS DE ORÇAMENTO'!$C$3:$L$79,6,FALSE)</f>
        <v>0.89466000000000001</v>
      </c>
      <c r="H2225" s="663">
        <f t="shared" si="585"/>
        <v>21.543412800000002</v>
      </c>
      <c r="I2225" s="420"/>
      <c r="J2225" s="420"/>
      <c r="K2225" s="421">
        <f t="shared" si="570"/>
        <v>0</v>
      </c>
      <c r="L2225" s="647"/>
      <c r="M2225" s="723"/>
      <c r="N2225" s="576">
        <f t="shared" si="579"/>
        <v>0</v>
      </c>
      <c r="O2225" s="577">
        <f t="shared" si="573"/>
        <v>0</v>
      </c>
      <c r="P2225" s="578">
        <f t="shared" si="574"/>
        <v>0</v>
      </c>
      <c r="Q2225" s="765"/>
      <c r="R2225" s="723"/>
      <c r="S2225" s="723"/>
      <c r="T2225" s="577">
        <f t="shared" si="571"/>
        <v>0</v>
      </c>
      <c r="U2225" s="578">
        <f t="shared" si="572"/>
        <v>0</v>
      </c>
      <c r="V2225" s="579"/>
      <c r="W2225" s="566" t="str">
        <f>IF(U2222&gt;0,"xx",IF(P2222&gt;0,"xy",""))</f>
        <v/>
      </c>
      <c r="X2225" s="586" t="str">
        <f t="shared" si="577"/>
        <v/>
      </c>
      <c r="Y2225" s="586" t="str">
        <f t="shared" si="531"/>
        <v/>
      </c>
      <c r="Z2225" s="586" t="str">
        <f t="shared" si="583"/>
        <v/>
      </c>
    </row>
    <row r="2226" spans="1:26" ht="12" hidden="1" thickBot="1" x14ac:dyDescent="0.25">
      <c r="A2226" s="567" t="s">
        <v>168</v>
      </c>
      <c r="B2226" s="644" t="s">
        <v>168</v>
      </c>
      <c r="C2226" s="645"/>
      <c r="D2226" s="422" t="s">
        <v>400</v>
      </c>
      <c r="E2226" s="423"/>
      <c r="F2226" s="424">
        <v>30</v>
      </c>
      <c r="G2226" s="425">
        <f>VLOOKUP(D2222,'[2]ENSAIOS DE ORÇAMENTO'!$C$3:$L$79,3,FALSE)</f>
        <v>0</v>
      </c>
      <c r="H2226" s="663">
        <f t="shared" si="585"/>
        <v>0</v>
      </c>
      <c r="I2226" s="420"/>
      <c r="J2226" s="420"/>
      <c r="K2226" s="421">
        <f t="shared" si="570"/>
        <v>0</v>
      </c>
      <c r="L2226" s="647"/>
      <c r="M2226" s="723"/>
      <c r="N2226" s="576">
        <f t="shared" si="579"/>
        <v>0</v>
      </c>
      <c r="O2226" s="577">
        <f t="shared" si="573"/>
        <v>0</v>
      </c>
      <c r="P2226" s="578">
        <f t="shared" si="574"/>
        <v>0</v>
      </c>
      <c r="Q2226" s="765"/>
      <c r="R2226" s="723"/>
      <c r="S2226" s="723"/>
      <c r="T2226" s="577">
        <f t="shared" si="571"/>
        <v>0</v>
      </c>
      <c r="U2226" s="578">
        <f t="shared" si="572"/>
        <v>0</v>
      </c>
      <c r="V2226" s="579"/>
      <c r="W2226" s="566" t="str">
        <f>IF(U2222&gt;0,"xx",IF(P2222&gt;0,"xy",""))</f>
        <v/>
      </c>
      <c r="X2226" s="586" t="str">
        <f t="shared" si="577"/>
        <v/>
      </c>
      <c r="Y2226" s="586" t="str">
        <f t="shared" si="531"/>
        <v/>
      </c>
      <c r="Z2226" s="586" t="str">
        <f t="shared" si="583"/>
        <v/>
      </c>
    </row>
    <row r="2227" spans="1:26" ht="12" hidden="1" thickBot="1" x14ac:dyDescent="0.25">
      <c r="A2227" s="567" t="s">
        <v>168</v>
      </c>
      <c r="B2227" s="644" t="s">
        <v>168</v>
      </c>
      <c r="C2227" s="645"/>
      <c r="D2227" s="422" t="s">
        <v>401</v>
      </c>
      <c r="E2227" s="423"/>
      <c r="F2227" s="424">
        <v>500</v>
      </c>
      <c r="G2227" s="425">
        <f>VLOOKUP(D2222,'[2]ENSAIOS DE ORÇAMENTO'!$C$3:$L$79,10,FALSE)</f>
        <v>0</v>
      </c>
      <c r="H2227" s="649">
        <f>IF(F2227&lt;=30,(0.78*F2227+7.82)*G2227,((0.78*30+7.82)+0.78*(F2227-30))*G2227)</f>
        <v>0</v>
      </c>
      <c r="I2227" s="420"/>
      <c r="J2227" s="420"/>
      <c r="K2227" s="421">
        <f t="shared" si="570"/>
        <v>0</v>
      </c>
      <c r="L2227" s="647"/>
      <c r="M2227" s="723"/>
      <c r="N2227" s="576">
        <f t="shared" si="579"/>
        <v>0</v>
      </c>
      <c r="O2227" s="577">
        <f t="shared" si="573"/>
        <v>0</v>
      </c>
      <c r="P2227" s="578">
        <f t="shared" si="574"/>
        <v>0</v>
      </c>
      <c r="Q2227" s="765"/>
      <c r="R2227" s="723"/>
      <c r="S2227" s="723"/>
      <c r="T2227" s="577">
        <f t="shared" si="571"/>
        <v>0</v>
      </c>
      <c r="U2227" s="578">
        <f t="shared" si="572"/>
        <v>0</v>
      </c>
      <c r="V2227" s="579"/>
      <c r="W2227" s="566" t="str">
        <f>IF(U2222&gt;0,"xx",IF(P2222&gt;0,"xy",""))</f>
        <v/>
      </c>
      <c r="X2227" s="586" t="str">
        <f t="shared" si="577"/>
        <v/>
      </c>
      <c r="Y2227" s="586" t="str">
        <f t="shared" si="531"/>
        <v/>
      </c>
      <c r="Z2227" s="586" t="str">
        <f t="shared" si="583"/>
        <v/>
      </c>
    </row>
    <row r="2228" spans="1:26" ht="12" hidden="1" thickBot="1" x14ac:dyDescent="0.25">
      <c r="A2228" s="567" t="s">
        <v>30</v>
      </c>
      <c r="B2228" s="644" t="s">
        <v>30</v>
      </c>
      <c r="C2228" s="645" t="s">
        <v>206</v>
      </c>
      <c r="D2228" s="422" t="s">
        <v>106</v>
      </c>
      <c r="E2228" s="423"/>
      <c r="F2228" s="424"/>
      <c r="G2228" s="425"/>
      <c r="H2228" s="651">
        <f>SUM(H2229:H2233)</f>
        <v>358.33956200000006</v>
      </c>
      <c r="I2228" s="420">
        <f>VLOOKUP(D2228,'[2]ENSAIOS DE ORÇAMENTO'!$C$3:$L$79,8,FALSE)</f>
        <v>2403.1848999999997</v>
      </c>
      <c r="J2228" s="420">
        <f>IF(ISBLANK(I2228),"",SUM(H2228:I2228))</f>
        <v>2761.5244619999999</v>
      </c>
      <c r="K2228" s="421">
        <f t="shared" si="570"/>
        <v>3280.97</v>
      </c>
      <c r="L2228" s="647" t="s">
        <v>21</v>
      </c>
      <c r="M2228" s="576"/>
      <c r="N2228" s="576">
        <f t="shared" si="579"/>
        <v>0</v>
      </c>
      <c r="O2228" s="577">
        <f t="shared" si="573"/>
        <v>0</v>
      </c>
      <c r="P2228" s="578">
        <f t="shared" si="574"/>
        <v>0</v>
      </c>
      <c r="Q2228" s="765"/>
      <c r="R2228" s="576">
        <f>M2228</f>
        <v>0</v>
      </c>
      <c r="S2228" s="576">
        <f>N2228</f>
        <v>0</v>
      </c>
      <c r="T2228" s="577">
        <f t="shared" si="571"/>
        <v>0</v>
      </c>
      <c r="U2228" s="578">
        <f t="shared" si="572"/>
        <v>0</v>
      </c>
      <c r="V2228" s="579"/>
      <c r="W2228" s="566"/>
      <c r="X2228" s="586" t="str">
        <f t="shared" si="577"/>
        <v/>
      </c>
      <c r="Y2228" s="586" t="str">
        <f t="shared" si="531"/>
        <v/>
      </c>
      <c r="Z2228" s="586" t="str">
        <f t="shared" si="583"/>
        <v/>
      </c>
    </row>
    <row r="2229" spans="1:26" ht="12" hidden="1" thickBot="1" x14ac:dyDescent="0.25">
      <c r="A2229" s="567" t="s">
        <v>168</v>
      </c>
      <c r="B2229" s="644" t="s">
        <v>168</v>
      </c>
      <c r="C2229" s="645"/>
      <c r="D2229" s="422" t="s">
        <v>212</v>
      </c>
      <c r="E2229" s="423"/>
      <c r="F2229" s="424">
        <v>500</v>
      </c>
      <c r="G2229" s="425">
        <f>VLOOKUP(D2228,'[2]ENSAIOS DE ORÇAMENTO'!$C$3:$L$79,4,FALSE)</f>
        <v>0.34338000000000002</v>
      </c>
      <c r="H2229" s="649">
        <f>IF(F2229&lt;=30,(0.78*F2229+7.82)*G2229,((0.78*30+7.82)+0.78*(F2229-30))*G2229)</f>
        <v>136.60343160000002</v>
      </c>
      <c r="I2229" s="420"/>
      <c r="J2229" s="420"/>
      <c r="K2229" s="421">
        <f t="shared" si="570"/>
        <v>0</v>
      </c>
      <c r="L2229" s="647"/>
      <c r="M2229" s="723"/>
      <c r="N2229" s="576">
        <f t="shared" si="579"/>
        <v>0</v>
      </c>
      <c r="O2229" s="577">
        <f t="shared" si="573"/>
        <v>0</v>
      </c>
      <c r="P2229" s="578">
        <f t="shared" si="574"/>
        <v>0</v>
      </c>
      <c r="Q2229" s="765"/>
      <c r="R2229" s="723"/>
      <c r="S2229" s="723"/>
      <c r="T2229" s="577">
        <f t="shared" si="571"/>
        <v>0</v>
      </c>
      <c r="U2229" s="578">
        <f t="shared" si="572"/>
        <v>0</v>
      </c>
      <c r="V2229" s="579"/>
      <c r="W2229" s="566" t="str">
        <f>IF(U2228&gt;0,"xx",IF(P2228&gt;0,"xy",""))</f>
        <v/>
      </c>
      <c r="X2229" s="586" t="str">
        <f t="shared" si="577"/>
        <v/>
      </c>
      <c r="Y2229" s="586" t="str">
        <f t="shared" si="531"/>
        <v/>
      </c>
      <c r="Z2229" s="586" t="str">
        <f t="shared" si="583"/>
        <v/>
      </c>
    </row>
    <row r="2230" spans="1:26" ht="12" hidden="1" thickBot="1" x14ac:dyDescent="0.25">
      <c r="A2230" s="567" t="s">
        <v>168</v>
      </c>
      <c r="B2230" s="644" t="s">
        <v>168</v>
      </c>
      <c r="C2230" s="645"/>
      <c r="D2230" s="422" t="s">
        <v>248</v>
      </c>
      <c r="E2230" s="423"/>
      <c r="F2230" s="424">
        <v>180</v>
      </c>
      <c r="G2230" s="425">
        <f>VLOOKUP(D2228,'[2]ENSAIOS DE ORÇAMENTO'!$C$3:$L$79,5,FALSE)</f>
        <v>0.98957000000000006</v>
      </c>
      <c r="H2230" s="663">
        <f t="shared" ref="H2230:H2232" si="586">IF(F2230&lt;=30,(1.07*F2230+2.68)*G2230,((1.07*30+2.68)+1.07*(F2230-30))*G2230)</f>
        <v>193.24322960000001</v>
      </c>
      <c r="I2230" s="420"/>
      <c r="J2230" s="420"/>
      <c r="K2230" s="421">
        <f t="shared" si="570"/>
        <v>0</v>
      </c>
      <c r="L2230" s="647"/>
      <c r="M2230" s="723"/>
      <c r="N2230" s="576">
        <f t="shared" si="579"/>
        <v>0</v>
      </c>
      <c r="O2230" s="577">
        <f t="shared" si="573"/>
        <v>0</v>
      </c>
      <c r="P2230" s="578">
        <f t="shared" si="574"/>
        <v>0</v>
      </c>
      <c r="Q2230" s="765"/>
      <c r="R2230" s="723"/>
      <c r="S2230" s="723"/>
      <c r="T2230" s="577">
        <f t="shared" si="571"/>
        <v>0</v>
      </c>
      <c r="U2230" s="578">
        <f t="shared" si="572"/>
        <v>0</v>
      </c>
      <c r="V2230" s="579"/>
      <c r="W2230" s="566" t="str">
        <f>IF(U2228&gt;0,"xx",IF(P2228&gt;0,"xy",""))</f>
        <v/>
      </c>
      <c r="X2230" s="586" t="str">
        <f t="shared" si="577"/>
        <v/>
      </c>
      <c r="Y2230" s="586" t="str">
        <f t="shared" si="531"/>
        <v/>
      </c>
      <c r="Z2230" s="586" t="str">
        <f t="shared" si="583"/>
        <v/>
      </c>
    </row>
    <row r="2231" spans="1:26" ht="12" hidden="1" thickBot="1" x14ac:dyDescent="0.25">
      <c r="A2231" s="567" t="s">
        <v>168</v>
      </c>
      <c r="B2231" s="644" t="s">
        <v>168</v>
      </c>
      <c r="C2231" s="645"/>
      <c r="D2231" s="422" t="s">
        <v>252</v>
      </c>
      <c r="E2231" s="423"/>
      <c r="F2231" s="424">
        <v>20</v>
      </c>
      <c r="G2231" s="425">
        <f>VLOOKUP(D2228,'[2]ENSAIOS DE ORÇAMENTO'!$C$3:$L$79,6,FALSE)</f>
        <v>1.1832600000000002</v>
      </c>
      <c r="H2231" s="663">
        <f t="shared" si="586"/>
        <v>28.492900800000008</v>
      </c>
      <c r="I2231" s="420"/>
      <c r="J2231" s="420"/>
      <c r="K2231" s="421">
        <f t="shared" si="570"/>
        <v>0</v>
      </c>
      <c r="L2231" s="647"/>
      <c r="M2231" s="723"/>
      <c r="N2231" s="576">
        <f t="shared" si="579"/>
        <v>0</v>
      </c>
      <c r="O2231" s="577">
        <f t="shared" si="573"/>
        <v>0</v>
      </c>
      <c r="P2231" s="578">
        <f t="shared" si="574"/>
        <v>0</v>
      </c>
      <c r="Q2231" s="765"/>
      <c r="R2231" s="723"/>
      <c r="S2231" s="723"/>
      <c r="T2231" s="577">
        <f t="shared" si="571"/>
        <v>0</v>
      </c>
      <c r="U2231" s="578">
        <f t="shared" si="572"/>
        <v>0</v>
      </c>
      <c r="V2231" s="579"/>
      <c r="W2231" s="566" t="str">
        <f>IF(U2228&gt;0,"xx",IF(P2228&gt;0,"xy",""))</f>
        <v/>
      </c>
      <c r="X2231" s="586" t="str">
        <f t="shared" si="577"/>
        <v/>
      </c>
      <c r="Y2231" s="586" t="str">
        <f t="shared" si="531"/>
        <v/>
      </c>
      <c r="Z2231" s="586" t="str">
        <f t="shared" si="583"/>
        <v/>
      </c>
    </row>
    <row r="2232" spans="1:26" ht="12" hidden="1" thickBot="1" x14ac:dyDescent="0.25">
      <c r="A2232" s="567" t="s">
        <v>168</v>
      </c>
      <c r="B2232" s="644" t="s">
        <v>168</v>
      </c>
      <c r="C2232" s="645"/>
      <c r="D2232" s="422" t="s">
        <v>400</v>
      </c>
      <c r="E2232" s="423"/>
      <c r="F2232" s="424">
        <v>30</v>
      </c>
      <c r="G2232" s="425">
        <f>VLOOKUP(D2228,'[2]ENSAIOS DE ORÇAMENTO'!$C$3:$L$79,3,FALSE)</f>
        <v>0</v>
      </c>
      <c r="H2232" s="663">
        <f t="shared" si="586"/>
        <v>0</v>
      </c>
      <c r="I2232" s="420"/>
      <c r="J2232" s="420"/>
      <c r="K2232" s="421">
        <f t="shared" si="570"/>
        <v>0</v>
      </c>
      <c r="L2232" s="647"/>
      <c r="M2232" s="723"/>
      <c r="N2232" s="576">
        <f t="shared" si="579"/>
        <v>0</v>
      </c>
      <c r="O2232" s="577">
        <f t="shared" si="573"/>
        <v>0</v>
      </c>
      <c r="P2232" s="578">
        <f t="shared" si="574"/>
        <v>0</v>
      </c>
      <c r="Q2232" s="765"/>
      <c r="R2232" s="723"/>
      <c r="S2232" s="723"/>
      <c r="T2232" s="577">
        <f t="shared" si="571"/>
        <v>0</v>
      </c>
      <c r="U2232" s="578">
        <f t="shared" si="572"/>
        <v>0</v>
      </c>
      <c r="V2232" s="579"/>
      <c r="W2232" s="566" t="str">
        <f>IF(U2228&gt;0,"xx",IF(P2228&gt;0,"xy",""))</f>
        <v/>
      </c>
      <c r="X2232" s="586" t="str">
        <f t="shared" si="577"/>
        <v/>
      </c>
      <c r="Y2232" s="586" t="str">
        <f t="shared" si="531"/>
        <v/>
      </c>
      <c r="Z2232" s="586" t="str">
        <f t="shared" si="583"/>
        <v/>
      </c>
    </row>
    <row r="2233" spans="1:26" ht="12" hidden="1" thickBot="1" x14ac:dyDescent="0.25">
      <c r="A2233" s="567" t="s">
        <v>168</v>
      </c>
      <c r="B2233" s="644" t="s">
        <v>168</v>
      </c>
      <c r="C2233" s="645"/>
      <c r="D2233" s="422" t="s">
        <v>401</v>
      </c>
      <c r="E2233" s="423"/>
      <c r="F2233" s="424">
        <v>500</v>
      </c>
      <c r="G2233" s="425">
        <f>VLOOKUP(D2228,'[2]ENSAIOS DE ORÇAMENTO'!$C$3:$L$79,10,FALSE)</f>
        <v>0</v>
      </c>
      <c r="H2233" s="649">
        <f>IF(F2233&lt;=30,(0.78*F2233+7.82)*G2233,((0.78*30+7.82)+0.78*(F2233-30))*G2233)</f>
        <v>0</v>
      </c>
      <c r="I2233" s="420"/>
      <c r="J2233" s="420"/>
      <c r="K2233" s="421">
        <f t="shared" si="570"/>
        <v>0</v>
      </c>
      <c r="L2233" s="647"/>
      <c r="M2233" s="723"/>
      <c r="N2233" s="576">
        <f t="shared" si="579"/>
        <v>0</v>
      </c>
      <c r="O2233" s="577">
        <f t="shared" si="573"/>
        <v>0</v>
      </c>
      <c r="P2233" s="578">
        <f t="shared" si="574"/>
        <v>0</v>
      </c>
      <c r="Q2233" s="765"/>
      <c r="R2233" s="723"/>
      <c r="S2233" s="723"/>
      <c r="T2233" s="577">
        <f t="shared" si="571"/>
        <v>0</v>
      </c>
      <c r="U2233" s="578">
        <f t="shared" si="572"/>
        <v>0</v>
      </c>
      <c r="V2233" s="579"/>
      <c r="W2233" s="566" t="str">
        <f>IF(U2228&gt;0,"xx",IF(P2228&gt;0,"xy",""))</f>
        <v/>
      </c>
      <c r="X2233" s="586" t="str">
        <f t="shared" si="577"/>
        <v/>
      </c>
      <c r="Y2233" s="586" t="str">
        <f t="shared" si="531"/>
        <v/>
      </c>
      <c r="Z2233" s="586" t="str">
        <f t="shared" si="583"/>
        <v/>
      </c>
    </row>
    <row r="2234" spans="1:26" ht="12" hidden="1" thickBot="1" x14ac:dyDescent="0.25">
      <c r="A2234" s="567" t="s">
        <v>31</v>
      </c>
      <c r="B2234" s="644" t="s">
        <v>31</v>
      </c>
      <c r="C2234" s="645" t="s">
        <v>206</v>
      </c>
      <c r="D2234" s="422" t="s">
        <v>107</v>
      </c>
      <c r="E2234" s="423"/>
      <c r="F2234" s="424"/>
      <c r="G2234" s="425"/>
      <c r="H2234" s="651">
        <f>SUM(H2235:H2239)</f>
        <v>446.18375480000009</v>
      </c>
      <c r="I2234" s="420">
        <f>VLOOKUP(D2234,'[2]ENSAIOS DE ORÇAMENTO'!$C$3:$L$79,8,FALSE)</f>
        <v>2920.9871999999996</v>
      </c>
      <c r="J2234" s="420">
        <f>IF(ISBLANK(I2234),"",SUM(H2234:I2234))</f>
        <v>3367.1709547999999</v>
      </c>
      <c r="K2234" s="421">
        <f t="shared" si="570"/>
        <v>4000.54</v>
      </c>
      <c r="L2234" s="647" t="s">
        <v>21</v>
      </c>
      <c r="M2234" s="576"/>
      <c r="N2234" s="576">
        <f t="shared" si="579"/>
        <v>0</v>
      </c>
      <c r="O2234" s="577">
        <f t="shared" si="573"/>
        <v>0</v>
      </c>
      <c r="P2234" s="578">
        <f t="shared" si="574"/>
        <v>0</v>
      </c>
      <c r="Q2234" s="765"/>
      <c r="R2234" s="576">
        <f>M2234</f>
        <v>0</v>
      </c>
      <c r="S2234" s="576">
        <f>N2234</f>
        <v>0</v>
      </c>
      <c r="T2234" s="577">
        <f t="shared" si="571"/>
        <v>0</v>
      </c>
      <c r="U2234" s="578">
        <f t="shared" si="572"/>
        <v>0</v>
      </c>
      <c r="V2234" s="579"/>
      <c r="W2234" s="566"/>
      <c r="X2234" s="586" t="str">
        <f t="shared" si="577"/>
        <v/>
      </c>
      <c r="Y2234" s="586" t="str">
        <f t="shared" si="531"/>
        <v/>
      </c>
      <c r="Z2234" s="586" t="str">
        <f t="shared" si="583"/>
        <v/>
      </c>
    </row>
    <row r="2235" spans="1:26" ht="12" hidden="1" thickBot="1" x14ac:dyDescent="0.25">
      <c r="A2235" s="567" t="s">
        <v>168</v>
      </c>
      <c r="B2235" s="644" t="s">
        <v>168</v>
      </c>
      <c r="C2235" s="645"/>
      <c r="D2235" s="422" t="s">
        <v>212</v>
      </c>
      <c r="E2235" s="423"/>
      <c r="F2235" s="424">
        <v>500</v>
      </c>
      <c r="G2235" s="425">
        <f>VLOOKUP(D2234,'[2]ENSAIOS DE ORÇAMENTO'!$C$3:$L$79,4,FALSE)</f>
        <v>0.42918000000000001</v>
      </c>
      <c r="H2235" s="649">
        <f>IF(F2235&lt;=30,(0.78*F2235+7.82)*G2235,((0.78*30+7.82)+0.78*(F2235-30))*G2235)</f>
        <v>170.73638760000003</v>
      </c>
      <c r="I2235" s="420"/>
      <c r="J2235" s="420"/>
      <c r="K2235" s="421">
        <f t="shared" si="570"/>
        <v>0</v>
      </c>
      <c r="L2235" s="647"/>
      <c r="M2235" s="723"/>
      <c r="N2235" s="576">
        <f t="shared" si="579"/>
        <v>0</v>
      </c>
      <c r="O2235" s="577">
        <f t="shared" si="573"/>
        <v>0</v>
      </c>
      <c r="P2235" s="578">
        <f t="shared" si="574"/>
        <v>0</v>
      </c>
      <c r="Q2235" s="765"/>
      <c r="R2235" s="723"/>
      <c r="S2235" s="723"/>
      <c r="T2235" s="577">
        <f t="shared" si="571"/>
        <v>0</v>
      </c>
      <c r="U2235" s="578">
        <f t="shared" si="572"/>
        <v>0</v>
      </c>
      <c r="V2235" s="579"/>
      <c r="W2235" s="566" t="str">
        <f>IF(U2234&gt;0,"xx",IF(P2234&gt;0,"xy",""))</f>
        <v/>
      </c>
      <c r="X2235" s="586" t="str">
        <f t="shared" si="577"/>
        <v/>
      </c>
      <c r="Y2235" s="586" t="str">
        <f t="shared" si="531"/>
        <v/>
      </c>
      <c r="Z2235" s="586" t="str">
        <f t="shared" si="583"/>
        <v/>
      </c>
    </row>
    <row r="2236" spans="1:26" ht="12" hidden="1" thickBot="1" x14ac:dyDescent="0.25">
      <c r="A2236" s="567" t="s">
        <v>168</v>
      </c>
      <c r="B2236" s="644" t="s">
        <v>168</v>
      </c>
      <c r="C2236" s="645"/>
      <c r="D2236" s="422" t="s">
        <v>248</v>
      </c>
      <c r="E2236" s="423"/>
      <c r="F2236" s="424">
        <v>180</v>
      </c>
      <c r="G2236" s="425">
        <f>VLOOKUP(D2234,'[2]ENSAIOS DE ORÇAMENTO'!$C$3:$L$79,5,FALSE)</f>
        <v>1.2290300000000001</v>
      </c>
      <c r="H2236" s="663">
        <f t="shared" ref="H2236:H2238" si="587">IF(F2236&lt;=30,(1.07*F2236+2.68)*G2236,((1.07*30+2.68)+1.07*(F2236-30))*G2236)</f>
        <v>240.00497840000003</v>
      </c>
      <c r="I2236" s="420"/>
      <c r="J2236" s="420"/>
      <c r="K2236" s="421">
        <f t="shared" si="570"/>
        <v>0</v>
      </c>
      <c r="L2236" s="647"/>
      <c r="M2236" s="723"/>
      <c r="N2236" s="576">
        <f t="shared" si="579"/>
        <v>0</v>
      </c>
      <c r="O2236" s="577">
        <f t="shared" si="573"/>
        <v>0</v>
      </c>
      <c r="P2236" s="578">
        <f t="shared" si="574"/>
        <v>0</v>
      </c>
      <c r="Q2236" s="765"/>
      <c r="R2236" s="723"/>
      <c r="S2236" s="723"/>
      <c r="T2236" s="577">
        <f t="shared" si="571"/>
        <v>0</v>
      </c>
      <c r="U2236" s="578">
        <f t="shared" si="572"/>
        <v>0</v>
      </c>
      <c r="V2236" s="579"/>
      <c r="W2236" s="566" t="str">
        <f>IF(U2234&gt;0,"xx",IF(P2234&gt;0,"xy",""))</f>
        <v/>
      </c>
      <c r="X2236" s="586" t="str">
        <f t="shared" si="577"/>
        <v/>
      </c>
      <c r="Y2236" s="586" t="str">
        <f t="shared" si="531"/>
        <v/>
      </c>
      <c r="Z2236" s="586" t="str">
        <f t="shared" si="583"/>
        <v/>
      </c>
    </row>
    <row r="2237" spans="1:26" ht="12" hidden="1" thickBot="1" x14ac:dyDescent="0.25">
      <c r="A2237" s="567" t="s">
        <v>168</v>
      </c>
      <c r="B2237" s="644" t="s">
        <v>168</v>
      </c>
      <c r="C2237" s="645"/>
      <c r="D2237" s="422" t="s">
        <v>252</v>
      </c>
      <c r="E2237" s="423"/>
      <c r="F2237" s="424">
        <v>20</v>
      </c>
      <c r="G2237" s="425">
        <f>VLOOKUP(D2234,'[2]ENSAIOS DE ORÇAMENTO'!$C$3:$L$79,6,FALSE)</f>
        <v>1.4718600000000002</v>
      </c>
      <c r="H2237" s="663">
        <f t="shared" si="587"/>
        <v>35.442388800000003</v>
      </c>
      <c r="I2237" s="420"/>
      <c r="J2237" s="420"/>
      <c r="K2237" s="421">
        <f t="shared" si="570"/>
        <v>0</v>
      </c>
      <c r="L2237" s="647"/>
      <c r="M2237" s="723"/>
      <c r="N2237" s="576">
        <f t="shared" si="579"/>
        <v>0</v>
      </c>
      <c r="O2237" s="577">
        <f t="shared" si="573"/>
        <v>0</v>
      </c>
      <c r="P2237" s="578">
        <f t="shared" si="574"/>
        <v>0</v>
      </c>
      <c r="Q2237" s="765"/>
      <c r="R2237" s="723"/>
      <c r="S2237" s="723"/>
      <c r="T2237" s="577">
        <f t="shared" si="571"/>
        <v>0</v>
      </c>
      <c r="U2237" s="578">
        <f t="shared" si="572"/>
        <v>0</v>
      </c>
      <c r="V2237" s="579"/>
      <c r="W2237" s="566" t="str">
        <f>IF(U2234&gt;0,"xx",IF(P2234&gt;0,"xy",""))</f>
        <v/>
      </c>
      <c r="X2237" s="586" t="str">
        <f t="shared" si="577"/>
        <v/>
      </c>
      <c r="Y2237" s="586" t="str">
        <f t="shared" si="531"/>
        <v/>
      </c>
      <c r="Z2237" s="586" t="str">
        <f t="shared" si="583"/>
        <v/>
      </c>
    </row>
    <row r="2238" spans="1:26" ht="12" hidden="1" thickBot="1" x14ac:dyDescent="0.25">
      <c r="A2238" s="567" t="s">
        <v>168</v>
      </c>
      <c r="B2238" s="644" t="s">
        <v>168</v>
      </c>
      <c r="C2238" s="645"/>
      <c r="D2238" s="422" t="s">
        <v>400</v>
      </c>
      <c r="E2238" s="423"/>
      <c r="F2238" s="424">
        <v>30</v>
      </c>
      <c r="G2238" s="425">
        <f>VLOOKUP(D2234,'[2]ENSAIOS DE ORÇAMENTO'!$C$3:$L$79,3,FALSE)</f>
        <v>0</v>
      </c>
      <c r="H2238" s="663">
        <f t="shared" si="587"/>
        <v>0</v>
      </c>
      <c r="I2238" s="420"/>
      <c r="J2238" s="420"/>
      <c r="K2238" s="421">
        <f t="shared" si="570"/>
        <v>0</v>
      </c>
      <c r="L2238" s="647"/>
      <c r="M2238" s="723"/>
      <c r="N2238" s="576">
        <f t="shared" si="579"/>
        <v>0</v>
      </c>
      <c r="O2238" s="577">
        <f t="shared" si="573"/>
        <v>0</v>
      </c>
      <c r="P2238" s="578">
        <f t="shared" si="574"/>
        <v>0</v>
      </c>
      <c r="Q2238" s="765"/>
      <c r="R2238" s="723"/>
      <c r="S2238" s="723"/>
      <c r="T2238" s="577">
        <f t="shared" si="571"/>
        <v>0</v>
      </c>
      <c r="U2238" s="578">
        <f t="shared" si="572"/>
        <v>0</v>
      </c>
      <c r="V2238" s="579"/>
      <c r="W2238" s="566" t="str">
        <f>IF(U2234&gt;0,"xx",IF(P2234&gt;0,"xy",""))</f>
        <v/>
      </c>
      <c r="X2238" s="586" t="str">
        <f t="shared" si="577"/>
        <v/>
      </c>
      <c r="Y2238" s="586" t="str">
        <f t="shared" si="531"/>
        <v/>
      </c>
      <c r="Z2238" s="586" t="str">
        <f t="shared" si="583"/>
        <v/>
      </c>
    </row>
    <row r="2239" spans="1:26" ht="12" hidden="1" thickBot="1" x14ac:dyDescent="0.25">
      <c r="A2239" s="567" t="s">
        <v>168</v>
      </c>
      <c r="B2239" s="644" t="s">
        <v>168</v>
      </c>
      <c r="C2239" s="645"/>
      <c r="D2239" s="422" t="s">
        <v>401</v>
      </c>
      <c r="E2239" s="423"/>
      <c r="F2239" s="424">
        <v>500</v>
      </c>
      <c r="G2239" s="425">
        <f>VLOOKUP(D2234,'[2]ENSAIOS DE ORÇAMENTO'!$C$3:$L$79,10,FALSE)</f>
        <v>0</v>
      </c>
      <c r="H2239" s="649">
        <f>IF(F2239&lt;=30,(0.78*F2239+7.82)*G2239,((0.78*30+7.82)+0.78*(F2239-30))*G2239)</f>
        <v>0</v>
      </c>
      <c r="I2239" s="420"/>
      <c r="J2239" s="420"/>
      <c r="K2239" s="421">
        <f t="shared" si="570"/>
        <v>0</v>
      </c>
      <c r="L2239" s="647"/>
      <c r="M2239" s="723"/>
      <c r="N2239" s="576">
        <f t="shared" si="579"/>
        <v>0</v>
      </c>
      <c r="O2239" s="577">
        <f t="shared" si="573"/>
        <v>0</v>
      </c>
      <c r="P2239" s="578">
        <f t="shared" si="574"/>
        <v>0</v>
      </c>
      <c r="Q2239" s="765"/>
      <c r="R2239" s="723"/>
      <c r="S2239" s="723"/>
      <c r="T2239" s="577">
        <f t="shared" si="571"/>
        <v>0</v>
      </c>
      <c r="U2239" s="578">
        <f t="shared" si="572"/>
        <v>0</v>
      </c>
      <c r="V2239" s="579"/>
      <c r="W2239" s="566" t="str">
        <f>IF(U2234&gt;0,"xx",IF(P2234&gt;0,"xy",""))</f>
        <v/>
      </c>
      <c r="X2239" s="586" t="str">
        <f t="shared" si="577"/>
        <v/>
      </c>
      <c r="Y2239" s="586" t="str">
        <f t="shared" si="531"/>
        <v/>
      </c>
      <c r="Z2239" s="586" t="str">
        <f t="shared" si="583"/>
        <v/>
      </c>
    </row>
    <row r="2240" spans="1:26" ht="12" hidden="1" thickBot="1" x14ac:dyDescent="0.25">
      <c r="A2240" s="567" t="s">
        <v>32</v>
      </c>
      <c r="B2240" s="644" t="s">
        <v>32</v>
      </c>
      <c r="C2240" s="645" t="s">
        <v>206</v>
      </c>
      <c r="D2240" s="422" t="s">
        <v>101</v>
      </c>
      <c r="E2240" s="423"/>
      <c r="F2240" s="424"/>
      <c r="G2240" s="425"/>
      <c r="H2240" s="651">
        <f>SUM(H2241:H2245)</f>
        <v>391.64439700000003</v>
      </c>
      <c r="I2240" s="420">
        <f>VLOOKUP(D2240,'[2]ENSAIOS DE ORÇAMENTO'!$C$3:$L$79,8,FALSE)</f>
        <v>2648.3670199999997</v>
      </c>
      <c r="J2240" s="420">
        <f>IF(ISBLANK(I2240),"",SUM(H2240:I2240))</f>
        <v>3040.0114169999997</v>
      </c>
      <c r="K2240" s="421">
        <f t="shared" ref="K2240:K2303" si="588">IF(ISBLANK(I2240),0,ROUND(J2240*(1+$F$10)*(1+$F$11*E2240),2))</f>
        <v>3611.84</v>
      </c>
      <c r="L2240" s="647" t="s">
        <v>21</v>
      </c>
      <c r="M2240" s="576"/>
      <c r="N2240" s="576">
        <f t="shared" si="579"/>
        <v>0</v>
      </c>
      <c r="O2240" s="577">
        <f t="shared" si="573"/>
        <v>0</v>
      </c>
      <c r="P2240" s="578">
        <f t="shared" si="574"/>
        <v>0</v>
      </c>
      <c r="Q2240" s="765"/>
      <c r="R2240" s="576">
        <f>M2240</f>
        <v>0</v>
      </c>
      <c r="S2240" s="576">
        <f>N2240</f>
        <v>0</v>
      </c>
      <c r="T2240" s="577">
        <f t="shared" ref="T2240:T2303" si="589">IF(ISBLANK(R2240),0,ROUND(K2240*R2240,2))</f>
        <v>0</v>
      </c>
      <c r="U2240" s="578">
        <f t="shared" ref="U2240:U2303" si="590">IF(ISBLANK(R2240),0,ROUND(R2240*S2240,2))</f>
        <v>0</v>
      </c>
      <c r="V2240" s="579"/>
      <c r="W2240" s="566"/>
      <c r="X2240" s="586" t="str">
        <f t="shared" si="577"/>
        <v/>
      </c>
      <c r="Y2240" s="586" t="str">
        <f t="shared" si="531"/>
        <v/>
      </c>
      <c r="Z2240" s="586" t="str">
        <f t="shared" si="583"/>
        <v/>
      </c>
    </row>
    <row r="2241" spans="1:26" ht="12" hidden="1" thickBot="1" x14ac:dyDescent="0.25">
      <c r="A2241" s="567" t="s">
        <v>168</v>
      </c>
      <c r="B2241" s="644" t="s">
        <v>168</v>
      </c>
      <c r="C2241" s="645"/>
      <c r="D2241" s="422" t="s">
        <v>212</v>
      </c>
      <c r="E2241" s="423"/>
      <c r="F2241" s="424">
        <v>500</v>
      </c>
      <c r="G2241" s="425">
        <f>VLOOKUP(D2240,'[2]ENSAIOS DE ORÇAMENTO'!$C$3:$L$79,4,FALSE)</f>
        <v>0.2047668</v>
      </c>
      <c r="H2241" s="649">
        <f>IF(F2241&lt;=30,(0.78*F2241+7.82)*G2241,((0.78*30+7.82)+0.78*(F2241-30))*G2241)</f>
        <v>81.460328376000007</v>
      </c>
      <c r="I2241" s="420"/>
      <c r="J2241" s="420"/>
      <c r="K2241" s="421">
        <f t="shared" si="588"/>
        <v>0</v>
      </c>
      <c r="L2241" s="647"/>
      <c r="M2241" s="723"/>
      <c r="N2241" s="576">
        <f t="shared" si="579"/>
        <v>0</v>
      </c>
      <c r="O2241" s="577">
        <f t="shared" ref="O2241:O2304" si="591">IF(ISBLANK(M2241),0,ROUND(K2241*M2241,2))</f>
        <v>0</v>
      </c>
      <c r="P2241" s="578">
        <f t="shared" ref="P2241:P2304" si="592">IF(ISBLANK(N2241),0,ROUND(M2241*N2241,2))</f>
        <v>0</v>
      </c>
      <c r="Q2241" s="765"/>
      <c r="R2241" s="723"/>
      <c r="S2241" s="723"/>
      <c r="T2241" s="577">
        <f t="shared" si="589"/>
        <v>0</v>
      </c>
      <c r="U2241" s="578">
        <f t="shared" si="590"/>
        <v>0</v>
      </c>
      <c r="V2241" s="579"/>
      <c r="W2241" s="566" t="str">
        <f>IF(U2240&gt;0,"xx",IF(P2240&gt;0,"xy",""))</f>
        <v/>
      </c>
      <c r="X2241" s="586" t="str">
        <f t="shared" si="577"/>
        <v/>
      </c>
      <c r="Y2241" s="586" t="str">
        <f t="shared" si="531"/>
        <v/>
      </c>
      <c r="Z2241" s="586" t="str">
        <f t="shared" si="583"/>
        <v/>
      </c>
    </row>
    <row r="2242" spans="1:26" ht="12" hidden="1" thickBot="1" x14ac:dyDescent="0.25">
      <c r="A2242" s="567" t="s">
        <v>168</v>
      </c>
      <c r="B2242" s="644" t="s">
        <v>168</v>
      </c>
      <c r="C2242" s="645"/>
      <c r="D2242" s="422" t="s">
        <v>248</v>
      </c>
      <c r="E2242" s="423"/>
      <c r="F2242" s="424">
        <v>180</v>
      </c>
      <c r="G2242" s="425">
        <f>VLOOKUP(D2240,'[2]ENSAIOS DE ORÇAMENTO'!$C$3:$L$79,5,FALSE)</f>
        <v>1.1293030000000002</v>
      </c>
      <c r="H2242" s="663">
        <f t="shared" ref="H2242:H2244" si="593">IF(F2242&lt;=30,(1.07*F2242+2.68)*G2242,((1.07*30+2.68)+1.07*(F2242-30))*G2242)</f>
        <v>220.53028984000002</v>
      </c>
      <c r="I2242" s="420"/>
      <c r="J2242" s="420"/>
      <c r="K2242" s="421">
        <f t="shared" si="588"/>
        <v>0</v>
      </c>
      <c r="L2242" s="647"/>
      <c r="M2242" s="723"/>
      <c r="N2242" s="576">
        <f t="shared" si="579"/>
        <v>0</v>
      </c>
      <c r="O2242" s="577">
        <f t="shared" si="591"/>
        <v>0</v>
      </c>
      <c r="P2242" s="578">
        <f t="shared" si="592"/>
        <v>0</v>
      </c>
      <c r="Q2242" s="765"/>
      <c r="R2242" s="723"/>
      <c r="S2242" s="723"/>
      <c r="T2242" s="577">
        <f t="shared" si="589"/>
        <v>0</v>
      </c>
      <c r="U2242" s="578">
        <f t="shared" si="590"/>
        <v>0</v>
      </c>
      <c r="V2242" s="579"/>
      <c r="W2242" s="566" t="str">
        <f>IF(U2240&gt;0,"xx",IF(P2240&gt;0,"xy",""))</f>
        <v/>
      </c>
      <c r="X2242" s="586" t="str">
        <f t="shared" si="577"/>
        <v/>
      </c>
      <c r="Y2242" s="586" t="str">
        <f t="shared" si="531"/>
        <v/>
      </c>
      <c r="Z2242" s="586" t="str">
        <f t="shared" si="583"/>
        <v/>
      </c>
    </row>
    <row r="2243" spans="1:26" ht="12" hidden="1" thickBot="1" x14ac:dyDescent="0.25">
      <c r="A2243" s="567" t="s">
        <v>168</v>
      </c>
      <c r="B2243" s="644" t="s">
        <v>168</v>
      </c>
      <c r="C2243" s="645"/>
      <c r="D2243" s="422" t="s">
        <v>252</v>
      </c>
      <c r="E2243" s="423"/>
      <c r="F2243" s="424">
        <v>20</v>
      </c>
      <c r="G2243" s="425">
        <f>VLOOKUP(D2240,'[2]ENSAIOS DE ORÇAMENTO'!$C$3:$L$79,6,FALSE)</f>
        <v>0.38805600000000001</v>
      </c>
      <c r="H2243" s="663">
        <f t="shared" si="593"/>
        <v>9.344388480000001</v>
      </c>
      <c r="I2243" s="420"/>
      <c r="J2243" s="420"/>
      <c r="K2243" s="421">
        <f t="shared" si="588"/>
        <v>0</v>
      </c>
      <c r="L2243" s="647"/>
      <c r="M2243" s="723"/>
      <c r="N2243" s="576">
        <f t="shared" si="579"/>
        <v>0</v>
      </c>
      <c r="O2243" s="577">
        <f t="shared" si="591"/>
        <v>0</v>
      </c>
      <c r="P2243" s="578">
        <f t="shared" si="592"/>
        <v>0</v>
      </c>
      <c r="Q2243" s="765"/>
      <c r="R2243" s="723"/>
      <c r="S2243" s="723"/>
      <c r="T2243" s="577">
        <f t="shared" si="589"/>
        <v>0</v>
      </c>
      <c r="U2243" s="578">
        <f t="shared" si="590"/>
        <v>0</v>
      </c>
      <c r="V2243" s="579"/>
      <c r="W2243" s="566" t="str">
        <f>IF(U2240&gt;0,"xx",IF(P2240&gt;0,"xy",""))</f>
        <v/>
      </c>
      <c r="X2243" s="586" t="str">
        <f t="shared" si="577"/>
        <v/>
      </c>
      <c r="Y2243" s="586" t="str">
        <f t="shared" si="531"/>
        <v/>
      </c>
      <c r="Z2243" s="586" t="str">
        <f t="shared" si="583"/>
        <v/>
      </c>
    </row>
    <row r="2244" spans="1:26" ht="12" hidden="1" thickBot="1" x14ac:dyDescent="0.25">
      <c r="A2244" s="567" t="s">
        <v>168</v>
      </c>
      <c r="B2244" s="644" t="s">
        <v>168</v>
      </c>
      <c r="C2244" s="645"/>
      <c r="D2244" s="422" t="s">
        <v>400</v>
      </c>
      <c r="E2244" s="423"/>
      <c r="F2244" s="424">
        <v>30</v>
      </c>
      <c r="G2244" s="425">
        <f>VLOOKUP(D2240,'[2]ENSAIOS DE ORÇAMENTO'!$C$3:$L$79,3,FALSE)</f>
        <v>1.6716959999999998</v>
      </c>
      <c r="H2244" s="663">
        <f t="shared" si="593"/>
        <v>58.141586879999998</v>
      </c>
      <c r="I2244" s="420"/>
      <c r="J2244" s="420"/>
      <c r="K2244" s="421">
        <f t="shared" si="588"/>
        <v>0</v>
      </c>
      <c r="L2244" s="647"/>
      <c r="M2244" s="723"/>
      <c r="N2244" s="576">
        <f t="shared" si="579"/>
        <v>0</v>
      </c>
      <c r="O2244" s="577">
        <f t="shared" si="591"/>
        <v>0</v>
      </c>
      <c r="P2244" s="578">
        <f t="shared" si="592"/>
        <v>0</v>
      </c>
      <c r="Q2244" s="765"/>
      <c r="R2244" s="723"/>
      <c r="S2244" s="723"/>
      <c r="T2244" s="577">
        <f t="shared" si="589"/>
        <v>0</v>
      </c>
      <c r="U2244" s="578">
        <f t="shared" si="590"/>
        <v>0</v>
      </c>
      <c r="V2244" s="579"/>
      <c r="W2244" s="566" t="str">
        <f>IF(U2240&gt;0,"xx",IF(P2240&gt;0,"xy",""))</f>
        <v/>
      </c>
      <c r="X2244" s="586" t="str">
        <f t="shared" si="577"/>
        <v/>
      </c>
      <c r="Y2244" s="586" t="str">
        <f t="shared" si="531"/>
        <v/>
      </c>
      <c r="Z2244" s="586" t="str">
        <f t="shared" si="583"/>
        <v/>
      </c>
    </row>
    <row r="2245" spans="1:26" ht="12" hidden="1" thickBot="1" x14ac:dyDescent="0.25">
      <c r="A2245" s="567" t="s">
        <v>168</v>
      </c>
      <c r="B2245" s="644" t="s">
        <v>168</v>
      </c>
      <c r="C2245" s="645"/>
      <c r="D2245" s="422" t="s">
        <v>401</v>
      </c>
      <c r="E2245" s="423"/>
      <c r="F2245" s="424">
        <v>500</v>
      </c>
      <c r="G2245" s="425">
        <f>VLOOKUP(D2240,'[2]ENSAIOS DE ORÇAMENTO'!$C$3:$L$79,10,FALSE)</f>
        <v>5.5723200000000001E-2</v>
      </c>
      <c r="H2245" s="649">
        <f>IF(F2245&lt;=30,(0.78*F2245+7.82)*G2245,((0.78*30+7.82)+0.78*(F2245-30))*G2245)</f>
        <v>22.167803424000002</v>
      </c>
      <c r="I2245" s="420"/>
      <c r="J2245" s="420"/>
      <c r="K2245" s="421">
        <f t="shared" si="588"/>
        <v>0</v>
      </c>
      <c r="L2245" s="647"/>
      <c r="M2245" s="723"/>
      <c r="N2245" s="576">
        <f t="shared" si="579"/>
        <v>0</v>
      </c>
      <c r="O2245" s="577">
        <f t="shared" si="591"/>
        <v>0</v>
      </c>
      <c r="P2245" s="578">
        <f t="shared" si="592"/>
        <v>0</v>
      </c>
      <c r="Q2245" s="765"/>
      <c r="R2245" s="723"/>
      <c r="S2245" s="723"/>
      <c r="T2245" s="577">
        <f t="shared" si="589"/>
        <v>0</v>
      </c>
      <c r="U2245" s="578">
        <f t="shared" si="590"/>
        <v>0</v>
      </c>
      <c r="V2245" s="579"/>
      <c r="W2245" s="566" t="str">
        <f>IF(U2240&gt;0,"xx",IF(P2240&gt;0,"xy",""))</f>
        <v/>
      </c>
      <c r="X2245" s="586" t="str">
        <f t="shared" si="577"/>
        <v/>
      </c>
      <c r="Y2245" s="586" t="str">
        <f t="shared" si="531"/>
        <v/>
      </c>
      <c r="Z2245" s="586" t="str">
        <f t="shared" si="583"/>
        <v/>
      </c>
    </row>
    <row r="2246" spans="1:26" ht="12" hidden="1" thickBot="1" x14ac:dyDescent="0.25">
      <c r="A2246" s="567" t="s">
        <v>33</v>
      </c>
      <c r="B2246" s="644" t="s">
        <v>33</v>
      </c>
      <c r="C2246" s="645" t="s">
        <v>206</v>
      </c>
      <c r="D2246" s="422" t="s">
        <v>102</v>
      </c>
      <c r="E2246" s="423"/>
      <c r="F2246" s="424"/>
      <c r="G2246" s="425"/>
      <c r="H2246" s="651">
        <f>SUM(H2247:H2251)</f>
        <v>461.47875640000001</v>
      </c>
      <c r="I2246" s="420">
        <f>VLOOKUP(D2246,'[2]ENSAIOS DE ORÇAMENTO'!$C$3:$L$79,8,FALSE)</f>
        <v>2933.8990199999998</v>
      </c>
      <c r="J2246" s="420">
        <f>IF(ISBLANK(I2246),"",SUM(H2246:I2246))</f>
        <v>3395.3777763999997</v>
      </c>
      <c r="K2246" s="421">
        <f t="shared" si="588"/>
        <v>4034.05</v>
      </c>
      <c r="L2246" s="647" t="s">
        <v>21</v>
      </c>
      <c r="M2246" s="576"/>
      <c r="N2246" s="576">
        <f t="shared" si="579"/>
        <v>0</v>
      </c>
      <c r="O2246" s="577">
        <f t="shared" si="591"/>
        <v>0</v>
      </c>
      <c r="P2246" s="578">
        <f t="shared" si="592"/>
        <v>0</v>
      </c>
      <c r="Q2246" s="765"/>
      <c r="R2246" s="576">
        <f>M2246</f>
        <v>0</v>
      </c>
      <c r="S2246" s="576">
        <f>N2246</f>
        <v>0</v>
      </c>
      <c r="T2246" s="577">
        <f t="shared" si="589"/>
        <v>0</v>
      </c>
      <c r="U2246" s="578">
        <f t="shared" si="590"/>
        <v>0</v>
      </c>
      <c r="V2246" s="579"/>
      <c r="W2246" s="566"/>
      <c r="X2246" s="586" t="str">
        <f t="shared" si="577"/>
        <v/>
      </c>
      <c r="Y2246" s="586" t="str">
        <f t="shared" si="531"/>
        <v/>
      </c>
      <c r="Z2246" s="586" t="str">
        <f t="shared" si="583"/>
        <v/>
      </c>
    </row>
    <row r="2247" spans="1:26" ht="12" hidden="1" thickBot="1" x14ac:dyDescent="0.25">
      <c r="A2247" s="567" t="s">
        <v>168</v>
      </c>
      <c r="B2247" s="644" t="s">
        <v>168</v>
      </c>
      <c r="C2247" s="645"/>
      <c r="D2247" s="422" t="s">
        <v>212</v>
      </c>
      <c r="E2247" s="423"/>
      <c r="F2247" s="424">
        <v>500</v>
      </c>
      <c r="G2247" s="425">
        <f>VLOOKUP(D2246,'[2]ENSAIOS DE ORÇAMENTO'!$C$3:$L$79,4,FALSE)</f>
        <v>0.23381399999999999</v>
      </c>
      <c r="H2247" s="649">
        <f>IF(F2247&lt;=30,(0.78*F2247+7.82)*G2247,((0.78*30+7.82)+0.78*(F2247-30))*G2247)</f>
        <v>93.015885480000009</v>
      </c>
      <c r="I2247" s="420"/>
      <c r="J2247" s="420"/>
      <c r="K2247" s="421">
        <f t="shared" si="588"/>
        <v>0</v>
      </c>
      <c r="L2247" s="647"/>
      <c r="M2247" s="723"/>
      <c r="N2247" s="576">
        <f t="shared" si="579"/>
        <v>0</v>
      </c>
      <c r="O2247" s="577">
        <f t="shared" si="591"/>
        <v>0</v>
      </c>
      <c r="P2247" s="578">
        <f t="shared" si="592"/>
        <v>0</v>
      </c>
      <c r="Q2247" s="765"/>
      <c r="R2247" s="723"/>
      <c r="S2247" s="723"/>
      <c r="T2247" s="577">
        <f t="shared" si="589"/>
        <v>0</v>
      </c>
      <c r="U2247" s="578">
        <f t="shared" si="590"/>
        <v>0</v>
      </c>
      <c r="V2247" s="579"/>
      <c r="W2247" s="566" t="str">
        <f>IF(U2246&gt;0,"xx",IF(P2246&gt;0,"xy",""))</f>
        <v/>
      </c>
      <c r="X2247" s="586" t="str">
        <f t="shared" si="577"/>
        <v/>
      </c>
      <c r="Y2247" s="586" t="str">
        <f t="shared" si="531"/>
        <v/>
      </c>
      <c r="Z2247" s="586" t="str">
        <f t="shared" si="583"/>
        <v/>
      </c>
    </row>
    <row r="2248" spans="1:26" ht="12" hidden="1" thickBot="1" x14ac:dyDescent="0.25">
      <c r="A2248" s="567" t="s">
        <v>168</v>
      </c>
      <c r="B2248" s="644" t="s">
        <v>168</v>
      </c>
      <c r="C2248" s="645"/>
      <c r="D2248" s="422" t="s">
        <v>248</v>
      </c>
      <c r="E2248" s="423"/>
      <c r="F2248" s="424">
        <v>180</v>
      </c>
      <c r="G2248" s="425">
        <f>VLOOKUP(D2246,'[2]ENSAIOS DE ORÇAMENTO'!$C$3:$L$79,5,FALSE)</f>
        <v>1.324927</v>
      </c>
      <c r="H2248" s="663">
        <f t="shared" ref="H2248:H2250" si="594">IF(F2248&lt;=30,(1.07*F2248+2.68)*G2248,((1.07*30+2.68)+1.07*(F2248-30))*G2248)</f>
        <v>258.73174455999998</v>
      </c>
      <c r="I2248" s="420"/>
      <c r="J2248" s="420"/>
      <c r="K2248" s="421">
        <f t="shared" si="588"/>
        <v>0</v>
      </c>
      <c r="L2248" s="647"/>
      <c r="M2248" s="723"/>
      <c r="N2248" s="576">
        <f t="shared" si="579"/>
        <v>0</v>
      </c>
      <c r="O2248" s="577">
        <f t="shared" si="591"/>
        <v>0</v>
      </c>
      <c r="P2248" s="578">
        <f t="shared" si="592"/>
        <v>0</v>
      </c>
      <c r="Q2248" s="765"/>
      <c r="R2248" s="723"/>
      <c r="S2248" s="723"/>
      <c r="T2248" s="577">
        <f t="shared" si="589"/>
        <v>0</v>
      </c>
      <c r="U2248" s="578">
        <f t="shared" si="590"/>
        <v>0</v>
      </c>
      <c r="V2248" s="579"/>
      <c r="W2248" s="566" t="str">
        <f>IF(U2246&gt;0,"xx",IF(P2246&gt;0,"xy",""))</f>
        <v/>
      </c>
      <c r="X2248" s="586" t="str">
        <f t="shared" si="577"/>
        <v/>
      </c>
      <c r="Y2248" s="586" t="str">
        <f t="shared" si="531"/>
        <v/>
      </c>
      <c r="Z2248" s="586" t="str">
        <f t="shared" si="583"/>
        <v/>
      </c>
    </row>
    <row r="2249" spans="1:26" ht="12" hidden="1" thickBot="1" x14ac:dyDescent="0.25">
      <c r="A2249" s="567" t="s">
        <v>168</v>
      </c>
      <c r="B2249" s="644" t="s">
        <v>168</v>
      </c>
      <c r="C2249" s="645"/>
      <c r="D2249" s="422" t="s">
        <v>252</v>
      </c>
      <c r="E2249" s="423"/>
      <c r="F2249" s="424">
        <v>20</v>
      </c>
      <c r="G2249" s="425">
        <f>VLOOKUP(D2246,'[2]ENSAIOS DE ORÇAMENTO'!$C$3:$L$79,6,FALSE)</f>
        <v>0.38805600000000001</v>
      </c>
      <c r="H2249" s="663">
        <f t="shared" si="594"/>
        <v>9.344388480000001</v>
      </c>
      <c r="I2249" s="420"/>
      <c r="J2249" s="420"/>
      <c r="K2249" s="421">
        <f t="shared" si="588"/>
        <v>0</v>
      </c>
      <c r="L2249" s="647"/>
      <c r="M2249" s="723"/>
      <c r="N2249" s="576">
        <f t="shared" si="579"/>
        <v>0</v>
      </c>
      <c r="O2249" s="577">
        <f t="shared" si="591"/>
        <v>0</v>
      </c>
      <c r="P2249" s="578">
        <f t="shared" si="592"/>
        <v>0</v>
      </c>
      <c r="Q2249" s="765"/>
      <c r="R2249" s="723"/>
      <c r="S2249" s="723"/>
      <c r="T2249" s="577">
        <f t="shared" si="589"/>
        <v>0</v>
      </c>
      <c r="U2249" s="578">
        <f t="shared" si="590"/>
        <v>0</v>
      </c>
      <c r="V2249" s="579"/>
      <c r="W2249" s="566" t="str">
        <f>IF(U2246&gt;0,"xx",IF(P2246&gt;0,"xy",""))</f>
        <v/>
      </c>
      <c r="X2249" s="586" t="str">
        <f t="shared" si="577"/>
        <v/>
      </c>
      <c r="Y2249" s="586" t="str">
        <f t="shared" si="531"/>
        <v/>
      </c>
      <c r="Z2249" s="586" t="str">
        <f t="shared" si="583"/>
        <v/>
      </c>
    </row>
    <row r="2250" spans="1:26" ht="12" hidden="1" thickBot="1" x14ac:dyDescent="0.25">
      <c r="A2250" s="567" t="s">
        <v>168</v>
      </c>
      <c r="B2250" s="644" t="s">
        <v>168</v>
      </c>
      <c r="C2250" s="645"/>
      <c r="D2250" s="422" t="s">
        <v>400</v>
      </c>
      <c r="E2250" s="423"/>
      <c r="F2250" s="424">
        <v>30</v>
      </c>
      <c r="G2250" s="425">
        <f>VLOOKUP(D2246,'[2]ENSAIOS DE ORÇAMENTO'!$C$3:$L$79,3,FALSE)</f>
        <v>2.0896199999999996</v>
      </c>
      <c r="H2250" s="663">
        <f t="shared" si="594"/>
        <v>72.676983599999986</v>
      </c>
      <c r="I2250" s="420"/>
      <c r="J2250" s="420"/>
      <c r="K2250" s="421">
        <f t="shared" si="588"/>
        <v>0</v>
      </c>
      <c r="L2250" s="647"/>
      <c r="M2250" s="723"/>
      <c r="N2250" s="576">
        <f t="shared" si="579"/>
        <v>0</v>
      </c>
      <c r="O2250" s="577">
        <f t="shared" si="591"/>
        <v>0</v>
      </c>
      <c r="P2250" s="578">
        <f t="shared" si="592"/>
        <v>0</v>
      </c>
      <c r="Q2250" s="765"/>
      <c r="R2250" s="723"/>
      <c r="S2250" s="723"/>
      <c r="T2250" s="577">
        <f t="shared" si="589"/>
        <v>0</v>
      </c>
      <c r="U2250" s="578">
        <f t="shared" si="590"/>
        <v>0</v>
      </c>
      <c r="V2250" s="579"/>
      <c r="W2250" s="566" t="str">
        <f>IF(U2246&gt;0,"xx",IF(P2246&gt;0,"xy",""))</f>
        <v/>
      </c>
      <c r="X2250" s="586" t="str">
        <f t="shared" si="577"/>
        <v/>
      </c>
      <c r="Y2250" s="586" t="str">
        <f t="shared" si="531"/>
        <v/>
      </c>
      <c r="Z2250" s="586" t="str">
        <f t="shared" si="583"/>
        <v/>
      </c>
    </row>
    <row r="2251" spans="1:26" ht="12" hidden="1" thickBot="1" x14ac:dyDescent="0.25">
      <c r="A2251" s="567" t="s">
        <v>168</v>
      </c>
      <c r="B2251" s="644" t="s">
        <v>168</v>
      </c>
      <c r="C2251" s="645"/>
      <c r="D2251" s="422" t="s">
        <v>401</v>
      </c>
      <c r="E2251" s="423"/>
      <c r="F2251" s="424">
        <v>500</v>
      </c>
      <c r="G2251" s="425">
        <f>VLOOKUP(D2246,'[2]ENSAIOS DE ORÇAMENTO'!$C$3:$L$79,10,FALSE)</f>
        <v>6.9653999999999994E-2</v>
      </c>
      <c r="H2251" s="649">
        <f>IF(F2251&lt;=30,(0.78*F2251+7.82)*G2251,((0.78*30+7.82)+0.78*(F2251-30))*G2251)</f>
        <v>27.709754280000002</v>
      </c>
      <c r="I2251" s="420"/>
      <c r="J2251" s="420"/>
      <c r="K2251" s="421">
        <f t="shared" si="588"/>
        <v>0</v>
      </c>
      <c r="L2251" s="647"/>
      <c r="M2251" s="723"/>
      <c r="N2251" s="576">
        <f t="shared" si="579"/>
        <v>0</v>
      </c>
      <c r="O2251" s="577">
        <f t="shared" si="591"/>
        <v>0</v>
      </c>
      <c r="P2251" s="578">
        <f t="shared" si="592"/>
        <v>0</v>
      </c>
      <c r="Q2251" s="765"/>
      <c r="R2251" s="723"/>
      <c r="S2251" s="723"/>
      <c r="T2251" s="577">
        <f t="shared" si="589"/>
        <v>0</v>
      </c>
      <c r="U2251" s="578">
        <f t="shared" si="590"/>
        <v>0</v>
      </c>
      <c r="V2251" s="579"/>
      <c r="W2251" s="566" t="str">
        <f>IF(U2246&gt;0,"xx",IF(P2246&gt;0,"xy",""))</f>
        <v/>
      </c>
      <c r="X2251" s="586" t="str">
        <f t="shared" si="577"/>
        <v/>
      </c>
      <c r="Y2251" s="586" t="str">
        <f t="shared" si="531"/>
        <v/>
      </c>
      <c r="Z2251" s="586" t="str">
        <f t="shared" si="583"/>
        <v/>
      </c>
    </row>
    <row r="2252" spans="1:26" ht="12" hidden="1" thickBot="1" x14ac:dyDescent="0.25">
      <c r="A2252" s="567" t="s">
        <v>117</v>
      </c>
      <c r="B2252" s="644" t="s">
        <v>117</v>
      </c>
      <c r="C2252" s="645" t="s">
        <v>206</v>
      </c>
      <c r="D2252" s="422" t="s">
        <v>103</v>
      </c>
      <c r="E2252" s="423"/>
      <c r="F2252" s="424"/>
      <c r="G2252" s="425"/>
      <c r="H2252" s="651">
        <f>SUM(H2253:H2257)</f>
        <v>576.97404310000002</v>
      </c>
      <c r="I2252" s="420">
        <f>VLOOKUP(D2252,'[2]ENSAIOS DE ORÇAMENTO'!$C$3:$L$79,8,FALSE)</f>
        <v>3406.1250199999995</v>
      </c>
      <c r="J2252" s="420">
        <f>IF(ISBLANK(I2252),"",SUM(H2252:I2252))</f>
        <v>3983.0990630999995</v>
      </c>
      <c r="K2252" s="421">
        <f t="shared" si="588"/>
        <v>4732.32</v>
      </c>
      <c r="L2252" s="647" t="s">
        <v>21</v>
      </c>
      <c r="M2252" s="576"/>
      <c r="N2252" s="576">
        <f t="shared" si="579"/>
        <v>0</v>
      </c>
      <c r="O2252" s="577">
        <f t="shared" si="591"/>
        <v>0</v>
      </c>
      <c r="P2252" s="578">
        <f t="shared" si="592"/>
        <v>0</v>
      </c>
      <c r="Q2252" s="765"/>
      <c r="R2252" s="576">
        <f>M2252</f>
        <v>0</v>
      </c>
      <c r="S2252" s="576">
        <f>N2252</f>
        <v>0</v>
      </c>
      <c r="T2252" s="577">
        <f t="shared" si="589"/>
        <v>0</v>
      </c>
      <c r="U2252" s="578">
        <f t="shared" si="590"/>
        <v>0</v>
      </c>
      <c r="V2252" s="579"/>
      <c r="W2252" s="566"/>
      <c r="X2252" s="586" t="str">
        <f t="shared" si="577"/>
        <v/>
      </c>
      <c r="Y2252" s="586" t="str">
        <f t="shared" si="531"/>
        <v/>
      </c>
      <c r="Z2252" s="586" t="str">
        <f t="shared" si="583"/>
        <v/>
      </c>
    </row>
    <row r="2253" spans="1:26" ht="12" hidden="1" thickBot="1" x14ac:dyDescent="0.25">
      <c r="A2253" s="567" t="s">
        <v>168</v>
      </c>
      <c r="B2253" s="644" t="s">
        <v>168</v>
      </c>
      <c r="C2253" s="645"/>
      <c r="D2253" s="422" t="s">
        <v>212</v>
      </c>
      <c r="E2253" s="423"/>
      <c r="F2253" s="424">
        <v>500</v>
      </c>
      <c r="G2253" s="425">
        <f>VLOOKUP(D2252,'[2]ENSAIOS DE ORÇAMENTO'!$C$3:$L$79,4,FALSE)</f>
        <v>0.28185359999999998</v>
      </c>
      <c r="H2253" s="649">
        <f>IF(F2253&lt;=30,(0.78*F2253+7.82)*G2253,((0.78*30+7.82)+0.78*(F2253-30))*G2253)</f>
        <v>112.12699915200001</v>
      </c>
      <c r="I2253" s="420"/>
      <c r="J2253" s="420"/>
      <c r="K2253" s="421">
        <f t="shared" si="588"/>
        <v>0</v>
      </c>
      <c r="L2253" s="647"/>
      <c r="M2253" s="723"/>
      <c r="N2253" s="576">
        <f t="shared" si="579"/>
        <v>0</v>
      </c>
      <c r="O2253" s="577">
        <f t="shared" si="591"/>
        <v>0</v>
      </c>
      <c r="P2253" s="578">
        <f t="shared" si="592"/>
        <v>0</v>
      </c>
      <c r="Q2253" s="765"/>
      <c r="R2253" s="723"/>
      <c r="S2253" s="723"/>
      <c r="T2253" s="577">
        <f t="shared" si="589"/>
        <v>0</v>
      </c>
      <c r="U2253" s="578">
        <f t="shared" si="590"/>
        <v>0</v>
      </c>
      <c r="V2253" s="579"/>
      <c r="W2253" s="566" t="str">
        <f>IF(U2252&gt;0,"xx",IF(P2252&gt;0,"xy",""))</f>
        <v/>
      </c>
      <c r="X2253" s="586" t="str">
        <f t="shared" si="577"/>
        <v/>
      </c>
      <c r="Y2253" s="586" t="str">
        <f t="shared" si="531"/>
        <v/>
      </c>
      <c r="Z2253" s="586" t="str">
        <f t="shared" si="583"/>
        <v/>
      </c>
    </row>
    <row r="2254" spans="1:26" ht="12" hidden="1" thickBot="1" x14ac:dyDescent="0.25">
      <c r="A2254" s="567" t="s">
        <v>168</v>
      </c>
      <c r="B2254" s="644" t="s">
        <v>168</v>
      </c>
      <c r="C2254" s="645"/>
      <c r="D2254" s="422" t="s">
        <v>248</v>
      </c>
      <c r="E2254" s="423"/>
      <c r="F2254" s="424">
        <v>180</v>
      </c>
      <c r="G2254" s="425">
        <f>VLOOKUP(D2252,'[2]ENSAIOS DE ORÇAMENTO'!$C$3:$L$79,5,FALSE)</f>
        <v>1.6484590000000001</v>
      </c>
      <c r="H2254" s="663">
        <f t="shared" ref="H2254:H2256" si="595">IF(F2254&lt;=30,(1.07*F2254+2.68)*G2254,((1.07*30+2.68)+1.07*(F2254-30))*G2254)</f>
        <v>321.91107352</v>
      </c>
      <c r="I2254" s="420"/>
      <c r="J2254" s="420"/>
      <c r="K2254" s="421">
        <f t="shared" si="588"/>
        <v>0</v>
      </c>
      <c r="L2254" s="647"/>
      <c r="M2254" s="723"/>
      <c r="N2254" s="576">
        <f t="shared" si="579"/>
        <v>0</v>
      </c>
      <c r="O2254" s="577">
        <f t="shared" si="591"/>
        <v>0</v>
      </c>
      <c r="P2254" s="578">
        <f t="shared" si="592"/>
        <v>0</v>
      </c>
      <c r="Q2254" s="765"/>
      <c r="R2254" s="723"/>
      <c r="S2254" s="723"/>
      <c r="T2254" s="577">
        <f t="shared" si="589"/>
        <v>0</v>
      </c>
      <c r="U2254" s="578">
        <f t="shared" si="590"/>
        <v>0</v>
      </c>
      <c r="V2254" s="579"/>
      <c r="W2254" s="566" t="str">
        <f>IF(U2252&gt;0,"xx",IF(P2252&gt;0,"xy",""))</f>
        <v/>
      </c>
      <c r="X2254" s="586" t="str">
        <f t="shared" si="577"/>
        <v/>
      </c>
      <c r="Y2254" s="586" t="str">
        <f t="shared" si="531"/>
        <v/>
      </c>
      <c r="Z2254" s="586" t="str">
        <f t="shared" si="583"/>
        <v/>
      </c>
    </row>
    <row r="2255" spans="1:26" ht="12" hidden="1" thickBot="1" x14ac:dyDescent="0.25">
      <c r="A2255" s="567" t="s">
        <v>168</v>
      </c>
      <c r="B2255" s="644" t="s">
        <v>168</v>
      </c>
      <c r="C2255" s="645"/>
      <c r="D2255" s="422" t="s">
        <v>252</v>
      </c>
      <c r="E2255" s="423"/>
      <c r="F2255" s="424">
        <v>20</v>
      </c>
      <c r="G2255" s="425">
        <f>VLOOKUP(D2252,'[2]ENSAIOS DE ORÇAMENTO'!$C$3:$L$79,6,FALSE)</f>
        <v>0.38805600000000001</v>
      </c>
      <c r="H2255" s="663">
        <f t="shared" si="595"/>
        <v>9.344388480000001</v>
      </c>
      <c r="I2255" s="420"/>
      <c r="J2255" s="420"/>
      <c r="K2255" s="421">
        <f t="shared" si="588"/>
        <v>0</v>
      </c>
      <c r="L2255" s="647"/>
      <c r="M2255" s="723"/>
      <c r="N2255" s="576">
        <f t="shared" si="579"/>
        <v>0</v>
      </c>
      <c r="O2255" s="577">
        <f t="shared" si="591"/>
        <v>0</v>
      </c>
      <c r="P2255" s="578">
        <f t="shared" si="592"/>
        <v>0</v>
      </c>
      <c r="Q2255" s="765"/>
      <c r="R2255" s="723"/>
      <c r="S2255" s="723"/>
      <c r="T2255" s="577">
        <f t="shared" si="589"/>
        <v>0</v>
      </c>
      <c r="U2255" s="578">
        <f t="shared" si="590"/>
        <v>0</v>
      </c>
      <c r="V2255" s="579"/>
      <c r="W2255" s="566" t="str">
        <f>IF(U2252&gt;0,"xx",IF(P2252&gt;0,"xy",""))</f>
        <v/>
      </c>
      <c r="X2255" s="586" t="str">
        <f t="shared" si="577"/>
        <v/>
      </c>
      <c r="Y2255" s="586" t="str">
        <f t="shared" si="531"/>
        <v/>
      </c>
      <c r="Z2255" s="586" t="str">
        <f t="shared" si="583"/>
        <v/>
      </c>
    </row>
    <row r="2256" spans="1:26" ht="12" hidden="1" thickBot="1" x14ac:dyDescent="0.25">
      <c r="A2256" s="567" t="s">
        <v>168</v>
      </c>
      <c r="B2256" s="644" t="s">
        <v>168</v>
      </c>
      <c r="C2256" s="645"/>
      <c r="D2256" s="422" t="s">
        <v>400</v>
      </c>
      <c r="E2256" s="423"/>
      <c r="F2256" s="424">
        <v>30</v>
      </c>
      <c r="G2256" s="425">
        <f>VLOOKUP(D2252,'[2]ENSAIOS DE ORÇAMENTO'!$C$3:$L$79,3,FALSE)</f>
        <v>2.780802</v>
      </c>
      <c r="H2256" s="663">
        <f t="shared" si="595"/>
        <v>96.716293559999997</v>
      </c>
      <c r="I2256" s="420"/>
      <c r="J2256" s="420"/>
      <c r="K2256" s="421">
        <f t="shared" si="588"/>
        <v>0</v>
      </c>
      <c r="L2256" s="647"/>
      <c r="M2256" s="723"/>
      <c r="N2256" s="576">
        <f t="shared" si="579"/>
        <v>0</v>
      </c>
      <c r="O2256" s="577">
        <f t="shared" si="591"/>
        <v>0</v>
      </c>
      <c r="P2256" s="578">
        <f t="shared" si="592"/>
        <v>0</v>
      </c>
      <c r="Q2256" s="765"/>
      <c r="R2256" s="723"/>
      <c r="S2256" s="723"/>
      <c r="T2256" s="577">
        <f t="shared" si="589"/>
        <v>0</v>
      </c>
      <c r="U2256" s="578">
        <f t="shared" si="590"/>
        <v>0</v>
      </c>
      <c r="V2256" s="579"/>
      <c r="W2256" s="566" t="str">
        <f>IF(U2252&gt;0,"xx",IF(P2252&gt;0,"xy",""))</f>
        <v/>
      </c>
      <c r="X2256" s="586" t="str">
        <f t="shared" si="577"/>
        <v/>
      </c>
      <c r="Y2256" s="586" t="str">
        <f t="shared" si="531"/>
        <v/>
      </c>
      <c r="Z2256" s="586" t="str">
        <f t="shared" si="583"/>
        <v/>
      </c>
    </row>
    <row r="2257" spans="1:26" ht="12" hidden="1" thickBot="1" x14ac:dyDescent="0.25">
      <c r="A2257" s="567" t="s">
        <v>168</v>
      </c>
      <c r="B2257" s="644" t="s">
        <v>168</v>
      </c>
      <c r="C2257" s="645"/>
      <c r="D2257" s="422" t="s">
        <v>401</v>
      </c>
      <c r="E2257" s="423"/>
      <c r="F2257" s="424">
        <v>500</v>
      </c>
      <c r="G2257" s="425">
        <f>VLOOKUP(D2252,'[2]ENSAIOS DE ORÇAMENTO'!$C$3:$L$79,10,FALSE)</f>
        <v>9.2693399999999995E-2</v>
      </c>
      <c r="H2257" s="649">
        <f>IF(F2257&lt;=30,(0.78*F2257+7.82)*G2257,((0.78*30+7.82)+0.78*(F2257-30))*G2257)</f>
        <v>36.875288388000001</v>
      </c>
      <c r="I2257" s="420"/>
      <c r="J2257" s="420"/>
      <c r="K2257" s="421">
        <f t="shared" si="588"/>
        <v>0</v>
      </c>
      <c r="L2257" s="647"/>
      <c r="M2257" s="723"/>
      <c r="N2257" s="576">
        <f t="shared" si="579"/>
        <v>0</v>
      </c>
      <c r="O2257" s="577">
        <f t="shared" si="591"/>
        <v>0</v>
      </c>
      <c r="P2257" s="578">
        <f t="shared" si="592"/>
        <v>0</v>
      </c>
      <c r="Q2257" s="765"/>
      <c r="R2257" s="723"/>
      <c r="S2257" s="723"/>
      <c r="T2257" s="577">
        <f t="shared" si="589"/>
        <v>0</v>
      </c>
      <c r="U2257" s="578">
        <f t="shared" si="590"/>
        <v>0</v>
      </c>
      <c r="V2257" s="579"/>
      <c r="W2257" s="566" t="str">
        <f>IF(U2252&gt;0,"xx",IF(P2252&gt;0,"xy",""))</f>
        <v/>
      </c>
      <c r="X2257" s="586" t="str">
        <f t="shared" si="577"/>
        <v/>
      </c>
      <c r="Y2257" s="586" t="str">
        <f t="shared" si="531"/>
        <v/>
      </c>
      <c r="Z2257" s="586" t="str">
        <f t="shared" si="583"/>
        <v/>
      </c>
    </row>
    <row r="2258" spans="1:26" ht="12" hidden="1" thickBot="1" x14ac:dyDescent="0.25">
      <c r="A2258" s="567" t="s">
        <v>118</v>
      </c>
      <c r="B2258" s="644" t="s">
        <v>118</v>
      </c>
      <c r="C2258" s="645" t="s">
        <v>206</v>
      </c>
      <c r="D2258" s="422" t="s">
        <v>104</v>
      </c>
      <c r="E2258" s="423"/>
      <c r="F2258" s="424"/>
      <c r="G2258" s="425"/>
      <c r="H2258" s="651">
        <f>SUM(H2259:H2263)</f>
        <v>695.15526669999997</v>
      </c>
      <c r="I2258" s="420">
        <f>VLOOKUP(D2258,'[2]ENSAIOS DE ORÇAMENTO'!$C$3:$L$79,8,FALSE)</f>
        <v>3889.3330199999991</v>
      </c>
      <c r="J2258" s="420">
        <f>IF(ISBLANK(I2258),"",SUM(H2258:I2258))</f>
        <v>4584.4882866999988</v>
      </c>
      <c r="K2258" s="421">
        <f t="shared" si="588"/>
        <v>5446.83</v>
      </c>
      <c r="L2258" s="647" t="s">
        <v>21</v>
      </c>
      <c r="M2258" s="576"/>
      <c r="N2258" s="576">
        <f t="shared" si="579"/>
        <v>0</v>
      </c>
      <c r="O2258" s="577">
        <f t="shared" si="591"/>
        <v>0</v>
      </c>
      <c r="P2258" s="578">
        <f t="shared" si="592"/>
        <v>0</v>
      </c>
      <c r="Q2258" s="765"/>
      <c r="R2258" s="576">
        <f>M2258</f>
        <v>0</v>
      </c>
      <c r="S2258" s="576">
        <f>N2258</f>
        <v>0</v>
      </c>
      <c r="T2258" s="577">
        <f t="shared" si="589"/>
        <v>0</v>
      </c>
      <c r="U2258" s="578">
        <f t="shared" si="590"/>
        <v>0</v>
      </c>
      <c r="V2258" s="579"/>
      <c r="W2258" s="566"/>
      <c r="X2258" s="586" t="str">
        <f t="shared" si="577"/>
        <v/>
      </c>
      <c r="Y2258" s="586" t="str">
        <f t="shared" si="531"/>
        <v/>
      </c>
      <c r="Z2258" s="586" t="str">
        <f t="shared" si="583"/>
        <v/>
      </c>
    </row>
    <row r="2259" spans="1:26" ht="12" hidden="1" thickBot="1" x14ac:dyDescent="0.25">
      <c r="A2259" s="567" t="s">
        <v>168</v>
      </c>
      <c r="B2259" s="644" t="s">
        <v>168</v>
      </c>
      <c r="C2259" s="645"/>
      <c r="D2259" s="422" t="s">
        <v>212</v>
      </c>
      <c r="E2259" s="423"/>
      <c r="F2259" s="424">
        <v>500</v>
      </c>
      <c r="G2259" s="425">
        <f>VLOOKUP(D2258,'[2]ENSAIOS DE ORÇAMENTO'!$C$3:$L$79,4,FALSE)</f>
        <v>0.33101039999999993</v>
      </c>
      <c r="H2259" s="649">
        <f>IF(F2259&lt;=30,(0.78*F2259+7.82)*G2259,((0.78*30+7.82)+0.78*(F2259-30))*G2259)</f>
        <v>131.682557328</v>
      </c>
      <c r="I2259" s="420"/>
      <c r="J2259" s="420"/>
      <c r="K2259" s="421">
        <f t="shared" si="588"/>
        <v>0</v>
      </c>
      <c r="L2259" s="647"/>
      <c r="M2259" s="723"/>
      <c r="N2259" s="576">
        <f t="shared" si="579"/>
        <v>0</v>
      </c>
      <c r="O2259" s="577">
        <f t="shared" si="591"/>
        <v>0</v>
      </c>
      <c r="P2259" s="578">
        <f t="shared" si="592"/>
        <v>0</v>
      </c>
      <c r="Q2259" s="765"/>
      <c r="R2259" s="723"/>
      <c r="S2259" s="723"/>
      <c r="T2259" s="577">
        <f t="shared" si="589"/>
        <v>0</v>
      </c>
      <c r="U2259" s="578">
        <f t="shared" si="590"/>
        <v>0</v>
      </c>
      <c r="V2259" s="579"/>
      <c r="W2259" s="566" t="str">
        <f>IF(U2258&gt;0,"xx",IF(P2258&gt;0,"xy",""))</f>
        <v/>
      </c>
      <c r="X2259" s="586" t="str">
        <f t="shared" si="577"/>
        <v/>
      </c>
      <c r="Y2259" s="586" t="str">
        <f t="shared" si="531"/>
        <v/>
      </c>
      <c r="Z2259" s="586" t="str">
        <f t="shared" si="583"/>
        <v/>
      </c>
    </row>
    <row r="2260" spans="1:26" ht="12" hidden="1" thickBot="1" x14ac:dyDescent="0.25">
      <c r="A2260" s="567" t="s">
        <v>168</v>
      </c>
      <c r="B2260" s="644" t="s">
        <v>168</v>
      </c>
      <c r="C2260" s="645"/>
      <c r="D2260" s="422" t="s">
        <v>248</v>
      </c>
      <c r="E2260" s="423"/>
      <c r="F2260" s="424">
        <v>180</v>
      </c>
      <c r="G2260" s="425">
        <f>VLOOKUP(D2258,'[2]ENSAIOS DE ORÇAMENTO'!$C$3:$L$79,5,FALSE)</f>
        <v>1.9795149999999999</v>
      </c>
      <c r="H2260" s="663">
        <f t="shared" ref="H2260:H2262" si="596">IF(F2260&lt;=30,(1.07*F2260+2.68)*G2260,((1.07*30+2.68)+1.07*(F2260-30))*G2260)</f>
        <v>386.55968919999998</v>
      </c>
      <c r="I2260" s="420"/>
      <c r="J2260" s="420"/>
      <c r="K2260" s="421">
        <f t="shared" si="588"/>
        <v>0</v>
      </c>
      <c r="L2260" s="647"/>
      <c r="M2260" s="723"/>
      <c r="N2260" s="576">
        <f t="shared" ref="N2260:N2323" si="597">IF(M2260=0,0,K2260)</f>
        <v>0</v>
      </c>
      <c r="O2260" s="577">
        <f t="shared" si="591"/>
        <v>0</v>
      </c>
      <c r="P2260" s="578">
        <f t="shared" si="592"/>
        <v>0</v>
      </c>
      <c r="Q2260" s="765"/>
      <c r="R2260" s="723"/>
      <c r="S2260" s="723"/>
      <c r="T2260" s="577">
        <f t="shared" si="589"/>
        <v>0</v>
      </c>
      <c r="U2260" s="578">
        <f t="shared" si="590"/>
        <v>0</v>
      </c>
      <c r="V2260" s="579"/>
      <c r="W2260" s="566" t="str">
        <f>IF(U2258&gt;0,"xx",IF(P2258&gt;0,"xy",""))</f>
        <v/>
      </c>
      <c r="X2260" s="586" t="str">
        <f t="shared" si="577"/>
        <v/>
      </c>
      <c r="Y2260" s="586" t="str">
        <f t="shared" si="531"/>
        <v/>
      </c>
      <c r="Z2260" s="586" t="str">
        <f t="shared" si="583"/>
        <v/>
      </c>
    </row>
    <row r="2261" spans="1:26" ht="12" hidden="1" thickBot="1" x14ac:dyDescent="0.25">
      <c r="A2261" s="567" t="s">
        <v>168</v>
      </c>
      <c r="B2261" s="644" t="s">
        <v>168</v>
      </c>
      <c r="C2261" s="645"/>
      <c r="D2261" s="422" t="s">
        <v>252</v>
      </c>
      <c r="E2261" s="423"/>
      <c r="F2261" s="424">
        <v>20</v>
      </c>
      <c r="G2261" s="425">
        <f>VLOOKUP(D2258,'[2]ENSAIOS DE ORÇAMENTO'!$C$3:$L$79,6,FALSE)</f>
        <v>0.38805600000000001</v>
      </c>
      <c r="H2261" s="663">
        <f t="shared" si="596"/>
        <v>9.344388480000001</v>
      </c>
      <c r="I2261" s="420"/>
      <c r="J2261" s="420"/>
      <c r="K2261" s="421">
        <f t="shared" si="588"/>
        <v>0</v>
      </c>
      <c r="L2261" s="647"/>
      <c r="M2261" s="723"/>
      <c r="N2261" s="576">
        <f t="shared" si="597"/>
        <v>0</v>
      </c>
      <c r="O2261" s="577">
        <f t="shared" si="591"/>
        <v>0</v>
      </c>
      <c r="P2261" s="578">
        <f t="shared" si="592"/>
        <v>0</v>
      </c>
      <c r="Q2261" s="765"/>
      <c r="R2261" s="723"/>
      <c r="S2261" s="723"/>
      <c r="T2261" s="577">
        <f t="shared" si="589"/>
        <v>0</v>
      </c>
      <c r="U2261" s="578">
        <f t="shared" si="590"/>
        <v>0</v>
      </c>
      <c r="V2261" s="579"/>
      <c r="W2261" s="566" t="str">
        <f>IF(U2258&gt;0,"xx",IF(P2258&gt;0,"xy",""))</f>
        <v/>
      </c>
      <c r="X2261" s="586" t="str">
        <f t="shared" si="577"/>
        <v/>
      </c>
      <c r="Y2261" s="586" t="str">
        <f t="shared" si="531"/>
        <v/>
      </c>
      <c r="Z2261" s="586" t="str">
        <f t="shared" si="583"/>
        <v/>
      </c>
    </row>
    <row r="2262" spans="1:26" ht="12" hidden="1" thickBot="1" x14ac:dyDescent="0.25">
      <c r="A2262" s="567" t="s">
        <v>168</v>
      </c>
      <c r="B2262" s="644" t="s">
        <v>168</v>
      </c>
      <c r="C2262" s="645"/>
      <c r="D2262" s="422" t="s">
        <v>400</v>
      </c>
      <c r="E2262" s="423"/>
      <c r="F2262" s="424">
        <v>30</v>
      </c>
      <c r="G2262" s="425">
        <f>VLOOKUP(D2258,'[2]ENSAIOS DE ORÇAMENTO'!$C$3:$L$79,3,FALSE)</f>
        <v>3.4880579999999992</v>
      </c>
      <c r="H2262" s="663">
        <f t="shared" si="596"/>
        <v>121.31465723999997</v>
      </c>
      <c r="I2262" s="420"/>
      <c r="J2262" s="420"/>
      <c r="K2262" s="421">
        <f t="shared" si="588"/>
        <v>0</v>
      </c>
      <c r="L2262" s="647"/>
      <c r="M2262" s="723"/>
      <c r="N2262" s="576">
        <f t="shared" si="597"/>
        <v>0</v>
      </c>
      <c r="O2262" s="577">
        <f t="shared" si="591"/>
        <v>0</v>
      </c>
      <c r="P2262" s="578">
        <f t="shared" si="592"/>
        <v>0</v>
      </c>
      <c r="Q2262" s="765"/>
      <c r="R2262" s="723"/>
      <c r="S2262" s="723"/>
      <c r="T2262" s="577">
        <f t="shared" si="589"/>
        <v>0</v>
      </c>
      <c r="U2262" s="578">
        <f t="shared" si="590"/>
        <v>0</v>
      </c>
      <c r="V2262" s="579"/>
      <c r="W2262" s="566" t="str">
        <f>IF(U2258&gt;0,"xx",IF(P2258&gt;0,"xy",""))</f>
        <v/>
      </c>
      <c r="X2262" s="586" t="str">
        <f t="shared" si="577"/>
        <v/>
      </c>
      <c r="Y2262" s="586" t="str">
        <f t="shared" si="531"/>
        <v/>
      </c>
      <c r="Z2262" s="586" t="str">
        <f t="shared" si="583"/>
        <v/>
      </c>
    </row>
    <row r="2263" spans="1:26" ht="12" hidden="1" thickBot="1" x14ac:dyDescent="0.25">
      <c r="A2263" s="567" t="s">
        <v>168</v>
      </c>
      <c r="B2263" s="644" t="s">
        <v>168</v>
      </c>
      <c r="C2263" s="645"/>
      <c r="D2263" s="422" t="s">
        <v>401</v>
      </c>
      <c r="E2263" s="423"/>
      <c r="F2263" s="424">
        <v>500</v>
      </c>
      <c r="G2263" s="425">
        <f>VLOOKUP(D2258,'[2]ENSAIOS DE ORÇAMENTO'!$C$3:$L$79,10,FALSE)</f>
        <v>0.11626859999999997</v>
      </c>
      <c r="H2263" s="649">
        <f>IF(F2263&lt;=30,(0.78*F2263+7.82)*G2263,((0.78*30+7.82)+0.78*(F2263-30))*G2263)</f>
        <v>46.253974451999994</v>
      </c>
      <c r="I2263" s="420"/>
      <c r="J2263" s="420"/>
      <c r="K2263" s="421">
        <f t="shared" si="588"/>
        <v>0</v>
      </c>
      <c r="L2263" s="647"/>
      <c r="M2263" s="723"/>
      <c r="N2263" s="576">
        <f t="shared" si="597"/>
        <v>0</v>
      </c>
      <c r="O2263" s="577">
        <f t="shared" si="591"/>
        <v>0</v>
      </c>
      <c r="P2263" s="578">
        <f t="shared" si="592"/>
        <v>0</v>
      </c>
      <c r="Q2263" s="765"/>
      <c r="R2263" s="723"/>
      <c r="S2263" s="723"/>
      <c r="T2263" s="577">
        <f t="shared" si="589"/>
        <v>0</v>
      </c>
      <c r="U2263" s="578">
        <f t="shared" si="590"/>
        <v>0</v>
      </c>
      <c r="V2263" s="579"/>
      <c r="W2263" s="566" t="str">
        <f>IF(U2258&gt;0,"xx",IF(P2258&gt;0,"xy",""))</f>
        <v/>
      </c>
      <c r="X2263" s="586" t="str">
        <f t="shared" si="577"/>
        <v/>
      </c>
      <c r="Y2263" s="586" t="str">
        <f t="shared" si="531"/>
        <v/>
      </c>
      <c r="Z2263" s="586" t="str">
        <f t="shared" si="583"/>
        <v/>
      </c>
    </row>
    <row r="2264" spans="1:26" ht="12" hidden="1" thickBot="1" x14ac:dyDescent="0.25">
      <c r="A2264" s="567" t="s">
        <v>119</v>
      </c>
      <c r="B2264" s="644" t="s">
        <v>119</v>
      </c>
      <c r="C2264" s="645" t="s">
        <v>206</v>
      </c>
      <c r="D2264" s="422" t="s">
        <v>406</v>
      </c>
      <c r="E2264" s="423"/>
      <c r="F2264" s="424"/>
      <c r="G2264" s="425"/>
      <c r="H2264" s="651">
        <f>SUM(H2265:H2269)</f>
        <v>867.39781996000011</v>
      </c>
      <c r="I2264" s="420">
        <f>VLOOKUP(D2264,'[2]ENSAIOS DE ORÇAMENTO'!$C$3:$L$79,8,FALSE)</f>
        <v>2116.3516300000001</v>
      </c>
      <c r="J2264" s="420">
        <f>IF(ISBLANK(I2264),"",SUM(H2264:I2264))</f>
        <v>2983.7494499600002</v>
      </c>
      <c r="K2264" s="421">
        <f t="shared" si="588"/>
        <v>3544.99</v>
      </c>
      <c r="L2264" s="647" t="s">
        <v>21</v>
      </c>
      <c r="M2264" s="576"/>
      <c r="N2264" s="576">
        <f t="shared" si="597"/>
        <v>0</v>
      </c>
      <c r="O2264" s="577">
        <f t="shared" si="591"/>
        <v>0</v>
      </c>
      <c r="P2264" s="578">
        <f t="shared" si="592"/>
        <v>0</v>
      </c>
      <c r="Q2264" s="765"/>
      <c r="R2264" s="576">
        <f>M2264</f>
        <v>0</v>
      </c>
      <c r="S2264" s="576">
        <f>N2264</f>
        <v>0</v>
      </c>
      <c r="T2264" s="577">
        <f t="shared" si="589"/>
        <v>0</v>
      </c>
      <c r="U2264" s="578">
        <f t="shared" si="590"/>
        <v>0</v>
      </c>
      <c r="V2264" s="579"/>
      <c r="W2264" s="566"/>
      <c r="X2264" s="586" t="str">
        <f t="shared" si="577"/>
        <v/>
      </c>
      <c r="Y2264" s="586" t="str">
        <f t="shared" si="531"/>
        <v/>
      </c>
      <c r="Z2264" s="586" t="str">
        <f t="shared" si="583"/>
        <v/>
      </c>
    </row>
    <row r="2265" spans="1:26" ht="12" hidden="1" thickBot="1" x14ac:dyDescent="0.25">
      <c r="A2265" s="567" t="s">
        <v>168</v>
      </c>
      <c r="B2265" s="644" t="s">
        <v>168</v>
      </c>
      <c r="C2265" s="645"/>
      <c r="D2265" s="422" t="s">
        <v>212</v>
      </c>
      <c r="E2265" s="423"/>
      <c r="F2265" s="424">
        <v>500</v>
      </c>
      <c r="G2265" s="425">
        <f>VLOOKUP(D2264,'[2]ENSAIOS DE ORÇAMENTO'!$C$3:$L$79,4,FALSE)</f>
        <v>0.82205400000000006</v>
      </c>
      <c r="H2265" s="649">
        <f>IF(F2265&lt;=30,(0.78*F2265+7.82)*G2265,((0.78*30+7.82)+0.78*(F2265-30))*G2265)</f>
        <v>327.02952228000009</v>
      </c>
      <c r="I2265" s="420"/>
      <c r="J2265" s="420"/>
      <c r="K2265" s="421">
        <f t="shared" si="588"/>
        <v>0</v>
      </c>
      <c r="L2265" s="647"/>
      <c r="M2265" s="723"/>
      <c r="N2265" s="576">
        <f t="shared" si="597"/>
        <v>0</v>
      </c>
      <c r="O2265" s="577">
        <f t="shared" si="591"/>
        <v>0</v>
      </c>
      <c r="P2265" s="578">
        <f t="shared" si="592"/>
        <v>0</v>
      </c>
      <c r="Q2265" s="765"/>
      <c r="R2265" s="723"/>
      <c r="S2265" s="723"/>
      <c r="T2265" s="577">
        <f t="shared" si="589"/>
        <v>0</v>
      </c>
      <c r="U2265" s="578">
        <f t="shared" si="590"/>
        <v>0</v>
      </c>
      <c r="V2265" s="579"/>
      <c r="W2265" s="566" t="str">
        <f>IF(U2264&gt;0,"xx",IF(P2264&gt;0,"xy",""))</f>
        <v/>
      </c>
      <c r="X2265" s="586" t="str">
        <f t="shared" si="577"/>
        <v/>
      </c>
      <c r="Y2265" s="586" t="str">
        <f t="shared" si="531"/>
        <v/>
      </c>
      <c r="Z2265" s="586" t="str">
        <f t="shared" si="583"/>
        <v/>
      </c>
    </row>
    <row r="2266" spans="1:26" ht="12" hidden="1" thickBot="1" x14ac:dyDescent="0.25">
      <c r="A2266" s="567" t="s">
        <v>168</v>
      </c>
      <c r="B2266" s="644" t="s">
        <v>168</v>
      </c>
      <c r="C2266" s="645"/>
      <c r="D2266" s="422" t="s">
        <v>248</v>
      </c>
      <c r="E2266" s="423"/>
      <c r="F2266" s="424">
        <v>180</v>
      </c>
      <c r="G2266" s="425">
        <f>VLOOKUP(D2264,'[2]ENSAIOS DE ORÇAMENTO'!$C$3:$L$79,5,FALSE)</f>
        <v>2.4129430000000003</v>
      </c>
      <c r="H2266" s="663">
        <f t="shared" ref="H2266:H2268" si="598">IF(F2266&lt;=30,(1.07*F2266+2.68)*G2266,((1.07*30+2.68)+1.07*(F2266-30))*G2266)</f>
        <v>471.19950904000007</v>
      </c>
      <c r="I2266" s="420"/>
      <c r="J2266" s="420"/>
      <c r="K2266" s="421">
        <f t="shared" si="588"/>
        <v>0</v>
      </c>
      <c r="L2266" s="647"/>
      <c r="M2266" s="723"/>
      <c r="N2266" s="576">
        <f t="shared" si="597"/>
        <v>0</v>
      </c>
      <c r="O2266" s="577">
        <f t="shared" si="591"/>
        <v>0</v>
      </c>
      <c r="P2266" s="578">
        <f t="shared" si="592"/>
        <v>0</v>
      </c>
      <c r="Q2266" s="765"/>
      <c r="R2266" s="723"/>
      <c r="S2266" s="723"/>
      <c r="T2266" s="577">
        <f t="shared" si="589"/>
        <v>0</v>
      </c>
      <c r="U2266" s="578">
        <f t="shared" si="590"/>
        <v>0</v>
      </c>
      <c r="V2266" s="579"/>
      <c r="W2266" s="566" t="str">
        <f>IF(U2264&gt;0,"xx",IF(P2264&gt;0,"xy",""))</f>
        <v/>
      </c>
      <c r="X2266" s="586" t="str">
        <f t="shared" si="577"/>
        <v/>
      </c>
      <c r="Y2266" s="586" t="str">
        <f t="shared" si="531"/>
        <v/>
      </c>
      <c r="Z2266" s="586" t="str">
        <f t="shared" si="583"/>
        <v/>
      </c>
    </row>
    <row r="2267" spans="1:26" ht="12" hidden="1" thickBot="1" x14ac:dyDescent="0.25">
      <c r="A2267" s="567" t="s">
        <v>168</v>
      </c>
      <c r="B2267" s="644" t="s">
        <v>168</v>
      </c>
      <c r="C2267" s="645"/>
      <c r="D2267" s="422" t="s">
        <v>252</v>
      </c>
      <c r="E2267" s="423"/>
      <c r="F2267" s="424">
        <v>20</v>
      </c>
      <c r="G2267" s="425">
        <f>VLOOKUP(D2264,'[2]ENSAIOS DE ORÇAMENTO'!$C$3:$L$79,6,FALSE)</f>
        <v>2.8724580000000004</v>
      </c>
      <c r="H2267" s="663">
        <f t="shared" si="598"/>
        <v>69.168788640000017</v>
      </c>
      <c r="I2267" s="420"/>
      <c r="J2267" s="420"/>
      <c r="K2267" s="421">
        <f t="shared" si="588"/>
        <v>0</v>
      </c>
      <c r="L2267" s="647"/>
      <c r="M2267" s="723"/>
      <c r="N2267" s="576">
        <f t="shared" si="597"/>
        <v>0</v>
      </c>
      <c r="O2267" s="577">
        <f t="shared" si="591"/>
        <v>0</v>
      </c>
      <c r="P2267" s="578">
        <f t="shared" si="592"/>
        <v>0</v>
      </c>
      <c r="Q2267" s="765"/>
      <c r="R2267" s="723"/>
      <c r="S2267" s="723"/>
      <c r="T2267" s="577">
        <f t="shared" si="589"/>
        <v>0</v>
      </c>
      <c r="U2267" s="578">
        <f t="shared" si="590"/>
        <v>0</v>
      </c>
      <c r="V2267" s="579"/>
      <c r="W2267" s="566" t="str">
        <f>IF(U2264&gt;0,"xx",IF(P2264&gt;0,"xy",""))</f>
        <v/>
      </c>
      <c r="X2267" s="586" t="str">
        <f t="shared" si="577"/>
        <v/>
      </c>
      <c r="Y2267" s="586" t="str">
        <f t="shared" si="531"/>
        <v/>
      </c>
      <c r="Z2267" s="586" t="str">
        <f t="shared" si="583"/>
        <v/>
      </c>
    </row>
    <row r="2268" spans="1:26" ht="12" hidden="1" thickBot="1" x14ac:dyDescent="0.25">
      <c r="A2268" s="567" t="s">
        <v>168</v>
      </c>
      <c r="B2268" s="644" t="s">
        <v>168</v>
      </c>
      <c r="C2268" s="645"/>
      <c r="D2268" s="422" t="s">
        <v>400</v>
      </c>
      <c r="E2268" s="423"/>
      <c r="F2268" s="424">
        <v>30</v>
      </c>
      <c r="G2268" s="425">
        <f>VLOOKUP(D2264,'[2]ENSAIOS DE ORÇAMENTO'!$C$3:$L$79,3,FALSE)</f>
        <v>0</v>
      </c>
      <c r="H2268" s="663">
        <f t="shared" si="598"/>
        <v>0</v>
      </c>
      <c r="I2268" s="420"/>
      <c r="J2268" s="420"/>
      <c r="K2268" s="421">
        <f t="shared" si="588"/>
        <v>0</v>
      </c>
      <c r="L2268" s="647"/>
      <c r="M2268" s="723"/>
      <c r="N2268" s="576">
        <f t="shared" si="597"/>
        <v>0</v>
      </c>
      <c r="O2268" s="577">
        <f t="shared" si="591"/>
        <v>0</v>
      </c>
      <c r="P2268" s="578">
        <f t="shared" si="592"/>
        <v>0</v>
      </c>
      <c r="Q2268" s="765"/>
      <c r="R2268" s="723"/>
      <c r="S2268" s="723"/>
      <c r="T2268" s="577">
        <f t="shared" si="589"/>
        <v>0</v>
      </c>
      <c r="U2268" s="578">
        <f t="shared" si="590"/>
        <v>0</v>
      </c>
      <c r="V2268" s="579"/>
      <c r="W2268" s="566" t="str">
        <f>IF(U2264&gt;0,"xx",IF(P2264&gt;0,"xy",""))</f>
        <v/>
      </c>
      <c r="X2268" s="586" t="str">
        <f t="shared" si="577"/>
        <v/>
      </c>
      <c r="Y2268" s="586" t="str">
        <f t="shared" si="531"/>
        <v/>
      </c>
      <c r="Z2268" s="586" t="str">
        <f t="shared" si="583"/>
        <v/>
      </c>
    </row>
    <row r="2269" spans="1:26" ht="12" hidden="1" thickBot="1" x14ac:dyDescent="0.25">
      <c r="A2269" s="567" t="s">
        <v>168</v>
      </c>
      <c r="B2269" s="644" t="s">
        <v>168</v>
      </c>
      <c r="C2269" s="645"/>
      <c r="D2269" s="422" t="s">
        <v>401</v>
      </c>
      <c r="E2269" s="423"/>
      <c r="F2269" s="424">
        <v>500</v>
      </c>
      <c r="G2269" s="425">
        <f>VLOOKUP(D2264,'[2]ENSAIOS DE ORÇAMENTO'!$C$3:$L$79,10,FALSE)</f>
        <v>0</v>
      </c>
      <c r="H2269" s="649">
        <f>IF(F2269&lt;=30,(0.78*F2269+7.82)*G2269,((0.78*30+7.82)+0.78*(F2269-30))*G2269)</f>
        <v>0</v>
      </c>
      <c r="I2269" s="420"/>
      <c r="J2269" s="420"/>
      <c r="K2269" s="421">
        <f t="shared" si="588"/>
        <v>0</v>
      </c>
      <c r="L2269" s="647"/>
      <c r="M2269" s="723"/>
      <c r="N2269" s="576">
        <f t="shared" si="597"/>
        <v>0</v>
      </c>
      <c r="O2269" s="577">
        <f t="shared" si="591"/>
        <v>0</v>
      </c>
      <c r="P2269" s="578">
        <f t="shared" si="592"/>
        <v>0</v>
      </c>
      <c r="Q2269" s="765"/>
      <c r="R2269" s="723"/>
      <c r="S2269" s="723"/>
      <c r="T2269" s="577">
        <f t="shared" si="589"/>
        <v>0</v>
      </c>
      <c r="U2269" s="578">
        <f t="shared" si="590"/>
        <v>0</v>
      </c>
      <c r="V2269" s="579"/>
      <c r="W2269" s="566" t="str">
        <f>IF(U2264&gt;0,"xx",IF(P2264&gt;0,"xy",""))</f>
        <v/>
      </c>
      <c r="X2269" s="586" t="str">
        <f t="shared" si="577"/>
        <v/>
      </c>
      <c r="Y2269" s="586" t="str">
        <f t="shared" si="531"/>
        <v/>
      </c>
      <c r="Z2269" s="586" t="str">
        <f t="shared" si="583"/>
        <v/>
      </c>
    </row>
    <row r="2270" spans="1:26" ht="12" hidden="1" thickBot="1" x14ac:dyDescent="0.25">
      <c r="A2270" s="567" t="s">
        <v>120</v>
      </c>
      <c r="B2270" s="644" t="s">
        <v>120</v>
      </c>
      <c r="C2270" s="645" t="s">
        <v>206</v>
      </c>
      <c r="D2270" s="422" t="s">
        <v>407</v>
      </c>
      <c r="E2270" s="423"/>
      <c r="F2270" s="424"/>
      <c r="G2270" s="425"/>
      <c r="H2270" s="651">
        <f>SUM(H2271:H2275)</f>
        <v>1079.2374695200001</v>
      </c>
      <c r="I2270" s="420">
        <f>VLOOKUP(D2270,'[2]ENSAIOS DE ORÇAMENTO'!$C$3:$L$79,8,FALSE)</f>
        <v>2460.1564399999997</v>
      </c>
      <c r="J2270" s="420">
        <f>IF(ISBLANK(I2270),"",SUM(H2270:I2270))</f>
        <v>3539.3939095199999</v>
      </c>
      <c r="K2270" s="421">
        <f t="shared" si="588"/>
        <v>4205.1499999999996</v>
      </c>
      <c r="L2270" s="647" t="s">
        <v>21</v>
      </c>
      <c r="M2270" s="576"/>
      <c r="N2270" s="576">
        <f t="shared" si="597"/>
        <v>0</v>
      </c>
      <c r="O2270" s="577">
        <f t="shared" si="591"/>
        <v>0</v>
      </c>
      <c r="P2270" s="578">
        <f t="shared" si="592"/>
        <v>0</v>
      </c>
      <c r="Q2270" s="765"/>
      <c r="R2270" s="576">
        <f>M2270</f>
        <v>0</v>
      </c>
      <c r="S2270" s="576">
        <f>N2270</f>
        <v>0</v>
      </c>
      <c r="T2270" s="577">
        <f t="shared" si="589"/>
        <v>0</v>
      </c>
      <c r="U2270" s="578">
        <f t="shared" si="590"/>
        <v>0</v>
      </c>
      <c r="V2270" s="579"/>
      <c r="W2270" s="566"/>
      <c r="X2270" s="586" t="str">
        <f t="shared" si="577"/>
        <v/>
      </c>
      <c r="Y2270" s="586" t="str">
        <f t="shared" si="531"/>
        <v/>
      </c>
      <c r="Z2270" s="586" t="str">
        <f t="shared" si="583"/>
        <v/>
      </c>
    </row>
    <row r="2271" spans="1:26" ht="12" hidden="1" thickBot="1" x14ac:dyDescent="0.25">
      <c r="A2271" s="567" t="s">
        <v>168</v>
      </c>
      <c r="B2271" s="644" t="s">
        <v>168</v>
      </c>
      <c r="C2271" s="645"/>
      <c r="D2271" s="422" t="s">
        <v>212</v>
      </c>
      <c r="E2271" s="423"/>
      <c r="F2271" s="424">
        <v>500</v>
      </c>
      <c r="G2271" s="425">
        <f>VLOOKUP(D2270,'[2]ENSAIOS DE ORÇAMENTO'!$C$3:$L$79,4,FALSE)</f>
        <v>1.028964</v>
      </c>
      <c r="H2271" s="649">
        <f>IF(F2271&lt;=30,(0.78*F2271+7.82)*G2271,((0.78*30+7.82)+0.78*(F2271-30))*G2271)</f>
        <v>409.34245848000006</v>
      </c>
      <c r="I2271" s="420"/>
      <c r="J2271" s="420"/>
      <c r="K2271" s="421">
        <f t="shared" si="588"/>
        <v>0</v>
      </c>
      <c r="L2271" s="647"/>
      <c r="M2271" s="723"/>
      <c r="N2271" s="576">
        <f t="shared" si="597"/>
        <v>0</v>
      </c>
      <c r="O2271" s="577">
        <f t="shared" si="591"/>
        <v>0</v>
      </c>
      <c r="P2271" s="578">
        <f t="shared" si="592"/>
        <v>0</v>
      </c>
      <c r="Q2271" s="765"/>
      <c r="R2271" s="723"/>
      <c r="S2271" s="723"/>
      <c r="T2271" s="577">
        <f t="shared" si="589"/>
        <v>0</v>
      </c>
      <c r="U2271" s="578">
        <f t="shared" si="590"/>
        <v>0</v>
      </c>
      <c r="V2271" s="579"/>
      <c r="W2271" s="566" t="str">
        <f>IF(U2270&gt;0,"xx",IF(P2270&gt;0,"xy",""))</f>
        <v/>
      </c>
      <c r="X2271" s="586" t="str">
        <f t="shared" si="577"/>
        <v/>
      </c>
      <c r="Y2271" s="586" t="str">
        <f t="shared" si="531"/>
        <v/>
      </c>
      <c r="Z2271" s="586" t="str">
        <f t="shared" si="583"/>
        <v/>
      </c>
    </row>
    <row r="2272" spans="1:26" ht="12" hidden="1" thickBot="1" x14ac:dyDescent="0.25">
      <c r="A2272" s="567" t="s">
        <v>168</v>
      </c>
      <c r="B2272" s="644" t="s">
        <v>168</v>
      </c>
      <c r="C2272" s="645"/>
      <c r="D2272" s="422" t="s">
        <v>248</v>
      </c>
      <c r="E2272" s="423"/>
      <c r="F2272" s="424">
        <v>180</v>
      </c>
      <c r="G2272" s="425">
        <f>VLOOKUP(D2270,'[2]ENSAIOS DE ORÇAMENTO'!$C$3:$L$79,5,FALSE)</f>
        <v>2.9904099999999998</v>
      </c>
      <c r="H2272" s="663">
        <f t="shared" ref="H2272:H2274" si="599">IF(F2272&lt;=30,(1.07*F2272+2.68)*G2272,((1.07*30+2.68)+1.07*(F2272-30))*G2272)</f>
        <v>583.96726479999995</v>
      </c>
      <c r="I2272" s="420"/>
      <c r="J2272" s="420"/>
      <c r="K2272" s="421">
        <f t="shared" si="588"/>
        <v>0</v>
      </c>
      <c r="L2272" s="647"/>
      <c r="M2272" s="723"/>
      <c r="N2272" s="576">
        <f t="shared" si="597"/>
        <v>0</v>
      </c>
      <c r="O2272" s="577">
        <f t="shared" si="591"/>
        <v>0</v>
      </c>
      <c r="P2272" s="578">
        <f t="shared" si="592"/>
        <v>0</v>
      </c>
      <c r="Q2272" s="765"/>
      <c r="R2272" s="723"/>
      <c r="S2272" s="723"/>
      <c r="T2272" s="577">
        <f t="shared" si="589"/>
        <v>0</v>
      </c>
      <c r="U2272" s="578">
        <f t="shared" si="590"/>
        <v>0</v>
      </c>
      <c r="V2272" s="579"/>
      <c r="W2272" s="566" t="str">
        <f>IF(U2270&gt;0,"xx",IF(P2270&gt;0,"xy",""))</f>
        <v/>
      </c>
      <c r="X2272" s="586" t="str">
        <f t="shared" si="577"/>
        <v/>
      </c>
      <c r="Y2272" s="586" t="str">
        <f t="shared" si="531"/>
        <v/>
      </c>
      <c r="Z2272" s="586" t="str">
        <f t="shared" si="583"/>
        <v/>
      </c>
    </row>
    <row r="2273" spans="1:26" ht="12" hidden="1" thickBot="1" x14ac:dyDescent="0.25">
      <c r="A2273" s="567" t="s">
        <v>168</v>
      </c>
      <c r="B2273" s="644" t="s">
        <v>168</v>
      </c>
      <c r="C2273" s="645"/>
      <c r="D2273" s="422" t="s">
        <v>252</v>
      </c>
      <c r="E2273" s="423"/>
      <c r="F2273" s="424">
        <v>20</v>
      </c>
      <c r="G2273" s="425">
        <f>VLOOKUP(D2270,'[2]ENSAIOS DE ORÇAMENTO'!$C$3:$L$79,6,FALSE)</f>
        <v>3.5684279999999999</v>
      </c>
      <c r="H2273" s="663">
        <f t="shared" si="599"/>
        <v>85.927746240000005</v>
      </c>
      <c r="I2273" s="420"/>
      <c r="J2273" s="420"/>
      <c r="K2273" s="421">
        <f t="shared" si="588"/>
        <v>0</v>
      </c>
      <c r="L2273" s="647"/>
      <c r="M2273" s="723"/>
      <c r="N2273" s="576">
        <f t="shared" si="597"/>
        <v>0</v>
      </c>
      <c r="O2273" s="577">
        <f t="shared" si="591"/>
        <v>0</v>
      </c>
      <c r="P2273" s="578">
        <f t="shared" si="592"/>
        <v>0</v>
      </c>
      <c r="Q2273" s="765"/>
      <c r="R2273" s="723"/>
      <c r="S2273" s="723"/>
      <c r="T2273" s="577">
        <f t="shared" si="589"/>
        <v>0</v>
      </c>
      <c r="U2273" s="578">
        <f t="shared" si="590"/>
        <v>0</v>
      </c>
      <c r="V2273" s="579"/>
      <c r="W2273" s="566" t="str">
        <f>IF(U2270&gt;0,"xx",IF(P2270&gt;0,"xy",""))</f>
        <v/>
      </c>
      <c r="X2273" s="586" t="str">
        <f t="shared" si="577"/>
        <v/>
      </c>
      <c r="Y2273" s="586" t="str">
        <f t="shared" si="531"/>
        <v/>
      </c>
      <c r="Z2273" s="586" t="str">
        <f t="shared" si="583"/>
        <v/>
      </c>
    </row>
    <row r="2274" spans="1:26" ht="12" hidden="1" thickBot="1" x14ac:dyDescent="0.25">
      <c r="A2274" s="567" t="s">
        <v>168</v>
      </c>
      <c r="B2274" s="644" t="s">
        <v>168</v>
      </c>
      <c r="C2274" s="645"/>
      <c r="D2274" s="422" t="s">
        <v>400</v>
      </c>
      <c r="E2274" s="423"/>
      <c r="F2274" s="424">
        <v>30</v>
      </c>
      <c r="G2274" s="425">
        <f>VLOOKUP(D2270,'[2]ENSAIOS DE ORÇAMENTO'!$C$3:$L$79,3,FALSE)</f>
        <v>0</v>
      </c>
      <c r="H2274" s="663">
        <f t="shared" si="599"/>
        <v>0</v>
      </c>
      <c r="I2274" s="420"/>
      <c r="J2274" s="420"/>
      <c r="K2274" s="421">
        <f t="shared" si="588"/>
        <v>0</v>
      </c>
      <c r="L2274" s="647"/>
      <c r="M2274" s="723"/>
      <c r="N2274" s="576">
        <f t="shared" si="597"/>
        <v>0</v>
      </c>
      <c r="O2274" s="577">
        <f t="shared" si="591"/>
        <v>0</v>
      </c>
      <c r="P2274" s="578">
        <f t="shared" si="592"/>
        <v>0</v>
      </c>
      <c r="Q2274" s="765"/>
      <c r="R2274" s="723"/>
      <c r="S2274" s="723"/>
      <c r="T2274" s="577">
        <f t="shared" si="589"/>
        <v>0</v>
      </c>
      <c r="U2274" s="578">
        <f t="shared" si="590"/>
        <v>0</v>
      </c>
      <c r="V2274" s="579"/>
      <c r="W2274" s="566" t="str">
        <f>IF(U2270&gt;0,"xx",IF(P2270&gt;0,"xy",""))</f>
        <v/>
      </c>
      <c r="X2274" s="586" t="str">
        <f t="shared" si="577"/>
        <v/>
      </c>
      <c r="Y2274" s="586" t="str">
        <f t="shared" si="531"/>
        <v/>
      </c>
      <c r="Z2274" s="586" t="str">
        <f t="shared" si="583"/>
        <v/>
      </c>
    </row>
    <row r="2275" spans="1:26" ht="12" hidden="1" thickBot="1" x14ac:dyDescent="0.25">
      <c r="A2275" s="567" t="s">
        <v>168</v>
      </c>
      <c r="B2275" s="644" t="s">
        <v>168</v>
      </c>
      <c r="C2275" s="645"/>
      <c r="D2275" s="422" t="s">
        <v>401</v>
      </c>
      <c r="E2275" s="423"/>
      <c r="F2275" s="424">
        <v>500</v>
      </c>
      <c r="G2275" s="425">
        <f>VLOOKUP(D2270,'[2]ENSAIOS DE ORÇAMENTO'!$C$3:$L$79,10,FALSE)</f>
        <v>0</v>
      </c>
      <c r="H2275" s="649">
        <f>IF(F2275&lt;=30,(0.78*F2275+7.82)*G2275,((0.78*30+7.82)+0.78*(F2275-30))*G2275)</f>
        <v>0</v>
      </c>
      <c r="I2275" s="420"/>
      <c r="J2275" s="420"/>
      <c r="K2275" s="421">
        <f t="shared" si="588"/>
        <v>0</v>
      </c>
      <c r="L2275" s="647"/>
      <c r="M2275" s="723"/>
      <c r="N2275" s="576">
        <f t="shared" si="597"/>
        <v>0</v>
      </c>
      <c r="O2275" s="577">
        <f t="shared" si="591"/>
        <v>0</v>
      </c>
      <c r="P2275" s="578">
        <f t="shared" si="592"/>
        <v>0</v>
      </c>
      <c r="Q2275" s="765"/>
      <c r="R2275" s="723"/>
      <c r="S2275" s="723"/>
      <c r="T2275" s="577">
        <f t="shared" si="589"/>
        <v>0</v>
      </c>
      <c r="U2275" s="578">
        <f t="shared" si="590"/>
        <v>0</v>
      </c>
      <c r="V2275" s="579"/>
      <c r="W2275" s="566" t="str">
        <f>IF(U2270&gt;0,"xx",IF(P2270&gt;0,"xy",""))</f>
        <v/>
      </c>
      <c r="X2275" s="586" t="str">
        <f t="shared" si="577"/>
        <v/>
      </c>
      <c r="Y2275" s="586" t="str">
        <f t="shared" si="531"/>
        <v/>
      </c>
      <c r="Z2275" s="586" t="str">
        <f t="shared" si="583"/>
        <v/>
      </c>
    </row>
    <row r="2276" spans="1:26" ht="12" hidden="1" thickBot="1" x14ac:dyDescent="0.25">
      <c r="A2276" s="567" t="s">
        <v>121</v>
      </c>
      <c r="B2276" s="644" t="s">
        <v>121</v>
      </c>
      <c r="C2276" s="645" t="s">
        <v>206</v>
      </c>
      <c r="D2276" s="422" t="s">
        <v>408</v>
      </c>
      <c r="E2276" s="423"/>
      <c r="F2276" s="424"/>
      <c r="G2276" s="425"/>
      <c r="H2276" s="651">
        <f>SUM(H2277:H2281)</f>
        <v>1425.8841687999998</v>
      </c>
      <c r="I2276" s="420">
        <f>VLOOKUP(D2276,'[2]ENSAIOS DE ORÇAMENTO'!$C$3:$L$79,8,FALSE)</f>
        <v>3023.7116399999995</v>
      </c>
      <c r="J2276" s="420">
        <f>IF(ISBLANK(I2276),"",SUM(H2276:I2276))</f>
        <v>4449.5958087999988</v>
      </c>
      <c r="K2276" s="421">
        <f t="shared" si="588"/>
        <v>5286.56</v>
      </c>
      <c r="L2276" s="647" t="s">
        <v>21</v>
      </c>
      <c r="M2276" s="576"/>
      <c r="N2276" s="576">
        <f t="shared" si="597"/>
        <v>0</v>
      </c>
      <c r="O2276" s="577">
        <f t="shared" si="591"/>
        <v>0</v>
      </c>
      <c r="P2276" s="578">
        <f t="shared" si="592"/>
        <v>0</v>
      </c>
      <c r="Q2276" s="765"/>
      <c r="R2276" s="576">
        <f>M2276</f>
        <v>0</v>
      </c>
      <c r="S2276" s="576">
        <f>N2276</f>
        <v>0</v>
      </c>
      <c r="T2276" s="577">
        <f t="shared" si="589"/>
        <v>0</v>
      </c>
      <c r="U2276" s="578">
        <f t="shared" si="590"/>
        <v>0</v>
      </c>
      <c r="V2276" s="579"/>
      <c r="W2276" s="566"/>
      <c r="X2276" s="586" t="str">
        <f t="shared" si="577"/>
        <v/>
      </c>
      <c r="Y2276" s="586" t="str">
        <f t="shared" si="531"/>
        <v/>
      </c>
      <c r="Z2276" s="586" t="str">
        <f t="shared" si="583"/>
        <v/>
      </c>
    </row>
    <row r="2277" spans="1:26" ht="12" hidden="1" thickBot="1" x14ac:dyDescent="0.25">
      <c r="A2277" s="567" t="s">
        <v>168</v>
      </c>
      <c r="B2277" s="644" t="s">
        <v>168</v>
      </c>
      <c r="C2277" s="645"/>
      <c r="D2277" s="422" t="s">
        <v>212</v>
      </c>
      <c r="E2277" s="423"/>
      <c r="F2277" s="424">
        <v>500</v>
      </c>
      <c r="G2277" s="425">
        <f>VLOOKUP(D2276,'[2]ENSAIOS DE ORÇAMENTO'!$C$3:$L$79,4,FALSE)</f>
        <v>1.3675439999999999</v>
      </c>
      <c r="H2277" s="649">
        <f>IF(F2277&lt;=30,(0.78*F2277+7.82)*G2277,((0.78*30+7.82)+0.78*(F2277-30))*G2277)</f>
        <v>544.03635408000002</v>
      </c>
      <c r="I2277" s="420"/>
      <c r="J2277" s="420"/>
      <c r="K2277" s="421">
        <f t="shared" si="588"/>
        <v>0</v>
      </c>
      <c r="L2277" s="647"/>
      <c r="M2277" s="723"/>
      <c r="N2277" s="576">
        <f t="shared" si="597"/>
        <v>0</v>
      </c>
      <c r="O2277" s="577">
        <f t="shared" si="591"/>
        <v>0</v>
      </c>
      <c r="P2277" s="578">
        <f t="shared" si="592"/>
        <v>0</v>
      </c>
      <c r="Q2277" s="765"/>
      <c r="R2277" s="723"/>
      <c r="S2277" s="723"/>
      <c r="T2277" s="577">
        <f t="shared" si="589"/>
        <v>0</v>
      </c>
      <c r="U2277" s="578">
        <f t="shared" si="590"/>
        <v>0</v>
      </c>
      <c r="V2277" s="579"/>
      <c r="W2277" s="566" t="str">
        <f>IF(U2276&gt;0,"xx",IF(P2276&gt;0,"xy",""))</f>
        <v/>
      </c>
      <c r="X2277" s="586" t="str">
        <f t="shared" si="577"/>
        <v/>
      </c>
      <c r="Y2277" s="586" t="str">
        <f t="shared" si="531"/>
        <v/>
      </c>
      <c r="Z2277" s="586" t="str">
        <f t="shared" si="583"/>
        <v/>
      </c>
    </row>
    <row r="2278" spans="1:26" ht="12" hidden="1" thickBot="1" x14ac:dyDescent="0.25">
      <c r="A2278" s="567" t="s">
        <v>168</v>
      </c>
      <c r="B2278" s="644" t="s">
        <v>168</v>
      </c>
      <c r="C2278" s="645"/>
      <c r="D2278" s="422" t="s">
        <v>248</v>
      </c>
      <c r="E2278" s="423"/>
      <c r="F2278" s="424">
        <v>180</v>
      </c>
      <c r="G2278" s="425">
        <f>VLOOKUP(D2276,'[2]ENSAIOS DE ORÇAMENTO'!$C$3:$L$79,5,FALSE)</f>
        <v>3.9353559999999996</v>
      </c>
      <c r="H2278" s="663">
        <f t="shared" ref="H2278:H2280" si="600">IF(F2278&lt;=30,(1.07*F2278+2.68)*G2278,((1.07*30+2.68)+1.07*(F2278-30))*G2278)</f>
        <v>768.49631967999994</v>
      </c>
      <c r="I2278" s="420"/>
      <c r="J2278" s="420"/>
      <c r="K2278" s="421">
        <f t="shared" si="588"/>
        <v>0</v>
      </c>
      <c r="L2278" s="647"/>
      <c r="M2278" s="723"/>
      <c r="N2278" s="576">
        <f t="shared" si="597"/>
        <v>0</v>
      </c>
      <c r="O2278" s="577">
        <f t="shared" si="591"/>
        <v>0</v>
      </c>
      <c r="P2278" s="578">
        <f t="shared" si="592"/>
        <v>0</v>
      </c>
      <c r="Q2278" s="765"/>
      <c r="R2278" s="723"/>
      <c r="S2278" s="723"/>
      <c r="T2278" s="577">
        <f t="shared" si="589"/>
        <v>0</v>
      </c>
      <c r="U2278" s="578">
        <f t="shared" si="590"/>
        <v>0</v>
      </c>
      <c r="V2278" s="579"/>
      <c r="W2278" s="566" t="str">
        <f>IF(U2276&gt;0,"xx",IF(P2276&gt;0,"xy",""))</f>
        <v/>
      </c>
      <c r="X2278" s="586" t="str">
        <f t="shared" ref="X2278:X2346" si="601">IF(W2278="X","x",IF(W2278="xx","x",IF(W2278="xy","x",IF(W2278="y","x",IF(OR(P2278&gt;0,U2278&gt;0),"x","")))))</f>
        <v/>
      </c>
      <c r="Y2278" s="586" t="str">
        <f t="shared" si="531"/>
        <v/>
      </c>
      <c r="Z2278" s="586" t="str">
        <f t="shared" si="583"/>
        <v/>
      </c>
    </row>
    <row r="2279" spans="1:26" ht="12" hidden="1" thickBot="1" x14ac:dyDescent="0.25">
      <c r="A2279" s="567" t="s">
        <v>168</v>
      </c>
      <c r="B2279" s="644" t="s">
        <v>168</v>
      </c>
      <c r="C2279" s="645"/>
      <c r="D2279" s="422" t="s">
        <v>252</v>
      </c>
      <c r="E2279" s="423"/>
      <c r="F2279" s="424">
        <v>20</v>
      </c>
      <c r="G2279" s="425">
        <f>VLOOKUP(D2276,'[2]ENSAIOS DE ORÇAMENTO'!$C$3:$L$79,6,FALSE)</f>
        <v>4.7072880000000001</v>
      </c>
      <c r="H2279" s="663">
        <f t="shared" si="600"/>
        <v>113.35149504000002</v>
      </c>
      <c r="I2279" s="420"/>
      <c r="J2279" s="420"/>
      <c r="K2279" s="421">
        <f t="shared" si="588"/>
        <v>0</v>
      </c>
      <c r="L2279" s="647"/>
      <c r="M2279" s="723"/>
      <c r="N2279" s="576">
        <f t="shared" si="597"/>
        <v>0</v>
      </c>
      <c r="O2279" s="577">
        <f t="shared" si="591"/>
        <v>0</v>
      </c>
      <c r="P2279" s="578">
        <f t="shared" si="592"/>
        <v>0</v>
      </c>
      <c r="Q2279" s="765"/>
      <c r="R2279" s="723"/>
      <c r="S2279" s="723"/>
      <c r="T2279" s="577">
        <f t="shared" si="589"/>
        <v>0</v>
      </c>
      <c r="U2279" s="578">
        <f t="shared" si="590"/>
        <v>0</v>
      </c>
      <c r="V2279" s="579"/>
      <c r="W2279" s="566" t="str">
        <f>IF(U2276&gt;0,"xx",IF(P2276&gt;0,"xy",""))</f>
        <v/>
      </c>
      <c r="X2279" s="586" t="str">
        <f t="shared" si="601"/>
        <v/>
      </c>
      <c r="Y2279" s="586" t="str">
        <f t="shared" si="531"/>
        <v/>
      </c>
      <c r="Z2279" s="586" t="str">
        <f t="shared" si="583"/>
        <v/>
      </c>
    </row>
    <row r="2280" spans="1:26" ht="12" hidden="1" thickBot="1" x14ac:dyDescent="0.25">
      <c r="A2280" s="567" t="s">
        <v>168</v>
      </c>
      <c r="B2280" s="644" t="s">
        <v>168</v>
      </c>
      <c r="C2280" s="645"/>
      <c r="D2280" s="422" t="s">
        <v>400</v>
      </c>
      <c r="E2280" s="423"/>
      <c r="F2280" s="424">
        <v>30</v>
      </c>
      <c r="G2280" s="425">
        <f>VLOOKUP(D2276,'[2]ENSAIOS DE ORÇAMENTO'!$C$3:$L$79,3,FALSE)</f>
        <v>0</v>
      </c>
      <c r="H2280" s="663">
        <f t="shared" si="600"/>
        <v>0</v>
      </c>
      <c r="I2280" s="420"/>
      <c r="J2280" s="420"/>
      <c r="K2280" s="421">
        <f t="shared" si="588"/>
        <v>0</v>
      </c>
      <c r="L2280" s="647"/>
      <c r="M2280" s="723"/>
      <c r="N2280" s="576">
        <f t="shared" si="597"/>
        <v>0</v>
      </c>
      <c r="O2280" s="577">
        <f t="shared" si="591"/>
        <v>0</v>
      </c>
      <c r="P2280" s="578">
        <f t="shared" si="592"/>
        <v>0</v>
      </c>
      <c r="Q2280" s="765"/>
      <c r="R2280" s="723"/>
      <c r="S2280" s="723"/>
      <c r="T2280" s="577">
        <f t="shared" si="589"/>
        <v>0</v>
      </c>
      <c r="U2280" s="578">
        <f t="shared" si="590"/>
        <v>0</v>
      </c>
      <c r="V2280" s="579"/>
      <c r="W2280" s="566" t="str">
        <f>IF(U2276&gt;0,"xx",IF(P2276&gt;0,"xy",""))</f>
        <v/>
      </c>
      <c r="X2280" s="586" t="str">
        <f t="shared" si="601"/>
        <v/>
      </c>
      <c r="Y2280" s="586" t="str">
        <f t="shared" si="531"/>
        <v/>
      </c>
      <c r="Z2280" s="586" t="str">
        <f t="shared" ref="Z2280:Z2343" si="602">IF(W2280="X","x",IF(U2280&gt;0,"x",""))</f>
        <v/>
      </c>
    </row>
    <row r="2281" spans="1:26" ht="12" hidden="1" thickBot="1" x14ac:dyDescent="0.25">
      <c r="A2281" s="567" t="s">
        <v>168</v>
      </c>
      <c r="B2281" s="644" t="s">
        <v>168</v>
      </c>
      <c r="C2281" s="645"/>
      <c r="D2281" s="422" t="s">
        <v>401</v>
      </c>
      <c r="E2281" s="423"/>
      <c r="F2281" s="424">
        <v>500</v>
      </c>
      <c r="G2281" s="425">
        <f>VLOOKUP(D2276,'[2]ENSAIOS DE ORÇAMENTO'!$C$3:$L$79,10,FALSE)</f>
        <v>0</v>
      </c>
      <c r="H2281" s="649">
        <f>IF(F2281&lt;=30,(0.78*F2281+7.82)*G2281,((0.78*30+7.82)+0.78*(F2281-30))*G2281)</f>
        <v>0</v>
      </c>
      <c r="I2281" s="420"/>
      <c r="J2281" s="420"/>
      <c r="K2281" s="421">
        <f t="shared" si="588"/>
        <v>0</v>
      </c>
      <c r="L2281" s="647"/>
      <c r="M2281" s="723"/>
      <c r="N2281" s="576">
        <f t="shared" si="597"/>
        <v>0</v>
      </c>
      <c r="O2281" s="577">
        <f t="shared" si="591"/>
        <v>0</v>
      </c>
      <c r="P2281" s="578">
        <f t="shared" si="592"/>
        <v>0</v>
      </c>
      <c r="Q2281" s="765"/>
      <c r="R2281" s="723"/>
      <c r="S2281" s="723"/>
      <c r="T2281" s="577">
        <f t="shared" si="589"/>
        <v>0</v>
      </c>
      <c r="U2281" s="578">
        <f t="shared" si="590"/>
        <v>0</v>
      </c>
      <c r="V2281" s="579"/>
      <c r="W2281" s="566" t="str">
        <f>IF(U2276&gt;0,"xx",IF(P2276&gt;0,"xy",""))</f>
        <v/>
      </c>
      <c r="X2281" s="586" t="str">
        <f t="shared" si="601"/>
        <v/>
      </c>
      <c r="Y2281" s="586" t="str">
        <f t="shared" si="531"/>
        <v/>
      </c>
      <c r="Z2281" s="586" t="str">
        <f t="shared" si="602"/>
        <v/>
      </c>
    </row>
    <row r="2282" spans="1:26" ht="12" hidden="1" thickBot="1" x14ac:dyDescent="0.25">
      <c r="A2282" s="567" t="s">
        <v>122</v>
      </c>
      <c r="B2282" s="644" t="s">
        <v>122</v>
      </c>
      <c r="C2282" s="645" t="s">
        <v>206</v>
      </c>
      <c r="D2282" s="422" t="s">
        <v>409</v>
      </c>
      <c r="E2282" s="423"/>
      <c r="F2282" s="424"/>
      <c r="G2282" s="425"/>
      <c r="H2282" s="651">
        <f>SUM(H2283:H2287)</f>
        <v>1778.9502513999998</v>
      </c>
      <c r="I2282" s="420">
        <f>VLOOKUP(D2282,'[2]ENSAIOS DE ORÇAMENTO'!$C$3:$L$79,8,FALSE)</f>
        <v>3596.5333299999993</v>
      </c>
      <c r="J2282" s="420">
        <f>IF(ISBLANK(I2282),"",SUM(H2282:I2282))</f>
        <v>5375.4835813999989</v>
      </c>
      <c r="K2282" s="421">
        <f t="shared" si="588"/>
        <v>6386.61</v>
      </c>
      <c r="L2282" s="647" t="s">
        <v>21</v>
      </c>
      <c r="M2282" s="576"/>
      <c r="N2282" s="576">
        <f t="shared" si="597"/>
        <v>0</v>
      </c>
      <c r="O2282" s="577">
        <f t="shared" si="591"/>
        <v>0</v>
      </c>
      <c r="P2282" s="578">
        <f t="shared" si="592"/>
        <v>0</v>
      </c>
      <c r="Q2282" s="765"/>
      <c r="R2282" s="576">
        <f>M2282</f>
        <v>0</v>
      </c>
      <c r="S2282" s="576">
        <f>N2282</f>
        <v>0</v>
      </c>
      <c r="T2282" s="577">
        <f t="shared" si="589"/>
        <v>0</v>
      </c>
      <c r="U2282" s="578">
        <f t="shared" si="590"/>
        <v>0</v>
      </c>
      <c r="V2282" s="579"/>
      <c r="W2282" s="566"/>
      <c r="X2282" s="586" t="str">
        <f t="shared" si="601"/>
        <v/>
      </c>
      <c r="Y2282" s="586" t="str">
        <f t="shared" si="531"/>
        <v/>
      </c>
      <c r="Z2282" s="586" t="str">
        <f t="shared" si="602"/>
        <v/>
      </c>
    </row>
    <row r="2283" spans="1:26" ht="12" hidden="1" thickBot="1" x14ac:dyDescent="0.25">
      <c r="A2283" s="567" t="s">
        <v>168</v>
      </c>
      <c r="B2283" s="644" t="s">
        <v>168</v>
      </c>
      <c r="C2283" s="645"/>
      <c r="D2283" s="422" t="s">
        <v>212</v>
      </c>
      <c r="E2283" s="423"/>
      <c r="F2283" s="424">
        <v>500</v>
      </c>
      <c r="G2283" s="425">
        <f>VLOOKUP(D2282,'[2]ENSAIOS DE ORÇAMENTO'!$C$3:$L$79,4,FALSE)</f>
        <v>1.7123939999999997</v>
      </c>
      <c r="H2283" s="649">
        <f>IF(F2283&lt;=30,(0.78*F2283+7.82)*G2283,((0.78*30+7.82)+0.78*(F2283-30))*G2283)</f>
        <v>681.22458108000001</v>
      </c>
      <c r="I2283" s="420"/>
      <c r="J2283" s="420"/>
      <c r="K2283" s="421">
        <f t="shared" si="588"/>
        <v>0</v>
      </c>
      <c r="L2283" s="647"/>
      <c r="M2283" s="723"/>
      <c r="N2283" s="576">
        <f t="shared" si="597"/>
        <v>0</v>
      </c>
      <c r="O2283" s="577">
        <f t="shared" si="591"/>
        <v>0</v>
      </c>
      <c r="P2283" s="578">
        <f t="shared" si="592"/>
        <v>0</v>
      </c>
      <c r="Q2283" s="765"/>
      <c r="R2283" s="723"/>
      <c r="S2283" s="723"/>
      <c r="T2283" s="577">
        <f t="shared" si="589"/>
        <v>0</v>
      </c>
      <c r="U2283" s="578">
        <f t="shared" si="590"/>
        <v>0</v>
      </c>
      <c r="V2283" s="579"/>
      <c r="W2283" s="566" t="str">
        <f>IF(U2282&gt;0,"xx",IF(P2282&gt;0,"xy",""))</f>
        <v/>
      </c>
      <c r="X2283" s="586" t="str">
        <f t="shared" si="601"/>
        <v/>
      </c>
      <c r="Y2283" s="586" t="str">
        <f t="shared" si="531"/>
        <v/>
      </c>
      <c r="Z2283" s="586" t="str">
        <f t="shared" si="602"/>
        <v/>
      </c>
    </row>
    <row r="2284" spans="1:26" ht="12" hidden="1" thickBot="1" x14ac:dyDescent="0.25">
      <c r="A2284" s="567" t="s">
        <v>168</v>
      </c>
      <c r="B2284" s="644" t="s">
        <v>168</v>
      </c>
      <c r="C2284" s="645"/>
      <c r="D2284" s="422" t="s">
        <v>248</v>
      </c>
      <c r="E2284" s="423"/>
      <c r="F2284" s="424">
        <v>180</v>
      </c>
      <c r="G2284" s="425">
        <f>VLOOKUP(D2282,'[2]ENSAIOS DE ORÇAMENTO'!$C$3:$L$79,5,FALSE)</f>
        <v>4.8978009999999994</v>
      </c>
      <c r="H2284" s="663">
        <f t="shared" ref="H2284:H2286" si="603">IF(F2284&lt;=30,(1.07*F2284+2.68)*G2284,((1.07*30+2.68)+1.07*(F2284-30))*G2284)</f>
        <v>956.4425792799999</v>
      </c>
      <c r="I2284" s="420"/>
      <c r="J2284" s="420"/>
      <c r="K2284" s="421">
        <f t="shared" si="588"/>
        <v>0</v>
      </c>
      <c r="L2284" s="647"/>
      <c r="M2284" s="723"/>
      <c r="N2284" s="576">
        <f t="shared" si="597"/>
        <v>0</v>
      </c>
      <c r="O2284" s="577">
        <f t="shared" si="591"/>
        <v>0</v>
      </c>
      <c r="P2284" s="578">
        <f t="shared" si="592"/>
        <v>0</v>
      </c>
      <c r="Q2284" s="765"/>
      <c r="R2284" s="723"/>
      <c r="S2284" s="723"/>
      <c r="T2284" s="577">
        <f t="shared" si="589"/>
        <v>0</v>
      </c>
      <c r="U2284" s="578">
        <f t="shared" si="590"/>
        <v>0</v>
      </c>
      <c r="V2284" s="579"/>
      <c r="W2284" s="566" t="str">
        <f>IF(U2282&gt;0,"xx",IF(P2282&gt;0,"xy",""))</f>
        <v/>
      </c>
      <c r="X2284" s="586" t="str">
        <f t="shared" si="601"/>
        <v/>
      </c>
      <c r="Y2284" s="586" t="str">
        <f t="shared" si="531"/>
        <v/>
      </c>
      <c r="Z2284" s="586" t="str">
        <f t="shared" si="602"/>
        <v/>
      </c>
    </row>
    <row r="2285" spans="1:26" ht="12" hidden="1" thickBot="1" x14ac:dyDescent="0.25">
      <c r="A2285" s="567" t="s">
        <v>168</v>
      </c>
      <c r="B2285" s="644" t="s">
        <v>168</v>
      </c>
      <c r="C2285" s="645"/>
      <c r="D2285" s="422" t="s">
        <v>252</v>
      </c>
      <c r="E2285" s="423"/>
      <c r="F2285" s="424">
        <v>20</v>
      </c>
      <c r="G2285" s="425">
        <f>VLOOKUP(D2282,'[2]ENSAIOS DE ORÇAMENTO'!$C$3:$L$79,6,FALSE)</f>
        <v>5.8672380000000004</v>
      </c>
      <c r="H2285" s="663">
        <f t="shared" si="603"/>
        <v>141.28309104000002</v>
      </c>
      <c r="I2285" s="420"/>
      <c r="J2285" s="420"/>
      <c r="K2285" s="421">
        <f t="shared" si="588"/>
        <v>0</v>
      </c>
      <c r="L2285" s="647"/>
      <c r="M2285" s="723"/>
      <c r="N2285" s="576">
        <f t="shared" si="597"/>
        <v>0</v>
      </c>
      <c r="O2285" s="577">
        <f t="shared" si="591"/>
        <v>0</v>
      </c>
      <c r="P2285" s="578">
        <f t="shared" si="592"/>
        <v>0</v>
      </c>
      <c r="Q2285" s="765"/>
      <c r="R2285" s="723"/>
      <c r="S2285" s="723"/>
      <c r="T2285" s="577">
        <f t="shared" si="589"/>
        <v>0</v>
      </c>
      <c r="U2285" s="578">
        <f t="shared" si="590"/>
        <v>0</v>
      </c>
      <c r="V2285" s="579"/>
      <c r="W2285" s="566" t="str">
        <f>IF(U2282&gt;0,"xx",IF(P2282&gt;0,"xy",""))</f>
        <v/>
      </c>
      <c r="X2285" s="586" t="str">
        <f t="shared" si="601"/>
        <v/>
      </c>
      <c r="Y2285" s="586" t="str">
        <f t="shared" si="531"/>
        <v/>
      </c>
      <c r="Z2285" s="586" t="str">
        <f t="shared" si="602"/>
        <v/>
      </c>
    </row>
    <row r="2286" spans="1:26" ht="12" hidden="1" thickBot="1" x14ac:dyDescent="0.25">
      <c r="A2286" s="567" t="s">
        <v>168</v>
      </c>
      <c r="B2286" s="644" t="s">
        <v>168</v>
      </c>
      <c r="C2286" s="645"/>
      <c r="D2286" s="422" t="s">
        <v>400</v>
      </c>
      <c r="E2286" s="423"/>
      <c r="F2286" s="424">
        <v>30</v>
      </c>
      <c r="G2286" s="425">
        <f>VLOOKUP(D2282,'[2]ENSAIOS DE ORÇAMENTO'!$C$3:$L$79,3,FALSE)</f>
        <v>0</v>
      </c>
      <c r="H2286" s="663">
        <f t="shared" si="603"/>
        <v>0</v>
      </c>
      <c r="I2286" s="420"/>
      <c r="J2286" s="420"/>
      <c r="K2286" s="421">
        <f t="shared" si="588"/>
        <v>0</v>
      </c>
      <c r="L2286" s="647"/>
      <c r="M2286" s="723"/>
      <c r="N2286" s="576">
        <f t="shared" si="597"/>
        <v>0</v>
      </c>
      <c r="O2286" s="577">
        <f t="shared" si="591"/>
        <v>0</v>
      </c>
      <c r="P2286" s="578">
        <f t="shared" si="592"/>
        <v>0</v>
      </c>
      <c r="Q2286" s="765"/>
      <c r="R2286" s="723"/>
      <c r="S2286" s="723"/>
      <c r="T2286" s="577">
        <f t="shared" si="589"/>
        <v>0</v>
      </c>
      <c r="U2286" s="578">
        <f t="shared" si="590"/>
        <v>0</v>
      </c>
      <c r="V2286" s="579"/>
      <c r="W2286" s="566" t="str">
        <f>IF(U2282&gt;0,"xx",IF(P2282&gt;0,"xy",""))</f>
        <v/>
      </c>
      <c r="X2286" s="586" t="str">
        <f t="shared" si="601"/>
        <v/>
      </c>
      <c r="Y2286" s="586" t="str">
        <f t="shared" si="531"/>
        <v/>
      </c>
      <c r="Z2286" s="586" t="str">
        <f t="shared" si="602"/>
        <v/>
      </c>
    </row>
    <row r="2287" spans="1:26" ht="12" hidden="1" thickBot="1" x14ac:dyDescent="0.25">
      <c r="A2287" s="567" t="s">
        <v>168</v>
      </c>
      <c r="B2287" s="644" t="s">
        <v>168</v>
      </c>
      <c r="C2287" s="645"/>
      <c r="D2287" s="422" t="s">
        <v>401</v>
      </c>
      <c r="E2287" s="423"/>
      <c r="F2287" s="424">
        <v>500</v>
      </c>
      <c r="G2287" s="425">
        <f>VLOOKUP(D2282,'[2]ENSAIOS DE ORÇAMENTO'!$C$3:$L$79,10,FALSE)</f>
        <v>0</v>
      </c>
      <c r="H2287" s="649">
        <f>IF(F2287&lt;=30,(0.78*F2287+7.82)*G2287,((0.78*30+7.82)+0.78*(F2287-30))*G2287)</f>
        <v>0</v>
      </c>
      <c r="I2287" s="420"/>
      <c r="J2287" s="420"/>
      <c r="K2287" s="421">
        <f t="shared" si="588"/>
        <v>0</v>
      </c>
      <c r="L2287" s="647"/>
      <c r="M2287" s="723"/>
      <c r="N2287" s="576">
        <f t="shared" si="597"/>
        <v>0</v>
      </c>
      <c r="O2287" s="577">
        <f t="shared" si="591"/>
        <v>0</v>
      </c>
      <c r="P2287" s="578">
        <f t="shared" si="592"/>
        <v>0</v>
      </c>
      <c r="Q2287" s="765"/>
      <c r="R2287" s="723"/>
      <c r="S2287" s="723"/>
      <c r="T2287" s="577">
        <f t="shared" si="589"/>
        <v>0</v>
      </c>
      <c r="U2287" s="578">
        <f t="shared" si="590"/>
        <v>0</v>
      </c>
      <c r="V2287" s="579"/>
      <c r="W2287" s="566" t="str">
        <f>IF(U2282&gt;0,"xx",IF(P2282&gt;0,"xy",""))</f>
        <v/>
      </c>
      <c r="X2287" s="586" t="str">
        <f t="shared" si="601"/>
        <v/>
      </c>
      <c r="Y2287" s="586" t="str">
        <f t="shared" si="531"/>
        <v/>
      </c>
      <c r="Z2287" s="586" t="str">
        <f t="shared" si="602"/>
        <v/>
      </c>
    </row>
    <row r="2288" spans="1:26" ht="12" hidden="1" thickBot="1" x14ac:dyDescent="0.25">
      <c r="A2288" s="567" t="s">
        <v>34</v>
      </c>
      <c r="B2288" s="644" t="s">
        <v>34</v>
      </c>
      <c r="C2288" s="645" t="s">
        <v>206</v>
      </c>
      <c r="D2288" s="422" t="s">
        <v>112</v>
      </c>
      <c r="E2288" s="423"/>
      <c r="F2288" s="424"/>
      <c r="G2288" s="425"/>
      <c r="H2288" s="651">
        <f>SUM(H2289:H2293)</f>
        <v>411.23106836000005</v>
      </c>
      <c r="I2288" s="420">
        <f>VLOOKUP(D2288,'[2]ENSAIOS DE ORÇAMENTO'!$C$3:$L$79,8,FALSE)</f>
        <v>3513.1233299999994</v>
      </c>
      <c r="J2288" s="420">
        <f>IF(ISBLANK(I2288),"",SUM(H2288:I2288))</f>
        <v>3924.3543983599993</v>
      </c>
      <c r="K2288" s="421">
        <f t="shared" si="588"/>
        <v>4662.53</v>
      </c>
      <c r="L2288" s="647" t="s">
        <v>21</v>
      </c>
      <c r="M2288" s="576"/>
      <c r="N2288" s="576">
        <f t="shared" si="597"/>
        <v>0</v>
      </c>
      <c r="O2288" s="577">
        <f t="shared" si="591"/>
        <v>0</v>
      </c>
      <c r="P2288" s="578">
        <f t="shared" si="592"/>
        <v>0</v>
      </c>
      <c r="Q2288" s="765"/>
      <c r="R2288" s="576">
        <f>M2288</f>
        <v>0</v>
      </c>
      <c r="S2288" s="576">
        <f>N2288</f>
        <v>0</v>
      </c>
      <c r="T2288" s="577">
        <f t="shared" si="589"/>
        <v>0</v>
      </c>
      <c r="U2288" s="578">
        <f t="shared" si="590"/>
        <v>0</v>
      </c>
      <c r="V2288" s="579"/>
      <c r="W2288" s="566"/>
      <c r="X2288" s="586" t="str">
        <f t="shared" si="601"/>
        <v/>
      </c>
      <c r="Y2288" s="586" t="str">
        <f t="shared" si="531"/>
        <v/>
      </c>
      <c r="Z2288" s="586" t="str">
        <f t="shared" si="602"/>
        <v/>
      </c>
    </row>
    <row r="2289" spans="1:26" ht="12" hidden="1" thickBot="1" x14ac:dyDescent="0.25">
      <c r="A2289" s="567" t="s">
        <v>168</v>
      </c>
      <c r="B2289" s="644" t="s">
        <v>168</v>
      </c>
      <c r="C2289" s="645"/>
      <c r="D2289" s="422" t="s">
        <v>212</v>
      </c>
      <c r="E2289" s="423"/>
      <c r="F2289" s="424">
        <v>500</v>
      </c>
      <c r="G2289" s="425">
        <f>VLOOKUP(D2288,'[2]ENSAIOS DE ORÇAMENTO'!$C$3:$L$79,4,FALSE)</f>
        <v>0.38908200000000004</v>
      </c>
      <c r="H2289" s="649">
        <f>IF(F2289&lt;=30,(0.78*F2289+7.82)*G2289,((0.78*30+7.82)+0.78*(F2289-30))*G2289)</f>
        <v>154.78460124000003</v>
      </c>
      <c r="I2289" s="420"/>
      <c r="J2289" s="420"/>
      <c r="K2289" s="421">
        <f t="shared" si="588"/>
        <v>0</v>
      </c>
      <c r="L2289" s="647"/>
      <c r="M2289" s="723"/>
      <c r="N2289" s="576">
        <f t="shared" si="597"/>
        <v>0</v>
      </c>
      <c r="O2289" s="577">
        <f t="shared" si="591"/>
        <v>0</v>
      </c>
      <c r="P2289" s="578">
        <f t="shared" si="592"/>
        <v>0</v>
      </c>
      <c r="Q2289" s="765"/>
      <c r="R2289" s="723"/>
      <c r="S2289" s="723"/>
      <c r="T2289" s="577">
        <f t="shared" si="589"/>
        <v>0</v>
      </c>
      <c r="U2289" s="578">
        <f t="shared" si="590"/>
        <v>0</v>
      </c>
      <c r="V2289" s="579"/>
      <c r="W2289" s="566" t="str">
        <f>IF(U2288&gt;0,"xx",IF(P2288&gt;0,"xy",""))</f>
        <v/>
      </c>
      <c r="X2289" s="586" t="str">
        <f t="shared" si="601"/>
        <v/>
      </c>
      <c r="Y2289" s="586" t="str">
        <f t="shared" si="531"/>
        <v/>
      </c>
      <c r="Z2289" s="586" t="str">
        <f t="shared" si="602"/>
        <v/>
      </c>
    </row>
    <row r="2290" spans="1:26" ht="12" hidden="1" thickBot="1" x14ac:dyDescent="0.25">
      <c r="A2290" s="567" t="s">
        <v>168</v>
      </c>
      <c r="B2290" s="644" t="s">
        <v>168</v>
      </c>
      <c r="C2290" s="645"/>
      <c r="D2290" s="422" t="s">
        <v>248</v>
      </c>
      <c r="E2290" s="423"/>
      <c r="F2290" s="424">
        <v>180</v>
      </c>
      <c r="G2290" s="425">
        <f>VLOOKUP(D2288,'[2]ENSAIOS DE ORÇAMENTO'!$C$3:$L$79,5,FALSE)</f>
        <v>1.1452249999999999</v>
      </c>
      <c r="H2290" s="663">
        <f t="shared" ref="H2290:H2292" si="604">IF(F2290&lt;=30,(1.07*F2290+2.68)*G2290,((1.07*30+2.68)+1.07*(F2290-30))*G2290)</f>
        <v>223.63953799999999</v>
      </c>
      <c r="I2290" s="420"/>
      <c r="J2290" s="420"/>
      <c r="K2290" s="421">
        <f t="shared" si="588"/>
        <v>0</v>
      </c>
      <c r="L2290" s="647"/>
      <c r="M2290" s="723"/>
      <c r="N2290" s="576">
        <f t="shared" si="597"/>
        <v>0</v>
      </c>
      <c r="O2290" s="577">
        <f t="shared" si="591"/>
        <v>0</v>
      </c>
      <c r="P2290" s="578">
        <f t="shared" si="592"/>
        <v>0</v>
      </c>
      <c r="Q2290" s="765"/>
      <c r="R2290" s="723"/>
      <c r="S2290" s="723"/>
      <c r="T2290" s="577">
        <f t="shared" si="589"/>
        <v>0</v>
      </c>
      <c r="U2290" s="578">
        <f t="shared" si="590"/>
        <v>0</v>
      </c>
      <c r="V2290" s="579"/>
      <c r="W2290" s="566" t="str">
        <f>IF(U2288&gt;0,"xx",IF(P2288&gt;0,"xy",""))</f>
        <v/>
      </c>
      <c r="X2290" s="586" t="str">
        <f t="shared" si="601"/>
        <v/>
      </c>
      <c r="Y2290" s="586" t="str">
        <f t="shared" si="531"/>
        <v/>
      </c>
      <c r="Z2290" s="586" t="str">
        <f t="shared" si="602"/>
        <v/>
      </c>
    </row>
    <row r="2291" spans="1:26" ht="12" hidden="1" thickBot="1" x14ac:dyDescent="0.25">
      <c r="A2291" s="567" t="s">
        <v>168</v>
      </c>
      <c r="B2291" s="644" t="s">
        <v>168</v>
      </c>
      <c r="C2291" s="645"/>
      <c r="D2291" s="422" t="s">
        <v>252</v>
      </c>
      <c r="E2291" s="423"/>
      <c r="F2291" s="424">
        <v>20</v>
      </c>
      <c r="G2291" s="425">
        <f>VLOOKUP(D2288,'[2]ENSAIOS DE ORÇAMENTO'!$C$3:$L$79,6,FALSE)</f>
        <v>1.362414</v>
      </c>
      <c r="H2291" s="663">
        <f t="shared" si="604"/>
        <v>32.80692912</v>
      </c>
      <c r="I2291" s="420"/>
      <c r="J2291" s="420"/>
      <c r="K2291" s="421">
        <f t="shared" si="588"/>
        <v>0</v>
      </c>
      <c r="L2291" s="647"/>
      <c r="M2291" s="723"/>
      <c r="N2291" s="576">
        <f t="shared" si="597"/>
        <v>0</v>
      </c>
      <c r="O2291" s="577">
        <f t="shared" si="591"/>
        <v>0</v>
      </c>
      <c r="P2291" s="578">
        <f t="shared" si="592"/>
        <v>0</v>
      </c>
      <c r="Q2291" s="765"/>
      <c r="R2291" s="723"/>
      <c r="S2291" s="723"/>
      <c r="T2291" s="577">
        <f t="shared" si="589"/>
        <v>0</v>
      </c>
      <c r="U2291" s="578">
        <f t="shared" si="590"/>
        <v>0</v>
      </c>
      <c r="V2291" s="579"/>
      <c r="W2291" s="566" t="str">
        <f>IF(U2288&gt;0,"xx",IF(P2288&gt;0,"xy",""))</f>
        <v/>
      </c>
      <c r="X2291" s="586" t="str">
        <f t="shared" si="601"/>
        <v/>
      </c>
      <c r="Y2291" s="586" t="str">
        <f t="shared" si="531"/>
        <v/>
      </c>
      <c r="Z2291" s="586" t="str">
        <f t="shared" si="602"/>
        <v/>
      </c>
    </row>
    <row r="2292" spans="1:26" ht="12" hidden="1" thickBot="1" x14ac:dyDescent="0.25">
      <c r="A2292" s="567" t="s">
        <v>168</v>
      </c>
      <c r="B2292" s="644" t="s">
        <v>168</v>
      </c>
      <c r="C2292" s="645"/>
      <c r="D2292" s="422" t="s">
        <v>400</v>
      </c>
      <c r="E2292" s="423"/>
      <c r="F2292" s="424">
        <v>30</v>
      </c>
      <c r="G2292" s="425">
        <f>VLOOKUP(D2288,'[2]ENSAIOS DE ORÇAMENTO'!$C$3:$L$79,3,FALSE)</f>
        <v>0</v>
      </c>
      <c r="H2292" s="663">
        <f t="shared" si="604"/>
        <v>0</v>
      </c>
      <c r="I2292" s="420"/>
      <c r="J2292" s="420"/>
      <c r="K2292" s="421">
        <f t="shared" si="588"/>
        <v>0</v>
      </c>
      <c r="L2292" s="647"/>
      <c r="M2292" s="723"/>
      <c r="N2292" s="576">
        <f t="shared" si="597"/>
        <v>0</v>
      </c>
      <c r="O2292" s="577">
        <f t="shared" si="591"/>
        <v>0</v>
      </c>
      <c r="P2292" s="578">
        <f t="shared" si="592"/>
        <v>0</v>
      </c>
      <c r="Q2292" s="765"/>
      <c r="R2292" s="723"/>
      <c r="S2292" s="723"/>
      <c r="T2292" s="577">
        <f t="shared" si="589"/>
        <v>0</v>
      </c>
      <c r="U2292" s="578">
        <f t="shared" si="590"/>
        <v>0</v>
      </c>
      <c r="V2292" s="579"/>
      <c r="W2292" s="566" t="str">
        <f>IF(U2288&gt;0,"xx",IF(P2288&gt;0,"xy",""))</f>
        <v/>
      </c>
      <c r="X2292" s="586" t="str">
        <f t="shared" si="601"/>
        <v/>
      </c>
      <c r="Y2292" s="586" t="str">
        <f t="shared" si="531"/>
        <v/>
      </c>
      <c r="Z2292" s="586" t="str">
        <f t="shared" si="602"/>
        <v/>
      </c>
    </row>
    <row r="2293" spans="1:26" ht="12" hidden="1" thickBot="1" x14ac:dyDescent="0.25">
      <c r="A2293" s="567" t="s">
        <v>168</v>
      </c>
      <c r="B2293" s="644" t="s">
        <v>168</v>
      </c>
      <c r="C2293" s="645"/>
      <c r="D2293" s="422" t="s">
        <v>401</v>
      </c>
      <c r="E2293" s="423"/>
      <c r="F2293" s="424">
        <v>500</v>
      </c>
      <c r="G2293" s="425">
        <f>VLOOKUP(D2288,'[2]ENSAIOS DE ORÇAMENTO'!$C$3:$L$79,10,FALSE)</f>
        <v>0</v>
      </c>
      <c r="H2293" s="649">
        <f>IF(F2293&lt;=30,(0.78*F2293+7.82)*G2293,((0.78*30+7.82)+0.78*(F2293-30))*G2293)</f>
        <v>0</v>
      </c>
      <c r="I2293" s="420"/>
      <c r="J2293" s="420"/>
      <c r="K2293" s="421">
        <f t="shared" si="588"/>
        <v>0</v>
      </c>
      <c r="L2293" s="647"/>
      <c r="M2293" s="723"/>
      <c r="N2293" s="576">
        <f t="shared" si="597"/>
        <v>0</v>
      </c>
      <c r="O2293" s="577">
        <f t="shared" si="591"/>
        <v>0</v>
      </c>
      <c r="P2293" s="578">
        <f t="shared" si="592"/>
        <v>0</v>
      </c>
      <c r="Q2293" s="765"/>
      <c r="R2293" s="723"/>
      <c r="S2293" s="723"/>
      <c r="T2293" s="577">
        <f t="shared" si="589"/>
        <v>0</v>
      </c>
      <c r="U2293" s="578">
        <f t="shared" si="590"/>
        <v>0</v>
      </c>
      <c r="V2293" s="579"/>
      <c r="W2293" s="566" t="str">
        <f>IF(U2288&gt;0,"xx",IF(P2288&gt;0,"xy",""))</f>
        <v/>
      </c>
      <c r="X2293" s="586" t="str">
        <f t="shared" si="601"/>
        <v/>
      </c>
      <c r="Y2293" s="586" t="str">
        <f t="shared" si="531"/>
        <v/>
      </c>
      <c r="Z2293" s="586" t="str">
        <f t="shared" si="602"/>
        <v/>
      </c>
    </row>
    <row r="2294" spans="1:26" ht="12" hidden="1" thickBot="1" x14ac:dyDescent="0.25">
      <c r="A2294" s="567" t="s">
        <v>35</v>
      </c>
      <c r="B2294" s="644" t="s">
        <v>35</v>
      </c>
      <c r="C2294" s="645" t="s">
        <v>206</v>
      </c>
      <c r="D2294" s="422" t="s">
        <v>109</v>
      </c>
      <c r="E2294" s="423"/>
      <c r="F2294" s="424"/>
      <c r="G2294" s="425"/>
      <c r="H2294" s="651">
        <f>SUM(H2295:H2299)</f>
        <v>513.9412014799999</v>
      </c>
      <c r="I2294" s="420">
        <f>VLOOKUP(D2294,'[2]ENSAIOS DE ORÇAMENTO'!$C$3:$L$79,8,FALSE)</f>
        <v>4235.10509</v>
      </c>
      <c r="J2294" s="420">
        <f>IF(ISBLANK(I2294),"",SUM(H2294:I2294))</f>
        <v>4749.04629148</v>
      </c>
      <c r="K2294" s="421">
        <f t="shared" si="588"/>
        <v>5642.34</v>
      </c>
      <c r="L2294" s="647" t="s">
        <v>21</v>
      </c>
      <c r="M2294" s="576"/>
      <c r="N2294" s="576">
        <f t="shared" si="597"/>
        <v>0</v>
      </c>
      <c r="O2294" s="577">
        <f t="shared" si="591"/>
        <v>0</v>
      </c>
      <c r="P2294" s="578">
        <f t="shared" si="592"/>
        <v>0</v>
      </c>
      <c r="Q2294" s="765"/>
      <c r="R2294" s="576">
        <f>M2294</f>
        <v>0</v>
      </c>
      <c r="S2294" s="576">
        <f>N2294</f>
        <v>0</v>
      </c>
      <c r="T2294" s="577">
        <f t="shared" si="589"/>
        <v>0</v>
      </c>
      <c r="U2294" s="578">
        <f t="shared" si="590"/>
        <v>0</v>
      </c>
      <c r="V2294" s="579"/>
      <c r="W2294" s="566"/>
      <c r="X2294" s="586" t="str">
        <f t="shared" si="601"/>
        <v/>
      </c>
      <c r="Y2294" s="586" t="str">
        <f t="shared" si="531"/>
        <v/>
      </c>
      <c r="Z2294" s="586" t="str">
        <f t="shared" si="602"/>
        <v/>
      </c>
    </row>
    <row r="2295" spans="1:26" ht="12" hidden="1" thickBot="1" x14ac:dyDescent="0.25">
      <c r="A2295" s="567" t="s">
        <v>168</v>
      </c>
      <c r="B2295" s="644" t="s">
        <v>168</v>
      </c>
      <c r="C2295" s="645"/>
      <c r="D2295" s="422" t="s">
        <v>212</v>
      </c>
      <c r="E2295" s="423"/>
      <c r="F2295" s="424">
        <v>500</v>
      </c>
      <c r="G2295" s="425">
        <f>VLOOKUP(D2294,'[2]ENSAIOS DE ORÇAMENTO'!$C$3:$L$79,4,FALSE)</f>
        <v>0.48940199999999995</v>
      </c>
      <c r="H2295" s="649">
        <f>IF(F2295&lt;=30,(0.78*F2295+7.82)*G2295,((0.78*30+7.82)+0.78*(F2295-30))*G2295)</f>
        <v>194.69390364</v>
      </c>
      <c r="I2295" s="420"/>
      <c r="J2295" s="420"/>
      <c r="K2295" s="421">
        <f t="shared" si="588"/>
        <v>0</v>
      </c>
      <c r="L2295" s="647"/>
      <c r="M2295" s="723"/>
      <c r="N2295" s="576">
        <f t="shared" si="597"/>
        <v>0</v>
      </c>
      <c r="O2295" s="577">
        <f t="shared" si="591"/>
        <v>0</v>
      </c>
      <c r="P2295" s="578">
        <f t="shared" si="592"/>
        <v>0</v>
      </c>
      <c r="Q2295" s="765"/>
      <c r="R2295" s="723"/>
      <c r="S2295" s="723"/>
      <c r="T2295" s="577">
        <f t="shared" si="589"/>
        <v>0</v>
      </c>
      <c r="U2295" s="578">
        <f t="shared" si="590"/>
        <v>0</v>
      </c>
      <c r="V2295" s="579"/>
      <c r="W2295" s="566" t="str">
        <f>IF(U2294&gt;0,"xx",IF(P2294&gt;0,"xy",""))</f>
        <v/>
      </c>
      <c r="X2295" s="586" t="str">
        <f t="shared" si="601"/>
        <v/>
      </c>
      <c r="Y2295" s="586" t="str">
        <f t="shared" si="531"/>
        <v/>
      </c>
      <c r="Z2295" s="586" t="str">
        <f t="shared" si="602"/>
        <v/>
      </c>
    </row>
    <row r="2296" spans="1:26" ht="12" hidden="1" thickBot="1" x14ac:dyDescent="0.25">
      <c r="A2296" s="567" t="s">
        <v>168</v>
      </c>
      <c r="B2296" s="644" t="s">
        <v>168</v>
      </c>
      <c r="C2296" s="645"/>
      <c r="D2296" s="422" t="s">
        <v>248</v>
      </c>
      <c r="E2296" s="423"/>
      <c r="F2296" s="424">
        <v>180</v>
      </c>
      <c r="G2296" s="425">
        <f>VLOOKUP(D2294,'[2]ENSAIOS DE ORÇAMENTO'!$C$3:$L$79,5,FALSE)</f>
        <v>1.4252089999999999</v>
      </c>
      <c r="H2296" s="663">
        <f t="shared" ref="H2296:H2298" si="605">IF(F2296&lt;=30,(1.07*F2296+2.68)*G2296,((1.07*30+2.68)+1.07*(F2296-30))*G2296)</f>
        <v>278.31481351999997</v>
      </c>
      <c r="I2296" s="420"/>
      <c r="J2296" s="420"/>
      <c r="K2296" s="421">
        <f t="shared" si="588"/>
        <v>0</v>
      </c>
      <c r="L2296" s="647"/>
      <c r="M2296" s="723"/>
      <c r="N2296" s="576">
        <f t="shared" si="597"/>
        <v>0</v>
      </c>
      <c r="O2296" s="577">
        <f t="shared" si="591"/>
        <v>0</v>
      </c>
      <c r="P2296" s="578">
        <f t="shared" si="592"/>
        <v>0</v>
      </c>
      <c r="Q2296" s="765"/>
      <c r="R2296" s="723"/>
      <c r="S2296" s="723"/>
      <c r="T2296" s="577">
        <f t="shared" si="589"/>
        <v>0</v>
      </c>
      <c r="U2296" s="578">
        <f t="shared" si="590"/>
        <v>0</v>
      </c>
      <c r="V2296" s="579"/>
      <c r="W2296" s="566" t="str">
        <f>IF(U2294&gt;0,"xx",IF(P2294&gt;0,"xy",""))</f>
        <v/>
      </c>
      <c r="X2296" s="586" t="str">
        <f t="shared" si="601"/>
        <v/>
      </c>
      <c r="Y2296" s="586" t="str">
        <f t="shared" si="531"/>
        <v/>
      </c>
      <c r="Z2296" s="586" t="str">
        <f t="shared" si="602"/>
        <v/>
      </c>
    </row>
    <row r="2297" spans="1:26" ht="12" hidden="1" thickBot="1" x14ac:dyDescent="0.25">
      <c r="A2297" s="567" t="s">
        <v>168</v>
      </c>
      <c r="B2297" s="644" t="s">
        <v>168</v>
      </c>
      <c r="C2297" s="645"/>
      <c r="D2297" s="422" t="s">
        <v>252</v>
      </c>
      <c r="E2297" s="423"/>
      <c r="F2297" s="424">
        <v>20</v>
      </c>
      <c r="G2297" s="425">
        <f>VLOOKUP(D2294,'[2]ENSAIOS DE ORÇAMENTO'!$C$3:$L$79,6,FALSE)</f>
        <v>1.699854</v>
      </c>
      <c r="H2297" s="663">
        <f t="shared" si="605"/>
        <v>40.93248432</v>
      </c>
      <c r="I2297" s="420"/>
      <c r="J2297" s="420"/>
      <c r="K2297" s="421">
        <f t="shared" si="588"/>
        <v>0</v>
      </c>
      <c r="L2297" s="647"/>
      <c r="M2297" s="723"/>
      <c r="N2297" s="576">
        <f t="shared" si="597"/>
        <v>0</v>
      </c>
      <c r="O2297" s="577">
        <f t="shared" si="591"/>
        <v>0</v>
      </c>
      <c r="P2297" s="578">
        <f t="shared" si="592"/>
        <v>0</v>
      </c>
      <c r="Q2297" s="765"/>
      <c r="R2297" s="723"/>
      <c r="S2297" s="723"/>
      <c r="T2297" s="577">
        <f t="shared" si="589"/>
        <v>0</v>
      </c>
      <c r="U2297" s="578">
        <f t="shared" si="590"/>
        <v>0</v>
      </c>
      <c r="V2297" s="579"/>
      <c r="W2297" s="566" t="str">
        <f>IF(U2294&gt;0,"xx",IF(P2294&gt;0,"xy",""))</f>
        <v/>
      </c>
      <c r="X2297" s="586" t="str">
        <f t="shared" si="601"/>
        <v/>
      </c>
      <c r="Y2297" s="586" t="str">
        <f t="shared" si="531"/>
        <v/>
      </c>
      <c r="Z2297" s="586" t="str">
        <f t="shared" si="602"/>
        <v/>
      </c>
    </row>
    <row r="2298" spans="1:26" ht="12" hidden="1" thickBot="1" x14ac:dyDescent="0.25">
      <c r="A2298" s="567" t="s">
        <v>168</v>
      </c>
      <c r="B2298" s="644" t="s">
        <v>168</v>
      </c>
      <c r="C2298" s="645"/>
      <c r="D2298" s="422" t="s">
        <v>400</v>
      </c>
      <c r="E2298" s="423"/>
      <c r="F2298" s="424">
        <v>30</v>
      </c>
      <c r="G2298" s="425">
        <f>VLOOKUP(D2294,'[2]ENSAIOS DE ORÇAMENTO'!$C$3:$L$79,3,FALSE)</f>
        <v>0</v>
      </c>
      <c r="H2298" s="663">
        <f t="shared" si="605"/>
        <v>0</v>
      </c>
      <c r="I2298" s="420"/>
      <c r="J2298" s="420"/>
      <c r="K2298" s="421">
        <f t="shared" si="588"/>
        <v>0</v>
      </c>
      <c r="L2298" s="647"/>
      <c r="M2298" s="723"/>
      <c r="N2298" s="576">
        <f t="shared" si="597"/>
        <v>0</v>
      </c>
      <c r="O2298" s="577">
        <f t="shared" si="591"/>
        <v>0</v>
      </c>
      <c r="P2298" s="578">
        <f t="shared" si="592"/>
        <v>0</v>
      </c>
      <c r="Q2298" s="765"/>
      <c r="R2298" s="723"/>
      <c r="S2298" s="723"/>
      <c r="T2298" s="577">
        <f t="shared" si="589"/>
        <v>0</v>
      </c>
      <c r="U2298" s="578">
        <f t="shared" si="590"/>
        <v>0</v>
      </c>
      <c r="V2298" s="579"/>
      <c r="W2298" s="566" t="str">
        <f>IF(U2294&gt;0,"xx",IF(P2294&gt;0,"xy",""))</f>
        <v/>
      </c>
      <c r="X2298" s="586" t="str">
        <f t="shared" si="601"/>
        <v/>
      </c>
      <c r="Y2298" s="586" t="str">
        <f t="shared" si="531"/>
        <v/>
      </c>
      <c r="Z2298" s="586" t="str">
        <f t="shared" si="602"/>
        <v/>
      </c>
    </row>
    <row r="2299" spans="1:26" ht="12" hidden="1" thickBot="1" x14ac:dyDescent="0.25">
      <c r="A2299" s="567" t="s">
        <v>168</v>
      </c>
      <c r="B2299" s="644" t="s">
        <v>168</v>
      </c>
      <c r="C2299" s="645"/>
      <c r="D2299" s="422" t="s">
        <v>401</v>
      </c>
      <c r="E2299" s="423"/>
      <c r="F2299" s="424">
        <v>500</v>
      </c>
      <c r="G2299" s="425">
        <f>VLOOKUP(D2294,'[2]ENSAIOS DE ORÇAMENTO'!$C$3:$L$79,10,FALSE)</f>
        <v>0</v>
      </c>
      <c r="H2299" s="649">
        <f>IF(F2299&lt;=30,(0.78*F2299+7.82)*G2299,((0.78*30+7.82)+0.78*(F2299-30))*G2299)</f>
        <v>0</v>
      </c>
      <c r="I2299" s="420"/>
      <c r="J2299" s="420"/>
      <c r="K2299" s="421">
        <f t="shared" si="588"/>
        <v>0</v>
      </c>
      <c r="L2299" s="647"/>
      <c r="M2299" s="723"/>
      <c r="N2299" s="576">
        <f t="shared" si="597"/>
        <v>0</v>
      </c>
      <c r="O2299" s="577">
        <f t="shared" si="591"/>
        <v>0</v>
      </c>
      <c r="P2299" s="578">
        <f t="shared" si="592"/>
        <v>0</v>
      </c>
      <c r="Q2299" s="765"/>
      <c r="R2299" s="723"/>
      <c r="S2299" s="723"/>
      <c r="T2299" s="577">
        <f t="shared" si="589"/>
        <v>0</v>
      </c>
      <c r="U2299" s="578">
        <f t="shared" si="590"/>
        <v>0</v>
      </c>
      <c r="V2299" s="579"/>
      <c r="W2299" s="566" t="str">
        <f>IF(U2294&gt;0,"xx",IF(P2294&gt;0,"xy",""))</f>
        <v/>
      </c>
      <c r="X2299" s="586" t="str">
        <f t="shared" si="601"/>
        <v/>
      </c>
      <c r="Y2299" s="586" t="str">
        <f t="shared" si="531"/>
        <v/>
      </c>
      <c r="Z2299" s="586" t="str">
        <f t="shared" si="602"/>
        <v/>
      </c>
    </row>
    <row r="2300" spans="1:26" ht="12" hidden="1" thickBot="1" x14ac:dyDescent="0.25">
      <c r="A2300" s="567" t="s">
        <v>123</v>
      </c>
      <c r="B2300" s="644" t="s">
        <v>123</v>
      </c>
      <c r="C2300" s="645" t="s">
        <v>206</v>
      </c>
      <c r="D2300" s="422" t="s">
        <v>110</v>
      </c>
      <c r="E2300" s="423"/>
      <c r="F2300" s="424"/>
      <c r="G2300" s="425"/>
      <c r="H2300" s="651">
        <f>SUM(H2301:H2305)</f>
        <v>680.84516780000001</v>
      </c>
      <c r="I2300" s="420">
        <f>VLOOKUP(D2300,'[2]ENSAIOS DE ORÇAMENTO'!$C$3:$L$79,8,FALSE)</f>
        <v>4602.3633099999997</v>
      </c>
      <c r="J2300" s="420">
        <f>IF(ISBLANK(I2300),"",SUM(H2300:I2300))</f>
        <v>5283.2084777999999</v>
      </c>
      <c r="K2300" s="421">
        <f t="shared" si="588"/>
        <v>6276.98</v>
      </c>
      <c r="L2300" s="647" t="s">
        <v>21</v>
      </c>
      <c r="M2300" s="576"/>
      <c r="N2300" s="576">
        <f t="shared" si="597"/>
        <v>0</v>
      </c>
      <c r="O2300" s="577">
        <f t="shared" si="591"/>
        <v>0</v>
      </c>
      <c r="P2300" s="578">
        <f t="shared" si="592"/>
        <v>0</v>
      </c>
      <c r="Q2300" s="765"/>
      <c r="R2300" s="576">
        <f>M2300</f>
        <v>0</v>
      </c>
      <c r="S2300" s="576">
        <f>N2300</f>
        <v>0</v>
      </c>
      <c r="T2300" s="577">
        <f t="shared" si="589"/>
        <v>0</v>
      </c>
      <c r="U2300" s="578">
        <f t="shared" si="590"/>
        <v>0</v>
      </c>
      <c r="V2300" s="579"/>
      <c r="W2300" s="566"/>
      <c r="X2300" s="586" t="str">
        <f t="shared" si="601"/>
        <v/>
      </c>
      <c r="Y2300" s="586" t="str">
        <f t="shared" si="531"/>
        <v/>
      </c>
      <c r="Z2300" s="586" t="str">
        <f t="shared" si="602"/>
        <v/>
      </c>
    </row>
    <row r="2301" spans="1:26" ht="12" hidden="1" thickBot="1" x14ac:dyDescent="0.25">
      <c r="A2301" s="567" t="s">
        <v>168</v>
      </c>
      <c r="B2301" s="644" t="s">
        <v>168</v>
      </c>
      <c r="C2301" s="645"/>
      <c r="D2301" s="422" t="s">
        <v>212</v>
      </c>
      <c r="E2301" s="423"/>
      <c r="F2301" s="424">
        <v>500</v>
      </c>
      <c r="G2301" s="425">
        <f>VLOOKUP(D2300,'[2]ENSAIOS DE ORÇAMENTO'!$C$3:$L$79,4,FALSE)</f>
        <v>0.65242199999999995</v>
      </c>
      <c r="H2301" s="649">
        <f>IF(F2301&lt;=30,(0.78*F2301+7.82)*G2301,((0.78*30+7.82)+0.78*(F2301-30))*G2301)</f>
        <v>259.54652004000002</v>
      </c>
      <c r="I2301" s="420"/>
      <c r="J2301" s="420"/>
      <c r="K2301" s="421">
        <f t="shared" si="588"/>
        <v>0</v>
      </c>
      <c r="L2301" s="647"/>
      <c r="M2301" s="723"/>
      <c r="N2301" s="576">
        <f t="shared" si="597"/>
        <v>0</v>
      </c>
      <c r="O2301" s="577">
        <f t="shared" si="591"/>
        <v>0</v>
      </c>
      <c r="P2301" s="578">
        <f t="shared" si="592"/>
        <v>0</v>
      </c>
      <c r="Q2301" s="765"/>
      <c r="R2301" s="723"/>
      <c r="S2301" s="723"/>
      <c r="T2301" s="577">
        <f t="shared" si="589"/>
        <v>0</v>
      </c>
      <c r="U2301" s="578">
        <f t="shared" si="590"/>
        <v>0</v>
      </c>
      <c r="V2301" s="579"/>
      <c r="W2301" s="566" t="str">
        <f>IF(U2300&gt;0,"xx",IF(P2300&gt;0,"xy",""))</f>
        <v/>
      </c>
      <c r="X2301" s="586" t="str">
        <f t="shared" si="601"/>
        <v/>
      </c>
      <c r="Y2301" s="586" t="str">
        <f t="shared" si="531"/>
        <v/>
      </c>
      <c r="Z2301" s="586" t="str">
        <f t="shared" si="602"/>
        <v/>
      </c>
    </row>
    <row r="2302" spans="1:26" ht="12" hidden="1" thickBot="1" x14ac:dyDescent="0.25">
      <c r="A2302" s="567" t="s">
        <v>168</v>
      </c>
      <c r="B2302" s="644" t="s">
        <v>168</v>
      </c>
      <c r="C2302" s="645"/>
      <c r="D2302" s="422" t="s">
        <v>248</v>
      </c>
      <c r="E2302" s="423"/>
      <c r="F2302" s="424">
        <v>180</v>
      </c>
      <c r="G2302" s="425">
        <f>VLOOKUP(D2300,'[2]ENSAIOS DE ORÇAMENTO'!$C$3:$L$79,5,FALSE)</f>
        <v>1.8801829999999999</v>
      </c>
      <c r="H2302" s="663">
        <f t="shared" ref="H2302:H2304" si="606">IF(F2302&lt;=30,(1.07*F2302+2.68)*G2302,((1.07*30+2.68)+1.07*(F2302-30))*G2302)</f>
        <v>367.16213624</v>
      </c>
      <c r="I2302" s="420"/>
      <c r="J2302" s="420"/>
      <c r="K2302" s="421">
        <f t="shared" si="588"/>
        <v>0</v>
      </c>
      <c r="L2302" s="647"/>
      <c r="M2302" s="723"/>
      <c r="N2302" s="576">
        <f t="shared" si="597"/>
        <v>0</v>
      </c>
      <c r="O2302" s="577">
        <f t="shared" si="591"/>
        <v>0</v>
      </c>
      <c r="P2302" s="578">
        <f t="shared" si="592"/>
        <v>0</v>
      </c>
      <c r="Q2302" s="765"/>
      <c r="R2302" s="723"/>
      <c r="S2302" s="723"/>
      <c r="T2302" s="577">
        <f t="shared" si="589"/>
        <v>0</v>
      </c>
      <c r="U2302" s="578">
        <f t="shared" si="590"/>
        <v>0</v>
      </c>
      <c r="V2302" s="579"/>
      <c r="W2302" s="566" t="str">
        <f>IF(U2300&gt;0,"xx",IF(P2300&gt;0,"xy",""))</f>
        <v/>
      </c>
      <c r="X2302" s="586" t="str">
        <f t="shared" si="601"/>
        <v/>
      </c>
      <c r="Y2302" s="586" t="str">
        <f t="shared" si="531"/>
        <v/>
      </c>
      <c r="Z2302" s="586" t="str">
        <f t="shared" si="602"/>
        <v/>
      </c>
    </row>
    <row r="2303" spans="1:26" ht="12" hidden="1" thickBot="1" x14ac:dyDescent="0.25">
      <c r="A2303" s="567" t="s">
        <v>168</v>
      </c>
      <c r="B2303" s="644" t="s">
        <v>168</v>
      </c>
      <c r="C2303" s="645"/>
      <c r="D2303" s="422" t="s">
        <v>252</v>
      </c>
      <c r="E2303" s="423"/>
      <c r="F2303" s="424">
        <v>20</v>
      </c>
      <c r="G2303" s="425">
        <f>VLOOKUP(D2300,'[2]ENSAIOS DE ORÇAMENTO'!$C$3:$L$79,6,FALSE)</f>
        <v>2.2481940000000002</v>
      </c>
      <c r="H2303" s="663">
        <f t="shared" si="606"/>
        <v>54.136511520000013</v>
      </c>
      <c r="I2303" s="420"/>
      <c r="J2303" s="420"/>
      <c r="K2303" s="421">
        <f t="shared" si="588"/>
        <v>0</v>
      </c>
      <c r="L2303" s="647"/>
      <c r="M2303" s="723"/>
      <c r="N2303" s="576">
        <f t="shared" si="597"/>
        <v>0</v>
      </c>
      <c r="O2303" s="577">
        <f t="shared" si="591"/>
        <v>0</v>
      </c>
      <c r="P2303" s="578">
        <f t="shared" si="592"/>
        <v>0</v>
      </c>
      <c r="Q2303" s="765"/>
      <c r="R2303" s="723"/>
      <c r="S2303" s="723"/>
      <c r="T2303" s="577">
        <f t="shared" si="589"/>
        <v>0</v>
      </c>
      <c r="U2303" s="578">
        <f t="shared" si="590"/>
        <v>0</v>
      </c>
      <c r="V2303" s="579"/>
      <c r="W2303" s="566" t="str">
        <f>IF(U2300&gt;0,"xx",IF(P2300&gt;0,"xy",""))</f>
        <v/>
      </c>
      <c r="X2303" s="586" t="str">
        <f t="shared" si="601"/>
        <v/>
      </c>
      <c r="Y2303" s="586" t="str">
        <f t="shared" si="531"/>
        <v/>
      </c>
      <c r="Z2303" s="586" t="str">
        <f t="shared" si="602"/>
        <v/>
      </c>
    </row>
    <row r="2304" spans="1:26" ht="12" hidden="1" thickBot="1" x14ac:dyDescent="0.25">
      <c r="A2304" s="567" t="s">
        <v>168</v>
      </c>
      <c r="B2304" s="644" t="s">
        <v>168</v>
      </c>
      <c r="C2304" s="645"/>
      <c r="D2304" s="422" t="s">
        <v>400</v>
      </c>
      <c r="E2304" s="423"/>
      <c r="F2304" s="424">
        <v>30</v>
      </c>
      <c r="G2304" s="425">
        <f>VLOOKUP(D2300,'[2]ENSAIOS DE ORÇAMENTO'!$C$3:$L$79,3,FALSE)</f>
        <v>0</v>
      </c>
      <c r="H2304" s="663">
        <f t="shared" si="606"/>
        <v>0</v>
      </c>
      <c r="I2304" s="420"/>
      <c r="J2304" s="420"/>
      <c r="K2304" s="421">
        <f t="shared" ref="K2304:K2367" si="607">IF(ISBLANK(I2304),0,ROUND(J2304*(1+$F$10)*(1+$F$11*E2304),2))</f>
        <v>0</v>
      </c>
      <c r="L2304" s="647"/>
      <c r="M2304" s="723"/>
      <c r="N2304" s="576">
        <f t="shared" si="597"/>
        <v>0</v>
      </c>
      <c r="O2304" s="577">
        <f t="shared" si="591"/>
        <v>0</v>
      </c>
      <c r="P2304" s="578">
        <f t="shared" si="592"/>
        <v>0</v>
      </c>
      <c r="Q2304" s="765"/>
      <c r="R2304" s="723"/>
      <c r="S2304" s="723"/>
      <c r="T2304" s="577">
        <f t="shared" ref="T2304:T2367" si="608">IF(ISBLANK(R2304),0,ROUND(K2304*R2304,2))</f>
        <v>0</v>
      </c>
      <c r="U2304" s="578">
        <f t="shared" ref="U2304:U2367" si="609">IF(ISBLANK(R2304),0,ROUND(R2304*S2304,2))</f>
        <v>0</v>
      </c>
      <c r="V2304" s="579"/>
      <c r="W2304" s="566" t="str">
        <f>IF(U2300&gt;0,"xx",IF(P2300&gt;0,"xy",""))</f>
        <v/>
      </c>
      <c r="X2304" s="586" t="str">
        <f t="shared" si="601"/>
        <v/>
      </c>
      <c r="Y2304" s="586" t="str">
        <f t="shared" si="531"/>
        <v/>
      </c>
      <c r="Z2304" s="586" t="str">
        <f t="shared" si="602"/>
        <v/>
      </c>
    </row>
    <row r="2305" spans="1:26" ht="12" hidden="1" thickBot="1" x14ac:dyDescent="0.25">
      <c r="A2305" s="567" t="s">
        <v>168</v>
      </c>
      <c r="B2305" s="644" t="s">
        <v>168</v>
      </c>
      <c r="C2305" s="645"/>
      <c r="D2305" s="422" t="s">
        <v>401</v>
      </c>
      <c r="E2305" s="423"/>
      <c r="F2305" s="424">
        <v>500</v>
      </c>
      <c r="G2305" s="425">
        <f>VLOOKUP(D2300,'[2]ENSAIOS DE ORÇAMENTO'!$C$3:$L$79,10,FALSE)</f>
        <v>0</v>
      </c>
      <c r="H2305" s="649">
        <f>IF(F2305&lt;=30,(0.78*F2305+7.82)*G2305,((0.78*30+7.82)+0.78*(F2305-30))*G2305)</f>
        <v>0</v>
      </c>
      <c r="I2305" s="420"/>
      <c r="J2305" s="420"/>
      <c r="K2305" s="421">
        <f t="shared" si="607"/>
        <v>0</v>
      </c>
      <c r="L2305" s="647"/>
      <c r="M2305" s="723"/>
      <c r="N2305" s="576">
        <f t="shared" si="597"/>
        <v>0</v>
      </c>
      <c r="O2305" s="577">
        <f t="shared" ref="O2305:O2368" si="610">IF(ISBLANK(M2305),0,ROUND(K2305*M2305,2))</f>
        <v>0</v>
      </c>
      <c r="P2305" s="578">
        <f t="shared" ref="P2305:P2368" si="611">IF(ISBLANK(N2305),0,ROUND(M2305*N2305,2))</f>
        <v>0</v>
      </c>
      <c r="Q2305" s="765"/>
      <c r="R2305" s="723"/>
      <c r="S2305" s="723"/>
      <c r="T2305" s="577">
        <f t="shared" si="608"/>
        <v>0</v>
      </c>
      <c r="U2305" s="578">
        <f t="shared" si="609"/>
        <v>0</v>
      </c>
      <c r="V2305" s="579"/>
      <c r="W2305" s="566" t="str">
        <f>IF(U2300&gt;0,"xx",IF(P2300&gt;0,"xy",""))</f>
        <v/>
      </c>
      <c r="X2305" s="586" t="str">
        <f t="shared" si="601"/>
        <v/>
      </c>
      <c r="Y2305" s="586" t="str">
        <f t="shared" si="531"/>
        <v/>
      </c>
      <c r="Z2305" s="586" t="str">
        <f t="shared" si="602"/>
        <v/>
      </c>
    </row>
    <row r="2306" spans="1:26" ht="12" hidden="1" thickBot="1" x14ac:dyDescent="0.25">
      <c r="A2306" s="567" t="s">
        <v>124</v>
      </c>
      <c r="B2306" s="644" t="s">
        <v>124</v>
      </c>
      <c r="C2306" s="645" t="s">
        <v>206</v>
      </c>
      <c r="D2306" s="422" t="s">
        <v>111</v>
      </c>
      <c r="E2306" s="423"/>
      <c r="F2306" s="424"/>
      <c r="G2306" s="425"/>
      <c r="H2306" s="651">
        <f>SUM(H2307:H2311)</f>
        <v>847.74913412000001</v>
      </c>
      <c r="I2306" s="420">
        <f>VLOOKUP(D2306,'[2]ENSAIOS DE ORÇAMENTO'!$C$3:$L$79,8,FALSE)</f>
        <v>5586.1876799999991</v>
      </c>
      <c r="J2306" s="420">
        <f>IF(ISBLANK(I2306),"",SUM(H2306:I2306))</f>
        <v>6433.9368141199993</v>
      </c>
      <c r="K2306" s="421">
        <f t="shared" si="607"/>
        <v>7644.16</v>
      </c>
      <c r="L2306" s="647" t="s">
        <v>21</v>
      </c>
      <c r="M2306" s="576"/>
      <c r="N2306" s="576">
        <f t="shared" si="597"/>
        <v>0</v>
      </c>
      <c r="O2306" s="577">
        <f t="shared" si="610"/>
        <v>0</v>
      </c>
      <c r="P2306" s="578">
        <f t="shared" si="611"/>
        <v>0</v>
      </c>
      <c r="Q2306" s="765"/>
      <c r="R2306" s="576">
        <f>M2306</f>
        <v>0</v>
      </c>
      <c r="S2306" s="576">
        <f>N2306</f>
        <v>0</v>
      </c>
      <c r="T2306" s="577">
        <f t="shared" si="608"/>
        <v>0</v>
      </c>
      <c r="U2306" s="578">
        <f t="shared" si="609"/>
        <v>0</v>
      </c>
      <c r="V2306" s="579"/>
      <c r="W2306" s="566"/>
      <c r="X2306" s="586" t="str">
        <f t="shared" si="601"/>
        <v/>
      </c>
      <c r="Y2306" s="586" t="str">
        <f t="shared" si="531"/>
        <v/>
      </c>
      <c r="Z2306" s="586" t="str">
        <f t="shared" si="602"/>
        <v/>
      </c>
    </row>
    <row r="2307" spans="1:26" ht="12" hidden="1" thickBot="1" x14ac:dyDescent="0.25">
      <c r="A2307" s="567" t="s">
        <v>168</v>
      </c>
      <c r="B2307" s="644" t="s">
        <v>168</v>
      </c>
      <c r="C2307" s="645"/>
      <c r="D2307" s="422" t="s">
        <v>212</v>
      </c>
      <c r="E2307" s="423"/>
      <c r="F2307" s="424">
        <v>500</v>
      </c>
      <c r="G2307" s="425">
        <f>VLOOKUP(D2306,'[2]ENSAIOS DE ORÇAMENTO'!$C$3:$L$79,4,FALSE)</f>
        <v>0.81544199999999989</v>
      </c>
      <c r="H2307" s="649">
        <f>IF(F2307&lt;=30,(0.78*F2307+7.82)*G2307,((0.78*30+7.82)+0.78*(F2307-30))*G2307)</f>
        <v>324.39913644000001</v>
      </c>
      <c r="I2307" s="420"/>
      <c r="J2307" s="420"/>
      <c r="K2307" s="421">
        <f t="shared" si="607"/>
        <v>0</v>
      </c>
      <c r="L2307" s="647"/>
      <c r="M2307" s="723"/>
      <c r="N2307" s="576">
        <f t="shared" si="597"/>
        <v>0</v>
      </c>
      <c r="O2307" s="577">
        <f t="shared" si="610"/>
        <v>0</v>
      </c>
      <c r="P2307" s="578">
        <f t="shared" si="611"/>
        <v>0</v>
      </c>
      <c r="Q2307" s="765"/>
      <c r="R2307" s="723"/>
      <c r="S2307" s="723"/>
      <c r="T2307" s="577">
        <f t="shared" si="608"/>
        <v>0</v>
      </c>
      <c r="U2307" s="578">
        <f t="shared" si="609"/>
        <v>0</v>
      </c>
      <c r="V2307" s="579"/>
      <c r="W2307" s="566" t="str">
        <f>IF(U2306&gt;0,"xx",IF(P2306&gt;0,"xy",""))</f>
        <v/>
      </c>
      <c r="X2307" s="586" t="str">
        <f t="shared" si="601"/>
        <v/>
      </c>
      <c r="Y2307" s="586" t="str">
        <f t="shared" ref="Y2307:Y2375" si="612">IF(W2307="X","x",IF(W2307="y","x",IF(W2307="xx","x",IF(U2307&gt;0,"x",""))))</f>
        <v/>
      </c>
      <c r="Z2307" s="586" t="str">
        <f t="shared" si="602"/>
        <v/>
      </c>
    </row>
    <row r="2308" spans="1:26" ht="12" hidden="1" thickBot="1" x14ac:dyDescent="0.25">
      <c r="A2308" s="567" t="s">
        <v>168</v>
      </c>
      <c r="B2308" s="644" t="s">
        <v>168</v>
      </c>
      <c r="C2308" s="645"/>
      <c r="D2308" s="422" t="s">
        <v>248</v>
      </c>
      <c r="E2308" s="423"/>
      <c r="F2308" s="424">
        <v>180</v>
      </c>
      <c r="G2308" s="425">
        <f>VLOOKUP(D2306,'[2]ENSAIOS DE ORÇAMENTO'!$C$3:$L$79,5,FALSE)</f>
        <v>2.3351569999999997</v>
      </c>
      <c r="H2308" s="663">
        <f t="shared" ref="H2308:H2310" si="613">IF(F2308&lt;=30,(1.07*F2308+2.68)*G2308,((1.07*30+2.68)+1.07*(F2308-30))*G2308)</f>
        <v>456.00945895999996</v>
      </c>
      <c r="I2308" s="420"/>
      <c r="J2308" s="420"/>
      <c r="K2308" s="421">
        <f t="shared" si="607"/>
        <v>0</v>
      </c>
      <c r="L2308" s="647"/>
      <c r="M2308" s="723"/>
      <c r="N2308" s="576">
        <f t="shared" si="597"/>
        <v>0</v>
      </c>
      <c r="O2308" s="577">
        <f t="shared" si="610"/>
        <v>0</v>
      </c>
      <c r="P2308" s="578">
        <f t="shared" si="611"/>
        <v>0</v>
      </c>
      <c r="Q2308" s="765"/>
      <c r="R2308" s="723"/>
      <c r="S2308" s="723"/>
      <c r="T2308" s="577">
        <f t="shared" si="608"/>
        <v>0</v>
      </c>
      <c r="U2308" s="578">
        <f t="shared" si="609"/>
        <v>0</v>
      </c>
      <c r="V2308" s="579"/>
      <c r="W2308" s="566" t="str">
        <f>IF(U2306&gt;0,"xx",IF(P2306&gt;0,"xy",""))</f>
        <v/>
      </c>
      <c r="X2308" s="586" t="str">
        <f t="shared" si="601"/>
        <v/>
      </c>
      <c r="Y2308" s="586" t="str">
        <f t="shared" si="612"/>
        <v/>
      </c>
      <c r="Z2308" s="586" t="str">
        <f t="shared" si="602"/>
        <v/>
      </c>
    </row>
    <row r="2309" spans="1:26" ht="12" hidden="1" thickBot="1" x14ac:dyDescent="0.25">
      <c r="A2309" s="567" t="s">
        <v>168</v>
      </c>
      <c r="B2309" s="644" t="s">
        <v>168</v>
      </c>
      <c r="C2309" s="645"/>
      <c r="D2309" s="422" t="s">
        <v>252</v>
      </c>
      <c r="E2309" s="423"/>
      <c r="F2309" s="424">
        <v>20</v>
      </c>
      <c r="G2309" s="425">
        <f>VLOOKUP(D2306,'[2]ENSAIOS DE ORÇAMENTO'!$C$3:$L$79,6,FALSE)</f>
        <v>2.7965340000000003</v>
      </c>
      <c r="H2309" s="663">
        <f t="shared" si="613"/>
        <v>67.340538720000012</v>
      </c>
      <c r="I2309" s="420"/>
      <c r="J2309" s="420"/>
      <c r="K2309" s="421">
        <f t="shared" si="607"/>
        <v>0</v>
      </c>
      <c r="L2309" s="647"/>
      <c r="M2309" s="723"/>
      <c r="N2309" s="576">
        <f t="shared" si="597"/>
        <v>0</v>
      </c>
      <c r="O2309" s="577">
        <f t="shared" si="610"/>
        <v>0</v>
      </c>
      <c r="P2309" s="578">
        <f t="shared" si="611"/>
        <v>0</v>
      </c>
      <c r="Q2309" s="765"/>
      <c r="R2309" s="723"/>
      <c r="S2309" s="723"/>
      <c r="T2309" s="577">
        <f t="shared" si="608"/>
        <v>0</v>
      </c>
      <c r="U2309" s="578">
        <f t="shared" si="609"/>
        <v>0</v>
      </c>
      <c r="V2309" s="579"/>
      <c r="W2309" s="566" t="str">
        <f>IF(U2306&gt;0,"xx",IF(P2306&gt;0,"xy",""))</f>
        <v/>
      </c>
      <c r="X2309" s="586" t="str">
        <f t="shared" si="601"/>
        <v/>
      </c>
      <c r="Y2309" s="586" t="str">
        <f t="shared" si="612"/>
        <v/>
      </c>
      <c r="Z2309" s="586" t="str">
        <f t="shared" si="602"/>
        <v/>
      </c>
    </row>
    <row r="2310" spans="1:26" ht="12" hidden="1" thickBot="1" x14ac:dyDescent="0.25">
      <c r="A2310" s="567" t="s">
        <v>168</v>
      </c>
      <c r="B2310" s="644" t="s">
        <v>168</v>
      </c>
      <c r="C2310" s="645"/>
      <c r="D2310" s="422" t="s">
        <v>400</v>
      </c>
      <c r="E2310" s="423"/>
      <c r="F2310" s="424">
        <v>30</v>
      </c>
      <c r="G2310" s="425">
        <f>VLOOKUP(D2306,'[2]ENSAIOS DE ORÇAMENTO'!$C$3:$L$79,3,FALSE)</f>
        <v>0</v>
      </c>
      <c r="H2310" s="663">
        <f t="shared" si="613"/>
        <v>0</v>
      </c>
      <c r="I2310" s="420"/>
      <c r="J2310" s="420"/>
      <c r="K2310" s="421">
        <f t="shared" si="607"/>
        <v>0</v>
      </c>
      <c r="L2310" s="647"/>
      <c r="M2310" s="723"/>
      <c r="N2310" s="576">
        <f t="shared" si="597"/>
        <v>0</v>
      </c>
      <c r="O2310" s="577">
        <f t="shared" si="610"/>
        <v>0</v>
      </c>
      <c r="P2310" s="578">
        <f t="shared" si="611"/>
        <v>0</v>
      </c>
      <c r="Q2310" s="765"/>
      <c r="R2310" s="723"/>
      <c r="S2310" s="723"/>
      <c r="T2310" s="577">
        <f t="shared" si="608"/>
        <v>0</v>
      </c>
      <c r="U2310" s="578">
        <f t="shared" si="609"/>
        <v>0</v>
      </c>
      <c r="V2310" s="579"/>
      <c r="W2310" s="566" t="str">
        <f>IF(U2306&gt;0,"xx",IF(P2306&gt;0,"xy",""))</f>
        <v/>
      </c>
      <c r="X2310" s="586" t="str">
        <f t="shared" si="601"/>
        <v/>
      </c>
      <c r="Y2310" s="586" t="str">
        <f t="shared" si="612"/>
        <v/>
      </c>
      <c r="Z2310" s="586" t="str">
        <f t="shared" si="602"/>
        <v/>
      </c>
    </row>
    <row r="2311" spans="1:26" ht="12" hidden="1" thickBot="1" x14ac:dyDescent="0.25">
      <c r="A2311" s="567" t="s">
        <v>168</v>
      </c>
      <c r="B2311" s="644" t="s">
        <v>168</v>
      </c>
      <c r="C2311" s="645"/>
      <c r="D2311" s="422" t="s">
        <v>401</v>
      </c>
      <c r="E2311" s="423"/>
      <c r="F2311" s="424">
        <v>500</v>
      </c>
      <c r="G2311" s="425">
        <f>VLOOKUP(D2306,'[2]ENSAIOS DE ORÇAMENTO'!$C$3:$L$79,10,FALSE)</f>
        <v>0</v>
      </c>
      <c r="H2311" s="649">
        <f>IF(F2311&lt;=30,(0.78*F2311+7.82)*G2311,((0.78*30+7.82)+0.78*(F2311-30))*G2311)</f>
        <v>0</v>
      </c>
      <c r="I2311" s="420"/>
      <c r="J2311" s="420"/>
      <c r="K2311" s="421">
        <f t="shared" si="607"/>
        <v>0</v>
      </c>
      <c r="L2311" s="647"/>
      <c r="M2311" s="723"/>
      <c r="N2311" s="576">
        <f t="shared" si="597"/>
        <v>0</v>
      </c>
      <c r="O2311" s="577">
        <f t="shared" si="610"/>
        <v>0</v>
      </c>
      <c r="P2311" s="578">
        <f t="shared" si="611"/>
        <v>0</v>
      </c>
      <c r="Q2311" s="765"/>
      <c r="R2311" s="723"/>
      <c r="S2311" s="723"/>
      <c r="T2311" s="577">
        <f t="shared" si="608"/>
        <v>0</v>
      </c>
      <c r="U2311" s="578">
        <f t="shared" si="609"/>
        <v>0</v>
      </c>
      <c r="V2311" s="579"/>
      <c r="W2311" s="566" t="str">
        <f>IF(U2306&gt;0,"xx",IF(P2306&gt;0,"xy",""))</f>
        <v/>
      </c>
      <c r="X2311" s="586" t="str">
        <f t="shared" si="601"/>
        <v/>
      </c>
      <c r="Y2311" s="586" t="str">
        <f t="shared" si="612"/>
        <v/>
      </c>
      <c r="Z2311" s="586" t="str">
        <f t="shared" si="602"/>
        <v/>
      </c>
    </row>
    <row r="2312" spans="1:26" ht="12" hidden="1" thickBot="1" x14ac:dyDescent="0.25">
      <c r="A2312" s="567" t="s">
        <v>125</v>
      </c>
      <c r="B2312" s="644" t="s">
        <v>125</v>
      </c>
      <c r="C2312" s="645" t="s">
        <v>206</v>
      </c>
      <c r="D2312" s="422" t="s">
        <v>99</v>
      </c>
      <c r="E2312" s="423"/>
      <c r="F2312" s="424"/>
      <c r="G2312" s="425"/>
      <c r="H2312" s="651">
        <f>SUM(H2313:H2317)</f>
        <v>125.85055469670401</v>
      </c>
      <c r="I2312" s="420">
        <f>VLOOKUP(D2312,'[2]ENSAIOS DE ORÇAMENTO'!$C$3:$L$79,8,FALSE)</f>
        <v>441.20676012799993</v>
      </c>
      <c r="J2312" s="420">
        <f>IF(ISBLANK(I2312),"",SUM(H2312:I2312))</f>
        <v>567.05731482470389</v>
      </c>
      <c r="K2312" s="421">
        <f t="shared" si="607"/>
        <v>673.72</v>
      </c>
      <c r="L2312" s="647" t="s">
        <v>21</v>
      </c>
      <c r="M2312" s="576"/>
      <c r="N2312" s="576">
        <f t="shared" si="597"/>
        <v>0</v>
      </c>
      <c r="O2312" s="577">
        <f t="shared" si="610"/>
        <v>0</v>
      </c>
      <c r="P2312" s="578">
        <f t="shared" si="611"/>
        <v>0</v>
      </c>
      <c r="Q2312" s="765"/>
      <c r="R2312" s="576">
        <f>M2312</f>
        <v>0</v>
      </c>
      <c r="S2312" s="576">
        <f>N2312</f>
        <v>0</v>
      </c>
      <c r="T2312" s="577">
        <f t="shared" si="608"/>
        <v>0</v>
      </c>
      <c r="U2312" s="578">
        <f t="shared" si="609"/>
        <v>0</v>
      </c>
      <c r="V2312" s="579"/>
      <c r="W2312" s="566"/>
      <c r="X2312" s="586" t="str">
        <f t="shared" si="601"/>
        <v/>
      </c>
      <c r="Y2312" s="586" t="str">
        <f t="shared" si="612"/>
        <v/>
      </c>
      <c r="Z2312" s="586" t="str">
        <f t="shared" si="602"/>
        <v/>
      </c>
    </row>
    <row r="2313" spans="1:26" ht="12" hidden="1" thickBot="1" x14ac:dyDescent="0.25">
      <c r="A2313" s="567" t="s">
        <v>168</v>
      </c>
      <c r="B2313" s="644" t="s">
        <v>168</v>
      </c>
      <c r="C2313" s="645"/>
      <c r="D2313" s="422" t="s">
        <v>212</v>
      </c>
      <c r="E2313" s="423"/>
      <c r="F2313" s="424">
        <v>500</v>
      </c>
      <c r="G2313" s="425">
        <f>VLOOKUP(D2312,'[2]ENSAIOS DE ORÇAMENTO'!$C$3:$L$79,4,FALSE)</f>
        <v>9.9453823999999996E-2</v>
      </c>
      <c r="H2313" s="649">
        <f>IF(F2313&lt;=30,(0.78*F2313+7.82)*G2313,((0.78*30+7.82)+0.78*(F2313-30))*G2313)</f>
        <v>39.564720263680002</v>
      </c>
      <c r="I2313" s="420"/>
      <c r="J2313" s="420"/>
      <c r="K2313" s="421">
        <f t="shared" si="607"/>
        <v>0</v>
      </c>
      <c r="L2313" s="647"/>
      <c r="M2313" s="723"/>
      <c r="N2313" s="576">
        <f t="shared" si="597"/>
        <v>0</v>
      </c>
      <c r="O2313" s="577">
        <f t="shared" si="610"/>
        <v>0</v>
      </c>
      <c r="P2313" s="578">
        <f t="shared" si="611"/>
        <v>0</v>
      </c>
      <c r="Q2313" s="765"/>
      <c r="R2313" s="723"/>
      <c r="S2313" s="723"/>
      <c r="T2313" s="577">
        <f t="shared" si="608"/>
        <v>0</v>
      </c>
      <c r="U2313" s="578">
        <f t="shared" si="609"/>
        <v>0</v>
      </c>
      <c r="V2313" s="579"/>
      <c r="W2313" s="566" t="str">
        <f>IF(U2312&gt;0,"xx",IF(P2312&gt;0,"xy",""))</f>
        <v/>
      </c>
      <c r="X2313" s="586" t="str">
        <f t="shared" si="601"/>
        <v/>
      </c>
      <c r="Y2313" s="586" t="str">
        <f t="shared" si="612"/>
        <v/>
      </c>
      <c r="Z2313" s="586" t="str">
        <f t="shared" si="602"/>
        <v/>
      </c>
    </row>
    <row r="2314" spans="1:26" ht="12" hidden="1" thickBot="1" x14ac:dyDescent="0.25">
      <c r="A2314" s="567" t="s">
        <v>168</v>
      </c>
      <c r="B2314" s="644" t="s">
        <v>168</v>
      </c>
      <c r="C2314" s="645"/>
      <c r="D2314" s="422" t="s">
        <v>248</v>
      </c>
      <c r="E2314" s="423"/>
      <c r="F2314" s="424">
        <v>180</v>
      </c>
      <c r="G2314" s="425">
        <f>VLOOKUP(D2312,'[2]ENSAIOS DE ORÇAMENTO'!$C$3:$L$79,5,FALSE)</f>
        <v>0.3618486528</v>
      </c>
      <c r="H2314" s="663">
        <f t="shared" ref="H2314:H2316" si="614">IF(F2314&lt;=30,(1.07*F2314+2.68)*G2314,((1.07*30+2.68)+1.07*(F2314-30))*G2314)</f>
        <v>70.661804918784</v>
      </c>
      <c r="I2314" s="420"/>
      <c r="J2314" s="420"/>
      <c r="K2314" s="421">
        <f t="shared" si="607"/>
        <v>0</v>
      </c>
      <c r="L2314" s="647"/>
      <c r="M2314" s="723"/>
      <c r="N2314" s="576">
        <f t="shared" si="597"/>
        <v>0</v>
      </c>
      <c r="O2314" s="577">
        <f t="shared" si="610"/>
        <v>0</v>
      </c>
      <c r="P2314" s="578">
        <f t="shared" si="611"/>
        <v>0</v>
      </c>
      <c r="Q2314" s="765"/>
      <c r="R2314" s="723"/>
      <c r="S2314" s="723"/>
      <c r="T2314" s="577">
        <f t="shared" si="608"/>
        <v>0</v>
      </c>
      <c r="U2314" s="578">
        <f t="shared" si="609"/>
        <v>0</v>
      </c>
      <c r="V2314" s="579"/>
      <c r="W2314" s="566" t="str">
        <f>IF(U2312&gt;0,"xx",IF(P2312&gt;0,"xy",""))</f>
        <v/>
      </c>
      <c r="X2314" s="586" t="str">
        <f t="shared" si="601"/>
        <v/>
      </c>
      <c r="Y2314" s="586" t="str">
        <f t="shared" si="612"/>
        <v/>
      </c>
      <c r="Z2314" s="586" t="str">
        <f t="shared" si="602"/>
        <v/>
      </c>
    </row>
    <row r="2315" spans="1:26" ht="12" hidden="1" thickBot="1" x14ac:dyDescent="0.25">
      <c r="A2315" s="567" t="s">
        <v>168</v>
      </c>
      <c r="B2315" s="644" t="s">
        <v>168</v>
      </c>
      <c r="C2315" s="645"/>
      <c r="D2315" s="422" t="s">
        <v>252</v>
      </c>
      <c r="E2315" s="423"/>
      <c r="F2315" s="424">
        <v>20</v>
      </c>
      <c r="G2315" s="425">
        <f>VLOOKUP(D2312,'[2]ENSAIOS DE ORÇAMENTO'!$C$3:$L$79,6,FALSE)</f>
        <v>0.308576448</v>
      </c>
      <c r="H2315" s="663">
        <f t="shared" si="614"/>
        <v>7.4305208678400003</v>
      </c>
      <c r="I2315" s="420"/>
      <c r="J2315" s="420"/>
      <c r="K2315" s="421">
        <f t="shared" si="607"/>
        <v>0</v>
      </c>
      <c r="L2315" s="647"/>
      <c r="M2315" s="723"/>
      <c r="N2315" s="576">
        <f t="shared" si="597"/>
        <v>0</v>
      </c>
      <c r="O2315" s="577">
        <f t="shared" si="610"/>
        <v>0</v>
      </c>
      <c r="P2315" s="578">
        <f t="shared" si="611"/>
        <v>0</v>
      </c>
      <c r="Q2315" s="765"/>
      <c r="R2315" s="723"/>
      <c r="S2315" s="723"/>
      <c r="T2315" s="577">
        <f t="shared" si="608"/>
        <v>0</v>
      </c>
      <c r="U2315" s="578">
        <f t="shared" si="609"/>
        <v>0</v>
      </c>
      <c r="V2315" s="579"/>
      <c r="W2315" s="566" t="str">
        <f>IF(U2312&gt;0,"xx",IF(P2312&gt;0,"xy",""))</f>
        <v/>
      </c>
      <c r="X2315" s="586" t="str">
        <f t="shared" si="601"/>
        <v/>
      </c>
      <c r="Y2315" s="586" t="str">
        <f t="shared" si="612"/>
        <v/>
      </c>
      <c r="Z2315" s="586" t="str">
        <f t="shared" si="602"/>
        <v/>
      </c>
    </row>
    <row r="2316" spans="1:26" ht="12" hidden="1" thickBot="1" x14ac:dyDescent="0.25">
      <c r="A2316" s="567" t="s">
        <v>168</v>
      </c>
      <c r="B2316" s="644" t="s">
        <v>168</v>
      </c>
      <c r="C2316" s="645"/>
      <c r="D2316" s="422" t="s">
        <v>400</v>
      </c>
      <c r="E2316" s="423"/>
      <c r="F2316" s="424">
        <v>30</v>
      </c>
      <c r="G2316" s="425">
        <f>VLOOKUP(D2312,'[2]ENSAIOS DE ORÇAMENTO'!$C$3:$L$79,3,FALSE)</f>
        <v>0.17055359999999997</v>
      </c>
      <c r="H2316" s="663">
        <f t="shared" si="614"/>
        <v>5.931854207999999</v>
      </c>
      <c r="I2316" s="420"/>
      <c r="J2316" s="420"/>
      <c r="K2316" s="421">
        <f t="shared" si="607"/>
        <v>0</v>
      </c>
      <c r="L2316" s="647"/>
      <c r="M2316" s="723"/>
      <c r="N2316" s="576">
        <f t="shared" si="597"/>
        <v>0</v>
      </c>
      <c r="O2316" s="577">
        <f t="shared" si="610"/>
        <v>0</v>
      </c>
      <c r="P2316" s="578">
        <f t="shared" si="611"/>
        <v>0</v>
      </c>
      <c r="Q2316" s="765"/>
      <c r="R2316" s="723"/>
      <c r="S2316" s="723"/>
      <c r="T2316" s="577">
        <f t="shared" si="608"/>
        <v>0</v>
      </c>
      <c r="U2316" s="578">
        <f t="shared" si="609"/>
        <v>0</v>
      </c>
      <c r="V2316" s="579"/>
      <c r="W2316" s="566" t="str">
        <f>IF(U2312&gt;0,"xx",IF(P2312&gt;0,"xy",""))</f>
        <v/>
      </c>
      <c r="X2316" s="586" t="str">
        <f t="shared" si="601"/>
        <v/>
      </c>
      <c r="Y2316" s="586" t="str">
        <f t="shared" si="612"/>
        <v/>
      </c>
      <c r="Z2316" s="586" t="str">
        <f t="shared" si="602"/>
        <v/>
      </c>
    </row>
    <row r="2317" spans="1:26" ht="12" hidden="1" thickBot="1" x14ac:dyDescent="0.25">
      <c r="A2317" s="567" t="s">
        <v>168</v>
      </c>
      <c r="B2317" s="644" t="s">
        <v>168</v>
      </c>
      <c r="C2317" s="645"/>
      <c r="D2317" s="422" t="s">
        <v>401</v>
      </c>
      <c r="E2317" s="423"/>
      <c r="F2317" s="424">
        <v>500</v>
      </c>
      <c r="G2317" s="425">
        <f>VLOOKUP(D2312,'[2]ENSAIOS DE ORÇAMENTO'!$C$3:$L$79,10,FALSE)</f>
        <v>5.6851199999999992E-3</v>
      </c>
      <c r="H2317" s="649">
        <f>IF(F2317&lt;=30,(0.78*F2317+7.82)*G2317,((0.78*30+7.82)+0.78*(F2317-30))*G2317)</f>
        <v>2.2616544383999999</v>
      </c>
      <c r="I2317" s="420"/>
      <c r="J2317" s="420"/>
      <c r="K2317" s="421">
        <f t="shared" si="607"/>
        <v>0</v>
      </c>
      <c r="L2317" s="647"/>
      <c r="M2317" s="723"/>
      <c r="N2317" s="576">
        <f t="shared" si="597"/>
        <v>0</v>
      </c>
      <c r="O2317" s="577">
        <f t="shared" si="610"/>
        <v>0</v>
      </c>
      <c r="P2317" s="578">
        <f t="shared" si="611"/>
        <v>0</v>
      </c>
      <c r="Q2317" s="765"/>
      <c r="R2317" s="723"/>
      <c r="S2317" s="723"/>
      <c r="T2317" s="577">
        <f t="shared" si="608"/>
        <v>0</v>
      </c>
      <c r="U2317" s="578">
        <f t="shared" si="609"/>
        <v>0</v>
      </c>
      <c r="V2317" s="579"/>
      <c r="W2317" s="566" t="str">
        <f>IF(U2312&gt;0,"xx",IF(P2312&gt;0,"xy",""))</f>
        <v/>
      </c>
      <c r="X2317" s="586" t="str">
        <f t="shared" si="601"/>
        <v/>
      </c>
      <c r="Y2317" s="586" t="str">
        <f t="shared" si="612"/>
        <v/>
      </c>
      <c r="Z2317" s="586" t="str">
        <f t="shared" si="602"/>
        <v/>
      </c>
    </row>
    <row r="2318" spans="1:26" ht="12" hidden="1" thickBot="1" x14ac:dyDescent="0.25">
      <c r="A2318" s="567" t="s">
        <v>36</v>
      </c>
      <c r="B2318" s="644" t="s">
        <v>36</v>
      </c>
      <c r="C2318" s="645" t="s">
        <v>206</v>
      </c>
      <c r="D2318" s="422" t="s">
        <v>100</v>
      </c>
      <c r="E2318" s="423"/>
      <c r="F2318" s="424"/>
      <c r="G2318" s="425"/>
      <c r="H2318" s="651">
        <f>SUM(H2319:H2323)</f>
        <v>185.66531998528004</v>
      </c>
      <c r="I2318" s="420">
        <f>VLOOKUP(D2318,'[2]ENSAIOS DE ORÇAMENTO'!$C$3:$L$79,8,FALSE)</f>
        <v>672.43252495999991</v>
      </c>
      <c r="J2318" s="420">
        <f>IF(ISBLANK(I2318),"",SUM(H2318:I2318))</f>
        <v>858.09784494527992</v>
      </c>
      <c r="K2318" s="421">
        <f t="shared" si="607"/>
        <v>1019.51</v>
      </c>
      <c r="L2318" s="647" t="s">
        <v>21</v>
      </c>
      <c r="M2318" s="576"/>
      <c r="N2318" s="576">
        <f t="shared" si="597"/>
        <v>0</v>
      </c>
      <c r="O2318" s="577">
        <f t="shared" si="610"/>
        <v>0</v>
      </c>
      <c r="P2318" s="578">
        <f t="shared" si="611"/>
        <v>0</v>
      </c>
      <c r="Q2318" s="765"/>
      <c r="R2318" s="576">
        <f>M2318</f>
        <v>0</v>
      </c>
      <c r="S2318" s="576">
        <f>N2318</f>
        <v>0</v>
      </c>
      <c r="T2318" s="577">
        <f t="shared" si="608"/>
        <v>0</v>
      </c>
      <c r="U2318" s="578">
        <f t="shared" si="609"/>
        <v>0</v>
      </c>
      <c r="V2318" s="579"/>
      <c r="W2318" s="566"/>
      <c r="X2318" s="586" t="str">
        <f t="shared" si="601"/>
        <v/>
      </c>
      <c r="Y2318" s="586" t="str">
        <f t="shared" si="612"/>
        <v/>
      </c>
      <c r="Z2318" s="586" t="str">
        <f t="shared" si="602"/>
        <v/>
      </c>
    </row>
    <row r="2319" spans="1:26" ht="12" hidden="1" thickBot="1" x14ac:dyDescent="0.25">
      <c r="A2319" s="567" t="s">
        <v>168</v>
      </c>
      <c r="B2319" s="644" t="s">
        <v>168</v>
      </c>
      <c r="C2319" s="645"/>
      <c r="D2319" s="422" t="s">
        <v>212</v>
      </c>
      <c r="E2319" s="423"/>
      <c r="F2319" s="424">
        <v>500</v>
      </c>
      <c r="G2319" s="425">
        <f>VLOOKUP(D2318,'[2]ENSAIOS DE ORÇAMENTO'!$C$3:$L$79,4,FALSE)</f>
        <v>0.14735024000000002</v>
      </c>
      <c r="H2319" s="649">
        <f>IF(F2319&lt;=30,(0.78*F2319+7.82)*G2319,((0.78*30+7.82)+0.78*(F2319-30))*G2319)</f>
        <v>58.618872476800014</v>
      </c>
      <c r="I2319" s="420"/>
      <c r="J2319" s="420"/>
      <c r="K2319" s="421">
        <f t="shared" si="607"/>
        <v>0</v>
      </c>
      <c r="L2319" s="647"/>
      <c r="M2319" s="723"/>
      <c r="N2319" s="576">
        <f t="shared" si="597"/>
        <v>0</v>
      </c>
      <c r="O2319" s="577">
        <f t="shared" si="610"/>
        <v>0</v>
      </c>
      <c r="P2319" s="578">
        <f t="shared" si="611"/>
        <v>0</v>
      </c>
      <c r="Q2319" s="765"/>
      <c r="R2319" s="723"/>
      <c r="S2319" s="723"/>
      <c r="T2319" s="577">
        <f t="shared" si="608"/>
        <v>0</v>
      </c>
      <c r="U2319" s="578">
        <f t="shared" si="609"/>
        <v>0</v>
      </c>
      <c r="V2319" s="579"/>
      <c r="W2319" s="566" t="str">
        <f>IF(U2318&gt;0,"xx",IF(P2318&gt;0,"xy",""))</f>
        <v/>
      </c>
      <c r="X2319" s="586" t="str">
        <f t="shared" si="601"/>
        <v/>
      </c>
      <c r="Y2319" s="586" t="str">
        <f t="shared" si="612"/>
        <v/>
      </c>
      <c r="Z2319" s="586" t="str">
        <f t="shared" si="602"/>
        <v/>
      </c>
    </row>
    <row r="2320" spans="1:26" ht="12" hidden="1" thickBot="1" x14ac:dyDescent="0.25">
      <c r="A2320" s="567" t="s">
        <v>168</v>
      </c>
      <c r="B2320" s="644" t="s">
        <v>168</v>
      </c>
      <c r="C2320" s="645"/>
      <c r="D2320" s="422" t="s">
        <v>248</v>
      </c>
      <c r="E2320" s="423"/>
      <c r="F2320" s="424">
        <v>180</v>
      </c>
      <c r="G2320" s="425">
        <f>VLOOKUP(D2318,'[2]ENSAIOS DE ORÇAMENTO'!$C$3:$L$79,5,FALSE)</f>
        <v>0.52819569600000005</v>
      </c>
      <c r="H2320" s="663">
        <f t="shared" ref="H2320:H2322" si="615">IF(F2320&lt;=30,(1.07*F2320+2.68)*G2320,((1.07*30+2.68)+1.07*(F2320-30))*G2320)</f>
        <v>103.14605551488</v>
      </c>
      <c r="I2320" s="420"/>
      <c r="J2320" s="420"/>
      <c r="K2320" s="421">
        <f t="shared" si="607"/>
        <v>0</v>
      </c>
      <c r="L2320" s="647"/>
      <c r="M2320" s="723"/>
      <c r="N2320" s="576">
        <f t="shared" si="597"/>
        <v>0</v>
      </c>
      <c r="O2320" s="577">
        <f t="shared" si="610"/>
        <v>0</v>
      </c>
      <c r="P2320" s="578">
        <f t="shared" si="611"/>
        <v>0</v>
      </c>
      <c r="Q2320" s="765"/>
      <c r="R2320" s="723"/>
      <c r="S2320" s="723"/>
      <c r="T2320" s="577">
        <f t="shared" si="608"/>
        <v>0</v>
      </c>
      <c r="U2320" s="578">
        <f t="shared" si="609"/>
        <v>0</v>
      </c>
      <c r="V2320" s="579"/>
      <c r="W2320" s="566" t="str">
        <f>IF(U2318&gt;0,"xx",IF(P2318&gt;0,"xy",""))</f>
        <v/>
      </c>
      <c r="X2320" s="586" t="str">
        <f t="shared" si="601"/>
        <v/>
      </c>
      <c r="Y2320" s="586" t="str">
        <f t="shared" si="612"/>
        <v/>
      </c>
      <c r="Z2320" s="586" t="str">
        <f t="shared" si="602"/>
        <v/>
      </c>
    </row>
    <row r="2321" spans="1:26" ht="12" hidden="1" thickBot="1" x14ac:dyDescent="0.25">
      <c r="A2321" s="567" t="s">
        <v>168</v>
      </c>
      <c r="B2321" s="644" t="s">
        <v>168</v>
      </c>
      <c r="C2321" s="645"/>
      <c r="D2321" s="422" t="s">
        <v>252</v>
      </c>
      <c r="E2321" s="423"/>
      <c r="F2321" s="424">
        <v>20</v>
      </c>
      <c r="G2321" s="425">
        <f>VLOOKUP(D2318,'[2]ENSAIOS DE ORÇAMENTO'!$C$3:$L$79,6,FALSE)</f>
        <v>0.43353936000000004</v>
      </c>
      <c r="H2321" s="663">
        <f t="shared" si="615"/>
        <v>10.439627788800001</v>
      </c>
      <c r="I2321" s="420"/>
      <c r="J2321" s="420"/>
      <c r="K2321" s="421">
        <f t="shared" si="607"/>
        <v>0</v>
      </c>
      <c r="L2321" s="647"/>
      <c r="M2321" s="723"/>
      <c r="N2321" s="576">
        <f t="shared" si="597"/>
        <v>0</v>
      </c>
      <c r="O2321" s="577">
        <f t="shared" si="610"/>
        <v>0</v>
      </c>
      <c r="P2321" s="578">
        <f t="shared" si="611"/>
        <v>0</v>
      </c>
      <c r="Q2321" s="765"/>
      <c r="R2321" s="723"/>
      <c r="S2321" s="723"/>
      <c r="T2321" s="577">
        <f t="shared" si="608"/>
        <v>0</v>
      </c>
      <c r="U2321" s="578">
        <f t="shared" si="609"/>
        <v>0</v>
      </c>
      <c r="V2321" s="579"/>
      <c r="W2321" s="566" t="str">
        <f>IF(U2318&gt;0,"xx",IF(P2318&gt;0,"xy",""))</f>
        <v/>
      </c>
      <c r="X2321" s="586" t="str">
        <f t="shared" si="601"/>
        <v/>
      </c>
      <c r="Y2321" s="586" t="str">
        <f t="shared" si="612"/>
        <v/>
      </c>
      <c r="Z2321" s="586" t="str">
        <f t="shared" si="602"/>
        <v/>
      </c>
    </row>
    <row r="2322" spans="1:26" ht="12" hidden="1" thickBot="1" x14ac:dyDescent="0.25">
      <c r="A2322" s="567" t="s">
        <v>168</v>
      </c>
      <c r="B2322" s="644" t="s">
        <v>168</v>
      </c>
      <c r="C2322" s="645"/>
      <c r="D2322" s="422" t="s">
        <v>400</v>
      </c>
      <c r="E2322" s="423"/>
      <c r="F2322" s="424">
        <v>30</v>
      </c>
      <c r="G2322" s="425">
        <f>VLOOKUP(D2318,'[2]ENSAIOS DE ORÇAMENTO'!$C$3:$L$79,3,FALSE)</f>
        <v>0.28019519999999998</v>
      </c>
      <c r="H2322" s="663">
        <f t="shared" si="615"/>
        <v>9.7451890559999992</v>
      </c>
      <c r="I2322" s="420"/>
      <c r="J2322" s="420"/>
      <c r="K2322" s="421">
        <f t="shared" si="607"/>
        <v>0</v>
      </c>
      <c r="L2322" s="647"/>
      <c r="M2322" s="723"/>
      <c r="N2322" s="576">
        <f t="shared" si="597"/>
        <v>0</v>
      </c>
      <c r="O2322" s="577">
        <f t="shared" si="610"/>
        <v>0</v>
      </c>
      <c r="P2322" s="578">
        <f t="shared" si="611"/>
        <v>0</v>
      </c>
      <c r="Q2322" s="765"/>
      <c r="R2322" s="723"/>
      <c r="S2322" s="723"/>
      <c r="T2322" s="577">
        <f t="shared" si="608"/>
        <v>0</v>
      </c>
      <c r="U2322" s="578">
        <f t="shared" si="609"/>
        <v>0</v>
      </c>
      <c r="V2322" s="579"/>
      <c r="W2322" s="566" t="str">
        <f>IF(U2318&gt;0,"xx",IF(P2318&gt;0,"xy",""))</f>
        <v/>
      </c>
      <c r="X2322" s="586" t="str">
        <f t="shared" si="601"/>
        <v/>
      </c>
      <c r="Y2322" s="586" t="str">
        <f t="shared" si="612"/>
        <v/>
      </c>
      <c r="Z2322" s="586" t="str">
        <f t="shared" si="602"/>
        <v/>
      </c>
    </row>
    <row r="2323" spans="1:26" ht="12" hidden="1" thickBot="1" x14ac:dyDescent="0.25">
      <c r="A2323" s="567" t="s">
        <v>168</v>
      </c>
      <c r="B2323" s="644" t="s">
        <v>168</v>
      </c>
      <c r="C2323" s="645"/>
      <c r="D2323" s="422" t="s">
        <v>401</v>
      </c>
      <c r="E2323" s="423"/>
      <c r="F2323" s="424">
        <v>500</v>
      </c>
      <c r="G2323" s="425">
        <f>VLOOKUP(D2318,'[2]ENSAIOS DE ORÇAMENTO'!$C$3:$L$79,10,FALSE)</f>
        <v>9.3398400000000003E-3</v>
      </c>
      <c r="H2323" s="649">
        <f>IF(F2323&lt;=30,(0.78*F2323+7.82)*G2323,((0.78*30+7.82)+0.78*(F2323-30))*G2323)</f>
        <v>3.7155751488000006</v>
      </c>
      <c r="I2323" s="420"/>
      <c r="J2323" s="420"/>
      <c r="K2323" s="421">
        <f t="shared" si="607"/>
        <v>0</v>
      </c>
      <c r="L2323" s="647"/>
      <c r="M2323" s="723"/>
      <c r="N2323" s="576">
        <f t="shared" si="597"/>
        <v>0</v>
      </c>
      <c r="O2323" s="577">
        <f t="shared" si="610"/>
        <v>0</v>
      </c>
      <c r="P2323" s="578">
        <f t="shared" si="611"/>
        <v>0</v>
      </c>
      <c r="Q2323" s="765"/>
      <c r="R2323" s="723"/>
      <c r="S2323" s="723"/>
      <c r="T2323" s="577">
        <f t="shared" si="608"/>
        <v>0</v>
      </c>
      <c r="U2323" s="578">
        <f t="shared" si="609"/>
        <v>0</v>
      </c>
      <c r="V2323" s="579"/>
      <c r="W2323" s="566" t="str">
        <f>IF(U2318&gt;0,"xx",IF(P2318&gt;0,"xy",""))</f>
        <v/>
      </c>
      <c r="X2323" s="586" t="str">
        <f t="shared" si="601"/>
        <v/>
      </c>
      <c r="Y2323" s="586" t="str">
        <f t="shared" si="612"/>
        <v/>
      </c>
      <c r="Z2323" s="586" t="str">
        <f t="shared" si="602"/>
        <v/>
      </c>
    </row>
    <row r="2324" spans="1:26" ht="12" hidden="1" thickBot="1" x14ac:dyDescent="0.25">
      <c r="A2324" s="567" t="s">
        <v>37</v>
      </c>
      <c r="B2324" s="644" t="s">
        <v>37</v>
      </c>
      <c r="C2324" s="645" t="s">
        <v>206</v>
      </c>
      <c r="D2324" s="422" t="s">
        <v>73</v>
      </c>
      <c r="E2324" s="423"/>
      <c r="F2324" s="424"/>
      <c r="G2324" s="425"/>
      <c r="H2324" s="651">
        <f>SUM(H2325:H2329)</f>
        <v>338.40781276928004</v>
      </c>
      <c r="I2324" s="420">
        <f>VLOOKUP(D2324,'[2]ENSAIOS DE ORÇAMENTO'!$C$3:$L$79,8,FALSE)</f>
        <v>1254.8365582933334</v>
      </c>
      <c r="J2324" s="420">
        <f>IF(ISBLANK(I2324),"",SUM(H2324:I2324))</f>
        <v>1593.2443710626135</v>
      </c>
      <c r="K2324" s="421">
        <f t="shared" si="607"/>
        <v>1892.93</v>
      </c>
      <c r="L2324" s="647" t="s">
        <v>21</v>
      </c>
      <c r="M2324" s="576"/>
      <c r="N2324" s="576">
        <f t="shared" ref="N2324:N2387" si="616">IF(M2324=0,0,K2324)</f>
        <v>0</v>
      </c>
      <c r="O2324" s="577">
        <f t="shared" si="610"/>
        <v>0</v>
      </c>
      <c r="P2324" s="578">
        <f t="shared" si="611"/>
        <v>0</v>
      </c>
      <c r="Q2324" s="765"/>
      <c r="R2324" s="576">
        <f>M2324</f>
        <v>0</v>
      </c>
      <c r="S2324" s="576">
        <f>N2324</f>
        <v>0</v>
      </c>
      <c r="T2324" s="577">
        <f t="shared" si="608"/>
        <v>0</v>
      </c>
      <c r="U2324" s="578">
        <f t="shared" si="609"/>
        <v>0</v>
      </c>
      <c r="V2324" s="579"/>
      <c r="W2324" s="566"/>
      <c r="X2324" s="586" t="str">
        <f t="shared" si="601"/>
        <v/>
      </c>
      <c r="Y2324" s="586" t="str">
        <f t="shared" si="612"/>
        <v/>
      </c>
      <c r="Z2324" s="586" t="str">
        <f t="shared" si="602"/>
        <v/>
      </c>
    </row>
    <row r="2325" spans="1:26" ht="12" hidden="1" thickBot="1" x14ac:dyDescent="0.25">
      <c r="A2325" s="567" t="s">
        <v>168</v>
      </c>
      <c r="B2325" s="644" t="s">
        <v>168</v>
      </c>
      <c r="C2325" s="645"/>
      <c r="D2325" s="422" t="s">
        <v>212</v>
      </c>
      <c r="E2325" s="423"/>
      <c r="F2325" s="424">
        <v>500</v>
      </c>
      <c r="G2325" s="425">
        <f>VLOOKUP(D2324,'[2]ENSAIOS DE ORÇAMENTO'!$C$3:$L$79,4,FALSE)</f>
        <v>0.25613760000000002</v>
      </c>
      <c r="H2325" s="649">
        <f>IF(F2325&lt;=30,(0.78*F2325+7.82)*G2325,((0.78*30+7.82)+0.78*(F2325-30))*G2325)</f>
        <v>101.89666003200003</v>
      </c>
      <c r="I2325" s="420"/>
      <c r="J2325" s="420"/>
      <c r="K2325" s="421">
        <f t="shared" si="607"/>
        <v>0</v>
      </c>
      <c r="L2325" s="647"/>
      <c r="M2325" s="723"/>
      <c r="N2325" s="576">
        <f t="shared" si="616"/>
        <v>0</v>
      </c>
      <c r="O2325" s="577">
        <f t="shared" si="610"/>
        <v>0</v>
      </c>
      <c r="P2325" s="578">
        <f t="shared" si="611"/>
        <v>0</v>
      </c>
      <c r="Q2325" s="765"/>
      <c r="R2325" s="723"/>
      <c r="S2325" s="723"/>
      <c r="T2325" s="577">
        <f t="shared" si="608"/>
        <v>0</v>
      </c>
      <c r="U2325" s="578">
        <f t="shared" si="609"/>
        <v>0</v>
      </c>
      <c r="V2325" s="579"/>
      <c r="W2325" s="566" t="str">
        <f>IF(U2324&gt;0,"xx",IF(P2324&gt;0,"xy",""))</f>
        <v/>
      </c>
      <c r="X2325" s="586" t="str">
        <f t="shared" si="601"/>
        <v/>
      </c>
      <c r="Y2325" s="586" t="str">
        <f t="shared" si="612"/>
        <v/>
      </c>
      <c r="Z2325" s="586" t="str">
        <f t="shared" si="602"/>
        <v/>
      </c>
    </row>
    <row r="2326" spans="1:26" ht="12" hidden="1" thickBot="1" x14ac:dyDescent="0.25">
      <c r="A2326" s="567" t="s">
        <v>168</v>
      </c>
      <c r="B2326" s="644" t="s">
        <v>168</v>
      </c>
      <c r="C2326" s="645"/>
      <c r="D2326" s="422" t="s">
        <v>248</v>
      </c>
      <c r="E2326" s="423"/>
      <c r="F2326" s="424">
        <v>180</v>
      </c>
      <c r="G2326" s="425">
        <f>VLOOKUP(D2324,'[2]ENSAIOS DE ORÇAMENTO'!$C$3:$L$79,5,FALSE)</f>
        <v>0.95694329600000005</v>
      </c>
      <c r="H2326" s="663">
        <f t="shared" ref="H2326:H2328" si="617">IF(F2326&lt;=30,(1.07*F2326+2.68)*G2326,((1.07*30+2.68)+1.07*(F2326-30))*G2326)</f>
        <v>186.87188684288</v>
      </c>
      <c r="I2326" s="420"/>
      <c r="J2326" s="420"/>
      <c r="K2326" s="421">
        <f t="shared" si="607"/>
        <v>0</v>
      </c>
      <c r="L2326" s="647"/>
      <c r="M2326" s="723"/>
      <c r="N2326" s="576">
        <f t="shared" si="616"/>
        <v>0</v>
      </c>
      <c r="O2326" s="577">
        <f t="shared" si="610"/>
        <v>0</v>
      </c>
      <c r="P2326" s="578">
        <f t="shared" si="611"/>
        <v>0</v>
      </c>
      <c r="Q2326" s="765"/>
      <c r="R2326" s="723"/>
      <c r="S2326" s="723"/>
      <c r="T2326" s="577">
        <f t="shared" si="608"/>
        <v>0</v>
      </c>
      <c r="U2326" s="578">
        <f t="shared" si="609"/>
        <v>0</v>
      </c>
      <c r="V2326" s="579"/>
      <c r="W2326" s="566" t="str">
        <f>IF(U2324&gt;0,"xx",IF(P2324&gt;0,"xy",""))</f>
        <v/>
      </c>
      <c r="X2326" s="586" t="str">
        <f t="shared" si="601"/>
        <v/>
      </c>
      <c r="Y2326" s="586" t="str">
        <f t="shared" si="612"/>
        <v/>
      </c>
      <c r="Z2326" s="586" t="str">
        <f t="shared" si="602"/>
        <v/>
      </c>
    </row>
    <row r="2327" spans="1:26" ht="12" hidden="1" thickBot="1" x14ac:dyDescent="0.25">
      <c r="A2327" s="567" t="s">
        <v>168</v>
      </c>
      <c r="B2327" s="644" t="s">
        <v>168</v>
      </c>
      <c r="C2327" s="645"/>
      <c r="D2327" s="422" t="s">
        <v>252</v>
      </c>
      <c r="E2327" s="423"/>
      <c r="F2327" s="424">
        <v>20</v>
      </c>
      <c r="G2327" s="425">
        <f>VLOOKUP(D2324,'[2]ENSAIOS DE ORÇAMENTO'!$C$3:$L$79,6,FALSE)</f>
        <v>0.70038336000000012</v>
      </c>
      <c r="H2327" s="663">
        <f t="shared" si="617"/>
        <v>16.865231308800006</v>
      </c>
      <c r="I2327" s="420"/>
      <c r="J2327" s="420"/>
      <c r="K2327" s="421">
        <f t="shared" si="607"/>
        <v>0</v>
      </c>
      <c r="L2327" s="647"/>
      <c r="M2327" s="723"/>
      <c r="N2327" s="576">
        <f t="shared" si="616"/>
        <v>0</v>
      </c>
      <c r="O2327" s="577">
        <f t="shared" si="610"/>
        <v>0</v>
      </c>
      <c r="P2327" s="578">
        <f t="shared" si="611"/>
        <v>0</v>
      </c>
      <c r="Q2327" s="765"/>
      <c r="R2327" s="723"/>
      <c r="S2327" s="723"/>
      <c r="T2327" s="577">
        <f t="shared" si="608"/>
        <v>0</v>
      </c>
      <c r="U2327" s="578">
        <f t="shared" si="609"/>
        <v>0</v>
      </c>
      <c r="V2327" s="579"/>
      <c r="W2327" s="566" t="str">
        <f>IF(U2324&gt;0,"xx",IF(P2324&gt;0,"xy",""))</f>
        <v/>
      </c>
      <c r="X2327" s="586" t="str">
        <f t="shared" si="601"/>
        <v/>
      </c>
      <c r="Y2327" s="586" t="str">
        <f t="shared" si="612"/>
        <v/>
      </c>
      <c r="Z2327" s="586" t="str">
        <f t="shared" si="602"/>
        <v/>
      </c>
    </row>
    <row r="2328" spans="1:26" ht="12" hidden="1" thickBot="1" x14ac:dyDescent="0.25">
      <c r="A2328" s="567" t="s">
        <v>168</v>
      </c>
      <c r="B2328" s="644" t="s">
        <v>168</v>
      </c>
      <c r="C2328" s="645"/>
      <c r="D2328" s="422" t="s">
        <v>400</v>
      </c>
      <c r="E2328" s="423"/>
      <c r="F2328" s="424">
        <v>30</v>
      </c>
      <c r="G2328" s="425">
        <f>VLOOKUP(D2324,'[2]ENSAIOS DE ORÇAMENTO'!$C$3:$L$79,3,FALSE)</f>
        <v>0.6822144</v>
      </c>
      <c r="H2328" s="663">
        <f t="shared" si="617"/>
        <v>23.727416831999999</v>
      </c>
      <c r="I2328" s="420"/>
      <c r="J2328" s="420"/>
      <c r="K2328" s="421">
        <f t="shared" si="607"/>
        <v>0</v>
      </c>
      <c r="L2328" s="647"/>
      <c r="M2328" s="723"/>
      <c r="N2328" s="576">
        <f t="shared" si="616"/>
        <v>0</v>
      </c>
      <c r="O2328" s="577">
        <f t="shared" si="610"/>
        <v>0</v>
      </c>
      <c r="P2328" s="578">
        <f t="shared" si="611"/>
        <v>0</v>
      </c>
      <c r="Q2328" s="765"/>
      <c r="R2328" s="723"/>
      <c r="S2328" s="723"/>
      <c r="T2328" s="577">
        <f t="shared" si="608"/>
        <v>0</v>
      </c>
      <c r="U2328" s="578">
        <f t="shared" si="609"/>
        <v>0</v>
      </c>
      <c r="V2328" s="579"/>
      <c r="W2328" s="566" t="str">
        <f>IF(U2324&gt;0,"xx",IF(P2324&gt;0,"xy",""))</f>
        <v/>
      </c>
      <c r="X2328" s="586" t="str">
        <f t="shared" si="601"/>
        <v/>
      </c>
      <c r="Y2328" s="586" t="str">
        <f t="shared" si="612"/>
        <v/>
      </c>
      <c r="Z2328" s="586" t="str">
        <f t="shared" si="602"/>
        <v/>
      </c>
    </row>
    <row r="2329" spans="1:26" ht="12" hidden="1" thickBot="1" x14ac:dyDescent="0.25">
      <c r="A2329" s="567" t="s">
        <v>168</v>
      </c>
      <c r="B2329" s="644" t="s">
        <v>168</v>
      </c>
      <c r="C2329" s="645"/>
      <c r="D2329" s="422" t="s">
        <v>401</v>
      </c>
      <c r="E2329" s="423"/>
      <c r="F2329" s="424">
        <v>500</v>
      </c>
      <c r="G2329" s="425">
        <f>VLOOKUP(D2324,'[2]ENSAIOS DE ORÇAMENTO'!$C$3:$L$79,10,FALSE)</f>
        <v>2.274048E-2</v>
      </c>
      <c r="H2329" s="649">
        <f>IF(F2329&lt;=30,(0.78*F2329+7.82)*G2329,((0.78*30+7.82)+0.78*(F2329-30))*G2329)</f>
        <v>9.0466177536000014</v>
      </c>
      <c r="I2329" s="420"/>
      <c r="J2329" s="420"/>
      <c r="K2329" s="421">
        <f t="shared" si="607"/>
        <v>0</v>
      </c>
      <c r="L2329" s="647"/>
      <c r="M2329" s="723"/>
      <c r="N2329" s="576">
        <f t="shared" si="616"/>
        <v>0</v>
      </c>
      <c r="O2329" s="577">
        <f t="shared" si="610"/>
        <v>0</v>
      </c>
      <c r="P2329" s="578">
        <f t="shared" si="611"/>
        <v>0</v>
      </c>
      <c r="Q2329" s="765"/>
      <c r="R2329" s="723"/>
      <c r="S2329" s="723"/>
      <c r="T2329" s="577">
        <f t="shared" si="608"/>
        <v>0</v>
      </c>
      <c r="U2329" s="578">
        <f t="shared" si="609"/>
        <v>0</v>
      </c>
      <c r="V2329" s="579"/>
      <c r="W2329" s="566" t="str">
        <f>IF(U2324&gt;0,"xx",IF(P2324&gt;0,"xy",""))</f>
        <v/>
      </c>
      <c r="X2329" s="586" t="str">
        <f t="shared" si="601"/>
        <v/>
      </c>
      <c r="Y2329" s="586" t="str">
        <f t="shared" si="612"/>
        <v/>
      </c>
      <c r="Z2329" s="586" t="str">
        <f t="shared" si="602"/>
        <v/>
      </c>
    </row>
    <row r="2330" spans="1:26" ht="12" hidden="1" thickBot="1" x14ac:dyDescent="0.25">
      <c r="A2330" s="567" t="s">
        <v>38</v>
      </c>
      <c r="B2330" s="644" t="s">
        <v>38</v>
      </c>
      <c r="C2330" s="645" t="s">
        <v>206</v>
      </c>
      <c r="D2330" s="422" t="s">
        <v>74</v>
      </c>
      <c r="E2330" s="423"/>
      <c r="F2330" s="424"/>
      <c r="G2330" s="425"/>
      <c r="H2330" s="651">
        <f>SUM(H2331:H2335)</f>
        <v>442.79062149376</v>
      </c>
      <c r="I2330" s="420">
        <f>VLOOKUP(D2330,'[2]ENSAIOS DE ORÇAMENTO'!$C$3:$L$79,8,FALSE)</f>
        <v>1636.8346789866664</v>
      </c>
      <c r="J2330" s="420">
        <f>IF(ISBLANK(I2330),"",SUM(H2330:I2330))</f>
        <v>2079.6253004804266</v>
      </c>
      <c r="K2330" s="421">
        <f t="shared" si="607"/>
        <v>2470.8000000000002</v>
      </c>
      <c r="L2330" s="647" t="s">
        <v>21</v>
      </c>
      <c r="M2330" s="576"/>
      <c r="N2330" s="576">
        <f t="shared" si="616"/>
        <v>0</v>
      </c>
      <c r="O2330" s="577">
        <f t="shared" si="610"/>
        <v>0</v>
      </c>
      <c r="P2330" s="578">
        <f t="shared" si="611"/>
        <v>0</v>
      </c>
      <c r="Q2330" s="765"/>
      <c r="R2330" s="576">
        <f>M2330</f>
        <v>0</v>
      </c>
      <c r="S2330" s="576">
        <f>N2330</f>
        <v>0</v>
      </c>
      <c r="T2330" s="577">
        <f t="shared" si="608"/>
        <v>0</v>
      </c>
      <c r="U2330" s="578">
        <f t="shared" si="609"/>
        <v>0</v>
      </c>
      <c r="V2330" s="579"/>
      <c r="W2330" s="566"/>
      <c r="X2330" s="586" t="str">
        <f t="shared" si="601"/>
        <v/>
      </c>
      <c r="Y2330" s="586" t="str">
        <f t="shared" si="612"/>
        <v/>
      </c>
      <c r="Z2330" s="586" t="str">
        <f t="shared" si="602"/>
        <v/>
      </c>
    </row>
    <row r="2331" spans="1:26" ht="12" hidden="1" thickBot="1" x14ac:dyDescent="0.25">
      <c r="A2331" s="567" t="s">
        <v>168</v>
      </c>
      <c r="B2331" s="644" t="s">
        <v>168</v>
      </c>
      <c r="C2331" s="645"/>
      <c r="D2331" s="422" t="s">
        <v>212</v>
      </c>
      <c r="E2331" s="423"/>
      <c r="F2331" s="424">
        <v>500</v>
      </c>
      <c r="G2331" s="425">
        <f>VLOOKUP(D2330,'[2]ENSAIOS DE ORÇAMENTO'!$C$3:$L$79,4,FALSE)</f>
        <v>0.33109503999999995</v>
      </c>
      <c r="H2331" s="649">
        <f>IF(F2331&lt;=30,(0.78*F2331+7.82)*G2331,((0.78*30+7.82)+0.78*(F2331-30))*G2331)</f>
        <v>131.71622881280001</v>
      </c>
      <c r="I2331" s="420"/>
      <c r="J2331" s="420"/>
      <c r="K2331" s="421">
        <f t="shared" si="607"/>
        <v>0</v>
      </c>
      <c r="L2331" s="647"/>
      <c r="M2331" s="723"/>
      <c r="N2331" s="576">
        <f t="shared" si="616"/>
        <v>0</v>
      </c>
      <c r="O2331" s="577">
        <f t="shared" si="610"/>
        <v>0</v>
      </c>
      <c r="P2331" s="578">
        <f t="shared" si="611"/>
        <v>0</v>
      </c>
      <c r="Q2331" s="765"/>
      <c r="R2331" s="723"/>
      <c r="S2331" s="723"/>
      <c r="T2331" s="577">
        <f t="shared" si="608"/>
        <v>0</v>
      </c>
      <c r="U2331" s="578">
        <f t="shared" si="609"/>
        <v>0</v>
      </c>
      <c r="V2331" s="579"/>
      <c r="W2331" s="566" t="str">
        <f>IF(U2330&gt;0,"xx",IF(P2330&gt;0,"xy",""))</f>
        <v/>
      </c>
      <c r="X2331" s="586" t="str">
        <f t="shared" si="601"/>
        <v/>
      </c>
      <c r="Y2331" s="586" t="str">
        <f t="shared" si="612"/>
        <v/>
      </c>
      <c r="Z2331" s="586" t="str">
        <f t="shared" si="602"/>
        <v/>
      </c>
    </row>
    <row r="2332" spans="1:26" ht="12" hidden="1" thickBot="1" x14ac:dyDescent="0.25">
      <c r="A2332" s="567" t="s">
        <v>168</v>
      </c>
      <c r="B2332" s="644" t="s">
        <v>168</v>
      </c>
      <c r="C2332" s="645"/>
      <c r="D2332" s="422" t="s">
        <v>248</v>
      </c>
      <c r="E2332" s="423"/>
      <c r="F2332" s="424">
        <v>180</v>
      </c>
      <c r="G2332" s="425">
        <f>VLOOKUP(D2330,'[2]ENSAIOS DE ORÇAMENTO'!$C$3:$L$79,5,FALSE)</f>
        <v>1.2541824319999999</v>
      </c>
      <c r="H2332" s="663">
        <f t="shared" ref="H2332:H2334" si="618">IF(F2332&lt;=30,(1.07*F2332+2.68)*G2332,((1.07*30+2.68)+1.07*(F2332-30))*G2332)</f>
        <v>244.91674532095999</v>
      </c>
      <c r="I2332" s="420"/>
      <c r="J2332" s="420"/>
      <c r="K2332" s="421">
        <f t="shared" si="607"/>
        <v>0</v>
      </c>
      <c r="L2332" s="647"/>
      <c r="M2332" s="723"/>
      <c r="N2332" s="576">
        <f t="shared" si="616"/>
        <v>0</v>
      </c>
      <c r="O2332" s="577">
        <f t="shared" si="610"/>
        <v>0</v>
      </c>
      <c r="P2332" s="578">
        <f t="shared" si="611"/>
        <v>0</v>
      </c>
      <c r="Q2332" s="765"/>
      <c r="R2332" s="723"/>
      <c r="S2332" s="723"/>
      <c r="T2332" s="577">
        <f t="shared" si="608"/>
        <v>0</v>
      </c>
      <c r="U2332" s="578">
        <f t="shared" si="609"/>
        <v>0</v>
      </c>
      <c r="V2332" s="579"/>
      <c r="W2332" s="566" t="str">
        <f>IF(U2330&gt;0,"xx",IF(P2330&gt;0,"xy",""))</f>
        <v/>
      </c>
      <c r="X2332" s="586" t="str">
        <f t="shared" si="601"/>
        <v/>
      </c>
      <c r="Y2332" s="586" t="str">
        <f t="shared" si="612"/>
        <v/>
      </c>
      <c r="Z2332" s="586" t="str">
        <f t="shared" si="602"/>
        <v/>
      </c>
    </row>
    <row r="2333" spans="1:26" ht="12" hidden="1" thickBot="1" x14ac:dyDescent="0.25">
      <c r="A2333" s="567" t="s">
        <v>168</v>
      </c>
      <c r="B2333" s="644" t="s">
        <v>168</v>
      </c>
      <c r="C2333" s="645"/>
      <c r="D2333" s="422" t="s">
        <v>252</v>
      </c>
      <c r="E2333" s="423"/>
      <c r="F2333" s="424">
        <v>20</v>
      </c>
      <c r="G2333" s="425">
        <f>VLOOKUP(D2330,'[2]ENSAIOS DE ORÇAMENTO'!$C$3:$L$79,6,FALSE)</f>
        <v>0.89487311999999997</v>
      </c>
      <c r="H2333" s="663">
        <f t="shared" si="618"/>
        <v>21.5485447296</v>
      </c>
      <c r="I2333" s="420"/>
      <c r="J2333" s="420"/>
      <c r="K2333" s="421">
        <f t="shared" si="607"/>
        <v>0</v>
      </c>
      <c r="L2333" s="647"/>
      <c r="M2333" s="723"/>
      <c r="N2333" s="576">
        <f t="shared" si="616"/>
        <v>0</v>
      </c>
      <c r="O2333" s="577">
        <f t="shared" si="610"/>
        <v>0</v>
      </c>
      <c r="P2333" s="578">
        <f t="shared" si="611"/>
        <v>0</v>
      </c>
      <c r="Q2333" s="765"/>
      <c r="R2333" s="723"/>
      <c r="S2333" s="723"/>
      <c r="T2333" s="577">
        <f t="shared" si="608"/>
        <v>0</v>
      </c>
      <c r="U2333" s="578">
        <f t="shared" si="609"/>
        <v>0</v>
      </c>
      <c r="V2333" s="579"/>
      <c r="W2333" s="566" t="str">
        <f>IF(U2330&gt;0,"xx",IF(P2330&gt;0,"xy",""))</f>
        <v/>
      </c>
      <c r="X2333" s="586" t="str">
        <f t="shared" si="601"/>
        <v/>
      </c>
      <c r="Y2333" s="586" t="str">
        <f t="shared" si="612"/>
        <v/>
      </c>
      <c r="Z2333" s="586" t="str">
        <f t="shared" si="602"/>
        <v/>
      </c>
    </row>
    <row r="2334" spans="1:26" ht="12" hidden="1" thickBot="1" x14ac:dyDescent="0.25">
      <c r="A2334" s="567" t="s">
        <v>168</v>
      </c>
      <c r="B2334" s="644" t="s">
        <v>168</v>
      </c>
      <c r="C2334" s="645"/>
      <c r="D2334" s="422" t="s">
        <v>400</v>
      </c>
      <c r="E2334" s="423"/>
      <c r="F2334" s="424">
        <v>30</v>
      </c>
      <c r="G2334" s="425">
        <f>VLOOKUP(D2330,'[2]ENSAIOS DE ORÇAMENTO'!$C$3:$L$79,3,FALSE)</f>
        <v>0.92856959999999988</v>
      </c>
      <c r="H2334" s="663">
        <f t="shared" si="618"/>
        <v>32.295650687999995</v>
      </c>
      <c r="I2334" s="420"/>
      <c r="J2334" s="420"/>
      <c r="K2334" s="421">
        <f t="shared" si="607"/>
        <v>0</v>
      </c>
      <c r="L2334" s="647"/>
      <c r="M2334" s="723"/>
      <c r="N2334" s="576">
        <f t="shared" si="616"/>
        <v>0</v>
      </c>
      <c r="O2334" s="577">
        <f t="shared" si="610"/>
        <v>0</v>
      </c>
      <c r="P2334" s="578">
        <f t="shared" si="611"/>
        <v>0</v>
      </c>
      <c r="Q2334" s="765"/>
      <c r="R2334" s="723"/>
      <c r="S2334" s="723"/>
      <c r="T2334" s="577">
        <f t="shared" si="608"/>
        <v>0</v>
      </c>
      <c r="U2334" s="578">
        <f t="shared" si="609"/>
        <v>0</v>
      </c>
      <c r="V2334" s="579"/>
      <c r="W2334" s="566" t="str">
        <f>IF(U2330&gt;0,"xx",IF(P2330&gt;0,"xy",""))</f>
        <v/>
      </c>
      <c r="X2334" s="586" t="str">
        <f t="shared" si="601"/>
        <v/>
      </c>
      <c r="Y2334" s="586" t="str">
        <f t="shared" si="612"/>
        <v/>
      </c>
      <c r="Z2334" s="586" t="str">
        <f t="shared" si="602"/>
        <v/>
      </c>
    </row>
    <row r="2335" spans="1:26" ht="12" hidden="1" thickBot="1" x14ac:dyDescent="0.25">
      <c r="A2335" s="567" t="s">
        <v>168</v>
      </c>
      <c r="B2335" s="644" t="s">
        <v>168</v>
      </c>
      <c r="C2335" s="645"/>
      <c r="D2335" s="422" t="s">
        <v>401</v>
      </c>
      <c r="E2335" s="423"/>
      <c r="F2335" s="424">
        <v>500</v>
      </c>
      <c r="G2335" s="425">
        <f>VLOOKUP(D2330,'[2]ENSAIOS DE ORÇAMENTO'!$C$3:$L$79,10,FALSE)</f>
        <v>3.0952319999999998E-2</v>
      </c>
      <c r="H2335" s="649">
        <f>IF(F2335&lt;=30,(0.78*F2335+7.82)*G2335,((0.78*30+7.82)+0.78*(F2335-30))*G2335)</f>
        <v>12.3134519424</v>
      </c>
      <c r="I2335" s="420"/>
      <c r="J2335" s="420"/>
      <c r="K2335" s="421">
        <f t="shared" si="607"/>
        <v>0</v>
      </c>
      <c r="L2335" s="647"/>
      <c r="M2335" s="723"/>
      <c r="N2335" s="576">
        <f t="shared" si="616"/>
        <v>0</v>
      </c>
      <c r="O2335" s="577">
        <f t="shared" si="610"/>
        <v>0</v>
      </c>
      <c r="P2335" s="578">
        <f t="shared" si="611"/>
        <v>0</v>
      </c>
      <c r="Q2335" s="765"/>
      <c r="R2335" s="723"/>
      <c r="S2335" s="723"/>
      <c r="T2335" s="577">
        <f t="shared" si="608"/>
        <v>0</v>
      </c>
      <c r="U2335" s="578">
        <f t="shared" si="609"/>
        <v>0</v>
      </c>
      <c r="V2335" s="579"/>
      <c r="W2335" s="566" t="str">
        <f>IF(U2330&gt;0,"xx",IF(P2330&gt;0,"xy",""))</f>
        <v/>
      </c>
      <c r="X2335" s="586" t="str">
        <f t="shared" si="601"/>
        <v/>
      </c>
      <c r="Y2335" s="586" t="str">
        <f t="shared" si="612"/>
        <v/>
      </c>
      <c r="Z2335" s="586" t="str">
        <f t="shared" si="602"/>
        <v/>
      </c>
    </row>
    <row r="2336" spans="1:26" ht="12" hidden="1" thickBot="1" x14ac:dyDescent="0.25">
      <c r="A2336" s="567" t="s">
        <v>39</v>
      </c>
      <c r="B2336" s="644" t="s">
        <v>39</v>
      </c>
      <c r="C2336" s="645" t="s">
        <v>206</v>
      </c>
      <c r="D2336" s="422" t="s">
        <v>75</v>
      </c>
      <c r="E2336" s="423"/>
      <c r="F2336" s="424"/>
      <c r="G2336" s="425"/>
      <c r="H2336" s="651">
        <f>SUM(H2337:H2341)</f>
        <v>611.13990876224</v>
      </c>
      <c r="I2336" s="420">
        <f>VLOOKUP(D2336,'[2]ENSAIOS DE ORÇAMENTO'!$C$3:$L$79,8,FALSE)</f>
        <v>2254.8232410133337</v>
      </c>
      <c r="J2336" s="420">
        <f>IF(ISBLANK(I2336),"",SUM(H2336:I2336))</f>
        <v>2865.9631497755736</v>
      </c>
      <c r="K2336" s="421">
        <f t="shared" si="607"/>
        <v>3405.05</v>
      </c>
      <c r="L2336" s="647" t="s">
        <v>21</v>
      </c>
      <c r="M2336" s="576"/>
      <c r="N2336" s="576">
        <f t="shared" si="616"/>
        <v>0</v>
      </c>
      <c r="O2336" s="577">
        <f t="shared" si="610"/>
        <v>0</v>
      </c>
      <c r="P2336" s="578">
        <f t="shared" si="611"/>
        <v>0</v>
      </c>
      <c r="Q2336" s="765"/>
      <c r="R2336" s="576">
        <f>M2336</f>
        <v>0</v>
      </c>
      <c r="S2336" s="576">
        <f>N2336</f>
        <v>0</v>
      </c>
      <c r="T2336" s="577">
        <f t="shared" si="608"/>
        <v>0</v>
      </c>
      <c r="U2336" s="578">
        <f t="shared" si="609"/>
        <v>0</v>
      </c>
      <c r="V2336" s="579"/>
      <c r="W2336" s="566"/>
      <c r="X2336" s="586" t="str">
        <f t="shared" si="601"/>
        <v/>
      </c>
      <c r="Y2336" s="586" t="str">
        <f t="shared" si="612"/>
        <v/>
      </c>
      <c r="Z2336" s="586" t="str">
        <f t="shared" si="602"/>
        <v/>
      </c>
    </row>
    <row r="2337" spans="1:26" ht="12" hidden="1" thickBot="1" x14ac:dyDescent="0.25">
      <c r="A2337" s="567" t="s">
        <v>168</v>
      </c>
      <c r="B2337" s="644" t="s">
        <v>168</v>
      </c>
      <c r="C2337" s="645"/>
      <c r="D2337" s="422" t="s">
        <v>212</v>
      </c>
      <c r="E2337" s="423"/>
      <c r="F2337" s="424">
        <v>500</v>
      </c>
      <c r="G2337" s="425">
        <f>VLOOKUP(D2336,'[2]ENSAIOS DE ORÇAMENTO'!$C$3:$L$79,4,FALSE)</f>
        <v>0.45250179200000007</v>
      </c>
      <c r="H2337" s="649">
        <f>IF(F2337&lt;=30,(0.78*F2337+7.82)*G2337,((0.78*30+7.82)+0.78*(F2337-30))*G2337)</f>
        <v>180.01426289344005</v>
      </c>
      <c r="I2337" s="420"/>
      <c r="J2337" s="420"/>
      <c r="K2337" s="421">
        <f t="shared" si="607"/>
        <v>0</v>
      </c>
      <c r="L2337" s="647"/>
      <c r="M2337" s="723"/>
      <c r="N2337" s="576">
        <f t="shared" si="616"/>
        <v>0</v>
      </c>
      <c r="O2337" s="577">
        <f t="shared" si="610"/>
        <v>0</v>
      </c>
      <c r="P2337" s="578">
        <f t="shared" si="611"/>
        <v>0</v>
      </c>
      <c r="Q2337" s="765"/>
      <c r="R2337" s="723"/>
      <c r="S2337" s="723"/>
      <c r="T2337" s="577">
        <f t="shared" si="608"/>
        <v>0</v>
      </c>
      <c r="U2337" s="578">
        <f t="shared" si="609"/>
        <v>0</v>
      </c>
      <c r="V2337" s="579"/>
      <c r="W2337" s="566" t="str">
        <f>IF(U2336&gt;0,"xx",IF(P2336&gt;0,"xy",""))</f>
        <v/>
      </c>
      <c r="X2337" s="586" t="str">
        <f t="shared" si="601"/>
        <v/>
      </c>
      <c r="Y2337" s="586" t="str">
        <f t="shared" si="612"/>
        <v/>
      </c>
      <c r="Z2337" s="586" t="str">
        <f t="shared" si="602"/>
        <v/>
      </c>
    </row>
    <row r="2338" spans="1:26" ht="12" hidden="1" thickBot="1" x14ac:dyDescent="0.25">
      <c r="A2338" s="567" t="s">
        <v>168</v>
      </c>
      <c r="B2338" s="644" t="s">
        <v>168</v>
      </c>
      <c r="C2338" s="645"/>
      <c r="D2338" s="422" t="s">
        <v>248</v>
      </c>
      <c r="E2338" s="423"/>
      <c r="F2338" s="424">
        <v>180</v>
      </c>
      <c r="G2338" s="425">
        <f>VLOOKUP(D2336,'[2]ENSAIOS DE ORÇAMENTO'!$C$3:$L$79,5,FALSE)</f>
        <v>1.7334338080000002</v>
      </c>
      <c r="H2338" s="663">
        <f t="shared" ref="H2338:H2340" si="619">IF(F2338&lt;=30,(1.07*F2338+2.68)*G2338,((1.07*30+2.68)+1.07*(F2338-30))*G2338)</f>
        <v>338.50495402624006</v>
      </c>
      <c r="I2338" s="420"/>
      <c r="J2338" s="420"/>
      <c r="K2338" s="421">
        <f t="shared" si="607"/>
        <v>0</v>
      </c>
      <c r="L2338" s="647"/>
      <c r="M2338" s="723"/>
      <c r="N2338" s="576">
        <f t="shared" si="616"/>
        <v>0</v>
      </c>
      <c r="O2338" s="577">
        <f t="shared" si="610"/>
        <v>0</v>
      </c>
      <c r="P2338" s="578">
        <f t="shared" si="611"/>
        <v>0</v>
      </c>
      <c r="Q2338" s="765"/>
      <c r="R2338" s="723"/>
      <c r="S2338" s="723"/>
      <c r="T2338" s="577">
        <f t="shared" si="608"/>
        <v>0</v>
      </c>
      <c r="U2338" s="578">
        <f t="shared" si="609"/>
        <v>0</v>
      </c>
      <c r="V2338" s="579"/>
      <c r="W2338" s="566" t="str">
        <f>IF(U2336&gt;0,"xx",IF(P2336&gt;0,"xy",""))</f>
        <v/>
      </c>
      <c r="X2338" s="586" t="str">
        <f t="shared" si="601"/>
        <v/>
      </c>
      <c r="Y2338" s="586" t="str">
        <f t="shared" si="612"/>
        <v/>
      </c>
      <c r="Z2338" s="586" t="str">
        <f t="shared" si="602"/>
        <v/>
      </c>
    </row>
    <row r="2339" spans="1:26" ht="12" hidden="1" thickBot="1" x14ac:dyDescent="0.25">
      <c r="A2339" s="567" t="s">
        <v>168</v>
      </c>
      <c r="B2339" s="644" t="s">
        <v>168</v>
      </c>
      <c r="C2339" s="645"/>
      <c r="D2339" s="422" t="s">
        <v>252</v>
      </c>
      <c r="E2339" s="423"/>
      <c r="F2339" s="424">
        <v>20</v>
      </c>
      <c r="G2339" s="425">
        <f>VLOOKUP(D2336,'[2]ENSAIOS DE ORÇAMENTO'!$C$3:$L$79,6,FALSE)</f>
        <v>1.2150148800000002</v>
      </c>
      <c r="H2339" s="663">
        <f t="shared" si="619"/>
        <v>29.257558310400007</v>
      </c>
      <c r="I2339" s="420"/>
      <c r="J2339" s="420"/>
      <c r="K2339" s="421">
        <f t="shared" si="607"/>
        <v>0</v>
      </c>
      <c r="L2339" s="647"/>
      <c r="M2339" s="723"/>
      <c r="N2339" s="576">
        <f t="shared" si="616"/>
        <v>0</v>
      </c>
      <c r="O2339" s="577">
        <f t="shared" si="610"/>
        <v>0</v>
      </c>
      <c r="P2339" s="578">
        <f t="shared" si="611"/>
        <v>0</v>
      </c>
      <c r="Q2339" s="765"/>
      <c r="R2339" s="723"/>
      <c r="S2339" s="723"/>
      <c r="T2339" s="577">
        <f t="shared" si="608"/>
        <v>0</v>
      </c>
      <c r="U2339" s="578">
        <f t="shared" si="609"/>
        <v>0</v>
      </c>
      <c r="V2339" s="579"/>
      <c r="W2339" s="566" t="str">
        <f>IF(U2336&gt;0,"xx",IF(P2336&gt;0,"xy",""))</f>
        <v/>
      </c>
      <c r="X2339" s="586" t="str">
        <f t="shared" si="601"/>
        <v/>
      </c>
      <c r="Y2339" s="586" t="str">
        <f t="shared" si="612"/>
        <v/>
      </c>
      <c r="Z2339" s="586" t="str">
        <f t="shared" si="602"/>
        <v/>
      </c>
    </row>
    <row r="2340" spans="1:26" ht="12" hidden="1" thickBot="1" x14ac:dyDescent="0.25">
      <c r="A2340" s="567" t="s">
        <v>168</v>
      </c>
      <c r="B2340" s="644" t="s">
        <v>168</v>
      </c>
      <c r="C2340" s="645"/>
      <c r="D2340" s="422" t="s">
        <v>400</v>
      </c>
      <c r="E2340" s="423"/>
      <c r="F2340" s="424">
        <v>30</v>
      </c>
      <c r="G2340" s="425">
        <f>VLOOKUP(D2336,'[2]ENSAIOS DE ORÇAMENTO'!$C$3:$L$79,3,FALSE)</f>
        <v>1.3189478400000001</v>
      </c>
      <c r="H2340" s="663">
        <f t="shared" si="619"/>
        <v>45.873005875200008</v>
      </c>
      <c r="I2340" s="420"/>
      <c r="J2340" s="420"/>
      <c r="K2340" s="421">
        <f t="shared" si="607"/>
        <v>0</v>
      </c>
      <c r="L2340" s="647"/>
      <c r="M2340" s="723"/>
      <c r="N2340" s="576">
        <f t="shared" si="616"/>
        <v>0</v>
      </c>
      <c r="O2340" s="577">
        <f t="shared" si="610"/>
        <v>0</v>
      </c>
      <c r="P2340" s="578">
        <f t="shared" si="611"/>
        <v>0</v>
      </c>
      <c r="Q2340" s="765"/>
      <c r="R2340" s="723"/>
      <c r="S2340" s="723"/>
      <c r="T2340" s="577">
        <f t="shared" si="608"/>
        <v>0</v>
      </c>
      <c r="U2340" s="578">
        <f t="shared" si="609"/>
        <v>0</v>
      </c>
      <c r="V2340" s="579"/>
      <c r="W2340" s="566" t="str">
        <f>IF(U2336&gt;0,"xx",IF(P2336&gt;0,"xy",""))</f>
        <v/>
      </c>
      <c r="X2340" s="586" t="str">
        <f t="shared" si="601"/>
        <v/>
      </c>
      <c r="Y2340" s="586" t="str">
        <f t="shared" si="612"/>
        <v/>
      </c>
      <c r="Z2340" s="586" t="str">
        <f t="shared" si="602"/>
        <v/>
      </c>
    </row>
    <row r="2341" spans="1:26" ht="12" hidden="1" thickBot="1" x14ac:dyDescent="0.25">
      <c r="A2341" s="567" t="s">
        <v>168</v>
      </c>
      <c r="B2341" s="644" t="s">
        <v>168</v>
      </c>
      <c r="C2341" s="645"/>
      <c r="D2341" s="422" t="s">
        <v>401</v>
      </c>
      <c r="E2341" s="423"/>
      <c r="F2341" s="424">
        <v>500</v>
      </c>
      <c r="G2341" s="425">
        <f>VLOOKUP(D2336,'[2]ENSAIOS DE ORÇAMENTO'!$C$3:$L$79,10,FALSE)</f>
        <v>4.3964928000000007E-2</v>
      </c>
      <c r="H2341" s="649">
        <f>IF(F2341&lt;=30,(0.78*F2341+7.82)*G2341,((0.78*30+7.82)+0.78*(F2341-30))*G2341)</f>
        <v>17.490127656960006</v>
      </c>
      <c r="I2341" s="420"/>
      <c r="J2341" s="420"/>
      <c r="K2341" s="421">
        <f t="shared" si="607"/>
        <v>0</v>
      </c>
      <c r="L2341" s="647"/>
      <c r="M2341" s="723"/>
      <c r="N2341" s="576">
        <f t="shared" si="616"/>
        <v>0</v>
      </c>
      <c r="O2341" s="577">
        <f t="shared" si="610"/>
        <v>0</v>
      </c>
      <c r="P2341" s="578">
        <f t="shared" si="611"/>
        <v>0</v>
      </c>
      <c r="Q2341" s="765"/>
      <c r="R2341" s="723"/>
      <c r="S2341" s="723"/>
      <c r="T2341" s="577">
        <f t="shared" si="608"/>
        <v>0</v>
      </c>
      <c r="U2341" s="578">
        <f t="shared" si="609"/>
        <v>0</v>
      </c>
      <c r="V2341" s="579"/>
      <c r="W2341" s="566" t="str">
        <f>IF(U2336&gt;0,"xx",IF(P2336&gt;0,"xy",""))</f>
        <v/>
      </c>
      <c r="X2341" s="586" t="str">
        <f t="shared" si="601"/>
        <v/>
      </c>
      <c r="Y2341" s="586" t="str">
        <f t="shared" si="612"/>
        <v/>
      </c>
      <c r="Z2341" s="586" t="str">
        <f t="shared" si="602"/>
        <v/>
      </c>
    </row>
    <row r="2342" spans="1:26" ht="12" hidden="1" thickBot="1" x14ac:dyDescent="0.25">
      <c r="A2342" s="567" t="s">
        <v>126</v>
      </c>
      <c r="B2342" s="644" t="s">
        <v>126</v>
      </c>
      <c r="C2342" s="645" t="s">
        <v>206</v>
      </c>
      <c r="D2342" s="422" t="s">
        <v>410</v>
      </c>
      <c r="E2342" s="423"/>
      <c r="F2342" s="424"/>
      <c r="G2342" s="425"/>
      <c r="H2342" s="651">
        <f>SUM(H2343:H2347)</f>
        <v>142.4370791808</v>
      </c>
      <c r="I2342" s="420">
        <f>VLOOKUP(D2342,'[2]ENSAIOS DE ORÇAMENTO'!$C$3:$L$79,8,FALSE)</f>
        <v>429.51122421333332</v>
      </c>
      <c r="J2342" s="420">
        <f>IF(ISBLANK(I2342),"",SUM(H2342:I2342))</f>
        <v>571.94830339413329</v>
      </c>
      <c r="K2342" s="421">
        <f t="shared" si="607"/>
        <v>679.53</v>
      </c>
      <c r="L2342" s="647" t="s">
        <v>21</v>
      </c>
      <c r="M2342" s="576"/>
      <c r="N2342" s="576">
        <f t="shared" si="616"/>
        <v>0</v>
      </c>
      <c r="O2342" s="577">
        <f t="shared" si="610"/>
        <v>0</v>
      </c>
      <c r="P2342" s="578">
        <f t="shared" si="611"/>
        <v>0</v>
      </c>
      <c r="Q2342" s="765"/>
      <c r="R2342" s="576">
        <f>M2342</f>
        <v>0</v>
      </c>
      <c r="S2342" s="576">
        <f>N2342</f>
        <v>0</v>
      </c>
      <c r="T2342" s="577">
        <f t="shared" si="608"/>
        <v>0</v>
      </c>
      <c r="U2342" s="578">
        <f t="shared" si="609"/>
        <v>0</v>
      </c>
      <c r="V2342" s="579"/>
      <c r="W2342" s="566"/>
      <c r="X2342" s="586" t="str">
        <f t="shared" si="601"/>
        <v/>
      </c>
      <c r="Y2342" s="586" t="str">
        <f t="shared" si="612"/>
        <v/>
      </c>
      <c r="Z2342" s="586" t="str">
        <f t="shared" si="602"/>
        <v/>
      </c>
    </row>
    <row r="2343" spans="1:26" ht="12" hidden="1" thickBot="1" x14ac:dyDescent="0.25">
      <c r="A2343" s="567" t="s">
        <v>168</v>
      </c>
      <c r="B2343" s="644" t="s">
        <v>168</v>
      </c>
      <c r="C2343" s="645"/>
      <c r="D2343" s="422" t="s">
        <v>212</v>
      </c>
      <c r="E2343" s="423"/>
      <c r="F2343" s="424">
        <v>500</v>
      </c>
      <c r="G2343" s="425">
        <f>VLOOKUP(D2342,'[2]ENSAIOS DE ORÇAMENTO'!$C$3:$L$79,4,FALSE)</f>
        <v>0.1320288</v>
      </c>
      <c r="H2343" s="649">
        <f>IF(F2343&lt;=30,(0.78*F2343+7.82)*G2343,((0.78*30+7.82)+0.78*(F2343-30))*G2343)</f>
        <v>52.523697216000009</v>
      </c>
      <c r="I2343" s="420"/>
      <c r="J2343" s="420"/>
      <c r="K2343" s="421">
        <f t="shared" si="607"/>
        <v>0</v>
      </c>
      <c r="L2343" s="647"/>
      <c r="M2343" s="723"/>
      <c r="N2343" s="576">
        <f t="shared" si="616"/>
        <v>0</v>
      </c>
      <c r="O2343" s="577">
        <f t="shared" si="610"/>
        <v>0</v>
      </c>
      <c r="P2343" s="578">
        <f t="shared" si="611"/>
        <v>0</v>
      </c>
      <c r="Q2343" s="765"/>
      <c r="R2343" s="723"/>
      <c r="S2343" s="723"/>
      <c r="T2343" s="577">
        <f t="shared" si="608"/>
        <v>0</v>
      </c>
      <c r="U2343" s="578">
        <f t="shared" si="609"/>
        <v>0</v>
      </c>
      <c r="V2343" s="579"/>
      <c r="W2343" s="566" t="str">
        <f>IF(U2342&gt;0,"xx",IF(P2342&gt;0,"xy",""))</f>
        <v/>
      </c>
      <c r="X2343" s="586" t="str">
        <f t="shared" si="601"/>
        <v/>
      </c>
      <c r="Y2343" s="586" t="str">
        <f t="shared" si="612"/>
        <v/>
      </c>
      <c r="Z2343" s="586" t="str">
        <f t="shared" si="602"/>
        <v/>
      </c>
    </row>
    <row r="2344" spans="1:26" ht="12" hidden="1" thickBot="1" x14ac:dyDescent="0.25">
      <c r="A2344" s="567" t="s">
        <v>168</v>
      </c>
      <c r="B2344" s="644" t="s">
        <v>168</v>
      </c>
      <c r="C2344" s="645"/>
      <c r="D2344" s="422" t="s">
        <v>248</v>
      </c>
      <c r="E2344" s="423"/>
      <c r="F2344" s="424">
        <v>180</v>
      </c>
      <c r="G2344" s="425">
        <f>VLOOKUP(D2342,'[2]ENSAIOS DE ORÇAMENTO'!$C$3:$L$79,5,FALSE)</f>
        <v>0.40193856</v>
      </c>
      <c r="H2344" s="663">
        <f t="shared" ref="H2344:H2346" si="620">IF(F2344&lt;=30,(1.07*F2344+2.68)*G2344,((1.07*30+2.68)+1.07*(F2344-30))*G2344)</f>
        <v>78.490561996799997</v>
      </c>
      <c r="I2344" s="420"/>
      <c r="J2344" s="420"/>
      <c r="K2344" s="421">
        <f t="shared" si="607"/>
        <v>0</v>
      </c>
      <c r="L2344" s="647"/>
      <c r="M2344" s="723"/>
      <c r="N2344" s="576">
        <f t="shared" si="616"/>
        <v>0</v>
      </c>
      <c r="O2344" s="577">
        <f t="shared" si="610"/>
        <v>0</v>
      </c>
      <c r="P2344" s="578">
        <f t="shared" si="611"/>
        <v>0</v>
      </c>
      <c r="Q2344" s="765"/>
      <c r="R2344" s="723"/>
      <c r="S2344" s="723"/>
      <c r="T2344" s="577">
        <f t="shared" si="608"/>
        <v>0</v>
      </c>
      <c r="U2344" s="578">
        <f t="shared" si="609"/>
        <v>0</v>
      </c>
      <c r="V2344" s="579"/>
      <c r="W2344" s="566" t="str">
        <f>IF(U2342&gt;0,"xx",IF(P2342&gt;0,"xy",""))</f>
        <v/>
      </c>
      <c r="X2344" s="586" t="str">
        <f t="shared" si="601"/>
        <v/>
      </c>
      <c r="Y2344" s="586" t="str">
        <f t="shared" si="612"/>
        <v/>
      </c>
      <c r="Z2344" s="586" t="str">
        <f t="shared" ref="Z2344:Z2407" si="621">IF(W2344="X","x",IF(U2344&gt;0,"x",""))</f>
        <v/>
      </c>
    </row>
    <row r="2345" spans="1:26" ht="12" hidden="1" thickBot="1" x14ac:dyDescent="0.25">
      <c r="A2345" s="567" t="s">
        <v>168</v>
      </c>
      <c r="B2345" s="644" t="s">
        <v>168</v>
      </c>
      <c r="C2345" s="645"/>
      <c r="D2345" s="422" t="s">
        <v>252</v>
      </c>
      <c r="E2345" s="423"/>
      <c r="F2345" s="424">
        <v>20</v>
      </c>
      <c r="G2345" s="425">
        <f>VLOOKUP(D2342,'[2]ENSAIOS DE ORÇAMENTO'!$C$3:$L$79,6,FALSE)</f>
        <v>0.47436960000000006</v>
      </c>
      <c r="H2345" s="663">
        <f t="shared" si="620"/>
        <v>11.422819968000002</v>
      </c>
      <c r="I2345" s="420"/>
      <c r="J2345" s="420"/>
      <c r="K2345" s="421">
        <f t="shared" si="607"/>
        <v>0</v>
      </c>
      <c r="L2345" s="647"/>
      <c r="M2345" s="723"/>
      <c r="N2345" s="576">
        <f t="shared" si="616"/>
        <v>0</v>
      </c>
      <c r="O2345" s="577">
        <f t="shared" si="610"/>
        <v>0</v>
      </c>
      <c r="P2345" s="578">
        <f t="shared" si="611"/>
        <v>0</v>
      </c>
      <c r="Q2345" s="765"/>
      <c r="R2345" s="723"/>
      <c r="S2345" s="723"/>
      <c r="T2345" s="577">
        <f t="shared" si="608"/>
        <v>0</v>
      </c>
      <c r="U2345" s="578">
        <f t="shared" si="609"/>
        <v>0</v>
      </c>
      <c r="V2345" s="579"/>
      <c r="W2345" s="566" t="str">
        <f>IF(U2342&gt;0,"xx",IF(P2342&gt;0,"xy",""))</f>
        <v/>
      </c>
      <c r="X2345" s="586" t="str">
        <f t="shared" si="601"/>
        <v/>
      </c>
      <c r="Y2345" s="586" t="str">
        <f t="shared" si="612"/>
        <v/>
      </c>
      <c r="Z2345" s="586" t="str">
        <f t="shared" si="621"/>
        <v/>
      </c>
    </row>
    <row r="2346" spans="1:26" ht="12" hidden="1" thickBot="1" x14ac:dyDescent="0.25">
      <c r="A2346" s="567" t="s">
        <v>168</v>
      </c>
      <c r="B2346" s="644" t="s">
        <v>168</v>
      </c>
      <c r="C2346" s="645"/>
      <c r="D2346" s="422" t="s">
        <v>400</v>
      </c>
      <c r="E2346" s="423"/>
      <c r="F2346" s="424">
        <v>30</v>
      </c>
      <c r="G2346" s="425">
        <f>VLOOKUP(D2342,'[2]ENSAIOS DE ORÇAMENTO'!$C$3:$L$79,3,FALSE)</f>
        <v>0</v>
      </c>
      <c r="H2346" s="663">
        <f t="shared" si="620"/>
        <v>0</v>
      </c>
      <c r="I2346" s="420"/>
      <c r="J2346" s="420"/>
      <c r="K2346" s="421">
        <f t="shared" si="607"/>
        <v>0</v>
      </c>
      <c r="L2346" s="647"/>
      <c r="M2346" s="723"/>
      <c r="N2346" s="576">
        <f t="shared" si="616"/>
        <v>0</v>
      </c>
      <c r="O2346" s="577">
        <f t="shared" si="610"/>
        <v>0</v>
      </c>
      <c r="P2346" s="578">
        <f t="shared" si="611"/>
        <v>0</v>
      </c>
      <c r="Q2346" s="765"/>
      <c r="R2346" s="723"/>
      <c r="S2346" s="723"/>
      <c r="T2346" s="577">
        <f t="shared" si="608"/>
        <v>0</v>
      </c>
      <c r="U2346" s="578">
        <f t="shared" si="609"/>
        <v>0</v>
      </c>
      <c r="V2346" s="579"/>
      <c r="W2346" s="566" t="str">
        <f>IF(U2342&gt;0,"xx",IF(P2342&gt;0,"xy",""))</f>
        <v/>
      </c>
      <c r="X2346" s="586" t="str">
        <f t="shared" si="601"/>
        <v/>
      </c>
      <c r="Y2346" s="586" t="str">
        <f t="shared" si="612"/>
        <v/>
      </c>
      <c r="Z2346" s="586" t="str">
        <f t="shared" si="621"/>
        <v/>
      </c>
    </row>
    <row r="2347" spans="1:26" ht="12" hidden="1" thickBot="1" x14ac:dyDescent="0.25">
      <c r="A2347" s="567" t="s">
        <v>168</v>
      </c>
      <c r="B2347" s="644" t="s">
        <v>168</v>
      </c>
      <c r="C2347" s="645"/>
      <c r="D2347" s="422" t="s">
        <v>401</v>
      </c>
      <c r="E2347" s="423"/>
      <c r="F2347" s="424">
        <v>500</v>
      </c>
      <c r="G2347" s="425">
        <f>VLOOKUP(D2342,'[2]ENSAIOS DE ORÇAMENTO'!$C$3:$L$79,10,FALSE)</f>
        <v>0</v>
      </c>
      <c r="H2347" s="649">
        <f>IF(F2347&lt;=30,(0.78*F2347+7.82)*G2347,((0.78*30+7.82)+0.78*(F2347-30))*G2347)</f>
        <v>0</v>
      </c>
      <c r="I2347" s="420"/>
      <c r="J2347" s="420"/>
      <c r="K2347" s="421">
        <f t="shared" si="607"/>
        <v>0</v>
      </c>
      <c r="L2347" s="647"/>
      <c r="M2347" s="723"/>
      <c r="N2347" s="576">
        <f t="shared" si="616"/>
        <v>0</v>
      </c>
      <c r="O2347" s="577">
        <f t="shared" si="610"/>
        <v>0</v>
      </c>
      <c r="P2347" s="578">
        <f t="shared" si="611"/>
        <v>0</v>
      </c>
      <c r="Q2347" s="765"/>
      <c r="R2347" s="723"/>
      <c r="S2347" s="723"/>
      <c r="T2347" s="577">
        <f t="shared" si="608"/>
        <v>0</v>
      </c>
      <c r="U2347" s="578">
        <f t="shared" si="609"/>
        <v>0</v>
      </c>
      <c r="V2347" s="579"/>
      <c r="W2347" s="566" t="str">
        <f>IF(U2342&gt;0,"xx",IF(P2342&gt;0,"xy",""))</f>
        <v/>
      </c>
      <c r="X2347" s="586" t="str">
        <f t="shared" ref="X2347:X2410" si="622">IF(W2347="X","x",IF(W2347="xx","x",IF(W2347="xy","x",IF(W2347="y","x",IF(OR(P2347&gt;0,U2347&gt;0),"x","")))))</f>
        <v/>
      </c>
      <c r="Y2347" s="586" t="str">
        <f t="shared" si="612"/>
        <v/>
      </c>
      <c r="Z2347" s="586" t="str">
        <f t="shared" si="621"/>
        <v/>
      </c>
    </row>
    <row r="2348" spans="1:26" ht="12" hidden="1" thickBot="1" x14ac:dyDescent="0.25">
      <c r="A2348" s="567" t="s">
        <v>127</v>
      </c>
      <c r="B2348" s="644" t="s">
        <v>127</v>
      </c>
      <c r="C2348" s="645" t="s">
        <v>206</v>
      </c>
      <c r="D2348" s="422" t="s">
        <v>411</v>
      </c>
      <c r="E2348" s="423"/>
      <c r="F2348" s="424"/>
      <c r="G2348" s="425"/>
      <c r="H2348" s="651">
        <f>SUM(H2349:H2353)</f>
        <v>216.58095652680004</v>
      </c>
      <c r="I2348" s="420">
        <f>VLOOKUP(D2348,'[2]ENSAIOS DE ORÇAMENTO'!$C$3:$L$79,8,FALSE)</f>
        <v>657.68880203333333</v>
      </c>
      <c r="J2348" s="420">
        <f>IF(ISBLANK(I2348),"",SUM(H2348:I2348))</f>
        <v>874.26975856013337</v>
      </c>
      <c r="K2348" s="421">
        <f t="shared" si="607"/>
        <v>1038.72</v>
      </c>
      <c r="L2348" s="647" t="s">
        <v>21</v>
      </c>
      <c r="M2348" s="576"/>
      <c r="N2348" s="576">
        <f t="shared" si="616"/>
        <v>0</v>
      </c>
      <c r="O2348" s="577">
        <f t="shared" si="610"/>
        <v>0</v>
      </c>
      <c r="P2348" s="578">
        <f t="shared" si="611"/>
        <v>0</v>
      </c>
      <c r="Q2348" s="765"/>
      <c r="R2348" s="576">
        <f>M2348</f>
        <v>0</v>
      </c>
      <c r="S2348" s="576">
        <f>N2348</f>
        <v>0</v>
      </c>
      <c r="T2348" s="577">
        <f t="shared" si="608"/>
        <v>0</v>
      </c>
      <c r="U2348" s="578">
        <f t="shared" si="609"/>
        <v>0</v>
      </c>
      <c r="V2348" s="579"/>
      <c r="W2348" s="566"/>
      <c r="X2348" s="586" t="str">
        <f t="shared" si="622"/>
        <v/>
      </c>
      <c r="Y2348" s="586" t="str">
        <f t="shared" si="612"/>
        <v/>
      </c>
      <c r="Z2348" s="586" t="str">
        <f t="shared" si="621"/>
        <v/>
      </c>
    </row>
    <row r="2349" spans="1:26" ht="12" hidden="1" thickBot="1" x14ac:dyDescent="0.25">
      <c r="A2349" s="567" t="s">
        <v>168</v>
      </c>
      <c r="B2349" s="644" t="s">
        <v>168</v>
      </c>
      <c r="C2349" s="645"/>
      <c r="D2349" s="422" t="s">
        <v>212</v>
      </c>
      <c r="E2349" s="423"/>
      <c r="F2349" s="424">
        <v>500</v>
      </c>
      <c r="G2349" s="425">
        <f>VLOOKUP(D2348,'[2]ENSAIOS DE ORÇAMENTO'!$C$3:$L$79,4,FALSE)</f>
        <v>0.20444730000000003</v>
      </c>
      <c r="H2349" s="649">
        <f>IF(F2349&lt;=30,(0.78*F2349+7.82)*G2349,((0.78*30+7.82)+0.78*(F2349-30))*G2349)</f>
        <v>81.333224886000025</v>
      </c>
      <c r="I2349" s="420"/>
      <c r="J2349" s="420"/>
      <c r="K2349" s="421">
        <f t="shared" si="607"/>
        <v>0</v>
      </c>
      <c r="L2349" s="647"/>
      <c r="M2349" s="723"/>
      <c r="N2349" s="576">
        <f t="shared" si="616"/>
        <v>0</v>
      </c>
      <c r="O2349" s="577">
        <f t="shared" si="610"/>
        <v>0</v>
      </c>
      <c r="P2349" s="578">
        <f t="shared" si="611"/>
        <v>0</v>
      </c>
      <c r="Q2349" s="765"/>
      <c r="R2349" s="723"/>
      <c r="S2349" s="723"/>
      <c r="T2349" s="577">
        <f t="shared" si="608"/>
        <v>0</v>
      </c>
      <c r="U2349" s="578">
        <f t="shared" si="609"/>
        <v>0</v>
      </c>
      <c r="V2349" s="579"/>
      <c r="W2349" s="566" t="str">
        <f>IF(U2348&gt;0,"xx",IF(P2348&gt;0,"xy",""))</f>
        <v/>
      </c>
      <c r="X2349" s="586" t="str">
        <f t="shared" si="622"/>
        <v/>
      </c>
      <c r="Y2349" s="586" t="str">
        <f t="shared" si="612"/>
        <v/>
      </c>
      <c r="Z2349" s="586" t="str">
        <f t="shared" si="621"/>
        <v/>
      </c>
    </row>
    <row r="2350" spans="1:26" ht="12" hidden="1" thickBot="1" x14ac:dyDescent="0.25">
      <c r="A2350" s="567" t="s">
        <v>168</v>
      </c>
      <c r="B2350" s="644" t="s">
        <v>168</v>
      </c>
      <c r="C2350" s="645"/>
      <c r="D2350" s="422" t="s">
        <v>248</v>
      </c>
      <c r="E2350" s="423"/>
      <c r="F2350" s="424">
        <v>180</v>
      </c>
      <c r="G2350" s="425">
        <f>VLOOKUP(D2348,'[2]ENSAIOS DE ORÇAMENTO'!$C$3:$L$79,5,FALSE)</f>
        <v>0.60405201000000008</v>
      </c>
      <c r="H2350" s="663">
        <f t="shared" ref="H2350:H2352" si="623">IF(F2350&lt;=30,(1.07*F2350+2.68)*G2350,((1.07*30+2.68)+1.07*(F2350-30))*G2350)</f>
        <v>117.95927651280002</v>
      </c>
      <c r="I2350" s="420"/>
      <c r="J2350" s="420"/>
      <c r="K2350" s="421">
        <f t="shared" si="607"/>
        <v>0</v>
      </c>
      <c r="L2350" s="647"/>
      <c r="M2350" s="723"/>
      <c r="N2350" s="576">
        <f t="shared" si="616"/>
        <v>0</v>
      </c>
      <c r="O2350" s="577">
        <f t="shared" si="610"/>
        <v>0</v>
      </c>
      <c r="P2350" s="578">
        <f t="shared" si="611"/>
        <v>0</v>
      </c>
      <c r="Q2350" s="765"/>
      <c r="R2350" s="723"/>
      <c r="S2350" s="723"/>
      <c r="T2350" s="577">
        <f t="shared" si="608"/>
        <v>0</v>
      </c>
      <c r="U2350" s="578">
        <f t="shared" si="609"/>
        <v>0</v>
      </c>
      <c r="V2350" s="579"/>
      <c r="W2350" s="566" t="str">
        <f>IF(U2348&gt;0,"xx",IF(P2348&gt;0,"xy",""))</f>
        <v/>
      </c>
      <c r="X2350" s="586" t="str">
        <f t="shared" si="622"/>
        <v/>
      </c>
      <c r="Y2350" s="586" t="str">
        <f t="shared" si="612"/>
        <v/>
      </c>
      <c r="Z2350" s="586" t="str">
        <f t="shared" si="621"/>
        <v/>
      </c>
    </row>
    <row r="2351" spans="1:26" ht="12" hidden="1" thickBot="1" x14ac:dyDescent="0.25">
      <c r="A2351" s="567" t="s">
        <v>168</v>
      </c>
      <c r="B2351" s="644" t="s">
        <v>168</v>
      </c>
      <c r="C2351" s="645"/>
      <c r="D2351" s="422" t="s">
        <v>252</v>
      </c>
      <c r="E2351" s="423"/>
      <c r="F2351" s="424">
        <v>20</v>
      </c>
      <c r="G2351" s="425">
        <f>VLOOKUP(D2348,'[2]ENSAIOS DE ORÇAMENTO'!$C$3:$L$79,6,FALSE)</f>
        <v>0.71795910000000007</v>
      </c>
      <c r="H2351" s="663">
        <f t="shared" si="623"/>
        <v>17.288455128000003</v>
      </c>
      <c r="I2351" s="420"/>
      <c r="J2351" s="420"/>
      <c r="K2351" s="421">
        <f t="shared" si="607"/>
        <v>0</v>
      </c>
      <c r="L2351" s="647"/>
      <c r="M2351" s="723"/>
      <c r="N2351" s="576">
        <f t="shared" si="616"/>
        <v>0</v>
      </c>
      <c r="O2351" s="577">
        <f t="shared" si="610"/>
        <v>0</v>
      </c>
      <c r="P2351" s="578">
        <f t="shared" si="611"/>
        <v>0</v>
      </c>
      <c r="Q2351" s="765"/>
      <c r="R2351" s="723"/>
      <c r="S2351" s="723"/>
      <c r="T2351" s="577">
        <f t="shared" si="608"/>
        <v>0</v>
      </c>
      <c r="U2351" s="578">
        <f t="shared" si="609"/>
        <v>0</v>
      </c>
      <c r="V2351" s="579"/>
      <c r="W2351" s="566" t="str">
        <f>IF(U2348&gt;0,"xx",IF(P2348&gt;0,"xy",""))</f>
        <v/>
      </c>
      <c r="X2351" s="586" t="str">
        <f t="shared" si="622"/>
        <v/>
      </c>
      <c r="Y2351" s="586" t="str">
        <f t="shared" si="612"/>
        <v/>
      </c>
      <c r="Z2351" s="586" t="str">
        <f t="shared" si="621"/>
        <v/>
      </c>
    </row>
    <row r="2352" spans="1:26" ht="12" hidden="1" thickBot="1" x14ac:dyDescent="0.25">
      <c r="A2352" s="567" t="s">
        <v>168</v>
      </c>
      <c r="B2352" s="644" t="s">
        <v>168</v>
      </c>
      <c r="C2352" s="645"/>
      <c r="D2352" s="422" t="s">
        <v>400</v>
      </c>
      <c r="E2352" s="423"/>
      <c r="F2352" s="424">
        <v>30</v>
      </c>
      <c r="G2352" s="425">
        <f>VLOOKUP(D2348,'[2]ENSAIOS DE ORÇAMENTO'!$C$3:$L$79,3,FALSE)</f>
        <v>0</v>
      </c>
      <c r="H2352" s="663">
        <f t="shared" si="623"/>
        <v>0</v>
      </c>
      <c r="I2352" s="420"/>
      <c r="J2352" s="420"/>
      <c r="K2352" s="421">
        <f t="shared" si="607"/>
        <v>0</v>
      </c>
      <c r="L2352" s="647"/>
      <c r="M2352" s="723"/>
      <c r="N2352" s="576">
        <f t="shared" si="616"/>
        <v>0</v>
      </c>
      <c r="O2352" s="577">
        <f t="shared" si="610"/>
        <v>0</v>
      </c>
      <c r="P2352" s="578">
        <f t="shared" si="611"/>
        <v>0</v>
      </c>
      <c r="Q2352" s="765"/>
      <c r="R2352" s="723"/>
      <c r="S2352" s="723"/>
      <c r="T2352" s="577">
        <f t="shared" si="608"/>
        <v>0</v>
      </c>
      <c r="U2352" s="578">
        <f t="shared" si="609"/>
        <v>0</v>
      </c>
      <c r="V2352" s="579"/>
      <c r="W2352" s="566" t="str">
        <f>IF(U2348&gt;0,"xx",IF(P2348&gt;0,"xy",""))</f>
        <v/>
      </c>
      <c r="X2352" s="586" t="str">
        <f t="shared" si="622"/>
        <v/>
      </c>
      <c r="Y2352" s="586" t="str">
        <f t="shared" si="612"/>
        <v/>
      </c>
      <c r="Z2352" s="586" t="str">
        <f t="shared" si="621"/>
        <v/>
      </c>
    </row>
    <row r="2353" spans="1:26" ht="12" hidden="1" thickBot="1" x14ac:dyDescent="0.25">
      <c r="A2353" s="567" t="s">
        <v>168</v>
      </c>
      <c r="B2353" s="644" t="s">
        <v>168</v>
      </c>
      <c r="C2353" s="645"/>
      <c r="D2353" s="422" t="s">
        <v>401</v>
      </c>
      <c r="E2353" s="423"/>
      <c r="F2353" s="424">
        <v>500</v>
      </c>
      <c r="G2353" s="425">
        <f>VLOOKUP(D2348,'[2]ENSAIOS DE ORÇAMENTO'!$C$3:$L$79,10,FALSE)</f>
        <v>0</v>
      </c>
      <c r="H2353" s="649">
        <f>IF(F2353&lt;=30,(0.78*F2353+7.82)*G2353,((0.78*30+7.82)+0.78*(F2353-30))*G2353)</f>
        <v>0</v>
      </c>
      <c r="I2353" s="420"/>
      <c r="J2353" s="420"/>
      <c r="K2353" s="421">
        <f t="shared" si="607"/>
        <v>0</v>
      </c>
      <c r="L2353" s="647"/>
      <c r="M2353" s="723"/>
      <c r="N2353" s="576">
        <f t="shared" si="616"/>
        <v>0</v>
      </c>
      <c r="O2353" s="577">
        <f t="shared" si="610"/>
        <v>0</v>
      </c>
      <c r="P2353" s="578">
        <f t="shared" si="611"/>
        <v>0</v>
      </c>
      <c r="Q2353" s="765"/>
      <c r="R2353" s="723"/>
      <c r="S2353" s="723"/>
      <c r="T2353" s="577">
        <f t="shared" si="608"/>
        <v>0</v>
      </c>
      <c r="U2353" s="578">
        <f t="shared" si="609"/>
        <v>0</v>
      </c>
      <c r="V2353" s="579"/>
      <c r="W2353" s="566" t="str">
        <f>IF(U2348&gt;0,"xx",IF(P2348&gt;0,"xy",""))</f>
        <v/>
      </c>
      <c r="X2353" s="586" t="str">
        <f t="shared" si="622"/>
        <v/>
      </c>
      <c r="Y2353" s="586" t="str">
        <f t="shared" si="612"/>
        <v/>
      </c>
      <c r="Z2353" s="586" t="str">
        <f t="shared" si="621"/>
        <v/>
      </c>
    </row>
    <row r="2354" spans="1:26" ht="12" hidden="1" thickBot="1" x14ac:dyDescent="0.25">
      <c r="A2354" s="567" t="s">
        <v>128</v>
      </c>
      <c r="B2354" s="644" t="s">
        <v>128</v>
      </c>
      <c r="C2354" s="645" t="s">
        <v>206</v>
      </c>
      <c r="D2354" s="422" t="s">
        <v>412</v>
      </c>
      <c r="E2354" s="423"/>
      <c r="F2354" s="424"/>
      <c r="G2354" s="425"/>
      <c r="H2354" s="651">
        <f>SUM(H2355:H2359)</f>
        <v>402.09418051819995</v>
      </c>
      <c r="I2354" s="420">
        <f>VLOOKUP(D2354,'[2]ENSAIOS DE ORÇAMENTO'!$C$3:$L$79,8,FALSE)</f>
        <v>1151.1882539166666</v>
      </c>
      <c r="J2354" s="420">
        <f>IF(ISBLANK(I2354),"",SUM(H2354:I2354))</f>
        <v>1553.2824344348664</v>
      </c>
      <c r="K2354" s="421">
        <f t="shared" si="607"/>
        <v>1845.45</v>
      </c>
      <c r="L2354" s="647" t="s">
        <v>21</v>
      </c>
      <c r="M2354" s="576"/>
      <c r="N2354" s="576">
        <f t="shared" si="616"/>
        <v>0</v>
      </c>
      <c r="O2354" s="577">
        <f t="shared" si="610"/>
        <v>0</v>
      </c>
      <c r="P2354" s="578">
        <f t="shared" si="611"/>
        <v>0</v>
      </c>
      <c r="Q2354" s="765"/>
      <c r="R2354" s="576">
        <f>M2354</f>
        <v>0</v>
      </c>
      <c r="S2354" s="576">
        <f>N2354</f>
        <v>0</v>
      </c>
      <c r="T2354" s="577">
        <f t="shared" si="608"/>
        <v>0</v>
      </c>
      <c r="U2354" s="578">
        <f t="shared" si="609"/>
        <v>0</v>
      </c>
      <c r="V2354" s="579"/>
      <c r="W2354" s="566"/>
      <c r="X2354" s="586" t="str">
        <f t="shared" si="622"/>
        <v/>
      </c>
      <c r="Y2354" s="586" t="str">
        <f t="shared" si="612"/>
        <v/>
      </c>
      <c r="Z2354" s="586" t="str">
        <f t="shared" si="621"/>
        <v/>
      </c>
    </row>
    <row r="2355" spans="1:26" ht="12" hidden="1" thickBot="1" x14ac:dyDescent="0.25">
      <c r="A2355" s="567" t="s">
        <v>168</v>
      </c>
      <c r="B2355" s="644" t="s">
        <v>168</v>
      </c>
      <c r="C2355" s="645"/>
      <c r="D2355" s="422" t="s">
        <v>212</v>
      </c>
      <c r="E2355" s="423"/>
      <c r="F2355" s="424">
        <v>500</v>
      </c>
      <c r="G2355" s="425">
        <f>VLOOKUP(D2354,'[2]ENSAIOS DE ORÇAMENTO'!$C$3:$L$79,4,FALSE)</f>
        <v>0.38327894999999995</v>
      </c>
      <c r="H2355" s="649">
        <f>IF(F2355&lt;=30,(0.78*F2355+7.82)*G2355,((0.78*30+7.82)+0.78*(F2355-30))*G2355)</f>
        <v>152.47603188900001</v>
      </c>
      <c r="I2355" s="420"/>
      <c r="J2355" s="420"/>
      <c r="K2355" s="421">
        <f t="shared" si="607"/>
        <v>0</v>
      </c>
      <c r="L2355" s="647"/>
      <c r="M2355" s="723"/>
      <c r="N2355" s="576">
        <f t="shared" si="616"/>
        <v>0</v>
      </c>
      <c r="O2355" s="577">
        <f t="shared" si="610"/>
        <v>0</v>
      </c>
      <c r="P2355" s="578">
        <f t="shared" si="611"/>
        <v>0</v>
      </c>
      <c r="Q2355" s="765"/>
      <c r="R2355" s="723"/>
      <c r="S2355" s="723"/>
      <c r="T2355" s="577">
        <f t="shared" si="608"/>
        <v>0</v>
      </c>
      <c r="U2355" s="578">
        <f t="shared" si="609"/>
        <v>0</v>
      </c>
      <c r="V2355" s="579"/>
      <c r="W2355" s="566" t="str">
        <f>IF(U2354&gt;0,"xx",IF(P2354&gt;0,"xy",""))</f>
        <v/>
      </c>
      <c r="X2355" s="586" t="str">
        <f t="shared" si="622"/>
        <v/>
      </c>
      <c r="Y2355" s="586" t="str">
        <f t="shared" si="612"/>
        <v/>
      </c>
      <c r="Z2355" s="586" t="str">
        <f t="shared" si="621"/>
        <v/>
      </c>
    </row>
    <row r="2356" spans="1:26" ht="12" hidden="1" thickBot="1" x14ac:dyDescent="0.25">
      <c r="A2356" s="567" t="s">
        <v>168</v>
      </c>
      <c r="B2356" s="644" t="s">
        <v>168</v>
      </c>
      <c r="C2356" s="645"/>
      <c r="D2356" s="422" t="s">
        <v>248</v>
      </c>
      <c r="E2356" s="423"/>
      <c r="F2356" s="424">
        <v>180</v>
      </c>
      <c r="G2356" s="425">
        <f>VLOOKUP(D2354,'[2]ENSAIOS DE ORÇAMENTO'!$C$3:$L$79,5,FALSE)</f>
        <v>1.1143076149999998</v>
      </c>
      <c r="H2356" s="663">
        <f t="shared" ref="H2356:H2358" si="624">IF(F2356&lt;=30,(1.07*F2356+2.68)*G2356,((1.07*30+2.68)+1.07*(F2356-30))*G2356)</f>
        <v>217.60199105719994</v>
      </c>
      <c r="I2356" s="420"/>
      <c r="J2356" s="420"/>
      <c r="K2356" s="421">
        <f t="shared" si="607"/>
        <v>0</v>
      </c>
      <c r="L2356" s="647"/>
      <c r="M2356" s="723"/>
      <c r="N2356" s="576">
        <f t="shared" si="616"/>
        <v>0</v>
      </c>
      <c r="O2356" s="577">
        <f t="shared" si="610"/>
        <v>0</v>
      </c>
      <c r="P2356" s="578">
        <f t="shared" si="611"/>
        <v>0</v>
      </c>
      <c r="Q2356" s="765"/>
      <c r="R2356" s="723"/>
      <c r="S2356" s="723"/>
      <c r="T2356" s="577">
        <f t="shared" si="608"/>
        <v>0</v>
      </c>
      <c r="U2356" s="578">
        <f t="shared" si="609"/>
        <v>0</v>
      </c>
      <c r="V2356" s="579"/>
      <c r="W2356" s="566" t="str">
        <f>IF(U2354&gt;0,"xx",IF(P2354&gt;0,"xy",""))</f>
        <v/>
      </c>
      <c r="X2356" s="586" t="str">
        <f t="shared" si="622"/>
        <v/>
      </c>
      <c r="Y2356" s="586" t="str">
        <f t="shared" si="612"/>
        <v/>
      </c>
      <c r="Z2356" s="586" t="str">
        <f t="shared" si="621"/>
        <v/>
      </c>
    </row>
    <row r="2357" spans="1:26" ht="12" hidden="1" thickBot="1" x14ac:dyDescent="0.25">
      <c r="A2357" s="567" t="s">
        <v>168</v>
      </c>
      <c r="B2357" s="644" t="s">
        <v>168</v>
      </c>
      <c r="C2357" s="645"/>
      <c r="D2357" s="422" t="s">
        <v>252</v>
      </c>
      <c r="E2357" s="423"/>
      <c r="F2357" s="424">
        <v>20</v>
      </c>
      <c r="G2357" s="425">
        <f>VLOOKUP(D2354,'[2]ENSAIOS DE ORÇAMENTO'!$C$3:$L$79,6,FALSE)</f>
        <v>1.3295746499999999</v>
      </c>
      <c r="H2357" s="663">
        <f t="shared" si="624"/>
        <v>32.016157571999997</v>
      </c>
      <c r="I2357" s="420"/>
      <c r="J2357" s="420"/>
      <c r="K2357" s="421">
        <f t="shared" si="607"/>
        <v>0</v>
      </c>
      <c r="L2357" s="647"/>
      <c r="M2357" s="723"/>
      <c r="N2357" s="576">
        <f t="shared" si="616"/>
        <v>0</v>
      </c>
      <c r="O2357" s="577">
        <f t="shared" si="610"/>
        <v>0</v>
      </c>
      <c r="P2357" s="578">
        <f t="shared" si="611"/>
        <v>0</v>
      </c>
      <c r="Q2357" s="765"/>
      <c r="R2357" s="723"/>
      <c r="S2357" s="723"/>
      <c r="T2357" s="577">
        <f t="shared" si="608"/>
        <v>0</v>
      </c>
      <c r="U2357" s="578">
        <f t="shared" si="609"/>
        <v>0</v>
      </c>
      <c r="V2357" s="579"/>
      <c r="W2357" s="566" t="str">
        <f>IF(U2354&gt;0,"xx",IF(P2354&gt;0,"xy",""))</f>
        <v/>
      </c>
      <c r="X2357" s="586" t="str">
        <f t="shared" si="622"/>
        <v/>
      </c>
      <c r="Y2357" s="586" t="str">
        <f t="shared" si="612"/>
        <v/>
      </c>
      <c r="Z2357" s="586" t="str">
        <f t="shared" si="621"/>
        <v/>
      </c>
    </row>
    <row r="2358" spans="1:26" ht="12" hidden="1" thickBot="1" x14ac:dyDescent="0.25">
      <c r="A2358" s="567" t="s">
        <v>168</v>
      </c>
      <c r="B2358" s="644" t="s">
        <v>168</v>
      </c>
      <c r="C2358" s="645"/>
      <c r="D2358" s="422" t="s">
        <v>400</v>
      </c>
      <c r="E2358" s="423"/>
      <c r="F2358" s="424">
        <v>30</v>
      </c>
      <c r="G2358" s="425">
        <f>VLOOKUP(D2354,'[2]ENSAIOS DE ORÇAMENTO'!$C$3:$L$79,3,FALSE)</f>
        <v>0</v>
      </c>
      <c r="H2358" s="663">
        <f t="shared" si="624"/>
        <v>0</v>
      </c>
      <c r="I2358" s="420"/>
      <c r="J2358" s="420"/>
      <c r="K2358" s="421">
        <f t="shared" si="607"/>
        <v>0</v>
      </c>
      <c r="L2358" s="647"/>
      <c r="M2358" s="723"/>
      <c r="N2358" s="576">
        <f t="shared" si="616"/>
        <v>0</v>
      </c>
      <c r="O2358" s="577">
        <f t="shared" si="610"/>
        <v>0</v>
      </c>
      <c r="P2358" s="578">
        <f t="shared" si="611"/>
        <v>0</v>
      </c>
      <c r="Q2358" s="765"/>
      <c r="R2358" s="723"/>
      <c r="S2358" s="723"/>
      <c r="T2358" s="577">
        <f t="shared" si="608"/>
        <v>0</v>
      </c>
      <c r="U2358" s="578">
        <f t="shared" si="609"/>
        <v>0</v>
      </c>
      <c r="V2358" s="579"/>
      <c r="W2358" s="566" t="str">
        <f>IF(U2354&gt;0,"xx",IF(P2354&gt;0,"xy",""))</f>
        <v/>
      </c>
      <c r="X2358" s="586" t="str">
        <f t="shared" si="622"/>
        <v/>
      </c>
      <c r="Y2358" s="586" t="str">
        <f t="shared" si="612"/>
        <v/>
      </c>
      <c r="Z2358" s="586" t="str">
        <f t="shared" si="621"/>
        <v/>
      </c>
    </row>
    <row r="2359" spans="1:26" ht="12" hidden="1" thickBot="1" x14ac:dyDescent="0.25">
      <c r="A2359" s="567" t="s">
        <v>168</v>
      </c>
      <c r="B2359" s="644" t="s">
        <v>168</v>
      </c>
      <c r="C2359" s="645"/>
      <c r="D2359" s="422" t="s">
        <v>401</v>
      </c>
      <c r="E2359" s="423"/>
      <c r="F2359" s="424">
        <v>500</v>
      </c>
      <c r="G2359" s="425">
        <f>VLOOKUP(D2354,'[2]ENSAIOS DE ORÇAMENTO'!$C$3:$L$79,10,FALSE)</f>
        <v>0</v>
      </c>
      <c r="H2359" s="649">
        <f>IF(F2359&lt;=30,(0.78*F2359+7.82)*G2359,((0.78*30+7.82)+0.78*(F2359-30))*G2359)</f>
        <v>0</v>
      </c>
      <c r="I2359" s="420"/>
      <c r="J2359" s="420"/>
      <c r="K2359" s="421">
        <f t="shared" si="607"/>
        <v>0</v>
      </c>
      <c r="L2359" s="647"/>
      <c r="M2359" s="723"/>
      <c r="N2359" s="576">
        <f t="shared" si="616"/>
        <v>0</v>
      </c>
      <c r="O2359" s="577">
        <f t="shared" si="610"/>
        <v>0</v>
      </c>
      <c r="P2359" s="578">
        <f t="shared" si="611"/>
        <v>0</v>
      </c>
      <c r="Q2359" s="765"/>
      <c r="R2359" s="723"/>
      <c r="S2359" s="723"/>
      <c r="T2359" s="577">
        <f t="shared" si="608"/>
        <v>0</v>
      </c>
      <c r="U2359" s="578">
        <f t="shared" si="609"/>
        <v>0</v>
      </c>
      <c r="V2359" s="579"/>
      <c r="W2359" s="566" t="str">
        <f>IF(U2354&gt;0,"xx",IF(P2354&gt;0,"xy",""))</f>
        <v/>
      </c>
      <c r="X2359" s="586" t="str">
        <f t="shared" si="622"/>
        <v/>
      </c>
      <c r="Y2359" s="586" t="str">
        <f t="shared" si="612"/>
        <v/>
      </c>
      <c r="Z2359" s="586" t="str">
        <f t="shared" si="621"/>
        <v/>
      </c>
    </row>
    <row r="2360" spans="1:26" ht="12" hidden="1" thickBot="1" x14ac:dyDescent="0.25">
      <c r="A2360" s="567" t="s">
        <v>129</v>
      </c>
      <c r="B2360" s="644" t="s">
        <v>129</v>
      </c>
      <c r="C2360" s="645" t="s">
        <v>206</v>
      </c>
      <c r="D2360" s="422" t="s">
        <v>413</v>
      </c>
      <c r="E2360" s="423"/>
      <c r="F2360" s="424"/>
      <c r="G2360" s="425"/>
      <c r="H2360" s="651">
        <f>SUM(H2361:H2365)</f>
        <v>590.83642489520014</v>
      </c>
      <c r="I2360" s="420">
        <f>VLOOKUP(D2360,'[2]ENSAIOS DE ORÇAMENTO'!$C$3:$L$79,8,FALSE)</f>
        <v>1584.5382719333334</v>
      </c>
      <c r="J2360" s="420">
        <f>IF(ISBLANK(I2360),"",SUM(H2360:I2360))</f>
        <v>2175.3746968285336</v>
      </c>
      <c r="K2360" s="421">
        <f t="shared" si="607"/>
        <v>2584.56</v>
      </c>
      <c r="L2360" s="647" t="s">
        <v>21</v>
      </c>
      <c r="M2360" s="576"/>
      <c r="N2360" s="576">
        <f t="shared" si="616"/>
        <v>0</v>
      </c>
      <c r="O2360" s="577">
        <f t="shared" si="610"/>
        <v>0</v>
      </c>
      <c r="P2360" s="578">
        <f t="shared" si="611"/>
        <v>0</v>
      </c>
      <c r="Q2360" s="765"/>
      <c r="R2360" s="576">
        <f>M2360</f>
        <v>0</v>
      </c>
      <c r="S2360" s="576">
        <f>N2360</f>
        <v>0</v>
      </c>
      <c r="T2360" s="577">
        <f t="shared" si="608"/>
        <v>0</v>
      </c>
      <c r="U2360" s="578">
        <f t="shared" si="609"/>
        <v>0</v>
      </c>
      <c r="V2360" s="579"/>
      <c r="W2360" s="566"/>
      <c r="X2360" s="586" t="str">
        <f t="shared" si="622"/>
        <v/>
      </c>
      <c r="Y2360" s="586" t="str">
        <f t="shared" si="612"/>
        <v/>
      </c>
      <c r="Z2360" s="586" t="str">
        <f t="shared" si="621"/>
        <v/>
      </c>
    </row>
    <row r="2361" spans="1:26" ht="12" hidden="1" thickBot="1" x14ac:dyDescent="0.25">
      <c r="A2361" s="567" t="s">
        <v>168</v>
      </c>
      <c r="B2361" s="644" t="s">
        <v>168</v>
      </c>
      <c r="C2361" s="645"/>
      <c r="D2361" s="422" t="s">
        <v>212</v>
      </c>
      <c r="E2361" s="423"/>
      <c r="F2361" s="424">
        <v>500</v>
      </c>
      <c r="G2361" s="425">
        <f>VLOOKUP(D2360,'[2]ENSAIOS DE ORÇAMENTO'!$C$3:$L$79,4,FALSE)</f>
        <v>0.56408220000000009</v>
      </c>
      <c r="H2361" s="649">
        <f>IF(F2361&lt;=30,(0.78*F2361+7.82)*G2361,((0.78*30+7.82)+0.78*(F2361-30))*G2361)</f>
        <v>224.40318080400007</v>
      </c>
      <c r="I2361" s="420"/>
      <c r="J2361" s="420"/>
      <c r="K2361" s="421">
        <f t="shared" si="607"/>
        <v>0</v>
      </c>
      <c r="L2361" s="647"/>
      <c r="M2361" s="723"/>
      <c r="N2361" s="576">
        <f t="shared" si="616"/>
        <v>0</v>
      </c>
      <c r="O2361" s="577">
        <f t="shared" si="610"/>
        <v>0</v>
      </c>
      <c r="P2361" s="578">
        <f t="shared" si="611"/>
        <v>0</v>
      </c>
      <c r="Q2361" s="765"/>
      <c r="R2361" s="723"/>
      <c r="S2361" s="723"/>
      <c r="T2361" s="577">
        <f t="shared" si="608"/>
        <v>0</v>
      </c>
      <c r="U2361" s="578">
        <f t="shared" si="609"/>
        <v>0</v>
      </c>
      <c r="V2361" s="579"/>
      <c r="W2361" s="566" t="str">
        <f>IF(U2360&gt;0,"xx",IF(P2360&gt;0,"xy",""))</f>
        <v/>
      </c>
      <c r="X2361" s="586" t="str">
        <f t="shared" si="622"/>
        <v/>
      </c>
      <c r="Y2361" s="586" t="str">
        <f t="shared" si="612"/>
        <v/>
      </c>
      <c r="Z2361" s="586" t="str">
        <f t="shared" si="621"/>
        <v/>
      </c>
    </row>
    <row r="2362" spans="1:26" ht="12" hidden="1" thickBot="1" x14ac:dyDescent="0.25">
      <c r="A2362" s="567" t="s">
        <v>168</v>
      </c>
      <c r="B2362" s="644" t="s">
        <v>168</v>
      </c>
      <c r="C2362" s="645"/>
      <c r="D2362" s="422" t="s">
        <v>248</v>
      </c>
      <c r="E2362" s="423"/>
      <c r="F2362" s="424">
        <v>180</v>
      </c>
      <c r="G2362" s="425">
        <f>VLOOKUP(D2360,'[2]ENSAIOS DE ORÇAMENTO'!$C$3:$L$79,5,FALSE)</f>
        <v>1.6356421400000001</v>
      </c>
      <c r="H2362" s="663">
        <f t="shared" ref="H2362:H2364" si="625">IF(F2362&lt;=30,(1.07*F2362+2.68)*G2362,((1.07*30+2.68)+1.07*(F2362-30))*G2362)</f>
        <v>319.40819709920004</v>
      </c>
      <c r="I2362" s="420"/>
      <c r="J2362" s="420"/>
      <c r="K2362" s="421">
        <f t="shared" si="607"/>
        <v>0</v>
      </c>
      <c r="L2362" s="647"/>
      <c r="M2362" s="723"/>
      <c r="N2362" s="576">
        <f t="shared" si="616"/>
        <v>0</v>
      </c>
      <c r="O2362" s="577">
        <f t="shared" si="610"/>
        <v>0</v>
      </c>
      <c r="P2362" s="578">
        <f t="shared" si="611"/>
        <v>0</v>
      </c>
      <c r="Q2362" s="765"/>
      <c r="R2362" s="723"/>
      <c r="S2362" s="723"/>
      <c r="T2362" s="577">
        <f t="shared" si="608"/>
        <v>0</v>
      </c>
      <c r="U2362" s="578">
        <f t="shared" si="609"/>
        <v>0</v>
      </c>
      <c r="V2362" s="579"/>
      <c r="W2362" s="566" t="str">
        <f>IF(U2360&gt;0,"xx",IF(P2360&gt;0,"xy",""))</f>
        <v/>
      </c>
      <c r="X2362" s="586" t="str">
        <f t="shared" si="622"/>
        <v/>
      </c>
      <c r="Y2362" s="586" t="str">
        <f t="shared" si="612"/>
        <v/>
      </c>
      <c r="Z2362" s="586" t="str">
        <f t="shared" si="621"/>
        <v/>
      </c>
    </row>
    <row r="2363" spans="1:26" ht="12" hidden="1" thickBot="1" x14ac:dyDescent="0.25">
      <c r="A2363" s="567" t="s">
        <v>168</v>
      </c>
      <c r="B2363" s="644" t="s">
        <v>168</v>
      </c>
      <c r="C2363" s="645"/>
      <c r="D2363" s="422" t="s">
        <v>252</v>
      </c>
      <c r="E2363" s="423"/>
      <c r="F2363" s="424">
        <v>20</v>
      </c>
      <c r="G2363" s="425">
        <f>VLOOKUP(D2360,'[2]ENSAIOS DE ORÇAMENTO'!$C$3:$L$79,6,FALSE)</f>
        <v>1.9528674000000004</v>
      </c>
      <c r="H2363" s="663">
        <f t="shared" si="625"/>
        <v>47.025046992000014</v>
      </c>
      <c r="I2363" s="420"/>
      <c r="J2363" s="420"/>
      <c r="K2363" s="421">
        <f t="shared" si="607"/>
        <v>0</v>
      </c>
      <c r="L2363" s="647"/>
      <c r="M2363" s="723"/>
      <c r="N2363" s="576">
        <f t="shared" si="616"/>
        <v>0</v>
      </c>
      <c r="O2363" s="577">
        <f t="shared" si="610"/>
        <v>0</v>
      </c>
      <c r="P2363" s="578">
        <f t="shared" si="611"/>
        <v>0</v>
      </c>
      <c r="Q2363" s="765"/>
      <c r="R2363" s="723"/>
      <c r="S2363" s="723"/>
      <c r="T2363" s="577">
        <f t="shared" si="608"/>
        <v>0</v>
      </c>
      <c r="U2363" s="578">
        <f t="shared" si="609"/>
        <v>0</v>
      </c>
      <c r="V2363" s="579"/>
      <c r="W2363" s="566" t="str">
        <f>IF(U2360&gt;0,"xx",IF(P2360&gt;0,"xy",""))</f>
        <v/>
      </c>
      <c r="X2363" s="586" t="str">
        <f t="shared" si="622"/>
        <v/>
      </c>
      <c r="Y2363" s="586" t="str">
        <f t="shared" si="612"/>
        <v/>
      </c>
      <c r="Z2363" s="586" t="str">
        <f t="shared" si="621"/>
        <v/>
      </c>
    </row>
    <row r="2364" spans="1:26" ht="12" hidden="1" thickBot="1" x14ac:dyDescent="0.25">
      <c r="A2364" s="567" t="s">
        <v>168</v>
      </c>
      <c r="B2364" s="644" t="s">
        <v>168</v>
      </c>
      <c r="C2364" s="645"/>
      <c r="D2364" s="422" t="s">
        <v>400</v>
      </c>
      <c r="E2364" s="423"/>
      <c r="F2364" s="424">
        <v>30</v>
      </c>
      <c r="G2364" s="425">
        <f>VLOOKUP(D2360,'[2]ENSAIOS DE ORÇAMENTO'!$C$3:$L$79,3,FALSE)</f>
        <v>0</v>
      </c>
      <c r="H2364" s="663">
        <f t="shared" si="625"/>
        <v>0</v>
      </c>
      <c r="I2364" s="420"/>
      <c r="J2364" s="420"/>
      <c r="K2364" s="421">
        <f t="shared" si="607"/>
        <v>0</v>
      </c>
      <c r="L2364" s="647"/>
      <c r="M2364" s="723"/>
      <c r="N2364" s="576">
        <f t="shared" si="616"/>
        <v>0</v>
      </c>
      <c r="O2364" s="577">
        <f t="shared" si="610"/>
        <v>0</v>
      </c>
      <c r="P2364" s="578">
        <f t="shared" si="611"/>
        <v>0</v>
      </c>
      <c r="Q2364" s="765"/>
      <c r="R2364" s="723"/>
      <c r="S2364" s="723"/>
      <c r="T2364" s="577">
        <f t="shared" si="608"/>
        <v>0</v>
      </c>
      <c r="U2364" s="578">
        <f t="shared" si="609"/>
        <v>0</v>
      </c>
      <c r="V2364" s="579"/>
      <c r="W2364" s="566" t="str">
        <f>IF(U2360&gt;0,"xx",IF(P2360&gt;0,"xy",""))</f>
        <v/>
      </c>
      <c r="X2364" s="586" t="str">
        <f t="shared" si="622"/>
        <v/>
      </c>
      <c r="Y2364" s="586" t="str">
        <f t="shared" si="612"/>
        <v/>
      </c>
      <c r="Z2364" s="586" t="str">
        <f t="shared" si="621"/>
        <v/>
      </c>
    </row>
    <row r="2365" spans="1:26" ht="12" hidden="1" thickBot="1" x14ac:dyDescent="0.25">
      <c r="A2365" s="567" t="s">
        <v>168</v>
      </c>
      <c r="B2365" s="644" t="s">
        <v>168</v>
      </c>
      <c r="C2365" s="645"/>
      <c r="D2365" s="422" t="s">
        <v>401</v>
      </c>
      <c r="E2365" s="423"/>
      <c r="F2365" s="424">
        <v>500</v>
      </c>
      <c r="G2365" s="425">
        <f>VLOOKUP(D2360,'[2]ENSAIOS DE ORÇAMENTO'!$C$3:$L$79,10,FALSE)</f>
        <v>0</v>
      </c>
      <c r="H2365" s="649">
        <f>IF(F2365&lt;=30,(0.78*F2365+7.82)*G2365,((0.78*30+7.82)+0.78*(F2365-30))*G2365)</f>
        <v>0</v>
      </c>
      <c r="I2365" s="420"/>
      <c r="J2365" s="420"/>
      <c r="K2365" s="421">
        <f t="shared" si="607"/>
        <v>0</v>
      </c>
      <c r="L2365" s="647"/>
      <c r="M2365" s="723"/>
      <c r="N2365" s="576">
        <f t="shared" si="616"/>
        <v>0</v>
      </c>
      <c r="O2365" s="577">
        <f t="shared" si="610"/>
        <v>0</v>
      </c>
      <c r="P2365" s="578">
        <f t="shared" si="611"/>
        <v>0</v>
      </c>
      <c r="Q2365" s="765"/>
      <c r="R2365" s="723"/>
      <c r="S2365" s="723"/>
      <c r="T2365" s="577">
        <f t="shared" si="608"/>
        <v>0</v>
      </c>
      <c r="U2365" s="578">
        <f t="shared" si="609"/>
        <v>0</v>
      </c>
      <c r="V2365" s="579"/>
      <c r="W2365" s="566" t="str">
        <f>IF(U2360&gt;0,"xx",IF(P2360&gt;0,"xy",""))</f>
        <v/>
      </c>
      <c r="X2365" s="586" t="str">
        <f t="shared" si="622"/>
        <v/>
      </c>
      <c r="Y2365" s="586" t="str">
        <f t="shared" si="612"/>
        <v/>
      </c>
      <c r="Z2365" s="586" t="str">
        <f t="shared" si="621"/>
        <v/>
      </c>
    </row>
    <row r="2366" spans="1:26" ht="12" hidden="1" thickBot="1" x14ac:dyDescent="0.25">
      <c r="A2366" s="567" t="s">
        <v>130</v>
      </c>
      <c r="B2366" s="644" t="s">
        <v>130</v>
      </c>
      <c r="C2366" s="645" t="s">
        <v>206</v>
      </c>
      <c r="D2366" s="422" t="s">
        <v>414</v>
      </c>
      <c r="E2366" s="423"/>
      <c r="F2366" s="424"/>
      <c r="G2366" s="425"/>
      <c r="H2366" s="651">
        <f>SUM(H2367:H2371)</f>
        <v>817.23322366720015</v>
      </c>
      <c r="I2366" s="420">
        <f>VLOOKUP(D2366,'[2]ENSAIOS DE ORÇAMENTO'!$C$3:$L$79,8,FALSE)</f>
        <v>2167.3900512</v>
      </c>
      <c r="J2366" s="420">
        <f>IF(ISBLANK(I2366),"",SUM(H2366:I2366))</f>
        <v>2984.6232748672001</v>
      </c>
      <c r="K2366" s="421">
        <f t="shared" si="607"/>
        <v>3546.03</v>
      </c>
      <c r="L2366" s="647" t="s">
        <v>21</v>
      </c>
      <c r="M2366" s="576"/>
      <c r="N2366" s="576">
        <f t="shared" si="616"/>
        <v>0</v>
      </c>
      <c r="O2366" s="577">
        <f t="shared" si="610"/>
        <v>0</v>
      </c>
      <c r="P2366" s="578">
        <f t="shared" si="611"/>
        <v>0</v>
      </c>
      <c r="Q2366" s="765"/>
      <c r="R2366" s="576">
        <f>M2366</f>
        <v>0</v>
      </c>
      <c r="S2366" s="576">
        <f>N2366</f>
        <v>0</v>
      </c>
      <c r="T2366" s="577">
        <f t="shared" si="608"/>
        <v>0</v>
      </c>
      <c r="U2366" s="578">
        <f t="shared" si="609"/>
        <v>0</v>
      </c>
      <c r="V2366" s="579"/>
      <c r="W2366" s="566"/>
      <c r="X2366" s="586" t="str">
        <f t="shared" si="622"/>
        <v/>
      </c>
      <c r="Y2366" s="586" t="str">
        <f t="shared" si="612"/>
        <v/>
      </c>
      <c r="Z2366" s="586" t="str">
        <f t="shared" si="621"/>
        <v/>
      </c>
    </row>
    <row r="2367" spans="1:26" ht="12" hidden="1" thickBot="1" x14ac:dyDescent="0.25">
      <c r="A2367" s="567" t="s">
        <v>168</v>
      </c>
      <c r="B2367" s="644" t="s">
        <v>168</v>
      </c>
      <c r="C2367" s="645"/>
      <c r="D2367" s="422" t="s">
        <v>212</v>
      </c>
      <c r="E2367" s="423"/>
      <c r="F2367" s="424">
        <v>500</v>
      </c>
      <c r="G2367" s="425">
        <f>VLOOKUP(D2366,'[2]ENSAIOS DE ORÇAMENTO'!$C$3:$L$79,4,FALSE)</f>
        <v>0.77929919999999997</v>
      </c>
      <c r="H2367" s="649">
        <f>IF(F2367&lt;=30,(0.78*F2367+7.82)*G2367,((0.78*30+7.82)+0.78*(F2367-30))*G2367)</f>
        <v>310.02080774400002</v>
      </c>
      <c r="I2367" s="420"/>
      <c r="J2367" s="420"/>
      <c r="K2367" s="421">
        <f t="shared" si="607"/>
        <v>0</v>
      </c>
      <c r="L2367" s="647"/>
      <c r="M2367" s="723"/>
      <c r="N2367" s="576">
        <f t="shared" si="616"/>
        <v>0</v>
      </c>
      <c r="O2367" s="577">
        <f t="shared" si="610"/>
        <v>0</v>
      </c>
      <c r="P2367" s="578">
        <f t="shared" si="611"/>
        <v>0</v>
      </c>
      <c r="Q2367" s="765"/>
      <c r="R2367" s="723"/>
      <c r="S2367" s="723"/>
      <c r="T2367" s="577">
        <f t="shared" si="608"/>
        <v>0</v>
      </c>
      <c r="U2367" s="578">
        <f t="shared" si="609"/>
        <v>0</v>
      </c>
      <c r="V2367" s="579"/>
      <c r="W2367" s="566" t="str">
        <f>IF(U2366&gt;0,"xx",IF(P2366&gt;0,"xy",""))</f>
        <v/>
      </c>
      <c r="X2367" s="586" t="str">
        <f t="shared" si="622"/>
        <v/>
      </c>
      <c r="Y2367" s="586" t="str">
        <f t="shared" si="612"/>
        <v/>
      </c>
      <c r="Z2367" s="586" t="str">
        <f t="shared" si="621"/>
        <v/>
      </c>
    </row>
    <row r="2368" spans="1:26" ht="12" hidden="1" thickBot="1" x14ac:dyDescent="0.25">
      <c r="A2368" s="567" t="s">
        <v>168</v>
      </c>
      <c r="B2368" s="644" t="s">
        <v>168</v>
      </c>
      <c r="C2368" s="645"/>
      <c r="D2368" s="422" t="s">
        <v>248</v>
      </c>
      <c r="E2368" s="423"/>
      <c r="F2368" s="424">
        <v>180</v>
      </c>
      <c r="G2368" s="425">
        <f>VLOOKUP(D2366,'[2]ENSAIOS DE ORÇAMENTO'!$C$3:$L$79,5,FALSE)</f>
        <v>2.26417504</v>
      </c>
      <c r="H2368" s="663">
        <f t="shared" ref="H2368:H2370" si="626">IF(F2368&lt;=30,(1.07*F2368+2.68)*G2368,((1.07*30+2.68)+1.07*(F2368-30))*G2368)</f>
        <v>442.14810181120004</v>
      </c>
      <c r="I2368" s="420"/>
      <c r="J2368" s="420"/>
      <c r="K2368" s="421">
        <f t="shared" ref="K2368:K2431" si="627">IF(ISBLANK(I2368),0,ROUND(J2368*(1+$F$10)*(1+$F$11*E2368),2))</f>
        <v>0</v>
      </c>
      <c r="L2368" s="647"/>
      <c r="M2368" s="723"/>
      <c r="N2368" s="576">
        <f t="shared" si="616"/>
        <v>0</v>
      </c>
      <c r="O2368" s="577">
        <f t="shared" si="610"/>
        <v>0</v>
      </c>
      <c r="P2368" s="578">
        <f t="shared" si="611"/>
        <v>0</v>
      </c>
      <c r="Q2368" s="765"/>
      <c r="R2368" s="723"/>
      <c r="S2368" s="723"/>
      <c r="T2368" s="577">
        <f t="shared" ref="T2368:T2431" si="628">IF(ISBLANK(R2368),0,ROUND(K2368*R2368,2))</f>
        <v>0</v>
      </c>
      <c r="U2368" s="578">
        <f t="shared" ref="U2368:U2431" si="629">IF(ISBLANK(R2368),0,ROUND(R2368*S2368,2))</f>
        <v>0</v>
      </c>
      <c r="V2368" s="579"/>
      <c r="W2368" s="566" t="str">
        <f>IF(U2366&gt;0,"xx",IF(P2366&gt;0,"xy",""))</f>
        <v/>
      </c>
      <c r="X2368" s="586" t="str">
        <f t="shared" si="622"/>
        <v/>
      </c>
      <c r="Y2368" s="586" t="str">
        <f t="shared" si="612"/>
        <v/>
      </c>
      <c r="Z2368" s="586" t="str">
        <f t="shared" si="621"/>
        <v/>
      </c>
    </row>
    <row r="2369" spans="1:26" ht="12" hidden="1" thickBot="1" x14ac:dyDescent="0.25">
      <c r="A2369" s="567" t="s">
        <v>168</v>
      </c>
      <c r="B2369" s="644" t="s">
        <v>168</v>
      </c>
      <c r="C2369" s="645"/>
      <c r="D2369" s="422" t="s">
        <v>252</v>
      </c>
      <c r="E2369" s="423"/>
      <c r="F2369" s="424">
        <v>20</v>
      </c>
      <c r="G2369" s="425">
        <f>VLOOKUP(D2366,'[2]ENSAIOS DE ORÇAMENTO'!$C$3:$L$79,6,FALSE)</f>
        <v>2.7020064000000001</v>
      </c>
      <c r="H2369" s="663">
        <f t="shared" si="626"/>
        <v>65.064314112000005</v>
      </c>
      <c r="I2369" s="420"/>
      <c r="J2369" s="420"/>
      <c r="K2369" s="421">
        <f t="shared" si="627"/>
        <v>0</v>
      </c>
      <c r="L2369" s="647"/>
      <c r="M2369" s="723"/>
      <c r="N2369" s="576">
        <f t="shared" si="616"/>
        <v>0</v>
      </c>
      <c r="O2369" s="577">
        <f t="shared" ref="O2369:O2432" si="630">IF(ISBLANK(M2369),0,ROUND(K2369*M2369,2))</f>
        <v>0</v>
      </c>
      <c r="P2369" s="578">
        <f t="shared" ref="P2369:P2432" si="631">IF(ISBLANK(N2369),0,ROUND(M2369*N2369,2))</f>
        <v>0</v>
      </c>
      <c r="Q2369" s="765"/>
      <c r="R2369" s="723"/>
      <c r="S2369" s="723"/>
      <c r="T2369" s="577">
        <f t="shared" si="628"/>
        <v>0</v>
      </c>
      <c r="U2369" s="578">
        <f t="shared" si="629"/>
        <v>0</v>
      </c>
      <c r="V2369" s="579"/>
      <c r="W2369" s="566" t="str">
        <f>IF(U2366&gt;0,"xx",IF(P2366&gt;0,"xy",""))</f>
        <v/>
      </c>
      <c r="X2369" s="586" t="str">
        <f t="shared" si="622"/>
        <v/>
      </c>
      <c r="Y2369" s="586" t="str">
        <f t="shared" si="612"/>
        <v/>
      </c>
      <c r="Z2369" s="586" t="str">
        <f t="shared" si="621"/>
        <v/>
      </c>
    </row>
    <row r="2370" spans="1:26" ht="12" hidden="1" thickBot="1" x14ac:dyDescent="0.25">
      <c r="A2370" s="567" t="s">
        <v>168</v>
      </c>
      <c r="B2370" s="644" t="s">
        <v>168</v>
      </c>
      <c r="C2370" s="645"/>
      <c r="D2370" s="422" t="s">
        <v>400</v>
      </c>
      <c r="E2370" s="423"/>
      <c r="F2370" s="424">
        <v>30</v>
      </c>
      <c r="G2370" s="425">
        <f>VLOOKUP(D2366,'[2]ENSAIOS DE ORÇAMENTO'!$C$3:$L$79,3,FALSE)</f>
        <v>0</v>
      </c>
      <c r="H2370" s="663">
        <f t="shared" si="626"/>
        <v>0</v>
      </c>
      <c r="I2370" s="420"/>
      <c r="J2370" s="420"/>
      <c r="K2370" s="421">
        <f t="shared" si="627"/>
        <v>0</v>
      </c>
      <c r="L2370" s="647"/>
      <c r="M2370" s="723"/>
      <c r="N2370" s="576">
        <f t="shared" si="616"/>
        <v>0</v>
      </c>
      <c r="O2370" s="577">
        <f t="shared" si="630"/>
        <v>0</v>
      </c>
      <c r="P2370" s="578">
        <f t="shared" si="631"/>
        <v>0</v>
      </c>
      <c r="Q2370" s="765"/>
      <c r="R2370" s="723"/>
      <c r="S2370" s="723"/>
      <c r="T2370" s="577">
        <f t="shared" si="628"/>
        <v>0</v>
      </c>
      <c r="U2370" s="578">
        <f t="shared" si="629"/>
        <v>0</v>
      </c>
      <c r="V2370" s="579"/>
      <c r="W2370" s="566" t="str">
        <f>IF(U2366&gt;0,"xx",IF(P2366&gt;0,"xy",""))</f>
        <v/>
      </c>
      <c r="X2370" s="586" t="str">
        <f t="shared" si="622"/>
        <v/>
      </c>
      <c r="Y2370" s="586" t="str">
        <f t="shared" si="612"/>
        <v/>
      </c>
      <c r="Z2370" s="586" t="str">
        <f t="shared" si="621"/>
        <v/>
      </c>
    </row>
    <row r="2371" spans="1:26" ht="12" hidden="1" thickBot="1" x14ac:dyDescent="0.25">
      <c r="A2371" s="567" t="s">
        <v>168</v>
      </c>
      <c r="B2371" s="644" t="s">
        <v>168</v>
      </c>
      <c r="C2371" s="645"/>
      <c r="D2371" s="422" t="s">
        <v>401</v>
      </c>
      <c r="E2371" s="423"/>
      <c r="F2371" s="424">
        <v>500</v>
      </c>
      <c r="G2371" s="425">
        <f>VLOOKUP(D2366,'[2]ENSAIOS DE ORÇAMENTO'!$C$3:$L$79,10,FALSE)</f>
        <v>0</v>
      </c>
      <c r="H2371" s="649">
        <f>IF(F2371&lt;=30,(0.78*F2371+7.82)*G2371,((0.78*30+7.82)+0.78*(F2371-30))*G2371)</f>
        <v>0</v>
      </c>
      <c r="I2371" s="420"/>
      <c r="J2371" s="420"/>
      <c r="K2371" s="421">
        <f t="shared" si="627"/>
        <v>0</v>
      </c>
      <c r="L2371" s="647"/>
      <c r="M2371" s="723"/>
      <c r="N2371" s="576">
        <f t="shared" si="616"/>
        <v>0</v>
      </c>
      <c r="O2371" s="577">
        <f t="shared" si="630"/>
        <v>0</v>
      </c>
      <c r="P2371" s="578">
        <f t="shared" si="631"/>
        <v>0</v>
      </c>
      <c r="Q2371" s="765"/>
      <c r="R2371" s="723"/>
      <c r="S2371" s="723"/>
      <c r="T2371" s="577">
        <f t="shared" si="628"/>
        <v>0</v>
      </c>
      <c r="U2371" s="578">
        <f t="shared" si="629"/>
        <v>0</v>
      </c>
      <c r="V2371" s="579"/>
      <c r="W2371" s="566" t="str">
        <f>IF(U2366&gt;0,"xx",IF(P2366&gt;0,"xy",""))</f>
        <v/>
      </c>
      <c r="X2371" s="586" t="str">
        <f t="shared" si="622"/>
        <v/>
      </c>
      <c r="Y2371" s="586" t="str">
        <f t="shared" si="612"/>
        <v/>
      </c>
      <c r="Z2371" s="586" t="str">
        <f t="shared" si="621"/>
        <v/>
      </c>
    </row>
    <row r="2372" spans="1:26" ht="12" hidden="1" thickBot="1" x14ac:dyDescent="0.25">
      <c r="A2372" s="567" t="s">
        <v>131</v>
      </c>
      <c r="B2372" s="644" t="s">
        <v>131</v>
      </c>
      <c r="C2372" s="645" t="s">
        <v>206</v>
      </c>
      <c r="D2372" s="422" t="s">
        <v>415</v>
      </c>
      <c r="E2372" s="423"/>
      <c r="F2372" s="424"/>
      <c r="G2372" s="425"/>
      <c r="H2372" s="651">
        <f>SUM(H2373:H2377)</f>
        <v>146.76171636480004</v>
      </c>
      <c r="I2372" s="420">
        <f>VLOOKUP(D2372,'[2]ENSAIOS DE ORÇAMENTO'!$C$3:$L$79,8,FALSE)</f>
        <v>877.32228026666667</v>
      </c>
      <c r="J2372" s="420">
        <f>IF(ISBLANK(I2372),"",SUM(H2372:I2372))</f>
        <v>1024.0839966314668</v>
      </c>
      <c r="K2372" s="421">
        <f t="shared" si="627"/>
        <v>1216.71</v>
      </c>
      <c r="L2372" s="647" t="s">
        <v>21</v>
      </c>
      <c r="M2372" s="576"/>
      <c r="N2372" s="576">
        <f t="shared" si="616"/>
        <v>0</v>
      </c>
      <c r="O2372" s="577">
        <f t="shared" si="630"/>
        <v>0</v>
      </c>
      <c r="P2372" s="578">
        <f t="shared" si="631"/>
        <v>0</v>
      </c>
      <c r="Q2372" s="765"/>
      <c r="R2372" s="576">
        <f>M2372</f>
        <v>0</v>
      </c>
      <c r="S2372" s="576">
        <f>N2372</f>
        <v>0</v>
      </c>
      <c r="T2372" s="577">
        <f t="shared" si="628"/>
        <v>0</v>
      </c>
      <c r="U2372" s="578">
        <f t="shared" si="629"/>
        <v>0</v>
      </c>
      <c r="V2372" s="579"/>
      <c r="W2372" s="566"/>
      <c r="X2372" s="586" t="str">
        <f t="shared" si="622"/>
        <v/>
      </c>
      <c r="Y2372" s="586" t="str">
        <f t="shared" si="612"/>
        <v/>
      </c>
      <c r="Z2372" s="586" t="str">
        <f t="shared" si="621"/>
        <v/>
      </c>
    </row>
    <row r="2373" spans="1:26" ht="12" hidden="1" thickBot="1" x14ac:dyDescent="0.25">
      <c r="A2373" s="567" t="s">
        <v>168</v>
      </c>
      <c r="B2373" s="644" t="s">
        <v>168</v>
      </c>
      <c r="C2373" s="645"/>
      <c r="D2373" s="422" t="s">
        <v>212</v>
      </c>
      <c r="E2373" s="423"/>
      <c r="F2373" s="424">
        <v>500</v>
      </c>
      <c r="G2373" s="425">
        <f>VLOOKUP(D2372,'[2]ENSAIOS DE ORÇAMENTO'!$C$3:$L$79,4,FALSE)</f>
        <v>0.13625280000000003</v>
      </c>
      <c r="H2373" s="649">
        <f>IF(F2373&lt;=30,(0.78*F2373+7.82)*G2373,((0.78*30+7.82)+0.78*(F2373-30))*G2373)</f>
        <v>54.204088896000023</v>
      </c>
      <c r="I2373" s="420"/>
      <c r="J2373" s="420"/>
      <c r="K2373" s="421">
        <f t="shared" si="627"/>
        <v>0</v>
      </c>
      <c r="L2373" s="647"/>
      <c r="M2373" s="723"/>
      <c r="N2373" s="576">
        <f t="shared" si="616"/>
        <v>0</v>
      </c>
      <c r="O2373" s="577">
        <f t="shared" si="630"/>
        <v>0</v>
      </c>
      <c r="P2373" s="578">
        <f t="shared" si="631"/>
        <v>0</v>
      </c>
      <c r="Q2373" s="765"/>
      <c r="R2373" s="723"/>
      <c r="S2373" s="723"/>
      <c r="T2373" s="577">
        <f t="shared" si="628"/>
        <v>0</v>
      </c>
      <c r="U2373" s="578">
        <f t="shared" si="629"/>
        <v>0</v>
      </c>
      <c r="V2373" s="579"/>
      <c r="W2373" s="566" t="str">
        <f>IF(U2372&gt;0,"xx",IF(P2372&gt;0,"xy",""))</f>
        <v/>
      </c>
      <c r="X2373" s="586" t="str">
        <f t="shared" si="622"/>
        <v/>
      </c>
      <c r="Y2373" s="586" t="str">
        <f t="shared" si="612"/>
        <v/>
      </c>
      <c r="Z2373" s="586" t="str">
        <f t="shared" si="621"/>
        <v/>
      </c>
    </row>
    <row r="2374" spans="1:26" ht="12" hidden="1" thickBot="1" x14ac:dyDescent="0.25">
      <c r="A2374" s="567" t="s">
        <v>168</v>
      </c>
      <c r="B2374" s="644" t="s">
        <v>168</v>
      </c>
      <c r="C2374" s="645"/>
      <c r="D2374" s="422" t="s">
        <v>248</v>
      </c>
      <c r="E2374" s="423"/>
      <c r="F2374" s="424">
        <v>180</v>
      </c>
      <c r="G2374" s="425">
        <f>VLOOKUP(D2372,'[2]ENSAIOS DE ORÇAMENTO'!$C$3:$L$79,5,FALSE)</f>
        <v>0.41372736000000004</v>
      </c>
      <c r="H2374" s="663">
        <f t="shared" ref="H2374:H2376" si="632">IF(F2374&lt;=30,(1.07*F2374+2.68)*G2374,((1.07*30+2.68)+1.07*(F2374-30))*G2374)</f>
        <v>80.792678860800009</v>
      </c>
      <c r="I2374" s="420"/>
      <c r="J2374" s="420"/>
      <c r="K2374" s="421">
        <f t="shared" si="627"/>
        <v>0</v>
      </c>
      <c r="L2374" s="647"/>
      <c r="M2374" s="723"/>
      <c r="N2374" s="576">
        <f t="shared" si="616"/>
        <v>0</v>
      </c>
      <c r="O2374" s="577">
        <f t="shared" si="630"/>
        <v>0</v>
      </c>
      <c r="P2374" s="578">
        <f t="shared" si="631"/>
        <v>0</v>
      </c>
      <c r="Q2374" s="765"/>
      <c r="R2374" s="723"/>
      <c r="S2374" s="723"/>
      <c r="T2374" s="577">
        <f t="shared" si="628"/>
        <v>0</v>
      </c>
      <c r="U2374" s="578">
        <f t="shared" si="629"/>
        <v>0</v>
      </c>
      <c r="V2374" s="579"/>
      <c r="W2374" s="566" t="str">
        <f>IF(U2372&gt;0,"xx",IF(P2372&gt;0,"xy",""))</f>
        <v/>
      </c>
      <c r="X2374" s="586" t="str">
        <f t="shared" si="622"/>
        <v/>
      </c>
      <c r="Y2374" s="586" t="str">
        <f t="shared" si="612"/>
        <v/>
      </c>
      <c r="Z2374" s="586" t="str">
        <f t="shared" si="621"/>
        <v/>
      </c>
    </row>
    <row r="2375" spans="1:26" ht="12" hidden="1" thickBot="1" x14ac:dyDescent="0.25">
      <c r="A2375" s="567" t="s">
        <v>168</v>
      </c>
      <c r="B2375" s="644" t="s">
        <v>168</v>
      </c>
      <c r="C2375" s="645"/>
      <c r="D2375" s="422" t="s">
        <v>252</v>
      </c>
      <c r="E2375" s="423"/>
      <c r="F2375" s="424">
        <v>20</v>
      </c>
      <c r="G2375" s="425">
        <f>VLOOKUP(D2372,'[2]ENSAIOS DE ORÇAMENTO'!$C$3:$L$79,6,FALSE)</f>
        <v>0.48857760000000011</v>
      </c>
      <c r="H2375" s="663">
        <f t="shared" si="632"/>
        <v>11.764948608000003</v>
      </c>
      <c r="I2375" s="420"/>
      <c r="J2375" s="420"/>
      <c r="K2375" s="421">
        <f t="shared" si="627"/>
        <v>0</v>
      </c>
      <c r="L2375" s="647"/>
      <c r="M2375" s="723"/>
      <c r="N2375" s="576">
        <f t="shared" si="616"/>
        <v>0</v>
      </c>
      <c r="O2375" s="577">
        <f t="shared" si="630"/>
        <v>0</v>
      </c>
      <c r="P2375" s="578">
        <f t="shared" si="631"/>
        <v>0</v>
      </c>
      <c r="Q2375" s="765"/>
      <c r="R2375" s="723"/>
      <c r="S2375" s="723"/>
      <c r="T2375" s="577">
        <f t="shared" si="628"/>
        <v>0</v>
      </c>
      <c r="U2375" s="578">
        <f t="shared" si="629"/>
        <v>0</v>
      </c>
      <c r="V2375" s="579"/>
      <c r="W2375" s="566" t="str">
        <f>IF(U2372&gt;0,"xx",IF(P2372&gt;0,"xy",""))</f>
        <v/>
      </c>
      <c r="X2375" s="586" t="str">
        <f t="shared" si="622"/>
        <v/>
      </c>
      <c r="Y2375" s="586" t="str">
        <f t="shared" si="612"/>
        <v/>
      </c>
      <c r="Z2375" s="586" t="str">
        <f t="shared" si="621"/>
        <v/>
      </c>
    </row>
    <row r="2376" spans="1:26" ht="12" hidden="1" thickBot="1" x14ac:dyDescent="0.25">
      <c r="A2376" s="567" t="s">
        <v>168</v>
      </c>
      <c r="B2376" s="644" t="s">
        <v>168</v>
      </c>
      <c r="C2376" s="645"/>
      <c r="D2376" s="422" t="s">
        <v>400</v>
      </c>
      <c r="E2376" s="423"/>
      <c r="F2376" s="424">
        <v>30</v>
      </c>
      <c r="G2376" s="425">
        <f>VLOOKUP(D2372,'[2]ENSAIOS DE ORÇAMENTO'!$C$3:$L$79,3,FALSE)</f>
        <v>0</v>
      </c>
      <c r="H2376" s="663">
        <f t="shared" si="632"/>
        <v>0</v>
      </c>
      <c r="I2376" s="420"/>
      <c r="J2376" s="420"/>
      <c r="K2376" s="421">
        <f t="shared" si="627"/>
        <v>0</v>
      </c>
      <c r="L2376" s="647"/>
      <c r="M2376" s="723"/>
      <c r="N2376" s="576">
        <f t="shared" si="616"/>
        <v>0</v>
      </c>
      <c r="O2376" s="577">
        <f t="shared" si="630"/>
        <v>0</v>
      </c>
      <c r="P2376" s="578">
        <f t="shared" si="631"/>
        <v>0</v>
      </c>
      <c r="Q2376" s="765"/>
      <c r="R2376" s="723"/>
      <c r="S2376" s="723"/>
      <c r="T2376" s="577">
        <f t="shared" si="628"/>
        <v>0</v>
      </c>
      <c r="U2376" s="578">
        <f t="shared" si="629"/>
        <v>0</v>
      </c>
      <c r="V2376" s="579"/>
      <c r="W2376" s="566" t="str">
        <f>IF(U2372&gt;0,"xx",IF(P2372&gt;0,"xy",""))</f>
        <v/>
      </c>
      <c r="X2376" s="586" t="str">
        <f t="shared" si="622"/>
        <v/>
      </c>
      <c r="Y2376" s="586" t="str">
        <f t="shared" ref="Y2376:Y2439" si="633">IF(W2376="X","x",IF(W2376="y","x",IF(W2376="xx","x",IF(U2376&gt;0,"x",""))))</f>
        <v/>
      </c>
      <c r="Z2376" s="586" t="str">
        <f t="shared" si="621"/>
        <v/>
      </c>
    </row>
    <row r="2377" spans="1:26" ht="12" hidden="1" thickBot="1" x14ac:dyDescent="0.25">
      <c r="A2377" s="567" t="s">
        <v>168</v>
      </c>
      <c r="B2377" s="644" t="s">
        <v>168</v>
      </c>
      <c r="C2377" s="645"/>
      <c r="D2377" s="422" t="s">
        <v>401</v>
      </c>
      <c r="E2377" s="423"/>
      <c r="F2377" s="424">
        <v>500</v>
      </c>
      <c r="G2377" s="425">
        <f>VLOOKUP(D2372,'[2]ENSAIOS DE ORÇAMENTO'!$C$3:$L$79,10,FALSE)</f>
        <v>0</v>
      </c>
      <c r="H2377" s="649">
        <f>IF(F2377&lt;=30,(0.78*F2377+7.82)*G2377,((0.78*30+7.82)+0.78*(F2377-30))*G2377)</f>
        <v>0</v>
      </c>
      <c r="I2377" s="420"/>
      <c r="J2377" s="420"/>
      <c r="K2377" s="421">
        <f t="shared" si="627"/>
        <v>0</v>
      </c>
      <c r="L2377" s="647"/>
      <c r="M2377" s="723"/>
      <c r="N2377" s="576">
        <f t="shared" si="616"/>
        <v>0</v>
      </c>
      <c r="O2377" s="577">
        <f t="shared" si="630"/>
        <v>0</v>
      </c>
      <c r="P2377" s="578">
        <f t="shared" si="631"/>
        <v>0</v>
      </c>
      <c r="Q2377" s="765"/>
      <c r="R2377" s="723"/>
      <c r="S2377" s="723"/>
      <c r="T2377" s="577">
        <f t="shared" si="628"/>
        <v>0</v>
      </c>
      <c r="U2377" s="578">
        <f t="shared" si="629"/>
        <v>0</v>
      </c>
      <c r="V2377" s="579"/>
      <c r="W2377" s="566" t="str">
        <f>IF(U2372&gt;0,"xx",IF(P2372&gt;0,"xy",""))</f>
        <v/>
      </c>
      <c r="X2377" s="586" t="str">
        <f t="shared" si="622"/>
        <v/>
      </c>
      <c r="Y2377" s="586" t="str">
        <f t="shared" si="633"/>
        <v/>
      </c>
      <c r="Z2377" s="586" t="str">
        <f t="shared" si="621"/>
        <v/>
      </c>
    </row>
    <row r="2378" spans="1:26" ht="12" hidden="1" thickBot="1" x14ac:dyDescent="0.25">
      <c r="A2378" s="567" t="s">
        <v>40</v>
      </c>
      <c r="B2378" s="644" t="s">
        <v>40</v>
      </c>
      <c r="C2378" s="645" t="s">
        <v>206</v>
      </c>
      <c r="D2378" s="422" t="s">
        <v>416</v>
      </c>
      <c r="E2378" s="423"/>
      <c r="F2378" s="424"/>
      <c r="G2378" s="425"/>
      <c r="H2378" s="651">
        <f>SUM(H2379:H2383)</f>
        <v>223.47402276336004</v>
      </c>
      <c r="I2378" s="420">
        <f>VLOOKUP(D2378,'[2]ENSAIOS DE ORÇAMENTO'!$C$3:$L$79,8,FALSE)</f>
        <v>1386.7382591866667</v>
      </c>
      <c r="J2378" s="420">
        <f>IF(ISBLANK(I2378),"",SUM(H2378:I2378))</f>
        <v>1610.2122819500269</v>
      </c>
      <c r="K2378" s="421">
        <f t="shared" si="627"/>
        <v>1913.09</v>
      </c>
      <c r="L2378" s="647" t="s">
        <v>21</v>
      </c>
      <c r="M2378" s="576"/>
      <c r="N2378" s="576">
        <f t="shared" si="616"/>
        <v>0</v>
      </c>
      <c r="O2378" s="577">
        <f t="shared" si="630"/>
        <v>0</v>
      </c>
      <c r="P2378" s="578">
        <f t="shared" si="631"/>
        <v>0</v>
      </c>
      <c r="Q2378" s="765"/>
      <c r="R2378" s="576">
        <f>M2378</f>
        <v>0</v>
      </c>
      <c r="S2378" s="576">
        <f>N2378</f>
        <v>0</v>
      </c>
      <c r="T2378" s="577">
        <f t="shared" si="628"/>
        <v>0</v>
      </c>
      <c r="U2378" s="578">
        <f t="shared" si="629"/>
        <v>0</v>
      </c>
      <c r="V2378" s="579"/>
      <c r="W2378" s="566"/>
      <c r="X2378" s="586" t="str">
        <f t="shared" si="622"/>
        <v/>
      </c>
      <c r="Y2378" s="586" t="str">
        <f t="shared" si="633"/>
        <v/>
      </c>
      <c r="Z2378" s="586" t="str">
        <f t="shared" si="621"/>
        <v/>
      </c>
    </row>
    <row r="2379" spans="1:26" ht="12" hidden="1" thickBot="1" x14ac:dyDescent="0.25">
      <c r="A2379" s="567" t="s">
        <v>168</v>
      </c>
      <c r="B2379" s="644" t="s">
        <v>168</v>
      </c>
      <c r="C2379" s="645"/>
      <c r="D2379" s="422" t="s">
        <v>212</v>
      </c>
      <c r="E2379" s="423"/>
      <c r="F2379" s="424">
        <v>500</v>
      </c>
      <c r="G2379" s="425">
        <f>VLOOKUP(D2378,'[2]ENSAIOS DE ORÇAMENTO'!$C$3:$L$79,4,FALSE)</f>
        <v>0.21117996</v>
      </c>
      <c r="H2379" s="649">
        <f>IF(F2379&lt;=30,(0.78*F2379+7.82)*G2379,((0.78*30+7.82)+0.78*(F2379-30))*G2379)</f>
        <v>84.011611687200016</v>
      </c>
      <c r="I2379" s="420"/>
      <c r="J2379" s="420"/>
      <c r="K2379" s="421">
        <f t="shared" si="627"/>
        <v>0</v>
      </c>
      <c r="L2379" s="647"/>
      <c r="M2379" s="723"/>
      <c r="N2379" s="576">
        <f t="shared" si="616"/>
        <v>0</v>
      </c>
      <c r="O2379" s="577">
        <f t="shared" si="630"/>
        <v>0</v>
      </c>
      <c r="P2379" s="578">
        <f t="shared" si="631"/>
        <v>0</v>
      </c>
      <c r="Q2379" s="765"/>
      <c r="R2379" s="723"/>
      <c r="S2379" s="723"/>
      <c r="T2379" s="577">
        <f t="shared" si="628"/>
        <v>0</v>
      </c>
      <c r="U2379" s="578">
        <f t="shared" si="629"/>
        <v>0</v>
      </c>
      <c r="V2379" s="579"/>
      <c r="W2379" s="566" t="str">
        <f>IF(U2378&gt;0,"xx",IF(P2378&gt;0,"xy",""))</f>
        <v/>
      </c>
      <c r="X2379" s="586" t="str">
        <f t="shared" si="622"/>
        <v/>
      </c>
      <c r="Y2379" s="586" t="str">
        <f t="shared" si="633"/>
        <v/>
      </c>
      <c r="Z2379" s="586" t="str">
        <f t="shared" si="621"/>
        <v/>
      </c>
    </row>
    <row r="2380" spans="1:26" ht="12" hidden="1" thickBot="1" x14ac:dyDescent="0.25">
      <c r="A2380" s="567" t="s">
        <v>168</v>
      </c>
      <c r="B2380" s="644" t="s">
        <v>168</v>
      </c>
      <c r="C2380" s="645"/>
      <c r="D2380" s="422" t="s">
        <v>248</v>
      </c>
      <c r="E2380" s="423"/>
      <c r="F2380" s="424">
        <v>180</v>
      </c>
      <c r="G2380" s="425">
        <f>VLOOKUP(D2378,'[2]ENSAIOS DE ORÇAMENTO'!$C$3:$L$79,5,FALSE)</f>
        <v>0.62284225199999999</v>
      </c>
      <c r="H2380" s="663">
        <f t="shared" ref="H2380:H2382" si="634">IF(F2380&lt;=30,(1.07*F2380+2.68)*G2380,((1.07*30+2.68)+1.07*(F2380-30))*G2380)</f>
        <v>121.62863497056</v>
      </c>
      <c r="I2380" s="420"/>
      <c r="J2380" s="420"/>
      <c r="K2380" s="421">
        <f t="shared" si="627"/>
        <v>0</v>
      </c>
      <c r="L2380" s="647"/>
      <c r="M2380" s="723"/>
      <c r="N2380" s="576">
        <f t="shared" si="616"/>
        <v>0</v>
      </c>
      <c r="O2380" s="577">
        <f t="shared" si="630"/>
        <v>0</v>
      </c>
      <c r="P2380" s="578">
        <f t="shared" si="631"/>
        <v>0</v>
      </c>
      <c r="Q2380" s="765"/>
      <c r="R2380" s="723"/>
      <c r="S2380" s="723"/>
      <c r="T2380" s="577">
        <f t="shared" si="628"/>
        <v>0</v>
      </c>
      <c r="U2380" s="578">
        <f t="shared" si="629"/>
        <v>0</v>
      </c>
      <c r="V2380" s="579"/>
      <c r="W2380" s="566" t="str">
        <f>IF(U2378&gt;0,"xx",IF(P2378&gt;0,"xy",""))</f>
        <v/>
      </c>
      <c r="X2380" s="586" t="str">
        <f t="shared" si="622"/>
        <v/>
      </c>
      <c r="Y2380" s="586" t="str">
        <f t="shared" si="633"/>
        <v/>
      </c>
      <c r="Z2380" s="586" t="str">
        <f t="shared" si="621"/>
        <v/>
      </c>
    </row>
    <row r="2381" spans="1:26" ht="12" hidden="1" thickBot="1" x14ac:dyDescent="0.25">
      <c r="A2381" s="567" t="s">
        <v>168</v>
      </c>
      <c r="B2381" s="644" t="s">
        <v>168</v>
      </c>
      <c r="C2381" s="645"/>
      <c r="D2381" s="422" t="s">
        <v>252</v>
      </c>
      <c r="E2381" s="423"/>
      <c r="F2381" s="424">
        <v>20</v>
      </c>
      <c r="G2381" s="425">
        <f>VLOOKUP(D2378,'[2]ENSAIOS DE ORÇAMENTO'!$C$3:$L$79,6,FALSE)</f>
        <v>0.74060532000000001</v>
      </c>
      <c r="H2381" s="663">
        <f t="shared" si="634"/>
        <v>17.833776105600002</v>
      </c>
      <c r="I2381" s="420"/>
      <c r="J2381" s="420"/>
      <c r="K2381" s="421">
        <f t="shared" si="627"/>
        <v>0</v>
      </c>
      <c r="L2381" s="647"/>
      <c r="M2381" s="723"/>
      <c r="N2381" s="576">
        <f t="shared" si="616"/>
        <v>0</v>
      </c>
      <c r="O2381" s="577">
        <f t="shared" si="630"/>
        <v>0</v>
      </c>
      <c r="P2381" s="578">
        <f t="shared" si="631"/>
        <v>0</v>
      </c>
      <c r="Q2381" s="765"/>
      <c r="R2381" s="723"/>
      <c r="S2381" s="723"/>
      <c r="T2381" s="577">
        <f t="shared" si="628"/>
        <v>0</v>
      </c>
      <c r="U2381" s="578">
        <f t="shared" si="629"/>
        <v>0</v>
      </c>
      <c r="V2381" s="579"/>
      <c r="W2381" s="566" t="str">
        <f>IF(U2378&gt;0,"xx",IF(P2378&gt;0,"xy",""))</f>
        <v/>
      </c>
      <c r="X2381" s="586" t="str">
        <f t="shared" si="622"/>
        <v/>
      </c>
      <c r="Y2381" s="586" t="str">
        <f t="shared" si="633"/>
        <v/>
      </c>
      <c r="Z2381" s="586" t="str">
        <f t="shared" si="621"/>
        <v/>
      </c>
    </row>
    <row r="2382" spans="1:26" ht="12" hidden="1" thickBot="1" x14ac:dyDescent="0.25">
      <c r="A2382" s="567" t="s">
        <v>168</v>
      </c>
      <c r="B2382" s="644" t="s">
        <v>168</v>
      </c>
      <c r="C2382" s="645"/>
      <c r="D2382" s="422" t="s">
        <v>400</v>
      </c>
      <c r="E2382" s="423"/>
      <c r="F2382" s="424">
        <v>30</v>
      </c>
      <c r="G2382" s="425">
        <f>VLOOKUP(D2378,'[2]ENSAIOS DE ORÇAMENTO'!$C$3:$L$79,3,FALSE)</f>
        <v>0</v>
      </c>
      <c r="H2382" s="663">
        <f t="shared" si="634"/>
        <v>0</v>
      </c>
      <c r="I2382" s="420"/>
      <c r="J2382" s="420"/>
      <c r="K2382" s="421">
        <f t="shared" si="627"/>
        <v>0</v>
      </c>
      <c r="L2382" s="647"/>
      <c r="M2382" s="723"/>
      <c r="N2382" s="576">
        <f t="shared" si="616"/>
        <v>0</v>
      </c>
      <c r="O2382" s="577">
        <f t="shared" si="630"/>
        <v>0</v>
      </c>
      <c r="P2382" s="578">
        <f t="shared" si="631"/>
        <v>0</v>
      </c>
      <c r="Q2382" s="765"/>
      <c r="R2382" s="723"/>
      <c r="S2382" s="723"/>
      <c r="T2382" s="577">
        <f t="shared" si="628"/>
        <v>0</v>
      </c>
      <c r="U2382" s="578">
        <f t="shared" si="629"/>
        <v>0</v>
      </c>
      <c r="V2382" s="579"/>
      <c r="W2382" s="566" t="str">
        <f>IF(U2378&gt;0,"xx",IF(P2378&gt;0,"xy",""))</f>
        <v/>
      </c>
      <c r="X2382" s="586" t="str">
        <f t="shared" si="622"/>
        <v/>
      </c>
      <c r="Y2382" s="586" t="str">
        <f t="shared" si="633"/>
        <v/>
      </c>
      <c r="Z2382" s="586" t="str">
        <f t="shared" si="621"/>
        <v/>
      </c>
    </row>
    <row r="2383" spans="1:26" ht="12" hidden="1" thickBot="1" x14ac:dyDescent="0.25">
      <c r="A2383" s="567" t="s">
        <v>168</v>
      </c>
      <c r="B2383" s="644" t="s">
        <v>168</v>
      </c>
      <c r="C2383" s="645"/>
      <c r="D2383" s="422" t="s">
        <v>401</v>
      </c>
      <c r="E2383" s="423"/>
      <c r="F2383" s="424">
        <v>500</v>
      </c>
      <c r="G2383" s="425">
        <f>VLOOKUP(D2378,'[2]ENSAIOS DE ORÇAMENTO'!$C$3:$L$79,10,FALSE)</f>
        <v>0</v>
      </c>
      <c r="H2383" s="649">
        <f>IF(F2383&lt;=30,(0.78*F2383+7.82)*G2383,((0.78*30+7.82)+0.78*(F2383-30))*G2383)</f>
        <v>0</v>
      </c>
      <c r="I2383" s="420"/>
      <c r="J2383" s="420"/>
      <c r="K2383" s="421">
        <f t="shared" si="627"/>
        <v>0</v>
      </c>
      <c r="L2383" s="647"/>
      <c r="M2383" s="723"/>
      <c r="N2383" s="576">
        <f t="shared" si="616"/>
        <v>0</v>
      </c>
      <c r="O2383" s="577">
        <f t="shared" si="630"/>
        <v>0</v>
      </c>
      <c r="P2383" s="578">
        <f t="shared" si="631"/>
        <v>0</v>
      </c>
      <c r="Q2383" s="765"/>
      <c r="R2383" s="723"/>
      <c r="S2383" s="723"/>
      <c r="T2383" s="577">
        <f t="shared" si="628"/>
        <v>0</v>
      </c>
      <c r="U2383" s="578">
        <f t="shared" si="629"/>
        <v>0</v>
      </c>
      <c r="V2383" s="579"/>
      <c r="W2383" s="566" t="str">
        <f>IF(U2378&gt;0,"xx",IF(P2378&gt;0,"xy",""))</f>
        <v/>
      </c>
      <c r="X2383" s="586" t="str">
        <f t="shared" si="622"/>
        <v/>
      </c>
      <c r="Y2383" s="586" t="str">
        <f t="shared" si="633"/>
        <v/>
      </c>
      <c r="Z2383" s="586" t="str">
        <f t="shared" si="621"/>
        <v/>
      </c>
    </row>
    <row r="2384" spans="1:26" ht="12" hidden="1" thickBot="1" x14ac:dyDescent="0.25">
      <c r="A2384" s="567" t="s">
        <v>41</v>
      </c>
      <c r="B2384" s="644" t="s">
        <v>41</v>
      </c>
      <c r="C2384" s="645" t="s">
        <v>206</v>
      </c>
      <c r="D2384" s="422" t="s">
        <v>417</v>
      </c>
      <c r="E2384" s="423"/>
      <c r="F2384" s="424"/>
      <c r="G2384" s="425"/>
      <c r="H2384" s="651">
        <f>SUM(H2385:H2389)</f>
        <v>402.09418051819995</v>
      </c>
      <c r="I2384" s="420">
        <f>VLOOKUP(D2384,'[2]ENSAIOS DE ORÇAMENTO'!$C$3:$L$79,8,FALSE)</f>
        <v>2390.501674983333</v>
      </c>
      <c r="J2384" s="420">
        <f>IF(ISBLANK(I2384),"",SUM(H2384:I2384))</f>
        <v>2792.5958555015332</v>
      </c>
      <c r="K2384" s="421">
        <f t="shared" si="627"/>
        <v>3317.88</v>
      </c>
      <c r="L2384" s="647" t="s">
        <v>21</v>
      </c>
      <c r="M2384" s="576"/>
      <c r="N2384" s="576">
        <f t="shared" si="616"/>
        <v>0</v>
      </c>
      <c r="O2384" s="577">
        <f t="shared" si="630"/>
        <v>0</v>
      </c>
      <c r="P2384" s="578">
        <f t="shared" si="631"/>
        <v>0</v>
      </c>
      <c r="Q2384" s="765"/>
      <c r="R2384" s="576">
        <f>M2384</f>
        <v>0</v>
      </c>
      <c r="S2384" s="576">
        <f>N2384</f>
        <v>0</v>
      </c>
      <c r="T2384" s="577">
        <f t="shared" si="628"/>
        <v>0</v>
      </c>
      <c r="U2384" s="578">
        <f t="shared" si="629"/>
        <v>0</v>
      </c>
      <c r="V2384" s="579"/>
      <c r="W2384" s="566"/>
      <c r="X2384" s="586" t="str">
        <f t="shared" si="622"/>
        <v/>
      </c>
      <c r="Y2384" s="586" t="str">
        <f t="shared" si="633"/>
        <v/>
      </c>
      <c r="Z2384" s="586" t="str">
        <f t="shared" si="621"/>
        <v/>
      </c>
    </row>
    <row r="2385" spans="1:26" ht="12" hidden="1" thickBot="1" x14ac:dyDescent="0.25">
      <c r="A2385" s="567" t="s">
        <v>168</v>
      </c>
      <c r="B2385" s="644" t="s">
        <v>168</v>
      </c>
      <c r="C2385" s="645"/>
      <c r="D2385" s="422" t="s">
        <v>212</v>
      </c>
      <c r="E2385" s="423"/>
      <c r="F2385" s="424">
        <v>500</v>
      </c>
      <c r="G2385" s="425">
        <f>VLOOKUP(D2384,'[2]ENSAIOS DE ORÇAMENTO'!$C$3:$L$79,4,FALSE)</f>
        <v>0.38327894999999995</v>
      </c>
      <c r="H2385" s="649">
        <f>IF(F2385&lt;=30,(0.78*F2385+7.82)*G2385,((0.78*30+7.82)+0.78*(F2385-30))*G2385)</f>
        <v>152.47603188900001</v>
      </c>
      <c r="I2385" s="420"/>
      <c r="J2385" s="420"/>
      <c r="K2385" s="421">
        <f t="shared" si="627"/>
        <v>0</v>
      </c>
      <c r="L2385" s="647"/>
      <c r="M2385" s="723"/>
      <c r="N2385" s="576">
        <f t="shared" si="616"/>
        <v>0</v>
      </c>
      <c r="O2385" s="577">
        <f t="shared" si="630"/>
        <v>0</v>
      </c>
      <c r="P2385" s="578">
        <f t="shared" si="631"/>
        <v>0</v>
      </c>
      <c r="Q2385" s="765"/>
      <c r="R2385" s="723"/>
      <c r="S2385" s="723"/>
      <c r="T2385" s="577">
        <f t="shared" si="628"/>
        <v>0</v>
      </c>
      <c r="U2385" s="578">
        <f t="shared" si="629"/>
        <v>0</v>
      </c>
      <c r="V2385" s="579"/>
      <c r="W2385" s="566" t="str">
        <f>IF(U2384&gt;0,"xx",IF(P2384&gt;0,"xy",""))</f>
        <v/>
      </c>
      <c r="X2385" s="586" t="str">
        <f t="shared" si="622"/>
        <v/>
      </c>
      <c r="Y2385" s="586" t="str">
        <f t="shared" si="633"/>
        <v/>
      </c>
      <c r="Z2385" s="586" t="str">
        <f t="shared" si="621"/>
        <v/>
      </c>
    </row>
    <row r="2386" spans="1:26" ht="12" hidden="1" thickBot="1" x14ac:dyDescent="0.25">
      <c r="A2386" s="567" t="s">
        <v>168</v>
      </c>
      <c r="B2386" s="644" t="s">
        <v>168</v>
      </c>
      <c r="C2386" s="645"/>
      <c r="D2386" s="422" t="s">
        <v>248</v>
      </c>
      <c r="E2386" s="423"/>
      <c r="F2386" s="424">
        <v>180</v>
      </c>
      <c r="G2386" s="425">
        <f>VLOOKUP(D2384,'[2]ENSAIOS DE ORÇAMENTO'!$C$3:$L$79,5,FALSE)</f>
        <v>1.1143076149999998</v>
      </c>
      <c r="H2386" s="663">
        <f t="shared" ref="H2386:H2388" si="635">IF(F2386&lt;=30,(1.07*F2386+2.68)*G2386,((1.07*30+2.68)+1.07*(F2386-30))*G2386)</f>
        <v>217.60199105719994</v>
      </c>
      <c r="I2386" s="420"/>
      <c r="J2386" s="420"/>
      <c r="K2386" s="421">
        <f t="shared" si="627"/>
        <v>0</v>
      </c>
      <c r="L2386" s="647"/>
      <c r="M2386" s="723"/>
      <c r="N2386" s="576">
        <f t="shared" si="616"/>
        <v>0</v>
      </c>
      <c r="O2386" s="577">
        <f t="shared" si="630"/>
        <v>0</v>
      </c>
      <c r="P2386" s="578">
        <f t="shared" si="631"/>
        <v>0</v>
      </c>
      <c r="Q2386" s="765"/>
      <c r="R2386" s="723"/>
      <c r="S2386" s="723"/>
      <c r="T2386" s="577">
        <f t="shared" si="628"/>
        <v>0</v>
      </c>
      <c r="U2386" s="578">
        <f t="shared" si="629"/>
        <v>0</v>
      </c>
      <c r="V2386" s="579"/>
      <c r="W2386" s="566" t="str">
        <f>IF(U2384&gt;0,"xx",IF(P2384&gt;0,"xy",""))</f>
        <v/>
      </c>
      <c r="X2386" s="586" t="str">
        <f t="shared" si="622"/>
        <v/>
      </c>
      <c r="Y2386" s="586" t="str">
        <f t="shared" si="633"/>
        <v/>
      </c>
      <c r="Z2386" s="586" t="str">
        <f t="shared" si="621"/>
        <v/>
      </c>
    </row>
    <row r="2387" spans="1:26" ht="12" hidden="1" thickBot="1" x14ac:dyDescent="0.25">
      <c r="A2387" s="567" t="s">
        <v>168</v>
      </c>
      <c r="B2387" s="644" t="s">
        <v>168</v>
      </c>
      <c r="C2387" s="645"/>
      <c r="D2387" s="422" t="s">
        <v>252</v>
      </c>
      <c r="E2387" s="423"/>
      <c r="F2387" s="424">
        <v>20</v>
      </c>
      <c r="G2387" s="425">
        <f>VLOOKUP(D2384,'[2]ENSAIOS DE ORÇAMENTO'!$C$3:$L$79,6,FALSE)</f>
        <v>1.3295746499999999</v>
      </c>
      <c r="H2387" s="663">
        <f t="shared" si="635"/>
        <v>32.016157571999997</v>
      </c>
      <c r="I2387" s="420"/>
      <c r="J2387" s="420"/>
      <c r="K2387" s="421">
        <f t="shared" si="627"/>
        <v>0</v>
      </c>
      <c r="L2387" s="647"/>
      <c r="M2387" s="723"/>
      <c r="N2387" s="576">
        <f t="shared" si="616"/>
        <v>0</v>
      </c>
      <c r="O2387" s="577">
        <f t="shared" si="630"/>
        <v>0</v>
      </c>
      <c r="P2387" s="578">
        <f t="shared" si="631"/>
        <v>0</v>
      </c>
      <c r="Q2387" s="765"/>
      <c r="R2387" s="723"/>
      <c r="S2387" s="723"/>
      <c r="T2387" s="577">
        <f t="shared" si="628"/>
        <v>0</v>
      </c>
      <c r="U2387" s="578">
        <f t="shared" si="629"/>
        <v>0</v>
      </c>
      <c r="V2387" s="579"/>
      <c r="W2387" s="566" t="str">
        <f>IF(U2384&gt;0,"xx",IF(P2384&gt;0,"xy",""))</f>
        <v/>
      </c>
      <c r="X2387" s="586" t="str">
        <f t="shared" si="622"/>
        <v/>
      </c>
      <c r="Y2387" s="586" t="str">
        <f t="shared" si="633"/>
        <v/>
      </c>
      <c r="Z2387" s="586" t="str">
        <f t="shared" si="621"/>
        <v/>
      </c>
    </row>
    <row r="2388" spans="1:26" ht="12" hidden="1" thickBot="1" x14ac:dyDescent="0.25">
      <c r="A2388" s="567" t="s">
        <v>168</v>
      </c>
      <c r="B2388" s="644" t="s">
        <v>168</v>
      </c>
      <c r="C2388" s="645"/>
      <c r="D2388" s="422" t="s">
        <v>400</v>
      </c>
      <c r="E2388" s="423"/>
      <c r="F2388" s="424">
        <v>30</v>
      </c>
      <c r="G2388" s="425">
        <f>VLOOKUP(D2384,'[2]ENSAIOS DE ORÇAMENTO'!$C$3:$L$79,3,FALSE)</f>
        <v>0</v>
      </c>
      <c r="H2388" s="663">
        <f t="shared" si="635"/>
        <v>0</v>
      </c>
      <c r="I2388" s="420"/>
      <c r="J2388" s="420"/>
      <c r="K2388" s="421">
        <f t="shared" si="627"/>
        <v>0</v>
      </c>
      <c r="L2388" s="647"/>
      <c r="M2388" s="723"/>
      <c r="N2388" s="576">
        <f t="shared" ref="N2388:N2451" si="636">IF(M2388=0,0,K2388)</f>
        <v>0</v>
      </c>
      <c r="O2388" s="577">
        <f t="shared" si="630"/>
        <v>0</v>
      </c>
      <c r="P2388" s="578">
        <f t="shared" si="631"/>
        <v>0</v>
      </c>
      <c r="Q2388" s="765"/>
      <c r="R2388" s="723"/>
      <c r="S2388" s="723"/>
      <c r="T2388" s="577">
        <f t="shared" si="628"/>
        <v>0</v>
      </c>
      <c r="U2388" s="578">
        <f t="shared" si="629"/>
        <v>0</v>
      </c>
      <c r="V2388" s="579"/>
      <c r="W2388" s="566" t="str">
        <f>IF(U2384&gt;0,"xx",IF(P2384&gt;0,"xy",""))</f>
        <v/>
      </c>
      <c r="X2388" s="586" t="str">
        <f t="shared" si="622"/>
        <v/>
      </c>
      <c r="Y2388" s="586" t="str">
        <f t="shared" si="633"/>
        <v/>
      </c>
      <c r="Z2388" s="586" t="str">
        <f t="shared" si="621"/>
        <v/>
      </c>
    </row>
    <row r="2389" spans="1:26" ht="12" hidden="1" thickBot="1" x14ac:dyDescent="0.25">
      <c r="A2389" s="567" t="s">
        <v>168</v>
      </c>
      <c r="B2389" s="644" t="s">
        <v>168</v>
      </c>
      <c r="C2389" s="645"/>
      <c r="D2389" s="422" t="s">
        <v>401</v>
      </c>
      <c r="E2389" s="423"/>
      <c r="F2389" s="424">
        <v>500</v>
      </c>
      <c r="G2389" s="425">
        <f>VLOOKUP(D2384,'[2]ENSAIOS DE ORÇAMENTO'!$C$3:$L$79,10,FALSE)</f>
        <v>0</v>
      </c>
      <c r="H2389" s="649">
        <f>IF(F2389&lt;=30,(0.78*F2389+7.82)*G2389,((0.78*30+7.82)+0.78*(F2389-30))*G2389)</f>
        <v>0</v>
      </c>
      <c r="I2389" s="420"/>
      <c r="J2389" s="420"/>
      <c r="K2389" s="421">
        <f t="shared" si="627"/>
        <v>0</v>
      </c>
      <c r="L2389" s="647"/>
      <c r="M2389" s="723"/>
      <c r="N2389" s="576">
        <f t="shared" si="636"/>
        <v>0</v>
      </c>
      <c r="O2389" s="577">
        <f t="shared" si="630"/>
        <v>0</v>
      </c>
      <c r="P2389" s="578">
        <f t="shared" si="631"/>
        <v>0</v>
      </c>
      <c r="Q2389" s="765"/>
      <c r="R2389" s="723"/>
      <c r="S2389" s="723"/>
      <c r="T2389" s="577">
        <f t="shared" si="628"/>
        <v>0</v>
      </c>
      <c r="U2389" s="578">
        <f t="shared" si="629"/>
        <v>0</v>
      </c>
      <c r="V2389" s="579"/>
      <c r="W2389" s="566" t="str">
        <f>IF(U2384&gt;0,"xx",IF(P2384&gt;0,"xy",""))</f>
        <v/>
      </c>
      <c r="X2389" s="586" t="str">
        <f t="shared" si="622"/>
        <v/>
      </c>
      <c r="Y2389" s="586" t="str">
        <f t="shared" si="633"/>
        <v/>
      </c>
      <c r="Z2389" s="586" t="str">
        <f t="shared" si="621"/>
        <v/>
      </c>
    </row>
    <row r="2390" spans="1:26" ht="12" hidden="1" thickBot="1" x14ac:dyDescent="0.25">
      <c r="A2390" s="567" t="s">
        <v>42</v>
      </c>
      <c r="B2390" s="644" t="s">
        <v>42</v>
      </c>
      <c r="C2390" s="645" t="s">
        <v>206</v>
      </c>
      <c r="D2390" s="422" t="s">
        <v>418</v>
      </c>
      <c r="E2390" s="423"/>
      <c r="F2390" s="424"/>
      <c r="G2390" s="425"/>
      <c r="H2390" s="651">
        <f>SUM(H2391:H2395)</f>
        <v>590.83642489520014</v>
      </c>
      <c r="I2390" s="420">
        <f>VLOOKUP(D2390,'[2]ENSAIOS DE ORÇAMENTO'!$C$3:$L$79,8,FALSE)</f>
        <v>3484.3103660666666</v>
      </c>
      <c r="J2390" s="420">
        <f>IF(ISBLANK(I2390),"",SUM(H2390:I2390))</f>
        <v>4075.1467909618668</v>
      </c>
      <c r="K2390" s="421">
        <f t="shared" si="627"/>
        <v>4841.68</v>
      </c>
      <c r="L2390" s="647" t="s">
        <v>21</v>
      </c>
      <c r="M2390" s="576"/>
      <c r="N2390" s="576">
        <f t="shared" si="636"/>
        <v>0</v>
      </c>
      <c r="O2390" s="577">
        <f t="shared" si="630"/>
        <v>0</v>
      </c>
      <c r="P2390" s="578">
        <f t="shared" si="631"/>
        <v>0</v>
      </c>
      <c r="Q2390" s="765"/>
      <c r="R2390" s="576">
        <f>M2390</f>
        <v>0</v>
      </c>
      <c r="S2390" s="576">
        <f>N2390</f>
        <v>0</v>
      </c>
      <c r="T2390" s="577">
        <f t="shared" si="628"/>
        <v>0</v>
      </c>
      <c r="U2390" s="578">
        <f t="shared" si="629"/>
        <v>0</v>
      </c>
      <c r="V2390" s="579"/>
      <c r="W2390" s="566"/>
      <c r="X2390" s="586" t="str">
        <f t="shared" si="622"/>
        <v/>
      </c>
      <c r="Y2390" s="586" t="str">
        <f t="shared" si="633"/>
        <v/>
      </c>
      <c r="Z2390" s="586" t="str">
        <f t="shared" si="621"/>
        <v/>
      </c>
    </row>
    <row r="2391" spans="1:26" ht="12" hidden="1" thickBot="1" x14ac:dyDescent="0.25">
      <c r="A2391" s="567" t="s">
        <v>168</v>
      </c>
      <c r="B2391" s="644" t="s">
        <v>168</v>
      </c>
      <c r="C2391" s="645"/>
      <c r="D2391" s="422" t="s">
        <v>212</v>
      </c>
      <c r="E2391" s="423"/>
      <c r="F2391" s="424">
        <v>500</v>
      </c>
      <c r="G2391" s="425">
        <f>VLOOKUP(D2390,'[2]ENSAIOS DE ORÇAMENTO'!$C$3:$L$79,4,FALSE)</f>
        <v>0.56408220000000009</v>
      </c>
      <c r="H2391" s="649">
        <f>IF(F2391&lt;=30,(0.78*F2391+7.82)*G2391,((0.78*30+7.82)+0.78*(F2391-30))*G2391)</f>
        <v>224.40318080400007</v>
      </c>
      <c r="I2391" s="420"/>
      <c r="J2391" s="420"/>
      <c r="K2391" s="421">
        <f t="shared" si="627"/>
        <v>0</v>
      </c>
      <c r="L2391" s="647"/>
      <c r="M2391" s="723"/>
      <c r="N2391" s="576">
        <f t="shared" si="636"/>
        <v>0</v>
      </c>
      <c r="O2391" s="577">
        <f t="shared" si="630"/>
        <v>0</v>
      </c>
      <c r="P2391" s="578">
        <f t="shared" si="631"/>
        <v>0</v>
      </c>
      <c r="Q2391" s="765"/>
      <c r="R2391" s="723"/>
      <c r="S2391" s="723"/>
      <c r="T2391" s="577">
        <f t="shared" si="628"/>
        <v>0</v>
      </c>
      <c r="U2391" s="578">
        <f t="shared" si="629"/>
        <v>0</v>
      </c>
      <c r="V2391" s="579"/>
      <c r="W2391" s="566" t="str">
        <f>IF(U2390&gt;0,"xx",IF(P2390&gt;0,"xy",""))</f>
        <v/>
      </c>
      <c r="X2391" s="586" t="str">
        <f t="shared" si="622"/>
        <v/>
      </c>
      <c r="Y2391" s="586" t="str">
        <f t="shared" si="633"/>
        <v/>
      </c>
      <c r="Z2391" s="586" t="str">
        <f t="shared" si="621"/>
        <v/>
      </c>
    </row>
    <row r="2392" spans="1:26" ht="12" hidden="1" thickBot="1" x14ac:dyDescent="0.25">
      <c r="A2392" s="567" t="s">
        <v>168</v>
      </c>
      <c r="B2392" s="644" t="s">
        <v>168</v>
      </c>
      <c r="C2392" s="645"/>
      <c r="D2392" s="422" t="s">
        <v>248</v>
      </c>
      <c r="E2392" s="423"/>
      <c r="F2392" s="424">
        <v>180</v>
      </c>
      <c r="G2392" s="425">
        <f>VLOOKUP(D2390,'[2]ENSAIOS DE ORÇAMENTO'!$C$3:$L$79,5,FALSE)</f>
        <v>1.6356421400000001</v>
      </c>
      <c r="H2392" s="663">
        <f t="shared" ref="H2392:H2394" si="637">IF(F2392&lt;=30,(1.07*F2392+2.68)*G2392,((1.07*30+2.68)+1.07*(F2392-30))*G2392)</f>
        <v>319.40819709920004</v>
      </c>
      <c r="I2392" s="420"/>
      <c r="J2392" s="420"/>
      <c r="K2392" s="421">
        <f t="shared" si="627"/>
        <v>0</v>
      </c>
      <c r="L2392" s="647"/>
      <c r="M2392" s="723"/>
      <c r="N2392" s="576">
        <f t="shared" si="636"/>
        <v>0</v>
      </c>
      <c r="O2392" s="577">
        <f t="shared" si="630"/>
        <v>0</v>
      </c>
      <c r="P2392" s="578">
        <f t="shared" si="631"/>
        <v>0</v>
      </c>
      <c r="Q2392" s="765"/>
      <c r="R2392" s="723"/>
      <c r="S2392" s="723"/>
      <c r="T2392" s="577">
        <f t="shared" si="628"/>
        <v>0</v>
      </c>
      <c r="U2392" s="578">
        <f t="shared" si="629"/>
        <v>0</v>
      </c>
      <c r="V2392" s="579"/>
      <c r="W2392" s="566" t="str">
        <f>IF(U2390&gt;0,"xx",IF(P2390&gt;0,"xy",""))</f>
        <v/>
      </c>
      <c r="X2392" s="586" t="str">
        <f t="shared" si="622"/>
        <v/>
      </c>
      <c r="Y2392" s="586" t="str">
        <f t="shared" si="633"/>
        <v/>
      </c>
      <c r="Z2392" s="586" t="str">
        <f t="shared" si="621"/>
        <v/>
      </c>
    </row>
    <row r="2393" spans="1:26" ht="12" hidden="1" thickBot="1" x14ac:dyDescent="0.25">
      <c r="A2393" s="567" t="s">
        <v>168</v>
      </c>
      <c r="B2393" s="644" t="s">
        <v>168</v>
      </c>
      <c r="C2393" s="645"/>
      <c r="D2393" s="422" t="s">
        <v>252</v>
      </c>
      <c r="E2393" s="423"/>
      <c r="F2393" s="424">
        <v>20</v>
      </c>
      <c r="G2393" s="425">
        <f>VLOOKUP(D2390,'[2]ENSAIOS DE ORÇAMENTO'!$C$3:$L$79,6,FALSE)</f>
        <v>1.9528674000000004</v>
      </c>
      <c r="H2393" s="663">
        <f t="shared" si="637"/>
        <v>47.025046992000014</v>
      </c>
      <c r="I2393" s="420"/>
      <c r="J2393" s="420"/>
      <c r="K2393" s="421">
        <f t="shared" si="627"/>
        <v>0</v>
      </c>
      <c r="L2393" s="647"/>
      <c r="M2393" s="723"/>
      <c r="N2393" s="576">
        <f t="shared" si="636"/>
        <v>0</v>
      </c>
      <c r="O2393" s="577">
        <f t="shared" si="630"/>
        <v>0</v>
      </c>
      <c r="P2393" s="578">
        <f t="shared" si="631"/>
        <v>0</v>
      </c>
      <c r="Q2393" s="765"/>
      <c r="R2393" s="723"/>
      <c r="S2393" s="723"/>
      <c r="T2393" s="577">
        <f t="shared" si="628"/>
        <v>0</v>
      </c>
      <c r="U2393" s="578">
        <f t="shared" si="629"/>
        <v>0</v>
      </c>
      <c r="V2393" s="579"/>
      <c r="W2393" s="566" t="str">
        <f>IF(U2390&gt;0,"xx",IF(P2390&gt;0,"xy",""))</f>
        <v/>
      </c>
      <c r="X2393" s="586" t="str">
        <f t="shared" si="622"/>
        <v/>
      </c>
      <c r="Y2393" s="586" t="str">
        <f t="shared" si="633"/>
        <v/>
      </c>
      <c r="Z2393" s="586" t="str">
        <f t="shared" si="621"/>
        <v/>
      </c>
    </row>
    <row r="2394" spans="1:26" ht="12" hidden="1" thickBot="1" x14ac:dyDescent="0.25">
      <c r="A2394" s="567" t="s">
        <v>168</v>
      </c>
      <c r="B2394" s="644" t="s">
        <v>168</v>
      </c>
      <c r="C2394" s="645"/>
      <c r="D2394" s="422" t="s">
        <v>400</v>
      </c>
      <c r="E2394" s="423"/>
      <c r="F2394" s="424">
        <v>30</v>
      </c>
      <c r="G2394" s="425">
        <f>VLOOKUP(D2390,'[2]ENSAIOS DE ORÇAMENTO'!$C$3:$L$79,3,FALSE)</f>
        <v>0</v>
      </c>
      <c r="H2394" s="663">
        <f t="shared" si="637"/>
        <v>0</v>
      </c>
      <c r="I2394" s="420"/>
      <c r="J2394" s="420"/>
      <c r="K2394" s="421">
        <f t="shared" si="627"/>
        <v>0</v>
      </c>
      <c r="L2394" s="647"/>
      <c r="M2394" s="723"/>
      <c r="N2394" s="576">
        <f t="shared" si="636"/>
        <v>0</v>
      </c>
      <c r="O2394" s="577">
        <f t="shared" si="630"/>
        <v>0</v>
      </c>
      <c r="P2394" s="578">
        <f t="shared" si="631"/>
        <v>0</v>
      </c>
      <c r="Q2394" s="765"/>
      <c r="R2394" s="723"/>
      <c r="S2394" s="723"/>
      <c r="T2394" s="577">
        <f t="shared" si="628"/>
        <v>0</v>
      </c>
      <c r="U2394" s="578">
        <f t="shared" si="629"/>
        <v>0</v>
      </c>
      <c r="V2394" s="579"/>
      <c r="W2394" s="566" t="str">
        <f>IF(U2390&gt;0,"xx",IF(P2390&gt;0,"xy",""))</f>
        <v/>
      </c>
      <c r="X2394" s="586" t="str">
        <f t="shared" si="622"/>
        <v/>
      </c>
      <c r="Y2394" s="586" t="str">
        <f t="shared" si="633"/>
        <v/>
      </c>
      <c r="Z2394" s="586" t="str">
        <f t="shared" si="621"/>
        <v/>
      </c>
    </row>
    <row r="2395" spans="1:26" ht="12" hidden="1" thickBot="1" x14ac:dyDescent="0.25">
      <c r="A2395" s="567" t="s">
        <v>168</v>
      </c>
      <c r="B2395" s="644" t="s">
        <v>168</v>
      </c>
      <c r="C2395" s="645"/>
      <c r="D2395" s="422" t="s">
        <v>401</v>
      </c>
      <c r="E2395" s="423"/>
      <c r="F2395" s="424">
        <v>500</v>
      </c>
      <c r="G2395" s="425">
        <f>VLOOKUP(D2390,'[2]ENSAIOS DE ORÇAMENTO'!$C$3:$L$79,10,FALSE)</f>
        <v>0</v>
      </c>
      <c r="H2395" s="649">
        <f>IF(F2395&lt;=30,(0.78*F2395+7.82)*G2395,((0.78*30+7.82)+0.78*(F2395-30))*G2395)</f>
        <v>0</v>
      </c>
      <c r="I2395" s="420"/>
      <c r="J2395" s="420"/>
      <c r="K2395" s="421">
        <f t="shared" si="627"/>
        <v>0</v>
      </c>
      <c r="L2395" s="647"/>
      <c r="M2395" s="723"/>
      <c r="N2395" s="576">
        <f t="shared" si="636"/>
        <v>0</v>
      </c>
      <c r="O2395" s="577">
        <f t="shared" si="630"/>
        <v>0</v>
      </c>
      <c r="P2395" s="578">
        <f t="shared" si="631"/>
        <v>0</v>
      </c>
      <c r="Q2395" s="765"/>
      <c r="R2395" s="723"/>
      <c r="S2395" s="723"/>
      <c r="T2395" s="577">
        <f t="shared" si="628"/>
        <v>0</v>
      </c>
      <c r="U2395" s="578">
        <f t="shared" si="629"/>
        <v>0</v>
      </c>
      <c r="V2395" s="579"/>
      <c r="W2395" s="566" t="str">
        <f>IF(U2390&gt;0,"xx",IF(P2390&gt;0,"xy",""))</f>
        <v/>
      </c>
      <c r="X2395" s="586" t="str">
        <f t="shared" si="622"/>
        <v/>
      </c>
      <c r="Y2395" s="586" t="str">
        <f t="shared" si="633"/>
        <v/>
      </c>
      <c r="Z2395" s="586" t="str">
        <f t="shared" si="621"/>
        <v/>
      </c>
    </row>
    <row r="2396" spans="1:26" ht="12" hidden="1" thickBot="1" x14ac:dyDescent="0.25">
      <c r="A2396" s="567" t="s">
        <v>43</v>
      </c>
      <c r="B2396" s="644" t="s">
        <v>43</v>
      </c>
      <c r="C2396" s="645" t="s">
        <v>206</v>
      </c>
      <c r="D2396" s="422" t="s">
        <v>419</v>
      </c>
      <c r="E2396" s="423"/>
      <c r="F2396" s="424"/>
      <c r="G2396" s="425"/>
      <c r="H2396" s="651">
        <f>SUM(H2397:H2401)</f>
        <v>817.23322366720015</v>
      </c>
      <c r="I2396" s="420">
        <f>VLOOKUP(D2396,'[2]ENSAIOS DE ORÇAMENTO'!$C$3:$L$79,8,FALSE)</f>
        <v>4805.7457183999995</v>
      </c>
      <c r="J2396" s="420">
        <f>IF(ISBLANK(I2396),"",SUM(H2396:I2396))</f>
        <v>5622.9789420671996</v>
      </c>
      <c r="K2396" s="421">
        <f t="shared" si="627"/>
        <v>6680.66</v>
      </c>
      <c r="L2396" s="647" t="s">
        <v>21</v>
      </c>
      <c r="M2396" s="576"/>
      <c r="N2396" s="576">
        <f t="shared" si="636"/>
        <v>0</v>
      </c>
      <c r="O2396" s="577">
        <f t="shared" si="630"/>
        <v>0</v>
      </c>
      <c r="P2396" s="578">
        <f t="shared" si="631"/>
        <v>0</v>
      </c>
      <c r="Q2396" s="765"/>
      <c r="R2396" s="576">
        <f>M2396</f>
        <v>0</v>
      </c>
      <c r="S2396" s="576">
        <f>N2396</f>
        <v>0</v>
      </c>
      <c r="T2396" s="577">
        <f t="shared" si="628"/>
        <v>0</v>
      </c>
      <c r="U2396" s="578">
        <f t="shared" si="629"/>
        <v>0</v>
      </c>
      <c r="V2396" s="579"/>
      <c r="W2396" s="566"/>
      <c r="X2396" s="586" t="str">
        <f t="shared" si="622"/>
        <v/>
      </c>
      <c r="Y2396" s="586" t="str">
        <f t="shared" si="633"/>
        <v/>
      </c>
      <c r="Z2396" s="586" t="str">
        <f t="shared" si="621"/>
        <v/>
      </c>
    </row>
    <row r="2397" spans="1:26" ht="12" hidden="1" thickBot="1" x14ac:dyDescent="0.25">
      <c r="A2397" s="567" t="s">
        <v>168</v>
      </c>
      <c r="B2397" s="644" t="s">
        <v>168</v>
      </c>
      <c r="C2397" s="645"/>
      <c r="D2397" s="422" t="s">
        <v>212</v>
      </c>
      <c r="E2397" s="423"/>
      <c r="F2397" s="424">
        <v>500</v>
      </c>
      <c r="G2397" s="425">
        <f>VLOOKUP(D2396,'[2]ENSAIOS DE ORÇAMENTO'!$C$3:$L$79,4,FALSE)</f>
        <v>0.77929919999999997</v>
      </c>
      <c r="H2397" s="649">
        <f>IF(F2397&lt;=30,(0.78*F2397+7.82)*G2397,((0.78*30+7.82)+0.78*(F2397-30))*G2397)</f>
        <v>310.02080774400002</v>
      </c>
      <c r="I2397" s="420"/>
      <c r="J2397" s="420"/>
      <c r="K2397" s="421">
        <f t="shared" si="627"/>
        <v>0</v>
      </c>
      <c r="L2397" s="647"/>
      <c r="M2397" s="723"/>
      <c r="N2397" s="576">
        <f t="shared" si="636"/>
        <v>0</v>
      </c>
      <c r="O2397" s="577">
        <f t="shared" si="630"/>
        <v>0</v>
      </c>
      <c r="P2397" s="578">
        <f t="shared" si="631"/>
        <v>0</v>
      </c>
      <c r="Q2397" s="765"/>
      <c r="R2397" s="723"/>
      <c r="S2397" s="723"/>
      <c r="T2397" s="577">
        <f t="shared" si="628"/>
        <v>0</v>
      </c>
      <c r="U2397" s="578">
        <f t="shared" si="629"/>
        <v>0</v>
      </c>
      <c r="V2397" s="579"/>
      <c r="W2397" s="566" t="str">
        <f>IF(U2396&gt;0,"xx",IF(P2396&gt;0,"xy",""))</f>
        <v/>
      </c>
      <c r="X2397" s="586" t="str">
        <f t="shared" si="622"/>
        <v/>
      </c>
      <c r="Y2397" s="586" t="str">
        <f t="shared" si="633"/>
        <v/>
      </c>
      <c r="Z2397" s="586" t="str">
        <f t="shared" si="621"/>
        <v/>
      </c>
    </row>
    <row r="2398" spans="1:26" ht="12" hidden="1" thickBot="1" x14ac:dyDescent="0.25">
      <c r="A2398" s="567" t="s">
        <v>168</v>
      </c>
      <c r="B2398" s="644" t="s">
        <v>168</v>
      </c>
      <c r="C2398" s="645"/>
      <c r="D2398" s="422" t="s">
        <v>248</v>
      </c>
      <c r="E2398" s="423"/>
      <c r="F2398" s="424">
        <v>180</v>
      </c>
      <c r="G2398" s="425">
        <f>VLOOKUP(D2396,'[2]ENSAIOS DE ORÇAMENTO'!$C$3:$L$79,5,FALSE)</f>
        <v>2.26417504</v>
      </c>
      <c r="H2398" s="663">
        <f t="shared" ref="H2398:H2400" si="638">IF(F2398&lt;=30,(1.07*F2398+2.68)*G2398,((1.07*30+2.68)+1.07*(F2398-30))*G2398)</f>
        <v>442.14810181120004</v>
      </c>
      <c r="I2398" s="420"/>
      <c r="J2398" s="420"/>
      <c r="K2398" s="421">
        <f t="shared" si="627"/>
        <v>0</v>
      </c>
      <c r="L2398" s="647"/>
      <c r="M2398" s="723"/>
      <c r="N2398" s="576">
        <f t="shared" si="636"/>
        <v>0</v>
      </c>
      <c r="O2398" s="577">
        <f t="shared" si="630"/>
        <v>0</v>
      </c>
      <c r="P2398" s="578">
        <f t="shared" si="631"/>
        <v>0</v>
      </c>
      <c r="Q2398" s="765"/>
      <c r="R2398" s="723"/>
      <c r="S2398" s="723"/>
      <c r="T2398" s="577">
        <f t="shared" si="628"/>
        <v>0</v>
      </c>
      <c r="U2398" s="578">
        <f t="shared" si="629"/>
        <v>0</v>
      </c>
      <c r="V2398" s="579"/>
      <c r="W2398" s="566" t="str">
        <f>IF(U2396&gt;0,"xx",IF(P2396&gt;0,"xy",""))</f>
        <v/>
      </c>
      <c r="X2398" s="586" t="str">
        <f t="shared" si="622"/>
        <v/>
      </c>
      <c r="Y2398" s="586" t="str">
        <f t="shared" si="633"/>
        <v/>
      </c>
      <c r="Z2398" s="586" t="str">
        <f t="shared" si="621"/>
        <v/>
      </c>
    </row>
    <row r="2399" spans="1:26" ht="12" hidden="1" thickBot="1" x14ac:dyDescent="0.25">
      <c r="A2399" s="567" t="s">
        <v>168</v>
      </c>
      <c r="B2399" s="644" t="s">
        <v>168</v>
      </c>
      <c r="C2399" s="645"/>
      <c r="D2399" s="422" t="s">
        <v>252</v>
      </c>
      <c r="E2399" s="423"/>
      <c r="F2399" s="424">
        <v>20</v>
      </c>
      <c r="G2399" s="425">
        <f>VLOOKUP(D2396,'[2]ENSAIOS DE ORÇAMENTO'!$C$3:$L$79,6,FALSE)</f>
        <v>2.7020064000000001</v>
      </c>
      <c r="H2399" s="663">
        <f t="shared" si="638"/>
        <v>65.064314112000005</v>
      </c>
      <c r="I2399" s="420"/>
      <c r="J2399" s="420"/>
      <c r="K2399" s="421">
        <f t="shared" si="627"/>
        <v>0</v>
      </c>
      <c r="L2399" s="647"/>
      <c r="M2399" s="723"/>
      <c r="N2399" s="576">
        <f t="shared" si="636"/>
        <v>0</v>
      </c>
      <c r="O2399" s="577">
        <f t="shared" si="630"/>
        <v>0</v>
      </c>
      <c r="P2399" s="578">
        <f t="shared" si="631"/>
        <v>0</v>
      </c>
      <c r="Q2399" s="765"/>
      <c r="R2399" s="723"/>
      <c r="S2399" s="723"/>
      <c r="T2399" s="577">
        <f t="shared" si="628"/>
        <v>0</v>
      </c>
      <c r="U2399" s="578">
        <f t="shared" si="629"/>
        <v>0</v>
      </c>
      <c r="V2399" s="579"/>
      <c r="W2399" s="566" t="str">
        <f>IF(U2396&gt;0,"xx",IF(P2396&gt;0,"xy",""))</f>
        <v/>
      </c>
      <c r="X2399" s="586" t="str">
        <f t="shared" si="622"/>
        <v/>
      </c>
      <c r="Y2399" s="586" t="str">
        <f t="shared" si="633"/>
        <v/>
      </c>
      <c r="Z2399" s="586" t="str">
        <f t="shared" si="621"/>
        <v/>
      </c>
    </row>
    <row r="2400" spans="1:26" ht="12" hidden="1" thickBot="1" x14ac:dyDescent="0.25">
      <c r="A2400" s="567" t="s">
        <v>168</v>
      </c>
      <c r="B2400" s="644" t="s">
        <v>168</v>
      </c>
      <c r="C2400" s="645"/>
      <c r="D2400" s="422" t="s">
        <v>400</v>
      </c>
      <c r="E2400" s="423"/>
      <c r="F2400" s="424">
        <v>30</v>
      </c>
      <c r="G2400" s="425">
        <f>VLOOKUP(D2396,'[2]ENSAIOS DE ORÇAMENTO'!$C$3:$L$79,3,FALSE)</f>
        <v>0</v>
      </c>
      <c r="H2400" s="663">
        <f t="shared" si="638"/>
        <v>0</v>
      </c>
      <c r="I2400" s="420"/>
      <c r="J2400" s="420"/>
      <c r="K2400" s="421">
        <f t="shared" si="627"/>
        <v>0</v>
      </c>
      <c r="L2400" s="647"/>
      <c r="M2400" s="723"/>
      <c r="N2400" s="576">
        <f t="shared" si="636"/>
        <v>0</v>
      </c>
      <c r="O2400" s="577">
        <f t="shared" si="630"/>
        <v>0</v>
      </c>
      <c r="P2400" s="578">
        <f t="shared" si="631"/>
        <v>0</v>
      </c>
      <c r="Q2400" s="765"/>
      <c r="R2400" s="723"/>
      <c r="S2400" s="723"/>
      <c r="T2400" s="577">
        <f t="shared" si="628"/>
        <v>0</v>
      </c>
      <c r="U2400" s="578">
        <f t="shared" si="629"/>
        <v>0</v>
      </c>
      <c r="V2400" s="579"/>
      <c r="W2400" s="566" t="str">
        <f>IF(U2396&gt;0,"xx",IF(P2396&gt;0,"xy",""))</f>
        <v/>
      </c>
      <c r="X2400" s="586" t="str">
        <f t="shared" si="622"/>
        <v/>
      </c>
      <c r="Y2400" s="586" t="str">
        <f t="shared" si="633"/>
        <v/>
      </c>
      <c r="Z2400" s="586" t="str">
        <f t="shared" si="621"/>
        <v/>
      </c>
    </row>
    <row r="2401" spans="1:26" ht="12" hidden="1" thickBot="1" x14ac:dyDescent="0.25">
      <c r="A2401" s="567" t="s">
        <v>168</v>
      </c>
      <c r="B2401" s="644" t="s">
        <v>168</v>
      </c>
      <c r="C2401" s="645"/>
      <c r="D2401" s="422" t="s">
        <v>401</v>
      </c>
      <c r="E2401" s="423"/>
      <c r="F2401" s="424">
        <v>500</v>
      </c>
      <c r="G2401" s="425">
        <f>VLOOKUP(D2396,'[2]ENSAIOS DE ORÇAMENTO'!$C$3:$L$79,10,FALSE)</f>
        <v>0</v>
      </c>
      <c r="H2401" s="649">
        <f>IF(F2401&lt;=30,(0.78*F2401+7.82)*G2401,((0.78*30+7.82)+0.78*(F2401-30))*G2401)</f>
        <v>0</v>
      </c>
      <c r="I2401" s="420"/>
      <c r="J2401" s="420"/>
      <c r="K2401" s="421">
        <f t="shared" si="627"/>
        <v>0</v>
      </c>
      <c r="L2401" s="647"/>
      <c r="M2401" s="723"/>
      <c r="N2401" s="576">
        <f t="shared" si="636"/>
        <v>0</v>
      </c>
      <c r="O2401" s="577">
        <f t="shared" si="630"/>
        <v>0</v>
      </c>
      <c r="P2401" s="578">
        <f t="shared" si="631"/>
        <v>0</v>
      </c>
      <c r="Q2401" s="765"/>
      <c r="R2401" s="723"/>
      <c r="S2401" s="723"/>
      <c r="T2401" s="577">
        <f t="shared" si="628"/>
        <v>0</v>
      </c>
      <c r="U2401" s="578">
        <f t="shared" si="629"/>
        <v>0</v>
      </c>
      <c r="V2401" s="579"/>
      <c r="W2401" s="566" t="str">
        <f>IF(U2396&gt;0,"xx",IF(P2396&gt;0,"xy",""))</f>
        <v/>
      </c>
      <c r="X2401" s="586" t="str">
        <f t="shared" si="622"/>
        <v/>
      </c>
      <c r="Y2401" s="586" t="str">
        <f t="shared" si="633"/>
        <v/>
      </c>
      <c r="Z2401" s="586" t="str">
        <f t="shared" si="621"/>
        <v/>
      </c>
    </row>
    <row r="2402" spans="1:26" ht="12" hidden="1" thickBot="1" x14ac:dyDescent="0.25">
      <c r="A2402" s="567" t="s">
        <v>44</v>
      </c>
      <c r="B2402" s="644" t="s">
        <v>44</v>
      </c>
      <c r="C2402" s="645" t="s">
        <v>206</v>
      </c>
      <c r="D2402" s="422" t="s">
        <v>420</v>
      </c>
      <c r="E2402" s="423"/>
      <c r="F2402" s="424"/>
      <c r="G2402" s="425"/>
      <c r="H2402" s="651">
        <f>SUM(H2403:H2407)</f>
        <v>1267.4930508222001</v>
      </c>
      <c r="I2402" s="420">
        <f>VLOOKUP(D2402,'[2]ENSAIOS DE ORÇAMENTO'!$C$3:$L$79,8,FALSE)</f>
        <v>7260.3459926499991</v>
      </c>
      <c r="J2402" s="420">
        <f>IF(ISBLANK(I2402),"",SUM(H2402:I2402))</f>
        <v>8527.8390434721987</v>
      </c>
      <c r="K2402" s="421">
        <f t="shared" si="627"/>
        <v>10131.93</v>
      </c>
      <c r="L2402" s="647" t="s">
        <v>21</v>
      </c>
      <c r="M2402" s="576"/>
      <c r="N2402" s="576">
        <f t="shared" si="636"/>
        <v>0</v>
      </c>
      <c r="O2402" s="577">
        <f t="shared" si="630"/>
        <v>0</v>
      </c>
      <c r="P2402" s="578">
        <f t="shared" si="631"/>
        <v>0</v>
      </c>
      <c r="Q2402" s="765"/>
      <c r="R2402" s="576">
        <f>M2402</f>
        <v>0</v>
      </c>
      <c r="S2402" s="576">
        <f>N2402</f>
        <v>0</v>
      </c>
      <c r="T2402" s="577">
        <f t="shared" si="628"/>
        <v>0</v>
      </c>
      <c r="U2402" s="578">
        <f t="shared" si="629"/>
        <v>0</v>
      </c>
      <c r="V2402" s="579"/>
      <c r="W2402" s="566"/>
      <c r="X2402" s="586" t="str">
        <f t="shared" si="622"/>
        <v/>
      </c>
      <c r="Y2402" s="586" t="str">
        <f t="shared" si="633"/>
        <v/>
      </c>
      <c r="Z2402" s="586" t="str">
        <f t="shared" si="621"/>
        <v/>
      </c>
    </row>
    <row r="2403" spans="1:26" ht="12" hidden="1" thickBot="1" x14ac:dyDescent="0.25">
      <c r="A2403" s="567" t="s">
        <v>168</v>
      </c>
      <c r="B2403" s="644" t="s">
        <v>168</v>
      </c>
      <c r="C2403" s="645"/>
      <c r="D2403" s="422" t="s">
        <v>212</v>
      </c>
      <c r="E2403" s="423"/>
      <c r="F2403" s="424">
        <v>500</v>
      </c>
      <c r="G2403" s="425">
        <f>VLOOKUP(D2402,'[2]ENSAIOS DE ORÇAMENTO'!$C$3:$L$79,4,FALSE)</f>
        <v>1.2096229499999998</v>
      </c>
      <c r="H2403" s="649">
        <f>IF(F2403&lt;=30,(0.78*F2403+7.82)*G2403,((0.78*30+7.82)+0.78*(F2403-30))*G2403)</f>
        <v>481.21220196899998</v>
      </c>
      <c r="I2403" s="420"/>
      <c r="J2403" s="420"/>
      <c r="K2403" s="421">
        <f t="shared" si="627"/>
        <v>0</v>
      </c>
      <c r="L2403" s="647"/>
      <c r="M2403" s="723"/>
      <c r="N2403" s="576">
        <f t="shared" si="636"/>
        <v>0</v>
      </c>
      <c r="O2403" s="577">
        <f t="shared" si="630"/>
        <v>0</v>
      </c>
      <c r="P2403" s="578">
        <f t="shared" si="631"/>
        <v>0</v>
      </c>
      <c r="Q2403" s="765"/>
      <c r="R2403" s="723"/>
      <c r="S2403" s="723"/>
      <c r="T2403" s="577">
        <f t="shared" si="628"/>
        <v>0</v>
      </c>
      <c r="U2403" s="578">
        <f t="shared" si="629"/>
        <v>0</v>
      </c>
      <c r="V2403" s="579"/>
      <c r="W2403" s="566" t="str">
        <f>IF(U2402&gt;0,"xx",IF(P2402&gt;0,"xy",""))</f>
        <v/>
      </c>
      <c r="X2403" s="586" t="str">
        <f t="shared" si="622"/>
        <v/>
      </c>
      <c r="Y2403" s="586" t="str">
        <f t="shared" si="633"/>
        <v/>
      </c>
      <c r="Z2403" s="586" t="str">
        <f t="shared" si="621"/>
        <v/>
      </c>
    </row>
    <row r="2404" spans="1:26" ht="12" hidden="1" thickBot="1" x14ac:dyDescent="0.25">
      <c r="A2404" s="567" t="s">
        <v>168</v>
      </c>
      <c r="B2404" s="644" t="s">
        <v>168</v>
      </c>
      <c r="C2404" s="645"/>
      <c r="D2404" s="422" t="s">
        <v>248</v>
      </c>
      <c r="E2404" s="423"/>
      <c r="F2404" s="424">
        <v>180</v>
      </c>
      <c r="G2404" s="425">
        <f>VLOOKUP(D2402,'[2]ENSAIOS DE ORÇAMENTO'!$C$3:$L$79,5,FALSE)</f>
        <v>3.5097804149999998</v>
      </c>
      <c r="H2404" s="663">
        <f t="shared" ref="H2404:H2406" si="639">IF(F2404&lt;=30,(1.07*F2404+2.68)*G2404,((1.07*30+2.68)+1.07*(F2404-30))*G2404)</f>
        <v>685.38991944119994</v>
      </c>
      <c r="I2404" s="420"/>
      <c r="J2404" s="420"/>
      <c r="K2404" s="421">
        <f t="shared" si="627"/>
        <v>0</v>
      </c>
      <c r="L2404" s="647"/>
      <c r="M2404" s="723"/>
      <c r="N2404" s="576">
        <f t="shared" si="636"/>
        <v>0</v>
      </c>
      <c r="O2404" s="577">
        <f t="shared" si="630"/>
        <v>0</v>
      </c>
      <c r="P2404" s="578">
        <f t="shared" si="631"/>
        <v>0</v>
      </c>
      <c r="Q2404" s="765"/>
      <c r="R2404" s="723"/>
      <c r="S2404" s="723"/>
      <c r="T2404" s="577">
        <f t="shared" si="628"/>
        <v>0</v>
      </c>
      <c r="U2404" s="578">
        <f t="shared" si="629"/>
        <v>0</v>
      </c>
      <c r="V2404" s="579"/>
      <c r="W2404" s="566" t="str">
        <f>IF(U2402&gt;0,"xx",IF(P2402&gt;0,"xy",""))</f>
        <v/>
      </c>
      <c r="X2404" s="586" t="str">
        <f t="shared" si="622"/>
        <v/>
      </c>
      <c r="Y2404" s="586" t="str">
        <f t="shared" si="633"/>
        <v/>
      </c>
      <c r="Z2404" s="586" t="str">
        <f t="shared" si="621"/>
        <v/>
      </c>
    </row>
    <row r="2405" spans="1:26" ht="12" hidden="1" thickBot="1" x14ac:dyDescent="0.25">
      <c r="A2405" s="567" t="s">
        <v>168</v>
      </c>
      <c r="B2405" s="644" t="s">
        <v>168</v>
      </c>
      <c r="C2405" s="645"/>
      <c r="D2405" s="422" t="s">
        <v>252</v>
      </c>
      <c r="E2405" s="423"/>
      <c r="F2405" s="424">
        <v>20</v>
      </c>
      <c r="G2405" s="425">
        <f>VLOOKUP(D2402,'[2]ENSAIOS DE ORÇAMENTO'!$C$3:$L$79,6,FALSE)</f>
        <v>4.18982265</v>
      </c>
      <c r="H2405" s="663">
        <f t="shared" si="639"/>
        <v>100.89092941200001</v>
      </c>
      <c r="I2405" s="420"/>
      <c r="J2405" s="420"/>
      <c r="K2405" s="421">
        <f t="shared" si="627"/>
        <v>0</v>
      </c>
      <c r="L2405" s="647"/>
      <c r="M2405" s="723"/>
      <c r="N2405" s="576">
        <f t="shared" si="636"/>
        <v>0</v>
      </c>
      <c r="O2405" s="577">
        <f t="shared" si="630"/>
        <v>0</v>
      </c>
      <c r="P2405" s="578">
        <f t="shared" si="631"/>
        <v>0</v>
      </c>
      <c r="Q2405" s="765"/>
      <c r="R2405" s="723"/>
      <c r="S2405" s="723"/>
      <c r="T2405" s="577">
        <f t="shared" si="628"/>
        <v>0</v>
      </c>
      <c r="U2405" s="578">
        <f t="shared" si="629"/>
        <v>0</v>
      </c>
      <c r="V2405" s="579"/>
      <c r="W2405" s="566" t="str">
        <f>IF(U2402&gt;0,"xx",IF(P2402&gt;0,"xy",""))</f>
        <v/>
      </c>
      <c r="X2405" s="586" t="str">
        <f t="shared" si="622"/>
        <v/>
      </c>
      <c r="Y2405" s="586" t="str">
        <f t="shared" si="633"/>
        <v/>
      </c>
      <c r="Z2405" s="586" t="str">
        <f t="shared" si="621"/>
        <v/>
      </c>
    </row>
    <row r="2406" spans="1:26" ht="12" hidden="1" thickBot="1" x14ac:dyDescent="0.25">
      <c r="A2406" s="567" t="s">
        <v>168</v>
      </c>
      <c r="B2406" s="644" t="s">
        <v>168</v>
      </c>
      <c r="C2406" s="645"/>
      <c r="D2406" s="422" t="s">
        <v>400</v>
      </c>
      <c r="E2406" s="423"/>
      <c r="F2406" s="424">
        <v>30</v>
      </c>
      <c r="G2406" s="425">
        <f>VLOOKUP(D2402,'[2]ENSAIOS DE ORÇAMENTO'!$C$3:$L$79,3,FALSE)</f>
        <v>0</v>
      </c>
      <c r="H2406" s="663">
        <f t="shared" si="639"/>
        <v>0</v>
      </c>
      <c r="I2406" s="420"/>
      <c r="J2406" s="420"/>
      <c r="K2406" s="421">
        <f t="shared" si="627"/>
        <v>0</v>
      </c>
      <c r="L2406" s="647"/>
      <c r="M2406" s="723"/>
      <c r="N2406" s="576">
        <f t="shared" si="636"/>
        <v>0</v>
      </c>
      <c r="O2406" s="577">
        <f t="shared" si="630"/>
        <v>0</v>
      </c>
      <c r="P2406" s="578">
        <f t="shared" si="631"/>
        <v>0</v>
      </c>
      <c r="Q2406" s="765"/>
      <c r="R2406" s="723"/>
      <c r="S2406" s="723"/>
      <c r="T2406" s="577">
        <f t="shared" si="628"/>
        <v>0</v>
      </c>
      <c r="U2406" s="578">
        <f t="shared" si="629"/>
        <v>0</v>
      </c>
      <c r="V2406" s="579"/>
      <c r="W2406" s="566" t="str">
        <f>IF(U2402&gt;0,"xx",IF(P2402&gt;0,"xy",""))</f>
        <v/>
      </c>
      <c r="X2406" s="586" t="str">
        <f t="shared" si="622"/>
        <v/>
      </c>
      <c r="Y2406" s="586" t="str">
        <f t="shared" si="633"/>
        <v/>
      </c>
      <c r="Z2406" s="586" t="str">
        <f t="shared" si="621"/>
        <v/>
      </c>
    </row>
    <row r="2407" spans="1:26" ht="12" hidden="1" thickBot="1" x14ac:dyDescent="0.25">
      <c r="A2407" s="567" t="s">
        <v>168</v>
      </c>
      <c r="B2407" s="644" t="s">
        <v>168</v>
      </c>
      <c r="C2407" s="645"/>
      <c r="D2407" s="422" t="s">
        <v>401</v>
      </c>
      <c r="E2407" s="423"/>
      <c r="F2407" s="424">
        <v>500</v>
      </c>
      <c r="G2407" s="425">
        <f>VLOOKUP(D2402,'[2]ENSAIOS DE ORÇAMENTO'!$C$3:$L$79,10,FALSE)</f>
        <v>0</v>
      </c>
      <c r="H2407" s="649">
        <f>IF(F2407&lt;=30,(0.78*F2407+7.82)*G2407,((0.78*30+7.82)+0.78*(F2407-30))*G2407)</f>
        <v>0</v>
      </c>
      <c r="I2407" s="420"/>
      <c r="J2407" s="420"/>
      <c r="K2407" s="421">
        <f t="shared" si="627"/>
        <v>0</v>
      </c>
      <c r="L2407" s="647"/>
      <c r="M2407" s="723"/>
      <c r="N2407" s="576">
        <f t="shared" si="636"/>
        <v>0</v>
      </c>
      <c r="O2407" s="577">
        <f t="shared" si="630"/>
        <v>0</v>
      </c>
      <c r="P2407" s="578">
        <f t="shared" si="631"/>
        <v>0</v>
      </c>
      <c r="Q2407" s="765"/>
      <c r="R2407" s="723"/>
      <c r="S2407" s="723"/>
      <c r="T2407" s="577">
        <f t="shared" si="628"/>
        <v>0</v>
      </c>
      <c r="U2407" s="578">
        <f t="shared" si="629"/>
        <v>0</v>
      </c>
      <c r="V2407" s="579"/>
      <c r="W2407" s="566" t="str">
        <f>IF(U2402&gt;0,"xx",IF(P2402&gt;0,"xy",""))</f>
        <v/>
      </c>
      <c r="X2407" s="586" t="str">
        <f t="shared" si="622"/>
        <v/>
      </c>
      <c r="Y2407" s="586" t="str">
        <f t="shared" si="633"/>
        <v/>
      </c>
      <c r="Z2407" s="586" t="str">
        <f t="shared" si="621"/>
        <v/>
      </c>
    </row>
    <row r="2408" spans="1:26" ht="12" hidden="1" thickBot="1" x14ac:dyDescent="0.25">
      <c r="A2408" s="567" t="s">
        <v>45</v>
      </c>
      <c r="B2408" s="644" t="s">
        <v>45</v>
      </c>
      <c r="C2408" s="645" t="s">
        <v>206</v>
      </c>
      <c r="D2408" s="422" t="s">
        <v>421</v>
      </c>
      <c r="E2408" s="423"/>
      <c r="F2408" s="424"/>
      <c r="G2408" s="425"/>
      <c r="H2408" s="651">
        <f>SUM(H2409:H2413)</f>
        <v>1997.8318681182</v>
      </c>
      <c r="I2408" s="420">
        <f>VLOOKUP(D2408,'[2]ENSAIOS DE ORÇAMENTO'!$C$3:$L$79,8,FALSE)</f>
        <v>11469.066144649998</v>
      </c>
      <c r="J2408" s="420">
        <f>IF(ISBLANK(I2408),"",SUM(H2408:I2408))</f>
        <v>13466.898012768197</v>
      </c>
      <c r="K2408" s="421">
        <f t="shared" si="627"/>
        <v>16000.02</v>
      </c>
      <c r="L2408" s="647" t="s">
        <v>21</v>
      </c>
      <c r="M2408" s="576"/>
      <c r="N2408" s="576">
        <f t="shared" si="636"/>
        <v>0</v>
      </c>
      <c r="O2408" s="577">
        <f t="shared" si="630"/>
        <v>0</v>
      </c>
      <c r="P2408" s="578">
        <f t="shared" si="631"/>
        <v>0</v>
      </c>
      <c r="Q2408" s="765"/>
      <c r="R2408" s="576">
        <f>M2408</f>
        <v>0</v>
      </c>
      <c r="S2408" s="576">
        <f>N2408</f>
        <v>0</v>
      </c>
      <c r="T2408" s="577">
        <f t="shared" si="628"/>
        <v>0</v>
      </c>
      <c r="U2408" s="578">
        <f t="shared" si="629"/>
        <v>0</v>
      </c>
      <c r="V2408" s="579"/>
      <c r="W2408" s="566"/>
      <c r="X2408" s="586" t="str">
        <f t="shared" si="622"/>
        <v/>
      </c>
      <c r="Y2408" s="586" t="str">
        <f t="shared" si="633"/>
        <v/>
      </c>
      <c r="Z2408" s="586" t="str">
        <f t="shared" ref="Z2408:Z2471" si="640">IF(W2408="X","x",IF(U2408&gt;0,"x",""))</f>
        <v/>
      </c>
    </row>
    <row r="2409" spans="1:26" ht="12" hidden="1" thickBot="1" x14ac:dyDescent="0.25">
      <c r="A2409" s="567" t="s">
        <v>168</v>
      </c>
      <c r="B2409" s="644" t="s">
        <v>168</v>
      </c>
      <c r="C2409" s="645"/>
      <c r="D2409" s="422" t="s">
        <v>212</v>
      </c>
      <c r="E2409" s="423"/>
      <c r="F2409" s="424">
        <v>500</v>
      </c>
      <c r="G2409" s="425">
        <f>VLOOKUP(D2408,'[2]ENSAIOS DE ORÇAMENTO'!$C$3:$L$79,4,FALSE)</f>
        <v>1.9087789500000001</v>
      </c>
      <c r="H2409" s="649">
        <f>IF(F2409&lt;=30,(0.78*F2409+7.82)*G2409,((0.78*30+7.82)+0.78*(F2409-30))*G2409)</f>
        <v>759.35044188900008</v>
      </c>
      <c r="I2409" s="420"/>
      <c r="J2409" s="420"/>
      <c r="K2409" s="421">
        <f t="shared" si="627"/>
        <v>0</v>
      </c>
      <c r="L2409" s="647"/>
      <c r="M2409" s="723"/>
      <c r="N2409" s="576">
        <f t="shared" si="636"/>
        <v>0</v>
      </c>
      <c r="O2409" s="577">
        <f t="shared" si="630"/>
        <v>0</v>
      </c>
      <c r="P2409" s="578">
        <f t="shared" si="631"/>
        <v>0</v>
      </c>
      <c r="Q2409" s="765"/>
      <c r="R2409" s="723"/>
      <c r="S2409" s="723"/>
      <c r="T2409" s="577">
        <f t="shared" si="628"/>
        <v>0</v>
      </c>
      <c r="U2409" s="578">
        <f t="shared" si="629"/>
        <v>0</v>
      </c>
      <c r="V2409" s="579"/>
      <c r="W2409" s="566" t="str">
        <f>IF(U2408&gt;0,"xx",IF(P2408&gt;0,"xy",""))</f>
        <v/>
      </c>
      <c r="X2409" s="586" t="str">
        <f t="shared" si="622"/>
        <v/>
      </c>
      <c r="Y2409" s="586" t="str">
        <f t="shared" si="633"/>
        <v/>
      </c>
      <c r="Z2409" s="586" t="str">
        <f t="shared" si="640"/>
        <v/>
      </c>
    </row>
    <row r="2410" spans="1:26" ht="12" hidden="1" thickBot="1" x14ac:dyDescent="0.25">
      <c r="A2410" s="567" t="s">
        <v>168</v>
      </c>
      <c r="B2410" s="644" t="s">
        <v>168</v>
      </c>
      <c r="C2410" s="645"/>
      <c r="D2410" s="422" t="s">
        <v>248</v>
      </c>
      <c r="E2410" s="423"/>
      <c r="F2410" s="424">
        <v>180</v>
      </c>
      <c r="G2410" s="425">
        <f>VLOOKUP(D2408,'[2]ENSAIOS DE ORÇAMENTO'!$C$3:$L$79,5,FALSE)</f>
        <v>5.5279776150000002</v>
      </c>
      <c r="H2410" s="663">
        <f t="shared" ref="H2410:H2412" si="641">IF(F2410&lt;=30,(1.07*F2410+2.68)*G2410,((1.07*30+2.68)+1.07*(F2410-30))*G2410)</f>
        <v>1079.5034686572001</v>
      </c>
      <c r="I2410" s="420"/>
      <c r="J2410" s="420"/>
      <c r="K2410" s="421">
        <f t="shared" si="627"/>
        <v>0</v>
      </c>
      <c r="L2410" s="647"/>
      <c r="M2410" s="723"/>
      <c r="N2410" s="576">
        <f t="shared" si="636"/>
        <v>0</v>
      </c>
      <c r="O2410" s="577">
        <f t="shared" si="630"/>
        <v>0</v>
      </c>
      <c r="P2410" s="578">
        <f t="shared" si="631"/>
        <v>0</v>
      </c>
      <c r="Q2410" s="765"/>
      <c r="R2410" s="723"/>
      <c r="S2410" s="723"/>
      <c r="T2410" s="577">
        <f t="shared" si="628"/>
        <v>0</v>
      </c>
      <c r="U2410" s="578">
        <f t="shared" si="629"/>
        <v>0</v>
      </c>
      <c r="V2410" s="579"/>
      <c r="W2410" s="566" t="str">
        <f>IF(U2408&gt;0,"xx",IF(P2408&gt;0,"xy",""))</f>
        <v/>
      </c>
      <c r="X2410" s="586" t="str">
        <f t="shared" si="622"/>
        <v/>
      </c>
      <c r="Y2410" s="586" t="str">
        <f t="shared" si="633"/>
        <v/>
      </c>
      <c r="Z2410" s="586" t="str">
        <f t="shared" si="640"/>
        <v/>
      </c>
    </row>
    <row r="2411" spans="1:26" ht="12" hidden="1" thickBot="1" x14ac:dyDescent="0.25">
      <c r="A2411" s="567" t="s">
        <v>168</v>
      </c>
      <c r="B2411" s="644" t="s">
        <v>168</v>
      </c>
      <c r="C2411" s="645"/>
      <c r="D2411" s="422" t="s">
        <v>252</v>
      </c>
      <c r="E2411" s="423"/>
      <c r="F2411" s="424">
        <v>20</v>
      </c>
      <c r="G2411" s="425">
        <f>VLOOKUP(D2408,'[2]ENSAIOS DE ORÇAMENTO'!$C$3:$L$79,6,FALSE)</f>
        <v>6.6020746500000005</v>
      </c>
      <c r="H2411" s="663">
        <f t="shared" si="641"/>
        <v>158.97795757200004</v>
      </c>
      <c r="I2411" s="420"/>
      <c r="J2411" s="420"/>
      <c r="K2411" s="421">
        <f t="shared" si="627"/>
        <v>0</v>
      </c>
      <c r="L2411" s="647"/>
      <c r="M2411" s="723"/>
      <c r="N2411" s="576">
        <f t="shared" si="636"/>
        <v>0</v>
      </c>
      <c r="O2411" s="577">
        <f t="shared" si="630"/>
        <v>0</v>
      </c>
      <c r="P2411" s="578">
        <f t="shared" si="631"/>
        <v>0</v>
      </c>
      <c r="Q2411" s="765"/>
      <c r="R2411" s="723"/>
      <c r="S2411" s="723"/>
      <c r="T2411" s="577">
        <f t="shared" si="628"/>
        <v>0</v>
      </c>
      <c r="U2411" s="578">
        <f t="shared" si="629"/>
        <v>0</v>
      </c>
      <c r="V2411" s="579"/>
      <c r="W2411" s="566" t="str">
        <f>IF(U2408&gt;0,"xx",IF(P2408&gt;0,"xy",""))</f>
        <v/>
      </c>
      <c r="X2411" s="586" t="str">
        <f t="shared" ref="X2411:X2474" si="642">IF(W2411="X","x",IF(W2411="xx","x",IF(W2411="xy","x",IF(W2411="y","x",IF(OR(P2411&gt;0,U2411&gt;0),"x","")))))</f>
        <v/>
      </c>
      <c r="Y2411" s="586" t="str">
        <f t="shared" si="633"/>
        <v/>
      </c>
      <c r="Z2411" s="586" t="str">
        <f t="shared" si="640"/>
        <v/>
      </c>
    </row>
    <row r="2412" spans="1:26" ht="12" hidden="1" thickBot="1" x14ac:dyDescent="0.25">
      <c r="A2412" s="567" t="s">
        <v>168</v>
      </c>
      <c r="B2412" s="644" t="s">
        <v>168</v>
      </c>
      <c r="C2412" s="645"/>
      <c r="D2412" s="422" t="s">
        <v>400</v>
      </c>
      <c r="E2412" s="423"/>
      <c r="F2412" s="424">
        <v>30</v>
      </c>
      <c r="G2412" s="425">
        <f>VLOOKUP(D2408,'[2]ENSAIOS DE ORÇAMENTO'!$C$3:$L$79,3,FALSE)</f>
        <v>0</v>
      </c>
      <c r="H2412" s="663">
        <f t="shared" si="641"/>
        <v>0</v>
      </c>
      <c r="I2412" s="420"/>
      <c r="J2412" s="420"/>
      <c r="K2412" s="421">
        <f t="shared" si="627"/>
        <v>0</v>
      </c>
      <c r="L2412" s="647"/>
      <c r="M2412" s="723"/>
      <c r="N2412" s="576">
        <f t="shared" si="636"/>
        <v>0</v>
      </c>
      <c r="O2412" s="577">
        <f t="shared" si="630"/>
        <v>0</v>
      </c>
      <c r="P2412" s="578">
        <f t="shared" si="631"/>
        <v>0</v>
      </c>
      <c r="Q2412" s="765"/>
      <c r="R2412" s="723"/>
      <c r="S2412" s="723"/>
      <c r="T2412" s="577">
        <f t="shared" si="628"/>
        <v>0</v>
      </c>
      <c r="U2412" s="578">
        <f t="shared" si="629"/>
        <v>0</v>
      </c>
      <c r="V2412" s="579"/>
      <c r="W2412" s="566" t="str">
        <f>IF(U2408&gt;0,"xx",IF(P2408&gt;0,"xy",""))</f>
        <v/>
      </c>
      <c r="X2412" s="586" t="str">
        <f t="shared" si="642"/>
        <v/>
      </c>
      <c r="Y2412" s="586" t="str">
        <f t="shared" si="633"/>
        <v/>
      </c>
      <c r="Z2412" s="586" t="str">
        <f t="shared" si="640"/>
        <v/>
      </c>
    </row>
    <row r="2413" spans="1:26" ht="12" hidden="1" thickBot="1" x14ac:dyDescent="0.25">
      <c r="A2413" s="567" t="s">
        <v>168</v>
      </c>
      <c r="B2413" s="644" t="s">
        <v>168</v>
      </c>
      <c r="C2413" s="645"/>
      <c r="D2413" s="422" t="s">
        <v>401</v>
      </c>
      <c r="E2413" s="423"/>
      <c r="F2413" s="424">
        <v>500</v>
      </c>
      <c r="G2413" s="425">
        <f>VLOOKUP(D2408,'[2]ENSAIOS DE ORÇAMENTO'!$C$3:$L$79,10,FALSE)</f>
        <v>0</v>
      </c>
      <c r="H2413" s="649">
        <f>IF(F2413&lt;=30,(0.78*F2413+7.82)*G2413,((0.78*30+7.82)+0.78*(F2413-30))*G2413)</f>
        <v>0</v>
      </c>
      <c r="I2413" s="420"/>
      <c r="J2413" s="420"/>
      <c r="K2413" s="421">
        <f t="shared" si="627"/>
        <v>0</v>
      </c>
      <c r="L2413" s="647"/>
      <c r="M2413" s="723"/>
      <c r="N2413" s="576">
        <f t="shared" si="636"/>
        <v>0</v>
      </c>
      <c r="O2413" s="577">
        <f t="shared" si="630"/>
        <v>0</v>
      </c>
      <c r="P2413" s="578">
        <f t="shared" si="631"/>
        <v>0</v>
      </c>
      <c r="Q2413" s="765"/>
      <c r="R2413" s="723"/>
      <c r="S2413" s="723"/>
      <c r="T2413" s="577">
        <f t="shared" si="628"/>
        <v>0</v>
      </c>
      <c r="U2413" s="578">
        <f t="shared" si="629"/>
        <v>0</v>
      </c>
      <c r="V2413" s="579"/>
      <c r="W2413" s="566" t="str">
        <f>IF(U2408&gt;0,"xx",IF(P2408&gt;0,"xy",""))</f>
        <v/>
      </c>
      <c r="X2413" s="586" t="str">
        <f t="shared" si="642"/>
        <v/>
      </c>
      <c r="Y2413" s="586" t="str">
        <f t="shared" si="633"/>
        <v/>
      </c>
      <c r="Z2413" s="586" t="str">
        <f t="shared" si="640"/>
        <v/>
      </c>
    </row>
    <row r="2414" spans="1:26" ht="12" hidden="1" thickBot="1" x14ac:dyDescent="0.25">
      <c r="A2414" s="567" t="s">
        <v>133</v>
      </c>
      <c r="B2414" s="644" t="s">
        <v>133</v>
      </c>
      <c r="C2414" s="645" t="s">
        <v>206</v>
      </c>
      <c r="D2414" s="422" t="s">
        <v>145</v>
      </c>
      <c r="E2414" s="423"/>
      <c r="F2414" s="424"/>
      <c r="G2414" s="425"/>
      <c r="H2414" s="651">
        <f>SUM(H2415:H2419)</f>
        <v>425.22710196400004</v>
      </c>
      <c r="I2414" s="420">
        <f>VLOOKUP(D2414,'[2]ENSAIOS DE ORÇAMENTO'!$C$3:$L$79,8,FALSE)</f>
        <v>2164.1967759999998</v>
      </c>
      <c r="J2414" s="420">
        <f>IF(ISBLANK(I2414),"",SUM(H2414:I2414))</f>
        <v>2589.423877964</v>
      </c>
      <c r="K2414" s="421">
        <f t="shared" si="627"/>
        <v>3076.49</v>
      </c>
      <c r="L2414" s="647" t="s">
        <v>21</v>
      </c>
      <c r="M2414" s="576"/>
      <c r="N2414" s="576">
        <f t="shared" si="636"/>
        <v>0</v>
      </c>
      <c r="O2414" s="577">
        <f t="shared" si="630"/>
        <v>0</v>
      </c>
      <c r="P2414" s="578">
        <f t="shared" si="631"/>
        <v>0</v>
      </c>
      <c r="Q2414" s="765"/>
      <c r="R2414" s="576">
        <f>M2414</f>
        <v>0</v>
      </c>
      <c r="S2414" s="576">
        <f>N2414</f>
        <v>0</v>
      </c>
      <c r="T2414" s="577">
        <f t="shared" si="628"/>
        <v>0</v>
      </c>
      <c r="U2414" s="578">
        <f t="shared" si="629"/>
        <v>0</v>
      </c>
      <c r="V2414" s="579"/>
      <c r="W2414" s="566"/>
      <c r="X2414" s="586" t="str">
        <f t="shared" si="642"/>
        <v/>
      </c>
      <c r="Y2414" s="586" t="str">
        <f t="shared" si="633"/>
        <v/>
      </c>
      <c r="Z2414" s="586" t="str">
        <f t="shared" si="640"/>
        <v/>
      </c>
    </row>
    <row r="2415" spans="1:26" ht="12" hidden="1" thickBot="1" x14ac:dyDescent="0.25">
      <c r="A2415" s="567" t="s">
        <v>168</v>
      </c>
      <c r="B2415" s="644" t="s">
        <v>168</v>
      </c>
      <c r="C2415" s="645"/>
      <c r="D2415" s="422" t="s">
        <v>212</v>
      </c>
      <c r="E2415" s="423"/>
      <c r="F2415" s="424">
        <v>500</v>
      </c>
      <c r="G2415" s="425">
        <f>VLOOKUP(D2414,'[2]ENSAIOS DE ORÇAMENTO'!$C$3:$L$79,4,FALSE)</f>
        <v>0.35276220000000008</v>
      </c>
      <c r="H2415" s="649">
        <f>IF(F2415&lt;=30,(0.78*F2415+7.82)*G2415,((0.78*30+7.82)+0.78*(F2415-30))*G2415)</f>
        <v>140.33585840400005</v>
      </c>
      <c r="I2415" s="420"/>
      <c r="J2415" s="420"/>
      <c r="K2415" s="421">
        <f t="shared" si="627"/>
        <v>0</v>
      </c>
      <c r="L2415" s="647"/>
      <c r="M2415" s="723"/>
      <c r="N2415" s="576">
        <f t="shared" si="636"/>
        <v>0</v>
      </c>
      <c r="O2415" s="577">
        <f t="shared" si="630"/>
        <v>0</v>
      </c>
      <c r="P2415" s="578">
        <f t="shared" si="631"/>
        <v>0</v>
      </c>
      <c r="Q2415" s="765"/>
      <c r="R2415" s="723"/>
      <c r="S2415" s="723"/>
      <c r="T2415" s="577">
        <f t="shared" si="628"/>
        <v>0</v>
      </c>
      <c r="U2415" s="578">
        <f t="shared" si="629"/>
        <v>0</v>
      </c>
      <c r="V2415" s="579"/>
      <c r="W2415" s="566" t="str">
        <f>IF(U2414&gt;0,"xx",IF(P2414&gt;0,"xy",""))</f>
        <v/>
      </c>
      <c r="X2415" s="586" t="str">
        <f t="shared" si="642"/>
        <v/>
      </c>
      <c r="Y2415" s="586" t="str">
        <f t="shared" si="633"/>
        <v/>
      </c>
      <c r="Z2415" s="586" t="str">
        <f t="shared" si="640"/>
        <v/>
      </c>
    </row>
    <row r="2416" spans="1:26" ht="12" hidden="1" thickBot="1" x14ac:dyDescent="0.25">
      <c r="A2416" s="567" t="s">
        <v>168</v>
      </c>
      <c r="B2416" s="644" t="s">
        <v>168</v>
      </c>
      <c r="C2416" s="645"/>
      <c r="D2416" s="422" t="s">
        <v>248</v>
      </c>
      <c r="E2416" s="423"/>
      <c r="F2416" s="424">
        <v>180</v>
      </c>
      <c r="G2416" s="425">
        <f>VLOOKUP(D2414,'[2]ENSAIOS DE ORÇAMENTO'!$C$3:$L$79,5,FALSE)</f>
        <v>1.1888125000000003</v>
      </c>
      <c r="H2416" s="663">
        <f t="shared" ref="H2416:H2418" si="643">IF(F2416&lt;=30,(1.07*F2416+2.68)*G2416,((1.07*30+2.68)+1.07*(F2416-30))*G2416)</f>
        <v>232.15130500000006</v>
      </c>
      <c r="I2416" s="420"/>
      <c r="J2416" s="420"/>
      <c r="K2416" s="421">
        <f t="shared" si="627"/>
        <v>0</v>
      </c>
      <c r="L2416" s="647"/>
      <c r="M2416" s="723"/>
      <c r="N2416" s="576">
        <f t="shared" si="636"/>
        <v>0</v>
      </c>
      <c r="O2416" s="577">
        <f t="shared" si="630"/>
        <v>0</v>
      </c>
      <c r="P2416" s="578">
        <f t="shared" si="631"/>
        <v>0</v>
      </c>
      <c r="Q2416" s="765"/>
      <c r="R2416" s="723"/>
      <c r="S2416" s="723"/>
      <c r="T2416" s="577">
        <f t="shared" si="628"/>
        <v>0</v>
      </c>
      <c r="U2416" s="578">
        <f t="shared" si="629"/>
        <v>0</v>
      </c>
      <c r="V2416" s="579"/>
      <c r="W2416" s="566" t="str">
        <f>IF(U2414&gt;0,"xx",IF(P2414&gt;0,"xy",""))</f>
        <v/>
      </c>
      <c r="X2416" s="586" t="str">
        <f t="shared" si="642"/>
        <v/>
      </c>
      <c r="Y2416" s="586" t="str">
        <f t="shared" si="633"/>
        <v/>
      </c>
      <c r="Z2416" s="586" t="str">
        <f t="shared" si="640"/>
        <v/>
      </c>
    </row>
    <row r="2417" spans="1:26" ht="12" hidden="1" thickBot="1" x14ac:dyDescent="0.25">
      <c r="A2417" s="567" t="s">
        <v>168</v>
      </c>
      <c r="B2417" s="644" t="s">
        <v>168</v>
      </c>
      <c r="C2417" s="645"/>
      <c r="D2417" s="422" t="s">
        <v>252</v>
      </c>
      <c r="E2417" s="423"/>
      <c r="F2417" s="424">
        <v>20</v>
      </c>
      <c r="G2417" s="425">
        <f>VLOOKUP(D2414,'[2]ENSAIOS DE ORÇAMENTO'!$C$3:$L$79,6,FALSE)</f>
        <v>1.1100000000000001</v>
      </c>
      <c r="H2417" s="663">
        <f t="shared" si="643"/>
        <v>26.728800000000003</v>
      </c>
      <c r="I2417" s="420"/>
      <c r="J2417" s="420"/>
      <c r="K2417" s="421">
        <f t="shared" si="627"/>
        <v>0</v>
      </c>
      <c r="L2417" s="647"/>
      <c r="M2417" s="723"/>
      <c r="N2417" s="576">
        <f t="shared" si="636"/>
        <v>0</v>
      </c>
      <c r="O2417" s="577">
        <f t="shared" si="630"/>
        <v>0</v>
      </c>
      <c r="P2417" s="578">
        <f t="shared" si="631"/>
        <v>0</v>
      </c>
      <c r="Q2417" s="765"/>
      <c r="R2417" s="723"/>
      <c r="S2417" s="723"/>
      <c r="T2417" s="577">
        <f t="shared" si="628"/>
        <v>0</v>
      </c>
      <c r="U2417" s="578">
        <f t="shared" si="629"/>
        <v>0</v>
      </c>
      <c r="V2417" s="579"/>
      <c r="W2417" s="566" t="str">
        <f>IF(U2414&gt;0,"xx",IF(P2414&gt;0,"xy",""))</f>
        <v/>
      </c>
      <c r="X2417" s="586" t="str">
        <f t="shared" si="642"/>
        <v/>
      </c>
      <c r="Y2417" s="586" t="str">
        <f t="shared" si="633"/>
        <v/>
      </c>
      <c r="Z2417" s="586" t="str">
        <f t="shared" si="640"/>
        <v/>
      </c>
    </row>
    <row r="2418" spans="1:26" ht="12" hidden="1" thickBot="1" x14ac:dyDescent="0.25">
      <c r="A2418" s="567" t="s">
        <v>168</v>
      </c>
      <c r="B2418" s="644" t="s">
        <v>168</v>
      </c>
      <c r="C2418" s="645"/>
      <c r="D2418" s="422" t="s">
        <v>400</v>
      </c>
      <c r="E2418" s="423"/>
      <c r="F2418" s="424">
        <v>30</v>
      </c>
      <c r="G2418" s="425">
        <f>VLOOKUP(D2414,'[2]ENSAIOS DE ORÇAMENTO'!$C$3:$L$79,3,FALSE)</f>
        <v>0.54144000000000003</v>
      </c>
      <c r="H2418" s="663">
        <f t="shared" si="643"/>
        <v>18.831283200000001</v>
      </c>
      <c r="I2418" s="420"/>
      <c r="J2418" s="420"/>
      <c r="K2418" s="421">
        <f t="shared" si="627"/>
        <v>0</v>
      </c>
      <c r="L2418" s="647"/>
      <c r="M2418" s="723"/>
      <c r="N2418" s="576">
        <f t="shared" si="636"/>
        <v>0</v>
      </c>
      <c r="O2418" s="577">
        <f t="shared" si="630"/>
        <v>0</v>
      </c>
      <c r="P2418" s="578">
        <f t="shared" si="631"/>
        <v>0</v>
      </c>
      <c r="Q2418" s="765"/>
      <c r="R2418" s="723"/>
      <c r="S2418" s="723"/>
      <c r="T2418" s="577">
        <f t="shared" si="628"/>
        <v>0</v>
      </c>
      <c r="U2418" s="578">
        <f t="shared" si="629"/>
        <v>0</v>
      </c>
      <c r="V2418" s="579"/>
      <c r="W2418" s="566" t="str">
        <f>IF(U2414&gt;0,"xx",IF(P2414&gt;0,"xy",""))</f>
        <v/>
      </c>
      <c r="X2418" s="586" t="str">
        <f t="shared" si="642"/>
        <v/>
      </c>
      <c r="Y2418" s="586" t="str">
        <f t="shared" si="633"/>
        <v/>
      </c>
      <c r="Z2418" s="586" t="str">
        <f t="shared" si="640"/>
        <v/>
      </c>
    </row>
    <row r="2419" spans="1:26" ht="12" hidden="1" thickBot="1" x14ac:dyDescent="0.25">
      <c r="A2419" s="567" t="s">
        <v>168</v>
      </c>
      <c r="B2419" s="644" t="s">
        <v>168</v>
      </c>
      <c r="C2419" s="645"/>
      <c r="D2419" s="422" t="s">
        <v>401</v>
      </c>
      <c r="E2419" s="423"/>
      <c r="F2419" s="424">
        <v>500</v>
      </c>
      <c r="G2419" s="425">
        <f>VLOOKUP(D2414,'[2]ENSAIOS DE ORÇAMENTO'!$C$3:$L$79,10,FALSE)</f>
        <v>1.8048000000000002E-2</v>
      </c>
      <c r="H2419" s="649">
        <f>IF(F2419&lt;=30,(0.78*F2419+7.82)*G2419,((0.78*30+7.82)+0.78*(F2419-30))*G2419)</f>
        <v>7.1798553600000012</v>
      </c>
      <c r="I2419" s="420"/>
      <c r="J2419" s="420"/>
      <c r="K2419" s="421">
        <f t="shared" si="627"/>
        <v>0</v>
      </c>
      <c r="L2419" s="647"/>
      <c r="M2419" s="723"/>
      <c r="N2419" s="576">
        <f t="shared" si="636"/>
        <v>0</v>
      </c>
      <c r="O2419" s="577">
        <f t="shared" si="630"/>
        <v>0</v>
      </c>
      <c r="P2419" s="578">
        <f t="shared" si="631"/>
        <v>0</v>
      </c>
      <c r="Q2419" s="765"/>
      <c r="R2419" s="723"/>
      <c r="S2419" s="723"/>
      <c r="T2419" s="577">
        <f t="shared" si="628"/>
        <v>0</v>
      </c>
      <c r="U2419" s="578">
        <f t="shared" si="629"/>
        <v>0</v>
      </c>
      <c r="V2419" s="579"/>
      <c r="W2419" s="566" t="str">
        <f>IF(U2414&gt;0,"xx",IF(P2414&gt;0,"xy",""))</f>
        <v/>
      </c>
      <c r="X2419" s="586" t="str">
        <f t="shared" si="642"/>
        <v/>
      </c>
      <c r="Y2419" s="586" t="str">
        <f t="shared" si="633"/>
        <v/>
      </c>
      <c r="Z2419" s="586" t="str">
        <f t="shared" si="640"/>
        <v/>
      </c>
    </row>
    <row r="2420" spans="1:26" ht="12" hidden="1" thickBot="1" x14ac:dyDescent="0.25">
      <c r="A2420" s="567" t="s">
        <v>134</v>
      </c>
      <c r="B2420" s="644" t="s">
        <v>134</v>
      </c>
      <c r="C2420" s="645" t="s">
        <v>206</v>
      </c>
      <c r="D2420" s="422" t="s">
        <v>146</v>
      </c>
      <c r="E2420" s="423"/>
      <c r="F2420" s="424"/>
      <c r="G2420" s="425"/>
      <c r="H2420" s="651">
        <f>SUM(H2421:H2425)</f>
        <v>481.65120515199993</v>
      </c>
      <c r="I2420" s="420">
        <f>VLOOKUP(D2420,'[2]ENSAIOS DE ORÇAMENTO'!$C$3:$L$79,8,FALSE)</f>
        <v>2380.2442679999999</v>
      </c>
      <c r="J2420" s="420">
        <f>IF(ISBLANK(I2420),"",SUM(H2420:I2420))</f>
        <v>2861.8954731519998</v>
      </c>
      <c r="K2420" s="421">
        <f t="shared" si="627"/>
        <v>3400.22</v>
      </c>
      <c r="L2420" s="647" t="s">
        <v>21</v>
      </c>
      <c r="M2420" s="576"/>
      <c r="N2420" s="576">
        <f t="shared" si="636"/>
        <v>0</v>
      </c>
      <c r="O2420" s="577">
        <f t="shared" si="630"/>
        <v>0</v>
      </c>
      <c r="P2420" s="578">
        <f t="shared" si="631"/>
        <v>0</v>
      </c>
      <c r="Q2420" s="765"/>
      <c r="R2420" s="576">
        <f>M2420</f>
        <v>0</v>
      </c>
      <c r="S2420" s="576">
        <f>N2420</f>
        <v>0</v>
      </c>
      <c r="T2420" s="577">
        <f t="shared" si="628"/>
        <v>0</v>
      </c>
      <c r="U2420" s="578">
        <f t="shared" si="629"/>
        <v>0</v>
      </c>
      <c r="V2420" s="579"/>
      <c r="W2420" s="566"/>
      <c r="X2420" s="586" t="str">
        <f t="shared" si="642"/>
        <v/>
      </c>
      <c r="Y2420" s="586" t="str">
        <f t="shared" si="633"/>
        <v/>
      </c>
      <c r="Z2420" s="586" t="str">
        <f t="shared" si="640"/>
        <v/>
      </c>
    </row>
    <row r="2421" spans="1:26" ht="12" hidden="1" thickBot="1" x14ac:dyDescent="0.25">
      <c r="A2421" s="567" t="s">
        <v>168</v>
      </c>
      <c r="B2421" s="644" t="s">
        <v>168</v>
      </c>
      <c r="C2421" s="645"/>
      <c r="D2421" s="422" t="s">
        <v>212</v>
      </c>
      <c r="E2421" s="423"/>
      <c r="F2421" s="424">
        <v>500</v>
      </c>
      <c r="G2421" s="425">
        <f>VLOOKUP(D2420,'[2]ENSAIOS DE ORÇAMENTO'!$C$3:$L$79,4,FALSE)</f>
        <v>0.38489359999999995</v>
      </c>
      <c r="H2421" s="649">
        <f>IF(F2421&lt;=30,(0.78*F2421+7.82)*G2421,((0.78*30+7.82)+0.78*(F2421-30))*G2421)</f>
        <v>153.11837195199999</v>
      </c>
      <c r="I2421" s="420"/>
      <c r="J2421" s="420"/>
      <c r="K2421" s="421">
        <f t="shared" si="627"/>
        <v>0</v>
      </c>
      <c r="L2421" s="647"/>
      <c r="M2421" s="723"/>
      <c r="N2421" s="576">
        <f t="shared" si="636"/>
        <v>0</v>
      </c>
      <c r="O2421" s="577">
        <f t="shared" si="630"/>
        <v>0</v>
      </c>
      <c r="P2421" s="578">
        <f t="shared" si="631"/>
        <v>0</v>
      </c>
      <c r="Q2421" s="765"/>
      <c r="R2421" s="723"/>
      <c r="S2421" s="723"/>
      <c r="T2421" s="577">
        <f t="shared" si="628"/>
        <v>0</v>
      </c>
      <c r="U2421" s="578">
        <f t="shared" si="629"/>
        <v>0</v>
      </c>
      <c r="V2421" s="579"/>
      <c r="W2421" s="566" t="str">
        <f>IF(U2420&gt;0,"xx",IF(P2420&gt;0,"xy",""))</f>
        <v/>
      </c>
      <c r="X2421" s="586" t="str">
        <f t="shared" si="642"/>
        <v/>
      </c>
      <c r="Y2421" s="586" t="str">
        <f t="shared" si="633"/>
        <v/>
      </c>
      <c r="Z2421" s="586" t="str">
        <f t="shared" si="640"/>
        <v/>
      </c>
    </row>
    <row r="2422" spans="1:26" ht="12" hidden="1" thickBot="1" x14ac:dyDescent="0.25">
      <c r="A2422" s="567" t="s">
        <v>168</v>
      </c>
      <c r="B2422" s="644" t="s">
        <v>168</v>
      </c>
      <c r="C2422" s="645"/>
      <c r="D2422" s="422" t="s">
        <v>248</v>
      </c>
      <c r="E2422" s="423"/>
      <c r="F2422" s="424">
        <v>180</v>
      </c>
      <c r="G2422" s="425">
        <f>VLOOKUP(D2420,'[2]ENSAIOS DE ORÇAMENTO'!$C$3:$L$79,5,FALSE)</f>
        <v>1.3499699999999999</v>
      </c>
      <c r="H2422" s="663">
        <f t="shared" ref="H2422:H2424" si="644">IF(F2422&lt;=30,(1.07*F2422+2.68)*G2422,((1.07*30+2.68)+1.07*(F2422-30))*G2422)</f>
        <v>263.62214159999996</v>
      </c>
      <c r="I2422" s="420"/>
      <c r="J2422" s="420"/>
      <c r="K2422" s="421">
        <f t="shared" si="627"/>
        <v>0</v>
      </c>
      <c r="L2422" s="647"/>
      <c r="M2422" s="723"/>
      <c r="N2422" s="576">
        <f t="shared" si="636"/>
        <v>0</v>
      </c>
      <c r="O2422" s="577">
        <f t="shared" si="630"/>
        <v>0</v>
      </c>
      <c r="P2422" s="578">
        <f t="shared" si="631"/>
        <v>0</v>
      </c>
      <c r="Q2422" s="765"/>
      <c r="R2422" s="723"/>
      <c r="S2422" s="723"/>
      <c r="T2422" s="577">
        <f t="shared" si="628"/>
        <v>0</v>
      </c>
      <c r="U2422" s="578">
        <f t="shared" si="629"/>
        <v>0</v>
      </c>
      <c r="V2422" s="579"/>
      <c r="W2422" s="566" t="str">
        <f>IF(U2420&gt;0,"xx",IF(P2420&gt;0,"xy",""))</f>
        <v/>
      </c>
      <c r="X2422" s="586" t="str">
        <f t="shared" si="642"/>
        <v/>
      </c>
      <c r="Y2422" s="586" t="str">
        <f t="shared" si="633"/>
        <v/>
      </c>
      <c r="Z2422" s="586" t="str">
        <f t="shared" si="640"/>
        <v/>
      </c>
    </row>
    <row r="2423" spans="1:26" ht="12" hidden="1" thickBot="1" x14ac:dyDescent="0.25">
      <c r="A2423" s="567" t="s">
        <v>168</v>
      </c>
      <c r="B2423" s="644" t="s">
        <v>168</v>
      </c>
      <c r="C2423" s="645"/>
      <c r="D2423" s="422" t="s">
        <v>252</v>
      </c>
      <c r="E2423" s="423"/>
      <c r="F2423" s="424">
        <v>20</v>
      </c>
      <c r="G2423" s="425">
        <f>VLOOKUP(D2420,'[2]ENSAIOS DE ORÇAMENTO'!$C$3:$L$79,6,FALSE)</f>
        <v>1.1766000000000001</v>
      </c>
      <c r="H2423" s="663">
        <f t="shared" si="644"/>
        <v>28.332528000000003</v>
      </c>
      <c r="I2423" s="420"/>
      <c r="J2423" s="420"/>
      <c r="K2423" s="421">
        <f t="shared" si="627"/>
        <v>0</v>
      </c>
      <c r="L2423" s="647"/>
      <c r="M2423" s="723"/>
      <c r="N2423" s="576">
        <f t="shared" si="636"/>
        <v>0</v>
      </c>
      <c r="O2423" s="577">
        <f t="shared" si="630"/>
        <v>0</v>
      </c>
      <c r="P2423" s="578">
        <f t="shared" si="631"/>
        <v>0</v>
      </c>
      <c r="Q2423" s="765"/>
      <c r="R2423" s="723"/>
      <c r="S2423" s="723"/>
      <c r="T2423" s="577">
        <f t="shared" si="628"/>
        <v>0</v>
      </c>
      <c r="U2423" s="578">
        <f t="shared" si="629"/>
        <v>0</v>
      </c>
      <c r="V2423" s="579"/>
      <c r="W2423" s="566" t="str">
        <f>IF(U2420&gt;0,"xx",IF(P2420&gt;0,"xy",""))</f>
        <v/>
      </c>
      <c r="X2423" s="586" t="str">
        <f t="shared" si="642"/>
        <v/>
      </c>
      <c r="Y2423" s="586" t="str">
        <f t="shared" si="633"/>
        <v/>
      </c>
      <c r="Z2423" s="586" t="str">
        <f t="shared" si="640"/>
        <v/>
      </c>
    </row>
    <row r="2424" spans="1:26" ht="12" hidden="1" thickBot="1" x14ac:dyDescent="0.25">
      <c r="A2424" s="567" t="s">
        <v>168</v>
      </c>
      <c r="B2424" s="644" t="s">
        <v>168</v>
      </c>
      <c r="C2424" s="645"/>
      <c r="D2424" s="422" t="s">
        <v>400</v>
      </c>
      <c r="E2424" s="423"/>
      <c r="F2424" s="424">
        <v>30</v>
      </c>
      <c r="G2424" s="425">
        <f>VLOOKUP(D2420,'[2]ENSAIOS DE ORÇAMENTO'!$C$3:$L$79,3,FALSE)</f>
        <v>0.76139999999999997</v>
      </c>
      <c r="H2424" s="663">
        <f t="shared" si="644"/>
        <v>26.481491999999999</v>
      </c>
      <c r="I2424" s="420"/>
      <c r="J2424" s="420"/>
      <c r="K2424" s="421">
        <f t="shared" si="627"/>
        <v>0</v>
      </c>
      <c r="L2424" s="647"/>
      <c r="M2424" s="723"/>
      <c r="N2424" s="576">
        <f t="shared" si="636"/>
        <v>0</v>
      </c>
      <c r="O2424" s="577">
        <f t="shared" si="630"/>
        <v>0</v>
      </c>
      <c r="P2424" s="578">
        <f t="shared" si="631"/>
        <v>0</v>
      </c>
      <c r="Q2424" s="765"/>
      <c r="R2424" s="723"/>
      <c r="S2424" s="723"/>
      <c r="T2424" s="577">
        <f t="shared" si="628"/>
        <v>0</v>
      </c>
      <c r="U2424" s="578">
        <f t="shared" si="629"/>
        <v>0</v>
      </c>
      <c r="V2424" s="579"/>
      <c r="W2424" s="566" t="str">
        <f>IF(U2420&gt;0,"xx",IF(P2420&gt;0,"xy",""))</f>
        <v/>
      </c>
      <c r="X2424" s="586" t="str">
        <f t="shared" si="642"/>
        <v/>
      </c>
      <c r="Y2424" s="586" t="str">
        <f t="shared" si="633"/>
        <v/>
      </c>
      <c r="Z2424" s="586" t="str">
        <f t="shared" si="640"/>
        <v/>
      </c>
    </row>
    <row r="2425" spans="1:26" ht="12" hidden="1" thickBot="1" x14ac:dyDescent="0.25">
      <c r="A2425" s="567" t="s">
        <v>168</v>
      </c>
      <c r="B2425" s="644" t="s">
        <v>168</v>
      </c>
      <c r="C2425" s="645"/>
      <c r="D2425" s="422" t="s">
        <v>401</v>
      </c>
      <c r="E2425" s="423"/>
      <c r="F2425" s="424">
        <v>500</v>
      </c>
      <c r="G2425" s="425">
        <f>VLOOKUP(D2420,'[2]ENSAIOS DE ORÇAMENTO'!$C$3:$L$79,10,FALSE)</f>
        <v>2.538E-2</v>
      </c>
      <c r="H2425" s="649">
        <f>IF(F2425&lt;=30,(0.78*F2425+7.82)*G2425,((0.78*30+7.82)+0.78*(F2425-30))*G2425)</f>
        <v>10.096671600000001</v>
      </c>
      <c r="I2425" s="420"/>
      <c r="J2425" s="420"/>
      <c r="K2425" s="421">
        <f t="shared" si="627"/>
        <v>0</v>
      </c>
      <c r="L2425" s="647"/>
      <c r="M2425" s="723"/>
      <c r="N2425" s="576">
        <f t="shared" si="636"/>
        <v>0</v>
      </c>
      <c r="O2425" s="577">
        <f t="shared" si="630"/>
        <v>0</v>
      </c>
      <c r="P2425" s="578">
        <f t="shared" si="631"/>
        <v>0</v>
      </c>
      <c r="Q2425" s="765"/>
      <c r="R2425" s="723"/>
      <c r="S2425" s="723"/>
      <c r="T2425" s="577">
        <f t="shared" si="628"/>
        <v>0</v>
      </c>
      <c r="U2425" s="578">
        <f t="shared" si="629"/>
        <v>0</v>
      </c>
      <c r="V2425" s="579"/>
      <c r="W2425" s="566" t="str">
        <f>IF(U2420&gt;0,"xx",IF(P2420&gt;0,"xy",""))</f>
        <v/>
      </c>
      <c r="X2425" s="586" t="str">
        <f t="shared" si="642"/>
        <v/>
      </c>
      <c r="Y2425" s="586" t="str">
        <f t="shared" si="633"/>
        <v/>
      </c>
      <c r="Z2425" s="586" t="str">
        <f t="shared" si="640"/>
        <v/>
      </c>
    </row>
    <row r="2426" spans="1:26" ht="12" hidden="1" thickBot="1" x14ac:dyDescent="0.25">
      <c r="A2426" s="567" t="s">
        <v>135</v>
      </c>
      <c r="B2426" s="644" t="s">
        <v>135</v>
      </c>
      <c r="C2426" s="645" t="s">
        <v>206</v>
      </c>
      <c r="D2426" s="422" t="s">
        <v>147</v>
      </c>
      <c r="E2426" s="423"/>
      <c r="F2426" s="424"/>
      <c r="G2426" s="425"/>
      <c r="H2426" s="651">
        <f>SUM(H2427:H2431)</f>
        <v>563.58332972800008</v>
      </c>
      <c r="I2426" s="420">
        <f>VLOOKUP(D2426,'[2]ENSAIOS DE ORÇAMENTO'!$C$3:$L$79,8,FALSE)</f>
        <v>2700.9386520000003</v>
      </c>
      <c r="J2426" s="420">
        <f>IF(ISBLANK(I2426),"",SUM(H2426:I2426))</f>
        <v>3264.5219817280004</v>
      </c>
      <c r="K2426" s="421">
        <f t="shared" si="627"/>
        <v>3878.58</v>
      </c>
      <c r="L2426" s="647" t="s">
        <v>21</v>
      </c>
      <c r="M2426" s="576"/>
      <c r="N2426" s="576">
        <f t="shared" si="636"/>
        <v>0</v>
      </c>
      <c r="O2426" s="577">
        <f t="shared" si="630"/>
        <v>0</v>
      </c>
      <c r="P2426" s="578">
        <f t="shared" si="631"/>
        <v>0</v>
      </c>
      <c r="Q2426" s="765"/>
      <c r="R2426" s="576">
        <f>M2426</f>
        <v>0</v>
      </c>
      <c r="S2426" s="576">
        <f>N2426</f>
        <v>0</v>
      </c>
      <c r="T2426" s="577">
        <f t="shared" si="628"/>
        <v>0</v>
      </c>
      <c r="U2426" s="578">
        <f t="shared" si="629"/>
        <v>0</v>
      </c>
      <c r="V2426" s="579"/>
      <c r="W2426" s="566"/>
      <c r="X2426" s="586" t="str">
        <f t="shared" si="642"/>
        <v/>
      </c>
      <c r="Y2426" s="586" t="str">
        <f t="shared" si="633"/>
        <v/>
      </c>
      <c r="Z2426" s="586" t="str">
        <f t="shared" si="640"/>
        <v/>
      </c>
    </row>
    <row r="2427" spans="1:26" ht="12" hidden="1" thickBot="1" x14ac:dyDescent="0.25">
      <c r="A2427" s="567" t="s">
        <v>168</v>
      </c>
      <c r="B2427" s="644" t="s">
        <v>168</v>
      </c>
      <c r="C2427" s="645"/>
      <c r="D2427" s="422" t="s">
        <v>212</v>
      </c>
      <c r="E2427" s="423"/>
      <c r="F2427" s="424">
        <v>500</v>
      </c>
      <c r="G2427" s="425">
        <f>VLOOKUP(D2426,'[2]ENSAIOS DE ORÇAMENTO'!$C$3:$L$79,4,FALSE)</f>
        <v>0.43281240000000004</v>
      </c>
      <c r="H2427" s="649">
        <f>IF(F2427&lt;=30,(0.78*F2427+7.82)*G2427,((0.78*30+7.82)+0.78*(F2427-30))*G2427)</f>
        <v>172.18142896800003</v>
      </c>
      <c r="I2427" s="420"/>
      <c r="J2427" s="420"/>
      <c r="K2427" s="421">
        <f t="shared" si="627"/>
        <v>0</v>
      </c>
      <c r="L2427" s="647"/>
      <c r="M2427" s="723"/>
      <c r="N2427" s="576">
        <f t="shared" si="636"/>
        <v>0</v>
      </c>
      <c r="O2427" s="577">
        <f t="shared" si="630"/>
        <v>0</v>
      </c>
      <c r="P2427" s="578">
        <f t="shared" si="631"/>
        <v>0</v>
      </c>
      <c r="Q2427" s="765"/>
      <c r="R2427" s="723"/>
      <c r="S2427" s="723"/>
      <c r="T2427" s="577">
        <f t="shared" si="628"/>
        <v>0</v>
      </c>
      <c r="U2427" s="578">
        <f t="shared" si="629"/>
        <v>0</v>
      </c>
      <c r="V2427" s="579"/>
      <c r="W2427" s="566" t="str">
        <f>IF(U2426&gt;0,"xx",IF(P2426&gt;0,"xy",""))</f>
        <v/>
      </c>
      <c r="X2427" s="586" t="str">
        <f t="shared" si="642"/>
        <v/>
      </c>
      <c r="Y2427" s="586" t="str">
        <f t="shared" si="633"/>
        <v/>
      </c>
      <c r="Z2427" s="586" t="str">
        <f t="shared" si="640"/>
        <v/>
      </c>
    </row>
    <row r="2428" spans="1:26" ht="12" hidden="1" thickBot="1" x14ac:dyDescent="0.25">
      <c r="A2428" s="567" t="s">
        <v>168</v>
      </c>
      <c r="B2428" s="644" t="s">
        <v>168</v>
      </c>
      <c r="C2428" s="645"/>
      <c r="D2428" s="422" t="s">
        <v>248</v>
      </c>
      <c r="E2428" s="423"/>
      <c r="F2428" s="424">
        <v>180</v>
      </c>
      <c r="G2428" s="425">
        <f>VLOOKUP(D2426,'[2]ENSAIOS DE ORÇAMENTO'!$C$3:$L$79,5,FALSE)</f>
        <v>1.5797950000000001</v>
      </c>
      <c r="H2428" s="663">
        <f t="shared" ref="H2428:H2430" si="645">IF(F2428&lt;=30,(1.07*F2428+2.68)*G2428,((1.07*30+2.68)+1.07*(F2428-30))*G2428)</f>
        <v>308.50236760000001</v>
      </c>
      <c r="I2428" s="420"/>
      <c r="J2428" s="420"/>
      <c r="K2428" s="421">
        <f t="shared" si="627"/>
        <v>0</v>
      </c>
      <c r="L2428" s="647"/>
      <c r="M2428" s="723"/>
      <c r="N2428" s="576">
        <f t="shared" si="636"/>
        <v>0</v>
      </c>
      <c r="O2428" s="577">
        <f t="shared" si="630"/>
        <v>0</v>
      </c>
      <c r="P2428" s="578">
        <f t="shared" si="631"/>
        <v>0</v>
      </c>
      <c r="Q2428" s="765"/>
      <c r="R2428" s="723"/>
      <c r="S2428" s="723"/>
      <c r="T2428" s="577">
        <f t="shared" si="628"/>
        <v>0</v>
      </c>
      <c r="U2428" s="578">
        <f t="shared" si="629"/>
        <v>0</v>
      </c>
      <c r="V2428" s="579"/>
      <c r="W2428" s="566" t="str">
        <f>IF(U2426&gt;0,"xx",IF(P2426&gt;0,"xy",""))</f>
        <v/>
      </c>
      <c r="X2428" s="586" t="str">
        <f t="shared" si="642"/>
        <v/>
      </c>
      <c r="Y2428" s="586" t="str">
        <f t="shared" si="633"/>
        <v/>
      </c>
      <c r="Z2428" s="586" t="str">
        <f t="shared" si="640"/>
        <v/>
      </c>
    </row>
    <row r="2429" spans="1:26" ht="12" hidden="1" thickBot="1" x14ac:dyDescent="0.25">
      <c r="A2429" s="567" t="s">
        <v>168</v>
      </c>
      <c r="B2429" s="644" t="s">
        <v>168</v>
      </c>
      <c r="C2429" s="645"/>
      <c r="D2429" s="422" t="s">
        <v>252</v>
      </c>
      <c r="E2429" s="423"/>
      <c r="F2429" s="424">
        <v>20</v>
      </c>
      <c r="G2429" s="425">
        <f>VLOOKUP(D2426,'[2]ENSAIOS DE ORÇAMENTO'!$C$3:$L$79,6,FALSE)</f>
        <v>1.2654000000000003</v>
      </c>
      <c r="H2429" s="663">
        <f t="shared" si="645"/>
        <v>30.470832000000009</v>
      </c>
      <c r="I2429" s="420"/>
      <c r="J2429" s="420"/>
      <c r="K2429" s="421">
        <f t="shared" si="627"/>
        <v>0</v>
      </c>
      <c r="L2429" s="647"/>
      <c r="M2429" s="723"/>
      <c r="N2429" s="576">
        <f t="shared" si="636"/>
        <v>0</v>
      </c>
      <c r="O2429" s="577">
        <f t="shared" si="630"/>
        <v>0</v>
      </c>
      <c r="P2429" s="578">
        <f t="shared" si="631"/>
        <v>0</v>
      </c>
      <c r="Q2429" s="765"/>
      <c r="R2429" s="723"/>
      <c r="S2429" s="723"/>
      <c r="T2429" s="577">
        <f t="shared" si="628"/>
        <v>0</v>
      </c>
      <c r="U2429" s="578">
        <f t="shared" si="629"/>
        <v>0</v>
      </c>
      <c r="V2429" s="579"/>
      <c r="W2429" s="566" t="str">
        <f>IF(U2426&gt;0,"xx",IF(P2426&gt;0,"xy",""))</f>
        <v/>
      </c>
      <c r="X2429" s="586" t="str">
        <f t="shared" si="642"/>
        <v/>
      </c>
      <c r="Y2429" s="586" t="str">
        <f t="shared" si="633"/>
        <v/>
      </c>
      <c r="Z2429" s="586" t="str">
        <f t="shared" si="640"/>
        <v/>
      </c>
    </row>
    <row r="2430" spans="1:26" ht="12" hidden="1" thickBot="1" x14ac:dyDescent="0.25">
      <c r="A2430" s="567" t="s">
        <v>168</v>
      </c>
      <c r="B2430" s="644" t="s">
        <v>168</v>
      </c>
      <c r="C2430" s="645"/>
      <c r="D2430" s="422" t="s">
        <v>400</v>
      </c>
      <c r="E2430" s="423"/>
      <c r="F2430" s="424">
        <v>30</v>
      </c>
      <c r="G2430" s="425">
        <f>VLOOKUP(D2426,'[2]ENSAIOS DE ORÇAMENTO'!$C$3:$L$79,3,FALSE)</f>
        <v>1.09134</v>
      </c>
      <c r="H2430" s="663">
        <f t="shared" si="645"/>
        <v>37.956805199999998</v>
      </c>
      <c r="I2430" s="420"/>
      <c r="J2430" s="420"/>
      <c r="K2430" s="421">
        <f t="shared" si="627"/>
        <v>0</v>
      </c>
      <c r="L2430" s="647"/>
      <c r="M2430" s="723"/>
      <c r="N2430" s="576">
        <f t="shared" si="636"/>
        <v>0</v>
      </c>
      <c r="O2430" s="577">
        <f t="shared" si="630"/>
        <v>0</v>
      </c>
      <c r="P2430" s="578">
        <f t="shared" si="631"/>
        <v>0</v>
      </c>
      <c r="Q2430" s="765"/>
      <c r="R2430" s="723"/>
      <c r="S2430" s="723"/>
      <c r="T2430" s="577">
        <f t="shared" si="628"/>
        <v>0</v>
      </c>
      <c r="U2430" s="578">
        <f t="shared" si="629"/>
        <v>0</v>
      </c>
      <c r="V2430" s="579"/>
      <c r="W2430" s="566" t="str">
        <f>IF(U2426&gt;0,"xx",IF(P2426&gt;0,"xy",""))</f>
        <v/>
      </c>
      <c r="X2430" s="586" t="str">
        <f t="shared" si="642"/>
        <v/>
      </c>
      <c r="Y2430" s="586" t="str">
        <f t="shared" si="633"/>
        <v/>
      </c>
      <c r="Z2430" s="586" t="str">
        <f t="shared" si="640"/>
        <v/>
      </c>
    </row>
    <row r="2431" spans="1:26" ht="12" hidden="1" thickBot="1" x14ac:dyDescent="0.25">
      <c r="A2431" s="567" t="s">
        <v>168</v>
      </c>
      <c r="B2431" s="644" t="s">
        <v>168</v>
      </c>
      <c r="C2431" s="645"/>
      <c r="D2431" s="422" t="s">
        <v>401</v>
      </c>
      <c r="E2431" s="423"/>
      <c r="F2431" s="424">
        <v>500</v>
      </c>
      <c r="G2431" s="425">
        <f>VLOOKUP(D2426,'[2]ENSAIOS DE ORÇAMENTO'!$C$3:$L$79,10,FALSE)</f>
        <v>3.6378000000000001E-2</v>
      </c>
      <c r="H2431" s="649">
        <f>IF(F2431&lt;=30,(0.78*F2431+7.82)*G2431,((0.78*30+7.82)+0.78*(F2431-30))*G2431)</f>
        <v>14.471895960000001</v>
      </c>
      <c r="I2431" s="420"/>
      <c r="J2431" s="420"/>
      <c r="K2431" s="421">
        <f t="shared" si="627"/>
        <v>0</v>
      </c>
      <c r="L2431" s="647"/>
      <c r="M2431" s="723"/>
      <c r="N2431" s="576">
        <f t="shared" si="636"/>
        <v>0</v>
      </c>
      <c r="O2431" s="577">
        <f t="shared" si="630"/>
        <v>0</v>
      </c>
      <c r="P2431" s="578">
        <f t="shared" si="631"/>
        <v>0</v>
      </c>
      <c r="Q2431" s="765"/>
      <c r="R2431" s="723"/>
      <c r="S2431" s="723"/>
      <c r="T2431" s="577">
        <f t="shared" si="628"/>
        <v>0</v>
      </c>
      <c r="U2431" s="578">
        <f t="shared" si="629"/>
        <v>0</v>
      </c>
      <c r="V2431" s="579"/>
      <c r="W2431" s="566" t="str">
        <f>IF(U2426&gt;0,"xx",IF(P2426&gt;0,"xy",""))</f>
        <v/>
      </c>
      <c r="X2431" s="586" t="str">
        <f t="shared" si="642"/>
        <v/>
      </c>
      <c r="Y2431" s="586" t="str">
        <f t="shared" si="633"/>
        <v/>
      </c>
      <c r="Z2431" s="586" t="str">
        <f t="shared" si="640"/>
        <v/>
      </c>
    </row>
    <row r="2432" spans="1:26" ht="12" hidden="1" thickBot="1" x14ac:dyDescent="0.25">
      <c r="A2432" s="567" t="s">
        <v>46</v>
      </c>
      <c r="B2432" s="644" t="s">
        <v>46</v>
      </c>
      <c r="C2432" s="645" t="s">
        <v>206</v>
      </c>
      <c r="D2432" s="422" t="s">
        <v>148</v>
      </c>
      <c r="E2432" s="423"/>
      <c r="F2432" s="424"/>
      <c r="G2432" s="425"/>
      <c r="H2432" s="651">
        <f>SUM(H2433:H2437)</f>
        <v>615.54044991600006</v>
      </c>
      <c r="I2432" s="420">
        <f>VLOOKUP(D2432,'[2]ENSAIOS DE ORÇAMENTO'!$C$3:$L$79,8,FALSE)</f>
        <v>2907.1166439999997</v>
      </c>
      <c r="J2432" s="420">
        <f>IF(ISBLANK(I2432),"",SUM(H2432:I2432))</f>
        <v>3522.6570939159997</v>
      </c>
      <c r="K2432" s="421">
        <f t="shared" ref="K2432:K2495" si="646">IF(ISBLANK(I2432),0,ROUND(J2432*(1+$F$10)*(1+$F$11*E2432),2))</f>
        <v>4185.2700000000004</v>
      </c>
      <c r="L2432" s="647" t="s">
        <v>21</v>
      </c>
      <c r="M2432" s="576"/>
      <c r="N2432" s="576">
        <f t="shared" si="636"/>
        <v>0</v>
      </c>
      <c r="O2432" s="577">
        <f t="shared" si="630"/>
        <v>0</v>
      </c>
      <c r="P2432" s="578">
        <f t="shared" si="631"/>
        <v>0</v>
      </c>
      <c r="Q2432" s="765"/>
      <c r="R2432" s="576">
        <f>M2432</f>
        <v>0</v>
      </c>
      <c r="S2432" s="576">
        <f>N2432</f>
        <v>0</v>
      </c>
      <c r="T2432" s="577">
        <f t="shared" ref="T2432:T2495" si="647">IF(ISBLANK(R2432),0,ROUND(K2432*R2432,2))</f>
        <v>0</v>
      </c>
      <c r="U2432" s="578">
        <f t="shared" ref="U2432:U2495" si="648">IF(ISBLANK(R2432),0,ROUND(R2432*S2432,2))</f>
        <v>0</v>
      </c>
      <c r="V2432" s="579"/>
      <c r="W2432" s="566"/>
      <c r="X2432" s="586" t="str">
        <f t="shared" si="642"/>
        <v/>
      </c>
      <c r="Y2432" s="586" t="str">
        <f t="shared" si="633"/>
        <v/>
      </c>
      <c r="Z2432" s="586" t="str">
        <f t="shared" si="640"/>
        <v/>
      </c>
    </row>
    <row r="2433" spans="1:26" ht="12" hidden="1" thickBot="1" x14ac:dyDescent="0.25">
      <c r="A2433" s="567" t="s">
        <v>168</v>
      </c>
      <c r="B2433" s="644" t="s">
        <v>168</v>
      </c>
      <c r="C2433" s="645"/>
      <c r="D2433" s="422" t="s">
        <v>212</v>
      </c>
      <c r="E2433" s="423"/>
      <c r="F2433" s="424">
        <v>500</v>
      </c>
      <c r="G2433" s="425">
        <f>VLOOKUP(D2432,'[2]ENSAIOS DE ORÇAMENTO'!$C$3:$L$79,4,FALSE)</f>
        <v>0.46255580000000002</v>
      </c>
      <c r="H2433" s="649">
        <f>IF(F2433&lt;=30,(0.78*F2433+7.82)*G2433,((0.78*30+7.82)+0.78*(F2433-30))*G2433)</f>
        <v>184.01394835600004</v>
      </c>
      <c r="I2433" s="420"/>
      <c r="J2433" s="420"/>
      <c r="K2433" s="421">
        <f t="shared" si="646"/>
        <v>0</v>
      </c>
      <c r="L2433" s="647"/>
      <c r="M2433" s="723"/>
      <c r="N2433" s="576">
        <f t="shared" si="636"/>
        <v>0</v>
      </c>
      <c r="O2433" s="577">
        <f t="shared" ref="O2433:O2496" si="649">IF(ISBLANK(M2433),0,ROUND(K2433*M2433,2))</f>
        <v>0</v>
      </c>
      <c r="P2433" s="578">
        <f t="shared" ref="P2433:P2496" si="650">IF(ISBLANK(N2433),0,ROUND(M2433*N2433,2))</f>
        <v>0</v>
      </c>
      <c r="Q2433" s="765"/>
      <c r="R2433" s="723"/>
      <c r="S2433" s="723"/>
      <c r="T2433" s="577">
        <f t="shared" si="647"/>
        <v>0</v>
      </c>
      <c r="U2433" s="578">
        <f t="shared" si="648"/>
        <v>0</v>
      </c>
      <c r="V2433" s="579"/>
      <c r="W2433" s="566" t="str">
        <f>IF(U2432&gt;0,"xx",IF(P2432&gt;0,"xy",""))</f>
        <v/>
      </c>
      <c r="X2433" s="586" t="str">
        <f t="shared" si="642"/>
        <v/>
      </c>
      <c r="Y2433" s="586" t="str">
        <f t="shared" si="633"/>
        <v/>
      </c>
      <c r="Z2433" s="586" t="str">
        <f t="shared" si="640"/>
        <v/>
      </c>
    </row>
    <row r="2434" spans="1:26" ht="12" hidden="1" thickBot="1" x14ac:dyDescent="0.25">
      <c r="A2434" s="567" t="s">
        <v>168</v>
      </c>
      <c r="B2434" s="644" t="s">
        <v>168</v>
      </c>
      <c r="C2434" s="645"/>
      <c r="D2434" s="422" t="s">
        <v>248</v>
      </c>
      <c r="E2434" s="423"/>
      <c r="F2434" s="424">
        <v>180</v>
      </c>
      <c r="G2434" s="425">
        <f>VLOOKUP(D2432,'[2]ENSAIOS DE ORÇAMENTO'!$C$3:$L$79,5,FALSE)</f>
        <v>1.7263925000000002</v>
      </c>
      <c r="H2434" s="663">
        <f t="shared" ref="H2434:H2436" si="651">IF(F2434&lt;=30,(1.07*F2434+2.68)*G2434,((1.07*30+2.68)+1.07*(F2434-30))*G2434)</f>
        <v>337.12992740000004</v>
      </c>
      <c r="I2434" s="420"/>
      <c r="J2434" s="420"/>
      <c r="K2434" s="421">
        <f t="shared" si="646"/>
        <v>0</v>
      </c>
      <c r="L2434" s="647"/>
      <c r="M2434" s="723"/>
      <c r="N2434" s="576">
        <f t="shared" si="636"/>
        <v>0</v>
      </c>
      <c r="O2434" s="577">
        <f t="shared" si="649"/>
        <v>0</v>
      </c>
      <c r="P2434" s="578">
        <f t="shared" si="650"/>
        <v>0</v>
      </c>
      <c r="Q2434" s="765"/>
      <c r="R2434" s="723"/>
      <c r="S2434" s="723"/>
      <c r="T2434" s="577">
        <f t="shared" si="647"/>
        <v>0</v>
      </c>
      <c r="U2434" s="578">
        <f t="shared" si="648"/>
        <v>0</v>
      </c>
      <c r="V2434" s="579"/>
      <c r="W2434" s="566" t="str">
        <f>IF(U2432&gt;0,"xx",IF(P2432&gt;0,"xy",""))</f>
        <v/>
      </c>
      <c r="X2434" s="586" t="str">
        <f t="shared" si="642"/>
        <v/>
      </c>
      <c r="Y2434" s="586" t="str">
        <f t="shared" si="633"/>
        <v/>
      </c>
      <c r="Z2434" s="586" t="str">
        <f t="shared" si="640"/>
        <v/>
      </c>
    </row>
    <row r="2435" spans="1:26" ht="12" hidden="1" thickBot="1" x14ac:dyDescent="0.25">
      <c r="A2435" s="567" t="s">
        <v>168</v>
      </c>
      <c r="B2435" s="644" t="s">
        <v>168</v>
      </c>
      <c r="C2435" s="645"/>
      <c r="D2435" s="422" t="s">
        <v>252</v>
      </c>
      <c r="E2435" s="423"/>
      <c r="F2435" s="424">
        <v>20</v>
      </c>
      <c r="G2435" s="425">
        <f>VLOOKUP(D2432,'[2]ENSAIOS DE ORÇAMENTO'!$C$3:$L$79,6,FALSE)</f>
        <v>1.3209000000000002</v>
      </c>
      <c r="H2435" s="663">
        <f t="shared" si="651"/>
        <v>31.807272000000008</v>
      </c>
      <c r="I2435" s="420"/>
      <c r="J2435" s="420"/>
      <c r="K2435" s="421">
        <f t="shared" si="646"/>
        <v>0</v>
      </c>
      <c r="L2435" s="647"/>
      <c r="M2435" s="723"/>
      <c r="N2435" s="576">
        <f t="shared" si="636"/>
        <v>0</v>
      </c>
      <c r="O2435" s="577">
        <f t="shared" si="649"/>
        <v>0</v>
      </c>
      <c r="P2435" s="578">
        <f t="shared" si="650"/>
        <v>0</v>
      </c>
      <c r="Q2435" s="765"/>
      <c r="R2435" s="723"/>
      <c r="S2435" s="723"/>
      <c r="T2435" s="577">
        <f t="shared" si="647"/>
        <v>0</v>
      </c>
      <c r="U2435" s="578">
        <f t="shared" si="648"/>
        <v>0</v>
      </c>
      <c r="V2435" s="579"/>
      <c r="W2435" s="566" t="str">
        <f>IF(U2432&gt;0,"xx",IF(P2432&gt;0,"xy",""))</f>
        <v/>
      </c>
      <c r="X2435" s="586" t="str">
        <f t="shared" si="642"/>
        <v/>
      </c>
      <c r="Y2435" s="586" t="str">
        <f t="shared" si="633"/>
        <v/>
      </c>
      <c r="Z2435" s="586" t="str">
        <f t="shared" si="640"/>
        <v/>
      </c>
    </row>
    <row r="2436" spans="1:26" ht="12" hidden="1" thickBot="1" x14ac:dyDescent="0.25">
      <c r="A2436" s="567" t="s">
        <v>168</v>
      </c>
      <c r="B2436" s="644" t="s">
        <v>168</v>
      </c>
      <c r="C2436" s="645"/>
      <c r="D2436" s="422" t="s">
        <v>400</v>
      </c>
      <c r="E2436" s="423"/>
      <c r="F2436" s="424">
        <v>30</v>
      </c>
      <c r="G2436" s="425">
        <f>VLOOKUP(D2432,'[2]ENSAIOS DE ORÇAMENTO'!$C$3:$L$79,3,FALSE)</f>
        <v>1.30284</v>
      </c>
      <c r="H2436" s="663">
        <f t="shared" si="651"/>
        <v>45.312775200000004</v>
      </c>
      <c r="I2436" s="420"/>
      <c r="J2436" s="420"/>
      <c r="K2436" s="421">
        <f t="shared" si="646"/>
        <v>0</v>
      </c>
      <c r="L2436" s="647"/>
      <c r="M2436" s="723"/>
      <c r="N2436" s="576">
        <f t="shared" si="636"/>
        <v>0</v>
      </c>
      <c r="O2436" s="577">
        <f t="shared" si="649"/>
        <v>0</v>
      </c>
      <c r="P2436" s="578">
        <f t="shared" si="650"/>
        <v>0</v>
      </c>
      <c r="Q2436" s="765"/>
      <c r="R2436" s="723"/>
      <c r="S2436" s="723"/>
      <c r="T2436" s="577">
        <f t="shared" si="647"/>
        <v>0</v>
      </c>
      <c r="U2436" s="578">
        <f t="shared" si="648"/>
        <v>0</v>
      </c>
      <c r="V2436" s="579"/>
      <c r="W2436" s="566" t="str">
        <f>IF(U2432&gt;0,"xx",IF(P2432&gt;0,"xy",""))</f>
        <v/>
      </c>
      <c r="X2436" s="586" t="str">
        <f t="shared" si="642"/>
        <v/>
      </c>
      <c r="Y2436" s="586" t="str">
        <f t="shared" si="633"/>
        <v/>
      </c>
      <c r="Z2436" s="586" t="str">
        <f t="shared" si="640"/>
        <v/>
      </c>
    </row>
    <row r="2437" spans="1:26" ht="12" hidden="1" thickBot="1" x14ac:dyDescent="0.25">
      <c r="A2437" s="567" t="s">
        <v>168</v>
      </c>
      <c r="B2437" s="644" t="s">
        <v>168</v>
      </c>
      <c r="C2437" s="645"/>
      <c r="D2437" s="422" t="s">
        <v>401</v>
      </c>
      <c r="E2437" s="423"/>
      <c r="F2437" s="424">
        <v>500</v>
      </c>
      <c r="G2437" s="425">
        <f>VLOOKUP(D2432,'[2]ENSAIOS DE ORÇAMENTO'!$C$3:$L$79,10,FALSE)</f>
        <v>4.3428000000000001E-2</v>
      </c>
      <c r="H2437" s="649">
        <f>IF(F2437&lt;=30,(0.78*F2437+7.82)*G2437,((0.78*30+7.82)+0.78*(F2437-30))*G2437)</f>
        <v>17.276526960000002</v>
      </c>
      <c r="I2437" s="420"/>
      <c r="J2437" s="420"/>
      <c r="K2437" s="421">
        <f t="shared" si="646"/>
        <v>0</v>
      </c>
      <c r="L2437" s="647"/>
      <c r="M2437" s="723"/>
      <c r="N2437" s="576">
        <f t="shared" si="636"/>
        <v>0</v>
      </c>
      <c r="O2437" s="577">
        <f t="shared" si="649"/>
        <v>0</v>
      </c>
      <c r="P2437" s="578">
        <f t="shared" si="650"/>
        <v>0</v>
      </c>
      <c r="Q2437" s="765"/>
      <c r="R2437" s="723"/>
      <c r="S2437" s="723"/>
      <c r="T2437" s="577">
        <f t="shared" si="647"/>
        <v>0</v>
      </c>
      <c r="U2437" s="578">
        <f t="shared" si="648"/>
        <v>0</v>
      </c>
      <c r="V2437" s="579"/>
      <c r="W2437" s="566" t="str">
        <f>IF(U2432&gt;0,"xx",IF(P2432&gt;0,"xy",""))</f>
        <v/>
      </c>
      <c r="X2437" s="586" t="str">
        <f t="shared" si="642"/>
        <v/>
      </c>
      <c r="Y2437" s="586" t="str">
        <f t="shared" si="633"/>
        <v/>
      </c>
      <c r="Z2437" s="586" t="str">
        <f t="shared" si="640"/>
        <v/>
      </c>
    </row>
    <row r="2438" spans="1:26" ht="12" hidden="1" thickBot="1" x14ac:dyDescent="0.25">
      <c r="A2438" s="567" t="s">
        <v>132</v>
      </c>
      <c r="B2438" s="644" t="s">
        <v>132</v>
      </c>
      <c r="C2438" s="645" t="s">
        <v>206</v>
      </c>
      <c r="D2438" s="422" t="s">
        <v>149</v>
      </c>
      <c r="E2438" s="423"/>
      <c r="F2438" s="424"/>
      <c r="G2438" s="425"/>
      <c r="H2438" s="651">
        <f>SUM(H2439:H2443)</f>
        <v>691.04061969200018</v>
      </c>
      <c r="I2438" s="420">
        <f>VLOOKUP(D2438,'[2]ENSAIOS DE ORÇAMENTO'!$C$3:$L$79,8,FALSE)</f>
        <v>3218.8444279999999</v>
      </c>
      <c r="J2438" s="420">
        <f>IF(ISBLANK(I2438),"",SUM(H2438:I2438))</f>
        <v>3909.8850476920002</v>
      </c>
      <c r="K2438" s="421">
        <f t="shared" si="646"/>
        <v>4645.33</v>
      </c>
      <c r="L2438" s="647" t="s">
        <v>21</v>
      </c>
      <c r="M2438" s="576"/>
      <c r="N2438" s="576">
        <f t="shared" si="636"/>
        <v>0</v>
      </c>
      <c r="O2438" s="577">
        <f t="shared" si="649"/>
        <v>0</v>
      </c>
      <c r="P2438" s="578">
        <f t="shared" si="650"/>
        <v>0</v>
      </c>
      <c r="Q2438" s="765"/>
      <c r="R2438" s="576">
        <f>M2438</f>
        <v>0</v>
      </c>
      <c r="S2438" s="576">
        <f>N2438</f>
        <v>0</v>
      </c>
      <c r="T2438" s="577">
        <f t="shared" si="647"/>
        <v>0</v>
      </c>
      <c r="U2438" s="578">
        <f t="shared" si="648"/>
        <v>0</v>
      </c>
      <c r="V2438" s="579"/>
      <c r="W2438" s="566"/>
      <c r="X2438" s="586" t="str">
        <f t="shared" si="642"/>
        <v/>
      </c>
      <c r="Y2438" s="586" t="str">
        <f t="shared" si="633"/>
        <v/>
      </c>
      <c r="Z2438" s="586" t="str">
        <f t="shared" si="640"/>
        <v/>
      </c>
    </row>
    <row r="2439" spans="1:26" ht="12" hidden="1" thickBot="1" x14ac:dyDescent="0.25">
      <c r="A2439" s="567" t="s">
        <v>168</v>
      </c>
      <c r="B2439" s="644" t="s">
        <v>168</v>
      </c>
      <c r="C2439" s="645"/>
      <c r="D2439" s="422" t="s">
        <v>212</v>
      </c>
      <c r="E2439" s="423"/>
      <c r="F2439" s="424">
        <v>500</v>
      </c>
      <c r="G2439" s="425">
        <f>VLOOKUP(D2438,'[2]ENSAIOS DE ORÇAMENTO'!$C$3:$L$79,4,FALSE)</f>
        <v>0.50537460000000012</v>
      </c>
      <c r="H2439" s="649">
        <f>IF(F2439&lt;=30,(0.78*F2439+7.82)*G2439,((0.78*30+7.82)+0.78*(F2439-30))*G2439)</f>
        <v>201.04812337200008</v>
      </c>
      <c r="I2439" s="420"/>
      <c r="J2439" s="420"/>
      <c r="K2439" s="421">
        <f t="shared" si="646"/>
        <v>0</v>
      </c>
      <c r="L2439" s="647"/>
      <c r="M2439" s="723"/>
      <c r="N2439" s="576">
        <f t="shared" si="636"/>
        <v>0</v>
      </c>
      <c r="O2439" s="577">
        <f t="shared" si="649"/>
        <v>0</v>
      </c>
      <c r="P2439" s="578">
        <f t="shared" si="650"/>
        <v>0</v>
      </c>
      <c r="Q2439" s="765"/>
      <c r="R2439" s="723"/>
      <c r="S2439" s="723"/>
      <c r="T2439" s="577">
        <f t="shared" si="647"/>
        <v>0</v>
      </c>
      <c r="U2439" s="578">
        <f t="shared" si="648"/>
        <v>0</v>
      </c>
      <c r="V2439" s="579"/>
      <c r="W2439" s="566" t="str">
        <f>IF(U2438&gt;0,"xx",IF(P2438&gt;0,"xy",""))</f>
        <v/>
      </c>
      <c r="X2439" s="586" t="str">
        <f t="shared" si="642"/>
        <v/>
      </c>
      <c r="Y2439" s="586" t="str">
        <f t="shared" si="633"/>
        <v/>
      </c>
      <c r="Z2439" s="586" t="str">
        <f t="shared" si="640"/>
        <v/>
      </c>
    </row>
    <row r="2440" spans="1:26" ht="12" hidden="1" thickBot="1" x14ac:dyDescent="0.25">
      <c r="A2440" s="567" t="s">
        <v>168</v>
      </c>
      <c r="B2440" s="644" t="s">
        <v>168</v>
      </c>
      <c r="C2440" s="645"/>
      <c r="D2440" s="422" t="s">
        <v>248</v>
      </c>
      <c r="E2440" s="423"/>
      <c r="F2440" s="424">
        <v>180</v>
      </c>
      <c r="G2440" s="425">
        <f>VLOOKUP(D2438,'[2]ENSAIOS DE ORÇAMENTO'!$C$3:$L$79,5,FALSE)</f>
        <v>1.9364075000000001</v>
      </c>
      <c r="H2440" s="663">
        <f t="shared" ref="H2440:H2442" si="652">IF(F2440&lt;=30,(1.07*F2440+2.68)*G2440,((1.07*30+2.68)+1.07*(F2440-30))*G2440)</f>
        <v>378.14165660000003</v>
      </c>
      <c r="I2440" s="420"/>
      <c r="J2440" s="420"/>
      <c r="K2440" s="421">
        <f t="shared" si="646"/>
        <v>0</v>
      </c>
      <c r="L2440" s="647"/>
      <c r="M2440" s="723"/>
      <c r="N2440" s="576">
        <f t="shared" si="636"/>
        <v>0</v>
      </c>
      <c r="O2440" s="577">
        <f t="shared" si="649"/>
        <v>0</v>
      </c>
      <c r="P2440" s="578">
        <f t="shared" si="650"/>
        <v>0</v>
      </c>
      <c r="Q2440" s="765"/>
      <c r="R2440" s="723"/>
      <c r="S2440" s="723"/>
      <c r="T2440" s="577">
        <f t="shared" si="647"/>
        <v>0</v>
      </c>
      <c r="U2440" s="578">
        <f t="shared" si="648"/>
        <v>0</v>
      </c>
      <c r="V2440" s="579"/>
      <c r="W2440" s="566" t="str">
        <f>IF(U2438&gt;0,"xx",IF(P2438&gt;0,"xy",""))</f>
        <v/>
      </c>
      <c r="X2440" s="586" t="str">
        <f t="shared" si="642"/>
        <v/>
      </c>
      <c r="Y2440" s="586" t="str">
        <f t="shared" ref="Y2440:Y2503" si="653">IF(W2440="X","x",IF(W2440="y","x",IF(W2440="xx","x",IF(U2440&gt;0,"x",""))))</f>
        <v/>
      </c>
      <c r="Z2440" s="586" t="str">
        <f t="shared" si="640"/>
        <v/>
      </c>
    </row>
    <row r="2441" spans="1:26" ht="12" hidden="1" thickBot="1" x14ac:dyDescent="0.25">
      <c r="A2441" s="567" t="s">
        <v>168</v>
      </c>
      <c r="B2441" s="644" t="s">
        <v>168</v>
      </c>
      <c r="C2441" s="645"/>
      <c r="D2441" s="422" t="s">
        <v>252</v>
      </c>
      <c r="E2441" s="423"/>
      <c r="F2441" s="424">
        <v>20</v>
      </c>
      <c r="G2441" s="425">
        <f>VLOOKUP(D2438,'[2]ENSAIOS DE ORÇAMENTO'!$C$3:$L$79,6,FALSE)</f>
        <v>1.3875000000000002</v>
      </c>
      <c r="H2441" s="663">
        <f t="shared" si="652"/>
        <v>33.411000000000008</v>
      </c>
      <c r="I2441" s="420"/>
      <c r="J2441" s="420"/>
      <c r="K2441" s="421">
        <f t="shared" si="646"/>
        <v>0</v>
      </c>
      <c r="L2441" s="647"/>
      <c r="M2441" s="723"/>
      <c r="N2441" s="576">
        <f t="shared" si="636"/>
        <v>0</v>
      </c>
      <c r="O2441" s="577">
        <f t="shared" si="649"/>
        <v>0</v>
      </c>
      <c r="P2441" s="578">
        <f t="shared" si="650"/>
        <v>0</v>
      </c>
      <c r="Q2441" s="765"/>
      <c r="R2441" s="723"/>
      <c r="S2441" s="723"/>
      <c r="T2441" s="577">
        <f t="shared" si="647"/>
        <v>0</v>
      </c>
      <c r="U2441" s="578">
        <f t="shared" si="648"/>
        <v>0</v>
      </c>
      <c r="V2441" s="579"/>
      <c r="W2441" s="566" t="str">
        <f>IF(U2438&gt;0,"xx",IF(P2438&gt;0,"xy",""))</f>
        <v/>
      </c>
      <c r="X2441" s="586" t="str">
        <f t="shared" si="642"/>
        <v/>
      </c>
      <c r="Y2441" s="586" t="str">
        <f t="shared" si="653"/>
        <v/>
      </c>
      <c r="Z2441" s="586" t="str">
        <f t="shared" si="640"/>
        <v/>
      </c>
    </row>
    <row r="2442" spans="1:26" ht="12" hidden="1" thickBot="1" x14ac:dyDescent="0.25">
      <c r="A2442" s="567" t="s">
        <v>168</v>
      </c>
      <c r="B2442" s="644" t="s">
        <v>168</v>
      </c>
      <c r="C2442" s="645"/>
      <c r="D2442" s="422" t="s">
        <v>400</v>
      </c>
      <c r="E2442" s="423"/>
      <c r="F2442" s="424">
        <v>30</v>
      </c>
      <c r="G2442" s="425">
        <f>VLOOKUP(D2438,'[2]ENSAIOS DE ORÇAMENTO'!$C$3:$L$79,3,FALSE)</f>
        <v>1.6327799999999999</v>
      </c>
      <c r="H2442" s="663">
        <f t="shared" si="652"/>
        <v>56.788088399999999</v>
      </c>
      <c r="I2442" s="420"/>
      <c r="J2442" s="420"/>
      <c r="K2442" s="421">
        <f t="shared" si="646"/>
        <v>0</v>
      </c>
      <c r="L2442" s="647"/>
      <c r="M2442" s="723"/>
      <c r="N2442" s="576">
        <f t="shared" si="636"/>
        <v>0</v>
      </c>
      <c r="O2442" s="577">
        <f t="shared" si="649"/>
        <v>0</v>
      </c>
      <c r="P2442" s="578">
        <f t="shared" si="650"/>
        <v>0</v>
      </c>
      <c r="Q2442" s="765"/>
      <c r="R2442" s="723"/>
      <c r="S2442" s="723"/>
      <c r="T2442" s="577">
        <f t="shared" si="647"/>
        <v>0</v>
      </c>
      <c r="U2442" s="578">
        <f t="shared" si="648"/>
        <v>0</v>
      </c>
      <c r="V2442" s="579"/>
      <c r="W2442" s="566" t="str">
        <f>IF(U2438&gt;0,"xx",IF(P2438&gt;0,"xy",""))</f>
        <v/>
      </c>
      <c r="X2442" s="586" t="str">
        <f t="shared" si="642"/>
        <v/>
      </c>
      <c r="Y2442" s="586" t="str">
        <f t="shared" si="653"/>
        <v/>
      </c>
      <c r="Z2442" s="586" t="str">
        <f t="shared" si="640"/>
        <v/>
      </c>
    </row>
    <row r="2443" spans="1:26" ht="12" hidden="1" thickBot="1" x14ac:dyDescent="0.25">
      <c r="A2443" s="567" t="s">
        <v>168</v>
      </c>
      <c r="B2443" s="644" t="s">
        <v>168</v>
      </c>
      <c r="C2443" s="645"/>
      <c r="D2443" s="422" t="s">
        <v>401</v>
      </c>
      <c r="E2443" s="423"/>
      <c r="F2443" s="424">
        <v>500</v>
      </c>
      <c r="G2443" s="425">
        <f>VLOOKUP(D2438,'[2]ENSAIOS DE ORÇAMENTO'!$C$3:$L$79,10,FALSE)</f>
        <v>5.4425999999999995E-2</v>
      </c>
      <c r="H2443" s="649">
        <f>IF(F2443&lt;=30,(0.78*F2443+7.82)*G2443,((0.78*30+7.82)+0.78*(F2443-30))*G2443)</f>
        <v>21.651751320000002</v>
      </c>
      <c r="I2443" s="420"/>
      <c r="J2443" s="420"/>
      <c r="K2443" s="421">
        <f t="shared" si="646"/>
        <v>0</v>
      </c>
      <c r="L2443" s="647"/>
      <c r="M2443" s="723"/>
      <c r="N2443" s="576">
        <f t="shared" si="636"/>
        <v>0</v>
      </c>
      <c r="O2443" s="577">
        <f t="shared" si="649"/>
        <v>0</v>
      </c>
      <c r="P2443" s="578">
        <f t="shared" si="650"/>
        <v>0</v>
      </c>
      <c r="Q2443" s="765"/>
      <c r="R2443" s="723"/>
      <c r="S2443" s="723"/>
      <c r="T2443" s="577">
        <f t="shared" si="647"/>
        <v>0</v>
      </c>
      <c r="U2443" s="578">
        <f t="shared" si="648"/>
        <v>0</v>
      </c>
      <c r="V2443" s="579"/>
      <c r="W2443" s="566" t="str">
        <f>IF(U2438&gt;0,"xx",IF(P2438&gt;0,"xy",""))</f>
        <v/>
      </c>
      <c r="X2443" s="586" t="str">
        <f t="shared" si="642"/>
        <v/>
      </c>
      <c r="Y2443" s="586" t="str">
        <f t="shared" si="653"/>
        <v/>
      </c>
      <c r="Z2443" s="586" t="str">
        <f t="shared" si="640"/>
        <v/>
      </c>
    </row>
    <row r="2444" spans="1:26" ht="12" hidden="1" thickBot="1" x14ac:dyDescent="0.25">
      <c r="A2444" s="567" t="s">
        <v>136</v>
      </c>
      <c r="B2444" s="644" t="s">
        <v>136</v>
      </c>
      <c r="C2444" s="645" t="s">
        <v>206</v>
      </c>
      <c r="D2444" s="422" t="s">
        <v>150</v>
      </c>
      <c r="E2444" s="423"/>
      <c r="F2444" s="424"/>
      <c r="G2444" s="425"/>
      <c r="H2444" s="651">
        <f>SUM(H2445:H2449)</f>
        <v>409.16457640000004</v>
      </c>
      <c r="I2444" s="420">
        <f>VLOOKUP(D2444,'[2]ENSAIOS DE ORÇAMENTO'!$C$3:$L$79,8,FALSE)</f>
        <v>1400.2775500000002</v>
      </c>
      <c r="J2444" s="420">
        <f>IF(ISBLANK(I2444),"",SUM(H2444:I2444))</f>
        <v>1809.4421264000002</v>
      </c>
      <c r="K2444" s="421">
        <f t="shared" si="646"/>
        <v>2149.8000000000002</v>
      </c>
      <c r="L2444" s="647" t="s">
        <v>21</v>
      </c>
      <c r="M2444" s="576"/>
      <c r="N2444" s="576">
        <f t="shared" si="636"/>
        <v>0</v>
      </c>
      <c r="O2444" s="577">
        <f t="shared" si="649"/>
        <v>0</v>
      </c>
      <c r="P2444" s="578">
        <f t="shared" si="650"/>
        <v>0</v>
      </c>
      <c r="Q2444" s="765"/>
      <c r="R2444" s="576">
        <f>M2444</f>
        <v>0</v>
      </c>
      <c r="S2444" s="576">
        <f>N2444</f>
        <v>0</v>
      </c>
      <c r="T2444" s="577">
        <f t="shared" si="647"/>
        <v>0</v>
      </c>
      <c r="U2444" s="578">
        <f t="shared" si="648"/>
        <v>0</v>
      </c>
      <c r="V2444" s="579"/>
      <c r="W2444" s="566"/>
      <c r="X2444" s="586" t="str">
        <f t="shared" si="642"/>
        <v/>
      </c>
      <c r="Y2444" s="586" t="str">
        <f t="shared" si="653"/>
        <v/>
      </c>
      <c r="Z2444" s="586" t="str">
        <f t="shared" si="640"/>
        <v/>
      </c>
    </row>
    <row r="2445" spans="1:26" ht="12" hidden="1" thickBot="1" x14ac:dyDescent="0.25">
      <c r="A2445" s="567" t="s">
        <v>168</v>
      </c>
      <c r="B2445" s="644" t="s">
        <v>168</v>
      </c>
      <c r="C2445" s="645"/>
      <c r="D2445" s="422" t="s">
        <v>212</v>
      </c>
      <c r="E2445" s="423"/>
      <c r="F2445" s="424">
        <v>500</v>
      </c>
      <c r="G2445" s="425">
        <f>VLOOKUP(D2444,'[2]ENSAIOS DE ORÇAMENTO'!$C$3:$L$79,4,FALSE)</f>
        <v>0.38250000000000006</v>
      </c>
      <c r="H2445" s="649">
        <f>IF(F2445&lt;=30,(0.78*F2445+7.82)*G2445,((0.78*30+7.82)+0.78*(F2445-30))*G2445)</f>
        <v>152.16615000000004</v>
      </c>
      <c r="I2445" s="420"/>
      <c r="J2445" s="420"/>
      <c r="K2445" s="421">
        <f t="shared" si="646"/>
        <v>0</v>
      </c>
      <c r="L2445" s="647"/>
      <c r="M2445" s="723"/>
      <c r="N2445" s="576">
        <f t="shared" si="636"/>
        <v>0</v>
      </c>
      <c r="O2445" s="577">
        <f t="shared" si="649"/>
        <v>0</v>
      </c>
      <c r="P2445" s="578">
        <f t="shared" si="650"/>
        <v>0</v>
      </c>
      <c r="Q2445" s="765"/>
      <c r="R2445" s="723"/>
      <c r="S2445" s="723"/>
      <c r="T2445" s="577">
        <f t="shared" si="647"/>
        <v>0</v>
      </c>
      <c r="U2445" s="578">
        <f t="shared" si="648"/>
        <v>0</v>
      </c>
      <c r="V2445" s="579"/>
      <c r="W2445" s="566" t="str">
        <f>IF(U2444&gt;0,"xx",IF(P2444&gt;0,"xy",""))</f>
        <v/>
      </c>
      <c r="X2445" s="586" t="str">
        <f t="shared" si="642"/>
        <v/>
      </c>
      <c r="Y2445" s="586" t="str">
        <f t="shared" si="653"/>
        <v/>
      </c>
      <c r="Z2445" s="586" t="str">
        <f t="shared" si="640"/>
        <v/>
      </c>
    </row>
    <row r="2446" spans="1:26" ht="12" hidden="1" thickBot="1" x14ac:dyDescent="0.25">
      <c r="A2446" s="567" t="s">
        <v>168</v>
      </c>
      <c r="B2446" s="644" t="s">
        <v>168</v>
      </c>
      <c r="C2446" s="645"/>
      <c r="D2446" s="422" t="s">
        <v>248</v>
      </c>
      <c r="E2446" s="423"/>
      <c r="F2446" s="424">
        <v>180</v>
      </c>
      <c r="G2446" s="425">
        <f>VLOOKUP(D2444,'[2]ENSAIOS DE ORÇAMENTO'!$C$3:$L$79,5,FALSE)</f>
        <v>1.1483800000000002</v>
      </c>
      <c r="H2446" s="663">
        <f t="shared" ref="H2446:H2448" si="654">IF(F2446&lt;=30,(1.07*F2446+2.68)*G2446,((1.07*30+2.68)+1.07*(F2446-30))*G2446)</f>
        <v>224.25564640000005</v>
      </c>
      <c r="I2446" s="420"/>
      <c r="J2446" s="420"/>
      <c r="K2446" s="421">
        <f t="shared" si="646"/>
        <v>0</v>
      </c>
      <c r="L2446" s="647"/>
      <c r="M2446" s="723"/>
      <c r="N2446" s="576">
        <f t="shared" si="636"/>
        <v>0</v>
      </c>
      <c r="O2446" s="577">
        <f t="shared" si="649"/>
        <v>0</v>
      </c>
      <c r="P2446" s="578">
        <f t="shared" si="650"/>
        <v>0</v>
      </c>
      <c r="Q2446" s="765"/>
      <c r="R2446" s="723"/>
      <c r="S2446" s="723"/>
      <c r="T2446" s="577">
        <f t="shared" si="647"/>
        <v>0</v>
      </c>
      <c r="U2446" s="578">
        <f t="shared" si="648"/>
        <v>0</v>
      </c>
      <c r="V2446" s="579"/>
      <c r="W2446" s="566" t="str">
        <f>IF(U2444&gt;0,"xx",IF(P2444&gt;0,"xy",""))</f>
        <v/>
      </c>
      <c r="X2446" s="586" t="str">
        <f t="shared" si="642"/>
        <v/>
      </c>
      <c r="Y2446" s="586" t="str">
        <f t="shared" si="653"/>
        <v/>
      </c>
      <c r="Z2446" s="586" t="str">
        <f t="shared" si="640"/>
        <v/>
      </c>
    </row>
    <row r="2447" spans="1:26" ht="12" hidden="1" thickBot="1" x14ac:dyDescent="0.25">
      <c r="A2447" s="567" t="s">
        <v>168</v>
      </c>
      <c r="B2447" s="644" t="s">
        <v>168</v>
      </c>
      <c r="C2447" s="645"/>
      <c r="D2447" s="422" t="s">
        <v>252</v>
      </c>
      <c r="E2447" s="423"/>
      <c r="F2447" s="424">
        <v>20</v>
      </c>
      <c r="G2447" s="425">
        <f>VLOOKUP(D2444,'[2]ENSAIOS DE ORÇAMENTO'!$C$3:$L$79,6,FALSE)</f>
        <v>1.35975</v>
      </c>
      <c r="H2447" s="663">
        <f t="shared" si="654"/>
        <v>32.742780000000003</v>
      </c>
      <c r="I2447" s="420"/>
      <c r="J2447" s="420"/>
      <c r="K2447" s="421">
        <f t="shared" si="646"/>
        <v>0</v>
      </c>
      <c r="L2447" s="647"/>
      <c r="M2447" s="723"/>
      <c r="N2447" s="576">
        <f t="shared" si="636"/>
        <v>0</v>
      </c>
      <c r="O2447" s="577">
        <f t="shared" si="649"/>
        <v>0</v>
      </c>
      <c r="P2447" s="578">
        <f t="shared" si="650"/>
        <v>0</v>
      </c>
      <c r="Q2447" s="765"/>
      <c r="R2447" s="723"/>
      <c r="S2447" s="723"/>
      <c r="T2447" s="577">
        <f t="shared" si="647"/>
        <v>0</v>
      </c>
      <c r="U2447" s="578">
        <f t="shared" si="648"/>
        <v>0</v>
      </c>
      <c r="V2447" s="579"/>
      <c r="W2447" s="566" t="str">
        <f>IF(U2444&gt;0,"xx",IF(P2444&gt;0,"xy",""))</f>
        <v/>
      </c>
      <c r="X2447" s="586" t="str">
        <f t="shared" si="642"/>
        <v/>
      </c>
      <c r="Y2447" s="586" t="str">
        <f t="shared" si="653"/>
        <v/>
      </c>
      <c r="Z2447" s="586" t="str">
        <f t="shared" si="640"/>
        <v/>
      </c>
    </row>
    <row r="2448" spans="1:26" ht="12" hidden="1" thickBot="1" x14ac:dyDescent="0.25">
      <c r="A2448" s="567" t="s">
        <v>168</v>
      </c>
      <c r="B2448" s="644" t="s">
        <v>168</v>
      </c>
      <c r="C2448" s="645"/>
      <c r="D2448" s="422" t="s">
        <v>400</v>
      </c>
      <c r="E2448" s="423"/>
      <c r="F2448" s="424">
        <v>30</v>
      </c>
      <c r="G2448" s="425">
        <f>VLOOKUP(D2444,'[2]ENSAIOS DE ORÇAMENTO'!$C$3:$L$79,3,FALSE)</f>
        <v>0</v>
      </c>
      <c r="H2448" s="663">
        <f t="shared" si="654"/>
        <v>0</v>
      </c>
      <c r="I2448" s="420"/>
      <c r="J2448" s="420"/>
      <c r="K2448" s="421">
        <f t="shared" si="646"/>
        <v>0</v>
      </c>
      <c r="L2448" s="647"/>
      <c r="M2448" s="723"/>
      <c r="N2448" s="576">
        <f t="shared" si="636"/>
        <v>0</v>
      </c>
      <c r="O2448" s="577">
        <f t="shared" si="649"/>
        <v>0</v>
      </c>
      <c r="P2448" s="578">
        <f t="shared" si="650"/>
        <v>0</v>
      </c>
      <c r="Q2448" s="765"/>
      <c r="R2448" s="723"/>
      <c r="S2448" s="723"/>
      <c r="T2448" s="577">
        <f t="shared" si="647"/>
        <v>0</v>
      </c>
      <c r="U2448" s="578">
        <f t="shared" si="648"/>
        <v>0</v>
      </c>
      <c r="V2448" s="579"/>
      <c r="W2448" s="566" t="str">
        <f>IF(U2444&gt;0,"xx",IF(P2444&gt;0,"xy",""))</f>
        <v/>
      </c>
      <c r="X2448" s="586" t="str">
        <f t="shared" si="642"/>
        <v/>
      </c>
      <c r="Y2448" s="586" t="str">
        <f t="shared" si="653"/>
        <v/>
      </c>
      <c r="Z2448" s="586" t="str">
        <f t="shared" si="640"/>
        <v/>
      </c>
    </row>
    <row r="2449" spans="1:26" ht="12" hidden="1" thickBot="1" x14ac:dyDescent="0.25">
      <c r="A2449" s="567" t="s">
        <v>168</v>
      </c>
      <c r="B2449" s="644" t="s">
        <v>168</v>
      </c>
      <c r="C2449" s="645"/>
      <c r="D2449" s="422" t="s">
        <v>401</v>
      </c>
      <c r="E2449" s="423"/>
      <c r="F2449" s="424">
        <v>500</v>
      </c>
      <c r="G2449" s="425">
        <f>VLOOKUP(D2444,'[2]ENSAIOS DE ORÇAMENTO'!$C$3:$L$79,10,FALSE)</f>
        <v>0</v>
      </c>
      <c r="H2449" s="649">
        <f>IF(F2449&lt;=30,(0.78*F2449+7.82)*G2449,((0.78*30+7.82)+0.78*(F2449-30))*G2449)</f>
        <v>0</v>
      </c>
      <c r="I2449" s="420"/>
      <c r="J2449" s="420"/>
      <c r="K2449" s="421">
        <f t="shared" si="646"/>
        <v>0</v>
      </c>
      <c r="L2449" s="647"/>
      <c r="M2449" s="723"/>
      <c r="N2449" s="576">
        <f t="shared" si="636"/>
        <v>0</v>
      </c>
      <c r="O2449" s="577">
        <f t="shared" si="649"/>
        <v>0</v>
      </c>
      <c r="P2449" s="578">
        <f t="shared" si="650"/>
        <v>0</v>
      </c>
      <c r="Q2449" s="765"/>
      <c r="R2449" s="723"/>
      <c r="S2449" s="723"/>
      <c r="T2449" s="577">
        <f t="shared" si="647"/>
        <v>0</v>
      </c>
      <c r="U2449" s="578">
        <f t="shared" si="648"/>
        <v>0</v>
      </c>
      <c r="V2449" s="579"/>
      <c r="W2449" s="566" t="str">
        <f>IF(U2444&gt;0,"xx",IF(P2444&gt;0,"xy",""))</f>
        <v/>
      </c>
      <c r="X2449" s="586" t="str">
        <f t="shared" si="642"/>
        <v/>
      </c>
      <c r="Y2449" s="586" t="str">
        <f t="shared" si="653"/>
        <v/>
      </c>
      <c r="Z2449" s="586" t="str">
        <f t="shared" si="640"/>
        <v/>
      </c>
    </row>
    <row r="2450" spans="1:26" ht="12" hidden="1" thickBot="1" x14ac:dyDescent="0.25">
      <c r="A2450" s="567" t="s">
        <v>137</v>
      </c>
      <c r="B2450" s="644" t="s">
        <v>137</v>
      </c>
      <c r="C2450" s="645" t="s">
        <v>206</v>
      </c>
      <c r="D2450" s="422" t="s">
        <v>151</v>
      </c>
      <c r="E2450" s="423"/>
      <c r="F2450" s="424"/>
      <c r="G2450" s="425"/>
      <c r="H2450" s="651">
        <f>SUM(H2451:H2455)</f>
        <v>459.84391840000006</v>
      </c>
      <c r="I2450" s="420">
        <f>VLOOKUP(D2450,'[2]ENSAIOS DE ORÇAMENTO'!$C$3:$L$79,8,FALSE)</f>
        <v>1488.1440499999999</v>
      </c>
      <c r="J2450" s="420">
        <f>IF(ISBLANK(I2450),"",SUM(H2450:I2450))</f>
        <v>1947.9879684</v>
      </c>
      <c r="K2450" s="421">
        <f t="shared" si="646"/>
        <v>2314.4</v>
      </c>
      <c r="L2450" s="647" t="s">
        <v>21</v>
      </c>
      <c r="M2450" s="576"/>
      <c r="N2450" s="576">
        <f t="shared" si="636"/>
        <v>0</v>
      </c>
      <c r="O2450" s="577">
        <f t="shared" si="649"/>
        <v>0</v>
      </c>
      <c r="P2450" s="578">
        <f t="shared" si="650"/>
        <v>0</v>
      </c>
      <c r="Q2450" s="765"/>
      <c r="R2450" s="576">
        <f>M2450</f>
        <v>0</v>
      </c>
      <c r="S2450" s="576">
        <f>N2450</f>
        <v>0</v>
      </c>
      <c r="T2450" s="577">
        <f t="shared" si="647"/>
        <v>0</v>
      </c>
      <c r="U2450" s="578">
        <f t="shared" si="648"/>
        <v>0</v>
      </c>
      <c r="V2450" s="579"/>
      <c r="W2450" s="566"/>
      <c r="X2450" s="586" t="str">
        <f t="shared" si="642"/>
        <v/>
      </c>
      <c r="Y2450" s="586" t="str">
        <f t="shared" si="653"/>
        <v/>
      </c>
      <c r="Z2450" s="586" t="str">
        <f t="shared" si="640"/>
        <v/>
      </c>
    </row>
    <row r="2451" spans="1:26" ht="12" hidden="1" thickBot="1" x14ac:dyDescent="0.25">
      <c r="A2451" s="567" t="s">
        <v>168</v>
      </c>
      <c r="B2451" s="644" t="s">
        <v>168</v>
      </c>
      <c r="C2451" s="645"/>
      <c r="D2451" s="422" t="s">
        <v>212</v>
      </c>
      <c r="E2451" s="423"/>
      <c r="F2451" s="424">
        <v>500</v>
      </c>
      <c r="G2451" s="425">
        <f>VLOOKUP(D2450,'[2]ENSAIOS DE ORÇAMENTO'!$C$3:$L$79,4,FALSE)</f>
        <v>0.43200000000000005</v>
      </c>
      <c r="H2451" s="649">
        <f>IF(F2451&lt;=30,(0.78*F2451+7.82)*G2451,((0.78*30+7.82)+0.78*(F2451-30))*G2451)</f>
        <v>171.85824000000005</v>
      </c>
      <c r="I2451" s="420"/>
      <c r="J2451" s="420"/>
      <c r="K2451" s="421">
        <f t="shared" si="646"/>
        <v>0</v>
      </c>
      <c r="L2451" s="647"/>
      <c r="M2451" s="723"/>
      <c r="N2451" s="576">
        <f t="shared" si="636"/>
        <v>0</v>
      </c>
      <c r="O2451" s="577">
        <f t="shared" si="649"/>
        <v>0</v>
      </c>
      <c r="P2451" s="578">
        <f t="shared" si="650"/>
        <v>0</v>
      </c>
      <c r="Q2451" s="765"/>
      <c r="R2451" s="723"/>
      <c r="S2451" s="723"/>
      <c r="T2451" s="577">
        <f t="shared" si="647"/>
        <v>0</v>
      </c>
      <c r="U2451" s="578">
        <f t="shared" si="648"/>
        <v>0</v>
      </c>
      <c r="V2451" s="579"/>
      <c r="W2451" s="566" t="str">
        <f>IF(U2450&gt;0,"xx",IF(P2450&gt;0,"xy",""))</f>
        <v/>
      </c>
      <c r="X2451" s="586" t="str">
        <f t="shared" si="642"/>
        <v/>
      </c>
      <c r="Y2451" s="586" t="str">
        <f t="shared" si="653"/>
        <v/>
      </c>
      <c r="Z2451" s="586" t="str">
        <f t="shared" si="640"/>
        <v/>
      </c>
    </row>
    <row r="2452" spans="1:26" ht="12" hidden="1" thickBot="1" x14ac:dyDescent="0.25">
      <c r="A2452" s="567" t="s">
        <v>168</v>
      </c>
      <c r="B2452" s="644" t="s">
        <v>168</v>
      </c>
      <c r="C2452" s="645"/>
      <c r="D2452" s="422" t="s">
        <v>248</v>
      </c>
      <c r="E2452" s="423"/>
      <c r="F2452" s="424">
        <v>180</v>
      </c>
      <c r="G2452" s="425">
        <f>VLOOKUP(D2450,'[2]ENSAIOS DE ORÇAMENTO'!$C$3:$L$79,5,FALSE)</f>
        <v>1.28653</v>
      </c>
      <c r="H2452" s="663">
        <f t="shared" ref="H2452:H2454" si="655">IF(F2452&lt;=30,(1.07*F2452+2.68)*G2452,((1.07*30+2.68)+1.07*(F2452-30))*G2452)</f>
        <v>251.2335784</v>
      </c>
      <c r="I2452" s="420"/>
      <c r="J2452" s="420"/>
      <c r="K2452" s="421">
        <f t="shared" si="646"/>
        <v>0</v>
      </c>
      <c r="L2452" s="647"/>
      <c r="M2452" s="723"/>
      <c r="N2452" s="576">
        <f t="shared" ref="N2452:N2515" si="656">IF(M2452=0,0,K2452)</f>
        <v>0</v>
      </c>
      <c r="O2452" s="577">
        <f t="shared" si="649"/>
        <v>0</v>
      </c>
      <c r="P2452" s="578">
        <f t="shared" si="650"/>
        <v>0</v>
      </c>
      <c r="Q2452" s="765"/>
      <c r="R2452" s="723"/>
      <c r="S2452" s="723"/>
      <c r="T2452" s="577">
        <f t="shared" si="647"/>
        <v>0</v>
      </c>
      <c r="U2452" s="578">
        <f t="shared" si="648"/>
        <v>0</v>
      </c>
      <c r="V2452" s="579"/>
      <c r="W2452" s="566" t="str">
        <f>IF(U2450&gt;0,"xx",IF(P2450&gt;0,"xy",""))</f>
        <v/>
      </c>
      <c r="X2452" s="586" t="str">
        <f t="shared" si="642"/>
        <v/>
      </c>
      <c r="Y2452" s="586" t="str">
        <f t="shared" si="653"/>
        <v/>
      </c>
      <c r="Z2452" s="586" t="str">
        <f t="shared" si="640"/>
        <v/>
      </c>
    </row>
    <row r="2453" spans="1:26" ht="12" hidden="1" thickBot="1" x14ac:dyDescent="0.25">
      <c r="A2453" s="567" t="s">
        <v>168</v>
      </c>
      <c r="B2453" s="644" t="s">
        <v>168</v>
      </c>
      <c r="C2453" s="645"/>
      <c r="D2453" s="422" t="s">
        <v>252</v>
      </c>
      <c r="E2453" s="423"/>
      <c r="F2453" s="424">
        <v>20</v>
      </c>
      <c r="G2453" s="425">
        <f>VLOOKUP(D2450,'[2]ENSAIOS DE ORÇAMENTO'!$C$3:$L$79,6,FALSE)</f>
        <v>1.5262500000000001</v>
      </c>
      <c r="H2453" s="663">
        <f t="shared" si="655"/>
        <v>36.752100000000006</v>
      </c>
      <c r="I2453" s="420"/>
      <c r="J2453" s="420"/>
      <c r="K2453" s="421">
        <f t="shared" si="646"/>
        <v>0</v>
      </c>
      <c r="L2453" s="647"/>
      <c r="M2453" s="723"/>
      <c r="N2453" s="576">
        <f t="shared" si="656"/>
        <v>0</v>
      </c>
      <c r="O2453" s="577">
        <f t="shared" si="649"/>
        <v>0</v>
      </c>
      <c r="P2453" s="578">
        <f t="shared" si="650"/>
        <v>0</v>
      </c>
      <c r="Q2453" s="765"/>
      <c r="R2453" s="723"/>
      <c r="S2453" s="723"/>
      <c r="T2453" s="577">
        <f t="shared" si="647"/>
        <v>0</v>
      </c>
      <c r="U2453" s="578">
        <f t="shared" si="648"/>
        <v>0</v>
      </c>
      <c r="V2453" s="579"/>
      <c r="W2453" s="566" t="str">
        <f>IF(U2450&gt;0,"xx",IF(P2450&gt;0,"xy",""))</f>
        <v/>
      </c>
      <c r="X2453" s="586" t="str">
        <f t="shared" si="642"/>
        <v/>
      </c>
      <c r="Y2453" s="586" t="str">
        <f t="shared" si="653"/>
        <v/>
      </c>
      <c r="Z2453" s="586" t="str">
        <f t="shared" si="640"/>
        <v/>
      </c>
    </row>
    <row r="2454" spans="1:26" ht="12" hidden="1" thickBot="1" x14ac:dyDescent="0.25">
      <c r="A2454" s="567" t="s">
        <v>168</v>
      </c>
      <c r="B2454" s="644" t="s">
        <v>168</v>
      </c>
      <c r="C2454" s="645"/>
      <c r="D2454" s="422" t="s">
        <v>400</v>
      </c>
      <c r="E2454" s="423"/>
      <c r="F2454" s="424">
        <v>30</v>
      </c>
      <c r="G2454" s="425">
        <f>VLOOKUP(D2450,'[2]ENSAIOS DE ORÇAMENTO'!$C$3:$L$79,3,FALSE)</f>
        <v>0</v>
      </c>
      <c r="H2454" s="663">
        <f t="shared" si="655"/>
        <v>0</v>
      </c>
      <c r="I2454" s="420"/>
      <c r="J2454" s="420"/>
      <c r="K2454" s="421">
        <f t="shared" si="646"/>
        <v>0</v>
      </c>
      <c r="L2454" s="647"/>
      <c r="M2454" s="723"/>
      <c r="N2454" s="576">
        <f t="shared" si="656"/>
        <v>0</v>
      </c>
      <c r="O2454" s="577">
        <f t="shared" si="649"/>
        <v>0</v>
      </c>
      <c r="P2454" s="578">
        <f t="shared" si="650"/>
        <v>0</v>
      </c>
      <c r="Q2454" s="765"/>
      <c r="R2454" s="723"/>
      <c r="S2454" s="723"/>
      <c r="T2454" s="577">
        <f t="shared" si="647"/>
        <v>0</v>
      </c>
      <c r="U2454" s="578">
        <f t="shared" si="648"/>
        <v>0</v>
      </c>
      <c r="V2454" s="579"/>
      <c r="W2454" s="566" t="str">
        <f>IF(U2450&gt;0,"xx",IF(P2450&gt;0,"xy",""))</f>
        <v/>
      </c>
      <c r="X2454" s="586" t="str">
        <f t="shared" si="642"/>
        <v/>
      </c>
      <c r="Y2454" s="586" t="str">
        <f t="shared" si="653"/>
        <v/>
      </c>
      <c r="Z2454" s="586" t="str">
        <f t="shared" si="640"/>
        <v/>
      </c>
    </row>
    <row r="2455" spans="1:26" ht="12" hidden="1" thickBot="1" x14ac:dyDescent="0.25">
      <c r="A2455" s="567" t="s">
        <v>168</v>
      </c>
      <c r="B2455" s="644" t="s">
        <v>168</v>
      </c>
      <c r="C2455" s="645"/>
      <c r="D2455" s="422" t="s">
        <v>401</v>
      </c>
      <c r="E2455" s="423"/>
      <c r="F2455" s="424">
        <v>500</v>
      </c>
      <c r="G2455" s="425">
        <f>VLOOKUP(D2450,'[2]ENSAIOS DE ORÇAMENTO'!$C$3:$L$79,10,FALSE)</f>
        <v>0</v>
      </c>
      <c r="H2455" s="649">
        <f>IF(F2455&lt;=30,(0.78*F2455+7.82)*G2455,((0.78*30+7.82)+0.78*(F2455-30))*G2455)</f>
        <v>0</v>
      </c>
      <c r="I2455" s="420"/>
      <c r="J2455" s="420"/>
      <c r="K2455" s="421">
        <f t="shared" si="646"/>
        <v>0</v>
      </c>
      <c r="L2455" s="647"/>
      <c r="M2455" s="723"/>
      <c r="N2455" s="576">
        <f t="shared" si="656"/>
        <v>0</v>
      </c>
      <c r="O2455" s="577">
        <f t="shared" si="649"/>
        <v>0</v>
      </c>
      <c r="P2455" s="578">
        <f t="shared" si="650"/>
        <v>0</v>
      </c>
      <c r="Q2455" s="765"/>
      <c r="R2455" s="723"/>
      <c r="S2455" s="723"/>
      <c r="T2455" s="577">
        <f t="shared" si="647"/>
        <v>0</v>
      </c>
      <c r="U2455" s="578">
        <f t="shared" si="648"/>
        <v>0</v>
      </c>
      <c r="V2455" s="579"/>
      <c r="W2455" s="566" t="str">
        <f>IF(U2450&gt;0,"xx",IF(P2450&gt;0,"xy",""))</f>
        <v/>
      </c>
      <c r="X2455" s="586" t="str">
        <f t="shared" si="642"/>
        <v/>
      </c>
      <c r="Y2455" s="586" t="str">
        <f t="shared" si="653"/>
        <v/>
      </c>
      <c r="Z2455" s="586" t="str">
        <f t="shared" si="640"/>
        <v/>
      </c>
    </row>
    <row r="2456" spans="1:26" ht="12" hidden="1" thickBot="1" x14ac:dyDescent="0.25">
      <c r="A2456" s="567" t="s">
        <v>138</v>
      </c>
      <c r="B2456" s="644" t="s">
        <v>138</v>
      </c>
      <c r="C2456" s="645" t="s">
        <v>206</v>
      </c>
      <c r="D2456" s="422" t="s">
        <v>152</v>
      </c>
      <c r="E2456" s="423"/>
      <c r="F2456" s="424"/>
      <c r="G2456" s="425"/>
      <c r="H2456" s="651">
        <f>SUM(H2457:H2461)</f>
        <v>534.17362000000003</v>
      </c>
      <c r="I2456" s="420">
        <f>VLOOKUP(D2456,'[2]ENSAIOS DE ORÇAMENTO'!$C$3:$L$79,8,FALSE)</f>
        <v>1617.5052500000002</v>
      </c>
      <c r="J2456" s="420">
        <f>IF(ISBLANK(I2456),"",SUM(H2456:I2456))</f>
        <v>2151.6788700000002</v>
      </c>
      <c r="K2456" s="421">
        <f t="shared" si="646"/>
        <v>2556.41</v>
      </c>
      <c r="L2456" s="647" t="s">
        <v>21</v>
      </c>
      <c r="M2456" s="576"/>
      <c r="N2456" s="576">
        <f t="shared" si="656"/>
        <v>0</v>
      </c>
      <c r="O2456" s="577">
        <f t="shared" si="649"/>
        <v>0</v>
      </c>
      <c r="P2456" s="578">
        <f t="shared" si="650"/>
        <v>0</v>
      </c>
      <c r="Q2456" s="765"/>
      <c r="R2456" s="576">
        <f>M2456</f>
        <v>0</v>
      </c>
      <c r="S2456" s="576">
        <f>N2456</f>
        <v>0</v>
      </c>
      <c r="T2456" s="577">
        <f t="shared" si="647"/>
        <v>0</v>
      </c>
      <c r="U2456" s="578">
        <f t="shared" si="648"/>
        <v>0</v>
      </c>
      <c r="V2456" s="579"/>
      <c r="W2456" s="566"/>
      <c r="X2456" s="586" t="str">
        <f t="shared" si="642"/>
        <v/>
      </c>
      <c r="Y2456" s="586" t="str">
        <f t="shared" si="653"/>
        <v/>
      </c>
      <c r="Z2456" s="586" t="str">
        <f t="shared" si="640"/>
        <v/>
      </c>
    </row>
    <row r="2457" spans="1:26" ht="12" hidden="1" thickBot="1" x14ac:dyDescent="0.25">
      <c r="A2457" s="567" t="s">
        <v>168</v>
      </c>
      <c r="B2457" s="644" t="s">
        <v>168</v>
      </c>
      <c r="C2457" s="645"/>
      <c r="D2457" s="422" t="s">
        <v>212</v>
      </c>
      <c r="E2457" s="423"/>
      <c r="F2457" s="424">
        <v>500</v>
      </c>
      <c r="G2457" s="425">
        <f>VLOOKUP(D2456,'[2]ENSAIOS DE ORÇAMENTO'!$C$3:$L$79,4,FALSE)</f>
        <v>0.50459999999999994</v>
      </c>
      <c r="H2457" s="649">
        <f>IF(F2457&lt;=30,(0.78*F2457+7.82)*G2457,((0.78*30+7.82)+0.78*(F2457-30))*G2457)</f>
        <v>200.73997199999999</v>
      </c>
      <c r="I2457" s="420"/>
      <c r="J2457" s="420"/>
      <c r="K2457" s="421">
        <f t="shared" si="646"/>
        <v>0</v>
      </c>
      <c r="L2457" s="647"/>
      <c r="M2457" s="723"/>
      <c r="N2457" s="576">
        <f t="shared" si="656"/>
        <v>0</v>
      </c>
      <c r="O2457" s="577">
        <f t="shared" si="649"/>
        <v>0</v>
      </c>
      <c r="P2457" s="578">
        <f t="shared" si="650"/>
        <v>0</v>
      </c>
      <c r="Q2457" s="765"/>
      <c r="R2457" s="723"/>
      <c r="S2457" s="723"/>
      <c r="T2457" s="577">
        <f t="shared" si="647"/>
        <v>0</v>
      </c>
      <c r="U2457" s="578">
        <f t="shared" si="648"/>
        <v>0</v>
      </c>
      <c r="V2457" s="579"/>
      <c r="W2457" s="566" t="str">
        <f>IF(U2456&gt;0,"xx",IF(P2456&gt;0,"xy",""))</f>
        <v/>
      </c>
      <c r="X2457" s="586" t="str">
        <f t="shared" si="642"/>
        <v/>
      </c>
      <c r="Y2457" s="586" t="str">
        <f t="shared" si="653"/>
        <v/>
      </c>
      <c r="Z2457" s="586" t="str">
        <f t="shared" si="640"/>
        <v/>
      </c>
    </row>
    <row r="2458" spans="1:26" ht="12" hidden="1" thickBot="1" x14ac:dyDescent="0.25">
      <c r="A2458" s="567" t="s">
        <v>168</v>
      </c>
      <c r="B2458" s="644" t="s">
        <v>168</v>
      </c>
      <c r="C2458" s="645"/>
      <c r="D2458" s="422" t="s">
        <v>248</v>
      </c>
      <c r="E2458" s="423"/>
      <c r="F2458" s="424">
        <v>180</v>
      </c>
      <c r="G2458" s="425">
        <f>VLOOKUP(D2456,'[2]ENSAIOS DE ORÇAMENTO'!$C$3:$L$79,5,FALSE)</f>
        <v>1.48915</v>
      </c>
      <c r="H2458" s="663">
        <f t="shared" ref="H2458:H2460" si="657">IF(F2458&lt;=30,(1.07*F2458+2.68)*G2458,((1.07*30+2.68)+1.07*(F2458-30))*G2458)</f>
        <v>290.80121200000002</v>
      </c>
      <c r="I2458" s="420"/>
      <c r="J2458" s="420"/>
      <c r="K2458" s="421">
        <f t="shared" si="646"/>
        <v>0</v>
      </c>
      <c r="L2458" s="647"/>
      <c r="M2458" s="723"/>
      <c r="N2458" s="576">
        <f t="shared" si="656"/>
        <v>0</v>
      </c>
      <c r="O2458" s="577">
        <f t="shared" si="649"/>
        <v>0</v>
      </c>
      <c r="P2458" s="578">
        <f t="shared" si="650"/>
        <v>0</v>
      </c>
      <c r="Q2458" s="765"/>
      <c r="R2458" s="723"/>
      <c r="S2458" s="723"/>
      <c r="T2458" s="577">
        <f t="shared" si="647"/>
        <v>0</v>
      </c>
      <c r="U2458" s="578">
        <f t="shared" si="648"/>
        <v>0</v>
      </c>
      <c r="V2458" s="579"/>
      <c r="W2458" s="566" t="str">
        <f>IF(U2456&gt;0,"xx",IF(P2456&gt;0,"xy",""))</f>
        <v/>
      </c>
      <c r="X2458" s="586" t="str">
        <f t="shared" si="642"/>
        <v/>
      </c>
      <c r="Y2458" s="586" t="str">
        <f t="shared" si="653"/>
        <v/>
      </c>
      <c r="Z2458" s="586" t="str">
        <f t="shared" si="640"/>
        <v/>
      </c>
    </row>
    <row r="2459" spans="1:26" ht="12" hidden="1" thickBot="1" x14ac:dyDescent="0.25">
      <c r="A2459" s="567" t="s">
        <v>168</v>
      </c>
      <c r="B2459" s="644" t="s">
        <v>168</v>
      </c>
      <c r="C2459" s="645"/>
      <c r="D2459" s="422" t="s">
        <v>252</v>
      </c>
      <c r="E2459" s="423"/>
      <c r="F2459" s="424">
        <v>20</v>
      </c>
      <c r="G2459" s="425">
        <f>VLOOKUP(D2456,'[2]ENSAIOS DE ORÇAMENTO'!$C$3:$L$79,6,FALSE)</f>
        <v>1.7704500000000001</v>
      </c>
      <c r="H2459" s="663">
        <f t="shared" si="657"/>
        <v>42.632436000000006</v>
      </c>
      <c r="I2459" s="420"/>
      <c r="J2459" s="420"/>
      <c r="K2459" s="421">
        <f t="shared" si="646"/>
        <v>0</v>
      </c>
      <c r="L2459" s="647"/>
      <c r="M2459" s="723"/>
      <c r="N2459" s="576">
        <f t="shared" si="656"/>
        <v>0</v>
      </c>
      <c r="O2459" s="577">
        <f t="shared" si="649"/>
        <v>0</v>
      </c>
      <c r="P2459" s="578">
        <f t="shared" si="650"/>
        <v>0</v>
      </c>
      <c r="Q2459" s="765"/>
      <c r="R2459" s="723"/>
      <c r="S2459" s="723"/>
      <c r="T2459" s="577">
        <f t="shared" si="647"/>
        <v>0</v>
      </c>
      <c r="U2459" s="578">
        <f t="shared" si="648"/>
        <v>0</v>
      </c>
      <c r="V2459" s="579"/>
      <c r="W2459" s="566" t="str">
        <f>IF(U2456&gt;0,"xx",IF(P2456&gt;0,"xy",""))</f>
        <v/>
      </c>
      <c r="X2459" s="586" t="str">
        <f t="shared" si="642"/>
        <v/>
      </c>
      <c r="Y2459" s="586" t="str">
        <f t="shared" si="653"/>
        <v/>
      </c>
      <c r="Z2459" s="586" t="str">
        <f t="shared" si="640"/>
        <v/>
      </c>
    </row>
    <row r="2460" spans="1:26" ht="12" hidden="1" thickBot="1" x14ac:dyDescent="0.25">
      <c r="A2460" s="567" t="s">
        <v>168</v>
      </c>
      <c r="B2460" s="644" t="s">
        <v>168</v>
      </c>
      <c r="C2460" s="645"/>
      <c r="D2460" s="422" t="s">
        <v>400</v>
      </c>
      <c r="E2460" s="423"/>
      <c r="F2460" s="424">
        <v>30</v>
      </c>
      <c r="G2460" s="425">
        <f>VLOOKUP(D2456,'[2]ENSAIOS DE ORÇAMENTO'!$C$3:$L$79,3,FALSE)</f>
        <v>0</v>
      </c>
      <c r="H2460" s="663">
        <f t="shared" si="657"/>
        <v>0</v>
      </c>
      <c r="I2460" s="420"/>
      <c r="J2460" s="420"/>
      <c r="K2460" s="421">
        <f t="shared" si="646"/>
        <v>0</v>
      </c>
      <c r="L2460" s="647"/>
      <c r="M2460" s="723"/>
      <c r="N2460" s="576">
        <f t="shared" si="656"/>
        <v>0</v>
      </c>
      <c r="O2460" s="577">
        <f t="shared" si="649"/>
        <v>0</v>
      </c>
      <c r="P2460" s="578">
        <f t="shared" si="650"/>
        <v>0</v>
      </c>
      <c r="Q2460" s="765"/>
      <c r="R2460" s="723"/>
      <c r="S2460" s="723"/>
      <c r="T2460" s="577">
        <f t="shared" si="647"/>
        <v>0</v>
      </c>
      <c r="U2460" s="578">
        <f t="shared" si="648"/>
        <v>0</v>
      </c>
      <c r="V2460" s="579"/>
      <c r="W2460" s="566" t="str">
        <f>IF(U2456&gt;0,"xx",IF(P2456&gt;0,"xy",""))</f>
        <v/>
      </c>
      <c r="X2460" s="586" t="str">
        <f t="shared" si="642"/>
        <v/>
      </c>
      <c r="Y2460" s="586" t="str">
        <f t="shared" si="653"/>
        <v/>
      </c>
      <c r="Z2460" s="586" t="str">
        <f t="shared" si="640"/>
        <v/>
      </c>
    </row>
    <row r="2461" spans="1:26" ht="12" hidden="1" thickBot="1" x14ac:dyDescent="0.25">
      <c r="A2461" s="567" t="s">
        <v>168</v>
      </c>
      <c r="B2461" s="644" t="s">
        <v>168</v>
      </c>
      <c r="C2461" s="645"/>
      <c r="D2461" s="422" t="s">
        <v>401</v>
      </c>
      <c r="E2461" s="423"/>
      <c r="F2461" s="424">
        <v>500</v>
      </c>
      <c r="G2461" s="425">
        <f>VLOOKUP(D2456,'[2]ENSAIOS DE ORÇAMENTO'!$C$3:$L$79,10,FALSE)</f>
        <v>0</v>
      </c>
      <c r="H2461" s="649">
        <f>IF(F2461&lt;=30,(0.78*F2461+7.82)*G2461,((0.78*30+7.82)+0.78*(F2461-30))*G2461)</f>
        <v>0</v>
      </c>
      <c r="I2461" s="420"/>
      <c r="J2461" s="420"/>
      <c r="K2461" s="421">
        <f t="shared" si="646"/>
        <v>0</v>
      </c>
      <c r="L2461" s="647"/>
      <c r="M2461" s="723"/>
      <c r="N2461" s="576">
        <f t="shared" si="656"/>
        <v>0</v>
      </c>
      <c r="O2461" s="577">
        <f t="shared" si="649"/>
        <v>0</v>
      </c>
      <c r="P2461" s="578">
        <f t="shared" si="650"/>
        <v>0</v>
      </c>
      <c r="Q2461" s="765"/>
      <c r="R2461" s="723"/>
      <c r="S2461" s="723"/>
      <c r="T2461" s="577">
        <f t="shared" si="647"/>
        <v>0</v>
      </c>
      <c r="U2461" s="578">
        <f t="shared" si="648"/>
        <v>0</v>
      </c>
      <c r="V2461" s="579"/>
      <c r="W2461" s="566" t="str">
        <f>IF(U2456&gt;0,"xx",IF(P2456&gt;0,"xy",""))</f>
        <v/>
      </c>
      <c r="X2461" s="586" t="str">
        <f t="shared" si="642"/>
        <v/>
      </c>
      <c r="Y2461" s="586" t="str">
        <f t="shared" si="653"/>
        <v/>
      </c>
      <c r="Z2461" s="586" t="str">
        <f t="shared" si="640"/>
        <v/>
      </c>
    </row>
    <row r="2462" spans="1:26" ht="12" hidden="1" thickBot="1" x14ac:dyDescent="0.25">
      <c r="A2462" s="567" t="s">
        <v>139</v>
      </c>
      <c r="B2462" s="644" t="s">
        <v>139</v>
      </c>
      <c r="C2462" s="645" t="s">
        <v>206</v>
      </c>
      <c r="D2462" s="422" t="s">
        <v>153</v>
      </c>
      <c r="E2462" s="423"/>
      <c r="F2462" s="424"/>
      <c r="G2462" s="425"/>
      <c r="H2462" s="651">
        <f>SUM(H2463:H2467)</f>
        <v>676.95186200000012</v>
      </c>
      <c r="I2462" s="420">
        <f>VLOOKUP(D2462,'[2]ENSAIOS DE ORÇAMENTO'!$C$3:$L$79,8,FALSE)</f>
        <v>1834.5810000000001</v>
      </c>
      <c r="J2462" s="420">
        <f>IF(ISBLANK(I2462),"",SUM(H2462:I2462))</f>
        <v>2511.532862</v>
      </c>
      <c r="K2462" s="421">
        <f t="shared" si="646"/>
        <v>2983.95</v>
      </c>
      <c r="L2462" s="647" t="s">
        <v>21</v>
      </c>
      <c r="M2462" s="576"/>
      <c r="N2462" s="576">
        <f t="shared" si="656"/>
        <v>0</v>
      </c>
      <c r="O2462" s="577">
        <f t="shared" si="649"/>
        <v>0</v>
      </c>
      <c r="P2462" s="578">
        <f t="shared" si="650"/>
        <v>0</v>
      </c>
      <c r="Q2462" s="765"/>
      <c r="R2462" s="576">
        <f>M2462</f>
        <v>0</v>
      </c>
      <c r="S2462" s="576">
        <f>N2462</f>
        <v>0</v>
      </c>
      <c r="T2462" s="577">
        <f t="shared" si="647"/>
        <v>0</v>
      </c>
      <c r="U2462" s="578">
        <f t="shared" si="648"/>
        <v>0</v>
      </c>
      <c r="V2462" s="579"/>
      <c r="W2462" s="566"/>
      <c r="X2462" s="586" t="str">
        <f t="shared" si="642"/>
        <v/>
      </c>
      <c r="Y2462" s="586" t="str">
        <f t="shared" si="653"/>
        <v/>
      </c>
      <c r="Z2462" s="586" t="str">
        <f t="shared" si="640"/>
        <v/>
      </c>
    </row>
    <row r="2463" spans="1:26" ht="12" hidden="1" thickBot="1" x14ac:dyDescent="0.25">
      <c r="A2463" s="567" t="s">
        <v>168</v>
      </c>
      <c r="B2463" s="644" t="s">
        <v>168</v>
      </c>
      <c r="C2463" s="645"/>
      <c r="D2463" s="422" t="s">
        <v>212</v>
      </c>
      <c r="E2463" s="423"/>
      <c r="F2463" s="424">
        <v>500</v>
      </c>
      <c r="G2463" s="425">
        <f>VLOOKUP(D2462,'[2]ENSAIOS DE ORÇAMENTO'!$C$3:$L$79,4,FALSE)</f>
        <v>0.6411</v>
      </c>
      <c r="H2463" s="649">
        <f>IF(F2463&lt;=30,(0.78*F2463+7.82)*G2463,((0.78*30+7.82)+0.78*(F2463-30))*G2463)</f>
        <v>255.04240200000004</v>
      </c>
      <c r="I2463" s="420"/>
      <c r="J2463" s="420"/>
      <c r="K2463" s="421">
        <f t="shared" si="646"/>
        <v>0</v>
      </c>
      <c r="L2463" s="647"/>
      <c r="M2463" s="723"/>
      <c r="N2463" s="576">
        <f t="shared" si="656"/>
        <v>0</v>
      </c>
      <c r="O2463" s="577">
        <f t="shared" si="649"/>
        <v>0</v>
      </c>
      <c r="P2463" s="578">
        <f t="shared" si="650"/>
        <v>0</v>
      </c>
      <c r="Q2463" s="765"/>
      <c r="R2463" s="723"/>
      <c r="S2463" s="723"/>
      <c r="T2463" s="577">
        <f t="shared" si="647"/>
        <v>0</v>
      </c>
      <c r="U2463" s="578">
        <f t="shared" si="648"/>
        <v>0</v>
      </c>
      <c r="V2463" s="579"/>
      <c r="W2463" s="566" t="str">
        <f>IF(U2462&gt;0,"xx",IF(P2462&gt;0,"xy",""))</f>
        <v/>
      </c>
      <c r="X2463" s="586" t="str">
        <f t="shared" si="642"/>
        <v/>
      </c>
      <c r="Y2463" s="586" t="str">
        <f t="shared" si="653"/>
        <v/>
      </c>
      <c r="Z2463" s="586" t="str">
        <f t="shared" si="640"/>
        <v/>
      </c>
    </row>
    <row r="2464" spans="1:26" ht="12" hidden="1" thickBot="1" x14ac:dyDescent="0.25">
      <c r="A2464" s="567" t="s">
        <v>168</v>
      </c>
      <c r="B2464" s="644" t="s">
        <v>168</v>
      </c>
      <c r="C2464" s="645"/>
      <c r="D2464" s="422" t="s">
        <v>248</v>
      </c>
      <c r="E2464" s="423"/>
      <c r="F2464" s="424">
        <v>180</v>
      </c>
      <c r="G2464" s="425">
        <f>VLOOKUP(D2462,'[2]ENSAIOS DE ORÇAMENTO'!$C$3:$L$79,5,FALSE)</f>
        <v>1.8840500000000002</v>
      </c>
      <c r="H2464" s="663">
        <f t="shared" ref="H2464:H2466" si="658">IF(F2464&lt;=30,(1.07*F2464+2.68)*G2464,((1.07*30+2.68)+1.07*(F2464-30))*G2464)</f>
        <v>367.91728400000005</v>
      </c>
      <c r="I2464" s="420"/>
      <c r="J2464" s="420"/>
      <c r="K2464" s="421">
        <f t="shared" si="646"/>
        <v>0</v>
      </c>
      <c r="L2464" s="647"/>
      <c r="M2464" s="723"/>
      <c r="N2464" s="576">
        <f t="shared" si="656"/>
        <v>0</v>
      </c>
      <c r="O2464" s="577">
        <f t="shared" si="649"/>
        <v>0</v>
      </c>
      <c r="P2464" s="578">
        <f t="shared" si="650"/>
        <v>0</v>
      </c>
      <c r="Q2464" s="765"/>
      <c r="R2464" s="723"/>
      <c r="S2464" s="723"/>
      <c r="T2464" s="577">
        <f t="shared" si="647"/>
        <v>0</v>
      </c>
      <c r="U2464" s="578">
        <f t="shared" si="648"/>
        <v>0</v>
      </c>
      <c r="V2464" s="579"/>
      <c r="W2464" s="566" t="str">
        <f>IF(U2462&gt;0,"xx",IF(P2462&gt;0,"xy",""))</f>
        <v/>
      </c>
      <c r="X2464" s="586" t="str">
        <f t="shared" si="642"/>
        <v/>
      </c>
      <c r="Y2464" s="586" t="str">
        <f t="shared" si="653"/>
        <v/>
      </c>
      <c r="Z2464" s="586" t="str">
        <f t="shared" si="640"/>
        <v/>
      </c>
    </row>
    <row r="2465" spans="1:26" ht="12" hidden="1" thickBot="1" x14ac:dyDescent="0.25">
      <c r="A2465" s="567" t="s">
        <v>168</v>
      </c>
      <c r="B2465" s="644" t="s">
        <v>168</v>
      </c>
      <c r="C2465" s="645"/>
      <c r="D2465" s="422" t="s">
        <v>252</v>
      </c>
      <c r="E2465" s="423"/>
      <c r="F2465" s="424">
        <v>20</v>
      </c>
      <c r="G2465" s="425">
        <f>VLOOKUP(D2462,'[2]ENSAIOS DE ORÇAMENTO'!$C$3:$L$79,6,FALSE)</f>
        <v>2.2422</v>
      </c>
      <c r="H2465" s="663">
        <f t="shared" si="658"/>
        <v>53.992176000000001</v>
      </c>
      <c r="I2465" s="420"/>
      <c r="J2465" s="420"/>
      <c r="K2465" s="421">
        <f t="shared" si="646"/>
        <v>0</v>
      </c>
      <c r="L2465" s="647"/>
      <c r="M2465" s="723"/>
      <c r="N2465" s="576">
        <f t="shared" si="656"/>
        <v>0</v>
      </c>
      <c r="O2465" s="577">
        <f t="shared" si="649"/>
        <v>0</v>
      </c>
      <c r="P2465" s="578">
        <f t="shared" si="650"/>
        <v>0</v>
      </c>
      <c r="Q2465" s="765"/>
      <c r="R2465" s="723"/>
      <c r="S2465" s="723"/>
      <c r="T2465" s="577">
        <f t="shared" si="647"/>
        <v>0</v>
      </c>
      <c r="U2465" s="578">
        <f t="shared" si="648"/>
        <v>0</v>
      </c>
      <c r="V2465" s="579"/>
      <c r="W2465" s="566" t="str">
        <f>IF(U2462&gt;0,"xx",IF(P2462&gt;0,"xy",""))</f>
        <v/>
      </c>
      <c r="X2465" s="586" t="str">
        <f t="shared" si="642"/>
        <v/>
      </c>
      <c r="Y2465" s="586" t="str">
        <f t="shared" si="653"/>
        <v/>
      </c>
      <c r="Z2465" s="586" t="str">
        <f t="shared" si="640"/>
        <v/>
      </c>
    </row>
    <row r="2466" spans="1:26" ht="12" hidden="1" thickBot="1" x14ac:dyDescent="0.25">
      <c r="A2466" s="567" t="s">
        <v>168</v>
      </c>
      <c r="B2466" s="644" t="s">
        <v>168</v>
      </c>
      <c r="C2466" s="645"/>
      <c r="D2466" s="422" t="s">
        <v>400</v>
      </c>
      <c r="E2466" s="423"/>
      <c r="F2466" s="424">
        <v>30</v>
      </c>
      <c r="G2466" s="425">
        <f>VLOOKUP(D2462,'[2]ENSAIOS DE ORÇAMENTO'!$C$3:$L$79,3,FALSE)</f>
        <v>0</v>
      </c>
      <c r="H2466" s="663">
        <f t="shared" si="658"/>
        <v>0</v>
      </c>
      <c r="I2466" s="420"/>
      <c r="J2466" s="420"/>
      <c r="K2466" s="421">
        <f t="shared" si="646"/>
        <v>0</v>
      </c>
      <c r="L2466" s="647"/>
      <c r="M2466" s="723"/>
      <c r="N2466" s="576">
        <f t="shared" si="656"/>
        <v>0</v>
      </c>
      <c r="O2466" s="577">
        <f t="shared" si="649"/>
        <v>0</v>
      </c>
      <c r="P2466" s="578">
        <f t="shared" si="650"/>
        <v>0</v>
      </c>
      <c r="Q2466" s="765"/>
      <c r="R2466" s="723"/>
      <c r="S2466" s="723"/>
      <c r="T2466" s="577">
        <f t="shared" si="647"/>
        <v>0</v>
      </c>
      <c r="U2466" s="578">
        <f t="shared" si="648"/>
        <v>0</v>
      </c>
      <c r="V2466" s="579"/>
      <c r="W2466" s="566" t="str">
        <f>IF(U2462&gt;0,"xx",IF(P2462&gt;0,"xy",""))</f>
        <v/>
      </c>
      <c r="X2466" s="586" t="str">
        <f t="shared" si="642"/>
        <v/>
      </c>
      <c r="Y2466" s="586" t="str">
        <f t="shared" si="653"/>
        <v/>
      </c>
      <c r="Z2466" s="586" t="str">
        <f t="shared" si="640"/>
        <v/>
      </c>
    </row>
    <row r="2467" spans="1:26" ht="12" hidden="1" thickBot="1" x14ac:dyDescent="0.25">
      <c r="A2467" s="567" t="s">
        <v>168</v>
      </c>
      <c r="B2467" s="644" t="s">
        <v>168</v>
      </c>
      <c r="C2467" s="645"/>
      <c r="D2467" s="422" t="s">
        <v>401</v>
      </c>
      <c r="E2467" s="423"/>
      <c r="F2467" s="424">
        <v>500</v>
      </c>
      <c r="G2467" s="425">
        <f>VLOOKUP(D2462,'[2]ENSAIOS DE ORÇAMENTO'!$C$3:$L$79,10,FALSE)</f>
        <v>0</v>
      </c>
      <c r="H2467" s="649">
        <f>IF(F2467&lt;=30,(0.78*F2467+7.82)*G2467,((0.78*30+7.82)+0.78*(F2467-30))*G2467)</f>
        <v>0</v>
      </c>
      <c r="I2467" s="420"/>
      <c r="J2467" s="420"/>
      <c r="K2467" s="421">
        <f t="shared" si="646"/>
        <v>0</v>
      </c>
      <c r="L2467" s="647"/>
      <c r="M2467" s="723"/>
      <c r="N2467" s="576">
        <f t="shared" si="656"/>
        <v>0</v>
      </c>
      <c r="O2467" s="577">
        <f t="shared" si="649"/>
        <v>0</v>
      </c>
      <c r="P2467" s="578">
        <f t="shared" si="650"/>
        <v>0</v>
      </c>
      <c r="Q2467" s="765"/>
      <c r="R2467" s="723"/>
      <c r="S2467" s="723"/>
      <c r="T2467" s="577">
        <f t="shared" si="647"/>
        <v>0</v>
      </c>
      <c r="U2467" s="578">
        <f t="shared" si="648"/>
        <v>0</v>
      </c>
      <c r="V2467" s="579"/>
      <c r="W2467" s="566" t="str">
        <f>IF(U2462&gt;0,"xx",IF(P2462&gt;0,"xy",""))</f>
        <v/>
      </c>
      <c r="X2467" s="586" t="str">
        <f t="shared" si="642"/>
        <v/>
      </c>
      <c r="Y2467" s="586" t="str">
        <f t="shared" si="653"/>
        <v/>
      </c>
      <c r="Z2467" s="586" t="str">
        <f t="shared" si="640"/>
        <v/>
      </c>
    </row>
    <row r="2468" spans="1:26" ht="12" hidden="1" thickBot="1" x14ac:dyDescent="0.25">
      <c r="A2468" s="567" t="s">
        <v>140</v>
      </c>
      <c r="B2468" s="644" t="s">
        <v>140</v>
      </c>
      <c r="C2468" s="645" t="s">
        <v>206</v>
      </c>
      <c r="D2468" s="422" t="s">
        <v>154</v>
      </c>
      <c r="E2468" s="423"/>
      <c r="F2468" s="424"/>
      <c r="G2468" s="425"/>
      <c r="H2468" s="651">
        <f>SUM(H2469:H2473)</f>
        <v>848.91637639999999</v>
      </c>
      <c r="I2468" s="420">
        <f>VLOOKUP(D2468,'[2]ENSAIOS DE ORÇAMENTO'!$C$3:$L$79,8,FALSE)</f>
        <v>2093.32645</v>
      </c>
      <c r="J2468" s="420">
        <f>IF(ISBLANK(I2468),"",SUM(H2468:I2468))</f>
        <v>2942.2428264</v>
      </c>
      <c r="K2468" s="421">
        <f t="shared" si="646"/>
        <v>3495.68</v>
      </c>
      <c r="L2468" s="647" t="s">
        <v>21</v>
      </c>
      <c r="M2468" s="576"/>
      <c r="N2468" s="576">
        <f t="shared" si="656"/>
        <v>0</v>
      </c>
      <c r="O2468" s="577">
        <f t="shared" si="649"/>
        <v>0</v>
      </c>
      <c r="P2468" s="578">
        <f t="shared" si="650"/>
        <v>0</v>
      </c>
      <c r="Q2468" s="765"/>
      <c r="R2468" s="576">
        <f>M2468</f>
        <v>0</v>
      </c>
      <c r="S2468" s="576">
        <f>N2468</f>
        <v>0</v>
      </c>
      <c r="T2468" s="577">
        <f t="shared" si="647"/>
        <v>0</v>
      </c>
      <c r="U2468" s="578">
        <f t="shared" si="648"/>
        <v>0</v>
      </c>
      <c r="V2468" s="579"/>
      <c r="W2468" s="566"/>
      <c r="X2468" s="586" t="str">
        <f t="shared" si="642"/>
        <v/>
      </c>
      <c r="Y2468" s="586" t="str">
        <f t="shared" si="653"/>
        <v/>
      </c>
      <c r="Z2468" s="586" t="str">
        <f t="shared" si="640"/>
        <v/>
      </c>
    </row>
    <row r="2469" spans="1:26" ht="12" hidden="1" thickBot="1" x14ac:dyDescent="0.25">
      <c r="A2469" s="567" t="s">
        <v>168</v>
      </c>
      <c r="B2469" s="644" t="s">
        <v>168</v>
      </c>
      <c r="C2469" s="645"/>
      <c r="D2469" s="422" t="s">
        <v>212</v>
      </c>
      <c r="E2469" s="423"/>
      <c r="F2469" s="424">
        <v>500</v>
      </c>
      <c r="G2469" s="425">
        <f>VLOOKUP(D2468,'[2]ENSAIOS DE ORÇAMENTO'!$C$3:$L$79,4,FALSE)</f>
        <v>0.80657999999999996</v>
      </c>
      <c r="H2469" s="649">
        <f>IF(F2469&lt;=30,(0.78*F2469+7.82)*G2469,((0.78*30+7.82)+0.78*(F2469-30))*G2469)</f>
        <v>320.87365560000001</v>
      </c>
      <c r="I2469" s="420"/>
      <c r="J2469" s="420"/>
      <c r="K2469" s="421">
        <f t="shared" si="646"/>
        <v>0</v>
      </c>
      <c r="L2469" s="647"/>
      <c r="M2469" s="723"/>
      <c r="N2469" s="576">
        <f t="shared" si="656"/>
        <v>0</v>
      </c>
      <c r="O2469" s="577">
        <f t="shared" si="649"/>
        <v>0</v>
      </c>
      <c r="P2469" s="578">
        <f t="shared" si="650"/>
        <v>0</v>
      </c>
      <c r="Q2469" s="765"/>
      <c r="R2469" s="723"/>
      <c r="S2469" s="723"/>
      <c r="T2469" s="577">
        <f t="shared" si="647"/>
        <v>0</v>
      </c>
      <c r="U2469" s="578">
        <f t="shared" si="648"/>
        <v>0</v>
      </c>
      <c r="V2469" s="579"/>
      <c r="W2469" s="566" t="str">
        <f>IF(U2468&gt;0,"xx",IF(P2468&gt;0,"xy",""))</f>
        <v/>
      </c>
      <c r="X2469" s="586" t="str">
        <f t="shared" si="642"/>
        <v/>
      </c>
      <c r="Y2469" s="586" t="str">
        <f t="shared" si="653"/>
        <v/>
      </c>
      <c r="Z2469" s="586" t="str">
        <f t="shared" si="640"/>
        <v/>
      </c>
    </row>
    <row r="2470" spans="1:26" ht="12" hidden="1" thickBot="1" x14ac:dyDescent="0.25">
      <c r="A2470" s="567" t="s">
        <v>168</v>
      </c>
      <c r="B2470" s="644" t="s">
        <v>168</v>
      </c>
      <c r="C2470" s="645"/>
      <c r="D2470" s="422" t="s">
        <v>248</v>
      </c>
      <c r="E2470" s="423"/>
      <c r="F2470" s="424">
        <v>180</v>
      </c>
      <c r="G2470" s="425">
        <f>VLOOKUP(D2468,'[2]ENSAIOS DE ORÇAMENTO'!$C$3:$L$79,5,FALSE)</f>
        <v>2.3575999999999997</v>
      </c>
      <c r="H2470" s="663">
        <f t="shared" ref="H2470:H2472" si="659">IF(F2470&lt;=30,(1.07*F2470+2.68)*G2470,((1.07*30+2.68)+1.07*(F2470-30))*G2470)</f>
        <v>460.39212799999996</v>
      </c>
      <c r="I2470" s="420"/>
      <c r="J2470" s="420"/>
      <c r="K2470" s="421">
        <f t="shared" si="646"/>
        <v>0</v>
      </c>
      <c r="L2470" s="647"/>
      <c r="M2470" s="723"/>
      <c r="N2470" s="576">
        <f t="shared" si="656"/>
        <v>0</v>
      </c>
      <c r="O2470" s="577">
        <f t="shared" si="649"/>
        <v>0</v>
      </c>
      <c r="P2470" s="578">
        <f t="shared" si="650"/>
        <v>0</v>
      </c>
      <c r="Q2470" s="765"/>
      <c r="R2470" s="723"/>
      <c r="S2470" s="723"/>
      <c r="T2470" s="577">
        <f t="shared" si="647"/>
        <v>0</v>
      </c>
      <c r="U2470" s="578">
        <f t="shared" si="648"/>
        <v>0</v>
      </c>
      <c r="V2470" s="579"/>
      <c r="W2470" s="566" t="str">
        <f>IF(U2468&gt;0,"xx",IF(P2468&gt;0,"xy",""))</f>
        <v/>
      </c>
      <c r="X2470" s="586" t="str">
        <f t="shared" si="642"/>
        <v/>
      </c>
      <c r="Y2470" s="586" t="str">
        <f t="shared" si="653"/>
        <v/>
      </c>
      <c r="Z2470" s="586" t="str">
        <f t="shared" si="640"/>
        <v/>
      </c>
    </row>
    <row r="2471" spans="1:26" ht="12" hidden="1" thickBot="1" x14ac:dyDescent="0.25">
      <c r="A2471" s="567" t="s">
        <v>168</v>
      </c>
      <c r="B2471" s="644" t="s">
        <v>168</v>
      </c>
      <c r="C2471" s="645"/>
      <c r="D2471" s="422" t="s">
        <v>252</v>
      </c>
      <c r="E2471" s="423"/>
      <c r="F2471" s="424">
        <v>20</v>
      </c>
      <c r="G2471" s="425">
        <f>VLOOKUP(D2468,'[2]ENSAIOS DE ORÇAMENTO'!$C$3:$L$79,6,FALSE)</f>
        <v>2.8094099999999997</v>
      </c>
      <c r="H2471" s="663">
        <f t="shared" si="659"/>
        <v>67.650592799999998</v>
      </c>
      <c r="I2471" s="420"/>
      <c r="J2471" s="420"/>
      <c r="K2471" s="421">
        <f t="shared" si="646"/>
        <v>0</v>
      </c>
      <c r="L2471" s="647"/>
      <c r="M2471" s="723"/>
      <c r="N2471" s="576">
        <f t="shared" si="656"/>
        <v>0</v>
      </c>
      <c r="O2471" s="577">
        <f t="shared" si="649"/>
        <v>0</v>
      </c>
      <c r="P2471" s="578">
        <f t="shared" si="650"/>
        <v>0</v>
      </c>
      <c r="Q2471" s="765"/>
      <c r="R2471" s="723"/>
      <c r="S2471" s="723"/>
      <c r="T2471" s="577">
        <f t="shared" si="647"/>
        <v>0</v>
      </c>
      <c r="U2471" s="578">
        <f t="shared" si="648"/>
        <v>0</v>
      </c>
      <c r="V2471" s="579"/>
      <c r="W2471" s="566" t="str">
        <f>IF(U2468&gt;0,"xx",IF(P2468&gt;0,"xy",""))</f>
        <v/>
      </c>
      <c r="X2471" s="586" t="str">
        <f t="shared" si="642"/>
        <v/>
      </c>
      <c r="Y2471" s="586" t="str">
        <f t="shared" si="653"/>
        <v/>
      </c>
      <c r="Z2471" s="586" t="str">
        <f t="shared" si="640"/>
        <v/>
      </c>
    </row>
    <row r="2472" spans="1:26" ht="12" hidden="1" thickBot="1" x14ac:dyDescent="0.25">
      <c r="A2472" s="567" t="s">
        <v>168</v>
      </c>
      <c r="B2472" s="644" t="s">
        <v>168</v>
      </c>
      <c r="C2472" s="645"/>
      <c r="D2472" s="422" t="s">
        <v>400</v>
      </c>
      <c r="E2472" s="423"/>
      <c r="F2472" s="424">
        <v>30</v>
      </c>
      <c r="G2472" s="425">
        <f>VLOOKUP(D2468,'[2]ENSAIOS DE ORÇAMENTO'!$C$3:$L$79,3,FALSE)</f>
        <v>0</v>
      </c>
      <c r="H2472" s="663">
        <f t="shared" si="659"/>
        <v>0</v>
      </c>
      <c r="I2472" s="420"/>
      <c r="J2472" s="420"/>
      <c r="K2472" s="421">
        <f t="shared" si="646"/>
        <v>0</v>
      </c>
      <c r="L2472" s="647"/>
      <c r="M2472" s="723"/>
      <c r="N2472" s="576">
        <f t="shared" si="656"/>
        <v>0</v>
      </c>
      <c r="O2472" s="577">
        <f t="shared" si="649"/>
        <v>0</v>
      </c>
      <c r="P2472" s="578">
        <f t="shared" si="650"/>
        <v>0</v>
      </c>
      <c r="Q2472" s="765"/>
      <c r="R2472" s="723"/>
      <c r="S2472" s="723"/>
      <c r="T2472" s="577">
        <f t="shared" si="647"/>
        <v>0</v>
      </c>
      <c r="U2472" s="578">
        <f t="shared" si="648"/>
        <v>0</v>
      </c>
      <c r="V2472" s="579"/>
      <c r="W2472" s="566" t="str">
        <f>IF(U2468&gt;0,"xx",IF(P2468&gt;0,"xy",""))</f>
        <v/>
      </c>
      <c r="X2472" s="586" t="str">
        <f t="shared" si="642"/>
        <v/>
      </c>
      <c r="Y2472" s="586" t="str">
        <f t="shared" si="653"/>
        <v/>
      </c>
      <c r="Z2472" s="586" t="str">
        <f t="shared" ref="Z2472:Z2535" si="660">IF(W2472="X","x",IF(U2472&gt;0,"x",""))</f>
        <v/>
      </c>
    </row>
    <row r="2473" spans="1:26" ht="12" hidden="1" thickBot="1" x14ac:dyDescent="0.25">
      <c r="A2473" s="567" t="s">
        <v>168</v>
      </c>
      <c r="B2473" s="644" t="s">
        <v>168</v>
      </c>
      <c r="C2473" s="645"/>
      <c r="D2473" s="422" t="s">
        <v>401</v>
      </c>
      <c r="E2473" s="423"/>
      <c r="F2473" s="424">
        <v>500</v>
      </c>
      <c r="G2473" s="425">
        <f>VLOOKUP(D2468,'[2]ENSAIOS DE ORÇAMENTO'!$C$3:$L$79,10,FALSE)</f>
        <v>0</v>
      </c>
      <c r="H2473" s="649">
        <f>IF(F2473&lt;=30,(0.78*F2473+7.82)*G2473,((0.78*30+7.82)+0.78*(F2473-30))*G2473)</f>
        <v>0</v>
      </c>
      <c r="I2473" s="420"/>
      <c r="J2473" s="420"/>
      <c r="K2473" s="421">
        <f t="shared" si="646"/>
        <v>0</v>
      </c>
      <c r="L2473" s="647"/>
      <c r="M2473" s="723"/>
      <c r="N2473" s="576">
        <f t="shared" si="656"/>
        <v>0</v>
      </c>
      <c r="O2473" s="577">
        <f t="shared" si="649"/>
        <v>0</v>
      </c>
      <c r="P2473" s="578">
        <f t="shared" si="650"/>
        <v>0</v>
      </c>
      <c r="Q2473" s="765"/>
      <c r="R2473" s="723"/>
      <c r="S2473" s="723"/>
      <c r="T2473" s="577">
        <f t="shared" si="647"/>
        <v>0</v>
      </c>
      <c r="U2473" s="578">
        <f t="shared" si="648"/>
        <v>0</v>
      </c>
      <c r="V2473" s="579"/>
      <c r="W2473" s="566" t="str">
        <f>IF(U2468&gt;0,"xx",IF(P2468&gt;0,"xy",""))</f>
        <v/>
      </c>
      <c r="X2473" s="586" t="str">
        <f t="shared" si="642"/>
        <v/>
      </c>
      <c r="Y2473" s="586" t="str">
        <f t="shared" si="653"/>
        <v/>
      </c>
      <c r="Z2473" s="586" t="str">
        <f t="shared" si="660"/>
        <v/>
      </c>
    </row>
    <row r="2474" spans="1:26" ht="12" hidden="1" thickBot="1" x14ac:dyDescent="0.25">
      <c r="A2474" s="567" t="s">
        <v>141</v>
      </c>
      <c r="B2474" s="644" t="s">
        <v>141</v>
      </c>
      <c r="C2474" s="645" t="s">
        <v>206</v>
      </c>
      <c r="D2474" s="422" t="s">
        <v>155</v>
      </c>
      <c r="E2474" s="423"/>
      <c r="F2474" s="424"/>
      <c r="G2474" s="425"/>
      <c r="H2474" s="651">
        <f>SUM(H2475:H2479)</f>
        <v>409.16457640000004</v>
      </c>
      <c r="I2474" s="420">
        <f>VLOOKUP(D2474,'[2]ENSAIOS DE ORÇAMENTO'!$C$3:$L$79,8,FALSE)</f>
        <v>3091.6861699999999</v>
      </c>
      <c r="J2474" s="420">
        <f>IF(ISBLANK(I2474),"",SUM(H2474:I2474))</f>
        <v>3500.8507463999999</v>
      </c>
      <c r="K2474" s="421">
        <f t="shared" si="646"/>
        <v>4159.3599999999997</v>
      </c>
      <c r="L2474" s="647" t="s">
        <v>21</v>
      </c>
      <c r="M2474" s="576"/>
      <c r="N2474" s="576">
        <f t="shared" si="656"/>
        <v>0</v>
      </c>
      <c r="O2474" s="577">
        <f t="shared" si="649"/>
        <v>0</v>
      </c>
      <c r="P2474" s="578">
        <f t="shared" si="650"/>
        <v>0</v>
      </c>
      <c r="Q2474" s="765"/>
      <c r="R2474" s="576">
        <f>M2474</f>
        <v>0</v>
      </c>
      <c r="S2474" s="576">
        <f>N2474</f>
        <v>0</v>
      </c>
      <c r="T2474" s="577">
        <f t="shared" si="647"/>
        <v>0</v>
      </c>
      <c r="U2474" s="578">
        <f t="shared" si="648"/>
        <v>0</v>
      </c>
      <c r="V2474" s="579"/>
      <c r="W2474" s="566"/>
      <c r="X2474" s="586" t="str">
        <f t="shared" si="642"/>
        <v/>
      </c>
      <c r="Y2474" s="586" t="str">
        <f t="shared" si="653"/>
        <v/>
      </c>
      <c r="Z2474" s="586" t="str">
        <f t="shared" si="660"/>
        <v/>
      </c>
    </row>
    <row r="2475" spans="1:26" ht="12" hidden="1" thickBot="1" x14ac:dyDescent="0.25">
      <c r="A2475" s="567" t="s">
        <v>168</v>
      </c>
      <c r="B2475" s="644" t="s">
        <v>168</v>
      </c>
      <c r="C2475" s="645"/>
      <c r="D2475" s="422" t="s">
        <v>212</v>
      </c>
      <c r="E2475" s="423"/>
      <c r="F2475" s="424">
        <v>500</v>
      </c>
      <c r="G2475" s="425">
        <f>VLOOKUP(D2474,'[2]ENSAIOS DE ORÇAMENTO'!$C$3:$L$79,4,FALSE)</f>
        <v>0.38250000000000006</v>
      </c>
      <c r="H2475" s="649">
        <f>IF(F2475&lt;=30,(0.78*F2475+7.82)*G2475,((0.78*30+7.82)+0.78*(F2475-30))*G2475)</f>
        <v>152.16615000000004</v>
      </c>
      <c r="I2475" s="420"/>
      <c r="J2475" s="420"/>
      <c r="K2475" s="421">
        <f t="shared" si="646"/>
        <v>0</v>
      </c>
      <c r="L2475" s="647"/>
      <c r="M2475" s="723"/>
      <c r="N2475" s="576">
        <f t="shared" si="656"/>
        <v>0</v>
      </c>
      <c r="O2475" s="577">
        <f t="shared" si="649"/>
        <v>0</v>
      </c>
      <c r="P2475" s="578">
        <f t="shared" si="650"/>
        <v>0</v>
      </c>
      <c r="Q2475" s="765"/>
      <c r="R2475" s="723"/>
      <c r="S2475" s="723"/>
      <c r="T2475" s="577">
        <f t="shared" si="647"/>
        <v>0</v>
      </c>
      <c r="U2475" s="578">
        <f t="shared" si="648"/>
        <v>0</v>
      </c>
      <c r="V2475" s="579"/>
      <c r="W2475" s="566" t="str">
        <f>IF(U2474&gt;0,"xx",IF(P2474&gt;0,"xy",""))</f>
        <v/>
      </c>
      <c r="X2475" s="586" t="str">
        <f t="shared" ref="X2475:X2538" si="661">IF(W2475="X","x",IF(W2475="xx","x",IF(W2475="xy","x",IF(W2475="y","x",IF(OR(P2475&gt;0,U2475&gt;0),"x","")))))</f>
        <v/>
      </c>
      <c r="Y2475" s="586" t="str">
        <f t="shared" si="653"/>
        <v/>
      </c>
      <c r="Z2475" s="586" t="str">
        <f t="shared" si="660"/>
        <v/>
      </c>
    </row>
    <row r="2476" spans="1:26" ht="12" hidden="1" thickBot="1" x14ac:dyDescent="0.25">
      <c r="A2476" s="567" t="s">
        <v>168</v>
      </c>
      <c r="B2476" s="644" t="s">
        <v>168</v>
      </c>
      <c r="C2476" s="645"/>
      <c r="D2476" s="422" t="s">
        <v>248</v>
      </c>
      <c r="E2476" s="423"/>
      <c r="F2476" s="424">
        <v>180</v>
      </c>
      <c r="G2476" s="425">
        <f>VLOOKUP(D2474,'[2]ENSAIOS DE ORÇAMENTO'!$C$3:$L$79,5,FALSE)</f>
        <v>1.1483800000000002</v>
      </c>
      <c r="H2476" s="663">
        <f t="shared" ref="H2476:H2478" si="662">IF(F2476&lt;=30,(1.07*F2476+2.68)*G2476,((1.07*30+2.68)+1.07*(F2476-30))*G2476)</f>
        <v>224.25564640000005</v>
      </c>
      <c r="I2476" s="420"/>
      <c r="J2476" s="420"/>
      <c r="K2476" s="421">
        <f t="shared" si="646"/>
        <v>0</v>
      </c>
      <c r="L2476" s="647"/>
      <c r="M2476" s="723"/>
      <c r="N2476" s="576">
        <f t="shared" si="656"/>
        <v>0</v>
      </c>
      <c r="O2476" s="577">
        <f t="shared" si="649"/>
        <v>0</v>
      </c>
      <c r="P2476" s="578">
        <f t="shared" si="650"/>
        <v>0</v>
      </c>
      <c r="Q2476" s="765"/>
      <c r="R2476" s="723"/>
      <c r="S2476" s="723"/>
      <c r="T2476" s="577">
        <f t="shared" si="647"/>
        <v>0</v>
      </c>
      <c r="U2476" s="578">
        <f t="shared" si="648"/>
        <v>0</v>
      </c>
      <c r="V2476" s="579"/>
      <c r="W2476" s="566" t="str">
        <f>IF(U2474&gt;0,"xx",IF(P2474&gt;0,"xy",""))</f>
        <v/>
      </c>
      <c r="X2476" s="586" t="str">
        <f t="shared" si="661"/>
        <v/>
      </c>
      <c r="Y2476" s="586" t="str">
        <f t="shared" si="653"/>
        <v/>
      </c>
      <c r="Z2476" s="586" t="str">
        <f t="shared" si="660"/>
        <v/>
      </c>
    </row>
    <row r="2477" spans="1:26" ht="12" hidden="1" thickBot="1" x14ac:dyDescent="0.25">
      <c r="A2477" s="567" t="s">
        <v>168</v>
      </c>
      <c r="B2477" s="644" t="s">
        <v>168</v>
      </c>
      <c r="C2477" s="645"/>
      <c r="D2477" s="422" t="s">
        <v>252</v>
      </c>
      <c r="E2477" s="423"/>
      <c r="F2477" s="424">
        <v>20</v>
      </c>
      <c r="G2477" s="425">
        <f>VLOOKUP(D2474,'[2]ENSAIOS DE ORÇAMENTO'!$C$3:$L$79,6,FALSE)</f>
        <v>1.35975</v>
      </c>
      <c r="H2477" s="663">
        <f t="shared" si="662"/>
        <v>32.742780000000003</v>
      </c>
      <c r="I2477" s="420"/>
      <c r="J2477" s="420"/>
      <c r="K2477" s="421">
        <f t="shared" si="646"/>
        <v>0</v>
      </c>
      <c r="L2477" s="647"/>
      <c r="M2477" s="723"/>
      <c r="N2477" s="576">
        <f t="shared" si="656"/>
        <v>0</v>
      </c>
      <c r="O2477" s="577">
        <f t="shared" si="649"/>
        <v>0</v>
      </c>
      <c r="P2477" s="578">
        <f t="shared" si="650"/>
        <v>0</v>
      </c>
      <c r="Q2477" s="765"/>
      <c r="R2477" s="723"/>
      <c r="S2477" s="723"/>
      <c r="T2477" s="577">
        <f t="shared" si="647"/>
        <v>0</v>
      </c>
      <c r="U2477" s="578">
        <f t="shared" si="648"/>
        <v>0</v>
      </c>
      <c r="V2477" s="579"/>
      <c r="W2477" s="566" t="str">
        <f>IF(U2474&gt;0,"xx",IF(P2474&gt;0,"xy",""))</f>
        <v/>
      </c>
      <c r="X2477" s="586" t="str">
        <f t="shared" si="661"/>
        <v/>
      </c>
      <c r="Y2477" s="586" t="str">
        <f t="shared" si="653"/>
        <v/>
      </c>
      <c r="Z2477" s="586" t="str">
        <f t="shared" si="660"/>
        <v/>
      </c>
    </row>
    <row r="2478" spans="1:26" ht="12" hidden="1" thickBot="1" x14ac:dyDescent="0.25">
      <c r="A2478" s="567" t="s">
        <v>168</v>
      </c>
      <c r="B2478" s="644" t="s">
        <v>168</v>
      </c>
      <c r="C2478" s="645"/>
      <c r="D2478" s="422" t="s">
        <v>400</v>
      </c>
      <c r="E2478" s="423"/>
      <c r="F2478" s="424">
        <v>30</v>
      </c>
      <c r="G2478" s="425">
        <f>VLOOKUP(D2474,'[2]ENSAIOS DE ORÇAMENTO'!$C$3:$L$79,3,FALSE)</f>
        <v>0</v>
      </c>
      <c r="H2478" s="663">
        <f t="shared" si="662"/>
        <v>0</v>
      </c>
      <c r="I2478" s="420"/>
      <c r="J2478" s="420"/>
      <c r="K2478" s="421">
        <f t="shared" si="646"/>
        <v>0</v>
      </c>
      <c r="L2478" s="647"/>
      <c r="M2478" s="723"/>
      <c r="N2478" s="576">
        <f t="shared" si="656"/>
        <v>0</v>
      </c>
      <c r="O2478" s="577">
        <f t="shared" si="649"/>
        <v>0</v>
      </c>
      <c r="P2478" s="578">
        <f t="shared" si="650"/>
        <v>0</v>
      </c>
      <c r="Q2478" s="765"/>
      <c r="R2478" s="723"/>
      <c r="S2478" s="723"/>
      <c r="T2478" s="577">
        <f t="shared" si="647"/>
        <v>0</v>
      </c>
      <c r="U2478" s="578">
        <f t="shared" si="648"/>
        <v>0</v>
      </c>
      <c r="V2478" s="579"/>
      <c r="W2478" s="566" t="str">
        <f>IF(U2474&gt;0,"xx",IF(P2474&gt;0,"xy",""))</f>
        <v/>
      </c>
      <c r="X2478" s="586" t="str">
        <f t="shared" si="661"/>
        <v/>
      </c>
      <c r="Y2478" s="586" t="str">
        <f t="shared" si="653"/>
        <v/>
      </c>
      <c r="Z2478" s="586" t="str">
        <f t="shared" si="660"/>
        <v/>
      </c>
    </row>
    <row r="2479" spans="1:26" ht="12" hidden="1" thickBot="1" x14ac:dyDescent="0.25">
      <c r="A2479" s="567" t="s">
        <v>168</v>
      </c>
      <c r="B2479" s="644" t="s">
        <v>168</v>
      </c>
      <c r="C2479" s="645"/>
      <c r="D2479" s="422" t="s">
        <v>401</v>
      </c>
      <c r="E2479" s="423"/>
      <c r="F2479" s="424">
        <v>500</v>
      </c>
      <c r="G2479" s="425">
        <f>VLOOKUP(D2474,'[2]ENSAIOS DE ORÇAMENTO'!$C$3:$L$79,10,FALSE)</f>
        <v>0</v>
      </c>
      <c r="H2479" s="649">
        <f>IF(F2479&lt;=30,(0.78*F2479+7.82)*G2479,((0.78*30+7.82)+0.78*(F2479-30))*G2479)</f>
        <v>0</v>
      </c>
      <c r="I2479" s="420"/>
      <c r="J2479" s="420"/>
      <c r="K2479" s="421">
        <f t="shared" si="646"/>
        <v>0</v>
      </c>
      <c r="L2479" s="647"/>
      <c r="M2479" s="723"/>
      <c r="N2479" s="576">
        <f t="shared" si="656"/>
        <v>0</v>
      </c>
      <c r="O2479" s="577">
        <f t="shared" si="649"/>
        <v>0</v>
      </c>
      <c r="P2479" s="578">
        <f t="shared" si="650"/>
        <v>0</v>
      </c>
      <c r="Q2479" s="765"/>
      <c r="R2479" s="723"/>
      <c r="S2479" s="723"/>
      <c r="T2479" s="577">
        <f t="shared" si="647"/>
        <v>0</v>
      </c>
      <c r="U2479" s="578">
        <f t="shared" si="648"/>
        <v>0</v>
      </c>
      <c r="V2479" s="579"/>
      <c r="W2479" s="566" t="str">
        <f>IF(U2474&gt;0,"xx",IF(P2474&gt;0,"xy",""))</f>
        <v/>
      </c>
      <c r="X2479" s="586" t="str">
        <f t="shared" si="661"/>
        <v/>
      </c>
      <c r="Y2479" s="586" t="str">
        <f t="shared" si="653"/>
        <v/>
      </c>
      <c r="Z2479" s="586" t="str">
        <f t="shared" si="660"/>
        <v/>
      </c>
    </row>
    <row r="2480" spans="1:26" ht="12" hidden="1" thickBot="1" x14ac:dyDescent="0.25">
      <c r="A2480" s="567" t="s">
        <v>142</v>
      </c>
      <c r="B2480" s="644" t="s">
        <v>142</v>
      </c>
      <c r="C2480" s="645" t="s">
        <v>206</v>
      </c>
      <c r="D2480" s="422" t="s">
        <v>156</v>
      </c>
      <c r="E2480" s="423"/>
      <c r="F2480" s="424"/>
      <c r="G2480" s="425"/>
      <c r="H2480" s="651">
        <f>SUM(H2481:H2485)</f>
        <v>459.84391840000006</v>
      </c>
      <c r="I2480" s="420">
        <f>VLOOKUP(D2480,'[2]ENSAIOS DE ORÇAMENTO'!$C$3:$L$79,8,FALSE)</f>
        <v>3420.3953949999996</v>
      </c>
      <c r="J2480" s="420">
        <f>IF(ISBLANK(I2480),"",SUM(H2480:I2480))</f>
        <v>3880.2393133999994</v>
      </c>
      <c r="K2480" s="421">
        <f t="shared" si="646"/>
        <v>4610.1099999999997</v>
      </c>
      <c r="L2480" s="647" t="s">
        <v>21</v>
      </c>
      <c r="M2480" s="576"/>
      <c r="N2480" s="576">
        <f t="shared" si="656"/>
        <v>0</v>
      </c>
      <c r="O2480" s="577">
        <f t="shared" si="649"/>
        <v>0</v>
      </c>
      <c r="P2480" s="578">
        <f t="shared" si="650"/>
        <v>0</v>
      </c>
      <c r="Q2480" s="765"/>
      <c r="R2480" s="576">
        <f>M2480</f>
        <v>0</v>
      </c>
      <c r="S2480" s="576">
        <f>N2480</f>
        <v>0</v>
      </c>
      <c r="T2480" s="577">
        <f t="shared" si="647"/>
        <v>0</v>
      </c>
      <c r="U2480" s="578">
        <f t="shared" si="648"/>
        <v>0</v>
      </c>
      <c r="V2480" s="579"/>
      <c r="W2480" s="566"/>
      <c r="X2480" s="586" t="str">
        <f t="shared" si="661"/>
        <v/>
      </c>
      <c r="Y2480" s="586" t="str">
        <f t="shared" si="653"/>
        <v/>
      </c>
      <c r="Z2480" s="586" t="str">
        <f t="shared" si="660"/>
        <v/>
      </c>
    </row>
    <row r="2481" spans="1:26" ht="12" hidden="1" thickBot="1" x14ac:dyDescent="0.25">
      <c r="A2481" s="567" t="s">
        <v>168</v>
      </c>
      <c r="B2481" s="644" t="s">
        <v>168</v>
      </c>
      <c r="C2481" s="645"/>
      <c r="D2481" s="422" t="s">
        <v>212</v>
      </c>
      <c r="E2481" s="423"/>
      <c r="F2481" s="424">
        <v>500</v>
      </c>
      <c r="G2481" s="425">
        <f>VLOOKUP(D2480,'[2]ENSAIOS DE ORÇAMENTO'!$C$3:$L$79,4,FALSE)</f>
        <v>0.43200000000000005</v>
      </c>
      <c r="H2481" s="649">
        <f>IF(F2481&lt;=30,(0.78*F2481+7.82)*G2481,((0.78*30+7.82)+0.78*(F2481-30))*G2481)</f>
        <v>171.85824000000005</v>
      </c>
      <c r="I2481" s="420"/>
      <c r="J2481" s="420"/>
      <c r="K2481" s="421">
        <f t="shared" si="646"/>
        <v>0</v>
      </c>
      <c r="L2481" s="647"/>
      <c r="M2481" s="723"/>
      <c r="N2481" s="576">
        <f t="shared" si="656"/>
        <v>0</v>
      </c>
      <c r="O2481" s="577">
        <f t="shared" si="649"/>
        <v>0</v>
      </c>
      <c r="P2481" s="578">
        <f t="shared" si="650"/>
        <v>0</v>
      </c>
      <c r="Q2481" s="765"/>
      <c r="R2481" s="723"/>
      <c r="S2481" s="723"/>
      <c r="T2481" s="577">
        <f t="shared" si="647"/>
        <v>0</v>
      </c>
      <c r="U2481" s="578">
        <f t="shared" si="648"/>
        <v>0</v>
      </c>
      <c r="V2481" s="579"/>
      <c r="W2481" s="566" t="str">
        <f>IF(U2480&gt;0,"xx",IF(P2480&gt;0,"xy",""))</f>
        <v/>
      </c>
      <c r="X2481" s="586" t="str">
        <f t="shared" si="661"/>
        <v/>
      </c>
      <c r="Y2481" s="586" t="str">
        <f t="shared" si="653"/>
        <v/>
      </c>
      <c r="Z2481" s="586" t="str">
        <f t="shared" si="660"/>
        <v/>
      </c>
    </row>
    <row r="2482" spans="1:26" ht="12" hidden="1" thickBot="1" x14ac:dyDescent="0.25">
      <c r="A2482" s="567" t="s">
        <v>168</v>
      </c>
      <c r="B2482" s="644" t="s">
        <v>168</v>
      </c>
      <c r="C2482" s="645"/>
      <c r="D2482" s="422" t="s">
        <v>248</v>
      </c>
      <c r="E2482" s="423"/>
      <c r="F2482" s="424">
        <v>180</v>
      </c>
      <c r="G2482" s="425">
        <f>VLOOKUP(D2480,'[2]ENSAIOS DE ORÇAMENTO'!$C$3:$L$79,5,FALSE)</f>
        <v>1.28653</v>
      </c>
      <c r="H2482" s="663">
        <f t="shared" ref="H2482:H2484" si="663">IF(F2482&lt;=30,(1.07*F2482+2.68)*G2482,((1.07*30+2.68)+1.07*(F2482-30))*G2482)</f>
        <v>251.2335784</v>
      </c>
      <c r="I2482" s="420"/>
      <c r="J2482" s="420"/>
      <c r="K2482" s="421">
        <f t="shared" si="646"/>
        <v>0</v>
      </c>
      <c r="L2482" s="647"/>
      <c r="M2482" s="723"/>
      <c r="N2482" s="576">
        <f t="shared" si="656"/>
        <v>0</v>
      </c>
      <c r="O2482" s="577">
        <f t="shared" si="649"/>
        <v>0</v>
      </c>
      <c r="P2482" s="578">
        <f t="shared" si="650"/>
        <v>0</v>
      </c>
      <c r="Q2482" s="765"/>
      <c r="R2482" s="723"/>
      <c r="S2482" s="723"/>
      <c r="T2482" s="577">
        <f t="shared" si="647"/>
        <v>0</v>
      </c>
      <c r="U2482" s="578">
        <f t="shared" si="648"/>
        <v>0</v>
      </c>
      <c r="V2482" s="579"/>
      <c r="W2482" s="566" t="str">
        <f>IF(U2480&gt;0,"xx",IF(P2480&gt;0,"xy",""))</f>
        <v/>
      </c>
      <c r="X2482" s="586" t="str">
        <f t="shared" si="661"/>
        <v/>
      </c>
      <c r="Y2482" s="586" t="str">
        <f t="shared" si="653"/>
        <v/>
      </c>
      <c r="Z2482" s="586" t="str">
        <f t="shared" si="660"/>
        <v/>
      </c>
    </row>
    <row r="2483" spans="1:26" ht="12" hidden="1" thickBot="1" x14ac:dyDescent="0.25">
      <c r="A2483" s="567" t="s">
        <v>168</v>
      </c>
      <c r="B2483" s="644" t="s">
        <v>168</v>
      </c>
      <c r="C2483" s="645"/>
      <c r="D2483" s="422" t="s">
        <v>252</v>
      </c>
      <c r="E2483" s="423"/>
      <c r="F2483" s="424">
        <v>20</v>
      </c>
      <c r="G2483" s="425">
        <f>VLOOKUP(D2480,'[2]ENSAIOS DE ORÇAMENTO'!$C$3:$L$79,6,FALSE)</f>
        <v>1.5262500000000001</v>
      </c>
      <c r="H2483" s="663">
        <f t="shared" si="663"/>
        <v>36.752100000000006</v>
      </c>
      <c r="I2483" s="420"/>
      <c r="J2483" s="420"/>
      <c r="K2483" s="421">
        <f t="shared" si="646"/>
        <v>0</v>
      </c>
      <c r="L2483" s="647"/>
      <c r="M2483" s="723"/>
      <c r="N2483" s="576">
        <f t="shared" si="656"/>
        <v>0</v>
      </c>
      <c r="O2483" s="577">
        <f t="shared" si="649"/>
        <v>0</v>
      </c>
      <c r="P2483" s="578">
        <f t="shared" si="650"/>
        <v>0</v>
      </c>
      <c r="Q2483" s="765"/>
      <c r="R2483" s="723"/>
      <c r="S2483" s="723"/>
      <c r="T2483" s="577">
        <f t="shared" si="647"/>
        <v>0</v>
      </c>
      <c r="U2483" s="578">
        <f t="shared" si="648"/>
        <v>0</v>
      </c>
      <c r="V2483" s="579"/>
      <c r="W2483" s="566" t="str">
        <f>IF(U2480&gt;0,"xx",IF(P2480&gt;0,"xy",""))</f>
        <v/>
      </c>
      <c r="X2483" s="586" t="str">
        <f t="shared" si="661"/>
        <v/>
      </c>
      <c r="Y2483" s="586" t="str">
        <f t="shared" si="653"/>
        <v/>
      </c>
      <c r="Z2483" s="586" t="str">
        <f t="shared" si="660"/>
        <v/>
      </c>
    </row>
    <row r="2484" spans="1:26" ht="12" hidden="1" thickBot="1" x14ac:dyDescent="0.25">
      <c r="A2484" s="567" t="s">
        <v>168</v>
      </c>
      <c r="B2484" s="644" t="s">
        <v>168</v>
      </c>
      <c r="C2484" s="645"/>
      <c r="D2484" s="422" t="s">
        <v>400</v>
      </c>
      <c r="E2484" s="423"/>
      <c r="F2484" s="424">
        <v>30</v>
      </c>
      <c r="G2484" s="425">
        <f>VLOOKUP(D2480,'[2]ENSAIOS DE ORÇAMENTO'!$C$3:$L$79,3,FALSE)</f>
        <v>0</v>
      </c>
      <c r="H2484" s="663">
        <f t="shared" si="663"/>
        <v>0</v>
      </c>
      <c r="I2484" s="420"/>
      <c r="J2484" s="420"/>
      <c r="K2484" s="421">
        <f t="shared" si="646"/>
        <v>0</v>
      </c>
      <c r="L2484" s="647"/>
      <c r="M2484" s="723"/>
      <c r="N2484" s="576">
        <f t="shared" si="656"/>
        <v>0</v>
      </c>
      <c r="O2484" s="577">
        <f t="shared" si="649"/>
        <v>0</v>
      </c>
      <c r="P2484" s="578">
        <f t="shared" si="650"/>
        <v>0</v>
      </c>
      <c r="Q2484" s="765"/>
      <c r="R2484" s="723"/>
      <c r="S2484" s="723"/>
      <c r="T2484" s="577">
        <f t="shared" si="647"/>
        <v>0</v>
      </c>
      <c r="U2484" s="578">
        <f t="shared" si="648"/>
        <v>0</v>
      </c>
      <c r="V2484" s="579"/>
      <c r="W2484" s="566" t="str">
        <f>IF(U2480&gt;0,"xx",IF(P2480&gt;0,"xy",""))</f>
        <v/>
      </c>
      <c r="X2484" s="586" t="str">
        <f t="shared" si="661"/>
        <v/>
      </c>
      <c r="Y2484" s="586" t="str">
        <f t="shared" si="653"/>
        <v/>
      </c>
      <c r="Z2484" s="586" t="str">
        <f t="shared" si="660"/>
        <v/>
      </c>
    </row>
    <row r="2485" spans="1:26" ht="12" hidden="1" thickBot="1" x14ac:dyDescent="0.25">
      <c r="A2485" s="567" t="s">
        <v>168</v>
      </c>
      <c r="B2485" s="644" t="s">
        <v>168</v>
      </c>
      <c r="C2485" s="645"/>
      <c r="D2485" s="422" t="s">
        <v>401</v>
      </c>
      <c r="E2485" s="423"/>
      <c r="F2485" s="424">
        <v>500</v>
      </c>
      <c r="G2485" s="425">
        <f>VLOOKUP(D2480,'[2]ENSAIOS DE ORÇAMENTO'!$C$3:$L$79,10,FALSE)</f>
        <v>0</v>
      </c>
      <c r="H2485" s="649">
        <f>IF(F2485&lt;=30,(0.78*F2485+7.82)*G2485,((0.78*30+7.82)+0.78*(F2485-30))*G2485)</f>
        <v>0</v>
      </c>
      <c r="I2485" s="420"/>
      <c r="J2485" s="420"/>
      <c r="K2485" s="421">
        <f t="shared" si="646"/>
        <v>0</v>
      </c>
      <c r="L2485" s="647"/>
      <c r="M2485" s="723"/>
      <c r="N2485" s="576">
        <f t="shared" si="656"/>
        <v>0</v>
      </c>
      <c r="O2485" s="577">
        <f t="shared" si="649"/>
        <v>0</v>
      </c>
      <c r="P2485" s="578">
        <f t="shared" si="650"/>
        <v>0</v>
      </c>
      <c r="Q2485" s="765"/>
      <c r="R2485" s="723"/>
      <c r="S2485" s="723"/>
      <c r="T2485" s="577">
        <f t="shared" si="647"/>
        <v>0</v>
      </c>
      <c r="U2485" s="578">
        <f t="shared" si="648"/>
        <v>0</v>
      </c>
      <c r="V2485" s="579"/>
      <c r="W2485" s="566" t="str">
        <f>IF(U2480&gt;0,"xx",IF(P2480&gt;0,"xy",""))</f>
        <v/>
      </c>
      <c r="X2485" s="586" t="str">
        <f t="shared" si="661"/>
        <v/>
      </c>
      <c r="Y2485" s="586" t="str">
        <f t="shared" si="653"/>
        <v/>
      </c>
      <c r="Z2485" s="586" t="str">
        <f t="shared" si="660"/>
        <v/>
      </c>
    </row>
    <row r="2486" spans="1:26" ht="12" hidden="1" thickBot="1" x14ac:dyDescent="0.25">
      <c r="A2486" s="567" t="s">
        <v>143</v>
      </c>
      <c r="B2486" s="644" t="s">
        <v>143</v>
      </c>
      <c r="C2486" s="645" t="s">
        <v>206</v>
      </c>
      <c r="D2486" s="422" t="s">
        <v>157</v>
      </c>
      <c r="E2486" s="423"/>
      <c r="F2486" s="424"/>
      <c r="G2486" s="425"/>
      <c r="H2486" s="651">
        <f>SUM(H2487:H2491)</f>
        <v>534.17362000000003</v>
      </c>
      <c r="I2486" s="420">
        <f>VLOOKUP(D2486,'[2]ENSAIOS DE ORÇAMENTO'!$C$3:$L$79,8,FALSE)</f>
        <v>3903.4829249999993</v>
      </c>
      <c r="J2486" s="420">
        <f>IF(ISBLANK(I2486),"",SUM(H2486:I2486))</f>
        <v>4437.6565449999998</v>
      </c>
      <c r="K2486" s="421">
        <f t="shared" si="646"/>
        <v>5272.38</v>
      </c>
      <c r="L2486" s="647" t="s">
        <v>21</v>
      </c>
      <c r="M2486" s="576"/>
      <c r="N2486" s="576">
        <f t="shared" si="656"/>
        <v>0</v>
      </c>
      <c r="O2486" s="577">
        <f t="shared" si="649"/>
        <v>0</v>
      </c>
      <c r="P2486" s="578">
        <f t="shared" si="650"/>
        <v>0</v>
      </c>
      <c r="Q2486" s="765"/>
      <c r="R2486" s="576">
        <f>M2486</f>
        <v>0</v>
      </c>
      <c r="S2486" s="576">
        <f>N2486</f>
        <v>0</v>
      </c>
      <c r="T2486" s="577">
        <f t="shared" si="647"/>
        <v>0</v>
      </c>
      <c r="U2486" s="578">
        <f t="shared" si="648"/>
        <v>0</v>
      </c>
      <c r="V2486" s="579"/>
      <c r="W2486" s="566"/>
      <c r="X2486" s="586" t="str">
        <f t="shared" si="661"/>
        <v/>
      </c>
      <c r="Y2486" s="586" t="str">
        <f t="shared" si="653"/>
        <v/>
      </c>
      <c r="Z2486" s="586" t="str">
        <f t="shared" si="660"/>
        <v/>
      </c>
    </row>
    <row r="2487" spans="1:26" ht="12" hidden="1" thickBot="1" x14ac:dyDescent="0.25">
      <c r="A2487" s="567" t="s">
        <v>168</v>
      </c>
      <c r="B2487" s="644" t="s">
        <v>168</v>
      </c>
      <c r="C2487" s="645"/>
      <c r="D2487" s="422" t="s">
        <v>212</v>
      </c>
      <c r="E2487" s="423"/>
      <c r="F2487" s="424">
        <v>500</v>
      </c>
      <c r="G2487" s="425">
        <f>VLOOKUP(D2486,'[2]ENSAIOS DE ORÇAMENTO'!$C$3:$L$79,4,FALSE)</f>
        <v>0.50459999999999994</v>
      </c>
      <c r="H2487" s="649">
        <f>IF(F2487&lt;=30,(0.78*F2487+7.82)*G2487,((0.78*30+7.82)+0.78*(F2487-30))*G2487)</f>
        <v>200.73997199999999</v>
      </c>
      <c r="I2487" s="420"/>
      <c r="J2487" s="420"/>
      <c r="K2487" s="421">
        <f t="shared" si="646"/>
        <v>0</v>
      </c>
      <c r="L2487" s="647"/>
      <c r="M2487" s="723"/>
      <c r="N2487" s="576">
        <f t="shared" si="656"/>
        <v>0</v>
      </c>
      <c r="O2487" s="577">
        <f t="shared" si="649"/>
        <v>0</v>
      </c>
      <c r="P2487" s="578">
        <f t="shared" si="650"/>
        <v>0</v>
      </c>
      <c r="Q2487" s="765"/>
      <c r="R2487" s="723"/>
      <c r="S2487" s="723"/>
      <c r="T2487" s="577">
        <f t="shared" si="647"/>
        <v>0</v>
      </c>
      <c r="U2487" s="578">
        <f t="shared" si="648"/>
        <v>0</v>
      </c>
      <c r="V2487" s="579"/>
      <c r="W2487" s="566" t="str">
        <f>IF(U2486&gt;0,"xx",IF(P2486&gt;0,"xy",""))</f>
        <v/>
      </c>
      <c r="X2487" s="586" t="str">
        <f t="shared" si="661"/>
        <v/>
      </c>
      <c r="Y2487" s="586" t="str">
        <f t="shared" si="653"/>
        <v/>
      </c>
      <c r="Z2487" s="586" t="str">
        <f t="shared" si="660"/>
        <v/>
      </c>
    </row>
    <row r="2488" spans="1:26" ht="12" hidden="1" thickBot="1" x14ac:dyDescent="0.25">
      <c r="A2488" s="567" t="s">
        <v>168</v>
      </c>
      <c r="B2488" s="644" t="s">
        <v>168</v>
      </c>
      <c r="C2488" s="645"/>
      <c r="D2488" s="422" t="s">
        <v>248</v>
      </c>
      <c r="E2488" s="423"/>
      <c r="F2488" s="424">
        <v>180</v>
      </c>
      <c r="G2488" s="425">
        <f>VLOOKUP(D2486,'[2]ENSAIOS DE ORÇAMENTO'!$C$3:$L$79,5,FALSE)</f>
        <v>1.48915</v>
      </c>
      <c r="H2488" s="663">
        <f t="shared" ref="H2488:H2490" si="664">IF(F2488&lt;=30,(1.07*F2488+2.68)*G2488,((1.07*30+2.68)+1.07*(F2488-30))*G2488)</f>
        <v>290.80121200000002</v>
      </c>
      <c r="I2488" s="420"/>
      <c r="J2488" s="420"/>
      <c r="K2488" s="421">
        <f t="shared" si="646"/>
        <v>0</v>
      </c>
      <c r="L2488" s="647"/>
      <c r="M2488" s="723"/>
      <c r="N2488" s="576">
        <f t="shared" si="656"/>
        <v>0</v>
      </c>
      <c r="O2488" s="577">
        <f t="shared" si="649"/>
        <v>0</v>
      </c>
      <c r="P2488" s="578">
        <f t="shared" si="650"/>
        <v>0</v>
      </c>
      <c r="Q2488" s="765"/>
      <c r="R2488" s="723"/>
      <c r="S2488" s="723"/>
      <c r="T2488" s="577">
        <f t="shared" si="647"/>
        <v>0</v>
      </c>
      <c r="U2488" s="578">
        <f t="shared" si="648"/>
        <v>0</v>
      </c>
      <c r="V2488" s="579"/>
      <c r="W2488" s="566" t="str">
        <f>IF(U2486&gt;0,"xx",IF(P2486&gt;0,"xy",""))</f>
        <v/>
      </c>
      <c r="X2488" s="586" t="str">
        <f t="shared" si="661"/>
        <v/>
      </c>
      <c r="Y2488" s="586" t="str">
        <f t="shared" si="653"/>
        <v/>
      </c>
      <c r="Z2488" s="586" t="str">
        <f t="shared" si="660"/>
        <v/>
      </c>
    </row>
    <row r="2489" spans="1:26" ht="12" hidden="1" thickBot="1" x14ac:dyDescent="0.25">
      <c r="A2489" s="567" t="s">
        <v>168</v>
      </c>
      <c r="B2489" s="644" t="s">
        <v>168</v>
      </c>
      <c r="C2489" s="645"/>
      <c r="D2489" s="422" t="s">
        <v>252</v>
      </c>
      <c r="E2489" s="423"/>
      <c r="F2489" s="424">
        <v>20</v>
      </c>
      <c r="G2489" s="425">
        <f>VLOOKUP(D2486,'[2]ENSAIOS DE ORÇAMENTO'!$C$3:$L$79,6,FALSE)</f>
        <v>1.7704500000000001</v>
      </c>
      <c r="H2489" s="663">
        <f t="shared" si="664"/>
        <v>42.632436000000006</v>
      </c>
      <c r="I2489" s="420"/>
      <c r="J2489" s="420"/>
      <c r="K2489" s="421">
        <f t="shared" si="646"/>
        <v>0</v>
      </c>
      <c r="L2489" s="647"/>
      <c r="M2489" s="723"/>
      <c r="N2489" s="576">
        <f t="shared" si="656"/>
        <v>0</v>
      </c>
      <c r="O2489" s="577">
        <f t="shared" si="649"/>
        <v>0</v>
      </c>
      <c r="P2489" s="578">
        <f t="shared" si="650"/>
        <v>0</v>
      </c>
      <c r="Q2489" s="765"/>
      <c r="R2489" s="723"/>
      <c r="S2489" s="723"/>
      <c r="T2489" s="577">
        <f t="shared" si="647"/>
        <v>0</v>
      </c>
      <c r="U2489" s="578">
        <f t="shared" si="648"/>
        <v>0</v>
      </c>
      <c r="V2489" s="579"/>
      <c r="W2489" s="566" t="str">
        <f>IF(U2486&gt;0,"xx",IF(P2486&gt;0,"xy",""))</f>
        <v/>
      </c>
      <c r="X2489" s="586" t="str">
        <f t="shared" si="661"/>
        <v/>
      </c>
      <c r="Y2489" s="586" t="str">
        <f t="shared" si="653"/>
        <v/>
      </c>
      <c r="Z2489" s="586" t="str">
        <f t="shared" si="660"/>
        <v/>
      </c>
    </row>
    <row r="2490" spans="1:26" ht="12" hidden="1" thickBot="1" x14ac:dyDescent="0.25">
      <c r="A2490" s="567" t="s">
        <v>168</v>
      </c>
      <c r="B2490" s="644" t="s">
        <v>168</v>
      </c>
      <c r="C2490" s="645"/>
      <c r="D2490" s="422" t="s">
        <v>400</v>
      </c>
      <c r="E2490" s="423"/>
      <c r="F2490" s="424">
        <v>30</v>
      </c>
      <c r="G2490" s="425">
        <f>VLOOKUP(D2486,'[2]ENSAIOS DE ORÇAMENTO'!$C$3:$L$79,3,FALSE)</f>
        <v>0</v>
      </c>
      <c r="H2490" s="663">
        <f t="shared" si="664"/>
        <v>0</v>
      </c>
      <c r="I2490" s="420"/>
      <c r="J2490" s="420"/>
      <c r="K2490" s="421">
        <f t="shared" si="646"/>
        <v>0</v>
      </c>
      <c r="L2490" s="647"/>
      <c r="M2490" s="723"/>
      <c r="N2490" s="576">
        <f t="shared" si="656"/>
        <v>0</v>
      </c>
      <c r="O2490" s="577">
        <f t="shared" si="649"/>
        <v>0</v>
      </c>
      <c r="P2490" s="578">
        <f t="shared" si="650"/>
        <v>0</v>
      </c>
      <c r="Q2490" s="765"/>
      <c r="R2490" s="723"/>
      <c r="S2490" s="723"/>
      <c r="T2490" s="577">
        <f t="shared" si="647"/>
        <v>0</v>
      </c>
      <c r="U2490" s="578">
        <f t="shared" si="648"/>
        <v>0</v>
      </c>
      <c r="V2490" s="579"/>
      <c r="W2490" s="566" t="str">
        <f>IF(U2486&gt;0,"xx",IF(P2486&gt;0,"xy",""))</f>
        <v/>
      </c>
      <c r="X2490" s="586" t="str">
        <f t="shared" si="661"/>
        <v/>
      </c>
      <c r="Y2490" s="586" t="str">
        <f t="shared" si="653"/>
        <v/>
      </c>
      <c r="Z2490" s="586" t="str">
        <f t="shared" si="660"/>
        <v/>
      </c>
    </row>
    <row r="2491" spans="1:26" ht="12" hidden="1" thickBot="1" x14ac:dyDescent="0.25">
      <c r="A2491" s="567" t="s">
        <v>168</v>
      </c>
      <c r="B2491" s="644" t="s">
        <v>168</v>
      </c>
      <c r="C2491" s="645"/>
      <c r="D2491" s="422" t="s">
        <v>401</v>
      </c>
      <c r="E2491" s="423"/>
      <c r="F2491" s="424">
        <v>500</v>
      </c>
      <c r="G2491" s="425">
        <f>VLOOKUP(D2486,'[2]ENSAIOS DE ORÇAMENTO'!$C$3:$L$79,10,FALSE)</f>
        <v>0</v>
      </c>
      <c r="H2491" s="649">
        <f>IF(F2491&lt;=30,(0.78*F2491+7.82)*G2491,((0.78*30+7.82)+0.78*(F2491-30))*G2491)</f>
        <v>0</v>
      </c>
      <c r="I2491" s="420"/>
      <c r="J2491" s="420"/>
      <c r="K2491" s="421">
        <f t="shared" si="646"/>
        <v>0</v>
      </c>
      <c r="L2491" s="647"/>
      <c r="M2491" s="723"/>
      <c r="N2491" s="576">
        <f t="shared" si="656"/>
        <v>0</v>
      </c>
      <c r="O2491" s="577">
        <f t="shared" si="649"/>
        <v>0</v>
      </c>
      <c r="P2491" s="578">
        <f t="shared" si="650"/>
        <v>0</v>
      </c>
      <c r="Q2491" s="765"/>
      <c r="R2491" s="723"/>
      <c r="S2491" s="723"/>
      <c r="T2491" s="577">
        <f t="shared" si="647"/>
        <v>0</v>
      </c>
      <c r="U2491" s="578">
        <f t="shared" si="648"/>
        <v>0</v>
      </c>
      <c r="V2491" s="579"/>
      <c r="W2491" s="566" t="str">
        <f>IF(U2486&gt;0,"xx",IF(P2486&gt;0,"xy",""))</f>
        <v/>
      </c>
      <c r="X2491" s="586" t="str">
        <f t="shared" si="661"/>
        <v/>
      </c>
      <c r="Y2491" s="586" t="str">
        <f t="shared" si="653"/>
        <v/>
      </c>
      <c r="Z2491" s="586" t="str">
        <f t="shared" si="660"/>
        <v/>
      </c>
    </row>
    <row r="2492" spans="1:26" ht="12" hidden="1" thickBot="1" x14ac:dyDescent="0.25">
      <c r="A2492" s="567" t="s">
        <v>47</v>
      </c>
      <c r="B2492" s="644" t="s">
        <v>47</v>
      </c>
      <c r="C2492" s="645" t="s">
        <v>206</v>
      </c>
      <c r="D2492" s="422" t="s">
        <v>158</v>
      </c>
      <c r="E2492" s="423"/>
      <c r="F2492" s="424"/>
      <c r="G2492" s="425"/>
      <c r="H2492" s="651">
        <f>SUM(H2493:H2497)</f>
        <v>676.95186200000012</v>
      </c>
      <c r="I2492" s="420">
        <f>VLOOKUP(D2492,'[2]ENSAIOS DE ORÇAMENTO'!$C$3:$L$79,8,FALSE)</f>
        <v>4735.3472749999992</v>
      </c>
      <c r="J2492" s="420">
        <f>IF(ISBLANK(I2492),"",SUM(H2492:I2492))</f>
        <v>5412.2991369999991</v>
      </c>
      <c r="K2492" s="421">
        <f t="shared" si="646"/>
        <v>6430.35</v>
      </c>
      <c r="L2492" s="647" t="s">
        <v>21</v>
      </c>
      <c r="M2492" s="576"/>
      <c r="N2492" s="576">
        <f t="shared" si="656"/>
        <v>0</v>
      </c>
      <c r="O2492" s="577">
        <f t="shared" si="649"/>
        <v>0</v>
      </c>
      <c r="P2492" s="578">
        <f t="shared" si="650"/>
        <v>0</v>
      </c>
      <c r="Q2492" s="765"/>
      <c r="R2492" s="576">
        <f>M2492</f>
        <v>0</v>
      </c>
      <c r="S2492" s="576">
        <f>N2492</f>
        <v>0</v>
      </c>
      <c r="T2492" s="577">
        <f t="shared" si="647"/>
        <v>0</v>
      </c>
      <c r="U2492" s="578">
        <f t="shared" si="648"/>
        <v>0</v>
      </c>
      <c r="V2492" s="579"/>
      <c r="W2492" s="566"/>
      <c r="X2492" s="586" t="str">
        <f t="shared" si="661"/>
        <v/>
      </c>
      <c r="Y2492" s="586" t="str">
        <f t="shared" si="653"/>
        <v/>
      </c>
      <c r="Z2492" s="586" t="str">
        <f t="shared" si="660"/>
        <v/>
      </c>
    </row>
    <row r="2493" spans="1:26" ht="12" hidden="1" thickBot="1" x14ac:dyDescent="0.25">
      <c r="A2493" s="567" t="s">
        <v>168</v>
      </c>
      <c r="B2493" s="644" t="s">
        <v>168</v>
      </c>
      <c r="C2493" s="645"/>
      <c r="D2493" s="422" t="s">
        <v>212</v>
      </c>
      <c r="E2493" s="423"/>
      <c r="F2493" s="424">
        <v>500</v>
      </c>
      <c r="G2493" s="425">
        <f>VLOOKUP(D2492,'[2]ENSAIOS DE ORÇAMENTO'!$C$3:$L$79,4,FALSE)</f>
        <v>0.6411</v>
      </c>
      <c r="H2493" s="649">
        <f>IF(F2493&lt;=30,(0.78*F2493+7.82)*G2493,((0.78*30+7.82)+0.78*(F2493-30))*G2493)</f>
        <v>255.04240200000004</v>
      </c>
      <c r="I2493" s="420"/>
      <c r="J2493" s="420"/>
      <c r="K2493" s="421">
        <f t="shared" si="646"/>
        <v>0</v>
      </c>
      <c r="L2493" s="647"/>
      <c r="M2493" s="723"/>
      <c r="N2493" s="576">
        <f t="shared" si="656"/>
        <v>0</v>
      </c>
      <c r="O2493" s="577">
        <f t="shared" si="649"/>
        <v>0</v>
      </c>
      <c r="P2493" s="578">
        <f t="shared" si="650"/>
        <v>0</v>
      </c>
      <c r="Q2493" s="765"/>
      <c r="R2493" s="723"/>
      <c r="S2493" s="723"/>
      <c r="T2493" s="577">
        <f t="shared" si="647"/>
        <v>0</v>
      </c>
      <c r="U2493" s="578">
        <f t="shared" si="648"/>
        <v>0</v>
      </c>
      <c r="V2493" s="579"/>
      <c r="W2493" s="566" t="str">
        <f>IF(U2492&gt;0,"xx",IF(P2492&gt;0,"xy",""))</f>
        <v/>
      </c>
      <c r="X2493" s="586" t="str">
        <f t="shared" si="661"/>
        <v/>
      </c>
      <c r="Y2493" s="586" t="str">
        <f t="shared" si="653"/>
        <v/>
      </c>
      <c r="Z2493" s="586" t="str">
        <f t="shared" si="660"/>
        <v/>
      </c>
    </row>
    <row r="2494" spans="1:26" ht="12" hidden="1" thickBot="1" x14ac:dyDescent="0.25">
      <c r="A2494" s="567" t="s">
        <v>168</v>
      </c>
      <c r="B2494" s="644" t="s">
        <v>168</v>
      </c>
      <c r="C2494" s="645"/>
      <c r="D2494" s="422" t="s">
        <v>248</v>
      </c>
      <c r="E2494" s="423"/>
      <c r="F2494" s="424">
        <v>180</v>
      </c>
      <c r="G2494" s="425">
        <f>VLOOKUP(D2492,'[2]ENSAIOS DE ORÇAMENTO'!$C$3:$L$79,5,FALSE)</f>
        <v>1.8840500000000002</v>
      </c>
      <c r="H2494" s="663">
        <f t="shared" ref="H2494:H2496" si="665">IF(F2494&lt;=30,(1.07*F2494+2.68)*G2494,((1.07*30+2.68)+1.07*(F2494-30))*G2494)</f>
        <v>367.91728400000005</v>
      </c>
      <c r="I2494" s="420"/>
      <c r="J2494" s="420"/>
      <c r="K2494" s="421">
        <f t="shared" si="646"/>
        <v>0</v>
      </c>
      <c r="L2494" s="647"/>
      <c r="M2494" s="723"/>
      <c r="N2494" s="576">
        <f t="shared" si="656"/>
        <v>0</v>
      </c>
      <c r="O2494" s="577">
        <f t="shared" si="649"/>
        <v>0</v>
      </c>
      <c r="P2494" s="578">
        <f t="shared" si="650"/>
        <v>0</v>
      </c>
      <c r="Q2494" s="765"/>
      <c r="R2494" s="723"/>
      <c r="S2494" s="723"/>
      <c r="T2494" s="577">
        <f t="shared" si="647"/>
        <v>0</v>
      </c>
      <c r="U2494" s="578">
        <f t="shared" si="648"/>
        <v>0</v>
      </c>
      <c r="V2494" s="579"/>
      <c r="W2494" s="566" t="str">
        <f>IF(U2492&gt;0,"xx",IF(P2492&gt;0,"xy",""))</f>
        <v/>
      </c>
      <c r="X2494" s="586" t="str">
        <f t="shared" si="661"/>
        <v/>
      </c>
      <c r="Y2494" s="586" t="str">
        <f t="shared" si="653"/>
        <v/>
      </c>
      <c r="Z2494" s="586" t="str">
        <f t="shared" si="660"/>
        <v/>
      </c>
    </row>
    <row r="2495" spans="1:26" ht="12" hidden="1" thickBot="1" x14ac:dyDescent="0.25">
      <c r="A2495" s="567" t="s">
        <v>168</v>
      </c>
      <c r="B2495" s="644" t="s">
        <v>168</v>
      </c>
      <c r="C2495" s="645"/>
      <c r="D2495" s="422" t="s">
        <v>252</v>
      </c>
      <c r="E2495" s="423"/>
      <c r="F2495" s="424">
        <v>20</v>
      </c>
      <c r="G2495" s="425">
        <f>VLOOKUP(D2492,'[2]ENSAIOS DE ORÇAMENTO'!$C$3:$L$79,6,FALSE)</f>
        <v>2.2422</v>
      </c>
      <c r="H2495" s="663">
        <f t="shared" si="665"/>
        <v>53.992176000000001</v>
      </c>
      <c r="I2495" s="420"/>
      <c r="J2495" s="420"/>
      <c r="K2495" s="421">
        <f t="shared" si="646"/>
        <v>0</v>
      </c>
      <c r="L2495" s="647"/>
      <c r="M2495" s="723"/>
      <c r="N2495" s="576">
        <f t="shared" si="656"/>
        <v>0</v>
      </c>
      <c r="O2495" s="577">
        <f t="shared" si="649"/>
        <v>0</v>
      </c>
      <c r="P2495" s="578">
        <f t="shared" si="650"/>
        <v>0</v>
      </c>
      <c r="Q2495" s="765"/>
      <c r="R2495" s="723"/>
      <c r="S2495" s="723"/>
      <c r="T2495" s="577">
        <f t="shared" si="647"/>
        <v>0</v>
      </c>
      <c r="U2495" s="578">
        <f t="shared" si="648"/>
        <v>0</v>
      </c>
      <c r="V2495" s="579"/>
      <c r="W2495" s="566" t="str">
        <f>IF(U2492&gt;0,"xx",IF(P2492&gt;0,"xy",""))</f>
        <v/>
      </c>
      <c r="X2495" s="586" t="str">
        <f t="shared" si="661"/>
        <v/>
      </c>
      <c r="Y2495" s="586" t="str">
        <f t="shared" si="653"/>
        <v/>
      </c>
      <c r="Z2495" s="586" t="str">
        <f t="shared" si="660"/>
        <v/>
      </c>
    </row>
    <row r="2496" spans="1:26" ht="12" hidden="1" thickBot="1" x14ac:dyDescent="0.25">
      <c r="A2496" s="567" t="s">
        <v>168</v>
      </c>
      <c r="B2496" s="644" t="s">
        <v>168</v>
      </c>
      <c r="C2496" s="645"/>
      <c r="D2496" s="422" t="s">
        <v>400</v>
      </c>
      <c r="E2496" s="423"/>
      <c r="F2496" s="424">
        <v>30</v>
      </c>
      <c r="G2496" s="425">
        <f>VLOOKUP(D2492,'[2]ENSAIOS DE ORÇAMENTO'!$C$3:$L$79,3,FALSE)</f>
        <v>0</v>
      </c>
      <c r="H2496" s="663">
        <f t="shared" si="665"/>
        <v>0</v>
      </c>
      <c r="I2496" s="420"/>
      <c r="J2496" s="420"/>
      <c r="K2496" s="421">
        <f t="shared" ref="K2496:K2559" si="666">IF(ISBLANK(I2496),0,ROUND(J2496*(1+$F$10)*(1+$F$11*E2496),2))</f>
        <v>0</v>
      </c>
      <c r="L2496" s="647"/>
      <c r="M2496" s="723"/>
      <c r="N2496" s="576">
        <f t="shared" si="656"/>
        <v>0</v>
      </c>
      <c r="O2496" s="577">
        <f t="shared" si="649"/>
        <v>0</v>
      </c>
      <c r="P2496" s="578">
        <f t="shared" si="650"/>
        <v>0</v>
      </c>
      <c r="Q2496" s="765"/>
      <c r="R2496" s="723"/>
      <c r="S2496" s="723"/>
      <c r="T2496" s="577">
        <f t="shared" ref="T2496:T2559" si="667">IF(ISBLANK(R2496),0,ROUND(K2496*R2496,2))</f>
        <v>0</v>
      </c>
      <c r="U2496" s="578">
        <f t="shared" ref="U2496:U2559" si="668">IF(ISBLANK(R2496),0,ROUND(R2496*S2496,2))</f>
        <v>0</v>
      </c>
      <c r="V2496" s="579"/>
      <c r="W2496" s="566" t="str">
        <f>IF(U2492&gt;0,"xx",IF(P2492&gt;0,"xy",""))</f>
        <v/>
      </c>
      <c r="X2496" s="586" t="str">
        <f t="shared" si="661"/>
        <v/>
      </c>
      <c r="Y2496" s="586" t="str">
        <f t="shared" si="653"/>
        <v/>
      </c>
      <c r="Z2496" s="586" t="str">
        <f t="shared" si="660"/>
        <v/>
      </c>
    </row>
    <row r="2497" spans="1:26" ht="12" hidden="1" thickBot="1" x14ac:dyDescent="0.25">
      <c r="A2497" s="567" t="s">
        <v>168</v>
      </c>
      <c r="B2497" s="644" t="s">
        <v>168</v>
      </c>
      <c r="C2497" s="645"/>
      <c r="D2497" s="422" t="s">
        <v>401</v>
      </c>
      <c r="E2497" s="423"/>
      <c r="F2497" s="424">
        <v>500</v>
      </c>
      <c r="G2497" s="425">
        <f>VLOOKUP(D2492,'[2]ENSAIOS DE ORÇAMENTO'!$C$3:$L$79,10,FALSE)</f>
        <v>0</v>
      </c>
      <c r="H2497" s="649">
        <f>IF(F2497&lt;=30,(0.78*F2497+7.82)*G2497,((0.78*30+7.82)+0.78*(F2497-30))*G2497)</f>
        <v>0</v>
      </c>
      <c r="I2497" s="420"/>
      <c r="J2497" s="420"/>
      <c r="K2497" s="421">
        <f t="shared" si="666"/>
        <v>0</v>
      </c>
      <c r="L2497" s="647"/>
      <c r="M2497" s="723"/>
      <c r="N2497" s="576">
        <f t="shared" si="656"/>
        <v>0</v>
      </c>
      <c r="O2497" s="577">
        <f t="shared" ref="O2497:O2560" si="669">IF(ISBLANK(M2497),0,ROUND(K2497*M2497,2))</f>
        <v>0</v>
      </c>
      <c r="P2497" s="578">
        <f t="shared" ref="P2497:P2560" si="670">IF(ISBLANK(N2497),0,ROUND(M2497*N2497,2))</f>
        <v>0</v>
      </c>
      <c r="Q2497" s="765"/>
      <c r="R2497" s="723"/>
      <c r="S2497" s="723"/>
      <c r="T2497" s="577">
        <f t="shared" si="667"/>
        <v>0</v>
      </c>
      <c r="U2497" s="578">
        <f t="shared" si="668"/>
        <v>0</v>
      </c>
      <c r="V2497" s="579"/>
      <c r="W2497" s="566" t="str">
        <f>IF(U2492&gt;0,"xx",IF(P2492&gt;0,"xy",""))</f>
        <v/>
      </c>
      <c r="X2497" s="586" t="str">
        <f t="shared" si="661"/>
        <v/>
      </c>
      <c r="Y2497" s="586" t="str">
        <f t="shared" si="653"/>
        <v/>
      </c>
      <c r="Z2497" s="586" t="str">
        <f t="shared" si="660"/>
        <v/>
      </c>
    </row>
    <row r="2498" spans="1:26" ht="12" hidden="1" thickBot="1" x14ac:dyDescent="0.25">
      <c r="A2498" s="567" t="s">
        <v>144</v>
      </c>
      <c r="B2498" s="644" t="s">
        <v>144</v>
      </c>
      <c r="C2498" s="645" t="s">
        <v>206</v>
      </c>
      <c r="D2498" s="422" t="s">
        <v>159</v>
      </c>
      <c r="E2498" s="423"/>
      <c r="F2498" s="424"/>
      <c r="G2498" s="425"/>
      <c r="H2498" s="651">
        <f>SUM(H2499:H2503)</f>
        <v>848.91637639999999</v>
      </c>
      <c r="I2498" s="420">
        <f>VLOOKUP(D2498,'[2]ENSAIOS DE ORÇAMENTO'!$C$3:$L$79,8,FALSE)</f>
        <v>5743.9725599999983</v>
      </c>
      <c r="J2498" s="420">
        <f>IF(ISBLANK(I2498),"",SUM(H2498:I2498))</f>
        <v>6592.8889363999988</v>
      </c>
      <c r="K2498" s="421">
        <f t="shared" si="666"/>
        <v>7833.01</v>
      </c>
      <c r="L2498" s="647" t="s">
        <v>21</v>
      </c>
      <c r="M2498" s="576"/>
      <c r="N2498" s="576">
        <f t="shared" si="656"/>
        <v>0</v>
      </c>
      <c r="O2498" s="577">
        <f t="shared" si="669"/>
        <v>0</v>
      </c>
      <c r="P2498" s="578">
        <f t="shared" si="670"/>
        <v>0</v>
      </c>
      <c r="Q2498" s="765"/>
      <c r="R2498" s="576">
        <f>M2498</f>
        <v>0</v>
      </c>
      <c r="S2498" s="576">
        <f>N2498</f>
        <v>0</v>
      </c>
      <c r="T2498" s="577">
        <f t="shared" si="667"/>
        <v>0</v>
      </c>
      <c r="U2498" s="578">
        <f t="shared" si="668"/>
        <v>0</v>
      </c>
      <c r="V2498" s="579"/>
      <c r="W2498" s="566"/>
      <c r="X2498" s="586" t="str">
        <f t="shared" si="661"/>
        <v/>
      </c>
      <c r="Y2498" s="586" t="str">
        <f t="shared" si="653"/>
        <v/>
      </c>
      <c r="Z2498" s="586" t="str">
        <f t="shared" si="660"/>
        <v/>
      </c>
    </row>
    <row r="2499" spans="1:26" ht="12" hidden="1" thickBot="1" x14ac:dyDescent="0.25">
      <c r="A2499" s="567" t="s">
        <v>168</v>
      </c>
      <c r="B2499" s="644" t="s">
        <v>168</v>
      </c>
      <c r="C2499" s="645"/>
      <c r="D2499" s="422" t="s">
        <v>212</v>
      </c>
      <c r="E2499" s="423"/>
      <c r="F2499" s="424">
        <v>500</v>
      </c>
      <c r="G2499" s="425">
        <f>VLOOKUP(D2498,'[2]ENSAIOS DE ORÇAMENTO'!$C$3:$L$79,4,FALSE)</f>
        <v>0.80657999999999996</v>
      </c>
      <c r="H2499" s="649">
        <f>IF(F2499&lt;=30,(0.78*F2499+7.82)*G2499,((0.78*30+7.82)+0.78*(F2499-30))*G2499)</f>
        <v>320.87365560000001</v>
      </c>
      <c r="I2499" s="420"/>
      <c r="J2499" s="420"/>
      <c r="K2499" s="421">
        <f t="shared" si="666"/>
        <v>0</v>
      </c>
      <c r="L2499" s="647"/>
      <c r="M2499" s="723"/>
      <c r="N2499" s="576">
        <f t="shared" si="656"/>
        <v>0</v>
      </c>
      <c r="O2499" s="577">
        <f t="shared" si="669"/>
        <v>0</v>
      </c>
      <c r="P2499" s="578">
        <f t="shared" si="670"/>
        <v>0</v>
      </c>
      <c r="Q2499" s="765"/>
      <c r="R2499" s="723"/>
      <c r="S2499" s="723"/>
      <c r="T2499" s="577">
        <f t="shared" si="667"/>
        <v>0</v>
      </c>
      <c r="U2499" s="578">
        <f t="shared" si="668"/>
        <v>0</v>
      </c>
      <c r="V2499" s="579"/>
      <c r="W2499" s="566" t="str">
        <f>IF(U2498&gt;0,"xx",IF(P2498&gt;0,"xy",""))</f>
        <v/>
      </c>
      <c r="X2499" s="586" t="str">
        <f t="shared" si="661"/>
        <v/>
      </c>
      <c r="Y2499" s="586" t="str">
        <f t="shared" si="653"/>
        <v/>
      </c>
      <c r="Z2499" s="586" t="str">
        <f t="shared" si="660"/>
        <v/>
      </c>
    </row>
    <row r="2500" spans="1:26" ht="12" hidden="1" thickBot="1" x14ac:dyDescent="0.25">
      <c r="A2500" s="567" t="s">
        <v>168</v>
      </c>
      <c r="B2500" s="644" t="s">
        <v>168</v>
      </c>
      <c r="C2500" s="645"/>
      <c r="D2500" s="422" t="s">
        <v>248</v>
      </c>
      <c r="E2500" s="423"/>
      <c r="F2500" s="424">
        <v>180</v>
      </c>
      <c r="G2500" s="425">
        <f>VLOOKUP(D2498,'[2]ENSAIOS DE ORÇAMENTO'!$C$3:$L$79,5,FALSE)</f>
        <v>2.3575999999999997</v>
      </c>
      <c r="H2500" s="663">
        <f t="shared" ref="H2500:H2502" si="671">IF(F2500&lt;=30,(1.07*F2500+2.68)*G2500,((1.07*30+2.68)+1.07*(F2500-30))*G2500)</f>
        <v>460.39212799999996</v>
      </c>
      <c r="I2500" s="420"/>
      <c r="J2500" s="420"/>
      <c r="K2500" s="421">
        <f t="shared" si="666"/>
        <v>0</v>
      </c>
      <c r="L2500" s="647"/>
      <c r="M2500" s="723"/>
      <c r="N2500" s="576">
        <f t="shared" si="656"/>
        <v>0</v>
      </c>
      <c r="O2500" s="577">
        <f t="shared" si="669"/>
        <v>0</v>
      </c>
      <c r="P2500" s="578">
        <f t="shared" si="670"/>
        <v>0</v>
      </c>
      <c r="Q2500" s="765"/>
      <c r="R2500" s="723"/>
      <c r="S2500" s="723"/>
      <c r="T2500" s="577">
        <f t="shared" si="667"/>
        <v>0</v>
      </c>
      <c r="U2500" s="578">
        <f t="shared" si="668"/>
        <v>0</v>
      </c>
      <c r="V2500" s="579"/>
      <c r="W2500" s="566" t="str">
        <f>IF(U2498&gt;0,"xx",IF(P2498&gt;0,"xy",""))</f>
        <v/>
      </c>
      <c r="X2500" s="586" t="str">
        <f t="shared" si="661"/>
        <v/>
      </c>
      <c r="Y2500" s="586" t="str">
        <f t="shared" si="653"/>
        <v/>
      </c>
      <c r="Z2500" s="586" t="str">
        <f t="shared" si="660"/>
        <v/>
      </c>
    </row>
    <row r="2501" spans="1:26" ht="12" hidden="1" thickBot="1" x14ac:dyDescent="0.25">
      <c r="A2501" s="567" t="s">
        <v>168</v>
      </c>
      <c r="B2501" s="644" t="s">
        <v>168</v>
      </c>
      <c r="C2501" s="645"/>
      <c r="D2501" s="422" t="s">
        <v>252</v>
      </c>
      <c r="E2501" s="423"/>
      <c r="F2501" s="424">
        <v>20</v>
      </c>
      <c r="G2501" s="425">
        <f>VLOOKUP(D2498,'[2]ENSAIOS DE ORÇAMENTO'!$C$3:$L$79,6,FALSE)</f>
        <v>2.8094099999999997</v>
      </c>
      <c r="H2501" s="663">
        <f t="shared" si="671"/>
        <v>67.650592799999998</v>
      </c>
      <c r="I2501" s="420"/>
      <c r="J2501" s="420"/>
      <c r="K2501" s="421">
        <f t="shared" si="666"/>
        <v>0</v>
      </c>
      <c r="L2501" s="647"/>
      <c r="M2501" s="723"/>
      <c r="N2501" s="576">
        <f t="shared" si="656"/>
        <v>0</v>
      </c>
      <c r="O2501" s="577">
        <f t="shared" si="669"/>
        <v>0</v>
      </c>
      <c r="P2501" s="578">
        <f t="shared" si="670"/>
        <v>0</v>
      </c>
      <c r="Q2501" s="765"/>
      <c r="R2501" s="723"/>
      <c r="S2501" s="723"/>
      <c r="T2501" s="577">
        <f t="shared" si="667"/>
        <v>0</v>
      </c>
      <c r="U2501" s="578">
        <f t="shared" si="668"/>
        <v>0</v>
      </c>
      <c r="V2501" s="579"/>
      <c r="W2501" s="566" t="str">
        <f>IF(U2498&gt;0,"xx",IF(P2498&gt;0,"xy",""))</f>
        <v/>
      </c>
      <c r="X2501" s="586" t="str">
        <f t="shared" si="661"/>
        <v/>
      </c>
      <c r="Y2501" s="586" t="str">
        <f t="shared" si="653"/>
        <v/>
      </c>
      <c r="Z2501" s="586" t="str">
        <f t="shared" si="660"/>
        <v/>
      </c>
    </row>
    <row r="2502" spans="1:26" ht="12" hidden="1" thickBot="1" x14ac:dyDescent="0.25">
      <c r="A2502" s="567" t="s">
        <v>168</v>
      </c>
      <c r="B2502" s="644" t="s">
        <v>168</v>
      </c>
      <c r="C2502" s="645"/>
      <c r="D2502" s="422" t="s">
        <v>400</v>
      </c>
      <c r="E2502" s="423"/>
      <c r="F2502" s="424">
        <v>30</v>
      </c>
      <c r="G2502" s="425">
        <f>VLOOKUP(D2498,'[2]ENSAIOS DE ORÇAMENTO'!$C$3:$L$79,3,FALSE)</f>
        <v>0</v>
      </c>
      <c r="H2502" s="663">
        <f t="shared" si="671"/>
        <v>0</v>
      </c>
      <c r="I2502" s="420"/>
      <c r="J2502" s="420"/>
      <c r="K2502" s="421">
        <f t="shared" si="666"/>
        <v>0</v>
      </c>
      <c r="L2502" s="647"/>
      <c r="M2502" s="723"/>
      <c r="N2502" s="576">
        <f t="shared" si="656"/>
        <v>0</v>
      </c>
      <c r="O2502" s="577">
        <f t="shared" si="669"/>
        <v>0</v>
      </c>
      <c r="P2502" s="578">
        <f t="shared" si="670"/>
        <v>0</v>
      </c>
      <c r="Q2502" s="765"/>
      <c r="R2502" s="723"/>
      <c r="S2502" s="723"/>
      <c r="T2502" s="577">
        <f t="shared" si="667"/>
        <v>0</v>
      </c>
      <c r="U2502" s="578">
        <f t="shared" si="668"/>
        <v>0</v>
      </c>
      <c r="V2502" s="579"/>
      <c r="W2502" s="566" t="str">
        <f>IF(U2498&gt;0,"xx",IF(P2498&gt;0,"xy",""))</f>
        <v/>
      </c>
      <c r="X2502" s="586" t="str">
        <f t="shared" si="661"/>
        <v/>
      </c>
      <c r="Y2502" s="586" t="str">
        <f t="shared" si="653"/>
        <v/>
      </c>
      <c r="Z2502" s="586" t="str">
        <f t="shared" si="660"/>
        <v/>
      </c>
    </row>
    <row r="2503" spans="1:26" ht="12" hidden="1" thickBot="1" x14ac:dyDescent="0.25">
      <c r="A2503" s="567" t="s">
        <v>168</v>
      </c>
      <c r="B2503" s="644" t="s">
        <v>168</v>
      </c>
      <c r="C2503" s="645"/>
      <c r="D2503" s="422" t="s">
        <v>401</v>
      </c>
      <c r="E2503" s="423"/>
      <c r="F2503" s="424">
        <v>500</v>
      </c>
      <c r="G2503" s="425">
        <f>VLOOKUP(D2498,'[2]ENSAIOS DE ORÇAMENTO'!$C$3:$L$79,10,FALSE)</f>
        <v>0</v>
      </c>
      <c r="H2503" s="649">
        <f>IF(F2503&lt;=30,(0.78*F2503+7.82)*G2503,((0.78*30+7.82)+0.78*(F2503-30))*G2503)</f>
        <v>0</v>
      </c>
      <c r="I2503" s="420"/>
      <c r="J2503" s="420"/>
      <c r="K2503" s="421">
        <f t="shared" si="666"/>
        <v>0</v>
      </c>
      <c r="L2503" s="647"/>
      <c r="M2503" s="723"/>
      <c r="N2503" s="576">
        <f t="shared" si="656"/>
        <v>0</v>
      </c>
      <c r="O2503" s="577">
        <f t="shared" si="669"/>
        <v>0</v>
      </c>
      <c r="P2503" s="578">
        <f t="shared" si="670"/>
        <v>0</v>
      </c>
      <c r="Q2503" s="765"/>
      <c r="R2503" s="723"/>
      <c r="S2503" s="723"/>
      <c r="T2503" s="577">
        <f t="shared" si="667"/>
        <v>0</v>
      </c>
      <c r="U2503" s="578">
        <f t="shared" si="668"/>
        <v>0</v>
      </c>
      <c r="V2503" s="579"/>
      <c r="W2503" s="566" t="str">
        <f>IF(U2498&gt;0,"xx",IF(P2498&gt;0,"xy",""))</f>
        <v/>
      </c>
      <c r="X2503" s="586" t="str">
        <f t="shared" si="661"/>
        <v/>
      </c>
      <c r="Y2503" s="586" t="str">
        <f t="shared" si="653"/>
        <v/>
      </c>
      <c r="Z2503" s="586" t="str">
        <f t="shared" si="660"/>
        <v/>
      </c>
    </row>
    <row r="2504" spans="1:26" ht="12" hidden="1" thickBot="1" x14ac:dyDescent="0.25">
      <c r="A2504" s="567" t="s">
        <v>48</v>
      </c>
      <c r="B2504" s="644" t="s">
        <v>48</v>
      </c>
      <c r="C2504" s="645" t="s">
        <v>206</v>
      </c>
      <c r="D2504" s="422" t="s">
        <v>160</v>
      </c>
      <c r="E2504" s="423"/>
      <c r="F2504" s="424"/>
      <c r="G2504" s="425"/>
      <c r="H2504" s="651">
        <f>SUM(H2505:H2509)</f>
        <v>945.5083653800001</v>
      </c>
      <c r="I2504" s="420">
        <f>VLOOKUP(D2504,'[2]ENSAIOS DE ORÇAMENTO'!$C$3:$L$79,8,FALSE)</f>
        <v>6301.7848786111099</v>
      </c>
      <c r="J2504" s="420">
        <f>IF(ISBLANK(I2504),"",SUM(H2504:I2504))</f>
        <v>7247.2932439911101</v>
      </c>
      <c r="K2504" s="421">
        <f t="shared" si="666"/>
        <v>8610.51</v>
      </c>
      <c r="L2504" s="647" t="s">
        <v>21</v>
      </c>
      <c r="M2504" s="576"/>
      <c r="N2504" s="576">
        <f t="shared" si="656"/>
        <v>0</v>
      </c>
      <c r="O2504" s="577">
        <f t="shared" si="669"/>
        <v>0</v>
      </c>
      <c r="P2504" s="578">
        <f t="shared" si="670"/>
        <v>0</v>
      </c>
      <c r="Q2504" s="765"/>
      <c r="R2504" s="576">
        <f>M2504</f>
        <v>0</v>
      </c>
      <c r="S2504" s="576">
        <f>N2504</f>
        <v>0</v>
      </c>
      <c r="T2504" s="577">
        <f t="shared" si="667"/>
        <v>0</v>
      </c>
      <c r="U2504" s="578">
        <f t="shared" si="668"/>
        <v>0</v>
      </c>
      <c r="V2504" s="579"/>
      <c r="W2504" s="566"/>
      <c r="X2504" s="586" t="str">
        <f t="shared" si="661"/>
        <v/>
      </c>
      <c r="Y2504" s="586" t="str">
        <f t="shared" ref="Y2504:Y2567" si="672">IF(W2504="X","x",IF(W2504="y","x",IF(W2504="xx","x",IF(U2504&gt;0,"x",""))))</f>
        <v/>
      </c>
      <c r="Z2504" s="586" t="str">
        <f t="shared" si="660"/>
        <v/>
      </c>
    </row>
    <row r="2505" spans="1:26" ht="12" hidden="1" thickBot="1" x14ac:dyDescent="0.25">
      <c r="A2505" s="567" t="s">
        <v>168</v>
      </c>
      <c r="B2505" s="644" t="s">
        <v>168</v>
      </c>
      <c r="C2505" s="645"/>
      <c r="D2505" s="422" t="s">
        <v>212</v>
      </c>
      <c r="E2505" s="423"/>
      <c r="F2505" s="424">
        <v>500</v>
      </c>
      <c r="G2505" s="425">
        <f>VLOOKUP(D2504,'[2]ENSAIOS DE ORÇAMENTO'!$C$3:$L$79,4,FALSE)</f>
        <v>0.89753699999999992</v>
      </c>
      <c r="H2505" s="649">
        <f>IF(F2505&lt;=30,(0.78*F2505+7.82)*G2505,((0.78*30+7.82)+0.78*(F2505-30))*G2505)</f>
        <v>357.05816934000001</v>
      </c>
      <c r="I2505" s="420"/>
      <c r="J2505" s="420"/>
      <c r="K2505" s="421">
        <f t="shared" si="666"/>
        <v>0</v>
      </c>
      <c r="L2505" s="647"/>
      <c r="M2505" s="723"/>
      <c r="N2505" s="576">
        <f t="shared" si="656"/>
        <v>0</v>
      </c>
      <c r="O2505" s="577">
        <f t="shared" si="669"/>
        <v>0</v>
      </c>
      <c r="P2505" s="578">
        <f t="shared" si="670"/>
        <v>0</v>
      </c>
      <c r="Q2505" s="765"/>
      <c r="R2505" s="723"/>
      <c r="S2505" s="723"/>
      <c r="T2505" s="577">
        <f t="shared" si="667"/>
        <v>0</v>
      </c>
      <c r="U2505" s="578">
        <f t="shared" si="668"/>
        <v>0</v>
      </c>
      <c r="V2505" s="579"/>
      <c r="W2505" s="566" t="str">
        <f>IF(U2504&gt;0,"xx",IF(P2504&gt;0,"xy",""))</f>
        <v/>
      </c>
      <c r="X2505" s="586" t="str">
        <f t="shared" si="661"/>
        <v/>
      </c>
      <c r="Y2505" s="586" t="str">
        <f t="shared" si="672"/>
        <v/>
      </c>
      <c r="Z2505" s="586" t="str">
        <f t="shared" si="660"/>
        <v/>
      </c>
    </row>
    <row r="2506" spans="1:26" ht="12" hidden="1" thickBot="1" x14ac:dyDescent="0.25">
      <c r="A2506" s="567" t="s">
        <v>168</v>
      </c>
      <c r="B2506" s="644" t="s">
        <v>168</v>
      </c>
      <c r="C2506" s="645"/>
      <c r="D2506" s="422" t="s">
        <v>248</v>
      </c>
      <c r="E2506" s="423"/>
      <c r="F2506" s="424">
        <v>180</v>
      </c>
      <c r="G2506" s="425">
        <f>VLOOKUP(D2504,'[2]ENSAIOS DE ORÇAMENTO'!$C$3:$L$79,5,FALSE)</f>
        <v>2.6274289999999998</v>
      </c>
      <c r="H2506" s="663">
        <f t="shared" ref="H2506:H2508" si="673">IF(F2506&lt;=30,(1.07*F2506+2.68)*G2506,((1.07*30+2.68)+1.07*(F2506-30))*G2506)</f>
        <v>513.08433511999999</v>
      </c>
      <c r="I2506" s="420"/>
      <c r="J2506" s="420"/>
      <c r="K2506" s="421">
        <f t="shared" si="666"/>
        <v>0</v>
      </c>
      <c r="L2506" s="647"/>
      <c r="M2506" s="723"/>
      <c r="N2506" s="576">
        <f t="shared" si="656"/>
        <v>0</v>
      </c>
      <c r="O2506" s="577">
        <f t="shared" si="669"/>
        <v>0</v>
      </c>
      <c r="P2506" s="578">
        <f t="shared" si="670"/>
        <v>0</v>
      </c>
      <c r="Q2506" s="765"/>
      <c r="R2506" s="723"/>
      <c r="S2506" s="723"/>
      <c r="T2506" s="577">
        <f t="shared" si="667"/>
        <v>0</v>
      </c>
      <c r="U2506" s="578">
        <f t="shared" si="668"/>
        <v>0</v>
      </c>
      <c r="V2506" s="579"/>
      <c r="W2506" s="566" t="str">
        <f>IF(U2504&gt;0,"xx",IF(P2504&gt;0,"xy",""))</f>
        <v/>
      </c>
      <c r="X2506" s="586" t="str">
        <f t="shared" si="661"/>
        <v/>
      </c>
      <c r="Y2506" s="586" t="str">
        <f t="shared" si="672"/>
        <v/>
      </c>
      <c r="Z2506" s="586" t="str">
        <f t="shared" si="660"/>
        <v/>
      </c>
    </row>
    <row r="2507" spans="1:26" ht="12" hidden="1" thickBot="1" x14ac:dyDescent="0.25">
      <c r="A2507" s="567" t="s">
        <v>168</v>
      </c>
      <c r="B2507" s="644" t="s">
        <v>168</v>
      </c>
      <c r="C2507" s="645"/>
      <c r="D2507" s="422" t="s">
        <v>252</v>
      </c>
      <c r="E2507" s="423"/>
      <c r="F2507" s="424">
        <v>20</v>
      </c>
      <c r="G2507" s="425">
        <f>VLOOKUP(D2504,'[2]ENSAIOS DE ORÇAMENTO'!$C$3:$L$79,6,FALSE)</f>
        <v>3.1298114999999997</v>
      </c>
      <c r="H2507" s="663">
        <f t="shared" si="673"/>
        <v>75.365860920000003</v>
      </c>
      <c r="I2507" s="420"/>
      <c r="J2507" s="420"/>
      <c r="K2507" s="421">
        <f t="shared" si="666"/>
        <v>0</v>
      </c>
      <c r="L2507" s="647"/>
      <c r="M2507" s="723"/>
      <c r="N2507" s="576">
        <f t="shared" si="656"/>
        <v>0</v>
      </c>
      <c r="O2507" s="577">
        <f t="shared" si="669"/>
        <v>0</v>
      </c>
      <c r="P2507" s="578">
        <f t="shared" si="670"/>
        <v>0</v>
      </c>
      <c r="Q2507" s="765"/>
      <c r="R2507" s="723"/>
      <c r="S2507" s="723"/>
      <c r="T2507" s="577">
        <f t="shared" si="667"/>
        <v>0</v>
      </c>
      <c r="U2507" s="578">
        <f t="shared" si="668"/>
        <v>0</v>
      </c>
      <c r="V2507" s="579"/>
      <c r="W2507" s="566" t="str">
        <f>IF(U2504&gt;0,"xx",IF(P2504&gt;0,"xy",""))</f>
        <v/>
      </c>
      <c r="X2507" s="586" t="str">
        <f t="shared" si="661"/>
        <v/>
      </c>
      <c r="Y2507" s="586" t="str">
        <f t="shared" si="672"/>
        <v/>
      </c>
      <c r="Z2507" s="586" t="str">
        <f t="shared" si="660"/>
        <v/>
      </c>
    </row>
    <row r="2508" spans="1:26" ht="12" hidden="1" thickBot="1" x14ac:dyDescent="0.25">
      <c r="A2508" s="567" t="s">
        <v>168</v>
      </c>
      <c r="B2508" s="644" t="s">
        <v>168</v>
      </c>
      <c r="C2508" s="645"/>
      <c r="D2508" s="422" t="s">
        <v>400</v>
      </c>
      <c r="E2508" s="423"/>
      <c r="F2508" s="424">
        <v>30</v>
      </c>
      <c r="G2508" s="425">
        <f>VLOOKUP(D2504,'[2]ENSAIOS DE ORÇAMENTO'!$C$3:$L$79,3,FALSE)</f>
        <v>0</v>
      </c>
      <c r="H2508" s="663">
        <f t="shared" si="673"/>
        <v>0</v>
      </c>
      <c r="I2508" s="420"/>
      <c r="J2508" s="420"/>
      <c r="K2508" s="421">
        <f t="shared" si="666"/>
        <v>0</v>
      </c>
      <c r="L2508" s="647"/>
      <c r="M2508" s="723"/>
      <c r="N2508" s="576">
        <f t="shared" si="656"/>
        <v>0</v>
      </c>
      <c r="O2508" s="577">
        <f t="shared" si="669"/>
        <v>0</v>
      </c>
      <c r="P2508" s="578">
        <f t="shared" si="670"/>
        <v>0</v>
      </c>
      <c r="Q2508" s="765"/>
      <c r="R2508" s="723"/>
      <c r="S2508" s="723"/>
      <c r="T2508" s="577">
        <f t="shared" si="667"/>
        <v>0</v>
      </c>
      <c r="U2508" s="578">
        <f t="shared" si="668"/>
        <v>0</v>
      </c>
      <c r="V2508" s="579"/>
      <c r="W2508" s="566" t="str">
        <f>IF(U2504&gt;0,"xx",IF(P2504&gt;0,"xy",""))</f>
        <v/>
      </c>
      <c r="X2508" s="586" t="str">
        <f t="shared" si="661"/>
        <v/>
      </c>
      <c r="Y2508" s="586" t="str">
        <f t="shared" si="672"/>
        <v/>
      </c>
      <c r="Z2508" s="586" t="str">
        <f t="shared" si="660"/>
        <v/>
      </c>
    </row>
    <row r="2509" spans="1:26" ht="12" hidden="1" thickBot="1" x14ac:dyDescent="0.25">
      <c r="A2509" s="567" t="s">
        <v>168</v>
      </c>
      <c r="B2509" s="644" t="s">
        <v>168</v>
      </c>
      <c r="C2509" s="645"/>
      <c r="D2509" s="422" t="s">
        <v>401</v>
      </c>
      <c r="E2509" s="423"/>
      <c r="F2509" s="424">
        <v>500</v>
      </c>
      <c r="G2509" s="425">
        <f>VLOOKUP(D2504,'[2]ENSAIOS DE ORÇAMENTO'!$C$3:$L$79,10,FALSE)</f>
        <v>0</v>
      </c>
      <c r="H2509" s="649">
        <f>IF(F2509&lt;=30,(0.78*F2509+7.82)*G2509,((0.78*30+7.82)+0.78*(F2509-30))*G2509)</f>
        <v>0</v>
      </c>
      <c r="I2509" s="420"/>
      <c r="J2509" s="420"/>
      <c r="K2509" s="421">
        <f t="shared" si="666"/>
        <v>0</v>
      </c>
      <c r="L2509" s="647"/>
      <c r="M2509" s="723"/>
      <c r="N2509" s="576">
        <f t="shared" si="656"/>
        <v>0</v>
      </c>
      <c r="O2509" s="577">
        <f t="shared" si="669"/>
        <v>0</v>
      </c>
      <c r="P2509" s="578">
        <f t="shared" si="670"/>
        <v>0</v>
      </c>
      <c r="Q2509" s="765"/>
      <c r="R2509" s="723"/>
      <c r="S2509" s="723"/>
      <c r="T2509" s="577">
        <f t="shared" si="667"/>
        <v>0</v>
      </c>
      <c r="U2509" s="578">
        <f t="shared" si="668"/>
        <v>0</v>
      </c>
      <c r="V2509" s="579"/>
      <c r="W2509" s="566" t="str">
        <f>IF(U2504&gt;0,"xx",IF(P2504&gt;0,"xy",""))</f>
        <v/>
      </c>
      <c r="X2509" s="586" t="str">
        <f t="shared" si="661"/>
        <v/>
      </c>
      <c r="Y2509" s="586" t="str">
        <f t="shared" si="672"/>
        <v/>
      </c>
      <c r="Z2509" s="586" t="str">
        <f t="shared" si="660"/>
        <v/>
      </c>
    </row>
    <row r="2510" spans="1:26" ht="12" hidden="1" thickBot="1" x14ac:dyDescent="0.25">
      <c r="A2510" s="567" t="s">
        <v>49</v>
      </c>
      <c r="B2510" s="644" t="s">
        <v>49</v>
      </c>
      <c r="C2510" s="645" t="s">
        <v>206</v>
      </c>
      <c r="D2510" s="422" t="s">
        <v>161</v>
      </c>
      <c r="E2510" s="423"/>
      <c r="F2510" s="424"/>
      <c r="G2510" s="425"/>
      <c r="H2510" s="651">
        <f>SUM(H2511:H2515)</f>
        <v>1175.1788129870001</v>
      </c>
      <c r="I2510" s="420">
        <f>VLOOKUP(D2510,'[2]ENSAIOS DE ORÇAMENTO'!$C$3:$L$79,8,FALSE)</f>
        <v>7680.4985115138879</v>
      </c>
      <c r="J2510" s="420">
        <f>IF(ISBLANK(I2510),"",SUM(H2510:I2510))</f>
        <v>8855.6773245008881</v>
      </c>
      <c r="K2510" s="421">
        <f t="shared" si="666"/>
        <v>10521.43</v>
      </c>
      <c r="L2510" s="647" t="s">
        <v>21</v>
      </c>
      <c r="M2510" s="576"/>
      <c r="N2510" s="576">
        <f t="shared" si="656"/>
        <v>0</v>
      </c>
      <c r="O2510" s="577">
        <f t="shared" si="669"/>
        <v>0</v>
      </c>
      <c r="P2510" s="578">
        <f t="shared" si="670"/>
        <v>0</v>
      </c>
      <c r="Q2510" s="765"/>
      <c r="R2510" s="576">
        <f>M2510</f>
        <v>0</v>
      </c>
      <c r="S2510" s="576">
        <f>N2510</f>
        <v>0</v>
      </c>
      <c r="T2510" s="577">
        <f t="shared" si="667"/>
        <v>0</v>
      </c>
      <c r="U2510" s="578">
        <f t="shared" si="668"/>
        <v>0</v>
      </c>
      <c r="V2510" s="579"/>
      <c r="W2510" s="566"/>
      <c r="X2510" s="586" t="str">
        <f t="shared" si="661"/>
        <v/>
      </c>
      <c r="Y2510" s="586" t="str">
        <f t="shared" si="672"/>
        <v/>
      </c>
      <c r="Z2510" s="586" t="str">
        <f t="shared" si="660"/>
        <v/>
      </c>
    </row>
    <row r="2511" spans="1:26" ht="12" hidden="1" thickBot="1" x14ac:dyDescent="0.25">
      <c r="A2511" s="567" t="s">
        <v>168</v>
      </c>
      <c r="B2511" s="644" t="s">
        <v>168</v>
      </c>
      <c r="C2511" s="645"/>
      <c r="D2511" s="422" t="s">
        <v>212</v>
      </c>
      <c r="E2511" s="423"/>
      <c r="F2511" s="424">
        <v>500</v>
      </c>
      <c r="G2511" s="425">
        <f>VLOOKUP(D2510,'[2]ENSAIOS DE ORÇAMENTO'!$C$3:$L$79,4,FALSE)</f>
        <v>1.1179675499999999</v>
      </c>
      <c r="H2511" s="649">
        <f>IF(F2511&lt;=30,(0.78*F2511+7.82)*G2511,((0.78*30+7.82)+0.78*(F2511-30))*G2511)</f>
        <v>444.74985074100005</v>
      </c>
      <c r="I2511" s="420"/>
      <c r="J2511" s="420"/>
      <c r="K2511" s="421">
        <f t="shared" si="666"/>
        <v>0</v>
      </c>
      <c r="L2511" s="647"/>
      <c r="M2511" s="723"/>
      <c r="N2511" s="576">
        <f t="shared" si="656"/>
        <v>0</v>
      </c>
      <c r="O2511" s="577">
        <f t="shared" si="669"/>
        <v>0</v>
      </c>
      <c r="P2511" s="578">
        <f t="shared" si="670"/>
        <v>0</v>
      </c>
      <c r="Q2511" s="765"/>
      <c r="R2511" s="723"/>
      <c r="S2511" s="723"/>
      <c r="T2511" s="577">
        <f t="shared" si="667"/>
        <v>0</v>
      </c>
      <c r="U2511" s="578">
        <f t="shared" si="668"/>
        <v>0</v>
      </c>
      <c r="V2511" s="579"/>
      <c r="W2511" s="566" t="str">
        <f>IF(U2510&gt;0,"xx",IF(P2510&gt;0,"xy",""))</f>
        <v/>
      </c>
      <c r="X2511" s="586" t="str">
        <f t="shared" si="661"/>
        <v/>
      </c>
      <c r="Y2511" s="586" t="str">
        <f t="shared" si="672"/>
        <v/>
      </c>
      <c r="Z2511" s="586" t="str">
        <f t="shared" si="660"/>
        <v/>
      </c>
    </row>
    <row r="2512" spans="1:26" ht="12" hidden="1" thickBot="1" x14ac:dyDescent="0.25">
      <c r="A2512" s="567" t="s">
        <v>168</v>
      </c>
      <c r="B2512" s="644" t="s">
        <v>168</v>
      </c>
      <c r="C2512" s="645"/>
      <c r="D2512" s="422" t="s">
        <v>248</v>
      </c>
      <c r="E2512" s="423"/>
      <c r="F2512" s="424">
        <v>180</v>
      </c>
      <c r="G2512" s="425">
        <f>VLOOKUP(D2510,'[2]ENSAIOS DE ORÇAMENTO'!$C$3:$L$79,5,FALSE)</f>
        <v>3.2610033499999997</v>
      </c>
      <c r="H2512" s="663">
        <f t="shared" ref="H2512:H2514" si="674">IF(F2512&lt;=30,(1.07*F2512+2.68)*G2512,((1.07*30+2.68)+1.07*(F2512-30))*G2512)</f>
        <v>636.8087341879999</v>
      </c>
      <c r="I2512" s="420"/>
      <c r="J2512" s="420"/>
      <c r="K2512" s="421">
        <f t="shared" si="666"/>
        <v>0</v>
      </c>
      <c r="L2512" s="647"/>
      <c r="M2512" s="723"/>
      <c r="N2512" s="576">
        <f t="shared" si="656"/>
        <v>0</v>
      </c>
      <c r="O2512" s="577">
        <f t="shared" si="669"/>
        <v>0</v>
      </c>
      <c r="P2512" s="578">
        <f t="shared" si="670"/>
        <v>0</v>
      </c>
      <c r="Q2512" s="765"/>
      <c r="R2512" s="723"/>
      <c r="S2512" s="723"/>
      <c r="T2512" s="577">
        <f t="shared" si="667"/>
        <v>0</v>
      </c>
      <c r="U2512" s="578">
        <f t="shared" si="668"/>
        <v>0</v>
      </c>
      <c r="V2512" s="579"/>
      <c r="W2512" s="566" t="str">
        <f>IF(U2510&gt;0,"xx",IF(P2510&gt;0,"xy",""))</f>
        <v/>
      </c>
      <c r="X2512" s="586" t="str">
        <f t="shared" si="661"/>
        <v/>
      </c>
      <c r="Y2512" s="586" t="str">
        <f t="shared" si="672"/>
        <v/>
      </c>
      <c r="Z2512" s="586" t="str">
        <f t="shared" si="660"/>
        <v/>
      </c>
    </row>
    <row r="2513" spans="1:26" ht="12" hidden="1" thickBot="1" x14ac:dyDescent="0.25">
      <c r="A2513" s="567" t="s">
        <v>168</v>
      </c>
      <c r="B2513" s="644" t="s">
        <v>168</v>
      </c>
      <c r="C2513" s="645"/>
      <c r="D2513" s="422" t="s">
        <v>252</v>
      </c>
      <c r="E2513" s="423"/>
      <c r="F2513" s="424">
        <v>20</v>
      </c>
      <c r="G2513" s="425">
        <f>VLOOKUP(D2510,'[2]ENSAIOS DE ORÇAMENTO'!$C$3:$L$79,6,FALSE)</f>
        <v>3.8878832249999999</v>
      </c>
      <c r="H2513" s="663">
        <f t="shared" si="674"/>
        <v>93.620228058000009</v>
      </c>
      <c r="I2513" s="420"/>
      <c r="J2513" s="420"/>
      <c r="K2513" s="421">
        <f t="shared" si="666"/>
        <v>0</v>
      </c>
      <c r="L2513" s="647"/>
      <c r="M2513" s="723"/>
      <c r="N2513" s="576">
        <f t="shared" si="656"/>
        <v>0</v>
      </c>
      <c r="O2513" s="577">
        <f t="shared" si="669"/>
        <v>0</v>
      </c>
      <c r="P2513" s="578">
        <f t="shared" si="670"/>
        <v>0</v>
      </c>
      <c r="Q2513" s="765"/>
      <c r="R2513" s="723"/>
      <c r="S2513" s="723"/>
      <c r="T2513" s="577">
        <f t="shared" si="667"/>
        <v>0</v>
      </c>
      <c r="U2513" s="578">
        <f t="shared" si="668"/>
        <v>0</v>
      </c>
      <c r="V2513" s="579"/>
      <c r="W2513" s="566" t="str">
        <f>IF(U2510&gt;0,"xx",IF(P2510&gt;0,"xy",""))</f>
        <v/>
      </c>
      <c r="X2513" s="586" t="str">
        <f t="shared" si="661"/>
        <v/>
      </c>
      <c r="Y2513" s="586" t="str">
        <f t="shared" si="672"/>
        <v/>
      </c>
      <c r="Z2513" s="586" t="str">
        <f t="shared" si="660"/>
        <v/>
      </c>
    </row>
    <row r="2514" spans="1:26" ht="12" hidden="1" thickBot="1" x14ac:dyDescent="0.25">
      <c r="A2514" s="567" t="s">
        <v>168</v>
      </c>
      <c r="B2514" s="644" t="s">
        <v>168</v>
      </c>
      <c r="C2514" s="645"/>
      <c r="D2514" s="422" t="s">
        <v>400</v>
      </c>
      <c r="E2514" s="423"/>
      <c r="F2514" s="424">
        <v>30</v>
      </c>
      <c r="G2514" s="425">
        <f>VLOOKUP(D2510,'[2]ENSAIOS DE ORÇAMENTO'!$C$3:$L$79,3,FALSE)</f>
        <v>0</v>
      </c>
      <c r="H2514" s="663">
        <f t="shared" si="674"/>
        <v>0</v>
      </c>
      <c r="I2514" s="420"/>
      <c r="J2514" s="420"/>
      <c r="K2514" s="421">
        <f t="shared" si="666"/>
        <v>0</v>
      </c>
      <c r="L2514" s="647"/>
      <c r="M2514" s="723"/>
      <c r="N2514" s="576">
        <f t="shared" si="656"/>
        <v>0</v>
      </c>
      <c r="O2514" s="577">
        <f t="shared" si="669"/>
        <v>0</v>
      </c>
      <c r="P2514" s="578">
        <f t="shared" si="670"/>
        <v>0</v>
      </c>
      <c r="Q2514" s="765"/>
      <c r="R2514" s="723"/>
      <c r="S2514" s="723"/>
      <c r="T2514" s="577">
        <f t="shared" si="667"/>
        <v>0</v>
      </c>
      <c r="U2514" s="578">
        <f t="shared" si="668"/>
        <v>0</v>
      </c>
      <c r="V2514" s="579"/>
      <c r="W2514" s="566" t="str">
        <f>IF(U2510&gt;0,"xx",IF(P2510&gt;0,"xy",""))</f>
        <v/>
      </c>
      <c r="X2514" s="586" t="str">
        <f t="shared" si="661"/>
        <v/>
      </c>
      <c r="Y2514" s="586" t="str">
        <f t="shared" si="672"/>
        <v/>
      </c>
      <c r="Z2514" s="586" t="str">
        <f t="shared" si="660"/>
        <v/>
      </c>
    </row>
    <row r="2515" spans="1:26" ht="12" hidden="1" thickBot="1" x14ac:dyDescent="0.25">
      <c r="A2515" s="567" t="s">
        <v>168</v>
      </c>
      <c r="B2515" s="644" t="s">
        <v>168</v>
      </c>
      <c r="C2515" s="645"/>
      <c r="D2515" s="422" t="s">
        <v>401</v>
      </c>
      <c r="E2515" s="423"/>
      <c r="F2515" s="424">
        <v>500</v>
      </c>
      <c r="G2515" s="425">
        <f>VLOOKUP(D2510,'[2]ENSAIOS DE ORÇAMENTO'!$C$3:$L$79,10,FALSE)</f>
        <v>0</v>
      </c>
      <c r="H2515" s="649">
        <f>IF(F2515&lt;=30,(0.78*F2515+7.82)*G2515,((0.78*30+7.82)+0.78*(F2515-30))*G2515)</f>
        <v>0</v>
      </c>
      <c r="I2515" s="420"/>
      <c r="J2515" s="420"/>
      <c r="K2515" s="421">
        <f t="shared" si="666"/>
        <v>0</v>
      </c>
      <c r="L2515" s="647"/>
      <c r="M2515" s="723"/>
      <c r="N2515" s="576">
        <f t="shared" si="656"/>
        <v>0</v>
      </c>
      <c r="O2515" s="577">
        <f t="shared" si="669"/>
        <v>0</v>
      </c>
      <c r="P2515" s="578">
        <f t="shared" si="670"/>
        <v>0</v>
      </c>
      <c r="Q2515" s="765"/>
      <c r="R2515" s="723"/>
      <c r="S2515" s="723"/>
      <c r="T2515" s="577">
        <f t="shared" si="667"/>
        <v>0</v>
      </c>
      <c r="U2515" s="578">
        <f t="shared" si="668"/>
        <v>0</v>
      </c>
      <c r="V2515" s="579"/>
      <c r="W2515" s="566" t="str">
        <f>IF(U2510&gt;0,"xx",IF(P2510&gt;0,"xy",""))</f>
        <v/>
      </c>
      <c r="X2515" s="586" t="str">
        <f t="shared" si="661"/>
        <v/>
      </c>
      <c r="Y2515" s="586" t="str">
        <f t="shared" si="672"/>
        <v/>
      </c>
      <c r="Z2515" s="586" t="str">
        <f t="shared" si="660"/>
        <v/>
      </c>
    </row>
    <row r="2516" spans="1:26" ht="12" hidden="1" thickBot="1" x14ac:dyDescent="0.25">
      <c r="A2516" s="567" t="s">
        <v>50</v>
      </c>
      <c r="B2516" s="644" t="s">
        <v>50</v>
      </c>
      <c r="C2516" s="645" t="s">
        <v>206</v>
      </c>
      <c r="D2516" s="422" t="s">
        <v>422</v>
      </c>
      <c r="E2516" s="423"/>
      <c r="F2516" s="424"/>
      <c r="G2516" s="425"/>
      <c r="H2516" s="651">
        <f>SUM(H2517:H2521)</f>
        <v>115.21103748000003</v>
      </c>
      <c r="I2516" s="420">
        <f>VLOOKUP(D2516,'[2]ENSAIOS DE ORÇAMENTO'!$C$3:$L$79,8,FALSE)</f>
        <v>707.76571000000001</v>
      </c>
      <c r="J2516" s="420">
        <f>IF(ISBLANK(I2516),"",SUM(H2516:I2516))</f>
        <v>822.97674748000009</v>
      </c>
      <c r="K2516" s="421">
        <f t="shared" si="666"/>
        <v>977.78</v>
      </c>
      <c r="L2516" s="647" t="s">
        <v>21</v>
      </c>
      <c r="M2516" s="576"/>
      <c r="N2516" s="576">
        <f t="shared" ref="N2516:N2579" si="675">IF(M2516=0,0,K2516)</f>
        <v>0</v>
      </c>
      <c r="O2516" s="577">
        <f t="shared" si="669"/>
        <v>0</v>
      </c>
      <c r="P2516" s="578">
        <f t="shared" si="670"/>
        <v>0</v>
      </c>
      <c r="Q2516" s="765"/>
      <c r="R2516" s="576">
        <f>M2516</f>
        <v>0</v>
      </c>
      <c r="S2516" s="576">
        <f>N2516</f>
        <v>0</v>
      </c>
      <c r="T2516" s="577">
        <f t="shared" si="667"/>
        <v>0</v>
      </c>
      <c r="U2516" s="578">
        <f t="shared" si="668"/>
        <v>0</v>
      </c>
      <c r="V2516" s="579"/>
      <c r="W2516" s="566"/>
      <c r="X2516" s="586" t="str">
        <f t="shared" si="661"/>
        <v/>
      </c>
      <c r="Y2516" s="586" t="str">
        <f t="shared" si="672"/>
        <v/>
      </c>
      <c r="Z2516" s="586" t="str">
        <f t="shared" si="660"/>
        <v/>
      </c>
    </row>
    <row r="2517" spans="1:26" ht="12" hidden="1" thickBot="1" x14ac:dyDescent="0.25">
      <c r="A2517" s="567" t="s">
        <v>168</v>
      </c>
      <c r="B2517" s="644" t="s">
        <v>168</v>
      </c>
      <c r="C2517" s="645"/>
      <c r="D2517" s="422" t="s">
        <v>212</v>
      </c>
      <c r="E2517" s="423"/>
      <c r="F2517" s="424">
        <v>500</v>
      </c>
      <c r="G2517" s="425">
        <f>VLOOKUP(D2516,'[2]ENSAIOS DE ORÇAMENTO'!$C$3:$L$79,4,FALSE)</f>
        <v>0.11253000000000002</v>
      </c>
      <c r="H2517" s="649">
        <f>IF(F2517&lt;=30,(0.78*F2517+7.82)*G2517,((0.78*30+7.82)+0.78*(F2517-30))*G2517)</f>
        <v>44.766684600000012</v>
      </c>
      <c r="I2517" s="420"/>
      <c r="J2517" s="420"/>
      <c r="K2517" s="421">
        <f t="shared" si="666"/>
        <v>0</v>
      </c>
      <c r="L2517" s="647"/>
      <c r="M2517" s="723"/>
      <c r="N2517" s="576">
        <f t="shared" si="675"/>
        <v>0</v>
      </c>
      <c r="O2517" s="577">
        <f t="shared" si="669"/>
        <v>0</v>
      </c>
      <c r="P2517" s="578">
        <f t="shared" si="670"/>
        <v>0</v>
      </c>
      <c r="Q2517" s="765"/>
      <c r="R2517" s="723"/>
      <c r="S2517" s="723"/>
      <c r="T2517" s="577">
        <f t="shared" si="667"/>
        <v>0</v>
      </c>
      <c r="U2517" s="578">
        <f t="shared" si="668"/>
        <v>0</v>
      </c>
      <c r="V2517" s="579"/>
      <c r="W2517" s="566" t="str">
        <f>IF(U2516&gt;0,"xx",IF(P2516&gt;0,"xy",""))</f>
        <v/>
      </c>
      <c r="X2517" s="586" t="str">
        <f t="shared" si="661"/>
        <v/>
      </c>
      <c r="Y2517" s="586" t="str">
        <f t="shared" si="672"/>
        <v/>
      </c>
      <c r="Z2517" s="586" t="str">
        <f t="shared" si="660"/>
        <v/>
      </c>
    </row>
    <row r="2518" spans="1:26" ht="12" hidden="1" thickBot="1" x14ac:dyDescent="0.25">
      <c r="A2518" s="567" t="s">
        <v>168</v>
      </c>
      <c r="B2518" s="644" t="s">
        <v>168</v>
      </c>
      <c r="C2518" s="645"/>
      <c r="D2518" s="422" t="s">
        <v>248</v>
      </c>
      <c r="E2518" s="423"/>
      <c r="F2518" s="424">
        <v>180</v>
      </c>
      <c r="G2518" s="425">
        <f>VLOOKUP(D2516,'[2]ENSAIOS DE ORÇAMENTO'!$C$3:$L$79,5,FALSE)</f>
        <v>0.31406100000000003</v>
      </c>
      <c r="H2518" s="663">
        <f t="shared" ref="H2518:H2520" si="676">IF(F2518&lt;=30,(1.07*F2518+2.68)*G2518,((1.07*30+2.68)+1.07*(F2518-30))*G2518)</f>
        <v>61.32983208000001</v>
      </c>
      <c r="I2518" s="420"/>
      <c r="J2518" s="420"/>
      <c r="K2518" s="421">
        <f t="shared" si="666"/>
        <v>0</v>
      </c>
      <c r="L2518" s="647"/>
      <c r="M2518" s="723"/>
      <c r="N2518" s="576">
        <f t="shared" si="675"/>
        <v>0</v>
      </c>
      <c r="O2518" s="577">
        <f t="shared" si="669"/>
        <v>0</v>
      </c>
      <c r="P2518" s="578">
        <f t="shared" si="670"/>
        <v>0</v>
      </c>
      <c r="Q2518" s="765"/>
      <c r="R2518" s="723"/>
      <c r="S2518" s="723"/>
      <c r="T2518" s="577">
        <f t="shared" si="667"/>
        <v>0</v>
      </c>
      <c r="U2518" s="578">
        <f t="shared" si="668"/>
        <v>0</v>
      </c>
      <c r="V2518" s="579"/>
      <c r="W2518" s="566" t="str">
        <f>IF(U2516&gt;0,"xx",IF(P2516&gt;0,"xy",""))</f>
        <v/>
      </c>
      <c r="X2518" s="586" t="str">
        <f t="shared" si="661"/>
        <v/>
      </c>
      <c r="Y2518" s="586" t="str">
        <f t="shared" si="672"/>
        <v/>
      </c>
      <c r="Z2518" s="586" t="str">
        <f t="shared" si="660"/>
        <v/>
      </c>
    </row>
    <row r="2519" spans="1:26" ht="12" hidden="1" thickBot="1" x14ac:dyDescent="0.25">
      <c r="A2519" s="567" t="s">
        <v>168</v>
      </c>
      <c r="B2519" s="644" t="s">
        <v>168</v>
      </c>
      <c r="C2519" s="645"/>
      <c r="D2519" s="422" t="s">
        <v>252</v>
      </c>
      <c r="E2519" s="423"/>
      <c r="F2519" s="424">
        <v>20</v>
      </c>
      <c r="G2519" s="425">
        <f>VLOOKUP(D2516,'[2]ENSAIOS DE ORÇAMENTO'!$C$3:$L$79,6,FALSE)</f>
        <v>0.37851000000000007</v>
      </c>
      <c r="H2519" s="663">
        <f t="shared" si="676"/>
        <v>9.1145208000000029</v>
      </c>
      <c r="I2519" s="420"/>
      <c r="J2519" s="420"/>
      <c r="K2519" s="421">
        <f t="shared" si="666"/>
        <v>0</v>
      </c>
      <c r="L2519" s="647"/>
      <c r="M2519" s="723"/>
      <c r="N2519" s="576">
        <f t="shared" si="675"/>
        <v>0</v>
      </c>
      <c r="O2519" s="577">
        <f t="shared" si="669"/>
        <v>0</v>
      </c>
      <c r="P2519" s="578">
        <f t="shared" si="670"/>
        <v>0</v>
      </c>
      <c r="Q2519" s="765"/>
      <c r="R2519" s="723"/>
      <c r="S2519" s="723"/>
      <c r="T2519" s="577">
        <f t="shared" si="667"/>
        <v>0</v>
      </c>
      <c r="U2519" s="578">
        <f t="shared" si="668"/>
        <v>0</v>
      </c>
      <c r="V2519" s="579"/>
      <c r="W2519" s="566" t="str">
        <f>IF(U2516&gt;0,"xx",IF(P2516&gt;0,"xy",""))</f>
        <v/>
      </c>
      <c r="X2519" s="586" t="str">
        <f t="shared" si="661"/>
        <v/>
      </c>
      <c r="Y2519" s="586" t="str">
        <f t="shared" si="672"/>
        <v/>
      </c>
      <c r="Z2519" s="586" t="str">
        <f t="shared" si="660"/>
        <v/>
      </c>
    </row>
    <row r="2520" spans="1:26" ht="12" hidden="1" thickBot="1" x14ac:dyDescent="0.25">
      <c r="A2520" s="567" t="s">
        <v>168</v>
      </c>
      <c r="B2520" s="644" t="s">
        <v>168</v>
      </c>
      <c r="C2520" s="645"/>
      <c r="D2520" s="422" t="s">
        <v>400</v>
      </c>
      <c r="E2520" s="423"/>
      <c r="F2520" s="424">
        <v>30</v>
      </c>
      <c r="G2520" s="425">
        <f>VLOOKUP(D2516,'[2]ENSAIOS DE ORÇAMENTO'!$C$3:$L$79,3,FALSE)</f>
        <v>0</v>
      </c>
      <c r="H2520" s="663">
        <f t="shared" si="676"/>
        <v>0</v>
      </c>
      <c r="I2520" s="420"/>
      <c r="J2520" s="420"/>
      <c r="K2520" s="421">
        <f t="shared" si="666"/>
        <v>0</v>
      </c>
      <c r="L2520" s="647"/>
      <c r="M2520" s="723"/>
      <c r="N2520" s="576">
        <f t="shared" si="675"/>
        <v>0</v>
      </c>
      <c r="O2520" s="577">
        <f t="shared" si="669"/>
        <v>0</v>
      </c>
      <c r="P2520" s="578">
        <f t="shared" si="670"/>
        <v>0</v>
      </c>
      <c r="Q2520" s="765"/>
      <c r="R2520" s="723"/>
      <c r="S2520" s="723"/>
      <c r="T2520" s="577">
        <f t="shared" si="667"/>
        <v>0</v>
      </c>
      <c r="U2520" s="578">
        <f t="shared" si="668"/>
        <v>0</v>
      </c>
      <c r="V2520" s="579"/>
      <c r="W2520" s="566" t="str">
        <f>IF(U2516&gt;0,"xx",IF(P2516&gt;0,"xy",""))</f>
        <v/>
      </c>
      <c r="X2520" s="586" t="str">
        <f t="shared" si="661"/>
        <v/>
      </c>
      <c r="Y2520" s="586" t="str">
        <f t="shared" si="672"/>
        <v/>
      </c>
      <c r="Z2520" s="586" t="str">
        <f t="shared" si="660"/>
        <v/>
      </c>
    </row>
    <row r="2521" spans="1:26" ht="12" hidden="1" thickBot="1" x14ac:dyDescent="0.25">
      <c r="A2521" s="567" t="s">
        <v>168</v>
      </c>
      <c r="B2521" s="644" t="s">
        <v>168</v>
      </c>
      <c r="C2521" s="645"/>
      <c r="D2521" s="422" t="s">
        <v>401</v>
      </c>
      <c r="E2521" s="423"/>
      <c r="F2521" s="424">
        <v>500</v>
      </c>
      <c r="G2521" s="425">
        <f>VLOOKUP(D2516,'[2]ENSAIOS DE ORÇAMENTO'!$C$3:$L$79,10,FALSE)</f>
        <v>0</v>
      </c>
      <c r="H2521" s="649">
        <f>IF(F2521&lt;=30,(0.78*F2521+7.82)*G2521,((0.78*30+7.82)+0.78*(F2521-30))*G2521)</f>
        <v>0</v>
      </c>
      <c r="I2521" s="420"/>
      <c r="J2521" s="420"/>
      <c r="K2521" s="421">
        <f t="shared" si="666"/>
        <v>0</v>
      </c>
      <c r="L2521" s="647"/>
      <c r="M2521" s="723"/>
      <c r="N2521" s="576">
        <f t="shared" si="675"/>
        <v>0</v>
      </c>
      <c r="O2521" s="577">
        <f t="shared" si="669"/>
        <v>0</v>
      </c>
      <c r="P2521" s="578">
        <f t="shared" si="670"/>
        <v>0</v>
      </c>
      <c r="Q2521" s="765"/>
      <c r="R2521" s="723"/>
      <c r="S2521" s="723"/>
      <c r="T2521" s="577">
        <f t="shared" si="667"/>
        <v>0</v>
      </c>
      <c r="U2521" s="578">
        <f t="shared" si="668"/>
        <v>0</v>
      </c>
      <c r="V2521" s="579"/>
      <c r="W2521" s="566" t="str">
        <f>IF(U2516&gt;0,"xx",IF(P2516&gt;0,"xy",""))</f>
        <v/>
      </c>
      <c r="X2521" s="586" t="str">
        <f t="shared" si="661"/>
        <v/>
      </c>
      <c r="Y2521" s="586" t="str">
        <f t="shared" si="672"/>
        <v/>
      </c>
      <c r="Z2521" s="586" t="str">
        <f t="shared" si="660"/>
        <v/>
      </c>
    </row>
    <row r="2522" spans="1:26" ht="12" hidden="1" thickBot="1" x14ac:dyDescent="0.25">
      <c r="A2522" s="567" t="s">
        <v>51</v>
      </c>
      <c r="B2522" s="644" t="s">
        <v>51</v>
      </c>
      <c r="C2522" s="645" t="s">
        <v>206</v>
      </c>
      <c r="D2522" s="422" t="s">
        <v>423</v>
      </c>
      <c r="E2522" s="423"/>
      <c r="F2522" s="424"/>
      <c r="G2522" s="425"/>
      <c r="H2522" s="651">
        <f>SUM(H2523:H2527)</f>
        <v>125.34690588000004</v>
      </c>
      <c r="I2522" s="420">
        <f>VLOOKUP(D2522,'[2]ENSAIOS DE ORÇAMENTO'!$C$3:$L$79,8,FALSE)</f>
        <v>802.57491000000005</v>
      </c>
      <c r="J2522" s="420">
        <f>IF(ISBLANK(I2522),"",SUM(H2522:I2522))</f>
        <v>927.92181588000005</v>
      </c>
      <c r="K2522" s="421">
        <f t="shared" si="666"/>
        <v>1102.46</v>
      </c>
      <c r="L2522" s="647" t="s">
        <v>21</v>
      </c>
      <c r="M2522" s="576"/>
      <c r="N2522" s="576">
        <f t="shared" si="675"/>
        <v>0</v>
      </c>
      <c r="O2522" s="577">
        <f t="shared" si="669"/>
        <v>0</v>
      </c>
      <c r="P2522" s="578">
        <f t="shared" si="670"/>
        <v>0</v>
      </c>
      <c r="Q2522" s="765"/>
      <c r="R2522" s="576">
        <f>M2522</f>
        <v>0</v>
      </c>
      <c r="S2522" s="576">
        <f>N2522</f>
        <v>0</v>
      </c>
      <c r="T2522" s="577">
        <f t="shared" si="667"/>
        <v>0</v>
      </c>
      <c r="U2522" s="578">
        <f t="shared" si="668"/>
        <v>0</v>
      </c>
      <c r="V2522" s="579"/>
      <c r="W2522" s="566"/>
      <c r="X2522" s="586" t="str">
        <f t="shared" si="661"/>
        <v/>
      </c>
      <c r="Y2522" s="586" t="str">
        <f t="shared" si="672"/>
        <v/>
      </c>
      <c r="Z2522" s="586" t="str">
        <f t="shared" si="660"/>
        <v/>
      </c>
    </row>
    <row r="2523" spans="1:26" ht="12" hidden="1" thickBot="1" x14ac:dyDescent="0.25">
      <c r="A2523" s="567" t="s">
        <v>168</v>
      </c>
      <c r="B2523" s="644" t="s">
        <v>168</v>
      </c>
      <c r="C2523" s="645"/>
      <c r="D2523" s="422" t="s">
        <v>212</v>
      </c>
      <c r="E2523" s="423"/>
      <c r="F2523" s="424">
        <v>500</v>
      </c>
      <c r="G2523" s="425">
        <f>VLOOKUP(D2522,'[2]ENSAIOS DE ORÇAMENTO'!$C$3:$L$79,4,FALSE)</f>
        <v>0.12243000000000002</v>
      </c>
      <c r="H2523" s="649">
        <f>IF(F2523&lt;=30,(0.78*F2523+7.82)*G2523,((0.78*30+7.82)+0.78*(F2523-30))*G2523)</f>
        <v>48.705102600000018</v>
      </c>
      <c r="I2523" s="420"/>
      <c r="J2523" s="420"/>
      <c r="K2523" s="421">
        <f t="shared" si="666"/>
        <v>0</v>
      </c>
      <c r="L2523" s="647"/>
      <c r="M2523" s="723"/>
      <c r="N2523" s="576">
        <f t="shared" si="675"/>
        <v>0</v>
      </c>
      <c r="O2523" s="577">
        <f>IF(ISBLANK(M2523),0,ROUND(K2523*M2523,2))</f>
        <v>0</v>
      </c>
      <c r="P2523" s="578">
        <f t="shared" si="670"/>
        <v>0</v>
      </c>
      <c r="Q2523" s="765"/>
      <c r="R2523" s="723"/>
      <c r="S2523" s="723"/>
      <c r="T2523" s="577">
        <f t="shared" si="667"/>
        <v>0</v>
      </c>
      <c r="U2523" s="578">
        <f t="shared" si="668"/>
        <v>0</v>
      </c>
      <c r="V2523" s="579"/>
      <c r="W2523" s="566" t="str">
        <f>IF(U2522&gt;0,"xx",IF(P2522&gt;0,"xy",""))</f>
        <v/>
      </c>
      <c r="X2523" s="586" t="str">
        <f t="shared" si="661"/>
        <v/>
      </c>
      <c r="Y2523" s="586" t="str">
        <f t="shared" si="672"/>
        <v/>
      </c>
      <c r="Z2523" s="586" t="str">
        <f t="shared" si="660"/>
        <v/>
      </c>
    </row>
    <row r="2524" spans="1:26" ht="12" hidden="1" thickBot="1" x14ac:dyDescent="0.25">
      <c r="A2524" s="567" t="s">
        <v>168</v>
      </c>
      <c r="B2524" s="644" t="s">
        <v>168</v>
      </c>
      <c r="C2524" s="645"/>
      <c r="D2524" s="422" t="s">
        <v>248</v>
      </c>
      <c r="E2524" s="423"/>
      <c r="F2524" s="424">
        <v>180</v>
      </c>
      <c r="G2524" s="425">
        <f>VLOOKUP(D2522,'[2]ENSAIOS DE ORÇAMENTO'!$C$3:$L$79,5,FALSE)</f>
        <v>0.34169100000000008</v>
      </c>
      <c r="H2524" s="663">
        <f t="shared" ref="H2524:H2526" si="677">IF(F2524&lt;=30,(1.07*F2524+2.68)*G2524,((1.07*30+2.68)+1.07*(F2524-30))*G2524)</f>
        <v>66.725418480000016</v>
      </c>
      <c r="I2524" s="420"/>
      <c r="J2524" s="420"/>
      <c r="K2524" s="421">
        <f t="shared" si="666"/>
        <v>0</v>
      </c>
      <c r="L2524" s="647"/>
      <c r="M2524" s="723"/>
      <c r="N2524" s="576">
        <f t="shared" si="675"/>
        <v>0</v>
      </c>
      <c r="O2524" s="577">
        <f t="shared" si="669"/>
        <v>0</v>
      </c>
      <c r="P2524" s="578">
        <f t="shared" si="670"/>
        <v>0</v>
      </c>
      <c r="Q2524" s="765"/>
      <c r="R2524" s="723"/>
      <c r="S2524" s="723"/>
      <c r="T2524" s="577">
        <f t="shared" si="667"/>
        <v>0</v>
      </c>
      <c r="U2524" s="578">
        <f t="shared" si="668"/>
        <v>0</v>
      </c>
      <c r="V2524" s="579"/>
      <c r="W2524" s="566" t="str">
        <f>IF(U2522&gt;0,"xx",IF(P2522&gt;0,"xy",""))</f>
        <v/>
      </c>
      <c r="X2524" s="586" t="str">
        <f t="shared" si="661"/>
        <v/>
      </c>
      <c r="Y2524" s="586" t="str">
        <f t="shared" si="672"/>
        <v/>
      </c>
      <c r="Z2524" s="586" t="str">
        <f t="shared" si="660"/>
        <v/>
      </c>
    </row>
    <row r="2525" spans="1:26" ht="12" hidden="1" thickBot="1" x14ac:dyDescent="0.25">
      <c r="A2525" s="567" t="s">
        <v>168</v>
      </c>
      <c r="B2525" s="644" t="s">
        <v>168</v>
      </c>
      <c r="C2525" s="645"/>
      <c r="D2525" s="422" t="s">
        <v>252</v>
      </c>
      <c r="E2525" s="423"/>
      <c r="F2525" s="424">
        <v>20</v>
      </c>
      <c r="G2525" s="425">
        <f>VLOOKUP(D2522,'[2]ENSAIOS DE ORÇAMENTO'!$C$3:$L$79,6,FALSE)</f>
        <v>0.41181000000000012</v>
      </c>
      <c r="H2525" s="663">
        <f t="shared" si="677"/>
        <v>9.916384800000003</v>
      </c>
      <c r="I2525" s="420"/>
      <c r="J2525" s="420"/>
      <c r="K2525" s="421">
        <f t="shared" si="666"/>
        <v>0</v>
      </c>
      <c r="L2525" s="647"/>
      <c r="M2525" s="723"/>
      <c r="N2525" s="576">
        <f t="shared" si="675"/>
        <v>0</v>
      </c>
      <c r="O2525" s="577">
        <f t="shared" si="669"/>
        <v>0</v>
      </c>
      <c r="P2525" s="578">
        <f t="shared" si="670"/>
        <v>0</v>
      </c>
      <c r="Q2525" s="765"/>
      <c r="R2525" s="723"/>
      <c r="S2525" s="723"/>
      <c r="T2525" s="577">
        <f t="shared" si="667"/>
        <v>0</v>
      </c>
      <c r="U2525" s="578">
        <f t="shared" si="668"/>
        <v>0</v>
      </c>
      <c r="V2525" s="579"/>
      <c r="W2525" s="566" t="str">
        <f>IF(U2522&gt;0,"xx",IF(P2522&gt;0,"xy",""))</f>
        <v/>
      </c>
      <c r="X2525" s="586" t="str">
        <f t="shared" si="661"/>
        <v/>
      </c>
      <c r="Y2525" s="586" t="str">
        <f t="shared" si="672"/>
        <v/>
      </c>
      <c r="Z2525" s="586" t="str">
        <f t="shared" si="660"/>
        <v/>
      </c>
    </row>
    <row r="2526" spans="1:26" ht="12" hidden="1" thickBot="1" x14ac:dyDescent="0.25">
      <c r="A2526" s="567" t="s">
        <v>168</v>
      </c>
      <c r="B2526" s="644" t="s">
        <v>168</v>
      </c>
      <c r="C2526" s="645"/>
      <c r="D2526" s="422" t="s">
        <v>400</v>
      </c>
      <c r="E2526" s="423"/>
      <c r="F2526" s="424">
        <v>30</v>
      </c>
      <c r="G2526" s="425">
        <f>VLOOKUP(D2522,'[2]ENSAIOS DE ORÇAMENTO'!$C$3:$L$79,3,FALSE)</f>
        <v>0</v>
      </c>
      <c r="H2526" s="663">
        <f t="shared" si="677"/>
        <v>0</v>
      </c>
      <c r="I2526" s="420"/>
      <c r="J2526" s="420"/>
      <c r="K2526" s="421">
        <f t="shared" si="666"/>
        <v>0</v>
      </c>
      <c r="L2526" s="647"/>
      <c r="M2526" s="723"/>
      <c r="N2526" s="576">
        <f t="shared" si="675"/>
        <v>0</v>
      </c>
      <c r="O2526" s="577">
        <f t="shared" si="669"/>
        <v>0</v>
      </c>
      <c r="P2526" s="578">
        <f t="shared" si="670"/>
        <v>0</v>
      </c>
      <c r="Q2526" s="765"/>
      <c r="R2526" s="723"/>
      <c r="S2526" s="723"/>
      <c r="T2526" s="577">
        <f t="shared" si="667"/>
        <v>0</v>
      </c>
      <c r="U2526" s="578">
        <f t="shared" si="668"/>
        <v>0</v>
      </c>
      <c r="V2526" s="579"/>
      <c r="W2526" s="566" t="str">
        <f>IF(U2522&gt;0,"xx",IF(P2522&gt;0,"xy",""))</f>
        <v/>
      </c>
      <c r="X2526" s="586" t="str">
        <f t="shared" si="661"/>
        <v/>
      </c>
      <c r="Y2526" s="586" t="str">
        <f t="shared" si="672"/>
        <v/>
      </c>
      <c r="Z2526" s="586" t="str">
        <f t="shared" si="660"/>
        <v/>
      </c>
    </row>
    <row r="2527" spans="1:26" ht="12" hidden="1" thickBot="1" x14ac:dyDescent="0.25">
      <c r="A2527" s="567" t="s">
        <v>168</v>
      </c>
      <c r="B2527" s="644" t="s">
        <v>168</v>
      </c>
      <c r="C2527" s="645"/>
      <c r="D2527" s="422" t="s">
        <v>401</v>
      </c>
      <c r="E2527" s="423"/>
      <c r="F2527" s="424">
        <v>500</v>
      </c>
      <c r="G2527" s="425">
        <f>VLOOKUP(D2522,'[2]ENSAIOS DE ORÇAMENTO'!$C$3:$L$79,10,FALSE)</f>
        <v>0</v>
      </c>
      <c r="H2527" s="649">
        <f>IF(F2527&lt;=30,(0.78*F2527+7.82)*G2527,((0.78*30+7.82)+0.78*(F2527-30))*G2527)</f>
        <v>0</v>
      </c>
      <c r="I2527" s="420"/>
      <c r="J2527" s="420"/>
      <c r="K2527" s="421">
        <f t="shared" si="666"/>
        <v>0</v>
      </c>
      <c r="L2527" s="647"/>
      <c r="M2527" s="723"/>
      <c r="N2527" s="576">
        <f t="shared" si="675"/>
        <v>0</v>
      </c>
      <c r="O2527" s="577">
        <f t="shared" si="669"/>
        <v>0</v>
      </c>
      <c r="P2527" s="578">
        <f t="shared" si="670"/>
        <v>0</v>
      </c>
      <c r="Q2527" s="765"/>
      <c r="R2527" s="723"/>
      <c r="S2527" s="723"/>
      <c r="T2527" s="577">
        <f t="shared" si="667"/>
        <v>0</v>
      </c>
      <c r="U2527" s="578">
        <f t="shared" si="668"/>
        <v>0</v>
      </c>
      <c r="V2527" s="579"/>
      <c r="W2527" s="566" t="str">
        <f>IF(U2522&gt;0,"xx",IF(P2522&gt;0,"xy",""))</f>
        <v/>
      </c>
      <c r="X2527" s="586" t="str">
        <f t="shared" si="661"/>
        <v/>
      </c>
      <c r="Y2527" s="586" t="str">
        <f t="shared" si="672"/>
        <v/>
      </c>
      <c r="Z2527" s="586" t="str">
        <f t="shared" si="660"/>
        <v/>
      </c>
    </row>
    <row r="2528" spans="1:26" ht="12" hidden="1" thickBot="1" x14ac:dyDescent="0.25">
      <c r="A2528" s="567" t="s">
        <v>52</v>
      </c>
      <c r="B2528" s="644" t="s">
        <v>52</v>
      </c>
      <c r="C2528" s="645" t="s">
        <v>206</v>
      </c>
      <c r="D2528" s="422" t="s">
        <v>424</v>
      </c>
      <c r="E2528" s="423"/>
      <c r="F2528" s="424"/>
      <c r="G2528" s="425"/>
      <c r="H2528" s="651">
        <f>SUM(H2529:H2533)</f>
        <v>135.48277428</v>
      </c>
      <c r="I2528" s="420">
        <f>VLOOKUP(D2528,'[2]ENSAIOS DE ORÇAMENTO'!$C$3:$L$79,8,FALSE)</f>
        <v>915.5098099999999</v>
      </c>
      <c r="J2528" s="420">
        <f>IF(ISBLANK(I2528),"",SUM(H2528:I2528))</f>
        <v>1050.9925842799998</v>
      </c>
      <c r="K2528" s="421">
        <f t="shared" si="666"/>
        <v>1248.68</v>
      </c>
      <c r="L2528" s="647" t="s">
        <v>21</v>
      </c>
      <c r="M2528" s="576"/>
      <c r="N2528" s="576">
        <f t="shared" si="675"/>
        <v>0</v>
      </c>
      <c r="O2528" s="577">
        <f t="shared" si="669"/>
        <v>0</v>
      </c>
      <c r="P2528" s="578">
        <f t="shared" si="670"/>
        <v>0</v>
      </c>
      <c r="Q2528" s="765"/>
      <c r="R2528" s="576">
        <f>M2528</f>
        <v>0</v>
      </c>
      <c r="S2528" s="576">
        <f>N2528</f>
        <v>0</v>
      </c>
      <c r="T2528" s="577">
        <f t="shared" si="667"/>
        <v>0</v>
      </c>
      <c r="U2528" s="578">
        <f t="shared" si="668"/>
        <v>0</v>
      </c>
      <c r="V2528" s="579"/>
      <c r="W2528" s="566"/>
      <c r="X2528" s="586" t="str">
        <f t="shared" si="661"/>
        <v/>
      </c>
      <c r="Y2528" s="586" t="str">
        <f t="shared" si="672"/>
        <v/>
      </c>
      <c r="Z2528" s="586" t="str">
        <f t="shared" si="660"/>
        <v/>
      </c>
    </row>
    <row r="2529" spans="1:26" ht="12" hidden="1" thickBot="1" x14ac:dyDescent="0.25">
      <c r="A2529" s="567" t="s">
        <v>168</v>
      </c>
      <c r="B2529" s="644" t="s">
        <v>168</v>
      </c>
      <c r="C2529" s="645"/>
      <c r="D2529" s="422" t="s">
        <v>212</v>
      </c>
      <c r="E2529" s="423"/>
      <c r="F2529" s="424">
        <v>500</v>
      </c>
      <c r="G2529" s="425">
        <f>VLOOKUP(D2528,'[2]ENSAIOS DE ORÇAMENTO'!$C$3:$L$79,4,FALSE)</f>
        <v>0.13233</v>
      </c>
      <c r="H2529" s="649">
        <f>IF(F2529&lt;=30,(0.78*F2529+7.82)*G2529,((0.78*30+7.82)+0.78*(F2529-30))*G2529)</f>
        <v>52.643520600000009</v>
      </c>
      <c r="I2529" s="420"/>
      <c r="J2529" s="420"/>
      <c r="K2529" s="421">
        <f t="shared" si="666"/>
        <v>0</v>
      </c>
      <c r="L2529" s="647"/>
      <c r="M2529" s="723"/>
      <c r="N2529" s="576">
        <f t="shared" si="675"/>
        <v>0</v>
      </c>
      <c r="O2529" s="577">
        <f t="shared" si="669"/>
        <v>0</v>
      </c>
      <c r="P2529" s="578">
        <f t="shared" si="670"/>
        <v>0</v>
      </c>
      <c r="Q2529" s="765"/>
      <c r="R2529" s="723"/>
      <c r="S2529" s="723"/>
      <c r="T2529" s="577">
        <f t="shared" si="667"/>
        <v>0</v>
      </c>
      <c r="U2529" s="578">
        <f t="shared" si="668"/>
        <v>0</v>
      </c>
      <c r="V2529" s="579"/>
      <c r="W2529" s="566" t="str">
        <f>IF(U2528&gt;0,"xx",IF(P2528&gt;0,"xy",""))</f>
        <v/>
      </c>
      <c r="X2529" s="586" t="str">
        <f t="shared" si="661"/>
        <v/>
      </c>
      <c r="Y2529" s="586" t="str">
        <f t="shared" si="672"/>
        <v/>
      </c>
      <c r="Z2529" s="586" t="str">
        <f t="shared" si="660"/>
        <v/>
      </c>
    </row>
    <row r="2530" spans="1:26" ht="12" hidden="1" thickBot="1" x14ac:dyDescent="0.25">
      <c r="A2530" s="567" t="s">
        <v>168</v>
      </c>
      <c r="B2530" s="644" t="s">
        <v>168</v>
      </c>
      <c r="C2530" s="645"/>
      <c r="D2530" s="422" t="s">
        <v>248</v>
      </c>
      <c r="E2530" s="423"/>
      <c r="F2530" s="424">
        <v>180</v>
      </c>
      <c r="G2530" s="425">
        <f>VLOOKUP(D2528,'[2]ENSAIOS DE ORÇAMENTO'!$C$3:$L$79,5,FALSE)</f>
        <v>0.36932100000000001</v>
      </c>
      <c r="H2530" s="663">
        <f t="shared" ref="H2530:H2532" si="678">IF(F2530&lt;=30,(1.07*F2530+2.68)*G2530,((1.07*30+2.68)+1.07*(F2530-30))*G2530)</f>
        <v>72.121004880000001</v>
      </c>
      <c r="I2530" s="420"/>
      <c r="J2530" s="420"/>
      <c r="K2530" s="421">
        <f t="shared" si="666"/>
        <v>0</v>
      </c>
      <c r="L2530" s="647"/>
      <c r="M2530" s="723"/>
      <c r="N2530" s="576">
        <f t="shared" si="675"/>
        <v>0</v>
      </c>
      <c r="O2530" s="577">
        <f t="shared" si="669"/>
        <v>0</v>
      </c>
      <c r="P2530" s="578">
        <f t="shared" si="670"/>
        <v>0</v>
      </c>
      <c r="Q2530" s="765"/>
      <c r="R2530" s="723"/>
      <c r="S2530" s="723"/>
      <c r="T2530" s="577">
        <f t="shared" si="667"/>
        <v>0</v>
      </c>
      <c r="U2530" s="578">
        <f t="shared" si="668"/>
        <v>0</v>
      </c>
      <c r="V2530" s="579"/>
      <c r="W2530" s="566" t="str">
        <f>IF(U2528&gt;0,"xx",IF(P2528&gt;0,"xy",""))</f>
        <v/>
      </c>
      <c r="X2530" s="586" t="str">
        <f t="shared" si="661"/>
        <v/>
      </c>
      <c r="Y2530" s="586" t="str">
        <f t="shared" si="672"/>
        <v/>
      </c>
      <c r="Z2530" s="586" t="str">
        <f t="shared" si="660"/>
        <v/>
      </c>
    </row>
    <row r="2531" spans="1:26" ht="12" hidden="1" thickBot="1" x14ac:dyDescent="0.25">
      <c r="A2531" s="567" t="s">
        <v>168</v>
      </c>
      <c r="B2531" s="644" t="s">
        <v>168</v>
      </c>
      <c r="C2531" s="645"/>
      <c r="D2531" s="422" t="s">
        <v>252</v>
      </c>
      <c r="E2531" s="423"/>
      <c r="F2531" s="424">
        <v>20</v>
      </c>
      <c r="G2531" s="425">
        <f>VLOOKUP(D2528,'[2]ENSAIOS DE ORÇAMENTO'!$C$3:$L$79,6,FALSE)</f>
        <v>0.44511000000000006</v>
      </c>
      <c r="H2531" s="663">
        <f t="shared" si="678"/>
        <v>10.718248800000003</v>
      </c>
      <c r="I2531" s="420"/>
      <c r="J2531" s="420"/>
      <c r="K2531" s="421">
        <f t="shared" si="666"/>
        <v>0</v>
      </c>
      <c r="L2531" s="647"/>
      <c r="M2531" s="723"/>
      <c r="N2531" s="576">
        <f t="shared" si="675"/>
        <v>0</v>
      </c>
      <c r="O2531" s="577">
        <f t="shared" si="669"/>
        <v>0</v>
      </c>
      <c r="P2531" s="578">
        <f t="shared" si="670"/>
        <v>0</v>
      </c>
      <c r="Q2531" s="765"/>
      <c r="R2531" s="723"/>
      <c r="S2531" s="723"/>
      <c r="T2531" s="577">
        <f t="shared" si="667"/>
        <v>0</v>
      </c>
      <c r="U2531" s="578">
        <f t="shared" si="668"/>
        <v>0</v>
      </c>
      <c r="V2531" s="579"/>
      <c r="W2531" s="566" t="str">
        <f>IF(U2528&gt;0,"xx",IF(P2528&gt;0,"xy",""))</f>
        <v/>
      </c>
      <c r="X2531" s="586" t="str">
        <f t="shared" si="661"/>
        <v/>
      </c>
      <c r="Y2531" s="586" t="str">
        <f t="shared" si="672"/>
        <v/>
      </c>
      <c r="Z2531" s="586" t="str">
        <f t="shared" si="660"/>
        <v/>
      </c>
    </row>
    <row r="2532" spans="1:26" ht="12" hidden="1" thickBot="1" x14ac:dyDescent="0.25">
      <c r="A2532" s="567" t="s">
        <v>168</v>
      </c>
      <c r="B2532" s="644" t="s">
        <v>168</v>
      </c>
      <c r="C2532" s="645"/>
      <c r="D2532" s="422" t="s">
        <v>400</v>
      </c>
      <c r="E2532" s="423"/>
      <c r="F2532" s="424">
        <v>30</v>
      </c>
      <c r="G2532" s="425">
        <f>VLOOKUP(D2528,'[2]ENSAIOS DE ORÇAMENTO'!$C$3:$L$79,3,FALSE)</f>
        <v>0</v>
      </c>
      <c r="H2532" s="663">
        <f t="shared" si="678"/>
        <v>0</v>
      </c>
      <c r="I2532" s="420"/>
      <c r="J2532" s="420"/>
      <c r="K2532" s="421">
        <f t="shared" si="666"/>
        <v>0</v>
      </c>
      <c r="L2532" s="647"/>
      <c r="M2532" s="723"/>
      <c r="N2532" s="576">
        <f t="shared" si="675"/>
        <v>0</v>
      </c>
      <c r="O2532" s="577">
        <f t="shared" si="669"/>
        <v>0</v>
      </c>
      <c r="P2532" s="578">
        <f t="shared" si="670"/>
        <v>0</v>
      </c>
      <c r="Q2532" s="765"/>
      <c r="R2532" s="723"/>
      <c r="S2532" s="723"/>
      <c r="T2532" s="577">
        <f t="shared" si="667"/>
        <v>0</v>
      </c>
      <c r="U2532" s="578">
        <f t="shared" si="668"/>
        <v>0</v>
      </c>
      <c r="V2532" s="579"/>
      <c r="W2532" s="566" t="str">
        <f>IF(U2528&gt;0,"xx",IF(P2528&gt;0,"xy",""))</f>
        <v/>
      </c>
      <c r="X2532" s="586" t="str">
        <f t="shared" si="661"/>
        <v/>
      </c>
      <c r="Y2532" s="586" t="str">
        <f t="shared" si="672"/>
        <v/>
      </c>
      <c r="Z2532" s="586" t="str">
        <f t="shared" si="660"/>
        <v/>
      </c>
    </row>
    <row r="2533" spans="1:26" ht="12" hidden="1" thickBot="1" x14ac:dyDescent="0.25">
      <c r="A2533" s="567" t="s">
        <v>168</v>
      </c>
      <c r="B2533" s="644" t="s">
        <v>168</v>
      </c>
      <c r="C2533" s="645"/>
      <c r="D2533" s="422" t="s">
        <v>401</v>
      </c>
      <c r="E2533" s="423"/>
      <c r="F2533" s="424">
        <v>500</v>
      </c>
      <c r="G2533" s="425">
        <f>VLOOKUP(D2528,'[2]ENSAIOS DE ORÇAMENTO'!$C$3:$L$79,10,FALSE)</f>
        <v>0</v>
      </c>
      <c r="H2533" s="649">
        <f>IF(F2533&lt;=30,(0.78*F2533+7.82)*G2533,((0.78*30+7.82)+0.78*(F2533-30))*G2533)</f>
        <v>0</v>
      </c>
      <c r="I2533" s="420"/>
      <c r="J2533" s="420"/>
      <c r="K2533" s="421">
        <f t="shared" si="666"/>
        <v>0</v>
      </c>
      <c r="L2533" s="647"/>
      <c r="M2533" s="723"/>
      <c r="N2533" s="576">
        <f t="shared" si="675"/>
        <v>0</v>
      </c>
      <c r="O2533" s="577">
        <f t="shared" si="669"/>
        <v>0</v>
      </c>
      <c r="P2533" s="578">
        <f t="shared" si="670"/>
        <v>0</v>
      </c>
      <c r="Q2533" s="765"/>
      <c r="R2533" s="723"/>
      <c r="S2533" s="723"/>
      <c r="T2533" s="577">
        <f t="shared" si="667"/>
        <v>0</v>
      </c>
      <c r="U2533" s="578">
        <f t="shared" si="668"/>
        <v>0</v>
      </c>
      <c r="V2533" s="579"/>
      <c r="W2533" s="566" t="str">
        <f>IF(U2528&gt;0,"xx",IF(P2528&gt;0,"xy",""))</f>
        <v/>
      </c>
      <c r="X2533" s="586" t="str">
        <f t="shared" si="661"/>
        <v/>
      </c>
      <c r="Y2533" s="586" t="str">
        <f t="shared" si="672"/>
        <v/>
      </c>
      <c r="Z2533" s="586" t="str">
        <f t="shared" si="660"/>
        <v/>
      </c>
    </row>
    <row r="2534" spans="1:26" ht="12" hidden="1" thickBot="1" x14ac:dyDescent="0.25">
      <c r="A2534" s="567" t="s">
        <v>53</v>
      </c>
      <c r="B2534" s="644" t="s">
        <v>53</v>
      </c>
      <c r="C2534" s="645" t="s">
        <v>206</v>
      </c>
      <c r="D2534" s="422" t="s">
        <v>425</v>
      </c>
      <c r="E2534" s="423"/>
      <c r="F2534" s="424"/>
      <c r="G2534" s="425"/>
      <c r="H2534" s="651">
        <f>SUM(H2535:H2539)</f>
        <v>526.38599499999998</v>
      </c>
      <c r="I2534" s="420">
        <f>VLOOKUP(D2534,'[2]ENSAIOS DE ORÇAMENTO'!$C$3:$L$79,8,FALSE)</f>
        <v>911.90959999999995</v>
      </c>
      <c r="J2534" s="420">
        <f>IF(ISBLANK(I2534),"",SUM(H2534:I2534))</f>
        <v>1438.295595</v>
      </c>
      <c r="K2534" s="421">
        <f t="shared" si="666"/>
        <v>1708.84</v>
      </c>
      <c r="L2534" s="647" t="s">
        <v>21</v>
      </c>
      <c r="M2534" s="576"/>
      <c r="N2534" s="576">
        <f t="shared" si="675"/>
        <v>0</v>
      </c>
      <c r="O2534" s="577">
        <f t="shared" si="669"/>
        <v>0</v>
      </c>
      <c r="P2534" s="578">
        <f t="shared" si="670"/>
        <v>0</v>
      </c>
      <c r="Q2534" s="765"/>
      <c r="R2534" s="576">
        <f>M2534</f>
        <v>0</v>
      </c>
      <c r="S2534" s="576">
        <f>N2534</f>
        <v>0</v>
      </c>
      <c r="T2534" s="577">
        <f t="shared" si="667"/>
        <v>0</v>
      </c>
      <c r="U2534" s="578">
        <f t="shared" si="668"/>
        <v>0</v>
      </c>
      <c r="V2534" s="579"/>
      <c r="W2534" s="566"/>
      <c r="X2534" s="586" t="str">
        <f t="shared" si="661"/>
        <v/>
      </c>
      <c r="Y2534" s="586" t="str">
        <f t="shared" si="672"/>
        <v/>
      </c>
      <c r="Z2534" s="586" t="str">
        <f t="shared" si="660"/>
        <v/>
      </c>
    </row>
    <row r="2535" spans="1:26" ht="12" hidden="1" thickBot="1" x14ac:dyDescent="0.25">
      <c r="A2535" s="567" t="s">
        <v>168</v>
      </c>
      <c r="B2535" s="644" t="s">
        <v>168</v>
      </c>
      <c r="C2535" s="645"/>
      <c r="D2535" s="422" t="s">
        <v>212</v>
      </c>
      <c r="E2535" s="423"/>
      <c r="F2535" s="424">
        <v>500</v>
      </c>
      <c r="G2535" s="425">
        <f>VLOOKUP(D2534,'[2]ENSAIOS DE ORÇAMENTO'!$C$3:$L$79,4,FALSE)</f>
        <v>0.38417000000000001</v>
      </c>
      <c r="H2535" s="649">
        <f>IF(F2535&lt;=30,(0.78*F2535+7.82)*G2535,((0.78*30+7.82)+0.78*(F2535-30))*G2535)</f>
        <v>152.83050940000001</v>
      </c>
      <c r="I2535" s="420"/>
      <c r="J2535" s="420"/>
      <c r="K2535" s="421">
        <f t="shared" si="666"/>
        <v>0</v>
      </c>
      <c r="L2535" s="647"/>
      <c r="M2535" s="723"/>
      <c r="N2535" s="576">
        <f t="shared" si="675"/>
        <v>0</v>
      </c>
      <c r="O2535" s="577">
        <f t="shared" si="669"/>
        <v>0</v>
      </c>
      <c r="P2535" s="578">
        <f t="shared" si="670"/>
        <v>0</v>
      </c>
      <c r="Q2535" s="765"/>
      <c r="R2535" s="723"/>
      <c r="S2535" s="723"/>
      <c r="T2535" s="577">
        <f t="shared" si="667"/>
        <v>0</v>
      </c>
      <c r="U2535" s="578">
        <f t="shared" si="668"/>
        <v>0</v>
      </c>
      <c r="V2535" s="579"/>
      <c r="W2535" s="566" t="str">
        <f>IF(U2534&gt;0,"xx",IF(P2534&gt;0,"xy",""))</f>
        <v/>
      </c>
      <c r="X2535" s="586" t="str">
        <f t="shared" si="661"/>
        <v/>
      </c>
      <c r="Y2535" s="586" t="str">
        <f t="shared" si="672"/>
        <v/>
      </c>
      <c r="Z2535" s="586" t="str">
        <f t="shared" si="660"/>
        <v/>
      </c>
    </row>
    <row r="2536" spans="1:26" ht="12" hidden="1" thickBot="1" x14ac:dyDescent="0.25">
      <c r="A2536" s="567" t="s">
        <v>168</v>
      </c>
      <c r="B2536" s="644" t="s">
        <v>168</v>
      </c>
      <c r="C2536" s="645"/>
      <c r="D2536" s="422" t="s">
        <v>248</v>
      </c>
      <c r="E2536" s="423"/>
      <c r="F2536" s="424">
        <v>180</v>
      </c>
      <c r="G2536" s="425">
        <f>VLOOKUP(D2534,'[2]ENSAIOS DE ORÇAMENTO'!$C$3:$L$79,5,FALSE)</f>
        <v>1.55436</v>
      </c>
      <c r="H2536" s="663">
        <f t="shared" ref="H2536:H2538" si="679">IF(F2536&lt;=30,(1.07*F2536+2.68)*G2536,((1.07*30+2.68)+1.07*(F2536-30))*G2536)</f>
        <v>303.5354208</v>
      </c>
      <c r="I2536" s="420"/>
      <c r="J2536" s="420"/>
      <c r="K2536" s="421">
        <f t="shared" si="666"/>
        <v>0</v>
      </c>
      <c r="L2536" s="647"/>
      <c r="M2536" s="723"/>
      <c r="N2536" s="576">
        <f t="shared" si="675"/>
        <v>0</v>
      </c>
      <c r="O2536" s="577">
        <f t="shared" si="669"/>
        <v>0</v>
      </c>
      <c r="P2536" s="578">
        <f t="shared" si="670"/>
        <v>0</v>
      </c>
      <c r="Q2536" s="765"/>
      <c r="R2536" s="723"/>
      <c r="S2536" s="723"/>
      <c r="T2536" s="577">
        <f t="shared" si="667"/>
        <v>0</v>
      </c>
      <c r="U2536" s="578">
        <f t="shared" si="668"/>
        <v>0</v>
      </c>
      <c r="V2536" s="579"/>
      <c r="W2536" s="566" t="str">
        <f>IF(U2534&gt;0,"xx",IF(P2534&gt;0,"xy",""))</f>
        <v/>
      </c>
      <c r="X2536" s="586" t="str">
        <f t="shared" si="661"/>
        <v/>
      </c>
      <c r="Y2536" s="586" t="str">
        <f t="shared" si="672"/>
        <v/>
      </c>
      <c r="Z2536" s="586" t="str">
        <f t="shared" ref="Z2536:Z2599" si="680">IF(W2536="X","x",IF(U2536&gt;0,"x",""))</f>
        <v/>
      </c>
    </row>
    <row r="2537" spans="1:26" ht="12" hidden="1" thickBot="1" x14ac:dyDescent="0.25">
      <c r="A2537" s="567" t="s">
        <v>168</v>
      </c>
      <c r="B2537" s="644" t="s">
        <v>168</v>
      </c>
      <c r="C2537" s="645"/>
      <c r="D2537" s="422" t="s">
        <v>252</v>
      </c>
      <c r="E2537" s="423"/>
      <c r="F2537" s="424">
        <v>20</v>
      </c>
      <c r="G2537" s="425">
        <f>VLOOKUP(D2534,'[2]ENSAIOS DE ORÇAMENTO'!$C$3:$L$79,6,FALSE)</f>
        <v>2.9078100000000004</v>
      </c>
      <c r="H2537" s="663">
        <f t="shared" si="679"/>
        <v>70.020064800000014</v>
      </c>
      <c r="I2537" s="420"/>
      <c r="J2537" s="420"/>
      <c r="K2537" s="421">
        <f t="shared" si="666"/>
        <v>0</v>
      </c>
      <c r="L2537" s="647"/>
      <c r="M2537" s="723"/>
      <c r="N2537" s="576">
        <f t="shared" si="675"/>
        <v>0</v>
      </c>
      <c r="O2537" s="577">
        <f t="shared" si="669"/>
        <v>0</v>
      </c>
      <c r="P2537" s="578">
        <f t="shared" si="670"/>
        <v>0</v>
      </c>
      <c r="Q2537" s="765"/>
      <c r="R2537" s="723"/>
      <c r="S2537" s="723"/>
      <c r="T2537" s="577">
        <f t="shared" si="667"/>
        <v>0</v>
      </c>
      <c r="U2537" s="578">
        <f t="shared" si="668"/>
        <v>0</v>
      </c>
      <c r="V2537" s="579"/>
      <c r="W2537" s="566" t="str">
        <f>IF(U2534&gt;0,"xx",IF(P2534&gt;0,"xy",""))</f>
        <v/>
      </c>
      <c r="X2537" s="586" t="str">
        <f t="shared" si="661"/>
        <v/>
      </c>
      <c r="Y2537" s="586" t="str">
        <f t="shared" si="672"/>
        <v/>
      </c>
      <c r="Z2537" s="586" t="str">
        <f t="shared" si="680"/>
        <v/>
      </c>
    </row>
    <row r="2538" spans="1:26" ht="12" hidden="1" thickBot="1" x14ac:dyDescent="0.25">
      <c r="A2538" s="567" t="s">
        <v>168</v>
      </c>
      <c r="B2538" s="644" t="s">
        <v>168</v>
      </c>
      <c r="C2538" s="645"/>
      <c r="D2538" s="422" t="s">
        <v>400</v>
      </c>
      <c r="E2538" s="423"/>
      <c r="F2538" s="424">
        <v>30</v>
      </c>
      <c r="G2538" s="425">
        <f>VLOOKUP(D2534,'[2]ENSAIOS DE ORÇAMENTO'!$C$3:$L$79,3,FALSE)</f>
        <v>0</v>
      </c>
      <c r="H2538" s="663">
        <f t="shared" si="679"/>
        <v>0</v>
      </c>
      <c r="I2538" s="420"/>
      <c r="J2538" s="420"/>
      <c r="K2538" s="421">
        <f t="shared" si="666"/>
        <v>0</v>
      </c>
      <c r="L2538" s="647"/>
      <c r="M2538" s="723"/>
      <c r="N2538" s="576">
        <f t="shared" si="675"/>
        <v>0</v>
      </c>
      <c r="O2538" s="577">
        <f t="shared" si="669"/>
        <v>0</v>
      </c>
      <c r="P2538" s="578">
        <f t="shared" si="670"/>
        <v>0</v>
      </c>
      <c r="Q2538" s="765"/>
      <c r="R2538" s="723"/>
      <c r="S2538" s="723"/>
      <c r="T2538" s="577">
        <f t="shared" si="667"/>
        <v>0</v>
      </c>
      <c r="U2538" s="578">
        <f t="shared" si="668"/>
        <v>0</v>
      </c>
      <c r="V2538" s="579"/>
      <c r="W2538" s="566" t="str">
        <f>IF(U2534&gt;0,"xx",IF(P2534&gt;0,"xy",""))</f>
        <v/>
      </c>
      <c r="X2538" s="586" t="str">
        <f t="shared" si="661"/>
        <v/>
      </c>
      <c r="Y2538" s="586" t="str">
        <f t="shared" si="672"/>
        <v/>
      </c>
      <c r="Z2538" s="586" t="str">
        <f t="shared" si="680"/>
        <v/>
      </c>
    </row>
    <row r="2539" spans="1:26" ht="12" hidden="1" thickBot="1" x14ac:dyDescent="0.25">
      <c r="A2539" s="567" t="s">
        <v>168</v>
      </c>
      <c r="B2539" s="644" t="s">
        <v>168</v>
      </c>
      <c r="C2539" s="645"/>
      <c r="D2539" s="422" t="s">
        <v>401</v>
      </c>
      <c r="E2539" s="423"/>
      <c r="F2539" s="424">
        <v>500</v>
      </c>
      <c r="G2539" s="425">
        <f>VLOOKUP(D2534,'[2]ENSAIOS DE ORÇAMENTO'!$C$3:$L$79,10,FALSE)</f>
        <v>0</v>
      </c>
      <c r="H2539" s="649">
        <f>IF(F2539&lt;=30,(0.78*F2539+7.82)*G2539,((0.78*30+7.82)+0.78*(F2539-30))*G2539)</f>
        <v>0</v>
      </c>
      <c r="I2539" s="420"/>
      <c r="J2539" s="420"/>
      <c r="K2539" s="421">
        <f t="shared" si="666"/>
        <v>0</v>
      </c>
      <c r="L2539" s="647"/>
      <c r="M2539" s="723"/>
      <c r="N2539" s="576">
        <f t="shared" si="675"/>
        <v>0</v>
      </c>
      <c r="O2539" s="577">
        <f t="shared" si="669"/>
        <v>0</v>
      </c>
      <c r="P2539" s="578">
        <f t="shared" si="670"/>
        <v>0</v>
      </c>
      <c r="Q2539" s="765"/>
      <c r="R2539" s="723"/>
      <c r="S2539" s="723"/>
      <c r="T2539" s="577">
        <f t="shared" si="667"/>
        <v>0</v>
      </c>
      <c r="U2539" s="578">
        <f t="shared" si="668"/>
        <v>0</v>
      </c>
      <c r="V2539" s="579"/>
      <c r="W2539" s="566" t="str">
        <f>IF(U2534&gt;0,"xx",IF(P2534&gt;0,"xy",""))</f>
        <v/>
      </c>
      <c r="X2539" s="586" t="str">
        <f t="shared" ref="X2539:X2602" si="681">IF(W2539="X","x",IF(W2539="xx","x",IF(W2539="xy","x",IF(W2539="y","x",IF(OR(P2539&gt;0,U2539&gt;0),"x","")))))</f>
        <v/>
      </c>
      <c r="Y2539" s="586" t="str">
        <f t="shared" si="672"/>
        <v/>
      </c>
      <c r="Z2539" s="586" t="str">
        <f t="shared" si="680"/>
        <v/>
      </c>
    </row>
    <row r="2540" spans="1:26" ht="12" hidden="1" thickBot="1" x14ac:dyDescent="0.25">
      <c r="A2540" s="567" t="s">
        <v>53</v>
      </c>
      <c r="B2540" s="644" t="s">
        <v>53</v>
      </c>
      <c r="C2540" s="645" t="s">
        <v>206</v>
      </c>
      <c r="D2540" s="422" t="s">
        <v>426</v>
      </c>
      <c r="E2540" s="423"/>
      <c r="F2540" s="424"/>
      <c r="G2540" s="425"/>
      <c r="H2540" s="651">
        <f>SUM(H2541:H2545)</f>
        <v>649.61370900000009</v>
      </c>
      <c r="I2540" s="420">
        <f>VLOOKUP(D2540,'[2]ENSAIOS DE ORÇAMENTO'!$C$3:$L$79,8,FALSE)</f>
        <v>1106.2313666666669</v>
      </c>
      <c r="J2540" s="420">
        <f>IF(ISBLANK(I2540),"",SUM(H2540:I2540))</f>
        <v>1755.8450756666671</v>
      </c>
      <c r="K2540" s="421">
        <f t="shared" si="666"/>
        <v>2086.12</v>
      </c>
      <c r="L2540" s="647" t="s">
        <v>21</v>
      </c>
      <c r="M2540" s="576"/>
      <c r="N2540" s="576">
        <f t="shared" si="675"/>
        <v>0</v>
      </c>
      <c r="O2540" s="577">
        <f t="shared" si="669"/>
        <v>0</v>
      </c>
      <c r="P2540" s="578">
        <f t="shared" si="670"/>
        <v>0</v>
      </c>
      <c r="Q2540" s="765"/>
      <c r="R2540" s="576">
        <f>M2540</f>
        <v>0</v>
      </c>
      <c r="S2540" s="576">
        <f>N2540</f>
        <v>0</v>
      </c>
      <c r="T2540" s="577">
        <f t="shared" si="667"/>
        <v>0</v>
      </c>
      <c r="U2540" s="578">
        <f t="shared" si="668"/>
        <v>0</v>
      </c>
      <c r="V2540" s="579"/>
      <c r="W2540" s="566"/>
      <c r="X2540" s="586" t="str">
        <f t="shared" si="681"/>
        <v/>
      </c>
      <c r="Y2540" s="586" t="str">
        <f t="shared" si="672"/>
        <v/>
      </c>
      <c r="Z2540" s="586" t="str">
        <f t="shared" si="680"/>
        <v/>
      </c>
    </row>
    <row r="2541" spans="1:26" ht="12" hidden="1" thickBot="1" x14ac:dyDescent="0.25">
      <c r="A2541" s="567" t="s">
        <v>168</v>
      </c>
      <c r="B2541" s="644" t="s">
        <v>168</v>
      </c>
      <c r="C2541" s="645"/>
      <c r="D2541" s="422" t="s">
        <v>212</v>
      </c>
      <c r="E2541" s="423"/>
      <c r="F2541" s="424">
        <v>500</v>
      </c>
      <c r="G2541" s="425">
        <f>VLOOKUP(D2540,'[2]ENSAIOS DE ORÇAMENTO'!$C$3:$L$79,4,FALSE)</f>
        <v>0.47295000000000004</v>
      </c>
      <c r="H2541" s="649">
        <f>IF(F2541&lt;=30,(0.78*F2541+7.82)*G2541,((0.78*30+7.82)+0.78*(F2541-30))*G2541)</f>
        <v>188.14896900000005</v>
      </c>
      <c r="I2541" s="420"/>
      <c r="J2541" s="420"/>
      <c r="K2541" s="421">
        <f t="shared" si="666"/>
        <v>0</v>
      </c>
      <c r="L2541" s="647"/>
      <c r="M2541" s="723"/>
      <c r="N2541" s="576">
        <f t="shared" si="675"/>
        <v>0</v>
      </c>
      <c r="O2541" s="577">
        <f t="shared" si="669"/>
        <v>0</v>
      </c>
      <c r="P2541" s="578">
        <f t="shared" si="670"/>
        <v>0</v>
      </c>
      <c r="Q2541" s="765"/>
      <c r="R2541" s="723"/>
      <c r="S2541" s="723"/>
      <c r="T2541" s="577">
        <f t="shared" si="667"/>
        <v>0</v>
      </c>
      <c r="U2541" s="578">
        <f t="shared" si="668"/>
        <v>0</v>
      </c>
      <c r="V2541" s="579"/>
      <c r="W2541" s="566" t="str">
        <f>IF(U2540&gt;0,"xx",IF(P2540&gt;0,"xy",""))</f>
        <v/>
      </c>
      <c r="X2541" s="586" t="str">
        <f t="shared" si="681"/>
        <v/>
      </c>
      <c r="Y2541" s="586" t="str">
        <f t="shared" si="672"/>
        <v/>
      </c>
      <c r="Z2541" s="586" t="str">
        <f t="shared" si="680"/>
        <v/>
      </c>
    </row>
    <row r="2542" spans="1:26" ht="12" hidden="1" thickBot="1" x14ac:dyDescent="0.25">
      <c r="A2542" s="567" t="s">
        <v>168</v>
      </c>
      <c r="B2542" s="644" t="s">
        <v>168</v>
      </c>
      <c r="C2542" s="645"/>
      <c r="D2542" s="422" t="s">
        <v>248</v>
      </c>
      <c r="E2542" s="423"/>
      <c r="F2542" s="424">
        <v>180</v>
      </c>
      <c r="G2542" s="425">
        <f>VLOOKUP(D2540,'[2]ENSAIOS DE ORÇAMENTO'!$C$3:$L$79,5,FALSE)</f>
        <v>1.9178999999999999</v>
      </c>
      <c r="H2542" s="663">
        <f t="shared" ref="H2542:H2544" si="682">IF(F2542&lt;=30,(1.07*F2542+2.68)*G2542,((1.07*30+2.68)+1.07*(F2542-30))*G2542)</f>
        <v>374.527512</v>
      </c>
      <c r="I2542" s="420"/>
      <c r="J2542" s="420"/>
      <c r="K2542" s="421">
        <f t="shared" si="666"/>
        <v>0</v>
      </c>
      <c r="L2542" s="647"/>
      <c r="M2542" s="723"/>
      <c r="N2542" s="576">
        <f t="shared" si="675"/>
        <v>0</v>
      </c>
      <c r="O2542" s="577">
        <f t="shared" si="669"/>
        <v>0</v>
      </c>
      <c r="P2542" s="578">
        <f t="shared" si="670"/>
        <v>0</v>
      </c>
      <c r="Q2542" s="765"/>
      <c r="R2542" s="723"/>
      <c r="S2542" s="723"/>
      <c r="T2542" s="577">
        <f t="shared" si="667"/>
        <v>0</v>
      </c>
      <c r="U2542" s="578">
        <f t="shared" si="668"/>
        <v>0</v>
      </c>
      <c r="V2542" s="579"/>
      <c r="W2542" s="566" t="str">
        <f>IF(U2540&gt;0,"xx",IF(P2540&gt;0,"xy",""))</f>
        <v/>
      </c>
      <c r="X2542" s="586" t="str">
        <f t="shared" si="681"/>
        <v/>
      </c>
      <c r="Y2542" s="586" t="str">
        <f t="shared" si="672"/>
        <v/>
      </c>
      <c r="Z2542" s="586" t="str">
        <f t="shared" si="680"/>
        <v/>
      </c>
    </row>
    <row r="2543" spans="1:26" ht="12" hidden="1" thickBot="1" x14ac:dyDescent="0.25">
      <c r="A2543" s="567" t="s">
        <v>168</v>
      </c>
      <c r="B2543" s="644" t="s">
        <v>168</v>
      </c>
      <c r="C2543" s="645"/>
      <c r="D2543" s="422" t="s">
        <v>252</v>
      </c>
      <c r="E2543" s="423"/>
      <c r="F2543" s="424">
        <v>20</v>
      </c>
      <c r="G2543" s="425">
        <f>VLOOKUP(D2540,'[2]ENSAIOS DE ORÇAMENTO'!$C$3:$L$79,6,FALSE)</f>
        <v>3.6103500000000004</v>
      </c>
      <c r="H2543" s="663">
        <f t="shared" si="682"/>
        <v>86.937228000000019</v>
      </c>
      <c r="I2543" s="420"/>
      <c r="J2543" s="420"/>
      <c r="K2543" s="421">
        <f t="shared" si="666"/>
        <v>0</v>
      </c>
      <c r="L2543" s="647"/>
      <c r="M2543" s="723"/>
      <c r="N2543" s="576">
        <f t="shared" si="675"/>
        <v>0</v>
      </c>
      <c r="O2543" s="577">
        <f t="shared" si="669"/>
        <v>0</v>
      </c>
      <c r="P2543" s="578">
        <f t="shared" si="670"/>
        <v>0</v>
      </c>
      <c r="Q2543" s="765"/>
      <c r="R2543" s="723"/>
      <c r="S2543" s="723"/>
      <c r="T2543" s="577">
        <f t="shared" si="667"/>
        <v>0</v>
      </c>
      <c r="U2543" s="578">
        <f t="shared" si="668"/>
        <v>0</v>
      </c>
      <c r="V2543" s="579"/>
      <c r="W2543" s="566" t="str">
        <f>IF(U2540&gt;0,"xx",IF(P2540&gt;0,"xy",""))</f>
        <v/>
      </c>
      <c r="X2543" s="586" t="str">
        <f t="shared" si="681"/>
        <v/>
      </c>
      <c r="Y2543" s="586" t="str">
        <f t="shared" si="672"/>
        <v/>
      </c>
      <c r="Z2543" s="586" t="str">
        <f t="shared" si="680"/>
        <v/>
      </c>
    </row>
    <row r="2544" spans="1:26" ht="12" hidden="1" thickBot="1" x14ac:dyDescent="0.25">
      <c r="A2544" s="567" t="s">
        <v>168</v>
      </c>
      <c r="B2544" s="644" t="s">
        <v>168</v>
      </c>
      <c r="C2544" s="645"/>
      <c r="D2544" s="422" t="s">
        <v>400</v>
      </c>
      <c r="E2544" s="423"/>
      <c r="F2544" s="424">
        <v>30</v>
      </c>
      <c r="G2544" s="425">
        <f>VLOOKUP(D2540,'[2]ENSAIOS DE ORÇAMENTO'!$C$3:$L$79,3,FALSE)</f>
        <v>0</v>
      </c>
      <c r="H2544" s="663">
        <f t="shared" si="682"/>
        <v>0</v>
      </c>
      <c r="I2544" s="420"/>
      <c r="J2544" s="420"/>
      <c r="K2544" s="421">
        <f t="shared" si="666"/>
        <v>0</v>
      </c>
      <c r="L2544" s="647"/>
      <c r="M2544" s="723"/>
      <c r="N2544" s="576">
        <f t="shared" si="675"/>
        <v>0</v>
      </c>
      <c r="O2544" s="577">
        <f t="shared" si="669"/>
        <v>0</v>
      </c>
      <c r="P2544" s="578">
        <f t="shared" si="670"/>
        <v>0</v>
      </c>
      <c r="Q2544" s="765"/>
      <c r="R2544" s="723"/>
      <c r="S2544" s="723"/>
      <c r="T2544" s="577">
        <f t="shared" si="667"/>
        <v>0</v>
      </c>
      <c r="U2544" s="578">
        <f t="shared" si="668"/>
        <v>0</v>
      </c>
      <c r="V2544" s="579"/>
      <c r="W2544" s="566" t="str">
        <f>IF(U2540&gt;0,"xx",IF(P2540&gt;0,"xy",""))</f>
        <v/>
      </c>
      <c r="X2544" s="586" t="str">
        <f t="shared" si="681"/>
        <v/>
      </c>
      <c r="Y2544" s="586" t="str">
        <f t="shared" si="672"/>
        <v/>
      </c>
      <c r="Z2544" s="586" t="str">
        <f t="shared" si="680"/>
        <v/>
      </c>
    </row>
    <row r="2545" spans="1:26" ht="12" hidden="1" thickBot="1" x14ac:dyDescent="0.25">
      <c r="A2545" s="567" t="s">
        <v>168</v>
      </c>
      <c r="B2545" s="644" t="s">
        <v>168</v>
      </c>
      <c r="C2545" s="645"/>
      <c r="D2545" s="422" t="s">
        <v>401</v>
      </c>
      <c r="E2545" s="423"/>
      <c r="F2545" s="424">
        <v>500</v>
      </c>
      <c r="G2545" s="425">
        <f>VLOOKUP(D2540,'[2]ENSAIOS DE ORÇAMENTO'!$C$3:$L$79,10,FALSE)</f>
        <v>0</v>
      </c>
      <c r="H2545" s="649">
        <f>IF(F2545&lt;=30,(0.78*F2545+7.82)*G2545,((0.78*30+7.82)+0.78*(F2545-30))*G2545)</f>
        <v>0</v>
      </c>
      <c r="I2545" s="420"/>
      <c r="J2545" s="420"/>
      <c r="K2545" s="421">
        <f t="shared" si="666"/>
        <v>0</v>
      </c>
      <c r="L2545" s="647"/>
      <c r="M2545" s="723"/>
      <c r="N2545" s="576">
        <f t="shared" si="675"/>
        <v>0</v>
      </c>
      <c r="O2545" s="577">
        <f t="shared" si="669"/>
        <v>0</v>
      </c>
      <c r="P2545" s="578">
        <f t="shared" si="670"/>
        <v>0</v>
      </c>
      <c r="Q2545" s="765"/>
      <c r="R2545" s="723"/>
      <c r="S2545" s="723"/>
      <c r="T2545" s="577">
        <f t="shared" si="667"/>
        <v>0</v>
      </c>
      <c r="U2545" s="578">
        <f t="shared" si="668"/>
        <v>0</v>
      </c>
      <c r="V2545" s="579"/>
      <c r="W2545" s="566" t="str">
        <f>IF(U2540&gt;0,"xx",IF(P2540&gt;0,"xy",""))</f>
        <v/>
      </c>
      <c r="X2545" s="586" t="str">
        <f t="shared" si="681"/>
        <v/>
      </c>
      <c r="Y2545" s="586" t="str">
        <f t="shared" si="672"/>
        <v/>
      </c>
      <c r="Z2545" s="586" t="str">
        <f t="shared" si="680"/>
        <v/>
      </c>
    </row>
    <row r="2546" spans="1:26" ht="12" hidden="1" thickBot="1" x14ac:dyDescent="0.25">
      <c r="A2546" s="567" t="s">
        <v>53</v>
      </c>
      <c r="B2546" s="644" t="s">
        <v>53</v>
      </c>
      <c r="C2546" s="645" t="s">
        <v>206</v>
      </c>
      <c r="D2546" s="422" t="s">
        <v>427</v>
      </c>
      <c r="E2546" s="423"/>
      <c r="F2546" s="424"/>
      <c r="G2546" s="425"/>
      <c r="H2546" s="651">
        <f>SUM(H2547:H2551)</f>
        <v>1038.335276</v>
      </c>
      <c r="I2546" s="420">
        <f>VLOOKUP(D2546,'[2]ENSAIOS DE ORÇAMENTO'!$C$3:$L$79,8,FALSE)</f>
        <v>1730.68758</v>
      </c>
      <c r="J2546" s="420">
        <f>IF(ISBLANK(I2546),"",SUM(H2546:I2546))</f>
        <v>2769.022856</v>
      </c>
      <c r="K2546" s="421">
        <f t="shared" si="666"/>
        <v>3289.88</v>
      </c>
      <c r="L2546" s="647" t="s">
        <v>21</v>
      </c>
      <c r="M2546" s="576"/>
      <c r="N2546" s="576">
        <f t="shared" si="675"/>
        <v>0</v>
      </c>
      <c r="O2546" s="577">
        <f t="shared" si="669"/>
        <v>0</v>
      </c>
      <c r="P2546" s="578">
        <f t="shared" si="670"/>
        <v>0</v>
      </c>
      <c r="Q2546" s="765"/>
      <c r="R2546" s="576">
        <f>M2546</f>
        <v>0</v>
      </c>
      <c r="S2546" s="576">
        <f>N2546</f>
        <v>0</v>
      </c>
      <c r="T2546" s="577">
        <f t="shared" si="667"/>
        <v>0</v>
      </c>
      <c r="U2546" s="578">
        <f t="shared" si="668"/>
        <v>0</v>
      </c>
      <c r="V2546" s="579"/>
      <c r="W2546" s="566"/>
      <c r="X2546" s="586" t="str">
        <f t="shared" si="681"/>
        <v/>
      </c>
      <c r="Y2546" s="586" t="str">
        <f t="shared" si="672"/>
        <v/>
      </c>
      <c r="Z2546" s="586" t="str">
        <f t="shared" si="680"/>
        <v/>
      </c>
    </row>
    <row r="2547" spans="1:26" ht="12" hidden="1" thickBot="1" x14ac:dyDescent="0.25">
      <c r="A2547" s="567" t="s">
        <v>168</v>
      </c>
      <c r="B2547" s="644" t="s">
        <v>168</v>
      </c>
      <c r="C2547" s="645"/>
      <c r="D2547" s="422" t="s">
        <v>212</v>
      </c>
      <c r="E2547" s="423"/>
      <c r="F2547" s="424">
        <v>500</v>
      </c>
      <c r="G2547" s="425">
        <f>VLOOKUP(D2546,'[2]ENSAIOS DE ORÇAMENTO'!$C$3:$L$79,4,FALSE)</f>
        <v>0.75196000000000007</v>
      </c>
      <c r="H2547" s="649">
        <f>IF(F2547&lt;=30,(0.78*F2547+7.82)*G2547,((0.78*30+7.82)+0.78*(F2547-30))*G2547)</f>
        <v>299.14472720000009</v>
      </c>
      <c r="I2547" s="420"/>
      <c r="J2547" s="420"/>
      <c r="K2547" s="421">
        <f t="shared" si="666"/>
        <v>0</v>
      </c>
      <c r="L2547" s="647"/>
      <c r="M2547" s="723"/>
      <c r="N2547" s="576">
        <f t="shared" si="675"/>
        <v>0</v>
      </c>
      <c r="O2547" s="577">
        <f t="shared" si="669"/>
        <v>0</v>
      </c>
      <c r="P2547" s="578">
        <f t="shared" si="670"/>
        <v>0</v>
      </c>
      <c r="Q2547" s="765"/>
      <c r="R2547" s="723"/>
      <c r="S2547" s="723"/>
      <c r="T2547" s="577">
        <f t="shared" si="667"/>
        <v>0</v>
      </c>
      <c r="U2547" s="578">
        <f t="shared" si="668"/>
        <v>0</v>
      </c>
      <c r="V2547" s="579"/>
      <c r="W2547" s="566" t="str">
        <f>IF(U2546&gt;0,"xx",IF(P2546&gt;0,"xy",""))</f>
        <v/>
      </c>
      <c r="X2547" s="586" t="str">
        <f t="shared" si="681"/>
        <v/>
      </c>
      <c r="Y2547" s="586" t="str">
        <f t="shared" si="672"/>
        <v/>
      </c>
      <c r="Z2547" s="586" t="str">
        <f t="shared" si="680"/>
        <v/>
      </c>
    </row>
    <row r="2548" spans="1:26" ht="12" hidden="1" thickBot="1" x14ac:dyDescent="0.25">
      <c r="A2548" s="567" t="s">
        <v>168</v>
      </c>
      <c r="B2548" s="644" t="s">
        <v>168</v>
      </c>
      <c r="C2548" s="645"/>
      <c r="D2548" s="422" t="s">
        <v>248</v>
      </c>
      <c r="E2548" s="423"/>
      <c r="F2548" s="424">
        <v>180</v>
      </c>
      <c r="G2548" s="425">
        <f>VLOOKUP(D2546,'[2]ENSAIOS DE ORÇAMENTO'!$C$3:$L$79,5,FALSE)</f>
        <v>3.0643799999999999</v>
      </c>
      <c r="H2548" s="663">
        <f t="shared" ref="H2548:H2550" si="683">IF(F2548&lt;=30,(1.07*F2548+2.68)*G2548,((1.07*30+2.68)+1.07*(F2548-30))*G2548)</f>
        <v>598.41212640000003</v>
      </c>
      <c r="I2548" s="420"/>
      <c r="J2548" s="420"/>
      <c r="K2548" s="421">
        <f t="shared" si="666"/>
        <v>0</v>
      </c>
      <c r="L2548" s="647"/>
      <c r="M2548" s="723"/>
      <c r="N2548" s="576">
        <f t="shared" si="675"/>
        <v>0</v>
      </c>
      <c r="O2548" s="577">
        <f t="shared" si="669"/>
        <v>0</v>
      </c>
      <c r="P2548" s="578">
        <f t="shared" si="670"/>
        <v>0</v>
      </c>
      <c r="Q2548" s="765"/>
      <c r="R2548" s="723"/>
      <c r="S2548" s="723"/>
      <c r="T2548" s="577">
        <f t="shared" si="667"/>
        <v>0</v>
      </c>
      <c r="U2548" s="578">
        <f t="shared" si="668"/>
        <v>0</v>
      </c>
      <c r="V2548" s="579"/>
      <c r="W2548" s="566" t="str">
        <f>IF(U2546&gt;0,"xx",IF(P2546&gt;0,"xy",""))</f>
        <v/>
      </c>
      <c r="X2548" s="586" t="str">
        <f t="shared" si="681"/>
        <v/>
      </c>
      <c r="Y2548" s="586" t="str">
        <f t="shared" si="672"/>
        <v/>
      </c>
      <c r="Z2548" s="586" t="str">
        <f t="shared" si="680"/>
        <v/>
      </c>
    </row>
    <row r="2549" spans="1:26" ht="12" hidden="1" thickBot="1" x14ac:dyDescent="0.25">
      <c r="A2549" s="567" t="s">
        <v>168</v>
      </c>
      <c r="B2549" s="644" t="s">
        <v>168</v>
      </c>
      <c r="C2549" s="645"/>
      <c r="D2549" s="422" t="s">
        <v>252</v>
      </c>
      <c r="E2549" s="423"/>
      <c r="F2549" s="424">
        <v>20</v>
      </c>
      <c r="G2549" s="425">
        <f>VLOOKUP(D2546,'[2]ENSAIOS DE ORÇAMENTO'!$C$3:$L$79,6,FALSE)</f>
        <v>5.8462800000000001</v>
      </c>
      <c r="H2549" s="663">
        <f t="shared" si="683"/>
        <v>140.77842240000001</v>
      </c>
      <c r="I2549" s="420"/>
      <c r="J2549" s="420"/>
      <c r="K2549" s="421">
        <f t="shared" si="666"/>
        <v>0</v>
      </c>
      <c r="L2549" s="647"/>
      <c r="M2549" s="723"/>
      <c r="N2549" s="576">
        <f t="shared" si="675"/>
        <v>0</v>
      </c>
      <c r="O2549" s="577">
        <f t="shared" si="669"/>
        <v>0</v>
      </c>
      <c r="P2549" s="578">
        <f t="shared" si="670"/>
        <v>0</v>
      </c>
      <c r="Q2549" s="765"/>
      <c r="R2549" s="723"/>
      <c r="S2549" s="723"/>
      <c r="T2549" s="577">
        <f t="shared" si="667"/>
        <v>0</v>
      </c>
      <c r="U2549" s="578">
        <f t="shared" si="668"/>
        <v>0</v>
      </c>
      <c r="V2549" s="579"/>
      <c r="W2549" s="566" t="str">
        <f>IF(U2546&gt;0,"xx",IF(P2546&gt;0,"xy",""))</f>
        <v/>
      </c>
      <c r="X2549" s="586" t="str">
        <f t="shared" si="681"/>
        <v/>
      </c>
      <c r="Y2549" s="586" t="str">
        <f t="shared" si="672"/>
        <v/>
      </c>
      <c r="Z2549" s="586" t="str">
        <f t="shared" si="680"/>
        <v/>
      </c>
    </row>
    <row r="2550" spans="1:26" ht="12" hidden="1" thickBot="1" x14ac:dyDescent="0.25">
      <c r="A2550" s="567" t="s">
        <v>168</v>
      </c>
      <c r="B2550" s="644" t="s">
        <v>168</v>
      </c>
      <c r="C2550" s="645"/>
      <c r="D2550" s="422" t="s">
        <v>400</v>
      </c>
      <c r="E2550" s="423"/>
      <c r="F2550" s="424">
        <v>30</v>
      </c>
      <c r="G2550" s="425">
        <f>VLOOKUP(D2546,'[2]ENSAIOS DE ORÇAMENTO'!$C$3:$L$79,3,FALSE)</f>
        <v>0</v>
      </c>
      <c r="H2550" s="663">
        <f t="shared" si="683"/>
        <v>0</v>
      </c>
      <c r="I2550" s="420"/>
      <c r="J2550" s="420"/>
      <c r="K2550" s="421">
        <f t="shared" si="666"/>
        <v>0</v>
      </c>
      <c r="L2550" s="647"/>
      <c r="M2550" s="723"/>
      <c r="N2550" s="576">
        <f t="shared" si="675"/>
        <v>0</v>
      </c>
      <c r="O2550" s="577">
        <f t="shared" si="669"/>
        <v>0</v>
      </c>
      <c r="P2550" s="578">
        <f t="shared" si="670"/>
        <v>0</v>
      </c>
      <c r="Q2550" s="765"/>
      <c r="R2550" s="723"/>
      <c r="S2550" s="723"/>
      <c r="T2550" s="577">
        <f t="shared" si="667"/>
        <v>0</v>
      </c>
      <c r="U2550" s="578">
        <f t="shared" si="668"/>
        <v>0</v>
      </c>
      <c r="V2550" s="579"/>
      <c r="W2550" s="566" t="str">
        <f>IF(U2546&gt;0,"xx",IF(P2546&gt;0,"xy",""))</f>
        <v/>
      </c>
      <c r="X2550" s="586" t="str">
        <f t="shared" si="681"/>
        <v/>
      </c>
      <c r="Y2550" s="586" t="str">
        <f t="shared" si="672"/>
        <v/>
      </c>
      <c r="Z2550" s="586" t="str">
        <f t="shared" si="680"/>
        <v/>
      </c>
    </row>
    <row r="2551" spans="1:26" ht="12" hidden="1" thickBot="1" x14ac:dyDescent="0.25">
      <c r="A2551" s="567" t="s">
        <v>168</v>
      </c>
      <c r="B2551" s="644" t="s">
        <v>168</v>
      </c>
      <c r="C2551" s="645"/>
      <c r="D2551" s="422" t="s">
        <v>401</v>
      </c>
      <c r="E2551" s="423"/>
      <c r="F2551" s="424">
        <v>500</v>
      </c>
      <c r="G2551" s="425">
        <f>VLOOKUP(D2546,'[2]ENSAIOS DE ORÇAMENTO'!$C$3:$L$79,10,FALSE)</f>
        <v>0</v>
      </c>
      <c r="H2551" s="649">
        <f>IF(F2551&lt;=30,(0.78*F2551+7.82)*G2551,((0.78*30+7.82)+0.78*(F2551-30))*G2551)</f>
        <v>0</v>
      </c>
      <c r="I2551" s="420"/>
      <c r="J2551" s="420"/>
      <c r="K2551" s="421">
        <f t="shared" si="666"/>
        <v>0</v>
      </c>
      <c r="L2551" s="647"/>
      <c r="M2551" s="723"/>
      <c r="N2551" s="576">
        <f t="shared" si="675"/>
        <v>0</v>
      </c>
      <c r="O2551" s="577">
        <f t="shared" si="669"/>
        <v>0</v>
      </c>
      <c r="P2551" s="578">
        <f t="shared" si="670"/>
        <v>0</v>
      </c>
      <c r="Q2551" s="765"/>
      <c r="R2551" s="723"/>
      <c r="S2551" s="723"/>
      <c r="T2551" s="577">
        <f t="shared" si="667"/>
        <v>0</v>
      </c>
      <c r="U2551" s="578">
        <f t="shared" si="668"/>
        <v>0</v>
      </c>
      <c r="V2551" s="579"/>
      <c r="W2551" s="566" t="str">
        <f>IF(U2546&gt;0,"xx",IF(P2546&gt;0,"xy",""))</f>
        <v/>
      </c>
      <c r="X2551" s="586" t="str">
        <f t="shared" si="681"/>
        <v/>
      </c>
      <c r="Y2551" s="586" t="str">
        <f t="shared" si="672"/>
        <v/>
      </c>
      <c r="Z2551" s="586" t="str">
        <f t="shared" si="680"/>
        <v/>
      </c>
    </row>
    <row r="2552" spans="1:26" ht="12" hidden="1" thickBot="1" x14ac:dyDescent="0.25">
      <c r="A2552" s="567" t="s">
        <v>53</v>
      </c>
      <c r="B2552" s="644" t="s">
        <v>53</v>
      </c>
      <c r="C2552" s="645" t="s">
        <v>206</v>
      </c>
      <c r="D2552" s="422" t="s">
        <v>163</v>
      </c>
      <c r="E2552" s="423"/>
      <c r="F2552" s="424"/>
      <c r="G2552" s="425"/>
      <c r="H2552" s="651">
        <f>SUM(H2553:H2557)</f>
        <v>1505.7755270000002</v>
      </c>
      <c r="I2552" s="420">
        <f>VLOOKUP(D2552,'[2]ENSAIOS DE ORÇAMENTO'!$C$3:$L$79,8,FALSE)</f>
        <v>2471.9100133333332</v>
      </c>
      <c r="J2552" s="420">
        <f>IF(ISBLANK(I2552),"",SUM(H2552:I2552))</f>
        <v>3977.6855403333334</v>
      </c>
      <c r="K2552" s="421">
        <f t="shared" si="666"/>
        <v>4725.8900000000003</v>
      </c>
      <c r="L2552" s="647" t="s">
        <v>21</v>
      </c>
      <c r="M2552" s="576"/>
      <c r="N2552" s="576">
        <f t="shared" si="675"/>
        <v>0</v>
      </c>
      <c r="O2552" s="577">
        <f t="shared" si="669"/>
        <v>0</v>
      </c>
      <c r="P2552" s="578">
        <f t="shared" si="670"/>
        <v>0</v>
      </c>
      <c r="Q2552" s="765"/>
      <c r="R2552" s="576">
        <f>M2552</f>
        <v>0</v>
      </c>
      <c r="S2552" s="576">
        <f>N2552</f>
        <v>0</v>
      </c>
      <c r="T2552" s="577">
        <f t="shared" si="667"/>
        <v>0</v>
      </c>
      <c r="U2552" s="578">
        <f t="shared" si="668"/>
        <v>0</v>
      </c>
      <c r="V2552" s="579"/>
      <c r="W2552" s="566"/>
      <c r="X2552" s="586" t="str">
        <f t="shared" si="681"/>
        <v/>
      </c>
      <c r="Y2552" s="586" t="str">
        <f t="shared" si="672"/>
        <v/>
      </c>
      <c r="Z2552" s="586" t="str">
        <f t="shared" si="680"/>
        <v/>
      </c>
    </row>
    <row r="2553" spans="1:26" ht="12" hidden="1" thickBot="1" x14ac:dyDescent="0.25">
      <c r="A2553" s="567" t="s">
        <v>168</v>
      </c>
      <c r="B2553" s="644" t="s">
        <v>168</v>
      </c>
      <c r="C2553" s="645"/>
      <c r="D2553" s="422" t="s">
        <v>212</v>
      </c>
      <c r="E2553" s="423"/>
      <c r="F2553" s="424">
        <v>500</v>
      </c>
      <c r="G2553" s="425">
        <f>VLOOKUP(D2552,'[2]ENSAIOS DE ORÇAMENTO'!$C$3:$L$79,4,FALSE)</f>
        <v>1.08901</v>
      </c>
      <c r="H2553" s="649">
        <f>IF(F2553&lt;=30,(0.78*F2553+7.82)*G2553,((0.78*30+7.82)+0.78*(F2553-30))*G2553)</f>
        <v>433.22995820000006</v>
      </c>
      <c r="I2553" s="420"/>
      <c r="J2553" s="420"/>
      <c r="K2553" s="421">
        <f t="shared" si="666"/>
        <v>0</v>
      </c>
      <c r="L2553" s="647"/>
      <c r="M2553" s="723"/>
      <c r="N2553" s="576">
        <f t="shared" si="675"/>
        <v>0</v>
      </c>
      <c r="O2553" s="577">
        <f t="shared" si="669"/>
        <v>0</v>
      </c>
      <c r="P2553" s="578">
        <f t="shared" si="670"/>
        <v>0</v>
      </c>
      <c r="Q2553" s="765"/>
      <c r="R2553" s="723"/>
      <c r="S2553" s="723"/>
      <c r="T2553" s="577">
        <f t="shared" si="667"/>
        <v>0</v>
      </c>
      <c r="U2553" s="578">
        <f t="shared" si="668"/>
        <v>0</v>
      </c>
      <c r="V2553" s="579"/>
      <c r="W2553" s="566" t="str">
        <f>IF(U2552&gt;0,"xx",IF(P2552&gt;0,"xy",""))</f>
        <v/>
      </c>
      <c r="X2553" s="586" t="str">
        <f t="shared" si="681"/>
        <v/>
      </c>
      <c r="Y2553" s="586" t="str">
        <f t="shared" si="672"/>
        <v/>
      </c>
      <c r="Z2553" s="586" t="str">
        <f t="shared" si="680"/>
        <v/>
      </c>
    </row>
    <row r="2554" spans="1:26" ht="12" hidden="1" thickBot="1" x14ac:dyDescent="0.25">
      <c r="A2554" s="567" t="s">
        <v>168</v>
      </c>
      <c r="B2554" s="644" t="s">
        <v>168</v>
      </c>
      <c r="C2554" s="645"/>
      <c r="D2554" s="422" t="s">
        <v>248</v>
      </c>
      <c r="E2554" s="423"/>
      <c r="F2554" s="424">
        <v>180</v>
      </c>
      <c r="G2554" s="425">
        <f>VLOOKUP(D2552,'[2]ENSAIOS DE ORÇAMENTO'!$C$3:$L$79,5,FALSE)</f>
        <v>4.4434800000000001</v>
      </c>
      <c r="H2554" s="663">
        <f t="shared" ref="H2554:H2556" si="684">IF(F2554&lt;=30,(1.07*F2554+2.68)*G2554,((1.07*30+2.68)+1.07*(F2554-30))*G2554)</f>
        <v>867.72277440000005</v>
      </c>
      <c r="I2554" s="420"/>
      <c r="J2554" s="420"/>
      <c r="K2554" s="421">
        <f t="shared" si="666"/>
        <v>0</v>
      </c>
      <c r="L2554" s="647"/>
      <c r="M2554" s="723"/>
      <c r="N2554" s="576">
        <f t="shared" si="675"/>
        <v>0</v>
      </c>
      <c r="O2554" s="577">
        <f t="shared" si="669"/>
        <v>0</v>
      </c>
      <c r="P2554" s="578">
        <f t="shared" si="670"/>
        <v>0</v>
      </c>
      <c r="Q2554" s="765"/>
      <c r="R2554" s="723"/>
      <c r="S2554" s="723"/>
      <c r="T2554" s="577">
        <f t="shared" si="667"/>
        <v>0</v>
      </c>
      <c r="U2554" s="578">
        <f t="shared" si="668"/>
        <v>0</v>
      </c>
      <c r="V2554" s="579"/>
      <c r="W2554" s="566" t="str">
        <f>IF(U2552&gt;0,"xx",IF(P2552&gt;0,"xy",""))</f>
        <v/>
      </c>
      <c r="X2554" s="586" t="str">
        <f t="shared" si="681"/>
        <v/>
      </c>
      <c r="Y2554" s="586" t="str">
        <f t="shared" si="672"/>
        <v/>
      </c>
      <c r="Z2554" s="586" t="str">
        <f t="shared" si="680"/>
        <v/>
      </c>
    </row>
    <row r="2555" spans="1:26" ht="12" hidden="1" thickBot="1" x14ac:dyDescent="0.25">
      <c r="A2555" s="567" t="s">
        <v>168</v>
      </c>
      <c r="B2555" s="644" t="s">
        <v>168</v>
      </c>
      <c r="C2555" s="645"/>
      <c r="D2555" s="422" t="s">
        <v>252</v>
      </c>
      <c r="E2555" s="423"/>
      <c r="F2555" s="424">
        <v>20</v>
      </c>
      <c r="G2555" s="425">
        <f>VLOOKUP(D2552,'[2]ENSAIOS DE ORÇAMENTO'!$C$3:$L$79,6,FALSE)</f>
        <v>8.5059300000000011</v>
      </c>
      <c r="H2555" s="663">
        <f t="shared" si="684"/>
        <v>204.82279440000005</v>
      </c>
      <c r="I2555" s="420"/>
      <c r="J2555" s="420"/>
      <c r="K2555" s="421">
        <f t="shared" si="666"/>
        <v>0</v>
      </c>
      <c r="L2555" s="647"/>
      <c r="M2555" s="723"/>
      <c r="N2555" s="576">
        <f t="shared" si="675"/>
        <v>0</v>
      </c>
      <c r="O2555" s="577">
        <f t="shared" si="669"/>
        <v>0</v>
      </c>
      <c r="P2555" s="578">
        <f t="shared" si="670"/>
        <v>0</v>
      </c>
      <c r="Q2555" s="765"/>
      <c r="R2555" s="723"/>
      <c r="S2555" s="723"/>
      <c r="T2555" s="577">
        <f t="shared" si="667"/>
        <v>0</v>
      </c>
      <c r="U2555" s="578">
        <f t="shared" si="668"/>
        <v>0</v>
      </c>
      <c r="V2555" s="579"/>
      <c r="W2555" s="566" t="str">
        <f>IF(U2552&gt;0,"xx",IF(P2552&gt;0,"xy",""))</f>
        <v/>
      </c>
      <c r="X2555" s="586" t="str">
        <f t="shared" si="681"/>
        <v/>
      </c>
      <c r="Y2555" s="586" t="str">
        <f t="shared" si="672"/>
        <v/>
      </c>
      <c r="Z2555" s="586" t="str">
        <f t="shared" si="680"/>
        <v/>
      </c>
    </row>
    <row r="2556" spans="1:26" ht="12" hidden="1" thickBot="1" x14ac:dyDescent="0.25">
      <c r="A2556" s="567" t="s">
        <v>168</v>
      </c>
      <c r="B2556" s="644" t="s">
        <v>168</v>
      </c>
      <c r="C2556" s="645"/>
      <c r="D2556" s="422" t="s">
        <v>400</v>
      </c>
      <c r="E2556" s="423"/>
      <c r="F2556" s="424">
        <v>30</v>
      </c>
      <c r="G2556" s="425">
        <f>VLOOKUP(D2552,'[2]ENSAIOS DE ORÇAMENTO'!$C$3:$L$79,3,FALSE)</f>
        <v>0</v>
      </c>
      <c r="H2556" s="663">
        <f t="shared" si="684"/>
        <v>0</v>
      </c>
      <c r="I2556" s="420"/>
      <c r="J2556" s="420"/>
      <c r="K2556" s="421">
        <f t="shared" si="666"/>
        <v>0</v>
      </c>
      <c r="L2556" s="647"/>
      <c r="M2556" s="723"/>
      <c r="N2556" s="576">
        <f t="shared" si="675"/>
        <v>0</v>
      </c>
      <c r="O2556" s="577">
        <f t="shared" si="669"/>
        <v>0</v>
      </c>
      <c r="P2556" s="578">
        <f t="shared" si="670"/>
        <v>0</v>
      </c>
      <c r="Q2556" s="765"/>
      <c r="R2556" s="723"/>
      <c r="S2556" s="723"/>
      <c r="T2556" s="577">
        <f t="shared" si="667"/>
        <v>0</v>
      </c>
      <c r="U2556" s="578">
        <f t="shared" si="668"/>
        <v>0</v>
      </c>
      <c r="V2556" s="579"/>
      <c r="W2556" s="566" t="str">
        <f>IF(U2552&gt;0,"xx",IF(P2552&gt;0,"xy",""))</f>
        <v/>
      </c>
      <c r="X2556" s="586" t="str">
        <f t="shared" si="681"/>
        <v/>
      </c>
      <c r="Y2556" s="586" t="str">
        <f t="shared" si="672"/>
        <v/>
      </c>
      <c r="Z2556" s="586" t="str">
        <f t="shared" si="680"/>
        <v/>
      </c>
    </row>
    <row r="2557" spans="1:26" ht="12" hidden="1" thickBot="1" x14ac:dyDescent="0.25">
      <c r="A2557" s="567" t="s">
        <v>168</v>
      </c>
      <c r="B2557" s="644" t="s">
        <v>168</v>
      </c>
      <c r="C2557" s="645"/>
      <c r="D2557" s="422" t="s">
        <v>401</v>
      </c>
      <c r="E2557" s="423"/>
      <c r="F2557" s="424">
        <v>500</v>
      </c>
      <c r="G2557" s="425">
        <f>VLOOKUP(D2552,'[2]ENSAIOS DE ORÇAMENTO'!$C$3:$L$79,10,FALSE)</f>
        <v>0</v>
      </c>
      <c r="H2557" s="649">
        <f>IF(F2557&lt;=30,(0.78*F2557+7.82)*G2557,((0.78*30+7.82)+0.78*(F2557-30))*G2557)</f>
        <v>0</v>
      </c>
      <c r="I2557" s="420"/>
      <c r="J2557" s="420"/>
      <c r="K2557" s="421">
        <f t="shared" si="666"/>
        <v>0</v>
      </c>
      <c r="L2557" s="647"/>
      <c r="M2557" s="723"/>
      <c r="N2557" s="576">
        <f t="shared" si="675"/>
        <v>0</v>
      </c>
      <c r="O2557" s="577">
        <f t="shared" si="669"/>
        <v>0</v>
      </c>
      <c r="P2557" s="578">
        <f t="shared" si="670"/>
        <v>0</v>
      </c>
      <c r="Q2557" s="765"/>
      <c r="R2557" s="723"/>
      <c r="S2557" s="723"/>
      <c r="T2557" s="577">
        <f t="shared" si="667"/>
        <v>0</v>
      </c>
      <c r="U2557" s="578">
        <f t="shared" si="668"/>
        <v>0</v>
      </c>
      <c r="V2557" s="579"/>
      <c r="W2557" s="566" t="str">
        <f>IF(U2552&gt;0,"xx",IF(P2552&gt;0,"xy",""))</f>
        <v/>
      </c>
      <c r="X2557" s="586" t="str">
        <f t="shared" si="681"/>
        <v/>
      </c>
      <c r="Y2557" s="586" t="str">
        <f t="shared" si="672"/>
        <v/>
      </c>
      <c r="Z2557" s="586" t="str">
        <f t="shared" si="680"/>
        <v/>
      </c>
    </row>
    <row r="2558" spans="1:26" ht="12" hidden="1" thickBot="1" x14ac:dyDescent="0.25">
      <c r="A2558" s="567" t="s">
        <v>53</v>
      </c>
      <c r="B2558" s="644" t="s">
        <v>53</v>
      </c>
      <c r="C2558" s="645" t="s">
        <v>206</v>
      </c>
      <c r="D2558" s="422" t="s">
        <v>164</v>
      </c>
      <c r="E2558" s="423"/>
      <c r="F2558" s="424"/>
      <c r="G2558" s="425"/>
      <c r="H2558" s="651">
        <f>SUM(H2559:H2563)</f>
        <v>2044.4262430000003</v>
      </c>
      <c r="I2558" s="420">
        <f>VLOOKUP(D2558,'[2]ENSAIOS DE ORÇAMENTO'!$C$3:$L$79,8,FALSE)</f>
        <v>3327.3276800000003</v>
      </c>
      <c r="J2558" s="420">
        <f>IF(ISBLANK(I2558),"",SUM(H2558:I2558))</f>
        <v>5371.7539230000002</v>
      </c>
      <c r="K2558" s="421">
        <f t="shared" si="666"/>
        <v>6382.18</v>
      </c>
      <c r="L2558" s="647" t="s">
        <v>21</v>
      </c>
      <c r="M2558" s="576"/>
      <c r="N2558" s="576">
        <f t="shared" si="675"/>
        <v>0</v>
      </c>
      <c r="O2558" s="577">
        <f t="shared" si="669"/>
        <v>0</v>
      </c>
      <c r="P2558" s="578">
        <f t="shared" si="670"/>
        <v>0</v>
      </c>
      <c r="Q2558" s="765"/>
      <c r="R2558" s="576">
        <f>M2558</f>
        <v>0</v>
      </c>
      <c r="S2558" s="576">
        <f>N2558</f>
        <v>0</v>
      </c>
      <c r="T2558" s="577">
        <f t="shared" si="667"/>
        <v>0</v>
      </c>
      <c r="U2558" s="578">
        <f t="shared" si="668"/>
        <v>0</v>
      </c>
      <c r="V2558" s="579"/>
      <c r="W2558" s="566"/>
      <c r="X2558" s="586" t="str">
        <f t="shared" si="681"/>
        <v/>
      </c>
      <c r="Y2558" s="586" t="str">
        <f t="shared" si="672"/>
        <v/>
      </c>
      <c r="Z2558" s="586" t="str">
        <f t="shared" si="680"/>
        <v/>
      </c>
    </row>
    <row r="2559" spans="1:26" ht="12" hidden="1" thickBot="1" x14ac:dyDescent="0.25">
      <c r="A2559" s="567" t="s">
        <v>168</v>
      </c>
      <c r="B2559" s="644" t="s">
        <v>168</v>
      </c>
      <c r="C2559" s="645"/>
      <c r="D2559" s="422" t="s">
        <v>212</v>
      </c>
      <c r="E2559" s="423"/>
      <c r="F2559" s="424">
        <v>500</v>
      </c>
      <c r="G2559" s="425">
        <f>VLOOKUP(D2558,'[2]ENSAIOS DE ORÇAMENTO'!$C$3:$L$79,4,FALSE)</f>
        <v>1.4740100000000003</v>
      </c>
      <c r="H2559" s="649">
        <f>IF(F2559&lt;=30,(0.78*F2559+7.82)*G2559,((0.78*30+7.82)+0.78*(F2559-30))*G2559)</f>
        <v>586.39065820000019</v>
      </c>
      <c r="I2559" s="420"/>
      <c r="J2559" s="420"/>
      <c r="K2559" s="421">
        <f t="shared" si="666"/>
        <v>0</v>
      </c>
      <c r="L2559" s="647"/>
      <c r="M2559" s="723"/>
      <c r="N2559" s="576">
        <f t="shared" si="675"/>
        <v>0</v>
      </c>
      <c r="O2559" s="577">
        <f t="shared" si="669"/>
        <v>0</v>
      </c>
      <c r="P2559" s="578">
        <f t="shared" si="670"/>
        <v>0</v>
      </c>
      <c r="Q2559" s="765"/>
      <c r="R2559" s="723"/>
      <c r="S2559" s="723"/>
      <c r="T2559" s="577">
        <f t="shared" si="667"/>
        <v>0</v>
      </c>
      <c r="U2559" s="578">
        <f t="shared" si="668"/>
        <v>0</v>
      </c>
      <c r="V2559" s="579"/>
      <c r="W2559" s="566" t="str">
        <f>IF(U2558&gt;0,"xx",IF(P2558&gt;0,"xy",""))</f>
        <v/>
      </c>
      <c r="X2559" s="586" t="str">
        <f t="shared" si="681"/>
        <v/>
      </c>
      <c r="Y2559" s="586" t="str">
        <f t="shared" si="672"/>
        <v/>
      </c>
      <c r="Z2559" s="586" t="str">
        <f t="shared" si="680"/>
        <v/>
      </c>
    </row>
    <row r="2560" spans="1:26" ht="12" hidden="1" thickBot="1" x14ac:dyDescent="0.25">
      <c r="A2560" s="567" t="s">
        <v>168</v>
      </c>
      <c r="B2560" s="644" t="s">
        <v>168</v>
      </c>
      <c r="C2560" s="645"/>
      <c r="D2560" s="422" t="s">
        <v>248</v>
      </c>
      <c r="E2560" s="423"/>
      <c r="F2560" s="424">
        <v>180</v>
      </c>
      <c r="G2560" s="425">
        <f>VLOOKUP(D2558,'[2]ENSAIOS DE ORÇAMENTO'!$C$3:$L$79,5,FALSE)</f>
        <v>6.0316799999999997</v>
      </c>
      <c r="H2560" s="663">
        <f t="shared" ref="H2560:H2562" si="685">IF(F2560&lt;=30,(1.07*F2560+2.68)*G2560,((1.07*30+2.68)+1.07*(F2560-30))*G2560)</f>
        <v>1177.8664704</v>
      </c>
      <c r="I2560" s="420"/>
      <c r="J2560" s="420"/>
      <c r="K2560" s="421">
        <f t="shared" ref="K2560:K2623" si="686">IF(ISBLANK(I2560),0,ROUND(J2560*(1+$F$10)*(1+$F$11*E2560),2))</f>
        <v>0</v>
      </c>
      <c r="L2560" s="647"/>
      <c r="M2560" s="723"/>
      <c r="N2560" s="576">
        <f t="shared" si="675"/>
        <v>0</v>
      </c>
      <c r="O2560" s="577">
        <f t="shared" si="669"/>
        <v>0</v>
      </c>
      <c r="P2560" s="578">
        <f t="shared" si="670"/>
        <v>0</v>
      </c>
      <c r="Q2560" s="765"/>
      <c r="R2560" s="723"/>
      <c r="S2560" s="723"/>
      <c r="T2560" s="577">
        <f t="shared" ref="T2560:T2623" si="687">IF(ISBLANK(R2560),0,ROUND(K2560*R2560,2))</f>
        <v>0</v>
      </c>
      <c r="U2560" s="578">
        <f t="shared" ref="U2560:U2623" si="688">IF(ISBLANK(R2560),0,ROUND(R2560*S2560,2))</f>
        <v>0</v>
      </c>
      <c r="V2560" s="579"/>
      <c r="W2560" s="566" t="str">
        <f>IF(U2558&gt;0,"xx",IF(P2558&gt;0,"xy",""))</f>
        <v/>
      </c>
      <c r="X2560" s="586" t="str">
        <f t="shared" si="681"/>
        <v/>
      </c>
      <c r="Y2560" s="586" t="str">
        <f t="shared" si="672"/>
        <v/>
      </c>
      <c r="Z2560" s="586" t="str">
        <f t="shared" si="680"/>
        <v/>
      </c>
    </row>
    <row r="2561" spans="1:26" ht="12" hidden="1" thickBot="1" x14ac:dyDescent="0.25">
      <c r="A2561" s="567" t="s">
        <v>168</v>
      </c>
      <c r="B2561" s="644" t="s">
        <v>168</v>
      </c>
      <c r="C2561" s="645"/>
      <c r="D2561" s="422" t="s">
        <v>252</v>
      </c>
      <c r="E2561" s="423"/>
      <c r="F2561" s="424">
        <v>20</v>
      </c>
      <c r="G2561" s="425">
        <f>VLOOKUP(D2558,'[2]ENSAIOS DE ORÇAMENTO'!$C$3:$L$79,6,FALSE)</f>
        <v>11.634930000000001</v>
      </c>
      <c r="H2561" s="663">
        <f t="shared" si="685"/>
        <v>280.16911440000001</v>
      </c>
      <c r="I2561" s="420"/>
      <c r="J2561" s="420"/>
      <c r="K2561" s="421">
        <f t="shared" si="686"/>
        <v>0</v>
      </c>
      <c r="L2561" s="647"/>
      <c r="M2561" s="723"/>
      <c r="N2561" s="576">
        <f t="shared" si="675"/>
        <v>0</v>
      </c>
      <c r="O2561" s="577">
        <f t="shared" ref="O2561:O2624" si="689">IF(ISBLANK(M2561),0,ROUND(K2561*M2561,2))</f>
        <v>0</v>
      </c>
      <c r="P2561" s="578">
        <f t="shared" ref="P2561:P2624" si="690">IF(ISBLANK(N2561),0,ROUND(M2561*N2561,2))</f>
        <v>0</v>
      </c>
      <c r="Q2561" s="765"/>
      <c r="R2561" s="723"/>
      <c r="S2561" s="723"/>
      <c r="T2561" s="577">
        <f t="shared" si="687"/>
        <v>0</v>
      </c>
      <c r="U2561" s="578">
        <f t="shared" si="688"/>
        <v>0</v>
      </c>
      <c r="V2561" s="579"/>
      <c r="W2561" s="566" t="str">
        <f>IF(U2558&gt;0,"xx",IF(P2558&gt;0,"xy",""))</f>
        <v/>
      </c>
      <c r="X2561" s="586" t="str">
        <f t="shared" si="681"/>
        <v/>
      </c>
      <c r="Y2561" s="586" t="str">
        <f t="shared" si="672"/>
        <v/>
      </c>
      <c r="Z2561" s="586" t="str">
        <f t="shared" si="680"/>
        <v/>
      </c>
    </row>
    <row r="2562" spans="1:26" ht="12" hidden="1" thickBot="1" x14ac:dyDescent="0.25">
      <c r="A2562" s="567" t="s">
        <v>168</v>
      </c>
      <c r="B2562" s="644" t="s">
        <v>168</v>
      </c>
      <c r="C2562" s="645"/>
      <c r="D2562" s="422" t="s">
        <v>400</v>
      </c>
      <c r="E2562" s="423"/>
      <c r="F2562" s="424">
        <v>30</v>
      </c>
      <c r="G2562" s="425">
        <f>VLOOKUP(D2558,'[2]ENSAIOS DE ORÇAMENTO'!$C$3:$L$79,3,FALSE)</f>
        <v>0</v>
      </c>
      <c r="H2562" s="663">
        <f t="shared" si="685"/>
        <v>0</v>
      </c>
      <c r="I2562" s="420"/>
      <c r="J2562" s="420"/>
      <c r="K2562" s="421">
        <f t="shared" si="686"/>
        <v>0</v>
      </c>
      <c r="L2562" s="647"/>
      <c r="M2562" s="723"/>
      <c r="N2562" s="576">
        <f t="shared" si="675"/>
        <v>0</v>
      </c>
      <c r="O2562" s="577">
        <f t="shared" si="689"/>
        <v>0</v>
      </c>
      <c r="P2562" s="578">
        <f t="shared" si="690"/>
        <v>0</v>
      </c>
      <c r="Q2562" s="765"/>
      <c r="R2562" s="723"/>
      <c r="S2562" s="723"/>
      <c r="T2562" s="577">
        <f t="shared" si="687"/>
        <v>0</v>
      </c>
      <c r="U2562" s="578">
        <f t="shared" si="688"/>
        <v>0</v>
      </c>
      <c r="V2562" s="579"/>
      <c r="W2562" s="566" t="str">
        <f>IF(U2558&gt;0,"xx",IF(P2558&gt;0,"xy",""))</f>
        <v/>
      </c>
      <c r="X2562" s="586" t="str">
        <f t="shared" si="681"/>
        <v/>
      </c>
      <c r="Y2562" s="586" t="str">
        <f t="shared" si="672"/>
        <v/>
      </c>
      <c r="Z2562" s="586" t="str">
        <f t="shared" si="680"/>
        <v/>
      </c>
    </row>
    <row r="2563" spans="1:26" ht="12" hidden="1" thickBot="1" x14ac:dyDescent="0.25">
      <c r="A2563" s="567" t="s">
        <v>168</v>
      </c>
      <c r="B2563" s="644" t="s">
        <v>168</v>
      </c>
      <c r="C2563" s="645"/>
      <c r="D2563" s="422" t="s">
        <v>401</v>
      </c>
      <c r="E2563" s="423"/>
      <c r="F2563" s="424">
        <v>500</v>
      </c>
      <c r="G2563" s="425">
        <f>VLOOKUP(D2558,'[2]ENSAIOS DE ORÇAMENTO'!$C$3:$L$79,10,FALSE)</f>
        <v>0</v>
      </c>
      <c r="H2563" s="649">
        <f>IF(F2563&lt;=30,(0.78*F2563+7.82)*G2563,((0.78*30+7.82)+0.78*(F2563-30))*G2563)</f>
        <v>0</v>
      </c>
      <c r="I2563" s="420"/>
      <c r="J2563" s="420"/>
      <c r="K2563" s="421">
        <f t="shared" si="686"/>
        <v>0</v>
      </c>
      <c r="L2563" s="647"/>
      <c r="M2563" s="723"/>
      <c r="N2563" s="576">
        <f t="shared" si="675"/>
        <v>0</v>
      </c>
      <c r="O2563" s="577">
        <f t="shared" si="689"/>
        <v>0</v>
      </c>
      <c r="P2563" s="578">
        <f t="shared" si="690"/>
        <v>0</v>
      </c>
      <c r="Q2563" s="765"/>
      <c r="R2563" s="723"/>
      <c r="S2563" s="723"/>
      <c r="T2563" s="577">
        <f t="shared" si="687"/>
        <v>0</v>
      </c>
      <c r="U2563" s="578">
        <f t="shared" si="688"/>
        <v>0</v>
      </c>
      <c r="V2563" s="579"/>
      <c r="W2563" s="566" t="str">
        <f>IF(U2558&gt;0,"xx",IF(P2558&gt;0,"xy",""))</f>
        <v/>
      </c>
      <c r="X2563" s="586" t="str">
        <f t="shared" si="681"/>
        <v/>
      </c>
      <c r="Y2563" s="586" t="str">
        <f t="shared" si="672"/>
        <v/>
      </c>
      <c r="Z2563" s="586" t="str">
        <f t="shared" si="680"/>
        <v/>
      </c>
    </row>
    <row r="2564" spans="1:26" ht="12" hidden="1" thickBot="1" x14ac:dyDescent="0.25">
      <c r="A2564" s="567" t="s">
        <v>53</v>
      </c>
      <c r="B2564" s="644" t="s">
        <v>53</v>
      </c>
      <c r="C2564" s="645" t="s">
        <v>206</v>
      </c>
      <c r="D2564" s="422" t="s">
        <v>165</v>
      </c>
      <c r="E2564" s="423"/>
      <c r="F2564" s="424"/>
      <c r="G2564" s="425"/>
      <c r="H2564" s="651">
        <f>SUM(H2565:H2569)</f>
        <v>3375.5045890000001</v>
      </c>
      <c r="I2564" s="420">
        <f>VLOOKUP(D2564,'[2]ENSAIOS DE ORÇAMENTO'!$C$3:$L$79,8,FALSE)</f>
        <v>5392.3903933333331</v>
      </c>
      <c r="J2564" s="420">
        <f>IF(ISBLANK(I2564),"",SUM(H2564:I2564))</f>
        <v>8767.8949823333332</v>
      </c>
      <c r="K2564" s="421">
        <f t="shared" si="686"/>
        <v>10417.14</v>
      </c>
      <c r="L2564" s="647" t="s">
        <v>21</v>
      </c>
      <c r="M2564" s="576"/>
      <c r="N2564" s="576">
        <f t="shared" si="675"/>
        <v>0</v>
      </c>
      <c r="O2564" s="577">
        <f t="shared" si="689"/>
        <v>0</v>
      </c>
      <c r="P2564" s="578">
        <f t="shared" si="690"/>
        <v>0</v>
      </c>
      <c r="Q2564" s="765"/>
      <c r="R2564" s="576">
        <f>M2564</f>
        <v>0</v>
      </c>
      <c r="S2564" s="576">
        <f>N2564</f>
        <v>0</v>
      </c>
      <c r="T2564" s="577">
        <f t="shared" si="687"/>
        <v>0</v>
      </c>
      <c r="U2564" s="578">
        <f t="shared" si="688"/>
        <v>0</v>
      </c>
      <c r="V2564" s="579"/>
      <c r="W2564" s="566"/>
      <c r="X2564" s="586" t="str">
        <f t="shared" si="681"/>
        <v/>
      </c>
      <c r="Y2564" s="586" t="str">
        <f t="shared" si="672"/>
        <v/>
      </c>
      <c r="Z2564" s="586" t="str">
        <f t="shared" si="680"/>
        <v/>
      </c>
    </row>
    <row r="2565" spans="1:26" ht="12" hidden="1" thickBot="1" x14ac:dyDescent="0.25">
      <c r="A2565" s="567" t="s">
        <v>168</v>
      </c>
      <c r="B2565" s="644" t="s">
        <v>168</v>
      </c>
      <c r="C2565" s="645"/>
      <c r="D2565" s="422" t="s">
        <v>212</v>
      </c>
      <c r="E2565" s="423"/>
      <c r="F2565" s="424">
        <v>500</v>
      </c>
      <c r="G2565" s="425">
        <f>VLOOKUP(D2564,'[2]ENSAIOS DE ORÇAMENTO'!$C$3:$L$79,4,FALSE)</f>
        <v>2.41967</v>
      </c>
      <c r="H2565" s="649">
        <f>IF(F2565&lt;=30,(0.78*F2565+7.82)*G2565,((0.78*30+7.82)+0.78*(F2565-30))*G2565)</f>
        <v>962.59311940000009</v>
      </c>
      <c r="I2565" s="420"/>
      <c r="J2565" s="420"/>
      <c r="K2565" s="421">
        <f t="shared" si="686"/>
        <v>0</v>
      </c>
      <c r="L2565" s="647"/>
      <c r="M2565" s="723"/>
      <c r="N2565" s="576">
        <f t="shared" si="675"/>
        <v>0</v>
      </c>
      <c r="O2565" s="577">
        <f t="shared" si="689"/>
        <v>0</v>
      </c>
      <c r="P2565" s="578">
        <f t="shared" si="690"/>
        <v>0</v>
      </c>
      <c r="Q2565" s="765"/>
      <c r="R2565" s="723"/>
      <c r="S2565" s="723"/>
      <c r="T2565" s="577">
        <f t="shared" si="687"/>
        <v>0</v>
      </c>
      <c r="U2565" s="578">
        <f t="shared" si="688"/>
        <v>0</v>
      </c>
      <c r="V2565" s="579"/>
      <c r="W2565" s="566" t="str">
        <f>IF(U2564&gt;0,"xx",IF(P2564&gt;0,"xy",""))</f>
        <v/>
      </c>
      <c r="X2565" s="586" t="str">
        <f t="shared" si="681"/>
        <v/>
      </c>
      <c r="Y2565" s="586" t="str">
        <f t="shared" si="672"/>
        <v/>
      </c>
      <c r="Z2565" s="586" t="str">
        <f t="shared" si="680"/>
        <v/>
      </c>
    </row>
    <row r="2566" spans="1:26" ht="12" hidden="1" thickBot="1" x14ac:dyDescent="0.25">
      <c r="A2566" s="567" t="s">
        <v>168</v>
      </c>
      <c r="B2566" s="644" t="s">
        <v>168</v>
      </c>
      <c r="C2566" s="645"/>
      <c r="D2566" s="422" t="s">
        <v>248</v>
      </c>
      <c r="E2566" s="423"/>
      <c r="F2566" s="424">
        <v>180</v>
      </c>
      <c r="G2566" s="425">
        <f>VLOOKUP(D2564,'[2]ENSAIOS DE ORÇAMENTO'!$C$3:$L$79,5,FALSE)</f>
        <v>9.9546600000000005</v>
      </c>
      <c r="H2566" s="663">
        <f t="shared" ref="H2566:H2568" si="691">IF(F2566&lt;=30,(1.07*F2566+2.68)*G2566,((1.07*30+2.68)+1.07*(F2566-30))*G2566)</f>
        <v>1943.9460048000001</v>
      </c>
      <c r="I2566" s="420"/>
      <c r="J2566" s="420"/>
      <c r="K2566" s="421">
        <f t="shared" si="686"/>
        <v>0</v>
      </c>
      <c r="L2566" s="647"/>
      <c r="M2566" s="723"/>
      <c r="N2566" s="576">
        <f t="shared" si="675"/>
        <v>0</v>
      </c>
      <c r="O2566" s="577">
        <f t="shared" si="689"/>
        <v>0</v>
      </c>
      <c r="P2566" s="578">
        <f t="shared" si="690"/>
        <v>0</v>
      </c>
      <c r="Q2566" s="765"/>
      <c r="R2566" s="723"/>
      <c r="S2566" s="723"/>
      <c r="T2566" s="577">
        <f t="shared" si="687"/>
        <v>0</v>
      </c>
      <c r="U2566" s="578">
        <f t="shared" si="688"/>
        <v>0</v>
      </c>
      <c r="V2566" s="579"/>
      <c r="W2566" s="566" t="str">
        <f>IF(U2564&gt;0,"xx",IF(P2564&gt;0,"xy",""))</f>
        <v/>
      </c>
      <c r="X2566" s="586" t="str">
        <f t="shared" si="681"/>
        <v/>
      </c>
      <c r="Y2566" s="586" t="str">
        <f t="shared" si="672"/>
        <v/>
      </c>
      <c r="Z2566" s="586" t="str">
        <f t="shared" si="680"/>
        <v/>
      </c>
    </row>
    <row r="2567" spans="1:26" ht="12" hidden="1" thickBot="1" x14ac:dyDescent="0.25">
      <c r="A2567" s="567" t="s">
        <v>168</v>
      </c>
      <c r="B2567" s="644" t="s">
        <v>168</v>
      </c>
      <c r="C2567" s="645"/>
      <c r="D2567" s="422" t="s">
        <v>252</v>
      </c>
      <c r="E2567" s="423"/>
      <c r="F2567" s="424">
        <v>20</v>
      </c>
      <c r="G2567" s="425">
        <f>VLOOKUP(D2564,'[2]ENSAIOS DE ORÇAMENTO'!$C$3:$L$79,6,FALSE)</f>
        <v>19.47531</v>
      </c>
      <c r="H2567" s="663">
        <f t="shared" si="691"/>
        <v>468.96546480000006</v>
      </c>
      <c r="I2567" s="420"/>
      <c r="J2567" s="420"/>
      <c r="K2567" s="421">
        <f t="shared" si="686"/>
        <v>0</v>
      </c>
      <c r="L2567" s="647"/>
      <c r="M2567" s="723"/>
      <c r="N2567" s="576">
        <f t="shared" si="675"/>
        <v>0</v>
      </c>
      <c r="O2567" s="577">
        <f t="shared" si="689"/>
        <v>0</v>
      </c>
      <c r="P2567" s="578">
        <f t="shared" si="690"/>
        <v>0</v>
      </c>
      <c r="Q2567" s="765"/>
      <c r="R2567" s="723"/>
      <c r="S2567" s="723"/>
      <c r="T2567" s="577">
        <f t="shared" si="687"/>
        <v>0</v>
      </c>
      <c r="U2567" s="578">
        <f t="shared" si="688"/>
        <v>0</v>
      </c>
      <c r="V2567" s="579"/>
      <c r="W2567" s="566" t="str">
        <f>IF(U2564&gt;0,"xx",IF(P2564&gt;0,"xy",""))</f>
        <v/>
      </c>
      <c r="X2567" s="586" t="str">
        <f t="shared" si="681"/>
        <v/>
      </c>
      <c r="Y2567" s="586" t="str">
        <f t="shared" si="672"/>
        <v/>
      </c>
      <c r="Z2567" s="586" t="str">
        <f t="shared" si="680"/>
        <v/>
      </c>
    </row>
    <row r="2568" spans="1:26" ht="12" hidden="1" thickBot="1" x14ac:dyDescent="0.25">
      <c r="A2568" s="567" t="s">
        <v>168</v>
      </c>
      <c r="B2568" s="644" t="s">
        <v>168</v>
      </c>
      <c r="C2568" s="645"/>
      <c r="D2568" s="422" t="s">
        <v>400</v>
      </c>
      <c r="E2568" s="423"/>
      <c r="F2568" s="424">
        <v>30</v>
      </c>
      <c r="G2568" s="425">
        <f>VLOOKUP(D2564,'[2]ENSAIOS DE ORÇAMENTO'!$C$3:$L$79,3,FALSE)</f>
        <v>0</v>
      </c>
      <c r="H2568" s="663">
        <f t="shared" si="691"/>
        <v>0</v>
      </c>
      <c r="I2568" s="420"/>
      <c r="J2568" s="420"/>
      <c r="K2568" s="421">
        <f t="shared" si="686"/>
        <v>0</v>
      </c>
      <c r="L2568" s="647"/>
      <c r="M2568" s="723"/>
      <c r="N2568" s="576">
        <f t="shared" si="675"/>
        <v>0</v>
      </c>
      <c r="O2568" s="577">
        <f t="shared" si="689"/>
        <v>0</v>
      </c>
      <c r="P2568" s="578">
        <f t="shared" si="690"/>
        <v>0</v>
      </c>
      <c r="Q2568" s="765"/>
      <c r="R2568" s="723"/>
      <c r="S2568" s="723"/>
      <c r="T2568" s="577">
        <f t="shared" si="687"/>
        <v>0</v>
      </c>
      <c r="U2568" s="578">
        <f t="shared" si="688"/>
        <v>0</v>
      </c>
      <c r="V2568" s="579"/>
      <c r="W2568" s="566" t="str">
        <f>IF(U2564&gt;0,"xx",IF(P2564&gt;0,"xy",""))</f>
        <v/>
      </c>
      <c r="X2568" s="586" t="str">
        <f t="shared" si="681"/>
        <v/>
      </c>
      <c r="Y2568" s="586" t="str">
        <f t="shared" ref="Y2568:Y2631" si="692">IF(W2568="X","x",IF(W2568="y","x",IF(W2568="xx","x",IF(U2568&gt;0,"x",""))))</f>
        <v/>
      </c>
      <c r="Z2568" s="586" t="str">
        <f t="shared" si="680"/>
        <v/>
      </c>
    </row>
    <row r="2569" spans="1:26" ht="12" hidden="1" thickBot="1" x14ac:dyDescent="0.25">
      <c r="A2569" s="567" t="s">
        <v>168</v>
      </c>
      <c r="B2569" s="644" t="s">
        <v>168</v>
      </c>
      <c r="C2569" s="645"/>
      <c r="D2569" s="422" t="s">
        <v>401</v>
      </c>
      <c r="E2569" s="423"/>
      <c r="F2569" s="424">
        <v>500</v>
      </c>
      <c r="G2569" s="425">
        <f>VLOOKUP(D2564,'[2]ENSAIOS DE ORÇAMENTO'!$C$3:$L$79,10,FALSE)</f>
        <v>0</v>
      </c>
      <c r="H2569" s="649">
        <f>IF(F2569&lt;=30,(0.78*F2569+7.82)*G2569,((0.78*30+7.82)+0.78*(F2569-30))*G2569)</f>
        <v>0</v>
      </c>
      <c r="I2569" s="420"/>
      <c r="J2569" s="420"/>
      <c r="K2569" s="421">
        <f t="shared" si="686"/>
        <v>0</v>
      </c>
      <c r="L2569" s="647"/>
      <c r="M2569" s="723"/>
      <c r="N2569" s="576">
        <f t="shared" si="675"/>
        <v>0</v>
      </c>
      <c r="O2569" s="577">
        <f t="shared" si="689"/>
        <v>0</v>
      </c>
      <c r="P2569" s="578">
        <f t="shared" si="690"/>
        <v>0</v>
      </c>
      <c r="Q2569" s="765"/>
      <c r="R2569" s="723"/>
      <c r="S2569" s="723"/>
      <c r="T2569" s="577">
        <f t="shared" si="687"/>
        <v>0</v>
      </c>
      <c r="U2569" s="578">
        <f t="shared" si="688"/>
        <v>0</v>
      </c>
      <c r="V2569" s="579"/>
      <c r="W2569" s="566" t="str">
        <f>IF(U2564&gt;0,"xx",IF(P2564&gt;0,"xy",""))</f>
        <v/>
      </c>
      <c r="X2569" s="586" t="str">
        <f t="shared" si="681"/>
        <v/>
      </c>
      <c r="Y2569" s="586" t="str">
        <f t="shared" si="692"/>
        <v/>
      </c>
      <c r="Z2569" s="586" t="str">
        <f t="shared" si="680"/>
        <v/>
      </c>
    </row>
    <row r="2570" spans="1:26" ht="12" hidden="1" thickBot="1" x14ac:dyDescent="0.25">
      <c r="A2570" s="567" t="s">
        <v>428</v>
      </c>
      <c r="B2570" s="644" t="s">
        <v>428</v>
      </c>
      <c r="C2570" s="645" t="s">
        <v>206</v>
      </c>
      <c r="D2570" s="422" t="str">
        <f>'[2]ENSAIOS DE ORÇAMENTO'!C70</f>
        <v>ENSAIO DE ORÇAMENTO 1</v>
      </c>
      <c r="E2570" s="423"/>
      <c r="F2570" s="424"/>
      <c r="G2570" s="425"/>
      <c r="H2570" s="651">
        <f>SUM(H2571:H2575)</f>
        <v>0</v>
      </c>
      <c r="I2570" s="420">
        <f>VLOOKUP(D2570,'[2]ENSAIOS DE ORÇAMENTO'!$C$3:$L$79,8,FALSE)</f>
        <v>0</v>
      </c>
      <c r="J2570" s="420">
        <f t="shared" ref="J2570:J2588" si="693">IF(ISBLANK(I2570),"",SUM(H2570:I2570))</f>
        <v>0</v>
      </c>
      <c r="K2570" s="421">
        <f t="shared" si="686"/>
        <v>0</v>
      </c>
      <c r="L2570" s="647" t="s">
        <v>21</v>
      </c>
      <c r="M2570" s="576"/>
      <c r="N2570" s="576">
        <f t="shared" si="675"/>
        <v>0</v>
      </c>
      <c r="O2570" s="577">
        <f t="shared" si="689"/>
        <v>0</v>
      </c>
      <c r="P2570" s="578">
        <f t="shared" si="690"/>
        <v>0</v>
      </c>
      <c r="Q2570" s="765"/>
      <c r="R2570" s="576">
        <f>M2570</f>
        <v>0</v>
      </c>
      <c r="S2570" s="576">
        <f>N2570</f>
        <v>0</v>
      </c>
      <c r="T2570" s="577">
        <f t="shared" si="687"/>
        <v>0</v>
      </c>
      <c r="U2570" s="578">
        <f t="shared" si="688"/>
        <v>0</v>
      </c>
      <c r="V2570" s="579"/>
      <c r="W2570" s="566"/>
      <c r="X2570" s="586" t="str">
        <f t="shared" si="681"/>
        <v/>
      </c>
      <c r="Y2570" s="586" t="str">
        <f t="shared" si="692"/>
        <v/>
      </c>
      <c r="Z2570" s="586" t="str">
        <f t="shared" si="680"/>
        <v/>
      </c>
    </row>
    <row r="2571" spans="1:26" ht="12" hidden="1" thickBot="1" x14ac:dyDescent="0.25">
      <c r="A2571" s="567" t="s">
        <v>168</v>
      </c>
      <c r="B2571" s="644" t="s">
        <v>168</v>
      </c>
      <c r="C2571" s="645"/>
      <c r="D2571" s="451" t="s">
        <v>212</v>
      </c>
      <c r="E2571" s="423"/>
      <c r="F2571" s="424">
        <v>500</v>
      </c>
      <c r="G2571" s="425">
        <f>VLOOKUP(D2570,'[2]ENSAIOS DE ORÇAMENTO'!$C$3:$L$79,4,FALSE)</f>
        <v>0</v>
      </c>
      <c r="H2571" s="649">
        <f>IF(F2571&lt;=30,(0.78*F2571+7.82)*G2571,((0.78*30+7.82)+0.78*(F2571-30))*G2571)</f>
        <v>0</v>
      </c>
      <c r="I2571" s="420"/>
      <c r="J2571" s="420" t="str">
        <f t="shared" si="693"/>
        <v/>
      </c>
      <c r="K2571" s="421">
        <f t="shared" si="686"/>
        <v>0</v>
      </c>
      <c r="L2571" s="668" t="s">
        <v>614</v>
      </c>
      <c r="M2571" s="669"/>
      <c r="N2571" s="576">
        <f t="shared" si="675"/>
        <v>0</v>
      </c>
      <c r="O2571" s="577">
        <f t="shared" si="689"/>
        <v>0</v>
      </c>
      <c r="P2571" s="578">
        <f t="shared" si="690"/>
        <v>0</v>
      </c>
      <c r="Q2571" s="765"/>
      <c r="R2571" s="669"/>
      <c r="S2571" s="670"/>
      <c r="T2571" s="577">
        <f t="shared" si="687"/>
        <v>0</v>
      </c>
      <c r="U2571" s="578">
        <f t="shared" si="688"/>
        <v>0</v>
      </c>
      <c r="V2571" s="579"/>
      <c r="W2571" s="637" t="str">
        <f>IF(U2570&gt;0,"xx",IF(P2570&gt;0,"xy",""))</f>
        <v/>
      </c>
      <c r="X2571" s="586" t="str">
        <f t="shared" si="681"/>
        <v/>
      </c>
      <c r="Y2571" s="586" t="str">
        <f t="shared" si="692"/>
        <v/>
      </c>
      <c r="Z2571" s="586" t="str">
        <f t="shared" si="680"/>
        <v/>
      </c>
    </row>
    <row r="2572" spans="1:26" ht="12" hidden="1" thickBot="1" x14ac:dyDescent="0.25">
      <c r="A2572" s="567" t="s">
        <v>168</v>
      </c>
      <c r="B2572" s="644" t="s">
        <v>168</v>
      </c>
      <c r="C2572" s="645"/>
      <c r="D2572" s="451" t="s">
        <v>248</v>
      </c>
      <c r="E2572" s="423"/>
      <c r="F2572" s="424">
        <v>180</v>
      </c>
      <c r="G2572" s="425">
        <f>VLOOKUP(D2570,'[2]ENSAIOS DE ORÇAMENTO'!$C$3:$L$79,5,FALSE)</f>
        <v>0</v>
      </c>
      <c r="H2572" s="663">
        <f t="shared" ref="H2572:H2574" si="694">IF(F2572&lt;=30,(1.07*F2572+2.68)*G2572,((1.07*30+2.68)+1.07*(F2572-30))*G2572)</f>
        <v>0</v>
      </c>
      <c r="I2572" s="420"/>
      <c r="J2572" s="420" t="str">
        <f t="shared" si="693"/>
        <v/>
      </c>
      <c r="K2572" s="421">
        <f t="shared" si="686"/>
        <v>0</v>
      </c>
      <c r="L2572" s="668" t="s">
        <v>614</v>
      </c>
      <c r="M2572" s="669"/>
      <c r="N2572" s="576">
        <f t="shared" si="675"/>
        <v>0</v>
      </c>
      <c r="O2572" s="577">
        <f t="shared" si="689"/>
        <v>0</v>
      </c>
      <c r="P2572" s="578">
        <f t="shared" si="690"/>
        <v>0</v>
      </c>
      <c r="Q2572" s="765"/>
      <c r="R2572" s="669"/>
      <c r="S2572" s="670"/>
      <c r="T2572" s="577">
        <f t="shared" si="687"/>
        <v>0</v>
      </c>
      <c r="U2572" s="578">
        <f t="shared" si="688"/>
        <v>0</v>
      </c>
      <c r="V2572" s="579"/>
      <c r="W2572" s="637" t="str">
        <f>IF(U2570&gt;0,"xx",IF(P2570&gt;0,"xy",""))</f>
        <v/>
      </c>
      <c r="X2572" s="586" t="str">
        <f t="shared" si="681"/>
        <v/>
      </c>
      <c r="Y2572" s="586" t="str">
        <f t="shared" si="692"/>
        <v/>
      </c>
      <c r="Z2572" s="586" t="str">
        <f t="shared" si="680"/>
        <v/>
      </c>
    </row>
    <row r="2573" spans="1:26" ht="12" hidden="1" thickBot="1" x14ac:dyDescent="0.25">
      <c r="A2573" s="567" t="s">
        <v>168</v>
      </c>
      <c r="B2573" s="644" t="s">
        <v>168</v>
      </c>
      <c r="C2573" s="645"/>
      <c r="D2573" s="451" t="s">
        <v>252</v>
      </c>
      <c r="E2573" s="423"/>
      <c r="F2573" s="424">
        <v>20</v>
      </c>
      <c r="G2573" s="425">
        <f>VLOOKUP(D2570,'[2]ENSAIOS DE ORÇAMENTO'!$C$3:$L$79,6,FALSE)</f>
        <v>0</v>
      </c>
      <c r="H2573" s="663">
        <f t="shared" si="694"/>
        <v>0</v>
      </c>
      <c r="I2573" s="420"/>
      <c r="J2573" s="420" t="str">
        <f t="shared" si="693"/>
        <v/>
      </c>
      <c r="K2573" s="421">
        <f t="shared" si="686"/>
        <v>0</v>
      </c>
      <c r="L2573" s="668" t="s">
        <v>614</v>
      </c>
      <c r="M2573" s="669"/>
      <c r="N2573" s="576">
        <f t="shared" si="675"/>
        <v>0</v>
      </c>
      <c r="O2573" s="577">
        <f t="shared" si="689"/>
        <v>0</v>
      </c>
      <c r="P2573" s="578">
        <f t="shared" si="690"/>
        <v>0</v>
      </c>
      <c r="Q2573" s="765"/>
      <c r="R2573" s="669"/>
      <c r="S2573" s="670"/>
      <c r="T2573" s="577">
        <f t="shared" si="687"/>
        <v>0</v>
      </c>
      <c r="U2573" s="578">
        <f t="shared" si="688"/>
        <v>0</v>
      </c>
      <c r="V2573" s="579"/>
      <c r="W2573" s="637" t="str">
        <f>IF(U2570&gt;0,"xx",IF(P2570&gt;0,"xy",""))</f>
        <v/>
      </c>
      <c r="X2573" s="586" t="str">
        <f t="shared" si="681"/>
        <v/>
      </c>
      <c r="Y2573" s="586" t="str">
        <f t="shared" si="692"/>
        <v/>
      </c>
      <c r="Z2573" s="586" t="str">
        <f t="shared" si="680"/>
        <v/>
      </c>
    </row>
    <row r="2574" spans="1:26" ht="12" hidden="1" thickBot="1" x14ac:dyDescent="0.25">
      <c r="A2574" s="567" t="s">
        <v>168</v>
      </c>
      <c r="B2574" s="644" t="s">
        <v>168</v>
      </c>
      <c r="C2574" s="645"/>
      <c r="D2574" s="451" t="s">
        <v>400</v>
      </c>
      <c r="E2574" s="423"/>
      <c r="F2574" s="424">
        <v>30</v>
      </c>
      <c r="G2574" s="425">
        <f>VLOOKUP(D2570,'[2]ENSAIOS DE ORÇAMENTO'!$C$3:$L$79,3,FALSE)</f>
        <v>0</v>
      </c>
      <c r="H2574" s="663">
        <f t="shared" si="694"/>
        <v>0</v>
      </c>
      <c r="I2574" s="420"/>
      <c r="J2574" s="420" t="str">
        <f t="shared" si="693"/>
        <v/>
      </c>
      <c r="K2574" s="421">
        <f t="shared" si="686"/>
        <v>0</v>
      </c>
      <c r="L2574" s="668" t="s">
        <v>614</v>
      </c>
      <c r="M2574" s="669"/>
      <c r="N2574" s="576">
        <f t="shared" si="675"/>
        <v>0</v>
      </c>
      <c r="O2574" s="577">
        <f t="shared" si="689"/>
        <v>0</v>
      </c>
      <c r="P2574" s="578">
        <f t="shared" si="690"/>
        <v>0</v>
      </c>
      <c r="Q2574" s="765"/>
      <c r="R2574" s="669"/>
      <c r="S2574" s="670"/>
      <c r="T2574" s="577">
        <f t="shared" si="687"/>
        <v>0</v>
      </c>
      <c r="U2574" s="578">
        <f t="shared" si="688"/>
        <v>0</v>
      </c>
      <c r="V2574" s="579"/>
      <c r="W2574" s="637" t="str">
        <f>IF(U2570&gt;0,"xx",IF(P2570&gt;0,"xy",""))</f>
        <v/>
      </c>
      <c r="X2574" s="586" t="str">
        <f t="shared" si="681"/>
        <v/>
      </c>
      <c r="Y2574" s="586" t="str">
        <f t="shared" si="692"/>
        <v/>
      </c>
      <c r="Z2574" s="586" t="str">
        <f t="shared" si="680"/>
        <v/>
      </c>
    </row>
    <row r="2575" spans="1:26" ht="12" hidden="1" thickBot="1" x14ac:dyDescent="0.25">
      <c r="A2575" s="567" t="s">
        <v>168</v>
      </c>
      <c r="B2575" s="644" t="s">
        <v>168</v>
      </c>
      <c r="C2575" s="645"/>
      <c r="D2575" s="451" t="s">
        <v>401</v>
      </c>
      <c r="E2575" s="423"/>
      <c r="F2575" s="424">
        <v>500</v>
      </c>
      <c r="G2575" s="425">
        <f>VLOOKUP(D2570,'[2]ENSAIOS DE ORÇAMENTO'!$C$3:$L$79,10,FALSE)</f>
        <v>0</v>
      </c>
      <c r="H2575" s="649">
        <f>IF(F2575&lt;=30,(0.78*F2575+7.82)*G2575,((0.78*30+7.82)+0.78*(F2575-30))*G2575)</f>
        <v>0</v>
      </c>
      <c r="I2575" s="420"/>
      <c r="J2575" s="420" t="str">
        <f t="shared" si="693"/>
        <v/>
      </c>
      <c r="K2575" s="421">
        <f t="shared" si="686"/>
        <v>0</v>
      </c>
      <c r="L2575" s="668" t="s">
        <v>614</v>
      </c>
      <c r="M2575" s="669"/>
      <c r="N2575" s="576">
        <f t="shared" si="675"/>
        <v>0</v>
      </c>
      <c r="O2575" s="577">
        <f t="shared" si="689"/>
        <v>0</v>
      </c>
      <c r="P2575" s="578">
        <f t="shared" si="690"/>
        <v>0</v>
      </c>
      <c r="Q2575" s="765"/>
      <c r="R2575" s="669"/>
      <c r="S2575" s="670"/>
      <c r="T2575" s="577">
        <f t="shared" si="687"/>
        <v>0</v>
      </c>
      <c r="U2575" s="578">
        <f t="shared" si="688"/>
        <v>0</v>
      </c>
      <c r="V2575" s="579"/>
      <c r="W2575" s="637" t="str">
        <f>IF(U2570&gt;0,"xx",IF(P2570&gt;0,"xy",""))</f>
        <v/>
      </c>
      <c r="X2575" s="586" t="str">
        <f t="shared" si="681"/>
        <v/>
      </c>
      <c r="Y2575" s="586" t="str">
        <f t="shared" si="692"/>
        <v/>
      </c>
      <c r="Z2575" s="586" t="str">
        <f t="shared" si="680"/>
        <v/>
      </c>
    </row>
    <row r="2576" spans="1:26" ht="12" hidden="1" thickBot="1" x14ac:dyDescent="0.25">
      <c r="A2576" s="567" t="s">
        <v>429</v>
      </c>
      <c r="B2576" s="644" t="s">
        <v>429</v>
      </c>
      <c r="C2576" s="645" t="s">
        <v>206</v>
      </c>
      <c r="D2576" s="422" t="str">
        <f>'[2]ENSAIOS DE ORÇAMENTO'!C71</f>
        <v>ENSAIO DE ORÇAMENTO 2</v>
      </c>
      <c r="E2576" s="423"/>
      <c r="F2576" s="424"/>
      <c r="G2576" s="425"/>
      <c r="H2576" s="651">
        <f>SUM(H2577:H2581)</f>
        <v>0</v>
      </c>
      <c r="I2576" s="420">
        <f>VLOOKUP(D2576,'[2]ENSAIOS DE ORÇAMENTO'!$C$3:$L$79,8,FALSE)</f>
        <v>0</v>
      </c>
      <c r="J2576" s="420">
        <f t="shared" si="693"/>
        <v>0</v>
      </c>
      <c r="K2576" s="421">
        <f t="shared" si="686"/>
        <v>0</v>
      </c>
      <c r="L2576" s="647" t="s">
        <v>21</v>
      </c>
      <c r="M2576" s="576"/>
      <c r="N2576" s="576">
        <f t="shared" si="675"/>
        <v>0</v>
      </c>
      <c r="O2576" s="577">
        <f t="shared" si="689"/>
        <v>0</v>
      </c>
      <c r="P2576" s="578">
        <f t="shared" si="690"/>
        <v>0</v>
      </c>
      <c r="Q2576" s="765"/>
      <c r="R2576" s="576">
        <f>M2576</f>
        <v>0</v>
      </c>
      <c r="S2576" s="576">
        <f>N2576</f>
        <v>0</v>
      </c>
      <c r="T2576" s="577">
        <f t="shared" si="687"/>
        <v>0</v>
      </c>
      <c r="U2576" s="578">
        <f t="shared" si="688"/>
        <v>0</v>
      </c>
      <c r="V2576" s="579"/>
      <c r="W2576" s="566"/>
      <c r="X2576" s="586" t="str">
        <f t="shared" si="681"/>
        <v/>
      </c>
      <c r="Y2576" s="586" t="str">
        <f t="shared" si="692"/>
        <v/>
      </c>
      <c r="Z2576" s="586" t="str">
        <f t="shared" si="680"/>
        <v/>
      </c>
    </row>
    <row r="2577" spans="1:26" ht="12" hidden="1" thickBot="1" x14ac:dyDescent="0.25">
      <c r="A2577" s="567" t="s">
        <v>168</v>
      </c>
      <c r="B2577" s="644" t="s">
        <v>168</v>
      </c>
      <c r="C2577" s="645"/>
      <c r="D2577" s="451" t="s">
        <v>212</v>
      </c>
      <c r="E2577" s="423"/>
      <c r="F2577" s="424">
        <v>500</v>
      </c>
      <c r="G2577" s="425">
        <f>VLOOKUP(D2576,'[2]ENSAIOS DE ORÇAMENTO'!$C$3:$L$79,4,FALSE)</f>
        <v>0</v>
      </c>
      <c r="H2577" s="649">
        <f>IF(F2577&lt;=30,(0.78*F2577+7.82)*G2577,((0.78*30+7.82)+0.78*(F2577-30))*G2577)</f>
        <v>0</v>
      </c>
      <c r="I2577" s="420"/>
      <c r="J2577" s="420" t="str">
        <f t="shared" si="693"/>
        <v/>
      </c>
      <c r="K2577" s="421">
        <f t="shared" si="686"/>
        <v>0</v>
      </c>
      <c r="L2577" s="668" t="s">
        <v>614</v>
      </c>
      <c r="M2577" s="669"/>
      <c r="N2577" s="576">
        <f t="shared" si="675"/>
        <v>0</v>
      </c>
      <c r="O2577" s="577">
        <f t="shared" si="689"/>
        <v>0</v>
      </c>
      <c r="P2577" s="578">
        <f t="shared" si="690"/>
        <v>0</v>
      </c>
      <c r="Q2577" s="765"/>
      <c r="R2577" s="669"/>
      <c r="S2577" s="670"/>
      <c r="T2577" s="577">
        <f t="shared" si="687"/>
        <v>0</v>
      </c>
      <c r="U2577" s="578">
        <f t="shared" si="688"/>
        <v>0</v>
      </c>
      <c r="V2577" s="579"/>
      <c r="W2577" s="637" t="str">
        <f>IF(U2576&gt;0,"xx",IF(P2576&gt;0,"xy",""))</f>
        <v/>
      </c>
      <c r="X2577" s="586" t="str">
        <f t="shared" si="681"/>
        <v/>
      </c>
      <c r="Y2577" s="586" t="str">
        <f t="shared" si="692"/>
        <v/>
      </c>
      <c r="Z2577" s="586" t="str">
        <f t="shared" si="680"/>
        <v/>
      </c>
    </row>
    <row r="2578" spans="1:26" ht="12" hidden="1" thickBot="1" x14ac:dyDescent="0.25">
      <c r="A2578" s="567" t="s">
        <v>168</v>
      </c>
      <c r="B2578" s="644" t="s">
        <v>168</v>
      </c>
      <c r="C2578" s="645"/>
      <c r="D2578" s="451" t="s">
        <v>248</v>
      </c>
      <c r="E2578" s="423"/>
      <c r="F2578" s="424">
        <v>180</v>
      </c>
      <c r="G2578" s="425">
        <f>VLOOKUP(D2576,'[2]ENSAIOS DE ORÇAMENTO'!$C$3:$L$79,5,FALSE)</f>
        <v>0</v>
      </c>
      <c r="H2578" s="663">
        <f t="shared" ref="H2578:H2580" si="695">IF(F2578&lt;=30,(1.07*F2578+2.68)*G2578,((1.07*30+2.68)+1.07*(F2578-30))*G2578)</f>
        <v>0</v>
      </c>
      <c r="I2578" s="420"/>
      <c r="J2578" s="420" t="str">
        <f t="shared" si="693"/>
        <v/>
      </c>
      <c r="K2578" s="421">
        <f t="shared" si="686"/>
        <v>0</v>
      </c>
      <c r="L2578" s="668" t="s">
        <v>614</v>
      </c>
      <c r="M2578" s="669"/>
      <c r="N2578" s="576">
        <f t="shared" si="675"/>
        <v>0</v>
      </c>
      <c r="O2578" s="577">
        <f t="shared" si="689"/>
        <v>0</v>
      </c>
      <c r="P2578" s="578">
        <f t="shared" si="690"/>
        <v>0</v>
      </c>
      <c r="Q2578" s="765"/>
      <c r="R2578" s="669"/>
      <c r="S2578" s="670"/>
      <c r="T2578" s="577">
        <f t="shared" si="687"/>
        <v>0</v>
      </c>
      <c r="U2578" s="578">
        <f t="shared" si="688"/>
        <v>0</v>
      </c>
      <c r="V2578" s="579"/>
      <c r="W2578" s="637" t="str">
        <f>IF(U2576&gt;0,"xx",IF(P2576&gt;0,"xy",""))</f>
        <v/>
      </c>
      <c r="X2578" s="586" t="str">
        <f t="shared" si="681"/>
        <v/>
      </c>
      <c r="Y2578" s="586" t="str">
        <f t="shared" si="692"/>
        <v/>
      </c>
      <c r="Z2578" s="586" t="str">
        <f t="shared" si="680"/>
        <v/>
      </c>
    </row>
    <row r="2579" spans="1:26" ht="12" hidden="1" thickBot="1" x14ac:dyDescent="0.25">
      <c r="A2579" s="567" t="s">
        <v>168</v>
      </c>
      <c r="B2579" s="644" t="s">
        <v>168</v>
      </c>
      <c r="C2579" s="645"/>
      <c r="D2579" s="451" t="s">
        <v>252</v>
      </c>
      <c r="E2579" s="423"/>
      <c r="F2579" s="424">
        <v>20</v>
      </c>
      <c r="G2579" s="425">
        <f>VLOOKUP(D2576,'[2]ENSAIOS DE ORÇAMENTO'!$C$3:$L$79,6,FALSE)</f>
        <v>0</v>
      </c>
      <c r="H2579" s="663">
        <f t="shared" si="695"/>
        <v>0</v>
      </c>
      <c r="I2579" s="420"/>
      <c r="J2579" s="420" t="str">
        <f t="shared" si="693"/>
        <v/>
      </c>
      <c r="K2579" s="421">
        <f t="shared" si="686"/>
        <v>0</v>
      </c>
      <c r="L2579" s="668" t="s">
        <v>614</v>
      </c>
      <c r="M2579" s="669"/>
      <c r="N2579" s="576">
        <f t="shared" si="675"/>
        <v>0</v>
      </c>
      <c r="O2579" s="577">
        <f t="shared" si="689"/>
        <v>0</v>
      </c>
      <c r="P2579" s="578">
        <f t="shared" si="690"/>
        <v>0</v>
      </c>
      <c r="Q2579" s="765"/>
      <c r="R2579" s="669"/>
      <c r="S2579" s="670"/>
      <c r="T2579" s="577">
        <f t="shared" si="687"/>
        <v>0</v>
      </c>
      <c r="U2579" s="578">
        <f t="shared" si="688"/>
        <v>0</v>
      </c>
      <c r="V2579" s="579"/>
      <c r="W2579" s="637" t="str">
        <f>IF(U2576&gt;0,"xx",IF(P2576&gt;0,"xy",""))</f>
        <v/>
      </c>
      <c r="X2579" s="586" t="str">
        <f t="shared" si="681"/>
        <v/>
      </c>
      <c r="Y2579" s="586" t="str">
        <f t="shared" si="692"/>
        <v/>
      </c>
      <c r="Z2579" s="586" t="str">
        <f t="shared" si="680"/>
        <v/>
      </c>
    </row>
    <row r="2580" spans="1:26" ht="12" hidden="1" thickBot="1" x14ac:dyDescent="0.25">
      <c r="A2580" s="567" t="s">
        <v>168</v>
      </c>
      <c r="B2580" s="644" t="s">
        <v>168</v>
      </c>
      <c r="C2580" s="645"/>
      <c r="D2580" s="451" t="s">
        <v>400</v>
      </c>
      <c r="E2580" s="423"/>
      <c r="F2580" s="424">
        <v>30</v>
      </c>
      <c r="G2580" s="425">
        <f>VLOOKUP(D2576,'[2]ENSAIOS DE ORÇAMENTO'!$C$3:$L$79,3,FALSE)</f>
        <v>0</v>
      </c>
      <c r="H2580" s="663">
        <f t="shared" si="695"/>
        <v>0</v>
      </c>
      <c r="I2580" s="420"/>
      <c r="J2580" s="420" t="str">
        <f t="shared" si="693"/>
        <v/>
      </c>
      <c r="K2580" s="421">
        <f t="shared" si="686"/>
        <v>0</v>
      </c>
      <c r="L2580" s="668" t="s">
        <v>614</v>
      </c>
      <c r="M2580" s="669"/>
      <c r="N2580" s="576">
        <f t="shared" ref="N2580:N2643" si="696">IF(M2580=0,0,K2580)</f>
        <v>0</v>
      </c>
      <c r="O2580" s="577">
        <f t="shared" si="689"/>
        <v>0</v>
      </c>
      <c r="P2580" s="578">
        <f t="shared" si="690"/>
        <v>0</v>
      </c>
      <c r="Q2580" s="765"/>
      <c r="R2580" s="669"/>
      <c r="S2580" s="670"/>
      <c r="T2580" s="577">
        <f t="shared" si="687"/>
        <v>0</v>
      </c>
      <c r="U2580" s="578">
        <f t="shared" si="688"/>
        <v>0</v>
      </c>
      <c r="V2580" s="579"/>
      <c r="W2580" s="637" t="str">
        <f>IF(U2576&gt;0,"xx",IF(P2576&gt;0,"xy",""))</f>
        <v/>
      </c>
      <c r="X2580" s="586" t="str">
        <f t="shared" si="681"/>
        <v/>
      </c>
      <c r="Y2580" s="586" t="str">
        <f t="shared" si="692"/>
        <v/>
      </c>
      <c r="Z2580" s="586" t="str">
        <f t="shared" si="680"/>
        <v/>
      </c>
    </row>
    <row r="2581" spans="1:26" ht="12" hidden="1" thickBot="1" x14ac:dyDescent="0.25">
      <c r="A2581" s="567" t="s">
        <v>168</v>
      </c>
      <c r="B2581" s="644" t="s">
        <v>168</v>
      </c>
      <c r="C2581" s="645"/>
      <c r="D2581" s="451" t="s">
        <v>401</v>
      </c>
      <c r="E2581" s="423"/>
      <c r="F2581" s="424">
        <v>500</v>
      </c>
      <c r="G2581" s="425">
        <f>VLOOKUP(D2576,'[2]ENSAIOS DE ORÇAMENTO'!$C$3:$L$79,10,FALSE)</f>
        <v>0</v>
      </c>
      <c r="H2581" s="649">
        <f>IF(F2581&lt;=30,(0.78*F2581+7.82)*G2581,((0.78*30+7.82)+0.78*(F2581-30))*G2581)</f>
        <v>0</v>
      </c>
      <c r="I2581" s="420"/>
      <c r="J2581" s="420" t="str">
        <f t="shared" si="693"/>
        <v/>
      </c>
      <c r="K2581" s="421">
        <f t="shared" si="686"/>
        <v>0</v>
      </c>
      <c r="L2581" s="668" t="s">
        <v>614</v>
      </c>
      <c r="M2581" s="669"/>
      <c r="N2581" s="576">
        <f t="shared" si="696"/>
        <v>0</v>
      </c>
      <c r="O2581" s="577">
        <f t="shared" si="689"/>
        <v>0</v>
      </c>
      <c r="P2581" s="578">
        <f t="shared" si="690"/>
        <v>0</v>
      </c>
      <c r="Q2581" s="765"/>
      <c r="R2581" s="669"/>
      <c r="S2581" s="670"/>
      <c r="T2581" s="577">
        <f t="shared" si="687"/>
        <v>0</v>
      </c>
      <c r="U2581" s="578">
        <f t="shared" si="688"/>
        <v>0</v>
      </c>
      <c r="V2581" s="579"/>
      <c r="W2581" s="637" t="str">
        <f>IF(U2576&gt;0,"xx",IF(P2576&gt;0,"xy",""))</f>
        <v/>
      </c>
      <c r="X2581" s="586" t="str">
        <f t="shared" si="681"/>
        <v/>
      </c>
      <c r="Y2581" s="586" t="str">
        <f t="shared" si="692"/>
        <v/>
      </c>
      <c r="Z2581" s="586" t="str">
        <f t="shared" si="680"/>
        <v/>
      </c>
    </row>
    <row r="2582" spans="1:26" ht="12" hidden="1" thickBot="1" x14ac:dyDescent="0.25">
      <c r="A2582" s="567" t="s">
        <v>430</v>
      </c>
      <c r="B2582" s="644" t="s">
        <v>430</v>
      </c>
      <c r="C2582" s="645" t="s">
        <v>206</v>
      </c>
      <c r="D2582" s="422" t="str">
        <f>'[2]ENSAIOS DE ORÇAMENTO'!C72</f>
        <v>ENSAIO DE ORÇAMENTO 3</v>
      </c>
      <c r="E2582" s="423"/>
      <c r="F2582" s="424"/>
      <c r="G2582" s="425"/>
      <c r="H2582" s="651">
        <f>SUM(H2583:H2587)</f>
        <v>0</v>
      </c>
      <c r="I2582" s="420">
        <f>VLOOKUP(D2582,'[2]ENSAIOS DE ORÇAMENTO'!$C$3:$L$79,8,FALSE)</f>
        <v>0</v>
      </c>
      <c r="J2582" s="420">
        <f t="shared" si="693"/>
        <v>0</v>
      </c>
      <c r="K2582" s="421">
        <f t="shared" si="686"/>
        <v>0</v>
      </c>
      <c r="L2582" s="647" t="s">
        <v>21</v>
      </c>
      <c r="M2582" s="576"/>
      <c r="N2582" s="576">
        <f t="shared" si="696"/>
        <v>0</v>
      </c>
      <c r="O2582" s="577">
        <f t="shared" si="689"/>
        <v>0</v>
      </c>
      <c r="P2582" s="578">
        <f t="shared" si="690"/>
        <v>0</v>
      </c>
      <c r="Q2582" s="765"/>
      <c r="R2582" s="576">
        <f>M2582</f>
        <v>0</v>
      </c>
      <c r="S2582" s="576">
        <f>N2582</f>
        <v>0</v>
      </c>
      <c r="T2582" s="577">
        <f t="shared" si="687"/>
        <v>0</v>
      </c>
      <c r="U2582" s="578">
        <f t="shared" si="688"/>
        <v>0</v>
      </c>
      <c r="V2582" s="579"/>
      <c r="W2582" s="566"/>
      <c r="X2582" s="586" t="str">
        <f t="shared" si="681"/>
        <v/>
      </c>
      <c r="Y2582" s="586" t="str">
        <f t="shared" si="692"/>
        <v/>
      </c>
      <c r="Z2582" s="586" t="str">
        <f t="shared" si="680"/>
        <v/>
      </c>
    </row>
    <row r="2583" spans="1:26" ht="12" hidden="1" thickBot="1" x14ac:dyDescent="0.25">
      <c r="A2583" s="567" t="s">
        <v>168</v>
      </c>
      <c r="B2583" s="644" t="s">
        <v>168</v>
      </c>
      <c r="C2583" s="645"/>
      <c r="D2583" s="451" t="s">
        <v>212</v>
      </c>
      <c r="E2583" s="423"/>
      <c r="F2583" s="424">
        <v>500</v>
      </c>
      <c r="G2583" s="425">
        <f>VLOOKUP(D2582,'[2]ENSAIOS DE ORÇAMENTO'!$C$3:$L$79,4,FALSE)</f>
        <v>0</v>
      </c>
      <c r="H2583" s="649">
        <f>IF(F2583&lt;=30,(0.78*F2583+7.82)*G2583,((0.78*30+7.82)+0.78*(F2583-30))*G2583)</f>
        <v>0</v>
      </c>
      <c r="I2583" s="420"/>
      <c r="J2583" s="420" t="str">
        <f t="shared" si="693"/>
        <v/>
      </c>
      <c r="K2583" s="421">
        <f t="shared" si="686"/>
        <v>0</v>
      </c>
      <c r="L2583" s="668" t="s">
        <v>614</v>
      </c>
      <c r="M2583" s="669"/>
      <c r="N2583" s="576">
        <f t="shared" si="696"/>
        <v>0</v>
      </c>
      <c r="O2583" s="577">
        <f t="shared" si="689"/>
        <v>0</v>
      </c>
      <c r="P2583" s="578">
        <f t="shared" si="690"/>
        <v>0</v>
      </c>
      <c r="Q2583" s="765"/>
      <c r="R2583" s="669"/>
      <c r="S2583" s="670"/>
      <c r="T2583" s="577">
        <f t="shared" si="687"/>
        <v>0</v>
      </c>
      <c r="U2583" s="578">
        <f t="shared" si="688"/>
        <v>0</v>
      </c>
      <c r="V2583" s="579"/>
      <c r="W2583" s="637" t="str">
        <f>IF(U2582&gt;0,"xx",IF(P2582&gt;0,"xy",""))</f>
        <v/>
      </c>
      <c r="X2583" s="586" t="str">
        <f t="shared" si="681"/>
        <v/>
      </c>
      <c r="Y2583" s="586" t="str">
        <f t="shared" si="692"/>
        <v/>
      </c>
      <c r="Z2583" s="586" t="str">
        <f t="shared" si="680"/>
        <v/>
      </c>
    </row>
    <row r="2584" spans="1:26" ht="12" hidden="1" thickBot="1" x14ac:dyDescent="0.25">
      <c r="A2584" s="567" t="s">
        <v>168</v>
      </c>
      <c r="B2584" s="644" t="s">
        <v>168</v>
      </c>
      <c r="C2584" s="645"/>
      <c r="D2584" s="451" t="s">
        <v>248</v>
      </c>
      <c r="E2584" s="423"/>
      <c r="F2584" s="424">
        <v>180</v>
      </c>
      <c r="G2584" s="425">
        <f>VLOOKUP(D2582,'[2]ENSAIOS DE ORÇAMENTO'!$C$3:$L$79,5,FALSE)</f>
        <v>0</v>
      </c>
      <c r="H2584" s="663">
        <f t="shared" ref="H2584:H2586" si="697">IF(F2584&lt;=30,(1.07*F2584+2.68)*G2584,((1.07*30+2.68)+1.07*(F2584-30))*G2584)</f>
        <v>0</v>
      </c>
      <c r="I2584" s="420"/>
      <c r="J2584" s="420" t="str">
        <f t="shared" si="693"/>
        <v/>
      </c>
      <c r="K2584" s="421">
        <f t="shared" si="686"/>
        <v>0</v>
      </c>
      <c r="L2584" s="668" t="s">
        <v>614</v>
      </c>
      <c r="M2584" s="669"/>
      <c r="N2584" s="576">
        <f t="shared" si="696"/>
        <v>0</v>
      </c>
      <c r="O2584" s="577">
        <f t="shared" si="689"/>
        <v>0</v>
      </c>
      <c r="P2584" s="578">
        <f t="shared" si="690"/>
        <v>0</v>
      </c>
      <c r="Q2584" s="765"/>
      <c r="R2584" s="669"/>
      <c r="S2584" s="670"/>
      <c r="T2584" s="577">
        <f t="shared" si="687"/>
        <v>0</v>
      </c>
      <c r="U2584" s="578">
        <f t="shared" si="688"/>
        <v>0</v>
      </c>
      <c r="V2584" s="579"/>
      <c r="W2584" s="637" t="str">
        <f>IF(U2582&gt;0,"xx",IF(P2582&gt;0,"xy",""))</f>
        <v/>
      </c>
      <c r="X2584" s="586" t="str">
        <f t="shared" si="681"/>
        <v/>
      </c>
      <c r="Y2584" s="586" t="str">
        <f t="shared" si="692"/>
        <v/>
      </c>
      <c r="Z2584" s="586" t="str">
        <f t="shared" si="680"/>
        <v/>
      </c>
    </row>
    <row r="2585" spans="1:26" ht="12" hidden="1" thickBot="1" x14ac:dyDescent="0.25">
      <c r="A2585" s="567" t="s">
        <v>168</v>
      </c>
      <c r="B2585" s="644" t="s">
        <v>168</v>
      </c>
      <c r="C2585" s="645"/>
      <c r="D2585" s="451" t="s">
        <v>252</v>
      </c>
      <c r="E2585" s="423"/>
      <c r="F2585" s="424">
        <v>20</v>
      </c>
      <c r="G2585" s="425">
        <f>VLOOKUP(D2582,'[2]ENSAIOS DE ORÇAMENTO'!$C$3:$L$79,6,FALSE)</f>
        <v>0</v>
      </c>
      <c r="H2585" s="663">
        <f t="shared" si="697"/>
        <v>0</v>
      </c>
      <c r="I2585" s="420"/>
      <c r="J2585" s="420" t="str">
        <f t="shared" si="693"/>
        <v/>
      </c>
      <c r="K2585" s="421">
        <f t="shared" si="686"/>
        <v>0</v>
      </c>
      <c r="L2585" s="668" t="s">
        <v>614</v>
      </c>
      <c r="M2585" s="669"/>
      <c r="N2585" s="576">
        <f t="shared" si="696"/>
        <v>0</v>
      </c>
      <c r="O2585" s="577">
        <f t="shared" si="689"/>
        <v>0</v>
      </c>
      <c r="P2585" s="578">
        <f t="shared" si="690"/>
        <v>0</v>
      </c>
      <c r="Q2585" s="765"/>
      <c r="R2585" s="669"/>
      <c r="S2585" s="670"/>
      <c r="T2585" s="577">
        <f t="shared" si="687"/>
        <v>0</v>
      </c>
      <c r="U2585" s="578">
        <f t="shared" si="688"/>
        <v>0</v>
      </c>
      <c r="V2585" s="579"/>
      <c r="W2585" s="637" t="str">
        <f>IF(U2582&gt;0,"xx",IF(P2582&gt;0,"xy",""))</f>
        <v/>
      </c>
      <c r="X2585" s="586" t="str">
        <f t="shared" si="681"/>
        <v/>
      </c>
      <c r="Y2585" s="586" t="str">
        <f t="shared" si="692"/>
        <v/>
      </c>
      <c r="Z2585" s="586" t="str">
        <f t="shared" si="680"/>
        <v/>
      </c>
    </row>
    <row r="2586" spans="1:26" ht="12" hidden="1" thickBot="1" x14ac:dyDescent="0.25">
      <c r="A2586" s="567" t="s">
        <v>168</v>
      </c>
      <c r="B2586" s="644" t="s">
        <v>168</v>
      </c>
      <c r="C2586" s="645"/>
      <c r="D2586" s="451" t="s">
        <v>400</v>
      </c>
      <c r="E2586" s="423"/>
      <c r="F2586" s="424">
        <v>30</v>
      </c>
      <c r="G2586" s="425">
        <f>VLOOKUP(D2582,'[2]ENSAIOS DE ORÇAMENTO'!$C$3:$L$79,3,FALSE)</f>
        <v>0</v>
      </c>
      <c r="H2586" s="663">
        <f t="shared" si="697"/>
        <v>0</v>
      </c>
      <c r="I2586" s="420"/>
      <c r="J2586" s="420" t="str">
        <f t="shared" si="693"/>
        <v/>
      </c>
      <c r="K2586" s="421">
        <f t="shared" si="686"/>
        <v>0</v>
      </c>
      <c r="L2586" s="668" t="s">
        <v>614</v>
      </c>
      <c r="M2586" s="669"/>
      <c r="N2586" s="576">
        <f t="shared" si="696"/>
        <v>0</v>
      </c>
      <c r="O2586" s="577">
        <f t="shared" si="689"/>
        <v>0</v>
      </c>
      <c r="P2586" s="578">
        <f t="shared" si="690"/>
        <v>0</v>
      </c>
      <c r="Q2586" s="765"/>
      <c r="R2586" s="669"/>
      <c r="S2586" s="670"/>
      <c r="T2586" s="577">
        <f t="shared" si="687"/>
        <v>0</v>
      </c>
      <c r="U2586" s="578">
        <f t="shared" si="688"/>
        <v>0</v>
      </c>
      <c r="V2586" s="579"/>
      <c r="W2586" s="637" t="str">
        <f>IF(U2582&gt;0,"xx",IF(P2582&gt;0,"xy",""))</f>
        <v/>
      </c>
      <c r="X2586" s="586" t="str">
        <f t="shared" si="681"/>
        <v/>
      </c>
      <c r="Y2586" s="586" t="str">
        <f t="shared" si="692"/>
        <v/>
      </c>
      <c r="Z2586" s="586" t="str">
        <f t="shared" si="680"/>
        <v/>
      </c>
    </row>
    <row r="2587" spans="1:26" ht="12" hidden="1" thickBot="1" x14ac:dyDescent="0.25">
      <c r="A2587" s="567" t="s">
        <v>168</v>
      </c>
      <c r="B2587" s="644" t="s">
        <v>168</v>
      </c>
      <c r="C2587" s="645"/>
      <c r="D2587" s="451" t="s">
        <v>401</v>
      </c>
      <c r="E2587" s="423"/>
      <c r="F2587" s="424">
        <v>500</v>
      </c>
      <c r="G2587" s="425">
        <f>VLOOKUP(D2582,'[2]ENSAIOS DE ORÇAMENTO'!$C$3:$L$79,10,FALSE)</f>
        <v>0</v>
      </c>
      <c r="H2587" s="649">
        <f>IF(F2587&lt;=30,(0.78*F2587+7.82)*G2587,((0.78*30+7.82)+0.78*(F2587-30))*G2587)</f>
        <v>0</v>
      </c>
      <c r="I2587" s="420"/>
      <c r="J2587" s="420" t="str">
        <f t="shared" si="693"/>
        <v/>
      </c>
      <c r="K2587" s="421">
        <f t="shared" si="686"/>
        <v>0</v>
      </c>
      <c r="L2587" s="668" t="s">
        <v>614</v>
      </c>
      <c r="M2587" s="669"/>
      <c r="N2587" s="576">
        <f t="shared" si="696"/>
        <v>0</v>
      </c>
      <c r="O2587" s="577">
        <f t="shared" si="689"/>
        <v>0</v>
      </c>
      <c r="P2587" s="578">
        <f t="shared" si="690"/>
        <v>0</v>
      </c>
      <c r="Q2587" s="765"/>
      <c r="R2587" s="669"/>
      <c r="S2587" s="670"/>
      <c r="T2587" s="577">
        <f t="shared" si="687"/>
        <v>0</v>
      </c>
      <c r="U2587" s="578">
        <f t="shared" si="688"/>
        <v>0</v>
      </c>
      <c r="V2587" s="579"/>
      <c r="W2587" s="637" t="str">
        <f>IF(U2582&gt;0,"xx",IF(P2582&gt;0,"xy",""))</f>
        <v/>
      </c>
      <c r="X2587" s="586" t="str">
        <f t="shared" si="681"/>
        <v/>
      </c>
      <c r="Y2587" s="586" t="str">
        <f t="shared" si="692"/>
        <v/>
      </c>
      <c r="Z2587" s="586" t="str">
        <f t="shared" si="680"/>
        <v/>
      </c>
    </row>
    <row r="2588" spans="1:26" ht="12" hidden="1" thickBot="1" x14ac:dyDescent="0.25">
      <c r="A2588" s="567" t="s">
        <v>431</v>
      </c>
      <c r="B2588" s="644" t="s">
        <v>431</v>
      </c>
      <c r="C2588" s="645" t="s">
        <v>206</v>
      </c>
      <c r="D2588" s="422" t="str">
        <f>'[2]ENSAIOS DE ORÇAMENTO'!C73</f>
        <v>ENSAIO DE ORÇAMENTO 4</v>
      </c>
      <c r="E2588" s="423"/>
      <c r="F2588" s="424"/>
      <c r="G2588" s="425"/>
      <c r="H2588" s="651">
        <f>SUM(H2589:H2593)</f>
        <v>0</v>
      </c>
      <c r="I2588" s="420">
        <f>VLOOKUP(D2588,'[2]ENSAIOS DE ORÇAMENTO'!$C$3:$L$79,8,FALSE)</f>
        <v>0</v>
      </c>
      <c r="J2588" s="420">
        <f t="shared" si="693"/>
        <v>0</v>
      </c>
      <c r="K2588" s="421">
        <f t="shared" si="686"/>
        <v>0</v>
      </c>
      <c r="L2588" s="647" t="s">
        <v>21</v>
      </c>
      <c r="M2588" s="576"/>
      <c r="N2588" s="576">
        <f t="shared" si="696"/>
        <v>0</v>
      </c>
      <c r="O2588" s="577">
        <f t="shared" si="689"/>
        <v>0</v>
      </c>
      <c r="P2588" s="578">
        <f t="shared" si="690"/>
        <v>0</v>
      </c>
      <c r="Q2588" s="765"/>
      <c r="R2588" s="576">
        <f>M2588</f>
        <v>0</v>
      </c>
      <c r="S2588" s="576">
        <f>N2588</f>
        <v>0</v>
      </c>
      <c r="T2588" s="577">
        <f t="shared" si="687"/>
        <v>0</v>
      </c>
      <c r="U2588" s="578">
        <f t="shared" si="688"/>
        <v>0</v>
      </c>
      <c r="V2588" s="579"/>
      <c r="W2588" s="566"/>
      <c r="X2588" s="586" t="str">
        <f t="shared" si="681"/>
        <v/>
      </c>
      <c r="Y2588" s="586" t="str">
        <f t="shared" si="692"/>
        <v/>
      </c>
      <c r="Z2588" s="586" t="str">
        <f t="shared" si="680"/>
        <v/>
      </c>
    </row>
    <row r="2589" spans="1:26" ht="12" hidden="1" thickBot="1" x14ac:dyDescent="0.25">
      <c r="A2589" s="567" t="s">
        <v>168</v>
      </c>
      <c r="B2589" s="644" t="s">
        <v>168</v>
      </c>
      <c r="C2589" s="645"/>
      <c r="D2589" s="451" t="s">
        <v>212</v>
      </c>
      <c r="E2589" s="423"/>
      <c r="F2589" s="424">
        <v>500</v>
      </c>
      <c r="G2589" s="425">
        <f>VLOOKUP(D2588,'[2]ENSAIOS DE ORÇAMENTO'!$C$3:$L$79,4,FALSE)</f>
        <v>0</v>
      </c>
      <c r="H2589" s="649">
        <f>IF(F2589&lt;=30,(0.78*F2589+7.82)*G2589,((0.78*30+7.82)+0.78*(F2589-30))*G2589)</f>
        <v>0</v>
      </c>
      <c r="I2589" s="420"/>
      <c r="J2589" s="420" t="str">
        <f t="shared" ref="J2589:J2628" si="698">IF(ISBLANK(I2589),"",SUM(H2589:I2589))</f>
        <v/>
      </c>
      <c r="K2589" s="421">
        <f t="shared" si="686"/>
        <v>0</v>
      </c>
      <c r="L2589" s="668" t="s">
        <v>614</v>
      </c>
      <c r="M2589" s="669"/>
      <c r="N2589" s="576">
        <f t="shared" si="696"/>
        <v>0</v>
      </c>
      <c r="O2589" s="577">
        <f t="shared" si="689"/>
        <v>0</v>
      </c>
      <c r="P2589" s="578">
        <f t="shared" si="690"/>
        <v>0</v>
      </c>
      <c r="Q2589" s="765"/>
      <c r="R2589" s="669"/>
      <c r="S2589" s="670"/>
      <c r="T2589" s="577">
        <f t="shared" si="687"/>
        <v>0</v>
      </c>
      <c r="U2589" s="578">
        <f t="shared" si="688"/>
        <v>0</v>
      </c>
      <c r="V2589" s="579"/>
      <c r="W2589" s="637" t="str">
        <f>IF(U2588&gt;0,"xx",IF(P2588&gt;0,"xy",""))</f>
        <v/>
      </c>
      <c r="X2589" s="586" t="str">
        <f t="shared" si="681"/>
        <v/>
      </c>
      <c r="Y2589" s="586" t="str">
        <f t="shared" si="692"/>
        <v/>
      </c>
      <c r="Z2589" s="586" t="str">
        <f t="shared" si="680"/>
        <v/>
      </c>
    </row>
    <row r="2590" spans="1:26" ht="12" hidden="1" thickBot="1" x14ac:dyDescent="0.25">
      <c r="A2590" s="567" t="s">
        <v>168</v>
      </c>
      <c r="B2590" s="644" t="s">
        <v>168</v>
      </c>
      <c r="C2590" s="645"/>
      <c r="D2590" s="451" t="s">
        <v>248</v>
      </c>
      <c r="E2590" s="423"/>
      <c r="F2590" s="424">
        <v>180</v>
      </c>
      <c r="G2590" s="425">
        <f>VLOOKUP(D2588,'[2]ENSAIOS DE ORÇAMENTO'!$C$3:$L$79,5,FALSE)</f>
        <v>0</v>
      </c>
      <c r="H2590" s="663">
        <f t="shared" ref="H2590:H2592" si="699">IF(F2590&lt;=30,(1.07*F2590+2.68)*G2590,((1.07*30+2.68)+1.07*(F2590-30))*G2590)</f>
        <v>0</v>
      </c>
      <c r="I2590" s="420"/>
      <c r="J2590" s="420" t="str">
        <f t="shared" si="698"/>
        <v/>
      </c>
      <c r="K2590" s="421">
        <f t="shared" si="686"/>
        <v>0</v>
      </c>
      <c r="L2590" s="668" t="s">
        <v>614</v>
      </c>
      <c r="M2590" s="669"/>
      <c r="N2590" s="576">
        <f t="shared" si="696"/>
        <v>0</v>
      </c>
      <c r="O2590" s="577">
        <f t="shared" si="689"/>
        <v>0</v>
      </c>
      <c r="P2590" s="578">
        <f t="shared" si="690"/>
        <v>0</v>
      </c>
      <c r="Q2590" s="765"/>
      <c r="R2590" s="669"/>
      <c r="S2590" s="670"/>
      <c r="T2590" s="577">
        <f t="shared" si="687"/>
        <v>0</v>
      </c>
      <c r="U2590" s="578">
        <f t="shared" si="688"/>
        <v>0</v>
      </c>
      <c r="V2590" s="579"/>
      <c r="W2590" s="637" t="str">
        <f>IF(U2588&gt;0,"xx",IF(P2588&gt;0,"xy",""))</f>
        <v/>
      </c>
      <c r="X2590" s="586" t="str">
        <f t="shared" si="681"/>
        <v/>
      </c>
      <c r="Y2590" s="586" t="str">
        <f t="shared" si="692"/>
        <v/>
      </c>
      <c r="Z2590" s="586" t="str">
        <f t="shared" si="680"/>
        <v/>
      </c>
    </row>
    <row r="2591" spans="1:26" ht="12" hidden="1" thickBot="1" x14ac:dyDescent="0.25">
      <c r="A2591" s="567" t="s">
        <v>168</v>
      </c>
      <c r="B2591" s="644" t="s">
        <v>168</v>
      </c>
      <c r="C2591" s="645"/>
      <c r="D2591" s="451" t="s">
        <v>252</v>
      </c>
      <c r="E2591" s="423"/>
      <c r="F2591" s="424">
        <v>20</v>
      </c>
      <c r="G2591" s="425">
        <f>VLOOKUP(D2588,'[2]ENSAIOS DE ORÇAMENTO'!$C$3:$L$79,6,FALSE)</f>
        <v>0</v>
      </c>
      <c r="H2591" s="663">
        <f t="shared" si="699"/>
        <v>0</v>
      </c>
      <c r="I2591" s="420"/>
      <c r="J2591" s="420" t="str">
        <f t="shared" si="698"/>
        <v/>
      </c>
      <c r="K2591" s="421">
        <f t="shared" si="686"/>
        <v>0</v>
      </c>
      <c r="L2591" s="668" t="s">
        <v>614</v>
      </c>
      <c r="M2591" s="669"/>
      <c r="N2591" s="576">
        <f t="shared" si="696"/>
        <v>0</v>
      </c>
      <c r="O2591" s="577">
        <f t="shared" si="689"/>
        <v>0</v>
      </c>
      <c r="P2591" s="578">
        <f t="shared" si="690"/>
        <v>0</v>
      </c>
      <c r="Q2591" s="765"/>
      <c r="R2591" s="669"/>
      <c r="S2591" s="670"/>
      <c r="T2591" s="577">
        <f t="shared" si="687"/>
        <v>0</v>
      </c>
      <c r="U2591" s="578">
        <f t="shared" si="688"/>
        <v>0</v>
      </c>
      <c r="V2591" s="579"/>
      <c r="W2591" s="637" t="str">
        <f>IF(U2588&gt;0,"xx",IF(P2588&gt;0,"xy",""))</f>
        <v/>
      </c>
      <c r="X2591" s="586" t="str">
        <f t="shared" si="681"/>
        <v/>
      </c>
      <c r="Y2591" s="586" t="str">
        <f t="shared" si="692"/>
        <v/>
      </c>
      <c r="Z2591" s="586" t="str">
        <f t="shared" si="680"/>
        <v/>
      </c>
    </row>
    <row r="2592" spans="1:26" ht="12" hidden="1" thickBot="1" x14ac:dyDescent="0.25">
      <c r="A2592" s="567" t="s">
        <v>168</v>
      </c>
      <c r="B2592" s="644" t="s">
        <v>168</v>
      </c>
      <c r="C2592" s="645"/>
      <c r="D2592" s="451" t="s">
        <v>400</v>
      </c>
      <c r="E2592" s="423"/>
      <c r="F2592" s="424">
        <v>30</v>
      </c>
      <c r="G2592" s="425">
        <f>VLOOKUP(D2588,'[2]ENSAIOS DE ORÇAMENTO'!$C$3:$L$79,3,FALSE)</f>
        <v>0</v>
      </c>
      <c r="H2592" s="663">
        <f t="shared" si="699"/>
        <v>0</v>
      </c>
      <c r="I2592" s="420"/>
      <c r="J2592" s="420" t="str">
        <f t="shared" si="698"/>
        <v/>
      </c>
      <c r="K2592" s="421">
        <f t="shared" si="686"/>
        <v>0</v>
      </c>
      <c r="L2592" s="668" t="s">
        <v>614</v>
      </c>
      <c r="M2592" s="669"/>
      <c r="N2592" s="576">
        <f t="shared" si="696"/>
        <v>0</v>
      </c>
      <c r="O2592" s="577">
        <f t="shared" si="689"/>
        <v>0</v>
      </c>
      <c r="P2592" s="578">
        <f t="shared" si="690"/>
        <v>0</v>
      </c>
      <c r="Q2592" s="765"/>
      <c r="R2592" s="669"/>
      <c r="S2592" s="670"/>
      <c r="T2592" s="577">
        <f t="shared" si="687"/>
        <v>0</v>
      </c>
      <c r="U2592" s="578">
        <f t="shared" si="688"/>
        <v>0</v>
      </c>
      <c r="V2592" s="579"/>
      <c r="W2592" s="637" t="str">
        <f>IF(U2588&gt;0,"xx",IF(P2588&gt;0,"xy",""))</f>
        <v/>
      </c>
      <c r="X2592" s="586" t="str">
        <f t="shared" si="681"/>
        <v/>
      </c>
      <c r="Y2592" s="586" t="str">
        <f t="shared" si="692"/>
        <v/>
      </c>
      <c r="Z2592" s="586" t="str">
        <f t="shared" si="680"/>
        <v/>
      </c>
    </row>
    <row r="2593" spans="1:26" ht="12" hidden="1" thickBot="1" x14ac:dyDescent="0.25">
      <c r="A2593" s="567" t="s">
        <v>168</v>
      </c>
      <c r="B2593" s="644" t="s">
        <v>168</v>
      </c>
      <c r="C2593" s="645"/>
      <c r="D2593" s="451" t="s">
        <v>401</v>
      </c>
      <c r="E2593" s="423"/>
      <c r="F2593" s="424">
        <v>500</v>
      </c>
      <c r="G2593" s="425">
        <f>VLOOKUP(D2588,'[2]ENSAIOS DE ORÇAMENTO'!$C$3:$L$79,10,FALSE)</f>
        <v>0</v>
      </c>
      <c r="H2593" s="649">
        <f>IF(F2593&lt;=30,(0.78*F2593+7.82)*G2593,((0.78*30+7.82)+0.78*(F2593-30))*G2593)</f>
        <v>0</v>
      </c>
      <c r="I2593" s="420"/>
      <c r="J2593" s="420" t="str">
        <f t="shared" si="698"/>
        <v/>
      </c>
      <c r="K2593" s="421">
        <f t="shared" si="686"/>
        <v>0</v>
      </c>
      <c r="L2593" s="668" t="s">
        <v>614</v>
      </c>
      <c r="M2593" s="669"/>
      <c r="N2593" s="576">
        <f t="shared" si="696"/>
        <v>0</v>
      </c>
      <c r="O2593" s="577">
        <f t="shared" si="689"/>
        <v>0</v>
      </c>
      <c r="P2593" s="578">
        <f t="shared" si="690"/>
        <v>0</v>
      </c>
      <c r="Q2593" s="765"/>
      <c r="R2593" s="669"/>
      <c r="S2593" s="670"/>
      <c r="T2593" s="577">
        <f t="shared" si="687"/>
        <v>0</v>
      </c>
      <c r="U2593" s="578">
        <f t="shared" si="688"/>
        <v>0</v>
      </c>
      <c r="V2593" s="579"/>
      <c r="W2593" s="637" t="str">
        <f>IF(U2588&gt;0,"xx",IF(P2588&gt;0,"xy",""))</f>
        <v/>
      </c>
      <c r="X2593" s="586" t="str">
        <f t="shared" si="681"/>
        <v/>
      </c>
      <c r="Y2593" s="586" t="str">
        <f t="shared" si="692"/>
        <v/>
      </c>
      <c r="Z2593" s="586" t="str">
        <f t="shared" si="680"/>
        <v/>
      </c>
    </row>
    <row r="2594" spans="1:26" ht="12" hidden="1" thickBot="1" x14ac:dyDescent="0.25">
      <c r="A2594" s="567" t="s">
        <v>432</v>
      </c>
      <c r="B2594" s="644" t="s">
        <v>432</v>
      </c>
      <c r="C2594" s="645" t="s">
        <v>206</v>
      </c>
      <c r="D2594" s="422" t="str">
        <f>'[2]ENSAIOS DE ORÇAMENTO'!C74</f>
        <v>ENSAIO DE ORÇAMENTO 5</v>
      </c>
      <c r="E2594" s="423"/>
      <c r="F2594" s="424"/>
      <c r="G2594" s="425"/>
      <c r="H2594" s="651">
        <f>SUM(H2595:H2599)</f>
        <v>0</v>
      </c>
      <c r="I2594" s="420">
        <f>VLOOKUP(D2594,'[2]ENSAIOS DE ORÇAMENTO'!$C$3:$L$79,8,FALSE)</f>
        <v>0</v>
      </c>
      <c r="J2594" s="420">
        <f t="shared" si="698"/>
        <v>0</v>
      </c>
      <c r="K2594" s="421">
        <f t="shared" si="686"/>
        <v>0</v>
      </c>
      <c r="L2594" s="647" t="s">
        <v>21</v>
      </c>
      <c r="M2594" s="576"/>
      <c r="N2594" s="576">
        <f t="shared" si="696"/>
        <v>0</v>
      </c>
      <c r="O2594" s="577">
        <f t="shared" si="689"/>
        <v>0</v>
      </c>
      <c r="P2594" s="578">
        <f t="shared" si="690"/>
        <v>0</v>
      </c>
      <c r="Q2594" s="765"/>
      <c r="R2594" s="576">
        <f>M2594</f>
        <v>0</v>
      </c>
      <c r="S2594" s="576">
        <f>N2594</f>
        <v>0</v>
      </c>
      <c r="T2594" s="577">
        <f t="shared" si="687"/>
        <v>0</v>
      </c>
      <c r="U2594" s="578">
        <f t="shared" si="688"/>
        <v>0</v>
      </c>
      <c r="V2594" s="579"/>
      <c r="W2594" s="566"/>
      <c r="X2594" s="586" t="str">
        <f t="shared" si="681"/>
        <v/>
      </c>
      <c r="Y2594" s="586" t="str">
        <f t="shared" si="692"/>
        <v/>
      </c>
      <c r="Z2594" s="586" t="str">
        <f t="shared" si="680"/>
        <v/>
      </c>
    </row>
    <row r="2595" spans="1:26" ht="12" hidden="1" thickBot="1" x14ac:dyDescent="0.25">
      <c r="A2595" s="567" t="s">
        <v>168</v>
      </c>
      <c r="B2595" s="644" t="s">
        <v>168</v>
      </c>
      <c r="C2595" s="645"/>
      <c r="D2595" s="451" t="s">
        <v>212</v>
      </c>
      <c r="E2595" s="423"/>
      <c r="F2595" s="424">
        <v>500</v>
      </c>
      <c r="G2595" s="425">
        <f>VLOOKUP(D2594,'[2]ENSAIOS DE ORÇAMENTO'!$C$3:$L$79,4,FALSE)</f>
        <v>0</v>
      </c>
      <c r="H2595" s="649">
        <f>IF(F2595&lt;=30,(0.78*F2595+7.82)*G2595,((0.78*30+7.82)+0.78*(F2595-30))*G2595)</f>
        <v>0</v>
      </c>
      <c r="I2595" s="420"/>
      <c r="J2595" s="420" t="str">
        <f t="shared" si="698"/>
        <v/>
      </c>
      <c r="K2595" s="421">
        <f t="shared" si="686"/>
        <v>0</v>
      </c>
      <c r="L2595" s="668" t="s">
        <v>614</v>
      </c>
      <c r="M2595" s="669"/>
      <c r="N2595" s="576">
        <f t="shared" si="696"/>
        <v>0</v>
      </c>
      <c r="O2595" s="577">
        <f t="shared" si="689"/>
        <v>0</v>
      </c>
      <c r="P2595" s="578">
        <f t="shared" si="690"/>
        <v>0</v>
      </c>
      <c r="Q2595" s="765"/>
      <c r="R2595" s="669"/>
      <c r="S2595" s="670"/>
      <c r="T2595" s="577">
        <f t="shared" si="687"/>
        <v>0</v>
      </c>
      <c r="U2595" s="578">
        <f t="shared" si="688"/>
        <v>0</v>
      </c>
      <c r="V2595" s="579"/>
      <c r="W2595" s="637" t="str">
        <f>IF(U2594&gt;0,"xx",IF(P2594&gt;0,"xy",""))</f>
        <v/>
      </c>
      <c r="X2595" s="586" t="str">
        <f t="shared" si="681"/>
        <v/>
      </c>
      <c r="Y2595" s="586" t="str">
        <f t="shared" si="692"/>
        <v/>
      </c>
      <c r="Z2595" s="586" t="str">
        <f t="shared" si="680"/>
        <v/>
      </c>
    </row>
    <row r="2596" spans="1:26" ht="12" hidden="1" thickBot="1" x14ac:dyDescent="0.25">
      <c r="A2596" s="567" t="s">
        <v>168</v>
      </c>
      <c r="B2596" s="644" t="s">
        <v>168</v>
      </c>
      <c r="C2596" s="645"/>
      <c r="D2596" s="451" t="s">
        <v>248</v>
      </c>
      <c r="E2596" s="423"/>
      <c r="F2596" s="424">
        <v>180</v>
      </c>
      <c r="G2596" s="425">
        <f>VLOOKUP(D2594,'[2]ENSAIOS DE ORÇAMENTO'!$C$3:$L$79,5,FALSE)</f>
        <v>0</v>
      </c>
      <c r="H2596" s="663">
        <f t="shared" ref="H2596:H2598" si="700">IF(F2596&lt;=30,(1.07*F2596+2.68)*G2596,((1.07*30+2.68)+1.07*(F2596-30))*G2596)</f>
        <v>0</v>
      </c>
      <c r="I2596" s="420"/>
      <c r="J2596" s="420" t="str">
        <f t="shared" si="698"/>
        <v/>
      </c>
      <c r="K2596" s="421">
        <f t="shared" si="686"/>
        <v>0</v>
      </c>
      <c r="L2596" s="668" t="s">
        <v>614</v>
      </c>
      <c r="M2596" s="669"/>
      <c r="N2596" s="576">
        <f t="shared" si="696"/>
        <v>0</v>
      </c>
      <c r="O2596" s="577">
        <f t="shared" si="689"/>
        <v>0</v>
      </c>
      <c r="P2596" s="578">
        <f t="shared" si="690"/>
        <v>0</v>
      </c>
      <c r="Q2596" s="765"/>
      <c r="R2596" s="669"/>
      <c r="S2596" s="670"/>
      <c r="T2596" s="577">
        <f t="shared" si="687"/>
        <v>0</v>
      </c>
      <c r="U2596" s="578">
        <f t="shared" si="688"/>
        <v>0</v>
      </c>
      <c r="V2596" s="579"/>
      <c r="W2596" s="637" t="str">
        <f>IF(U2594&gt;0,"xx",IF(P2594&gt;0,"xy",""))</f>
        <v/>
      </c>
      <c r="X2596" s="586" t="str">
        <f t="shared" si="681"/>
        <v/>
      </c>
      <c r="Y2596" s="586" t="str">
        <f t="shared" si="692"/>
        <v/>
      </c>
      <c r="Z2596" s="586" t="str">
        <f t="shared" si="680"/>
        <v/>
      </c>
    </row>
    <row r="2597" spans="1:26" ht="12" hidden="1" thickBot="1" x14ac:dyDescent="0.25">
      <c r="A2597" s="567" t="s">
        <v>168</v>
      </c>
      <c r="B2597" s="644" t="s">
        <v>168</v>
      </c>
      <c r="C2597" s="645"/>
      <c r="D2597" s="451" t="s">
        <v>252</v>
      </c>
      <c r="E2597" s="423"/>
      <c r="F2597" s="424">
        <v>20</v>
      </c>
      <c r="G2597" s="425">
        <f>VLOOKUP(D2594,'[2]ENSAIOS DE ORÇAMENTO'!$C$3:$L$79,6,FALSE)</f>
        <v>0</v>
      </c>
      <c r="H2597" s="663">
        <f t="shared" si="700"/>
        <v>0</v>
      </c>
      <c r="I2597" s="420"/>
      <c r="J2597" s="420" t="str">
        <f t="shared" si="698"/>
        <v/>
      </c>
      <c r="K2597" s="421">
        <f t="shared" si="686"/>
        <v>0</v>
      </c>
      <c r="L2597" s="668" t="s">
        <v>614</v>
      </c>
      <c r="M2597" s="669"/>
      <c r="N2597" s="576">
        <f t="shared" si="696"/>
        <v>0</v>
      </c>
      <c r="O2597" s="577">
        <f t="shared" si="689"/>
        <v>0</v>
      </c>
      <c r="P2597" s="578">
        <f t="shared" si="690"/>
        <v>0</v>
      </c>
      <c r="Q2597" s="765"/>
      <c r="R2597" s="669"/>
      <c r="S2597" s="670"/>
      <c r="T2597" s="577">
        <f t="shared" si="687"/>
        <v>0</v>
      </c>
      <c r="U2597" s="578">
        <f t="shared" si="688"/>
        <v>0</v>
      </c>
      <c r="V2597" s="579"/>
      <c r="W2597" s="637" t="str">
        <f>IF(U2594&gt;0,"xx",IF(P2594&gt;0,"xy",""))</f>
        <v/>
      </c>
      <c r="X2597" s="586" t="str">
        <f t="shared" si="681"/>
        <v/>
      </c>
      <c r="Y2597" s="586" t="str">
        <f t="shared" si="692"/>
        <v/>
      </c>
      <c r="Z2597" s="586" t="str">
        <f t="shared" si="680"/>
        <v/>
      </c>
    </row>
    <row r="2598" spans="1:26" ht="12" hidden="1" thickBot="1" x14ac:dyDescent="0.25">
      <c r="A2598" s="567" t="s">
        <v>168</v>
      </c>
      <c r="B2598" s="644" t="s">
        <v>168</v>
      </c>
      <c r="C2598" s="645"/>
      <c r="D2598" s="451" t="s">
        <v>400</v>
      </c>
      <c r="E2598" s="423"/>
      <c r="F2598" s="424">
        <v>30</v>
      </c>
      <c r="G2598" s="425">
        <f>VLOOKUP(D2594,'[2]ENSAIOS DE ORÇAMENTO'!$C$3:$L$79,3,FALSE)</f>
        <v>0</v>
      </c>
      <c r="H2598" s="663">
        <f t="shared" si="700"/>
        <v>0</v>
      </c>
      <c r="I2598" s="420"/>
      <c r="J2598" s="420" t="str">
        <f t="shared" si="698"/>
        <v/>
      </c>
      <c r="K2598" s="421">
        <f t="shared" si="686"/>
        <v>0</v>
      </c>
      <c r="L2598" s="647" t="s">
        <v>614</v>
      </c>
      <c r="M2598" s="669"/>
      <c r="N2598" s="576">
        <f t="shared" si="696"/>
        <v>0</v>
      </c>
      <c r="O2598" s="577">
        <f t="shared" si="689"/>
        <v>0</v>
      </c>
      <c r="P2598" s="578">
        <f t="shared" si="690"/>
        <v>0</v>
      </c>
      <c r="Q2598" s="765"/>
      <c r="R2598" s="669"/>
      <c r="S2598" s="670"/>
      <c r="T2598" s="577">
        <f t="shared" si="687"/>
        <v>0</v>
      </c>
      <c r="U2598" s="578">
        <f t="shared" si="688"/>
        <v>0</v>
      </c>
      <c r="V2598" s="579"/>
      <c r="W2598" s="566" t="str">
        <f>IF(U2594&gt;0,"xx",IF(P2594&gt;0,"xy",""))</f>
        <v/>
      </c>
      <c r="X2598" s="586" t="str">
        <f t="shared" si="681"/>
        <v/>
      </c>
      <c r="Y2598" s="586" t="str">
        <f t="shared" si="692"/>
        <v/>
      </c>
      <c r="Z2598" s="586" t="str">
        <f t="shared" si="680"/>
        <v/>
      </c>
    </row>
    <row r="2599" spans="1:26" ht="12" hidden="1" thickBot="1" x14ac:dyDescent="0.25">
      <c r="A2599" s="567" t="s">
        <v>168</v>
      </c>
      <c r="B2599" s="644" t="s">
        <v>168</v>
      </c>
      <c r="C2599" s="645"/>
      <c r="D2599" s="451" t="s">
        <v>401</v>
      </c>
      <c r="E2599" s="423"/>
      <c r="F2599" s="424">
        <v>500</v>
      </c>
      <c r="G2599" s="425">
        <f>VLOOKUP(D2594,'[2]ENSAIOS DE ORÇAMENTO'!$C$3:$L$79,10,FALSE)</f>
        <v>0</v>
      </c>
      <c r="H2599" s="649">
        <f>IF(F2599&lt;=30,(0.78*F2599+7.82)*G2599,((0.78*30+7.82)+0.78*(F2599-30))*G2599)</f>
        <v>0</v>
      </c>
      <c r="I2599" s="420"/>
      <c r="J2599" s="420" t="str">
        <f t="shared" si="698"/>
        <v/>
      </c>
      <c r="K2599" s="421">
        <f t="shared" si="686"/>
        <v>0</v>
      </c>
      <c r="L2599" s="668" t="s">
        <v>614</v>
      </c>
      <c r="M2599" s="669"/>
      <c r="N2599" s="576">
        <f t="shared" si="696"/>
        <v>0</v>
      </c>
      <c r="O2599" s="577">
        <f t="shared" si="689"/>
        <v>0</v>
      </c>
      <c r="P2599" s="578">
        <f t="shared" si="690"/>
        <v>0</v>
      </c>
      <c r="Q2599" s="765"/>
      <c r="R2599" s="669"/>
      <c r="S2599" s="670"/>
      <c r="T2599" s="577">
        <f t="shared" si="687"/>
        <v>0</v>
      </c>
      <c r="U2599" s="578">
        <f t="shared" si="688"/>
        <v>0</v>
      </c>
      <c r="V2599" s="579"/>
      <c r="W2599" s="637" t="str">
        <f>IF(U2594&gt;0,"xx",IF(P2594&gt;0,"xy",""))</f>
        <v/>
      </c>
      <c r="X2599" s="586" t="str">
        <f t="shared" si="681"/>
        <v/>
      </c>
      <c r="Y2599" s="586" t="str">
        <f t="shared" si="692"/>
        <v/>
      </c>
      <c r="Z2599" s="586" t="str">
        <f t="shared" si="680"/>
        <v/>
      </c>
    </row>
    <row r="2600" spans="1:26" ht="12" hidden="1" thickBot="1" x14ac:dyDescent="0.25">
      <c r="A2600" s="567" t="s">
        <v>433</v>
      </c>
      <c r="B2600" s="644" t="s">
        <v>433</v>
      </c>
      <c r="C2600" s="645" t="s">
        <v>206</v>
      </c>
      <c r="D2600" s="422" t="str">
        <f>'[2]ENSAIOS DE ORÇAMENTO'!C75</f>
        <v>ENSAIO DE ORÇAMENTO 6</v>
      </c>
      <c r="E2600" s="423"/>
      <c r="F2600" s="424"/>
      <c r="G2600" s="425"/>
      <c r="H2600" s="651">
        <f>SUM(H2601:H2605)</f>
        <v>0</v>
      </c>
      <c r="I2600" s="420">
        <f>VLOOKUP(D2600,'[2]ENSAIOS DE ORÇAMENTO'!$C$3:$L$79,8,FALSE)</f>
        <v>0</v>
      </c>
      <c r="J2600" s="420">
        <f t="shared" si="698"/>
        <v>0</v>
      </c>
      <c r="K2600" s="421">
        <f t="shared" si="686"/>
        <v>0</v>
      </c>
      <c r="L2600" s="647" t="s">
        <v>21</v>
      </c>
      <c r="M2600" s="576"/>
      <c r="N2600" s="576">
        <f t="shared" si="696"/>
        <v>0</v>
      </c>
      <c r="O2600" s="577">
        <f t="shared" si="689"/>
        <v>0</v>
      </c>
      <c r="P2600" s="578">
        <f t="shared" si="690"/>
        <v>0</v>
      </c>
      <c r="Q2600" s="765"/>
      <c r="R2600" s="576">
        <f>M2600</f>
        <v>0</v>
      </c>
      <c r="S2600" s="576">
        <f>N2600</f>
        <v>0</v>
      </c>
      <c r="T2600" s="577">
        <f t="shared" si="687"/>
        <v>0</v>
      </c>
      <c r="U2600" s="578">
        <f t="shared" si="688"/>
        <v>0</v>
      </c>
      <c r="V2600" s="579"/>
      <c r="W2600" s="566"/>
      <c r="X2600" s="586" t="str">
        <f t="shared" si="681"/>
        <v/>
      </c>
      <c r="Y2600" s="586" t="str">
        <f t="shared" si="692"/>
        <v/>
      </c>
      <c r="Z2600" s="586" t="str">
        <f t="shared" ref="Z2600:Z2663" si="701">IF(W2600="X","x",IF(U2600&gt;0,"x",""))</f>
        <v/>
      </c>
    </row>
    <row r="2601" spans="1:26" ht="12" hidden="1" thickBot="1" x14ac:dyDescent="0.25">
      <c r="A2601" s="567" t="s">
        <v>168</v>
      </c>
      <c r="B2601" s="644" t="s">
        <v>168</v>
      </c>
      <c r="C2601" s="645"/>
      <c r="D2601" s="451" t="s">
        <v>212</v>
      </c>
      <c r="E2601" s="423"/>
      <c r="F2601" s="424">
        <v>500</v>
      </c>
      <c r="G2601" s="425">
        <f>VLOOKUP(D2600,'[2]ENSAIOS DE ORÇAMENTO'!$C$3:$L$79,4,FALSE)</f>
        <v>0</v>
      </c>
      <c r="H2601" s="649">
        <f>IF(F2601&lt;=30,(0.78*F2601+7.82)*G2601,((0.78*30+7.82)+0.78*(F2601-30))*G2601)</f>
        <v>0</v>
      </c>
      <c r="I2601" s="420"/>
      <c r="J2601" s="420" t="str">
        <f t="shared" si="698"/>
        <v/>
      </c>
      <c r="K2601" s="421">
        <f t="shared" si="686"/>
        <v>0</v>
      </c>
      <c r="L2601" s="668" t="s">
        <v>614</v>
      </c>
      <c r="M2601" s="669"/>
      <c r="N2601" s="576">
        <f t="shared" si="696"/>
        <v>0</v>
      </c>
      <c r="O2601" s="577">
        <f t="shared" si="689"/>
        <v>0</v>
      </c>
      <c r="P2601" s="578">
        <f t="shared" si="690"/>
        <v>0</v>
      </c>
      <c r="Q2601" s="765"/>
      <c r="R2601" s="669"/>
      <c r="S2601" s="670"/>
      <c r="T2601" s="577">
        <f t="shared" si="687"/>
        <v>0</v>
      </c>
      <c r="U2601" s="578">
        <f t="shared" si="688"/>
        <v>0</v>
      </c>
      <c r="V2601" s="579"/>
      <c r="W2601" s="637" t="str">
        <f>IF(U2600&gt;0,"xx",IF(P2600&gt;0,"xy",""))</f>
        <v/>
      </c>
      <c r="X2601" s="586" t="str">
        <f t="shared" si="681"/>
        <v/>
      </c>
      <c r="Y2601" s="586" t="str">
        <f t="shared" si="692"/>
        <v/>
      </c>
      <c r="Z2601" s="586" t="str">
        <f t="shared" si="701"/>
        <v/>
      </c>
    </row>
    <row r="2602" spans="1:26" ht="12" hidden="1" thickBot="1" x14ac:dyDescent="0.25">
      <c r="A2602" s="567" t="s">
        <v>168</v>
      </c>
      <c r="B2602" s="644" t="s">
        <v>168</v>
      </c>
      <c r="C2602" s="645"/>
      <c r="D2602" s="451" t="s">
        <v>248</v>
      </c>
      <c r="E2602" s="423"/>
      <c r="F2602" s="424">
        <v>180</v>
      </c>
      <c r="G2602" s="425">
        <f>VLOOKUP(D2600,'[2]ENSAIOS DE ORÇAMENTO'!$C$3:$L$79,5,FALSE)</f>
        <v>0</v>
      </c>
      <c r="H2602" s="663">
        <f t="shared" ref="H2602:H2604" si="702">IF(F2602&lt;=30,(1.07*F2602+2.68)*G2602,((1.07*30+2.68)+1.07*(F2602-30))*G2602)</f>
        <v>0</v>
      </c>
      <c r="I2602" s="420"/>
      <c r="J2602" s="420" t="str">
        <f t="shared" si="698"/>
        <v/>
      </c>
      <c r="K2602" s="421">
        <f t="shared" si="686"/>
        <v>0</v>
      </c>
      <c r="L2602" s="668" t="s">
        <v>614</v>
      </c>
      <c r="M2602" s="669"/>
      <c r="N2602" s="576">
        <f t="shared" si="696"/>
        <v>0</v>
      </c>
      <c r="O2602" s="577">
        <f t="shared" si="689"/>
        <v>0</v>
      </c>
      <c r="P2602" s="578">
        <f t="shared" si="690"/>
        <v>0</v>
      </c>
      <c r="Q2602" s="765"/>
      <c r="R2602" s="669"/>
      <c r="S2602" s="670"/>
      <c r="T2602" s="577">
        <f t="shared" si="687"/>
        <v>0</v>
      </c>
      <c r="U2602" s="578">
        <f t="shared" si="688"/>
        <v>0</v>
      </c>
      <c r="V2602" s="579"/>
      <c r="W2602" s="637" t="str">
        <f>IF(U2600&gt;0,"xx",IF(P2600&gt;0,"xy",""))</f>
        <v/>
      </c>
      <c r="X2602" s="586" t="str">
        <f t="shared" si="681"/>
        <v/>
      </c>
      <c r="Y2602" s="586" t="str">
        <f t="shared" si="692"/>
        <v/>
      </c>
      <c r="Z2602" s="586" t="str">
        <f t="shared" si="701"/>
        <v/>
      </c>
    </row>
    <row r="2603" spans="1:26" ht="12" hidden="1" thickBot="1" x14ac:dyDescent="0.25">
      <c r="A2603" s="567" t="s">
        <v>168</v>
      </c>
      <c r="B2603" s="644" t="s">
        <v>168</v>
      </c>
      <c r="C2603" s="645"/>
      <c r="D2603" s="451" t="s">
        <v>252</v>
      </c>
      <c r="E2603" s="423"/>
      <c r="F2603" s="424">
        <v>20</v>
      </c>
      <c r="G2603" s="425">
        <f>VLOOKUP(D2600,'[2]ENSAIOS DE ORÇAMENTO'!$C$3:$L$79,6,FALSE)</f>
        <v>0</v>
      </c>
      <c r="H2603" s="663">
        <f t="shared" si="702"/>
        <v>0</v>
      </c>
      <c r="I2603" s="420"/>
      <c r="J2603" s="420" t="str">
        <f t="shared" si="698"/>
        <v/>
      </c>
      <c r="K2603" s="421">
        <f t="shared" si="686"/>
        <v>0</v>
      </c>
      <c r="L2603" s="668" t="s">
        <v>614</v>
      </c>
      <c r="M2603" s="669"/>
      <c r="N2603" s="576">
        <f t="shared" si="696"/>
        <v>0</v>
      </c>
      <c r="O2603" s="577">
        <f t="shared" si="689"/>
        <v>0</v>
      </c>
      <c r="P2603" s="578">
        <f t="shared" si="690"/>
        <v>0</v>
      </c>
      <c r="Q2603" s="765"/>
      <c r="R2603" s="669"/>
      <c r="S2603" s="670"/>
      <c r="T2603" s="577">
        <f t="shared" si="687"/>
        <v>0</v>
      </c>
      <c r="U2603" s="578">
        <f t="shared" si="688"/>
        <v>0</v>
      </c>
      <c r="V2603" s="579"/>
      <c r="W2603" s="637" t="str">
        <f>IF(U2600&gt;0,"xx",IF(P2600&gt;0,"xy",""))</f>
        <v/>
      </c>
      <c r="X2603" s="586" t="str">
        <f t="shared" ref="X2603:X2666" si="703">IF(W2603="X","x",IF(W2603="xx","x",IF(W2603="xy","x",IF(W2603="y","x",IF(OR(P2603&gt;0,U2603&gt;0),"x","")))))</f>
        <v/>
      </c>
      <c r="Y2603" s="586" t="str">
        <f t="shared" si="692"/>
        <v/>
      </c>
      <c r="Z2603" s="586" t="str">
        <f t="shared" si="701"/>
        <v/>
      </c>
    </row>
    <row r="2604" spans="1:26" ht="12" hidden="1" thickBot="1" x14ac:dyDescent="0.25">
      <c r="A2604" s="567" t="s">
        <v>168</v>
      </c>
      <c r="B2604" s="644" t="s">
        <v>168</v>
      </c>
      <c r="C2604" s="645"/>
      <c r="D2604" s="451" t="s">
        <v>400</v>
      </c>
      <c r="E2604" s="423"/>
      <c r="F2604" s="424">
        <v>30</v>
      </c>
      <c r="G2604" s="425">
        <f>VLOOKUP(D2600,'[2]ENSAIOS DE ORÇAMENTO'!$C$3:$L$79,3,FALSE)</f>
        <v>0</v>
      </c>
      <c r="H2604" s="663">
        <f t="shared" si="702"/>
        <v>0</v>
      </c>
      <c r="I2604" s="420"/>
      <c r="J2604" s="420" t="str">
        <f t="shared" si="698"/>
        <v/>
      </c>
      <c r="K2604" s="421">
        <f t="shared" si="686"/>
        <v>0</v>
      </c>
      <c r="L2604" s="668" t="s">
        <v>614</v>
      </c>
      <c r="M2604" s="669"/>
      <c r="N2604" s="576">
        <f t="shared" si="696"/>
        <v>0</v>
      </c>
      <c r="O2604" s="577">
        <f t="shared" si="689"/>
        <v>0</v>
      </c>
      <c r="P2604" s="578">
        <f t="shared" si="690"/>
        <v>0</v>
      </c>
      <c r="Q2604" s="765"/>
      <c r="R2604" s="669"/>
      <c r="S2604" s="670"/>
      <c r="T2604" s="577">
        <f t="shared" si="687"/>
        <v>0</v>
      </c>
      <c r="U2604" s="578">
        <f t="shared" si="688"/>
        <v>0</v>
      </c>
      <c r="V2604" s="579"/>
      <c r="W2604" s="637" t="str">
        <f>IF(U2600&gt;0,"xx",IF(P2600&gt;0,"xy",""))</f>
        <v/>
      </c>
      <c r="X2604" s="586" t="str">
        <f t="shared" si="703"/>
        <v/>
      </c>
      <c r="Y2604" s="586" t="str">
        <f t="shared" si="692"/>
        <v/>
      </c>
      <c r="Z2604" s="586" t="str">
        <f t="shared" si="701"/>
        <v/>
      </c>
    </row>
    <row r="2605" spans="1:26" ht="12" hidden="1" thickBot="1" x14ac:dyDescent="0.25">
      <c r="A2605" s="567" t="s">
        <v>168</v>
      </c>
      <c r="B2605" s="644" t="s">
        <v>168</v>
      </c>
      <c r="C2605" s="645"/>
      <c r="D2605" s="451" t="s">
        <v>401</v>
      </c>
      <c r="E2605" s="423"/>
      <c r="F2605" s="424">
        <v>500</v>
      </c>
      <c r="G2605" s="425">
        <f>VLOOKUP(D2600,'[2]ENSAIOS DE ORÇAMENTO'!$C$3:$L$79,10,FALSE)</f>
        <v>0</v>
      </c>
      <c r="H2605" s="649">
        <f>IF(F2605&lt;=30,(0.78*F2605+7.82)*G2605,((0.78*30+7.82)+0.78*(F2605-30))*G2605)</f>
        <v>0</v>
      </c>
      <c r="I2605" s="420"/>
      <c r="J2605" s="420" t="str">
        <f t="shared" si="698"/>
        <v/>
      </c>
      <c r="K2605" s="421">
        <f t="shared" si="686"/>
        <v>0</v>
      </c>
      <c r="L2605" s="668" t="s">
        <v>614</v>
      </c>
      <c r="M2605" s="669"/>
      <c r="N2605" s="576">
        <f t="shared" si="696"/>
        <v>0</v>
      </c>
      <c r="O2605" s="577">
        <f t="shared" si="689"/>
        <v>0</v>
      </c>
      <c r="P2605" s="578">
        <f t="shared" si="690"/>
        <v>0</v>
      </c>
      <c r="Q2605" s="765"/>
      <c r="R2605" s="669"/>
      <c r="S2605" s="670"/>
      <c r="T2605" s="577">
        <f t="shared" si="687"/>
        <v>0</v>
      </c>
      <c r="U2605" s="578">
        <f t="shared" si="688"/>
        <v>0</v>
      </c>
      <c r="V2605" s="579"/>
      <c r="W2605" s="637" t="str">
        <f>IF(U2600&gt;0,"xx",IF(P2600&gt;0,"xy",""))</f>
        <v/>
      </c>
      <c r="X2605" s="586" t="str">
        <f t="shared" si="703"/>
        <v/>
      </c>
      <c r="Y2605" s="586" t="str">
        <f t="shared" si="692"/>
        <v/>
      </c>
      <c r="Z2605" s="586" t="str">
        <f t="shared" si="701"/>
        <v/>
      </c>
    </row>
    <row r="2606" spans="1:26" ht="12" hidden="1" thickBot="1" x14ac:dyDescent="0.25">
      <c r="A2606" s="567" t="s">
        <v>434</v>
      </c>
      <c r="B2606" s="644" t="s">
        <v>434</v>
      </c>
      <c r="C2606" s="645" t="s">
        <v>206</v>
      </c>
      <c r="D2606" s="422" t="str">
        <f>'[2]ENSAIOS DE ORÇAMENTO'!C76</f>
        <v>ENSAIO DE ORÇAMENTO 7</v>
      </c>
      <c r="E2606" s="423"/>
      <c r="F2606" s="424"/>
      <c r="G2606" s="425"/>
      <c r="H2606" s="651">
        <f>SUM(H2607:H2611)</f>
        <v>0</v>
      </c>
      <c r="I2606" s="420">
        <f>VLOOKUP(D2606,'[2]ENSAIOS DE ORÇAMENTO'!$C$3:$L$79,8,FALSE)</f>
        <v>0</v>
      </c>
      <c r="J2606" s="420">
        <f t="shared" si="698"/>
        <v>0</v>
      </c>
      <c r="K2606" s="421">
        <f t="shared" si="686"/>
        <v>0</v>
      </c>
      <c r="L2606" s="647" t="s">
        <v>21</v>
      </c>
      <c r="M2606" s="576"/>
      <c r="N2606" s="576">
        <f t="shared" si="696"/>
        <v>0</v>
      </c>
      <c r="O2606" s="577">
        <f t="shared" si="689"/>
        <v>0</v>
      </c>
      <c r="P2606" s="578">
        <f t="shared" si="690"/>
        <v>0</v>
      </c>
      <c r="Q2606" s="765"/>
      <c r="R2606" s="576">
        <f>M2606</f>
        <v>0</v>
      </c>
      <c r="S2606" s="576">
        <f>N2606</f>
        <v>0</v>
      </c>
      <c r="T2606" s="577">
        <f t="shared" si="687"/>
        <v>0</v>
      </c>
      <c r="U2606" s="578">
        <f t="shared" si="688"/>
        <v>0</v>
      </c>
      <c r="V2606" s="579"/>
      <c r="W2606" s="566"/>
      <c r="X2606" s="586" t="str">
        <f t="shared" si="703"/>
        <v/>
      </c>
      <c r="Y2606" s="586" t="str">
        <f t="shared" si="692"/>
        <v/>
      </c>
      <c r="Z2606" s="586" t="str">
        <f t="shared" si="701"/>
        <v/>
      </c>
    </row>
    <row r="2607" spans="1:26" ht="12" hidden="1" thickBot="1" x14ac:dyDescent="0.25">
      <c r="A2607" s="567" t="s">
        <v>168</v>
      </c>
      <c r="B2607" s="644" t="s">
        <v>168</v>
      </c>
      <c r="C2607" s="645"/>
      <c r="D2607" s="451" t="s">
        <v>212</v>
      </c>
      <c r="E2607" s="423"/>
      <c r="F2607" s="424">
        <v>500</v>
      </c>
      <c r="G2607" s="425">
        <f>VLOOKUP(D2606,'[2]ENSAIOS DE ORÇAMENTO'!$C$3:$L$79,4,FALSE)</f>
        <v>0</v>
      </c>
      <c r="H2607" s="649">
        <f>IF(F2607&lt;=30,(0.78*F2607+7.82)*G2607,((0.78*30+7.82)+0.78*(F2607-30))*G2607)</f>
        <v>0</v>
      </c>
      <c r="I2607" s="420"/>
      <c r="J2607" s="420" t="str">
        <f t="shared" si="698"/>
        <v/>
      </c>
      <c r="K2607" s="421">
        <f t="shared" si="686"/>
        <v>0</v>
      </c>
      <c r="L2607" s="668" t="s">
        <v>614</v>
      </c>
      <c r="M2607" s="669"/>
      <c r="N2607" s="576">
        <f t="shared" si="696"/>
        <v>0</v>
      </c>
      <c r="O2607" s="577">
        <f t="shared" si="689"/>
        <v>0</v>
      </c>
      <c r="P2607" s="578">
        <f t="shared" si="690"/>
        <v>0</v>
      </c>
      <c r="Q2607" s="765"/>
      <c r="R2607" s="669"/>
      <c r="S2607" s="670"/>
      <c r="T2607" s="577">
        <f t="shared" si="687"/>
        <v>0</v>
      </c>
      <c r="U2607" s="578">
        <f t="shared" si="688"/>
        <v>0</v>
      </c>
      <c r="V2607" s="579"/>
      <c r="W2607" s="637" t="str">
        <f>IF(U2606&gt;0,"xx",IF(P2606&gt;0,"xy",""))</f>
        <v/>
      </c>
      <c r="X2607" s="586" t="str">
        <f t="shared" si="703"/>
        <v/>
      </c>
      <c r="Y2607" s="586" t="str">
        <f t="shared" si="692"/>
        <v/>
      </c>
      <c r="Z2607" s="586" t="str">
        <f t="shared" si="701"/>
        <v/>
      </c>
    </row>
    <row r="2608" spans="1:26" ht="12" hidden="1" thickBot="1" x14ac:dyDescent="0.25">
      <c r="A2608" s="567" t="s">
        <v>168</v>
      </c>
      <c r="B2608" s="644" t="s">
        <v>168</v>
      </c>
      <c r="C2608" s="645"/>
      <c r="D2608" s="451" t="s">
        <v>248</v>
      </c>
      <c r="E2608" s="423"/>
      <c r="F2608" s="424">
        <v>180</v>
      </c>
      <c r="G2608" s="425">
        <f>VLOOKUP(D2606,'[2]ENSAIOS DE ORÇAMENTO'!$C$3:$L$79,5,FALSE)</f>
        <v>0</v>
      </c>
      <c r="H2608" s="663">
        <f t="shared" ref="H2608:H2610" si="704">IF(F2608&lt;=30,(1.07*F2608+2.68)*G2608,((1.07*30+2.68)+1.07*(F2608-30))*G2608)</f>
        <v>0</v>
      </c>
      <c r="I2608" s="420"/>
      <c r="J2608" s="420" t="str">
        <f t="shared" si="698"/>
        <v/>
      </c>
      <c r="K2608" s="421">
        <f t="shared" si="686"/>
        <v>0</v>
      </c>
      <c r="L2608" s="668" t="s">
        <v>614</v>
      </c>
      <c r="M2608" s="669"/>
      <c r="N2608" s="576">
        <f t="shared" si="696"/>
        <v>0</v>
      </c>
      <c r="O2608" s="577">
        <f t="shared" si="689"/>
        <v>0</v>
      </c>
      <c r="P2608" s="578">
        <f t="shared" si="690"/>
        <v>0</v>
      </c>
      <c r="Q2608" s="765"/>
      <c r="R2608" s="669"/>
      <c r="S2608" s="670"/>
      <c r="T2608" s="577">
        <f t="shared" si="687"/>
        <v>0</v>
      </c>
      <c r="U2608" s="578">
        <f t="shared" si="688"/>
        <v>0</v>
      </c>
      <c r="V2608" s="579"/>
      <c r="W2608" s="637" t="str">
        <f>IF(U2606&gt;0,"xx",IF(P2606&gt;0,"xy",""))</f>
        <v/>
      </c>
      <c r="X2608" s="586" t="str">
        <f t="shared" si="703"/>
        <v/>
      </c>
      <c r="Y2608" s="586" t="str">
        <f t="shared" si="692"/>
        <v/>
      </c>
      <c r="Z2608" s="586" t="str">
        <f t="shared" si="701"/>
        <v/>
      </c>
    </row>
    <row r="2609" spans="1:26" ht="12" hidden="1" thickBot="1" x14ac:dyDescent="0.25">
      <c r="A2609" s="567" t="s">
        <v>168</v>
      </c>
      <c r="B2609" s="644" t="s">
        <v>168</v>
      </c>
      <c r="C2609" s="645"/>
      <c r="D2609" s="451" t="s">
        <v>252</v>
      </c>
      <c r="E2609" s="423"/>
      <c r="F2609" s="424">
        <v>20</v>
      </c>
      <c r="G2609" s="425">
        <f>VLOOKUP(D2606,'[2]ENSAIOS DE ORÇAMENTO'!$C$3:$L$79,6,FALSE)</f>
        <v>0</v>
      </c>
      <c r="H2609" s="663">
        <f t="shared" si="704"/>
        <v>0</v>
      </c>
      <c r="I2609" s="420"/>
      <c r="J2609" s="420" t="str">
        <f t="shared" si="698"/>
        <v/>
      </c>
      <c r="K2609" s="421">
        <f t="shared" si="686"/>
        <v>0</v>
      </c>
      <c r="L2609" s="668" t="s">
        <v>614</v>
      </c>
      <c r="M2609" s="669"/>
      <c r="N2609" s="576">
        <f t="shared" si="696"/>
        <v>0</v>
      </c>
      <c r="O2609" s="577">
        <f t="shared" si="689"/>
        <v>0</v>
      </c>
      <c r="P2609" s="578">
        <f t="shared" si="690"/>
        <v>0</v>
      </c>
      <c r="Q2609" s="765"/>
      <c r="R2609" s="669"/>
      <c r="S2609" s="670"/>
      <c r="T2609" s="577">
        <f t="shared" si="687"/>
        <v>0</v>
      </c>
      <c r="U2609" s="578">
        <f t="shared" si="688"/>
        <v>0</v>
      </c>
      <c r="V2609" s="579"/>
      <c r="W2609" s="637" t="str">
        <f>IF(U2606&gt;0,"xx",IF(P2606&gt;0,"xy",""))</f>
        <v/>
      </c>
      <c r="X2609" s="586" t="str">
        <f t="shared" si="703"/>
        <v/>
      </c>
      <c r="Y2609" s="586" t="str">
        <f t="shared" si="692"/>
        <v/>
      </c>
      <c r="Z2609" s="586" t="str">
        <f t="shared" si="701"/>
        <v/>
      </c>
    </row>
    <row r="2610" spans="1:26" ht="12" hidden="1" thickBot="1" x14ac:dyDescent="0.25">
      <c r="A2610" s="567" t="s">
        <v>168</v>
      </c>
      <c r="B2610" s="644" t="s">
        <v>168</v>
      </c>
      <c r="C2610" s="645"/>
      <c r="D2610" s="451" t="s">
        <v>400</v>
      </c>
      <c r="E2610" s="423"/>
      <c r="F2610" s="424">
        <v>30</v>
      </c>
      <c r="G2610" s="425">
        <f>VLOOKUP(D2606,'[2]ENSAIOS DE ORÇAMENTO'!$C$3:$L$79,3,FALSE)</f>
        <v>0</v>
      </c>
      <c r="H2610" s="663">
        <f t="shared" si="704"/>
        <v>0</v>
      </c>
      <c r="I2610" s="420"/>
      <c r="J2610" s="420" t="str">
        <f t="shared" si="698"/>
        <v/>
      </c>
      <c r="K2610" s="421">
        <f t="shared" si="686"/>
        <v>0</v>
      </c>
      <c r="L2610" s="668" t="s">
        <v>614</v>
      </c>
      <c r="M2610" s="669"/>
      <c r="N2610" s="576">
        <f t="shared" si="696"/>
        <v>0</v>
      </c>
      <c r="O2610" s="577">
        <f t="shared" si="689"/>
        <v>0</v>
      </c>
      <c r="P2610" s="578">
        <f t="shared" si="690"/>
        <v>0</v>
      </c>
      <c r="Q2610" s="765"/>
      <c r="R2610" s="669"/>
      <c r="S2610" s="670"/>
      <c r="T2610" s="577">
        <f t="shared" si="687"/>
        <v>0</v>
      </c>
      <c r="U2610" s="578">
        <f t="shared" si="688"/>
        <v>0</v>
      </c>
      <c r="V2610" s="579"/>
      <c r="W2610" s="637" t="str">
        <f>IF(U2606&gt;0,"xx",IF(P2606&gt;0,"xy",""))</f>
        <v/>
      </c>
      <c r="X2610" s="586" t="str">
        <f t="shared" si="703"/>
        <v/>
      </c>
      <c r="Y2610" s="586" t="str">
        <f t="shared" si="692"/>
        <v/>
      </c>
      <c r="Z2610" s="586" t="str">
        <f t="shared" si="701"/>
        <v/>
      </c>
    </row>
    <row r="2611" spans="1:26" ht="12" hidden="1" thickBot="1" x14ac:dyDescent="0.25">
      <c r="A2611" s="567" t="s">
        <v>168</v>
      </c>
      <c r="B2611" s="644" t="s">
        <v>168</v>
      </c>
      <c r="C2611" s="645"/>
      <c r="D2611" s="451" t="s">
        <v>401</v>
      </c>
      <c r="E2611" s="423"/>
      <c r="F2611" s="424">
        <v>500</v>
      </c>
      <c r="G2611" s="425">
        <f>VLOOKUP(D2606,'[2]ENSAIOS DE ORÇAMENTO'!$C$3:$L$79,10,FALSE)</f>
        <v>0</v>
      </c>
      <c r="H2611" s="649">
        <f>IF(F2611&lt;=30,(0.78*F2611+7.82)*G2611,((0.78*30+7.82)+0.78*(F2611-30))*G2611)</f>
        <v>0</v>
      </c>
      <c r="I2611" s="420"/>
      <c r="J2611" s="420" t="str">
        <f t="shared" si="698"/>
        <v/>
      </c>
      <c r="K2611" s="421">
        <f t="shared" si="686"/>
        <v>0</v>
      </c>
      <c r="L2611" s="668" t="s">
        <v>614</v>
      </c>
      <c r="M2611" s="669"/>
      <c r="N2611" s="576">
        <f t="shared" si="696"/>
        <v>0</v>
      </c>
      <c r="O2611" s="577">
        <f t="shared" si="689"/>
        <v>0</v>
      </c>
      <c r="P2611" s="578">
        <f t="shared" si="690"/>
        <v>0</v>
      </c>
      <c r="Q2611" s="765"/>
      <c r="R2611" s="669"/>
      <c r="S2611" s="670"/>
      <c r="T2611" s="577">
        <f t="shared" si="687"/>
        <v>0</v>
      </c>
      <c r="U2611" s="578">
        <f t="shared" si="688"/>
        <v>0</v>
      </c>
      <c r="V2611" s="579"/>
      <c r="W2611" s="637" t="str">
        <f>IF(U2606&gt;0,"xx",IF(P2606&gt;0,"xy",""))</f>
        <v/>
      </c>
      <c r="X2611" s="586" t="str">
        <f t="shared" si="703"/>
        <v/>
      </c>
      <c r="Y2611" s="586" t="str">
        <f t="shared" si="692"/>
        <v/>
      </c>
      <c r="Z2611" s="586" t="str">
        <f t="shared" si="701"/>
        <v/>
      </c>
    </row>
    <row r="2612" spans="1:26" ht="12" hidden="1" thickBot="1" x14ac:dyDescent="0.25">
      <c r="A2612" s="567" t="s">
        <v>435</v>
      </c>
      <c r="B2612" s="644" t="s">
        <v>435</v>
      </c>
      <c r="C2612" s="645" t="s">
        <v>206</v>
      </c>
      <c r="D2612" s="422" t="str">
        <f>'[2]ENSAIOS DE ORÇAMENTO'!C77</f>
        <v>ENSAIO DE ORÇAMENTO 8</v>
      </c>
      <c r="E2612" s="423"/>
      <c r="F2612" s="424"/>
      <c r="G2612" s="425"/>
      <c r="H2612" s="651">
        <f>SUM(H2613:H2617)</f>
        <v>0</v>
      </c>
      <c r="I2612" s="420">
        <f>VLOOKUP(D2612,'[2]ENSAIOS DE ORÇAMENTO'!$C$3:$L$79,8,FALSE)</f>
        <v>0</v>
      </c>
      <c r="J2612" s="420">
        <f t="shared" si="698"/>
        <v>0</v>
      </c>
      <c r="K2612" s="421">
        <f t="shared" si="686"/>
        <v>0</v>
      </c>
      <c r="L2612" s="647" t="s">
        <v>21</v>
      </c>
      <c r="M2612" s="576"/>
      <c r="N2612" s="576">
        <f t="shared" si="696"/>
        <v>0</v>
      </c>
      <c r="O2612" s="577">
        <f t="shared" si="689"/>
        <v>0</v>
      </c>
      <c r="P2612" s="578">
        <f t="shared" si="690"/>
        <v>0</v>
      </c>
      <c r="Q2612" s="765"/>
      <c r="R2612" s="576">
        <f t="shared" ref="R2612:S2673" si="705">M2612</f>
        <v>0</v>
      </c>
      <c r="S2612" s="576">
        <f>N2612</f>
        <v>0</v>
      </c>
      <c r="T2612" s="577">
        <f t="shared" si="687"/>
        <v>0</v>
      </c>
      <c r="U2612" s="578">
        <f t="shared" si="688"/>
        <v>0</v>
      </c>
      <c r="V2612" s="579"/>
      <c r="W2612" s="566"/>
      <c r="X2612" s="586" t="str">
        <f t="shared" si="703"/>
        <v/>
      </c>
      <c r="Y2612" s="586" t="str">
        <f t="shared" si="692"/>
        <v/>
      </c>
      <c r="Z2612" s="586" t="str">
        <f t="shared" si="701"/>
        <v/>
      </c>
    </row>
    <row r="2613" spans="1:26" ht="12" hidden="1" thickBot="1" x14ac:dyDescent="0.25">
      <c r="A2613" s="567" t="s">
        <v>168</v>
      </c>
      <c r="B2613" s="644" t="s">
        <v>168</v>
      </c>
      <c r="C2613" s="645"/>
      <c r="D2613" s="451" t="s">
        <v>212</v>
      </c>
      <c r="E2613" s="423"/>
      <c r="F2613" s="424">
        <v>500</v>
      </c>
      <c r="G2613" s="425">
        <f>VLOOKUP(D2612,'[2]ENSAIOS DE ORÇAMENTO'!$C$3:$L$79,4,FALSE)</f>
        <v>0</v>
      </c>
      <c r="H2613" s="649">
        <f>IF(F2613&lt;=30,(0.78*F2613+7.82)*G2613,((0.78*30+7.82)+0.78*(F2613-30))*G2613)</f>
        <v>0</v>
      </c>
      <c r="I2613" s="420"/>
      <c r="J2613" s="420" t="str">
        <f t="shared" si="698"/>
        <v/>
      </c>
      <c r="K2613" s="421">
        <f t="shared" si="686"/>
        <v>0</v>
      </c>
      <c r="L2613" s="668" t="s">
        <v>614</v>
      </c>
      <c r="M2613" s="669"/>
      <c r="N2613" s="576">
        <f t="shared" si="696"/>
        <v>0</v>
      </c>
      <c r="O2613" s="577">
        <f t="shared" si="689"/>
        <v>0</v>
      </c>
      <c r="P2613" s="578">
        <f t="shared" si="690"/>
        <v>0</v>
      </c>
      <c r="Q2613" s="765"/>
      <c r="R2613" s="669"/>
      <c r="S2613" s="670"/>
      <c r="T2613" s="577">
        <f t="shared" si="687"/>
        <v>0</v>
      </c>
      <c r="U2613" s="578">
        <f t="shared" si="688"/>
        <v>0</v>
      </c>
      <c r="V2613" s="579"/>
      <c r="W2613" s="637" t="str">
        <f>IF(U2612&gt;0,"xx",IF(P2612&gt;0,"xy",""))</f>
        <v/>
      </c>
      <c r="X2613" s="586" t="str">
        <f t="shared" si="703"/>
        <v/>
      </c>
      <c r="Y2613" s="586" t="str">
        <f t="shared" si="692"/>
        <v/>
      </c>
      <c r="Z2613" s="586" t="str">
        <f t="shared" si="701"/>
        <v/>
      </c>
    </row>
    <row r="2614" spans="1:26" ht="12" hidden="1" thickBot="1" x14ac:dyDescent="0.25">
      <c r="A2614" s="567" t="s">
        <v>168</v>
      </c>
      <c r="B2614" s="644" t="s">
        <v>168</v>
      </c>
      <c r="C2614" s="645"/>
      <c r="D2614" s="451" t="s">
        <v>248</v>
      </c>
      <c r="E2614" s="423"/>
      <c r="F2614" s="424">
        <v>180</v>
      </c>
      <c r="G2614" s="425">
        <f>VLOOKUP(D2612,'[2]ENSAIOS DE ORÇAMENTO'!$C$3:$L$79,5,FALSE)</f>
        <v>0</v>
      </c>
      <c r="H2614" s="663">
        <f t="shared" ref="H2614:H2616" si="706">IF(F2614&lt;=30,(1.07*F2614+2.68)*G2614,((1.07*30+2.68)+1.07*(F2614-30))*G2614)</f>
        <v>0</v>
      </c>
      <c r="I2614" s="420"/>
      <c r="J2614" s="420" t="str">
        <f t="shared" si="698"/>
        <v/>
      </c>
      <c r="K2614" s="421">
        <f t="shared" si="686"/>
        <v>0</v>
      </c>
      <c r="L2614" s="668" t="s">
        <v>614</v>
      </c>
      <c r="M2614" s="669"/>
      <c r="N2614" s="576">
        <f t="shared" si="696"/>
        <v>0</v>
      </c>
      <c r="O2614" s="577">
        <f t="shared" si="689"/>
        <v>0</v>
      </c>
      <c r="P2614" s="578">
        <f t="shared" si="690"/>
        <v>0</v>
      </c>
      <c r="Q2614" s="765"/>
      <c r="R2614" s="669"/>
      <c r="S2614" s="670"/>
      <c r="T2614" s="577">
        <f t="shared" si="687"/>
        <v>0</v>
      </c>
      <c r="U2614" s="578">
        <f t="shared" si="688"/>
        <v>0</v>
      </c>
      <c r="V2614" s="579"/>
      <c r="W2614" s="637" t="str">
        <f>IF(U2612&gt;0,"xx",IF(P2612&gt;0,"xy",""))</f>
        <v/>
      </c>
      <c r="X2614" s="586" t="str">
        <f t="shared" si="703"/>
        <v/>
      </c>
      <c r="Y2614" s="586" t="str">
        <f t="shared" si="692"/>
        <v/>
      </c>
      <c r="Z2614" s="586" t="str">
        <f t="shared" si="701"/>
        <v/>
      </c>
    </row>
    <row r="2615" spans="1:26" ht="12" hidden="1" thickBot="1" x14ac:dyDescent="0.25">
      <c r="A2615" s="567" t="s">
        <v>168</v>
      </c>
      <c r="B2615" s="644" t="s">
        <v>168</v>
      </c>
      <c r="C2615" s="645"/>
      <c r="D2615" s="451" t="s">
        <v>252</v>
      </c>
      <c r="E2615" s="423"/>
      <c r="F2615" s="424">
        <v>20</v>
      </c>
      <c r="G2615" s="425">
        <f>VLOOKUP(D2612,'[2]ENSAIOS DE ORÇAMENTO'!$C$3:$L$79,6,FALSE)</f>
        <v>0</v>
      </c>
      <c r="H2615" s="663">
        <f t="shared" si="706"/>
        <v>0</v>
      </c>
      <c r="I2615" s="420"/>
      <c r="J2615" s="420" t="str">
        <f t="shared" si="698"/>
        <v/>
      </c>
      <c r="K2615" s="421">
        <f t="shared" si="686"/>
        <v>0</v>
      </c>
      <c r="L2615" s="668" t="s">
        <v>614</v>
      </c>
      <c r="M2615" s="669"/>
      <c r="N2615" s="576">
        <f t="shared" si="696"/>
        <v>0</v>
      </c>
      <c r="O2615" s="577">
        <f t="shared" si="689"/>
        <v>0</v>
      </c>
      <c r="P2615" s="578">
        <f t="shared" si="690"/>
        <v>0</v>
      </c>
      <c r="Q2615" s="765"/>
      <c r="R2615" s="669"/>
      <c r="S2615" s="670"/>
      <c r="T2615" s="577">
        <f t="shared" si="687"/>
        <v>0</v>
      </c>
      <c r="U2615" s="578">
        <f t="shared" si="688"/>
        <v>0</v>
      </c>
      <c r="V2615" s="579"/>
      <c r="W2615" s="637" t="str">
        <f>IF(U2612&gt;0,"xx",IF(P2612&gt;0,"xy",""))</f>
        <v/>
      </c>
      <c r="X2615" s="586" t="str">
        <f t="shared" si="703"/>
        <v/>
      </c>
      <c r="Y2615" s="586" t="str">
        <f t="shared" si="692"/>
        <v/>
      </c>
      <c r="Z2615" s="586" t="str">
        <f t="shared" si="701"/>
        <v/>
      </c>
    </row>
    <row r="2616" spans="1:26" ht="12" hidden="1" thickBot="1" x14ac:dyDescent="0.25">
      <c r="A2616" s="567" t="s">
        <v>168</v>
      </c>
      <c r="B2616" s="644" t="s">
        <v>168</v>
      </c>
      <c r="C2616" s="645"/>
      <c r="D2616" s="451" t="s">
        <v>400</v>
      </c>
      <c r="E2616" s="423"/>
      <c r="F2616" s="424">
        <v>30</v>
      </c>
      <c r="G2616" s="425">
        <f>VLOOKUP(D2612,'[2]ENSAIOS DE ORÇAMENTO'!$C$3:$L$79,3,FALSE)</f>
        <v>0</v>
      </c>
      <c r="H2616" s="663">
        <f t="shared" si="706"/>
        <v>0</v>
      </c>
      <c r="I2616" s="420"/>
      <c r="J2616" s="420" t="str">
        <f t="shared" si="698"/>
        <v/>
      </c>
      <c r="K2616" s="421">
        <f t="shared" si="686"/>
        <v>0</v>
      </c>
      <c r="L2616" s="668" t="s">
        <v>614</v>
      </c>
      <c r="M2616" s="669"/>
      <c r="N2616" s="576">
        <f t="shared" si="696"/>
        <v>0</v>
      </c>
      <c r="O2616" s="577">
        <f t="shared" si="689"/>
        <v>0</v>
      </c>
      <c r="P2616" s="578">
        <f t="shared" si="690"/>
        <v>0</v>
      </c>
      <c r="Q2616" s="765"/>
      <c r="R2616" s="669"/>
      <c r="S2616" s="670"/>
      <c r="T2616" s="577">
        <f t="shared" si="687"/>
        <v>0</v>
      </c>
      <c r="U2616" s="578">
        <f t="shared" si="688"/>
        <v>0</v>
      </c>
      <c r="V2616" s="579"/>
      <c r="W2616" s="637" t="str">
        <f>IF(U2612&gt;0,"xx",IF(P2612&gt;0,"xy",""))</f>
        <v/>
      </c>
      <c r="X2616" s="586" t="str">
        <f t="shared" si="703"/>
        <v/>
      </c>
      <c r="Y2616" s="586" t="str">
        <f t="shared" si="692"/>
        <v/>
      </c>
      <c r="Z2616" s="586" t="str">
        <f t="shared" si="701"/>
        <v/>
      </c>
    </row>
    <row r="2617" spans="1:26" ht="12" hidden="1" thickBot="1" x14ac:dyDescent="0.25">
      <c r="A2617" s="567" t="s">
        <v>168</v>
      </c>
      <c r="B2617" s="644" t="s">
        <v>168</v>
      </c>
      <c r="C2617" s="645"/>
      <c r="D2617" s="451" t="s">
        <v>401</v>
      </c>
      <c r="E2617" s="423"/>
      <c r="F2617" s="424">
        <v>500</v>
      </c>
      <c r="G2617" s="425">
        <f>VLOOKUP(D2612,'[2]ENSAIOS DE ORÇAMENTO'!$C$3:$L$79,10,FALSE)</f>
        <v>0</v>
      </c>
      <c r="H2617" s="649">
        <f>IF(F2617&lt;=30,(0.78*F2617+7.82)*G2617,((0.78*30+7.82)+0.78*(F2617-30))*G2617)</f>
        <v>0</v>
      </c>
      <c r="I2617" s="420"/>
      <c r="J2617" s="420" t="str">
        <f t="shared" si="698"/>
        <v/>
      </c>
      <c r="K2617" s="421">
        <f t="shared" si="686"/>
        <v>0</v>
      </c>
      <c r="L2617" s="668" t="s">
        <v>614</v>
      </c>
      <c r="M2617" s="669"/>
      <c r="N2617" s="576">
        <f t="shared" si="696"/>
        <v>0</v>
      </c>
      <c r="O2617" s="577">
        <f t="shared" si="689"/>
        <v>0</v>
      </c>
      <c r="P2617" s="578">
        <f t="shared" si="690"/>
        <v>0</v>
      </c>
      <c r="Q2617" s="765"/>
      <c r="R2617" s="669"/>
      <c r="S2617" s="670"/>
      <c r="T2617" s="577">
        <f t="shared" si="687"/>
        <v>0</v>
      </c>
      <c r="U2617" s="578">
        <f t="shared" si="688"/>
        <v>0</v>
      </c>
      <c r="V2617" s="579"/>
      <c r="W2617" s="637" t="str">
        <f>IF(U2612&gt;0,"xx",IF(P2612&gt;0,"xy",""))</f>
        <v/>
      </c>
      <c r="X2617" s="586" t="str">
        <f t="shared" si="703"/>
        <v/>
      </c>
      <c r="Y2617" s="586" t="str">
        <f t="shared" si="692"/>
        <v/>
      </c>
      <c r="Z2617" s="586" t="str">
        <f t="shared" si="701"/>
        <v/>
      </c>
    </row>
    <row r="2618" spans="1:26" ht="12" hidden="1" thickBot="1" x14ac:dyDescent="0.25">
      <c r="A2618" s="567" t="s">
        <v>436</v>
      </c>
      <c r="B2618" s="644" t="s">
        <v>436</v>
      </c>
      <c r="C2618" s="645" t="s">
        <v>206</v>
      </c>
      <c r="D2618" s="422" t="str">
        <f>'[2]ENSAIOS DE ORÇAMENTO'!C78</f>
        <v>ENSAIO DE ORÇAMENTO 9</v>
      </c>
      <c r="E2618" s="423"/>
      <c r="F2618" s="424"/>
      <c r="G2618" s="425"/>
      <c r="H2618" s="651">
        <f>SUM(H2619:H2623)</f>
        <v>0</v>
      </c>
      <c r="I2618" s="420">
        <f>VLOOKUP(D2618,'[2]ENSAIOS DE ORÇAMENTO'!$C$3:$L$79,8,FALSE)</f>
        <v>0</v>
      </c>
      <c r="J2618" s="420">
        <f t="shared" si="698"/>
        <v>0</v>
      </c>
      <c r="K2618" s="421">
        <f t="shared" si="686"/>
        <v>0</v>
      </c>
      <c r="L2618" s="647" t="s">
        <v>21</v>
      </c>
      <c r="M2618" s="576"/>
      <c r="N2618" s="576">
        <f t="shared" si="696"/>
        <v>0</v>
      </c>
      <c r="O2618" s="577">
        <f t="shared" si="689"/>
        <v>0</v>
      </c>
      <c r="P2618" s="578">
        <f t="shared" si="690"/>
        <v>0</v>
      </c>
      <c r="Q2618" s="765"/>
      <c r="R2618" s="576">
        <f t="shared" si="705"/>
        <v>0</v>
      </c>
      <c r="S2618" s="576">
        <f>N2618</f>
        <v>0</v>
      </c>
      <c r="T2618" s="577">
        <f t="shared" si="687"/>
        <v>0</v>
      </c>
      <c r="U2618" s="578">
        <f t="shared" si="688"/>
        <v>0</v>
      </c>
      <c r="V2618" s="579"/>
      <c r="W2618" s="566"/>
      <c r="X2618" s="586" t="str">
        <f t="shared" si="703"/>
        <v/>
      </c>
      <c r="Y2618" s="586" t="str">
        <f t="shared" si="692"/>
        <v/>
      </c>
      <c r="Z2618" s="586" t="str">
        <f t="shared" si="701"/>
        <v/>
      </c>
    </row>
    <row r="2619" spans="1:26" ht="12" hidden="1" thickBot="1" x14ac:dyDescent="0.25">
      <c r="A2619" s="567" t="s">
        <v>168</v>
      </c>
      <c r="B2619" s="644" t="s">
        <v>168</v>
      </c>
      <c r="C2619" s="645"/>
      <c r="D2619" s="451" t="s">
        <v>212</v>
      </c>
      <c r="E2619" s="423"/>
      <c r="F2619" s="424">
        <v>500</v>
      </c>
      <c r="G2619" s="425">
        <f>VLOOKUP(D2618,'[2]ENSAIOS DE ORÇAMENTO'!$C$3:$L$79,4,FALSE)</f>
        <v>0</v>
      </c>
      <c r="H2619" s="649">
        <f>IF(F2619&lt;=30,(0.78*F2619+7.82)*G2619,((0.78*30+7.82)+0.78*(F2619-30))*G2619)</f>
        <v>0</v>
      </c>
      <c r="I2619" s="420"/>
      <c r="J2619" s="420" t="str">
        <f t="shared" si="698"/>
        <v/>
      </c>
      <c r="K2619" s="421">
        <f t="shared" si="686"/>
        <v>0</v>
      </c>
      <c r="L2619" s="668" t="s">
        <v>614</v>
      </c>
      <c r="M2619" s="669"/>
      <c r="N2619" s="576">
        <f t="shared" si="696"/>
        <v>0</v>
      </c>
      <c r="O2619" s="577">
        <f t="shared" si="689"/>
        <v>0</v>
      </c>
      <c r="P2619" s="578">
        <f t="shared" si="690"/>
        <v>0</v>
      </c>
      <c r="Q2619" s="765"/>
      <c r="R2619" s="669"/>
      <c r="S2619" s="670"/>
      <c r="T2619" s="577">
        <f t="shared" si="687"/>
        <v>0</v>
      </c>
      <c r="U2619" s="578">
        <f t="shared" si="688"/>
        <v>0</v>
      </c>
      <c r="V2619" s="579"/>
      <c r="W2619" s="637" t="str">
        <f>IF(U2618&gt;0,"xx",IF(P2618&gt;0,"xy",""))</f>
        <v/>
      </c>
      <c r="X2619" s="586" t="str">
        <f t="shared" si="703"/>
        <v/>
      </c>
      <c r="Y2619" s="586" t="str">
        <f t="shared" si="692"/>
        <v/>
      </c>
      <c r="Z2619" s="586" t="str">
        <f t="shared" si="701"/>
        <v/>
      </c>
    </row>
    <row r="2620" spans="1:26" ht="12" hidden="1" thickBot="1" x14ac:dyDescent="0.25">
      <c r="A2620" s="567" t="s">
        <v>168</v>
      </c>
      <c r="B2620" s="644" t="s">
        <v>168</v>
      </c>
      <c r="C2620" s="645"/>
      <c r="D2620" s="451" t="s">
        <v>248</v>
      </c>
      <c r="E2620" s="423"/>
      <c r="F2620" s="424">
        <v>180</v>
      </c>
      <c r="G2620" s="425">
        <f>VLOOKUP(D2618,'[2]ENSAIOS DE ORÇAMENTO'!$C$3:$L$79,5,FALSE)</f>
        <v>0</v>
      </c>
      <c r="H2620" s="663">
        <f t="shared" ref="H2620:H2622" si="707">IF(F2620&lt;=30,(1.07*F2620+2.68)*G2620,((1.07*30+2.68)+1.07*(F2620-30))*G2620)</f>
        <v>0</v>
      </c>
      <c r="I2620" s="420"/>
      <c r="J2620" s="420" t="str">
        <f t="shared" si="698"/>
        <v/>
      </c>
      <c r="K2620" s="421">
        <f t="shared" si="686"/>
        <v>0</v>
      </c>
      <c r="L2620" s="668" t="s">
        <v>614</v>
      </c>
      <c r="M2620" s="669"/>
      <c r="N2620" s="576">
        <f t="shared" si="696"/>
        <v>0</v>
      </c>
      <c r="O2620" s="577">
        <f t="shared" si="689"/>
        <v>0</v>
      </c>
      <c r="P2620" s="578">
        <f t="shared" si="690"/>
        <v>0</v>
      </c>
      <c r="Q2620" s="765"/>
      <c r="R2620" s="669"/>
      <c r="S2620" s="670"/>
      <c r="T2620" s="577">
        <f t="shared" si="687"/>
        <v>0</v>
      </c>
      <c r="U2620" s="578">
        <f t="shared" si="688"/>
        <v>0</v>
      </c>
      <c r="V2620" s="579"/>
      <c r="W2620" s="637" t="str">
        <f>IF(U2618&gt;0,"xx",IF(P2618&gt;0,"xy",""))</f>
        <v/>
      </c>
      <c r="X2620" s="586" t="str">
        <f t="shared" si="703"/>
        <v/>
      </c>
      <c r="Y2620" s="586" t="str">
        <f t="shared" si="692"/>
        <v/>
      </c>
      <c r="Z2620" s="586" t="str">
        <f t="shared" si="701"/>
        <v/>
      </c>
    </row>
    <row r="2621" spans="1:26" ht="12" hidden="1" thickBot="1" x14ac:dyDescent="0.25">
      <c r="A2621" s="567" t="s">
        <v>168</v>
      </c>
      <c r="B2621" s="644" t="s">
        <v>168</v>
      </c>
      <c r="C2621" s="645"/>
      <c r="D2621" s="451" t="s">
        <v>252</v>
      </c>
      <c r="E2621" s="423"/>
      <c r="F2621" s="424">
        <v>20</v>
      </c>
      <c r="G2621" s="425">
        <f>VLOOKUP(D2618,'[2]ENSAIOS DE ORÇAMENTO'!$C$3:$L$79,6,FALSE)</f>
        <v>0</v>
      </c>
      <c r="H2621" s="663">
        <f t="shared" si="707"/>
        <v>0</v>
      </c>
      <c r="I2621" s="420"/>
      <c r="J2621" s="420" t="str">
        <f t="shared" si="698"/>
        <v/>
      </c>
      <c r="K2621" s="421">
        <f t="shared" si="686"/>
        <v>0</v>
      </c>
      <c r="L2621" s="668" t="s">
        <v>614</v>
      </c>
      <c r="M2621" s="669"/>
      <c r="N2621" s="576">
        <f t="shared" si="696"/>
        <v>0</v>
      </c>
      <c r="O2621" s="577">
        <f t="shared" si="689"/>
        <v>0</v>
      </c>
      <c r="P2621" s="578">
        <f t="shared" si="690"/>
        <v>0</v>
      </c>
      <c r="Q2621" s="765"/>
      <c r="R2621" s="669"/>
      <c r="S2621" s="670"/>
      <c r="T2621" s="577">
        <f t="shared" si="687"/>
        <v>0</v>
      </c>
      <c r="U2621" s="578">
        <f t="shared" si="688"/>
        <v>0</v>
      </c>
      <c r="V2621" s="579"/>
      <c r="W2621" s="637" t="str">
        <f>IF(U2618&gt;0,"xx",IF(P2618&gt;0,"xy",""))</f>
        <v/>
      </c>
      <c r="X2621" s="586" t="str">
        <f t="shared" si="703"/>
        <v/>
      </c>
      <c r="Y2621" s="586" t="str">
        <f t="shared" si="692"/>
        <v/>
      </c>
      <c r="Z2621" s="586" t="str">
        <f t="shared" si="701"/>
        <v/>
      </c>
    </row>
    <row r="2622" spans="1:26" ht="12" hidden="1" thickBot="1" x14ac:dyDescent="0.25">
      <c r="A2622" s="567" t="s">
        <v>168</v>
      </c>
      <c r="B2622" s="644" t="s">
        <v>168</v>
      </c>
      <c r="C2622" s="645"/>
      <c r="D2622" s="451" t="s">
        <v>400</v>
      </c>
      <c r="E2622" s="423"/>
      <c r="F2622" s="424">
        <v>30</v>
      </c>
      <c r="G2622" s="425">
        <f>VLOOKUP(D2618,'[2]ENSAIOS DE ORÇAMENTO'!$C$3:$L$79,3,FALSE)</f>
        <v>0</v>
      </c>
      <c r="H2622" s="663">
        <f t="shared" si="707"/>
        <v>0</v>
      </c>
      <c r="I2622" s="420"/>
      <c r="J2622" s="420" t="str">
        <f t="shared" si="698"/>
        <v/>
      </c>
      <c r="K2622" s="421">
        <f t="shared" si="686"/>
        <v>0</v>
      </c>
      <c r="L2622" s="668" t="s">
        <v>614</v>
      </c>
      <c r="M2622" s="669"/>
      <c r="N2622" s="576">
        <f t="shared" si="696"/>
        <v>0</v>
      </c>
      <c r="O2622" s="577">
        <f t="shared" si="689"/>
        <v>0</v>
      </c>
      <c r="P2622" s="578">
        <f t="shared" si="690"/>
        <v>0</v>
      </c>
      <c r="Q2622" s="765"/>
      <c r="R2622" s="669"/>
      <c r="S2622" s="670"/>
      <c r="T2622" s="577">
        <f t="shared" si="687"/>
        <v>0</v>
      </c>
      <c r="U2622" s="578">
        <f t="shared" si="688"/>
        <v>0</v>
      </c>
      <c r="V2622" s="579"/>
      <c r="W2622" s="637" t="str">
        <f>IF(U2618&gt;0,"xx",IF(P2618&gt;0,"xy",""))</f>
        <v/>
      </c>
      <c r="X2622" s="586" t="str">
        <f t="shared" si="703"/>
        <v/>
      </c>
      <c r="Y2622" s="586" t="str">
        <f t="shared" si="692"/>
        <v/>
      </c>
      <c r="Z2622" s="586" t="str">
        <f t="shared" si="701"/>
        <v/>
      </c>
    </row>
    <row r="2623" spans="1:26" ht="12" hidden="1" thickBot="1" x14ac:dyDescent="0.25">
      <c r="A2623" s="567" t="s">
        <v>168</v>
      </c>
      <c r="B2623" s="644" t="s">
        <v>168</v>
      </c>
      <c r="C2623" s="645"/>
      <c r="D2623" s="451" t="s">
        <v>401</v>
      </c>
      <c r="E2623" s="423"/>
      <c r="F2623" s="424">
        <v>500</v>
      </c>
      <c r="G2623" s="425">
        <f>VLOOKUP(D2618,'[2]ENSAIOS DE ORÇAMENTO'!$C$3:$L$79,10,FALSE)</f>
        <v>0</v>
      </c>
      <c r="H2623" s="649">
        <f>IF(F2623&lt;=30,(0.78*F2623+7.82)*G2623,((0.78*30+7.82)+0.78*(F2623-30))*G2623)</f>
        <v>0</v>
      </c>
      <c r="I2623" s="420"/>
      <c r="J2623" s="420" t="str">
        <f t="shared" si="698"/>
        <v/>
      </c>
      <c r="K2623" s="421">
        <f t="shared" si="686"/>
        <v>0</v>
      </c>
      <c r="L2623" s="668" t="s">
        <v>614</v>
      </c>
      <c r="M2623" s="669"/>
      <c r="N2623" s="576">
        <f t="shared" si="696"/>
        <v>0</v>
      </c>
      <c r="O2623" s="577">
        <f t="shared" si="689"/>
        <v>0</v>
      </c>
      <c r="P2623" s="578">
        <f t="shared" si="690"/>
        <v>0</v>
      </c>
      <c r="Q2623" s="765"/>
      <c r="R2623" s="669"/>
      <c r="S2623" s="670"/>
      <c r="T2623" s="577">
        <f t="shared" si="687"/>
        <v>0</v>
      </c>
      <c r="U2623" s="578">
        <f t="shared" si="688"/>
        <v>0</v>
      </c>
      <c r="V2623" s="579"/>
      <c r="W2623" s="637" t="str">
        <f>IF(U2618&gt;0,"xx",IF(P2618&gt;0,"xy",""))</f>
        <v/>
      </c>
      <c r="X2623" s="586" t="str">
        <f t="shared" si="703"/>
        <v/>
      </c>
      <c r="Y2623" s="586" t="str">
        <f t="shared" si="692"/>
        <v/>
      </c>
      <c r="Z2623" s="586" t="str">
        <f t="shared" si="701"/>
        <v/>
      </c>
    </row>
    <row r="2624" spans="1:26" ht="12" hidden="1" thickBot="1" x14ac:dyDescent="0.25">
      <c r="A2624" s="567" t="s">
        <v>437</v>
      </c>
      <c r="B2624" s="644" t="s">
        <v>437</v>
      </c>
      <c r="C2624" s="645" t="s">
        <v>206</v>
      </c>
      <c r="D2624" s="422" t="str">
        <f>'[2]ENSAIOS DE ORÇAMENTO'!C79</f>
        <v>ENSAIO DE ORÇAMENTO 10</v>
      </c>
      <c r="E2624" s="423"/>
      <c r="F2624" s="424"/>
      <c r="G2624" s="425"/>
      <c r="H2624" s="651">
        <f>SUM(H2625:H2629)</f>
        <v>0</v>
      </c>
      <c r="I2624" s="420">
        <f>VLOOKUP(D2624,'[2]ENSAIOS DE ORÇAMENTO'!$C$3:$L$79,8,FALSE)</f>
        <v>0</v>
      </c>
      <c r="J2624" s="420">
        <f t="shared" si="698"/>
        <v>0</v>
      </c>
      <c r="K2624" s="421">
        <f t="shared" ref="K2624:K2629" si="708">IF(ISBLANK(I2624),0,ROUND(J2624*(1+$F$10)*(1+$F$11*E2624),2))</f>
        <v>0</v>
      </c>
      <c r="L2624" s="647" t="s">
        <v>21</v>
      </c>
      <c r="M2624" s="576"/>
      <c r="N2624" s="576">
        <f t="shared" si="696"/>
        <v>0</v>
      </c>
      <c r="O2624" s="577">
        <f t="shared" si="689"/>
        <v>0</v>
      </c>
      <c r="P2624" s="578">
        <f t="shared" si="690"/>
        <v>0</v>
      </c>
      <c r="Q2624" s="765"/>
      <c r="R2624" s="576">
        <f t="shared" si="705"/>
        <v>0</v>
      </c>
      <c r="S2624" s="576">
        <f>N2624</f>
        <v>0</v>
      </c>
      <c r="T2624" s="577">
        <f t="shared" ref="T2624:T2673" si="709">IF(ISBLANK(R2624),0,ROUND(K2624*R2624,2))</f>
        <v>0</v>
      </c>
      <c r="U2624" s="578">
        <f t="shared" ref="U2624:U2673" si="710">IF(ISBLANK(R2624),0,ROUND(R2624*S2624,2))</f>
        <v>0</v>
      </c>
      <c r="V2624" s="579"/>
      <c r="W2624" s="566"/>
      <c r="X2624" s="586" t="str">
        <f t="shared" si="703"/>
        <v/>
      </c>
      <c r="Y2624" s="586" t="str">
        <f t="shared" si="692"/>
        <v/>
      </c>
      <c r="Z2624" s="586" t="str">
        <f t="shared" si="701"/>
        <v/>
      </c>
    </row>
    <row r="2625" spans="1:26" ht="12" hidden="1" thickBot="1" x14ac:dyDescent="0.25">
      <c r="A2625" s="567" t="s">
        <v>168</v>
      </c>
      <c r="B2625" s="644" t="s">
        <v>168</v>
      </c>
      <c r="C2625" s="645"/>
      <c r="D2625" s="451" t="s">
        <v>212</v>
      </c>
      <c r="E2625" s="423"/>
      <c r="F2625" s="424">
        <v>500</v>
      </c>
      <c r="G2625" s="425">
        <f>VLOOKUP(D2624,'[2]ENSAIOS DE ORÇAMENTO'!$C$3:$L$79,4,FALSE)</f>
        <v>0</v>
      </c>
      <c r="H2625" s="649">
        <f>IF(F2625&lt;=30,(0.78*F2625+7.82)*G2625,((0.78*30+7.82)+0.78*(F2625-30))*G2625)</f>
        <v>0</v>
      </c>
      <c r="I2625" s="420"/>
      <c r="J2625" s="420" t="str">
        <f t="shared" si="698"/>
        <v/>
      </c>
      <c r="K2625" s="421">
        <f t="shared" si="708"/>
        <v>0</v>
      </c>
      <c r="L2625" s="668" t="s">
        <v>614</v>
      </c>
      <c r="M2625" s="669"/>
      <c r="N2625" s="576">
        <f t="shared" si="696"/>
        <v>0</v>
      </c>
      <c r="O2625" s="577">
        <f t="shared" ref="O2625:O2673" si="711">IF(ISBLANK(M2625),0,ROUND(K2625*M2625,2))</f>
        <v>0</v>
      </c>
      <c r="P2625" s="578">
        <f t="shared" ref="P2625:P2673" si="712">IF(ISBLANK(N2625),0,ROUND(M2625*N2625,2))</f>
        <v>0</v>
      </c>
      <c r="Q2625" s="765"/>
      <c r="R2625" s="669"/>
      <c r="S2625" s="670"/>
      <c r="T2625" s="577">
        <f t="shared" si="709"/>
        <v>0</v>
      </c>
      <c r="U2625" s="578">
        <f t="shared" si="710"/>
        <v>0</v>
      </c>
      <c r="V2625" s="579"/>
      <c r="W2625" s="637" t="str">
        <f>IF(U2624&gt;0,"xx",IF(P2624&gt;0,"xy",""))</f>
        <v/>
      </c>
      <c r="X2625" s="586" t="str">
        <f t="shared" si="703"/>
        <v/>
      </c>
      <c r="Y2625" s="586" t="str">
        <f t="shared" si="692"/>
        <v/>
      </c>
      <c r="Z2625" s="586" t="str">
        <f t="shared" si="701"/>
        <v/>
      </c>
    </row>
    <row r="2626" spans="1:26" ht="12" hidden="1" thickBot="1" x14ac:dyDescent="0.25">
      <c r="A2626" s="567" t="s">
        <v>168</v>
      </c>
      <c r="B2626" s="644" t="s">
        <v>168</v>
      </c>
      <c r="C2626" s="645"/>
      <c r="D2626" s="451" t="s">
        <v>248</v>
      </c>
      <c r="E2626" s="423"/>
      <c r="F2626" s="424">
        <v>180</v>
      </c>
      <c r="G2626" s="425">
        <f>VLOOKUP(D2624,'[2]ENSAIOS DE ORÇAMENTO'!$C$3:$L$79,5,FALSE)</f>
        <v>0</v>
      </c>
      <c r="H2626" s="663">
        <f t="shared" ref="H2626:H2628" si="713">IF(F2626&lt;=30,(1.07*F2626+2.68)*G2626,((1.07*30+2.68)+1.07*(F2626-30))*G2626)</f>
        <v>0</v>
      </c>
      <c r="I2626" s="420"/>
      <c r="J2626" s="420" t="str">
        <f t="shared" si="698"/>
        <v/>
      </c>
      <c r="K2626" s="421">
        <f t="shared" si="708"/>
        <v>0</v>
      </c>
      <c r="L2626" s="668" t="s">
        <v>614</v>
      </c>
      <c r="M2626" s="669"/>
      <c r="N2626" s="576">
        <f t="shared" si="696"/>
        <v>0</v>
      </c>
      <c r="O2626" s="577">
        <f t="shared" si="711"/>
        <v>0</v>
      </c>
      <c r="P2626" s="578">
        <f t="shared" si="712"/>
        <v>0</v>
      </c>
      <c r="Q2626" s="765"/>
      <c r="R2626" s="669"/>
      <c r="S2626" s="670"/>
      <c r="T2626" s="577">
        <f t="shared" si="709"/>
        <v>0</v>
      </c>
      <c r="U2626" s="578">
        <f t="shared" si="710"/>
        <v>0</v>
      </c>
      <c r="V2626" s="579"/>
      <c r="W2626" s="637" t="str">
        <f>IF(U2624&gt;0,"xx",IF(P2624&gt;0,"xy",""))</f>
        <v/>
      </c>
      <c r="X2626" s="586" t="str">
        <f t="shared" si="703"/>
        <v/>
      </c>
      <c r="Y2626" s="586" t="str">
        <f t="shared" si="692"/>
        <v/>
      </c>
      <c r="Z2626" s="586" t="str">
        <f t="shared" si="701"/>
        <v/>
      </c>
    </row>
    <row r="2627" spans="1:26" ht="12" hidden="1" thickBot="1" x14ac:dyDescent="0.25">
      <c r="A2627" s="567" t="s">
        <v>168</v>
      </c>
      <c r="B2627" s="644" t="s">
        <v>168</v>
      </c>
      <c r="C2627" s="645"/>
      <c r="D2627" s="451" t="s">
        <v>252</v>
      </c>
      <c r="E2627" s="423"/>
      <c r="F2627" s="424">
        <v>20</v>
      </c>
      <c r="G2627" s="425">
        <f>VLOOKUP(D2624,'[2]ENSAIOS DE ORÇAMENTO'!$C$3:$L$79,6,FALSE)</f>
        <v>0</v>
      </c>
      <c r="H2627" s="663">
        <f t="shared" si="713"/>
        <v>0</v>
      </c>
      <c r="I2627" s="420"/>
      <c r="J2627" s="420" t="str">
        <f t="shared" si="698"/>
        <v/>
      </c>
      <c r="K2627" s="421">
        <f t="shared" si="708"/>
        <v>0</v>
      </c>
      <c r="L2627" s="668" t="s">
        <v>614</v>
      </c>
      <c r="M2627" s="669"/>
      <c r="N2627" s="576">
        <f t="shared" si="696"/>
        <v>0</v>
      </c>
      <c r="O2627" s="577">
        <f t="shared" si="711"/>
        <v>0</v>
      </c>
      <c r="P2627" s="578">
        <f t="shared" si="712"/>
        <v>0</v>
      </c>
      <c r="Q2627" s="765"/>
      <c r="R2627" s="669"/>
      <c r="S2627" s="670"/>
      <c r="T2627" s="577">
        <f t="shared" si="709"/>
        <v>0</v>
      </c>
      <c r="U2627" s="578">
        <f t="shared" si="710"/>
        <v>0</v>
      </c>
      <c r="V2627" s="579"/>
      <c r="W2627" s="637" t="str">
        <f>IF(U2624&gt;0,"xx",IF(P2624&gt;0,"xy",""))</f>
        <v/>
      </c>
      <c r="X2627" s="586" t="str">
        <f t="shared" si="703"/>
        <v/>
      </c>
      <c r="Y2627" s="586" t="str">
        <f t="shared" si="692"/>
        <v/>
      </c>
      <c r="Z2627" s="586" t="str">
        <f t="shared" si="701"/>
        <v/>
      </c>
    </row>
    <row r="2628" spans="1:26" ht="12" hidden="1" thickBot="1" x14ac:dyDescent="0.25">
      <c r="A2628" s="567" t="s">
        <v>168</v>
      </c>
      <c r="B2628" s="644" t="s">
        <v>168</v>
      </c>
      <c r="C2628" s="645"/>
      <c r="D2628" s="451" t="s">
        <v>400</v>
      </c>
      <c r="E2628" s="423"/>
      <c r="F2628" s="424">
        <v>30</v>
      </c>
      <c r="G2628" s="425">
        <f>VLOOKUP(D2624,'[2]ENSAIOS DE ORÇAMENTO'!$C$3:$L$79,3,FALSE)</f>
        <v>0</v>
      </c>
      <c r="H2628" s="663">
        <f t="shared" si="713"/>
        <v>0</v>
      </c>
      <c r="I2628" s="420"/>
      <c r="J2628" s="420" t="str">
        <f t="shared" si="698"/>
        <v/>
      </c>
      <c r="K2628" s="421">
        <f t="shared" si="708"/>
        <v>0</v>
      </c>
      <c r="L2628" s="668" t="s">
        <v>614</v>
      </c>
      <c r="M2628" s="669"/>
      <c r="N2628" s="576">
        <f t="shared" si="696"/>
        <v>0</v>
      </c>
      <c r="O2628" s="577">
        <f t="shared" si="711"/>
        <v>0</v>
      </c>
      <c r="P2628" s="578">
        <f t="shared" si="712"/>
        <v>0</v>
      </c>
      <c r="Q2628" s="765"/>
      <c r="R2628" s="669"/>
      <c r="S2628" s="670"/>
      <c r="T2628" s="577">
        <f t="shared" si="709"/>
        <v>0</v>
      </c>
      <c r="U2628" s="578">
        <f t="shared" si="710"/>
        <v>0</v>
      </c>
      <c r="V2628" s="579"/>
      <c r="W2628" s="637" t="str">
        <f>IF(U2624&gt;0,"xx",IF(P2624&gt;0,"xy",""))</f>
        <v/>
      </c>
      <c r="X2628" s="586" t="str">
        <f t="shared" si="703"/>
        <v/>
      </c>
      <c r="Y2628" s="586" t="str">
        <f t="shared" si="692"/>
        <v/>
      </c>
      <c r="Z2628" s="586" t="str">
        <f t="shared" si="701"/>
        <v/>
      </c>
    </row>
    <row r="2629" spans="1:26" ht="12" hidden="1" thickBot="1" x14ac:dyDescent="0.25">
      <c r="A2629" s="567" t="s">
        <v>168</v>
      </c>
      <c r="B2629" s="644" t="s">
        <v>168</v>
      </c>
      <c r="C2629" s="645"/>
      <c r="D2629" s="451" t="s">
        <v>401</v>
      </c>
      <c r="E2629" s="423"/>
      <c r="F2629" s="424">
        <v>500</v>
      </c>
      <c r="G2629" s="425">
        <f>VLOOKUP(D2624,'[2]ENSAIOS DE ORÇAMENTO'!$C$3:$L$79,10,FALSE)</f>
        <v>0</v>
      </c>
      <c r="H2629" s="649">
        <f>IF(F2629&lt;=30,(0.78*F2629+7.82)*G2629,((0.78*30+7.82)+0.78*(F2629-30))*G2629)</f>
        <v>0</v>
      </c>
      <c r="I2629" s="420"/>
      <c r="J2629" s="420" t="str">
        <f>IF(ISBLANK(I2629),"",SUM(H2629:I2629))</f>
        <v/>
      </c>
      <c r="K2629" s="421">
        <f t="shared" si="708"/>
        <v>0</v>
      </c>
      <c r="L2629" s="668" t="s">
        <v>614</v>
      </c>
      <c r="M2629" s="669"/>
      <c r="N2629" s="576">
        <f t="shared" si="696"/>
        <v>0</v>
      </c>
      <c r="O2629" s="577">
        <f t="shared" si="711"/>
        <v>0</v>
      </c>
      <c r="P2629" s="578">
        <f t="shared" si="712"/>
        <v>0</v>
      </c>
      <c r="Q2629" s="765"/>
      <c r="R2629" s="669"/>
      <c r="S2629" s="670"/>
      <c r="T2629" s="577">
        <f t="shared" si="709"/>
        <v>0</v>
      </c>
      <c r="U2629" s="578">
        <f t="shared" si="710"/>
        <v>0</v>
      </c>
      <c r="V2629" s="579"/>
      <c r="W2629" s="637" t="str">
        <f>IF(U2624&gt;0,"xx",IF(P2624&gt;0,"xy",""))</f>
        <v/>
      </c>
      <c r="X2629" s="586" t="str">
        <f t="shared" si="703"/>
        <v/>
      </c>
      <c r="Y2629" s="586" t="str">
        <f t="shared" si="692"/>
        <v/>
      </c>
      <c r="Z2629" s="586" t="str">
        <f t="shared" si="701"/>
        <v/>
      </c>
    </row>
    <row r="2630" spans="1:26" ht="12" hidden="1" thickBot="1" x14ac:dyDescent="0.25">
      <c r="A2630" s="652" t="s">
        <v>187</v>
      </c>
      <c r="B2630" s="653" t="s">
        <v>187</v>
      </c>
      <c r="C2630" s="654"/>
      <c r="D2630" s="427" t="s">
        <v>448</v>
      </c>
      <c r="E2630" s="491"/>
      <c r="F2630" s="655"/>
      <c r="G2630" s="656"/>
      <c r="H2630" s="657"/>
      <c r="I2630" s="429"/>
      <c r="J2630" s="429"/>
      <c r="K2630" s="429"/>
      <c r="L2630" s="429" t="s">
        <v>614</v>
      </c>
      <c r="M2630" s="657"/>
      <c r="N2630" s="576">
        <f t="shared" si="696"/>
        <v>0</v>
      </c>
      <c r="O2630" s="429">
        <f t="shared" si="711"/>
        <v>0</v>
      </c>
      <c r="P2630" s="658">
        <f t="shared" si="712"/>
        <v>0</v>
      </c>
      <c r="Q2630" s="765"/>
      <c r="R2630" s="657"/>
      <c r="S2630" s="429"/>
      <c r="T2630" s="429">
        <f t="shared" si="709"/>
        <v>0</v>
      </c>
      <c r="U2630" s="658">
        <f t="shared" si="710"/>
        <v>0</v>
      </c>
      <c r="V2630" s="579"/>
      <c r="W2630" s="637" t="str">
        <f>IF(OR(SUM(P2631:P2661)&gt;0,SUM(U2631:U2661)&gt;0),"y","")</f>
        <v/>
      </c>
      <c r="X2630" s="586" t="str">
        <f t="shared" si="703"/>
        <v/>
      </c>
      <c r="Y2630" s="586" t="str">
        <f t="shared" si="692"/>
        <v/>
      </c>
      <c r="Z2630" s="586" t="str">
        <f t="shared" si="701"/>
        <v/>
      </c>
    </row>
    <row r="2631" spans="1:26" ht="12" hidden="1" thickBot="1" x14ac:dyDescent="0.25">
      <c r="A2631" s="652" t="s">
        <v>187</v>
      </c>
      <c r="B2631" s="572" t="s">
        <v>187</v>
      </c>
      <c r="C2631" s="573" t="s">
        <v>187</v>
      </c>
      <c r="D2631" s="574"/>
      <c r="E2631" s="575"/>
      <c r="F2631" s="436"/>
      <c r="G2631" s="431"/>
      <c r="H2631" s="430"/>
      <c r="I2631" s="432"/>
      <c r="J2631" s="433"/>
      <c r="K2631" s="434">
        <f t="shared" ref="K2631:K2661" si="714">IF(ISBLANK(J2631),0,ROUND(J2631*(1+$F$10)*(1+$F$11*E2631),2))</f>
        <v>0</v>
      </c>
      <c r="L2631" s="435" t="s">
        <v>614</v>
      </c>
      <c r="M2631" s="587"/>
      <c r="N2631" s="576">
        <f t="shared" si="696"/>
        <v>0</v>
      </c>
      <c r="O2631" s="577">
        <f t="shared" si="711"/>
        <v>0</v>
      </c>
      <c r="P2631" s="578">
        <f t="shared" si="712"/>
        <v>0</v>
      </c>
      <c r="Q2631" s="765"/>
      <c r="R2631" s="650">
        <f t="shared" si="705"/>
        <v>0</v>
      </c>
      <c r="S2631" s="587">
        <f t="shared" si="705"/>
        <v>0</v>
      </c>
      <c r="T2631" s="577">
        <f t="shared" si="709"/>
        <v>0</v>
      </c>
      <c r="U2631" s="578">
        <f t="shared" si="710"/>
        <v>0</v>
      </c>
      <c r="V2631" s="579"/>
      <c r="W2631" s="566"/>
      <c r="X2631" s="586" t="str">
        <f t="shared" si="703"/>
        <v/>
      </c>
      <c r="Y2631" s="586" t="str">
        <f t="shared" si="692"/>
        <v/>
      </c>
      <c r="Z2631" s="586" t="str">
        <f t="shared" si="701"/>
        <v/>
      </c>
    </row>
    <row r="2632" spans="1:26" ht="12" hidden="1" thickBot="1" x14ac:dyDescent="0.25">
      <c r="A2632" s="652" t="s">
        <v>187</v>
      </c>
      <c r="B2632" s="572" t="s">
        <v>187</v>
      </c>
      <c r="C2632" s="573" t="s">
        <v>187</v>
      </c>
      <c r="D2632" s="574"/>
      <c r="E2632" s="575"/>
      <c r="F2632" s="436"/>
      <c r="G2632" s="431"/>
      <c r="H2632" s="430"/>
      <c r="I2632" s="432"/>
      <c r="J2632" s="433"/>
      <c r="K2632" s="437">
        <f t="shared" si="714"/>
        <v>0</v>
      </c>
      <c r="L2632" s="435" t="s">
        <v>614</v>
      </c>
      <c r="M2632" s="576"/>
      <c r="N2632" s="576">
        <f t="shared" si="696"/>
        <v>0</v>
      </c>
      <c r="O2632" s="577">
        <f t="shared" si="711"/>
        <v>0</v>
      </c>
      <c r="P2632" s="578">
        <f t="shared" si="712"/>
        <v>0</v>
      </c>
      <c r="Q2632" s="765"/>
      <c r="R2632" s="576">
        <f t="shared" si="705"/>
        <v>0</v>
      </c>
      <c r="S2632" s="576">
        <f t="shared" si="705"/>
        <v>0</v>
      </c>
      <c r="T2632" s="577">
        <f t="shared" si="709"/>
        <v>0</v>
      </c>
      <c r="U2632" s="659">
        <f t="shared" si="710"/>
        <v>0</v>
      </c>
      <c r="V2632" s="579"/>
      <c r="W2632" s="566"/>
      <c r="X2632" s="586" t="str">
        <f t="shared" si="703"/>
        <v/>
      </c>
      <c r="Y2632" s="586" t="str">
        <f t="shared" ref="Y2632:Y2696" si="715">IF(W2632="X","x",IF(W2632="y","x",IF(W2632="xx","x",IF(U2632&gt;0,"x",""))))</f>
        <v/>
      </c>
      <c r="Z2632" s="586" t="str">
        <f t="shared" si="701"/>
        <v/>
      </c>
    </row>
    <row r="2633" spans="1:26" ht="12" hidden="1" thickBot="1" x14ac:dyDescent="0.25">
      <c r="A2633" s="652" t="s">
        <v>187</v>
      </c>
      <c r="B2633" s="572" t="s">
        <v>187</v>
      </c>
      <c r="C2633" s="573" t="s">
        <v>187</v>
      </c>
      <c r="D2633" s="580"/>
      <c r="E2633" s="575"/>
      <c r="F2633" s="436"/>
      <c r="G2633" s="431"/>
      <c r="H2633" s="430"/>
      <c r="I2633" s="432"/>
      <c r="J2633" s="433"/>
      <c r="K2633" s="437">
        <f t="shared" si="714"/>
        <v>0</v>
      </c>
      <c r="L2633" s="435" t="s">
        <v>614</v>
      </c>
      <c r="M2633" s="576"/>
      <c r="N2633" s="576">
        <f t="shared" si="696"/>
        <v>0</v>
      </c>
      <c r="O2633" s="577">
        <f t="shared" si="711"/>
        <v>0</v>
      </c>
      <c r="P2633" s="578">
        <f t="shared" si="712"/>
        <v>0</v>
      </c>
      <c r="Q2633" s="765"/>
      <c r="R2633" s="576">
        <f t="shared" si="705"/>
        <v>0</v>
      </c>
      <c r="S2633" s="576">
        <f t="shared" si="705"/>
        <v>0</v>
      </c>
      <c r="T2633" s="577">
        <f t="shared" si="709"/>
        <v>0</v>
      </c>
      <c r="U2633" s="578">
        <f t="shared" si="710"/>
        <v>0</v>
      </c>
      <c r="V2633" s="579"/>
      <c r="W2633" s="566"/>
      <c r="X2633" s="586" t="str">
        <f t="shared" si="703"/>
        <v/>
      </c>
      <c r="Y2633" s="586" t="str">
        <f t="shared" si="715"/>
        <v/>
      </c>
      <c r="Z2633" s="586" t="str">
        <f t="shared" si="701"/>
        <v/>
      </c>
    </row>
    <row r="2634" spans="1:26" ht="12" hidden="1" thickBot="1" x14ac:dyDescent="0.25">
      <c r="A2634" s="652" t="s">
        <v>187</v>
      </c>
      <c r="B2634" s="572" t="s">
        <v>187</v>
      </c>
      <c r="C2634" s="573" t="s">
        <v>187</v>
      </c>
      <c r="D2634" s="580"/>
      <c r="E2634" s="575"/>
      <c r="F2634" s="436"/>
      <c r="G2634" s="431"/>
      <c r="H2634" s="430"/>
      <c r="I2634" s="432"/>
      <c r="J2634" s="433"/>
      <c r="K2634" s="437">
        <f t="shared" si="714"/>
        <v>0</v>
      </c>
      <c r="L2634" s="435" t="s">
        <v>614</v>
      </c>
      <c r="M2634" s="576"/>
      <c r="N2634" s="576">
        <f t="shared" si="696"/>
        <v>0</v>
      </c>
      <c r="O2634" s="577">
        <f t="shared" si="711"/>
        <v>0</v>
      </c>
      <c r="P2634" s="578">
        <f t="shared" si="712"/>
        <v>0</v>
      </c>
      <c r="Q2634" s="765"/>
      <c r="R2634" s="576">
        <f t="shared" si="705"/>
        <v>0</v>
      </c>
      <c r="S2634" s="576">
        <f t="shared" si="705"/>
        <v>0</v>
      </c>
      <c r="T2634" s="577">
        <f t="shared" si="709"/>
        <v>0</v>
      </c>
      <c r="U2634" s="578">
        <f t="shared" si="710"/>
        <v>0</v>
      </c>
      <c r="V2634" s="579"/>
      <c r="W2634" s="566"/>
      <c r="X2634" s="586" t="str">
        <f t="shared" si="703"/>
        <v/>
      </c>
      <c r="Y2634" s="586" t="str">
        <f t="shared" si="715"/>
        <v/>
      </c>
      <c r="Z2634" s="586" t="str">
        <f t="shared" si="701"/>
        <v/>
      </c>
    </row>
    <row r="2635" spans="1:26" ht="12" hidden="1" thickBot="1" x14ac:dyDescent="0.25">
      <c r="A2635" s="652" t="s">
        <v>187</v>
      </c>
      <c r="B2635" s="572" t="s">
        <v>187</v>
      </c>
      <c r="C2635" s="573" t="s">
        <v>187</v>
      </c>
      <c r="D2635" s="580"/>
      <c r="E2635" s="575"/>
      <c r="F2635" s="436"/>
      <c r="G2635" s="431"/>
      <c r="H2635" s="430"/>
      <c r="I2635" s="432"/>
      <c r="J2635" s="433"/>
      <c r="K2635" s="437">
        <f t="shared" si="714"/>
        <v>0</v>
      </c>
      <c r="L2635" s="435" t="s">
        <v>614</v>
      </c>
      <c r="M2635" s="576"/>
      <c r="N2635" s="576">
        <f t="shared" si="696"/>
        <v>0</v>
      </c>
      <c r="O2635" s="577">
        <f t="shared" si="711"/>
        <v>0</v>
      </c>
      <c r="P2635" s="578">
        <f t="shared" si="712"/>
        <v>0</v>
      </c>
      <c r="Q2635" s="765"/>
      <c r="R2635" s="576">
        <f t="shared" si="705"/>
        <v>0</v>
      </c>
      <c r="S2635" s="576">
        <f t="shared" si="705"/>
        <v>0</v>
      </c>
      <c r="T2635" s="577">
        <f t="shared" si="709"/>
        <v>0</v>
      </c>
      <c r="U2635" s="578">
        <f t="shared" si="710"/>
        <v>0</v>
      </c>
      <c r="V2635" s="579"/>
      <c r="W2635" s="566"/>
      <c r="X2635" s="586" t="str">
        <f t="shared" si="703"/>
        <v/>
      </c>
      <c r="Y2635" s="586" t="str">
        <f t="shared" si="715"/>
        <v/>
      </c>
      <c r="Z2635" s="586" t="str">
        <f t="shared" si="701"/>
        <v/>
      </c>
    </row>
    <row r="2636" spans="1:26" ht="12" hidden="1" thickBot="1" x14ac:dyDescent="0.25">
      <c r="A2636" s="652" t="s">
        <v>187</v>
      </c>
      <c r="B2636" s="572" t="s">
        <v>187</v>
      </c>
      <c r="C2636" s="573" t="s">
        <v>187</v>
      </c>
      <c r="D2636" s="580"/>
      <c r="E2636" s="575"/>
      <c r="F2636" s="436"/>
      <c r="G2636" s="431"/>
      <c r="H2636" s="430"/>
      <c r="I2636" s="432"/>
      <c r="J2636" s="433"/>
      <c r="K2636" s="437">
        <f t="shared" si="714"/>
        <v>0</v>
      </c>
      <c r="L2636" s="435" t="s">
        <v>614</v>
      </c>
      <c r="M2636" s="576"/>
      <c r="N2636" s="576">
        <f t="shared" si="696"/>
        <v>0</v>
      </c>
      <c r="O2636" s="577">
        <f t="shared" si="711"/>
        <v>0</v>
      </c>
      <c r="P2636" s="578">
        <f t="shared" si="712"/>
        <v>0</v>
      </c>
      <c r="Q2636" s="765"/>
      <c r="R2636" s="576">
        <f t="shared" si="705"/>
        <v>0</v>
      </c>
      <c r="S2636" s="576">
        <f t="shared" si="705"/>
        <v>0</v>
      </c>
      <c r="T2636" s="577">
        <f t="shared" si="709"/>
        <v>0</v>
      </c>
      <c r="U2636" s="578">
        <f t="shared" si="710"/>
        <v>0</v>
      </c>
      <c r="V2636" s="579"/>
      <c r="W2636" s="566"/>
      <c r="X2636" s="586" t="str">
        <f t="shared" si="703"/>
        <v/>
      </c>
      <c r="Y2636" s="586" t="str">
        <f t="shared" si="715"/>
        <v/>
      </c>
      <c r="Z2636" s="586" t="str">
        <f t="shared" si="701"/>
        <v/>
      </c>
    </row>
    <row r="2637" spans="1:26" ht="12" hidden="1" thickBot="1" x14ac:dyDescent="0.25">
      <c r="A2637" s="652" t="s">
        <v>187</v>
      </c>
      <c r="B2637" s="572" t="s">
        <v>187</v>
      </c>
      <c r="C2637" s="573" t="s">
        <v>187</v>
      </c>
      <c r="D2637" s="580"/>
      <c r="E2637" s="575"/>
      <c r="F2637" s="436"/>
      <c r="G2637" s="431"/>
      <c r="H2637" s="430"/>
      <c r="I2637" s="432"/>
      <c r="J2637" s="433"/>
      <c r="K2637" s="437">
        <f t="shared" si="714"/>
        <v>0</v>
      </c>
      <c r="L2637" s="435" t="s">
        <v>614</v>
      </c>
      <c r="M2637" s="576"/>
      <c r="N2637" s="576">
        <f t="shared" si="696"/>
        <v>0</v>
      </c>
      <c r="O2637" s="577">
        <f t="shared" si="711"/>
        <v>0</v>
      </c>
      <c r="P2637" s="578">
        <f t="shared" si="712"/>
        <v>0</v>
      </c>
      <c r="Q2637" s="765"/>
      <c r="R2637" s="576">
        <f t="shared" si="705"/>
        <v>0</v>
      </c>
      <c r="S2637" s="576">
        <f t="shared" si="705"/>
        <v>0</v>
      </c>
      <c r="T2637" s="577">
        <f t="shared" si="709"/>
        <v>0</v>
      </c>
      <c r="U2637" s="578">
        <f t="shared" si="710"/>
        <v>0</v>
      </c>
      <c r="V2637" s="579"/>
      <c r="W2637" s="566"/>
      <c r="X2637" s="586" t="str">
        <f t="shared" si="703"/>
        <v/>
      </c>
      <c r="Y2637" s="586" t="str">
        <f t="shared" si="715"/>
        <v/>
      </c>
      <c r="Z2637" s="586" t="str">
        <f t="shared" si="701"/>
        <v/>
      </c>
    </row>
    <row r="2638" spans="1:26" ht="12" hidden="1" thickBot="1" x14ac:dyDescent="0.25">
      <c r="A2638" s="652" t="s">
        <v>187</v>
      </c>
      <c r="B2638" s="572" t="s">
        <v>187</v>
      </c>
      <c r="C2638" s="573" t="s">
        <v>187</v>
      </c>
      <c r="D2638" s="580"/>
      <c r="E2638" s="575"/>
      <c r="F2638" s="436"/>
      <c r="G2638" s="431"/>
      <c r="H2638" s="430"/>
      <c r="I2638" s="432"/>
      <c r="J2638" s="433"/>
      <c r="K2638" s="437">
        <f t="shared" si="714"/>
        <v>0</v>
      </c>
      <c r="L2638" s="435" t="s">
        <v>614</v>
      </c>
      <c r="M2638" s="576"/>
      <c r="N2638" s="576">
        <f t="shared" si="696"/>
        <v>0</v>
      </c>
      <c r="O2638" s="577">
        <f t="shared" si="711"/>
        <v>0</v>
      </c>
      <c r="P2638" s="578">
        <f t="shared" si="712"/>
        <v>0</v>
      </c>
      <c r="Q2638" s="765"/>
      <c r="R2638" s="576">
        <f t="shared" si="705"/>
        <v>0</v>
      </c>
      <c r="S2638" s="576">
        <f t="shared" si="705"/>
        <v>0</v>
      </c>
      <c r="T2638" s="577">
        <f t="shared" si="709"/>
        <v>0</v>
      </c>
      <c r="U2638" s="578">
        <f t="shared" si="710"/>
        <v>0</v>
      </c>
      <c r="V2638" s="579"/>
      <c r="W2638" s="566"/>
      <c r="X2638" s="586" t="str">
        <f t="shared" si="703"/>
        <v/>
      </c>
      <c r="Y2638" s="586" t="str">
        <f t="shared" si="715"/>
        <v/>
      </c>
      <c r="Z2638" s="586" t="str">
        <f t="shared" si="701"/>
        <v/>
      </c>
    </row>
    <row r="2639" spans="1:26" ht="12" hidden="1" thickBot="1" x14ac:dyDescent="0.25">
      <c r="A2639" s="652" t="s">
        <v>187</v>
      </c>
      <c r="B2639" s="572" t="s">
        <v>187</v>
      </c>
      <c r="C2639" s="573" t="s">
        <v>187</v>
      </c>
      <c r="D2639" s="580"/>
      <c r="E2639" s="575"/>
      <c r="F2639" s="436"/>
      <c r="G2639" s="431"/>
      <c r="H2639" s="430"/>
      <c r="I2639" s="432"/>
      <c r="J2639" s="433"/>
      <c r="K2639" s="437">
        <f t="shared" si="714"/>
        <v>0</v>
      </c>
      <c r="L2639" s="435" t="s">
        <v>614</v>
      </c>
      <c r="M2639" s="576"/>
      <c r="N2639" s="576">
        <f t="shared" si="696"/>
        <v>0</v>
      </c>
      <c r="O2639" s="577">
        <f t="shared" si="711"/>
        <v>0</v>
      </c>
      <c r="P2639" s="578">
        <f t="shared" si="712"/>
        <v>0</v>
      </c>
      <c r="Q2639" s="765"/>
      <c r="R2639" s="576">
        <f t="shared" si="705"/>
        <v>0</v>
      </c>
      <c r="S2639" s="576">
        <f t="shared" si="705"/>
        <v>0</v>
      </c>
      <c r="T2639" s="577">
        <f t="shared" si="709"/>
        <v>0</v>
      </c>
      <c r="U2639" s="578">
        <f t="shared" si="710"/>
        <v>0</v>
      </c>
      <c r="V2639" s="579"/>
      <c r="W2639" s="566"/>
      <c r="X2639" s="586" t="str">
        <f t="shared" si="703"/>
        <v/>
      </c>
      <c r="Y2639" s="586" t="str">
        <f t="shared" si="715"/>
        <v/>
      </c>
      <c r="Z2639" s="586" t="str">
        <f t="shared" si="701"/>
        <v/>
      </c>
    </row>
    <row r="2640" spans="1:26" ht="12" hidden="1" thickBot="1" x14ac:dyDescent="0.25">
      <c r="A2640" s="652" t="s">
        <v>187</v>
      </c>
      <c r="B2640" s="572" t="s">
        <v>187</v>
      </c>
      <c r="C2640" s="573" t="s">
        <v>187</v>
      </c>
      <c r="D2640" s="580"/>
      <c r="E2640" s="575"/>
      <c r="F2640" s="436"/>
      <c r="G2640" s="431"/>
      <c r="H2640" s="430"/>
      <c r="I2640" s="432"/>
      <c r="J2640" s="433"/>
      <c r="K2640" s="437">
        <f t="shared" si="714"/>
        <v>0</v>
      </c>
      <c r="L2640" s="435" t="s">
        <v>614</v>
      </c>
      <c r="M2640" s="576"/>
      <c r="N2640" s="576">
        <f t="shared" si="696"/>
        <v>0</v>
      </c>
      <c r="O2640" s="577">
        <f t="shared" si="711"/>
        <v>0</v>
      </c>
      <c r="P2640" s="578">
        <f t="shared" si="712"/>
        <v>0</v>
      </c>
      <c r="Q2640" s="765"/>
      <c r="R2640" s="576">
        <f t="shared" si="705"/>
        <v>0</v>
      </c>
      <c r="S2640" s="576">
        <f t="shared" si="705"/>
        <v>0</v>
      </c>
      <c r="T2640" s="577">
        <f t="shared" si="709"/>
        <v>0</v>
      </c>
      <c r="U2640" s="578">
        <f t="shared" si="710"/>
        <v>0</v>
      </c>
      <c r="V2640" s="579"/>
      <c r="W2640" s="566"/>
      <c r="X2640" s="586" t="str">
        <f t="shared" si="703"/>
        <v/>
      </c>
      <c r="Y2640" s="586" t="str">
        <f t="shared" si="715"/>
        <v/>
      </c>
      <c r="Z2640" s="586" t="str">
        <f t="shared" si="701"/>
        <v/>
      </c>
    </row>
    <row r="2641" spans="1:26" ht="12" hidden="1" thickBot="1" x14ac:dyDescent="0.25">
      <c r="A2641" s="652" t="s">
        <v>187</v>
      </c>
      <c r="B2641" s="572" t="s">
        <v>187</v>
      </c>
      <c r="C2641" s="573" t="s">
        <v>187</v>
      </c>
      <c r="D2641" s="580"/>
      <c r="E2641" s="575"/>
      <c r="F2641" s="436"/>
      <c r="G2641" s="431"/>
      <c r="H2641" s="430"/>
      <c r="I2641" s="432"/>
      <c r="J2641" s="433"/>
      <c r="K2641" s="437">
        <f t="shared" si="714"/>
        <v>0</v>
      </c>
      <c r="L2641" s="435" t="s">
        <v>614</v>
      </c>
      <c r="M2641" s="576"/>
      <c r="N2641" s="576">
        <f t="shared" si="696"/>
        <v>0</v>
      </c>
      <c r="O2641" s="577">
        <f t="shared" si="711"/>
        <v>0</v>
      </c>
      <c r="P2641" s="578">
        <f t="shared" si="712"/>
        <v>0</v>
      </c>
      <c r="Q2641" s="765"/>
      <c r="R2641" s="576">
        <f t="shared" si="705"/>
        <v>0</v>
      </c>
      <c r="S2641" s="576">
        <f t="shared" si="705"/>
        <v>0</v>
      </c>
      <c r="T2641" s="577">
        <f t="shared" si="709"/>
        <v>0</v>
      </c>
      <c r="U2641" s="578">
        <f t="shared" si="710"/>
        <v>0</v>
      </c>
      <c r="V2641" s="579"/>
      <c r="W2641" s="566"/>
      <c r="X2641" s="586" t="str">
        <f t="shared" si="703"/>
        <v/>
      </c>
      <c r="Y2641" s="586" t="str">
        <f t="shared" si="715"/>
        <v/>
      </c>
      <c r="Z2641" s="586" t="str">
        <f t="shared" si="701"/>
        <v/>
      </c>
    </row>
    <row r="2642" spans="1:26" ht="12" hidden="1" thickBot="1" x14ac:dyDescent="0.25">
      <c r="A2642" s="652" t="s">
        <v>187</v>
      </c>
      <c r="B2642" s="572" t="s">
        <v>187</v>
      </c>
      <c r="C2642" s="573" t="s">
        <v>187</v>
      </c>
      <c r="D2642" s="580"/>
      <c r="E2642" s="575"/>
      <c r="F2642" s="436"/>
      <c r="G2642" s="431"/>
      <c r="H2642" s="430"/>
      <c r="I2642" s="432"/>
      <c r="J2642" s="433"/>
      <c r="K2642" s="437">
        <f t="shared" si="714"/>
        <v>0</v>
      </c>
      <c r="L2642" s="435" t="s">
        <v>614</v>
      </c>
      <c r="M2642" s="576"/>
      <c r="N2642" s="576">
        <f t="shared" si="696"/>
        <v>0</v>
      </c>
      <c r="O2642" s="577">
        <f t="shared" si="711"/>
        <v>0</v>
      </c>
      <c r="P2642" s="578">
        <f t="shared" si="712"/>
        <v>0</v>
      </c>
      <c r="Q2642" s="765"/>
      <c r="R2642" s="576">
        <f t="shared" si="705"/>
        <v>0</v>
      </c>
      <c r="S2642" s="576">
        <f t="shared" si="705"/>
        <v>0</v>
      </c>
      <c r="T2642" s="577">
        <f t="shared" si="709"/>
        <v>0</v>
      </c>
      <c r="U2642" s="578">
        <f t="shared" si="710"/>
        <v>0</v>
      </c>
      <c r="V2642" s="579"/>
      <c r="W2642" s="566"/>
      <c r="X2642" s="586" t="str">
        <f t="shared" si="703"/>
        <v/>
      </c>
      <c r="Y2642" s="586" t="str">
        <f t="shared" si="715"/>
        <v/>
      </c>
      <c r="Z2642" s="586" t="str">
        <f t="shared" si="701"/>
        <v/>
      </c>
    </row>
    <row r="2643" spans="1:26" ht="12" hidden="1" thickBot="1" x14ac:dyDescent="0.25">
      <c r="A2643" s="652" t="s">
        <v>187</v>
      </c>
      <c r="B2643" s="572" t="s">
        <v>187</v>
      </c>
      <c r="C2643" s="573" t="s">
        <v>187</v>
      </c>
      <c r="D2643" s="580"/>
      <c r="E2643" s="575"/>
      <c r="F2643" s="436"/>
      <c r="G2643" s="431"/>
      <c r="H2643" s="430"/>
      <c r="I2643" s="432"/>
      <c r="J2643" s="433"/>
      <c r="K2643" s="437">
        <f t="shared" si="714"/>
        <v>0</v>
      </c>
      <c r="L2643" s="435" t="s">
        <v>614</v>
      </c>
      <c r="M2643" s="576"/>
      <c r="N2643" s="576">
        <f t="shared" si="696"/>
        <v>0</v>
      </c>
      <c r="O2643" s="577">
        <f t="shared" si="711"/>
        <v>0</v>
      </c>
      <c r="P2643" s="578">
        <f t="shared" si="712"/>
        <v>0</v>
      </c>
      <c r="Q2643" s="765"/>
      <c r="R2643" s="576">
        <f t="shared" si="705"/>
        <v>0</v>
      </c>
      <c r="S2643" s="576">
        <f t="shared" si="705"/>
        <v>0</v>
      </c>
      <c r="T2643" s="577">
        <f t="shared" si="709"/>
        <v>0</v>
      </c>
      <c r="U2643" s="578">
        <f t="shared" si="710"/>
        <v>0</v>
      </c>
      <c r="V2643" s="579"/>
      <c r="W2643" s="566"/>
      <c r="X2643" s="586" t="str">
        <f t="shared" si="703"/>
        <v/>
      </c>
      <c r="Y2643" s="586" t="str">
        <f t="shared" si="715"/>
        <v/>
      </c>
      <c r="Z2643" s="586" t="str">
        <f t="shared" si="701"/>
        <v/>
      </c>
    </row>
    <row r="2644" spans="1:26" ht="12" hidden="1" thickBot="1" x14ac:dyDescent="0.25">
      <c r="A2644" s="652" t="s">
        <v>187</v>
      </c>
      <c r="B2644" s="572" t="s">
        <v>187</v>
      </c>
      <c r="C2644" s="573" t="s">
        <v>187</v>
      </c>
      <c r="D2644" s="580"/>
      <c r="E2644" s="575"/>
      <c r="F2644" s="436"/>
      <c r="G2644" s="431"/>
      <c r="H2644" s="430"/>
      <c r="I2644" s="432"/>
      <c r="J2644" s="433"/>
      <c r="K2644" s="437">
        <f t="shared" si="714"/>
        <v>0</v>
      </c>
      <c r="L2644" s="435" t="s">
        <v>614</v>
      </c>
      <c r="M2644" s="576"/>
      <c r="N2644" s="576">
        <f t="shared" ref="N2644:N2707" si="716">IF(M2644=0,0,K2644)</f>
        <v>0</v>
      </c>
      <c r="O2644" s="577">
        <f t="shared" si="711"/>
        <v>0</v>
      </c>
      <c r="P2644" s="578">
        <f t="shared" si="712"/>
        <v>0</v>
      </c>
      <c r="Q2644" s="765"/>
      <c r="R2644" s="576">
        <f t="shared" si="705"/>
        <v>0</v>
      </c>
      <c r="S2644" s="576">
        <f t="shared" si="705"/>
        <v>0</v>
      </c>
      <c r="T2644" s="577">
        <f t="shared" si="709"/>
        <v>0</v>
      </c>
      <c r="U2644" s="578">
        <f t="shared" si="710"/>
        <v>0</v>
      </c>
      <c r="V2644" s="579"/>
      <c r="W2644" s="566"/>
      <c r="X2644" s="586" t="str">
        <f t="shared" si="703"/>
        <v/>
      </c>
      <c r="Y2644" s="586" t="str">
        <f t="shared" si="715"/>
        <v/>
      </c>
      <c r="Z2644" s="586" t="str">
        <f t="shared" si="701"/>
        <v/>
      </c>
    </row>
    <row r="2645" spans="1:26" ht="12" hidden="1" thickBot="1" x14ac:dyDescent="0.25">
      <c r="A2645" s="652" t="s">
        <v>187</v>
      </c>
      <c r="B2645" s="572" t="s">
        <v>187</v>
      </c>
      <c r="C2645" s="573" t="s">
        <v>187</v>
      </c>
      <c r="D2645" s="580"/>
      <c r="E2645" s="575"/>
      <c r="F2645" s="436"/>
      <c r="G2645" s="431"/>
      <c r="H2645" s="430"/>
      <c r="I2645" s="432"/>
      <c r="J2645" s="433"/>
      <c r="K2645" s="437">
        <f t="shared" si="714"/>
        <v>0</v>
      </c>
      <c r="L2645" s="435" t="s">
        <v>614</v>
      </c>
      <c r="M2645" s="576"/>
      <c r="N2645" s="576">
        <f t="shared" si="716"/>
        <v>0</v>
      </c>
      <c r="O2645" s="577">
        <f t="shared" si="711"/>
        <v>0</v>
      </c>
      <c r="P2645" s="578">
        <f t="shared" si="712"/>
        <v>0</v>
      </c>
      <c r="Q2645" s="765"/>
      <c r="R2645" s="576">
        <f t="shared" si="705"/>
        <v>0</v>
      </c>
      <c r="S2645" s="576">
        <f t="shared" si="705"/>
        <v>0</v>
      </c>
      <c r="T2645" s="577">
        <f t="shared" si="709"/>
        <v>0</v>
      </c>
      <c r="U2645" s="578">
        <f t="shared" si="710"/>
        <v>0</v>
      </c>
      <c r="V2645" s="579"/>
      <c r="W2645" s="566"/>
      <c r="X2645" s="586" t="str">
        <f t="shared" si="703"/>
        <v/>
      </c>
      <c r="Y2645" s="586" t="str">
        <f t="shared" si="715"/>
        <v/>
      </c>
      <c r="Z2645" s="586" t="str">
        <f t="shared" si="701"/>
        <v/>
      </c>
    </row>
    <row r="2646" spans="1:26" ht="12" hidden="1" thickBot="1" x14ac:dyDescent="0.25">
      <c r="A2646" s="652" t="s">
        <v>187</v>
      </c>
      <c r="B2646" s="572" t="s">
        <v>187</v>
      </c>
      <c r="C2646" s="573" t="s">
        <v>187</v>
      </c>
      <c r="D2646" s="580"/>
      <c r="E2646" s="575"/>
      <c r="F2646" s="436"/>
      <c r="G2646" s="431"/>
      <c r="H2646" s="430"/>
      <c r="I2646" s="432"/>
      <c r="J2646" s="433"/>
      <c r="K2646" s="437">
        <f t="shared" si="714"/>
        <v>0</v>
      </c>
      <c r="L2646" s="435" t="s">
        <v>614</v>
      </c>
      <c r="M2646" s="576"/>
      <c r="N2646" s="576">
        <f t="shared" si="716"/>
        <v>0</v>
      </c>
      <c r="O2646" s="577">
        <f t="shared" si="711"/>
        <v>0</v>
      </c>
      <c r="P2646" s="578">
        <f t="shared" si="712"/>
        <v>0</v>
      </c>
      <c r="Q2646" s="765"/>
      <c r="R2646" s="576">
        <f t="shared" si="705"/>
        <v>0</v>
      </c>
      <c r="S2646" s="576">
        <f t="shared" si="705"/>
        <v>0</v>
      </c>
      <c r="T2646" s="577">
        <f t="shared" si="709"/>
        <v>0</v>
      </c>
      <c r="U2646" s="578">
        <f t="shared" si="710"/>
        <v>0</v>
      </c>
      <c r="V2646" s="579"/>
      <c r="W2646" s="566"/>
      <c r="X2646" s="586" t="str">
        <f t="shared" si="703"/>
        <v/>
      </c>
      <c r="Y2646" s="586" t="str">
        <f t="shared" si="715"/>
        <v/>
      </c>
      <c r="Z2646" s="586" t="str">
        <f t="shared" si="701"/>
        <v/>
      </c>
    </row>
    <row r="2647" spans="1:26" ht="12" hidden="1" thickBot="1" x14ac:dyDescent="0.25">
      <c r="A2647" s="652" t="s">
        <v>187</v>
      </c>
      <c r="B2647" s="572" t="s">
        <v>187</v>
      </c>
      <c r="C2647" s="573" t="s">
        <v>187</v>
      </c>
      <c r="D2647" s="580"/>
      <c r="E2647" s="575"/>
      <c r="F2647" s="436"/>
      <c r="G2647" s="431"/>
      <c r="H2647" s="430"/>
      <c r="I2647" s="432"/>
      <c r="J2647" s="433"/>
      <c r="K2647" s="437">
        <f t="shared" si="714"/>
        <v>0</v>
      </c>
      <c r="L2647" s="435" t="s">
        <v>614</v>
      </c>
      <c r="M2647" s="576"/>
      <c r="N2647" s="576">
        <f t="shared" si="716"/>
        <v>0</v>
      </c>
      <c r="O2647" s="577">
        <f t="shared" si="711"/>
        <v>0</v>
      </c>
      <c r="P2647" s="578">
        <f t="shared" si="712"/>
        <v>0</v>
      </c>
      <c r="Q2647" s="765"/>
      <c r="R2647" s="576">
        <f t="shared" si="705"/>
        <v>0</v>
      </c>
      <c r="S2647" s="576">
        <f t="shared" si="705"/>
        <v>0</v>
      </c>
      <c r="T2647" s="577">
        <f t="shared" si="709"/>
        <v>0</v>
      </c>
      <c r="U2647" s="578">
        <f t="shared" si="710"/>
        <v>0</v>
      </c>
      <c r="V2647" s="579"/>
      <c r="W2647" s="566"/>
      <c r="X2647" s="586" t="str">
        <f t="shared" si="703"/>
        <v/>
      </c>
      <c r="Y2647" s="586" t="str">
        <f t="shared" si="715"/>
        <v/>
      </c>
      <c r="Z2647" s="586" t="str">
        <f t="shared" si="701"/>
        <v/>
      </c>
    </row>
    <row r="2648" spans="1:26" ht="12" hidden="1" thickBot="1" x14ac:dyDescent="0.25">
      <c r="A2648" s="652" t="s">
        <v>187</v>
      </c>
      <c r="B2648" s="572" t="s">
        <v>187</v>
      </c>
      <c r="C2648" s="573" t="s">
        <v>187</v>
      </c>
      <c r="D2648" s="580"/>
      <c r="E2648" s="575"/>
      <c r="F2648" s="436"/>
      <c r="G2648" s="431"/>
      <c r="H2648" s="430"/>
      <c r="I2648" s="432"/>
      <c r="J2648" s="433"/>
      <c r="K2648" s="437">
        <f t="shared" si="714"/>
        <v>0</v>
      </c>
      <c r="L2648" s="435" t="s">
        <v>614</v>
      </c>
      <c r="M2648" s="576"/>
      <c r="N2648" s="576">
        <f t="shared" si="716"/>
        <v>0</v>
      </c>
      <c r="O2648" s="577">
        <f t="shared" si="711"/>
        <v>0</v>
      </c>
      <c r="P2648" s="578">
        <f t="shared" si="712"/>
        <v>0</v>
      </c>
      <c r="Q2648" s="765"/>
      <c r="R2648" s="576">
        <f t="shared" si="705"/>
        <v>0</v>
      </c>
      <c r="S2648" s="576">
        <f t="shared" si="705"/>
        <v>0</v>
      </c>
      <c r="T2648" s="577">
        <f t="shared" si="709"/>
        <v>0</v>
      </c>
      <c r="U2648" s="578">
        <f t="shared" si="710"/>
        <v>0</v>
      </c>
      <c r="V2648" s="579"/>
      <c r="W2648" s="566"/>
      <c r="X2648" s="586" t="str">
        <f t="shared" si="703"/>
        <v/>
      </c>
      <c r="Y2648" s="586" t="str">
        <f t="shared" si="715"/>
        <v/>
      </c>
      <c r="Z2648" s="586" t="str">
        <f t="shared" si="701"/>
        <v/>
      </c>
    </row>
    <row r="2649" spans="1:26" ht="12" hidden="1" thickBot="1" x14ac:dyDescent="0.25">
      <c r="A2649" s="652" t="s">
        <v>187</v>
      </c>
      <c r="B2649" s="572" t="s">
        <v>187</v>
      </c>
      <c r="C2649" s="573" t="s">
        <v>187</v>
      </c>
      <c r="D2649" s="580"/>
      <c r="E2649" s="575"/>
      <c r="F2649" s="436"/>
      <c r="G2649" s="431"/>
      <c r="H2649" s="430"/>
      <c r="I2649" s="432"/>
      <c r="J2649" s="433"/>
      <c r="K2649" s="437">
        <f t="shared" si="714"/>
        <v>0</v>
      </c>
      <c r="L2649" s="435" t="s">
        <v>614</v>
      </c>
      <c r="M2649" s="576"/>
      <c r="N2649" s="576">
        <f t="shared" si="716"/>
        <v>0</v>
      </c>
      <c r="O2649" s="577">
        <f t="shared" si="711"/>
        <v>0</v>
      </c>
      <c r="P2649" s="578">
        <f t="shared" si="712"/>
        <v>0</v>
      </c>
      <c r="Q2649" s="765"/>
      <c r="R2649" s="576">
        <f t="shared" si="705"/>
        <v>0</v>
      </c>
      <c r="S2649" s="576">
        <f t="shared" si="705"/>
        <v>0</v>
      </c>
      <c r="T2649" s="577">
        <f t="shared" si="709"/>
        <v>0</v>
      </c>
      <c r="U2649" s="578">
        <f t="shared" si="710"/>
        <v>0</v>
      </c>
      <c r="V2649" s="579"/>
      <c r="W2649" s="566"/>
      <c r="X2649" s="586" t="str">
        <f t="shared" si="703"/>
        <v/>
      </c>
      <c r="Y2649" s="586" t="str">
        <f t="shared" si="715"/>
        <v/>
      </c>
      <c r="Z2649" s="586" t="str">
        <f t="shared" si="701"/>
        <v/>
      </c>
    </row>
    <row r="2650" spans="1:26" ht="12" hidden="1" thickBot="1" x14ac:dyDescent="0.25">
      <c r="A2650" s="652" t="s">
        <v>187</v>
      </c>
      <c r="B2650" s="572" t="s">
        <v>187</v>
      </c>
      <c r="C2650" s="573" t="s">
        <v>187</v>
      </c>
      <c r="D2650" s="580"/>
      <c r="E2650" s="575"/>
      <c r="F2650" s="436"/>
      <c r="G2650" s="431"/>
      <c r="H2650" s="430"/>
      <c r="I2650" s="432"/>
      <c r="J2650" s="433"/>
      <c r="K2650" s="437">
        <f t="shared" si="714"/>
        <v>0</v>
      </c>
      <c r="L2650" s="435" t="s">
        <v>614</v>
      </c>
      <c r="M2650" s="576"/>
      <c r="N2650" s="576">
        <f t="shared" si="716"/>
        <v>0</v>
      </c>
      <c r="O2650" s="577">
        <f t="shared" si="711"/>
        <v>0</v>
      </c>
      <c r="P2650" s="578">
        <f t="shared" si="712"/>
        <v>0</v>
      </c>
      <c r="Q2650" s="765"/>
      <c r="R2650" s="576">
        <f t="shared" si="705"/>
        <v>0</v>
      </c>
      <c r="S2650" s="576">
        <f t="shared" si="705"/>
        <v>0</v>
      </c>
      <c r="T2650" s="577">
        <f t="shared" si="709"/>
        <v>0</v>
      </c>
      <c r="U2650" s="578">
        <f t="shared" si="710"/>
        <v>0</v>
      </c>
      <c r="V2650" s="579"/>
      <c r="W2650" s="566"/>
      <c r="X2650" s="586" t="str">
        <f t="shared" si="703"/>
        <v/>
      </c>
      <c r="Y2650" s="586" t="str">
        <f t="shared" si="715"/>
        <v/>
      </c>
      <c r="Z2650" s="586" t="str">
        <f t="shared" si="701"/>
        <v/>
      </c>
    </row>
    <row r="2651" spans="1:26" ht="12" hidden="1" thickBot="1" x14ac:dyDescent="0.25">
      <c r="A2651" s="652" t="s">
        <v>187</v>
      </c>
      <c r="B2651" s="572" t="s">
        <v>187</v>
      </c>
      <c r="C2651" s="573" t="s">
        <v>187</v>
      </c>
      <c r="D2651" s="580"/>
      <c r="E2651" s="575"/>
      <c r="F2651" s="436"/>
      <c r="G2651" s="431"/>
      <c r="H2651" s="430"/>
      <c r="I2651" s="432"/>
      <c r="J2651" s="433"/>
      <c r="K2651" s="437">
        <f t="shared" si="714"/>
        <v>0</v>
      </c>
      <c r="L2651" s="435" t="s">
        <v>614</v>
      </c>
      <c r="M2651" s="576"/>
      <c r="N2651" s="576">
        <f t="shared" si="716"/>
        <v>0</v>
      </c>
      <c r="O2651" s="577">
        <f t="shared" si="711"/>
        <v>0</v>
      </c>
      <c r="P2651" s="578">
        <f t="shared" si="712"/>
        <v>0</v>
      </c>
      <c r="Q2651" s="765"/>
      <c r="R2651" s="576">
        <f t="shared" si="705"/>
        <v>0</v>
      </c>
      <c r="S2651" s="576">
        <f t="shared" si="705"/>
        <v>0</v>
      </c>
      <c r="T2651" s="577">
        <f t="shared" si="709"/>
        <v>0</v>
      </c>
      <c r="U2651" s="578">
        <f t="shared" si="710"/>
        <v>0</v>
      </c>
      <c r="V2651" s="579"/>
      <c r="W2651" s="566"/>
      <c r="X2651" s="586" t="str">
        <f t="shared" si="703"/>
        <v/>
      </c>
      <c r="Y2651" s="586" t="str">
        <f t="shared" si="715"/>
        <v/>
      </c>
      <c r="Z2651" s="586" t="str">
        <f t="shared" si="701"/>
        <v/>
      </c>
    </row>
    <row r="2652" spans="1:26" ht="12" hidden="1" thickBot="1" x14ac:dyDescent="0.25">
      <c r="A2652" s="652" t="s">
        <v>187</v>
      </c>
      <c r="B2652" s="572" t="s">
        <v>187</v>
      </c>
      <c r="C2652" s="573" t="s">
        <v>187</v>
      </c>
      <c r="D2652" s="580"/>
      <c r="E2652" s="575"/>
      <c r="F2652" s="436"/>
      <c r="G2652" s="431"/>
      <c r="H2652" s="430"/>
      <c r="I2652" s="432"/>
      <c r="J2652" s="433"/>
      <c r="K2652" s="437">
        <f t="shared" si="714"/>
        <v>0</v>
      </c>
      <c r="L2652" s="435" t="s">
        <v>614</v>
      </c>
      <c r="M2652" s="576"/>
      <c r="N2652" s="576">
        <f t="shared" si="716"/>
        <v>0</v>
      </c>
      <c r="O2652" s="577">
        <f t="shared" si="711"/>
        <v>0</v>
      </c>
      <c r="P2652" s="578">
        <f t="shared" si="712"/>
        <v>0</v>
      </c>
      <c r="Q2652" s="765"/>
      <c r="R2652" s="576">
        <f t="shared" si="705"/>
        <v>0</v>
      </c>
      <c r="S2652" s="576">
        <f t="shared" si="705"/>
        <v>0</v>
      </c>
      <c r="T2652" s="577">
        <f t="shared" si="709"/>
        <v>0</v>
      </c>
      <c r="U2652" s="578">
        <f t="shared" si="710"/>
        <v>0</v>
      </c>
      <c r="V2652" s="579"/>
      <c r="W2652" s="566"/>
      <c r="X2652" s="586" t="str">
        <f t="shared" si="703"/>
        <v/>
      </c>
      <c r="Y2652" s="586" t="str">
        <f t="shared" si="715"/>
        <v/>
      </c>
      <c r="Z2652" s="586" t="str">
        <f t="shared" si="701"/>
        <v/>
      </c>
    </row>
    <row r="2653" spans="1:26" ht="12" hidden="1" thickBot="1" x14ac:dyDescent="0.25">
      <c r="A2653" s="652" t="s">
        <v>187</v>
      </c>
      <c r="B2653" s="572" t="s">
        <v>187</v>
      </c>
      <c r="C2653" s="573" t="s">
        <v>187</v>
      </c>
      <c r="D2653" s="580"/>
      <c r="E2653" s="575"/>
      <c r="F2653" s="436"/>
      <c r="G2653" s="431"/>
      <c r="H2653" s="430"/>
      <c r="I2653" s="432"/>
      <c r="J2653" s="433"/>
      <c r="K2653" s="437">
        <f t="shared" si="714"/>
        <v>0</v>
      </c>
      <c r="L2653" s="435" t="s">
        <v>614</v>
      </c>
      <c r="M2653" s="576"/>
      <c r="N2653" s="576">
        <f t="shared" si="716"/>
        <v>0</v>
      </c>
      <c r="O2653" s="577">
        <f t="shared" si="711"/>
        <v>0</v>
      </c>
      <c r="P2653" s="578">
        <f t="shared" si="712"/>
        <v>0</v>
      </c>
      <c r="Q2653" s="765"/>
      <c r="R2653" s="576">
        <f t="shared" si="705"/>
        <v>0</v>
      </c>
      <c r="S2653" s="576">
        <f t="shared" si="705"/>
        <v>0</v>
      </c>
      <c r="T2653" s="577">
        <f t="shared" si="709"/>
        <v>0</v>
      </c>
      <c r="U2653" s="578">
        <f t="shared" si="710"/>
        <v>0</v>
      </c>
      <c r="V2653" s="579"/>
      <c r="W2653" s="566"/>
      <c r="X2653" s="586" t="str">
        <f t="shared" si="703"/>
        <v/>
      </c>
      <c r="Y2653" s="586" t="str">
        <f t="shared" si="715"/>
        <v/>
      </c>
      <c r="Z2653" s="586" t="str">
        <f t="shared" si="701"/>
        <v/>
      </c>
    </row>
    <row r="2654" spans="1:26" ht="12" hidden="1" thickBot="1" x14ac:dyDescent="0.25">
      <c r="A2654" s="652" t="s">
        <v>187</v>
      </c>
      <c r="B2654" s="572" t="s">
        <v>187</v>
      </c>
      <c r="C2654" s="573" t="s">
        <v>187</v>
      </c>
      <c r="D2654" s="580"/>
      <c r="E2654" s="575"/>
      <c r="F2654" s="436"/>
      <c r="G2654" s="431"/>
      <c r="H2654" s="430"/>
      <c r="I2654" s="432"/>
      <c r="J2654" s="433"/>
      <c r="K2654" s="437">
        <f t="shared" si="714"/>
        <v>0</v>
      </c>
      <c r="L2654" s="435" t="s">
        <v>614</v>
      </c>
      <c r="M2654" s="576"/>
      <c r="N2654" s="576">
        <f t="shared" si="716"/>
        <v>0</v>
      </c>
      <c r="O2654" s="577">
        <f t="shared" si="711"/>
        <v>0</v>
      </c>
      <c r="P2654" s="578">
        <f t="shared" si="712"/>
        <v>0</v>
      </c>
      <c r="Q2654" s="765"/>
      <c r="R2654" s="576">
        <f t="shared" si="705"/>
        <v>0</v>
      </c>
      <c r="S2654" s="576">
        <f t="shared" si="705"/>
        <v>0</v>
      </c>
      <c r="T2654" s="577">
        <f t="shared" si="709"/>
        <v>0</v>
      </c>
      <c r="U2654" s="578">
        <f t="shared" si="710"/>
        <v>0</v>
      </c>
      <c r="V2654" s="579"/>
      <c r="W2654" s="566"/>
      <c r="X2654" s="586" t="str">
        <f t="shared" si="703"/>
        <v/>
      </c>
      <c r="Y2654" s="586" t="str">
        <f t="shared" si="715"/>
        <v/>
      </c>
      <c r="Z2654" s="586" t="str">
        <f t="shared" si="701"/>
        <v/>
      </c>
    </row>
    <row r="2655" spans="1:26" ht="12" hidden="1" thickBot="1" x14ac:dyDescent="0.25">
      <c r="A2655" s="652" t="s">
        <v>187</v>
      </c>
      <c r="B2655" s="572" t="s">
        <v>187</v>
      </c>
      <c r="C2655" s="573" t="s">
        <v>187</v>
      </c>
      <c r="D2655" s="580"/>
      <c r="E2655" s="575"/>
      <c r="F2655" s="436"/>
      <c r="G2655" s="431"/>
      <c r="H2655" s="430"/>
      <c r="I2655" s="432"/>
      <c r="J2655" s="433"/>
      <c r="K2655" s="437">
        <f t="shared" si="714"/>
        <v>0</v>
      </c>
      <c r="L2655" s="435" t="s">
        <v>614</v>
      </c>
      <c r="M2655" s="576"/>
      <c r="N2655" s="576">
        <f t="shared" si="716"/>
        <v>0</v>
      </c>
      <c r="O2655" s="577">
        <f t="shared" si="711"/>
        <v>0</v>
      </c>
      <c r="P2655" s="578">
        <f t="shared" si="712"/>
        <v>0</v>
      </c>
      <c r="Q2655" s="765"/>
      <c r="R2655" s="576">
        <f t="shared" si="705"/>
        <v>0</v>
      </c>
      <c r="S2655" s="576">
        <f t="shared" si="705"/>
        <v>0</v>
      </c>
      <c r="T2655" s="577">
        <f t="shared" si="709"/>
        <v>0</v>
      </c>
      <c r="U2655" s="578">
        <f t="shared" si="710"/>
        <v>0</v>
      </c>
      <c r="V2655" s="579"/>
      <c r="W2655" s="566"/>
      <c r="X2655" s="586" t="str">
        <f t="shared" si="703"/>
        <v/>
      </c>
      <c r="Y2655" s="586" t="str">
        <f t="shared" si="715"/>
        <v/>
      </c>
      <c r="Z2655" s="586" t="str">
        <f t="shared" si="701"/>
        <v/>
      </c>
    </row>
    <row r="2656" spans="1:26" ht="12" hidden="1" thickBot="1" x14ac:dyDescent="0.25">
      <c r="A2656" s="652" t="s">
        <v>187</v>
      </c>
      <c r="B2656" s="572" t="s">
        <v>187</v>
      </c>
      <c r="C2656" s="573" t="s">
        <v>187</v>
      </c>
      <c r="D2656" s="580"/>
      <c r="E2656" s="575"/>
      <c r="F2656" s="436"/>
      <c r="G2656" s="431"/>
      <c r="H2656" s="430"/>
      <c r="I2656" s="432"/>
      <c r="J2656" s="433"/>
      <c r="K2656" s="437">
        <f t="shared" si="714"/>
        <v>0</v>
      </c>
      <c r="L2656" s="435" t="s">
        <v>614</v>
      </c>
      <c r="M2656" s="576"/>
      <c r="N2656" s="576">
        <f t="shared" si="716"/>
        <v>0</v>
      </c>
      <c r="O2656" s="577">
        <f t="shared" si="711"/>
        <v>0</v>
      </c>
      <c r="P2656" s="578">
        <f t="shared" si="712"/>
        <v>0</v>
      </c>
      <c r="Q2656" s="765"/>
      <c r="R2656" s="576">
        <f t="shared" si="705"/>
        <v>0</v>
      </c>
      <c r="S2656" s="576">
        <f t="shared" si="705"/>
        <v>0</v>
      </c>
      <c r="T2656" s="577">
        <f t="shared" si="709"/>
        <v>0</v>
      </c>
      <c r="U2656" s="578">
        <f t="shared" si="710"/>
        <v>0</v>
      </c>
      <c r="V2656" s="579"/>
      <c r="W2656" s="566"/>
      <c r="X2656" s="586" t="str">
        <f t="shared" si="703"/>
        <v/>
      </c>
      <c r="Y2656" s="586" t="str">
        <f t="shared" si="715"/>
        <v/>
      </c>
      <c r="Z2656" s="586" t="str">
        <f t="shared" si="701"/>
        <v/>
      </c>
    </row>
    <row r="2657" spans="1:26" ht="12" hidden="1" thickBot="1" x14ac:dyDescent="0.25">
      <c r="A2657" s="652" t="s">
        <v>187</v>
      </c>
      <c r="B2657" s="572" t="s">
        <v>187</v>
      </c>
      <c r="C2657" s="573" t="s">
        <v>187</v>
      </c>
      <c r="D2657" s="580"/>
      <c r="E2657" s="575"/>
      <c r="F2657" s="436"/>
      <c r="G2657" s="431"/>
      <c r="H2657" s="430"/>
      <c r="I2657" s="432"/>
      <c r="J2657" s="433"/>
      <c r="K2657" s="437">
        <f t="shared" si="714"/>
        <v>0</v>
      </c>
      <c r="L2657" s="435" t="s">
        <v>614</v>
      </c>
      <c r="M2657" s="576"/>
      <c r="N2657" s="576">
        <f t="shared" si="716"/>
        <v>0</v>
      </c>
      <c r="O2657" s="577">
        <f t="shared" si="711"/>
        <v>0</v>
      </c>
      <c r="P2657" s="578">
        <f t="shared" si="712"/>
        <v>0</v>
      </c>
      <c r="Q2657" s="765"/>
      <c r="R2657" s="576">
        <f t="shared" si="705"/>
        <v>0</v>
      </c>
      <c r="S2657" s="576">
        <f t="shared" si="705"/>
        <v>0</v>
      </c>
      <c r="T2657" s="577">
        <f t="shared" si="709"/>
        <v>0</v>
      </c>
      <c r="U2657" s="578">
        <f t="shared" si="710"/>
        <v>0</v>
      </c>
      <c r="V2657" s="579"/>
      <c r="W2657" s="566"/>
      <c r="X2657" s="586" t="str">
        <f t="shared" si="703"/>
        <v/>
      </c>
      <c r="Y2657" s="586" t="str">
        <f t="shared" si="715"/>
        <v/>
      </c>
      <c r="Z2657" s="586" t="str">
        <f t="shared" si="701"/>
        <v/>
      </c>
    </row>
    <row r="2658" spans="1:26" ht="12" hidden="1" thickBot="1" x14ac:dyDescent="0.25">
      <c r="A2658" s="652" t="s">
        <v>187</v>
      </c>
      <c r="B2658" s="572" t="s">
        <v>187</v>
      </c>
      <c r="C2658" s="573" t="s">
        <v>187</v>
      </c>
      <c r="D2658" s="580"/>
      <c r="E2658" s="575"/>
      <c r="F2658" s="436"/>
      <c r="G2658" s="431"/>
      <c r="H2658" s="430"/>
      <c r="I2658" s="432"/>
      <c r="J2658" s="433"/>
      <c r="K2658" s="437">
        <f t="shared" si="714"/>
        <v>0</v>
      </c>
      <c r="L2658" s="435" t="s">
        <v>614</v>
      </c>
      <c r="M2658" s="576"/>
      <c r="N2658" s="576">
        <f t="shared" si="716"/>
        <v>0</v>
      </c>
      <c r="O2658" s="577">
        <f t="shared" si="711"/>
        <v>0</v>
      </c>
      <c r="P2658" s="578">
        <f t="shared" si="712"/>
        <v>0</v>
      </c>
      <c r="Q2658" s="765"/>
      <c r="R2658" s="576">
        <f t="shared" si="705"/>
        <v>0</v>
      </c>
      <c r="S2658" s="576">
        <f t="shared" si="705"/>
        <v>0</v>
      </c>
      <c r="T2658" s="577">
        <f t="shared" si="709"/>
        <v>0</v>
      </c>
      <c r="U2658" s="578">
        <f t="shared" si="710"/>
        <v>0</v>
      </c>
      <c r="V2658" s="579"/>
      <c r="W2658" s="566"/>
      <c r="X2658" s="586" t="str">
        <f t="shared" si="703"/>
        <v/>
      </c>
      <c r="Y2658" s="586" t="str">
        <f t="shared" si="715"/>
        <v/>
      </c>
      <c r="Z2658" s="586" t="str">
        <f t="shared" si="701"/>
        <v/>
      </c>
    </row>
    <row r="2659" spans="1:26" ht="12" hidden="1" thickBot="1" x14ac:dyDescent="0.25">
      <c r="A2659" s="652" t="s">
        <v>187</v>
      </c>
      <c r="B2659" s="572" t="s">
        <v>187</v>
      </c>
      <c r="C2659" s="573" t="s">
        <v>187</v>
      </c>
      <c r="D2659" s="580"/>
      <c r="E2659" s="575"/>
      <c r="F2659" s="436"/>
      <c r="G2659" s="431"/>
      <c r="H2659" s="430"/>
      <c r="I2659" s="432"/>
      <c r="J2659" s="433"/>
      <c r="K2659" s="437">
        <f t="shared" si="714"/>
        <v>0</v>
      </c>
      <c r="L2659" s="435" t="s">
        <v>614</v>
      </c>
      <c r="M2659" s="576"/>
      <c r="N2659" s="576">
        <f t="shared" si="716"/>
        <v>0</v>
      </c>
      <c r="O2659" s="577">
        <f t="shared" si="711"/>
        <v>0</v>
      </c>
      <c r="P2659" s="578">
        <f t="shared" si="712"/>
        <v>0</v>
      </c>
      <c r="Q2659" s="765"/>
      <c r="R2659" s="576">
        <f t="shared" si="705"/>
        <v>0</v>
      </c>
      <c r="S2659" s="576">
        <f t="shared" si="705"/>
        <v>0</v>
      </c>
      <c r="T2659" s="577">
        <f t="shared" si="709"/>
        <v>0</v>
      </c>
      <c r="U2659" s="578">
        <f t="shared" si="710"/>
        <v>0</v>
      </c>
      <c r="V2659" s="579"/>
      <c r="W2659" s="566"/>
      <c r="X2659" s="586" t="str">
        <f t="shared" si="703"/>
        <v/>
      </c>
      <c r="Y2659" s="586" t="str">
        <f t="shared" si="715"/>
        <v/>
      </c>
      <c r="Z2659" s="586" t="str">
        <f t="shared" si="701"/>
        <v/>
      </c>
    </row>
    <row r="2660" spans="1:26" ht="12" hidden="1" thickBot="1" x14ac:dyDescent="0.25">
      <c r="A2660" s="652" t="s">
        <v>187</v>
      </c>
      <c r="B2660" s="572" t="s">
        <v>187</v>
      </c>
      <c r="C2660" s="573" t="s">
        <v>187</v>
      </c>
      <c r="D2660" s="580"/>
      <c r="E2660" s="575"/>
      <c r="F2660" s="436"/>
      <c r="G2660" s="431"/>
      <c r="H2660" s="430"/>
      <c r="I2660" s="432"/>
      <c r="J2660" s="433"/>
      <c r="K2660" s="437">
        <f t="shared" si="714"/>
        <v>0</v>
      </c>
      <c r="L2660" s="435" t="s">
        <v>614</v>
      </c>
      <c r="M2660" s="576"/>
      <c r="N2660" s="576">
        <f t="shared" si="716"/>
        <v>0</v>
      </c>
      <c r="O2660" s="577">
        <f t="shared" si="711"/>
        <v>0</v>
      </c>
      <c r="P2660" s="578">
        <f t="shared" si="712"/>
        <v>0</v>
      </c>
      <c r="Q2660" s="765"/>
      <c r="R2660" s="576">
        <f t="shared" si="705"/>
        <v>0</v>
      </c>
      <c r="S2660" s="576">
        <f t="shared" si="705"/>
        <v>0</v>
      </c>
      <c r="T2660" s="577">
        <f t="shared" si="709"/>
        <v>0</v>
      </c>
      <c r="U2660" s="578">
        <f t="shared" si="710"/>
        <v>0</v>
      </c>
      <c r="V2660" s="579"/>
      <c r="W2660" s="566"/>
      <c r="X2660" s="586" t="str">
        <f t="shared" si="703"/>
        <v/>
      </c>
      <c r="Y2660" s="586" t="str">
        <f t="shared" si="715"/>
        <v/>
      </c>
      <c r="Z2660" s="586" t="str">
        <f t="shared" si="701"/>
        <v/>
      </c>
    </row>
    <row r="2661" spans="1:26" ht="12" hidden="1" thickBot="1" x14ac:dyDescent="0.25">
      <c r="A2661" s="652" t="s">
        <v>187</v>
      </c>
      <c r="B2661" s="572" t="s">
        <v>187</v>
      </c>
      <c r="C2661" s="573" t="s">
        <v>187</v>
      </c>
      <c r="D2661" s="583"/>
      <c r="E2661" s="575"/>
      <c r="F2661" s="436"/>
      <c r="G2661" s="431"/>
      <c r="H2661" s="430"/>
      <c r="I2661" s="432"/>
      <c r="J2661" s="433"/>
      <c r="K2661" s="437">
        <f t="shared" si="714"/>
        <v>0</v>
      </c>
      <c r="L2661" s="435" t="s">
        <v>614</v>
      </c>
      <c r="M2661" s="576"/>
      <c r="N2661" s="576">
        <f t="shared" si="716"/>
        <v>0</v>
      </c>
      <c r="O2661" s="577">
        <f t="shared" si="711"/>
        <v>0</v>
      </c>
      <c r="P2661" s="578">
        <f t="shared" si="712"/>
        <v>0</v>
      </c>
      <c r="Q2661" s="765"/>
      <c r="R2661" s="576">
        <f t="shared" si="705"/>
        <v>0</v>
      </c>
      <c r="S2661" s="576">
        <f t="shared" si="705"/>
        <v>0</v>
      </c>
      <c r="T2661" s="577">
        <f t="shared" si="709"/>
        <v>0</v>
      </c>
      <c r="U2661" s="578">
        <f t="shared" si="710"/>
        <v>0</v>
      </c>
      <c r="V2661" s="579"/>
      <c r="W2661" s="566"/>
      <c r="X2661" s="586" t="str">
        <f t="shared" si="703"/>
        <v/>
      </c>
      <c r="Y2661" s="586" t="str">
        <f t="shared" si="715"/>
        <v/>
      </c>
      <c r="Z2661" s="586" t="str">
        <f t="shared" si="701"/>
        <v/>
      </c>
    </row>
    <row r="2662" spans="1:26" ht="45.75" thickBot="1" x14ac:dyDescent="0.25">
      <c r="A2662" s="652" t="s">
        <v>187</v>
      </c>
      <c r="B2662" s="664" t="s">
        <v>595</v>
      </c>
      <c r="C2662" s="665"/>
      <c r="D2662" s="666" t="s">
        <v>1719</v>
      </c>
      <c r="E2662" s="724"/>
      <c r="F2662" s="632"/>
      <c r="G2662" s="633"/>
      <c r="H2662" s="634"/>
      <c r="I2662" s="409"/>
      <c r="J2662" s="409"/>
      <c r="K2662" s="409"/>
      <c r="L2662" s="409" t="s">
        <v>614</v>
      </c>
      <c r="M2662" s="634"/>
      <c r="N2662" s="797"/>
      <c r="O2662" s="409">
        <f t="shared" si="711"/>
        <v>0</v>
      </c>
      <c r="P2662" s="635">
        <f t="shared" si="712"/>
        <v>0</v>
      </c>
      <c r="Q2662" s="635">
        <f>SUM(P2663:P2707)</f>
        <v>17838.649999999998</v>
      </c>
      <c r="R2662" s="634"/>
      <c r="S2662" s="409"/>
      <c r="T2662" s="409">
        <f t="shared" si="709"/>
        <v>0</v>
      </c>
      <c r="U2662" s="635">
        <f t="shared" si="710"/>
        <v>0</v>
      </c>
      <c r="V2662" s="636">
        <f>SUM(U2663:U2707)</f>
        <v>17838.649999999998</v>
      </c>
      <c r="W2662" s="637" t="str">
        <f>IF(OR(Q2662&gt;0,V2662&gt;0),"X","")</f>
        <v>X</v>
      </c>
      <c r="X2662" s="586" t="str">
        <f t="shared" si="703"/>
        <v>x</v>
      </c>
      <c r="Y2662" s="586" t="str">
        <f t="shared" si="715"/>
        <v>x</v>
      </c>
      <c r="Z2662" s="586" t="str">
        <f t="shared" si="701"/>
        <v>x</v>
      </c>
    </row>
    <row r="2663" spans="1:26" s="567" customFormat="1" hidden="1" x14ac:dyDescent="0.2">
      <c r="A2663" s="652" t="s">
        <v>187</v>
      </c>
      <c r="B2663" s="644" t="s">
        <v>641</v>
      </c>
      <c r="C2663" s="645" t="s">
        <v>612</v>
      </c>
      <c r="D2663" s="422" t="s">
        <v>596</v>
      </c>
      <c r="E2663" s="423"/>
      <c r="F2663" s="424">
        <v>0</v>
      </c>
      <c r="G2663" s="425">
        <v>0</v>
      </c>
      <c r="H2663" s="651">
        <v>0</v>
      </c>
      <c r="I2663" s="420">
        <v>116.98</v>
      </c>
      <c r="J2663" s="420">
        <f>IF(ISBLANK(I2663),"",SUM(H2663:I2663))</f>
        <v>116.98</v>
      </c>
      <c r="K2663" s="421">
        <f t="shared" ref="K2663:K2675" si="717">IF(ISBLANK(I2663),0,ROUND(J2663*(1+$F$10)*(1+$F$11*E2663),2))</f>
        <v>138.97999999999999</v>
      </c>
      <c r="L2663" s="647" t="s">
        <v>21</v>
      </c>
      <c r="M2663" s="576"/>
      <c r="N2663" s="576">
        <f t="shared" si="716"/>
        <v>0</v>
      </c>
      <c r="O2663" s="577">
        <f t="shared" si="711"/>
        <v>0</v>
      </c>
      <c r="P2663" s="578">
        <f t="shared" si="712"/>
        <v>0</v>
      </c>
      <c r="Q2663" s="765"/>
      <c r="R2663" s="576">
        <f t="shared" si="705"/>
        <v>0</v>
      </c>
      <c r="S2663" s="576">
        <f t="shared" si="705"/>
        <v>0</v>
      </c>
      <c r="T2663" s="577">
        <f t="shared" si="709"/>
        <v>0</v>
      </c>
      <c r="U2663" s="578">
        <f t="shared" si="710"/>
        <v>0</v>
      </c>
      <c r="V2663" s="579"/>
      <c r="W2663" s="566"/>
      <c r="X2663" s="586" t="str">
        <f t="shared" si="703"/>
        <v/>
      </c>
      <c r="Y2663" s="586" t="str">
        <f t="shared" si="715"/>
        <v/>
      </c>
      <c r="Z2663" s="586" t="str">
        <f t="shared" si="701"/>
        <v/>
      </c>
    </row>
    <row r="2664" spans="1:26" s="567" customFormat="1" hidden="1" x14ac:dyDescent="0.2">
      <c r="A2664" s="652" t="s">
        <v>187</v>
      </c>
      <c r="B2664" s="644" t="s">
        <v>641</v>
      </c>
      <c r="C2664" s="645" t="s">
        <v>612</v>
      </c>
      <c r="D2664" s="422" t="s">
        <v>597</v>
      </c>
      <c r="E2664" s="423"/>
      <c r="F2664" s="424">
        <v>0</v>
      </c>
      <c r="G2664" s="425">
        <v>0</v>
      </c>
      <c r="H2664" s="651">
        <v>0</v>
      </c>
      <c r="I2664" s="420">
        <v>116.98</v>
      </c>
      <c r="J2664" s="420">
        <f t="shared" ref="J2664:J2671" si="718">IF(ISBLANK(I2664),"",SUM(H2664:I2664))</f>
        <v>116.98</v>
      </c>
      <c r="K2664" s="421">
        <f t="shared" si="717"/>
        <v>138.97999999999999</v>
      </c>
      <c r="L2664" s="647" t="s">
        <v>21</v>
      </c>
      <c r="M2664" s="576"/>
      <c r="N2664" s="576">
        <f t="shared" si="716"/>
        <v>0</v>
      </c>
      <c r="O2664" s="577">
        <f t="shared" si="711"/>
        <v>0</v>
      </c>
      <c r="P2664" s="578">
        <f t="shared" si="712"/>
        <v>0</v>
      </c>
      <c r="Q2664" s="765"/>
      <c r="R2664" s="576">
        <f t="shared" si="705"/>
        <v>0</v>
      </c>
      <c r="S2664" s="576">
        <f t="shared" si="705"/>
        <v>0</v>
      </c>
      <c r="T2664" s="577">
        <f t="shared" si="709"/>
        <v>0</v>
      </c>
      <c r="U2664" s="578">
        <f t="shared" si="710"/>
        <v>0</v>
      </c>
      <c r="V2664" s="579"/>
      <c r="W2664" s="566"/>
      <c r="X2664" s="586" t="str">
        <f t="shared" si="703"/>
        <v/>
      </c>
      <c r="Y2664" s="586" t="str">
        <f t="shared" si="715"/>
        <v/>
      </c>
      <c r="Z2664" s="586" t="str">
        <f t="shared" ref="Z2664:Z2707" si="719">IF(W2664="X","x",IF(U2664&gt;0,"x",""))</f>
        <v/>
      </c>
    </row>
    <row r="2665" spans="1:26" s="567" customFormat="1" ht="22.5" hidden="1" x14ac:dyDescent="0.2">
      <c r="A2665" s="652" t="s">
        <v>187</v>
      </c>
      <c r="B2665" s="644" t="s">
        <v>641</v>
      </c>
      <c r="C2665" s="645" t="s">
        <v>612</v>
      </c>
      <c r="D2665" s="422" t="s">
        <v>598</v>
      </c>
      <c r="E2665" s="423"/>
      <c r="F2665" s="424">
        <v>0</v>
      </c>
      <c r="G2665" s="425"/>
      <c r="H2665" s="651"/>
      <c r="I2665" s="420">
        <v>116.98</v>
      </c>
      <c r="J2665" s="420">
        <f t="shared" si="718"/>
        <v>116.98</v>
      </c>
      <c r="K2665" s="421">
        <f t="shared" si="717"/>
        <v>138.97999999999999</v>
      </c>
      <c r="L2665" s="647" t="s">
        <v>21</v>
      </c>
      <c r="M2665" s="576"/>
      <c r="N2665" s="576">
        <f t="shared" si="716"/>
        <v>0</v>
      </c>
      <c r="O2665" s="577">
        <f t="shared" si="711"/>
        <v>0</v>
      </c>
      <c r="P2665" s="578">
        <f t="shared" si="712"/>
        <v>0</v>
      </c>
      <c r="Q2665" s="765"/>
      <c r="R2665" s="576">
        <f t="shared" si="705"/>
        <v>0</v>
      </c>
      <c r="S2665" s="576">
        <f t="shared" si="705"/>
        <v>0</v>
      </c>
      <c r="T2665" s="577">
        <f t="shared" si="709"/>
        <v>0</v>
      </c>
      <c r="U2665" s="578">
        <f t="shared" si="710"/>
        <v>0</v>
      </c>
      <c r="V2665" s="579"/>
      <c r="W2665" s="566"/>
      <c r="X2665" s="586" t="str">
        <f t="shared" si="703"/>
        <v/>
      </c>
      <c r="Y2665" s="586" t="str">
        <f t="shared" si="715"/>
        <v/>
      </c>
      <c r="Z2665" s="586" t="str">
        <f t="shared" si="719"/>
        <v/>
      </c>
    </row>
    <row r="2666" spans="1:26" s="567" customFormat="1" hidden="1" x14ac:dyDescent="0.2">
      <c r="A2666" s="652" t="s">
        <v>187</v>
      </c>
      <c r="B2666" s="644" t="s">
        <v>641</v>
      </c>
      <c r="C2666" s="645" t="s">
        <v>612</v>
      </c>
      <c r="D2666" s="422" t="s">
        <v>599</v>
      </c>
      <c r="E2666" s="423"/>
      <c r="F2666" s="424">
        <v>0</v>
      </c>
      <c r="G2666" s="425"/>
      <c r="H2666" s="651"/>
      <c r="I2666" s="420">
        <v>116.98</v>
      </c>
      <c r="J2666" s="420">
        <f t="shared" si="718"/>
        <v>116.98</v>
      </c>
      <c r="K2666" s="421">
        <f t="shared" si="717"/>
        <v>138.97999999999999</v>
      </c>
      <c r="L2666" s="647" t="s">
        <v>21</v>
      </c>
      <c r="M2666" s="576"/>
      <c r="N2666" s="576">
        <f t="shared" si="716"/>
        <v>0</v>
      </c>
      <c r="O2666" s="577">
        <f t="shared" si="711"/>
        <v>0</v>
      </c>
      <c r="P2666" s="578">
        <f t="shared" si="712"/>
        <v>0</v>
      </c>
      <c r="Q2666" s="765"/>
      <c r="R2666" s="576">
        <f t="shared" si="705"/>
        <v>0</v>
      </c>
      <c r="S2666" s="576">
        <f t="shared" si="705"/>
        <v>0</v>
      </c>
      <c r="T2666" s="577">
        <f t="shared" si="709"/>
        <v>0</v>
      </c>
      <c r="U2666" s="578">
        <f t="shared" si="710"/>
        <v>0</v>
      </c>
      <c r="V2666" s="579"/>
      <c r="W2666" s="566"/>
      <c r="X2666" s="586" t="str">
        <f t="shared" si="703"/>
        <v/>
      </c>
      <c r="Y2666" s="586" t="str">
        <f t="shared" si="715"/>
        <v/>
      </c>
      <c r="Z2666" s="586" t="str">
        <f t="shared" si="719"/>
        <v/>
      </c>
    </row>
    <row r="2667" spans="1:26" s="567" customFormat="1" hidden="1" x14ac:dyDescent="0.2">
      <c r="A2667" s="652" t="s">
        <v>187</v>
      </c>
      <c r="B2667" s="644" t="s">
        <v>642</v>
      </c>
      <c r="C2667" s="645" t="s">
        <v>612</v>
      </c>
      <c r="D2667" s="422" t="s">
        <v>600</v>
      </c>
      <c r="E2667" s="423"/>
      <c r="F2667" s="424"/>
      <c r="G2667" s="425"/>
      <c r="H2667" s="651"/>
      <c r="I2667" s="420">
        <v>119.27</v>
      </c>
      <c r="J2667" s="420">
        <f t="shared" si="718"/>
        <v>119.27</v>
      </c>
      <c r="K2667" s="421">
        <f t="shared" si="717"/>
        <v>141.69999999999999</v>
      </c>
      <c r="L2667" s="647" t="s">
        <v>21</v>
      </c>
      <c r="M2667" s="576"/>
      <c r="N2667" s="576">
        <f t="shared" si="716"/>
        <v>0</v>
      </c>
      <c r="O2667" s="577">
        <f t="shared" si="711"/>
        <v>0</v>
      </c>
      <c r="P2667" s="578">
        <f t="shared" si="712"/>
        <v>0</v>
      </c>
      <c r="Q2667" s="765"/>
      <c r="R2667" s="576">
        <f t="shared" si="705"/>
        <v>0</v>
      </c>
      <c r="S2667" s="576">
        <f t="shared" si="705"/>
        <v>0</v>
      </c>
      <c r="T2667" s="577">
        <f t="shared" si="709"/>
        <v>0</v>
      </c>
      <c r="U2667" s="578">
        <f t="shared" si="710"/>
        <v>0</v>
      </c>
      <c r="V2667" s="579"/>
      <c r="W2667" s="566"/>
      <c r="X2667" s="586" t="str">
        <f t="shared" ref="X2667:X2707" si="720">IF(W2667="X","x",IF(W2667="xx","x",IF(W2667="xy","x",IF(W2667="y","x",IF(OR(P2667&gt;0,U2667&gt;0),"x","")))))</f>
        <v/>
      </c>
      <c r="Y2667" s="586" t="str">
        <f t="shared" si="715"/>
        <v/>
      </c>
      <c r="Z2667" s="586" t="str">
        <f t="shared" si="719"/>
        <v/>
      </c>
    </row>
    <row r="2668" spans="1:26" s="567" customFormat="1" x14ac:dyDescent="0.2">
      <c r="A2668" s="652" t="s">
        <v>187</v>
      </c>
      <c r="B2668" s="644" t="s">
        <v>601</v>
      </c>
      <c r="C2668" s="645" t="s">
        <v>643</v>
      </c>
      <c r="D2668" s="451" t="s">
        <v>602</v>
      </c>
      <c r="E2668" s="423"/>
      <c r="F2668" s="424"/>
      <c r="G2668" s="425"/>
      <c r="H2668" s="651"/>
      <c r="I2668" s="420">
        <v>78.64</v>
      </c>
      <c r="J2668" s="420">
        <f t="shared" si="718"/>
        <v>78.64</v>
      </c>
      <c r="K2668" s="421">
        <f t="shared" si="717"/>
        <v>93.43</v>
      </c>
      <c r="L2668" s="647" t="s">
        <v>21</v>
      </c>
      <c r="M2668" s="576">
        <f>'ORÇ AV PADRE IVO'!M2668+'ORÇ JOÃO NUNES'!M2668+'ORÇ LAUDOMIRO'!M2668</f>
        <v>32</v>
      </c>
      <c r="N2668" s="576">
        <f t="shared" si="716"/>
        <v>93.43</v>
      </c>
      <c r="O2668" s="577">
        <f t="shared" si="711"/>
        <v>2989.76</v>
      </c>
      <c r="P2668" s="578">
        <f t="shared" si="712"/>
        <v>2989.76</v>
      </c>
      <c r="Q2668" s="765"/>
      <c r="R2668" s="576">
        <f t="shared" si="705"/>
        <v>32</v>
      </c>
      <c r="S2668" s="576">
        <f t="shared" si="705"/>
        <v>93.43</v>
      </c>
      <c r="T2668" s="577">
        <f t="shared" si="709"/>
        <v>2989.76</v>
      </c>
      <c r="U2668" s="578">
        <f t="shared" si="710"/>
        <v>2989.76</v>
      </c>
      <c r="V2668" s="579"/>
      <c r="W2668" s="566"/>
      <c r="X2668" s="586" t="str">
        <f t="shared" si="720"/>
        <v>x</v>
      </c>
      <c r="Y2668" s="586" t="str">
        <f t="shared" si="715"/>
        <v>x</v>
      </c>
      <c r="Z2668" s="586" t="str">
        <f t="shared" si="719"/>
        <v>x</v>
      </c>
    </row>
    <row r="2669" spans="1:26" s="567" customFormat="1" hidden="1" x14ac:dyDescent="0.2">
      <c r="A2669" s="652" t="s">
        <v>187</v>
      </c>
      <c r="B2669" s="644" t="s">
        <v>603</v>
      </c>
      <c r="C2669" s="645" t="s">
        <v>643</v>
      </c>
      <c r="D2669" s="451" t="s">
        <v>604</v>
      </c>
      <c r="E2669" s="423"/>
      <c r="F2669" s="424"/>
      <c r="G2669" s="425"/>
      <c r="H2669" s="651"/>
      <c r="I2669" s="420">
        <v>46.05</v>
      </c>
      <c r="J2669" s="420">
        <f t="shared" si="718"/>
        <v>46.05</v>
      </c>
      <c r="K2669" s="421">
        <f t="shared" si="717"/>
        <v>54.71</v>
      </c>
      <c r="L2669" s="647" t="s">
        <v>21</v>
      </c>
      <c r="M2669" s="576"/>
      <c r="N2669" s="576">
        <f t="shared" si="716"/>
        <v>0</v>
      </c>
      <c r="O2669" s="577">
        <f t="shared" si="711"/>
        <v>0</v>
      </c>
      <c r="P2669" s="578">
        <f t="shared" si="712"/>
        <v>0</v>
      </c>
      <c r="Q2669" s="765"/>
      <c r="R2669" s="576">
        <f t="shared" si="705"/>
        <v>0</v>
      </c>
      <c r="S2669" s="576">
        <f t="shared" si="705"/>
        <v>0</v>
      </c>
      <c r="T2669" s="577">
        <f t="shared" si="709"/>
        <v>0</v>
      </c>
      <c r="U2669" s="578">
        <f t="shared" si="710"/>
        <v>0</v>
      </c>
      <c r="V2669" s="579"/>
      <c r="W2669" s="566"/>
      <c r="X2669" s="586" t="str">
        <f t="shared" si="720"/>
        <v/>
      </c>
      <c r="Y2669" s="586" t="str">
        <f t="shared" si="715"/>
        <v/>
      </c>
      <c r="Z2669" s="586" t="str">
        <f t="shared" si="719"/>
        <v/>
      </c>
    </row>
    <row r="2670" spans="1:26" s="567" customFormat="1" x14ac:dyDescent="0.2">
      <c r="A2670" s="652" t="s">
        <v>187</v>
      </c>
      <c r="B2670" s="644" t="s">
        <v>674</v>
      </c>
      <c r="C2670" s="645" t="s">
        <v>612</v>
      </c>
      <c r="D2670" s="451" t="s">
        <v>605</v>
      </c>
      <c r="E2670" s="423"/>
      <c r="F2670" s="424"/>
      <c r="G2670" s="425"/>
      <c r="H2670" s="651"/>
      <c r="I2670" s="420">
        <v>141.66</v>
      </c>
      <c r="J2670" s="420">
        <f t="shared" si="718"/>
        <v>141.66</v>
      </c>
      <c r="K2670" s="421">
        <f t="shared" si="717"/>
        <v>168.31</v>
      </c>
      <c r="L2670" s="647" t="s">
        <v>21</v>
      </c>
      <c r="M2670" s="576">
        <f>'ORÇ AV PADRE IVO'!M2670+'ORÇ JOÃO NUNES'!M2670+'ORÇ LAUDOMIRO'!M2670</f>
        <v>19</v>
      </c>
      <c r="N2670" s="576">
        <f t="shared" si="716"/>
        <v>168.31</v>
      </c>
      <c r="O2670" s="577">
        <f t="shared" si="711"/>
        <v>3197.89</v>
      </c>
      <c r="P2670" s="578">
        <f t="shared" si="712"/>
        <v>3197.89</v>
      </c>
      <c r="Q2670" s="765"/>
      <c r="R2670" s="576">
        <f t="shared" si="705"/>
        <v>19</v>
      </c>
      <c r="S2670" s="576">
        <f t="shared" si="705"/>
        <v>168.31</v>
      </c>
      <c r="T2670" s="577">
        <f t="shared" si="709"/>
        <v>3197.89</v>
      </c>
      <c r="U2670" s="578">
        <f t="shared" si="710"/>
        <v>3197.89</v>
      </c>
      <c r="V2670" s="579"/>
      <c r="W2670" s="566"/>
      <c r="X2670" s="586" t="str">
        <f t="shared" si="720"/>
        <v>x</v>
      </c>
      <c r="Y2670" s="586" t="str">
        <f t="shared" si="715"/>
        <v>x</v>
      </c>
      <c r="Z2670" s="586" t="str">
        <f t="shared" si="719"/>
        <v>x</v>
      </c>
    </row>
    <row r="2671" spans="1:26" s="567" customFormat="1" x14ac:dyDescent="0.2">
      <c r="A2671" s="652" t="s">
        <v>187</v>
      </c>
      <c r="B2671" s="644" t="s">
        <v>606</v>
      </c>
      <c r="C2671" s="645" t="s">
        <v>643</v>
      </c>
      <c r="D2671" s="422" t="s">
        <v>607</v>
      </c>
      <c r="E2671" s="423"/>
      <c r="F2671" s="424"/>
      <c r="G2671" s="425"/>
      <c r="H2671" s="651"/>
      <c r="I2671" s="420">
        <v>82.87</v>
      </c>
      <c r="J2671" s="420">
        <f t="shared" si="718"/>
        <v>82.87</v>
      </c>
      <c r="K2671" s="421">
        <f t="shared" si="717"/>
        <v>98.46</v>
      </c>
      <c r="L2671" s="647" t="s">
        <v>21</v>
      </c>
      <c r="M2671" s="576">
        <f>'ORÇ AV PADRE IVO'!M2671+'ORÇ JOÃO NUNES'!M2671+'ORÇ LAUDOMIRO'!M2671</f>
        <v>19</v>
      </c>
      <c r="N2671" s="576">
        <f t="shared" si="716"/>
        <v>98.46</v>
      </c>
      <c r="O2671" s="577">
        <f t="shared" si="711"/>
        <v>1870.74</v>
      </c>
      <c r="P2671" s="578">
        <f t="shared" si="712"/>
        <v>1870.74</v>
      </c>
      <c r="Q2671" s="765"/>
      <c r="R2671" s="576">
        <f t="shared" si="705"/>
        <v>19</v>
      </c>
      <c r="S2671" s="576">
        <f t="shared" si="705"/>
        <v>98.46</v>
      </c>
      <c r="T2671" s="577">
        <f t="shared" si="709"/>
        <v>1870.74</v>
      </c>
      <c r="U2671" s="578">
        <f t="shared" si="710"/>
        <v>1870.74</v>
      </c>
      <c r="V2671" s="579"/>
      <c r="W2671" s="566"/>
      <c r="X2671" s="586" t="str">
        <f t="shared" si="720"/>
        <v>x</v>
      </c>
      <c r="Y2671" s="586" t="str">
        <f t="shared" si="715"/>
        <v>x</v>
      </c>
      <c r="Z2671" s="586" t="str">
        <f t="shared" si="719"/>
        <v>x</v>
      </c>
    </row>
    <row r="2672" spans="1:26" s="567" customFormat="1" x14ac:dyDescent="0.2">
      <c r="A2672" s="652" t="s">
        <v>187</v>
      </c>
      <c r="B2672" s="644" t="s">
        <v>608</v>
      </c>
      <c r="C2672" s="645" t="s">
        <v>643</v>
      </c>
      <c r="D2672" s="422" t="s">
        <v>609</v>
      </c>
      <c r="E2672" s="423"/>
      <c r="F2672" s="424"/>
      <c r="G2672" s="425"/>
      <c r="H2672" s="651"/>
      <c r="I2672" s="420">
        <v>67.53</v>
      </c>
      <c r="J2672" s="420">
        <f>IF(ISBLANK(I2672),"",SUM(H2672:I2672))</f>
        <v>67.53</v>
      </c>
      <c r="K2672" s="421">
        <f t="shared" si="717"/>
        <v>80.23</v>
      </c>
      <c r="L2672" s="647" t="s">
        <v>21</v>
      </c>
      <c r="M2672" s="576">
        <f>'ORÇ AV PADRE IVO'!M2672+'ORÇ JOÃO NUNES'!M2672+'ORÇ LAUDOMIRO'!M2672</f>
        <v>19</v>
      </c>
      <c r="N2672" s="576">
        <f t="shared" si="716"/>
        <v>80.23</v>
      </c>
      <c r="O2672" s="577">
        <f t="shared" si="711"/>
        <v>1524.37</v>
      </c>
      <c r="P2672" s="578">
        <f t="shared" si="712"/>
        <v>1524.37</v>
      </c>
      <c r="Q2672" s="765"/>
      <c r="R2672" s="576">
        <f t="shared" si="705"/>
        <v>19</v>
      </c>
      <c r="S2672" s="576">
        <f t="shared" si="705"/>
        <v>80.23</v>
      </c>
      <c r="T2672" s="577">
        <f t="shared" si="709"/>
        <v>1524.37</v>
      </c>
      <c r="U2672" s="578">
        <f t="shared" si="710"/>
        <v>1524.37</v>
      </c>
      <c r="V2672" s="579"/>
      <c r="W2672" s="566"/>
      <c r="X2672" s="586" t="str">
        <f>IF(W2672="X","x",IF(W2672="xx","x",IF(W2672="xy","x",IF(W2672="y","x",IF(OR(P2672&gt;0,U2672&gt;0),"x","")))))</f>
        <v>x</v>
      </c>
      <c r="Y2672" s="586" t="str">
        <f>IF(W2672="X","x",IF(W2672="y","x",IF(W2672="xx","x",IF(U2672&gt;0,"x",""))))</f>
        <v>x</v>
      </c>
      <c r="Z2672" s="586" t="str">
        <f>IF(W2672="X","x",IF(U2672&gt;0,"x",""))</f>
        <v>x</v>
      </c>
    </row>
    <row r="2673" spans="1:26" s="567" customFormat="1" hidden="1" x14ac:dyDescent="0.2">
      <c r="A2673" s="652" t="s">
        <v>187</v>
      </c>
      <c r="B2673" s="644" t="s">
        <v>1518</v>
      </c>
      <c r="C2673" s="645" t="s">
        <v>643</v>
      </c>
      <c r="D2673" s="422" t="s">
        <v>1720</v>
      </c>
      <c r="E2673" s="423"/>
      <c r="F2673" s="424"/>
      <c r="G2673" s="425"/>
      <c r="H2673" s="651"/>
      <c r="I2673" s="420">
        <v>182.39</v>
      </c>
      <c r="J2673" s="420">
        <f>IF(ISBLANK(I2673),"",SUM(H2673:I2673))</f>
        <v>182.39</v>
      </c>
      <c r="K2673" s="421">
        <f t="shared" si="717"/>
        <v>216.7</v>
      </c>
      <c r="L2673" s="647" t="s">
        <v>21</v>
      </c>
      <c r="M2673" s="576">
        <f>'ORÇ AV PADRE IVO'!M2673+'ORÇ JOÃO NUNES'!M2673+'ORÇ LAUDOMIRO'!M2673</f>
        <v>0</v>
      </c>
      <c r="N2673" s="576">
        <f t="shared" si="716"/>
        <v>0</v>
      </c>
      <c r="O2673" s="577">
        <f t="shared" si="711"/>
        <v>0</v>
      </c>
      <c r="P2673" s="578">
        <f t="shared" si="712"/>
        <v>0</v>
      </c>
      <c r="Q2673" s="765"/>
      <c r="R2673" s="576">
        <f t="shared" si="705"/>
        <v>0</v>
      </c>
      <c r="S2673" s="576">
        <f t="shared" si="705"/>
        <v>0</v>
      </c>
      <c r="T2673" s="577">
        <f t="shared" si="709"/>
        <v>0</v>
      </c>
      <c r="U2673" s="578">
        <f t="shared" si="710"/>
        <v>0</v>
      </c>
      <c r="V2673" s="579"/>
      <c r="W2673" s="566"/>
      <c r="X2673" s="586" t="str">
        <f t="shared" si="720"/>
        <v/>
      </c>
      <c r="Y2673" s="586" t="str">
        <f t="shared" si="715"/>
        <v/>
      </c>
      <c r="Z2673" s="586" t="str">
        <f t="shared" si="719"/>
        <v/>
      </c>
    </row>
    <row r="2674" spans="1:26" s="567" customFormat="1" x14ac:dyDescent="0.2">
      <c r="A2674" s="652" t="s">
        <v>187</v>
      </c>
      <c r="B2674" s="725" t="s">
        <v>645</v>
      </c>
      <c r="C2674" s="645" t="s">
        <v>612</v>
      </c>
      <c r="D2674" s="422" t="s">
        <v>1721</v>
      </c>
      <c r="E2674" s="423"/>
      <c r="F2674" s="424"/>
      <c r="G2674" s="425"/>
      <c r="H2674" s="651"/>
      <c r="I2674" s="420">
        <v>110.45</v>
      </c>
      <c r="J2674" s="420">
        <f>IF(ISBLANK(I2674),"",SUM(H2674:I2674))</f>
        <v>110.45</v>
      </c>
      <c r="K2674" s="421">
        <f t="shared" si="717"/>
        <v>131.22999999999999</v>
      </c>
      <c r="L2674" s="647" t="s">
        <v>21</v>
      </c>
      <c r="M2674" s="576">
        <f>'ORÇ AV PADRE IVO'!M2674+'ORÇ JOÃO NUNES'!M2674+'ORÇ LAUDOMIRO'!M2674</f>
        <v>19</v>
      </c>
      <c r="N2674" s="576">
        <f t="shared" si="716"/>
        <v>131.22999999999999</v>
      </c>
      <c r="O2674" s="577">
        <f>IF(ISBLANK(M2674),0,ROUND(K2674*M2674,2))</f>
        <v>2493.37</v>
      </c>
      <c r="P2674" s="578">
        <f>IF(ISBLANK(N2674),0,ROUND(M2674*N2674,2))</f>
        <v>2493.37</v>
      </c>
      <c r="Q2674" s="765"/>
      <c r="R2674" s="576">
        <f>M2674</f>
        <v>19</v>
      </c>
      <c r="S2674" s="576">
        <f t="shared" ref="S2674:S2675" si="721">N2674</f>
        <v>131.22999999999999</v>
      </c>
      <c r="T2674" s="577">
        <f>IF(ISBLANK(R2674),0,ROUND(K2674*R2674,2))</f>
        <v>2493.37</v>
      </c>
      <c r="U2674" s="578">
        <f>IF(ISBLANK(R2674),0,ROUND(R2674*S2674,2))</f>
        <v>2493.37</v>
      </c>
      <c r="V2674" s="579"/>
      <c r="W2674" s="566"/>
      <c r="X2674" s="586" t="str">
        <f t="shared" si="720"/>
        <v>x</v>
      </c>
      <c r="Y2674" s="586" t="str">
        <f t="shared" si="715"/>
        <v>x</v>
      </c>
      <c r="Z2674" s="586" t="str">
        <f t="shared" si="719"/>
        <v>x</v>
      </c>
    </row>
    <row r="2675" spans="1:26" s="567" customFormat="1" ht="12" thickBot="1" x14ac:dyDescent="0.25">
      <c r="A2675" s="652" t="s">
        <v>187</v>
      </c>
      <c r="B2675" s="644" t="s">
        <v>644</v>
      </c>
      <c r="C2675" s="645" t="s">
        <v>612</v>
      </c>
      <c r="D2675" s="422" t="s">
        <v>1722</v>
      </c>
      <c r="E2675" s="423"/>
      <c r="F2675" s="424"/>
      <c r="G2675" s="425"/>
      <c r="H2675" s="663"/>
      <c r="I2675" s="420">
        <v>4850.2</v>
      </c>
      <c r="J2675" s="420">
        <f>IF(ISBLANK(I2675),"",SUM(H2675:I2675))</f>
        <v>4850.2</v>
      </c>
      <c r="K2675" s="421">
        <f t="shared" si="717"/>
        <v>5762.52</v>
      </c>
      <c r="L2675" s="647" t="s">
        <v>611</v>
      </c>
      <c r="M2675" s="576">
        <f>'ORÇ AV PADRE IVO'!M2675+'ORÇ JOÃO NUNES'!M2675+'ORÇ LAUDOMIRO'!M2675</f>
        <v>1</v>
      </c>
      <c r="N2675" s="576">
        <f t="shared" si="716"/>
        <v>5762.52</v>
      </c>
      <c r="O2675" s="577">
        <f>IF(ISBLANK(M2675),0,ROUND(K2675*M2675,2))</f>
        <v>5762.52</v>
      </c>
      <c r="P2675" s="578">
        <f>IF(ISBLANK(N2675),0,ROUND(M2675*N2675,2))</f>
        <v>5762.52</v>
      </c>
      <c r="Q2675" s="765"/>
      <c r="R2675" s="576">
        <f>M2675</f>
        <v>1</v>
      </c>
      <c r="S2675" s="576">
        <f t="shared" si="721"/>
        <v>5762.52</v>
      </c>
      <c r="T2675" s="577">
        <f>IF(ISBLANK(R2675),0,ROUND(K2675*R2675,2))</f>
        <v>5762.52</v>
      </c>
      <c r="U2675" s="578">
        <f>IF(ISBLANK(R2675),0,ROUND(R2675*S2675,2))</f>
        <v>5762.52</v>
      </c>
      <c r="V2675" s="579"/>
      <c r="W2675" s="566"/>
      <c r="X2675" s="586" t="str">
        <f t="shared" si="720"/>
        <v>x</v>
      </c>
      <c r="Y2675" s="586" t="str">
        <f t="shared" si="715"/>
        <v>x</v>
      </c>
      <c r="Z2675" s="586" t="str">
        <f t="shared" si="719"/>
        <v>x</v>
      </c>
    </row>
    <row r="2676" spans="1:26" ht="12" hidden="1" thickBot="1" x14ac:dyDescent="0.25">
      <c r="A2676" s="652" t="s">
        <v>187</v>
      </c>
      <c r="B2676" s="653" t="s">
        <v>187</v>
      </c>
      <c r="C2676" s="654"/>
      <c r="D2676" s="427" t="s">
        <v>610</v>
      </c>
      <c r="E2676" s="428"/>
      <c r="F2676" s="655"/>
      <c r="G2676" s="656"/>
      <c r="H2676" s="657"/>
      <c r="I2676" s="429"/>
      <c r="J2676" s="429"/>
      <c r="K2676" s="429"/>
      <c r="L2676" s="429" t="s">
        <v>614</v>
      </c>
      <c r="M2676" s="657"/>
      <c r="N2676" s="576">
        <f t="shared" si="716"/>
        <v>0</v>
      </c>
      <c r="O2676" s="429"/>
      <c r="P2676" s="658"/>
      <c r="Q2676" s="765"/>
      <c r="R2676" s="657"/>
      <c r="S2676" s="429"/>
      <c r="T2676" s="429"/>
      <c r="U2676" s="658"/>
      <c r="V2676" s="579"/>
      <c r="W2676" s="637" t="str">
        <f>IF(OR(SUM(P2677:P2707)&gt;0,SUM(U2677:U2707)&gt;0),"y","")</f>
        <v/>
      </c>
      <c r="X2676" s="586" t="str">
        <f t="shared" si="720"/>
        <v/>
      </c>
      <c r="Y2676" s="586" t="str">
        <f t="shared" si="715"/>
        <v/>
      </c>
      <c r="Z2676" s="586" t="str">
        <f t="shared" si="719"/>
        <v/>
      </c>
    </row>
    <row r="2677" spans="1:26" ht="12" hidden="1" thickBot="1" x14ac:dyDescent="0.25">
      <c r="A2677" s="652" t="s">
        <v>187</v>
      </c>
      <c r="B2677" s="572" t="s">
        <v>187</v>
      </c>
      <c r="C2677" s="573" t="s">
        <v>187</v>
      </c>
      <c r="D2677" s="574"/>
      <c r="E2677" s="575"/>
      <c r="F2677" s="436"/>
      <c r="G2677" s="431"/>
      <c r="H2677" s="430"/>
      <c r="I2677" s="432"/>
      <c r="J2677" s="433"/>
      <c r="K2677" s="437">
        <f>IF(ISBLANK(J2677),0,ROUND(J2677*(1+$F$10)*(1+$F$11*E2677),2))</f>
        <v>0</v>
      </c>
      <c r="L2677" s="435" t="s">
        <v>614</v>
      </c>
      <c r="M2677" s="587"/>
      <c r="N2677" s="576">
        <f t="shared" si="716"/>
        <v>0</v>
      </c>
      <c r="O2677" s="577">
        <f>IF(ISBLANK(M2677),0,ROUND(K2677*M2677,2))</f>
        <v>0</v>
      </c>
      <c r="P2677" s="578">
        <f t="shared" ref="P2677:P2707" si="722">IF(ISBLANK(N2677),0,ROUND(M2677*N2677,2))</f>
        <v>0</v>
      </c>
      <c r="Q2677" s="765"/>
      <c r="R2677" s="650">
        <f t="shared" ref="R2677:S2707" si="723">M2677</f>
        <v>0</v>
      </c>
      <c r="S2677" s="587">
        <f t="shared" si="723"/>
        <v>0</v>
      </c>
      <c r="T2677" s="577">
        <f t="shared" ref="T2677:T2707" si="724">IF(ISBLANK(R2677),0,ROUND(K2677*R2677,2))</f>
        <v>0</v>
      </c>
      <c r="U2677" s="578">
        <f t="shared" ref="U2677:U2707" si="725">IF(ISBLANK(R2677),0,ROUND(R2677*S2677,2))</f>
        <v>0</v>
      </c>
      <c r="V2677" s="579"/>
      <c r="W2677" s="566"/>
      <c r="X2677" s="586" t="str">
        <f t="shared" si="720"/>
        <v/>
      </c>
      <c r="Y2677" s="586" t="str">
        <f t="shared" si="715"/>
        <v/>
      </c>
      <c r="Z2677" s="586" t="str">
        <f t="shared" si="719"/>
        <v/>
      </c>
    </row>
    <row r="2678" spans="1:26" ht="12" hidden="1" thickBot="1" x14ac:dyDescent="0.25">
      <c r="A2678" s="652" t="s">
        <v>187</v>
      </c>
      <c r="B2678" s="589"/>
      <c r="C2678" s="573"/>
      <c r="D2678" s="574"/>
      <c r="E2678" s="575"/>
      <c r="F2678" s="436"/>
      <c r="G2678" s="431"/>
      <c r="H2678" s="430"/>
      <c r="I2678" s="432"/>
      <c r="J2678" s="433"/>
      <c r="K2678" s="437">
        <f>IF(ISBLANK(J2678),0,ROUND(J2678*(1+$F$10)*(1+$F$11*E2678),2))</f>
        <v>0</v>
      </c>
      <c r="L2678" s="435" t="s">
        <v>614</v>
      </c>
      <c r="M2678" s="576"/>
      <c r="N2678" s="576">
        <f t="shared" si="716"/>
        <v>0</v>
      </c>
      <c r="O2678" s="577">
        <f>IF(ISBLANK(M2678),0,ROUND(K2678*M2678,2))</f>
        <v>0</v>
      </c>
      <c r="P2678" s="578">
        <f t="shared" si="722"/>
        <v>0</v>
      </c>
      <c r="Q2678" s="765"/>
      <c r="R2678" s="576">
        <f t="shared" si="723"/>
        <v>0</v>
      </c>
      <c r="S2678" s="576">
        <f t="shared" si="723"/>
        <v>0</v>
      </c>
      <c r="T2678" s="577">
        <f t="shared" si="724"/>
        <v>0</v>
      </c>
      <c r="U2678" s="659">
        <f t="shared" si="725"/>
        <v>0</v>
      </c>
      <c r="V2678" s="579"/>
      <c r="W2678" s="566"/>
      <c r="X2678" s="586" t="str">
        <f t="shared" si="720"/>
        <v/>
      </c>
      <c r="Y2678" s="586" t="str">
        <f t="shared" si="715"/>
        <v/>
      </c>
      <c r="Z2678" s="586" t="str">
        <f t="shared" si="719"/>
        <v/>
      </c>
    </row>
    <row r="2679" spans="1:26" ht="12" hidden="1" thickBot="1" x14ac:dyDescent="0.25">
      <c r="A2679" s="652" t="s">
        <v>187</v>
      </c>
      <c r="B2679" s="589" t="s">
        <v>187</v>
      </c>
      <c r="C2679" s="573" t="s">
        <v>187</v>
      </c>
      <c r="D2679" s="580"/>
      <c r="E2679" s="575"/>
      <c r="F2679" s="436"/>
      <c r="G2679" s="431"/>
      <c r="H2679" s="430"/>
      <c r="I2679" s="432"/>
      <c r="J2679" s="433"/>
      <c r="K2679" s="437">
        <f>IF(ISBLANK(J2679),0,ROUND(J2679*(1+$F$10)*(1+$F$11*E2679),2))</f>
        <v>0</v>
      </c>
      <c r="L2679" s="435" t="s">
        <v>614</v>
      </c>
      <c r="M2679" s="576"/>
      <c r="N2679" s="576">
        <f t="shared" si="716"/>
        <v>0</v>
      </c>
      <c r="O2679" s="577">
        <f t="shared" ref="O2679:O2707" si="726">IF(ISBLANK(M2679),0,ROUND(K2679*M2679,2))</f>
        <v>0</v>
      </c>
      <c r="P2679" s="578">
        <f t="shared" si="722"/>
        <v>0</v>
      </c>
      <c r="Q2679" s="765"/>
      <c r="R2679" s="576">
        <f t="shared" si="723"/>
        <v>0</v>
      </c>
      <c r="S2679" s="576">
        <f t="shared" si="723"/>
        <v>0</v>
      </c>
      <c r="T2679" s="577">
        <f t="shared" si="724"/>
        <v>0</v>
      </c>
      <c r="U2679" s="578">
        <f t="shared" si="725"/>
        <v>0</v>
      </c>
      <c r="V2679" s="579"/>
      <c r="W2679" s="566"/>
      <c r="X2679" s="586" t="str">
        <f t="shared" si="720"/>
        <v/>
      </c>
      <c r="Y2679" s="586" t="str">
        <f t="shared" si="715"/>
        <v/>
      </c>
      <c r="Z2679" s="586" t="str">
        <f t="shared" si="719"/>
        <v/>
      </c>
    </row>
    <row r="2680" spans="1:26" ht="12" hidden="1" thickBot="1" x14ac:dyDescent="0.25">
      <c r="A2680" s="652" t="s">
        <v>187</v>
      </c>
      <c r="B2680" s="589" t="s">
        <v>187</v>
      </c>
      <c r="C2680" s="573" t="s">
        <v>187</v>
      </c>
      <c r="D2680" s="580"/>
      <c r="E2680" s="575"/>
      <c r="F2680" s="436"/>
      <c r="G2680" s="431"/>
      <c r="H2680" s="430"/>
      <c r="I2680" s="432"/>
      <c r="J2680" s="433"/>
      <c r="K2680" s="437">
        <f t="shared" ref="K2680:K2707" si="727">IF(ISBLANK(J2680),0,ROUND(J2680*(1+$F$10)*(1+$F$11*E2680),2))</f>
        <v>0</v>
      </c>
      <c r="L2680" s="435" t="s">
        <v>614</v>
      </c>
      <c r="M2680" s="576"/>
      <c r="N2680" s="576">
        <f t="shared" si="716"/>
        <v>0</v>
      </c>
      <c r="O2680" s="577">
        <f t="shared" si="726"/>
        <v>0</v>
      </c>
      <c r="P2680" s="578">
        <f t="shared" si="722"/>
        <v>0</v>
      </c>
      <c r="Q2680" s="765"/>
      <c r="R2680" s="576">
        <f t="shared" si="723"/>
        <v>0</v>
      </c>
      <c r="S2680" s="576">
        <f t="shared" si="723"/>
        <v>0</v>
      </c>
      <c r="T2680" s="577">
        <f t="shared" si="724"/>
        <v>0</v>
      </c>
      <c r="U2680" s="578">
        <f t="shared" si="725"/>
        <v>0</v>
      </c>
      <c r="V2680" s="579"/>
      <c r="W2680" s="566"/>
      <c r="X2680" s="586" t="str">
        <f t="shared" si="720"/>
        <v/>
      </c>
      <c r="Y2680" s="586" t="str">
        <f t="shared" si="715"/>
        <v/>
      </c>
      <c r="Z2680" s="586" t="str">
        <f t="shared" si="719"/>
        <v/>
      </c>
    </row>
    <row r="2681" spans="1:26" ht="12" hidden="1" thickBot="1" x14ac:dyDescent="0.25">
      <c r="A2681" s="652" t="s">
        <v>187</v>
      </c>
      <c r="B2681" s="589" t="s">
        <v>187</v>
      </c>
      <c r="C2681" s="573" t="s">
        <v>187</v>
      </c>
      <c r="D2681" s="580"/>
      <c r="E2681" s="575"/>
      <c r="F2681" s="436"/>
      <c r="G2681" s="431"/>
      <c r="H2681" s="430"/>
      <c r="I2681" s="432"/>
      <c r="J2681" s="433"/>
      <c r="K2681" s="437">
        <f t="shared" si="727"/>
        <v>0</v>
      </c>
      <c r="L2681" s="435" t="s">
        <v>614</v>
      </c>
      <c r="M2681" s="576"/>
      <c r="N2681" s="576">
        <f t="shared" si="716"/>
        <v>0</v>
      </c>
      <c r="O2681" s="577">
        <f t="shared" si="726"/>
        <v>0</v>
      </c>
      <c r="P2681" s="578">
        <f t="shared" si="722"/>
        <v>0</v>
      </c>
      <c r="Q2681" s="765"/>
      <c r="R2681" s="576">
        <f t="shared" si="723"/>
        <v>0</v>
      </c>
      <c r="S2681" s="576">
        <f t="shared" si="723"/>
        <v>0</v>
      </c>
      <c r="T2681" s="577">
        <f t="shared" si="724"/>
        <v>0</v>
      </c>
      <c r="U2681" s="578">
        <f t="shared" si="725"/>
        <v>0</v>
      </c>
      <c r="V2681" s="579"/>
      <c r="W2681" s="566"/>
      <c r="X2681" s="586" t="str">
        <f t="shared" si="720"/>
        <v/>
      </c>
      <c r="Y2681" s="586" t="str">
        <f t="shared" si="715"/>
        <v/>
      </c>
      <c r="Z2681" s="586" t="str">
        <f t="shared" si="719"/>
        <v/>
      </c>
    </row>
    <row r="2682" spans="1:26" ht="12" hidden="1" thickBot="1" x14ac:dyDescent="0.25">
      <c r="A2682" s="652" t="s">
        <v>187</v>
      </c>
      <c r="B2682" s="589" t="s">
        <v>187</v>
      </c>
      <c r="C2682" s="573" t="s">
        <v>187</v>
      </c>
      <c r="D2682" s="580"/>
      <c r="E2682" s="575"/>
      <c r="F2682" s="436"/>
      <c r="G2682" s="431"/>
      <c r="H2682" s="430"/>
      <c r="I2682" s="432"/>
      <c r="J2682" s="433"/>
      <c r="K2682" s="437">
        <f t="shared" si="727"/>
        <v>0</v>
      </c>
      <c r="L2682" s="435" t="s">
        <v>614</v>
      </c>
      <c r="M2682" s="576"/>
      <c r="N2682" s="576">
        <f t="shared" si="716"/>
        <v>0</v>
      </c>
      <c r="O2682" s="577">
        <f t="shared" si="726"/>
        <v>0</v>
      </c>
      <c r="P2682" s="578">
        <f t="shared" si="722"/>
        <v>0</v>
      </c>
      <c r="Q2682" s="765"/>
      <c r="R2682" s="576">
        <f t="shared" si="723"/>
        <v>0</v>
      </c>
      <c r="S2682" s="576">
        <f t="shared" si="723"/>
        <v>0</v>
      </c>
      <c r="T2682" s="577">
        <f t="shared" si="724"/>
        <v>0</v>
      </c>
      <c r="U2682" s="578">
        <f t="shared" si="725"/>
        <v>0</v>
      </c>
      <c r="V2682" s="579"/>
      <c r="W2682" s="566"/>
      <c r="X2682" s="586" t="str">
        <f t="shared" si="720"/>
        <v/>
      </c>
      <c r="Y2682" s="586" t="str">
        <f t="shared" si="715"/>
        <v/>
      </c>
      <c r="Z2682" s="586" t="str">
        <f t="shared" si="719"/>
        <v/>
      </c>
    </row>
    <row r="2683" spans="1:26" ht="12" hidden="1" thickBot="1" x14ac:dyDescent="0.25">
      <c r="A2683" s="652" t="s">
        <v>187</v>
      </c>
      <c r="B2683" s="589" t="s">
        <v>187</v>
      </c>
      <c r="C2683" s="573" t="s">
        <v>187</v>
      </c>
      <c r="D2683" s="580"/>
      <c r="E2683" s="575"/>
      <c r="F2683" s="436"/>
      <c r="G2683" s="431"/>
      <c r="H2683" s="430"/>
      <c r="I2683" s="432"/>
      <c r="J2683" s="433"/>
      <c r="K2683" s="437">
        <f t="shared" si="727"/>
        <v>0</v>
      </c>
      <c r="L2683" s="435" t="s">
        <v>614</v>
      </c>
      <c r="M2683" s="576"/>
      <c r="N2683" s="576">
        <f t="shared" si="716"/>
        <v>0</v>
      </c>
      <c r="O2683" s="577">
        <f t="shared" si="726"/>
        <v>0</v>
      </c>
      <c r="P2683" s="578">
        <f t="shared" si="722"/>
        <v>0</v>
      </c>
      <c r="Q2683" s="765"/>
      <c r="R2683" s="576">
        <f t="shared" si="723"/>
        <v>0</v>
      </c>
      <c r="S2683" s="576">
        <f t="shared" si="723"/>
        <v>0</v>
      </c>
      <c r="T2683" s="577">
        <f t="shared" si="724"/>
        <v>0</v>
      </c>
      <c r="U2683" s="578">
        <f t="shared" si="725"/>
        <v>0</v>
      </c>
      <c r="V2683" s="579"/>
      <c r="W2683" s="566"/>
      <c r="X2683" s="586" t="str">
        <f t="shared" si="720"/>
        <v/>
      </c>
      <c r="Y2683" s="586" t="str">
        <f t="shared" si="715"/>
        <v/>
      </c>
      <c r="Z2683" s="586" t="str">
        <f t="shared" si="719"/>
        <v/>
      </c>
    </row>
    <row r="2684" spans="1:26" ht="12" hidden="1" thickBot="1" x14ac:dyDescent="0.25">
      <c r="A2684" s="652" t="s">
        <v>187</v>
      </c>
      <c r="B2684" s="589" t="s">
        <v>187</v>
      </c>
      <c r="C2684" s="573" t="s">
        <v>187</v>
      </c>
      <c r="D2684" s="580"/>
      <c r="E2684" s="575"/>
      <c r="F2684" s="436"/>
      <c r="G2684" s="431"/>
      <c r="H2684" s="430"/>
      <c r="I2684" s="432"/>
      <c r="J2684" s="433"/>
      <c r="K2684" s="437">
        <f t="shared" si="727"/>
        <v>0</v>
      </c>
      <c r="L2684" s="435" t="s">
        <v>614</v>
      </c>
      <c r="M2684" s="576"/>
      <c r="N2684" s="576">
        <f t="shared" si="716"/>
        <v>0</v>
      </c>
      <c r="O2684" s="577">
        <f t="shared" si="726"/>
        <v>0</v>
      </c>
      <c r="P2684" s="578">
        <f t="shared" si="722"/>
        <v>0</v>
      </c>
      <c r="Q2684" s="765"/>
      <c r="R2684" s="576">
        <f t="shared" si="723"/>
        <v>0</v>
      </c>
      <c r="S2684" s="576">
        <f t="shared" si="723"/>
        <v>0</v>
      </c>
      <c r="T2684" s="577">
        <f t="shared" si="724"/>
        <v>0</v>
      </c>
      <c r="U2684" s="578">
        <f t="shared" si="725"/>
        <v>0</v>
      </c>
      <c r="V2684" s="579"/>
      <c r="W2684" s="566"/>
      <c r="X2684" s="586" t="str">
        <f t="shared" si="720"/>
        <v/>
      </c>
      <c r="Y2684" s="586" t="str">
        <f t="shared" si="715"/>
        <v/>
      </c>
      <c r="Z2684" s="586" t="str">
        <f t="shared" si="719"/>
        <v/>
      </c>
    </row>
    <row r="2685" spans="1:26" ht="12" hidden="1" thickBot="1" x14ac:dyDescent="0.25">
      <c r="A2685" s="652" t="s">
        <v>187</v>
      </c>
      <c r="B2685" s="589" t="s">
        <v>187</v>
      </c>
      <c r="C2685" s="573" t="s">
        <v>187</v>
      </c>
      <c r="D2685" s="580"/>
      <c r="E2685" s="575"/>
      <c r="F2685" s="436"/>
      <c r="G2685" s="431"/>
      <c r="H2685" s="430"/>
      <c r="I2685" s="432"/>
      <c r="J2685" s="433"/>
      <c r="K2685" s="437">
        <f t="shared" si="727"/>
        <v>0</v>
      </c>
      <c r="L2685" s="435" t="s">
        <v>614</v>
      </c>
      <c r="M2685" s="576"/>
      <c r="N2685" s="576">
        <f t="shared" si="716"/>
        <v>0</v>
      </c>
      <c r="O2685" s="577">
        <f t="shared" si="726"/>
        <v>0</v>
      </c>
      <c r="P2685" s="578">
        <f t="shared" si="722"/>
        <v>0</v>
      </c>
      <c r="Q2685" s="765"/>
      <c r="R2685" s="576">
        <f t="shared" si="723"/>
        <v>0</v>
      </c>
      <c r="S2685" s="576">
        <f t="shared" si="723"/>
        <v>0</v>
      </c>
      <c r="T2685" s="577">
        <f t="shared" si="724"/>
        <v>0</v>
      </c>
      <c r="U2685" s="578">
        <f t="shared" si="725"/>
        <v>0</v>
      </c>
      <c r="V2685" s="579"/>
      <c r="W2685" s="566"/>
      <c r="X2685" s="586" t="str">
        <f t="shared" si="720"/>
        <v/>
      </c>
      <c r="Y2685" s="586" t="str">
        <f t="shared" si="715"/>
        <v/>
      </c>
      <c r="Z2685" s="586" t="str">
        <f t="shared" si="719"/>
        <v/>
      </c>
    </row>
    <row r="2686" spans="1:26" ht="12" hidden="1" thickBot="1" x14ac:dyDescent="0.25">
      <c r="A2686" s="652" t="s">
        <v>187</v>
      </c>
      <c r="B2686" s="589" t="s">
        <v>187</v>
      </c>
      <c r="C2686" s="573" t="s">
        <v>187</v>
      </c>
      <c r="D2686" s="580"/>
      <c r="E2686" s="575"/>
      <c r="F2686" s="436"/>
      <c r="G2686" s="431"/>
      <c r="H2686" s="430"/>
      <c r="I2686" s="432"/>
      <c r="J2686" s="433"/>
      <c r="K2686" s="437">
        <f t="shared" si="727"/>
        <v>0</v>
      </c>
      <c r="L2686" s="435" t="s">
        <v>614</v>
      </c>
      <c r="M2686" s="576"/>
      <c r="N2686" s="576">
        <f t="shared" si="716"/>
        <v>0</v>
      </c>
      <c r="O2686" s="577">
        <f t="shared" si="726"/>
        <v>0</v>
      </c>
      <c r="P2686" s="578">
        <f t="shared" si="722"/>
        <v>0</v>
      </c>
      <c r="Q2686" s="765"/>
      <c r="R2686" s="576">
        <f t="shared" si="723"/>
        <v>0</v>
      </c>
      <c r="S2686" s="576">
        <f t="shared" si="723"/>
        <v>0</v>
      </c>
      <c r="T2686" s="577">
        <f t="shared" si="724"/>
        <v>0</v>
      </c>
      <c r="U2686" s="578">
        <f t="shared" si="725"/>
        <v>0</v>
      </c>
      <c r="V2686" s="579"/>
      <c r="W2686" s="566"/>
      <c r="X2686" s="586" t="str">
        <f t="shared" si="720"/>
        <v/>
      </c>
      <c r="Y2686" s="586" t="str">
        <f t="shared" si="715"/>
        <v/>
      </c>
      <c r="Z2686" s="586" t="str">
        <f t="shared" si="719"/>
        <v/>
      </c>
    </row>
    <row r="2687" spans="1:26" ht="12" hidden="1" thickBot="1" x14ac:dyDescent="0.25">
      <c r="A2687" s="652" t="s">
        <v>187</v>
      </c>
      <c r="B2687" s="589" t="s">
        <v>187</v>
      </c>
      <c r="C2687" s="573" t="s">
        <v>187</v>
      </c>
      <c r="D2687" s="580"/>
      <c r="E2687" s="575"/>
      <c r="F2687" s="436"/>
      <c r="G2687" s="431"/>
      <c r="H2687" s="430"/>
      <c r="I2687" s="432"/>
      <c r="J2687" s="433"/>
      <c r="K2687" s="437">
        <f t="shared" si="727"/>
        <v>0</v>
      </c>
      <c r="L2687" s="435" t="s">
        <v>614</v>
      </c>
      <c r="M2687" s="576"/>
      <c r="N2687" s="576">
        <f t="shared" si="716"/>
        <v>0</v>
      </c>
      <c r="O2687" s="577">
        <f t="shared" si="726"/>
        <v>0</v>
      </c>
      <c r="P2687" s="578">
        <f t="shared" si="722"/>
        <v>0</v>
      </c>
      <c r="Q2687" s="765"/>
      <c r="R2687" s="576">
        <f t="shared" si="723"/>
        <v>0</v>
      </c>
      <c r="S2687" s="576">
        <f t="shared" si="723"/>
        <v>0</v>
      </c>
      <c r="T2687" s="577">
        <f t="shared" si="724"/>
        <v>0</v>
      </c>
      <c r="U2687" s="578">
        <f t="shared" si="725"/>
        <v>0</v>
      </c>
      <c r="V2687" s="579"/>
      <c r="W2687" s="566"/>
      <c r="X2687" s="586" t="str">
        <f t="shared" si="720"/>
        <v/>
      </c>
      <c r="Y2687" s="586" t="str">
        <f t="shared" si="715"/>
        <v/>
      </c>
      <c r="Z2687" s="586" t="str">
        <f t="shared" si="719"/>
        <v/>
      </c>
    </row>
    <row r="2688" spans="1:26" ht="12" hidden="1" thickBot="1" x14ac:dyDescent="0.25">
      <c r="A2688" s="726" t="s">
        <v>174</v>
      </c>
      <c r="B2688" s="589" t="s">
        <v>187</v>
      </c>
      <c r="C2688" s="573" t="s">
        <v>187</v>
      </c>
      <c r="D2688" s="580"/>
      <c r="E2688" s="575"/>
      <c r="F2688" s="436"/>
      <c r="G2688" s="431"/>
      <c r="H2688" s="430"/>
      <c r="I2688" s="432"/>
      <c r="J2688" s="433"/>
      <c r="K2688" s="437">
        <f t="shared" si="727"/>
        <v>0</v>
      </c>
      <c r="L2688" s="435" t="s">
        <v>614</v>
      </c>
      <c r="M2688" s="576"/>
      <c r="N2688" s="576">
        <f t="shared" si="716"/>
        <v>0</v>
      </c>
      <c r="O2688" s="577">
        <f t="shared" si="726"/>
        <v>0</v>
      </c>
      <c r="P2688" s="578">
        <f t="shared" si="722"/>
        <v>0</v>
      </c>
      <c r="Q2688" s="765"/>
      <c r="R2688" s="576">
        <f t="shared" si="723"/>
        <v>0</v>
      </c>
      <c r="S2688" s="576">
        <f t="shared" si="723"/>
        <v>0</v>
      </c>
      <c r="T2688" s="577">
        <f t="shared" si="724"/>
        <v>0</v>
      </c>
      <c r="U2688" s="578">
        <f t="shared" si="725"/>
        <v>0</v>
      </c>
      <c r="V2688" s="579"/>
      <c r="W2688" s="566"/>
      <c r="X2688" s="586" t="str">
        <f t="shared" si="720"/>
        <v/>
      </c>
      <c r="Y2688" s="586" t="str">
        <f t="shared" si="715"/>
        <v/>
      </c>
      <c r="Z2688" s="586" t="str">
        <f t="shared" si="719"/>
        <v/>
      </c>
    </row>
    <row r="2689" spans="1:26" ht="12" hidden="1" thickBot="1" x14ac:dyDescent="0.25">
      <c r="A2689" s="726" t="s">
        <v>174</v>
      </c>
      <c r="B2689" s="589" t="s">
        <v>187</v>
      </c>
      <c r="C2689" s="573" t="s">
        <v>187</v>
      </c>
      <c r="D2689" s="580"/>
      <c r="E2689" s="575"/>
      <c r="F2689" s="436"/>
      <c r="G2689" s="431"/>
      <c r="H2689" s="430"/>
      <c r="I2689" s="432"/>
      <c r="J2689" s="433"/>
      <c r="K2689" s="437">
        <f t="shared" si="727"/>
        <v>0</v>
      </c>
      <c r="L2689" s="435" t="s">
        <v>614</v>
      </c>
      <c r="M2689" s="576"/>
      <c r="N2689" s="576">
        <f t="shared" si="716"/>
        <v>0</v>
      </c>
      <c r="O2689" s="577">
        <f t="shared" si="726"/>
        <v>0</v>
      </c>
      <c r="P2689" s="578">
        <f t="shared" si="722"/>
        <v>0</v>
      </c>
      <c r="Q2689" s="765"/>
      <c r="R2689" s="576">
        <f t="shared" si="723"/>
        <v>0</v>
      </c>
      <c r="S2689" s="576">
        <f t="shared" si="723"/>
        <v>0</v>
      </c>
      <c r="T2689" s="577">
        <f t="shared" si="724"/>
        <v>0</v>
      </c>
      <c r="U2689" s="578">
        <f t="shared" si="725"/>
        <v>0</v>
      </c>
      <c r="V2689" s="579"/>
      <c r="W2689" s="566"/>
      <c r="X2689" s="586" t="str">
        <f t="shared" si="720"/>
        <v/>
      </c>
      <c r="Y2689" s="586" t="str">
        <f t="shared" si="715"/>
        <v/>
      </c>
      <c r="Z2689" s="586" t="str">
        <f t="shared" si="719"/>
        <v/>
      </c>
    </row>
    <row r="2690" spans="1:26" ht="12" hidden="1" thickBot="1" x14ac:dyDescent="0.25">
      <c r="A2690" s="726" t="s">
        <v>174</v>
      </c>
      <c r="B2690" s="589" t="s">
        <v>187</v>
      </c>
      <c r="C2690" s="573" t="s">
        <v>187</v>
      </c>
      <c r="D2690" s="580"/>
      <c r="E2690" s="575"/>
      <c r="F2690" s="436"/>
      <c r="G2690" s="431"/>
      <c r="H2690" s="430"/>
      <c r="I2690" s="432"/>
      <c r="J2690" s="433"/>
      <c r="K2690" s="437">
        <f t="shared" si="727"/>
        <v>0</v>
      </c>
      <c r="L2690" s="435" t="s">
        <v>614</v>
      </c>
      <c r="M2690" s="576"/>
      <c r="N2690" s="576">
        <f t="shared" si="716"/>
        <v>0</v>
      </c>
      <c r="O2690" s="577">
        <f t="shared" si="726"/>
        <v>0</v>
      </c>
      <c r="P2690" s="578">
        <f t="shared" si="722"/>
        <v>0</v>
      </c>
      <c r="Q2690" s="765"/>
      <c r="R2690" s="576">
        <f t="shared" si="723"/>
        <v>0</v>
      </c>
      <c r="S2690" s="576">
        <f t="shared" si="723"/>
        <v>0</v>
      </c>
      <c r="T2690" s="577">
        <f t="shared" si="724"/>
        <v>0</v>
      </c>
      <c r="U2690" s="578">
        <f t="shared" si="725"/>
        <v>0</v>
      </c>
      <c r="V2690" s="579"/>
      <c r="W2690" s="566"/>
      <c r="X2690" s="586" t="str">
        <f t="shared" si="720"/>
        <v/>
      </c>
      <c r="Y2690" s="586" t="str">
        <f t="shared" si="715"/>
        <v/>
      </c>
      <c r="Z2690" s="586" t="str">
        <f t="shared" si="719"/>
        <v/>
      </c>
    </row>
    <row r="2691" spans="1:26" ht="12" hidden="1" thickBot="1" x14ac:dyDescent="0.25">
      <c r="A2691" s="726" t="s">
        <v>174</v>
      </c>
      <c r="B2691" s="589" t="s">
        <v>187</v>
      </c>
      <c r="C2691" s="573" t="s">
        <v>187</v>
      </c>
      <c r="D2691" s="580"/>
      <c r="E2691" s="575"/>
      <c r="F2691" s="436"/>
      <c r="G2691" s="431"/>
      <c r="H2691" s="430"/>
      <c r="I2691" s="432"/>
      <c r="J2691" s="433"/>
      <c r="K2691" s="437">
        <f t="shared" si="727"/>
        <v>0</v>
      </c>
      <c r="L2691" s="435" t="s">
        <v>614</v>
      </c>
      <c r="M2691" s="576"/>
      <c r="N2691" s="576">
        <f t="shared" si="716"/>
        <v>0</v>
      </c>
      <c r="O2691" s="577">
        <f t="shared" si="726"/>
        <v>0</v>
      </c>
      <c r="P2691" s="578">
        <f t="shared" si="722"/>
        <v>0</v>
      </c>
      <c r="Q2691" s="765"/>
      <c r="R2691" s="576">
        <f t="shared" si="723"/>
        <v>0</v>
      </c>
      <c r="S2691" s="576">
        <f t="shared" si="723"/>
        <v>0</v>
      </c>
      <c r="T2691" s="577">
        <f t="shared" si="724"/>
        <v>0</v>
      </c>
      <c r="U2691" s="578">
        <f t="shared" si="725"/>
        <v>0</v>
      </c>
      <c r="V2691" s="579"/>
      <c r="W2691" s="566"/>
      <c r="X2691" s="586" t="str">
        <f t="shared" si="720"/>
        <v/>
      </c>
      <c r="Y2691" s="586" t="str">
        <f t="shared" si="715"/>
        <v/>
      </c>
      <c r="Z2691" s="586" t="str">
        <f t="shared" si="719"/>
        <v/>
      </c>
    </row>
    <row r="2692" spans="1:26" ht="12" hidden="1" thickBot="1" x14ac:dyDescent="0.25">
      <c r="A2692" s="726" t="s">
        <v>174</v>
      </c>
      <c r="B2692" s="589" t="s">
        <v>187</v>
      </c>
      <c r="C2692" s="573" t="s">
        <v>187</v>
      </c>
      <c r="D2692" s="580"/>
      <c r="E2692" s="575"/>
      <c r="F2692" s="436"/>
      <c r="G2692" s="431"/>
      <c r="H2692" s="430"/>
      <c r="I2692" s="432"/>
      <c r="J2692" s="433"/>
      <c r="K2692" s="437">
        <f t="shared" si="727"/>
        <v>0</v>
      </c>
      <c r="L2692" s="435" t="s">
        <v>614</v>
      </c>
      <c r="M2692" s="576"/>
      <c r="N2692" s="576">
        <f t="shared" si="716"/>
        <v>0</v>
      </c>
      <c r="O2692" s="577">
        <f t="shared" si="726"/>
        <v>0</v>
      </c>
      <c r="P2692" s="578">
        <f t="shared" si="722"/>
        <v>0</v>
      </c>
      <c r="Q2692" s="765"/>
      <c r="R2692" s="576">
        <f t="shared" si="723"/>
        <v>0</v>
      </c>
      <c r="S2692" s="576">
        <f t="shared" si="723"/>
        <v>0</v>
      </c>
      <c r="T2692" s="577">
        <f t="shared" si="724"/>
        <v>0</v>
      </c>
      <c r="U2692" s="578">
        <f t="shared" si="725"/>
        <v>0</v>
      </c>
      <c r="V2692" s="579"/>
      <c r="W2692" s="566"/>
      <c r="X2692" s="586" t="str">
        <f t="shared" si="720"/>
        <v/>
      </c>
      <c r="Y2692" s="586" t="str">
        <f t="shared" si="715"/>
        <v/>
      </c>
      <c r="Z2692" s="586" t="str">
        <f t="shared" si="719"/>
        <v/>
      </c>
    </row>
    <row r="2693" spans="1:26" ht="12" hidden="1" thickBot="1" x14ac:dyDescent="0.25">
      <c r="A2693" s="726" t="s">
        <v>174</v>
      </c>
      <c r="B2693" s="589" t="s">
        <v>187</v>
      </c>
      <c r="C2693" s="573" t="s">
        <v>187</v>
      </c>
      <c r="D2693" s="580"/>
      <c r="E2693" s="575"/>
      <c r="F2693" s="436"/>
      <c r="G2693" s="431"/>
      <c r="H2693" s="430"/>
      <c r="I2693" s="432"/>
      <c r="J2693" s="433"/>
      <c r="K2693" s="437">
        <f t="shared" si="727"/>
        <v>0</v>
      </c>
      <c r="L2693" s="435" t="s">
        <v>614</v>
      </c>
      <c r="M2693" s="576"/>
      <c r="N2693" s="576">
        <f t="shared" si="716"/>
        <v>0</v>
      </c>
      <c r="O2693" s="577">
        <f t="shared" si="726"/>
        <v>0</v>
      </c>
      <c r="P2693" s="578">
        <f t="shared" si="722"/>
        <v>0</v>
      </c>
      <c r="Q2693" s="765"/>
      <c r="R2693" s="576">
        <f t="shared" si="723"/>
        <v>0</v>
      </c>
      <c r="S2693" s="576">
        <f t="shared" si="723"/>
        <v>0</v>
      </c>
      <c r="T2693" s="577">
        <f t="shared" si="724"/>
        <v>0</v>
      </c>
      <c r="U2693" s="578">
        <f t="shared" si="725"/>
        <v>0</v>
      </c>
      <c r="V2693" s="579"/>
      <c r="W2693" s="566"/>
      <c r="X2693" s="586" t="str">
        <f t="shared" si="720"/>
        <v/>
      </c>
      <c r="Y2693" s="586" t="str">
        <f t="shared" si="715"/>
        <v/>
      </c>
      <c r="Z2693" s="586" t="str">
        <f t="shared" si="719"/>
        <v/>
      </c>
    </row>
    <row r="2694" spans="1:26" ht="12" hidden="1" thickBot="1" x14ac:dyDescent="0.25">
      <c r="A2694" s="726" t="s">
        <v>174</v>
      </c>
      <c r="B2694" s="589" t="s">
        <v>187</v>
      </c>
      <c r="C2694" s="573" t="s">
        <v>187</v>
      </c>
      <c r="D2694" s="580"/>
      <c r="E2694" s="575"/>
      <c r="F2694" s="436"/>
      <c r="G2694" s="431"/>
      <c r="H2694" s="430"/>
      <c r="I2694" s="432"/>
      <c r="J2694" s="433"/>
      <c r="K2694" s="437">
        <f t="shared" si="727"/>
        <v>0</v>
      </c>
      <c r="L2694" s="435" t="s">
        <v>614</v>
      </c>
      <c r="M2694" s="576"/>
      <c r="N2694" s="576">
        <f t="shared" si="716"/>
        <v>0</v>
      </c>
      <c r="O2694" s="577">
        <f t="shared" si="726"/>
        <v>0</v>
      </c>
      <c r="P2694" s="578">
        <f t="shared" si="722"/>
        <v>0</v>
      </c>
      <c r="Q2694" s="765"/>
      <c r="R2694" s="576">
        <f t="shared" si="723"/>
        <v>0</v>
      </c>
      <c r="S2694" s="576">
        <f t="shared" si="723"/>
        <v>0</v>
      </c>
      <c r="T2694" s="577">
        <f t="shared" si="724"/>
        <v>0</v>
      </c>
      <c r="U2694" s="578">
        <f t="shared" si="725"/>
        <v>0</v>
      </c>
      <c r="V2694" s="579"/>
      <c r="W2694" s="566"/>
      <c r="X2694" s="586" t="str">
        <f t="shared" si="720"/>
        <v/>
      </c>
      <c r="Y2694" s="586" t="str">
        <f t="shared" si="715"/>
        <v/>
      </c>
      <c r="Z2694" s="586" t="str">
        <f t="shared" si="719"/>
        <v/>
      </c>
    </row>
    <row r="2695" spans="1:26" ht="12" hidden="1" thickBot="1" x14ac:dyDescent="0.25">
      <c r="A2695" s="726" t="s">
        <v>174</v>
      </c>
      <c r="B2695" s="589" t="s">
        <v>187</v>
      </c>
      <c r="C2695" s="573" t="s">
        <v>187</v>
      </c>
      <c r="D2695" s="580"/>
      <c r="E2695" s="575"/>
      <c r="F2695" s="436"/>
      <c r="G2695" s="431"/>
      <c r="H2695" s="430"/>
      <c r="I2695" s="432"/>
      <c r="J2695" s="433"/>
      <c r="K2695" s="437">
        <f t="shared" si="727"/>
        <v>0</v>
      </c>
      <c r="L2695" s="435" t="s">
        <v>614</v>
      </c>
      <c r="M2695" s="576"/>
      <c r="N2695" s="576">
        <f t="shared" si="716"/>
        <v>0</v>
      </c>
      <c r="O2695" s="577">
        <f t="shared" si="726"/>
        <v>0</v>
      </c>
      <c r="P2695" s="578">
        <f t="shared" si="722"/>
        <v>0</v>
      </c>
      <c r="Q2695" s="765"/>
      <c r="R2695" s="576">
        <f t="shared" si="723"/>
        <v>0</v>
      </c>
      <c r="S2695" s="576">
        <f t="shared" si="723"/>
        <v>0</v>
      </c>
      <c r="T2695" s="577">
        <f t="shared" si="724"/>
        <v>0</v>
      </c>
      <c r="U2695" s="578">
        <f t="shared" si="725"/>
        <v>0</v>
      </c>
      <c r="V2695" s="579"/>
      <c r="W2695" s="566"/>
      <c r="X2695" s="586" t="str">
        <f t="shared" si="720"/>
        <v/>
      </c>
      <c r="Y2695" s="586" t="str">
        <f t="shared" si="715"/>
        <v/>
      </c>
      <c r="Z2695" s="586" t="str">
        <f t="shared" si="719"/>
        <v/>
      </c>
    </row>
    <row r="2696" spans="1:26" ht="12" hidden="1" thickBot="1" x14ac:dyDescent="0.25">
      <c r="A2696" s="726" t="s">
        <v>174</v>
      </c>
      <c r="B2696" s="589" t="s">
        <v>187</v>
      </c>
      <c r="C2696" s="573" t="s">
        <v>187</v>
      </c>
      <c r="D2696" s="580"/>
      <c r="E2696" s="575"/>
      <c r="F2696" s="436"/>
      <c r="G2696" s="431"/>
      <c r="H2696" s="430"/>
      <c r="I2696" s="432"/>
      <c r="J2696" s="433"/>
      <c r="K2696" s="437">
        <f t="shared" si="727"/>
        <v>0</v>
      </c>
      <c r="L2696" s="435" t="s">
        <v>614</v>
      </c>
      <c r="M2696" s="576"/>
      <c r="N2696" s="576">
        <f t="shared" si="716"/>
        <v>0</v>
      </c>
      <c r="O2696" s="577">
        <f t="shared" si="726"/>
        <v>0</v>
      </c>
      <c r="P2696" s="578">
        <f t="shared" si="722"/>
        <v>0</v>
      </c>
      <c r="Q2696" s="765"/>
      <c r="R2696" s="576">
        <f t="shared" si="723"/>
        <v>0</v>
      </c>
      <c r="S2696" s="576">
        <f t="shared" si="723"/>
        <v>0</v>
      </c>
      <c r="T2696" s="577">
        <f t="shared" si="724"/>
        <v>0</v>
      </c>
      <c r="U2696" s="578">
        <f t="shared" si="725"/>
        <v>0</v>
      </c>
      <c r="V2696" s="579"/>
      <c r="W2696" s="566"/>
      <c r="X2696" s="586" t="str">
        <f t="shared" si="720"/>
        <v/>
      </c>
      <c r="Y2696" s="586" t="str">
        <f t="shared" si="715"/>
        <v/>
      </c>
      <c r="Z2696" s="586" t="str">
        <f t="shared" si="719"/>
        <v/>
      </c>
    </row>
    <row r="2697" spans="1:26" ht="12" hidden="1" thickBot="1" x14ac:dyDescent="0.25">
      <c r="A2697" s="726" t="s">
        <v>174</v>
      </c>
      <c r="B2697" s="589" t="s">
        <v>187</v>
      </c>
      <c r="C2697" s="573" t="s">
        <v>187</v>
      </c>
      <c r="D2697" s="580"/>
      <c r="E2697" s="575"/>
      <c r="F2697" s="436"/>
      <c r="G2697" s="431"/>
      <c r="H2697" s="430"/>
      <c r="I2697" s="432"/>
      <c r="J2697" s="433"/>
      <c r="K2697" s="437">
        <f t="shared" si="727"/>
        <v>0</v>
      </c>
      <c r="L2697" s="435" t="s">
        <v>614</v>
      </c>
      <c r="M2697" s="576"/>
      <c r="N2697" s="576">
        <f t="shared" si="716"/>
        <v>0</v>
      </c>
      <c r="O2697" s="577">
        <f t="shared" si="726"/>
        <v>0</v>
      </c>
      <c r="P2697" s="578">
        <f t="shared" si="722"/>
        <v>0</v>
      </c>
      <c r="Q2697" s="765"/>
      <c r="R2697" s="576">
        <f t="shared" si="723"/>
        <v>0</v>
      </c>
      <c r="S2697" s="576">
        <f t="shared" si="723"/>
        <v>0</v>
      </c>
      <c r="T2697" s="577">
        <f t="shared" si="724"/>
        <v>0</v>
      </c>
      <c r="U2697" s="578">
        <f t="shared" si="725"/>
        <v>0</v>
      </c>
      <c r="V2697" s="579"/>
      <c r="W2697" s="566"/>
      <c r="X2697" s="586" t="str">
        <f t="shared" si="720"/>
        <v/>
      </c>
      <c r="Y2697" s="586" t="str">
        <f t="shared" ref="Y2697:Y2707" si="728">IF(W2697="X","x",IF(W2697="y","x",IF(W2697="xx","x",IF(U2697&gt;0,"x",""))))</f>
        <v/>
      </c>
      <c r="Z2697" s="586" t="str">
        <f t="shared" si="719"/>
        <v/>
      </c>
    </row>
    <row r="2698" spans="1:26" ht="12" hidden="1" thickBot="1" x14ac:dyDescent="0.25">
      <c r="A2698" s="726" t="s">
        <v>174</v>
      </c>
      <c r="B2698" s="589" t="s">
        <v>187</v>
      </c>
      <c r="C2698" s="573" t="s">
        <v>187</v>
      </c>
      <c r="D2698" s="580"/>
      <c r="E2698" s="575"/>
      <c r="F2698" s="436"/>
      <c r="G2698" s="431"/>
      <c r="H2698" s="430"/>
      <c r="I2698" s="432"/>
      <c r="J2698" s="433"/>
      <c r="K2698" s="437">
        <f t="shared" si="727"/>
        <v>0</v>
      </c>
      <c r="L2698" s="435" t="s">
        <v>614</v>
      </c>
      <c r="M2698" s="576"/>
      <c r="N2698" s="576">
        <f t="shared" si="716"/>
        <v>0</v>
      </c>
      <c r="O2698" s="577">
        <f t="shared" si="726"/>
        <v>0</v>
      </c>
      <c r="P2698" s="578">
        <f t="shared" si="722"/>
        <v>0</v>
      </c>
      <c r="Q2698" s="765"/>
      <c r="R2698" s="576">
        <f t="shared" si="723"/>
        <v>0</v>
      </c>
      <c r="S2698" s="576">
        <f t="shared" si="723"/>
        <v>0</v>
      </c>
      <c r="T2698" s="577">
        <f t="shared" si="724"/>
        <v>0</v>
      </c>
      <c r="U2698" s="578">
        <f t="shared" si="725"/>
        <v>0</v>
      </c>
      <c r="V2698" s="579"/>
      <c r="W2698" s="566"/>
      <c r="X2698" s="586" t="str">
        <f t="shared" si="720"/>
        <v/>
      </c>
      <c r="Y2698" s="586" t="str">
        <f t="shared" si="728"/>
        <v/>
      </c>
      <c r="Z2698" s="586" t="str">
        <f t="shared" si="719"/>
        <v/>
      </c>
    </row>
    <row r="2699" spans="1:26" ht="12" hidden="1" thickBot="1" x14ac:dyDescent="0.25">
      <c r="A2699" s="652" t="s">
        <v>187</v>
      </c>
      <c r="B2699" s="589" t="s">
        <v>187</v>
      </c>
      <c r="C2699" s="573" t="s">
        <v>187</v>
      </c>
      <c r="D2699" s="580"/>
      <c r="E2699" s="575"/>
      <c r="F2699" s="436"/>
      <c r="G2699" s="431"/>
      <c r="H2699" s="430"/>
      <c r="I2699" s="432"/>
      <c r="J2699" s="433"/>
      <c r="K2699" s="437">
        <f t="shared" si="727"/>
        <v>0</v>
      </c>
      <c r="L2699" s="435" t="s">
        <v>614</v>
      </c>
      <c r="M2699" s="576"/>
      <c r="N2699" s="576">
        <f t="shared" si="716"/>
        <v>0</v>
      </c>
      <c r="O2699" s="577">
        <f t="shared" si="726"/>
        <v>0</v>
      </c>
      <c r="P2699" s="578">
        <f t="shared" si="722"/>
        <v>0</v>
      </c>
      <c r="Q2699" s="765"/>
      <c r="R2699" s="576">
        <f t="shared" si="723"/>
        <v>0</v>
      </c>
      <c r="S2699" s="576">
        <f t="shared" si="723"/>
        <v>0</v>
      </c>
      <c r="T2699" s="577">
        <f t="shared" si="724"/>
        <v>0</v>
      </c>
      <c r="U2699" s="578">
        <f t="shared" si="725"/>
        <v>0</v>
      </c>
      <c r="V2699" s="579"/>
      <c r="W2699" s="566"/>
      <c r="X2699" s="586" t="str">
        <f t="shared" si="720"/>
        <v/>
      </c>
      <c r="Y2699" s="586" t="str">
        <f t="shared" si="728"/>
        <v/>
      </c>
      <c r="Z2699" s="586" t="str">
        <f t="shared" si="719"/>
        <v/>
      </c>
    </row>
    <row r="2700" spans="1:26" ht="12" hidden="1" thickBot="1" x14ac:dyDescent="0.25">
      <c r="A2700" s="652" t="s">
        <v>187</v>
      </c>
      <c r="B2700" s="589" t="s">
        <v>187</v>
      </c>
      <c r="C2700" s="573" t="s">
        <v>187</v>
      </c>
      <c r="D2700" s="580"/>
      <c r="E2700" s="575"/>
      <c r="F2700" s="436"/>
      <c r="G2700" s="431"/>
      <c r="H2700" s="430"/>
      <c r="I2700" s="432"/>
      <c r="J2700" s="433"/>
      <c r="K2700" s="437">
        <f t="shared" si="727"/>
        <v>0</v>
      </c>
      <c r="L2700" s="435" t="s">
        <v>614</v>
      </c>
      <c r="M2700" s="576"/>
      <c r="N2700" s="576">
        <f t="shared" si="716"/>
        <v>0</v>
      </c>
      <c r="O2700" s="577">
        <f t="shared" si="726"/>
        <v>0</v>
      </c>
      <c r="P2700" s="578">
        <f t="shared" si="722"/>
        <v>0</v>
      </c>
      <c r="Q2700" s="765"/>
      <c r="R2700" s="576">
        <f>M2700</f>
        <v>0</v>
      </c>
      <c r="S2700" s="576">
        <f>N2700</f>
        <v>0</v>
      </c>
      <c r="T2700" s="577">
        <f t="shared" si="724"/>
        <v>0</v>
      </c>
      <c r="U2700" s="578">
        <f t="shared" si="725"/>
        <v>0</v>
      </c>
      <c r="V2700" s="579"/>
      <c r="W2700" s="566"/>
      <c r="X2700" s="586" t="str">
        <f t="shared" si="720"/>
        <v/>
      </c>
      <c r="Y2700" s="586" t="str">
        <f t="shared" si="728"/>
        <v/>
      </c>
      <c r="Z2700" s="586" t="str">
        <f t="shared" si="719"/>
        <v/>
      </c>
    </row>
    <row r="2701" spans="1:26" ht="12" hidden="1" thickBot="1" x14ac:dyDescent="0.25">
      <c r="A2701" s="652" t="s">
        <v>187</v>
      </c>
      <c r="B2701" s="589" t="s">
        <v>187</v>
      </c>
      <c r="C2701" s="573" t="s">
        <v>187</v>
      </c>
      <c r="D2701" s="580"/>
      <c r="E2701" s="575"/>
      <c r="F2701" s="436"/>
      <c r="G2701" s="431"/>
      <c r="H2701" s="430"/>
      <c r="I2701" s="432"/>
      <c r="J2701" s="433"/>
      <c r="K2701" s="437">
        <f t="shared" si="727"/>
        <v>0</v>
      </c>
      <c r="L2701" s="435" t="s">
        <v>614</v>
      </c>
      <c r="M2701" s="576"/>
      <c r="N2701" s="576">
        <f t="shared" si="716"/>
        <v>0</v>
      </c>
      <c r="O2701" s="577">
        <f t="shared" si="726"/>
        <v>0</v>
      </c>
      <c r="P2701" s="578">
        <f t="shared" si="722"/>
        <v>0</v>
      </c>
      <c r="Q2701" s="765"/>
      <c r="R2701" s="576">
        <f>M2701</f>
        <v>0</v>
      </c>
      <c r="S2701" s="576">
        <f>N2701</f>
        <v>0</v>
      </c>
      <c r="T2701" s="577">
        <f t="shared" si="724"/>
        <v>0</v>
      </c>
      <c r="U2701" s="578">
        <f t="shared" si="725"/>
        <v>0</v>
      </c>
      <c r="V2701" s="579"/>
      <c r="W2701" s="566"/>
      <c r="X2701" s="586" t="str">
        <f t="shared" si="720"/>
        <v/>
      </c>
      <c r="Y2701" s="586" t="str">
        <f t="shared" si="728"/>
        <v/>
      </c>
      <c r="Z2701" s="586" t="str">
        <f t="shared" si="719"/>
        <v/>
      </c>
    </row>
    <row r="2702" spans="1:26" ht="12" hidden="1" thickBot="1" x14ac:dyDescent="0.25">
      <c r="A2702" s="652" t="s">
        <v>187</v>
      </c>
      <c r="B2702" s="589" t="s">
        <v>187</v>
      </c>
      <c r="C2702" s="573" t="s">
        <v>187</v>
      </c>
      <c r="D2702" s="580"/>
      <c r="E2702" s="575"/>
      <c r="F2702" s="436"/>
      <c r="G2702" s="431"/>
      <c r="H2702" s="430"/>
      <c r="I2702" s="432"/>
      <c r="J2702" s="433"/>
      <c r="K2702" s="437">
        <f t="shared" si="727"/>
        <v>0</v>
      </c>
      <c r="L2702" s="435" t="s">
        <v>614</v>
      </c>
      <c r="M2702" s="576"/>
      <c r="N2702" s="576">
        <f t="shared" si="716"/>
        <v>0</v>
      </c>
      <c r="O2702" s="577">
        <f t="shared" si="726"/>
        <v>0</v>
      </c>
      <c r="P2702" s="578">
        <f t="shared" si="722"/>
        <v>0</v>
      </c>
      <c r="Q2702" s="765"/>
      <c r="R2702" s="576">
        <f t="shared" si="723"/>
        <v>0</v>
      </c>
      <c r="S2702" s="576">
        <f t="shared" si="723"/>
        <v>0</v>
      </c>
      <c r="T2702" s="577">
        <f t="shared" si="724"/>
        <v>0</v>
      </c>
      <c r="U2702" s="578">
        <f t="shared" si="725"/>
        <v>0</v>
      </c>
      <c r="V2702" s="579"/>
      <c r="W2702" s="566"/>
      <c r="X2702" s="586" t="str">
        <f t="shared" si="720"/>
        <v/>
      </c>
      <c r="Y2702" s="586" t="str">
        <f t="shared" si="728"/>
        <v/>
      </c>
      <c r="Z2702" s="586" t="str">
        <f t="shared" si="719"/>
        <v/>
      </c>
    </row>
    <row r="2703" spans="1:26" ht="12" hidden="1" thickBot="1" x14ac:dyDescent="0.25">
      <c r="A2703" s="652" t="s">
        <v>187</v>
      </c>
      <c r="B2703" s="589" t="s">
        <v>187</v>
      </c>
      <c r="C2703" s="573" t="s">
        <v>187</v>
      </c>
      <c r="D2703" s="580"/>
      <c r="E2703" s="575"/>
      <c r="F2703" s="436"/>
      <c r="G2703" s="431"/>
      <c r="H2703" s="430"/>
      <c r="I2703" s="432"/>
      <c r="J2703" s="433"/>
      <c r="K2703" s="437">
        <f t="shared" si="727"/>
        <v>0</v>
      </c>
      <c r="L2703" s="435" t="s">
        <v>614</v>
      </c>
      <c r="M2703" s="576"/>
      <c r="N2703" s="576">
        <f t="shared" si="716"/>
        <v>0</v>
      </c>
      <c r="O2703" s="577">
        <f t="shared" si="726"/>
        <v>0</v>
      </c>
      <c r="P2703" s="578">
        <f t="shared" si="722"/>
        <v>0</v>
      </c>
      <c r="Q2703" s="765"/>
      <c r="R2703" s="576">
        <f t="shared" si="723"/>
        <v>0</v>
      </c>
      <c r="S2703" s="576">
        <f t="shared" si="723"/>
        <v>0</v>
      </c>
      <c r="T2703" s="577">
        <f t="shared" si="724"/>
        <v>0</v>
      </c>
      <c r="U2703" s="578">
        <f t="shared" si="725"/>
        <v>0</v>
      </c>
      <c r="V2703" s="579"/>
      <c r="W2703" s="566"/>
      <c r="X2703" s="586" t="str">
        <f t="shared" si="720"/>
        <v/>
      </c>
      <c r="Y2703" s="586" t="str">
        <f t="shared" si="728"/>
        <v/>
      </c>
      <c r="Z2703" s="586" t="str">
        <f t="shared" si="719"/>
        <v/>
      </c>
    </row>
    <row r="2704" spans="1:26" ht="12" hidden="1" thickBot="1" x14ac:dyDescent="0.25">
      <c r="A2704" s="652" t="s">
        <v>187</v>
      </c>
      <c r="B2704" s="589" t="s">
        <v>187</v>
      </c>
      <c r="C2704" s="573" t="s">
        <v>187</v>
      </c>
      <c r="D2704" s="580"/>
      <c r="E2704" s="575"/>
      <c r="F2704" s="436"/>
      <c r="G2704" s="431"/>
      <c r="H2704" s="430"/>
      <c r="I2704" s="432"/>
      <c r="J2704" s="433"/>
      <c r="K2704" s="437">
        <f t="shared" si="727"/>
        <v>0</v>
      </c>
      <c r="L2704" s="435" t="s">
        <v>614</v>
      </c>
      <c r="M2704" s="576"/>
      <c r="N2704" s="576">
        <f t="shared" si="716"/>
        <v>0</v>
      </c>
      <c r="O2704" s="577">
        <f t="shared" si="726"/>
        <v>0</v>
      </c>
      <c r="P2704" s="578">
        <f t="shared" si="722"/>
        <v>0</v>
      </c>
      <c r="Q2704" s="765"/>
      <c r="R2704" s="576">
        <f t="shared" si="723"/>
        <v>0</v>
      </c>
      <c r="S2704" s="576">
        <f t="shared" si="723"/>
        <v>0</v>
      </c>
      <c r="T2704" s="577">
        <f t="shared" si="724"/>
        <v>0</v>
      </c>
      <c r="U2704" s="578">
        <f t="shared" si="725"/>
        <v>0</v>
      </c>
      <c r="V2704" s="579"/>
      <c r="W2704" s="566"/>
      <c r="X2704" s="586" t="str">
        <f t="shared" si="720"/>
        <v/>
      </c>
      <c r="Y2704" s="586" t="str">
        <f t="shared" si="728"/>
        <v/>
      </c>
      <c r="Z2704" s="586" t="str">
        <f t="shared" si="719"/>
        <v/>
      </c>
    </row>
    <row r="2705" spans="1:26" ht="12" hidden="1" thickBot="1" x14ac:dyDescent="0.25">
      <c r="A2705" s="652" t="s">
        <v>187</v>
      </c>
      <c r="B2705" s="589" t="s">
        <v>187</v>
      </c>
      <c r="C2705" s="573" t="s">
        <v>187</v>
      </c>
      <c r="D2705" s="580"/>
      <c r="E2705" s="575"/>
      <c r="F2705" s="436"/>
      <c r="G2705" s="431"/>
      <c r="H2705" s="430"/>
      <c r="I2705" s="432"/>
      <c r="J2705" s="433"/>
      <c r="K2705" s="437">
        <f t="shared" si="727"/>
        <v>0</v>
      </c>
      <c r="L2705" s="435" t="s">
        <v>614</v>
      </c>
      <c r="M2705" s="576"/>
      <c r="N2705" s="576">
        <f t="shared" si="716"/>
        <v>0</v>
      </c>
      <c r="O2705" s="577">
        <f t="shared" si="726"/>
        <v>0</v>
      </c>
      <c r="P2705" s="578">
        <f t="shared" si="722"/>
        <v>0</v>
      </c>
      <c r="Q2705" s="765"/>
      <c r="R2705" s="576">
        <f t="shared" si="723"/>
        <v>0</v>
      </c>
      <c r="S2705" s="576">
        <f t="shared" si="723"/>
        <v>0</v>
      </c>
      <c r="T2705" s="577">
        <f t="shared" si="724"/>
        <v>0</v>
      </c>
      <c r="U2705" s="578">
        <f t="shared" si="725"/>
        <v>0</v>
      </c>
      <c r="V2705" s="579"/>
      <c r="W2705" s="566"/>
      <c r="X2705" s="586" t="str">
        <f t="shared" si="720"/>
        <v/>
      </c>
      <c r="Y2705" s="586" t="str">
        <f t="shared" si="728"/>
        <v/>
      </c>
      <c r="Z2705" s="586" t="str">
        <f t="shared" si="719"/>
        <v/>
      </c>
    </row>
    <row r="2706" spans="1:26" ht="12" hidden="1" thickBot="1" x14ac:dyDescent="0.25">
      <c r="A2706" s="652" t="s">
        <v>187</v>
      </c>
      <c r="B2706" s="589" t="s">
        <v>187</v>
      </c>
      <c r="C2706" s="573" t="s">
        <v>187</v>
      </c>
      <c r="D2706" s="580"/>
      <c r="E2706" s="575"/>
      <c r="F2706" s="436"/>
      <c r="G2706" s="431"/>
      <c r="H2706" s="430"/>
      <c r="I2706" s="432"/>
      <c r="J2706" s="433"/>
      <c r="K2706" s="437">
        <f t="shared" si="727"/>
        <v>0</v>
      </c>
      <c r="L2706" s="435" t="s">
        <v>614</v>
      </c>
      <c r="M2706" s="576"/>
      <c r="N2706" s="576">
        <f t="shared" si="716"/>
        <v>0</v>
      </c>
      <c r="O2706" s="577">
        <f t="shared" si="726"/>
        <v>0</v>
      </c>
      <c r="P2706" s="578">
        <f t="shared" si="722"/>
        <v>0</v>
      </c>
      <c r="Q2706" s="765"/>
      <c r="R2706" s="576">
        <f t="shared" si="723"/>
        <v>0</v>
      </c>
      <c r="S2706" s="576">
        <f t="shared" si="723"/>
        <v>0</v>
      </c>
      <c r="T2706" s="577">
        <f t="shared" si="724"/>
        <v>0</v>
      </c>
      <c r="U2706" s="578">
        <f t="shared" si="725"/>
        <v>0</v>
      </c>
      <c r="V2706" s="579"/>
      <c r="W2706" s="566"/>
      <c r="X2706" s="586" t="str">
        <f t="shared" si="720"/>
        <v/>
      </c>
      <c r="Y2706" s="586" t="str">
        <f t="shared" si="728"/>
        <v/>
      </c>
      <c r="Z2706" s="586" t="str">
        <f t="shared" si="719"/>
        <v/>
      </c>
    </row>
    <row r="2707" spans="1:26" ht="12" hidden="1" thickBot="1" x14ac:dyDescent="0.25">
      <c r="A2707" s="652" t="s">
        <v>187</v>
      </c>
      <c r="B2707" s="786" t="s">
        <v>187</v>
      </c>
      <c r="C2707" s="582" t="s">
        <v>187</v>
      </c>
      <c r="D2707" s="583"/>
      <c r="E2707" s="787"/>
      <c r="F2707" s="788"/>
      <c r="G2707" s="789"/>
      <c r="H2707" s="790"/>
      <c r="I2707" s="791"/>
      <c r="J2707" s="792"/>
      <c r="K2707" s="793">
        <f t="shared" si="727"/>
        <v>0</v>
      </c>
      <c r="L2707" s="794" t="s">
        <v>614</v>
      </c>
      <c r="M2707" s="696"/>
      <c r="N2707" s="696">
        <f t="shared" si="716"/>
        <v>0</v>
      </c>
      <c r="O2707" s="693">
        <f t="shared" si="726"/>
        <v>0</v>
      </c>
      <c r="P2707" s="694">
        <f t="shared" si="722"/>
        <v>0</v>
      </c>
      <c r="Q2707" s="765"/>
      <c r="R2707" s="576">
        <f t="shared" si="723"/>
        <v>0</v>
      </c>
      <c r="S2707" s="576">
        <f t="shared" si="723"/>
        <v>0</v>
      </c>
      <c r="T2707" s="577">
        <f t="shared" si="724"/>
        <v>0</v>
      </c>
      <c r="U2707" s="578">
        <f t="shared" si="725"/>
        <v>0</v>
      </c>
      <c r="V2707" s="579"/>
      <c r="W2707" s="566"/>
      <c r="X2707" s="586" t="str">
        <f t="shared" si="720"/>
        <v/>
      </c>
      <c r="Y2707" s="586" t="str">
        <f t="shared" si="728"/>
        <v/>
      </c>
      <c r="Z2707" s="586" t="str">
        <f t="shared" si="719"/>
        <v/>
      </c>
    </row>
    <row r="2708" spans="1:26" ht="1.35" hidden="1" customHeight="1" thickBot="1" x14ac:dyDescent="0.25">
      <c r="A2708" s="652" t="s">
        <v>187</v>
      </c>
      <c r="B2708" s="727" t="s">
        <v>174</v>
      </c>
      <c r="C2708" s="728"/>
      <c r="D2708" s="729"/>
      <c r="E2708" s="730"/>
      <c r="F2708" s="731"/>
      <c r="G2708" s="732"/>
      <c r="H2708" s="733"/>
      <c r="I2708" s="734"/>
      <c r="J2708" s="734"/>
      <c r="K2708" s="735"/>
      <c r="L2708" s="736"/>
      <c r="M2708" s="737"/>
      <c r="N2708" s="738"/>
      <c r="O2708" s="739"/>
      <c r="P2708" s="739"/>
      <c r="Q2708" s="739"/>
      <c r="R2708" s="737"/>
      <c r="S2708" s="738"/>
      <c r="T2708" s="739"/>
      <c r="U2708" s="740"/>
      <c r="V2708" s="643"/>
      <c r="W2708" s="741"/>
      <c r="X2708" s="742"/>
      <c r="Y2708" s="742"/>
      <c r="Z2708" s="742"/>
    </row>
    <row r="2709" spans="1:26" ht="5.45" hidden="1" customHeight="1" thickBot="1" x14ac:dyDescent="0.25">
      <c r="A2709" s="652" t="s">
        <v>187</v>
      </c>
      <c r="B2709" s="743" t="s">
        <v>174</v>
      </c>
      <c r="C2709" s="744"/>
      <c r="D2709" s="745"/>
      <c r="E2709" s="746"/>
      <c r="F2709" s="495"/>
      <c r="G2709" s="494"/>
      <c r="H2709" s="496"/>
      <c r="I2709" s="496"/>
      <c r="J2709" s="496"/>
      <c r="K2709" s="747"/>
      <c r="L2709" s="496"/>
      <c r="M2709" s="748"/>
      <c r="N2709" s="748"/>
      <c r="O2709" s="674"/>
      <c r="P2709" s="674"/>
      <c r="Q2709" s="674"/>
      <c r="R2709" s="748"/>
      <c r="S2709" s="748"/>
      <c r="T2709" s="674"/>
      <c r="U2709" s="674"/>
      <c r="V2709" s="749"/>
      <c r="W2709" s="741" t="s">
        <v>174</v>
      </c>
      <c r="X2709" s="742"/>
      <c r="Y2709" s="742"/>
      <c r="Z2709" s="742"/>
    </row>
    <row r="2710" spans="1:26" ht="13.35" customHeight="1" thickBot="1" x14ac:dyDescent="0.25">
      <c r="A2710" s="652" t="s">
        <v>187</v>
      </c>
      <c r="B2710" s="750" t="s">
        <v>174</v>
      </c>
      <c r="C2710" s="751"/>
      <c r="D2710" s="492" t="s">
        <v>505</v>
      </c>
      <c r="E2710" s="493"/>
      <c r="F2710" s="495"/>
      <c r="G2710" s="494"/>
      <c r="H2710" s="496"/>
      <c r="I2710" s="496"/>
      <c r="J2710" s="496" t="str">
        <f>IF(ISBLANK(I2710),"",SUM(H2710:I2710))</f>
        <v/>
      </c>
      <c r="K2710" s="496"/>
      <c r="L2710" s="496"/>
      <c r="M2710" s="752"/>
      <c r="N2710" s="753"/>
      <c r="O2710" s="635">
        <f>SUBTOTAL(9,O18:O2708)</f>
        <v>1359487.2000000002</v>
      </c>
      <c r="P2710" s="636">
        <f>SUBTOTAL(9,P18:P2708)</f>
        <v>1359487.2000000002</v>
      </c>
      <c r="Q2710" s="634">
        <f>SUBTOTAL(9,Q18:Q2708)</f>
        <v>1359487.1999999997</v>
      </c>
      <c r="R2710" s="754"/>
      <c r="S2710" s="755"/>
      <c r="T2710" s="635">
        <f>SUBTOTAL(9,T18:T2708)</f>
        <v>1359487.2000000002</v>
      </c>
      <c r="U2710" s="636">
        <f>SUBTOTAL(9,U18:U2708)</f>
        <v>1359487.2000000002</v>
      </c>
      <c r="V2710" s="636">
        <f>SUBTOTAL(9,V18:V2708)</f>
        <v>1359487.1999999997</v>
      </c>
      <c r="W2710" s="741" t="s">
        <v>174</v>
      </c>
      <c r="X2710" s="756" t="s">
        <v>174</v>
      </c>
      <c r="Y2710" s="756"/>
      <c r="Z2710" s="756" t="s">
        <v>174</v>
      </c>
    </row>
    <row r="2711" spans="1:26" ht="5.45" hidden="1" customHeight="1" thickBot="1" x14ac:dyDescent="0.25">
      <c r="A2711" s="652" t="s">
        <v>187</v>
      </c>
      <c r="B2711" s="750" t="s">
        <v>174</v>
      </c>
      <c r="C2711" s="751"/>
      <c r="D2711" s="757"/>
      <c r="E2711" s="746"/>
      <c r="F2711" s="495"/>
      <c r="G2711" s="494"/>
      <c r="H2711" s="496"/>
      <c r="I2711" s="496"/>
      <c r="J2711" s="496"/>
      <c r="K2711" s="747"/>
      <c r="L2711" s="496"/>
      <c r="M2711" s="748"/>
      <c r="N2711" s="748"/>
      <c r="O2711" s="674"/>
      <c r="P2711" s="674"/>
      <c r="Q2711" s="674"/>
      <c r="R2711" s="748"/>
      <c r="S2711" s="748"/>
      <c r="T2711" s="674"/>
      <c r="U2711" s="674"/>
      <c r="V2711" s="749"/>
      <c r="W2711" s="741" t="s">
        <v>174</v>
      </c>
      <c r="X2711" s="758"/>
      <c r="Y2711" s="586"/>
      <c r="Z2711" s="586"/>
    </row>
    <row r="2712" spans="1:26" ht="13.35" customHeight="1" thickBot="1" x14ac:dyDescent="0.25">
      <c r="A2712" s="652" t="s">
        <v>187</v>
      </c>
      <c r="B2712" s="750" t="s">
        <v>174</v>
      </c>
      <c r="C2712" s="751"/>
      <c r="D2712" s="492" t="s">
        <v>585</v>
      </c>
      <c r="E2712" s="759"/>
      <c r="F2712" s="495"/>
      <c r="G2712" s="494"/>
      <c r="H2712" s="496"/>
      <c r="I2712" s="496"/>
      <c r="J2712" s="496" t="str">
        <f t="shared" ref="J2712:J2717" si="729">IF(ISBLANK(I2712),"",SUM(H2712:I2712))</f>
        <v/>
      </c>
      <c r="K2712" s="496"/>
      <c r="L2712" s="496"/>
      <c r="M2712" s="752"/>
      <c r="N2712" s="753"/>
      <c r="O2712" s="760">
        <f>SUM(O18:O582)</f>
        <v>1167486.4100000001</v>
      </c>
      <c r="P2712" s="760">
        <f>SUM(P18:P582)</f>
        <v>1167486.4100000001</v>
      </c>
      <c r="Q2712" s="760">
        <f>SUM(Q18:Q582)</f>
        <v>1167486.4099999999</v>
      </c>
      <c r="R2712" s="754"/>
      <c r="S2712" s="761"/>
      <c r="T2712" s="636">
        <f>SUM(T18:T582)</f>
        <v>1167486.4100000001</v>
      </c>
      <c r="U2712" s="760">
        <f>SUM(U18:U582)</f>
        <v>1167486.4100000001</v>
      </c>
      <c r="V2712" s="760">
        <f>SUM(V18:V582)</f>
        <v>1167486.4099999999</v>
      </c>
      <c r="W2712" s="741"/>
      <c r="X2712" s="586" t="s">
        <v>174</v>
      </c>
      <c r="Y2712" s="586"/>
      <c r="Z2712" s="586"/>
    </row>
    <row r="2713" spans="1:26" ht="13.35" customHeight="1" thickBot="1" x14ac:dyDescent="0.25">
      <c r="A2713" s="652" t="s">
        <v>187</v>
      </c>
      <c r="B2713" s="750" t="s">
        <v>174</v>
      </c>
      <c r="C2713" s="751"/>
      <c r="D2713" s="492" t="s">
        <v>589</v>
      </c>
      <c r="E2713" s="759"/>
      <c r="F2713" s="495"/>
      <c r="G2713" s="494"/>
      <c r="H2713" s="496"/>
      <c r="I2713" s="496"/>
      <c r="J2713" s="496" t="str">
        <f t="shared" si="729"/>
        <v/>
      </c>
      <c r="K2713" s="496"/>
      <c r="L2713" s="496"/>
      <c r="M2713" s="752"/>
      <c r="N2713" s="753"/>
      <c r="O2713" s="635">
        <f>SUM(O583:O839)</f>
        <v>174162.14</v>
      </c>
      <c r="P2713" s="635">
        <f>SUM(P583:P839)</f>
        <v>174162.14</v>
      </c>
      <c r="Q2713" s="635">
        <f>SUM(Q583:Q839)</f>
        <v>174162.14</v>
      </c>
      <c r="R2713" s="754"/>
      <c r="S2713" s="762"/>
      <c r="T2713" s="636">
        <f>SUM(T583:T839)</f>
        <v>174162.14</v>
      </c>
      <c r="U2713" s="635">
        <f>SUM(U583:U839)</f>
        <v>174162.14</v>
      </c>
      <c r="V2713" s="635">
        <f>SUM(V583:V839)</f>
        <v>174162.14</v>
      </c>
      <c r="W2713" s="741" t="s">
        <v>174</v>
      </c>
      <c r="X2713" s="586" t="s">
        <v>174</v>
      </c>
      <c r="Y2713" s="586"/>
      <c r="Z2713" s="586"/>
    </row>
    <row r="2714" spans="1:26" ht="13.35" customHeight="1" thickBot="1" x14ac:dyDescent="0.25">
      <c r="A2714" s="652" t="s">
        <v>187</v>
      </c>
      <c r="B2714" s="750" t="s">
        <v>174</v>
      </c>
      <c r="C2714" s="751"/>
      <c r="D2714" s="492" t="s">
        <v>586</v>
      </c>
      <c r="E2714" s="759"/>
      <c r="F2714" s="495"/>
      <c r="G2714" s="494"/>
      <c r="H2714" s="496"/>
      <c r="I2714" s="496"/>
      <c r="J2714" s="496" t="str">
        <f t="shared" si="729"/>
        <v/>
      </c>
      <c r="K2714" s="496"/>
      <c r="L2714" s="496"/>
      <c r="M2714" s="752"/>
      <c r="N2714" s="753"/>
      <c r="O2714" s="635">
        <f>SUM(O840:O1689)</f>
        <v>0</v>
      </c>
      <c r="P2714" s="635">
        <f>SUM(P840:P1689)</f>
        <v>0</v>
      </c>
      <c r="Q2714" s="635">
        <f>SUM(Q840:Q1689)</f>
        <v>0</v>
      </c>
      <c r="R2714" s="754"/>
      <c r="S2714" s="762"/>
      <c r="T2714" s="636">
        <f>SUM(T840:T1689)</f>
        <v>0</v>
      </c>
      <c r="U2714" s="635">
        <f>SUM(U840:U1689)</f>
        <v>0</v>
      </c>
      <c r="V2714" s="635">
        <f>SUM(V840:V1689)</f>
        <v>0</v>
      </c>
      <c r="W2714" s="741" t="s">
        <v>174</v>
      </c>
      <c r="X2714" s="586" t="s">
        <v>174</v>
      </c>
      <c r="Y2714" s="586"/>
      <c r="Z2714" s="586"/>
    </row>
    <row r="2715" spans="1:26" ht="13.35" customHeight="1" thickBot="1" x14ac:dyDescent="0.25">
      <c r="A2715" s="652" t="s">
        <v>187</v>
      </c>
      <c r="B2715" s="750" t="s">
        <v>174</v>
      </c>
      <c r="C2715" s="751"/>
      <c r="D2715" s="492" t="s">
        <v>587</v>
      </c>
      <c r="E2715" s="759"/>
      <c r="F2715" s="495"/>
      <c r="G2715" s="494"/>
      <c r="H2715" s="496"/>
      <c r="I2715" s="496"/>
      <c r="J2715" s="496" t="str">
        <f t="shared" si="729"/>
        <v/>
      </c>
      <c r="K2715" s="496"/>
      <c r="L2715" s="496"/>
      <c r="M2715" s="752"/>
      <c r="N2715" s="753"/>
      <c r="O2715" s="635">
        <f>SUM(O1690:O1784)</f>
        <v>0</v>
      </c>
      <c r="P2715" s="635">
        <f>SUM(P1690:P1784)</f>
        <v>0</v>
      </c>
      <c r="Q2715" s="635">
        <f>SUM(Q1690:Q1784)</f>
        <v>0</v>
      </c>
      <c r="R2715" s="754"/>
      <c r="S2715" s="762"/>
      <c r="T2715" s="636">
        <f>SUM(T1690:T1784)</f>
        <v>0</v>
      </c>
      <c r="U2715" s="635">
        <f>SUM(U1690:U1784)</f>
        <v>0</v>
      </c>
      <c r="V2715" s="635">
        <f>SUM(V1690:V1784)</f>
        <v>0</v>
      </c>
      <c r="W2715" s="741" t="s">
        <v>174</v>
      </c>
      <c r="X2715" s="586" t="s">
        <v>174</v>
      </c>
      <c r="Y2715" s="586"/>
      <c r="Z2715" s="586"/>
    </row>
    <row r="2716" spans="1:26" ht="13.35" customHeight="1" thickBot="1" x14ac:dyDescent="0.25">
      <c r="A2716" s="652" t="s">
        <v>187</v>
      </c>
      <c r="B2716" s="750" t="s">
        <v>174</v>
      </c>
      <c r="C2716" s="751"/>
      <c r="D2716" s="492" t="s">
        <v>588</v>
      </c>
      <c r="E2716" s="759"/>
      <c r="F2716" s="495"/>
      <c r="G2716" s="494"/>
      <c r="H2716" s="496"/>
      <c r="I2716" s="496"/>
      <c r="J2716" s="496" t="str">
        <f t="shared" si="729"/>
        <v/>
      </c>
      <c r="K2716" s="496"/>
      <c r="L2716" s="496"/>
      <c r="M2716" s="752"/>
      <c r="N2716" s="753"/>
      <c r="O2716" s="635">
        <f>SUM(O1785:O2661)</f>
        <v>0</v>
      </c>
      <c r="P2716" s="635">
        <f>SUM(P1785:P2661)</f>
        <v>0</v>
      </c>
      <c r="Q2716" s="635">
        <f>SUM(Q1785:Q2661)</f>
        <v>0</v>
      </c>
      <c r="R2716" s="634"/>
      <c r="S2716" s="409"/>
      <c r="T2716" s="635">
        <f>SUM(T1785:T2661)</f>
        <v>0</v>
      </c>
      <c r="U2716" s="635">
        <f>SUM(U1785:U2661)</f>
        <v>0</v>
      </c>
      <c r="V2716" s="635">
        <f>SUM(V1785:V2661)</f>
        <v>0</v>
      </c>
      <c r="W2716" s="741" t="s">
        <v>174</v>
      </c>
      <c r="X2716" s="586" t="s">
        <v>174</v>
      </c>
      <c r="Y2716" s="586"/>
      <c r="Z2716" s="586"/>
    </row>
    <row r="2717" spans="1:26" ht="13.35" customHeight="1" thickBot="1" x14ac:dyDescent="0.25">
      <c r="A2717" s="652" t="s">
        <v>187</v>
      </c>
      <c r="B2717" s="750" t="s">
        <v>174</v>
      </c>
      <c r="C2717" s="751"/>
      <c r="D2717" s="492" t="s">
        <v>613</v>
      </c>
      <c r="E2717" s="759"/>
      <c r="F2717" s="495"/>
      <c r="G2717" s="494"/>
      <c r="H2717" s="496"/>
      <c r="I2717" s="496"/>
      <c r="J2717" s="496" t="str">
        <f t="shared" si="729"/>
        <v/>
      </c>
      <c r="K2717" s="496"/>
      <c r="L2717" s="496"/>
      <c r="M2717" s="752"/>
      <c r="N2717" s="753"/>
      <c r="O2717" s="635">
        <f>SUM(O2662:O2707)</f>
        <v>17838.649999999998</v>
      </c>
      <c r="P2717" s="635">
        <f>SUM(P2662:P2707)</f>
        <v>17838.649999999998</v>
      </c>
      <c r="Q2717" s="635">
        <f>SUM(Q2662:Q2707)</f>
        <v>17838.649999999998</v>
      </c>
      <c r="R2717" s="634"/>
      <c r="S2717" s="409"/>
      <c r="T2717" s="636">
        <f>SUM(T2662:T2707)</f>
        <v>17838.649999999998</v>
      </c>
      <c r="U2717" s="635">
        <f>SUM(U2662:U2707)</f>
        <v>17838.649999999998</v>
      </c>
      <c r="V2717" s="635">
        <f>SUM(V2662:V2707)</f>
        <v>17838.649999999998</v>
      </c>
      <c r="W2717" s="741" t="s">
        <v>174</v>
      </c>
      <c r="X2717" s="586" t="s">
        <v>174</v>
      </c>
      <c r="Y2717" s="586"/>
      <c r="Z2717" s="586"/>
    </row>
    <row r="2718" spans="1:26" x14ac:dyDescent="0.2">
      <c r="K2718" s="592"/>
    </row>
    <row r="2719" spans="1:26" x14ac:dyDescent="0.2">
      <c r="D2719" s="593" t="s">
        <v>187</v>
      </c>
      <c r="K2719" s="592"/>
    </row>
    <row r="2720" spans="1:26" ht="9" customHeight="1" x14ac:dyDescent="0.2"/>
    <row r="2721" spans="4:7" x14ac:dyDescent="0.2">
      <c r="D2721" s="593" t="s">
        <v>2099</v>
      </c>
    </row>
    <row r="2723" spans="4:7" x14ac:dyDescent="0.2">
      <c r="G2723" s="591" t="s">
        <v>1581</v>
      </c>
    </row>
  </sheetData>
  <sheetProtection formatCells="0" insertRows="0" sort="0" autoFilter="0"/>
  <autoFilter ref="A17:Z2717">
    <filterColumn colId="23">
      <customFilters>
        <customFilter operator="notEqual" val=" "/>
      </customFilters>
    </filterColumn>
  </autoFilter>
  <pageMargins left="1.1811023622047245" right="0.78740157480314965" top="1.1811023622047245" bottom="1.1811023622047245" header="0.31496062992125984" footer="0.51181102362204722"/>
  <pageSetup paperSize="9" scale="36" fitToHeight="0" orientation="portrait" r:id="rId1"/>
  <headerFooter alignWithMargins="0">
    <oddHeader>&amp;C&amp;"Arial,Negrito"&amp;12&amp;F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Z2723"/>
  <sheetViews>
    <sheetView showGridLines="0" showZeros="0" topLeftCell="E742" zoomScale="85" zoomScaleNormal="85" zoomScaleSheetLayoutView="50" workbookViewId="0">
      <selection activeCell="D17" sqref="D17"/>
    </sheetView>
  </sheetViews>
  <sheetFormatPr defaultColWidth="21.6640625" defaultRowHeight="11.25" x14ac:dyDescent="0.2"/>
  <cols>
    <col min="1" max="1" width="15.6640625" style="568" hidden="1" customWidth="1"/>
    <col min="2" max="2" width="13" style="590" customWidth="1"/>
    <col min="3" max="3" width="15.5" style="590" customWidth="1"/>
    <col min="4" max="4" width="93.33203125" style="568" customWidth="1"/>
    <col min="5" max="5" width="0.6640625" style="568" customWidth="1"/>
    <col min="6" max="6" width="15.1640625" style="591" customWidth="1"/>
    <col min="7" max="7" width="15.6640625" style="591" bestFit="1" customWidth="1"/>
    <col min="8" max="9" width="10.83203125" style="568" customWidth="1"/>
    <col min="10" max="11" width="14.83203125" style="568" customWidth="1"/>
    <col min="12" max="12" width="6.5" style="568" customWidth="1"/>
    <col min="13" max="14" width="14.6640625" style="568" customWidth="1"/>
    <col min="15" max="16" width="18.83203125" style="568" customWidth="1"/>
    <col min="17" max="17" width="20.6640625" style="568" customWidth="1"/>
    <col min="18" max="18" width="13.1640625" style="568" hidden="1" customWidth="1"/>
    <col min="19" max="19" width="11" style="568" hidden="1" customWidth="1"/>
    <col min="20" max="20" width="19.5" style="568" hidden="1" customWidth="1"/>
    <col min="21" max="22" width="15.83203125" style="568" hidden="1" customWidth="1"/>
    <col min="23" max="23" width="4.6640625" style="594" customWidth="1"/>
    <col min="24" max="26" width="4.6640625" style="568" customWidth="1"/>
    <col min="27" max="16384" width="21.6640625" style="568"/>
  </cols>
  <sheetData>
    <row r="1" spans="1:26" x14ac:dyDescent="0.2">
      <c r="A1" s="567" t="s">
        <v>2056</v>
      </c>
      <c r="B1" s="503"/>
      <c r="C1" s="504"/>
      <c r="D1" s="505"/>
      <c r="E1" s="387"/>
      <c r="F1" s="506" t="s">
        <v>2107</v>
      </c>
      <c r="G1" s="507"/>
      <c r="H1" s="391"/>
      <c r="I1" s="388"/>
      <c r="J1" s="389"/>
      <c r="K1" s="389"/>
      <c r="L1" s="390" t="s">
        <v>454</v>
      </c>
      <c r="M1" s="508"/>
      <c r="N1" s="508"/>
      <c r="O1" s="391"/>
      <c r="P1" s="509"/>
      <c r="Q1" s="509"/>
      <c r="R1" s="602" t="s">
        <v>454</v>
      </c>
      <c r="S1" s="603"/>
      <c r="T1" s="604"/>
      <c r="U1" s="605" t="s">
        <v>454</v>
      </c>
      <c r="V1" s="606"/>
      <c r="W1" s="566"/>
      <c r="X1" s="567"/>
      <c r="Y1" s="567"/>
      <c r="Z1" s="567"/>
    </row>
    <row r="2" spans="1:26" x14ac:dyDescent="0.2">
      <c r="A2" s="567" t="s">
        <v>173</v>
      </c>
      <c r="B2" s="392" t="s">
        <v>173</v>
      </c>
      <c r="C2" s="766"/>
      <c r="D2" s="510"/>
      <c r="E2" s="767"/>
      <c r="F2" s="768" t="s">
        <v>2106</v>
      </c>
      <c r="G2" s="396"/>
      <c r="H2" s="609"/>
      <c r="I2" s="769"/>
      <c r="J2" s="393"/>
      <c r="K2" s="769"/>
      <c r="L2" s="769"/>
      <c r="M2" s="769"/>
      <c r="N2" s="770"/>
      <c r="O2" s="771"/>
      <c r="P2" s="511"/>
      <c r="Q2" s="511"/>
      <c r="R2" s="607"/>
      <c r="S2" s="608"/>
      <c r="T2" s="609"/>
      <c r="U2" s="567"/>
      <c r="V2" s="610"/>
      <c r="W2" s="566"/>
      <c r="X2" s="567"/>
      <c r="Y2" s="567"/>
      <c r="Z2" s="567"/>
    </row>
    <row r="3" spans="1:26" x14ac:dyDescent="0.2">
      <c r="A3" s="567"/>
      <c r="B3" s="512"/>
      <c r="C3" s="772"/>
      <c r="D3" s="394" t="s">
        <v>455</v>
      </c>
      <c r="E3" s="773"/>
      <c r="F3" s="774" t="s">
        <v>455</v>
      </c>
      <c r="G3" s="513"/>
      <c r="H3" s="775"/>
      <c r="I3" s="776"/>
      <c r="J3" s="393"/>
      <c r="K3" s="777"/>
      <c r="L3" s="394" t="s">
        <v>455</v>
      </c>
      <c r="M3" s="777"/>
      <c r="N3" s="777"/>
      <c r="O3" s="775"/>
      <c r="P3" s="514"/>
      <c r="Q3" s="514"/>
      <c r="R3" s="394" t="s">
        <v>455</v>
      </c>
      <c r="S3" s="608"/>
      <c r="T3" s="609"/>
      <c r="U3" s="567"/>
      <c r="V3" s="610"/>
      <c r="W3" s="566"/>
      <c r="X3" s="567"/>
      <c r="Y3" s="567"/>
      <c r="Z3" s="567"/>
    </row>
    <row r="4" spans="1:26" x14ac:dyDescent="0.2">
      <c r="A4" s="567" t="s">
        <v>174</v>
      </c>
      <c r="B4" s="515" t="s">
        <v>174</v>
      </c>
      <c r="C4" s="778"/>
      <c r="D4" s="395" t="s">
        <v>175</v>
      </c>
      <c r="E4" s="779" t="s">
        <v>0</v>
      </c>
      <c r="F4" s="780"/>
      <c r="G4" s="396"/>
      <c r="H4" s="775"/>
      <c r="I4" s="776"/>
      <c r="J4" s="393"/>
      <c r="K4" s="777"/>
      <c r="L4" s="777"/>
      <c r="M4" s="777"/>
      <c r="N4" s="777"/>
      <c r="O4" s="775"/>
      <c r="P4" s="514"/>
      <c r="Q4" s="514"/>
      <c r="R4" s="611"/>
      <c r="S4" s="608"/>
      <c r="T4" s="609"/>
      <c r="U4" s="567"/>
      <c r="V4" s="610"/>
      <c r="W4" s="566"/>
      <c r="X4" s="567"/>
      <c r="Y4" s="567"/>
      <c r="Z4" s="567"/>
    </row>
    <row r="5" spans="1:26" x14ac:dyDescent="0.2">
      <c r="A5" s="567" t="s">
        <v>174</v>
      </c>
      <c r="B5" s="515" t="s">
        <v>174</v>
      </c>
      <c r="C5" s="778"/>
      <c r="D5" s="395" t="s">
        <v>1</v>
      </c>
      <c r="E5" s="779" t="s">
        <v>0</v>
      </c>
      <c r="F5" s="780" t="s">
        <v>669</v>
      </c>
      <c r="G5" s="396"/>
      <c r="H5" s="775"/>
      <c r="I5" s="776"/>
      <c r="J5" s="393"/>
      <c r="K5" s="777"/>
      <c r="L5" s="777"/>
      <c r="M5" s="777"/>
      <c r="N5" s="777"/>
      <c r="O5" s="775"/>
      <c r="P5" s="514"/>
      <c r="Q5" s="514"/>
      <c r="R5" s="611"/>
      <c r="S5" s="608"/>
      <c r="T5" s="609"/>
      <c r="U5" s="567"/>
      <c r="V5" s="610"/>
      <c r="W5" s="566"/>
      <c r="X5" s="567"/>
      <c r="Y5" s="567"/>
      <c r="Z5" s="567"/>
    </row>
    <row r="6" spans="1:26" x14ac:dyDescent="0.2">
      <c r="A6" s="567" t="s">
        <v>174</v>
      </c>
      <c r="B6" s="515" t="s">
        <v>174</v>
      </c>
      <c r="C6" s="778"/>
      <c r="D6" s="395" t="s">
        <v>2</v>
      </c>
      <c r="E6" s="779" t="s">
        <v>0</v>
      </c>
      <c r="F6" s="780"/>
      <c r="G6" s="396"/>
      <c r="H6" s="775"/>
      <c r="I6" s="776"/>
      <c r="J6" s="393"/>
      <c r="K6" s="777"/>
      <c r="L6" s="777"/>
      <c r="M6" s="777"/>
      <c r="N6" s="777"/>
      <c r="O6" s="775"/>
      <c r="P6" s="514"/>
      <c r="Q6" s="514"/>
      <c r="R6" s="611"/>
      <c r="S6" s="608"/>
      <c r="T6" s="609"/>
      <c r="U6" s="567"/>
      <c r="V6" s="610"/>
      <c r="W6" s="566"/>
      <c r="X6" s="567"/>
      <c r="Y6" s="567"/>
      <c r="Z6" s="567"/>
    </row>
    <row r="7" spans="1:26" x14ac:dyDescent="0.2">
      <c r="A7" s="567" t="s">
        <v>174</v>
      </c>
      <c r="B7" s="515" t="s">
        <v>174</v>
      </c>
      <c r="C7" s="778"/>
      <c r="D7" s="395" t="s">
        <v>3</v>
      </c>
      <c r="E7" s="779" t="s">
        <v>0</v>
      </c>
      <c r="F7" s="780"/>
      <c r="G7" s="396"/>
      <c r="H7" s="775"/>
      <c r="I7" s="776"/>
      <c r="J7" s="393"/>
      <c r="K7" s="777"/>
      <c r="L7" s="777"/>
      <c r="M7" s="777"/>
      <c r="N7" s="777"/>
      <c r="O7" s="775"/>
      <c r="P7" s="514"/>
      <c r="Q7" s="514"/>
      <c r="R7" s="611"/>
      <c r="S7" s="608"/>
      <c r="T7" s="609"/>
      <c r="U7" s="567"/>
      <c r="V7" s="610"/>
      <c r="W7" s="566"/>
      <c r="X7" s="567"/>
      <c r="Y7" s="567"/>
      <c r="Z7" s="567"/>
    </row>
    <row r="8" spans="1:26" ht="12" thickBot="1" x14ac:dyDescent="0.25">
      <c r="A8" s="567"/>
      <c r="B8" s="516"/>
      <c r="C8" s="781"/>
      <c r="D8" s="395" t="s">
        <v>4</v>
      </c>
      <c r="E8" s="779" t="s">
        <v>0</v>
      </c>
      <c r="F8" s="780"/>
      <c r="G8" s="396"/>
      <c r="H8" s="775"/>
      <c r="I8" s="776"/>
      <c r="J8" s="393"/>
      <c r="K8" s="777"/>
      <c r="L8" s="777"/>
      <c r="M8" s="777"/>
      <c r="N8" s="777"/>
      <c r="O8" s="775"/>
      <c r="P8" s="514"/>
      <c r="Q8" s="514"/>
      <c r="R8" s="611"/>
      <c r="S8" s="608"/>
      <c r="T8" s="609"/>
      <c r="U8" s="567"/>
      <c r="V8" s="610"/>
      <c r="W8" s="566"/>
      <c r="X8" s="567"/>
      <c r="Y8" s="567"/>
      <c r="Z8" s="567"/>
    </row>
    <row r="9" spans="1:26" ht="12" thickBot="1" x14ac:dyDescent="0.25">
      <c r="A9" s="567"/>
      <c r="B9" s="515"/>
      <c r="C9" s="778"/>
      <c r="D9" s="395" t="s">
        <v>2057</v>
      </c>
      <c r="E9" s="779" t="s">
        <v>0</v>
      </c>
      <c r="F9" s="397">
        <f>'BDI Pavimentação'!B17</f>
        <v>0.15279999999999999</v>
      </c>
      <c r="G9" s="396"/>
      <c r="H9" s="775"/>
      <c r="I9" s="776"/>
      <c r="J9" s="393"/>
      <c r="K9" s="777"/>
      <c r="L9" s="777"/>
      <c r="M9" s="777"/>
      <c r="N9" s="777"/>
      <c r="O9" s="775"/>
      <c r="P9" s="514"/>
      <c r="Q9" s="514"/>
      <c r="R9" s="611"/>
      <c r="S9" s="608"/>
      <c r="T9" s="609"/>
      <c r="U9" s="567"/>
      <c r="V9" s="610"/>
      <c r="W9" s="566"/>
      <c r="X9" s="567"/>
      <c r="Y9" s="567"/>
      <c r="Z9" s="567"/>
    </row>
    <row r="10" spans="1:26" ht="12" thickBot="1" x14ac:dyDescent="0.25">
      <c r="A10" s="567"/>
      <c r="B10" s="515"/>
      <c r="C10" s="778"/>
      <c r="D10" s="395" t="s">
        <v>618</v>
      </c>
      <c r="E10" s="779" t="s">
        <v>0</v>
      </c>
      <c r="F10" s="398">
        <f>'BDI Pavimentação'!B15</f>
        <v>0.18809999999999999</v>
      </c>
      <c r="G10" s="396"/>
      <c r="H10" s="775"/>
      <c r="I10" s="776"/>
      <c r="J10" s="393"/>
      <c r="K10" s="777"/>
      <c r="L10" s="777"/>
      <c r="M10" s="777"/>
      <c r="N10" s="777"/>
      <c r="O10" s="775"/>
      <c r="P10" s="514"/>
      <c r="Q10" s="514"/>
      <c r="R10" s="611"/>
      <c r="S10" s="608"/>
      <c r="T10" s="609"/>
      <c r="U10" s="567"/>
      <c r="V10" s="610"/>
      <c r="W10" s="566"/>
      <c r="X10" s="567"/>
      <c r="Y10" s="567"/>
      <c r="Z10" s="567"/>
    </row>
    <row r="11" spans="1:26" ht="12" thickBot="1" x14ac:dyDescent="0.25">
      <c r="A11" s="567"/>
      <c r="B11" s="517"/>
      <c r="C11" s="518"/>
      <c r="D11" s="399" t="s">
        <v>162</v>
      </c>
      <c r="E11" s="400" t="s">
        <v>0</v>
      </c>
      <c r="F11" s="401"/>
      <c r="G11" s="402"/>
      <c r="H11" s="406"/>
      <c r="I11" s="403"/>
      <c r="J11" s="404"/>
      <c r="K11" s="405"/>
      <c r="L11" s="405"/>
      <c r="M11" s="405"/>
      <c r="N11" s="405"/>
      <c r="O11" s="406"/>
      <c r="P11" s="519"/>
      <c r="Q11" s="519"/>
      <c r="R11" s="612"/>
      <c r="S11" s="613"/>
      <c r="T11" s="614"/>
      <c r="U11" s="615"/>
      <c r="V11" s="616"/>
      <c r="W11" s="566"/>
      <c r="X11" s="567"/>
      <c r="Y11" s="567"/>
      <c r="Z11" s="567"/>
    </row>
    <row r="12" spans="1:26" s="601" customFormat="1" ht="25.35" customHeight="1" thickBot="1" x14ac:dyDescent="0.35">
      <c r="A12" s="600"/>
      <c r="B12" s="502" t="s">
        <v>180</v>
      </c>
      <c r="C12" s="595"/>
      <c r="D12" s="596"/>
      <c r="E12" s="596"/>
      <c r="F12" s="597"/>
      <c r="G12" s="598"/>
      <c r="H12" s="596"/>
      <c r="I12" s="596"/>
      <c r="J12" s="596"/>
      <c r="K12" s="596"/>
      <c r="L12" s="596"/>
      <c r="M12" s="596"/>
      <c r="N12" s="596"/>
      <c r="O12" s="596"/>
      <c r="P12" s="763"/>
      <c r="Q12" s="596"/>
      <c r="R12" s="596"/>
      <c r="S12" s="596"/>
      <c r="T12" s="596"/>
      <c r="U12" s="596"/>
      <c r="V12" s="763"/>
      <c r="W12" s="599"/>
      <c r="X12" s="600"/>
      <c r="Y12" s="600"/>
      <c r="Z12" s="600"/>
    </row>
    <row r="13" spans="1:26" ht="14.1" customHeight="1" x14ac:dyDescent="0.2">
      <c r="A13" s="567"/>
      <c r="B13" s="520" t="s">
        <v>182</v>
      </c>
      <c r="C13" s="521"/>
      <c r="D13" s="802" t="s">
        <v>2109</v>
      </c>
      <c r="E13" s="522"/>
      <c r="F13" s="795" t="s">
        <v>183</v>
      </c>
      <c r="G13" s="523" t="s">
        <v>2110</v>
      </c>
      <c r="H13" s="524"/>
      <c r="I13" s="525"/>
      <c r="J13" s="525"/>
      <c r="K13" s="525"/>
      <c r="L13" s="526"/>
      <c r="M13" s="526"/>
      <c r="N13" s="526"/>
      <c r="O13" s="526"/>
      <c r="P13" s="782"/>
      <c r="Q13" s="526"/>
      <c r="R13" s="526"/>
      <c r="S13" s="526"/>
      <c r="T13" s="526"/>
      <c r="U13" s="617" t="s">
        <v>183</v>
      </c>
      <c r="V13" s="618"/>
      <c r="W13" s="566"/>
      <c r="X13" s="567"/>
      <c r="Y13" s="567"/>
      <c r="Z13" s="567"/>
    </row>
    <row r="14" spans="1:26" ht="14.1" customHeight="1" x14ac:dyDescent="0.2">
      <c r="A14" s="567"/>
      <c r="B14" s="527" t="s">
        <v>679</v>
      </c>
      <c r="C14" s="528"/>
      <c r="D14" s="803" t="s">
        <v>2111</v>
      </c>
      <c r="E14" s="529"/>
      <c r="F14" s="796" t="s">
        <v>185</v>
      </c>
      <c r="G14" s="530" t="s">
        <v>547</v>
      </c>
      <c r="H14" s="531"/>
      <c r="I14" s="532"/>
      <c r="J14" s="532"/>
      <c r="K14" s="532"/>
      <c r="L14" s="533"/>
      <c r="M14" s="533"/>
      <c r="N14" s="533"/>
      <c r="O14" s="533"/>
      <c r="P14" s="783"/>
      <c r="Q14" s="533"/>
      <c r="R14" s="533"/>
      <c r="S14" s="533"/>
      <c r="T14" s="533"/>
      <c r="U14" s="619" t="s">
        <v>184</v>
      </c>
      <c r="V14" s="620"/>
      <c r="W14" s="566"/>
      <c r="X14" s="567"/>
      <c r="Y14" s="567"/>
      <c r="Z14" s="567"/>
    </row>
    <row r="15" spans="1:26" ht="14.1" customHeight="1" thickBot="1" x14ac:dyDescent="0.25">
      <c r="A15" s="567"/>
      <c r="B15" s="534" t="s">
        <v>765</v>
      </c>
      <c r="C15" s="535"/>
      <c r="D15" s="804" t="s">
        <v>2115</v>
      </c>
      <c r="E15" s="536"/>
      <c r="F15" s="537"/>
      <c r="G15" s="538"/>
      <c r="H15" s="539"/>
      <c r="I15" s="540"/>
      <c r="J15" s="540"/>
      <c r="K15" s="540"/>
      <c r="L15" s="541"/>
      <c r="M15" s="541"/>
      <c r="N15" s="541"/>
      <c r="O15" s="541"/>
      <c r="P15" s="621"/>
      <c r="Q15" s="541"/>
      <c r="R15" s="541"/>
      <c r="S15" s="541"/>
      <c r="T15" s="541"/>
      <c r="U15" s="541"/>
      <c r="V15" s="621"/>
      <c r="W15" s="566"/>
      <c r="X15" s="567"/>
      <c r="Y15" s="567"/>
      <c r="Z15" s="567"/>
    </row>
    <row r="16" spans="1:26" ht="12" thickBot="1" x14ac:dyDescent="0.25">
      <c r="A16" s="567"/>
      <c r="B16" s="542" t="s">
        <v>449</v>
      </c>
      <c r="C16" s="543" t="s">
        <v>678</v>
      </c>
      <c r="D16" s="544" t="s">
        <v>176</v>
      </c>
      <c r="E16" s="545"/>
      <c r="F16" s="546" t="s">
        <v>5</v>
      </c>
      <c r="G16" s="407" t="s">
        <v>6</v>
      </c>
      <c r="H16" s="547" t="s">
        <v>7</v>
      </c>
      <c r="I16" s="548"/>
      <c r="J16" s="549"/>
      <c r="K16" s="548"/>
      <c r="L16" s="550" t="s">
        <v>179</v>
      </c>
      <c r="M16" s="551" t="s">
        <v>8</v>
      </c>
      <c r="N16" s="552"/>
      <c r="O16" s="552"/>
      <c r="P16" s="784"/>
      <c r="Q16" s="552"/>
      <c r="R16" s="622" t="s">
        <v>2058</v>
      </c>
      <c r="S16" s="623"/>
      <c r="T16" s="623"/>
      <c r="U16" s="624"/>
      <c r="V16" s="624"/>
      <c r="W16" s="569" t="s">
        <v>450</v>
      </c>
      <c r="X16" s="569"/>
      <c r="Y16" s="570"/>
      <c r="Z16" s="570"/>
    </row>
    <row r="17" spans="1:26" ht="38.25" thickBot="1" x14ac:dyDescent="0.25">
      <c r="A17" s="625" t="s">
        <v>2059</v>
      </c>
      <c r="B17" s="553" t="s">
        <v>187</v>
      </c>
      <c r="C17" s="554"/>
      <c r="D17" s="408" t="s">
        <v>2060</v>
      </c>
      <c r="E17" s="555"/>
      <c r="F17" s="556" t="s">
        <v>177</v>
      </c>
      <c r="G17" s="557" t="s">
        <v>178</v>
      </c>
      <c r="H17" s="558" t="s">
        <v>9</v>
      </c>
      <c r="I17" s="559" t="s">
        <v>10</v>
      </c>
      <c r="J17" s="559" t="s">
        <v>11</v>
      </c>
      <c r="K17" s="560" t="s">
        <v>12</v>
      </c>
      <c r="L17" s="561"/>
      <c r="M17" s="562" t="s">
        <v>13</v>
      </c>
      <c r="N17" s="563" t="s">
        <v>14</v>
      </c>
      <c r="O17" s="564" t="s">
        <v>744</v>
      </c>
      <c r="P17" s="565" t="s">
        <v>15</v>
      </c>
      <c r="Q17" s="764" t="s">
        <v>181</v>
      </c>
      <c r="R17" s="562" t="s">
        <v>13</v>
      </c>
      <c r="S17" s="626" t="s">
        <v>14</v>
      </c>
      <c r="T17" s="564" t="s">
        <v>744</v>
      </c>
      <c r="U17" s="565" t="s">
        <v>15</v>
      </c>
      <c r="V17" s="627" t="s">
        <v>181</v>
      </c>
      <c r="W17" s="571" t="s">
        <v>451</v>
      </c>
      <c r="X17" s="571" t="s">
        <v>2061</v>
      </c>
      <c r="Y17" s="571" t="s">
        <v>2062</v>
      </c>
      <c r="Z17" s="571" t="s">
        <v>453</v>
      </c>
    </row>
    <row r="18" spans="1:26" ht="12" thickBot="1" x14ac:dyDescent="0.25">
      <c r="A18" s="567" t="s">
        <v>547</v>
      </c>
      <c r="B18" s="628" t="s">
        <v>547</v>
      </c>
      <c r="C18" s="629"/>
      <c r="D18" s="630" t="s">
        <v>463</v>
      </c>
      <c r="E18" s="631"/>
      <c r="F18" s="632"/>
      <c r="G18" s="633"/>
      <c r="H18" s="634"/>
      <c r="I18" s="409"/>
      <c r="J18" s="409"/>
      <c r="K18" s="409"/>
      <c r="L18" s="409" t="s">
        <v>614</v>
      </c>
      <c r="M18" s="634"/>
      <c r="N18" s="409"/>
      <c r="O18" s="409"/>
      <c r="P18" s="635"/>
      <c r="Q18" s="635">
        <f>SUM(P19:P67)</f>
        <v>3801.14</v>
      </c>
      <c r="R18" s="634"/>
      <c r="S18" s="409"/>
      <c r="T18" s="409"/>
      <c r="U18" s="635"/>
      <c r="V18" s="636">
        <f>SUM(U19:U67)</f>
        <v>3801.14</v>
      </c>
      <c r="W18" s="637" t="str">
        <f>IF(OR(Q18&gt;0,V18&gt;0),"X","")</f>
        <v>X</v>
      </c>
      <c r="X18" s="586" t="str">
        <f t="shared" ref="X18:X89" si="0">IF(W18="X","x",IF(W18="xx","x",IF(W18="xy","x",IF(W18="y","x",IF(OR(P18&gt;0,U18&gt;0),"x","")))))</f>
        <v>x</v>
      </c>
      <c r="Y18" s="586" t="str">
        <f t="shared" ref="Y18:Y83" si="1">IF(W18="X","x",IF(W18="y","x",IF(W18="xx","x",IF(U18&gt;0,"x",""))))</f>
        <v>x</v>
      </c>
      <c r="Z18" s="586" t="str">
        <f t="shared" ref="Z18:Z83" si="2">IF(W18="X","x",IF(U18&gt;0,"x",""))</f>
        <v>x</v>
      </c>
    </row>
    <row r="19" spans="1:26" hidden="1" x14ac:dyDescent="0.2">
      <c r="A19" s="567">
        <v>831000</v>
      </c>
      <c r="B19" s="638" t="s">
        <v>1723</v>
      </c>
      <c r="C19" s="639" t="s">
        <v>206</v>
      </c>
      <c r="D19" s="410" t="s">
        <v>280</v>
      </c>
      <c r="E19" s="411"/>
      <c r="F19" s="412"/>
      <c r="G19" s="413"/>
      <c r="H19" s="640">
        <v>0</v>
      </c>
      <c r="I19" s="414">
        <v>41.120000000000005</v>
      </c>
      <c r="J19" s="414">
        <f t="shared" ref="J19:J41" si="3">IF(ISBLANK(I19),"",SUM(H19:I19))</f>
        <v>41.120000000000005</v>
      </c>
      <c r="K19" s="415">
        <f t="shared" ref="K19:K39" si="4">IF(ISBLANK(I19),0,ROUND(J19*(1+$F$10)*(1+$F$11*E19),2))</f>
        <v>48.85</v>
      </c>
      <c r="L19" s="641" t="s">
        <v>19</v>
      </c>
      <c r="M19" s="576"/>
      <c r="N19" s="576">
        <f>IF(M19=0,0,K19)</f>
        <v>0</v>
      </c>
      <c r="O19" s="642">
        <f>IF(ISBLANK(M19),0,ROUND(K19*M19,2))</f>
        <v>0</v>
      </c>
      <c r="P19" s="578">
        <f>IF(ISBLANK(N19),0,ROUND(M19*N19,2))</f>
        <v>0</v>
      </c>
      <c r="Q19" s="765"/>
      <c r="R19" s="576">
        <f>M19</f>
        <v>0</v>
      </c>
      <c r="S19" s="576">
        <f>N19</f>
        <v>0</v>
      </c>
      <c r="T19" s="577">
        <f>IF(ISBLANK(R19),0,ROUND(K19*R19,2))</f>
        <v>0</v>
      </c>
      <c r="U19" s="578">
        <f>IF(ISBLANK(R19),0,ROUND(R19*S19,2))</f>
        <v>0</v>
      </c>
      <c r="V19" s="643"/>
      <c r="W19" s="566"/>
      <c r="X19" s="586" t="str">
        <f t="shared" si="0"/>
        <v/>
      </c>
      <c r="Y19" s="586" t="str">
        <f t="shared" si="1"/>
        <v/>
      </c>
      <c r="Z19" s="586" t="str">
        <f t="shared" si="2"/>
        <v/>
      </c>
    </row>
    <row r="20" spans="1:26" hidden="1" x14ac:dyDescent="0.2">
      <c r="A20" s="567">
        <v>830000</v>
      </c>
      <c r="B20" s="644" t="s">
        <v>1724</v>
      </c>
      <c r="C20" s="645" t="s">
        <v>206</v>
      </c>
      <c r="D20" s="416" t="s">
        <v>281</v>
      </c>
      <c r="E20" s="417"/>
      <c r="F20" s="418"/>
      <c r="G20" s="419"/>
      <c r="H20" s="646">
        <v>0</v>
      </c>
      <c r="I20" s="414">
        <v>34.14</v>
      </c>
      <c r="J20" s="420">
        <f t="shared" si="3"/>
        <v>34.14</v>
      </c>
      <c r="K20" s="421">
        <f t="shared" si="4"/>
        <v>40.56</v>
      </c>
      <c r="L20" s="647" t="s">
        <v>19</v>
      </c>
      <c r="M20" s="576"/>
      <c r="N20" s="576">
        <f t="shared" ref="N20:N83" si="5">IF(M20=0,0,K20)</f>
        <v>0</v>
      </c>
      <c r="O20" s="642">
        <f t="shared" ref="O20:O87" si="6">IF(ISBLANK(M20),0,ROUND(K20*M20,2))</f>
        <v>0</v>
      </c>
      <c r="P20" s="578">
        <f t="shared" ref="P20:P87" si="7">IF(ISBLANK(N20),0,ROUND(M20*N20,2))</f>
        <v>0</v>
      </c>
      <c r="Q20" s="765"/>
      <c r="R20" s="576">
        <f t="shared" ref="R20:S87" si="8">M20</f>
        <v>0</v>
      </c>
      <c r="S20" s="576">
        <f t="shared" si="8"/>
        <v>0</v>
      </c>
      <c r="T20" s="577">
        <f t="shared" ref="T20:T87" si="9">IF(ISBLANK(R20),0,ROUND(K20*R20,2))</f>
        <v>0</v>
      </c>
      <c r="U20" s="578">
        <f t="shared" ref="U20:U87" si="10">IF(ISBLANK(R20),0,ROUND(R20*S20,2))</f>
        <v>0</v>
      </c>
      <c r="V20" s="579"/>
      <c r="W20" s="566"/>
      <c r="X20" s="586" t="str">
        <f t="shared" si="0"/>
        <v/>
      </c>
      <c r="Y20" s="586" t="str">
        <f t="shared" si="1"/>
        <v/>
      </c>
      <c r="Z20" s="586" t="str">
        <f t="shared" si="2"/>
        <v/>
      </c>
    </row>
    <row r="21" spans="1:26" hidden="1" x14ac:dyDescent="0.2">
      <c r="A21" s="648">
        <v>606600</v>
      </c>
      <c r="B21" s="644" t="s">
        <v>1725</v>
      </c>
      <c r="C21" s="645" t="s">
        <v>206</v>
      </c>
      <c r="D21" s="422" t="s">
        <v>200</v>
      </c>
      <c r="E21" s="423"/>
      <c r="F21" s="424"/>
      <c r="G21" s="419"/>
      <c r="H21" s="646"/>
      <c r="I21" s="414">
        <v>300.33999999999997</v>
      </c>
      <c r="J21" s="420">
        <f t="shared" si="3"/>
        <v>300.33999999999997</v>
      </c>
      <c r="K21" s="421">
        <f t="shared" si="4"/>
        <v>356.83</v>
      </c>
      <c r="L21" s="647" t="s">
        <v>16</v>
      </c>
      <c r="M21" s="576"/>
      <c r="N21" s="576">
        <f t="shared" si="5"/>
        <v>0</v>
      </c>
      <c r="O21" s="642">
        <f t="shared" si="6"/>
        <v>0</v>
      </c>
      <c r="P21" s="578">
        <f t="shared" si="7"/>
        <v>0</v>
      </c>
      <c r="Q21" s="765"/>
      <c r="R21" s="576">
        <f t="shared" si="8"/>
        <v>0</v>
      </c>
      <c r="S21" s="576">
        <f t="shared" si="8"/>
        <v>0</v>
      </c>
      <c r="T21" s="577">
        <f t="shared" si="9"/>
        <v>0</v>
      </c>
      <c r="U21" s="578">
        <f t="shared" si="10"/>
        <v>0</v>
      </c>
      <c r="V21" s="579"/>
      <c r="W21" s="566"/>
      <c r="X21" s="586" t="str">
        <f t="shared" si="0"/>
        <v/>
      </c>
      <c r="Y21" s="586" t="str">
        <f t="shared" si="1"/>
        <v/>
      </c>
      <c r="Z21" s="586" t="str">
        <f t="shared" si="2"/>
        <v/>
      </c>
    </row>
    <row r="22" spans="1:26" hidden="1" x14ac:dyDescent="0.2">
      <c r="A22" s="648">
        <v>606700</v>
      </c>
      <c r="B22" s="644" t="s">
        <v>1726</v>
      </c>
      <c r="C22" s="645" t="s">
        <v>206</v>
      </c>
      <c r="D22" s="422" t="s">
        <v>199</v>
      </c>
      <c r="E22" s="423"/>
      <c r="F22" s="424"/>
      <c r="G22" s="419"/>
      <c r="H22" s="646"/>
      <c r="I22" s="414">
        <v>143.94</v>
      </c>
      <c r="J22" s="420">
        <f t="shared" si="3"/>
        <v>143.94</v>
      </c>
      <c r="K22" s="421">
        <f t="shared" si="4"/>
        <v>171.02</v>
      </c>
      <c r="L22" s="647" t="s">
        <v>16</v>
      </c>
      <c r="M22" s="576"/>
      <c r="N22" s="576">
        <f t="shared" si="5"/>
        <v>0</v>
      </c>
      <c r="O22" s="577">
        <f t="shared" si="6"/>
        <v>0</v>
      </c>
      <c r="P22" s="578">
        <f t="shared" si="7"/>
        <v>0</v>
      </c>
      <c r="Q22" s="765"/>
      <c r="R22" s="576">
        <f t="shared" si="8"/>
        <v>0</v>
      </c>
      <c r="S22" s="576">
        <f t="shared" si="8"/>
        <v>0</v>
      </c>
      <c r="T22" s="577">
        <f t="shared" si="9"/>
        <v>0</v>
      </c>
      <c r="U22" s="578">
        <f t="shared" si="10"/>
        <v>0</v>
      </c>
      <c r="V22" s="579"/>
      <c r="W22" s="566"/>
      <c r="X22" s="586" t="str">
        <f t="shared" si="0"/>
        <v/>
      </c>
      <c r="Y22" s="586" t="str">
        <f t="shared" si="1"/>
        <v/>
      </c>
      <c r="Z22" s="586" t="str">
        <f t="shared" si="2"/>
        <v/>
      </c>
    </row>
    <row r="23" spans="1:26" hidden="1" x14ac:dyDescent="0.2">
      <c r="A23" s="567">
        <v>512000</v>
      </c>
      <c r="B23" s="644">
        <v>512000</v>
      </c>
      <c r="C23" s="645" t="s">
        <v>206</v>
      </c>
      <c r="D23" s="422" t="s">
        <v>201</v>
      </c>
      <c r="E23" s="423"/>
      <c r="F23" s="424">
        <v>1</v>
      </c>
      <c r="G23" s="425">
        <v>1.86</v>
      </c>
      <c r="H23" s="649">
        <f>IF(F23&lt;=30,(1.07*F23+2.68)*G23,((1.07*30+2.68)+1.07*(F23-30))*G23)</f>
        <v>6.9750000000000005</v>
      </c>
      <c r="I23" s="414">
        <v>59.38</v>
      </c>
      <c r="J23" s="420">
        <f t="shared" si="3"/>
        <v>66.355000000000004</v>
      </c>
      <c r="K23" s="421">
        <f t="shared" si="4"/>
        <v>78.84</v>
      </c>
      <c r="L23" s="647" t="s">
        <v>16</v>
      </c>
      <c r="M23" s="576"/>
      <c r="N23" s="576">
        <f t="shared" si="5"/>
        <v>0</v>
      </c>
      <c r="O23" s="577">
        <f t="shared" si="6"/>
        <v>0</v>
      </c>
      <c r="P23" s="578">
        <f t="shared" si="7"/>
        <v>0</v>
      </c>
      <c r="Q23" s="765"/>
      <c r="R23" s="576">
        <f t="shared" si="8"/>
        <v>0</v>
      </c>
      <c r="S23" s="576">
        <f t="shared" si="8"/>
        <v>0</v>
      </c>
      <c r="T23" s="577">
        <f t="shared" si="9"/>
        <v>0</v>
      </c>
      <c r="U23" s="578">
        <f t="shared" si="10"/>
        <v>0</v>
      </c>
      <c r="V23" s="579"/>
      <c r="W23" s="566"/>
      <c r="X23" s="586" t="str">
        <f t="shared" si="0"/>
        <v/>
      </c>
      <c r="Y23" s="586" t="str">
        <f t="shared" si="1"/>
        <v/>
      </c>
      <c r="Z23" s="586" t="str">
        <f t="shared" si="2"/>
        <v/>
      </c>
    </row>
    <row r="24" spans="1:26" hidden="1" x14ac:dyDescent="0.2">
      <c r="A24" s="567">
        <v>512050</v>
      </c>
      <c r="B24" s="644">
        <v>512050</v>
      </c>
      <c r="C24" s="645" t="s">
        <v>206</v>
      </c>
      <c r="D24" s="422" t="s">
        <v>592</v>
      </c>
      <c r="E24" s="423"/>
      <c r="F24" s="424">
        <v>1</v>
      </c>
      <c r="G24" s="425">
        <v>1.86</v>
      </c>
      <c r="H24" s="649">
        <f t="shared" ref="H24:H28" si="11">IF(F24&lt;=30,(1.07*F24+2.68)*G24,((1.07*30+2.68)+1.07*(F24-30))*G24)</f>
        <v>6.9750000000000005</v>
      </c>
      <c r="I24" s="414">
        <v>41.37</v>
      </c>
      <c r="J24" s="420">
        <f t="shared" si="3"/>
        <v>48.344999999999999</v>
      </c>
      <c r="K24" s="421">
        <f t="shared" si="4"/>
        <v>57.44</v>
      </c>
      <c r="L24" s="647" t="s">
        <v>16</v>
      </c>
      <c r="M24" s="576"/>
      <c r="N24" s="576">
        <f t="shared" si="5"/>
        <v>0</v>
      </c>
      <c r="O24" s="577">
        <f t="shared" si="6"/>
        <v>0</v>
      </c>
      <c r="P24" s="578">
        <f t="shared" si="7"/>
        <v>0</v>
      </c>
      <c r="Q24" s="765"/>
      <c r="R24" s="576">
        <f t="shared" si="8"/>
        <v>0</v>
      </c>
      <c r="S24" s="576">
        <f t="shared" si="8"/>
        <v>0</v>
      </c>
      <c r="T24" s="577">
        <f t="shared" si="9"/>
        <v>0</v>
      </c>
      <c r="U24" s="578">
        <f t="shared" si="10"/>
        <v>0</v>
      </c>
      <c r="V24" s="579"/>
      <c r="W24" s="566"/>
      <c r="X24" s="586" t="str">
        <f t="shared" si="0"/>
        <v/>
      </c>
      <c r="Y24" s="586" t="str">
        <f t="shared" si="1"/>
        <v/>
      </c>
      <c r="Z24" s="586" t="str">
        <f t="shared" si="2"/>
        <v/>
      </c>
    </row>
    <row r="25" spans="1:26" hidden="1" x14ac:dyDescent="0.2">
      <c r="A25" s="567">
        <v>810250</v>
      </c>
      <c r="B25" s="644" t="s">
        <v>486</v>
      </c>
      <c r="C25" s="645" t="s">
        <v>206</v>
      </c>
      <c r="D25" s="422" t="s">
        <v>488</v>
      </c>
      <c r="E25" s="423"/>
      <c r="F25" s="424">
        <v>10</v>
      </c>
      <c r="G25" s="425">
        <f>ROUND(0.017*2.34,4)</f>
        <v>3.9800000000000002E-2</v>
      </c>
      <c r="H25" s="649">
        <f t="shared" si="11"/>
        <v>0.53252400000000011</v>
      </c>
      <c r="I25" s="420">
        <v>19.262602000000001</v>
      </c>
      <c r="J25" s="420">
        <f t="shared" si="3"/>
        <v>19.795126</v>
      </c>
      <c r="K25" s="421">
        <f t="shared" si="4"/>
        <v>23.52</v>
      </c>
      <c r="L25" s="647" t="s">
        <v>19</v>
      </c>
      <c r="M25" s="576"/>
      <c r="N25" s="576">
        <f t="shared" si="5"/>
        <v>0</v>
      </c>
      <c r="O25" s="577">
        <f t="shared" si="6"/>
        <v>0</v>
      </c>
      <c r="P25" s="578">
        <f t="shared" si="7"/>
        <v>0</v>
      </c>
      <c r="Q25" s="765"/>
      <c r="R25" s="576">
        <f t="shared" si="8"/>
        <v>0</v>
      </c>
      <c r="S25" s="576">
        <f t="shared" si="8"/>
        <v>0</v>
      </c>
      <c r="T25" s="577">
        <f t="shared" si="9"/>
        <v>0</v>
      </c>
      <c r="U25" s="578">
        <f t="shared" si="10"/>
        <v>0</v>
      </c>
      <c r="V25" s="579"/>
      <c r="W25" s="566"/>
      <c r="X25" s="586" t="str">
        <f t="shared" si="0"/>
        <v/>
      </c>
      <c r="Y25" s="586" t="str">
        <f t="shared" si="1"/>
        <v/>
      </c>
      <c r="Z25" s="586" t="str">
        <f t="shared" si="2"/>
        <v/>
      </c>
    </row>
    <row r="26" spans="1:26" hidden="1" x14ac:dyDescent="0.2">
      <c r="A26" s="567">
        <v>810250</v>
      </c>
      <c r="B26" s="644" t="s">
        <v>487</v>
      </c>
      <c r="C26" s="645" t="s">
        <v>206</v>
      </c>
      <c r="D26" s="422" t="s">
        <v>616</v>
      </c>
      <c r="E26" s="423"/>
      <c r="F26" s="424">
        <v>10</v>
      </c>
      <c r="G26" s="425">
        <f>ROUND(0.01125*2.34,4)</f>
        <v>2.63E-2</v>
      </c>
      <c r="H26" s="649">
        <f t="shared" si="11"/>
        <v>0.35189400000000004</v>
      </c>
      <c r="I26" s="420">
        <v>12.672704</v>
      </c>
      <c r="J26" s="420">
        <f t="shared" si="3"/>
        <v>13.024597999999999</v>
      </c>
      <c r="K26" s="421">
        <f t="shared" si="4"/>
        <v>15.47</v>
      </c>
      <c r="L26" s="647" t="s">
        <v>19</v>
      </c>
      <c r="M26" s="576"/>
      <c r="N26" s="576">
        <f t="shared" si="5"/>
        <v>0</v>
      </c>
      <c r="O26" s="577">
        <f t="shared" si="6"/>
        <v>0</v>
      </c>
      <c r="P26" s="578">
        <f t="shared" si="7"/>
        <v>0</v>
      </c>
      <c r="Q26" s="765"/>
      <c r="R26" s="576">
        <f t="shared" si="8"/>
        <v>0</v>
      </c>
      <c r="S26" s="576">
        <f t="shared" si="8"/>
        <v>0</v>
      </c>
      <c r="T26" s="577">
        <f t="shared" si="9"/>
        <v>0</v>
      </c>
      <c r="U26" s="578">
        <f t="shared" si="10"/>
        <v>0</v>
      </c>
      <c r="V26" s="579"/>
      <c r="W26" s="566"/>
      <c r="X26" s="586" t="str">
        <f t="shared" si="0"/>
        <v/>
      </c>
      <c r="Y26" s="586" t="str">
        <f t="shared" si="1"/>
        <v/>
      </c>
      <c r="Z26" s="586" t="str">
        <f t="shared" si="2"/>
        <v/>
      </c>
    </row>
    <row r="27" spans="1:26" hidden="1" x14ac:dyDescent="0.2">
      <c r="A27" s="567">
        <v>810250</v>
      </c>
      <c r="B27" s="644" t="s">
        <v>489</v>
      </c>
      <c r="C27" s="645" t="s">
        <v>206</v>
      </c>
      <c r="D27" s="422" t="s">
        <v>490</v>
      </c>
      <c r="E27" s="423"/>
      <c r="F27" s="424">
        <v>10</v>
      </c>
      <c r="G27" s="425">
        <f>ROUND(0.014*2.34,4)</f>
        <v>3.2800000000000003E-2</v>
      </c>
      <c r="H27" s="649">
        <f t="shared" si="11"/>
        <v>0.43886400000000009</v>
      </c>
      <c r="I27" s="420">
        <v>15.770599499999998</v>
      </c>
      <c r="J27" s="420">
        <f t="shared" si="3"/>
        <v>16.209463499999998</v>
      </c>
      <c r="K27" s="421">
        <f t="shared" si="4"/>
        <v>19.260000000000002</v>
      </c>
      <c r="L27" s="647" t="s">
        <v>19</v>
      </c>
      <c r="M27" s="576"/>
      <c r="N27" s="576">
        <f t="shared" si="5"/>
        <v>0</v>
      </c>
      <c r="O27" s="577">
        <f t="shared" si="6"/>
        <v>0</v>
      </c>
      <c r="P27" s="578">
        <f t="shared" si="7"/>
        <v>0</v>
      </c>
      <c r="Q27" s="765"/>
      <c r="R27" s="576">
        <f t="shared" si="8"/>
        <v>0</v>
      </c>
      <c r="S27" s="576">
        <f t="shared" si="8"/>
        <v>0</v>
      </c>
      <c r="T27" s="577">
        <f t="shared" si="9"/>
        <v>0</v>
      </c>
      <c r="U27" s="578">
        <f t="shared" si="10"/>
        <v>0</v>
      </c>
      <c r="V27" s="579"/>
      <c r="W27" s="566"/>
      <c r="X27" s="586" t="str">
        <f t="shared" si="0"/>
        <v/>
      </c>
      <c r="Y27" s="586" t="str">
        <f t="shared" si="1"/>
        <v/>
      </c>
      <c r="Z27" s="586" t="str">
        <f t="shared" si="2"/>
        <v/>
      </c>
    </row>
    <row r="28" spans="1:26" hidden="1" x14ac:dyDescent="0.2">
      <c r="A28" s="567" t="s">
        <v>2063</v>
      </c>
      <c r="B28" s="644" t="s">
        <v>1520</v>
      </c>
      <c r="C28" s="645" t="s">
        <v>484</v>
      </c>
      <c r="D28" s="422" t="s">
        <v>491</v>
      </c>
      <c r="E28" s="423"/>
      <c r="F28" s="424">
        <v>10</v>
      </c>
      <c r="G28" s="425">
        <f>ROUND(0.012*1.8,4)</f>
        <v>2.1600000000000001E-2</v>
      </c>
      <c r="H28" s="649">
        <f t="shared" si="11"/>
        <v>0.28900800000000004</v>
      </c>
      <c r="I28" s="420">
        <v>41.73</v>
      </c>
      <c r="J28" s="420">
        <f t="shared" si="3"/>
        <v>42.019007999999999</v>
      </c>
      <c r="K28" s="421">
        <f t="shared" si="4"/>
        <v>49.92</v>
      </c>
      <c r="L28" s="647" t="s">
        <v>19</v>
      </c>
      <c r="M28" s="576"/>
      <c r="N28" s="576">
        <f t="shared" si="5"/>
        <v>0</v>
      </c>
      <c r="O28" s="577">
        <f t="shared" si="6"/>
        <v>0</v>
      </c>
      <c r="P28" s="578">
        <f t="shared" si="7"/>
        <v>0</v>
      </c>
      <c r="Q28" s="765"/>
      <c r="R28" s="576">
        <f t="shared" si="8"/>
        <v>0</v>
      </c>
      <c r="S28" s="576">
        <f t="shared" si="8"/>
        <v>0</v>
      </c>
      <c r="T28" s="577">
        <f t="shared" si="9"/>
        <v>0</v>
      </c>
      <c r="U28" s="578">
        <f t="shared" si="10"/>
        <v>0</v>
      </c>
      <c r="V28" s="579"/>
      <c r="W28" s="566"/>
      <c r="X28" s="586" t="str">
        <f t="shared" si="0"/>
        <v/>
      </c>
      <c r="Y28" s="586" t="str">
        <f t="shared" si="1"/>
        <v/>
      </c>
      <c r="Z28" s="586" t="str">
        <f t="shared" si="2"/>
        <v/>
      </c>
    </row>
    <row r="29" spans="1:26" hidden="1" x14ac:dyDescent="0.2">
      <c r="A29" s="567">
        <v>600310</v>
      </c>
      <c r="B29" s="644" t="s">
        <v>1521</v>
      </c>
      <c r="C29" s="645" t="s">
        <v>206</v>
      </c>
      <c r="D29" s="416" t="s">
        <v>474</v>
      </c>
      <c r="E29" s="417"/>
      <c r="F29" s="418"/>
      <c r="G29" s="419"/>
      <c r="H29" s="646"/>
      <c r="I29" s="420">
        <v>138.22</v>
      </c>
      <c r="J29" s="420">
        <f t="shared" si="3"/>
        <v>138.22</v>
      </c>
      <c r="K29" s="421">
        <f t="shared" si="4"/>
        <v>164.22</v>
      </c>
      <c r="L29" s="647" t="s">
        <v>21</v>
      </c>
      <c r="M29" s="576"/>
      <c r="N29" s="576">
        <f t="shared" si="5"/>
        <v>0</v>
      </c>
      <c r="O29" s="577">
        <f t="shared" si="6"/>
        <v>0</v>
      </c>
      <c r="P29" s="578">
        <f t="shared" si="7"/>
        <v>0</v>
      </c>
      <c r="Q29" s="765"/>
      <c r="R29" s="576">
        <f t="shared" si="8"/>
        <v>0</v>
      </c>
      <c r="S29" s="576">
        <f t="shared" si="8"/>
        <v>0</v>
      </c>
      <c r="T29" s="577">
        <f t="shared" si="9"/>
        <v>0</v>
      </c>
      <c r="U29" s="578">
        <f t="shared" si="10"/>
        <v>0</v>
      </c>
      <c r="V29" s="579"/>
      <c r="W29" s="566"/>
      <c r="X29" s="586" t="str">
        <f t="shared" si="0"/>
        <v/>
      </c>
      <c r="Y29" s="586" t="str">
        <f t="shared" si="1"/>
        <v/>
      </c>
      <c r="Z29" s="586" t="str">
        <f t="shared" si="2"/>
        <v/>
      </c>
    </row>
    <row r="30" spans="1:26" hidden="1" x14ac:dyDescent="0.2">
      <c r="A30" s="567">
        <v>800900</v>
      </c>
      <c r="B30" s="644" t="s">
        <v>1522</v>
      </c>
      <c r="C30" s="645" t="s">
        <v>206</v>
      </c>
      <c r="D30" s="416" t="s">
        <v>475</v>
      </c>
      <c r="E30" s="417"/>
      <c r="F30" s="418"/>
      <c r="G30" s="419"/>
      <c r="H30" s="646"/>
      <c r="I30" s="420">
        <v>13.34</v>
      </c>
      <c r="J30" s="420">
        <f t="shared" si="3"/>
        <v>13.34</v>
      </c>
      <c r="K30" s="421">
        <f t="shared" si="4"/>
        <v>15.85</v>
      </c>
      <c r="L30" s="647" t="s">
        <v>18</v>
      </c>
      <c r="M30" s="576"/>
      <c r="N30" s="576">
        <f t="shared" si="5"/>
        <v>0</v>
      </c>
      <c r="O30" s="577">
        <f t="shared" si="6"/>
        <v>0</v>
      </c>
      <c r="P30" s="578">
        <f t="shared" si="7"/>
        <v>0</v>
      </c>
      <c r="Q30" s="765"/>
      <c r="R30" s="576">
        <f t="shared" si="8"/>
        <v>0</v>
      </c>
      <c r="S30" s="576">
        <f t="shared" si="8"/>
        <v>0</v>
      </c>
      <c r="T30" s="577">
        <f t="shared" si="9"/>
        <v>0</v>
      </c>
      <c r="U30" s="578">
        <f t="shared" si="10"/>
        <v>0</v>
      </c>
      <c r="V30" s="579"/>
      <c r="W30" s="566"/>
      <c r="X30" s="586" t="str">
        <f t="shared" si="0"/>
        <v/>
      </c>
      <c r="Y30" s="586" t="str">
        <f t="shared" si="1"/>
        <v/>
      </c>
      <c r="Z30" s="586" t="str">
        <f t="shared" si="2"/>
        <v/>
      </c>
    </row>
    <row r="31" spans="1:26" hidden="1" x14ac:dyDescent="0.2">
      <c r="A31" s="567">
        <v>801100</v>
      </c>
      <c r="B31" s="644" t="s">
        <v>1523</v>
      </c>
      <c r="C31" s="645" t="s">
        <v>206</v>
      </c>
      <c r="D31" s="416" t="s">
        <v>293</v>
      </c>
      <c r="E31" s="417"/>
      <c r="F31" s="418"/>
      <c r="G31" s="419"/>
      <c r="H31" s="646"/>
      <c r="I31" s="420">
        <v>19.09</v>
      </c>
      <c r="J31" s="420">
        <f t="shared" si="3"/>
        <v>19.09</v>
      </c>
      <c r="K31" s="421">
        <f t="shared" si="4"/>
        <v>22.68</v>
      </c>
      <c r="L31" s="647" t="s">
        <v>18</v>
      </c>
      <c r="M31" s="576"/>
      <c r="N31" s="576">
        <f t="shared" si="5"/>
        <v>0</v>
      </c>
      <c r="O31" s="577">
        <f t="shared" si="6"/>
        <v>0</v>
      </c>
      <c r="P31" s="578">
        <f t="shared" si="7"/>
        <v>0</v>
      </c>
      <c r="Q31" s="765"/>
      <c r="R31" s="650">
        <f t="shared" si="8"/>
        <v>0</v>
      </c>
      <c r="S31" s="587">
        <f t="shared" si="8"/>
        <v>0</v>
      </c>
      <c r="T31" s="577">
        <f t="shared" si="9"/>
        <v>0</v>
      </c>
      <c r="U31" s="578">
        <f t="shared" si="10"/>
        <v>0</v>
      </c>
      <c r="V31" s="579"/>
      <c r="W31" s="566"/>
      <c r="X31" s="586" t="str">
        <f t="shared" si="0"/>
        <v/>
      </c>
      <c r="Y31" s="586" t="str">
        <f t="shared" si="1"/>
        <v/>
      </c>
      <c r="Z31" s="586" t="str">
        <f t="shared" si="2"/>
        <v/>
      </c>
    </row>
    <row r="32" spans="1:26" hidden="1" x14ac:dyDescent="0.2">
      <c r="A32" s="567">
        <v>600510</v>
      </c>
      <c r="B32" s="644" t="s">
        <v>1524</v>
      </c>
      <c r="C32" s="645" t="s">
        <v>206</v>
      </c>
      <c r="D32" s="416" t="s">
        <v>476</v>
      </c>
      <c r="E32" s="417"/>
      <c r="F32" s="418"/>
      <c r="G32" s="419"/>
      <c r="H32" s="646"/>
      <c r="I32" s="420">
        <v>2.39</v>
      </c>
      <c r="J32" s="420">
        <f t="shared" si="3"/>
        <v>2.39</v>
      </c>
      <c r="K32" s="421">
        <f t="shared" si="4"/>
        <v>2.84</v>
      </c>
      <c r="L32" s="647" t="s">
        <v>19</v>
      </c>
      <c r="M32" s="576"/>
      <c r="N32" s="576">
        <f t="shared" si="5"/>
        <v>0</v>
      </c>
      <c r="O32" s="577">
        <f t="shared" si="6"/>
        <v>0</v>
      </c>
      <c r="P32" s="578">
        <f t="shared" si="7"/>
        <v>0</v>
      </c>
      <c r="Q32" s="765"/>
      <c r="R32" s="650">
        <f t="shared" si="8"/>
        <v>0</v>
      </c>
      <c r="S32" s="587">
        <f t="shared" si="8"/>
        <v>0</v>
      </c>
      <c r="T32" s="577">
        <f>IF(ISBLANK(R32),0,ROUND(K32*R32,2))</f>
        <v>0</v>
      </c>
      <c r="U32" s="578">
        <f>IF(ISBLANK(R32),0,ROUND(R32*S32,2))</f>
        <v>0</v>
      </c>
      <c r="V32" s="579"/>
      <c r="W32" s="566"/>
      <c r="X32" s="586" t="str">
        <f t="shared" si="0"/>
        <v/>
      </c>
      <c r="Y32" s="586" t="str">
        <f t="shared" si="1"/>
        <v/>
      </c>
      <c r="Z32" s="586" t="str">
        <f t="shared" si="2"/>
        <v/>
      </c>
    </row>
    <row r="33" spans="1:26" ht="23.25" thickBot="1" x14ac:dyDescent="0.25">
      <c r="A33" s="567" t="s">
        <v>800</v>
      </c>
      <c r="B33" s="644" t="s">
        <v>800</v>
      </c>
      <c r="C33" s="645" t="s">
        <v>1525</v>
      </c>
      <c r="D33" s="422" t="s">
        <v>801</v>
      </c>
      <c r="E33" s="423"/>
      <c r="F33" s="424"/>
      <c r="G33" s="425"/>
      <c r="H33" s="651"/>
      <c r="I33" s="420">
        <v>3199.34</v>
      </c>
      <c r="J33" s="420">
        <f t="shared" si="3"/>
        <v>3199.34</v>
      </c>
      <c r="K33" s="421">
        <f>IF(ISBLANK(I33),0,ROUND(J33*(1+$F$10)*(1+$F$11*E33),2))</f>
        <v>3801.14</v>
      </c>
      <c r="L33" s="647" t="s">
        <v>21</v>
      </c>
      <c r="M33" s="576">
        <v>1</v>
      </c>
      <c r="N33" s="576">
        <f t="shared" si="5"/>
        <v>3801.14</v>
      </c>
      <c r="O33" s="577">
        <f t="shared" si="6"/>
        <v>3801.14</v>
      </c>
      <c r="P33" s="578">
        <f t="shared" si="7"/>
        <v>3801.14</v>
      </c>
      <c r="Q33" s="765"/>
      <c r="R33" s="650">
        <f t="shared" si="8"/>
        <v>1</v>
      </c>
      <c r="S33" s="587">
        <f t="shared" si="8"/>
        <v>3801.14</v>
      </c>
      <c r="T33" s="577">
        <f t="shared" si="9"/>
        <v>3801.14</v>
      </c>
      <c r="U33" s="578">
        <f t="shared" si="10"/>
        <v>3801.14</v>
      </c>
      <c r="V33" s="579"/>
      <c r="W33" s="637"/>
      <c r="X33" s="586" t="str">
        <f>IF(W33="X","x",IF(W33="xx","x",IF(W33="xy","x",IF(W33="y","x",IF(OR(P33&gt;0,U33&gt;0),"x","")))))</f>
        <v>x</v>
      </c>
      <c r="Y33" s="586" t="str">
        <f>IF(W33="X","x",IF(W33="y","x",IF(W33="xx","x",IF(U33&gt;0,"x",""))))</f>
        <v>x</v>
      </c>
      <c r="Z33" s="586" t="str">
        <f>IF(W33="X","x",IF(U33&gt;0,"x",""))</f>
        <v>x</v>
      </c>
    </row>
    <row r="34" spans="1:26" ht="23.25" hidden="1" thickBot="1" x14ac:dyDescent="0.25">
      <c r="A34" s="567" t="s">
        <v>2064</v>
      </c>
      <c r="B34" s="644" t="s">
        <v>1592</v>
      </c>
      <c r="C34" s="645" t="s">
        <v>1525</v>
      </c>
      <c r="D34" s="422" t="s">
        <v>803</v>
      </c>
      <c r="E34" s="423"/>
      <c r="F34" s="424"/>
      <c r="G34" s="425"/>
      <c r="H34" s="651"/>
      <c r="I34" s="420">
        <v>1752.27</v>
      </c>
      <c r="J34" s="420">
        <f t="shared" si="3"/>
        <v>1752.27</v>
      </c>
      <c r="K34" s="421">
        <f>IF(ISBLANK(I34),0,ROUND(J34*(1+$F$10)*(1+$F$11*E34),2))</f>
        <v>2081.87</v>
      </c>
      <c r="L34" s="647" t="s">
        <v>21</v>
      </c>
      <c r="M34" s="576"/>
      <c r="N34" s="576">
        <f t="shared" si="5"/>
        <v>0</v>
      </c>
      <c r="O34" s="577">
        <f t="shared" si="6"/>
        <v>0</v>
      </c>
      <c r="P34" s="578">
        <f t="shared" si="7"/>
        <v>0</v>
      </c>
      <c r="Q34" s="765"/>
      <c r="R34" s="650">
        <f t="shared" si="8"/>
        <v>0</v>
      </c>
      <c r="S34" s="587">
        <f t="shared" si="8"/>
        <v>0</v>
      </c>
      <c r="T34" s="577">
        <f t="shared" si="9"/>
        <v>0</v>
      </c>
      <c r="U34" s="578">
        <f t="shared" si="10"/>
        <v>0</v>
      </c>
      <c r="V34" s="579"/>
      <c r="W34" s="637"/>
      <c r="X34" s="586" t="str">
        <f>IF(W34="X","x",IF(W34="xx","x",IF(W34="xy","x",IF(W34="y","x",IF(OR(P34&gt;0,U34&gt;0),"x","")))))</f>
        <v/>
      </c>
      <c r="Y34" s="586" t="str">
        <f>IF(W34="X","x",IF(W34="y","x",IF(W34="xx","x",IF(U34&gt;0,"x",""))))</f>
        <v/>
      </c>
      <c r="Z34" s="586" t="str">
        <f>IF(W34="X","x",IF(U34&gt;0,"x",""))</f>
        <v/>
      </c>
    </row>
    <row r="35" spans="1:26" ht="12" hidden="1" thickBot="1" x14ac:dyDescent="0.25">
      <c r="A35" s="567" t="s">
        <v>802</v>
      </c>
      <c r="B35" s="644" t="s">
        <v>802</v>
      </c>
      <c r="C35" s="645" t="s">
        <v>1525</v>
      </c>
      <c r="D35" s="422" t="s">
        <v>1526</v>
      </c>
      <c r="E35" s="423"/>
      <c r="F35" s="424"/>
      <c r="G35" s="425"/>
      <c r="H35" s="651"/>
      <c r="I35" s="420">
        <v>112.45</v>
      </c>
      <c r="J35" s="420">
        <f t="shared" si="3"/>
        <v>112.45</v>
      </c>
      <c r="K35" s="421">
        <f>IF(ISBLANK(I35),0,ROUND(J35*(1+$F$10)*(1+$F$11*E35),2))</f>
        <v>133.6</v>
      </c>
      <c r="L35" s="647" t="s">
        <v>21</v>
      </c>
      <c r="M35" s="576"/>
      <c r="N35" s="576">
        <f t="shared" si="5"/>
        <v>0</v>
      </c>
      <c r="O35" s="577">
        <f t="shared" si="6"/>
        <v>0</v>
      </c>
      <c r="P35" s="578">
        <f t="shared" si="7"/>
        <v>0</v>
      </c>
      <c r="Q35" s="765"/>
      <c r="R35" s="650">
        <f t="shared" si="8"/>
        <v>0</v>
      </c>
      <c r="S35" s="587">
        <f t="shared" si="8"/>
        <v>0</v>
      </c>
      <c r="T35" s="577">
        <f t="shared" si="9"/>
        <v>0</v>
      </c>
      <c r="U35" s="578">
        <f t="shared" si="10"/>
        <v>0</v>
      </c>
      <c r="V35" s="579"/>
      <c r="W35" s="637"/>
      <c r="X35" s="586" t="str">
        <f>IF(W35="X","x",IF(W35="xx","x",IF(W35="xy","x",IF(W35="y","x",IF(OR(P35&gt;0,U35&gt;0),"x","")))))</f>
        <v/>
      </c>
      <c r="Y35" s="586" t="str">
        <f>IF(W35="X","x",IF(W35="y","x",IF(W35="xx","x",IF(U35&gt;0,"x",""))))</f>
        <v/>
      </c>
      <c r="Z35" s="586" t="str">
        <f>IF(W35="X","x",IF(U35&gt;0,"x",""))</f>
        <v/>
      </c>
    </row>
    <row r="36" spans="1:26" ht="12" hidden="1" thickBot="1" x14ac:dyDescent="0.25">
      <c r="A36" s="567">
        <v>841000</v>
      </c>
      <c r="B36" s="644" t="s">
        <v>1527</v>
      </c>
      <c r="C36" s="645" t="s">
        <v>206</v>
      </c>
      <c r="D36" s="416" t="s">
        <v>477</v>
      </c>
      <c r="E36" s="417"/>
      <c r="F36" s="418"/>
      <c r="G36" s="419"/>
      <c r="H36" s="646"/>
      <c r="I36" s="420">
        <v>11.64</v>
      </c>
      <c r="J36" s="420">
        <f t="shared" si="3"/>
        <v>11.64</v>
      </c>
      <c r="K36" s="421">
        <f t="shared" si="4"/>
        <v>13.83</v>
      </c>
      <c r="L36" s="647" t="s">
        <v>19</v>
      </c>
      <c r="M36" s="576"/>
      <c r="N36" s="576">
        <f t="shared" si="5"/>
        <v>0</v>
      </c>
      <c r="O36" s="577">
        <f t="shared" si="6"/>
        <v>0</v>
      </c>
      <c r="P36" s="578">
        <f t="shared" si="7"/>
        <v>0</v>
      </c>
      <c r="Q36" s="765"/>
      <c r="R36" s="650">
        <f t="shared" si="8"/>
        <v>0</v>
      </c>
      <c r="S36" s="587">
        <f t="shared" si="8"/>
        <v>0</v>
      </c>
      <c r="T36" s="577">
        <f t="shared" si="9"/>
        <v>0</v>
      </c>
      <c r="U36" s="578">
        <f t="shared" si="10"/>
        <v>0</v>
      </c>
      <c r="V36" s="579"/>
      <c r="W36" s="566"/>
      <c r="X36" s="586" t="str">
        <f t="shared" si="0"/>
        <v/>
      </c>
      <c r="Y36" s="586" t="str">
        <f t="shared" si="1"/>
        <v/>
      </c>
      <c r="Z36" s="586" t="str">
        <f t="shared" si="2"/>
        <v/>
      </c>
    </row>
    <row r="37" spans="1:26" ht="12" hidden="1" thickBot="1" x14ac:dyDescent="0.25">
      <c r="A37" s="567">
        <v>840000</v>
      </c>
      <c r="B37" s="644" t="s">
        <v>1528</v>
      </c>
      <c r="C37" s="645" t="s">
        <v>206</v>
      </c>
      <c r="D37" s="416" t="s">
        <v>279</v>
      </c>
      <c r="E37" s="417"/>
      <c r="F37" s="418"/>
      <c r="G37" s="419"/>
      <c r="H37" s="646"/>
      <c r="I37" s="420">
        <v>32.15</v>
      </c>
      <c r="J37" s="420">
        <f t="shared" si="3"/>
        <v>32.15</v>
      </c>
      <c r="K37" s="421">
        <f t="shared" si="4"/>
        <v>38.200000000000003</v>
      </c>
      <c r="L37" s="647" t="s">
        <v>19</v>
      </c>
      <c r="M37" s="576"/>
      <c r="N37" s="576">
        <f t="shared" si="5"/>
        <v>0</v>
      </c>
      <c r="O37" s="577">
        <f t="shared" si="6"/>
        <v>0</v>
      </c>
      <c r="P37" s="578">
        <f t="shared" si="7"/>
        <v>0</v>
      </c>
      <c r="Q37" s="765"/>
      <c r="R37" s="650">
        <f t="shared" si="8"/>
        <v>0</v>
      </c>
      <c r="S37" s="587">
        <f t="shared" si="8"/>
        <v>0</v>
      </c>
      <c r="T37" s="577">
        <f t="shared" si="9"/>
        <v>0</v>
      </c>
      <c r="U37" s="578">
        <f t="shared" si="10"/>
        <v>0</v>
      </c>
      <c r="V37" s="579"/>
      <c r="W37" s="566"/>
      <c r="X37" s="586" t="str">
        <f t="shared" si="0"/>
        <v/>
      </c>
      <c r="Y37" s="586" t="str">
        <f t="shared" si="1"/>
        <v/>
      </c>
      <c r="Z37" s="586" t="str">
        <f t="shared" si="2"/>
        <v/>
      </c>
    </row>
    <row r="38" spans="1:26" ht="12" hidden="1" thickBot="1" x14ac:dyDescent="0.25">
      <c r="A38" s="567">
        <v>100981</v>
      </c>
      <c r="B38" s="644">
        <v>100981</v>
      </c>
      <c r="C38" s="645" t="s">
        <v>670</v>
      </c>
      <c r="D38" s="416" t="s">
        <v>590</v>
      </c>
      <c r="E38" s="417"/>
      <c r="F38" s="418"/>
      <c r="G38" s="419"/>
      <c r="H38" s="646"/>
      <c r="I38" s="420">
        <v>8.75</v>
      </c>
      <c r="J38" s="420">
        <f t="shared" si="3"/>
        <v>8.75</v>
      </c>
      <c r="K38" s="421">
        <f t="shared" si="4"/>
        <v>10.4</v>
      </c>
      <c r="L38" s="647" t="s">
        <v>16</v>
      </c>
      <c r="M38" s="576"/>
      <c r="N38" s="576">
        <f t="shared" si="5"/>
        <v>0</v>
      </c>
      <c r="O38" s="577">
        <f t="shared" si="6"/>
        <v>0</v>
      </c>
      <c r="P38" s="578">
        <f t="shared" si="7"/>
        <v>0</v>
      </c>
      <c r="Q38" s="765"/>
      <c r="R38" s="650">
        <f t="shared" si="8"/>
        <v>0</v>
      </c>
      <c r="S38" s="587">
        <f t="shared" si="8"/>
        <v>0</v>
      </c>
      <c r="T38" s="577">
        <f t="shared" si="9"/>
        <v>0</v>
      </c>
      <c r="U38" s="578">
        <f t="shared" si="10"/>
        <v>0</v>
      </c>
      <c r="V38" s="579"/>
      <c r="W38" s="566"/>
      <c r="X38" s="586" t="str">
        <f t="shared" si="0"/>
        <v/>
      </c>
      <c r="Y38" s="586" t="str">
        <f t="shared" si="1"/>
        <v/>
      </c>
      <c r="Z38" s="586" t="str">
        <f t="shared" si="2"/>
        <v/>
      </c>
    </row>
    <row r="39" spans="1:26" ht="12" hidden="1" thickBot="1" x14ac:dyDescent="0.25">
      <c r="A39" s="567">
        <v>97623</v>
      </c>
      <c r="B39" s="644" t="s">
        <v>1594</v>
      </c>
      <c r="C39" s="645" t="s">
        <v>670</v>
      </c>
      <c r="D39" s="416" t="s">
        <v>1595</v>
      </c>
      <c r="E39" s="417"/>
      <c r="F39" s="418"/>
      <c r="G39" s="419"/>
      <c r="H39" s="646"/>
      <c r="I39" s="420">
        <v>175.28</v>
      </c>
      <c r="J39" s="420">
        <f t="shared" si="3"/>
        <v>175.28</v>
      </c>
      <c r="K39" s="421">
        <f t="shared" si="4"/>
        <v>208.25</v>
      </c>
      <c r="L39" s="647" t="s">
        <v>16</v>
      </c>
      <c r="M39" s="576"/>
      <c r="N39" s="576">
        <f t="shared" si="5"/>
        <v>0</v>
      </c>
      <c r="O39" s="577">
        <f t="shared" si="6"/>
        <v>0</v>
      </c>
      <c r="P39" s="578">
        <f t="shared" si="7"/>
        <v>0</v>
      </c>
      <c r="Q39" s="765"/>
      <c r="R39" s="650">
        <f t="shared" si="8"/>
        <v>0</v>
      </c>
      <c r="S39" s="587">
        <f t="shared" si="8"/>
        <v>0</v>
      </c>
      <c r="T39" s="577">
        <f t="shared" si="9"/>
        <v>0</v>
      </c>
      <c r="U39" s="578">
        <f t="shared" si="10"/>
        <v>0</v>
      </c>
      <c r="V39" s="579"/>
      <c r="W39" s="566"/>
      <c r="X39" s="586" t="str">
        <f t="shared" si="0"/>
        <v/>
      </c>
      <c r="Y39" s="586" t="str">
        <f t="shared" si="1"/>
        <v/>
      </c>
      <c r="Z39" s="586" t="str">
        <f t="shared" si="2"/>
        <v/>
      </c>
    </row>
    <row r="40" spans="1:26" ht="12" hidden="1" thickBot="1" x14ac:dyDescent="0.25">
      <c r="A40" s="567">
        <v>97624</v>
      </c>
      <c r="B40" s="644" t="s">
        <v>1596</v>
      </c>
      <c r="C40" s="645" t="s">
        <v>670</v>
      </c>
      <c r="D40" s="416" t="s">
        <v>1597</v>
      </c>
      <c r="E40" s="417"/>
      <c r="F40" s="418"/>
      <c r="G40" s="419"/>
      <c r="H40" s="646"/>
      <c r="I40" s="420">
        <v>107.58</v>
      </c>
      <c r="J40" s="420">
        <f t="shared" si="3"/>
        <v>107.58</v>
      </c>
      <c r="K40" s="421">
        <f>IF(ISBLANK(I40),0,ROUND(J40*(1+$F$10)*(1+$F$11*E40),2))</f>
        <v>127.82</v>
      </c>
      <c r="L40" s="647" t="s">
        <v>16</v>
      </c>
      <c r="M40" s="576"/>
      <c r="N40" s="576">
        <f t="shared" si="5"/>
        <v>0</v>
      </c>
      <c r="O40" s="577">
        <f>IF(ISBLANK(M40),0,ROUND(K40*M40,2))</f>
        <v>0</v>
      </c>
      <c r="P40" s="578">
        <f>IF(ISBLANK(N40),0,ROUND(M40*N40,2))</f>
        <v>0</v>
      </c>
      <c r="Q40" s="765"/>
      <c r="R40" s="650">
        <f>M40</f>
        <v>0</v>
      </c>
      <c r="S40" s="587">
        <f t="shared" si="8"/>
        <v>0</v>
      </c>
      <c r="T40" s="577">
        <f>IF(ISBLANK(R40),0,ROUND(K40*R40,2))</f>
        <v>0</v>
      </c>
      <c r="U40" s="578">
        <f>IF(ISBLANK(R40),0,ROUND(R40*S40,2))</f>
        <v>0</v>
      </c>
      <c r="V40" s="579"/>
      <c r="W40" s="566"/>
      <c r="X40" s="586" t="str">
        <f>IF(W40="X","x",IF(W40="xx","x",IF(W40="xy","x",IF(W40="y","x",IF(OR(P40&gt;0,U40&gt;0),"x","")))))</f>
        <v/>
      </c>
      <c r="Y40" s="586" t="str">
        <f>IF(W40="X","x",IF(W40="y","x",IF(W40="xx","x",IF(U40&gt;0,"x",""))))</f>
        <v/>
      </c>
      <c r="Z40" s="586" t="str">
        <f>IF(W40="X","x",IF(U40&gt;0,"x",""))</f>
        <v/>
      </c>
    </row>
    <row r="41" spans="1:26" ht="12" hidden="1" thickBot="1" x14ac:dyDescent="0.25">
      <c r="A41" s="567">
        <v>606500</v>
      </c>
      <c r="B41" s="644" t="s">
        <v>1727</v>
      </c>
      <c r="C41" s="645" t="s">
        <v>206</v>
      </c>
      <c r="D41" s="416" t="s">
        <v>501</v>
      </c>
      <c r="E41" s="417"/>
      <c r="F41" s="418"/>
      <c r="G41" s="419"/>
      <c r="H41" s="646"/>
      <c r="I41" s="420">
        <v>169.87</v>
      </c>
      <c r="J41" s="420">
        <f t="shared" si="3"/>
        <v>169.87</v>
      </c>
      <c r="K41" s="421">
        <f>IF(ISBLANK(I41),0,ROUND(J41*(1+$F$10)*(1+$F$11*E41),2))</f>
        <v>201.82</v>
      </c>
      <c r="L41" s="647" t="s">
        <v>16</v>
      </c>
      <c r="M41" s="576"/>
      <c r="N41" s="576">
        <f t="shared" si="5"/>
        <v>0</v>
      </c>
      <c r="O41" s="577">
        <f t="shared" si="6"/>
        <v>0</v>
      </c>
      <c r="P41" s="578">
        <f t="shared" si="7"/>
        <v>0</v>
      </c>
      <c r="Q41" s="765"/>
      <c r="R41" s="650">
        <f t="shared" si="8"/>
        <v>0</v>
      </c>
      <c r="S41" s="587">
        <f t="shared" si="8"/>
        <v>0</v>
      </c>
      <c r="T41" s="577">
        <f t="shared" si="9"/>
        <v>0</v>
      </c>
      <c r="U41" s="578">
        <f t="shared" si="10"/>
        <v>0</v>
      </c>
      <c r="V41" s="579"/>
      <c r="W41" s="566"/>
      <c r="X41" s="586" t="str">
        <f t="shared" si="0"/>
        <v/>
      </c>
      <c r="Y41" s="586" t="str">
        <f t="shared" si="1"/>
        <v/>
      </c>
      <c r="Z41" s="586" t="str">
        <f t="shared" si="2"/>
        <v/>
      </c>
    </row>
    <row r="42" spans="1:26" ht="12" hidden="1" thickBot="1" x14ac:dyDescent="0.25">
      <c r="A42" s="652" t="s">
        <v>187</v>
      </c>
      <c r="B42" s="653" t="s">
        <v>187</v>
      </c>
      <c r="C42" s="654"/>
      <c r="D42" s="427" t="s">
        <v>464</v>
      </c>
      <c r="E42" s="428"/>
      <c r="F42" s="655"/>
      <c r="G42" s="656"/>
      <c r="H42" s="657"/>
      <c r="I42" s="429"/>
      <c r="J42" s="429"/>
      <c r="K42" s="429"/>
      <c r="L42" s="429" t="s">
        <v>614</v>
      </c>
      <c r="M42" s="657"/>
      <c r="N42" s="576">
        <f t="shared" si="5"/>
        <v>0</v>
      </c>
      <c r="O42" s="429">
        <f t="shared" si="6"/>
        <v>0</v>
      </c>
      <c r="P42" s="658">
        <f t="shared" si="7"/>
        <v>0</v>
      </c>
      <c r="Q42" s="765"/>
      <c r="R42" s="657"/>
      <c r="S42" s="429"/>
      <c r="T42" s="429">
        <f t="shared" si="9"/>
        <v>0</v>
      </c>
      <c r="U42" s="658">
        <f t="shared" si="10"/>
        <v>0</v>
      </c>
      <c r="V42" s="579"/>
      <c r="W42" s="637" t="str">
        <f>IF(OR(SUM(P43:P67)&gt;0,SUM(U43:U67)&gt;0),"y","")</f>
        <v/>
      </c>
      <c r="X42" s="586" t="str">
        <f t="shared" si="0"/>
        <v/>
      </c>
      <c r="Y42" s="586" t="str">
        <f t="shared" si="1"/>
        <v/>
      </c>
      <c r="Z42" s="586" t="str">
        <f t="shared" si="2"/>
        <v/>
      </c>
    </row>
    <row r="43" spans="1:26" ht="12" hidden="1" thickBot="1" x14ac:dyDescent="0.25">
      <c r="A43" s="652" t="s">
        <v>187</v>
      </c>
      <c r="B43" s="572" t="s">
        <v>187</v>
      </c>
      <c r="C43" s="573" t="s">
        <v>187</v>
      </c>
      <c r="D43" s="574"/>
      <c r="E43" s="575"/>
      <c r="F43" s="436"/>
      <c r="G43" s="431"/>
      <c r="H43" s="430"/>
      <c r="I43" s="432"/>
      <c r="J43" s="433"/>
      <c r="K43" s="434">
        <f t="shared" ref="K43:K67" si="12">IF(ISBLANK(J43),0,ROUND(J43*(1+$F$10)*(1+$F$11*E43),2))</f>
        <v>0</v>
      </c>
      <c r="L43" s="435" t="s">
        <v>614</v>
      </c>
      <c r="M43" s="576"/>
      <c r="N43" s="576">
        <f t="shared" si="5"/>
        <v>0</v>
      </c>
      <c r="O43" s="577">
        <f t="shared" si="6"/>
        <v>0</v>
      </c>
      <c r="P43" s="578">
        <f t="shared" si="7"/>
        <v>0</v>
      </c>
      <c r="Q43" s="765"/>
      <c r="R43" s="576">
        <f t="shared" si="8"/>
        <v>0</v>
      </c>
      <c r="S43" s="576">
        <f t="shared" si="8"/>
        <v>0</v>
      </c>
      <c r="T43" s="577">
        <f t="shared" si="9"/>
        <v>0</v>
      </c>
      <c r="U43" s="578">
        <f t="shared" si="10"/>
        <v>0</v>
      </c>
      <c r="V43" s="579"/>
      <c r="W43" s="566"/>
      <c r="X43" s="586" t="str">
        <f t="shared" si="0"/>
        <v/>
      </c>
      <c r="Y43" s="586" t="str">
        <f t="shared" si="1"/>
        <v/>
      </c>
      <c r="Z43" s="586" t="str">
        <f t="shared" si="2"/>
        <v/>
      </c>
    </row>
    <row r="44" spans="1:26" ht="12" hidden="1" thickBot="1" x14ac:dyDescent="0.25">
      <c r="A44" s="652" t="s">
        <v>187</v>
      </c>
      <c r="B44" s="572" t="s">
        <v>187</v>
      </c>
      <c r="C44" s="573" t="s">
        <v>187</v>
      </c>
      <c r="D44" s="580"/>
      <c r="E44" s="575"/>
      <c r="F44" s="436"/>
      <c r="G44" s="431"/>
      <c r="H44" s="430"/>
      <c r="I44" s="432"/>
      <c r="J44" s="433"/>
      <c r="K44" s="437">
        <f t="shared" si="12"/>
        <v>0</v>
      </c>
      <c r="L44" s="435" t="s">
        <v>614</v>
      </c>
      <c r="M44" s="576"/>
      <c r="N44" s="576">
        <f t="shared" si="5"/>
        <v>0</v>
      </c>
      <c r="O44" s="577">
        <f t="shared" si="6"/>
        <v>0</v>
      </c>
      <c r="P44" s="578">
        <f t="shared" si="7"/>
        <v>0</v>
      </c>
      <c r="Q44" s="765"/>
      <c r="R44" s="576">
        <f t="shared" si="8"/>
        <v>0</v>
      </c>
      <c r="S44" s="576">
        <f t="shared" si="8"/>
        <v>0</v>
      </c>
      <c r="T44" s="577">
        <f t="shared" si="9"/>
        <v>0</v>
      </c>
      <c r="U44" s="659">
        <f t="shared" si="10"/>
        <v>0</v>
      </c>
      <c r="V44" s="579"/>
      <c r="W44" s="566"/>
      <c r="X44" s="586" t="str">
        <f t="shared" si="0"/>
        <v/>
      </c>
      <c r="Y44" s="586" t="str">
        <f t="shared" si="1"/>
        <v/>
      </c>
      <c r="Z44" s="586" t="str">
        <f t="shared" si="2"/>
        <v/>
      </c>
    </row>
    <row r="45" spans="1:26" ht="12" hidden="1" thickBot="1" x14ac:dyDescent="0.25">
      <c r="A45" s="652" t="s">
        <v>187</v>
      </c>
      <c r="B45" s="572" t="s">
        <v>187</v>
      </c>
      <c r="C45" s="573" t="s">
        <v>187</v>
      </c>
      <c r="D45" s="580"/>
      <c r="E45" s="575"/>
      <c r="F45" s="436"/>
      <c r="G45" s="431"/>
      <c r="H45" s="430"/>
      <c r="I45" s="432"/>
      <c r="J45" s="433"/>
      <c r="K45" s="437">
        <f t="shared" si="12"/>
        <v>0</v>
      </c>
      <c r="L45" s="435" t="s">
        <v>614</v>
      </c>
      <c r="M45" s="576"/>
      <c r="N45" s="576">
        <f t="shared" si="5"/>
        <v>0</v>
      </c>
      <c r="O45" s="577">
        <f t="shared" si="6"/>
        <v>0</v>
      </c>
      <c r="P45" s="578">
        <f t="shared" si="7"/>
        <v>0</v>
      </c>
      <c r="Q45" s="765"/>
      <c r="R45" s="576">
        <f t="shared" si="8"/>
        <v>0</v>
      </c>
      <c r="S45" s="576">
        <f t="shared" si="8"/>
        <v>0</v>
      </c>
      <c r="T45" s="577">
        <f t="shared" si="9"/>
        <v>0</v>
      </c>
      <c r="U45" s="578">
        <f t="shared" si="10"/>
        <v>0</v>
      </c>
      <c r="V45" s="579"/>
      <c r="W45" s="566"/>
      <c r="X45" s="586" t="str">
        <f t="shared" si="0"/>
        <v/>
      </c>
      <c r="Y45" s="586" t="str">
        <f t="shared" si="1"/>
        <v/>
      </c>
      <c r="Z45" s="586" t="str">
        <f t="shared" si="2"/>
        <v/>
      </c>
    </row>
    <row r="46" spans="1:26" ht="12" hidden="1" thickBot="1" x14ac:dyDescent="0.25">
      <c r="A46" s="652" t="s">
        <v>187</v>
      </c>
      <c r="B46" s="572" t="s">
        <v>187</v>
      </c>
      <c r="C46" s="573" t="s">
        <v>187</v>
      </c>
      <c r="D46" s="580"/>
      <c r="E46" s="575"/>
      <c r="F46" s="436"/>
      <c r="G46" s="431"/>
      <c r="H46" s="430"/>
      <c r="I46" s="432"/>
      <c r="J46" s="433"/>
      <c r="K46" s="437">
        <f t="shared" si="12"/>
        <v>0</v>
      </c>
      <c r="L46" s="435" t="s">
        <v>614</v>
      </c>
      <c r="M46" s="576"/>
      <c r="N46" s="576">
        <f t="shared" si="5"/>
        <v>0</v>
      </c>
      <c r="O46" s="577">
        <f t="shared" si="6"/>
        <v>0</v>
      </c>
      <c r="P46" s="578">
        <f t="shared" si="7"/>
        <v>0</v>
      </c>
      <c r="Q46" s="765"/>
      <c r="R46" s="576">
        <f t="shared" si="8"/>
        <v>0</v>
      </c>
      <c r="S46" s="576">
        <f t="shared" si="8"/>
        <v>0</v>
      </c>
      <c r="T46" s="577">
        <f t="shared" si="9"/>
        <v>0</v>
      </c>
      <c r="U46" s="578">
        <f t="shared" si="10"/>
        <v>0</v>
      </c>
      <c r="V46" s="579"/>
      <c r="W46" s="566"/>
      <c r="X46" s="586" t="str">
        <f t="shared" si="0"/>
        <v/>
      </c>
      <c r="Y46" s="586" t="str">
        <f t="shared" si="1"/>
        <v/>
      </c>
      <c r="Z46" s="586" t="str">
        <f t="shared" si="2"/>
        <v/>
      </c>
    </row>
    <row r="47" spans="1:26" ht="12" hidden="1" thickBot="1" x14ac:dyDescent="0.25">
      <c r="A47" s="652" t="s">
        <v>187</v>
      </c>
      <c r="B47" s="572" t="s">
        <v>187</v>
      </c>
      <c r="C47" s="573" t="s">
        <v>187</v>
      </c>
      <c r="D47" s="580"/>
      <c r="E47" s="575"/>
      <c r="F47" s="436"/>
      <c r="G47" s="431"/>
      <c r="H47" s="430"/>
      <c r="I47" s="432"/>
      <c r="J47" s="433"/>
      <c r="K47" s="437">
        <f t="shared" si="12"/>
        <v>0</v>
      </c>
      <c r="L47" s="435" t="s">
        <v>614</v>
      </c>
      <c r="M47" s="576"/>
      <c r="N47" s="576">
        <f t="shared" si="5"/>
        <v>0</v>
      </c>
      <c r="O47" s="577">
        <f t="shared" si="6"/>
        <v>0</v>
      </c>
      <c r="P47" s="578">
        <f t="shared" si="7"/>
        <v>0</v>
      </c>
      <c r="Q47" s="765"/>
      <c r="R47" s="576">
        <f t="shared" si="8"/>
        <v>0</v>
      </c>
      <c r="S47" s="576">
        <f t="shared" si="8"/>
        <v>0</v>
      </c>
      <c r="T47" s="577">
        <f t="shared" si="9"/>
        <v>0</v>
      </c>
      <c r="U47" s="578">
        <f t="shared" si="10"/>
        <v>0</v>
      </c>
      <c r="V47" s="579"/>
      <c r="W47" s="566"/>
      <c r="X47" s="586" t="str">
        <f t="shared" si="0"/>
        <v/>
      </c>
      <c r="Y47" s="586" t="str">
        <f t="shared" si="1"/>
        <v/>
      </c>
      <c r="Z47" s="586" t="str">
        <f t="shared" si="2"/>
        <v/>
      </c>
    </row>
    <row r="48" spans="1:26" ht="12" hidden="1" thickBot="1" x14ac:dyDescent="0.25">
      <c r="A48" s="652" t="s">
        <v>187</v>
      </c>
      <c r="B48" s="572" t="s">
        <v>187</v>
      </c>
      <c r="C48" s="573" t="s">
        <v>187</v>
      </c>
      <c r="D48" s="580"/>
      <c r="E48" s="575"/>
      <c r="F48" s="436"/>
      <c r="G48" s="431"/>
      <c r="H48" s="430"/>
      <c r="I48" s="432"/>
      <c r="J48" s="433"/>
      <c r="K48" s="437">
        <f t="shared" si="12"/>
        <v>0</v>
      </c>
      <c r="L48" s="435" t="s">
        <v>614</v>
      </c>
      <c r="M48" s="576"/>
      <c r="N48" s="576">
        <f t="shared" si="5"/>
        <v>0</v>
      </c>
      <c r="O48" s="577">
        <f t="shared" si="6"/>
        <v>0</v>
      </c>
      <c r="P48" s="578">
        <f t="shared" si="7"/>
        <v>0</v>
      </c>
      <c r="Q48" s="765"/>
      <c r="R48" s="576">
        <f t="shared" si="8"/>
        <v>0</v>
      </c>
      <c r="S48" s="576">
        <f t="shared" si="8"/>
        <v>0</v>
      </c>
      <c r="T48" s="577">
        <f t="shared" si="9"/>
        <v>0</v>
      </c>
      <c r="U48" s="578">
        <f t="shared" si="10"/>
        <v>0</v>
      </c>
      <c r="V48" s="579"/>
      <c r="W48" s="566"/>
      <c r="X48" s="586" t="str">
        <f t="shared" si="0"/>
        <v/>
      </c>
      <c r="Y48" s="586" t="str">
        <f t="shared" si="1"/>
        <v/>
      </c>
      <c r="Z48" s="586" t="str">
        <f t="shared" si="2"/>
        <v/>
      </c>
    </row>
    <row r="49" spans="1:26" ht="12" hidden="1" thickBot="1" x14ac:dyDescent="0.25">
      <c r="A49" s="652" t="s">
        <v>187</v>
      </c>
      <c r="B49" s="572" t="s">
        <v>187</v>
      </c>
      <c r="C49" s="573" t="s">
        <v>187</v>
      </c>
      <c r="D49" s="580"/>
      <c r="E49" s="575"/>
      <c r="F49" s="436"/>
      <c r="G49" s="431"/>
      <c r="H49" s="430"/>
      <c r="I49" s="432"/>
      <c r="J49" s="433"/>
      <c r="K49" s="437">
        <f t="shared" si="12"/>
        <v>0</v>
      </c>
      <c r="L49" s="435" t="s">
        <v>614</v>
      </c>
      <c r="M49" s="576"/>
      <c r="N49" s="576">
        <f t="shared" si="5"/>
        <v>0</v>
      </c>
      <c r="O49" s="577">
        <f t="shared" si="6"/>
        <v>0</v>
      </c>
      <c r="P49" s="578">
        <f t="shared" si="7"/>
        <v>0</v>
      </c>
      <c r="Q49" s="765"/>
      <c r="R49" s="576">
        <f t="shared" si="8"/>
        <v>0</v>
      </c>
      <c r="S49" s="576">
        <f t="shared" si="8"/>
        <v>0</v>
      </c>
      <c r="T49" s="577">
        <f t="shared" si="9"/>
        <v>0</v>
      </c>
      <c r="U49" s="578">
        <f t="shared" si="10"/>
        <v>0</v>
      </c>
      <c r="V49" s="579"/>
      <c r="W49" s="566"/>
      <c r="X49" s="586" t="str">
        <f t="shared" si="0"/>
        <v/>
      </c>
      <c r="Y49" s="586" t="str">
        <f t="shared" si="1"/>
        <v/>
      </c>
      <c r="Z49" s="586" t="str">
        <f t="shared" si="2"/>
        <v/>
      </c>
    </row>
    <row r="50" spans="1:26" ht="12" hidden="1" thickBot="1" x14ac:dyDescent="0.25">
      <c r="A50" s="652" t="s">
        <v>187</v>
      </c>
      <c r="B50" s="572" t="s">
        <v>187</v>
      </c>
      <c r="C50" s="573" t="s">
        <v>187</v>
      </c>
      <c r="D50" s="580"/>
      <c r="E50" s="575"/>
      <c r="F50" s="436"/>
      <c r="G50" s="431"/>
      <c r="H50" s="430"/>
      <c r="I50" s="432"/>
      <c r="J50" s="433"/>
      <c r="K50" s="437">
        <f t="shared" si="12"/>
        <v>0</v>
      </c>
      <c r="L50" s="435" t="s">
        <v>614</v>
      </c>
      <c r="M50" s="576"/>
      <c r="N50" s="576">
        <f t="shared" si="5"/>
        <v>0</v>
      </c>
      <c r="O50" s="577">
        <f t="shared" si="6"/>
        <v>0</v>
      </c>
      <c r="P50" s="578">
        <f t="shared" si="7"/>
        <v>0</v>
      </c>
      <c r="Q50" s="765"/>
      <c r="R50" s="576">
        <f t="shared" si="8"/>
        <v>0</v>
      </c>
      <c r="S50" s="576">
        <f t="shared" si="8"/>
        <v>0</v>
      </c>
      <c r="T50" s="577">
        <f t="shared" si="9"/>
        <v>0</v>
      </c>
      <c r="U50" s="578">
        <f t="shared" si="10"/>
        <v>0</v>
      </c>
      <c r="V50" s="579"/>
      <c r="W50" s="566"/>
      <c r="X50" s="586" t="str">
        <f t="shared" si="0"/>
        <v/>
      </c>
      <c r="Y50" s="586" t="str">
        <f t="shared" si="1"/>
        <v/>
      </c>
      <c r="Z50" s="586" t="str">
        <f t="shared" si="2"/>
        <v/>
      </c>
    </row>
    <row r="51" spans="1:26" ht="12" hidden="1" thickBot="1" x14ac:dyDescent="0.25">
      <c r="A51" s="652" t="s">
        <v>187</v>
      </c>
      <c r="B51" s="572" t="s">
        <v>187</v>
      </c>
      <c r="C51" s="573" t="s">
        <v>187</v>
      </c>
      <c r="D51" s="580"/>
      <c r="E51" s="575"/>
      <c r="F51" s="436"/>
      <c r="G51" s="431"/>
      <c r="H51" s="430"/>
      <c r="I51" s="432"/>
      <c r="J51" s="433"/>
      <c r="K51" s="437">
        <f t="shared" si="12"/>
        <v>0</v>
      </c>
      <c r="L51" s="435" t="s">
        <v>614</v>
      </c>
      <c r="M51" s="576"/>
      <c r="N51" s="576">
        <f t="shared" si="5"/>
        <v>0</v>
      </c>
      <c r="O51" s="577">
        <f t="shared" si="6"/>
        <v>0</v>
      </c>
      <c r="P51" s="578">
        <f t="shared" si="7"/>
        <v>0</v>
      </c>
      <c r="Q51" s="765"/>
      <c r="R51" s="576">
        <f t="shared" si="8"/>
        <v>0</v>
      </c>
      <c r="S51" s="576">
        <f t="shared" si="8"/>
        <v>0</v>
      </c>
      <c r="T51" s="577">
        <f t="shared" si="9"/>
        <v>0</v>
      </c>
      <c r="U51" s="578">
        <f t="shared" si="10"/>
        <v>0</v>
      </c>
      <c r="V51" s="579"/>
      <c r="W51" s="566"/>
      <c r="X51" s="586" t="str">
        <f t="shared" si="0"/>
        <v/>
      </c>
      <c r="Y51" s="586" t="str">
        <f t="shared" si="1"/>
        <v/>
      </c>
      <c r="Z51" s="586" t="str">
        <f t="shared" si="2"/>
        <v/>
      </c>
    </row>
    <row r="52" spans="1:26" ht="12" hidden="1" thickBot="1" x14ac:dyDescent="0.25">
      <c r="A52" s="652" t="s">
        <v>187</v>
      </c>
      <c r="B52" s="572" t="s">
        <v>187</v>
      </c>
      <c r="C52" s="573" t="s">
        <v>187</v>
      </c>
      <c r="D52" s="580"/>
      <c r="E52" s="575"/>
      <c r="F52" s="436"/>
      <c r="G52" s="431"/>
      <c r="H52" s="430"/>
      <c r="I52" s="432"/>
      <c r="J52" s="433"/>
      <c r="K52" s="437">
        <f t="shared" si="12"/>
        <v>0</v>
      </c>
      <c r="L52" s="435" t="s">
        <v>614</v>
      </c>
      <c r="M52" s="576"/>
      <c r="N52" s="576">
        <f t="shared" si="5"/>
        <v>0</v>
      </c>
      <c r="O52" s="577">
        <f t="shared" si="6"/>
        <v>0</v>
      </c>
      <c r="P52" s="578">
        <f t="shared" si="7"/>
        <v>0</v>
      </c>
      <c r="Q52" s="765"/>
      <c r="R52" s="576">
        <f t="shared" si="8"/>
        <v>0</v>
      </c>
      <c r="S52" s="576">
        <f t="shared" si="8"/>
        <v>0</v>
      </c>
      <c r="T52" s="577">
        <f t="shared" si="9"/>
        <v>0</v>
      </c>
      <c r="U52" s="578">
        <f t="shared" si="10"/>
        <v>0</v>
      </c>
      <c r="V52" s="579"/>
      <c r="W52" s="566"/>
      <c r="X52" s="586" t="str">
        <f t="shared" si="0"/>
        <v/>
      </c>
      <c r="Y52" s="586" t="str">
        <f t="shared" si="1"/>
        <v/>
      </c>
      <c r="Z52" s="586" t="str">
        <f t="shared" si="2"/>
        <v/>
      </c>
    </row>
    <row r="53" spans="1:26" ht="12" hidden="1" thickBot="1" x14ac:dyDescent="0.25">
      <c r="A53" s="652" t="s">
        <v>187</v>
      </c>
      <c r="B53" s="572" t="s">
        <v>187</v>
      </c>
      <c r="C53" s="573" t="s">
        <v>187</v>
      </c>
      <c r="D53" s="580"/>
      <c r="E53" s="575"/>
      <c r="F53" s="436"/>
      <c r="G53" s="431"/>
      <c r="H53" s="430"/>
      <c r="I53" s="432"/>
      <c r="J53" s="433"/>
      <c r="K53" s="437">
        <f t="shared" si="12"/>
        <v>0</v>
      </c>
      <c r="L53" s="435" t="s">
        <v>614</v>
      </c>
      <c r="M53" s="576"/>
      <c r="N53" s="576">
        <f t="shared" si="5"/>
        <v>0</v>
      </c>
      <c r="O53" s="577">
        <f t="shared" si="6"/>
        <v>0</v>
      </c>
      <c r="P53" s="578">
        <f t="shared" si="7"/>
        <v>0</v>
      </c>
      <c r="Q53" s="765"/>
      <c r="R53" s="576">
        <f t="shared" si="8"/>
        <v>0</v>
      </c>
      <c r="S53" s="576">
        <f t="shared" si="8"/>
        <v>0</v>
      </c>
      <c r="T53" s="577">
        <f t="shared" si="9"/>
        <v>0</v>
      </c>
      <c r="U53" s="578">
        <f t="shared" si="10"/>
        <v>0</v>
      </c>
      <c r="V53" s="579"/>
      <c r="W53" s="566"/>
      <c r="X53" s="586" t="str">
        <f t="shared" si="0"/>
        <v/>
      </c>
      <c r="Y53" s="586" t="str">
        <f t="shared" si="1"/>
        <v/>
      </c>
      <c r="Z53" s="586" t="str">
        <f t="shared" si="2"/>
        <v/>
      </c>
    </row>
    <row r="54" spans="1:26" ht="12" hidden="1" thickBot="1" x14ac:dyDescent="0.25">
      <c r="A54" s="652" t="s">
        <v>187</v>
      </c>
      <c r="B54" s="572" t="s">
        <v>187</v>
      </c>
      <c r="C54" s="573" t="s">
        <v>187</v>
      </c>
      <c r="D54" s="580"/>
      <c r="E54" s="575"/>
      <c r="F54" s="436"/>
      <c r="G54" s="431"/>
      <c r="H54" s="430"/>
      <c r="I54" s="432"/>
      <c r="J54" s="433"/>
      <c r="K54" s="437">
        <f t="shared" si="12"/>
        <v>0</v>
      </c>
      <c r="L54" s="435" t="s">
        <v>614</v>
      </c>
      <c r="M54" s="576"/>
      <c r="N54" s="576">
        <f t="shared" si="5"/>
        <v>0</v>
      </c>
      <c r="O54" s="577">
        <f t="shared" si="6"/>
        <v>0</v>
      </c>
      <c r="P54" s="578">
        <f t="shared" si="7"/>
        <v>0</v>
      </c>
      <c r="Q54" s="765"/>
      <c r="R54" s="576">
        <f t="shared" si="8"/>
        <v>0</v>
      </c>
      <c r="S54" s="576">
        <f t="shared" si="8"/>
        <v>0</v>
      </c>
      <c r="T54" s="577">
        <f t="shared" si="9"/>
        <v>0</v>
      </c>
      <c r="U54" s="578">
        <f t="shared" si="10"/>
        <v>0</v>
      </c>
      <c r="V54" s="579"/>
      <c r="W54" s="566"/>
      <c r="X54" s="586" t="str">
        <f t="shared" si="0"/>
        <v/>
      </c>
      <c r="Y54" s="586" t="str">
        <f t="shared" si="1"/>
        <v/>
      </c>
      <c r="Z54" s="586" t="str">
        <f t="shared" si="2"/>
        <v/>
      </c>
    </row>
    <row r="55" spans="1:26" ht="12" hidden="1" thickBot="1" x14ac:dyDescent="0.25">
      <c r="A55" s="652" t="s">
        <v>187</v>
      </c>
      <c r="B55" s="572" t="s">
        <v>187</v>
      </c>
      <c r="C55" s="573" t="s">
        <v>187</v>
      </c>
      <c r="D55" s="580"/>
      <c r="E55" s="575"/>
      <c r="F55" s="436"/>
      <c r="G55" s="431"/>
      <c r="H55" s="430"/>
      <c r="I55" s="432"/>
      <c r="J55" s="433"/>
      <c r="K55" s="437">
        <f t="shared" si="12"/>
        <v>0</v>
      </c>
      <c r="L55" s="435" t="s">
        <v>614</v>
      </c>
      <c r="M55" s="576"/>
      <c r="N55" s="576">
        <f t="shared" si="5"/>
        <v>0</v>
      </c>
      <c r="O55" s="577">
        <f t="shared" si="6"/>
        <v>0</v>
      </c>
      <c r="P55" s="578">
        <f t="shared" si="7"/>
        <v>0</v>
      </c>
      <c r="Q55" s="765"/>
      <c r="R55" s="576">
        <f t="shared" si="8"/>
        <v>0</v>
      </c>
      <c r="S55" s="576">
        <f t="shared" si="8"/>
        <v>0</v>
      </c>
      <c r="T55" s="577">
        <f t="shared" si="9"/>
        <v>0</v>
      </c>
      <c r="U55" s="578">
        <f t="shared" si="10"/>
        <v>0</v>
      </c>
      <c r="V55" s="579"/>
      <c r="W55" s="566"/>
      <c r="X55" s="586" t="str">
        <f t="shared" si="0"/>
        <v/>
      </c>
      <c r="Y55" s="586" t="str">
        <f t="shared" si="1"/>
        <v/>
      </c>
      <c r="Z55" s="586" t="str">
        <f t="shared" si="2"/>
        <v/>
      </c>
    </row>
    <row r="56" spans="1:26" ht="12" hidden="1" thickBot="1" x14ac:dyDescent="0.25">
      <c r="A56" s="652" t="s">
        <v>187</v>
      </c>
      <c r="B56" s="572" t="s">
        <v>187</v>
      </c>
      <c r="C56" s="573" t="s">
        <v>187</v>
      </c>
      <c r="D56" s="580"/>
      <c r="E56" s="575"/>
      <c r="F56" s="436"/>
      <c r="G56" s="431"/>
      <c r="H56" s="430"/>
      <c r="I56" s="432"/>
      <c r="J56" s="433"/>
      <c r="K56" s="437">
        <f t="shared" si="12"/>
        <v>0</v>
      </c>
      <c r="L56" s="435" t="s">
        <v>614</v>
      </c>
      <c r="M56" s="576"/>
      <c r="N56" s="576">
        <f t="shared" si="5"/>
        <v>0</v>
      </c>
      <c r="O56" s="577">
        <f t="shared" si="6"/>
        <v>0</v>
      </c>
      <c r="P56" s="578">
        <f t="shared" si="7"/>
        <v>0</v>
      </c>
      <c r="Q56" s="765"/>
      <c r="R56" s="576">
        <f t="shared" si="8"/>
        <v>0</v>
      </c>
      <c r="S56" s="576">
        <f t="shared" si="8"/>
        <v>0</v>
      </c>
      <c r="T56" s="577">
        <f t="shared" si="9"/>
        <v>0</v>
      </c>
      <c r="U56" s="578">
        <f t="shared" si="10"/>
        <v>0</v>
      </c>
      <c r="V56" s="579"/>
      <c r="W56" s="566"/>
      <c r="X56" s="586" t="str">
        <f t="shared" si="0"/>
        <v/>
      </c>
      <c r="Y56" s="586" t="str">
        <f t="shared" si="1"/>
        <v/>
      </c>
      <c r="Z56" s="586" t="str">
        <f t="shared" si="2"/>
        <v/>
      </c>
    </row>
    <row r="57" spans="1:26" ht="12" hidden="1" thickBot="1" x14ac:dyDescent="0.25">
      <c r="A57" s="652" t="s">
        <v>187</v>
      </c>
      <c r="B57" s="572" t="s">
        <v>187</v>
      </c>
      <c r="C57" s="573" t="s">
        <v>187</v>
      </c>
      <c r="D57" s="580"/>
      <c r="E57" s="575"/>
      <c r="F57" s="436"/>
      <c r="G57" s="431"/>
      <c r="H57" s="430"/>
      <c r="I57" s="432"/>
      <c r="J57" s="433"/>
      <c r="K57" s="437">
        <f t="shared" si="12"/>
        <v>0</v>
      </c>
      <c r="L57" s="435" t="s">
        <v>614</v>
      </c>
      <c r="M57" s="576"/>
      <c r="N57" s="576">
        <f t="shared" si="5"/>
        <v>0</v>
      </c>
      <c r="O57" s="577">
        <f t="shared" si="6"/>
        <v>0</v>
      </c>
      <c r="P57" s="578">
        <f t="shared" si="7"/>
        <v>0</v>
      </c>
      <c r="Q57" s="765"/>
      <c r="R57" s="576">
        <f t="shared" si="8"/>
        <v>0</v>
      </c>
      <c r="S57" s="576">
        <f t="shared" si="8"/>
        <v>0</v>
      </c>
      <c r="T57" s="577">
        <f t="shared" si="9"/>
        <v>0</v>
      </c>
      <c r="U57" s="578">
        <f t="shared" si="10"/>
        <v>0</v>
      </c>
      <c r="V57" s="579"/>
      <c r="W57" s="566"/>
      <c r="X57" s="586" t="str">
        <f t="shared" si="0"/>
        <v/>
      </c>
      <c r="Y57" s="586" t="str">
        <f t="shared" si="1"/>
        <v/>
      </c>
      <c r="Z57" s="586" t="str">
        <f t="shared" si="2"/>
        <v/>
      </c>
    </row>
    <row r="58" spans="1:26" ht="12" hidden="1" thickBot="1" x14ac:dyDescent="0.25">
      <c r="A58" s="652" t="s">
        <v>187</v>
      </c>
      <c r="B58" s="572" t="s">
        <v>187</v>
      </c>
      <c r="C58" s="573" t="s">
        <v>187</v>
      </c>
      <c r="D58" s="580"/>
      <c r="E58" s="575"/>
      <c r="F58" s="436"/>
      <c r="G58" s="431"/>
      <c r="H58" s="430"/>
      <c r="I58" s="432"/>
      <c r="J58" s="433"/>
      <c r="K58" s="437">
        <f t="shared" si="12"/>
        <v>0</v>
      </c>
      <c r="L58" s="435" t="s">
        <v>614</v>
      </c>
      <c r="M58" s="576"/>
      <c r="N58" s="576">
        <f t="shared" si="5"/>
        <v>0</v>
      </c>
      <c r="O58" s="577">
        <f t="shared" si="6"/>
        <v>0</v>
      </c>
      <c r="P58" s="578">
        <f t="shared" si="7"/>
        <v>0</v>
      </c>
      <c r="Q58" s="765"/>
      <c r="R58" s="576">
        <f t="shared" si="8"/>
        <v>0</v>
      </c>
      <c r="S58" s="576">
        <f t="shared" si="8"/>
        <v>0</v>
      </c>
      <c r="T58" s="577">
        <f t="shared" si="9"/>
        <v>0</v>
      </c>
      <c r="U58" s="578">
        <f t="shared" si="10"/>
        <v>0</v>
      </c>
      <c r="V58" s="579"/>
      <c r="W58" s="566"/>
      <c r="X58" s="586" t="str">
        <f t="shared" si="0"/>
        <v/>
      </c>
      <c r="Y58" s="586" t="str">
        <f t="shared" si="1"/>
        <v/>
      </c>
      <c r="Z58" s="586" t="str">
        <f t="shared" si="2"/>
        <v/>
      </c>
    </row>
    <row r="59" spans="1:26" ht="12" hidden="1" thickBot="1" x14ac:dyDescent="0.25">
      <c r="A59" s="652" t="s">
        <v>187</v>
      </c>
      <c r="B59" s="572" t="s">
        <v>187</v>
      </c>
      <c r="C59" s="573" t="s">
        <v>187</v>
      </c>
      <c r="D59" s="580"/>
      <c r="E59" s="575"/>
      <c r="F59" s="436"/>
      <c r="G59" s="431"/>
      <c r="H59" s="430"/>
      <c r="I59" s="432"/>
      <c r="J59" s="433"/>
      <c r="K59" s="437">
        <f t="shared" si="12"/>
        <v>0</v>
      </c>
      <c r="L59" s="435" t="s">
        <v>614</v>
      </c>
      <c r="M59" s="576"/>
      <c r="N59" s="576">
        <f t="shared" si="5"/>
        <v>0</v>
      </c>
      <c r="O59" s="577">
        <f t="shared" si="6"/>
        <v>0</v>
      </c>
      <c r="P59" s="578">
        <f t="shared" si="7"/>
        <v>0</v>
      </c>
      <c r="Q59" s="765"/>
      <c r="R59" s="576">
        <f t="shared" si="8"/>
        <v>0</v>
      </c>
      <c r="S59" s="576">
        <f t="shared" si="8"/>
        <v>0</v>
      </c>
      <c r="T59" s="577">
        <f t="shared" si="9"/>
        <v>0</v>
      </c>
      <c r="U59" s="578">
        <f t="shared" si="10"/>
        <v>0</v>
      </c>
      <c r="V59" s="579"/>
      <c r="W59" s="566"/>
      <c r="X59" s="586" t="str">
        <f t="shared" si="0"/>
        <v/>
      </c>
      <c r="Y59" s="586" t="str">
        <f t="shared" si="1"/>
        <v/>
      </c>
      <c r="Z59" s="586" t="str">
        <f t="shared" si="2"/>
        <v/>
      </c>
    </row>
    <row r="60" spans="1:26" ht="12" hidden="1" thickBot="1" x14ac:dyDescent="0.25">
      <c r="A60" s="652" t="s">
        <v>187</v>
      </c>
      <c r="B60" s="572" t="s">
        <v>187</v>
      </c>
      <c r="C60" s="573" t="s">
        <v>187</v>
      </c>
      <c r="D60" s="580"/>
      <c r="E60" s="575"/>
      <c r="F60" s="436"/>
      <c r="G60" s="431"/>
      <c r="H60" s="430"/>
      <c r="I60" s="432"/>
      <c r="J60" s="433"/>
      <c r="K60" s="437">
        <f t="shared" si="12"/>
        <v>0</v>
      </c>
      <c r="L60" s="435" t="s">
        <v>614</v>
      </c>
      <c r="M60" s="576"/>
      <c r="N60" s="576">
        <f t="shared" si="5"/>
        <v>0</v>
      </c>
      <c r="O60" s="577">
        <f t="shared" si="6"/>
        <v>0</v>
      </c>
      <c r="P60" s="578">
        <f t="shared" si="7"/>
        <v>0</v>
      </c>
      <c r="Q60" s="765"/>
      <c r="R60" s="576">
        <f t="shared" si="8"/>
        <v>0</v>
      </c>
      <c r="S60" s="576">
        <f t="shared" si="8"/>
        <v>0</v>
      </c>
      <c r="T60" s="577">
        <f t="shared" si="9"/>
        <v>0</v>
      </c>
      <c r="U60" s="578">
        <f t="shared" si="10"/>
        <v>0</v>
      </c>
      <c r="V60" s="579"/>
      <c r="W60" s="566"/>
      <c r="X60" s="586" t="str">
        <f t="shared" si="0"/>
        <v/>
      </c>
      <c r="Y60" s="586" t="str">
        <f t="shared" si="1"/>
        <v/>
      </c>
      <c r="Z60" s="586" t="str">
        <f t="shared" si="2"/>
        <v/>
      </c>
    </row>
    <row r="61" spans="1:26" ht="12" hidden="1" thickBot="1" x14ac:dyDescent="0.25">
      <c r="A61" s="652" t="s">
        <v>187</v>
      </c>
      <c r="B61" s="572" t="s">
        <v>187</v>
      </c>
      <c r="C61" s="573" t="s">
        <v>187</v>
      </c>
      <c r="D61" s="580"/>
      <c r="E61" s="575"/>
      <c r="F61" s="436"/>
      <c r="G61" s="431"/>
      <c r="H61" s="430"/>
      <c r="I61" s="432"/>
      <c r="J61" s="433"/>
      <c r="K61" s="437">
        <f t="shared" si="12"/>
        <v>0</v>
      </c>
      <c r="L61" s="435" t="s">
        <v>614</v>
      </c>
      <c r="M61" s="576"/>
      <c r="N61" s="576">
        <f t="shared" si="5"/>
        <v>0</v>
      </c>
      <c r="O61" s="577">
        <f t="shared" si="6"/>
        <v>0</v>
      </c>
      <c r="P61" s="578">
        <f t="shared" si="7"/>
        <v>0</v>
      </c>
      <c r="Q61" s="765"/>
      <c r="R61" s="576">
        <f t="shared" si="8"/>
        <v>0</v>
      </c>
      <c r="S61" s="576">
        <f t="shared" si="8"/>
        <v>0</v>
      </c>
      <c r="T61" s="577">
        <f t="shared" si="9"/>
        <v>0</v>
      </c>
      <c r="U61" s="578">
        <f t="shared" si="10"/>
        <v>0</v>
      </c>
      <c r="V61" s="579"/>
      <c r="W61" s="566"/>
      <c r="X61" s="586" t="str">
        <f t="shared" si="0"/>
        <v/>
      </c>
      <c r="Y61" s="586" t="str">
        <f t="shared" si="1"/>
        <v/>
      </c>
      <c r="Z61" s="586" t="str">
        <f t="shared" si="2"/>
        <v/>
      </c>
    </row>
    <row r="62" spans="1:26" ht="12" hidden="1" thickBot="1" x14ac:dyDescent="0.25">
      <c r="A62" s="652" t="s">
        <v>187</v>
      </c>
      <c r="B62" s="572" t="s">
        <v>187</v>
      </c>
      <c r="C62" s="573" t="s">
        <v>187</v>
      </c>
      <c r="D62" s="580"/>
      <c r="E62" s="575"/>
      <c r="F62" s="436"/>
      <c r="G62" s="431"/>
      <c r="H62" s="430"/>
      <c r="I62" s="432"/>
      <c r="J62" s="433"/>
      <c r="K62" s="437">
        <f t="shared" si="12"/>
        <v>0</v>
      </c>
      <c r="L62" s="435" t="s">
        <v>614</v>
      </c>
      <c r="M62" s="576"/>
      <c r="N62" s="576">
        <f t="shared" si="5"/>
        <v>0</v>
      </c>
      <c r="O62" s="577">
        <f t="shared" si="6"/>
        <v>0</v>
      </c>
      <c r="P62" s="578">
        <f t="shared" si="7"/>
        <v>0</v>
      </c>
      <c r="Q62" s="765"/>
      <c r="R62" s="576">
        <f t="shared" si="8"/>
        <v>0</v>
      </c>
      <c r="S62" s="576">
        <f t="shared" si="8"/>
        <v>0</v>
      </c>
      <c r="T62" s="577">
        <f t="shared" si="9"/>
        <v>0</v>
      </c>
      <c r="U62" s="578">
        <f t="shared" si="10"/>
        <v>0</v>
      </c>
      <c r="V62" s="579"/>
      <c r="W62" s="566"/>
      <c r="X62" s="586" t="str">
        <f t="shared" si="0"/>
        <v/>
      </c>
      <c r="Y62" s="586" t="str">
        <f t="shared" si="1"/>
        <v/>
      </c>
      <c r="Z62" s="586" t="str">
        <f t="shared" si="2"/>
        <v/>
      </c>
    </row>
    <row r="63" spans="1:26" ht="12" hidden="1" thickBot="1" x14ac:dyDescent="0.25">
      <c r="A63" s="652" t="s">
        <v>187</v>
      </c>
      <c r="B63" s="572" t="s">
        <v>187</v>
      </c>
      <c r="C63" s="573" t="s">
        <v>187</v>
      </c>
      <c r="D63" s="580"/>
      <c r="E63" s="575"/>
      <c r="F63" s="436"/>
      <c r="G63" s="431"/>
      <c r="H63" s="430"/>
      <c r="I63" s="432"/>
      <c r="J63" s="433"/>
      <c r="K63" s="437">
        <f t="shared" si="12"/>
        <v>0</v>
      </c>
      <c r="L63" s="435" t="s">
        <v>614</v>
      </c>
      <c r="M63" s="576"/>
      <c r="N63" s="576">
        <f t="shared" si="5"/>
        <v>0</v>
      </c>
      <c r="O63" s="577">
        <f t="shared" si="6"/>
        <v>0</v>
      </c>
      <c r="P63" s="578">
        <f t="shared" si="7"/>
        <v>0</v>
      </c>
      <c r="Q63" s="765"/>
      <c r="R63" s="576">
        <f t="shared" si="8"/>
        <v>0</v>
      </c>
      <c r="S63" s="576">
        <f t="shared" si="8"/>
        <v>0</v>
      </c>
      <c r="T63" s="577">
        <f t="shared" si="9"/>
        <v>0</v>
      </c>
      <c r="U63" s="578">
        <f t="shared" si="10"/>
        <v>0</v>
      </c>
      <c r="V63" s="579"/>
      <c r="W63" s="566"/>
      <c r="X63" s="586" t="str">
        <f t="shared" si="0"/>
        <v/>
      </c>
      <c r="Y63" s="586" t="str">
        <f t="shared" si="1"/>
        <v/>
      </c>
      <c r="Z63" s="586" t="str">
        <f t="shared" si="2"/>
        <v/>
      </c>
    </row>
    <row r="64" spans="1:26" ht="12" hidden="1" thickBot="1" x14ac:dyDescent="0.25">
      <c r="A64" s="652" t="s">
        <v>187</v>
      </c>
      <c r="B64" s="572" t="s">
        <v>187</v>
      </c>
      <c r="C64" s="573" t="s">
        <v>187</v>
      </c>
      <c r="D64" s="580"/>
      <c r="E64" s="575"/>
      <c r="F64" s="436"/>
      <c r="G64" s="431"/>
      <c r="H64" s="430"/>
      <c r="I64" s="432"/>
      <c r="J64" s="433"/>
      <c r="K64" s="437">
        <f t="shared" si="12"/>
        <v>0</v>
      </c>
      <c r="L64" s="435" t="s">
        <v>614</v>
      </c>
      <c r="M64" s="576"/>
      <c r="N64" s="576">
        <f t="shared" si="5"/>
        <v>0</v>
      </c>
      <c r="O64" s="577">
        <f t="shared" si="6"/>
        <v>0</v>
      </c>
      <c r="P64" s="578">
        <f t="shared" si="7"/>
        <v>0</v>
      </c>
      <c r="Q64" s="765"/>
      <c r="R64" s="576">
        <f t="shared" si="8"/>
        <v>0</v>
      </c>
      <c r="S64" s="576">
        <f t="shared" si="8"/>
        <v>0</v>
      </c>
      <c r="T64" s="577">
        <f t="shared" si="9"/>
        <v>0</v>
      </c>
      <c r="U64" s="578">
        <f t="shared" si="10"/>
        <v>0</v>
      </c>
      <c r="V64" s="579"/>
      <c r="W64" s="566"/>
      <c r="X64" s="586" t="str">
        <f t="shared" si="0"/>
        <v/>
      </c>
      <c r="Y64" s="586" t="str">
        <f t="shared" si="1"/>
        <v/>
      </c>
      <c r="Z64" s="586" t="str">
        <f t="shared" si="2"/>
        <v/>
      </c>
    </row>
    <row r="65" spans="1:26" ht="12" hidden="1" thickBot="1" x14ac:dyDescent="0.25">
      <c r="A65" s="652" t="s">
        <v>187</v>
      </c>
      <c r="B65" s="572" t="s">
        <v>187</v>
      </c>
      <c r="C65" s="573" t="s">
        <v>187</v>
      </c>
      <c r="D65" s="580"/>
      <c r="E65" s="575"/>
      <c r="F65" s="436"/>
      <c r="G65" s="431"/>
      <c r="H65" s="430"/>
      <c r="I65" s="432"/>
      <c r="J65" s="433"/>
      <c r="K65" s="437">
        <f t="shared" si="12"/>
        <v>0</v>
      </c>
      <c r="L65" s="435" t="s">
        <v>614</v>
      </c>
      <c r="M65" s="576"/>
      <c r="N65" s="576">
        <f t="shared" si="5"/>
        <v>0</v>
      </c>
      <c r="O65" s="577">
        <f t="shared" si="6"/>
        <v>0</v>
      </c>
      <c r="P65" s="578">
        <f t="shared" si="7"/>
        <v>0</v>
      </c>
      <c r="Q65" s="765"/>
      <c r="R65" s="576">
        <f t="shared" si="8"/>
        <v>0</v>
      </c>
      <c r="S65" s="576">
        <f t="shared" si="8"/>
        <v>0</v>
      </c>
      <c r="T65" s="577">
        <f t="shared" si="9"/>
        <v>0</v>
      </c>
      <c r="U65" s="578">
        <f t="shared" si="10"/>
        <v>0</v>
      </c>
      <c r="V65" s="579"/>
      <c r="W65" s="566"/>
      <c r="X65" s="586" t="str">
        <f t="shared" si="0"/>
        <v/>
      </c>
      <c r="Y65" s="586" t="str">
        <f t="shared" si="1"/>
        <v/>
      </c>
      <c r="Z65" s="586" t="str">
        <f t="shared" si="2"/>
        <v/>
      </c>
    </row>
    <row r="66" spans="1:26" ht="12" hidden="1" thickBot="1" x14ac:dyDescent="0.25">
      <c r="A66" s="652" t="s">
        <v>187</v>
      </c>
      <c r="B66" s="572" t="s">
        <v>187</v>
      </c>
      <c r="C66" s="573" t="s">
        <v>187</v>
      </c>
      <c r="D66" s="580"/>
      <c r="E66" s="575"/>
      <c r="F66" s="436"/>
      <c r="G66" s="431"/>
      <c r="H66" s="430"/>
      <c r="I66" s="432"/>
      <c r="J66" s="433"/>
      <c r="K66" s="437">
        <f t="shared" si="12"/>
        <v>0</v>
      </c>
      <c r="L66" s="435" t="s">
        <v>614</v>
      </c>
      <c r="M66" s="576"/>
      <c r="N66" s="576">
        <f t="shared" si="5"/>
        <v>0</v>
      </c>
      <c r="O66" s="577">
        <f t="shared" si="6"/>
        <v>0</v>
      </c>
      <c r="P66" s="578">
        <f t="shared" si="7"/>
        <v>0</v>
      </c>
      <c r="Q66" s="765"/>
      <c r="R66" s="576">
        <f t="shared" si="8"/>
        <v>0</v>
      </c>
      <c r="S66" s="576">
        <f t="shared" si="8"/>
        <v>0</v>
      </c>
      <c r="T66" s="577">
        <f t="shared" si="9"/>
        <v>0</v>
      </c>
      <c r="U66" s="578">
        <f t="shared" si="10"/>
        <v>0</v>
      </c>
      <c r="V66" s="579"/>
      <c r="W66" s="566"/>
      <c r="X66" s="586" t="str">
        <f t="shared" si="0"/>
        <v/>
      </c>
      <c r="Y66" s="586" t="str">
        <f t="shared" si="1"/>
        <v/>
      </c>
      <c r="Z66" s="586" t="str">
        <f t="shared" si="2"/>
        <v/>
      </c>
    </row>
    <row r="67" spans="1:26" ht="12" hidden="1" thickBot="1" x14ac:dyDescent="0.25">
      <c r="A67" s="652" t="s">
        <v>187</v>
      </c>
      <c r="B67" s="581" t="s">
        <v>187</v>
      </c>
      <c r="C67" s="582" t="s">
        <v>187</v>
      </c>
      <c r="D67" s="583"/>
      <c r="E67" s="584"/>
      <c r="F67" s="438"/>
      <c r="G67" s="439"/>
      <c r="H67" s="440"/>
      <c r="I67" s="441"/>
      <c r="J67" s="442"/>
      <c r="K67" s="443">
        <f t="shared" si="12"/>
        <v>0</v>
      </c>
      <c r="L67" s="444" t="s">
        <v>614</v>
      </c>
      <c r="M67" s="576"/>
      <c r="N67" s="576">
        <f t="shared" si="5"/>
        <v>0</v>
      </c>
      <c r="O67" s="585">
        <f t="shared" si="6"/>
        <v>0</v>
      </c>
      <c r="P67" s="660">
        <f t="shared" si="7"/>
        <v>0</v>
      </c>
      <c r="Q67" s="765"/>
      <c r="R67" s="576">
        <f t="shared" si="8"/>
        <v>0</v>
      </c>
      <c r="S67" s="576">
        <f t="shared" si="8"/>
        <v>0</v>
      </c>
      <c r="T67" s="585">
        <f t="shared" si="9"/>
        <v>0</v>
      </c>
      <c r="U67" s="660">
        <f t="shared" si="10"/>
        <v>0</v>
      </c>
      <c r="V67" s="579"/>
      <c r="W67" s="566"/>
      <c r="X67" s="586" t="str">
        <f t="shared" si="0"/>
        <v/>
      </c>
      <c r="Y67" s="586" t="str">
        <f t="shared" si="1"/>
        <v/>
      </c>
      <c r="Z67" s="586" t="str">
        <f t="shared" si="2"/>
        <v/>
      </c>
    </row>
    <row r="68" spans="1:26" ht="12" hidden="1" thickBot="1" x14ac:dyDescent="0.25">
      <c r="A68" s="567" t="s">
        <v>189</v>
      </c>
      <c r="B68" s="628" t="s">
        <v>189</v>
      </c>
      <c r="C68" s="629"/>
      <c r="D68" s="630" t="s">
        <v>459</v>
      </c>
      <c r="E68" s="631"/>
      <c r="F68" s="632"/>
      <c r="G68" s="633"/>
      <c r="H68" s="634"/>
      <c r="I68" s="409"/>
      <c r="J68" s="409"/>
      <c r="K68" s="409"/>
      <c r="L68" s="409" t="s">
        <v>614</v>
      </c>
      <c r="M68" s="634"/>
      <c r="N68" s="797"/>
      <c r="O68" s="409">
        <f t="shared" si="6"/>
        <v>0</v>
      </c>
      <c r="P68" s="635">
        <f t="shared" si="7"/>
        <v>0</v>
      </c>
      <c r="Q68" s="635">
        <f>SUM(P69:P115)</f>
        <v>0</v>
      </c>
      <c r="R68" s="634"/>
      <c r="S68" s="409"/>
      <c r="T68" s="409">
        <f t="shared" si="9"/>
        <v>0</v>
      </c>
      <c r="U68" s="635">
        <f t="shared" si="10"/>
        <v>0</v>
      </c>
      <c r="V68" s="636">
        <f>SUM(U69:U115)</f>
        <v>0</v>
      </c>
      <c r="W68" s="637" t="str">
        <f>IF(OR(Q68&gt;0,V68&gt;0),"X","")</f>
        <v/>
      </c>
      <c r="X68" s="586" t="str">
        <f t="shared" si="0"/>
        <v/>
      </c>
      <c r="Y68" s="586" t="str">
        <f t="shared" si="1"/>
        <v/>
      </c>
      <c r="Z68" s="586" t="str">
        <f t="shared" si="2"/>
        <v/>
      </c>
    </row>
    <row r="69" spans="1:26" ht="12" hidden="1" thickBot="1" x14ac:dyDescent="0.25">
      <c r="A69" s="567">
        <v>400500</v>
      </c>
      <c r="B69" s="644" t="s">
        <v>1535</v>
      </c>
      <c r="C69" s="639" t="s">
        <v>206</v>
      </c>
      <c r="D69" s="445" t="s">
        <v>198</v>
      </c>
      <c r="E69" s="446"/>
      <c r="F69" s="447">
        <v>20</v>
      </c>
      <c r="G69" s="448">
        <v>1.73</v>
      </c>
      <c r="H69" s="661">
        <f>IF(F69&lt;=30,(1.07*F69+2.68)*G69,((1.07*30+2.68)+1.07*(F69-30))*G69)</f>
        <v>41.6584</v>
      </c>
      <c r="I69" s="414">
        <v>80.100000000000009</v>
      </c>
      <c r="J69" s="414">
        <f t="shared" ref="J69:J89" si="13">IF(ISBLANK(I69),"",SUM(H69:I69))</f>
        <v>121.75840000000001</v>
      </c>
      <c r="K69" s="415">
        <f t="shared" ref="K69:K89" si="14">IF(ISBLANK(I69),0,ROUND(J69*(1+$F$10)*(1+$F$11*E69),2))</f>
        <v>144.66</v>
      </c>
      <c r="L69" s="641" t="s">
        <v>16</v>
      </c>
      <c r="M69" s="576"/>
      <c r="N69" s="576">
        <f t="shared" si="5"/>
        <v>0</v>
      </c>
      <c r="O69" s="642">
        <f t="shared" si="6"/>
        <v>0</v>
      </c>
      <c r="P69" s="578">
        <f t="shared" si="7"/>
        <v>0</v>
      </c>
      <c r="Q69" s="765"/>
      <c r="R69" s="576">
        <f t="shared" si="8"/>
        <v>0</v>
      </c>
      <c r="S69" s="576">
        <f t="shared" si="8"/>
        <v>0</v>
      </c>
      <c r="T69" s="577">
        <f t="shared" si="9"/>
        <v>0</v>
      </c>
      <c r="U69" s="578">
        <f t="shared" si="10"/>
        <v>0</v>
      </c>
      <c r="V69" s="643"/>
      <c r="W69" s="566"/>
      <c r="X69" s="586" t="str">
        <f t="shared" si="0"/>
        <v/>
      </c>
      <c r="Y69" s="586" t="str">
        <f t="shared" si="1"/>
        <v/>
      </c>
      <c r="Z69" s="586" t="str">
        <f t="shared" si="2"/>
        <v/>
      </c>
    </row>
    <row r="70" spans="1:26" ht="12" hidden="1" thickBot="1" x14ac:dyDescent="0.25">
      <c r="A70" s="567">
        <v>401200</v>
      </c>
      <c r="B70" s="644">
        <v>401200</v>
      </c>
      <c r="C70" s="645" t="s">
        <v>206</v>
      </c>
      <c r="D70" s="422" t="s">
        <v>195</v>
      </c>
      <c r="E70" s="423"/>
      <c r="F70" s="424"/>
      <c r="G70" s="425"/>
      <c r="H70" s="649"/>
      <c r="I70" s="414">
        <v>1.61</v>
      </c>
      <c r="J70" s="420">
        <f t="shared" si="13"/>
        <v>1.61</v>
      </c>
      <c r="K70" s="421">
        <f t="shared" si="14"/>
        <v>1.91</v>
      </c>
      <c r="L70" s="647" t="s">
        <v>16</v>
      </c>
      <c r="M70" s="576"/>
      <c r="N70" s="576">
        <f t="shared" si="5"/>
        <v>0</v>
      </c>
      <c r="O70" s="642">
        <f t="shared" si="6"/>
        <v>0</v>
      </c>
      <c r="P70" s="578">
        <f t="shared" si="7"/>
        <v>0</v>
      </c>
      <c r="Q70" s="765"/>
      <c r="R70" s="576">
        <f t="shared" si="8"/>
        <v>0</v>
      </c>
      <c r="S70" s="576">
        <f t="shared" si="8"/>
        <v>0</v>
      </c>
      <c r="T70" s="577">
        <f t="shared" si="9"/>
        <v>0</v>
      </c>
      <c r="U70" s="578">
        <f t="shared" si="10"/>
        <v>0</v>
      </c>
      <c r="V70" s="579"/>
      <c r="W70" s="566"/>
      <c r="X70" s="586" t="str">
        <f t="shared" si="0"/>
        <v/>
      </c>
      <c r="Y70" s="586" t="str">
        <f t="shared" si="1"/>
        <v/>
      </c>
      <c r="Z70" s="586" t="str">
        <f t="shared" si="2"/>
        <v/>
      </c>
    </row>
    <row r="71" spans="1:26" ht="12" hidden="1" thickBot="1" x14ac:dyDescent="0.25">
      <c r="A71" s="567">
        <v>401000</v>
      </c>
      <c r="B71" s="644">
        <v>401000</v>
      </c>
      <c r="C71" s="645" t="s">
        <v>206</v>
      </c>
      <c r="D71" s="422" t="s">
        <v>197</v>
      </c>
      <c r="E71" s="423"/>
      <c r="F71" s="424"/>
      <c r="G71" s="425"/>
      <c r="H71" s="649"/>
      <c r="I71" s="414">
        <v>6.9</v>
      </c>
      <c r="J71" s="420">
        <f t="shared" si="13"/>
        <v>6.9</v>
      </c>
      <c r="K71" s="421">
        <f t="shared" si="14"/>
        <v>8.1999999999999993</v>
      </c>
      <c r="L71" s="647" t="s">
        <v>16</v>
      </c>
      <c r="M71" s="576"/>
      <c r="N71" s="576">
        <f t="shared" si="5"/>
        <v>0</v>
      </c>
      <c r="O71" s="642">
        <f t="shared" si="6"/>
        <v>0</v>
      </c>
      <c r="P71" s="578">
        <f t="shared" si="7"/>
        <v>0</v>
      </c>
      <c r="Q71" s="765"/>
      <c r="R71" s="576">
        <f t="shared" si="8"/>
        <v>0</v>
      </c>
      <c r="S71" s="576">
        <f t="shared" si="8"/>
        <v>0</v>
      </c>
      <c r="T71" s="577">
        <f t="shared" si="9"/>
        <v>0</v>
      </c>
      <c r="U71" s="578">
        <f t="shared" si="10"/>
        <v>0</v>
      </c>
      <c r="V71" s="579"/>
      <c r="W71" s="566"/>
      <c r="X71" s="586" t="str">
        <f t="shared" si="0"/>
        <v/>
      </c>
      <c r="Y71" s="586" t="str">
        <f t="shared" si="1"/>
        <v/>
      </c>
      <c r="Z71" s="586" t="str">
        <f t="shared" si="2"/>
        <v/>
      </c>
    </row>
    <row r="72" spans="1:26" ht="12" hidden="1" thickBot="1" x14ac:dyDescent="0.25">
      <c r="A72" s="567">
        <v>401950</v>
      </c>
      <c r="B72" s="644">
        <v>401950</v>
      </c>
      <c r="C72" s="645" t="s">
        <v>206</v>
      </c>
      <c r="D72" s="422" t="s">
        <v>196</v>
      </c>
      <c r="E72" s="423"/>
      <c r="F72" s="424"/>
      <c r="G72" s="425"/>
      <c r="H72" s="649"/>
      <c r="I72" s="414">
        <v>5.72</v>
      </c>
      <c r="J72" s="420">
        <f t="shared" si="13"/>
        <v>5.72</v>
      </c>
      <c r="K72" s="421">
        <f t="shared" si="14"/>
        <v>6.8</v>
      </c>
      <c r="L72" s="647" t="s">
        <v>16</v>
      </c>
      <c r="M72" s="576"/>
      <c r="N72" s="576">
        <f t="shared" si="5"/>
        <v>0</v>
      </c>
      <c r="O72" s="577">
        <f t="shared" si="6"/>
        <v>0</v>
      </c>
      <c r="P72" s="578">
        <f t="shared" si="7"/>
        <v>0</v>
      </c>
      <c r="Q72" s="765"/>
      <c r="R72" s="576">
        <f t="shared" si="8"/>
        <v>0</v>
      </c>
      <c r="S72" s="576">
        <f t="shared" si="8"/>
        <v>0</v>
      </c>
      <c r="T72" s="577">
        <f t="shared" si="9"/>
        <v>0</v>
      </c>
      <c r="U72" s="578">
        <f t="shared" si="10"/>
        <v>0</v>
      </c>
      <c r="V72" s="579"/>
      <c r="W72" s="566"/>
      <c r="X72" s="586" t="str">
        <f t="shared" si="0"/>
        <v/>
      </c>
      <c r="Y72" s="586" t="str">
        <f t="shared" si="1"/>
        <v/>
      </c>
      <c r="Z72" s="586" t="str">
        <f t="shared" si="2"/>
        <v/>
      </c>
    </row>
    <row r="73" spans="1:26" ht="12" hidden="1" thickBot="1" x14ac:dyDescent="0.25">
      <c r="A73" s="567">
        <v>400000</v>
      </c>
      <c r="B73" s="644">
        <v>400000</v>
      </c>
      <c r="C73" s="645" t="s">
        <v>206</v>
      </c>
      <c r="D73" s="422" t="s">
        <v>191</v>
      </c>
      <c r="E73" s="423"/>
      <c r="F73" s="424"/>
      <c r="G73" s="425"/>
      <c r="H73" s="649"/>
      <c r="I73" s="414">
        <v>1.1599999999999999</v>
      </c>
      <c r="J73" s="420">
        <f t="shared" si="13"/>
        <v>1.1599999999999999</v>
      </c>
      <c r="K73" s="421">
        <f t="shared" si="14"/>
        <v>1.38</v>
      </c>
      <c r="L73" s="647" t="s">
        <v>18</v>
      </c>
      <c r="M73" s="576"/>
      <c r="N73" s="576">
        <f t="shared" si="5"/>
        <v>0</v>
      </c>
      <c r="O73" s="577">
        <f t="shared" si="6"/>
        <v>0</v>
      </c>
      <c r="P73" s="578">
        <f t="shared" si="7"/>
        <v>0</v>
      </c>
      <c r="Q73" s="765"/>
      <c r="R73" s="576">
        <f t="shared" si="8"/>
        <v>0</v>
      </c>
      <c r="S73" s="576">
        <f t="shared" si="8"/>
        <v>0</v>
      </c>
      <c r="T73" s="577">
        <f t="shared" si="9"/>
        <v>0</v>
      </c>
      <c r="U73" s="578">
        <f t="shared" si="10"/>
        <v>0</v>
      </c>
      <c r="V73" s="579"/>
      <c r="W73" s="637"/>
      <c r="X73" s="586" t="str">
        <f t="shared" si="0"/>
        <v/>
      </c>
      <c r="Y73" s="586" t="str">
        <f t="shared" si="1"/>
        <v/>
      </c>
      <c r="Z73" s="586" t="str">
        <f t="shared" si="2"/>
        <v/>
      </c>
    </row>
    <row r="74" spans="1:26" ht="12" hidden="1" thickBot="1" x14ac:dyDescent="0.25">
      <c r="A74" s="567">
        <v>400300</v>
      </c>
      <c r="B74" s="644">
        <v>400300</v>
      </c>
      <c r="C74" s="645" t="s">
        <v>206</v>
      </c>
      <c r="D74" s="422" t="s">
        <v>192</v>
      </c>
      <c r="E74" s="423"/>
      <c r="F74" s="424"/>
      <c r="G74" s="425"/>
      <c r="H74" s="649"/>
      <c r="I74" s="414">
        <v>49.76</v>
      </c>
      <c r="J74" s="420">
        <f t="shared" si="13"/>
        <v>49.76</v>
      </c>
      <c r="K74" s="421">
        <f t="shared" si="14"/>
        <v>59.12</v>
      </c>
      <c r="L74" s="647" t="s">
        <v>21</v>
      </c>
      <c r="M74" s="576"/>
      <c r="N74" s="576">
        <f t="shared" si="5"/>
        <v>0</v>
      </c>
      <c r="O74" s="577">
        <f t="shared" si="6"/>
        <v>0</v>
      </c>
      <c r="P74" s="578">
        <f t="shared" si="7"/>
        <v>0</v>
      </c>
      <c r="Q74" s="765"/>
      <c r="R74" s="576">
        <f t="shared" si="8"/>
        <v>0</v>
      </c>
      <c r="S74" s="576">
        <f t="shared" si="8"/>
        <v>0</v>
      </c>
      <c r="T74" s="577">
        <f t="shared" si="9"/>
        <v>0</v>
      </c>
      <c r="U74" s="578">
        <f t="shared" si="10"/>
        <v>0</v>
      </c>
      <c r="V74" s="579"/>
      <c r="W74" s="637"/>
      <c r="X74" s="586" t="str">
        <f t="shared" si="0"/>
        <v/>
      </c>
      <c r="Y74" s="586" t="str">
        <f t="shared" si="1"/>
        <v/>
      </c>
      <c r="Z74" s="586" t="str">
        <f t="shared" si="2"/>
        <v/>
      </c>
    </row>
    <row r="75" spans="1:26" ht="12" hidden="1" thickBot="1" x14ac:dyDescent="0.25">
      <c r="A75" s="567">
        <v>511130</v>
      </c>
      <c r="B75" s="644" t="s">
        <v>1529</v>
      </c>
      <c r="C75" s="645" t="s">
        <v>206</v>
      </c>
      <c r="D75" s="422" t="s">
        <v>479</v>
      </c>
      <c r="E75" s="423"/>
      <c r="F75" s="424"/>
      <c r="G75" s="425"/>
      <c r="H75" s="649"/>
      <c r="I75" s="414">
        <v>1.27</v>
      </c>
      <c r="J75" s="420">
        <f t="shared" si="13"/>
        <v>1.27</v>
      </c>
      <c r="K75" s="421">
        <f t="shared" si="14"/>
        <v>1.51</v>
      </c>
      <c r="L75" s="647" t="s">
        <v>16</v>
      </c>
      <c r="M75" s="576"/>
      <c r="N75" s="576">
        <f t="shared" si="5"/>
        <v>0</v>
      </c>
      <c r="O75" s="577">
        <f t="shared" si="6"/>
        <v>0</v>
      </c>
      <c r="P75" s="578">
        <f t="shared" si="7"/>
        <v>0</v>
      </c>
      <c r="Q75" s="765"/>
      <c r="R75" s="576">
        <f t="shared" si="8"/>
        <v>0</v>
      </c>
      <c r="S75" s="576">
        <f t="shared" si="8"/>
        <v>0</v>
      </c>
      <c r="T75" s="577">
        <f t="shared" si="9"/>
        <v>0</v>
      </c>
      <c r="U75" s="578">
        <f t="shared" si="10"/>
        <v>0</v>
      </c>
      <c r="V75" s="579"/>
      <c r="W75" s="662"/>
      <c r="X75" s="586" t="str">
        <f t="shared" si="0"/>
        <v/>
      </c>
      <c r="Y75" s="586" t="str">
        <f t="shared" si="1"/>
        <v/>
      </c>
      <c r="Z75" s="586" t="str">
        <f t="shared" si="2"/>
        <v/>
      </c>
    </row>
    <row r="76" spans="1:26" ht="12" hidden="1" thickBot="1" x14ac:dyDescent="0.25">
      <c r="A76" s="567">
        <v>501000</v>
      </c>
      <c r="B76" s="644">
        <v>501000</v>
      </c>
      <c r="C76" s="645" t="s">
        <v>206</v>
      </c>
      <c r="D76" s="422" t="s">
        <v>478</v>
      </c>
      <c r="E76" s="423"/>
      <c r="F76" s="424">
        <v>2</v>
      </c>
      <c r="G76" s="425">
        <v>1.8</v>
      </c>
      <c r="H76" s="649">
        <f>IF(F76&lt;=30,(1.07*F76+2.68)*G76,((1.07*30+2.68)+1.07*(F76-30))*G76)</f>
        <v>8.6760000000000002</v>
      </c>
      <c r="I76" s="414">
        <v>6.18</v>
      </c>
      <c r="J76" s="420">
        <f t="shared" si="13"/>
        <v>14.856</v>
      </c>
      <c r="K76" s="421">
        <f t="shared" si="14"/>
        <v>17.649999999999999</v>
      </c>
      <c r="L76" s="647" t="s">
        <v>16</v>
      </c>
      <c r="M76" s="576"/>
      <c r="N76" s="576">
        <f t="shared" si="5"/>
        <v>0</v>
      </c>
      <c r="O76" s="577">
        <f t="shared" si="6"/>
        <v>0</v>
      </c>
      <c r="P76" s="578">
        <f t="shared" si="7"/>
        <v>0</v>
      </c>
      <c r="Q76" s="765"/>
      <c r="R76" s="576">
        <f t="shared" si="8"/>
        <v>0</v>
      </c>
      <c r="S76" s="576">
        <f t="shared" si="8"/>
        <v>0</v>
      </c>
      <c r="T76" s="577">
        <f t="shared" si="9"/>
        <v>0</v>
      </c>
      <c r="U76" s="578">
        <f t="shared" si="10"/>
        <v>0</v>
      </c>
      <c r="V76" s="579"/>
      <c r="W76" s="662"/>
      <c r="X76" s="586" t="str">
        <f t="shared" si="0"/>
        <v/>
      </c>
      <c r="Y76" s="586" t="str">
        <f t="shared" si="1"/>
        <v/>
      </c>
      <c r="Z76" s="586" t="str">
        <f t="shared" si="2"/>
        <v/>
      </c>
    </row>
    <row r="77" spans="1:26" ht="12" hidden="1" thickBot="1" x14ac:dyDescent="0.25">
      <c r="A77" s="567">
        <v>101114</v>
      </c>
      <c r="B77" s="644">
        <v>101114</v>
      </c>
      <c r="C77" s="645" t="s">
        <v>670</v>
      </c>
      <c r="D77" s="422" t="s">
        <v>1706</v>
      </c>
      <c r="E77" s="423"/>
      <c r="F77" s="424"/>
      <c r="G77" s="425">
        <v>0</v>
      </c>
      <c r="H77" s="649"/>
      <c r="I77" s="414">
        <v>4.12</v>
      </c>
      <c r="J77" s="420">
        <f t="shared" si="13"/>
        <v>4.12</v>
      </c>
      <c r="K77" s="421">
        <f t="shared" si="14"/>
        <v>4.8899999999999997</v>
      </c>
      <c r="L77" s="647" t="s">
        <v>16</v>
      </c>
      <c r="M77" s="576"/>
      <c r="N77" s="576">
        <f t="shared" si="5"/>
        <v>0</v>
      </c>
      <c r="O77" s="577">
        <f t="shared" si="6"/>
        <v>0</v>
      </c>
      <c r="P77" s="578">
        <f t="shared" si="7"/>
        <v>0</v>
      </c>
      <c r="Q77" s="765"/>
      <c r="R77" s="576">
        <f t="shared" si="8"/>
        <v>0</v>
      </c>
      <c r="S77" s="576">
        <f t="shared" si="8"/>
        <v>0</v>
      </c>
      <c r="T77" s="577">
        <f t="shared" si="9"/>
        <v>0</v>
      </c>
      <c r="U77" s="578">
        <f t="shared" si="10"/>
        <v>0</v>
      </c>
      <c r="V77" s="579"/>
      <c r="W77" s="566"/>
      <c r="X77" s="586" t="str">
        <f t="shared" si="0"/>
        <v/>
      </c>
      <c r="Y77" s="586" t="str">
        <f t="shared" si="1"/>
        <v/>
      </c>
      <c r="Z77" s="586" t="str">
        <f t="shared" si="2"/>
        <v/>
      </c>
    </row>
    <row r="78" spans="1:26" ht="12" hidden="1" thickBot="1" x14ac:dyDescent="0.25">
      <c r="A78" s="567">
        <v>101119</v>
      </c>
      <c r="B78" s="644">
        <v>101119</v>
      </c>
      <c r="C78" s="645" t="s">
        <v>670</v>
      </c>
      <c r="D78" s="422" t="s">
        <v>1707</v>
      </c>
      <c r="E78" s="423"/>
      <c r="F78" s="424"/>
      <c r="G78" s="425"/>
      <c r="H78" s="649"/>
      <c r="I78" s="414">
        <v>7.87</v>
      </c>
      <c r="J78" s="420">
        <f t="shared" si="13"/>
        <v>7.87</v>
      </c>
      <c r="K78" s="421">
        <f t="shared" si="14"/>
        <v>9.35</v>
      </c>
      <c r="L78" s="647" t="s">
        <v>16</v>
      </c>
      <c r="M78" s="576"/>
      <c r="N78" s="576">
        <f t="shared" si="5"/>
        <v>0</v>
      </c>
      <c r="O78" s="577">
        <f t="shared" si="6"/>
        <v>0</v>
      </c>
      <c r="P78" s="578">
        <f t="shared" si="7"/>
        <v>0</v>
      </c>
      <c r="Q78" s="765"/>
      <c r="R78" s="576">
        <f t="shared" si="8"/>
        <v>0</v>
      </c>
      <c r="S78" s="576">
        <f t="shared" si="8"/>
        <v>0</v>
      </c>
      <c r="T78" s="577">
        <f t="shared" si="9"/>
        <v>0</v>
      </c>
      <c r="U78" s="578">
        <f t="shared" si="10"/>
        <v>0</v>
      </c>
      <c r="V78" s="579"/>
      <c r="W78" s="566"/>
      <c r="X78" s="586" t="str">
        <f t="shared" si="0"/>
        <v/>
      </c>
      <c r="Y78" s="586" t="str">
        <f t="shared" si="1"/>
        <v/>
      </c>
      <c r="Z78" s="586" t="str">
        <f t="shared" si="2"/>
        <v/>
      </c>
    </row>
    <row r="79" spans="1:26" ht="12" hidden="1" thickBot="1" x14ac:dyDescent="0.25">
      <c r="A79" s="567">
        <v>430010</v>
      </c>
      <c r="B79" s="644">
        <v>430210</v>
      </c>
      <c r="C79" s="645" t="s">
        <v>206</v>
      </c>
      <c r="D79" s="422" t="s">
        <v>1708</v>
      </c>
      <c r="E79" s="423"/>
      <c r="F79" s="424"/>
      <c r="G79" s="425"/>
      <c r="H79" s="649"/>
      <c r="I79" s="414">
        <v>25.16</v>
      </c>
      <c r="J79" s="420">
        <f>IF(ISBLANK(I79),"",SUM(H79:I79))</f>
        <v>25.16</v>
      </c>
      <c r="K79" s="421">
        <f>IF(ISBLANK(I79),0,ROUND(J79*(1+$F$10)*(1+$F$11*E79),2))</f>
        <v>29.89</v>
      </c>
      <c r="L79" s="647" t="s">
        <v>16</v>
      </c>
      <c r="M79" s="576"/>
      <c r="N79" s="576">
        <f t="shared" si="5"/>
        <v>0</v>
      </c>
      <c r="O79" s="577">
        <f>IF(ISBLANK(M79),0,ROUND(K79*M79,2))</f>
        <v>0</v>
      </c>
      <c r="P79" s="578">
        <f>IF(ISBLANK(N79),0,ROUND(M79*N79,2))</f>
        <v>0</v>
      </c>
      <c r="Q79" s="765"/>
      <c r="R79" s="576">
        <f>M79</f>
        <v>0</v>
      </c>
      <c r="S79" s="576">
        <f>N79</f>
        <v>0</v>
      </c>
      <c r="T79" s="577">
        <f>IF(ISBLANK(R79),0,ROUND(K79*R79,2))</f>
        <v>0</v>
      </c>
      <c r="U79" s="578">
        <f>IF(ISBLANK(R79),0,ROUND(R79*S79,2))</f>
        <v>0</v>
      </c>
      <c r="V79" s="579"/>
      <c r="W79" s="566"/>
      <c r="X79" s="586" t="str">
        <f>IF(W79="X","x",IF(W79="xx","x",IF(W79="xy","x",IF(W79="y","x",IF(OR(P79&gt;0,U79&gt;0),"x","")))))</f>
        <v/>
      </c>
      <c r="Y79" s="586" t="str">
        <f>IF(W79="X","x",IF(W79="y","x",IF(W79="xx","x",IF(U79&gt;0,"x",""))))</f>
        <v/>
      </c>
      <c r="Z79" s="586" t="str">
        <f>IF(W79="X","x",IF(U79&gt;0,"x",""))</f>
        <v/>
      </c>
    </row>
    <row r="80" spans="1:26" ht="12" hidden="1" thickBot="1" x14ac:dyDescent="0.25">
      <c r="A80" s="567" t="s">
        <v>1709</v>
      </c>
      <c r="B80" s="644" t="s">
        <v>1709</v>
      </c>
      <c r="C80" s="645" t="s">
        <v>1705</v>
      </c>
      <c r="D80" s="422" t="s">
        <v>1710</v>
      </c>
      <c r="E80" s="423"/>
      <c r="F80" s="424"/>
      <c r="G80" s="425"/>
      <c r="H80" s="649"/>
      <c r="I80" s="420">
        <v>0.87</v>
      </c>
      <c r="J80" s="420">
        <f>IF(ISBLANK(I80),"",SUM(H80:I80))</f>
        <v>0.87</v>
      </c>
      <c r="K80" s="421">
        <f>IF(ISBLANK(I80),0,ROUND(J80*(1+$F$10)*(1+$F$11*E80),2))</f>
        <v>1.03</v>
      </c>
      <c r="L80" s="647" t="s">
        <v>2065</v>
      </c>
      <c r="M80" s="576"/>
      <c r="N80" s="576">
        <f t="shared" si="5"/>
        <v>0</v>
      </c>
      <c r="O80" s="577">
        <f>IF(ISBLANK(M80),0,ROUND(K80*M80,2))</f>
        <v>0</v>
      </c>
      <c r="P80" s="578">
        <f>IF(ISBLANK(N80),0,ROUND(M80*N80,2))</f>
        <v>0</v>
      </c>
      <c r="Q80" s="765"/>
      <c r="R80" s="576">
        <f>M80</f>
        <v>0</v>
      </c>
      <c r="S80" s="576">
        <f>N80</f>
        <v>0</v>
      </c>
      <c r="T80" s="577">
        <f>IF(ISBLANK(R80),0,ROUND(K80*R80,2))</f>
        <v>0</v>
      </c>
      <c r="U80" s="578">
        <f>IF(ISBLANK(R80),0,ROUND(R80*S80,2))</f>
        <v>0</v>
      </c>
      <c r="V80" s="579"/>
      <c r="W80" s="566"/>
      <c r="X80" s="586" t="str">
        <f>IF(W80="X","x",IF(W80="xx","x",IF(W80="xy","x",IF(W80="y","x",IF(OR(P80&gt;0,U80&gt;0),"x","")))))</f>
        <v/>
      </c>
      <c r="Y80" s="586" t="str">
        <f>IF(W80="X","x",IF(W80="y","x",IF(W80="xx","x",IF(U80&gt;0,"x",""))))</f>
        <v/>
      </c>
      <c r="Z80" s="586" t="str">
        <f>IF(W80="X","x",IF(U80&gt;0,"x",""))</f>
        <v/>
      </c>
    </row>
    <row r="81" spans="1:26" ht="12" hidden="1" thickBot="1" x14ac:dyDescent="0.25">
      <c r="A81" s="567">
        <v>520100</v>
      </c>
      <c r="B81" s="644" t="s">
        <v>1728</v>
      </c>
      <c r="C81" s="645" t="s">
        <v>206</v>
      </c>
      <c r="D81" s="422" t="s">
        <v>1711</v>
      </c>
      <c r="E81" s="423"/>
      <c r="F81" s="424"/>
      <c r="G81" s="425">
        <v>0</v>
      </c>
      <c r="H81" s="649"/>
      <c r="I81" s="414">
        <v>5.62</v>
      </c>
      <c r="J81" s="420">
        <f t="shared" si="13"/>
        <v>5.62</v>
      </c>
      <c r="K81" s="421">
        <f t="shared" si="14"/>
        <v>6.68</v>
      </c>
      <c r="L81" s="647" t="s">
        <v>16</v>
      </c>
      <c r="M81" s="576"/>
      <c r="N81" s="576">
        <f t="shared" si="5"/>
        <v>0</v>
      </c>
      <c r="O81" s="577">
        <f t="shared" si="6"/>
        <v>0</v>
      </c>
      <c r="P81" s="578">
        <f t="shared" si="7"/>
        <v>0</v>
      </c>
      <c r="Q81" s="765"/>
      <c r="R81" s="576">
        <f t="shared" si="8"/>
        <v>0</v>
      </c>
      <c r="S81" s="576">
        <f t="shared" si="8"/>
        <v>0</v>
      </c>
      <c r="T81" s="577">
        <f t="shared" si="9"/>
        <v>0</v>
      </c>
      <c r="U81" s="578">
        <f t="shared" si="10"/>
        <v>0</v>
      </c>
      <c r="V81" s="579"/>
      <c r="W81" s="566"/>
      <c r="X81" s="586" t="str">
        <f t="shared" si="0"/>
        <v/>
      </c>
      <c r="Y81" s="586" t="str">
        <f t="shared" si="1"/>
        <v/>
      </c>
      <c r="Z81" s="586" t="str">
        <f t="shared" si="2"/>
        <v/>
      </c>
    </row>
    <row r="82" spans="1:26" ht="12" hidden="1" thickBot="1" x14ac:dyDescent="0.25">
      <c r="A82" s="567">
        <v>520200</v>
      </c>
      <c r="B82" s="644" t="s">
        <v>1729</v>
      </c>
      <c r="C82" s="645" t="s">
        <v>206</v>
      </c>
      <c r="D82" s="422" t="s">
        <v>1712</v>
      </c>
      <c r="E82" s="423"/>
      <c r="F82" s="424"/>
      <c r="G82" s="425"/>
      <c r="H82" s="649"/>
      <c r="I82" s="414">
        <v>6.87</v>
      </c>
      <c r="J82" s="420">
        <f t="shared" si="13"/>
        <v>6.87</v>
      </c>
      <c r="K82" s="421">
        <f t="shared" si="14"/>
        <v>8.16</v>
      </c>
      <c r="L82" s="647" t="s">
        <v>16</v>
      </c>
      <c r="M82" s="576"/>
      <c r="N82" s="576">
        <f t="shared" si="5"/>
        <v>0</v>
      </c>
      <c r="O82" s="577">
        <f t="shared" si="6"/>
        <v>0</v>
      </c>
      <c r="P82" s="578">
        <f t="shared" si="7"/>
        <v>0</v>
      </c>
      <c r="Q82" s="765"/>
      <c r="R82" s="576">
        <f t="shared" si="8"/>
        <v>0</v>
      </c>
      <c r="S82" s="576">
        <f t="shared" si="8"/>
        <v>0</v>
      </c>
      <c r="T82" s="577">
        <f t="shared" si="9"/>
        <v>0</v>
      </c>
      <c r="U82" s="578">
        <f t="shared" si="10"/>
        <v>0</v>
      </c>
      <c r="V82" s="579"/>
      <c r="W82" s="566"/>
      <c r="X82" s="586" t="str">
        <f t="shared" si="0"/>
        <v/>
      </c>
      <c r="Y82" s="586" t="str">
        <f t="shared" si="1"/>
        <v/>
      </c>
      <c r="Z82" s="586" t="str">
        <f t="shared" si="2"/>
        <v/>
      </c>
    </row>
    <row r="83" spans="1:26" ht="12" hidden="1" thickBot="1" x14ac:dyDescent="0.25">
      <c r="A83" s="567">
        <v>431010</v>
      </c>
      <c r="B83" s="644">
        <v>431010</v>
      </c>
      <c r="C83" s="645" t="s">
        <v>206</v>
      </c>
      <c r="D83" s="422" t="s">
        <v>1713</v>
      </c>
      <c r="E83" s="423"/>
      <c r="F83" s="424"/>
      <c r="G83" s="425">
        <v>0</v>
      </c>
      <c r="H83" s="649"/>
      <c r="I83" s="414">
        <v>40.54</v>
      </c>
      <c r="J83" s="420">
        <f t="shared" si="13"/>
        <v>40.54</v>
      </c>
      <c r="K83" s="421">
        <f t="shared" si="14"/>
        <v>48.17</v>
      </c>
      <c r="L83" s="647" t="s">
        <v>16</v>
      </c>
      <c r="M83" s="576"/>
      <c r="N83" s="576">
        <f t="shared" si="5"/>
        <v>0</v>
      </c>
      <c r="O83" s="577">
        <f t="shared" si="6"/>
        <v>0</v>
      </c>
      <c r="P83" s="578">
        <f t="shared" si="7"/>
        <v>0</v>
      </c>
      <c r="Q83" s="765"/>
      <c r="R83" s="576">
        <f t="shared" si="8"/>
        <v>0</v>
      </c>
      <c r="S83" s="576">
        <f t="shared" si="8"/>
        <v>0</v>
      </c>
      <c r="T83" s="577">
        <f t="shared" si="9"/>
        <v>0</v>
      </c>
      <c r="U83" s="578">
        <f t="shared" si="10"/>
        <v>0</v>
      </c>
      <c r="V83" s="579"/>
      <c r="W83" s="566"/>
      <c r="X83" s="586" t="str">
        <f t="shared" si="0"/>
        <v/>
      </c>
      <c r="Y83" s="586" t="str">
        <f t="shared" si="1"/>
        <v/>
      </c>
      <c r="Z83" s="586" t="str">
        <f t="shared" si="2"/>
        <v/>
      </c>
    </row>
    <row r="84" spans="1:26" ht="12" hidden="1" thickBot="1" x14ac:dyDescent="0.25">
      <c r="A84" s="567">
        <v>520100</v>
      </c>
      <c r="B84" s="644" t="s">
        <v>1530</v>
      </c>
      <c r="C84" s="645" t="s">
        <v>206</v>
      </c>
      <c r="D84" s="422" t="s">
        <v>1730</v>
      </c>
      <c r="E84" s="423"/>
      <c r="F84" s="424">
        <v>2</v>
      </c>
      <c r="G84" s="425">
        <v>1.5</v>
      </c>
      <c r="H84" s="649">
        <f>IF(F84&lt;=30,(1.07*F84+2.68)*G84,((1.07*30+2.68)+1.07*(F84-30))*G84)</f>
        <v>7.23</v>
      </c>
      <c r="I84" s="414">
        <v>5.62</v>
      </c>
      <c r="J84" s="420">
        <f t="shared" si="13"/>
        <v>12.850000000000001</v>
      </c>
      <c r="K84" s="421">
        <f t="shared" si="14"/>
        <v>15.27</v>
      </c>
      <c r="L84" s="647" t="s">
        <v>16</v>
      </c>
      <c r="M84" s="576"/>
      <c r="N84" s="576">
        <f t="shared" ref="N84:N147" si="15">IF(M84=0,0,K84)</f>
        <v>0</v>
      </c>
      <c r="O84" s="577">
        <f t="shared" si="6"/>
        <v>0</v>
      </c>
      <c r="P84" s="578">
        <f t="shared" si="7"/>
        <v>0</v>
      </c>
      <c r="Q84" s="765"/>
      <c r="R84" s="576">
        <f t="shared" si="8"/>
        <v>0</v>
      </c>
      <c r="S84" s="576">
        <f t="shared" si="8"/>
        <v>0</v>
      </c>
      <c r="T84" s="577">
        <f t="shared" si="9"/>
        <v>0</v>
      </c>
      <c r="U84" s="578">
        <f t="shared" si="10"/>
        <v>0</v>
      </c>
      <c r="V84" s="579"/>
      <c r="W84" s="566"/>
      <c r="X84" s="586" t="str">
        <f t="shared" si="0"/>
        <v/>
      </c>
      <c r="Y84" s="586" t="str">
        <f t="shared" ref="Y84:Y141" si="16">IF(W84="X","x",IF(W84="y","x",IF(W84="xx","x",IF(U84&gt;0,"x",""))))</f>
        <v/>
      </c>
      <c r="Z84" s="586" t="str">
        <f t="shared" ref="Z84:Z155" si="17">IF(W84="X","x",IF(U84&gt;0,"x",""))</f>
        <v/>
      </c>
    </row>
    <row r="85" spans="1:26" ht="12" hidden="1" thickBot="1" x14ac:dyDescent="0.25">
      <c r="A85" s="567">
        <v>520200</v>
      </c>
      <c r="B85" s="644" t="s">
        <v>1531</v>
      </c>
      <c r="C85" s="645" t="s">
        <v>206</v>
      </c>
      <c r="D85" s="422" t="s">
        <v>1731</v>
      </c>
      <c r="E85" s="423"/>
      <c r="F85" s="424">
        <v>2</v>
      </c>
      <c r="G85" s="425">
        <v>1.5</v>
      </c>
      <c r="H85" s="649">
        <f>IF(F85&lt;=30,(1.07*F85+2.68)*G85,((1.07*30+2.68)+1.07*(F85-30))*G85)</f>
        <v>7.23</v>
      </c>
      <c r="I85" s="414">
        <v>6.87</v>
      </c>
      <c r="J85" s="420">
        <f t="shared" si="13"/>
        <v>14.100000000000001</v>
      </c>
      <c r="K85" s="421">
        <f t="shared" si="14"/>
        <v>16.75</v>
      </c>
      <c r="L85" s="647" t="s">
        <v>16</v>
      </c>
      <c r="M85" s="576"/>
      <c r="N85" s="576">
        <f t="shared" si="15"/>
        <v>0</v>
      </c>
      <c r="O85" s="577">
        <f t="shared" si="6"/>
        <v>0</v>
      </c>
      <c r="P85" s="578">
        <f t="shared" si="7"/>
        <v>0</v>
      </c>
      <c r="Q85" s="765"/>
      <c r="R85" s="576">
        <f t="shared" si="8"/>
        <v>0</v>
      </c>
      <c r="S85" s="576">
        <f t="shared" si="8"/>
        <v>0</v>
      </c>
      <c r="T85" s="577">
        <f t="shared" si="9"/>
        <v>0</v>
      </c>
      <c r="U85" s="578">
        <f t="shared" si="10"/>
        <v>0</v>
      </c>
      <c r="V85" s="579"/>
      <c r="W85" s="566"/>
      <c r="X85" s="586" t="str">
        <f t="shared" si="0"/>
        <v/>
      </c>
      <c r="Y85" s="586" t="str">
        <f t="shared" si="16"/>
        <v/>
      </c>
      <c r="Z85" s="586" t="str">
        <f t="shared" si="17"/>
        <v/>
      </c>
    </row>
    <row r="86" spans="1:26" ht="12" hidden="1" thickBot="1" x14ac:dyDescent="0.25">
      <c r="A86" s="567">
        <v>521300</v>
      </c>
      <c r="B86" s="644">
        <v>521300</v>
      </c>
      <c r="C86" s="645" t="s">
        <v>206</v>
      </c>
      <c r="D86" s="422" t="s">
        <v>1714</v>
      </c>
      <c r="E86" s="423"/>
      <c r="F86" s="424">
        <v>2</v>
      </c>
      <c r="G86" s="425">
        <v>1.5</v>
      </c>
      <c r="H86" s="649">
        <f>IF(F86&lt;=30,(1.07*F86+2.68)*G86,((1.07*30+2.68)+1.07*(F86-30))*G86)</f>
        <v>7.23</v>
      </c>
      <c r="I86" s="414">
        <v>42.56</v>
      </c>
      <c r="J86" s="420">
        <f>IF(ISBLANK(I86),"",SUM(H86:I86))</f>
        <v>49.790000000000006</v>
      </c>
      <c r="K86" s="421">
        <f>IF(ISBLANK(I86),0,ROUND(J86*(1+$F$10)*(1+$F$11*E86),2))</f>
        <v>59.16</v>
      </c>
      <c r="L86" s="647" t="s">
        <v>16</v>
      </c>
      <c r="M86" s="576"/>
      <c r="N86" s="576">
        <f t="shared" si="15"/>
        <v>0</v>
      </c>
      <c r="O86" s="577">
        <f>IF(ISBLANK(M86),0,ROUND(K86*M86,2))</f>
        <v>0</v>
      </c>
      <c r="P86" s="578">
        <f>IF(ISBLANK(N86),0,ROUND(M86*N86,2))</f>
        <v>0</v>
      </c>
      <c r="Q86" s="765"/>
      <c r="R86" s="576">
        <f>M86</f>
        <v>0</v>
      </c>
      <c r="S86" s="576">
        <f>N86</f>
        <v>0</v>
      </c>
      <c r="T86" s="577">
        <f>IF(ISBLANK(R86),0,ROUND(K86*R86,2))</f>
        <v>0</v>
      </c>
      <c r="U86" s="578">
        <f>IF(ISBLANK(R86),0,ROUND(R86*S86,2))</f>
        <v>0</v>
      </c>
      <c r="V86" s="579"/>
      <c r="W86" s="566"/>
      <c r="X86" s="586" t="str">
        <f>IF(W86="X","x",IF(W86="xx","x",IF(W86="xy","x",IF(W86="y","x",IF(OR(P86&gt;0,U86&gt;0),"x","")))))</f>
        <v/>
      </c>
      <c r="Y86" s="586" t="str">
        <f>IF(W86="X","x",IF(W86="y","x",IF(W86="xx","x",IF(U86&gt;0,"x",""))))</f>
        <v/>
      </c>
      <c r="Z86" s="586" t="str">
        <f>IF(W86="X","x",IF(U86&gt;0,"x",""))</f>
        <v/>
      </c>
    </row>
    <row r="87" spans="1:26" ht="12" hidden="1" thickBot="1" x14ac:dyDescent="0.25">
      <c r="A87" s="567">
        <v>411000</v>
      </c>
      <c r="B87" s="644">
        <v>411000</v>
      </c>
      <c r="C87" s="645" t="s">
        <v>206</v>
      </c>
      <c r="D87" s="422" t="s">
        <v>194</v>
      </c>
      <c r="E87" s="423"/>
      <c r="F87" s="424"/>
      <c r="G87" s="425"/>
      <c r="H87" s="649"/>
      <c r="I87" s="414">
        <v>9.8699999999999992</v>
      </c>
      <c r="J87" s="420">
        <f t="shared" si="13"/>
        <v>9.8699999999999992</v>
      </c>
      <c r="K87" s="421">
        <f t="shared" si="14"/>
        <v>11.73</v>
      </c>
      <c r="L87" s="647" t="s">
        <v>16</v>
      </c>
      <c r="M87" s="576"/>
      <c r="N87" s="576">
        <f t="shared" si="15"/>
        <v>0</v>
      </c>
      <c r="O87" s="577">
        <f t="shared" si="6"/>
        <v>0</v>
      </c>
      <c r="P87" s="578">
        <f t="shared" si="7"/>
        <v>0</v>
      </c>
      <c r="Q87" s="765"/>
      <c r="R87" s="576">
        <f t="shared" si="8"/>
        <v>0</v>
      </c>
      <c r="S87" s="576">
        <f t="shared" si="8"/>
        <v>0</v>
      </c>
      <c r="T87" s="577">
        <f t="shared" si="9"/>
        <v>0</v>
      </c>
      <c r="U87" s="578">
        <f t="shared" si="10"/>
        <v>0</v>
      </c>
      <c r="V87" s="579"/>
      <c r="W87" s="662"/>
      <c r="X87" s="586" t="str">
        <f t="shared" si="0"/>
        <v/>
      </c>
      <c r="Y87" s="586" t="str">
        <f t="shared" si="16"/>
        <v/>
      </c>
      <c r="Z87" s="586" t="str">
        <f t="shared" si="17"/>
        <v/>
      </c>
    </row>
    <row r="88" spans="1:26" ht="12" hidden="1" thickBot="1" x14ac:dyDescent="0.25">
      <c r="A88" s="567">
        <v>420200</v>
      </c>
      <c r="B88" s="644">
        <v>420200</v>
      </c>
      <c r="C88" s="645" t="s">
        <v>206</v>
      </c>
      <c r="D88" s="422" t="s">
        <v>591</v>
      </c>
      <c r="E88" s="423"/>
      <c r="F88" s="424">
        <v>2</v>
      </c>
      <c r="G88" s="425">
        <v>0.5</v>
      </c>
      <c r="H88" s="649">
        <f>IF(F88&lt;=30,(1.07*F88+2.68)*G88,((1.07*30+2.68)+1.07*(F88-30))*G88)</f>
        <v>2.41</v>
      </c>
      <c r="I88" s="414">
        <v>11.79</v>
      </c>
      <c r="J88" s="420">
        <f>IF(ISBLANK(I88),"",SUM(H88:I88))*0.9</f>
        <v>12.78</v>
      </c>
      <c r="K88" s="421">
        <f t="shared" si="14"/>
        <v>15.18</v>
      </c>
      <c r="L88" s="647" t="s">
        <v>16</v>
      </c>
      <c r="M88" s="576"/>
      <c r="N88" s="576">
        <f t="shared" si="15"/>
        <v>0</v>
      </c>
      <c r="O88" s="577">
        <f t="shared" ref="O88:O158" si="18">IF(ISBLANK(M88),0,ROUND(K88*M88,2))</f>
        <v>0</v>
      </c>
      <c r="P88" s="578">
        <f t="shared" ref="P88:P158" si="19">IF(ISBLANK(N88),0,ROUND(M88*N88,2))</f>
        <v>0</v>
      </c>
      <c r="Q88" s="765"/>
      <c r="R88" s="576">
        <f t="shared" ref="R88:S156" si="20">M88</f>
        <v>0</v>
      </c>
      <c r="S88" s="576">
        <f t="shared" si="20"/>
        <v>0</v>
      </c>
      <c r="T88" s="577">
        <f t="shared" ref="T88:T158" si="21">IF(ISBLANK(R88),0,ROUND(K88*R88,2))</f>
        <v>0</v>
      </c>
      <c r="U88" s="578">
        <f t="shared" ref="U88:U158" si="22">IF(ISBLANK(R88),0,ROUND(R88*S88,2))</f>
        <v>0</v>
      </c>
      <c r="V88" s="579"/>
      <c r="W88" s="662"/>
      <c r="X88" s="586" t="str">
        <f t="shared" si="0"/>
        <v/>
      </c>
      <c r="Y88" s="586" t="str">
        <f t="shared" si="16"/>
        <v/>
      </c>
      <c r="Z88" s="586" t="str">
        <f t="shared" si="17"/>
        <v/>
      </c>
    </row>
    <row r="89" spans="1:26" ht="12" hidden="1" thickBot="1" x14ac:dyDescent="0.25">
      <c r="A89" s="567">
        <v>404000</v>
      </c>
      <c r="B89" s="644">
        <v>404000</v>
      </c>
      <c r="C89" s="645" t="s">
        <v>206</v>
      </c>
      <c r="D89" s="422" t="s">
        <v>193</v>
      </c>
      <c r="E89" s="423"/>
      <c r="F89" s="424">
        <v>2</v>
      </c>
      <c r="G89" s="425">
        <v>1.5</v>
      </c>
      <c r="H89" s="649">
        <f>IF(F89&lt;=30,(1.07*F89+2.68)*G89,((1.07*30+2.68)+1.07*(F89-30))*G89)</f>
        <v>7.23</v>
      </c>
      <c r="I89" s="414">
        <v>11.8</v>
      </c>
      <c r="J89" s="420">
        <f t="shared" si="13"/>
        <v>19.03</v>
      </c>
      <c r="K89" s="421">
        <f t="shared" si="14"/>
        <v>22.61</v>
      </c>
      <c r="L89" s="647" t="s">
        <v>16</v>
      </c>
      <c r="M89" s="576"/>
      <c r="N89" s="576">
        <f t="shared" si="15"/>
        <v>0</v>
      </c>
      <c r="O89" s="577">
        <f t="shared" si="18"/>
        <v>0</v>
      </c>
      <c r="P89" s="578">
        <f t="shared" si="19"/>
        <v>0</v>
      </c>
      <c r="Q89" s="765"/>
      <c r="R89" s="576">
        <f t="shared" si="20"/>
        <v>0</v>
      </c>
      <c r="S89" s="576">
        <f t="shared" si="20"/>
        <v>0</v>
      </c>
      <c r="T89" s="577">
        <f t="shared" si="21"/>
        <v>0</v>
      </c>
      <c r="U89" s="578">
        <f t="shared" si="22"/>
        <v>0</v>
      </c>
      <c r="V89" s="579"/>
      <c r="W89" s="662"/>
      <c r="X89" s="586" t="str">
        <f t="shared" si="0"/>
        <v/>
      </c>
      <c r="Y89" s="586" t="str">
        <f t="shared" si="16"/>
        <v/>
      </c>
      <c r="Z89" s="586" t="str">
        <f t="shared" si="17"/>
        <v/>
      </c>
    </row>
    <row r="90" spans="1:26" ht="12" hidden="1" thickBot="1" x14ac:dyDescent="0.25">
      <c r="A90" s="652" t="s">
        <v>187</v>
      </c>
      <c r="B90" s="653" t="s">
        <v>187</v>
      </c>
      <c r="C90" s="654"/>
      <c r="D90" s="427" t="s">
        <v>186</v>
      </c>
      <c r="E90" s="428"/>
      <c r="F90" s="655"/>
      <c r="G90" s="656"/>
      <c r="H90" s="663"/>
      <c r="I90" s="429"/>
      <c r="J90" s="429"/>
      <c r="K90" s="429"/>
      <c r="L90" s="429" t="s">
        <v>614</v>
      </c>
      <c r="M90" s="657"/>
      <c r="N90" s="576">
        <f t="shared" si="15"/>
        <v>0</v>
      </c>
      <c r="O90" s="429">
        <f t="shared" si="18"/>
        <v>0</v>
      </c>
      <c r="P90" s="658">
        <f t="shared" si="19"/>
        <v>0</v>
      </c>
      <c r="Q90" s="765"/>
      <c r="R90" s="657"/>
      <c r="S90" s="429"/>
      <c r="T90" s="429">
        <f t="shared" si="21"/>
        <v>0</v>
      </c>
      <c r="U90" s="658">
        <f t="shared" si="22"/>
        <v>0</v>
      </c>
      <c r="V90" s="579"/>
      <c r="W90" s="637" t="str">
        <f>IF(OR(SUM(P91:P115)&gt;0,SUM(U91:U115)&gt;0),"y","")</f>
        <v/>
      </c>
      <c r="X90" s="586" t="str">
        <f t="shared" ref="X90:X160" si="23">IF(W90="X","x",IF(W90="xx","x",IF(W90="xy","x",IF(W90="y","x",IF(OR(P90&gt;0,U90&gt;0),"x","")))))</f>
        <v/>
      </c>
      <c r="Y90" s="586" t="str">
        <f t="shared" si="16"/>
        <v/>
      </c>
      <c r="Z90" s="586" t="str">
        <f t="shared" si="17"/>
        <v/>
      </c>
    </row>
    <row r="91" spans="1:26" ht="12" hidden="1" thickBot="1" x14ac:dyDescent="0.25">
      <c r="A91" s="652" t="s">
        <v>187</v>
      </c>
      <c r="B91" s="572" t="s">
        <v>187</v>
      </c>
      <c r="C91" s="573" t="s">
        <v>187</v>
      </c>
      <c r="D91" s="574"/>
      <c r="E91" s="575"/>
      <c r="F91" s="436"/>
      <c r="G91" s="431"/>
      <c r="H91" s="426"/>
      <c r="I91" s="432"/>
      <c r="J91" s="433"/>
      <c r="K91" s="434">
        <f t="shared" ref="K91:K115" si="24">IF(ISBLANK(J91),0,ROUND(J91*(1+$F$10)*(1+$F$11*E91),2))</f>
        <v>0</v>
      </c>
      <c r="L91" s="435" t="s">
        <v>614</v>
      </c>
      <c r="M91" s="587"/>
      <c r="N91" s="576">
        <f t="shared" si="15"/>
        <v>0</v>
      </c>
      <c r="O91" s="577">
        <f t="shared" si="18"/>
        <v>0</v>
      </c>
      <c r="P91" s="578">
        <f t="shared" si="19"/>
        <v>0</v>
      </c>
      <c r="Q91" s="765"/>
      <c r="R91" s="650">
        <f t="shared" si="20"/>
        <v>0</v>
      </c>
      <c r="S91" s="587">
        <f t="shared" si="20"/>
        <v>0</v>
      </c>
      <c r="T91" s="577">
        <f t="shared" si="21"/>
        <v>0</v>
      </c>
      <c r="U91" s="578">
        <f t="shared" si="22"/>
        <v>0</v>
      </c>
      <c r="V91" s="579"/>
      <c r="W91" s="566"/>
      <c r="X91" s="586" t="str">
        <f t="shared" si="23"/>
        <v/>
      </c>
      <c r="Y91" s="586" t="str">
        <f t="shared" si="16"/>
        <v/>
      </c>
      <c r="Z91" s="586" t="str">
        <f t="shared" si="17"/>
        <v/>
      </c>
    </row>
    <row r="92" spans="1:26" ht="12" hidden="1" thickBot="1" x14ac:dyDescent="0.25">
      <c r="A92" s="652" t="s">
        <v>187</v>
      </c>
      <c r="B92" s="572" t="s">
        <v>187</v>
      </c>
      <c r="C92" s="573" t="s">
        <v>187</v>
      </c>
      <c r="D92" s="580"/>
      <c r="E92" s="575"/>
      <c r="F92" s="436"/>
      <c r="G92" s="431"/>
      <c r="H92" s="426"/>
      <c r="I92" s="432"/>
      <c r="J92" s="433"/>
      <c r="K92" s="437">
        <f t="shared" si="24"/>
        <v>0</v>
      </c>
      <c r="L92" s="435" t="s">
        <v>614</v>
      </c>
      <c r="M92" s="576"/>
      <c r="N92" s="576">
        <f t="shared" si="15"/>
        <v>0</v>
      </c>
      <c r="O92" s="577">
        <f t="shared" si="18"/>
        <v>0</v>
      </c>
      <c r="P92" s="578">
        <f t="shared" si="19"/>
        <v>0</v>
      </c>
      <c r="Q92" s="765"/>
      <c r="R92" s="576">
        <f t="shared" si="20"/>
        <v>0</v>
      </c>
      <c r="S92" s="576">
        <f t="shared" si="20"/>
        <v>0</v>
      </c>
      <c r="T92" s="577">
        <f t="shared" si="21"/>
        <v>0</v>
      </c>
      <c r="U92" s="659">
        <f t="shared" si="22"/>
        <v>0</v>
      </c>
      <c r="V92" s="579"/>
      <c r="W92" s="566"/>
      <c r="X92" s="586" t="str">
        <f t="shared" si="23"/>
        <v/>
      </c>
      <c r="Y92" s="586" t="str">
        <f t="shared" si="16"/>
        <v/>
      </c>
      <c r="Z92" s="586" t="str">
        <f t="shared" si="17"/>
        <v/>
      </c>
    </row>
    <row r="93" spans="1:26" ht="12" hidden="1" thickBot="1" x14ac:dyDescent="0.25">
      <c r="A93" s="652" t="s">
        <v>187</v>
      </c>
      <c r="B93" s="572" t="s">
        <v>187</v>
      </c>
      <c r="C93" s="573" t="s">
        <v>187</v>
      </c>
      <c r="D93" s="580"/>
      <c r="E93" s="575"/>
      <c r="F93" s="436"/>
      <c r="G93" s="431"/>
      <c r="H93" s="426"/>
      <c r="I93" s="432"/>
      <c r="J93" s="433"/>
      <c r="K93" s="437">
        <f t="shared" si="24"/>
        <v>0</v>
      </c>
      <c r="L93" s="435" t="s">
        <v>614</v>
      </c>
      <c r="M93" s="576"/>
      <c r="N93" s="576">
        <f t="shared" si="15"/>
        <v>0</v>
      </c>
      <c r="O93" s="577">
        <f t="shared" si="18"/>
        <v>0</v>
      </c>
      <c r="P93" s="578">
        <f t="shared" si="19"/>
        <v>0</v>
      </c>
      <c r="Q93" s="765"/>
      <c r="R93" s="576">
        <f t="shared" si="20"/>
        <v>0</v>
      </c>
      <c r="S93" s="576">
        <f t="shared" si="20"/>
        <v>0</v>
      </c>
      <c r="T93" s="577">
        <f t="shared" si="21"/>
        <v>0</v>
      </c>
      <c r="U93" s="578">
        <f t="shared" si="22"/>
        <v>0</v>
      </c>
      <c r="V93" s="579"/>
      <c r="W93" s="566"/>
      <c r="X93" s="586" t="str">
        <f t="shared" si="23"/>
        <v/>
      </c>
      <c r="Y93" s="586" t="str">
        <f t="shared" si="16"/>
        <v/>
      </c>
      <c r="Z93" s="586" t="str">
        <f t="shared" si="17"/>
        <v/>
      </c>
    </row>
    <row r="94" spans="1:26" ht="12" hidden="1" thickBot="1" x14ac:dyDescent="0.25">
      <c r="A94" s="652" t="s">
        <v>187</v>
      </c>
      <c r="B94" s="572" t="s">
        <v>187</v>
      </c>
      <c r="C94" s="573" t="s">
        <v>187</v>
      </c>
      <c r="D94" s="580"/>
      <c r="E94" s="575"/>
      <c r="F94" s="436"/>
      <c r="G94" s="431"/>
      <c r="H94" s="426"/>
      <c r="I94" s="432"/>
      <c r="J94" s="433"/>
      <c r="K94" s="437">
        <f t="shared" si="24"/>
        <v>0</v>
      </c>
      <c r="L94" s="435" t="s">
        <v>614</v>
      </c>
      <c r="M94" s="576"/>
      <c r="N94" s="576">
        <f t="shared" si="15"/>
        <v>0</v>
      </c>
      <c r="O94" s="577">
        <f t="shared" si="18"/>
        <v>0</v>
      </c>
      <c r="P94" s="578">
        <f t="shared" si="19"/>
        <v>0</v>
      </c>
      <c r="Q94" s="765"/>
      <c r="R94" s="576">
        <f t="shared" si="20"/>
        <v>0</v>
      </c>
      <c r="S94" s="576">
        <f t="shared" si="20"/>
        <v>0</v>
      </c>
      <c r="T94" s="577">
        <f t="shared" si="21"/>
        <v>0</v>
      </c>
      <c r="U94" s="578">
        <f t="shared" si="22"/>
        <v>0</v>
      </c>
      <c r="V94" s="579"/>
      <c r="W94" s="566"/>
      <c r="X94" s="586" t="str">
        <f t="shared" si="23"/>
        <v/>
      </c>
      <c r="Y94" s="586" t="str">
        <f t="shared" si="16"/>
        <v/>
      </c>
      <c r="Z94" s="586" t="str">
        <f t="shared" si="17"/>
        <v/>
      </c>
    </row>
    <row r="95" spans="1:26" ht="12" hidden="1" thickBot="1" x14ac:dyDescent="0.25">
      <c r="A95" s="652" t="s">
        <v>187</v>
      </c>
      <c r="B95" s="572" t="s">
        <v>187</v>
      </c>
      <c r="C95" s="573" t="s">
        <v>187</v>
      </c>
      <c r="D95" s="580"/>
      <c r="E95" s="575"/>
      <c r="F95" s="436"/>
      <c r="G95" s="431"/>
      <c r="H95" s="426"/>
      <c r="I95" s="432"/>
      <c r="J95" s="433"/>
      <c r="K95" s="437">
        <f t="shared" si="24"/>
        <v>0</v>
      </c>
      <c r="L95" s="435" t="s">
        <v>614</v>
      </c>
      <c r="M95" s="576"/>
      <c r="N95" s="576">
        <f t="shared" si="15"/>
        <v>0</v>
      </c>
      <c r="O95" s="577">
        <f t="shared" si="18"/>
        <v>0</v>
      </c>
      <c r="P95" s="578">
        <f t="shared" si="19"/>
        <v>0</v>
      </c>
      <c r="Q95" s="765"/>
      <c r="R95" s="576">
        <f t="shared" si="20"/>
        <v>0</v>
      </c>
      <c r="S95" s="576">
        <f t="shared" si="20"/>
        <v>0</v>
      </c>
      <c r="T95" s="577">
        <f t="shared" si="21"/>
        <v>0</v>
      </c>
      <c r="U95" s="578">
        <f t="shared" si="22"/>
        <v>0</v>
      </c>
      <c r="V95" s="579"/>
      <c r="W95" s="566"/>
      <c r="X95" s="586" t="str">
        <f t="shared" si="23"/>
        <v/>
      </c>
      <c r="Y95" s="586" t="str">
        <f t="shared" si="16"/>
        <v/>
      </c>
      <c r="Z95" s="586" t="str">
        <f t="shared" si="17"/>
        <v/>
      </c>
    </row>
    <row r="96" spans="1:26" ht="12" hidden="1" thickBot="1" x14ac:dyDescent="0.25">
      <c r="A96" s="652" t="s">
        <v>187</v>
      </c>
      <c r="B96" s="572" t="s">
        <v>187</v>
      </c>
      <c r="C96" s="573" t="s">
        <v>187</v>
      </c>
      <c r="D96" s="580"/>
      <c r="E96" s="575"/>
      <c r="F96" s="436"/>
      <c r="G96" s="431"/>
      <c r="H96" s="426"/>
      <c r="I96" s="432"/>
      <c r="J96" s="433"/>
      <c r="K96" s="437">
        <f t="shared" si="24"/>
        <v>0</v>
      </c>
      <c r="L96" s="435" t="s">
        <v>614</v>
      </c>
      <c r="M96" s="576"/>
      <c r="N96" s="576">
        <f t="shared" si="15"/>
        <v>0</v>
      </c>
      <c r="O96" s="577">
        <f t="shared" si="18"/>
        <v>0</v>
      </c>
      <c r="P96" s="578">
        <f t="shared" si="19"/>
        <v>0</v>
      </c>
      <c r="Q96" s="765"/>
      <c r="R96" s="576">
        <f t="shared" si="20"/>
        <v>0</v>
      </c>
      <c r="S96" s="576">
        <f t="shared" si="20"/>
        <v>0</v>
      </c>
      <c r="T96" s="577">
        <f t="shared" si="21"/>
        <v>0</v>
      </c>
      <c r="U96" s="578">
        <f t="shared" si="22"/>
        <v>0</v>
      </c>
      <c r="V96" s="579"/>
      <c r="W96" s="566"/>
      <c r="X96" s="586" t="str">
        <f t="shared" si="23"/>
        <v/>
      </c>
      <c r="Y96" s="586" t="str">
        <f t="shared" si="16"/>
        <v/>
      </c>
      <c r="Z96" s="586" t="str">
        <f t="shared" si="17"/>
        <v/>
      </c>
    </row>
    <row r="97" spans="1:26" ht="12" hidden="1" thickBot="1" x14ac:dyDescent="0.25">
      <c r="A97" s="652" t="s">
        <v>187</v>
      </c>
      <c r="B97" s="572" t="s">
        <v>187</v>
      </c>
      <c r="C97" s="573" t="s">
        <v>187</v>
      </c>
      <c r="D97" s="580"/>
      <c r="E97" s="575"/>
      <c r="F97" s="436"/>
      <c r="G97" s="431"/>
      <c r="H97" s="426"/>
      <c r="I97" s="432"/>
      <c r="J97" s="433"/>
      <c r="K97" s="437">
        <f t="shared" si="24"/>
        <v>0</v>
      </c>
      <c r="L97" s="435" t="s">
        <v>614</v>
      </c>
      <c r="M97" s="576"/>
      <c r="N97" s="576">
        <f t="shared" si="15"/>
        <v>0</v>
      </c>
      <c r="O97" s="577">
        <f t="shared" si="18"/>
        <v>0</v>
      </c>
      <c r="P97" s="578">
        <f t="shared" si="19"/>
        <v>0</v>
      </c>
      <c r="Q97" s="765"/>
      <c r="R97" s="576">
        <f t="shared" si="20"/>
        <v>0</v>
      </c>
      <c r="S97" s="576">
        <f t="shared" si="20"/>
        <v>0</v>
      </c>
      <c r="T97" s="577">
        <f t="shared" si="21"/>
        <v>0</v>
      </c>
      <c r="U97" s="578">
        <f t="shared" si="22"/>
        <v>0</v>
      </c>
      <c r="V97" s="579"/>
      <c r="W97" s="566"/>
      <c r="X97" s="586" t="str">
        <f t="shared" si="23"/>
        <v/>
      </c>
      <c r="Y97" s="586" t="str">
        <f t="shared" si="16"/>
        <v/>
      </c>
      <c r="Z97" s="586" t="str">
        <f t="shared" si="17"/>
        <v/>
      </c>
    </row>
    <row r="98" spans="1:26" ht="12" hidden="1" thickBot="1" x14ac:dyDescent="0.25">
      <c r="A98" s="652" t="s">
        <v>187</v>
      </c>
      <c r="B98" s="572" t="s">
        <v>187</v>
      </c>
      <c r="C98" s="573" t="s">
        <v>187</v>
      </c>
      <c r="D98" s="580"/>
      <c r="E98" s="575"/>
      <c r="F98" s="436"/>
      <c r="G98" s="431"/>
      <c r="H98" s="426"/>
      <c r="I98" s="432"/>
      <c r="J98" s="433"/>
      <c r="K98" s="437">
        <f t="shared" si="24"/>
        <v>0</v>
      </c>
      <c r="L98" s="435" t="s">
        <v>614</v>
      </c>
      <c r="M98" s="576"/>
      <c r="N98" s="576">
        <f t="shared" si="15"/>
        <v>0</v>
      </c>
      <c r="O98" s="577">
        <f t="shared" si="18"/>
        <v>0</v>
      </c>
      <c r="P98" s="578">
        <f t="shared" si="19"/>
        <v>0</v>
      </c>
      <c r="Q98" s="765"/>
      <c r="R98" s="576">
        <f t="shared" si="20"/>
        <v>0</v>
      </c>
      <c r="S98" s="576">
        <f t="shared" si="20"/>
        <v>0</v>
      </c>
      <c r="T98" s="577">
        <f t="shared" si="21"/>
        <v>0</v>
      </c>
      <c r="U98" s="578">
        <f t="shared" si="22"/>
        <v>0</v>
      </c>
      <c r="V98" s="579"/>
      <c r="W98" s="566"/>
      <c r="X98" s="586" t="str">
        <f t="shared" si="23"/>
        <v/>
      </c>
      <c r="Y98" s="586" t="str">
        <f t="shared" si="16"/>
        <v/>
      </c>
      <c r="Z98" s="586" t="str">
        <f t="shared" si="17"/>
        <v/>
      </c>
    </row>
    <row r="99" spans="1:26" ht="12" hidden="1" thickBot="1" x14ac:dyDescent="0.25">
      <c r="A99" s="652" t="s">
        <v>187</v>
      </c>
      <c r="B99" s="572" t="s">
        <v>187</v>
      </c>
      <c r="C99" s="573" t="s">
        <v>187</v>
      </c>
      <c r="D99" s="580"/>
      <c r="E99" s="575"/>
      <c r="F99" s="436"/>
      <c r="G99" s="431"/>
      <c r="H99" s="426"/>
      <c r="I99" s="432"/>
      <c r="J99" s="433"/>
      <c r="K99" s="437">
        <f t="shared" si="24"/>
        <v>0</v>
      </c>
      <c r="L99" s="435" t="s">
        <v>614</v>
      </c>
      <c r="M99" s="576"/>
      <c r="N99" s="576">
        <f t="shared" si="15"/>
        <v>0</v>
      </c>
      <c r="O99" s="577">
        <f t="shared" si="18"/>
        <v>0</v>
      </c>
      <c r="P99" s="578">
        <f t="shared" si="19"/>
        <v>0</v>
      </c>
      <c r="Q99" s="765"/>
      <c r="R99" s="576">
        <f t="shared" si="20"/>
        <v>0</v>
      </c>
      <c r="S99" s="576">
        <f t="shared" si="20"/>
        <v>0</v>
      </c>
      <c r="T99" s="577">
        <f t="shared" si="21"/>
        <v>0</v>
      </c>
      <c r="U99" s="578">
        <f t="shared" si="22"/>
        <v>0</v>
      </c>
      <c r="V99" s="579"/>
      <c r="W99" s="566"/>
      <c r="X99" s="586" t="str">
        <f t="shared" si="23"/>
        <v/>
      </c>
      <c r="Y99" s="586" t="str">
        <f t="shared" si="16"/>
        <v/>
      </c>
      <c r="Z99" s="586" t="str">
        <f t="shared" si="17"/>
        <v/>
      </c>
    </row>
    <row r="100" spans="1:26" ht="12" hidden="1" thickBot="1" x14ac:dyDescent="0.25">
      <c r="A100" s="652" t="s">
        <v>187</v>
      </c>
      <c r="B100" s="572" t="s">
        <v>187</v>
      </c>
      <c r="C100" s="573" t="s">
        <v>187</v>
      </c>
      <c r="D100" s="580"/>
      <c r="E100" s="575"/>
      <c r="F100" s="436"/>
      <c r="G100" s="431"/>
      <c r="H100" s="426"/>
      <c r="I100" s="432"/>
      <c r="J100" s="433"/>
      <c r="K100" s="437">
        <f t="shared" si="24"/>
        <v>0</v>
      </c>
      <c r="L100" s="435" t="s">
        <v>614</v>
      </c>
      <c r="M100" s="576"/>
      <c r="N100" s="576">
        <f t="shared" si="15"/>
        <v>0</v>
      </c>
      <c r="O100" s="577">
        <f t="shared" si="18"/>
        <v>0</v>
      </c>
      <c r="P100" s="578">
        <f t="shared" si="19"/>
        <v>0</v>
      </c>
      <c r="Q100" s="765"/>
      <c r="R100" s="576">
        <f t="shared" si="20"/>
        <v>0</v>
      </c>
      <c r="S100" s="576">
        <f t="shared" si="20"/>
        <v>0</v>
      </c>
      <c r="T100" s="577">
        <f t="shared" si="21"/>
        <v>0</v>
      </c>
      <c r="U100" s="578">
        <f t="shared" si="22"/>
        <v>0</v>
      </c>
      <c r="V100" s="579"/>
      <c r="W100" s="566"/>
      <c r="X100" s="586" t="str">
        <f t="shared" si="23"/>
        <v/>
      </c>
      <c r="Y100" s="586" t="str">
        <f t="shared" si="16"/>
        <v/>
      </c>
      <c r="Z100" s="586" t="str">
        <f t="shared" si="17"/>
        <v/>
      </c>
    </row>
    <row r="101" spans="1:26" ht="12" hidden="1" thickBot="1" x14ac:dyDescent="0.25">
      <c r="A101" s="652" t="s">
        <v>187</v>
      </c>
      <c r="B101" s="572" t="s">
        <v>187</v>
      </c>
      <c r="C101" s="573" t="s">
        <v>187</v>
      </c>
      <c r="D101" s="580"/>
      <c r="E101" s="575"/>
      <c r="F101" s="436"/>
      <c r="G101" s="431"/>
      <c r="H101" s="426"/>
      <c r="I101" s="432"/>
      <c r="J101" s="433"/>
      <c r="K101" s="437">
        <f t="shared" si="24"/>
        <v>0</v>
      </c>
      <c r="L101" s="435" t="s">
        <v>614</v>
      </c>
      <c r="M101" s="576"/>
      <c r="N101" s="576">
        <f t="shared" si="15"/>
        <v>0</v>
      </c>
      <c r="O101" s="577">
        <f t="shared" si="18"/>
        <v>0</v>
      </c>
      <c r="P101" s="578">
        <f t="shared" si="19"/>
        <v>0</v>
      </c>
      <c r="Q101" s="765"/>
      <c r="R101" s="576">
        <f t="shared" si="20"/>
        <v>0</v>
      </c>
      <c r="S101" s="576">
        <f t="shared" si="20"/>
        <v>0</v>
      </c>
      <c r="T101" s="577">
        <f t="shared" si="21"/>
        <v>0</v>
      </c>
      <c r="U101" s="578">
        <f t="shared" si="22"/>
        <v>0</v>
      </c>
      <c r="V101" s="579"/>
      <c r="W101" s="566"/>
      <c r="X101" s="586" t="str">
        <f t="shared" si="23"/>
        <v/>
      </c>
      <c r="Y101" s="586" t="str">
        <f t="shared" si="16"/>
        <v/>
      </c>
      <c r="Z101" s="586" t="str">
        <f t="shared" si="17"/>
        <v/>
      </c>
    </row>
    <row r="102" spans="1:26" ht="12" hidden="1" thickBot="1" x14ac:dyDescent="0.25">
      <c r="A102" s="652" t="s">
        <v>187</v>
      </c>
      <c r="B102" s="572" t="s">
        <v>187</v>
      </c>
      <c r="C102" s="573" t="s">
        <v>187</v>
      </c>
      <c r="D102" s="580"/>
      <c r="E102" s="575"/>
      <c r="F102" s="436"/>
      <c r="G102" s="431"/>
      <c r="H102" s="426"/>
      <c r="I102" s="432"/>
      <c r="J102" s="433"/>
      <c r="K102" s="437">
        <f t="shared" si="24"/>
        <v>0</v>
      </c>
      <c r="L102" s="435" t="s">
        <v>614</v>
      </c>
      <c r="M102" s="576"/>
      <c r="N102" s="576">
        <f t="shared" si="15"/>
        <v>0</v>
      </c>
      <c r="O102" s="577">
        <f t="shared" si="18"/>
        <v>0</v>
      </c>
      <c r="P102" s="578">
        <f t="shared" si="19"/>
        <v>0</v>
      </c>
      <c r="Q102" s="765"/>
      <c r="R102" s="576">
        <f t="shared" si="20"/>
        <v>0</v>
      </c>
      <c r="S102" s="576">
        <f t="shared" si="20"/>
        <v>0</v>
      </c>
      <c r="T102" s="577">
        <f t="shared" si="21"/>
        <v>0</v>
      </c>
      <c r="U102" s="578">
        <f t="shared" si="22"/>
        <v>0</v>
      </c>
      <c r="V102" s="579"/>
      <c r="W102" s="566"/>
      <c r="X102" s="586" t="str">
        <f t="shared" si="23"/>
        <v/>
      </c>
      <c r="Y102" s="586" t="str">
        <f t="shared" si="16"/>
        <v/>
      </c>
      <c r="Z102" s="586" t="str">
        <f t="shared" si="17"/>
        <v/>
      </c>
    </row>
    <row r="103" spans="1:26" ht="12" hidden="1" thickBot="1" x14ac:dyDescent="0.25">
      <c r="A103" s="652" t="s">
        <v>187</v>
      </c>
      <c r="B103" s="572" t="s">
        <v>187</v>
      </c>
      <c r="C103" s="573" t="s">
        <v>187</v>
      </c>
      <c r="D103" s="580"/>
      <c r="E103" s="575"/>
      <c r="F103" s="436"/>
      <c r="G103" s="431"/>
      <c r="H103" s="426"/>
      <c r="I103" s="432"/>
      <c r="J103" s="433"/>
      <c r="K103" s="437">
        <f t="shared" si="24"/>
        <v>0</v>
      </c>
      <c r="L103" s="435" t="s">
        <v>614</v>
      </c>
      <c r="M103" s="576"/>
      <c r="N103" s="576">
        <f t="shared" si="15"/>
        <v>0</v>
      </c>
      <c r="O103" s="577">
        <f t="shared" si="18"/>
        <v>0</v>
      </c>
      <c r="P103" s="578">
        <f t="shared" si="19"/>
        <v>0</v>
      </c>
      <c r="Q103" s="765"/>
      <c r="R103" s="576">
        <f t="shared" si="20"/>
        <v>0</v>
      </c>
      <c r="S103" s="576">
        <f t="shared" si="20"/>
        <v>0</v>
      </c>
      <c r="T103" s="577">
        <f t="shared" si="21"/>
        <v>0</v>
      </c>
      <c r="U103" s="578">
        <f t="shared" si="22"/>
        <v>0</v>
      </c>
      <c r="V103" s="579"/>
      <c r="W103" s="566"/>
      <c r="X103" s="586" t="str">
        <f t="shared" si="23"/>
        <v/>
      </c>
      <c r="Y103" s="586" t="str">
        <f t="shared" si="16"/>
        <v/>
      </c>
      <c r="Z103" s="586" t="str">
        <f t="shared" si="17"/>
        <v/>
      </c>
    </row>
    <row r="104" spans="1:26" ht="12" hidden="1" thickBot="1" x14ac:dyDescent="0.25">
      <c r="A104" s="652" t="s">
        <v>187</v>
      </c>
      <c r="B104" s="572" t="s">
        <v>187</v>
      </c>
      <c r="C104" s="573" t="s">
        <v>187</v>
      </c>
      <c r="D104" s="580"/>
      <c r="E104" s="575"/>
      <c r="F104" s="436"/>
      <c r="G104" s="431"/>
      <c r="H104" s="426"/>
      <c r="I104" s="432"/>
      <c r="J104" s="433"/>
      <c r="K104" s="437">
        <f t="shared" si="24"/>
        <v>0</v>
      </c>
      <c r="L104" s="435" t="s">
        <v>614</v>
      </c>
      <c r="M104" s="576"/>
      <c r="N104" s="576">
        <f t="shared" si="15"/>
        <v>0</v>
      </c>
      <c r="O104" s="577">
        <f t="shared" si="18"/>
        <v>0</v>
      </c>
      <c r="P104" s="578">
        <f t="shared" si="19"/>
        <v>0</v>
      </c>
      <c r="Q104" s="765"/>
      <c r="R104" s="576">
        <f t="shared" si="20"/>
        <v>0</v>
      </c>
      <c r="S104" s="576">
        <f t="shared" si="20"/>
        <v>0</v>
      </c>
      <c r="T104" s="577">
        <f t="shared" si="21"/>
        <v>0</v>
      </c>
      <c r="U104" s="578">
        <f t="shared" si="22"/>
        <v>0</v>
      </c>
      <c r="V104" s="579"/>
      <c r="W104" s="566"/>
      <c r="X104" s="586" t="str">
        <f t="shared" si="23"/>
        <v/>
      </c>
      <c r="Y104" s="586" t="str">
        <f t="shared" si="16"/>
        <v/>
      </c>
      <c r="Z104" s="586" t="str">
        <f t="shared" si="17"/>
        <v/>
      </c>
    </row>
    <row r="105" spans="1:26" ht="12" hidden="1" thickBot="1" x14ac:dyDescent="0.25">
      <c r="A105" s="652" t="s">
        <v>187</v>
      </c>
      <c r="B105" s="572" t="s">
        <v>187</v>
      </c>
      <c r="C105" s="573" t="s">
        <v>187</v>
      </c>
      <c r="D105" s="580"/>
      <c r="E105" s="575"/>
      <c r="F105" s="436"/>
      <c r="G105" s="431"/>
      <c r="H105" s="426"/>
      <c r="I105" s="432"/>
      <c r="J105" s="433"/>
      <c r="K105" s="437">
        <f t="shared" si="24"/>
        <v>0</v>
      </c>
      <c r="L105" s="435" t="s">
        <v>614</v>
      </c>
      <c r="M105" s="576"/>
      <c r="N105" s="576">
        <f t="shared" si="15"/>
        <v>0</v>
      </c>
      <c r="O105" s="577">
        <f t="shared" si="18"/>
        <v>0</v>
      </c>
      <c r="P105" s="578">
        <f t="shared" si="19"/>
        <v>0</v>
      </c>
      <c r="Q105" s="765"/>
      <c r="R105" s="576">
        <f t="shared" si="20"/>
        <v>0</v>
      </c>
      <c r="S105" s="576">
        <f t="shared" si="20"/>
        <v>0</v>
      </c>
      <c r="T105" s="577">
        <f t="shared" si="21"/>
        <v>0</v>
      </c>
      <c r="U105" s="578">
        <f t="shared" si="22"/>
        <v>0</v>
      </c>
      <c r="V105" s="579"/>
      <c r="W105" s="566"/>
      <c r="X105" s="586" t="str">
        <f t="shared" si="23"/>
        <v/>
      </c>
      <c r="Y105" s="586" t="str">
        <f t="shared" si="16"/>
        <v/>
      </c>
      <c r="Z105" s="586" t="str">
        <f t="shared" si="17"/>
        <v/>
      </c>
    </row>
    <row r="106" spans="1:26" ht="12" hidden="1" thickBot="1" x14ac:dyDescent="0.25">
      <c r="A106" s="652" t="s">
        <v>187</v>
      </c>
      <c r="B106" s="572" t="s">
        <v>187</v>
      </c>
      <c r="C106" s="573" t="s">
        <v>187</v>
      </c>
      <c r="D106" s="580"/>
      <c r="E106" s="575"/>
      <c r="F106" s="436"/>
      <c r="G106" s="431"/>
      <c r="H106" s="426"/>
      <c r="I106" s="432"/>
      <c r="J106" s="433"/>
      <c r="K106" s="437">
        <f t="shared" si="24"/>
        <v>0</v>
      </c>
      <c r="L106" s="435" t="s">
        <v>614</v>
      </c>
      <c r="M106" s="576"/>
      <c r="N106" s="576">
        <f t="shared" si="15"/>
        <v>0</v>
      </c>
      <c r="O106" s="577">
        <f t="shared" si="18"/>
        <v>0</v>
      </c>
      <c r="P106" s="578">
        <f t="shared" si="19"/>
        <v>0</v>
      </c>
      <c r="Q106" s="765"/>
      <c r="R106" s="576">
        <f t="shared" si="20"/>
        <v>0</v>
      </c>
      <c r="S106" s="576">
        <f t="shared" si="20"/>
        <v>0</v>
      </c>
      <c r="T106" s="577">
        <f t="shared" si="21"/>
        <v>0</v>
      </c>
      <c r="U106" s="578">
        <f t="shared" si="22"/>
        <v>0</v>
      </c>
      <c r="V106" s="579"/>
      <c r="W106" s="566"/>
      <c r="X106" s="586" t="str">
        <f t="shared" si="23"/>
        <v/>
      </c>
      <c r="Y106" s="586" t="str">
        <f t="shared" si="16"/>
        <v/>
      </c>
      <c r="Z106" s="586" t="str">
        <f t="shared" si="17"/>
        <v/>
      </c>
    </row>
    <row r="107" spans="1:26" ht="12" hidden="1" thickBot="1" x14ac:dyDescent="0.25">
      <c r="A107" s="652" t="s">
        <v>187</v>
      </c>
      <c r="B107" s="572" t="s">
        <v>187</v>
      </c>
      <c r="C107" s="573" t="s">
        <v>187</v>
      </c>
      <c r="D107" s="580"/>
      <c r="E107" s="575"/>
      <c r="F107" s="436"/>
      <c r="G107" s="431"/>
      <c r="H107" s="426"/>
      <c r="I107" s="432"/>
      <c r="J107" s="433"/>
      <c r="K107" s="437">
        <f t="shared" si="24"/>
        <v>0</v>
      </c>
      <c r="L107" s="435" t="s">
        <v>614</v>
      </c>
      <c r="M107" s="576"/>
      <c r="N107" s="576">
        <f t="shared" si="15"/>
        <v>0</v>
      </c>
      <c r="O107" s="577">
        <f t="shared" si="18"/>
        <v>0</v>
      </c>
      <c r="P107" s="578">
        <f t="shared" si="19"/>
        <v>0</v>
      </c>
      <c r="Q107" s="765"/>
      <c r="R107" s="576">
        <f t="shared" si="20"/>
        <v>0</v>
      </c>
      <c r="S107" s="576">
        <f t="shared" si="20"/>
        <v>0</v>
      </c>
      <c r="T107" s="577">
        <f t="shared" si="21"/>
        <v>0</v>
      </c>
      <c r="U107" s="578">
        <f t="shared" si="22"/>
        <v>0</v>
      </c>
      <c r="V107" s="579"/>
      <c r="W107" s="566"/>
      <c r="X107" s="586" t="str">
        <f t="shared" si="23"/>
        <v/>
      </c>
      <c r="Y107" s="586" t="str">
        <f t="shared" si="16"/>
        <v/>
      </c>
      <c r="Z107" s="586" t="str">
        <f t="shared" si="17"/>
        <v/>
      </c>
    </row>
    <row r="108" spans="1:26" ht="12" hidden="1" thickBot="1" x14ac:dyDescent="0.25">
      <c r="A108" s="652" t="s">
        <v>187</v>
      </c>
      <c r="B108" s="572" t="s">
        <v>187</v>
      </c>
      <c r="C108" s="573" t="s">
        <v>187</v>
      </c>
      <c r="D108" s="580"/>
      <c r="E108" s="575"/>
      <c r="F108" s="436"/>
      <c r="G108" s="431"/>
      <c r="H108" s="426"/>
      <c r="I108" s="432"/>
      <c r="J108" s="433"/>
      <c r="K108" s="437">
        <f t="shared" si="24"/>
        <v>0</v>
      </c>
      <c r="L108" s="435" t="s">
        <v>614</v>
      </c>
      <c r="M108" s="576"/>
      <c r="N108" s="576">
        <f t="shared" si="15"/>
        <v>0</v>
      </c>
      <c r="O108" s="577">
        <f t="shared" si="18"/>
        <v>0</v>
      </c>
      <c r="P108" s="578">
        <f t="shared" si="19"/>
        <v>0</v>
      </c>
      <c r="Q108" s="765"/>
      <c r="R108" s="576">
        <f t="shared" si="20"/>
        <v>0</v>
      </c>
      <c r="S108" s="576">
        <f t="shared" si="20"/>
        <v>0</v>
      </c>
      <c r="T108" s="577">
        <f t="shared" si="21"/>
        <v>0</v>
      </c>
      <c r="U108" s="578">
        <f t="shared" si="22"/>
        <v>0</v>
      </c>
      <c r="V108" s="579"/>
      <c r="W108" s="566"/>
      <c r="X108" s="586" t="str">
        <f t="shared" si="23"/>
        <v/>
      </c>
      <c r="Y108" s="586" t="str">
        <f t="shared" si="16"/>
        <v/>
      </c>
      <c r="Z108" s="586" t="str">
        <f t="shared" si="17"/>
        <v/>
      </c>
    </row>
    <row r="109" spans="1:26" ht="12" hidden="1" thickBot="1" x14ac:dyDescent="0.25">
      <c r="A109" s="652" t="s">
        <v>187</v>
      </c>
      <c r="B109" s="572" t="s">
        <v>187</v>
      </c>
      <c r="C109" s="573" t="s">
        <v>187</v>
      </c>
      <c r="D109" s="580"/>
      <c r="E109" s="575"/>
      <c r="F109" s="436"/>
      <c r="G109" s="431"/>
      <c r="H109" s="426"/>
      <c r="I109" s="432"/>
      <c r="J109" s="433"/>
      <c r="K109" s="437">
        <f t="shared" si="24"/>
        <v>0</v>
      </c>
      <c r="L109" s="435" t="s">
        <v>614</v>
      </c>
      <c r="M109" s="576"/>
      <c r="N109" s="576">
        <f t="shared" si="15"/>
        <v>0</v>
      </c>
      <c r="O109" s="577">
        <f t="shared" si="18"/>
        <v>0</v>
      </c>
      <c r="P109" s="578">
        <f t="shared" si="19"/>
        <v>0</v>
      </c>
      <c r="Q109" s="765"/>
      <c r="R109" s="576">
        <f t="shared" si="20"/>
        <v>0</v>
      </c>
      <c r="S109" s="576">
        <f t="shared" si="20"/>
        <v>0</v>
      </c>
      <c r="T109" s="577">
        <f t="shared" si="21"/>
        <v>0</v>
      </c>
      <c r="U109" s="578">
        <f t="shared" si="22"/>
        <v>0</v>
      </c>
      <c r="V109" s="579"/>
      <c r="W109" s="566"/>
      <c r="X109" s="586" t="str">
        <f t="shared" si="23"/>
        <v/>
      </c>
      <c r="Y109" s="586" t="str">
        <f t="shared" si="16"/>
        <v/>
      </c>
      <c r="Z109" s="586" t="str">
        <f t="shared" si="17"/>
        <v/>
      </c>
    </row>
    <row r="110" spans="1:26" ht="12" hidden="1" thickBot="1" x14ac:dyDescent="0.25">
      <c r="A110" s="652" t="s">
        <v>187</v>
      </c>
      <c r="B110" s="572" t="s">
        <v>187</v>
      </c>
      <c r="C110" s="573" t="s">
        <v>187</v>
      </c>
      <c r="D110" s="580"/>
      <c r="E110" s="575"/>
      <c r="F110" s="436"/>
      <c r="G110" s="431"/>
      <c r="H110" s="426"/>
      <c r="I110" s="432"/>
      <c r="J110" s="433"/>
      <c r="K110" s="437">
        <f t="shared" si="24"/>
        <v>0</v>
      </c>
      <c r="L110" s="435" t="s">
        <v>614</v>
      </c>
      <c r="M110" s="576"/>
      <c r="N110" s="576">
        <f t="shared" si="15"/>
        <v>0</v>
      </c>
      <c r="O110" s="577">
        <f t="shared" si="18"/>
        <v>0</v>
      </c>
      <c r="P110" s="578">
        <f t="shared" si="19"/>
        <v>0</v>
      </c>
      <c r="Q110" s="765"/>
      <c r="R110" s="576">
        <f t="shared" si="20"/>
        <v>0</v>
      </c>
      <c r="S110" s="576">
        <f t="shared" si="20"/>
        <v>0</v>
      </c>
      <c r="T110" s="577">
        <f t="shared" si="21"/>
        <v>0</v>
      </c>
      <c r="U110" s="578">
        <f t="shared" si="22"/>
        <v>0</v>
      </c>
      <c r="V110" s="579"/>
      <c r="W110" s="566"/>
      <c r="X110" s="586" t="str">
        <f t="shared" si="23"/>
        <v/>
      </c>
      <c r="Y110" s="586" t="str">
        <f t="shared" si="16"/>
        <v/>
      </c>
      <c r="Z110" s="586" t="str">
        <f t="shared" si="17"/>
        <v/>
      </c>
    </row>
    <row r="111" spans="1:26" ht="12" hidden="1" thickBot="1" x14ac:dyDescent="0.25">
      <c r="A111" s="652" t="s">
        <v>187</v>
      </c>
      <c r="B111" s="572" t="s">
        <v>187</v>
      </c>
      <c r="C111" s="573" t="s">
        <v>187</v>
      </c>
      <c r="D111" s="580"/>
      <c r="E111" s="575"/>
      <c r="F111" s="436"/>
      <c r="G111" s="431"/>
      <c r="H111" s="426"/>
      <c r="I111" s="432"/>
      <c r="J111" s="433"/>
      <c r="K111" s="437">
        <f t="shared" si="24"/>
        <v>0</v>
      </c>
      <c r="L111" s="435" t="s">
        <v>614</v>
      </c>
      <c r="M111" s="576"/>
      <c r="N111" s="576">
        <f t="shared" si="15"/>
        <v>0</v>
      </c>
      <c r="O111" s="577">
        <f t="shared" si="18"/>
        <v>0</v>
      </c>
      <c r="P111" s="578">
        <f t="shared" si="19"/>
        <v>0</v>
      </c>
      <c r="Q111" s="765"/>
      <c r="R111" s="576">
        <f t="shared" si="20"/>
        <v>0</v>
      </c>
      <c r="S111" s="576">
        <f t="shared" si="20"/>
        <v>0</v>
      </c>
      <c r="T111" s="577">
        <f t="shared" si="21"/>
        <v>0</v>
      </c>
      <c r="U111" s="578">
        <f t="shared" si="22"/>
        <v>0</v>
      </c>
      <c r="V111" s="579"/>
      <c r="W111" s="566"/>
      <c r="X111" s="586" t="str">
        <f t="shared" si="23"/>
        <v/>
      </c>
      <c r="Y111" s="586" t="str">
        <f t="shared" si="16"/>
        <v/>
      </c>
      <c r="Z111" s="586" t="str">
        <f t="shared" si="17"/>
        <v/>
      </c>
    </row>
    <row r="112" spans="1:26" ht="12" hidden="1" thickBot="1" x14ac:dyDescent="0.25">
      <c r="A112" s="652" t="s">
        <v>187</v>
      </c>
      <c r="B112" s="572" t="s">
        <v>187</v>
      </c>
      <c r="C112" s="573" t="s">
        <v>187</v>
      </c>
      <c r="D112" s="580"/>
      <c r="E112" s="575"/>
      <c r="F112" s="436"/>
      <c r="G112" s="431"/>
      <c r="H112" s="426"/>
      <c r="I112" s="432"/>
      <c r="J112" s="433"/>
      <c r="K112" s="437">
        <f t="shared" si="24"/>
        <v>0</v>
      </c>
      <c r="L112" s="435" t="s">
        <v>614</v>
      </c>
      <c r="M112" s="576"/>
      <c r="N112" s="576">
        <f t="shared" si="15"/>
        <v>0</v>
      </c>
      <c r="O112" s="577">
        <f t="shared" si="18"/>
        <v>0</v>
      </c>
      <c r="P112" s="578">
        <f t="shared" si="19"/>
        <v>0</v>
      </c>
      <c r="Q112" s="765"/>
      <c r="R112" s="576">
        <f t="shared" si="20"/>
        <v>0</v>
      </c>
      <c r="S112" s="576">
        <f t="shared" si="20"/>
        <v>0</v>
      </c>
      <c r="T112" s="577">
        <f t="shared" si="21"/>
        <v>0</v>
      </c>
      <c r="U112" s="578">
        <f t="shared" si="22"/>
        <v>0</v>
      </c>
      <c r="V112" s="579"/>
      <c r="W112" s="566"/>
      <c r="X112" s="586" t="str">
        <f t="shared" si="23"/>
        <v/>
      </c>
      <c r="Y112" s="586" t="str">
        <f t="shared" si="16"/>
        <v/>
      </c>
      <c r="Z112" s="586" t="str">
        <f t="shared" si="17"/>
        <v/>
      </c>
    </row>
    <row r="113" spans="1:26" ht="12" hidden="1" thickBot="1" x14ac:dyDescent="0.25">
      <c r="A113" s="652" t="s">
        <v>187</v>
      </c>
      <c r="B113" s="572" t="s">
        <v>187</v>
      </c>
      <c r="C113" s="573" t="s">
        <v>187</v>
      </c>
      <c r="D113" s="580"/>
      <c r="E113" s="575"/>
      <c r="F113" s="436"/>
      <c r="G113" s="431"/>
      <c r="H113" s="426"/>
      <c r="I113" s="432"/>
      <c r="J113" s="433"/>
      <c r="K113" s="437">
        <f t="shared" si="24"/>
        <v>0</v>
      </c>
      <c r="L113" s="435" t="s">
        <v>614</v>
      </c>
      <c r="M113" s="576"/>
      <c r="N113" s="576">
        <f t="shared" si="15"/>
        <v>0</v>
      </c>
      <c r="O113" s="577">
        <f t="shared" si="18"/>
        <v>0</v>
      </c>
      <c r="P113" s="578">
        <f t="shared" si="19"/>
        <v>0</v>
      </c>
      <c r="Q113" s="765"/>
      <c r="R113" s="576">
        <f t="shared" si="20"/>
        <v>0</v>
      </c>
      <c r="S113" s="576">
        <f t="shared" si="20"/>
        <v>0</v>
      </c>
      <c r="T113" s="577">
        <f t="shared" si="21"/>
        <v>0</v>
      </c>
      <c r="U113" s="578">
        <f t="shared" si="22"/>
        <v>0</v>
      </c>
      <c r="V113" s="579"/>
      <c r="W113" s="566"/>
      <c r="X113" s="586" t="str">
        <f t="shared" si="23"/>
        <v/>
      </c>
      <c r="Y113" s="586" t="str">
        <f t="shared" si="16"/>
        <v/>
      </c>
      <c r="Z113" s="586" t="str">
        <f t="shared" si="17"/>
        <v/>
      </c>
    </row>
    <row r="114" spans="1:26" ht="12" hidden="1" thickBot="1" x14ac:dyDescent="0.25">
      <c r="A114" s="652" t="s">
        <v>187</v>
      </c>
      <c r="B114" s="572" t="s">
        <v>187</v>
      </c>
      <c r="C114" s="573" t="s">
        <v>187</v>
      </c>
      <c r="D114" s="580"/>
      <c r="E114" s="575"/>
      <c r="F114" s="436"/>
      <c r="G114" s="431"/>
      <c r="H114" s="426"/>
      <c r="I114" s="432"/>
      <c r="J114" s="433"/>
      <c r="K114" s="437">
        <f t="shared" si="24"/>
        <v>0</v>
      </c>
      <c r="L114" s="435" t="s">
        <v>614</v>
      </c>
      <c r="M114" s="576"/>
      <c r="N114" s="576">
        <f t="shared" si="15"/>
        <v>0</v>
      </c>
      <c r="O114" s="577">
        <f t="shared" si="18"/>
        <v>0</v>
      </c>
      <c r="P114" s="578">
        <f t="shared" si="19"/>
        <v>0</v>
      </c>
      <c r="Q114" s="765"/>
      <c r="R114" s="576">
        <f t="shared" si="20"/>
        <v>0</v>
      </c>
      <c r="S114" s="576">
        <f t="shared" si="20"/>
        <v>0</v>
      </c>
      <c r="T114" s="577">
        <f t="shared" si="21"/>
        <v>0</v>
      </c>
      <c r="U114" s="578">
        <f t="shared" si="22"/>
        <v>0</v>
      </c>
      <c r="V114" s="579"/>
      <c r="W114" s="566"/>
      <c r="X114" s="586" t="str">
        <f t="shared" si="23"/>
        <v/>
      </c>
      <c r="Y114" s="586" t="str">
        <f t="shared" si="16"/>
        <v/>
      </c>
      <c r="Z114" s="586" t="str">
        <f t="shared" si="17"/>
        <v/>
      </c>
    </row>
    <row r="115" spans="1:26" ht="12" hidden="1" thickBot="1" x14ac:dyDescent="0.25">
      <c r="A115" s="652" t="s">
        <v>187</v>
      </c>
      <c r="B115" s="581" t="s">
        <v>187</v>
      </c>
      <c r="C115" s="582" t="s">
        <v>187</v>
      </c>
      <c r="D115" s="583"/>
      <c r="E115" s="584"/>
      <c r="F115" s="438"/>
      <c r="G115" s="439"/>
      <c r="H115" s="426"/>
      <c r="I115" s="441"/>
      <c r="J115" s="442"/>
      <c r="K115" s="443">
        <f t="shared" si="24"/>
        <v>0</v>
      </c>
      <c r="L115" s="444" t="s">
        <v>614</v>
      </c>
      <c r="M115" s="576"/>
      <c r="N115" s="576">
        <f t="shared" si="15"/>
        <v>0</v>
      </c>
      <c r="O115" s="585">
        <f t="shared" si="18"/>
        <v>0</v>
      </c>
      <c r="P115" s="660">
        <f t="shared" si="19"/>
        <v>0</v>
      </c>
      <c r="Q115" s="765"/>
      <c r="R115" s="576">
        <f t="shared" si="20"/>
        <v>0</v>
      </c>
      <c r="S115" s="576">
        <f t="shared" si="20"/>
        <v>0</v>
      </c>
      <c r="T115" s="585">
        <f t="shared" si="21"/>
        <v>0</v>
      </c>
      <c r="U115" s="660">
        <f t="shared" si="22"/>
        <v>0</v>
      </c>
      <c r="V115" s="579"/>
      <c r="W115" s="566"/>
      <c r="X115" s="586" t="str">
        <f t="shared" si="23"/>
        <v/>
      </c>
      <c r="Y115" s="586" t="str">
        <f t="shared" si="16"/>
        <v/>
      </c>
      <c r="Z115" s="586" t="str">
        <f t="shared" si="17"/>
        <v/>
      </c>
    </row>
    <row r="116" spans="1:26" ht="12" hidden="1" thickBot="1" x14ac:dyDescent="0.25">
      <c r="A116" s="567" t="s">
        <v>207</v>
      </c>
      <c r="B116" s="664" t="s">
        <v>207</v>
      </c>
      <c r="C116" s="665"/>
      <c r="D116" s="666" t="s">
        <v>465</v>
      </c>
      <c r="E116" s="631"/>
      <c r="F116" s="632"/>
      <c r="G116" s="633"/>
      <c r="H116" s="409"/>
      <c r="I116" s="409"/>
      <c r="J116" s="409"/>
      <c r="K116" s="409"/>
      <c r="L116" s="409" t="s">
        <v>614</v>
      </c>
      <c r="M116" s="634"/>
      <c r="N116" s="797"/>
      <c r="O116" s="409">
        <f t="shared" si="18"/>
        <v>0</v>
      </c>
      <c r="P116" s="635">
        <f t="shared" si="19"/>
        <v>0</v>
      </c>
      <c r="Q116" s="635">
        <f>SUM(P117:P226)</f>
        <v>0</v>
      </c>
      <c r="R116" s="634"/>
      <c r="S116" s="409"/>
      <c r="T116" s="409">
        <f t="shared" si="21"/>
        <v>0</v>
      </c>
      <c r="U116" s="635">
        <f t="shared" si="22"/>
        <v>0</v>
      </c>
      <c r="V116" s="636">
        <f>SUM(U117:U226)</f>
        <v>0</v>
      </c>
      <c r="W116" s="637" t="str">
        <f>IF(OR(Q116&gt;0,V116&gt;0),"X","")</f>
        <v/>
      </c>
      <c r="X116" s="586" t="str">
        <f t="shared" si="23"/>
        <v/>
      </c>
      <c r="Y116" s="586" t="str">
        <f t="shared" si="16"/>
        <v/>
      </c>
      <c r="Z116" s="586" t="str">
        <f t="shared" si="17"/>
        <v/>
      </c>
    </row>
    <row r="117" spans="1:26" ht="12" hidden="1" thickBot="1" x14ac:dyDescent="0.25">
      <c r="A117" s="567">
        <v>520100</v>
      </c>
      <c r="B117" s="644" t="s">
        <v>1732</v>
      </c>
      <c r="C117" s="645" t="s">
        <v>206</v>
      </c>
      <c r="D117" s="422" t="s">
        <v>285</v>
      </c>
      <c r="E117" s="423"/>
      <c r="F117" s="418">
        <v>0.5</v>
      </c>
      <c r="G117" s="419">
        <f>1.5*1.4</f>
        <v>2.0999999999999996</v>
      </c>
      <c r="H117" s="667">
        <f>IF(F117&lt;=30,(1.07*F117+2.68)*G117,((1.07*30+2.68)+1.07*(F117-30))*G117)</f>
        <v>6.7514999999999992</v>
      </c>
      <c r="I117" s="449">
        <v>13.587999999999999</v>
      </c>
      <c r="J117" s="420">
        <f t="shared" ref="J117:J123" si="25">IF(ISBLANK(I117),"",SUM(H117:I117))</f>
        <v>20.339499999999997</v>
      </c>
      <c r="K117" s="421">
        <f t="shared" ref="K117:K180" si="26">IF(ISBLANK(I117),0,ROUND(J117*(1+$F$10)*(1+$F$11*E117),2))</f>
        <v>24.17</v>
      </c>
      <c r="L117" s="647" t="s">
        <v>16</v>
      </c>
      <c r="M117" s="576"/>
      <c r="N117" s="576">
        <f t="shared" si="15"/>
        <v>0</v>
      </c>
      <c r="O117" s="577">
        <f t="shared" si="18"/>
        <v>0</v>
      </c>
      <c r="P117" s="578">
        <f t="shared" si="19"/>
        <v>0</v>
      </c>
      <c r="Q117" s="765"/>
      <c r="R117" s="576">
        <f t="shared" si="20"/>
        <v>0</v>
      </c>
      <c r="S117" s="576">
        <f t="shared" si="20"/>
        <v>0</v>
      </c>
      <c r="T117" s="577">
        <f t="shared" si="21"/>
        <v>0</v>
      </c>
      <c r="U117" s="578">
        <f t="shared" si="22"/>
        <v>0</v>
      </c>
      <c r="V117" s="579"/>
      <c r="W117" s="566"/>
      <c r="X117" s="586" t="str">
        <f t="shared" si="23"/>
        <v/>
      </c>
      <c r="Y117" s="586" t="str">
        <f t="shared" si="16"/>
        <v/>
      </c>
      <c r="Z117" s="586" t="str">
        <f t="shared" si="17"/>
        <v/>
      </c>
    </row>
    <row r="118" spans="1:26" ht="12" hidden="1" thickBot="1" x14ac:dyDescent="0.25">
      <c r="A118" s="567">
        <v>520100</v>
      </c>
      <c r="B118" s="644" t="s">
        <v>1733</v>
      </c>
      <c r="C118" s="645" t="s">
        <v>206</v>
      </c>
      <c r="D118" s="422" t="s">
        <v>286</v>
      </c>
      <c r="E118" s="423"/>
      <c r="F118" s="418">
        <v>15</v>
      </c>
      <c r="G118" s="419">
        <f>1.5*1.4</f>
        <v>2.0999999999999996</v>
      </c>
      <c r="H118" s="667">
        <f>IF(F118&lt;=30,(1.07*F118+2.68)*G118,((1.07*30+2.68)+1.07*(F118-30))*G118)</f>
        <v>39.332999999999991</v>
      </c>
      <c r="I118" s="449">
        <v>13.587999999999999</v>
      </c>
      <c r="J118" s="420">
        <f t="shared" si="25"/>
        <v>52.920999999999992</v>
      </c>
      <c r="K118" s="421">
        <f t="shared" si="26"/>
        <v>62.88</v>
      </c>
      <c r="L118" s="647" t="s">
        <v>16</v>
      </c>
      <c r="M118" s="576"/>
      <c r="N118" s="576">
        <f t="shared" si="15"/>
        <v>0</v>
      </c>
      <c r="O118" s="577">
        <f t="shared" si="18"/>
        <v>0</v>
      </c>
      <c r="P118" s="578">
        <f t="shared" si="19"/>
        <v>0</v>
      </c>
      <c r="Q118" s="765"/>
      <c r="R118" s="576">
        <f t="shared" si="20"/>
        <v>0</v>
      </c>
      <c r="S118" s="576">
        <f t="shared" si="20"/>
        <v>0</v>
      </c>
      <c r="T118" s="577">
        <f t="shared" si="21"/>
        <v>0</v>
      </c>
      <c r="U118" s="578">
        <f t="shared" si="22"/>
        <v>0</v>
      </c>
      <c r="V118" s="579"/>
      <c r="W118" s="566"/>
      <c r="X118" s="586" t="str">
        <f t="shared" si="23"/>
        <v/>
      </c>
      <c r="Y118" s="586" t="str">
        <f t="shared" si="16"/>
        <v/>
      </c>
      <c r="Z118" s="586" t="str">
        <f t="shared" si="17"/>
        <v/>
      </c>
    </row>
    <row r="119" spans="1:26" ht="12" hidden="1" thickBot="1" x14ac:dyDescent="0.25">
      <c r="A119" s="567">
        <v>532100</v>
      </c>
      <c r="B119" s="644">
        <v>532100</v>
      </c>
      <c r="C119" s="645" t="s">
        <v>206</v>
      </c>
      <c r="D119" s="422" t="s">
        <v>204</v>
      </c>
      <c r="E119" s="423"/>
      <c r="F119" s="418">
        <v>20</v>
      </c>
      <c r="G119" s="425">
        <v>2.1</v>
      </c>
      <c r="H119" s="667">
        <f t="shared" ref="H119:H122" si="27">IF(F119&lt;=30,(1.07*F119+2.68)*G119,((1.07*30+2.68)+1.07*(F119-30))*G119)</f>
        <v>50.568000000000005</v>
      </c>
      <c r="I119" s="420">
        <v>88.86</v>
      </c>
      <c r="J119" s="420">
        <f t="shared" si="25"/>
        <v>139.428</v>
      </c>
      <c r="K119" s="421">
        <f t="shared" si="26"/>
        <v>165.65</v>
      </c>
      <c r="L119" s="647" t="s">
        <v>16</v>
      </c>
      <c r="M119" s="576"/>
      <c r="N119" s="576">
        <f t="shared" si="15"/>
        <v>0</v>
      </c>
      <c r="O119" s="577">
        <f t="shared" si="18"/>
        <v>0</v>
      </c>
      <c r="P119" s="578">
        <f t="shared" si="19"/>
        <v>0</v>
      </c>
      <c r="Q119" s="765"/>
      <c r="R119" s="576">
        <f t="shared" si="20"/>
        <v>0</v>
      </c>
      <c r="S119" s="576">
        <f t="shared" si="20"/>
        <v>0</v>
      </c>
      <c r="T119" s="577">
        <f t="shared" si="21"/>
        <v>0</v>
      </c>
      <c r="U119" s="578">
        <f t="shared" si="22"/>
        <v>0</v>
      </c>
      <c r="V119" s="579"/>
      <c r="W119" s="566"/>
      <c r="X119" s="586" t="str">
        <f t="shared" si="23"/>
        <v/>
      </c>
      <c r="Y119" s="586" t="str">
        <f t="shared" si="16"/>
        <v/>
      </c>
      <c r="Z119" s="586" t="str">
        <f t="shared" si="17"/>
        <v/>
      </c>
    </row>
    <row r="120" spans="1:26" ht="12" hidden="1" thickBot="1" x14ac:dyDescent="0.25">
      <c r="A120" s="567">
        <v>452010</v>
      </c>
      <c r="B120" s="450">
        <v>452010</v>
      </c>
      <c r="C120" s="473" t="s">
        <v>206</v>
      </c>
      <c r="D120" s="422" t="s">
        <v>210</v>
      </c>
      <c r="E120" s="423"/>
      <c r="F120" s="418">
        <v>15</v>
      </c>
      <c r="G120" s="419">
        <v>1.98</v>
      </c>
      <c r="H120" s="667">
        <f t="shared" si="27"/>
        <v>37.0854</v>
      </c>
      <c r="I120" s="420">
        <v>15.73</v>
      </c>
      <c r="J120" s="420">
        <f t="shared" si="25"/>
        <v>52.815399999999997</v>
      </c>
      <c r="K120" s="421">
        <f t="shared" si="26"/>
        <v>62.75</v>
      </c>
      <c r="L120" s="647" t="s">
        <v>16</v>
      </c>
      <c r="M120" s="576"/>
      <c r="N120" s="576">
        <f t="shared" si="15"/>
        <v>0</v>
      </c>
      <c r="O120" s="577">
        <f t="shared" si="18"/>
        <v>0</v>
      </c>
      <c r="P120" s="578">
        <f t="shared" si="19"/>
        <v>0</v>
      </c>
      <c r="Q120" s="765"/>
      <c r="R120" s="576">
        <f t="shared" si="20"/>
        <v>0</v>
      </c>
      <c r="S120" s="576">
        <f t="shared" si="20"/>
        <v>0</v>
      </c>
      <c r="T120" s="577">
        <f t="shared" si="21"/>
        <v>0</v>
      </c>
      <c r="U120" s="578">
        <f t="shared" si="22"/>
        <v>0</v>
      </c>
      <c r="V120" s="579"/>
      <c r="W120" s="566"/>
      <c r="X120" s="586" t="str">
        <f t="shared" si="23"/>
        <v/>
      </c>
      <c r="Y120" s="586" t="str">
        <f t="shared" si="16"/>
        <v/>
      </c>
      <c r="Z120" s="586" t="str">
        <f t="shared" si="17"/>
        <v/>
      </c>
    </row>
    <row r="121" spans="1:26" ht="12" hidden="1" thickBot="1" x14ac:dyDescent="0.25">
      <c r="A121" s="567">
        <v>532500</v>
      </c>
      <c r="B121" s="644" t="s">
        <v>1734</v>
      </c>
      <c r="C121" s="645" t="s">
        <v>206</v>
      </c>
      <c r="D121" s="451" t="s">
        <v>340</v>
      </c>
      <c r="E121" s="423"/>
      <c r="F121" s="424">
        <v>20</v>
      </c>
      <c r="G121" s="425">
        <v>1.7250000000000001</v>
      </c>
      <c r="H121" s="667">
        <f t="shared" si="27"/>
        <v>41.538000000000004</v>
      </c>
      <c r="I121" s="420">
        <v>97.26</v>
      </c>
      <c r="J121" s="420">
        <f t="shared" si="25"/>
        <v>138.798</v>
      </c>
      <c r="K121" s="421">
        <f t="shared" si="26"/>
        <v>164.91</v>
      </c>
      <c r="L121" s="647" t="s">
        <v>16</v>
      </c>
      <c r="M121" s="576"/>
      <c r="N121" s="576">
        <f t="shared" si="15"/>
        <v>0</v>
      </c>
      <c r="O121" s="577">
        <f t="shared" si="18"/>
        <v>0</v>
      </c>
      <c r="P121" s="578">
        <f t="shared" si="19"/>
        <v>0</v>
      </c>
      <c r="Q121" s="765"/>
      <c r="R121" s="576">
        <f t="shared" si="20"/>
        <v>0</v>
      </c>
      <c r="S121" s="576">
        <f t="shared" si="20"/>
        <v>0</v>
      </c>
      <c r="T121" s="577">
        <f t="shared" si="21"/>
        <v>0</v>
      </c>
      <c r="U121" s="578">
        <f t="shared" si="22"/>
        <v>0</v>
      </c>
      <c r="V121" s="579"/>
      <c r="W121" s="566"/>
      <c r="X121" s="586" t="str">
        <f t="shared" si="23"/>
        <v/>
      </c>
      <c r="Y121" s="586" t="str">
        <f t="shared" si="16"/>
        <v/>
      </c>
      <c r="Z121" s="586" t="str">
        <f t="shared" si="17"/>
        <v/>
      </c>
    </row>
    <row r="122" spans="1:26" ht="14.45" hidden="1" customHeight="1" x14ac:dyDescent="0.2">
      <c r="A122" s="567">
        <v>603900</v>
      </c>
      <c r="B122" s="644" t="s">
        <v>1735</v>
      </c>
      <c r="C122" s="645" t="s">
        <v>206</v>
      </c>
      <c r="D122" s="451" t="s">
        <v>341</v>
      </c>
      <c r="E122" s="423"/>
      <c r="F122" s="424">
        <v>20</v>
      </c>
      <c r="G122" s="425">
        <v>1.5</v>
      </c>
      <c r="H122" s="667">
        <f t="shared" si="27"/>
        <v>36.120000000000005</v>
      </c>
      <c r="I122" s="420">
        <v>124.3</v>
      </c>
      <c r="J122" s="420">
        <f t="shared" si="25"/>
        <v>160.42000000000002</v>
      </c>
      <c r="K122" s="421">
        <f t="shared" si="26"/>
        <v>190.6</v>
      </c>
      <c r="L122" s="647" t="s">
        <v>16</v>
      </c>
      <c r="M122" s="576"/>
      <c r="N122" s="576">
        <f t="shared" si="15"/>
        <v>0</v>
      </c>
      <c r="O122" s="577">
        <f t="shared" si="18"/>
        <v>0</v>
      </c>
      <c r="P122" s="578">
        <f t="shared" si="19"/>
        <v>0</v>
      </c>
      <c r="Q122" s="765"/>
      <c r="R122" s="576">
        <f t="shared" si="20"/>
        <v>0</v>
      </c>
      <c r="S122" s="576">
        <f t="shared" si="20"/>
        <v>0</v>
      </c>
      <c r="T122" s="577">
        <f t="shared" si="21"/>
        <v>0</v>
      </c>
      <c r="U122" s="578">
        <f t="shared" si="22"/>
        <v>0</v>
      </c>
      <c r="V122" s="579"/>
      <c r="W122" s="566"/>
      <c r="X122" s="586" t="str">
        <f t="shared" si="23"/>
        <v/>
      </c>
      <c r="Y122" s="586" t="str">
        <f t="shared" si="16"/>
        <v/>
      </c>
      <c r="Z122" s="586" t="str">
        <f t="shared" si="17"/>
        <v/>
      </c>
    </row>
    <row r="123" spans="1:26" ht="12" hidden="1" thickBot="1" x14ac:dyDescent="0.25">
      <c r="A123" s="567">
        <v>605000</v>
      </c>
      <c r="B123" s="644" t="s">
        <v>1736</v>
      </c>
      <c r="C123" s="645" t="s">
        <v>206</v>
      </c>
      <c r="D123" s="422" t="s">
        <v>274</v>
      </c>
      <c r="E123" s="423"/>
      <c r="F123" s="424"/>
      <c r="G123" s="425"/>
      <c r="H123" s="649">
        <f>SUM(H124:H126)</f>
        <v>305.33319999999998</v>
      </c>
      <c r="I123" s="420">
        <v>408.95</v>
      </c>
      <c r="J123" s="420">
        <f t="shared" si="25"/>
        <v>714.28319999999997</v>
      </c>
      <c r="K123" s="421">
        <f t="shared" si="26"/>
        <v>848.64</v>
      </c>
      <c r="L123" s="647" t="s">
        <v>16</v>
      </c>
      <c r="M123" s="576"/>
      <c r="N123" s="576">
        <f t="shared" si="15"/>
        <v>0</v>
      </c>
      <c r="O123" s="577">
        <f t="shared" si="18"/>
        <v>0</v>
      </c>
      <c r="P123" s="578">
        <f t="shared" si="19"/>
        <v>0</v>
      </c>
      <c r="Q123" s="765"/>
      <c r="R123" s="576">
        <f t="shared" si="20"/>
        <v>0</v>
      </c>
      <c r="S123" s="576">
        <f t="shared" si="20"/>
        <v>0</v>
      </c>
      <c r="T123" s="577">
        <f t="shared" si="21"/>
        <v>0</v>
      </c>
      <c r="U123" s="578">
        <f t="shared" si="22"/>
        <v>0</v>
      </c>
      <c r="V123" s="579"/>
      <c r="W123" s="566"/>
      <c r="X123" s="586" t="str">
        <f t="shared" si="23"/>
        <v/>
      </c>
      <c r="Y123" s="586" t="str">
        <f t="shared" si="16"/>
        <v/>
      </c>
      <c r="Z123" s="586" t="str">
        <f t="shared" si="17"/>
        <v/>
      </c>
    </row>
    <row r="124" spans="1:26" ht="12" hidden="1" thickBot="1" x14ac:dyDescent="0.25">
      <c r="A124" s="567" t="s">
        <v>168</v>
      </c>
      <c r="B124" s="644" t="s">
        <v>168</v>
      </c>
      <c r="C124" s="645"/>
      <c r="D124" s="451" t="s">
        <v>212</v>
      </c>
      <c r="E124" s="423"/>
      <c r="F124" s="424">
        <v>500</v>
      </c>
      <c r="G124" s="425">
        <v>0.18</v>
      </c>
      <c r="H124" s="649">
        <f>IF(F124&lt;=30,(0.78*F124+7.82)*G124,((0.78*30+7.82)+0.78*(F124-30))*G124)</f>
        <v>71.607600000000005</v>
      </c>
      <c r="I124" s="420">
        <v>0</v>
      </c>
      <c r="J124" s="420"/>
      <c r="K124" s="421">
        <f t="shared" si="26"/>
        <v>0</v>
      </c>
      <c r="L124" s="668" t="s">
        <v>614</v>
      </c>
      <c r="M124" s="669"/>
      <c r="N124" s="576">
        <f t="shared" si="15"/>
        <v>0</v>
      </c>
      <c r="O124" s="577">
        <f t="shared" si="18"/>
        <v>0</v>
      </c>
      <c r="P124" s="578">
        <f t="shared" si="19"/>
        <v>0</v>
      </c>
      <c r="Q124" s="765"/>
      <c r="R124" s="669"/>
      <c r="S124" s="670"/>
      <c r="T124" s="577">
        <f t="shared" si="21"/>
        <v>0</v>
      </c>
      <c r="U124" s="578">
        <f t="shared" si="22"/>
        <v>0</v>
      </c>
      <c r="V124" s="579"/>
      <c r="W124" s="637" t="str">
        <f>IF(U123&gt;0,"xx",IF(P123&gt;0,"xy",""))</f>
        <v/>
      </c>
      <c r="X124" s="586" t="str">
        <f t="shared" si="23"/>
        <v/>
      </c>
      <c r="Y124" s="586" t="str">
        <f t="shared" si="16"/>
        <v/>
      </c>
      <c r="Z124" s="586" t="str">
        <f t="shared" si="17"/>
        <v/>
      </c>
    </row>
    <row r="125" spans="1:26" ht="12" hidden="1" thickBot="1" x14ac:dyDescent="0.25">
      <c r="A125" s="567" t="s">
        <v>168</v>
      </c>
      <c r="B125" s="644" t="s">
        <v>168</v>
      </c>
      <c r="C125" s="645"/>
      <c r="D125" s="451" t="s">
        <v>248</v>
      </c>
      <c r="E125" s="423"/>
      <c r="F125" s="424">
        <v>180</v>
      </c>
      <c r="G125" s="425">
        <v>1.06</v>
      </c>
      <c r="H125" s="649">
        <f t="shared" ref="H125:H130" si="28">IF(F125&lt;=30,(1.07*F125+2.68)*G125,((1.07*30+2.68)+1.07*(F125-30))*G125)</f>
        <v>206.99680000000001</v>
      </c>
      <c r="I125" s="420">
        <v>0</v>
      </c>
      <c r="J125" s="420"/>
      <c r="K125" s="421">
        <f t="shared" si="26"/>
        <v>0</v>
      </c>
      <c r="L125" s="668" t="s">
        <v>614</v>
      </c>
      <c r="M125" s="669"/>
      <c r="N125" s="576">
        <f t="shared" si="15"/>
        <v>0</v>
      </c>
      <c r="O125" s="577">
        <f t="shared" si="18"/>
        <v>0</v>
      </c>
      <c r="P125" s="578">
        <f t="shared" si="19"/>
        <v>0</v>
      </c>
      <c r="Q125" s="765"/>
      <c r="R125" s="669"/>
      <c r="S125" s="670"/>
      <c r="T125" s="577">
        <f t="shared" si="21"/>
        <v>0</v>
      </c>
      <c r="U125" s="578">
        <f t="shared" si="22"/>
        <v>0</v>
      </c>
      <c r="V125" s="579"/>
      <c r="W125" s="637" t="str">
        <f>IF(U123&gt;0,"xx",IF(P123&gt;0,"xy",""))</f>
        <v/>
      </c>
      <c r="X125" s="586" t="str">
        <f t="shared" si="23"/>
        <v/>
      </c>
      <c r="Y125" s="586" t="str">
        <f t="shared" si="16"/>
        <v/>
      </c>
      <c r="Z125" s="586" t="str">
        <f t="shared" si="17"/>
        <v/>
      </c>
    </row>
    <row r="126" spans="1:26" ht="12" hidden="1" thickBot="1" x14ac:dyDescent="0.25">
      <c r="A126" s="567" t="s">
        <v>168</v>
      </c>
      <c r="B126" s="644" t="s">
        <v>168</v>
      </c>
      <c r="C126" s="645"/>
      <c r="D126" s="451" t="s">
        <v>252</v>
      </c>
      <c r="E126" s="423"/>
      <c r="F126" s="424">
        <v>20</v>
      </c>
      <c r="G126" s="425">
        <v>1.1100000000000001</v>
      </c>
      <c r="H126" s="649">
        <f t="shared" si="28"/>
        <v>26.728800000000003</v>
      </c>
      <c r="I126" s="420">
        <v>0</v>
      </c>
      <c r="J126" s="420"/>
      <c r="K126" s="421">
        <f t="shared" si="26"/>
        <v>0</v>
      </c>
      <c r="L126" s="668" t="s">
        <v>614</v>
      </c>
      <c r="M126" s="669"/>
      <c r="N126" s="576">
        <f t="shared" si="15"/>
        <v>0</v>
      </c>
      <c r="O126" s="577">
        <f t="shared" si="18"/>
        <v>0</v>
      </c>
      <c r="P126" s="578">
        <f t="shared" si="19"/>
        <v>0</v>
      </c>
      <c r="Q126" s="765"/>
      <c r="R126" s="669"/>
      <c r="S126" s="670"/>
      <c r="T126" s="577">
        <f t="shared" si="21"/>
        <v>0</v>
      </c>
      <c r="U126" s="578">
        <f t="shared" si="22"/>
        <v>0</v>
      </c>
      <c r="V126" s="579"/>
      <c r="W126" s="637" t="str">
        <f>IF(U123&gt;0,"xx",IF(P123&gt;0,"xy",""))</f>
        <v/>
      </c>
      <c r="X126" s="586" t="str">
        <f t="shared" si="23"/>
        <v/>
      </c>
      <c r="Y126" s="586" t="str">
        <f t="shared" si="16"/>
        <v/>
      </c>
      <c r="Z126" s="586" t="str">
        <f t="shared" si="17"/>
        <v/>
      </c>
    </row>
    <row r="127" spans="1:26" ht="12" hidden="1" thickBot="1" x14ac:dyDescent="0.25">
      <c r="A127" s="567">
        <v>400500</v>
      </c>
      <c r="B127" s="644" t="s">
        <v>1607</v>
      </c>
      <c r="C127" s="645" t="s">
        <v>206</v>
      </c>
      <c r="D127" s="422" t="s">
        <v>1608</v>
      </c>
      <c r="E127" s="423"/>
      <c r="F127" s="424">
        <v>20</v>
      </c>
      <c r="G127" s="425">
        <v>1.73</v>
      </c>
      <c r="H127" s="667">
        <f t="shared" si="28"/>
        <v>41.6584</v>
      </c>
      <c r="I127" s="420">
        <v>80.100000000000009</v>
      </c>
      <c r="J127" s="420">
        <f>IF(ISBLANK(I127),"",SUM(H127:I127))</f>
        <v>121.75840000000001</v>
      </c>
      <c r="K127" s="421">
        <f t="shared" si="26"/>
        <v>144.66</v>
      </c>
      <c r="L127" s="647" t="s">
        <v>16</v>
      </c>
      <c r="M127" s="576"/>
      <c r="N127" s="576">
        <f t="shared" si="15"/>
        <v>0</v>
      </c>
      <c r="O127" s="577">
        <f t="shared" si="18"/>
        <v>0</v>
      </c>
      <c r="P127" s="578">
        <f t="shared" si="19"/>
        <v>0</v>
      </c>
      <c r="Q127" s="765"/>
      <c r="R127" s="576">
        <f t="shared" si="20"/>
        <v>0</v>
      </c>
      <c r="S127" s="576">
        <f t="shared" si="20"/>
        <v>0</v>
      </c>
      <c r="T127" s="577">
        <f t="shared" si="21"/>
        <v>0</v>
      </c>
      <c r="U127" s="578">
        <f t="shared" si="22"/>
        <v>0</v>
      </c>
      <c r="V127" s="579"/>
      <c r="W127" s="566"/>
      <c r="X127" s="586" t="str">
        <f t="shared" si="23"/>
        <v/>
      </c>
      <c r="Y127" s="586" t="str">
        <f t="shared" si="16"/>
        <v/>
      </c>
      <c r="Z127" s="586" t="str">
        <f t="shared" si="17"/>
        <v/>
      </c>
    </row>
    <row r="128" spans="1:26" ht="12" hidden="1" thickBot="1" x14ac:dyDescent="0.25">
      <c r="A128" s="567">
        <v>532500</v>
      </c>
      <c r="B128" s="644" t="s">
        <v>1604</v>
      </c>
      <c r="C128" s="645" t="s">
        <v>206</v>
      </c>
      <c r="D128" s="422" t="s">
        <v>1609</v>
      </c>
      <c r="E128" s="423"/>
      <c r="F128" s="424">
        <v>20</v>
      </c>
      <c r="G128" s="425">
        <v>1.7250000000000001</v>
      </c>
      <c r="H128" s="667">
        <f t="shared" si="28"/>
        <v>41.538000000000004</v>
      </c>
      <c r="I128" s="420">
        <v>97.26</v>
      </c>
      <c r="J128" s="420">
        <f>IF(ISBLANK(I128),"",SUM(H128:I128))</f>
        <v>138.798</v>
      </c>
      <c r="K128" s="421">
        <f>IF(ISBLANK(I128),0,ROUND(J128*(1+$F$10)*(1+$F$11*E128),2))</f>
        <v>164.91</v>
      </c>
      <c r="L128" s="647" t="s">
        <v>16</v>
      </c>
      <c r="M128" s="576"/>
      <c r="N128" s="576">
        <f t="shared" si="15"/>
        <v>0</v>
      </c>
      <c r="O128" s="577">
        <f>IF(ISBLANK(M128),0,ROUND(K128*M128,2))</f>
        <v>0</v>
      </c>
      <c r="P128" s="578">
        <f>IF(ISBLANK(N128),0,ROUND(M128*N128,2))</f>
        <v>0</v>
      </c>
      <c r="Q128" s="765"/>
      <c r="R128" s="576">
        <f>M128</f>
        <v>0</v>
      </c>
      <c r="S128" s="576">
        <f>N128</f>
        <v>0</v>
      </c>
      <c r="T128" s="577">
        <f>IF(ISBLANK(R128),0,ROUND(K128*R128,2))</f>
        <v>0</v>
      </c>
      <c r="U128" s="578">
        <f>IF(ISBLANK(R128),0,ROUND(R128*S128,2))</f>
        <v>0</v>
      </c>
      <c r="V128" s="579"/>
      <c r="W128" s="566"/>
      <c r="X128" s="586" t="str">
        <f>IF(W128="X","x",IF(W128="xx","x",IF(W128="xy","x",IF(W128="y","x",IF(OR(P128&gt;0,U128&gt;0),"x","")))))</f>
        <v/>
      </c>
      <c r="Y128" s="586" t="str">
        <f>IF(W128="X","x",IF(W128="y","x",IF(W128="xx","x",IF(U128&gt;0,"x",""))))</f>
        <v/>
      </c>
      <c r="Z128" s="586" t="str">
        <f>IF(W128="X","x",IF(U128&gt;0,"x",""))</f>
        <v/>
      </c>
    </row>
    <row r="129" spans="1:26" ht="12" hidden="1" thickBot="1" x14ac:dyDescent="0.25">
      <c r="A129" s="567">
        <v>532600</v>
      </c>
      <c r="B129" s="644" t="s">
        <v>1536</v>
      </c>
      <c r="C129" s="645" t="s">
        <v>206</v>
      </c>
      <c r="D129" s="422" t="s">
        <v>1610</v>
      </c>
      <c r="E129" s="423"/>
      <c r="F129" s="418">
        <v>15</v>
      </c>
      <c r="G129" s="425">
        <f>ROUND(1.5*1.5,4)</f>
        <v>2.25</v>
      </c>
      <c r="H129" s="667">
        <f t="shared" si="28"/>
        <v>42.142499999999998</v>
      </c>
      <c r="I129" s="420">
        <v>15.533333333333335</v>
      </c>
      <c r="J129" s="420">
        <f>IF(ISBLANK(I129),"",SUM(H129:I129))</f>
        <v>57.67583333333333</v>
      </c>
      <c r="K129" s="421">
        <f t="shared" si="26"/>
        <v>68.52</v>
      </c>
      <c r="L129" s="647" t="s">
        <v>16</v>
      </c>
      <c r="M129" s="576"/>
      <c r="N129" s="576">
        <f t="shared" si="15"/>
        <v>0</v>
      </c>
      <c r="O129" s="577">
        <f t="shared" si="18"/>
        <v>0</v>
      </c>
      <c r="P129" s="578">
        <f t="shared" si="19"/>
        <v>0</v>
      </c>
      <c r="Q129" s="765"/>
      <c r="R129" s="576">
        <f t="shared" si="20"/>
        <v>0</v>
      </c>
      <c r="S129" s="576">
        <f t="shared" si="20"/>
        <v>0</v>
      </c>
      <c r="T129" s="577">
        <f t="shared" si="21"/>
        <v>0</v>
      </c>
      <c r="U129" s="578">
        <f t="shared" si="22"/>
        <v>0</v>
      </c>
      <c r="V129" s="579"/>
      <c r="W129" s="566"/>
      <c r="X129" s="586" t="str">
        <f t="shared" si="23"/>
        <v/>
      </c>
      <c r="Y129" s="586" t="str">
        <f t="shared" si="16"/>
        <v/>
      </c>
      <c r="Z129" s="586" t="str">
        <f t="shared" si="17"/>
        <v/>
      </c>
    </row>
    <row r="130" spans="1:26" ht="12" hidden="1" thickBot="1" x14ac:dyDescent="0.25">
      <c r="A130" s="567">
        <v>603900</v>
      </c>
      <c r="B130" s="644" t="s">
        <v>1606</v>
      </c>
      <c r="C130" s="645" t="s">
        <v>206</v>
      </c>
      <c r="D130" s="422" t="s">
        <v>1611</v>
      </c>
      <c r="E130" s="423"/>
      <c r="F130" s="424">
        <v>20</v>
      </c>
      <c r="G130" s="425">
        <v>1.5</v>
      </c>
      <c r="H130" s="667">
        <f t="shared" si="28"/>
        <v>36.120000000000005</v>
      </c>
      <c r="I130" s="420">
        <v>124.3</v>
      </c>
      <c r="J130" s="420">
        <f>IF(ISBLANK(I130),"",SUM(H130:I130))</f>
        <v>160.42000000000002</v>
      </c>
      <c r="K130" s="421">
        <f t="shared" si="26"/>
        <v>190.6</v>
      </c>
      <c r="L130" s="647" t="s">
        <v>16</v>
      </c>
      <c r="M130" s="576"/>
      <c r="N130" s="576">
        <f t="shared" si="15"/>
        <v>0</v>
      </c>
      <c r="O130" s="577">
        <f t="shared" si="18"/>
        <v>0</v>
      </c>
      <c r="P130" s="578">
        <f t="shared" si="19"/>
        <v>0</v>
      </c>
      <c r="Q130" s="765"/>
      <c r="R130" s="576">
        <f t="shared" si="20"/>
        <v>0</v>
      </c>
      <c r="S130" s="576">
        <f t="shared" si="20"/>
        <v>0</v>
      </c>
      <c r="T130" s="577">
        <f t="shared" si="21"/>
        <v>0</v>
      </c>
      <c r="U130" s="578">
        <f t="shared" si="22"/>
        <v>0</v>
      </c>
      <c r="V130" s="579"/>
      <c r="W130" s="566"/>
      <c r="X130" s="586" t="str">
        <f t="shared" si="23"/>
        <v/>
      </c>
      <c r="Y130" s="586" t="str">
        <f t="shared" si="16"/>
        <v/>
      </c>
      <c r="Z130" s="586" t="str">
        <f t="shared" si="17"/>
        <v/>
      </c>
    </row>
    <row r="131" spans="1:26" ht="12" hidden="1" thickBot="1" x14ac:dyDescent="0.25">
      <c r="A131" s="567">
        <v>511130</v>
      </c>
      <c r="B131" s="644" t="s">
        <v>1532</v>
      </c>
      <c r="C131" s="645" t="s">
        <v>206</v>
      </c>
      <c r="D131" s="422" t="s">
        <v>480</v>
      </c>
      <c r="E131" s="423"/>
      <c r="F131" s="424"/>
      <c r="G131" s="425"/>
      <c r="H131" s="649"/>
      <c r="I131" s="449">
        <v>1.27</v>
      </c>
      <c r="J131" s="420">
        <f t="shared" ref="J131:J140" si="29">IF(ISBLANK(I131),"",SUM(H131:I131))</f>
        <v>1.27</v>
      </c>
      <c r="K131" s="421">
        <f t="shared" si="26"/>
        <v>1.51</v>
      </c>
      <c r="L131" s="647" t="s">
        <v>16</v>
      </c>
      <c r="M131" s="576"/>
      <c r="N131" s="576">
        <f t="shared" si="15"/>
        <v>0</v>
      </c>
      <c r="O131" s="577">
        <f t="shared" si="18"/>
        <v>0</v>
      </c>
      <c r="P131" s="578">
        <f t="shared" si="19"/>
        <v>0</v>
      </c>
      <c r="Q131" s="765"/>
      <c r="R131" s="576">
        <f t="shared" si="20"/>
        <v>0</v>
      </c>
      <c r="S131" s="576">
        <f t="shared" si="20"/>
        <v>0</v>
      </c>
      <c r="T131" s="577">
        <f t="shared" si="21"/>
        <v>0</v>
      </c>
      <c r="U131" s="578">
        <f t="shared" si="22"/>
        <v>0</v>
      </c>
      <c r="V131" s="579"/>
      <c r="W131" s="662"/>
      <c r="X131" s="586" t="str">
        <f t="shared" si="23"/>
        <v/>
      </c>
      <c r="Y131" s="586" t="str">
        <f t="shared" si="16"/>
        <v/>
      </c>
      <c r="Z131" s="586" t="str">
        <f t="shared" si="17"/>
        <v/>
      </c>
    </row>
    <row r="132" spans="1:26" ht="12" hidden="1" thickBot="1" x14ac:dyDescent="0.25">
      <c r="A132" s="567">
        <v>533500</v>
      </c>
      <c r="B132" s="644" t="s">
        <v>1737</v>
      </c>
      <c r="C132" s="645" t="s">
        <v>206</v>
      </c>
      <c r="D132" s="422" t="s">
        <v>481</v>
      </c>
      <c r="E132" s="423"/>
      <c r="F132" s="418">
        <v>15</v>
      </c>
      <c r="G132" s="419">
        <v>1.95</v>
      </c>
      <c r="H132" s="667">
        <f t="shared" ref="H132:H133" si="30">IF(F132&lt;=30,(1.07*F132+2.68)*G132,((1.07*30+2.68)+1.07*(F132-30))*G132)</f>
        <v>36.523499999999999</v>
      </c>
      <c r="I132" s="420">
        <v>26.299999999999997</v>
      </c>
      <c r="J132" s="420">
        <f t="shared" si="29"/>
        <v>62.823499999999996</v>
      </c>
      <c r="K132" s="421">
        <f t="shared" si="26"/>
        <v>74.64</v>
      </c>
      <c r="L132" s="647" t="s">
        <v>16</v>
      </c>
      <c r="M132" s="576"/>
      <c r="N132" s="576">
        <f t="shared" si="15"/>
        <v>0</v>
      </c>
      <c r="O132" s="577">
        <f t="shared" si="18"/>
        <v>0</v>
      </c>
      <c r="P132" s="578">
        <f t="shared" si="19"/>
        <v>0</v>
      </c>
      <c r="Q132" s="765"/>
      <c r="R132" s="576">
        <f t="shared" si="20"/>
        <v>0</v>
      </c>
      <c r="S132" s="576">
        <f t="shared" si="20"/>
        <v>0</v>
      </c>
      <c r="T132" s="577">
        <f t="shared" si="21"/>
        <v>0</v>
      </c>
      <c r="U132" s="578">
        <f t="shared" si="22"/>
        <v>0</v>
      </c>
      <c r="V132" s="579"/>
      <c r="W132" s="566"/>
      <c r="X132" s="586" t="str">
        <f t="shared" si="23"/>
        <v/>
      </c>
      <c r="Y132" s="586" t="str">
        <f t="shared" si="16"/>
        <v/>
      </c>
      <c r="Z132" s="586" t="str">
        <f t="shared" si="17"/>
        <v/>
      </c>
    </row>
    <row r="133" spans="1:26" ht="12" hidden="1" thickBot="1" x14ac:dyDescent="0.25">
      <c r="A133" s="567">
        <v>533100</v>
      </c>
      <c r="B133" s="644" t="s">
        <v>1738</v>
      </c>
      <c r="C133" s="645" t="s">
        <v>206</v>
      </c>
      <c r="D133" s="422" t="s">
        <v>482</v>
      </c>
      <c r="E133" s="423"/>
      <c r="F133" s="418">
        <v>15</v>
      </c>
      <c r="G133" s="419">
        <v>1.98</v>
      </c>
      <c r="H133" s="667">
        <f t="shared" si="30"/>
        <v>37.0854</v>
      </c>
      <c r="I133" s="420">
        <v>31.15</v>
      </c>
      <c r="J133" s="420">
        <f t="shared" si="29"/>
        <v>68.235399999999998</v>
      </c>
      <c r="K133" s="421">
        <f t="shared" si="26"/>
        <v>81.069999999999993</v>
      </c>
      <c r="L133" s="647" t="s">
        <v>16</v>
      </c>
      <c r="M133" s="576"/>
      <c r="N133" s="576">
        <f t="shared" si="15"/>
        <v>0</v>
      </c>
      <c r="O133" s="577">
        <f t="shared" si="18"/>
        <v>0</v>
      </c>
      <c r="P133" s="578">
        <f t="shared" si="19"/>
        <v>0</v>
      </c>
      <c r="Q133" s="765"/>
      <c r="R133" s="576">
        <f t="shared" si="20"/>
        <v>0</v>
      </c>
      <c r="S133" s="576">
        <f t="shared" si="20"/>
        <v>0</v>
      </c>
      <c r="T133" s="577">
        <f t="shared" si="21"/>
        <v>0</v>
      </c>
      <c r="U133" s="578">
        <f t="shared" si="22"/>
        <v>0</v>
      </c>
      <c r="V133" s="579"/>
      <c r="W133" s="566"/>
      <c r="X133" s="586" t="str">
        <f t="shared" si="23"/>
        <v/>
      </c>
      <c r="Y133" s="586" t="str">
        <f t="shared" si="16"/>
        <v/>
      </c>
      <c r="Z133" s="586" t="str">
        <f t="shared" si="17"/>
        <v/>
      </c>
    </row>
    <row r="134" spans="1:26" ht="12" hidden="1" thickBot="1" x14ac:dyDescent="0.25">
      <c r="A134" s="567">
        <v>511100</v>
      </c>
      <c r="B134" s="644" t="s">
        <v>1538</v>
      </c>
      <c r="C134" s="645" t="s">
        <v>206</v>
      </c>
      <c r="D134" s="422" t="s">
        <v>203</v>
      </c>
      <c r="E134" s="423"/>
      <c r="F134" s="418"/>
      <c r="G134" s="425">
        <v>0</v>
      </c>
      <c r="H134" s="667">
        <v>0</v>
      </c>
      <c r="I134" s="420">
        <v>4.33</v>
      </c>
      <c r="J134" s="420">
        <f t="shared" si="29"/>
        <v>4.33</v>
      </c>
      <c r="K134" s="421">
        <f t="shared" si="26"/>
        <v>5.14</v>
      </c>
      <c r="L134" s="647" t="s">
        <v>18</v>
      </c>
      <c r="M134" s="576"/>
      <c r="N134" s="576">
        <f t="shared" si="15"/>
        <v>0</v>
      </c>
      <c r="O134" s="577">
        <f t="shared" si="18"/>
        <v>0</v>
      </c>
      <c r="P134" s="578">
        <f t="shared" si="19"/>
        <v>0</v>
      </c>
      <c r="Q134" s="765"/>
      <c r="R134" s="576">
        <f t="shared" si="20"/>
        <v>0</v>
      </c>
      <c r="S134" s="576">
        <f t="shared" si="20"/>
        <v>0</v>
      </c>
      <c r="T134" s="577">
        <f t="shared" si="21"/>
        <v>0</v>
      </c>
      <c r="U134" s="578">
        <f t="shared" si="22"/>
        <v>0</v>
      </c>
      <c r="V134" s="579"/>
      <c r="W134" s="566"/>
      <c r="X134" s="586" t="str">
        <f t="shared" si="23"/>
        <v/>
      </c>
      <c r="Y134" s="586" t="str">
        <f t="shared" si="16"/>
        <v/>
      </c>
      <c r="Z134" s="586" t="str">
        <f t="shared" si="17"/>
        <v/>
      </c>
    </row>
    <row r="135" spans="1:26" ht="12" hidden="1" thickBot="1" x14ac:dyDescent="0.25">
      <c r="A135" s="567">
        <v>511000</v>
      </c>
      <c r="B135" s="644" t="s">
        <v>1533</v>
      </c>
      <c r="C135" s="645" t="s">
        <v>206</v>
      </c>
      <c r="D135" s="422" t="s">
        <v>190</v>
      </c>
      <c r="E135" s="423"/>
      <c r="F135" s="418">
        <v>0</v>
      </c>
      <c r="G135" s="425"/>
      <c r="H135" s="667">
        <v>0</v>
      </c>
      <c r="I135" s="420">
        <v>4.95</v>
      </c>
      <c r="J135" s="420">
        <f t="shared" si="29"/>
        <v>4.95</v>
      </c>
      <c r="K135" s="421">
        <f t="shared" si="26"/>
        <v>5.88</v>
      </c>
      <c r="L135" s="647" t="s">
        <v>18</v>
      </c>
      <c r="M135" s="576"/>
      <c r="N135" s="576">
        <f t="shared" si="15"/>
        <v>0</v>
      </c>
      <c r="O135" s="577">
        <f t="shared" si="18"/>
        <v>0</v>
      </c>
      <c r="P135" s="578">
        <f t="shared" si="19"/>
        <v>0</v>
      </c>
      <c r="Q135" s="765"/>
      <c r="R135" s="576">
        <f t="shared" si="20"/>
        <v>0</v>
      </c>
      <c r="S135" s="576">
        <f t="shared" si="20"/>
        <v>0</v>
      </c>
      <c r="T135" s="577">
        <f t="shared" si="21"/>
        <v>0</v>
      </c>
      <c r="U135" s="578">
        <f t="shared" si="22"/>
        <v>0</v>
      </c>
      <c r="V135" s="579"/>
      <c r="W135" s="566"/>
      <c r="X135" s="586" t="str">
        <f t="shared" si="23"/>
        <v/>
      </c>
      <c r="Y135" s="586" t="str">
        <f t="shared" si="16"/>
        <v/>
      </c>
      <c r="Z135" s="586" t="str">
        <f t="shared" si="17"/>
        <v/>
      </c>
    </row>
    <row r="136" spans="1:26" ht="12" hidden="1" thickBot="1" x14ac:dyDescent="0.25">
      <c r="A136" s="567">
        <v>511300</v>
      </c>
      <c r="B136" s="644" t="s">
        <v>1540</v>
      </c>
      <c r="C136" s="645" t="s">
        <v>206</v>
      </c>
      <c r="D136" s="422" t="s">
        <v>202</v>
      </c>
      <c r="E136" s="423"/>
      <c r="F136" s="418">
        <v>0</v>
      </c>
      <c r="G136" s="425">
        <v>0</v>
      </c>
      <c r="H136" s="667">
        <v>0</v>
      </c>
      <c r="I136" s="420">
        <v>0.3</v>
      </c>
      <c r="J136" s="420">
        <f t="shared" si="29"/>
        <v>0.3</v>
      </c>
      <c r="K136" s="421">
        <f t="shared" si="26"/>
        <v>0.36</v>
      </c>
      <c r="L136" s="647" t="s">
        <v>18</v>
      </c>
      <c r="M136" s="576"/>
      <c r="N136" s="576">
        <f t="shared" si="15"/>
        <v>0</v>
      </c>
      <c r="O136" s="577">
        <f t="shared" si="18"/>
        <v>0</v>
      </c>
      <c r="P136" s="578">
        <f t="shared" si="19"/>
        <v>0</v>
      </c>
      <c r="Q136" s="765"/>
      <c r="R136" s="576">
        <f t="shared" si="20"/>
        <v>0</v>
      </c>
      <c r="S136" s="576">
        <f t="shared" si="20"/>
        <v>0</v>
      </c>
      <c r="T136" s="577">
        <f t="shared" si="21"/>
        <v>0</v>
      </c>
      <c r="U136" s="578">
        <f t="shared" si="22"/>
        <v>0</v>
      </c>
      <c r="V136" s="579"/>
      <c r="W136" s="566"/>
      <c r="X136" s="586" t="str">
        <f t="shared" si="23"/>
        <v/>
      </c>
      <c r="Y136" s="586" t="str">
        <f t="shared" si="16"/>
        <v/>
      </c>
      <c r="Z136" s="586" t="str">
        <f t="shared" si="17"/>
        <v/>
      </c>
    </row>
    <row r="137" spans="1:26" ht="12" hidden="1" thickBot="1" x14ac:dyDescent="0.25">
      <c r="A137" s="671">
        <v>100576</v>
      </c>
      <c r="B137" s="644" t="s">
        <v>1614</v>
      </c>
      <c r="C137" s="645" t="s">
        <v>670</v>
      </c>
      <c r="D137" s="422" t="s">
        <v>205</v>
      </c>
      <c r="E137" s="423"/>
      <c r="F137" s="418">
        <v>0</v>
      </c>
      <c r="G137" s="425"/>
      <c r="H137" s="667">
        <v>0</v>
      </c>
      <c r="I137" s="420">
        <v>2.4300000000000002</v>
      </c>
      <c r="J137" s="420">
        <f>IF(ISBLANK(I137),"",SUM(H137:I137))</f>
        <v>2.4300000000000002</v>
      </c>
      <c r="K137" s="421">
        <f t="shared" si="26"/>
        <v>2.89</v>
      </c>
      <c r="L137" s="647" t="s">
        <v>18</v>
      </c>
      <c r="M137" s="576"/>
      <c r="N137" s="576">
        <f t="shared" si="15"/>
        <v>0</v>
      </c>
      <c r="O137" s="577">
        <f t="shared" si="18"/>
        <v>0</v>
      </c>
      <c r="P137" s="578">
        <f t="shared" si="19"/>
        <v>0</v>
      </c>
      <c r="Q137" s="765"/>
      <c r="R137" s="576">
        <f t="shared" si="20"/>
        <v>0</v>
      </c>
      <c r="S137" s="576">
        <f t="shared" si="20"/>
        <v>0</v>
      </c>
      <c r="T137" s="577">
        <f t="shared" si="21"/>
        <v>0</v>
      </c>
      <c r="U137" s="578">
        <f t="shared" si="22"/>
        <v>0</v>
      </c>
      <c r="V137" s="579"/>
      <c r="W137" s="566"/>
      <c r="X137" s="586" t="str">
        <f t="shared" si="23"/>
        <v/>
      </c>
      <c r="Y137" s="586" t="str">
        <f t="shared" si="16"/>
        <v/>
      </c>
      <c r="Z137" s="586" t="str">
        <f t="shared" si="17"/>
        <v/>
      </c>
    </row>
    <row r="138" spans="1:26" ht="12" hidden="1" thickBot="1" x14ac:dyDescent="0.25">
      <c r="A138" s="567">
        <v>450000</v>
      </c>
      <c r="B138" s="450">
        <v>450000</v>
      </c>
      <c r="C138" s="473" t="s">
        <v>206</v>
      </c>
      <c r="D138" s="422" t="s">
        <v>209</v>
      </c>
      <c r="E138" s="423"/>
      <c r="F138" s="418">
        <v>15</v>
      </c>
      <c r="G138" s="419">
        <v>1.98</v>
      </c>
      <c r="H138" s="649">
        <f t="shared" ref="H138:H140" si="31">IF(F138&lt;=30,(1.07*F138+2.68)*G138,((1.07*30+2.68)+1.07*(F138-30))*G138)</f>
        <v>37.0854</v>
      </c>
      <c r="I138" s="420">
        <v>15.73</v>
      </c>
      <c r="J138" s="420">
        <f t="shared" si="29"/>
        <v>52.815399999999997</v>
      </c>
      <c r="K138" s="421">
        <f t="shared" si="26"/>
        <v>62.75</v>
      </c>
      <c r="L138" s="647" t="s">
        <v>16</v>
      </c>
      <c r="M138" s="576"/>
      <c r="N138" s="576">
        <f t="shared" si="15"/>
        <v>0</v>
      </c>
      <c r="O138" s="577">
        <f t="shared" si="18"/>
        <v>0</v>
      </c>
      <c r="P138" s="578">
        <f t="shared" si="19"/>
        <v>0</v>
      </c>
      <c r="Q138" s="765"/>
      <c r="R138" s="576">
        <f t="shared" si="20"/>
        <v>0</v>
      </c>
      <c r="S138" s="576">
        <f t="shared" si="20"/>
        <v>0</v>
      </c>
      <c r="T138" s="577">
        <f t="shared" si="21"/>
        <v>0</v>
      </c>
      <c r="U138" s="578">
        <f t="shared" si="22"/>
        <v>0</v>
      </c>
      <c r="V138" s="579"/>
      <c r="W138" s="566"/>
      <c r="X138" s="586" t="str">
        <f t="shared" si="23"/>
        <v/>
      </c>
      <c r="Y138" s="586" t="str">
        <f t="shared" si="16"/>
        <v/>
      </c>
      <c r="Z138" s="586" t="str">
        <f t="shared" si="17"/>
        <v/>
      </c>
    </row>
    <row r="139" spans="1:26" ht="12" hidden="1" thickBot="1" x14ac:dyDescent="0.25">
      <c r="A139" s="567">
        <v>541000</v>
      </c>
      <c r="B139" s="644">
        <v>541000</v>
      </c>
      <c r="C139" s="645" t="s">
        <v>206</v>
      </c>
      <c r="D139" s="422" t="s">
        <v>211</v>
      </c>
      <c r="E139" s="423"/>
      <c r="F139" s="424">
        <v>15</v>
      </c>
      <c r="G139" s="425">
        <v>2.02</v>
      </c>
      <c r="H139" s="649">
        <f t="shared" si="31"/>
        <v>37.834600000000002</v>
      </c>
      <c r="I139" s="420">
        <v>29.46</v>
      </c>
      <c r="J139" s="420">
        <f t="shared" si="29"/>
        <v>67.294600000000003</v>
      </c>
      <c r="K139" s="421">
        <f t="shared" si="26"/>
        <v>79.95</v>
      </c>
      <c r="L139" s="647" t="s">
        <v>16</v>
      </c>
      <c r="M139" s="576"/>
      <c r="N139" s="576">
        <f t="shared" si="15"/>
        <v>0</v>
      </c>
      <c r="O139" s="577">
        <f t="shared" si="18"/>
        <v>0</v>
      </c>
      <c r="P139" s="578">
        <f t="shared" si="19"/>
        <v>0</v>
      </c>
      <c r="Q139" s="765"/>
      <c r="R139" s="576">
        <f t="shared" si="20"/>
        <v>0</v>
      </c>
      <c r="S139" s="576">
        <f t="shared" si="20"/>
        <v>0</v>
      </c>
      <c r="T139" s="577">
        <f t="shared" si="21"/>
        <v>0</v>
      </c>
      <c r="U139" s="578">
        <f t="shared" si="22"/>
        <v>0</v>
      </c>
      <c r="V139" s="579"/>
      <c r="W139" s="566"/>
      <c r="X139" s="586" t="str">
        <f t="shared" si="23"/>
        <v/>
      </c>
      <c r="Y139" s="586" t="str">
        <f t="shared" si="16"/>
        <v/>
      </c>
      <c r="Z139" s="586" t="str">
        <f t="shared" si="17"/>
        <v/>
      </c>
    </row>
    <row r="140" spans="1:26" ht="12" hidden="1" thickBot="1" x14ac:dyDescent="0.25">
      <c r="A140" s="567">
        <v>533100</v>
      </c>
      <c r="B140" s="644" t="s">
        <v>1739</v>
      </c>
      <c r="C140" s="645" t="s">
        <v>206</v>
      </c>
      <c r="D140" s="422" t="s">
        <v>208</v>
      </c>
      <c r="E140" s="423"/>
      <c r="F140" s="418">
        <v>15</v>
      </c>
      <c r="G140" s="419">
        <v>2.1</v>
      </c>
      <c r="H140" s="649">
        <f t="shared" si="31"/>
        <v>39.333000000000006</v>
      </c>
      <c r="I140" s="420">
        <v>31.15</v>
      </c>
      <c r="J140" s="420">
        <f t="shared" si="29"/>
        <v>70.483000000000004</v>
      </c>
      <c r="K140" s="421">
        <f t="shared" si="26"/>
        <v>83.74</v>
      </c>
      <c r="L140" s="647" t="s">
        <v>16</v>
      </c>
      <c r="M140" s="576"/>
      <c r="N140" s="576">
        <f t="shared" si="15"/>
        <v>0</v>
      </c>
      <c r="O140" s="577">
        <f t="shared" si="18"/>
        <v>0</v>
      </c>
      <c r="P140" s="578">
        <f t="shared" si="19"/>
        <v>0</v>
      </c>
      <c r="Q140" s="765"/>
      <c r="R140" s="576">
        <f t="shared" si="20"/>
        <v>0</v>
      </c>
      <c r="S140" s="576">
        <f t="shared" si="20"/>
        <v>0</v>
      </c>
      <c r="T140" s="577">
        <f t="shared" si="21"/>
        <v>0</v>
      </c>
      <c r="U140" s="578">
        <f t="shared" si="22"/>
        <v>0</v>
      </c>
      <c r="V140" s="579"/>
      <c r="W140" s="566"/>
      <c r="X140" s="586" t="str">
        <f t="shared" si="23"/>
        <v/>
      </c>
      <c r="Y140" s="586" t="str">
        <f t="shared" si="16"/>
        <v/>
      </c>
      <c r="Z140" s="586" t="str">
        <f t="shared" si="17"/>
        <v/>
      </c>
    </row>
    <row r="141" spans="1:26" ht="12" hidden="1" thickBot="1" x14ac:dyDescent="0.25">
      <c r="A141" s="567">
        <v>542000</v>
      </c>
      <c r="B141" s="644">
        <v>542000</v>
      </c>
      <c r="C141" s="645" t="s">
        <v>206</v>
      </c>
      <c r="D141" s="422" t="s">
        <v>1900</v>
      </c>
      <c r="E141" s="423"/>
      <c r="F141" s="418"/>
      <c r="G141" s="425"/>
      <c r="H141" s="667">
        <f>SUM(H142:H143)</f>
        <v>49.613330000000005</v>
      </c>
      <c r="I141" s="420">
        <v>58.740000000000009</v>
      </c>
      <c r="J141" s="420">
        <f>IF(ISBLANK(I141),"",SUM(H141:I141))</f>
        <v>108.35333000000001</v>
      </c>
      <c r="K141" s="421">
        <f t="shared" si="26"/>
        <v>128.72999999999999</v>
      </c>
      <c r="L141" s="647" t="s">
        <v>16</v>
      </c>
      <c r="M141" s="576"/>
      <c r="N141" s="576">
        <f t="shared" si="15"/>
        <v>0</v>
      </c>
      <c r="O141" s="577">
        <f t="shared" si="18"/>
        <v>0</v>
      </c>
      <c r="P141" s="578">
        <f t="shared" si="19"/>
        <v>0</v>
      </c>
      <c r="Q141" s="765"/>
      <c r="R141" s="576">
        <f t="shared" si="20"/>
        <v>0</v>
      </c>
      <c r="S141" s="576">
        <f t="shared" si="20"/>
        <v>0</v>
      </c>
      <c r="T141" s="577">
        <f t="shared" si="21"/>
        <v>0</v>
      </c>
      <c r="U141" s="578">
        <f t="shared" si="22"/>
        <v>0</v>
      </c>
      <c r="V141" s="579"/>
      <c r="W141" s="566"/>
      <c r="X141" s="586" t="str">
        <f t="shared" si="23"/>
        <v/>
      </c>
      <c r="Y141" s="586" t="str">
        <f t="shared" si="16"/>
        <v/>
      </c>
      <c r="Z141" s="586" t="str">
        <f t="shared" si="17"/>
        <v/>
      </c>
    </row>
    <row r="142" spans="1:26" ht="12" hidden="1" thickBot="1" x14ac:dyDescent="0.25">
      <c r="A142" s="567" t="s">
        <v>168</v>
      </c>
      <c r="B142" s="644" t="s">
        <v>168</v>
      </c>
      <c r="C142" s="645"/>
      <c r="D142" s="451" t="s">
        <v>212</v>
      </c>
      <c r="E142" s="423"/>
      <c r="F142" s="424">
        <v>500</v>
      </c>
      <c r="G142" s="425">
        <v>3.6999999999999998E-2</v>
      </c>
      <c r="H142" s="649">
        <f>IF(F142&lt;=30,(0.78*F142+7.82)*G142,((0.78*30+7.82)+0.78*(F142-30))*G142)</f>
        <v>14.719340000000001</v>
      </c>
      <c r="I142" s="420">
        <v>0</v>
      </c>
      <c r="J142" s="420"/>
      <c r="K142" s="421">
        <f t="shared" si="26"/>
        <v>0</v>
      </c>
      <c r="L142" s="647" t="s">
        <v>614</v>
      </c>
      <c r="M142" s="669"/>
      <c r="N142" s="576">
        <f t="shared" si="15"/>
        <v>0</v>
      </c>
      <c r="O142" s="577">
        <f t="shared" si="18"/>
        <v>0</v>
      </c>
      <c r="P142" s="578">
        <f t="shared" si="19"/>
        <v>0</v>
      </c>
      <c r="Q142" s="765"/>
      <c r="R142" s="669"/>
      <c r="S142" s="670"/>
      <c r="T142" s="577">
        <f t="shared" si="21"/>
        <v>0</v>
      </c>
      <c r="U142" s="578">
        <f t="shared" si="22"/>
        <v>0</v>
      </c>
      <c r="V142" s="579"/>
      <c r="W142" s="637" t="str">
        <f>IF(U141&gt;0,"xx",IF(P141&gt;0,"xy",""))</f>
        <v/>
      </c>
      <c r="X142" s="586" t="str">
        <f t="shared" si="23"/>
        <v/>
      </c>
      <c r="Y142" s="586" t="str">
        <f>IF(W142="X","x",IF(W142="y","x",IF(W142="xx","x",IF(U142&gt;0,"x",""))))</f>
        <v/>
      </c>
      <c r="Z142" s="586" t="str">
        <f t="shared" si="17"/>
        <v/>
      </c>
    </row>
    <row r="143" spans="1:26" ht="12" hidden="1" thickBot="1" x14ac:dyDescent="0.25">
      <c r="A143" s="567" t="s">
        <v>168</v>
      </c>
      <c r="B143" s="644" t="s">
        <v>168</v>
      </c>
      <c r="C143" s="645"/>
      <c r="D143" s="451" t="s">
        <v>213</v>
      </c>
      <c r="E143" s="423"/>
      <c r="F143" s="418">
        <v>15</v>
      </c>
      <c r="G143" s="425">
        <v>1.863</v>
      </c>
      <c r="H143" s="649">
        <f t="shared" ref="H143" si="32">IF(F143&lt;=30,(1.07*F143+2.68)*G143,((1.07*30+2.68)+1.07*(F143-30))*G143)</f>
        <v>34.893990000000002</v>
      </c>
      <c r="I143" s="420">
        <v>0</v>
      </c>
      <c r="J143" s="420"/>
      <c r="K143" s="421">
        <f t="shared" si="26"/>
        <v>0</v>
      </c>
      <c r="L143" s="647" t="s">
        <v>614</v>
      </c>
      <c r="M143" s="669"/>
      <c r="N143" s="576">
        <f t="shared" si="15"/>
        <v>0</v>
      </c>
      <c r="O143" s="577">
        <f t="shared" si="18"/>
        <v>0</v>
      </c>
      <c r="P143" s="578">
        <f t="shared" si="19"/>
        <v>0</v>
      </c>
      <c r="Q143" s="765"/>
      <c r="R143" s="669"/>
      <c r="S143" s="670"/>
      <c r="T143" s="577">
        <f t="shared" si="21"/>
        <v>0</v>
      </c>
      <c r="U143" s="578">
        <f t="shared" si="22"/>
        <v>0</v>
      </c>
      <c r="V143" s="579"/>
      <c r="W143" s="637" t="str">
        <f>IF(U141&gt;0,"xx",IF(P141&gt;0,"xy",""))</f>
        <v/>
      </c>
      <c r="X143" s="586" t="str">
        <f t="shared" si="23"/>
        <v/>
      </c>
      <c r="Y143" s="586" t="str">
        <f t="shared" ref="Y143:Y210" si="33">IF(W143="X","x",IF(W143="y","x",IF(W143="xx","x",IF(U143&gt;0,"x",""))))</f>
        <v/>
      </c>
      <c r="Z143" s="586" t="str">
        <f t="shared" si="17"/>
        <v/>
      </c>
    </row>
    <row r="144" spans="1:26" ht="12" hidden="1" thickBot="1" x14ac:dyDescent="0.25">
      <c r="A144" s="567">
        <v>543000</v>
      </c>
      <c r="B144" s="644">
        <v>543000</v>
      </c>
      <c r="C144" s="645" t="s">
        <v>206</v>
      </c>
      <c r="D144" s="422" t="s">
        <v>1901</v>
      </c>
      <c r="E144" s="423"/>
      <c r="F144" s="418"/>
      <c r="G144" s="425"/>
      <c r="H144" s="667">
        <f>SUM(H145:H146)</f>
        <v>56.436949999999996</v>
      </c>
      <c r="I144" s="420">
        <v>72.12</v>
      </c>
      <c r="J144" s="420">
        <f>IF(ISBLANK(I144),"",SUM(H144:I144))</f>
        <v>128.55695</v>
      </c>
      <c r="K144" s="421">
        <f t="shared" si="26"/>
        <v>152.74</v>
      </c>
      <c r="L144" s="647" t="s">
        <v>16</v>
      </c>
      <c r="M144" s="576"/>
      <c r="N144" s="576">
        <f t="shared" si="15"/>
        <v>0</v>
      </c>
      <c r="O144" s="577">
        <f t="shared" si="18"/>
        <v>0</v>
      </c>
      <c r="P144" s="578">
        <f t="shared" si="19"/>
        <v>0</v>
      </c>
      <c r="Q144" s="765"/>
      <c r="R144" s="576">
        <f t="shared" si="20"/>
        <v>0</v>
      </c>
      <c r="S144" s="576">
        <f t="shared" si="20"/>
        <v>0</v>
      </c>
      <c r="T144" s="577">
        <f t="shared" si="21"/>
        <v>0</v>
      </c>
      <c r="U144" s="578">
        <f t="shared" si="22"/>
        <v>0</v>
      </c>
      <c r="V144" s="579"/>
      <c r="W144" s="566"/>
      <c r="X144" s="586" t="str">
        <f t="shared" si="23"/>
        <v/>
      </c>
      <c r="Y144" s="586" t="str">
        <f t="shared" si="33"/>
        <v/>
      </c>
      <c r="Z144" s="586" t="str">
        <f t="shared" si="17"/>
        <v/>
      </c>
    </row>
    <row r="145" spans="1:26" ht="12" hidden="1" thickBot="1" x14ac:dyDescent="0.25">
      <c r="A145" s="567" t="s">
        <v>168</v>
      </c>
      <c r="B145" s="644" t="s">
        <v>168</v>
      </c>
      <c r="C145" s="645"/>
      <c r="D145" s="451" t="s">
        <v>212</v>
      </c>
      <c r="E145" s="423"/>
      <c r="F145" s="424">
        <v>500</v>
      </c>
      <c r="G145" s="425">
        <v>5.5E-2</v>
      </c>
      <c r="H145" s="649">
        <f>IF(F145&lt;=30,(0.78*F145+7.82)*G145,((0.78*30+7.82)+0.78*(F145-30))*G145)</f>
        <v>21.880100000000002</v>
      </c>
      <c r="I145" s="420">
        <v>0</v>
      </c>
      <c r="J145" s="420"/>
      <c r="K145" s="421">
        <f t="shared" si="26"/>
        <v>0</v>
      </c>
      <c r="L145" s="647" t="s">
        <v>614</v>
      </c>
      <c r="M145" s="669"/>
      <c r="N145" s="576">
        <f t="shared" si="15"/>
        <v>0</v>
      </c>
      <c r="O145" s="577">
        <f t="shared" si="18"/>
        <v>0</v>
      </c>
      <c r="P145" s="578">
        <f t="shared" si="19"/>
        <v>0</v>
      </c>
      <c r="Q145" s="765"/>
      <c r="R145" s="669"/>
      <c r="S145" s="670"/>
      <c r="T145" s="577">
        <f t="shared" si="21"/>
        <v>0</v>
      </c>
      <c r="U145" s="578">
        <f t="shared" si="22"/>
        <v>0</v>
      </c>
      <c r="V145" s="579"/>
      <c r="W145" s="637" t="str">
        <f>IF(U144&gt;0,"xx",IF(P144&gt;0,"xy",""))</f>
        <v/>
      </c>
      <c r="X145" s="586" t="str">
        <f t="shared" si="23"/>
        <v/>
      </c>
      <c r="Y145" s="586" t="str">
        <f t="shared" si="33"/>
        <v/>
      </c>
      <c r="Z145" s="586" t="str">
        <f t="shared" si="17"/>
        <v/>
      </c>
    </row>
    <row r="146" spans="1:26" ht="12" hidden="1" thickBot="1" x14ac:dyDescent="0.25">
      <c r="A146" s="567" t="s">
        <v>168</v>
      </c>
      <c r="B146" s="644" t="s">
        <v>168</v>
      </c>
      <c r="C146" s="645"/>
      <c r="D146" s="451" t="s">
        <v>213</v>
      </c>
      <c r="E146" s="423"/>
      <c r="F146" s="418">
        <v>15</v>
      </c>
      <c r="G146" s="425">
        <v>1.845</v>
      </c>
      <c r="H146" s="649">
        <f t="shared" ref="H146" si="34">IF(F146&lt;=30,(1.07*F146+2.68)*G146,((1.07*30+2.68)+1.07*(F146-30))*G146)</f>
        <v>34.556849999999997</v>
      </c>
      <c r="I146" s="420">
        <v>0</v>
      </c>
      <c r="J146" s="420"/>
      <c r="K146" s="421">
        <f t="shared" si="26"/>
        <v>0</v>
      </c>
      <c r="L146" s="647" t="s">
        <v>614</v>
      </c>
      <c r="M146" s="669"/>
      <c r="N146" s="576">
        <f t="shared" si="15"/>
        <v>0</v>
      </c>
      <c r="O146" s="577">
        <f t="shared" si="18"/>
        <v>0</v>
      </c>
      <c r="P146" s="578">
        <f t="shared" si="19"/>
        <v>0</v>
      </c>
      <c r="Q146" s="765"/>
      <c r="R146" s="669"/>
      <c r="S146" s="670"/>
      <c r="T146" s="577">
        <f t="shared" si="21"/>
        <v>0</v>
      </c>
      <c r="U146" s="578">
        <f t="shared" si="22"/>
        <v>0</v>
      </c>
      <c r="V146" s="579"/>
      <c r="W146" s="637" t="str">
        <f>IF(U144&gt;0,"xx",IF(P144&gt;0,"xy",""))</f>
        <v/>
      </c>
      <c r="X146" s="586" t="str">
        <f t="shared" si="23"/>
        <v/>
      </c>
      <c r="Y146" s="586" t="str">
        <f t="shared" si="33"/>
        <v/>
      </c>
      <c r="Z146" s="586" t="str">
        <f t="shared" si="17"/>
        <v/>
      </c>
    </row>
    <row r="147" spans="1:26" ht="12" hidden="1" thickBot="1" x14ac:dyDescent="0.25">
      <c r="A147" s="567">
        <v>544000</v>
      </c>
      <c r="B147" s="644">
        <v>544000</v>
      </c>
      <c r="C147" s="645" t="s">
        <v>206</v>
      </c>
      <c r="D147" s="422" t="s">
        <v>1902</v>
      </c>
      <c r="E147" s="423"/>
      <c r="F147" s="418"/>
      <c r="G147" s="425"/>
      <c r="H147" s="667">
        <f>SUM(H148:H149)</f>
        <v>61.565889999999996</v>
      </c>
      <c r="I147" s="420">
        <v>76.599999999999994</v>
      </c>
      <c r="J147" s="420">
        <f>IF(ISBLANK(I147),"",SUM(H147:I147))</f>
        <v>138.16588999999999</v>
      </c>
      <c r="K147" s="421">
        <f t="shared" si="26"/>
        <v>164.15</v>
      </c>
      <c r="L147" s="647" t="s">
        <v>16</v>
      </c>
      <c r="M147" s="576"/>
      <c r="N147" s="576">
        <f t="shared" si="15"/>
        <v>0</v>
      </c>
      <c r="O147" s="577">
        <f t="shared" si="18"/>
        <v>0</v>
      </c>
      <c r="P147" s="578">
        <f t="shared" si="19"/>
        <v>0</v>
      </c>
      <c r="Q147" s="765"/>
      <c r="R147" s="576">
        <f t="shared" si="20"/>
        <v>0</v>
      </c>
      <c r="S147" s="576">
        <f t="shared" si="20"/>
        <v>0</v>
      </c>
      <c r="T147" s="577">
        <f t="shared" si="21"/>
        <v>0</v>
      </c>
      <c r="U147" s="578">
        <f t="shared" si="22"/>
        <v>0</v>
      </c>
      <c r="V147" s="579"/>
      <c r="W147" s="566"/>
      <c r="X147" s="586" t="str">
        <f t="shared" si="23"/>
        <v/>
      </c>
      <c r="Y147" s="586" t="str">
        <f t="shared" si="33"/>
        <v/>
      </c>
      <c r="Z147" s="586" t="str">
        <f t="shared" si="17"/>
        <v/>
      </c>
    </row>
    <row r="148" spans="1:26" ht="12" hidden="1" thickBot="1" x14ac:dyDescent="0.25">
      <c r="A148" s="567" t="s">
        <v>168</v>
      </c>
      <c r="B148" s="644" t="s">
        <v>168</v>
      </c>
      <c r="C148" s="645"/>
      <c r="D148" s="451" t="s">
        <v>212</v>
      </c>
      <c r="E148" s="423"/>
      <c r="F148" s="424">
        <v>500</v>
      </c>
      <c r="G148" s="425">
        <v>7.0999999999999994E-2</v>
      </c>
      <c r="H148" s="649">
        <f>IF(F148&lt;=30,(0.78*F148+7.82)*G148,((0.78*30+7.82)+0.78*(F148-30))*G148)</f>
        <v>28.24522</v>
      </c>
      <c r="I148" s="420">
        <v>0</v>
      </c>
      <c r="J148" s="420"/>
      <c r="K148" s="421">
        <f t="shared" si="26"/>
        <v>0</v>
      </c>
      <c r="L148" s="647" t="s">
        <v>614</v>
      </c>
      <c r="M148" s="669"/>
      <c r="N148" s="576">
        <f t="shared" ref="N148:N211" si="35">IF(M148=0,0,K148)</f>
        <v>0</v>
      </c>
      <c r="O148" s="577">
        <f t="shared" si="18"/>
        <v>0</v>
      </c>
      <c r="P148" s="578">
        <f t="shared" si="19"/>
        <v>0</v>
      </c>
      <c r="Q148" s="765"/>
      <c r="R148" s="669"/>
      <c r="S148" s="670"/>
      <c r="T148" s="577">
        <f t="shared" si="21"/>
        <v>0</v>
      </c>
      <c r="U148" s="578">
        <f t="shared" si="22"/>
        <v>0</v>
      </c>
      <c r="V148" s="579"/>
      <c r="W148" s="637" t="str">
        <f>IF(U147&gt;0,"xx",IF(P147&gt;0,"xy",""))</f>
        <v/>
      </c>
      <c r="X148" s="586" t="str">
        <f t="shared" si="23"/>
        <v/>
      </c>
      <c r="Y148" s="586" t="str">
        <f t="shared" si="33"/>
        <v/>
      </c>
      <c r="Z148" s="586" t="str">
        <f t="shared" si="17"/>
        <v/>
      </c>
    </row>
    <row r="149" spans="1:26" ht="12" hidden="1" thickBot="1" x14ac:dyDescent="0.25">
      <c r="A149" s="567" t="s">
        <v>168</v>
      </c>
      <c r="B149" s="644" t="s">
        <v>168</v>
      </c>
      <c r="C149" s="645"/>
      <c r="D149" s="451" t="s">
        <v>213</v>
      </c>
      <c r="E149" s="423"/>
      <c r="F149" s="418">
        <v>15</v>
      </c>
      <c r="G149" s="425">
        <v>1.7789999999999999</v>
      </c>
      <c r="H149" s="649">
        <f t="shared" ref="H149" si="36">IF(F149&lt;=30,(1.07*F149+2.68)*G149,((1.07*30+2.68)+1.07*(F149-30))*G149)</f>
        <v>33.32067</v>
      </c>
      <c r="I149" s="420">
        <v>0</v>
      </c>
      <c r="J149" s="420"/>
      <c r="K149" s="421">
        <f t="shared" si="26"/>
        <v>0</v>
      </c>
      <c r="L149" s="647" t="s">
        <v>614</v>
      </c>
      <c r="M149" s="669"/>
      <c r="N149" s="576">
        <f t="shared" si="35"/>
        <v>0</v>
      </c>
      <c r="O149" s="577">
        <f t="shared" si="18"/>
        <v>0</v>
      </c>
      <c r="P149" s="578">
        <f t="shared" si="19"/>
        <v>0</v>
      </c>
      <c r="Q149" s="765"/>
      <c r="R149" s="669"/>
      <c r="S149" s="670"/>
      <c r="T149" s="577">
        <f t="shared" si="21"/>
        <v>0</v>
      </c>
      <c r="U149" s="578">
        <f t="shared" si="22"/>
        <v>0</v>
      </c>
      <c r="V149" s="579"/>
      <c r="W149" s="637" t="str">
        <f>IF(U147&gt;0,"xx",IF(P147&gt;0,"xy",""))</f>
        <v/>
      </c>
      <c r="X149" s="586" t="str">
        <f t="shared" si="23"/>
        <v/>
      </c>
      <c r="Y149" s="586" t="str">
        <f t="shared" si="33"/>
        <v/>
      </c>
      <c r="Z149" s="586" t="str">
        <f t="shared" si="17"/>
        <v/>
      </c>
    </row>
    <row r="150" spans="1:26" ht="12" hidden="1" thickBot="1" x14ac:dyDescent="0.25">
      <c r="A150" s="567">
        <v>545000</v>
      </c>
      <c r="B150" s="644">
        <v>545000</v>
      </c>
      <c r="C150" s="645" t="s">
        <v>206</v>
      </c>
      <c r="D150" s="422" t="s">
        <v>1903</v>
      </c>
      <c r="E150" s="423"/>
      <c r="F150" s="418"/>
      <c r="G150" s="425"/>
      <c r="H150" s="667">
        <f>SUM(H151:H152)</f>
        <v>68.010420000000011</v>
      </c>
      <c r="I150" s="420">
        <v>88.69</v>
      </c>
      <c r="J150" s="420">
        <f>IF(ISBLANK(I150),"",SUM(H150:I150))</f>
        <v>156.70042000000001</v>
      </c>
      <c r="K150" s="421">
        <f t="shared" si="26"/>
        <v>186.18</v>
      </c>
      <c r="L150" s="647" t="s">
        <v>16</v>
      </c>
      <c r="M150" s="576"/>
      <c r="N150" s="576">
        <f t="shared" si="35"/>
        <v>0</v>
      </c>
      <c r="O150" s="577">
        <f t="shared" si="18"/>
        <v>0</v>
      </c>
      <c r="P150" s="578">
        <f t="shared" si="19"/>
        <v>0</v>
      </c>
      <c r="Q150" s="765"/>
      <c r="R150" s="576">
        <f t="shared" si="20"/>
        <v>0</v>
      </c>
      <c r="S150" s="576">
        <f t="shared" si="20"/>
        <v>0</v>
      </c>
      <c r="T150" s="577">
        <f t="shared" si="21"/>
        <v>0</v>
      </c>
      <c r="U150" s="578">
        <f t="shared" si="22"/>
        <v>0</v>
      </c>
      <c r="V150" s="579"/>
      <c r="W150" s="566"/>
      <c r="X150" s="586" t="str">
        <f t="shared" si="23"/>
        <v/>
      </c>
      <c r="Y150" s="586" t="str">
        <f t="shared" si="33"/>
        <v/>
      </c>
      <c r="Z150" s="586" t="str">
        <f t="shared" si="17"/>
        <v/>
      </c>
    </row>
    <row r="151" spans="1:26" ht="12" hidden="1" thickBot="1" x14ac:dyDescent="0.25">
      <c r="A151" s="567" t="s">
        <v>168</v>
      </c>
      <c r="B151" s="644" t="s">
        <v>168</v>
      </c>
      <c r="C151" s="645"/>
      <c r="D151" s="451" t="s">
        <v>212</v>
      </c>
      <c r="E151" s="423"/>
      <c r="F151" s="424">
        <v>500</v>
      </c>
      <c r="G151" s="425">
        <v>8.7999999999999995E-2</v>
      </c>
      <c r="H151" s="649">
        <f>IF(F151&lt;=30,(0.78*F151+7.82)*G151,((0.78*30+7.82)+0.78*(F151-30))*G151)</f>
        <v>35.008160000000004</v>
      </c>
      <c r="I151" s="420">
        <v>0</v>
      </c>
      <c r="J151" s="420"/>
      <c r="K151" s="421">
        <f t="shared" si="26"/>
        <v>0</v>
      </c>
      <c r="L151" s="647" t="s">
        <v>614</v>
      </c>
      <c r="M151" s="669"/>
      <c r="N151" s="576">
        <f t="shared" si="35"/>
        <v>0</v>
      </c>
      <c r="O151" s="577">
        <f t="shared" si="18"/>
        <v>0</v>
      </c>
      <c r="P151" s="578">
        <f t="shared" si="19"/>
        <v>0</v>
      </c>
      <c r="Q151" s="765"/>
      <c r="R151" s="669"/>
      <c r="S151" s="670"/>
      <c r="T151" s="577">
        <f t="shared" si="21"/>
        <v>0</v>
      </c>
      <c r="U151" s="578">
        <f t="shared" si="22"/>
        <v>0</v>
      </c>
      <c r="V151" s="579"/>
      <c r="W151" s="637" t="str">
        <f>IF(U150&gt;0,"xx",IF(P150&gt;0,"xy",""))</f>
        <v/>
      </c>
      <c r="X151" s="586" t="str">
        <f t="shared" si="23"/>
        <v/>
      </c>
      <c r="Y151" s="586" t="str">
        <f t="shared" si="33"/>
        <v/>
      </c>
      <c r="Z151" s="586" t="str">
        <f t="shared" si="17"/>
        <v/>
      </c>
    </row>
    <row r="152" spans="1:26" ht="12" hidden="1" thickBot="1" x14ac:dyDescent="0.25">
      <c r="A152" s="567" t="s">
        <v>168</v>
      </c>
      <c r="B152" s="644" t="s">
        <v>168</v>
      </c>
      <c r="C152" s="645"/>
      <c r="D152" s="451" t="s">
        <v>213</v>
      </c>
      <c r="E152" s="423"/>
      <c r="F152" s="418">
        <v>15</v>
      </c>
      <c r="G152" s="425">
        <v>1.762</v>
      </c>
      <c r="H152" s="649">
        <f t="shared" ref="H152" si="37">IF(F152&lt;=30,(1.07*F152+2.68)*G152,((1.07*30+2.68)+1.07*(F152-30))*G152)</f>
        <v>33.00226</v>
      </c>
      <c r="I152" s="420">
        <v>0</v>
      </c>
      <c r="J152" s="420"/>
      <c r="K152" s="421">
        <f t="shared" si="26"/>
        <v>0</v>
      </c>
      <c r="L152" s="647" t="s">
        <v>614</v>
      </c>
      <c r="M152" s="669"/>
      <c r="N152" s="576">
        <f t="shared" si="35"/>
        <v>0</v>
      </c>
      <c r="O152" s="577">
        <f t="shared" si="18"/>
        <v>0</v>
      </c>
      <c r="P152" s="578">
        <f t="shared" si="19"/>
        <v>0</v>
      </c>
      <c r="Q152" s="765"/>
      <c r="R152" s="669"/>
      <c r="S152" s="670"/>
      <c r="T152" s="577">
        <f t="shared" si="21"/>
        <v>0</v>
      </c>
      <c r="U152" s="578">
        <f t="shared" si="22"/>
        <v>0</v>
      </c>
      <c r="V152" s="579"/>
      <c r="W152" s="637" t="str">
        <f>IF(U150&gt;0,"xx",IF(P150&gt;0,"xy",""))</f>
        <v/>
      </c>
      <c r="X152" s="586" t="str">
        <f t="shared" si="23"/>
        <v/>
      </c>
      <c r="Y152" s="586" t="str">
        <f t="shared" si="33"/>
        <v/>
      </c>
      <c r="Z152" s="586" t="str">
        <f t="shared" si="17"/>
        <v/>
      </c>
    </row>
    <row r="153" spans="1:26" ht="12" hidden="1" thickBot="1" x14ac:dyDescent="0.25">
      <c r="A153" s="567">
        <v>546000</v>
      </c>
      <c r="B153" s="644">
        <v>546000</v>
      </c>
      <c r="C153" s="645" t="s">
        <v>206</v>
      </c>
      <c r="D153" s="422" t="s">
        <v>1904</v>
      </c>
      <c r="E153" s="423"/>
      <c r="F153" s="418"/>
      <c r="G153" s="425"/>
      <c r="H153" s="667">
        <f>SUM(H154:H155)</f>
        <v>74.454949999999997</v>
      </c>
      <c r="I153" s="420">
        <v>100.75</v>
      </c>
      <c r="J153" s="420">
        <f>IF(ISBLANK(I153),"",SUM(H153:I153))</f>
        <v>175.20495</v>
      </c>
      <c r="K153" s="421">
        <f t="shared" si="26"/>
        <v>208.16</v>
      </c>
      <c r="L153" s="647" t="s">
        <v>16</v>
      </c>
      <c r="M153" s="576"/>
      <c r="N153" s="576">
        <f t="shared" si="35"/>
        <v>0</v>
      </c>
      <c r="O153" s="577">
        <f t="shared" si="18"/>
        <v>0</v>
      </c>
      <c r="P153" s="578">
        <f t="shared" si="19"/>
        <v>0</v>
      </c>
      <c r="Q153" s="765"/>
      <c r="R153" s="576">
        <f t="shared" si="20"/>
        <v>0</v>
      </c>
      <c r="S153" s="576">
        <f t="shared" si="20"/>
        <v>0</v>
      </c>
      <c r="T153" s="577">
        <f t="shared" si="21"/>
        <v>0</v>
      </c>
      <c r="U153" s="578">
        <f t="shared" si="22"/>
        <v>0</v>
      </c>
      <c r="V153" s="579"/>
      <c r="W153" s="566"/>
      <c r="X153" s="586" t="str">
        <f t="shared" si="23"/>
        <v/>
      </c>
      <c r="Y153" s="586" t="str">
        <f t="shared" si="33"/>
        <v/>
      </c>
      <c r="Z153" s="586" t="str">
        <f t="shared" si="17"/>
        <v/>
      </c>
    </row>
    <row r="154" spans="1:26" ht="12" hidden="1" thickBot="1" x14ac:dyDescent="0.25">
      <c r="A154" s="567" t="s">
        <v>168</v>
      </c>
      <c r="B154" s="644" t="s">
        <v>168</v>
      </c>
      <c r="C154" s="645"/>
      <c r="D154" s="451" t="s">
        <v>212</v>
      </c>
      <c r="E154" s="423"/>
      <c r="F154" s="424">
        <v>500</v>
      </c>
      <c r="G154" s="425">
        <v>0.105</v>
      </c>
      <c r="H154" s="649">
        <f>IF(F154&lt;=30,(0.78*F154+7.82)*G154,((0.78*30+7.82)+0.78*(F154-30))*G154)</f>
        <v>41.771100000000004</v>
      </c>
      <c r="I154" s="420"/>
      <c r="J154" s="420"/>
      <c r="K154" s="421">
        <f t="shared" si="26"/>
        <v>0</v>
      </c>
      <c r="L154" s="647" t="s">
        <v>614</v>
      </c>
      <c r="M154" s="669"/>
      <c r="N154" s="576">
        <f t="shared" si="35"/>
        <v>0</v>
      </c>
      <c r="O154" s="577">
        <f t="shared" si="18"/>
        <v>0</v>
      </c>
      <c r="P154" s="578">
        <f t="shared" si="19"/>
        <v>0</v>
      </c>
      <c r="Q154" s="765"/>
      <c r="R154" s="669"/>
      <c r="S154" s="670"/>
      <c r="T154" s="577">
        <f t="shared" si="21"/>
        <v>0</v>
      </c>
      <c r="U154" s="578">
        <f t="shared" si="22"/>
        <v>0</v>
      </c>
      <c r="V154" s="579"/>
      <c r="W154" s="637" t="str">
        <f>IF(U153&gt;0,"xx",IF(P153&gt;0,"xy",""))</f>
        <v/>
      </c>
      <c r="X154" s="586" t="str">
        <f t="shared" si="23"/>
        <v/>
      </c>
      <c r="Y154" s="586" t="str">
        <f t="shared" si="33"/>
        <v/>
      </c>
      <c r="Z154" s="586" t="str">
        <f t="shared" si="17"/>
        <v/>
      </c>
    </row>
    <row r="155" spans="1:26" ht="12" hidden="1" thickBot="1" x14ac:dyDescent="0.25">
      <c r="A155" s="567" t="s">
        <v>168</v>
      </c>
      <c r="B155" s="644" t="s">
        <v>168</v>
      </c>
      <c r="C155" s="645"/>
      <c r="D155" s="451" t="s">
        <v>213</v>
      </c>
      <c r="E155" s="423"/>
      <c r="F155" s="418">
        <v>15</v>
      </c>
      <c r="G155" s="425">
        <v>1.7450000000000001</v>
      </c>
      <c r="H155" s="649">
        <f t="shared" ref="H155" si="38">IF(F155&lt;=30,(1.07*F155+2.68)*G155,((1.07*30+2.68)+1.07*(F155-30))*G155)</f>
        <v>32.68385</v>
      </c>
      <c r="I155" s="420"/>
      <c r="J155" s="420"/>
      <c r="K155" s="421">
        <f t="shared" si="26"/>
        <v>0</v>
      </c>
      <c r="L155" s="647" t="s">
        <v>614</v>
      </c>
      <c r="M155" s="669"/>
      <c r="N155" s="576">
        <f t="shared" si="35"/>
        <v>0</v>
      </c>
      <c r="O155" s="577">
        <f t="shared" si="18"/>
        <v>0</v>
      </c>
      <c r="P155" s="578">
        <f t="shared" si="19"/>
        <v>0</v>
      </c>
      <c r="Q155" s="765"/>
      <c r="R155" s="669"/>
      <c r="S155" s="670"/>
      <c r="T155" s="577">
        <f t="shared" si="21"/>
        <v>0</v>
      </c>
      <c r="U155" s="578">
        <f t="shared" si="22"/>
        <v>0</v>
      </c>
      <c r="V155" s="579"/>
      <c r="W155" s="637" t="str">
        <f>IF(U153&gt;0,"xx",IF(P153&gt;0,"xy",""))</f>
        <v/>
      </c>
      <c r="X155" s="586" t="str">
        <f t="shared" si="23"/>
        <v/>
      </c>
      <c r="Y155" s="586" t="str">
        <f t="shared" si="33"/>
        <v/>
      </c>
      <c r="Z155" s="586" t="str">
        <f t="shared" si="17"/>
        <v/>
      </c>
    </row>
    <row r="156" spans="1:26" ht="12" hidden="1" thickBot="1" x14ac:dyDescent="0.25">
      <c r="A156" s="567">
        <v>547000</v>
      </c>
      <c r="B156" s="644">
        <v>547000</v>
      </c>
      <c r="C156" s="645" t="s">
        <v>206</v>
      </c>
      <c r="D156" s="422" t="s">
        <v>1905</v>
      </c>
      <c r="E156" s="423"/>
      <c r="F156" s="418"/>
      <c r="G156" s="425"/>
      <c r="H156" s="667">
        <f>SUM(H157:H158)</f>
        <v>80.501660000000001</v>
      </c>
      <c r="I156" s="420">
        <v>113.74000000000001</v>
      </c>
      <c r="J156" s="420">
        <f>IF(ISBLANK(I156),"",SUM(H156:I156))</f>
        <v>194.24166000000002</v>
      </c>
      <c r="K156" s="421">
        <f t="shared" si="26"/>
        <v>230.78</v>
      </c>
      <c r="L156" s="647" t="s">
        <v>16</v>
      </c>
      <c r="M156" s="576"/>
      <c r="N156" s="576">
        <f t="shared" si="35"/>
        <v>0</v>
      </c>
      <c r="O156" s="577">
        <f t="shared" si="18"/>
        <v>0</v>
      </c>
      <c r="P156" s="578">
        <f t="shared" si="19"/>
        <v>0</v>
      </c>
      <c r="Q156" s="765"/>
      <c r="R156" s="576">
        <f t="shared" si="20"/>
        <v>0</v>
      </c>
      <c r="S156" s="576">
        <f t="shared" si="20"/>
        <v>0</v>
      </c>
      <c r="T156" s="577">
        <f t="shared" si="21"/>
        <v>0</v>
      </c>
      <c r="U156" s="578">
        <f t="shared" si="22"/>
        <v>0</v>
      </c>
      <c r="V156" s="579"/>
      <c r="W156" s="566"/>
      <c r="X156" s="586" t="str">
        <f t="shared" si="23"/>
        <v/>
      </c>
      <c r="Y156" s="586" t="str">
        <f t="shared" si="33"/>
        <v/>
      </c>
      <c r="Z156" s="586" t="str">
        <f t="shared" ref="Z156:Z220" si="39">IF(W156="X","x",IF(U156&gt;0,"x",""))</f>
        <v/>
      </c>
    </row>
    <row r="157" spans="1:26" ht="12" hidden="1" thickBot="1" x14ac:dyDescent="0.25">
      <c r="A157" s="567" t="s">
        <v>168</v>
      </c>
      <c r="B157" s="644" t="s">
        <v>168</v>
      </c>
      <c r="C157" s="645"/>
      <c r="D157" s="451" t="s">
        <v>212</v>
      </c>
      <c r="E157" s="423"/>
      <c r="F157" s="424">
        <v>500</v>
      </c>
      <c r="G157" s="425">
        <v>0.121</v>
      </c>
      <c r="H157" s="649">
        <f>IF(F157&lt;=30,(0.78*F157+7.82)*G157,((0.78*30+7.82)+0.78*(F157-30))*G157)</f>
        <v>48.136220000000002</v>
      </c>
      <c r="I157" s="420"/>
      <c r="J157" s="420"/>
      <c r="K157" s="421">
        <f t="shared" si="26"/>
        <v>0</v>
      </c>
      <c r="L157" s="647" t="s">
        <v>614</v>
      </c>
      <c r="M157" s="669"/>
      <c r="N157" s="576">
        <f t="shared" si="35"/>
        <v>0</v>
      </c>
      <c r="O157" s="577">
        <f t="shared" si="18"/>
        <v>0</v>
      </c>
      <c r="P157" s="578">
        <f t="shared" si="19"/>
        <v>0</v>
      </c>
      <c r="Q157" s="765"/>
      <c r="R157" s="669"/>
      <c r="S157" s="670"/>
      <c r="T157" s="577">
        <f t="shared" si="21"/>
        <v>0</v>
      </c>
      <c r="U157" s="578">
        <f t="shared" si="22"/>
        <v>0</v>
      </c>
      <c r="V157" s="579"/>
      <c r="W157" s="637" t="str">
        <f>IF(U156&gt;0,"xx",IF(P156&gt;0,"xy",""))</f>
        <v/>
      </c>
      <c r="X157" s="586" t="str">
        <f t="shared" si="23"/>
        <v/>
      </c>
      <c r="Y157" s="586" t="str">
        <f t="shared" si="33"/>
        <v/>
      </c>
      <c r="Z157" s="586" t="str">
        <f t="shared" si="39"/>
        <v/>
      </c>
    </row>
    <row r="158" spans="1:26" ht="12" hidden="1" thickBot="1" x14ac:dyDescent="0.25">
      <c r="A158" s="567" t="s">
        <v>168</v>
      </c>
      <c r="B158" s="644" t="s">
        <v>168</v>
      </c>
      <c r="C158" s="645"/>
      <c r="D158" s="451" t="s">
        <v>213</v>
      </c>
      <c r="E158" s="423"/>
      <c r="F158" s="418">
        <v>15</v>
      </c>
      <c r="G158" s="425">
        <v>1.728</v>
      </c>
      <c r="H158" s="649">
        <f t="shared" ref="H158" si="40">IF(F158&lt;=30,(1.07*F158+2.68)*G158,((1.07*30+2.68)+1.07*(F158-30))*G158)</f>
        <v>32.36544</v>
      </c>
      <c r="I158" s="420"/>
      <c r="J158" s="420"/>
      <c r="K158" s="421">
        <f t="shared" si="26"/>
        <v>0</v>
      </c>
      <c r="L158" s="647" t="s">
        <v>614</v>
      </c>
      <c r="M158" s="669"/>
      <c r="N158" s="576">
        <f t="shared" si="35"/>
        <v>0</v>
      </c>
      <c r="O158" s="577">
        <f t="shared" si="18"/>
        <v>0</v>
      </c>
      <c r="P158" s="578">
        <f t="shared" si="19"/>
        <v>0</v>
      </c>
      <c r="Q158" s="765"/>
      <c r="R158" s="669"/>
      <c r="S158" s="670"/>
      <c r="T158" s="577">
        <f t="shared" si="21"/>
        <v>0</v>
      </c>
      <c r="U158" s="578">
        <f t="shared" si="22"/>
        <v>0</v>
      </c>
      <c r="V158" s="579"/>
      <c r="W158" s="637" t="str">
        <f>IF(U156&gt;0,"xx",IF(P156&gt;0,"xy",""))</f>
        <v/>
      </c>
      <c r="X158" s="586" t="str">
        <f t="shared" si="23"/>
        <v/>
      </c>
      <c r="Y158" s="586" t="str">
        <f t="shared" si="33"/>
        <v/>
      </c>
      <c r="Z158" s="586" t="str">
        <f t="shared" si="39"/>
        <v/>
      </c>
    </row>
    <row r="159" spans="1:26" ht="12" hidden="1" thickBot="1" x14ac:dyDescent="0.25">
      <c r="A159" s="567">
        <v>542100</v>
      </c>
      <c r="B159" s="644">
        <v>542100</v>
      </c>
      <c r="C159" s="645" t="s">
        <v>206</v>
      </c>
      <c r="D159" s="422" t="s">
        <v>1906</v>
      </c>
      <c r="E159" s="423"/>
      <c r="F159" s="418"/>
      <c r="G159" s="425"/>
      <c r="H159" s="667">
        <f>SUM(H160:H162)</f>
        <v>55.101230000000001</v>
      </c>
      <c r="I159" s="420">
        <v>61.81</v>
      </c>
      <c r="J159" s="420">
        <f>IF(ISBLANK(I159),"",SUM(H159:I159))</f>
        <v>116.91123</v>
      </c>
      <c r="K159" s="421">
        <f t="shared" si="26"/>
        <v>138.9</v>
      </c>
      <c r="L159" s="647" t="s">
        <v>16</v>
      </c>
      <c r="M159" s="576"/>
      <c r="N159" s="576">
        <f t="shared" si="35"/>
        <v>0</v>
      </c>
      <c r="O159" s="577">
        <f t="shared" ref="O159:O223" si="41">IF(ISBLANK(M159),0,ROUND(K159*M159,2))</f>
        <v>0</v>
      </c>
      <c r="P159" s="578">
        <f t="shared" ref="P159:P223" si="42">IF(ISBLANK(N159),0,ROUND(M159*N159,2))</f>
        <v>0</v>
      </c>
      <c r="Q159" s="765"/>
      <c r="R159" s="576">
        <f t="shared" ref="R159:S223" si="43">M159</f>
        <v>0</v>
      </c>
      <c r="S159" s="576">
        <f t="shared" si="43"/>
        <v>0</v>
      </c>
      <c r="T159" s="577">
        <f t="shared" ref="T159:T223" si="44">IF(ISBLANK(R159),0,ROUND(K159*R159,2))</f>
        <v>0</v>
      </c>
      <c r="U159" s="578">
        <f t="shared" ref="U159:U223" si="45">IF(ISBLANK(R159),0,ROUND(R159*S159,2))</f>
        <v>0</v>
      </c>
      <c r="V159" s="579"/>
      <c r="W159" s="566"/>
      <c r="X159" s="586" t="str">
        <f t="shared" si="23"/>
        <v/>
      </c>
      <c r="Y159" s="586" t="str">
        <f t="shared" si="33"/>
        <v/>
      </c>
      <c r="Z159" s="586" t="str">
        <f t="shared" si="39"/>
        <v/>
      </c>
    </row>
    <row r="160" spans="1:26" ht="12" hidden="1" thickBot="1" x14ac:dyDescent="0.25">
      <c r="A160" s="567" t="s">
        <v>168</v>
      </c>
      <c r="B160" s="644" t="s">
        <v>168</v>
      </c>
      <c r="C160" s="645"/>
      <c r="D160" s="451" t="s">
        <v>212</v>
      </c>
      <c r="E160" s="423"/>
      <c r="F160" s="424">
        <v>500</v>
      </c>
      <c r="G160" s="425">
        <v>3.6999999999999998E-2</v>
      </c>
      <c r="H160" s="649">
        <f>IF(F160&lt;=30,(0.78*F160+7.82)*G160,((0.78*30+7.82)+0.78*(F160-30))*G160)</f>
        <v>14.719340000000001</v>
      </c>
      <c r="I160" s="420"/>
      <c r="J160" s="420"/>
      <c r="K160" s="421">
        <f t="shared" si="26"/>
        <v>0</v>
      </c>
      <c r="L160" s="647" t="s">
        <v>614</v>
      </c>
      <c r="M160" s="669"/>
      <c r="N160" s="576">
        <f t="shared" si="35"/>
        <v>0</v>
      </c>
      <c r="O160" s="577">
        <f t="shared" si="41"/>
        <v>0</v>
      </c>
      <c r="P160" s="578">
        <f t="shared" si="42"/>
        <v>0</v>
      </c>
      <c r="Q160" s="765"/>
      <c r="R160" s="669"/>
      <c r="S160" s="670"/>
      <c r="T160" s="577">
        <f t="shared" si="44"/>
        <v>0</v>
      </c>
      <c r="U160" s="578">
        <f t="shared" si="45"/>
        <v>0</v>
      </c>
      <c r="V160" s="579"/>
      <c r="W160" s="637" t="str">
        <f>IF(U159&gt;0,"xx",IF(P159&gt;0,"xy",""))</f>
        <v/>
      </c>
      <c r="X160" s="586" t="str">
        <f t="shared" si="23"/>
        <v/>
      </c>
      <c r="Y160" s="586" t="str">
        <f t="shared" si="33"/>
        <v/>
      </c>
      <c r="Z160" s="586" t="str">
        <f t="shared" si="39"/>
        <v/>
      </c>
    </row>
    <row r="161" spans="1:26" ht="12" hidden="1" thickBot="1" x14ac:dyDescent="0.25">
      <c r="A161" s="567" t="s">
        <v>168</v>
      </c>
      <c r="B161" s="644" t="s">
        <v>168</v>
      </c>
      <c r="C161" s="645"/>
      <c r="D161" s="451" t="s">
        <v>213</v>
      </c>
      <c r="E161" s="423"/>
      <c r="F161" s="418">
        <v>10</v>
      </c>
      <c r="G161" s="425">
        <v>1.9</v>
      </c>
      <c r="H161" s="649">
        <f t="shared" ref="H161:H162" si="46">IF(F161&lt;=30,(1.07*F161+2.68)*G161,((1.07*30+2.68)+1.07*(F161-30))*G161)</f>
        <v>25.422000000000001</v>
      </c>
      <c r="I161" s="420"/>
      <c r="J161" s="420"/>
      <c r="K161" s="421">
        <f t="shared" si="26"/>
        <v>0</v>
      </c>
      <c r="L161" s="647" t="s">
        <v>614</v>
      </c>
      <c r="M161" s="669"/>
      <c r="N161" s="576">
        <f t="shared" si="35"/>
        <v>0</v>
      </c>
      <c r="O161" s="577">
        <f t="shared" si="41"/>
        <v>0</v>
      </c>
      <c r="P161" s="578">
        <f t="shared" si="42"/>
        <v>0</v>
      </c>
      <c r="Q161" s="765"/>
      <c r="R161" s="669"/>
      <c r="S161" s="670"/>
      <c r="T161" s="577">
        <f t="shared" si="44"/>
        <v>0</v>
      </c>
      <c r="U161" s="578">
        <f t="shared" si="45"/>
        <v>0</v>
      </c>
      <c r="V161" s="579"/>
      <c r="W161" s="637" t="str">
        <f>IF(U159&gt;0,"xx",IF(P159&gt;0,"xy",""))</f>
        <v/>
      </c>
      <c r="X161" s="586" t="str">
        <f t="shared" ref="X161:X225" si="47">IF(W161="X","x",IF(W161="xx","x",IF(W161="xy","x",IF(W161="y","x",IF(OR(P161&gt;0,U161&gt;0),"x","")))))</f>
        <v/>
      </c>
      <c r="Y161" s="586" t="str">
        <f t="shared" si="33"/>
        <v/>
      </c>
      <c r="Z161" s="586" t="str">
        <f t="shared" si="39"/>
        <v/>
      </c>
    </row>
    <row r="162" spans="1:26" ht="12" hidden="1" thickBot="1" x14ac:dyDescent="0.25">
      <c r="A162" s="567" t="s">
        <v>168</v>
      </c>
      <c r="B162" s="644" t="s">
        <v>168</v>
      </c>
      <c r="C162" s="645"/>
      <c r="D162" s="451" t="s">
        <v>214</v>
      </c>
      <c r="E162" s="423"/>
      <c r="F162" s="418">
        <v>5</v>
      </c>
      <c r="G162" s="425">
        <v>1.863</v>
      </c>
      <c r="H162" s="649">
        <f t="shared" si="46"/>
        <v>14.959890000000001</v>
      </c>
      <c r="I162" s="420"/>
      <c r="J162" s="420"/>
      <c r="K162" s="421">
        <f t="shared" si="26"/>
        <v>0</v>
      </c>
      <c r="L162" s="647" t="s">
        <v>614</v>
      </c>
      <c r="M162" s="669"/>
      <c r="N162" s="576">
        <f t="shared" si="35"/>
        <v>0</v>
      </c>
      <c r="O162" s="577">
        <f t="shared" si="41"/>
        <v>0</v>
      </c>
      <c r="P162" s="578">
        <f t="shared" si="42"/>
        <v>0</v>
      </c>
      <c r="Q162" s="765"/>
      <c r="R162" s="669"/>
      <c r="S162" s="670"/>
      <c r="T162" s="577">
        <f t="shared" si="44"/>
        <v>0</v>
      </c>
      <c r="U162" s="578">
        <f t="shared" si="45"/>
        <v>0</v>
      </c>
      <c r="V162" s="579"/>
      <c r="W162" s="637" t="str">
        <f>IF($U$141&gt;0,"xx",IF($P$141&gt;0,"xy",""))</f>
        <v/>
      </c>
      <c r="X162" s="586" t="str">
        <f t="shared" si="47"/>
        <v/>
      </c>
      <c r="Y162" s="586" t="str">
        <f t="shared" si="33"/>
        <v/>
      </c>
      <c r="Z162" s="586" t="str">
        <f t="shared" si="39"/>
        <v/>
      </c>
    </row>
    <row r="163" spans="1:26" ht="12" hidden="1" thickBot="1" x14ac:dyDescent="0.25">
      <c r="A163" s="567">
        <v>543100</v>
      </c>
      <c r="B163" s="644">
        <v>543100</v>
      </c>
      <c r="C163" s="645" t="s">
        <v>206</v>
      </c>
      <c r="D163" s="422" t="s">
        <v>1907</v>
      </c>
      <c r="E163" s="423"/>
      <c r="F163" s="418"/>
      <c r="G163" s="425"/>
      <c r="H163" s="667">
        <f>SUM(H164:H166)</f>
        <v>62.117450000000005</v>
      </c>
      <c r="I163" s="420">
        <v>72.209999999999994</v>
      </c>
      <c r="J163" s="420">
        <f>IF(ISBLANK(I163),"",SUM(H163:I163))</f>
        <v>134.32745</v>
      </c>
      <c r="K163" s="421">
        <f t="shared" si="26"/>
        <v>159.59</v>
      </c>
      <c r="L163" s="647" t="s">
        <v>16</v>
      </c>
      <c r="M163" s="576"/>
      <c r="N163" s="576">
        <f t="shared" si="35"/>
        <v>0</v>
      </c>
      <c r="O163" s="577">
        <f t="shared" si="41"/>
        <v>0</v>
      </c>
      <c r="P163" s="578">
        <f t="shared" si="42"/>
        <v>0</v>
      </c>
      <c r="Q163" s="765"/>
      <c r="R163" s="576">
        <f t="shared" si="43"/>
        <v>0</v>
      </c>
      <c r="S163" s="576">
        <f t="shared" si="43"/>
        <v>0</v>
      </c>
      <c r="T163" s="577">
        <f t="shared" si="44"/>
        <v>0</v>
      </c>
      <c r="U163" s="578">
        <f t="shared" si="45"/>
        <v>0</v>
      </c>
      <c r="V163" s="579"/>
      <c r="W163" s="566"/>
      <c r="X163" s="586" t="str">
        <f t="shared" si="47"/>
        <v/>
      </c>
      <c r="Y163" s="586" t="str">
        <f t="shared" si="33"/>
        <v/>
      </c>
      <c r="Z163" s="586" t="str">
        <f t="shared" si="39"/>
        <v/>
      </c>
    </row>
    <row r="164" spans="1:26" ht="12" hidden="1" thickBot="1" x14ac:dyDescent="0.25">
      <c r="A164" s="567" t="s">
        <v>168</v>
      </c>
      <c r="B164" s="644" t="s">
        <v>168</v>
      </c>
      <c r="C164" s="645"/>
      <c r="D164" s="451" t="s">
        <v>212</v>
      </c>
      <c r="E164" s="423"/>
      <c r="F164" s="424">
        <v>500</v>
      </c>
      <c r="G164" s="425">
        <v>5.5E-2</v>
      </c>
      <c r="H164" s="649">
        <f>IF(F164&lt;=30,(0.78*F164+7.82)*G164,((0.78*30+7.82)+0.78*(F164-30))*G164)</f>
        <v>21.880100000000002</v>
      </c>
      <c r="I164" s="420"/>
      <c r="J164" s="420"/>
      <c r="K164" s="421">
        <f t="shared" si="26"/>
        <v>0</v>
      </c>
      <c r="L164" s="647" t="s">
        <v>614</v>
      </c>
      <c r="M164" s="669"/>
      <c r="N164" s="576">
        <f t="shared" si="35"/>
        <v>0</v>
      </c>
      <c r="O164" s="577">
        <f t="shared" si="41"/>
        <v>0</v>
      </c>
      <c r="P164" s="578">
        <f t="shared" si="42"/>
        <v>0</v>
      </c>
      <c r="Q164" s="765"/>
      <c r="R164" s="669"/>
      <c r="S164" s="670"/>
      <c r="T164" s="577">
        <f t="shared" si="44"/>
        <v>0</v>
      </c>
      <c r="U164" s="578">
        <f t="shared" si="45"/>
        <v>0</v>
      </c>
      <c r="V164" s="579"/>
      <c r="W164" s="637" t="str">
        <f>IF(U163&gt;0,"xx",IF(P163&gt;0,"xy",""))</f>
        <v/>
      </c>
      <c r="X164" s="586" t="str">
        <f t="shared" si="47"/>
        <v/>
      </c>
      <c r="Y164" s="586" t="str">
        <f t="shared" si="33"/>
        <v/>
      </c>
      <c r="Z164" s="586" t="str">
        <f t="shared" si="39"/>
        <v/>
      </c>
    </row>
    <row r="165" spans="1:26" ht="12" hidden="1" thickBot="1" x14ac:dyDescent="0.25">
      <c r="A165" s="567" t="s">
        <v>168</v>
      </c>
      <c r="B165" s="644" t="s">
        <v>168</v>
      </c>
      <c r="C165" s="645"/>
      <c r="D165" s="451" t="s">
        <v>213</v>
      </c>
      <c r="E165" s="423"/>
      <c r="F165" s="418">
        <v>10</v>
      </c>
      <c r="G165" s="425">
        <v>1.9</v>
      </c>
      <c r="H165" s="649">
        <f t="shared" ref="H165:H166" si="48">IF(F165&lt;=30,(1.07*F165+2.68)*G165,((1.07*30+2.68)+1.07*(F165-30))*G165)</f>
        <v>25.422000000000001</v>
      </c>
      <c r="I165" s="420"/>
      <c r="J165" s="420"/>
      <c r="K165" s="421">
        <f t="shared" si="26"/>
        <v>0</v>
      </c>
      <c r="L165" s="647" t="s">
        <v>614</v>
      </c>
      <c r="M165" s="669"/>
      <c r="N165" s="576">
        <f t="shared" si="35"/>
        <v>0</v>
      </c>
      <c r="O165" s="577">
        <f t="shared" si="41"/>
        <v>0</v>
      </c>
      <c r="P165" s="578">
        <f t="shared" si="42"/>
        <v>0</v>
      </c>
      <c r="Q165" s="765"/>
      <c r="R165" s="669"/>
      <c r="S165" s="670"/>
      <c r="T165" s="577">
        <f t="shared" si="44"/>
        <v>0</v>
      </c>
      <c r="U165" s="578">
        <f t="shared" si="45"/>
        <v>0</v>
      </c>
      <c r="V165" s="579"/>
      <c r="W165" s="637" t="str">
        <f>IF(U163&gt;0,"xx",IF(P163&gt;0,"xy",""))</f>
        <v/>
      </c>
      <c r="X165" s="586" t="str">
        <f t="shared" si="47"/>
        <v/>
      </c>
      <c r="Y165" s="586" t="str">
        <f t="shared" si="33"/>
        <v/>
      </c>
      <c r="Z165" s="586" t="str">
        <f t="shared" si="39"/>
        <v/>
      </c>
    </row>
    <row r="166" spans="1:26" ht="12" hidden="1" thickBot="1" x14ac:dyDescent="0.25">
      <c r="A166" s="567" t="s">
        <v>168</v>
      </c>
      <c r="B166" s="644" t="s">
        <v>168</v>
      </c>
      <c r="C166" s="645"/>
      <c r="D166" s="451" t="s">
        <v>214</v>
      </c>
      <c r="E166" s="423"/>
      <c r="F166" s="418">
        <v>5</v>
      </c>
      <c r="G166" s="425">
        <v>1.845</v>
      </c>
      <c r="H166" s="649">
        <f t="shared" si="48"/>
        <v>14.815350000000002</v>
      </c>
      <c r="I166" s="420"/>
      <c r="J166" s="420"/>
      <c r="K166" s="421">
        <f t="shared" si="26"/>
        <v>0</v>
      </c>
      <c r="L166" s="647" t="s">
        <v>614</v>
      </c>
      <c r="M166" s="669"/>
      <c r="N166" s="576">
        <f t="shared" si="35"/>
        <v>0</v>
      </c>
      <c r="O166" s="577">
        <f t="shared" si="41"/>
        <v>0</v>
      </c>
      <c r="P166" s="578">
        <f t="shared" si="42"/>
        <v>0</v>
      </c>
      <c r="Q166" s="765"/>
      <c r="R166" s="669"/>
      <c r="S166" s="670"/>
      <c r="T166" s="577">
        <f t="shared" si="44"/>
        <v>0</v>
      </c>
      <c r="U166" s="578">
        <f t="shared" si="45"/>
        <v>0</v>
      </c>
      <c r="V166" s="579"/>
      <c r="W166" s="637" t="str">
        <f>IF($U$141&gt;0,"xx",IF($P$141&gt;0,"xy",""))</f>
        <v/>
      </c>
      <c r="X166" s="586" t="str">
        <f t="shared" si="47"/>
        <v/>
      </c>
      <c r="Y166" s="586" t="str">
        <f t="shared" si="33"/>
        <v/>
      </c>
      <c r="Z166" s="586" t="str">
        <f t="shared" si="39"/>
        <v/>
      </c>
    </row>
    <row r="167" spans="1:26" ht="12" hidden="1" thickBot="1" x14ac:dyDescent="0.25">
      <c r="A167" s="567">
        <v>544100</v>
      </c>
      <c r="B167" s="644">
        <v>544100</v>
      </c>
      <c r="C167" s="645" t="s">
        <v>206</v>
      </c>
      <c r="D167" s="422" t="s">
        <v>1908</v>
      </c>
      <c r="E167" s="423"/>
      <c r="F167" s="418"/>
      <c r="G167" s="425"/>
      <c r="H167" s="667">
        <f>SUM(H168:H170)</f>
        <v>67.283590000000004</v>
      </c>
      <c r="I167" s="420">
        <v>74.149999999999991</v>
      </c>
      <c r="J167" s="420">
        <f>IF(ISBLANK(I167),"",SUM(H167:I167))</f>
        <v>141.43358999999998</v>
      </c>
      <c r="K167" s="421">
        <f t="shared" si="26"/>
        <v>168.04</v>
      </c>
      <c r="L167" s="647" t="s">
        <v>16</v>
      </c>
      <c r="M167" s="576"/>
      <c r="N167" s="576">
        <f t="shared" si="35"/>
        <v>0</v>
      </c>
      <c r="O167" s="577">
        <f t="shared" si="41"/>
        <v>0</v>
      </c>
      <c r="P167" s="578">
        <f t="shared" si="42"/>
        <v>0</v>
      </c>
      <c r="Q167" s="765"/>
      <c r="R167" s="576">
        <f t="shared" si="43"/>
        <v>0</v>
      </c>
      <c r="S167" s="576">
        <f t="shared" si="43"/>
        <v>0</v>
      </c>
      <c r="T167" s="577">
        <f t="shared" si="44"/>
        <v>0</v>
      </c>
      <c r="U167" s="578">
        <f t="shared" si="45"/>
        <v>0</v>
      </c>
      <c r="V167" s="579"/>
      <c r="W167" s="566"/>
      <c r="X167" s="586" t="str">
        <f t="shared" si="47"/>
        <v/>
      </c>
      <c r="Y167" s="586" t="str">
        <f t="shared" si="33"/>
        <v/>
      </c>
      <c r="Z167" s="586" t="str">
        <f t="shared" si="39"/>
        <v/>
      </c>
    </row>
    <row r="168" spans="1:26" ht="12" hidden="1" thickBot="1" x14ac:dyDescent="0.25">
      <c r="A168" s="567" t="s">
        <v>168</v>
      </c>
      <c r="B168" s="644" t="s">
        <v>168</v>
      </c>
      <c r="C168" s="645"/>
      <c r="D168" s="451" t="s">
        <v>212</v>
      </c>
      <c r="E168" s="423"/>
      <c r="F168" s="424">
        <v>500</v>
      </c>
      <c r="G168" s="425">
        <v>7.0999999999999994E-2</v>
      </c>
      <c r="H168" s="649">
        <f>IF(F168&lt;=30,(0.78*F168+7.82)*G168,((0.78*30+7.82)+0.78*(F168-30))*G168)</f>
        <v>28.24522</v>
      </c>
      <c r="I168" s="420"/>
      <c r="J168" s="420"/>
      <c r="K168" s="421">
        <f t="shared" si="26"/>
        <v>0</v>
      </c>
      <c r="L168" s="647" t="s">
        <v>614</v>
      </c>
      <c r="M168" s="669"/>
      <c r="N168" s="576">
        <f t="shared" si="35"/>
        <v>0</v>
      </c>
      <c r="O168" s="577">
        <f t="shared" si="41"/>
        <v>0</v>
      </c>
      <c r="P168" s="578">
        <f t="shared" si="42"/>
        <v>0</v>
      </c>
      <c r="Q168" s="765"/>
      <c r="R168" s="669"/>
      <c r="S168" s="670"/>
      <c r="T168" s="577">
        <f t="shared" si="44"/>
        <v>0</v>
      </c>
      <c r="U168" s="578">
        <f t="shared" si="45"/>
        <v>0</v>
      </c>
      <c r="V168" s="579"/>
      <c r="W168" s="637" t="str">
        <f>IF(U167&gt;0,"xx",IF(P167&gt;0,"xy",""))</f>
        <v/>
      </c>
      <c r="X168" s="586" t="str">
        <f t="shared" si="47"/>
        <v/>
      </c>
      <c r="Y168" s="586" t="str">
        <f t="shared" si="33"/>
        <v/>
      </c>
      <c r="Z168" s="586" t="str">
        <f t="shared" si="39"/>
        <v/>
      </c>
    </row>
    <row r="169" spans="1:26" ht="12" hidden="1" thickBot="1" x14ac:dyDescent="0.25">
      <c r="A169" s="567" t="s">
        <v>168</v>
      </c>
      <c r="B169" s="644" t="s">
        <v>168</v>
      </c>
      <c r="C169" s="645"/>
      <c r="D169" s="451" t="s">
        <v>213</v>
      </c>
      <c r="E169" s="423"/>
      <c r="F169" s="418">
        <v>10</v>
      </c>
      <c r="G169" s="425">
        <v>1.85</v>
      </c>
      <c r="H169" s="649">
        <f t="shared" ref="H169:H170" si="49">IF(F169&lt;=30,(1.07*F169+2.68)*G169,((1.07*30+2.68)+1.07*(F169-30))*G169)</f>
        <v>24.753000000000004</v>
      </c>
      <c r="I169" s="420"/>
      <c r="J169" s="420"/>
      <c r="K169" s="421">
        <f t="shared" si="26"/>
        <v>0</v>
      </c>
      <c r="L169" s="647" t="s">
        <v>614</v>
      </c>
      <c r="M169" s="669"/>
      <c r="N169" s="576">
        <f t="shared" si="35"/>
        <v>0</v>
      </c>
      <c r="O169" s="577">
        <f t="shared" si="41"/>
        <v>0</v>
      </c>
      <c r="P169" s="578">
        <f t="shared" si="42"/>
        <v>0</v>
      </c>
      <c r="Q169" s="765"/>
      <c r="R169" s="669"/>
      <c r="S169" s="670"/>
      <c r="T169" s="577">
        <f t="shared" si="44"/>
        <v>0</v>
      </c>
      <c r="U169" s="578">
        <f t="shared" si="45"/>
        <v>0</v>
      </c>
      <c r="V169" s="579"/>
      <c r="W169" s="637" t="str">
        <f>IF(U167&gt;0,"xx",IF(P167&gt;0,"xy",""))</f>
        <v/>
      </c>
      <c r="X169" s="586" t="str">
        <f t="shared" si="47"/>
        <v/>
      </c>
      <c r="Y169" s="586" t="str">
        <f t="shared" si="33"/>
        <v/>
      </c>
      <c r="Z169" s="586" t="str">
        <f t="shared" si="39"/>
        <v/>
      </c>
    </row>
    <row r="170" spans="1:26" ht="12" hidden="1" thickBot="1" x14ac:dyDescent="0.25">
      <c r="A170" s="567" t="s">
        <v>168</v>
      </c>
      <c r="B170" s="644" t="s">
        <v>168</v>
      </c>
      <c r="C170" s="645"/>
      <c r="D170" s="451" t="s">
        <v>214</v>
      </c>
      <c r="E170" s="423"/>
      <c r="F170" s="418">
        <v>5</v>
      </c>
      <c r="G170" s="425">
        <v>1.7789999999999999</v>
      </c>
      <c r="H170" s="649">
        <f t="shared" si="49"/>
        <v>14.285370000000002</v>
      </c>
      <c r="I170" s="420"/>
      <c r="J170" s="420"/>
      <c r="K170" s="421">
        <f t="shared" si="26"/>
        <v>0</v>
      </c>
      <c r="L170" s="647" t="s">
        <v>614</v>
      </c>
      <c r="M170" s="669"/>
      <c r="N170" s="576">
        <f t="shared" si="35"/>
        <v>0</v>
      </c>
      <c r="O170" s="577">
        <f t="shared" si="41"/>
        <v>0</v>
      </c>
      <c r="P170" s="578">
        <f t="shared" si="42"/>
        <v>0</v>
      </c>
      <c r="Q170" s="765"/>
      <c r="R170" s="669"/>
      <c r="S170" s="670"/>
      <c r="T170" s="577">
        <f t="shared" si="44"/>
        <v>0</v>
      </c>
      <c r="U170" s="578">
        <f t="shared" si="45"/>
        <v>0</v>
      </c>
      <c r="V170" s="579"/>
      <c r="W170" s="637" t="str">
        <f>IF($U$141&gt;0,"xx",IF($P$141&gt;0,"xy",""))</f>
        <v/>
      </c>
      <c r="X170" s="586" t="str">
        <f t="shared" si="47"/>
        <v/>
      </c>
      <c r="Y170" s="586" t="str">
        <f t="shared" si="33"/>
        <v/>
      </c>
      <c r="Z170" s="586" t="str">
        <f t="shared" si="39"/>
        <v/>
      </c>
    </row>
    <row r="171" spans="1:26" ht="12" hidden="1" thickBot="1" x14ac:dyDescent="0.25">
      <c r="A171" s="567">
        <v>545100</v>
      </c>
      <c r="B171" s="644">
        <v>545100</v>
      </c>
      <c r="C171" s="645" t="s">
        <v>206</v>
      </c>
      <c r="D171" s="422" t="s">
        <v>1909</v>
      </c>
      <c r="E171" s="423"/>
      <c r="F171" s="418"/>
      <c r="G171" s="425"/>
      <c r="H171" s="667">
        <f>SUM(H172:H174)</f>
        <v>73.910020000000003</v>
      </c>
      <c r="I171" s="420">
        <v>83.97999999999999</v>
      </c>
      <c r="J171" s="420">
        <f>IF(ISBLANK(I171),"",SUM(H171:I171))</f>
        <v>157.89001999999999</v>
      </c>
      <c r="K171" s="421">
        <f t="shared" si="26"/>
        <v>187.59</v>
      </c>
      <c r="L171" s="647" t="s">
        <v>16</v>
      </c>
      <c r="M171" s="576"/>
      <c r="N171" s="576">
        <f t="shared" si="35"/>
        <v>0</v>
      </c>
      <c r="O171" s="577">
        <f t="shared" si="41"/>
        <v>0</v>
      </c>
      <c r="P171" s="578">
        <f t="shared" si="42"/>
        <v>0</v>
      </c>
      <c r="Q171" s="765"/>
      <c r="R171" s="576">
        <f t="shared" si="43"/>
        <v>0</v>
      </c>
      <c r="S171" s="576">
        <f t="shared" si="43"/>
        <v>0</v>
      </c>
      <c r="T171" s="577">
        <f t="shared" si="44"/>
        <v>0</v>
      </c>
      <c r="U171" s="578">
        <f t="shared" si="45"/>
        <v>0</v>
      </c>
      <c r="V171" s="579"/>
      <c r="W171" s="566"/>
      <c r="X171" s="586" t="str">
        <f t="shared" si="47"/>
        <v/>
      </c>
      <c r="Y171" s="586" t="str">
        <f t="shared" si="33"/>
        <v/>
      </c>
      <c r="Z171" s="586" t="str">
        <f t="shared" si="39"/>
        <v/>
      </c>
    </row>
    <row r="172" spans="1:26" ht="12" hidden="1" thickBot="1" x14ac:dyDescent="0.25">
      <c r="A172" s="567" t="s">
        <v>168</v>
      </c>
      <c r="B172" s="644" t="s">
        <v>168</v>
      </c>
      <c r="C172" s="645"/>
      <c r="D172" s="451" t="s">
        <v>212</v>
      </c>
      <c r="E172" s="423"/>
      <c r="F172" s="424">
        <v>500</v>
      </c>
      <c r="G172" s="425">
        <v>8.7999999999999995E-2</v>
      </c>
      <c r="H172" s="649">
        <f>IF(F172&lt;=30,(0.78*F172+7.82)*G172,((0.78*30+7.82)+0.78*(F172-30))*G172)</f>
        <v>35.008160000000004</v>
      </c>
      <c r="I172" s="420">
        <v>0</v>
      </c>
      <c r="J172" s="420"/>
      <c r="K172" s="421">
        <f t="shared" si="26"/>
        <v>0</v>
      </c>
      <c r="L172" s="647" t="s">
        <v>614</v>
      </c>
      <c r="M172" s="669"/>
      <c r="N172" s="576">
        <f t="shared" si="35"/>
        <v>0</v>
      </c>
      <c r="O172" s="577">
        <f t="shared" si="41"/>
        <v>0</v>
      </c>
      <c r="P172" s="578">
        <f t="shared" si="42"/>
        <v>0</v>
      </c>
      <c r="Q172" s="765"/>
      <c r="R172" s="669"/>
      <c r="S172" s="670"/>
      <c r="T172" s="577">
        <f t="shared" si="44"/>
        <v>0</v>
      </c>
      <c r="U172" s="578">
        <f t="shared" si="45"/>
        <v>0</v>
      </c>
      <c r="V172" s="579"/>
      <c r="W172" s="637" t="str">
        <f>IF(U171&gt;0,"xx",IF(P171&gt;0,"xy",""))</f>
        <v/>
      </c>
      <c r="X172" s="586" t="str">
        <f t="shared" si="47"/>
        <v/>
      </c>
      <c r="Y172" s="586" t="str">
        <f t="shared" si="33"/>
        <v/>
      </c>
      <c r="Z172" s="586" t="str">
        <f t="shared" si="39"/>
        <v/>
      </c>
    </row>
    <row r="173" spans="1:26" ht="12" hidden="1" thickBot="1" x14ac:dyDescent="0.25">
      <c r="A173" s="567" t="s">
        <v>168</v>
      </c>
      <c r="B173" s="644" t="s">
        <v>168</v>
      </c>
      <c r="C173" s="645"/>
      <c r="D173" s="451" t="s">
        <v>213</v>
      </c>
      <c r="E173" s="423"/>
      <c r="F173" s="418">
        <v>10</v>
      </c>
      <c r="G173" s="425">
        <v>1.85</v>
      </c>
      <c r="H173" s="649">
        <f t="shared" ref="H173:H174" si="50">IF(F173&lt;=30,(1.07*F173+2.68)*G173,((1.07*30+2.68)+1.07*(F173-30))*G173)</f>
        <v>24.753000000000004</v>
      </c>
      <c r="I173" s="420">
        <v>0</v>
      </c>
      <c r="J173" s="420"/>
      <c r="K173" s="421">
        <f t="shared" si="26"/>
        <v>0</v>
      </c>
      <c r="L173" s="647" t="s">
        <v>614</v>
      </c>
      <c r="M173" s="669"/>
      <c r="N173" s="576">
        <f t="shared" si="35"/>
        <v>0</v>
      </c>
      <c r="O173" s="577">
        <f t="shared" si="41"/>
        <v>0</v>
      </c>
      <c r="P173" s="578">
        <f t="shared" si="42"/>
        <v>0</v>
      </c>
      <c r="Q173" s="765"/>
      <c r="R173" s="669"/>
      <c r="S173" s="670"/>
      <c r="T173" s="577">
        <f t="shared" si="44"/>
        <v>0</v>
      </c>
      <c r="U173" s="578">
        <f t="shared" si="45"/>
        <v>0</v>
      </c>
      <c r="V173" s="579"/>
      <c r="W173" s="637" t="str">
        <f>IF(U171&gt;0,"xx",IF(P171&gt;0,"xy",""))</f>
        <v/>
      </c>
      <c r="X173" s="586" t="str">
        <f t="shared" si="47"/>
        <v/>
      </c>
      <c r="Y173" s="586" t="str">
        <f t="shared" si="33"/>
        <v/>
      </c>
      <c r="Z173" s="586" t="str">
        <f t="shared" si="39"/>
        <v/>
      </c>
    </row>
    <row r="174" spans="1:26" ht="12" hidden="1" thickBot="1" x14ac:dyDescent="0.25">
      <c r="A174" s="567" t="s">
        <v>168</v>
      </c>
      <c r="B174" s="644" t="s">
        <v>168</v>
      </c>
      <c r="C174" s="645"/>
      <c r="D174" s="451" t="s">
        <v>214</v>
      </c>
      <c r="E174" s="423"/>
      <c r="F174" s="418">
        <v>5</v>
      </c>
      <c r="G174" s="425">
        <v>1.762</v>
      </c>
      <c r="H174" s="649">
        <f t="shared" si="50"/>
        <v>14.148860000000003</v>
      </c>
      <c r="I174" s="420">
        <v>0</v>
      </c>
      <c r="J174" s="420"/>
      <c r="K174" s="421">
        <f t="shared" si="26"/>
        <v>0</v>
      </c>
      <c r="L174" s="647" t="s">
        <v>614</v>
      </c>
      <c r="M174" s="669"/>
      <c r="N174" s="576">
        <f t="shared" si="35"/>
        <v>0</v>
      </c>
      <c r="O174" s="577">
        <f t="shared" si="41"/>
        <v>0</v>
      </c>
      <c r="P174" s="578">
        <f t="shared" si="42"/>
        <v>0</v>
      </c>
      <c r="Q174" s="765"/>
      <c r="R174" s="669"/>
      <c r="S174" s="670"/>
      <c r="T174" s="577">
        <f t="shared" si="44"/>
        <v>0</v>
      </c>
      <c r="U174" s="578">
        <f t="shared" si="45"/>
        <v>0</v>
      </c>
      <c r="V174" s="579"/>
      <c r="W174" s="637" t="str">
        <f>IF($U$141&gt;0,"xx",IF($P$141&gt;0,"xy",""))</f>
        <v/>
      </c>
      <c r="X174" s="586" t="str">
        <f t="shared" si="47"/>
        <v/>
      </c>
      <c r="Y174" s="586" t="str">
        <f t="shared" si="33"/>
        <v/>
      </c>
      <c r="Z174" s="586" t="str">
        <f t="shared" si="39"/>
        <v/>
      </c>
    </row>
    <row r="175" spans="1:26" ht="12" hidden="1" thickBot="1" x14ac:dyDescent="0.25">
      <c r="A175" s="567">
        <v>546100</v>
      </c>
      <c r="B175" s="644">
        <v>546100</v>
      </c>
      <c r="C175" s="645" t="s">
        <v>206</v>
      </c>
      <c r="D175" s="422" t="s">
        <v>1910</v>
      </c>
      <c r="E175" s="423"/>
      <c r="F175" s="418"/>
      <c r="G175" s="425"/>
      <c r="H175" s="667">
        <f>SUM(H176:H178)</f>
        <v>80.536450000000002</v>
      </c>
      <c r="I175" s="420">
        <v>93.79</v>
      </c>
      <c r="J175" s="420">
        <f>IF(ISBLANK(I175),"",SUM(H175:I175))</f>
        <v>174.32645000000002</v>
      </c>
      <c r="K175" s="421">
        <f t="shared" si="26"/>
        <v>207.12</v>
      </c>
      <c r="L175" s="647" t="s">
        <v>16</v>
      </c>
      <c r="M175" s="576"/>
      <c r="N175" s="576">
        <f t="shared" si="35"/>
        <v>0</v>
      </c>
      <c r="O175" s="577">
        <f t="shared" si="41"/>
        <v>0</v>
      </c>
      <c r="P175" s="578">
        <f t="shared" si="42"/>
        <v>0</v>
      </c>
      <c r="Q175" s="765"/>
      <c r="R175" s="576">
        <f t="shared" si="43"/>
        <v>0</v>
      </c>
      <c r="S175" s="576">
        <f t="shared" si="43"/>
        <v>0</v>
      </c>
      <c r="T175" s="577">
        <f t="shared" si="44"/>
        <v>0</v>
      </c>
      <c r="U175" s="578">
        <f t="shared" si="45"/>
        <v>0</v>
      </c>
      <c r="V175" s="579"/>
      <c r="W175" s="566"/>
      <c r="X175" s="586" t="str">
        <f t="shared" si="47"/>
        <v/>
      </c>
      <c r="Y175" s="586" t="str">
        <f t="shared" si="33"/>
        <v/>
      </c>
      <c r="Z175" s="586" t="str">
        <f t="shared" si="39"/>
        <v/>
      </c>
    </row>
    <row r="176" spans="1:26" ht="12" hidden="1" thickBot="1" x14ac:dyDescent="0.25">
      <c r="A176" s="567" t="s">
        <v>168</v>
      </c>
      <c r="B176" s="644" t="s">
        <v>168</v>
      </c>
      <c r="C176" s="645"/>
      <c r="D176" s="451" t="s">
        <v>212</v>
      </c>
      <c r="E176" s="423"/>
      <c r="F176" s="424">
        <v>500</v>
      </c>
      <c r="G176" s="425">
        <v>0.105</v>
      </c>
      <c r="H176" s="649">
        <f>IF(F176&lt;=30,(0.78*F176+7.82)*G176,((0.78*30+7.82)+0.78*(F176-30))*G176)</f>
        <v>41.771100000000004</v>
      </c>
      <c r="I176" s="420">
        <v>0</v>
      </c>
      <c r="J176" s="420"/>
      <c r="K176" s="421">
        <f t="shared" si="26"/>
        <v>0</v>
      </c>
      <c r="L176" s="647" t="s">
        <v>614</v>
      </c>
      <c r="M176" s="669"/>
      <c r="N176" s="576">
        <f t="shared" si="35"/>
        <v>0</v>
      </c>
      <c r="O176" s="577">
        <f t="shared" si="41"/>
        <v>0</v>
      </c>
      <c r="P176" s="578">
        <f t="shared" si="42"/>
        <v>0</v>
      </c>
      <c r="Q176" s="765"/>
      <c r="R176" s="669"/>
      <c r="S176" s="670"/>
      <c r="T176" s="577">
        <f t="shared" si="44"/>
        <v>0</v>
      </c>
      <c r="U176" s="578">
        <f t="shared" si="45"/>
        <v>0</v>
      </c>
      <c r="V176" s="579"/>
      <c r="W176" s="637" t="str">
        <f>IF(U175&gt;0,"xx",IF(P175&gt;0,"xy",""))</f>
        <v/>
      </c>
      <c r="X176" s="586" t="str">
        <f t="shared" si="47"/>
        <v/>
      </c>
      <c r="Y176" s="586" t="str">
        <f t="shared" si="33"/>
        <v/>
      </c>
      <c r="Z176" s="586" t="str">
        <f t="shared" si="39"/>
        <v/>
      </c>
    </row>
    <row r="177" spans="1:26" ht="12" hidden="1" thickBot="1" x14ac:dyDescent="0.25">
      <c r="A177" s="567" t="s">
        <v>168</v>
      </c>
      <c r="B177" s="644" t="s">
        <v>168</v>
      </c>
      <c r="C177" s="645"/>
      <c r="D177" s="451" t="s">
        <v>213</v>
      </c>
      <c r="E177" s="423"/>
      <c r="F177" s="418">
        <v>10</v>
      </c>
      <c r="G177" s="425">
        <v>1.85</v>
      </c>
      <c r="H177" s="649">
        <f t="shared" ref="H177:H178" si="51">IF(F177&lt;=30,(1.07*F177+2.68)*G177,((1.07*30+2.68)+1.07*(F177-30))*G177)</f>
        <v>24.753000000000004</v>
      </c>
      <c r="I177" s="420">
        <v>0</v>
      </c>
      <c r="J177" s="420"/>
      <c r="K177" s="421">
        <f t="shared" si="26"/>
        <v>0</v>
      </c>
      <c r="L177" s="647" t="s">
        <v>614</v>
      </c>
      <c r="M177" s="669"/>
      <c r="N177" s="576">
        <f t="shared" si="35"/>
        <v>0</v>
      </c>
      <c r="O177" s="577">
        <f t="shared" si="41"/>
        <v>0</v>
      </c>
      <c r="P177" s="578">
        <f t="shared" si="42"/>
        <v>0</v>
      </c>
      <c r="Q177" s="765"/>
      <c r="R177" s="669"/>
      <c r="S177" s="670"/>
      <c r="T177" s="577">
        <f t="shared" si="44"/>
        <v>0</v>
      </c>
      <c r="U177" s="578">
        <f t="shared" si="45"/>
        <v>0</v>
      </c>
      <c r="V177" s="579"/>
      <c r="W177" s="637" t="str">
        <f>IF(U175&gt;0,"xx",IF(P175&gt;0,"xy",""))</f>
        <v/>
      </c>
      <c r="X177" s="586" t="str">
        <f t="shared" si="47"/>
        <v/>
      </c>
      <c r="Y177" s="586" t="str">
        <f t="shared" si="33"/>
        <v/>
      </c>
      <c r="Z177" s="586" t="str">
        <f t="shared" si="39"/>
        <v/>
      </c>
    </row>
    <row r="178" spans="1:26" ht="12" hidden="1" thickBot="1" x14ac:dyDescent="0.25">
      <c r="A178" s="567" t="s">
        <v>168</v>
      </c>
      <c r="B178" s="644" t="s">
        <v>168</v>
      </c>
      <c r="C178" s="645"/>
      <c r="D178" s="451" t="s">
        <v>214</v>
      </c>
      <c r="E178" s="423"/>
      <c r="F178" s="418">
        <v>5</v>
      </c>
      <c r="G178" s="425">
        <v>1.7450000000000001</v>
      </c>
      <c r="H178" s="649">
        <f t="shared" si="51"/>
        <v>14.012350000000003</v>
      </c>
      <c r="I178" s="420">
        <v>0</v>
      </c>
      <c r="J178" s="420"/>
      <c r="K178" s="421">
        <f t="shared" si="26"/>
        <v>0</v>
      </c>
      <c r="L178" s="647" t="s">
        <v>614</v>
      </c>
      <c r="M178" s="669"/>
      <c r="N178" s="576">
        <f t="shared" si="35"/>
        <v>0</v>
      </c>
      <c r="O178" s="577">
        <f t="shared" si="41"/>
        <v>0</v>
      </c>
      <c r="P178" s="578">
        <f t="shared" si="42"/>
        <v>0</v>
      </c>
      <c r="Q178" s="765"/>
      <c r="R178" s="669"/>
      <c r="S178" s="670"/>
      <c r="T178" s="577">
        <f t="shared" si="44"/>
        <v>0</v>
      </c>
      <c r="U178" s="578">
        <f t="shared" si="45"/>
        <v>0</v>
      </c>
      <c r="V178" s="579"/>
      <c r="W178" s="637" t="str">
        <f>IF($U$141&gt;0,"xx",IF($P$141&gt;0,"xy",""))</f>
        <v/>
      </c>
      <c r="X178" s="586" t="str">
        <f t="shared" si="47"/>
        <v/>
      </c>
      <c r="Y178" s="586" t="str">
        <f t="shared" si="33"/>
        <v/>
      </c>
      <c r="Z178" s="586" t="str">
        <f t="shared" si="39"/>
        <v/>
      </c>
    </row>
    <row r="179" spans="1:26" ht="12" hidden="1" thickBot="1" x14ac:dyDescent="0.25">
      <c r="A179" s="567">
        <v>547100</v>
      </c>
      <c r="B179" s="644">
        <v>547100</v>
      </c>
      <c r="C179" s="645" t="s">
        <v>206</v>
      </c>
      <c r="D179" s="422" t="s">
        <v>1911</v>
      </c>
      <c r="E179" s="423"/>
      <c r="F179" s="418"/>
      <c r="G179" s="425"/>
      <c r="H179" s="667">
        <f>SUM(H180:H182)</f>
        <v>86.765060000000005</v>
      </c>
      <c r="I179" s="420">
        <v>103.03999999999999</v>
      </c>
      <c r="J179" s="420">
        <f>IF(ISBLANK(I179),"",SUM(H179:I179))</f>
        <v>189.80506</v>
      </c>
      <c r="K179" s="421">
        <f t="shared" si="26"/>
        <v>225.51</v>
      </c>
      <c r="L179" s="647" t="s">
        <v>16</v>
      </c>
      <c r="M179" s="576"/>
      <c r="N179" s="576">
        <f t="shared" si="35"/>
        <v>0</v>
      </c>
      <c r="O179" s="577">
        <f t="shared" si="41"/>
        <v>0</v>
      </c>
      <c r="P179" s="578">
        <f t="shared" si="42"/>
        <v>0</v>
      </c>
      <c r="Q179" s="765"/>
      <c r="R179" s="576">
        <f t="shared" si="43"/>
        <v>0</v>
      </c>
      <c r="S179" s="576">
        <f t="shared" si="43"/>
        <v>0</v>
      </c>
      <c r="T179" s="577">
        <f t="shared" si="44"/>
        <v>0</v>
      </c>
      <c r="U179" s="578">
        <f t="shared" si="45"/>
        <v>0</v>
      </c>
      <c r="V179" s="579"/>
      <c r="W179" s="566"/>
      <c r="X179" s="586" t="str">
        <f t="shared" si="47"/>
        <v/>
      </c>
      <c r="Y179" s="586" t="str">
        <f t="shared" si="33"/>
        <v/>
      </c>
      <c r="Z179" s="586" t="str">
        <f t="shared" si="39"/>
        <v/>
      </c>
    </row>
    <row r="180" spans="1:26" ht="12" hidden="1" thickBot="1" x14ac:dyDescent="0.25">
      <c r="A180" s="567" t="s">
        <v>168</v>
      </c>
      <c r="B180" s="644" t="s">
        <v>168</v>
      </c>
      <c r="C180" s="645"/>
      <c r="D180" s="451" t="s">
        <v>212</v>
      </c>
      <c r="E180" s="423"/>
      <c r="F180" s="424">
        <v>500</v>
      </c>
      <c r="G180" s="425">
        <v>0.121</v>
      </c>
      <c r="H180" s="649">
        <f>IF(F180&lt;=30,(0.78*F180+7.82)*G180,((0.78*30+7.82)+0.78*(F180-30))*G180)</f>
        <v>48.136220000000002</v>
      </c>
      <c r="I180" s="420">
        <v>0</v>
      </c>
      <c r="J180" s="420"/>
      <c r="K180" s="421">
        <f t="shared" si="26"/>
        <v>0</v>
      </c>
      <c r="L180" s="647" t="s">
        <v>614</v>
      </c>
      <c r="M180" s="669"/>
      <c r="N180" s="576">
        <f t="shared" si="35"/>
        <v>0</v>
      </c>
      <c r="O180" s="577">
        <f t="shared" si="41"/>
        <v>0</v>
      </c>
      <c r="P180" s="578">
        <f t="shared" si="42"/>
        <v>0</v>
      </c>
      <c r="Q180" s="765"/>
      <c r="R180" s="669"/>
      <c r="S180" s="670"/>
      <c r="T180" s="577">
        <f t="shared" si="44"/>
        <v>0</v>
      </c>
      <c r="U180" s="578">
        <f t="shared" si="45"/>
        <v>0</v>
      </c>
      <c r="V180" s="579"/>
      <c r="W180" s="637" t="str">
        <f>IF(U179&gt;0,"xx",IF(P179&gt;0,"xy",""))</f>
        <v/>
      </c>
      <c r="X180" s="586" t="str">
        <f t="shared" si="47"/>
        <v/>
      </c>
      <c r="Y180" s="586" t="str">
        <f t="shared" si="33"/>
        <v/>
      </c>
      <c r="Z180" s="586" t="str">
        <f t="shared" si="39"/>
        <v/>
      </c>
    </row>
    <row r="181" spans="1:26" ht="12" hidden="1" thickBot="1" x14ac:dyDescent="0.25">
      <c r="A181" s="567" t="s">
        <v>168</v>
      </c>
      <c r="B181" s="644" t="s">
        <v>168</v>
      </c>
      <c r="C181" s="645"/>
      <c r="D181" s="451" t="s">
        <v>213</v>
      </c>
      <c r="E181" s="423"/>
      <c r="F181" s="418">
        <v>10</v>
      </c>
      <c r="G181" s="425">
        <v>1.85</v>
      </c>
      <c r="H181" s="649">
        <f t="shared" ref="H181:H188" si="52">IF(F181&lt;=30,(1.07*F181+2.68)*G181,((1.07*30+2.68)+1.07*(F181-30))*G181)</f>
        <v>24.753000000000004</v>
      </c>
      <c r="I181" s="420">
        <v>0</v>
      </c>
      <c r="J181" s="420"/>
      <c r="K181" s="421">
        <f t="shared" ref="K181:K200" si="53">IF(ISBLANK(I181),0,ROUND(J181*(1+$F$10)*(1+$F$11*E181),2))</f>
        <v>0</v>
      </c>
      <c r="L181" s="647" t="s">
        <v>614</v>
      </c>
      <c r="M181" s="669"/>
      <c r="N181" s="576">
        <f t="shared" si="35"/>
        <v>0</v>
      </c>
      <c r="O181" s="577">
        <f t="shared" si="41"/>
        <v>0</v>
      </c>
      <c r="P181" s="578">
        <f t="shared" si="42"/>
        <v>0</v>
      </c>
      <c r="Q181" s="765"/>
      <c r="R181" s="669"/>
      <c r="S181" s="670"/>
      <c r="T181" s="577">
        <f t="shared" si="44"/>
        <v>0</v>
      </c>
      <c r="U181" s="578">
        <f t="shared" si="45"/>
        <v>0</v>
      </c>
      <c r="V181" s="579"/>
      <c r="W181" s="637" t="str">
        <f>IF(U179&gt;0,"xx",IF(P179&gt;0,"xy",""))</f>
        <v/>
      </c>
      <c r="X181" s="586" t="str">
        <f t="shared" si="47"/>
        <v/>
      </c>
      <c r="Y181" s="586" t="str">
        <f t="shared" si="33"/>
        <v/>
      </c>
      <c r="Z181" s="586" t="str">
        <f t="shared" si="39"/>
        <v/>
      </c>
    </row>
    <row r="182" spans="1:26" ht="12" hidden="1" thickBot="1" x14ac:dyDescent="0.25">
      <c r="A182" s="567" t="s">
        <v>168</v>
      </c>
      <c r="B182" s="644" t="s">
        <v>168</v>
      </c>
      <c r="C182" s="645"/>
      <c r="D182" s="451" t="s">
        <v>214</v>
      </c>
      <c r="E182" s="423"/>
      <c r="F182" s="418">
        <v>5</v>
      </c>
      <c r="G182" s="425">
        <v>1.728</v>
      </c>
      <c r="H182" s="649">
        <f t="shared" si="52"/>
        <v>13.875840000000002</v>
      </c>
      <c r="I182" s="420">
        <v>0</v>
      </c>
      <c r="J182" s="420"/>
      <c r="K182" s="421">
        <f t="shared" si="53"/>
        <v>0</v>
      </c>
      <c r="L182" s="647" t="s">
        <v>614</v>
      </c>
      <c r="M182" s="669"/>
      <c r="N182" s="576">
        <f t="shared" si="35"/>
        <v>0</v>
      </c>
      <c r="O182" s="577">
        <f t="shared" si="41"/>
        <v>0</v>
      </c>
      <c r="P182" s="578">
        <f t="shared" si="42"/>
        <v>0</v>
      </c>
      <c r="Q182" s="765"/>
      <c r="R182" s="669"/>
      <c r="S182" s="670"/>
      <c r="T182" s="577">
        <f t="shared" si="44"/>
        <v>0</v>
      </c>
      <c r="U182" s="578">
        <f t="shared" si="45"/>
        <v>0</v>
      </c>
      <c r="V182" s="579"/>
      <c r="W182" s="637" t="str">
        <f>IF($U$141&gt;0,"xx",IF($P$141&gt;0,"xy",""))</f>
        <v/>
      </c>
      <c r="X182" s="586" t="str">
        <f t="shared" si="47"/>
        <v/>
      </c>
      <c r="Y182" s="586" t="str">
        <f t="shared" si="33"/>
        <v/>
      </c>
      <c r="Z182" s="586" t="str">
        <f t="shared" si="39"/>
        <v/>
      </c>
    </row>
    <row r="183" spans="1:26" ht="12" hidden="1" thickBot="1" x14ac:dyDescent="0.25">
      <c r="A183" s="567">
        <v>530200</v>
      </c>
      <c r="B183" s="644" t="s">
        <v>1740</v>
      </c>
      <c r="C183" s="645" t="s">
        <v>206</v>
      </c>
      <c r="D183" s="422" t="s">
        <v>215</v>
      </c>
      <c r="E183" s="423"/>
      <c r="F183" s="418">
        <v>20</v>
      </c>
      <c r="G183" s="419">
        <v>2.2000000000000002</v>
      </c>
      <c r="H183" s="649">
        <f t="shared" si="52"/>
        <v>52.976000000000006</v>
      </c>
      <c r="I183" s="420">
        <v>94.56</v>
      </c>
      <c r="J183" s="420">
        <f>IF(ISBLANK(I183),"",SUM(H183:I183))</f>
        <v>147.536</v>
      </c>
      <c r="K183" s="421">
        <f t="shared" si="53"/>
        <v>175.29</v>
      </c>
      <c r="L183" s="647" t="s">
        <v>16</v>
      </c>
      <c r="M183" s="576"/>
      <c r="N183" s="576">
        <f t="shared" si="35"/>
        <v>0</v>
      </c>
      <c r="O183" s="577">
        <f t="shared" si="41"/>
        <v>0</v>
      </c>
      <c r="P183" s="578">
        <f t="shared" si="42"/>
        <v>0</v>
      </c>
      <c r="Q183" s="765"/>
      <c r="R183" s="576">
        <f t="shared" si="43"/>
        <v>0</v>
      </c>
      <c r="S183" s="576">
        <f t="shared" si="43"/>
        <v>0</v>
      </c>
      <c r="T183" s="577">
        <f t="shared" si="44"/>
        <v>0</v>
      </c>
      <c r="U183" s="578">
        <f t="shared" si="45"/>
        <v>0</v>
      </c>
      <c r="V183" s="579"/>
      <c r="W183" s="566"/>
      <c r="X183" s="586" t="str">
        <f t="shared" si="47"/>
        <v/>
      </c>
      <c r="Y183" s="586" t="str">
        <f t="shared" si="33"/>
        <v/>
      </c>
      <c r="Z183" s="586" t="str">
        <f t="shared" si="39"/>
        <v/>
      </c>
    </row>
    <row r="184" spans="1:26" ht="12" hidden="1" thickBot="1" x14ac:dyDescent="0.25">
      <c r="A184" s="567" t="s">
        <v>2066</v>
      </c>
      <c r="B184" s="644" t="s">
        <v>1569</v>
      </c>
      <c r="C184" s="645" t="s">
        <v>484</v>
      </c>
      <c r="D184" s="422" t="s">
        <v>633</v>
      </c>
      <c r="E184" s="423"/>
      <c r="F184" s="418">
        <v>10</v>
      </c>
      <c r="G184" s="419">
        <v>1.95</v>
      </c>
      <c r="H184" s="649">
        <f t="shared" si="52"/>
        <v>26.091000000000001</v>
      </c>
      <c r="I184" s="420">
        <v>72.11</v>
      </c>
      <c r="J184" s="420">
        <f>IF(ISBLANK(I184),"",SUM(H184:I184))</f>
        <v>98.200999999999993</v>
      </c>
      <c r="K184" s="421">
        <f t="shared" si="53"/>
        <v>116.67</v>
      </c>
      <c r="L184" s="647" t="s">
        <v>16</v>
      </c>
      <c r="M184" s="576"/>
      <c r="N184" s="576">
        <f t="shared" si="35"/>
        <v>0</v>
      </c>
      <c r="O184" s="577">
        <f t="shared" si="41"/>
        <v>0</v>
      </c>
      <c r="P184" s="578">
        <f t="shared" si="42"/>
        <v>0</v>
      </c>
      <c r="Q184" s="765"/>
      <c r="R184" s="576">
        <f t="shared" si="43"/>
        <v>0</v>
      </c>
      <c r="S184" s="576">
        <f t="shared" si="43"/>
        <v>0</v>
      </c>
      <c r="T184" s="577">
        <f t="shared" si="44"/>
        <v>0</v>
      </c>
      <c r="U184" s="578">
        <f t="shared" si="45"/>
        <v>0</v>
      </c>
      <c r="V184" s="579"/>
      <c r="W184" s="566"/>
      <c r="X184" s="586" t="str">
        <f t="shared" si="47"/>
        <v/>
      </c>
      <c r="Y184" s="586" t="str">
        <f t="shared" si="33"/>
        <v/>
      </c>
      <c r="Z184" s="586" t="str">
        <f t="shared" si="39"/>
        <v/>
      </c>
    </row>
    <row r="185" spans="1:26" ht="12" hidden="1" thickBot="1" x14ac:dyDescent="0.25">
      <c r="A185" s="567" t="s">
        <v>2067</v>
      </c>
      <c r="B185" s="644" t="s">
        <v>1570</v>
      </c>
      <c r="C185" s="645" t="s">
        <v>484</v>
      </c>
      <c r="D185" s="422" t="s">
        <v>634</v>
      </c>
      <c r="E185" s="423"/>
      <c r="F185" s="418">
        <v>11</v>
      </c>
      <c r="G185" s="419">
        <v>2.1</v>
      </c>
      <c r="H185" s="649">
        <f t="shared" si="52"/>
        <v>30.345000000000002</v>
      </c>
      <c r="I185" s="420">
        <v>88.65</v>
      </c>
      <c r="J185" s="420">
        <f>IF(ISBLANK(I185),"",SUM(H185:I185))</f>
        <v>118.995</v>
      </c>
      <c r="K185" s="421">
        <f t="shared" si="53"/>
        <v>141.38</v>
      </c>
      <c r="L185" s="647" t="s">
        <v>16</v>
      </c>
      <c r="M185" s="576"/>
      <c r="N185" s="576">
        <f t="shared" si="35"/>
        <v>0</v>
      </c>
      <c r="O185" s="577">
        <f t="shared" si="41"/>
        <v>0</v>
      </c>
      <c r="P185" s="578">
        <f t="shared" si="42"/>
        <v>0</v>
      </c>
      <c r="Q185" s="765"/>
      <c r="R185" s="576">
        <f t="shared" si="43"/>
        <v>0</v>
      </c>
      <c r="S185" s="576">
        <f t="shared" si="43"/>
        <v>0</v>
      </c>
      <c r="T185" s="577">
        <f t="shared" si="44"/>
        <v>0</v>
      </c>
      <c r="U185" s="578">
        <f t="shared" si="45"/>
        <v>0</v>
      </c>
      <c r="V185" s="579"/>
      <c r="W185" s="566"/>
      <c r="X185" s="586" t="str">
        <f t="shared" si="47"/>
        <v/>
      </c>
      <c r="Y185" s="586" t="str">
        <f t="shared" si="33"/>
        <v/>
      </c>
      <c r="Z185" s="586" t="str">
        <f t="shared" si="39"/>
        <v/>
      </c>
    </row>
    <row r="186" spans="1:26" ht="12" hidden="1" thickBot="1" x14ac:dyDescent="0.25">
      <c r="A186" s="567">
        <v>530200</v>
      </c>
      <c r="B186" s="644" t="s">
        <v>1741</v>
      </c>
      <c r="C186" s="645" t="s">
        <v>206</v>
      </c>
      <c r="D186" s="422" t="s">
        <v>483</v>
      </c>
      <c r="E186" s="423"/>
      <c r="F186" s="418">
        <v>20</v>
      </c>
      <c r="G186" s="419">
        <v>2.2000000000000002</v>
      </c>
      <c r="H186" s="649">
        <f t="shared" si="52"/>
        <v>52.976000000000006</v>
      </c>
      <c r="I186" s="420">
        <v>94.56</v>
      </c>
      <c r="J186" s="420">
        <f>IF(ISBLANK(I186),"",SUM(H186:I186))</f>
        <v>147.536</v>
      </c>
      <c r="K186" s="421">
        <f t="shared" si="53"/>
        <v>175.29</v>
      </c>
      <c r="L186" s="647" t="s">
        <v>16</v>
      </c>
      <c r="M186" s="576"/>
      <c r="N186" s="576">
        <f t="shared" si="35"/>
        <v>0</v>
      </c>
      <c r="O186" s="577">
        <f t="shared" si="41"/>
        <v>0</v>
      </c>
      <c r="P186" s="578">
        <f t="shared" si="42"/>
        <v>0</v>
      </c>
      <c r="Q186" s="765"/>
      <c r="R186" s="576">
        <f t="shared" si="43"/>
        <v>0</v>
      </c>
      <c r="S186" s="576">
        <f t="shared" si="43"/>
        <v>0</v>
      </c>
      <c r="T186" s="577">
        <f t="shared" si="44"/>
        <v>0</v>
      </c>
      <c r="U186" s="578">
        <f t="shared" si="45"/>
        <v>0</v>
      </c>
      <c r="V186" s="579"/>
      <c r="W186" s="566"/>
      <c r="X186" s="586" t="str">
        <f t="shared" si="47"/>
        <v/>
      </c>
      <c r="Y186" s="586" t="str">
        <f t="shared" si="33"/>
        <v/>
      </c>
      <c r="Z186" s="586" t="str">
        <f t="shared" si="39"/>
        <v/>
      </c>
    </row>
    <row r="187" spans="1:26" ht="12" hidden="1" thickBot="1" x14ac:dyDescent="0.25">
      <c r="A187" s="567">
        <v>516200</v>
      </c>
      <c r="B187" s="644">
        <v>516200</v>
      </c>
      <c r="C187" s="645" t="s">
        <v>206</v>
      </c>
      <c r="D187" s="422" t="s">
        <v>228</v>
      </c>
      <c r="E187" s="423"/>
      <c r="F187" s="418">
        <v>20</v>
      </c>
      <c r="G187" s="419">
        <v>1.95</v>
      </c>
      <c r="H187" s="649">
        <f t="shared" si="52"/>
        <v>46.956000000000003</v>
      </c>
      <c r="I187" s="420">
        <v>100.78</v>
      </c>
      <c r="J187" s="420">
        <f>IF(ISBLANK(I187),"",SUM(H187:I187))*0.85</f>
        <v>125.57559999999999</v>
      </c>
      <c r="K187" s="421">
        <f t="shared" si="53"/>
        <v>149.19999999999999</v>
      </c>
      <c r="L187" s="647" t="s">
        <v>16</v>
      </c>
      <c r="M187" s="576"/>
      <c r="N187" s="576">
        <f t="shared" si="35"/>
        <v>0</v>
      </c>
      <c r="O187" s="577">
        <f t="shared" si="41"/>
        <v>0</v>
      </c>
      <c r="P187" s="578">
        <f t="shared" si="42"/>
        <v>0</v>
      </c>
      <c r="Q187" s="765"/>
      <c r="R187" s="576">
        <f t="shared" si="43"/>
        <v>0</v>
      </c>
      <c r="S187" s="576">
        <f t="shared" si="43"/>
        <v>0</v>
      </c>
      <c r="T187" s="577">
        <f t="shared" si="44"/>
        <v>0</v>
      </c>
      <c r="U187" s="578">
        <f t="shared" si="45"/>
        <v>0</v>
      </c>
      <c r="V187" s="579"/>
      <c r="W187" s="566"/>
      <c r="X187" s="586" t="str">
        <f t="shared" si="47"/>
        <v/>
      </c>
      <c r="Y187" s="586" t="str">
        <f t="shared" si="33"/>
        <v/>
      </c>
      <c r="Z187" s="586" t="str">
        <f t="shared" si="39"/>
        <v/>
      </c>
    </row>
    <row r="188" spans="1:26" ht="12" hidden="1" thickBot="1" x14ac:dyDescent="0.25">
      <c r="A188" s="567">
        <v>531000</v>
      </c>
      <c r="B188" s="644" t="s">
        <v>1742</v>
      </c>
      <c r="C188" s="645" t="s">
        <v>206</v>
      </c>
      <c r="D188" s="422" t="s">
        <v>216</v>
      </c>
      <c r="E188" s="423"/>
      <c r="F188" s="418">
        <v>20</v>
      </c>
      <c r="G188" s="425">
        <v>2.4</v>
      </c>
      <c r="H188" s="649">
        <f t="shared" si="52"/>
        <v>57.792000000000002</v>
      </c>
      <c r="I188" s="420">
        <v>127.37</v>
      </c>
      <c r="J188" s="420">
        <f>IF(ISBLANK(I188),"",SUM(H188:I188))</f>
        <v>185.16200000000001</v>
      </c>
      <c r="K188" s="421">
        <f t="shared" si="53"/>
        <v>219.99</v>
      </c>
      <c r="L188" s="647" t="s">
        <v>16</v>
      </c>
      <c r="M188" s="576"/>
      <c r="N188" s="576">
        <f t="shared" si="35"/>
        <v>0</v>
      </c>
      <c r="O188" s="577">
        <f t="shared" si="41"/>
        <v>0</v>
      </c>
      <c r="P188" s="578">
        <f t="shared" si="42"/>
        <v>0</v>
      </c>
      <c r="Q188" s="765"/>
      <c r="R188" s="576">
        <f t="shared" si="43"/>
        <v>0</v>
      </c>
      <c r="S188" s="576">
        <f t="shared" si="43"/>
        <v>0</v>
      </c>
      <c r="T188" s="577">
        <f t="shared" si="44"/>
        <v>0</v>
      </c>
      <c r="U188" s="578">
        <f t="shared" si="45"/>
        <v>0</v>
      </c>
      <c r="V188" s="579"/>
      <c r="W188" s="566"/>
      <c r="X188" s="586" t="str">
        <f t="shared" si="47"/>
        <v/>
      </c>
      <c r="Y188" s="586" t="str">
        <f t="shared" si="33"/>
        <v/>
      </c>
      <c r="Z188" s="586" t="str">
        <f t="shared" si="39"/>
        <v/>
      </c>
    </row>
    <row r="189" spans="1:26" ht="12" hidden="1" thickBot="1" x14ac:dyDescent="0.25">
      <c r="A189" s="567">
        <v>531120</v>
      </c>
      <c r="B189" s="644">
        <v>531120</v>
      </c>
      <c r="C189" s="645" t="s">
        <v>206</v>
      </c>
      <c r="D189" s="422" t="s">
        <v>222</v>
      </c>
      <c r="E189" s="423"/>
      <c r="F189" s="418"/>
      <c r="G189" s="425"/>
      <c r="H189" s="667">
        <f>SUM(H190:H192)</f>
        <v>102.41472000000002</v>
      </c>
      <c r="I189" s="420">
        <v>183.97</v>
      </c>
      <c r="J189" s="420">
        <f>IF(ISBLANK(I189),"",SUM(H189:I189))*0.9</f>
        <v>257.74624800000004</v>
      </c>
      <c r="K189" s="421">
        <f t="shared" si="53"/>
        <v>306.23</v>
      </c>
      <c r="L189" s="647" t="s">
        <v>16</v>
      </c>
      <c r="M189" s="576"/>
      <c r="N189" s="576">
        <f t="shared" si="35"/>
        <v>0</v>
      </c>
      <c r="O189" s="577">
        <f t="shared" si="41"/>
        <v>0</v>
      </c>
      <c r="P189" s="578">
        <f t="shared" si="42"/>
        <v>0</v>
      </c>
      <c r="Q189" s="765"/>
      <c r="R189" s="576">
        <f t="shared" si="43"/>
        <v>0</v>
      </c>
      <c r="S189" s="576">
        <f t="shared" si="43"/>
        <v>0</v>
      </c>
      <c r="T189" s="577">
        <f t="shared" si="44"/>
        <v>0</v>
      </c>
      <c r="U189" s="578">
        <f t="shared" si="45"/>
        <v>0</v>
      </c>
      <c r="V189" s="579"/>
      <c r="W189" s="566"/>
      <c r="X189" s="586" t="str">
        <f t="shared" si="47"/>
        <v/>
      </c>
      <c r="Y189" s="586" t="str">
        <f t="shared" si="33"/>
        <v/>
      </c>
      <c r="Z189" s="586" t="str">
        <f t="shared" si="39"/>
        <v/>
      </c>
    </row>
    <row r="190" spans="1:26" ht="12" hidden="1" thickBot="1" x14ac:dyDescent="0.25">
      <c r="A190" s="567" t="s">
        <v>168</v>
      </c>
      <c r="B190" s="644" t="s">
        <v>168</v>
      </c>
      <c r="C190" s="645"/>
      <c r="D190" s="451" t="s">
        <v>212</v>
      </c>
      <c r="E190" s="423"/>
      <c r="F190" s="424">
        <v>500</v>
      </c>
      <c r="G190" s="425">
        <v>9.6000000000000002E-2</v>
      </c>
      <c r="H190" s="649">
        <f>IF(F190&lt;=30,(0.78*F190+7.82)*G190,((0.78*30+7.82)+0.78*(F190-30))*G190)</f>
        <v>38.190720000000006</v>
      </c>
      <c r="I190" s="420">
        <v>0</v>
      </c>
      <c r="J190" s="420"/>
      <c r="K190" s="421">
        <f t="shared" si="53"/>
        <v>0</v>
      </c>
      <c r="L190" s="647" t="s">
        <v>614</v>
      </c>
      <c r="M190" s="669"/>
      <c r="N190" s="576">
        <f t="shared" si="35"/>
        <v>0</v>
      </c>
      <c r="O190" s="577">
        <f t="shared" si="41"/>
        <v>0</v>
      </c>
      <c r="P190" s="578">
        <f t="shared" si="42"/>
        <v>0</v>
      </c>
      <c r="Q190" s="765"/>
      <c r="R190" s="669"/>
      <c r="S190" s="670"/>
      <c r="T190" s="577">
        <f t="shared" si="44"/>
        <v>0</v>
      </c>
      <c r="U190" s="578">
        <f t="shared" si="45"/>
        <v>0</v>
      </c>
      <c r="V190" s="579"/>
      <c r="W190" s="637" t="str">
        <f>IF(U189&gt;0,"xx",IF(P189&gt;0,"xy",""))</f>
        <v/>
      </c>
      <c r="X190" s="586" t="str">
        <f t="shared" si="47"/>
        <v/>
      </c>
      <c r="Y190" s="586" t="str">
        <f t="shared" si="33"/>
        <v/>
      </c>
      <c r="Z190" s="586" t="str">
        <f t="shared" si="39"/>
        <v/>
      </c>
    </row>
    <row r="191" spans="1:26" ht="12" hidden="1" thickBot="1" x14ac:dyDescent="0.25">
      <c r="A191" s="567" t="s">
        <v>168</v>
      </c>
      <c r="B191" s="644" t="s">
        <v>168</v>
      </c>
      <c r="C191" s="645"/>
      <c r="D191" s="451" t="s">
        <v>223</v>
      </c>
      <c r="E191" s="423"/>
      <c r="F191" s="418"/>
      <c r="G191" s="425">
        <v>2.4</v>
      </c>
      <c r="H191" s="649">
        <f t="shared" ref="H191:H200" si="54">IF(F191&lt;=30,(1.07*F191+2.68)*G191,((1.07*30+2.68)+1.07*(F191-30))*G191)</f>
        <v>6.4320000000000004</v>
      </c>
      <c r="I191" s="420">
        <v>0</v>
      </c>
      <c r="J191" s="420"/>
      <c r="K191" s="421">
        <f t="shared" si="53"/>
        <v>0</v>
      </c>
      <c r="L191" s="647" t="s">
        <v>614</v>
      </c>
      <c r="M191" s="669"/>
      <c r="N191" s="576">
        <f t="shared" si="35"/>
        <v>0</v>
      </c>
      <c r="O191" s="577">
        <f t="shared" si="41"/>
        <v>0</v>
      </c>
      <c r="P191" s="578">
        <f t="shared" si="42"/>
        <v>0</v>
      </c>
      <c r="Q191" s="765"/>
      <c r="R191" s="669"/>
      <c r="S191" s="670"/>
      <c r="T191" s="577">
        <f t="shared" si="44"/>
        <v>0</v>
      </c>
      <c r="U191" s="578">
        <f t="shared" si="45"/>
        <v>0</v>
      </c>
      <c r="V191" s="579"/>
      <c r="W191" s="637" t="str">
        <f>IF(U189&gt;0,"xx",IF(P189&gt;0,"xy",""))</f>
        <v/>
      </c>
      <c r="X191" s="586" t="str">
        <f t="shared" si="47"/>
        <v/>
      </c>
      <c r="Y191" s="586" t="str">
        <f t="shared" si="33"/>
        <v/>
      </c>
      <c r="Z191" s="586" t="str">
        <f t="shared" si="39"/>
        <v/>
      </c>
    </row>
    <row r="192" spans="1:26" ht="12" hidden="1" thickBot="1" x14ac:dyDescent="0.25">
      <c r="A192" s="567" t="s">
        <v>168</v>
      </c>
      <c r="B192" s="644" t="s">
        <v>168</v>
      </c>
      <c r="C192" s="645"/>
      <c r="D192" s="451" t="s">
        <v>224</v>
      </c>
      <c r="E192" s="423"/>
      <c r="F192" s="418">
        <v>20</v>
      </c>
      <c r="G192" s="425">
        <v>2.4</v>
      </c>
      <c r="H192" s="649">
        <f t="shared" si="54"/>
        <v>57.792000000000002</v>
      </c>
      <c r="I192" s="420">
        <v>0</v>
      </c>
      <c r="J192" s="420"/>
      <c r="K192" s="421">
        <f t="shared" si="53"/>
        <v>0</v>
      </c>
      <c r="L192" s="647" t="s">
        <v>614</v>
      </c>
      <c r="M192" s="669"/>
      <c r="N192" s="576">
        <f t="shared" si="35"/>
        <v>0</v>
      </c>
      <c r="O192" s="577">
        <f t="shared" si="41"/>
        <v>0</v>
      </c>
      <c r="P192" s="578">
        <f t="shared" si="42"/>
        <v>0</v>
      </c>
      <c r="Q192" s="765"/>
      <c r="R192" s="669"/>
      <c r="S192" s="670"/>
      <c r="T192" s="577">
        <f t="shared" si="44"/>
        <v>0</v>
      </c>
      <c r="U192" s="578">
        <f t="shared" si="45"/>
        <v>0</v>
      </c>
      <c r="V192" s="579"/>
      <c r="W192" s="637" t="str">
        <f>IF($U$141&gt;0,"xx",IF($P$141&gt;0,"xy",""))</f>
        <v/>
      </c>
      <c r="X192" s="586" t="str">
        <f t="shared" si="47"/>
        <v/>
      </c>
      <c r="Y192" s="586" t="str">
        <f t="shared" si="33"/>
        <v/>
      </c>
      <c r="Z192" s="586" t="str">
        <f t="shared" si="39"/>
        <v/>
      </c>
    </row>
    <row r="193" spans="1:26" ht="12" hidden="1" thickBot="1" x14ac:dyDescent="0.25">
      <c r="A193" s="567">
        <v>531350</v>
      </c>
      <c r="B193" s="644">
        <v>531350</v>
      </c>
      <c r="C193" s="645" t="s">
        <v>206</v>
      </c>
      <c r="D193" s="422" t="s">
        <v>217</v>
      </c>
      <c r="E193" s="423"/>
      <c r="F193" s="418"/>
      <c r="G193" s="419"/>
      <c r="H193" s="667">
        <f>SUM(H194:H195)</f>
        <v>48.882400000000004</v>
      </c>
      <c r="I193" s="420">
        <v>103.35</v>
      </c>
      <c r="J193" s="420">
        <f>IF(ISBLANK(I193),"",SUM(H193:I193))</f>
        <v>152.23239999999998</v>
      </c>
      <c r="K193" s="421">
        <f t="shared" si="53"/>
        <v>180.87</v>
      </c>
      <c r="L193" s="647" t="s">
        <v>16</v>
      </c>
      <c r="M193" s="576"/>
      <c r="N193" s="576">
        <f t="shared" si="35"/>
        <v>0</v>
      </c>
      <c r="O193" s="577">
        <f t="shared" si="41"/>
        <v>0</v>
      </c>
      <c r="P193" s="578">
        <f t="shared" si="42"/>
        <v>0</v>
      </c>
      <c r="Q193" s="765"/>
      <c r="R193" s="576">
        <f t="shared" si="43"/>
        <v>0</v>
      </c>
      <c r="S193" s="576">
        <f t="shared" si="43"/>
        <v>0</v>
      </c>
      <c r="T193" s="577">
        <f t="shared" si="44"/>
        <v>0</v>
      </c>
      <c r="U193" s="578">
        <f t="shared" si="45"/>
        <v>0</v>
      </c>
      <c r="V193" s="579"/>
      <c r="W193" s="566"/>
      <c r="X193" s="586" t="str">
        <f t="shared" si="47"/>
        <v/>
      </c>
      <c r="Y193" s="586" t="str">
        <f t="shared" si="33"/>
        <v/>
      </c>
      <c r="Z193" s="586" t="str">
        <f t="shared" si="39"/>
        <v/>
      </c>
    </row>
    <row r="194" spans="1:26" ht="12" hidden="1" thickBot="1" x14ac:dyDescent="0.25">
      <c r="A194" s="567" t="s">
        <v>168</v>
      </c>
      <c r="B194" s="644" t="s">
        <v>168</v>
      </c>
      <c r="C194" s="645"/>
      <c r="D194" s="451" t="s">
        <v>218</v>
      </c>
      <c r="E194" s="423"/>
      <c r="F194" s="418">
        <v>20</v>
      </c>
      <c r="G194" s="419">
        <v>1.35</v>
      </c>
      <c r="H194" s="649">
        <f t="shared" si="54"/>
        <v>32.508000000000003</v>
      </c>
      <c r="I194" s="420">
        <v>0</v>
      </c>
      <c r="J194" s="420"/>
      <c r="K194" s="421">
        <f t="shared" si="53"/>
        <v>0</v>
      </c>
      <c r="L194" s="647" t="s">
        <v>614</v>
      </c>
      <c r="M194" s="669"/>
      <c r="N194" s="576">
        <f t="shared" si="35"/>
        <v>0</v>
      </c>
      <c r="O194" s="577">
        <f t="shared" si="41"/>
        <v>0</v>
      </c>
      <c r="P194" s="578">
        <f t="shared" si="42"/>
        <v>0</v>
      </c>
      <c r="Q194" s="765"/>
      <c r="R194" s="669"/>
      <c r="S194" s="670"/>
      <c r="T194" s="577">
        <f t="shared" si="44"/>
        <v>0</v>
      </c>
      <c r="U194" s="578">
        <f t="shared" si="45"/>
        <v>0</v>
      </c>
      <c r="V194" s="579"/>
      <c r="W194" s="637" t="str">
        <f>IF(U193&gt;0,"xx",IF(P193&gt;0,"xy",""))</f>
        <v/>
      </c>
      <c r="X194" s="586" t="str">
        <f t="shared" si="47"/>
        <v/>
      </c>
      <c r="Y194" s="586" t="str">
        <f t="shared" si="33"/>
        <v/>
      </c>
      <c r="Z194" s="586" t="str">
        <f t="shared" si="39"/>
        <v/>
      </c>
    </row>
    <row r="195" spans="1:26" ht="12" hidden="1" thickBot="1" x14ac:dyDescent="0.25">
      <c r="A195" s="567" t="s">
        <v>168</v>
      </c>
      <c r="B195" s="644" t="s">
        <v>168</v>
      </c>
      <c r="C195" s="645"/>
      <c r="D195" s="451" t="s">
        <v>219</v>
      </c>
      <c r="E195" s="423"/>
      <c r="F195" s="418">
        <v>20</v>
      </c>
      <c r="G195" s="419">
        <v>0.68</v>
      </c>
      <c r="H195" s="649">
        <f t="shared" si="54"/>
        <v>16.374400000000001</v>
      </c>
      <c r="I195" s="420">
        <v>0</v>
      </c>
      <c r="J195" s="420"/>
      <c r="K195" s="421">
        <f t="shared" si="53"/>
        <v>0</v>
      </c>
      <c r="L195" s="647" t="s">
        <v>614</v>
      </c>
      <c r="M195" s="669"/>
      <c r="N195" s="576">
        <f t="shared" si="35"/>
        <v>0</v>
      </c>
      <c r="O195" s="577">
        <f t="shared" si="41"/>
        <v>0</v>
      </c>
      <c r="P195" s="578">
        <f t="shared" si="42"/>
        <v>0</v>
      </c>
      <c r="Q195" s="765"/>
      <c r="R195" s="669"/>
      <c r="S195" s="670"/>
      <c r="T195" s="577">
        <f t="shared" si="44"/>
        <v>0</v>
      </c>
      <c r="U195" s="578">
        <f t="shared" si="45"/>
        <v>0</v>
      </c>
      <c r="V195" s="579"/>
      <c r="W195" s="637" t="str">
        <f>IF(U193&gt;0,"xx",IF(P193&gt;0,"xy",""))</f>
        <v/>
      </c>
      <c r="X195" s="586" t="str">
        <f t="shared" si="47"/>
        <v/>
      </c>
      <c r="Y195" s="586" t="str">
        <f t="shared" si="33"/>
        <v/>
      </c>
      <c r="Z195" s="586" t="str">
        <f t="shared" si="39"/>
        <v/>
      </c>
    </row>
    <row r="196" spans="1:26" ht="12" hidden="1" thickBot="1" x14ac:dyDescent="0.25">
      <c r="A196" s="567">
        <v>531300</v>
      </c>
      <c r="B196" s="644">
        <v>531300</v>
      </c>
      <c r="C196" s="645" t="s">
        <v>206</v>
      </c>
      <c r="D196" s="422" t="s">
        <v>220</v>
      </c>
      <c r="E196" s="423"/>
      <c r="F196" s="418"/>
      <c r="G196" s="419"/>
      <c r="H196" s="667">
        <f>SUM(H197:H198)</f>
        <v>48.882400000000004</v>
      </c>
      <c r="I196" s="420">
        <v>106.52999999999999</v>
      </c>
      <c r="J196" s="420">
        <f>IF(ISBLANK(I196),"",SUM(H196:I196))</f>
        <v>155.41239999999999</v>
      </c>
      <c r="K196" s="421">
        <f t="shared" si="53"/>
        <v>184.65</v>
      </c>
      <c r="L196" s="647" t="s">
        <v>16</v>
      </c>
      <c r="M196" s="576"/>
      <c r="N196" s="576">
        <f t="shared" si="35"/>
        <v>0</v>
      </c>
      <c r="O196" s="577">
        <f t="shared" si="41"/>
        <v>0</v>
      </c>
      <c r="P196" s="578">
        <f t="shared" si="42"/>
        <v>0</v>
      </c>
      <c r="Q196" s="765"/>
      <c r="R196" s="576">
        <f t="shared" si="43"/>
        <v>0</v>
      </c>
      <c r="S196" s="576">
        <f t="shared" si="43"/>
        <v>0</v>
      </c>
      <c r="T196" s="577">
        <f t="shared" si="44"/>
        <v>0</v>
      </c>
      <c r="U196" s="578">
        <f t="shared" si="45"/>
        <v>0</v>
      </c>
      <c r="V196" s="579"/>
      <c r="W196" s="566"/>
      <c r="X196" s="586" t="str">
        <f t="shared" si="47"/>
        <v/>
      </c>
      <c r="Y196" s="586" t="str">
        <f t="shared" si="33"/>
        <v/>
      </c>
      <c r="Z196" s="586" t="str">
        <f t="shared" si="39"/>
        <v/>
      </c>
    </row>
    <row r="197" spans="1:26" ht="12" hidden="1" thickBot="1" x14ac:dyDescent="0.25">
      <c r="A197" s="567" t="s">
        <v>168</v>
      </c>
      <c r="B197" s="644" t="s">
        <v>168</v>
      </c>
      <c r="C197" s="645"/>
      <c r="D197" s="451" t="s">
        <v>218</v>
      </c>
      <c r="E197" s="423"/>
      <c r="F197" s="418">
        <v>20</v>
      </c>
      <c r="G197" s="419">
        <v>1.35</v>
      </c>
      <c r="H197" s="649">
        <f t="shared" si="54"/>
        <v>32.508000000000003</v>
      </c>
      <c r="I197" s="420">
        <v>0</v>
      </c>
      <c r="J197" s="420"/>
      <c r="K197" s="421">
        <f t="shared" si="53"/>
        <v>0</v>
      </c>
      <c r="L197" s="647" t="s">
        <v>614</v>
      </c>
      <c r="M197" s="669"/>
      <c r="N197" s="576">
        <f t="shared" si="35"/>
        <v>0</v>
      </c>
      <c r="O197" s="577">
        <f t="shared" si="41"/>
        <v>0</v>
      </c>
      <c r="P197" s="578">
        <f t="shared" si="42"/>
        <v>0</v>
      </c>
      <c r="Q197" s="765"/>
      <c r="R197" s="669"/>
      <c r="S197" s="670"/>
      <c r="T197" s="577">
        <f t="shared" si="44"/>
        <v>0</v>
      </c>
      <c r="U197" s="578">
        <f t="shared" si="45"/>
        <v>0</v>
      </c>
      <c r="V197" s="579"/>
      <c r="W197" s="637" t="str">
        <f>IF(U196&gt;0,"xx",IF(P196&gt;0,"xy",""))</f>
        <v/>
      </c>
      <c r="X197" s="586" t="str">
        <f t="shared" si="47"/>
        <v/>
      </c>
      <c r="Y197" s="586" t="str">
        <f t="shared" si="33"/>
        <v/>
      </c>
      <c r="Z197" s="586" t="str">
        <f t="shared" si="39"/>
        <v/>
      </c>
    </row>
    <row r="198" spans="1:26" ht="12" hidden="1" thickBot="1" x14ac:dyDescent="0.25">
      <c r="A198" s="567" t="s">
        <v>168</v>
      </c>
      <c r="B198" s="644" t="s">
        <v>168</v>
      </c>
      <c r="C198" s="645"/>
      <c r="D198" s="451" t="s">
        <v>219</v>
      </c>
      <c r="E198" s="423"/>
      <c r="F198" s="418">
        <v>20</v>
      </c>
      <c r="G198" s="419">
        <v>0.68</v>
      </c>
      <c r="H198" s="649">
        <f t="shared" si="54"/>
        <v>16.374400000000001</v>
      </c>
      <c r="I198" s="420">
        <v>0</v>
      </c>
      <c r="J198" s="420"/>
      <c r="K198" s="421">
        <f t="shared" si="53"/>
        <v>0</v>
      </c>
      <c r="L198" s="647" t="s">
        <v>614</v>
      </c>
      <c r="M198" s="669"/>
      <c r="N198" s="576">
        <f t="shared" si="35"/>
        <v>0</v>
      </c>
      <c r="O198" s="577">
        <f t="shared" si="41"/>
        <v>0</v>
      </c>
      <c r="P198" s="578">
        <f t="shared" si="42"/>
        <v>0</v>
      </c>
      <c r="Q198" s="765"/>
      <c r="R198" s="669"/>
      <c r="S198" s="670"/>
      <c r="T198" s="577">
        <f t="shared" si="44"/>
        <v>0</v>
      </c>
      <c r="U198" s="578">
        <f t="shared" si="45"/>
        <v>0</v>
      </c>
      <c r="V198" s="579"/>
      <c r="W198" s="637" t="str">
        <f>IF(U196&gt;0,"xx",IF(P196&gt;0,"xy",""))</f>
        <v/>
      </c>
      <c r="X198" s="586" t="str">
        <f t="shared" si="47"/>
        <v/>
      </c>
      <c r="Y198" s="586" t="str">
        <f t="shared" si="33"/>
        <v/>
      </c>
      <c r="Z198" s="586" t="str">
        <f t="shared" si="39"/>
        <v/>
      </c>
    </row>
    <row r="199" spans="1:26" ht="12" hidden="1" thickBot="1" x14ac:dyDescent="0.25">
      <c r="A199" s="567">
        <v>532000</v>
      </c>
      <c r="B199" s="644">
        <v>532000</v>
      </c>
      <c r="C199" s="645"/>
      <c r="D199" s="422" t="s">
        <v>221</v>
      </c>
      <c r="E199" s="423"/>
      <c r="F199" s="424">
        <v>20</v>
      </c>
      <c r="G199" s="425">
        <v>2.2000000000000002</v>
      </c>
      <c r="H199" s="649">
        <f t="shared" si="54"/>
        <v>52.976000000000006</v>
      </c>
      <c r="I199" s="420">
        <v>120.07</v>
      </c>
      <c r="J199" s="420">
        <f>IF(ISBLANK(I199),"",SUM(H199:I199))</f>
        <v>173.04599999999999</v>
      </c>
      <c r="K199" s="421">
        <f>IF(ISBLANK(I199),0,ROUND(J199*(1+$F$10)*(1+$F$11*E199),2))</f>
        <v>205.6</v>
      </c>
      <c r="L199" s="647" t="s">
        <v>16</v>
      </c>
      <c r="M199" s="587"/>
      <c r="N199" s="576">
        <f t="shared" si="35"/>
        <v>0</v>
      </c>
      <c r="O199" s="577">
        <f>IF(ISBLANK(M199),0,ROUND(K199*M199,2))</f>
        <v>0</v>
      </c>
      <c r="P199" s="578">
        <f>IF(ISBLANK(N199),0,ROUND(M199*N199,2))</f>
        <v>0</v>
      </c>
      <c r="Q199" s="765"/>
      <c r="R199" s="650">
        <f>M199</f>
        <v>0</v>
      </c>
      <c r="S199" s="587">
        <f>N199</f>
        <v>0</v>
      </c>
      <c r="T199" s="577">
        <f>IF(ISBLANK(R199),0,ROUND(K199*R199,2))</f>
        <v>0</v>
      </c>
      <c r="U199" s="578">
        <f>IF(ISBLANK(R199),0,ROUND(R199*S199,2))</f>
        <v>0</v>
      </c>
      <c r="V199" s="579"/>
      <c r="W199" s="566"/>
      <c r="X199" s="586" t="str">
        <f>IF(W199="X","x",IF(W199="xx","x",IF(W199="xy","x",IF(W199="y","x",IF(OR(P199&gt;0,U199&gt;0),"x","")))))</f>
        <v/>
      </c>
      <c r="Y199" s="586" t="str">
        <f>IF(W199="X","x",IF(W199="y","x",IF(W199="xx","x",IF(U199&gt;0,"x",""))))</f>
        <v/>
      </c>
      <c r="Z199" s="586" t="str">
        <f>IF(W199="X","x",IF(U199&gt;0,"x",""))</f>
        <v/>
      </c>
    </row>
    <row r="200" spans="1:26" ht="23.25" hidden="1" thickBot="1" x14ac:dyDescent="0.25">
      <c r="A200" s="567">
        <v>96398</v>
      </c>
      <c r="B200" s="644">
        <v>96398</v>
      </c>
      <c r="C200" s="645" t="s">
        <v>670</v>
      </c>
      <c r="D200" s="422" t="s">
        <v>1882</v>
      </c>
      <c r="E200" s="423"/>
      <c r="F200" s="424">
        <v>20</v>
      </c>
      <c r="G200" s="425">
        <v>2.4</v>
      </c>
      <c r="H200" s="649">
        <f t="shared" si="54"/>
        <v>57.792000000000002</v>
      </c>
      <c r="I200" s="420">
        <v>243.38</v>
      </c>
      <c r="J200" s="420">
        <f>IF(ISBLANK(I200),"",SUM(H200:I200))</f>
        <v>301.17200000000003</v>
      </c>
      <c r="K200" s="421">
        <f t="shared" si="53"/>
        <v>357.82</v>
      </c>
      <c r="L200" s="647" t="s">
        <v>16</v>
      </c>
      <c r="M200" s="587"/>
      <c r="N200" s="576">
        <f t="shared" si="35"/>
        <v>0</v>
      </c>
      <c r="O200" s="577">
        <f t="shared" si="41"/>
        <v>0</v>
      </c>
      <c r="P200" s="578">
        <f t="shared" si="42"/>
        <v>0</v>
      </c>
      <c r="Q200" s="765"/>
      <c r="R200" s="650">
        <f t="shared" si="43"/>
        <v>0</v>
      </c>
      <c r="S200" s="587">
        <f t="shared" si="43"/>
        <v>0</v>
      </c>
      <c r="T200" s="577">
        <f t="shared" si="44"/>
        <v>0</v>
      </c>
      <c r="U200" s="578">
        <f t="shared" si="45"/>
        <v>0</v>
      </c>
      <c r="V200" s="579"/>
      <c r="W200" s="566"/>
      <c r="X200" s="586" t="str">
        <f t="shared" si="47"/>
        <v/>
      </c>
      <c r="Y200" s="586" t="str">
        <f t="shared" si="33"/>
        <v/>
      </c>
      <c r="Z200" s="586" t="str">
        <f t="shared" si="39"/>
        <v/>
      </c>
    </row>
    <row r="201" spans="1:26" ht="12" hidden="1" thickBot="1" x14ac:dyDescent="0.25">
      <c r="A201" s="652" t="s">
        <v>187</v>
      </c>
      <c r="B201" s="653" t="s">
        <v>187</v>
      </c>
      <c r="C201" s="654"/>
      <c r="D201" s="427" t="s">
        <v>466</v>
      </c>
      <c r="E201" s="491"/>
      <c r="F201" s="655"/>
      <c r="G201" s="656"/>
      <c r="H201" s="672"/>
      <c r="I201" s="429"/>
      <c r="J201" s="429"/>
      <c r="K201" s="429"/>
      <c r="L201" s="673" t="s">
        <v>614</v>
      </c>
      <c r="M201" s="657"/>
      <c r="N201" s="576">
        <f t="shared" si="35"/>
        <v>0</v>
      </c>
      <c r="O201" s="429">
        <f t="shared" si="41"/>
        <v>0</v>
      </c>
      <c r="P201" s="658">
        <f t="shared" si="42"/>
        <v>0</v>
      </c>
      <c r="Q201" s="765"/>
      <c r="R201" s="657"/>
      <c r="S201" s="429"/>
      <c r="T201" s="429">
        <f t="shared" si="44"/>
        <v>0</v>
      </c>
      <c r="U201" s="658">
        <f t="shared" si="45"/>
        <v>0</v>
      </c>
      <c r="V201" s="579"/>
      <c r="W201" s="637" t="str">
        <f>IF(OR(SUM(P202:P226)&gt;0,SUM(U202:U226)&gt;0),"y","")</f>
        <v/>
      </c>
      <c r="X201" s="586" t="str">
        <f t="shared" si="47"/>
        <v/>
      </c>
      <c r="Y201" s="586" t="str">
        <f t="shared" si="33"/>
        <v/>
      </c>
      <c r="Z201" s="586" t="str">
        <f t="shared" si="39"/>
        <v/>
      </c>
    </row>
    <row r="202" spans="1:26" ht="12" hidden="1" thickBot="1" x14ac:dyDescent="0.25">
      <c r="A202" s="652" t="s">
        <v>187</v>
      </c>
      <c r="B202" s="572" t="s">
        <v>187</v>
      </c>
      <c r="C202" s="573" t="s">
        <v>187</v>
      </c>
      <c r="D202" s="574"/>
      <c r="E202" s="575"/>
      <c r="F202" s="436"/>
      <c r="G202" s="431"/>
      <c r="H202" s="436"/>
      <c r="I202" s="432"/>
      <c r="J202" s="433"/>
      <c r="K202" s="434">
        <f t="shared" ref="K202:K226" si="55">IF(ISBLANK(J202),0,ROUND(J202*(1+$F$10)*(1+$F$11*E202),2))</f>
        <v>0</v>
      </c>
      <c r="L202" s="452" t="s">
        <v>614</v>
      </c>
      <c r="M202" s="587"/>
      <c r="N202" s="576">
        <f t="shared" si="35"/>
        <v>0</v>
      </c>
      <c r="O202" s="577">
        <f t="shared" si="41"/>
        <v>0</v>
      </c>
      <c r="P202" s="578">
        <f t="shared" si="42"/>
        <v>0</v>
      </c>
      <c r="Q202" s="765"/>
      <c r="R202" s="650">
        <f t="shared" si="43"/>
        <v>0</v>
      </c>
      <c r="S202" s="587">
        <f t="shared" si="43"/>
        <v>0</v>
      </c>
      <c r="T202" s="577">
        <f t="shared" si="44"/>
        <v>0</v>
      </c>
      <c r="U202" s="578">
        <f t="shared" si="45"/>
        <v>0</v>
      </c>
      <c r="V202" s="579"/>
      <c r="W202" s="566"/>
      <c r="X202" s="586" t="str">
        <f t="shared" si="47"/>
        <v/>
      </c>
      <c r="Y202" s="586" t="str">
        <f t="shared" si="33"/>
        <v/>
      </c>
      <c r="Z202" s="586" t="str">
        <f t="shared" si="39"/>
        <v/>
      </c>
    </row>
    <row r="203" spans="1:26" ht="12" hidden="1" thickBot="1" x14ac:dyDescent="0.25">
      <c r="A203" s="652" t="s">
        <v>187</v>
      </c>
      <c r="B203" s="572" t="s">
        <v>187</v>
      </c>
      <c r="C203" s="573" t="s">
        <v>187</v>
      </c>
      <c r="D203" s="580"/>
      <c r="E203" s="575"/>
      <c r="F203" s="436"/>
      <c r="G203" s="431"/>
      <c r="H203" s="436"/>
      <c r="I203" s="432"/>
      <c r="J203" s="433"/>
      <c r="K203" s="437">
        <f t="shared" si="55"/>
        <v>0</v>
      </c>
      <c r="L203" s="452" t="s">
        <v>614</v>
      </c>
      <c r="M203" s="576"/>
      <c r="N203" s="576">
        <f t="shared" si="35"/>
        <v>0</v>
      </c>
      <c r="O203" s="577">
        <f t="shared" si="41"/>
        <v>0</v>
      </c>
      <c r="P203" s="578">
        <f t="shared" si="42"/>
        <v>0</v>
      </c>
      <c r="Q203" s="765"/>
      <c r="R203" s="576">
        <f t="shared" si="43"/>
        <v>0</v>
      </c>
      <c r="S203" s="576">
        <f t="shared" si="43"/>
        <v>0</v>
      </c>
      <c r="T203" s="577">
        <f t="shared" si="44"/>
        <v>0</v>
      </c>
      <c r="U203" s="659">
        <f t="shared" si="45"/>
        <v>0</v>
      </c>
      <c r="V203" s="579"/>
      <c r="W203" s="566"/>
      <c r="X203" s="586" t="str">
        <f t="shared" si="47"/>
        <v/>
      </c>
      <c r="Y203" s="586" t="str">
        <f t="shared" si="33"/>
        <v/>
      </c>
      <c r="Z203" s="586" t="str">
        <f t="shared" si="39"/>
        <v/>
      </c>
    </row>
    <row r="204" spans="1:26" ht="12" hidden="1" thickBot="1" x14ac:dyDescent="0.25">
      <c r="A204" s="652" t="s">
        <v>187</v>
      </c>
      <c r="B204" s="572" t="s">
        <v>187</v>
      </c>
      <c r="C204" s="573" t="s">
        <v>187</v>
      </c>
      <c r="D204" s="580"/>
      <c r="E204" s="575"/>
      <c r="F204" s="436"/>
      <c r="G204" s="431"/>
      <c r="H204" s="430"/>
      <c r="I204" s="432"/>
      <c r="J204" s="433"/>
      <c r="K204" s="437">
        <f t="shared" si="55"/>
        <v>0</v>
      </c>
      <c r="L204" s="452" t="s">
        <v>614</v>
      </c>
      <c r="M204" s="576"/>
      <c r="N204" s="576">
        <f t="shared" si="35"/>
        <v>0</v>
      </c>
      <c r="O204" s="577">
        <f t="shared" si="41"/>
        <v>0</v>
      </c>
      <c r="P204" s="578">
        <f t="shared" si="42"/>
        <v>0</v>
      </c>
      <c r="Q204" s="765"/>
      <c r="R204" s="576">
        <f t="shared" si="43"/>
        <v>0</v>
      </c>
      <c r="S204" s="576">
        <f t="shared" si="43"/>
        <v>0</v>
      </c>
      <c r="T204" s="577">
        <f t="shared" si="44"/>
        <v>0</v>
      </c>
      <c r="U204" s="578">
        <f t="shared" si="45"/>
        <v>0</v>
      </c>
      <c r="V204" s="579"/>
      <c r="W204" s="566"/>
      <c r="X204" s="586" t="str">
        <f t="shared" si="47"/>
        <v/>
      </c>
      <c r="Y204" s="586" t="str">
        <f t="shared" si="33"/>
        <v/>
      </c>
      <c r="Z204" s="586" t="str">
        <f t="shared" si="39"/>
        <v/>
      </c>
    </row>
    <row r="205" spans="1:26" ht="12" hidden="1" thickBot="1" x14ac:dyDescent="0.25">
      <c r="A205" s="652" t="s">
        <v>187</v>
      </c>
      <c r="B205" s="572" t="s">
        <v>187</v>
      </c>
      <c r="C205" s="573" t="s">
        <v>187</v>
      </c>
      <c r="D205" s="580"/>
      <c r="E205" s="575"/>
      <c r="F205" s="436"/>
      <c r="G205" s="431"/>
      <c r="H205" s="430"/>
      <c r="I205" s="432"/>
      <c r="J205" s="433"/>
      <c r="K205" s="437">
        <f t="shared" si="55"/>
        <v>0</v>
      </c>
      <c r="L205" s="452" t="s">
        <v>614</v>
      </c>
      <c r="M205" s="576"/>
      <c r="N205" s="576">
        <f t="shared" si="35"/>
        <v>0</v>
      </c>
      <c r="O205" s="577">
        <f t="shared" si="41"/>
        <v>0</v>
      </c>
      <c r="P205" s="578">
        <f t="shared" si="42"/>
        <v>0</v>
      </c>
      <c r="Q205" s="765"/>
      <c r="R205" s="576">
        <f t="shared" si="43"/>
        <v>0</v>
      </c>
      <c r="S205" s="576">
        <f t="shared" si="43"/>
        <v>0</v>
      </c>
      <c r="T205" s="577">
        <f t="shared" si="44"/>
        <v>0</v>
      </c>
      <c r="U205" s="578">
        <f t="shared" si="45"/>
        <v>0</v>
      </c>
      <c r="V205" s="579"/>
      <c r="W205" s="566"/>
      <c r="X205" s="586" t="str">
        <f t="shared" si="47"/>
        <v/>
      </c>
      <c r="Y205" s="586" t="str">
        <f t="shared" si="33"/>
        <v/>
      </c>
      <c r="Z205" s="586" t="str">
        <f t="shared" si="39"/>
        <v/>
      </c>
    </row>
    <row r="206" spans="1:26" ht="12" hidden="1" thickBot="1" x14ac:dyDescent="0.25">
      <c r="A206" s="652" t="s">
        <v>187</v>
      </c>
      <c r="B206" s="572" t="s">
        <v>187</v>
      </c>
      <c r="C206" s="573" t="s">
        <v>187</v>
      </c>
      <c r="D206" s="580"/>
      <c r="E206" s="575"/>
      <c r="F206" s="436"/>
      <c r="G206" s="431"/>
      <c r="H206" s="430"/>
      <c r="I206" s="432"/>
      <c r="J206" s="433"/>
      <c r="K206" s="437">
        <f t="shared" si="55"/>
        <v>0</v>
      </c>
      <c r="L206" s="452" t="s">
        <v>614</v>
      </c>
      <c r="M206" s="576"/>
      <c r="N206" s="576">
        <f t="shared" si="35"/>
        <v>0</v>
      </c>
      <c r="O206" s="577">
        <f t="shared" si="41"/>
        <v>0</v>
      </c>
      <c r="P206" s="578">
        <f t="shared" si="42"/>
        <v>0</v>
      </c>
      <c r="Q206" s="765"/>
      <c r="R206" s="576">
        <f t="shared" si="43"/>
        <v>0</v>
      </c>
      <c r="S206" s="576">
        <f t="shared" si="43"/>
        <v>0</v>
      </c>
      <c r="T206" s="577">
        <f t="shared" si="44"/>
        <v>0</v>
      </c>
      <c r="U206" s="578">
        <f t="shared" si="45"/>
        <v>0</v>
      </c>
      <c r="V206" s="579"/>
      <c r="W206" s="566"/>
      <c r="X206" s="586" t="str">
        <f t="shared" si="47"/>
        <v/>
      </c>
      <c r="Y206" s="586" t="str">
        <f t="shared" si="33"/>
        <v/>
      </c>
      <c r="Z206" s="586" t="str">
        <f t="shared" si="39"/>
        <v/>
      </c>
    </row>
    <row r="207" spans="1:26" ht="12" hidden="1" thickBot="1" x14ac:dyDescent="0.25">
      <c r="A207" s="652" t="s">
        <v>187</v>
      </c>
      <c r="B207" s="572" t="s">
        <v>187</v>
      </c>
      <c r="C207" s="573" t="s">
        <v>187</v>
      </c>
      <c r="D207" s="580"/>
      <c r="E207" s="575"/>
      <c r="F207" s="436"/>
      <c r="G207" s="431"/>
      <c r="H207" s="430"/>
      <c r="I207" s="432"/>
      <c r="J207" s="433"/>
      <c r="K207" s="437">
        <f t="shared" si="55"/>
        <v>0</v>
      </c>
      <c r="L207" s="452" t="s">
        <v>614</v>
      </c>
      <c r="M207" s="576"/>
      <c r="N207" s="576">
        <f t="shared" si="35"/>
        <v>0</v>
      </c>
      <c r="O207" s="577">
        <f t="shared" si="41"/>
        <v>0</v>
      </c>
      <c r="P207" s="578">
        <f t="shared" si="42"/>
        <v>0</v>
      </c>
      <c r="Q207" s="765"/>
      <c r="R207" s="576">
        <f t="shared" si="43"/>
        <v>0</v>
      </c>
      <c r="S207" s="576">
        <f t="shared" si="43"/>
        <v>0</v>
      </c>
      <c r="T207" s="577">
        <f t="shared" si="44"/>
        <v>0</v>
      </c>
      <c r="U207" s="578">
        <f t="shared" si="45"/>
        <v>0</v>
      </c>
      <c r="V207" s="579"/>
      <c r="W207" s="566"/>
      <c r="X207" s="586" t="str">
        <f t="shared" si="47"/>
        <v/>
      </c>
      <c r="Y207" s="586" t="str">
        <f t="shared" si="33"/>
        <v/>
      </c>
      <c r="Z207" s="586" t="str">
        <f t="shared" si="39"/>
        <v/>
      </c>
    </row>
    <row r="208" spans="1:26" ht="12" hidden="1" thickBot="1" x14ac:dyDescent="0.25">
      <c r="A208" s="652" t="s">
        <v>187</v>
      </c>
      <c r="B208" s="572" t="s">
        <v>187</v>
      </c>
      <c r="C208" s="573" t="s">
        <v>187</v>
      </c>
      <c r="D208" s="580"/>
      <c r="E208" s="575"/>
      <c r="F208" s="436"/>
      <c r="G208" s="431"/>
      <c r="H208" s="430"/>
      <c r="I208" s="432"/>
      <c r="J208" s="433"/>
      <c r="K208" s="437">
        <f t="shared" si="55"/>
        <v>0</v>
      </c>
      <c r="L208" s="452" t="s">
        <v>614</v>
      </c>
      <c r="M208" s="576"/>
      <c r="N208" s="576">
        <f t="shared" si="35"/>
        <v>0</v>
      </c>
      <c r="O208" s="577">
        <f t="shared" si="41"/>
        <v>0</v>
      </c>
      <c r="P208" s="578">
        <f t="shared" si="42"/>
        <v>0</v>
      </c>
      <c r="Q208" s="765"/>
      <c r="R208" s="576">
        <f t="shared" si="43"/>
        <v>0</v>
      </c>
      <c r="S208" s="576">
        <f t="shared" si="43"/>
        <v>0</v>
      </c>
      <c r="T208" s="577">
        <f t="shared" si="44"/>
        <v>0</v>
      </c>
      <c r="U208" s="578">
        <f t="shared" si="45"/>
        <v>0</v>
      </c>
      <c r="V208" s="579"/>
      <c r="W208" s="566"/>
      <c r="X208" s="586" t="str">
        <f t="shared" si="47"/>
        <v/>
      </c>
      <c r="Y208" s="586" t="str">
        <f t="shared" si="33"/>
        <v/>
      </c>
      <c r="Z208" s="586" t="str">
        <f t="shared" si="39"/>
        <v/>
      </c>
    </row>
    <row r="209" spans="1:26" ht="12" hidden="1" thickBot="1" x14ac:dyDescent="0.25">
      <c r="A209" s="652" t="s">
        <v>187</v>
      </c>
      <c r="B209" s="572" t="s">
        <v>187</v>
      </c>
      <c r="C209" s="573" t="s">
        <v>187</v>
      </c>
      <c r="D209" s="580"/>
      <c r="E209" s="575"/>
      <c r="F209" s="436"/>
      <c r="G209" s="431"/>
      <c r="H209" s="430"/>
      <c r="I209" s="432"/>
      <c r="J209" s="433"/>
      <c r="K209" s="437">
        <f t="shared" si="55"/>
        <v>0</v>
      </c>
      <c r="L209" s="452" t="s">
        <v>614</v>
      </c>
      <c r="M209" s="576"/>
      <c r="N209" s="576">
        <f t="shared" si="35"/>
        <v>0</v>
      </c>
      <c r="O209" s="577">
        <f t="shared" si="41"/>
        <v>0</v>
      </c>
      <c r="P209" s="578">
        <f t="shared" si="42"/>
        <v>0</v>
      </c>
      <c r="Q209" s="765"/>
      <c r="R209" s="576">
        <f t="shared" si="43"/>
        <v>0</v>
      </c>
      <c r="S209" s="576">
        <f t="shared" si="43"/>
        <v>0</v>
      </c>
      <c r="T209" s="577">
        <f t="shared" si="44"/>
        <v>0</v>
      </c>
      <c r="U209" s="578">
        <f t="shared" si="45"/>
        <v>0</v>
      </c>
      <c r="V209" s="579"/>
      <c r="W209" s="566"/>
      <c r="X209" s="586" t="str">
        <f t="shared" si="47"/>
        <v/>
      </c>
      <c r="Y209" s="586" t="str">
        <f t="shared" si="33"/>
        <v/>
      </c>
      <c r="Z209" s="586" t="str">
        <f t="shared" si="39"/>
        <v/>
      </c>
    </row>
    <row r="210" spans="1:26" ht="12" hidden="1" thickBot="1" x14ac:dyDescent="0.25">
      <c r="A210" s="652" t="s">
        <v>187</v>
      </c>
      <c r="B210" s="572" t="s">
        <v>187</v>
      </c>
      <c r="C210" s="573" t="s">
        <v>187</v>
      </c>
      <c r="D210" s="580"/>
      <c r="E210" s="575"/>
      <c r="F210" s="436"/>
      <c r="G210" s="431"/>
      <c r="H210" s="430"/>
      <c r="I210" s="432"/>
      <c r="J210" s="433"/>
      <c r="K210" s="437">
        <f t="shared" si="55"/>
        <v>0</v>
      </c>
      <c r="L210" s="452" t="s">
        <v>614</v>
      </c>
      <c r="M210" s="576"/>
      <c r="N210" s="576">
        <f t="shared" si="35"/>
        <v>0</v>
      </c>
      <c r="O210" s="577">
        <f t="shared" si="41"/>
        <v>0</v>
      </c>
      <c r="P210" s="578">
        <f t="shared" si="42"/>
        <v>0</v>
      </c>
      <c r="Q210" s="765"/>
      <c r="R210" s="576">
        <f t="shared" si="43"/>
        <v>0</v>
      </c>
      <c r="S210" s="576">
        <f t="shared" si="43"/>
        <v>0</v>
      </c>
      <c r="T210" s="577">
        <f t="shared" si="44"/>
        <v>0</v>
      </c>
      <c r="U210" s="578">
        <f t="shared" si="45"/>
        <v>0</v>
      </c>
      <c r="V210" s="579"/>
      <c r="W210" s="566"/>
      <c r="X210" s="586" t="str">
        <f t="shared" si="47"/>
        <v/>
      </c>
      <c r="Y210" s="586" t="str">
        <f t="shared" si="33"/>
        <v/>
      </c>
      <c r="Z210" s="586" t="str">
        <f t="shared" si="39"/>
        <v/>
      </c>
    </row>
    <row r="211" spans="1:26" ht="12" hidden="1" thickBot="1" x14ac:dyDescent="0.25">
      <c r="A211" s="652" t="s">
        <v>187</v>
      </c>
      <c r="B211" s="572" t="s">
        <v>187</v>
      </c>
      <c r="C211" s="573" t="s">
        <v>187</v>
      </c>
      <c r="D211" s="580"/>
      <c r="E211" s="575"/>
      <c r="F211" s="436"/>
      <c r="G211" s="431"/>
      <c r="H211" s="430"/>
      <c r="I211" s="432"/>
      <c r="J211" s="433"/>
      <c r="K211" s="437">
        <f t="shared" si="55"/>
        <v>0</v>
      </c>
      <c r="L211" s="452" t="s">
        <v>614</v>
      </c>
      <c r="M211" s="576"/>
      <c r="N211" s="576">
        <f t="shared" si="35"/>
        <v>0</v>
      </c>
      <c r="O211" s="577">
        <f t="shared" si="41"/>
        <v>0</v>
      </c>
      <c r="P211" s="578">
        <f t="shared" si="42"/>
        <v>0</v>
      </c>
      <c r="Q211" s="765"/>
      <c r="R211" s="576">
        <f t="shared" si="43"/>
        <v>0</v>
      </c>
      <c r="S211" s="576">
        <f t="shared" si="43"/>
        <v>0</v>
      </c>
      <c r="T211" s="577">
        <f t="shared" si="44"/>
        <v>0</v>
      </c>
      <c r="U211" s="578">
        <f t="shared" si="45"/>
        <v>0</v>
      </c>
      <c r="V211" s="579"/>
      <c r="W211" s="566"/>
      <c r="X211" s="586" t="str">
        <f t="shared" si="47"/>
        <v/>
      </c>
      <c r="Y211" s="586" t="str">
        <f t="shared" ref="Y211:Y274" si="56">IF(W211="X","x",IF(W211="y","x",IF(W211="xx","x",IF(U211&gt;0,"x",""))))</f>
        <v/>
      </c>
      <c r="Z211" s="586" t="str">
        <f t="shared" si="39"/>
        <v/>
      </c>
    </row>
    <row r="212" spans="1:26" ht="12" hidden="1" thickBot="1" x14ac:dyDescent="0.25">
      <c r="A212" s="652" t="s">
        <v>187</v>
      </c>
      <c r="B212" s="572" t="s">
        <v>187</v>
      </c>
      <c r="C212" s="573" t="s">
        <v>187</v>
      </c>
      <c r="D212" s="580"/>
      <c r="E212" s="575"/>
      <c r="F212" s="436"/>
      <c r="G212" s="431"/>
      <c r="H212" s="430"/>
      <c r="I212" s="432"/>
      <c r="J212" s="433"/>
      <c r="K212" s="437">
        <f t="shared" si="55"/>
        <v>0</v>
      </c>
      <c r="L212" s="452" t="s">
        <v>614</v>
      </c>
      <c r="M212" s="576"/>
      <c r="N212" s="576">
        <f t="shared" ref="N212:N275" si="57">IF(M212=0,0,K212)</f>
        <v>0</v>
      </c>
      <c r="O212" s="577">
        <f t="shared" si="41"/>
        <v>0</v>
      </c>
      <c r="P212" s="578">
        <f t="shared" si="42"/>
        <v>0</v>
      </c>
      <c r="Q212" s="765"/>
      <c r="R212" s="576">
        <f t="shared" si="43"/>
        <v>0</v>
      </c>
      <c r="S212" s="576">
        <f t="shared" si="43"/>
        <v>0</v>
      </c>
      <c r="T212" s="577">
        <f t="shared" si="44"/>
        <v>0</v>
      </c>
      <c r="U212" s="578">
        <f t="shared" si="45"/>
        <v>0</v>
      </c>
      <c r="V212" s="579"/>
      <c r="W212" s="566"/>
      <c r="X212" s="586" t="str">
        <f t="shared" si="47"/>
        <v/>
      </c>
      <c r="Y212" s="586" t="str">
        <f t="shared" si="56"/>
        <v/>
      </c>
      <c r="Z212" s="586" t="str">
        <f t="shared" si="39"/>
        <v/>
      </c>
    </row>
    <row r="213" spans="1:26" ht="12" hidden="1" thickBot="1" x14ac:dyDescent="0.25">
      <c r="A213" s="652" t="s">
        <v>187</v>
      </c>
      <c r="B213" s="572" t="s">
        <v>187</v>
      </c>
      <c r="C213" s="573" t="s">
        <v>187</v>
      </c>
      <c r="D213" s="580"/>
      <c r="E213" s="575"/>
      <c r="F213" s="436"/>
      <c r="G213" s="431"/>
      <c r="H213" s="430"/>
      <c r="I213" s="432"/>
      <c r="J213" s="433"/>
      <c r="K213" s="437">
        <f t="shared" si="55"/>
        <v>0</v>
      </c>
      <c r="L213" s="452" t="s">
        <v>614</v>
      </c>
      <c r="M213" s="576"/>
      <c r="N213" s="576">
        <f t="shared" si="57"/>
        <v>0</v>
      </c>
      <c r="O213" s="577">
        <f t="shared" si="41"/>
        <v>0</v>
      </c>
      <c r="P213" s="578">
        <f t="shared" si="42"/>
        <v>0</v>
      </c>
      <c r="Q213" s="765"/>
      <c r="R213" s="576">
        <f t="shared" si="43"/>
        <v>0</v>
      </c>
      <c r="S213" s="576">
        <f t="shared" si="43"/>
        <v>0</v>
      </c>
      <c r="T213" s="577">
        <f t="shared" si="44"/>
        <v>0</v>
      </c>
      <c r="U213" s="578">
        <f t="shared" si="45"/>
        <v>0</v>
      </c>
      <c r="V213" s="579"/>
      <c r="W213" s="566"/>
      <c r="X213" s="586" t="str">
        <f t="shared" si="47"/>
        <v/>
      </c>
      <c r="Y213" s="586" t="str">
        <f t="shared" si="56"/>
        <v/>
      </c>
      <c r="Z213" s="586" t="str">
        <f t="shared" si="39"/>
        <v/>
      </c>
    </row>
    <row r="214" spans="1:26" ht="12" hidden="1" thickBot="1" x14ac:dyDescent="0.25">
      <c r="A214" s="652" t="s">
        <v>187</v>
      </c>
      <c r="B214" s="572" t="s">
        <v>187</v>
      </c>
      <c r="C214" s="573" t="s">
        <v>187</v>
      </c>
      <c r="D214" s="580"/>
      <c r="E214" s="575"/>
      <c r="F214" s="436"/>
      <c r="G214" s="431"/>
      <c r="H214" s="430"/>
      <c r="I214" s="432"/>
      <c r="J214" s="433"/>
      <c r="K214" s="437">
        <f t="shared" si="55"/>
        <v>0</v>
      </c>
      <c r="L214" s="452" t="s">
        <v>614</v>
      </c>
      <c r="M214" s="576"/>
      <c r="N214" s="576">
        <f t="shared" si="57"/>
        <v>0</v>
      </c>
      <c r="O214" s="577">
        <f t="shared" si="41"/>
        <v>0</v>
      </c>
      <c r="P214" s="578">
        <f t="shared" si="42"/>
        <v>0</v>
      </c>
      <c r="Q214" s="765"/>
      <c r="R214" s="576">
        <f t="shared" si="43"/>
        <v>0</v>
      </c>
      <c r="S214" s="576">
        <f t="shared" si="43"/>
        <v>0</v>
      </c>
      <c r="T214" s="577">
        <f t="shared" si="44"/>
        <v>0</v>
      </c>
      <c r="U214" s="578">
        <f t="shared" si="45"/>
        <v>0</v>
      </c>
      <c r="V214" s="579"/>
      <c r="W214" s="566"/>
      <c r="X214" s="586" t="str">
        <f t="shared" si="47"/>
        <v/>
      </c>
      <c r="Y214" s="586" t="str">
        <f t="shared" si="56"/>
        <v/>
      </c>
      <c r="Z214" s="586" t="str">
        <f t="shared" si="39"/>
        <v/>
      </c>
    </row>
    <row r="215" spans="1:26" ht="12" hidden="1" thickBot="1" x14ac:dyDescent="0.25">
      <c r="A215" s="652" t="s">
        <v>187</v>
      </c>
      <c r="B215" s="572" t="s">
        <v>187</v>
      </c>
      <c r="C215" s="573" t="s">
        <v>187</v>
      </c>
      <c r="D215" s="580"/>
      <c r="E215" s="575"/>
      <c r="F215" s="436"/>
      <c r="G215" s="431"/>
      <c r="H215" s="430"/>
      <c r="I215" s="432"/>
      <c r="J215" s="433"/>
      <c r="K215" s="437">
        <f t="shared" si="55"/>
        <v>0</v>
      </c>
      <c r="L215" s="452" t="s">
        <v>614</v>
      </c>
      <c r="M215" s="576"/>
      <c r="N215" s="576">
        <f t="shared" si="57"/>
        <v>0</v>
      </c>
      <c r="O215" s="577">
        <f t="shared" si="41"/>
        <v>0</v>
      </c>
      <c r="P215" s="578">
        <f t="shared" si="42"/>
        <v>0</v>
      </c>
      <c r="Q215" s="765"/>
      <c r="R215" s="576">
        <f t="shared" si="43"/>
        <v>0</v>
      </c>
      <c r="S215" s="576">
        <f t="shared" si="43"/>
        <v>0</v>
      </c>
      <c r="T215" s="577">
        <f t="shared" si="44"/>
        <v>0</v>
      </c>
      <c r="U215" s="578">
        <f t="shared" si="45"/>
        <v>0</v>
      </c>
      <c r="V215" s="579"/>
      <c r="W215" s="566"/>
      <c r="X215" s="586" t="str">
        <f t="shared" si="47"/>
        <v/>
      </c>
      <c r="Y215" s="586" t="str">
        <f t="shared" si="56"/>
        <v/>
      </c>
      <c r="Z215" s="586" t="str">
        <f t="shared" si="39"/>
        <v/>
      </c>
    </row>
    <row r="216" spans="1:26" ht="12" hidden="1" thickBot="1" x14ac:dyDescent="0.25">
      <c r="A216" s="652" t="s">
        <v>187</v>
      </c>
      <c r="B216" s="572" t="s">
        <v>187</v>
      </c>
      <c r="C216" s="573" t="s">
        <v>187</v>
      </c>
      <c r="D216" s="580"/>
      <c r="E216" s="575"/>
      <c r="F216" s="436"/>
      <c r="G216" s="431"/>
      <c r="H216" s="430"/>
      <c r="I216" s="432"/>
      <c r="J216" s="433"/>
      <c r="K216" s="437">
        <f t="shared" si="55"/>
        <v>0</v>
      </c>
      <c r="L216" s="452" t="s">
        <v>614</v>
      </c>
      <c r="M216" s="576"/>
      <c r="N216" s="576">
        <f t="shared" si="57"/>
        <v>0</v>
      </c>
      <c r="O216" s="577">
        <f t="shared" si="41"/>
        <v>0</v>
      </c>
      <c r="P216" s="578">
        <f t="shared" si="42"/>
        <v>0</v>
      </c>
      <c r="Q216" s="765"/>
      <c r="R216" s="576">
        <f t="shared" si="43"/>
        <v>0</v>
      </c>
      <c r="S216" s="576">
        <f t="shared" si="43"/>
        <v>0</v>
      </c>
      <c r="T216" s="577">
        <f t="shared" si="44"/>
        <v>0</v>
      </c>
      <c r="U216" s="578">
        <f t="shared" si="45"/>
        <v>0</v>
      </c>
      <c r="V216" s="579"/>
      <c r="W216" s="566"/>
      <c r="X216" s="586" t="str">
        <f t="shared" si="47"/>
        <v/>
      </c>
      <c r="Y216" s="586" t="str">
        <f t="shared" si="56"/>
        <v/>
      </c>
      <c r="Z216" s="586" t="str">
        <f t="shared" si="39"/>
        <v/>
      </c>
    </row>
    <row r="217" spans="1:26" ht="12" hidden="1" thickBot="1" x14ac:dyDescent="0.25">
      <c r="A217" s="652" t="s">
        <v>187</v>
      </c>
      <c r="B217" s="572" t="s">
        <v>187</v>
      </c>
      <c r="C217" s="573" t="s">
        <v>187</v>
      </c>
      <c r="D217" s="580"/>
      <c r="E217" s="575"/>
      <c r="F217" s="436"/>
      <c r="G217" s="431"/>
      <c r="H217" s="430"/>
      <c r="I217" s="432"/>
      <c r="J217" s="433"/>
      <c r="K217" s="437">
        <f t="shared" si="55"/>
        <v>0</v>
      </c>
      <c r="L217" s="452" t="s">
        <v>614</v>
      </c>
      <c r="M217" s="576"/>
      <c r="N217" s="576">
        <f t="shared" si="57"/>
        <v>0</v>
      </c>
      <c r="O217" s="577">
        <f t="shared" si="41"/>
        <v>0</v>
      </c>
      <c r="P217" s="578">
        <f t="shared" si="42"/>
        <v>0</v>
      </c>
      <c r="Q217" s="765"/>
      <c r="R217" s="576">
        <f t="shared" si="43"/>
        <v>0</v>
      </c>
      <c r="S217" s="576">
        <f t="shared" si="43"/>
        <v>0</v>
      </c>
      <c r="T217" s="577">
        <f t="shared" si="44"/>
        <v>0</v>
      </c>
      <c r="U217" s="578">
        <f t="shared" si="45"/>
        <v>0</v>
      </c>
      <c r="V217" s="579"/>
      <c r="W217" s="566"/>
      <c r="X217" s="586" t="str">
        <f t="shared" si="47"/>
        <v/>
      </c>
      <c r="Y217" s="586" t="str">
        <f t="shared" si="56"/>
        <v/>
      </c>
      <c r="Z217" s="586" t="str">
        <f t="shared" si="39"/>
        <v/>
      </c>
    </row>
    <row r="218" spans="1:26" ht="12" hidden="1" thickBot="1" x14ac:dyDescent="0.25">
      <c r="A218" s="652" t="s">
        <v>187</v>
      </c>
      <c r="B218" s="572" t="s">
        <v>187</v>
      </c>
      <c r="C218" s="573" t="s">
        <v>187</v>
      </c>
      <c r="D218" s="580"/>
      <c r="E218" s="575"/>
      <c r="F218" s="436"/>
      <c r="G218" s="431"/>
      <c r="H218" s="430"/>
      <c r="I218" s="432"/>
      <c r="J218" s="433"/>
      <c r="K218" s="437">
        <f t="shared" si="55"/>
        <v>0</v>
      </c>
      <c r="L218" s="452" t="s">
        <v>614</v>
      </c>
      <c r="M218" s="576"/>
      <c r="N218" s="576">
        <f t="shared" si="57"/>
        <v>0</v>
      </c>
      <c r="O218" s="577">
        <f t="shared" si="41"/>
        <v>0</v>
      </c>
      <c r="P218" s="578">
        <f t="shared" si="42"/>
        <v>0</v>
      </c>
      <c r="Q218" s="765"/>
      <c r="R218" s="576">
        <f t="shared" si="43"/>
        <v>0</v>
      </c>
      <c r="S218" s="576">
        <f t="shared" si="43"/>
        <v>0</v>
      </c>
      <c r="T218" s="577">
        <f t="shared" si="44"/>
        <v>0</v>
      </c>
      <c r="U218" s="578">
        <f t="shared" si="45"/>
        <v>0</v>
      </c>
      <c r="V218" s="579"/>
      <c r="W218" s="566"/>
      <c r="X218" s="586" t="str">
        <f t="shared" si="47"/>
        <v/>
      </c>
      <c r="Y218" s="586" t="str">
        <f t="shared" si="56"/>
        <v/>
      </c>
      <c r="Z218" s="586" t="str">
        <f t="shared" si="39"/>
        <v/>
      </c>
    </row>
    <row r="219" spans="1:26" ht="12" hidden="1" thickBot="1" x14ac:dyDescent="0.25">
      <c r="A219" s="652" t="s">
        <v>187</v>
      </c>
      <c r="B219" s="572" t="s">
        <v>187</v>
      </c>
      <c r="C219" s="573" t="s">
        <v>187</v>
      </c>
      <c r="D219" s="580"/>
      <c r="E219" s="575"/>
      <c r="F219" s="436"/>
      <c r="G219" s="431"/>
      <c r="H219" s="430"/>
      <c r="I219" s="432"/>
      <c r="J219" s="433"/>
      <c r="K219" s="437">
        <f t="shared" si="55"/>
        <v>0</v>
      </c>
      <c r="L219" s="452" t="s">
        <v>614</v>
      </c>
      <c r="M219" s="576"/>
      <c r="N219" s="576">
        <f t="shared" si="57"/>
        <v>0</v>
      </c>
      <c r="O219" s="577">
        <f t="shared" si="41"/>
        <v>0</v>
      </c>
      <c r="P219" s="578">
        <f t="shared" si="42"/>
        <v>0</v>
      </c>
      <c r="Q219" s="765"/>
      <c r="R219" s="576">
        <f t="shared" si="43"/>
        <v>0</v>
      </c>
      <c r="S219" s="576">
        <f t="shared" si="43"/>
        <v>0</v>
      </c>
      <c r="T219" s="577">
        <f t="shared" si="44"/>
        <v>0</v>
      </c>
      <c r="U219" s="578">
        <f t="shared" si="45"/>
        <v>0</v>
      </c>
      <c r="V219" s="579"/>
      <c r="W219" s="566"/>
      <c r="X219" s="586" t="str">
        <f t="shared" si="47"/>
        <v/>
      </c>
      <c r="Y219" s="586" t="str">
        <f t="shared" si="56"/>
        <v/>
      </c>
      <c r="Z219" s="586" t="str">
        <f t="shared" si="39"/>
        <v/>
      </c>
    </row>
    <row r="220" spans="1:26" ht="12" hidden="1" thickBot="1" x14ac:dyDescent="0.25">
      <c r="A220" s="652" t="s">
        <v>187</v>
      </c>
      <c r="B220" s="572" t="s">
        <v>187</v>
      </c>
      <c r="C220" s="573" t="s">
        <v>187</v>
      </c>
      <c r="D220" s="580"/>
      <c r="E220" s="575"/>
      <c r="F220" s="436"/>
      <c r="G220" s="431"/>
      <c r="H220" s="430"/>
      <c r="I220" s="432"/>
      <c r="J220" s="433"/>
      <c r="K220" s="437">
        <f t="shared" si="55"/>
        <v>0</v>
      </c>
      <c r="L220" s="452" t="s">
        <v>614</v>
      </c>
      <c r="M220" s="576"/>
      <c r="N220" s="576">
        <f t="shared" si="57"/>
        <v>0</v>
      </c>
      <c r="O220" s="577">
        <f t="shared" si="41"/>
        <v>0</v>
      </c>
      <c r="P220" s="578">
        <f t="shared" si="42"/>
        <v>0</v>
      </c>
      <c r="Q220" s="765"/>
      <c r="R220" s="576">
        <f t="shared" si="43"/>
        <v>0</v>
      </c>
      <c r="S220" s="576">
        <f t="shared" si="43"/>
        <v>0</v>
      </c>
      <c r="T220" s="577">
        <f t="shared" si="44"/>
        <v>0</v>
      </c>
      <c r="U220" s="578">
        <f t="shared" si="45"/>
        <v>0</v>
      </c>
      <c r="V220" s="579"/>
      <c r="W220" s="566"/>
      <c r="X220" s="586" t="str">
        <f t="shared" si="47"/>
        <v/>
      </c>
      <c r="Y220" s="586" t="str">
        <f t="shared" si="56"/>
        <v/>
      </c>
      <c r="Z220" s="586" t="str">
        <f t="shared" si="39"/>
        <v/>
      </c>
    </row>
    <row r="221" spans="1:26" ht="12" hidden="1" thickBot="1" x14ac:dyDescent="0.25">
      <c r="A221" s="652" t="s">
        <v>187</v>
      </c>
      <c r="B221" s="572" t="s">
        <v>187</v>
      </c>
      <c r="C221" s="573" t="s">
        <v>187</v>
      </c>
      <c r="D221" s="580"/>
      <c r="E221" s="575"/>
      <c r="F221" s="436"/>
      <c r="G221" s="431"/>
      <c r="H221" s="430"/>
      <c r="I221" s="432"/>
      <c r="J221" s="433"/>
      <c r="K221" s="437">
        <f t="shared" si="55"/>
        <v>0</v>
      </c>
      <c r="L221" s="452" t="s">
        <v>614</v>
      </c>
      <c r="M221" s="576"/>
      <c r="N221" s="576">
        <f t="shared" si="57"/>
        <v>0</v>
      </c>
      <c r="O221" s="577">
        <f t="shared" si="41"/>
        <v>0</v>
      </c>
      <c r="P221" s="578">
        <f t="shared" si="42"/>
        <v>0</v>
      </c>
      <c r="Q221" s="765"/>
      <c r="R221" s="576">
        <f t="shared" si="43"/>
        <v>0</v>
      </c>
      <c r="S221" s="576">
        <f t="shared" si="43"/>
        <v>0</v>
      </c>
      <c r="T221" s="577">
        <f t="shared" si="44"/>
        <v>0</v>
      </c>
      <c r="U221" s="578">
        <f t="shared" si="45"/>
        <v>0</v>
      </c>
      <c r="V221" s="579"/>
      <c r="W221" s="566"/>
      <c r="X221" s="586" t="str">
        <f t="shared" si="47"/>
        <v/>
      </c>
      <c r="Y221" s="586" t="str">
        <f t="shared" si="56"/>
        <v/>
      </c>
      <c r="Z221" s="586" t="str">
        <f t="shared" ref="Z221:Z284" si="58">IF(W221="X","x",IF(U221&gt;0,"x",""))</f>
        <v/>
      </c>
    </row>
    <row r="222" spans="1:26" ht="12" hidden="1" thickBot="1" x14ac:dyDescent="0.25">
      <c r="A222" s="652" t="s">
        <v>187</v>
      </c>
      <c r="B222" s="572" t="s">
        <v>187</v>
      </c>
      <c r="C222" s="573" t="s">
        <v>187</v>
      </c>
      <c r="D222" s="580"/>
      <c r="E222" s="575"/>
      <c r="F222" s="436"/>
      <c r="G222" s="431"/>
      <c r="H222" s="430"/>
      <c r="I222" s="432"/>
      <c r="J222" s="433"/>
      <c r="K222" s="437">
        <f t="shared" si="55"/>
        <v>0</v>
      </c>
      <c r="L222" s="452" t="s">
        <v>614</v>
      </c>
      <c r="M222" s="576"/>
      <c r="N222" s="576">
        <f t="shared" si="57"/>
        <v>0</v>
      </c>
      <c r="O222" s="577">
        <f t="shared" si="41"/>
        <v>0</v>
      </c>
      <c r="P222" s="578">
        <f t="shared" si="42"/>
        <v>0</v>
      </c>
      <c r="Q222" s="765"/>
      <c r="R222" s="576">
        <f t="shared" si="43"/>
        <v>0</v>
      </c>
      <c r="S222" s="576">
        <f t="shared" si="43"/>
        <v>0</v>
      </c>
      <c r="T222" s="577">
        <f t="shared" si="44"/>
        <v>0</v>
      </c>
      <c r="U222" s="578">
        <f t="shared" si="45"/>
        <v>0</v>
      </c>
      <c r="V222" s="579"/>
      <c r="W222" s="566"/>
      <c r="X222" s="586" t="str">
        <f t="shared" si="47"/>
        <v/>
      </c>
      <c r="Y222" s="586" t="str">
        <f t="shared" si="56"/>
        <v/>
      </c>
      <c r="Z222" s="586" t="str">
        <f t="shared" si="58"/>
        <v/>
      </c>
    </row>
    <row r="223" spans="1:26" ht="12" hidden="1" thickBot="1" x14ac:dyDescent="0.25">
      <c r="A223" s="652" t="s">
        <v>187</v>
      </c>
      <c r="B223" s="572" t="s">
        <v>187</v>
      </c>
      <c r="C223" s="573" t="s">
        <v>187</v>
      </c>
      <c r="D223" s="580"/>
      <c r="E223" s="575"/>
      <c r="F223" s="436"/>
      <c r="G223" s="431"/>
      <c r="H223" s="430"/>
      <c r="I223" s="432"/>
      <c r="J223" s="433"/>
      <c r="K223" s="437">
        <f t="shared" si="55"/>
        <v>0</v>
      </c>
      <c r="L223" s="452" t="s">
        <v>614</v>
      </c>
      <c r="M223" s="576"/>
      <c r="N223" s="576">
        <f t="shared" si="57"/>
        <v>0</v>
      </c>
      <c r="O223" s="577">
        <f t="shared" si="41"/>
        <v>0</v>
      </c>
      <c r="P223" s="578">
        <f t="shared" si="42"/>
        <v>0</v>
      </c>
      <c r="Q223" s="765"/>
      <c r="R223" s="576">
        <f t="shared" si="43"/>
        <v>0</v>
      </c>
      <c r="S223" s="576">
        <f t="shared" si="43"/>
        <v>0</v>
      </c>
      <c r="T223" s="577">
        <f t="shared" si="44"/>
        <v>0</v>
      </c>
      <c r="U223" s="578">
        <f t="shared" si="45"/>
        <v>0</v>
      </c>
      <c r="V223" s="579"/>
      <c r="W223" s="566"/>
      <c r="X223" s="586" t="str">
        <f t="shared" si="47"/>
        <v/>
      </c>
      <c r="Y223" s="586" t="str">
        <f t="shared" si="56"/>
        <v/>
      </c>
      <c r="Z223" s="586" t="str">
        <f t="shared" si="58"/>
        <v/>
      </c>
    </row>
    <row r="224" spans="1:26" ht="12" hidden="1" thickBot="1" x14ac:dyDescent="0.25">
      <c r="A224" s="652" t="s">
        <v>187</v>
      </c>
      <c r="B224" s="572" t="s">
        <v>187</v>
      </c>
      <c r="C224" s="573" t="s">
        <v>187</v>
      </c>
      <c r="D224" s="580"/>
      <c r="E224" s="575"/>
      <c r="F224" s="436"/>
      <c r="G224" s="431"/>
      <c r="H224" s="430"/>
      <c r="I224" s="432"/>
      <c r="J224" s="433"/>
      <c r="K224" s="437">
        <f t="shared" si="55"/>
        <v>0</v>
      </c>
      <c r="L224" s="452" t="s">
        <v>614</v>
      </c>
      <c r="M224" s="576"/>
      <c r="N224" s="576">
        <f t="shared" si="57"/>
        <v>0</v>
      </c>
      <c r="O224" s="577">
        <f t="shared" ref="O224:O287" si="59">IF(ISBLANK(M224),0,ROUND(K224*M224,2))</f>
        <v>0</v>
      </c>
      <c r="P224" s="578">
        <f t="shared" ref="P224:P287" si="60">IF(ISBLANK(N224),0,ROUND(M224*N224,2))</f>
        <v>0</v>
      </c>
      <c r="Q224" s="765"/>
      <c r="R224" s="576">
        <f>M224</f>
        <v>0</v>
      </c>
      <c r="S224" s="576">
        <f t="shared" ref="S224:S284" si="61">N224</f>
        <v>0</v>
      </c>
      <c r="T224" s="577">
        <f t="shared" ref="T224:T287" si="62">IF(ISBLANK(R224),0,ROUND(K224*R224,2))</f>
        <v>0</v>
      </c>
      <c r="U224" s="578">
        <f t="shared" ref="U224:U287" si="63">IF(ISBLANK(R224),0,ROUND(R224*S224,2))</f>
        <v>0</v>
      </c>
      <c r="V224" s="579"/>
      <c r="W224" s="566"/>
      <c r="X224" s="586" t="str">
        <f t="shared" si="47"/>
        <v/>
      </c>
      <c r="Y224" s="586" t="str">
        <f t="shared" si="56"/>
        <v/>
      </c>
      <c r="Z224" s="586" t="str">
        <f t="shared" si="58"/>
        <v/>
      </c>
    </row>
    <row r="225" spans="1:26" ht="12" hidden="1" thickBot="1" x14ac:dyDescent="0.25">
      <c r="A225" s="652" t="s">
        <v>187</v>
      </c>
      <c r="B225" s="572" t="s">
        <v>187</v>
      </c>
      <c r="C225" s="573" t="s">
        <v>187</v>
      </c>
      <c r="D225" s="580"/>
      <c r="E225" s="575"/>
      <c r="F225" s="436"/>
      <c r="G225" s="431"/>
      <c r="H225" s="430"/>
      <c r="I225" s="432"/>
      <c r="J225" s="433"/>
      <c r="K225" s="437">
        <f t="shared" si="55"/>
        <v>0</v>
      </c>
      <c r="L225" s="452" t="s">
        <v>614</v>
      </c>
      <c r="M225" s="576"/>
      <c r="N225" s="576">
        <f t="shared" si="57"/>
        <v>0</v>
      </c>
      <c r="O225" s="577">
        <f t="shared" si="59"/>
        <v>0</v>
      </c>
      <c r="P225" s="578">
        <f t="shared" si="60"/>
        <v>0</v>
      </c>
      <c r="Q225" s="765"/>
      <c r="R225" s="576">
        <f>M225</f>
        <v>0</v>
      </c>
      <c r="S225" s="576">
        <f t="shared" si="61"/>
        <v>0</v>
      </c>
      <c r="T225" s="577">
        <f t="shared" si="62"/>
        <v>0</v>
      </c>
      <c r="U225" s="578">
        <f t="shared" si="63"/>
        <v>0</v>
      </c>
      <c r="V225" s="579"/>
      <c r="W225" s="566"/>
      <c r="X225" s="586" t="str">
        <f t="shared" si="47"/>
        <v/>
      </c>
      <c r="Y225" s="586" t="str">
        <f t="shared" si="56"/>
        <v/>
      </c>
      <c r="Z225" s="586" t="str">
        <f t="shared" si="58"/>
        <v/>
      </c>
    </row>
    <row r="226" spans="1:26" ht="12" hidden="1" thickBot="1" x14ac:dyDescent="0.25">
      <c r="A226" s="652" t="s">
        <v>187</v>
      </c>
      <c r="B226" s="581" t="s">
        <v>187</v>
      </c>
      <c r="C226" s="582" t="s">
        <v>187</v>
      </c>
      <c r="D226" s="583"/>
      <c r="E226" s="584"/>
      <c r="F226" s="438"/>
      <c r="G226" s="439"/>
      <c r="H226" s="440"/>
      <c r="I226" s="441"/>
      <c r="J226" s="442"/>
      <c r="K226" s="443">
        <f t="shared" si="55"/>
        <v>0</v>
      </c>
      <c r="L226" s="453" t="s">
        <v>614</v>
      </c>
      <c r="M226" s="576"/>
      <c r="N226" s="576">
        <f t="shared" si="57"/>
        <v>0</v>
      </c>
      <c r="O226" s="585">
        <f t="shared" si="59"/>
        <v>0</v>
      </c>
      <c r="P226" s="660">
        <f t="shared" si="60"/>
        <v>0</v>
      </c>
      <c r="Q226" s="765"/>
      <c r="R226" s="576">
        <f>M226</f>
        <v>0</v>
      </c>
      <c r="S226" s="576">
        <f t="shared" si="61"/>
        <v>0</v>
      </c>
      <c r="T226" s="585">
        <f t="shared" si="62"/>
        <v>0</v>
      </c>
      <c r="U226" s="660">
        <f t="shared" si="63"/>
        <v>0</v>
      </c>
      <c r="V226" s="579"/>
      <c r="W226" s="566"/>
      <c r="X226" s="586" t="str">
        <f t="shared" ref="X226:X289" si="64">IF(W226="X","x",IF(W226="xx","x",IF(W226="xy","x",IF(W226="y","x",IF(OR(P226&gt;0,U226&gt;0),"x","")))))</f>
        <v/>
      </c>
      <c r="Y226" s="586" t="str">
        <f t="shared" si="56"/>
        <v/>
      </c>
      <c r="Z226" s="586" t="str">
        <f t="shared" si="58"/>
        <v/>
      </c>
    </row>
    <row r="227" spans="1:26" ht="12" thickBot="1" x14ac:dyDescent="0.25">
      <c r="A227" s="567" t="s">
        <v>225</v>
      </c>
      <c r="B227" s="664" t="s">
        <v>225</v>
      </c>
      <c r="C227" s="665"/>
      <c r="D227" s="666" t="s">
        <v>460</v>
      </c>
      <c r="E227" s="631"/>
      <c r="F227" s="632"/>
      <c r="G227" s="633"/>
      <c r="H227" s="634"/>
      <c r="I227" s="409"/>
      <c r="J227" s="409"/>
      <c r="K227" s="409"/>
      <c r="L227" s="674" t="s">
        <v>614</v>
      </c>
      <c r="M227" s="634"/>
      <c r="N227" s="797"/>
      <c r="O227" s="409">
        <f t="shared" si="59"/>
        <v>0</v>
      </c>
      <c r="P227" s="635">
        <f t="shared" si="60"/>
        <v>0</v>
      </c>
      <c r="Q227" s="635">
        <f>SUM(P228:P527)</f>
        <v>876779.95</v>
      </c>
      <c r="R227" s="634"/>
      <c r="S227" s="409"/>
      <c r="T227" s="409">
        <f t="shared" si="62"/>
        <v>0</v>
      </c>
      <c r="U227" s="635">
        <f t="shared" si="63"/>
        <v>0</v>
      </c>
      <c r="V227" s="636">
        <f>SUM(U228:U527)</f>
        <v>876779.95</v>
      </c>
      <c r="W227" s="637" t="str">
        <f>IF(OR(Q227&gt;0,V227&gt;0),"X","")</f>
        <v>X</v>
      </c>
      <c r="X227" s="586" t="str">
        <f t="shared" si="64"/>
        <v>x</v>
      </c>
      <c r="Y227" s="586" t="str">
        <f t="shared" si="56"/>
        <v>x</v>
      </c>
      <c r="Z227" s="586" t="str">
        <f t="shared" si="58"/>
        <v>x</v>
      </c>
    </row>
    <row r="228" spans="1:26" ht="12" thickBot="1" x14ac:dyDescent="0.25">
      <c r="A228" s="567" t="s">
        <v>1743</v>
      </c>
      <c r="B228" s="454" t="s">
        <v>1743</v>
      </c>
      <c r="C228" s="455" t="s">
        <v>484</v>
      </c>
      <c r="D228" s="456" t="s">
        <v>237</v>
      </c>
      <c r="E228" s="457"/>
      <c r="F228" s="458"/>
      <c r="G228" s="459"/>
      <c r="H228" s="675"/>
      <c r="I228" s="460">
        <v>0.5</v>
      </c>
      <c r="J228" s="460">
        <f>IF(ISBLANK(I228),"",SUM(H228:I228))</f>
        <v>0.5</v>
      </c>
      <c r="K228" s="676">
        <f t="shared" ref="K228:K249" si="65">IF(ISBLANK(I228),0,ROUND(J228*(1+$F$10)*(1+$F$11*E228),2))</f>
        <v>0.59</v>
      </c>
      <c r="L228" s="677" t="s">
        <v>18</v>
      </c>
      <c r="M228" s="678">
        <v>9412.02</v>
      </c>
      <c r="N228" s="798">
        <f t="shared" si="57"/>
        <v>0.59</v>
      </c>
      <c r="O228" s="679">
        <f t="shared" si="59"/>
        <v>5553.09</v>
      </c>
      <c r="P228" s="680">
        <f t="shared" si="60"/>
        <v>5553.09</v>
      </c>
      <c r="Q228" s="765"/>
      <c r="R228" s="576">
        <f>M228</f>
        <v>9412.02</v>
      </c>
      <c r="S228" s="576">
        <f t="shared" si="61"/>
        <v>0.59</v>
      </c>
      <c r="T228" s="577">
        <f t="shared" si="62"/>
        <v>5553.09</v>
      </c>
      <c r="U228" s="578">
        <f t="shared" si="63"/>
        <v>5553.09</v>
      </c>
      <c r="V228" s="579"/>
      <c r="W228" s="566"/>
      <c r="X228" s="586" t="str">
        <f t="shared" si="64"/>
        <v>x</v>
      </c>
      <c r="Y228" s="586" t="str">
        <f t="shared" si="56"/>
        <v>x</v>
      </c>
      <c r="Z228" s="586" t="str">
        <f t="shared" si="58"/>
        <v>x</v>
      </c>
    </row>
    <row r="229" spans="1:26" ht="12" hidden="1" thickBot="1" x14ac:dyDescent="0.25">
      <c r="A229" s="567">
        <v>560100</v>
      </c>
      <c r="B229" s="461" t="s">
        <v>1744</v>
      </c>
      <c r="C229" s="462" t="s">
        <v>206</v>
      </c>
      <c r="D229" s="463" t="s">
        <v>1573</v>
      </c>
      <c r="E229" s="464"/>
      <c r="F229" s="465" t="s">
        <v>667</v>
      </c>
      <c r="G229" s="466">
        <v>1.1999999999999999E-3</v>
      </c>
      <c r="H229" s="681"/>
      <c r="I229" s="467">
        <v>0.5</v>
      </c>
      <c r="J229" s="467">
        <f>I229</f>
        <v>0.5</v>
      </c>
      <c r="K229" s="682">
        <f t="shared" si="65"/>
        <v>0.59</v>
      </c>
      <c r="L229" s="683" t="s">
        <v>18</v>
      </c>
      <c r="M229" s="684"/>
      <c r="N229" s="576">
        <f t="shared" si="57"/>
        <v>0</v>
      </c>
      <c r="O229" s="642">
        <f t="shared" si="59"/>
        <v>0</v>
      </c>
      <c r="P229" s="659">
        <f t="shared" si="60"/>
        <v>0</v>
      </c>
      <c r="Q229" s="765"/>
      <c r="R229" s="685">
        <f>M229</f>
        <v>0</v>
      </c>
      <c r="S229" s="686">
        <f t="shared" si="61"/>
        <v>0</v>
      </c>
      <c r="T229" s="687">
        <f t="shared" si="62"/>
        <v>0</v>
      </c>
      <c r="U229" s="688">
        <f t="shared" si="63"/>
        <v>0</v>
      </c>
      <c r="V229" s="579"/>
      <c r="W229" s="566"/>
      <c r="X229" s="586" t="str">
        <f t="shared" si="64"/>
        <v/>
      </c>
      <c r="Y229" s="586" t="str">
        <f t="shared" si="56"/>
        <v/>
      </c>
      <c r="Z229" s="586" t="str">
        <f t="shared" si="58"/>
        <v/>
      </c>
    </row>
    <row r="230" spans="1:26" ht="12" hidden="1" thickBot="1" x14ac:dyDescent="0.25">
      <c r="A230" s="567">
        <v>589420</v>
      </c>
      <c r="B230" s="468" t="s">
        <v>1745</v>
      </c>
      <c r="C230" s="689" t="s">
        <v>1746</v>
      </c>
      <c r="D230" s="469" t="s">
        <v>745</v>
      </c>
      <c r="E230" s="470"/>
      <c r="F230" s="471">
        <v>500</v>
      </c>
      <c r="G230" s="785">
        <v>1</v>
      </c>
      <c r="H230" s="663">
        <f>(0.84*F230+41.45)*G230</f>
        <v>461.45</v>
      </c>
      <c r="I230" s="472">
        <v>3820</v>
      </c>
      <c r="J230" s="472">
        <f>IF(ISBLANK(I230),"",I230*(1+$F$9)/(1+$F$10))+H230</f>
        <v>4167.952819627978</v>
      </c>
      <c r="K230" s="690">
        <f t="shared" si="65"/>
        <v>4951.9399999999996</v>
      </c>
      <c r="L230" s="691" t="s">
        <v>20</v>
      </c>
      <c r="M230" s="692">
        <f>ROUND(M229*G229,2)</f>
        <v>0</v>
      </c>
      <c r="N230" s="799">
        <f t="shared" si="57"/>
        <v>0</v>
      </c>
      <c r="O230" s="693">
        <f t="shared" si="59"/>
        <v>0</v>
      </c>
      <c r="P230" s="694">
        <f t="shared" si="60"/>
        <v>0</v>
      </c>
      <c r="Q230" s="765"/>
      <c r="R230" s="695">
        <f>ROUND(R229*G229,2)</f>
        <v>0</v>
      </c>
      <c r="S230" s="696">
        <f t="shared" si="61"/>
        <v>0</v>
      </c>
      <c r="T230" s="693">
        <f t="shared" si="62"/>
        <v>0</v>
      </c>
      <c r="U230" s="694">
        <f t="shared" si="63"/>
        <v>0</v>
      </c>
      <c r="V230" s="579"/>
      <c r="W230" s="566"/>
      <c r="X230" s="586" t="str">
        <f>IF(W230="X","x",IF(W230="xx","x",IF(W230="xy","x",IF(W230="y","x",IF(OR(P230&gt;0,U230&gt;0),"x","")))))</f>
        <v/>
      </c>
      <c r="Y230" s="586" t="str">
        <f>IF(W230="X","x",IF(W230="y","x",IF(W230="xx","x",IF(U230&gt;0,"x",""))))</f>
        <v/>
      </c>
      <c r="Z230" s="586" t="str">
        <f>IF(W230="X","x",IF(U230&gt;0,"x",""))</f>
        <v/>
      </c>
    </row>
    <row r="231" spans="1:26" ht="12" hidden="1" thickBot="1" x14ac:dyDescent="0.25">
      <c r="A231" s="567">
        <v>560100</v>
      </c>
      <c r="B231" s="461" t="s">
        <v>1747</v>
      </c>
      <c r="C231" s="462" t="s">
        <v>206</v>
      </c>
      <c r="D231" s="463" t="s">
        <v>646</v>
      </c>
      <c r="E231" s="464"/>
      <c r="F231" s="465" t="s">
        <v>667</v>
      </c>
      <c r="G231" s="466">
        <v>1.1000000000000001E-3</v>
      </c>
      <c r="H231" s="681"/>
      <c r="I231" s="467">
        <v>0.5</v>
      </c>
      <c r="J231" s="467">
        <f>IF(ISBLANK(I231),"",SUM(H231:I231))</f>
        <v>0.5</v>
      </c>
      <c r="K231" s="682">
        <f t="shared" si="65"/>
        <v>0.59</v>
      </c>
      <c r="L231" s="683" t="s">
        <v>18</v>
      </c>
      <c r="M231" s="684"/>
      <c r="N231" s="576">
        <f t="shared" si="57"/>
        <v>0</v>
      </c>
      <c r="O231" s="642">
        <f t="shared" si="59"/>
        <v>0</v>
      </c>
      <c r="P231" s="659">
        <f t="shared" si="60"/>
        <v>0</v>
      </c>
      <c r="Q231" s="765"/>
      <c r="R231" s="685">
        <f>M231</f>
        <v>0</v>
      </c>
      <c r="S231" s="686">
        <f t="shared" si="61"/>
        <v>0</v>
      </c>
      <c r="T231" s="687">
        <f t="shared" si="62"/>
        <v>0</v>
      </c>
      <c r="U231" s="688">
        <f t="shared" si="63"/>
        <v>0</v>
      </c>
      <c r="V231" s="579"/>
      <c r="W231" s="566"/>
      <c r="X231" s="586" t="str">
        <f t="shared" si="64"/>
        <v/>
      </c>
      <c r="Y231" s="586" t="str">
        <f t="shared" si="56"/>
        <v/>
      </c>
      <c r="Z231" s="586" t="str">
        <f t="shared" si="58"/>
        <v/>
      </c>
    </row>
    <row r="232" spans="1:26" ht="12" hidden="1" thickBot="1" x14ac:dyDescent="0.25">
      <c r="A232" s="567">
        <v>589190</v>
      </c>
      <c r="B232" s="468" t="s">
        <v>1748</v>
      </c>
      <c r="C232" s="689" t="s">
        <v>1746</v>
      </c>
      <c r="D232" s="469" t="s">
        <v>746</v>
      </c>
      <c r="E232" s="470"/>
      <c r="F232" s="471">
        <v>500</v>
      </c>
      <c r="G232" s="785">
        <v>1</v>
      </c>
      <c r="H232" s="663">
        <f>(0.84*F232+41.45)*G232</f>
        <v>461.45</v>
      </c>
      <c r="I232" s="472">
        <v>4040</v>
      </c>
      <c r="J232" s="472">
        <f>IF(ISBLANK(I232),"",I232*(1+$F$9)/(1+$F$10))+H232</f>
        <v>4381.4163328002696</v>
      </c>
      <c r="K232" s="690">
        <f t="shared" si="65"/>
        <v>5205.5600000000004</v>
      </c>
      <c r="L232" s="691" t="s">
        <v>20</v>
      </c>
      <c r="M232" s="692">
        <f>ROUND(M231*G231,2)</f>
        <v>0</v>
      </c>
      <c r="N232" s="799">
        <f t="shared" si="57"/>
        <v>0</v>
      </c>
      <c r="O232" s="693">
        <f t="shared" si="59"/>
        <v>0</v>
      </c>
      <c r="P232" s="694">
        <f t="shared" si="60"/>
        <v>0</v>
      </c>
      <c r="Q232" s="765"/>
      <c r="R232" s="695">
        <f>ROUND(R231*G231,2)</f>
        <v>0</v>
      </c>
      <c r="S232" s="696">
        <f t="shared" si="61"/>
        <v>0</v>
      </c>
      <c r="T232" s="693">
        <f t="shared" si="62"/>
        <v>0</v>
      </c>
      <c r="U232" s="694">
        <f t="shared" si="63"/>
        <v>0</v>
      </c>
      <c r="V232" s="579"/>
      <c r="W232" s="566"/>
      <c r="X232" s="586" t="str">
        <f t="shared" si="64"/>
        <v/>
      </c>
      <c r="Y232" s="586" t="str">
        <f t="shared" si="56"/>
        <v/>
      </c>
      <c r="Z232" s="586" t="str">
        <f t="shared" si="58"/>
        <v/>
      </c>
    </row>
    <row r="233" spans="1:26" ht="12" hidden="1" thickBot="1" x14ac:dyDescent="0.25">
      <c r="A233" s="567">
        <v>560400</v>
      </c>
      <c r="B233" s="461" t="s">
        <v>1749</v>
      </c>
      <c r="C233" s="462" t="s">
        <v>206</v>
      </c>
      <c r="D233" s="463" t="s">
        <v>647</v>
      </c>
      <c r="E233" s="464"/>
      <c r="F233" s="465" t="s">
        <v>667</v>
      </c>
      <c r="G233" s="466">
        <v>1.1999999999999999E-3</v>
      </c>
      <c r="H233" s="681"/>
      <c r="I233" s="467">
        <v>0.5</v>
      </c>
      <c r="J233" s="467">
        <f>IF(ISBLANK(I233),"",SUM(H233:I233))</f>
        <v>0.5</v>
      </c>
      <c r="K233" s="682">
        <f t="shared" si="65"/>
        <v>0.59</v>
      </c>
      <c r="L233" s="683" t="s">
        <v>18</v>
      </c>
      <c r="M233" s="684"/>
      <c r="N233" s="576">
        <f t="shared" si="57"/>
        <v>0</v>
      </c>
      <c r="O233" s="642">
        <f t="shared" si="59"/>
        <v>0</v>
      </c>
      <c r="P233" s="659">
        <f t="shared" si="60"/>
        <v>0</v>
      </c>
      <c r="Q233" s="765"/>
      <c r="R233" s="685">
        <f>M233</f>
        <v>0</v>
      </c>
      <c r="S233" s="686">
        <f t="shared" si="61"/>
        <v>0</v>
      </c>
      <c r="T233" s="687">
        <f t="shared" si="62"/>
        <v>0</v>
      </c>
      <c r="U233" s="688">
        <f t="shared" si="63"/>
        <v>0</v>
      </c>
      <c r="V233" s="579"/>
      <c r="W233" s="566"/>
      <c r="X233" s="586" t="str">
        <f t="shared" si="64"/>
        <v/>
      </c>
      <c r="Y233" s="586" t="str">
        <f t="shared" si="56"/>
        <v/>
      </c>
      <c r="Z233" s="586" t="str">
        <f t="shared" si="58"/>
        <v/>
      </c>
    </row>
    <row r="234" spans="1:26" ht="12" hidden="1" thickBot="1" x14ac:dyDescent="0.25">
      <c r="A234" s="567">
        <v>589100</v>
      </c>
      <c r="B234" s="468" t="s">
        <v>1750</v>
      </c>
      <c r="C234" s="689" t="s">
        <v>1746</v>
      </c>
      <c r="D234" s="469" t="s">
        <v>653</v>
      </c>
      <c r="E234" s="470"/>
      <c r="F234" s="471">
        <v>500</v>
      </c>
      <c r="G234" s="785">
        <v>1</v>
      </c>
      <c r="H234" s="663">
        <f>(0.84*F234+41.45)*G234</f>
        <v>461.45</v>
      </c>
      <c r="I234" s="472">
        <v>6629</v>
      </c>
      <c r="J234" s="472">
        <f>IF(ISBLANK(I234),"",I234*(1+$F$9)/(1+$F$10))+H234</f>
        <v>6893.4937673596505</v>
      </c>
      <c r="K234" s="690">
        <f t="shared" si="65"/>
        <v>8190.16</v>
      </c>
      <c r="L234" s="691" t="s">
        <v>20</v>
      </c>
      <c r="M234" s="692">
        <f>ROUND(M233*G233,2)</f>
        <v>0</v>
      </c>
      <c r="N234" s="799">
        <f t="shared" si="57"/>
        <v>0</v>
      </c>
      <c r="O234" s="693">
        <f t="shared" si="59"/>
        <v>0</v>
      </c>
      <c r="P234" s="694">
        <f t="shared" si="60"/>
        <v>0</v>
      </c>
      <c r="Q234" s="765"/>
      <c r="R234" s="695">
        <f>ROUND(R233*G233,2)</f>
        <v>0</v>
      </c>
      <c r="S234" s="696">
        <f t="shared" si="61"/>
        <v>0</v>
      </c>
      <c r="T234" s="693">
        <f t="shared" si="62"/>
        <v>0</v>
      </c>
      <c r="U234" s="694">
        <f t="shared" si="63"/>
        <v>0</v>
      </c>
      <c r="V234" s="579"/>
      <c r="W234" s="566"/>
      <c r="X234" s="586" t="str">
        <f>IF(W234="X","x",IF(W234="xx","x",IF(W234="xy","x",IF(W234="y","x",IF(OR(P234&gt;0,U234&gt;0),"x","")))))</f>
        <v/>
      </c>
      <c r="Y234" s="586" t="str">
        <f>IF(W234="X","x",IF(W234="y","x",IF(W234="xx","x",IF(U234&gt;0,"x",""))))</f>
        <v/>
      </c>
      <c r="Z234" s="586" t="str">
        <f>IF(W234="X","x",IF(U234&gt;0,"x",""))</f>
        <v/>
      </c>
    </row>
    <row r="235" spans="1:26" x14ac:dyDescent="0.2">
      <c r="A235" s="567">
        <v>561100</v>
      </c>
      <c r="B235" s="461" t="s">
        <v>1751</v>
      </c>
      <c r="C235" s="462" t="s">
        <v>206</v>
      </c>
      <c r="D235" s="463" t="s">
        <v>747</v>
      </c>
      <c r="E235" s="464"/>
      <c r="F235" s="465" t="s">
        <v>667</v>
      </c>
      <c r="G235" s="466">
        <v>5.0000000000000001E-4</v>
      </c>
      <c r="H235" s="681"/>
      <c r="I235" s="467">
        <v>0.34</v>
      </c>
      <c r="J235" s="467">
        <f>IF(ISBLANK(I235),"",SUM(H235:I235))</f>
        <v>0.34</v>
      </c>
      <c r="K235" s="682">
        <f t="shared" si="65"/>
        <v>0.4</v>
      </c>
      <c r="L235" s="683" t="s">
        <v>18</v>
      </c>
      <c r="M235" s="684">
        <v>18824.04</v>
      </c>
      <c r="N235" s="576">
        <f t="shared" si="57"/>
        <v>0.4</v>
      </c>
      <c r="O235" s="642">
        <f t="shared" si="59"/>
        <v>7529.62</v>
      </c>
      <c r="P235" s="659">
        <f t="shared" si="60"/>
        <v>7529.62</v>
      </c>
      <c r="Q235" s="765"/>
      <c r="R235" s="685">
        <f>M235</f>
        <v>18824.04</v>
      </c>
      <c r="S235" s="686">
        <f t="shared" si="61"/>
        <v>0.4</v>
      </c>
      <c r="T235" s="687">
        <f t="shared" si="62"/>
        <v>7529.62</v>
      </c>
      <c r="U235" s="688">
        <f t="shared" si="63"/>
        <v>7529.62</v>
      </c>
      <c r="V235" s="579"/>
      <c r="W235" s="566"/>
      <c r="X235" s="586" t="str">
        <f t="shared" si="64"/>
        <v>x</v>
      </c>
      <c r="Y235" s="586" t="str">
        <f t="shared" si="56"/>
        <v>x</v>
      </c>
      <c r="Z235" s="586" t="str">
        <f t="shared" si="58"/>
        <v>x</v>
      </c>
    </row>
    <row r="236" spans="1:26" ht="12" thickBot="1" x14ac:dyDescent="0.25">
      <c r="A236" s="567">
        <v>589420</v>
      </c>
      <c r="B236" s="468" t="s">
        <v>1752</v>
      </c>
      <c r="C236" s="689" t="s">
        <v>1746</v>
      </c>
      <c r="D236" s="469" t="s">
        <v>748</v>
      </c>
      <c r="E236" s="470"/>
      <c r="F236" s="807">
        <v>465</v>
      </c>
      <c r="G236" s="697">
        <v>1</v>
      </c>
      <c r="H236" s="663">
        <f>(0.84*F236+41.45)*G236</f>
        <v>432.04999999999995</v>
      </c>
      <c r="I236" s="472">
        <v>3820</v>
      </c>
      <c r="J236" s="472">
        <f>IF(ISBLANK(I236),"",I236*(1+$F$9)/(1+$F$10))+H236</f>
        <v>4138.5528196279774</v>
      </c>
      <c r="K236" s="690">
        <f t="shared" si="65"/>
        <v>4917.01</v>
      </c>
      <c r="L236" s="691" t="s">
        <v>20</v>
      </c>
      <c r="M236" s="692">
        <f>ROUND(M235*G235,2)</f>
        <v>9.41</v>
      </c>
      <c r="N236" s="799">
        <f t="shared" si="57"/>
        <v>4917.01</v>
      </c>
      <c r="O236" s="693">
        <f t="shared" si="59"/>
        <v>46269.06</v>
      </c>
      <c r="P236" s="694">
        <f t="shared" si="60"/>
        <v>46269.06</v>
      </c>
      <c r="Q236" s="765"/>
      <c r="R236" s="695">
        <f>ROUND(R235*G235,2)</f>
        <v>9.41</v>
      </c>
      <c r="S236" s="696">
        <f t="shared" si="61"/>
        <v>4917.01</v>
      </c>
      <c r="T236" s="693">
        <f t="shared" si="62"/>
        <v>46269.06</v>
      </c>
      <c r="U236" s="694">
        <f t="shared" si="63"/>
        <v>46269.06</v>
      </c>
      <c r="V236" s="579"/>
      <c r="W236" s="566"/>
      <c r="X236" s="586" t="str">
        <f>IF(W236="X","x",IF(W236="xx","x",IF(W236="xy","x",IF(W236="y","x",IF(OR(P236&gt;0,U236&gt;0),"x","")))))</f>
        <v>x</v>
      </c>
      <c r="Y236" s="586" t="str">
        <f>IF(W236="X","x",IF(W236="y","x",IF(W236="xx","x",IF(U236&gt;0,"x",""))))</f>
        <v>x</v>
      </c>
      <c r="Z236" s="586" t="str">
        <f>IF(W236="X","x",IF(U236&gt;0,"x",""))</f>
        <v>x</v>
      </c>
    </row>
    <row r="237" spans="1:26" ht="12" hidden="1" thickBot="1" x14ac:dyDescent="0.25">
      <c r="A237" s="567">
        <v>521450</v>
      </c>
      <c r="B237" s="450" t="s">
        <v>1753</v>
      </c>
      <c r="C237" s="473" t="s">
        <v>206</v>
      </c>
      <c r="D237" s="422" t="s">
        <v>238</v>
      </c>
      <c r="E237" s="423"/>
      <c r="F237" s="424">
        <v>20</v>
      </c>
      <c r="G237" s="413">
        <v>0.3</v>
      </c>
      <c r="H237" s="681">
        <f t="shared" ref="H237:H238" si="66">IF(F237&lt;=30,(1.07*F237+2.68)*G237,((1.07*30+2.68)+1.07*(F237-30))*G237)</f>
        <v>7.2240000000000002</v>
      </c>
      <c r="I237" s="420">
        <v>24.94</v>
      </c>
      <c r="J237" s="420">
        <f t="shared" ref="J237:J253" si="67">IF(ISBLANK(I237),"",SUM(H237:I237))</f>
        <v>32.164000000000001</v>
      </c>
      <c r="K237" s="421">
        <f t="shared" si="65"/>
        <v>38.21</v>
      </c>
      <c r="L237" s="647" t="s">
        <v>18</v>
      </c>
      <c r="M237" s="576"/>
      <c r="N237" s="576">
        <f t="shared" si="57"/>
        <v>0</v>
      </c>
      <c r="O237" s="577">
        <f t="shared" si="59"/>
        <v>0</v>
      </c>
      <c r="P237" s="578">
        <f t="shared" si="60"/>
        <v>0</v>
      </c>
      <c r="Q237" s="765"/>
      <c r="R237" s="576">
        <f t="shared" ref="R237:R255" si="68">M237</f>
        <v>0</v>
      </c>
      <c r="S237" s="576">
        <f t="shared" si="61"/>
        <v>0</v>
      </c>
      <c r="T237" s="577">
        <f t="shared" si="62"/>
        <v>0</v>
      </c>
      <c r="U237" s="578">
        <f t="shared" si="63"/>
        <v>0</v>
      </c>
      <c r="V237" s="579"/>
      <c r="W237" s="566"/>
      <c r="X237" s="586" t="str">
        <f t="shared" si="64"/>
        <v/>
      </c>
      <c r="Y237" s="586" t="str">
        <f t="shared" si="56"/>
        <v/>
      </c>
      <c r="Z237" s="586" t="str">
        <f t="shared" si="58"/>
        <v/>
      </c>
    </row>
    <row r="238" spans="1:26" ht="12" hidden="1" thickBot="1" x14ac:dyDescent="0.25">
      <c r="A238" s="567">
        <v>535200</v>
      </c>
      <c r="B238" s="644" t="s">
        <v>1542</v>
      </c>
      <c r="C238" s="645" t="s">
        <v>206</v>
      </c>
      <c r="D238" s="422" t="s">
        <v>239</v>
      </c>
      <c r="E238" s="423"/>
      <c r="F238" s="424">
        <v>20</v>
      </c>
      <c r="G238" s="419">
        <v>7.6999999999999999E-2</v>
      </c>
      <c r="H238" s="663">
        <f t="shared" si="66"/>
        <v>1.85416</v>
      </c>
      <c r="I238" s="420">
        <v>10.85</v>
      </c>
      <c r="J238" s="420">
        <f t="shared" si="67"/>
        <v>12.70416</v>
      </c>
      <c r="K238" s="421">
        <f t="shared" si="65"/>
        <v>15.09</v>
      </c>
      <c r="L238" s="647" t="s">
        <v>19</v>
      </c>
      <c r="M238" s="576"/>
      <c r="N238" s="576">
        <f t="shared" si="57"/>
        <v>0</v>
      </c>
      <c r="O238" s="577">
        <f t="shared" si="59"/>
        <v>0</v>
      </c>
      <c r="P238" s="578">
        <f t="shared" si="60"/>
        <v>0</v>
      </c>
      <c r="Q238" s="765"/>
      <c r="R238" s="576">
        <f t="shared" si="68"/>
        <v>0</v>
      </c>
      <c r="S238" s="576">
        <f t="shared" si="61"/>
        <v>0</v>
      </c>
      <c r="T238" s="577">
        <f t="shared" si="62"/>
        <v>0</v>
      </c>
      <c r="U238" s="578">
        <f t="shared" si="63"/>
        <v>0</v>
      </c>
      <c r="V238" s="579"/>
      <c r="W238" s="566"/>
      <c r="X238" s="586" t="str">
        <f t="shared" si="64"/>
        <v/>
      </c>
      <c r="Y238" s="586" t="str">
        <f t="shared" si="56"/>
        <v/>
      </c>
      <c r="Z238" s="586" t="str">
        <f t="shared" si="58"/>
        <v/>
      </c>
    </row>
    <row r="239" spans="1:26" ht="12" hidden="1" thickBot="1" x14ac:dyDescent="0.25">
      <c r="A239" s="567">
        <v>521450</v>
      </c>
      <c r="B239" s="644" t="s">
        <v>1543</v>
      </c>
      <c r="C239" s="645" t="s">
        <v>206</v>
      </c>
      <c r="D239" s="422" t="s">
        <v>485</v>
      </c>
      <c r="E239" s="423"/>
      <c r="F239" s="424"/>
      <c r="G239" s="419"/>
      <c r="H239" s="651"/>
      <c r="I239" s="420">
        <v>9.42</v>
      </c>
      <c r="J239" s="420">
        <f t="shared" si="67"/>
        <v>9.42</v>
      </c>
      <c r="K239" s="421">
        <f t="shared" si="65"/>
        <v>11.19</v>
      </c>
      <c r="L239" s="647" t="s">
        <v>18</v>
      </c>
      <c r="M239" s="576"/>
      <c r="N239" s="576">
        <f t="shared" si="57"/>
        <v>0</v>
      </c>
      <c r="O239" s="577">
        <f t="shared" si="59"/>
        <v>0</v>
      </c>
      <c r="P239" s="578">
        <f t="shared" si="60"/>
        <v>0</v>
      </c>
      <c r="Q239" s="765"/>
      <c r="R239" s="576">
        <f t="shared" si="68"/>
        <v>0</v>
      </c>
      <c r="S239" s="576">
        <f t="shared" si="61"/>
        <v>0</v>
      </c>
      <c r="T239" s="577">
        <f t="shared" si="62"/>
        <v>0</v>
      </c>
      <c r="U239" s="578">
        <f t="shared" si="63"/>
        <v>0</v>
      </c>
      <c r="V239" s="579"/>
      <c r="W239" s="566"/>
      <c r="X239" s="586" t="str">
        <f t="shared" si="64"/>
        <v/>
      </c>
      <c r="Y239" s="586" t="str">
        <f t="shared" si="56"/>
        <v/>
      </c>
      <c r="Z239" s="586" t="str">
        <f t="shared" si="58"/>
        <v/>
      </c>
    </row>
    <row r="240" spans="1:26" ht="12" hidden="1" thickBot="1" x14ac:dyDescent="0.25">
      <c r="A240" s="567">
        <v>521450</v>
      </c>
      <c r="B240" s="644" t="s">
        <v>1544</v>
      </c>
      <c r="C240" s="645" t="s">
        <v>206</v>
      </c>
      <c r="D240" s="422" t="s">
        <v>240</v>
      </c>
      <c r="E240" s="423"/>
      <c r="F240" s="424"/>
      <c r="G240" s="419"/>
      <c r="H240" s="651"/>
      <c r="I240" s="420">
        <v>13.188000000000001</v>
      </c>
      <c r="J240" s="420">
        <f t="shared" si="67"/>
        <v>13.188000000000001</v>
      </c>
      <c r="K240" s="421">
        <f t="shared" si="65"/>
        <v>15.67</v>
      </c>
      <c r="L240" s="647" t="s">
        <v>18</v>
      </c>
      <c r="M240" s="576"/>
      <c r="N240" s="576">
        <f t="shared" si="57"/>
        <v>0</v>
      </c>
      <c r="O240" s="577">
        <f t="shared" si="59"/>
        <v>0</v>
      </c>
      <c r="P240" s="578">
        <f t="shared" si="60"/>
        <v>0</v>
      </c>
      <c r="Q240" s="765"/>
      <c r="R240" s="576">
        <f t="shared" si="68"/>
        <v>0</v>
      </c>
      <c r="S240" s="576">
        <f t="shared" si="61"/>
        <v>0</v>
      </c>
      <c r="T240" s="577">
        <f t="shared" si="62"/>
        <v>0</v>
      </c>
      <c r="U240" s="578">
        <f t="shared" si="63"/>
        <v>0</v>
      </c>
      <c r="V240" s="579"/>
      <c r="W240" s="566"/>
      <c r="X240" s="586" t="str">
        <f t="shared" si="64"/>
        <v/>
      </c>
      <c r="Y240" s="586" t="str">
        <f t="shared" si="56"/>
        <v/>
      </c>
      <c r="Z240" s="586" t="str">
        <f t="shared" si="58"/>
        <v/>
      </c>
    </row>
    <row r="241" spans="1:26" ht="12" hidden="1" thickBot="1" x14ac:dyDescent="0.25">
      <c r="A241" s="567">
        <v>535000</v>
      </c>
      <c r="B241" s="644" t="s">
        <v>1754</v>
      </c>
      <c r="C241" s="645" t="s">
        <v>206</v>
      </c>
      <c r="D241" s="422" t="s">
        <v>241</v>
      </c>
      <c r="E241" s="423"/>
      <c r="F241" s="424">
        <v>20</v>
      </c>
      <c r="G241" s="425">
        <v>0.27200000000000002</v>
      </c>
      <c r="H241" s="663">
        <f t="shared" ref="H241:H258" si="69">IF(F241&lt;=30,(1.07*F241+2.68)*G241,((1.07*30+2.68)+1.07*(F241-30))*G241)</f>
        <v>6.5497600000000009</v>
      </c>
      <c r="I241" s="420">
        <v>105.75</v>
      </c>
      <c r="J241" s="420">
        <f t="shared" si="67"/>
        <v>112.29976000000001</v>
      </c>
      <c r="K241" s="421">
        <f t="shared" si="65"/>
        <v>133.41999999999999</v>
      </c>
      <c r="L241" s="647" t="s">
        <v>18</v>
      </c>
      <c r="M241" s="576"/>
      <c r="N241" s="576">
        <f t="shared" si="57"/>
        <v>0</v>
      </c>
      <c r="O241" s="577">
        <f t="shared" si="59"/>
        <v>0</v>
      </c>
      <c r="P241" s="578">
        <f t="shared" si="60"/>
        <v>0</v>
      </c>
      <c r="Q241" s="765"/>
      <c r="R241" s="576">
        <f t="shared" si="68"/>
        <v>0</v>
      </c>
      <c r="S241" s="576">
        <f t="shared" si="61"/>
        <v>0</v>
      </c>
      <c r="T241" s="577">
        <f t="shared" si="62"/>
        <v>0</v>
      </c>
      <c r="U241" s="578">
        <f t="shared" si="63"/>
        <v>0</v>
      </c>
      <c r="V241" s="579"/>
      <c r="W241" s="566"/>
      <c r="X241" s="586" t="str">
        <f t="shared" si="64"/>
        <v/>
      </c>
      <c r="Y241" s="586" t="str">
        <f t="shared" si="56"/>
        <v/>
      </c>
      <c r="Z241" s="586" t="str">
        <f t="shared" si="58"/>
        <v/>
      </c>
    </row>
    <row r="242" spans="1:26" ht="12" hidden="1" thickBot="1" x14ac:dyDescent="0.25">
      <c r="A242" s="567">
        <v>863000</v>
      </c>
      <c r="B242" s="644" t="s">
        <v>1549</v>
      </c>
      <c r="C242" s="645" t="s">
        <v>206</v>
      </c>
      <c r="D242" s="422" t="s">
        <v>242</v>
      </c>
      <c r="E242" s="423"/>
      <c r="F242" s="424">
        <v>20</v>
      </c>
      <c r="G242" s="425">
        <f>2*0.04</f>
        <v>0.08</v>
      </c>
      <c r="H242" s="663">
        <f t="shared" si="69"/>
        <v>1.9264000000000001</v>
      </c>
      <c r="I242" s="420">
        <v>58.207999999999998</v>
      </c>
      <c r="J242" s="420">
        <f t="shared" si="67"/>
        <v>60.134399999999999</v>
      </c>
      <c r="K242" s="421">
        <f t="shared" si="65"/>
        <v>71.45</v>
      </c>
      <c r="L242" s="647" t="s">
        <v>18</v>
      </c>
      <c r="M242" s="576"/>
      <c r="N242" s="576">
        <f t="shared" si="57"/>
        <v>0</v>
      </c>
      <c r="O242" s="577">
        <f t="shared" si="59"/>
        <v>0</v>
      </c>
      <c r="P242" s="578">
        <f t="shared" si="60"/>
        <v>0</v>
      </c>
      <c r="Q242" s="765"/>
      <c r="R242" s="576">
        <f t="shared" si="68"/>
        <v>0</v>
      </c>
      <c r="S242" s="576">
        <f t="shared" si="61"/>
        <v>0</v>
      </c>
      <c r="T242" s="577">
        <f t="shared" si="62"/>
        <v>0</v>
      </c>
      <c r="U242" s="578">
        <f t="shared" si="63"/>
        <v>0</v>
      </c>
      <c r="V242" s="579"/>
      <c r="W242" s="566"/>
      <c r="X242" s="586" t="str">
        <f t="shared" si="64"/>
        <v/>
      </c>
      <c r="Y242" s="586" t="str">
        <f t="shared" si="56"/>
        <v/>
      </c>
      <c r="Z242" s="586" t="str">
        <f t="shared" si="58"/>
        <v/>
      </c>
    </row>
    <row r="243" spans="1:26" ht="12" hidden="1" thickBot="1" x14ac:dyDescent="0.25">
      <c r="A243" s="567">
        <v>863000</v>
      </c>
      <c r="B243" s="644" t="s">
        <v>1550</v>
      </c>
      <c r="C243" s="645" t="s">
        <v>206</v>
      </c>
      <c r="D243" s="422" t="s">
        <v>243</v>
      </c>
      <c r="E243" s="423"/>
      <c r="F243" s="424">
        <v>20</v>
      </c>
      <c r="G243" s="425">
        <f>2*0.05</f>
        <v>0.1</v>
      </c>
      <c r="H243" s="663">
        <f t="shared" si="69"/>
        <v>2.4080000000000004</v>
      </c>
      <c r="I243" s="420">
        <v>65.48</v>
      </c>
      <c r="J243" s="420">
        <f t="shared" si="67"/>
        <v>67.888000000000005</v>
      </c>
      <c r="K243" s="421">
        <f t="shared" si="65"/>
        <v>80.66</v>
      </c>
      <c r="L243" s="647" t="s">
        <v>18</v>
      </c>
      <c r="M243" s="576"/>
      <c r="N243" s="576">
        <f t="shared" si="57"/>
        <v>0</v>
      </c>
      <c r="O243" s="577">
        <f t="shared" si="59"/>
        <v>0</v>
      </c>
      <c r="P243" s="578">
        <f t="shared" si="60"/>
        <v>0</v>
      </c>
      <c r="Q243" s="765"/>
      <c r="R243" s="576">
        <f t="shared" si="68"/>
        <v>0</v>
      </c>
      <c r="S243" s="576">
        <f t="shared" si="61"/>
        <v>0</v>
      </c>
      <c r="T243" s="577">
        <f t="shared" si="62"/>
        <v>0</v>
      </c>
      <c r="U243" s="578">
        <f t="shared" si="63"/>
        <v>0</v>
      </c>
      <c r="V243" s="579"/>
      <c r="W243" s="566"/>
      <c r="X243" s="586" t="str">
        <f t="shared" si="64"/>
        <v/>
      </c>
      <c r="Y243" s="586" t="str">
        <f t="shared" si="56"/>
        <v/>
      </c>
      <c r="Z243" s="586" t="str">
        <f t="shared" si="58"/>
        <v/>
      </c>
    </row>
    <row r="244" spans="1:26" ht="12" hidden="1" thickBot="1" x14ac:dyDescent="0.25">
      <c r="A244" s="567">
        <v>534906</v>
      </c>
      <c r="B244" s="644" t="s">
        <v>1551</v>
      </c>
      <c r="C244" s="645" t="s">
        <v>206</v>
      </c>
      <c r="D244" s="422" t="s">
        <v>244</v>
      </c>
      <c r="E244" s="423"/>
      <c r="F244" s="424">
        <v>20</v>
      </c>
      <c r="G244" s="425">
        <f>2*0.06</f>
        <v>0.12</v>
      </c>
      <c r="H244" s="663">
        <f t="shared" si="69"/>
        <v>2.8896000000000002</v>
      </c>
      <c r="I244" s="420">
        <v>72.759999999999991</v>
      </c>
      <c r="J244" s="420">
        <f t="shared" si="67"/>
        <v>75.649599999999992</v>
      </c>
      <c r="K244" s="421">
        <f t="shared" si="65"/>
        <v>89.88</v>
      </c>
      <c r="L244" s="647" t="s">
        <v>18</v>
      </c>
      <c r="M244" s="576"/>
      <c r="N244" s="576">
        <f t="shared" si="57"/>
        <v>0</v>
      </c>
      <c r="O244" s="577">
        <f t="shared" si="59"/>
        <v>0</v>
      </c>
      <c r="P244" s="578">
        <f t="shared" si="60"/>
        <v>0</v>
      </c>
      <c r="Q244" s="765"/>
      <c r="R244" s="576">
        <f t="shared" si="68"/>
        <v>0</v>
      </c>
      <c r="S244" s="576">
        <f t="shared" si="61"/>
        <v>0</v>
      </c>
      <c r="T244" s="577">
        <f t="shared" si="62"/>
        <v>0</v>
      </c>
      <c r="U244" s="578">
        <f t="shared" si="63"/>
        <v>0</v>
      </c>
      <c r="V244" s="579"/>
      <c r="W244" s="566"/>
      <c r="X244" s="586" t="str">
        <f t="shared" si="64"/>
        <v/>
      </c>
      <c r="Y244" s="586" t="str">
        <f t="shared" si="56"/>
        <v/>
      </c>
      <c r="Z244" s="586" t="str">
        <f t="shared" si="58"/>
        <v/>
      </c>
    </row>
    <row r="245" spans="1:26" ht="12" hidden="1" thickBot="1" x14ac:dyDescent="0.25">
      <c r="A245" s="567">
        <v>534906</v>
      </c>
      <c r="B245" s="644" t="s">
        <v>1552</v>
      </c>
      <c r="C245" s="645" t="s">
        <v>206</v>
      </c>
      <c r="D245" s="422" t="s">
        <v>245</v>
      </c>
      <c r="E245" s="423"/>
      <c r="F245" s="424">
        <v>20</v>
      </c>
      <c r="G245" s="425">
        <f>2*0.07</f>
        <v>0.14000000000000001</v>
      </c>
      <c r="H245" s="663">
        <f t="shared" si="69"/>
        <v>3.3712000000000004</v>
      </c>
      <c r="I245" s="420">
        <v>78.16</v>
      </c>
      <c r="J245" s="420">
        <f t="shared" si="67"/>
        <v>81.531199999999998</v>
      </c>
      <c r="K245" s="421">
        <f t="shared" si="65"/>
        <v>96.87</v>
      </c>
      <c r="L245" s="647" t="s">
        <v>18</v>
      </c>
      <c r="M245" s="576"/>
      <c r="N245" s="576">
        <f t="shared" si="57"/>
        <v>0</v>
      </c>
      <c r="O245" s="577">
        <f t="shared" si="59"/>
        <v>0</v>
      </c>
      <c r="P245" s="578">
        <f t="shared" si="60"/>
        <v>0</v>
      </c>
      <c r="Q245" s="765"/>
      <c r="R245" s="576">
        <f t="shared" si="68"/>
        <v>0</v>
      </c>
      <c r="S245" s="576">
        <f t="shared" si="61"/>
        <v>0</v>
      </c>
      <c r="T245" s="577">
        <f t="shared" si="62"/>
        <v>0</v>
      </c>
      <c r="U245" s="578">
        <f t="shared" si="63"/>
        <v>0</v>
      </c>
      <c r="V245" s="579"/>
      <c r="W245" s="566"/>
      <c r="X245" s="586" t="str">
        <f t="shared" si="64"/>
        <v/>
      </c>
      <c r="Y245" s="586" t="str">
        <f t="shared" si="56"/>
        <v/>
      </c>
      <c r="Z245" s="586" t="str">
        <f t="shared" si="58"/>
        <v/>
      </c>
    </row>
    <row r="246" spans="1:26" ht="12" hidden="1" thickBot="1" x14ac:dyDescent="0.25">
      <c r="A246" s="567">
        <v>534906</v>
      </c>
      <c r="B246" s="644" t="s">
        <v>172</v>
      </c>
      <c r="C246" s="645" t="s">
        <v>206</v>
      </c>
      <c r="D246" s="422" t="s">
        <v>246</v>
      </c>
      <c r="E246" s="423"/>
      <c r="F246" s="424">
        <v>20</v>
      </c>
      <c r="G246" s="425">
        <f>2*0.08</f>
        <v>0.16</v>
      </c>
      <c r="H246" s="663">
        <f t="shared" si="69"/>
        <v>3.8528000000000002</v>
      </c>
      <c r="I246" s="420">
        <v>83.56</v>
      </c>
      <c r="J246" s="420">
        <f t="shared" si="67"/>
        <v>87.412800000000004</v>
      </c>
      <c r="K246" s="421">
        <f t="shared" si="65"/>
        <v>103.86</v>
      </c>
      <c r="L246" s="647" t="s">
        <v>18</v>
      </c>
      <c r="M246" s="576"/>
      <c r="N246" s="576">
        <f t="shared" si="57"/>
        <v>0</v>
      </c>
      <c r="O246" s="577">
        <f t="shared" si="59"/>
        <v>0</v>
      </c>
      <c r="P246" s="578">
        <f t="shared" si="60"/>
        <v>0</v>
      </c>
      <c r="Q246" s="765"/>
      <c r="R246" s="576">
        <f t="shared" si="68"/>
        <v>0</v>
      </c>
      <c r="S246" s="576">
        <f t="shared" si="61"/>
        <v>0</v>
      </c>
      <c r="T246" s="577">
        <f t="shared" si="62"/>
        <v>0</v>
      </c>
      <c r="U246" s="578">
        <f t="shared" si="63"/>
        <v>0</v>
      </c>
      <c r="V246" s="579"/>
      <c r="W246" s="566"/>
      <c r="X246" s="586" t="str">
        <f t="shared" si="64"/>
        <v/>
      </c>
      <c r="Y246" s="586" t="str">
        <f t="shared" si="56"/>
        <v/>
      </c>
      <c r="Z246" s="586" t="str">
        <f t="shared" si="58"/>
        <v/>
      </c>
    </row>
    <row r="247" spans="1:26" ht="12" hidden="1" thickBot="1" x14ac:dyDescent="0.25">
      <c r="A247" s="567">
        <v>534906</v>
      </c>
      <c r="B247" s="644" t="s">
        <v>229</v>
      </c>
      <c r="C247" s="645" t="s">
        <v>206</v>
      </c>
      <c r="D247" s="422" t="s">
        <v>247</v>
      </c>
      <c r="E247" s="423"/>
      <c r="F247" s="424">
        <v>20</v>
      </c>
      <c r="G247" s="425">
        <f>2*0.1</f>
        <v>0.2</v>
      </c>
      <c r="H247" s="663">
        <f t="shared" si="69"/>
        <v>4.8160000000000007</v>
      </c>
      <c r="I247" s="420">
        <v>94.614793103448264</v>
      </c>
      <c r="J247" s="420">
        <f t="shared" si="67"/>
        <v>99.430793103448266</v>
      </c>
      <c r="K247" s="421">
        <f t="shared" si="65"/>
        <v>118.13</v>
      </c>
      <c r="L247" s="647" t="s">
        <v>18</v>
      </c>
      <c r="M247" s="576"/>
      <c r="N247" s="576">
        <f t="shared" si="57"/>
        <v>0</v>
      </c>
      <c r="O247" s="577">
        <f t="shared" si="59"/>
        <v>0</v>
      </c>
      <c r="P247" s="578">
        <f t="shared" si="60"/>
        <v>0</v>
      </c>
      <c r="Q247" s="765"/>
      <c r="R247" s="576">
        <f t="shared" si="68"/>
        <v>0</v>
      </c>
      <c r="S247" s="576">
        <f t="shared" si="61"/>
        <v>0</v>
      </c>
      <c r="T247" s="577">
        <f t="shared" si="62"/>
        <v>0</v>
      </c>
      <c r="U247" s="578">
        <f t="shared" si="63"/>
        <v>0</v>
      </c>
      <c r="V247" s="579"/>
      <c r="W247" s="566"/>
      <c r="X247" s="586" t="str">
        <f t="shared" si="64"/>
        <v/>
      </c>
      <c r="Y247" s="586" t="str">
        <f t="shared" si="56"/>
        <v/>
      </c>
      <c r="Z247" s="586" t="str">
        <f t="shared" si="58"/>
        <v/>
      </c>
    </row>
    <row r="248" spans="1:26" ht="12" hidden="1" thickBot="1" x14ac:dyDescent="0.25">
      <c r="A248" s="567">
        <v>534906</v>
      </c>
      <c r="B248" s="644" t="s">
        <v>230</v>
      </c>
      <c r="C248" s="645" t="s">
        <v>206</v>
      </c>
      <c r="D248" s="422" t="s">
        <v>805</v>
      </c>
      <c r="E248" s="423"/>
      <c r="F248" s="424">
        <v>20</v>
      </c>
      <c r="G248" s="425">
        <v>0.14000000000000001</v>
      </c>
      <c r="H248" s="663">
        <f t="shared" si="69"/>
        <v>3.3712000000000004</v>
      </c>
      <c r="I248" s="420">
        <v>72.759999999999991</v>
      </c>
      <c r="J248" s="420">
        <f t="shared" si="67"/>
        <v>76.131199999999993</v>
      </c>
      <c r="K248" s="421">
        <f t="shared" si="65"/>
        <v>90.45</v>
      </c>
      <c r="L248" s="647" t="s">
        <v>18</v>
      </c>
      <c r="M248" s="576"/>
      <c r="N248" s="576">
        <f t="shared" si="57"/>
        <v>0</v>
      </c>
      <c r="O248" s="577">
        <f t="shared" si="59"/>
        <v>0</v>
      </c>
      <c r="P248" s="578">
        <f t="shared" si="60"/>
        <v>0</v>
      </c>
      <c r="Q248" s="765"/>
      <c r="R248" s="576">
        <f t="shared" si="68"/>
        <v>0</v>
      </c>
      <c r="S248" s="576">
        <f t="shared" si="61"/>
        <v>0</v>
      </c>
      <c r="T248" s="577">
        <f t="shared" si="62"/>
        <v>0</v>
      </c>
      <c r="U248" s="578">
        <f t="shared" si="63"/>
        <v>0</v>
      </c>
      <c r="V248" s="579"/>
      <c r="W248" s="566"/>
      <c r="X248" s="586" t="str">
        <f t="shared" si="64"/>
        <v/>
      </c>
      <c r="Y248" s="586" t="str">
        <f t="shared" si="56"/>
        <v/>
      </c>
      <c r="Z248" s="586" t="str">
        <f t="shared" si="58"/>
        <v/>
      </c>
    </row>
    <row r="249" spans="1:26" ht="12" hidden="1" thickBot="1" x14ac:dyDescent="0.25">
      <c r="A249" s="567">
        <v>534906</v>
      </c>
      <c r="B249" s="644" t="s">
        <v>231</v>
      </c>
      <c r="C249" s="645" t="s">
        <v>206</v>
      </c>
      <c r="D249" s="422" t="s">
        <v>806</v>
      </c>
      <c r="E249" s="423"/>
      <c r="F249" s="424">
        <v>20</v>
      </c>
      <c r="G249" s="425">
        <v>0.14000000000000001</v>
      </c>
      <c r="H249" s="663">
        <f t="shared" si="69"/>
        <v>3.3712000000000004</v>
      </c>
      <c r="I249" s="420">
        <v>80.040000000000006</v>
      </c>
      <c r="J249" s="420">
        <f t="shared" si="67"/>
        <v>83.411200000000008</v>
      </c>
      <c r="K249" s="421">
        <f t="shared" si="65"/>
        <v>99.1</v>
      </c>
      <c r="L249" s="647" t="s">
        <v>18</v>
      </c>
      <c r="M249" s="576"/>
      <c r="N249" s="576">
        <f t="shared" si="57"/>
        <v>0</v>
      </c>
      <c r="O249" s="577">
        <f t="shared" si="59"/>
        <v>0</v>
      </c>
      <c r="P249" s="578">
        <f t="shared" si="60"/>
        <v>0</v>
      </c>
      <c r="Q249" s="765"/>
      <c r="R249" s="576">
        <f t="shared" si="68"/>
        <v>0</v>
      </c>
      <c r="S249" s="576">
        <f t="shared" si="61"/>
        <v>0</v>
      </c>
      <c r="T249" s="577">
        <f t="shared" si="62"/>
        <v>0</v>
      </c>
      <c r="U249" s="578">
        <f t="shared" si="63"/>
        <v>0</v>
      </c>
      <c r="V249" s="579"/>
      <c r="W249" s="566"/>
      <c r="X249" s="586" t="str">
        <f t="shared" si="64"/>
        <v/>
      </c>
      <c r="Y249" s="586" t="str">
        <f t="shared" si="56"/>
        <v/>
      </c>
      <c r="Z249" s="586" t="str">
        <f t="shared" si="58"/>
        <v/>
      </c>
    </row>
    <row r="250" spans="1:26" ht="12" hidden="1" thickBot="1" x14ac:dyDescent="0.25">
      <c r="A250" s="567">
        <v>534908</v>
      </c>
      <c r="B250" s="644" t="s">
        <v>169</v>
      </c>
      <c r="C250" s="645" t="s">
        <v>206</v>
      </c>
      <c r="D250" s="422" t="s">
        <v>807</v>
      </c>
      <c r="E250" s="423"/>
      <c r="F250" s="424">
        <v>20</v>
      </c>
      <c r="G250" s="425">
        <v>0.18</v>
      </c>
      <c r="H250" s="663">
        <f t="shared" si="69"/>
        <v>4.3344000000000005</v>
      </c>
      <c r="I250" s="420">
        <v>83.56</v>
      </c>
      <c r="J250" s="420">
        <f t="shared" si="67"/>
        <v>87.894400000000005</v>
      </c>
      <c r="K250" s="421">
        <f>IF(ISBLANK(I250),0,ROUNDDOWN(J250*(1+$F$10)*(1+$F$11*E250),2))</f>
        <v>104.42</v>
      </c>
      <c r="L250" s="647" t="s">
        <v>18</v>
      </c>
      <c r="M250" s="576"/>
      <c r="N250" s="576">
        <f t="shared" si="57"/>
        <v>0</v>
      </c>
      <c r="O250" s="577">
        <f t="shared" si="59"/>
        <v>0</v>
      </c>
      <c r="P250" s="578">
        <f t="shared" si="60"/>
        <v>0</v>
      </c>
      <c r="Q250" s="765"/>
      <c r="R250" s="576">
        <f t="shared" si="68"/>
        <v>0</v>
      </c>
      <c r="S250" s="576">
        <f t="shared" si="61"/>
        <v>0</v>
      </c>
      <c r="T250" s="577">
        <f t="shared" si="62"/>
        <v>0</v>
      </c>
      <c r="U250" s="578">
        <f t="shared" si="63"/>
        <v>0</v>
      </c>
      <c r="V250" s="579"/>
      <c r="W250" s="566"/>
      <c r="X250" s="586" t="str">
        <f t="shared" si="64"/>
        <v/>
      </c>
      <c r="Y250" s="586" t="str">
        <f t="shared" si="56"/>
        <v/>
      </c>
      <c r="Z250" s="586" t="str">
        <f t="shared" si="58"/>
        <v/>
      </c>
    </row>
    <row r="251" spans="1:26" ht="12" hidden="1" thickBot="1" x14ac:dyDescent="0.25">
      <c r="A251" s="567">
        <v>534908</v>
      </c>
      <c r="B251" s="644" t="s">
        <v>170</v>
      </c>
      <c r="C251" s="645" t="s">
        <v>206</v>
      </c>
      <c r="D251" s="422" t="s">
        <v>808</v>
      </c>
      <c r="E251" s="423"/>
      <c r="F251" s="424">
        <v>20</v>
      </c>
      <c r="G251" s="425">
        <v>0.18</v>
      </c>
      <c r="H251" s="663">
        <f t="shared" si="69"/>
        <v>4.3344000000000005</v>
      </c>
      <c r="I251" s="420">
        <v>91.92</v>
      </c>
      <c r="J251" s="420">
        <f t="shared" si="67"/>
        <v>96.254400000000004</v>
      </c>
      <c r="K251" s="421">
        <f t="shared" ref="K251:K314" si="70">IF(ISBLANK(I251),0,ROUND(J251*(1+$F$10)*(1+$F$11*E251),2))</f>
        <v>114.36</v>
      </c>
      <c r="L251" s="647" t="s">
        <v>18</v>
      </c>
      <c r="M251" s="576"/>
      <c r="N251" s="576">
        <f t="shared" si="57"/>
        <v>0</v>
      </c>
      <c r="O251" s="577">
        <f t="shared" si="59"/>
        <v>0</v>
      </c>
      <c r="P251" s="578">
        <f t="shared" si="60"/>
        <v>0</v>
      </c>
      <c r="Q251" s="765"/>
      <c r="R251" s="576">
        <f t="shared" si="68"/>
        <v>0</v>
      </c>
      <c r="S251" s="576">
        <f t="shared" si="61"/>
        <v>0</v>
      </c>
      <c r="T251" s="577">
        <f t="shared" si="62"/>
        <v>0</v>
      </c>
      <c r="U251" s="578">
        <f t="shared" si="63"/>
        <v>0</v>
      </c>
      <c r="V251" s="579"/>
      <c r="W251" s="566"/>
      <c r="X251" s="586" t="str">
        <f t="shared" si="64"/>
        <v/>
      </c>
      <c r="Y251" s="586" t="str">
        <f t="shared" si="56"/>
        <v/>
      </c>
      <c r="Z251" s="586" t="str">
        <f t="shared" si="58"/>
        <v/>
      </c>
    </row>
    <row r="252" spans="1:26" ht="12" hidden="1" thickBot="1" x14ac:dyDescent="0.25">
      <c r="A252" s="567">
        <v>534908</v>
      </c>
      <c r="B252" s="644" t="s">
        <v>171</v>
      </c>
      <c r="C252" s="645" t="s">
        <v>206</v>
      </c>
      <c r="D252" s="422" t="s">
        <v>809</v>
      </c>
      <c r="E252" s="423"/>
      <c r="F252" s="424">
        <v>20</v>
      </c>
      <c r="G252" s="425">
        <v>0.22</v>
      </c>
      <c r="H252" s="663">
        <f t="shared" si="69"/>
        <v>5.2976000000000001</v>
      </c>
      <c r="I252" s="420">
        <v>94.614793103448264</v>
      </c>
      <c r="J252" s="420">
        <f t="shared" si="67"/>
        <v>99.912393103448267</v>
      </c>
      <c r="K252" s="421">
        <f t="shared" si="70"/>
        <v>118.71</v>
      </c>
      <c r="L252" s="647" t="s">
        <v>18</v>
      </c>
      <c r="M252" s="576"/>
      <c r="N252" s="576">
        <f t="shared" si="57"/>
        <v>0</v>
      </c>
      <c r="O252" s="577">
        <f t="shared" si="59"/>
        <v>0</v>
      </c>
      <c r="P252" s="578">
        <f t="shared" si="60"/>
        <v>0</v>
      </c>
      <c r="Q252" s="765"/>
      <c r="R252" s="576">
        <f t="shared" si="68"/>
        <v>0</v>
      </c>
      <c r="S252" s="576">
        <f t="shared" si="61"/>
        <v>0</v>
      </c>
      <c r="T252" s="577">
        <f t="shared" si="62"/>
        <v>0</v>
      </c>
      <c r="U252" s="578">
        <f t="shared" si="63"/>
        <v>0</v>
      </c>
      <c r="V252" s="579"/>
      <c r="W252" s="566"/>
      <c r="X252" s="586" t="str">
        <f t="shared" si="64"/>
        <v/>
      </c>
      <c r="Y252" s="586" t="str">
        <f t="shared" si="56"/>
        <v/>
      </c>
      <c r="Z252" s="586" t="str">
        <f t="shared" si="58"/>
        <v/>
      </c>
    </row>
    <row r="253" spans="1:26" ht="12" hidden="1" thickBot="1" x14ac:dyDescent="0.25">
      <c r="A253" s="567">
        <v>534908</v>
      </c>
      <c r="B253" s="644" t="s">
        <v>232</v>
      </c>
      <c r="C253" s="645" t="s">
        <v>206</v>
      </c>
      <c r="D253" s="422" t="s">
        <v>810</v>
      </c>
      <c r="E253" s="423"/>
      <c r="F253" s="424">
        <v>20</v>
      </c>
      <c r="G253" s="425">
        <v>0.22</v>
      </c>
      <c r="H253" s="663">
        <f t="shared" si="69"/>
        <v>5.2976000000000001</v>
      </c>
      <c r="I253" s="420">
        <v>104.08</v>
      </c>
      <c r="J253" s="420">
        <f t="shared" si="67"/>
        <v>109.3776</v>
      </c>
      <c r="K253" s="421">
        <f t="shared" si="70"/>
        <v>129.94999999999999</v>
      </c>
      <c r="L253" s="647" t="s">
        <v>18</v>
      </c>
      <c r="M253" s="576"/>
      <c r="N253" s="576">
        <f t="shared" si="57"/>
        <v>0</v>
      </c>
      <c r="O253" s="577">
        <f t="shared" si="59"/>
        <v>0</v>
      </c>
      <c r="P253" s="578">
        <f t="shared" si="60"/>
        <v>0</v>
      </c>
      <c r="Q253" s="765"/>
      <c r="R253" s="576">
        <f t="shared" si="68"/>
        <v>0</v>
      </c>
      <c r="S253" s="576">
        <f t="shared" si="61"/>
        <v>0</v>
      </c>
      <c r="T253" s="577">
        <f t="shared" si="62"/>
        <v>0</v>
      </c>
      <c r="U253" s="578">
        <f t="shared" si="63"/>
        <v>0</v>
      </c>
      <c r="V253" s="579"/>
      <c r="W253" s="566"/>
      <c r="X253" s="586" t="str">
        <f t="shared" si="64"/>
        <v/>
      </c>
      <c r="Y253" s="586" t="str">
        <f t="shared" si="56"/>
        <v/>
      </c>
      <c r="Z253" s="586" t="str">
        <f t="shared" si="58"/>
        <v/>
      </c>
    </row>
    <row r="254" spans="1:26" ht="12" hidden="1" thickBot="1" x14ac:dyDescent="0.25">
      <c r="A254" s="671">
        <v>101090</v>
      </c>
      <c r="B254" s="698" t="s">
        <v>1553</v>
      </c>
      <c r="C254" s="699" t="s">
        <v>670</v>
      </c>
      <c r="D254" s="456" t="s">
        <v>811</v>
      </c>
      <c r="E254" s="457"/>
      <c r="F254" s="458">
        <v>20</v>
      </c>
      <c r="G254" s="474">
        <v>0.3</v>
      </c>
      <c r="H254" s="675">
        <f t="shared" si="69"/>
        <v>7.2240000000000002</v>
      </c>
      <c r="I254" s="460">
        <v>177.63</v>
      </c>
      <c r="J254" s="460">
        <f>IF(ISBLANK(I254),"",SUM(H254:I254))</f>
        <v>184.85399999999998</v>
      </c>
      <c r="K254" s="676">
        <f t="shared" si="70"/>
        <v>219.63</v>
      </c>
      <c r="L254" s="677" t="s">
        <v>18</v>
      </c>
      <c r="M254" s="700"/>
      <c r="N254" s="799">
        <f t="shared" si="57"/>
        <v>0</v>
      </c>
      <c r="O254" s="585">
        <f t="shared" si="59"/>
        <v>0</v>
      </c>
      <c r="P254" s="660">
        <f t="shared" si="60"/>
        <v>0</v>
      </c>
      <c r="Q254" s="765"/>
      <c r="R254" s="588">
        <f t="shared" si="68"/>
        <v>0</v>
      </c>
      <c r="S254" s="588">
        <f t="shared" si="61"/>
        <v>0</v>
      </c>
      <c r="T254" s="585">
        <f t="shared" si="62"/>
        <v>0</v>
      </c>
      <c r="U254" s="660">
        <f t="shared" si="63"/>
        <v>0</v>
      </c>
      <c r="V254" s="579"/>
      <c r="W254" s="566"/>
      <c r="X254" s="586" t="str">
        <f t="shared" si="64"/>
        <v/>
      </c>
      <c r="Y254" s="586" t="str">
        <f t="shared" si="56"/>
        <v/>
      </c>
      <c r="Z254" s="586" t="str">
        <f t="shared" si="58"/>
        <v/>
      </c>
    </row>
    <row r="255" spans="1:26" ht="12" hidden="1" thickBot="1" x14ac:dyDescent="0.25">
      <c r="A255" s="671">
        <v>562100</v>
      </c>
      <c r="B255" s="701" t="s">
        <v>1565</v>
      </c>
      <c r="C255" s="702" t="s">
        <v>206</v>
      </c>
      <c r="D255" s="463" t="s">
        <v>648</v>
      </c>
      <c r="E255" s="464"/>
      <c r="F255" s="465" t="s">
        <v>649</v>
      </c>
      <c r="G255" s="466">
        <v>1.5E-3</v>
      </c>
      <c r="H255" s="681">
        <f>SUM(H256:H258)</f>
        <v>0.58577400000000002</v>
      </c>
      <c r="I255" s="467">
        <v>3</v>
      </c>
      <c r="J255" s="467">
        <f>IF(ISBLANK(I255),"",SUM(H255:I255))</f>
        <v>3.5857739999999998</v>
      </c>
      <c r="K255" s="682">
        <f t="shared" si="70"/>
        <v>4.26</v>
      </c>
      <c r="L255" s="683" t="s">
        <v>18</v>
      </c>
      <c r="M255" s="685"/>
      <c r="N255" s="576">
        <f t="shared" si="57"/>
        <v>0</v>
      </c>
      <c r="O255" s="687">
        <f t="shared" si="59"/>
        <v>0</v>
      </c>
      <c r="P255" s="688">
        <f t="shared" si="60"/>
        <v>0</v>
      </c>
      <c r="Q255" s="765"/>
      <c r="R255" s="685">
        <f t="shared" si="68"/>
        <v>0</v>
      </c>
      <c r="S255" s="686">
        <f t="shared" si="61"/>
        <v>0</v>
      </c>
      <c r="T255" s="687">
        <f t="shared" si="62"/>
        <v>0</v>
      </c>
      <c r="U255" s="688">
        <f t="shared" si="63"/>
        <v>0</v>
      </c>
      <c r="V255" s="579"/>
      <c r="W255" s="566"/>
      <c r="X255" s="586" t="str">
        <f t="shared" si="64"/>
        <v/>
      </c>
      <c r="Y255" s="586" t="str">
        <f t="shared" si="56"/>
        <v/>
      </c>
      <c r="Z255" s="586" t="str">
        <f t="shared" si="58"/>
        <v/>
      </c>
    </row>
    <row r="256" spans="1:26" ht="12" hidden="1" thickBot="1" x14ac:dyDescent="0.25">
      <c r="A256" s="671" t="s">
        <v>168</v>
      </c>
      <c r="B256" s="644" t="s">
        <v>168</v>
      </c>
      <c r="C256" s="645"/>
      <c r="D256" s="475" t="s">
        <v>248</v>
      </c>
      <c r="E256" s="423"/>
      <c r="F256" s="424">
        <v>180</v>
      </c>
      <c r="G256" s="476" t="s">
        <v>86</v>
      </c>
      <c r="H256" s="663">
        <f t="shared" si="69"/>
        <v>0.48820000000000002</v>
      </c>
      <c r="I256" s="420">
        <v>0</v>
      </c>
      <c r="J256" s="420"/>
      <c r="K256" s="421">
        <f t="shared" si="70"/>
        <v>0</v>
      </c>
      <c r="L256" s="647" t="s">
        <v>614</v>
      </c>
      <c r="M256" s="703"/>
      <c r="N256" s="576">
        <f t="shared" si="57"/>
        <v>0</v>
      </c>
      <c r="O256" s="577">
        <f t="shared" si="59"/>
        <v>0</v>
      </c>
      <c r="P256" s="578">
        <f t="shared" si="60"/>
        <v>0</v>
      </c>
      <c r="Q256" s="765"/>
      <c r="R256" s="703"/>
      <c r="S256" s="670"/>
      <c r="T256" s="577">
        <f t="shared" si="62"/>
        <v>0</v>
      </c>
      <c r="U256" s="578">
        <f t="shared" si="63"/>
        <v>0</v>
      </c>
      <c r="V256" s="579"/>
      <c r="W256" s="637" t="str">
        <f>IF(U255&gt;0,"xx",IF(P255&gt;0,"xy",""))</f>
        <v/>
      </c>
      <c r="X256" s="586" t="str">
        <f t="shared" si="64"/>
        <v/>
      </c>
      <c r="Y256" s="586" t="str">
        <f t="shared" si="56"/>
        <v/>
      </c>
      <c r="Z256" s="586" t="str">
        <f t="shared" si="58"/>
        <v/>
      </c>
    </row>
    <row r="257" spans="1:26" ht="12" hidden="1" thickBot="1" x14ac:dyDescent="0.25">
      <c r="A257" s="671" t="s">
        <v>168</v>
      </c>
      <c r="B257" s="644" t="s">
        <v>168</v>
      </c>
      <c r="C257" s="645"/>
      <c r="D257" s="475" t="s">
        <v>249</v>
      </c>
      <c r="E257" s="423"/>
      <c r="F257" s="424">
        <v>500</v>
      </c>
      <c r="G257" s="476" t="s">
        <v>87</v>
      </c>
      <c r="H257" s="649">
        <f>IF(F257&lt;=30,(0.78*F257+7.82)*G257,((0.78*30+7.82)+0.78*(F257-30))*G257)</f>
        <v>3.9782000000000005E-2</v>
      </c>
      <c r="I257" s="420">
        <v>0</v>
      </c>
      <c r="J257" s="420"/>
      <c r="K257" s="421">
        <f t="shared" si="70"/>
        <v>0</v>
      </c>
      <c r="L257" s="647" t="s">
        <v>614</v>
      </c>
      <c r="M257" s="703"/>
      <c r="N257" s="576">
        <f t="shared" si="57"/>
        <v>0</v>
      </c>
      <c r="O257" s="577">
        <f t="shared" si="59"/>
        <v>0</v>
      </c>
      <c r="P257" s="578">
        <f t="shared" si="60"/>
        <v>0</v>
      </c>
      <c r="Q257" s="765"/>
      <c r="R257" s="703"/>
      <c r="S257" s="670"/>
      <c r="T257" s="577">
        <f t="shared" si="62"/>
        <v>0</v>
      </c>
      <c r="U257" s="578">
        <f t="shared" si="63"/>
        <v>0</v>
      </c>
      <c r="V257" s="579"/>
      <c r="W257" s="637" t="str">
        <f>IF(U255&gt;0,"xx",IF(P255&gt;0,"xy",""))</f>
        <v/>
      </c>
      <c r="X257" s="586" t="str">
        <f t="shared" si="64"/>
        <v/>
      </c>
      <c r="Y257" s="586" t="str">
        <f t="shared" si="56"/>
        <v/>
      </c>
      <c r="Z257" s="586" t="str">
        <f t="shared" si="58"/>
        <v/>
      </c>
    </row>
    <row r="258" spans="1:26" ht="12" hidden="1" thickBot="1" x14ac:dyDescent="0.25">
      <c r="A258" s="671" t="s">
        <v>168</v>
      </c>
      <c r="B258" s="644" t="s">
        <v>168</v>
      </c>
      <c r="C258" s="645"/>
      <c r="D258" s="475" t="s">
        <v>250</v>
      </c>
      <c r="E258" s="423"/>
      <c r="F258" s="424">
        <v>20</v>
      </c>
      <c r="G258" s="425" t="s">
        <v>88</v>
      </c>
      <c r="H258" s="663">
        <f t="shared" si="69"/>
        <v>5.7791999999999996E-2</v>
      </c>
      <c r="I258" s="420">
        <v>0</v>
      </c>
      <c r="J258" s="420"/>
      <c r="K258" s="421">
        <f t="shared" si="70"/>
        <v>0</v>
      </c>
      <c r="L258" s="647" t="s">
        <v>614</v>
      </c>
      <c r="M258" s="703"/>
      <c r="N258" s="576">
        <f t="shared" si="57"/>
        <v>0</v>
      </c>
      <c r="O258" s="577">
        <f t="shared" si="59"/>
        <v>0</v>
      </c>
      <c r="P258" s="578">
        <f t="shared" si="60"/>
        <v>0</v>
      </c>
      <c r="Q258" s="765"/>
      <c r="R258" s="703"/>
      <c r="S258" s="670"/>
      <c r="T258" s="577">
        <f t="shared" si="62"/>
        <v>0</v>
      </c>
      <c r="U258" s="578">
        <f t="shared" si="63"/>
        <v>0</v>
      </c>
      <c r="V258" s="579"/>
      <c r="W258" s="637" t="str">
        <f>IF(U255&gt;0,"xx",IF(P255&gt;0,"xy",""))</f>
        <v/>
      </c>
      <c r="X258" s="586" t="str">
        <f>IF(W258="X","x",IF(W258="xx","x",IF(W258="xy","x",IF(W258="y","x",IF(OR(P258&gt;0,U258&gt;0),"x","")))))</f>
        <v/>
      </c>
      <c r="Y258" s="586" t="str">
        <f>IF(W258="X","x",IF(W258="y","x",IF(W258="xx","x",IF(U258&gt;0,"x",""))))</f>
        <v/>
      </c>
      <c r="Z258" s="586" t="str">
        <f>IF(W258="X","x",IF(U258&gt;0,"x",""))</f>
        <v/>
      </c>
    </row>
    <row r="259" spans="1:26" ht="12" hidden="1" thickBot="1" x14ac:dyDescent="0.25">
      <c r="A259" s="671">
        <v>589170</v>
      </c>
      <c r="B259" s="704" t="s">
        <v>1755</v>
      </c>
      <c r="C259" s="689" t="s">
        <v>1746</v>
      </c>
      <c r="D259" s="469" t="s">
        <v>749</v>
      </c>
      <c r="E259" s="470"/>
      <c r="F259" s="478">
        <v>500</v>
      </c>
      <c r="G259" s="479">
        <v>1</v>
      </c>
      <c r="H259" s="663">
        <f>(0.84*F259+41.45)*G259</f>
        <v>461.45</v>
      </c>
      <c r="I259" s="472">
        <v>4205</v>
      </c>
      <c r="J259" s="472">
        <f>IF(ISBLANK(I259),"",I259*(1+$F$9)/(1+$F$10))+H259</f>
        <v>4541.5139676794888</v>
      </c>
      <c r="K259" s="690">
        <f t="shared" si="70"/>
        <v>5395.77</v>
      </c>
      <c r="L259" s="691" t="s">
        <v>20</v>
      </c>
      <c r="M259" s="692">
        <f>ROUND(M255*G255,2)</f>
        <v>0</v>
      </c>
      <c r="N259" s="799">
        <f t="shared" si="57"/>
        <v>0</v>
      </c>
      <c r="O259" s="693">
        <f t="shared" si="59"/>
        <v>0</v>
      </c>
      <c r="P259" s="694">
        <f t="shared" si="60"/>
        <v>0</v>
      </c>
      <c r="Q259" s="765"/>
      <c r="R259" s="695">
        <f>ROUND(R255*G255,2)</f>
        <v>0</v>
      </c>
      <c r="S259" s="705">
        <f t="shared" si="61"/>
        <v>0</v>
      </c>
      <c r="T259" s="693">
        <f t="shared" si="62"/>
        <v>0</v>
      </c>
      <c r="U259" s="694">
        <f t="shared" si="63"/>
        <v>0</v>
      </c>
      <c r="V259" s="579"/>
      <c r="W259" s="637" t="str">
        <f>IF(U255&gt;0,"xx",IF(P255&gt;0,"xy",""))</f>
        <v/>
      </c>
      <c r="X259" s="586" t="str">
        <f t="shared" si="64"/>
        <v/>
      </c>
      <c r="Y259" s="586" t="str">
        <f t="shared" si="56"/>
        <v/>
      </c>
      <c r="Z259" s="586" t="str">
        <f t="shared" si="58"/>
        <v/>
      </c>
    </row>
    <row r="260" spans="1:26" ht="12" hidden="1" thickBot="1" x14ac:dyDescent="0.25">
      <c r="A260" s="671">
        <v>562100</v>
      </c>
      <c r="B260" s="701" t="s">
        <v>1566</v>
      </c>
      <c r="C260" s="702" t="s">
        <v>206</v>
      </c>
      <c r="D260" s="463" t="s">
        <v>651</v>
      </c>
      <c r="E260" s="464"/>
      <c r="F260" s="465" t="s">
        <v>649</v>
      </c>
      <c r="G260" s="466">
        <v>1.8E-3</v>
      </c>
      <c r="H260" s="681">
        <f>SUM(H261:H263)</f>
        <v>0.87941999999999998</v>
      </c>
      <c r="I260" s="467">
        <v>3</v>
      </c>
      <c r="J260" s="467">
        <f>IF(ISBLANK(I260),"",SUM(H260:I260))</f>
        <v>3.8794200000000001</v>
      </c>
      <c r="K260" s="682">
        <f t="shared" si="70"/>
        <v>4.6100000000000003</v>
      </c>
      <c r="L260" s="683" t="s">
        <v>18</v>
      </c>
      <c r="M260" s="685"/>
      <c r="N260" s="576">
        <f t="shared" si="57"/>
        <v>0</v>
      </c>
      <c r="O260" s="687">
        <f t="shared" si="59"/>
        <v>0</v>
      </c>
      <c r="P260" s="688">
        <f t="shared" si="60"/>
        <v>0</v>
      </c>
      <c r="Q260" s="765"/>
      <c r="R260" s="685">
        <f>M260</f>
        <v>0</v>
      </c>
      <c r="S260" s="686">
        <f t="shared" si="61"/>
        <v>0</v>
      </c>
      <c r="T260" s="687">
        <f t="shared" si="62"/>
        <v>0</v>
      </c>
      <c r="U260" s="688">
        <f t="shared" si="63"/>
        <v>0</v>
      </c>
      <c r="V260" s="579"/>
      <c r="W260" s="566"/>
      <c r="X260" s="586" t="str">
        <f t="shared" si="64"/>
        <v/>
      </c>
      <c r="Y260" s="586" t="str">
        <f t="shared" si="56"/>
        <v/>
      </c>
      <c r="Z260" s="586" t="str">
        <f t="shared" si="58"/>
        <v/>
      </c>
    </row>
    <row r="261" spans="1:26" ht="12" hidden="1" thickBot="1" x14ac:dyDescent="0.25">
      <c r="A261" s="671" t="s">
        <v>168</v>
      </c>
      <c r="B261" s="644" t="s">
        <v>168</v>
      </c>
      <c r="C261" s="645"/>
      <c r="D261" s="475" t="s">
        <v>248</v>
      </c>
      <c r="E261" s="423"/>
      <c r="F261" s="424">
        <v>180</v>
      </c>
      <c r="G261" s="476" t="s">
        <v>89</v>
      </c>
      <c r="H261" s="663">
        <f t="shared" ref="H261:H263" si="71">IF(F261&lt;=30,(1.07*F261+2.68)*G261,((1.07*30+2.68)+1.07*(F261-30))*G261)</f>
        <v>0.74206400000000006</v>
      </c>
      <c r="I261" s="420">
        <v>0</v>
      </c>
      <c r="J261" s="420"/>
      <c r="K261" s="421">
        <f t="shared" si="70"/>
        <v>0</v>
      </c>
      <c r="L261" s="647" t="s">
        <v>614</v>
      </c>
      <c r="M261" s="703"/>
      <c r="N261" s="576">
        <f t="shared" si="57"/>
        <v>0</v>
      </c>
      <c r="O261" s="577">
        <f t="shared" si="59"/>
        <v>0</v>
      </c>
      <c r="P261" s="578">
        <f t="shared" si="60"/>
        <v>0</v>
      </c>
      <c r="Q261" s="765"/>
      <c r="R261" s="703"/>
      <c r="S261" s="670"/>
      <c r="T261" s="577">
        <f t="shared" si="62"/>
        <v>0</v>
      </c>
      <c r="U261" s="578">
        <f t="shared" si="63"/>
        <v>0</v>
      </c>
      <c r="V261" s="579"/>
      <c r="W261" s="637" t="str">
        <f>IF(U260&gt;0,"xx",IF(P260&gt;0,"xy",""))</f>
        <v/>
      </c>
      <c r="X261" s="586" t="str">
        <f t="shared" si="64"/>
        <v/>
      </c>
      <c r="Y261" s="586" t="str">
        <f t="shared" si="56"/>
        <v/>
      </c>
      <c r="Z261" s="586" t="str">
        <f t="shared" si="58"/>
        <v/>
      </c>
    </row>
    <row r="262" spans="1:26" ht="12" hidden="1" thickBot="1" x14ac:dyDescent="0.25">
      <c r="A262" s="671" t="s">
        <v>168</v>
      </c>
      <c r="B262" s="644" t="s">
        <v>168</v>
      </c>
      <c r="C262" s="645"/>
      <c r="D262" s="475" t="s">
        <v>249</v>
      </c>
      <c r="E262" s="423"/>
      <c r="F262" s="424">
        <v>500</v>
      </c>
      <c r="G262" s="476" t="s">
        <v>90</v>
      </c>
      <c r="H262" s="649">
        <f>IF(F262&lt;=30,(0.78*F262+7.82)*G262,((0.78*30+7.82)+0.78*(F262-30))*G262)</f>
        <v>7.956400000000001E-2</v>
      </c>
      <c r="I262" s="420">
        <v>0</v>
      </c>
      <c r="J262" s="420"/>
      <c r="K262" s="421">
        <f t="shared" si="70"/>
        <v>0</v>
      </c>
      <c r="L262" s="647" t="s">
        <v>614</v>
      </c>
      <c r="M262" s="703"/>
      <c r="N262" s="576">
        <f t="shared" si="57"/>
        <v>0</v>
      </c>
      <c r="O262" s="577">
        <f t="shared" si="59"/>
        <v>0</v>
      </c>
      <c r="P262" s="578">
        <f t="shared" si="60"/>
        <v>0</v>
      </c>
      <c r="Q262" s="765"/>
      <c r="R262" s="703"/>
      <c r="S262" s="670"/>
      <c r="T262" s="577">
        <f t="shared" si="62"/>
        <v>0</v>
      </c>
      <c r="U262" s="578">
        <f t="shared" si="63"/>
        <v>0</v>
      </c>
      <c r="V262" s="579"/>
      <c r="W262" s="637" t="str">
        <f>IF(U260&gt;0,"xx",IF(P260&gt;0,"xy",""))</f>
        <v/>
      </c>
      <c r="X262" s="586" t="str">
        <f t="shared" si="64"/>
        <v/>
      </c>
      <c r="Y262" s="586" t="str">
        <f t="shared" si="56"/>
        <v/>
      </c>
      <c r="Z262" s="586" t="str">
        <f t="shared" si="58"/>
        <v/>
      </c>
    </row>
    <row r="263" spans="1:26" ht="12" hidden="1" thickBot="1" x14ac:dyDescent="0.25">
      <c r="A263" s="671" t="s">
        <v>168</v>
      </c>
      <c r="B263" s="644" t="s">
        <v>168</v>
      </c>
      <c r="C263" s="645"/>
      <c r="D263" s="451" t="s">
        <v>250</v>
      </c>
      <c r="E263" s="423"/>
      <c r="F263" s="424">
        <v>20</v>
      </c>
      <c r="G263" s="425" t="s">
        <v>88</v>
      </c>
      <c r="H263" s="663">
        <f t="shared" si="71"/>
        <v>5.7791999999999996E-2</v>
      </c>
      <c r="I263" s="420">
        <v>0</v>
      </c>
      <c r="J263" s="420"/>
      <c r="K263" s="421">
        <f t="shared" si="70"/>
        <v>0</v>
      </c>
      <c r="L263" s="647" t="s">
        <v>614</v>
      </c>
      <c r="M263" s="703"/>
      <c r="N263" s="576">
        <f t="shared" si="57"/>
        <v>0</v>
      </c>
      <c r="O263" s="577">
        <f t="shared" si="59"/>
        <v>0</v>
      </c>
      <c r="P263" s="578">
        <f t="shared" si="60"/>
        <v>0</v>
      </c>
      <c r="Q263" s="765"/>
      <c r="R263" s="703"/>
      <c r="S263" s="670"/>
      <c r="T263" s="577">
        <f t="shared" si="62"/>
        <v>0</v>
      </c>
      <c r="U263" s="578">
        <f t="shared" si="63"/>
        <v>0</v>
      </c>
      <c r="V263" s="579"/>
      <c r="W263" s="637" t="str">
        <f>IF(U260&gt;0,"xx",IF(P260&gt;0,"xy",""))</f>
        <v/>
      </c>
      <c r="X263" s="586" t="str">
        <f>IF(W263="X","x",IF(W263="xx","x",IF(W263="xy","x",IF(W263="y","x",IF(OR(P263&gt;0,U263&gt;0),"x","")))))</f>
        <v/>
      </c>
      <c r="Y263" s="586" t="str">
        <f>IF(W263="X","x",IF(W263="y","x",IF(W263="xx","x",IF(U263&gt;0,"x",""))))</f>
        <v/>
      </c>
      <c r="Z263" s="586" t="str">
        <f>IF(W263="X","x",IF(U263&gt;0,"x",""))</f>
        <v/>
      </c>
    </row>
    <row r="264" spans="1:26" ht="12" hidden="1" thickBot="1" x14ac:dyDescent="0.25">
      <c r="A264" s="671">
        <v>589170</v>
      </c>
      <c r="B264" s="638" t="s">
        <v>1756</v>
      </c>
      <c r="C264" s="480" t="s">
        <v>1746</v>
      </c>
      <c r="D264" s="706" t="s">
        <v>750</v>
      </c>
      <c r="E264" s="446"/>
      <c r="F264" s="478">
        <v>500</v>
      </c>
      <c r="G264" s="479">
        <v>1</v>
      </c>
      <c r="H264" s="663">
        <f>(0.84*F264+41.45)*G264</f>
        <v>461.45</v>
      </c>
      <c r="I264" s="472">
        <v>4205</v>
      </c>
      <c r="J264" s="472">
        <f>IF(ISBLANK(I264),"",I264*(1+$F$9)/(1+$F$10))+H264</f>
        <v>4541.5139676794888</v>
      </c>
      <c r="K264" s="415">
        <f t="shared" si="70"/>
        <v>5395.77</v>
      </c>
      <c r="L264" s="691" t="s">
        <v>20</v>
      </c>
      <c r="M264" s="692">
        <f>ROUND(M260*G260,2)</f>
        <v>0</v>
      </c>
      <c r="N264" s="799">
        <f t="shared" si="57"/>
        <v>0</v>
      </c>
      <c r="O264" s="693">
        <f>IF(ISBLANK(M264),0,ROUND(K264*M264,2))</f>
        <v>0</v>
      </c>
      <c r="P264" s="694">
        <f>IF(ISBLANK(N264),0,ROUND(M264*N264,2))</f>
        <v>0</v>
      </c>
      <c r="Q264" s="765"/>
      <c r="R264" s="695">
        <f>ROUND(R260*G260,2)</f>
        <v>0</v>
      </c>
      <c r="S264" s="705">
        <f t="shared" si="61"/>
        <v>0</v>
      </c>
      <c r="T264" s="693">
        <f t="shared" si="62"/>
        <v>0</v>
      </c>
      <c r="U264" s="694">
        <f t="shared" si="63"/>
        <v>0</v>
      </c>
      <c r="V264" s="579"/>
      <c r="W264" s="637" t="str">
        <f>IF(U260&gt;0,"xx",IF(P260&gt;0,"xy",""))</f>
        <v/>
      </c>
      <c r="X264" s="586" t="str">
        <f t="shared" si="64"/>
        <v/>
      </c>
      <c r="Y264" s="586" t="str">
        <f t="shared" si="56"/>
        <v/>
      </c>
      <c r="Z264" s="586" t="str">
        <f t="shared" si="58"/>
        <v/>
      </c>
    </row>
    <row r="265" spans="1:26" ht="12" hidden="1" thickBot="1" x14ac:dyDescent="0.25">
      <c r="A265" s="671">
        <v>562200</v>
      </c>
      <c r="B265" s="701" t="s">
        <v>1567</v>
      </c>
      <c r="C265" s="702" t="s">
        <v>206</v>
      </c>
      <c r="D265" s="463" t="s">
        <v>652</v>
      </c>
      <c r="E265" s="464"/>
      <c r="F265" s="465" t="s">
        <v>649</v>
      </c>
      <c r="G265" s="466">
        <v>2E-3</v>
      </c>
      <c r="H265" s="681">
        <f>SUM(H266:H268)</f>
        <v>1.3938440000000001</v>
      </c>
      <c r="I265" s="467">
        <v>4.01</v>
      </c>
      <c r="J265" s="467">
        <f>IF(ISBLANK(I265),"",SUM(H265:I265))</f>
        <v>5.4038439999999994</v>
      </c>
      <c r="K265" s="682">
        <f t="shared" si="70"/>
        <v>6.42</v>
      </c>
      <c r="L265" s="683" t="s">
        <v>18</v>
      </c>
      <c r="M265" s="685"/>
      <c r="N265" s="576">
        <f t="shared" si="57"/>
        <v>0</v>
      </c>
      <c r="O265" s="687">
        <f t="shared" si="59"/>
        <v>0</v>
      </c>
      <c r="P265" s="688">
        <f t="shared" si="60"/>
        <v>0</v>
      </c>
      <c r="Q265" s="765"/>
      <c r="R265" s="685">
        <f>M265</f>
        <v>0</v>
      </c>
      <c r="S265" s="686">
        <f t="shared" si="61"/>
        <v>0</v>
      </c>
      <c r="T265" s="687">
        <f t="shared" si="62"/>
        <v>0</v>
      </c>
      <c r="U265" s="688">
        <f t="shared" si="63"/>
        <v>0</v>
      </c>
      <c r="V265" s="579"/>
      <c r="W265" s="566"/>
      <c r="X265" s="586" t="str">
        <f t="shared" si="64"/>
        <v/>
      </c>
      <c r="Y265" s="586" t="str">
        <f t="shared" si="56"/>
        <v/>
      </c>
      <c r="Z265" s="586" t="str">
        <f t="shared" si="58"/>
        <v/>
      </c>
    </row>
    <row r="266" spans="1:26" ht="12" hidden="1" thickBot="1" x14ac:dyDescent="0.25">
      <c r="A266" s="671" t="s">
        <v>168</v>
      </c>
      <c r="B266" s="644" t="s">
        <v>168</v>
      </c>
      <c r="C266" s="645"/>
      <c r="D266" s="475" t="s">
        <v>248</v>
      </c>
      <c r="E266" s="423"/>
      <c r="F266" s="424">
        <v>180</v>
      </c>
      <c r="G266" s="476" t="s">
        <v>91</v>
      </c>
      <c r="H266" s="663">
        <f t="shared" ref="H266:H268" si="72">IF(F266&lt;=30,(1.07*F266+2.68)*G266,((1.07*30+2.68)+1.07*(F266-30))*G266)</f>
        <v>1.210736</v>
      </c>
      <c r="I266" s="420">
        <v>0</v>
      </c>
      <c r="J266" s="420"/>
      <c r="K266" s="421">
        <f t="shared" si="70"/>
        <v>0</v>
      </c>
      <c r="L266" s="647"/>
      <c r="M266" s="703"/>
      <c r="N266" s="576">
        <f t="shared" si="57"/>
        <v>0</v>
      </c>
      <c r="O266" s="577">
        <f t="shared" si="59"/>
        <v>0</v>
      </c>
      <c r="P266" s="578">
        <f t="shared" si="60"/>
        <v>0</v>
      </c>
      <c r="Q266" s="765"/>
      <c r="R266" s="703"/>
      <c r="S266" s="670"/>
      <c r="T266" s="577">
        <f t="shared" si="62"/>
        <v>0</v>
      </c>
      <c r="U266" s="578">
        <f t="shared" si="63"/>
        <v>0</v>
      </c>
      <c r="V266" s="579"/>
      <c r="W266" s="637" t="str">
        <f>IF(U265&gt;0,"xx",IF(P265&gt;0,"xy",""))</f>
        <v/>
      </c>
      <c r="X266" s="586" t="str">
        <f t="shared" si="64"/>
        <v/>
      </c>
      <c r="Y266" s="586" t="str">
        <f t="shared" si="56"/>
        <v/>
      </c>
      <c r="Z266" s="586" t="str">
        <f t="shared" si="58"/>
        <v/>
      </c>
    </row>
    <row r="267" spans="1:26" ht="12" hidden="1" thickBot="1" x14ac:dyDescent="0.25">
      <c r="A267" s="671" t="s">
        <v>168</v>
      </c>
      <c r="B267" s="644" t="s">
        <v>168</v>
      </c>
      <c r="C267" s="645"/>
      <c r="D267" s="475" t="s">
        <v>249</v>
      </c>
      <c r="E267" s="423"/>
      <c r="F267" s="424">
        <v>500</v>
      </c>
      <c r="G267" s="476" t="s">
        <v>90</v>
      </c>
      <c r="H267" s="649">
        <f>IF(F267&lt;=30,(0.78*F267+7.82)*G267,((0.78*30+7.82)+0.78*(F267-30))*G267)</f>
        <v>7.956400000000001E-2</v>
      </c>
      <c r="I267" s="420">
        <v>0</v>
      </c>
      <c r="J267" s="420"/>
      <c r="K267" s="421">
        <f t="shared" si="70"/>
        <v>0</v>
      </c>
      <c r="L267" s="647" t="s">
        <v>614</v>
      </c>
      <c r="M267" s="703"/>
      <c r="N267" s="576">
        <f t="shared" si="57"/>
        <v>0</v>
      </c>
      <c r="O267" s="577">
        <f t="shared" si="59"/>
        <v>0</v>
      </c>
      <c r="P267" s="578"/>
      <c r="Q267" s="765"/>
      <c r="R267" s="703"/>
      <c r="S267" s="670"/>
      <c r="T267" s="577">
        <f t="shared" si="62"/>
        <v>0</v>
      </c>
      <c r="U267" s="578">
        <f t="shared" si="63"/>
        <v>0</v>
      </c>
      <c r="V267" s="579"/>
      <c r="W267" s="637" t="str">
        <f>IF(U265&gt;0,"xx",IF(P265&gt;0,"xy",""))</f>
        <v/>
      </c>
      <c r="X267" s="586" t="str">
        <f t="shared" si="64"/>
        <v/>
      </c>
      <c r="Y267" s="586" t="str">
        <f t="shared" si="56"/>
        <v/>
      </c>
      <c r="Z267" s="586" t="str">
        <f t="shared" si="58"/>
        <v/>
      </c>
    </row>
    <row r="268" spans="1:26" ht="12" hidden="1" thickBot="1" x14ac:dyDescent="0.25">
      <c r="A268" s="671" t="s">
        <v>168</v>
      </c>
      <c r="B268" s="644" t="s">
        <v>168</v>
      </c>
      <c r="C268" s="645"/>
      <c r="D268" s="451" t="s">
        <v>250</v>
      </c>
      <c r="E268" s="423"/>
      <c r="F268" s="424">
        <v>20</v>
      </c>
      <c r="G268" s="425" t="s">
        <v>92</v>
      </c>
      <c r="H268" s="663">
        <f t="shared" si="72"/>
        <v>0.10354400000000001</v>
      </c>
      <c r="I268" s="420">
        <v>0</v>
      </c>
      <c r="J268" s="420"/>
      <c r="K268" s="421">
        <f t="shared" si="70"/>
        <v>0</v>
      </c>
      <c r="L268" s="647" t="s">
        <v>614</v>
      </c>
      <c r="M268" s="703"/>
      <c r="N268" s="576">
        <f t="shared" si="57"/>
        <v>0</v>
      </c>
      <c r="O268" s="577">
        <f t="shared" si="59"/>
        <v>0</v>
      </c>
      <c r="P268" s="578">
        <f t="shared" si="60"/>
        <v>0</v>
      </c>
      <c r="Q268" s="765"/>
      <c r="R268" s="703"/>
      <c r="S268" s="670"/>
      <c r="T268" s="577">
        <f t="shared" si="62"/>
        <v>0</v>
      </c>
      <c r="U268" s="578">
        <f t="shared" si="63"/>
        <v>0</v>
      </c>
      <c r="V268" s="579"/>
      <c r="W268" s="637" t="str">
        <f>IF(U265&gt;0,"xx",IF(P265&gt;0,"xy",""))</f>
        <v/>
      </c>
      <c r="X268" s="586" t="str">
        <f>IF(W268="X","x",IF(W268="xx","x",IF(W268="xy","x",IF(W268="y","x",IF(OR(P268&gt;0,U268&gt;0),"x","")))))</f>
        <v/>
      </c>
      <c r="Y268" s="586" t="str">
        <f>IF(W268="X","x",IF(W268="y","x",IF(W268="xx","x",IF(U268&gt;0,"x",""))))</f>
        <v/>
      </c>
      <c r="Z268" s="586" t="str">
        <f>IF(W268="X","x",IF(U268&gt;0,"x",""))</f>
        <v/>
      </c>
    </row>
    <row r="269" spans="1:26" ht="12" hidden="1" thickBot="1" x14ac:dyDescent="0.25">
      <c r="A269" s="671">
        <v>589170</v>
      </c>
      <c r="B269" s="638" t="s">
        <v>1757</v>
      </c>
      <c r="C269" s="480" t="s">
        <v>1746</v>
      </c>
      <c r="D269" s="706" t="s">
        <v>751</v>
      </c>
      <c r="E269" s="446"/>
      <c r="F269" s="478">
        <v>500</v>
      </c>
      <c r="G269" s="479">
        <v>1</v>
      </c>
      <c r="H269" s="663">
        <f>(0.84*F269+41.45)*G269</f>
        <v>461.45</v>
      </c>
      <c r="I269" s="472">
        <v>4205</v>
      </c>
      <c r="J269" s="472">
        <f>IF(ISBLANK(I269),"",I269*(1+$F$9)/(1+$F$10))+H269</f>
        <v>4541.5139676794888</v>
      </c>
      <c r="K269" s="415">
        <f t="shared" si="70"/>
        <v>5395.77</v>
      </c>
      <c r="L269" s="691" t="s">
        <v>20</v>
      </c>
      <c r="M269" s="692">
        <f>ROUND(M265*G265,2)</f>
        <v>0</v>
      </c>
      <c r="N269" s="799">
        <f t="shared" si="57"/>
        <v>0</v>
      </c>
      <c r="O269" s="693">
        <f>IF(ISBLANK(M269),0,ROUND(K269*M269,2))</f>
        <v>0</v>
      </c>
      <c r="P269" s="694">
        <f>IF(ISBLANK(N269),0,ROUND(M269*N269,2))</f>
        <v>0</v>
      </c>
      <c r="Q269" s="765"/>
      <c r="R269" s="695">
        <f>ROUND(R265*G265,2)</f>
        <v>0</v>
      </c>
      <c r="S269" s="705">
        <f t="shared" si="61"/>
        <v>0</v>
      </c>
      <c r="T269" s="693">
        <f t="shared" si="62"/>
        <v>0</v>
      </c>
      <c r="U269" s="694">
        <f t="shared" si="63"/>
        <v>0</v>
      </c>
      <c r="V269" s="579"/>
      <c r="W269" s="637" t="str">
        <f>IF(U265&gt;0,"xx",IF(P265&gt;0,"xy",""))</f>
        <v/>
      </c>
      <c r="X269" s="586" t="str">
        <f t="shared" si="64"/>
        <v/>
      </c>
      <c r="Y269" s="586" t="str">
        <f t="shared" si="56"/>
        <v/>
      </c>
      <c r="Z269" s="586" t="str">
        <f t="shared" si="58"/>
        <v/>
      </c>
    </row>
    <row r="270" spans="1:26" ht="12" hidden="1" thickBot="1" x14ac:dyDescent="0.25">
      <c r="A270" s="671">
        <v>562200</v>
      </c>
      <c r="B270" s="701" t="s">
        <v>1568</v>
      </c>
      <c r="C270" s="702" t="s">
        <v>206</v>
      </c>
      <c r="D270" s="463" t="s">
        <v>650</v>
      </c>
      <c r="E270" s="464"/>
      <c r="F270" s="465" t="s">
        <v>649</v>
      </c>
      <c r="G270" s="466">
        <v>2.5999999999999999E-3</v>
      </c>
      <c r="H270" s="681">
        <f>SUM(H271:H273)</f>
        <v>2.6804160000000001</v>
      </c>
      <c r="I270" s="467">
        <v>4.01</v>
      </c>
      <c r="J270" s="467">
        <f>IF(ISBLANK(I270),"",SUM(H270:I270))</f>
        <v>6.6904159999999999</v>
      </c>
      <c r="K270" s="682">
        <f t="shared" si="70"/>
        <v>7.95</v>
      </c>
      <c r="L270" s="683" t="s">
        <v>18</v>
      </c>
      <c r="M270" s="685"/>
      <c r="N270" s="576">
        <f t="shared" si="57"/>
        <v>0</v>
      </c>
      <c r="O270" s="687">
        <f t="shared" si="59"/>
        <v>0</v>
      </c>
      <c r="P270" s="688">
        <f t="shared" si="60"/>
        <v>0</v>
      </c>
      <c r="Q270" s="765"/>
      <c r="R270" s="685">
        <f>M270</f>
        <v>0</v>
      </c>
      <c r="S270" s="686">
        <f t="shared" si="61"/>
        <v>0</v>
      </c>
      <c r="T270" s="687">
        <f t="shared" si="62"/>
        <v>0</v>
      </c>
      <c r="U270" s="688">
        <f t="shared" si="63"/>
        <v>0</v>
      </c>
      <c r="V270" s="579"/>
      <c r="W270" s="566"/>
      <c r="X270" s="586" t="str">
        <f t="shared" si="64"/>
        <v/>
      </c>
      <c r="Y270" s="586" t="str">
        <f t="shared" si="56"/>
        <v/>
      </c>
      <c r="Z270" s="586" t="str">
        <f t="shared" si="58"/>
        <v/>
      </c>
    </row>
    <row r="271" spans="1:26" ht="12" hidden="1" thickBot="1" x14ac:dyDescent="0.25">
      <c r="A271" s="671" t="s">
        <v>168</v>
      </c>
      <c r="B271" s="644" t="s">
        <v>168</v>
      </c>
      <c r="C271" s="645"/>
      <c r="D271" s="475" t="s">
        <v>248</v>
      </c>
      <c r="E271" s="423"/>
      <c r="F271" s="424">
        <v>180</v>
      </c>
      <c r="G271" s="476" t="s">
        <v>93</v>
      </c>
      <c r="H271" s="663">
        <f t="shared" ref="H271:H273" si="73">IF(F271&lt;=30,(1.07*F271+2.68)*G271,((1.07*30+2.68)+1.07*(F271-30))*G271)</f>
        <v>2.3238320000000003</v>
      </c>
      <c r="I271" s="420">
        <v>0</v>
      </c>
      <c r="J271" s="420"/>
      <c r="K271" s="421">
        <f t="shared" si="70"/>
        <v>0</v>
      </c>
      <c r="L271" s="647" t="s">
        <v>614</v>
      </c>
      <c r="M271" s="703"/>
      <c r="N271" s="576">
        <f t="shared" si="57"/>
        <v>0</v>
      </c>
      <c r="O271" s="577">
        <f t="shared" si="59"/>
        <v>0</v>
      </c>
      <c r="P271" s="578">
        <f t="shared" si="60"/>
        <v>0</v>
      </c>
      <c r="Q271" s="765"/>
      <c r="R271" s="703"/>
      <c r="S271" s="670"/>
      <c r="T271" s="577">
        <f t="shared" si="62"/>
        <v>0</v>
      </c>
      <c r="U271" s="578">
        <f t="shared" si="63"/>
        <v>0</v>
      </c>
      <c r="V271" s="579"/>
      <c r="W271" s="637" t="str">
        <f>IF(U270&gt;0,"xx",IF(P270&gt;0,"xy",""))</f>
        <v/>
      </c>
      <c r="X271" s="586" t="str">
        <f t="shared" si="64"/>
        <v/>
      </c>
      <c r="Y271" s="586" t="str">
        <f t="shared" si="56"/>
        <v/>
      </c>
      <c r="Z271" s="586" t="str">
        <f t="shared" si="58"/>
        <v/>
      </c>
    </row>
    <row r="272" spans="1:26" ht="12" hidden="1" thickBot="1" x14ac:dyDescent="0.25">
      <c r="A272" s="671" t="s">
        <v>168</v>
      </c>
      <c r="B272" s="644" t="s">
        <v>168</v>
      </c>
      <c r="C272" s="645"/>
      <c r="D272" s="475" t="s">
        <v>249</v>
      </c>
      <c r="E272" s="423"/>
      <c r="F272" s="424">
        <v>500</v>
      </c>
      <c r="G272" s="476" t="s">
        <v>94</v>
      </c>
      <c r="H272" s="649">
        <f>IF(F272&lt;=30,(0.78*F272+7.82)*G272,((0.78*30+7.82)+0.78*(F272-30))*G272)</f>
        <v>0.15912800000000002</v>
      </c>
      <c r="I272" s="420">
        <v>0</v>
      </c>
      <c r="J272" s="420"/>
      <c r="K272" s="421">
        <f t="shared" si="70"/>
        <v>0</v>
      </c>
      <c r="L272" s="647" t="s">
        <v>614</v>
      </c>
      <c r="M272" s="703"/>
      <c r="N272" s="576">
        <f t="shared" si="57"/>
        <v>0</v>
      </c>
      <c r="O272" s="577">
        <f t="shared" si="59"/>
        <v>0</v>
      </c>
      <c r="P272" s="578">
        <f t="shared" si="60"/>
        <v>0</v>
      </c>
      <c r="Q272" s="765"/>
      <c r="R272" s="703"/>
      <c r="S272" s="670"/>
      <c r="T272" s="577">
        <f t="shared" si="62"/>
        <v>0</v>
      </c>
      <c r="U272" s="578">
        <f t="shared" si="63"/>
        <v>0</v>
      </c>
      <c r="V272" s="579"/>
      <c r="W272" s="637" t="str">
        <f>IF(U270&gt;0,"xx",IF(P270&gt;0,"xy",""))</f>
        <v/>
      </c>
      <c r="X272" s="586" t="str">
        <f t="shared" si="64"/>
        <v/>
      </c>
      <c r="Y272" s="586" t="str">
        <f t="shared" si="56"/>
        <v/>
      </c>
      <c r="Z272" s="586" t="str">
        <f t="shared" si="58"/>
        <v/>
      </c>
    </row>
    <row r="273" spans="1:26" ht="12" hidden="1" thickBot="1" x14ac:dyDescent="0.25">
      <c r="A273" s="671" t="s">
        <v>168</v>
      </c>
      <c r="B273" s="644" t="s">
        <v>168</v>
      </c>
      <c r="C273" s="645"/>
      <c r="D273" s="451" t="s">
        <v>250</v>
      </c>
      <c r="E273" s="423"/>
      <c r="F273" s="424">
        <v>20</v>
      </c>
      <c r="G273" s="425" t="s">
        <v>95</v>
      </c>
      <c r="H273" s="663">
        <f t="shared" si="73"/>
        <v>0.19745600000000002</v>
      </c>
      <c r="I273" s="420">
        <v>0</v>
      </c>
      <c r="J273" s="420"/>
      <c r="K273" s="421">
        <f t="shared" si="70"/>
        <v>0</v>
      </c>
      <c r="L273" s="647" t="s">
        <v>614</v>
      </c>
      <c r="M273" s="703"/>
      <c r="N273" s="576">
        <f t="shared" si="57"/>
        <v>0</v>
      </c>
      <c r="O273" s="577">
        <f t="shared" si="59"/>
        <v>0</v>
      </c>
      <c r="P273" s="578">
        <f t="shared" si="60"/>
        <v>0</v>
      </c>
      <c r="Q273" s="765"/>
      <c r="R273" s="703"/>
      <c r="S273" s="670"/>
      <c r="T273" s="577">
        <f t="shared" si="62"/>
        <v>0</v>
      </c>
      <c r="U273" s="578">
        <f t="shared" si="63"/>
        <v>0</v>
      </c>
      <c r="V273" s="579"/>
      <c r="W273" s="637" t="str">
        <f>IF(U270&gt;0,"xx",IF(P270&gt;0,"xy",""))</f>
        <v/>
      </c>
      <c r="X273" s="586" t="str">
        <f>IF(W273="X","x",IF(W273="xx","x",IF(W273="xy","x",IF(W273="y","x",IF(OR(P273&gt;0,U273&gt;0),"x","")))))</f>
        <v/>
      </c>
      <c r="Y273" s="586" t="str">
        <f t="shared" si="56"/>
        <v/>
      </c>
      <c r="Z273" s="586" t="str">
        <f>IF(W273="X","x",IF(U273&gt;0,"x",""))</f>
        <v/>
      </c>
    </row>
    <row r="274" spans="1:26" ht="12" hidden="1" thickBot="1" x14ac:dyDescent="0.25">
      <c r="A274" s="671">
        <v>589170</v>
      </c>
      <c r="B274" s="707" t="s">
        <v>1758</v>
      </c>
      <c r="C274" s="689" t="s">
        <v>1746</v>
      </c>
      <c r="D274" s="708" t="s">
        <v>752</v>
      </c>
      <c r="E274" s="481"/>
      <c r="F274" s="478">
        <v>500</v>
      </c>
      <c r="G274" s="479">
        <v>1</v>
      </c>
      <c r="H274" s="663">
        <f>(0.84*F274+41.45)*G274</f>
        <v>461.45</v>
      </c>
      <c r="I274" s="472">
        <v>4205</v>
      </c>
      <c r="J274" s="472">
        <f>IF(ISBLANK(I274),"",I274*(1+$F$9)/(1+$F$10))+H274</f>
        <v>4541.5139676794888</v>
      </c>
      <c r="K274" s="709">
        <f t="shared" si="70"/>
        <v>5395.77</v>
      </c>
      <c r="L274" s="691" t="s">
        <v>20</v>
      </c>
      <c r="M274" s="692">
        <f>ROUND(M270*G270,2)</f>
        <v>0</v>
      </c>
      <c r="N274" s="799">
        <f t="shared" si="57"/>
        <v>0</v>
      </c>
      <c r="O274" s="693">
        <f>IF(ISBLANK(M274),0,ROUND(K274*M274,2))</f>
        <v>0</v>
      </c>
      <c r="P274" s="694">
        <f>IF(ISBLANK(N274),0,ROUND(M274*N274,2))</f>
        <v>0</v>
      </c>
      <c r="Q274" s="765"/>
      <c r="R274" s="695">
        <f>ROUND(R270*G270,2)</f>
        <v>0</v>
      </c>
      <c r="S274" s="710">
        <f t="shared" si="61"/>
        <v>0</v>
      </c>
      <c r="T274" s="693">
        <f t="shared" si="62"/>
        <v>0</v>
      </c>
      <c r="U274" s="694">
        <f t="shared" si="63"/>
        <v>0</v>
      </c>
      <c r="V274" s="579"/>
      <c r="W274" s="637" t="str">
        <f>IF(U270&gt;0,"xx",IF(P270&gt;0,"xy",""))</f>
        <v/>
      </c>
      <c r="X274" s="586" t="str">
        <f t="shared" si="64"/>
        <v/>
      </c>
      <c r="Y274" s="586" t="str">
        <f t="shared" si="56"/>
        <v/>
      </c>
      <c r="Z274" s="586" t="str">
        <f t="shared" si="58"/>
        <v/>
      </c>
    </row>
    <row r="275" spans="1:26" ht="12" hidden="1" thickBot="1" x14ac:dyDescent="0.25">
      <c r="A275" s="671">
        <v>587000</v>
      </c>
      <c r="B275" s="701">
        <v>587000</v>
      </c>
      <c r="C275" s="702" t="s">
        <v>206</v>
      </c>
      <c r="D275" s="463" t="s">
        <v>251</v>
      </c>
      <c r="E275" s="464"/>
      <c r="F275" s="465" t="s">
        <v>661</v>
      </c>
      <c r="G275" s="466">
        <v>1.5E-3</v>
      </c>
      <c r="H275" s="681">
        <f>SUM(H276:H276)</f>
        <v>0.36120000000000002</v>
      </c>
      <c r="I275" s="467">
        <v>4.46</v>
      </c>
      <c r="J275" s="467">
        <f>IF(ISBLANK(I275),"",SUM(H275:I275))</f>
        <v>4.8212000000000002</v>
      </c>
      <c r="K275" s="682">
        <f t="shared" si="70"/>
        <v>5.73</v>
      </c>
      <c r="L275" s="683" t="s">
        <v>18</v>
      </c>
      <c r="M275" s="685"/>
      <c r="N275" s="576">
        <f t="shared" si="57"/>
        <v>0</v>
      </c>
      <c r="O275" s="687">
        <f t="shared" si="59"/>
        <v>0</v>
      </c>
      <c r="P275" s="688">
        <f t="shared" si="60"/>
        <v>0</v>
      </c>
      <c r="Q275" s="765"/>
      <c r="R275" s="685">
        <f>M275</f>
        <v>0</v>
      </c>
      <c r="S275" s="686">
        <f t="shared" si="61"/>
        <v>0</v>
      </c>
      <c r="T275" s="687">
        <f t="shared" si="62"/>
        <v>0</v>
      </c>
      <c r="U275" s="688">
        <f t="shared" si="63"/>
        <v>0</v>
      </c>
      <c r="V275" s="579"/>
      <c r="W275" s="566"/>
      <c r="X275" s="586" t="str">
        <f t="shared" si="64"/>
        <v/>
      </c>
      <c r="Y275" s="586" t="str">
        <f t="shared" ref="Y275:Y338" si="74">IF(W275="X","x",IF(W275="y","x",IF(W275="xx","x",IF(U275&gt;0,"x",""))))</f>
        <v/>
      </c>
      <c r="Z275" s="586" t="str">
        <f t="shared" si="58"/>
        <v/>
      </c>
    </row>
    <row r="276" spans="1:26" ht="12" hidden="1" thickBot="1" x14ac:dyDescent="0.25">
      <c r="A276" s="671" t="s">
        <v>168</v>
      </c>
      <c r="B276" s="644" t="s">
        <v>168</v>
      </c>
      <c r="C276" s="645"/>
      <c r="D276" s="451" t="s">
        <v>252</v>
      </c>
      <c r="E276" s="423"/>
      <c r="F276" s="418">
        <v>20</v>
      </c>
      <c r="G276" s="419">
        <v>1.4999999999999999E-2</v>
      </c>
      <c r="H276" s="663">
        <f t="shared" ref="H276" si="75">IF(F276&lt;=30,(1.07*F276+2.68)*G276,((1.07*30+2.68)+1.07*(F276-30))*G276)</f>
        <v>0.36120000000000002</v>
      </c>
      <c r="I276" s="420">
        <v>0</v>
      </c>
      <c r="J276" s="420"/>
      <c r="K276" s="421">
        <f t="shared" si="70"/>
        <v>0</v>
      </c>
      <c r="L276" s="647" t="s">
        <v>614</v>
      </c>
      <c r="M276" s="703"/>
      <c r="N276" s="576">
        <f t="shared" ref="N276:N339" si="76">IF(M276=0,0,K276)</f>
        <v>0</v>
      </c>
      <c r="O276" s="577">
        <f t="shared" si="59"/>
        <v>0</v>
      </c>
      <c r="P276" s="578">
        <f t="shared" si="60"/>
        <v>0</v>
      </c>
      <c r="Q276" s="765"/>
      <c r="R276" s="703"/>
      <c r="S276" s="670"/>
      <c r="T276" s="577">
        <f t="shared" si="62"/>
        <v>0</v>
      </c>
      <c r="U276" s="578">
        <f t="shared" si="63"/>
        <v>0</v>
      </c>
      <c r="V276" s="579"/>
      <c r="W276" s="637" t="str">
        <f>IF(U275&gt;0,"xx",IF(P275&gt;0,"xy",""))</f>
        <v/>
      </c>
      <c r="X276" s="586" t="str">
        <f>IF(W276="X","x",IF(W276="xx","x",IF(W276="xy","x",IF(W276="y","x",IF(OR(P276&gt;0,U276&gt;0),"x","")))))</f>
        <v/>
      </c>
      <c r="Y276" s="586" t="str">
        <f t="shared" si="74"/>
        <v/>
      </c>
      <c r="Z276" s="586" t="str">
        <f>IF(W276="X","x",IF(U276&gt;0,"x",""))</f>
        <v/>
      </c>
    </row>
    <row r="277" spans="1:26" ht="12" hidden="1" thickBot="1" x14ac:dyDescent="0.25">
      <c r="A277" s="671">
        <v>589520</v>
      </c>
      <c r="B277" s="704" t="s">
        <v>1759</v>
      </c>
      <c r="C277" s="689" t="s">
        <v>1746</v>
      </c>
      <c r="D277" s="477" t="s">
        <v>753</v>
      </c>
      <c r="E277" s="470"/>
      <c r="F277" s="478">
        <v>500</v>
      </c>
      <c r="G277" s="479">
        <v>1</v>
      </c>
      <c r="H277" s="663">
        <f>(0.84*F277+41.45)*G277</f>
        <v>461.45</v>
      </c>
      <c r="I277" s="472">
        <v>4168</v>
      </c>
      <c r="J277" s="472">
        <f>IF(ISBLANK(I277),"",I277*(1+$F$9)/(1+$F$10))+H277</f>
        <v>4505.6132859186937</v>
      </c>
      <c r="K277" s="690">
        <f t="shared" si="70"/>
        <v>5353.12</v>
      </c>
      <c r="L277" s="691" t="s">
        <v>20</v>
      </c>
      <c r="M277" s="692">
        <f>ROUND(M275*G275,2)</f>
        <v>0</v>
      </c>
      <c r="N277" s="799">
        <f t="shared" si="76"/>
        <v>0</v>
      </c>
      <c r="O277" s="693">
        <f>IF(ISBLANK(M277),0,ROUND(K277*M277,2))</f>
        <v>0</v>
      </c>
      <c r="P277" s="694">
        <f>IF(ISBLANK(N277),0,ROUND(M277*N277,2))</f>
        <v>0</v>
      </c>
      <c r="Q277" s="765"/>
      <c r="R277" s="695">
        <f>ROUND(R275*G275,2)</f>
        <v>0</v>
      </c>
      <c r="S277" s="711">
        <f t="shared" si="61"/>
        <v>0</v>
      </c>
      <c r="T277" s="693">
        <f t="shared" si="62"/>
        <v>0</v>
      </c>
      <c r="U277" s="694">
        <f t="shared" si="63"/>
        <v>0</v>
      </c>
      <c r="V277" s="579"/>
      <c r="W277" s="637" t="str">
        <f>IF(U275&gt;0,"xx",IF(P275&gt;0,"xy",""))</f>
        <v/>
      </c>
      <c r="X277" s="586" t="str">
        <f t="shared" si="64"/>
        <v/>
      </c>
      <c r="Y277" s="586" t="str">
        <f t="shared" si="74"/>
        <v/>
      </c>
      <c r="Z277" s="586" t="str">
        <f t="shared" si="58"/>
        <v/>
      </c>
    </row>
    <row r="278" spans="1:26" ht="12" hidden="1" thickBot="1" x14ac:dyDescent="0.25">
      <c r="A278" s="671">
        <v>583100</v>
      </c>
      <c r="B278" s="701" t="s">
        <v>1615</v>
      </c>
      <c r="C278" s="702" t="s">
        <v>206</v>
      </c>
      <c r="D278" s="482" t="s">
        <v>253</v>
      </c>
      <c r="E278" s="464"/>
      <c r="F278" s="465" t="s">
        <v>661</v>
      </c>
      <c r="G278" s="466">
        <v>3.0999999999999999E-3</v>
      </c>
      <c r="H278" s="681">
        <f>SUM(H279:H279)</f>
        <v>0.63330400000000009</v>
      </c>
      <c r="I278" s="467">
        <v>6.69</v>
      </c>
      <c r="J278" s="467">
        <f>IF(ISBLANK(I278),"",SUM(H278:I278))</f>
        <v>7.3233040000000003</v>
      </c>
      <c r="K278" s="682">
        <f t="shared" si="70"/>
        <v>8.6999999999999993</v>
      </c>
      <c r="L278" s="683" t="s">
        <v>18</v>
      </c>
      <c r="M278" s="685"/>
      <c r="N278" s="576">
        <f t="shared" si="76"/>
        <v>0</v>
      </c>
      <c r="O278" s="687">
        <f t="shared" si="59"/>
        <v>0</v>
      </c>
      <c r="P278" s="688">
        <f t="shared" si="60"/>
        <v>0</v>
      </c>
      <c r="Q278" s="765"/>
      <c r="R278" s="685">
        <f>M278</f>
        <v>0</v>
      </c>
      <c r="S278" s="686">
        <f t="shared" si="61"/>
        <v>0</v>
      </c>
      <c r="T278" s="687">
        <f t="shared" si="62"/>
        <v>0</v>
      </c>
      <c r="U278" s="688">
        <f t="shared" si="63"/>
        <v>0</v>
      </c>
      <c r="V278" s="579"/>
      <c r="W278" s="566"/>
      <c r="X278" s="586" t="str">
        <f>IF(W278="X","x",IF(W278="xx","x",IF(W278="xy","x",IF(W278="y","x",IF(OR(P278&gt;0,U278&gt;0),"x","")))))</f>
        <v/>
      </c>
      <c r="Y278" s="586" t="str">
        <f t="shared" si="74"/>
        <v/>
      </c>
      <c r="Z278" s="586" t="str">
        <f t="shared" si="58"/>
        <v/>
      </c>
    </row>
    <row r="279" spans="1:26" ht="12" hidden="1" thickBot="1" x14ac:dyDescent="0.25">
      <c r="A279" s="671" t="s">
        <v>168</v>
      </c>
      <c r="B279" s="644" t="s">
        <v>168</v>
      </c>
      <c r="C279" s="645"/>
      <c r="D279" s="483" t="s">
        <v>252</v>
      </c>
      <c r="E279" s="423"/>
      <c r="F279" s="418">
        <v>20</v>
      </c>
      <c r="G279" s="425">
        <v>2.63E-2</v>
      </c>
      <c r="H279" s="663">
        <f t="shared" ref="H279" si="77">IF(F279&lt;=30,(1.07*F279+2.68)*G279,((1.07*30+2.68)+1.07*(F279-30))*G279)</f>
        <v>0.63330400000000009</v>
      </c>
      <c r="I279" s="420">
        <v>0</v>
      </c>
      <c r="J279" s="420"/>
      <c r="K279" s="421">
        <f t="shared" si="70"/>
        <v>0</v>
      </c>
      <c r="L279" s="647" t="s">
        <v>614</v>
      </c>
      <c r="M279" s="703"/>
      <c r="N279" s="576">
        <f t="shared" si="76"/>
        <v>0</v>
      </c>
      <c r="O279" s="577">
        <f t="shared" si="59"/>
        <v>0</v>
      </c>
      <c r="P279" s="578">
        <f t="shared" si="60"/>
        <v>0</v>
      </c>
      <c r="Q279" s="765"/>
      <c r="R279" s="703"/>
      <c r="S279" s="670"/>
      <c r="T279" s="577">
        <f t="shared" si="62"/>
        <v>0</v>
      </c>
      <c r="U279" s="578">
        <f t="shared" si="63"/>
        <v>0</v>
      </c>
      <c r="V279" s="579"/>
      <c r="W279" s="637" t="str">
        <f>IF(U278&gt;0,"xx",IF(P278&gt;0,"xy",""))</f>
        <v/>
      </c>
      <c r="X279" s="586" t="str">
        <f>IF(W279="X","x",IF(W279="xx","x",IF(W279="xy","x",IF(W279="y","x",IF(OR(P279&gt;0,U279&gt;0),"x","")))))</f>
        <v/>
      </c>
      <c r="Y279" s="586" t="str">
        <f t="shared" si="74"/>
        <v/>
      </c>
      <c r="Z279" s="586" t="str">
        <f t="shared" si="58"/>
        <v/>
      </c>
    </row>
    <row r="280" spans="1:26" ht="12" hidden="1" thickBot="1" x14ac:dyDescent="0.25">
      <c r="A280" s="671">
        <v>589520</v>
      </c>
      <c r="B280" s="704" t="s">
        <v>1760</v>
      </c>
      <c r="C280" s="689" t="s">
        <v>1746</v>
      </c>
      <c r="D280" s="712" t="s">
        <v>754</v>
      </c>
      <c r="E280" s="470"/>
      <c r="F280" s="478">
        <v>500</v>
      </c>
      <c r="G280" s="479">
        <v>1</v>
      </c>
      <c r="H280" s="663">
        <f>(0.84*F280+41.45)*G280</f>
        <v>461.45</v>
      </c>
      <c r="I280" s="472">
        <v>4168</v>
      </c>
      <c r="J280" s="472">
        <f>IF(ISBLANK(I280),"",I280*(1+$F$9)/(1+$F$10))+H280</f>
        <v>4505.6132859186937</v>
      </c>
      <c r="K280" s="690">
        <f t="shared" si="70"/>
        <v>5353.12</v>
      </c>
      <c r="L280" s="691" t="s">
        <v>20</v>
      </c>
      <c r="M280" s="692">
        <f>ROUND(M278*G278,2)</f>
        <v>0</v>
      </c>
      <c r="N280" s="799">
        <f t="shared" si="76"/>
        <v>0</v>
      </c>
      <c r="O280" s="693">
        <f t="shared" si="59"/>
        <v>0</v>
      </c>
      <c r="P280" s="694">
        <f t="shared" si="60"/>
        <v>0</v>
      </c>
      <c r="Q280" s="765"/>
      <c r="R280" s="695">
        <f>ROUND(R278*G278,2)</f>
        <v>0</v>
      </c>
      <c r="S280" s="711">
        <f t="shared" si="61"/>
        <v>0</v>
      </c>
      <c r="T280" s="693">
        <f t="shared" si="62"/>
        <v>0</v>
      </c>
      <c r="U280" s="694">
        <f t="shared" si="63"/>
        <v>0</v>
      </c>
      <c r="V280" s="579"/>
      <c r="W280" s="637" t="str">
        <f>IF(U278&gt;0,"xx",IF(P278&gt;0,"xy",""))</f>
        <v/>
      </c>
      <c r="X280" s="586" t="str">
        <f>IF(W280="X","x",IF(W280="xx","x",IF(W280="xy","x",IF(W280="y","x",IF(OR(P280&gt;0,U280&gt;0),"x","")))))</f>
        <v/>
      </c>
      <c r="Y280" s="586" t="str">
        <f t="shared" si="74"/>
        <v/>
      </c>
      <c r="Z280" s="586" t="str">
        <f t="shared" si="58"/>
        <v/>
      </c>
    </row>
    <row r="281" spans="1:26" ht="12" hidden="1" thickBot="1" x14ac:dyDescent="0.25">
      <c r="A281" s="671">
        <v>583100</v>
      </c>
      <c r="B281" s="701" t="s">
        <v>1616</v>
      </c>
      <c r="C281" s="702" t="s">
        <v>206</v>
      </c>
      <c r="D281" s="482" t="s">
        <v>254</v>
      </c>
      <c r="E281" s="464"/>
      <c r="F281" s="465" t="s">
        <v>661</v>
      </c>
      <c r="G281" s="466">
        <v>3.3999999999999998E-3</v>
      </c>
      <c r="H281" s="681">
        <f>SUM(H282:H282)</f>
        <v>0.73444000000000009</v>
      </c>
      <c r="I281" s="467">
        <v>6.69</v>
      </c>
      <c r="J281" s="467">
        <f>IF(ISBLANK(I281),"",SUM(H281:I281))</f>
        <v>7.4244400000000006</v>
      </c>
      <c r="K281" s="682">
        <f t="shared" si="70"/>
        <v>8.82</v>
      </c>
      <c r="L281" s="683" t="s">
        <v>18</v>
      </c>
      <c r="M281" s="685"/>
      <c r="N281" s="576">
        <f t="shared" si="76"/>
        <v>0</v>
      </c>
      <c r="O281" s="687">
        <f t="shared" si="59"/>
        <v>0</v>
      </c>
      <c r="P281" s="688">
        <f t="shared" si="60"/>
        <v>0</v>
      </c>
      <c r="Q281" s="765"/>
      <c r="R281" s="685">
        <f>M281</f>
        <v>0</v>
      </c>
      <c r="S281" s="686">
        <f t="shared" si="61"/>
        <v>0</v>
      </c>
      <c r="T281" s="687">
        <f t="shared" si="62"/>
        <v>0</v>
      </c>
      <c r="U281" s="688">
        <f t="shared" si="63"/>
        <v>0</v>
      </c>
      <c r="V281" s="579"/>
      <c r="W281" s="566"/>
      <c r="X281" s="586" t="str">
        <f t="shared" si="64"/>
        <v/>
      </c>
      <c r="Y281" s="586" t="str">
        <f t="shared" si="74"/>
        <v/>
      </c>
      <c r="Z281" s="586" t="str">
        <f t="shared" si="58"/>
        <v/>
      </c>
    </row>
    <row r="282" spans="1:26" ht="12" hidden="1" thickBot="1" x14ac:dyDescent="0.25">
      <c r="A282" s="671" t="s">
        <v>168</v>
      </c>
      <c r="B282" s="644" t="s">
        <v>168</v>
      </c>
      <c r="C282" s="645"/>
      <c r="D282" s="483" t="s">
        <v>252</v>
      </c>
      <c r="E282" s="423"/>
      <c r="F282" s="418">
        <v>20</v>
      </c>
      <c r="G282" s="425">
        <v>3.0499999999999999E-2</v>
      </c>
      <c r="H282" s="663">
        <f t="shared" ref="H282" si="78">IF(F282&lt;=30,(1.07*F282+2.68)*G282,((1.07*30+2.68)+1.07*(F282-30))*G282)</f>
        <v>0.73444000000000009</v>
      </c>
      <c r="I282" s="420">
        <v>0</v>
      </c>
      <c r="J282" s="420"/>
      <c r="K282" s="421">
        <f t="shared" si="70"/>
        <v>0</v>
      </c>
      <c r="L282" s="647" t="s">
        <v>614</v>
      </c>
      <c r="M282" s="703"/>
      <c r="N282" s="576">
        <f t="shared" si="76"/>
        <v>0</v>
      </c>
      <c r="O282" s="577">
        <f t="shared" si="59"/>
        <v>0</v>
      </c>
      <c r="P282" s="578">
        <f t="shared" si="60"/>
        <v>0</v>
      </c>
      <c r="Q282" s="765"/>
      <c r="R282" s="703"/>
      <c r="S282" s="670"/>
      <c r="T282" s="577">
        <f t="shared" si="62"/>
        <v>0</v>
      </c>
      <c r="U282" s="578">
        <f t="shared" si="63"/>
        <v>0</v>
      </c>
      <c r="V282" s="579"/>
      <c r="W282" s="637" t="str">
        <f>IF(U281&gt;0,"xx",IF(P281&gt;0,"xy",""))</f>
        <v/>
      </c>
      <c r="X282" s="586" t="str">
        <f>IF(W282="X","x",IF(W282="xx","x",IF(W282="xy","x",IF(W282="y","x",IF(OR(P282&gt;0,U282&gt;0),"x","")))))</f>
        <v/>
      </c>
      <c r="Y282" s="586" t="str">
        <f t="shared" si="74"/>
        <v/>
      </c>
      <c r="Z282" s="586" t="str">
        <f t="shared" si="58"/>
        <v/>
      </c>
    </row>
    <row r="283" spans="1:26" ht="12" hidden="1" thickBot="1" x14ac:dyDescent="0.25">
      <c r="A283" s="671">
        <v>589520</v>
      </c>
      <c r="B283" s="704" t="s">
        <v>1761</v>
      </c>
      <c r="C283" s="689" t="s">
        <v>1746</v>
      </c>
      <c r="D283" s="712" t="s">
        <v>1574</v>
      </c>
      <c r="E283" s="470"/>
      <c r="F283" s="478">
        <v>500</v>
      </c>
      <c r="G283" s="479">
        <v>1</v>
      </c>
      <c r="H283" s="663">
        <f>(0.84*F283+41.45)*G283</f>
        <v>461.45</v>
      </c>
      <c r="I283" s="472">
        <v>4168</v>
      </c>
      <c r="J283" s="472">
        <f>IF(ISBLANK(I283),"",I283*(1+$F$9)/(1+$F$10))+H283</f>
        <v>4505.6132859186937</v>
      </c>
      <c r="K283" s="690">
        <f t="shared" si="70"/>
        <v>5353.12</v>
      </c>
      <c r="L283" s="691" t="s">
        <v>20</v>
      </c>
      <c r="M283" s="692">
        <f>ROUND(M281*G281,2)</f>
        <v>0</v>
      </c>
      <c r="N283" s="588">
        <f t="shared" si="76"/>
        <v>0</v>
      </c>
      <c r="O283" s="693">
        <f t="shared" si="59"/>
        <v>0</v>
      </c>
      <c r="P283" s="694">
        <f t="shared" si="60"/>
        <v>0</v>
      </c>
      <c r="Q283" s="765"/>
      <c r="R283" s="695">
        <f>ROUND(R281*G281,2)</f>
        <v>0</v>
      </c>
      <c r="S283" s="711">
        <f t="shared" si="61"/>
        <v>0</v>
      </c>
      <c r="T283" s="693">
        <f t="shared" si="62"/>
        <v>0</v>
      </c>
      <c r="U283" s="694">
        <f t="shared" si="63"/>
        <v>0</v>
      </c>
      <c r="V283" s="579"/>
      <c r="W283" s="637" t="str">
        <f>IF(U281&gt;0,"xx",IF(P281&gt;0,"xy",""))</f>
        <v/>
      </c>
      <c r="X283" s="586" t="str">
        <f t="shared" si="64"/>
        <v/>
      </c>
      <c r="Y283" s="586" t="str">
        <f t="shared" si="74"/>
        <v/>
      </c>
      <c r="Z283" s="586" t="str">
        <f t="shared" si="58"/>
        <v/>
      </c>
    </row>
    <row r="284" spans="1:26" ht="12" hidden="1" thickBot="1" x14ac:dyDescent="0.25">
      <c r="A284" s="671">
        <v>583100</v>
      </c>
      <c r="B284" s="701" t="s">
        <v>1617</v>
      </c>
      <c r="C284" s="702" t="s">
        <v>206</v>
      </c>
      <c r="D284" s="482" t="s">
        <v>255</v>
      </c>
      <c r="E284" s="464"/>
      <c r="F284" s="465" t="s">
        <v>661</v>
      </c>
      <c r="G284" s="466">
        <v>3.8E-3</v>
      </c>
      <c r="H284" s="681">
        <f>SUM(H285:H285)</f>
        <v>0.88614400000000004</v>
      </c>
      <c r="I284" s="467">
        <v>6.69</v>
      </c>
      <c r="J284" s="467">
        <f>IF(ISBLANK(I284),"",SUM(H284:I284))</f>
        <v>7.5761440000000002</v>
      </c>
      <c r="K284" s="682">
        <f t="shared" si="70"/>
        <v>9</v>
      </c>
      <c r="L284" s="683" t="s">
        <v>18</v>
      </c>
      <c r="M284" s="685"/>
      <c r="N284" s="686">
        <f t="shared" si="76"/>
        <v>0</v>
      </c>
      <c r="O284" s="687">
        <f t="shared" si="59"/>
        <v>0</v>
      </c>
      <c r="P284" s="688">
        <f t="shared" si="60"/>
        <v>0</v>
      </c>
      <c r="Q284" s="765"/>
      <c r="R284" s="685">
        <f>M284</f>
        <v>0</v>
      </c>
      <c r="S284" s="686">
        <f t="shared" si="61"/>
        <v>0</v>
      </c>
      <c r="T284" s="687">
        <f t="shared" si="62"/>
        <v>0</v>
      </c>
      <c r="U284" s="688">
        <f t="shared" si="63"/>
        <v>0</v>
      </c>
      <c r="V284" s="579"/>
      <c r="W284" s="566"/>
      <c r="X284" s="586" t="str">
        <f t="shared" si="64"/>
        <v/>
      </c>
      <c r="Y284" s="586" t="str">
        <f t="shared" si="74"/>
        <v/>
      </c>
      <c r="Z284" s="586" t="str">
        <f t="shared" si="58"/>
        <v/>
      </c>
    </row>
    <row r="285" spans="1:26" ht="12" hidden="1" thickBot="1" x14ac:dyDescent="0.25">
      <c r="A285" s="671" t="s">
        <v>168</v>
      </c>
      <c r="B285" s="644" t="s">
        <v>168</v>
      </c>
      <c r="C285" s="645"/>
      <c r="D285" s="483" t="s">
        <v>252</v>
      </c>
      <c r="E285" s="423"/>
      <c r="F285" s="418">
        <v>20</v>
      </c>
      <c r="G285" s="425">
        <v>3.6799999999999999E-2</v>
      </c>
      <c r="H285" s="663">
        <f t="shared" ref="H285" si="79">IF(F285&lt;=30,(1.07*F285+2.68)*G285,((1.07*30+2.68)+1.07*(F285-30))*G285)</f>
        <v>0.88614400000000004</v>
      </c>
      <c r="I285" s="420">
        <v>0</v>
      </c>
      <c r="J285" s="420"/>
      <c r="K285" s="421">
        <f t="shared" si="70"/>
        <v>0</v>
      </c>
      <c r="L285" s="647" t="s">
        <v>614</v>
      </c>
      <c r="M285" s="703"/>
      <c r="N285" s="576">
        <f t="shared" si="76"/>
        <v>0</v>
      </c>
      <c r="O285" s="577">
        <f t="shared" si="59"/>
        <v>0</v>
      </c>
      <c r="P285" s="578">
        <f t="shared" si="60"/>
        <v>0</v>
      </c>
      <c r="Q285" s="765"/>
      <c r="R285" s="703"/>
      <c r="S285" s="670"/>
      <c r="T285" s="577">
        <f t="shared" si="62"/>
        <v>0</v>
      </c>
      <c r="U285" s="578">
        <f t="shared" si="63"/>
        <v>0</v>
      </c>
      <c r="V285" s="579"/>
      <c r="W285" s="637" t="str">
        <f>IF(U284&gt;0,"xx",IF(P284&gt;0,"xy",""))</f>
        <v/>
      </c>
      <c r="X285" s="586" t="str">
        <f t="shared" si="64"/>
        <v/>
      </c>
      <c r="Y285" s="586" t="str">
        <f t="shared" si="74"/>
        <v/>
      </c>
      <c r="Z285" s="586" t="str">
        <f t="shared" ref="Z285:Z348" si="80">IF(W285="X","x",IF(U285&gt;0,"x",""))</f>
        <v/>
      </c>
    </row>
    <row r="286" spans="1:26" ht="12" hidden="1" thickBot="1" x14ac:dyDescent="0.25">
      <c r="A286" s="671">
        <v>589520</v>
      </c>
      <c r="B286" s="704" t="s">
        <v>1762</v>
      </c>
      <c r="C286" s="689" t="s">
        <v>1746</v>
      </c>
      <c r="D286" s="712" t="s">
        <v>755</v>
      </c>
      <c r="E286" s="470"/>
      <c r="F286" s="478">
        <v>500</v>
      </c>
      <c r="G286" s="479">
        <v>1</v>
      </c>
      <c r="H286" s="663">
        <f>(0.84*F286+41.45)*G286</f>
        <v>461.45</v>
      </c>
      <c r="I286" s="472">
        <v>4168</v>
      </c>
      <c r="J286" s="472">
        <f>IF(ISBLANK(I286),"",I286*(1+$F$9)/(1+$F$10))+H286</f>
        <v>4505.6132859186937</v>
      </c>
      <c r="K286" s="690">
        <f t="shared" si="70"/>
        <v>5353.12</v>
      </c>
      <c r="L286" s="691" t="s">
        <v>20</v>
      </c>
      <c r="M286" s="692">
        <f>ROUND(M284*G284,2)</f>
        <v>0</v>
      </c>
      <c r="N286" s="696">
        <f t="shared" si="76"/>
        <v>0</v>
      </c>
      <c r="O286" s="693">
        <f t="shared" si="59"/>
        <v>0</v>
      </c>
      <c r="P286" s="694">
        <f t="shared" si="60"/>
        <v>0</v>
      </c>
      <c r="Q286" s="765"/>
      <c r="R286" s="695">
        <f>ROUND(R284*G284,2)</f>
        <v>0</v>
      </c>
      <c r="S286" s="711">
        <f>N286</f>
        <v>0</v>
      </c>
      <c r="T286" s="693">
        <f t="shared" si="62"/>
        <v>0</v>
      </c>
      <c r="U286" s="694">
        <f t="shared" si="63"/>
        <v>0</v>
      </c>
      <c r="V286" s="579"/>
      <c r="W286" s="637" t="str">
        <f>IF(U284&gt;0,"xx",IF(P284&gt;0,"xy",""))</f>
        <v/>
      </c>
      <c r="X286" s="586" t="str">
        <f t="shared" si="64"/>
        <v/>
      </c>
      <c r="Y286" s="586" t="str">
        <f t="shared" si="74"/>
        <v/>
      </c>
      <c r="Z286" s="586" t="str">
        <f t="shared" si="80"/>
        <v/>
      </c>
    </row>
    <row r="287" spans="1:26" ht="12" hidden="1" thickBot="1" x14ac:dyDescent="0.25">
      <c r="A287" s="671">
        <v>584200</v>
      </c>
      <c r="B287" s="701" t="s">
        <v>1618</v>
      </c>
      <c r="C287" s="702" t="s">
        <v>206</v>
      </c>
      <c r="D287" s="482" t="s">
        <v>256</v>
      </c>
      <c r="E287" s="464"/>
      <c r="F287" s="465" t="s">
        <v>661</v>
      </c>
      <c r="G287" s="466">
        <v>3.3E-3</v>
      </c>
      <c r="H287" s="681">
        <f>SUM(H288:H288)</f>
        <v>0.68387200000000015</v>
      </c>
      <c r="I287" s="467">
        <v>8.33</v>
      </c>
      <c r="J287" s="467">
        <f>IF(ISBLANK(I287),"",SUM(H287:I287))</f>
        <v>9.013872000000001</v>
      </c>
      <c r="K287" s="682">
        <f t="shared" si="70"/>
        <v>10.71</v>
      </c>
      <c r="L287" s="683" t="s">
        <v>18</v>
      </c>
      <c r="M287" s="685"/>
      <c r="N287" s="576">
        <f t="shared" si="76"/>
        <v>0</v>
      </c>
      <c r="O287" s="687">
        <f t="shared" si="59"/>
        <v>0</v>
      </c>
      <c r="P287" s="688">
        <f t="shared" si="60"/>
        <v>0</v>
      </c>
      <c r="Q287" s="765"/>
      <c r="R287" s="685">
        <f>M287</f>
        <v>0</v>
      </c>
      <c r="S287" s="686">
        <f>N287</f>
        <v>0</v>
      </c>
      <c r="T287" s="687">
        <f t="shared" si="62"/>
        <v>0</v>
      </c>
      <c r="U287" s="688">
        <f t="shared" si="63"/>
        <v>0</v>
      </c>
      <c r="V287" s="579"/>
      <c r="W287" s="566"/>
      <c r="X287" s="586" t="str">
        <f t="shared" si="64"/>
        <v/>
      </c>
      <c r="Y287" s="586" t="str">
        <f t="shared" si="74"/>
        <v/>
      </c>
      <c r="Z287" s="586" t="str">
        <f t="shared" si="80"/>
        <v/>
      </c>
    </row>
    <row r="288" spans="1:26" ht="12" hidden="1" thickBot="1" x14ac:dyDescent="0.25">
      <c r="A288" s="671" t="s">
        <v>168</v>
      </c>
      <c r="B288" s="644" t="s">
        <v>168</v>
      </c>
      <c r="C288" s="645"/>
      <c r="D288" s="483" t="s">
        <v>252</v>
      </c>
      <c r="E288" s="423"/>
      <c r="F288" s="418">
        <v>20</v>
      </c>
      <c r="G288" s="425">
        <v>2.8400000000000002E-2</v>
      </c>
      <c r="H288" s="663">
        <f t="shared" ref="H288" si="81">IF(F288&lt;=30,(1.07*F288+2.68)*G288,((1.07*30+2.68)+1.07*(F288-30))*G288)</f>
        <v>0.68387200000000015</v>
      </c>
      <c r="I288" s="420">
        <v>0</v>
      </c>
      <c r="J288" s="420"/>
      <c r="K288" s="421">
        <f t="shared" si="70"/>
        <v>0</v>
      </c>
      <c r="L288" s="647" t="s">
        <v>614</v>
      </c>
      <c r="M288" s="703"/>
      <c r="N288" s="576">
        <f t="shared" si="76"/>
        <v>0</v>
      </c>
      <c r="O288" s="577">
        <f t="shared" ref="O288:O363" si="82">IF(ISBLANK(M288),0,ROUND(K288*M288,2))</f>
        <v>0</v>
      </c>
      <c r="P288" s="578">
        <f t="shared" ref="P288:P363" si="83">IF(ISBLANK(N288),0,ROUND(M288*N288,2))</f>
        <v>0</v>
      </c>
      <c r="Q288" s="765"/>
      <c r="R288" s="703"/>
      <c r="S288" s="670"/>
      <c r="T288" s="577">
        <f t="shared" ref="T288:T363" si="84">IF(ISBLANK(R288),0,ROUND(K288*R288,2))</f>
        <v>0</v>
      </c>
      <c r="U288" s="578">
        <f t="shared" ref="U288:U363" si="85">IF(ISBLANK(R288),0,ROUND(R288*S288,2))</f>
        <v>0</v>
      </c>
      <c r="V288" s="579"/>
      <c r="W288" s="637" t="str">
        <f>IF(U287&gt;0,"xx",IF(P287&gt;0,"xy",""))</f>
        <v/>
      </c>
      <c r="X288" s="586" t="str">
        <f t="shared" si="64"/>
        <v/>
      </c>
      <c r="Y288" s="586" t="str">
        <f t="shared" si="74"/>
        <v/>
      </c>
      <c r="Z288" s="586" t="str">
        <f t="shared" si="80"/>
        <v/>
      </c>
    </row>
    <row r="289" spans="1:26" ht="12" hidden="1" thickBot="1" x14ac:dyDescent="0.25">
      <c r="A289" s="671">
        <v>589520</v>
      </c>
      <c r="B289" s="704" t="s">
        <v>1763</v>
      </c>
      <c r="C289" s="689" t="s">
        <v>1746</v>
      </c>
      <c r="D289" s="712" t="s">
        <v>756</v>
      </c>
      <c r="E289" s="470"/>
      <c r="F289" s="478">
        <v>500</v>
      </c>
      <c r="G289" s="479">
        <v>1</v>
      </c>
      <c r="H289" s="663">
        <f>(0.84*F289+41.45)*G289</f>
        <v>461.45</v>
      </c>
      <c r="I289" s="472">
        <v>4168</v>
      </c>
      <c r="J289" s="472">
        <f>IF(ISBLANK(I289),"",I289*(1+$F$9)/(1+$F$10))+H289</f>
        <v>4505.6132859186937</v>
      </c>
      <c r="K289" s="690">
        <f t="shared" si="70"/>
        <v>5353.12</v>
      </c>
      <c r="L289" s="691" t="s">
        <v>20</v>
      </c>
      <c r="M289" s="692">
        <f>ROUND(M287*G287,2)</f>
        <v>0</v>
      </c>
      <c r="N289" s="588">
        <f t="shared" si="76"/>
        <v>0</v>
      </c>
      <c r="O289" s="693">
        <f t="shared" si="82"/>
        <v>0</v>
      </c>
      <c r="P289" s="694">
        <f t="shared" si="83"/>
        <v>0</v>
      </c>
      <c r="Q289" s="765"/>
      <c r="R289" s="695">
        <f>ROUND(R287*G287,2)</f>
        <v>0</v>
      </c>
      <c r="S289" s="711">
        <f>N289</f>
        <v>0</v>
      </c>
      <c r="T289" s="693">
        <f t="shared" si="84"/>
        <v>0</v>
      </c>
      <c r="U289" s="694">
        <f t="shared" si="85"/>
        <v>0</v>
      </c>
      <c r="V289" s="579"/>
      <c r="W289" s="637" t="str">
        <f>IF(U287&gt;0,"xx",IF(P287&gt;0,"xy",""))</f>
        <v/>
      </c>
      <c r="X289" s="586" t="str">
        <f t="shared" si="64"/>
        <v/>
      </c>
      <c r="Y289" s="586" t="str">
        <f t="shared" si="74"/>
        <v/>
      </c>
      <c r="Z289" s="586" t="str">
        <f t="shared" si="80"/>
        <v/>
      </c>
    </row>
    <row r="290" spans="1:26" ht="12" hidden="1" thickBot="1" x14ac:dyDescent="0.25">
      <c r="A290" s="671">
        <v>584200</v>
      </c>
      <c r="B290" s="701" t="s">
        <v>1619</v>
      </c>
      <c r="C290" s="702" t="s">
        <v>206</v>
      </c>
      <c r="D290" s="482" t="s">
        <v>257</v>
      </c>
      <c r="E290" s="464"/>
      <c r="F290" s="465" t="s">
        <v>661</v>
      </c>
      <c r="G290" s="466">
        <v>3.8E-3</v>
      </c>
      <c r="H290" s="681">
        <f>SUM(H291:H291)</f>
        <v>0.8355760000000001</v>
      </c>
      <c r="I290" s="467">
        <v>8.33</v>
      </c>
      <c r="J290" s="467">
        <f>IF(ISBLANK(I290),"",SUM(H290:I290))</f>
        <v>9.1655759999999997</v>
      </c>
      <c r="K290" s="682">
        <f t="shared" si="70"/>
        <v>10.89</v>
      </c>
      <c r="L290" s="683" t="s">
        <v>18</v>
      </c>
      <c r="M290" s="685"/>
      <c r="N290" s="686">
        <f t="shared" si="76"/>
        <v>0</v>
      </c>
      <c r="O290" s="687">
        <f t="shared" si="82"/>
        <v>0</v>
      </c>
      <c r="P290" s="688">
        <f t="shared" si="83"/>
        <v>0</v>
      </c>
      <c r="Q290" s="765"/>
      <c r="R290" s="685">
        <f>M290</f>
        <v>0</v>
      </c>
      <c r="S290" s="686">
        <f>N290</f>
        <v>0</v>
      </c>
      <c r="T290" s="687">
        <f t="shared" si="84"/>
        <v>0</v>
      </c>
      <c r="U290" s="688">
        <f t="shared" si="85"/>
        <v>0</v>
      </c>
      <c r="V290" s="579"/>
      <c r="W290" s="566"/>
      <c r="X290" s="586" t="str">
        <f t="shared" ref="X290:X353" si="86">IF(W290="X","x",IF(W290="xx","x",IF(W290="xy","x",IF(W290="y","x",IF(OR(P290&gt;0,U290&gt;0),"x","")))))</f>
        <v/>
      </c>
      <c r="Y290" s="586" t="str">
        <f t="shared" si="74"/>
        <v/>
      </c>
      <c r="Z290" s="586" t="str">
        <f t="shared" si="80"/>
        <v/>
      </c>
    </row>
    <row r="291" spans="1:26" ht="12" hidden="1" thickBot="1" x14ac:dyDescent="0.25">
      <c r="A291" s="671" t="s">
        <v>168</v>
      </c>
      <c r="B291" s="644" t="s">
        <v>168</v>
      </c>
      <c r="C291" s="645"/>
      <c r="D291" s="483" t="s">
        <v>252</v>
      </c>
      <c r="E291" s="423"/>
      <c r="F291" s="418">
        <v>20</v>
      </c>
      <c r="G291" s="425">
        <v>3.4700000000000002E-2</v>
      </c>
      <c r="H291" s="663">
        <f t="shared" ref="H291" si="87">IF(F291&lt;=30,(1.07*F291+2.68)*G291,((1.07*30+2.68)+1.07*(F291-30))*G291)</f>
        <v>0.8355760000000001</v>
      </c>
      <c r="I291" s="420">
        <v>0</v>
      </c>
      <c r="J291" s="420"/>
      <c r="K291" s="421">
        <f t="shared" si="70"/>
        <v>0</v>
      </c>
      <c r="L291" s="647" t="s">
        <v>614</v>
      </c>
      <c r="M291" s="703"/>
      <c r="N291" s="576">
        <f t="shared" si="76"/>
        <v>0</v>
      </c>
      <c r="O291" s="577">
        <f t="shared" si="82"/>
        <v>0</v>
      </c>
      <c r="P291" s="578">
        <f t="shared" si="83"/>
        <v>0</v>
      </c>
      <c r="Q291" s="765"/>
      <c r="R291" s="703"/>
      <c r="S291" s="670"/>
      <c r="T291" s="577">
        <f t="shared" si="84"/>
        <v>0</v>
      </c>
      <c r="U291" s="578">
        <f t="shared" si="85"/>
        <v>0</v>
      </c>
      <c r="V291" s="579"/>
      <c r="W291" s="637" t="str">
        <f>IF(U290&gt;0,"xx",IF(P290&gt;0,"xy",""))</f>
        <v/>
      </c>
      <c r="X291" s="586" t="str">
        <f t="shared" si="86"/>
        <v/>
      </c>
      <c r="Y291" s="586" t="str">
        <f t="shared" si="74"/>
        <v/>
      </c>
      <c r="Z291" s="586" t="str">
        <f t="shared" si="80"/>
        <v/>
      </c>
    </row>
    <row r="292" spans="1:26" ht="12" hidden="1" thickBot="1" x14ac:dyDescent="0.25">
      <c r="A292" s="671">
        <v>589520</v>
      </c>
      <c r="B292" s="704" t="s">
        <v>1764</v>
      </c>
      <c r="C292" s="689" t="s">
        <v>1746</v>
      </c>
      <c r="D292" s="712" t="s">
        <v>654</v>
      </c>
      <c r="E292" s="470"/>
      <c r="F292" s="478">
        <v>500</v>
      </c>
      <c r="G292" s="479">
        <v>1</v>
      </c>
      <c r="H292" s="663">
        <f>(0.84*F292+41.45)*G292</f>
        <v>461.45</v>
      </c>
      <c r="I292" s="472">
        <v>4168</v>
      </c>
      <c r="J292" s="472">
        <f>IF(ISBLANK(I292),"",I292*(1+$F$9)/(1+$F$10))+H292</f>
        <v>4505.6132859186937</v>
      </c>
      <c r="K292" s="690">
        <f t="shared" si="70"/>
        <v>5353.12</v>
      </c>
      <c r="L292" s="691" t="s">
        <v>20</v>
      </c>
      <c r="M292" s="692">
        <f>ROUND(M290*G290,2)</f>
        <v>0</v>
      </c>
      <c r="N292" s="696">
        <f t="shared" si="76"/>
        <v>0</v>
      </c>
      <c r="O292" s="693">
        <f t="shared" si="82"/>
        <v>0</v>
      </c>
      <c r="P292" s="694">
        <f t="shared" si="83"/>
        <v>0</v>
      </c>
      <c r="Q292" s="765"/>
      <c r="R292" s="695">
        <f>ROUND(R290*G290,2)</f>
        <v>0</v>
      </c>
      <c r="S292" s="711">
        <f>N292</f>
        <v>0</v>
      </c>
      <c r="T292" s="693">
        <f t="shared" si="84"/>
        <v>0</v>
      </c>
      <c r="U292" s="694">
        <f t="shared" si="85"/>
        <v>0</v>
      </c>
      <c r="V292" s="579"/>
      <c r="W292" s="637" t="str">
        <f>IF(U290&gt;0,"xx",IF(P290&gt;0,"xy",""))</f>
        <v/>
      </c>
      <c r="X292" s="586" t="str">
        <f t="shared" si="86"/>
        <v/>
      </c>
      <c r="Y292" s="586" t="str">
        <f t="shared" si="74"/>
        <v/>
      </c>
      <c r="Z292" s="586" t="str">
        <f t="shared" si="80"/>
        <v/>
      </c>
    </row>
    <row r="293" spans="1:26" ht="12" hidden="1" thickBot="1" x14ac:dyDescent="0.25">
      <c r="A293" s="671">
        <v>584200</v>
      </c>
      <c r="B293" s="701" t="s">
        <v>1620</v>
      </c>
      <c r="C293" s="702" t="s">
        <v>206</v>
      </c>
      <c r="D293" s="482" t="s">
        <v>258</v>
      </c>
      <c r="E293" s="464"/>
      <c r="F293" s="465" t="s">
        <v>661</v>
      </c>
      <c r="G293" s="466">
        <v>4.0000000000000001E-3</v>
      </c>
      <c r="H293" s="681">
        <f>SUM(H294:H294)</f>
        <v>1.1558400000000002</v>
      </c>
      <c r="I293" s="467">
        <v>8.33</v>
      </c>
      <c r="J293" s="467">
        <f>IF(ISBLANK(I293),"",SUM(H293:I293))</f>
        <v>9.4858399999999996</v>
      </c>
      <c r="K293" s="682">
        <f t="shared" si="70"/>
        <v>11.27</v>
      </c>
      <c r="L293" s="683" t="s">
        <v>18</v>
      </c>
      <c r="M293" s="685"/>
      <c r="N293" s="576">
        <f t="shared" si="76"/>
        <v>0</v>
      </c>
      <c r="O293" s="687">
        <f t="shared" si="82"/>
        <v>0</v>
      </c>
      <c r="P293" s="688">
        <f t="shared" si="83"/>
        <v>0</v>
      </c>
      <c r="Q293" s="765"/>
      <c r="R293" s="685">
        <f>M293</f>
        <v>0</v>
      </c>
      <c r="S293" s="686">
        <f>N293</f>
        <v>0</v>
      </c>
      <c r="T293" s="687">
        <f t="shared" si="84"/>
        <v>0</v>
      </c>
      <c r="U293" s="688">
        <f t="shared" si="85"/>
        <v>0</v>
      </c>
      <c r="V293" s="579"/>
      <c r="W293" s="566"/>
      <c r="X293" s="586" t="str">
        <f t="shared" si="86"/>
        <v/>
      </c>
      <c r="Y293" s="586" t="str">
        <f t="shared" si="74"/>
        <v/>
      </c>
      <c r="Z293" s="586" t="str">
        <f t="shared" si="80"/>
        <v/>
      </c>
    </row>
    <row r="294" spans="1:26" ht="12" hidden="1" thickBot="1" x14ac:dyDescent="0.25">
      <c r="A294" s="671" t="s">
        <v>168</v>
      </c>
      <c r="B294" s="644" t="s">
        <v>168</v>
      </c>
      <c r="C294" s="645"/>
      <c r="D294" s="483" t="s">
        <v>252</v>
      </c>
      <c r="E294" s="423"/>
      <c r="F294" s="418">
        <v>20</v>
      </c>
      <c r="G294" s="425">
        <v>4.8000000000000001E-2</v>
      </c>
      <c r="H294" s="663">
        <f t="shared" ref="H294" si="88">IF(F294&lt;=30,(1.07*F294+2.68)*G294,((1.07*30+2.68)+1.07*(F294-30))*G294)</f>
        <v>1.1558400000000002</v>
      </c>
      <c r="I294" s="420">
        <v>0</v>
      </c>
      <c r="J294" s="420"/>
      <c r="K294" s="421">
        <f t="shared" si="70"/>
        <v>0</v>
      </c>
      <c r="L294" s="647" t="s">
        <v>614</v>
      </c>
      <c r="M294" s="703"/>
      <c r="N294" s="576">
        <f t="shared" si="76"/>
        <v>0</v>
      </c>
      <c r="O294" s="577">
        <f t="shared" si="82"/>
        <v>0</v>
      </c>
      <c r="P294" s="578">
        <f t="shared" si="83"/>
        <v>0</v>
      </c>
      <c r="Q294" s="765"/>
      <c r="R294" s="703"/>
      <c r="S294" s="670"/>
      <c r="T294" s="577">
        <f t="shared" si="84"/>
        <v>0</v>
      </c>
      <c r="U294" s="578">
        <f t="shared" si="85"/>
        <v>0</v>
      </c>
      <c r="V294" s="579"/>
      <c r="W294" s="637" t="str">
        <f>IF(U293&gt;0,"xx",IF(P293&gt;0,"xy",""))</f>
        <v/>
      </c>
      <c r="X294" s="586" t="str">
        <f t="shared" si="86"/>
        <v/>
      </c>
      <c r="Y294" s="586" t="str">
        <f t="shared" si="74"/>
        <v/>
      </c>
      <c r="Z294" s="586" t="str">
        <f t="shared" si="80"/>
        <v/>
      </c>
    </row>
    <row r="295" spans="1:26" ht="12" hidden="1" thickBot="1" x14ac:dyDescent="0.25">
      <c r="A295" s="671">
        <v>589520</v>
      </c>
      <c r="B295" s="704" t="s">
        <v>1765</v>
      </c>
      <c r="C295" s="689" t="s">
        <v>1746</v>
      </c>
      <c r="D295" s="712" t="s">
        <v>757</v>
      </c>
      <c r="E295" s="470"/>
      <c r="F295" s="478">
        <v>500</v>
      </c>
      <c r="G295" s="479">
        <v>1</v>
      </c>
      <c r="H295" s="663">
        <f>(0.84*F295+41.45)*G295</f>
        <v>461.45</v>
      </c>
      <c r="I295" s="472">
        <v>4168</v>
      </c>
      <c r="J295" s="472">
        <f>IF(ISBLANK(I295),"",I295*(1+$F$9)/(1+$F$10))+H295</f>
        <v>4505.6132859186937</v>
      </c>
      <c r="K295" s="690">
        <f t="shared" si="70"/>
        <v>5353.12</v>
      </c>
      <c r="L295" s="691" t="s">
        <v>20</v>
      </c>
      <c r="M295" s="692">
        <f>ROUND(M293*G293,2)</f>
        <v>0</v>
      </c>
      <c r="N295" s="588">
        <f t="shared" si="76"/>
        <v>0</v>
      </c>
      <c r="O295" s="693">
        <f t="shared" si="82"/>
        <v>0</v>
      </c>
      <c r="P295" s="694">
        <f t="shared" si="83"/>
        <v>0</v>
      </c>
      <c r="Q295" s="765"/>
      <c r="R295" s="695">
        <f>ROUND(R293*G293,2)</f>
        <v>0</v>
      </c>
      <c r="S295" s="711">
        <f>N295</f>
        <v>0</v>
      </c>
      <c r="T295" s="693">
        <f t="shared" si="84"/>
        <v>0</v>
      </c>
      <c r="U295" s="694">
        <f t="shared" si="85"/>
        <v>0</v>
      </c>
      <c r="V295" s="579"/>
      <c r="W295" s="637" t="str">
        <f>IF(U293&gt;0,"xx",IF(P293&gt;0,"xy",""))</f>
        <v/>
      </c>
      <c r="X295" s="586" t="str">
        <f t="shared" si="86"/>
        <v/>
      </c>
      <c r="Y295" s="586" t="str">
        <f t="shared" si="74"/>
        <v/>
      </c>
      <c r="Z295" s="586" t="str">
        <f t="shared" si="80"/>
        <v/>
      </c>
    </row>
    <row r="296" spans="1:26" ht="12" hidden="1" thickBot="1" x14ac:dyDescent="0.25">
      <c r="A296" s="671">
        <v>564000</v>
      </c>
      <c r="B296" s="701">
        <v>564000</v>
      </c>
      <c r="C296" s="702" t="s">
        <v>206</v>
      </c>
      <c r="D296" s="482" t="s">
        <v>259</v>
      </c>
      <c r="E296" s="464"/>
      <c r="F296" s="465" t="s">
        <v>661</v>
      </c>
      <c r="G296" s="466">
        <v>0.125</v>
      </c>
      <c r="H296" s="681">
        <f>SUM(H297:H297)</f>
        <v>52.976000000000006</v>
      </c>
      <c r="I296" s="467">
        <v>118.24000000000001</v>
      </c>
      <c r="J296" s="467">
        <f>IF(ISBLANK(I296),"",SUM(H296:I296))</f>
        <v>171.21600000000001</v>
      </c>
      <c r="K296" s="682">
        <f t="shared" si="70"/>
        <v>203.42</v>
      </c>
      <c r="L296" s="683" t="s">
        <v>16</v>
      </c>
      <c r="M296" s="685"/>
      <c r="N296" s="686">
        <f t="shared" si="76"/>
        <v>0</v>
      </c>
      <c r="O296" s="687">
        <f t="shared" si="82"/>
        <v>0</v>
      </c>
      <c r="P296" s="688">
        <f t="shared" si="83"/>
        <v>0</v>
      </c>
      <c r="Q296" s="765"/>
      <c r="R296" s="685">
        <f>M296</f>
        <v>0</v>
      </c>
      <c r="S296" s="686">
        <f>N296</f>
        <v>0</v>
      </c>
      <c r="T296" s="687">
        <f t="shared" si="84"/>
        <v>0</v>
      </c>
      <c r="U296" s="688">
        <f t="shared" si="85"/>
        <v>0</v>
      </c>
      <c r="V296" s="579"/>
      <c r="W296" s="566"/>
      <c r="X296" s="586" t="str">
        <f t="shared" si="86"/>
        <v/>
      </c>
      <c r="Y296" s="586" t="str">
        <f t="shared" si="74"/>
        <v/>
      </c>
      <c r="Z296" s="586" t="str">
        <f t="shared" si="80"/>
        <v/>
      </c>
    </row>
    <row r="297" spans="1:26" ht="12" hidden="1" thickBot="1" x14ac:dyDescent="0.25">
      <c r="A297" s="671" t="s">
        <v>168</v>
      </c>
      <c r="B297" s="644" t="s">
        <v>168</v>
      </c>
      <c r="C297" s="645"/>
      <c r="D297" s="483" t="s">
        <v>252</v>
      </c>
      <c r="E297" s="423"/>
      <c r="F297" s="418">
        <v>20</v>
      </c>
      <c r="G297" s="425">
        <v>2.2000000000000002</v>
      </c>
      <c r="H297" s="663">
        <f t="shared" ref="H297" si="89">IF(F297&lt;=30,(1.07*F297+2.68)*G297,((1.07*30+2.68)+1.07*(F297-30))*G297)</f>
        <v>52.976000000000006</v>
      </c>
      <c r="I297" s="420">
        <v>0</v>
      </c>
      <c r="J297" s="420"/>
      <c r="K297" s="421">
        <f t="shared" si="70"/>
        <v>0</v>
      </c>
      <c r="L297" s="647" t="s">
        <v>614</v>
      </c>
      <c r="M297" s="703"/>
      <c r="N297" s="576">
        <f t="shared" si="76"/>
        <v>0</v>
      </c>
      <c r="O297" s="577">
        <f t="shared" si="82"/>
        <v>0</v>
      </c>
      <c r="P297" s="578">
        <f t="shared" si="83"/>
        <v>0</v>
      </c>
      <c r="Q297" s="765"/>
      <c r="R297" s="703"/>
      <c r="S297" s="670"/>
      <c r="T297" s="577">
        <f t="shared" si="84"/>
        <v>0</v>
      </c>
      <c r="U297" s="578">
        <f t="shared" si="85"/>
        <v>0</v>
      </c>
      <c r="V297" s="579"/>
      <c r="W297" s="637" t="str">
        <f>IF(U296&gt;0,"xx",IF(P296&gt;0,"xy",""))</f>
        <v/>
      </c>
      <c r="X297" s="586" t="str">
        <f t="shared" si="86"/>
        <v/>
      </c>
      <c r="Y297" s="586" t="str">
        <f t="shared" si="74"/>
        <v/>
      </c>
      <c r="Z297" s="586" t="str">
        <f t="shared" si="80"/>
        <v/>
      </c>
    </row>
    <row r="298" spans="1:26" ht="12" hidden="1" thickBot="1" x14ac:dyDescent="0.25">
      <c r="A298" s="671">
        <v>589520</v>
      </c>
      <c r="B298" s="704" t="s">
        <v>1766</v>
      </c>
      <c r="C298" s="689" t="s">
        <v>1746</v>
      </c>
      <c r="D298" s="712" t="s">
        <v>758</v>
      </c>
      <c r="E298" s="470"/>
      <c r="F298" s="478">
        <v>500</v>
      </c>
      <c r="G298" s="479">
        <v>1</v>
      </c>
      <c r="H298" s="663">
        <f>(0.84*F298+41.45)*G298</f>
        <v>461.45</v>
      </c>
      <c r="I298" s="472">
        <v>4168</v>
      </c>
      <c r="J298" s="472">
        <f>IF(ISBLANK(I298),"",I298*(1+$F$9)/(1+$F$10))+H298</f>
        <v>4505.6132859186937</v>
      </c>
      <c r="K298" s="690">
        <f t="shared" si="70"/>
        <v>5353.12</v>
      </c>
      <c r="L298" s="691" t="s">
        <v>20</v>
      </c>
      <c r="M298" s="692">
        <f>ROUND(M296*G296,2)</f>
        <v>0</v>
      </c>
      <c r="N298" s="696">
        <f t="shared" si="76"/>
        <v>0</v>
      </c>
      <c r="O298" s="693">
        <f t="shared" si="82"/>
        <v>0</v>
      </c>
      <c r="P298" s="694">
        <f t="shared" si="83"/>
        <v>0</v>
      </c>
      <c r="Q298" s="765"/>
      <c r="R298" s="695">
        <f>ROUND(R296*G296,2)</f>
        <v>0</v>
      </c>
      <c r="S298" s="711">
        <f>N298</f>
        <v>0</v>
      </c>
      <c r="T298" s="693">
        <f t="shared" si="84"/>
        <v>0</v>
      </c>
      <c r="U298" s="694">
        <f t="shared" si="85"/>
        <v>0</v>
      </c>
      <c r="V298" s="579"/>
      <c r="W298" s="637" t="str">
        <f>IF(U296&gt;0,"xx",IF(P296&gt;0,"xy",""))</f>
        <v/>
      </c>
      <c r="X298" s="586" t="str">
        <f t="shared" si="86"/>
        <v/>
      </c>
      <c r="Y298" s="586" t="str">
        <f t="shared" si="74"/>
        <v/>
      </c>
      <c r="Z298" s="586" t="str">
        <f t="shared" si="80"/>
        <v/>
      </c>
    </row>
    <row r="299" spans="1:26" ht="12" hidden="1" thickBot="1" x14ac:dyDescent="0.25">
      <c r="A299" s="671">
        <v>564300</v>
      </c>
      <c r="B299" s="701">
        <v>564300</v>
      </c>
      <c r="C299" s="702" t="s">
        <v>206</v>
      </c>
      <c r="D299" s="482" t="s">
        <v>260</v>
      </c>
      <c r="E299" s="464"/>
      <c r="F299" s="465" t="s">
        <v>662</v>
      </c>
      <c r="G299" s="466">
        <v>0.1</v>
      </c>
      <c r="H299" s="681">
        <f>SUM(H300:H300)</f>
        <v>52.976000000000006</v>
      </c>
      <c r="I299" s="467">
        <v>126.49</v>
      </c>
      <c r="J299" s="467">
        <f>IF(ISBLANK(I299),"",SUM(H299:I299))</f>
        <v>179.46600000000001</v>
      </c>
      <c r="K299" s="682">
        <f t="shared" si="70"/>
        <v>213.22</v>
      </c>
      <c r="L299" s="683" t="s">
        <v>16</v>
      </c>
      <c r="M299" s="685"/>
      <c r="N299" s="576">
        <f t="shared" si="76"/>
        <v>0</v>
      </c>
      <c r="O299" s="687">
        <f t="shared" si="82"/>
        <v>0</v>
      </c>
      <c r="P299" s="688">
        <f t="shared" si="83"/>
        <v>0</v>
      </c>
      <c r="Q299" s="765"/>
      <c r="R299" s="685">
        <f>M299</f>
        <v>0</v>
      </c>
      <c r="S299" s="686">
        <f>N299</f>
        <v>0</v>
      </c>
      <c r="T299" s="687">
        <f t="shared" si="84"/>
        <v>0</v>
      </c>
      <c r="U299" s="688">
        <f t="shared" si="85"/>
        <v>0</v>
      </c>
      <c r="V299" s="579"/>
      <c r="W299" s="566"/>
      <c r="X299" s="586" t="str">
        <f t="shared" si="86"/>
        <v/>
      </c>
      <c r="Y299" s="586" t="str">
        <f t="shared" si="74"/>
        <v/>
      </c>
      <c r="Z299" s="586" t="str">
        <f t="shared" si="80"/>
        <v/>
      </c>
    </row>
    <row r="300" spans="1:26" ht="12" hidden="1" thickBot="1" x14ac:dyDescent="0.25">
      <c r="A300" s="671" t="s">
        <v>168</v>
      </c>
      <c r="B300" s="644" t="s">
        <v>168</v>
      </c>
      <c r="C300" s="645"/>
      <c r="D300" s="483" t="s">
        <v>252</v>
      </c>
      <c r="E300" s="423"/>
      <c r="F300" s="418">
        <v>20</v>
      </c>
      <c r="G300" s="425">
        <v>2.2000000000000002</v>
      </c>
      <c r="H300" s="663">
        <f t="shared" ref="H300" si="90">IF(F300&lt;=30,(1.07*F300+2.68)*G300,((1.07*30+2.68)+1.07*(F300-30))*G300)</f>
        <v>52.976000000000006</v>
      </c>
      <c r="I300" s="420">
        <v>0</v>
      </c>
      <c r="J300" s="420"/>
      <c r="K300" s="421">
        <f t="shared" si="70"/>
        <v>0</v>
      </c>
      <c r="L300" s="647" t="s">
        <v>614</v>
      </c>
      <c r="M300" s="703"/>
      <c r="N300" s="576">
        <f t="shared" si="76"/>
        <v>0</v>
      </c>
      <c r="O300" s="577">
        <f t="shared" si="82"/>
        <v>0</v>
      </c>
      <c r="P300" s="578">
        <f t="shared" si="83"/>
        <v>0</v>
      </c>
      <c r="Q300" s="765"/>
      <c r="R300" s="703"/>
      <c r="S300" s="670"/>
      <c r="T300" s="577">
        <f t="shared" si="84"/>
        <v>0</v>
      </c>
      <c r="U300" s="578">
        <f t="shared" si="85"/>
        <v>0</v>
      </c>
      <c r="V300" s="579"/>
      <c r="W300" s="637" t="str">
        <f>IF(U299&gt;0,"xx",IF(P299&gt;0,"xy",""))</f>
        <v/>
      </c>
      <c r="X300" s="586" t="str">
        <f t="shared" si="86"/>
        <v/>
      </c>
      <c r="Y300" s="586" t="str">
        <f t="shared" si="74"/>
        <v/>
      </c>
      <c r="Z300" s="586" t="str">
        <f t="shared" si="80"/>
        <v/>
      </c>
    </row>
    <row r="301" spans="1:26" ht="12" hidden="1" thickBot="1" x14ac:dyDescent="0.25">
      <c r="A301" s="671">
        <v>589000</v>
      </c>
      <c r="B301" s="704" t="s">
        <v>1767</v>
      </c>
      <c r="C301" s="689" t="s">
        <v>1746</v>
      </c>
      <c r="D301" s="712" t="s">
        <v>655</v>
      </c>
      <c r="E301" s="470"/>
      <c r="F301" s="478">
        <v>500</v>
      </c>
      <c r="G301" s="479">
        <v>1</v>
      </c>
      <c r="H301" s="663">
        <f>(0.84*F301+41.45)*G301</f>
        <v>461.45</v>
      </c>
      <c r="I301" s="472">
        <v>5725</v>
      </c>
      <c r="J301" s="472">
        <f>IF(ISBLANK(I301),"",I301*(1+$F$9)/(1+$F$10))+H301</f>
        <v>6016.3527859607784</v>
      </c>
      <c r="K301" s="690">
        <f t="shared" si="70"/>
        <v>7148.03</v>
      </c>
      <c r="L301" s="691" t="s">
        <v>20</v>
      </c>
      <c r="M301" s="692">
        <f>ROUND(M299*G299,2)</f>
        <v>0</v>
      </c>
      <c r="N301" s="588">
        <f t="shared" si="76"/>
        <v>0</v>
      </c>
      <c r="O301" s="693">
        <f t="shared" si="82"/>
        <v>0</v>
      </c>
      <c r="P301" s="694">
        <f t="shared" si="83"/>
        <v>0</v>
      </c>
      <c r="Q301" s="765"/>
      <c r="R301" s="695">
        <f>ROUND(R299*G299,2)</f>
        <v>0</v>
      </c>
      <c r="S301" s="711">
        <f>N301</f>
        <v>0</v>
      </c>
      <c r="T301" s="693">
        <f t="shared" si="84"/>
        <v>0</v>
      </c>
      <c r="U301" s="694">
        <f t="shared" si="85"/>
        <v>0</v>
      </c>
      <c r="V301" s="579"/>
      <c r="W301" s="637" t="str">
        <f>IF(U299&gt;0,"xx",IF(P299&gt;0,"xy",""))</f>
        <v/>
      </c>
      <c r="X301" s="586" t="str">
        <f t="shared" si="86"/>
        <v/>
      </c>
      <c r="Y301" s="586" t="str">
        <f t="shared" si="74"/>
        <v/>
      </c>
      <c r="Z301" s="586" t="str">
        <f t="shared" si="80"/>
        <v/>
      </c>
    </row>
    <row r="302" spans="1:26" ht="12" hidden="1" thickBot="1" x14ac:dyDescent="0.25">
      <c r="A302" s="671">
        <v>563100</v>
      </c>
      <c r="B302" s="701" t="s">
        <v>1634</v>
      </c>
      <c r="C302" s="702" t="s">
        <v>206</v>
      </c>
      <c r="D302" s="484" t="s">
        <v>261</v>
      </c>
      <c r="E302" s="464"/>
      <c r="F302" s="465" t="s">
        <v>661</v>
      </c>
      <c r="G302" s="466">
        <v>5.0000000000000001E-4</v>
      </c>
      <c r="H302" s="681">
        <f>SUM(H303:H303)</f>
        <v>0.16856000000000002</v>
      </c>
      <c r="I302" s="467">
        <v>1.25</v>
      </c>
      <c r="J302" s="467">
        <f>IF(ISBLANK(I302),"",SUM(H302:I302))</f>
        <v>1.41856</v>
      </c>
      <c r="K302" s="682">
        <f t="shared" si="70"/>
        <v>1.69</v>
      </c>
      <c r="L302" s="683" t="s">
        <v>18</v>
      </c>
      <c r="M302" s="685"/>
      <c r="N302" s="686">
        <f t="shared" si="76"/>
        <v>0</v>
      </c>
      <c r="O302" s="687">
        <f t="shared" si="82"/>
        <v>0</v>
      </c>
      <c r="P302" s="688">
        <f t="shared" si="83"/>
        <v>0</v>
      </c>
      <c r="Q302" s="765"/>
      <c r="R302" s="685">
        <f>M302</f>
        <v>0</v>
      </c>
      <c r="S302" s="686">
        <f>N302</f>
        <v>0</v>
      </c>
      <c r="T302" s="687">
        <f t="shared" si="84"/>
        <v>0</v>
      </c>
      <c r="U302" s="688">
        <f t="shared" si="85"/>
        <v>0</v>
      </c>
      <c r="V302" s="579"/>
      <c r="W302" s="566"/>
      <c r="X302" s="586" t="str">
        <f t="shared" si="86"/>
        <v/>
      </c>
      <c r="Y302" s="586" t="str">
        <f t="shared" si="74"/>
        <v/>
      </c>
      <c r="Z302" s="586" t="str">
        <f t="shared" si="80"/>
        <v/>
      </c>
    </row>
    <row r="303" spans="1:26" ht="12" hidden="1" thickBot="1" x14ac:dyDescent="0.25">
      <c r="A303" s="671" t="s">
        <v>168</v>
      </c>
      <c r="B303" s="644" t="s">
        <v>168</v>
      </c>
      <c r="C303" s="645"/>
      <c r="D303" s="713" t="s">
        <v>252</v>
      </c>
      <c r="E303" s="423"/>
      <c r="F303" s="418">
        <v>20</v>
      </c>
      <c r="G303" s="425">
        <v>7.0000000000000001E-3</v>
      </c>
      <c r="H303" s="663">
        <f t="shared" ref="H303" si="91">IF(F303&lt;=30,(1.07*F303+2.68)*G303,((1.07*30+2.68)+1.07*(F303-30))*G303)</f>
        <v>0.16856000000000002</v>
      </c>
      <c r="I303" s="420">
        <v>0</v>
      </c>
      <c r="J303" s="420"/>
      <c r="K303" s="421">
        <f t="shared" si="70"/>
        <v>0</v>
      </c>
      <c r="L303" s="647" t="s">
        <v>614</v>
      </c>
      <c r="M303" s="703"/>
      <c r="N303" s="576">
        <f t="shared" si="76"/>
        <v>0</v>
      </c>
      <c r="O303" s="577">
        <f t="shared" si="82"/>
        <v>0</v>
      </c>
      <c r="P303" s="578">
        <f t="shared" si="83"/>
        <v>0</v>
      </c>
      <c r="Q303" s="765"/>
      <c r="R303" s="703"/>
      <c r="S303" s="670"/>
      <c r="T303" s="577">
        <f t="shared" si="84"/>
        <v>0</v>
      </c>
      <c r="U303" s="578">
        <f t="shared" si="85"/>
        <v>0</v>
      </c>
      <c r="V303" s="579"/>
      <c r="W303" s="637" t="str">
        <f>IF(U302&gt;0,"xx",IF(P302&gt;0,"xy",""))</f>
        <v/>
      </c>
      <c r="X303" s="586" t="str">
        <f t="shared" si="86"/>
        <v/>
      </c>
      <c r="Y303" s="586" t="str">
        <f t="shared" si="74"/>
        <v/>
      </c>
      <c r="Z303" s="586" t="str">
        <f t="shared" si="80"/>
        <v/>
      </c>
    </row>
    <row r="304" spans="1:26" ht="12" hidden="1" thickBot="1" x14ac:dyDescent="0.25">
      <c r="A304" s="671">
        <v>589520</v>
      </c>
      <c r="B304" s="704" t="s">
        <v>1768</v>
      </c>
      <c r="C304" s="689" t="s">
        <v>1746</v>
      </c>
      <c r="D304" s="477" t="s">
        <v>656</v>
      </c>
      <c r="E304" s="470"/>
      <c r="F304" s="478">
        <v>500</v>
      </c>
      <c r="G304" s="479">
        <v>1</v>
      </c>
      <c r="H304" s="663">
        <f>(0.84*F304+41.45)*G304</f>
        <v>461.45</v>
      </c>
      <c r="I304" s="472">
        <v>4168</v>
      </c>
      <c r="J304" s="472">
        <f>IF(ISBLANK(I304),"",I304*(1+$F$9)/(1+$F$10))+H304</f>
        <v>4505.6132859186937</v>
      </c>
      <c r="K304" s="690">
        <f t="shared" si="70"/>
        <v>5353.12</v>
      </c>
      <c r="L304" s="691" t="s">
        <v>20</v>
      </c>
      <c r="M304" s="692">
        <f>ROUND(M302*G302,2)</f>
        <v>0</v>
      </c>
      <c r="N304" s="696">
        <f t="shared" si="76"/>
        <v>0</v>
      </c>
      <c r="O304" s="693">
        <f t="shared" si="82"/>
        <v>0</v>
      </c>
      <c r="P304" s="694">
        <f t="shared" si="83"/>
        <v>0</v>
      </c>
      <c r="Q304" s="765"/>
      <c r="R304" s="695">
        <f>ROUND(R302*G302,2)</f>
        <v>0</v>
      </c>
      <c r="S304" s="711">
        <f>N304</f>
        <v>0</v>
      </c>
      <c r="T304" s="693">
        <f t="shared" si="84"/>
        <v>0</v>
      </c>
      <c r="U304" s="694">
        <f t="shared" si="85"/>
        <v>0</v>
      </c>
      <c r="V304" s="579"/>
      <c r="W304" s="637" t="str">
        <f>IF(U302&gt;0,"xx",IF(P302&gt;0,"xy",""))</f>
        <v/>
      </c>
      <c r="X304" s="586" t="str">
        <f t="shared" si="86"/>
        <v/>
      </c>
      <c r="Y304" s="586" t="str">
        <f t="shared" si="74"/>
        <v/>
      </c>
      <c r="Z304" s="586" t="str">
        <f t="shared" si="80"/>
        <v/>
      </c>
    </row>
    <row r="305" spans="1:26" ht="12" hidden="1" thickBot="1" x14ac:dyDescent="0.25">
      <c r="A305" s="671">
        <v>534000</v>
      </c>
      <c r="B305" s="701" t="s">
        <v>672</v>
      </c>
      <c r="C305" s="702" t="s">
        <v>206</v>
      </c>
      <c r="D305" s="463" t="s">
        <v>1912</v>
      </c>
      <c r="E305" s="464"/>
      <c r="F305" s="465" t="s">
        <v>663</v>
      </c>
      <c r="G305" s="466">
        <v>0.08</v>
      </c>
      <c r="H305" s="681">
        <f>SUM(H306:H309)</f>
        <v>65.029280000000014</v>
      </c>
      <c r="I305" s="467">
        <v>138.26</v>
      </c>
      <c r="J305" s="467">
        <f>IF(ISBLANK(I305),"",SUM(H305:I305))</f>
        <v>203.28928000000002</v>
      </c>
      <c r="K305" s="682">
        <f t="shared" si="70"/>
        <v>241.53</v>
      </c>
      <c r="L305" s="683" t="s">
        <v>16</v>
      </c>
      <c r="M305" s="685"/>
      <c r="N305" s="576">
        <f t="shared" si="76"/>
        <v>0</v>
      </c>
      <c r="O305" s="687">
        <f t="shared" si="82"/>
        <v>0</v>
      </c>
      <c r="P305" s="688">
        <f t="shared" si="83"/>
        <v>0</v>
      </c>
      <c r="Q305" s="765"/>
      <c r="R305" s="685">
        <f>M305</f>
        <v>0</v>
      </c>
      <c r="S305" s="686">
        <f>N305</f>
        <v>0</v>
      </c>
      <c r="T305" s="687">
        <f t="shared" si="84"/>
        <v>0</v>
      </c>
      <c r="U305" s="688">
        <f t="shared" si="85"/>
        <v>0</v>
      </c>
      <c r="V305" s="579"/>
      <c r="W305" s="566"/>
      <c r="X305" s="586" t="str">
        <f t="shared" si="86"/>
        <v/>
      </c>
      <c r="Y305" s="586" t="str">
        <f t="shared" si="74"/>
        <v/>
      </c>
      <c r="Z305" s="586" t="str">
        <f t="shared" si="80"/>
        <v/>
      </c>
    </row>
    <row r="306" spans="1:26" ht="12" hidden="1" thickBot="1" x14ac:dyDescent="0.25">
      <c r="A306" s="671" t="s">
        <v>168</v>
      </c>
      <c r="B306" s="644" t="s">
        <v>168</v>
      </c>
      <c r="C306" s="645"/>
      <c r="D306" s="451" t="s">
        <v>248</v>
      </c>
      <c r="E306" s="423"/>
      <c r="F306" s="424">
        <v>180</v>
      </c>
      <c r="G306" s="425"/>
      <c r="H306" s="663">
        <f t="shared" ref="H306:H308" si="92">IF(F306&lt;=30,(1.07*F306+2.68)*G306,((1.07*30+2.68)+1.07*(F306-30))*G306)</f>
        <v>0</v>
      </c>
      <c r="I306" s="420">
        <v>0</v>
      </c>
      <c r="J306" s="420">
        <f>IF(ISBLANK(I306),"",SUM(H306:I306))</f>
        <v>0</v>
      </c>
      <c r="K306" s="421">
        <f t="shared" si="70"/>
        <v>0</v>
      </c>
      <c r="L306" s="647" t="s">
        <v>614</v>
      </c>
      <c r="M306" s="703"/>
      <c r="N306" s="576">
        <f t="shared" si="76"/>
        <v>0</v>
      </c>
      <c r="O306" s="577">
        <f t="shared" si="82"/>
        <v>0</v>
      </c>
      <c r="P306" s="578">
        <f t="shared" si="83"/>
        <v>0</v>
      </c>
      <c r="Q306" s="765"/>
      <c r="R306" s="703"/>
      <c r="S306" s="670"/>
      <c r="T306" s="577">
        <f t="shared" si="84"/>
        <v>0</v>
      </c>
      <c r="U306" s="578">
        <f t="shared" si="85"/>
        <v>0</v>
      </c>
      <c r="V306" s="579"/>
      <c r="W306" s="637" t="str">
        <f>IF(U305&gt;0,"xx",IF(P305&gt;0,"xy",""))</f>
        <v/>
      </c>
      <c r="X306" s="586" t="str">
        <f t="shared" si="86"/>
        <v/>
      </c>
      <c r="Y306" s="586" t="str">
        <f t="shared" si="74"/>
        <v/>
      </c>
      <c r="Z306" s="586" t="str">
        <f t="shared" si="80"/>
        <v/>
      </c>
    </row>
    <row r="307" spans="1:26" ht="12" hidden="1" thickBot="1" x14ac:dyDescent="0.25">
      <c r="A307" s="671" t="s">
        <v>168</v>
      </c>
      <c r="B307" s="644" t="s">
        <v>168</v>
      </c>
      <c r="C307" s="645"/>
      <c r="D307" s="451" t="s">
        <v>249</v>
      </c>
      <c r="E307" s="423"/>
      <c r="F307" s="424">
        <v>500</v>
      </c>
      <c r="G307" s="425"/>
      <c r="H307" s="649">
        <f>IF(F307&lt;=30,(0.78*F307+7.82)*G307,((0.78*30+7.82)+0.78*(F307-30))*G307)</f>
        <v>0</v>
      </c>
      <c r="I307" s="420">
        <v>0</v>
      </c>
      <c r="J307" s="420">
        <f>IF(ISBLANK(I307),"",SUM(H307:I307))</f>
        <v>0</v>
      </c>
      <c r="K307" s="421">
        <f t="shared" si="70"/>
        <v>0</v>
      </c>
      <c r="L307" s="647" t="s">
        <v>614</v>
      </c>
      <c r="M307" s="703"/>
      <c r="N307" s="576">
        <f t="shared" si="76"/>
        <v>0</v>
      </c>
      <c r="O307" s="577">
        <f t="shared" si="82"/>
        <v>0</v>
      </c>
      <c r="P307" s="578">
        <f t="shared" si="83"/>
        <v>0</v>
      </c>
      <c r="Q307" s="765"/>
      <c r="R307" s="703"/>
      <c r="S307" s="670"/>
      <c r="T307" s="577">
        <f t="shared" si="84"/>
        <v>0</v>
      </c>
      <c r="U307" s="578">
        <f t="shared" si="85"/>
        <v>0</v>
      </c>
      <c r="V307" s="579"/>
      <c r="W307" s="637" t="str">
        <f>IF(U305&gt;0,"xx",IF(P305&gt;0,"xy",""))</f>
        <v/>
      </c>
      <c r="X307" s="586" t="str">
        <f>IF(W307="X","x",IF(W307="xx","x",IF(W307="xy","x",IF(W307="y","x",IF(OR(P307&gt;0,U307&gt;0),"x","")))))</f>
        <v/>
      </c>
      <c r="Y307" s="586" t="str">
        <f>IF(W307="X","x",IF(W307="y","x",IF(W307="xx","x",IF(U307&gt;0,"x",""))))</f>
        <v/>
      </c>
      <c r="Z307" s="586" t="str">
        <f>IF(W307="X","x",IF(U307&gt;0,"x",""))</f>
        <v/>
      </c>
    </row>
    <row r="308" spans="1:26" ht="12" hidden="1" thickBot="1" x14ac:dyDescent="0.25">
      <c r="A308" s="671" t="s">
        <v>168</v>
      </c>
      <c r="B308" s="644" t="s">
        <v>168</v>
      </c>
      <c r="C308" s="645"/>
      <c r="D308" s="451" t="s">
        <v>262</v>
      </c>
      <c r="E308" s="423"/>
      <c r="F308" s="424">
        <v>0.2</v>
      </c>
      <c r="G308" s="425">
        <v>2.12</v>
      </c>
      <c r="H308" s="663">
        <f t="shared" si="92"/>
        <v>6.1352800000000007</v>
      </c>
      <c r="I308" s="420">
        <v>0</v>
      </c>
      <c r="J308" s="420"/>
      <c r="K308" s="421">
        <f t="shared" si="70"/>
        <v>0</v>
      </c>
      <c r="L308" s="647" t="s">
        <v>614</v>
      </c>
      <c r="M308" s="703"/>
      <c r="N308" s="576">
        <f t="shared" si="76"/>
        <v>0</v>
      </c>
      <c r="O308" s="577">
        <f t="shared" si="82"/>
        <v>0</v>
      </c>
      <c r="P308" s="578">
        <f t="shared" si="83"/>
        <v>0</v>
      </c>
      <c r="Q308" s="765"/>
      <c r="R308" s="703"/>
      <c r="S308" s="670"/>
      <c r="T308" s="577">
        <f t="shared" si="84"/>
        <v>0</v>
      </c>
      <c r="U308" s="578">
        <f t="shared" si="85"/>
        <v>0</v>
      </c>
      <c r="V308" s="579"/>
      <c r="W308" s="637" t="str">
        <f>IF(U305&gt;0,"xx",IF(P305&gt;0,"xy",""))</f>
        <v/>
      </c>
      <c r="X308" s="586" t="str">
        <f>IF(W308="X","x",IF(W308="xx","x",IF(W308="xy","x",IF(W308="y","x",IF(OR(P308&gt;0,U308&gt;0),"x","")))))</f>
        <v/>
      </c>
      <c r="Y308" s="586" t="str">
        <f>IF(W308="X","x",IF(W308="y","x",IF(W308="xx","x",IF(U308&gt;0,"x",""))))</f>
        <v/>
      </c>
      <c r="Z308" s="586" t="str">
        <f>IF(W308="X","x",IF(U308&gt;0,"x",""))</f>
        <v/>
      </c>
    </row>
    <row r="309" spans="1:26" ht="12" hidden="1" thickBot="1" x14ac:dyDescent="0.25">
      <c r="A309" s="671" t="s">
        <v>168</v>
      </c>
      <c r="B309" s="644" t="s">
        <v>168</v>
      </c>
      <c r="C309" s="645"/>
      <c r="D309" s="451" t="s">
        <v>263</v>
      </c>
      <c r="E309" s="423"/>
      <c r="F309" s="424">
        <v>20</v>
      </c>
      <c r="G309" s="425">
        <f>SUM(G305:G308)</f>
        <v>2.2000000000000002</v>
      </c>
      <c r="H309" s="651">
        <f>IF(F309&lt;=30,(1.07*F309+5.37)*G309,((1.07*30+5.37)+1.07*(F309-30))*G309)</f>
        <v>58.894000000000013</v>
      </c>
      <c r="I309" s="420">
        <v>0</v>
      </c>
      <c r="J309" s="420"/>
      <c r="K309" s="421">
        <f t="shared" si="70"/>
        <v>0</v>
      </c>
      <c r="L309" s="647" t="s">
        <v>614</v>
      </c>
      <c r="M309" s="703"/>
      <c r="N309" s="576">
        <f t="shared" si="76"/>
        <v>0</v>
      </c>
      <c r="O309" s="577">
        <f t="shared" si="82"/>
        <v>0</v>
      </c>
      <c r="P309" s="578">
        <f t="shared" si="83"/>
        <v>0</v>
      </c>
      <c r="Q309" s="765"/>
      <c r="R309" s="703"/>
      <c r="S309" s="670"/>
      <c r="T309" s="577">
        <f t="shared" si="84"/>
        <v>0</v>
      </c>
      <c r="U309" s="578">
        <f t="shared" si="85"/>
        <v>0</v>
      </c>
      <c r="V309" s="579"/>
      <c r="W309" s="637" t="str">
        <f>IF(U305&gt;0,"xx",IF(P305&gt;0,"xy",""))</f>
        <v/>
      </c>
      <c r="X309" s="586" t="str">
        <f t="shared" si="86"/>
        <v/>
      </c>
      <c r="Y309" s="586" t="str">
        <f t="shared" si="74"/>
        <v/>
      </c>
      <c r="Z309" s="586" t="str">
        <f t="shared" si="80"/>
        <v/>
      </c>
    </row>
    <row r="310" spans="1:26" ht="12" hidden="1" thickBot="1" x14ac:dyDescent="0.25">
      <c r="A310" s="671">
        <v>589320</v>
      </c>
      <c r="B310" s="704" t="s">
        <v>1769</v>
      </c>
      <c r="C310" s="689" t="s">
        <v>1746</v>
      </c>
      <c r="D310" s="477" t="s">
        <v>812</v>
      </c>
      <c r="E310" s="470"/>
      <c r="F310" s="478">
        <v>500</v>
      </c>
      <c r="G310" s="479">
        <v>1</v>
      </c>
      <c r="H310" s="663">
        <f>(0.84*F310+41.45)*G310</f>
        <v>461.45</v>
      </c>
      <c r="I310" s="472">
        <v>4680</v>
      </c>
      <c r="J310" s="472">
        <f>IF(ISBLANK(I310),"",I310*(1+$F$9)/(1+$F$10))+H310</f>
        <v>5002.4010983923918</v>
      </c>
      <c r="K310" s="690">
        <f t="shared" si="70"/>
        <v>5943.35</v>
      </c>
      <c r="L310" s="691" t="s">
        <v>20</v>
      </c>
      <c r="M310" s="692">
        <f>ROUND(M305*G305,2)</f>
        <v>0</v>
      </c>
      <c r="N310" s="799">
        <f t="shared" si="76"/>
        <v>0</v>
      </c>
      <c r="O310" s="693">
        <f t="shared" si="82"/>
        <v>0</v>
      </c>
      <c r="P310" s="694">
        <f t="shared" si="83"/>
        <v>0</v>
      </c>
      <c r="Q310" s="765"/>
      <c r="R310" s="695">
        <f>ROUND(R305*G305,2)</f>
        <v>0</v>
      </c>
      <c r="S310" s="711">
        <f>N310</f>
        <v>0</v>
      </c>
      <c r="T310" s="693">
        <f t="shared" si="84"/>
        <v>0</v>
      </c>
      <c r="U310" s="694">
        <f t="shared" si="85"/>
        <v>0</v>
      </c>
      <c r="V310" s="579"/>
      <c r="W310" s="637" t="str">
        <f>IF(U305&gt;0,"xx",IF(P305&gt;0,"xy",""))</f>
        <v/>
      </c>
      <c r="X310" s="586" t="str">
        <f t="shared" si="86"/>
        <v/>
      </c>
      <c r="Y310" s="586" t="str">
        <f t="shared" si="74"/>
        <v/>
      </c>
      <c r="Z310" s="586" t="str">
        <f t="shared" si="80"/>
        <v/>
      </c>
    </row>
    <row r="311" spans="1:26" ht="12" hidden="1" thickBot="1" x14ac:dyDescent="0.25">
      <c r="A311" s="671">
        <v>534000</v>
      </c>
      <c r="B311" s="701" t="s">
        <v>673</v>
      </c>
      <c r="C311" s="702" t="s">
        <v>206</v>
      </c>
      <c r="D311" s="463" t="s">
        <v>1913</v>
      </c>
      <c r="E311" s="464"/>
      <c r="F311" s="465" t="s">
        <v>663</v>
      </c>
      <c r="G311" s="466">
        <v>0.08</v>
      </c>
      <c r="H311" s="681">
        <f>SUM(H312:H315)</f>
        <v>65.029280000000014</v>
      </c>
      <c r="I311" s="467">
        <v>138.26</v>
      </c>
      <c r="J311" s="467">
        <f>IF(ISBLANK(I311),"",SUM(H311:I311))</f>
        <v>203.28928000000002</v>
      </c>
      <c r="K311" s="682">
        <f t="shared" si="70"/>
        <v>241.53</v>
      </c>
      <c r="L311" s="683" t="s">
        <v>16</v>
      </c>
      <c r="M311" s="685"/>
      <c r="N311" s="576">
        <f t="shared" si="76"/>
        <v>0</v>
      </c>
      <c r="O311" s="687">
        <f t="shared" si="82"/>
        <v>0</v>
      </c>
      <c r="P311" s="688">
        <f t="shared" si="83"/>
        <v>0</v>
      </c>
      <c r="Q311" s="765"/>
      <c r="R311" s="685">
        <f>M311</f>
        <v>0</v>
      </c>
      <c r="S311" s="686">
        <f>N311</f>
        <v>0</v>
      </c>
      <c r="T311" s="687">
        <f t="shared" si="84"/>
        <v>0</v>
      </c>
      <c r="U311" s="688">
        <f t="shared" si="85"/>
        <v>0</v>
      </c>
      <c r="V311" s="579"/>
      <c r="W311" s="566"/>
      <c r="X311" s="586" t="str">
        <f t="shared" si="86"/>
        <v/>
      </c>
      <c r="Y311" s="586" t="str">
        <f t="shared" si="74"/>
        <v/>
      </c>
      <c r="Z311" s="586" t="str">
        <f t="shared" si="80"/>
        <v/>
      </c>
    </row>
    <row r="312" spans="1:26" ht="12" hidden="1" thickBot="1" x14ac:dyDescent="0.25">
      <c r="A312" s="671" t="s">
        <v>168</v>
      </c>
      <c r="B312" s="644" t="s">
        <v>168</v>
      </c>
      <c r="C312" s="645"/>
      <c r="D312" s="451" t="s">
        <v>248</v>
      </c>
      <c r="E312" s="423"/>
      <c r="F312" s="424">
        <v>180</v>
      </c>
      <c r="G312" s="425"/>
      <c r="H312" s="663">
        <f t="shared" ref="H312:H314" si="93">IF(F312&lt;=30,(1.07*F312+2.68)*G312,((1.07*30+2.68)+1.07*(F312-30))*G312)</f>
        <v>0</v>
      </c>
      <c r="I312" s="420">
        <v>0</v>
      </c>
      <c r="J312" s="420">
        <f>IF(ISBLANK(I312),"",SUM(H312:I312))</f>
        <v>0</v>
      </c>
      <c r="K312" s="421">
        <f t="shared" si="70"/>
        <v>0</v>
      </c>
      <c r="L312" s="647" t="s">
        <v>614</v>
      </c>
      <c r="M312" s="703"/>
      <c r="N312" s="576">
        <f t="shared" si="76"/>
        <v>0</v>
      </c>
      <c r="O312" s="577">
        <f t="shared" si="82"/>
        <v>0</v>
      </c>
      <c r="P312" s="578">
        <f t="shared" si="83"/>
        <v>0</v>
      </c>
      <c r="Q312" s="765"/>
      <c r="R312" s="703"/>
      <c r="S312" s="670"/>
      <c r="T312" s="577">
        <f t="shared" si="84"/>
        <v>0</v>
      </c>
      <c r="U312" s="578">
        <f t="shared" si="85"/>
        <v>0</v>
      </c>
      <c r="V312" s="579"/>
      <c r="W312" s="637" t="str">
        <f>IF(U311&gt;0,"xx",IF(P311&gt;0,"xy",""))</f>
        <v/>
      </c>
      <c r="X312" s="586" t="str">
        <f t="shared" si="86"/>
        <v/>
      </c>
      <c r="Y312" s="586" t="str">
        <f t="shared" si="74"/>
        <v/>
      </c>
      <c r="Z312" s="586" t="str">
        <f t="shared" si="80"/>
        <v/>
      </c>
    </row>
    <row r="313" spans="1:26" ht="12" hidden="1" thickBot="1" x14ac:dyDescent="0.25">
      <c r="A313" s="671" t="s">
        <v>168</v>
      </c>
      <c r="B313" s="644" t="s">
        <v>168</v>
      </c>
      <c r="C313" s="645"/>
      <c r="D313" s="451" t="s">
        <v>249</v>
      </c>
      <c r="E313" s="423"/>
      <c r="F313" s="424">
        <v>500</v>
      </c>
      <c r="G313" s="425"/>
      <c r="H313" s="649">
        <f>IF(F313&lt;=30,(0.78*F313+7.82)*G313,((0.78*30+7.82)+0.78*(F313-30))*G313)</f>
        <v>0</v>
      </c>
      <c r="I313" s="420">
        <v>0</v>
      </c>
      <c r="J313" s="420">
        <f>IF(ISBLANK(I313),"",SUM(H313:I313))</f>
        <v>0</v>
      </c>
      <c r="K313" s="421">
        <f t="shared" si="70"/>
        <v>0</v>
      </c>
      <c r="L313" s="647" t="s">
        <v>614</v>
      </c>
      <c r="M313" s="703"/>
      <c r="N313" s="576">
        <f t="shared" si="76"/>
        <v>0</v>
      </c>
      <c r="O313" s="577">
        <f t="shared" si="82"/>
        <v>0</v>
      </c>
      <c r="P313" s="578">
        <f t="shared" si="83"/>
        <v>0</v>
      </c>
      <c r="Q313" s="765"/>
      <c r="R313" s="703"/>
      <c r="S313" s="670"/>
      <c r="T313" s="577">
        <f t="shared" si="84"/>
        <v>0</v>
      </c>
      <c r="U313" s="578">
        <f t="shared" si="85"/>
        <v>0</v>
      </c>
      <c r="V313" s="579"/>
      <c r="W313" s="637" t="str">
        <f>IF(U311&gt;0,"xx",IF(P311&gt;0,"xy",""))</f>
        <v/>
      </c>
      <c r="X313" s="586" t="str">
        <f>IF(W313="X","x",IF(W313="xx","x",IF(W313="xy","x",IF(W313="y","x",IF(OR(P313&gt;0,U313&gt;0),"x","")))))</f>
        <v/>
      </c>
      <c r="Y313" s="586" t="str">
        <f>IF(W313="X","x",IF(W313="y","x",IF(W313="xx","x",IF(U313&gt;0,"x",""))))</f>
        <v/>
      </c>
      <c r="Z313" s="586" t="str">
        <f>IF(W313="X","x",IF(U313&gt;0,"x",""))</f>
        <v/>
      </c>
    </row>
    <row r="314" spans="1:26" ht="12" hidden="1" thickBot="1" x14ac:dyDescent="0.25">
      <c r="A314" s="671" t="s">
        <v>168</v>
      </c>
      <c r="B314" s="644" t="s">
        <v>168</v>
      </c>
      <c r="C314" s="645"/>
      <c r="D314" s="451" t="s">
        <v>262</v>
      </c>
      <c r="E314" s="423"/>
      <c r="F314" s="424">
        <v>0.2</v>
      </c>
      <c r="G314" s="425">
        <v>2.12</v>
      </c>
      <c r="H314" s="663">
        <f t="shared" si="93"/>
        <v>6.1352800000000007</v>
      </c>
      <c r="I314" s="420">
        <v>0</v>
      </c>
      <c r="J314" s="420"/>
      <c r="K314" s="421">
        <f t="shared" si="70"/>
        <v>0</v>
      </c>
      <c r="L314" s="647" t="s">
        <v>614</v>
      </c>
      <c r="M314" s="703"/>
      <c r="N314" s="576">
        <f t="shared" si="76"/>
        <v>0</v>
      </c>
      <c r="O314" s="577">
        <f t="shared" si="82"/>
        <v>0</v>
      </c>
      <c r="P314" s="578">
        <f t="shared" si="83"/>
        <v>0</v>
      </c>
      <c r="Q314" s="765"/>
      <c r="R314" s="703"/>
      <c r="S314" s="670"/>
      <c r="T314" s="577">
        <f t="shared" si="84"/>
        <v>0</v>
      </c>
      <c r="U314" s="578">
        <f t="shared" si="85"/>
        <v>0</v>
      </c>
      <c r="V314" s="579"/>
      <c r="W314" s="637" t="str">
        <f>IF(U311&gt;0,"xx",IF(P311&gt;0,"xy",""))</f>
        <v/>
      </c>
      <c r="X314" s="586" t="str">
        <f>IF(W314="X","x",IF(W314="xx","x",IF(W314="xy","x",IF(W314="y","x",IF(OR(P314&gt;0,U314&gt;0),"x","")))))</f>
        <v/>
      </c>
      <c r="Y314" s="586" t="str">
        <f>IF(W314="X","x",IF(W314="y","x",IF(W314="xx","x",IF(U314&gt;0,"x",""))))</f>
        <v/>
      </c>
      <c r="Z314" s="586" t="str">
        <f>IF(W314="X","x",IF(U314&gt;0,"x",""))</f>
        <v/>
      </c>
    </row>
    <row r="315" spans="1:26" ht="12" hidden="1" thickBot="1" x14ac:dyDescent="0.25">
      <c r="A315" s="671" t="s">
        <v>168</v>
      </c>
      <c r="B315" s="644" t="s">
        <v>168</v>
      </c>
      <c r="C315" s="645"/>
      <c r="D315" s="451" t="s">
        <v>263</v>
      </c>
      <c r="E315" s="423"/>
      <c r="F315" s="424">
        <v>20</v>
      </c>
      <c r="G315" s="425">
        <f>SUM(G311:G314)</f>
        <v>2.2000000000000002</v>
      </c>
      <c r="H315" s="651">
        <f>IF(F315&lt;=30,(1.07*F315+5.37)*G315,((1.07*30+5.37)+1.07*(F315-30))*G315)</f>
        <v>58.894000000000013</v>
      </c>
      <c r="I315" s="420">
        <v>0</v>
      </c>
      <c r="J315" s="420"/>
      <c r="K315" s="421">
        <f t="shared" ref="K315:K378" si="94">IF(ISBLANK(I315),0,ROUND(J315*(1+$F$10)*(1+$F$11*E315),2))</f>
        <v>0</v>
      </c>
      <c r="L315" s="647" t="s">
        <v>614</v>
      </c>
      <c r="M315" s="703"/>
      <c r="N315" s="576">
        <f t="shared" si="76"/>
        <v>0</v>
      </c>
      <c r="O315" s="577">
        <f t="shared" si="82"/>
        <v>0</v>
      </c>
      <c r="P315" s="578">
        <f t="shared" si="83"/>
        <v>0</v>
      </c>
      <c r="Q315" s="765"/>
      <c r="R315" s="703"/>
      <c r="S315" s="670"/>
      <c r="T315" s="577">
        <f t="shared" si="84"/>
        <v>0</v>
      </c>
      <c r="U315" s="578">
        <f t="shared" si="85"/>
        <v>0</v>
      </c>
      <c r="V315" s="579"/>
      <c r="W315" s="637" t="str">
        <f>IF(U311&gt;0,"xx",IF(P311&gt;0,"xy",""))</f>
        <v/>
      </c>
      <c r="X315" s="586" t="str">
        <f t="shared" si="86"/>
        <v/>
      </c>
      <c r="Y315" s="586" t="str">
        <f t="shared" si="74"/>
        <v/>
      </c>
      <c r="Z315" s="586" t="str">
        <f t="shared" si="80"/>
        <v/>
      </c>
    </row>
    <row r="316" spans="1:26" ht="12" hidden="1" thickBot="1" x14ac:dyDescent="0.25">
      <c r="A316" s="671">
        <v>589320</v>
      </c>
      <c r="B316" s="704" t="s">
        <v>1770</v>
      </c>
      <c r="C316" s="689" t="s">
        <v>1746</v>
      </c>
      <c r="D316" s="477" t="s">
        <v>812</v>
      </c>
      <c r="E316" s="470"/>
      <c r="F316" s="478">
        <v>500</v>
      </c>
      <c r="G316" s="479">
        <v>1</v>
      </c>
      <c r="H316" s="663">
        <f>(0.84*F316+41.45)*G316</f>
        <v>461.45</v>
      </c>
      <c r="I316" s="472">
        <v>4680</v>
      </c>
      <c r="J316" s="472">
        <f>IF(ISBLANK(I316),"",I316*(1+$F$9)/(1+$F$10))+H316</f>
        <v>5002.4010983923918</v>
      </c>
      <c r="K316" s="690">
        <f t="shared" si="94"/>
        <v>5943.35</v>
      </c>
      <c r="L316" s="691" t="s">
        <v>20</v>
      </c>
      <c r="M316" s="692">
        <f>ROUND(M311*G311,2)</f>
        <v>0</v>
      </c>
      <c r="N316" s="588">
        <f t="shared" si="76"/>
        <v>0</v>
      </c>
      <c r="O316" s="693">
        <f>IF(ISBLANK(M316),0,ROUND(K316*M316,2))</f>
        <v>0</v>
      </c>
      <c r="P316" s="694">
        <f>IF(ISBLANK(N316),0,ROUND(M316*N316,2))</f>
        <v>0</v>
      </c>
      <c r="Q316" s="765"/>
      <c r="R316" s="695">
        <f>ROUND(R311*G311,2)</f>
        <v>0</v>
      </c>
      <c r="S316" s="711">
        <f>N316</f>
        <v>0</v>
      </c>
      <c r="T316" s="693">
        <f t="shared" si="84"/>
        <v>0</v>
      </c>
      <c r="U316" s="694">
        <f t="shared" si="85"/>
        <v>0</v>
      </c>
      <c r="V316" s="579"/>
      <c r="W316" s="637" t="str">
        <f>IF(U311&gt;0,"xx",IF(P311&gt;0,"xy",""))</f>
        <v/>
      </c>
      <c r="X316" s="586" t="str">
        <f t="shared" si="86"/>
        <v/>
      </c>
      <c r="Y316" s="586" t="str">
        <f t="shared" si="74"/>
        <v/>
      </c>
      <c r="Z316" s="586" t="str">
        <f t="shared" si="80"/>
        <v/>
      </c>
    </row>
    <row r="317" spans="1:26" ht="12" hidden="1" thickBot="1" x14ac:dyDescent="0.25">
      <c r="A317" s="671">
        <v>534000</v>
      </c>
      <c r="B317" s="701" t="s">
        <v>1576</v>
      </c>
      <c r="C317" s="702" t="s">
        <v>206</v>
      </c>
      <c r="D317" s="463" t="s">
        <v>1914</v>
      </c>
      <c r="E317" s="464"/>
      <c r="F317" s="465" t="s">
        <v>663</v>
      </c>
      <c r="G317" s="466">
        <v>0.08</v>
      </c>
      <c r="H317" s="681">
        <f>SUM(H318:H321)</f>
        <v>65.029280000000014</v>
      </c>
      <c r="I317" s="467">
        <v>138.26</v>
      </c>
      <c r="J317" s="467">
        <f>IF(ISBLANK(I317),"",SUM(H317:I317))</f>
        <v>203.28928000000002</v>
      </c>
      <c r="K317" s="682">
        <f t="shared" si="94"/>
        <v>241.53</v>
      </c>
      <c r="L317" s="683" t="s">
        <v>16</v>
      </c>
      <c r="M317" s="685"/>
      <c r="N317" s="686">
        <f t="shared" si="76"/>
        <v>0</v>
      </c>
      <c r="O317" s="687">
        <f t="shared" si="82"/>
        <v>0</v>
      </c>
      <c r="P317" s="688">
        <f t="shared" si="83"/>
        <v>0</v>
      </c>
      <c r="Q317" s="765"/>
      <c r="R317" s="685">
        <f>M317</f>
        <v>0</v>
      </c>
      <c r="S317" s="686">
        <f>N317</f>
        <v>0</v>
      </c>
      <c r="T317" s="687">
        <f t="shared" si="84"/>
        <v>0</v>
      </c>
      <c r="U317" s="688">
        <f t="shared" si="85"/>
        <v>0</v>
      </c>
      <c r="V317" s="579"/>
      <c r="W317" s="566"/>
      <c r="X317" s="586" t="str">
        <f t="shared" si="86"/>
        <v/>
      </c>
      <c r="Y317" s="586" t="str">
        <f t="shared" si="74"/>
        <v/>
      </c>
      <c r="Z317" s="586" t="str">
        <f t="shared" si="80"/>
        <v/>
      </c>
    </row>
    <row r="318" spans="1:26" ht="12" hidden="1" thickBot="1" x14ac:dyDescent="0.25">
      <c r="A318" s="671" t="s">
        <v>168</v>
      </c>
      <c r="B318" s="644" t="s">
        <v>168</v>
      </c>
      <c r="C318" s="645"/>
      <c r="D318" s="451" t="s">
        <v>248</v>
      </c>
      <c r="E318" s="423"/>
      <c r="F318" s="424">
        <v>180</v>
      </c>
      <c r="G318" s="425"/>
      <c r="H318" s="663">
        <f t="shared" ref="H318:H320" si="95">IF(F318&lt;=30,(1.07*F318+2.68)*G318,((1.07*30+2.68)+1.07*(F318-30))*G318)</f>
        <v>0</v>
      </c>
      <c r="I318" s="420">
        <v>0</v>
      </c>
      <c r="J318" s="420">
        <f>IF(ISBLANK(I318),"",SUM(H318:I318))</f>
        <v>0</v>
      </c>
      <c r="K318" s="421">
        <f t="shared" si="94"/>
        <v>0</v>
      </c>
      <c r="L318" s="647" t="s">
        <v>614</v>
      </c>
      <c r="M318" s="703"/>
      <c r="N318" s="576">
        <f t="shared" si="76"/>
        <v>0</v>
      </c>
      <c r="O318" s="577">
        <f t="shared" si="82"/>
        <v>0</v>
      </c>
      <c r="P318" s="578">
        <f t="shared" si="83"/>
        <v>0</v>
      </c>
      <c r="Q318" s="765"/>
      <c r="R318" s="703"/>
      <c r="S318" s="670"/>
      <c r="T318" s="577">
        <f t="shared" si="84"/>
        <v>0</v>
      </c>
      <c r="U318" s="578">
        <f t="shared" si="85"/>
        <v>0</v>
      </c>
      <c r="V318" s="579"/>
      <c r="W318" s="637" t="str">
        <f>IF(U317&gt;0,"xx",IF(P317&gt;0,"xy",""))</f>
        <v/>
      </c>
      <c r="X318" s="586" t="str">
        <f t="shared" si="86"/>
        <v/>
      </c>
      <c r="Y318" s="586" t="str">
        <f t="shared" si="74"/>
        <v/>
      </c>
      <c r="Z318" s="586" t="str">
        <f t="shared" si="80"/>
        <v/>
      </c>
    </row>
    <row r="319" spans="1:26" ht="12" hidden="1" thickBot="1" x14ac:dyDescent="0.25">
      <c r="A319" s="671" t="s">
        <v>168</v>
      </c>
      <c r="B319" s="644" t="s">
        <v>168</v>
      </c>
      <c r="C319" s="645"/>
      <c r="D319" s="451" t="s">
        <v>249</v>
      </c>
      <c r="E319" s="423"/>
      <c r="F319" s="424">
        <v>500</v>
      </c>
      <c r="G319" s="425"/>
      <c r="H319" s="649">
        <f>IF(F319&lt;=30,(0.78*F319+7.82)*G319,((0.78*30+7.82)+0.78*(F319-30))*G319)</f>
        <v>0</v>
      </c>
      <c r="I319" s="420">
        <v>0</v>
      </c>
      <c r="J319" s="420">
        <f>IF(ISBLANK(I319),"",SUM(H319:I319))</f>
        <v>0</v>
      </c>
      <c r="K319" s="421">
        <f t="shared" si="94"/>
        <v>0</v>
      </c>
      <c r="L319" s="647" t="s">
        <v>614</v>
      </c>
      <c r="M319" s="703"/>
      <c r="N319" s="576">
        <f t="shared" si="76"/>
        <v>0</v>
      </c>
      <c r="O319" s="577">
        <f t="shared" si="82"/>
        <v>0</v>
      </c>
      <c r="P319" s="578">
        <f t="shared" si="83"/>
        <v>0</v>
      </c>
      <c r="Q319" s="765"/>
      <c r="R319" s="703"/>
      <c r="S319" s="670"/>
      <c r="T319" s="577">
        <f t="shared" si="84"/>
        <v>0</v>
      </c>
      <c r="U319" s="578">
        <f t="shared" si="85"/>
        <v>0</v>
      </c>
      <c r="V319" s="579"/>
      <c r="W319" s="637" t="str">
        <f>IF(U317&gt;0,"xx",IF(P317&gt;0,"xy",""))</f>
        <v/>
      </c>
      <c r="X319" s="586" t="str">
        <f t="shared" si="86"/>
        <v/>
      </c>
      <c r="Y319" s="586" t="str">
        <f t="shared" si="74"/>
        <v/>
      </c>
      <c r="Z319" s="586" t="str">
        <f t="shared" si="80"/>
        <v/>
      </c>
    </row>
    <row r="320" spans="1:26" ht="12" hidden="1" thickBot="1" x14ac:dyDescent="0.25">
      <c r="A320" s="671" t="s">
        <v>168</v>
      </c>
      <c r="B320" s="644" t="s">
        <v>168</v>
      </c>
      <c r="C320" s="645"/>
      <c r="D320" s="451" t="s">
        <v>262</v>
      </c>
      <c r="E320" s="423"/>
      <c r="F320" s="424">
        <v>0.2</v>
      </c>
      <c r="G320" s="425">
        <v>2.12</v>
      </c>
      <c r="H320" s="663">
        <f t="shared" si="95"/>
        <v>6.1352800000000007</v>
      </c>
      <c r="I320" s="420">
        <v>0</v>
      </c>
      <c r="J320" s="420"/>
      <c r="K320" s="421">
        <f t="shared" si="94"/>
        <v>0</v>
      </c>
      <c r="L320" s="647" t="s">
        <v>614</v>
      </c>
      <c r="M320" s="703"/>
      <c r="N320" s="576">
        <f t="shared" si="76"/>
        <v>0</v>
      </c>
      <c r="O320" s="577">
        <f t="shared" si="82"/>
        <v>0</v>
      </c>
      <c r="P320" s="578">
        <f t="shared" si="83"/>
        <v>0</v>
      </c>
      <c r="Q320" s="765"/>
      <c r="R320" s="703"/>
      <c r="S320" s="670"/>
      <c r="T320" s="577">
        <f t="shared" si="84"/>
        <v>0</v>
      </c>
      <c r="U320" s="578">
        <f t="shared" si="85"/>
        <v>0</v>
      </c>
      <c r="V320" s="579"/>
      <c r="W320" s="637" t="str">
        <f>IF(U317&gt;0,"xx",IF(P317&gt;0,"xy",""))</f>
        <v/>
      </c>
      <c r="X320" s="586" t="str">
        <f t="shared" si="86"/>
        <v/>
      </c>
      <c r="Y320" s="586" t="str">
        <f t="shared" si="74"/>
        <v/>
      </c>
      <c r="Z320" s="586" t="str">
        <f t="shared" si="80"/>
        <v/>
      </c>
    </row>
    <row r="321" spans="1:26" ht="12" hidden="1" thickBot="1" x14ac:dyDescent="0.25">
      <c r="A321" s="671" t="s">
        <v>168</v>
      </c>
      <c r="B321" s="644" t="s">
        <v>168</v>
      </c>
      <c r="C321" s="645"/>
      <c r="D321" s="451" t="s">
        <v>263</v>
      </c>
      <c r="E321" s="423"/>
      <c r="F321" s="424">
        <v>20</v>
      </c>
      <c r="G321" s="425">
        <f>SUM(G317:G320)</f>
        <v>2.2000000000000002</v>
      </c>
      <c r="H321" s="651">
        <f>IF(F321&lt;=30,(1.07*F321+5.37)*G321,((1.07*30+5.37)+1.07*(F321-30))*G321)</f>
        <v>58.894000000000013</v>
      </c>
      <c r="I321" s="420">
        <v>0</v>
      </c>
      <c r="J321" s="420"/>
      <c r="K321" s="421">
        <f t="shared" si="94"/>
        <v>0</v>
      </c>
      <c r="L321" s="647" t="s">
        <v>614</v>
      </c>
      <c r="M321" s="703"/>
      <c r="N321" s="576">
        <f t="shared" si="76"/>
        <v>0</v>
      </c>
      <c r="O321" s="577">
        <f t="shared" si="82"/>
        <v>0</v>
      </c>
      <c r="P321" s="578">
        <f t="shared" si="83"/>
        <v>0</v>
      </c>
      <c r="Q321" s="765"/>
      <c r="R321" s="703"/>
      <c r="S321" s="670"/>
      <c r="T321" s="577">
        <f t="shared" si="84"/>
        <v>0</v>
      </c>
      <c r="U321" s="578">
        <f t="shared" si="85"/>
        <v>0</v>
      </c>
      <c r="V321" s="579"/>
      <c r="W321" s="637" t="str">
        <f>IF(U317&gt;0,"xx",IF(P317&gt;0,"xy",""))</f>
        <v/>
      </c>
      <c r="X321" s="586" t="str">
        <f t="shared" si="86"/>
        <v/>
      </c>
      <c r="Y321" s="586" t="str">
        <f t="shared" si="74"/>
        <v/>
      </c>
      <c r="Z321" s="586" t="str">
        <f t="shared" si="80"/>
        <v/>
      </c>
    </row>
    <row r="322" spans="1:26" ht="12" hidden="1" thickBot="1" x14ac:dyDescent="0.25">
      <c r="A322" s="671">
        <v>589320</v>
      </c>
      <c r="B322" s="704" t="s">
        <v>1771</v>
      </c>
      <c r="C322" s="689" t="s">
        <v>1746</v>
      </c>
      <c r="D322" s="477" t="s">
        <v>812</v>
      </c>
      <c r="E322" s="470"/>
      <c r="F322" s="478">
        <v>500</v>
      </c>
      <c r="G322" s="479">
        <v>1</v>
      </c>
      <c r="H322" s="663">
        <f>(0.84*F322+41.45)*G322</f>
        <v>461.45</v>
      </c>
      <c r="I322" s="472">
        <v>4680</v>
      </c>
      <c r="J322" s="472">
        <f>IF(ISBLANK(I322),"",I322*(1+$F$9)/(1+$F$10))+H322</f>
        <v>5002.4010983923918</v>
      </c>
      <c r="K322" s="690">
        <f t="shared" si="94"/>
        <v>5943.35</v>
      </c>
      <c r="L322" s="691" t="s">
        <v>20</v>
      </c>
      <c r="M322" s="692">
        <f>ROUND(M317*G317,2)</f>
        <v>0</v>
      </c>
      <c r="N322" s="696">
        <f t="shared" si="76"/>
        <v>0</v>
      </c>
      <c r="O322" s="693">
        <f>IF(ISBLANK(M322),0,ROUND(K322*M322,2))</f>
        <v>0</v>
      </c>
      <c r="P322" s="694">
        <f>IF(ISBLANK(N322),0,ROUND(M322*N322,2))</f>
        <v>0</v>
      </c>
      <c r="Q322" s="765"/>
      <c r="R322" s="695">
        <f>ROUND(R317*G317,2)</f>
        <v>0</v>
      </c>
      <c r="S322" s="711">
        <f>N322</f>
        <v>0</v>
      </c>
      <c r="T322" s="693">
        <f t="shared" si="84"/>
        <v>0</v>
      </c>
      <c r="U322" s="694">
        <f t="shared" si="85"/>
        <v>0</v>
      </c>
      <c r="V322" s="579"/>
      <c r="W322" s="637" t="str">
        <f>IF(U317&gt;0,"xx",IF(P317&gt;0,"xy",""))</f>
        <v/>
      </c>
      <c r="X322" s="586" t="str">
        <f t="shared" si="86"/>
        <v/>
      </c>
      <c r="Y322" s="586" t="str">
        <f t="shared" si="74"/>
        <v/>
      </c>
      <c r="Z322" s="586" t="str">
        <f t="shared" si="80"/>
        <v/>
      </c>
    </row>
    <row r="323" spans="1:26" ht="12" hidden="1" thickBot="1" x14ac:dyDescent="0.25">
      <c r="A323" s="671">
        <v>534300</v>
      </c>
      <c r="B323" s="701" t="s">
        <v>1621</v>
      </c>
      <c r="C323" s="702" t="s">
        <v>206</v>
      </c>
      <c r="D323" s="463" t="s">
        <v>1913</v>
      </c>
      <c r="E323" s="464"/>
      <c r="F323" s="465" t="s">
        <v>663</v>
      </c>
      <c r="G323" s="466">
        <v>0.11</v>
      </c>
      <c r="H323" s="681">
        <f>SUM(H324:H327)</f>
        <v>64.942459999999997</v>
      </c>
      <c r="I323" s="467">
        <v>136.76</v>
      </c>
      <c r="J323" s="467">
        <f>IF(ISBLANK(I323),"",SUM(H323:I323))</f>
        <v>201.70245999999997</v>
      </c>
      <c r="K323" s="682">
        <f t="shared" si="94"/>
        <v>239.64</v>
      </c>
      <c r="L323" s="683" t="s">
        <v>16</v>
      </c>
      <c r="M323" s="685"/>
      <c r="N323" s="576">
        <f t="shared" si="76"/>
        <v>0</v>
      </c>
      <c r="O323" s="687">
        <f t="shared" ref="O323:O334" si="96">IF(ISBLANK(M323),0,ROUND(K323*M323,2))</f>
        <v>0</v>
      </c>
      <c r="P323" s="688">
        <f t="shared" ref="P323:P334" si="97">IF(ISBLANK(N323),0,ROUND(M323*N323,2))</f>
        <v>0</v>
      </c>
      <c r="Q323" s="765"/>
      <c r="R323" s="685">
        <f>M323</f>
        <v>0</v>
      </c>
      <c r="S323" s="686">
        <f>N323</f>
        <v>0</v>
      </c>
      <c r="T323" s="687">
        <f t="shared" si="84"/>
        <v>0</v>
      </c>
      <c r="U323" s="688">
        <f t="shared" si="85"/>
        <v>0</v>
      </c>
      <c r="V323" s="579"/>
      <c r="W323" s="566"/>
      <c r="X323" s="586" t="str">
        <f t="shared" si="86"/>
        <v/>
      </c>
      <c r="Y323" s="586" t="str">
        <f t="shared" si="74"/>
        <v/>
      </c>
      <c r="Z323" s="586" t="str">
        <f t="shared" si="80"/>
        <v/>
      </c>
    </row>
    <row r="324" spans="1:26" ht="12" hidden="1" thickBot="1" x14ac:dyDescent="0.25">
      <c r="A324" s="671" t="s">
        <v>168</v>
      </c>
      <c r="B324" s="644" t="s">
        <v>168</v>
      </c>
      <c r="C324" s="645"/>
      <c r="D324" s="451" t="s">
        <v>248</v>
      </c>
      <c r="E324" s="423"/>
      <c r="F324" s="424">
        <v>180</v>
      </c>
      <c r="G324" s="425"/>
      <c r="H324" s="663">
        <f t="shared" ref="H324:H326" si="98">IF(F324&lt;=30,(1.07*F324+2.68)*G324,((1.07*30+2.68)+1.07*(F324-30))*G324)</f>
        <v>0</v>
      </c>
      <c r="I324" s="420">
        <v>0</v>
      </c>
      <c r="J324" s="420">
        <f>IF(ISBLANK(I324),"",SUM(H324:I324))</f>
        <v>0</v>
      </c>
      <c r="K324" s="421">
        <f t="shared" si="94"/>
        <v>0</v>
      </c>
      <c r="L324" s="647" t="s">
        <v>614</v>
      </c>
      <c r="M324" s="703"/>
      <c r="N324" s="576">
        <f t="shared" si="76"/>
        <v>0</v>
      </c>
      <c r="O324" s="577">
        <f t="shared" si="96"/>
        <v>0</v>
      </c>
      <c r="P324" s="578">
        <f t="shared" si="97"/>
        <v>0</v>
      </c>
      <c r="Q324" s="765"/>
      <c r="R324" s="703"/>
      <c r="S324" s="670"/>
      <c r="T324" s="577">
        <f t="shared" si="84"/>
        <v>0</v>
      </c>
      <c r="U324" s="578">
        <f t="shared" si="85"/>
        <v>0</v>
      </c>
      <c r="V324" s="579"/>
      <c r="W324" s="637" t="str">
        <f>IF(U323&gt;0,"xx",IF(P323&gt;0,"xy",""))</f>
        <v/>
      </c>
      <c r="X324" s="586" t="str">
        <f t="shared" si="86"/>
        <v/>
      </c>
      <c r="Y324" s="586" t="str">
        <f t="shared" si="74"/>
        <v/>
      </c>
      <c r="Z324" s="586" t="str">
        <f t="shared" si="80"/>
        <v/>
      </c>
    </row>
    <row r="325" spans="1:26" ht="12" hidden="1" thickBot="1" x14ac:dyDescent="0.25">
      <c r="A325" s="671" t="s">
        <v>168</v>
      </c>
      <c r="B325" s="644" t="s">
        <v>168</v>
      </c>
      <c r="C325" s="645"/>
      <c r="D325" s="451" t="s">
        <v>249</v>
      </c>
      <c r="E325" s="423"/>
      <c r="F325" s="424">
        <v>500</v>
      </c>
      <c r="G325" s="425"/>
      <c r="H325" s="649">
        <f>IF(F325&lt;=30,(0.78*F325+7.82)*G325,((0.78*30+7.82)+0.78*(F325-30))*G325)</f>
        <v>0</v>
      </c>
      <c r="I325" s="420">
        <v>0</v>
      </c>
      <c r="J325" s="420">
        <f>IF(ISBLANK(I325),"",SUM(H325:I325))</f>
        <v>0</v>
      </c>
      <c r="K325" s="421">
        <f t="shared" si="94"/>
        <v>0</v>
      </c>
      <c r="L325" s="647" t="s">
        <v>614</v>
      </c>
      <c r="M325" s="703"/>
      <c r="N325" s="576">
        <f t="shared" si="76"/>
        <v>0</v>
      </c>
      <c r="O325" s="577">
        <f t="shared" si="96"/>
        <v>0</v>
      </c>
      <c r="P325" s="578">
        <f t="shared" si="97"/>
        <v>0</v>
      </c>
      <c r="Q325" s="765"/>
      <c r="R325" s="703"/>
      <c r="S325" s="670"/>
      <c r="T325" s="577">
        <f t="shared" si="84"/>
        <v>0</v>
      </c>
      <c r="U325" s="578">
        <f t="shared" si="85"/>
        <v>0</v>
      </c>
      <c r="V325" s="579"/>
      <c r="W325" s="637" t="str">
        <f>IF(U323&gt;0,"xx",IF(P323&gt;0,"xy",""))</f>
        <v/>
      </c>
      <c r="X325" s="586" t="str">
        <f t="shared" si="86"/>
        <v/>
      </c>
      <c r="Y325" s="586" t="str">
        <f t="shared" si="74"/>
        <v/>
      </c>
      <c r="Z325" s="586" t="str">
        <f t="shared" si="80"/>
        <v/>
      </c>
    </row>
    <row r="326" spans="1:26" ht="12" hidden="1" thickBot="1" x14ac:dyDescent="0.25">
      <c r="A326" s="671" t="s">
        <v>168</v>
      </c>
      <c r="B326" s="644" t="s">
        <v>168</v>
      </c>
      <c r="C326" s="645"/>
      <c r="D326" s="451" t="s">
        <v>262</v>
      </c>
      <c r="E326" s="423"/>
      <c r="F326" s="424">
        <v>0.2</v>
      </c>
      <c r="G326" s="425">
        <v>2.09</v>
      </c>
      <c r="H326" s="663">
        <f t="shared" si="98"/>
        <v>6.0484599999999995</v>
      </c>
      <c r="I326" s="420">
        <v>0</v>
      </c>
      <c r="J326" s="420"/>
      <c r="K326" s="421">
        <f t="shared" si="94"/>
        <v>0</v>
      </c>
      <c r="L326" s="647" t="s">
        <v>614</v>
      </c>
      <c r="M326" s="703"/>
      <c r="N326" s="576">
        <f t="shared" si="76"/>
        <v>0</v>
      </c>
      <c r="O326" s="577">
        <f t="shared" si="96"/>
        <v>0</v>
      </c>
      <c r="P326" s="578">
        <f t="shared" si="97"/>
        <v>0</v>
      </c>
      <c r="Q326" s="765"/>
      <c r="R326" s="703"/>
      <c r="S326" s="670"/>
      <c r="T326" s="577">
        <f t="shared" si="84"/>
        <v>0</v>
      </c>
      <c r="U326" s="578">
        <f t="shared" si="85"/>
        <v>0</v>
      </c>
      <c r="V326" s="579"/>
      <c r="W326" s="637" t="str">
        <f>IF(U323&gt;0,"xx",IF(P323&gt;0,"xy",""))</f>
        <v/>
      </c>
      <c r="X326" s="586" t="str">
        <f t="shared" si="86"/>
        <v/>
      </c>
      <c r="Y326" s="586" t="str">
        <f t="shared" si="74"/>
        <v/>
      </c>
      <c r="Z326" s="586" t="str">
        <f t="shared" si="80"/>
        <v/>
      </c>
    </row>
    <row r="327" spans="1:26" ht="12" hidden="1" thickBot="1" x14ac:dyDescent="0.25">
      <c r="A327" s="671" t="s">
        <v>168</v>
      </c>
      <c r="B327" s="644" t="s">
        <v>168</v>
      </c>
      <c r="C327" s="645"/>
      <c r="D327" s="451" t="s">
        <v>263</v>
      </c>
      <c r="E327" s="423"/>
      <c r="F327" s="424">
        <v>20</v>
      </c>
      <c r="G327" s="425">
        <f>SUM(G323:G326)</f>
        <v>2.1999999999999997</v>
      </c>
      <c r="H327" s="651">
        <f>IF(F327&lt;=30,(1.07*F327+5.37)*G327,((1.07*30+5.37)+1.07*(F327-30))*G327)</f>
        <v>58.893999999999998</v>
      </c>
      <c r="I327" s="420">
        <v>0</v>
      </c>
      <c r="J327" s="420"/>
      <c r="K327" s="421">
        <f>IF(ISBLANK(I327),0,ROUND(J327*(1+$F$10)*(1+$F$11*E327),2))</f>
        <v>0</v>
      </c>
      <c r="L327" s="647" t="s">
        <v>614</v>
      </c>
      <c r="M327" s="703"/>
      <c r="N327" s="576">
        <f t="shared" si="76"/>
        <v>0</v>
      </c>
      <c r="O327" s="577">
        <f t="shared" si="96"/>
        <v>0</v>
      </c>
      <c r="P327" s="578">
        <f t="shared" si="97"/>
        <v>0</v>
      </c>
      <c r="Q327" s="765"/>
      <c r="R327" s="703"/>
      <c r="S327" s="670"/>
      <c r="T327" s="577">
        <f t="shared" si="84"/>
        <v>0</v>
      </c>
      <c r="U327" s="578">
        <f t="shared" si="85"/>
        <v>0</v>
      </c>
      <c r="V327" s="579"/>
      <c r="W327" s="637" t="str">
        <f>IF(U323&gt;0,"xx",IF(P323&gt;0,"xy",""))</f>
        <v/>
      </c>
      <c r="X327" s="586" t="str">
        <f t="shared" si="86"/>
        <v/>
      </c>
      <c r="Y327" s="586" t="str">
        <f t="shared" si="74"/>
        <v/>
      </c>
      <c r="Z327" s="586" t="str">
        <f t="shared" si="80"/>
        <v/>
      </c>
    </row>
    <row r="328" spans="1:26" ht="12" hidden="1" thickBot="1" x14ac:dyDescent="0.25">
      <c r="A328" s="671">
        <v>589320</v>
      </c>
      <c r="B328" s="704" t="s">
        <v>1772</v>
      </c>
      <c r="C328" s="689" t="s">
        <v>1746</v>
      </c>
      <c r="D328" s="477" t="s">
        <v>812</v>
      </c>
      <c r="E328" s="470"/>
      <c r="F328" s="478">
        <v>500</v>
      </c>
      <c r="G328" s="479">
        <v>1</v>
      </c>
      <c r="H328" s="663">
        <f>(0.84*F328+41.45)*G328</f>
        <v>461.45</v>
      </c>
      <c r="I328" s="472">
        <v>4680</v>
      </c>
      <c r="J328" s="472">
        <f>IF(ISBLANK(I328),"",I328*(1+$F$9)/(1+$F$10))+H328</f>
        <v>5002.4010983923918</v>
      </c>
      <c r="K328" s="690">
        <f>IF(ISBLANK(I328),0,ROUND(J328*(1+$F$10)*(1+$F$11*E328),2))</f>
        <v>5943.35</v>
      </c>
      <c r="L328" s="691" t="s">
        <v>20</v>
      </c>
      <c r="M328" s="692">
        <f>ROUND(M323*G323,2)</f>
        <v>0</v>
      </c>
      <c r="N328" s="588">
        <f t="shared" si="76"/>
        <v>0</v>
      </c>
      <c r="O328" s="693">
        <f t="shared" si="96"/>
        <v>0</v>
      </c>
      <c r="P328" s="694">
        <f t="shared" si="97"/>
        <v>0</v>
      </c>
      <c r="Q328" s="765"/>
      <c r="R328" s="695">
        <f>ROUND(R323*G323,2)</f>
        <v>0</v>
      </c>
      <c r="S328" s="711">
        <f>N328</f>
        <v>0</v>
      </c>
      <c r="T328" s="693">
        <f t="shared" si="84"/>
        <v>0</v>
      </c>
      <c r="U328" s="694">
        <f t="shared" si="85"/>
        <v>0</v>
      </c>
      <c r="V328" s="579"/>
      <c r="W328" s="637" t="str">
        <f>IF(U323&gt;0,"xx",IF(P323&gt;0,"xy",""))</f>
        <v/>
      </c>
      <c r="X328" s="586" t="str">
        <f t="shared" si="86"/>
        <v/>
      </c>
      <c r="Y328" s="586" t="str">
        <f t="shared" si="74"/>
        <v/>
      </c>
      <c r="Z328" s="586" t="str">
        <f t="shared" si="80"/>
        <v/>
      </c>
    </row>
    <row r="329" spans="1:26" ht="12" hidden="1" thickBot="1" x14ac:dyDescent="0.25">
      <c r="A329" s="671">
        <v>534300</v>
      </c>
      <c r="B329" s="701" t="s">
        <v>1622</v>
      </c>
      <c r="C329" s="702" t="s">
        <v>206</v>
      </c>
      <c r="D329" s="463" t="s">
        <v>1920</v>
      </c>
      <c r="E329" s="464"/>
      <c r="F329" s="465" t="s">
        <v>663</v>
      </c>
      <c r="G329" s="466">
        <v>0.11</v>
      </c>
      <c r="H329" s="681">
        <f>SUM(H330:H333)</f>
        <v>64.942459999999997</v>
      </c>
      <c r="I329" s="467">
        <v>136.76</v>
      </c>
      <c r="J329" s="467">
        <f>IF(ISBLANK(I329),"",SUM(H329:I329))</f>
        <v>201.70245999999997</v>
      </c>
      <c r="K329" s="682">
        <f t="shared" ref="K329:K334" si="99">IF(ISBLANK(I329),0,ROUND(J329*(1+$F$10)*(1+$F$11*E329),2))</f>
        <v>239.64</v>
      </c>
      <c r="L329" s="683" t="s">
        <v>16</v>
      </c>
      <c r="M329" s="685"/>
      <c r="N329" s="686">
        <f t="shared" si="76"/>
        <v>0</v>
      </c>
      <c r="O329" s="687">
        <f t="shared" si="96"/>
        <v>0</v>
      </c>
      <c r="P329" s="688">
        <f t="shared" si="97"/>
        <v>0</v>
      </c>
      <c r="Q329" s="765"/>
      <c r="R329" s="685">
        <f>M329</f>
        <v>0</v>
      </c>
      <c r="S329" s="686">
        <f>N329</f>
        <v>0</v>
      </c>
      <c r="T329" s="687">
        <f t="shared" si="84"/>
        <v>0</v>
      </c>
      <c r="U329" s="688">
        <f t="shared" si="85"/>
        <v>0</v>
      </c>
      <c r="V329" s="579"/>
      <c r="W329" s="566"/>
      <c r="X329" s="586" t="str">
        <f t="shared" si="86"/>
        <v/>
      </c>
      <c r="Y329" s="586" t="str">
        <f t="shared" si="74"/>
        <v/>
      </c>
      <c r="Z329" s="586" t="str">
        <f t="shared" si="80"/>
        <v/>
      </c>
    </row>
    <row r="330" spans="1:26" ht="12" hidden="1" thickBot="1" x14ac:dyDescent="0.25">
      <c r="A330" s="671" t="s">
        <v>168</v>
      </c>
      <c r="B330" s="644" t="s">
        <v>168</v>
      </c>
      <c r="C330" s="645"/>
      <c r="D330" s="451" t="s">
        <v>248</v>
      </c>
      <c r="E330" s="423"/>
      <c r="F330" s="424">
        <v>180</v>
      </c>
      <c r="G330" s="425"/>
      <c r="H330" s="663">
        <f t="shared" ref="H330:H332" si="100">IF(F330&lt;=30,(1.07*F330+2.68)*G330,((1.07*30+2.68)+1.07*(F330-30))*G330)</f>
        <v>0</v>
      </c>
      <c r="I330" s="420">
        <v>0</v>
      </c>
      <c r="J330" s="420"/>
      <c r="K330" s="421">
        <f t="shared" si="99"/>
        <v>0</v>
      </c>
      <c r="L330" s="647" t="s">
        <v>614</v>
      </c>
      <c r="M330" s="703"/>
      <c r="N330" s="576">
        <f t="shared" si="76"/>
        <v>0</v>
      </c>
      <c r="O330" s="577">
        <f t="shared" si="96"/>
        <v>0</v>
      </c>
      <c r="P330" s="578">
        <f t="shared" si="97"/>
        <v>0</v>
      </c>
      <c r="Q330" s="765"/>
      <c r="R330" s="703"/>
      <c r="S330" s="670"/>
      <c r="T330" s="577">
        <f t="shared" si="84"/>
        <v>0</v>
      </c>
      <c r="U330" s="578">
        <f t="shared" si="85"/>
        <v>0</v>
      </c>
      <c r="V330" s="579"/>
      <c r="W330" s="637" t="str">
        <f>IF(U329&gt;0,"xx",IF(P329&gt;0,"xy",""))</f>
        <v/>
      </c>
      <c r="X330" s="586" t="str">
        <f t="shared" si="86"/>
        <v/>
      </c>
      <c r="Y330" s="586" t="str">
        <f t="shared" si="74"/>
        <v/>
      </c>
      <c r="Z330" s="586" t="str">
        <f t="shared" si="80"/>
        <v/>
      </c>
    </row>
    <row r="331" spans="1:26" ht="12" hidden="1" thickBot="1" x14ac:dyDescent="0.25">
      <c r="A331" s="671" t="s">
        <v>168</v>
      </c>
      <c r="B331" s="644" t="s">
        <v>168</v>
      </c>
      <c r="C331" s="645"/>
      <c r="D331" s="451" t="s">
        <v>249</v>
      </c>
      <c r="E331" s="423"/>
      <c r="F331" s="424">
        <v>500</v>
      </c>
      <c r="G331" s="425"/>
      <c r="H331" s="649">
        <f>IF(F331&lt;=30,(0.78*F331+7.82)*G331,((0.78*30+7.82)+0.78*(F331-30))*G331)</f>
        <v>0</v>
      </c>
      <c r="I331" s="420">
        <v>0</v>
      </c>
      <c r="J331" s="420">
        <f>IF(ISBLANK(I331),"",SUM(H331:I331))</f>
        <v>0</v>
      </c>
      <c r="K331" s="421">
        <f t="shared" si="99"/>
        <v>0</v>
      </c>
      <c r="L331" s="647" t="s">
        <v>614</v>
      </c>
      <c r="M331" s="703"/>
      <c r="N331" s="576">
        <f t="shared" si="76"/>
        <v>0</v>
      </c>
      <c r="O331" s="577">
        <f t="shared" si="96"/>
        <v>0</v>
      </c>
      <c r="P331" s="578">
        <f t="shared" si="97"/>
        <v>0</v>
      </c>
      <c r="Q331" s="765"/>
      <c r="R331" s="703"/>
      <c r="S331" s="670"/>
      <c r="T331" s="577">
        <f t="shared" si="84"/>
        <v>0</v>
      </c>
      <c r="U331" s="578">
        <f t="shared" si="85"/>
        <v>0</v>
      </c>
      <c r="V331" s="579"/>
      <c r="W331" s="637" t="str">
        <f>IF(U329&gt;0,"xx",IF(P329&gt;0,"xy",""))</f>
        <v/>
      </c>
      <c r="X331" s="586" t="str">
        <f t="shared" si="86"/>
        <v/>
      </c>
      <c r="Y331" s="586" t="str">
        <f t="shared" si="74"/>
        <v/>
      </c>
      <c r="Z331" s="586" t="str">
        <f t="shared" si="80"/>
        <v/>
      </c>
    </row>
    <row r="332" spans="1:26" ht="12" hidden="1" thickBot="1" x14ac:dyDescent="0.25">
      <c r="A332" s="671" t="s">
        <v>168</v>
      </c>
      <c r="B332" s="644" t="s">
        <v>168</v>
      </c>
      <c r="C332" s="645"/>
      <c r="D332" s="451" t="s">
        <v>262</v>
      </c>
      <c r="E332" s="423"/>
      <c r="F332" s="424">
        <v>0.2</v>
      </c>
      <c r="G332" s="425">
        <v>2.09</v>
      </c>
      <c r="H332" s="663">
        <f t="shared" si="100"/>
        <v>6.0484599999999995</v>
      </c>
      <c r="I332" s="420">
        <v>0</v>
      </c>
      <c r="J332" s="420"/>
      <c r="K332" s="421">
        <f t="shared" si="99"/>
        <v>0</v>
      </c>
      <c r="L332" s="647" t="s">
        <v>614</v>
      </c>
      <c r="M332" s="703"/>
      <c r="N332" s="576">
        <f t="shared" si="76"/>
        <v>0</v>
      </c>
      <c r="O332" s="577">
        <f t="shared" si="96"/>
        <v>0</v>
      </c>
      <c r="P332" s="578">
        <f t="shared" si="97"/>
        <v>0</v>
      </c>
      <c r="Q332" s="765"/>
      <c r="R332" s="703"/>
      <c r="S332" s="670"/>
      <c r="T332" s="577">
        <f t="shared" si="84"/>
        <v>0</v>
      </c>
      <c r="U332" s="578">
        <f t="shared" si="85"/>
        <v>0</v>
      </c>
      <c r="V332" s="579"/>
      <c r="W332" s="637" t="str">
        <f>IF(U329&gt;0,"xx",IF(P329&gt;0,"xy",""))</f>
        <v/>
      </c>
      <c r="X332" s="586" t="str">
        <f t="shared" si="86"/>
        <v/>
      </c>
      <c r="Y332" s="586" t="str">
        <f t="shared" si="74"/>
        <v/>
      </c>
      <c r="Z332" s="586" t="str">
        <f t="shared" si="80"/>
        <v/>
      </c>
    </row>
    <row r="333" spans="1:26" ht="12" hidden="1" thickBot="1" x14ac:dyDescent="0.25">
      <c r="A333" s="671" t="s">
        <v>168</v>
      </c>
      <c r="B333" s="644" t="s">
        <v>168</v>
      </c>
      <c r="C333" s="645"/>
      <c r="D333" s="451" t="s">
        <v>263</v>
      </c>
      <c r="E333" s="423"/>
      <c r="F333" s="424">
        <v>20</v>
      </c>
      <c r="G333" s="425">
        <f>SUM(G329:G332)</f>
        <v>2.1999999999999997</v>
      </c>
      <c r="H333" s="651">
        <f>IF(F333&lt;=30,(1.07*F333+5.37)*G333,((1.07*30+5.37)+1.07*(F333-30))*G333)</f>
        <v>58.893999999999998</v>
      </c>
      <c r="I333" s="420">
        <v>0</v>
      </c>
      <c r="J333" s="420"/>
      <c r="K333" s="421">
        <f t="shared" si="99"/>
        <v>0</v>
      </c>
      <c r="L333" s="647" t="s">
        <v>614</v>
      </c>
      <c r="M333" s="703"/>
      <c r="N333" s="576">
        <f t="shared" si="76"/>
        <v>0</v>
      </c>
      <c r="O333" s="577">
        <f t="shared" si="96"/>
        <v>0</v>
      </c>
      <c r="P333" s="578">
        <f t="shared" si="97"/>
        <v>0</v>
      </c>
      <c r="Q333" s="765"/>
      <c r="R333" s="703"/>
      <c r="S333" s="670"/>
      <c r="T333" s="577">
        <f t="shared" si="84"/>
        <v>0</v>
      </c>
      <c r="U333" s="578">
        <f t="shared" si="85"/>
        <v>0</v>
      </c>
      <c r="V333" s="579"/>
      <c r="W333" s="637" t="str">
        <f>IF(U329&gt;0,"xx",IF(P329&gt;0,"xy",""))</f>
        <v/>
      </c>
      <c r="X333" s="586" t="str">
        <f t="shared" si="86"/>
        <v/>
      </c>
      <c r="Y333" s="586" t="str">
        <f t="shared" si="74"/>
        <v/>
      </c>
      <c r="Z333" s="586" t="str">
        <f t="shared" si="80"/>
        <v/>
      </c>
    </row>
    <row r="334" spans="1:26" ht="12" hidden="1" thickBot="1" x14ac:dyDescent="0.25">
      <c r="A334" s="671">
        <v>589320</v>
      </c>
      <c r="B334" s="704" t="s">
        <v>1773</v>
      </c>
      <c r="C334" s="689" t="s">
        <v>1746</v>
      </c>
      <c r="D334" s="477" t="s">
        <v>813</v>
      </c>
      <c r="E334" s="470"/>
      <c r="F334" s="478">
        <v>500</v>
      </c>
      <c r="G334" s="479">
        <v>1</v>
      </c>
      <c r="H334" s="663">
        <f>(0.84*F334+41.45)*G334</f>
        <v>461.45</v>
      </c>
      <c r="I334" s="472">
        <v>4680</v>
      </c>
      <c r="J334" s="472">
        <f>IF(ISBLANK(I334),"",I334*(1+$F$9)/(1+$F$10))+H334</f>
        <v>5002.4010983923918</v>
      </c>
      <c r="K334" s="690">
        <f t="shared" si="99"/>
        <v>5943.35</v>
      </c>
      <c r="L334" s="691" t="s">
        <v>20</v>
      </c>
      <c r="M334" s="692">
        <f>ROUND(M329*G329,2)</f>
        <v>0</v>
      </c>
      <c r="N334" s="696">
        <f t="shared" si="76"/>
        <v>0</v>
      </c>
      <c r="O334" s="693">
        <f t="shared" si="96"/>
        <v>0</v>
      </c>
      <c r="P334" s="694">
        <f t="shared" si="97"/>
        <v>0</v>
      </c>
      <c r="Q334" s="765"/>
      <c r="R334" s="695">
        <f>ROUND(R329*G329,2)</f>
        <v>0</v>
      </c>
      <c r="S334" s="711">
        <f>N334</f>
        <v>0</v>
      </c>
      <c r="T334" s="693">
        <f t="shared" si="84"/>
        <v>0</v>
      </c>
      <c r="U334" s="694">
        <f t="shared" si="85"/>
        <v>0</v>
      </c>
      <c r="V334" s="579"/>
      <c r="W334" s="637" t="str">
        <f>IF(U329&gt;0,"xx",IF(P329&gt;0,"xy",""))</f>
        <v/>
      </c>
      <c r="X334" s="586" t="str">
        <f t="shared" si="86"/>
        <v/>
      </c>
      <c r="Y334" s="586" t="str">
        <f t="shared" si="74"/>
        <v/>
      </c>
      <c r="Z334" s="586" t="str">
        <f t="shared" si="80"/>
        <v/>
      </c>
    </row>
    <row r="335" spans="1:26" ht="12" hidden="1" thickBot="1" x14ac:dyDescent="0.25">
      <c r="A335" s="671">
        <v>534300</v>
      </c>
      <c r="B335" s="701" t="s">
        <v>1623</v>
      </c>
      <c r="C335" s="702" t="s">
        <v>206</v>
      </c>
      <c r="D335" s="463" t="s">
        <v>1919</v>
      </c>
      <c r="E335" s="464"/>
      <c r="F335" s="465" t="s">
        <v>663</v>
      </c>
      <c r="G335" s="466">
        <v>0.14000000000000001</v>
      </c>
      <c r="H335" s="681">
        <f>SUM(H336:H339)</f>
        <v>119.76626000000002</v>
      </c>
      <c r="I335" s="467">
        <v>136.76</v>
      </c>
      <c r="J335" s="467">
        <f>IF(ISBLANK(I335),"",SUM(H335:I335))</f>
        <v>256.52625999999998</v>
      </c>
      <c r="K335" s="682">
        <f t="shared" si="94"/>
        <v>304.77999999999997</v>
      </c>
      <c r="L335" s="683" t="s">
        <v>16</v>
      </c>
      <c r="M335" s="685"/>
      <c r="N335" s="576">
        <f t="shared" si="76"/>
        <v>0</v>
      </c>
      <c r="O335" s="687">
        <f t="shared" si="82"/>
        <v>0</v>
      </c>
      <c r="P335" s="688">
        <f t="shared" si="83"/>
        <v>0</v>
      </c>
      <c r="Q335" s="765"/>
      <c r="R335" s="685">
        <f>M335</f>
        <v>0</v>
      </c>
      <c r="S335" s="686">
        <f>N335</f>
        <v>0</v>
      </c>
      <c r="T335" s="687">
        <f t="shared" si="84"/>
        <v>0</v>
      </c>
      <c r="U335" s="688">
        <f t="shared" si="85"/>
        <v>0</v>
      </c>
      <c r="V335" s="579"/>
      <c r="W335" s="566"/>
      <c r="X335" s="586" t="str">
        <f t="shared" si="86"/>
        <v/>
      </c>
      <c r="Y335" s="586" t="str">
        <f t="shared" si="74"/>
        <v/>
      </c>
      <c r="Z335" s="586" t="str">
        <f t="shared" si="80"/>
        <v/>
      </c>
    </row>
    <row r="336" spans="1:26" ht="12" hidden="1" thickBot="1" x14ac:dyDescent="0.25">
      <c r="A336" s="671" t="s">
        <v>168</v>
      </c>
      <c r="B336" s="644" t="s">
        <v>168</v>
      </c>
      <c r="C336" s="645"/>
      <c r="D336" s="451" t="s">
        <v>248</v>
      </c>
      <c r="E336" s="423"/>
      <c r="F336" s="424">
        <v>180</v>
      </c>
      <c r="G336" s="425">
        <v>0.27</v>
      </c>
      <c r="H336" s="663">
        <f t="shared" ref="H336:H338" si="101">IF(F336&lt;=30,(1.07*F336+2.68)*G336,((1.07*30+2.68)+1.07*(F336-30))*G336)</f>
        <v>52.725600000000007</v>
      </c>
      <c r="I336" s="420">
        <v>0</v>
      </c>
      <c r="J336" s="420"/>
      <c r="K336" s="421">
        <f t="shared" si="94"/>
        <v>0</v>
      </c>
      <c r="L336" s="647" t="s">
        <v>614</v>
      </c>
      <c r="M336" s="703"/>
      <c r="N336" s="576">
        <f t="shared" si="76"/>
        <v>0</v>
      </c>
      <c r="O336" s="577">
        <f t="shared" si="82"/>
        <v>0</v>
      </c>
      <c r="P336" s="578">
        <f t="shared" si="83"/>
        <v>0</v>
      </c>
      <c r="Q336" s="765"/>
      <c r="R336" s="703"/>
      <c r="S336" s="670"/>
      <c r="T336" s="577">
        <f t="shared" si="84"/>
        <v>0</v>
      </c>
      <c r="U336" s="578">
        <f t="shared" si="85"/>
        <v>0</v>
      </c>
      <c r="V336" s="579"/>
      <c r="W336" s="637" t="str">
        <f>IF(U335&gt;0,"xx",IF(P335&gt;0,"xy",""))</f>
        <v/>
      </c>
      <c r="X336" s="586" t="str">
        <f t="shared" si="86"/>
        <v/>
      </c>
      <c r="Y336" s="586" t="str">
        <f t="shared" si="74"/>
        <v/>
      </c>
      <c r="Z336" s="586" t="str">
        <f t="shared" si="80"/>
        <v/>
      </c>
    </row>
    <row r="337" spans="1:26" ht="12" hidden="1" thickBot="1" x14ac:dyDescent="0.25">
      <c r="A337" s="671" t="s">
        <v>168</v>
      </c>
      <c r="B337" s="644" t="s">
        <v>168</v>
      </c>
      <c r="C337" s="645"/>
      <c r="D337" s="451" t="s">
        <v>249</v>
      </c>
      <c r="E337" s="423"/>
      <c r="F337" s="424">
        <v>500</v>
      </c>
      <c r="G337" s="425"/>
      <c r="H337" s="649">
        <f>IF(F337&lt;=30,(0.78*F337+7.82)*G337,((0.78*30+7.82)+0.78*(F337-30))*G337)</f>
        <v>0</v>
      </c>
      <c r="I337" s="420">
        <v>0</v>
      </c>
      <c r="J337" s="420">
        <f>IF(ISBLANK(I337),"",SUM(H337:I337))</f>
        <v>0</v>
      </c>
      <c r="K337" s="421">
        <f t="shared" si="94"/>
        <v>0</v>
      </c>
      <c r="L337" s="647" t="s">
        <v>614</v>
      </c>
      <c r="M337" s="703"/>
      <c r="N337" s="576">
        <f t="shared" si="76"/>
        <v>0</v>
      </c>
      <c r="O337" s="577">
        <f t="shared" si="82"/>
        <v>0</v>
      </c>
      <c r="P337" s="578">
        <f t="shared" si="83"/>
        <v>0</v>
      </c>
      <c r="Q337" s="765"/>
      <c r="R337" s="703"/>
      <c r="S337" s="670"/>
      <c r="T337" s="577">
        <f t="shared" si="84"/>
        <v>0</v>
      </c>
      <c r="U337" s="578">
        <f t="shared" si="85"/>
        <v>0</v>
      </c>
      <c r="V337" s="579"/>
      <c r="W337" s="637" t="str">
        <f>IF(U335&gt;0,"xx",IF(P335&gt;0,"xy",""))</f>
        <v/>
      </c>
      <c r="X337" s="586" t="str">
        <f t="shared" si="86"/>
        <v/>
      </c>
      <c r="Y337" s="586" t="str">
        <f t="shared" si="74"/>
        <v/>
      </c>
      <c r="Z337" s="586" t="str">
        <f t="shared" si="80"/>
        <v/>
      </c>
    </row>
    <row r="338" spans="1:26" ht="12" hidden="1" thickBot="1" x14ac:dyDescent="0.25">
      <c r="A338" s="671" t="s">
        <v>168</v>
      </c>
      <c r="B338" s="644" t="s">
        <v>168</v>
      </c>
      <c r="C338" s="645"/>
      <c r="D338" s="451" t="s">
        <v>262</v>
      </c>
      <c r="E338" s="423"/>
      <c r="F338" s="424">
        <v>0.2</v>
      </c>
      <c r="G338" s="425">
        <v>1.89</v>
      </c>
      <c r="H338" s="663">
        <f t="shared" si="101"/>
        <v>5.4696600000000002</v>
      </c>
      <c r="I338" s="420">
        <v>0</v>
      </c>
      <c r="J338" s="420"/>
      <c r="K338" s="421">
        <f t="shared" si="94"/>
        <v>0</v>
      </c>
      <c r="L338" s="647" t="s">
        <v>614</v>
      </c>
      <c r="M338" s="703"/>
      <c r="N338" s="576">
        <f t="shared" si="76"/>
        <v>0</v>
      </c>
      <c r="O338" s="577">
        <f t="shared" si="82"/>
        <v>0</v>
      </c>
      <c r="P338" s="578">
        <f t="shared" si="83"/>
        <v>0</v>
      </c>
      <c r="Q338" s="765"/>
      <c r="R338" s="703"/>
      <c r="S338" s="670"/>
      <c r="T338" s="577">
        <f t="shared" si="84"/>
        <v>0</v>
      </c>
      <c r="U338" s="578">
        <f t="shared" si="85"/>
        <v>0</v>
      </c>
      <c r="V338" s="579"/>
      <c r="W338" s="637" t="str">
        <f>IF(U335&gt;0,"xx",IF(P335&gt;0,"xy",""))</f>
        <v/>
      </c>
      <c r="X338" s="586" t="str">
        <f t="shared" si="86"/>
        <v/>
      </c>
      <c r="Y338" s="586" t="str">
        <f t="shared" si="74"/>
        <v/>
      </c>
      <c r="Z338" s="586" t="str">
        <f t="shared" si="80"/>
        <v/>
      </c>
    </row>
    <row r="339" spans="1:26" ht="12" hidden="1" thickBot="1" x14ac:dyDescent="0.25">
      <c r="A339" s="671" t="s">
        <v>168</v>
      </c>
      <c r="B339" s="644" t="s">
        <v>168</v>
      </c>
      <c r="C339" s="645"/>
      <c r="D339" s="451" t="s">
        <v>263</v>
      </c>
      <c r="E339" s="423"/>
      <c r="F339" s="424">
        <v>20</v>
      </c>
      <c r="G339" s="425">
        <f>SUM(G335:G338)</f>
        <v>2.2999999999999998</v>
      </c>
      <c r="H339" s="651">
        <f>IF(F339&lt;=30,(1.07*F339+5.37)*G339,((1.07*30+5.37)+1.07*(F339-30))*G339)</f>
        <v>61.571000000000005</v>
      </c>
      <c r="I339" s="420">
        <v>0</v>
      </c>
      <c r="J339" s="420"/>
      <c r="K339" s="421">
        <f t="shared" si="94"/>
        <v>0</v>
      </c>
      <c r="L339" s="647" t="s">
        <v>614</v>
      </c>
      <c r="M339" s="703"/>
      <c r="N339" s="576">
        <f t="shared" si="76"/>
        <v>0</v>
      </c>
      <c r="O339" s="577">
        <f t="shared" si="82"/>
        <v>0</v>
      </c>
      <c r="P339" s="578">
        <f t="shared" si="83"/>
        <v>0</v>
      </c>
      <c r="Q339" s="765"/>
      <c r="R339" s="703"/>
      <c r="S339" s="670"/>
      <c r="T339" s="577">
        <f t="shared" si="84"/>
        <v>0</v>
      </c>
      <c r="U339" s="578">
        <f t="shared" si="85"/>
        <v>0</v>
      </c>
      <c r="V339" s="579"/>
      <c r="W339" s="637" t="str">
        <f>IF(U335&gt;0,"xx",IF(P335&gt;0,"xy",""))</f>
        <v/>
      </c>
      <c r="X339" s="586" t="str">
        <f t="shared" si="86"/>
        <v/>
      </c>
      <c r="Y339" s="586" t="str">
        <f t="shared" ref="Y339:Y402" si="102">IF(W339="X","x",IF(W339="y","x",IF(W339="xx","x",IF(U339&gt;0,"x",""))))</f>
        <v/>
      </c>
      <c r="Z339" s="586" t="str">
        <f t="shared" si="80"/>
        <v/>
      </c>
    </row>
    <row r="340" spans="1:26" ht="12" hidden="1" thickBot="1" x14ac:dyDescent="0.25">
      <c r="A340" s="671">
        <v>589320</v>
      </c>
      <c r="B340" s="704" t="s">
        <v>1774</v>
      </c>
      <c r="C340" s="689" t="s">
        <v>1746</v>
      </c>
      <c r="D340" s="477" t="s">
        <v>813</v>
      </c>
      <c r="E340" s="470"/>
      <c r="F340" s="478">
        <v>500</v>
      </c>
      <c r="G340" s="479">
        <v>1</v>
      </c>
      <c r="H340" s="663">
        <f>(0.84*F340+41.45)*G340</f>
        <v>461.45</v>
      </c>
      <c r="I340" s="472">
        <v>4680</v>
      </c>
      <c r="J340" s="472">
        <f>IF(ISBLANK(I340),"",I340*(1+$F$9)/(1+$F$10))+H340</f>
        <v>5002.4010983923918</v>
      </c>
      <c r="K340" s="690">
        <f t="shared" si="94"/>
        <v>5943.35</v>
      </c>
      <c r="L340" s="691" t="s">
        <v>20</v>
      </c>
      <c r="M340" s="692">
        <f>ROUND(M335*G335,2)</f>
        <v>0</v>
      </c>
      <c r="N340" s="588">
        <f t="shared" ref="N340:N403" si="103">IF(M340=0,0,K340)</f>
        <v>0</v>
      </c>
      <c r="O340" s="693">
        <f>IF(ISBLANK(M340),0,ROUND(K340*M340,2))</f>
        <v>0</v>
      </c>
      <c r="P340" s="694">
        <f>IF(ISBLANK(N340),0,ROUND(M340*N340,2))</f>
        <v>0</v>
      </c>
      <c r="Q340" s="765"/>
      <c r="R340" s="695">
        <f>ROUND(R335*G335,2)</f>
        <v>0</v>
      </c>
      <c r="S340" s="711">
        <f>N340</f>
        <v>0</v>
      </c>
      <c r="T340" s="693">
        <f t="shared" si="84"/>
        <v>0</v>
      </c>
      <c r="U340" s="694">
        <f t="shared" si="85"/>
        <v>0</v>
      </c>
      <c r="V340" s="579"/>
      <c r="W340" s="637" t="str">
        <f>IF(U335&gt;0,"xx",IF(P335&gt;0,"xy",""))</f>
        <v/>
      </c>
      <c r="X340" s="586" t="str">
        <f t="shared" si="86"/>
        <v/>
      </c>
      <c r="Y340" s="586" t="str">
        <f t="shared" si="102"/>
        <v/>
      </c>
      <c r="Z340" s="586" t="str">
        <f t="shared" si="80"/>
        <v/>
      </c>
    </row>
    <row r="341" spans="1:26" ht="12" hidden="1" thickBot="1" x14ac:dyDescent="0.25">
      <c r="A341" s="671">
        <v>534300</v>
      </c>
      <c r="B341" s="701" t="s">
        <v>1577</v>
      </c>
      <c r="C341" s="702" t="s">
        <v>206</v>
      </c>
      <c r="D341" s="463" t="s">
        <v>1920</v>
      </c>
      <c r="E341" s="464"/>
      <c r="F341" s="465" t="s">
        <v>663</v>
      </c>
      <c r="G341" s="466">
        <v>0.14000000000000001</v>
      </c>
      <c r="H341" s="681">
        <f>SUM(H342:H345)</f>
        <v>119.76626000000002</v>
      </c>
      <c r="I341" s="467">
        <v>136.76</v>
      </c>
      <c r="J341" s="467">
        <f>IF(ISBLANK(I341),"",SUM(H341:I341))</f>
        <v>256.52625999999998</v>
      </c>
      <c r="K341" s="682">
        <f t="shared" si="94"/>
        <v>304.77999999999997</v>
      </c>
      <c r="L341" s="683" t="s">
        <v>16</v>
      </c>
      <c r="M341" s="685"/>
      <c r="N341" s="686">
        <f t="shared" si="103"/>
        <v>0</v>
      </c>
      <c r="O341" s="687">
        <f t="shared" si="82"/>
        <v>0</v>
      </c>
      <c r="P341" s="688">
        <f t="shared" si="83"/>
        <v>0</v>
      </c>
      <c r="Q341" s="765"/>
      <c r="R341" s="685">
        <f>M341</f>
        <v>0</v>
      </c>
      <c r="S341" s="686">
        <f>N341</f>
        <v>0</v>
      </c>
      <c r="T341" s="687">
        <f t="shared" si="84"/>
        <v>0</v>
      </c>
      <c r="U341" s="688">
        <f t="shared" si="85"/>
        <v>0</v>
      </c>
      <c r="V341" s="579"/>
      <c r="W341" s="566"/>
      <c r="X341" s="586" t="str">
        <f t="shared" si="86"/>
        <v/>
      </c>
      <c r="Y341" s="586" t="str">
        <f t="shared" si="102"/>
        <v/>
      </c>
      <c r="Z341" s="586" t="str">
        <f t="shared" si="80"/>
        <v/>
      </c>
    </row>
    <row r="342" spans="1:26" ht="12" hidden="1" thickBot="1" x14ac:dyDescent="0.25">
      <c r="A342" s="671" t="s">
        <v>168</v>
      </c>
      <c r="B342" s="644" t="s">
        <v>168</v>
      </c>
      <c r="C342" s="645"/>
      <c r="D342" s="451" t="s">
        <v>248</v>
      </c>
      <c r="E342" s="423"/>
      <c r="F342" s="424">
        <v>180</v>
      </c>
      <c r="G342" s="425">
        <v>0.27</v>
      </c>
      <c r="H342" s="663">
        <f t="shared" ref="H342:H344" si="104">IF(F342&lt;=30,(1.07*F342+2.68)*G342,((1.07*30+2.68)+1.07*(F342-30))*G342)</f>
        <v>52.725600000000007</v>
      </c>
      <c r="I342" s="420">
        <v>0</v>
      </c>
      <c r="J342" s="420"/>
      <c r="K342" s="421">
        <f t="shared" si="94"/>
        <v>0</v>
      </c>
      <c r="L342" s="647" t="s">
        <v>614</v>
      </c>
      <c r="M342" s="703"/>
      <c r="N342" s="576">
        <f t="shared" si="103"/>
        <v>0</v>
      </c>
      <c r="O342" s="577">
        <f t="shared" si="82"/>
        <v>0</v>
      </c>
      <c r="P342" s="578">
        <f t="shared" si="83"/>
        <v>0</v>
      </c>
      <c r="Q342" s="765"/>
      <c r="R342" s="703"/>
      <c r="S342" s="670"/>
      <c r="T342" s="577">
        <f t="shared" si="84"/>
        <v>0</v>
      </c>
      <c r="U342" s="578">
        <f t="shared" si="85"/>
        <v>0</v>
      </c>
      <c r="V342" s="579"/>
      <c r="W342" s="637" t="str">
        <f>IF(U341&gt;0,"xx",IF(P341&gt;0,"xy",""))</f>
        <v/>
      </c>
      <c r="X342" s="586" t="str">
        <f t="shared" si="86"/>
        <v/>
      </c>
      <c r="Y342" s="586" t="str">
        <f t="shared" si="102"/>
        <v/>
      </c>
      <c r="Z342" s="586" t="str">
        <f t="shared" si="80"/>
        <v/>
      </c>
    </row>
    <row r="343" spans="1:26" ht="12" hidden="1" thickBot="1" x14ac:dyDescent="0.25">
      <c r="A343" s="671" t="s">
        <v>168</v>
      </c>
      <c r="B343" s="644" t="s">
        <v>168</v>
      </c>
      <c r="C343" s="645"/>
      <c r="D343" s="451" t="s">
        <v>249</v>
      </c>
      <c r="E343" s="423"/>
      <c r="F343" s="424">
        <v>500</v>
      </c>
      <c r="G343" s="425"/>
      <c r="H343" s="649">
        <f>IF(F343&lt;=30,(0.78*F343+7.82)*G343,((0.78*30+7.82)+0.78*(F343-30))*G343)</f>
        <v>0</v>
      </c>
      <c r="I343" s="420">
        <v>0</v>
      </c>
      <c r="J343" s="420">
        <f>IF(ISBLANK(I343),"",SUM(H343:I343))</f>
        <v>0</v>
      </c>
      <c r="K343" s="421">
        <f t="shared" si="94"/>
        <v>0</v>
      </c>
      <c r="L343" s="647" t="s">
        <v>614</v>
      </c>
      <c r="M343" s="703"/>
      <c r="N343" s="576">
        <f t="shared" si="103"/>
        <v>0</v>
      </c>
      <c r="O343" s="577">
        <f t="shared" si="82"/>
        <v>0</v>
      </c>
      <c r="P343" s="578">
        <f t="shared" si="83"/>
        <v>0</v>
      </c>
      <c r="Q343" s="765"/>
      <c r="R343" s="703"/>
      <c r="S343" s="670"/>
      <c r="T343" s="577">
        <f t="shared" si="84"/>
        <v>0</v>
      </c>
      <c r="U343" s="578">
        <f t="shared" si="85"/>
        <v>0</v>
      </c>
      <c r="V343" s="579"/>
      <c r="W343" s="637" t="str">
        <f>IF(U341&gt;0,"xx",IF(P341&gt;0,"xy",""))</f>
        <v/>
      </c>
      <c r="X343" s="586" t="str">
        <f>IF(W343="X","x",IF(W343="xx","x",IF(W343="xy","x",IF(W343="y","x",IF(OR(P343&gt;0,U343&gt;0),"x","")))))</f>
        <v/>
      </c>
      <c r="Y343" s="586" t="str">
        <f>IF(W343="X","x",IF(W343="y","x",IF(W343="xx","x",IF(U343&gt;0,"x",""))))</f>
        <v/>
      </c>
      <c r="Z343" s="586" t="str">
        <f>IF(W343="X","x",IF(U343&gt;0,"x",""))</f>
        <v/>
      </c>
    </row>
    <row r="344" spans="1:26" ht="12" hidden="1" thickBot="1" x14ac:dyDescent="0.25">
      <c r="A344" s="671" t="s">
        <v>168</v>
      </c>
      <c r="B344" s="644" t="s">
        <v>168</v>
      </c>
      <c r="C344" s="645"/>
      <c r="D344" s="451" t="s">
        <v>262</v>
      </c>
      <c r="E344" s="423"/>
      <c r="F344" s="424">
        <v>0.2</v>
      </c>
      <c r="G344" s="425">
        <v>1.89</v>
      </c>
      <c r="H344" s="663">
        <f t="shared" si="104"/>
        <v>5.4696600000000002</v>
      </c>
      <c r="I344" s="420">
        <v>0</v>
      </c>
      <c r="J344" s="420"/>
      <c r="K344" s="421">
        <f t="shared" si="94"/>
        <v>0</v>
      </c>
      <c r="L344" s="647" t="s">
        <v>614</v>
      </c>
      <c r="M344" s="703"/>
      <c r="N344" s="576">
        <f t="shared" si="103"/>
        <v>0</v>
      </c>
      <c r="O344" s="577">
        <f t="shared" si="82"/>
        <v>0</v>
      </c>
      <c r="P344" s="578">
        <f t="shared" si="83"/>
        <v>0</v>
      </c>
      <c r="Q344" s="765"/>
      <c r="R344" s="703"/>
      <c r="S344" s="670"/>
      <c r="T344" s="577">
        <f t="shared" si="84"/>
        <v>0</v>
      </c>
      <c r="U344" s="578">
        <f t="shared" si="85"/>
        <v>0</v>
      </c>
      <c r="V344" s="579"/>
      <c r="W344" s="637" t="str">
        <f>IF(U341&gt;0,"xx",IF(P341&gt;0,"xy",""))</f>
        <v/>
      </c>
      <c r="X344" s="586" t="str">
        <f>IF(W344="X","x",IF(W344="xx","x",IF(W344="xy","x",IF(W344="y","x",IF(OR(P344&gt;0,U344&gt;0),"x","")))))</f>
        <v/>
      </c>
      <c r="Y344" s="586" t="str">
        <f>IF(W344="X","x",IF(W344="y","x",IF(W344="xx","x",IF(U344&gt;0,"x",""))))</f>
        <v/>
      </c>
      <c r="Z344" s="586" t="str">
        <f>IF(W344="X","x",IF(U344&gt;0,"x",""))</f>
        <v/>
      </c>
    </row>
    <row r="345" spans="1:26" ht="12" hidden="1" thickBot="1" x14ac:dyDescent="0.25">
      <c r="A345" s="671" t="s">
        <v>168</v>
      </c>
      <c r="B345" s="644" t="s">
        <v>168</v>
      </c>
      <c r="C345" s="645"/>
      <c r="D345" s="451" t="s">
        <v>263</v>
      </c>
      <c r="E345" s="423"/>
      <c r="F345" s="424">
        <v>20</v>
      </c>
      <c r="G345" s="425">
        <f>SUM(G341:G344)</f>
        <v>2.2999999999999998</v>
      </c>
      <c r="H345" s="651">
        <f>IF(F345&lt;=30,(1.07*F345+5.37)*G345,((1.07*30+5.37)+1.07*(F345-30))*G345)</f>
        <v>61.571000000000005</v>
      </c>
      <c r="I345" s="420">
        <v>0</v>
      </c>
      <c r="J345" s="420"/>
      <c r="K345" s="421">
        <f t="shared" si="94"/>
        <v>0</v>
      </c>
      <c r="L345" s="647" t="s">
        <v>614</v>
      </c>
      <c r="M345" s="703"/>
      <c r="N345" s="576">
        <f t="shared" si="103"/>
        <v>0</v>
      </c>
      <c r="O345" s="577">
        <f t="shared" si="82"/>
        <v>0</v>
      </c>
      <c r="P345" s="578">
        <f t="shared" si="83"/>
        <v>0</v>
      </c>
      <c r="Q345" s="765"/>
      <c r="R345" s="703"/>
      <c r="S345" s="670"/>
      <c r="T345" s="577">
        <f t="shared" si="84"/>
        <v>0</v>
      </c>
      <c r="U345" s="578">
        <f t="shared" si="85"/>
        <v>0</v>
      </c>
      <c r="V345" s="579"/>
      <c r="W345" s="637" t="str">
        <f>IF(U341&gt;0,"xx",IF(P341&gt;0,"xy",""))</f>
        <v/>
      </c>
      <c r="X345" s="586" t="str">
        <f t="shared" si="86"/>
        <v/>
      </c>
      <c r="Y345" s="586" t="str">
        <f t="shared" si="102"/>
        <v/>
      </c>
      <c r="Z345" s="586" t="str">
        <f t="shared" si="80"/>
        <v/>
      </c>
    </row>
    <row r="346" spans="1:26" ht="12" hidden="1" thickBot="1" x14ac:dyDescent="0.25">
      <c r="A346" s="671">
        <v>589320</v>
      </c>
      <c r="B346" s="704" t="s">
        <v>1775</v>
      </c>
      <c r="C346" s="689" t="s">
        <v>1746</v>
      </c>
      <c r="D346" s="477" t="s">
        <v>813</v>
      </c>
      <c r="E346" s="470"/>
      <c r="F346" s="478">
        <v>500</v>
      </c>
      <c r="G346" s="479">
        <v>1</v>
      </c>
      <c r="H346" s="663">
        <f>(0.84*F346+41.45)*G346</f>
        <v>461.45</v>
      </c>
      <c r="I346" s="472">
        <v>4680</v>
      </c>
      <c r="J346" s="472">
        <f>IF(ISBLANK(I346),"",I346*(1+$F$9)/(1+$F$10))+H346</f>
        <v>5002.4010983923918</v>
      </c>
      <c r="K346" s="690">
        <f t="shared" si="94"/>
        <v>5943.35</v>
      </c>
      <c r="L346" s="691" t="s">
        <v>20</v>
      </c>
      <c r="M346" s="692">
        <f>ROUND(M341*G341,2)</f>
        <v>0</v>
      </c>
      <c r="N346" s="696">
        <f t="shared" si="103"/>
        <v>0</v>
      </c>
      <c r="O346" s="693">
        <f>IF(ISBLANK(M346),0,ROUND(K346*M346,2))</f>
        <v>0</v>
      </c>
      <c r="P346" s="694">
        <f>IF(ISBLANK(N346),0,ROUND(M346*N346,2))</f>
        <v>0</v>
      </c>
      <c r="Q346" s="765"/>
      <c r="R346" s="695">
        <f>ROUND(R341*G341,2)</f>
        <v>0</v>
      </c>
      <c r="S346" s="711">
        <f>N346</f>
        <v>0</v>
      </c>
      <c r="T346" s="693">
        <f t="shared" si="84"/>
        <v>0</v>
      </c>
      <c r="U346" s="694">
        <f t="shared" si="85"/>
        <v>0</v>
      </c>
      <c r="V346" s="579"/>
      <c r="W346" s="637" t="str">
        <f>IF(U341&gt;0,"xx",IF(P341&gt;0,"xy",""))</f>
        <v/>
      </c>
      <c r="X346" s="586" t="str">
        <f t="shared" si="86"/>
        <v/>
      </c>
      <c r="Y346" s="586" t="str">
        <f t="shared" si="102"/>
        <v/>
      </c>
      <c r="Z346" s="586" t="str">
        <f t="shared" si="80"/>
        <v/>
      </c>
    </row>
    <row r="347" spans="1:26" ht="12" hidden="1" thickBot="1" x14ac:dyDescent="0.25">
      <c r="A347" s="671">
        <v>534300</v>
      </c>
      <c r="B347" s="701" t="s">
        <v>1578</v>
      </c>
      <c r="C347" s="702" t="s">
        <v>206</v>
      </c>
      <c r="D347" s="463" t="s">
        <v>1915</v>
      </c>
      <c r="E347" s="464"/>
      <c r="F347" s="465" t="s">
        <v>663</v>
      </c>
      <c r="G347" s="466">
        <v>0.18240000000000001</v>
      </c>
      <c r="H347" s="681">
        <f>SUM(H348:H351)</f>
        <v>214.06262820000001</v>
      </c>
      <c r="I347" s="467">
        <v>136.76</v>
      </c>
      <c r="J347" s="467">
        <f>IF(ISBLANK(I347),"",SUM(H347:I347))</f>
        <v>350.8226282</v>
      </c>
      <c r="K347" s="682">
        <f t="shared" si="94"/>
        <v>416.81</v>
      </c>
      <c r="L347" s="683" t="s">
        <v>16</v>
      </c>
      <c r="M347" s="685"/>
      <c r="N347" s="576">
        <f t="shared" si="103"/>
        <v>0</v>
      </c>
      <c r="O347" s="687">
        <f t="shared" si="82"/>
        <v>0</v>
      </c>
      <c r="P347" s="688">
        <f t="shared" si="83"/>
        <v>0</v>
      </c>
      <c r="Q347" s="765"/>
      <c r="R347" s="685">
        <f>M347</f>
        <v>0</v>
      </c>
      <c r="S347" s="686">
        <f>N347</f>
        <v>0</v>
      </c>
      <c r="T347" s="687">
        <f t="shared" si="84"/>
        <v>0</v>
      </c>
      <c r="U347" s="688">
        <f t="shared" si="85"/>
        <v>0</v>
      </c>
      <c r="V347" s="579"/>
      <c r="W347" s="566"/>
      <c r="X347" s="586" t="str">
        <f t="shared" si="86"/>
        <v/>
      </c>
      <c r="Y347" s="586" t="str">
        <f t="shared" si="102"/>
        <v/>
      </c>
      <c r="Z347" s="586" t="str">
        <f t="shared" si="80"/>
        <v/>
      </c>
    </row>
    <row r="348" spans="1:26" ht="12" hidden="1" thickBot="1" x14ac:dyDescent="0.25">
      <c r="A348" s="671" t="s">
        <v>168</v>
      </c>
      <c r="B348" s="644" t="s">
        <v>168</v>
      </c>
      <c r="C348" s="645"/>
      <c r="D348" s="451" t="s">
        <v>248</v>
      </c>
      <c r="E348" s="423"/>
      <c r="F348" s="424">
        <v>180</v>
      </c>
      <c r="G348" s="425">
        <v>0.56969999999999998</v>
      </c>
      <c r="H348" s="663">
        <f t="shared" ref="H348:H350" si="105">IF(F348&lt;=30,(1.07*F348+2.68)*G348,((1.07*30+2.68)+1.07*(F348-30))*G348)</f>
        <v>111.25101599999999</v>
      </c>
      <c r="I348" s="420">
        <v>0</v>
      </c>
      <c r="J348" s="420"/>
      <c r="K348" s="421">
        <f t="shared" si="94"/>
        <v>0</v>
      </c>
      <c r="L348" s="647" t="s">
        <v>614</v>
      </c>
      <c r="M348" s="703"/>
      <c r="N348" s="576">
        <f t="shared" si="103"/>
        <v>0</v>
      </c>
      <c r="O348" s="577">
        <f t="shared" si="82"/>
        <v>0</v>
      </c>
      <c r="P348" s="578">
        <f t="shared" si="83"/>
        <v>0</v>
      </c>
      <c r="Q348" s="765"/>
      <c r="R348" s="703"/>
      <c r="S348" s="670"/>
      <c r="T348" s="577">
        <f t="shared" si="84"/>
        <v>0</v>
      </c>
      <c r="U348" s="578">
        <f t="shared" si="85"/>
        <v>0</v>
      </c>
      <c r="V348" s="579"/>
      <c r="W348" s="637" t="str">
        <f>IF(U347&gt;0,"xx",IF(P347&gt;0,"xy",""))</f>
        <v/>
      </c>
      <c r="X348" s="586" t="str">
        <f t="shared" si="86"/>
        <v/>
      </c>
      <c r="Y348" s="586" t="str">
        <f t="shared" si="102"/>
        <v/>
      </c>
      <c r="Z348" s="586" t="str">
        <f t="shared" si="80"/>
        <v/>
      </c>
    </row>
    <row r="349" spans="1:26" ht="12" hidden="1" thickBot="1" x14ac:dyDescent="0.25">
      <c r="A349" s="671" t="s">
        <v>168</v>
      </c>
      <c r="B349" s="644" t="s">
        <v>168</v>
      </c>
      <c r="C349" s="645"/>
      <c r="D349" s="451" t="s">
        <v>249</v>
      </c>
      <c r="E349" s="423"/>
      <c r="F349" s="424">
        <v>500</v>
      </c>
      <c r="G349" s="425">
        <v>8.7599999999999997E-2</v>
      </c>
      <c r="H349" s="649">
        <f>IF(F349&lt;=30,(0.78*F349+7.82)*G349,((0.78*30+7.82)+0.78*(F349-30))*G349)</f>
        <v>34.849032000000001</v>
      </c>
      <c r="I349" s="420">
        <v>0</v>
      </c>
      <c r="J349" s="420"/>
      <c r="K349" s="421">
        <f t="shared" si="94"/>
        <v>0</v>
      </c>
      <c r="L349" s="647" t="s">
        <v>614</v>
      </c>
      <c r="M349" s="703"/>
      <c r="N349" s="576">
        <f t="shared" si="103"/>
        <v>0</v>
      </c>
      <c r="O349" s="577">
        <f t="shared" si="82"/>
        <v>0</v>
      </c>
      <c r="P349" s="578">
        <f t="shared" si="83"/>
        <v>0</v>
      </c>
      <c r="Q349" s="765"/>
      <c r="R349" s="703"/>
      <c r="S349" s="670"/>
      <c r="T349" s="577">
        <f t="shared" si="84"/>
        <v>0</v>
      </c>
      <c r="U349" s="578">
        <f t="shared" si="85"/>
        <v>0</v>
      </c>
      <c r="V349" s="579"/>
      <c r="W349" s="637" t="str">
        <f>IF(U347&gt;0,"xx",IF(P347&gt;0,"xy",""))</f>
        <v/>
      </c>
      <c r="X349" s="586" t="str">
        <f t="shared" si="86"/>
        <v/>
      </c>
      <c r="Y349" s="586" t="str">
        <f t="shared" si="102"/>
        <v/>
      </c>
      <c r="Z349" s="586" t="str">
        <f t="shared" ref="Z349:Z412" si="106">IF(W349="X","x",IF(U349&gt;0,"x",""))</f>
        <v/>
      </c>
    </row>
    <row r="350" spans="1:26" ht="12" hidden="1" thickBot="1" x14ac:dyDescent="0.25">
      <c r="A350" s="671" t="s">
        <v>168</v>
      </c>
      <c r="B350" s="644" t="s">
        <v>168</v>
      </c>
      <c r="C350" s="645"/>
      <c r="D350" s="451" t="s">
        <v>262</v>
      </c>
      <c r="E350" s="423"/>
      <c r="F350" s="424">
        <v>0.2</v>
      </c>
      <c r="G350" s="425">
        <v>1.5333000000000001</v>
      </c>
      <c r="H350" s="663">
        <f t="shared" si="105"/>
        <v>4.4373702000000002</v>
      </c>
      <c r="I350" s="420">
        <v>0</v>
      </c>
      <c r="J350" s="420"/>
      <c r="K350" s="421">
        <f t="shared" si="94"/>
        <v>0</v>
      </c>
      <c r="L350" s="647" t="s">
        <v>614</v>
      </c>
      <c r="M350" s="703"/>
      <c r="N350" s="576">
        <f t="shared" si="103"/>
        <v>0</v>
      </c>
      <c r="O350" s="577">
        <f t="shared" si="82"/>
        <v>0</v>
      </c>
      <c r="P350" s="578">
        <f t="shared" si="83"/>
        <v>0</v>
      </c>
      <c r="Q350" s="765"/>
      <c r="R350" s="703"/>
      <c r="S350" s="670"/>
      <c r="T350" s="577">
        <f t="shared" si="84"/>
        <v>0</v>
      </c>
      <c r="U350" s="578">
        <f t="shared" si="85"/>
        <v>0</v>
      </c>
      <c r="V350" s="579"/>
      <c r="W350" s="637" t="str">
        <f>IF(U347&gt;0,"xx",IF(P347&gt;0,"xy",""))</f>
        <v/>
      </c>
      <c r="X350" s="586" t="str">
        <f t="shared" si="86"/>
        <v/>
      </c>
      <c r="Y350" s="586" t="str">
        <f t="shared" si="102"/>
        <v/>
      </c>
      <c r="Z350" s="586" t="str">
        <f t="shared" si="106"/>
        <v/>
      </c>
    </row>
    <row r="351" spans="1:26" ht="12" hidden="1" thickBot="1" x14ac:dyDescent="0.25">
      <c r="A351" s="671" t="s">
        <v>168</v>
      </c>
      <c r="B351" s="644" t="s">
        <v>168</v>
      </c>
      <c r="C351" s="645"/>
      <c r="D351" s="451" t="s">
        <v>263</v>
      </c>
      <c r="E351" s="423"/>
      <c r="F351" s="424">
        <v>20</v>
      </c>
      <c r="G351" s="425">
        <f>SUM(G347:G350)</f>
        <v>2.3730000000000002</v>
      </c>
      <c r="H351" s="651">
        <f>IF(F351&lt;=30,(1.07*F351+5.37)*G351,((1.07*30+5.37)+1.07*(F351-30))*G351)</f>
        <v>63.525210000000015</v>
      </c>
      <c r="I351" s="420">
        <v>0</v>
      </c>
      <c r="J351" s="420"/>
      <c r="K351" s="421">
        <f t="shared" si="94"/>
        <v>0</v>
      </c>
      <c r="L351" s="647" t="s">
        <v>614</v>
      </c>
      <c r="M351" s="703"/>
      <c r="N351" s="576">
        <f t="shared" si="103"/>
        <v>0</v>
      </c>
      <c r="O351" s="577">
        <f t="shared" si="82"/>
        <v>0</v>
      </c>
      <c r="P351" s="578">
        <f t="shared" si="83"/>
        <v>0</v>
      </c>
      <c r="Q351" s="765"/>
      <c r="R351" s="703"/>
      <c r="S351" s="670"/>
      <c r="T351" s="577">
        <f t="shared" si="84"/>
        <v>0</v>
      </c>
      <c r="U351" s="578">
        <f t="shared" si="85"/>
        <v>0</v>
      </c>
      <c r="V351" s="579"/>
      <c r="W351" s="637" t="str">
        <f>IF(U347&gt;0,"xx",IF(P347&gt;0,"xy",""))</f>
        <v/>
      </c>
      <c r="X351" s="586" t="str">
        <f t="shared" si="86"/>
        <v/>
      </c>
      <c r="Y351" s="586" t="str">
        <f t="shared" si="102"/>
        <v/>
      </c>
      <c r="Z351" s="586" t="str">
        <f t="shared" si="106"/>
        <v/>
      </c>
    </row>
    <row r="352" spans="1:26" ht="12" hidden="1" thickBot="1" x14ac:dyDescent="0.25">
      <c r="A352" s="671">
        <v>589320</v>
      </c>
      <c r="B352" s="704" t="s">
        <v>1776</v>
      </c>
      <c r="C352" s="689" t="s">
        <v>1746</v>
      </c>
      <c r="D352" s="477" t="s">
        <v>1575</v>
      </c>
      <c r="E352" s="470"/>
      <c r="F352" s="478">
        <v>500</v>
      </c>
      <c r="G352" s="479">
        <v>1</v>
      </c>
      <c r="H352" s="663">
        <f>(0.84*F352+41.45)*G352</f>
        <v>461.45</v>
      </c>
      <c r="I352" s="472">
        <v>4680</v>
      </c>
      <c r="J352" s="472">
        <f>IF(ISBLANK(I352),"",I352*(1+$F$9)/(1+$F$10))+H352</f>
        <v>5002.4010983923918</v>
      </c>
      <c r="K352" s="690">
        <f t="shared" si="94"/>
        <v>5943.35</v>
      </c>
      <c r="L352" s="691" t="s">
        <v>20</v>
      </c>
      <c r="M352" s="692">
        <f>ROUND(M347*G347,2)</f>
        <v>0</v>
      </c>
      <c r="N352" s="588">
        <f t="shared" si="103"/>
        <v>0</v>
      </c>
      <c r="O352" s="693">
        <f>IF(ISBLANK(M352),0,ROUND(K352*M352,2))</f>
        <v>0</v>
      </c>
      <c r="P352" s="694">
        <f>IF(ISBLANK(N352),0,ROUND(M352*N352,2))</f>
        <v>0</v>
      </c>
      <c r="Q352" s="765"/>
      <c r="R352" s="695">
        <f>ROUND(R347*G347,2)</f>
        <v>0</v>
      </c>
      <c r="S352" s="711">
        <f>N352</f>
        <v>0</v>
      </c>
      <c r="T352" s="693">
        <f t="shared" si="84"/>
        <v>0</v>
      </c>
      <c r="U352" s="694">
        <f t="shared" si="85"/>
        <v>0</v>
      </c>
      <c r="V352" s="579"/>
      <c r="W352" s="637" t="str">
        <f>IF(U347&gt;0,"xx",IF(P347&gt;0,"xy",""))</f>
        <v/>
      </c>
      <c r="X352" s="586" t="str">
        <f t="shared" si="86"/>
        <v/>
      </c>
      <c r="Y352" s="586" t="str">
        <f t="shared" si="102"/>
        <v/>
      </c>
      <c r="Z352" s="586" t="str">
        <f t="shared" si="106"/>
        <v/>
      </c>
    </row>
    <row r="353" spans="1:26" ht="12" hidden="1" thickBot="1" x14ac:dyDescent="0.25">
      <c r="A353" s="671">
        <v>570300</v>
      </c>
      <c r="B353" s="701" t="s">
        <v>1624</v>
      </c>
      <c r="C353" s="702" t="s">
        <v>206</v>
      </c>
      <c r="D353" s="485" t="s">
        <v>814</v>
      </c>
      <c r="E353" s="464"/>
      <c r="F353" s="465" t="s">
        <v>662</v>
      </c>
      <c r="G353" s="466">
        <v>0.04</v>
      </c>
      <c r="H353" s="681">
        <f>SUM(H354:H357)</f>
        <v>36.552130000000005</v>
      </c>
      <c r="I353" s="467">
        <v>190.4</v>
      </c>
      <c r="J353" s="467">
        <f>IF(ISBLANK(I353),"",SUM(H353:I353))</f>
        <v>226.95213000000001</v>
      </c>
      <c r="K353" s="682">
        <f t="shared" si="94"/>
        <v>269.64</v>
      </c>
      <c r="L353" s="683" t="s">
        <v>20</v>
      </c>
      <c r="M353" s="685"/>
      <c r="N353" s="686">
        <f t="shared" si="103"/>
        <v>0</v>
      </c>
      <c r="O353" s="687">
        <f t="shared" si="82"/>
        <v>0</v>
      </c>
      <c r="P353" s="688">
        <f t="shared" si="83"/>
        <v>0</v>
      </c>
      <c r="Q353" s="765"/>
      <c r="R353" s="685">
        <f>M353</f>
        <v>0</v>
      </c>
      <c r="S353" s="686">
        <f>N353</f>
        <v>0</v>
      </c>
      <c r="T353" s="687">
        <f t="shared" si="84"/>
        <v>0</v>
      </c>
      <c r="U353" s="688">
        <f t="shared" si="85"/>
        <v>0</v>
      </c>
      <c r="V353" s="579"/>
      <c r="W353" s="566"/>
      <c r="X353" s="586" t="str">
        <f t="shared" si="86"/>
        <v/>
      </c>
      <c r="Y353" s="586" t="str">
        <f t="shared" si="102"/>
        <v/>
      </c>
      <c r="Z353" s="586" t="str">
        <f t="shared" si="106"/>
        <v/>
      </c>
    </row>
    <row r="354" spans="1:26" ht="12" hidden="1" thickBot="1" x14ac:dyDescent="0.25">
      <c r="A354" s="671" t="s">
        <v>168</v>
      </c>
      <c r="B354" s="644" t="s">
        <v>168</v>
      </c>
      <c r="C354" s="645"/>
      <c r="D354" s="451" t="s">
        <v>248</v>
      </c>
      <c r="E354" s="423"/>
      <c r="F354" s="424">
        <v>180</v>
      </c>
      <c r="G354" s="425">
        <v>0</v>
      </c>
      <c r="H354" s="663">
        <f t="shared" ref="H354:H356" si="107">IF(F354&lt;=30,(1.07*F354+2.68)*G354,((1.07*30+2.68)+1.07*(F354-30))*G354)</f>
        <v>0</v>
      </c>
      <c r="I354" s="420">
        <v>0</v>
      </c>
      <c r="J354" s="420">
        <f>IF(ISBLANK(I354),"",SUM(H354:I354))</f>
        <v>0</v>
      </c>
      <c r="K354" s="421">
        <f t="shared" si="94"/>
        <v>0</v>
      </c>
      <c r="L354" s="647" t="s">
        <v>614</v>
      </c>
      <c r="M354" s="703"/>
      <c r="N354" s="576">
        <f t="shared" si="103"/>
        <v>0</v>
      </c>
      <c r="O354" s="577">
        <f t="shared" si="82"/>
        <v>0</v>
      </c>
      <c r="P354" s="578">
        <f t="shared" si="83"/>
        <v>0</v>
      </c>
      <c r="Q354" s="765"/>
      <c r="R354" s="703"/>
      <c r="S354" s="670"/>
      <c r="T354" s="577">
        <f t="shared" si="84"/>
        <v>0</v>
      </c>
      <c r="U354" s="578">
        <f t="shared" si="85"/>
        <v>0</v>
      </c>
      <c r="V354" s="579"/>
      <c r="W354" s="637" t="str">
        <f>IF(U353&gt;0,"xx",IF(P353&gt;0,"xy",""))</f>
        <v/>
      </c>
      <c r="X354" s="586" t="str">
        <f t="shared" ref="X354:X417" si="108">IF(W354="X","x",IF(W354="xx","x",IF(W354="xy","x",IF(W354="y","x",IF(OR(P354&gt;0,U354&gt;0),"x","")))))</f>
        <v/>
      </c>
      <c r="Y354" s="586" t="str">
        <f t="shared" si="102"/>
        <v/>
      </c>
      <c r="Z354" s="586" t="str">
        <f t="shared" si="106"/>
        <v/>
      </c>
    </row>
    <row r="355" spans="1:26" ht="12" hidden="1" thickBot="1" x14ac:dyDescent="0.25">
      <c r="A355" s="671" t="s">
        <v>168</v>
      </c>
      <c r="B355" s="644" t="s">
        <v>168</v>
      </c>
      <c r="C355" s="645"/>
      <c r="D355" s="451" t="s">
        <v>249</v>
      </c>
      <c r="E355" s="423"/>
      <c r="F355" s="424">
        <v>500</v>
      </c>
      <c r="G355" s="425">
        <v>1.4999999999999999E-2</v>
      </c>
      <c r="H355" s="649">
        <f>IF(F355&lt;=30,(0.78*F355+7.82)*G355,((0.78*30+7.82)+0.78*(F355-30))*G355)</f>
        <v>5.9673000000000007</v>
      </c>
      <c r="I355" s="420">
        <v>0</v>
      </c>
      <c r="J355" s="420"/>
      <c r="K355" s="421">
        <f t="shared" si="94"/>
        <v>0</v>
      </c>
      <c r="L355" s="647" t="s">
        <v>614</v>
      </c>
      <c r="M355" s="703"/>
      <c r="N355" s="576">
        <f t="shared" si="103"/>
        <v>0</v>
      </c>
      <c r="O355" s="577">
        <f t="shared" si="82"/>
        <v>0</v>
      </c>
      <c r="P355" s="578">
        <f t="shared" si="83"/>
        <v>0</v>
      </c>
      <c r="Q355" s="765"/>
      <c r="R355" s="703"/>
      <c r="S355" s="670"/>
      <c r="T355" s="577">
        <f t="shared" si="84"/>
        <v>0</v>
      </c>
      <c r="U355" s="578">
        <f t="shared" si="85"/>
        <v>0</v>
      </c>
      <c r="V355" s="579"/>
      <c r="W355" s="637" t="str">
        <f>IF(U353&gt;0,"xx",IF(P353&gt;0,"xy",""))</f>
        <v/>
      </c>
      <c r="X355" s="586" t="str">
        <f t="shared" si="108"/>
        <v/>
      </c>
      <c r="Y355" s="586" t="str">
        <f t="shared" si="102"/>
        <v/>
      </c>
      <c r="Z355" s="586" t="str">
        <f t="shared" si="106"/>
        <v/>
      </c>
    </row>
    <row r="356" spans="1:26" ht="12" hidden="1" thickBot="1" x14ac:dyDescent="0.25">
      <c r="A356" s="671" t="s">
        <v>168</v>
      </c>
      <c r="B356" s="644" t="s">
        <v>168</v>
      </c>
      <c r="C356" s="645"/>
      <c r="D356" s="451" t="s">
        <v>262</v>
      </c>
      <c r="E356" s="423"/>
      <c r="F356" s="424">
        <v>0.2</v>
      </c>
      <c r="G356" s="425">
        <v>0.94499999999999995</v>
      </c>
      <c r="H356" s="663">
        <f t="shared" si="107"/>
        <v>2.7348300000000001</v>
      </c>
      <c r="I356" s="420">
        <v>0</v>
      </c>
      <c r="J356" s="420"/>
      <c r="K356" s="421">
        <f t="shared" si="94"/>
        <v>0</v>
      </c>
      <c r="L356" s="647" t="s">
        <v>614</v>
      </c>
      <c r="M356" s="703"/>
      <c r="N356" s="576">
        <f t="shared" si="103"/>
        <v>0</v>
      </c>
      <c r="O356" s="577">
        <f t="shared" si="82"/>
        <v>0</v>
      </c>
      <c r="P356" s="578">
        <f t="shared" si="83"/>
        <v>0</v>
      </c>
      <c r="Q356" s="765"/>
      <c r="R356" s="703"/>
      <c r="S356" s="670"/>
      <c r="T356" s="577">
        <f t="shared" si="84"/>
        <v>0</v>
      </c>
      <c r="U356" s="578">
        <f t="shared" si="85"/>
        <v>0</v>
      </c>
      <c r="V356" s="579"/>
      <c r="W356" s="637" t="str">
        <f>IF(U353&gt;0,"xx",IF(P353&gt;0,"xy",""))</f>
        <v/>
      </c>
      <c r="X356" s="586" t="str">
        <f t="shared" si="108"/>
        <v/>
      </c>
      <c r="Y356" s="586" t="str">
        <f t="shared" si="102"/>
        <v/>
      </c>
      <c r="Z356" s="586" t="str">
        <f t="shared" si="106"/>
        <v/>
      </c>
    </row>
    <row r="357" spans="1:26" ht="12" hidden="1" thickBot="1" x14ac:dyDescent="0.25">
      <c r="A357" s="671" t="s">
        <v>168</v>
      </c>
      <c r="B357" s="644" t="s">
        <v>168</v>
      </c>
      <c r="C357" s="645"/>
      <c r="D357" s="451" t="s">
        <v>263</v>
      </c>
      <c r="E357" s="423"/>
      <c r="F357" s="424">
        <v>20</v>
      </c>
      <c r="G357" s="425">
        <v>1</v>
      </c>
      <c r="H357" s="651">
        <f>IF(F357&lt;=30,(1.07*F357+6.45)*G357,((1.07*30+6.45)+1.07*(F357-30))*G357)</f>
        <v>27.85</v>
      </c>
      <c r="I357" s="420">
        <v>0</v>
      </c>
      <c r="J357" s="420"/>
      <c r="K357" s="421">
        <f t="shared" si="94"/>
        <v>0</v>
      </c>
      <c r="L357" s="647" t="s">
        <v>614</v>
      </c>
      <c r="M357" s="703"/>
      <c r="N357" s="576">
        <f t="shared" si="103"/>
        <v>0</v>
      </c>
      <c r="O357" s="577">
        <f t="shared" si="82"/>
        <v>0</v>
      </c>
      <c r="P357" s="578">
        <f t="shared" si="83"/>
        <v>0</v>
      </c>
      <c r="Q357" s="765"/>
      <c r="R357" s="703"/>
      <c r="S357" s="670"/>
      <c r="T357" s="577">
        <f t="shared" si="84"/>
        <v>0</v>
      </c>
      <c r="U357" s="578">
        <f t="shared" si="85"/>
        <v>0</v>
      </c>
      <c r="V357" s="579"/>
      <c r="W357" s="637" t="str">
        <f>IF(U353&gt;0,"xx",IF(P353&gt;0,"xy",""))</f>
        <v/>
      </c>
      <c r="X357" s="586" t="str">
        <f t="shared" si="108"/>
        <v/>
      </c>
      <c r="Y357" s="586" t="str">
        <f t="shared" si="102"/>
        <v/>
      </c>
      <c r="Z357" s="586" t="str">
        <f t="shared" si="106"/>
        <v/>
      </c>
    </row>
    <row r="358" spans="1:26" ht="12" hidden="1" thickBot="1" x14ac:dyDescent="0.25">
      <c r="A358" s="671">
        <v>589000</v>
      </c>
      <c r="B358" s="707" t="s">
        <v>1777</v>
      </c>
      <c r="C358" s="554" t="s">
        <v>1746</v>
      </c>
      <c r="D358" s="477" t="s">
        <v>657</v>
      </c>
      <c r="E358" s="481"/>
      <c r="F358" s="486">
        <v>500</v>
      </c>
      <c r="G358" s="479">
        <v>1</v>
      </c>
      <c r="H358" s="663">
        <f>(0.94*F358+46.06)*G358</f>
        <v>516.05999999999995</v>
      </c>
      <c r="I358" s="472">
        <v>5725</v>
      </c>
      <c r="J358" s="472">
        <f>IF(ISBLANK(I358),"",I358*(1+$F$9)/(1+$F$10))+H358</f>
        <v>6070.962785960779</v>
      </c>
      <c r="K358" s="709">
        <f t="shared" si="94"/>
        <v>7212.91</v>
      </c>
      <c r="L358" s="561" t="s">
        <v>20</v>
      </c>
      <c r="M358" s="692">
        <f>ROUND(M353*G353,2)</f>
        <v>0</v>
      </c>
      <c r="N358" s="696">
        <f t="shared" si="103"/>
        <v>0</v>
      </c>
      <c r="O358" s="693">
        <f>IF(ISBLANK(M358),0,ROUND(K358*M358,2))</f>
        <v>0</v>
      </c>
      <c r="P358" s="694">
        <f>IF(ISBLANK(N358),0,ROUND(M358*N358,2))</f>
        <v>0</v>
      </c>
      <c r="Q358" s="765"/>
      <c r="R358" s="695">
        <f>ROUND(R353*G353,2)</f>
        <v>0</v>
      </c>
      <c r="S358" s="711">
        <f>N358</f>
        <v>0</v>
      </c>
      <c r="T358" s="693">
        <f t="shared" si="84"/>
        <v>0</v>
      </c>
      <c r="U358" s="694">
        <f t="shared" si="85"/>
        <v>0</v>
      </c>
      <c r="V358" s="579"/>
      <c r="W358" s="637" t="str">
        <f>IF(U353&gt;0,"xx",IF(P353&gt;0,"xy",""))</f>
        <v/>
      </c>
      <c r="X358" s="586" t="str">
        <f t="shared" si="108"/>
        <v/>
      </c>
      <c r="Y358" s="586" t="str">
        <f t="shared" si="102"/>
        <v/>
      </c>
      <c r="Z358" s="586" t="str">
        <f t="shared" si="106"/>
        <v/>
      </c>
    </row>
    <row r="359" spans="1:26" ht="12" hidden="1" thickBot="1" x14ac:dyDescent="0.25">
      <c r="A359" s="671">
        <v>570310</v>
      </c>
      <c r="B359" s="701" t="s">
        <v>1625</v>
      </c>
      <c r="C359" s="702" t="s">
        <v>206</v>
      </c>
      <c r="D359" s="485" t="s">
        <v>815</v>
      </c>
      <c r="E359" s="464"/>
      <c r="F359" s="465" t="s">
        <v>662</v>
      </c>
      <c r="G359" s="466">
        <v>0.04</v>
      </c>
      <c r="H359" s="681">
        <f>SUM(H360:H363)</f>
        <v>36.552130000000005</v>
      </c>
      <c r="I359" s="467">
        <v>168.63</v>
      </c>
      <c r="J359" s="467">
        <f>IF(ISBLANK(I359),"",SUM(H359:I359))</f>
        <v>205.18213</v>
      </c>
      <c r="K359" s="682">
        <f t="shared" si="94"/>
        <v>243.78</v>
      </c>
      <c r="L359" s="683" t="s">
        <v>20</v>
      </c>
      <c r="M359" s="685"/>
      <c r="N359" s="576">
        <f t="shared" si="103"/>
        <v>0</v>
      </c>
      <c r="O359" s="687">
        <f t="shared" si="82"/>
        <v>0</v>
      </c>
      <c r="P359" s="688">
        <f t="shared" si="83"/>
        <v>0</v>
      </c>
      <c r="Q359" s="765"/>
      <c r="R359" s="685">
        <f>M359</f>
        <v>0</v>
      </c>
      <c r="S359" s="686">
        <f>N359</f>
        <v>0</v>
      </c>
      <c r="T359" s="687">
        <f t="shared" si="84"/>
        <v>0</v>
      </c>
      <c r="U359" s="688">
        <f t="shared" si="85"/>
        <v>0</v>
      </c>
      <c r="V359" s="579"/>
      <c r="W359" s="566"/>
      <c r="X359" s="586" t="str">
        <f t="shared" si="108"/>
        <v/>
      </c>
      <c r="Y359" s="586" t="str">
        <f t="shared" si="102"/>
        <v/>
      </c>
      <c r="Z359" s="586" t="str">
        <f t="shared" si="106"/>
        <v/>
      </c>
    </row>
    <row r="360" spans="1:26" ht="12" hidden="1" thickBot="1" x14ac:dyDescent="0.25">
      <c r="A360" s="671" t="s">
        <v>168</v>
      </c>
      <c r="B360" s="644" t="s">
        <v>168</v>
      </c>
      <c r="C360" s="645"/>
      <c r="D360" s="451" t="s">
        <v>248</v>
      </c>
      <c r="E360" s="423"/>
      <c r="F360" s="424">
        <v>180</v>
      </c>
      <c r="G360" s="425">
        <v>0</v>
      </c>
      <c r="H360" s="663">
        <f t="shared" ref="H360:H362" si="109">IF(F360&lt;=30,(1.07*F360+2.68)*G360,((1.07*30+2.68)+1.07*(F360-30))*G360)</f>
        <v>0</v>
      </c>
      <c r="I360" s="420">
        <v>0</v>
      </c>
      <c r="J360" s="420">
        <f>IF(ISBLANK(I360),"",SUM(H360:I360))</f>
        <v>0</v>
      </c>
      <c r="K360" s="421">
        <f t="shared" si="94"/>
        <v>0</v>
      </c>
      <c r="L360" s="647" t="s">
        <v>614</v>
      </c>
      <c r="M360" s="703"/>
      <c r="N360" s="576">
        <f t="shared" si="103"/>
        <v>0</v>
      </c>
      <c r="O360" s="577">
        <f t="shared" si="82"/>
        <v>0</v>
      </c>
      <c r="P360" s="578">
        <f t="shared" si="83"/>
        <v>0</v>
      </c>
      <c r="Q360" s="765"/>
      <c r="R360" s="703"/>
      <c r="S360" s="670"/>
      <c r="T360" s="577">
        <f t="shared" si="84"/>
        <v>0</v>
      </c>
      <c r="U360" s="578">
        <f t="shared" si="85"/>
        <v>0</v>
      </c>
      <c r="V360" s="579"/>
      <c r="W360" s="637" t="str">
        <f>IF(U359&gt;0,"xx",IF(P359&gt;0,"xy",""))</f>
        <v/>
      </c>
      <c r="X360" s="586" t="str">
        <f t="shared" si="108"/>
        <v/>
      </c>
      <c r="Y360" s="586" t="str">
        <f t="shared" si="102"/>
        <v/>
      </c>
      <c r="Z360" s="586" t="str">
        <f t="shared" si="106"/>
        <v/>
      </c>
    </row>
    <row r="361" spans="1:26" ht="12" hidden="1" thickBot="1" x14ac:dyDescent="0.25">
      <c r="A361" s="671" t="s">
        <v>168</v>
      </c>
      <c r="B361" s="644" t="s">
        <v>168</v>
      </c>
      <c r="C361" s="645"/>
      <c r="D361" s="451" t="s">
        <v>249</v>
      </c>
      <c r="E361" s="423"/>
      <c r="F361" s="424">
        <v>500</v>
      </c>
      <c r="G361" s="425">
        <v>1.4999999999999999E-2</v>
      </c>
      <c r="H361" s="649">
        <f>IF(F361&lt;=30,(0.78*F361+7.82)*G361,((0.78*30+7.82)+0.78*(F361-30))*G361)</f>
        <v>5.9673000000000007</v>
      </c>
      <c r="I361" s="420">
        <v>0</v>
      </c>
      <c r="J361" s="420"/>
      <c r="K361" s="421">
        <f t="shared" si="94"/>
        <v>0</v>
      </c>
      <c r="L361" s="647" t="s">
        <v>614</v>
      </c>
      <c r="M361" s="703"/>
      <c r="N361" s="576">
        <f t="shared" si="103"/>
        <v>0</v>
      </c>
      <c r="O361" s="577">
        <f t="shared" si="82"/>
        <v>0</v>
      </c>
      <c r="P361" s="578">
        <f t="shared" si="83"/>
        <v>0</v>
      </c>
      <c r="Q361" s="765"/>
      <c r="R361" s="703"/>
      <c r="S361" s="670"/>
      <c r="T361" s="577">
        <f t="shared" si="84"/>
        <v>0</v>
      </c>
      <c r="U361" s="578">
        <f t="shared" si="85"/>
        <v>0</v>
      </c>
      <c r="V361" s="579"/>
      <c r="W361" s="637" t="str">
        <f>IF(U359&gt;0,"xx",IF(P359&gt;0,"xy",""))</f>
        <v/>
      </c>
      <c r="X361" s="586" t="str">
        <f t="shared" si="108"/>
        <v/>
      </c>
      <c r="Y361" s="586" t="str">
        <f t="shared" si="102"/>
        <v/>
      </c>
      <c r="Z361" s="586" t="str">
        <f t="shared" si="106"/>
        <v/>
      </c>
    </row>
    <row r="362" spans="1:26" ht="12" hidden="1" thickBot="1" x14ac:dyDescent="0.25">
      <c r="A362" s="671" t="s">
        <v>168</v>
      </c>
      <c r="B362" s="644" t="s">
        <v>168</v>
      </c>
      <c r="C362" s="645"/>
      <c r="D362" s="451" t="s">
        <v>262</v>
      </c>
      <c r="E362" s="423"/>
      <c r="F362" s="424">
        <v>0.2</v>
      </c>
      <c r="G362" s="425">
        <v>0.94499999999999995</v>
      </c>
      <c r="H362" s="663">
        <f t="shared" si="109"/>
        <v>2.7348300000000001</v>
      </c>
      <c r="I362" s="420">
        <v>0</v>
      </c>
      <c r="J362" s="420"/>
      <c r="K362" s="421">
        <f t="shared" si="94"/>
        <v>0</v>
      </c>
      <c r="L362" s="647" t="s">
        <v>614</v>
      </c>
      <c r="M362" s="703"/>
      <c r="N362" s="576">
        <f t="shared" si="103"/>
        <v>0</v>
      </c>
      <c r="O362" s="577">
        <f t="shared" si="82"/>
        <v>0</v>
      </c>
      <c r="P362" s="578">
        <f t="shared" si="83"/>
        <v>0</v>
      </c>
      <c r="Q362" s="765"/>
      <c r="R362" s="703"/>
      <c r="S362" s="670"/>
      <c r="T362" s="577">
        <f t="shared" si="84"/>
        <v>0</v>
      </c>
      <c r="U362" s="578">
        <f t="shared" si="85"/>
        <v>0</v>
      </c>
      <c r="V362" s="579"/>
      <c r="W362" s="637" t="str">
        <f>IF(U359&gt;0,"xx",IF(P359&gt;0,"xy",""))</f>
        <v/>
      </c>
      <c r="X362" s="586" t="str">
        <f t="shared" si="108"/>
        <v/>
      </c>
      <c r="Y362" s="586" t="str">
        <f t="shared" si="102"/>
        <v/>
      </c>
      <c r="Z362" s="586" t="str">
        <f t="shared" si="106"/>
        <v/>
      </c>
    </row>
    <row r="363" spans="1:26" ht="12" hidden="1" thickBot="1" x14ac:dyDescent="0.25">
      <c r="A363" s="671" t="s">
        <v>168</v>
      </c>
      <c r="B363" s="644" t="s">
        <v>168</v>
      </c>
      <c r="C363" s="645"/>
      <c r="D363" s="451" t="s">
        <v>263</v>
      </c>
      <c r="E363" s="423"/>
      <c r="F363" s="424">
        <v>20</v>
      </c>
      <c r="G363" s="425">
        <f>SUM(G359:G362)</f>
        <v>1</v>
      </c>
      <c r="H363" s="651">
        <f>IF(F363&lt;=30,(1.07*F363+6.45)*G363,((1.07*30+6.45)+1.07*(F363-30))*G363)</f>
        <v>27.85</v>
      </c>
      <c r="I363" s="420">
        <v>0</v>
      </c>
      <c r="J363" s="420"/>
      <c r="K363" s="421">
        <f t="shared" si="94"/>
        <v>0</v>
      </c>
      <c r="L363" s="647" t="s">
        <v>614</v>
      </c>
      <c r="M363" s="703"/>
      <c r="N363" s="576">
        <f t="shared" si="103"/>
        <v>0</v>
      </c>
      <c r="O363" s="577">
        <f t="shared" si="82"/>
        <v>0</v>
      </c>
      <c r="P363" s="578">
        <f t="shared" si="83"/>
        <v>0</v>
      </c>
      <c r="Q363" s="765"/>
      <c r="R363" s="703"/>
      <c r="S363" s="670"/>
      <c r="T363" s="577">
        <f t="shared" si="84"/>
        <v>0</v>
      </c>
      <c r="U363" s="578">
        <f t="shared" si="85"/>
        <v>0</v>
      </c>
      <c r="V363" s="579"/>
      <c r="W363" s="637" t="str">
        <f>IF(U359&gt;0,"xx",IF(P359&gt;0,"xy",""))</f>
        <v/>
      </c>
      <c r="X363" s="586" t="str">
        <f t="shared" si="108"/>
        <v/>
      </c>
      <c r="Y363" s="586" t="str">
        <f t="shared" si="102"/>
        <v/>
      </c>
      <c r="Z363" s="586" t="str">
        <f t="shared" si="106"/>
        <v/>
      </c>
    </row>
    <row r="364" spans="1:26" ht="12" hidden="1" thickBot="1" x14ac:dyDescent="0.25">
      <c r="A364" s="671">
        <v>589000</v>
      </c>
      <c r="B364" s="704" t="s">
        <v>1778</v>
      </c>
      <c r="C364" s="689" t="s">
        <v>1746</v>
      </c>
      <c r="D364" s="477" t="s">
        <v>658</v>
      </c>
      <c r="E364" s="470"/>
      <c r="F364" s="486">
        <v>500</v>
      </c>
      <c r="G364" s="479">
        <v>1</v>
      </c>
      <c r="H364" s="663">
        <f>(0.94*F364+46.06)*G364</f>
        <v>516.05999999999995</v>
      </c>
      <c r="I364" s="472">
        <v>5725</v>
      </c>
      <c r="J364" s="472">
        <f>IF(ISBLANK(I364),"",I364*(1+$F$9)/(1+$F$10))+H364</f>
        <v>6070.962785960779</v>
      </c>
      <c r="K364" s="690">
        <f t="shared" si="94"/>
        <v>7212.91</v>
      </c>
      <c r="L364" s="691" t="s">
        <v>20</v>
      </c>
      <c r="M364" s="692">
        <f>ROUND(M359*G359,2)</f>
        <v>0</v>
      </c>
      <c r="N364" s="588">
        <f t="shared" si="103"/>
        <v>0</v>
      </c>
      <c r="O364" s="693">
        <f>IF(ISBLANK(M364),0,ROUND(K364*M364,2))</f>
        <v>0</v>
      </c>
      <c r="P364" s="694">
        <f>IF(ISBLANK(N364),0,ROUND(M364*N364,2))</f>
        <v>0</v>
      </c>
      <c r="Q364" s="765"/>
      <c r="R364" s="695">
        <f>ROUND(R359*G359,2)</f>
        <v>0</v>
      </c>
      <c r="S364" s="711">
        <f>N364</f>
        <v>0</v>
      </c>
      <c r="T364" s="693">
        <f t="shared" ref="T364:T427" si="110">IF(ISBLANK(R364),0,ROUND(K364*R364,2))</f>
        <v>0</v>
      </c>
      <c r="U364" s="694">
        <f t="shared" ref="U364:U427" si="111">IF(ISBLANK(R364),0,ROUND(R364*S364,2))</f>
        <v>0</v>
      </c>
      <c r="V364" s="579"/>
      <c r="W364" s="637" t="str">
        <f>IF(U359&gt;0,"xx",IF(P359&gt;0,"xy",""))</f>
        <v/>
      </c>
      <c r="X364" s="586" t="str">
        <f t="shared" si="108"/>
        <v/>
      </c>
      <c r="Y364" s="586" t="str">
        <f t="shared" si="102"/>
        <v/>
      </c>
      <c r="Z364" s="586" t="str">
        <f t="shared" si="106"/>
        <v/>
      </c>
    </row>
    <row r="365" spans="1:26" ht="12" hidden="1" thickBot="1" x14ac:dyDescent="0.25">
      <c r="A365" s="671">
        <v>570140</v>
      </c>
      <c r="B365" s="701">
        <v>570140</v>
      </c>
      <c r="C365" s="702" t="s">
        <v>206</v>
      </c>
      <c r="D365" s="485" t="s">
        <v>671</v>
      </c>
      <c r="E365" s="464"/>
      <c r="F365" s="465" t="s">
        <v>662</v>
      </c>
      <c r="G365" s="466">
        <v>0.05</v>
      </c>
      <c r="H365" s="681">
        <f>SUM(H366:H369)</f>
        <v>55.975445399999998</v>
      </c>
      <c r="I365" s="467">
        <v>287.22000000000003</v>
      </c>
      <c r="J365" s="467">
        <f>IF(ISBLANK(I365),"",SUM(H365:I365))</f>
        <v>343.19544540000004</v>
      </c>
      <c r="K365" s="682">
        <f t="shared" si="94"/>
        <v>407.75</v>
      </c>
      <c r="L365" s="683" t="s">
        <v>20</v>
      </c>
      <c r="M365" s="685"/>
      <c r="N365" s="686">
        <f t="shared" si="103"/>
        <v>0</v>
      </c>
      <c r="O365" s="687">
        <f t="shared" ref="O365:O428" si="112">IF(ISBLANK(M365),0,ROUND(K365*M365,2))</f>
        <v>0</v>
      </c>
      <c r="P365" s="688">
        <f t="shared" ref="P365:P428" si="113">IF(ISBLANK(N365),0,ROUND(M365*N365,2))</f>
        <v>0</v>
      </c>
      <c r="Q365" s="765"/>
      <c r="R365" s="685">
        <f>M365</f>
        <v>0</v>
      </c>
      <c r="S365" s="686">
        <f>N365</f>
        <v>0</v>
      </c>
      <c r="T365" s="687">
        <f t="shared" si="110"/>
        <v>0</v>
      </c>
      <c r="U365" s="688">
        <f t="shared" si="111"/>
        <v>0</v>
      </c>
      <c r="V365" s="579"/>
      <c r="W365" s="566"/>
      <c r="X365" s="586" t="str">
        <f t="shared" si="108"/>
        <v/>
      </c>
      <c r="Y365" s="586" t="str">
        <f t="shared" si="102"/>
        <v/>
      </c>
      <c r="Z365" s="586" t="str">
        <f t="shared" si="106"/>
        <v/>
      </c>
    </row>
    <row r="366" spans="1:26" ht="12" hidden="1" thickBot="1" x14ac:dyDescent="0.25">
      <c r="A366" s="671" t="s">
        <v>168</v>
      </c>
      <c r="B366" s="644" t="s">
        <v>168</v>
      </c>
      <c r="C366" s="645"/>
      <c r="D366" s="451" t="s">
        <v>248</v>
      </c>
      <c r="E366" s="423"/>
      <c r="F366" s="424">
        <v>180</v>
      </c>
      <c r="G366" s="425">
        <v>0.1007</v>
      </c>
      <c r="H366" s="663">
        <f t="shared" ref="H366:H368" si="114">IF(F366&lt;=30,(1.07*F366+2.68)*G366,((1.07*30+2.68)+1.07*(F366-30))*G366)</f>
        <v>19.664695999999999</v>
      </c>
      <c r="I366" s="420">
        <v>0</v>
      </c>
      <c r="J366" s="420"/>
      <c r="K366" s="421">
        <f t="shared" si="94"/>
        <v>0</v>
      </c>
      <c r="L366" s="668" t="s">
        <v>614</v>
      </c>
      <c r="M366" s="703"/>
      <c r="N366" s="576">
        <f t="shared" si="103"/>
        <v>0</v>
      </c>
      <c r="O366" s="577">
        <f t="shared" si="112"/>
        <v>0</v>
      </c>
      <c r="P366" s="578">
        <f t="shared" si="113"/>
        <v>0</v>
      </c>
      <c r="Q366" s="765"/>
      <c r="R366" s="703"/>
      <c r="S366" s="670"/>
      <c r="T366" s="577">
        <f t="shared" si="110"/>
        <v>0</v>
      </c>
      <c r="U366" s="578">
        <f t="shared" si="111"/>
        <v>0</v>
      </c>
      <c r="V366" s="579"/>
      <c r="W366" s="637" t="str">
        <f>IF(U365&gt;0,"xx",IF(P365&gt;0,"xy",""))</f>
        <v/>
      </c>
      <c r="X366" s="586" t="str">
        <f t="shared" si="108"/>
        <v/>
      </c>
      <c r="Y366" s="586" t="str">
        <f t="shared" si="102"/>
        <v/>
      </c>
      <c r="Z366" s="586" t="str">
        <f t="shared" si="106"/>
        <v/>
      </c>
    </row>
    <row r="367" spans="1:26" ht="12" hidden="1" thickBot="1" x14ac:dyDescent="0.25">
      <c r="A367" s="671" t="s">
        <v>168</v>
      </c>
      <c r="B367" s="644" t="s">
        <v>168</v>
      </c>
      <c r="C367" s="645"/>
      <c r="D367" s="451" t="s">
        <v>249</v>
      </c>
      <c r="E367" s="423"/>
      <c r="F367" s="424">
        <v>500</v>
      </c>
      <c r="G367" s="425">
        <v>1.52E-2</v>
      </c>
      <c r="H367" s="649">
        <f>IF(F367&lt;=30,(0.78*F367+7.82)*G367,((0.78*30+7.82)+0.78*(F367-30))*G367)</f>
        <v>6.0468640000000011</v>
      </c>
      <c r="I367" s="420">
        <v>0</v>
      </c>
      <c r="J367" s="420"/>
      <c r="K367" s="421">
        <f t="shared" si="94"/>
        <v>0</v>
      </c>
      <c r="L367" s="668" t="s">
        <v>614</v>
      </c>
      <c r="M367" s="703"/>
      <c r="N367" s="576">
        <f t="shared" si="103"/>
        <v>0</v>
      </c>
      <c r="O367" s="577">
        <f t="shared" si="112"/>
        <v>0</v>
      </c>
      <c r="P367" s="578">
        <f t="shared" si="113"/>
        <v>0</v>
      </c>
      <c r="Q367" s="765"/>
      <c r="R367" s="703"/>
      <c r="S367" s="670"/>
      <c r="T367" s="577">
        <f t="shared" si="110"/>
        <v>0</v>
      </c>
      <c r="U367" s="578">
        <f t="shared" si="111"/>
        <v>0</v>
      </c>
      <c r="V367" s="579"/>
      <c r="W367" s="637" t="str">
        <f>IF(U365&gt;0,"xx",IF(P365&gt;0,"xy",""))</f>
        <v/>
      </c>
      <c r="X367" s="586" t="str">
        <f t="shared" si="108"/>
        <v/>
      </c>
      <c r="Y367" s="586" t="str">
        <f t="shared" si="102"/>
        <v/>
      </c>
      <c r="Z367" s="586" t="str">
        <f t="shared" si="106"/>
        <v/>
      </c>
    </row>
    <row r="368" spans="1:26" ht="12" hidden="1" thickBot="1" x14ac:dyDescent="0.25">
      <c r="A368" s="671" t="s">
        <v>168</v>
      </c>
      <c r="B368" s="644" t="s">
        <v>168</v>
      </c>
      <c r="C368" s="645"/>
      <c r="D368" s="451" t="s">
        <v>262</v>
      </c>
      <c r="E368" s="423"/>
      <c r="F368" s="424">
        <v>0.2</v>
      </c>
      <c r="G368" s="425">
        <v>0.83409999999999995</v>
      </c>
      <c r="H368" s="663">
        <f t="shared" si="114"/>
        <v>2.4138853999999998</v>
      </c>
      <c r="I368" s="420">
        <v>0</v>
      </c>
      <c r="J368" s="420"/>
      <c r="K368" s="421">
        <f t="shared" si="94"/>
        <v>0</v>
      </c>
      <c r="L368" s="668" t="s">
        <v>614</v>
      </c>
      <c r="M368" s="703"/>
      <c r="N368" s="576">
        <f t="shared" si="103"/>
        <v>0</v>
      </c>
      <c r="O368" s="577">
        <f t="shared" si="112"/>
        <v>0</v>
      </c>
      <c r="P368" s="578">
        <f t="shared" si="113"/>
        <v>0</v>
      </c>
      <c r="Q368" s="765"/>
      <c r="R368" s="703"/>
      <c r="S368" s="670"/>
      <c r="T368" s="577">
        <f t="shared" si="110"/>
        <v>0</v>
      </c>
      <c r="U368" s="578">
        <f t="shared" si="111"/>
        <v>0</v>
      </c>
      <c r="V368" s="579"/>
      <c r="W368" s="637" t="str">
        <f>IF(U365&gt;0,"xx",IF(P365&gt;0,"xy",""))</f>
        <v/>
      </c>
      <c r="X368" s="586" t="str">
        <f t="shared" si="108"/>
        <v/>
      </c>
      <c r="Y368" s="586" t="str">
        <f t="shared" si="102"/>
        <v/>
      </c>
      <c r="Z368" s="586" t="str">
        <f t="shared" si="106"/>
        <v/>
      </c>
    </row>
    <row r="369" spans="1:26" ht="12" hidden="1" thickBot="1" x14ac:dyDescent="0.25">
      <c r="A369" s="671" t="s">
        <v>168</v>
      </c>
      <c r="B369" s="644" t="s">
        <v>168</v>
      </c>
      <c r="C369" s="645"/>
      <c r="D369" s="451" t="s">
        <v>263</v>
      </c>
      <c r="E369" s="423"/>
      <c r="F369" s="424">
        <v>20</v>
      </c>
      <c r="G369" s="425">
        <f>SUM(G365:G368)</f>
        <v>1</v>
      </c>
      <c r="H369" s="651">
        <f>IF(F369&lt;=30,(1.07*F369+6.45)*G369,((1.07*30+6.45)+1.07*(F369-30))*G369)</f>
        <v>27.85</v>
      </c>
      <c r="I369" s="420">
        <v>0</v>
      </c>
      <c r="J369" s="420"/>
      <c r="K369" s="421">
        <f t="shared" si="94"/>
        <v>0</v>
      </c>
      <c r="L369" s="668" t="s">
        <v>614</v>
      </c>
      <c r="M369" s="703"/>
      <c r="N369" s="576">
        <f t="shared" si="103"/>
        <v>0</v>
      </c>
      <c r="O369" s="577">
        <f t="shared" si="112"/>
        <v>0</v>
      </c>
      <c r="P369" s="578">
        <f t="shared" si="113"/>
        <v>0</v>
      </c>
      <c r="Q369" s="765"/>
      <c r="R369" s="703"/>
      <c r="S369" s="670"/>
      <c r="T369" s="577">
        <f t="shared" si="110"/>
        <v>0</v>
      </c>
      <c r="U369" s="578">
        <f t="shared" si="111"/>
        <v>0</v>
      </c>
      <c r="V369" s="579"/>
      <c r="W369" s="637" t="str">
        <f>IF(U365&gt;0,"xx",IF(P365&gt;0,"xy",""))</f>
        <v/>
      </c>
      <c r="X369" s="586" t="str">
        <f t="shared" si="108"/>
        <v/>
      </c>
      <c r="Y369" s="586" t="str">
        <f t="shared" si="102"/>
        <v/>
      </c>
      <c r="Z369" s="586" t="str">
        <f t="shared" si="106"/>
        <v/>
      </c>
    </row>
    <row r="370" spans="1:26" ht="12" hidden="1" thickBot="1" x14ac:dyDescent="0.25">
      <c r="A370" s="671">
        <v>589000</v>
      </c>
      <c r="B370" s="704" t="s">
        <v>1779</v>
      </c>
      <c r="C370" s="689" t="s">
        <v>1746</v>
      </c>
      <c r="D370" s="477" t="s">
        <v>659</v>
      </c>
      <c r="E370" s="470"/>
      <c r="F370" s="478">
        <v>500</v>
      </c>
      <c r="G370" s="479">
        <v>1</v>
      </c>
      <c r="H370" s="663">
        <f>(0.94*F370+46.06)*G370</f>
        <v>516.05999999999995</v>
      </c>
      <c r="I370" s="472">
        <v>5725</v>
      </c>
      <c r="J370" s="472">
        <f>IF(ISBLANK(I370),"",I370*(1+$F$9)/(1+$F$10))+H370</f>
        <v>6070.962785960779</v>
      </c>
      <c r="K370" s="690">
        <f t="shared" si="94"/>
        <v>7212.91</v>
      </c>
      <c r="L370" s="691" t="s">
        <v>20</v>
      </c>
      <c r="M370" s="692">
        <f>ROUND(M365*G365,2)</f>
        <v>0</v>
      </c>
      <c r="N370" s="696">
        <f t="shared" si="103"/>
        <v>0</v>
      </c>
      <c r="O370" s="693">
        <f t="shared" si="112"/>
        <v>0</v>
      </c>
      <c r="P370" s="694">
        <f t="shared" si="113"/>
        <v>0</v>
      </c>
      <c r="Q370" s="765"/>
      <c r="R370" s="695">
        <f>ROUND(R365*G365,2)</f>
        <v>0</v>
      </c>
      <c r="S370" s="711">
        <f>N370</f>
        <v>0</v>
      </c>
      <c r="T370" s="693">
        <f t="shared" si="110"/>
        <v>0</v>
      </c>
      <c r="U370" s="694">
        <f t="shared" si="111"/>
        <v>0</v>
      </c>
      <c r="V370" s="579"/>
      <c r="W370" s="637" t="str">
        <f>IF(U365&gt;0,"xx",IF(P365&gt;0,"xy",""))</f>
        <v/>
      </c>
      <c r="X370" s="586" t="str">
        <f t="shared" si="108"/>
        <v/>
      </c>
      <c r="Y370" s="586" t="str">
        <f t="shared" si="102"/>
        <v/>
      </c>
      <c r="Z370" s="586" t="str">
        <f t="shared" si="106"/>
        <v/>
      </c>
    </row>
    <row r="371" spans="1:26" ht="12" hidden="1" thickBot="1" x14ac:dyDescent="0.25">
      <c r="A371" s="671">
        <v>570170</v>
      </c>
      <c r="B371" s="701">
        <v>570170</v>
      </c>
      <c r="C371" s="702" t="s">
        <v>206</v>
      </c>
      <c r="D371" s="485" t="s">
        <v>2068</v>
      </c>
      <c r="E371" s="464"/>
      <c r="F371" s="465" t="s">
        <v>662</v>
      </c>
      <c r="G371" s="466">
        <v>0.05</v>
      </c>
      <c r="H371" s="681">
        <f>SUM(H372:H375)</f>
        <v>55.975445399999998</v>
      </c>
      <c r="I371" s="467">
        <v>223.8</v>
      </c>
      <c r="J371" s="467">
        <f>IF(ISBLANK(I371),"",SUM(H371:I371))</f>
        <v>279.77544540000002</v>
      </c>
      <c r="K371" s="682">
        <f t="shared" si="94"/>
        <v>332.4</v>
      </c>
      <c r="L371" s="683" t="s">
        <v>20</v>
      </c>
      <c r="M371" s="685"/>
      <c r="N371" s="576">
        <f t="shared" si="103"/>
        <v>0</v>
      </c>
      <c r="O371" s="687">
        <f t="shared" si="112"/>
        <v>0</v>
      </c>
      <c r="P371" s="688">
        <f t="shared" si="113"/>
        <v>0</v>
      </c>
      <c r="Q371" s="765"/>
      <c r="R371" s="685">
        <f>M371</f>
        <v>0</v>
      </c>
      <c r="S371" s="686">
        <f>N371</f>
        <v>0</v>
      </c>
      <c r="T371" s="687">
        <f t="shared" si="110"/>
        <v>0</v>
      </c>
      <c r="U371" s="688">
        <f t="shared" si="111"/>
        <v>0</v>
      </c>
      <c r="V371" s="579"/>
      <c r="W371" s="566"/>
      <c r="X371" s="586" t="str">
        <f t="shared" si="108"/>
        <v/>
      </c>
      <c r="Y371" s="586" t="str">
        <f t="shared" si="102"/>
        <v/>
      </c>
      <c r="Z371" s="586" t="str">
        <f t="shared" si="106"/>
        <v/>
      </c>
    </row>
    <row r="372" spans="1:26" ht="12" hidden="1" thickBot="1" x14ac:dyDescent="0.25">
      <c r="A372" s="671" t="s">
        <v>168</v>
      </c>
      <c r="B372" s="644" t="s">
        <v>168</v>
      </c>
      <c r="C372" s="645"/>
      <c r="D372" s="451" t="s">
        <v>248</v>
      </c>
      <c r="E372" s="423"/>
      <c r="F372" s="424">
        <v>180</v>
      </c>
      <c r="G372" s="425">
        <v>0.1007</v>
      </c>
      <c r="H372" s="663">
        <f t="shared" ref="H372:H374" si="115">IF(F372&lt;=30,(1.07*F372+2.68)*G372,((1.07*30+2.68)+1.07*(F372-30))*G372)</f>
        <v>19.664695999999999</v>
      </c>
      <c r="I372" s="420">
        <v>0</v>
      </c>
      <c r="J372" s="420"/>
      <c r="K372" s="421">
        <f t="shared" si="94"/>
        <v>0</v>
      </c>
      <c r="L372" s="668" t="s">
        <v>614</v>
      </c>
      <c r="M372" s="703"/>
      <c r="N372" s="576">
        <f t="shared" si="103"/>
        <v>0</v>
      </c>
      <c r="O372" s="577">
        <f t="shared" si="112"/>
        <v>0</v>
      </c>
      <c r="P372" s="578">
        <f t="shared" si="113"/>
        <v>0</v>
      </c>
      <c r="Q372" s="765"/>
      <c r="R372" s="703"/>
      <c r="S372" s="670"/>
      <c r="T372" s="577">
        <f t="shared" si="110"/>
        <v>0</v>
      </c>
      <c r="U372" s="578">
        <f t="shared" si="111"/>
        <v>0</v>
      </c>
      <c r="V372" s="579"/>
      <c r="W372" s="637" t="str">
        <f>IF(U371&gt;0,"xx",IF(P371&gt;0,"xy",""))</f>
        <v/>
      </c>
      <c r="X372" s="586" t="str">
        <f t="shared" si="108"/>
        <v/>
      </c>
      <c r="Y372" s="586" t="str">
        <f t="shared" si="102"/>
        <v/>
      </c>
      <c r="Z372" s="586" t="str">
        <f t="shared" si="106"/>
        <v/>
      </c>
    </row>
    <row r="373" spans="1:26" ht="12" hidden="1" thickBot="1" x14ac:dyDescent="0.25">
      <c r="A373" s="671" t="s">
        <v>168</v>
      </c>
      <c r="B373" s="644" t="s">
        <v>168</v>
      </c>
      <c r="C373" s="645"/>
      <c r="D373" s="451" t="s">
        <v>249</v>
      </c>
      <c r="E373" s="423"/>
      <c r="F373" s="424">
        <v>500</v>
      </c>
      <c r="G373" s="425">
        <v>1.52E-2</v>
      </c>
      <c r="H373" s="649">
        <f>IF(F373&lt;=30,(0.78*F373+7.82)*G373,((0.78*30+7.82)+0.78*(F373-30))*G373)</f>
        <v>6.0468640000000011</v>
      </c>
      <c r="I373" s="420">
        <v>0</v>
      </c>
      <c r="J373" s="420"/>
      <c r="K373" s="421">
        <f t="shared" si="94"/>
        <v>0</v>
      </c>
      <c r="L373" s="668" t="s">
        <v>614</v>
      </c>
      <c r="M373" s="703"/>
      <c r="N373" s="576">
        <f t="shared" si="103"/>
        <v>0</v>
      </c>
      <c r="O373" s="577">
        <f t="shared" si="112"/>
        <v>0</v>
      </c>
      <c r="P373" s="578">
        <f t="shared" si="113"/>
        <v>0</v>
      </c>
      <c r="Q373" s="765"/>
      <c r="R373" s="703"/>
      <c r="S373" s="670"/>
      <c r="T373" s="577">
        <f t="shared" si="110"/>
        <v>0</v>
      </c>
      <c r="U373" s="578">
        <f t="shared" si="111"/>
        <v>0</v>
      </c>
      <c r="V373" s="579"/>
      <c r="W373" s="637" t="str">
        <f>IF(U371&gt;0,"xx",IF(P371&gt;0,"xy",""))</f>
        <v/>
      </c>
      <c r="X373" s="586" t="str">
        <f t="shared" si="108"/>
        <v/>
      </c>
      <c r="Y373" s="586" t="str">
        <f t="shared" si="102"/>
        <v/>
      </c>
      <c r="Z373" s="586" t="str">
        <f t="shared" si="106"/>
        <v/>
      </c>
    </row>
    <row r="374" spans="1:26" ht="12" hidden="1" thickBot="1" x14ac:dyDescent="0.25">
      <c r="A374" s="671" t="s">
        <v>168</v>
      </c>
      <c r="B374" s="644" t="s">
        <v>168</v>
      </c>
      <c r="C374" s="645"/>
      <c r="D374" s="451" t="s">
        <v>262</v>
      </c>
      <c r="E374" s="423"/>
      <c r="F374" s="424">
        <v>0.2</v>
      </c>
      <c r="G374" s="425">
        <v>0.83409999999999995</v>
      </c>
      <c r="H374" s="663">
        <f t="shared" si="115"/>
        <v>2.4138853999999998</v>
      </c>
      <c r="I374" s="420">
        <v>0</v>
      </c>
      <c r="J374" s="420"/>
      <c r="K374" s="421">
        <f t="shared" si="94"/>
        <v>0</v>
      </c>
      <c r="L374" s="668" t="s">
        <v>614</v>
      </c>
      <c r="M374" s="703"/>
      <c r="N374" s="576">
        <f t="shared" si="103"/>
        <v>0</v>
      </c>
      <c r="O374" s="577">
        <f t="shared" si="112"/>
        <v>0</v>
      </c>
      <c r="P374" s="578">
        <f t="shared" si="113"/>
        <v>0</v>
      </c>
      <c r="Q374" s="765"/>
      <c r="R374" s="703"/>
      <c r="S374" s="670"/>
      <c r="T374" s="577">
        <f t="shared" si="110"/>
        <v>0</v>
      </c>
      <c r="U374" s="578">
        <f t="shared" si="111"/>
        <v>0</v>
      </c>
      <c r="V374" s="579"/>
      <c r="W374" s="637" t="str">
        <f>IF(U371&gt;0,"xx",IF(P371&gt;0,"xy",""))</f>
        <v/>
      </c>
      <c r="X374" s="586" t="str">
        <f t="shared" si="108"/>
        <v/>
      </c>
      <c r="Y374" s="586" t="str">
        <f t="shared" si="102"/>
        <v/>
      </c>
      <c r="Z374" s="586" t="str">
        <f t="shared" si="106"/>
        <v/>
      </c>
    </row>
    <row r="375" spans="1:26" ht="12" hidden="1" thickBot="1" x14ac:dyDescent="0.25">
      <c r="A375" s="671" t="s">
        <v>168</v>
      </c>
      <c r="B375" s="644" t="s">
        <v>168</v>
      </c>
      <c r="C375" s="645"/>
      <c r="D375" s="451" t="s">
        <v>263</v>
      </c>
      <c r="E375" s="423"/>
      <c r="F375" s="424">
        <v>20</v>
      </c>
      <c r="G375" s="425">
        <f>SUM(G371:G374)</f>
        <v>1</v>
      </c>
      <c r="H375" s="651">
        <f>IF(F375&lt;=30,(1.07*F375+6.45)*G375,((1.07*30+6.45)+1.07*(F375-30))*G375)</f>
        <v>27.85</v>
      </c>
      <c r="I375" s="420">
        <v>0</v>
      </c>
      <c r="J375" s="420"/>
      <c r="K375" s="421">
        <f t="shared" si="94"/>
        <v>0</v>
      </c>
      <c r="L375" s="668" t="s">
        <v>614</v>
      </c>
      <c r="M375" s="703"/>
      <c r="N375" s="576">
        <f t="shared" si="103"/>
        <v>0</v>
      </c>
      <c r="O375" s="577">
        <f t="shared" si="112"/>
        <v>0</v>
      </c>
      <c r="P375" s="578">
        <f t="shared" si="113"/>
        <v>0</v>
      </c>
      <c r="Q375" s="765"/>
      <c r="R375" s="703"/>
      <c r="S375" s="670"/>
      <c r="T375" s="577">
        <f t="shared" si="110"/>
        <v>0</v>
      </c>
      <c r="U375" s="578">
        <f t="shared" si="111"/>
        <v>0</v>
      </c>
      <c r="V375" s="579"/>
      <c r="W375" s="637" t="str">
        <f>IF(U371&gt;0,"xx",IF(P371&gt;0,"xy",""))</f>
        <v/>
      </c>
      <c r="X375" s="586" t="str">
        <f t="shared" si="108"/>
        <v/>
      </c>
      <c r="Y375" s="586" t="str">
        <f t="shared" si="102"/>
        <v/>
      </c>
      <c r="Z375" s="586" t="str">
        <f t="shared" si="106"/>
        <v/>
      </c>
    </row>
    <row r="376" spans="1:26" ht="12" hidden="1" thickBot="1" x14ac:dyDescent="0.25">
      <c r="A376" s="671">
        <v>589000</v>
      </c>
      <c r="B376" s="704" t="s">
        <v>1780</v>
      </c>
      <c r="C376" s="689" t="s">
        <v>1746</v>
      </c>
      <c r="D376" s="477" t="s">
        <v>659</v>
      </c>
      <c r="E376" s="470"/>
      <c r="F376" s="478">
        <v>500</v>
      </c>
      <c r="G376" s="479">
        <v>1</v>
      </c>
      <c r="H376" s="663">
        <f>(0.94*F376+46.06)*G376</f>
        <v>516.05999999999995</v>
      </c>
      <c r="I376" s="472">
        <v>5725</v>
      </c>
      <c r="J376" s="472">
        <f>IF(ISBLANK(I376),"",I376*(1+$F$9)/(1+$F$10))+H376</f>
        <v>6070.962785960779</v>
      </c>
      <c r="K376" s="690">
        <f t="shared" si="94"/>
        <v>7212.91</v>
      </c>
      <c r="L376" s="691" t="s">
        <v>20</v>
      </c>
      <c r="M376" s="692">
        <f>ROUND(M371*G371,2)</f>
        <v>0</v>
      </c>
      <c r="N376" s="588">
        <f t="shared" si="103"/>
        <v>0</v>
      </c>
      <c r="O376" s="693">
        <f t="shared" si="112"/>
        <v>0</v>
      </c>
      <c r="P376" s="694">
        <f t="shared" si="113"/>
        <v>0</v>
      </c>
      <c r="Q376" s="765"/>
      <c r="R376" s="695">
        <f>ROUND(R371*G371,2)</f>
        <v>0</v>
      </c>
      <c r="S376" s="711">
        <f>N376</f>
        <v>0</v>
      </c>
      <c r="T376" s="693">
        <f t="shared" si="110"/>
        <v>0</v>
      </c>
      <c r="U376" s="694">
        <f t="shared" si="111"/>
        <v>0</v>
      </c>
      <c r="V376" s="579"/>
      <c r="W376" s="637" t="str">
        <f>IF(U371&gt;0,"xx",IF(P371&gt;0,"xy",""))</f>
        <v/>
      </c>
      <c r="X376" s="586" t="str">
        <f t="shared" si="108"/>
        <v/>
      </c>
      <c r="Y376" s="586" t="str">
        <f t="shared" si="102"/>
        <v/>
      </c>
      <c r="Z376" s="586" t="str">
        <f t="shared" si="106"/>
        <v/>
      </c>
    </row>
    <row r="377" spans="1:26" ht="12" hidden="1" thickBot="1" x14ac:dyDescent="0.25">
      <c r="A377" s="671">
        <v>570200</v>
      </c>
      <c r="B377" s="701">
        <v>570200</v>
      </c>
      <c r="C377" s="702" t="s">
        <v>206</v>
      </c>
      <c r="D377" s="463" t="s">
        <v>1916</v>
      </c>
      <c r="E377" s="464"/>
      <c r="F377" s="465" t="s">
        <v>662</v>
      </c>
      <c r="G377" s="466">
        <v>4.4999999999999998E-2</v>
      </c>
      <c r="H377" s="681">
        <f>SUM(H378:H381)</f>
        <v>33.499560000000002</v>
      </c>
      <c r="I377" s="467">
        <v>193.88</v>
      </c>
      <c r="J377" s="467">
        <f>IF(ISBLANK(I377),"",SUM(H377:I377))</f>
        <v>227.37956</v>
      </c>
      <c r="K377" s="682">
        <f t="shared" si="94"/>
        <v>270.14999999999998</v>
      </c>
      <c r="L377" s="683" t="s">
        <v>20</v>
      </c>
      <c r="M377" s="685"/>
      <c r="N377" s="686">
        <f t="shared" si="103"/>
        <v>0</v>
      </c>
      <c r="O377" s="687">
        <f t="shared" si="112"/>
        <v>0</v>
      </c>
      <c r="P377" s="688">
        <f t="shared" si="113"/>
        <v>0</v>
      </c>
      <c r="Q377" s="765"/>
      <c r="R377" s="685">
        <f>M377</f>
        <v>0</v>
      </c>
      <c r="S377" s="686">
        <f>N377</f>
        <v>0</v>
      </c>
      <c r="T377" s="687">
        <f t="shared" si="110"/>
        <v>0</v>
      </c>
      <c r="U377" s="688">
        <f t="shared" si="111"/>
        <v>0</v>
      </c>
      <c r="V377" s="579"/>
      <c r="W377" s="566"/>
      <c r="X377" s="586" t="str">
        <f t="shared" si="108"/>
        <v/>
      </c>
      <c r="Y377" s="586" t="str">
        <f t="shared" si="102"/>
        <v/>
      </c>
      <c r="Z377" s="586" t="str">
        <f t="shared" si="106"/>
        <v/>
      </c>
    </row>
    <row r="378" spans="1:26" ht="12" hidden="1" thickBot="1" x14ac:dyDescent="0.25">
      <c r="A378" s="671" t="s">
        <v>168</v>
      </c>
      <c r="B378" s="644" t="s">
        <v>168</v>
      </c>
      <c r="C378" s="645"/>
      <c r="D378" s="451" t="s">
        <v>248</v>
      </c>
      <c r="E378" s="423"/>
      <c r="F378" s="424">
        <v>180</v>
      </c>
      <c r="G378" s="425">
        <v>1.4999999999999999E-2</v>
      </c>
      <c r="H378" s="663">
        <f t="shared" ref="H378:H380" si="116">IF(F378&lt;=30,(1.07*F378+2.68)*G378,((1.07*30+2.68)+1.07*(F378-30))*G378)</f>
        <v>2.9291999999999998</v>
      </c>
      <c r="I378" s="420">
        <v>0</v>
      </c>
      <c r="J378" s="420"/>
      <c r="K378" s="421">
        <f t="shared" si="94"/>
        <v>0</v>
      </c>
      <c r="L378" s="668" t="s">
        <v>614</v>
      </c>
      <c r="M378" s="703"/>
      <c r="N378" s="576">
        <f t="shared" si="103"/>
        <v>0</v>
      </c>
      <c r="O378" s="577">
        <f t="shared" si="112"/>
        <v>0</v>
      </c>
      <c r="P378" s="578">
        <f t="shared" si="113"/>
        <v>0</v>
      </c>
      <c r="Q378" s="765"/>
      <c r="R378" s="703"/>
      <c r="S378" s="670"/>
      <c r="T378" s="577">
        <f t="shared" si="110"/>
        <v>0</v>
      </c>
      <c r="U378" s="578">
        <f t="shared" si="111"/>
        <v>0</v>
      </c>
      <c r="V378" s="579"/>
      <c r="W378" s="637" t="str">
        <f>IF(U377&gt;0,"xx",IF(P377&gt;0,"xy",""))</f>
        <v/>
      </c>
      <c r="X378" s="586" t="str">
        <f t="shared" si="108"/>
        <v/>
      </c>
      <c r="Y378" s="586" t="str">
        <f t="shared" si="102"/>
        <v/>
      </c>
      <c r="Z378" s="586" t="str">
        <f t="shared" si="106"/>
        <v/>
      </c>
    </row>
    <row r="379" spans="1:26" ht="12" hidden="1" thickBot="1" x14ac:dyDescent="0.25">
      <c r="A379" s="671" t="s">
        <v>168</v>
      </c>
      <c r="B379" s="644" t="s">
        <v>168</v>
      </c>
      <c r="C379" s="645"/>
      <c r="D379" s="451" t="s">
        <v>249</v>
      </c>
      <c r="E379" s="423"/>
      <c r="F379" s="424">
        <v>500</v>
      </c>
      <c r="G379" s="425"/>
      <c r="H379" s="649">
        <f>IF(F379&lt;=30,(0.78*F379+7.82)*G379,((0.78*30+7.82)+0.78*(F379-30))*G379)</f>
        <v>0</v>
      </c>
      <c r="I379" s="420">
        <v>0</v>
      </c>
      <c r="J379" s="420">
        <f>IF(ISBLANK(I379),"",SUM(H379:I379))</f>
        <v>0</v>
      </c>
      <c r="K379" s="421">
        <f t="shared" ref="K379:K442" si="117">IF(ISBLANK(I379),0,ROUND(J379*(1+$F$10)*(1+$F$11*E379),2))</f>
        <v>0</v>
      </c>
      <c r="L379" s="668" t="s">
        <v>614</v>
      </c>
      <c r="M379" s="703"/>
      <c r="N379" s="576">
        <f t="shared" si="103"/>
        <v>0</v>
      </c>
      <c r="O379" s="577">
        <f t="shared" si="112"/>
        <v>0</v>
      </c>
      <c r="P379" s="578">
        <f t="shared" si="113"/>
        <v>0</v>
      </c>
      <c r="Q379" s="765"/>
      <c r="R379" s="703"/>
      <c r="S379" s="670"/>
      <c r="T379" s="577">
        <f t="shared" si="110"/>
        <v>0</v>
      </c>
      <c r="U379" s="578">
        <f t="shared" si="111"/>
        <v>0</v>
      </c>
      <c r="V379" s="579"/>
      <c r="W379" s="637" t="str">
        <f>IF(U377&gt;0,"xx",IF(P377&gt;0,"xy",""))</f>
        <v/>
      </c>
      <c r="X379" s="586" t="str">
        <f t="shared" si="108"/>
        <v/>
      </c>
      <c r="Y379" s="586" t="str">
        <f t="shared" si="102"/>
        <v/>
      </c>
      <c r="Z379" s="586" t="str">
        <f t="shared" si="106"/>
        <v/>
      </c>
    </row>
    <row r="380" spans="1:26" ht="12" hidden="1" thickBot="1" x14ac:dyDescent="0.25">
      <c r="A380" s="671" t="s">
        <v>168</v>
      </c>
      <c r="B380" s="644" t="s">
        <v>168</v>
      </c>
      <c r="C380" s="645"/>
      <c r="D380" s="451" t="s">
        <v>262</v>
      </c>
      <c r="E380" s="423"/>
      <c r="F380" s="424">
        <v>0.2</v>
      </c>
      <c r="G380" s="425">
        <v>0.94</v>
      </c>
      <c r="H380" s="663">
        <f t="shared" si="116"/>
        <v>2.7203599999999999</v>
      </c>
      <c r="I380" s="420">
        <v>0</v>
      </c>
      <c r="J380" s="420"/>
      <c r="K380" s="421">
        <f t="shared" si="117"/>
        <v>0</v>
      </c>
      <c r="L380" s="668" t="s">
        <v>614</v>
      </c>
      <c r="M380" s="703"/>
      <c r="N380" s="576">
        <f t="shared" si="103"/>
        <v>0</v>
      </c>
      <c r="O380" s="577">
        <f t="shared" si="112"/>
        <v>0</v>
      </c>
      <c r="P380" s="578">
        <f t="shared" si="113"/>
        <v>0</v>
      </c>
      <c r="Q380" s="765"/>
      <c r="R380" s="703"/>
      <c r="S380" s="670"/>
      <c r="T380" s="577">
        <f t="shared" si="110"/>
        <v>0</v>
      </c>
      <c r="U380" s="578">
        <f t="shared" si="111"/>
        <v>0</v>
      </c>
      <c r="V380" s="579"/>
      <c r="W380" s="637" t="str">
        <f>IF(U377&gt;0,"xx",IF(P377&gt;0,"xy",""))</f>
        <v/>
      </c>
      <c r="X380" s="586" t="str">
        <f t="shared" si="108"/>
        <v/>
      </c>
      <c r="Y380" s="586" t="str">
        <f t="shared" si="102"/>
        <v/>
      </c>
      <c r="Z380" s="586" t="str">
        <f t="shared" si="106"/>
        <v/>
      </c>
    </row>
    <row r="381" spans="1:26" ht="12" hidden="1" thickBot="1" x14ac:dyDescent="0.25">
      <c r="A381" s="671" t="s">
        <v>168</v>
      </c>
      <c r="B381" s="644" t="s">
        <v>168</v>
      </c>
      <c r="C381" s="645"/>
      <c r="D381" s="451" t="s">
        <v>263</v>
      </c>
      <c r="E381" s="423"/>
      <c r="F381" s="424">
        <v>20</v>
      </c>
      <c r="G381" s="425">
        <f>SUM(G377:G380)</f>
        <v>1</v>
      </c>
      <c r="H381" s="651">
        <f>IF(F381&lt;=30,(1.07*F381+6.45)*G381,((1.07*30+6.45)+1.07*(F381-30))*G381)</f>
        <v>27.85</v>
      </c>
      <c r="I381" s="420">
        <v>0</v>
      </c>
      <c r="J381" s="420"/>
      <c r="K381" s="421">
        <f t="shared" si="117"/>
        <v>0</v>
      </c>
      <c r="L381" s="668" t="s">
        <v>614</v>
      </c>
      <c r="M381" s="703"/>
      <c r="N381" s="576">
        <f t="shared" si="103"/>
        <v>0</v>
      </c>
      <c r="O381" s="577">
        <f t="shared" si="112"/>
        <v>0</v>
      </c>
      <c r="P381" s="578">
        <f t="shared" si="113"/>
        <v>0</v>
      </c>
      <c r="Q381" s="765"/>
      <c r="R381" s="703"/>
      <c r="S381" s="670"/>
      <c r="T381" s="577">
        <f t="shared" si="110"/>
        <v>0</v>
      </c>
      <c r="U381" s="578">
        <f t="shared" si="111"/>
        <v>0</v>
      </c>
      <c r="V381" s="579"/>
      <c r="W381" s="637" t="str">
        <f>IF(U377&gt;0,"xx",IF(P377&gt;0,"xy",""))</f>
        <v/>
      </c>
      <c r="X381" s="586" t="str">
        <f t="shared" si="108"/>
        <v/>
      </c>
      <c r="Y381" s="586" t="str">
        <f t="shared" si="102"/>
        <v/>
      </c>
      <c r="Z381" s="586" t="str">
        <f t="shared" si="106"/>
        <v/>
      </c>
    </row>
    <row r="382" spans="1:26" ht="12" hidden="1" thickBot="1" x14ac:dyDescent="0.25">
      <c r="A382" s="671">
        <v>589000</v>
      </c>
      <c r="B382" s="704" t="s">
        <v>1781</v>
      </c>
      <c r="C382" s="689" t="s">
        <v>1746</v>
      </c>
      <c r="D382" s="477" t="s">
        <v>659</v>
      </c>
      <c r="E382" s="470"/>
      <c r="F382" s="478">
        <v>500</v>
      </c>
      <c r="G382" s="479">
        <v>1</v>
      </c>
      <c r="H382" s="663">
        <f>(0.94*F382+46.06)*G382</f>
        <v>516.05999999999995</v>
      </c>
      <c r="I382" s="472">
        <v>5725</v>
      </c>
      <c r="J382" s="472">
        <f>IF(ISBLANK(I382),"",I382*(1+$F$9)/(1+$F$10))+H382</f>
        <v>6070.962785960779</v>
      </c>
      <c r="K382" s="690">
        <f t="shared" si="117"/>
        <v>7212.91</v>
      </c>
      <c r="L382" s="691" t="s">
        <v>20</v>
      </c>
      <c r="M382" s="692">
        <f>ROUND(M377*G377,2)</f>
        <v>0</v>
      </c>
      <c r="N382" s="696">
        <f t="shared" si="103"/>
        <v>0</v>
      </c>
      <c r="O382" s="693">
        <f t="shared" si="112"/>
        <v>0</v>
      </c>
      <c r="P382" s="694">
        <f t="shared" si="113"/>
        <v>0</v>
      </c>
      <c r="Q382" s="765"/>
      <c r="R382" s="695">
        <f>ROUND(R377*G377,2)</f>
        <v>0</v>
      </c>
      <c r="S382" s="711">
        <f>N382</f>
        <v>0</v>
      </c>
      <c r="T382" s="693">
        <f t="shared" si="110"/>
        <v>0</v>
      </c>
      <c r="U382" s="694">
        <f t="shared" si="111"/>
        <v>0</v>
      </c>
      <c r="V382" s="579"/>
      <c r="W382" s="637" t="str">
        <f>IF(U377&gt;0,"xx",IF(P377&gt;0,"xy",""))</f>
        <v/>
      </c>
      <c r="X382" s="586" t="str">
        <f t="shared" si="108"/>
        <v/>
      </c>
      <c r="Y382" s="586" t="str">
        <f t="shared" si="102"/>
        <v/>
      </c>
      <c r="Z382" s="586" t="str">
        <f t="shared" si="106"/>
        <v/>
      </c>
    </row>
    <row r="383" spans="1:26" ht="12" hidden="1" thickBot="1" x14ac:dyDescent="0.25">
      <c r="A383" s="671">
        <v>570210</v>
      </c>
      <c r="B383" s="701">
        <v>570210</v>
      </c>
      <c r="C383" s="702" t="s">
        <v>206</v>
      </c>
      <c r="D383" s="463" t="s">
        <v>1917</v>
      </c>
      <c r="E383" s="464"/>
      <c r="F383" s="465" t="s">
        <v>662</v>
      </c>
      <c r="G383" s="466">
        <v>4.4999999999999998E-2</v>
      </c>
      <c r="H383" s="681">
        <f>SUM(H384:H387)</f>
        <v>33.499560000000002</v>
      </c>
      <c r="I383" s="467">
        <v>172.14</v>
      </c>
      <c r="J383" s="467">
        <f>IF(ISBLANK(I383),"",SUM(H383:I383))</f>
        <v>205.63955999999999</v>
      </c>
      <c r="K383" s="682">
        <f t="shared" si="117"/>
        <v>244.32</v>
      </c>
      <c r="L383" s="683" t="s">
        <v>20</v>
      </c>
      <c r="M383" s="685"/>
      <c r="N383" s="576">
        <f t="shared" si="103"/>
        <v>0</v>
      </c>
      <c r="O383" s="687">
        <f t="shared" si="112"/>
        <v>0</v>
      </c>
      <c r="P383" s="688">
        <f t="shared" si="113"/>
        <v>0</v>
      </c>
      <c r="Q383" s="765"/>
      <c r="R383" s="685">
        <f>M383</f>
        <v>0</v>
      </c>
      <c r="S383" s="686">
        <f>N383</f>
        <v>0</v>
      </c>
      <c r="T383" s="687">
        <f t="shared" si="110"/>
        <v>0</v>
      </c>
      <c r="U383" s="688">
        <f t="shared" si="111"/>
        <v>0</v>
      </c>
      <c r="V383" s="579"/>
      <c r="W383" s="566"/>
      <c r="X383" s="586" t="str">
        <f t="shared" si="108"/>
        <v/>
      </c>
      <c r="Y383" s="586" t="str">
        <f t="shared" si="102"/>
        <v/>
      </c>
      <c r="Z383" s="586" t="str">
        <f t="shared" si="106"/>
        <v/>
      </c>
    </row>
    <row r="384" spans="1:26" ht="12" hidden="1" thickBot="1" x14ac:dyDescent="0.25">
      <c r="A384" s="671" t="s">
        <v>168</v>
      </c>
      <c r="B384" s="644" t="s">
        <v>168</v>
      </c>
      <c r="C384" s="645"/>
      <c r="D384" s="451" t="s">
        <v>248</v>
      </c>
      <c r="E384" s="423"/>
      <c r="F384" s="424">
        <v>180</v>
      </c>
      <c r="G384" s="425">
        <v>1.4999999999999999E-2</v>
      </c>
      <c r="H384" s="663">
        <f t="shared" ref="H384:H386" si="118">IF(F384&lt;=30,(1.07*F384+2.68)*G384,((1.07*30+2.68)+1.07*(F384-30))*G384)</f>
        <v>2.9291999999999998</v>
      </c>
      <c r="I384" s="420">
        <v>0</v>
      </c>
      <c r="J384" s="420"/>
      <c r="K384" s="421">
        <f t="shared" si="117"/>
        <v>0</v>
      </c>
      <c r="L384" s="668" t="s">
        <v>614</v>
      </c>
      <c r="M384" s="703"/>
      <c r="N384" s="576">
        <f t="shared" si="103"/>
        <v>0</v>
      </c>
      <c r="O384" s="577">
        <f t="shared" si="112"/>
        <v>0</v>
      </c>
      <c r="P384" s="578">
        <f t="shared" si="113"/>
        <v>0</v>
      </c>
      <c r="Q384" s="765"/>
      <c r="R384" s="703"/>
      <c r="S384" s="670"/>
      <c r="T384" s="577">
        <f t="shared" si="110"/>
        <v>0</v>
      </c>
      <c r="U384" s="578">
        <f t="shared" si="111"/>
        <v>0</v>
      </c>
      <c r="V384" s="579"/>
      <c r="W384" s="637" t="str">
        <f>IF(U383&gt;0,"xx",IF(P383&gt;0,"xy",""))</f>
        <v/>
      </c>
      <c r="X384" s="586" t="str">
        <f t="shared" si="108"/>
        <v/>
      </c>
      <c r="Y384" s="586" t="str">
        <f t="shared" si="102"/>
        <v/>
      </c>
      <c r="Z384" s="586" t="str">
        <f t="shared" si="106"/>
        <v/>
      </c>
    </row>
    <row r="385" spans="1:26" ht="12" hidden="1" thickBot="1" x14ac:dyDescent="0.25">
      <c r="A385" s="671" t="s">
        <v>168</v>
      </c>
      <c r="B385" s="644" t="s">
        <v>168</v>
      </c>
      <c r="C385" s="645"/>
      <c r="D385" s="451" t="s">
        <v>249</v>
      </c>
      <c r="E385" s="423"/>
      <c r="F385" s="424">
        <v>500</v>
      </c>
      <c r="G385" s="425"/>
      <c r="H385" s="649">
        <f>IF(F385&lt;=30,(0.78*F385+7.82)*G385,((0.78*30+7.82)+0.78*(F385-30))*G385)</f>
        <v>0</v>
      </c>
      <c r="I385" s="420">
        <v>0</v>
      </c>
      <c r="J385" s="420">
        <f>IF(ISBLANK(I385),"",SUM(H385:I385))</f>
        <v>0</v>
      </c>
      <c r="K385" s="421">
        <f t="shared" si="117"/>
        <v>0</v>
      </c>
      <c r="L385" s="668" t="s">
        <v>614</v>
      </c>
      <c r="M385" s="703"/>
      <c r="N385" s="576">
        <f t="shared" si="103"/>
        <v>0</v>
      </c>
      <c r="O385" s="577">
        <f t="shared" si="112"/>
        <v>0</v>
      </c>
      <c r="P385" s="578">
        <f t="shared" si="113"/>
        <v>0</v>
      </c>
      <c r="Q385" s="765"/>
      <c r="R385" s="703"/>
      <c r="S385" s="670"/>
      <c r="T385" s="577">
        <f t="shared" si="110"/>
        <v>0</v>
      </c>
      <c r="U385" s="578">
        <f t="shared" si="111"/>
        <v>0</v>
      </c>
      <c r="V385" s="579"/>
      <c r="W385" s="637" t="str">
        <f>IF(U383&gt;0,"xx",IF(P383&gt;0,"xy",""))</f>
        <v/>
      </c>
      <c r="X385" s="586" t="str">
        <f t="shared" si="108"/>
        <v/>
      </c>
      <c r="Y385" s="586" t="str">
        <f t="shared" si="102"/>
        <v/>
      </c>
      <c r="Z385" s="586" t="str">
        <f t="shared" si="106"/>
        <v/>
      </c>
    </row>
    <row r="386" spans="1:26" ht="12" hidden="1" thickBot="1" x14ac:dyDescent="0.25">
      <c r="A386" s="671" t="s">
        <v>168</v>
      </c>
      <c r="B386" s="644" t="s">
        <v>168</v>
      </c>
      <c r="C386" s="645"/>
      <c r="D386" s="451" t="s">
        <v>262</v>
      </c>
      <c r="E386" s="423"/>
      <c r="F386" s="424">
        <v>0.2</v>
      </c>
      <c r="G386" s="425">
        <v>0.94</v>
      </c>
      <c r="H386" s="663">
        <f t="shared" si="118"/>
        <v>2.7203599999999999</v>
      </c>
      <c r="I386" s="420">
        <v>0</v>
      </c>
      <c r="J386" s="420"/>
      <c r="K386" s="421">
        <f t="shared" si="117"/>
        <v>0</v>
      </c>
      <c r="L386" s="668" t="s">
        <v>614</v>
      </c>
      <c r="M386" s="703"/>
      <c r="N386" s="576">
        <f t="shared" si="103"/>
        <v>0</v>
      </c>
      <c r="O386" s="577">
        <f t="shared" si="112"/>
        <v>0</v>
      </c>
      <c r="P386" s="578">
        <f t="shared" si="113"/>
        <v>0</v>
      </c>
      <c r="Q386" s="765"/>
      <c r="R386" s="703"/>
      <c r="S386" s="670"/>
      <c r="T386" s="577">
        <f t="shared" si="110"/>
        <v>0</v>
      </c>
      <c r="U386" s="578">
        <f t="shared" si="111"/>
        <v>0</v>
      </c>
      <c r="V386" s="579"/>
      <c r="W386" s="637" t="str">
        <f>IF(U383&gt;0,"xx",IF(P383&gt;0,"xy",""))</f>
        <v/>
      </c>
      <c r="X386" s="586" t="str">
        <f t="shared" si="108"/>
        <v/>
      </c>
      <c r="Y386" s="586" t="str">
        <f t="shared" si="102"/>
        <v/>
      </c>
      <c r="Z386" s="586" t="str">
        <f t="shared" si="106"/>
        <v/>
      </c>
    </row>
    <row r="387" spans="1:26" ht="12" hidden="1" thickBot="1" x14ac:dyDescent="0.25">
      <c r="A387" s="671" t="s">
        <v>168</v>
      </c>
      <c r="B387" s="644" t="s">
        <v>168</v>
      </c>
      <c r="C387" s="645"/>
      <c r="D387" s="451" t="s">
        <v>263</v>
      </c>
      <c r="E387" s="423"/>
      <c r="F387" s="424">
        <v>20</v>
      </c>
      <c r="G387" s="425">
        <f>SUM(G383:G386)</f>
        <v>1</v>
      </c>
      <c r="H387" s="651">
        <f>IF(F387&lt;=30,(1.07*F387+6.45)*G387,((1.07*30+6.45)+1.07*(F387-30))*G387)</f>
        <v>27.85</v>
      </c>
      <c r="I387" s="420">
        <v>0</v>
      </c>
      <c r="J387" s="420"/>
      <c r="K387" s="421">
        <f t="shared" si="117"/>
        <v>0</v>
      </c>
      <c r="L387" s="668" t="s">
        <v>614</v>
      </c>
      <c r="M387" s="703"/>
      <c r="N387" s="576">
        <f t="shared" si="103"/>
        <v>0</v>
      </c>
      <c r="O387" s="577">
        <f t="shared" si="112"/>
        <v>0</v>
      </c>
      <c r="P387" s="578">
        <f t="shared" si="113"/>
        <v>0</v>
      </c>
      <c r="Q387" s="765"/>
      <c r="R387" s="703"/>
      <c r="S387" s="670"/>
      <c r="T387" s="577">
        <f t="shared" si="110"/>
        <v>0</v>
      </c>
      <c r="U387" s="578">
        <f t="shared" si="111"/>
        <v>0</v>
      </c>
      <c r="V387" s="579"/>
      <c r="W387" s="637" t="str">
        <f>IF(U383&gt;0,"xx",IF(P383&gt;0,"xy",""))</f>
        <v/>
      </c>
      <c r="X387" s="586" t="str">
        <f t="shared" si="108"/>
        <v/>
      </c>
      <c r="Y387" s="586" t="str">
        <f t="shared" si="102"/>
        <v/>
      </c>
      <c r="Z387" s="586" t="str">
        <f t="shared" si="106"/>
        <v/>
      </c>
    </row>
    <row r="388" spans="1:26" ht="12" hidden="1" thickBot="1" x14ac:dyDescent="0.25">
      <c r="A388" s="671">
        <v>589000</v>
      </c>
      <c r="B388" s="704" t="s">
        <v>1782</v>
      </c>
      <c r="C388" s="689" t="s">
        <v>1746</v>
      </c>
      <c r="D388" s="477" t="s">
        <v>659</v>
      </c>
      <c r="E388" s="470"/>
      <c r="F388" s="478">
        <v>500</v>
      </c>
      <c r="G388" s="479">
        <v>1</v>
      </c>
      <c r="H388" s="663">
        <f>(0.94*F388+46.06)*G388</f>
        <v>516.05999999999995</v>
      </c>
      <c r="I388" s="472">
        <v>5725</v>
      </c>
      <c r="J388" s="472">
        <f>IF(ISBLANK(I388),"",I388*(1+$F$9)/(1+$F$10))+H388</f>
        <v>6070.962785960779</v>
      </c>
      <c r="K388" s="690">
        <f t="shared" si="117"/>
        <v>7212.91</v>
      </c>
      <c r="L388" s="691" t="s">
        <v>20</v>
      </c>
      <c r="M388" s="692">
        <f>ROUND(M383*G383,2)</f>
        <v>0</v>
      </c>
      <c r="N388" s="588">
        <f t="shared" si="103"/>
        <v>0</v>
      </c>
      <c r="O388" s="693">
        <f t="shared" si="112"/>
        <v>0</v>
      </c>
      <c r="P388" s="694">
        <f t="shared" si="113"/>
        <v>0</v>
      </c>
      <c r="Q388" s="765"/>
      <c r="R388" s="695">
        <f>ROUND(R383*G383,2)</f>
        <v>0</v>
      </c>
      <c r="S388" s="711">
        <f>N388</f>
        <v>0</v>
      </c>
      <c r="T388" s="693">
        <f t="shared" si="110"/>
        <v>0</v>
      </c>
      <c r="U388" s="694">
        <f t="shared" si="111"/>
        <v>0</v>
      </c>
      <c r="V388" s="579"/>
      <c r="W388" s="637" t="str">
        <f>IF(U383&gt;0,"xx",IF(P383&gt;0,"xy",""))</f>
        <v/>
      </c>
      <c r="X388" s="586" t="str">
        <f t="shared" si="108"/>
        <v/>
      </c>
      <c r="Y388" s="586" t="str">
        <f t="shared" si="102"/>
        <v/>
      </c>
      <c r="Z388" s="586" t="str">
        <f t="shared" si="106"/>
        <v/>
      </c>
    </row>
    <row r="389" spans="1:26" x14ac:dyDescent="0.2">
      <c r="A389" s="671">
        <v>570000</v>
      </c>
      <c r="B389" s="701" t="s">
        <v>1783</v>
      </c>
      <c r="C389" s="702" t="s">
        <v>206</v>
      </c>
      <c r="D389" s="463" t="s">
        <v>1918</v>
      </c>
      <c r="E389" s="464"/>
      <c r="F389" s="465" t="s">
        <v>662</v>
      </c>
      <c r="G389" s="466">
        <v>5.7000000000000002E-2</v>
      </c>
      <c r="H389" s="681">
        <f>SUM(H390:H393)</f>
        <v>64.300032000000002</v>
      </c>
      <c r="I389" s="467">
        <v>201.51</v>
      </c>
      <c r="J389" s="467">
        <f>IF(ISBLANK(I389),"",SUM(H389:I389))</f>
        <v>265.81003199999998</v>
      </c>
      <c r="K389" s="682">
        <f t="shared" si="117"/>
        <v>315.81</v>
      </c>
      <c r="L389" s="683" t="s">
        <v>20</v>
      </c>
      <c r="M389" s="685">
        <f>48.02+10.09+412.49</f>
        <v>470.6</v>
      </c>
      <c r="N389" s="686">
        <f t="shared" si="103"/>
        <v>315.81</v>
      </c>
      <c r="O389" s="687">
        <f t="shared" si="112"/>
        <v>148620.19</v>
      </c>
      <c r="P389" s="688">
        <f t="shared" si="113"/>
        <v>148620.19</v>
      </c>
      <c r="Q389" s="765"/>
      <c r="R389" s="685">
        <f>M389</f>
        <v>470.6</v>
      </c>
      <c r="S389" s="686">
        <f>N389</f>
        <v>315.81</v>
      </c>
      <c r="T389" s="687">
        <f t="shared" si="110"/>
        <v>148620.19</v>
      </c>
      <c r="U389" s="688">
        <f t="shared" si="111"/>
        <v>148620.19</v>
      </c>
      <c r="V389" s="579"/>
      <c r="W389" s="566"/>
      <c r="X389" s="586" t="str">
        <f t="shared" si="108"/>
        <v>x</v>
      </c>
      <c r="Y389" s="586" t="str">
        <f t="shared" si="102"/>
        <v>x</v>
      </c>
      <c r="Z389" s="586" t="str">
        <f t="shared" si="106"/>
        <v>x</v>
      </c>
    </row>
    <row r="390" spans="1:26" x14ac:dyDescent="0.2">
      <c r="A390" s="671" t="s">
        <v>168</v>
      </c>
      <c r="B390" s="644" t="s">
        <v>168</v>
      </c>
      <c r="C390" s="645"/>
      <c r="D390" s="451" t="s">
        <v>248</v>
      </c>
      <c r="E390" s="423"/>
      <c r="F390" s="805">
        <v>260</v>
      </c>
      <c r="G390" s="425">
        <v>0.1</v>
      </c>
      <c r="H390" s="663">
        <f t="shared" ref="H390:H392" si="119">IF(F390&lt;=30,(1.07*F390+2.68)*G390,((1.07*30+2.68)+1.07*(F390-30))*G390)</f>
        <v>28.088000000000001</v>
      </c>
      <c r="I390" s="420">
        <v>0</v>
      </c>
      <c r="J390" s="420"/>
      <c r="K390" s="421">
        <f t="shared" si="117"/>
        <v>0</v>
      </c>
      <c r="L390" s="647" t="s">
        <v>614</v>
      </c>
      <c r="M390" s="703"/>
      <c r="N390" s="576">
        <f t="shared" si="103"/>
        <v>0</v>
      </c>
      <c r="O390" s="577">
        <f t="shared" si="112"/>
        <v>0</v>
      </c>
      <c r="P390" s="578">
        <f t="shared" si="113"/>
        <v>0</v>
      </c>
      <c r="Q390" s="765"/>
      <c r="R390" s="703"/>
      <c r="S390" s="670"/>
      <c r="T390" s="577">
        <f t="shared" si="110"/>
        <v>0</v>
      </c>
      <c r="U390" s="578">
        <f t="shared" si="111"/>
        <v>0</v>
      </c>
      <c r="V390" s="579"/>
      <c r="W390" s="637" t="str">
        <f>IF(U389&gt;0,"xx",IF(P389&gt;0,"xy",""))</f>
        <v>xx</v>
      </c>
      <c r="X390" s="586" t="str">
        <f t="shared" si="108"/>
        <v>x</v>
      </c>
      <c r="Y390" s="586" t="str">
        <f t="shared" si="102"/>
        <v>x</v>
      </c>
      <c r="Z390" s="586" t="str">
        <f t="shared" si="106"/>
        <v/>
      </c>
    </row>
    <row r="391" spans="1:26" x14ac:dyDescent="0.2">
      <c r="A391" s="671" t="s">
        <v>168</v>
      </c>
      <c r="B391" s="644" t="s">
        <v>168</v>
      </c>
      <c r="C391" s="645"/>
      <c r="D391" s="451" t="s">
        <v>249</v>
      </c>
      <c r="E391" s="423"/>
      <c r="F391" s="805">
        <v>445</v>
      </c>
      <c r="G391" s="425">
        <v>1.4999999999999999E-2</v>
      </c>
      <c r="H391" s="649">
        <f>IF(F391&lt;=30,(0.78*F391+7.82)*G391,((0.78*30+7.82)+0.78*(F391-30))*G391)</f>
        <v>5.3238000000000003</v>
      </c>
      <c r="I391" s="420">
        <v>0</v>
      </c>
      <c r="J391" s="420"/>
      <c r="K391" s="421">
        <f t="shared" si="117"/>
        <v>0</v>
      </c>
      <c r="L391" s="647" t="s">
        <v>614</v>
      </c>
      <c r="M391" s="703"/>
      <c r="N391" s="576">
        <f t="shared" si="103"/>
        <v>0</v>
      </c>
      <c r="O391" s="577">
        <f t="shared" si="112"/>
        <v>0</v>
      </c>
      <c r="P391" s="578">
        <f t="shared" si="113"/>
        <v>0</v>
      </c>
      <c r="Q391" s="765"/>
      <c r="R391" s="703"/>
      <c r="S391" s="670"/>
      <c r="T391" s="577">
        <f t="shared" si="110"/>
        <v>0</v>
      </c>
      <c r="U391" s="578">
        <f t="shared" si="111"/>
        <v>0</v>
      </c>
      <c r="V391" s="579"/>
      <c r="W391" s="637" t="str">
        <f>IF(U389&gt;0,"xx",IF(P389&gt;0,"xy",""))</f>
        <v>xx</v>
      </c>
      <c r="X391" s="586" t="str">
        <f t="shared" si="108"/>
        <v>x</v>
      </c>
      <c r="Y391" s="586" t="str">
        <f t="shared" si="102"/>
        <v>x</v>
      </c>
      <c r="Z391" s="586" t="str">
        <f t="shared" si="106"/>
        <v/>
      </c>
    </row>
    <row r="392" spans="1:26" x14ac:dyDescent="0.2">
      <c r="A392" s="671" t="s">
        <v>168</v>
      </c>
      <c r="B392" s="644" t="s">
        <v>168</v>
      </c>
      <c r="C392" s="645"/>
      <c r="D392" s="451" t="s">
        <v>262</v>
      </c>
      <c r="E392" s="423"/>
      <c r="F392" s="805">
        <v>0.2</v>
      </c>
      <c r="G392" s="425">
        <v>0.82799999999999996</v>
      </c>
      <c r="H392" s="663">
        <f t="shared" si="119"/>
        <v>2.3962319999999999</v>
      </c>
      <c r="I392" s="420">
        <v>0</v>
      </c>
      <c r="J392" s="420"/>
      <c r="K392" s="421">
        <f t="shared" si="117"/>
        <v>0</v>
      </c>
      <c r="L392" s="647" t="s">
        <v>614</v>
      </c>
      <c r="M392" s="703"/>
      <c r="N392" s="576">
        <f t="shared" si="103"/>
        <v>0</v>
      </c>
      <c r="O392" s="577">
        <f t="shared" si="112"/>
        <v>0</v>
      </c>
      <c r="P392" s="578">
        <f t="shared" si="113"/>
        <v>0</v>
      </c>
      <c r="Q392" s="765"/>
      <c r="R392" s="703"/>
      <c r="S392" s="670"/>
      <c r="T392" s="577">
        <f t="shared" si="110"/>
        <v>0</v>
      </c>
      <c r="U392" s="578">
        <f t="shared" si="111"/>
        <v>0</v>
      </c>
      <c r="V392" s="579"/>
      <c r="W392" s="637" t="str">
        <f>IF(U389&gt;0,"xx",IF(P389&gt;0,"xy",""))</f>
        <v>xx</v>
      </c>
      <c r="X392" s="586" t="str">
        <f t="shared" si="108"/>
        <v>x</v>
      </c>
      <c r="Y392" s="586" t="str">
        <f t="shared" si="102"/>
        <v>x</v>
      </c>
      <c r="Z392" s="586" t="str">
        <f t="shared" si="106"/>
        <v/>
      </c>
    </row>
    <row r="393" spans="1:26" x14ac:dyDescent="0.2">
      <c r="A393" s="671" t="s">
        <v>168</v>
      </c>
      <c r="B393" s="644" t="s">
        <v>168</v>
      </c>
      <c r="C393" s="645"/>
      <c r="D393" s="451" t="s">
        <v>263</v>
      </c>
      <c r="E393" s="423"/>
      <c r="F393" s="805">
        <v>20.6</v>
      </c>
      <c r="G393" s="425">
        <f>SUM(G389:G392)</f>
        <v>1</v>
      </c>
      <c r="H393" s="651">
        <f>IF(F393&lt;=30,(1.07*F393+6.45)*G393,((1.07*30+6.45)+1.07*(F393-30))*G393)</f>
        <v>28.492000000000001</v>
      </c>
      <c r="I393" s="420">
        <v>0</v>
      </c>
      <c r="J393" s="420"/>
      <c r="K393" s="421">
        <f t="shared" si="117"/>
        <v>0</v>
      </c>
      <c r="L393" s="647" t="s">
        <v>614</v>
      </c>
      <c r="M393" s="703"/>
      <c r="N393" s="576">
        <f t="shared" si="103"/>
        <v>0</v>
      </c>
      <c r="O393" s="577">
        <f t="shared" si="112"/>
        <v>0</v>
      </c>
      <c r="P393" s="578">
        <f t="shared" si="113"/>
        <v>0</v>
      </c>
      <c r="Q393" s="765"/>
      <c r="R393" s="703"/>
      <c r="S393" s="670"/>
      <c r="T393" s="577">
        <f t="shared" si="110"/>
        <v>0</v>
      </c>
      <c r="U393" s="578">
        <f t="shared" si="111"/>
        <v>0</v>
      </c>
      <c r="V393" s="579"/>
      <c r="W393" s="637" t="str">
        <f>IF(U389&gt;0,"xx",IF(P389&gt;0,"xy",""))</f>
        <v>xx</v>
      </c>
      <c r="X393" s="586" t="str">
        <f t="shared" si="108"/>
        <v>x</v>
      </c>
      <c r="Y393" s="586" t="str">
        <f t="shared" si="102"/>
        <v>x</v>
      </c>
      <c r="Z393" s="586" t="str">
        <f t="shared" si="106"/>
        <v/>
      </c>
    </row>
    <row r="394" spans="1:26" ht="12" thickBot="1" x14ac:dyDescent="0.25">
      <c r="A394" s="671">
        <v>589000</v>
      </c>
      <c r="B394" s="704" t="s">
        <v>1784</v>
      </c>
      <c r="C394" s="689" t="s">
        <v>1746</v>
      </c>
      <c r="D394" s="477" t="s">
        <v>659</v>
      </c>
      <c r="E394" s="470"/>
      <c r="F394" s="806">
        <v>465</v>
      </c>
      <c r="G394" s="479">
        <v>1</v>
      </c>
      <c r="H394" s="663">
        <f>(0.94*F394+46.06)*G394</f>
        <v>483.15999999999997</v>
      </c>
      <c r="I394" s="472">
        <v>5725</v>
      </c>
      <c r="J394" s="472">
        <f>IF(ISBLANK(I394),"",I394*(1+$F$9)/(1+$F$10))+H394</f>
        <v>6038.0627859607785</v>
      </c>
      <c r="K394" s="690">
        <f t="shared" si="117"/>
        <v>7173.82</v>
      </c>
      <c r="L394" s="691" t="s">
        <v>20</v>
      </c>
      <c r="M394" s="692">
        <f>ROUND(M389*G389,2)</f>
        <v>26.82</v>
      </c>
      <c r="N394" s="696">
        <f t="shared" si="103"/>
        <v>7173.82</v>
      </c>
      <c r="O394" s="693">
        <f t="shared" si="112"/>
        <v>192401.85</v>
      </c>
      <c r="P394" s="694">
        <f t="shared" si="113"/>
        <v>192401.85</v>
      </c>
      <c r="Q394" s="765"/>
      <c r="R394" s="695">
        <f>ROUND(R389*G389,2)</f>
        <v>26.82</v>
      </c>
      <c r="S394" s="711">
        <f>N394</f>
        <v>7173.82</v>
      </c>
      <c r="T394" s="693">
        <f t="shared" si="110"/>
        <v>192401.85</v>
      </c>
      <c r="U394" s="694">
        <f t="shared" si="111"/>
        <v>192401.85</v>
      </c>
      <c r="V394" s="579"/>
      <c r="W394" s="637" t="str">
        <f>IF(U389&gt;0,"xx",IF(P389&gt;0,"xy",""))</f>
        <v>xx</v>
      </c>
      <c r="X394" s="586" t="str">
        <f t="shared" si="108"/>
        <v>x</v>
      </c>
      <c r="Y394" s="586" t="str">
        <f t="shared" si="102"/>
        <v>x</v>
      </c>
      <c r="Z394" s="586" t="str">
        <f t="shared" si="106"/>
        <v>x</v>
      </c>
    </row>
    <row r="395" spans="1:26" x14ac:dyDescent="0.2">
      <c r="A395" s="671">
        <v>570000</v>
      </c>
      <c r="B395" s="701" t="s">
        <v>1785</v>
      </c>
      <c r="C395" s="702" t="s">
        <v>206</v>
      </c>
      <c r="D395" s="463" t="s">
        <v>2100</v>
      </c>
      <c r="E395" s="464"/>
      <c r="F395" s="465" t="s">
        <v>662</v>
      </c>
      <c r="G395" s="466">
        <v>0.05</v>
      </c>
      <c r="H395" s="681">
        <f>SUM(H396:H399)</f>
        <v>64.585285400000004</v>
      </c>
      <c r="I395" s="467">
        <v>201.51</v>
      </c>
      <c r="J395" s="467">
        <f>IF(ISBLANK(I395),"",SUM(H395:I395))</f>
        <v>266.09528539999997</v>
      </c>
      <c r="K395" s="682">
        <f t="shared" si="117"/>
        <v>316.14999999999998</v>
      </c>
      <c r="L395" s="683" t="s">
        <v>20</v>
      </c>
      <c r="M395" s="685">
        <f>72.03+15.13+618.74</f>
        <v>705.9</v>
      </c>
      <c r="N395" s="576">
        <f t="shared" si="103"/>
        <v>316.14999999999998</v>
      </c>
      <c r="O395" s="687">
        <f t="shared" si="112"/>
        <v>223170.29</v>
      </c>
      <c r="P395" s="688">
        <f t="shared" si="113"/>
        <v>223170.29</v>
      </c>
      <c r="Q395" s="765"/>
      <c r="R395" s="685">
        <f>M395</f>
        <v>705.9</v>
      </c>
      <c r="S395" s="686">
        <f>N395</f>
        <v>316.14999999999998</v>
      </c>
      <c r="T395" s="687">
        <f t="shared" si="110"/>
        <v>223170.29</v>
      </c>
      <c r="U395" s="688">
        <f t="shared" si="111"/>
        <v>223170.29</v>
      </c>
      <c r="V395" s="579"/>
      <c r="W395" s="566"/>
      <c r="X395" s="586" t="str">
        <f t="shared" si="108"/>
        <v>x</v>
      </c>
      <c r="Y395" s="586" t="str">
        <f t="shared" si="102"/>
        <v>x</v>
      </c>
      <c r="Z395" s="586" t="str">
        <f t="shared" si="106"/>
        <v>x</v>
      </c>
    </row>
    <row r="396" spans="1:26" x14ac:dyDescent="0.2">
      <c r="A396" s="671" t="s">
        <v>168</v>
      </c>
      <c r="B396" s="644" t="s">
        <v>168</v>
      </c>
      <c r="C396" s="645"/>
      <c r="D396" s="451" t="s">
        <v>248</v>
      </c>
      <c r="E396" s="423"/>
      <c r="F396" s="805">
        <v>260</v>
      </c>
      <c r="G396" s="425">
        <v>0.1007</v>
      </c>
      <c r="H396" s="663">
        <f t="shared" ref="H396:H398" si="120">IF(F396&lt;=30,(1.07*F396+2.68)*G396,((1.07*30+2.68)+1.07*(F396-30))*G396)</f>
        <v>28.284616</v>
      </c>
      <c r="I396" s="420">
        <v>0</v>
      </c>
      <c r="J396" s="420"/>
      <c r="K396" s="421">
        <f t="shared" si="117"/>
        <v>0</v>
      </c>
      <c r="L396" s="647" t="s">
        <v>614</v>
      </c>
      <c r="M396" s="703"/>
      <c r="N396" s="576">
        <f t="shared" si="103"/>
        <v>0</v>
      </c>
      <c r="O396" s="577">
        <f t="shared" si="112"/>
        <v>0</v>
      </c>
      <c r="P396" s="578">
        <f t="shared" si="113"/>
        <v>0</v>
      </c>
      <c r="Q396" s="765"/>
      <c r="R396" s="703"/>
      <c r="S396" s="670"/>
      <c r="T396" s="577">
        <f t="shared" si="110"/>
        <v>0</v>
      </c>
      <c r="U396" s="578">
        <f t="shared" si="111"/>
        <v>0</v>
      </c>
      <c r="V396" s="579"/>
      <c r="W396" s="637" t="str">
        <f>IF(U395&gt;0,"xx",IF(P395&gt;0,"xy",""))</f>
        <v>xx</v>
      </c>
      <c r="X396" s="586" t="str">
        <f t="shared" si="108"/>
        <v>x</v>
      </c>
      <c r="Y396" s="586" t="str">
        <f t="shared" si="102"/>
        <v>x</v>
      </c>
      <c r="Z396" s="586" t="str">
        <f t="shared" si="106"/>
        <v/>
      </c>
    </row>
    <row r="397" spans="1:26" x14ac:dyDescent="0.2">
      <c r="A397" s="671" t="s">
        <v>168</v>
      </c>
      <c r="B397" s="644" t="s">
        <v>168</v>
      </c>
      <c r="C397" s="645"/>
      <c r="D397" s="451" t="s">
        <v>249</v>
      </c>
      <c r="E397" s="423"/>
      <c r="F397" s="805">
        <v>445</v>
      </c>
      <c r="G397" s="425">
        <v>1.52E-2</v>
      </c>
      <c r="H397" s="649">
        <f>IF(F397&lt;=30,(0.78*F397+7.82)*G397,((0.78*30+7.82)+0.78*(F397-30))*G397)</f>
        <v>5.3947840000000005</v>
      </c>
      <c r="I397" s="420">
        <v>0</v>
      </c>
      <c r="J397" s="420"/>
      <c r="K397" s="421">
        <f t="shared" si="117"/>
        <v>0</v>
      </c>
      <c r="L397" s="647" t="s">
        <v>614</v>
      </c>
      <c r="M397" s="703"/>
      <c r="N397" s="576">
        <f t="shared" si="103"/>
        <v>0</v>
      </c>
      <c r="O397" s="577">
        <f t="shared" si="112"/>
        <v>0</v>
      </c>
      <c r="P397" s="578">
        <f t="shared" si="113"/>
        <v>0</v>
      </c>
      <c r="Q397" s="765"/>
      <c r="R397" s="703"/>
      <c r="S397" s="670"/>
      <c r="T397" s="577">
        <f t="shared" si="110"/>
        <v>0</v>
      </c>
      <c r="U397" s="578">
        <f t="shared" si="111"/>
        <v>0</v>
      </c>
      <c r="V397" s="579"/>
      <c r="W397" s="637" t="str">
        <f>IF(U395&gt;0,"xx",IF(P395&gt;0,"xy",""))</f>
        <v>xx</v>
      </c>
      <c r="X397" s="586" t="str">
        <f t="shared" si="108"/>
        <v>x</v>
      </c>
      <c r="Y397" s="586" t="str">
        <f t="shared" si="102"/>
        <v>x</v>
      </c>
      <c r="Z397" s="586" t="str">
        <f t="shared" si="106"/>
        <v/>
      </c>
    </row>
    <row r="398" spans="1:26" x14ac:dyDescent="0.2">
      <c r="A398" s="671" t="s">
        <v>168</v>
      </c>
      <c r="B398" s="644" t="s">
        <v>168</v>
      </c>
      <c r="C398" s="645"/>
      <c r="D398" s="451" t="s">
        <v>262</v>
      </c>
      <c r="E398" s="423"/>
      <c r="F398" s="805">
        <v>0.2</v>
      </c>
      <c r="G398" s="425">
        <v>0.83409999999999995</v>
      </c>
      <c r="H398" s="663">
        <f t="shared" si="120"/>
        <v>2.4138853999999998</v>
      </c>
      <c r="I398" s="420">
        <v>0</v>
      </c>
      <c r="J398" s="420"/>
      <c r="K398" s="421">
        <f t="shared" si="117"/>
        <v>0</v>
      </c>
      <c r="L398" s="647" t="s">
        <v>614</v>
      </c>
      <c r="M398" s="703"/>
      <c r="N398" s="576">
        <f t="shared" si="103"/>
        <v>0</v>
      </c>
      <c r="O398" s="577">
        <f t="shared" si="112"/>
        <v>0</v>
      </c>
      <c r="P398" s="578">
        <f t="shared" si="113"/>
        <v>0</v>
      </c>
      <c r="Q398" s="765"/>
      <c r="R398" s="703"/>
      <c r="S398" s="670"/>
      <c r="T398" s="577">
        <f t="shared" si="110"/>
        <v>0</v>
      </c>
      <c r="U398" s="578">
        <f t="shared" si="111"/>
        <v>0</v>
      </c>
      <c r="V398" s="579"/>
      <c r="W398" s="637" t="str">
        <f>IF(U395&gt;0,"xx",IF(P395&gt;0,"xy",""))</f>
        <v>xx</v>
      </c>
      <c r="X398" s="586" t="str">
        <f t="shared" si="108"/>
        <v>x</v>
      </c>
      <c r="Y398" s="586" t="str">
        <f t="shared" si="102"/>
        <v>x</v>
      </c>
      <c r="Z398" s="586" t="str">
        <f t="shared" si="106"/>
        <v/>
      </c>
    </row>
    <row r="399" spans="1:26" x14ac:dyDescent="0.2">
      <c r="A399" s="671" t="s">
        <v>168</v>
      </c>
      <c r="B399" s="644" t="s">
        <v>168</v>
      </c>
      <c r="C399" s="645"/>
      <c r="D399" s="451" t="s">
        <v>263</v>
      </c>
      <c r="E399" s="423"/>
      <c r="F399" s="805">
        <v>20.6</v>
      </c>
      <c r="G399" s="425">
        <f>SUM(G395:G398)</f>
        <v>1</v>
      </c>
      <c r="H399" s="651">
        <f>IF(F399&lt;=30,(1.07*F399+6.45)*G399,((1.07*30+6.45)+1.07*(F399-30))*G399)</f>
        <v>28.492000000000001</v>
      </c>
      <c r="I399" s="420">
        <v>0</v>
      </c>
      <c r="J399" s="420"/>
      <c r="K399" s="421">
        <f t="shared" si="117"/>
        <v>0</v>
      </c>
      <c r="L399" s="647" t="s">
        <v>614</v>
      </c>
      <c r="M399" s="703"/>
      <c r="N399" s="576">
        <f t="shared" si="103"/>
        <v>0</v>
      </c>
      <c r="O399" s="577">
        <f t="shared" si="112"/>
        <v>0</v>
      </c>
      <c r="P399" s="578">
        <f t="shared" si="113"/>
        <v>0</v>
      </c>
      <c r="Q399" s="765"/>
      <c r="R399" s="703"/>
      <c r="S399" s="670"/>
      <c r="T399" s="577">
        <f t="shared" si="110"/>
        <v>0</v>
      </c>
      <c r="U399" s="578">
        <f t="shared" si="111"/>
        <v>0</v>
      </c>
      <c r="V399" s="579"/>
      <c r="W399" s="637" t="str">
        <f>IF(U395&gt;0,"xx",IF(P395&gt;0,"xy",""))</f>
        <v>xx</v>
      </c>
      <c r="X399" s="586" t="str">
        <f t="shared" si="108"/>
        <v>x</v>
      </c>
      <c r="Y399" s="586" t="str">
        <f t="shared" si="102"/>
        <v>x</v>
      </c>
      <c r="Z399" s="586" t="str">
        <f t="shared" si="106"/>
        <v/>
      </c>
    </row>
    <row r="400" spans="1:26" ht="12" thickBot="1" x14ac:dyDescent="0.25">
      <c r="A400" s="671">
        <v>589000</v>
      </c>
      <c r="B400" s="704" t="s">
        <v>1786</v>
      </c>
      <c r="C400" s="689" t="s">
        <v>1746</v>
      </c>
      <c r="D400" s="477" t="s">
        <v>659</v>
      </c>
      <c r="E400" s="470"/>
      <c r="F400" s="806">
        <v>465</v>
      </c>
      <c r="G400" s="479">
        <v>1</v>
      </c>
      <c r="H400" s="663">
        <f>(0.94*F400+46.06)*G400</f>
        <v>483.15999999999997</v>
      </c>
      <c r="I400" s="472">
        <v>5725</v>
      </c>
      <c r="J400" s="472">
        <f>IF(ISBLANK(I400),"",I400*(1+$F$9)/(1+$F$10))+H400</f>
        <v>6038.0627859607785</v>
      </c>
      <c r="K400" s="690">
        <f t="shared" si="117"/>
        <v>7173.82</v>
      </c>
      <c r="L400" s="691" t="s">
        <v>20</v>
      </c>
      <c r="M400" s="692">
        <f>ROUND(M395*G395,2)</f>
        <v>35.299999999999997</v>
      </c>
      <c r="N400" s="588">
        <f t="shared" si="103"/>
        <v>7173.82</v>
      </c>
      <c r="O400" s="693">
        <f t="shared" si="112"/>
        <v>253235.85</v>
      </c>
      <c r="P400" s="694">
        <f t="shared" si="113"/>
        <v>253235.85</v>
      </c>
      <c r="Q400" s="765"/>
      <c r="R400" s="695">
        <f>ROUND(R395*G395,2)</f>
        <v>35.299999999999997</v>
      </c>
      <c r="S400" s="711">
        <f>N400</f>
        <v>7173.82</v>
      </c>
      <c r="T400" s="693">
        <f t="shared" si="110"/>
        <v>253235.85</v>
      </c>
      <c r="U400" s="694">
        <f t="shared" si="111"/>
        <v>253235.85</v>
      </c>
      <c r="V400" s="579"/>
      <c r="W400" s="637" t="str">
        <f>IF(U395&gt;0,"xx",IF(P395&gt;0,"xy",""))</f>
        <v>xx</v>
      </c>
      <c r="X400" s="586" t="str">
        <f t="shared" si="108"/>
        <v>x</v>
      </c>
      <c r="Y400" s="586" t="str">
        <f t="shared" si="102"/>
        <v>x</v>
      </c>
      <c r="Z400" s="586" t="str">
        <f t="shared" si="106"/>
        <v>x</v>
      </c>
    </row>
    <row r="401" spans="1:26" ht="12" hidden="1" thickBot="1" x14ac:dyDescent="0.25">
      <c r="A401" s="671">
        <v>570000</v>
      </c>
      <c r="B401" s="701" t="s">
        <v>1787</v>
      </c>
      <c r="C401" s="702" t="s">
        <v>206</v>
      </c>
      <c r="D401" s="463" t="s">
        <v>2101</v>
      </c>
      <c r="E401" s="464"/>
      <c r="F401" s="465" t="s">
        <v>662</v>
      </c>
      <c r="G401" s="466">
        <v>5.5E-2</v>
      </c>
      <c r="H401" s="681">
        <f>SUM(H402:H405)</f>
        <v>55.825289800000007</v>
      </c>
      <c r="I401" s="467">
        <v>201.51</v>
      </c>
      <c r="J401" s="467">
        <f>IF(ISBLANK(I401),"",SUM(H401:I401))</f>
        <v>257.3352898</v>
      </c>
      <c r="K401" s="682">
        <f t="shared" si="117"/>
        <v>305.74</v>
      </c>
      <c r="L401" s="683" t="s">
        <v>20</v>
      </c>
      <c r="M401" s="685"/>
      <c r="N401" s="686">
        <f t="shared" si="103"/>
        <v>0</v>
      </c>
      <c r="O401" s="687">
        <f t="shared" si="112"/>
        <v>0</v>
      </c>
      <c r="P401" s="688">
        <f t="shared" si="113"/>
        <v>0</v>
      </c>
      <c r="Q401" s="765"/>
      <c r="R401" s="685">
        <f>M401</f>
        <v>0</v>
      </c>
      <c r="S401" s="686">
        <f>N401</f>
        <v>0</v>
      </c>
      <c r="T401" s="687">
        <f t="shared" si="110"/>
        <v>0</v>
      </c>
      <c r="U401" s="688">
        <f t="shared" si="111"/>
        <v>0</v>
      </c>
      <c r="V401" s="579"/>
      <c r="W401" s="566"/>
      <c r="X401" s="586" t="str">
        <f t="shared" si="108"/>
        <v/>
      </c>
      <c r="Y401" s="586" t="str">
        <f t="shared" si="102"/>
        <v/>
      </c>
      <c r="Z401" s="586" t="str">
        <f t="shared" si="106"/>
        <v/>
      </c>
    </row>
    <row r="402" spans="1:26" ht="12" hidden="1" thickBot="1" x14ac:dyDescent="0.25">
      <c r="A402" s="671" t="s">
        <v>168</v>
      </c>
      <c r="B402" s="644" t="s">
        <v>168</v>
      </c>
      <c r="C402" s="645"/>
      <c r="D402" s="451" t="s">
        <v>248</v>
      </c>
      <c r="E402" s="423"/>
      <c r="F402" s="424">
        <v>180</v>
      </c>
      <c r="G402" s="425">
        <v>0.1002</v>
      </c>
      <c r="H402" s="663">
        <f t="shared" ref="H402:H404" si="121">IF(F402&lt;=30,(1.07*F402+2.68)*G402,((1.07*30+2.68)+1.07*(F402-30))*G402)</f>
        <v>19.567056000000001</v>
      </c>
      <c r="I402" s="420">
        <v>0</v>
      </c>
      <c r="J402" s="420"/>
      <c r="K402" s="421">
        <f t="shared" si="117"/>
        <v>0</v>
      </c>
      <c r="L402" s="647" t="s">
        <v>614</v>
      </c>
      <c r="M402" s="703"/>
      <c r="N402" s="576">
        <f t="shared" si="103"/>
        <v>0</v>
      </c>
      <c r="O402" s="577">
        <f t="shared" si="112"/>
        <v>0</v>
      </c>
      <c r="P402" s="578">
        <f t="shared" si="113"/>
        <v>0</v>
      </c>
      <c r="Q402" s="765"/>
      <c r="R402" s="703"/>
      <c r="S402" s="670"/>
      <c r="T402" s="577">
        <f t="shared" si="110"/>
        <v>0</v>
      </c>
      <c r="U402" s="578">
        <f t="shared" si="111"/>
        <v>0</v>
      </c>
      <c r="V402" s="579"/>
      <c r="W402" s="637" t="str">
        <f>IF(U401&gt;0,"xx",IF(P401&gt;0,"xy",""))</f>
        <v/>
      </c>
      <c r="X402" s="586" t="str">
        <f t="shared" si="108"/>
        <v/>
      </c>
      <c r="Y402" s="586" t="str">
        <f t="shared" si="102"/>
        <v/>
      </c>
      <c r="Z402" s="586" t="str">
        <f t="shared" si="106"/>
        <v/>
      </c>
    </row>
    <row r="403" spans="1:26" ht="12" hidden="1" thickBot="1" x14ac:dyDescent="0.25">
      <c r="A403" s="671" t="s">
        <v>168</v>
      </c>
      <c r="B403" s="644" t="s">
        <v>168</v>
      </c>
      <c r="C403" s="645"/>
      <c r="D403" s="451" t="s">
        <v>249</v>
      </c>
      <c r="E403" s="423"/>
      <c r="F403" s="424">
        <v>500</v>
      </c>
      <c r="G403" s="425">
        <v>1.5100000000000001E-2</v>
      </c>
      <c r="H403" s="649">
        <f>IF(F403&lt;=30,(0.78*F403+7.82)*G403,((0.78*30+7.82)+0.78*(F403-30))*G403)</f>
        <v>6.0070820000000014</v>
      </c>
      <c r="I403" s="420">
        <v>0</v>
      </c>
      <c r="J403" s="420"/>
      <c r="K403" s="421">
        <f t="shared" si="117"/>
        <v>0</v>
      </c>
      <c r="L403" s="647" t="s">
        <v>614</v>
      </c>
      <c r="M403" s="703"/>
      <c r="N403" s="576">
        <f t="shared" si="103"/>
        <v>0</v>
      </c>
      <c r="O403" s="577">
        <f t="shared" si="112"/>
        <v>0</v>
      </c>
      <c r="P403" s="578">
        <f t="shared" si="113"/>
        <v>0</v>
      </c>
      <c r="Q403" s="765"/>
      <c r="R403" s="703"/>
      <c r="S403" s="670"/>
      <c r="T403" s="577">
        <f t="shared" si="110"/>
        <v>0</v>
      </c>
      <c r="U403" s="578">
        <f t="shared" si="111"/>
        <v>0</v>
      </c>
      <c r="V403" s="579"/>
      <c r="W403" s="637" t="str">
        <f>IF(U401&gt;0,"xx",IF(P401&gt;0,"xy",""))</f>
        <v/>
      </c>
      <c r="X403" s="586" t="str">
        <f t="shared" si="108"/>
        <v/>
      </c>
      <c r="Y403" s="586" t="str">
        <f t="shared" ref="Y403:Y466" si="122">IF(W403="X","x",IF(W403="y","x",IF(W403="xx","x",IF(U403&gt;0,"x",""))))</f>
        <v/>
      </c>
      <c r="Z403" s="586" t="str">
        <f t="shared" si="106"/>
        <v/>
      </c>
    </row>
    <row r="404" spans="1:26" ht="12" hidden="1" thickBot="1" x14ac:dyDescent="0.25">
      <c r="A404" s="671" t="s">
        <v>168</v>
      </c>
      <c r="B404" s="644" t="s">
        <v>168</v>
      </c>
      <c r="C404" s="645"/>
      <c r="D404" s="451" t="s">
        <v>262</v>
      </c>
      <c r="E404" s="423"/>
      <c r="F404" s="424">
        <v>0.2</v>
      </c>
      <c r="G404" s="425">
        <v>0.82969999999999999</v>
      </c>
      <c r="H404" s="663">
        <f t="shared" si="121"/>
        <v>2.4011518000000001</v>
      </c>
      <c r="I404" s="420">
        <v>0</v>
      </c>
      <c r="J404" s="420"/>
      <c r="K404" s="421">
        <f t="shared" si="117"/>
        <v>0</v>
      </c>
      <c r="L404" s="647" t="s">
        <v>614</v>
      </c>
      <c r="M404" s="703"/>
      <c r="N404" s="576">
        <f t="shared" ref="N404:N467" si="123">IF(M404=0,0,K404)</f>
        <v>0</v>
      </c>
      <c r="O404" s="577">
        <f t="shared" si="112"/>
        <v>0</v>
      </c>
      <c r="P404" s="578">
        <f t="shared" si="113"/>
        <v>0</v>
      </c>
      <c r="Q404" s="765"/>
      <c r="R404" s="703"/>
      <c r="S404" s="670"/>
      <c r="T404" s="577">
        <f t="shared" si="110"/>
        <v>0</v>
      </c>
      <c r="U404" s="578">
        <f t="shared" si="111"/>
        <v>0</v>
      </c>
      <c r="V404" s="579"/>
      <c r="W404" s="637" t="str">
        <f>IF(U401&gt;0,"xx",IF(P401&gt;0,"xy",""))</f>
        <v/>
      </c>
      <c r="X404" s="586" t="str">
        <f t="shared" si="108"/>
        <v/>
      </c>
      <c r="Y404" s="586" t="str">
        <f t="shared" si="122"/>
        <v/>
      </c>
      <c r="Z404" s="586" t="str">
        <f t="shared" si="106"/>
        <v/>
      </c>
    </row>
    <row r="405" spans="1:26" ht="12" hidden="1" thickBot="1" x14ac:dyDescent="0.25">
      <c r="A405" s="671" t="s">
        <v>168</v>
      </c>
      <c r="B405" s="644" t="s">
        <v>168</v>
      </c>
      <c r="C405" s="645"/>
      <c r="D405" s="451" t="s">
        <v>263</v>
      </c>
      <c r="E405" s="423"/>
      <c r="F405" s="424">
        <v>20</v>
      </c>
      <c r="G405" s="425">
        <f>SUM(G401:G404)</f>
        <v>1</v>
      </c>
      <c r="H405" s="651">
        <f>IF(F405&lt;=30,(1.07*F405+6.45)*G405,((1.07*30+6.45)+1.07*(F405-30))*G405)</f>
        <v>27.85</v>
      </c>
      <c r="I405" s="420">
        <v>0</v>
      </c>
      <c r="J405" s="420"/>
      <c r="K405" s="421">
        <f t="shared" si="117"/>
        <v>0</v>
      </c>
      <c r="L405" s="647" t="s">
        <v>614</v>
      </c>
      <c r="M405" s="703"/>
      <c r="N405" s="576">
        <f t="shared" si="123"/>
        <v>0</v>
      </c>
      <c r="O405" s="577">
        <f t="shared" si="112"/>
        <v>0</v>
      </c>
      <c r="P405" s="578">
        <f t="shared" si="113"/>
        <v>0</v>
      </c>
      <c r="Q405" s="765"/>
      <c r="R405" s="703"/>
      <c r="S405" s="670"/>
      <c r="T405" s="577">
        <f t="shared" si="110"/>
        <v>0</v>
      </c>
      <c r="U405" s="578">
        <f t="shared" si="111"/>
        <v>0</v>
      </c>
      <c r="V405" s="579"/>
      <c r="W405" s="637" t="str">
        <f>IF(U401&gt;0,"xx",IF(P401&gt;0,"xy",""))</f>
        <v/>
      </c>
      <c r="X405" s="586" t="str">
        <f t="shared" si="108"/>
        <v/>
      </c>
      <c r="Y405" s="586" t="str">
        <f t="shared" si="122"/>
        <v/>
      </c>
      <c r="Z405" s="586" t="str">
        <f t="shared" si="106"/>
        <v/>
      </c>
    </row>
    <row r="406" spans="1:26" ht="12" hidden="1" thickBot="1" x14ac:dyDescent="0.25">
      <c r="A406" s="671">
        <v>589000</v>
      </c>
      <c r="B406" s="704" t="s">
        <v>1788</v>
      </c>
      <c r="C406" s="689" t="s">
        <v>1746</v>
      </c>
      <c r="D406" s="477" t="s">
        <v>659</v>
      </c>
      <c r="E406" s="470"/>
      <c r="F406" s="478">
        <v>500</v>
      </c>
      <c r="G406" s="479">
        <v>1</v>
      </c>
      <c r="H406" s="663">
        <f>(0.94*F406+46.06)*G406</f>
        <v>516.05999999999995</v>
      </c>
      <c r="I406" s="472">
        <v>5725</v>
      </c>
      <c r="J406" s="472">
        <f>IF(ISBLANK(I406),"",I406*(1+$F$9)/(1+$F$10))+H406</f>
        <v>6070.962785960779</v>
      </c>
      <c r="K406" s="690">
        <f t="shared" si="117"/>
        <v>7212.91</v>
      </c>
      <c r="L406" s="691" t="s">
        <v>20</v>
      </c>
      <c r="M406" s="692">
        <f>ROUND(M401*G401,2)</f>
        <v>0</v>
      </c>
      <c r="N406" s="696">
        <f t="shared" si="123"/>
        <v>0</v>
      </c>
      <c r="O406" s="693">
        <f t="shared" si="112"/>
        <v>0</v>
      </c>
      <c r="P406" s="694">
        <f t="shared" si="113"/>
        <v>0</v>
      </c>
      <c r="Q406" s="765"/>
      <c r="R406" s="695">
        <f>ROUND(R401*G401,2)</f>
        <v>0</v>
      </c>
      <c r="S406" s="711">
        <f>N406</f>
        <v>0</v>
      </c>
      <c r="T406" s="693">
        <f t="shared" si="110"/>
        <v>0</v>
      </c>
      <c r="U406" s="694">
        <f t="shared" si="111"/>
        <v>0</v>
      </c>
      <c r="V406" s="579"/>
      <c r="W406" s="637" t="str">
        <f>IF(U401&gt;0,"xx",IF(P401&gt;0,"xy",""))</f>
        <v/>
      </c>
      <c r="X406" s="586" t="str">
        <f t="shared" si="108"/>
        <v/>
      </c>
      <c r="Y406" s="586" t="str">
        <f t="shared" si="122"/>
        <v/>
      </c>
      <c r="Z406" s="586" t="str">
        <f t="shared" si="106"/>
        <v/>
      </c>
    </row>
    <row r="407" spans="1:26" ht="12" hidden="1" thickBot="1" x14ac:dyDescent="0.25">
      <c r="A407" s="671">
        <v>570000</v>
      </c>
      <c r="B407" s="701" t="s">
        <v>1789</v>
      </c>
      <c r="C407" s="702" t="s">
        <v>206</v>
      </c>
      <c r="D407" s="463" t="s">
        <v>2102</v>
      </c>
      <c r="E407" s="464"/>
      <c r="F407" s="465" t="s">
        <v>662</v>
      </c>
      <c r="G407" s="466">
        <v>5.7000000000000002E-2</v>
      </c>
      <c r="H407" s="681">
        <f>SUM(H408:H411)</f>
        <v>55.741532000000007</v>
      </c>
      <c r="I407" s="467">
        <v>201.51</v>
      </c>
      <c r="J407" s="467">
        <f>IF(ISBLANK(I407),"",SUM(H407:I407))</f>
        <v>257.251532</v>
      </c>
      <c r="K407" s="682">
        <f t="shared" si="117"/>
        <v>305.64</v>
      </c>
      <c r="L407" s="683" t="s">
        <v>20</v>
      </c>
      <c r="M407" s="685"/>
      <c r="N407" s="576">
        <f t="shared" si="123"/>
        <v>0</v>
      </c>
      <c r="O407" s="687">
        <f t="shared" si="112"/>
        <v>0</v>
      </c>
      <c r="P407" s="688">
        <f t="shared" si="113"/>
        <v>0</v>
      </c>
      <c r="Q407" s="765"/>
      <c r="R407" s="685">
        <f>M407</f>
        <v>0</v>
      </c>
      <c r="S407" s="686">
        <f>N407</f>
        <v>0</v>
      </c>
      <c r="T407" s="687">
        <f t="shared" si="110"/>
        <v>0</v>
      </c>
      <c r="U407" s="688">
        <f t="shared" si="111"/>
        <v>0</v>
      </c>
      <c r="V407" s="579"/>
      <c r="W407" s="566"/>
      <c r="X407" s="586" t="str">
        <f t="shared" si="108"/>
        <v/>
      </c>
      <c r="Y407" s="586" t="str">
        <f t="shared" si="122"/>
        <v/>
      </c>
      <c r="Z407" s="586" t="str">
        <f t="shared" si="106"/>
        <v/>
      </c>
    </row>
    <row r="408" spans="1:26" ht="12" hidden="1" thickBot="1" x14ac:dyDescent="0.25">
      <c r="A408" s="671" t="s">
        <v>168</v>
      </c>
      <c r="B408" s="644" t="s">
        <v>168</v>
      </c>
      <c r="C408" s="645"/>
      <c r="D408" s="451" t="s">
        <v>248</v>
      </c>
      <c r="E408" s="423"/>
      <c r="F408" s="424">
        <v>180</v>
      </c>
      <c r="G408" s="425">
        <v>0.1</v>
      </c>
      <c r="H408" s="663">
        <f t="shared" ref="H408:H410" si="124">IF(F408&lt;=30,(1.07*F408+2.68)*G408,((1.07*30+2.68)+1.07*(F408-30))*G408)</f>
        <v>19.528000000000002</v>
      </c>
      <c r="I408" s="420">
        <v>0</v>
      </c>
      <c r="J408" s="420"/>
      <c r="K408" s="421">
        <f t="shared" si="117"/>
        <v>0</v>
      </c>
      <c r="L408" s="647" t="s">
        <v>614</v>
      </c>
      <c r="M408" s="703"/>
      <c r="N408" s="576">
        <f t="shared" si="123"/>
        <v>0</v>
      </c>
      <c r="O408" s="577">
        <f t="shared" si="112"/>
        <v>0</v>
      </c>
      <c r="P408" s="578">
        <f t="shared" si="113"/>
        <v>0</v>
      </c>
      <c r="Q408" s="765"/>
      <c r="R408" s="703"/>
      <c r="S408" s="670"/>
      <c r="T408" s="577">
        <f t="shared" si="110"/>
        <v>0</v>
      </c>
      <c r="U408" s="578">
        <f t="shared" si="111"/>
        <v>0</v>
      </c>
      <c r="V408" s="579"/>
      <c r="W408" s="637" t="str">
        <f>IF(U407&gt;0,"xx",IF(P407&gt;0,"xy",""))</f>
        <v/>
      </c>
      <c r="X408" s="586" t="str">
        <f t="shared" si="108"/>
        <v/>
      </c>
      <c r="Y408" s="586" t="str">
        <f t="shared" si="122"/>
        <v/>
      </c>
      <c r="Z408" s="586" t="str">
        <f t="shared" si="106"/>
        <v/>
      </c>
    </row>
    <row r="409" spans="1:26" ht="12" hidden="1" thickBot="1" x14ac:dyDescent="0.25">
      <c r="A409" s="671" t="s">
        <v>168</v>
      </c>
      <c r="B409" s="644" t="s">
        <v>168</v>
      </c>
      <c r="C409" s="645"/>
      <c r="D409" s="451" t="s">
        <v>249</v>
      </c>
      <c r="E409" s="423"/>
      <c r="F409" s="424">
        <v>500</v>
      </c>
      <c r="G409" s="425">
        <v>1.4999999999999999E-2</v>
      </c>
      <c r="H409" s="649">
        <f>IF(F409&lt;=30,(0.78*F409+7.82)*G409,((0.78*30+7.82)+0.78*(F409-30))*G409)</f>
        <v>5.9673000000000007</v>
      </c>
      <c r="I409" s="420">
        <v>0</v>
      </c>
      <c r="J409" s="420"/>
      <c r="K409" s="421">
        <f t="shared" si="117"/>
        <v>0</v>
      </c>
      <c r="L409" s="647" t="s">
        <v>614</v>
      </c>
      <c r="M409" s="703"/>
      <c r="N409" s="576">
        <f t="shared" si="123"/>
        <v>0</v>
      </c>
      <c r="O409" s="577">
        <f t="shared" si="112"/>
        <v>0</v>
      </c>
      <c r="P409" s="578">
        <f t="shared" si="113"/>
        <v>0</v>
      </c>
      <c r="Q409" s="765"/>
      <c r="R409" s="703"/>
      <c r="S409" s="670"/>
      <c r="T409" s="577">
        <f t="shared" si="110"/>
        <v>0</v>
      </c>
      <c r="U409" s="578">
        <f t="shared" si="111"/>
        <v>0</v>
      </c>
      <c r="V409" s="579"/>
      <c r="W409" s="637" t="str">
        <f>IF(U407&gt;0,"xx",IF(P407&gt;0,"xy",""))</f>
        <v/>
      </c>
      <c r="X409" s="586" t="str">
        <f t="shared" si="108"/>
        <v/>
      </c>
      <c r="Y409" s="586" t="str">
        <f t="shared" si="122"/>
        <v/>
      </c>
      <c r="Z409" s="586" t="str">
        <f t="shared" si="106"/>
        <v/>
      </c>
    </row>
    <row r="410" spans="1:26" ht="12" hidden="1" thickBot="1" x14ac:dyDescent="0.25">
      <c r="A410" s="671" t="s">
        <v>168</v>
      </c>
      <c r="B410" s="644" t="s">
        <v>168</v>
      </c>
      <c r="C410" s="645"/>
      <c r="D410" s="451" t="s">
        <v>262</v>
      </c>
      <c r="E410" s="423"/>
      <c r="F410" s="424">
        <v>0.2</v>
      </c>
      <c r="G410" s="425">
        <v>0.82799999999999996</v>
      </c>
      <c r="H410" s="663">
        <f t="shared" si="124"/>
        <v>2.3962319999999999</v>
      </c>
      <c r="I410" s="420">
        <v>0</v>
      </c>
      <c r="J410" s="420"/>
      <c r="K410" s="421">
        <f t="shared" si="117"/>
        <v>0</v>
      </c>
      <c r="L410" s="647" t="s">
        <v>614</v>
      </c>
      <c r="M410" s="703"/>
      <c r="N410" s="576">
        <f t="shared" si="123"/>
        <v>0</v>
      </c>
      <c r="O410" s="577">
        <f t="shared" si="112"/>
        <v>0</v>
      </c>
      <c r="P410" s="578">
        <f t="shared" si="113"/>
        <v>0</v>
      </c>
      <c r="Q410" s="765"/>
      <c r="R410" s="703"/>
      <c r="S410" s="670"/>
      <c r="T410" s="577">
        <f t="shared" si="110"/>
        <v>0</v>
      </c>
      <c r="U410" s="578">
        <f t="shared" si="111"/>
        <v>0</v>
      </c>
      <c r="V410" s="579"/>
      <c r="W410" s="637" t="str">
        <f>IF(U407&gt;0,"xx",IF(P407&gt;0,"xy",""))</f>
        <v/>
      </c>
      <c r="X410" s="586" t="str">
        <f t="shared" si="108"/>
        <v/>
      </c>
      <c r="Y410" s="586" t="str">
        <f t="shared" si="122"/>
        <v/>
      </c>
      <c r="Z410" s="586" t="str">
        <f t="shared" si="106"/>
        <v/>
      </c>
    </row>
    <row r="411" spans="1:26" ht="12" hidden="1" thickBot="1" x14ac:dyDescent="0.25">
      <c r="A411" s="671" t="s">
        <v>168</v>
      </c>
      <c r="B411" s="644" t="s">
        <v>168</v>
      </c>
      <c r="C411" s="645"/>
      <c r="D411" s="451" t="s">
        <v>263</v>
      </c>
      <c r="E411" s="423"/>
      <c r="F411" s="424">
        <v>20</v>
      </c>
      <c r="G411" s="425">
        <f>SUM(G407:G410)</f>
        <v>1</v>
      </c>
      <c r="H411" s="651">
        <f>IF(F411&lt;=30,(1.07*F411+6.45)*G411,((1.07*30+6.45)+1.07*(F411-30))*G411)</f>
        <v>27.85</v>
      </c>
      <c r="I411" s="420">
        <v>0</v>
      </c>
      <c r="J411" s="420"/>
      <c r="K411" s="421">
        <f t="shared" si="117"/>
        <v>0</v>
      </c>
      <c r="L411" s="647" t="s">
        <v>614</v>
      </c>
      <c r="M411" s="703"/>
      <c r="N411" s="576">
        <f t="shared" si="123"/>
        <v>0</v>
      </c>
      <c r="O411" s="577">
        <f t="shared" si="112"/>
        <v>0</v>
      </c>
      <c r="P411" s="578">
        <f t="shared" si="113"/>
        <v>0</v>
      </c>
      <c r="Q411" s="765"/>
      <c r="R411" s="703"/>
      <c r="S411" s="670"/>
      <c r="T411" s="577">
        <f t="shared" si="110"/>
        <v>0</v>
      </c>
      <c r="U411" s="578">
        <f t="shared" si="111"/>
        <v>0</v>
      </c>
      <c r="V411" s="579"/>
      <c r="W411" s="637" t="str">
        <f>IF(U407&gt;0,"xx",IF(P407&gt;0,"xy",""))</f>
        <v/>
      </c>
      <c r="X411" s="586" t="str">
        <f t="shared" si="108"/>
        <v/>
      </c>
      <c r="Y411" s="586" t="str">
        <f t="shared" si="122"/>
        <v/>
      </c>
      <c r="Z411" s="586" t="str">
        <f t="shared" si="106"/>
        <v/>
      </c>
    </row>
    <row r="412" spans="1:26" ht="12" hidden="1" thickBot="1" x14ac:dyDescent="0.25">
      <c r="A412" s="671">
        <v>589000</v>
      </c>
      <c r="B412" s="704" t="s">
        <v>1790</v>
      </c>
      <c r="C412" s="689" t="s">
        <v>1746</v>
      </c>
      <c r="D412" s="477" t="s">
        <v>659</v>
      </c>
      <c r="E412" s="470"/>
      <c r="F412" s="478">
        <v>500</v>
      </c>
      <c r="G412" s="479">
        <v>1</v>
      </c>
      <c r="H412" s="663">
        <f>(0.94*F412+46.06)*G412</f>
        <v>516.05999999999995</v>
      </c>
      <c r="I412" s="472">
        <v>5725</v>
      </c>
      <c r="J412" s="472">
        <f>IF(ISBLANK(I412),"",I412*(1+$F$9)/(1+$F$10))+H412</f>
        <v>6070.962785960779</v>
      </c>
      <c r="K412" s="690">
        <f t="shared" si="117"/>
        <v>7212.91</v>
      </c>
      <c r="L412" s="691" t="s">
        <v>20</v>
      </c>
      <c r="M412" s="692">
        <f>ROUND(M407*G407,2)</f>
        <v>0</v>
      </c>
      <c r="N412" s="588">
        <f t="shared" si="123"/>
        <v>0</v>
      </c>
      <c r="O412" s="693">
        <f t="shared" si="112"/>
        <v>0</v>
      </c>
      <c r="P412" s="694">
        <f t="shared" si="113"/>
        <v>0</v>
      </c>
      <c r="Q412" s="765"/>
      <c r="R412" s="695">
        <f>ROUND(R407*G407,2)</f>
        <v>0</v>
      </c>
      <c r="S412" s="711">
        <f>N412</f>
        <v>0</v>
      </c>
      <c r="T412" s="693">
        <f t="shared" si="110"/>
        <v>0</v>
      </c>
      <c r="U412" s="694">
        <f t="shared" si="111"/>
        <v>0</v>
      </c>
      <c r="V412" s="579"/>
      <c r="W412" s="637" t="str">
        <f>IF(U407&gt;0,"xx",IF(P407&gt;0,"xy",""))</f>
        <v/>
      </c>
      <c r="X412" s="586" t="str">
        <f t="shared" si="108"/>
        <v/>
      </c>
      <c r="Y412" s="586" t="str">
        <f t="shared" si="122"/>
        <v/>
      </c>
      <c r="Z412" s="586" t="str">
        <f t="shared" si="106"/>
        <v/>
      </c>
    </row>
    <row r="413" spans="1:26" ht="12" hidden="1" thickBot="1" x14ac:dyDescent="0.25">
      <c r="A413" s="671">
        <v>570400</v>
      </c>
      <c r="B413" s="701" t="s">
        <v>1791</v>
      </c>
      <c r="C413" s="702" t="s">
        <v>206</v>
      </c>
      <c r="D413" s="463" t="s">
        <v>2103</v>
      </c>
      <c r="E413" s="464"/>
      <c r="F413" s="465" t="s">
        <v>662</v>
      </c>
      <c r="G413" s="466">
        <v>0.05</v>
      </c>
      <c r="H413" s="681">
        <f>SUM(H414:H417)</f>
        <v>55.975445399999998</v>
      </c>
      <c r="I413" s="467">
        <v>180.27999999999997</v>
      </c>
      <c r="J413" s="467">
        <f>IF(ISBLANK(I413),"",SUM(H413:I413))</f>
        <v>236.25544539999999</v>
      </c>
      <c r="K413" s="682">
        <f t="shared" si="117"/>
        <v>280.7</v>
      </c>
      <c r="L413" s="683" t="s">
        <v>20</v>
      </c>
      <c r="M413" s="685"/>
      <c r="N413" s="686">
        <f t="shared" si="123"/>
        <v>0</v>
      </c>
      <c r="O413" s="687">
        <f t="shared" si="112"/>
        <v>0</v>
      </c>
      <c r="P413" s="688">
        <f t="shared" si="113"/>
        <v>0</v>
      </c>
      <c r="Q413" s="765"/>
      <c r="R413" s="685">
        <f>M413</f>
        <v>0</v>
      </c>
      <c r="S413" s="686">
        <f>N413</f>
        <v>0</v>
      </c>
      <c r="T413" s="687">
        <f t="shared" si="110"/>
        <v>0</v>
      </c>
      <c r="U413" s="688">
        <f t="shared" si="111"/>
        <v>0</v>
      </c>
      <c r="V413" s="579"/>
      <c r="W413" s="566"/>
      <c r="X413" s="586" t="str">
        <f t="shared" si="108"/>
        <v/>
      </c>
      <c r="Y413" s="586" t="str">
        <f t="shared" si="122"/>
        <v/>
      </c>
      <c r="Z413" s="586" t="str">
        <f t="shared" ref="Z413:Z476" si="125">IF(W413="X","x",IF(U413&gt;0,"x",""))</f>
        <v/>
      </c>
    </row>
    <row r="414" spans="1:26" ht="12" hidden="1" thickBot="1" x14ac:dyDescent="0.25">
      <c r="A414" s="671" t="s">
        <v>168</v>
      </c>
      <c r="B414" s="644" t="s">
        <v>168</v>
      </c>
      <c r="C414" s="645"/>
      <c r="D414" s="451" t="s">
        <v>248</v>
      </c>
      <c r="E414" s="423"/>
      <c r="F414" s="424">
        <v>180</v>
      </c>
      <c r="G414" s="425">
        <v>0.1007</v>
      </c>
      <c r="H414" s="663">
        <f t="shared" ref="H414:H416" si="126">IF(F414&lt;=30,(1.07*F414+2.68)*G414,((1.07*30+2.68)+1.07*(F414-30))*G414)</f>
        <v>19.664695999999999</v>
      </c>
      <c r="I414" s="420">
        <v>0</v>
      </c>
      <c r="J414" s="420"/>
      <c r="K414" s="421">
        <f t="shared" si="117"/>
        <v>0</v>
      </c>
      <c r="L414" s="647" t="s">
        <v>614</v>
      </c>
      <c r="M414" s="703"/>
      <c r="N414" s="576">
        <f t="shared" si="123"/>
        <v>0</v>
      </c>
      <c r="O414" s="577">
        <f t="shared" si="112"/>
        <v>0</v>
      </c>
      <c r="P414" s="578">
        <f t="shared" si="113"/>
        <v>0</v>
      </c>
      <c r="Q414" s="765"/>
      <c r="R414" s="703"/>
      <c r="S414" s="670"/>
      <c r="T414" s="577">
        <f t="shared" si="110"/>
        <v>0</v>
      </c>
      <c r="U414" s="578">
        <f t="shared" si="111"/>
        <v>0</v>
      </c>
      <c r="V414" s="579"/>
      <c r="W414" s="637" t="str">
        <f>IF(U413&gt;0,"xx",IF(P413&gt;0,"xy",""))</f>
        <v/>
      </c>
      <c r="X414" s="586" t="str">
        <f t="shared" si="108"/>
        <v/>
      </c>
      <c r="Y414" s="586" t="str">
        <f>IF(W414="X","x",IF(W414="y","x",IF(W414="xx","x",IF(U414&gt;0,"x",""))))</f>
        <v/>
      </c>
      <c r="Z414" s="586" t="str">
        <f t="shared" si="125"/>
        <v/>
      </c>
    </row>
    <row r="415" spans="1:26" ht="12" hidden="1" thickBot="1" x14ac:dyDescent="0.25">
      <c r="A415" s="671" t="s">
        <v>168</v>
      </c>
      <c r="B415" s="644" t="s">
        <v>168</v>
      </c>
      <c r="C415" s="645"/>
      <c r="D415" s="451" t="s">
        <v>249</v>
      </c>
      <c r="E415" s="423"/>
      <c r="F415" s="424">
        <v>500</v>
      </c>
      <c r="G415" s="425">
        <v>1.52E-2</v>
      </c>
      <c r="H415" s="649">
        <f>IF(F415&lt;=30,(0.78*F415+7.82)*G415,((0.78*30+7.82)+0.78*(F415-30))*G415)</f>
        <v>6.0468640000000011</v>
      </c>
      <c r="I415" s="420">
        <v>0</v>
      </c>
      <c r="J415" s="420"/>
      <c r="K415" s="421">
        <f t="shared" si="117"/>
        <v>0</v>
      </c>
      <c r="L415" s="647" t="s">
        <v>614</v>
      </c>
      <c r="M415" s="703"/>
      <c r="N415" s="576">
        <f t="shared" si="123"/>
        <v>0</v>
      </c>
      <c r="O415" s="577">
        <f t="shared" si="112"/>
        <v>0</v>
      </c>
      <c r="P415" s="578">
        <f t="shared" si="113"/>
        <v>0</v>
      </c>
      <c r="Q415" s="765"/>
      <c r="R415" s="703"/>
      <c r="S415" s="670"/>
      <c r="T415" s="577">
        <f t="shared" si="110"/>
        <v>0</v>
      </c>
      <c r="U415" s="578">
        <f t="shared" si="111"/>
        <v>0</v>
      </c>
      <c r="V415" s="579"/>
      <c r="W415" s="637" t="str">
        <f>IF(U413&gt;0,"xx",IF(P413&gt;0,"xy",""))</f>
        <v/>
      </c>
      <c r="X415" s="586" t="str">
        <f t="shared" si="108"/>
        <v/>
      </c>
      <c r="Y415" s="586" t="str">
        <f>IF(W415="X","x",IF(W415="y","x",IF(W415="xx","x",IF(U415&gt;0,"x",""))))</f>
        <v/>
      </c>
      <c r="Z415" s="586" t="str">
        <f t="shared" si="125"/>
        <v/>
      </c>
    </row>
    <row r="416" spans="1:26" ht="12" hidden="1" thickBot="1" x14ac:dyDescent="0.25">
      <c r="A416" s="671" t="s">
        <v>168</v>
      </c>
      <c r="B416" s="644" t="s">
        <v>168</v>
      </c>
      <c r="C416" s="645"/>
      <c r="D416" s="451" t="s">
        <v>262</v>
      </c>
      <c r="E416" s="423"/>
      <c r="F416" s="424">
        <v>0.2</v>
      </c>
      <c r="G416" s="425">
        <v>0.83409999999999995</v>
      </c>
      <c r="H416" s="663">
        <f t="shared" si="126"/>
        <v>2.4138853999999998</v>
      </c>
      <c r="I416" s="420">
        <v>0</v>
      </c>
      <c r="J416" s="420"/>
      <c r="K416" s="421">
        <f t="shared" si="117"/>
        <v>0</v>
      </c>
      <c r="L416" s="647" t="s">
        <v>614</v>
      </c>
      <c r="M416" s="703"/>
      <c r="N416" s="576">
        <f t="shared" si="123"/>
        <v>0</v>
      </c>
      <c r="O416" s="577">
        <f t="shared" si="112"/>
        <v>0</v>
      </c>
      <c r="P416" s="578">
        <f t="shared" si="113"/>
        <v>0</v>
      </c>
      <c r="Q416" s="765"/>
      <c r="R416" s="703"/>
      <c r="S416" s="670"/>
      <c r="T416" s="577">
        <f t="shared" si="110"/>
        <v>0</v>
      </c>
      <c r="U416" s="578">
        <f t="shared" si="111"/>
        <v>0</v>
      </c>
      <c r="V416" s="579"/>
      <c r="W416" s="637" t="str">
        <f>IF(U413&gt;0,"xx",IF(P413&gt;0,"xy",""))</f>
        <v/>
      </c>
      <c r="X416" s="586" t="str">
        <f t="shared" si="108"/>
        <v/>
      </c>
      <c r="Y416" s="586" t="str">
        <f>IF(W416="X","x",IF(W416="y","x",IF(W416="xx","x",IF(U416&gt;0,"x",""))))</f>
        <v/>
      </c>
      <c r="Z416" s="586" t="str">
        <f t="shared" si="125"/>
        <v/>
      </c>
    </row>
    <row r="417" spans="1:26" ht="12" hidden="1" thickBot="1" x14ac:dyDescent="0.25">
      <c r="A417" s="671" t="s">
        <v>168</v>
      </c>
      <c r="B417" s="644" t="s">
        <v>168</v>
      </c>
      <c r="C417" s="645"/>
      <c r="D417" s="451" t="s">
        <v>263</v>
      </c>
      <c r="E417" s="423"/>
      <c r="F417" s="424">
        <v>20</v>
      </c>
      <c r="G417" s="425">
        <f>SUM(G413:G416)</f>
        <v>1</v>
      </c>
      <c r="H417" s="651">
        <f>IF(F417&lt;=30,(1.07*F417+6.45)*G417,((1.07*30+6.45)+1.07*(F417-30))*G417)</f>
        <v>27.85</v>
      </c>
      <c r="I417" s="420">
        <v>0</v>
      </c>
      <c r="J417" s="420"/>
      <c r="K417" s="421">
        <f t="shared" si="117"/>
        <v>0</v>
      </c>
      <c r="L417" s="647" t="s">
        <v>614</v>
      </c>
      <c r="M417" s="703"/>
      <c r="N417" s="576">
        <f t="shared" si="123"/>
        <v>0</v>
      </c>
      <c r="O417" s="577">
        <f t="shared" si="112"/>
        <v>0</v>
      </c>
      <c r="P417" s="578">
        <f t="shared" si="113"/>
        <v>0</v>
      </c>
      <c r="Q417" s="765"/>
      <c r="R417" s="703"/>
      <c r="S417" s="670"/>
      <c r="T417" s="577">
        <f t="shared" si="110"/>
        <v>0</v>
      </c>
      <c r="U417" s="578">
        <f t="shared" si="111"/>
        <v>0</v>
      </c>
      <c r="V417" s="579"/>
      <c r="W417" s="637" t="str">
        <f>IF(U413&gt;0,"xx",IF(P413&gt;0,"xy",""))</f>
        <v/>
      </c>
      <c r="X417" s="586" t="str">
        <f t="shared" si="108"/>
        <v/>
      </c>
      <c r="Y417" s="586" t="str">
        <f>IF(W417="X","x",IF(W417="y","x",IF(W417="xx","x",IF(U417&gt;0,"x",""))))</f>
        <v/>
      </c>
      <c r="Z417" s="586" t="str">
        <f t="shared" si="125"/>
        <v/>
      </c>
    </row>
    <row r="418" spans="1:26" ht="12" hidden="1" thickBot="1" x14ac:dyDescent="0.25">
      <c r="A418" s="671">
        <v>589000</v>
      </c>
      <c r="B418" s="704" t="s">
        <v>1792</v>
      </c>
      <c r="C418" s="689" t="s">
        <v>1746</v>
      </c>
      <c r="D418" s="477" t="s">
        <v>660</v>
      </c>
      <c r="E418" s="470"/>
      <c r="F418" s="478">
        <v>500</v>
      </c>
      <c r="G418" s="479">
        <v>1</v>
      </c>
      <c r="H418" s="663">
        <f>(0.94*F418+46.06)*G418</f>
        <v>516.05999999999995</v>
      </c>
      <c r="I418" s="472">
        <v>5725</v>
      </c>
      <c r="J418" s="472">
        <f>IF(ISBLANK(I418),"",I418*(1+$F$9)/(1+$F$10))+H418</f>
        <v>6070.962785960779</v>
      </c>
      <c r="K418" s="690">
        <f t="shared" si="117"/>
        <v>7212.91</v>
      </c>
      <c r="L418" s="691" t="s">
        <v>20</v>
      </c>
      <c r="M418" s="692">
        <f>ROUND(M413*G413,2)</f>
        <v>0</v>
      </c>
      <c r="N418" s="696">
        <f t="shared" si="123"/>
        <v>0</v>
      </c>
      <c r="O418" s="693">
        <f t="shared" si="112"/>
        <v>0</v>
      </c>
      <c r="P418" s="694">
        <f t="shared" si="113"/>
        <v>0</v>
      </c>
      <c r="Q418" s="765"/>
      <c r="R418" s="695">
        <f>ROUND(R413*G413,2)</f>
        <v>0</v>
      </c>
      <c r="S418" s="711">
        <f>N418</f>
        <v>0</v>
      </c>
      <c r="T418" s="693">
        <f t="shared" si="110"/>
        <v>0</v>
      </c>
      <c r="U418" s="694">
        <f t="shared" si="111"/>
        <v>0</v>
      </c>
      <c r="V418" s="579"/>
      <c r="W418" s="637" t="str">
        <f>IF(U413&gt;0,"xx",IF(P413&gt;0,"xy",""))</f>
        <v/>
      </c>
      <c r="X418" s="586" t="str">
        <f t="shared" ref="X418:X481" si="127">IF(W418="X","x",IF(W418="xx","x",IF(W418="xy","x",IF(W418="y","x",IF(OR(P418&gt;0,U418&gt;0),"x","")))))</f>
        <v/>
      </c>
      <c r="Y418" s="586" t="str">
        <f t="shared" si="122"/>
        <v/>
      </c>
      <c r="Z418" s="586" t="str">
        <f t="shared" si="125"/>
        <v/>
      </c>
    </row>
    <row r="419" spans="1:26" ht="12" hidden="1" thickBot="1" x14ac:dyDescent="0.25">
      <c r="A419" s="671">
        <v>570400</v>
      </c>
      <c r="B419" s="701" t="s">
        <v>1793</v>
      </c>
      <c r="C419" s="702" t="s">
        <v>206</v>
      </c>
      <c r="D419" s="463" t="s">
        <v>2104</v>
      </c>
      <c r="E419" s="464"/>
      <c r="F419" s="465" t="s">
        <v>662</v>
      </c>
      <c r="G419" s="466">
        <v>5.5E-2</v>
      </c>
      <c r="H419" s="681">
        <f>SUM(H420:H423)</f>
        <v>55.825289800000007</v>
      </c>
      <c r="I419" s="467">
        <v>180.27999999999997</v>
      </c>
      <c r="J419" s="467">
        <f>IF(ISBLANK(I419),"",SUM(H419:I419))</f>
        <v>236.10528979999998</v>
      </c>
      <c r="K419" s="682">
        <f t="shared" si="117"/>
        <v>280.52</v>
      </c>
      <c r="L419" s="683" t="s">
        <v>20</v>
      </c>
      <c r="M419" s="685"/>
      <c r="N419" s="576">
        <f t="shared" si="123"/>
        <v>0</v>
      </c>
      <c r="O419" s="687">
        <f t="shared" si="112"/>
        <v>0</v>
      </c>
      <c r="P419" s="688">
        <f t="shared" si="113"/>
        <v>0</v>
      </c>
      <c r="Q419" s="765"/>
      <c r="R419" s="685">
        <f>M419</f>
        <v>0</v>
      </c>
      <c r="S419" s="686">
        <f>N419</f>
        <v>0</v>
      </c>
      <c r="T419" s="687">
        <f t="shared" si="110"/>
        <v>0</v>
      </c>
      <c r="U419" s="688">
        <f t="shared" si="111"/>
        <v>0</v>
      </c>
      <c r="V419" s="579"/>
      <c r="W419" s="566"/>
      <c r="X419" s="586" t="str">
        <f t="shared" si="127"/>
        <v/>
      </c>
      <c r="Y419" s="586" t="str">
        <f t="shared" si="122"/>
        <v/>
      </c>
      <c r="Z419" s="586" t="str">
        <f t="shared" si="125"/>
        <v/>
      </c>
    </row>
    <row r="420" spans="1:26" ht="12" hidden="1" thickBot="1" x14ac:dyDescent="0.25">
      <c r="A420" s="671" t="s">
        <v>168</v>
      </c>
      <c r="B420" s="644" t="s">
        <v>168</v>
      </c>
      <c r="C420" s="645"/>
      <c r="D420" s="451" t="s">
        <v>248</v>
      </c>
      <c r="E420" s="423"/>
      <c r="F420" s="424">
        <v>180</v>
      </c>
      <c r="G420" s="425">
        <v>0.1002</v>
      </c>
      <c r="H420" s="663">
        <f t="shared" ref="H420:H422" si="128">IF(F420&lt;=30,(1.07*F420+2.68)*G420,((1.07*30+2.68)+1.07*(F420-30))*G420)</f>
        <v>19.567056000000001</v>
      </c>
      <c r="I420" s="420">
        <v>0</v>
      </c>
      <c r="J420" s="420"/>
      <c r="K420" s="421">
        <f t="shared" si="117"/>
        <v>0</v>
      </c>
      <c r="L420" s="647" t="s">
        <v>614</v>
      </c>
      <c r="M420" s="703"/>
      <c r="N420" s="576">
        <f t="shared" si="123"/>
        <v>0</v>
      </c>
      <c r="O420" s="577">
        <f t="shared" si="112"/>
        <v>0</v>
      </c>
      <c r="P420" s="578">
        <f t="shared" si="113"/>
        <v>0</v>
      </c>
      <c r="Q420" s="765"/>
      <c r="R420" s="703"/>
      <c r="S420" s="670"/>
      <c r="T420" s="577">
        <f t="shared" si="110"/>
        <v>0</v>
      </c>
      <c r="U420" s="578">
        <f t="shared" si="111"/>
        <v>0</v>
      </c>
      <c r="V420" s="579"/>
      <c r="W420" s="637" t="str">
        <f>IF(U419&gt;0,"xx",IF(P419&gt;0,"xy",""))</f>
        <v/>
      </c>
      <c r="X420" s="586" t="str">
        <f t="shared" si="127"/>
        <v/>
      </c>
      <c r="Y420" s="586" t="str">
        <f t="shared" si="122"/>
        <v/>
      </c>
      <c r="Z420" s="586" t="str">
        <f t="shared" si="125"/>
        <v/>
      </c>
    </row>
    <row r="421" spans="1:26" ht="12" hidden="1" thickBot="1" x14ac:dyDescent="0.25">
      <c r="A421" s="671" t="s">
        <v>168</v>
      </c>
      <c r="B421" s="644" t="s">
        <v>168</v>
      </c>
      <c r="C421" s="645"/>
      <c r="D421" s="451" t="s">
        <v>249</v>
      </c>
      <c r="E421" s="423"/>
      <c r="F421" s="424">
        <v>500</v>
      </c>
      <c r="G421" s="425">
        <v>1.5100000000000001E-2</v>
      </c>
      <c r="H421" s="649">
        <f>IF(F421&lt;=30,(0.78*F421+7.82)*G421,((0.78*30+7.82)+0.78*(F421-30))*G421)</f>
        <v>6.0070820000000014</v>
      </c>
      <c r="I421" s="420">
        <v>0</v>
      </c>
      <c r="J421" s="420"/>
      <c r="K421" s="421">
        <f t="shared" si="117"/>
        <v>0</v>
      </c>
      <c r="L421" s="647" t="s">
        <v>614</v>
      </c>
      <c r="M421" s="703"/>
      <c r="N421" s="576">
        <f t="shared" si="123"/>
        <v>0</v>
      </c>
      <c r="O421" s="577">
        <f t="shared" si="112"/>
        <v>0</v>
      </c>
      <c r="P421" s="578">
        <f t="shared" si="113"/>
        <v>0</v>
      </c>
      <c r="Q421" s="765"/>
      <c r="R421" s="703"/>
      <c r="S421" s="670"/>
      <c r="T421" s="577">
        <f t="shared" si="110"/>
        <v>0</v>
      </c>
      <c r="U421" s="578">
        <f t="shared" si="111"/>
        <v>0</v>
      </c>
      <c r="V421" s="579"/>
      <c r="W421" s="637" t="str">
        <f>IF(U419&gt;0,"xx",IF(P419&gt;0,"xy",""))</f>
        <v/>
      </c>
      <c r="X421" s="586" t="str">
        <f t="shared" si="127"/>
        <v/>
      </c>
      <c r="Y421" s="586" t="str">
        <f t="shared" si="122"/>
        <v/>
      </c>
      <c r="Z421" s="586" t="str">
        <f t="shared" si="125"/>
        <v/>
      </c>
    </row>
    <row r="422" spans="1:26" ht="12" hidden="1" thickBot="1" x14ac:dyDescent="0.25">
      <c r="A422" s="671" t="s">
        <v>168</v>
      </c>
      <c r="B422" s="644" t="s">
        <v>168</v>
      </c>
      <c r="C422" s="645"/>
      <c r="D422" s="451" t="s">
        <v>262</v>
      </c>
      <c r="E422" s="423"/>
      <c r="F422" s="424">
        <v>0.2</v>
      </c>
      <c r="G422" s="425">
        <v>0.82969999999999999</v>
      </c>
      <c r="H422" s="663">
        <f t="shared" si="128"/>
        <v>2.4011518000000001</v>
      </c>
      <c r="I422" s="420">
        <v>0</v>
      </c>
      <c r="J422" s="420"/>
      <c r="K422" s="421">
        <f t="shared" si="117"/>
        <v>0</v>
      </c>
      <c r="L422" s="647" t="s">
        <v>614</v>
      </c>
      <c r="M422" s="703"/>
      <c r="N422" s="576">
        <f t="shared" si="123"/>
        <v>0</v>
      </c>
      <c r="O422" s="577">
        <f t="shared" si="112"/>
        <v>0</v>
      </c>
      <c r="P422" s="578">
        <f t="shared" si="113"/>
        <v>0</v>
      </c>
      <c r="Q422" s="765"/>
      <c r="R422" s="703"/>
      <c r="S422" s="670"/>
      <c r="T422" s="577">
        <f t="shared" si="110"/>
        <v>0</v>
      </c>
      <c r="U422" s="578">
        <f t="shared" si="111"/>
        <v>0</v>
      </c>
      <c r="V422" s="579"/>
      <c r="W422" s="637" t="str">
        <f>IF(U419&gt;0,"xx",IF(P419&gt;0,"xy",""))</f>
        <v/>
      </c>
      <c r="X422" s="586" t="str">
        <f t="shared" si="127"/>
        <v/>
      </c>
      <c r="Y422" s="586" t="str">
        <f t="shared" si="122"/>
        <v/>
      </c>
      <c r="Z422" s="586" t="str">
        <f t="shared" si="125"/>
        <v/>
      </c>
    </row>
    <row r="423" spans="1:26" ht="12" hidden="1" thickBot="1" x14ac:dyDescent="0.25">
      <c r="A423" s="671" t="s">
        <v>168</v>
      </c>
      <c r="B423" s="644" t="s">
        <v>168</v>
      </c>
      <c r="C423" s="645"/>
      <c r="D423" s="451" t="s">
        <v>263</v>
      </c>
      <c r="E423" s="423"/>
      <c r="F423" s="424">
        <v>20</v>
      </c>
      <c r="G423" s="425">
        <f>SUM(G419:G422)</f>
        <v>1</v>
      </c>
      <c r="H423" s="651">
        <f>IF(F423&lt;=30,(1.07*F423+6.45)*G423,((1.07*30+6.45)+1.07*(F423-30))*G423)</f>
        <v>27.85</v>
      </c>
      <c r="I423" s="420">
        <v>0</v>
      </c>
      <c r="J423" s="420"/>
      <c r="K423" s="421">
        <f t="shared" si="117"/>
        <v>0</v>
      </c>
      <c r="L423" s="647" t="s">
        <v>614</v>
      </c>
      <c r="M423" s="703"/>
      <c r="N423" s="576">
        <f t="shared" si="123"/>
        <v>0</v>
      </c>
      <c r="O423" s="577">
        <f t="shared" si="112"/>
        <v>0</v>
      </c>
      <c r="P423" s="578">
        <f t="shared" si="113"/>
        <v>0</v>
      </c>
      <c r="Q423" s="765"/>
      <c r="R423" s="703"/>
      <c r="S423" s="670"/>
      <c r="T423" s="577">
        <f t="shared" si="110"/>
        <v>0</v>
      </c>
      <c r="U423" s="578">
        <f t="shared" si="111"/>
        <v>0</v>
      </c>
      <c r="V423" s="579"/>
      <c r="W423" s="637" t="str">
        <f>IF(U419&gt;0,"xx",IF(P419&gt;0,"xy",""))</f>
        <v/>
      </c>
      <c r="X423" s="586" t="str">
        <f t="shared" si="127"/>
        <v/>
      </c>
      <c r="Y423" s="586" t="str">
        <f t="shared" si="122"/>
        <v/>
      </c>
      <c r="Z423" s="586" t="str">
        <f t="shared" si="125"/>
        <v/>
      </c>
    </row>
    <row r="424" spans="1:26" ht="12" hidden="1" thickBot="1" x14ac:dyDescent="0.25">
      <c r="A424" s="671">
        <v>589000</v>
      </c>
      <c r="B424" s="704" t="s">
        <v>1794</v>
      </c>
      <c r="C424" s="689" t="s">
        <v>1746</v>
      </c>
      <c r="D424" s="477" t="s">
        <v>660</v>
      </c>
      <c r="E424" s="470"/>
      <c r="F424" s="478">
        <v>500</v>
      </c>
      <c r="G424" s="479">
        <v>1</v>
      </c>
      <c r="H424" s="663">
        <f>(0.94*F424+46.06)*G424</f>
        <v>516.05999999999995</v>
      </c>
      <c r="I424" s="472">
        <v>5725</v>
      </c>
      <c r="J424" s="472">
        <f>IF(ISBLANK(I424),"",I424*(1+$F$9)/(1+$F$10))+H424</f>
        <v>6070.962785960779</v>
      </c>
      <c r="K424" s="690">
        <f t="shared" si="117"/>
        <v>7212.91</v>
      </c>
      <c r="L424" s="691" t="s">
        <v>20</v>
      </c>
      <c r="M424" s="692">
        <f>ROUND(M419*G419,2)</f>
        <v>0</v>
      </c>
      <c r="N424" s="588">
        <f t="shared" si="123"/>
        <v>0</v>
      </c>
      <c r="O424" s="693">
        <f t="shared" si="112"/>
        <v>0</v>
      </c>
      <c r="P424" s="694">
        <f t="shared" si="113"/>
        <v>0</v>
      </c>
      <c r="Q424" s="765"/>
      <c r="R424" s="695">
        <f>ROUND(R419*G419,2)</f>
        <v>0</v>
      </c>
      <c r="S424" s="711">
        <f>N424</f>
        <v>0</v>
      </c>
      <c r="T424" s="693">
        <f t="shared" si="110"/>
        <v>0</v>
      </c>
      <c r="U424" s="694">
        <f t="shared" si="111"/>
        <v>0</v>
      </c>
      <c r="V424" s="579"/>
      <c r="W424" s="637" t="str">
        <f>IF(U419&gt;0,"xx",IF(P419&gt;0,"xy",""))</f>
        <v/>
      </c>
      <c r="X424" s="586" t="str">
        <f t="shared" si="127"/>
        <v/>
      </c>
      <c r="Y424" s="586" t="str">
        <f t="shared" si="122"/>
        <v/>
      </c>
      <c r="Z424" s="586" t="str">
        <f t="shared" si="125"/>
        <v/>
      </c>
    </row>
    <row r="425" spans="1:26" ht="12" hidden="1" thickBot="1" x14ac:dyDescent="0.25">
      <c r="A425" s="671">
        <v>570400</v>
      </c>
      <c r="B425" s="701" t="s">
        <v>1795</v>
      </c>
      <c r="C425" s="702" t="s">
        <v>206</v>
      </c>
      <c r="D425" s="463" t="s">
        <v>2105</v>
      </c>
      <c r="E425" s="464"/>
      <c r="F425" s="465" t="s">
        <v>662</v>
      </c>
      <c r="G425" s="466">
        <v>5.7000000000000002E-2</v>
      </c>
      <c r="H425" s="681">
        <f>SUM(H426:H429)</f>
        <v>55.741532000000007</v>
      </c>
      <c r="I425" s="467">
        <v>180.27999999999997</v>
      </c>
      <c r="J425" s="467">
        <f>IF(ISBLANK(I425),"",SUM(H425:I425))</f>
        <v>236.02153199999998</v>
      </c>
      <c r="K425" s="682">
        <f t="shared" si="117"/>
        <v>280.42</v>
      </c>
      <c r="L425" s="683" t="s">
        <v>20</v>
      </c>
      <c r="M425" s="685"/>
      <c r="N425" s="686">
        <f t="shared" si="123"/>
        <v>0</v>
      </c>
      <c r="O425" s="687">
        <f t="shared" si="112"/>
        <v>0</v>
      </c>
      <c r="P425" s="688">
        <f t="shared" si="113"/>
        <v>0</v>
      </c>
      <c r="Q425" s="765"/>
      <c r="R425" s="685">
        <f>M425</f>
        <v>0</v>
      </c>
      <c r="S425" s="686">
        <f>N425</f>
        <v>0</v>
      </c>
      <c r="T425" s="687">
        <f t="shared" si="110"/>
        <v>0</v>
      </c>
      <c r="U425" s="688">
        <f t="shared" si="111"/>
        <v>0</v>
      </c>
      <c r="V425" s="579"/>
      <c r="W425" s="566"/>
      <c r="X425" s="586" t="str">
        <f t="shared" si="127"/>
        <v/>
      </c>
      <c r="Y425" s="586" t="str">
        <f t="shared" si="122"/>
        <v/>
      </c>
      <c r="Z425" s="586" t="str">
        <f t="shared" si="125"/>
        <v/>
      </c>
    </row>
    <row r="426" spans="1:26" ht="12" hidden="1" thickBot="1" x14ac:dyDescent="0.25">
      <c r="A426" s="671" t="s">
        <v>168</v>
      </c>
      <c r="B426" s="644" t="s">
        <v>168</v>
      </c>
      <c r="C426" s="645"/>
      <c r="D426" s="451" t="s">
        <v>248</v>
      </c>
      <c r="E426" s="423"/>
      <c r="F426" s="424">
        <v>180</v>
      </c>
      <c r="G426" s="425">
        <v>0.1</v>
      </c>
      <c r="H426" s="663">
        <f t="shared" ref="H426:H428" si="129">IF(F426&lt;=30,(1.07*F426+2.68)*G426,((1.07*30+2.68)+1.07*(F426-30))*G426)</f>
        <v>19.528000000000002</v>
      </c>
      <c r="I426" s="420">
        <v>0</v>
      </c>
      <c r="J426" s="420"/>
      <c r="K426" s="421">
        <f t="shared" si="117"/>
        <v>0</v>
      </c>
      <c r="L426" s="647" t="s">
        <v>614</v>
      </c>
      <c r="M426" s="703"/>
      <c r="N426" s="576">
        <f t="shared" si="123"/>
        <v>0</v>
      </c>
      <c r="O426" s="577">
        <f t="shared" si="112"/>
        <v>0</v>
      </c>
      <c r="P426" s="578">
        <f t="shared" si="113"/>
        <v>0</v>
      </c>
      <c r="Q426" s="765"/>
      <c r="R426" s="703"/>
      <c r="S426" s="670"/>
      <c r="T426" s="577">
        <f t="shared" si="110"/>
        <v>0</v>
      </c>
      <c r="U426" s="578">
        <f t="shared" si="111"/>
        <v>0</v>
      </c>
      <c r="V426" s="579"/>
      <c r="W426" s="637" t="str">
        <f>IF(U425&gt;0,"xx",IF(P425&gt;0,"xy",""))</f>
        <v/>
      </c>
      <c r="X426" s="586" t="str">
        <f t="shared" si="127"/>
        <v/>
      </c>
      <c r="Y426" s="586" t="str">
        <f t="shared" si="122"/>
        <v/>
      </c>
      <c r="Z426" s="586" t="str">
        <f t="shared" si="125"/>
        <v/>
      </c>
    </row>
    <row r="427" spans="1:26" ht="12" hidden="1" thickBot="1" x14ac:dyDescent="0.25">
      <c r="A427" s="671" t="s">
        <v>168</v>
      </c>
      <c r="B427" s="644" t="s">
        <v>168</v>
      </c>
      <c r="C427" s="645"/>
      <c r="D427" s="451" t="s">
        <v>249</v>
      </c>
      <c r="E427" s="423"/>
      <c r="F427" s="424">
        <v>500</v>
      </c>
      <c r="G427" s="425">
        <v>1.4999999999999999E-2</v>
      </c>
      <c r="H427" s="649">
        <f>IF(F427&lt;=30,(0.78*F427+7.82)*G427,((0.78*30+7.82)+0.78*(F427-30))*G427)</f>
        <v>5.9673000000000007</v>
      </c>
      <c r="I427" s="420">
        <v>0</v>
      </c>
      <c r="J427" s="420"/>
      <c r="K427" s="421">
        <f t="shared" si="117"/>
        <v>0</v>
      </c>
      <c r="L427" s="647" t="s">
        <v>614</v>
      </c>
      <c r="M427" s="703"/>
      <c r="N427" s="576">
        <f t="shared" si="123"/>
        <v>0</v>
      </c>
      <c r="O427" s="577">
        <f t="shared" si="112"/>
        <v>0</v>
      </c>
      <c r="P427" s="578">
        <f t="shared" si="113"/>
        <v>0</v>
      </c>
      <c r="Q427" s="765"/>
      <c r="R427" s="703"/>
      <c r="S427" s="670"/>
      <c r="T427" s="577">
        <f t="shared" si="110"/>
        <v>0</v>
      </c>
      <c r="U427" s="578">
        <f t="shared" si="111"/>
        <v>0</v>
      </c>
      <c r="V427" s="579"/>
      <c r="W427" s="637" t="str">
        <f>IF(U425&gt;0,"xx",IF(P425&gt;0,"xy",""))</f>
        <v/>
      </c>
      <c r="X427" s="586" t="str">
        <f t="shared" si="127"/>
        <v/>
      </c>
      <c r="Y427" s="586" t="str">
        <f t="shared" si="122"/>
        <v/>
      </c>
      <c r="Z427" s="586" t="str">
        <f t="shared" si="125"/>
        <v/>
      </c>
    </row>
    <row r="428" spans="1:26" ht="12" hidden="1" thickBot="1" x14ac:dyDescent="0.25">
      <c r="A428" s="671" t="s">
        <v>168</v>
      </c>
      <c r="B428" s="644" t="s">
        <v>168</v>
      </c>
      <c r="C428" s="645"/>
      <c r="D428" s="451" t="s">
        <v>262</v>
      </c>
      <c r="E428" s="423"/>
      <c r="F428" s="424">
        <v>0.2</v>
      </c>
      <c r="G428" s="425">
        <v>0.82799999999999996</v>
      </c>
      <c r="H428" s="663">
        <f t="shared" si="129"/>
        <v>2.3962319999999999</v>
      </c>
      <c r="I428" s="420">
        <v>0</v>
      </c>
      <c r="J428" s="420"/>
      <c r="K428" s="421">
        <f t="shared" si="117"/>
        <v>0</v>
      </c>
      <c r="L428" s="647" t="s">
        <v>614</v>
      </c>
      <c r="M428" s="703"/>
      <c r="N428" s="576">
        <f t="shared" si="123"/>
        <v>0</v>
      </c>
      <c r="O428" s="577">
        <f t="shared" si="112"/>
        <v>0</v>
      </c>
      <c r="P428" s="578">
        <f t="shared" si="113"/>
        <v>0</v>
      </c>
      <c r="Q428" s="765"/>
      <c r="R428" s="703"/>
      <c r="S428" s="670"/>
      <c r="T428" s="577">
        <f t="shared" ref="T428:T548" si="130">IF(ISBLANK(R428),0,ROUND(K428*R428,2))</f>
        <v>0</v>
      </c>
      <c r="U428" s="578">
        <f t="shared" ref="U428:U548" si="131">IF(ISBLANK(R428),0,ROUND(R428*S428,2))</f>
        <v>0</v>
      </c>
      <c r="V428" s="579"/>
      <c r="W428" s="637" t="str">
        <f>IF(U425&gt;0,"xx",IF(P425&gt;0,"xy",""))</f>
        <v/>
      </c>
      <c r="X428" s="586" t="str">
        <f t="shared" si="127"/>
        <v/>
      </c>
      <c r="Y428" s="586" t="str">
        <f t="shared" si="122"/>
        <v/>
      </c>
      <c r="Z428" s="586" t="str">
        <f t="shared" si="125"/>
        <v/>
      </c>
    </row>
    <row r="429" spans="1:26" ht="12" hidden="1" thickBot="1" x14ac:dyDescent="0.25">
      <c r="A429" s="671" t="s">
        <v>168</v>
      </c>
      <c r="B429" s="644" t="s">
        <v>168</v>
      </c>
      <c r="C429" s="645"/>
      <c r="D429" s="451" t="s">
        <v>263</v>
      </c>
      <c r="E429" s="423"/>
      <c r="F429" s="424">
        <v>20</v>
      </c>
      <c r="G429" s="425">
        <f>SUM(G425:G428)</f>
        <v>1</v>
      </c>
      <c r="H429" s="651">
        <f>IF(F429&lt;=30,(1.07*F429+6.45)*G429,((1.07*30+6.45)+1.07*(F429-30))*G429)</f>
        <v>27.85</v>
      </c>
      <c r="I429" s="420">
        <v>0</v>
      </c>
      <c r="J429" s="420"/>
      <c r="K429" s="421">
        <f t="shared" si="117"/>
        <v>0</v>
      </c>
      <c r="L429" s="647" t="s">
        <v>614</v>
      </c>
      <c r="M429" s="703"/>
      <c r="N429" s="576">
        <f t="shared" si="123"/>
        <v>0</v>
      </c>
      <c r="O429" s="577">
        <f t="shared" ref="O429:O549" si="132">IF(ISBLANK(M429),0,ROUND(K429*M429,2))</f>
        <v>0</v>
      </c>
      <c r="P429" s="578">
        <f t="shared" ref="P429:P549" si="133">IF(ISBLANK(N429),0,ROUND(M429*N429,2))</f>
        <v>0</v>
      </c>
      <c r="Q429" s="765"/>
      <c r="R429" s="703"/>
      <c r="S429" s="670"/>
      <c r="T429" s="577">
        <f t="shared" si="130"/>
        <v>0</v>
      </c>
      <c r="U429" s="578">
        <f t="shared" si="131"/>
        <v>0</v>
      </c>
      <c r="V429" s="579"/>
      <c r="W429" s="637" t="str">
        <f>IF(U425&gt;0,"xx",IF(P425&gt;0,"xy",""))</f>
        <v/>
      </c>
      <c r="X429" s="586" t="str">
        <f t="shared" si="127"/>
        <v/>
      </c>
      <c r="Y429" s="586" t="str">
        <f t="shared" si="122"/>
        <v/>
      </c>
      <c r="Z429" s="586" t="str">
        <f t="shared" si="125"/>
        <v/>
      </c>
    </row>
    <row r="430" spans="1:26" ht="12" hidden="1" thickBot="1" x14ac:dyDescent="0.25">
      <c r="A430" s="671">
        <v>589000</v>
      </c>
      <c r="B430" s="704" t="s">
        <v>1796</v>
      </c>
      <c r="C430" s="689" t="s">
        <v>1746</v>
      </c>
      <c r="D430" s="477" t="s">
        <v>660</v>
      </c>
      <c r="E430" s="470"/>
      <c r="F430" s="478">
        <v>500</v>
      </c>
      <c r="G430" s="479">
        <v>1</v>
      </c>
      <c r="H430" s="663">
        <f>(0.94*F430+46.06)*G430</f>
        <v>516.05999999999995</v>
      </c>
      <c r="I430" s="472">
        <v>5725</v>
      </c>
      <c r="J430" s="472">
        <f>IF(ISBLANK(I430),"",I430*(1+$F$9)/(1+$F$10))+H430</f>
        <v>6070.962785960779</v>
      </c>
      <c r="K430" s="690">
        <f t="shared" si="117"/>
        <v>7212.91</v>
      </c>
      <c r="L430" s="691" t="s">
        <v>20</v>
      </c>
      <c r="M430" s="692">
        <f>ROUND(M425*G425,2)</f>
        <v>0</v>
      </c>
      <c r="N430" s="696">
        <f t="shared" si="123"/>
        <v>0</v>
      </c>
      <c r="O430" s="693">
        <f t="shared" si="132"/>
        <v>0</v>
      </c>
      <c r="P430" s="694">
        <f t="shared" si="133"/>
        <v>0</v>
      </c>
      <c r="Q430" s="765"/>
      <c r="R430" s="695">
        <f>ROUND(R425*G425,2)</f>
        <v>0</v>
      </c>
      <c r="S430" s="711">
        <f>N430</f>
        <v>0</v>
      </c>
      <c r="T430" s="693">
        <f t="shared" si="130"/>
        <v>0</v>
      </c>
      <c r="U430" s="694">
        <f t="shared" si="131"/>
        <v>0</v>
      </c>
      <c r="V430" s="579"/>
      <c r="W430" s="637" t="str">
        <f>IF(U425&gt;0,"xx",IF(P425&gt;0,"xy",""))</f>
        <v/>
      </c>
      <c r="X430" s="586" t="str">
        <f t="shared" si="127"/>
        <v/>
      </c>
      <c r="Y430" s="586" t="str">
        <f t="shared" si="122"/>
        <v/>
      </c>
      <c r="Z430" s="586" t="str">
        <f t="shared" si="125"/>
        <v/>
      </c>
    </row>
    <row r="431" spans="1:26" ht="26.25" hidden="1" customHeight="1" x14ac:dyDescent="0.2">
      <c r="A431" s="671">
        <v>570360</v>
      </c>
      <c r="B431" s="701">
        <v>570360</v>
      </c>
      <c r="C431" s="702" t="s">
        <v>206</v>
      </c>
      <c r="D431" s="463" t="s">
        <v>264</v>
      </c>
      <c r="E431" s="464"/>
      <c r="F431" s="487" t="s">
        <v>664</v>
      </c>
      <c r="G431" s="466">
        <v>5.8999999999999997E-2</v>
      </c>
      <c r="H431" s="681">
        <f>SUM(H432:H435)</f>
        <v>55.735744000000004</v>
      </c>
      <c r="I431" s="467">
        <v>189.82</v>
      </c>
      <c r="J431" s="467">
        <f>IF(ISBLANK(I431),"",SUM(H431:I431))</f>
        <v>245.555744</v>
      </c>
      <c r="K431" s="682">
        <f t="shared" si="117"/>
        <v>291.74</v>
      </c>
      <c r="L431" s="683" t="s">
        <v>20</v>
      </c>
      <c r="M431" s="685"/>
      <c r="N431" s="576">
        <f t="shared" si="123"/>
        <v>0</v>
      </c>
      <c r="O431" s="687">
        <f t="shared" si="132"/>
        <v>0</v>
      </c>
      <c r="P431" s="688">
        <f t="shared" si="133"/>
        <v>0</v>
      </c>
      <c r="Q431" s="765"/>
      <c r="R431" s="685">
        <f>M431</f>
        <v>0</v>
      </c>
      <c r="S431" s="686">
        <f>N431</f>
        <v>0</v>
      </c>
      <c r="T431" s="687">
        <f t="shared" si="130"/>
        <v>0</v>
      </c>
      <c r="U431" s="688">
        <f t="shared" si="131"/>
        <v>0</v>
      </c>
      <c r="V431" s="579"/>
      <c r="W431" s="566"/>
      <c r="X431" s="586" t="str">
        <f t="shared" si="127"/>
        <v/>
      </c>
      <c r="Y431" s="586" t="str">
        <f t="shared" si="122"/>
        <v/>
      </c>
      <c r="Z431" s="586" t="str">
        <f t="shared" si="125"/>
        <v/>
      </c>
    </row>
    <row r="432" spans="1:26" ht="12" hidden="1" thickBot="1" x14ac:dyDescent="0.25">
      <c r="A432" s="671" t="s">
        <v>168</v>
      </c>
      <c r="B432" s="644" t="s">
        <v>168</v>
      </c>
      <c r="C432" s="645"/>
      <c r="D432" s="451" t="s">
        <v>248</v>
      </c>
      <c r="E432" s="423"/>
      <c r="F432" s="424">
        <v>180</v>
      </c>
      <c r="G432" s="425">
        <v>0.1</v>
      </c>
      <c r="H432" s="663">
        <f t="shared" ref="H432:H434" si="134">IF(F432&lt;=30,(1.07*F432+2.68)*G432,((1.07*30+2.68)+1.07*(F432-30))*G432)</f>
        <v>19.528000000000002</v>
      </c>
      <c r="I432" s="420">
        <v>0</v>
      </c>
      <c r="J432" s="420"/>
      <c r="K432" s="421">
        <f t="shared" si="117"/>
        <v>0</v>
      </c>
      <c r="L432" s="647" t="s">
        <v>614</v>
      </c>
      <c r="M432" s="703"/>
      <c r="N432" s="576">
        <f t="shared" si="123"/>
        <v>0</v>
      </c>
      <c r="O432" s="577">
        <f t="shared" si="132"/>
        <v>0</v>
      </c>
      <c r="P432" s="578">
        <f t="shared" si="133"/>
        <v>0</v>
      </c>
      <c r="Q432" s="765"/>
      <c r="R432" s="703"/>
      <c r="S432" s="670"/>
      <c r="T432" s="577">
        <f t="shared" si="130"/>
        <v>0</v>
      </c>
      <c r="U432" s="578">
        <f t="shared" si="131"/>
        <v>0</v>
      </c>
      <c r="V432" s="579"/>
      <c r="W432" s="637" t="str">
        <f>IF(U431&gt;0,"xx",IF(P431&gt;0,"xy",""))</f>
        <v/>
      </c>
      <c r="X432" s="586" t="str">
        <f t="shared" si="127"/>
        <v/>
      </c>
      <c r="Y432" s="586" t="str">
        <f>IF(W432="X","x",IF(W432="y","x",IF(W432="xx","x",IF(U432&gt;0,"x",""))))</f>
        <v/>
      </c>
      <c r="Z432" s="586" t="str">
        <f t="shared" si="125"/>
        <v/>
      </c>
    </row>
    <row r="433" spans="1:26" ht="12" hidden="1" thickBot="1" x14ac:dyDescent="0.25">
      <c r="A433" s="671" t="s">
        <v>168</v>
      </c>
      <c r="B433" s="644" t="s">
        <v>168</v>
      </c>
      <c r="C433" s="645"/>
      <c r="D433" s="451" t="s">
        <v>249</v>
      </c>
      <c r="E433" s="423"/>
      <c r="F433" s="424">
        <v>500</v>
      </c>
      <c r="G433" s="425">
        <v>1.4999999999999999E-2</v>
      </c>
      <c r="H433" s="649">
        <f>IF(F433&lt;=30,(0.78*F433+7.82)*G433,((0.78*30+7.82)+0.78*(F433-30))*G433)</f>
        <v>5.9673000000000007</v>
      </c>
      <c r="I433" s="420">
        <v>0</v>
      </c>
      <c r="J433" s="420"/>
      <c r="K433" s="421">
        <f t="shared" si="117"/>
        <v>0</v>
      </c>
      <c r="L433" s="647" t="s">
        <v>614</v>
      </c>
      <c r="M433" s="703"/>
      <c r="N433" s="576">
        <f t="shared" si="123"/>
        <v>0</v>
      </c>
      <c r="O433" s="577">
        <f t="shared" si="132"/>
        <v>0</v>
      </c>
      <c r="P433" s="578">
        <f t="shared" si="133"/>
        <v>0</v>
      </c>
      <c r="Q433" s="765"/>
      <c r="R433" s="703"/>
      <c r="S433" s="670"/>
      <c r="T433" s="577">
        <f t="shared" si="130"/>
        <v>0</v>
      </c>
      <c r="U433" s="578">
        <f t="shared" si="131"/>
        <v>0</v>
      </c>
      <c r="V433" s="579"/>
      <c r="W433" s="637" t="str">
        <f>IF(U431&gt;0,"xx",IF(P431&gt;0,"xy",""))</f>
        <v/>
      </c>
      <c r="X433" s="586" t="str">
        <f t="shared" si="127"/>
        <v/>
      </c>
      <c r="Y433" s="586" t="str">
        <f>IF(W433="X","x",IF(W433="y","x",IF(W433="xx","x",IF(U433&gt;0,"x",""))))</f>
        <v/>
      </c>
      <c r="Z433" s="586" t="str">
        <f t="shared" si="125"/>
        <v/>
      </c>
    </row>
    <row r="434" spans="1:26" ht="12" hidden="1" thickBot="1" x14ac:dyDescent="0.25">
      <c r="A434" s="671" t="s">
        <v>168</v>
      </c>
      <c r="B434" s="644" t="s">
        <v>168</v>
      </c>
      <c r="C434" s="645"/>
      <c r="D434" s="451" t="s">
        <v>262</v>
      </c>
      <c r="E434" s="423"/>
      <c r="F434" s="424">
        <v>0.2</v>
      </c>
      <c r="G434" s="425">
        <v>0.82599999999999996</v>
      </c>
      <c r="H434" s="663">
        <f t="shared" si="134"/>
        <v>2.390444</v>
      </c>
      <c r="I434" s="420">
        <v>0</v>
      </c>
      <c r="J434" s="420"/>
      <c r="K434" s="421">
        <f t="shared" si="117"/>
        <v>0</v>
      </c>
      <c r="L434" s="647" t="s">
        <v>614</v>
      </c>
      <c r="M434" s="703"/>
      <c r="N434" s="576">
        <f t="shared" si="123"/>
        <v>0</v>
      </c>
      <c r="O434" s="577">
        <f t="shared" si="132"/>
        <v>0</v>
      </c>
      <c r="P434" s="578">
        <f t="shared" si="133"/>
        <v>0</v>
      </c>
      <c r="Q434" s="765"/>
      <c r="R434" s="703"/>
      <c r="S434" s="670"/>
      <c r="T434" s="577">
        <f t="shared" si="130"/>
        <v>0</v>
      </c>
      <c r="U434" s="578">
        <f t="shared" si="131"/>
        <v>0</v>
      </c>
      <c r="V434" s="579"/>
      <c r="W434" s="637" t="str">
        <f>IF(U431&gt;0,"xx",IF(P431&gt;0,"xy",""))</f>
        <v/>
      </c>
      <c r="X434" s="586" t="str">
        <f t="shared" si="127"/>
        <v/>
      </c>
      <c r="Y434" s="586" t="str">
        <f>IF(W434="X","x",IF(W434="y","x",IF(W434="xx","x",IF(U434&gt;0,"x",""))))</f>
        <v/>
      </c>
      <c r="Z434" s="586" t="str">
        <f t="shared" si="125"/>
        <v/>
      </c>
    </row>
    <row r="435" spans="1:26" ht="12" hidden="1" thickBot="1" x14ac:dyDescent="0.25">
      <c r="A435" s="671" t="s">
        <v>168</v>
      </c>
      <c r="B435" s="644" t="s">
        <v>168</v>
      </c>
      <c r="C435" s="645"/>
      <c r="D435" s="451" t="s">
        <v>263</v>
      </c>
      <c r="E435" s="423"/>
      <c r="F435" s="424">
        <v>20</v>
      </c>
      <c r="G435" s="425">
        <f>SUM(G431:G434)</f>
        <v>1</v>
      </c>
      <c r="H435" s="651">
        <f>IF(F435&lt;=30,(1.07*F435+6.45)*G435,((1.07*30+6.45)+1.07*(F435-30))*G435)</f>
        <v>27.85</v>
      </c>
      <c r="I435" s="420">
        <v>0</v>
      </c>
      <c r="J435" s="420"/>
      <c r="K435" s="421">
        <f t="shared" si="117"/>
        <v>0</v>
      </c>
      <c r="L435" s="647" t="s">
        <v>614</v>
      </c>
      <c r="M435" s="703"/>
      <c r="N435" s="576">
        <f t="shared" si="123"/>
        <v>0</v>
      </c>
      <c r="O435" s="577">
        <f t="shared" si="132"/>
        <v>0</v>
      </c>
      <c r="P435" s="578">
        <f t="shared" si="133"/>
        <v>0</v>
      </c>
      <c r="Q435" s="765"/>
      <c r="R435" s="703"/>
      <c r="S435" s="670"/>
      <c r="T435" s="577">
        <f t="shared" si="130"/>
        <v>0</v>
      </c>
      <c r="U435" s="578">
        <f t="shared" si="131"/>
        <v>0</v>
      </c>
      <c r="V435" s="579"/>
      <c r="W435" s="637" t="str">
        <f>IF(U431&gt;0,"xx",IF(P431&gt;0,"xy",""))</f>
        <v/>
      </c>
      <c r="X435" s="586" t="str">
        <f t="shared" si="127"/>
        <v/>
      </c>
      <c r="Y435" s="586" t="str">
        <f>IF(W435="X","x",IF(W435="y","x",IF(W435="xx","x",IF(U435&gt;0,"x",""))))</f>
        <v/>
      </c>
      <c r="Z435" s="586" t="str">
        <f t="shared" si="125"/>
        <v/>
      </c>
    </row>
    <row r="436" spans="1:26" ht="12" hidden="1" thickBot="1" x14ac:dyDescent="0.25">
      <c r="A436" s="671">
        <v>589040</v>
      </c>
      <c r="B436" s="704">
        <v>589040</v>
      </c>
      <c r="C436" s="689" t="s">
        <v>1746</v>
      </c>
      <c r="D436" s="477" t="s">
        <v>2069</v>
      </c>
      <c r="E436" s="470"/>
      <c r="F436" s="478">
        <v>500</v>
      </c>
      <c r="G436" s="479">
        <v>1</v>
      </c>
      <c r="H436" s="663">
        <f>(0.94*F436+46.06)*G436</f>
        <v>516.05999999999995</v>
      </c>
      <c r="I436" s="472">
        <v>7130</v>
      </c>
      <c r="J436" s="472">
        <f>IF(ISBLANK(I436),"",I436*(1+$F$9)/(1+$F$10))+H436</f>
        <v>7434.2184041747332</v>
      </c>
      <c r="K436" s="690">
        <f t="shared" si="117"/>
        <v>8832.59</v>
      </c>
      <c r="L436" s="691" t="s">
        <v>20</v>
      </c>
      <c r="M436" s="692">
        <f>ROUND(M431*G431,2)</f>
        <v>0</v>
      </c>
      <c r="N436" s="588">
        <f t="shared" si="123"/>
        <v>0</v>
      </c>
      <c r="O436" s="693">
        <f t="shared" si="132"/>
        <v>0</v>
      </c>
      <c r="P436" s="694">
        <f t="shared" si="133"/>
        <v>0</v>
      </c>
      <c r="Q436" s="765"/>
      <c r="R436" s="695">
        <f>ROUND(R431*G431,2)</f>
        <v>0</v>
      </c>
      <c r="S436" s="711">
        <f>N436</f>
        <v>0</v>
      </c>
      <c r="T436" s="693">
        <f t="shared" si="130"/>
        <v>0</v>
      </c>
      <c r="U436" s="694">
        <f t="shared" si="131"/>
        <v>0</v>
      </c>
      <c r="V436" s="579"/>
      <c r="W436" s="637" t="str">
        <f>IF(U431&gt;0,"xx",IF(P431&gt;0,"xy",""))</f>
        <v/>
      </c>
      <c r="X436" s="586" t="str">
        <f t="shared" si="127"/>
        <v/>
      </c>
      <c r="Y436" s="586" t="str">
        <f t="shared" si="122"/>
        <v/>
      </c>
      <c r="Z436" s="586" t="str">
        <f t="shared" si="125"/>
        <v/>
      </c>
    </row>
    <row r="437" spans="1:26" ht="23.25" hidden="1" thickBot="1" x14ac:dyDescent="0.25">
      <c r="A437" s="567">
        <v>570350</v>
      </c>
      <c r="B437" s="701">
        <v>570350</v>
      </c>
      <c r="C437" s="702" t="s">
        <v>206</v>
      </c>
      <c r="D437" s="463" t="s">
        <v>1704</v>
      </c>
      <c r="E437" s="464"/>
      <c r="F437" s="487" t="s">
        <v>665</v>
      </c>
      <c r="G437" s="466">
        <v>0.06</v>
      </c>
      <c r="H437" s="681">
        <f>SUM(H438:H441)</f>
        <v>55.732850000000006</v>
      </c>
      <c r="I437" s="467">
        <v>200.61</v>
      </c>
      <c r="J437" s="467">
        <f>IF(ISBLANK(I437),"",SUM(H437:I437))</f>
        <v>256.34285</v>
      </c>
      <c r="K437" s="682">
        <f t="shared" si="117"/>
        <v>304.56</v>
      </c>
      <c r="L437" s="683" t="s">
        <v>666</v>
      </c>
      <c r="M437" s="685"/>
      <c r="N437" s="686">
        <f t="shared" si="123"/>
        <v>0</v>
      </c>
      <c r="O437" s="687">
        <f t="shared" si="132"/>
        <v>0</v>
      </c>
      <c r="P437" s="688">
        <f t="shared" si="133"/>
        <v>0</v>
      </c>
      <c r="Q437" s="765"/>
      <c r="R437" s="685">
        <f>M437</f>
        <v>0</v>
      </c>
      <c r="S437" s="686">
        <f>N437</f>
        <v>0</v>
      </c>
      <c r="T437" s="687">
        <f t="shared" si="130"/>
        <v>0</v>
      </c>
      <c r="U437" s="688">
        <f t="shared" si="131"/>
        <v>0</v>
      </c>
      <c r="V437" s="579"/>
      <c r="W437" s="566"/>
      <c r="X437" s="586" t="str">
        <f t="shared" si="127"/>
        <v/>
      </c>
      <c r="Y437" s="586" t="str">
        <f t="shared" si="122"/>
        <v/>
      </c>
      <c r="Z437" s="586" t="str">
        <f t="shared" si="125"/>
        <v/>
      </c>
    </row>
    <row r="438" spans="1:26" ht="12" hidden="1" thickBot="1" x14ac:dyDescent="0.25">
      <c r="A438" s="567" t="s">
        <v>168</v>
      </c>
      <c r="B438" s="644" t="s">
        <v>168</v>
      </c>
      <c r="C438" s="645"/>
      <c r="D438" s="451" t="s">
        <v>248</v>
      </c>
      <c r="E438" s="423"/>
      <c r="F438" s="424">
        <v>180</v>
      </c>
      <c r="G438" s="425">
        <v>0.1</v>
      </c>
      <c r="H438" s="663">
        <f t="shared" ref="H438:H440" si="135">IF(F438&lt;=30,(1.07*F438+2.68)*G438,((1.07*30+2.68)+1.07*(F438-30))*G438)</f>
        <v>19.528000000000002</v>
      </c>
      <c r="I438" s="420">
        <v>0</v>
      </c>
      <c r="J438" s="420"/>
      <c r="K438" s="421">
        <f t="shared" si="117"/>
        <v>0</v>
      </c>
      <c r="L438" s="647" t="s">
        <v>614</v>
      </c>
      <c r="M438" s="703"/>
      <c r="N438" s="576">
        <f t="shared" si="123"/>
        <v>0</v>
      </c>
      <c r="O438" s="577">
        <f t="shared" si="132"/>
        <v>0</v>
      </c>
      <c r="P438" s="578">
        <f t="shared" si="133"/>
        <v>0</v>
      </c>
      <c r="Q438" s="765"/>
      <c r="R438" s="703"/>
      <c r="S438" s="670"/>
      <c r="T438" s="577">
        <f t="shared" si="130"/>
        <v>0</v>
      </c>
      <c r="U438" s="578">
        <f t="shared" si="131"/>
        <v>0</v>
      </c>
      <c r="V438" s="579"/>
      <c r="W438" s="637" t="str">
        <f>IF(U437&gt;0,"xx",IF(P437&gt;0,"xy",""))</f>
        <v/>
      </c>
      <c r="X438" s="586" t="str">
        <f t="shared" si="127"/>
        <v/>
      </c>
      <c r="Y438" s="586" t="str">
        <f t="shared" si="122"/>
        <v/>
      </c>
      <c r="Z438" s="586" t="str">
        <f t="shared" si="125"/>
        <v/>
      </c>
    </row>
    <row r="439" spans="1:26" ht="12" hidden="1" thickBot="1" x14ac:dyDescent="0.25">
      <c r="A439" s="567" t="s">
        <v>168</v>
      </c>
      <c r="B439" s="644" t="s">
        <v>168</v>
      </c>
      <c r="C439" s="645"/>
      <c r="D439" s="451" t="s">
        <v>249</v>
      </c>
      <c r="E439" s="423"/>
      <c r="F439" s="424">
        <v>500</v>
      </c>
      <c r="G439" s="425">
        <v>1.4999999999999999E-2</v>
      </c>
      <c r="H439" s="649">
        <f>IF(F439&lt;=30,(0.78*F439+7.82)*G439,((0.78*30+7.82)+0.78*(F439-30))*G439)</f>
        <v>5.9673000000000007</v>
      </c>
      <c r="I439" s="420">
        <v>0</v>
      </c>
      <c r="J439" s="420"/>
      <c r="K439" s="421">
        <f t="shared" si="117"/>
        <v>0</v>
      </c>
      <c r="L439" s="647" t="s">
        <v>614</v>
      </c>
      <c r="M439" s="703"/>
      <c r="N439" s="576">
        <f t="shared" si="123"/>
        <v>0</v>
      </c>
      <c r="O439" s="577">
        <f t="shared" si="132"/>
        <v>0</v>
      </c>
      <c r="P439" s="578">
        <f t="shared" si="133"/>
        <v>0</v>
      </c>
      <c r="Q439" s="765"/>
      <c r="R439" s="703"/>
      <c r="S439" s="670"/>
      <c r="T439" s="577">
        <f t="shared" si="130"/>
        <v>0</v>
      </c>
      <c r="U439" s="578">
        <f t="shared" si="131"/>
        <v>0</v>
      </c>
      <c r="V439" s="579"/>
      <c r="W439" s="637" t="str">
        <f>IF(U437&gt;0,"xx",IF(P437&gt;0,"xy",""))</f>
        <v/>
      </c>
      <c r="X439" s="586" t="str">
        <f t="shared" si="127"/>
        <v/>
      </c>
      <c r="Y439" s="586" t="str">
        <f t="shared" si="122"/>
        <v/>
      </c>
      <c r="Z439" s="586" t="str">
        <f t="shared" si="125"/>
        <v/>
      </c>
    </row>
    <row r="440" spans="1:26" ht="12" hidden="1" thickBot="1" x14ac:dyDescent="0.25">
      <c r="A440" s="567" t="s">
        <v>168</v>
      </c>
      <c r="B440" s="644" t="s">
        <v>168</v>
      </c>
      <c r="C440" s="645"/>
      <c r="D440" s="451" t="s">
        <v>262</v>
      </c>
      <c r="E440" s="423"/>
      <c r="F440" s="424">
        <v>0.2</v>
      </c>
      <c r="G440" s="425">
        <v>0.82499999999999996</v>
      </c>
      <c r="H440" s="663">
        <f t="shared" si="135"/>
        <v>2.3875500000000001</v>
      </c>
      <c r="I440" s="420">
        <v>0</v>
      </c>
      <c r="J440" s="420"/>
      <c r="K440" s="421">
        <f t="shared" si="117"/>
        <v>0</v>
      </c>
      <c r="L440" s="647" t="s">
        <v>614</v>
      </c>
      <c r="M440" s="703"/>
      <c r="N440" s="576">
        <f t="shared" si="123"/>
        <v>0</v>
      </c>
      <c r="O440" s="577">
        <f t="shared" si="132"/>
        <v>0</v>
      </c>
      <c r="P440" s="578">
        <f t="shared" si="133"/>
        <v>0</v>
      </c>
      <c r="Q440" s="765"/>
      <c r="R440" s="703"/>
      <c r="S440" s="670"/>
      <c r="T440" s="577">
        <f t="shared" si="130"/>
        <v>0</v>
      </c>
      <c r="U440" s="578">
        <f t="shared" si="131"/>
        <v>0</v>
      </c>
      <c r="V440" s="579"/>
      <c r="W440" s="637" t="str">
        <f>IF(U437&gt;0,"xx",IF(P437&gt;0,"xy",""))</f>
        <v/>
      </c>
      <c r="X440" s="586" t="str">
        <f t="shared" si="127"/>
        <v/>
      </c>
      <c r="Y440" s="586" t="str">
        <f t="shared" si="122"/>
        <v/>
      </c>
      <c r="Z440" s="586" t="str">
        <f t="shared" si="125"/>
        <v/>
      </c>
    </row>
    <row r="441" spans="1:26" ht="12" hidden="1" thickBot="1" x14ac:dyDescent="0.25">
      <c r="A441" s="567" t="s">
        <v>168</v>
      </c>
      <c r="B441" s="644" t="s">
        <v>168</v>
      </c>
      <c r="C441" s="645"/>
      <c r="D441" s="451" t="s">
        <v>263</v>
      </c>
      <c r="E441" s="423"/>
      <c r="F441" s="424">
        <v>20</v>
      </c>
      <c r="G441" s="425">
        <f>SUM(G437:G440)</f>
        <v>1</v>
      </c>
      <c r="H441" s="651">
        <f>IF(F441&lt;=30,(1.07*F441+6.45)*G441,((1.07*30+6.45)+1.07*(F441-30))*G441)</f>
        <v>27.85</v>
      </c>
      <c r="I441" s="420">
        <v>0</v>
      </c>
      <c r="J441" s="420"/>
      <c r="K441" s="421">
        <f t="shared" si="117"/>
        <v>0</v>
      </c>
      <c r="L441" s="647" t="s">
        <v>614</v>
      </c>
      <c r="M441" s="703"/>
      <c r="N441" s="576">
        <f t="shared" si="123"/>
        <v>0</v>
      </c>
      <c r="O441" s="577">
        <f t="shared" si="132"/>
        <v>0</v>
      </c>
      <c r="P441" s="578">
        <f t="shared" si="133"/>
        <v>0</v>
      </c>
      <c r="Q441" s="765"/>
      <c r="R441" s="703"/>
      <c r="S441" s="670"/>
      <c r="T441" s="577">
        <f t="shared" si="130"/>
        <v>0</v>
      </c>
      <c r="U441" s="578">
        <f t="shared" si="131"/>
        <v>0</v>
      </c>
      <c r="V441" s="579"/>
      <c r="W441" s="637" t="str">
        <f>IF(U437&gt;0,"xx",IF(P437&gt;0,"xy",""))</f>
        <v/>
      </c>
      <c r="X441" s="586" t="str">
        <f t="shared" si="127"/>
        <v/>
      </c>
      <c r="Y441" s="586" t="str">
        <f t="shared" si="122"/>
        <v/>
      </c>
      <c r="Z441" s="586" t="str">
        <f t="shared" si="125"/>
        <v/>
      </c>
    </row>
    <row r="442" spans="1:26" ht="12" hidden="1" thickBot="1" x14ac:dyDescent="0.25">
      <c r="A442" s="567">
        <v>589050</v>
      </c>
      <c r="B442" s="704">
        <v>589050</v>
      </c>
      <c r="C442" s="689" t="s">
        <v>1746</v>
      </c>
      <c r="D442" s="477" t="s">
        <v>1797</v>
      </c>
      <c r="E442" s="470"/>
      <c r="F442" s="478">
        <v>500</v>
      </c>
      <c r="G442" s="479">
        <v>1</v>
      </c>
      <c r="H442" s="663">
        <f>(0.94*F442+46.06)*G442</f>
        <v>516.05999999999995</v>
      </c>
      <c r="I442" s="472">
        <v>5662</v>
      </c>
      <c r="J442" s="472">
        <f>IF(ISBLANK(I442),"",I442*(1+$F$9)/(1+$F$10))+H442</f>
        <v>6009.8345980978047</v>
      </c>
      <c r="K442" s="690">
        <f t="shared" si="117"/>
        <v>7140.28</v>
      </c>
      <c r="L442" s="691" t="s">
        <v>20</v>
      </c>
      <c r="M442" s="692">
        <f>ROUND(M437*G437,2)</f>
        <v>0</v>
      </c>
      <c r="N442" s="696">
        <f t="shared" si="123"/>
        <v>0</v>
      </c>
      <c r="O442" s="693">
        <f t="shared" si="132"/>
        <v>0</v>
      </c>
      <c r="P442" s="694">
        <f t="shared" si="133"/>
        <v>0</v>
      </c>
      <c r="Q442" s="765"/>
      <c r="R442" s="695">
        <f>ROUND(R437*G437,2)</f>
        <v>0</v>
      </c>
      <c r="S442" s="711">
        <f>N442</f>
        <v>0</v>
      </c>
      <c r="T442" s="693">
        <f t="shared" si="130"/>
        <v>0</v>
      </c>
      <c r="U442" s="694">
        <f t="shared" si="131"/>
        <v>0</v>
      </c>
      <c r="V442" s="579"/>
      <c r="W442" s="637" t="str">
        <f>IF(U437&gt;0,"xx",IF(P437&gt;0,"xy",""))</f>
        <v/>
      </c>
      <c r="X442" s="586" t="str">
        <f t="shared" si="127"/>
        <v/>
      </c>
      <c r="Y442" s="586" t="str">
        <f t="shared" si="122"/>
        <v/>
      </c>
      <c r="Z442" s="586" t="str">
        <f t="shared" si="125"/>
        <v/>
      </c>
    </row>
    <row r="443" spans="1:26" ht="12" hidden="1" thickBot="1" x14ac:dyDescent="0.25">
      <c r="A443" s="671">
        <v>502615</v>
      </c>
      <c r="B443" s="701">
        <v>502615</v>
      </c>
      <c r="C443" s="702" t="s">
        <v>206</v>
      </c>
      <c r="D443" s="463" t="s">
        <v>2070</v>
      </c>
      <c r="E443" s="464"/>
      <c r="F443" s="465"/>
      <c r="G443" s="466"/>
      <c r="H443" s="681">
        <f>SUM(H444:H447)</f>
        <v>394.23356000000001</v>
      </c>
      <c r="I443" s="467">
        <v>304.24</v>
      </c>
      <c r="J443" s="467">
        <f t="shared" ref="J443:J477" si="136">IF(ISBLANK(I443),"",SUM(H443:I443))</f>
        <v>698.47356000000002</v>
      </c>
      <c r="K443" s="682">
        <f t="shared" ref="K443:K501" si="137">IF(ISBLANK(I443),0,ROUND(J443*(1+$F$10)*(1+$F$11*E443),2))</f>
        <v>829.86</v>
      </c>
      <c r="L443" s="683" t="s">
        <v>16</v>
      </c>
      <c r="M443" s="686"/>
      <c r="N443" s="576">
        <f t="shared" si="123"/>
        <v>0</v>
      </c>
      <c r="O443" s="687">
        <f t="shared" si="132"/>
        <v>0</v>
      </c>
      <c r="P443" s="688">
        <f t="shared" si="133"/>
        <v>0</v>
      </c>
      <c r="Q443" s="765"/>
      <c r="R443" s="685">
        <f t="shared" ref="R443:S477" si="138">M443</f>
        <v>0</v>
      </c>
      <c r="S443" s="686">
        <f>N443</f>
        <v>0</v>
      </c>
      <c r="T443" s="687">
        <f t="shared" si="130"/>
        <v>0</v>
      </c>
      <c r="U443" s="688">
        <f t="shared" si="131"/>
        <v>0</v>
      </c>
      <c r="V443" s="579"/>
      <c r="W443" s="566"/>
      <c r="X443" s="586" t="str">
        <f t="shared" si="127"/>
        <v/>
      </c>
      <c r="Y443" s="586" t="str">
        <f t="shared" si="122"/>
        <v/>
      </c>
      <c r="Z443" s="586" t="str">
        <f t="shared" si="125"/>
        <v/>
      </c>
    </row>
    <row r="444" spans="1:26" ht="12" hidden="1" thickBot="1" x14ac:dyDescent="0.25">
      <c r="A444" s="567" t="s">
        <v>168</v>
      </c>
      <c r="B444" s="644" t="s">
        <v>168</v>
      </c>
      <c r="C444" s="645"/>
      <c r="D444" s="451" t="s">
        <v>212</v>
      </c>
      <c r="E444" s="423"/>
      <c r="F444" s="424">
        <v>500</v>
      </c>
      <c r="G444" s="425">
        <v>0.33</v>
      </c>
      <c r="H444" s="649">
        <f>IF(F444&lt;=30,(0.78*F444+7.82)*G444,((0.78*30+7.82)+0.78*(F444-30))*G444)</f>
        <v>131.28060000000002</v>
      </c>
      <c r="I444" s="420">
        <v>0</v>
      </c>
      <c r="J444" s="420"/>
      <c r="K444" s="421">
        <f t="shared" si="137"/>
        <v>0</v>
      </c>
      <c r="L444" s="668" t="s">
        <v>614</v>
      </c>
      <c r="M444" s="669"/>
      <c r="N444" s="576">
        <f t="shared" si="123"/>
        <v>0</v>
      </c>
      <c r="O444" s="577">
        <f>IF(ISBLANK(M444),0,ROUND(K444*M444,2))</f>
        <v>0</v>
      </c>
      <c r="P444" s="578">
        <f>IF(ISBLANK(N444),0,ROUND(M444*N444,2))</f>
        <v>0</v>
      </c>
      <c r="Q444" s="765"/>
      <c r="R444" s="669"/>
      <c r="S444" s="670"/>
      <c r="T444" s="577">
        <f>IF(ISBLANK(R444),0,ROUND(K444*R444,2))</f>
        <v>0</v>
      </c>
      <c r="U444" s="578">
        <f>IF(ISBLANK(R444),0,ROUND(R444*S444,2))</f>
        <v>0</v>
      </c>
      <c r="V444" s="579"/>
      <c r="W444" s="637" t="str">
        <f>IF(U443&gt;0,"xx",IF(P443&gt;0,"xy",""))</f>
        <v/>
      </c>
      <c r="X444" s="586" t="str">
        <f t="shared" si="127"/>
        <v/>
      </c>
      <c r="Y444" s="586" t="str">
        <f>IF(W444="X","x",IF(W444="y","x",IF(W444="xx","x",IF(U444&gt;0,"x",""))))</f>
        <v/>
      </c>
      <c r="Z444" s="586" t="str">
        <f>IF(W444="X","x",IF(U444&gt;0,"x",""))</f>
        <v/>
      </c>
    </row>
    <row r="445" spans="1:26" ht="12" hidden="1" thickBot="1" x14ac:dyDescent="0.25">
      <c r="A445" s="567" t="s">
        <v>168</v>
      </c>
      <c r="B445" s="644" t="s">
        <v>168</v>
      </c>
      <c r="C445" s="645"/>
      <c r="D445" s="451" t="s">
        <v>248</v>
      </c>
      <c r="E445" s="423"/>
      <c r="F445" s="424">
        <v>180</v>
      </c>
      <c r="G445" s="425">
        <v>0.92100000000000004</v>
      </c>
      <c r="H445" s="663">
        <f t="shared" ref="H445:H447" si="139">IF(F445&lt;=30,(1.07*F445+2.68)*G445,((1.07*30+2.68)+1.07*(F445-30))*G445)</f>
        <v>179.85288</v>
      </c>
      <c r="I445" s="420">
        <v>0</v>
      </c>
      <c r="J445" s="420"/>
      <c r="K445" s="421">
        <f t="shared" si="137"/>
        <v>0</v>
      </c>
      <c r="L445" s="668" t="s">
        <v>614</v>
      </c>
      <c r="M445" s="669"/>
      <c r="N445" s="576">
        <f t="shared" si="123"/>
        <v>0</v>
      </c>
      <c r="O445" s="577">
        <f>IF(ISBLANK(M445),0,ROUND(K445*M445,2))</f>
        <v>0</v>
      </c>
      <c r="P445" s="578">
        <f>IF(ISBLANK(N445),0,ROUND(M445*N445,2))</f>
        <v>0</v>
      </c>
      <c r="Q445" s="765"/>
      <c r="R445" s="669"/>
      <c r="S445" s="670"/>
      <c r="T445" s="577">
        <f>IF(ISBLANK(R445),0,ROUND(K445*R445,2))</f>
        <v>0</v>
      </c>
      <c r="U445" s="578">
        <f>IF(ISBLANK(R445),0,ROUND(R445*S445,2))</f>
        <v>0</v>
      </c>
      <c r="V445" s="579"/>
      <c r="W445" s="637" t="str">
        <f>IF(U443&gt;0,"xx",IF(P443&gt;0,"xy",""))</f>
        <v/>
      </c>
      <c r="X445" s="586" t="str">
        <f t="shared" si="127"/>
        <v/>
      </c>
      <c r="Y445" s="586" t="str">
        <f>IF(W445="X","x",IF(W445="y","x",IF(W445="xx","x",IF(U445&gt;0,"x",""))))</f>
        <v/>
      </c>
      <c r="Z445" s="586" t="str">
        <f>IF(W445="X","x",IF(U445&gt;0,"x",""))</f>
        <v/>
      </c>
    </row>
    <row r="446" spans="1:26" ht="12" hidden="1" thickBot="1" x14ac:dyDescent="0.25">
      <c r="A446" s="567" t="s">
        <v>168</v>
      </c>
      <c r="B446" s="644" t="s">
        <v>168</v>
      </c>
      <c r="C446" s="645"/>
      <c r="D446" s="451" t="s">
        <v>252</v>
      </c>
      <c r="E446" s="423"/>
      <c r="F446" s="424">
        <v>20</v>
      </c>
      <c r="G446" s="425">
        <v>1.1000000000000001</v>
      </c>
      <c r="H446" s="663">
        <f t="shared" si="139"/>
        <v>26.488000000000003</v>
      </c>
      <c r="I446" s="420">
        <v>0</v>
      </c>
      <c r="J446" s="420"/>
      <c r="K446" s="421">
        <f t="shared" si="137"/>
        <v>0</v>
      </c>
      <c r="L446" s="668" t="s">
        <v>614</v>
      </c>
      <c r="M446" s="669"/>
      <c r="N446" s="576">
        <f t="shared" si="123"/>
        <v>0</v>
      </c>
      <c r="O446" s="577">
        <f>IF(ISBLANK(M446),0,ROUND(K446*M446,2))</f>
        <v>0</v>
      </c>
      <c r="P446" s="578">
        <f>IF(ISBLANK(N446),0,ROUND(M446*N446,2))</f>
        <v>0</v>
      </c>
      <c r="Q446" s="765"/>
      <c r="R446" s="669"/>
      <c r="S446" s="670"/>
      <c r="T446" s="577">
        <f>IF(ISBLANK(R446),0,ROUND(K446*R446,2))</f>
        <v>0</v>
      </c>
      <c r="U446" s="578">
        <f>IF(ISBLANK(R446),0,ROUND(R446*S446,2))</f>
        <v>0</v>
      </c>
      <c r="V446" s="579"/>
      <c r="W446" s="637" t="str">
        <f>IF(U443&gt;0,"xx",IF(P443&gt;0,"xy",""))</f>
        <v/>
      </c>
      <c r="X446" s="586" t="str">
        <f t="shared" si="127"/>
        <v/>
      </c>
      <c r="Y446" s="586" t="str">
        <f>IF(W446="X","x",IF(W446="y","x",IF(W446="xx","x",IF(U446&gt;0,"x",""))))</f>
        <v/>
      </c>
      <c r="Z446" s="586" t="str">
        <f>IF(W446="X","x",IF(U446&gt;0,"x",""))</f>
        <v/>
      </c>
    </row>
    <row r="447" spans="1:26" ht="12" hidden="1" thickBot="1" x14ac:dyDescent="0.25">
      <c r="A447" s="567" t="s">
        <v>168</v>
      </c>
      <c r="B447" s="644" t="s">
        <v>168</v>
      </c>
      <c r="C447" s="645"/>
      <c r="D447" s="451" t="s">
        <v>263</v>
      </c>
      <c r="E447" s="423"/>
      <c r="F447" s="424">
        <v>20</v>
      </c>
      <c r="G447" s="425">
        <f>SUM(G443:G446)</f>
        <v>2.351</v>
      </c>
      <c r="H447" s="651">
        <f t="shared" si="139"/>
        <v>56.612080000000006</v>
      </c>
      <c r="I447" s="420">
        <v>0</v>
      </c>
      <c r="J447" s="420"/>
      <c r="K447" s="421">
        <f>IF(ISBLANK(I447),0,ROUND(J447*(1+$F$10)*(1+$F$11*E447),2))</f>
        <v>0</v>
      </c>
      <c r="L447" s="647" t="s">
        <v>614</v>
      </c>
      <c r="M447" s="703"/>
      <c r="N447" s="576">
        <f t="shared" si="123"/>
        <v>0</v>
      </c>
      <c r="O447" s="577">
        <f>IF(ISBLANK(M447),0,ROUND(K447*M447,2))</f>
        <v>0</v>
      </c>
      <c r="P447" s="578">
        <f>IF(ISBLANK(N447),0,ROUND(M447*N447,2))</f>
        <v>0</v>
      </c>
      <c r="Q447" s="765"/>
      <c r="R447" s="703"/>
      <c r="S447" s="670"/>
      <c r="T447" s="577">
        <f>IF(ISBLANK(R447),0,ROUND(K447*R447,2))</f>
        <v>0</v>
      </c>
      <c r="U447" s="578">
        <f>IF(ISBLANK(R447),0,ROUND(R447*S447,2))</f>
        <v>0</v>
      </c>
      <c r="V447" s="579"/>
      <c r="W447" s="637" t="str">
        <f>IF(U443&gt;0,"xx",IF(P443&gt;0,"xy",""))</f>
        <v/>
      </c>
      <c r="X447" s="586" t="str">
        <f t="shared" si="127"/>
        <v/>
      </c>
      <c r="Y447" s="586" t="str">
        <f>IF(W447="X","x",IF(W447="y","x",IF(W447="xx","x",IF(U447&gt;0,"x",""))))</f>
        <v/>
      </c>
      <c r="Z447" s="586" t="str">
        <f>IF(W447="X","x",IF(U447&gt;0,"x",""))</f>
        <v/>
      </c>
    </row>
    <row r="448" spans="1:26" ht="12" hidden="1" thickBot="1" x14ac:dyDescent="0.25">
      <c r="A448" s="671">
        <v>502605</v>
      </c>
      <c r="B448" s="644">
        <v>502605</v>
      </c>
      <c r="C448" s="645" t="s">
        <v>206</v>
      </c>
      <c r="D448" s="422" t="s">
        <v>2071</v>
      </c>
      <c r="E448" s="423"/>
      <c r="F448" s="424"/>
      <c r="G448" s="425"/>
      <c r="H448" s="663">
        <f>SUM(H449:H452)</f>
        <v>294.44720000000001</v>
      </c>
      <c r="I448" s="420">
        <v>179.75</v>
      </c>
      <c r="J448" s="420">
        <f t="shared" si="136"/>
        <v>474.19720000000001</v>
      </c>
      <c r="K448" s="421">
        <f t="shared" si="137"/>
        <v>563.39</v>
      </c>
      <c r="L448" s="647" t="s">
        <v>16</v>
      </c>
      <c r="M448" s="587"/>
      <c r="N448" s="576">
        <f t="shared" si="123"/>
        <v>0</v>
      </c>
      <c r="O448" s="577">
        <f t="shared" si="132"/>
        <v>0</v>
      </c>
      <c r="P448" s="578">
        <f t="shared" si="133"/>
        <v>0</v>
      </c>
      <c r="Q448" s="765"/>
      <c r="R448" s="650">
        <f t="shared" si="138"/>
        <v>0</v>
      </c>
      <c r="S448" s="587">
        <f>N448</f>
        <v>0</v>
      </c>
      <c r="T448" s="577">
        <f t="shared" si="130"/>
        <v>0</v>
      </c>
      <c r="U448" s="578">
        <f t="shared" si="131"/>
        <v>0</v>
      </c>
      <c r="V448" s="579"/>
      <c r="W448" s="566"/>
      <c r="X448" s="586" t="str">
        <f t="shared" si="127"/>
        <v/>
      </c>
      <c r="Y448" s="586" t="str">
        <f t="shared" si="122"/>
        <v/>
      </c>
      <c r="Z448" s="586" t="str">
        <f t="shared" si="125"/>
        <v/>
      </c>
    </row>
    <row r="449" spans="1:26" ht="12" hidden="1" thickBot="1" x14ac:dyDescent="0.25">
      <c r="A449" s="567" t="s">
        <v>168</v>
      </c>
      <c r="B449" s="644" t="s">
        <v>168</v>
      </c>
      <c r="C449" s="645"/>
      <c r="D449" s="451" t="s">
        <v>212</v>
      </c>
      <c r="E449" s="423"/>
      <c r="F449" s="424">
        <v>500</v>
      </c>
      <c r="G449" s="425">
        <v>0.12</v>
      </c>
      <c r="H449" s="649">
        <f>IF(F449&lt;=30,(0.78*F449+7.82)*G449,((0.78*30+7.82)+0.78*(F449-30))*G449)</f>
        <v>47.738400000000006</v>
      </c>
      <c r="I449" s="420">
        <v>0</v>
      </c>
      <c r="J449" s="420"/>
      <c r="K449" s="421">
        <f>IF(ISBLANK(I449),0,ROUND(J449*(1+$F$10)*(1+$F$11*E449),2))</f>
        <v>0</v>
      </c>
      <c r="L449" s="668" t="s">
        <v>614</v>
      </c>
      <c r="M449" s="669"/>
      <c r="N449" s="576">
        <f t="shared" si="123"/>
        <v>0</v>
      </c>
      <c r="O449" s="577">
        <f t="shared" si="132"/>
        <v>0</v>
      </c>
      <c r="P449" s="578">
        <f t="shared" si="133"/>
        <v>0</v>
      </c>
      <c r="Q449" s="765"/>
      <c r="R449" s="669"/>
      <c r="S449" s="670"/>
      <c r="T449" s="577">
        <f t="shared" si="130"/>
        <v>0</v>
      </c>
      <c r="U449" s="578">
        <f t="shared" si="131"/>
        <v>0</v>
      </c>
      <c r="V449" s="579"/>
      <c r="W449" s="637" t="str">
        <f>IF(U448&gt;0,"xx",IF(P448&gt;0,"xy",""))</f>
        <v/>
      </c>
      <c r="X449" s="586" t="str">
        <f>IF(W449="X","x",IF(W449="xx","x",IF(W449="xy","x",IF(W449="y","x",IF(OR(P449&gt;0,U449&gt;0),"x","")))))</f>
        <v/>
      </c>
      <c r="Y449" s="586" t="str">
        <f t="shared" si="122"/>
        <v/>
      </c>
      <c r="Z449" s="586" t="str">
        <f t="shared" si="125"/>
        <v/>
      </c>
    </row>
    <row r="450" spans="1:26" ht="12" hidden="1" thickBot="1" x14ac:dyDescent="0.25">
      <c r="A450" s="567" t="s">
        <v>168</v>
      </c>
      <c r="B450" s="644" t="s">
        <v>168</v>
      </c>
      <c r="C450" s="645"/>
      <c r="D450" s="451" t="s">
        <v>248</v>
      </c>
      <c r="E450" s="423"/>
      <c r="F450" s="424">
        <v>180</v>
      </c>
      <c r="G450" s="425">
        <v>0.87</v>
      </c>
      <c r="H450" s="663">
        <f t="shared" ref="H450:H452" si="140">IF(F450&lt;=30,(1.07*F450+2.68)*G450,((1.07*30+2.68)+1.07*(F450-30))*G450)</f>
        <v>169.89359999999999</v>
      </c>
      <c r="I450" s="420">
        <v>0</v>
      </c>
      <c r="J450" s="420"/>
      <c r="K450" s="421">
        <f>IF(ISBLANK(I450),0,ROUND(J450*(1+$F$10)*(1+$F$11*E450),2))</f>
        <v>0</v>
      </c>
      <c r="L450" s="668" t="s">
        <v>614</v>
      </c>
      <c r="M450" s="669"/>
      <c r="N450" s="576">
        <f t="shared" si="123"/>
        <v>0</v>
      </c>
      <c r="O450" s="577">
        <f t="shared" si="132"/>
        <v>0</v>
      </c>
      <c r="P450" s="578">
        <f t="shared" si="133"/>
        <v>0</v>
      </c>
      <c r="Q450" s="765"/>
      <c r="R450" s="669"/>
      <c r="S450" s="670"/>
      <c r="T450" s="577">
        <f t="shared" si="130"/>
        <v>0</v>
      </c>
      <c r="U450" s="578">
        <f t="shared" si="131"/>
        <v>0</v>
      </c>
      <c r="V450" s="579"/>
      <c r="W450" s="637" t="str">
        <f>IF(U448&gt;0,"xx",IF(P448&gt;0,"xy",""))</f>
        <v/>
      </c>
      <c r="X450" s="586" t="str">
        <f>IF(W450="X","x",IF(W450="xx","x",IF(W450="xy","x",IF(W450="y","x",IF(OR(P450&gt;0,U450&gt;0),"x","")))))</f>
        <v/>
      </c>
      <c r="Y450" s="586" t="str">
        <f t="shared" si="122"/>
        <v/>
      </c>
      <c r="Z450" s="586" t="str">
        <f t="shared" si="125"/>
        <v/>
      </c>
    </row>
    <row r="451" spans="1:26" ht="12" hidden="1" thickBot="1" x14ac:dyDescent="0.25">
      <c r="A451" s="567" t="s">
        <v>168</v>
      </c>
      <c r="B451" s="644" t="s">
        <v>168</v>
      </c>
      <c r="C451" s="645"/>
      <c r="D451" s="451" t="s">
        <v>252</v>
      </c>
      <c r="E451" s="423"/>
      <c r="F451" s="424">
        <v>20</v>
      </c>
      <c r="G451" s="425">
        <v>1.1000000000000001</v>
      </c>
      <c r="H451" s="663">
        <f t="shared" si="140"/>
        <v>26.488000000000003</v>
      </c>
      <c r="I451" s="420">
        <v>0</v>
      </c>
      <c r="J451" s="420"/>
      <c r="K451" s="421">
        <f>IF(ISBLANK(I451),0,ROUND(J451*(1+$F$10)*(1+$F$11*E451),2))</f>
        <v>0</v>
      </c>
      <c r="L451" s="668" t="s">
        <v>614</v>
      </c>
      <c r="M451" s="669"/>
      <c r="N451" s="576">
        <f t="shared" si="123"/>
        <v>0</v>
      </c>
      <c r="O451" s="577">
        <f t="shared" si="132"/>
        <v>0</v>
      </c>
      <c r="P451" s="578">
        <f t="shared" si="133"/>
        <v>0</v>
      </c>
      <c r="Q451" s="765"/>
      <c r="R451" s="669"/>
      <c r="S451" s="670"/>
      <c r="T451" s="577">
        <f t="shared" si="130"/>
        <v>0</v>
      </c>
      <c r="U451" s="578">
        <f t="shared" si="131"/>
        <v>0</v>
      </c>
      <c r="V451" s="579"/>
      <c r="W451" s="637" t="str">
        <f>IF(U448&gt;0,"xx",IF(P448&gt;0,"xy",""))</f>
        <v/>
      </c>
      <c r="X451" s="586" t="str">
        <f>IF(W451="X","x",IF(W451="xx","x",IF(W451="xy","x",IF(W451="y","x",IF(OR(P451&gt;0,U451&gt;0),"x","")))))</f>
        <v/>
      </c>
      <c r="Y451" s="586" t="str">
        <f t="shared" si="122"/>
        <v/>
      </c>
      <c r="Z451" s="586" t="str">
        <f t="shared" si="125"/>
        <v/>
      </c>
    </row>
    <row r="452" spans="1:26" ht="12" hidden="1" thickBot="1" x14ac:dyDescent="0.25">
      <c r="A452" s="567" t="s">
        <v>168</v>
      </c>
      <c r="B452" s="644" t="s">
        <v>168</v>
      </c>
      <c r="C452" s="645"/>
      <c r="D452" s="451" t="s">
        <v>263</v>
      </c>
      <c r="E452" s="423"/>
      <c r="F452" s="424">
        <v>20</v>
      </c>
      <c r="G452" s="425">
        <f>SUM(G448:G451)</f>
        <v>2.09</v>
      </c>
      <c r="H452" s="651">
        <f t="shared" si="140"/>
        <v>50.327199999999998</v>
      </c>
      <c r="I452" s="420">
        <v>0</v>
      </c>
      <c r="J452" s="420"/>
      <c r="K452" s="421">
        <f>IF(ISBLANK(I452),0,ROUND(J452*(1+$F$10)*(1+$F$11*E452),2))</f>
        <v>0</v>
      </c>
      <c r="L452" s="647" t="s">
        <v>614</v>
      </c>
      <c r="M452" s="703"/>
      <c r="N452" s="576">
        <f t="shared" si="123"/>
        <v>0</v>
      </c>
      <c r="O452" s="577">
        <f t="shared" si="132"/>
        <v>0</v>
      </c>
      <c r="P452" s="578">
        <f t="shared" si="133"/>
        <v>0</v>
      </c>
      <c r="Q452" s="765"/>
      <c r="R452" s="703"/>
      <c r="S452" s="670"/>
      <c r="T452" s="577">
        <f t="shared" si="130"/>
        <v>0</v>
      </c>
      <c r="U452" s="578">
        <f t="shared" si="131"/>
        <v>0</v>
      </c>
      <c r="V452" s="579"/>
      <c r="W452" s="637" t="str">
        <f>IF(U448&gt;0,"xx",IF(P448&gt;0,"xy",""))</f>
        <v/>
      </c>
      <c r="X452" s="586" t="str">
        <f>IF(W452="X","x",IF(W452="xx","x",IF(W452="xy","x",IF(W452="y","x",IF(OR(P452&gt;0,U452&gt;0),"x","")))))</f>
        <v/>
      </c>
      <c r="Y452" s="586" t="str">
        <f t="shared" si="122"/>
        <v/>
      </c>
      <c r="Z452" s="586" t="str">
        <f t="shared" si="125"/>
        <v/>
      </c>
    </row>
    <row r="453" spans="1:26" ht="12" hidden="1" thickBot="1" x14ac:dyDescent="0.25">
      <c r="A453" s="671">
        <v>505185</v>
      </c>
      <c r="B453" s="644">
        <v>505185</v>
      </c>
      <c r="C453" s="645" t="s">
        <v>206</v>
      </c>
      <c r="D453" s="422" t="s">
        <v>2072</v>
      </c>
      <c r="E453" s="423"/>
      <c r="F453" s="424"/>
      <c r="G453" s="425"/>
      <c r="H453" s="663">
        <f>SUM(H454:H457)</f>
        <v>361.9212</v>
      </c>
      <c r="I453" s="420">
        <v>233.15</v>
      </c>
      <c r="J453" s="420">
        <f t="shared" si="136"/>
        <v>595.07119999999998</v>
      </c>
      <c r="K453" s="421">
        <f t="shared" si="137"/>
        <v>707</v>
      </c>
      <c r="L453" s="647" t="s">
        <v>16</v>
      </c>
      <c r="M453" s="587"/>
      <c r="N453" s="576">
        <f t="shared" si="123"/>
        <v>0</v>
      </c>
      <c r="O453" s="577">
        <f t="shared" si="132"/>
        <v>0</v>
      </c>
      <c r="P453" s="578">
        <f t="shared" si="133"/>
        <v>0</v>
      </c>
      <c r="Q453" s="765"/>
      <c r="R453" s="650">
        <f t="shared" si="138"/>
        <v>0</v>
      </c>
      <c r="S453" s="587">
        <f>N453</f>
        <v>0</v>
      </c>
      <c r="T453" s="577">
        <f t="shared" si="130"/>
        <v>0</v>
      </c>
      <c r="U453" s="578">
        <f t="shared" si="131"/>
        <v>0</v>
      </c>
      <c r="V453" s="579"/>
      <c r="W453" s="566"/>
      <c r="X453" s="586" t="str">
        <f t="shared" si="127"/>
        <v/>
      </c>
      <c r="Y453" s="586" t="str">
        <f t="shared" si="122"/>
        <v/>
      </c>
      <c r="Z453" s="586" t="str">
        <f t="shared" si="125"/>
        <v/>
      </c>
    </row>
    <row r="454" spans="1:26" ht="12" hidden="1" thickBot="1" x14ac:dyDescent="0.25">
      <c r="A454" s="567" t="s">
        <v>168</v>
      </c>
      <c r="B454" s="644" t="s">
        <v>168</v>
      </c>
      <c r="C454" s="645"/>
      <c r="D454" s="451" t="s">
        <v>212</v>
      </c>
      <c r="E454" s="423"/>
      <c r="F454" s="424">
        <v>500</v>
      </c>
      <c r="G454" s="425">
        <v>0.18</v>
      </c>
      <c r="H454" s="649">
        <f>IF(F454&lt;=30,(0.78*F454+7.82)*G454,((0.78*30+7.82)+0.78*(F454-30))*G454)</f>
        <v>71.607600000000005</v>
      </c>
      <c r="I454" s="420">
        <v>0</v>
      </c>
      <c r="J454" s="420"/>
      <c r="K454" s="421">
        <f t="shared" si="137"/>
        <v>0</v>
      </c>
      <c r="L454" s="668" t="s">
        <v>614</v>
      </c>
      <c r="M454" s="669"/>
      <c r="N454" s="576">
        <f t="shared" si="123"/>
        <v>0</v>
      </c>
      <c r="O454" s="577">
        <f>IF(ISBLANK(M454),0,ROUND(K454*M454,2))</f>
        <v>0</v>
      </c>
      <c r="P454" s="578">
        <f>IF(ISBLANK(N454),0,ROUND(M454*N454,2))</f>
        <v>0</v>
      </c>
      <c r="Q454" s="765"/>
      <c r="R454" s="669"/>
      <c r="S454" s="670"/>
      <c r="T454" s="577">
        <f>IF(ISBLANK(R454),0,ROUND(K454*R454,2))</f>
        <v>0</v>
      </c>
      <c r="U454" s="578">
        <f>IF(ISBLANK(R454),0,ROUND(R454*S454,2))</f>
        <v>0</v>
      </c>
      <c r="V454" s="579"/>
      <c r="W454" s="637" t="str">
        <f>IF(U453&gt;0,"xx",IF(P453&gt;0,"xy",""))</f>
        <v/>
      </c>
      <c r="X454" s="586" t="str">
        <f t="shared" si="127"/>
        <v/>
      </c>
      <c r="Y454" s="586" t="str">
        <f>IF(W454="X","x",IF(W454="y","x",IF(W454="xx","x",IF(U454&gt;0,"x",""))))</f>
        <v/>
      </c>
      <c r="Z454" s="586" t="str">
        <f>IF(W454="X","x",IF(U454&gt;0,"x",""))</f>
        <v/>
      </c>
    </row>
    <row r="455" spans="1:26" ht="12" hidden="1" thickBot="1" x14ac:dyDescent="0.25">
      <c r="A455" s="567" t="s">
        <v>168</v>
      </c>
      <c r="B455" s="644" t="s">
        <v>168</v>
      </c>
      <c r="C455" s="645"/>
      <c r="D455" s="451" t="s">
        <v>248</v>
      </c>
      <c r="E455" s="423"/>
      <c r="F455" s="424">
        <v>180</v>
      </c>
      <c r="G455" s="425">
        <v>1.06</v>
      </c>
      <c r="H455" s="663">
        <f t="shared" ref="H455:H457" si="141">IF(F455&lt;=30,(1.07*F455+2.68)*G455,((1.07*30+2.68)+1.07*(F455-30))*G455)</f>
        <v>206.99680000000001</v>
      </c>
      <c r="I455" s="420">
        <v>0</v>
      </c>
      <c r="J455" s="420"/>
      <c r="K455" s="421">
        <f t="shared" si="137"/>
        <v>0</v>
      </c>
      <c r="L455" s="668" t="s">
        <v>614</v>
      </c>
      <c r="M455" s="669"/>
      <c r="N455" s="576">
        <f t="shared" si="123"/>
        <v>0</v>
      </c>
      <c r="O455" s="577">
        <f>IF(ISBLANK(M455),0,ROUND(K455*M455,2))</f>
        <v>0</v>
      </c>
      <c r="P455" s="578">
        <f>IF(ISBLANK(N455),0,ROUND(M455*N455,2))</f>
        <v>0</v>
      </c>
      <c r="Q455" s="765"/>
      <c r="R455" s="669"/>
      <c r="S455" s="670"/>
      <c r="T455" s="577">
        <f>IF(ISBLANK(R455),0,ROUND(K455*R455,2))</f>
        <v>0</v>
      </c>
      <c r="U455" s="578">
        <f>IF(ISBLANK(R455),0,ROUND(R455*S455,2))</f>
        <v>0</v>
      </c>
      <c r="V455" s="579"/>
      <c r="W455" s="637" t="str">
        <f>IF(U453&gt;0,"xx",IF(P453&gt;0,"xy",""))</f>
        <v/>
      </c>
      <c r="X455" s="586" t="str">
        <f t="shared" si="127"/>
        <v/>
      </c>
      <c r="Y455" s="586" t="str">
        <f>IF(W455="X","x",IF(W455="y","x",IF(W455="xx","x",IF(U455&gt;0,"x",""))))</f>
        <v/>
      </c>
      <c r="Z455" s="586" t="str">
        <f>IF(W455="X","x",IF(U455&gt;0,"x",""))</f>
        <v/>
      </c>
    </row>
    <row r="456" spans="1:26" ht="12" hidden="1" thickBot="1" x14ac:dyDescent="0.25">
      <c r="A456" s="567" t="s">
        <v>168</v>
      </c>
      <c r="B456" s="644" t="s">
        <v>168</v>
      </c>
      <c r="C456" s="645"/>
      <c r="D456" s="451" t="s">
        <v>252</v>
      </c>
      <c r="E456" s="423"/>
      <c r="F456" s="424">
        <v>20</v>
      </c>
      <c r="G456" s="425">
        <v>1.1100000000000001</v>
      </c>
      <c r="H456" s="663">
        <f t="shared" si="141"/>
        <v>26.728800000000003</v>
      </c>
      <c r="I456" s="420">
        <v>0</v>
      </c>
      <c r="J456" s="420"/>
      <c r="K456" s="421">
        <f t="shared" si="137"/>
        <v>0</v>
      </c>
      <c r="L456" s="668" t="s">
        <v>614</v>
      </c>
      <c r="M456" s="669"/>
      <c r="N456" s="576">
        <f t="shared" si="123"/>
        <v>0</v>
      </c>
      <c r="O456" s="577">
        <f>IF(ISBLANK(M456),0,ROUND(K456*M456,2))</f>
        <v>0</v>
      </c>
      <c r="P456" s="578">
        <f>IF(ISBLANK(N456),0,ROUND(M456*N456,2))</f>
        <v>0</v>
      </c>
      <c r="Q456" s="765"/>
      <c r="R456" s="669"/>
      <c r="S456" s="670"/>
      <c r="T456" s="577">
        <f>IF(ISBLANK(R456),0,ROUND(K456*R456,2))</f>
        <v>0</v>
      </c>
      <c r="U456" s="578">
        <f>IF(ISBLANK(R456),0,ROUND(R456*S456,2))</f>
        <v>0</v>
      </c>
      <c r="V456" s="579"/>
      <c r="W456" s="637" t="str">
        <f>IF(U453&gt;0,"xx",IF(P453&gt;0,"xy",""))</f>
        <v/>
      </c>
      <c r="X456" s="586" t="str">
        <f t="shared" si="127"/>
        <v/>
      </c>
      <c r="Y456" s="586" t="str">
        <f>IF(W456="X","x",IF(W456="y","x",IF(W456="xx","x",IF(U456&gt;0,"x",""))))</f>
        <v/>
      </c>
      <c r="Z456" s="586" t="str">
        <f>IF(W456="X","x",IF(U456&gt;0,"x",""))</f>
        <v/>
      </c>
    </row>
    <row r="457" spans="1:26" ht="12" hidden="1" thickBot="1" x14ac:dyDescent="0.25">
      <c r="A457" s="567" t="s">
        <v>168</v>
      </c>
      <c r="B457" s="644" t="s">
        <v>168</v>
      </c>
      <c r="C457" s="645"/>
      <c r="D457" s="451" t="s">
        <v>263</v>
      </c>
      <c r="E457" s="423"/>
      <c r="F457" s="424">
        <v>20</v>
      </c>
      <c r="G457" s="425">
        <f>SUM(G453:G456)</f>
        <v>2.35</v>
      </c>
      <c r="H457" s="663">
        <f t="shared" si="141"/>
        <v>56.588000000000008</v>
      </c>
      <c r="I457" s="420">
        <v>0</v>
      </c>
      <c r="J457" s="420"/>
      <c r="K457" s="421">
        <f t="shared" si="137"/>
        <v>0</v>
      </c>
      <c r="L457" s="647" t="s">
        <v>614</v>
      </c>
      <c r="M457" s="703"/>
      <c r="N457" s="576">
        <f t="shared" si="123"/>
        <v>0</v>
      </c>
      <c r="O457" s="577">
        <f>IF(ISBLANK(M457),0,ROUND(K457*M457,2))</f>
        <v>0</v>
      </c>
      <c r="P457" s="578">
        <f>IF(ISBLANK(N457),0,ROUND(M457*N457,2))</f>
        <v>0</v>
      </c>
      <c r="Q457" s="765"/>
      <c r="R457" s="703"/>
      <c r="S457" s="670"/>
      <c r="T457" s="577">
        <f>IF(ISBLANK(R457),0,ROUND(K457*R457,2))</f>
        <v>0</v>
      </c>
      <c r="U457" s="578">
        <f>IF(ISBLANK(R457),0,ROUND(R457*S457,2))</f>
        <v>0</v>
      </c>
      <c r="V457" s="579"/>
      <c r="W457" s="637" t="str">
        <f>IF(U453&gt;0,"xx",IF(P453&gt;0,"xy",""))</f>
        <v/>
      </c>
      <c r="X457" s="586" t="str">
        <f t="shared" si="127"/>
        <v/>
      </c>
      <c r="Y457" s="586" t="str">
        <f>IF(W457="X","x",IF(W457="y","x",IF(W457="xx","x",IF(U457&gt;0,"x",""))))</f>
        <v/>
      </c>
      <c r="Z457" s="586" t="str">
        <f>IF(W457="X","x",IF(U457&gt;0,"x",""))</f>
        <v/>
      </c>
    </row>
    <row r="458" spans="1:26" ht="12" hidden="1" thickBot="1" x14ac:dyDescent="0.25">
      <c r="A458" s="671">
        <v>505415</v>
      </c>
      <c r="B458" s="644">
        <v>505415</v>
      </c>
      <c r="C458" s="645" t="s">
        <v>206</v>
      </c>
      <c r="D458" s="422" t="s">
        <v>2073</v>
      </c>
      <c r="E458" s="423"/>
      <c r="F458" s="424"/>
      <c r="G458" s="425"/>
      <c r="H458" s="663">
        <f t="shared" ref="H458:H467" si="142">IF(F458&lt;=30,(0.87*F458+2.18)*G458,((0.87*30+2.18)+0.87*(F458-30))*G458)</f>
        <v>0</v>
      </c>
      <c r="I458" s="420">
        <v>7.83</v>
      </c>
      <c r="J458" s="420">
        <f t="shared" si="136"/>
        <v>7.83</v>
      </c>
      <c r="K458" s="421">
        <f t="shared" si="137"/>
        <v>9.3000000000000007</v>
      </c>
      <c r="L458" s="647" t="s">
        <v>18</v>
      </c>
      <c r="M458" s="587"/>
      <c r="N458" s="576">
        <f t="shared" si="123"/>
        <v>0</v>
      </c>
      <c r="O458" s="577">
        <f t="shared" si="132"/>
        <v>0</v>
      </c>
      <c r="P458" s="578">
        <f t="shared" si="133"/>
        <v>0</v>
      </c>
      <c r="Q458" s="765"/>
      <c r="R458" s="650">
        <f t="shared" si="138"/>
        <v>0</v>
      </c>
      <c r="S458" s="587">
        <f t="shared" si="138"/>
        <v>0</v>
      </c>
      <c r="T458" s="577">
        <f t="shared" si="130"/>
        <v>0</v>
      </c>
      <c r="U458" s="578">
        <f t="shared" si="131"/>
        <v>0</v>
      </c>
      <c r="V458" s="579"/>
      <c r="W458" s="566"/>
      <c r="X458" s="586" t="str">
        <f t="shared" si="127"/>
        <v/>
      </c>
      <c r="Y458" s="586" t="str">
        <f t="shared" si="122"/>
        <v/>
      </c>
      <c r="Z458" s="586" t="str">
        <f t="shared" si="125"/>
        <v/>
      </c>
    </row>
    <row r="459" spans="1:26" ht="12" hidden="1" thickBot="1" x14ac:dyDescent="0.25">
      <c r="A459" s="671">
        <v>505416</v>
      </c>
      <c r="B459" s="644">
        <v>505416</v>
      </c>
      <c r="C459" s="645" t="s">
        <v>206</v>
      </c>
      <c r="D459" s="422" t="s">
        <v>2074</v>
      </c>
      <c r="E459" s="423"/>
      <c r="F459" s="424"/>
      <c r="G459" s="425"/>
      <c r="H459" s="663">
        <f t="shared" si="142"/>
        <v>0</v>
      </c>
      <c r="I459" s="420">
        <v>10.27</v>
      </c>
      <c r="J459" s="420">
        <f t="shared" si="136"/>
        <v>10.27</v>
      </c>
      <c r="K459" s="421">
        <f t="shared" si="137"/>
        <v>12.2</v>
      </c>
      <c r="L459" s="647" t="s">
        <v>18</v>
      </c>
      <c r="M459" s="587"/>
      <c r="N459" s="576">
        <f t="shared" si="123"/>
        <v>0</v>
      </c>
      <c r="O459" s="577">
        <f t="shared" si="132"/>
        <v>0</v>
      </c>
      <c r="P459" s="578">
        <f t="shared" si="133"/>
        <v>0</v>
      </c>
      <c r="Q459" s="765"/>
      <c r="R459" s="650">
        <f t="shared" si="138"/>
        <v>0</v>
      </c>
      <c r="S459" s="587">
        <f t="shared" si="138"/>
        <v>0</v>
      </c>
      <c r="T459" s="577">
        <f t="shared" si="130"/>
        <v>0</v>
      </c>
      <c r="U459" s="578">
        <f t="shared" si="131"/>
        <v>0</v>
      </c>
      <c r="V459" s="579"/>
      <c r="W459" s="566"/>
      <c r="X459" s="586" t="str">
        <f t="shared" si="127"/>
        <v/>
      </c>
      <c r="Y459" s="586" t="str">
        <f t="shared" si="122"/>
        <v/>
      </c>
      <c r="Z459" s="586" t="str">
        <f t="shared" si="125"/>
        <v/>
      </c>
    </row>
    <row r="460" spans="1:26" ht="12" hidden="1" thickBot="1" x14ac:dyDescent="0.25">
      <c r="A460" s="671">
        <v>5111000</v>
      </c>
      <c r="B460" s="644">
        <v>5111000</v>
      </c>
      <c r="C460" s="645" t="s">
        <v>206</v>
      </c>
      <c r="D460" s="422" t="s">
        <v>2075</v>
      </c>
      <c r="E460" s="423"/>
      <c r="F460" s="424"/>
      <c r="G460" s="425"/>
      <c r="H460" s="663">
        <f t="shared" si="142"/>
        <v>0</v>
      </c>
      <c r="I460" s="420">
        <v>3.75</v>
      </c>
      <c r="J460" s="420">
        <f t="shared" si="136"/>
        <v>3.75</v>
      </c>
      <c r="K460" s="421">
        <f t="shared" si="137"/>
        <v>4.46</v>
      </c>
      <c r="L460" s="647" t="s">
        <v>18</v>
      </c>
      <c r="M460" s="587"/>
      <c r="N460" s="576">
        <f t="shared" si="123"/>
        <v>0</v>
      </c>
      <c r="O460" s="577">
        <f t="shared" si="132"/>
        <v>0</v>
      </c>
      <c r="P460" s="578">
        <f t="shared" si="133"/>
        <v>0</v>
      </c>
      <c r="Q460" s="765"/>
      <c r="R460" s="650">
        <f t="shared" si="138"/>
        <v>0</v>
      </c>
      <c r="S460" s="587">
        <f t="shared" si="138"/>
        <v>0</v>
      </c>
      <c r="T460" s="577">
        <f t="shared" si="130"/>
        <v>0</v>
      </c>
      <c r="U460" s="578">
        <f t="shared" si="131"/>
        <v>0</v>
      </c>
      <c r="V460" s="579"/>
      <c r="W460" s="566"/>
      <c r="X460" s="586" t="str">
        <f t="shared" si="127"/>
        <v/>
      </c>
      <c r="Y460" s="586" t="str">
        <f t="shared" si="122"/>
        <v/>
      </c>
      <c r="Z460" s="586" t="str">
        <f t="shared" si="125"/>
        <v/>
      </c>
    </row>
    <row r="461" spans="1:26" ht="12" hidden="1" thickBot="1" x14ac:dyDescent="0.25">
      <c r="A461" s="671">
        <v>504840</v>
      </c>
      <c r="B461" s="644">
        <v>504840</v>
      </c>
      <c r="C461" s="645" t="s">
        <v>206</v>
      </c>
      <c r="D461" s="422" t="s">
        <v>2076</v>
      </c>
      <c r="E461" s="423"/>
      <c r="F461" s="424"/>
      <c r="G461" s="425"/>
      <c r="H461" s="663">
        <f t="shared" si="142"/>
        <v>0</v>
      </c>
      <c r="I461" s="420">
        <v>40.18</v>
      </c>
      <c r="J461" s="420">
        <f t="shared" si="136"/>
        <v>40.18</v>
      </c>
      <c r="K461" s="421">
        <f t="shared" si="137"/>
        <v>47.74</v>
      </c>
      <c r="L461" s="647" t="s">
        <v>23</v>
      </c>
      <c r="M461" s="587"/>
      <c r="N461" s="576">
        <f t="shared" si="123"/>
        <v>0</v>
      </c>
      <c r="O461" s="577">
        <f t="shared" si="132"/>
        <v>0</v>
      </c>
      <c r="P461" s="578">
        <f t="shared" si="133"/>
        <v>0</v>
      </c>
      <c r="Q461" s="765"/>
      <c r="R461" s="650">
        <f t="shared" si="138"/>
        <v>0</v>
      </c>
      <c r="S461" s="587">
        <f t="shared" si="138"/>
        <v>0</v>
      </c>
      <c r="T461" s="577">
        <f t="shared" si="130"/>
        <v>0</v>
      </c>
      <c r="U461" s="578">
        <f t="shared" si="131"/>
        <v>0</v>
      </c>
      <c r="V461" s="579"/>
      <c r="W461" s="566"/>
      <c r="X461" s="586" t="str">
        <f t="shared" si="127"/>
        <v/>
      </c>
      <c r="Y461" s="586" t="str">
        <f t="shared" si="122"/>
        <v/>
      </c>
      <c r="Z461" s="586" t="str">
        <f t="shared" si="125"/>
        <v/>
      </c>
    </row>
    <row r="462" spans="1:26" ht="12" hidden="1" thickBot="1" x14ac:dyDescent="0.25">
      <c r="A462" s="671">
        <v>503110</v>
      </c>
      <c r="B462" s="644">
        <v>503110</v>
      </c>
      <c r="C462" s="645" t="s">
        <v>206</v>
      </c>
      <c r="D462" s="422" t="s">
        <v>2077</v>
      </c>
      <c r="E462" s="423"/>
      <c r="F462" s="424"/>
      <c r="G462" s="425"/>
      <c r="H462" s="663">
        <f t="shared" si="142"/>
        <v>0</v>
      </c>
      <c r="I462" s="420">
        <v>2.54</v>
      </c>
      <c r="J462" s="420">
        <f t="shared" si="136"/>
        <v>2.54</v>
      </c>
      <c r="K462" s="421">
        <f t="shared" si="137"/>
        <v>3.02</v>
      </c>
      <c r="L462" s="647" t="s">
        <v>18</v>
      </c>
      <c r="M462" s="587"/>
      <c r="N462" s="576">
        <f t="shared" si="123"/>
        <v>0</v>
      </c>
      <c r="O462" s="577">
        <f t="shared" si="132"/>
        <v>0</v>
      </c>
      <c r="P462" s="578">
        <f t="shared" si="133"/>
        <v>0</v>
      </c>
      <c r="Q462" s="765"/>
      <c r="R462" s="650">
        <f t="shared" si="138"/>
        <v>0</v>
      </c>
      <c r="S462" s="587">
        <f t="shared" si="138"/>
        <v>0</v>
      </c>
      <c r="T462" s="577">
        <f t="shared" si="130"/>
        <v>0</v>
      </c>
      <c r="U462" s="578">
        <f t="shared" si="131"/>
        <v>0</v>
      </c>
      <c r="V462" s="579"/>
      <c r="W462" s="566"/>
      <c r="X462" s="586" t="str">
        <f t="shared" si="127"/>
        <v/>
      </c>
      <c r="Y462" s="586" t="str">
        <f t="shared" si="122"/>
        <v/>
      </c>
      <c r="Z462" s="586" t="str">
        <f t="shared" si="125"/>
        <v/>
      </c>
    </row>
    <row r="463" spans="1:26" ht="12" hidden="1" thickBot="1" x14ac:dyDescent="0.25">
      <c r="A463" s="671">
        <v>507215</v>
      </c>
      <c r="B463" s="644">
        <v>507215</v>
      </c>
      <c r="C463" s="645" t="s">
        <v>206</v>
      </c>
      <c r="D463" s="422" t="s">
        <v>2078</v>
      </c>
      <c r="E463" s="423"/>
      <c r="F463" s="424"/>
      <c r="G463" s="425"/>
      <c r="H463" s="663">
        <f t="shared" si="142"/>
        <v>0</v>
      </c>
      <c r="I463" s="420">
        <v>8.5</v>
      </c>
      <c r="J463" s="420">
        <f t="shared" si="136"/>
        <v>8.5</v>
      </c>
      <c r="K463" s="421">
        <f t="shared" si="137"/>
        <v>10.1</v>
      </c>
      <c r="L463" s="647" t="s">
        <v>23</v>
      </c>
      <c r="M463" s="587"/>
      <c r="N463" s="576">
        <f t="shared" si="123"/>
        <v>0</v>
      </c>
      <c r="O463" s="577">
        <f t="shared" si="132"/>
        <v>0</v>
      </c>
      <c r="P463" s="578">
        <f t="shared" si="133"/>
        <v>0</v>
      </c>
      <c r="Q463" s="765"/>
      <c r="R463" s="650">
        <f t="shared" si="138"/>
        <v>0</v>
      </c>
      <c r="S463" s="587">
        <f t="shared" si="138"/>
        <v>0</v>
      </c>
      <c r="T463" s="577">
        <f t="shared" si="130"/>
        <v>0</v>
      </c>
      <c r="U463" s="578">
        <f t="shared" si="131"/>
        <v>0</v>
      </c>
      <c r="V463" s="579"/>
      <c r="W463" s="566"/>
      <c r="X463" s="586" t="str">
        <f t="shared" si="127"/>
        <v/>
      </c>
      <c r="Y463" s="586" t="str">
        <f t="shared" si="122"/>
        <v/>
      </c>
      <c r="Z463" s="586" t="str">
        <f t="shared" si="125"/>
        <v/>
      </c>
    </row>
    <row r="464" spans="1:26" ht="12" hidden="1" thickBot="1" x14ac:dyDescent="0.25">
      <c r="A464" s="671">
        <v>507210</v>
      </c>
      <c r="B464" s="644">
        <v>507210</v>
      </c>
      <c r="C464" s="645" t="s">
        <v>206</v>
      </c>
      <c r="D464" s="422" t="s">
        <v>2079</v>
      </c>
      <c r="E464" s="423"/>
      <c r="F464" s="424"/>
      <c r="G464" s="425"/>
      <c r="H464" s="663">
        <f t="shared" si="142"/>
        <v>0</v>
      </c>
      <c r="I464" s="420">
        <v>8.59</v>
      </c>
      <c r="J464" s="420">
        <f t="shared" si="136"/>
        <v>8.59</v>
      </c>
      <c r="K464" s="421">
        <f t="shared" si="137"/>
        <v>10.210000000000001</v>
      </c>
      <c r="L464" s="647" t="s">
        <v>23</v>
      </c>
      <c r="M464" s="587"/>
      <c r="N464" s="576">
        <f t="shared" si="123"/>
        <v>0</v>
      </c>
      <c r="O464" s="577">
        <f t="shared" si="132"/>
        <v>0</v>
      </c>
      <c r="P464" s="578">
        <f t="shared" si="133"/>
        <v>0</v>
      </c>
      <c r="Q464" s="765"/>
      <c r="R464" s="650">
        <f t="shared" si="138"/>
        <v>0</v>
      </c>
      <c r="S464" s="587">
        <f t="shared" si="138"/>
        <v>0</v>
      </c>
      <c r="T464" s="577">
        <f t="shared" si="130"/>
        <v>0</v>
      </c>
      <c r="U464" s="578">
        <f t="shared" si="131"/>
        <v>0</v>
      </c>
      <c r="V464" s="579"/>
      <c r="W464" s="566"/>
      <c r="X464" s="586" t="str">
        <f t="shared" si="127"/>
        <v/>
      </c>
      <c r="Y464" s="586" t="str">
        <f t="shared" si="122"/>
        <v/>
      </c>
      <c r="Z464" s="586" t="str">
        <f t="shared" si="125"/>
        <v/>
      </c>
    </row>
    <row r="465" spans="1:26" ht="12" hidden="1" thickBot="1" x14ac:dyDescent="0.25">
      <c r="A465" s="671">
        <v>507220</v>
      </c>
      <c r="B465" s="644">
        <v>507220</v>
      </c>
      <c r="C465" s="645" t="s">
        <v>206</v>
      </c>
      <c r="D465" s="422" t="s">
        <v>2080</v>
      </c>
      <c r="E465" s="423"/>
      <c r="F465" s="424"/>
      <c r="G465" s="425"/>
      <c r="H465" s="663">
        <f t="shared" si="142"/>
        <v>0</v>
      </c>
      <c r="I465" s="420">
        <v>13.020000000000001</v>
      </c>
      <c r="J465" s="420">
        <f t="shared" si="136"/>
        <v>13.020000000000001</v>
      </c>
      <c r="K465" s="421">
        <f t="shared" si="137"/>
        <v>15.47</v>
      </c>
      <c r="L465" s="647" t="s">
        <v>23</v>
      </c>
      <c r="M465" s="587"/>
      <c r="N465" s="576">
        <f t="shared" si="123"/>
        <v>0</v>
      </c>
      <c r="O465" s="577">
        <f t="shared" si="132"/>
        <v>0</v>
      </c>
      <c r="P465" s="578">
        <f t="shared" si="133"/>
        <v>0</v>
      </c>
      <c r="Q465" s="765"/>
      <c r="R465" s="650">
        <f t="shared" si="138"/>
        <v>0</v>
      </c>
      <c r="S465" s="587">
        <f t="shared" si="138"/>
        <v>0</v>
      </c>
      <c r="T465" s="577">
        <f t="shared" si="130"/>
        <v>0</v>
      </c>
      <c r="U465" s="578">
        <f t="shared" si="131"/>
        <v>0</v>
      </c>
      <c r="V465" s="579"/>
      <c r="W465" s="566"/>
      <c r="X465" s="586" t="str">
        <f t="shared" si="127"/>
        <v/>
      </c>
      <c r="Y465" s="586" t="str">
        <f t="shared" si="122"/>
        <v/>
      </c>
      <c r="Z465" s="586" t="str">
        <f t="shared" si="125"/>
        <v/>
      </c>
    </row>
    <row r="466" spans="1:26" ht="12" hidden="1" thickBot="1" x14ac:dyDescent="0.25">
      <c r="A466" s="671">
        <v>507225</v>
      </c>
      <c r="B466" s="644">
        <v>507225</v>
      </c>
      <c r="C466" s="645" t="s">
        <v>206</v>
      </c>
      <c r="D466" s="422" t="s">
        <v>2081</v>
      </c>
      <c r="E466" s="423"/>
      <c r="F466" s="424"/>
      <c r="G466" s="425"/>
      <c r="H466" s="663">
        <f t="shared" si="142"/>
        <v>0</v>
      </c>
      <c r="I466" s="420">
        <v>14.93</v>
      </c>
      <c r="J466" s="420">
        <f t="shared" si="136"/>
        <v>14.93</v>
      </c>
      <c r="K466" s="421">
        <f t="shared" si="137"/>
        <v>17.739999999999998</v>
      </c>
      <c r="L466" s="647" t="s">
        <v>23</v>
      </c>
      <c r="M466" s="587"/>
      <c r="N466" s="576">
        <f t="shared" si="123"/>
        <v>0</v>
      </c>
      <c r="O466" s="577">
        <f t="shared" si="132"/>
        <v>0</v>
      </c>
      <c r="P466" s="578">
        <f t="shared" si="133"/>
        <v>0</v>
      </c>
      <c r="Q466" s="765"/>
      <c r="R466" s="650">
        <f t="shared" si="138"/>
        <v>0</v>
      </c>
      <c r="S466" s="587">
        <f t="shared" si="138"/>
        <v>0</v>
      </c>
      <c r="T466" s="577">
        <f t="shared" si="130"/>
        <v>0</v>
      </c>
      <c r="U466" s="578">
        <f t="shared" si="131"/>
        <v>0</v>
      </c>
      <c r="V466" s="579"/>
      <c r="W466" s="566"/>
      <c r="X466" s="586" t="str">
        <f t="shared" si="127"/>
        <v/>
      </c>
      <c r="Y466" s="586" t="str">
        <f t="shared" si="122"/>
        <v/>
      </c>
      <c r="Z466" s="586" t="str">
        <f t="shared" si="125"/>
        <v/>
      </c>
    </row>
    <row r="467" spans="1:26" ht="12" hidden="1" thickBot="1" x14ac:dyDescent="0.25">
      <c r="A467" s="671">
        <v>507232</v>
      </c>
      <c r="B467" s="644">
        <v>507232</v>
      </c>
      <c r="C467" s="645" t="s">
        <v>206</v>
      </c>
      <c r="D467" s="422" t="s">
        <v>2082</v>
      </c>
      <c r="E467" s="423"/>
      <c r="F467" s="424"/>
      <c r="G467" s="425"/>
      <c r="H467" s="663">
        <f t="shared" si="142"/>
        <v>0</v>
      </c>
      <c r="I467" s="420">
        <v>16.63</v>
      </c>
      <c r="J467" s="420">
        <f t="shared" si="136"/>
        <v>16.63</v>
      </c>
      <c r="K467" s="421">
        <f t="shared" si="137"/>
        <v>19.760000000000002</v>
      </c>
      <c r="L467" s="647" t="s">
        <v>23</v>
      </c>
      <c r="M467" s="587"/>
      <c r="N467" s="576">
        <f t="shared" si="123"/>
        <v>0</v>
      </c>
      <c r="O467" s="577">
        <f t="shared" si="132"/>
        <v>0</v>
      </c>
      <c r="P467" s="578">
        <f t="shared" si="133"/>
        <v>0</v>
      </c>
      <c r="Q467" s="765"/>
      <c r="R467" s="650">
        <f t="shared" si="138"/>
        <v>0</v>
      </c>
      <c r="S467" s="587">
        <f t="shared" si="138"/>
        <v>0</v>
      </c>
      <c r="T467" s="577">
        <f t="shared" si="130"/>
        <v>0</v>
      </c>
      <c r="U467" s="578">
        <f t="shared" si="131"/>
        <v>0</v>
      </c>
      <c r="V467" s="579"/>
      <c r="W467" s="566"/>
      <c r="X467" s="586" t="str">
        <f t="shared" si="127"/>
        <v/>
      </c>
      <c r="Y467" s="586" t="str">
        <f t="shared" ref="Y467:Y599" si="143">IF(W467="X","x",IF(W467="y","x",IF(W467="xx","x",IF(U467&gt;0,"x",""))))</f>
        <v/>
      </c>
      <c r="Z467" s="586" t="str">
        <f t="shared" si="125"/>
        <v/>
      </c>
    </row>
    <row r="468" spans="1:26" ht="12" hidden="1" thickBot="1" x14ac:dyDescent="0.25">
      <c r="A468" s="671">
        <v>504920</v>
      </c>
      <c r="B468" s="644">
        <v>504920</v>
      </c>
      <c r="C468" s="645" t="s">
        <v>206</v>
      </c>
      <c r="D468" s="422" t="s">
        <v>2083</v>
      </c>
      <c r="E468" s="423"/>
      <c r="F468" s="424">
        <v>20</v>
      </c>
      <c r="G468" s="425">
        <v>1.1000000000000001E-3</v>
      </c>
      <c r="H468" s="649">
        <f>IF(F468&lt;=30,(0.78*F468+7.82)*G468,((0.78*30+7.82)+0.78*(F468-30))*G468)</f>
        <v>2.5762000000000004E-2</v>
      </c>
      <c r="I468" s="420">
        <v>12.120000000000001</v>
      </c>
      <c r="J468" s="420">
        <f t="shared" si="136"/>
        <v>12.145762000000001</v>
      </c>
      <c r="K468" s="421">
        <f t="shared" si="137"/>
        <v>14.43</v>
      </c>
      <c r="L468" s="647" t="s">
        <v>23</v>
      </c>
      <c r="M468" s="587"/>
      <c r="N468" s="576">
        <f t="shared" ref="N468:N531" si="144">IF(M468=0,0,K468)</f>
        <v>0</v>
      </c>
      <c r="O468" s="577">
        <f t="shared" si="132"/>
        <v>0</v>
      </c>
      <c r="P468" s="578">
        <f t="shared" si="133"/>
        <v>0</v>
      </c>
      <c r="Q468" s="765"/>
      <c r="R468" s="650">
        <f t="shared" si="138"/>
        <v>0</v>
      </c>
      <c r="S468" s="587">
        <f t="shared" si="138"/>
        <v>0</v>
      </c>
      <c r="T468" s="577">
        <f t="shared" si="130"/>
        <v>0</v>
      </c>
      <c r="U468" s="578">
        <f t="shared" si="131"/>
        <v>0</v>
      </c>
      <c r="V468" s="579"/>
      <c r="W468" s="566"/>
      <c r="X468" s="586" t="str">
        <f t="shared" si="127"/>
        <v/>
      </c>
      <c r="Y468" s="586" t="str">
        <f t="shared" si="143"/>
        <v/>
      </c>
      <c r="Z468" s="586" t="str">
        <f t="shared" si="125"/>
        <v/>
      </c>
    </row>
    <row r="469" spans="1:26" ht="12" hidden="1" thickBot="1" x14ac:dyDescent="0.25">
      <c r="A469" s="671">
        <v>502660</v>
      </c>
      <c r="B469" s="644">
        <v>502660</v>
      </c>
      <c r="C469" s="645" t="s">
        <v>206</v>
      </c>
      <c r="D469" s="422" t="s">
        <v>2084</v>
      </c>
      <c r="E469" s="423"/>
      <c r="F469" s="424"/>
      <c r="G469" s="425"/>
      <c r="H469" s="663">
        <f t="shared" ref="H469:H471" si="145">IF(F469&lt;=30,(1.07*F469+2.68)*G469,((1.07*30+2.68)+1.07*(F469-30))*G469)</f>
        <v>0</v>
      </c>
      <c r="I469" s="420">
        <v>14.75</v>
      </c>
      <c r="J469" s="420">
        <f t="shared" si="136"/>
        <v>14.75</v>
      </c>
      <c r="K469" s="421">
        <f t="shared" si="137"/>
        <v>17.52</v>
      </c>
      <c r="L469" s="647" t="s">
        <v>19</v>
      </c>
      <c r="M469" s="587"/>
      <c r="N469" s="576">
        <f t="shared" si="144"/>
        <v>0</v>
      </c>
      <c r="O469" s="577">
        <f t="shared" si="132"/>
        <v>0</v>
      </c>
      <c r="P469" s="578">
        <f t="shared" si="133"/>
        <v>0</v>
      </c>
      <c r="Q469" s="765"/>
      <c r="R469" s="650">
        <f t="shared" si="138"/>
        <v>0</v>
      </c>
      <c r="S469" s="587">
        <f t="shared" si="138"/>
        <v>0</v>
      </c>
      <c r="T469" s="577">
        <f t="shared" si="130"/>
        <v>0</v>
      </c>
      <c r="U469" s="578">
        <f t="shared" si="131"/>
        <v>0</v>
      </c>
      <c r="V469" s="579"/>
      <c r="W469" s="566"/>
      <c r="X469" s="586" t="str">
        <f t="shared" si="127"/>
        <v/>
      </c>
      <c r="Y469" s="586" t="str">
        <f t="shared" si="143"/>
        <v/>
      </c>
      <c r="Z469" s="586" t="str">
        <f t="shared" si="125"/>
        <v/>
      </c>
    </row>
    <row r="470" spans="1:26" ht="12" hidden="1" thickBot="1" x14ac:dyDescent="0.25">
      <c r="A470" s="671">
        <v>502680</v>
      </c>
      <c r="B470" s="644">
        <v>502680</v>
      </c>
      <c r="C470" s="645" t="s">
        <v>206</v>
      </c>
      <c r="D470" s="422" t="s">
        <v>2085</v>
      </c>
      <c r="E470" s="423"/>
      <c r="F470" s="424"/>
      <c r="G470" s="425"/>
      <c r="H470" s="663">
        <f t="shared" si="145"/>
        <v>0</v>
      </c>
      <c r="I470" s="420">
        <v>13.29</v>
      </c>
      <c r="J470" s="420">
        <f t="shared" si="136"/>
        <v>13.29</v>
      </c>
      <c r="K470" s="421">
        <f t="shared" si="137"/>
        <v>15.79</v>
      </c>
      <c r="L470" s="647" t="s">
        <v>19</v>
      </c>
      <c r="M470" s="587"/>
      <c r="N470" s="576">
        <f t="shared" si="144"/>
        <v>0</v>
      </c>
      <c r="O470" s="577">
        <f t="shared" si="132"/>
        <v>0</v>
      </c>
      <c r="P470" s="578">
        <f t="shared" si="133"/>
        <v>0</v>
      </c>
      <c r="Q470" s="765"/>
      <c r="R470" s="650">
        <f t="shared" si="138"/>
        <v>0</v>
      </c>
      <c r="S470" s="587">
        <f t="shared" si="138"/>
        <v>0</v>
      </c>
      <c r="T470" s="577">
        <f t="shared" si="130"/>
        <v>0</v>
      </c>
      <c r="U470" s="578">
        <f t="shared" si="131"/>
        <v>0</v>
      </c>
      <c r="V470" s="579"/>
      <c r="W470" s="566"/>
      <c r="X470" s="586" t="str">
        <f t="shared" si="127"/>
        <v/>
      </c>
      <c r="Y470" s="586" t="str">
        <f t="shared" si="143"/>
        <v/>
      </c>
      <c r="Z470" s="586" t="str">
        <f t="shared" si="125"/>
        <v/>
      </c>
    </row>
    <row r="471" spans="1:26" ht="12" hidden="1" thickBot="1" x14ac:dyDescent="0.25">
      <c r="A471" s="671">
        <v>502670</v>
      </c>
      <c r="B471" s="644">
        <v>502670</v>
      </c>
      <c r="C471" s="645" t="s">
        <v>206</v>
      </c>
      <c r="D471" s="422" t="s">
        <v>2086</v>
      </c>
      <c r="E471" s="423"/>
      <c r="F471" s="424"/>
      <c r="G471" s="425"/>
      <c r="H471" s="651">
        <f t="shared" si="145"/>
        <v>0</v>
      </c>
      <c r="I471" s="420">
        <v>17.82</v>
      </c>
      <c r="J471" s="420">
        <f t="shared" si="136"/>
        <v>17.82</v>
      </c>
      <c r="K471" s="421">
        <f t="shared" si="137"/>
        <v>21.17</v>
      </c>
      <c r="L471" s="647" t="s">
        <v>19</v>
      </c>
      <c r="M471" s="587"/>
      <c r="N471" s="576">
        <f t="shared" si="144"/>
        <v>0</v>
      </c>
      <c r="O471" s="577">
        <f t="shared" si="132"/>
        <v>0</v>
      </c>
      <c r="P471" s="578">
        <f t="shared" si="133"/>
        <v>0</v>
      </c>
      <c r="Q471" s="765"/>
      <c r="R471" s="650">
        <f t="shared" si="138"/>
        <v>0</v>
      </c>
      <c r="S471" s="587">
        <f t="shared" si="138"/>
        <v>0</v>
      </c>
      <c r="T471" s="577">
        <f t="shared" si="130"/>
        <v>0</v>
      </c>
      <c r="U471" s="578">
        <f t="shared" si="131"/>
        <v>0</v>
      </c>
      <c r="V471" s="579"/>
      <c r="W471" s="566"/>
      <c r="X471" s="586" t="str">
        <f t="shared" si="127"/>
        <v/>
      </c>
      <c r="Y471" s="586" t="str">
        <f t="shared" si="143"/>
        <v/>
      </c>
      <c r="Z471" s="586" t="str">
        <f t="shared" si="125"/>
        <v/>
      </c>
    </row>
    <row r="472" spans="1:26" ht="12" hidden="1" thickBot="1" x14ac:dyDescent="0.25">
      <c r="A472" s="671">
        <v>502645</v>
      </c>
      <c r="B472" s="644">
        <v>502645</v>
      </c>
      <c r="C472" s="645" t="s">
        <v>206</v>
      </c>
      <c r="D472" s="422" t="s">
        <v>2087</v>
      </c>
      <c r="E472" s="423"/>
      <c r="F472" s="424"/>
      <c r="G472" s="425"/>
      <c r="H472" s="663">
        <f>SUM(H473:H476)</f>
        <v>367.73024000000004</v>
      </c>
      <c r="I472" s="420">
        <v>317.57000000000005</v>
      </c>
      <c r="J472" s="420">
        <f t="shared" si="136"/>
        <v>685.30024000000003</v>
      </c>
      <c r="K472" s="421">
        <f t="shared" si="137"/>
        <v>814.21</v>
      </c>
      <c r="L472" s="647" t="s">
        <v>16</v>
      </c>
      <c r="M472" s="587"/>
      <c r="N472" s="576">
        <f t="shared" si="144"/>
        <v>0</v>
      </c>
      <c r="O472" s="577">
        <f t="shared" si="132"/>
        <v>0</v>
      </c>
      <c r="P472" s="578">
        <f t="shared" si="133"/>
        <v>0</v>
      </c>
      <c r="Q472" s="765"/>
      <c r="R472" s="650">
        <f t="shared" si="138"/>
        <v>0</v>
      </c>
      <c r="S472" s="587">
        <f t="shared" si="138"/>
        <v>0</v>
      </c>
      <c r="T472" s="577">
        <f t="shared" si="130"/>
        <v>0</v>
      </c>
      <c r="U472" s="578">
        <f t="shared" si="131"/>
        <v>0</v>
      </c>
      <c r="V472" s="579"/>
      <c r="W472" s="566"/>
      <c r="X472" s="586" t="str">
        <f t="shared" si="127"/>
        <v/>
      </c>
      <c r="Y472" s="586" t="str">
        <f t="shared" si="143"/>
        <v/>
      </c>
      <c r="Z472" s="586" t="str">
        <f t="shared" si="125"/>
        <v/>
      </c>
    </row>
    <row r="473" spans="1:26" ht="12" hidden="1" thickBot="1" x14ac:dyDescent="0.25">
      <c r="A473" s="567" t="s">
        <v>168</v>
      </c>
      <c r="B473" s="644" t="s">
        <v>168</v>
      </c>
      <c r="C473" s="645"/>
      <c r="D473" s="451" t="s">
        <v>212</v>
      </c>
      <c r="E473" s="423"/>
      <c r="F473" s="424">
        <v>500</v>
      </c>
      <c r="G473" s="425">
        <v>0.38</v>
      </c>
      <c r="H473" s="649">
        <f>IF(F473&lt;=30,(0.78*F473+7.82)*G473,((0.78*30+7.82)+0.78*(F473-30))*G473)</f>
        <v>151.17160000000001</v>
      </c>
      <c r="I473" s="420">
        <v>0</v>
      </c>
      <c r="J473" s="420"/>
      <c r="K473" s="421">
        <f>IF(ISBLANK(I473),0,ROUND(J473*(1+$F$10)*(1+$F$11*E473),2))</f>
        <v>0</v>
      </c>
      <c r="L473" s="668"/>
      <c r="M473" s="669"/>
      <c r="N473" s="576">
        <f t="shared" si="144"/>
        <v>0</v>
      </c>
      <c r="O473" s="577">
        <f t="shared" si="132"/>
        <v>0</v>
      </c>
      <c r="P473" s="578">
        <f t="shared" si="133"/>
        <v>0</v>
      </c>
      <c r="Q473" s="765"/>
      <c r="R473" s="669"/>
      <c r="S473" s="670"/>
      <c r="T473" s="577">
        <f t="shared" si="130"/>
        <v>0</v>
      </c>
      <c r="U473" s="578">
        <f t="shared" si="131"/>
        <v>0</v>
      </c>
      <c r="V473" s="579"/>
      <c r="W473" s="637" t="str">
        <f>IF(U472&gt;0,"xx",IF(P472&gt;0,"xy",""))</f>
        <v/>
      </c>
      <c r="X473" s="586" t="str">
        <f>IF(W473="X","x",IF(W473="xx","x",IF(W473="xy","x",IF(W473="y","x",IF(OR(P473&gt;0,U473&gt;0),"x","")))))</f>
        <v/>
      </c>
      <c r="Y473" s="586" t="str">
        <f t="shared" si="143"/>
        <v/>
      </c>
      <c r="Z473" s="586" t="str">
        <f t="shared" si="125"/>
        <v/>
      </c>
    </row>
    <row r="474" spans="1:26" ht="12" hidden="1" thickBot="1" x14ac:dyDescent="0.25">
      <c r="A474" s="567" t="s">
        <v>168</v>
      </c>
      <c r="B474" s="644" t="s">
        <v>168</v>
      </c>
      <c r="C474" s="645"/>
      <c r="D474" s="451" t="s">
        <v>248</v>
      </c>
      <c r="E474" s="423"/>
      <c r="F474" s="424">
        <v>180</v>
      </c>
      <c r="G474" s="425">
        <v>0.70050000000000001</v>
      </c>
      <c r="H474" s="663">
        <f t="shared" ref="H474:H476" si="146">IF(F474&lt;=30,(1.07*F474+2.68)*G474,((1.07*30+2.68)+1.07*(F474-30))*G474)</f>
        <v>136.79364000000001</v>
      </c>
      <c r="I474" s="420">
        <v>0</v>
      </c>
      <c r="J474" s="420"/>
      <c r="K474" s="421">
        <f>IF(ISBLANK(I474),0,ROUND(J474*(1+$F$10)*(1+$F$11*E474),2))</f>
        <v>0</v>
      </c>
      <c r="L474" s="668" t="s">
        <v>614</v>
      </c>
      <c r="M474" s="669"/>
      <c r="N474" s="576">
        <f t="shared" si="144"/>
        <v>0</v>
      </c>
      <c r="O474" s="577">
        <f t="shared" si="132"/>
        <v>0</v>
      </c>
      <c r="P474" s="578">
        <f t="shared" si="133"/>
        <v>0</v>
      </c>
      <c r="Q474" s="765"/>
      <c r="R474" s="669"/>
      <c r="S474" s="670"/>
      <c r="T474" s="577">
        <f t="shared" si="130"/>
        <v>0</v>
      </c>
      <c r="U474" s="578">
        <f t="shared" si="131"/>
        <v>0</v>
      </c>
      <c r="V474" s="579"/>
      <c r="W474" s="637" t="str">
        <f>IF(U472&gt;0,"xx",IF(P472&gt;0,"xy",""))</f>
        <v/>
      </c>
      <c r="X474" s="586" t="str">
        <f>IF(W474="X","x",IF(W474="xx","x",IF(W474="xy","x",IF(W474="y","x",IF(OR(P474&gt;0,U474&gt;0),"x","")))))</f>
        <v/>
      </c>
      <c r="Y474" s="586" t="str">
        <f t="shared" si="143"/>
        <v/>
      </c>
      <c r="Z474" s="586" t="str">
        <f t="shared" si="125"/>
        <v/>
      </c>
    </row>
    <row r="475" spans="1:26" ht="12" hidden="1" thickBot="1" x14ac:dyDescent="0.25">
      <c r="A475" s="567" t="s">
        <v>168</v>
      </c>
      <c r="B475" s="644" t="s">
        <v>168</v>
      </c>
      <c r="C475" s="645"/>
      <c r="D475" s="451" t="s">
        <v>252</v>
      </c>
      <c r="E475" s="423"/>
      <c r="F475" s="424">
        <v>20</v>
      </c>
      <c r="G475" s="425">
        <v>1.1160000000000001</v>
      </c>
      <c r="H475" s="663">
        <f t="shared" si="146"/>
        <v>26.873280000000005</v>
      </c>
      <c r="I475" s="420">
        <v>0</v>
      </c>
      <c r="J475" s="420"/>
      <c r="K475" s="421">
        <f>IF(ISBLANK(I475),0,ROUND(J475*(1+$F$10)*(1+$F$11*E475),2))</f>
        <v>0</v>
      </c>
      <c r="L475" s="668" t="s">
        <v>614</v>
      </c>
      <c r="M475" s="669"/>
      <c r="N475" s="576">
        <f t="shared" si="144"/>
        <v>0</v>
      </c>
      <c r="O475" s="577">
        <f t="shared" si="132"/>
        <v>0</v>
      </c>
      <c r="P475" s="578">
        <f t="shared" si="133"/>
        <v>0</v>
      </c>
      <c r="Q475" s="765"/>
      <c r="R475" s="669"/>
      <c r="S475" s="670"/>
      <c r="T475" s="577">
        <f t="shared" si="130"/>
        <v>0</v>
      </c>
      <c r="U475" s="578">
        <f t="shared" si="131"/>
        <v>0</v>
      </c>
      <c r="V475" s="579"/>
      <c r="W475" s="637" t="str">
        <f>IF(U472&gt;0,"xx",IF(P472&gt;0,"xy",""))</f>
        <v/>
      </c>
      <c r="X475" s="586" t="str">
        <f>IF(W475="X","x",IF(W475="xx","x",IF(W475="xy","x",IF(W475="y","x",IF(OR(P475&gt;0,U475&gt;0),"x","")))))</f>
        <v/>
      </c>
      <c r="Y475" s="586" t="str">
        <f t="shared" si="143"/>
        <v/>
      </c>
      <c r="Z475" s="586" t="str">
        <f t="shared" si="125"/>
        <v/>
      </c>
    </row>
    <row r="476" spans="1:26" ht="12" hidden="1" thickBot="1" x14ac:dyDescent="0.25">
      <c r="A476" s="567" t="s">
        <v>168</v>
      </c>
      <c r="B476" s="644" t="s">
        <v>168</v>
      </c>
      <c r="C476" s="645"/>
      <c r="D476" s="451" t="s">
        <v>263</v>
      </c>
      <c r="E476" s="423"/>
      <c r="F476" s="424">
        <v>20</v>
      </c>
      <c r="G476" s="425">
        <f>SUM(G472:G475)</f>
        <v>2.1965000000000003</v>
      </c>
      <c r="H476" s="651">
        <f t="shared" si="146"/>
        <v>52.891720000000014</v>
      </c>
      <c r="I476" s="420">
        <v>0</v>
      </c>
      <c r="J476" s="420"/>
      <c r="K476" s="421">
        <f>IF(ISBLANK(I476),0,ROUND(J476*(1+$F$10)*(1+$F$11*E476),2))</f>
        <v>0</v>
      </c>
      <c r="L476" s="647" t="s">
        <v>614</v>
      </c>
      <c r="M476" s="703"/>
      <c r="N476" s="576">
        <f t="shared" si="144"/>
        <v>0</v>
      </c>
      <c r="O476" s="577">
        <f t="shared" si="132"/>
        <v>0</v>
      </c>
      <c r="P476" s="578">
        <f t="shared" si="133"/>
        <v>0</v>
      </c>
      <c r="Q476" s="765"/>
      <c r="R476" s="703"/>
      <c r="S476" s="670"/>
      <c r="T476" s="577">
        <f t="shared" si="130"/>
        <v>0</v>
      </c>
      <c r="U476" s="578">
        <f t="shared" si="131"/>
        <v>0</v>
      </c>
      <c r="V476" s="579"/>
      <c r="W476" s="637" t="str">
        <f>IF(U472&gt;0,"xx",IF(P472&gt;0,"xy",""))</f>
        <v/>
      </c>
      <c r="X476" s="586" t="str">
        <f>IF(W476="X","x",IF(W476="xx","x",IF(W476="xy","x",IF(W476="y","x",IF(OR(P476&gt;0,U476&gt;0),"x","")))))</f>
        <v/>
      </c>
      <c r="Y476" s="586" t="str">
        <f t="shared" si="143"/>
        <v/>
      </c>
      <c r="Z476" s="586" t="str">
        <f t="shared" si="125"/>
        <v/>
      </c>
    </row>
    <row r="477" spans="1:26" ht="12" hidden="1" thickBot="1" x14ac:dyDescent="0.25">
      <c r="A477" s="671">
        <v>502646</v>
      </c>
      <c r="B477" s="644">
        <v>502646</v>
      </c>
      <c r="C477" s="645" t="s">
        <v>206</v>
      </c>
      <c r="D477" s="422" t="s">
        <v>2088</v>
      </c>
      <c r="E477" s="423"/>
      <c r="F477" s="424"/>
      <c r="G477" s="425"/>
      <c r="H477" s="663">
        <f>SUM(H478:H481)</f>
        <v>367.73024000000004</v>
      </c>
      <c r="I477" s="420">
        <v>370.74</v>
      </c>
      <c r="J477" s="420">
        <f t="shared" si="136"/>
        <v>738.4702400000001</v>
      </c>
      <c r="K477" s="421">
        <f t="shared" si="137"/>
        <v>877.38</v>
      </c>
      <c r="L477" s="647" t="s">
        <v>16</v>
      </c>
      <c r="M477" s="587"/>
      <c r="N477" s="576">
        <f t="shared" si="144"/>
        <v>0</v>
      </c>
      <c r="O477" s="577">
        <f t="shared" si="132"/>
        <v>0</v>
      </c>
      <c r="P477" s="578">
        <f t="shared" si="133"/>
        <v>0</v>
      </c>
      <c r="Q477" s="765"/>
      <c r="R477" s="650">
        <f t="shared" si="138"/>
        <v>0</v>
      </c>
      <c r="S477" s="587">
        <f>N477</f>
        <v>0</v>
      </c>
      <c r="T477" s="577">
        <f t="shared" si="130"/>
        <v>0</v>
      </c>
      <c r="U477" s="578">
        <f t="shared" si="131"/>
        <v>0</v>
      </c>
      <c r="V477" s="579"/>
      <c r="W477" s="566"/>
      <c r="X477" s="586" t="str">
        <f t="shared" si="127"/>
        <v/>
      </c>
      <c r="Y477" s="586" t="str">
        <f t="shared" si="143"/>
        <v/>
      </c>
      <c r="Z477" s="586" t="str">
        <f t="shared" ref="Z477:Z589" si="147">IF(W477="X","x",IF(U477&gt;0,"x",""))</f>
        <v/>
      </c>
    </row>
    <row r="478" spans="1:26" ht="12" hidden="1" thickBot="1" x14ac:dyDescent="0.25">
      <c r="A478" s="567" t="s">
        <v>168</v>
      </c>
      <c r="B478" s="644" t="s">
        <v>168</v>
      </c>
      <c r="C478" s="645"/>
      <c r="D478" s="451" t="s">
        <v>212</v>
      </c>
      <c r="E478" s="423"/>
      <c r="F478" s="424">
        <v>500</v>
      </c>
      <c r="G478" s="425">
        <v>0.38</v>
      </c>
      <c r="H478" s="649">
        <f>IF(F478&lt;=30,(0.78*F478+7.82)*G478,((0.78*30+7.82)+0.78*(F478-30))*G478)</f>
        <v>151.17160000000001</v>
      </c>
      <c r="I478" s="420">
        <v>0</v>
      </c>
      <c r="J478" s="420"/>
      <c r="K478" s="421">
        <f t="shared" si="137"/>
        <v>0</v>
      </c>
      <c r="L478" s="668" t="s">
        <v>614</v>
      </c>
      <c r="M478" s="669"/>
      <c r="N478" s="576">
        <f t="shared" si="144"/>
        <v>0</v>
      </c>
      <c r="O478" s="577">
        <f>IF(ISBLANK(M478),0,ROUND(K478*M478,2))</f>
        <v>0</v>
      </c>
      <c r="P478" s="578">
        <f>IF(ISBLANK(N478),0,ROUND(M478*N478,2))</f>
        <v>0</v>
      </c>
      <c r="Q478" s="765"/>
      <c r="R478" s="669"/>
      <c r="S478" s="670"/>
      <c r="T478" s="577">
        <f>IF(ISBLANK(R478),0,ROUND(K478*R478,2))</f>
        <v>0</v>
      </c>
      <c r="U478" s="578">
        <f>IF(ISBLANK(R478),0,ROUND(R478*S478,2))</f>
        <v>0</v>
      </c>
      <c r="V478" s="579"/>
      <c r="W478" s="637" t="str">
        <f>IF(U477&gt;0,"xx",IF(P477&gt;0,"xy",""))</f>
        <v/>
      </c>
      <c r="X478" s="586" t="str">
        <f t="shared" si="127"/>
        <v/>
      </c>
      <c r="Y478" s="586" t="str">
        <f>IF(W478="X","x",IF(W478="y","x",IF(W478="xx","x",IF(U478&gt;0,"x",""))))</f>
        <v/>
      </c>
      <c r="Z478" s="586" t="str">
        <f>IF(W478="X","x",IF(U478&gt;0,"x",""))</f>
        <v/>
      </c>
    </row>
    <row r="479" spans="1:26" ht="12" hidden="1" thickBot="1" x14ac:dyDescent="0.25">
      <c r="A479" s="567" t="s">
        <v>168</v>
      </c>
      <c r="B479" s="644" t="s">
        <v>168</v>
      </c>
      <c r="C479" s="645"/>
      <c r="D479" s="451" t="s">
        <v>248</v>
      </c>
      <c r="E479" s="423"/>
      <c r="F479" s="424">
        <v>180</v>
      </c>
      <c r="G479" s="425">
        <v>0.70050000000000001</v>
      </c>
      <c r="H479" s="663">
        <f t="shared" ref="H479:H490" si="148">IF(F479&lt;=30,(1.07*F479+2.68)*G479,((1.07*30+2.68)+1.07*(F479-30))*G479)</f>
        <v>136.79364000000001</v>
      </c>
      <c r="I479" s="420">
        <v>0</v>
      </c>
      <c r="J479" s="420"/>
      <c r="K479" s="421">
        <f t="shared" si="137"/>
        <v>0</v>
      </c>
      <c r="L479" s="668" t="s">
        <v>614</v>
      </c>
      <c r="M479" s="669"/>
      <c r="N479" s="576">
        <f t="shared" si="144"/>
        <v>0</v>
      </c>
      <c r="O479" s="577">
        <f>IF(ISBLANK(M479),0,ROUND(K479*M479,2))</f>
        <v>0</v>
      </c>
      <c r="P479" s="578">
        <f>IF(ISBLANK(N479),0,ROUND(M479*N479,2))</f>
        <v>0</v>
      </c>
      <c r="Q479" s="765"/>
      <c r="R479" s="669"/>
      <c r="S479" s="670"/>
      <c r="T479" s="577">
        <f>IF(ISBLANK(R479),0,ROUND(K479*R479,2))</f>
        <v>0</v>
      </c>
      <c r="U479" s="578">
        <f>IF(ISBLANK(R479),0,ROUND(R479*S479,2))</f>
        <v>0</v>
      </c>
      <c r="V479" s="579"/>
      <c r="W479" s="637" t="str">
        <f>IF(U477&gt;0,"xx",IF(P477&gt;0,"xy",""))</f>
        <v/>
      </c>
      <c r="X479" s="586" t="str">
        <f t="shared" si="127"/>
        <v/>
      </c>
      <c r="Y479" s="586" t="str">
        <f>IF(W479="X","x",IF(W479="y","x",IF(W479="xx","x",IF(U479&gt;0,"x",""))))</f>
        <v/>
      </c>
      <c r="Z479" s="586" t="str">
        <f>IF(W479="X","x",IF(U479&gt;0,"x",""))</f>
        <v/>
      </c>
    </row>
    <row r="480" spans="1:26" ht="12" hidden="1" thickBot="1" x14ac:dyDescent="0.25">
      <c r="A480" s="567" t="s">
        <v>168</v>
      </c>
      <c r="B480" s="644" t="s">
        <v>168</v>
      </c>
      <c r="C480" s="645"/>
      <c r="D480" s="451" t="s">
        <v>252</v>
      </c>
      <c r="E480" s="423"/>
      <c r="F480" s="424">
        <v>20</v>
      </c>
      <c r="G480" s="425">
        <v>1.1160000000000001</v>
      </c>
      <c r="H480" s="663">
        <f t="shared" si="148"/>
        <v>26.873280000000005</v>
      </c>
      <c r="I480" s="420">
        <v>0</v>
      </c>
      <c r="J480" s="420"/>
      <c r="K480" s="421">
        <f t="shared" si="137"/>
        <v>0</v>
      </c>
      <c r="L480" s="647" t="s">
        <v>614</v>
      </c>
      <c r="M480" s="703"/>
      <c r="N480" s="576">
        <f t="shared" si="144"/>
        <v>0</v>
      </c>
      <c r="O480" s="577">
        <f>IF(ISBLANK(M480),0,ROUND(K480*M480,2))</f>
        <v>0</v>
      </c>
      <c r="P480" s="578">
        <f>IF(ISBLANK(N480),0,ROUND(M480*N480,2))</f>
        <v>0</v>
      </c>
      <c r="Q480" s="765"/>
      <c r="R480" s="703"/>
      <c r="S480" s="670"/>
      <c r="T480" s="577">
        <f>IF(ISBLANK(R480),0,ROUND(K480*R480,2))</f>
        <v>0</v>
      </c>
      <c r="U480" s="578">
        <f>IF(ISBLANK(R480),0,ROUND(R480*S480,2))</f>
        <v>0</v>
      </c>
      <c r="V480" s="579"/>
      <c r="W480" s="637" t="str">
        <f>IF(U476&gt;0,"xx",IF(P476&gt;0,"xy",""))</f>
        <v/>
      </c>
      <c r="X480" s="586" t="str">
        <f t="shared" si="127"/>
        <v/>
      </c>
      <c r="Y480" s="586" t="str">
        <f>IF(W480="X","x",IF(W480="y","x",IF(W480="xx","x",IF(U480&gt;0,"x",""))))</f>
        <v/>
      </c>
      <c r="Z480" s="586" t="str">
        <f>IF(W480="X","x",IF(U480&gt;0,"x",""))</f>
        <v/>
      </c>
    </row>
    <row r="481" spans="1:26" ht="12" hidden="1" thickBot="1" x14ac:dyDescent="0.25">
      <c r="A481" s="567" t="s">
        <v>168</v>
      </c>
      <c r="B481" s="704" t="s">
        <v>168</v>
      </c>
      <c r="C481" s="689"/>
      <c r="D481" s="477" t="s">
        <v>263</v>
      </c>
      <c r="E481" s="470"/>
      <c r="F481" s="478">
        <v>20</v>
      </c>
      <c r="G481" s="479">
        <f>SUM(G477:G480)</f>
        <v>2.1965000000000003</v>
      </c>
      <c r="H481" s="714">
        <f t="shared" si="148"/>
        <v>52.891720000000014</v>
      </c>
      <c r="I481" s="472">
        <v>0</v>
      </c>
      <c r="J481" s="472"/>
      <c r="K481" s="690">
        <f t="shared" si="137"/>
        <v>0</v>
      </c>
      <c r="L481" s="715" t="s">
        <v>614</v>
      </c>
      <c r="M481" s="716"/>
      <c r="N481" s="799">
        <f t="shared" si="144"/>
        <v>0</v>
      </c>
      <c r="O481" s="693">
        <f>IF(ISBLANK(M481),0,ROUND(K481*M481,2))</f>
        <v>0</v>
      </c>
      <c r="P481" s="694">
        <f>IF(ISBLANK(N481),0,ROUND(M481*N481,2))</f>
        <v>0</v>
      </c>
      <c r="Q481" s="765"/>
      <c r="R481" s="717"/>
      <c r="S481" s="711"/>
      <c r="T481" s="693">
        <f>IF(ISBLANK(R481),0,ROUND(K481*R481,2))</f>
        <v>0</v>
      </c>
      <c r="U481" s="694">
        <f>IF(ISBLANK(R481),0,ROUND(R481*S481,2))</f>
        <v>0</v>
      </c>
      <c r="V481" s="579"/>
      <c r="W481" s="637" t="str">
        <f>IF(U477&gt;0,"xx",IF(P477&gt;0,"xy",""))</f>
        <v/>
      </c>
      <c r="X481" s="586" t="str">
        <f t="shared" si="127"/>
        <v/>
      </c>
      <c r="Y481" s="586" t="str">
        <f>IF(W481="X","x",IF(W481="y","x",IF(W481="xx","x",IF(U481&gt;0,"x",""))))</f>
        <v/>
      </c>
      <c r="Z481" s="586" t="str">
        <f>IF(W481="X","x",IF(U481&gt;0,"x",""))</f>
        <v/>
      </c>
    </row>
    <row r="482" spans="1:26" ht="45.75" hidden="1" thickBot="1" x14ac:dyDescent="0.25">
      <c r="A482" s="671">
        <v>97104</v>
      </c>
      <c r="B482" s="638">
        <v>97104</v>
      </c>
      <c r="C482" s="639" t="s">
        <v>670</v>
      </c>
      <c r="D482" s="445" t="s">
        <v>1883</v>
      </c>
      <c r="E482" s="446"/>
      <c r="F482" s="447">
        <v>20</v>
      </c>
      <c r="G482" s="448">
        <f>2.4*0.15</f>
        <v>0.36</v>
      </c>
      <c r="H482" s="663">
        <f t="shared" si="148"/>
        <v>8.6688000000000009</v>
      </c>
      <c r="I482" s="414">
        <v>112.49</v>
      </c>
      <c r="J482" s="414">
        <f t="shared" ref="J482:J499" si="149">IF(ISBLANK(I482),"",SUM(H482:I482))</f>
        <v>121.1588</v>
      </c>
      <c r="K482" s="415">
        <f t="shared" si="137"/>
        <v>143.94999999999999</v>
      </c>
      <c r="L482" s="641" t="s">
        <v>18</v>
      </c>
      <c r="M482" s="576"/>
      <c r="N482" s="576">
        <f t="shared" si="144"/>
        <v>0</v>
      </c>
      <c r="O482" s="642">
        <f t="shared" ref="O482:O499" si="150">IF(ISBLANK(M482),0,ROUND(K482*M482,2))</f>
        <v>0</v>
      </c>
      <c r="P482" s="659">
        <f t="shared" ref="P482:P499" si="151">IF(ISBLANK(N482),0,ROUND(M482*N482,2))</f>
        <v>0</v>
      </c>
      <c r="Q482" s="765"/>
      <c r="R482" s="684">
        <f t="shared" ref="R482:S499" si="152">M482</f>
        <v>0</v>
      </c>
      <c r="S482" s="576">
        <f t="shared" si="152"/>
        <v>0</v>
      </c>
      <c r="T482" s="642">
        <f t="shared" ref="T482:T499" si="153">IF(ISBLANK(R482),0,ROUND(K482*R482,2))</f>
        <v>0</v>
      </c>
      <c r="U482" s="659">
        <f t="shared" ref="U482:U499" si="154">IF(ISBLANK(R482),0,ROUND(R482*S482,2))</f>
        <v>0</v>
      </c>
      <c r="V482" s="579"/>
      <c r="W482" s="566"/>
      <c r="X482" s="586" t="str">
        <f t="shared" ref="X482:X545" si="155">IF(W482="X","x",IF(W482="xx","x",IF(W482="xy","x",IF(W482="y","x",IF(OR(P482&gt;0,U482&gt;0),"x","")))))</f>
        <v/>
      </c>
      <c r="Y482" s="586" t="str">
        <f t="shared" ref="Y482:Y499" si="156">IF(W482="X","x",IF(W482="y","x",IF(W482="xx","x",IF(U482&gt;0,"x",""))))</f>
        <v/>
      </c>
      <c r="Z482" s="586" t="str">
        <f t="shared" ref="Z482:Z499" si="157">IF(W482="X","x",IF(U482&gt;0,"x",""))</f>
        <v/>
      </c>
    </row>
    <row r="483" spans="1:26" ht="45.75" hidden="1" thickBot="1" x14ac:dyDescent="0.25">
      <c r="A483" s="671">
        <v>97105</v>
      </c>
      <c r="B483" s="644">
        <v>97105</v>
      </c>
      <c r="C483" s="645" t="s">
        <v>670</v>
      </c>
      <c r="D483" s="422" t="s">
        <v>1884</v>
      </c>
      <c r="E483" s="423"/>
      <c r="F483" s="424">
        <v>20</v>
      </c>
      <c r="G483" s="425">
        <f>2.4*0.175</f>
        <v>0.42</v>
      </c>
      <c r="H483" s="663">
        <f t="shared" si="148"/>
        <v>10.1136</v>
      </c>
      <c r="I483" s="420">
        <v>126.29</v>
      </c>
      <c r="J483" s="420">
        <f t="shared" si="149"/>
        <v>136.40360000000001</v>
      </c>
      <c r="K483" s="421">
        <f t="shared" si="137"/>
        <v>162.06</v>
      </c>
      <c r="L483" s="647" t="s">
        <v>18</v>
      </c>
      <c r="M483" s="587"/>
      <c r="N483" s="576">
        <f t="shared" si="144"/>
        <v>0</v>
      </c>
      <c r="O483" s="577">
        <f t="shared" si="150"/>
        <v>0</v>
      </c>
      <c r="P483" s="578">
        <f t="shared" si="151"/>
        <v>0</v>
      </c>
      <c r="Q483" s="765"/>
      <c r="R483" s="650">
        <f t="shared" si="152"/>
        <v>0</v>
      </c>
      <c r="S483" s="587">
        <f t="shared" si="152"/>
        <v>0</v>
      </c>
      <c r="T483" s="577">
        <f t="shared" si="153"/>
        <v>0</v>
      </c>
      <c r="U483" s="578">
        <f t="shared" si="154"/>
        <v>0</v>
      </c>
      <c r="V483" s="579"/>
      <c r="W483" s="566"/>
      <c r="X483" s="586" t="str">
        <f t="shared" si="155"/>
        <v/>
      </c>
      <c r="Y483" s="586" t="str">
        <f t="shared" si="156"/>
        <v/>
      </c>
      <c r="Z483" s="586" t="str">
        <f t="shared" si="157"/>
        <v/>
      </c>
    </row>
    <row r="484" spans="1:26" ht="45.75" hidden="1" thickBot="1" x14ac:dyDescent="0.25">
      <c r="A484" s="671">
        <v>97106</v>
      </c>
      <c r="B484" s="644">
        <v>97106</v>
      </c>
      <c r="C484" s="645" t="s">
        <v>670</v>
      </c>
      <c r="D484" s="422" t="s">
        <v>1885</v>
      </c>
      <c r="E484" s="423"/>
      <c r="F484" s="424">
        <v>20</v>
      </c>
      <c r="G484" s="425">
        <f>2.4*0.2</f>
        <v>0.48</v>
      </c>
      <c r="H484" s="663">
        <f t="shared" si="148"/>
        <v>11.558400000000001</v>
      </c>
      <c r="I484" s="420">
        <v>139.05000000000001</v>
      </c>
      <c r="J484" s="420">
        <f t="shared" si="149"/>
        <v>150.60840000000002</v>
      </c>
      <c r="K484" s="421">
        <f t="shared" si="137"/>
        <v>178.94</v>
      </c>
      <c r="L484" s="647" t="s">
        <v>18</v>
      </c>
      <c r="M484" s="587"/>
      <c r="N484" s="576">
        <f t="shared" si="144"/>
        <v>0</v>
      </c>
      <c r="O484" s="577">
        <f t="shared" si="150"/>
        <v>0</v>
      </c>
      <c r="P484" s="578">
        <f t="shared" si="151"/>
        <v>0</v>
      </c>
      <c r="Q484" s="765"/>
      <c r="R484" s="650">
        <f t="shared" si="152"/>
        <v>0</v>
      </c>
      <c r="S484" s="587">
        <f t="shared" si="152"/>
        <v>0</v>
      </c>
      <c r="T484" s="577">
        <f t="shared" si="153"/>
        <v>0</v>
      </c>
      <c r="U484" s="578">
        <f t="shared" si="154"/>
        <v>0</v>
      </c>
      <c r="V484" s="579"/>
      <c r="W484" s="566"/>
      <c r="X484" s="586" t="str">
        <f t="shared" si="155"/>
        <v/>
      </c>
      <c r="Y484" s="586" t="str">
        <f t="shared" si="156"/>
        <v/>
      </c>
      <c r="Z484" s="586" t="str">
        <f t="shared" si="157"/>
        <v/>
      </c>
    </row>
    <row r="485" spans="1:26" ht="45.75" hidden="1" thickBot="1" x14ac:dyDescent="0.25">
      <c r="A485" s="671">
        <v>97107</v>
      </c>
      <c r="B485" s="644">
        <v>97107</v>
      </c>
      <c r="C485" s="645" t="s">
        <v>670</v>
      </c>
      <c r="D485" s="422" t="s">
        <v>1886</v>
      </c>
      <c r="E485" s="423"/>
      <c r="F485" s="424">
        <v>20</v>
      </c>
      <c r="G485" s="425">
        <f>2.4*0.225</f>
        <v>0.54</v>
      </c>
      <c r="H485" s="663">
        <f t="shared" si="148"/>
        <v>13.003200000000001</v>
      </c>
      <c r="I485" s="420">
        <v>159.53</v>
      </c>
      <c r="J485" s="420">
        <f t="shared" si="149"/>
        <v>172.53319999999999</v>
      </c>
      <c r="K485" s="421">
        <f t="shared" si="137"/>
        <v>204.99</v>
      </c>
      <c r="L485" s="647" t="s">
        <v>18</v>
      </c>
      <c r="M485" s="587"/>
      <c r="N485" s="576">
        <f t="shared" si="144"/>
        <v>0</v>
      </c>
      <c r="O485" s="577">
        <f t="shared" si="150"/>
        <v>0</v>
      </c>
      <c r="P485" s="578">
        <f t="shared" si="151"/>
        <v>0</v>
      </c>
      <c r="Q485" s="765"/>
      <c r="R485" s="650">
        <f t="shared" si="152"/>
        <v>0</v>
      </c>
      <c r="S485" s="587">
        <f t="shared" si="152"/>
        <v>0</v>
      </c>
      <c r="T485" s="577">
        <f t="shared" si="153"/>
        <v>0</v>
      </c>
      <c r="U485" s="578">
        <f t="shared" si="154"/>
        <v>0</v>
      </c>
      <c r="V485" s="579"/>
      <c r="W485" s="566"/>
      <c r="X485" s="586" t="str">
        <f t="shared" si="155"/>
        <v/>
      </c>
      <c r="Y485" s="586" t="str">
        <f t="shared" si="156"/>
        <v/>
      </c>
      <c r="Z485" s="586" t="str">
        <f t="shared" si="157"/>
        <v/>
      </c>
    </row>
    <row r="486" spans="1:26" ht="45.75" hidden="1" thickBot="1" x14ac:dyDescent="0.25">
      <c r="A486" s="671">
        <v>97108</v>
      </c>
      <c r="B486" s="644">
        <v>97108</v>
      </c>
      <c r="C486" s="645" t="s">
        <v>670</v>
      </c>
      <c r="D486" s="422" t="s">
        <v>1887</v>
      </c>
      <c r="E486" s="423"/>
      <c r="F486" s="424">
        <v>20</v>
      </c>
      <c r="G486" s="425">
        <f>2.4*0.25</f>
        <v>0.6</v>
      </c>
      <c r="H486" s="663">
        <f t="shared" si="148"/>
        <v>14.448</v>
      </c>
      <c r="I486" s="420">
        <v>183.65</v>
      </c>
      <c r="J486" s="420">
        <f t="shared" si="149"/>
        <v>198.09800000000001</v>
      </c>
      <c r="K486" s="421">
        <f t="shared" si="137"/>
        <v>235.36</v>
      </c>
      <c r="L486" s="647" t="s">
        <v>18</v>
      </c>
      <c r="M486" s="587"/>
      <c r="N486" s="576">
        <f t="shared" si="144"/>
        <v>0</v>
      </c>
      <c r="O486" s="577">
        <f t="shared" si="150"/>
        <v>0</v>
      </c>
      <c r="P486" s="578">
        <f t="shared" si="151"/>
        <v>0</v>
      </c>
      <c r="Q486" s="765"/>
      <c r="R486" s="650">
        <f t="shared" si="152"/>
        <v>0</v>
      </c>
      <c r="S486" s="587">
        <f t="shared" si="152"/>
        <v>0</v>
      </c>
      <c r="T486" s="577">
        <f t="shared" si="153"/>
        <v>0</v>
      </c>
      <c r="U486" s="578">
        <f t="shared" si="154"/>
        <v>0</v>
      </c>
      <c r="V486" s="579"/>
      <c r="W486" s="566"/>
      <c r="X486" s="586" t="str">
        <f t="shared" si="155"/>
        <v/>
      </c>
      <c r="Y486" s="586" t="str">
        <f t="shared" si="156"/>
        <v/>
      </c>
      <c r="Z486" s="586" t="str">
        <f t="shared" si="157"/>
        <v/>
      </c>
    </row>
    <row r="487" spans="1:26" ht="45.75" hidden="1" thickBot="1" x14ac:dyDescent="0.25">
      <c r="A487" s="671">
        <v>97109</v>
      </c>
      <c r="B487" s="644">
        <v>97109</v>
      </c>
      <c r="C487" s="645" t="s">
        <v>670</v>
      </c>
      <c r="D487" s="422" t="s">
        <v>1888</v>
      </c>
      <c r="E487" s="423"/>
      <c r="F487" s="424">
        <v>20</v>
      </c>
      <c r="G487" s="425">
        <f>2.4*0.275</f>
        <v>0.66</v>
      </c>
      <c r="H487" s="663">
        <f t="shared" si="148"/>
        <v>15.892800000000001</v>
      </c>
      <c r="I487" s="420">
        <v>203.4</v>
      </c>
      <c r="J487" s="420">
        <f t="shared" si="149"/>
        <v>219.2928</v>
      </c>
      <c r="K487" s="421">
        <f t="shared" si="137"/>
        <v>260.54000000000002</v>
      </c>
      <c r="L487" s="647" t="s">
        <v>18</v>
      </c>
      <c r="M487" s="587"/>
      <c r="N487" s="576">
        <f t="shared" si="144"/>
        <v>0</v>
      </c>
      <c r="O487" s="577">
        <f t="shared" si="150"/>
        <v>0</v>
      </c>
      <c r="P487" s="578">
        <f t="shared" si="151"/>
        <v>0</v>
      </c>
      <c r="Q487" s="765"/>
      <c r="R487" s="650">
        <f t="shared" si="152"/>
        <v>0</v>
      </c>
      <c r="S487" s="587">
        <f t="shared" si="152"/>
        <v>0</v>
      </c>
      <c r="T487" s="577">
        <f t="shared" si="153"/>
        <v>0</v>
      </c>
      <c r="U487" s="578">
        <f t="shared" si="154"/>
        <v>0</v>
      </c>
      <c r="V487" s="579"/>
      <c r="W487" s="566"/>
      <c r="X487" s="586" t="str">
        <f t="shared" si="155"/>
        <v/>
      </c>
      <c r="Y487" s="586" t="str">
        <f t="shared" si="156"/>
        <v/>
      </c>
      <c r="Z487" s="586" t="str">
        <f t="shared" si="157"/>
        <v/>
      </c>
    </row>
    <row r="488" spans="1:26" ht="23.25" hidden="1" thickBot="1" x14ac:dyDescent="0.25">
      <c r="A488" s="671">
        <v>97111</v>
      </c>
      <c r="B488" s="644">
        <v>97111</v>
      </c>
      <c r="C488" s="645" t="s">
        <v>670</v>
      </c>
      <c r="D488" s="422" t="s">
        <v>2089</v>
      </c>
      <c r="E488" s="423"/>
      <c r="F488" s="424">
        <v>20</v>
      </c>
      <c r="G488" s="425">
        <f>2.4*0.125</f>
        <v>0.3</v>
      </c>
      <c r="H488" s="663">
        <f t="shared" si="148"/>
        <v>7.2240000000000002</v>
      </c>
      <c r="I488" s="420">
        <v>294.31</v>
      </c>
      <c r="J488" s="420">
        <f t="shared" si="149"/>
        <v>301.53399999999999</v>
      </c>
      <c r="K488" s="421">
        <f t="shared" si="137"/>
        <v>358.25</v>
      </c>
      <c r="L488" s="647" t="s">
        <v>18</v>
      </c>
      <c r="M488" s="587"/>
      <c r="N488" s="576">
        <f t="shared" si="144"/>
        <v>0</v>
      </c>
      <c r="O488" s="577">
        <f t="shared" si="150"/>
        <v>0</v>
      </c>
      <c r="P488" s="578">
        <f t="shared" si="151"/>
        <v>0</v>
      </c>
      <c r="Q488" s="765"/>
      <c r="R488" s="650">
        <f t="shared" si="152"/>
        <v>0</v>
      </c>
      <c r="S488" s="587">
        <f t="shared" si="152"/>
        <v>0</v>
      </c>
      <c r="T488" s="577">
        <f t="shared" si="153"/>
        <v>0</v>
      </c>
      <c r="U488" s="578">
        <f t="shared" si="154"/>
        <v>0</v>
      </c>
      <c r="V488" s="579"/>
      <c r="W488" s="566"/>
      <c r="X488" s="586" t="str">
        <f t="shared" si="155"/>
        <v/>
      </c>
      <c r="Y488" s="586" t="str">
        <f t="shared" si="156"/>
        <v/>
      </c>
      <c r="Z488" s="586" t="str">
        <f t="shared" si="157"/>
        <v/>
      </c>
    </row>
    <row r="489" spans="1:26" ht="23.25" hidden="1" thickBot="1" x14ac:dyDescent="0.25">
      <c r="A489" s="671">
        <v>97112</v>
      </c>
      <c r="B489" s="644">
        <v>97112</v>
      </c>
      <c r="C489" s="645" t="s">
        <v>670</v>
      </c>
      <c r="D489" s="422" t="s">
        <v>2090</v>
      </c>
      <c r="E489" s="423"/>
      <c r="F489" s="424">
        <v>20</v>
      </c>
      <c r="G489" s="425">
        <f>2.4*0.15</f>
        <v>0.36</v>
      </c>
      <c r="H489" s="663">
        <f t="shared" si="148"/>
        <v>8.6688000000000009</v>
      </c>
      <c r="I489" s="420">
        <v>239.41</v>
      </c>
      <c r="J489" s="420">
        <f t="shared" si="149"/>
        <v>248.0788</v>
      </c>
      <c r="K489" s="421">
        <f t="shared" si="137"/>
        <v>294.74</v>
      </c>
      <c r="L489" s="647" t="s">
        <v>18</v>
      </c>
      <c r="M489" s="587"/>
      <c r="N489" s="576">
        <f t="shared" si="144"/>
        <v>0</v>
      </c>
      <c r="O489" s="577">
        <f t="shared" si="150"/>
        <v>0</v>
      </c>
      <c r="P489" s="578">
        <f t="shared" si="151"/>
        <v>0</v>
      </c>
      <c r="Q489" s="765"/>
      <c r="R489" s="650">
        <f t="shared" si="152"/>
        <v>0</v>
      </c>
      <c r="S489" s="587">
        <f t="shared" si="152"/>
        <v>0</v>
      </c>
      <c r="T489" s="577">
        <f t="shared" si="153"/>
        <v>0</v>
      </c>
      <c r="U489" s="578">
        <f t="shared" si="154"/>
        <v>0</v>
      </c>
      <c r="V489" s="579"/>
      <c r="W489" s="566"/>
      <c r="X489" s="586" t="str">
        <f t="shared" si="155"/>
        <v/>
      </c>
      <c r="Y489" s="586" t="str">
        <f t="shared" si="156"/>
        <v/>
      </c>
      <c r="Z489" s="586" t="str">
        <f t="shared" si="157"/>
        <v/>
      </c>
    </row>
    <row r="490" spans="1:26" ht="23.25" hidden="1" thickBot="1" x14ac:dyDescent="0.25">
      <c r="A490" s="671">
        <v>97112</v>
      </c>
      <c r="B490" s="644">
        <v>97112</v>
      </c>
      <c r="C490" s="645" t="s">
        <v>670</v>
      </c>
      <c r="D490" s="422" t="s">
        <v>2090</v>
      </c>
      <c r="E490" s="423"/>
      <c r="F490" s="424">
        <v>20</v>
      </c>
      <c r="G490" s="425">
        <f>2.4*0.175</f>
        <v>0.42</v>
      </c>
      <c r="H490" s="663">
        <f t="shared" si="148"/>
        <v>10.1136</v>
      </c>
      <c r="I490" s="420">
        <v>239.41</v>
      </c>
      <c r="J490" s="420">
        <f t="shared" si="149"/>
        <v>249.52359999999999</v>
      </c>
      <c r="K490" s="421">
        <f t="shared" si="137"/>
        <v>296.45999999999998</v>
      </c>
      <c r="L490" s="647" t="s">
        <v>18</v>
      </c>
      <c r="M490" s="587"/>
      <c r="N490" s="576">
        <f t="shared" si="144"/>
        <v>0</v>
      </c>
      <c r="O490" s="577">
        <f t="shared" si="150"/>
        <v>0</v>
      </c>
      <c r="P490" s="578">
        <f t="shared" si="151"/>
        <v>0</v>
      </c>
      <c r="Q490" s="765"/>
      <c r="R490" s="650">
        <f t="shared" si="152"/>
        <v>0</v>
      </c>
      <c r="S490" s="587">
        <f t="shared" si="152"/>
        <v>0</v>
      </c>
      <c r="T490" s="577">
        <f t="shared" si="153"/>
        <v>0</v>
      </c>
      <c r="U490" s="578">
        <f t="shared" si="154"/>
        <v>0</v>
      </c>
      <c r="V490" s="579"/>
      <c r="W490" s="566"/>
      <c r="X490" s="586" t="str">
        <f t="shared" si="155"/>
        <v/>
      </c>
      <c r="Y490" s="586" t="str">
        <f t="shared" si="156"/>
        <v/>
      </c>
      <c r="Z490" s="586" t="str">
        <f t="shared" si="157"/>
        <v/>
      </c>
    </row>
    <row r="491" spans="1:26" ht="34.5" hidden="1" thickBot="1" x14ac:dyDescent="0.25">
      <c r="A491" s="671">
        <v>97113</v>
      </c>
      <c r="B491" s="644">
        <v>97113</v>
      </c>
      <c r="C491" s="645" t="s">
        <v>670</v>
      </c>
      <c r="D491" s="422" t="s">
        <v>1889</v>
      </c>
      <c r="E491" s="423"/>
      <c r="F491" s="424"/>
      <c r="G491" s="425"/>
      <c r="H491" s="663">
        <f t="shared" ref="H491:H499" si="158">IF(F491&lt;=30,(0.87*F491+2.18)*G491,((0.87*30+2.18)+0.87*(F491-30))*G491)</f>
        <v>0</v>
      </c>
      <c r="I491" s="420">
        <v>2.65</v>
      </c>
      <c r="J491" s="420">
        <f t="shared" si="149"/>
        <v>2.65</v>
      </c>
      <c r="K491" s="421">
        <f t="shared" si="137"/>
        <v>3.15</v>
      </c>
      <c r="L491" s="647" t="s">
        <v>18</v>
      </c>
      <c r="M491" s="587"/>
      <c r="N491" s="576">
        <f t="shared" si="144"/>
        <v>0</v>
      </c>
      <c r="O491" s="577">
        <f t="shared" si="150"/>
        <v>0</v>
      </c>
      <c r="P491" s="578">
        <f t="shared" si="151"/>
        <v>0</v>
      </c>
      <c r="Q491" s="765"/>
      <c r="R491" s="650">
        <f t="shared" si="152"/>
        <v>0</v>
      </c>
      <c r="S491" s="587">
        <f t="shared" si="152"/>
        <v>0</v>
      </c>
      <c r="T491" s="577">
        <f t="shared" si="153"/>
        <v>0</v>
      </c>
      <c r="U491" s="578">
        <f t="shared" si="154"/>
        <v>0</v>
      </c>
      <c r="V491" s="579"/>
      <c r="W491" s="566"/>
      <c r="X491" s="586" t="str">
        <f t="shared" si="155"/>
        <v/>
      </c>
      <c r="Y491" s="586" t="str">
        <f t="shared" si="156"/>
        <v/>
      </c>
      <c r="Z491" s="586" t="str">
        <f t="shared" si="157"/>
        <v/>
      </c>
    </row>
    <row r="492" spans="1:26" ht="12" hidden="1" thickBot="1" x14ac:dyDescent="0.25">
      <c r="A492" s="671">
        <v>97114</v>
      </c>
      <c r="B492" s="644">
        <v>97114</v>
      </c>
      <c r="C492" s="645" t="s">
        <v>670</v>
      </c>
      <c r="D492" s="422" t="s">
        <v>1890</v>
      </c>
      <c r="E492" s="423"/>
      <c r="F492" s="424"/>
      <c r="G492" s="425"/>
      <c r="H492" s="663">
        <f t="shared" si="158"/>
        <v>0</v>
      </c>
      <c r="I492" s="420">
        <v>0.39</v>
      </c>
      <c r="J492" s="420">
        <f t="shared" si="149"/>
        <v>0.39</v>
      </c>
      <c r="K492" s="421">
        <f t="shared" si="137"/>
        <v>0.46</v>
      </c>
      <c r="L492" s="647" t="s">
        <v>19</v>
      </c>
      <c r="M492" s="587"/>
      <c r="N492" s="576">
        <f t="shared" si="144"/>
        <v>0</v>
      </c>
      <c r="O492" s="577">
        <f t="shared" si="150"/>
        <v>0</v>
      </c>
      <c r="P492" s="578">
        <f t="shared" si="151"/>
        <v>0</v>
      </c>
      <c r="Q492" s="765"/>
      <c r="R492" s="650">
        <f t="shared" si="152"/>
        <v>0</v>
      </c>
      <c r="S492" s="587">
        <f t="shared" si="152"/>
        <v>0</v>
      </c>
      <c r="T492" s="577">
        <f t="shared" si="153"/>
        <v>0</v>
      </c>
      <c r="U492" s="578">
        <f t="shared" si="154"/>
        <v>0</v>
      </c>
      <c r="V492" s="579"/>
      <c r="W492" s="566"/>
      <c r="X492" s="586" t="str">
        <f t="shared" si="155"/>
        <v/>
      </c>
      <c r="Y492" s="586" t="str">
        <f t="shared" si="156"/>
        <v/>
      </c>
      <c r="Z492" s="586" t="str">
        <f t="shared" si="157"/>
        <v/>
      </c>
    </row>
    <row r="493" spans="1:26" ht="23.25" hidden="1" thickBot="1" x14ac:dyDescent="0.25">
      <c r="A493" s="671">
        <v>97115</v>
      </c>
      <c r="B493" s="644">
        <v>97115</v>
      </c>
      <c r="C493" s="645" t="s">
        <v>670</v>
      </c>
      <c r="D493" s="422" t="s">
        <v>1891</v>
      </c>
      <c r="E493" s="423"/>
      <c r="F493" s="424"/>
      <c r="G493" s="425"/>
      <c r="H493" s="663">
        <f t="shared" si="158"/>
        <v>0</v>
      </c>
      <c r="I493" s="420">
        <v>50.55</v>
      </c>
      <c r="J493" s="420">
        <f t="shared" si="149"/>
        <v>50.55</v>
      </c>
      <c r="K493" s="421">
        <f t="shared" si="137"/>
        <v>60.06</v>
      </c>
      <c r="L493" s="647" t="s">
        <v>23</v>
      </c>
      <c r="M493" s="587"/>
      <c r="N493" s="576">
        <f t="shared" si="144"/>
        <v>0</v>
      </c>
      <c r="O493" s="577">
        <f t="shared" si="150"/>
        <v>0</v>
      </c>
      <c r="P493" s="578">
        <f t="shared" si="151"/>
        <v>0</v>
      </c>
      <c r="Q493" s="765"/>
      <c r="R493" s="650">
        <f t="shared" si="152"/>
        <v>0</v>
      </c>
      <c r="S493" s="587">
        <f t="shared" si="152"/>
        <v>0</v>
      </c>
      <c r="T493" s="577">
        <f t="shared" si="153"/>
        <v>0</v>
      </c>
      <c r="U493" s="578">
        <f t="shared" si="154"/>
        <v>0</v>
      </c>
      <c r="V493" s="579"/>
      <c r="W493" s="566"/>
      <c r="X493" s="586" t="str">
        <f t="shared" si="155"/>
        <v/>
      </c>
      <c r="Y493" s="586" t="str">
        <f t="shared" si="156"/>
        <v/>
      </c>
      <c r="Z493" s="586" t="str">
        <f t="shared" si="157"/>
        <v/>
      </c>
    </row>
    <row r="494" spans="1:26" ht="23.25" hidden="1" thickBot="1" x14ac:dyDescent="0.25">
      <c r="A494" s="671">
        <v>97116</v>
      </c>
      <c r="B494" s="644">
        <v>97116</v>
      </c>
      <c r="C494" s="645" t="s">
        <v>670</v>
      </c>
      <c r="D494" s="422" t="s">
        <v>1892</v>
      </c>
      <c r="E494" s="423"/>
      <c r="F494" s="424"/>
      <c r="G494" s="425"/>
      <c r="H494" s="663">
        <f t="shared" si="158"/>
        <v>0</v>
      </c>
      <c r="I494" s="420">
        <v>26.8</v>
      </c>
      <c r="J494" s="420">
        <f t="shared" si="149"/>
        <v>26.8</v>
      </c>
      <c r="K494" s="421">
        <f t="shared" si="137"/>
        <v>31.84</v>
      </c>
      <c r="L494" s="647" t="s">
        <v>23</v>
      </c>
      <c r="M494" s="587"/>
      <c r="N494" s="576">
        <f t="shared" si="144"/>
        <v>0</v>
      </c>
      <c r="O494" s="577">
        <f t="shared" si="150"/>
        <v>0</v>
      </c>
      <c r="P494" s="578">
        <f t="shared" si="151"/>
        <v>0</v>
      </c>
      <c r="Q494" s="765"/>
      <c r="R494" s="650">
        <f t="shared" si="152"/>
        <v>0</v>
      </c>
      <c r="S494" s="587">
        <f t="shared" si="152"/>
        <v>0</v>
      </c>
      <c r="T494" s="577">
        <f t="shared" si="153"/>
        <v>0</v>
      </c>
      <c r="U494" s="578">
        <f t="shared" si="154"/>
        <v>0</v>
      </c>
      <c r="V494" s="579"/>
      <c r="W494" s="566"/>
      <c r="X494" s="586" t="str">
        <f t="shared" si="155"/>
        <v/>
      </c>
      <c r="Y494" s="586" t="str">
        <f t="shared" si="156"/>
        <v/>
      </c>
      <c r="Z494" s="586" t="str">
        <f t="shared" si="157"/>
        <v/>
      </c>
    </row>
    <row r="495" spans="1:26" ht="23.25" hidden="1" thickBot="1" x14ac:dyDescent="0.25">
      <c r="A495" s="671">
        <v>97117</v>
      </c>
      <c r="B495" s="644">
        <v>97117</v>
      </c>
      <c r="C495" s="645" t="s">
        <v>670</v>
      </c>
      <c r="D495" s="422" t="s">
        <v>1893</v>
      </c>
      <c r="E495" s="423"/>
      <c r="F495" s="424"/>
      <c r="G495" s="425"/>
      <c r="H495" s="663">
        <f t="shared" si="158"/>
        <v>0</v>
      </c>
      <c r="I495" s="420">
        <v>23.38</v>
      </c>
      <c r="J495" s="420">
        <f t="shared" si="149"/>
        <v>23.38</v>
      </c>
      <c r="K495" s="421">
        <f t="shared" si="137"/>
        <v>27.78</v>
      </c>
      <c r="L495" s="647" t="s">
        <v>23</v>
      </c>
      <c r="M495" s="587"/>
      <c r="N495" s="576">
        <f t="shared" si="144"/>
        <v>0</v>
      </c>
      <c r="O495" s="577">
        <f t="shared" si="150"/>
        <v>0</v>
      </c>
      <c r="P495" s="578">
        <f t="shared" si="151"/>
        <v>0</v>
      </c>
      <c r="Q495" s="765"/>
      <c r="R495" s="650">
        <f t="shared" si="152"/>
        <v>0</v>
      </c>
      <c r="S495" s="587">
        <f t="shared" si="152"/>
        <v>0</v>
      </c>
      <c r="T495" s="577">
        <f t="shared" si="153"/>
        <v>0</v>
      </c>
      <c r="U495" s="578">
        <f t="shared" si="154"/>
        <v>0</v>
      </c>
      <c r="V495" s="579"/>
      <c r="W495" s="566"/>
      <c r="X495" s="586" t="str">
        <f t="shared" si="155"/>
        <v/>
      </c>
      <c r="Y495" s="586" t="str">
        <f t="shared" si="156"/>
        <v/>
      </c>
      <c r="Z495" s="586" t="str">
        <f t="shared" si="157"/>
        <v/>
      </c>
    </row>
    <row r="496" spans="1:26" ht="23.25" hidden="1" thickBot="1" x14ac:dyDescent="0.25">
      <c r="A496" s="671">
        <v>97118</v>
      </c>
      <c r="B496" s="644">
        <v>97118</v>
      </c>
      <c r="C496" s="645" t="s">
        <v>670</v>
      </c>
      <c r="D496" s="422" t="s">
        <v>1894</v>
      </c>
      <c r="E496" s="423"/>
      <c r="F496" s="424"/>
      <c r="G496" s="425"/>
      <c r="H496" s="663">
        <f t="shared" si="158"/>
        <v>0</v>
      </c>
      <c r="I496" s="420">
        <v>19.36</v>
      </c>
      <c r="J496" s="420">
        <f t="shared" si="149"/>
        <v>19.36</v>
      </c>
      <c r="K496" s="421">
        <f t="shared" si="137"/>
        <v>23</v>
      </c>
      <c r="L496" s="647" t="s">
        <v>23</v>
      </c>
      <c r="M496" s="587"/>
      <c r="N496" s="576">
        <f t="shared" si="144"/>
        <v>0</v>
      </c>
      <c r="O496" s="577">
        <f t="shared" si="150"/>
        <v>0</v>
      </c>
      <c r="P496" s="578">
        <f t="shared" si="151"/>
        <v>0</v>
      </c>
      <c r="Q496" s="765"/>
      <c r="R496" s="650">
        <f t="shared" si="152"/>
        <v>0</v>
      </c>
      <c r="S496" s="587">
        <f t="shared" si="152"/>
        <v>0</v>
      </c>
      <c r="T496" s="577">
        <f t="shared" si="153"/>
        <v>0</v>
      </c>
      <c r="U496" s="578">
        <f t="shared" si="154"/>
        <v>0</v>
      </c>
      <c r="V496" s="579"/>
      <c r="W496" s="566"/>
      <c r="X496" s="586" t="str">
        <f t="shared" si="155"/>
        <v/>
      </c>
      <c r="Y496" s="586" t="str">
        <f t="shared" si="156"/>
        <v/>
      </c>
      <c r="Z496" s="586" t="str">
        <f t="shared" si="157"/>
        <v/>
      </c>
    </row>
    <row r="497" spans="1:26" ht="23.25" hidden="1" thickBot="1" x14ac:dyDescent="0.25">
      <c r="A497" s="671">
        <v>97119</v>
      </c>
      <c r="B497" s="644">
        <v>97119</v>
      </c>
      <c r="C497" s="645" t="s">
        <v>670</v>
      </c>
      <c r="D497" s="422" t="s">
        <v>1895</v>
      </c>
      <c r="E497" s="423"/>
      <c r="F497" s="424"/>
      <c r="G497" s="425"/>
      <c r="H497" s="663">
        <f t="shared" si="158"/>
        <v>0</v>
      </c>
      <c r="I497" s="420">
        <v>17.440000000000001</v>
      </c>
      <c r="J497" s="420">
        <f t="shared" si="149"/>
        <v>17.440000000000001</v>
      </c>
      <c r="K497" s="421">
        <f t="shared" si="137"/>
        <v>20.72</v>
      </c>
      <c r="L497" s="647" t="s">
        <v>23</v>
      </c>
      <c r="M497" s="587"/>
      <c r="N497" s="576">
        <f t="shared" si="144"/>
        <v>0</v>
      </c>
      <c r="O497" s="577">
        <f t="shared" si="150"/>
        <v>0</v>
      </c>
      <c r="P497" s="578">
        <f t="shared" si="151"/>
        <v>0</v>
      </c>
      <c r="Q497" s="765"/>
      <c r="R497" s="650">
        <f t="shared" si="152"/>
        <v>0</v>
      </c>
      <c r="S497" s="587">
        <f t="shared" si="152"/>
        <v>0</v>
      </c>
      <c r="T497" s="577">
        <f t="shared" si="153"/>
        <v>0</v>
      </c>
      <c r="U497" s="578">
        <f t="shared" si="154"/>
        <v>0</v>
      </c>
      <c r="V497" s="579"/>
      <c r="W497" s="566"/>
      <c r="X497" s="586" t="str">
        <f t="shared" si="155"/>
        <v/>
      </c>
      <c r="Y497" s="586" t="str">
        <f t="shared" si="156"/>
        <v/>
      </c>
      <c r="Z497" s="586" t="str">
        <f t="shared" si="157"/>
        <v/>
      </c>
    </row>
    <row r="498" spans="1:26" ht="23.25" hidden="1" thickBot="1" x14ac:dyDescent="0.25">
      <c r="A498" s="671">
        <v>97120</v>
      </c>
      <c r="B498" s="644">
        <v>97120</v>
      </c>
      <c r="C498" s="645" t="s">
        <v>670</v>
      </c>
      <c r="D498" s="422" t="s">
        <v>1896</v>
      </c>
      <c r="E498" s="423"/>
      <c r="F498" s="424"/>
      <c r="G498" s="425"/>
      <c r="H498" s="663">
        <f t="shared" si="158"/>
        <v>0</v>
      </c>
      <c r="I498" s="420">
        <v>11.08</v>
      </c>
      <c r="J498" s="420">
        <f t="shared" si="149"/>
        <v>11.08</v>
      </c>
      <c r="K498" s="421">
        <f t="shared" si="137"/>
        <v>13.16</v>
      </c>
      <c r="L498" s="647" t="s">
        <v>23</v>
      </c>
      <c r="M498" s="587"/>
      <c r="N498" s="576">
        <f t="shared" si="144"/>
        <v>0</v>
      </c>
      <c r="O498" s="577">
        <f t="shared" si="150"/>
        <v>0</v>
      </c>
      <c r="P498" s="578">
        <f t="shared" si="151"/>
        <v>0</v>
      </c>
      <c r="Q498" s="765"/>
      <c r="R498" s="650">
        <f t="shared" si="152"/>
        <v>0</v>
      </c>
      <c r="S498" s="587">
        <f t="shared" si="152"/>
        <v>0</v>
      </c>
      <c r="T498" s="577">
        <f t="shared" si="153"/>
        <v>0</v>
      </c>
      <c r="U498" s="578">
        <f t="shared" si="154"/>
        <v>0</v>
      </c>
      <c r="V498" s="579"/>
      <c r="W498" s="566"/>
      <c r="X498" s="586" t="str">
        <f t="shared" si="155"/>
        <v/>
      </c>
      <c r="Y498" s="586" t="str">
        <f t="shared" si="156"/>
        <v/>
      </c>
      <c r="Z498" s="586" t="str">
        <f t="shared" si="157"/>
        <v/>
      </c>
    </row>
    <row r="499" spans="1:26" ht="12" hidden="1" thickBot="1" x14ac:dyDescent="0.25">
      <c r="A499" s="671">
        <v>96395</v>
      </c>
      <c r="B499" s="644">
        <v>96395</v>
      </c>
      <c r="C499" s="645" t="s">
        <v>670</v>
      </c>
      <c r="D499" s="422" t="s">
        <v>1897</v>
      </c>
      <c r="E499" s="423"/>
      <c r="F499" s="424"/>
      <c r="G499" s="425"/>
      <c r="H499" s="651">
        <f t="shared" si="158"/>
        <v>0</v>
      </c>
      <c r="I499" s="420">
        <v>230.49</v>
      </c>
      <c r="J499" s="420">
        <f t="shared" si="149"/>
        <v>230.49</v>
      </c>
      <c r="K499" s="421">
        <f t="shared" si="137"/>
        <v>273.85000000000002</v>
      </c>
      <c r="L499" s="647" t="s">
        <v>16</v>
      </c>
      <c r="M499" s="587"/>
      <c r="N499" s="576">
        <f t="shared" si="144"/>
        <v>0</v>
      </c>
      <c r="O499" s="577">
        <f t="shared" si="150"/>
        <v>0</v>
      </c>
      <c r="P499" s="578">
        <f t="shared" si="151"/>
        <v>0</v>
      </c>
      <c r="Q499" s="765"/>
      <c r="R499" s="650">
        <f t="shared" si="152"/>
        <v>0</v>
      </c>
      <c r="S499" s="587">
        <f t="shared" si="152"/>
        <v>0</v>
      </c>
      <c r="T499" s="577">
        <f t="shared" si="153"/>
        <v>0</v>
      </c>
      <c r="U499" s="578">
        <f t="shared" si="154"/>
        <v>0</v>
      </c>
      <c r="V499" s="579"/>
      <c r="W499" s="566"/>
      <c r="X499" s="586" t="str">
        <f t="shared" si="155"/>
        <v/>
      </c>
      <c r="Y499" s="586" t="str">
        <f t="shared" si="156"/>
        <v/>
      </c>
      <c r="Z499" s="586" t="str">
        <f t="shared" si="157"/>
        <v/>
      </c>
    </row>
    <row r="500" spans="1:26" ht="12" hidden="1" thickBot="1" x14ac:dyDescent="0.25">
      <c r="A500" s="671">
        <v>505000</v>
      </c>
      <c r="B500" s="638">
        <v>505000</v>
      </c>
      <c r="C500" s="639" t="s">
        <v>206</v>
      </c>
      <c r="D500" s="445" t="s">
        <v>265</v>
      </c>
      <c r="E500" s="446"/>
      <c r="F500" s="800">
        <v>20</v>
      </c>
      <c r="G500" s="448">
        <v>2.4</v>
      </c>
      <c r="H500" s="663">
        <f t="shared" ref="H500:H501" si="159">IF(F500&lt;=30,(1.07*F500+2.68)*G500,((1.07*30+2.68)+1.07*(F500-30))*G500)</f>
        <v>57.792000000000002</v>
      </c>
      <c r="I500" s="414">
        <v>225.74</v>
      </c>
      <c r="J500" s="414">
        <f>IF(ISBLANK(I500),"",SUM(H500:I500))</f>
        <v>283.53200000000004</v>
      </c>
      <c r="K500" s="415">
        <f t="shared" si="137"/>
        <v>336.86</v>
      </c>
      <c r="L500" s="641" t="s">
        <v>16</v>
      </c>
      <c r="M500" s="576"/>
      <c r="N500" s="576">
        <f t="shared" si="144"/>
        <v>0</v>
      </c>
      <c r="O500" s="642">
        <f t="shared" si="132"/>
        <v>0</v>
      </c>
      <c r="P500" s="659">
        <f t="shared" si="133"/>
        <v>0</v>
      </c>
      <c r="Q500" s="765"/>
      <c r="R500" s="576">
        <f>M500</f>
        <v>0</v>
      </c>
      <c r="S500" s="576">
        <f>N500</f>
        <v>0</v>
      </c>
      <c r="T500" s="642">
        <f t="shared" si="130"/>
        <v>0</v>
      </c>
      <c r="U500" s="659">
        <f t="shared" si="131"/>
        <v>0</v>
      </c>
      <c r="V500" s="579"/>
      <c r="W500" s="566"/>
      <c r="X500" s="586" t="str">
        <f t="shared" si="155"/>
        <v/>
      </c>
      <c r="Y500" s="586" t="str">
        <f t="shared" si="143"/>
        <v/>
      </c>
      <c r="Z500" s="586" t="str">
        <f t="shared" si="147"/>
        <v/>
      </c>
    </row>
    <row r="501" spans="1:26" ht="12" hidden="1" thickBot="1" x14ac:dyDescent="0.25">
      <c r="A501" s="671">
        <v>505100</v>
      </c>
      <c r="B501" s="644">
        <v>505100</v>
      </c>
      <c r="C501" s="645" t="s">
        <v>206</v>
      </c>
      <c r="D501" s="422" t="s">
        <v>266</v>
      </c>
      <c r="E501" s="423"/>
      <c r="F501" s="424">
        <v>20</v>
      </c>
      <c r="G501" s="425">
        <v>2.4</v>
      </c>
      <c r="H501" s="663">
        <f t="shared" si="159"/>
        <v>57.792000000000002</v>
      </c>
      <c r="I501" s="420">
        <v>289.12</v>
      </c>
      <c r="J501" s="420">
        <f>IF(ISBLANK(I501),"",SUM(H501:I501))</f>
        <v>346.91200000000003</v>
      </c>
      <c r="K501" s="421">
        <f t="shared" si="137"/>
        <v>412.17</v>
      </c>
      <c r="L501" s="647" t="s">
        <v>16</v>
      </c>
      <c r="M501" s="587"/>
      <c r="N501" s="576">
        <f t="shared" si="144"/>
        <v>0</v>
      </c>
      <c r="O501" s="577">
        <f t="shared" si="132"/>
        <v>0</v>
      </c>
      <c r="P501" s="578">
        <f t="shared" si="133"/>
        <v>0</v>
      </c>
      <c r="Q501" s="765"/>
      <c r="R501" s="650">
        <f>M501</f>
        <v>0</v>
      </c>
      <c r="S501" s="587">
        <f>N501</f>
        <v>0</v>
      </c>
      <c r="T501" s="577">
        <f t="shared" si="130"/>
        <v>0</v>
      </c>
      <c r="U501" s="578">
        <f t="shared" si="131"/>
        <v>0</v>
      </c>
      <c r="V501" s="579"/>
      <c r="W501" s="566"/>
      <c r="X501" s="586" t="str">
        <f t="shared" si="155"/>
        <v/>
      </c>
      <c r="Y501" s="586" t="str">
        <f t="shared" si="143"/>
        <v/>
      </c>
      <c r="Z501" s="586" t="str">
        <f t="shared" si="147"/>
        <v/>
      </c>
    </row>
    <row r="502" spans="1:26" ht="12" hidden="1" thickBot="1" x14ac:dyDescent="0.25">
      <c r="A502" s="671" t="s">
        <v>187</v>
      </c>
      <c r="B502" s="653" t="s">
        <v>187</v>
      </c>
      <c r="C502" s="654"/>
      <c r="D502" s="427" t="s">
        <v>226</v>
      </c>
      <c r="E502" s="491"/>
      <c r="F502" s="655"/>
      <c r="G502" s="656"/>
      <c r="H502" s="657"/>
      <c r="I502" s="429"/>
      <c r="J502" s="429"/>
      <c r="K502" s="429"/>
      <c r="L502" s="429" t="s">
        <v>614</v>
      </c>
      <c r="M502" s="657"/>
      <c r="N502" s="576">
        <f t="shared" si="144"/>
        <v>0</v>
      </c>
      <c r="O502" s="429">
        <f t="shared" si="132"/>
        <v>0</v>
      </c>
      <c r="P502" s="658">
        <f t="shared" si="133"/>
        <v>0</v>
      </c>
      <c r="Q502" s="765"/>
      <c r="R502" s="657"/>
      <c r="S502" s="429"/>
      <c r="T502" s="429">
        <f t="shared" si="130"/>
        <v>0</v>
      </c>
      <c r="U502" s="658">
        <f t="shared" si="131"/>
        <v>0</v>
      </c>
      <c r="V502" s="579"/>
      <c r="W502" s="637" t="str">
        <f>IF(OR(SUM(P503:P527)&gt;0,SUM(U503:U527)&gt;0),"y","")</f>
        <v/>
      </c>
      <c r="X502" s="586" t="str">
        <f t="shared" si="155"/>
        <v/>
      </c>
      <c r="Y502" s="586" t="str">
        <f t="shared" si="143"/>
        <v/>
      </c>
      <c r="Z502" s="586" t="str">
        <f t="shared" si="147"/>
        <v/>
      </c>
    </row>
    <row r="503" spans="1:26" ht="12" hidden="1" thickBot="1" x14ac:dyDescent="0.25">
      <c r="A503" s="671" t="s">
        <v>187</v>
      </c>
      <c r="B503" s="572" t="s">
        <v>187</v>
      </c>
      <c r="C503" s="573" t="s">
        <v>187</v>
      </c>
      <c r="D503" s="574"/>
      <c r="E503" s="575"/>
      <c r="F503" s="436"/>
      <c r="G503" s="431"/>
      <c r="H503" s="430"/>
      <c r="I503" s="432"/>
      <c r="J503" s="433"/>
      <c r="K503" s="434">
        <f t="shared" ref="K503:K527" si="160">IF(ISBLANK(J503),0,ROUND(J503*(1+$F$10)*(1+$F$11*E503),2))</f>
        <v>0</v>
      </c>
      <c r="L503" s="435" t="s">
        <v>614</v>
      </c>
      <c r="M503" s="587"/>
      <c r="N503" s="576">
        <f t="shared" si="144"/>
        <v>0</v>
      </c>
      <c r="O503" s="577">
        <f t="shared" si="132"/>
        <v>0</v>
      </c>
      <c r="P503" s="578">
        <f t="shared" si="133"/>
        <v>0</v>
      </c>
      <c r="Q503" s="765"/>
      <c r="R503" s="650">
        <f t="shared" ref="R503:S527" si="161">M503</f>
        <v>0</v>
      </c>
      <c r="S503" s="587">
        <f t="shared" si="161"/>
        <v>0</v>
      </c>
      <c r="T503" s="577">
        <f t="shared" si="130"/>
        <v>0</v>
      </c>
      <c r="U503" s="578">
        <f t="shared" si="131"/>
        <v>0</v>
      </c>
      <c r="V503" s="579"/>
      <c r="W503" s="566"/>
      <c r="X503" s="586" t="str">
        <f t="shared" si="155"/>
        <v/>
      </c>
      <c r="Y503" s="586" t="str">
        <f t="shared" si="143"/>
        <v/>
      </c>
      <c r="Z503" s="586" t="str">
        <f t="shared" si="147"/>
        <v/>
      </c>
    </row>
    <row r="504" spans="1:26" ht="12" hidden="1" thickBot="1" x14ac:dyDescent="0.25">
      <c r="A504" s="671" t="s">
        <v>187</v>
      </c>
      <c r="B504" s="572" t="s">
        <v>187</v>
      </c>
      <c r="C504" s="573" t="s">
        <v>187</v>
      </c>
      <c r="D504" s="580"/>
      <c r="E504" s="575"/>
      <c r="F504" s="436"/>
      <c r="G504" s="431"/>
      <c r="H504" s="430"/>
      <c r="I504" s="432"/>
      <c r="J504" s="433"/>
      <c r="K504" s="437">
        <f t="shared" si="160"/>
        <v>0</v>
      </c>
      <c r="L504" s="435" t="s">
        <v>614</v>
      </c>
      <c r="M504" s="576"/>
      <c r="N504" s="576">
        <f t="shared" si="144"/>
        <v>0</v>
      </c>
      <c r="O504" s="577">
        <f t="shared" si="132"/>
        <v>0</v>
      </c>
      <c r="P504" s="578">
        <f t="shared" si="133"/>
        <v>0</v>
      </c>
      <c r="Q504" s="765"/>
      <c r="R504" s="576">
        <f t="shared" si="161"/>
        <v>0</v>
      </c>
      <c r="S504" s="576">
        <f t="shared" si="161"/>
        <v>0</v>
      </c>
      <c r="T504" s="577">
        <f t="shared" si="130"/>
        <v>0</v>
      </c>
      <c r="U504" s="659">
        <f t="shared" si="131"/>
        <v>0</v>
      </c>
      <c r="V504" s="579"/>
      <c r="W504" s="566"/>
      <c r="X504" s="586" t="str">
        <f t="shared" si="155"/>
        <v/>
      </c>
      <c r="Y504" s="586" t="str">
        <f t="shared" si="143"/>
        <v/>
      </c>
      <c r="Z504" s="586" t="str">
        <f t="shared" si="147"/>
        <v/>
      </c>
    </row>
    <row r="505" spans="1:26" ht="12" hidden="1" thickBot="1" x14ac:dyDescent="0.25">
      <c r="A505" s="671" t="s">
        <v>187</v>
      </c>
      <c r="B505" s="572" t="s">
        <v>187</v>
      </c>
      <c r="C505" s="573" t="s">
        <v>187</v>
      </c>
      <c r="D505" s="580"/>
      <c r="E505" s="575"/>
      <c r="F505" s="436"/>
      <c r="G505" s="431"/>
      <c r="H505" s="430"/>
      <c r="I505" s="432"/>
      <c r="J505" s="433"/>
      <c r="K505" s="437">
        <f t="shared" si="160"/>
        <v>0</v>
      </c>
      <c r="L505" s="435" t="s">
        <v>614</v>
      </c>
      <c r="M505" s="576"/>
      <c r="N505" s="576">
        <f t="shared" si="144"/>
        <v>0</v>
      </c>
      <c r="O505" s="577">
        <f t="shared" si="132"/>
        <v>0</v>
      </c>
      <c r="P505" s="578">
        <f t="shared" si="133"/>
        <v>0</v>
      </c>
      <c r="Q505" s="765"/>
      <c r="R505" s="576">
        <f t="shared" si="161"/>
        <v>0</v>
      </c>
      <c r="S505" s="576">
        <f t="shared" si="161"/>
        <v>0</v>
      </c>
      <c r="T505" s="577">
        <f t="shared" si="130"/>
        <v>0</v>
      </c>
      <c r="U505" s="578">
        <f t="shared" si="131"/>
        <v>0</v>
      </c>
      <c r="V505" s="579"/>
      <c r="W505" s="566"/>
      <c r="X505" s="586" t="str">
        <f t="shared" si="155"/>
        <v/>
      </c>
      <c r="Y505" s="586" t="str">
        <f t="shared" si="143"/>
        <v/>
      </c>
      <c r="Z505" s="586" t="str">
        <f t="shared" si="147"/>
        <v/>
      </c>
    </row>
    <row r="506" spans="1:26" ht="12" hidden="1" thickBot="1" x14ac:dyDescent="0.25">
      <c r="A506" s="671" t="s">
        <v>187</v>
      </c>
      <c r="B506" s="572" t="s">
        <v>187</v>
      </c>
      <c r="C506" s="573" t="s">
        <v>187</v>
      </c>
      <c r="D506" s="580"/>
      <c r="E506" s="575"/>
      <c r="F506" s="436"/>
      <c r="G506" s="431"/>
      <c r="H506" s="430"/>
      <c r="I506" s="432"/>
      <c r="J506" s="433"/>
      <c r="K506" s="437">
        <f t="shared" si="160"/>
        <v>0</v>
      </c>
      <c r="L506" s="435" t="s">
        <v>614</v>
      </c>
      <c r="M506" s="576"/>
      <c r="N506" s="576">
        <f t="shared" si="144"/>
        <v>0</v>
      </c>
      <c r="O506" s="577">
        <f t="shared" si="132"/>
        <v>0</v>
      </c>
      <c r="P506" s="578">
        <f t="shared" si="133"/>
        <v>0</v>
      </c>
      <c r="Q506" s="765"/>
      <c r="R506" s="576">
        <f t="shared" si="161"/>
        <v>0</v>
      </c>
      <c r="S506" s="576">
        <f t="shared" si="161"/>
        <v>0</v>
      </c>
      <c r="T506" s="577">
        <f t="shared" si="130"/>
        <v>0</v>
      </c>
      <c r="U506" s="578">
        <f t="shared" si="131"/>
        <v>0</v>
      </c>
      <c r="V506" s="579"/>
      <c r="W506" s="566"/>
      <c r="X506" s="586" t="str">
        <f t="shared" si="155"/>
        <v/>
      </c>
      <c r="Y506" s="586" t="str">
        <f t="shared" si="143"/>
        <v/>
      </c>
      <c r="Z506" s="586" t="str">
        <f t="shared" si="147"/>
        <v/>
      </c>
    </row>
    <row r="507" spans="1:26" ht="12" hidden="1" thickBot="1" x14ac:dyDescent="0.25">
      <c r="A507" s="671" t="s">
        <v>187</v>
      </c>
      <c r="B507" s="572" t="s">
        <v>187</v>
      </c>
      <c r="C507" s="573" t="s">
        <v>187</v>
      </c>
      <c r="D507" s="580"/>
      <c r="E507" s="575"/>
      <c r="F507" s="436"/>
      <c r="G507" s="431"/>
      <c r="H507" s="430"/>
      <c r="I507" s="432"/>
      <c r="J507" s="433"/>
      <c r="K507" s="437">
        <f t="shared" si="160"/>
        <v>0</v>
      </c>
      <c r="L507" s="435" t="s">
        <v>614</v>
      </c>
      <c r="M507" s="576"/>
      <c r="N507" s="576">
        <f t="shared" si="144"/>
        <v>0</v>
      </c>
      <c r="O507" s="577">
        <f t="shared" si="132"/>
        <v>0</v>
      </c>
      <c r="P507" s="578">
        <f t="shared" si="133"/>
        <v>0</v>
      </c>
      <c r="Q507" s="765"/>
      <c r="R507" s="576">
        <f t="shared" si="161"/>
        <v>0</v>
      </c>
      <c r="S507" s="576">
        <f t="shared" si="161"/>
        <v>0</v>
      </c>
      <c r="T507" s="577">
        <f t="shared" si="130"/>
        <v>0</v>
      </c>
      <c r="U507" s="578">
        <f t="shared" si="131"/>
        <v>0</v>
      </c>
      <c r="V507" s="579"/>
      <c r="W507" s="566"/>
      <c r="X507" s="586" t="str">
        <f t="shared" si="155"/>
        <v/>
      </c>
      <c r="Y507" s="586" t="str">
        <f t="shared" si="143"/>
        <v/>
      </c>
      <c r="Z507" s="586" t="str">
        <f t="shared" si="147"/>
        <v/>
      </c>
    </row>
    <row r="508" spans="1:26" ht="12" hidden="1" thickBot="1" x14ac:dyDescent="0.25">
      <c r="A508" s="671" t="s">
        <v>187</v>
      </c>
      <c r="B508" s="572" t="s">
        <v>187</v>
      </c>
      <c r="C508" s="573" t="s">
        <v>187</v>
      </c>
      <c r="D508" s="580"/>
      <c r="E508" s="575"/>
      <c r="F508" s="436"/>
      <c r="G508" s="431"/>
      <c r="H508" s="430"/>
      <c r="I508" s="432"/>
      <c r="J508" s="433"/>
      <c r="K508" s="437">
        <f t="shared" si="160"/>
        <v>0</v>
      </c>
      <c r="L508" s="435" t="s">
        <v>614</v>
      </c>
      <c r="M508" s="576"/>
      <c r="N508" s="576">
        <f t="shared" si="144"/>
        <v>0</v>
      </c>
      <c r="O508" s="577">
        <f t="shared" si="132"/>
        <v>0</v>
      </c>
      <c r="P508" s="578">
        <f t="shared" si="133"/>
        <v>0</v>
      </c>
      <c r="Q508" s="765"/>
      <c r="R508" s="576">
        <f t="shared" si="161"/>
        <v>0</v>
      </c>
      <c r="S508" s="576">
        <f t="shared" si="161"/>
        <v>0</v>
      </c>
      <c r="T508" s="577">
        <f t="shared" si="130"/>
        <v>0</v>
      </c>
      <c r="U508" s="578">
        <f t="shared" si="131"/>
        <v>0</v>
      </c>
      <c r="V508" s="579"/>
      <c r="W508" s="566"/>
      <c r="X508" s="586" t="str">
        <f t="shared" si="155"/>
        <v/>
      </c>
      <c r="Y508" s="586" t="str">
        <f t="shared" si="143"/>
        <v/>
      </c>
      <c r="Z508" s="586" t="str">
        <f t="shared" si="147"/>
        <v/>
      </c>
    </row>
    <row r="509" spans="1:26" ht="12" hidden="1" thickBot="1" x14ac:dyDescent="0.25">
      <c r="A509" s="671" t="s">
        <v>187</v>
      </c>
      <c r="B509" s="572" t="s">
        <v>187</v>
      </c>
      <c r="C509" s="573" t="s">
        <v>187</v>
      </c>
      <c r="D509" s="580"/>
      <c r="E509" s="575"/>
      <c r="F509" s="436"/>
      <c r="G509" s="431"/>
      <c r="H509" s="430"/>
      <c r="I509" s="432"/>
      <c r="J509" s="433"/>
      <c r="K509" s="437">
        <f t="shared" si="160"/>
        <v>0</v>
      </c>
      <c r="L509" s="435" t="s">
        <v>614</v>
      </c>
      <c r="M509" s="576"/>
      <c r="N509" s="576">
        <f t="shared" si="144"/>
        <v>0</v>
      </c>
      <c r="O509" s="577">
        <f t="shared" si="132"/>
        <v>0</v>
      </c>
      <c r="P509" s="578">
        <f t="shared" si="133"/>
        <v>0</v>
      </c>
      <c r="Q509" s="765"/>
      <c r="R509" s="576">
        <f t="shared" si="161"/>
        <v>0</v>
      </c>
      <c r="S509" s="576">
        <f t="shared" si="161"/>
        <v>0</v>
      </c>
      <c r="T509" s="577">
        <f t="shared" si="130"/>
        <v>0</v>
      </c>
      <c r="U509" s="578">
        <f t="shared" si="131"/>
        <v>0</v>
      </c>
      <c r="V509" s="579"/>
      <c r="W509" s="566"/>
      <c r="X509" s="586" t="str">
        <f t="shared" si="155"/>
        <v/>
      </c>
      <c r="Y509" s="586" t="str">
        <f t="shared" si="143"/>
        <v/>
      </c>
      <c r="Z509" s="586" t="str">
        <f t="shared" si="147"/>
        <v/>
      </c>
    </row>
    <row r="510" spans="1:26" ht="12" hidden="1" thickBot="1" x14ac:dyDescent="0.25">
      <c r="A510" s="671" t="s">
        <v>187</v>
      </c>
      <c r="B510" s="572" t="s">
        <v>187</v>
      </c>
      <c r="C510" s="573" t="s">
        <v>187</v>
      </c>
      <c r="D510" s="580"/>
      <c r="E510" s="575"/>
      <c r="F510" s="436"/>
      <c r="G510" s="431"/>
      <c r="H510" s="430"/>
      <c r="I510" s="432"/>
      <c r="J510" s="433"/>
      <c r="K510" s="437">
        <f t="shared" si="160"/>
        <v>0</v>
      </c>
      <c r="L510" s="435" t="s">
        <v>614</v>
      </c>
      <c r="M510" s="576"/>
      <c r="N510" s="576">
        <f t="shared" si="144"/>
        <v>0</v>
      </c>
      <c r="O510" s="577">
        <f t="shared" si="132"/>
        <v>0</v>
      </c>
      <c r="P510" s="578">
        <f t="shared" si="133"/>
        <v>0</v>
      </c>
      <c r="Q510" s="765"/>
      <c r="R510" s="576">
        <f t="shared" si="161"/>
        <v>0</v>
      </c>
      <c r="S510" s="576">
        <f t="shared" si="161"/>
        <v>0</v>
      </c>
      <c r="T510" s="577">
        <f t="shared" si="130"/>
        <v>0</v>
      </c>
      <c r="U510" s="578">
        <f t="shared" si="131"/>
        <v>0</v>
      </c>
      <c r="V510" s="579"/>
      <c r="W510" s="566"/>
      <c r="X510" s="586" t="str">
        <f t="shared" si="155"/>
        <v/>
      </c>
      <c r="Y510" s="586" t="str">
        <f t="shared" si="143"/>
        <v/>
      </c>
      <c r="Z510" s="586" t="str">
        <f t="shared" si="147"/>
        <v/>
      </c>
    </row>
    <row r="511" spans="1:26" ht="12" hidden="1" thickBot="1" x14ac:dyDescent="0.25">
      <c r="A511" s="671" t="s">
        <v>187</v>
      </c>
      <c r="B511" s="572" t="s">
        <v>187</v>
      </c>
      <c r="C511" s="573" t="s">
        <v>187</v>
      </c>
      <c r="D511" s="580"/>
      <c r="E511" s="575"/>
      <c r="F511" s="436"/>
      <c r="G511" s="431"/>
      <c r="H511" s="430"/>
      <c r="I511" s="432"/>
      <c r="J511" s="433"/>
      <c r="K511" s="437">
        <f t="shared" si="160"/>
        <v>0</v>
      </c>
      <c r="L511" s="435" t="s">
        <v>614</v>
      </c>
      <c r="M511" s="576"/>
      <c r="N511" s="576">
        <f t="shared" si="144"/>
        <v>0</v>
      </c>
      <c r="O511" s="577">
        <f t="shared" si="132"/>
        <v>0</v>
      </c>
      <c r="P511" s="578">
        <f t="shared" si="133"/>
        <v>0</v>
      </c>
      <c r="Q511" s="765"/>
      <c r="R511" s="576">
        <f t="shared" si="161"/>
        <v>0</v>
      </c>
      <c r="S511" s="576">
        <f t="shared" si="161"/>
        <v>0</v>
      </c>
      <c r="T511" s="577">
        <f t="shared" si="130"/>
        <v>0</v>
      </c>
      <c r="U511" s="578">
        <f t="shared" si="131"/>
        <v>0</v>
      </c>
      <c r="V511" s="579"/>
      <c r="W511" s="566"/>
      <c r="X511" s="586" t="str">
        <f t="shared" si="155"/>
        <v/>
      </c>
      <c r="Y511" s="586" t="str">
        <f t="shared" si="143"/>
        <v/>
      </c>
      <c r="Z511" s="586" t="str">
        <f t="shared" si="147"/>
        <v/>
      </c>
    </row>
    <row r="512" spans="1:26" ht="12" hidden="1" thickBot="1" x14ac:dyDescent="0.25">
      <c r="A512" s="671" t="s">
        <v>187</v>
      </c>
      <c r="B512" s="572" t="s">
        <v>187</v>
      </c>
      <c r="C512" s="573" t="s">
        <v>187</v>
      </c>
      <c r="D512" s="580"/>
      <c r="E512" s="575"/>
      <c r="F512" s="436"/>
      <c r="G512" s="431"/>
      <c r="H512" s="430"/>
      <c r="I512" s="432"/>
      <c r="J512" s="433"/>
      <c r="K512" s="437">
        <f t="shared" si="160"/>
        <v>0</v>
      </c>
      <c r="L512" s="435" t="s">
        <v>614</v>
      </c>
      <c r="M512" s="576"/>
      <c r="N512" s="576">
        <f t="shared" si="144"/>
        <v>0</v>
      </c>
      <c r="O512" s="577">
        <f t="shared" si="132"/>
        <v>0</v>
      </c>
      <c r="P512" s="578">
        <f t="shared" si="133"/>
        <v>0</v>
      </c>
      <c r="Q512" s="765"/>
      <c r="R512" s="576">
        <f t="shared" si="161"/>
        <v>0</v>
      </c>
      <c r="S512" s="576">
        <f t="shared" si="161"/>
        <v>0</v>
      </c>
      <c r="T512" s="577">
        <f t="shared" si="130"/>
        <v>0</v>
      </c>
      <c r="U512" s="578">
        <f t="shared" si="131"/>
        <v>0</v>
      </c>
      <c r="V512" s="579"/>
      <c r="W512" s="566"/>
      <c r="X512" s="586" t="str">
        <f t="shared" si="155"/>
        <v/>
      </c>
      <c r="Y512" s="586" t="str">
        <f t="shared" si="143"/>
        <v/>
      </c>
      <c r="Z512" s="586" t="str">
        <f t="shared" si="147"/>
        <v/>
      </c>
    </row>
    <row r="513" spans="1:26" ht="12" hidden="1" thickBot="1" x14ac:dyDescent="0.25">
      <c r="A513" s="671" t="s">
        <v>187</v>
      </c>
      <c r="B513" s="572" t="s">
        <v>187</v>
      </c>
      <c r="C513" s="573" t="s">
        <v>187</v>
      </c>
      <c r="D513" s="580"/>
      <c r="E513" s="575"/>
      <c r="F513" s="436"/>
      <c r="G513" s="431"/>
      <c r="H513" s="430"/>
      <c r="I513" s="432"/>
      <c r="J513" s="433"/>
      <c r="K513" s="437">
        <f t="shared" si="160"/>
        <v>0</v>
      </c>
      <c r="L513" s="435" t="s">
        <v>614</v>
      </c>
      <c r="M513" s="576"/>
      <c r="N513" s="576">
        <f t="shared" si="144"/>
        <v>0</v>
      </c>
      <c r="O513" s="577">
        <f t="shared" si="132"/>
        <v>0</v>
      </c>
      <c r="P513" s="578">
        <f t="shared" si="133"/>
        <v>0</v>
      </c>
      <c r="Q513" s="765"/>
      <c r="R513" s="576">
        <f t="shared" si="161"/>
        <v>0</v>
      </c>
      <c r="S513" s="576">
        <f t="shared" si="161"/>
        <v>0</v>
      </c>
      <c r="T513" s="577">
        <f t="shared" si="130"/>
        <v>0</v>
      </c>
      <c r="U513" s="578">
        <f t="shared" si="131"/>
        <v>0</v>
      </c>
      <c r="V513" s="579"/>
      <c r="W513" s="566"/>
      <c r="X513" s="586" t="str">
        <f t="shared" si="155"/>
        <v/>
      </c>
      <c r="Y513" s="586" t="str">
        <f t="shared" si="143"/>
        <v/>
      </c>
      <c r="Z513" s="586" t="str">
        <f t="shared" si="147"/>
        <v/>
      </c>
    </row>
    <row r="514" spans="1:26" ht="12" hidden="1" thickBot="1" x14ac:dyDescent="0.25">
      <c r="A514" s="671" t="s">
        <v>187</v>
      </c>
      <c r="B514" s="572" t="s">
        <v>187</v>
      </c>
      <c r="C514" s="573" t="s">
        <v>187</v>
      </c>
      <c r="D514" s="580"/>
      <c r="E514" s="575"/>
      <c r="F514" s="436"/>
      <c r="G514" s="431"/>
      <c r="H514" s="430"/>
      <c r="I514" s="432"/>
      <c r="J514" s="433"/>
      <c r="K514" s="437">
        <f t="shared" si="160"/>
        <v>0</v>
      </c>
      <c r="L514" s="435" t="s">
        <v>614</v>
      </c>
      <c r="M514" s="576"/>
      <c r="N514" s="576">
        <f t="shared" si="144"/>
        <v>0</v>
      </c>
      <c r="O514" s="577">
        <f t="shared" si="132"/>
        <v>0</v>
      </c>
      <c r="P514" s="578">
        <f t="shared" si="133"/>
        <v>0</v>
      </c>
      <c r="Q514" s="765"/>
      <c r="R514" s="576">
        <f t="shared" si="161"/>
        <v>0</v>
      </c>
      <c r="S514" s="576">
        <f t="shared" si="161"/>
        <v>0</v>
      </c>
      <c r="T514" s="577">
        <f t="shared" si="130"/>
        <v>0</v>
      </c>
      <c r="U514" s="578">
        <f t="shared" si="131"/>
        <v>0</v>
      </c>
      <c r="V514" s="579"/>
      <c r="W514" s="566"/>
      <c r="X514" s="586" t="str">
        <f t="shared" si="155"/>
        <v/>
      </c>
      <c r="Y514" s="586" t="str">
        <f t="shared" si="143"/>
        <v/>
      </c>
      <c r="Z514" s="586" t="str">
        <f t="shared" si="147"/>
        <v/>
      </c>
    </row>
    <row r="515" spans="1:26" ht="12" hidden="1" thickBot="1" x14ac:dyDescent="0.25">
      <c r="A515" s="671" t="s">
        <v>187</v>
      </c>
      <c r="B515" s="572" t="s">
        <v>187</v>
      </c>
      <c r="C515" s="573" t="s">
        <v>187</v>
      </c>
      <c r="D515" s="580"/>
      <c r="E515" s="575"/>
      <c r="F515" s="436"/>
      <c r="G515" s="431"/>
      <c r="H515" s="430"/>
      <c r="I515" s="432"/>
      <c r="J515" s="433"/>
      <c r="K515" s="437">
        <f t="shared" si="160"/>
        <v>0</v>
      </c>
      <c r="L515" s="435" t="s">
        <v>614</v>
      </c>
      <c r="M515" s="576"/>
      <c r="N515" s="576">
        <f t="shared" si="144"/>
        <v>0</v>
      </c>
      <c r="O515" s="577">
        <f t="shared" si="132"/>
        <v>0</v>
      </c>
      <c r="P515" s="578">
        <f t="shared" si="133"/>
        <v>0</v>
      </c>
      <c r="Q515" s="765"/>
      <c r="R515" s="576">
        <f t="shared" si="161"/>
        <v>0</v>
      </c>
      <c r="S515" s="576">
        <f t="shared" si="161"/>
        <v>0</v>
      </c>
      <c r="T515" s="577">
        <f t="shared" si="130"/>
        <v>0</v>
      </c>
      <c r="U515" s="578">
        <f t="shared" si="131"/>
        <v>0</v>
      </c>
      <c r="V515" s="579"/>
      <c r="W515" s="566"/>
      <c r="X515" s="586" t="str">
        <f t="shared" si="155"/>
        <v/>
      </c>
      <c r="Y515" s="586" t="str">
        <f t="shared" si="143"/>
        <v/>
      </c>
      <c r="Z515" s="586" t="str">
        <f t="shared" si="147"/>
        <v/>
      </c>
    </row>
    <row r="516" spans="1:26" ht="12" hidden="1" thickBot="1" x14ac:dyDescent="0.25">
      <c r="A516" s="671" t="s">
        <v>187</v>
      </c>
      <c r="B516" s="572" t="s">
        <v>187</v>
      </c>
      <c r="C516" s="573" t="s">
        <v>187</v>
      </c>
      <c r="D516" s="580"/>
      <c r="E516" s="575"/>
      <c r="F516" s="436"/>
      <c r="G516" s="431"/>
      <c r="H516" s="430"/>
      <c r="I516" s="432"/>
      <c r="J516" s="433"/>
      <c r="K516" s="437">
        <f t="shared" si="160"/>
        <v>0</v>
      </c>
      <c r="L516" s="435" t="s">
        <v>614</v>
      </c>
      <c r="M516" s="576"/>
      <c r="N516" s="576">
        <f t="shared" si="144"/>
        <v>0</v>
      </c>
      <c r="O516" s="577">
        <f t="shared" si="132"/>
        <v>0</v>
      </c>
      <c r="P516" s="578">
        <f t="shared" si="133"/>
        <v>0</v>
      </c>
      <c r="Q516" s="765"/>
      <c r="R516" s="576">
        <f t="shared" si="161"/>
        <v>0</v>
      </c>
      <c r="S516" s="576">
        <f t="shared" si="161"/>
        <v>0</v>
      </c>
      <c r="T516" s="577">
        <f t="shared" si="130"/>
        <v>0</v>
      </c>
      <c r="U516" s="578">
        <f t="shared" si="131"/>
        <v>0</v>
      </c>
      <c r="V516" s="579"/>
      <c r="W516" s="566"/>
      <c r="X516" s="586" t="str">
        <f t="shared" si="155"/>
        <v/>
      </c>
      <c r="Y516" s="586" t="str">
        <f t="shared" si="143"/>
        <v/>
      </c>
      <c r="Z516" s="586" t="str">
        <f t="shared" si="147"/>
        <v/>
      </c>
    </row>
    <row r="517" spans="1:26" ht="12" hidden="1" thickBot="1" x14ac:dyDescent="0.25">
      <c r="A517" s="671" t="s">
        <v>187</v>
      </c>
      <c r="B517" s="572" t="s">
        <v>187</v>
      </c>
      <c r="C517" s="573" t="s">
        <v>187</v>
      </c>
      <c r="D517" s="580"/>
      <c r="E517" s="575"/>
      <c r="F517" s="436"/>
      <c r="G517" s="431"/>
      <c r="H517" s="430"/>
      <c r="I517" s="432"/>
      <c r="J517" s="433"/>
      <c r="K517" s="437">
        <f t="shared" si="160"/>
        <v>0</v>
      </c>
      <c r="L517" s="435" t="s">
        <v>614</v>
      </c>
      <c r="M517" s="576"/>
      <c r="N517" s="576">
        <f t="shared" si="144"/>
        <v>0</v>
      </c>
      <c r="O517" s="577">
        <f t="shared" si="132"/>
        <v>0</v>
      </c>
      <c r="P517" s="578">
        <f t="shared" si="133"/>
        <v>0</v>
      </c>
      <c r="Q517" s="765"/>
      <c r="R517" s="576">
        <f t="shared" si="161"/>
        <v>0</v>
      </c>
      <c r="S517" s="576">
        <f t="shared" si="161"/>
        <v>0</v>
      </c>
      <c r="T517" s="577">
        <f t="shared" si="130"/>
        <v>0</v>
      </c>
      <c r="U517" s="578">
        <f t="shared" si="131"/>
        <v>0</v>
      </c>
      <c r="V517" s="579"/>
      <c r="W517" s="566"/>
      <c r="X517" s="586" t="str">
        <f t="shared" si="155"/>
        <v/>
      </c>
      <c r="Y517" s="586" t="str">
        <f t="shared" si="143"/>
        <v/>
      </c>
      <c r="Z517" s="586" t="str">
        <f t="shared" si="147"/>
        <v/>
      </c>
    </row>
    <row r="518" spans="1:26" ht="12" hidden="1" thickBot="1" x14ac:dyDescent="0.25">
      <c r="A518" s="671" t="s">
        <v>187</v>
      </c>
      <c r="B518" s="572" t="s">
        <v>187</v>
      </c>
      <c r="C518" s="573" t="s">
        <v>187</v>
      </c>
      <c r="D518" s="580"/>
      <c r="E518" s="575"/>
      <c r="F518" s="436"/>
      <c r="G518" s="431"/>
      <c r="H518" s="430"/>
      <c r="I518" s="432"/>
      <c r="J518" s="433"/>
      <c r="K518" s="437">
        <f t="shared" si="160"/>
        <v>0</v>
      </c>
      <c r="L518" s="435" t="s">
        <v>614</v>
      </c>
      <c r="M518" s="576"/>
      <c r="N518" s="576">
        <f t="shared" si="144"/>
        <v>0</v>
      </c>
      <c r="O518" s="577">
        <f t="shared" si="132"/>
        <v>0</v>
      </c>
      <c r="P518" s="578">
        <f t="shared" si="133"/>
        <v>0</v>
      </c>
      <c r="Q518" s="765"/>
      <c r="R518" s="576">
        <f t="shared" si="161"/>
        <v>0</v>
      </c>
      <c r="S518" s="576">
        <f t="shared" si="161"/>
        <v>0</v>
      </c>
      <c r="T518" s="577">
        <f t="shared" si="130"/>
        <v>0</v>
      </c>
      <c r="U518" s="578">
        <f t="shared" si="131"/>
        <v>0</v>
      </c>
      <c r="V518" s="579"/>
      <c r="W518" s="566"/>
      <c r="X518" s="586" t="str">
        <f t="shared" si="155"/>
        <v/>
      </c>
      <c r="Y518" s="586" t="str">
        <f t="shared" si="143"/>
        <v/>
      </c>
      <c r="Z518" s="586" t="str">
        <f t="shared" si="147"/>
        <v/>
      </c>
    </row>
    <row r="519" spans="1:26" ht="12" hidden="1" thickBot="1" x14ac:dyDescent="0.25">
      <c r="A519" s="671" t="s">
        <v>187</v>
      </c>
      <c r="B519" s="572" t="s">
        <v>187</v>
      </c>
      <c r="C519" s="573" t="s">
        <v>187</v>
      </c>
      <c r="D519" s="580"/>
      <c r="E519" s="575"/>
      <c r="F519" s="436"/>
      <c r="G519" s="431"/>
      <c r="H519" s="430"/>
      <c r="I519" s="432"/>
      <c r="J519" s="433"/>
      <c r="K519" s="437">
        <f t="shared" si="160"/>
        <v>0</v>
      </c>
      <c r="L519" s="435" t="s">
        <v>614</v>
      </c>
      <c r="M519" s="576"/>
      <c r="N519" s="576">
        <f t="shared" si="144"/>
        <v>0</v>
      </c>
      <c r="O519" s="577">
        <f t="shared" si="132"/>
        <v>0</v>
      </c>
      <c r="P519" s="578">
        <f t="shared" si="133"/>
        <v>0</v>
      </c>
      <c r="Q519" s="765"/>
      <c r="R519" s="576">
        <f t="shared" si="161"/>
        <v>0</v>
      </c>
      <c r="S519" s="576">
        <f t="shared" si="161"/>
        <v>0</v>
      </c>
      <c r="T519" s="577">
        <f t="shared" si="130"/>
        <v>0</v>
      </c>
      <c r="U519" s="578">
        <f t="shared" si="131"/>
        <v>0</v>
      </c>
      <c r="V519" s="579"/>
      <c r="W519" s="566"/>
      <c r="X519" s="586" t="str">
        <f t="shared" si="155"/>
        <v/>
      </c>
      <c r="Y519" s="586" t="str">
        <f t="shared" si="143"/>
        <v/>
      </c>
      <c r="Z519" s="586" t="str">
        <f t="shared" si="147"/>
        <v/>
      </c>
    </row>
    <row r="520" spans="1:26" ht="12" hidden="1" thickBot="1" x14ac:dyDescent="0.25">
      <c r="A520" s="671" t="s">
        <v>187</v>
      </c>
      <c r="B520" s="572" t="s">
        <v>187</v>
      </c>
      <c r="C520" s="573" t="s">
        <v>187</v>
      </c>
      <c r="D520" s="580"/>
      <c r="E520" s="575"/>
      <c r="F520" s="436"/>
      <c r="G520" s="431"/>
      <c r="H520" s="430"/>
      <c r="I520" s="432"/>
      <c r="J520" s="433"/>
      <c r="K520" s="437">
        <f t="shared" si="160"/>
        <v>0</v>
      </c>
      <c r="L520" s="435" t="s">
        <v>614</v>
      </c>
      <c r="M520" s="576"/>
      <c r="N520" s="576">
        <f t="shared" si="144"/>
        <v>0</v>
      </c>
      <c r="O520" s="577">
        <f t="shared" si="132"/>
        <v>0</v>
      </c>
      <c r="P520" s="578">
        <f t="shared" si="133"/>
        <v>0</v>
      </c>
      <c r="Q520" s="765"/>
      <c r="R520" s="576">
        <f t="shared" si="161"/>
        <v>0</v>
      </c>
      <c r="S520" s="576">
        <f t="shared" si="161"/>
        <v>0</v>
      </c>
      <c r="T520" s="577">
        <f t="shared" si="130"/>
        <v>0</v>
      </c>
      <c r="U520" s="578">
        <f t="shared" si="131"/>
        <v>0</v>
      </c>
      <c r="V520" s="579"/>
      <c r="W520" s="566"/>
      <c r="X520" s="586" t="str">
        <f t="shared" si="155"/>
        <v/>
      </c>
      <c r="Y520" s="586" t="str">
        <f t="shared" si="143"/>
        <v/>
      </c>
      <c r="Z520" s="586" t="str">
        <f t="shared" si="147"/>
        <v/>
      </c>
    </row>
    <row r="521" spans="1:26" ht="12" hidden="1" thickBot="1" x14ac:dyDescent="0.25">
      <c r="A521" s="671" t="s">
        <v>187</v>
      </c>
      <c r="B521" s="572" t="s">
        <v>187</v>
      </c>
      <c r="C521" s="573" t="s">
        <v>187</v>
      </c>
      <c r="D521" s="580"/>
      <c r="E521" s="575"/>
      <c r="F521" s="436"/>
      <c r="G521" s="431"/>
      <c r="H521" s="430"/>
      <c r="I521" s="432"/>
      <c r="J521" s="433"/>
      <c r="K521" s="437">
        <f t="shared" si="160"/>
        <v>0</v>
      </c>
      <c r="L521" s="435" t="s">
        <v>614</v>
      </c>
      <c r="M521" s="576"/>
      <c r="N521" s="576">
        <f t="shared" si="144"/>
        <v>0</v>
      </c>
      <c r="O521" s="577">
        <f t="shared" si="132"/>
        <v>0</v>
      </c>
      <c r="P521" s="578">
        <f t="shared" si="133"/>
        <v>0</v>
      </c>
      <c r="Q521" s="765"/>
      <c r="R521" s="576">
        <f t="shared" si="161"/>
        <v>0</v>
      </c>
      <c r="S521" s="576">
        <f t="shared" si="161"/>
        <v>0</v>
      </c>
      <c r="T521" s="577">
        <f t="shared" si="130"/>
        <v>0</v>
      </c>
      <c r="U521" s="578">
        <f t="shared" si="131"/>
        <v>0</v>
      </c>
      <c r="V521" s="579"/>
      <c r="W521" s="566"/>
      <c r="X521" s="586" t="str">
        <f t="shared" si="155"/>
        <v/>
      </c>
      <c r="Y521" s="586" t="str">
        <f t="shared" si="143"/>
        <v/>
      </c>
      <c r="Z521" s="586" t="str">
        <f t="shared" si="147"/>
        <v/>
      </c>
    </row>
    <row r="522" spans="1:26" ht="12" hidden="1" thickBot="1" x14ac:dyDescent="0.25">
      <c r="A522" s="671" t="s">
        <v>187</v>
      </c>
      <c r="B522" s="572" t="s">
        <v>187</v>
      </c>
      <c r="C522" s="573" t="s">
        <v>187</v>
      </c>
      <c r="D522" s="580"/>
      <c r="E522" s="575"/>
      <c r="F522" s="436"/>
      <c r="G522" s="431"/>
      <c r="H522" s="430"/>
      <c r="I522" s="432"/>
      <c r="J522" s="433"/>
      <c r="K522" s="437">
        <f t="shared" si="160"/>
        <v>0</v>
      </c>
      <c r="L522" s="435" t="s">
        <v>614</v>
      </c>
      <c r="M522" s="576"/>
      <c r="N522" s="576">
        <f t="shared" si="144"/>
        <v>0</v>
      </c>
      <c r="O522" s="577">
        <f t="shared" si="132"/>
        <v>0</v>
      </c>
      <c r="P522" s="578">
        <f t="shared" si="133"/>
        <v>0</v>
      </c>
      <c r="Q522" s="765"/>
      <c r="R522" s="576">
        <f t="shared" si="161"/>
        <v>0</v>
      </c>
      <c r="S522" s="576">
        <f t="shared" si="161"/>
        <v>0</v>
      </c>
      <c r="T522" s="577">
        <f t="shared" si="130"/>
        <v>0</v>
      </c>
      <c r="U522" s="578">
        <f t="shared" si="131"/>
        <v>0</v>
      </c>
      <c r="V522" s="579"/>
      <c r="W522" s="566"/>
      <c r="X522" s="586" t="str">
        <f t="shared" si="155"/>
        <v/>
      </c>
      <c r="Y522" s="586" t="str">
        <f t="shared" si="143"/>
        <v/>
      </c>
      <c r="Z522" s="586" t="str">
        <f t="shared" si="147"/>
        <v/>
      </c>
    </row>
    <row r="523" spans="1:26" ht="12" hidden="1" thickBot="1" x14ac:dyDescent="0.25">
      <c r="A523" s="671" t="s">
        <v>187</v>
      </c>
      <c r="B523" s="572" t="s">
        <v>187</v>
      </c>
      <c r="C523" s="573" t="s">
        <v>187</v>
      </c>
      <c r="D523" s="580"/>
      <c r="E523" s="575"/>
      <c r="F523" s="436"/>
      <c r="G523" s="431"/>
      <c r="H523" s="430"/>
      <c r="I523" s="432"/>
      <c r="J523" s="433"/>
      <c r="K523" s="437">
        <f t="shared" si="160"/>
        <v>0</v>
      </c>
      <c r="L523" s="435" t="s">
        <v>614</v>
      </c>
      <c r="M523" s="576"/>
      <c r="N523" s="576">
        <f t="shared" si="144"/>
        <v>0</v>
      </c>
      <c r="O523" s="577">
        <f t="shared" si="132"/>
        <v>0</v>
      </c>
      <c r="P523" s="578">
        <f t="shared" si="133"/>
        <v>0</v>
      </c>
      <c r="Q523" s="765"/>
      <c r="R523" s="576">
        <f t="shared" si="161"/>
        <v>0</v>
      </c>
      <c r="S523" s="576">
        <f t="shared" si="161"/>
        <v>0</v>
      </c>
      <c r="T523" s="577">
        <f t="shared" si="130"/>
        <v>0</v>
      </c>
      <c r="U523" s="578">
        <f t="shared" si="131"/>
        <v>0</v>
      </c>
      <c r="V523" s="579"/>
      <c r="W523" s="566"/>
      <c r="X523" s="586" t="str">
        <f t="shared" si="155"/>
        <v/>
      </c>
      <c r="Y523" s="586" t="str">
        <f t="shared" si="143"/>
        <v/>
      </c>
      <c r="Z523" s="586" t="str">
        <f t="shared" si="147"/>
        <v/>
      </c>
    </row>
    <row r="524" spans="1:26" ht="12" hidden="1" thickBot="1" x14ac:dyDescent="0.25">
      <c r="A524" s="671" t="s">
        <v>187</v>
      </c>
      <c r="B524" s="572" t="s">
        <v>187</v>
      </c>
      <c r="C524" s="573" t="s">
        <v>187</v>
      </c>
      <c r="D524" s="580"/>
      <c r="E524" s="575"/>
      <c r="F524" s="436"/>
      <c r="G524" s="431"/>
      <c r="H524" s="430"/>
      <c r="I524" s="432"/>
      <c r="J524" s="433"/>
      <c r="K524" s="437">
        <f t="shared" si="160"/>
        <v>0</v>
      </c>
      <c r="L524" s="435" t="s">
        <v>614</v>
      </c>
      <c r="M524" s="576"/>
      <c r="N524" s="576">
        <f t="shared" si="144"/>
        <v>0</v>
      </c>
      <c r="O524" s="577">
        <f t="shared" si="132"/>
        <v>0</v>
      </c>
      <c r="P524" s="578">
        <f t="shared" si="133"/>
        <v>0</v>
      </c>
      <c r="Q524" s="765"/>
      <c r="R524" s="576">
        <f t="shared" si="161"/>
        <v>0</v>
      </c>
      <c r="S524" s="576">
        <f t="shared" si="161"/>
        <v>0</v>
      </c>
      <c r="T524" s="577">
        <f t="shared" si="130"/>
        <v>0</v>
      </c>
      <c r="U524" s="578">
        <f t="shared" si="131"/>
        <v>0</v>
      </c>
      <c r="V524" s="579"/>
      <c r="W524" s="566"/>
      <c r="X524" s="586" t="str">
        <f t="shared" si="155"/>
        <v/>
      </c>
      <c r="Y524" s="586" t="str">
        <f t="shared" si="143"/>
        <v/>
      </c>
      <c r="Z524" s="586" t="str">
        <f t="shared" si="147"/>
        <v/>
      </c>
    </row>
    <row r="525" spans="1:26" ht="12" hidden="1" thickBot="1" x14ac:dyDescent="0.25">
      <c r="A525" s="671" t="s">
        <v>187</v>
      </c>
      <c r="B525" s="572" t="s">
        <v>187</v>
      </c>
      <c r="C525" s="573" t="s">
        <v>187</v>
      </c>
      <c r="D525" s="580"/>
      <c r="E525" s="575"/>
      <c r="F525" s="436"/>
      <c r="G525" s="431"/>
      <c r="H525" s="430"/>
      <c r="I525" s="432"/>
      <c r="J525" s="433"/>
      <c r="K525" s="437">
        <f t="shared" si="160"/>
        <v>0</v>
      </c>
      <c r="L525" s="435" t="s">
        <v>614</v>
      </c>
      <c r="M525" s="576"/>
      <c r="N525" s="576">
        <f t="shared" si="144"/>
        <v>0</v>
      </c>
      <c r="O525" s="577">
        <f t="shared" si="132"/>
        <v>0</v>
      </c>
      <c r="P525" s="578">
        <f t="shared" si="133"/>
        <v>0</v>
      </c>
      <c r="Q525" s="765"/>
      <c r="R525" s="576">
        <f t="shared" si="161"/>
        <v>0</v>
      </c>
      <c r="S525" s="576">
        <f t="shared" si="161"/>
        <v>0</v>
      </c>
      <c r="T525" s="577">
        <f t="shared" si="130"/>
        <v>0</v>
      </c>
      <c r="U525" s="578">
        <f t="shared" si="131"/>
        <v>0</v>
      </c>
      <c r="V525" s="579"/>
      <c r="W525" s="566"/>
      <c r="X525" s="586" t="str">
        <f t="shared" si="155"/>
        <v/>
      </c>
      <c r="Y525" s="586" t="str">
        <f t="shared" si="143"/>
        <v/>
      </c>
      <c r="Z525" s="586" t="str">
        <f t="shared" si="147"/>
        <v/>
      </c>
    </row>
    <row r="526" spans="1:26" ht="12" hidden="1" thickBot="1" x14ac:dyDescent="0.25">
      <c r="A526" s="671" t="s">
        <v>187</v>
      </c>
      <c r="B526" s="572" t="s">
        <v>187</v>
      </c>
      <c r="C526" s="573" t="s">
        <v>187</v>
      </c>
      <c r="D526" s="580"/>
      <c r="E526" s="575"/>
      <c r="F526" s="436"/>
      <c r="G526" s="431"/>
      <c r="H526" s="430"/>
      <c r="I526" s="432"/>
      <c r="J526" s="433"/>
      <c r="K526" s="437">
        <f t="shared" si="160"/>
        <v>0</v>
      </c>
      <c r="L526" s="435" t="s">
        <v>614</v>
      </c>
      <c r="M526" s="576"/>
      <c r="N526" s="576">
        <f t="shared" si="144"/>
        <v>0</v>
      </c>
      <c r="O526" s="577">
        <f t="shared" si="132"/>
        <v>0</v>
      </c>
      <c r="P526" s="578">
        <f t="shared" si="133"/>
        <v>0</v>
      </c>
      <c r="Q526" s="765"/>
      <c r="R526" s="576">
        <f t="shared" si="161"/>
        <v>0</v>
      </c>
      <c r="S526" s="576">
        <f t="shared" si="161"/>
        <v>0</v>
      </c>
      <c r="T526" s="577">
        <f t="shared" si="130"/>
        <v>0</v>
      </c>
      <c r="U526" s="578">
        <f t="shared" si="131"/>
        <v>0</v>
      </c>
      <c r="V526" s="579"/>
      <c r="W526" s="566"/>
      <c r="X526" s="586" t="str">
        <f t="shared" si="155"/>
        <v/>
      </c>
      <c r="Y526" s="586" t="str">
        <f t="shared" si="143"/>
        <v/>
      </c>
      <c r="Z526" s="586" t="str">
        <f t="shared" si="147"/>
        <v/>
      </c>
    </row>
    <row r="527" spans="1:26" ht="12" hidden="1" thickBot="1" x14ac:dyDescent="0.25">
      <c r="A527" s="671" t="s">
        <v>187</v>
      </c>
      <c r="B527" s="581" t="s">
        <v>187</v>
      </c>
      <c r="C527" s="582" t="s">
        <v>187</v>
      </c>
      <c r="D527" s="583"/>
      <c r="E527" s="584"/>
      <c r="F527" s="438"/>
      <c r="G527" s="439"/>
      <c r="H527" s="440"/>
      <c r="I527" s="441"/>
      <c r="J527" s="442"/>
      <c r="K527" s="443">
        <f t="shared" si="160"/>
        <v>0</v>
      </c>
      <c r="L527" s="444" t="s">
        <v>614</v>
      </c>
      <c r="M527" s="576"/>
      <c r="N527" s="576">
        <f t="shared" si="144"/>
        <v>0</v>
      </c>
      <c r="O527" s="585">
        <f t="shared" si="132"/>
        <v>0</v>
      </c>
      <c r="P527" s="660">
        <f t="shared" si="133"/>
        <v>0</v>
      </c>
      <c r="Q527" s="765"/>
      <c r="R527" s="576">
        <f t="shared" si="161"/>
        <v>0</v>
      </c>
      <c r="S527" s="576">
        <f t="shared" si="161"/>
        <v>0</v>
      </c>
      <c r="T527" s="585">
        <f t="shared" si="130"/>
        <v>0</v>
      </c>
      <c r="U527" s="660">
        <f t="shared" si="131"/>
        <v>0</v>
      </c>
      <c r="V527" s="579"/>
      <c r="W527" s="566"/>
      <c r="X527" s="586" t="str">
        <f t="shared" si="155"/>
        <v/>
      </c>
      <c r="Y527" s="586" t="str">
        <f t="shared" si="143"/>
        <v/>
      </c>
      <c r="Z527" s="586" t="str">
        <f t="shared" si="147"/>
        <v/>
      </c>
    </row>
    <row r="528" spans="1:26" ht="12" hidden="1" thickBot="1" x14ac:dyDescent="0.25">
      <c r="A528" s="671" t="s">
        <v>188</v>
      </c>
      <c r="B528" s="664" t="s">
        <v>188</v>
      </c>
      <c r="C528" s="665"/>
      <c r="D528" s="666" t="s">
        <v>461</v>
      </c>
      <c r="E528" s="631"/>
      <c r="F528" s="632"/>
      <c r="G528" s="633"/>
      <c r="H528" s="634"/>
      <c r="I528" s="409"/>
      <c r="J528" s="409"/>
      <c r="K528" s="409"/>
      <c r="L528" s="409" t="s">
        <v>614</v>
      </c>
      <c r="M528" s="634"/>
      <c r="N528" s="797"/>
      <c r="O528" s="409">
        <f t="shared" si="132"/>
        <v>0</v>
      </c>
      <c r="P528" s="635">
        <f t="shared" si="133"/>
        <v>0</v>
      </c>
      <c r="Q528" s="635">
        <f>SUM(P529:P582)</f>
        <v>0</v>
      </c>
      <c r="R528" s="634"/>
      <c r="S528" s="409"/>
      <c r="T528" s="409">
        <f t="shared" si="130"/>
        <v>0</v>
      </c>
      <c r="U528" s="635">
        <f t="shared" si="131"/>
        <v>0</v>
      </c>
      <c r="V528" s="636">
        <f>SUM(U529:U582)</f>
        <v>0</v>
      </c>
      <c r="W528" s="637" t="str">
        <f>IF(OR(Q528&gt;0,V528&gt;0),"X","")</f>
        <v/>
      </c>
      <c r="X528" s="586" t="str">
        <f t="shared" si="155"/>
        <v/>
      </c>
      <c r="Y528" s="586" t="str">
        <f t="shared" si="143"/>
        <v/>
      </c>
      <c r="Z528" s="586" t="str">
        <f t="shared" si="147"/>
        <v/>
      </c>
    </row>
    <row r="529" spans="1:26" ht="12" hidden="1" thickBot="1" x14ac:dyDescent="0.25">
      <c r="A529" s="567" t="s">
        <v>816</v>
      </c>
      <c r="B529" s="454" t="s">
        <v>816</v>
      </c>
      <c r="C529" s="645" t="s">
        <v>484</v>
      </c>
      <c r="D529" s="422" t="s">
        <v>817</v>
      </c>
      <c r="E529" s="423"/>
      <c r="F529" s="424"/>
      <c r="G529" s="425"/>
      <c r="H529" s="651"/>
      <c r="I529" s="420">
        <v>12.4</v>
      </c>
      <c r="J529" s="420">
        <f>IF(ISBLANK(I529),"",SUM(H529:I529))</f>
        <v>12.4</v>
      </c>
      <c r="K529" s="421">
        <f t="shared" ref="K529:K556" si="162">IF(ISBLANK(I529),0,ROUND(J529*(1+$F$10)*(1+$F$11*E529),2))</f>
        <v>14.73</v>
      </c>
      <c r="L529" s="647" t="s">
        <v>19</v>
      </c>
      <c r="M529" s="576"/>
      <c r="N529" s="576">
        <f t="shared" si="144"/>
        <v>0</v>
      </c>
      <c r="O529" s="577">
        <f t="shared" si="132"/>
        <v>0</v>
      </c>
      <c r="P529" s="578">
        <f t="shared" si="133"/>
        <v>0</v>
      </c>
      <c r="Q529" s="765"/>
      <c r="R529" s="576">
        <f t="shared" ref="R529:S532" si="163">M529</f>
        <v>0</v>
      </c>
      <c r="S529" s="576">
        <f t="shared" si="163"/>
        <v>0</v>
      </c>
      <c r="T529" s="577">
        <f t="shared" si="130"/>
        <v>0</v>
      </c>
      <c r="U529" s="578">
        <f t="shared" si="131"/>
        <v>0</v>
      </c>
      <c r="V529" s="579"/>
      <c r="W529" s="566"/>
      <c r="X529" s="586" t="str">
        <f t="shared" si="155"/>
        <v/>
      </c>
      <c r="Y529" s="586" t="str">
        <f t="shared" si="143"/>
        <v/>
      </c>
      <c r="Z529" s="586" t="str">
        <f t="shared" si="147"/>
        <v/>
      </c>
    </row>
    <row r="530" spans="1:26" ht="12" hidden="1" thickBot="1" x14ac:dyDescent="0.25">
      <c r="A530" s="567" t="s">
        <v>818</v>
      </c>
      <c r="B530" s="454" t="s">
        <v>818</v>
      </c>
      <c r="C530" s="645" t="s">
        <v>484</v>
      </c>
      <c r="D530" s="416" t="s">
        <v>819</v>
      </c>
      <c r="E530" s="417"/>
      <c r="F530" s="418"/>
      <c r="G530" s="419"/>
      <c r="H530" s="646"/>
      <c r="I530" s="420">
        <v>37.18</v>
      </c>
      <c r="J530" s="420">
        <f>IF(ISBLANK(I530),"",SUM(H530:I530))</f>
        <v>37.18</v>
      </c>
      <c r="K530" s="421">
        <f t="shared" si="162"/>
        <v>44.17</v>
      </c>
      <c r="L530" s="647" t="s">
        <v>19</v>
      </c>
      <c r="M530" s="576"/>
      <c r="N530" s="576">
        <f t="shared" si="144"/>
        <v>0</v>
      </c>
      <c r="O530" s="577">
        <f t="shared" si="132"/>
        <v>0</v>
      </c>
      <c r="P530" s="578">
        <f t="shared" si="133"/>
        <v>0</v>
      </c>
      <c r="Q530" s="765"/>
      <c r="R530" s="650">
        <f t="shared" si="163"/>
        <v>0</v>
      </c>
      <c r="S530" s="587">
        <f t="shared" si="163"/>
        <v>0</v>
      </c>
      <c r="T530" s="577">
        <f t="shared" si="130"/>
        <v>0</v>
      </c>
      <c r="U530" s="578">
        <f t="shared" si="131"/>
        <v>0</v>
      </c>
      <c r="V530" s="579"/>
      <c r="W530" s="566"/>
      <c r="X530" s="586" t="str">
        <f t="shared" si="155"/>
        <v/>
      </c>
      <c r="Y530" s="586" t="str">
        <f t="shared" si="143"/>
        <v/>
      </c>
      <c r="Z530" s="586" t="str">
        <f t="shared" si="147"/>
        <v/>
      </c>
    </row>
    <row r="531" spans="1:26" ht="12" hidden="1" thickBot="1" x14ac:dyDescent="0.25">
      <c r="A531" s="567">
        <v>535200</v>
      </c>
      <c r="B531" s="644" t="s">
        <v>1798</v>
      </c>
      <c r="C531" s="645" t="s">
        <v>206</v>
      </c>
      <c r="D531" s="422" t="s">
        <v>239</v>
      </c>
      <c r="E531" s="423"/>
      <c r="F531" s="424">
        <v>20</v>
      </c>
      <c r="G531" s="419">
        <v>7.6999999999999999E-2</v>
      </c>
      <c r="H531" s="663">
        <f t="shared" ref="H531" si="164">IF(F531&lt;=30,(1.07*F531+2.68)*G531,((1.07*30+2.68)+1.07*(F531-30))*G531)</f>
        <v>1.85416</v>
      </c>
      <c r="I531" s="420">
        <v>10.85</v>
      </c>
      <c r="J531" s="420">
        <f>IF(ISBLANK(I531),"",SUM(H531:I531))</f>
        <v>12.70416</v>
      </c>
      <c r="K531" s="421">
        <f t="shared" si="162"/>
        <v>15.09</v>
      </c>
      <c r="L531" s="647" t="s">
        <v>19</v>
      </c>
      <c r="M531" s="576"/>
      <c r="N531" s="576">
        <f t="shared" si="144"/>
        <v>0</v>
      </c>
      <c r="O531" s="577">
        <f t="shared" si="132"/>
        <v>0</v>
      </c>
      <c r="P531" s="578">
        <f t="shared" si="133"/>
        <v>0</v>
      </c>
      <c r="Q531" s="765"/>
      <c r="R531" s="576">
        <f t="shared" si="163"/>
        <v>0</v>
      </c>
      <c r="S531" s="576">
        <f t="shared" si="163"/>
        <v>0</v>
      </c>
      <c r="T531" s="577">
        <f t="shared" si="130"/>
        <v>0</v>
      </c>
      <c r="U531" s="578">
        <f t="shared" si="131"/>
        <v>0</v>
      </c>
      <c r="V531" s="579"/>
      <c r="W531" s="566"/>
      <c r="X531" s="586" t="str">
        <f t="shared" si="155"/>
        <v/>
      </c>
      <c r="Y531" s="586" t="str">
        <f t="shared" si="143"/>
        <v/>
      </c>
      <c r="Z531" s="586" t="str">
        <f t="shared" si="147"/>
        <v/>
      </c>
    </row>
    <row r="532" spans="1:26" ht="12" hidden="1" thickBot="1" x14ac:dyDescent="0.25">
      <c r="A532" s="567">
        <v>810100</v>
      </c>
      <c r="B532" s="644">
        <v>810100</v>
      </c>
      <c r="C532" s="645" t="s">
        <v>206</v>
      </c>
      <c r="D532" s="422" t="s">
        <v>267</v>
      </c>
      <c r="E532" s="423"/>
      <c r="F532" s="424"/>
      <c r="G532" s="425"/>
      <c r="H532" s="651">
        <f>SUM(H533:H535)</f>
        <v>33.124932000000001</v>
      </c>
      <c r="I532" s="420">
        <v>63.339999999999996</v>
      </c>
      <c r="J532" s="420">
        <f>IF(ISBLANK(I532),"",SUM(H532:I532))</f>
        <v>96.464932000000005</v>
      </c>
      <c r="K532" s="421">
        <f t="shared" si="162"/>
        <v>114.61</v>
      </c>
      <c r="L532" s="647" t="s">
        <v>19</v>
      </c>
      <c r="M532" s="576"/>
      <c r="N532" s="576">
        <f t="shared" ref="N532:N595" si="165">IF(M532=0,0,K532)</f>
        <v>0</v>
      </c>
      <c r="O532" s="577">
        <f t="shared" si="132"/>
        <v>0</v>
      </c>
      <c r="P532" s="578">
        <f t="shared" si="133"/>
        <v>0</v>
      </c>
      <c r="Q532" s="765"/>
      <c r="R532" s="576">
        <f t="shared" si="163"/>
        <v>0</v>
      </c>
      <c r="S532" s="576">
        <f t="shared" si="163"/>
        <v>0</v>
      </c>
      <c r="T532" s="577">
        <f t="shared" si="130"/>
        <v>0</v>
      </c>
      <c r="U532" s="578">
        <f t="shared" si="131"/>
        <v>0</v>
      </c>
      <c r="V532" s="579"/>
      <c r="W532" s="566"/>
      <c r="X532" s="586" t="str">
        <f t="shared" si="155"/>
        <v/>
      </c>
      <c r="Y532" s="586" t="str">
        <f t="shared" si="143"/>
        <v/>
      </c>
      <c r="Z532" s="586" t="str">
        <f t="shared" si="147"/>
        <v/>
      </c>
    </row>
    <row r="533" spans="1:26" ht="12" hidden="1" thickBot="1" x14ac:dyDescent="0.25">
      <c r="A533" s="567" t="s">
        <v>168</v>
      </c>
      <c r="B533" s="644" t="s">
        <v>168</v>
      </c>
      <c r="C533" s="645"/>
      <c r="D533" s="451" t="s">
        <v>212</v>
      </c>
      <c r="E533" s="423"/>
      <c r="F533" s="424">
        <v>500</v>
      </c>
      <c r="G533" s="425">
        <f>ROUND(0.103*0.27,4)</f>
        <v>2.7799999999999998E-2</v>
      </c>
      <c r="H533" s="649">
        <f>IF(F533&lt;=30,(0.78*F533+7.82)*G533,((0.78*30+7.82)+0.78*(F533-30))*G533)</f>
        <v>11.059396000000001</v>
      </c>
      <c r="I533" s="420">
        <v>0</v>
      </c>
      <c r="J533" s="420"/>
      <c r="K533" s="421">
        <f t="shared" si="162"/>
        <v>0</v>
      </c>
      <c r="L533" s="668" t="s">
        <v>614</v>
      </c>
      <c r="M533" s="669"/>
      <c r="N533" s="576">
        <f t="shared" si="165"/>
        <v>0</v>
      </c>
      <c r="O533" s="577">
        <f t="shared" si="132"/>
        <v>0</v>
      </c>
      <c r="P533" s="578">
        <f t="shared" si="133"/>
        <v>0</v>
      </c>
      <c r="Q533" s="765"/>
      <c r="R533" s="669"/>
      <c r="S533" s="670"/>
      <c r="T533" s="577">
        <f t="shared" si="130"/>
        <v>0</v>
      </c>
      <c r="U533" s="578">
        <f t="shared" si="131"/>
        <v>0</v>
      </c>
      <c r="V533" s="579"/>
      <c r="W533" s="637" t="str">
        <f>IF(U532&gt;0,"xx",IF(P532&gt;0,"xy",""))</f>
        <v/>
      </c>
      <c r="X533" s="586" t="str">
        <f t="shared" si="155"/>
        <v/>
      </c>
      <c r="Y533" s="586" t="str">
        <f t="shared" si="143"/>
        <v/>
      </c>
      <c r="Z533" s="586" t="str">
        <f t="shared" si="147"/>
        <v/>
      </c>
    </row>
    <row r="534" spans="1:26" ht="12" hidden="1" thickBot="1" x14ac:dyDescent="0.25">
      <c r="A534" s="567" t="s">
        <v>168</v>
      </c>
      <c r="B534" s="644" t="s">
        <v>168</v>
      </c>
      <c r="C534" s="645"/>
      <c r="D534" s="451" t="s">
        <v>248</v>
      </c>
      <c r="E534" s="423"/>
      <c r="F534" s="424">
        <v>180</v>
      </c>
      <c r="G534" s="425">
        <f>ROUND(0.103*0.96,4)</f>
        <v>9.8900000000000002E-2</v>
      </c>
      <c r="H534" s="663">
        <f t="shared" ref="H534:H536" si="166">IF(F534&lt;=30,(1.07*F534+2.68)*G534,((1.07*30+2.68)+1.07*(F534-30))*G534)</f>
        <v>19.313192000000001</v>
      </c>
      <c r="I534" s="420">
        <v>0</v>
      </c>
      <c r="J534" s="420"/>
      <c r="K534" s="421">
        <f t="shared" si="162"/>
        <v>0</v>
      </c>
      <c r="L534" s="668" t="s">
        <v>614</v>
      </c>
      <c r="M534" s="669"/>
      <c r="N534" s="576">
        <f t="shared" si="165"/>
        <v>0</v>
      </c>
      <c r="O534" s="577">
        <f t="shared" si="132"/>
        <v>0</v>
      </c>
      <c r="P534" s="578">
        <f t="shared" si="133"/>
        <v>0</v>
      </c>
      <c r="Q534" s="765"/>
      <c r="R534" s="669"/>
      <c r="S534" s="670"/>
      <c r="T534" s="577">
        <f t="shared" si="130"/>
        <v>0</v>
      </c>
      <c r="U534" s="578">
        <f t="shared" si="131"/>
        <v>0</v>
      </c>
      <c r="V534" s="579"/>
      <c r="W534" s="637" t="str">
        <f>IF(U532&gt;0,"xx",IF(P532&gt;0,"xy",""))</f>
        <v/>
      </c>
      <c r="X534" s="586" t="str">
        <f t="shared" si="155"/>
        <v/>
      </c>
      <c r="Y534" s="586" t="str">
        <f t="shared" si="143"/>
        <v/>
      </c>
      <c r="Z534" s="586" t="str">
        <f t="shared" si="147"/>
        <v/>
      </c>
    </row>
    <row r="535" spans="1:26" ht="12" hidden="1" thickBot="1" x14ac:dyDescent="0.25">
      <c r="A535" s="567" t="s">
        <v>168</v>
      </c>
      <c r="B535" s="644" t="s">
        <v>168</v>
      </c>
      <c r="C535" s="645"/>
      <c r="D535" s="451" t="s">
        <v>252</v>
      </c>
      <c r="E535" s="423"/>
      <c r="F535" s="424">
        <v>20</v>
      </c>
      <c r="G535" s="425">
        <f>ROUND(0.103*1.11,4)</f>
        <v>0.1143</v>
      </c>
      <c r="H535" s="663">
        <f t="shared" si="166"/>
        <v>2.7523440000000003</v>
      </c>
      <c r="I535" s="420">
        <v>0</v>
      </c>
      <c r="J535" s="420"/>
      <c r="K535" s="421">
        <f t="shared" si="162"/>
        <v>0</v>
      </c>
      <c r="L535" s="668" t="s">
        <v>614</v>
      </c>
      <c r="M535" s="669"/>
      <c r="N535" s="576">
        <f t="shared" si="165"/>
        <v>0</v>
      </c>
      <c r="O535" s="577">
        <f t="shared" si="132"/>
        <v>0</v>
      </c>
      <c r="P535" s="578">
        <f t="shared" si="133"/>
        <v>0</v>
      </c>
      <c r="Q535" s="765"/>
      <c r="R535" s="669"/>
      <c r="S535" s="670"/>
      <c r="T535" s="577">
        <f t="shared" si="130"/>
        <v>0</v>
      </c>
      <c r="U535" s="578">
        <f t="shared" si="131"/>
        <v>0</v>
      </c>
      <c r="V535" s="579"/>
      <c r="W535" s="637" t="str">
        <f>IF(U532&gt;0,"xx",IF(P532&gt;0,"xy",""))</f>
        <v/>
      </c>
      <c r="X535" s="586" t="str">
        <f t="shared" si="155"/>
        <v/>
      </c>
      <c r="Y535" s="586" t="str">
        <f t="shared" si="143"/>
        <v/>
      </c>
      <c r="Z535" s="586" t="str">
        <f t="shared" si="147"/>
        <v/>
      </c>
    </row>
    <row r="536" spans="1:26" ht="12" hidden="1" thickBot="1" x14ac:dyDescent="0.25">
      <c r="A536" s="567">
        <v>810050</v>
      </c>
      <c r="B536" s="644">
        <v>810050</v>
      </c>
      <c r="C536" s="645" t="s">
        <v>206</v>
      </c>
      <c r="D536" s="422" t="s">
        <v>268</v>
      </c>
      <c r="E536" s="423"/>
      <c r="F536" s="424">
        <v>10</v>
      </c>
      <c r="G536" s="425">
        <f>0.0278+0.0988+0.1143</f>
        <v>0.2409</v>
      </c>
      <c r="H536" s="663">
        <f t="shared" si="166"/>
        <v>3.2232420000000004</v>
      </c>
      <c r="I536" s="420">
        <v>100.00999999999999</v>
      </c>
      <c r="J536" s="420">
        <f>IF(ISBLANK(I536),"",SUM(H536:I536))</f>
        <v>103.23324199999999</v>
      </c>
      <c r="K536" s="421">
        <f t="shared" si="162"/>
        <v>122.65</v>
      </c>
      <c r="L536" s="647" t="s">
        <v>19</v>
      </c>
      <c r="M536" s="576"/>
      <c r="N536" s="576">
        <f t="shared" si="165"/>
        <v>0</v>
      </c>
      <c r="O536" s="577">
        <f t="shared" si="132"/>
        <v>0</v>
      </c>
      <c r="P536" s="578">
        <f t="shared" si="133"/>
        <v>0</v>
      </c>
      <c r="Q536" s="765"/>
      <c r="R536" s="576">
        <f>M536</f>
        <v>0</v>
      </c>
      <c r="S536" s="576">
        <f t="shared" ref="S536:S593" si="167">N536</f>
        <v>0</v>
      </c>
      <c r="T536" s="577">
        <f t="shared" si="130"/>
        <v>0</v>
      </c>
      <c r="U536" s="578">
        <f t="shared" si="131"/>
        <v>0</v>
      </c>
      <c r="V536" s="579"/>
      <c r="W536" s="637"/>
      <c r="X536" s="586" t="str">
        <f t="shared" si="155"/>
        <v/>
      </c>
      <c r="Y536" s="586" t="str">
        <f t="shared" si="143"/>
        <v/>
      </c>
      <c r="Z536" s="586" t="str">
        <f t="shared" si="147"/>
        <v/>
      </c>
    </row>
    <row r="537" spans="1:26" ht="12" hidden="1" thickBot="1" x14ac:dyDescent="0.25">
      <c r="A537" s="567">
        <v>810200</v>
      </c>
      <c r="B537" s="644">
        <v>810200</v>
      </c>
      <c r="C537" s="645" t="s">
        <v>206</v>
      </c>
      <c r="D537" s="422" t="s">
        <v>269</v>
      </c>
      <c r="E537" s="423"/>
      <c r="F537" s="424"/>
      <c r="G537" s="425"/>
      <c r="H537" s="651">
        <f>SUM(H538:H540)</f>
        <v>13.487278</v>
      </c>
      <c r="I537" s="420">
        <v>27.46</v>
      </c>
      <c r="J537" s="420">
        <f>IF(ISBLANK(I537),"",SUM(H537:I537))</f>
        <v>40.947277999999997</v>
      </c>
      <c r="K537" s="421">
        <f t="shared" si="162"/>
        <v>48.65</v>
      </c>
      <c r="L537" s="647" t="s">
        <v>19</v>
      </c>
      <c r="M537" s="576"/>
      <c r="N537" s="576">
        <f t="shared" si="165"/>
        <v>0</v>
      </c>
      <c r="O537" s="577">
        <f t="shared" si="132"/>
        <v>0</v>
      </c>
      <c r="P537" s="578">
        <f t="shared" si="133"/>
        <v>0</v>
      </c>
      <c r="Q537" s="765"/>
      <c r="R537" s="576">
        <f>M537</f>
        <v>0</v>
      </c>
      <c r="S537" s="576">
        <f t="shared" si="167"/>
        <v>0</v>
      </c>
      <c r="T537" s="577">
        <f t="shared" si="130"/>
        <v>0</v>
      </c>
      <c r="U537" s="578">
        <f t="shared" si="131"/>
        <v>0</v>
      </c>
      <c r="V537" s="579"/>
      <c r="W537" s="637"/>
      <c r="X537" s="586" t="str">
        <f t="shared" si="155"/>
        <v/>
      </c>
      <c r="Y537" s="586" t="str">
        <f t="shared" si="143"/>
        <v/>
      </c>
      <c r="Z537" s="586" t="str">
        <f t="shared" si="147"/>
        <v/>
      </c>
    </row>
    <row r="538" spans="1:26" ht="12" hidden="1" thickBot="1" x14ac:dyDescent="0.25">
      <c r="A538" s="567" t="s">
        <v>168</v>
      </c>
      <c r="B538" s="644" t="s">
        <v>168</v>
      </c>
      <c r="C538" s="645"/>
      <c r="D538" s="451" t="s">
        <v>212</v>
      </c>
      <c r="E538" s="423"/>
      <c r="F538" s="424">
        <v>500</v>
      </c>
      <c r="G538" s="425">
        <f>ROUND(0.042*0.27,4)</f>
        <v>1.1299999999999999E-2</v>
      </c>
      <c r="H538" s="649">
        <f>IF(F538&lt;=30,(0.78*F538+7.82)*G538,((0.78*30+7.82)+0.78*(F538-30))*G538)</f>
        <v>4.4953660000000006</v>
      </c>
      <c r="I538" s="420">
        <v>0</v>
      </c>
      <c r="J538" s="420"/>
      <c r="K538" s="421">
        <f t="shared" si="162"/>
        <v>0</v>
      </c>
      <c r="L538" s="668" t="s">
        <v>614</v>
      </c>
      <c r="M538" s="669"/>
      <c r="N538" s="576">
        <f t="shared" si="165"/>
        <v>0</v>
      </c>
      <c r="O538" s="577">
        <f t="shared" si="132"/>
        <v>0</v>
      </c>
      <c r="P538" s="578">
        <f t="shared" si="133"/>
        <v>0</v>
      </c>
      <c r="Q538" s="765"/>
      <c r="R538" s="669"/>
      <c r="S538" s="670"/>
      <c r="T538" s="577">
        <f t="shared" si="130"/>
        <v>0</v>
      </c>
      <c r="U538" s="578">
        <f t="shared" si="131"/>
        <v>0</v>
      </c>
      <c r="V538" s="579"/>
      <c r="W538" s="637" t="str">
        <f>IF(U537&gt;0,"xx",IF(P537&gt;0,"xy",""))</f>
        <v/>
      </c>
      <c r="X538" s="586" t="str">
        <f t="shared" si="155"/>
        <v/>
      </c>
      <c r="Y538" s="586" t="str">
        <f t="shared" si="143"/>
        <v/>
      </c>
      <c r="Z538" s="586" t="str">
        <f t="shared" si="147"/>
        <v/>
      </c>
    </row>
    <row r="539" spans="1:26" ht="12" hidden="1" thickBot="1" x14ac:dyDescent="0.25">
      <c r="A539" s="567" t="s">
        <v>168</v>
      </c>
      <c r="B539" s="644" t="s">
        <v>168</v>
      </c>
      <c r="C539" s="645"/>
      <c r="D539" s="451" t="s">
        <v>248</v>
      </c>
      <c r="E539" s="423"/>
      <c r="F539" s="424">
        <v>180</v>
      </c>
      <c r="G539" s="425">
        <f>ROUND(0.042*0.96,4)</f>
        <v>4.0300000000000002E-2</v>
      </c>
      <c r="H539" s="663">
        <f t="shared" ref="H539:H541" si="168">IF(F539&lt;=30,(1.07*F539+2.68)*G539,((1.07*30+2.68)+1.07*(F539-30))*G539)</f>
        <v>7.8697840000000001</v>
      </c>
      <c r="I539" s="420">
        <v>0</v>
      </c>
      <c r="J539" s="420"/>
      <c r="K539" s="421">
        <f t="shared" si="162"/>
        <v>0</v>
      </c>
      <c r="L539" s="668" t="s">
        <v>614</v>
      </c>
      <c r="M539" s="669"/>
      <c r="N539" s="576">
        <f t="shared" si="165"/>
        <v>0</v>
      </c>
      <c r="O539" s="577">
        <f t="shared" si="132"/>
        <v>0</v>
      </c>
      <c r="P539" s="578">
        <f t="shared" si="133"/>
        <v>0</v>
      </c>
      <c r="Q539" s="765"/>
      <c r="R539" s="669"/>
      <c r="S539" s="670"/>
      <c r="T539" s="577">
        <f t="shared" si="130"/>
        <v>0</v>
      </c>
      <c r="U539" s="578">
        <f t="shared" si="131"/>
        <v>0</v>
      </c>
      <c r="V539" s="579"/>
      <c r="W539" s="637" t="str">
        <f>IF(U537&gt;0,"xx",IF(P537&gt;0,"xy",""))</f>
        <v/>
      </c>
      <c r="X539" s="586" t="str">
        <f t="shared" si="155"/>
        <v/>
      </c>
      <c r="Y539" s="586" t="str">
        <f t="shared" si="143"/>
        <v/>
      </c>
      <c r="Z539" s="586" t="str">
        <f t="shared" si="147"/>
        <v/>
      </c>
    </row>
    <row r="540" spans="1:26" ht="12" hidden="1" thickBot="1" x14ac:dyDescent="0.25">
      <c r="A540" s="567" t="s">
        <v>168</v>
      </c>
      <c r="B540" s="644" t="s">
        <v>168</v>
      </c>
      <c r="C540" s="645"/>
      <c r="D540" s="451" t="s">
        <v>252</v>
      </c>
      <c r="E540" s="423"/>
      <c r="F540" s="424">
        <v>20</v>
      </c>
      <c r="G540" s="425">
        <f>ROUND(0.042*1.11,4)</f>
        <v>4.6600000000000003E-2</v>
      </c>
      <c r="H540" s="663">
        <f t="shared" si="168"/>
        <v>1.1221280000000002</v>
      </c>
      <c r="I540" s="420">
        <v>0</v>
      </c>
      <c r="J540" s="420"/>
      <c r="K540" s="421">
        <f t="shared" si="162"/>
        <v>0</v>
      </c>
      <c r="L540" s="668" t="s">
        <v>614</v>
      </c>
      <c r="M540" s="669"/>
      <c r="N540" s="576">
        <f t="shared" si="165"/>
        <v>0</v>
      </c>
      <c r="O540" s="577">
        <f t="shared" si="132"/>
        <v>0</v>
      </c>
      <c r="P540" s="578">
        <f t="shared" si="133"/>
        <v>0</v>
      </c>
      <c r="Q540" s="765"/>
      <c r="R540" s="669"/>
      <c r="S540" s="670"/>
      <c r="T540" s="577">
        <f t="shared" si="130"/>
        <v>0</v>
      </c>
      <c r="U540" s="578">
        <f t="shared" si="131"/>
        <v>0</v>
      </c>
      <c r="V540" s="579"/>
      <c r="W540" s="637" t="str">
        <f>IF(U537&gt;0,"xx",IF(P537&gt;0,"xy",""))</f>
        <v/>
      </c>
      <c r="X540" s="586" t="str">
        <f t="shared" si="155"/>
        <v/>
      </c>
      <c r="Y540" s="586" t="str">
        <f t="shared" si="143"/>
        <v/>
      </c>
      <c r="Z540" s="586" t="str">
        <f t="shared" si="147"/>
        <v/>
      </c>
    </row>
    <row r="541" spans="1:26" ht="12" hidden="1" thickBot="1" x14ac:dyDescent="0.25">
      <c r="A541" s="567">
        <v>810150</v>
      </c>
      <c r="B541" s="644">
        <v>810150</v>
      </c>
      <c r="C541" s="645" t="s">
        <v>206</v>
      </c>
      <c r="D541" s="422" t="s">
        <v>270</v>
      </c>
      <c r="E541" s="423"/>
      <c r="F541" s="424">
        <v>10</v>
      </c>
      <c r="G541" s="425">
        <v>9.8199999999999996E-2</v>
      </c>
      <c r="H541" s="663">
        <f t="shared" si="168"/>
        <v>1.3139160000000001</v>
      </c>
      <c r="I541" s="420">
        <v>46.42</v>
      </c>
      <c r="J541" s="420">
        <f>IF(ISBLANK(I541),"",SUM(H541:I541))</f>
        <v>47.733916000000001</v>
      </c>
      <c r="K541" s="421">
        <f t="shared" si="162"/>
        <v>56.71</v>
      </c>
      <c r="L541" s="647" t="s">
        <v>19</v>
      </c>
      <c r="M541" s="576"/>
      <c r="N541" s="576">
        <f t="shared" si="165"/>
        <v>0</v>
      </c>
      <c r="O541" s="577">
        <f t="shared" si="132"/>
        <v>0</v>
      </c>
      <c r="P541" s="578">
        <f t="shared" si="133"/>
        <v>0</v>
      </c>
      <c r="Q541" s="765"/>
      <c r="R541" s="576">
        <f>M541</f>
        <v>0</v>
      </c>
      <c r="S541" s="576">
        <f t="shared" si="167"/>
        <v>0</v>
      </c>
      <c r="T541" s="577">
        <f t="shared" si="130"/>
        <v>0</v>
      </c>
      <c r="U541" s="578">
        <f t="shared" si="131"/>
        <v>0</v>
      </c>
      <c r="V541" s="579"/>
      <c r="W541" s="566"/>
      <c r="X541" s="586" t="str">
        <f t="shared" si="155"/>
        <v/>
      </c>
      <c r="Y541" s="586" t="str">
        <f t="shared" si="143"/>
        <v/>
      </c>
      <c r="Z541" s="586" t="str">
        <f t="shared" si="147"/>
        <v/>
      </c>
    </row>
    <row r="542" spans="1:26" ht="12" hidden="1" thickBot="1" x14ac:dyDescent="0.25">
      <c r="A542" s="567">
        <v>810700</v>
      </c>
      <c r="B542" s="644">
        <v>810700</v>
      </c>
      <c r="C542" s="645" t="s">
        <v>206</v>
      </c>
      <c r="D542" s="422" t="s">
        <v>271</v>
      </c>
      <c r="E542" s="423"/>
      <c r="F542" s="424"/>
      <c r="G542" s="425"/>
      <c r="H542" s="651">
        <f>SUM(H543:H545)</f>
        <v>9.9893840000000012</v>
      </c>
      <c r="I542" s="420">
        <v>22.45</v>
      </c>
      <c r="J542" s="420">
        <f>IF(ISBLANK(I542),"",SUM(H542:I542))</f>
        <v>32.439384000000004</v>
      </c>
      <c r="K542" s="421">
        <f t="shared" si="162"/>
        <v>38.54</v>
      </c>
      <c r="L542" s="647" t="s">
        <v>19</v>
      </c>
      <c r="M542" s="576"/>
      <c r="N542" s="576">
        <f t="shared" si="165"/>
        <v>0</v>
      </c>
      <c r="O542" s="577">
        <f t="shared" si="132"/>
        <v>0</v>
      </c>
      <c r="P542" s="578">
        <f t="shared" si="133"/>
        <v>0</v>
      </c>
      <c r="Q542" s="765"/>
      <c r="R542" s="576">
        <f>M542</f>
        <v>0</v>
      </c>
      <c r="S542" s="576">
        <f t="shared" si="167"/>
        <v>0</v>
      </c>
      <c r="T542" s="577">
        <f t="shared" si="130"/>
        <v>0</v>
      </c>
      <c r="U542" s="578">
        <f t="shared" si="131"/>
        <v>0</v>
      </c>
      <c r="V542" s="579"/>
      <c r="W542" s="566"/>
      <c r="X542" s="586" t="str">
        <f t="shared" si="155"/>
        <v/>
      </c>
      <c r="Y542" s="586" t="str">
        <f t="shared" si="143"/>
        <v/>
      </c>
      <c r="Z542" s="586" t="str">
        <f t="shared" si="147"/>
        <v/>
      </c>
    </row>
    <row r="543" spans="1:26" ht="12" hidden="1" thickBot="1" x14ac:dyDescent="0.25">
      <c r="A543" s="567" t="s">
        <v>168</v>
      </c>
      <c r="B543" s="644" t="s">
        <v>168</v>
      </c>
      <c r="C543" s="645"/>
      <c r="D543" s="451" t="s">
        <v>212</v>
      </c>
      <c r="E543" s="423"/>
      <c r="F543" s="424">
        <v>500</v>
      </c>
      <c r="G543" s="425">
        <f>ROUND(0.031*0.27,4)</f>
        <v>8.3999999999999995E-3</v>
      </c>
      <c r="H543" s="649">
        <f>IF(F543&lt;=30,(0.78*F543+7.82)*G543,((0.78*30+7.82)+0.78*(F543-30))*G543)</f>
        <v>3.3416880000000004</v>
      </c>
      <c r="I543" s="420">
        <v>0</v>
      </c>
      <c r="J543" s="420"/>
      <c r="K543" s="421">
        <f t="shared" si="162"/>
        <v>0</v>
      </c>
      <c r="L543" s="668" t="s">
        <v>614</v>
      </c>
      <c r="M543" s="669"/>
      <c r="N543" s="576">
        <f t="shared" si="165"/>
        <v>0</v>
      </c>
      <c r="O543" s="577">
        <f t="shared" si="132"/>
        <v>0</v>
      </c>
      <c r="P543" s="578">
        <f t="shared" si="133"/>
        <v>0</v>
      </c>
      <c r="Q543" s="765"/>
      <c r="R543" s="669"/>
      <c r="S543" s="670"/>
      <c r="T543" s="577">
        <f t="shared" si="130"/>
        <v>0</v>
      </c>
      <c r="U543" s="578">
        <f t="shared" si="131"/>
        <v>0</v>
      </c>
      <c r="V543" s="579"/>
      <c r="W543" s="637" t="str">
        <f>IF(U542&gt;0,"xx",IF(P542&gt;0,"xy",""))</f>
        <v/>
      </c>
      <c r="X543" s="586" t="str">
        <f t="shared" si="155"/>
        <v/>
      </c>
      <c r="Y543" s="586" t="str">
        <f t="shared" si="143"/>
        <v/>
      </c>
      <c r="Z543" s="586" t="str">
        <f t="shared" si="147"/>
        <v/>
      </c>
    </row>
    <row r="544" spans="1:26" ht="12" hidden="1" thickBot="1" x14ac:dyDescent="0.25">
      <c r="A544" s="567" t="s">
        <v>168</v>
      </c>
      <c r="B544" s="644" t="s">
        <v>168</v>
      </c>
      <c r="C544" s="645"/>
      <c r="D544" s="451" t="s">
        <v>248</v>
      </c>
      <c r="E544" s="423"/>
      <c r="F544" s="424">
        <v>180</v>
      </c>
      <c r="G544" s="425">
        <f>ROUND(0.031*0.96,4)</f>
        <v>2.98E-2</v>
      </c>
      <c r="H544" s="663">
        <f t="shared" ref="H544:H546" si="169">IF(F544&lt;=30,(1.07*F544+2.68)*G544,((1.07*30+2.68)+1.07*(F544-30))*G544)</f>
        <v>5.8193440000000001</v>
      </c>
      <c r="I544" s="420">
        <v>0</v>
      </c>
      <c r="J544" s="420"/>
      <c r="K544" s="421">
        <f t="shared" si="162"/>
        <v>0</v>
      </c>
      <c r="L544" s="668" t="s">
        <v>614</v>
      </c>
      <c r="M544" s="669"/>
      <c r="N544" s="576">
        <f t="shared" si="165"/>
        <v>0</v>
      </c>
      <c r="O544" s="577">
        <f t="shared" si="132"/>
        <v>0</v>
      </c>
      <c r="P544" s="578">
        <f t="shared" si="133"/>
        <v>0</v>
      </c>
      <c r="Q544" s="765"/>
      <c r="R544" s="669"/>
      <c r="S544" s="670"/>
      <c r="T544" s="577">
        <f t="shared" si="130"/>
        <v>0</v>
      </c>
      <c r="U544" s="578">
        <f t="shared" si="131"/>
        <v>0</v>
      </c>
      <c r="V544" s="579"/>
      <c r="W544" s="637" t="str">
        <f>IF(U542&gt;0,"xx",IF(P542&gt;0,"xy",""))</f>
        <v/>
      </c>
      <c r="X544" s="586" t="str">
        <f t="shared" si="155"/>
        <v/>
      </c>
      <c r="Y544" s="586" t="str">
        <f t="shared" si="143"/>
        <v/>
      </c>
      <c r="Z544" s="586" t="str">
        <f t="shared" si="147"/>
        <v/>
      </c>
    </row>
    <row r="545" spans="1:26" ht="12" hidden="1" thickBot="1" x14ac:dyDescent="0.25">
      <c r="A545" s="567" t="s">
        <v>168</v>
      </c>
      <c r="B545" s="644" t="s">
        <v>168</v>
      </c>
      <c r="C545" s="645"/>
      <c r="D545" s="451" t="s">
        <v>252</v>
      </c>
      <c r="E545" s="423"/>
      <c r="F545" s="424">
        <v>20</v>
      </c>
      <c r="G545" s="425">
        <f>ROUND(0.031*1.11,4)</f>
        <v>3.44E-2</v>
      </c>
      <c r="H545" s="663">
        <f t="shared" si="169"/>
        <v>0.82835200000000009</v>
      </c>
      <c r="I545" s="420">
        <v>0</v>
      </c>
      <c r="J545" s="420"/>
      <c r="K545" s="421">
        <f t="shared" si="162"/>
        <v>0</v>
      </c>
      <c r="L545" s="668" t="s">
        <v>614</v>
      </c>
      <c r="M545" s="669"/>
      <c r="N545" s="576">
        <f t="shared" si="165"/>
        <v>0</v>
      </c>
      <c r="O545" s="577">
        <f t="shared" si="132"/>
        <v>0</v>
      </c>
      <c r="P545" s="578">
        <f t="shared" si="133"/>
        <v>0</v>
      </c>
      <c r="Q545" s="765"/>
      <c r="R545" s="669"/>
      <c r="S545" s="670"/>
      <c r="T545" s="577">
        <f t="shared" si="130"/>
        <v>0</v>
      </c>
      <c r="U545" s="578">
        <f t="shared" si="131"/>
        <v>0</v>
      </c>
      <c r="V545" s="579"/>
      <c r="W545" s="637" t="str">
        <f>IF(U542&gt;0,"xx",IF(P542&gt;0,"xy",""))</f>
        <v/>
      </c>
      <c r="X545" s="586" t="str">
        <f t="shared" si="155"/>
        <v/>
      </c>
      <c r="Y545" s="586" t="str">
        <f t="shared" si="143"/>
        <v/>
      </c>
      <c r="Z545" s="586" t="str">
        <f t="shared" si="147"/>
        <v/>
      </c>
    </row>
    <row r="546" spans="1:26" ht="12" hidden="1" thickBot="1" x14ac:dyDescent="0.25">
      <c r="A546" s="567">
        <v>810650</v>
      </c>
      <c r="B546" s="644">
        <v>810650</v>
      </c>
      <c r="C546" s="645" t="s">
        <v>206</v>
      </c>
      <c r="D546" s="422" t="s">
        <v>1799</v>
      </c>
      <c r="E546" s="423"/>
      <c r="F546" s="424">
        <v>10</v>
      </c>
      <c r="G546" s="425">
        <v>7.2599999999999998E-2</v>
      </c>
      <c r="H546" s="663">
        <f t="shared" si="169"/>
        <v>0.97138800000000003</v>
      </c>
      <c r="I546" s="420">
        <v>39.090000000000003</v>
      </c>
      <c r="J546" s="420">
        <f>IF(ISBLANK(I546),"",SUM(H546:I546))</f>
        <v>40.061388000000001</v>
      </c>
      <c r="K546" s="421">
        <f t="shared" si="162"/>
        <v>47.6</v>
      </c>
      <c r="L546" s="647" t="s">
        <v>19</v>
      </c>
      <c r="M546" s="576"/>
      <c r="N546" s="576">
        <f t="shared" si="165"/>
        <v>0</v>
      </c>
      <c r="O546" s="577">
        <f t="shared" si="132"/>
        <v>0</v>
      </c>
      <c r="P546" s="578">
        <f t="shared" si="133"/>
        <v>0</v>
      </c>
      <c r="Q546" s="765"/>
      <c r="R546" s="576">
        <f>M546</f>
        <v>0</v>
      </c>
      <c r="S546" s="576">
        <f t="shared" si="167"/>
        <v>0</v>
      </c>
      <c r="T546" s="577">
        <f t="shared" si="130"/>
        <v>0</v>
      </c>
      <c r="U546" s="578">
        <f t="shared" si="131"/>
        <v>0</v>
      </c>
      <c r="V546" s="579"/>
      <c r="W546" s="566"/>
      <c r="X546" s="586" t="str">
        <f t="shared" ref="X546:X609" si="170">IF(W546="X","x",IF(W546="xx","x",IF(W546="xy","x",IF(W546="y","x",IF(OR(P546&gt;0,U546&gt;0),"x","")))))</f>
        <v/>
      </c>
      <c r="Y546" s="586" t="str">
        <f t="shared" si="143"/>
        <v/>
      </c>
      <c r="Z546" s="586" t="str">
        <f t="shared" si="147"/>
        <v/>
      </c>
    </row>
    <row r="547" spans="1:26" ht="12" hidden="1" thickBot="1" x14ac:dyDescent="0.25">
      <c r="A547" s="567">
        <v>810300</v>
      </c>
      <c r="B547" s="644">
        <v>810300</v>
      </c>
      <c r="C547" s="645" t="s">
        <v>206</v>
      </c>
      <c r="D547" s="422" t="s">
        <v>272</v>
      </c>
      <c r="E547" s="423"/>
      <c r="F547" s="424"/>
      <c r="G547" s="425"/>
      <c r="H547" s="651">
        <f>SUM(H548:H550)</f>
        <v>10.933888</v>
      </c>
      <c r="I547" s="420">
        <v>21.66</v>
      </c>
      <c r="J547" s="420">
        <f>IF(ISBLANK(I547),"",SUM(H547:I547))</f>
        <v>32.593888</v>
      </c>
      <c r="K547" s="421">
        <f t="shared" si="162"/>
        <v>38.72</v>
      </c>
      <c r="L547" s="647" t="s">
        <v>19</v>
      </c>
      <c r="M547" s="576"/>
      <c r="N547" s="576">
        <f t="shared" si="165"/>
        <v>0</v>
      </c>
      <c r="O547" s="577">
        <f t="shared" si="132"/>
        <v>0</v>
      </c>
      <c r="P547" s="578">
        <f t="shared" si="133"/>
        <v>0</v>
      </c>
      <c r="Q547" s="765"/>
      <c r="R547" s="576">
        <f>M547</f>
        <v>0</v>
      </c>
      <c r="S547" s="576">
        <f t="shared" si="167"/>
        <v>0</v>
      </c>
      <c r="T547" s="577">
        <f t="shared" si="130"/>
        <v>0</v>
      </c>
      <c r="U547" s="578">
        <f t="shared" si="131"/>
        <v>0</v>
      </c>
      <c r="V547" s="579"/>
      <c r="W547" s="566"/>
      <c r="X547" s="586" t="str">
        <f t="shared" si="170"/>
        <v/>
      </c>
      <c r="Y547" s="586" t="str">
        <f t="shared" si="143"/>
        <v/>
      </c>
      <c r="Z547" s="586" t="str">
        <f t="shared" si="147"/>
        <v/>
      </c>
    </row>
    <row r="548" spans="1:26" ht="12" hidden="1" thickBot="1" x14ac:dyDescent="0.25">
      <c r="A548" s="567" t="s">
        <v>168</v>
      </c>
      <c r="B548" s="644" t="s">
        <v>168</v>
      </c>
      <c r="C548" s="645"/>
      <c r="D548" s="451" t="s">
        <v>212</v>
      </c>
      <c r="E548" s="423"/>
      <c r="F548" s="424">
        <v>500</v>
      </c>
      <c r="G548" s="425">
        <f>ROUND(0.034*0.27,4)</f>
        <v>9.1999999999999998E-3</v>
      </c>
      <c r="H548" s="649">
        <f>IF(F548&lt;=30,(0.78*F548+7.82)*G548,((0.78*30+7.82)+0.78*(F548-30))*G548)</f>
        <v>3.6599440000000003</v>
      </c>
      <c r="I548" s="420">
        <v>0</v>
      </c>
      <c r="J548" s="420"/>
      <c r="K548" s="421">
        <f t="shared" si="162"/>
        <v>0</v>
      </c>
      <c r="L548" s="668" t="s">
        <v>614</v>
      </c>
      <c r="M548" s="669"/>
      <c r="N548" s="576">
        <f t="shared" si="165"/>
        <v>0</v>
      </c>
      <c r="O548" s="577">
        <f t="shared" si="132"/>
        <v>0</v>
      </c>
      <c r="P548" s="578">
        <f t="shared" si="133"/>
        <v>0</v>
      </c>
      <c r="Q548" s="765"/>
      <c r="R548" s="669"/>
      <c r="S548" s="670"/>
      <c r="T548" s="577">
        <f t="shared" si="130"/>
        <v>0</v>
      </c>
      <c r="U548" s="578">
        <f t="shared" si="131"/>
        <v>0</v>
      </c>
      <c r="V548" s="579"/>
      <c r="W548" s="637" t="str">
        <f>IF(U547&gt;0,"xx",IF(P547&gt;0,"xy",""))</f>
        <v/>
      </c>
      <c r="X548" s="586" t="str">
        <f t="shared" si="170"/>
        <v/>
      </c>
      <c r="Y548" s="586" t="str">
        <f t="shared" si="143"/>
        <v/>
      </c>
      <c r="Z548" s="586" t="str">
        <f t="shared" si="147"/>
        <v/>
      </c>
    </row>
    <row r="549" spans="1:26" ht="12" hidden="1" thickBot="1" x14ac:dyDescent="0.25">
      <c r="A549" s="567" t="s">
        <v>168</v>
      </c>
      <c r="B549" s="644" t="s">
        <v>168</v>
      </c>
      <c r="C549" s="645"/>
      <c r="D549" s="451" t="s">
        <v>248</v>
      </c>
      <c r="E549" s="423"/>
      <c r="F549" s="424">
        <v>180</v>
      </c>
      <c r="G549" s="425">
        <f>ROUND(0.034*0.96,4)</f>
        <v>3.2599999999999997E-2</v>
      </c>
      <c r="H549" s="663">
        <f t="shared" ref="H549:H551" si="171">IF(F549&lt;=30,(1.07*F549+2.68)*G549,((1.07*30+2.68)+1.07*(F549-30))*G549)</f>
        <v>6.3661279999999998</v>
      </c>
      <c r="I549" s="420">
        <v>0</v>
      </c>
      <c r="J549" s="420"/>
      <c r="K549" s="421">
        <f t="shared" si="162"/>
        <v>0</v>
      </c>
      <c r="L549" s="668" t="s">
        <v>614</v>
      </c>
      <c r="M549" s="669"/>
      <c r="N549" s="576">
        <f t="shared" si="165"/>
        <v>0</v>
      </c>
      <c r="O549" s="577">
        <f t="shared" si="132"/>
        <v>0</v>
      </c>
      <c r="P549" s="578">
        <f t="shared" si="133"/>
        <v>0</v>
      </c>
      <c r="Q549" s="765"/>
      <c r="R549" s="669"/>
      <c r="S549" s="670"/>
      <c r="T549" s="577">
        <f t="shared" ref="T549:T615" si="172">IF(ISBLANK(R549),0,ROUND(K549*R549,2))</f>
        <v>0</v>
      </c>
      <c r="U549" s="578">
        <f t="shared" ref="U549:U615" si="173">IF(ISBLANK(R549),0,ROUND(R549*S549,2))</f>
        <v>0</v>
      </c>
      <c r="V549" s="579"/>
      <c r="W549" s="637" t="str">
        <f>IF(U547&gt;0,"xx",IF(P547&gt;0,"xy",""))</f>
        <v/>
      </c>
      <c r="X549" s="586" t="str">
        <f t="shared" si="170"/>
        <v/>
      </c>
      <c r="Y549" s="586" t="str">
        <f t="shared" si="143"/>
        <v/>
      </c>
      <c r="Z549" s="586" t="str">
        <f t="shared" si="147"/>
        <v/>
      </c>
    </row>
    <row r="550" spans="1:26" ht="12" hidden="1" thickBot="1" x14ac:dyDescent="0.25">
      <c r="A550" s="567" t="s">
        <v>168</v>
      </c>
      <c r="B550" s="644" t="s">
        <v>168</v>
      </c>
      <c r="C550" s="645"/>
      <c r="D550" s="451" t="s">
        <v>252</v>
      </c>
      <c r="E550" s="423"/>
      <c r="F550" s="424">
        <v>20</v>
      </c>
      <c r="G550" s="425">
        <f>ROUND(0.034*1.11,4)</f>
        <v>3.7699999999999997E-2</v>
      </c>
      <c r="H550" s="663">
        <f t="shared" si="171"/>
        <v>0.90781599999999996</v>
      </c>
      <c r="I550" s="420">
        <v>0</v>
      </c>
      <c r="J550" s="420"/>
      <c r="K550" s="421">
        <f t="shared" si="162"/>
        <v>0</v>
      </c>
      <c r="L550" s="668" t="s">
        <v>614</v>
      </c>
      <c r="M550" s="669"/>
      <c r="N550" s="576">
        <f t="shared" si="165"/>
        <v>0</v>
      </c>
      <c r="O550" s="577">
        <f t="shared" ref="O550:O616" si="174">IF(ISBLANK(M550),0,ROUND(K550*M550,2))</f>
        <v>0</v>
      </c>
      <c r="P550" s="578">
        <f t="shared" ref="P550:P616" si="175">IF(ISBLANK(N550),0,ROUND(M550*N550,2))</f>
        <v>0</v>
      </c>
      <c r="Q550" s="765"/>
      <c r="R550" s="669"/>
      <c r="S550" s="670"/>
      <c r="T550" s="577">
        <f t="shared" si="172"/>
        <v>0</v>
      </c>
      <c r="U550" s="578">
        <f t="shared" si="173"/>
        <v>0</v>
      </c>
      <c r="V550" s="579"/>
      <c r="W550" s="637" t="str">
        <f>IF(U547&gt;0,"xx",IF(P547&gt;0,"xy",""))</f>
        <v/>
      </c>
      <c r="X550" s="586" t="str">
        <f t="shared" si="170"/>
        <v/>
      </c>
      <c r="Y550" s="586" t="str">
        <f t="shared" si="143"/>
        <v/>
      </c>
      <c r="Z550" s="586" t="str">
        <f t="shared" si="147"/>
        <v/>
      </c>
    </row>
    <row r="551" spans="1:26" ht="12" hidden="1" thickBot="1" x14ac:dyDescent="0.25">
      <c r="A551" s="567">
        <v>810250</v>
      </c>
      <c r="B551" s="644" t="s">
        <v>1800</v>
      </c>
      <c r="C551" s="645" t="s">
        <v>206</v>
      </c>
      <c r="D551" s="422" t="s">
        <v>1801</v>
      </c>
      <c r="E551" s="423"/>
      <c r="F551" s="424">
        <v>10</v>
      </c>
      <c r="G551" s="425">
        <v>7.9500000000000001E-2</v>
      </c>
      <c r="H551" s="663">
        <f t="shared" si="171"/>
        <v>1.0637100000000002</v>
      </c>
      <c r="I551" s="420">
        <v>38.299999999999997</v>
      </c>
      <c r="J551" s="420">
        <f>IF(ISBLANK(I551),"",SUM(H551:I551))</f>
        <v>39.363709999999998</v>
      </c>
      <c r="K551" s="421">
        <f t="shared" si="162"/>
        <v>46.77</v>
      </c>
      <c r="L551" s="647" t="s">
        <v>19</v>
      </c>
      <c r="M551" s="576"/>
      <c r="N551" s="576">
        <f t="shared" si="165"/>
        <v>0</v>
      </c>
      <c r="O551" s="577">
        <f t="shared" si="174"/>
        <v>0</v>
      </c>
      <c r="P551" s="578">
        <f t="shared" si="175"/>
        <v>0</v>
      </c>
      <c r="Q551" s="765"/>
      <c r="R551" s="576">
        <f t="shared" ref="R551:S613" si="176">M551</f>
        <v>0</v>
      </c>
      <c r="S551" s="576">
        <f t="shared" si="167"/>
        <v>0</v>
      </c>
      <c r="T551" s="577">
        <f t="shared" si="172"/>
        <v>0</v>
      </c>
      <c r="U551" s="578">
        <f t="shared" si="173"/>
        <v>0</v>
      </c>
      <c r="V551" s="579"/>
      <c r="W551" s="566"/>
      <c r="X551" s="586" t="str">
        <f t="shared" si="170"/>
        <v/>
      </c>
      <c r="Y551" s="586" t="str">
        <f t="shared" si="143"/>
        <v/>
      </c>
      <c r="Z551" s="586" t="str">
        <f t="shared" si="147"/>
        <v/>
      </c>
    </row>
    <row r="552" spans="1:26" ht="12" hidden="1" thickBot="1" x14ac:dyDescent="0.25">
      <c r="A552" s="567">
        <v>810400</v>
      </c>
      <c r="B552" s="644">
        <v>810400</v>
      </c>
      <c r="C552" s="645" t="s">
        <v>206</v>
      </c>
      <c r="D552" s="422" t="s">
        <v>1802</v>
      </c>
      <c r="E552" s="423"/>
      <c r="F552" s="424"/>
      <c r="G552" s="425"/>
      <c r="H552" s="651">
        <f>SUM(H553:H555)</f>
        <v>23.135548</v>
      </c>
      <c r="I552" s="420">
        <v>40.36</v>
      </c>
      <c r="J552" s="420">
        <f>IF(ISBLANK(I552),"",SUM(H552:I552))</f>
        <v>63.495547999999999</v>
      </c>
      <c r="K552" s="421">
        <f t="shared" si="162"/>
        <v>75.44</v>
      </c>
      <c r="L552" s="647" t="s">
        <v>19</v>
      </c>
      <c r="M552" s="576"/>
      <c r="N552" s="576">
        <f t="shared" si="165"/>
        <v>0</v>
      </c>
      <c r="O552" s="577">
        <f t="shared" si="174"/>
        <v>0</v>
      </c>
      <c r="P552" s="578">
        <f t="shared" si="175"/>
        <v>0</v>
      </c>
      <c r="Q552" s="765"/>
      <c r="R552" s="576">
        <f t="shared" si="176"/>
        <v>0</v>
      </c>
      <c r="S552" s="576">
        <f t="shared" si="167"/>
        <v>0</v>
      </c>
      <c r="T552" s="577">
        <f t="shared" si="172"/>
        <v>0</v>
      </c>
      <c r="U552" s="578">
        <f t="shared" si="173"/>
        <v>0</v>
      </c>
      <c r="V552" s="579"/>
      <c r="W552" s="566"/>
      <c r="X552" s="586" t="str">
        <f t="shared" si="170"/>
        <v/>
      </c>
      <c r="Y552" s="586" t="str">
        <f t="shared" si="143"/>
        <v/>
      </c>
      <c r="Z552" s="586" t="str">
        <f t="shared" si="147"/>
        <v/>
      </c>
    </row>
    <row r="553" spans="1:26" ht="12" hidden="1" thickBot="1" x14ac:dyDescent="0.25">
      <c r="A553" s="567" t="s">
        <v>168</v>
      </c>
      <c r="B553" s="644" t="s">
        <v>168</v>
      </c>
      <c r="C553" s="645"/>
      <c r="D553" s="451" t="s">
        <v>212</v>
      </c>
      <c r="E553" s="423"/>
      <c r="F553" s="424">
        <v>500</v>
      </c>
      <c r="G553" s="425">
        <f>ROUND(0.072*0.27,4)</f>
        <v>1.9400000000000001E-2</v>
      </c>
      <c r="H553" s="649">
        <f>IF(F553&lt;=30,(0.78*F553+7.82)*G553,((0.78*30+7.82)+0.78*(F553-30))*G553)</f>
        <v>7.7177080000000009</v>
      </c>
      <c r="I553" s="420">
        <v>0</v>
      </c>
      <c r="J553" s="420"/>
      <c r="K553" s="421">
        <f t="shared" si="162"/>
        <v>0</v>
      </c>
      <c r="L553" s="668" t="s">
        <v>614</v>
      </c>
      <c r="M553" s="669"/>
      <c r="N553" s="576">
        <f t="shared" si="165"/>
        <v>0</v>
      </c>
      <c r="O553" s="577">
        <f t="shared" si="174"/>
        <v>0</v>
      </c>
      <c r="P553" s="578">
        <f t="shared" si="175"/>
        <v>0</v>
      </c>
      <c r="Q553" s="765"/>
      <c r="R553" s="669"/>
      <c r="S553" s="670"/>
      <c r="T553" s="577">
        <f t="shared" si="172"/>
        <v>0</v>
      </c>
      <c r="U553" s="578">
        <f t="shared" si="173"/>
        <v>0</v>
      </c>
      <c r="V553" s="579"/>
      <c r="W553" s="637" t="str">
        <f>IF(U552&gt;0,"xx",IF(P552&gt;0,"xy",""))</f>
        <v/>
      </c>
      <c r="X553" s="586" t="str">
        <f t="shared" si="170"/>
        <v/>
      </c>
      <c r="Y553" s="586" t="str">
        <f t="shared" si="143"/>
        <v/>
      </c>
      <c r="Z553" s="586" t="str">
        <f t="shared" si="147"/>
        <v/>
      </c>
    </row>
    <row r="554" spans="1:26" ht="12" hidden="1" thickBot="1" x14ac:dyDescent="0.25">
      <c r="A554" s="567" t="s">
        <v>168</v>
      </c>
      <c r="B554" s="644" t="s">
        <v>168</v>
      </c>
      <c r="C554" s="645"/>
      <c r="D554" s="451" t="s">
        <v>248</v>
      </c>
      <c r="E554" s="423"/>
      <c r="F554" s="424">
        <v>180</v>
      </c>
      <c r="G554" s="425">
        <f>ROUND(0.072*0.96,4)</f>
        <v>6.9099999999999995E-2</v>
      </c>
      <c r="H554" s="663">
        <f t="shared" ref="H554:H556" si="177">IF(F554&lt;=30,(1.07*F554+2.68)*G554,((1.07*30+2.68)+1.07*(F554-30))*G554)</f>
        <v>13.493848</v>
      </c>
      <c r="I554" s="420">
        <v>0</v>
      </c>
      <c r="J554" s="420"/>
      <c r="K554" s="421">
        <f t="shared" si="162"/>
        <v>0</v>
      </c>
      <c r="L554" s="668" t="s">
        <v>614</v>
      </c>
      <c r="M554" s="669"/>
      <c r="N554" s="576">
        <f t="shared" si="165"/>
        <v>0</v>
      </c>
      <c r="O554" s="577">
        <f t="shared" si="174"/>
        <v>0</v>
      </c>
      <c r="P554" s="578">
        <f t="shared" si="175"/>
        <v>0</v>
      </c>
      <c r="Q554" s="765"/>
      <c r="R554" s="669"/>
      <c r="S554" s="670"/>
      <c r="T554" s="577">
        <f t="shared" si="172"/>
        <v>0</v>
      </c>
      <c r="U554" s="578">
        <f t="shared" si="173"/>
        <v>0</v>
      </c>
      <c r="V554" s="579"/>
      <c r="W554" s="637" t="str">
        <f>IF(U552&gt;0,"xx",IF(P552&gt;0,"xy",""))</f>
        <v/>
      </c>
      <c r="X554" s="586" t="str">
        <f t="shared" si="170"/>
        <v/>
      </c>
      <c r="Y554" s="586" t="str">
        <f t="shared" si="143"/>
        <v/>
      </c>
      <c r="Z554" s="586" t="str">
        <f t="shared" si="147"/>
        <v/>
      </c>
    </row>
    <row r="555" spans="1:26" ht="12" hidden="1" thickBot="1" x14ac:dyDescent="0.25">
      <c r="A555" s="567" t="s">
        <v>168</v>
      </c>
      <c r="B555" s="644" t="s">
        <v>168</v>
      </c>
      <c r="C555" s="645"/>
      <c r="D555" s="451" t="s">
        <v>252</v>
      </c>
      <c r="E555" s="423"/>
      <c r="F555" s="424">
        <v>20</v>
      </c>
      <c r="G555" s="425">
        <f>ROUND(0.072*1.11,4)</f>
        <v>7.9899999999999999E-2</v>
      </c>
      <c r="H555" s="663">
        <f t="shared" si="177"/>
        <v>1.9239920000000001</v>
      </c>
      <c r="I555" s="420">
        <v>0</v>
      </c>
      <c r="J555" s="420"/>
      <c r="K555" s="421">
        <f t="shared" si="162"/>
        <v>0</v>
      </c>
      <c r="L555" s="668" t="s">
        <v>614</v>
      </c>
      <c r="M555" s="669"/>
      <c r="N555" s="576">
        <f t="shared" si="165"/>
        <v>0</v>
      </c>
      <c r="O555" s="577">
        <f t="shared" si="174"/>
        <v>0</v>
      </c>
      <c r="P555" s="578">
        <f t="shared" si="175"/>
        <v>0</v>
      </c>
      <c r="Q555" s="765"/>
      <c r="R555" s="669"/>
      <c r="S555" s="670"/>
      <c r="T555" s="577">
        <f t="shared" si="172"/>
        <v>0</v>
      </c>
      <c r="U555" s="578">
        <f t="shared" si="173"/>
        <v>0</v>
      </c>
      <c r="V555" s="579"/>
      <c r="W555" s="637" t="str">
        <f>IF(U552&gt;0,"xx",IF(P552&gt;0,"xy",""))</f>
        <v/>
      </c>
      <c r="X555" s="586" t="str">
        <f t="shared" si="170"/>
        <v/>
      </c>
      <c r="Y555" s="586" t="str">
        <f t="shared" si="143"/>
        <v/>
      </c>
      <c r="Z555" s="586" t="str">
        <f t="shared" si="147"/>
        <v/>
      </c>
    </row>
    <row r="556" spans="1:26" ht="12" hidden="1" thickBot="1" x14ac:dyDescent="0.25">
      <c r="A556" s="567">
        <v>810350</v>
      </c>
      <c r="B556" s="644">
        <v>810350</v>
      </c>
      <c r="C556" s="645" t="s">
        <v>206</v>
      </c>
      <c r="D556" s="422" t="s">
        <v>1803</v>
      </c>
      <c r="E556" s="423"/>
      <c r="F556" s="424">
        <v>10</v>
      </c>
      <c r="G556" s="425">
        <v>0.16839999999999999</v>
      </c>
      <c r="H556" s="663">
        <f t="shared" si="177"/>
        <v>2.2531919999999999</v>
      </c>
      <c r="I556" s="420">
        <v>61.83</v>
      </c>
      <c r="J556" s="420">
        <f>IF(ISBLANK(I556),"",SUM(H556:I556))</f>
        <v>64.083191999999997</v>
      </c>
      <c r="K556" s="421">
        <f t="shared" si="162"/>
        <v>76.14</v>
      </c>
      <c r="L556" s="647" t="s">
        <v>19</v>
      </c>
      <c r="M556" s="587"/>
      <c r="N556" s="576">
        <f t="shared" si="165"/>
        <v>0</v>
      </c>
      <c r="O556" s="577">
        <f t="shared" si="174"/>
        <v>0</v>
      </c>
      <c r="P556" s="578">
        <f t="shared" si="175"/>
        <v>0</v>
      </c>
      <c r="Q556" s="765"/>
      <c r="R556" s="650">
        <f t="shared" si="176"/>
        <v>0</v>
      </c>
      <c r="S556" s="587">
        <f t="shared" si="167"/>
        <v>0</v>
      </c>
      <c r="T556" s="577">
        <f t="shared" si="172"/>
        <v>0</v>
      </c>
      <c r="U556" s="578">
        <f t="shared" si="173"/>
        <v>0</v>
      </c>
      <c r="V556" s="579"/>
      <c r="W556" s="566"/>
      <c r="X556" s="586" t="str">
        <f t="shared" si="170"/>
        <v/>
      </c>
      <c r="Y556" s="586" t="str">
        <f t="shared" si="143"/>
        <v/>
      </c>
      <c r="Z556" s="586" t="str">
        <f t="shared" si="147"/>
        <v/>
      </c>
    </row>
    <row r="557" spans="1:26" ht="12" hidden="1" thickBot="1" x14ac:dyDescent="0.25">
      <c r="A557" s="652" t="s">
        <v>187</v>
      </c>
      <c r="B557" s="653" t="s">
        <v>187</v>
      </c>
      <c r="C557" s="654"/>
      <c r="D557" s="427" t="s">
        <v>235</v>
      </c>
      <c r="E557" s="428"/>
      <c r="F557" s="655"/>
      <c r="G557" s="656"/>
      <c r="H557" s="657"/>
      <c r="I557" s="429"/>
      <c r="J557" s="429"/>
      <c r="K557" s="429"/>
      <c r="L557" s="429" t="s">
        <v>614</v>
      </c>
      <c r="M557" s="657"/>
      <c r="N557" s="576">
        <f t="shared" si="165"/>
        <v>0</v>
      </c>
      <c r="O557" s="429">
        <f t="shared" si="174"/>
        <v>0</v>
      </c>
      <c r="P557" s="658">
        <f t="shared" si="175"/>
        <v>0</v>
      </c>
      <c r="Q557" s="765"/>
      <c r="R557" s="657"/>
      <c r="S557" s="429"/>
      <c r="T557" s="429">
        <f t="shared" si="172"/>
        <v>0</v>
      </c>
      <c r="U557" s="658">
        <f t="shared" si="173"/>
        <v>0</v>
      </c>
      <c r="V557" s="579"/>
      <c r="W557" s="637" t="str">
        <f>IF(OR(SUM(P558:P582)&gt;0,SUM(U558:U582)&gt;0),"y","")</f>
        <v/>
      </c>
      <c r="X557" s="586" t="str">
        <f t="shared" si="170"/>
        <v/>
      </c>
      <c r="Y557" s="586" t="str">
        <f t="shared" si="143"/>
        <v/>
      </c>
      <c r="Z557" s="586" t="str">
        <f t="shared" si="147"/>
        <v/>
      </c>
    </row>
    <row r="558" spans="1:26" ht="12" hidden="1" thickBot="1" x14ac:dyDescent="0.25">
      <c r="A558" s="652" t="s">
        <v>187</v>
      </c>
      <c r="B558" s="572" t="s">
        <v>187</v>
      </c>
      <c r="C558" s="573" t="s">
        <v>187</v>
      </c>
      <c r="D558" s="574"/>
      <c r="E558" s="575"/>
      <c r="F558" s="436"/>
      <c r="G558" s="431"/>
      <c r="H558" s="430"/>
      <c r="I558" s="432"/>
      <c r="J558" s="433"/>
      <c r="K558" s="434">
        <f t="shared" ref="K558:K582" si="178">IF(ISBLANK(J558),0,ROUND(J558*(1+$F$10)*(1+$F$11*E558),2))</f>
        <v>0</v>
      </c>
      <c r="L558" s="435" t="s">
        <v>614</v>
      </c>
      <c r="M558" s="587"/>
      <c r="N558" s="576">
        <f t="shared" si="165"/>
        <v>0</v>
      </c>
      <c r="O558" s="577">
        <f t="shared" si="174"/>
        <v>0</v>
      </c>
      <c r="P558" s="578">
        <f t="shared" si="175"/>
        <v>0</v>
      </c>
      <c r="Q558" s="765"/>
      <c r="R558" s="650">
        <f t="shared" si="176"/>
        <v>0</v>
      </c>
      <c r="S558" s="587">
        <f t="shared" si="167"/>
        <v>0</v>
      </c>
      <c r="T558" s="577">
        <f t="shared" si="172"/>
        <v>0</v>
      </c>
      <c r="U558" s="578">
        <f t="shared" si="173"/>
        <v>0</v>
      </c>
      <c r="V558" s="579"/>
      <c r="W558" s="566"/>
      <c r="X558" s="586" t="str">
        <f t="shared" si="170"/>
        <v/>
      </c>
      <c r="Y558" s="586" t="str">
        <f t="shared" si="143"/>
        <v/>
      </c>
      <c r="Z558" s="586" t="str">
        <f t="shared" si="147"/>
        <v/>
      </c>
    </row>
    <row r="559" spans="1:26" ht="12" hidden="1" thickBot="1" x14ac:dyDescent="0.25">
      <c r="A559" s="652" t="s">
        <v>187</v>
      </c>
      <c r="B559" s="572" t="s">
        <v>187</v>
      </c>
      <c r="C559" s="573" t="s">
        <v>187</v>
      </c>
      <c r="D559" s="580"/>
      <c r="E559" s="575"/>
      <c r="F559" s="436"/>
      <c r="G559" s="431"/>
      <c r="H559" s="430"/>
      <c r="I559" s="432"/>
      <c r="J559" s="433"/>
      <c r="K559" s="437">
        <f t="shared" si="178"/>
        <v>0</v>
      </c>
      <c r="L559" s="435" t="s">
        <v>614</v>
      </c>
      <c r="M559" s="576"/>
      <c r="N559" s="576">
        <f t="shared" si="165"/>
        <v>0</v>
      </c>
      <c r="O559" s="577">
        <f t="shared" si="174"/>
        <v>0</v>
      </c>
      <c r="P559" s="578">
        <f t="shared" si="175"/>
        <v>0</v>
      </c>
      <c r="Q559" s="765"/>
      <c r="R559" s="576">
        <f t="shared" si="176"/>
        <v>0</v>
      </c>
      <c r="S559" s="576">
        <f t="shared" si="167"/>
        <v>0</v>
      </c>
      <c r="T559" s="577">
        <f t="shared" si="172"/>
        <v>0</v>
      </c>
      <c r="U559" s="659">
        <f t="shared" si="173"/>
        <v>0</v>
      </c>
      <c r="V559" s="579"/>
      <c r="W559" s="566"/>
      <c r="X559" s="586" t="str">
        <f t="shared" si="170"/>
        <v/>
      </c>
      <c r="Y559" s="586" t="str">
        <f t="shared" si="143"/>
        <v/>
      </c>
      <c r="Z559" s="586" t="str">
        <f t="shared" si="147"/>
        <v/>
      </c>
    </row>
    <row r="560" spans="1:26" ht="12" hidden="1" thickBot="1" x14ac:dyDescent="0.25">
      <c r="A560" s="652" t="s">
        <v>187</v>
      </c>
      <c r="B560" s="572" t="s">
        <v>187</v>
      </c>
      <c r="C560" s="573" t="s">
        <v>187</v>
      </c>
      <c r="D560" s="580"/>
      <c r="E560" s="575"/>
      <c r="F560" s="436"/>
      <c r="G560" s="431"/>
      <c r="H560" s="430"/>
      <c r="I560" s="432"/>
      <c r="J560" s="433"/>
      <c r="K560" s="437">
        <f t="shared" si="178"/>
        <v>0</v>
      </c>
      <c r="L560" s="435" t="s">
        <v>614</v>
      </c>
      <c r="M560" s="576"/>
      <c r="N560" s="576">
        <f t="shared" si="165"/>
        <v>0</v>
      </c>
      <c r="O560" s="577">
        <f t="shared" si="174"/>
        <v>0</v>
      </c>
      <c r="P560" s="578">
        <f t="shared" si="175"/>
        <v>0</v>
      </c>
      <c r="Q560" s="765"/>
      <c r="R560" s="576">
        <f t="shared" si="176"/>
        <v>0</v>
      </c>
      <c r="S560" s="576">
        <f t="shared" si="167"/>
        <v>0</v>
      </c>
      <c r="T560" s="577">
        <f t="shared" si="172"/>
        <v>0</v>
      </c>
      <c r="U560" s="578">
        <f t="shared" si="173"/>
        <v>0</v>
      </c>
      <c r="V560" s="579"/>
      <c r="W560" s="566"/>
      <c r="X560" s="586" t="str">
        <f t="shared" si="170"/>
        <v/>
      </c>
      <c r="Y560" s="586" t="str">
        <f t="shared" si="143"/>
        <v/>
      </c>
      <c r="Z560" s="586" t="str">
        <f t="shared" si="147"/>
        <v/>
      </c>
    </row>
    <row r="561" spans="1:26" ht="12" hidden="1" thickBot="1" x14ac:dyDescent="0.25">
      <c r="A561" s="652" t="s">
        <v>187</v>
      </c>
      <c r="B561" s="572" t="s">
        <v>187</v>
      </c>
      <c r="C561" s="573" t="s">
        <v>187</v>
      </c>
      <c r="D561" s="580"/>
      <c r="E561" s="575"/>
      <c r="F561" s="436"/>
      <c r="G561" s="431"/>
      <c r="H561" s="430"/>
      <c r="I561" s="432"/>
      <c r="J561" s="433"/>
      <c r="K561" s="437">
        <f t="shared" si="178"/>
        <v>0</v>
      </c>
      <c r="L561" s="435" t="s">
        <v>614</v>
      </c>
      <c r="M561" s="576"/>
      <c r="N561" s="576">
        <f t="shared" si="165"/>
        <v>0</v>
      </c>
      <c r="O561" s="577">
        <f t="shared" si="174"/>
        <v>0</v>
      </c>
      <c r="P561" s="578">
        <f t="shared" si="175"/>
        <v>0</v>
      </c>
      <c r="Q561" s="765"/>
      <c r="R561" s="576">
        <f t="shared" si="176"/>
        <v>0</v>
      </c>
      <c r="S561" s="576">
        <f t="shared" si="167"/>
        <v>0</v>
      </c>
      <c r="T561" s="577">
        <f t="shared" si="172"/>
        <v>0</v>
      </c>
      <c r="U561" s="578">
        <f t="shared" si="173"/>
        <v>0</v>
      </c>
      <c r="V561" s="579"/>
      <c r="W561" s="566"/>
      <c r="X561" s="586" t="str">
        <f t="shared" si="170"/>
        <v/>
      </c>
      <c r="Y561" s="586" t="str">
        <f t="shared" si="143"/>
        <v/>
      </c>
      <c r="Z561" s="586" t="str">
        <f t="shared" si="147"/>
        <v/>
      </c>
    </row>
    <row r="562" spans="1:26" ht="12" hidden="1" thickBot="1" x14ac:dyDescent="0.25">
      <c r="A562" s="652" t="s">
        <v>187</v>
      </c>
      <c r="B562" s="572" t="s">
        <v>187</v>
      </c>
      <c r="C562" s="573" t="s">
        <v>187</v>
      </c>
      <c r="D562" s="580"/>
      <c r="E562" s="575"/>
      <c r="F562" s="436"/>
      <c r="G562" s="431"/>
      <c r="H562" s="430"/>
      <c r="I562" s="432"/>
      <c r="J562" s="433"/>
      <c r="K562" s="437">
        <f t="shared" si="178"/>
        <v>0</v>
      </c>
      <c r="L562" s="435" t="s">
        <v>614</v>
      </c>
      <c r="M562" s="576"/>
      <c r="N562" s="576">
        <f t="shared" si="165"/>
        <v>0</v>
      </c>
      <c r="O562" s="577">
        <f t="shared" si="174"/>
        <v>0</v>
      </c>
      <c r="P562" s="578">
        <f t="shared" si="175"/>
        <v>0</v>
      </c>
      <c r="Q562" s="765"/>
      <c r="R562" s="576">
        <f t="shared" si="176"/>
        <v>0</v>
      </c>
      <c r="S562" s="576">
        <f t="shared" si="167"/>
        <v>0</v>
      </c>
      <c r="T562" s="577">
        <f t="shared" si="172"/>
        <v>0</v>
      </c>
      <c r="U562" s="578">
        <f t="shared" si="173"/>
        <v>0</v>
      </c>
      <c r="V562" s="579"/>
      <c r="W562" s="566"/>
      <c r="X562" s="586" t="str">
        <f t="shared" si="170"/>
        <v/>
      </c>
      <c r="Y562" s="586" t="str">
        <f t="shared" si="143"/>
        <v/>
      </c>
      <c r="Z562" s="586" t="str">
        <f t="shared" si="147"/>
        <v/>
      </c>
    </row>
    <row r="563" spans="1:26" ht="12" hidden="1" thickBot="1" x14ac:dyDescent="0.25">
      <c r="A563" s="652" t="s">
        <v>187</v>
      </c>
      <c r="B563" s="572" t="s">
        <v>187</v>
      </c>
      <c r="C563" s="573" t="s">
        <v>187</v>
      </c>
      <c r="D563" s="580"/>
      <c r="E563" s="575"/>
      <c r="F563" s="436"/>
      <c r="G563" s="431"/>
      <c r="H563" s="430"/>
      <c r="I563" s="432"/>
      <c r="J563" s="433"/>
      <c r="K563" s="437">
        <f t="shared" si="178"/>
        <v>0</v>
      </c>
      <c r="L563" s="435" t="s">
        <v>614</v>
      </c>
      <c r="M563" s="576"/>
      <c r="N563" s="576">
        <f t="shared" si="165"/>
        <v>0</v>
      </c>
      <c r="O563" s="577">
        <f t="shared" si="174"/>
        <v>0</v>
      </c>
      <c r="P563" s="578">
        <f t="shared" si="175"/>
        <v>0</v>
      </c>
      <c r="Q563" s="765"/>
      <c r="R563" s="576">
        <f t="shared" si="176"/>
        <v>0</v>
      </c>
      <c r="S563" s="576">
        <f t="shared" si="167"/>
        <v>0</v>
      </c>
      <c r="T563" s="577">
        <f t="shared" si="172"/>
        <v>0</v>
      </c>
      <c r="U563" s="578">
        <f t="shared" si="173"/>
        <v>0</v>
      </c>
      <c r="V563" s="579"/>
      <c r="W563" s="566"/>
      <c r="X563" s="586" t="str">
        <f t="shared" si="170"/>
        <v/>
      </c>
      <c r="Y563" s="586" t="str">
        <f t="shared" si="143"/>
        <v/>
      </c>
      <c r="Z563" s="586" t="str">
        <f t="shared" si="147"/>
        <v/>
      </c>
    </row>
    <row r="564" spans="1:26" ht="12" hidden="1" thickBot="1" x14ac:dyDescent="0.25">
      <c r="A564" s="652" t="s">
        <v>187</v>
      </c>
      <c r="B564" s="572" t="s">
        <v>187</v>
      </c>
      <c r="C564" s="573" t="s">
        <v>187</v>
      </c>
      <c r="D564" s="580"/>
      <c r="E564" s="575"/>
      <c r="F564" s="436"/>
      <c r="G564" s="431"/>
      <c r="H564" s="430"/>
      <c r="I564" s="432"/>
      <c r="J564" s="433"/>
      <c r="K564" s="437">
        <f t="shared" si="178"/>
        <v>0</v>
      </c>
      <c r="L564" s="435" t="s">
        <v>614</v>
      </c>
      <c r="M564" s="576"/>
      <c r="N564" s="576">
        <f t="shared" si="165"/>
        <v>0</v>
      </c>
      <c r="O564" s="577">
        <f t="shared" si="174"/>
        <v>0</v>
      </c>
      <c r="P564" s="578">
        <f t="shared" si="175"/>
        <v>0</v>
      </c>
      <c r="Q564" s="765"/>
      <c r="R564" s="576">
        <f t="shared" si="176"/>
        <v>0</v>
      </c>
      <c r="S564" s="576">
        <f t="shared" si="167"/>
        <v>0</v>
      </c>
      <c r="T564" s="577">
        <f t="shared" si="172"/>
        <v>0</v>
      </c>
      <c r="U564" s="578">
        <f t="shared" si="173"/>
        <v>0</v>
      </c>
      <c r="V564" s="579"/>
      <c r="W564" s="566"/>
      <c r="X564" s="586" t="str">
        <f t="shared" si="170"/>
        <v/>
      </c>
      <c r="Y564" s="586" t="str">
        <f t="shared" si="143"/>
        <v/>
      </c>
      <c r="Z564" s="586" t="str">
        <f t="shared" si="147"/>
        <v/>
      </c>
    </row>
    <row r="565" spans="1:26" ht="12" hidden="1" thickBot="1" x14ac:dyDescent="0.25">
      <c r="A565" s="652" t="s">
        <v>187</v>
      </c>
      <c r="B565" s="572" t="s">
        <v>187</v>
      </c>
      <c r="C565" s="573" t="s">
        <v>187</v>
      </c>
      <c r="D565" s="580"/>
      <c r="E565" s="575"/>
      <c r="F565" s="436"/>
      <c r="G565" s="431"/>
      <c r="H565" s="430"/>
      <c r="I565" s="432"/>
      <c r="J565" s="433"/>
      <c r="K565" s="437">
        <f t="shared" si="178"/>
        <v>0</v>
      </c>
      <c r="L565" s="435" t="s">
        <v>614</v>
      </c>
      <c r="M565" s="576"/>
      <c r="N565" s="576">
        <f t="shared" si="165"/>
        <v>0</v>
      </c>
      <c r="O565" s="577">
        <f t="shared" si="174"/>
        <v>0</v>
      </c>
      <c r="P565" s="578">
        <f t="shared" si="175"/>
        <v>0</v>
      </c>
      <c r="Q565" s="765"/>
      <c r="R565" s="576">
        <f t="shared" si="176"/>
        <v>0</v>
      </c>
      <c r="S565" s="576">
        <f t="shared" si="167"/>
        <v>0</v>
      </c>
      <c r="T565" s="577">
        <f t="shared" si="172"/>
        <v>0</v>
      </c>
      <c r="U565" s="578">
        <f t="shared" si="173"/>
        <v>0</v>
      </c>
      <c r="V565" s="579"/>
      <c r="W565" s="566"/>
      <c r="X565" s="586" t="str">
        <f t="shared" si="170"/>
        <v/>
      </c>
      <c r="Y565" s="586" t="str">
        <f t="shared" si="143"/>
        <v/>
      </c>
      <c r="Z565" s="586" t="str">
        <f t="shared" si="147"/>
        <v/>
      </c>
    </row>
    <row r="566" spans="1:26" ht="12" hidden="1" thickBot="1" x14ac:dyDescent="0.25">
      <c r="A566" s="652" t="s">
        <v>187</v>
      </c>
      <c r="B566" s="572" t="s">
        <v>187</v>
      </c>
      <c r="C566" s="573" t="s">
        <v>187</v>
      </c>
      <c r="D566" s="580"/>
      <c r="E566" s="575"/>
      <c r="F566" s="436"/>
      <c r="G566" s="431"/>
      <c r="H566" s="430"/>
      <c r="I566" s="432"/>
      <c r="J566" s="433"/>
      <c r="K566" s="437">
        <f t="shared" si="178"/>
        <v>0</v>
      </c>
      <c r="L566" s="435" t="s">
        <v>614</v>
      </c>
      <c r="M566" s="576"/>
      <c r="N566" s="576">
        <f t="shared" si="165"/>
        <v>0</v>
      </c>
      <c r="O566" s="577">
        <f t="shared" si="174"/>
        <v>0</v>
      </c>
      <c r="P566" s="578">
        <f t="shared" si="175"/>
        <v>0</v>
      </c>
      <c r="Q566" s="765"/>
      <c r="R566" s="576">
        <f t="shared" si="176"/>
        <v>0</v>
      </c>
      <c r="S566" s="576">
        <f t="shared" si="167"/>
        <v>0</v>
      </c>
      <c r="T566" s="577">
        <f t="shared" si="172"/>
        <v>0</v>
      </c>
      <c r="U566" s="578">
        <f t="shared" si="173"/>
        <v>0</v>
      </c>
      <c r="V566" s="579"/>
      <c r="W566" s="566"/>
      <c r="X566" s="586" t="str">
        <f t="shared" si="170"/>
        <v/>
      </c>
      <c r="Y566" s="586" t="str">
        <f t="shared" si="143"/>
        <v/>
      </c>
      <c r="Z566" s="586" t="str">
        <f t="shared" si="147"/>
        <v/>
      </c>
    </row>
    <row r="567" spans="1:26" ht="12" hidden="1" thickBot="1" x14ac:dyDescent="0.25">
      <c r="A567" s="652" t="s">
        <v>187</v>
      </c>
      <c r="B567" s="572" t="s">
        <v>187</v>
      </c>
      <c r="C567" s="573" t="s">
        <v>187</v>
      </c>
      <c r="D567" s="580"/>
      <c r="E567" s="575"/>
      <c r="F567" s="436"/>
      <c r="G567" s="431"/>
      <c r="H567" s="430"/>
      <c r="I567" s="432"/>
      <c r="J567" s="433"/>
      <c r="K567" s="437">
        <f t="shared" si="178"/>
        <v>0</v>
      </c>
      <c r="L567" s="435" t="s">
        <v>614</v>
      </c>
      <c r="M567" s="576"/>
      <c r="N567" s="576">
        <f t="shared" si="165"/>
        <v>0</v>
      </c>
      <c r="O567" s="577">
        <f t="shared" si="174"/>
        <v>0</v>
      </c>
      <c r="P567" s="578">
        <f t="shared" si="175"/>
        <v>0</v>
      </c>
      <c r="Q567" s="765"/>
      <c r="R567" s="576">
        <f t="shared" si="176"/>
        <v>0</v>
      </c>
      <c r="S567" s="576">
        <f t="shared" si="167"/>
        <v>0</v>
      </c>
      <c r="T567" s="577">
        <f t="shared" si="172"/>
        <v>0</v>
      </c>
      <c r="U567" s="578">
        <f t="shared" si="173"/>
        <v>0</v>
      </c>
      <c r="V567" s="579"/>
      <c r="W567" s="566"/>
      <c r="X567" s="586" t="str">
        <f t="shared" si="170"/>
        <v/>
      </c>
      <c r="Y567" s="586" t="str">
        <f t="shared" si="143"/>
        <v/>
      </c>
      <c r="Z567" s="586" t="str">
        <f t="shared" si="147"/>
        <v/>
      </c>
    </row>
    <row r="568" spans="1:26" ht="12" hidden="1" thickBot="1" x14ac:dyDescent="0.25">
      <c r="A568" s="652" t="s">
        <v>187</v>
      </c>
      <c r="B568" s="572" t="s">
        <v>187</v>
      </c>
      <c r="C568" s="573" t="s">
        <v>187</v>
      </c>
      <c r="D568" s="580"/>
      <c r="E568" s="575"/>
      <c r="F568" s="436"/>
      <c r="G568" s="431"/>
      <c r="H568" s="430"/>
      <c r="I568" s="432"/>
      <c r="J568" s="433"/>
      <c r="K568" s="437">
        <f t="shared" si="178"/>
        <v>0</v>
      </c>
      <c r="L568" s="435" t="s">
        <v>614</v>
      </c>
      <c r="M568" s="576"/>
      <c r="N568" s="576">
        <f t="shared" si="165"/>
        <v>0</v>
      </c>
      <c r="O568" s="577">
        <f t="shared" si="174"/>
        <v>0</v>
      </c>
      <c r="P568" s="578">
        <f t="shared" si="175"/>
        <v>0</v>
      </c>
      <c r="Q568" s="765"/>
      <c r="R568" s="576">
        <f t="shared" si="176"/>
        <v>0</v>
      </c>
      <c r="S568" s="576">
        <f t="shared" si="167"/>
        <v>0</v>
      </c>
      <c r="T568" s="577">
        <f t="shared" si="172"/>
        <v>0</v>
      </c>
      <c r="U568" s="578">
        <f t="shared" si="173"/>
        <v>0</v>
      </c>
      <c r="V568" s="579"/>
      <c r="W568" s="566"/>
      <c r="X568" s="586" t="str">
        <f t="shared" si="170"/>
        <v/>
      </c>
      <c r="Y568" s="586" t="str">
        <f t="shared" si="143"/>
        <v/>
      </c>
      <c r="Z568" s="586" t="str">
        <f t="shared" si="147"/>
        <v/>
      </c>
    </row>
    <row r="569" spans="1:26" ht="12" hidden="1" thickBot="1" x14ac:dyDescent="0.25">
      <c r="A569" s="652" t="s">
        <v>187</v>
      </c>
      <c r="B569" s="572" t="s">
        <v>187</v>
      </c>
      <c r="C569" s="573" t="s">
        <v>187</v>
      </c>
      <c r="D569" s="580"/>
      <c r="E569" s="575"/>
      <c r="F569" s="436"/>
      <c r="G569" s="431"/>
      <c r="H569" s="430"/>
      <c r="I569" s="432"/>
      <c r="J569" s="433"/>
      <c r="K569" s="437">
        <f t="shared" si="178"/>
        <v>0</v>
      </c>
      <c r="L569" s="435" t="s">
        <v>614</v>
      </c>
      <c r="M569" s="576"/>
      <c r="N569" s="576">
        <f t="shared" si="165"/>
        <v>0</v>
      </c>
      <c r="O569" s="577">
        <f t="shared" si="174"/>
        <v>0</v>
      </c>
      <c r="P569" s="578">
        <f t="shared" si="175"/>
        <v>0</v>
      </c>
      <c r="Q569" s="765"/>
      <c r="R569" s="576">
        <f t="shared" si="176"/>
        <v>0</v>
      </c>
      <c r="S569" s="576">
        <f t="shared" si="167"/>
        <v>0</v>
      </c>
      <c r="T569" s="577">
        <f t="shared" si="172"/>
        <v>0</v>
      </c>
      <c r="U569" s="578">
        <f t="shared" si="173"/>
        <v>0</v>
      </c>
      <c r="V569" s="579"/>
      <c r="W569" s="566"/>
      <c r="X569" s="586" t="str">
        <f t="shared" si="170"/>
        <v/>
      </c>
      <c r="Y569" s="586" t="str">
        <f t="shared" si="143"/>
        <v/>
      </c>
      <c r="Z569" s="586" t="str">
        <f t="shared" si="147"/>
        <v/>
      </c>
    </row>
    <row r="570" spans="1:26" ht="12" hidden="1" thickBot="1" x14ac:dyDescent="0.25">
      <c r="A570" s="652" t="s">
        <v>187</v>
      </c>
      <c r="B570" s="572" t="s">
        <v>187</v>
      </c>
      <c r="C570" s="573" t="s">
        <v>187</v>
      </c>
      <c r="D570" s="580"/>
      <c r="E570" s="575"/>
      <c r="F570" s="436"/>
      <c r="G570" s="431"/>
      <c r="H570" s="430"/>
      <c r="I570" s="432"/>
      <c r="J570" s="433"/>
      <c r="K570" s="437">
        <f t="shared" si="178"/>
        <v>0</v>
      </c>
      <c r="L570" s="435" t="s">
        <v>614</v>
      </c>
      <c r="M570" s="576"/>
      <c r="N570" s="576">
        <f t="shared" si="165"/>
        <v>0</v>
      </c>
      <c r="O570" s="577">
        <f t="shared" si="174"/>
        <v>0</v>
      </c>
      <c r="P570" s="578">
        <f t="shared" si="175"/>
        <v>0</v>
      </c>
      <c r="Q570" s="765"/>
      <c r="R570" s="576">
        <f t="shared" si="176"/>
        <v>0</v>
      </c>
      <c r="S570" s="576">
        <f t="shared" si="167"/>
        <v>0</v>
      </c>
      <c r="T570" s="577">
        <f t="shared" si="172"/>
        <v>0</v>
      </c>
      <c r="U570" s="578">
        <f t="shared" si="173"/>
        <v>0</v>
      </c>
      <c r="V570" s="579"/>
      <c r="W570" s="566"/>
      <c r="X570" s="586" t="str">
        <f t="shared" si="170"/>
        <v/>
      </c>
      <c r="Y570" s="586" t="str">
        <f t="shared" si="143"/>
        <v/>
      </c>
      <c r="Z570" s="586" t="str">
        <f t="shared" si="147"/>
        <v/>
      </c>
    </row>
    <row r="571" spans="1:26" ht="12" hidden="1" thickBot="1" x14ac:dyDescent="0.25">
      <c r="A571" s="652" t="s">
        <v>187</v>
      </c>
      <c r="B571" s="572" t="s">
        <v>187</v>
      </c>
      <c r="C571" s="573" t="s">
        <v>187</v>
      </c>
      <c r="D571" s="580"/>
      <c r="E571" s="575"/>
      <c r="F571" s="436"/>
      <c r="G571" s="431"/>
      <c r="H571" s="430"/>
      <c r="I571" s="432"/>
      <c r="J571" s="433"/>
      <c r="K571" s="437">
        <f t="shared" si="178"/>
        <v>0</v>
      </c>
      <c r="L571" s="435" t="s">
        <v>614</v>
      </c>
      <c r="M571" s="576"/>
      <c r="N571" s="576">
        <f t="shared" si="165"/>
        <v>0</v>
      </c>
      <c r="O571" s="577">
        <f t="shared" si="174"/>
        <v>0</v>
      </c>
      <c r="P571" s="578">
        <f t="shared" si="175"/>
        <v>0</v>
      </c>
      <c r="Q571" s="765"/>
      <c r="R571" s="576">
        <f t="shared" si="176"/>
        <v>0</v>
      </c>
      <c r="S571" s="576">
        <f t="shared" si="167"/>
        <v>0</v>
      </c>
      <c r="T571" s="577">
        <f t="shared" si="172"/>
        <v>0</v>
      </c>
      <c r="U571" s="578">
        <f t="shared" si="173"/>
        <v>0</v>
      </c>
      <c r="V571" s="579"/>
      <c r="W571" s="566"/>
      <c r="X571" s="586" t="str">
        <f t="shared" si="170"/>
        <v/>
      </c>
      <c r="Y571" s="586" t="str">
        <f t="shared" si="143"/>
        <v/>
      </c>
      <c r="Z571" s="586" t="str">
        <f t="shared" si="147"/>
        <v/>
      </c>
    </row>
    <row r="572" spans="1:26" ht="12" hidden="1" thickBot="1" x14ac:dyDescent="0.25">
      <c r="A572" s="652" t="s">
        <v>187</v>
      </c>
      <c r="B572" s="572" t="s">
        <v>187</v>
      </c>
      <c r="C572" s="573" t="s">
        <v>187</v>
      </c>
      <c r="D572" s="580"/>
      <c r="E572" s="575"/>
      <c r="F572" s="436"/>
      <c r="G572" s="431"/>
      <c r="H572" s="430"/>
      <c r="I572" s="432"/>
      <c r="J572" s="433"/>
      <c r="K572" s="437">
        <f t="shared" si="178"/>
        <v>0</v>
      </c>
      <c r="L572" s="435" t="s">
        <v>614</v>
      </c>
      <c r="M572" s="576"/>
      <c r="N572" s="576">
        <f t="shared" si="165"/>
        <v>0</v>
      </c>
      <c r="O572" s="577">
        <f t="shared" si="174"/>
        <v>0</v>
      </c>
      <c r="P572" s="578">
        <f t="shared" si="175"/>
        <v>0</v>
      </c>
      <c r="Q572" s="765"/>
      <c r="R572" s="576">
        <f t="shared" si="176"/>
        <v>0</v>
      </c>
      <c r="S572" s="576">
        <f t="shared" si="167"/>
        <v>0</v>
      </c>
      <c r="T572" s="577">
        <f t="shared" si="172"/>
        <v>0</v>
      </c>
      <c r="U572" s="578">
        <f t="shared" si="173"/>
        <v>0</v>
      </c>
      <c r="V572" s="579"/>
      <c r="W572" s="566"/>
      <c r="X572" s="586" t="str">
        <f t="shared" si="170"/>
        <v/>
      </c>
      <c r="Y572" s="586" t="str">
        <f t="shared" si="143"/>
        <v/>
      </c>
      <c r="Z572" s="586" t="str">
        <f t="shared" si="147"/>
        <v/>
      </c>
    </row>
    <row r="573" spans="1:26" ht="12" hidden="1" thickBot="1" x14ac:dyDescent="0.25">
      <c r="A573" s="652" t="s">
        <v>187</v>
      </c>
      <c r="B573" s="572" t="s">
        <v>187</v>
      </c>
      <c r="C573" s="573" t="s">
        <v>187</v>
      </c>
      <c r="D573" s="580"/>
      <c r="E573" s="575"/>
      <c r="F573" s="436"/>
      <c r="G573" s="431"/>
      <c r="H573" s="430"/>
      <c r="I573" s="432"/>
      <c r="J573" s="433"/>
      <c r="K573" s="437">
        <f t="shared" si="178"/>
        <v>0</v>
      </c>
      <c r="L573" s="435" t="s">
        <v>614</v>
      </c>
      <c r="M573" s="576"/>
      <c r="N573" s="576">
        <f t="shared" si="165"/>
        <v>0</v>
      </c>
      <c r="O573" s="577">
        <f t="shared" si="174"/>
        <v>0</v>
      </c>
      <c r="P573" s="578">
        <f t="shared" si="175"/>
        <v>0</v>
      </c>
      <c r="Q573" s="765"/>
      <c r="R573" s="576">
        <f t="shared" si="176"/>
        <v>0</v>
      </c>
      <c r="S573" s="576">
        <f t="shared" si="167"/>
        <v>0</v>
      </c>
      <c r="T573" s="577">
        <f t="shared" si="172"/>
        <v>0</v>
      </c>
      <c r="U573" s="578">
        <f t="shared" si="173"/>
        <v>0</v>
      </c>
      <c r="V573" s="579"/>
      <c r="W573" s="566"/>
      <c r="X573" s="586" t="str">
        <f t="shared" si="170"/>
        <v/>
      </c>
      <c r="Y573" s="586" t="str">
        <f t="shared" si="143"/>
        <v/>
      </c>
      <c r="Z573" s="586" t="str">
        <f t="shared" si="147"/>
        <v/>
      </c>
    </row>
    <row r="574" spans="1:26" ht="12" hidden="1" thickBot="1" x14ac:dyDescent="0.25">
      <c r="A574" s="652" t="s">
        <v>187</v>
      </c>
      <c r="B574" s="572" t="s">
        <v>187</v>
      </c>
      <c r="C574" s="573" t="s">
        <v>187</v>
      </c>
      <c r="D574" s="580"/>
      <c r="E574" s="575"/>
      <c r="F574" s="436"/>
      <c r="G574" s="431"/>
      <c r="H574" s="430"/>
      <c r="I574" s="432"/>
      <c r="J574" s="433"/>
      <c r="K574" s="437">
        <f t="shared" si="178"/>
        <v>0</v>
      </c>
      <c r="L574" s="435" t="s">
        <v>614</v>
      </c>
      <c r="M574" s="576"/>
      <c r="N574" s="576">
        <f t="shared" si="165"/>
        <v>0</v>
      </c>
      <c r="O574" s="577">
        <f t="shared" si="174"/>
        <v>0</v>
      </c>
      <c r="P574" s="578">
        <f t="shared" si="175"/>
        <v>0</v>
      </c>
      <c r="Q574" s="765"/>
      <c r="R574" s="576">
        <f t="shared" si="176"/>
        <v>0</v>
      </c>
      <c r="S574" s="576">
        <f t="shared" si="167"/>
        <v>0</v>
      </c>
      <c r="T574" s="577">
        <f t="shared" si="172"/>
        <v>0</v>
      </c>
      <c r="U574" s="578">
        <f t="shared" si="173"/>
        <v>0</v>
      </c>
      <c r="V574" s="579"/>
      <c r="W574" s="566"/>
      <c r="X574" s="586" t="str">
        <f t="shared" si="170"/>
        <v/>
      </c>
      <c r="Y574" s="586" t="str">
        <f t="shared" si="143"/>
        <v/>
      </c>
      <c r="Z574" s="586" t="str">
        <f t="shared" si="147"/>
        <v/>
      </c>
    </row>
    <row r="575" spans="1:26" ht="12" hidden="1" thickBot="1" x14ac:dyDescent="0.25">
      <c r="A575" s="652" t="s">
        <v>187</v>
      </c>
      <c r="B575" s="572" t="s">
        <v>187</v>
      </c>
      <c r="C575" s="573" t="s">
        <v>187</v>
      </c>
      <c r="D575" s="580"/>
      <c r="E575" s="575"/>
      <c r="F575" s="436"/>
      <c r="G575" s="431"/>
      <c r="H575" s="430"/>
      <c r="I575" s="432"/>
      <c r="J575" s="433"/>
      <c r="K575" s="437">
        <f t="shared" si="178"/>
        <v>0</v>
      </c>
      <c r="L575" s="435" t="s">
        <v>614</v>
      </c>
      <c r="M575" s="576"/>
      <c r="N575" s="576">
        <f t="shared" si="165"/>
        <v>0</v>
      </c>
      <c r="O575" s="577">
        <f t="shared" si="174"/>
        <v>0</v>
      </c>
      <c r="P575" s="578">
        <f t="shared" si="175"/>
        <v>0</v>
      </c>
      <c r="Q575" s="765"/>
      <c r="R575" s="576">
        <f t="shared" si="176"/>
        <v>0</v>
      </c>
      <c r="S575" s="576">
        <f t="shared" si="167"/>
        <v>0</v>
      </c>
      <c r="T575" s="577">
        <f t="shared" si="172"/>
        <v>0</v>
      </c>
      <c r="U575" s="578">
        <f t="shared" si="173"/>
        <v>0</v>
      </c>
      <c r="V575" s="579"/>
      <c r="W575" s="566"/>
      <c r="X575" s="586" t="str">
        <f t="shared" si="170"/>
        <v/>
      </c>
      <c r="Y575" s="586" t="str">
        <f t="shared" si="143"/>
        <v/>
      </c>
      <c r="Z575" s="586" t="str">
        <f t="shared" si="147"/>
        <v/>
      </c>
    </row>
    <row r="576" spans="1:26" ht="12" hidden="1" thickBot="1" x14ac:dyDescent="0.25">
      <c r="A576" s="652" t="s">
        <v>187</v>
      </c>
      <c r="B576" s="572" t="s">
        <v>187</v>
      </c>
      <c r="C576" s="573" t="s">
        <v>187</v>
      </c>
      <c r="D576" s="580"/>
      <c r="E576" s="575"/>
      <c r="F576" s="436"/>
      <c r="G576" s="431"/>
      <c r="H576" s="430"/>
      <c r="I576" s="432"/>
      <c r="J576" s="433"/>
      <c r="K576" s="437">
        <f t="shared" si="178"/>
        <v>0</v>
      </c>
      <c r="L576" s="435" t="s">
        <v>614</v>
      </c>
      <c r="M576" s="576"/>
      <c r="N576" s="576">
        <f t="shared" si="165"/>
        <v>0</v>
      </c>
      <c r="O576" s="577">
        <f t="shared" si="174"/>
        <v>0</v>
      </c>
      <c r="P576" s="578">
        <f t="shared" si="175"/>
        <v>0</v>
      </c>
      <c r="Q576" s="765"/>
      <c r="R576" s="576">
        <f t="shared" si="176"/>
        <v>0</v>
      </c>
      <c r="S576" s="576">
        <f t="shared" si="167"/>
        <v>0</v>
      </c>
      <c r="T576" s="577">
        <f t="shared" si="172"/>
        <v>0</v>
      </c>
      <c r="U576" s="578">
        <f t="shared" si="173"/>
        <v>0</v>
      </c>
      <c r="V576" s="579"/>
      <c r="W576" s="566"/>
      <c r="X576" s="586" t="str">
        <f t="shared" si="170"/>
        <v/>
      </c>
      <c r="Y576" s="586" t="str">
        <f t="shared" si="143"/>
        <v/>
      </c>
      <c r="Z576" s="586" t="str">
        <f t="shared" si="147"/>
        <v/>
      </c>
    </row>
    <row r="577" spans="1:26" ht="12" hidden="1" thickBot="1" x14ac:dyDescent="0.25">
      <c r="A577" s="652" t="s">
        <v>187</v>
      </c>
      <c r="B577" s="572" t="s">
        <v>187</v>
      </c>
      <c r="C577" s="573" t="s">
        <v>187</v>
      </c>
      <c r="D577" s="580"/>
      <c r="E577" s="575"/>
      <c r="F577" s="436"/>
      <c r="G577" s="431"/>
      <c r="H577" s="430"/>
      <c r="I577" s="432"/>
      <c r="J577" s="433"/>
      <c r="K577" s="437">
        <f t="shared" si="178"/>
        <v>0</v>
      </c>
      <c r="L577" s="435" t="s">
        <v>614</v>
      </c>
      <c r="M577" s="576"/>
      <c r="N577" s="576">
        <f t="shared" si="165"/>
        <v>0</v>
      </c>
      <c r="O577" s="577">
        <f t="shared" si="174"/>
        <v>0</v>
      </c>
      <c r="P577" s="578">
        <f t="shared" si="175"/>
        <v>0</v>
      </c>
      <c r="Q577" s="765"/>
      <c r="R577" s="576">
        <f t="shared" si="176"/>
        <v>0</v>
      </c>
      <c r="S577" s="576">
        <f t="shared" si="167"/>
        <v>0</v>
      </c>
      <c r="T577" s="577">
        <f t="shared" si="172"/>
        <v>0</v>
      </c>
      <c r="U577" s="578">
        <f t="shared" si="173"/>
        <v>0</v>
      </c>
      <c r="V577" s="579"/>
      <c r="W577" s="566"/>
      <c r="X577" s="586" t="str">
        <f t="shared" si="170"/>
        <v/>
      </c>
      <c r="Y577" s="586" t="str">
        <f t="shared" si="143"/>
        <v/>
      </c>
      <c r="Z577" s="586" t="str">
        <f t="shared" si="147"/>
        <v/>
      </c>
    </row>
    <row r="578" spans="1:26" ht="12" hidden="1" thickBot="1" x14ac:dyDescent="0.25">
      <c r="A578" s="652" t="s">
        <v>187</v>
      </c>
      <c r="B578" s="572" t="s">
        <v>187</v>
      </c>
      <c r="C578" s="573" t="s">
        <v>187</v>
      </c>
      <c r="D578" s="580"/>
      <c r="E578" s="575"/>
      <c r="F578" s="436"/>
      <c r="G578" s="431"/>
      <c r="H578" s="430"/>
      <c r="I578" s="432"/>
      <c r="J578" s="433"/>
      <c r="K578" s="437">
        <f t="shared" si="178"/>
        <v>0</v>
      </c>
      <c r="L578" s="435" t="s">
        <v>614</v>
      </c>
      <c r="M578" s="576"/>
      <c r="N578" s="576">
        <f t="shared" si="165"/>
        <v>0</v>
      </c>
      <c r="O578" s="577">
        <f t="shared" si="174"/>
        <v>0</v>
      </c>
      <c r="P578" s="578">
        <f t="shared" si="175"/>
        <v>0</v>
      </c>
      <c r="Q578" s="765"/>
      <c r="R578" s="576">
        <f t="shared" si="176"/>
        <v>0</v>
      </c>
      <c r="S578" s="576">
        <f t="shared" si="167"/>
        <v>0</v>
      </c>
      <c r="T578" s="577">
        <f t="shared" si="172"/>
        <v>0</v>
      </c>
      <c r="U578" s="578">
        <f t="shared" si="173"/>
        <v>0</v>
      </c>
      <c r="V578" s="579"/>
      <c r="W578" s="566"/>
      <c r="X578" s="586" t="str">
        <f t="shared" si="170"/>
        <v/>
      </c>
      <c r="Y578" s="586" t="str">
        <f t="shared" si="143"/>
        <v/>
      </c>
      <c r="Z578" s="586" t="str">
        <f t="shared" si="147"/>
        <v/>
      </c>
    </row>
    <row r="579" spans="1:26" ht="12" hidden="1" thickBot="1" x14ac:dyDescent="0.25">
      <c r="A579" s="652" t="s">
        <v>187</v>
      </c>
      <c r="B579" s="572" t="s">
        <v>187</v>
      </c>
      <c r="C579" s="573" t="s">
        <v>187</v>
      </c>
      <c r="D579" s="580"/>
      <c r="E579" s="575"/>
      <c r="F579" s="436"/>
      <c r="G579" s="431"/>
      <c r="H579" s="430"/>
      <c r="I579" s="432"/>
      <c r="J579" s="433"/>
      <c r="K579" s="437">
        <f t="shared" si="178"/>
        <v>0</v>
      </c>
      <c r="L579" s="435" t="s">
        <v>614</v>
      </c>
      <c r="M579" s="576"/>
      <c r="N579" s="576">
        <f t="shared" si="165"/>
        <v>0</v>
      </c>
      <c r="O579" s="577">
        <f t="shared" si="174"/>
        <v>0</v>
      </c>
      <c r="P579" s="578">
        <f t="shared" si="175"/>
        <v>0</v>
      </c>
      <c r="Q579" s="765"/>
      <c r="R579" s="576">
        <f t="shared" si="176"/>
        <v>0</v>
      </c>
      <c r="S579" s="576">
        <f t="shared" si="167"/>
        <v>0</v>
      </c>
      <c r="T579" s="577">
        <f t="shared" si="172"/>
        <v>0</v>
      </c>
      <c r="U579" s="578">
        <f t="shared" si="173"/>
        <v>0</v>
      </c>
      <c r="V579" s="579"/>
      <c r="W579" s="566"/>
      <c r="X579" s="586" t="str">
        <f t="shared" si="170"/>
        <v/>
      </c>
      <c r="Y579" s="586" t="str">
        <f t="shared" si="143"/>
        <v/>
      </c>
      <c r="Z579" s="586" t="str">
        <f t="shared" si="147"/>
        <v/>
      </c>
    </row>
    <row r="580" spans="1:26" ht="12" hidden="1" thickBot="1" x14ac:dyDescent="0.25">
      <c r="A580" s="652" t="s">
        <v>187</v>
      </c>
      <c r="B580" s="572" t="s">
        <v>187</v>
      </c>
      <c r="C580" s="573" t="s">
        <v>187</v>
      </c>
      <c r="D580" s="580"/>
      <c r="E580" s="575"/>
      <c r="F580" s="436"/>
      <c r="G580" s="431"/>
      <c r="H580" s="430"/>
      <c r="I580" s="432"/>
      <c r="J580" s="433"/>
      <c r="K580" s="437">
        <f t="shared" si="178"/>
        <v>0</v>
      </c>
      <c r="L580" s="435" t="s">
        <v>614</v>
      </c>
      <c r="M580" s="576"/>
      <c r="N580" s="576">
        <f t="shared" si="165"/>
        <v>0</v>
      </c>
      <c r="O580" s="577">
        <f t="shared" si="174"/>
        <v>0</v>
      </c>
      <c r="P580" s="578">
        <f t="shared" si="175"/>
        <v>0</v>
      </c>
      <c r="Q580" s="765"/>
      <c r="R580" s="576">
        <f t="shared" si="176"/>
        <v>0</v>
      </c>
      <c r="S580" s="576">
        <f t="shared" si="167"/>
        <v>0</v>
      </c>
      <c r="T580" s="577">
        <f t="shared" si="172"/>
        <v>0</v>
      </c>
      <c r="U580" s="578">
        <f t="shared" si="173"/>
        <v>0</v>
      </c>
      <c r="V580" s="579"/>
      <c r="W580" s="566"/>
      <c r="X580" s="586" t="str">
        <f t="shared" si="170"/>
        <v/>
      </c>
      <c r="Y580" s="586" t="str">
        <f t="shared" si="143"/>
        <v/>
      </c>
      <c r="Z580" s="586" t="str">
        <f t="shared" si="147"/>
        <v/>
      </c>
    </row>
    <row r="581" spans="1:26" ht="12" hidden="1" thickBot="1" x14ac:dyDescent="0.25">
      <c r="A581" s="652" t="s">
        <v>187</v>
      </c>
      <c r="B581" s="572" t="s">
        <v>187</v>
      </c>
      <c r="C581" s="573" t="s">
        <v>187</v>
      </c>
      <c r="D581" s="580"/>
      <c r="E581" s="575"/>
      <c r="F581" s="436"/>
      <c r="G581" s="431"/>
      <c r="H581" s="430"/>
      <c r="I581" s="432"/>
      <c r="J581" s="433"/>
      <c r="K581" s="437">
        <f t="shared" si="178"/>
        <v>0</v>
      </c>
      <c r="L581" s="435" t="s">
        <v>614</v>
      </c>
      <c r="M581" s="576"/>
      <c r="N581" s="576">
        <f t="shared" si="165"/>
        <v>0</v>
      </c>
      <c r="O581" s="577">
        <f t="shared" si="174"/>
        <v>0</v>
      </c>
      <c r="P581" s="578">
        <f t="shared" si="175"/>
        <v>0</v>
      </c>
      <c r="Q581" s="765"/>
      <c r="R581" s="576">
        <f t="shared" si="176"/>
        <v>0</v>
      </c>
      <c r="S581" s="576">
        <f t="shared" si="167"/>
        <v>0</v>
      </c>
      <c r="T581" s="577">
        <f t="shared" si="172"/>
        <v>0</v>
      </c>
      <c r="U581" s="578">
        <f t="shared" si="173"/>
        <v>0</v>
      </c>
      <c r="V581" s="579"/>
      <c r="W581" s="566"/>
      <c r="X581" s="586" t="str">
        <f t="shared" si="170"/>
        <v/>
      </c>
      <c r="Y581" s="586" t="str">
        <f t="shared" si="143"/>
        <v/>
      </c>
      <c r="Z581" s="586" t="str">
        <f t="shared" si="147"/>
        <v/>
      </c>
    </row>
    <row r="582" spans="1:26" ht="12" hidden="1" thickBot="1" x14ac:dyDescent="0.25">
      <c r="A582" s="652" t="s">
        <v>187</v>
      </c>
      <c r="B582" s="581" t="s">
        <v>187</v>
      </c>
      <c r="C582" s="582" t="s">
        <v>187</v>
      </c>
      <c r="D582" s="583"/>
      <c r="E582" s="584"/>
      <c r="F582" s="438"/>
      <c r="G582" s="439"/>
      <c r="H582" s="440"/>
      <c r="I582" s="441"/>
      <c r="J582" s="442"/>
      <c r="K582" s="443">
        <f t="shared" si="178"/>
        <v>0</v>
      </c>
      <c r="L582" s="444" t="s">
        <v>614</v>
      </c>
      <c r="M582" s="588"/>
      <c r="N582" s="576">
        <f t="shared" si="165"/>
        <v>0</v>
      </c>
      <c r="O582" s="585">
        <f t="shared" si="174"/>
        <v>0</v>
      </c>
      <c r="P582" s="660">
        <f t="shared" si="175"/>
        <v>0</v>
      </c>
      <c r="Q582" s="765"/>
      <c r="R582" s="576">
        <f t="shared" si="176"/>
        <v>0</v>
      </c>
      <c r="S582" s="576">
        <f t="shared" si="167"/>
        <v>0</v>
      </c>
      <c r="T582" s="585">
        <f t="shared" si="172"/>
        <v>0</v>
      </c>
      <c r="U582" s="660">
        <f t="shared" si="173"/>
        <v>0</v>
      </c>
      <c r="V582" s="579"/>
      <c r="W582" s="566"/>
      <c r="X582" s="586" t="str">
        <f t="shared" si="170"/>
        <v/>
      </c>
      <c r="Y582" s="586" t="str">
        <f t="shared" si="143"/>
        <v/>
      </c>
      <c r="Z582" s="586" t="str">
        <f t="shared" si="147"/>
        <v/>
      </c>
    </row>
    <row r="583" spans="1:26" ht="12" thickBot="1" x14ac:dyDescent="0.25">
      <c r="A583" s="567" t="s">
        <v>227</v>
      </c>
      <c r="B583" s="664" t="s">
        <v>227</v>
      </c>
      <c r="C583" s="665"/>
      <c r="D583" s="666" t="s">
        <v>668</v>
      </c>
      <c r="E583" s="631"/>
      <c r="F583" s="632"/>
      <c r="G583" s="633"/>
      <c r="H583" s="634"/>
      <c r="I583" s="409"/>
      <c r="J583" s="409"/>
      <c r="K583" s="409"/>
      <c r="L583" s="409" t="s">
        <v>614</v>
      </c>
      <c r="M583" s="634"/>
      <c r="N583" s="797"/>
      <c r="O583" s="409">
        <f t="shared" si="174"/>
        <v>0</v>
      </c>
      <c r="P583" s="635">
        <f t="shared" si="175"/>
        <v>0</v>
      </c>
      <c r="Q583" s="635">
        <f>SUM(P584:P779)</f>
        <v>100106.7</v>
      </c>
      <c r="R583" s="634"/>
      <c r="S583" s="409"/>
      <c r="T583" s="409">
        <f t="shared" si="172"/>
        <v>0</v>
      </c>
      <c r="U583" s="635">
        <f t="shared" si="173"/>
        <v>0</v>
      </c>
      <c r="V583" s="636">
        <f>SUM(U584:U779)</f>
        <v>100106.7</v>
      </c>
      <c r="W583" s="637" t="str">
        <f>IF(OR(Q583&gt;0,V583&gt;0),"X","")</f>
        <v>X</v>
      </c>
      <c r="X583" s="586" t="str">
        <f t="shared" si="170"/>
        <v>x</v>
      </c>
      <c r="Y583" s="586" t="str">
        <f t="shared" si="143"/>
        <v>x</v>
      </c>
      <c r="Z583" s="586" t="str">
        <f t="shared" si="147"/>
        <v>x</v>
      </c>
    </row>
    <row r="584" spans="1:26" hidden="1" x14ac:dyDescent="0.2">
      <c r="A584" s="567">
        <v>810250</v>
      </c>
      <c r="B584" s="644" t="s">
        <v>1584</v>
      </c>
      <c r="C584" s="645" t="s">
        <v>206</v>
      </c>
      <c r="D584" s="422" t="s">
        <v>488</v>
      </c>
      <c r="E584" s="423"/>
      <c r="F584" s="424">
        <v>10</v>
      </c>
      <c r="G584" s="425">
        <f>ROUND(0.017*2.34,4)</f>
        <v>3.9800000000000002E-2</v>
      </c>
      <c r="H584" s="663">
        <f t="shared" ref="H584:H587" si="179">IF(F584&lt;=30,(1.07*F584+2.68)*G584,((1.07*30+2.68)+1.07*(F584-30))*G584)</f>
        <v>0.53252400000000011</v>
      </c>
      <c r="I584" s="420">
        <v>19.262602000000001</v>
      </c>
      <c r="J584" s="420">
        <f t="shared" ref="J584:J593" si="180">IF(ISBLANK(I584),"",SUM(H584:I584))</f>
        <v>19.795126</v>
      </c>
      <c r="K584" s="421">
        <f t="shared" ref="K584:K647" si="181">IF(ISBLANK(I584),0,ROUND(J584*(1+$F$10)*(1+$F$11*E584),2))</f>
        <v>23.52</v>
      </c>
      <c r="L584" s="647" t="s">
        <v>19</v>
      </c>
      <c r="M584" s="576"/>
      <c r="N584" s="576">
        <f t="shared" si="165"/>
        <v>0</v>
      </c>
      <c r="O584" s="642">
        <f t="shared" si="174"/>
        <v>0</v>
      </c>
      <c r="P584" s="659">
        <f t="shared" si="175"/>
        <v>0</v>
      </c>
      <c r="Q584" s="765"/>
      <c r="R584" s="576">
        <f t="shared" si="176"/>
        <v>0</v>
      </c>
      <c r="S584" s="576">
        <f t="shared" si="167"/>
        <v>0</v>
      </c>
      <c r="T584" s="577">
        <f t="shared" si="172"/>
        <v>0</v>
      </c>
      <c r="U584" s="578">
        <f t="shared" si="173"/>
        <v>0</v>
      </c>
      <c r="V584" s="579"/>
      <c r="W584" s="566"/>
      <c r="X584" s="586" t="str">
        <f t="shared" si="170"/>
        <v/>
      </c>
      <c r="Y584" s="586" t="str">
        <f t="shared" si="143"/>
        <v/>
      </c>
      <c r="Z584" s="586" t="str">
        <f t="shared" si="147"/>
        <v/>
      </c>
    </row>
    <row r="585" spans="1:26" hidden="1" x14ac:dyDescent="0.2">
      <c r="A585" s="567">
        <v>810250</v>
      </c>
      <c r="B585" s="644" t="s">
        <v>1585</v>
      </c>
      <c r="C585" s="645" t="s">
        <v>206</v>
      </c>
      <c r="D585" s="422" t="s">
        <v>616</v>
      </c>
      <c r="E585" s="423"/>
      <c r="F585" s="424">
        <v>10</v>
      </c>
      <c r="G585" s="425">
        <f>ROUND(0.01125*2.34,4)</f>
        <v>2.63E-2</v>
      </c>
      <c r="H585" s="663">
        <f t="shared" si="179"/>
        <v>0.35189400000000004</v>
      </c>
      <c r="I585" s="420">
        <v>12.672704</v>
      </c>
      <c r="J585" s="420">
        <f t="shared" si="180"/>
        <v>13.024597999999999</v>
      </c>
      <c r="K585" s="421">
        <f t="shared" si="181"/>
        <v>15.47</v>
      </c>
      <c r="L585" s="647" t="s">
        <v>19</v>
      </c>
      <c r="M585" s="576"/>
      <c r="N585" s="576">
        <f t="shared" si="165"/>
        <v>0</v>
      </c>
      <c r="O585" s="577">
        <f t="shared" si="174"/>
        <v>0</v>
      </c>
      <c r="P585" s="578">
        <f t="shared" si="175"/>
        <v>0</v>
      </c>
      <c r="Q585" s="765"/>
      <c r="R585" s="576">
        <f t="shared" si="176"/>
        <v>0</v>
      </c>
      <c r="S585" s="576">
        <f t="shared" si="167"/>
        <v>0</v>
      </c>
      <c r="T585" s="577">
        <f t="shared" si="172"/>
        <v>0</v>
      </c>
      <c r="U585" s="578">
        <f t="shared" si="173"/>
        <v>0</v>
      </c>
      <c r="V585" s="579"/>
      <c r="W585" s="566"/>
      <c r="X585" s="586" t="str">
        <f t="shared" si="170"/>
        <v/>
      </c>
      <c r="Y585" s="586" t="str">
        <f t="shared" si="143"/>
        <v/>
      </c>
      <c r="Z585" s="586" t="str">
        <f t="shared" si="147"/>
        <v/>
      </c>
    </row>
    <row r="586" spans="1:26" hidden="1" x14ac:dyDescent="0.2">
      <c r="A586" s="567">
        <v>810250</v>
      </c>
      <c r="B586" s="644" t="s">
        <v>1586</v>
      </c>
      <c r="C586" s="645" t="s">
        <v>206</v>
      </c>
      <c r="D586" s="422" t="s">
        <v>490</v>
      </c>
      <c r="E586" s="423"/>
      <c r="F586" s="424">
        <v>10</v>
      </c>
      <c r="G586" s="425">
        <f>ROUND(0.014*2.34,4)</f>
        <v>3.2800000000000003E-2</v>
      </c>
      <c r="H586" s="663">
        <f t="shared" si="179"/>
        <v>0.43886400000000009</v>
      </c>
      <c r="I586" s="420">
        <v>15.770599499999998</v>
      </c>
      <c r="J586" s="420">
        <f t="shared" si="180"/>
        <v>16.209463499999998</v>
      </c>
      <c r="K586" s="421">
        <f t="shared" si="181"/>
        <v>19.260000000000002</v>
      </c>
      <c r="L586" s="647" t="s">
        <v>19</v>
      </c>
      <c r="M586" s="576"/>
      <c r="N586" s="576">
        <f t="shared" si="165"/>
        <v>0</v>
      </c>
      <c r="O586" s="577">
        <f t="shared" si="174"/>
        <v>0</v>
      </c>
      <c r="P586" s="578">
        <f t="shared" si="175"/>
        <v>0</v>
      </c>
      <c r="Q586" s="765"/>
      <c r="R586" s="576">
        <f t="shared" si="176"/>
        <v>0</v>
      </c>
      <c r="S586" s="576">
        <f t="shared" si="167"/>
        <v>0</v>
      </c>
      <c r="T586" s="577">
        <f t="shared" si="172"/>
        <v>0</v>
      </c>
      <c r="U586" s="578">
        <f t="shared" si="173"/>
        <v>0</v>
      </c>
      <c r="V586" s="579"/>
      <c r="W586" s="566"/>
      <c r="X586" s="586" t="str">
        <f t="shared" si="170"/>
        <v/>
      </c>
      <c r="Y586" s="586" t="str">
        <f t="shared" si="143"/>
        <v/>
      </c>
      <c r="Z586" s="586" t="str">
        <f t="shared" si="147"/>
        <v/>
      </c>
    </row>
    <row r="587" spans="1:26" hidden="1" x14ac:dyDescent="0.2">
      <c r="A587" s="567" t="s">
        <v>2063</v>
      </c>
      <c r="B587" s="644" t="s">
        <v>1587</v>
      </c>
      <c r="C587" s="645" t="s">
        <v>484</v>
      </c>
      <c r="D587" s="422" t="s">
        <v>491</v>
      </c>
      <c r="E587" s="423"/>
      <c r="F587" s="424">
        <v>10</v>
      </c>
      <c r="G587" s="425">
        <f>ROUND(0.012*1.8,4)</f>
        <v>2.1600000000000001E-2</v>
      </c>
      <c r="H587" s="663">
        <f t="shared" si="179"/>
        <v>0.28900800000000004</v>
      </c>
      <c r="I587" s="420">
        <v>41.73</v>
      </c>
      <c r="J587" s="420">
        <f t="shared" si="180"/>
        <v>42.019007999999999</v>
      </c>
      <c r="K587" s="421">
        <f t="shared" si="181"/>
        <v>49.92</v>
      </c>
      <c r="L587" s="647" t="s">
        <v>19</v>
      </c>
      <c r="M587" s="576"/>
      <c r="N587" s="576">
        <f t="shared" si="165"/>
        <v>0</v>
      </c>
      <c r="O587" s="577">
        <f t="shared" si="174"/>
        <v>0</v>
      </c>
      <c r="P587" s="578">
        <f t="shared" si="175"/>
        <v>0</v>
      </c>
      <c r="Q587" s="765"/>
      <c r="R587" s="576">
        <f t="shared" si="176"/>
        <v>0</v>
      </c>
      <c r="S587" s="576">
        <f t="shared" si="167"/>
        <v>0</v>
      </c>
      <c r="T587" s="577">
        <f t="shared" si="172"/>
        <v>0</v>
      </c>
      <c r="U587" s="578">
        <f t="shared" si="173"/>
        <v>0</v>
      </c>
      <c r="V587" s="579"/>
      <c r="W587" s="566"/>
      <c r="X587" s="586" t="str">
        <f t="shared" si="170"/>
        <v/>
      </c>
      <c r="Y587" s="586" t="str">
        <f t="shared" si="143"/>
        <v/>
      </c>
      <c r="Z587" s="586" t="str">
        <f t="shared" si="147"/>
        <v/>
      </c>
    </row>
    <row r="588" spans="1:26" hidden="1" x14ac:dyDescent="0.2">
      <c r="A588" s="567">
        <v>606700</v>
      </c>
      <c r="B588" s="644" t="s">
        <v>1804</v>
      </c>
      <c r="C588" s="645" t="s">
        <v>206</v>
      </c>
      <c r="D588" s="422" t="s">
        <v>273</v>
      </c>
      <c r="E588" s="423"/>
      <c r="F588" s="424">
        <v>0</v>
      </c>
      <c r="G588" s="425"/>
      <c r="H588" s="651">
        <f t="shared" ref="H588:H589" si="182">IF(F588&lt;=30,(0.87*F588+2.18)*G588,((0.87*30+2.18)+0.87*(F588-30))*G588)</f>
        <v>0</v>
      </c>
      <c r="I588" s="420">
        <v>143.94</v>
      </c>
      <c r="J588" s="420">
        <f t="shared" si="180"/>
        <v>143.94</v>
      </c>
      <c r="K588" s="421">
        <f t="shared" si="181"/>
        <v>171.02</v>
      </c>
      <c r="L588" s="647" t="s">
        <v>16</v>
      </c>
      <c r="M588" s="576"/>
      <c r="N588" s="576">
        <f t="shared" si="165"/>
        <v>0</v>
      </c>
      <c r="O588" s="577">
        <f t="shared" si="174"/>
        <v>0</v>
      </c>
      <c r="P588" s="578">
        <f t="shared" si="175"/>
        <v>0</v>
      </c>
      <c r="Q588" s="765"/>
      <c r="R588" s="576">
        <f t="shared" si="176"/>
        <v>0</v>
      </c>
      <c r="S588" s="576">
        <f t="shared" si="167"/>
        <v>0</v>
      </c>
      <c r="T588" s="577">
        <f t="shared" si="172"/>
        <v>0</v>
      </c>
      <c r="U588" s="578">
        <f t="shared" si="173"/>
        <v>0</v>
      </c>
      <c r="V588" s="579"/>
      <c r="W588" s="566"/>
      <c r="X588" s="586" t="str">
        <f t="shared" si="170"/>
        <v/>
      </c>
      <c r="Y588" s="586" t="str">
        <f t="shared" si="143"/>
        <v/>
      </c>
      <c r="Z588" s="586" t="str">
        <f t="shared" si="147"/>
        <v/>
      </c>
    </row>
    <row r="589" spans="1:26" hidden="1" x14ac:dyDescent="0.2">
      <c r="A589" s="567">
        <v>606600</v>
      </c>
      <c r="B589" s="644" t="s">
        <v>1805</v>
      </c>
      <c r="C589" s="645" t="s">
        <v>206</v>
      </c>
      <c r="D589" s="422" t="s">
        <v>820</v>
      </c>
      <c r="E589" s="423"/>
      <c r="F589" s="424">
        <v>0</v>
      </c>
      <c r="G589" s="425"/>
      <c r="H589" s="651">
        <f t="shared" si="182"/>
        <v>0</v>
      </c>
      <c r="I589" s="420">
        <v>300.33999999999997</v>
      </c>
      <c r="J589" s="420">
        <f t="shared" si="180"/>
        <v>300.33999999999997</v>
      </c>
      <c r="K589" s="421">
        <f t="shared" si="181"/>
        <v>356.83</v>
      </c>
      <c r="L589" s="647" t="s">
        <v>16</v>
      </c>
      <c r="M589" s="576"/>
      <c r="N589" s="576">
        <f t="shared" si="165"/>
        <v>0</v>
      </c>
      <c r="O589" s="577">
        <f t="shared" si="174"/>
        <v>0</v>
      </c>
      <c r="P589" s="578">
        <f t="shared" si="175"/>
        <v>0</v>
      </c>
      <c r="Q589" s="765"/>
      <c r="R589" s="576">
        <f t="shared" si="176"/>
        <v>0</v>
      </c>
      <c r="S589" s="576">
        <f t="shared" si="167"/>
        <v>0</v>
      </c>
      <c r="T589" s="577">
        <f t="shared" si="172"/>
        <v>0</v>
      </c>
      <c r="U589" s="578">
        <f t="shared" si="173"/>
        <v>0</v>
      </c>
      <c r="V589" s="579"/>
      <c r="W589" s="566"/>
      <c r="X589" s="586" t="str">
        <f t="shared" si="170"/>
        <v/>
      </c>
      <c r="Y589" s="586" t="str">
        <f t="shared" si="143"/>
        <v/>
      </c>
      <c r="Z589" s="586" t="str">
        <f t="shared" si="147"/>
        <v/>
      </c>
    </row>
    <row r="590" spans="1:26" x14ac:dyDescent="0.2">
      <c r="A590" s="671">
        <v>100576</v>
      </c>
      <c r="B590" s="644" t="s">
        <v>1806</v>
      </c>
      <c r="C590" s="645" t="s">
        <v>670</v>
      </c>
      <c r="D590" s="422" t="s">
        <v>205</v>
      </c>
      <c r="E590" s="423"/>
      <c r="F590" s="418">
        <v>0</v>
      </c>
      <c r="G590" s="425"/>
      <c r="H590" s="651">
        <f>IF(F590&lt;=30,(0.62*F590+6.29)*G590,((0.62*30+6.29)+0.62*(F590-30))*G590)</f>
        <v>0</v>
      </c>
      <c r="I590" s="420">
        <v>2.4300000000000002</v>
      </c>
      <c r="J590" s="420">
        <f t="shared" si="180"/>
        <v>2.4300000000000002</v>
      </c>
      <c r="K590" s="421">
        <f t="shared" si="181"/>
        <v>2.89</v>
      </c>
      <c r="L590" s="647" t="s">
        <v>18</v>
      </c>
      <c r="M590" s="576">
        <v>1633.92</v>
      </c>
      <c r="N590" s="576">
        <f t="shared" si="165"/>
        <v>2.89</v>
      </c>
      <c r="O590" s="577">
        <f t="shared" si="174"/>
        <v>4722.03</v>
      </c>
      <c r="P590" s="578">
        <f t="shared" si="175"/>
        <v>4722.03</v>
      </c>
      <c r="Q590" s="765"/>
      <c r="R590" s="576">
        <f t="shared" si="176"/>
        <v>1633.92</v>
      </c>
      <c r="S590" s="576">
        <f t="shared" si="167"/>
        <v>2.89</v>
      </c>
      <c r="T590" s="577">
        <f t="shared" si="172"/>
        <v>4722.03</v>
      </c>
      <c r="U590" s="578">
        <f t="shared" si="173"/>
        <v>4722.03</v>
      </c>
      <c r="V590" s="579"/>
      <c r="W590" s="566"/>
      <c r="X590" s="586" t="str">
        <f t="shared" si="170"/>
        <v>x</v>
      </c>
      <c r="Y590" s="586" t="str">
        <f t="shared" si="143"/>
        <v>x</v>
      </c>
      <c r="Z590" s="586" t="str">
        <f t="shared" ref="Z590:Z656" si="183">IF(W590="X","x",IF(U590&gt;0,"x",""))</f>
        <v>x</v>
      </c>
    </row>
    <row r="591" spans="1:26" hidden="1" x14ac:dyDescent="0.2">
      <c r="A591" s="567">
        <v>532500</v>
      </c>
      <c r="B591" s="644" t="s">
        <v>1807</v>
      </c>
      <c r="C591" s="645" t="s">
        <v>206</v>
      </c>
      <c r="D591" s="451" t="s">
        <v>340</v>
      </c>
      <c r="E591" s="423"/>
      <c r="F591" s="424">
        <v>20</v>
      </c>
      <c r="G591" s="425">
        <v>1.7250000000000001</v>
      </c>
      <c r="H591" s="663">
        <f t="shared" ref="H591:H592" si="184">IF(F591&lt;=30,(1.07*F591+2.68)*G591,((1.07*30+2.68)+1.07*(F591-30))*G591)</f>
        <v>41.538000000000004</v>
      </c>
      <c r="I591" s="420">
        <v>97.26</v>
      </c>
      <c r="J591" s="420">
        <f t="shared" si="180"/>
        <v>138.798</v>
      </c>
      <c r="K591" s="421">
        <f t="shared" si="181"/>
        <v>164.91</v>
      </c>
      <c r="L591" s="647" t="s">
        <v>16</v>
      </c>
      <c r="M591" s="576"/>
      <c r="N591" s="576">
        <f t="shared" si="165"/>
        <v>0</v>
      </c>
      <c r="O591" s="577">
        <f t="shared" si="174"/>
        <v>0</v>
      </c>
      <c r="P591" s="578">
        <f t="shared" si="175"/>
        <v>0</v>
      </c>
      <c r="Q591" s="765"/>
      <c r="R591" s="576">
        <f t="shared" si="176"/>
        <v>0</v>
      </c>
      <c r="S591" s="576">
        <f t="shared" si="167"/>
        <v>0</v>
      </c>
      <c r="T591" s="577">
        <f t="shared" si="172"/>
        <v>0</v>
      </c>
      <c r="U591" s="578">
        <f t="shared" si="173"/>
        <v>0</v>
      </c>
      <c r="V591" s="579"/>
      <c r="W591" s="566"/>
      <c r="X591" s="586" t="str">
        <f t="shared" si="170"/>
        <v/>
      </c>
      <c r="Y591" s="586" t="str">
        <f t="shared" si="143"/>
        <v/>
      </c>
      <c r="Z591" s="586" t="str">
        <f t="shared" si="183"/>
        <v/>
      </c>
    </row>
    <row r="592" spans="1:26" ht="14.45" customHeight="1" x14ac:dyDescent="0.2">
      <c r="A592" s="567">
        <v>603900</v>
      </c>
      <c r="B592" s="644" t="s">
        <v>1808</v>
      </c>
      <c r="C592" s="645" t="s">
        <v>206</v>
      </c>
      <c r="D592" s="451" t="s">
        <v>341</v>
      </c>
      <c r="E592" s="423"/>
      <c r="F592" s="424">
        <v>20</v>
      </c>
      <c r="G592" s="425">
        <v>1.5</v>
      </c>
      <c r="H592" s="663">
        <f t="shared" si="184"/>
        <v>36.120000000000005</v>
      </c>
      <c r="I592" s="420">
        <v>124.3</v>
      </c>
      <c r="J592" s="420">
        <f t="shared" si="180"/>
        <v>160.42000000000002</v>
      </c>
      <c r="K592" s="421">
        <f t="shared" si="181"/>
        <v>190.6</v>
      </c>
      <c r="L592" s="647" t="s">
        <v>16</v>
      </c>
      <c r="M592" s="576">
        <f>M590*0.03</f>
        <v>49.017600000000002</v>
      </c>
      <c r="N592" s="576">
        <f t="shared" si="165"/>
        <v>190.6</v>
      </c>
      <c r="O592" s="577">
        <f t="shared" si="174"/>
        <v>9342.75</v>
      </c>
      <c r="P592" s="578">
        <f t="shared" si="175"/>
        <v>9342.75</v>
      </c>
      <c r="Q592" s="765"/>
      <c r="R592" s="576">
        <f t="shared" si="176"/>
        <v>49.017600000000002</v>
      </c>
      <c r="S592" s="576">
        <f t="shared" si="167"/>
        <v>190.6</v>
      </c>
      <c r="T592" s="577">
        <f t="shared" si="172"/>
        <v>9342.75</v>
      </c>
      <c r="U592" s="578">
        <f t="shared" si="173"/>
        <v>9342.75</v>
      </c>
      <c r="V592" s="579"/>
      <c r="W592" s="566"/>
      <c r="X592" s="586" t="str">
        <f t="shared" si="170"/>
        <v>x</v>
      </c>
      <c r="Y592" s="586" t="str">
        <f t="shared" si="143"/>
        <v>x</v>
      </c>
      <c r="Z592" s="586" t="str">
        <f t="shared" si="183"/>
        <v>x</v>
      </c>
    </row>
    <row r="593" spans="1:26" hidden="1" x14ac:dyDescent="0.2">
      <c r="A593" s="567">
        <v>605000</v>
      </c>
      <c r="B593" s="644" t="s">
        <v>1809</v>
      </c>
      <c r="C593" s="645" t="s">
        <v>206</v>
      </c>
      <c r="D593" s="422" t="s">
        <v>274</v>
      </c>
      <c r="E593" s="423"/>
      <c r="F593" s="424"/>
      <c r="G593" s="425"/>
      <c r="H593" s="651">
        <f>SUM(H594:H596)</f>
        <v>305.33319999999998</v>
      </c>
      <c r="I593" s="420">
        <v>408.95</v>
      </c>
      <c r="J593" s="420">
        <f t="shared" si="180"/>
        <v>714.28319999999997</v>
      </c>
      <c r="K593" s="421">
        <f t="shared" si="181"/>
        <v>848.64</v>
      </c>
      <c r="L593" s="647" t="s">
        <v>16</v>
      </c>
      <c r="M593" s="576"/>
      <c r="N593" s="576">
        <f t="shared" si="165"/>
        <v>0</v>
      </c>
      <c r="O593" s="577">
        <f t="shared" si="174"/>
        <v>0</v>
      </c>
      <c r="P593" s="578">
        <f t="shared" si="175"/>
        <v>0</v>
      </c>
      <c r="Q593" s="765"/>
      <c r="R593" s="576">
        <f t="shared" si="176"/>
        <v>0</v>
      </c>
      <c r="S593" s="576">
        <f t="shared" si="167"/>
        <v>0</v>
      </c>
      <c r="T593" s="577">
        <f t="shared" si="172"/>
        <v>0</v>
      </c>
      <c r="U593" s="578">
        <f t="shared" si="173"/>
        <v>0</v>
      </c>
      <c r="V593" s="579"/>
      <c r="W593" s="566"/>
      <c r="X593" s="586" t="str">
        <f t="shared" si="170"/>
        <v/>
      </c>
      <c r="Y593" s="586" t="str">
        <f t="shared" si="143"/>
        <v/>
      </c>
      <c r="Z593" s="586" t="str">
        <f t="shared" si="183"/>
        <v/>
      </c>
    </row>
    <row r="594" spans="1:26" hidden="1" x14ac:dyDescent="0.2">
      <c r="A594" s="567" t="s">
        <v>168</v>
      </c>
      <c r="B594" s="644" t="s">
        <v>168</v>
      </c>
      <c r="C594" s="645"/>
      <c r="D594" s="451" t="s">
        <v>212</v>
      </c>
      <c r="E594" s="423"/>
      <c r="F594" s="424">
        <v>500</v>
      </c>
      <c r="G594" s="425">
        <v>0.18</v>
      </c>
      <c r="H594" s="649">
        <f>IF(F594&lt;=30,(0.78*F594+7.82)*G594,((0.78*30+7.82)+0.78*(F594-30))*G594)</f>
        <v>71.607600000000005</v>
      </c>
      <c r="I594" s="420">
        <v>0</v>
      </c>
      <c r="J594" s="420"/>
      <c r="K594" s="421">
        <f t="shared" si="181"/>
        <v>0</v>
      </c>
      <c r="L594" s="668" t="s">
        <v>614</v>
      </c>
      <c r="M594" s="669"/>
      <c r="N594" s="576">
        <f t="shared" si="165"/>
        <v>0</v>
      </c>
      <c r="O594" s="577">
        <f t="shared" si="174"/>
        <v>0</v>
      </c>
      <c r="P594" s="578">
        <f t="shared" si="175"/>
        <v>0</v>
      </c>
      <c r="Q594" s="765"/>
      <c r="R594" s="669"/>
      <c r="S594" s="670"/>
      <c r="T594" s="577">
        <f t="shared" si="172"/>
        <v>0</v>
      </c>
      <c r="U594" s="578">
        <f t="shared" si="173"/>
        <v>0</v>
      </c>
      <c r="V594" s="579"/>
      <c r="W594" s="637" t="str">
        <f>IF(U593&gt;0,"xx",IF(P593&gt;0,"xy",""))</f>
        <v/>
      </c>
      <c r="X594" s="586" t="str">
        <f t="shared" si="170"/>
        <v/>
      </c>
      <c r="Y594" s="586" t="str">
        <f t="shared" si="143"/>
        <v/>
      </c>
      <c r="Z594" s="586" t="str">
        <f t="shared" si="183"/>
        <v/>
      </c>
    </row>
    <row r="595" spans="1:26" hidden="1" x14ac:dyDescent="0.2">
      <c r="A595" s="567" t="s">
        <v>168</v>
      </c>
      <c r="B595" s="644" t="s">
        <v>168</v>
      </c>
      <c r="C595" s="645"/>
      <c r="D595" s="451" t="s">
        <v>248</v>
      </c>
      <c r="E595" s="423"/>
      <c r="F595" s="424">
        <v>180</v>
      </c>
      <c r="G595" s="425">
        <v>1.06</v>
      </c>
      <c r="H595" s="663">
        <f t="shared" ref="H595:H600" si="185">IF(F595&lt;=30,(1.07*F595+2.68)*G595,((1.07*30+2.68)+1.07*(F595-30))*G595)</f>
        <v>206.99680000000001</v>
      </c>
      <c r="I595" s="420">
        <v>0</v>
      </c>
      <c r="J595" s="420"/>
      <c r="K595" s="421">
        <f t="shared" si="181"/>
        <v>0</v>
      </c>
      <c r="L595" s="668" t="s">
        <v>614</v>
      </c>
      <c r="M595" s="669"/>
      <c r="N595" s="576">
        <f t="shared" si="165"/>
        <v>0</v>
      </c>
      <c r="O595" s="577">
        <f t="shared" si="174"/>
        <v>0</v>
      </c>
      <c r="P595" s="578">
        <f t="shared" si="175"/>
        <v>0</v>
      </c>
      <c r="Q595" s="765"/>
      <c r="R595" s="669"/>
      <c r="S595" s="670"/>
      <c r="T595" s="577">
        <f t="shared" si="172"/>
        <v>0</v>
      </c>
      <c r="U595" s="578">
        <f t="shared" si="173"/>
        <v>0</v>
      </c>
      <c r="V595" s="579"/>
      <c r="W595" s="637" t="str">
        <f>IF(U593&gt;0,"xx",IF(P593&gt;0,"xy",""))</f>
        <v/>
      </c>
      <c r="X595" s="586" t="str">
        <f t="shared" si="170"/>
        <v/>
      </c>
      <c r="Y595" s="586" t="str">
        <f t="shared" si="143"/>
        <v/>
      </c>
      <c r="Z595" s="586" t="str">
        <f t="shared" si="183"/>
        <v/>
      </c>
    </row>
    <row r="596" spans="1:26" hidden="1" x14ac:dyDescent="0.2">
      <c r="A596" s="567" t="s">
        <v>168</v>
      </c>
      <c r="B596" s="644" t="s">
        <v>168</v>
      </c>
      <c r="C596" s="645"/>
      <c r="D596" s="451" t="s">
        <v>252</v>
      </c>
      <c r="E596" s="423"/>
      <c r="F596" s="424">
        <v>20</v>
      </c>
      <c r="G596" s="425">
        <v>1.1100000000000001</v>
      </c>
      <c r="H596" s="663">
        <f t="shared" si="185"/>
        <v>26.728800000000003</v>
      </c>
      <c r="I596" s="420">
        <v>0</v>
      </c>
      <c r="J596" s="420"/>
      <c r="K596" s="421">
        <f t="shared" si="181"/>
        <v>0</v>
      </c>
      <c r="L596" s="668" t="s">
        <v>614</v>
      </c>
      <c r="M596" s="669"/>
      <c r="N596" s="576">
        <f t="shared" ref="N596:N659" si="186">IF(M596=0,0,K596)</f>
        <v>0</v>
      </c>
      <c r="O596" s="577">
        <f t="shared" si="174"/>
        <v>0</v>
      </c>
      <c r="P596" s="578">
        <f t="shared" si="175"/>
        <v>0</v>
      </c>
      <c r="Q596" s="765"/>
      <c r="R596" s="669"/>
      <c r="S596" s="670"/>
      <c r="T596" s="577">
        <f t="shared" si="172"/>
        <v>0</v>
      </c>
      <c r="U596" s="578">
        <f t="shared" si="173"/>
        <v>0</v>
      </c>
      <c r="V596" s="579"/>
      <c r="W596" s="637" t="str">
        <f>IF(U593&gt;0,"xx",IF(P593&gt;0,"xy",""))</f>
        <v/>
      </c>
      <c r="X596" s="586" t="str">
        <f t="shared" si="170"/>
        <v/>
      </c>
      <c r="Y596" s="586" t="str">
        <f t="shared" si="143"/>
        <v/>
      </c>
      <c r="Z596" s="586" t="str">
        <f t="shared" si="183"/>
        <v/>
      </c>
    </row>
    <row r="597" spans="1:26" hidden="1" x14ac:dyDescent="0.2">
      <c r="A597" s="567">
        <v>400500</v>
      </c>
      <c r="B597" s="644" t="s">
        <v>1612</v>
      </c>
      <c r="C597" s="645" t="s">
        <v>206</v>
      </c>
      <c r="D597" s="422" t="s">
        <v>1608</v>
      </c>
      <c r="E597" s="423"/>
      <c r="F597" s="424">
        <v>20</v>
      </c>
      <c r="G597" s="425">
        <v>1.73</v>
      </c>
      <c r="H597" s="663">
        <f t="shared" si="185"/>
        <v>41.6584</v>
      </c>
      <c r="I597" s="420">
        <v>80.100000000000009</v>
      </c>
      <c r="J597" s="420">
        <f t="shared" ref="J597:J617" si="187">IF(ISBLANK(I597),"",SUM(H597:I597))</f>
        <v>121.75840000000001</v>
      </c>
      <c r="K597" s="421">
        <f t="shared" si="181"/>
        <v>144.66</v>
      </c>
      <c r="L597" s="647" t="s">
        <v>16</v>
      </c>
      <c r="M597" s="576"/>
      <c r="N597" s="576">
        <f t="shared" si="186"/>
        <v>0</v>
      </c>
      <c r="O597" s="577">
        <f t="shared" si="174"/>
        <v>0</v>
      </c>
      <c r="P597" s="578">
        <f t="shared" si="175"/>
        <v>0</v>
      </c>
      <c r="Q597" s="765"/>
      <c r="R597" s="576">
        <f t="shared" ref="R597:S609" si="188">M597</f>
        <v>0</v>
      </c>
      <c r="S597" s="576">
        <f t="shared" si="188"/>
        <v>0</v>
      </c>
      <c r="T597" s="577">
        <f t="shared" si="172"/>
        <v>0</v>
      </c>
      <c r="U597" s="578">
        <f t="shared" si="173"/>
        <v>0</v>
      </c>
      <c r="V597" s="579"/>
      <c r="W597" s="566"/>
      <c r="X597" s="586" t="str">
        <f t="shared" si="170"/>
        <v/>
      </c>
      <c r="Y597" s="586" t="str">
        <f t="shared" si="143"/>
        <v/>
      </c>
      <c r="Z597" s="586" t="str">
        <f t="shared" si="183"/>
        <v/>
      </c>
    </row>
    <row r="598" spans="1:26" hidden="1" x14ac:dyDescent="0.2">
      <c r="A598" s="567">
        <v>532500</v>
      </c>
      <c r="B598" s="644" t="s">
        <v>1605</v>
      </c>
      <c r="C598" s="645" t="s">
        <v>206</v>
      </c>
      <c r="D598" s="422" t="s">
        <v>1609</v>
      </c>
      <c r="E598" s="423"/>
      <c r="F598" s="424">
        <v>20</v>
      </c>
      <c r="G598" s="425">
        <v>1.7250000000000001</v>
      </c>
      <c r="H598" s="663">
        <f t="shared" si="185"/>
        <v>41.538000000000004</v>
      </c>
      <c r="I598" s="420">
        <v>97.26</v>
      </c>
      <c r="J598" s="420">
        <f t="shared" si="187"/>
        <v>138.798</v>
      </c>
      <c r="K598" s="421">
        <f t="shared" si="181"/>
        <v>164.91</v>
      </c>
      <c r="L598" s="647" t="s">
        <v>16</v>
      </c>
      <c r="M598" s="576"/>
      <c r="N598" s="576">
        <f t="shared" si="186"/>
        <v>0</v>
      </c>
      <c r="O598" s="577">
        <f t="shared" si="174"/>
        <v>0</v>
      </c>
      <c r="P598" s="578">
        <f t="shared" si="175"/>
        <v>0</v>
      </c>
      <c r="Q598" s="765"/>
      <c r="R598" s="576">
        <f t="shared" si="188"/>
        <v>0</v>
      </c>
      <c r="S598" s="576">
        <f t="shared" si="188"/>
        <v>0</v>
      </c>
      <c r="T598" s="577">
        <f t="shared" si="172"/>
        <v>0</v>
      </c>
      <c r="U598" s="578">
        <f t="shared" si="173"/>
        <v>0</v>
      </c>
      <c r="V598" s="579"/>
      <c r="W598" s="566"/>
      <c r="X598" s="586" t="str">
        <f t="shared" si="170"/>
        <v/>
      </c>
      <c r="Y598" s="586" t="str">
        <f t="shared" si="143"/>
        <v/>
      </c>
      <c r="Z598" s="586" t="str">
        <f t="shared" si="183"/>
        <v/>
      </c>
    </row>
    <row r="599" spans="1:26" hidden="1" x14ac:dyDescent="0.2">
      <c r="A599" s="567">
        <v>532600</v>
      </c>
      <c r="B599" s="644" t="s">
        <v>1537</v>
      </c>
      <c r="C599" s="645" t="s">
        <v>206</v>
      </c>
      <c r="D599" s="422" t="s">
        <v>1610</v>
      </c>
      <c r="E599" s="423"/>
      <c r="F599" s="418">
        <v>15</v>
      </c>
      <c r="G599" s="425">
        <f>ROUND(1.5*1.5,4)</f>
        <v>2.25</v>
      </c>
      <c r="H599" s="663">
        <f t="shared" si="185"/>
        <v>42.142499999999998</v>
      </c>
      <c r="I599" s="420">
        <v>15.533333333333335</v>
      </c>
      <c r="J599" s="420">
        <f t="shared" si="187"/>
        <v>57.67583333333333</v>
      </c>
      <c r="K599" s="421">
        <f t="shared" si="181"/>
        <v>68.52</v>
      </c>
      <c r="L599" s="647" t="s">
        <v>16</v>
      </c>
      <c r="M599" s="576"/>
      <c r="N599" s="576">
        <f t="shared" si="186"/>
        <v>0</v>
      </c>
      <c r="O599" s="577">
        <f t="shared" si="174"/>
        <v>0</v>
      </c>
      <c r="P599" s="578">
        <f t="shared" si="175"/>
        <v>0</v>
      </c>
      <c r="Q599" s="765"/>
      <c r="R599" s="576">
        <f t="shared" si="188"/>
        <v>0</v>
      </c>
      <c r="S599" s="576">
        <f t="shared" si="188"/>
        <v>0</v>
      </c>
      <c r="T599" s="577">
        <f t="shared" si="172"/>
        <v>0</v>
      </c>
      <c r="U599" s="578">
        <f t="shared" si="173"/>
        <v>0</v>
      </c>
      <c r="V599" s="579"/>
      <c r="W599" s="566"/>
      <c r="X599" s="586" t="str">
        <f t="shared" si="170"/>
        <v/>
      </c>
      <c r="Y599" s="586" t="str">
        <f t="shared" si="143"/>
        <v/>
      </c>
      <c r="Z599" s="586" t="str">
        <f t="shared" si="183"/>
        <v/>
      </c>
    </row>
    <row r="600" spans="1:26" hidden="1" x14ac:dyDescent="0.2">
      <c r="A600" s="567">
        <v>603900</v>
      </c>
      <c r="B600" s="644" t="s">
        <v>1613</v>
      </c>
      <c r="C600" s="645" t="s">
        <v>206</v>
      </c>
      <c r="D600" s="422" t="s">
        <v>1611</v>
      </c>
      <c r="E600" s="423"/>
      <c r="F600" s="424">
        <v>20</v>
      </c>
      <c r="G600" s="425">
        <v>1.5</v>
      </c>
      <c r="H600" s="663">
        <f t="shared" si="185"/>
        <v>36.120000000000005</v>
      </c>
      <c r="I600" s="420">
        <v>124.3</v>
      </c>
      <c r="J600" s="420">
        <f t="shared" si="187"/>
        <v>160.42000000000002</v>
      </c>
      <c r="K600" s="421">
        <f t="shared" si="181"/>
        <v>190.6</v>
      </c>
      <c r="L600" s="647" t="s">
        <v>16</v>
      </c>
      <c r="M600" s="576"/>
      <c r="N600" s="576">
        <f t="shared" si="186"/>
        <v>0</v>
      </c>
      <c r="O600" s="577">
        <f t="shared" si="174"/>
        <v>0</v>
      </c>
      <c r="P600" s="578">
        <f t="shared" si="175"/>
        <v>0</v>
      </c>
      <c r="Q600" s="765"/>
      <c r="R600" s="576">
        <f t="shared" si="188"/>
        <v>0</v>
      </c>
      <c r="S600" s="576">
        <f t="shared" si="188"/>
        <v>0</v>
      </c>
      <c r="T600" s="577">
        <f t="shared" si="172"/>
        <v>0</v>
      </c>
      <c r="U600" s="578">
        <f t="shared" si="173"/>
        <v>0</v>
      </c>
      <c r="V600" s="579"/>
      <c r="W600" s="566"/>
      <c r="X600" s="586" t="str">
        <f t="shared" si="170"/>
        <v/>
      </c>
      <c r="Y600" s="586" t="str">
        <f t="shared" ref="Y600:Y866" si="189">IF(W600="X","x",IF(W600="y","x",IF(W600="xx","x",IF(U600&gt;0,"x",""))))</f>
        <v/>
      </c>
      <c r="Z600" s="586" t="str">
        <f t="shared" si="183"/>
        <v/>
      </c>
    </row>
    <row r="601" spans="1:26" hidden="1" x14ac:dyDescent="0.2">
      <c r="A601" s="567">
        <v>601100</v>
      </c>
      <c r="B601" s="644" t="s">
        <v>1626</v>
      </c>
      <c r="C601" s="645" t="s">
        <v>206</v>
      </c>
      <c r="D601" s="422" t="s">
        <v>275</v>
      </c>
      <c r="E601" s="423"/>
      <c r="F601" s="424"/>
      <c r="G601" s="425"/>
      <c r="H601" s="651">
        <f>IF(F601&lt;=30,(0.62*F601+6.29)*G601,((0.62*30+6.29)+0.62*(F601-30))*G601)</f>
        <v>0</v>
      </c>
      <c r="I601" s="420">
        <v>50.31</v>
      </c>
      <c r="J601" s="420">
        <f t="shared" si="187"/>
        <v>50.31</v>
      </c>
      <c r="K601" s="421">
        <f t="shared" si="181"/>
        <v>59.77</v>
      </c>
      <c r="L601" s="647" t="s">
        <v>16</v>
      </c>
      <c r="M601" s="576"/>
      <c r="N601" s="576">
        <f t="shared" si="186"/>
        <v>0</v>
      </c>
      <c r="O601" s="577">
        <f t="shared" si="174"/>
        <v>0</v>
      </c>
      <c r="P601" s="578">
        <f t="shared" si="175"/>
        <v>0</v>
      </c>
      <c r="Q601" s="765"/>
      <c r="R601" s="576">
        <f t="shared" si="176"/>
        <v>0</v>
      </c>
      <c r="S601" s="576">
        <f t="shared" si="188"/>
        <v>0</v>
      </c>
      <c r="T601" s="577">
        <f t="shared" si="172"/>
        <v>0</v>
      </c>
      <c r="U601" s="578">
        <f t="shared" si="173"/>
        <v>0</v>
      </c>
      <c r="V601" s="579"/>
      <c r="W601" s="566"/>
      <c r="X601" s="586" t="str">
        <f t="shared" si="170"/>
        <v/>
      </c>
      <c r="Y601" s="586" t="str">
        <f t="shared" si="189"/>
        <v/>
      </c>
      <c r="Z601" s="586" t="str">
        <f t="shared" si="183"/>
        <v/>
      </c>
    </row>
    <row r="602" spans="1:26" hidden="1" x14ac:dyDescent="0.2">
      <c r="A602" s="567">
        <v>602000</v>
      </c>
      <c r="B602" s="644" t="s">
        <v>2091</v>
      </c>
      <c r="C602" s="645" t="s">
        <v>206</v>
      </c>
      <c r="D602" s="422" t="s">
        <v>2092</v>
      </c>
      <c r="E602" s="423"/>
      <c r="F602" s="424"/>
      <c r="G602" s="425"/>
      <c r="H602" s="651">
        <f>IF(F602&lt;=30,(0.62*F602+6.29)*G602,((0.62*30+6.29)+0.62*(F602-30))*G602)</f>
        <v>0</v>
      </c>
      <c r="I602" s="420">
        <v>58.84</v>
      </c>
      <c r="J602" s="420">
        <f t="shared" si="187"/>
        <v>58.84</v>
      </c>
      <c r="K602" s="421">
        <f t="shared" si="181"/>
        <v>69.91</v>
      </c>
      <c r="L602" s="647" t="s">
        <v>18</v>
      </c>
      <c r="M602" s="576"/>
      <c r="N602" s="576">
        <f t="shared" si="186"/>
        <v>0</v>
      </c>
      <c r="O602" s="577">
        <f t="shared" si="174"/>
        <v>0</v>
      </c>
      <c r="P602" s="578">
        <f t="shared" si="175"/>
        <v>0</v>
      </c>
      <c r="Q602" s="765"/>
      <c r="R602" s="576">
        <f t="shared" si="176"/>
        <v>0</v>
      </c>
      <c r="S602" s="576">
        <f t="shared" si="188"/>
        <v>0</v>
      </c>
      <c r="T602" s="577">
        <f t="shared" si="172"/>
        <v>0</v>
      </c>
      <c r="U602" s="578">
        <f t="shared" si="173"/>
        <v>0</v>
      </c>
      <c r="V602" s="579"/>
      <c r="W602" s="566"/>
      <c r="X602" s="586" t="str">
        <f t="shared" si="170"/>
        <v/>
      </c>
      <c r="Y602" s="586" t="str">
        <f t="shared" si="189"/>
        <v/>
      </c>
      <c r="Z602" s="586" t="str">
        <f t="shared" si="183"/>
        <v/>
      </c>
    </row>
    <row r="603" spans="1:26" hidden="1" x14ac:dyDescent="0.2">
      <c r="A603" s="567">
        <v>603000</v>
      </c>
      <c r="B603" s="644" t="s">
        <v>1810</v>
      </c>
      <c r="C603" s="645" t="s">
        <v>206</v>
      </c>
      <c r="D603" s="422" t="s">
        <v>276</v>
      </c>
      <c r="E603" s="423"/>
      <c r="F603" s="424"/>
      <c r="G603" s="425"/>
      <c r="H603" s="651">
        <f>IF(F603&lt;=30,(0.62*F603+6.29)*G603,((0.62*30+6.29)+0.62*(F603-30))*G603)</f>
        <v>0</v>
      </c>
      <c r="I603" s="420">
        <v>17.84</v>
      </c>
      <c r="J603" s="420">
        <f t="shared" si="187"/>
        <v>17.84</v>
      </c>
      <c r="K603" s="421">
        <f t="shared" si="181"/>
        <v>21.2</v>
      </c>
      <c r="L603" s="647" t="s">
        <v>23</v>
      </c>
      <c r="M603" s="576"/>
      <c r="N603" s="576">
        <f t="shared" si="186"/>
        <v>0</v>
      </c>
      <c r="O603" s="577">
        <f t="shared" si="174"/>
        <v>0</v>
      </c>
      <c r="P603" s="578">
        <f t="shared" si="175"/>
        <v>0</v>
      </c>
      <c r="Q603" s="765"/>
      <c r="R603" s="576">
        <f t="shared" si="176"/>
        <v>0</v>
      </c>
      <c r="S603" s="576">
        <f t="shared" si="188"/>
        <v>0</v>
      </c>
      <c r="T603" s="577">
        <f t="shared" si="172"/>
        <v>0</v>
      </c>
      <c r="U603" s="578">
        <f t="shared" si="173"/>
        <v>0</v>
      </c>
      <c r="V603" s="579"/>
      <c r="W603" s="566"/>
      <c r="X603" s="586" t="str">
        <f t="shared" si="170"/>
        <v/>
      </c>
      <c r="Y603" s="586" t="str">
        <f t="shared" si="189"/>
        <v/>
      </c>
      <c r="Z603" s="586" t="str">
        <f t="shared" si="183"/>
        <v/>
      </c>
    </row>
    <row r="604" spans="1:26" hidden="1" x14ac:dyDescent="0.2">
      <c r="A604" s="567">
        <v>603300</v>
      </c>
      <c r="B604" s="644" t="s">
        <v>1811</v>
      </c>
      <c r="C604" s="645" t="s">
        <v>206</v>
      </c>
      <c r="D604" s="422" t="s">
        <v>277</v>
      </c>
      <c r="E604" s="423"/>
      <c r="F604" s="424"/>
      <c r="G604" s="425"/>
      <c r="H604" s="651">
        <f>IF(F604&lt;=30,(0.62*F604+6.29)*G604,((0.62*30+6.29)+0.62*(F604-30))*G604)</f>
        <v>0</v>
      </c>
      <c r="I604" s="420">
        <v>19.490000000000002</v>
      </c>
      <c r="J604" s="420">
        <f t="shared" si="187"/>
        <v>19.490000000000002</v>
      </c>
      <c r="K604" s="421">
        <f t="shared" si="181"/>
        <v>23.16</v>
      </c>
      <c r="L604" s="647" t="s">
        <v>23</v>
      </c>
      <c r="M604" s="576"/>
      <c r="N604" s="576">
        <f t="shared" si="186"/>
        <v>0</v>
      </c>
      <c r="O604" s="577">
        <f t="shared" si="174"/>
        <v>0</v>
      </c>
      <c r="P604" s="578">
        <f t="shared" si="175"/>
        <v>0</v>
      </c>
      <c r="Q604" s="765"/>
      <c r="R604" s="576">
        <f t="shared" si="176"/>
        <v>0</v>
      </c>
      <c r="S604" s="576">
        <f t="shared" si="188"/>
        <v>0</v>
      </c>
      <c r="T604" s="577">
        <f t="shared" si="172"/>
        <v>0</v>
      </c>
      <c r="U604" s="578">
        <f t="shared" si="173"/>
        <v>0</v>
      </c>
      <c r="V604" s="579"/>
      <c r="W604" s="566"/>
      <c r="X604" s="586" t="str">
        <f t="shared" si="170"/>
        <v/>
      </c>
      <c r="Y604" s="586" t="str">
        <f t="shared" si="189"/>
        <v/>
      </c>
      <c r="Z604" s="586" t="str">
        <f t="shared" si="183"/>
        <v/>
      </c>
    </row>
    <row r="605" spans="1:26" x14ac:dyDescent="0.2">
      <c r="A605" s="567">
        <v>605000</v>
      </c>
      <c r="B605" s="644" t="s">
        <v>1812</v>
      </c>
      <c r="C605" s="645" t="s">
        <v>206</v>
      </c>
      <c r="D605" s="422" t="s">
        <v>278</v>
      </c>
      <c r="E605" s="423"/>
      <c r="F605" s="424"/>
      <c r="G605" s="425"/>
      <c r="H605" s="651">
        <f>SUM(H606:H608)*0.05</f>
        <v>0.91282350000000001</v>
      </c>
      <c r="I605" s="420">
        <v>25.819500000000001</v>
      </c>
      <c r="J605" s="420">
        <f t="shared" si="187"/>
        <v>26.7323235</v>
      </c>
      <c r="K605" s="421">
        <f t="shared" si="181"/>
        <v>31.76</v>
      </c>
      <c r="L605" s="647" t="s">
        <v>18</v>
      </c>
      <c r="M605" s="576">
        <f>ROUND(M590-M748-(M742*5.94),2)</f>
        <v>1266.56</v>
      </c>
      <c r="N605" s="576">
        <f t="shared" si="186"/>
        <v>31.76</v>
      </c>
      <c r="O605" s="577">
        <f t="shared" si="174"/>
        <v>40225.949999999997</v>
      </c>
      <c r="P605" s="578">
        <f t="shared" si="175"/>
        <v>40225.949999999997</v>
      </c>
      <c r="Q605" s="765"/>
      <c r="R605" s="576">
        <f t="shared" si="176"/>
        <v>1266.56</v>
      </c>
      <c r="S605" s="576">
        <f t="shared" si="188"/>
        <v>31.76</v>
      </c>
      <c r="T605" s="577">
        <f t="shared" si="172"/>
        <v>40225.949999999997</v>
      </c>
      <c r="U605" s="578">
        <f t="shared" si="173"/>
        <v>40225.949999999997</v>
      </c>
      <c r="V605" s="579"/>
      <c r="W605" s="566"/>
      <c r="X605" s="586" t="str">
        <f t="shared" si="170"/>
        <v>x</v>
      </c>
      <c r="Y605" s="586" t="str">
        <f t="shared" si="189"/>
        <v>x</v>
      </c>
      <c r="Z605" s="586" t="str">
        <f t="shared" si="183"/>
        <v>x</v>
      </c>
    </row>
    <row r="606" spans="1:26" x14ac:dyDescent="0.2">
      <c r="A606" s="567" t="s">
        <v>168</v>
      </c>
      <c r="B606" s="644" t="s">
        <v>168</v>
      </c>
      <c r="C606" s="645"/>
      <c r="D606" s="451" t="s">
        <v>212</v>
      </c>
      <c r="E606" s="423"/>
      <c r="F606" s="805">
        <v>414</v>
      </c>
      <c r="G606" s="425">
        <f>ROUND(0.27*0.05,4)</f>
        <v>1.35E-2</v>
      </c>
      <c r="H606" s="649">
        <f>IF(F606&lt;=30,(0.78*F606+7.82)*G606,((0.78*30+7.82)+0.78*(F606-30))*G606)</f>
        <v>4.4649900000000002</v>
      </c>
      <c r="I606" s="420"/>
      <c r="J606" s="420" t="str">
        <f t="shared" si="187"/>
        <v/>
      </c>
      <c r="K606" s="421">
        <f t="shared" si="181"/>
        <v>0</v>
      </c>
      <c r="L606" s="668" t="s">
        <v>614</v>
      </c>
      <c r="M606" s="669"/>
      <c r="N606" s="576">
        <f t="shared" si="186"/>
        <v>0</v>
      </c>
      <c r="O606" s="577">
        <f t="shared" si="174"/>
        <v>0</v>
      </c>
      <c r="P606" s="578">
        <f t="shared" si="175"/>
        <v>0</v>
      </c>
      <c r="Q606" s="765"/>
      <c r="R606" s="669"/>
      <c r="S606" s="670"/>
      <c r="T606" s="577">
        <f t="shared" si="172"/>
        <v>0</v>
      </c>
      <c r="U606" s="578">
        <f t="shared" si="173"/>
        <v>0</v>
      </c>
      <c r="V606" s="579"/>
      <c r="W606" s="637" t="str">
        <f>IF(U605&gt;0,"xx",IF(P605&gt;0,"xy",""))</f>
        <v>xx</v>
      </c>
      <c r="X606" s="586" t="str">
        <f t="shared" si="170"/>
        <v>x</v>
      </c>
      <c r="Y606" s="586" t="str">
        <f t="shared" si="189"/>
        <v>x</v>
      </c>
      <c r="Z606" s="586" t="str">
        <f t="shared" si="183"/>
        <v/>
      </c>
    </row>
    <row r="607" spans="1:26" x14ac:dyDescent="0.2">
      <c r="A607" s="567" t="s">
        <v>168</v>
      </c>
      <c r="B607" s="644" t="s">
        <v>168</v>
      </c>
      <c r="C607" s="645"/>
      <c r="D607" s="451" t="s">
        <v>248</v>
      </c>
      <c r="E607" s="423"/>
      <c r="F607" s="805">
        <v>240</v>
      </c>
      <c r="G607" s="425">
        <f>ROUND(0.96*0.05,4)</f>
        <v>4.8000000000000001E-2</v>
      </c>
      <c r="H607" s="663">
        <f t="shared" ref="H607:H608" si="190">IF(F607&lt;=30,(1.07*F607+2.68)*G607,((1.07*30+2.68)+1.07*(F607-30))*G607)</f>
        <v>12.45504</v>
      </c>
      <c r="I607" s="420"/>
      <c r="J607" s="420" t="str">
        <f t="shared" si="187"/>
        <v/>
      </c>
      <c r="K607" s="421">
        <f t="shared" si="181"/>
        <v>0</v>
      </c>
      <c r="L607" s="668" t="s">
        <v>614</v>
      </c>
      <c r="M607" s="669"/>
      <c r="N607" s="576">
        <f t="shared" si="186"/>
        <v>0</v>
      </c>
      <c r="O607" s="577">
        <f t="shared" si="174"/>
        <v>0</v>
      </c>
      <c r="P607" s="578">
        <f t="shared" si="175"/>
        <v>0</v>
      </c>
      <c r="Q607" s="765"/>
      <c r="R607" s="669"/>
      <c r="S607" s="670"/>
      <c r="T607" s="577">
        <f t="shared" si="172"/>
        <v>0</v>
      </c>
      <c r="U607" s="578">
        <f t="shared" si="173"/>
        <v>0</v>
      </c>
      <c r="V607" s="579"/>
      <c r="W607" s="637" t="str">
        <f>IF(U605&gt;0,"xx",IF(P605&gt;0,"xy",""))</f>
        <v>xx</v>
      </c>
      <c r="X607" s="586" t="str">
        <f t="shared" si="170"/>
        <v>x</v>
      </c>
      <c r="Y607" s="586" t="str">
        <f t="shared" si="189"/>
        <v>x</v>
      </c>
      <c r="Z607" s="586" t="str">
        <f t="shared" si="183"/>
        <v/>
      </c>
    </row>
    <row r="608" spans="1:26" x14ac:dyDescent="0.2">
      <c r="A608" s="567" t="s">
        <v>168</v>
      </c>
      <c r="B608" s="644" t="s">
        <v>168</v>
      </c>
      <c r="C608" s="645"/>
      <c r="D608" s="451" t="s">
        <v>252</v>
      </c>
      <c r="E608" s="423"/>
      <c r="F608" s="805">
        <v>20</v>
      </c>
      <c r="G608" s="425">
        <f>ROUND(1.11*0.05,4)</f>
        <v>5.5500000000000001E-2</v>
      </c>
      <c r="H608" s="663">
        <f t="shared" si="190"/>
        <v>1.3364400000000001</v>
      </c>
      <c r="I608" s="420"/>
      <c r="J608" s="420" t="str">
        <f t="shared" si="187"/>
        <v/>
      </c>
      <c r="K608" s="421">
        <f t="shared" si="181"/>
        <v>0</v>
      </c>
      <c r="L608" s="668" t="s">
        <v>614</v>
      </c>
      <c r="M608" s="669"/>
      <c r="N608" s="576">
        <f t="shared" si="186"/>
        <v>0</v>
      </c>
      <c r="O608" s="577">
        <f t="shared" si="174"/>
        <v>0</v>
      </c>
      <c r="P608" s="578">
        <f t="shared" si="175"/>
        <v>0</v>
      </c>
      <c r="Q608" s="765"/>
      <c r="R608" s="669"/>
      <c r="S608" s="670"/>
      <c r="T608" s="577">
        <f t="shared" si="172"/>
        <v>0</v>
      </c>
      <c r="U608" s="578">
        <f t="shared" si="173"/>
        <v>0</v>
      </c>
      <c r="V608" s="579"/>
      <c r="W608" s="637" t="str">
        <f>IF(U605&gt;0,"xx",IF(P605&gt;0,"xy",""))</f>
        <v>xx</v>
      </c>
      <c r="X608" s="586" t="str">
        <f t="shared" si="170"/>
        <v>x</v>
      </c>
      <c r="Y608" s="586" t="str">
        <f t="shared" si="189"/>
        <v>x</v>
      </c>
      <c r="Z608" s="586" t="str">
        <f t="shared" si="183"/>
        <v/>
      </c>
    </row>
    <row r="609" spans="1:26" hidden="1" x14ac:dyDescent="0.2">
      <c r="A609" s="567">
        <v>605000</v>
      </c>
      <c r="B609" s="644" t="s">
        <v>1813</v>
      </c>
      <c r="C609" s="645" t="s">
        <v>206</v>
      </c>
      <c r="D609" s="422" t="s">
        <v>621</v>
      </c>
      <c r="E609" s="423"/>
      <c r="F609" s="424"/>
      <c r="G609" s="425"/>
      <c r="H609" s="651">
        <f>SUM(H610:H612)*0.05</f>
        <v>0.9648270000000001</v>
      </c>
      <c r="I609" s="420">
        <v>30.497399999999999</v>
      </c>
      <c r="J609" s="420">
        <f t="shared" si="187"/>
        <v>31.462226999999999</v>
      </c>
      <c r="K609" s="421">
        <f t="shared" si="181"/>
        <v>37.380000000000003</v>
      </c>
      <c r="L609" s="647" t="s">
        <v>18</v>
      </c>
      <c r="M609" s="576"/>
      <c r="N609" s="576">
        <f t="shared" si="186"/>
        <v>0</v>
      </c>
      <c r="O609" s="577">
        <f t="shared" si="174"/>
        <v>0</v>
      </c>
      <c r="P609" s="578">
        <f t="shared" si="175"/>
        <v>0</v>
      </c>
      <c r="Q609" s="765"/>
      <c r="R609" s="576">
        <f t="shared" si="176"/>
        <v>0</v>
      </c>
      <c r="S609" s="576">
        <f t="shared" si="188"/>
        <v>0</v>
      </c>
      <c r="T609" s="577">
        <f t="shared" si="172"/>
        <v>0</v>
      </c>
      <c r="U609" s="578">
        <f t="shared" si="173"/>
        <v>0</v>
      </c>
      <c r="V609" s="579"/>
      <c r="W609" s="566"/>
      <c r="X609" s="586" t="str">
        <f t="shared" si="170"/>
        <v/>
      </c>
      <c r="Y609" s="586" t="str">
        <f t="shared" si="189"/>
        <v/>
      </c>
      <c r="Z609" s="586" t="str">
        <f t="shared" si="183"/>
        <v/>
      </c>
    </row>
    <row r="610" spans="1:26" hidden="1" x14ac:dyDescent="0.2">
      <c r="A610" s="567" t="s">
        <v>168</v>
      </c>
      <c r="B610" s="644" t="s">
        <v>168</v>
      </c>
      <c r="C610" s="645"/>
      <c r="D610" s="451" t="s">
        <v>212</v>
      </c>
      <c r="E610" s="423"/>
      <c r="F610" s="424">
        <v>500</v>
      </c>
      <c r="G610" s="425">
        <f>ROUND(0.27*0.06,4)</f>
        <v>1.6199999999999999E-2</v>
      </c>
      <c r="H610" s="649">
        <f>IF(F610&lt;=30,(0.78*F610+7.82)*G610,((0.78*30+7.82)+0.78*(F610-30))*G610)</f>
        <v>6.4446840000000005</v>
      </c>
      <c r="I610" s="420"/>
      <c r="J610" s="420" t="str">
        <f t="shared" si="187"/>
        <v/>
      </c>
      <c r="K610" s="421">
        <f t="shared" si="181"/>
        <v>0</v>
      </c>
      <c r="L610" s="668" t="s">
        <v>614</v>
      </c>
      <c r="M610" s="669"/>
      <c r="N610" s="576">
        <f t="shared" si="186"/>
        <v>0</v>
      </c>
      <c r="O610" s="577">
        <f t="shared" si="174"/>
        <v>0</v>
      </c>
      <c r="P610" s="578">
        <f t="shared" si="175"/>
        <v>0</v>
      </c>
      <c r="Q610" s="765"/>
      <c r="R610" s="669"/>
      <c r="S610" s="670"/>
      <c r="T610" s="577">
        <f t="shared" si="172"/>
        <v>0</v>
      </c>
      <c r="U610" s="578">
        <f t="shared" si="173"/>
        <v>0</v>
      </c>
      <c r="V610" s="579"/>
      <c r="W610" s="637" t="str">
        <f>IF(U609&gt;0,"xx",IF(P609&gt;0,"xy",""))</f>
        <v/>
      </c>
      <c r="X610" s="586" t="str">
        <f t="shared" ref="X610:X763" si="191">IF(W610="X","x",IF(W610="xx","x",IF(W610="xy","x",IF(W610="y","x",IF(OR(P610&gt;0,U610&gt;0),"x","")))))</f>
        <v/>
      </c>
      <c r="Y610" s="586" t="str">
        <f t="shared" si="189"/>
        <v/>
      </c>
      <c r="Z610" s="586" t="str">
        <f t="shared" si="183"/>
        <v/>
      </c>
    </row>
    <row r="611" spans="1:26" hidden="1" x14ac:dyDescent="0.2">
      <c r="A611" s="567" t="s">
        <v>168</v>
      </c>
      <c r="B611" s="644" t="s">
        <v>168</v>
      </c>
      <c r="C611" s="645"/>
      <c r="D611" s="451" t="s">
        <v>248</v>
      </c>
      <c r="E611" s="423"/>
      <c r="F611" s="424">
        <v>180</v>
      </c>
      <c r="G611" s="425">
        <f>ROUND(0.96*0.06,4)</f>
        <v>5.7599999999999998E-2</v>
      </c>
      <c r="H611" s="663">
        <f t="shared" ref="H611:H612" si="192">IF(F611&lt;=30,(1.07*F611+2.68)*G611,((1.07*30+2.68)+1.07*(F611-30))*G611)</f>
        <v>11.248127999999999</v>
      </c>
      <c r="I611" s="420"/>
      <c r="J611" s="420" t="str">
        <f t="shared" si="187"/>
        <v/>
      </c>
      <c r="K611" s="421">
        <f t="shared" si="181"/>
        <v>0</v>
      </c>
      <c r="L611" s="668" t="s">
        <v>614</v>
      </c>
      <c r="M611" s="669"/>
      <c r="N611" s="576">
        <f t="shared" si="186"/>
        <v>0</v>
      </c>
      <c r="O611" s="577">
        <f t="shared" si="174"/>
        <v>0</v>
      </c>
      <c r="P611" s="578">
        <f t="shared" si="175"/>
        <v>0</v>
      </c>
      <c r="Q611" s="765"/>
      <c r="R611" s="669"/>
      <c r="S611" s="670"/>
      <c r="T611" s="577">
        <f t="shared" si="172"/>
        <v>0</v>
      </c>
      <c r="U611" s="578">
        <f t="shared" si="173"/>
        <v>0</v>
      </c>
      <c r="V611" s="579"/>
      <c r="W611" s="637" t="str">
        <f>IF(U609&gt;0,"xx",IF(P609&gt;0,"xy",""))</f>
        <v/>
      </c>
      <c r="X611" s="586" t="str">
        <f t="shared" si="191"/>
        <v/>
      </c>
      <c r="Y611" s="586" t="str">
        <f t="shared" si="189"/>
        <v/>
      </c>
      <c r="Z611" s="586" t="str">
        <f t="shared" si="183"/>
        <v/>
      </c>
    </row>
    <row r="612" spans="1:26" hidden="1" x14ac:dyDescent="0.2">
      <c r="A612" s="567" t="s">
        <v>168</v>
      </c>
      <c r="B612" s="644" t="s">
        <v>168</v>
      </c>
      <c r="C612" s="645"/>
      <c r="D612" s="451" t="s">
        <v>252</v>
      </c>
      <c r="E612" s="423"/>
      <c r="F612" s="424">
        <v>20</v>
      </c>
      <c r="G612" s="425">
        <f>ROUND(1.11*0.06,4)</f>
        <v>6.6600000000000006E-2</v>
      </c>
      <c r="H612" s="663">
        <f t="shared" si="192"/>
        <v>1.6037280000000003</v>
      </c>
      <c r="I612" s="420"/>
      <c r="J612" s="420" t="str">
        <f t="shared" si="187"/>
        <v/>
      </c>
      <c r="K612" s="421">
        <f t="shared" si="181"/>
        <v>0</v>
      </c>
      <c r="L612" s="668" t="s">
        <v>614</v>
      </c>
      <c r="M612" s="669"/>
      <c r="N612" s="576">
        <f t="shared" si="186"/>
        <v>0</v>
      </c>
      <c r="O612" s="577">
        <f t="shared" si="174"/>
        <v>0</v>
      </c>
      <c r="P612" s="578">
        <f t="shared" si="175"/>
        <v>0</v>
      </c>
      <c r="Q612" s="765"/>
      <c r="R612" s="669"/>
      <c r="S612" s="670"/>
      <c r="T612" s="577">
        <f t="shared" si="172"/>
        <v>0</v>
      </c>
      <c r="U612" s="578">
        <f t="shared" si="173"/>
        <v>0</v>
      </c>
      <c r="V612" s="579"/>
      <c r="W612" s="637" t="str">
        <f>IF(U609&gt;0,"xx",IF(P609&gt;0,"xy",""))</f>
        <v/>
      </c>
      <c r="X612" s="586" t="str">
        <f t="shared" si="191"/>
        <v/>
      </c>
      <c r="Y612" s="586" t="str">
        <f t="shared" si="189"/>
        <v/>
      </c>
      <c r="Z612" s="586" t="str">
        <f t="shared" si="183"/>
        <v/>
      </c>
    </row>
    <row r="613" spans="1:26" hidden="1" x14ac:dyDescent="0.2">
      <c r="A613" s="567">
        <v>605000</v>
      </c>
      <c r="B613" s="644" t="s">
        <v>1814</v>
      </c>
      <c r="C613" s="645" t="s">
        <v>206</v>
      </c>
      <c r="D613" s="422" t="s">
        <v>622</v>
      </c>
      <c r="E613" s="423"/>
      <c r="F613" s="424"/>
      <c r="G613" s="425"/>
      <c r="H613" s="651">
        <f>SUM(H614:H616)*0.05</f>
        <v>1.1256315000000001</v>
      </c>
      <c r="I613" s="420">
        <v>35.1753</v>
      </c>
      <c r="J613" s="420">
        <f t="shared" si="187"/>
        <v>36.300931499999997</v>
      </c>
      <c r="K613" s="421">
        <f t="shared" si="181"/>
        <v>43.13</v>
      </c>
      <c r="L613" s="647" t="s">
        <v>18</v>
      </c>
      <c r="M613" s="576"/>
      <c r="N613" s="576">
        <f t="shared" si="186"/>
        <v>0</v>
      </c>
      <c r="O613" s="577">
        <f t="shared" si="174"/>
        <v>0</v>
      </c>
      <c r="P613" s="578">
        <f t="shared" si="175"/>
        <v>0</v>
      </c>
      <c r="Q613" s="765"/>
      <c r="R613" s="576">
        <f t="shared" si="176"/>
        <v>0</v>
      </c>
      <c r="S613" s="576">
        <f t="shared" si="176"/>
        <v>0</v>
      </c>
      <c r="T613" s="577">
        <f t="shared" si="172"/>
        <v>0</v>
      </c>
      <c r="U613" s="578">
        <f t="shared" si="173"/>
        <v>0</v>
      </c>
      <c r="V613" s="579"/>
      <c r="W613" s="566"/>
      <c r="X613" s="586" t="str">
        <f t="shared" si="191"/>
        <v/>
      </c>
      <c r="Y613" s="586" t="str">
        <f t="shared" si="189"/>
        <v/>
      </c>
      <c r="Z613" s="586" t="str">
        <f t="shared" si="183"/>
        <v/>
      </c>
    </row>
    <row r="614" spans="1:26" hidden="1" x14ac:dyDescent="0.2">
      <c r="A614" s="567" t="s">
        <v>168</v>
      </c>
      <c r="B614" s="644" t="s">
        <v>168</v>
      </c>
      <c r="C614" s="645"/>
      <c r="D614" s="451" t="s">
        <v>212</v>
      </c>
      <c r="E614" s="423"/>
      <c r="F614" s="424">
        <v>500</v>
      </c>
      <c r="G614" s="425">
        <f>ROUND(0.27*0.07,4)</f>
        <v>1.89E-2</v>
      </c>
      <c r="H614" s="649">
        <f>IF(F614&lt;=30,(0.78*F614+7.82)*G614,((0.78*30+7.82)+0.78*(F614-30))*G614)</f>
        <v>7.5187980000000012</v>
      </c>
      <c r="I614" s="420"/>
      <c r="J614" s="420" t="str">
        <f t="shared" si="187"/>
        <v/>
      </c>
      <c r="K614" s="421">
        <f t="shared" si="181"/>
        <v>0</v>
      </c>
      <c r="L614" s="668" t="s">
        <v>614</v>
      </c>
      <c r="M614" s="669"/>
      <c r="N614" s="576">
        <f t="shared" si="186"/>
        <v>0</v>
      </c>
      <c r="O614" s="577">
        <f t="shared" si="174"/>
        <v>0</v>
      </c>
      <c r="P614" s="578">
        <f t="shared" si="175"/>
        <v>0</v>
      </c>
      <c r="Q614" s="765"/>
      <c r="R614" s="669"/>
      <c r="S614" s="670"/>
      <c r="T614" s="577">
        <f t="shared" si="172"/>
        <v>0</v>
      </c>
      <c r="U614" s="578">
        <f t="shared" si="173"/>
        <v>0</v>
      </c>
      <c r="V614" s="579"/>
      <c r="W614" s="637" t="str">
        <f>IF(U613&gt;0,"xx",IF(P613&gt;0,"xy",""))</f>
        <v/>
      </c>
      <c r="X614" s="586" t="str">
        <f t="shared" si="191"/>
        <v/>
      </c>
      <c r="Y614" s="586" t="str">
        <f t="shared" si="189"/>
        <v/>
      </c>
      <c r="Z614" s="586" t="str">
        <f t="shared" si="183"/>
        <v/>
      </c>
    </row>
    <row r="615" spans="1:26" hidden="1" x14ac:dyDescent="0.2">
      <c r="A615" s="567" t="s">
        <v>168</v>
      </c>
      <c r="B615" s="644" t="s">
        <v>168</v>
      </c>
      <c r="C615" s="645"/>
      <c r="D615" s="451" t="s">
        <v>248</v>
      </c>
      <c r="E615" s="423"/>
      <c r="F615" s="424">
        <v>180</v>
      </c>
      <c r="G615" s="425">
        <f>ROUND(0.96*0.07,4)</f>
        <v>6.7199999999999996E-2</v>
      </c>
      <c r="H615" s="663">
        <f t="shared" ref="H615:H616" si="193">IF(F615&lt;=30,(1.07*F615+2.68)*G615,((1.07*30+2.68)+1.07*(F615-30))*G615)</f>
        <v>13.122815999999998</v>
      </c>
      <c r="I615" s="420"/>
      <c r="J615" s="420" t="str">
        <f t="shared" si="187"/>
        <v/>
      </c>
      <c r="K615" s="421">
        <f t="shared" si="181"/>
        <v>0</v>
      </c>
      <c r="L615" s="668" t="s">
        <v>614</v>
      </c>
      <c r="M615" s="669"/>
      <c r="N615" s="576">
        <f t="shared" si="186"/>
        <v>0</v>
      </c>
      <c r="O615" s="577">
        <f t="shared" si="174"/>
        <v>0</v>
      </c>
      <c r="P615" s="578">
        <f t="shared" si="175"/>
        <v>0</v>
      </c>
      <c r="Q615" s="765"/>
      <c r="R615" s="669"/>
      <c r="S615" s="670"/>
      <c r="T615" s="577">
        <f t="shared" si="172"/>
        <v>0</v>
      </c>
      <c r="U615" s="578">
        <f t="shared" si="173"/>
        <v>0</v>
      </c>
      <c r="V615" s="579"/>
      <c r="W615" s="637" t="str">
        <f>IF(U613&gt;0,"xx",IF(P613&gt;0,"xy",""))</f>
        <v/>
      </c>
      <c r="X615" s="586" t="str">
        <f t="shared" si="191"/>
        <v/>
      </c>
      <c r="Y615" s="586" t="str">
        <f t="shared" si="189"/>
        <v/>
      </c>
      <c r="Z615" s="586" t="str">
        <f t="shared" si="183"/>
        <v/>
      </c>
    </row>
    <row r="616" spans="1:26" hidden="1" x14ac:dyDescent="0.2">
      <c r="A616" s="567" t="s">
        <v>168</v>
      </c>
      <c r="B616" s="644" t="s">
        <v>168</v>
      </c>
      <c r="C616" s="645"/>
      <c r="D616" s="451" t="s">
        <v>252</v>
      </c>
      <c r="E616" s="423"/>
      <c r="F616" s="424">
        <v>20</v>
      </c>
      <c r="G616" s="425">
        <f>ROUND(1.11*0.07,4)</f>
        <v>7.7700000000000005E-2</v>
      </c>
      <c r="H616" s="663">
        <f t="shared" si="193"/>
        <v>1.8710160000000002</v>
      </c>
      <c r="I616" s="420"/>
      <c r="J616" s="420" t="str">
        <f t="shared" si="187"/>
        <v/>
      </c>
      <c r="K616" s="421">
        <f t="shared" si="181"/>
        <v>0</v>
      </c>
      <c r="L616" s="668" t="s">
        <v>614</v>
      </c>
      <c r="M616" s="669"/>
      <c r="N616" s="576">
        <f t="shared" si="186"/>
        <v>0</v>
      </c>
      <c r="O616" s="577">
        <f t="shared" si="174"/>
        <v>0</v>
      </c>
      <c r="P616" s="578">
        <f t="shared" si="175"/>
        <v>0</v>
      </c>
      <c r="Q616" s="765"/>
      <c r="R616" s="669"/>
      <c r="S616" s="670"/>
      <c r="T616" s="577">
        <f t="shared" ref="T616:T691" si="194">IF(ISBLANK(R616),0,ROUND(K616*R616,2))</f>
        <v>0</v>
      </c>
      <c r="U616" s="578">
        <f t="shared" ref="U616:U691" si="195">IF(ISBLANK(R616),0,ROUND(R616*S616,2))</f>
        <v>0</v>
      </c>
      <c r="V616" s="579"/>
      <c r="W616" s="637" t="str">
        <f>IF(U613&gt;0,"xx",IF(P613&gt;0,"xy",""))</f>
        <v/>
      </c>
      <c r="X616" s="586" t="str">
        <f t="shared" si="191"/>
        <v/>
      </c>
      <c r="Y616" s="586" t="str">
        <f t="shared" si="189"/>
        <v/>
      </c>
      <c r="Z616" s="586" t="str">
        <f t="shared" si="183"/>
        <v/>
      </c>
    </row>
    <row r="617" spans="1:26" hidden="1" x14ac:dyDescent="0.2">
      <c r="A617" s="567">
        <v>605000</v>
      </c>
      <c r="B617" s="644" t="s">
        <v>1815</v>
      </c>
      <c r="C617" s="645" t="s">
        <v>206</v>
      </c>
      <c r="D617" s="422" t="s">
        <v>631</v>
      </c>
      <c r="E617" s="423"/>
      <c r="F617" s="424"/>
      <c r="G617" s="425"/>
      <c r="H617" s="651">
        <f>SUM(H618:H620)*0.05</f>
        <v>1.2864360000000001</v>
      </c>
      <c r="I617" s="420">
        <v>39.853200000000001</v>
      </c>
      <c r="J617" s="420">
        <f t="shared" si="187"/>
        <v>41.139636000000003</v>
      </c>
      <c r="K617" s="421">
        <f t="shared" si="181"/>
        <v>48.88</v>
      </c>
      <c r="L617" s="647" t="s">
        <v>18</v>
      </c>
      <c r="M617" s="576"/>
      <c r="N617" s="576">
        <f t="shared" si="186"/>
        <v>0</v>
      </c>
      <c r="O617" s="577">
        <f t="shared" ref="O617:O692" si="196">IF(ISBLANK(M617),0,ROUND(K617*M617,2))</f>
        <v>0</v>
      </c>
      <c r="P617" s="578">
        <f t="shared" ref="P617:P692" si="197">IF(ISBLANK(N617),0,ROUND(M617*N617,2))</f>
        <v>0</v>
      </c>
      <c r="Q617" s="765"/>
      <c r="R617" s="576">
        <f>M617</f>
        <v>0</v>
      </c>
      <c r="S617" s="576">
        <f t="shared" ref="S617:S662" si="198">N617</f>
        <v>0</v>
      </c>
      <c r="T617" s="577">
        <f t="shared" si="194"/>
        <v>0</v>
      </c>
      <c r="U617" s="578">
        <f t="shared" si="195"/>
        <v>0</v>
      </c>
      <c r="V617" s="579"/>
      <c r="W617" s="566"/>
      <c r="X617" s="586" t="str">
        <f t="shared" si="191"/>
        <v/>
      </c>
      <c r="Y617" s="586" t="str">
        <f t="shared" si="189"/>
        <v/>
      </c>
      <c r="Z617" s="586" t="str">
        <f t="shared" si="183"/>
        <v/>
      </c>
    </row>
    <row r="618" spans="1:26" hidden="1" x14ac:dyDescent="0.2">
      <c r="A618" s="567" t="s">
        <v>168</v>
      </c>
      <c r="B618" s="644" t="s">
        <v>168</v>
      </c>
      <c r="C618" s="645"/>
      <c r="D618" s="451" t="s">
        <v>212</v>
      </c>
      <c r="E618" s="423"/>
      <c r="F618" s="424">
        <v>500</v>
      </c>
      <c r="G618" s="425">
        <f>ROUND(0.27*0.08,4)</f>
        <v>2.1600000000000001E-2</v>
      </c>
      <c r="H618" s="649">
        <f>IF(F618&lt;=30,(0.78*F618+7.82)*G618,((0.78*30+7.82)+0.78*(F618-30))*G618)</f>
        <v>8.5929120000000019</v>
      </c>
      <c r="I618" s="420">
        <v>0</v>
      </c>
      <c r="J618" s="420"/>
      <c r="K618" s="421">
        <f t="shared" si="181"/>
        <v>0</v>
      </c>
      <c r="L618" s="668" t="s">
        <v>614</v>
      </c>
      <c r="M618" s="669"/>
      <c r="N618" s="576">
        <f t="shared" si="186"/>
        <v>0</v>
      </c>
      <c r="O618" s="577">
        <f t="shared" si="196"/>
        <v>0</v>
      </c>
      <c r="P618" s="578">
        <f t="shared" si="197"/>
        <v>0</v>
      </c>
      <c r="Q618" s="765"/>
      <c r="R618" s="669"/>
      <c r="S618" s="670"/>
      <c r="T618" s="577">
        <f t="shared" si="194"/>
        <v>0</v>
      </c>
      <c r="U618" s="578">
        <f t="shared" si="195"/>
        <v>0</v>
      </c>
      <c r="V618" s="579"/>
      <c r="W618" s="637" t="str">
        <f>IF(U617&gt;0,"xx",IF(P617&gt;0,"xy",""))</f>
        <v/>
      </c>
      <c r="X618" s="586" t="str">
        <f t="shared" si="191"/>
        <v/>
      </c>
      <c r="Y618" s="586" t="str">
        <f t="shared" si="189"/>
        <v/>
      </c>
      <c r="Z618" s="586" t="str">
        <f t="shared" si="183"/>
        <v/>
      </c>
    </row>
    <row r="619" spans="1:26" hidden="1" x14ac:dyDescent="0.2">
      <c r="A619" s="567" t="s">
        <v>168</v>
      </c>
      <c r="B619" s="644" t="s">
        <v>168</v>
      </c>
      <c r="C619" s="645"/>
      <c r="D619" s="451" t="s">
        <v>248</v>
      </c>
      <c r="E619" s="423"/>
      <c r="F619" s="424">
        <v>180</v>
      </c>
      <c r="G619" s="425">
        <f>ROUND(0.96*0.08,4)</f>
        <v>7.6799999999999993E-2</v>
      </c>
      <c r="H619" s="663">
        <f t="shared" ref="H619:H620" si="199">IF(F619&lt;=30,(1.07*F619+2.68)*G619,((1.07*30+2.68)+1.07*(F619-30))*G619)</f>
        <v>14.997503999999999</v>
      </c>
      <c r="I619" s="420">
        <v>0</v>
      </c>
      <c r="J619" s="420"/>
      <c r="K619" s="421">
        <f t="shared" si="181"/>
        <v>0</v>
      </c>
      <c r="L619" s="668" t="s">
        <v>614</v>
      </c>
      <c r="M619" s="669"/>
      <c r="N619" s="576">
        <f t="shared" si="186"/>
        <v>0</v>
      </c>
      <c r="O619" s="577">
        <f t="shared" si="196"/>
        <v>0</v>
      </c>
      <c r="P619" s="578">
        <f t="shared" si="197"/>
        <v>0</v>
      </c>
      <c r="Q619" s="765"/>
      <c r="R619" s="669"/>
      <c r="S619" s="670"/>
      <c r="T619" s="577">
        <f t="shared" si="194"/>
        <v>0</v>
      </c>
      <c r="U619" s="578">
        <f t="shared" si="195"/>
        <v>0</v>
      </c>
      <c r="V619" s="579"/>
      <c r="W619" s="637" t="str">
        <f>IF(U617&gt;0,"xx",IF(P617&gt;0,"xy",""))</f>
        <v/>
      </c>
      <c r="X619" s="586" t="str">
        <f t="shared" si="191"/>
        <v/>
      </c>
      <c r="Y619" s="586" t="str">
        <f t="shared" si="189"/>
        <v/>
      </c>
      <c r="Z619" s="586" t="str">
        <f t="shared" si="183"/>
        <v/>
      </c>
    </row>
    <row r="620" spans="1:26" hidden="1" x14ac:dyDescent="0.2">
      <c r="A620" s="567" t="s">
        <v>168</v>
      </c>
      <c r="B620" s="644" t="s">
        <v>168</v>
      </c>
      <c r="C620" s="645"/>
      <c r="D620" s="451" t="s">
        <v>252</v>
      </c>
      <c r="E620" s="423"/>
      <c r="F620" s="424">
        <v>20</v>
      </c>
      <c r="G620" s="425">
        <f>ROUND(1.11*0.08,4)</f>
        <v>8.8800000000000004E-2</v>
      </c>
      <c r="H620" s="663">
        <f t="shared" si="199"/>
        <v>2.1383040000000002</v>
      </c>
      <c r="I620" s="420">
        <v>0</v>
      </c>
      <c r="J620" s="420"/>
      <c r="K620" s="421">
        <f t="shared" si="181"/>
        <v>0</v>
      </c>
      <c r="L620" s="668" t="s">
        <v>614</v>
      </c>
      <c r="M620" s="669"/>
      <c r="N620" s="576">
        <f t="shared" si="186"/>
        <v>0</v>
      </c>
      <c r="O620" s="577">
        <f t="shared" si="196"/>
        <v>0</v>
      </c>
      <c r="P620" s="578">
        <f t="shared" si="197"/>
        <v>0</v>
      </c>
      <c r="Q620" s="765"/>
      <c r="R620" s="669"/>
      <c r="S620" s="670"/>
      <c r="T620" s="577">
        <f t="shared" si="194"/>
        <v>0</v>
      </c>
      <c r="U620" s="578">
        <f t="shared" si="195"/>
        <v>0</v>
      </c>
      <c r="V620" s="579"/>
      <c r="W620" s="637" t="str">
        <f>IF(U617&gt;0,"xx",IF(P617&gt;0,"xy",""))</f>
        <v/>
      </c>
      <c r="X620" s="586" t="str">
        <f t="shared" si="191"/>
        <v/>
      </c>
      <c r="Y620" s="586" t="str">
        <f t="shared" si="189"/>
        <v/>
      </c>
      <c r="Z620" s="586" t="str">
        <f t="shared" si="183"/>
        <v/>
      </c>
    </row>
    <row r="621" spans="1:26" hidden="1" x14ac:dyDescent="0.2">
      <c r="A621" s="567">
        <v>511000</v>
      </c>
      <c r="B621" s="644" t="s">
        <v>1534</v>
      </c>
      <c r="C621" s="645" t="s">
        <v>206</v>
      </c>
      <c r="D621" s="422" t="s">
        <v>283</v>
      </c>
      <c r="E621" s="423"/>
      <c r="F621" s="424">
        <v>0</v>
      </c>
      <c r="G621" s="425"/>
      <c r="H621" s="651">
        <f>IF(F621&lt;=30,(0.62*F621+6.29)*G621,((0.62*30+6.29)+0.62*(F621-30))*G621)</f>
        <v>0</v>
      </c>
      <c r="I621" s="420">
        <v>4.95</v>
      </c>
      <c r="J621" s="420">
        <f t="shared" ref="J621:J626" si="200">IF(ISBLANK(I621),"",SUM(H621:I621))</f>
        <v>4.95</v>
      </c>
      <c r="K621" s="421">
        <f t="shared" si="181"/>
        <v>5.88</v>
      </c>
      <c r="L621" s="647" t="s">
        <v>18</v>
      </c>
      <c r="M621" s="576"/>
      <c r="N621" s="576">
        <f t="shared" si="186"/>
        <v>0</v>
      </c>
      <c r="O621" s="577">
        <f t="shared" si="196"/>
        <v>0</v>
      </c>
      <c r="P621" s="578">
        <f t="shared" si="197"/>
        <v>0</v>
      </c>
      <c r="Q621" s="765"/>
      <c r="R621" s="576">
        <f t="shared" ref="R621:R633" si="201">M621</f>
        <v>0</v>
      </c>
      <c r="S621" s="576">
        <f t="shared" si="198"/>
        <v>0</v>
      </c>
      <c r="T621" s="577">
        <f t="shared" si="194"/>
        <v>0</v>
      </c>
      <c r="U621" s="578">
        <f t="shared" si="195"/>
        <v>0</v>
      </c>
      <c r="V621" s="579"/>
      <c r="W621" s="566"/>
      <c r="X621" s="586" t="str">
        <f t="shared" si="191"/>
        <v/>
      </c>
      <c r="Y621" s="586" t="str">
        <f t="shared" si="189"/>
        <v/>
      </c>
      <c r="Z621" s="586" t="str">
        <f t="shared" si="183"/>
        <v/>
      </c>
    </row>
    <row r="622" spans="1:26" hidden="1" x14ac:dyDescent="0.2">
      <c r="A622" s="567">
        <v>511100</v>
      </c>
      <c r="B622" s="644" t="s">
        <v>1539</v>
      </c>
      <c r="C622" s="645" t="s">
        <v>206</v>
      </c>
      <c r="D622" s="422" t="s">
        <v>284</v>
      </c>
      <c r="E622" s="423"/>
      <c r="F622" s="424">
        <v>0</v>
      </c>
      <c r="G622" s="425">
        <v>0</v>
      </c>
      <c r="H622" s="651">
        <f>IF(F622&lt;=30,(0.62*F622+6.29)*G622,((0.62*30+6.29)+0.62*(F622-30))*G622)</f>
        <v>0</v>
      </c>
      <c r="I622" s="420">
        <v>4.33</v>
      </c>
      <c r="J622" s="420">
        <f t="shared" si="200"/>
        <v>4.33</v>
      </c>
      <c r="K622" s="421">
        <f t="shared" si="181"/>
        <v>5.14</v>
      </c>
      <c r="L622" s="647" t="s">
        <v>18</v>
      </c>
      <c r="M622" s="576"/>
      <c r="N622" s="576">
        <f t="shared" si="186"/>
        <v>0</v>
      </c>
      <c r="O622" s="577">
        <f t="shared" si="196"/>
        <v>0</v>
      </c>
      <c r="P622" s="578">
        <f t="shared" si="197"/>
        <v>0</v>
      </c>
      <c r="Q622" s="765"/>
      <c r="R622" s="576">
        <f t="shared" si="201"/>
        <v>0</v>
      </c>
      <c r="S622" s="576">
        <f t="shared" si="198"/>
        <v>0</v>
      </c>
      <c r="T622" s="577">
        <f t="shared" si="194"/>
        <v>0</v>
      </c>
      <c r="U622" s="578">
        <f t="shared" si="195"/>
        <v>0</v>
      </c>
      <c r="V622" s="579"/>
      <c r="W622" s="566"/>
      <c r="X622" s="586" t="str">
        <f t="shared" si="191"/>
        <v/>
      </c>
      <c r="Y622" s="586" t="str">
        <f t="shared" si="189"/>
        <v/>
      </c>
      <c r="Z622" s="586" t="str">
        <f t="shared" si="183"/>
        <v/>
      </c>
    </row>
    <row r="623" spans="1:26" hidden="1" x14ac:dyDescent="0.2">
      <c r="A623" s="567">
        <v>520100</v>
      </c>
      <c r="B623" s="644" t="s">
        <v>1816</v>
      </c>
      <c r="C623" s="645" t="s">
        <v>206</v>
      </c>
      <c r="D623" s="422" t="s">
        <v>285</v>
      </c>
      <c r="E623" s="423"/>
      <c r="F623" s="418">
        <v>0.5</v>
      </c>
      <c r="G623" s="419">
        <f>1.5*1.4</f>
        <v>2.0999999999999996</v>
      </c>
      <c r="H623" s="663">
        <f t="shared" ref="H623:H632" si="202">IF(F623&lt;=30,(1.07*F623+2.68)*G623,((1.07*30+2.68)+1.07*(F623-30))*G623)</f>
        <v>6.7514999999999992</v>
      </c>
      <c r="I623" s="449">
        <v>13.587999999999999</v>
      </c>
      <c r="J623" s="420">
        <f t="shared" si="200"/>
        <v>20.339499999999997</v>
      </c>
      <c r="K623" s="421">
        <f t="shared" si="181"/>
        <v>24.17</v>
      </c>
      <c r="L623" s="647" t="s">
        <v>16</v>
      </c>
      <c r="M623" s="576"/>
      <c r="N623" s="576">
        <f t="shared" si="186"/>
        <v>0</v>
      </c>
      <c r="O623" s="577">
        <f t="shared" si="196"/>
        <v>0</v>
      </c>
      <c r="P623" s="578">
        <f t="shared" si="197"/>
        <v>0</v>
      </c>
      <c r="Q623" s="765"/>
      <c r="R623" s="576">
        <f t="shared" si="201"/>
        <v>0</v>
      </c>
      <c r="S623" s="576">
        <f t="shared" si="198"/>
        <v>0</v>
      </c>
      <c r="T623" s="577">
        <f t="shared" si="194"/>
        <v>0</v>
      </c>
      <c r="U623" s="578">
        <f t="shared" si="195"/>
        <v>0</v>
      </c>
      <c r="V623" s="579"/>
      <c r="W623" s="566"/>
      <c r="X623" s="586" t="str">
        <f t="shared" si="191"/>
        <v/>
      </c>
      <c r="Y623" s="586" t="str">
        <f t="shared" si="189"/>
        <v/>
      </c>
      <c r="Z623" s="586" t="str">
        <f t="shared" si="183"/>
        <v/>
      </c>
    </row>
    <row r="624" spans="1:26" hidden="1" x14ac:dyDescent="0.2">
      <c r="A624" s="567">
        <v>520100</v>
      </c>
      <c r="B624" s="644" t="s">
        <v>1817</v>
      </c>
      <c r="C624" s="645" t="s">
        <v>206</v>
      </c>
      <c r="D624" s="422" t="s">
        <v>286</v>
      </c>
      <c r="E624" s="423"/>
      <c r="F624" s="418">
        <v>15</v>
      </c>
      <c r="G624" s="419">
        <f>1.5*1.4</f>
        <v>2.0999999999999996</v>
      </c>
      <c r="H624" s="663">
        <f t="shared" si="202"/>
        <v>39.332999999999991</v>
      </c>
      <c r="I624" s="449">
        <v>13.587999999999999</v>
      </c>
      <c r="J624" s="420">
        <f t="shared" si="200"/>
        <v>52.920999999999992</v>
      </c>
      <c r="K624" s="421">
        <f t="shared" si="181"/>
        <v>62.88</v>
      </c>
      <c r="L624" s="647" t="s">
        <v>16</v>
      </c>
      <c r="M624" s="576"/>
      <c r="N624" s="576">
        <f t="shared" si="186"/>
        <v>0</v>
      </c>
      <c r="O624" s="577">
        <f t="shared" si="196"/>
        <v>0</v>
      </c>
      <c r="P624" s="578">
        <f t="shared" si="197"/>
        <v>0</v>
      </c>
      <c r="Q624" s="765"/>
      <c r="R624" s="576">
        <f t="shared" si="201"/>
        <v>0</v>
      </c>
      <c r="S624" s="576">
        <f t="shared" si="198"/>
        <v>0</v>
      </c>
      <c r="T624" s="577">
        <f t="shared" si="194"/>
        <v>0</v>
      </c>
      <c r="U624" s="578">
        <f t="shared" si="195"/>
        <v>0</v>
      </c>
      <c r="V624" s="579"/>
      <c r="W624" s="566"/>
      <c r="X624" s="586" t="str">
        <f t="shared" si="191"/>
        <v/>
      </c>
      <c r="Y624" s="586" t="str">
        <f t="shared" si="189"/>
        <v/>
      </c>
      <c r="Z624" s="586" t="str">
        <f t="shared" si="183"/>
        <v/>
      </c>
    </row>
    <row r="625" spans="1:26" hidden="1" x14ac:dyDescent="0.2">
      <c r="A625" s="567">
        <v>533500</v>
      </c>
      <c r="B625" s="644" t="s">
        <v>1818</v>
      </c>
      <c r="C625" s="645" t="s">
        <v>206</v>
      </c>
      <c r="D625" s="422" t="s">
        <v>481</v>
      </c>
      <c r="E625" s="423"/>
      <c r="F625" s="418">
        <v>15</v>
      </c>
      <c r="G625" s="419">
        <v>1.95</v>
      </c>
      <c r="H625" s="663">
        <f t="shared" si="202"/>
        <v>36.523499999999999</v>
      </c>
      <c r="I625" s="420">
        <v>26.299999999999997</v>
      </c>
      <c r="J625" s="420">
        <f t="shared" si="200"/>
        <v>62.823499999999996</v>
      </c>
      <c r="K625" s="421">
        <f t="shared" si="181"/>
        <v>74.64</v>
      </c>
      <c r="L625" s="647" t="s">
        <v>16</v>
      </c>
      <c r="M625" s="576"/>
      <c r="N625" s="576">
        <f t="shared" si="186"/>
        <v>0</v>
      </c>
      <c r="O625" s="577">
        <f t="shared" si="196"/>
        <v>0</v>
      </c>
      <c r="P625" s="578">
        <f t="shared" si="197"/>
        <v>0</v>
      </c>
      <c r="Q625" s="765"/>
      <c r="R625" s="576">
        <f t="shared" si="201"/>
        <v>0</v>
      </c>
      <c r="S625" s="576">
        <f t="shared" si="198"/>
        <v>0</v>
      </c>
      <c r="T625" s="577">
        <f t="shared" si="194"/>
        <v>0</v>
      </c>
      <c r="U625" s="578">
        <f t="shared" si="195"/>
        <v>0</v>
      </c>
      <c r="V625" s="579"/>
      <c r="W625" s="566"/>
      <c r="X625" s="586" t="str">
        <f t="shared" si="191"/>
        <v/>
      </c>
      <c r="Y625" s="586" t="str">
        <f t="shared" si="189"/>
        <v/>
      </c>
      <c r="Z625" s="586" t="str">
        <f t="shared" si="183"/>
        <v/>
      </c>
    </row>
    <row r="626" spans="1:26" hidden="1" x14ac:dyDescent="0.2">
      <c r="A626" s="567">
        <v>533100</v>
      </c>
      <c r="B626" s="644" t="s">
        <v>1819</v>
      </c>
      <c r="C626" s="645" t="s">
        <v>206</v>
      </c>
      <c r="D626" s="422" t="s">
        <v>492</v>
      </c>
      <c r="E626" s="423"/>
      <c r="F626" s="418">
        <v>15</v>
      </c>
      <c r="G626" s="419">
        <v>1.98</v>
      </c>
      <c r="H626" s="663">
        <f t="shared" si="202"/>
        <v>37.0854</v>
      </c>
      <c r="I626" s="420">
        <v>31.15</v>
      </c>
      <c r="J626" s="420">
        <f t="shared" si="200"/>
        <v>68.235399999999998</v>
      </c>
      <c r="K626" s="421">
        <f t="shared" si="181"/>
        <v>81.069999999999993</v>
      </c>
      <c r="L626" s="647" t="s">
        <v>16</v>
      </c>
      <c r="M626" s="576"/>
      <c r="N626" s="576">
        <f t="shared" si="186"/>
        <v>0</v>
      </c>
      <c r="O626" s="577">
        <f t="shared" si="196"/>
        <v>0</v>
      </c>
      <c r="P626" s="578">
        <f t="shared" si="197"/>
        <v>0</v>
      </c>
      <c r="Q626" s="765"/>
      <c r="R626" s="576">
        <f t="shared" si="201"/>
        <v>0</v>
      </c>
      <c r="S626" s="576">
        <f t="shared" si="198"/>
        <v>0</v>
      </c>
      <c r="T626" s="577">
        <f t="shared" si="194"/>
        <v>0</v>
      </c>
      <c r="U626" s="578">
        <f t="shared" si="195"/>
        <v>0</v>
      </c>
      <c r="V626" s="579"/>
      <c r="W626" s="566"/>
      <c r="X626" s="586" t="str">
        <f t="shared" si="191"/>
        <v/>
      </c>
      <c r="Y626" s="586" t="str">
        <f t="shared" si="189"/>
        <v/>
      </c>
      <c r="Z626" s="586" t="str">
        <f t="shared" si="183"/>
        <v/>
      </c>
    </row>
    <row r="627" spans="1:26" hidden="1" x14ac:dyDescent="0.2">
      <c r="A627" s="567">
        <v>533100</v>
      </c>
      <c r="B627" s="644" t="s">
        <v>1820</v>
      </c>
      <c r="C627" s="645" t="s">
        <v>206</v>
      </c>
      <c r="D627" s="422" t="s">
        <v>287</v>
      </c>
      <c r="E627" s="423"/>
      <c r="F627" s="418">
        <v>15</v>
      </c>
      <c r="G627" s="419">
        <v>2.1</v>
      </c>
      <c r="H627" s="663">
        <f t="shared" si="202"/>
        <v>39.333000000000006</v>
      </c>
      <c r="I627" s="420">
        <v>31.15</v>
      </c>
      <c r="J627" s="420">
        <f t="shared" ref="J627:J632" si="203">IF(ISBLANK(I627),"",SUM(H627:I627))</f>
        <v>70.483000000000004</v>
      </c>
      <c r="K627" s="421">
        <f t="shared" si="181"/>
        <v>83.74</v>
      </c>
      <c r="L627" s="647" t="s">
        <v>16</v>
      </c>
      <c r="M627" s="576"/>
      <c r="N627" s="576">
        <f t="shared" si="186"/>
        <v>0</v>
      </c>
      <c r="O627" s="577">
        <f t="shared" si="196"/>
        <v>0</v>
      </c>
      <c r="P627" s="578">
        <f t="shared" si="197"/>
        <v>0</v>
      </c>
      <c r="Q627" s="765"/>
      <c r="R627" s="576">
        <f t="shared" si="201"/>
        <v>0</v>
      </c>
      <c r="S627" s="576">
        <f t="shared" si="198"/>
        <v>0</v>
      </c>
      <c r="T627" s="577">
        <f t="shared" si="194"/>
        <v>0</v>
      </c>
      <c r="U627" s="578">
        <f t="shared" si="195"/>
        <v>0</v>
      </c>
      <c r="V627" s="579"/>
      <c r="W627" s="566"/>
      <c r="X627" s="586" t="str">
        <f t="shared" si="191"/>
        <v/>
      </c>
      <c r="Y627" s="586" t="str">
        <f t="shared" si="189"/>
        <v/>
      </c>
      <c r="Z627" s="586" t="str">
        <f t="shared" si="183"/>
        <v/>
      </c>
    </row>
    <row r="628" spans="1:26" hidden="1" x14ac:dyDescent="0.2">
      <c r="A628" s="567">
        <v>530200</v>
      </c>
      <c r="B628" s="644" t="s">
        <v>1821</v>
      </c>
      <c r="C628" s="645" t="s">
        <v>206</v>
      </c>
      <c r="D628" s="422" t="s">
        <v>236</v>
      </c>
      <c r="E628" s="423"/>
      <c r="F628" s="418">
        <v>20</v>
      </c>
      <c r="G628" s="419">
        <v>2.2000000000000002</v>
      </c>
      <c r="H628" s="663">
        <f t="shared" si="202"/>
        <v>52.976000000000006</v>
      </c>
      <c r="I628" s="420">
        <v>94.56</v>
      </c>
      <c r="J628" s="420">
        <f t="shared" si="203"/>
        <v>147.536</v>
      </c>
      <c r="K628" s="421">
        <f t="shared" si="181"/>
        <v>175.29</v>
      </c>
      <c r="L628" s="647" t="s">
        <v>16</v>
      </c>
      <c r="M628" s="576"/>
      <c r="N628" s="576">
        <f t="shared" si="186"/>
        <v>0</v>
      </c>
      <c r="O628" s="577">
        <f t="shared" si="196"/>
        <v>0</v>
      </c>
      <c r="P628" s="578">
        <f t="shared" si="197"/>
        <v>0</v>
      </c>
      <c r="Q628" s="765"/>
      <c r="R628" s="576">
        <f t="shared" si="201"/>
        <v>0</v>
      </c>
      <c r="S628" s="576">
        <f t="shared" si="198"/>
        <v>0</v>
      </c>
      <c r="T628" s="577">
        <f t="shared" si="194"/>
        <v>0</v>
      </c>
      <c r="U628" s="578">
        <f t="shared" si="195"/>
        <v>0</v>
      </c>
      <c r="V628" s="579"/>
      <c r="W628" s="566"/>
      <c r="X628" s="586" t="str">
        <f t="shared" si="191"/>
        <v/>
      </c>
      <c r="Y628" s="586" t="str">
        <f t="shared" si="189"/>
        <v/>
      </c>
      <c r="Z628" s="586" t="str">
        <f t="shared" si="183"/>
        <v/>
      </c>
    </row>
    <row r="629" spans="1:26" hidden="1" x14ac:dyDescent="0.2">
      <c r="A629" s="567" t="s">
        <v>2066</v>
      </c>
      <c r="B629" s="644" t="s">
        <v>1571</v>
      </c>
      <c r="C629" s="645" t="s">
        <v>484</v>
      </c>
      <c r="D629" s="422" t="s">
        <v>633</v>
      </c>
      <c r="E629" s="423"/>
      <c r="F629" s="418">
        <v>10</v>
      </c>
      <c r="G629" s="419">
        <v>1.95</v>
      </c>
      <c r="H629" s="663">
        <f t="shared" si="202"/>
        <v>26.091000000000001</v>
      </c>
      <c r="I629" s="420">
        <v>72.11</v>
      </c>
      <c r="J629" s="420">
        <f t="shared" si="203"/>
        <v>98.200999999999993</v>
      </c>
      <c r="K629" s="421">
        <f t="shared" si="181"/>
        <v>116.67</v>
      </c>
      <c r="L629" s="647" t="s">
        <v>16</v>
      </c>
      <c r="M629" s="576"/>
      <c r="N629" s="576">
        <f t="shared" si="186"/>
        <v>0</v>
      </c>
      <c r="O629" s="577">
        <f t="shared" si="196"/>
        <v>0</v>
      </c>
      <c r="P629" s="578">
        <f t="shared" si="197"/>
        <v>0</v>
      </c>
      <c r="Q629" s="765"/>
      <c r="R629" s="576">
        <f t="shared" si="201"/>
        <v>0</v>
      </c>
      <c r="S629" s="576">
        <f t="shared" si="198"/>
        <v>0</v>
      </c>
      <c r="T629" s="577">
        <f t="shared" si="194"/>
        <v>0</v>
      </c>
      <c r="U629" s="578">
        <f t="shared" si="195"/>
        <v>0</v>
      </c>
      <c r="V629" s="579"/>
      <c r="W629" s="566"/>
      <c r="X629" s="586" t="str">
        <f t="shared" si="191"/>
        <v/>
      </c>
      <c r="Y629" s="586" t="str">
        <f t="shared" si="189"/>
        <v/>
      </c>
      <c r="Z629" s="586" t="str">
        <f t="shared" si="183"/>
        <v/>
      </c>
    </row>
    <row r="630" spans="1:26" hidden="1" x14ac:dyDescent="0.2">
      <c r="A630" s="567" t="s">
        <v>2067</v>
      </c>
      <c r="B630" s="644" t="s">
        <v>1572</v>
      </c>
      <c r="C630" s="645" t="s">
        <v>484</v>
      </c>
      <c r="D630" s="422" t="s">
        <v>634</v>
      </c>
      <c r="E630" s="423"/>
      <c r="F630" s="418">
        <v>11</v>
      </c>
      <c r="G630" s="419">
        <v>2.1</v>
      </c>
      <c r="H630" s="663">
        <f t="shared" si="202"/>
        <v>30.345000000000002</v>
      </c>
      <c r="I630" s="420">
        <v>88.65</v>
      </c>
      <c r="J630" s="420">
        <f t="shared" si="203"/>
        <v>118.995</v>
      </c>
      <c r="K630" s="421">
        <f t="shared" si="181"/>
        <v>141.38</v>
      </c>
      <c r="L630" s="647" t="s">
        <v>16</v>
      </c>
      <c r="M630" s="576"/>
      <c r="N630" s="576">
        <f t="shared" si="186"/>
        <v>0</v>
      </c>
      <c r="O630" s="577">
        <f t="shared" si="196"/>
        <v>0</v>
      </c>
      <c r="P630" s="578">
        <f t="shared" si="197"/>
        <v>0</v>
      </c>
      <c r="Q630" s="765"/>
      <c r="R630" s="576">
        <f t="shared" si="201"/>
        <v>0</v>
      </c>
      <c r="S630" s="576">
        <f t="shared" si="198"/>
        <v>0</v>
      </c>
      <c r="T630" s="577">
        <f t="shared" si="194"/>
        <v>0</v>
      </c>
      <c r="U630" s="578">
        <f t="shared" si="195"/>
        <v>0</v>
      </c>
      <c r="V630" s="579"/>
      <c r="W630" s="566"/>
      <c r="X630" s="586" t="str">
        <f t="shared" si="191"/>
        <v/>
      </c>
      <c r="Y630" s="586" t="str">
        <f t="shared" si="189"/>
        <v/>
      </c>
      <c r="Z630" s="586" t="str">
        <f t="shared" si="183"/>
        <v/>
      </c>
    </row>
    <row r="631" spans="1:26" hidden="1" x14ac:dyDescent="0.2">
      <c r="A631" s="567">
        <v>530200</v>
      </c>
      <c r="B631" s="644" t="s">
        <v>1822</v>
      </c>
      <c r="C631" s="645" t="s">
        <v>206</v>
      </c>
      <c r="D631" s="422" t="s">
        <v>493</v>
      </c>
      <c r="E631" s="423"/>
      <c r="F631" s="418">
        <v>20</v>
      </c>
      <c r="G631" s="419">
        <v>2.2000000000000002</v>
      </c>
      <c r="H631" s="663">
        <f t="shared" si="202"/>
        <v>52.976000000000006</v>
      </c>
      <c r="I631" s="420">
        <v>94.56</v>
      </c>
      <c r="J631" s="420">
        <f t="shared" si="203"/>
        <v>147.536</v>
      </c>
      <c r="K631" s="421">
        <f t="shared" si="181"/>
        <v>175.29</v>
      </c>
      <c r="L631" s="647" t="s">
        <v>16</v>
      </c>
      <c r="M631" s="576"/>
      <c r="N631" s="576">
        <f t="shared" si="186"/>
        <v>0</v>
      </c>
      <c r="O631" s="577">
        <f t="shared" si="196"/>
        <v>0</v>
      </c>
      <c r="P631" s="578">
        <f t="shared" si="197"/>
        <v>0</v>
      </c>
      <c r="Q631" s="765"/>
      <c r="R631" s="576">
        <f t="shared" si="201"/>
        <v>0</v>
      </c>
      <c r="S631" s="576">
        <f t="shared" si="198"/>
        <v>0</v>
      </c>
      <c r="T631" s="577">
        <f t="shared" si="194"/>
        <v>0</v>
      </c>
      <c r="U631" s="578">
        <f t="shared" si="195"/>
        <v>0</v>
      </c>
      <c r="V631" s="579"/>
      <c r="W631" s="566"/>
      <c r="X631" s="586" t="str">
        <f t="shared" si="191"/>
        <v/>
      </c>
      <c r="Y631" s="586" t="str">
        <f t="shared" si="189"/>
        <v/>
      </c>
      <c r="Z631" s="586" t="str">
        <f t="shared" si="183"/>
        <v/>
      </c>
    </row>
    <row r="632" spans="1:26" hidden="1" x14ac:dyDescent="0.2">
      <c r="A632" s="567">
        <v>531000</v>
      </c>
      <c r="B632" s="644" t="s">
        <v>1823</v>
      </c>
      <c r="C632" s="645" t="s">
        <v>206</v>
      </c>
      <c r="D632" s="422" t="s">
        <v>288</v>
      </c>
      <c r="E632" s="423"/>
      <c r="F632" s="424">
        <v>20</v>
      </c>
      <c r="G632" s="425">
        <v>2.4</v>
      </c>
      <c r="H632" s="651">
        <f t="shared" si="202"/>
        <v>57.792000000000002</v>
      </c>
      <c r="I632" s="420">
        <v>127.37</v>
      </c>
      <c r="J632" s="420">
        <f t="shared" si="203"/>
        <v>185.16200000000001</v>
      </c>
      <c r="K632" s="421">
        <f t="shared" si="181"/>
        <v>219.99</v>
      </c>
      <c r="L632" s="647" t="s">
        <v>16</v>
      </c>
      <c r="M632" s="700"/>
      <c r="N632" s="588">
        <f t="shared" si="186"/>
        <v>0</v>
      </c>
      <c r="O632" s="585">
        <f t="shared" si="196"/>
        <v>0</v>
      </c>
      <c r="P632" s="660">
        <f t="shared" si="197"/>
        <v>0</v>
      </c>
      <c r="Q632" s="765"/>
      <c r="R632" s="576">
        <f t="shared" si="201"/>
        <v>0</v>
      </c>
      <c r="S632" s="576">
        <f t="shared" si="198"/>
        <v>0</v>
      </c>
      <c r="T632" s="577">
        <f t="shared" si="194"/>
        <v>0</v>
      </c>
      <c r="U632" s="578">
        <f t="shared" si="195"/>
        <v>0</v>
      </c>
      <c r="V632" s="579"/>
      <c r="W632" s="566"/>
      <c r="X632" s="586" t="str">
        <f t="shared" si="191"/>
        <v/>
      </c>
      <c r="Y632" s="586" t="str">
        <f t="shared" si="189"/>
        <v/>
      </c>
      <c r="Z632" s="586" t="str">
        <f t="shared" si="183"/>
        <v/>
      </c>
    </row>
    <row r="633" spans="1:26" hidden="1" x14ac:dyDescent="0.2">
      <c r="A633" s="567">
        <v>560100</v>
      </c>
      <c r="B633" s="461" t="s">
        <v>1824</v>
      </c>
      <c r="C633" s="462" t="s">
        <v>206</v>
      </c>
      <c r="D633" s="463" t="s">
        <v>1573</v>
      </c>
      <c r="E633" s="464"/>
      <c r="F633" s="465" t="s">
        <v>667</v>
      </c>
      <c r="G633" s="466">
        <v>1.1999999999999999E-3</v>
      </c>
      <c r="H633" s="681"/>
      <c r="I633" s="467">
        <v>0.5</v>
      </c>
      <c r="J633" s="467">
        <f>I633</f>
        <v>0.5</v>
      </c>
      <c r="K633" s="682">
        <f t="shared" si="181"/>
        <v>0.59</v>
      </c>
      <c r="L633" s="683" t="s">
        <v>18</v>
      </c>
      <c r="M633" s="685"/>
      <c r="N633" s="686">
        <f t="shared" si="186"/>
        <v>0</v>
      </c>
      <c r="O633" s="687">
        <f t="shared" si="196"/>
        <v>0</v>
      </c>
      <c r="P633" s="688">
        <f t="shared" si="197"/>
        <v>0</v>
      </c>
      <c r="Q633" s="765"/>
      <c r="R633" s="685">
        <f t="shared" si="201"/>
        <v>0</v>
      </c>
      <c r="S633" s="686">
        <f t="shared" si="198"/>
        <v>0</v>
      </c>
      <c r="T633" s="687">
        <f t="shared" si="194"/>
        <v>0</v>
      </c>
      <c r="U633" s="688">
        <f t="shared" si="195"/>
        <v>0</v>
      </c>
      <c r="V633" s="579"/>
      <c r="W633" s="566"/>
      <c r="X633" s="586" t="str">
        <f t="shared" si="191"/>
        <v/>
      </c>
      <c r="Y633" s="586" t="str">
        <f t="shared" si="189"/>
        <v/>
      </c>
      <c r="Z633" s="586" t="str">
        <f t="shared" si="183"/>
        <v/>
      </c>
    </row>
    <row r="634" spans="1:26" ht="12" hidden="1" thickBot="1" x14ac:dyDescent="0.25">
      <c r="A634" s="567">
        <v>589420</v>
      </c>
      <c r="B634" s="468" t="s">
        <v>1825</v>
      </c>
      <c r="C634" s="488" t="s">
        <v>1746</v>
      </c>
      <c r="D634" s="469" t="s">
        <v>745</v>
      </c>
      <c r="E634" s="470"/>
      <c r="F634" s="471">
        <v>500</v>
      </c>
      <c r="G634" s="785">
        <v>1</v>
      </c>
      <c r="H634" s="663">
        <f>(0.84*F634+41.45)*G634</f>
        <v>461.45</v>
      </c>
      <c r="I634" s="472">
        <v>3820</v>
      </c>
      <c r="J634" s="472">
        <f>IF(ISBLANK(I634),"",I634*(1+$F$9)/(1+$F$10))+H634</f>
        <v>4167.952819627978</v>
      </c>
      <c r="K634" s="690">
        <f t="shared" si="181"/>
        <v>4951.9399999999996</v>
      </c>
      <c r="L634" s="691" t="s">
        <v>20</v>
      </c>
      <c r="M634" s="692">
        <f>ROUND(M633*G633,2)</f>
        <v>0</v>
      </c>
      <c r="N634" s="696">
        <f t="shared" si="186"/>
        <v>0</v>
      </c>
      <c r="O634" s="693">
        <f t="shared" si="196"/>
        <v>0</v>
      </c>
      <c r="P634" s="694">
        <f t="shared" si="197"/>
        <v>0</v>
      </c>
      <c r="Q634" s="765"/>
      <c r="R634" s="695">
        <f>ROUND(R633*G633,2)</f>
        <v>0</v>
      </c>
      <c r="S634" s="696">
        <f t="shared" si="198"/>
        <v>0</v>
      </c>
      <c r="T634" s="693">
        <f t="shared" si="194"/>
        <v>0</v>
      </c>
      <c r="U634" s="694">
        <f t="shared" si="195"/>
        <v>0</v>
      </c>
      <c r="V634" s="579"/>
      <c r="W634" s="566"/>
      <c r="X634" s="586" t="str">
        <f t="shared" si="191"/>
        <v/>
      </c>
      <c r="Y634" s="586" t="str">
        <f t="shared" si="189"/>
        <v/>
      </c>
      <c r="Z634" s="586" t="str">
        <f t="shared" si="183"/>
        <v/>
      </c>
    </row>
    <row r="635" spans="1:26" hidden="1" x14ac:dyDescent="0.2">
      <c r="A635" s="567">
        <v>560100</v>
      </c>
      <c r="B635" s="461" t="s">
        <v>1826</v>
      </c>
      <c r="C635" s="462" t="s">
        <v>206</v>
      </c>
      <c r="D635" s="463" t="s">
        <v>646</v>
      </c>
      <c r="E635" s="464"/>
      <c r="F635" s="465" t="s">
        <v>667</v>
      </c>
      <c r="G635" s="466">
        <v>1.1000000000000001E-3</v>
      </c>
      <c r="H635" s="681"/>
      <c r="I635" s="467">
        <v>0.5</v>
      </c>
      <c r="J635" s="467">
        <f>IF(ISBLANK(I635),"",SUM(H635:I635))</f>
        <v>0.5</v>
      </c>
      <c r="K635" s="682">
        <f t="shared" si="181"/>
        <v>0.59</v>
      </c>
      <c r="L635" s="683" t="s">
        <v>18</v>
      </c>
      <c r="M635" s="685"/>
      <c r="N635" s="576">
        <f t="shared" si="186"/>
        <v>0</v>
      </c>
      <c r="O635" s="687">
        <f t="shared" si="196"/>
        <v>0</v>
      </c>
      <c r="P635" s="688">
        <f t="shared" si="197"/>
        <v>0</v>
      </c>
      <c r="Q635" s="765"/>
      <c r="R635" s="685">
        <f>M635</f>
        <v>0</v>
      </c>
      <c r="S635" s="686">
        <f t="shared" si="198"/>
        <v>0</v>
      </c>
      <c r="T635" s="687">
        <f t="shared" si="194"/>
        <v>0</v>
      </c>
      <c r="U635" s="688">
        <f t="shared" si="195"/>
        <v>0</v>
      </c>
      <c r="V635" s="579"/>
      <c r="W635" s="566"/>
      <c r="X635" s="586" t="str">
        <f t="shared" si="191"/>
        <v/>
      </c>
      <c r="Y635" s="586" t="str">
        <f t="shared" si="189"/>
        <v/>
      </c>
      <c r="Z635" s="586" t="str">
        <f t="shared" si="183"/>
        <v/>
      </c>
    </row>
    <row r="636" spans="1:26" ht="12" hidden="1" thickBot="1" x14ac:dyDescent="0.25">
      <c r="A636" s="567">
        <v>589190</v>
      </c>
      <c r="B636" s="468" t="s">
        <v>1827</v>
      </c>
      <c r="C636" s="488" t="s">
        <v>1746</v>
      </c>
      <c r="D636" s="469" t="s">
        <v>746</v>
      </c>
      <c r="E636" s="470"/>
      <c r="F636" s="471">
        <v>500</v>
      </c>
      <c r="G636" s="785">
        <v>1</v>
      </c>
      <c r="H636" s="663">
        <f>(0.84*F636+41.45)*G636</f>
        <v>461.45</v>
      </c>
      <c r="I636" s="472">
        <v>4040</v>
      </c>
      <c r="J636" s="472">
        <f>IF(ISBLANK(I636),"",I636*(1+$F$9)/(1+$F$10))+H636</f>
        <v>4381.4163328002696</v>
      </c>
      <c r="K636" s="690">
        <f t="shared" si="181"/>
        <v>5205.5600000000004</v>
      </c>
      <c r="L636" s="691" t="s">
        <v>20</v>
      </c>
      <c r="M636" s="692">
        <f>ROUND(M635*G635,2)</f>
        <v>0</v>
      </c>
      <c r="N636" s="588">
        <f t="shared" si="186"/>
        <v>0</v>
      </c>
      <c r="O636" s="693">
        <f t="shared" si="196"/>
        <v>0</v>
      </c>
      <c r="P636" s="694">
        <f t="shared" si="197"/>
        <v>0</v>
      </c>
      <c r="Q636" s="765"/>
      <c r="R636" s="695">
        <f>ROUND(R635*G635,2)</f>
        <v>0</v>
      </c>
      <c r="S636" s="696">
        <f t="shared" si="198"/>
        <v>0</v>
      </c>
      <c r="T636" s="693">
        <f t="shared" si="194"/>
        <v>0</v>
      </c>
      <c r="U636" s="694">
        <f t="shared" si="195"/>
        <v>0</v>
      </c>
      <c r="V636" s="579"/>
      <c r="W636" s="566"/>
      <c r="X636" s="586" t="str">
        <f t="shared" si="191"/>
        <v/>
      </c>
      <c r="Y636" s="586" t="str">
        <f t="shared" si="189"/>
        <v/>
      </c>
      <c r="Z636" s="586" t="str">
        <f t="shared" si="183"/>
        <v/>
      </c>
    </row>
    <row r="637" spans="1:26" hidden="1" x14ac:dyDescent="0.2">
      <c r="A637" s="567">
        <v>560400</v>
      </c>
      <c r="B637" s="461" t="s">
        <v>1828</v>
      </c>
      <c r="C637" s="462" t="s">
        <v>206</v>
      </c>
      <c r="D637" s="463" t="s">
        <v>647</v>
      </c>
      <c r="E637" s="464"/>
      <c r="F637" s="465" t="s">
        <v>667</v>
      </c>
      <c r="G637" s="466">
        <v>1.1999999999999999E-3</v>
      </c>
      <c r="H637" s="681"/>
      <c r="I637" s="467">
        <v>0.5</v>
      </c>
      <c r="J637" s="467">
        <f>IF(ISBLANK(I637),"",SUM(H637:I637))</f>
        <v>0.5</v>
      </c>
      <c r="K637" s="682">
        <f t="shared" si="181"/>
        <v>0.59</v>
      </c>
      <c r="L637" s="683" t="s">
        <v>18</v>
      </c>
      <c r="M637" s="685"/>
      <c r="N637" s="686">
        <f t="shared" si="186"/>
        <v>0</v>
      </c>
      <c r="O637" s="687">
        <f t="shared" si="196"/>
        <v>0</v>
      </c>
      <c r="P637" s="688">
        <f t="shared" si="197"/>
        <v>0</v>
      </c>
      <c r="Q637" s="765"/>
      <c r="R637" s="685">
        <f>M637</f>
        <v>0</v>
      </c>
      <c r="S637" s="686">
        <f t="shared" si="198"/>
        <v>0</v>
      </c>
      <c r="T637" s="687">
        <f t="shared" si="194"/>
        <v>0</v>
      </c>
      <c r="U637" s="688">
        <f t="shared" si="195"/>
        <v>0</v>
      </c>
      <c r="V637" s="579"/>
      <c r="W637" s="566"/>
      <c r="X637" s="586" t="str">
        <f t="shared" si="191"/>
        <v/>
      </c>
      <c r="Y637" s="586" t="str">
        <f t="shared" si="189"/>
        <v/>
      </c>
      <c r="Z637" s="586" t="str">
        <f t="shared" si="183"/>
        <v/>
      </c>
    </row>
    <row r="638" spans="1:26" ht="12" hidden="1" thickBot="1" x14ac:dyDescent="0.25">
      <c r="A638" s="567">
        <v>589100</v>
      </c>
      <c r="B638" s="468" t="s">
        <v>1829</v>
      </c>
      <c r="C638" s="488" t="s">
        <v>1746</v>
      </c>
      <c r="D638" s="469" t="s">
        <v>653</v>
      </c>
      <c r="E638" s="470"/>
      <c r="F638" s="471">
        <v>500</v>
      </c>
      <c r="G638" s="785">
        <v>1</v>
      </c>
      <c r="H638" s="663">
        <f>(0.84*F638+41.45)*G638</f>
        <v>461.45</v>
      </c>
      <c r="I638" s="472">
        <v>6629</v>
      </c>
      <c r="J638" s="472">
        <f>IF(ISBLANK(I638),"",I638*(1+$F$9)/(1+$F$10))+H638</f>
        <v>6893.4937673596505</v>
      </c>
      <c r="K638" s="690">
        <f t="shared" si="181"/>
        <v>8190.16</v>
      </c>
      <c r="L638" s="691" t="s">
        <v>20</v>
      </c>
      <c r="M638" s="692">
        <f>ROUND(M637*G637,2)</f>
        <v>0</v>
      </c>
      <c r="N638" s="696">
        <f t="shared" si="186"/>
        <v>0</v>
      </c>
      <c r="O638" s="693">
        <f t="shared" si="196"/>
        <v>0</v>
      </c>
      <c r="P638" s="694">
        <f t="shared" si="197"/>
        <v>0</v>
      </c>
      <c r="Q638" s="765"/>
      <c r="R638" s="695">
        <f>ROUND(R637*G637,2)</f>
        <v>0</v>
      </c>
      <c r="S638" s="696">
        <f t="shared" si="198"/>
        <v>0</v>
      </c>
      <c r="T638" s="693">
        <f t="shared" si="194"/>
        <v>0</v>
      </c>
      <c r="U638" s="694">
        <f t="shared" si="195"/>
        <v>0</v>
      </c>
      <c r="V638" s="579"/>
      <c r="W638" s="566"/>
      <c r="X638" s="586" t="str">
        <f t="shared" si="191"/>
        <v/>
      </c>
      <c r="Y638" s="586" t="str">
        <f t="shared" si="189"/>
        <v/>
      </c>
      <c r="Z638" s="586" t="str">
        <f t="shared" si="183"/>
        <v/>
      </c>
    </row>
    <row r="639" spans="1:26" hidden="1" x14ac:dyDescent="0.2">
      <c r="A639" s="567">
        <v>561100</v>
      </c>
      <c r="B639" s="461" t="s">
        <v>1830</v>
      </c>
      <c r="C639" s="462" t="s">
        <v>206</v>
      </c>
      <c r="D639" s="463" t="s">
        <v>747</v>
      </c>
      <c r="E639" s="464"/>
      <c r="F639" s="465" t="s">
        <v>667</v>
      </c>
      <c r="G639" s="466">
        <v>5.0000000000000001E-4</v>
      </c>
      <c r="H639" s="681"/>
      <c r="I639" s="467">
        <v>0.34</v>
      </c>
      <c r="J639" s="467">
        <f>IF(ISBLANK(I639),"",SUM(H639:I639))</f>
        <v>0.34</v>
      </c>
      <c r="K639" s="682">
        <f t="shared" si="181"/>
        <v>0.4</v>
      </c>
      <c r="L639" s="683" t="s">
        <v>18</v>
      </c>
      <c r="M639" s="685"/>
      <c r="N639" s="576">
        <f t="shared" si="186"/>
        <v>0</v>
      </c>
      <c r="O639" s="687">
        <f t="shared" si="196"/>
        <v>0</v>
      </c>
      <c r="P639" s="688">
        <f t="shared" si="197"/>
        <v>0</v>
      </c>
      <c r="Q639" s="765"/>
      <c r="R639" s="685">
        <f>M639</f>
        <v>0</v>
      </c>
      <c r="S639" s="686">
        <f t="shared" si="198"/>
        <v>0</v>
      </c>
      <c r="T639" s="687">
        <f t="shared" si="194"/>
        <v>0</v>
      </c>
      <c r="U639" s="688">
        <f t="shared" si="195"/>
        <v>0</v>
      </c>
      <c r="V639" s="579"/>
      <c r="W639" s="566"/>
      <c r="X639" s="586" t="str">
        <f t="shared" si="191"/>
        <v/>
      </c>
      <c r="Y639" s="586" t="str">
        <f t="shared" si="189"/>
        <v/>
      </c>
      <c r="Z639" s="586" t="str">
        <f t="shared" si="183"/>
        <v/>
      </c>
    </row>
    <row r="640" spans="1:26" ht="12" hidden="1" thickBot="1" x14ac:dyDescent="0.25">
      <c r="A640" s="567">
        <v>589420</v>
      </c>
      <c r="B640" s="468" t="s">
        <v>1831</v>
      </c>
      <c r="C640" s="488" t="s">
        <v>1746</v>
      </c>
      <c r="D640" s="469" t="s">
        <v>821</v>
      </c>
      <c r="E640" s="470"/>
      <c r="F640" s="471">
        <v>500</v>
      </c>
      <c r="G640" s="697">
        <v>1</v>
      </c>
      <c r="H640" s="663">
        <f>(0.84*F640+41.45)*G640</f>
        <v>461.45</v>
      </c>
      <c r="I640" s="472">
        <v>3820</v>
      </c>
      <c r="J640" s="472">
        <f>IF(ISBLANK(I640),"",I640*(1+$F$9)/(1+$F$10))+H640</f>
        <v>4167.952819627978</v>
      </c>
      <c r="K640" s="690">
        <f t="shared" si="181"/>
        <v>4951.9399999999996</v>
      </c>
      <c r="L640" s="691" t="s">
        <v>20</v>
      </c>
      <c r="M640" s="692">
        <f>ROUND(M639*G639,2)</f>
        <v>0</v>
      </c>
      <c r="N640" s="588">
        <f t="shared" si="186"/>
        <v>0</v>
      </c>
      <c r="O640" s="693">
        <f t="shared" si="196"/>
        <v>0</v>
      </c>
      <c r="P640" s="694">
        <f t="shared" si="197"/>
        <v>0</v>
      </c>
      <c r="Q640" s="765"/>
      <c r="R640" s="695">
        <f>ROUND(R639*G639,2)</f>
        <v>0</v>
      </c>
      <c r="S640" s="696">
        <f t="shared" si="198"/>
        <v>0</v>
      </c>
      <c r="T640" s="693">
        <f t="shared" si="194"/>
        <v>0</v>
      </c>
      <c r="U640" s="694">
        <f t="shared" si="195"/>
        <v>0</v>
      </c>
      <c r="V640" s="579"/>
      <c r="W640" s="566"/>
      <c r="X640" s="586" t="str">
        <f t="shared" si="191"/>
        <v/>
      </c>
      <c r="Y640" s="586" t="str">
        <f t="shared" si="189"/>
        <v/>
      </c>
      <c r="Z640" s="586" t="str">
        <f t="shared" si="183"/>
        <v/>
      </c>
    </row>
    <row r="641" spans="1:26" hidden="1" x14ac:dyDescent="0.2">
      <c r="A641" s="567">
        <v>563100</v>
      </c>
      <c r="B641" s="701" t="s">
        <v>1832</v>
      </c>
      <c r="C641" s="702" t="s">
        <v>206</v>
      </c>
      <c r="D641" s="463" t="s">
        <v>261</v>
      </c>
      <c r="E641" s="464"/>
      <c r="F641" s="465" t="s">
        <v>661</v>
      </c>
      <c r="G641" s="466">
        <v>5.0000000000000001E-4</v>
      </c>
      <c r="H641" s="681">
        <f>SUM(H642)</f>
        <v>0.13705999999999999</v>
      </c>
      <c r="I641" s="467">
        <v>1.25</v>
      </c>
      <c r="J641" s="467">
        <f>IF(ISBLANK(I641),"",SUM(H641:I641))</f>
        <v>1.38706</v>
      </c>
      <c r="K641" s="682">
        <f t="shared" si="181"/>
        <v>1.65</v>
      </c>
      <c r="L641" s="683" t="s">
        <v>18</v>
      </c>
      <c r="M641" s="685"/>
      <c r="N641" s="686">
        <f t="shared" si="186"/>
        <v>0</v>
      </c>
      <c r="O641" s="687">
        <f t="shared" si="196"/>
        <v>0</v>
      </c>
      <c r="P641" s="688">
        <f t="shared" si="197"/>
        <v>0</v>
      </c>
      <c r="Q641" s="765"/>
      <c r="R641" s="685">
        <f>M641</f>
        <v>0</v>
      </c>
      <c r="S641" s="686">
        <f t="shared" si="198"/>
        <v>0</v>
      </c>
      <c r="T641" s="687">
        <f t="shared" si="194"/>
        <v>0</v>
      </c>
      <c r="U641" s="688">
        <f t="shared" si="195"/>
        <v>0</v>
      </c>
      <c r="V641" s="579"/>
      <c r="W641" s="566"/>
      <c r="X641" s="586" t="str">
        <f t="shared" si="191"/>
        <v/>
      </c>
      <c r="Y641" s="586" t="str">
        <f t="shared" si="189"/>
        <v/>
      </c>
      <c r="Z641" s="586" t="str">
        <f t="shared" si="183"/>
        <v/>
      </c>
    </row>
    <row r="642" spans="1:26" hidden="1" x14ac:dyDescent="0.2">
      <c r="A642" s="567" t="s">
        <v>168</v>
      </c>
      <c r="B642" s="644" t="s">
        <v>168</v>
      </c>
      <c r="C642" s="645"/>
      <c r="D642" s="451" t="s">
        <v>252</v>
      </c>
      <c r="E642" s="423"/>
      <c r="F642" s="418">
        <v>20</v>
      </c>
      <c r="G642" s="425">
        <v>7.0000000000000001E-3</v>
      </c>
      <c r="H642" s="663">
        <f>IF(F642&lt;=30,(0.87*F642+2.18)*G642,((0.87*30+2.18)+0.87*(F642-30))*G642)</f>
        <v>0.13705999999999999</v>
      </c>
      <c r="I642" s="420">
        <v>0</v>
      </c>
      <c r="J642" s="420"/>
      <c r="K642" s="421">
        <f t="shared" si="181"/>
        <v>0</v>
      </c>
      <c r="L642" s="668" t="s">
        <v>614</v>
      </c>
      <c r="M642" s="703"/>
      <c r="N642" s="576">
        <f t="shared" si="186"/>
        <v>0</v>
      </c>
      <c r="O642" s="577">
        <f t="shared" si="196"/>
        <v>0</v>
      </c>
      <c r="P642" s="578">
        <f t="shared" si="197"/>
        <v>0</v>
      </c>
      <c r="Q642" s="765"/>
      <c r="R642" s="703"/>
      <c r="S642" s="670"/>
      <c r="T642" s="577">
        <f t="shared" si="194"/>
        <v>0</v>
      </c>
      <c r="U642" s="578">
        <f t="shared" si="195"/>
        <v>0</v>
      </c>
      <c r="V642" s="579"/>
      <c r="W642" s="637" t="str">
        <f>IF(U641&gt;0,"xx",IF(P641&gt;0,"xy",""))</f>
        <v/>
      </c>
      <c r="X642" s="586" t="str">
        <f t="shared" si="191"/>
        <v/>
      </c>
      <c r="Y642" s="586" t="str">
        <f t="shared" si="189"/>
        <v/>
      </c>
      <c r="Z642" s="586" t="str">
        <f t="shared" si="183"/>
        <v/>
      </c>
    </row>
    <row r="643" spans="1:26" ht="12" hidden="1" thickBot="1" x14ac:dyDescent="0.25">
      <c r="A643" s="567">
        <v>589520</v>
      </c>
      <c r="B643" s="704" t="s">
        <v>1833</v>
      </c>
      <c r="C643" s="689" t="s">
        <v>1746</v>
      </c>
      <c r="D643" s="477" t="s">
        <v>656</v>
      </c>
      <c r="E643" s="470"/>
      <c r="F643" s="478">
        <v>500</v>
      </c>
      <c r="G643" s="479">
        <v>1</v>
      </c>
      <c r="H643" s="663">
        <f>(0.84*F643+41.45)*G643</f>
        <v>461.45</v>
      </c>
      <c r="I643" s="472">
        <v>4680</v>
      </c>
      <c r="J643" s="472">
        <f>IF(ISBLANK(I643),"",I643*(1+$F$9)/(1+$F$10))+H643</f>
        <v>5002.4010983923918</v>
      </c>
      <c r="K643" s="690">
        <f t="shared" si="181"/>
        <v>5943.35</v>
      </c>
      <c r="L643" s="691" t="s">
        <v>20</v>
      </c>
      <c r="M643" s="692">
        <f>ROUND(M641*G641,2)</f>
        <v>0</v>
      </c>
      <c r="N643" s="696">
        <f t="shared" si="186"/>
        <v>0</v>
      </c>
      <c r="O643" s="693">
        <f>IF(ISBLANK(M643),0,ROUND(K643*M643,2))</f>
        <v>0</v>
      </c>
      <c r="P643" s="694">
        <f>IF(ISBLANK(N643),0,ROUND(M643*N643,2))</f>
        <v>0</v>
      </c>
      <c r="Q643" s="765"/>
      <c r="R643" s="695">
        <f>ROUND(R641*G641,2)</f>
        <v>0</v>
      </c>
      <c r="S643" s="718">
        <f t="shared" si="198"/>
        <v>0</v>
      </c>
      <c r="T643" s="693">
        <f t="shared" si="194"/>
        <v>0</v>
      </c>
      <c r="U643" s="694">
        <f t="shared" si="195"/>
        <v>0</v>
      </c>
      <c r="V643" s="579"/>
      <c r="W643" s="637" t="str">
        <f>IF(U641&gt;0,"xx",IF(P641&gt;0,"xy",""))</f>
        <v/>
      </c>
      <c r="X643" s="586" t="str">
        <f t="shared" si="191"/>
        <v/>
      </c>
      <c r="Y643" s="586" t="str">
        <f t="shared" si="189"/>
        <v/>
      </c>
      <c r="Z643" s="586" t="str">
        <f t="shared" si="183"/>
        <v/>
      </c>
    </row>
    <row r="644" spans="1:26" hidden="1" x14ac:dyDescent="0.2">
      <c r="A644" s="567">
        <v>534000</v>
      </c>
      <c r="B644" s="701" t="s">
        <v>1834</v>
      </c>
      <c r="C644" s="702" t="s">
        <v>206</v>
      </c>
      <c r="D644" s="463" t="s">
        <v>1912</v>
      </c>
      <c r="E644" s="464"/>
      <c r="F644" s="465" t="s">
        <v>663</v>
      </c>
      <c r="G644" s="466">
        <v>0.08</v>
      </c>
      <c r="H644" s="681">
        <f>SUM(H645:H648)</f>
        <v>59.111280000000008</v>
      </c>
      <c r="I644" s="467">
        <v>138.26</v>
      </c>
      <c r="J644" s="467">
        <f>IF(ISBLANK(I644),"",SUM(H644:I644))</f>
        <v>197.37128000000001</v>
      </c>
      <c r="K644" s="682">
        <f t="shared" si="181"/>
        <v>234.5</v>
      </c>
      <c r="L644" s="683" t="s">
        <v>16</v>
      </c>
      <c r="M644" s="685"/>
      <c r="N644" s="576">
        <f t="shared" si="186"/>
        <v>0</v>
      </c>
      <c r="O644" s="687">
        <f t="shared" si="196"/>
        <v>0</v>
      </c>
      <c r="P644" s="688">
        <f t="shared" si="197"/>
        <v>0</v>
      </c>
      <c r="Q644" s="765"/>
      <c r="R644" s="685">
        <f>M644</f>
        <v>0</v>
      </c>
      <c r="S644" s="686">
        <f t="shared" si="198"/>
        <v>0</v>
      </c>
      <c r="T644" s="687">
        <f t="shared" si="194"/>
        <v>0</v>
      </c>
      <c r="U644" s="688">
        <f t="shared" si="195"/>
        <v>0</v>
      </c>
      <c r="V644" s="579"/>
      <c r="W644" s="566"/>
      <c r="X644" s="586" t="str">
        <f t="shared" si="191"/>
        <v/>
      </c>
      <c r="Y644" s="586" t="str">
        <f t="shared" si="189"/>
        <v/>
      </c>
      <c r="Z644" s="586" t="str">
        <f t="shared" si="183"/>
        <v/>
      </c>
    </row>
    <row r="645" spans="1:26" hidden="1" x14ac:dyDescent="0.2">
      <c r="A645" s="567" t="s">
        <v>168</v>
      </c>
      <c r="B645" s="644" t="s">
        <v>168</v>
      </c>
      <c r="C645" s="645"/>
      <c r="D645" s="451" t="s">
        <v>248</v>
      </c>
      <c r="E645" s="423"/>
      <c r="F645" s="424">
        <v>180</v>
      </c>
      <c r="G645" s="425"/>
      <c r="H645" s="651">
        <f t="shared" ref="H645:H648" si="204">IF(F645&lt;=30,(1.07*F645+2.68)*G645,((1.07*30+2.68)+1.07*(F645-30))*G645)</f>
        <v>0</v>
      </c>
      <c r="I645" s="420">
        <v>0</v>
      </c>
      <c r="J645" s="420">
        <f>IF(ISBLANK(I645),"",SUM(H645:I645))</f>
        <v>0</v>
      </c>
      <c r="K645" s="421">
        <f t="shared" si="181"/>
        <v>0</v>
      </c>
      <c r="L645" s="647" t="s">
        <v>614</v>
      </c>
      <c r="M645" s="703"/>
      <c r="N645" s="576">
        <f t="shared" si="186"/>
        <v>0</v>
      </c>
      <c r="O645" s="577">
        <f t="shared" si="196"/>
        <v>0</v>
      </c>
      <c r="P645" s="578">
        <f t="shared" si="197"/>
        <v>0</v>
      </c>
      <c r="Q645" s="765"/>
      <c r="R645" s="703"/>
      <c r="S645" s="670"/>
      <c r="T645" s="577">
        <f t="shared" si="194"/>
        <v>0</v>
      </c>
      <c r="U645" s="578">
        <f t="shared" si="195"/>
        <v>0</v>
      </c>
      <c r="V645" s="579"/>
      <c r="W645" s="637" t="str">
        <f>IF(U644&gt;0,"xx",IF(P644&gt;0,"xy",""))</f>
        <v/>
      </c>
      <c r="X645" s="586" t="str">
        <f t="shared" si="191"/>
        <v/>
      </c>
      <c r="Y645" s="586" t="str">
        <f t="shared" si="189"/>
        <v/>
      </c>
      <c r="Z645" s="586" t="str">
        <f t="shared" si="183"/>
        <v/>
      </c>
    </row>
    <row r="646" spans="1:26" hidden="1" x14ac:dyDescent="0.2">
      <c r="A646" s="567" t="s">
        <v>168</v>
      </c>
      <c r="B646" s="644" t="s">
        <v>168</v>
      </c>
      <c r="C646" s="645"/>
      <c r="D646" s="451" t="s">
        <v>249</v>
      </c>
      <c r="E646" s="423"/>
      <c r="F646" s="424">
        <v>500</v>
      </c>
      <c r="G646" s="425"/>
      <c r="H646" s="649">
        <f>IF(F646&lt;=30,(0.78*F646+7.82)*G646,((0.78*30+7.82)+0.78*(F646-30))*G646)</f>
        <v>0</v>
      </c>
      <c r="I646" s="420">
        <v>0</v>
      </c>
      <c r="J646" s="420">
        <f>IF(ISBLANK(I646),"",SUM(H646:I646))</f>
        <v>0</v>
      </c>
      <c r="K646" s="421">
        <f t="shared" si="181"/>
        <v>0</v>
      </c>
      <c r="L646" s="647" t="s">
        <v>614</v>
      </c>
      <c r="M646" s="703"/>
      <c r="N646" s="576">
        <f t="shared" si="186"/>
        <v>0</v>
      </c>
      <c r="O646" s="577">
        <f t="shared" si="196"/>
        <v>0</v>
      </c>
      <c r="P646" s="578">
        <f t="shared" si="197"/>
        <v>0</v>
      </c>
      <c r="Q646" s="765"/>
      <c r="R646" s="703"/>
      <c r="S646" s="670"/>
      <c r="T646" s="577">
        <f t="shared" si="194"/>
        <v>0</v>
      </c>
      <c r="U646" s="578">
        <f t="shared" si="195"/>
        <v>0</v>
      </c>
      <c r="V646" s="579"/>
      <c r="W646" s="637" t="str">
        <f>IF(U644&gt;0,"xx",IF(P644&gt;0,"xy",""))</f>
        <v/>
      </c>
      <c r="X646" s="586" t="str">
        <f>IF(W646="X","x",IF(W646="xx","x",IF(W646="xy","x",IF(W646="y","x",IF(OR(P646&gt;0,U646&gt;0),"x","")))))</f>
        <v/>
      </c>
      <c r="Y646" s="586" t="str">
        <f>IF(W646="X","x",IF(W646="y","x",IF(W646="xx","x",IF(U646&gt;0,"x",""))))</f>
        <v/>
      </c>
      <c r="Z646" s="586" t="str">
        <f>IF(W646="X","x",IF(U646&gt;0,"x",""))</f>
        <v/>
      </c>
    </row>
    <row r="647" spans="1:26" hidden="1" x14ac:dyDescent="0.2">
      <c r="A647" s="567" t="s">
        <v>168</v>
      </c>
      <c r="B647" s="644" t="s">
        <v>168</v>
      </c>
      <c r="C647" s="645"/>
      <c r="D647" s="451" t="s">
        <v>262</v>
      </c>
      <c r="E647" s="423"/>
      <c r="F647" s="424">
        <v>0.2</v>
      </c>
      <c r="G647" s="425">
        <v>2.12</v>
      </c>
      <c r="H647" s="651">
        <f t="shared" si="204"/>
        <v>6.1352800000000007</v>
      </c>
      <c r="I647" s="420">
        <v>0</v>
      </c>
      <c r="J647" s="420"/>
      <c r="K647" s="421">
        <f t="shared" si="181"/>
        <v>0</v>
      </c>
      <c r="L647" s="647" t="s">
        <v>614</v>
      </c>
      <c r="M647" s="703"/>
      <c r="N647" s="576">
        <f t="shared" si="186"/>
        <v>0</v>
      </c>
      <c r="O647" s="577">
        <f t="shared" si="196"/>
        <v>0</v>
      </c>
      <c r="P647" s="578">
        <f t="shared" si="197"/>
        <v>0</v>
      </c>
      <c r="Q647" s="765"/>
      <c r="R647" s="703"/>
      <c r="S647" s="670"/>
      <c r="T647" s="577">
        <f t="shared" si="194"/>
        <v>0</v>
      </c>
      <c r="U647" s="578">
        <f t="shared" si="195"/>
        <v>0</v>
      </c>
      <c r="V647" s="579"/>
      <c r="W647" s="637" t="str">
        <f>IF(U644&gt;0,"xx",IF(P644&gt;0,"xy",""))</f>
        <v/>
      </c>
      <c r="X647" s="586" t="str">
        <f>IF(W647="X","x",IF(W647="xx","x",IF(W647="xy","x",IF(W647="y","x",IF(OR(P647&gt;0,U647&gt;0),"x","")))))</f>
        <v/>
      </c>
      <c r="Y647" s="586" t="str">
        <f>IF(W647="X","x",IF(W647="y","x",IF(W647="xx","x",IF(U647&gt;0,"x",""))))</f>
        <v/>
      </c>
      <c r="Z647" s="586" t="str">
        <f>IF(W647="X","x",IF(U647&gt;0,"x",""))</f>
        <v/>
      </c>
    </row>
    <row r="648" spans="1:26" hidden="1" x14ac:dyDescent="0.2">
      <c r="A648" s="567" t="s">
        <v>168</v>
      </c>
      <c r="B648" s="644" t="s">
        <v>168</v>
      </c>
      <c r="C648" s="645"/>
      <c r="D648" s="451" t="s">
        <v>263</v>
      </c>
      <c r="E648" s="423"/>
      <c r="F648" s="424">
        <v>20</v>
      </c>
      <c r="G648" s="425">
        <f>SUM(G644:G647)</f>
        <v>2.2000000000000002</v>
      </c>
      <c r="H648" s="651">
        <f t="shared" si="204"/>
        <v>52.976000000000006</v>
      </c>
      <c r="I648" s="420">
        <v>0</v>
      </c>
      <c r="J648" s="420"/>
      <c r="K648" s="421">
        <f t="shared" ref="K648:K711" si="205">IF(ISBLANK(I648),0,ROUND(J648*(1+$F$10)*(1+$F$11*E648),2))</f>
        <v>0</v>
      </c>
      <c r="L648" s="647" t="s">
        <v>614</v>
      </c>
      <c r="M648" s="703"/>
      <c r="N648" s="576">
        <f t="shared" si="186"/>
        <v>0</v>
      </c>
      <c r="O648" s="577">
        <f t="shared" si="196"/>
        <v>0</v>
      </c>
      <c r="P648" s="578">
        <f t="shared" si="197"/>
        <v>0</v>
      </c>
      <c r="Q648" s="765"/>
      <c r="R648" s="703"/>
      <c r="S648" s="670"/>
      <c r="T648" s="577">
        <f t="shared" si="194"/>
        <v>0</v>
      </c>
      <c r="U648" s="578">
        <f t="shared" si="195"/>
        <v>0</v>
      </c>
      <c r="V648" s="579"/>
      <c r="W648" s="637" t="str">
        <f>IF(U644&gt;0,"xx",IF(P644&gt;0,"xy",""))</f>
        <v/>
      </c>
      <c r="X648" s="586" t="str">
        <f t="shared" si="191"/>
        <v/>
      </c>
      <c r="Y648" s="586" t="str">
        <f t="shared" si="189"/>
        <v/>
      </c>
      <c r="Z648" s="586" t="str">
        <f t="shared" si="183"/>
        <v/>
      </c>
    </row>
    <row r="649" spans="1:26" ht="12" hidden="1" thickBot="1" x14ac:dyDescent="0.25">
      <c r="A649" s="567">
        <v>589320</v>
      </c>
      <c r="B649" s="704" t="s">
        <v>1835</v>
      </c>
      <c r="C649" s="689" t="s">
        <v>1746</v>
      </c>
      <c r="D649" s="477" t="s">
        <v>812</v>
      </c>
      <c r="E649" s="470"/>
      <c r="F649" s="478">
        <v>500</v>
      </c>
      <c r="G649" s="479">
        <v>1</v>
      </c>
      <c r="H649" s="663">
        <f>(0.84*F649+41.45)*G649</f>
        <v>461.45</v>
      </c>
      <c r="I649" s="472">
        <v>4680</v>
      </c>
      <c r="J649" s="472">
        <f>IF(ISBLANK(I649),"",I649*(1+$F$9)/(1+$F$10))+H649</f>
        <v>5002.4010983923918</v>
      </c>
      <c r="K649" s="690">
        <f t="shared" si="205"/>
        <v>5943.35</v>
      </c>
      <c r="L649" s="691" t="s">
        <v>20</v>
      </c>
      <c r="M649" s="692">
        <f>ROUND(M644*G644,2)</f>
        <v>0</v>
      </c>
      <c r="N649" s="588">
        <f t="shared" si="186"/>
        <v>0</v>
      </c>
      <c r="O649" s="693">
        <f t="shared" si="196"/>
        <v>0</v>
      </c>
      <c r="P649" s="694">
        <f t="shared" si="197"/>
        <v>0</v>
      </c>
      <c r="Q649" s="765"/>
      <c r="R649" s="719">
        <f>ROUND(R644*G644,2)</f>
        <v>0</v>
      </c>
      <c r="S649" s="720">
        <f>N649</f>
        <v>0</v>
      </c>
      <c r="T649" s="693">
        <f t="shared" si="194"/>
        <v>0</v>
      </c>
      <c r="U649" s="694">
        <f t="shared" si="195"/>
        <v>0</v>
      </c>
      <c r="V649" s="579"/>
      <c r="W649" s="637" t="str">
        <f>IF(U644&gt;0,"xx",IF(P644&gt;0,"xy",""))</f>
        <v/>
      </c>
      <c r="X649" s="586" t="str">
        <f t="shared" si="191"/>
        <v/>
      </c>
      <c r="Y649" s="586" t="str">
        <f t="shared" si="189"/>
        <v/>
      </c>
      <c r="Z649" s="586" t="str">
        <f t="shared" si="183"/>
        <v/>
      </c>
    </row>
    <row r="650" spans="1:26" hidden="1" x14ac:dyDescent="0.2">
      <c r="A650" s="567">
        <v>534000</v>
      </c>
      <c r="B650" s="701" t="s">
        <v>1836</v>
      </c>
      <c r="C650" s="702" t="s">
        <v>206</v>
      </c>
      <c r="D650" s="463" t="s">
        <v>1913</v>
      </c>
      <c r="E650" s="464"/>
      <c r="F650" s="465" t="s">
        <v>663</v>
      </c>
      <c r="G650" s="466">
        <v>0.08</v>
      </c>
      <c r="H650" s="681">
        <f>SUM(H651:H654)</f>
        <v>59.111280000000008</v>
      </c>
      <c r="I650" s="467">
        <v>138.26</v>
      </c>
      <c r="J650" s="467">
        <f>IF(ISBLANK(I650),"",SUM(H650:I650))</f>
        <v>197.37128000000001</v>
      </c>
      <c r="K650" s="682">
        <f t="shared" si="205"/>
        <v>234.5</v>
      </c>
      <c r="L650" s="683" t="s">
        <v>16</v>
      </c>
      <c r="M650" s="685"/>
      <c r="N650" s="686">
        <f t="shared" si="186"/>
        <v>0</v>
      </c>
      <c r="O650" s="687">
        <f t="shared" si="196"/>
        <v>0</v>
      </c>
      <c r="P650" s="688">
        <f t="shared" si="197"/>
        <v>0</v>
      </c>
      <c r="Q650" s="765"/>
      <c r="R650" s="685">
        <f>M650</f>
        <v>0</v>
      </c>
      <c r="S650" s="686">
        <f t="shared" si="198"/>
        <v>0</v>
      </c>
      <c r="T650" s="687">
        <f t="shared" si="194"/>
        <v>0</v>
      </c>
      <c r="U650" s="688">
        <f t="shared" si="195"/>
        <v>0</v>
      </c>
      <c r="V650" s="579"/>
      <c r="W650" s="566"/>
      <c r="X650" s="586" t="str">
        <f t="shared" si="191"/>
        <v/>
      </c>
      <c r="Y650" s="586" t="str">
        <f t="shared" si="189"/>
        <v/>
      </c>
      <c r="Z650" s="586" t="str">
        <f t="shared" si="183"/>
        <v/>
      </c>
    </row>
    <row r="651" spans="1:26" hidden="1" x14ac:dyDescent="0.2">
      <c r="A651" s="567" t="s">
        <v>168</v>
      </c>
      <c r="B651" s="644" t="s">
        <v>168</v>
      </c>
      <c r="C651" s="645"/>
      <c r="D651" s="451" t="s">
        <v>248</v>
      </c>
      <c r="E651" s="423"/>
      <c r="F651" s="424">
        <v>180</v>
      </c>
      <c r="G651" s="425"/>
      <c r="H651" s="651">
        <f t="shared" ref="H651:H654" si="206">IF(F651&lt;=30,(1.07*F651+2.68)*G651,((1.07*30+2.68)+1.07*(F651-30))*G651)</f>
        <v>0</v>
      </c>
      <c r="I651" s="420">
        <v>0</v>
      </c>
      <c r="J651" s="420">
        <f>IF(ISBLANK(I651),"",SUM(H651:I651))</f>
        <v>0</v>
      </c>
      <c r="K651" s="421">
        <f t="shared" si="205"/>
        <v>0</v>
      </c>
      <c r="L651" s="647" t="s">
        <v>614</v>
      </c>
      <c r="M651" s="703"/>
      <c r="N651" s="576">
        <f t="shared" si="186"/>
        <v>0</v>
      </c>
      <c r="O651" s="577">
        <f t="shared" si="196"/>
        <v>0</v>
      </c>
      <c r="P651" s="578">
        <f t="shared" si="197"/>
        <v>0</v>
      </c>
      <c r="Q651" s="765"/>
      <c r="R651" s="703"/>
      <c r="S651" s="670"/>
      <c r="T651" s="577">
        <f t="shared" si="194"/>
        <v>0</v>
      </c>
      <c r="U651" s="578">
        <f t="shared" si="195"/>
        <v>0</v>
      </c>
      <c r="V651" s="579"/>
      <c r="W651" s="637" t="str">
        <f>IF(U650&gt;0,"xx",IF(P650&gt;0,"xy",""))</f>
        <v/>
      </c>
      <c r="X651" s="586" t="str">
        <f t="shared" si="191"/>
        <v/>
      </c>
      <c r="Y651" s="586" t="str">
        <f t="shared" si="189"/>
        <v/>
      </c>
      <c r="Z651" s="586" t="str">
        <f t="shared" si="183"/>
        <v/>
      </c>
    </row>
    <row r="652" spans="1:26" hidden="1" x14ac:dyDescent="0.2">
      <c r="A652" s="567" t="s">
        <v>168</v>
      </c>
      <c r="B652" s="644" t="s">
        <v>168</v>
      </c>
      <c r="C652" s="645"/>
      <c r="D652" s="451" t="s">
        <v>249</v>
      </c>
      <c r="E652" s="423"/>
      <c r="F652" s="424">
        <v>500</v>
      </c>
      <c r="G652" s="425"/>
      <c r="H652" s="649">
        <f>IF(F652&lt;=30,(0.78*F652+7.82)*G652,((0.78*30+7.82)+0.78*(F652-30))*G652)</f>
        <v>0</v>
      </c>
      <c r="I652" s="420">
        <v>0</v>
      </c>
      <c r="J652" s="420">
        <f>IF(ISBLANK(I652),"",SUM(H652:I652))</f>
        <v>0</v>
      </c>
      <c r="K652" s="421">
        <f t="shared" si="205"/>
        <v>0</v>
      </c>
      <c r="L652" s="647" t="s">
        <v>614</v>
      </c>
      <c r="M652" s="703"/>
      <c r="N652" s="576">
        <f t="shared" si="186"/>
        <v>0</v>
      </c>
      <c r="O652" s="577">
        <f t="shared" si="196"/>
        <v>0</v>
      </c>
      <c r="P652" s="578">
        <f t="shared" si="197"/>
        <v>0</v>
      </c>
      <c r="Q652" s="765"/>
      <c r="R652" s="703"/>
      <c r="S652" s="670"/>
      <c r="T652" s="577">
        <f t="shared" si="194"/>
        <v>0</v>
      </c>
      <c r="U652" s="578">
        <f t="shared" si="195"/>
        <v>0</v>
      </c>
      <c r="V652" s="579"/>
      <c r="W652" s="637" t="str">
        <f>IF(U650&gt;0,"xx",IF(P650&gt;0,"xy",""))</f>
        <v/>
      </c>
      <c r="X652" s="586" t="str">
        <f>IF(W652="X","x",IF(W652="xx","x",IF(W652="xy","x",IF(W652="y","x",IF(OR(P652&gt;0,U652&gt;0),"x","")))))</f>
        <v/>
      </c>
      <c r="Y652" s="586" t="str">
        <f>IF(W652="X","x",IF(W652="y","x",IF(W652="xx","x",IF(U652&gt;0,"x",""))))</f>
        <v/>
      </c>
      <c r="Z652" s="586" t="str">
        <f>IF(W652="X","x",IF(U652&gt;0,"x",""))</f>
        <v/>
      </c>
    </row>
    <row r="653" spans="1:26" hidden="1" x14ac:dyDescent="0.2">
      <c r="A653" s="567" t="s">
        <v>168</v>
      </c>
      <c r="B653" s="644" t="s">
        <v>168</v>
      </c>
      <c r="C653" s="645"/>
      <c r="D653" s="451" t="s">
        <v>262</v>
      </c>
      <c r="E653" s="423"/>
      <c r="F653" s="424">
        <v>0.2</v>
      </c>
      <c r="G653" s="425">
        <v>2.12</v>
      </c>
      <c r="H653" s="651">
        <f t="shared" si="206"/>
        <v>6.1352800000000007</v>
      </c>
      <c r="I653" s="420">
        <v>0</v>
      </c>
      <c r="J653" s="420"/>
      <c r="K653" s="421">
        <f t="shared" si="205"/>
        <v>0</v>
      </c>
      <c r="L653" s="647" t="s">
        <v>614</v>
      </c>
      <c r="M653" s="703"/>
      <c r="N653" s="576">
        <f t="shared" si="186"/>
        <v>0</v>
      </c>
      <c r="O653" s="577">
        <f t="shared" si="196"/>
        <v>0</v>
      </c>
      <c r="P653" s="578">
        <f t="shared" si="197"/>
        <v>0</v>
      </c>
      <c r="Q653" s="765"/>
      <c r="R653" s="703"/>
      <c r="S653" s="670"/>
      <c r="T653" s="577">
        <f t="shared" si="194"/>
        <v>0</v>
      </c>
      <c r="U653" s="578">
        <f t="shared" si="195"/>
        <v>0</v>
      </c>
      <c r="V653" s="579"/>
      <c r="W653" s="637" t="str">
        <f>IF(U650&gt;0,"xx",IF(P650&gt;0,"xy",""))</f>
        <v/>
      </c>
      <c r="X653" s="586" t="str">
        <f>IF(W653="X","x",IF(W653="xx","x",IF(W653="xy","x",IF(W653="y","x",IF(OR(P653&gt;0,U653&gt;0),"x","")))))</f>
        <v/>
      </c>
      <c r="Y653" s="586" t="str">
        <f>IF(W653="X","x",IF(W653="y","x",IF(W653="xx","x",IF(U653&gt;0,"x",""))))</f>
        <v/>
      </c>
      <c r="Z653" s="586" t="str">
        <f>IF(W653="X","x",IF(U653&gt;0,"x",""))</f>
        <v/>
      </c>
    </row>
    <row r="654" spans="1:26" hidden="1" x14ac:dyDescent="0.2">
      <c r="A654" s="567" t="s">
        <v>168</v>
      </c>
      <c r="B654" s="644" t="s">
        <v>168</v>
      </c>
      <c r="C654" s="645"/>
      <c r="D654" s="451" t="s">
        <v>263</v>
      </c>
      <c r="E654" s="423"/>
      <c r="F654" s="424">
        <v>20</v>
      </c>
      <c r="G654" s="425">
        <f>SUM(G650:G653)</f>
        <v>2.2000000000000002</v>
      </c>
      <c r="H654" s="651">
        <f t="shared" si="206"/>
        <v>52.976000000000006</v>
      </c>
      <c r="I654" s="420">
        <v>0</v>
      </c>
      <c r="J654" s="420"/>
      <c r="K654" s="421">
        <f t="shared" si="205"/>
        <v>0</v>
      </c>
      <c r="L654" s="647" t="s">
        <v>614</v>
      </c>
      <c r="M654" s="703"/>
      <c r="N654" s="576">
        <f t="shared" si="186"/>
        <v>0</v>
      </c>
      <c r="O654" s="577">
        <f t="shared" si="196"/>
        <v>0</v>
      </c>
      <c r="P654" s="578">
        <f t="shared" si="197"/>
        <v>0</v>
      </c>
      <c r="Q654" s="765"/>
      <c r="R654" s="703"/>
      <c r="S654" s="670"/>
      <c r="T654" s="577">
        <f t="shared" si="194"/>
        <v>0</v>
      </c>
      <c r="U654" s="578">
        <f t="shared" si="195"/>
        <v>0</v>
      </c>
      <c r="V654" s="579"/>
      <c r="W654" s="637" t="str">
        <f>IF(U650&gt;0,"xx",IF(P650&gt;0,"xy",""))</f>
        <v/>
      </c>
      <c r="X654" s="586" t="str">
        <f t="shared" si="191"/>
        <v/>
      </c>
      <c r="Y654" s="586" t="str">
        <f t="shared" si="189"/>
        <v/>
      </c>
      <c r="Z654" s="586" t="str">
        <f t="shared" si="183"/>
        <v/>
      </c>
    </row>
    <row r="655" spans="1:26" ht="12" hidden="1" thickBot="1" x14ac:dyDescent="0.25">
      <c r="A655" s="567">
        <v>589320</v>
      </c>
      <c r="B655" s="704" t="s">
        <v>1837</v>
      </c>
      <c r="C655" s="689" t="s">
        <v>1746</v>
      </c>
      <c r="D655" s="477" t="s">
        <v>812</v>
      </c>
      <c r="E655" s="470"/>
      <c r="F655" s="478">
        <v>500</v>
      </c>
      <c r="G655" s="479">
        <v>1</v>
      </c>
      <c r="H655" s="663">
        <f>(0.84*F655+41.45)*G655</f>
        <v>461.45</v>
      </c>
      <c r="I655" s="472">
        <v>4680</v>
      </c>
      <c r="J655" s="472">
        <f>IF(ISBLANK(I655),"",I655*(1+$F$9)/(1+$F$10))+H655</f>
        <v>5002.4010983923918</v>
      </c>
      <c r="K655" s="690">
        <f t="shared" si="205"/>
        <v>5943.35</v>
      </c>
      <c r="L655" s="691" t="s">
        <v>20</v>
      </c>
      <c r="M655" s="692">
        <f>ROUND(M650*G650,2)</f>
        <v>0</v>
      </c>
      <c r="N655" s="696">
        <f t="shared" si="186"/>
        <v>0</v>
      </c>
      <c r="O655" s="693">
        <f t="shared" si="196"/>
        <v>0</v>
      </c>
      <c r="P655" s="694">
        <f t="shared" si="197"/>
        <v>0</v>
      </c>
      <c r="Q655" s="765"/>
      <c r="R655" s="719">
        <f>ROUND(R650*G650,2)</f>
        <v>0</v>
      </c>
      <c r="S655" s="720">
        <f>N655</f>
        <v>0</v>
      </c>
      <c r="T655" s="693">
        <f t="shared" si="194"/>
        <v>0</v>
      </c>
      <c r="U655" s="694">
        <f t="shared" si="195"/>
        <v>0</v>
      </c>
      <c r="V655" s="579"/>
      <c r="W655" s="637" t="str">
        <f>IF(U650&gt;0,"xx",IF(P650&gt;0,"xy",""))</f>
        <v/>
      </c>
      <c r="X655" s="586" t="str">
        <f t="shared" si="191"/>
        <v/>
      </c>
      <c r="Y655" s="586" t="str">
        <f t="shared" si="189"/>
        <v/>
      </c>
      <c r="Z655" s="586" t="str">
        <f t="shared" si="183"/>
        <v/>
      </c>
    </row>
    <row r="656" spans="1:26" hidden="1" x14ac:dyDescent="0.2">
      <c r="A656" s="567">
        <v>534000</v>
      </c>
      <c r="B656" s="701" t="s">
        <v>1838</v>
      </c>
      <c r="C656" s="702" t="s">
        <v>206</v>
      </c>
      <c r="D656" s="463" t="s">
        <v>1914</v>
      </c>
      <c r="E656" s="464"/>
      <c r="F656" s="465" t="s">
        <v>663</v>
      </c>
      <c r="G656" s="466">
        <v>0.08</v>
      </c>
      <c r="H656" s="681">
        <f>SUM(H657:H660)</f>
        <v>59.111280000000008</v>
      </c>
      <c r="I656" s="467">
        <v>138.26</v>
      </c>
      <c r="J656" s="467">
        <f>IF(ISBLANK(I656),"",SUM(H656:I656))</f>
        <v>197.37128000000001</v>
      </c>
      <c r="K656" s="682">
        <f t="shared" si="205"/>
        <v>234.5</v>
      </c>
      <c r="L656" s="683" t="s">
        <v>16</v>
      </c>
      <c r="M656" s="685"/>
      <c r="N656" s="576">
        <f t="shared" si="186"/>
        <v>0</v>
      </c>
      <c r="O656" s="687">
        <f t="shared" si="196"/>
        <v>0</v>
      </c>
      <c r="P656" s="688">
        <f t="shared" si="197"/>
        <v>0</v>
      </c>
      <c r="Q656" s="765"/>
      <c r="R656" s="685">
        <f>M656</f>
        <v>0</v>
      </c>
      <c r="S656" s="686">
        <f t="shared" si="198"/>
        <v>0</v>
      </c>
      <c r="T656" s="687">
        <f t="shared" si="194"/>
        <v>0</v>
      </c>
      <c r="U656" s="688">
        <f t="shared" si="195"/>
        <v>0</v>
      </c>
      <c r="V656" s="579"/>
      <c r="W656" s="566"/>
      <c r="X656" s="586" t="str">
        <f t="shared" si="191"/>
        <v/>
      </c>
      <c r="Y656" s="586" t="str">
        <f t="shared" si="189"/>
        <v/>
      </c>
      <c r="Z656" s="586" t="str">
        <f t="shared" si="183"/>
        <v/>
      </c>
    </row>
    <row r="657" spans="1:26" hidden="1" x14ac:dyDescent="0.2">
      <c r="A657" s="567" t="s">
        <v>168</v>
      </c>
      <c r="B657" s="644" t="s">
        <v>168</v>
      </c>
      <c r="C657" s="645"/>
      <c r="D657" s="451" t="s">
        <v>248</v>
      </c>
      <c r="E657" s="423"/>
      <c r="F657" s="424">
        <v>180</v>
      </c>
      <c r="G657" s="425"/>
      <c r="H657" s="651">
        <f t="shared" ref="H657:H660" si="207">IF(F657&lt;=30,(1.07*F657+2.68)*G657,((1.07*30+2.68)+1.07*(F657-30))*G657)</f>
        <v>0</v>
      </c>
      <c r="I657" s="420">
        <v>0</v>
      </c>
      <c r="J657" s="420">
        <f>IF(ISBLANK(I657),"",SUM(H657:I657))</f>
        <v>0</v>
      </c>
      <c r="K657" s="421">
        <f t="shared" si="205"/>
        <v>0</v>
      </c>
      <c r="L657" s="647" t="s">
        <v>614</v>
      </c>
      <c r="M657" s="703"/>
      <c r="N657" s="576">
        <f t="shared" si="186"/>
        <v>0</v>
      </c>
      <c r="O657" s="577">
        <f t="shared" si="196"/>
        <v>0</v>
      </c>
      <c r="P657" s="578">
        <f t="shared" si="197"/>
        <v>0</v>
      </c>
      <c r="Q657" s="765"/>
      <c r="R657" s="703"/>
      <c r="S657" s="670"/>
      <c r="T657" s="577">
        <f t="shared" si="194"/>
        <v>0</v>
      </c>
      <c r="U657" s="578">
        <f t="shared" si="195"/>
        <v>0</v>
      </c>
      <c r="V657" s="579"/>
      <c r="W657" s="637" t="str">
        <f>IF(U656&gt;0,"xx",IF(P656&gt;0,"xy",""))</f>
        <v/>
      </c>
      <c r="X657" s="586" t="str">
        <f t="shared" si="191"/>
        <v/>
      </c>
      <c r="Y657" s="586" t="str">
        <f t="shared" si="189"/>
        <v/>
      </c>
      <c r="Z657" s="586" t="str">
        <f t="shared" ref="Z657:Z765" si="208">IF(W657="X","x",IF(U657&gt;0,"x",""))</f>
        <v/>
      </c>
    </row>
    <row r="658" spans="1:26" hidden="1" x14ac:dyDescent="0.2">
      <c r="A658" s="567" t="s">
        <v>168</v>
      </c>
      <c r="B658" s="644" t="s">
        <v>168</v>
      </c>
      <c r="C658" s="645"/>
      <c r="D658" s="451" t="s">
        <v>249</v>
      </c>
      <c r="E658" s="423"/>
      <c r="F658" s="424">
        <v>500</v>
      </c>
      <c r="G658" s="425"/>
      <c r="H658" s="649">
        <f>IF(F658&lt;=30,(0.78*F658+7.82)*G658,((0.78*30+7.82)+0.78*(F658-30))*G658)</f>
        <v>0</v>
      </c>
      <c r="I658" s="420">
        <v>0</v>
      </c>
      <c r="J658" s="420">
        <f>IF(ISBLANK(I658),"",SUM(H658:I658))</f>
        <v>0</v>
      </c>
      <c r="K658" s="421">
        <f t="shared" si="205"/>
        <v>0</v>
      </c>
      <c r="L658" s="647" t="s">
        <v>614</v>
      </c>
      <c r="M658" s="703"/>
      <c r="N658" s="576">
        <f t="shared" si="186"/>
        <v>0</v>
      </c>
      <c r="O658" s="577">
        <f t="shared" si="196"/>
        <v>0</v>
      </c>
      <c r="P658" s="578">
        <f t="shared" si="197"/>
        <v>0</v>
      </c>
      <c r="Q658" s="765"/>
      <c r="R658" s="703"/>
      <c r="S658" s="670"/>
      <c r="T658" s="577">
        <f t="shared" si="194"/>
        <v>0</v>
      </c>
      <c r="U658" s="578">
        <f t="shared" si="195"/>
        <v>0</v>
      </c>
      <c r="V658" s="579"/>
      <c r="W658" s="637" t="str">
        <f>IF(U656&gt;0,"xx",IF(P656&gt;0,"xy",""))</f>
        <v/>
      </c>
      <c r="X658" s="586" t="str">
        <f>IF(W658="X","x",IF(W658="xx","x",IF(W658="xy","x",IF(W658="y","x",IF(OR(P658&gt;0,U658&gt;0),"x","")))))</f>
        <v/>
      </c>
      <c r="Y658" s="586" t="str">
        <f>IF(W658="X","x",IF(W658="y","x",IF(W658="xx","x",IF(U658&gt;0,"x",""))))</f>
        <v/>
      </c>
      <c r="Z658" s="586" t="str">
        <f>IF(W658="X","x",IF(U658&gt;0,"x",""))</f>
        <v/>
      </c>
    </row>
    <row r="659" spans="1:26" hidden="1" x14ac:dyDescent="0.2">
      <c r="A659" s="567" t="s">
        <v>168</v>
      </c>
      <c r="B659" s="644" t="s">
        <v>168</v>
      </c>
      <c r="C659" s="645"/>
      <c r="D659" s="451" t="s">
        <v>262</v>
      </c>
      <c r="E659" s="423"/>
      <c r="F659" s="424">
        <v>0.2</v>
      </c>
      <c r="G659" s="425">
        <v>2.12</v>
      </c>
      <c r="H659" s="651">
        <f t="shared" si="207"/>
        <v>6.1352800000000007</v>
      </c>
      <c r="I659" s="420">
        <v>0</v>
      </c>
      <c r="J659" s="420"/>
      <c r="K659" s="421">
        <f t="shared" si="205"/>
        <v>0</v>
      </c>
      <c r="L659" s="647" t="s">
        <v>614</v>
      </c>
      <c r="M659" s="703"/>
      <c r="N659" s="576">
        <f t="shared" si="186"/>
        <v>0</v>
      </c>
      <c r="O659" s="577">
        <f t="shared" si="196"/>
        <v>0</v>
      </c>
      <c r="P659" s="578">
        <f t="shared" si="197"/>
        <v>0</v>
      </c>
      <c r="Q659" s="765"/>
      <c r="R659" s="703"/>
      <c r="S659" s="670"/>
      <c r="T659" s="577">
        <f t="shared" si="194"/>
        <v>0</v>
      </c>
      <c r="U659" s="578">
        <f t="shared" si="195"/>
        <v>0</v>
      </c>
      <c r="V659" s="579"/>
      <c r="W659" s="637" t="str">
        <f>IF(U656&gt;0,"xx",IF(P656&gt;0,"xy",""))</f>
        <v/>
      </c>
      <c r="X659" s="586" t="str">
        <f>IF(W659="X","x",IF(W659="xx","x",IF(W659="xy","x",IF(W659="y","x",IF(OR(P659&gt;0,U659&gt;0),"x","")))))</f>
        <v/>
      </c>
      <c r="Y659" s="586" t="str">
        <f>IF(W659="X","x",IF(W659="y","x",IF(W659="xx","x",IF(U659&gt;0,"x",""))))</f>
        <v/>
      </c>
      <c r="Z659" s="586" t="str">
        <f>IF(W659="X","x",IF(U659&gt;0,"x",""))</f>
        <v/>
      </c>
    </row>
    <row r="660" spans="1:26" hidden="1" x14ac:dyDescent="0.2">
      <c r="A660" s="567" t="s">
        <v>168</v>
      </c>
      <c r="B660" s="644" t="s">
        <v>168</v>
      </c>
      <c r="C660" s="645"/>
      <c r="D660" s="451" t="s">
        <v>263</v>
      </c>
      <c r="E660" s="423"/>
      <c r="F660" s="424">
        <v>20</v>
      </c>
      <c r="G660" s="425">
        <f>SUM(G656:G659)</f>
        <v>2.2000000000000002</v>
      </c>
      <c r="H660" s="651">
        <f t="shared" si="207"/>
        <v>52.976000000000006</v>
      </c>
      <c r="I660" s="420">
        <v>0</v>
      </c>
      <c r="J660" s="420"/>
      <c r="K660" s="421">
        <f t="shared" si="205"/>
        <v>0</v>
      </c>
      <c r="L660" s="647" t="s">
        <v>614</v>
      </c>
      <c r="M660" s="703"/>
      <c r="N660" s="576">
        <f t="shared" ref="N660:N723" si="209">IF(M660=0,0,K660)</f>
        <v>0</v>
      </c>
      <c r="O660" s="577">
        <f t="shared" si="196"/>
        <v>0</v>
      </c>
      <c r="P660" s="578">
        <f t="shared" si="197"/>
        <v>0</v>
      </c>
      <c r="Q660" s="765"/>
      <c r="R660" s="703"/>
      <c r="S660" s="670"/>
      <c r="T660" s="577">
        <f t="shared" si="194"/>
        <v>0</v>
      </c>
      <c r="U660" s="578">
        <f t="shared" si="195"/>
        <v>0</v>
      </c>
      <c r="V660" s="579"/>
      <c r="W660" s="637" t="str">
        <f>IF(U656&gt;0,"xx",IF(P656&gt;0,"xy",""))</f>
        <v/>
      </c>
      <c r="X660" s="586" t="str">
        <f t="shared" si="191"/>
        <v/>
      </c>
      <c r="Y660" s="586" t="str">
        <f t="shared" si="189"/>
        <v/>
      </c>
      <c r="Z660" s="586" t="str">
        <f t="shared" si="208"/>
        <v/>
      </c>
    </row>
    <row r="661" spans="1:26" ht="12" hidden="1" thickBot="1" x14ac:dyDescent="0.25">
      <c r="A661" s="567">
        <v>589320</v>
      </c>
      <c r="B661" s="704" t="s">
        <v>1839</v>
      </c>
      <c r="C661" s="689" t="s">
        <v>1746</v>
      </c>
      <c r="D661" s="477" t="s">
        <v>812</v>
      </c>
      <c r="E661" s="470"/>
      <c r="F661" s="478">
        <v>500</v>
      </c>
      <c r="G661" s="479">
        <v>1</v>
      </c>
      <c r="H661" s="663">
        <f>(0.84*F661+41.45)*G661</f>
        <v>461.45</v>
      </c>
      <c r="I661" s="472">
        <v>4680</v>
      </c>
      <c r="J661" s="472">
        <f>IF(ISBLANK(I661),"",I661*(1+$F$9)/(1+$F$10))+H661</f>
        <v>5002.4010983923918</v>
      </c>
      <c r="K661" s="690">
        <f t="shared" si="205"/>
        <v>5943.35</v>
      </c>
      <c r="L661" s="691" t="s">
        <v>20</v>
      </c>
      <c r="M661" s="692">
        <f>ROUND(M656*G656,2)</f>
        <v>0</v>
      </c>
      <c r="N661" s="588">
        <f t="shared" si="209"/>
        <v>0</v>
      </c>
      <c r="O661" s="693">
        <f t="shared" si="196"/>
        <v>0</v>
      </c>
      <c r="P661" s="694">
        <f t="shared" si="197"/>
        <v>0</v>
      </c>
      <c r="Q661" s="765"/>
      <c r="R661" s="719">
        <f>ROUND(R656*G656,2)</f>
        <v>0</v>
      </c>
      <c r="S661" s="720">
        <f>N661</f>
        <v>0</v>
      </c>
      <c r="T661" s="693">
        <f t="shared" si="194"/>
        <v>0</v>
      </c>
      <c r="U661" s="694">
        <f t="shared" si="195"/>
        <v>0</v>
      </c>
      <c r="V661" s="579"/>
      <c r="W661" s="637" t="str">
        <f>IF(U656&gt;0,"xx",IF(P656&gt;0,"xy",""))</f>
        <v/>
      </c>
      <c r="X661" s="586" t="str">
        <f t="shared" si="191"/>
        <v/>
      </c>
      <c r="Y661" s="586" t="str">
        <f t="shared" si="189"/>
        <v/>
      </c>
      <c r="Z661" s="586" t="str">
        <f t="shared" si="208"/>
        <v/>
      </c>
    </row>
    <row r="662" spans="1:26" hidden="1" x14ac:dyDescent="0.2">
      <c r="A662" s="671">
        <v>534300</v>
      </c>
      <c r="B662" s="701" t="s">
        <v>1840</v>
      </c>
      <c r="C662" s="702" t="s">
        <v>206</v>
      </c>
      <c r="D662" s="463" t="s">
        <v>1919</v>
      </c>
      <c r="E662" s="464"/>
      <c r="F662" s="465" t="s">
        <v>663</v>
      </c>
      <c r="G662" s="466">
        <v>0.11</v>
      </c>
      <c r="H662" s="681">
        <f>SUM(H663:H666)</f>
        <v>59.024459999999998</v>
      </c>
      <c r="I662" s="467">
        <v>136.76</v>
      </c>
      <c r="J662" s="467">
        <f>IF(ISBLANK(I662),"",SUM(H662:I662))</f>
        <v>195.78446</v>
      </c>
      <c r="K662" s="682">
        <f t="shared" si="205"/>
        <v>232.61</v>
      </c>
      <c r="L662" s="683" t="s">
        <v>16</v>
      </c>
      <c r="M662" s="685"/>
      <c r="N662" s="686">
        <f t="shared" si="209"/>
        <v>0</v>
      </c>
      <c r="O662" s="687">
        <f t="shared" si="196"/>
        <v>0</v>
      </c>
      <c r="P662" s="688">
        <f t="shared" si="197"/>
        <v>0</v>
      </c>
      <c r="Q662" s="765"/>
      <c r="R662" s="685">
        <f>M662</f>
        <v>0</v>
      </c>
      <c r="S662" s="686">
        <f t="shared" si="198"/>
        <v>0</v>
      </c>
      <c r="T662" s="687">
        <f t="shared" si="194"/>
        <v>0</v>
      </c>
      <c r="U662" s="688">
        <f t="shared" si="195"/>
        <v>0</v>
      </c>
      <c r="V662" s="579"/>
      <c r="W662" s="566"/>
      <c r="X662" s="586" t="str">
        <f t="shared" si="191"/>
        <v/>
      </c>
      <c r="Y662" s="586" t="str">
        <f t="shared" si="189"/>
        <v/>
      </c>
      <c r="Z662" s="586" t="str">
        <f t="shared" si="208"/>
        <v/>
      </c>
    </row>
    <row r="663" spans="1:26" hidden="1" x14ac:dyDescent="0.2">
      <c r="A663" s="671" t="s">
        <v>168</v>
      </c>
      <c r="B663" s="644" t="s">
        <v>168</v>
      </c>
      <c r="C663" s="645"/>
      <c r="D663" s="451" t="s">
        <v>248</v>
      </c>
      <c r="E663" s="423"/>
      <c r="F663" s="424">
        <v>180</v>
      </c>
      <c r="G663" s="425"/>
      <c r="H663" s="651">
        <f t="shared" ref="H663:H666" si="210">IF(F663&lt;=30,(1.07*F663+2.68)*G663,((1.07*30+2.68)+1.07*(F663-30))*G663)</f>
        <v>0</v>
      </c>
      <c r="I663" s="420">
        <v>0</v>
      </c>
      <c r="J663" s="420"/>
      <c r="K663" s="421">
        <f t="shared" si="205"/>
        <v>0</v>
      </c>
      <c r="L663" s="647" t="s">
        <v>614</v>
      </c>
      <c r="M663" s="703"/>
      <c r="N663" s="576">
        <f t="shared" si="209"/>
        <v>0</v>
      </c>
      <c r="O663" s="577">
        <f t="shared" si="196"/>
        <v>0</v>
      </c>
      <c r="P663" s="578">
        <f t="shared" si="197"/>
        <v>0</v>
      </c>
      <c r="Q663" s="765"/>
      <c r="R663" s="703"/>
      <c r="S663" s="670"/>
      <c r="T663" s="577">
        <f t="shared" si="194"/>
        <v>0</v>
      </c>
      <c r="U663" s="578">
        <f t="shared" si="195"/>
        <v>0</v>
      </c>
      <c r="V663" s="579"/>
      <c r="W663" s="637" t="str">
        <f>IF(U662&gt;0,"xx",IF(P662&gt;0,"xy",""))</f>
        <v/>
      </c>
      <c r="X663" s="586" t="str">
        <f t="shared" si="191"/>
        <v/>
      </c>
      <c r="Y663" s="586" t="str">
        <f t="shared" si="189"/>
        <v/>
      </c>
      <c r="Z663" s="586" t="str">
        <f t="shared" si="208"/>
        <v/>
      </c>
    </row>
    <row r="664" spans="1:26" hidden="1" x14ac:dyDescent="0.2">
      <c r="A664" s="671" t="s">
        <v>168</v>
      </c>
      <c r="B664" s="644" t="s">
        <v>168</v>
      </c>
      <c r="C664" s="645"/>
      <c r="D664" s="451" t="s">
        <v>249</v>
      </c>
      <c r="E664" s="423"/>
      <c r="F664" s="424">
        <v>500</v>
      </c>
      <c r="G664" s="425"/>
      <c r="H664" s="649">
        <f>IF(F664&lt;=30,(0.78*F664+7.82)*G664,((0.78*30+7.82)+0.78*(F664-30))*G664)</f>
        <v>0</v>
      </c>
      <c r="I664" s="420">
        <v>0</v>
      </c>
      <c r="J664" s="420">
        <f>IF(ISBLANK(I664),"",SUM(H664:I664))</f>
        <v>0</v>
      </c>
      <c r="K664" s="421">
        <f t="shared" si="205"/>
        <v>0</v>
      </c>
      <c r="L664" s="647" t="s">
        <v>614</v>
      </c>
      <c r="M664" s="703"/>
      <c r="N664" s="576">
        <f t="shared" si="209"/>
        <v>0</v>
      </c>
      <c r="O664" s="577">
        <f t="shared" si="196"/>
        <v>0</v>
      </c>
      <c r="P664" s="578">
        <f t="shared" si="197"/>
        <v>0</v>
      </c>
      <c r="Q664" s="765"/>
      <c r="R664" s="703"/>
      <c r="S664" s="670"/>
      <c r="T664" s="577">
        <f t="shared" si="194"/>
        <v>0</v>
      </c>
      <c r="U664" s="578">
        <f t="shared" si="195"/>
        <v>0</v>
      </c>
      <c r="V664" s="579"/>
      <c r="W664" s="637" t="str">
        <f>IF(U662&gt;0,"xx",IF(P662&gt;0,"xy",""))</f>
        <v/>
      </c>
      <c r="X664" s="586" t="str">
        <f t="shared" si="191"/>
        <v/>
      </c>
      <c r="Y664" s="586" t="str">
        <f t="shared" si="189"/>
        <v/>
      </c>
      <c r="Z664" s="586" t="str">
        <f t="shared" si="208"/>
        <v/>
      </c>
    </row>
    <row r="665" spans="1:26" hidden="1" x14ac:dyDescent="0.2">
      <c r="A665" s="671" t="s">
        <v>168</v>
      </c>
      <c r="B665" s="644" t="s">
        <v>168</v>
      </c>
      <c r="C665" s="645"/>
      <c r="D665" s="451" t="s">
        <v>262</v>
      </c>
      <c r="E665" s="423"/>
      <c r="F665" s="424">
        <v>0.2</v>
      </c>
      <c r="G665" s="425">
        <v>2.09</v>
      </c>
      <c r="H665" s="651">
        <f t="shared" si="210"/>
        <v>6.0484599999999995</v>
      </c>
      <c r="I665" s="420">
        <v>0</v>
      </c>
      <c r="J665" s="420"/>
      <c r="K665" s="421">
        <f t="shared" si="205"/>
        <v>0</v>
      </c>
      <c r="L665" s="647" t="s">
        <v>614</v>
      </c>
      <c r="M665" s="703"/>
      <c r="N665" s="576">
        <f t="shared" si="209"/>
        <v>0</v>
      </c>
      <c r="O665" s="577">
        <f t="shared" si="196"/>
        <v>0</v>
      </c>
      <c r="P665" s="578">
        <f t="shared" si="197"/>
        <v>0</v>
      </c>
      <c r="Q665" s="765"/>
      <c r="R665" s="703"/>
      <c r="S665" s="670"/>
      <c r="T665" s="577">
        <f t="shared" si="194"/>
        <v>0</v>
      </c>
      <c r="U665" s="578">
        <f t="shared" si="195"/>
        <v>0</v>
      </c>
      <c r="V665" s="579"/>
      <c r="W665" s="637" t="str">
        <f>IF(U662&gt;0,"xx",IF(P662&gt;0,"xy",""))</f>
        <v/>
      </c>
      <c r="X665" s="586" t="str">
        <f t="shared" si="191"/>
        <v/>
      </c>
      <c r="Y665" s="586" t="str">
        <f t="shared" si="189"/>
        <v/>
      </c>
      <c r="Z665" s="586" t="str">
        <f t="shared" si="208"/>
        <v/>
      </c>
    </row>
    <row r="666" spans="1:26" hidden="1" x14ac:dyDescent="0.2">
      <c r="A666" s="671" t="s">
        <v>168</v>
      </c>
      <c r="B666" s="644" t="s">
        <v>168</v>
      </c>
      <c r="C666" s="645"/>
      <c r="D666" s="451" t="s">
        <v>263</v>
      </c>
      <c r="E666" s="423"/>
      <c r="F666" s="424">
        <v>20</v>
      </c>
      <c r="G666" s="425">
        <f>SUM(G662:G665)</f>
        <v>2.1999999999999997</v>
      </c>
      <c r="H666" s="651">
        <f t="shared" si="210"/>
        <v>52.975999999999999</v>
      </c>
      <c r="I666" s="420">
        <v>0</v>
      </c>
      <c r="J666" s="420"/>
      <c r="K666" s="421">
        <f t="shared" si="205"/>
        <v>0</v>
      </c>
      <c r="L666" s="647" t="s">
        <v>614</v>
      </c>
      <c r="M666" s="703"/>
      <c r="N666" s="576">
        <f t="shared" si="209"/>
        <v>0</v>
      </c>
      <c r="O666" s="577">
        <f t="shared" si="196"/>
        <v>0</v>
      </c>
      <c r="P666" s="578">
        <f t="shared" si="197"/>
        <v>0</v>
      </c>
      <c r="Q666" s="765"/>
      <c r="R666" s="703"/>
      <c r="S666" s="670"/>
      <c r="T666" s="577">
        <f t="shared" si="194"/>
        <v>0</v>
      </c>
      <c r="U666" s="578">
        <f t="shared" si="195"/>
        <v>0</v>
      </c>
      <c r="V666" s="579"/>
      <c r="W666" s="637" t="str">
        <f>IF(U662&gt;0,"xx",IF(P662&gt;0,"xy",""))</f>
        <v/>
      </c>
      <c r="X666" s="586" t="str">
        <f t="shared" si="191"/>
        <v/>
      </c>
      <c r="Y666" s="586" t="str">
        <f t="shared" si="189"/>
        <v/>
      </c>
      <c r="Z666" s="586" t="str">
        <f t="shared" si="208"/>
        <v/>
      </c>
    </row>
    <row r="667" spans="1:26" ht="12" hidden="1" thickBot="1" x14ac:dyDescent="0.25">
      <c r="A667" s="671">
        <v>589320</v>
      </c>
      <c r="B667" s="704" t="s">
        <v>1841</v>
      </c>
      <c r="C667" s="689" t="s">
        <v>1746</v>
      </c>
      <c r="D667" s="477" t="s">
        <v>813</v>
      </c>
      <c r="E667" s="470"/>
      <c r="F667" s="478">
        <v>500</v>
      </c>
      <c r="G667" s="479">
        <v>1</v>
      </c>
      <c r="H667" s="663">
        <f>(0.84*F667+41.45)*G667</f>
        <v>461.45</v>
      </c>
      <c r="I667" s="472">
        <v>4680</v>
      </c>
      <c r="J667" s="472">
        <f>IF(ISBLANK(I667),"",I667*(1+$F$9)/(1+$F$10))+H667</f>
        <v>5002.4010983923918</v>
      </c>
      <c r="K667" s="690">
        <f t="shared" si="205"/>
        <v>5943.35</v>
      </c>
      <c r="L667" s="691" t="s">
        <v>20</v>
      </c>
      <c r="M667" s="692">
        <f>ROUND(M662*G662,2)</f>
        <v>0</v>
      </c>
      <c r="N667" s="696">
        <f t="shared" si="209"/>
        <v>0</v>
      </c>
      <c r="O667" s="693">
        <f t="shared" si="196"/>
        <v>0</v>
      </c>
      <c r="P667" s="694">
        <f t="shared" si="197"/>
        <v>0</v>
      </c>
      <c r="Q667" s="765"/>
      <c r="R667" s="719">
        <f>ROUND(R662*G662,2)</f>
        <v>0</v>
      </c>
      <c r="S667" s="720">
        <f>N667</f>
        <v>0</v>
      </c>
      <c r="T667" s="693">
        <f t="shared" si="194"/>
        <v>0</v>
      </c>
      <c r="U667" s="694">
        <f t="shared" si="195"/>
        <v>0</v>
      </c>
      <c r="V667" s="579"/>
      <c r="W667" s="637" t="str">
        <f>IF(U662&gt;0,"xx",IF(P662&gt;0,"xy",""))</f>
        <v/>
      </c>
      <c r="X667" s="586" t="str">
        <f t="shared" si="191"/>
        <v/>
      </c>
      <c r="Y667" s="586" t="str">
        <f t="shared" si="189"/>
        <v/>
      </c>
      <c r="Z667" s="586" t="str">
        <f t="shared" si="208"/>
        <v/>
      </c>
    </row>
    <row r="668" spans="1:26" hidden="1" x14ac:dyDescent="0.2">
      <c r="A668" s="671">
        <v>534300</v>
      </c>
      <c r="B668" s="701" t="s">
        <v>1842</v>
      </c>
      <c r="C668" s="702" t="s">
        <v>206</v>
      </c>
      <c r="D668" s="463" t="s">
        <v>1920</v>
      </c>
      <c r="E668" s="464"/>
      <c r="F668" s="465" t="s">
        <v>663</v>
      </c>
      <c r="G668" s="466">
        <v>0.11</v>
      </c>
      <c r="H668" s="681">
        <f>SUM(H669:H672)</f>
        <v>59.024459999999998</v>
      </c>
      <c r="I668" s="467">
        <v>136.76</v>
      </c>
      <c r="J668" s="467">
        <f>IF(ISBLANK(I668),"",SUM(H668:I668))</f>
        <v>195.78446</v>
      </c>
      <c r="K668" s="682">
        <f t="shared" si="205"/>
        <v>232.61</v>
      </c>
      <c r="L668" s="683" t="s">
        <v>16</v>
      </c>
      <c r="M668" s="685"/>
      <c r="N668" s="576">
        <f t="shared" si="209"/>
        <v>0</v>
      </c>
      <c r="O668" s="687">
        <f t="shared" si="196"/>
        <v>0</v>
      </c>
      <c r="P668" s="688">
        <f t="shared" si="197"/>
        <v>0</v>
      </c>
      <c r="Q668" s="765"/>
      <c r="R668" s="685">
        <f>M668</f>
        <v>0</v>
      </c>
      <c r="S668" s="686">
        <f>N668</f>
        <v>0</v>
      </c>
      <c r="T668" s="687">
        <f t="shared" si="194"/>
        <v>0</v>
      </c>
      <c r="U668" s="688">
        <f t="shared" si="195"/>
        <v>0</v>
      </c>
      <c r="V668" s="579"/>
      <c r="W668" s="566"/>
      <c r="X668" s="586" t="str">
        <f t="shared" si="191"/>
        <v/>
      </c>
      <c r="Y668" s="586" t="str">
        <f t="shared" si="189"/>
        <v/>
      </c>
      <c r="Z668" s="586" t="str">
        <f t="shared" si="208"/>
        <v/>
      </c>
    </row>
    <row r="669" spans="1:26" hidden="1" x14ac:dyDescent="0.2">
      <c r="A669" s="671" t="s">
        <v>168</v>
      </c>
      <c r="B669" s="644" t="s">
        <v>168</v>
      </c>
      <c r="C669" s="645"/>
      <c r="D669" s="451" t="s">
        <v>248</v>
      </c>
      <c r="E669" s="423"/>
      <c r="F669" s="424">
        <v>180</v>
      </c>
      <c r="G669" s="425"/>
      <c r="H669" s="651">
        <f t="shared" ref="H669:H672" si="211">IF(F669&lt;=30,(1.07*F669+2.68)*G669,((1.07*30+2.68)+1.07*(F669-30))*G669)</f>
        <v>0</v>
      </c>
      <c r="I669" s="420">
        <v>0</v>
      </c>
      <c r="J669" s="420"/>
      <c r="K669" s="421">
        <f t="shared" si="205"/>
        <v>0</v>
      </c>
      <c r="L669" s="647" t="s">
        <v>614</v>
      </c>
      <c r="M669" s="703"/>
      <c r="N669" s="576">
        <f t="shared" si="209"/>
        <v>0</v>
      </c>
      <c r="O669" s="577">
        <f t="shared" si="196"/>
        <v>0</v>
      </c>
      <c r="P669" s="578">
        <f t="shared" si="197"/>
        <v>0</v>
      </c>
      <c r="Q669" s="765"/>
      <c r="R669" s="703"/>
      <c r="S669" s="670"/>
      <c r="T669" s="577">
        <f t="shared" si="194"/>
        <v>0</v>
      </c>
      <c r="U669" s="578">
        <f t="shared" si="195"/>
        <v>0</v>
      </c>
      <c r="V669" s="579"/>
      <c r="W669" s="637" t="str">
        <f>IF(U668&gt;0,"xx",IF(P668&gt;0,"xy",""))</f>
        <v/>
      </c>
      <c r="X669" s="586" t="str">
        <f t="shared" si="191"/>
        <v/>
      </c>
      <c r="Y669" s="586" t="str">
        <f t="shared" si="189"/>
        <v/>
      </c>
      <c r="Z669" s="586" t="str">
        <f t="shared" si="208"/>
        <v/>
      </c>
    </row>
    <row r="670" spans="1:26" hidden="1" x14ac:dyDescent="0.2">
      <c r="A670" s="671" t="s">
        <v>168</v>
      </c>
      <c r="B670" s="644" t="s">
        <v>168</v>
      </c>
      <c r="C670" s="645"/>
      <c r="D670" s="451" t="s">
        <v>249</v>
      </c>
      <c r="E670" s="423"/>
      <c r="F670" s="424">
        <v>500</v>
      </c>
      <c r="G670" s="425"/>
      <c r="H670" s="649">
        <f>IF(F670&lt;=30,(0.78*F670+7.82)*G670,((0.78*30+7.82)+0.78*(F670-30))*G670)</f>
        <v>0</v>
      </c>
      <c r="I670" s="420">
        <v>0</v>
      </c>
      <c r="J670" s="420">
        <f>IF(ISBLANK(I670),"",SUM(H670:I670))</f>
        <v>0</v>
      </c>
      <c r="K670" s="421">
        <f t="shared" si="205"/>
        <v>0</v>
      </c>
      <c r="L670" s="647" t="s">
        <v>614</v>
      </c>
      <c r="M670" s="703"/>
      <c r="N670" s="576">
        <f t="shared" si="209"/>
        <v>0</v>
      </c>
      <c r="O670" s="577">
        <f t="shared" si="196"/>
        <v>0</v>
      </c>
      <c r="P670" s="578">
        <f t="shared" si="197"/>
        <v>0</v>
      </c>
      <c r="Q670" s="765"/>
      <c r="R670" s="703"/>
      <c r="S670" s="670"/>
      <c r="T670" s="577">
        <f t="shared" si="194"/>
        <v>0</v>
      </c>
      <c r="U670" s="578">
        <f t="shared" si="195"/>
        <v>0</v>
      </c>
      <c r="V670" s="579"/>
      <c r="W670" s="637" t="str">
        <f>IF(U668&gt;0,"xx",IF(P668&gt;0,"xy",""))</f>
        <v/>
      </c>
      <c r="X670" s="586" t="str">
        <f t="shared" si="191"/>
        <v/>
      </c>
      <c r="Y670" s="586" t="str">
        <f t="shared" si="189"/>
        <v/>
      </c>
      <c r="Z670" s="586" t="str">
        <f t="shared" si="208"/>
        <v/>
      </c>
    </row>
    <row r="671" spans="1:26" hidden="1" x14ac:dyDescent="0.2">
      <c r="A671" s="671" t="s">
        <v>168</v>
      </c>
      <c r="B671" s="644" t="s">
        <v>168</v>
      </c>
      <c r="C671" s="645"/>
      <c r="D671" s="451" t="s">
        <v>262</v>
      </c>
      <c r="E671" s="423"/>
      <c r="F671" s="424">
        <v>0.2</v>
      </c>
      <c r="G671" s="425">
        <v>2.09</v>
      </c>
      <c r="H671" s="651">
        <f t="shared" si="211"/>
        <v>6.0484599999999995</v>
      </c>
      <c r="I671" s="420">
        <v>0</v>
      </c>
      <c r="J671" s="420"/>
      <c r="K671" s="421">
        <f t="shared" si="205"/>
        <v>0</v>
      </c>
      <c r="L671" s="647" t="s">
        <v>614</v>
      </c>
      <c r="M671" s="703"/>
      <c r="N671" s="576">
        <f t="shared" si="209"/>
        <v>0</v>
      </c>
      <c r="O671" s="577">
        <f t="shared" si="196"/>
        <v>0</v>
      </c>
      <c r="P671" s="578">
        <f t="shared" si="197"/>
        <v>0</v>
      </c>
      <c r="Q671" s="765"/>
      <c r="R671" s="703"/>
      <c r="S671" s="670"/>
      <c r="T671" s="577">
        <f t="shared" si="194"/>
        <v>0</v>
      </c>
      <c r="U671" s="578">
        <f t="shared" si="195"/>
        <v>0</v>
      </c>
      <c r="V671" s="579"/>
      <c r="W671" s="637" t="str">
        <f>IF(U668&gt;0,"xx",IF(P668&gt;0,"xy",""))</f>
        <v/>
      </c>
      <c r="X671" s="586" t="str">
        <f t="shared" si="191"/>
        <v/>
      </c>
      <c r="Y671" s="586" t="str">
        <f t="shared" si="189"/>
        <v/>
      </c>
      <c r="Z671" s="586" t="str">
        <f t="shared" si="208"/>
        <v/>
      </c>
    </row>
    <row r="672" spans="1:26" hidden="1" x14ac:dyDescent="0.2">
      <c r="A672" s="671" t="s">
        <v>168</v>
      </c>
      <c r="B672" s="644" t="s">
        <v>168</v>
      </c>
      <c r="C672" s="645"/>
      <c r="D672" s="451" t="s">
        <v>263</v>
      </c>
      <c r="E672" s="423"/>
      <c r="F672" s="424">
        <v>20</v>
      </c>
      <c r="G672" s="425">
        <f>SUM(G668:G671)</f>
        <v>2.1999999999999997</v>
      </c>
      <c r="H672" s="651">
        <f t="shared" si="211"/>
        <v>52.975999999999999</v>
      </c>
      <c r="I672" s="420">
        <v>0</v>
      </c>
      <c r="J672" s="420"/>
      <c r="K672" s="421">
        <f t="shared" si="205"/>
        <v>0</v>
      </c>
      <c r="L672" s="647" t="s">
        <v>614</v>
      </c>
      <c r="M672" s="703"/>
      <c r="N672" s="576">
        <f t="shared" si="209"/>
        <v>0</v>
      </c>
      <c r="O672" s="577">
        <f t="shared" si="196"/>
        <v>0</v>
      </c>
      <c r="P672" s="578">
        <f t="shared" si="197"/>
        <v>0</v>
      </c>
      <c r="Q672" s="765"/>
      <c r="R672" s="703"/>
      <c r="S672" s="670"/>
      <c r="T672" s="577">
        <f t="shared" si="194"/>
        <v>0</v>
      </c>
      <c r="U672" s="578">
        <f t="shared" si="195"/>
        <v>0</v>
      </c>
      <c r="V672" s="579"/>
      <c r="W672" s="637" t="str">
        <f>IF(U668&gt;0,"xx",IF(P668&gt;0,"xy",""))</f>
        <v/>
      </c>
      <c r="X672" s="586" t="str">
        <f t="shared" si="191"/>
        <v/>
      </c>
      <c r="Y672" s="586" t="str">
        <f t="shared" si="189"/>
        <v/>
      </c>
      <c r="Z672" s="586" t="str">
        <f t="shared" si="208"/>
        <v/>
      </c>
    </row>
    <row r="673" spans="1:26" ht="12" hidden="1" thickBot="1" x14ac:dyDescent="0.25">
      <c r="A673" s="671">
        <v>589320</v>
      </c>
      <c r="B673" s="704" t="s">
        <v>1843</v>
      </c>
      <c r="C673" s="689" t="s">
        <v>1746</v>
      </c>
      <c r="D673" s="477" t="s">
        <v>813</v>
      </c>
      <c r="E673" s="470"/>
      <c r="F673" s="478">
        <v>500</v>
      </c>
      <c r="G673" s="479">
        <v>1</v>
      </c>
      <c r="H673" s="663">
        <f>(0.84*F673+41.45)*G673</f>
        <v>461.45</v>
      </c>
      <c r="I673" s="472">
        <v>4680</v>
      </c>
      <c r="J673" s="472">
        <f>IF(ISBLANK(I673),"",I673*(1+$F$9)/(1+$F$10))+H673</f>
        <v>5002.4010983923918</v>
      </c>
      <c r="K673" s="690">
        <f t="shared" si="205"/>
        <v>5943.35</v>
      </c>
      <c r="L673" s="691" t="s">
        <v>20</v>
      </c>
      <c r="M673" s="692">
        <f>ROUND(M668*G668,2)</f>
        <v>0</v>
      </c>
      <c r="N673" s="588">
        <f t="shared" si="209"/>
        <v>0</v>
      </c>
      <c r="O673" s="693">
        <f t="shared" si="196"/>
        <v>0</v>
      </c>
      <c r="P673" s="694">
        <f t="shared" si="197"/>
        <v>0</v>
      </c>
      <c r="Q673" s="765"/>
      <c r="R673" s="719">
        <f>ROUND(R668*G668,2)</f>
        <v>0</v>
      </c>
      <c r="S673" s="720">
        <f>N673</f>
        <v>0</v>
      </c>
      <c r="T673" s="693">
        <f t="shared" si="194"/>
        <v>0</v>
      </c>
      <c r="U673" s="694">
        <f t="shared" si="195"/>
        <v>0</v>
      </c>
      <c r="V673" s="579"/>
      <c r="W673" s="637" t="str">
        <f>IF(U668&gt;0,"xx",IF(P668&gt;0,"xy",""))</f>
        <v/>
      </c>
      <c r="X673" s="586" t="str">
        <f t="shared" si="191"/>
        <v/>
      </c>
      <c r="Y673" s="586" t="str">
        <f t="shared" si="189"/>
        <v/>
      </c>
      <c r="Z673" s="586" t="str">
        <f t="shared" si="208"/>
        <v/>
      </c>
    </row>
    <row r="674" spans="1:26" hidden="1" x14ac:dyDescent="0.2">
      <c r="A674" s="567">
        <v>534300</v>
      </c>
      <c r="B674" s="701" t="s">
        <v>1844</v>
      </c>
      <c r="C674" s="702" t="s">
        <v>206</v>
      </c>
      <c r="D674" s="463" t="s">
        <v>1919</v>
      </c>
      <c r="E674" s="464"/>
      <c r="F674" s="465" t="s">
        <v>663</v>
      </c>
      <c r="G674" s="466">
        <v>0.14000000000000001</v>
      </c>
      <c r="H674" s="681">
        <f>SUM(H675:H678)</f>
        <v>113.57926</v>
      </c>
      <c r="I674" s="467">
        <v>136.76</v>
      </c>
      <c r="J674" s="467">
        <f>IF(ISBLANK(I674),"",SUM(H674:I674))</f>
        <v>250.33926</v>
      </c>
      <c r="K674" s="682">
        <f t="shared" si="205"/>
        <v>297.43</v>
      </c>
      <c r="L674" s="683" t="s">
        <v>16</v>
      </c>
      <c r="M674" s="685"/>
      <c r="N674" s="686">
        <f t="shared" si="209"/>
        <v>0</v>
      </c>
      <c r="O674" s="687">
        <f t="shared" si="196"/>
        <v>0</v>
      </c>
      <c r="P674" s="688">
        <f t="shared" si="197"/>
        <v>0</v>
      </c>
      <c r="Q674" s="765"/>
      <c r="R674" s="685">
        <f>M674</f>
        <v>0</v>
      </c>
      <c r="S674" s="686">
        <f>N674</f>
        <v>0</v>
      </c>
      <c r="T674" s="687">
        <f t="shared" si="194"/>
        <v>0</v>
      </c>
      <c r="U674" s="688">
        <f t="shared" si="195"/>
        <v>0</v>
      </c>
      <c r="V674" s="579"/>
      <c r="W674" s="566"/>
      <c r="X674" s="586" t="str">
        <f t="shared" si="191"/>
        <v/>
      </c>
      <c r="Y674" s="586" t="str">
        <f t="shared" si="189"/>
        <v/>
      </c>
      <c r="Z674" s="586" t="str">
        <f t="shared" si="208"/>
        <v/>
      </c>
    </row>
    <row r="675" spans="1:26" hidden="1" x14ac:dyDescent="0.2">
      <c r="A675" s="567" t="s">
        <v>168</v>
      </c>
      <c r="B675" s="644" t="s">
        <v>168</v>
      </c>
      <c r="C675" s="645"/>
      <c r="D675" s="451" t="s">
        <v>248</v>
      </c>
      <c r="E675" s="423"/>
      <c r="F675" s="424">
        <v>180</v>
      </c>
      <c r="G675" s="425">
        <v>0.27</v>
      </c>
      <c r="H675" s="651">
        <f t="shared" ref="H675:H678" si="212">IF(F675&lt;=30,(1.07*F675+2.68)*G675,((1.07*30+2.68)+1.07*(F675-30))*G675)</f>
        <v>52.725600000000007</v>
      </c>
      <c r="I675" s="420">
        <v>0</v>
      </c>
      <c r="J675" s="420"/>
      <c r="K675" s="421">
        <f t="shared" si="205"/>
        <v>0</v>
      </c>
      <c r="L675" s="647" t="s">
        <v>614</v>
      </c>
      <c r="M675" s="703"/>
      <c r="N675" s="576">
        <f t="shared" si="209"/>
        <v>0</v>
      </c>
      <c r="O675" s="577">
        <f t="shared" si="196"/>
        <v>0</v>
      </c>
      <c r="P675" s="578">
        <f t="shared" si="197"/>
        <v>0</v>
      </c>
      <c r="Q675" s="765"/>
      <c r="R675" s="703"/>
      <c r="S675" s="670"/>
      <c r="T675" s="577">
        <f t="shared" si="194"/>
        <v>0</v>
      </c>
      <c r="U675" s="578">
        <f t="shared" si="195"/>
        <v>0</v>
      </c>
      <c r="V675" s="579"/>
      <c r="W675" s="637" t="str">
        <f>IF(U674&gt;0,"xx",IF(P674&gt;0,"xy",""))</f>
        <v/>
      </c>
      <c r="X675" s="586" t="str">
        <f t="shared" si="191"/>
        <v/>
      </c>
      <c r="Y675" s="586" t="str">
        <f t="shared" si="189"/>
        <v/>
      </c>
      <c r="Z675" s="586" t="str">
        <f t="shared" si="208"/>
        <v/>
      </c>
    </row>
    <row r="676" spans="1:26" hidden="1" x14ac:dyDescent="0.2">
      <c r="A676" s="567" t="s">
        <v>168</v>
      </c>
      <c r="B676" s="644" t="s">
        <v>168</v>
      </c>
      <c r="C676" s="645"/>
      <c r="D676" s="451" t="s">
        <v>249</v>
      </c>
      <c r="E676" s="423"/>
      <c r="F676" s="424">
        <v>500</v>
      </c>
      <c r="G676" s="425"/>
      <c r="H676" s="649">
        <f>IF(F676&lt;=30,(0.78*F676+7.82)*G676,((0.78*30+7.82)+0.78*(F676-30))*G676)</f>
        <v>0</v>
      </c>
      <c r="I676" s="420">
        <v>0</v>
      </c>
      <c r="J676" s="420">
        <f>IF(ISBLANK(I676),"",SUM(H676:I676))</f>
        <v>0</v>
      </c>
      <c r="K676" s="421">
        <f t="shared" si="205"/>
        <v>0</v>
      </c>
      <c r="L676" s="647" t="s">
        <v>614</v>
      </c>
      <c r="M676" s="703"/>
      <c r="N676" s="576">
        <f t="shared" si="209"/>
        <v>0</v>
      </c>
      <c r="O676" s="577">
        <f t="shared" si="196"/>
        <v>0</v>
      </c>
      <c r="P676" s="578">
        <f t="shared" si="197"/>
        <v>0</v>
      </c>
      <c r="Q676" s="765"/>
      <c r="R676" s="703"/>
      <c r="S676" s="670"/>
      <c r="T676" s="577">
        <f t="shared" si="194"/>
        <v>0</v>
      </c>
      <c r="U676" s="578">
        <f t="shared" si="195"/>
        <v>0</v>
      </c>
      <c r="V676" s="579"/>
      <c r="W676" s="637" t="str">
        <f>IF(U674&gt;0,"xx",IF(P674&gt;0,"xy",""))</f>
        <v/>
      </c>
      <c r="X676" s="586" t="str">
        <f>IF(W676="X","x",IF(W676="xx","x",IF(W676="xy","x",IF(W676="y","x",IF(OR(P676&gt;0,U676&gt;0),"x","")))))</f>
        <v/>
      </c>
      <c r="Y676" s="586" t="str">
        <f>IF(W676="X","x",IF(W676="y","x",IF(W676="xx","x",IF(U676&gt;0,"x",""))))</f>
        <v/>
      </c>
      <c r="Z676" s="586" t="str">
        <f>IF(W676="X","x",IF(U676&gt;0,"x",""))</f>
        <v/>
      </c>
    </row>
    <row r="677" spans="1:26" hidden="1" x14ac:dyDescent="0.2">
      <c r="A677" s="567" t="s">
        <v>168</v>
      </c>
      <c r="B677" s="644" t="s">
        <v>168</v>
      </c>
      <c r="C677" s="645"/>
      <c r="D677" s="451" t="s">
        <v>262</v>
      </c>
      <c r="E677" s="423"/>
      <c r="F677" s="424">
        <v>0.2</v>
      </c>
      <c r="G677" s="425">
        <v>1.89</v>
      </c>
      <c r="H677" s="651">
        <f t="shared" si="212"/>
        <v>5.4696600000000002</v>
      </c>
      <c r="I677" s="420">
        <v>0</v>
      </c>
      <c r="J677" s="420"/>
      <c r="K677" s="421">
        <f t="shared" si="205"/>
        <v>0</v>
      </c>
      <c r="L677" s="647" t="s">
        <v>614</v>
      </c>
      <c r="M677" s="703"/>
      <c r="N677" s="576">
        <f t="shared" si="209"/>
        <v>0</v>
      </c>
      <c r="O677" s="577">
        <f t="shared" si="196"/>
        <v>0</v>
      </c>
      <c r="P677" s="578">
        <f t="shared" si="197"/>
        <v>0</v>
      </c>
      <c r="Q677" s="765"/>
      <c r="R677" s="703"/>
      <c r="S677" s="670"/>
      <c r="T677" s="577">
        <f t="shared" si="194"/>
        <v>0</v>
      </c>
      <c r="U677" s="578">
        <f t="shared" si="195"/>
        <v>0</v>
      </c>
      <c r="V677" s="579"/>
      <c r="W677" s="637" t="str">
        <f>IF(U674&gt;0,"xx",IF(P674&gt;0,"xy",""))</f>
        <v/>
      </c>
      <c r="X677" s="586" t="str">
        <f>IF(W677="X","x",IF(W677="xx","x",IF(W677="xy","x",IF(W677="y","x",IF(OR(P677&gt;0,U677&gt;0),"x","")))))</f>
        <v/>
      </c>
      <c r="Y677" s="586" t="str">
        <f>IF(W677="X","x",IF(W677="y","x",IF(W677="xx","x",IF(U677&gt;0,"x",""))))</f>
        <v/>
      </c>
      <c r="Z677" s="586" t="str">
        <f>IF(W677="X","x",IF(U677&gt;0,"x",""))</f>
        <v/>
      </c>
    </row>
    <row r="678" spans="1:26" hidden="1" x14ac:dyDescent="0.2">
      <c r="A678" s="567" t="s">
        <v>168</v>
      </c>
      <c r="B678" s="644" t="s">
        <v>168</v>
      </c>
      <c r="C678" s="645"/>
      <c r="D678" s="451" t="s">
        <v>263</v>
      </c>
      <c r="E678" s="423"/>
      <c r="F678" s="424">
        <v>20</v>
      </c>
      <c r="G678" s="425">
        <f>SUM(G674:G677)</f>
        <v>2.2999999999999998</v>
      </c>
      <c r="H678" s="651">
        <f t="shared" si="212"/>
        <v>55.384</v>
      </c>
      <c r="I678" s="420">
        <v>0</v>
      </c>
      <c r="J678" s="420"/>
      <c r="K678" s="421">
        <f t="shared" si="205"/>
        <v>0</v>
      </c>
      <c r="L678" s="647" t="s">
        <v>614</v>
      </c>
      <c r="M678" s="703"/>
      <c r="N678" s="576">
        <f t="shared" si="209"/>
        <v>0</v>
      </c>
      <c r="O678" s="577">
        <f>IF(ISBLANK(M678),0,ROUND(K678*M678,2))</f>
        <v>0</v>
      </c>
      <c r="P678" s="578">
        <f>IF(ISBLANK(N678),0,ROUND(M678*N678,2))</f>
        <v>0</v>
      </c>
      <c r="Q678" s="765"/>
      <c r="R678" s="703"/>
      <c r="S678" s="670"/>
      <c r="T678" s="577">
        <f t="shared" si="194"/>
        <v>0</v>
      </c>
      <c r="U678" s="578">
        <f t="shared" si="195"/>
        <v>0</v>
      </c>
      <c r="V678" s="579"/>
      <c r="W678" s="637" t="str">
        <f>IF(U674&gt;0,"xx",IF(P674&gt;0,"xy",""))</f>
        <v/>
      </c>
      <c r="X678" s="586" t="str">
        <f t="shared" si="191"/>
        <v/>
      </c>
      <c r="Y678" s="586" t="str">
        <f t="shared" si="189"/>
        <v/>
      </c>
      <c r="Z678" s="586" t="str">
        <f t="shared" si="208"/>
        <v/>
      </c>
    </row>
    <row r="679" spans="1:26" ht="12" hidden="1" thickBot="1" x14ac:dyDescent="0.25">
      <c r="A679" s="567">
        <v>589320</v>
      </c>
      <c r="B679" s="704" t="s">
        <v>1845</v>
      </c>
      <c r="C679" s="689" t="s">
        <v>1746</v>
      </c>
      <c r="D679" s="477" t="s">
        <v>813</v>
      </c>
      <c r="E679" s="470"/>
      <c r="F679" s="478">
        <v>500</v>
      </c>
      <c r="G679" s="479">
        <v>1</v>
      </c>
      <c r="H679" s="663">
        <f>(0.84*F679+41.45)*G679</f>
        <v>461.45</v>
      </c>
      <c r="I679" s="472">
        <v>4680</v>
      </c>
      <c r="J679" s="472">
        <f>IF(ISBLANK(I679),"",I679*(1+$F$9)/(1+$F$10))+H679</f>
        <v>5002.4010983923918</v>
      </c>
      <c r="K679" s="690">
        <f t="shared" si="205"/>
        <v>5943.35</v>
      </c>
      <c r="L679" s="691" t="s">
        <v>20</v>
      </c>
      <c r="M679" s="692">
        <f>ROUND(M674*G674,2)</f>
        <v>0</v>
      </c>
      <c r="N679" s="696">
        <f t="shared" si="209"/>
        <v>0</v>
      </c>
      <c r="O679" s="693">
        <f>IF(ISBLANK(M679),0,ROUND(K679*M679,2))</f>
        <v>0</v>
      </c>
      <c r="P679" s="694">
        <f>IF(ISBLANK(N679),0,ROUND(M679*N679,2))</f>
        <v>0</v>
      </c>
      <c r="Q679" s="765"/>
      <c r="R679" s="719">
        <f>ROUND(R674*G674,2)</f>
        <v>0</v>
      </c>
      <c r="S679" s="720">
        <f>N679</f>
        <v>0</v>
      </c>
      <c r="T679" s="693">
        <f t="shared" si="194"/>
        <v>0</v>
      </c>
      <c r="U679" s="694">
        <f t="shared" si="195"/>
        <v>0</v>
      </c>
      <c r="V679" s="579"/>
      <c r="W679" s="637" t="str">
        <f>IF(U674&gt;0,"xx",IF(P674&gt;0,"xy",""))</f>
        <v/>
      </c>
      <c r="X679" s="586" t="str">
        <f t="shared" si="191"/>
        <v/>
      </c>
      <c r="Y679" s="586" t="str">
        <f t="shared" si="189"/>
        <v/>
      </c>
      <c r="Z679" s="586" t="str">
        <f t="shared" si="208"/>
        <v/>
      </c>
    </row>
    <row r="680" spans="1:26" hidden="1" x14ac:dyDescent="0.2">
      <c r="A680" s="567">
        <v>534300</v>
      </c>
      <c r="B680" s="701" t="s">
        <v>1846</v>
      </c>
      <c r="C680" s="702" t="s">
        <v>206</v>
      </c>
      <c r="D680" s="463" t="s">
        <v>1920</v>
      </c>
      <c r="E680" s="464"/>
      <c r="F680" s="465" t="s">
        <v>663</v>
      </c>
      <c r="G680" s="466">
        <v>0.14000000000000001</v>
      </c>
      <c r="H680" s="681">
        <f>SUM(H681:H684)</f>
        <v>113.57926</v>
      </c>
      <c r="I680" s="467">
        <v>136.76</v>
      </c>
      <c r="J680" s="467">
        <f>IF(ISBLANK(I680),"",SUM(H680:I680))</f>
        <v>250.33926</v>
      </c>
      <c r="K680" s="682">
        <f t="shared" si="205"/>
        <v>297.43</v>
      </c>
      <c r="L680" s="683" t="s">
        <v>16</v>
      </c>
      <c r="M680" s="685"/>
      <c r="N680" s="686">
        <f t="shared" si="209"/>
        <v>0</v>
      </c>
      <c r="O680" s="687">
        <f t="shared" si="196"/>
        <v>0</v>
      </c>
      <c r="P680" s="688">
        <f t="shared" si="197"/>
        <v>0</v>
      </c>
      <c r="Q680" s="765"/>
      <c r="R680" s="685">
        <f>M680</f>
        <v>0</v>
      </c>
      <c r="S680" s="686">
        <f>N680</f>
        <v>0</v>
      </c>
      <c r="T680" s="687">
        <f t="shared" si="194"/>
        <v>0</v>
      </c>
      <c r="U680" s="688">
        <f t="shared" si="195"/>
        <v>0</v>
      </c>
      <c r="V680" s="579"/>
      <c r="W680" s="566"/>
      <c r="X680" s="586" t="str">
        <f t="shared" si="191"/>
        <v/>
      </c>
      <c r="Y680" s="586" t="str">
        <f t="shared" si="189"/>
        <v/>
      </c>
      <c r="Z680" s="586" t="str">
        <f t="shared" si="208"/>
        <v/>
      </c>
    </row>
    <row r="681" spans="1:26" hidden="1" x14ac:dyDescent="0.2">
      <c r="A681" s="567" t="s">
        <v>168</v>
      </c>
      <c r="B681" s="644" t="s">
        <v>168</v>
      </c>
      <c r="C681" s="645"/>
      <c r="D681" s="451" t="s">
        <v>248</v>
      </c>
      <c r="E681" s="423"/>
      <c r="F681" s="424">
        <v>180</v>
      </c>
      <c r="G681" s="425">
        <v>0.27</v>
      </c>
      <c r="H681" s="651">
        <f t="shared" ref="H681:H684" si="213">IF(F681&lt;=30,(1.07*F681+2.68)*G681,((1.07*30+2.68)+1.07*(F681-30))*G681)</f>
        <v>52.725600000000007</v>
      </c>
      <c r="I681" s="420">
        <v>0</v>
      </c>
      <c r="J681" s="420"/>
      <c r="K681" s="421">
        <f t="shared" si="205"/>
        <v>0</v>
      </c>
      <c r="L681" s="647" t="s">
        <v>614</v>
      </c>
      <c r="M681" s="801"/>
      <c r="N681" s="576">
        <f t="shared" si="209"/>
        <v>0</v>
      </c>
      <c r="O681" s="642">
        <f t="shared" si="196"/>
        <v>0</v>
      </c>
      <c r="P681" s="659">
        <f t="shared" si="197"/>
        <v>0</v>
      </c>
      <c r="Q681" s="765"/>
      <c r="R681" s="703"/>
      <c r="S681" s="670"/>
      <c r="T681" s="577">
        <f t="shared" si="194"/>
        <v>0</v>
      </c>
      <c r="U681" s="578">
        <f t="shared" si="195"/>
        <v>0</v>
      </c>
      <c r="V681" s="579"/>
      <c r="W681" s="637" t="str">
        <f>IF(U680&gt;0,"xx",IF(P680&gt;0,"xy",""))</f>
        <v/>
      </c>
      <c r="X681" s="586" t="str">
        <f t="shared" si="191"/>
        <v/>
      </c>
      <c r="Y681" s="586" t="str">
        <f t="shared" si="189"/>
        <v/>
      </c>
      <c r="Z681" s="586" t="str">
        <f t="shared" si="208"/>
        <v/>
      </c>
    </row>
    <row r="682" spans="1:26" hidden="1" x14ac:dyDescent="0.2">
      <c r="A682" s="567" t="s">
        <v>168</v>
      </c>
      <c r="B682" s="644" t="s">
        <v>168</v>
      </c>
      <c r="C682" s="645"/>
      <c r="D682" s="451" t="s">
        <v>249</v>
      </c>
      <c r="E682" s="423"/>
      <c r="F682" s="424">
        <v>500</v>
      </c>
      <c r="G682" s="425"/>
      <c r="H682" s="649">
        <f>IF(F682&lt;=30,(0.78*F682+7.82)*G682,((0.78*30+7.82)+0.78*(F682-30))*G682)</f>
        <v>0</v>
      </c>
      <c r="I682" s="420">
        <v>0</v>
      </c>
      <c r="J682" s="420">
        <f>IF(ISBLANK(I682),"",SUM(H682:I682))</f>
        <v>0</v>
      </c>
      <c r="K682" s="421">
        <f t="shared" si="205"/>
        <v>0</v>
      </c>
      <c r="L682" s="647" t="s">
        <v>614</v>
      </c>
      <c r="M682" s="703"/>
      <c r="N682" s="576">
        <f t="shared" si="209"/>
        <v>0</v>
      </c>
      <c r="O682" s="577">
        <f t="shared" si="196"/>
        <v>0</v>
      </c>
      <c r="P682" s="578">
        <f t="shared" si="197"/>
        <v>0</v>
      </c>
      <c r="Q682" s="765"/>
      <c r="R682" s="703"/>
      <c r="S682" s="670"/>
      <c r="T682" s="577">
        <f t="shared" si="194"/>
        <v>0</v>
      </c>
      <c r="U682" s="578">
        <f t="shared" si="195"/>
        <v>0</v>
      </c>
      <c r="V682" s="579"/>
      <c r="W682" s="637" t="str">
        <f>IF(U680&gt;0,"xx",IF(P680&gt;0,"xy",""))</f>
        <v/>
      </c>
      <c r="X682" s="586" t="str">
        <f>IF(W682="X","x",IF(W682="xx","x",IF(W682="xy","x",IF(W682="y","x",IF(OR(P682&gt;0,U682&gt;0),"x","")))))</f>
        <v/>
      </c>
      <c r="Y682" s="586" t="str">
        <f>IF(W682="X","x",IF(W682="y","x",IF(W682="xx","x",IF(U682&gt;0,"x",""))))</f>
        <v/>
      </c>
      <c r="Z682" s="586" t="str">
        <f>IF(W682="X","x",IF(U682&gt;0,"x",""))</f>
        <v/>
      </c>
    </row>
    <row r="683" spans="1:26" hidden="1" x14ac:dyDescent="0.2">
      <c r="A683" s="567" t="s">
        <v>168</v>
      </c>
      <c r="B683" s="644" t="s">
        <v>168</v>
      </c>
      <c r="C683" s="645"/>
      <c r="D683" s="451" t="s">
        <v>262</v>
      </c>
      <c r="E683" s="423"/>
      <c r="F683" s="424">
        <v>0.2</v>
      </c>
      <c r="G683" s="425">
        <v>1.89</v>
      </c>
      <c r="H683" s="651">
        <f t="shared" si="213"/>
        <v>5.4696600000000002</v>
      </c>
      <c r="I683" s="420">
        <v>0</v>
      </c>
      <c r="J683" s="420"/>
      <c r="K683" s="421">
        <f t="shared" si="205"/>
        <v>0</v>
      </c>
      <c r="L683" s="647" t="s">
        <v>614</v>
      </c>
      <c r="M683" s="703"/>
      <c r="N683" s="576">
        <f t="shared" si="209"/>
        <v>0</v>
      </c>
      <c r="O683" s="577">
        <f t="shared" si="196"/>
        <v>0</v>
      </c>
      <c r="P683" s="578">
        <f t="shared" si="197"/>
        <v>0</v>
      </c>
      <c r="Q683" s="765"/>
      <c r="R683" s="703"/>
      <c r="S683" s="670"/>
      <c r="T683" s="577">
        <f t="shared" si="194"/>
        <v>0</v>
      </c>
      <c r="U683" s="578">
        <f t="shared" si="195"/>
        <v>0</v>
      </c>
      <c r="V683" s="579"/>
      <c r="W683" s="637" t="str">
        <f>IF(U680&gt;0,"xx",IF(P680&gt;0,"xy",""))</f>
        <v/>
      </c>
      <c r="X683" s="586" t="str">
        <f>IF(W683="X","x",IF(W683="xx","x",IF(W683="xy","x",IF(W683="y","x",IF(OR(P683&gt;0,U683&gt;0),"x","")))))</f>
        <v/>
      </c>
      <c r="Y683" s="586" t="str">
        <f>IF(W683="X","x",IF(W683="y","x",IF(W683="xx","x",IF(U683&gt;0,"x",""))))</f>
        <v/>
      </c>
      <c r="Z683" s="586" t="str">
        <f>IF(W683="X","x",IF(U683&gt;0,"x",""))</f>
        <v/>
      </c>
    </row>
    <row r="684" spans="1:26" hidden="1" x14ac:dyDescent="0.2">
      <c r="A684" s="567" t="s">
        <v>168</v>
      </c>
      <c r="B684" s="644" t="s">
        <v>168</v>
      </c>
      <c r="C684" s="645"/>
      <c r="D684" s="451" t="s">
        <v>263</v>
      </c>
      <c r="E684" s="423"/>
      <c r="F684" s="424">
        <v>20</v>
      </c>
      <c r="G684" s="425">
        <f>SUM(G680:G683)</f>
        <v>2.2999999999999998</v>
      </c>
      <c r="H684" s="651">
        <f t="shared" si="213"/>
        <v>55.384</v>
      </c>
      <c r="I684" s="420">
        <v>0</v>
      </c>
      <c r="J684" s="420"/>
      <c r="K684" s="421">
        <f t="shared" si="205"/>
        <v>0</v>
      </c>
      <c r="L684" s="647" t="s">
        <v>614</v>
      </c>
      <c r="M684" s="703"/>
      <c r="N684" s="576">
        <f t="shared" si="209"/>
        <v>0</v>
      </c>
      <c r="O684" s="577">
        <f t="shared" si="196"/>
        <v>0</v>
      </c>
      <c r="P684" s="578">
        <f t="shared" si="197"/>
        <v>0</v>
      </c>
      <c r="Q684" s="765"/>
      <c r="R684" s="703"/>
      <c r="S684" s="670"/>
      <c r="T684" s="577">
        <f t="shared" si="194"/>
        <v>0</v>
      </c>
      <c r="U684" s="578">
        <f t="shared" si="195"/>
        <v>0</v>
      </c>
      <c r="V684" s="579"/>
      <c r="W684" s="637" t="str">
        <f>IF(U680&gt;0,"xx",IF(P680&gt;0,"xy",""))</f>
        <v/>
      </c>
      <c r="X684" s="586" t="str">
        <f t="shared" si="191"/>
        <v/>
      </c>
      <c r="Y684" s="586" t="str">
        <f t="shared" si="189"/>
        <v/>
      </c>
      <c r="Z684" s="586" t="str">
        <f t="shared" si="208"/>
        <v/>
      </c>
    </row>
    <row r="685" spans="1:26" ht="12" hidden="1" thickBot="1" x14ac:dyDescent="0.25">
      <c r="A685" s="567">
        <v>589320</v>
      </c>
      <c r="B685" s="704" t="s">
        <v>1847</v>
      </c>
      <c r="C685" s="689" t="s">
        <v>1746</v>
      </c>
      <c r="D685" s="477" t="s">
        <v>813</v>
      </c>
      <c r="E685" s="470"/>
      <c r="F685" s="478">
        <v>500</v>
      </c>
      <c r="G685" s="479">
        <v>1</v>
      </c>
      <c r="H685" s="663">
        <f>(0.84*F685+41.45)*G685</f>
        <v>461.45</v>
      </c>
      <c r="I685" s="472">
        <v>4680</v>
      </c>
      <c r="J685" s="472">
        <f>IF(ISBLANK(I685),"",I685*(1+$F$9)/(1+$F$10))+H685</f>
        <v>5002.4010983923918</v>
      </c>
      <c r="K685" s="690">
        <f t="shared" si="205"/>
        <v>5943.35</v>
      </c>
      <c r="L685" s="691" t="s">
        <v>20</v>
      </c>
      <c r="M685" s="692">
        <f>ROUND(M680*G680,2)</f>
        <v>0</v>
      </c>
      <c r="N685" s="588">
        <f t="shared" si="209"/>
        <v>0</v>
      </c>
      <c r="O685" s="693">
        <f t="shared" si="196"/>
        <v>0</v>
      </c>
      <c r="P685" s="694">
        <f t="shared" si="197"/>
        <v>0</v>
      </c>
      <c r="Q685" s="765"/>
      <c r="R685" s="719">
        <f>ROUND(R680*G680,2)</f>
        <v>0</v>
      </c>
      <c r="S685" s="720">
        <f>N685</f>
        <v>0</v>
      </c>
      <c r="T685" s="693">
        <f t="shared" si="194"/>
        <v>0</v>
      </c>
      <c r="U685" s="694">
        <f t="shared" si="195"/>
        <v>0</v>
      </c>
      <c r="V685" s="579"/>
      <c r="W685" s="637" t="str">
        <f>IF(U680&gt;0,"xx",IF(P680&gt;0,"xy",""))</f>
        <v/>
      </c>
      <c r="X685" s="586" t="str">
        <f t="shared" si="191"/>
        <v/>
      </c>
      <c r="Y685" s="586" t="str">
        <f t="shared" si="189"/>
        <v/>
      </c>
      <c r="Z685" s="586" t="str">
        <f t="shared" si="208"/>
        <v/>
      </c>
    </row>
    <row r="686" spans="1:26" hidden="1" x14ac:dyDescent="0.2">
      <c r="A686" s="671">
        <v>534300</v>
      </c>
      <c r="B686" s="701" t="s">
        <v>1848</v>
      </c>
      <c r="C686" s="702" t="s">
        <v>206</v>
      </c>
      <c r="D686" s="463" t="s">
        <v>1915</v>
      </c>
      <c r="E686" s="464"/>
      <c r="F686" s="465" t="s">
        <v>663</v>
      </c>
      <c r="G686" s="466">
        <v>0.18240000000000001</v>
      </c>
      <c r="H686" s="681">
        <f>SUM(H687:H690)</f>
        <v>207.67925819999999</v>
      </c>
      <c r="I686" s="467">
        <v>136.76</v>
      </c>
      <c r="J686" s="467">
        <f>IF(ISBLANK(I686),"",SUM(H686:I686))</f>
        <v>344.43925819999998</v>
      </c>
      <c r="K686" s="682">
        <f t="shared" si="205"/>
        <v>409.23</v>
      </c>
      <c r="L686" s="683" t="s">
        <v>16</v>
      </c>
      <c r="M686" s="685"/>
      <c r="N686" s="686">
        <f t="shared" si="209"/>
        <v>0</v>
      </c>
      <c r="O686" s="687">
        <f t="shared" si="196"/>
        <v>0</v>
      </c>
      <c r="P686" s="688">
        <f t="shared" si="197"/>
        <v>0</v>
      </c>
      <c r="Q686" s="765"/>
      <c r="R686" s="685">
        <f>M686</f>
        <v>0</v>
      </c>
      <c r="S686" s="686">
        <f>N686</f>
        <v>0</v>
      </c>
      <c r="T686" s="687">
        <f t="shared" si="194"/>
        <v>0</v>
      </c>
      <c r="U686" s="688">
        <f t="shared" si="195"/>
        <v>0</v>
      </c>
      <c r="V686" s="579"/>
      <c r="W686" s="566"/>
      <c r="X686" s="586" t="str">
        <f t="shared" si="191"/>
        <v/>
      </c>
      <c r="Y686" s="586" t="str">
        <f t="shared" si="189"/>
        <v/>
      </c>
      <c r="Z686" s="586" t="str">
        <f t="shared" si="208"/>
        <v/>
      </c>
    </row>
    <row r="687" spans="1:26" hidden="1" x14ac:dyDescent="0.2">
      <c r="A687" s="671" t="s">
        <v>168</v>
      </c>
      <c r="B687" s="644" t="s">
        <v>168</v>
      </c>
      <c r="C687" s="645"/>
      <c r="D687" s="451" t="s">
        <v>248</v>
      </c>
      <c r="E687" s="423"/>
      <c r="F687" s="424">
        <v>180</v>
      </c>
      <c r="G687" s="425">
        <v>0.56969999999999998</v>
      </c>
      <c r="H687" s="651">
        <f t="shared" ref="H687:H690" si="214">IF(F687&lt;=30,(1.07*F687+2.68)*G687,((1.07*30+2.68)+1.07*(F687-30))*G687)</f>
        <v>111.25101599999999</v>
      </c>
      <c r="I687" s="420">
        <v>0</v>
      </c>
      <c r="J687" s="420"/>
      <c r="K687" s="421">
        <f t="shared" si="205"/>
        <v>0</v>
      </c>
      <c r="L687" s="647" t="s">
        <v>614</v>
      </c>
      <c r="M687" s="703"/>
      <c r="N687" s="576">
        <f t="shared" si="209"/>
        <v>0</v>
      </c>
      <c r="O687" s="577">
        <f t="shared" si="196"/>
        <v>0</v>
      </c>
      <c r="P687" s="578">
        <f t="shared" si="197"/>
        <v>0</v>
      </c>
      <c r="Q687" s="765"/>
      <c r="R687" s="703"/>
      <c r="S687" s="670"/>
      <c r="T687" s="577">
        <f t="shared" si="194"/>
        <v>0</v>
      </c>
      <c r="U687" s="578">
        <f t="shared" si="195"/>
        <v>0</v>
      </c>
      <c r="V687" s="579"/>
      <c r="W687" s="637" t="str">
        <f>IF(U686&gt;0,"xx",IF(P686&gt;0,"xy",""))</f>
        <v/>
      </c>
      <c r="X687" s="586" t="str">
        <f t="shared" si="191"/>
        <v/>
      </c>
      <c r="Y687" s="586" t="str">
        <f t="shared" si="189"/>
        <v/>
      </c>
      <c r="Z687" s="586" t="str">
        <f t="shared" si="208"/>
        <v/>
      </c>
    </row>
    <row r="688" spans="1:26" hidden="1" x14ac:dyDescent="0.2">
      <c r="A688" s="671" t="s">
        <v>168</v>
      </c>
      <c r="B688" s="644" t="s">
        <v>168</v>
      </c>
      <c r="C688" s="645"/>
      <c r="D688" s="451" t="s">
        <v>249</v>
      </c>
      <c r="E688" s="423"/>
      <c r="F688" s="424">
        <v>500</v>
      </c>
      <c r="G688" s="425">
        <v>8.7599999999999997E-2</v>
      </c>
      <c r="H688" s="649">
        <f>IF(F688&lt;=30,(0.78*F688+7.82)*G688,((0.78*30+7.82)+0.78*(F688-30))*G688)</f>
        <v>34.849032000000001</v>
      </c>
      <c r="I688" s="420">
        <v>0</v>
      </c>
      <c r="J688" s="420"/>
      <c r="K688" s="421">
        <f t="shared" si="205"/>
        <v>0</v>
      </c>
      <c r="L688" s="647" t="s">
        <v>614</v>
      </c>
      <c r="M688" s="703"/>
      <c r="N688" s="576">
        <f t="shared" si="209"/>
        <v>0</v>
      </c>
      <c r="O688" s="577">
        <f t="shared" si="196"/>
        <v>0</v>
      </c>
      <c r="P688" s="578">
        <f t="shared" si="197"/>
        <v>0</v>
      </c>
      <c r="Q688" s="765"/>
      <c r="R688" s="703"/>
      <c r="S688" s="670"/>
      <c r="T688" s="577">
        <f t="shared" si="194"/>
        <v>0</v>
      </c>
      <c r="U688" s="578">
        <f t="shared" si="195"/>
        <v>0</v>
      </c>
      <c r="V688" s="579"/>
      <c r="W688" s="637" t="str">
        <f>IF(U686&gt;0,"xx",IF(P686&gt;0,"xy",""))</f>
        <v/>
      </c>
      <c r="X688" s="586" t="str">
        <f t="shared" si="191"/>
        <v/>
      </c>
      <c r="Y688" s="586" t="str">
        <f t="shared" si="189"/>
        <v/>
      </c>
      <c r="Z688" s="586" t="str">
        <f t="shared" si="208"/>
        <v/>
      </c>
    </row>
    <row r="689" spans="1:26" hidden="1" x14ac:dyDescent="0.2">
      <c r="A689" s="671" t="s">
        <v>168</v>
      </c>
      <c r="B689" s="644" t="s">
        <v>168</v>
      </c>
      <c r="C689" s="645"/>
      <c r="D689" s="451" t="s">
        <v>262</v>
      </c>
      <c r="E689" s="423"/>
      <c r="F689" s="424">
        <v>0.2</v>
      </c>
      <c r="G689" s="425">
        <v>1.5333000000000001</v>
      </c>
      <c r="H689" s="651">
        <f t="shared" si="214"/>
        <v>4.4373702000000002</v>
      </c>
      <c r="I689" s="420">
        <v>0</v>
      </c>
      <c r="J689" s="420"/>
      <c r="K689" s="421">
        <f t="shared" si="205"/>
        <v>0</v>
      </c>
      <c r="L689" s="647" t="s">
        <v>614</v>
      </c>
      <c r="M689" s="703"/>
      <c r="N689" s="576">
        <f t="shared" si="209"/>
        <v>0</v>
      </c>
      <c r="O689" s="577">
        <f t="shared" si="196"/>
        <v>0</v>
      </c>
      <c r="P689" s="578">
        <f t="shared" si="197"/>
        <v>0</v>
      </c>
      <c r="Q689" s="765"/>
      <c r="R689" s="703"/>
      <c r="S689" s="670"/>
      <c r="T689" s="577">
        <f t="shared" si="194"/>
        <v>0</v>
      </c>
      <c r="U689" s="578">
        <f t="shared" si="195"/>
        <v>0</v>
      </c>
      <c r="V689" s="579"/>
      <c r="W689" s="637" t="str">
        <f>IF(U686&gt;0,"xx",IF(P686&gt;0,"xy",""))</f>
        <v/>
      </c>
      <c r="X689" s="586" t="str">
        <f t="shared" si="191"/>
        <v/>
      </c>
      <c r="Y689" s="586" t="str">
        <f t="shared" si="189"/>
        <v/>
      </c>
      <c r="Z689" s="586" t="str">
        <f t="shared" si="208"/>
        <v/>
      </c>
    </row>
    <row r="690" spans="1:26" hidden="1" x14ac:dyDescent="0.2">
      <c r="A690" s="671" t="s">
        <v>168</v>
      </c>
      <c r="B690" s="644" t="s">
        <v>168</v>
      </c>
      <c r="C690" s="645"/>
      <c r="D690" s="451" t="s">
        <v>263</v>
      </c>
      <c r="E690" s="423"/>
      <c r="F690" s="424">
        <v>20</v>
      </c>
      <c r="G690" s="425">
        <f>SUM(G686:G689)</f>
        <v>2.3730000000000002</v>
      </c>
      <c r="H690" s="651">
        <f t="shared" si="214"/>
        <v>57.141840000000009</v>
      </c>
      <c r="I690" s="420">
        <v>0</v>
      </c>
      <c r="J690" s="420"/>
      <c r="K690" s="421">
        <f t="shared" si="205"/>
        <v>0</v>
      </c>
      <c r="L690" s="647" t="s">
        <v>614</v>
      </c>
      <c r="M690" s="703"/>
      <c r="N690" s="576">
        <f t="shared" si="209"/>
        <v>0</v>
      </c>
      <c r="O690" s="577">
        <f t="shared" si="196"/>
        <v>0</v>
      </c>
      <c r="P690" s="578">
        <f t="shared" si="197"/>
        <v>0</v>
      </c>
      <c r="Q690" s="765"/>
      <c r="R690" s="703"/>
      <c r="S690" s="670"/>
      <c r="T690" s="577">
        <f t="shared" si="194"/>
        <v>0</v>
      </c>
      <c r="U690" s="578">
        <f t="shared" si="195"/>
        <v>0</v>
      </c>
      <c r="V690" s="579"/>
      <c r="W690" s="637" t="str">
        <f>IF(U686&gt;0,"xx",IF(P686&gt;0,"xy",""))</f>
        <v/>
      </c>
      <c r="X690" s="586" t="str">
        <f t="shared" si="191"/>
        <v/>
      </c>
      <c r="Y690" s="586" t="str">
        <f t="shared" si="189"/>
        <v/>
      </c>
      <c r="Z690" s="586" t="str">
        <f t="shared" si="208"/>
        <v/>
      </c>
    </row>
    <row r="691" spans="1:26" ht="12" hidden="1" thickBot="1" x14ac:dyDescent="0.25">
      <c r="A691" s="671">
        <v>589320</v>
      </c>
      <c r="B691" s="704" t="s">
        <v>1849</v>
      </c>
      <c r="C691" s="689" t="s">
        <v>1746</v>
      </c>
      <c r="D691" s="477" t="s">
        <v>1575</v>
      </c>
      <c r="E691" s="470"/>
      <c r="F691" s="478">
        <v>500</v>
      </c>
      <c r="G691" s="479">
        <v>1</v>
      </c>
      <c r="H691" s="663">
        <f>(0.84*F691+41.45)*G691</f>
        <v>461.45</v>
      </c>
      <c r="I691" s="472">
        <v>4680</v>
      </c>
      <c r="J691" s="472">
        <f>IF(ISBLANK(I691),"",I691*(1+$F$9)/(1+$F$10))+H691</f>
        <v>5002.4010983923918</v>
      </c>
      <c r="K691" s="690">
        <f t="shared" si="205"/>
        <v>5943.35</v>
      </c>
      <c r="L691" s="691" t="s">
        <v>20</v>
      </c>
      <c r="M691" s="692">
        <f>ROUND(M686*G686,2)</f>
        <v>0</v>
      </c>
      <c r="N691" s="696">
        <f t="shared" si="209"/>
        <v>0</v>
      </c>
      <c r="O691" s="693">
        <f t="shared" si="196"/>
        <v>0</v>
      </c>
      <c r="P691" s="694">
        <f t="shared" si="197"/>
        <v>0</v>
      </c>
      <c r="Q691" s="765"/>
      <c r="R691" s="719">
        <f>ROUND(R686*G686,2)</f>
        <v>0</v>
      </c>
      <c r="S691" s="720">
        <f>N691</f>
        <v>0</v>
      </c>
      <c r="T691" s="693">
        <f t="shared" si="194"/>
        <v>0</v>
      </c>
      <c r="U691" s="694">
        <f t="shared" si="195"/>
        <v>0</v>
      </c>
      <c r="V691" s="579"/>
      <c r="W691" s="637" t="str">
        <f>IF(U686&gt;0,"xx",IF(P686&gt;0,"xy",""))</f>
        <v/>
      </c>
      <c r="X691" s="586" t="str">
        <f t="shared" si="191"/>
        <v/>
      </c>
      <c r="Y691" s="586" t="str">
        <f t="shared" si="189"/>
        <v/>
      </c>
      <c r="Z691" s="586" t="str">
        <f t="shared" si="208"/>
        <v/>
      </c>
    </row>
    <row r="692" spans="1:26" hidden="1" x14ac:dyDescent="0.2">
      <c r="A692" s="671">
        <v>570300</v>
      </c>
      <c r="B692" s="701" t="s">
        <v>1850</v>
      </c>
      <c r="C692" s="702" t="s">
        <v>206</v>
      </c>
      <c r="D692" s="485" t="s">
        <v>814</v>
      </c>
      <c r="E692" s="464"/>
      <c r="F692" s="465" t="s">
        <v>662</v>
      </c>
      <c r="G692" s="466">
        <v>0.04</v>
      </c>
      <c r="H692" s="681">
        <f>SUM(H693:H696)</f>
        <v>36.552130000000005</v>
      </c>
      <c r="I692" s="467">
        <v>190.4</v>
      </c>
      <c r="J692" s="467">
        <f>IF(ISBLANK(I692),"",SUM(H692:I692))</f>
        <v>226.95213000000001</v>
      </c>
      <c r="K692" s="682">
        <f t="shared" si="205"/>
        <v>269.64</v>
      </c>
      <c r="L692" s="683" t="s">
        <v>20</v>
      </c>
      <c r="M692" s="685"/>
      <c r="N692" s="576">
        <f t="shared" si="209"/>
        <v>0</v>
      </c>
      <c r="O692" s="687">
        <f t="shared" si="196"/>
        <v>0</v>
      </c>
      <c r="P692" s="688">
        <f t="shared" si="197"/>
        <v>0</v>
      </c>
      <c r="Q692" s="765"/>
      <c r="R692" s="685">
        <f t="shared" ref="R692:R755" si="215">M692</f>
        <v>0</v>
      </c>
      <c r="S692" s="686">
        <f>N692</f>
        <v>0</v>
      </c>
      <c r="T692" s="687">
        <f t="shared" ref="T692:T755" si="216">IF(ISBLANK(R692),0,ROUND(K692*R692,2))</f>
        <v>0</v>
      </c>
      <c r="U692" s="688">
        <f t="shared" ref="U692:U755" si="217">IF(ISBLANK(R692),0,ROUND(R692*S692,2))</f>
        <v>0</v>
      </c>
      <c r="V692" s="579"/>
      <c r="W692" s="566"/>
      <c r="X692" s="586" t="str">
        <f t="shared" si="191"/>
        <v/>
      </c>
      <c r="Y692" s="586" t="str">
        <f t="shared" si="189"/>
        <v/>
      </c>
      <c r="Z692" s="586" t="str">
        <f t="shared" si="208"/>
        <v/>
      </c>
    </row>
    <row r="693" spans="1:26" hidden="1" x14ac:dyDescent="0.2">
      <c r="A693" s="671" t="s">
        <v>168</v>
      </c>
      <c r="B693" s="644" t="s">
        <v>168</v>
      </c>
      <c r="C693" s="645"/>
      <c r="D693" s="451" t="s">
        <v>248</v>
      </c>
      <c r="E693" s="423"/>
      <c r="F693" s="424">
        <v>180</v>
      </c>
      <c r="G693" s="425">
        <v>0</v>
      </c>
      <c r="H693" s="663">
        <f t="shared" ref="H693:H695" si="218">IF(F693&lt;=30,(1.07*F693+2.68)*G693,((1.07*30+2.68)+1.07*(F693-30))*G693)</f>
        <v>0</v>
      </c>
      <c r="I693" s="420">
        <v>0</v>
      </c>
      <c r="J693" s="420">
        <f>IF(ISBLANK(I693),"",SUM(H693:I693))</f>
        <v>0</v>
      </c>
      <c r="K693" s="421">
        <f t="shared" si="205"/>
        <v>0</v>
      </c>
      <c r="L693" s="647" t="s">
        <v>614</v>
      </c>
      <c r="M693" s="703"/>
      <c r="N693" s="576">
        <f t="shared" si="209"/>
        <v>0</v>
      </c>
      <c r="O693" s="577">
        <f t="shared" ref="O693:O756" si="219">IF(ISBLANK(M693),0,ROUND(K693*M693,2))</f>
        <v>0</v>
      </c>
      <c r="P693" s="578">
        <f t="shared" ref="P693:P756" si="220">IF(ISBLANK(N693),0,ROUND(M693*N693,2))</f>
        <v>0</v>
      </c>
      <c r="Q693" s="765"/>
      <c r="R693" s="703"/>
      <c r="S693" s="670"/>
      <c r="T693" s="577">
        <f t="shared" si="216"/>
        <v>0</v>
      </c>
      <c r="U693" s="578">
        <f t="shared" si="217"/>
        <v>0</v>
      </c>
      <c r="V693" s="579"/>
      <c r="W693" s="637" t="str">
        <f>IF(U692&gt;0,"xx",IF(P692&gt;0,"xy",""))</f>
        <v/>
      </c>
      <c r="X693" s="586" t="str">
        <f t="shared" si="191"/>
        <v/>
      </c>
      <c r="Y693" s="586" t="str">
        <f t="shared" si="189"/>
        <v/>
      </c>
      <c r="Z693" s="586" t="str">
        <f t="shared" si="208"/>
        <v/>
      </c>
    </row>
    <row r="694" spans="1:26" hidden="1" x14ac:dyDescent="0.2">
      <c r="A694" s="671" t="s">
        <v>168</v>
      </c>
      <c r="B694" s="644" t="s">
        <v>168</v>
      </c>
      <c r="C694" s="645"/>
      <c r="D694" s="451" t="s">
        <v>249</v>
      </c>
      <c r="E694" s="423"/>
      <c r="F694" s="424">
        <v>500</v>
      </c>
      <c r="G694" s="425">
        <v>1.4999999999999999E-2</v>
      </c>
      <c r="H694" s="649">
        <f>IF(F694&lt;=30,(0.78*F694+7.82)*G694,((0.78*30+7.82)+0.78*(F694-30))*G694)</f>
        <v>5.9673000000000007</v>
      </c>
      <c r="I694" s="420">
        <v>0</v>
      </c>
      <c r="J694" s="420"/>
      <c r="K694" s="421">
        <f t="shared" si="205"/>
        <v>0</v>
      </c>
      <c r="L694" s="647" t="s">
        <v>614</v>
      </c>
      <c r="M694" s="703"/>
      <c r="N694" s="576">
        <f t="shared" si="209"/>
        <v>0</v>
      </c>
      <c r="O694" s="577">
        <f t="shared" si="219"/>
        <v>0</v>
      </c>
      <c r="P694" s="578">
        <f t="shared" si="220"/>
        <v>0</v>
      </c>
      <c r="Q694" s="765"/>
      <c r="R694" s="703"/>
      <c r="S694" s="670"/>
      <c r="T694" s="577">
        <f t="shared" si="216"/>
        <v>0</v>
      </c>
      <c r="U694" s="578">
        <f t="shared" si="217"/>
        <v>0</v>
      </c>
      <c r="V694" s="579"/>
      <c r="W694" s="637" t="str">
        <f>IF(U692&gt;0,"xx",IF(P692&gt;0,"xy",""))</f>
        <v/>
      </c>
      <c r="X694" s="586" t="str">
        <f t="shared" si="191"/>
        <v/>
      </c>
      <c r="Y694" s="586" t="str">
        <f t="shared" si="189"/>
        <v/>
      </c>
      <c r="Z694" s="586" t="str">
        <f t="shared" si="208"/>
        <v/>
      </c>
    </row>
    <row r="695" spans="1:26" hidden="1" x14ac:dyDescent="0.2">
      <c r="A695" s="671" t="s">
        <v>168</v>
      </c>
      <c r="B695" s="644" t="s">
        <v>168</v>
      </c>
      <c r="C695" s="645"/>
      <c r="D695" s="451" t="s">
        <v>262</v>
      </c>
      <c r="E695" s="423"/>
      <c r="F695" s="424">
        <v>0.2</v>
      </c>
      <c r="G695" s="425">
        <v>0.94499999999999995</v>
      </c>
      <c r="H695" s="663">
        <f t="shared" si="218"/>
        <v>2.7348300000000001</v>
      </c>
      <c r="I695" s="420">
        <v>0</v>
      </c>
      <c r="J695" s="420"/>
      <c r="K695" s="421">
        <f t="shared" si="205"/>
        <v>0</v>
      </c>
      <c r="L695" s="647" t="s">
        <v>614</v>
      </c>
      <c r="M695" s="703"/>
      <c r="N695" s="576">
        <f t="shared" si="209"/>
        <v>0</v>
      </c>
      <c r="O695" s="577">
        <f t="shared" si="219"/>
        <v>0</v>
      </c>
      <c r="P695" s="578">
        <f t="shared" si="220"/>
        <v>0</v>
      </c>
      <c r="Q695" s="765"/>
      <c r="R695" s="703"/>
      <c r="S695" s="670"/>
      <c r="T695" s="577">
        <f t="shared" si="216"/>
        <v>0</v>
      </c>
      <c r="U695" s="578">
        <f t="shared" si="217"/>
        <v>0</v>
      </c>
      <c r="V695" s="579"/>
      <c r="W695" s="637" t="str">
        <f>IF(U692&gt;0,"xx",IF(P692&gt;0,"xy",""))</f>
        <v/>
      </c>
      <c r="X695" s="586" t="str">
        <f t="shared" si="191"/>
        <v/>
      </c>
      <c r="Y695" s="586" t="str">
        <f t="shared" si="189"/>
        <v/>
      </c>
      <c r="Z695" s="586" t="str">
        <f t="shared" si="208"/>
        <v/>
      </c>
    </row>
    <row r="696" spans="1:26" hidden="1" x14ac:dyDescent="0.2">
      <c r="A696" s="671" t="s">
        <v>168</v>
      </c>
      <c r="B696" s="644" t="s">
        <v>168</v>
      </c>
      <c r="C696" s="645"/>
      <c r="D696" s="451" t="s">
        <v>263</v>
      </c>
      <c r="E696" s="423"/>
      <c r="F696" s="424">
        <v>20</v>
      </c>
      <c r="G696" s="425">
        <v>1</v>
      </c>
      <c r="H696" s="651">
        <f>IF(F696&lt;=30,(1.07*F696+6.45)*G696,((1.07*30+6.45)+1.07*(F696-30))*G696)</f>
        <v>27.85</v>
      </c>
      <c r="I696" s="420">
        <v>0</v>
      </c>
      <c r="J696" s="420"/>
      <c r="K696" s="421">
        <f t="shared" si="205"/>
        <v>0</v>
      </c>
      <c r="L696" s="647" t="s">
        <v>614</v>
      </c>
      <c r="M696" s="703"/>
      <c r="N696" s="576">
        <f t="shared" si="209"/>
        <v>0</v>
      </c>
      <c r="O696" s="577">
        <f t="shared" si="219"/>
        <v>0</v>
      </c>
      <c r="P696" s="578">
        <f t="shared" si="220"/>
        <v>0</v>
      </c>
      <c r="Q696" s="765"/>
      <c r="R696" s="703"/>
      <c r="S696" s="670"/>
      <c r="T696" s="577">
        <f t="shared" si="216"/>
        <v>0</v>
      </c>
      <c r="U696" s="578">
        <f t="shared" si="217"/>
        <v>0</v>
      </c>
      <c r="V696" s="579"/>
      <c r="W696" s="637" t="str">
        <f>IF(U692&gt;0,"xx",IF(P692&gt;0,"xy",""))</f>
        <v/>
      </c>
      <c r="X696" s="586" t="str">
        <f t="shared" si="191"/>
        <v/>
      </c>
      <c r="Y696" s="586" t="str">
        <f t="shared" si="189"/>
        <v/>
      </c>
      <c r="Z696" s="586" t="str">
        <f t="shared" si="208"/>
        <v/>
      </c>
    </row>
    <row r="697" spans="1:26" ht="12" hidden="1" thickBot="1" x14ac:dyDescent="0.25">
      <c r="A697" s="671">
        <v>589000</v>
      </c>
      <c r="B697" s="707" t="s">
        <v>1851</v>
      </c>
      <c r="C697" s="554" t="s">
        <v>1746</v>
      </c>
      <c r="D697" s="477" t="s">
        <v>657</v>
      </c>
      <c r="E697" s="481"/>
      <c r="F697" s="486">
        <v>500</v>
      </c>
      <c r="G697" s="479">
        <v>1</v>
      </c>
      <c r="H697" s="663">
        <f>(0.94*F697+46.06)*G697</f>
        <v>516.05999999999995</v>
      </c>
      <c r="I697" s="472">
        <v>5725</v>
      </c>
      <c r="J697" s="472">
        <f>IF(ISBLANK(I697),"",I697*(1+$F$9)/(1+$F$10))+H697</f>
        <v>6070.962785960779</v>
      </c>
      <c r="K697" s="709">
        <f t="shared" si="205"/>
        <v>7212.91</v>
      </c>
      <c r="L697" s="561" t="s">
        <v>20</v>
      </c>
      <c r="M697" s="692">
        <f>ROUND(M692*G692,2)</f>
        <v>0</v>
      </c>
      <c r="N697" s="588">
        <f t="shared" si="209"/>
        <v>0</v>
      </c>
      <c r="O697" s="693">
        <f>IF(ISBLANK(M697),0,ROUND(K697*M697,2))</f>
        <v>0</v>
      </c>
      <c r="P697" s="694">
        <f>IF(ISBLANK(N697),0,ROUND(M697*N697,2))</f>
        <v>0</v>
      </c>
      <c r="Q697" s="765"/>
      <c r="R697" s="719">
        <f>ROUND(R692*G692,2)</f>
        <v>0</v>
      </c>
      <c r="S697" s="720">
        <f>N697</f>
        <v>0</v>
      </c>
      <c r="T697" s="693">
        <f t="shared" si="216"/>
        <v>0</v>
      </c>
      <c r="U697" s="694">
        <f t="shared" si="217"/>
        <v>0</v>
      </c>
      <c r="V697" s="579"/>
      <c r="W697" s="637" t="str">
        <f>IF(U692&gt;0,"xx",IF(P692&gt;0,"xy",""))</f>
        <v/>
      </c>
      <c r="X697" s="586" t="str">
        <f t="shared" si="191"/>
        <v/>
      </c>
      <c r="Y697" s="586" t="str">
        <f t="shared" si="189"/>
        <v/>
      </c>
      <c r="Z697" s="586" t="str">
        <f t="shared" si="208"/>
        <v/>
      </c>
    </row>
    <row r="698" spans="1:26" hidden="1" x14ac:dyDescent="0.2">
      <c r="A698" s="671">
        <v>570310</v>
      </c>
      <c r="B698" s="701" t="s">
        <v>1852</v>
      </c>
      <c r="C698" s="702" t="s">
        <v>206</v>
      </c>
      <c r="D698" s="485" t="s">
        <v>815</v>
      </c>
      <c r="E698" s="464"/>
      <c r="F698" s="465" t="s">
        <v>662</v>
      </c>
      <c r="G698" s="466">
        <v>0.04</v>
      </c>
      <c r="H698" s="681">
        <f>SUM(H699:H702)</f>
        <v>36.552130000000005</v>
      </c>
      <c r="I698" s="467">
        <v>168.63</v>
      </c>
      <c r="J698" s="467">
        <f>IF(ISBLANK(I698),"",SUM(H698:I698))</f>
        <v>205.18213</v>
      </c>
      <c r="K698" s="682">
        <f t="shared" si="205"/>
        <v>243.78</v>
      </c>
      <c r="L698" s="683" t="s">
        <v>20</v>
      </c>
      <c r="M698" s="685"/>
      <c r="N698" s="686">
        <f t="shared" si="209"/>
        <v>0</v>
      </c>
      <c r="O698" s="687">
        <f t="shared" si="219"/>
        <v>0</v>
      </c>
      <c r="P698" s="688">
        <f t="shared" si="220"/>
        <v>0</v>
      </c>
      <c r="Q698" s="765"/>
      <c r="R698" s="685">
        <f t="shared" si="215"/>
        <v>0</v>
      </c>
      <c r="S698" s="686">
        <f>N698</f>
        <v>0</v>
      </c>
      <c r="T698" s="687">
        <f t="shared" si="216"/>
        <v>0</v>
      </c>
      <c r="U698" s="688">
        <f t="shared" si="217"/>
        <v>0</v>
      </c>
      <c r="V698" s="579"/>
      <c r="W698" s="566"/>
      <c r="X698" s="586" t="str">
        <f t="shared" si="191"/>
        <v/>
      </c>
      <c r="Y698" s="586" t="str">
        <f t="shared" si="189"/>
        <v/>
      </c>
      <c r="Z698" s="586" t="str">
        <f t="shared" si="208"/>
        <v/>
      </c>
    </row>
    <row r="699" spans="1:26" hidden="1" x14ac:dyDescent="0.2">
      <c r="A699" s="671" t="s">
        <v>168</v>
      </c>
      <c r="B699" s="644" t="s">
        <v>168</v>
      </c>
      <c r="C699" s="645"/>
      <c r="D699" s="451" t="s">
        <v>248</v>
      </c>
      <c r="E699" s="423"/>
      <c r="F699" s="424">
        <v>180</v>
      </c>
      <c r="G699" s="425">
        <v>0</v>
      </c>
      <c r="H699" s="663">
        <f t="shared" ref="H699:H701" si="221">IF(F699&lt;=30,(1.07*F699+2.68)*G699,((1.07*30+2.68)+1.07*(F699-30))*G699)</f>
        <v>0</v>
      </c>
      <c r="I699" s="420">
        <v>0</v>
      </c>
      <c r="J699" s="420">
        <f>IF(ISBLANK(I699),"",SUM(H699:I699))</f>
        <v>0</v>
      </c>
      <c r="K699" s="421">
        <f t="shared" si="205"/>
        <v>0</v>
      </c>
      <c r="L699" s="647" t="s">
        <v>614</v>
      </c>
      <c r="M699" s="703"/>
      <c r="N699" s="576">
        <f t="shared" si="209"/>
        <v>0</v>
      </c>
      <c r="O699" s="577">
        <f t="shared" si="219"/>
        <v>0</v>
      </c>
      <c r="P699" s="578">
        <f t="shared" si="220"/>
        <v>0</v>
      </c>
      <c r="Q699" s="765"/>
      <c r="R699" s="703"/>
      <c r="S699" s="670"/>
      <c r="T699" s="577">
        <f t="shared" si="216"/>
        <v>0</v>
      </c>
      <c r="U699" s="578">
        <f t="shared" si="217"/>
        <v>0</v>
      </c>
      <c r="V699" s="579"/>
      <c r="W699" s="637" t="str">
        <f>IF(U698&gt;0,"xx",IF(P698&gt;0,"xy",""))</f>
        <v/>
      </c>
      <c r="X699" s="586" t="str">
        <f t="shared" si="191"/>
        <v/>
      </c>
      <c r="Y699" s="586" t="str">
        <f t="shared" si="189"/>
        <v/>
      </c>
      <c r="Z699" s="586" t="str">
        <f t="shared" si="208"/>
        <v/>
      </c>
    </row>
    <row r="700" spans="1:26" hidden="1" x14ac:dyDescent="0.2">
      <c r="A700" s="671" t="s">
        <v>168</v>
      </c>
      <c r="B700" s="644" t="s">
        <v>168</v>
      </c>
      <c r="C700" s="645"/>
      <c r="D700" s="451" t="s">
        <v>249</v>
      </c>
      <c r="E700" s="423"/>
      <c r="F700" s="424">
        <v>500</v>
      </c>
      <c r="G700" s="425">
        <v>1.4999999999999999E-2</v>
      </c>
      <c r="H700" s="649">
        <f>IF(F700&lt;=30,(0.78*F700+7.82)*G700,((0.78*30+7.82)+0.78*(F700-30))*G700)</f>
        <v>5.9673000000000007</v>
      </c>
      <c r="I700" s="420">
        <v>0</v>
      </c>
      <c r="J700" s="420"/>
      <c r="K700" s="421">
        <f t="shared" si="205"/>
        <v>0</v>
      </c>
      <c r="L700" s="647" t="s">
        <v>614</v>
      </c>
      <c r="M700" s="703"/>
      <c r="N700" s="576">
        <f t="shared" si="209"/>
        <v>0</v>
      </c>
      <c r="O700" s="577">
        <f t="shared" si="219"/>
        <v>0</v>
      </c>
      <c r="P700" s="578">
        <f t="shared" si="220"/>
        <v>0</v>
      </c>
      <c r="Q700" s="765"/>
      <c r="R700" s="703"/>
      <c r="S700" s="670"/>
      <c r="T700" s="577">
        <f t="shared" si="216"/>
        <v>0</v>
      </c>
      <c r="U700" s="578">
        <f t="shared" si="217"/>
        <v>0</v>
      </c>
      <c r="V700" s="579"/>
      <c r="W700" s="637" t="str">
        <f>IF(U698&gt;0,"xx",IF(P698&gt;0,"xy",""))</f>
        <v/>
      </c>
      <c r="X700" s="586" t="str">
        <f t="shared" si="191"/>
        <v/>
      </c>
      <c r="Y700" s="586" t="str">
        <f t="shared" si="189"/>
        <v/>
      </c>
      <c r="Z700" s="586" t="str">
        <f t="shared" si="208"/>
        <v/>
      </c>
    </row>
    <row r="701" spans="1:26" hidden="1" x14ac:dyDescent="0.2">
      <c r="A701" s="671" t="s">
        <v>168</v>
      </c>
      <c r="B701" s="644" t="s">
        <v>168</v>
      </c>
      <c r="C701" s="645"/>
      <c r="D701" s="451" t="s">
        <v>262</v>
      </c>
      <c r="E701" s="423"/>
      <c r="F701" s="424">
        <v>0.2</v>
      </c>
      <c r="G701" s="425">
        <v>0.94499999999999995</v>
      </c>
      <c r="H701" s="663">
        <f t="shared" si="221"/>
        <v>2.7348300000000001</v>
      </c>
      <c r="I701" s="420">
        <v>0</v>
      </c>
      <c r="J701" s="420"/>
      <c r="K701" s="421">
        <f t="shared" si="205"/>
        <v>0</v>
      </c>
      <c r="L701" s="647" t="s">
        <v>614</v>
      </c>
      <c r="M701" s="703"/>
      <c r="N701" s="576">
        <f t="shared" si="209"/>
        <v>0</v>
      </c>
      <c r="O701" s="577">
        <f t="shared" si="219"/>
        <v>0</v>
      </c>
      <c r="P701" s="578">
        <f t="shared" si="220"/>
        <v>0</v>
      </c>
      <c r="Q701" s="765"/>
      <c r="R701" s="703"/>
      <c r="S701" s="670"/>
      <c r="T701" s="577">
        <f t="shared" si="216"/>
        <v>0</v>
      </c>
      <c r="U701" s="578">
        <f t="shared" si="217"/>
        <v>0</v>
      </c>
      <c r="V701" s="579"/>
      <c r="W701" s="637" t="str">
        <f>IF(U698&gt;0,"xx",IF(P698&gt;0,"xy",""))</f>
        <v/>
      </c>
      <c r="X701" s="586" t="str">
        <f t="shared" si="191"/>
        <v/>
      </c>
      <c r="Y701" s="586" t="str">
        <f t="shared" si="189"/>
        <v/>
      </c>
      <c r="Z701" s="586" t="str">
        <f t="shared" si="208"/>
        <v/>
      </c>
    </row>
    <row r="702" spans="1:26" hidden="1" x14ac:dyDescent="0.2">
      <c r="A702" s="671" t="s">
        <v>168</v>
      </c>
      <c r="B702" s="644" t="s">
        <v>168</v>
      </c>
      <c r="C702" s="645"/>
      <c r="D702" s="451" t="s">
        <v>263</v>
      </c>
      <c r="E702" s="423"/>
      <c r="F702" s="424">
        <v>20</v>
      </c>
      <c r="G702" s="425">
        <f>SUM(G698:G701)</f>
        <v>1</v>
      </c>
      <c r="H702" s="651">
        <f>IF(F702&lt;=30,(1.07*F702+6.45)*G702,((1.07*30+6.45)+1.07*(F702-30))*G702)</f>
        <v>27.85</v>
      </c>
      <c r="I702" s="420">
        <v>0</v>
      </c>
      <c r="J702" s="420"/>
      <c r="K702" s="421">
        <f t="shared" si="205"/>
        <v>0</v>
      </c>
      <c r="L702" s="647" t="s">
        <v>614</v>
      </c>
      <c r="M702" s="703"/>
      <c r="N702" s="576">
        <f t="shared" si="209"/>
        <v>0</v>
      </c>
      <c r="O702" s="577">
        <f t="shared" si="219"/>
        <v>0</v>
      </c>
      <c r="P702" s="578">
        <f t="shared" si="220"/>
        <v>0</v>
      </c>
      <c r="Q702" s="765"/>
      <c r="R702" s="703"/>
      <c r="S702" s="670"/>
      <c r="T702" s="577">
        <f t="shared" si="216"/>
        <v>0</v>
      </c>
      <c r="U702" s="578">
        <f t="shared" si="217"/>
        <v>0</v>
      </c>
      <c r="V702" s="579"/>
      <c r="W702" s="637" t="str">
        <f>IF(U698&gt;0,"xx",IF(P698&gt;0,"xy",""))</f>
        <v/>
      </c>
      <c r="X702" s="586" t="str">
        <f t="shared" si="191"/>
        <v/>
      </c>
      <c r="Y702" s="586" t="str">
        <f t="shared" si="189"/>
        <v/>
      </c>
      <c r="Z702" s="586" t="str">
        <f t="shared" si="208"/>
        <v/>
      </c>
    </row>
    <row r="703" spans="1:26" ht="12" hidden="1" thickBot="1" x14ac:dyDescent="0.25">
      <c r="A703" s="671">
        <v>589000</v>
      </c>
      <c r="B703" s="704" t="s">
        <v>1853</v>
      </c>
      <c r="C703" s="689" t="s">
        <v>1746</v>
      </c>
      <c r="D703" s="477" t="s">
        <v>658</v>
      </c>
      <c r="E703" s="470"/>
      <c r="F703" s="486">
        <v>500</v>
      </c>
      <c r="G703" s="479">
        <v>1</v>
      </c>
      <c r="H703" s="663">
        <f>(0.94*F703+46.06)*G703</f>
        <v>516.05999999999995</v>
      </c>
      <c r="I703" s="472">
        <v>5725</v>
      </c>
      <c r="J703" s="472">
        <f>IF(ISBLANK(I703),"",I703*(1+$F$9)/(1+$F$10))+H703</f>
        <v>6070.962785960779</v>
      </c>
      <c r="K703" s="690">
        <f t="shared" si="205"/>
        <v>7212.91</v>
      </c>
      <c r="L703" s="691" t="s">
        <v>20</v>
      </c>
      <c r="M703" s="692">
        <f>ROUND(M698*G698,2)</f>
        <v>0</v>
      </c>
      <c r="N703" s="696">
        <f t="shared" si="209"/>
        <v>0</v>
      </c>
      <c r="O703" s="693">
        <f>IF(ISBLANK(M703),0,ROUND(K703*M703,2))</f>
        <v>0</v>
      </c>
      <c r="P703" s="694">
        <f>IF(ISBLANK(N703),0,ROUND(M703*N703,2))</f>
        <v>0</v>
      </c>
      <c r="Q703" s="765"/>
      <c r="R703" s="719">
        <f>ROUND(R698*G698,2)</f>
        <v>0</v>
      </c>
      <c r="S703" s="720">
        <f>N703</f>
        <v>0</v>
      </c>
      <c r="T703" s="693">
        <f t="shared" si="216"/>
        <v>0</v>
      </c>
      <c r="U703" s="694">
        <f t="shared" si="217"/>
        <v>0</v>
      </c>
      <c r="V703" s="579"/>
      <c r="W703" s="637" t="str">
        <f>IF(U698&gt;0,"xx",IF(P698&gt;0,"xy",""))</f>
        <v/>
      </c>
      <c r="X703" s="586" t="str">
        <f t="shared" si="191"/>
        <v/>
      </c>
      <c r="Y703" s="586" t="str">
        <f t="shared" si="189"/>
        <v/>
      </c>
      <c r="Z703" s="586" t="str">
        <f t="shared" si="208"/>
        <v/>
      </c>
    </row>
    <row r="704" spans="1:26" hidden="1" x14ac:dyDescent="0.2">
      <c r="A704" s="567">
        <v>570000</v>
      </c>
      <c r="B704" s="701" t="s">
        <v>1854</v>
      </c>
      <c r="C704" s="702" t="s">
        <v>206</v>
      </c>
      <c r="D704" s="463" t="s">
        <v>1921</v>
      </c>
      <c r="E704" s="464"/>
      <c r="F704" s="465" t="s">
        <v>662</v>
      </c>
      <c r="G704" s="466">
        <v>5.7000000000000002E-2</v>
      </c>
      <c r="H704" s="681">
        <f>SUM(H705:H708)</f>
        <v>55.741532000000007</v>
      </c>
      <c r="I704" s="467">
        <v>201.51</v>
      </c>
      <c r="J704" s="467">
        <f>IF(ISBLANK(I704),"",SUM(H704:I704))</f>
        <v>257.251532</v>
      </c>
      <c r="K704" s="682">
        <f t="shared" si="205"/>
        <v>305.64</v>
      </c>
      <c r="L704" s="683" t="s">
        <v>20</v>
      </c>
      <c r="M704" s="685"/>
      <c r="N704" s="576">
        <f t="shared" si="209"/>
        <v>0</v>
      </c>
      <c r="O704" s="687">
        <f t="shared" si="219"/>
        <v>0</v>
      </c>
      <c r="P704" s="688">
        <f t="shared" si="220"/>
        <v>0</v>
      </c>
      <c r="Q704" s="765"/>
      <c r="R704" s="685">
        <f t="shared" si="215"/>
        <v>0</v>
      </c>
      <c r="S704" s="686">
        <f>N704</f>
        <v>0</v>
      </c>
      <c r="T704" s="687">
        <f t="shared" si="216"/>
        <v>0</v>
      </c>
      <c r="U704" s="688">
        <f t="shared" si="217"/>
        <v>0</v>
      </c>
      <c r="V704" s="579"/>
      <c r="W704" s="566"/>
      <c r="X704" s="586" t="str">
        <f t="shared" si="191"/>
        <v/>
      </c>
      <c r="Y704" s="586" t="str">
        <f t="shared" si="189"/>
        <v/>
      </c>
      <c r="Z704" s="586" t="str">
        <f t="shared" si="208"/>
        <v/>
      </c>
    </row>
    <row r="705" spans="1:26" hidden="1" x14ac:dyDescent="0.2">
      <c r="A705" s="567" t="s">
        <v>168</v>
      </c>
      <c r="B705" s="644" t="s">
        <v>168</v>
      </c>
      <c r="C705" s="645"/>
      <c r="D705" s="451" t="s">
        <v>248</v>
      </c>
      <c r="E705" s="423"/>
      <c r="F705" s="424">
        <v>180</v>
      </c>
      <c r="G705" s="425">
        <v>0.1</v>
      </c>
      <c r="H705" s="663">
        <f t="shared" ref="H705:H707" si="222">IF(F705&lt;=30,(1.07*F705+2.68)*G705,((1.07*30+2.68)+1.07*(F705-30))*G705)</f>
        <v>19.528000000000002</v>
      </c>
      <c r="I705" s="420">
        <v>0</v>
      </c>
      <c r="J705" s="420"/>
      <c r="K705" s="421">
        <f t="shared" si="205"/>
        <v>0</v>
      </c>
      <c r="L705" s="647" t="s">
        <v>614</v>
      </c>
      <c r="M705" s="703"/>
      <c r="N705" s="576">
        <f t="shared" si="209"/>
        <v>0</v>
      </c>
      <c r="O705" s="577">
        <f t="shared" si="219"/>
        <v>0</v>
      </c>
      <c r="P705" s="578">
        <f t="shared" si="220"/>
        <v>0</v>
      </c>
      <c r="Q705" s="765"/>
      <c r="R705" s="703"/>
      <c r="S705" s="670"/>
      <c r="T705" s="577">
        <f t="shared" si="216"/>
        <v>0</v>
      </c>
      <c r="U705" s="578">
        <f t="shared" si="217"/>
        <v>0</v>
      </c>
      <c r="V705" s="579"/>
      <c r="W705" s="637" t="str">
        <f>IF(U704&gt;0,"xx",IF(P704&gt;0,"xy",""))</f>
        <v/>
      </c>
      <c r="X705" s="586" t="str">
        <f t="shared" si="191"/>
        <v/>
      </c>
      <c r="Y705" s="586" t="str">
        <f t="shared" si="189"/>
        <v/>
      </c>
      <c r="Z705" s="586" t="str">
        <f t="shared" si="208"/>
        <v/>
      </c>
    </row>
    <row r="706" spans="1:26" hidden="1" x14ac:dyDescent="0.2">
      <c r="A706" s="567" t="s">
        <v>168</v>
      </c>
      <c r="B706" s="644" t="s">
        <v>168</v>
      </c>
      <c r="C706" s="645"/>
      <c r="D706" s="451" t="s">
        <v>249</v>
      </c>
      <c r="E706" s="423"/>
      <c r="F706" s="424">
        <v>500</v>
      </c>
      <c r="G706" s="425">
        <v>1.4999999999999999E-2</v>
      </c>
      <c r="H706" s="649">
        <f>IF(F706&lt;=30,(0.78*F706+7.82)*G706,((0.78*30+7.82)+0.78*(F706-30))*G706)</f>
        <v>5.9673000000000007</v>
      </c>
      <c r="I706" s="420">
        <v>0</v>
      </c>
      <c r="J706" s="420"/>
      <c r="K706" s="421">
        <f t="shared" si="205"/>
        <v>0</v>
      </c>
      <c r="L706" s="647" t="s">
        <v>614</v>
      </c>
      <c r="M706" s="703"/>
      <c r="N706" s="576">
        <f t="shared" si="209"/>
        <v>0</v>
      </c>
      <c r="O706" s="577">
        <f t="shared" si="219"/>
        <v>0</v>
      </c>
      <c r="P706" s="578">
        <f t="shared" si="220"/>
        <v>0</v>
      </c>
      <c r="Q706" s="765"/>
      <c r="R706" s="703"/>
      <c r="S706" s="670"/>
      <c r="T706" s="577">
        <f t="shared" si="216"/>
        <v>0</v>
      </c>
      <c r="U706" s="578">
        <f t="shared" si="217"/>
        <v>0</v>
      </c>
      <c r="V706" s="579"/>
      <c r="W706" s="637" t="str">
        <f>IF(U704&gt;0,"xx",IF(P704&gt;0,"xy",""))</f>
        <v/>
      </c>
      <c r="X706" s="586" t="str">
        <f t="shared" si="191"/>
        <v/>
      </c>
      <c r="Y706" s="586" t="str">
        <f t="shared" si="189"/>
        <v/>
      </c>
      <c r="Z706" s="586" t="str">
        <f t="shared" si="208"/>
        <v/>
      </c>
    </row>
    <row r="707" spans="1:26" hidden="1" x14ac:dyDescent="0.2">
      <c r="A707" s="567" t="s">
        <v>168</v>
      </c>
      <c r="B707" s="644" t="s">
        <v>168</v>
      </c>
      <c r="C707" s="645"/>
      <c r="D707" s="451" t="s">
        <v>262</v>
      </c>
      <c r="E707" s="423"/>
      <c r="F707" s="424">
        <v>0.2</v>
      </c>
      <c r="G707" s="425">
        <v>0.82799999999999996</v>
      </c>
      <c r="H707" s="663">
        <f t="shared" si="222"/>
        <v>2.3962319999999999</v>
      </c>
      <c r="I707" s="420">
        <v>0</v>
      </c>
      <c r="J707" s="420"/>
      <c r="K707" s="421">
        <f t="shared" si="205"/>
        <v>0</v>
      </c>
      <c r="L707" s="647" t="s">
        <v>614</v>
      </c>
      <c r="M707" s="703"/>
      <c r="N707" s="576">
        <f t="shared" si="209"/>
        <v>0</v>
      </c>
      <c r="O707" s="577">
        <f t="shared" si="219"/>
        <v>0</v>
      </c>
      <c r="P707" s="578">
        <f t="shared" si="220"/>
        <v>0</v>
      </c>
      <c r="Q707" s="765"/>
      <c r="R707" s="703"/>
      <c r="S707" s="670"/>
      <c r="T707" s="577">
        <f t="shared" si="216"/>
        <v>0</v>
      </c>
      <c r="U707" s="578">
        <f t="shared" si="217"/>
        <v>0</v>
      </c>
      <c r="V707" s="579"/>
      <c r="W707" s="637" t="str">
        <f>IF(U704&gt;0,"xx",IF(P704&gt;0,"xy",""))</f>
        <v/>
      </c>
      <c r="X707" s="586" t="str">
        <f t="shared" si="191"/>
        <v/>
      </c>
      <c r="Y707" s="586" t="str">
        <f t="shared" si="189"/>
        <v/>
      </c>
      <c r="Z707" s="586" t="str">
        <f t="shared" si="208"/>
        <v/>
      </c>
    </row>
    <row r="708" spans="1:26" hidden="1" x14ac:dyDescent="0.2">
      <c r="A708" s="567" t="s">
        <v>168</v>
      </c>
      <c r="B708" s="644" t="s">
        <v>168</v>
      </c>
      <c r="C708" s="645"/>
      <c r="D708" s="451" t="s">
        <v>263</v>
      </c>
      <c r="E708" s="423"/>
      <c r="F708" s="424">
        <v>20</v>
      </c>
      <c r="G708" s="425">
        <f>SUM(G704:G707)</f>
        <v>1</v>
      </c>
      <c r="H708" s="651">
        <f>IF(F708&lt;=30,(1.07*F708+6.45)*G708,((1.07*30+6.45)+1.07*(F708-30))*G708)</f>
        <v>27.85</v>
      </c>
      <c r="I708" s="420">
        <v>0</v>
      </c>
      <c r="J708" s="420"/>
      <c r="K708" s="421">
        <f t="shared" si="205"/>
        <v>0</v>
      </c>
      <c r="L708" s="647" t="s">
        <v>614</v>
      </c>
      <c r="M708" s="703"/>
      <c r="N708" s="576">
        <f t="shared" si="209"/>
        <v>0</v>
      </c>
      <c r="O708" s="577">
        <f t="shared" si="219"/>
        <v>0</v>
      </c>
      <c r="P708" s="578">
        <f t="shared" si="220"/>
        <v>0</v>
      </c>
      <c r="Q708" s="765"/>
      <c r="R708" s="703"/>
      <c r="S708" s="670"/>
      <c r="T708" s="577">
        <f t="shared" si="216"/>
        <v>0</v>
      </c>
      <c r="U708" s="578">
        <f t="shared" si="217"/>
        <v>0</v>
      </c>
      <c r="V708" s="579"/>
      <c r="W708" s="637" t="str">
        <f>IF(U704&gt;0,"xx",IF(P704&gt;0,"xy",""))</f>
        <v/>
      </c>
      <c r="X708" s="586" t="str">
        <f t="shared" si="191"/>
        <v/>
      </c>
      <c r="Y708" s="586" t="str">
        <f t="shared" si="189"/>
        <v/>
      </c>
      <c r="Z708" s="586" t="str">
        <f t="shared" si="208"/>
        <v/>
      </c>
    </row>
    <row r="709" spans="1:26" ht="12" hidden="1" thickBot="1" x14ac:dyDescent="0.25">
      <c r="A709" s="567">
        <v>589000</v>
      </c>
      <c r="B709" s="704" t="s">
        <v>1855</v>
      </c>
      <c r="C709" s="689" t="s">
        <v>1746</v>
      </c>
      <c r="D709" s="477" t="s">
        <v>659</v>
      </c>
      <c r="E709" s="470"/>
      <c r="F709" s="478">
        <v>500</v>
      </c>
      <c r="G709" s="479">
        <v>1</v>
      </c>
      <c r="H709" s="663">
        <f>(0.94*F709+46.06)*G709</f>
        <v>516.05999999999995</v>
      </c>
      <c r="I709" s="472">
        <v>5725</v>
      </c>
      <c r="J709" s="472">
        <f>IF(ISBLANK(I709),"",I709*(1+$F$9)/(1+$F$10))+H709</f>
        <v>6070.962785960779</v>
      </c>
      <c r="K709" s="690">
        <f t="shared" si="205"/>
        <v>7212.91</v>
      </c>
      <c r="L709" s="691" t="s">
        <v>20</v>
      </c>
      <c r="M709" s="692">
        <f>ROUND(M704*G704,2)</f>
        <v>0</v>
      </c>
      <c r="N709" s="588">
        <f t="shared" si="209"/>
        <v>0</v>
      </c>
      <c r="O709" s="693">
        <f>IF(ISBLANK(M709),0,ROUND(K709*M709,2))</f>
        <v>0</v>
      </c>
      <c r="P709" s="694">
        <f>IF(ISBLANK(N709),0,ROUND(M709*N709,2))</f>
        <v>0</v>
      </c>
      <c r="Q709" s="765"/>
      <c r="R709" s="719">
        <f>ROUND(R704*G704,2)</f>
        <v>0</v>
      </c>
      <c r="S709" s="720">
        <f>N709</f>
        <v>0</v>
      </c>
      <c r="T709" s="693">
        <f t="shared" si="216"/>
        <v>0</v>
      </c>
      <c r="U709" s="694">
        <f t="shared" si="217"/>
        <v>0</v>
      </c>
      <c r="V709" s="579"/>
      <c r="W709" s="637" t="str">
        <f>IF(U704&gt;0,"xx",IF(P704&gt;0,"xy",""))</f>
        <v/>
      </c>
      <c r="X709" s="586" t="str">
        <f t="shared" si="191"/>
        <v/>
      </c>
      <c r="Y709" s="586" t="str">
        <f t="shared" si="189"/>
        <v/>
      </c>
      <c r="Z709" s="586" t="str">
        <f t="shared" si="208"/>
        <v/>
      </c>
    </row>
    <row r="710" spans="1:26" hidden="1" x14ac:dyDescent="0.2">
      <c r="A710" s="567">
        <v>570400</v>
      </c>
      <c r="B710" s="701" t="s">
        <v>1856</v>
      </c>
      <c r="C710" s="702" t="s">
        <v>206</v>
      </c>
      <c r="D710" s="463" t="s">
        <v>1922</v>
      </c>
      <c r="E710" s="464"/>
      <c r="F710" s="465" t="s">
        <v>662</v>
      </c>
      <c r="G710" s="466">
        <v>5.7000000000000002E-2</v>
      </c>
      <c r="H710" s="681">
        <f>SUM(H711:H714)</f>
        <v>55.741532000000007</v>
      </c>
      <c r="I710" s="467">
        <v>180.27999999999997</v>
      </c>
      <c r="J710" s="467">
        <f>IF(ISBLANK(I710),"",SUM(H710:I710))</f>
        <v>236.02153199999998</v>
      </c>
      <c r="K710" s="682">
        <f t="shared" si="205"/>
        <v>280.42</v>
      </c>
      <c r="L710" s="683" t="s">
        <v>20</v>
      </c>
      <c r="M710" s="685"/>
      <c r="N710" s="686">
        <f t="shared" si="209"/>
        <v>0</v>
      </c>
      <c r="O710" s="687">
        <f t="shared" si="219"/>
        <v>0</v>
      </c>
      <c r="P710" s="688">
        <f t="shared" si="220"/>
        <v>0</v>
      </c>
      <c r="Q710" s="765"/>
      <c r="R710" s="685">
        <f t="shared" si="215"/>
        <v>0</v>
      </c>
      <c r="S710" s="686">
        <f>N710</f>
        <v>0</v>
      </c>
      <c r="T710" s="687">
        <f t="shared" si="216"/>
        <v>0</v>
      </c>
      <c r="U710" s="688">
        <f t="shared" si="217"/>
        <v>0</v>
      </c>
      <c r="V710" s="579"/>
      <c r="W710" s="566"/>
      <c r="X710" s="586" t="str">
        <f t="shared" si="191"/>
        <v/>
      </c>
      <c r="Y710" s="586" t="str">
        <f t="shared" si="189"/>
        <v/>
      </c>
      <c r="Z710" s="586" t="str">
        <f t="shared" si="208"/>
        <v/>
      </c>
    </row>
    <row r="711" spans="1:26" hidden="1" x14ac:dyDescent="0.2">
      <c r="A711" s="567" t="s">
        <v>168</v>
      </c>
      <c r="B711" s="644" t="s">
        <v>168</v>
      </c>
      <c r="C711" s="645"/>
      <c r="D711" s="451" t="s">
        <v>248</v>
      </c>
      <c r="E711" s="423"/>
      <c r="F711" s="424">
        <v>180</v>
      </c>
      <c r="G711" s="425">
        <v>0.1</v>
      </c>
      <c r="H711" s="663">
        <f t="shared" ref="H711:H713" si="223">IF(F711&lt;=30,(1.07*F711+2.68)*G711,((1.07*30+2.68)+1.07*(F711-30))*G711)</f>
        <v>19.528000000000002</v>
      </c>
      <c r="I711" s="420">
        <v>0</v>
      </c>
      <c r="J711" s="420"/>
      <c r="K711" s="421">
        <f t="shared" si="205"/>
        <v>0</v>
      </c>
      <c r="L711" s="647" t="s">
        <v>614</v>
      </c>
      <c r="M711" s="703"/>
      <c r="N711" s="576">
        <f t="shared" si="209"/>
        <v>0</v>
      </c>
      <c r="O711" s="577">
        <f t="shared" si="219"/>
        <v>0</v>
      </c>
      <c r="P711" s="578">
        <f t="shared" si="220"/>
        <v>0</v>
      </c>
      <c r="Q711" s="765"/>
      <c r="R711" s="703"/>
      <c r="S711" s="670"/>
      <c r="T711" s="577">
        <f t="shared" si="216"/>
        <v>0</v>
      </c>
      <c r="U711" s="578">
        <f t="shared" si="217"/>
        <v>0</v>
      </c>
      <c r="V711" s="579"/>
      <c r="W711" s="637" t="str">
        <f>IF(U710&gt;0,"xx",IF(P710&gt;0,"xy",""))</f>
        <v/>
      </c>
      <c r="X711" s="586" t="str">
        <f t="shared" si="191"/>
        <v/>
      </c>
      <c r="Y711" s="586" t="str">
        <f t="shared" si="189"/>
        <v/>
      </c>
      <c r="Z711" s="586" t="str">
        <f t="shared" si="208"/>
        <v/>
      </c>
    </row>
    <row r="712" spans="1:26" hidden="1" x14ac:dyDescent="0.2">
      <c r="A712" s="567" t="s">
        <v>168</v>
      </c>
      <c r="B712" s="644" t="s">
        <v>168</v>
      </c>
      <c r="C712" s="645"/>
      <c r="D712" s="451" t="s">
        <v>249</v>
      </c>
      <c r="E712" s="423"/>
      <c r="F712" s="424">
        <v>500</v>
      </c>
      <c r="G712" s="425">
        <v>1.4999999999999999E-2</v>
      </c>
      <c r="H712" s="649">
        <f>IF(F712&lt;=30,(0.78*F712+7.82)*G712,((0.78*30+7.82)+0.78*(F712-30))*G712)</f>
        <v>5.9673000000000007</v>
      </c>
      <c r="I712" s="420">
        <v>0</v>
      </c>
      <c r="J712" s="420"/>
      <c r="K712" s="421">
        <f t="shared" ref="K712:K746" si="224">IF(ISBLANK(I712),0,ROUND(J712*(1+$F$10)*(1+$F$11*E712),2))</f>
        <v>0</v>
      </c>
      <c r="L712" s="647" t="s">
        <v>614</v>
      </c>
      <c r="M712" s="703"/>
      <c r="N712" s="576">
        <f t="shared" si="209"/>
        <v>0</v>
      </c>
      <c r="O712" s="577">
        <f t="shared" si="219"/>
        <v>0</v>
      </c>
      <c r="P712" s="578">
        <f t="shared" si="220"/>
        <v>0</v>
      </c>
      <c r="Q712" s="765"/>
      <c r="R712" s="703"/>
      <c r="S712" s="670"/>
      <c r="T712" s="577">
        <f t="shared" si="216"/>
        <v>0</v>
      </c>
      <c r="U712" s="578">
        <f t="shared" si="217"/>
        <v>0</v>
      </c>
      <c r="V712" s="579"/>
      <c r="W712" s="637" t="str">
        <f>IF(U710&gt;0,"xx",IF(P710&gt;0,"xy",""))</f>
        <v/>
      </c>
      <c r="X712" s="586" t="str">
        <f t="shared" si="191"/>
        <v/>
      </c>
      <c r="Y712" s="586" t="str">
        <f t="shared" si="189"/>
        <v/>
      </c>
      <c r="Z712" s="586" t="str">
        <f t="shared" si="208"/>
        <v/>
      </c>
    </row>
    <row r="713" spans="1:26" hidden="1" x14ac:dyDescent="0.2">
      <c r="A713" s="567" t="s">
        <v>168</v>
      </c>
      <c r="B713" s="644" t="s">
        <v>168</v>
      </c>
      <c r="C713" s="645"/>
      <c r="D713" s="451" t="s">
        <v>262</v>
      </c>
      <c r="E713" s="423"/>
      <c r="F713" s="424">
        <v>0.2</v>
      </c>
      <c r="G713" s="425">
        <v>0.82799999999999996</v>
      </c>
      <c r="H713" s="663">
        <f t="shared" si="223"/>
        <v>2.3962319999999999</v>
      </c>
      <c r="I713" s="420">
        <v>0</v>
      </c>
      <c r="J713" s="420"/>
      <c r="K713" s="421">
        <f t="shared" si="224"/>
        <v>0</v>
      </c>
      <c r="L713" s="647" t="s">
        <v>614</v>
      </c>
      <c r="M713" s="703"/>
      <c r="N713" s="576">
        <f t="shared" si="209"/>
        <v>0</v>
      </c>
      <c r="O713" s="577">
        <f t="shared" si="219"/>
        <v>0</v>
      </c>
      <c r="P713" s="578">
        <f t="shared" si="220"/>
        <v>0</v>
      </c>
      <c r="Q713" s="765"/>
      <c r="R713" s="703"/>
      <c r="S713" s="670"/>
      <c r="T713" s="577">
        <f t="shared" si="216"/>
        <v>0</v>
      </c>
      <c r="U713" s="578">
        <f t="shared" si="217"/>
        <v>0</v>
      </c>
      <c r="V713" s="579"/>
      <c r="W713" s="637" t="str">
        <f>IF(U710&gt;0,"xx",IF(P710&gt;0,"xy",""))</f>
        <v/>
      </c>
      <c r="X713" s="586" t="str">
        <f t="shared" si="191"/>
        <v/>
      </c>
      <c r="Y713" s="586" t="str">
        <f t="shared" si="189"/>
        <v/>
      </c>
      <c r="Z713" s="586" t="str">
        <f t="shared" si="208"/>
        <v/>
      </c>
    </row>
    <row r="714" spans="1:26" hidden="1" x14ac:dyDescent="0.2">
      <c r="A714" s="567" t="s">
        <v>168</v>
      </c>
      <c r="B714" s="644" t="s">
        <v>168</v>
      </c>
      <c r="C714" s="645"/>
      <c r="D714" s="451" t="s">
        <v>263</v>
      </c>
      <c r="E714" s="423"/>
      <c r="F714" s="424">
        <v>20</v>
      </c>
      <c r="G714" s="425">
        <f>SUM(G710:G713)</f>
        <v>1</v>
      </c>
      <c r="H714" s="651">
        <f>IF(F714&lt;=30,(1.07*F714+6.45)*G714,((1.07*30+6.45)+1.07*(F714-30))*G714)</f>
        <v>27.85</v>
      </c>
      <c r="I714" s="420">
        <v>0</v>
      </c>
      <c r="J714" s="420"/>
      <c r="K714" s="421">
        <f t="shared" si="224"/>
        <v>0</v>
      </c>
      <c r="L714" s="647" t="s">
        <v>614</v>
      </c>
      <c r="M714" s="703"/>
      <c r="N714" s="576">
        <f t="shared" si="209"/>
        <v>0</v>
      </c>
      <c r="O714" s="577">
        <f t="shared" si="219"/>
        <v>0</v>
      </c>
      <c r="P714" s="578">
        <f t="shared" si="220"/>
        <v>0</v>
      </c>
      <c r="Q714" s="765"/>
      <c r="R714" s="703"/>
      <c r="S714" s="670"/>
      <c r="T714" s="577">
        <f t="shared" si="216"/>
        <v>0</v>
      </c>
      <c r="U714" s="578">
        <f t="shared" si="217"/>
        <v>0</v>
      </c>
      <c r="V714" s="579"/>
      <c r="W714" s="637" t="str">
        <f>IF(U710&gt;0,"xx",IF(P710&gt;0,"xy",""))</f>
        <v/>
      </c>
      <c r="X714" s="586" t="str">
        <f t="shared" si="191"/>
        <v/>
      </c>
      <c r="Y714" s="586" t="str">
        <f t="shared" si="189"/>
        <v/>
      </c>
      <c r="Z714" s="586" t="str">
        <f t="shared" si="208"/>
        <v/>
      </c>
    </row>
    <row r="715" spans="1:26" ht="12" hidden="1" thickBot="1" x14ac:dyDescent="0.25">
      <c r="A715" s="567">
        <v>589000</v>
      </c>
      <c r="B715" s="704" t="s">
        <v>1857</v>
      </c>
      <c r="C715" s="689" t="s">
        <v>1746</v>
      </c>
      <c r="D715" s="477" t="s">
        <v>660</v>
      </c>
      <c r="E715" s="470"/>
      <c r="F715" s="478">
        <v>500</v>
      </c>
      <c r="G715" s="479">
        <v>1</v>
      </c>
      <c r="H715" s="663">
        <f>(0.94*F715+46.06)*G715</f>
        <v>516.05999999999995</v>
      </c>
      <c r="I715" s="472">
        <v>5725</v>
      </c>
      <c r="J715" s="472">
        <f>IF(ISBLANK(I715),"",I715*(1+$F$9)/(1+$F$10))+H715</f>
        <v>6070.962785960779</v>
      </c>
      <c r="K715" s="690">
        <f t="shared" si="224"/>
        <v>7212.91</v>
      </c>
      <c r="L715" s="691" t="s">
        <v>20</v>
      </c>
      <c r="M715" s="692">
        <f>ROUND(M710*G710,2)</f>
        <v>0</v>
      </c>
      <c r="N715" s="696">
        <f t="shared" si="209"/>
        <v>0</v>
      </c>
      <c r="O715" s="693">
        <f t="shared" si="219"/>
        <v>0</v>
      </c>
      <c r="P715" s="694">
        <f t="shared" si="220"/>
        <v>0</v>
      </c>
      <c r="Q715" s="765"/>
      <c r="R715" s="719">
        <f>ROUND(R710*G710,2)</f>
        <v>0</v>
      </c>
      <c r="S715" s="720">
        <f t="shared" ref="S715:S778" si="225">N715</f>
        <v>0</v>
      </c>
      <c r="T715" s="693">
        <f t="shared" si="216"/>
        <v>0</v>
      </c>
      <c r="U715" s="694">
        <f t="shared" si="217"/>
        <v>0</v>
      </c>
      <c r="V715" s="579"/>
      <c r="W715" s="637" t="str">
        <f>IF(U710&gt;0,"xx",IF(P710&gt;0,"xy",""))</f>
        <v/>
      </c>
      <c r="X715" s="586" t="str">
        <f t="shared" si="191"/>
        <v/>
      </c>
      <c r="Y715" s="586" t="str">
        <f t="shared" si="189"/>
        <v/>
      </c>
      <c r="Z715" s="586" t="str">
        <f t="shared" si="208"/>
        <v/>
      </c>
    </row>
    <row r="716" spans="1:26" hidden="1" x14ac:dyDescent="0.2">
      <c r="A716" s="567">
        <v>521450</v>
      </c>
      <c r="B716" s="450" t="s">
        <v>1858</v>
      </c>
      <c r="C716" s="473" t="s">
        <v>206</v>
      </c>
      <c r="D716" s="422" t="s">
        <v>289</v>
      </c>
      <c r="E716" s="423"/>
      <c r="F716" s="424">
        <v>20</v>
      </c>
      <c r="G716" s="419">
        <v>0.3</v>
      </c>
      <c r="H716" s="663">
        <f t="shared" ref="H716:H717" si="226">IF(F716&lt;=30,(1.07*F716+2.68)*G716,((1.07*30+2.68)+1.07*(F716-30))*G716)</f>
        <v>7.2240000000000002</v>
      </c>
      <c r="I716" s="420">
        <v>24.94</v>
      </c>
      <c r="J716" s="420">
        <f t="shared" ref="J716:J732" si="227">IF(ISBLANK(I716),"",SUM(H716:I716))</f>
        <v>32.164000000000001</v>
      </c>
      <c r="K716" s="421">
        <f t="shared" si="224"/>
        <v>38.21</v>
      </c>
      <c r="L716" s="647" t="s">
        <v>18</v>
      </c>
      <c r="M716" s="576"/>
      <c r="N716" s="576">
        <f t="shared" si="209"/>
        <v>0</v>
      </c>
      <c r="O716" s="642">
        <f t="shared" si="219"/>
        <v>0</v>
      </c>
      <c r="P716" s="659">
        <f t="shared" si="220"/>
        <v>0</v>
      </c>
      <c r="Q716" s="765"/>
      <c r="R716" s="576">
        <f t="shared" si="215"/>
        <v>0</v>
      </c>
      <c r="S716" s="576">
        <f t="shared" si="225"/>
        <v>0</v>
      </c>
      <c r="T716" s="577">
        <f t="shared" si="216"/>
        <v>0</v>
      </c>
      <c r="U716" s="578">
        <f t="shared" si="217"/>
        <v>0</v>
      </c>
      <c r="V716" s="579"/>
      <c r="W716" s="566"/>
      <c r="X716" s="586" t="str">
        <f t="shared" si="191"/>
        <v/>
      </c>
      <c r="Y716" s="586" t="str">
        <f t="shared" si="189"/>
        <v/>
      </c>
      <c r="Z716" s="586" t="str">
        <f t="shared" si="208"/>
        <v/>
      </c>
    </row>
    <row r="717" spans="1:26" hidden="1" x14ac:dyDescent="0.2">
      <c r="A717" s="567">
        <v>535200</v>
      </c>
      <c r="B717" s="644" t="s">
        <v>1859</v>
      </c>
      <c r="C717" s="645" t="s">
        <v>206</v>
      </c>
      <c r="D717" s="422" t="s">
        <v>290</v>
      </c>
      <c r="E717" s="423"/>
      <c r="F717" s="424">
        <v>20</v>
      </c>
      <c r="G717" s="419">
        <v>7.6999999999999999E-2</v>
      </c>
      <c r="H717" s="663">
        <f t="shared" si="226"/>
        <v>1.85416</v>
      </c>
      <c r="I717" s="420">
        <v>10.85</v>
      </c>
      <c r="J717" s="420">
        <f t="shared" si="227"/>
        <v>12.70416</v>
      </c>
      <c r="K717" s="421">
        <f t="shared" si="224"/>
        <v>15.09</v>
      </c>
      <c r="L717" s="647" t="s">
        <v>19</v>
      </c>
      <c r="M717" s="576"/>
      <c r="N717" s="576">
        <f t="shared" si="209"/>
        <v>0</v>
      </c>
      <c r="O717" s="577">
        <f t="shared" si="219"/>
        <v>0</v>
      </c>
      <c r="P717" s="578">
        <f t="shared" si="220"/>
        <v>0</v>
      </c>
      <c r="Q717" s="765"/>
      <c r="R717" s="576">
        <f t="shared" si="215"/>
        <v>0</v>
      </c>
      <c r="S717" s="576">
        <f t="shared" si="225"/>
        <v>0</v>
      </c>
      <c r="T717" s="577">
        <f t="shared" si="216"/>
        <v>0</v>
      </c>
      <c r="U717" s="578">
        <f t="shared" si="217"/>
        <v>0</v>
      </c>
      <c r="V717" s="579"/>
      <c r="W717" s="566"/>
      <c r="X717" s="586" t="str">
        <f t="shared" si="191"/>
        <v/>
      </c>
      <c r="Y717" s="586" t="str">
        <f t="shared" si="189"/>
        <v/>
      </c>
      <c r="Z717" s="586" t="str">
        <f t="shared" si="208"/>
        <v/>
      </c>
    </row>
    <row r="718" spans="1:26" hidden="1" x14ac:dyDescent="0.2">
      <c r="A718" s="567">
        <v>521450</v>
      </c>
      <c r="B718" s="644" t="s">
        <v>1545</v>
      </c>
      <c r="C718" s="645" t="s">
        <v>206</v>
      </c>
      <c r="D718" s="422" t="s">
        <v>291</v>
      </c>
      <c r="E718" s="423"/>
      <c r="F718" s="424"/>
      <c r="G718" s="419"/>
      <c r="H718" s="651">
        <f t="shared" ref="H718:H719" si="228">IF(F718&lt;=30,(0.62*F718+6.29)*G718,((0.62*30+6.29)+0.62*(F718-30))*G718)</f>
        <v>0</v>
      </c>
      <c r="I718" s="420">
        <v>9.42</v>
      </c>
      <c r="J718" s="420">
        <f t="shared" si="227"/>
        <v>9.42</v>
      </c>
      <c r="K718" s="421">
        <f t="shared" si="224"/>
        <v>11.19</v>
      </c>
      <c r="L718" s="647" t="s">
        <v>18</v>
      </c>
      <c r="M718" s="576"/>
      <c r="N718" s="576">
        <f t="shared" si="209"/>
        <v>0</v>
      </c>
      <c r="O718" s="577">
        <f t="shared" si="219"/>
        <v>0</v>
      </c>
      <c r="P718" s="578">
        <f t="shared" si="220"/>
        <v>0</v>
      </c>
      <c r="Q718" s="765"/>
      <c r="R718" s="576">
        <f t="shared" si="215"/>
        <v>0</v>
      </c>
      <c r="S718" s="576">
        <f t="shared" si="225"/>
        <v>0</v>
      </c>
      <c r="T718" s="577">
        <f t="shared" si="216"/>
        <v>0</v>
      </c>
      <c r="U718" s="578">
        <f t="shared" si="217"/>
        <v>0</v>
      </c>
      <c r="V718" s="579"/>
      <c r="W718" s="566"/>
      <c r="X718" s="586" t="str">
        <f t="shared" si="191"/>
        <v/>
      </c>
      <c r="Y718" s="586" t="str">
        <f t="shared" si="189"/>
        <v/>
      </c>
      <c r="Z718" s="586" t="str">
        <f t="shared" si="208"/>
        <v/>
      </c>
    </row>
    <row r="719" spans="1:26" hidden="1" x14ac:dyDescent="0.2">
      <c r="A719" s="567">
        <v>521450</v>
      </c>
      <c r="B719" s="644" t="s">
        <v>1546</v>
      </c>
      <c r="C719" s="645" t="s">
        <v>206</v>
      </c>
      <c r="D719" s="422" t="s">
        <v>292</v>
      </c>
      <c r="E719" s="423"/>
      <c r="F719" s="424"/>
      <c r="G719" s="419"/>
      <c r="H719" s="651">
        <f t="shared" si="228"/>
        <v>0</v>
      </c>
      <c r="I719" s="420">
        <v>13.188000000000001</v>
      </c>
      <c r="J719" s="420">
        <f t="shared" si="227"/>
        <v>13.188000000000001</v>
      </c>
      <c r="K719" s="421">
        <f t="shared" si="224"/>
        <v>15.67</v>
      </c>
      <c r="L719" s="647" t="s">
        <v>18</v>
      </c>
      <c r="M719" s="576"/>
      <c r="N719" s="576">
        <f t="shared" si="209"/>
        <v>0</v>
      </c>
      <c r="O719" s="577">
        <f t="shared" si="219"/>
        <v>0</v>
      </c>
      <c r="P719" s="578">
        <f t="shared" si="220"/>
        <v>0</v>
      </c>
      <c r="Q719" s="765"/>
      <c r="R719" s="576">
        <f t="shared" si="215"/>
        <v>0</v>
      </c>
      <c r="S719" s="576">
        <f t="shared" si="225"/>
        <v>0</v>
      </c>
      <c r="T719" s="577">
        <f t="shared" si="216"/>
        <v>0</v>
      </c>
      <c r="U719" s="578">
        <f t="shared" si="217"/>
        <v>0</v>
      </c>
      <c r="V719" s="579"/>
      <c r="W719" s="566"/>
      <c r="X719" s="586" t="str">
        <f t="shared" si="191"/>
        <v/>
      </c>
      <c r="Y719" s="586" t="str">
        <f t="shared" si="189"/>
        <v/>
      </c>
      <c r="Z719" s="586" t="str">
        <f t="shared" si="208"/>
        <v/>
      </c>
    </row>
    <row r="720" spans="1:26" hidden="1" x14ac:dyDescent="0.2">
      <c r="A720" s="567">
        <v>535000</v>
      </c>
      <c r="B720" s="644" t="s">
        <v>1860</v>
      </c>
      <c r="C720" s="645" t="s">
        <v>206</v>
      </c>
      <c r="D720" s="422" t="s">
        <v>241</v>
      </c>
      <c r="E720" s="423"/>
      <c r="F720" s="424">
        <v>20</v>
      </c>
      <c r="G720" s="425">
        <v>0.27200000000000002</v>
      </c>
      <c r="H720" s="663">
        <f t="shared" ref="H720:H733" si="229">IF(F720&lt;=30,(1.07*F720+2.68)*G720,((1.07*30+2.68)+1.07*(F720-30))*G720)</f>
        <v>6.5497600000000009</v>
      </c>
      <c r="I720" s="420">
        <v>105.75</v>
      </c>
      <c r="J720" s="420">
        <f t="shared" si="227"/>
        <v>112.29976000000001</v>
      </c>
      <c r="K720" s="421">
        <f t="shared" si="224"/>
        <v>133.41999999999999</v>
      </c>
      <c r="L720" s="647" t="s">
        <v>18</v>
      </c>
      <c r="M720" s="576"/>
      <c r="N720" s="576">
        <f t="shared" si="209"/>
        <v>0</v>
      </c>
      <c r="O720" s="577">
        <f t="shared" si="219"/>
        <v>0</v>
      </c>
      <c r="P720" s="578">
        <f t="shared" si="220"/>
        <v>0</v>
      </c>
      <c r="Q720" s="765"/>
      <c r="R720" s="576">
        <f t="shared" si="215"/>
        <v>0</v>
      </c>
      <c r="S720" s="576">
        <f t="shared" si="225"/>
        <v>0</v>
      </c>
      <c r="T720" s="577">
        <f t="shared" si="216"/>
        <v>0</v>
      </c>
      <c r="U720" s="578">
        <f t="shared" si="217"/>
        <v>0</v>
      </c>
      <c r="V720" s="579"/>
      <c r="W720" s="566"/>
      <c r="X720" s="586" t="str">
        <f t="shared" si="191"/>
        <v/>
      </c>
      <c r="Y720" s="586" t="str">
        <f t="shared" si="189"/>
        <v/>
      </c>
      <c r="Z720" s="586" t="str">
        <f t="shared" si="208"/>
        <v/>
      </c>
    </row>
    <row r="721" spans="1:26" hidden="1" x14ac:dyDescent="0.2">
      <c r="A721" s="567">
        <v>863000</v>
      </c>
      <c r="B721" s="644" t="s">
        <v>1554</v>
      </c>
      <c r="C721" s="645" t="s">
        <v>206</v>
      </c>
      <c r="D721" s="422" t="s">
        <v>242</v>
      </c>
      <c r="E721" s="423"/>
      <c r="F721" s="424">
        <v>20</v>
      </c>
      <c r="G721" s="425">
        <f>2*0.04</f>
        <v>0.08</v>
      </c>
      <c r="H721" s="663">
        <f t="shared" si="229"/>
        <v>1.9264000000000001</v>
      </c>
      <c r="I721" s="420">
        <v>58.207999999999998</v>
      </c>
      <c r="J721" s="420">
        <f t="shared" si="227"/>
        <v>60.134399999999999</v>
      </c>
      <c r="K721" s="421">
        <f t="shared" si="224"/>
        <v>71.45</v>
      </c>
      <c r="L721" s="647" t="s">
        <v>18</v>
      </c>
      <c r="M721" s="576"/>
      <c r="N721" s="576">
        <f t="shared" si="209"/>
        <v>0</v>
      </c>
      <c r="O721" s="577">
        <f t="shared" si="219"/>
        <v>0</v>
      </c>
      <c r="P721" s="578">
        <f t="shared" si="220"/>
        <v>0</v>
      </c>
      <c r="Q721" s="765"/>
      <c r="R721" s="576">
        <f t="shared" si="215"/>
        <v>0</v>
      </c>
      <c r="S721" s="576">
        <f t="shared" si="225"/>
        <v>0</v>
      </c>
      <c r="T721" s="577">
        <f t="shared" si="216"/>
        <v>0</v>
      </c>
      <c r="U721" s="578">
        <f t="shared" si="217"/>
        <v>0</v>
      </c>
      <c r="V721" s="579"/>
      <c r="W721" s="566"/>
      <c r="X721" s="586" t="str">
        <f t="shared" si="191"/>
        <v/>
      </c>
      <c r="Y721" s="586" t="str">
        <f t="shared" si="189"/>
        <v/>
      </c>
      <c r="Z721" s="586" t="str">
        <f t="shared" si="208"/>
        <v/>
      </c>
    </row>
    <row r="722" spans="1:26" hidden="1" x14ac:dyDescent="0.2">
      <c r="A722" s="567">
        <v>863000</v>
      </c>
      <c r="B722" s="644" t="s">
        <v>1555</v>
      </c>
      <c r="C722" s="645" t="s">
        <v>206</v>
      </c>
      <c r="D722" s="422" t="s">
        <v>243</v>
      </c>
      <c r="E722" s="423"/>
      <c r="F722" s="424">
        <v>20</v>
      </c>
      <c r="G722" s="425">
        <f>2*0.05</f>
        <v>0.1</v>
      </c>
      <c r="H722" s="663">
        <f t="shared" si="229"/>
        <v>2.4080000000000004</v>
      </c>
      <c r="I722" s="420">
        <v>65.48</v>
      </c>
      <c r="J722" s="420">
        <f t="shared" si="227"/>
        <v>67.888000000000005</v>
      </c>
      <c r="K722" s="421">
        <f t="shared" si="224"/>
        <v>80.66</v>
      </c>
      <c r="L722" s="647" t="s">
        <v>18</v>
      </c>
      <c r="M722" s="576"/>
      <c r="N722" s="576">
        <f t="shared" si="209"/>
        <v>0</v>
      </c>
      <c r="O722" s="577">
        <f t="shared" si="219"/>
        <v>0</v>
      </c>
      <c r="P722" s="578">
        <f t="shared" si="220"/>
        <v>0</v>
      </c>
      <c r="Q722" s="765"/>
      <c r="R722" s="576">
        <f t="shared" si="215"/>
        <v>0</v>
      </c>
      <c r="S722" s="576">
        <f t="shared" si="225"/>
        <v>0</v>
      </c>
      <c r="T722" s="577">
        <f t="shared" si="216"/>
        <v>0</v>
      </c>
      <c r="U722" s="578">
        <f t="shared" si="217"/>
        <v>0</v>
      </c>
      <c r="V722" s="579"/>
      <c r="W722" s="566"/>
      <c r="X722" s="586" t="str">
        <f t="shared" si="191"/>
        <v/>
      </c>
      <c r="Y722" s="586" t="str">
        <f t="shared" si="189"/>
        <v/>
      </c>
      <c r="Z722" s="586" t="str">
        <f t="shared" si="208"/>
        <v/>
      </c>
    </row>
    <row r="723" spans="1:26" hidden="1" x14ac:dyDescent="0.2">
      <c r="A723" s="567">
        <v>534906</v>
      </c>
      <c r="B723" s="644" t="s">
        <v>1556</v>
      </c>
      <c r="C723" s="645" t="s">
        <v>206</v>
      </c>
      <c r="D723" s="422" t="s">
        <v>244</v>
      </c>
      <c r="E723" s="423"/>
      <c r="F723" s="424">
        <v>20</v>
      </c>
      <c r="G723" s="425">
        <f>2*0.06</f>
        <v>0.12</v>
      </c>
      <c r="H723" s="663">
        <f t="shared" si="229"/>
        <v>2.8896000000000002</v>
      </c>
      <c r="I723" s="420">
        <v>72.759999999999991</v>
      </c>
      <c r="J723" s="420">
        <f t="shared" si="227"/>
        <v>75.649599999999992</v>
      </c>
      <c r="K723" s="421">
        <f t="shared" si="224"/>
        <v>89.88</v>
      </c>
      <c r="L723" s="647" t="s">
        <v>18</v>
      </c>
      <c r="M723" s="576"/>
      <c r="N723" s="576">
        <f t="shared" si="209"/>
        <v>0</v>
      </c>
      <c r="O723" s="577">
        <f t="shared" si="219"/>
        <v>0</v>
      </c>
      <c r="P723" s="578">
        <f t="shared" si="220"/>
        <v>0</v>
      </c>
      <c r="Q723" s="765"/>
      <c r="R723" s="576">
        <f t="shared" si="215"/>
        <v>0</v>
      </c>
      <c r="S723" s="576">
        <f t="shared" si="225"/>
        <v>0</v>
      </c>
      <c r="T723" s="577">
        <f t="shared" si="216"/>
        <v>0</v>
      </c>
      <c r="U723" s="578">
        <f t="shared" si="217"/>
        <v>0</v>
      </c>
      <c r="V723" s="579"/>
      <c r="W723" s="566"/>
      <c r="X723" s="586" t="str">
        <f t="shared" si="191"/>
        <v/>
      </c>
      <c r="Y723" s="586" t="str">
        <f t="shared" si="189"/>
        <v/>
      </c>
      <c r="Z723" s="586" t="str">
        <f t="shared" si="208"/>
        <v/>
      </c>
    </row>
    <row r="724" spans="1:26" hidden="1" x14ac:dyDescent="0.2">
      <c r="A724" s="567">
        <v>534906</v>
      </c>
      <c r="B724" s="644" t="s">
        <v>1557</v>
      </c>
      <c r="C724" s="645" t="s">
        <v>206</v>
      </c>
      <c r="D724" s="422" t="s">
        <v>245</v>
      </c>
      <c r="E724" s="423"/>
      <c r="F724" s="424">
        <v>20</v>
      </c>
      <c r="G724" s="425">
        <f>2*0.07</f>
        <v>0.14000000000000001</v>
      </c>
      <c r="H724" s="663">
        <f t="shared" si="229"/>
        <v>3.3712000000000004</v>
      </c>
      <c r="I724" s="420">
        <v>78.16</v>
      </c>
      <c r="J724" s="420">
        <f t="shared" si="227"/>
        <v>81.531199999999998</v>
      </c>
      <c r="K724" s="421">
        <f t="shared" si="224"/>
        <v>96.87</v>
      </c>
      <c r="L724" s="647" t="s">
        <v>18</v>
      </c>
      <c r="M724" s="576"/>
      <c r="N724" s="576">
        <f t="shared" ref="N724:N787" si="230">IF(M724=0,0,K724)</f>
        <v>0</v>
      </c>
      <c r="O724" s="577">
        <f t="shared" si="219"/>
        <v>0</v>
      </c>
      <c r="P724" s="578">
        <f t="shared" si="220"/>
        <v>0</v>
      </c>
      <c r="Q724" s="765"/>
      <c r="R724" s="576">
        <f t="shared" si="215"/>
        <v>0</v>
      </c>
      <c r="S724" s="576">
        <f t="shared" si="225"/>
        <v>0</v>
      </c>
      <c r="T724" s="577">
        <f t="shared" si="216"/>
        <v>0</v>
      </c>
      <c r="U724" s="578">
        <f t="shared" si="217"/>
        <v>0</v>
      </c>
      <c r="V724" s="579"/>
      <c r="W724" s="566"/>
      <c r="X724" s="586" t="str">
        <f t="shared" si="191"/>
        <v/>
      </c>
      <c r="Y724" s="586" t="str">
        <f t="shared" si="189"/>
        <v/>
      </c>
      <c r="Z724" s="586" t="str">
        <f t="shared" si="208"/>
        <v/>
      </c>
    </row>
    <row r="725" spans="1:26" hidden="1" x14ac:dyDescent="0.2">
      <c r="A725" s="567">
        <v>534906</v>
      </c>
      <c r="B725" s="644" t="s">
        <v>1558</v>
      </c>
      <c r="C725" s="645" t="s">
        <v>206</v>
      </c>
      <c r="D725" s="422" t="s">
        <v>246</v>
      </c>
      <c r="E725" s="423"/>
      <c r="F725" s="424">
        <v>20</v>
      </c>
      <c r="G725" s="425">
        <f>2*0.08</f>
        <v>0.16</v>
      </c>
      <c r="H725" s="663">
        <f t="shared" si="229"/>
        <v>3.8528000000000002</v>
      </c>
      <c r="I725" s="420">
        <v>83.56</v>
      </c>
      <c r="J725" s="420">
        <f t="shared" si="227"/>
        <v>87.412800000000004</v>
      </c>
      <c r="K725" s="421">
        <f t="shared" si="224"/>
        <v>103.86</v>
      </c>
      <c r="L725" s="647" t="s">
        <v>18</v>
      </c>
      <c r="M725" s="576"/>
      <c r="N725" s="576">
        <f t="shared" si="230"/>
        <v>0</v>
      </c>
      <c r="O725" s="577">
        <f t="shared" si="219"/>
        <v>0</v>
      </c>
      <c r="P725" s="578">
        <f t="shared" si="220"/>
        <v>0</v>
      </c>
      <c r="Q725" s="765"/>
      <c r="R725" s="576">
        <f t="shared" si="215"/>
        <v>0</v>
      </c>
      <c r="S725" s="576">
        <f t="shared" si="225"/>
        <v>0</v>
      </c>
      <c r="T725" s="577">
        <f t="shared" si="216"/>
        <v>0</v>
      </c>
      <c r="U725" s="578">
        <f t="shared" si="217"/>
        <v>0</v>
      </c>
      <c r="V725" s="579"/>
      <c r="W725" s="566"/>
      <c r="X725" s="586" t="str">
        <f t="shared" si="191"/>
        <v/>
      </c>
      <c r="Y725" s="586" t="str">
        <f t="shared" si="189"/>
        <v/>
      </c>
      <c r="Z725" s="586" t="str">
        <f t="shared" si="208"/>
        <v/>
      </c>
    </row>
    <row r="726" spans="1:26" hidden="1" x14ac:dyDescent="0.2">
      <c r="A726" s="567">
        <v>534906</v>
      </c>
      <c r="B726" s="644" t="s">
        <v>1559</v>
      </c>
      <c r="C726" s="645" t="s">
        <v>206</v>
      </c>
      <c r="D726" s="422" t="s">
        <v>247</v>
      </c>
      <c r="E726" s="423"/>
      <c r="F726" s="424">
        <v>20</v>
      </c>
      <c r="G726" s="425">
        <f>2*0.1</f>
        <v>0.2</v>
      </c>
      <c r="H726" s="663">
        <f t="shared" si="229"/>
        <v>4.8160000000000007</v>
      </c>
      <c r="I726" s="420">
        <v>94.614793103448264</v>
      </c>
      <c r="J726" s="420">
        <f t="shared" si="227"/>
        <v>99.430793103448266</v>
      </c>
      <c r="K726" s="421">
        <f t="shared" si="224"/>
        <v>118.13</v>
      </c>
      <c r="L726" s="647" t="s">
        <v>18</v>
      </c>
      <c r="M726" s="576"/>
      <c r="N726" s="576">
        <f t="shared" si="230"/>
        <v>0</v>
      </c>
      <c r="O726" s="577">
        <f t="shared" si="219"/>
        <v>0</v>
      </c>
      <c r="P726" s="578">
        <f t="shared" si="220"/>
        <v>0</v>
      </c>
      <c r="Q726" s="765"/>
      <c r="R726" s="576">
        <f t="shared" si="215"/>
        <v>0</v>
      </c>
      <c r="S726" s="576">
        <f t="shared" si="225"/>
        <v>0</v>
      </c>
      <c r="T726" s="577">
        <f t="shared" si="216"/>
        <v>0</v>
      </c>
      <c r="U726" s="578">
        <f t="shared" si="217"/>
        <v>0</v>
      </c>
      <c r="V726" s="579"/>
      <c r="W726" s="566"/>
      <c r="X726" s="586" t="str">
        <f t="shared" si="191"/>
        <v/>
      </c>
      <c r="Y726" s="586" t="str">
        <f t="shared" si="189"/>
        <v/>
      </c>
      <c r="Z726" s="586" t="str">
        <f t="shared" si="208"/>
        <v/>
      </c>
    </row>
    <row r="727" spans="1:26" hidden="1" x14ac:dyDescent="0.2">
      <c r="A727" s="567">
        <v>534906</v>
      </c>
      <c r="B727" s="644" t="s">
        <v>1560</v>
      </c>
      <c r="C727" s="645" t="s">
        <v>206</v>
      </c>
      <c r="D727" s="422" t="s">
        <v>805</v>
      </c>
      <c r="E727" s="423"/>
      <c r="F727" s="424">
        <v>20</v>
      </c>
      <c r="G727" s="425">
        <v>0.14000000000000001</v>
      </c>
      <c r="H727" s="663">
        <f t="shared" si="229"/>
        <v>3.3712000000000004</v>
      </c>
      <c r="I727" s="420">
        <v>72.759999999999991</v>
      </c>
      <c r="J727" s="420">
        <f t="shared" si="227"/>
        <v>76.131199999999993</v>
      </c>
      <c r="K727" s="421">
        <f t="shared" si="224"/>
        <v>90.45</v>
      </c>
      <c r="L727" s="647" t="s">
        <v>18</v>
      </c>
      <c r="M727" s="576"/>
      <c r="N727" s="576">
        <f t="shared" si="230"/>
        <v>0</v>
      </c>
      <c r="O727" s="577">
        <f t="shared" si="219"/>
        <v>0</v>
      </c>
      <c r="P727" s="578">
        <f t="shared" si="220"/>
        <v>0</v>
      </c>
      <c r="Q727" s="765"/>
      <c r="R727" s="576">
        <f t="shared" si="215"/>
        <v>0</v>
      </c>
      <c r="S727" s="576">
        <f t="shared" si="225"/>
        <v>0</v>
      </c>
      <c r="T727" s="577">
        <f t="shared" si="216"/>
        <v>0</v>
      </c>
      <c r="U727" s="578">
        <f t="shared" si="217"/>
        <v>0</v>
      </c>
      <c r="V727" s="579"/>
      <c r="W727" s="566"/>
      <c r="X727" s="586" t="str">
        <f t="shared" si="191"/>
        <v/>
      </c>
      <c r="Y727" s="586" t="str">
        <f t="shared" si="189"/>
        <v/>
      </c>
      <c r="Z727" s="586" t="str">
        <f t="shared" si="208"/>
        <v/>
      </c>
    </row>
    <row r="728" spans="1:26" hidden="1" x14ac:dyDescent="0.2">
      <c r="A728" s="567">
        <v>534906</v>
      </c>
      <c r="B728" s="644" t="s">
        <v>1561</v>
      </c>
      <c r="C728" s="645" t="s">
        <v>206</v>
      </c>
      <c r="D728" s="422" t="s">
        <v>806</v>
      </c>
      <c r="E728" s="423"/>
      <c r="F728" s="424">
        <v>20</v>
      </c>
      <c r="G728" s="425">
        <v>0.14000000000000001</v>
      </c>
      <c r="H728" s="663">
        <f t="shared" si="229"/>
        <v>3.3712000000000004</v>
      </c>
      <c r="I728" s="420">
        <v>80.040000000000006</v>
      </c>
      <c r="J728" s="420">
        <f t="shared" si="227"/>
        <v>83.411200000000008</v>
      </c>
      <c r="K728" s="421">
        <f t="shared" si="224"/>
        <v>99.1</v>
      </c>
      <c r="L728" s="647" t="s">
        <v>18</v>
      </c>
      <c r="M728" s="576"/>
      <c r="N728" s="576">
        <f t="shared" si="230"/>
        <v>0</v>
      </c>
      <c r="O728" s="577">
        <f t="shared" si="219"/>
        <v>0</v>
      </c>
      <c r="P728" s="578">
        <f t="shared" si="220"/>
        <v>0</v>
      </c>
      <c r="Q728" s="765"/>
      <c r="R728" s="576">
        <f t="shared" si="215"/>
        <v>0</v>
      </c>
      <c r="S728" s="576">
        <f t="shared" si="225"/>
        <v>0</v>
      </c>
      <c r="T728" s="577">
        <f t="shared" si="216"/>
        <v>0</v>
      </c>
      <c r="U728" s="578">
        <f t="shared" si="217"/>
        <v>0</v>
      </c>
      <c r="V728" s="579"/>
      <c r="W728" s="566"/>
      <c r="X728" s="586" t="str">
        <f t="shared" si="191"/>
        <v/>
      </c>
      <c r="Y728" s="586" t="str">
        <f t="shared" si="189"/>
        <v/>
      </c>
      <c r="Z728" s="586" t="str">
        <f t="shared" si="208"/>
        <v/>
      </c>
    </row>
    <row r="729" spans="1:26" hidden="1" x14ac:dyDescent="0.2">
      <c r="A729" s="567">
        <v>534908</v>
      </c>
      <c r="B729" s="644" t="s">
        <v>233</v>
      </c>
      <c r="C729" s="645" t="s">
        <v>206</v>
      </c>
      <c r="D729" s="422" t="s">
        <v>807</v>
      </c>
      <c r="E729" s="423"/>
      <c r="F729" s="424">
        <v>20</v>
      </c>
      <c r="G729" s="425">
        <v>0.18</v>
      </c>
      <c r="H729" s="663">
        <f t="shared" si="229"/>
        <v>4.3344000000000005</v>
      </c>
      <c r="I729" s="420">
        <v>83.56</v>
      </c>
      <c r="J729" s="420">
        <f t="shared" si="227"/>
        <v>87.894400000000005</v>
      </c>
      <c r="K729" s="421">
        <f t="shared" si="224"/>
        <v>104.43</v>
      </c>
      <c r="L729" s="647" t="s">
        <v>18</v>
      </c>
      <c r="M729" s="576"/>
      <c r="N729" s="576">
        <f t="shared" si="230"/>
        <v>0</v>
      </c>
      <c r="O729" s="577">
        <f t="shared" si="219"/>
        <v>0</v>
      </c>
      <c r="P729" s="578">
        <f t="shared" si="220"/>
        <v>0</v>
      </c>
      <c r="Q729" s="765"/>
      <c r="R729" s="576">
        <f t="shared" si="215"/>
        <v>0</v>
      </c>
      <c r="S729" s="576">
        <f t="shared" si="225"/>
        <v>0</v>
      </c>
      <c r="T729" s="577">
        <f t="shared" si="216"/>
        <v>0</v>
      </c>
      <c r="U729" s="578">
        <f t="shared" si="217"/>
        <v>0</v>
      </c>
      <c r="V729" s="579"/>
      <c r="W729" s="566"/>
      <c r="X729" s="586" t="str">
        <f t="shared" si="191"/>
        <v/>
      </c>
      <c r="Y729" s="586" t="str">
        <f t="shared" si="189"/>
        <v/>
      </c>
      <c r="Z729" s="586" t="str">
        <f t="shared" si="208"/>
        <v/>
      </c>
    </row>
    <row r="730" spans="1:26" hidden="1" x14ac:dyDescent="0.2">
      <c r="A730" s="567">
        <v>534908</v>
      </c>
      <c r="B730" s="644" t="s">
        <v>234</v>
      </c>
      <c r="C730" s="645" t="s">
        <v>206</v>
      </c>
      <c r="D730" s="422" t="s">
        <v>808</v>
      </c>
      <c r="E730" s="423"/>
      <c r="F730" s="424">
        <v>20</v>
      </c>
      <c r="G730" s="425">
        <v>0.18</v>
      </c>
      <c r="H730" s="663">
        <f t="shared" si="229"/>
        <v>4.3344000000000005</v>
      </c>
      <c r="I730" s="420">
        <v>91.92</v>
      </c>
      <c r="J730" s="420">
        <f t="shared" si="227"/>
        <v>96.254400000000004</v>
      </c>
      <c r="K730" s="421">
        <f t="shared" si="224"/>
        <v>114.36</v>
      </c>
      <c r="L730" s="647" t="s">
        <v>18</v>
      </c>
      <c r="M730" s="576"/>
      <c r="N730" s="576">
        <f t="shared" si="230"/>
        <v>0</v>
      </c>
      <c r="O730" s="577">
        <f t="shared" si="219"/>
        <v>0</v>
      </c>
      <c r="P730" s="578">
        <f t="shared" si="220"/>
        <v>0</v>
      </c>
      <c r="Q730" s="765"/>
      <c r="R730" s="576">
        <f t="shared" si="215"/>
        <v>0</v>
      </c>
      <c r="S730" s="576">
        <f t="shared" si="225"/>
        <v>0</v>
      </c>
      <c r="T730" s="577">
        <f t="shared" si="216"/>
        <v>0</v>
      </c>
      <c r="U730" s="578">
        <f t="shared" si="217"/>
        <v>0</v>
      </c>
      <c r="V730" s="579"/>
      <c r="W730" s="566"/>
      <c r="X730" s="586" t="str">
        <f t="shared" si="191"/>
        <v/>
      </c>
      <c r="Y730" s="586" t="str">
        <f t="shared" si="189"/>
        <v/>
      </c>
      <c r="Z730" s="586" t="str">
        <f t="shared" si="208"/>
        <v/>
      </c>
    </row>
    <row r="731" spans="1:26" hidden="1" x14ac:dyDescent="0.2">
      <c r="A731" s="567">
        <v>534908</v>
      </c>
      <c r="B731" s="644" t="s">
        <v>1562</v>
      </c>
      <c r="C731" s="645" t="s">
        <v>206</v>
      </c>
      <c r="D731" s="422" t="s">
        <v>809</v>
      </c>
      <c r="E731" s="423"/>
      <c r="F731" s="424">
        <v>20</v>
      </c>
      <c r="G731" s="425">
        <v>0.22</v>
      </c>
      <c r="H731" s="663">
        <f t="shared" si="229"/>
        <v>5.2976000000000001</v>
      </c>
      <c r="I731" s="420">
        <v>94.614793103448264</v>
      </c>
      <c r="J731" s="420">
        <f t="shared" si="227"/>
        <v>99.912393103448267</v>
      </c>
      <c r="K731" s="421">
        <f t="shared" si="224"/>
        <v>118.71</v>
      </c>
      <c r="L731" s="647" t="s">
        <v>18</v>
      </c>
      <c r="M731" s="576"/>
      <c r="N731" s="576">
        <f t="shared" si="230"/>
        <v>0</v>
      </c>
      <c r="O731" s="577">
        <f t="shared" si="219"/>
        <v>0</v>
      </c>
      <c r="P731" s="578">
        <f t="shared" si="220"/>
        <v>0</v>
      </c>
      <c r="Q731" s="765"/>
      <c r="R731" s="576">
        <f t="shared" si="215"/>
        <v>0</v>
      </c>
      <c r="S731" s="576">
        <f t="shared" si="225"/>
        <v>0</v>
      </c>
      <c r="T731" s="577">
        <f t="shared" si="216"/>
        <v>0</v>
      </c>
      <c r="U731" s="578">
        <f t="shared" si="217"/>
        <v>0</v>
      </c>
      <c r="V731" s="579"/>
      <c r="W731" s="566"/>
      <c r="X731" s="586" t="str">
        <f t="shared" si="191"/>
        <v/>
      </c>
      <c r="Y731" s="586" t="str">
        <f t="shared" si="189"/>
        <v/>
      </c>
      <c r="Z731" s="586" t="str">
        <f t="shared" si="208"/>
        <v/>
      </c>
    </row>
    <row r="732" spans="1:26" hidden="1" x14ac:dyDescent="0.2">
      <c r="A732" s="567">
        <v>534908</v>
      </c>
      <c r="B732" s="644" t="s">
        <v>1563</v>
      </c>
      <c r="C732" s="645" t="s">
        <v>206</v>
      </c>
      <c r="D732" s="422" t="s">
        <v>810</v>
      </c>
      <c r="E732" s="423"/>
      <c r="F732" s="424">
        <v>20</v>
      </c>
      <c r="G732" s="425">
        <v>0.22</v>
      </c>
      <c r="H732" s="663">
        <f t="shared" si="229"/>
        <v>5.2976000000000001</v>
      </c>
      <c r="I732" s="420">
        <v>104.08</v>
      </c>
      <c r="J732" s="420">
        <f t="shared" si="227"/>
        <v>109.3776</v>
      </c>
      <c r="K732" s="421">
        <f t="shared" si="224"/>
        <v>129.94999999999999</v>
      </c>
      <c r="L732" s="647" t="s">
        <v>18</v>
      </c>
      <c r="M732" s="576"/>
      <c r="N732" s="576">
        <f t="shared" si="230"/>
        <v>0</v>
      </c>
      <c r="O732" s="577">
        <f t="shared" si="219"/>
        <v>0</v>
      </c>
      <c r="P732" s="578">
        <f t="shared" si="220"/>
        <v>0</v>
      </c>
      <c r="Q732" s="765"/>
      <c r="R732" s="576">
        <f t="shared" si="215"/>
        <v>0</v>
      </c>
      <c r="S732" s="576">
        <f t="shared" si="225"/>
        <v>0</v>
      </c>
      <c r="T732" s="577">
        <f t="shared" si="216"/>
        <v>0</v>
      </c>
      <c r="U732" s="578">
        <f t="shared" si="217"/>
        <v>0</v>
      </c>
      <c r="V732" s="579"/>
      <c r="W732" s="566"/>
      <c r="X732" s="586" t="str">
        <f t="shared" si="191"/>
        <v/>
      </c>
      <c r="Y732" s="586" t="str">
        <f t="shared" si="189"/>
        <v/>
      </c>
      <c r="Z732" s="586" t="str">
        <f t="shared" si="208"/>
        <v/>
      </c>
    </row>
    <row r="733" spans="1:26" hidden="1" x14ac:dyDescent="0.2">
      <c r="A733" s="671">
        <v>101090</v>
      </c>
      <c r="B733" s="644" t="s">
        <v>1564</v>
      </c>
      <c r="C733" s="645" t="s">
        <v>670</v>
      </c>
      <c r="D733" s="422" t="s">
        <v>811</v>
      </c>
      <c r="E733" s="423"/>
      <c r="F733" s="424">
        <v>20</v>
      </c>
      <c r="G733" s="425">
        <v>0.3</v>
      </c>
      <c r="H733" s="663">
        <f t="shared" si="229"/>
        <v>7.2240000000000002</v>
      </c>
      <c r="I733" s="420">
        <v>177.63</v>
      </c>
      <c r="J733" s="420">
        <f>IF(ISBLANK(I733),"",SUM(H733:I733))</f>
        <v>184.85399999999998</v>
      </c>
      <c r="K733" s="421">
        <f t="shared" si="224"/>
        <v>219.63</v>
      </c>
      <c r="L733" s="647" t="s">
        <v>18</v>
      </c>
      <c r="M733" s="650"/>
      <c r="N733" s="576">
        <f t="shared" si="230"/>
        <v>0</v>
      </c>
      <c r="O733" s="577">
        <f t="shared" si="219"/>
        <v>0</v>
      </c>
      <c r="P733" s="578">
        <f t="shared" si="220"/>
        <v>0</v>
      </c>
      <c r="Q733" s="765"/>
      <c r="R733" s="650">
        <f t="shared" si="215"/>
        <v>0</v>
      </c>
      <c r="S733" s="587">
        <f t="shared" si="225"/>
        <v>0</v>
      </c>
      <c r="T733" s="577">
        <f t="shared" si="216"/>
        <v>0</v>
      </c>
      <c r="U733" s="578">
        <f t="shared" si="217"/>
        <v>0</v>
      </c>
      <c r="V733" s="579"/>
      <c r="W733" s="566"/>
      <c r="X733" s="586" t="str">
        <f t="shared" si="191"/>
        <v/>
      </c>
      <c r="Y733" s="586" t="str">
        <f t="shared" si="189"/>
        <v/>
      </c>
      <c r="Z733" s="586" t="str">
        <f t="shared" si="208"/>
        <v/>
      </c>
    </row>
    <row r="734" spans="1:26" hidden="1" x14ac:dyDescent="0.2">
      <c r="A734" s="671">
        <v>98509</v>
      </c>
      <c r="B734" s="644">
        <v>98509</v>
      </c>
      <c r="C734" s="645" t="s">
        <v>670</v>
      </c>
      <c r="D734" s="422" t="s">
        <v>822</v>
      </c>
      <c r="E734" s="423"/>
      <c r="F734" s="424"/>
      <c r="G734" s="425"/>
      <c r="H734" s="651">
        <v>0</v>
      </c>
      <c r="I734" s="420">
        <v>28.98</v>
      </c>
      <c r="J734" s="420">
        <f t="shared" ref="J734:J746" si="231">IF(ISBLANK(I734),"",SUM(H734:I734))</f>
        <v>28.98</v>
      </c>
      <c r="K734" s="421">
        <f t="shared" si="224"/>
        <v>34.43</v>
      </c>
      <c r="L734" s="647" t="s">
        <v>21</v>
      </c>
      <c r="M734" s="576"/>
      <c r="N734" s="576">
        <f t="shared" si="230"/>
        <v>0</v>
      </c>
      <c r="O734" s="577">
        <f t="shared" si="219"/>
        <v>0</v>
      </c>
      <c r="P734" s="578">
        <f t="shared" si="220"/>
        <v>0</v>
      </c>
      <c r="Q734" s="765"/>
      <c r="R734" s="576">
        <f t="shared" si="215"/>
        <v>0</v>
      </c>
      <c r="S734" s="576">
        <f t="shared" si="225"/>
        <v>0</v>
      </c>
      <c r="T734" s="577">
        <f t="shared" si="216"/>
        <v>0</v>
      </c>
      <c r="U734" s="578">
        <f t="shared" si="217"/>
        <v>0</v>
      </c>
      <c r="V734" s="579"/>
      <c r="W734" s="566"/>
      <c r="X734" s="586" t="str">
        <f t="shared" si="191"/>
        <v/>
      </c>
      <c r="Y734" s="586" t="str">
        <f t="shared" si="189"/>
        <v/>
      </c>
      <c r="Z734" s="586" t="str">
        <f t="shared" si="208"/>
        <v/>
      </c>
    </row>
    <row r="735" spans="1:26" hidden="1" x14ac:dyDescent="0.2">
      <c r="A735" s="671">
        <v>98510</v>
      </c>
      <c r="B735" s="644">
        <v>98510</v>
      </c>
      <c r="C735" s="645" t="s">
        <v>670</v>
      </c>
      <c r="D735" s="422" t="s">
        <v>823</v>
      </c>
      <c r="E735" s="423"/>
      <c r="F735" s="424"/>
      <c r="G735" s="425"/>
      <c r="H735" s="651">
        <v>0</v>
      </c>
      <c r="I735" s="420">
        <v>51.29</v>
      </c>
      <c r="J735" s="420">
        <f>IF(ISBLANK(I735),"",SUM(H735:I735))</f>
        <v>51.29</v>
      </c>
      <c r="K735" s="421">
        <f>IF(ISBLANK(I735),0,ROUND(J735*(1+$F$10)*(1+$F$11*E735),2))</f>
        <v>60.94</v>
      </c>
      <c r="L735" s="647" t="s">
        <v>21</v>
      </c>
      <c r="M735" s="576"/>
      <c r="N735" s="576">
        <f t="shared" si="230"/>
        <v>0</v>
      </c>
      <c r="O735" s="577">
        <f t="shared" si="219"/>
        <v>0</v>
      </c>
      <c r="P735" s="578">
        <f t="shared" si="220"/>
        <v>0</v>
      </c>
      <c r="Q735" s="765"/>
      <c r="R735" s="576">
        <f t="shared" si="215"/>
        <v>0</v>
      </c>
      <c r="S735" s="576">
        <f t="shared" si="225"/>
        <v>0</v>
      </c>
      <c r="T735" s="577">
        <f t="shared" si="216"/>
        <v>0</v>
      </c>
      <c r="U735" s="578">
        <f t="shared" si="217"/>
        <v>0</v>
      </c>
      <c r="V735" s="579"/>
      <c r="W735" s="566"/>
      <c r="X735" s="586" t="str">
        <f>IF(W735="X","x",IF(W735="xx","x",IF(W735="xy","x",IF(W735="y","x",IF(OR(P735&gt;0,U735&gt;0),"x","")))))</f>
        <v/>
      </c>
      <c r="Y735" s="586" t="str">
        <f>IF(W735="X","x",IF(W735="y","x",IF(W735="xx","x",IF(U735&gt;0,"x",""))))</f>
        <v/>
      </c>
      <c r="Z735" s="586" t="str">
        <f>IF(W735="X","x",IF(U735&gt;0,"x",""))</f>
        <v/>
      </c>
    </row>
    <row r="736" spans="1:26" hidden="1" x14ac:dyDescent="0.2">
      <c r="A736" s="567">
        <v>98511</v>
      </c>
      <c r="B736" s="644">
        <v>98511</v>
      </c>
      <c r="C736" s="645" t="s">
        <v>670</v>
      </c>
      <c r="D736" s="422" t="s">
        <v>824</v>
      </c>
      <c r="E736" s="423"/>
      <c r="F736" s="424"/>
      <c r="G736" s="425"/>
      <c r="H736" s="651">
        <v>0</v>
      </c>
      <c r="I736" s="420">
        <v>92.87</v>
      </c>
      <c r="J736" s="420">
        <f>IF(ISBLANK(I736),"",SUM(H736:I736))</f>
        <v>92.87</v>
      </c>
      <c r="K736" s="421">
        <f t="shared" si="224"/>
        <v>110.34</v>
      </c>
      <c r="L736" s="647" t="s">
        <v>21</v>
      </c>
      <c r="M736" s="576"/>
      <c r="N736" s="576">
        <f t="shared" si="230"/>
        <v>0</v>
      </c>
      <c r="O736" s="577">
        <f t="shared" si="219"/>
        <v>0</v>
      </c>
      <c r="P736" s="578">
        <f t="shared" si="220"/>
        <v>0</v>
      </c>
      <c r="Q736" s="765"/>
      <c r="R736" s="576">
        <f t="shared" si="215"/>
        <v>0</v>
      </c>
      <c r="S736" s="576">
        <f t="shared" si="225"/>
        <v>0</v>
      </c>
      <c r="T736" s="577">
        <f t="shared" si="216"/>
        <v>0</v>
      </c>
      <c r="U736" s="578">
        <f t="shared" si="217"/>
        <v>0</v>
      </c>
      <c r="V736" s="579"/>
      <c r="W736" s="566"/>
      <c r="X736" s="586" t="str">
        <f t="shared" si="191"/>
        <v/>
      </c>
      <c r="Y736" s="586" t="str">
        <f t="shared" si="189"/>
        <v/>
      </c>
      <c r="Z736" s="586" t="str">
        <f t="shared" si="208"/>
        <v/>
      </c>
    </row>
    <row r="737" spans="1:26" hidden="1" x14ac:dyDescent="0.2">
      <c r="A737" s="567">
        <v>98516</v>
      </c>
      <c r="B737" s="644">
        <v>98516</v>
      </c>
      <c r="C737" s="645" t="s">
        <v>670</v>
      </c>
      <c r="D737" s="422" t="s">
        <v>825</v>
      </c>
      <c r="E737" s="423"/>
      <c r="F737" s="424"/>
      <c r="G737" s="425"/>
      <c r="H737" s="651">
        <v>0</v>
      </c>
      <c r="I737" s="420">
        <v>315.36</v>
      </c>
      <c r="J737" s="420">
        <f>IF(ISBLANK(I737),"",SUM(H737:I737))</f>
        <v>315.36</v>
      </c>
      <c r="K737" s="421">
        <f t="shared" si="224"/>
        <v>374.68</v>
      </c>
      <c r="L737" s="647" t="s">
        <v>21</v>
      </c>
      <c r="M737" s="576"/>
      <c r="N737" s="576">
        <f t="shared" si="230"/>
        <v>0</v>
      </c>
      <c r="O737" s="577">
        <f t="shared" si="219"/>
        <v>0</v>
      </c>
      <c r="P737" s="578">
        <f t="shared" si="220"/>
        <v>0</v>
      </c>
      <c r="Q737" s="765"/>
      <c r="R737" s="576">
        <f t="shared" si="215"/>
        <v>0</v>
      </c>
      <c r="S737" s="576">
        <f t="shared" si="225"/>
        <v>0</v>
      </c>
      <c r="T737" s="577">
        <f t="shared" si="216"/>
        <v>0</v>
      </c>
      <c r="U737" s="578">
        <f t="shared" si="217"/>
        <v>0</v>
      </c>
      <c r="V737" s="579"/>
      <c r="W737" s="566"/>
      <c r="X737" s="586" t="str">
        <f t="shared" si="191"/>
        <v/>
      </c>
      <c r="Y737" s="586" t="str">
        <f t="shared" si="189"/>
        <v/>
      </c>
      <c r="Z737" s="586" t="str">
        <f t="shared" si="208"/>
        <v/>
      </c>
    </row>
    <row r="738" spans="1:26" hidden="1" x14ac:dyDescent="0.2">
      <c r="A738" s="567">
        <v>98504</v>
      </c>
      <c r="B738" s="644">
        <v>98504</v>
      </c>
      <c r="C738" s="645" t="s">
        <v>670</v>
      </c>
      <c r="D738" s="422" t="s">
        <v>494</v>
      </c>
      <c r="E738" s="423"/>
      <c r="F738" s="424"/>
      <c r="G738" s="425"/>
      <c r="H738" s="651">
        <v>0</v>
      </c>
      <c r="I738" s="420">
        <v>10.55</v>
      </c>
      <c r="J738" s="420">
        <f t="shared" si="231"/>
        <v>10.55</v>
      </c>
      <c r="K738" s="421">
        <f t="shared" si="224"/>
        <v>12.53</v>
      </c>
      <c r="L738" s="647" t="s">
        <v>18</v>
      </c>
      <c r="M738" s="576"/>
      <c r="N738" s="576">
        <f t="shared" si="230"/>
        <v>0</v>
      </c>
      <c r="O738" s="577">
        <f t="shared" si="219"/>
        <v>0</v>
      </c>
      <c r="P738" s="578">
        <f t="shared" si="220"/>
        <v>0</v>
      </c>
      <c r="Q738" s="765"/>
      <c r="R738" s="576">
        <f t="shared" si="215"/>
        <v>0</v>
      </c>
      <c r="S738" s="576">
        <f t="shared" si="225"/>
        <v>0</v>
      </c>
      <c r="T738" s="577">
        <f t="shared" si="216"/>
        <v>0</v>
      </c>
      <c r="U738" s="578">
        <f t="shared" si="217"/>
        <v>0</v>
      </c>
      <c r="V738" s="579"/>
      <c r="W738" s="566"/>
      <c r="X738" s="586" t="str">
        <f t="shared" si="191"/>
        <v/>
      </c>
      <c r="Y738" s="586" t="str">
        <f t="shared" si="189"/>
        <v/>
      </c>
      <c r="Z738" s="586" t="str">
        <f t="shared" si="208"/>
        <v/>
      </c>
    </row>
    <row r="739" spans="1:26" hidden="1" x14ac:dyDescent="0.2">
      <c r="A739" s="671">
        <v>98505</v>
      </c>
      <c r="B739" s="644">
        <v>98505</v>
      </c>
      <c r="C739" s="645" t="s">
        <v>670</v>
      </c>
      <c r="D739" s="422" t="s">
        <v>826</v>
      </c>
      <c r="E739" s="423"/>
      <c r="F739" s="424"/>
      <c r="G739" s="425"/>
      <c r="H739" s="651">
        <v>0</v>
      </c>
      <c r="I739" s="420">
        <v>42.56</v>
      </c>
      <c r="J739" s="420">
        <f t="shared" si="231"/>
        <v>42.56</v>
      </c>
      <c r="K739" s="421">
        <f t="shared" si="224"/>
        <v>50.57</v>
      </c>
      <c r="L739" s="647" t="s">
        <v>18</v>
      </c>
      <c r="M739" s="576"/>
      <c r="N739" s="576">
        <f t="shared" si="230"/>
        <v>0</v>
      </c>
      <c r="O739" s="577">
        <f t="shared" si="219"/>
        <v>0</v>
      </c>
      <c r="P739" s="578">
        <f t="shared" si="220"/>
        <v>0</v>
      </c>
      <c r="Q739" s="765"/>
      <c r="R739" s="576">
        <f t="shared" si="215"/>
        <v>0</v>
      </c>
      <c r="S739" s="576">
        <f t="shared" si="225"/>
        <v>0</v>
      </c>
      <c r="T739" s="577">
        <f t="shared" si="216"/>
        <v>0</v>
      </c>
      <c r="U739" s="578">
        <f t="shared" si="217"/>
        <v>0</v>
      </c>
      <c r="V739" s="579"/>
      <c r="W739" s="566"/>
      <c r="X739" s="586" t="str">
        <f t="shared" si="191"/>
        <v/>
      </c>
      <c r="Y739" s="586" t="str">
        <f t="shared" si="189"/>
        <v/>
      </c>
      <c r="Z739" s="586" t="str">
        <f t="shared" si="208"/>
        <v/>
      </c>
    </row>
    <row r="740" spans="1:26" hidden="1" x14ac:dyDescent="0.2">
      <c r="A740" s="567">
        <v>800000</v>
      </c>
      <c r="B740" s="644">
        <v>800000</v>
      </c>
      <c r="C740" s="645" t="s">
        <v>206</v>
      </c>
      <c r="D740" s="422" t="s">
        <v>495</v>
      </c>
      <c r="E740" s="423"/>
      <c r="F740" s="424"/>
      <c r="G740" s="425"/>
      <c r="H740" s="651">
        <v>0</v>
      </c>
      <c r="I740" s="420">
        <v>12.27</v>
      </c>
      <c r="J740" s="420">
        <f>IF(ISBLANK(I740),"",SUM(H740:I740))</f>
        <v>12.27</v>
      </c>
      <c r="K740" s="421">
        <f t="shared" si="224"/>
        <v>14.58</v>
      </c>
      <c r="L740" s="647" t="s">
        <v>18</v>
      </c>
      <c r="M740" s="576"/>
      <c r="N740" s="576">
        <f t="shared" si="230"/>
        <v>0</v>
      </c>
      <c r="O740" s="577">
        <f t="shared" si="219"/>
        <v>0</v>
      </c>
      <c r="P740" s="578">
        <f t="shared" si="220"/>
        <v>0</v>
      </c>
      <c r="Q740" s="765"/>
      <c r="R740" s="576">
        <f t="shared" si="215"/>
        <v>0</v>
      </c>
      <c r="S740" s="576">
        <f t="shared" si="225"/>
        <v>0</v>
      </c>
      <c r="T740" s="577">
        <f t="shared" si="216"/>
        <v>0</v>
      </c>
      <c r="U740" s="578">
        <f t="shared" si="217"/>
        <v>0</v>
      </c>
      <c r="V740" s="579"/>
      <c r="W740" s="566"/>
      <c r="X740" s="586" t="str">
        <f t="shared" si="191"/>
        <v/>
      </c>
      <c r="Y740" s="586" t="str">
        <f t="shared" si="189"/>
        <v/>
      </c>
      <c r="Z740" s="586" t="str">
        <f t="shared" si="208"/>
        <v/>
      </c>
    </row>
    <row r="741" spans="1:26" hidden="1" x14ac:dyDescent="0.2">
      <c r="A741" s="567" t="s">
        <v>312</v>
      </c>
      <c r="B741" s="644" t="s">
        <v>312</v>
      </c>
      <c r="C741" s="645" t="s">
        <v>206</v>
      </c>
      <c r="D741" s="422" t="s">
        <v>295</v>
      </c>
      <c r="E741" s="423"/>
      <c r="F741" s="424"/>
      <c r="G741" s="425"/>
      <c r="H741" s="651"/>
      <c r="I741" s="420">
        <v>0</v>
      </c>
      <c r="J741" s="420">
        <f t="shared" si="231"/>
        <v>0</v>
      </c>
      <c r="K741" s="421">
        <f t="shared" si="224"/>
        <v>0</v>
      </c>
      <c r="L741" s="647" t="s">
        <v>16</v>
      </c>
      <c r="M741" s="576"/>
      <c r="N741" s="576">
        <f t="shared" si="230"/>
        <v>0</v>
      </c>
      <c r="O741" s="577">
        <f t="shared" si="219"/>
        <v>0</v>
      </c>
      <c r="P741" s="578">
        <f t="shared" si="220"/>
        <v>0</v>
      </c>
      <c r="Q741" s="765"/>
      <c r="R741" s="576">
        <f t="shared" si="215"/>
        <v>0</v>
      </c>
      <c r="S741" s="576">
        <f t="shared" si="225"/>
        <v>0</v>
      </c>
      <c r="T741" s="577">
        <f t="shared" si="216"/>
        <v>0</v>
      </c>
      <c r="U741" s="578">
        <f t="shared" si="217"/>
        <v>0</v>
      </c>
      <c r="V741" s="579"/>
      <c r="W741" s="566"/>
      <c r="X741" s="586" t="str">
        <f t="shared" si="191"/>
        <v/>
      </c>
      <c r="Y741" s="586" t="str">
        <f t="shared" si="189"/>
        <v/>
      </c>
      <c r="Z741" s="586" t="str">
        <f t="shared" si="208"/>
        <v/>
      </c>
    </row>
    <row r="742" spans="1:26" x14ac:dyDescent="0.2">
      <c r="A742" s="567">
        <v>605000</v>
      </c>
      <c r="B742" s="644" t="s">
        <v>1628</v>
      </c>
      <c r="C742" s="645" t="s">
        <v>206</v>
      </c>
      <c r="D742" s="422" t="s">
        <v>296</v>
      </c>
      <c r="E742" s="423"/>
      <c r="F742" s="424"/>
      <c r="G742" s="425"/>
      <c r="H742" s="651"/>
      <c r="I742" s="420">
        <v>463.04557915407855</v>
      </c>
      <c r="J742" s="420">
        <f t="shared" si="231"/>
        <v>463.04557915407855</v>
      </c>
      <c r="K742" s="421">
        <f t="shared" si="224"/>
        <v>550.14</v>
      </c>
      <c r="L742" s="647" t="s">
        <v>21</v>
      </c>
      <c r="M742" s="576">
        <v>16</v>
      </c>
      <c r="N742" s="576">
        <f t="shared" si="230"/>
        <v>550.14</v>
      </c>
      <c r="O742" s="577">
        <f t="shared" si="219"/>
        <v>8802.24</v>
      </c>
      <c r="P742" s="578">
        <f t="shared" si="220"/>
        <v>8802.24</v>
      </c>
      <c r="Q742" s="765"/>
      <c r="R742" s="576">
        <f t="shared" si="215"/>
        <v>16</v>
      </c>
      <c r="S742" s="576">
        <f t="shared" si="225"/>
        <v>550.14</v>
      </c>
      <c r="T742" s="577">
        <f t="shared" si="216"/>
        <v>8802.24</v>
      </c>
      <c r="U742" s="578">
        <f t="shared" si="217"/>
        <v>8802.24</v>
      </c>
      <c r="V742" s="579"/>
      <c r="W742" s="566"/>
      <c r="X742" s="586" t="str">
        <f t="shared" si="191"/>
        <v>x</v>
      </c>
      <c r="Y742" s="586" t="str">
        <f t="shared" si="189"/>
        <v>x</v>
      </c>
      <c r="Z742" s="586" t="str">
        <f t="shared" si="208"/>
        <v>x</v>
      </c>
    </row>
    <row r="743" spans="1:26" hidden="1" x14ac:dyDescent="0.2">
      <c r="A743" s="567">
        <v>605000</v>
      </c>
      <c r="B743" s="644" t="s">
        <v>1629</v>
      </c>
      <c r="C743" s="645" t="s">
        <v>206</v>
      </c>
      <c r="D743" s="422" t="s">
        <v>297</v>
      </c>
      <c r="E743" s="423"/>
      <c r="F743" s="424"/>
      <c r="G743" s="425"/>
      <c r="H743" s="651"/>
      <c r="I743" s="420">
        <v>463.04557915407855</v>
      </c>
      <c r="J743" s="420">
        <f t="shared" si="231"/>
        <v>463.04557915407855</v>
      </c>
      <c r="K743" s="421">
        <f t="shared" si="224"/>
        <v>550.14</v>
      </c>
      <c r="L743" s="647" t="s">
        <v>21</v>
      </c>
      <c r="M743" s="576"/>
      <c r="N743" s="576">
        <f t="shared" si="230"/>
        <v>0</v>
      </c>
      <c r="O743" s="577">
        <f t="shared" si="219"/>
        <v>0</v>
      </c>
      <c r="P743" s="578">
        <f t="shared" si="220"/>
        <v>0</v>
      </c>
      <c r="Q743" s="765"/>
      <c r="R743" s="576">
        <f t="shared" si="215"/>
        <v>0</v>
      </c>
      <c r="S743" s="576">
        <f t="shared" si="225"/>
        <v>0</v>
      </c>
      <c r="T743" s="577">
        <f t="shared" si="216"/>
        <v>0</v>
      </c>
      <c r="U743" s="578">
        <f t="shared" si="217"/>
        <v>0</v>
      </c>
      <c r="V743" s="579"/>
      <c r="W743" s="566"/>
      <c r="X743" s="586" t="str">
        <f t="shared" si="191"/>
        <v/>
      </c>
      <c r="Y743" s="586" t="str">
        <f t="shared" si="189"/>
        <v/>
      </c>
      <c r="Z743" s="586" t="str">
        <f t="shared" si="208"/>
        <v/>
      </c>
    </row>
    <row r="744" spans="1:26" hidden="1" x14ac:dyDescent="0.2">
      <c r="A744" s="567">
        <v>605000</v>
      </c>
      <c r="B744" s="644" t="s">
        <v>1630</v>
      </c>
      <c r="C744" s="645" t="s">
        <v>206</v>
      </c>
      <c r="D744" s="422" t="s">
        <v>298</v>
      </c>
      <c r="E744" s="423"/>
      <c r="F744" s="424"/>
      <c r="G744" s="425"/>
      <c r="H744" s="651"/>
      <c r="I744" s="420">
        <v>463.04557915407855</v>
      </c>
      <c r="J744" s="420">
        <f t="shared" si="231"/>
        <v>463.04557915407855</v>
      </c>
      <c r="K744" s="421">
        <f t="shared" si="224"/>
        <v>550.14</v>
      </c>
      <c r="L744" s="647" t="s">
        <v>21</v>
      </c>
      <c r="M744" s="576"/>
      <c r="N744" s="576">
        <f t="shared" si="230"/>
        <v>0</v>
      </c>
      <c r="O744" s="577">
        <f t="shared" si="219"/>
        <v>0</v>
      </c>
      <c r="P744" s="578">
        <f t="shared" si="220"/>
        <v>0</v>
      </c>
      <c r="Q744" s="765"/>
      <c r="R744" s="576">
        <f t="shared" si="215"/>
        <v>0</v>
      </c>
      <c r="S744" s="576">
        <f t="shared" si="225"/>
        <v>0</v>
      </c>
      <c r="T744" s="577">
        <f t="shared" si="216"/>
        <v>0</v>
      </c>
      <c r="U744" s="578">
        <f t="shared" si="217"/>
        <v>0</v>
      </c>
      <c r="V744" s="579"/>
      <c r="W744" s="566"/>
      <c r="X744" s="586" t="str">
        <f t="shared" si="191"/>
        <v/>
      </c>
      <c r="Y744" s="586" t="str">
        <f t="shared" si="189"/>
        <v/>
      </c>
      <c r="Z744" s="586" t="str">
        <f t="shared" si="208"/>
        <v/>
      </c>
    </row>
    <row r="745" spans="1:26" hidden="1" x14ac:dyDescent="0.2">
      <c r="A745" s="567">
        <v>605000</v>
      </c>
      <c r="B745" s="644" t="s">
        <v>1631</v>
      </c>
      <c r="C745" s="645" t="s">
        <v>206</v>
      </c>
      <c r="D745" s="422" t="s">
        <v>299</v>
      </c>
      <c r="E745" s="423"/>
      <c r="F745" s="424"/>
      <c r="G745" s="425"/>
      <c r="H745" s="651"/>
      <c r="I745" s="420">
        <v>629.22808401812688</v>
      </c>
      <c r="J745" s="420">
        <f t="shared" si="231"/>
        <v>629.22808401812688</v>
      </c>
      <c r="K745" s="421">
        <f t="shared" si="224"/>
        <v>747.59</v>
      </c>
      <c r="L745" s="647" t="s">
        <v>21</v>
      </c>
      <c r="M745" s="576"/>
      <c r="N745" s="576">
        <f t="shared" si="230"/>
        <v>0</v>
      </c>
      <c r="O745" s="577">
        <f t="shared" si="219"/>
        <v>0</v>
      </c>
      <c r="P745" s="578">
        <f t="shared" si="220"/>
        <v>0</v>
      </c>
      <c r="Q745" s="765"/>
      <c r="R745" s="576">
        <f t="shared" si="215"/>
        <v>0</v>
      </c>
      <c r="S745" s="576">
        <f t="shared" si="225"/>
        <v>0</v>
      </c>
      <c r="T745" s="577">
        <f t="shared" si="216"/>
        <v>0</v>
      </c>
      <c r="U745" s="578">
        <f t="shared" si="217"/>
        <v>0</v>
      </c>
      <c r="V745" s="579"/>
      <c r="W745" s="566"/>
      <c r="X745" s="586" t="str">
        <f t="shared" si="191"/>
        <v/>
      </c>
      <c r="Y745" s="586" t="str">
        <f t="shared" si="189"/>
        <v/>
      </c>
      <c r="Z745" s="586" t="str">
        <f t="shared" si="208"/>
        <v/>
      </c>
    </row>
    <row r="746" spans="1:26" hidden="1" x14ac:dyDescent="0.2">
      <c r="A746" s="567">
        <v>605000</v>
      </c>
      <c r="B746" s="644" t="s">
        <v>1632</v>
      </c>
      <c r="C746" s="645" t="s">
        <v>206</v>
      </c>
      <c r="D746" s="422" t="s">
        <v>300</v>
      </c>
      <c r="E746" s="423"/>
      <c r="F746" s="424"/>
      <c r="G746" s="425"/>
      <c r="H746" s="651"/>
      <c r="I746" s="420">
        <v>551.37877287009064</v>
      </c>
      <c r="J746" s="420">
        <f t="shared" si="231"/>
        <v>551.37877287009064</v>
      </c>
      <c r="K746" s="421">
        <f t="shared" si="224"/>
        <v>655.09</v>
      </c>
      <c r="L746" s="647" t="s">
        <v>21</v>
      </c>
      <c r="M746" s="576"/>
      <c r="N746" s="576">
        <f t="shared" si="230"/>
        <v>0</v>
      </c>
      <c r="O746" s="577">
        <f t="shared" si="219"/>
        <v>0</v>
      </c>
      <c r="P746" s="578">
        <f t="shared" si="220"/>
        <v>0</v>
      </c>
      <c r="Q746" s="765"/>
      <c r="R746" s="576">
        <f t="shared" si="215"/>
        <v>0</v>
      </c>
      <c r="S746" s="576">
        <f t="shared" si="225"/>
        <v>0</v>
      </c>
      <c r="T746" s="577">
        <f t="shared" si="216"/>
        <v>0</v>
      </c>
      <c r="U746" s="578">
        <f t="shared" si="217"/>
        <v>0</v>
      </c>
      <c r="V746" s="579"/>
      <c r="W746" s="566"/>
      <c r="X746" s="586" t="str">
        <f t="shared" si="191"/>
        <v/>
      </c>
      <c r="Y746" s="586" t="str">
        <f t="shared" si="189"/>
        <v/>
      </c>
      <c r="Z746" s="586" t="str">
        <f t="shared" si="208"/>
        <v/>
      </c>
    </row>
    <row r="747" spans="1:26" x14ac:dyDescent="0.2">
      <c r="A747" s="652" t="s">
        <v>187</v>
      </c>
      <c r="B747" s="653" t="s">
        <v>187</v>
      </c>
      <c r="C747" s="654"/>
      <c r="D747" s="427" t="s">
        <v>2093</v>
      </c>
      <c r="E747" s="491"/>
      <c r="F747" s="655"/>
      <c r="G747" s="656"/>
      <c r="H747" s="657"/>
      <c r="I747" s="429"/>
      <c r="J747" s="429"/>
      <c r="K747" s="429"/>
      <c r="L747" s="429" t="s">
        <v>614</v>
      </c>
      <c r="M747" s="657"/>
      <c r="N747" s="576">
        <f t="shared" si="230"/>
        <v>0</v>
      </c>
      <c r="O747" s="429">
        <f t="shared" si="219"/>
        <v>0</v>
      </c>
      <c r="P747" s="658">
        <f t="shared" si="220"/>
        <v>0</v>
      </c>
      <c r="Q747" s="765"/>
      <c r="R747" s="657"/>
      <c r="S747" s="429"/>
      <c r="T747" s="429">
        <f t="shared" si="216"/>
        <v>0</v>
      </c>
      <c r="U747" s="658">
        <f t="shared" si="217"/>
        <v>0</v>
      </c>
      <c r="V747" s="579"/>
      <c r="W747" s="637" t="str">
        <f>IF(OR(SUM(P748:P779)&gt;0,SUM(U748:U779)&gt;0),"y","")</f>
        <v>y</v>
      </c>
      <c r="X747" s="586" t="str">
        <f t="shared" si="191"/>
        <v>x</v>
      </c>
      <c r="Y747" s="586" t="str">
        <f t="shared" si="189"/>
        <v>x</v>
      </c>
      <c r="Z747" s="586" t="str">
        <f t="shared" si="208"/>
        <v/>
      </c>
    </row>
    <row r="748" spans="1:26" ht="12" thickBot="1" x14ac:dyDescent="0.25">
      <c r="A748" s="652" t="s">
        <v>187</v>
      </c>
      <c r="B748" s="572" t="s">
        <v>2114</v>
      </c>
      <c r="C748" s="573" t="s">
        <v>206</v>
      </c>
      <c r="D748" s="574" t="s">
        <v>2113</v>
      </c>
      <c r="E748" s="575"/>
      <c r="F748" s="436"/>
      <c r="G748" s="431"/>
      <c r="H748" s="430"/>
      <c r="I748" s="432"/>
      <c r="J748" s="433">
        <v>114.4</v>
      </c>
      <c r="K748" s="434">
        <f t="shared" ref="K748:K779" si="232">IF(ISBLANK(J748),0,ROUND(J748*(1+$F$10)*(1+$F$11*E748),2))</f>
        <v>135.91999999999999</v>
      </c>
      <c r="L748" s="435" t="s">
        <v>18</v>
      </c>
      <c r="M748" s="587">
        <v>272.32</v>
      </c>
      <c r="N748" s="576">
        <f t="shared" si="230"/>
        <v>135.91999999999999</v>
      </c>
      <c r="O748" s="577">
        <f t="shared" si="219"/>
        <v>37013.730000000003</v>
      </c>
      <c r="P748" s="578">
        <f t="shared" si="220"/>
        <v>37013.730000000003</v>
      </c>
      <c r="Q748" s="765"/>
      <c r="R748" s="650">
        <f t="shared" si="215"/>
        <v>272.32</v>
      </c>
      <c r="S748" s="587">
        <f t="shared" si="225"/>
        <v>135.91999999999999</v>
      </c>
      <c r="T748" s="577">
        <f t="shared" si="216"/>
        <v>37013.730000000003</v>
      </c>
      <c r="U748" s="578">
        <f t="shared" si="217"/>
        <v>37013.730000000003</v>
      </c>
      <c r="V748" s="579"/>
      <c r="W748" s="566"/>
      <c r="X748" s="586" t="str">
        <f t="shared" si="191"/>
        <v>x</v>
      </c>
      <c r="Y748" s="586" t="str">
        <f t="shared" si="189"/>
        <v>x</v>
      </c>
      <c r="Z748" s="586" t="str">
        <f t="shared" si="208"/>
        <v>x</v>
      </c>
    </row>
    <row r="749" spans="1:26" ht="12" hidden="1" thickBot="1" x14ac:dyDescent="0.25">
      <c r="A749" s="652" t="s">
        <v>187</v>
      </c>
      <c r="B749" s="572" t="s">
        <v>187</v>
      </c>
      <c r="C749" s="573" t="s">
        <v>187</v>
      </c>
      <c r="D749" s="580"/>
      <c r="E749" s="575"/>
      <c r="F749" s="436"/>
      <c r="G749" s="431"/>
      <c r="H749" s="430"/>
      <c r="I749" s="432"/>
      <c r="J749" s="433"/>
      <c r="K749" s="437">
        <f t="shared" si="232"/>
        <v>0</v>
      </c>
      <c r="L749" s="435" t="s">
        <v>614</v>
      </c>
      <c r="M749" s="576"/>
      <c r="N749" s="576">
        <f t="shared" si="230"/>
        <v>0</v>
      </c>
      <c r="O749" s="577">
        <f t="shared" si="219"/>
        <v>0</v>
      </c>
      <c r="P749" s="578">
        <f t="shared" si="220"/>
        <v>0</v>
      </c>
      <c r="Q749" s="765"/>
      <c r="R749" s="576">
        <f t="shared" si="215"/>
        <v>0</v>
      </c>
      <c r="S749" s="576">
        <f t="shared" si="225"/>
        <v>0</v>
      </c>
      <c r="T749" s="577">
        <f t="shared" si="216"/>
        <v>0</v>
      </c>
      <c r="U749" s="659">
        <f t="shared" si="217"/>
        <v>0</v>
      </c>
      <c r="V749" s="579"/>
      <c r="W749" s="566"/>
      <c r="X749" s="586" t="str">
        <f t="shared" si="191"/>
        <v/>
      </c>
      <c r="Y749" s="586" t="str">
        <f t="shared" si="189"/>
        <v/>
      </c>
      <c r="Z749" s="586" t="str">
        <f t="shared" si="208"/>
        <v/>
      </c>
    </row>
    <row r="750" spans="1:26" ht="12" hidden="1" thickBot="1" x14ac:dyDescent="0.25">
      <c r="A750" s="652" t="s">
        <v>187</v>
      </c>
      <c r="B750" s="572" t="s">
        <v>187</v>
      </c>
      <c r="C750" s="573" t="s">
        <v>187</v>
      </c>
      <c r="D750" s="580"/>
      <c r="E750" s="575"/>
      <c r="F750" s="436"/>
      <c r="G750" s="431"/>
      <c r="H750" s="430"/>
      <c r="I750" s="432"/>
      <c r="J750" s="433"/>
      <c r="K750" s="437">
        <f t="shared" si="232"/>
        <v>0</v>
      </c>
      <c r="L750" s="435" t="s">
        <v>614</v>
      </c>
      <c r="M750" s="576"/>
      <c r="N750" s="576">
        <f t="shared" si="230"/>
        <v>0</v>
      </c>
      <c r="O750" s="577">
        <f t="shared" si="219"/>
        <v>0</v>
      </c>
      <c r="P750" s="578">
        <f t="shared" si="220"/>
        <v>0</v>
      </c>
      <c r="Q750" s="765"/>
      <c r="R750" s="576">
        <f t="shared" si="215"/>
        <v>0</v>
      </c>
      <c r="S750" s="576">
        <f t="shared" si="225"/>
        <v>0</v>
      </c>
      <c r="T750" s="577">
        <f t="shared" si="216"/>
        <v>0</v>
      </c>
      <c r="U750" s="578">
        <f t="shared" si="217"/>
        <v>0</v>
      </c>
      <c r="V750" s="579"/>
      <c r="W750" s="566"/>
      <c r="X750" s="586" t="str">
        <f t="shared" si="191"/>
        <v/>
      </c>
      <c r="Y750" s="586" t="str">
        <f t="shared" si="189"/>
        <v/>
      </c>
      <c r="Z750" s="586" t="str">
        <f t="shared" si="208"/>
        <v/>
      </c>
    </row>
    <row r="751" spans="1:26" ht="12" hidden="1" thickBot="1" x14ac:dyDescent="0.25">
      <c r="A751" s="652" t="s">
        <v>187</v>
      </c>
      <c r="B751" s="572" t="s">
        <v>187</v>
      </c>
      <c r="C751" s="573" t="s">
        <v>187</v>
      </c>
      <c r="D751" s="580"/>
      <c r="E751" s="575"/>
      <c r="F751" s="436"/>
      <c r="G751" s="431"/>
      <c r="H751" s="430"/>
      <c r="I751" s="432"/>
      <c r="J751" s="433"/>
      <c r="K751" s="437">
        <f t="shared" si="232"/>
        <v>0</v>
      </c>
      <c r="L751" s="435" t="s">
        <v>614</v>
      </c>
      <c r="M751" s="576"/>
      <c r="N751" s="576">
        <f t="shared" si="230"/>
        <v>0</v>
      </c>
      <c r="O751" s="577">
        <f t="shared" si="219"/>
        <v>0</v>
      </c>
      <c r="P751" s="578">
        <f t="shared" si="220"/>
        <v>0</v>
      </c>
      <c r="Q751" s="765"/>
      <c r="R751" s="576">
        <f t="shared" si="215"/>
        <v>0</v>
      </c>
      <c r="S751" s="576">
        <f t="shared" si="225"/>
        <v>0</v>
      </c>
      <c r="T751" s="577">
        <f t="shared" si="216"/>
        <v>0</v>
      </c>
      <c r="U751" s="578">
        <f t="shared" si="217"/>
        <v>0</v>
      </c>
      <c r="V751" s="579"/>
      <c r="W751" s="566"/>
      <c r="X751" s="586" t="str">
        <f t="shared" si="191"/>
        <v/>
      </c>
      <c r="Y751" s="586" t="str">
        <f t="shared" si="189"/>
        <v/>
      </c>
      <c r="Z751" s="586" t="str">
        <f t="shared" si="208"/>
        <v/>
      </c>
    </row>
    <row r="752" spans="1:26" ht="12" hidden="1" thickBot="1" x14ac:dyDescent="0.25">
      <c r="A752" s="652" t="s">
        <v>187</v>
      </c>
      <c r="B752" s="572" t="s">
        <v>187</v>
      </c>
      <c r="C752" s="573" t="s">
        <v>187</v>
      </c>
      <c r="D752" s="580"/>
      <c r="E752" s="575"/>
      <c r="F752" s="436"/>
      <c r="G752" s="431"/>
      <c r="H752" s="430"/>
      <c r="I752" s="432"/>
      <c r="J752" s="433"/>
      <c r="K752" s="437">
        <f t="shared" si="232"/>
        <v>0</v>
      </c>
      <c r="L752" s="435" t="s">
        <v>614</v>
      </c>
      <c r="M752" s="576"/>
      <c r="N752" s="576">
        <f t="shared" si="230"/>
        <v>0</v>
      </c>
      <c r="O752" s="577">
        <f t="shared" si="219"/>
        <v>0</v>
      </c>
      <c r="P752" s="578">
        <f t="shared" si="220"/>
        <v>0</v>
      </c>
      <c r="Q752" s="765"/>
      <c r="R752" s="576">
        <f t="shared" si="215"/>
        <v>0</v>
      </c>
      <c r="S752" s="576">
        <f t="shared" si="225"/>
        <v>0</v>
      </c>
      <c r="T752" s="577">
        <f t="shared" si="216"/>
        <v>0</v>
      </c>
      <c r="U752" s="578">
        <f t="shared" si="217"/>
        <v>0</v>
      </c>
      <c r="V752" s="579"/>
      <c r="W752" s="566"/>
      <c r="X752" s="586" t="str">
        <f t="shared" si="191"/>
        <v/>
      </c>
      <c r="Y752" s="586" t="str">
        <f t="shared" si="189"/>
        <v/>
      </c>
      <c r="Z752" s="586" t="str">
        <f t="shared" si="208"/>
        <v/>
      </c>
    </row>
    <row r="753" spans="1:26" ht="12" hidden="1" thickBot="1" x14ac:dyDescent="0.25">
      <c r="A753" s="652" t="s">
        <v>187</v>
      </c>
      <c r="B753" s="572" t="s">
        <v>187</v>
      </c>
      <c r="C753" s="573" t="s">
        <v>187</v>
      </c>
      <c r="D753" s="580"/>
      <c r="E753" s="575"/>
      <c r="F753" s="436"/>
      <c r="G753" s="431"/>
      <c r="H753" s="430"/>
      <c r="I753" s="432"/>
      <c r="J753" s="433"/>
      <c r="K753" s="437">
        <f t="shared" si="232"/>
        <v>0</v>
      </c>
      <c r="L753" s="435" t="s">
        <v>614</v>
      </c>
      <c r="M753" s="576"/>
      <c r="N753" s="576">
        <f t="shared" si="230"/>
        <v>0</v>
      </c>
      <c r="O753" s="577">
        <f t="shared" si="219"/>
        <v>0</v>
      </c>
      <c r="P753" s="578">
        <f t="shared" si="220"/>
        <v>0</v>
      </c>
      <c r="Q753" s="765"/>
      <c r="R753" s="576">
        <f t="shared" si="215"/>
        <v>0</v>
      </c>
      <c r="S753" s="576">
        <f t="shared" si="225"/>
        <v>0</v>
      </c>
      <c r="T753" s="577">
        <f t="shared" si="216"/>
        <v>0</v>
      </c>
      <c r="U753" s="578">
        <f t="shared" si="217"/>
        <v>0</v>
      </c>
      <c r="V753" s="579"/>
      <c r="W753" s="566"/>
      <c r="X753" s="586" t="str">
        <f t="shared" si="191"/>
        <v/>
      </c>
      <c r="Y753" s="586" t="str">
        <f t="shared" si="189"/>
        <v/>
      </c>
      <c r="Z753" s="586" t="str">
        <f t="shared" si="208"/>
        <v/>
      </c>
    </row>
    <row r="754" spans="1:26" ht="12" hidden="1" thickBot="1" x14ac:dyDescent="0.25">
      <c r="A754" s="652" t="s">
        <v>187</v>
      </c>
      <c r="B754" s="572" t="s">
        <v>187</v>
      </c>
      <c r="C754" s="573" t="s">
        <v>187</v>
      </c>
      <c r="D754" s="580"/>
      <c r="E754" s="575"/>
      <c r="F754" s="436"/>
      <c r="G754" s="431"/>
      <c r="H754" s="430"/>
      <c r="I754" s="432"/>
      <c r="J754" s="433"/>
      <c r="K754" s="437">
        <f t="shared" si="232"/>
        <v>0</v>
      </c>
      <c r="L754" s="435" t="s">
        <v>614</v>
      </c>
      <c r="M754" s="576"/>
      <c r="N754" s="576">
        <f t="shared" si="230"/>
        <v>0</v>
      </c>
      <c r="O754" s="577">
        <f t="shared" si="219"/>
        <v>0</v>
      </c>
      <c r="P754" s="578">
        <f t="shared" si="220"/>
        <v>0</v>
      </c>
      <c r="Q754" s="765"/>
      <c r="R754" s="576">
        <f t="shared" si="215"/>
        <v>0</v>
      </c>
      <c r="S754" s="576">
        <f t="shared" si="225"/>
        <v>0</v>
      </c>
      <c r="T754" s="577">
        <f t="shared" si="216"/>
        <v>0</v>
      </c>
      <c r="U754" s="578">
        <f t="shared" si="217"/>
        <v>0</v>
      </c>
      <c r="V754" s="579"/>
      <c r="W754" s="566"/>
      <c r="X754" s="586" t="str">
        <f t="shared" si="191"/>
        <v/>
      </c>
      <c r="Y754" s="586" t="str">
        <f t="shared" si="189"/>
        <v/>
      </c>
      <c r="Z754" s="586" t="str">
        <f t="shared" si="208"/>
        <v/>
      </c>
    </row>
    <row r="755" spans="1:26" ht="12" hidden="1" thickBot="1" x14ac:dyDescent="0.25">
      <c r="A755" s="652" t="s">
        <v>187</v>
      </c>
      <c r="B755" s="572" t="s">
        <v>187</v>
      </c>
      <c r="C755" s="573" t="s">
        <v>187</v>
      </c>
      <c r="D755" s="580"/>
      <c r="E755" s="575"/>
      <c r="F755" s="436"/>
      <c r="G755" s="431"/>
      <c r="H755" s="430"/>
      <c r="I755" s="432"/>
      <c r="J755" s="433"/>
      <c r="K755" s="437">
        <f t="shared" si="232"/>
        <v>0</v>
      </c>
      <c r="L755" s="435" t="s">
        <v>614</v>
      </c>
      <c r="M755" s="576"/>
      <c r="N755" s="576">
        <f t="shared" si="230"/>
        <v>0</v>
      </c>
      <c r="O755" s="577">
        <f t="shared" si="219"/>
        <v>0</v>
      </c>
      <c r="P755" s="578">
        <f t="shared" si="220"/>
        <v>0</v>
      </c>
      <c r="Q755" s="765"/>
      <c r="R755" s="576">
        <f t="shared" si="215"/>
        <v>0</v>
      </c>
      <c r="S755" s="576">
        <f t="shared" si="225"/>
        <v>0</v>
      </c>
      <c r="T755" s="577">
        <f t="shared" si="216"/>
        <v>0</v>
      </c>
      <c r="U755" s="578">
        <f t="shared" si="217"/>
        <v>0</v>
      </c>
      <c r="V755" s="579"/>
      <c r="W755" s="566"/>
      <c r="X755" s="586" t="str">
        <f t="shared" si="191"/>
        <v/>
      </c>
      <c r="Y755" s="586" t="str">
        <f t="shared" si="189"/>
        <v/>
      </c>
      <c r="Z755" s="586" t="str">
        <f t="shared" si="208"/>
        <v/>
      </c>
    </row>
    <row r="756" spans="1:26" ht="12" hidden="1" thickBot="1" x14ac:dyDescent="0.25">
      <c r="A756" s="652" t="s">
        <v>187</v>
      </c>
      <c r="B756" s="572" t="s">
        <v>187</v>
      </c>
      <c r="C756" s="573" t="s">
        <v>187</v>
      </c>
      <c r="D756" s="580"/>
      <c r="E756" s="575"/>
      <c r="F756" s="436"/>
      <c r="G756" s="431"/>
      <c r="H756" s="430"/>
      <c r="I756" s="432"/>
      <c r="J756" s="433"/>
      <c r="K756" s="437">
        <f t="shared" si="232"/>
        <v>0</v>
      </c>
      <c r="L756" s="435" t="s">
        <v>614</v>
      </c>
      <c r="M756" s="576"/>
      <c r="N756" s="576">
        <f t="shared" si="230"/>
        <v>0</v>
      </c>
      <c r="O756" s="577">
        <f t="shared" si="219"/>
        <v>0</v>
      </c>
      <c r="P756" s="578">
        <f t="shared" si="220"/>
        <v>0</v>
      </c>
      <c r="Q756" s="765"/>
      <c r="R756" s="576">
        <f t="shared" ref="R756:S819" si="233">M756</f>
        <v>0</v>
      </c>
      <c r="S756" s="576">
        <f t="shared" si="225"/>
        <v>0</v>
      </c>
      <c r="T756" s="577">
        <f t="shared" ref="T756:T819" si="234">IF(ISBLANK(R756),0,ROUND(K756*R756,2))</f>
        <v>0</v>
      </c>
      <c r="U756" s="578">
        <f t="shared" ref="U756:U819" si="235">IF(ISBLANK(R756),0,ROUND(R756*S756,2))</f>
        <v>0</v>
      </c>
      <c r="V756" s="579"/>
      <c r="W756" s="566"/>
      <c r="X756" s="586" t="str">
        <f t="shared" si="191"/>
        <v/>
      </c>
      <c r="Y756" s="586" t="str">
        <f t="shared" si="189"/>
        <v/>
      </c>
      <c r="Z756" s="586" t="str">
        <f t="shared" si="208"/>
        <v/>
      </c>
    </row>
    <row r="757" spans="1:26" ht="12" hidden="1" thickBot="1" x14ac:dyDescent="0.25">
      <c r="A757" s="652" t="s">
        <v>187</v>
      </c>
      <c r="B757" s="572" t="s">
        <v>187</v>
      </c>
      <c r="C757" s="573" t="s">
        <v>187</v>
      </c>
      <c r="D757" s="580"/>
      <c r="E757" s="575"/>
      <c r="F757" s="436"/>
      <c r="G757" s="431"/>
      <c r="H757" s="430"/>
      <c r="I757" s="432"/>
      <c r="J757" s="433"/>
      <c r="K757" s="437">
        <f t="shared" si="232"/>
        <v>0</v>
      </c>
      <c r="L757" s="435" t="s">
        <v>614</v>
      </c>
      <c r="M757" s="576"/>
      <c r="N757" s="576">
        <f t="shared" si="230"/>
        <v>0</v>
      </c>
      <c r="O757" s="577">
        <f t="shared" ref="O757:O820" si="236">IF(ISBLANK(M757),0,ROUND(K757*M757,2))</f>
        <v>0</v>
      </c>
      <c r="P757" s="578">
        <f t="shared" ref="P757:P820" si="237">IF(ISBLANK(N757),0,ROUND(M757*N757,2))</f>
        <v>0</v>
      </c>
      <c r="Q757" s="765"/>
      <c r="R757" s="576">
        <f t="shared" si="233"/>
        <v>0</v>
      </c>
      <c r="S757" s="576">
        <f t="shared" si="225"/>
        <v>0</v>
      </c>
      <c r="T757" s="577">
        <f t="shared" si="234"/>
        <v>0</v>
      </c>
      <c r="U757" s="578">
        <f t="shared" si="235"/>
        <v>0</v>
      </c>
      <c r="V757" s="579"/>
      <c r="W757" s="566"/>
      <c r="X757" s="586" t="str">
        <f t="shared" si="191"/>
        <v/>
      </c>
      <c r="Y757" s="586" t="str">
        <f t="shared" si="189"/>
        <v/>
      </c>
      <c r="Z757" s="586" t="str">
        <f t="shared" si="208"/>
        <v/>
      </c>
    </row>
    <row r="758" spans="1:26" ht="12" hidden="1" thickBot="1" x14ac:dyDescent="0.25">
      <c r="A758" s="652" t="s">
        <v>187</v>
      </c>
      <c r="B758" s="572" t="s">
        <v>187</v>
      </c>
      <c r="C758" s="573" t="s">
        <v>187</v>
      </c>
      <c r="D758" s="580"/>
      <c r="E758" s="575"/>
      <c r="F758" s="436"/>
      <c r="G758" s="431"/>
      <c r="H758" s="430"/>
      <c r="I758" s="432"/>
      <c r="J758" s="433"/>
      <c r="K758" s="437">
        <f t="shared" si="232"/>
        <v>0</v>
      </c>
      <c r="L758" s="435" t="s">
        <v>614</v>
      </c>
      <c r="M758" s="576"/>
      <c r="N758" s="576">
        <f t="shared" si="230"/>
        <v>0</v>
      </c>
      <c r="O758" s="577">
        <f t="shared" si="236"/>
        <v>0</v>
      </c>
      <c r="P758" s="578">
        <f t="shared" si="237"/>
        <v>0</v>
      </c>
      <c r="Q758" s="765"/>
      <c r="R758" s="576">
        <f t="shared" si="233"/>
        <v>0</v>
      </c>
      <c r="S758" s="576">
        <f t="shared" si="225"/>
        <v>0</v>
      </c>
      <c r="T758" s="577">
        <f t="shared" si="234"/>
        <v>0</v>
      </c>
      <c r="U758" s="578">
        <f t="shared" si="235"/>
        <v>0</v>
      </c>
      <c r="V758" s="579"/>
      <c r="W758" s="566"/>
      <c r="X758" s="586" t="str">
        <f t="shared" si="191"/>
        <v/>
      </c>
      <c r="Y758" s="586" t="str">
        <f t="shared" si="189"/>
        <v/>
      </c>
      <c r="Z758" s="586" t="str">
        <f t="shared" si="208"/>
        <v/>
      </c>
    </row>
    <row r="759" spans="1:26" ht="12" hidden="1" thickBot="1" x14ac:dyDescent="0.25">
      <c r="A759" s="652" t="s">
        <v>187</v>
      </c>
      <c r="B759" s="572" t="s">
        <v>187</v>
      </c>
      <c r="C759" s="573" t="s">
        <v>187</v>
      </c>
      <c r="D759" s="580"/>
      <c r="E759" s="575"/>
      <c r="F759" s="436"/>
      <c r="G759" s="431"/>
      <c r="H759" s="430"/>
      <c r="I759" s="432"/>
      <c r="J759" s="433"/>
      <c r="K759" s="437">
        <f t="shared" si="232"/>
        <v>0</v>
      </c>
      <c r="L759" s="435" t="s">
        <v>614</v>
      </c>
      <c r="M759" s="576"/>
      <c r="N759" s="576">
        <f t="shared" si="230"/>
        <v>0</v>
      </c>
      <c r="O759" s="577">
        <f t="shared" si="236"/>
        <v>0</v>
      </c>
      <c r="P759" s="578">
        <f t="shared" si="237"/>
        <v>0</v>
      </c>
      <c r="Q759" s="765"/>
      <c r="R759" s="576">
        <f t="shared" si="233"/>
        <v>0</v>
      </c>
      <c r="S759" s="576">
        <f t="shared" si="225"/>
        <v>0</v>
      </c>
      <c r="T759" s="577">
        <f t="shared" si="234"/>
        <v>0</v>
      </c>
      <c r="U759" s="578">
        <f t="shared" si="235"/>
        <v>0</v>
      </c>
      <c r="V759" s="579"/>
      <c r="W759" s="566"/>
      <c r="X759" s="586" t="str">
        <f t="shared" si="191"/>
        <v/>
      </c>
      <c r="Y759" s="586" t="str">
        <f t="shared" si="189"/>
        <v/>
      </c>
      <c r="Z759" s="586" t="str">
        <f t="shared" si="208"/>
        <v/>
      </c>
    </row>
    <row r="760" spans="1:26" ht="12" hidden="1" thickBot="1" x14ac:dyDescent="0.25">
      <c r="A760" s="652" t="s">
        <v>187</v>
      </c>
      <c r="B760" s="572" t="s">
        <v>187</v>
      </c>
      <c r="C760" s="573" t="s">
        <v>187</v>
      </c>
      <c r="D760" s="580"/>
      <c r="E760" s="575"/>
      <c r="F760" s="436"/>
      <c r="G760" s="431"/>
      <c r="H760" s="430"/>
      <c r="I760" s="432"/>
      <c r="J760" s="433"/>
      <c r="K760" s="437">
        <f t="shared" si="232"/>
        <v>0</v>
      </c>
      <c r="L760" s="435" t="s">
        <v>614</v>
      </c>
      <c r="M760" s="576"/>
      <c r="N760" s="576">
        <f t="shared" si="230"/>
        <v>0</v>
      </c>
      <c r="O760" s="577">
        <f t="shared" si="236"/>
        <v>0</v>
      </c>
      <c r="P760" s="578">
        <f t="shared" si="237"/>
        <v>0</v>
      </c>
      <c r="Q760" s="765"/>
      <c r="R760" s="576">
        <f t="shared" si="233"/>
        <v>0</v>
      </c>
      <c r="S760" s="576">
        <f t="shared" si="225"/>
        <v>0</v>
      </c>
      <c r="T760" s="577">
        <f t="shared" si="234"/>
        <v>0</v>
      </c>
      <c r="U760" s="578">
        <f t="shared" si="235"/>
        <v>0</v>
      </c>
      <c r="V760" s="579"/>
      <c r="W760" s="566"/>
      <c r="X760" s="586" t="str">
        <f t="shared" si="191"/>
        <v/>
      </c>
      <c r="Y760" s="586" t="str">
        <f t="shared" si="189"/>
        <v/>
      </c>
      <c r="Z760" s="586" t="str">
        <f t="shared" si="208"/>
        <v/>
      </c>
    </row>
    <row r="761" spans="1:26" ht="12" hidden="1" thickBot="1" x14ac:dyDescent="0.25">
      <c r="A761" s="652" t="s">
        <v>187</v>
      </c>
      <c r="B761" s="572" t="s">
        <v>187</v>
      </c>
      <c r="C761" s="573" t="s">
        <v>187</v>
      </c>
      <c r="D761" s="580"/>
      <c r="E761" s="575"/>
      <c r="F761" s="436"/>
      <c r="G761" s="431"/>
      <c r="H761" s="430"/>
      <c r="I761" s="432"/>
      <c r="J761" s="433"/>
      <c r="K761" s="437">
        <f t="shared" si="232"/>
        <v>0</v>
      </c>
      <c r="L761" s="435" t="s">
        <v>614</v>
      </c>
      <c r="M761" s="576"/>
      <c r="N761" s="576">
        <f t="shared" si="230"/>
        <v>0</v>
      </c>
      <c r="O761" s="577">
        <f t="shared" si="236"/>
        <v>0</v>
      </c>
      <c r="P761" s="578">
        <f t="shared" si="237"/>
        <v>0</v>
      </c>
      <c r="Q761" s="765"/>
      <c r="R761" s="576">
        <f t="shared" si="233"/>
        <v>0</v>
      </c>
      <c r="S761" s="576">
        <f t="shared" si="225"/>
        <v>0</v>
      </c>
      <c r="T761" s="577">
        <f t="shared" si="234"/>
        <v>0</v>
      </c>
      <c r="U761" s="578">
        <f t="shared" si="235"/>
        <v>0</v>
      </c>
      <c r="V761" s="579"/>
      <c r="W761" s="566"/>
      <c r="X761" s="586" t="str">
        <f t="shared" si="191"/>
        <v/>
      </c>
      <c r="Y761" s="586" t="str">
        <f t="shared" si="189"/>
        <v/>
      </c>
      <c r="Z761" s="586" t="str">
        <f t="shared" si="208"/>
        <v/>
      </c>
    </row>
    <row r="762" spans="1:26" ht="12" hidden="1" thickBot="1" x14ac:dyDescent="0.25">
      <c r="A762" s="652" t="s">
        <v>187</v>
      </c>
      <c r="B762" s="572" t="s">
        <v>187</v>
      </c>
      <c r="C762" s="573" t="s">
        <v>187</v>
      </c>
      <c r="D762" s="580"/>
      <c r="E762" s="575"/>
      <c r="F762" s="436"/>
      <c r="G762" s="431"/>
      <c r="H762" s="430"/>
      <c r="I762" s="432"/>
      <c r="J762" s="433"/>
      <c r="K762" s="437">
        <f t="shared" si="232"/>
        <v>0</v>
      </c>
      <c r="L762" s="435" t="s">
        <v>614</v>
      </c>
      <c r="M762" s="576"/>
      <c r="N762" s="576">
        <f t="shared" si="230"/>
        <v>0</v>
      </c>
      <c r="O762" s="577">
        <f t="shared" si="236"/>
        <v>0</v>
      </c>
      <c r="P762" s="578">
        <f t="shared" si="237"/>
        <v>0</v>
      </c>
      <c r="Q762" s="765"/>
      <c r="R762" s="576">
        <f t="shared" si="233"/>
        <v>0</v>
      </c>
      <c r="S762" s="576">
        <f t="shared" si="225"/>
        <v>0</v>
      </c>
      <c r="T762" s="577">
        <f t="shared" si="234"/>
        <v>0</v>
      </c>
      <c r="U762" s="578">
        <f t="shared" si="235"/>
        <v>0</v>
      </c>
      <c r="V762" s="579"/>
      <c r="W762" s="566"/>
      <c r="X762" s="586" t="str">
        <f t="shared" si="191"/>
        <v/>
      </c>
      <c r="Y762" s="586" t="str">
        <f t="shared" si="189"/>
        <v/>
      </c>
      <c r="Z762" s="586" t="str">
        <f t="shared" si="208"/>
        <v/>
      </c>
    </row>
    <row r="763" spans="1:26" ht="12" hidden="1" thickBot="1" x14ac:dyDescent="0.25">
      <c r="A763" s="652" t="s">
        <v>187</v>
      </c>
      <c r="B763" s="572" t="s">
        <v>187</v>
      </c>
      <c r="C763" s="573" t="s">
        <v>187</v>
      </c>
      <c r="D763" s="580"/>
      <c r="E763" s="575"/>
      <c r="F763" s="436"/>
      <c r="G763" s="431"/>
      <c r="H763" s="430"/>
      <c r="I763" s="432"/>
      <c r="J763" s="433"/>
      <c r="K763" s="437">
        <f t="shared" si="232"/>
        <v>0</v>
      </c>
      <c r="L763" s="435" t="s">
        <v>614</v>
      </c>
      <c r="M763" s="576"/>
      <c r="N763" s="576">
        <f t="shared" si="230"/>
        <v>0</v>
      </c>
      <c r="O763" s="577">
        <f t="shared" si="236"/>
        <v>0</v>
      </c>
      <c r="P763" s="578">
        <f t="shared" si="237"/>
        <v>0</v>
      </c>
      <c r="Q763" s="765"/>
      <c r="R763" s="576">
        <f t="shared" si="233"/>
        <v>0</v>
      </c>
      <c r="S763" s="576">
        <f t="shared" si="225"/>
        <v>0</v>
      </c>
      <c r="T763" s="577">
        <f t="shared" si="234"/>
        <v>0</v>
      </c>
      <c r="U763" s="578">
        <f t="shared" si="235"/>
        <v>0</v>
      </c>
      <c r="V763" s="579"/>
      <c r="W763" s="566"/>
      <c r="X763" s="586" t="str">
        <f t="shared" si="191"/>
        <v/>
      </c>
      <c r="Y763" s="586" t="str">
        <f t="shared" si="189"/>
        <v/>
      </c>
      <c r="Z763" s="586" t="str">
        <f t="shared" si="208"/>
        <v/>
      </c>
    </row>
    <row r="764" spans="1:26" ht="12" hidden="1" thickBot="1" x14ac:dyDescent="0.25">
      <c r="A764" s="652" t="s">
        <v>187</v>
      </c>
      <c r="B764" s="572" t="s">
        <v>187</v>
      </c>
      <c r="C764" s="573" t="s">
        <v>187</v>
      </c>
      <c r="D764" s="580"/>
      <c r="E764" s="575"/>
      <c r="F764" s="436"/>
      <c r="G764" s="431"/>
      <c r="H764" s="430"/>
      <c r="I764" s="432"/>
      <c r="J764" s="433"/>
      <c r="K764" s="437">
        <f t="shared" si="232"/>
        <v>0</v>
      </c>
      <c r="L764" s="435" t="s">
        <v>614</v>
      </c>
      <c r="M764" s="576"/>
      <c r="N764" s="576">
        <f t="shared" si="230"/>
        <v>0</v>
      </c>
      <c r="O764" s="577">
        <f t="shared" si="236"/>
        <v>0</v>
      </c>
      <c r="P764" s="578">
        <f t="shared" si="237"/>
        <v>0</v>
      </c>
      <c r="Q764" s="765"/>
      <c r="R764" s="576">
        <f t="shared" si="233"/>
        <v>0</v>
      </c>
      <c r="S764" s="576">
        <f t="shared" si="225"/>
        <v>0</v>
      </c>
      <c r="T764" s="577">
        <f t="shared" si="234"/>
        <v>0</v>
      </c>
      <c r="U764" s="578">
        <f t="shared" si="235"/>
        <v>0</v>
      </c>
      <c r="V764" s="579"/>
      <c r="W764" s="566"/>
      <c r="X764" s="586" t="str">
        <f t="shared" ref="X764:X828" si="238">IF(W764="X","x",IF(W764="xx","x",IF(W764="xy","x",IF(W764="y","x",IF(OR(P764&gt;0,U764&gt;0),"x","")))))</f>
        <v/>
      </c>
      <c r="Y764" s="586" t="str">
        <f t="shared" si="189"/>
        <v/>
      </c>
      <c r="Z764" s="586" t="str">
        <f t="shared" si="208"/>
        <v/>
      </c>
    </row>
    <row r="765" spans="1:26" ht="12" hidden="1" thickBot="1" x14ac:dyDescent="0.25">
      <c r="A765" s="652" t="s">
        <v>187</v>
      </c>
      <c r="B765" s="572" t="s">
        <v>187</v>
      </c>
      <c r="C765" s="573" t="s">
        <v>187</v>
      </c>
      <c r="D765" s="580"/>
      <c r="E765" s="575"/>
      <c r="F765" s="436"/>
      <c r="G765" s="431"/>
      <c r="H765" s="430"/>
      <c r="I765" s="432"/>
      <c r="J765" s="433"/>
      <c r="K765" s="437">
        <f t="shared" si="232"/>
        <v>0</v>
      </c>
      <c r="L765" s="435" t="s">
        <v>614</v>
      </c>
      <c r="M765" s="576"/>
      <c r="N765" s="576">
        <f t="shared" si="230"/>
        <v>0</v>
      </c>
      <c r="O765" s="577">
        <f t="shared" si="236"/>
        <v>0</v>
      </c>
      <c r="P765" s="578">
        <f t="shared" si="237"/>
        <v>0</v>
      </c>
      <c r="Q765" s="765"/>
      <c r="R765" s="576">
        <f t="shared" si="233"/>
        <v>0</v>
      </c>
      <c r="S765" s="576">
        <f t="shared" si="225"/>
        <v>0</v>
      </c>
      <c r="T765" s="577">
        <f t="shared" si="234"/>
        <v>0</v>
      </c>
      <c r="U765" s="578">
        <f t="shared" si="235"/>
        <v>0</v>
      </c>
      <c r="V765" s="579"/>
      <c r="W765" s="566"/>
      <c r="X765" s="586" t="str">
        <f t="shared" si="238"/>
        <v/>
      </c>
      <c r="Y765" s="586" t="str">
        <f t="shared" si="189"/>
        <v/>
      </c>
      <c r="Z765" s="586" t="str">
        <f t="shared" si="208"/>
        <v/>
      </c>
    </row>
    <row r="766" spans="1:26" ht="12" hidden="1" thickBot="1" x14ac:dyDescent="0.25">
      <c r="A766" s="652" t="s">
        <v>187</v>
      </c>
      <c r="B766" s="572" t="s">
        <v>187</v>
      </c>
      <c r="C766" s="573" t="s">
        <v>187</v>
      </c>
      <c r="D766" s="580"/>
      <c r="E766" s="575"/>
      <c r="F766" s="436"/>
      <c r="G766" s="431"/>
      <c r="H766" s="430"/>
      <c r="I766" s="432"/>
      <c r="J766" s="433"/>
      <c r="K766" s="437">
        <f t="shared" si="232"/>
        <v>0</v>
      </c>
      <c r="L766" s="435" t="s">
        <v>614</v>
      </c>
      <c r="M766" s="576"/>
      <c r="N766" s="576">
        <f t="shared" si="230"/>
        <v>0</v>
      </c>
      <c r="O766" s="577">
        <f t="shared" si="236"/>
        <v>0</v>
      </c>
      <c r="P766" s="578">
        <f t="shared" si="237"/>
        <v>0</v>
      </c>
      <c r="Q766" s="765"/>
      <c r="R766" s="576">
        <f t="shared" si="233"/>
        <v>0</v>
      </c>
      <c r="S766" s="576">
        <f t="shared" si="225"/>
        <v>0</v>
      </c>
      <c r="T766" s="577">
        <f t="shared" si="234"/>
        <v>0</v>
      </c>
      <c r="U766" s="578">
        <f t="shared" si="235"/>
        <v>0</v>
      </c>
      <c r="V766" s="579"/>
      <c r="W766" s="566"/>
      <c r="X766" s="586" t="str">
        <f t="shared" si="238"/>
        <v/>
      </c>
      <c r="Y766" s="586" t="str">
        <f t="shared" si="189"/>
        <v/>
      </c>
      <c r="Z766" s="586" t="str">
        <f t="shared" ref="Z766:Z914" si="239">IF(W766="X","x",IF(U766&gt;0,"x",""))</f>
        <v/>
      </c>
    </row>
    <row r="767" spans="1:26" ht="12" hidden="1" thickBot="1" x14ac:dyDescent="0.25">
      <c r="A767" s="652" t="s">
        <v>187</v>
      </c>
      <c r="B767" s="572" t="s">
        <v>187</v>
      </c>
      <c r="C767" s="573" t="s">
        <v>187</v>
      </c>
      <c r="D767" s="580"/>
      <c r="E767" s="575"/>
      <c r="F767" s="436"/>
      <c r="G767" s="431"/>
      <c r="H767" s="430"/>
      <c r="I767" s="432"/>
      <c r="J767" s="433"/>
      <c r="K767" s="437">
        <f t="shared" si="232"/>
        <v>0</v>
      </c>
      <c r="L767" s="435" t="s">
        <v>614</v>
      </c>
      <c r="M767" s="576"/>
      <c r="N767" s="576">
        <f t="shared" si="230"/>
        <v>0</v>
      </c>
      <c r="O767" s="577">
        <f t="shared" si="236"/>
        <v>0</v>
      </c>
      <c r="P767" s="578">
        <f t="shared" si="237"/>
        <v>0</v>
      </c>
      <c r="Q767" s="765"/>
      <c r="R767" s="576">
        <f t="shared" si="233"/>
        <v>0</v>
      </c>
      <c r="S767" s="576">
        <f t="shared" si="225"/>
        <v>0</v>
      </c>
      <c r="T767" s="577">
        <f t="shared" si="234"/>
        <v>0</v>
      </c>
      <c r="U767" s="578">
        <f t="shared" si="235"/>
        <v>0</v>
      </c>
      <c r="V767" s="579"/>
      <c r="W767" s="566"/>
      <c r="X767" s="586" t="str">
        <f t="shared" si="238"/>
        <v/>
      </c>
      <c r="Y767" s="586" t="str">
        <f t="shared" si="189"/>
        <v/>
      </c>
      <c r="Z767" s="586" t="str">
        <f t="shared" si="239"/>
        <v/>
      </c>
    </row>
    <row r="768" spans="1:26" ht="12" hidden="1" thickBot="1" x14ac:dyDescent="0.25">
      <c r="A768" s="652" t="s">
        <v>187</v>
      </c>
      <c r="B768" s="572" t="s">
        <v>187</v>
      </c>
      <c r="C768" s="573" t="s">
        <v>187</v>
      </c>
      <c r="D768" s="580"/>
      <c r="E768" s="575"/>
      <c r="F768" s="436"/>
      <c r="G768" s="431"/>
      <c r="H768" s="430"/>
      <c r="I768" s="432"/>
      <c r="J768" s="433"/>
      <c r="K768" s="437">
        <f t="shared" si="232"/>
        <v>0</v>
      </c>
      <c r="L768" s="435" t="s">
        <v>614</v>
      </c>
      <c r="M768" s="576"/>
      <c r="N768" s="576">
        <f t="shared" si="230"/>
        <v>0</v>
      </c>
      <c r="O768" s="577">
        <f t="shared" si="236"/>
        <v>0</v>
      </c>
      <c r="P768" s="578">
        <f t="shared" si="237"/>
        <v>0</v>
      </c>
      <c r="Q768" s="765"/>
      <c r="R768" s="576">
        <f t="shared" si="233"/>
        <v>0</v>
      </c>
      <c r="S768" s="576">
        <f t="shared" si="225"/>
        <v>0</v>
      </c>
      <c r="T768" s="577">
        <f t="shared" si="234"/>
        <v>0</v>
      </c>
      <c r="U768" s="578">
        <f t="shared" si="235"/>
        <v>0</v>
      </c>
      <c r="V768" s="579"/>
      <c r="W768" s="566"/>
      <c r="X768" s="586" t="str">
        <f t="shared" si="238"/>
        <v/>
      </c>
      <c r="Y768" s="586" t="str">
        <f t="shared" si="189"/>
        <v/>
      </c>
      <c r="Z768" s="586" t="str">
        <f t="shared" si="239"/>
        <v/>
      </c>
    </row>
    <row r="769" spans="1:26" ht="12" hidden="1" thickBot="1" x14ac:dyDescent="0.25">
      <c r="A769" s="652" t="s">
        <v>187</v>
      </c>
      <c r="B769" s="572" t="s">
        <v>187</v>
      </c>
      <c r="C769" s="573" t="s">
        <v>187</v>
      </c>
      <c r="D769" s="580"/>
      <c r="E769" s="575"/>
      <c r="F769" s="436"/>
      <c r="G769" s="431"/>
      <c r="H769" s="430"/>
      <c r="I769" s="432"/>
      <c r="J769" s="433"/>
      <c r="K769" s="437">
        <f t="shared" si="232"/>
        <v>0</v>
      </c>
      <c r="L769" s="435" t="s">
        <v>614</v>
      </c>
      <c r="M769" s="576"/>
      <c r="N769" s="576">
        <f t="shared" si="230"/>
        <v>0</v>
      </c>
      <c r="O769" s="577">
        <f t="shared" si="236"/>
        <v>0</v>
      </c>
      <c r="P769" s="578">
        <f t="shared" si="237"/>
        <v>0</v>
      </c>
      <c r="Q769" s="765"/>
      <c r="R769" s="576">
        <f t="shared" si="233"/>
        <v>0</v>
      </c>
      <c r="S769" s="576">
        <f t="shared" si="225"/>
        <v>0</v>
      </c>
      <c r="T769" s="577">
        <f t="shared" si="234"/>
        <v>0</v>
      </c>
      <c r="U769" s="578">
        <f t="shared" si="235"/>
        <v>0</v>
      </c>
      <c r="V769" s="579"/>
      <c r="W769" s="566"/>
      <c r="X769" s="586" t="str">
        <f t="shared" si="238"/>
        <v/>
      </c>
      <c r="Y769" s="586" t="str">
        <f t="shared" si="189"/>
        <v/>
      </c>
      <c r="Z769" s="586" t="str">
        <f t="shared" si="239"/>
        <v/>
      </c>
    </row>
    <row r="770" spans="1:26" ht="12" hidden="1" thickBot="1" x14ac:dyDescent="0.25">
      <c r="A770" s="652" t="s">
        <v>187</v>
      </c>
      <c r="B770" s="572" t="s">
        <v>187</v>
      </c>
      <c r="C770" s="573" t="s">
        <v>187</v>
      </c>
      <c r="D770" s="580"/>
      <c r="E770" s="575"/>
      <c r="F770" s="436"/>
      <c r="G770" s="431"/>
      <c r="H770" s="430"/>
      <c r="I770" s="432"/>
      <c r="J770" s="433"/>
      <c r="K770" s="437">
        <f t="shared" si="232"/>
        <v>0</v>
      </c>
      <c r="L770" s="435" t="s">
        <v>614</v>
      </c>
      <c r="M770" s="576"/>
      <c r="N770" s="576">
        <f t="shared" si="230"/>
        <v>0</v>
      </c>
      <c r="O770" s="577">
        <f t="shared" si="236"/>
        <v>0</v>
      </c>
      <c r="P770" s="578">
        <f t="shared" si="237"/>
        <v>0</v>
      </c>
      <c r="Q770" s="765"/>
      <c r="R770" s="576">
        <f t="shared" si="233"/>
        <v>0</v>
      </c>
      <c r="S770" s="576">
        <f t="shared" si="225"/>
        <v>0</v>
      </c>
      <c r="T770" s="577">
        <f t="shared" si="234"/>
        <v>0</v>
      </c>
      <c r="U770" s="578">
        <f t="shared" si="235"/>
        <v>0</v>
      </c>
      <c r="V770" s="579"/>
      <c r="W770" s="566"/>
      <c r="X770" s="586" t="str">
        <f t="shared" si="238"/>
        <v/>
      </c>
      <c r="Y770" s="586" t="str">
        <f t="shared" si="189"/>
        <v/>
      </c>
      <c r="Z770" s="586" t="str">
        <f t="shared" si="239"/>
        <v/>
      </c>
    </row>
    <row r="771" spans="1:26" ht="12" hidden="1" thickBot="1" x14ac:dyDescent="0.25">
      <c r="A771" s="652" t="s">
        <v>187</v>
      </c>
      <c r="B771" s="572" t="s">
        <v>187</v>
      </c>
      <c r="C771" s="573" t="s">
        <v>187</v>
      </c>
      <c r="D771" s="580"/>
      <c r="E771" s="575"/>
      <c r="F771" s="436"/>
      <c r="G771" s="431"/>
      <c r="H771" s="430"/>
      <c r="I771" s="432"/>
      <c r="J771" s="433"/>
      <c r="K771" s="437">
        <f t="shared" si="232"/>
        <v>0</v>
      </c>
      <c r="L771" s="435" t="s">
        <v>614</v>
      </c>
      <c r="M771" s="576"/>
      <c r="N771" s="576">
        <f t="shared" si="230"/>
        <v>0</v>
      </c>
      <c r="O771" s="577">
        <f t="shared" si="236"/>
        <v>0</v>
      </c>
      <c r="P771" s="578">
        <f t="shared" si="237"/>
        <v>0</v>
      </c>
      <c r="Q771" s="765"/>
      <c r="R771" s="576">
        <f t="shared" si="233"/>
        <v>0</v>
      </c>
      <c r="S771" s="576">
        <f t="shared" si="225"/>
        <v>0</v>
      </c>
      <c r="T771" s="577">
        <f t="shared" si="234"/>
        <v>0</v>
      </c>
      <c r="U771" s="578">
        <f t="shared" si="235"/>
        <v>0</v>
      </c>
      <c r="V771" s="579"/>
      <c r="W771" s="566"/>
      <c r="X771" s="586" t="str">
        <f t="shared" si="238"/>
        <v/>
      </c>
      <c r="Y771" s="586" t="str">
        <f t="shared" si="189"/>
        <v/>
      </c>
      <c r="Z771" s="586" t="str">
        <f t="shared" si="239"/>
        <v/>
      </c>
    </row>
    <row r="772" spans="1:26" ht="12" hidden="1" thickBot="1" x14ac:dyDescent="0.25">
      <c r="A772" s="652" t="s">
        <v>187</v>
      </c>
      <c r="B772" s="572" t="s">
        <v>187</v>
      </c>
      <c r="C772" s="573" t="s">
        <v>187</v>
      </c>
      <c r="D772" s="580"/>
      <c r="E772" s="575"/>
      <c r="F772" s="436"/>
      <c r="G772" s="431"/>
      <c r="H772" s="430"/>
      <c r="I772" s="432"/>
      <c r="J772" s="433"/>
      <c r="K772" s="437">
        <f t="shared" si="232"/>
        <v>0</v>
      </c>
      <c r="L772" s="435" t="s">
        <v>614</v>
      </c>
      <c r="M772" s="576"/>
      <c r="N772" s="576">
        <f t="shared" si="230"/>
        <v>0</v>
      </c>
      <c r="O772" s="577">
        <f t="shared" si="236"/>
        <v>0</v>
      </c>
      <c r="P772" s="578">
        <f t="shared" si="237"/>
        <v>0</v>
      </c>
      <c r="Q772" s="765"/>
      <c r="R772" s="576">
        <f t="shared" si="233"/>
        <v>0</v>
      </c>
      <c r="S772" s="576">
        <f t="shared" si="225"/>
        <v>0</v>
      </c>
      <c r="T772" s="577">
        <f t="shared" si="234"/>
        <v>0</v>
      </c>
      <c r="U772" s="578">
        <f t="shared" si="235"/>
        <v>0</v>
      </c>
      <c r="V772" s="579"/>
      <c r="W772" s="566"/>
      <c r="X772" s="586" t="str">
        <f t="shared" si="238"/>
        <v/>
      </c>
      <c r="Y772" s="586" t="str">
        <f t="shared" si="189"/>
        <v/>
      </c>
      <c r="Z772" s="586" t="str">
        <f t="shared" si="239"/>
        <v/>
      </c>
    </row>
    <row r="773" spans="1:26" ht="12" hidden="1" thickBot="1" x14ac:dyDescent="0.25">
      <c r="A773" s="652" t="s">
        <v>187</v>
      </c>
      <c r="B773" s="572" t="s">
        <v>187</v>
      </c>
      <c r="C773" s="573" t="s">
        <v>187</v>
      </c>
      <c r="D773" s="580"/>
      <c r="E773" s="575"/>
      <c r="F773" s="436"/>
      <c r="G773" s="431"/>
      <c r="H773" s="430"/>
      <c r="I773" s="432"/>
      <c r="J773" s="433"/>
      <c r="K773" s="437">
        <f t="shared" si="232"/>
        <v>0</v>
      </c>
      <c r="L773" s="435" t="s">
        <v>614</v>
      </c>
      <c r="M773" s="576"/>
      <c r="N773" s="576">
        <f t="shared" si="230"/>
        <v>0</v>
      </c>
      <c r="O773" s="577">
        <f t="shared" si="236"/>
        <v>0</v>
      </c>
      <c r="P773" s="578">
        <f t="shared" si="237"/>
        <v>0</v>
      </c>
      <c r="Q773" s="765"/>
      <c r="R773" s="576">
        <f t="shared" si="233"/>
        <v>0</v>
      </c>
      <c r="S773" s="576">
        <f t="shared" si="225"/>
        <v>0</v>
      </c>
      <c r="T773" s="577">
        <f t="shared" si="234"/>
        <v>0</v>
      </c>
      <c r="U773" s="578">
        <f t="shared" si="235"/>
        <v>0</v>
      </c>
      <c r="V773" s="579"/>
      <c r="W773" s="566"/>
      <c r="X773" s="586" t="str">
        <f t="shared" si="238"/>
        <v/>
      </c>
      <c r="Y773" s="586" t="str">
        <f t="shared" si="189"/>
        <v/>
      </c>
      <c r="Z773" s="586" t="str">
        <f t="shared" si="239"/>
        <v/>
      </c>
    </row>
    <row r="774" spans="1:26" ht="12" hidden="1" thickBot="1" x14ac:dyDescent="0.25">
      <c r="A774" s="652" t="s">
        <v>187</v>
      </c>
      <c r="B774" s="572" t="s">
        <v>187</v>
      </c>
      <c r="C774" s="573" t="s">
        <v>187</v>
      </c>
      <c r="D774" s="580"/>
      <c r="E774" s="575"/>
      <c r="F774" s="436"/>
      <c r="G774" s="431"/>
      <c r="H774" s="430"/>
      <c r="I774" s="432"/>
      <c r="J774" s="433"/>
      <c r="K774" s="437">
        <f t="shared" si="232"/>
        <v>0</v>
      </c>
      <c r="L774" s="435" t="s">
        <v>614</v>
      </c>
      <c r="M774" s="576"/>
      <c r="N774" s="576">
        <f t="shared" si="230"/>
        <v>0</v>
      </c>
      <c r="O774" s="577">
        <f t="shared" si="236"/>
        <v>0</v>
      </c>
      <c r="P774" s="578">
        <f t="shared" si="237"/>
        <v>0</v>
      </c>
      <c r="Q774" s="765"/>
      <c r="R774" s="576">
        <f t="shared" si="233"/>
        <v>0</v>
      </c>
      <c r="S774" s="576">
        <f t="shared" si="225"/>
        <v>0</v>
      </c>
      <c r="T774" s="577">
        <f t="shared" si="234"/>
        <v>0</v>
      </c>
      <c r="U774" s="578">
        <f t="shared" si="235"/>
        <v>0</v>
      </c>
      <c r="V774" s="579"/>
      <c r="W774" s="566"/>
      <c r="X774" s="586" t="str">
        <f t="shared" si="238"/>
        <v/>
      </c>
      <c r="Y774" s="586" t="str">
        <f t="shared" si="189"/>
        <v/>
      </c>
      <c r="Z774" s="586" t="str">
        <f t="shared" si="239"/>
        <v/>
      </c>
    </row>
    <row r="775" spans="1:26" ht="12" hidden="1" thickBot="1" x14ac:dyDescent="0.25">
      <c r="A775" s="652" t="s">
        <v>187</v>
      </c>
      <c r="B775" s="572" t="s">
        <v>187</v>
      </c>
      <c r="C775" s="573" t="s">
        <v>187</v>
      </c>
      <c r="D775" s="580"/>
      <c r="E775" s="575"/>
      <c r="F775" s="436"/>
      <c r="G775" s="431"/>
      <c r="H775" s="430"/>
      <c r="I775" s="432"/>
      <c r="J775" s="433"/>
      <c r="K775" s="437">
        <f t="shared" si="232"/>
        <v>0</v>
      </c>
      <c r="L775" s="435" t="s">
        <v>614</v>
      </c>
      <c r="M775" s="576"/>
      <c r="N775" s="576">
        <f t="shared" si="230"/>
        <v>0</v>
      </c>
      <c r="O775" s="577">
        <f t="shared" si="236"/>
        <v>0</v>
      </c>
      <c r="P775" s="578">
        <f t="shared" si="237"/>
        <v>0</v>
      </c>
      <c r="Q775" s="765"/>
      <c r="R775" s="576">
        <f t="shared" si="233"/>
        <v>0</v>
      </c>
      <c r="S775" s="576">
        <f t="shared" si="225"/>
        <v>0</v>
      </c>
      <c r="T775" s="577">
        <f t="shared" si="234"/>
        <v>0</v>
      </c>
      <c r="U775" s="578">
        <f t="shared" si="235"/>
        <v>0</v>
      </c>
      <c r="V775" s="579"/>
      <c r="W775" s="566"/>
      <c r="X775" s="586" t="str">
        <f t="shared" si="238"/>
        <v/>
      </c>
      <c r="Y775" s="586" t="str">
        <f t="shared" si="189"/>
        <v/>
      </c>
      <c r="Z775" s="586" t="str">
        <f t="shared" si="239"/>
        <v/>
      </c>
    </row>
    <row r="776" spans="1:26" ht="12" hidden="1" thickBot="1" x14ac:dyDescent="0.25">
      <c r="A776" s="652" t="s">
        <v>187</v>
      </c>
      <c r="B776" s="572" t="s">
        <v>187</v>
      </c>
      <c r="C776" s="573" t="s">
        <v>187</v>
      </c>
      <c r="D776" s="580"/>
      <c r="E776" s="575"/>
      <c r="F776" s="436"/>
      <c r="G776" s="431"/>
      <c r="H776" s="430"/>
      <c r="I776" s="432"/>
      <c r="J776" s="433"/>
      <c r="K776" s="437">
        <f t="shared" si="232"/>
        <v>0</v>
      </c>
      <c r="L776" s="435" t="s">
        <v>614</v>
      </c>
      <c r="M776" s="576"/>
      <c r="N776" s="576">
        <f t="shared" si="230"/>
        <v>0</v>
      </c>
      <c r="O776" s="577">
        <f t="shared" si="236"/>
        <v>0</v>
      </c>
      <c r="P776" s="578">
        <f t="shared" si="237"/>
        <v>0</v>
      </c>
      <c r="Q776" s="765"/>
      <c r="R776" s="576">
        <f t="shared" si="233"/>
        <v>0</v>
      </c>
      <c r="S776" s="576">
        <f t="shared" si="225"/>
        <v>0</v>
      </c>
      <c r="T776" s="577">
        <f t="shared" si="234"/>
        <v>0</v>
      </c>
      <c r="U776" s="578">
        <f t="shared" si="235"/>
        <v>0</v>
      </c>
      <c r="V776" s="579"/>
      <c r="W776" s="566"/>
      <c r="X776" s="586" t="str">
        <f t="shared" si="238"/>
        <v/>
      </c>
      <c r="Y776" s="586" t="str">
        <f t="shared" si="189"/>
        <v/>
      </c>
      <c r="Z776" s="586" t="str">
        <f t="shared" si="239"/>
        <v/>
      </c>
    </row>
    <row r="777" spans="1:26" ht="12" hidden="1" thickBot="1" x14ac:dyDescent="0.25">
      <c r="A777" s="652" t="s">
        <v>187</v>
      </c>
      <c r="B777" s="572" t="s">
        <v>187</v>
      </c>
      <c r="C777" s="573" t="s">
        <v>187</v>
      </c>
      <c r="D777" s="580"/>
      <c r="E777" s="575"/>
      <c r="F777" s="436"/>
      <c r="G777" s="431"/>
      <c r="H777" s="430"/>
      <c r="I777" s="432"/>
      <c r="J777" s="433"/>
      <c r="K777" s="437">
        <f t="shared" si="232"/>
        <v>0</v>
      </c>
      <c r="L777" s="435" t="s">
        <v>614</v>
      </c>
      <c r="M777" s="576"/>
      <c r="N777" s="576">
        <f t="shared" si="230"/>
        <v>0</v>
      </c>
      <c r="O777" s="577">
        <f t="shared" si="236"/>
        <v>0</v>
      </c>
      <c r="P777" s="578">
        <f t="shared" si="237"/>
        <v>0</v>
      </c>
      <c r="Q777" s="765"/>
      <c r="R777" s="576">
        <f t="shared" si="233"/>
        <v>0</v>
      </c>
      <c r="S777" s="576">
        <f t="shared" si="225"/>
        <v>0</v>
      </c>
      <c r="T777" s="577">
        <f t="shared" si="234"/>
        <v>0</v>
      </c>
      <c r="U777" s="578">
        <f t="shared" si="235"/>
        <v>0</v>
      </c>
      <c r="V777" s="579"/>
      <c r="W777" s="566"/>
      <c r="X777" s="586" t="str">
        <f t="shared" si="238"/>
        <v/>
      </c>
      <c r="Y777" s="586" t="str">
        <f t="shared" si="189"/>
        <v/>
      </c>
      <c r="Z777" s="586" t="str">
        <f t="shared" si="239"/>
        <v/>
      </c>
    </row>
    <row r="778" spans="1:26" ht="12" hidden="1" thickBot="1" x14ac:dyDescent="0.25">
      <c r="A778" s="652" t="s">
        <v>187</v>
      </c>
      <c r="B778" s="572" t="s">
        <v>187</v>
      </c>
      <c r="C778" s="573" t="s">
        <v>187</v>
      </c>
      <c r="D778" s="580"/>
      <c r="E778" s="575"/>
      <c r="F778" s="436"/>
      <c r="G778" s="431"/>
      <c r="H778" s="430"/>
      <c r="I778" s="432"/>
      <c r="J778" s="433"/>
      <c r="K778" s="437">
        <f t="shared" si="232"/>
        <v>0</v>
      </c>
      <c r="L778" s="435" t="s">
        <v>614</v>
      </c>
      <c r="M778" s="576"/>
      <c r="N778" s="576">
        <f t="shared" si="230"/>
        <v>0</v>
      </c>
      <c r="O778" s="577">
        <f t="shared" si="236"/>
        <v>0</v>
      </c>
      <c r="P778" s="578">
        <f t="shared" si="237"/>
        <v>0</v>
      </c>
      <c r="Q778" s="765"/>
      <c r="R778" s="576">
        <f t="shared" si="233"/>
        <v>0</v>
      </c>
      <c r="S778" s="576">
        <f t="shared" si="225"/>
        <v>0</v>
      </c>
      <c r="T778" s="577">
        <f t="shared" si="234"/>
        <v>0</v>
      </c>
      <c r="U778" s="578">
        <f t="shared" si="235"/>
        <v>0</v>
      </c>
      <c r="V778" s="579"/>
      <c r="W778" s="566"/>
      <c r="X778" s="586" t="str">
        <f t="shared" si="238"/>
        <v/>
      </c>
      <c r="Y778" s="586" t="str">
        <f t="shared" si="189"/>
        <v/>
      </c>
      <c r="Z778" s="586" t="str">
        <f t="shared" si="239"/>
        <v/>
      </c>
    </row>
    <row r="779" spans="1:26" ht="12" hidden="1" thickBot="1" x14ac:dyDescent="0.25">
      <c r="A779" s="652" t="s">
        <v>187</v>
      </c>
      <c r="B779" s="581" t="s">
        <v>187</v>
      </c>
      <c r="C779" s="582" t="s">
        <v>187</v>
      </c>
      <c r="D779" s="583"/>
      <c r="E779" s="584"/>
      <c r="F779" s="438"/>
      <c r="G779" s="439"/>
      <c r="H779" s="440"/>
      <c r="I779" s="441"/>
      <c r="J779" s="442"/>
      <c r="K779" s="443">
        <f t="shared" si="232"/>
        <v>0</v>
      </c>
      <c r="L779" s="444" t="s">
        <v>614</v>
      </c>
      <c r="M779" s="576"/>
      <c r="N779" s="576">
        <f t="shared" si="230"/>
        <v>0</v>
      </c>
      <c r="O779" s="585">
        <f t="shared" si="236"/>
        <v>0</v>
      </c>
      <c r="P779" s="660">
        <f t="shared" si="237"/>
        <v>0</v>
      </c>
      <c r="Q779" s="765"/>
      <c r="R779" s="576">
        <f t="shared" si="233"/>
        <v>0</v>
      </c>
      <c r="S779" s="576">
        <f t="shared" si="233"/>
        <v>0</v>
      </c>
      <c r="T779" s="585">
        <f t="shared" si="234"/>
        <v>0</v>
      </c>
      <c r="U779" s="660">
        <f t="shared" si="235"/>
        <v>0</v>
      </c>
      <c r="V779" s="579"/>
      <c r="W779" s="566"/>
      <c r="X779" s="586" t="str">
        <f t="shared" si="238"/>
        <v/>
      </c>
      <c r="Y779" s="586" t="str">
        <f t="shared" si="189"/>
        <v/>
      </c>
      <c r="Z779" s="586" t="str">
        <f t="shared" si="239"/>
        <v/>
      </c>
    </row>
    <row r="780" spans="1:26" ht="12" thickBot="1" x14ac:dyDescent="0.25">
      <c r="A780" s="567" t="s">
        <v>452</v>
      </c>
      <c r="B780" s="664" t="s">
        <v>452</v>
      </c>
      <c r="C780" s="665"/>
      <c r="D780" s="666" t="s">
        <v>468</v>
      </c>
      <c r="E780" s="631"/>
      <c r="F780" s="632"/>
      <c r="G780" s="633"/>
      <c r="H780" s="634"/>
      <c r="I780" s="409"/>
      <c r="J780" s="409"/>
      <c r="K780" s="409"/>
      <c r="L780" s="409" t="s">
        <v>614</v>
      </c>
      <c r="M780" s="634"/>
      <c r="N780" s="797"/>
      <c r="O780" s="409">
        <f t="shared" si="236"/>
        <v>0</v>
      </c>
      <c r="P780" s="635">
        <f t="shared" si="237"/>
        <v>0</v>
      </c>
      <c r="Q780" s="635">
        <f>SUM(P781:P839)</f>
        <v>18451.64</v>
      </c>
      <c r="R780" s="634"/>
      <c r="S780" s="409"/>
      <c r="T780" s="409">
        <f t="shared" si="234"/>
        <v>0</v>
      </c>
      <c r="U780" s="635">
        <f t="shared" si="235"/>
        <v>0</v>
      </c>
      <c r="V780" s="636">
        <f>SUM(U781:U839)</f>
        <v>18451.64</v>
      </c>
      <c r="W780" s="637" t="str">
        <f>IF(OR(Q780&gt;0,V780&gt;0),"X","")</f>
        <v>X</v>
      </c>
      <c r="X780" s="586" t="str">
        <f t="shared" si="238"/>
        <v>x</v>
      </c>
      <c r="Y780" s="586" t="str">
        <f t="shared" si="189"/>
        <v>x</v>
      </c>
      <c r="Z780" s="586" t="str">
        <f t="shared" si="239"/>
        <v>x</v>
      </c>
    </row>
    <row r="781" spans="1:26" hidden="1" x14ac:dyDescent="0.2">
      <c r="A781" s="567">
        <v>813000</v>
      </c>
      <c r="B781" s="644">
        <v>813000</v>
      </c>
      <c r="C781" s="645" t="s">
        <v>206</v>
      </c>
      <c r="D781" s="422" t="s">
        <v>639</v>
      </c>
      <c r="E781" s="423"/>
      <c r="F781" s="424"/>
      <c r="G781" s="425"/>
      <c r="H781" s="651">
        <f>SUM(H782:H784)</f>
        <v>24.342776000000001</v>
      </c>
      <c r="I781" s="420">
        <v>99.13</v>
      </c>
      <c r="J781" s="420">
        <f>IF(ISBLANK(I781),"",SUM(H781:I781))</f>
        <v>123.472776</v>
      </c>
      <c r="K781" s="421">
        <f t="shared" ref="K781:K788" si="240">IF(ISBLANK(J781),0,ROUND(J781*(1+$F$10)*(1+$F$11*E781),2))</f>
        <v>146.69999999999999</v>
      </c>
      <c r="L781" s="647" t="s">
        <v>19</v>
      </c>
      <c r="M781" s="576"/>
      <c r="N781" s="576">
        <f t="shared" si="230"/>
        <v>0</v>
      </c>
      <c r="O781" s="577">
        <f t="shared" si="236"/>
        <v>0</v>
      </c>
      <c r="P781" s="578">
        <f t="shared" si="237"/>
        <v>0</v>
      </c>
      <c r="Q781" s="765"/>
      <c r="R781" s="576">
        <f t="shared" si="233"/>
        <v>0</v>
      </c>
      <c r="S781" s="576">
        <f t="shared" si="233"/>
        <v>0</v>
      </c>
      <c r="T781" s="577">
        <f t="shared" si="234"/>
        <v>0</v>
      </c>
      <c r="U781" s="578">
        <f t="shared" si="235"/>
        <v>0</v>
      </c>
      <c r="V781" s="579"/>
      <c r="W781" s="566"/>
      <c r="X781" s="586" t="str">
        <f t="shared" si="238"/>
        <v/>
      </c>
      <c r="Y781" s="586" t="str">
        <f t="shared" si="189"/>
        <v/>
      </c>
      <c r="Z781" s="586" t="str">
        <f t="shared" si="239"/>
        <v/>
      </c>
    </row>
    <row r="782" spans="1:26" hidden="1" x14ac:dyDescent="0.2">
      <c r="A782" s="567" t="s">
        <v>168</v>
      </c>
      <c r="B782" s="644" t="s">
        <v>168</v>
      </c>
      <c r="C782" s="645"/>
      <c r="D782" s="451" t="s">
        <v>212</v>
      </c>
      <c r="E782" s="423"/>
      <c r="F782" s="424">
        <v>500</v>
      </c>
      <c r="G782" s="425">
        <v>1.7600000000000001E-2</v>
      </c>
      <c r="H782" s="649">
        <f>IF(F782&lt;=30,(0.78*F782+7.82)*G782,((0.78*30+7.82)+0.78*(F782-30))*G782)</f>
        <v>7.0016320000000016</v>
      </c>
      <c r="I782" s="420">
        <v>0</v>
      </c>
      <c r="J782" s="420"/>
      <c r="K782" s="421">
        <f t="shared" si="240"/>
        <v>0</v>
      </c>
      <c r="L782" s="668" t="s">
        <v>614</v>
      </c>
      <c r="M782" s="669"/>
      <c r="N782" s="576">
        <f t="shared" si="230"/>
        <v>0</v>
      </c>
      <c r="O782" s="577">
        <f t="shared" si="236"/>
        <v>0</v>
      </c>
      <c r="P782" s="578">
        <f t="shared" si="237"/>
        <v>0</v>
      </c>
      <c r="Q782" s="765"/>
      <c r="R782" s="669"/>
      <c r="S782" s="670"/>
      <c r="T782" s="577">
        <f t="shared" si="234"/>
        <v>0</v>
      </c>
      <c r="U782" s="578">
        <f t="shared" si="235"/>
        <v>0</v>
      </c>
      <c r="V782" s="579"/>
      <c r="W782" s="637" t="str">
        <f>IF(U781&gt;0,"xx",IF(P781&gt;0,"xy",""))</f>
        <v/>
      </c>
      <c r="X782" s="586" t="str">
        <f t="shared" si="238"/>
        <v/>
      </c>
      <c r="Y782" s="586" t="str">
        <f t="shared" si="189"/>
        <v/>
      </c>
      <c r="Z782" s="586" t="str">
        <f t="shared" si="239"/>
        <v/>
      </c>
    </row>
    <row r="783" spans="1:26" hidden="1" x14ac:dyDescent="0.2">
      <c r="A783" s="567" t="s">
        <v>168</v>
      </c>
      <c r="B783" s="644" t="s">
        <v>168</v>
      </c>
      <c r="C783" s="645"/>
      <c r="D783" s="451" t="s">
        <v>248</v>
      </c>
      <c r="E783" s="423"/>
      <c r="F783" s="424">
        <v>180</v>
      </c>
      <c r="G783" s="425">
        <v>7.3400000000000007E-2</v>
      </c>
      <c r="H783" s="663">
        <f t="shared" ref="H783:H784" si="241">IF(F783&lt;=30,(1.07*F783+2.68)*G783,((1.07*30+2.68)+1.07*(F783-30))*G783)</f>
        <v>14.333552000000001</v>
      </c>
      <c r="I783" s="420">
        <v>0</v>
      </c>
      <c r="J783" s="420"/>
      <c r="K783" s="421">
        <f t="shared" si="240"/>
        <v>0</v>
      </c>
      <c r="L783" s="668" t="s">
        <v>614</v>
      </c>
      <c r="M783" s="669"/>
      <c r="N783" s="576">
        <f t="shared" si="230"/>
        <v>0</v>
      </c>
      <c r="O783" s="577">
        <f t="shared" si="236"/>
        <v>0</v>
      </c>
      <c r="P783" s="578">
        <f t="shared" si="237"/>
        <v>0</v>
      </c>
      <c r="Q783" s="765"/>
      <c r="R783" s="669"/>
      <c r="S783" s="670"/>
      <c r="T783" s="577">
        <f t="shared" si="234"/>
        <v>0</v>
      </c>
      <c r="U783" s="578">
        <f t="shared" si="235"/>
        <v>0</v>
      </c>
      <c r="V783" s="579"/>
      <c r="W783" s="637" t="str">
        <f>IF(U781&gt;0,"xx",IF(P781&gt;0,"xy",""))</f>
        <v/>
      </c>
      <c r="X783" s="586" t="str">
        <f t="shared" si="238"/>
        <v/>
      </c>
      <c r="Y783" s="586" t="str">
        <f t="shared" si="189"/>
        <v/>
      </c>
      <c r="Z783" s="586" t="str">
        <f t="shared" si="239"/>
        <v/>
      </c>
    </row>
    <row r="784" spans="1:26" hidden="1" x14ac:dyDescent="0.2">
      <c r="A784" s="567" t="s">
        <v>168</v>
      </c>
      <c r="B784" s="644" t="s">
        <v>168</v>
      </c>
      <c r="C784" s="645"/>
      <c r="D784" s="451" t="s">
        <v>252</v>
      </c>
      <c r="E784" s="423"/>
      <c r="F784" s="424">
        <v>20</v>
      </c>
      <c r="G784" s="425">
        <v>0.1249</v>
      </c>
      <c r="H784" s="663">
        <f t="shared" si="241"/>
        <v>3.0075920000000003</v>
      </c>
      <c r="I784" s="420">
        <v>0</v>
      </c>
      <c r="J784" s="420"/>
      <c r="K784" s="421">
        <f t="shared" si="240"/>
        <v>0</v>
      </c>
      <c r="L784" s="668" t="s">
        <v>614</v>
      </c>
      <c r="M784" s="669"/>
      <c r="N784" s="576">
        <f t="shared" si="230"/>
        <v>0</v>
      </c>
      <c r="O784" s="577">
        <f t="shared" si="236"/>
        <v>0</v>
      </c>
      <c r="P784" s="578">
        <f t="shared" si="237"/>
        <v>0</v>
      </c>
      <c r="Q784" s="765"/>
      <c r="R784" s="669"/>
      <c r="S784" s="670"/>
      <c r="T784" s="577">
        <f t="shared" si="234"/>
        <v>0</v>
      </c>
      <c r="U784" s="578">
        <f t="shared" si="235"/>
        <v>0</v>
      </c>
      <c r="V784" s="579"/>
      <c r="W784" s="637" t="str">
        <f>IF(U781&gt;0,"xx",IF(P781&gt;0,"xy",""))</f>
        <v/>
      </c>
      <c r="X784" s="586" t="str">
        <f t="shared" si="238"/>
        <v/>
      </c>
      <c r="Y784" s="586" t="str">
        <f t="shared" si="189"/>
        <v/>
      </c>
      <c r="Z784" s="586" t="str">
        <f t="shared" si="239"/>
        <v/>
      </c>
    </row>
    <row r="785" spans="1:26" hidden="1" x14ac:dyDescent="0.2">
      <c r="A785" s="567">
        <v>814000</v>
      </c>
      <c r="B785" s="644">
        <v>814000</v>
      </c>
      <c r="C785" s="645" t="s">
        <v>206</v>
      </c>
      <c r="D785" s="422" t="s">
        <v>640</v>
      </c>
      <c r="E785" s="423"/>
      <c r="F785" s="424"/>
      <c r="G785" s="425"/>
      <c r="H785" s="651">
        <f>SUM(H786:H788)</f>
        <v>24.342776000000001</v>
      </c>
      <c r="I785" s="420">
        <v>97.89</v>
      </c>
      <c r="J785" s="420">
        <f>IF(ISBLANK(I785),"",SUM(H785:I785))</f>
        <v>122.232776</v>
      </c>
      <c r="K785" s="421">
        <f t="shared" si="240"/>
        <v>145.22</v>
      </c>
      <c r="L785" s="647" t="s">
        <v>19</v>
      </c>
      <c r="M785" s="576"/>
      <c r="N785" s="576">
        <f t="shared" si="230"/>
        <v>0</v>
      </c>
      <c r="O785" s="577">
        <f t="shared" si="236"/>
        <v>0</v>
      </c>
      <c r="P785" s="578">
        <f t="shared" si="237"/>
        <v>0</v>
      </c>
      <c r="Q785" s="765"/>
      <c r="R785" s="576">
        <f t="shared" si="233"/>
        <v>0</v>
      </c>
      <c r="S785" s="576">
        <f t="shared" si="233"/>
        <v>0</v>
      </c>
      <c r="T785" s="577">
        <f t="shared" si="234"/>
        <v>0</v>
      </c>
      <c r="U785" s="578">
        <f t="shared" si="235"/>
        <v>0</v>
      </c>
      <c r="V785" s="579"/>
      <c r="W785" s="566"/>
      <c r="X785" s="586" t="str">
        <f t="shared" si="238"/>
        <v/>
      </c>
      <c r="Y785" s="586" t="str">
        <f t="shared" si="189"/>
        <v/>
      </c>
      <c r="Z785" s="586" t="str">
        <f t="shared" si="239"/>
        <v/>
      </c>
    </row>
    <row r="786" spans="1:26" hidden="1" x14ac:dyDescent="0.2">
      <c r="A786" s="567" t="s">
        <v>168</v>
      </c>
      <c r="B786" s="644" t="s">
        <v>168</v>
      </c>
      <c r="C786" s="645"/>
      <c r="D786" s="451" t="s">
        <v>212</v>
      </c>
      <c r="E786" s="423"/>
      <c r="F786" s="424">
        <v>500</v>
      </c>
      <c r="G786" s="425">
        <v>1.7600000000000001E-2</v>
      </c>
      <c r="H786" s="649">
        <f>IF(F786&lt;=30,(0.78*F786+7.82)*G786,((0.78*30+7.82)+0.78*(F786-30))*G786)</f>
        <v>7.0016320000000016</v>
      </c>
      <c r="I786" s="420">
        <v>0</v>
      </c>
      <c r="J786" s="420"/>
      <c r="K786" s="421">
        <f t="shared" si="240"/>
        <v>0</v>
      </c>
      <c r="L786" s="668" t="s">
        <v>614</v>
      </c>
      <c r="M786" s="669"/>
      <c r="N786" s="576">
        <f t="shared" si="230"/>
        <v>0</v>
      </c>
      <c r="O786" s="577">
        <f t="shared" si="236"/>
        <v>0</v>
      </c>
      <c r="P786" s="578">
        <f t="shared" si="237"/>
        <v>0</v>
      </c>
      <c r="Q786" s="765"/>
      <c r="R786" s="669"/>
      <c r="S786" s="670"/>
      <c r="T786" s="577">
        <f t="shared" si="234"/>
        <v>0</v>
      </c>
      <c r="U786" s="578">
        <f t="shared" si="235"/>
        <v>0</v>
      </c>
      <c r="V786" s="579"/>
      <c r="W786" s="637" t="str">
        <f>IF(U785&gt;0,"xx",IF(P785&gt;0,"xy",""))</f>
        <v/>
      </c>
      <c r="X786" s="586" t="str">
        <f t="shared" si="238"/>
        <v/>
      </c>
      <c r="Y786" s="586" t="str">
        <f t="shared" si="189"/>
        <v/>
      </c>
      <c r="Z786" s="586" t="str">
        <f t="shared" si="239"/>
        <v/>
      </c>
    </row>
    <row r="787" spans="1:26" hidden="1" x14ac:dyDescent="0.2">
      <c r="A787" s="567" t="s">
        <v>168</v>
      </c>
      <c r="B787" s="644" t="s">
        <v>168</v>
      </c>
      <c r="C787" s="645"/>
      <c r="D787" s="451" t="s">
        <v>248</v>
      </c>
      <c r="E787" s="423"/>
      <c r="F787" s="424">
        <v>180</v>
      </c>
      <c r="G787" s="425">
        <v>7.3400000000000007E-2</v>
      </c>
      <c r="H787" s="663">
        <f t="shared" ref="H787:H788" si="242">IF(F787&lt;=30,(1.07*F787+2.68)*G787,((1.07*30+2.68)+1.07*(F787-30))*G787)</f>
        <v>14.333552000000001</v>
      </c>
      <c r="I787" s="420">
        <v>0</v>
      </c>
      <c r="J787" s="420"/>
      <c r="K787" s="421">
        <f t="shared" si="240"/>
        <v>0</v>
      </c>
      <c r="L787" s="668" t="s">
        <v>614</v>
      </c>
      <c r="M787" s="669"/>
      <c r="N787" s="576">
        <f t="shared" si="230"/>
        <v>0</v>
      </c>
      <c r="O787" s="577">
        <f t="shared" si="236"/>
        <v>0</v>
      </c>
      <c r="P787" s="578">
        <f t="shared" si="237"/>
        <v>0</v>
      </c>
      <c r="Q787" s="765"/>
      <c r="R787" s="669"/>
      <c r="S787" s="670"/>
      <c r="T787" s="577">
        <f t="shared" si="234"/>
        <v>0</v>
      </c>
      <c r="U787" s="578">
        <f t="shared" si="235"/>
        <v>0</v>
      </c>
      <c r="V787" s="579"/>
      <c r="W787" s="637" t="str">
        <f>IF(U785&gt;0,"xx",IF(P785&gt;0,"xy",""))</f>
        <v/>
      </c>
      <c r="X787" s="586" t="str">
        <f t="shared" si="238"/>
        <v/>
      </c>
      <c r="Y787" s="586" t="str">
        <f t="shared" si="189"/>
        <v/>
      </c>
      <c r="Z787" s="586" t="str">
        <f t="shared" si="239"/>
        <v/>
      </c>
    </row>
    <row r="788" spans="1:26" hidden="1" x14ac:dyDescent="0.2">
      <c r="A788" s="567" t="s">
        <v>168</v>
      </c>
      <c r="B788" s="644" t="s">
        <v>168</v>
      </c>
      <c r="C788" s="645"/>
      <c r="D788" s="451" t="s">
        <v>252</v>
      </c>
      <c r="E788" s="423"/>
      <c r="F788" s="424">
        <v>20</v>
      </c>
      <c r="G788" s="425">
        <v>0.1249</v>
      </c>
      <c r="H788" s="663">
        <f t="shared" si="242"/>
        <v>3.0075920000000003</v>
      </c>
      <c r="I788" s="420">
        <v>0</v>
      </c>
      <c r="J788" s="420"/>
      <c r="K788" s="421">
        <f t="shared" si="240"/>
        <v>0</v>
      </c>
      <c r="L788" s="668" t="s">
        <v>614</v>
      </c>
      <c r="M788" s="669"/>
      <c r="N788" s="576">
        <f t="shared" ref="N788:N851" si="243">IF(M788=0,0,K788)</f>
        <v>0</v>
      </c>
      <c r="O788" s="577">
        <f t="shared" si="236"/>
        <v>0</v>
      </c>
      <c r="P788" s="578">
        <f t="shared" si="237"/>
        <v>0</v>
      </c>
      <c r="Q788" s="765"/>
      <c r="R788" s="669"/>
      <c r="S788" s="670"/>
      <c r="T788" s="577">
        <f t="shared" si="234"/>
        <v>0</v>
      </c>
      <c r="U788" s="578">
        <f t="shared" si="235"/>
        <v>0</v>
      </c>
      <c r="V788" s="579"/>
      <c r="W788" s="637" t="str">
        <f>IF(U785&gt;0,"xx",IF(P785&gt;0,"xy",""))</f>
        <v/>
      </c>
      <c r="X788" s="586" t="str">
        <f t="shared" si="238"/>
        <v/>
      </c>
      <c r="Y788" s="586" t="str">
        <f t="shared" si="189"/>
        <v/>
      </c>
      <c r="Z788" s="586" t="str">
        <f t="shared" si="239"/>
        <v/>
      </c>
    </row>
    <row r="789" spans="1:26" hidden="1" x14ac:dyDescent="0.2">
      <c r="A789" s="567">
        <v>823000</v>
      </c>
      <c r="B789" s="644" t="s">
        <v>1635</v>
      </c>
      <c r="C789" s="645" t="s">
        <v>206</v>
      </c>
      <c r="D789" s="422" t="s">
        <v>282</v>
      </c>
      <c r="E789" s="423"/>
      <c r="F789" s="424">
        <v>0</v>
      </c>
      <c r="G789" s="425"/>
      <c r="H789" s="651">
        <v>0</v>
      </c>
      <c r="I789" s="420">
        <v>486.65</v>
      </c>
      <c r="J789" s="420">
        <f t="shared" ref="J789:J797" si="244">IF(ISBLANK(I789),"",SUM(H789:I789))</f>
        <v>486.65</v>
      </c>
      <c r="K789" s="421">
        <f t="shared" ref="K789:K806" si="245">IF(ISBLANK(I789),0,ROUND(J789*(1+$F$10)*(1+$F$11*E789),2))</f>
        <v>578.19000000000005</v>
      </c>
      <c r="L789" s="647" t="s">
        <v>19</v>
      </c>
      <c r="M789" s="576"/>
      <c r="N789" s="576">
        <f t="shared" si="243"/>
        <v>0</v>
      </c>
      <c r="O789" s="577">
        <f t="shared" si="236"/>
        <v>0</v>
      </c>
      <c r="P789" s="578">
        <f t="shared" si="237"/>
        <v>0</v>
      </c>
      <c r="Q789" s="765"/>
      <c r="R789" s="576">
        <f t="shared" si="233"/>
        <v>0</v>
      </c>
      <c r="S789" s="576">
        <f t="shared" si="233"/>
        <v>0</v>
      </c>
      <c r="T789" s="577">
        <f t="shared" si="234"/>
        <v>0</v>
      </c>
      <c r="U789" s="578">
        <f t="shared" si="235"/>
        <v>0</v>
      </c>
      <c r="V789" s="579"/>
      <c r="W789" s="566"/>
      <c r="X789" s="586" t="str">
        <f t="shared" si="238"/>
        <v/>
      </c>
      <c r="Y789" s="586" t="str">
        <f t="shared" si="189"/>
        <v/>
      </c>
      <c r="Z789" s="586" t="str">
        <f t="shared" si="239"/>
        <v/>
      </c>
    </row>
    <row r="790" spans="1:26" hidden="1" x14ac:dyDescent="0.2">
      <c r="A790" s="567">
        <v>871000</v>
      </c>
      <c r="B790" s="644">
        <v>871000</v>
      </c>
      <c r="C790" s="645" t="s">
        <v>206</v>
      </c>
      <c r="D790" s="422" t="s">
        <v>497</v>
      </c>
      <c r="E790" s="423"/>
      <c r="F790" s="424"/>
      <c r="G790" s="425"/>
      <c r="H790" s="651"/>
      <c r="I790" s="420">
        <v>15.67</v>
      </c>
      <c r="J790" s="420">
        <f t="shared" si="244"/>
        <v>15.67</v>
      </c>
      <c r="K790" s="421">
        <f t="shared" si="245"/>
        <v>18.62</v>
      </c>
      <c r="L790" s="647" t="s">
        <v>21</v>
      </c>
      <c r="M790" s="576"/>
      <c r="N790" s="576">
        <f t="shared" si="243"/>
        <v>0</v>
      </c>
      <c r="O790" s="577">
        <f t="shared" si="236"/>
        <v>0</v>
      </c>
      <c r="P790" s="578">
        <f t="shared" si="237"/>
        <v>0</v>
      </c>
      <c r="Q790" s="765"/>
      <c r="R790" s="576">
        <f t="shared" si="233"/>
        <v>0</v>
      </c>
      <c r="S790" s="576">
        <f t="shared" si="233"/>
        <v>0</v>
      </c>
      <c r="T790" s="577">
        <f t="shared" si="234"/>
        <v>0</v>
      </c>
      <c r="U790" s="578">
        <f t="shared" si="235"/>
        <v>0</v>
      </c>
      <c r="V790" s="579"/>
      <c r="W790" s="566"/>
      <c r="X790" s="586" t="str">
        <f t="shared" si="238"/>
        <v/>
      </c>
      <c r="Y790" s="586" t="str">
        <f t="shared" si="189"/>
        <v/>
      </c>
      <c r="Z790" s="586" t="str">
        <f t="shared" si="239"/>
        <v/>
      </c>
    </row>
    <row r="791" spans="1:26" hidden="1" x14ac:dyDescent="0.2">
      <c r="A791" s="567">
        <v>870000</v>
      </c>
      <c r="B791" s="644">
        <v>870000</v>
      </c>
      <c r="C791" s="645" t="s">
        <v>206</v>
      </c>
      <c r="D791" s="422" t="s">
        <v>498</v>
      </c>
      <c r="E791" s="423"/>
      <c r="F791" s="424"/>
      <c r="G791" s="425"/>
      <c r="H791" s="651"/>
      <c r="I791" s="420">
        <v>14.9</v>
      </c>
      <c r="J791" s="420">
        <f t="shared" si="244"/>
        <v>14.9</v>
      </c>
      <c r="K791" s="421">
        <f t="shared" si="245"/>
        <v>17.7</v>
      </c>
      <c r="L791" s="647" t="s">
        <v>21</v>
      </c>
      <c r="M791" s="576"/>
      <c r="N791" s="576">
        <f t="shared" si="243"/>
        <v>0</v>
      </c>
      <c r="O791" s="577">
        <f t="shared" si="236"/>
        <v>0</v>
      </c>
      <c r="P791" s="578">
        <f t="shared" si="237"/>
        <v>0</v>
      </c>
      <c r="Q791" s="765"/>
      <c r="R791" s="576">
        <f t="shared" si="233"/>
        <v>0</v>
      </c>
      <c r="S791" s="576">
        <f t="shared" si="233"/>
        <v>0</v>
      </c>
      <c r="T791" s="577">
        <f t="shared" si="234"/>
        <v>0</v>
      </c>
      <c r="U791" s="578">
        <f t="shared" si="235"/>
        <v>0</v>
      </c>
      <c r="V791" s="579"/>
      <c r="W791" s="566"/>
      <c r="X791" s="586" t="str">
        <f t="shared" si="238"/>
        <v/>
      </c>
      <c r="Y791" s="586" t="str">
        <f t="shared" si="189"/>
        <v/>
      </c>
      <c r="Z791" s="586" t="str">
        <f t="shared" si="239"/>
        <v/>
      </c>
    </row>
    <row r="792" spans="1:26" hidden="1" x14ac:dyDescent="0.2">
      <c r="A792" s="567">
        <v>873000</v>
      </c>
      <c r="B792" s="644">
        <v>873000</v>
      </c>
      <c r="C792" s="645" t="s">
        <v>206</v>
      </c>
      <c r="D792" s="422" t="s">
        <v>499</v>
      </c>
      <c r="E792" s="423"/>
      <c r="F792" s="424"/>
      <c r="G792" s="425"/>
      <c r="H792" s="651"/>
      <c r="I792" s="420">
        <v>30.03</v>
      </c>
      <c r="J792" s="420">
        <f t="shared" si="244"/>
        <v>30.03</v>
      </c>
      <c r="K792" s="421">
        <f t="shared" si="245"/>
        <v>35.68</v>
      </c>
      <c r="L792" s="647" t="s">
        <v>21</v>
      </c>
      <c r="M792" s="576"/>
      <c r="N792" s="576">
        <f t="shared" si="243"/>
        <v>0</v>
      </c>
      <c r="O792" s="577">
        <f t="shared" si="236"/>
        <v>0</v>
      </c>
      <c r="P792" s="578">
        <f t="shared" si="237"/>
        <v>0</v>
      </c>
      <c r="Q792" s="765"/>
      <c r="R792" s="576">
        <f t="shared" si="233"/>
        <v>0</v>
      </c>
      <c r="S792" s="576">
        <f t="shared" si="233"/>
        <v>0</v>
      </c>
      <c r="T792" s="577">
        <f t="shared" si="234"/>
        <v>0</v>
      </c>
      <c r="U792" s="578">
        <f t="shared" si="235"/>
        <v>0</v>
      </c>
      <c r="V792" s="579"/>
      <c r="W792" s="566"/>
      <c r="X792" s="586" t="str">
        <f t="shared" si="238"/>
        <v/>
      </c>
      <c r="Y792" s="586" t="str">
        <f t="shared" si="189"/>
        <v/>
      </c>
      <c r="Z792" s="586" t="str">
        <f t="shared" si="239"/>
        <v/>
      </c>
    </row>
    <row r="793" spans="1:26" hidden="1" x14ac:dyDescent="0.2">
      <c r="A793" s="567">
        <v>872000</v>
      </c>
      <c r="B793" s="644">
        <v>872000</v>
      </c>
      <c r="C793" s="645" t="s">
        <v>206</v>
      </c>
      <c r="D793" s="422" t="s">
        <v>500</v>
      </c>
      <c r="E793" s="423"/>
      <c r="F793" s="424"/>
      <c r="G793" s="425"/>
      <c r="H793" s="651"/>
      <c r="I793" s="420">
        <v>28.92</v>
      </c>
      <c r="J793" s="420">
        <f t="shared" si="244"/>
        <v>28.92</v>
      </c>
      <c r="K793" s="421">
        <f t="shared" si="245"/>
        <v>34.36</v>
      </c>
      <c r="L793" s="647" t="s">
        <v>21</v>
      </c>
      <c r="M793" s="576"/>
      <c r="N793" s="576">
        <f t="shared" si="243"/>
        <v>0</v>
      </c>
      <c r="O793" s="577">
        <f t="shared" si="236"/>
        <v>0</v>
      </c>
      <c r="P793" s="578">
        <f t="shared" si="237"/>
        <v>0</v>
      </c>
      <c r="Q793" s="765"/>
      <c r="R793" s="576">
        <f t="shared" si="233"/>
        <v>0</v>
      </c>
      <c r="S793" s="576">
        <f t="shared" si="233"/>
        <v>0</v>
      </c>
      <c r="T793" s="577">
        <f t="shared" si="234"/>
        <v>0</v>
      </c>
      <c r="U793" s="578">
        <f t="shared" si="235"/>
        <v>0</v>
      </c>
      <c r="V793" s="579"/>
      <c r="W793" s="566"/>
      <c r="X793" s="586" t="str">
        <f t="shared" si="238"/>
        <v/>
      </c>
      <c r="Y793" s="586" t="str">
        <f t="shared" si="189"/>
        <v/>
      </c>
      <c r="Z793" s="586" t="str">
        <f t="shared" si="239"/>
        <v/>
      </c>
    </row>
    <row r="794" spans="1:26" ht="12" thickBot="1" x14ac:dyDescent="0.25">
      <c r="A794" s="567">
        <v>822000</v>
      </c>
      <c r="B794" s="644">
        <v>822000</v>
      </c>
      <c r="C794" s="645" t="s">
        <v>206</v>
      </c>
      <c r="D794" s="422" t="s">
        <v>496</v>
      </c>
      <c r="E794" s="423"/>
      <c r="F794" s="424"/>
      <c r="G794" s="425"/>
      <c r="H794" s="651"/>
      <c r="I794" s="420">
        <v>34.510000000000005</v>
      </c>
      <c r="J794" s="420">
        <f t="shared" si="244"/>
        <v>34.510000000000005</v>
      </c>
      <c r="K794" s="421">
        <f t="shared" si="245"/>
        <v>41</v>
      </c>
      <c r="L794" s="647" t="s">
        <v>18</v>
      </c>
      <c r="M794" s="576">
        <f>381.96+68.08</f>
        <v>450.03999999999996</v>
      </c>
      <c r="N794" s="576">
        <f t="shared" si="243"/>
        <v>41</v>
      </c>
      <c r="O794" s="577">
        <f t="shared" si="236"/>
        <v>18451.64</v>
      </c>
      <c r="P794" s="578">
        <f t="shared" si="237"/>
        <v>18451.64</v>
      </c>
      <c r="Q794" s="765"/>
      <c r="R794" s="576">
        <f t="shared" si="233"/>
        <v>450.03999999999996</v>
      </c>
      <c r="S794" s="576">
        <f t="shared" si="233"/>
        <v>41</v>
      </c>
      <c r="T794" s="577">
        <f t="shared" si="234"/>
        <v>18451.64</v>
      </c>
      <c r="U794" s="578">
        <f t="shared" si="235"/>
        <v>18451.64</v>
      </c>
      <c r="V794" s="579"/>
      <c r="W794" s="566"/>
      <c r="X794" s="586" t="str">
        <f t="shared" si="238"/>
        <v>x</v>
      </c>
      <c r="Y794" s="586" t="str">
        <f t="shared" si="189"/>
        <v>x</v>
      </c>
      <c r="Z794" s="586" t="str">
        <f t="shared" si="239"/>
        <v>x</v>
      </c>
    </row>
    <row r="795" spans="1:26" ht="12" hidden="1" thickBot="1" x14ac:dyDescent="0.25">
      <c r="A795" s="567">
        <v>820000</v>
      </c>
      <c r="B795" s="644" t="s">
        <v>313</v>
      </c>
      <c r="C795" s="645" t="s">
        <v>206</v>
      </c>
      <c r="D795" s="422" t="s">
        <v>301</v>
      </c>
      <c r="E795" s="423"/>
      <c r="F795" s="424"/>
      <c r="G795" s="425"/>
      <c r="H795" s="651"/>
      <c r="I795" s="420">
        <v>667.42000000000007</v>
      </c>
      <c r="J795" s="420">
        <f t="shared" si="244"/>
        <v>667.42000000000007</v>
      </c>
      <c r="K795" s="421">
        <f t="shared" si="245"/>
        <v>792.96</v>
      </c>
      <c r="L795" s="647" t="s">
        <v>18</v>
      </c>
      <c r="M795" s="576"/>
      <c r="N795" s="576">
        <f t="shared" si="243"/>
        <v>0</v>
      </c>
      <c r="O795" s="577">
        <f t="shared" si="236"/>
        <v>0</v>
      </c>
      <c r="P795" s="578">
        <f t="shared" si="237"/>
        <v>0</v>
      </c>
      <c r="Q795" s="765"/>
      <c r="R795" s="576">
        <f t="shared" si="233"/>
        <v>0</v>
      </c>
      <c r="S795" s="576">
        <f t="shared" si="233"/>
        <v>0</v>
      </c>
      <c r="T795" s="577">
        <f t="shared" si="234"/>
        <v>0</v>
      </c>
      <c r="U795" s="578">
        <f t="shared" si="235"/>
        <v>0</v>
      </c>
      <c r="V795" s="579"/>
      <c r="W795" s="566"/>
      <c r="X795" s="586" t="str">
        <f t="shared" si="238"/>
        <v/>
      </c>
      <c r="Y795" s="586" t="str">
        <f t="shared" si="189"/>
        <v/>
      </c>
      <c r="Z795" s="586" t="str">
        <f t="shared" si="239"/>
        <v/>
      </c>
    </row>
    <row r="796" spans="1:26" ht="12" hidden="1" thickBot="1" x14ac:dyDescent="0.25">
      <c r="A796" s="567">
        <v>821000</v>
      </c>
      <c r="B796" s="644">
        <v>821000</v>
      </c>
      <c r="C796" s="645" t="s">
        <v>206</v>
      </c>
      <c r="D796" s="422" t="s">
        <v>302</v>
      </c>
      <c r="E796" s="423"/>
      <c r="F796" s="424"/>
      <c r="G796" s="425"/>
      <c r="H796" s="651"/>
      <c r="I796" s="420">
        <v>181.85000000000002</v>
      </c>
      <c r="J796" s="420">
        <f t="shared" si="244"/>
        <v>181.85000000000002</v>
      </c>
      <c r="K796" s="421">
        <f t="shared" si="245"/>
        <v>216.06</v>
      </c>
      <c r="L796" s="647" t="s">
        <v>21</v>
      </c>
      <c r="M796" s="576"/>
      <c r="N796" s="576">
        <f t="shared" si="243"/>
        <v>0</v>
      </c>
      <c r="O796" s="577">
        <f t="shared" si="236"/>
        <v>0</v>
      </c>
      <c r="P796" s="578">
        <f t="shared" si="237"/>
        <v>0</v>
      </c>
      <c r="Q796" s="765"/>
      <c r="R796" s="576">
        <f t="shared" si="233"/>
        <v>0</v>
      </c>
      <c r="S796" s="576">
        <f t="shared" si="233"/>
        <v>0</v>
      </c>
      <c r="T796" s="577">
        <f t="shared" si="234"/>
        <v>0</v>
      </c>
      <c r="U796" s="578">
        <f t="shared" si="235"/>
        <v>0</v>
      </c>
      <c r="V796" s="579"/>
      <c r="W796" s="566"/>
      <c r="X796" s="586" t="str">
        <f t="shared" si="238"/>
        <v/>
      </c>
      <c r="Y796" s="586" t="str">
        <f t="shared" si="189"/>
        <v/>
      </c>
      <c r="Z796" s="586" t="str">
        <f t="shared" si="239"/>
        <v/>
      </c>
    </row>
    <row r="797" spans="1:26" ht="12" hidden="1" thickBot="1" x14ac:dyDescent="0.25">
      <c r="A797" s="567">
        <v>821300</v>
      </c>
      <c r="B797" s="644">
        <v>821300</v>
      </c>
      <c r="C797" s="645" t="s">
        <v>206</v>
      </c>
      <c r="D797" s="422" t="s">
        <v>303</v>
      </c>
      <c r="E797" s="423"/>
      <c r="F797" s="424"/>
      <c r="G797" s="425"/>
      <c r="H797" s="651"/>
      <c r="I797" s="420">
        <v>412.65</v>
      </c>
      <c r="J797" s="420">
        <f t="shared" si="244"/>
        <v>412.65</v>
      </c>
      <c r="K797" s="421">
        <f t="shared" si="245"/>
        <v>490.27</v>
      </c>
      <c r="L797" s="647" t="s">
        <v>21</v>
      </c>
      <c r="M797" s="576"/>
      <c r="N797" s="576">
        <f t="shared" si="243"/>
        <v>0</v>
      </c>
      <c r="O797" s="577">
        <f t="shared" si="236"/>
        <v>0</v>
      </c>
      <c r="P797" s="578">
        <f t="shared" si="237"/>
        <v>0</v>
      </c>
      <c r="Q797" s="765"/>
      <c r="R797" s="576">
        <f t="shared" si="233"/>
        <v>0</v>
      </c>
      <c r="S797" s="576">
        <f t="shared" si="233"/>
        <v>0</v>
      </c>
      <c r="T797" s="577">
        <f t="shared" si="234"/>
        <v>0</v>
      </c>
      <c r="U797" s="578">
        <f t="shared" si="235"/>
        <v>0</v>
      </c>
      <c r="V797" s="579"/>
      <c r="W797" s="566"/>
      <c r="X797" s="586" t="str">
        <f t="shared" si="238"/>
        <v/>
      </c>
      <c r="Y797" s="586" t="str">
        <f t="shared" si="189"/>
        <v/>
      </c>
      <c r="Z797" s="586" t="str">
        <f t="shared" si="239"/>
        <v/>
      </c>
    </row>
    <row r="798" spans="1:26" ht="12" hidden="1" thickBot="1" x14ac:dyDescent="0.25">
      <c r="A798" s="567">
        <v>820000</v>
      </c>
      <c r="B798" s="644" t="s">
        <v>314</v>
      </c>
      <c r="C798" s="645" t="s">
        <v>206</v>
      </c>
      <c r="D798" s="422" t="s">
        <v>304</v>
      </c>
      <c r="E798" s="423"/>
      <c r="F798" s="424"/>
      <c r="G798" s="425"/>
      <c r="H798" s="651"/>
      <c r="I798" s="420">
        <f>667.42*0.1964+181.85</f>
        <v>312.931288</v>
      </c>
      <c r="J798" s="420">
        <f>IF(ISBLANK(I798),"",SUM(H798:I798))*0.85</f>
        <v>265.99159479999997</v>
      </c>
      <c r="K798" s="421">
        <f t="shared" si="245"/>
        <v>316.02</v>
      </c>
      <c r="L798" s="647" t="s">
        <v>21</v>
      </c>
      <c r="M798" s="576"/>
      <c r="N798" s="576">
        <f t="shared" si="243"/>
        <v>0</v>
      </c>
      <c r="O798" s="577">
        <f t="shared" si="236"/>
        <v>0</v>
      </c>
      <c r="P798" s="578">
        <f t="shared" si="237"/>
        <v>0</v>
      </c>
      <c r="Q798" s="765"/>
      <c r="R798" s="576">
        <f t="shared" si="233"/>
        <v>0</v>
      </c>
      <c r="S798" s="576">
        <f t="shared" si="233"/>
        <v>0</v>
      </c>
      <c r="T798" s="577">
        <f t="shared" si="234"/>
        <v>0</v>
      </c>
      <c r="U798" s="578">
        <f t="shared" si="235"/>
        <v>0</v>
      </c>
      <c r="V798" s="579"/>
      <c r="W798" s="566"/>
      <c r="X798" s="586" t="str">
        <f t="shared" si="238"/>
        <v/>
      </c>
      <c r="Y798" s="586" t="str">
        <f t="shared" si="189"/>
        <v/>
      </c>
      <c r="Z798" s="586" t="str">
        <f t="shared" si="239"/>
        <v/>
      </c>
    </row>
    <row r="799" spans="1:26" ht="12" hidden="1" thickBot="1" x14ac:dyDescent="0.25">
      <c r="A799" s="567">
        <v>820000</v>
      </c>
      <c r="B799" s="644" t="s">
        <v>315</v>
      </c>
      <c r="C799" s="645" t="s">
        <v>206</v>
      </c>
      <c r="D799" s="422" t="s">
        <v>305</v>
      </c>
      <c r="E799" s="423"/>
      <c r="F799" s="424"/>
      <c r="G799" s="425"/>
      <c r="H799" s="651"/>
      <c r="I799" s="420">
        <f>667.42*0.1219+181.85</f>
        <v>263.20849799999996</v>
      </c>
      <c r="J799" s="420">
        <f>IF(ISBLANK(I799),"",SUM(H799:I799))*0.85</f>
        <v>223.72722329999996</v>
      </c>
      <c r="K799" s="421">
        <f t="shared" si="245"/>
        <v>265.81</v>
      </c>
      <c r="L799" s="647" t="s">
        <v>21</v>
      </c>
      <c r="M799" s="576"/>
      <c r="N799" s="576">
        <f t="shared" si="243"/>
        <v>0</v>
      </c>
      <c r="O799" s="577">
        <f t="shared" si="236"/>
        <v>0</v>
      </c>
      <c r="P799" s="578">
        <f t="shared" si="237"/>
        <v>0</v>
      </c>
      <c r="Q799" s="765"/>
      <c r="R799" s="576">
        <f t="shared" si="233"/>
        <v>0</v>
      </c>
      <c r="S799" s="576">
        <f t="shared" si="233"/>
        <v>0</v>
      </c>
      <c r="T799" s="577">
        <f t="shared" si="234"/>
        <v>0</v>
      </c>
      <c r="U799" s="578">
        <f t="shared" si="235"/>
        <v>0</v>
      </c>
      <c r="V799" s="579"/>
      <c r="W799" s="566"/>
      <c r="X799" s="586" t="str">
        <f t="shared" si="238"/>
        <v/>
      </c>
      <c r="Y799" s="586" t="str">
        <f t="shared" si="189"/>
        <v/>
      </c>
      <c r="Z799" s="586" t="str">
        <f t="shared" si="239"/>
        <v/>
      </c>
    </row>
    <row r="800" spans="1:26" ht="12" hidden="1" thickBot="1" x14ac:dyDescent="0.25">
      <c r="A800" s="567">
        <v>820000</v>
      </c>
      <c r="B800" s="644" t="s">
        <v>316</v>
      </c>
      <c r="C800" s="645" t="s">
        <v>206</v>
      </c>
      <c r="D800" s="422" t="s">
        <v>306</v>
      </c>
      <c r="E800" s="423"/>
      <c r="F800" s="424"/>
      <c r="G800" s="425"/>
      <c r="H800" s="651"/>
      <c r="I800" s="420">
        <f>667.42*0.216+181.85</f>
        <v>326.01271999999994</v>
      </c>
      <c r="J800" s="420">
        <f>IF(ISBLANK(I800),"",SUM(H800:I800))*0.85</f>
        <v>277.11081199999995</v>
      </c>
      <c r="K800" s="421">
        <f t="shared" si="245"/>
        <v>329.24</v>
      </c>
      <c r="L800" s="647" t="s">
        <v>21</v>
      </c>
      <c r="M800" s="576"/>
      <c r="N800" s="576">
        <f t="shared" si="243"/>
        <v>0</v>
      </c>
      <c r="O800" s="577">
        <f t="shared" si="236"/>
        <v>0</v>
      </c>
      <c r="P800" s="578">
        <f t="shared" si="237"/>
        <v>0</v>
      </c>
      <c r="Q800" s="765"/>
      <c r="R800" s="576">
        <f t="shared" si="233"/>
        <v>0</v>
      </c>
      <c r="S800" s="576">
        <f t="shared" si="233"/>
        <v>0</v>
      </c>
      <c r="T800" s="577">
        <f t="shared" si="234"/>
        <v>0</v>
      </c>
      <c r="U800" s="578">
        <f t="shared" si="235"/>
        <v>0</v>
      </c>
      <c r="V800" s="579"/>
      <c r="W800" s="566"/>
      <c r="X800" s="586" t="str">
        <f t="shared" si="238"/>
        <v/>
      </c>
      <c r="Y800" s="586" t="str">
        <f t="shared" si="189"/>
        <v/>
      </c>
      <c r="Z800" s="586" t="str">
        <f t="shared" si="239"/>
        <v/>
      </c>
    </row>
    <row r="801" spans="1:26" ht="12" hidden="1" thickBot="1" x14ac:dyDescent="0.25">
      <c r="A801" s="567">
        <v>820000</v>
      </c>
      <c r="B801" s="644" t="s">
        <v>317</v>
      </c>
      <c r="C801" s="645" t="s">
        <v>206</v>
      </c>
      <c r="D801" s="422" t="s">
        <v>307</v>
      </c>
      <c r="E801" s="423"/>
      <c r="F801" s="424"/>
      <c r="G801" s="425"/>
      <c r="H801" s="651"/>
      <c r="I801" s="420">
        <f>667.42*0.2025+181.85</f>
        <v>317.00254999999999</v>
      </c>
      <c r="J801" s="420">
        <f>IF(ISBLANK(I801),"",SUM(H801:I801))*0.85</f>
        <v>269.45216749999997</v>
      </c>
      <c r="K801" s="421">
        <f t="shared" si="245"/>
        <v>320.14</v>
      </c>
      <c r="L801" s="647" t="s">
        <v>21</v>
      </c>
      <c r="M801" s="576"/>
      <c r="N801" s="576">
        <f t="shared" si="243"/>
        <v>0</v>
      </c>
      <c r="O801" s="577">
        <f t="shared" si="236"/>
        <v>0</v>
      </c>
      <c r="P801" s="578">
        <f t="shared" si="237"/>
        <v>0</v>
      </c>
      <c r="Q801" s="765"/>
      <c r="R801" s="576">
        <f t="shared" si="233"/>
        <v>0</v>
      </c>
      <c r="S801" s="576">
        <f t="shared" si="233"/>
        <v>0</v>
      </c>
      <c r="T801" s="577">
        <f t="shared" si="234"/>
        <v>0</v>
      </c>
      <c r="U801" s="578">
        <f t="shared" si="235"/>
        <v>0</v>
      </c>
      <c r="V801" s="579"/>
      <c r="W801" s="566"/>
      <c r="X801" s="586" t="str">
        <f t="shared" si="238"/>
        <v/>
      </c>
      <c r="Y801" s="586" t="str">
        <f t="shared" si="189"/>
        <v/>
      </c>
      <c r="Z801" s="586" t="str">
        <f t="shared" si="239"/>
        <v/>
      </c>
    </row>
    <row r="802" spans="1:26" ht="12" hidden="1" thickBot="1" x14ac:dyDescent="0.25">
      <c r="A802" s="567">
        <v>820000</v>
      </c>
      <c r="B802" s="644" t="s">
        <v>318</v>
      </c>
      <c r="C802" s="645" t="s">
        <v>206</v>
      </c>
      <c r="D802" s="422" t="s">
        <v>308</v>
      </c>
      <c r="E802" s="423"/>
      <c r="F802" s="424"/>
      <c r="G802" s="425"/>
      <c r="H802" s="651"/>
      <c r="I802" s="420">
        <f>667.42*0.1964+412.65</f>
        <v>543.73128799999995</v>
      </c>
      <c r="J802" s="420">
        <f>IF(ISBLANK(I802),"",SUM(H802:I802))</f>
        <v>543.73128799999995</v>
      </c>
      <c r="K802" s="421">
        <f t="shared" si="245"/>
        <v>646.01</v>
      </c>
      <c r="L802" s="647" t="s">
        <v>21</v>
      </c>
      <c r="M802" s="576"/>
      <c r="N802" s="576">
        <f t="shared" si="243"/>
        <v>0</v>
      </c>
      <c r="O802" s="577">
        <f t="shared" si="236"/>
        <v>0</v>
      </c>
      <c r="P802" s="578">
        <f t="shared" si="237"/>
        <v>0</v>
      </c>
      <c r="Q802" s="765"/>
      <c r="R802" s="576">
        <f t="shared" si="233"/>
        <v>0</v>
      </c>
      <c r="S802" s="576">
        <f t="shared" si="233"/>
        <v>0</v>
      </c>
      <c r="T802" s="577">
        <f t="shared" si="234"/>
        <v>0</v>
      </c>
      <c r="U802" s="578">
        <f t="shared" si="235"/>
        <v>0</v>
      </c>
      <c r="V802" s="579"/>
      <c r="W802" s="566"/>
      <c r="X802" s="586" t="str">
        <f t="shared" si="238"/>
        <v/>
      </c>
      <c r="Y802" s="586" t="str">
        <f t="shared" si="189"/>
        <v/>
      </c>
      <c r="Z802" s="586" t="str">
        <f t="shared" si="239"/>
        <v/>
      </c>
    </row>
    <row r="803" spans="1:26" ht="12" hidden="1" thickBot="1" x14ac:dyDescent="0.25">
      <c r="A803" s="567">
        <v>820000</v>
      </c>
      <c r="B803" s="644" t="s">
        <v>319</v>
      </c>
      <c r="C803" s="645" t="s">
        <v>206</v>
      </c>
      <c r="D803" s="422" t="s">
        <v>309</v>
      </c>
      <c r="E803" s="423"/>
      <c r="F803" s="424"/>
      <c r="G803" s="425"/>
      <c r="H803" s="651"/>
      <c r="I803" s="420">
        <f>667.42*0.12194+412.65</f>
        <v>494.0351948</v>
      </c>
      <c r="J803" s="420">
        <f>IF(ISBLANK(I803),"",SUM(H803:I803))</f>
        <v>494.0351948</v>
      </c>
      <c r="K803" s="421">
        <f t="shared" si="245"/>
        <v>586.96</v>
      </c>
      <c r="L803" s="647" t="s">
        <v>21</v>
      </c>
      <c r="M803" s="576"/>
      <c r="N803" s="576">
        <f t="shared" si="243"/>
        <v>0</v>
      </c>
      <c r="O803" s="577">
        <f t="shared" si="236"/>
        <v>0</v>
      </c>
      <c r="P803" s="578">
        <f t="shared" si="237"/>
        <v>0</v>
      </c>
      <c r="Q803" s="765"/>
      <c r="R803" s="576">
        <f t="shared" si="233"/>
        <v>0</v>
      </c>
      <c r="S803" s="576">
        <f t="shared" si="233"/>
        <v>0</v>
      </c>
      <c r="T803" s="577">
        <f t="shared" si="234"/>
        <v>0</v>
      </c>
      <c r="U803" s="578">
        <f t="shared" si="235"/>
        <v>0</v>
      </c>
      <c r="V803" s="579"/>
      <c r="W803" s="566"/>
      <c r="X803" s="586" t="str">
        <f t="shared" si="238"/>
        <v/>
      </c>
      <c r="Y803" s="586" t="str">
        <f t="shared" si="189"/>
        <v/>
      </c>
      <c r="Z803" s="586" t="str">
        <f t="shared" si="239"/>
        <v/>
      </c>
    </row>
    <row r="804" spans="1:26" ht="12" hidden="1" thickBot="1" x14ac:dyDescent="0.25">
      <c r="A804" s="567">
        <v>820000</v>
      </c>
      <c r="B804" s="644" t="s">
        <v>320</v>
      </c>
      <c r="C804" s="645" t="s">
        <v>206</v>
      </c>
      <c r="D804" s="422" t="s">
        <v>310</v>
      </c>
      <c r="E804" s="423"/>
      <c r="F804" s="424"/>
      <c r="G804" s="425"/>
      <c r="H804" s="651"/>
      <c r="I804" s="420">
        <f>667.42*0.216+412.65</f>
        <v>556.8127199999999</v>
      </c>
      <c r="J804" s="420">
        <f>IF(ISBLANK(I804),"",SUM(H804:I804))</f>
        <v>556.8127199999999</v>
      </c>
      <c r="K804" s="421">
        <f t="shared" si="245"/>
        <v>661.55</v>
      </c>
      <c r="L804" s="647" t="s">
        <v>21</v>
      </c>
      <c r="M804" s="576"/>
      <c r="N804" s="576">
        <f t="shared" si="243"/>
        <v>0</v>
      </c>
      <c r="O804" s="577">
        <f t="shared" si="236"/>
        <v>0</v>
      </c>
      <c r="P804" s="578">
        <f t="shared" si="237"/>
        <v>0</v>
      </c>
      <c r="Q804" s="765"/>
      <c r="R804" s="576">
        <f t="shared" si="233"/>
        <v>0</v>
      </c>
      <c r="S804" s="576">
        <f t="shared" si="233"/>
        <v>0</v>
      </c>
      <c r="T804" s="577">
        <f t="shared" si="234"/>
        <v>0</v>
      </c>
      <c r="U804" s="578">
        <f t="shared" si="235"/>
        <v>0</v>
      </c>
      <c r="V804" s="579"/>
      <c r="W804" s="566"/>
      <c r="X804" s="586" t="str">
        <f t="shared" si="238"/>
        <v/>
      </c>
      <c r="Y804" s="586" t="str">
        <f t="shared" si="189"/>
        <v/>
      </c>
      <c r="Z804" s="586" t="str">
        <f t="shared" si="239"/>
        <v/>
      </c>
    </row>
    <row r="805" spans="1:26" ht="12" hidden="1" thickBot="1" x14ac:dyDescent="0.25">
      <c r="A805" s="567">
        <v>820000</v>
      </c>
      <c r="B805" s="644" t="s">
        <v>617</v>
      </c>
      <c r="C805" s="645" t="s">
        <v>206</v>
      </c>
      <c r="D805" s="422" t="s">
        <v>311</v>
      </c>
      <c r="E805" s="423"/>
      <c r="F805" s="424"/>
      <c r="G805" s="425"/>
      <c r="H805" s="651"/>
      <c r="I805" s="420">
        <f>667.42*0.2025+412.65</f>
        <v>547.80255</v>
      </c>
      <c r="J805" s="420">
        <f>IF(ISBLANK(I805),"",SUM(H805:I805))</f>
        <v>547.80255</v>
      </c>
      <c r="K805" s="421">
        <f t="shared" si="245"/>
        <v>650.84</v>
      </c>
      <c r="L805" s="647" t="s">
        <v>21</v>
      </c>
      <c r="M805" s="587"/>
      <c r="N805" s="576">
        <f t="shared" si="243"/>
        <v>0</v>
      </c>
      <c r="O805" s="577">
        <f t="shared" si="236"/>
        <v>0</v>
      </c>
      <c r="P805" s="578">
        <f t="shared" si="237"/>
        <v>0</v>
      </c>
      <c r="Q805" s="765"/>
      <c r="R805" s="650">
        <f t="shared" si="233"/>
        <v>0</v>
      </c>
      <c r="S805" s="587">
        <f t="shared" si="233"/>
        <v>0</v>
      </c>
      <c r="T805" s="577">
        <f t="shared" si="234"/>
        <v>0</v>
      </c>
      <c r="U805" s="578">
        <f t="shared" si="235"/>
        <v>0</v>
      </c>
      <c r="V805" s="579"/>
      <c r="W805" s="566"/>
      <c r="X805" s="586" t="str">
        <f t="shared" si="238"/>
        <v/>
      </c>
      <c r="Y805" s="586" t="str">
        <f t="shared" si="189"/>
        <v/>
      </c>
      <c r="Z805" s="586" t="str">
        <f t="shared" si="239"/>
        <v/>
      </c>
    </row>
    <row r="806" spans="1:26" ht="12" hidden="1" thickBot="1" x14ac:dyDescent="0.25">
      <c r="A806" s="567">
        <v>820000</v>
      </c>
      <c r="B806" s="644" t="s">
        <v>1637</v>
      </c>
      <c r="C806" s="645" t="s">
        <v>206</v>
      </c>
      <c r="D806" s="422" t="s">
        <v>635</v>
      </c>
      <c r="E806" s="423"/>
      <c r="F806" s="424"/>
      <c r="G806" s="425"/>
      <c r="H806" s="651"/>
      <c r="I806" s="420">
        <f>667.42*0.224+412.65</f>
        <v>562.15207999999996</v>
      </c>
      <c r="J806" s="420">
        <f>IF(ISBLANK(I806),"",SUM(H806:I806))</f>
        <v>562.15207999999996</v>
      </c>
      <c r="K806" s="421">
        <f t="shared" si="245"/>
        <v>667.89</v>
      </c>
      <c r="L806" s="647" t="s">
        <v>21</v>
      </c>
      <c r="M806" s="587"/>
      <c r="N806" s="576">
        <f t="shared" si="243"/>
        <v>0</v>
      </c>
      <c r="O806" s="577">
        <f t="shared" si="236"/>
        <v>0</v>
      </c>
      <c r="P806" s="578">
        <f t="shared" si="237"/>
        <v>0</v>
      </c>
      <c r="Q806" s="765"/>
      <c r="R806" s="650">
        <f t="shared" si="233"/>
        <v>0</v>
      </c>
      <c r="S806" s="587">
        <f t="shared" si="233"/>
        <v>0</v>
      </c>
      <c r="T806" s="577">
        <f t="shared" si="234"/>
        <v>0</v>
      </c>
      <c r="U806" s="578">
        <f t="shared" si="235"/>
        <v>0</v>
      </c>
      <c r="V806" s="579"/>
      <c r="W806" s="566"/>
      <c r="X806" s="586" t="str">
        <f t="shared" si="238"/>
        <v/>
      </c>
      <c r="Y806" s="586" t="str">
        <f t="shared" si="189"/>
        <v/>
      </c>
      <c r="Z806" s="586" t="str">
        <f t="shared" si="239"/>
        <v/>
      </c>
    </row>
    <row r="807" spans="1:26" ht="12" hidden="1" thickBot="1" x14ac:dyDescent="0.25">
      <c r="A807" s="567"/>
      <c r="B807" s="721" t="s">
        <v>187</v>
      </c>
      <c r="C807" s="654"/>
      <c r="D807" s="427" t="s">
        <v>469</v>
      </c>
      <c r="E807" s="491"/>
      <c r="F807" s="655"/>
      <c r="G807" s="656"/>
      <c r="H807" s="657"/>
      <c r="I807" s="429"/>
      <c r="J807" s="429"/>
      <c r="K807" s="429"/>
      <c r="L807" s="429" t="s">
        <v>614</v>
      </c>
      <c r="M807" s="657"/>
      <c r="N807" s="576">
        <f t="shared" si="243"/>
        <v>0</v>
      </c>
      <c r="O807" s="429">
        <f t="shared" si="236"/>
        <v>0</v>
      </c>
      <c r="P807" s="658">
        <f t="shared" si="237"/>
        <v>0</v>
      </c>
      <c r="Q807" s="765"/>
      <c r="R807" s="657"/>
      <c r="S807" s="429"/>
      <c r="T807" s="429">
        <f t="shared" si="234"/>
        <v>0</v>
      </c>
      <c r="U807" s="658">
        <f t="shared" si="235"/>
        <v>0</v>
      </c>
      <c r="V807" s="579"/>
      <c r="W807" s="637" t="str">
        <f>IF(OR(SUM(P808:P839)&gt;0,SUM(U808:U839)&gt;0),"y","")</f>
        <v/>
      </c>
      <c r="X807" s="586" t="str">
        <f t="shared" si="238"/>
        <v/>
      </c>
      <c r="Y807" s="586" t="str">
        <f t="shared" si="189"/>
        <v/>
      </c>
      <c r="Z807" s="586" t="str">
        <f t="shared" si="239"/>
        <v/>
      </c>
    </row>
    <row r="808" spans="1:26" ht="12" hidden="1" thickBot="1" x14ac:dyDescent="0.25">
      <c r="A808" s="567"/>
      <c r="B808" s="572" t="s">
        <v>187</v>
      </c>
      <c r="C808" s="573" t="s">
        <v>187</v>
      </c>
      <c r="D808" s="580"/>
      <c r="E808" s="575"/>
      <c r="F808" s="436"/>
      <c r="G808" s="431"/>
      <c r="H808" s="430"/>
      <c r="I808" s="432"/>
      <c r="J808" s="489"/>
      <c r="K808" s="490">
        <f>IF(ISBLANK(I808),0,ROUND(J808*(1+$F$10)*(1+$F$11*E808),2))</f>
        <v>0</v>
      </c>
      <c r="L808" s="435" t="s">
        <v>614</v>
      </c>
      <c r="M808" s="576"/>
      <c r="N808" s="576">
        <f t="shared" si="243"/>
        <v>0</v>
      </c>
      <c r="O808" s="577">
        <f t="shared" si="236"/>
        <v>0</v>
      </c>
      <c r="P808" s="578">
        <f t="shared" si="237"/>
        <v>0</v>
      </c>
      <c r="Q808" s="765"/>
      <c r="R808" s="576">
        <f t="shared" si="233"/>
        <v>0</v>
      </c>
      <c r="S808" s="576">
        <f t="shared" si="233"/>
        <v>0</v>
      </c>
      <c r="T808" s="577">
        <f t="shared" si="234"/>
        <v>0</v>
      </c>
      <c r="U808" s="659">
        <f t="shared" si="235"/>
        <v>0</v>
      </c>
      <c r="V808" s="579"/>
      <c r="W808" s="566"/>
      <c r="X808" s="586" t="str">
        <f t="shared" si="238"/>
        <v/>
      </c>
      <c r="Y808" s="586" t="str">
        <f t="shared" si="189"/>
        <v/>
      </c>
      <c r="Z808" s="586" t="str">
        <f t="shared" si="239"/>
        <v/>
      </c>
    </row>
    <row r="809" spans="1:26" ht="12" hidden="1" thickBot="1" x14ac:dyDescent="0.25">
      <c r="A809" s="652" t="s">
        <v>187</v>
      </c>
      <c r="B809" s="572" t="s">
        <v>187</v>
      </c>
      <c r="C809" s="573" t="s">
        <v>187</v>
      </c>
      <c r="D809" s="580"/>
      <c r="E809" s="575"/>
      <c r="F809" s="436"/>
      <c r="G809" s="431"/>
      <c r="H809" s="430"/>
      <c r="I809" s="432"/>
      <c r="J809" s="433"/>
      <c r="K809" s="437">
        <f t="shared" ref="K809:K839" si="246">IF(ISBLANK(J809),0,ROUND(J809*(1+$F$10)*(1+$F$11*E809),2))</f>
        <v>0</v>
      </c>
      <c r="L809" s="435" t="s">
        <v>614</v>
      </c>
      <c r="M809" s="576"/>
      <c r="N809" s="576">
        <f t="shared" si="243"/>
        <v>0</v>
      </c>
      <c r="O809" s="577">
        <f t="shared" si="236"/>
        <v>0</v>
      </c>
      <c r="P809" s="578">
        <f t="shared" si="237"/>
        <v>0</v>
      </c>
      <c r="Q809" s="765"/>
      <c r="R809" s="576">
        <f t="shared" si="233"/>
        <v>0</v>
      </c>
      <c r="S809" s="576">
        <f t="shared" si="233"/>
        <v>0</v>
      </c>
      <c r="T809" s="577">
        <f t="shared" si="234"/>
        <v>0</v>
      </c>
      <c r="U809" s="659">
        <f t="shared" si="235"/>
        <v>0</v>
      </c>
      <c r="V809" s="579"/>
      <c r="W809" s="566"/>
      <c r="X809" s="586" t="str">
        <f t="shared" si="238"/>
        <v/>
      </c>
      <c r="Y809" s="586" t="str">
        <f t="shared" si="189"/>
        <v/>
      </c>
      <c r="Z809" s="586" t="str">
        <f t="shared" si="239"/>
        <v/>
      </c>
    </row>
    <row r="810" spans="1:26" ht="12" hidden="1" thickBot="1" x14ac:dyDescent="0.25">
      <c r="A810" s="652" t="s">
        <v>187</v>
      </c>
      <c r="B810" s="572" t="s">
        <v>187</v>
      </c>
      <c r="C810" s="573" t="s">
        <v>187</v>
      </c>
      <c r="D810" s="580"/>
      <c r="E810" s="575"/>
      <c r="F810" s="436"/>
      <c r="G810" s="431"/>
      <c r="H810" s="430"/>
      <c r="I810" s="432"/>
      <c r="J810" s="433"/>
      <c r="K810" s="437">
        <f t="shared" si="246"/>
        <v>0</v>
      </c>
      <c r="L810" s="435" t="s">
        <v>614</v>
      </c>
      <c r="M810" s="576"/>
      <c r="N810" s="576">
        <f t="shared" si="243"/>
        <v>0</v>
      </c>
      <c r="O810" s="577">
        <f t="shared" si="236"/>
        <v>0</v>
      </c>
      <c r="P810" s="578">
        <f t="shared" si="237"/>
        <v>0</v>
      </c>
      <c r="Q810" s="765"/>
      <c r="R810" s="576">
        <f t="shared" si="233"/>
        <v>0</v>
      </c>
      <c r="S810" s="576">
        <f t="shared" si="233"/>
        <v>0</v>
      </c>
      <c r="T810" s="577">
        <f t="shared" si="234"/>
        <v>0</v>
      </c>
      <c r="U810" s="578">
        <f t="shared" si="235"/>
        <v>0</v>
      </c>
      <c r="V810" s="579"/>
      <c r="W810" s="566"/>
      <c r="X810" s="586" t="str">
        <f t="shared" si="238"/>
        <v/>
      </c>
      <c r="Y810" s="586" t="str">
        <f t="shared" si="189"/>
        <v/>
      </c>
      <c r="Z810" s="586" t="str">
        <f t="shared" si="239"/>
        <v/>
      </c>
    </row>
    <row r="811" spans="1:26" ht="12" hidden="1" thickBot="1" x14ac:dyDescent="0.25">
      <c r="A811" s="652" t="s">
        <v>187</v>
      </c>
      <c r="B811" s="572" t="s">
        <v>187</v>
      </c>
      <c r="C811" s="573" t="s">
        <v>187</v>
      </c>
      <c r="D811" s="580"/>
      <c r="E811" s="575"/>
      <c r="F811" s="436"/>
      <c r="G811" s="431"/>
      <c r="H811" s="430"/>
      <c r="I811" s="432"/>
      <c r="J811" s="433"/>
      <c r="K811" s="437">
        <f t="shared" si="246"/>
        <v>0</v>
      </c>
      <c r="L811" s="435" t="s">
        <v>614</v>
      </c>
      <c r="M811" s="576"/>
      <c r="N811" s="576">
        <f t="shared" si="243"/>
        <v>0</v>
      </c>
      <c r="O811" s="577">
        <f t="shared" si="236"/>
        <v>0</v>
      </c>
      <c r="P811" s="578">
        <f t="shared" si="237"/>
        <v>0</v>
      </c>
      <c r="Q811" s="765"/>
      <c r="R811" s="576">
        <f t="shared" si="233"/>
        <v>0</v>
      </c>
      <c r="S811" s="576">
        <f t="shared" si="233"/>
        <v>0</v>
      </c>
      <c r="T811" s="577">
        <f t="shared" si="234"/>
        <v>0</v>
      </c>
      <c r="U811" s="578">
        <f t="shared" si="235"/>
        <v>0</v>
      </c>
      <c r="V811" s="579"/>
      <c r="W811" s="566"/>
      <c r="X811" s="586" t="str">
        <f t="shared" si="238"/>
        <v/>
      </c>
      <c r="Y811" s="586" t="str">
        <f t="shared" si="189"/>
        <v/>
      </c>
      <c r="Z811" s="586" t="str">
        <f t="shared" si="239"/>
        <v/>
      </c>
    </row>
    <row r="812" spans="1:26" ht="12" hidden="1" thickBot="1" x14ac:dyDescent="0.25">
      <c r="A812" s="652" t="s">
        <v>187</v>
      </c>
      <c r="B812" s="572" t="s">
        <v>187</v>
      </c>
      <c r="C812" s="573" t="s">
        <v>187</v>
      </c>
      <c r="D812" s="580"/>
      <c r="E812" s="575"/>
      <c r="F812" s="436"/>
      <c r="G812" s="431"/>
      <c r="H812" s="430"/>
      <c r="I812" s="432"/>
      <c r="J812" s="433"/>
      <c r="K812" s="437">
        <f t="shared" si="246"/>
        <v>0</v>
      </c>
      <c r="L812" s="435" t="s">
        <v>614</v>
      </c>
      <c r="M812" s="576"/>
      <c r="N812" s="576">
        <f t="shared" si="243"/>
        <v>0</v>
      </c>
      <c r="O812" s="577">
        <f t="shared" si="236"/>
        <v>0</v>
      </c>
      <c r="P812" s="578">
        <f t="shared" si="237"/>
        <v>0</v>
      </c>
      <c r="Q812" s="765"/>
      <c r="R812" s="576">
        <f t="shared" si="233"/>
        <v>0</v>
      </c>
      <c r="S812" s="576">
        <f t="shared" si="233"/>
        <v>0</v>
      </c>
      <c r="T812" s="577">
        <f t="shared" si="234"/>
        <v>0</v>
      </c>
      <c r="U812" s="578">
        <f t="shared" si="235"/>
        <v>0</v>
      </c>
      <c r="V812" s="579"/>
      <c r="W812" s="566"/>
      <c r="X812" s="586" t="str">
        <f t="shared" si="238"/>
        <v/>
      </c>
      <c r="Y812" s="586" t="str">
        <f t="shared" si="189"/>
        <v/>
      </c>
      <c r="Z812" s="586" t="str">
        <f t="shared" si="239"/>
        <v/>
      </c>
    </row>
    <row r="813" spans="1:26" ht="12" hidden="1" thickBot="1" x14ac:dyDescent="0.25">
      <c r="A813" s="652" t="s">
        <v>187</v>
      </c>
      <c r="B813" s="572" t="s">
        <v>187</v>
      </c>
      <c r="C813" s="573" t="s">
        <v>187</v>
      </c>
      <c r="D813" s="580"/>
      <c r="E813" s="575"/>
      <c r="F813" s="436"/>
      <c r="G813" s="431"/>
      <c r="H813" s="430"/>
      <c r="I813" s="432"/>
      <c r="J813" s="433"/>
      <c r="K813" s="437">
        <f t="shared" si="246"/>
        <v>0</v>
      </c>
      <c r="L813" s="435" t="s">
        <v>614</v>
      </c>
      <c r="M813" s="576"/>
      <c r="N813" s="576">
        <f t="shared" si="243"/>
        <v>0</v>
      </c>
      <c r="O813" s="577">
        <f t="shared" si="236"/>
        <v>0</v>
      </c>
      <c r="P813" s="578">
        <f t="shared" si="237"/>
        <v>0</v>
      </c>
      <c r="Q813" s="765"/>
      <c r="R813" s="576">
        <f t="shared" si="233"/>
        <v>0</v>
      </c>
      <c r="S813" s="576">
        <f t="shared" si="233"/>
        <v>0</v>
      </c>
      <c r="T813" s="577">
        <f t="shared" si="234"/>
        <v>0</v>
      </c>
      <c r="U813" s="578">
        <f t="shared" si="235"/>
        <v>0</v>
      </c>
      <c r="V813" s="579"/>
      <c r="W813" s="566"/>
      <c r="X813" s="586" t="str">
        <f t="shared" si="238"/>
        <v/>
      </c>
      <c r="Y813" s="586" t="str">
        <f t="shared" si="189"/>
        <v/>
      </c>
      <c r="Z813" s="586" t="str">
        <f t="shared" si="239"/>
        <v/>
      </c>
    </row>
    <row r="814" spans="1:26" ht="12" hidden="1" thickBot="1" x14ac:dyDescent="0.25">
      <c r="A814" s="652" t="s">
        <v>187</v>
      </c>
      <c r="B814" s="572" t="s">
        <v>187</v>
      </c>
      <c r="C814" s="573" t="s">
        <v>187</v>
      </c>
      <c r="D814" s="580"/>
      <c r="E814" s="575"/>
      <c r="F814" s="436"/>
      <c r="G814" s="431"/>
      <c r="H814" s="430"/>
      <c r="I814" s="432"/>
      <c r="J814" s="433"/>
      <c r="K814" s="437">
        <f t="shared" si="246"/>
        <v>0</v>
      </c>
      <c r="L814" s="435" t="s">
        <v>614</v>
      </c>
      <c r="M814" s="576"/>
      <c r="N814" s="576">
        <f t="shared" si="243"/>
        <v>0</v>
      </c>
      <c r="O814" s="577">
        <f t="shared" si="236"/>
        <v>0</v>
      </c>
      <c r="P814" s="578">
        <f t="shared" si="237"/>
        <v>0</v>
      </c>
      <c r="Q814" s="765"/>
      <c r="R814" s="576">
        <f t="shared" si="233"/>
        <v>0</v>
      </c>
      <c r="S814" s="576">
        <f t="shared" si="233"/>
        <v>0</v>
      </c>
      <c r="T814" s="577">
        <f t="shared" si="234"/>
        <v>0</v>
      </c>
      <c r="U814" s="578">
        <f t="shared" si="235"/>
        <v>0</v>
      </c>
      <c r="V814" s="579"/>
      <c r="W814" s="566"/>
      <c r="X814" s="586" t="str">
        <f t="shared" si="238"/>
        <v/>
      </c>
      <c r="Y814" s="586" t="str">
        <f t="shared" si="189"/>
        <v/>
      </c>
      <c r="Z814" s="586" t="str">
        <f t="shared" si="239"/>
        <v/>
      </c>
    </row>
    <row r="815" spans="1:26" ht="12" hidden="1" thickBot="1" x14ac:dyDescent="0.25">
      <c r="A815" s="652" t="s">
        <v>187</v>
      </c>
      <c r="B815" s="572" t="s">
        <v>187</v>
      </c>
      <c r="C815" s="573" t="s">
        <v>187</v>
      </c>
      <c r="D815" s="580"/>
      <c r="E815" s="575"/>
      <c r="F815" s="436"/>
      <c r="G815" s="431"/>
      <c r="H815" s="430"/>
      <c r="I815" s="432"/>
      <c r="J815" s="433"/>
      <c r="K815" s="437">
        <f t="shared" si="246"/>
        <v>0</v>
      </c>
      <c r="L815" s="435" t="s">
        <v>614</v>
      </c>
      <c r="M815" s="576"/>
      <c r="N815" s="576">
        <f t="shared" si="243"/>
        <v>0</v>
      </c>
      <c r="O815" s="577">
        <f t="shared" si="236"/>
        <v>0</v>
      </c>
      <c r="P815" s="578">
        <f t="shared" si="237"/>
        <v>0</v>
      </c>
      <c r="Q815" s="765"/>
      <c r="R815" s="576">
        <f t="shared" si="233"/>
        <v>0</v>
      </c>
      <c r="S815" s="576">
        <f t="shared" si="233"/>
        <v>0</v>
      </c>
      <c r="T815" s="577">
        <f t="shared" si="234"/>
        <v>0</v>
      </c>
      <c r="U815" s="578">
        <f t="shared" si="235"/>
        <v>0</v>
      </c>
      <c r="V815" s="579"/>
      <c r="W815" s="566"/>
      <c r="X815" s="586" t="str">
        <f t="shared" si="238"/>
        <v/>
      </c>
      <c r="Y815" s="586" t="str">
        <f t="shared" si="189"/>
        <v/>
      </c>
      <c r="Z815" s="586" t="str">
        <f t="shared" si="239"/>
        <v/>
      </c>
    </row>
    <row r="816" spans="1:26" ht="12" hidden="1" thickBot="1" x14ac:dyDescent="0.25">
      <c r="A816" s="652" t="s">
        <v>187</v>
      </c>
      <c r="B816" s="572" t="s">
        <v>187</v>
      </c>
      <c r="C816" s="573" t="s">
        <v>187</v>
      </c>
      <c r="D816" s="580"/>
      <c r="E816" s="575"/>
      <c r="F816" s="436"/>
      <c r="G816" s="431"/>
      <c r="H816" s="430"/>
      <c r="I816" s="432"/>
      <c r="J816" s="433"/>
      <c r="K816" s="437">
        <f t="shared" si="246"/>
        <v>0</v>
      </c>
      <c r="L816" s="435" t="s">
        <v>614</v>
      </c>
      <c r="M816" s="576"/>
      <c r="N816" s="576">
        <f t="shared" si="243"/>
        <v>0</v>
      </c>
      <c r="O816" s="577">
        <f t="shared" si="236"/>
        <v>0</v>
      </c>
      <c r="P816" s="578">
        <f t="shared" si="237"/>
        <v>0</v>
      </c>
      <c r="Q816" s="765"/>
      <c r="R816" s="576">
        <f t="shared" si="233"/>
        <v>0</v>
      </c>
      <c r="S816" s="576">
        <f t="shared" si="233"/>
        <v>0</v>
      </c>
      <c r="T816" s="577">
        <f t="shared" si="234"/>
        <v>0</v>
      </c>
      <c r="U816" s="578">
        <f t="shared" si="235"/>
        <v>0</v>
      </c>
      <c r="V816" s="579"/>
      <c r="W816" s="566"/>
      <c r="X816" s="586" t="str">
        <f t="shared" si="238"/>
        <v/>
      </c>
      <c r="Y816" s="586" t="str">
        <f t="shared" si="189"/>
        <v/>
      </c>
      <c r="Z816" s="586" t="str">
        <f t="shared" si="239"/>
        <v/>
      </c>
    </row>
    <row r="817" spans="1:26" ht="12" hidden="1" thickBot="1" x14ac:dyDescent="0.25">
      <c r="A817" s="652" t="s">
        <v>187</v>
      </c>
      <c r="B817" s="572" t="s">
        <v>187</v>
      </c>
      <c r="C817" s="573" t="s">
        <v>187</v>
      </c>
      <c r="D817" s="580"/>
      <c r="E817" s="575"/>
      <c r="F817" s="436"/>
      <c r="G817" s="431"/>
      <c r="H817" s="430"/>
      <c r="I817" s="432"/>
      <c r="J817" s="433"/>
      <c r="K817" s="437">
        <f t="shared" si="246"/>
        <v>0</v>
      </c>
      <c r="L817" s="435" t="s">
        <v>614</v>
      </c>
      <c r="M817" s="576"/>
      <c r="N817" s="576">
        <f t="shared" si="243"/>
        <v>0</v>
      </c>
      <c r="O817" s="577">
        <f t="shared" si="236"/>
        <v>0</v>
      </c>
      <c r="P817" s="578">
        <f t="shared" si="237"/>
        <v>0</v>
      </c>
      <c r="Q817" s="765"/>
      <c r="R817" s="576">
        <f t="shared" si="233"/>
        <v>0</v>
      </c>
      <c r="S817" s="576">
        <f t="shared" si="233"/>
        <v>0</v>
      </c>
      <c r="T817" s="577">
        <f t="shared" si="234"/>
        <v>0</v>
      </c>
      <c r="U817" s="578">
        <f t="shared" si="235"/>
        <v>0</v>
      </c>
      <c r="V817" s="579"/>
      <c r="W817" s="566"/>
      <c r="X817" s="586" t="str">
        <f t="shared" si="238"/>
        <v/>
      </c>
      <c r="Y817" s="586" t="str">
        <f t="shared" si="189"/>
        <v/>
      </c>
      <c r="Z817" s="586" t="str">
        <f t="shared" si="239"/>
        <v/>
      </c>
    </row>
    <row r="818" spans="1:26" ht="12" hidden="1" thickBot="1" x14ac:dyDescent="0.25">
      <c r="A818" s="652" t="s">
        <v>187</v>
      </c>
      <c r="B818" s="572" t="s">
        <v>187</v>
      </c>
      <c r="C818" s="573" t="s">
        <v>187</v>
      </c>
      <c r="D818" s="580"/>
      <c r="E818" s="575"/>
      <c r="F818" s="436"/>
      <c r="G818" s="431"/>
      <c r="H818" s="430"/>
      <c r="I818" s="432"/>
      <c r="J818" s="433"/>
      <c r="K818" s="437">
        <f t="shared" si="246"/>
        <v>0</v>
      </c>
      <c r="L818" s="435" t="s">
        <v>614</v>
      </c>
      <c r="M818" s="576"/>
      <c r="N818" s="576">
        <f t="shared" si="243"/>
        <v>0</v>
      </c>
      <c r="O818" s="577">
        <f t="shared" si="236"/>
        <v>0</v>
      </c>
      <c r="P818" s="578">
        <f t="shared" si="237"/>
        <v>0</v>
      </c>
      <c r="Q818" s="765"/>
      <c r="R818" s="576">
        <f t="shared" si="233"/>
        <v>0</v>
      </c>
      <c r="S818" s="576">
        <f t="shared" si="233"/>
        <v>0</v>
      </c>
      <c r="T818" s="577">
        <f t="shared" si="234"/>
        <v>0</v>
      </c>
      <c r="U818" s="578">
        <f t="shared" si="235"/>
        <v>0</v>
      </c>
      <c r="V818" s="579"/>
      <c r="W818" s="566"/>
      <c r="X818" s="586" t="str">
        <f t="shared" si="238"/>
        <v/>
      </c>
      <c r="Y818" s="586" t="str">
        <f t="shared" si="189"/>
        <v/>
      </c>
      <c r="Z818" s="586" t="str">
        <f t="shared" si="239"/>
        <v/>
      </c>
    </row>
    <row r="819" spans="1:26" ht="12" hidden="1" thickBot="1" x14ac:dyDescent="0.25">
      <c r="A819" s="652" t="s">
        <v>187</v>
      </c>
      <c r="B819" s="572" t="s">
        <v>187</v>
      </c>
      <c r="C819" s="573" t="s">
        <v>187</v>
      </c>
      <c r="D819" s="580"/>
      <c r="E819" s="575"/>
      <c r="F819" s="436"/>
      <c r="G819" s="431"/>
      <c r="H819" s="430"/>
      <c r="I819" s="432"/>
      <c r="J819" s="433"/>
      <c r="K819" s="437">
        <f t="shared" si="246"/>
        <v>0</v>
      </c>
      <c r="L819" s="435" t="s">
        <v>614</v>
      </c>
      <c r="M819" s="576"/>
      <c r="N819" s="576">
        <f t="shared" si="243"/>
        <v>0</v>
      </c>
      <c r="O819" s="577">
        <f t="shared" si="236"/>
        <v>0</v>
      </c>
      <c r="P819" s="578">
        <f t="shared" si="237"/>
        <v>0</v>
      </c>
      <c r="Q819" s="765"/>
      <c r="R819" s="576">
        <f t="shared" si="233"/>
        <v>0</v>
      </c>
      <c r="S819" s="576">
        <f t="shared" si="233"/>
        <v>0</v>
      </c>
      <c r="T819" s="577">
        <f t="shared" si="234"/>
        <v>0</v>
      </c>
      <c r="U819" s="578">
        <f t="shared" si="235"/>
        <v>0</v>
      </c>
      <c r="V819" s="579"/>
      <c r="W819" s="566"/>
      <c r="X819" s="586" t="str">
        <f t="shared" si="238"/>
        <v/>
      </c>
      <c r="Y819" s="586" t="str">
        <f t="shared" si="189"/>
        <v/>
      </c>
      <c r="Z819" s="586" t="str">
        <f t="shared" si="239"/>
        <v/>
      </c>
    </row>
    <row r="820" spans="1:26" ht="12" hidden="1" thickBot="1" x14ac:dyDescent="0.25">
      <c r="A820" s="652" t="s">
        <v>187</v>
      </c>
      <c r="B820" s="572" t="s">
        <v>187</v>
      </c>
      <c r="C820" s="573" t="s">
        <v>187</v>
      </c>
      <c r="D820" s="580"/>
      <c r="E820" s="575"/>
      <c r="F820" s="436"/>
      <c r="G820" s="431"/>
      <c r="H820" s="430"/>
      <c r="I820" s="432"/>
      <c r="J820" s="433"/>
      <c r="K820" s="437">
        <f t="shared" si="246"/>
        <v>0</v>
      </c>
      <c r="L820" s="435" t="s">
        <v>614</v>
      </c>
      <c r="M820" s="576"/>
      <c r="N820" s="576">
        <f t="shared" si="243"/>
        <v>0</v>
      </c>
      <c r="O820" s="577">
        <f t="shared" si="236"/>
        <v>0</v>
      </c>
      <c r="P820" s="578">
        <f t="shared" si="237"/>
        <v>0</v>
      </c>
      <c r="Q820" s="765"/>
      <c r="R820" s="576">
        <f t="shared" ref="R820:S883" si="247">M820</f>
        <v>0</v>
      </c>
      <c r="S820" s="576">
        <f t="shared" si="247"/>
        <v>0</v>
      </c>
      <c r="T820" s="577">
        <f t="shared" ref="T820:T883" si="248">IF(ISBLANK(R820),0,ROUND(K820*R820,2))</f>
        <v>0</v>
      </c>
      <c r="U820" s="578">
        <f t="shared" ref="U820:U883" si="249">IF(ISBLANK(R820),0,ROUND(R820*S820,2))</f>
        <v>0</v>
      </c>
      <c r="V820" s="579"/>
      <c r="W820" s="566"/>
      <c r="X820" s="586" t="str">
        <f t="shared" si="238"/>
        <v/>
      </c>
      <c r="Y820" s="586" t="str">
        <f t="shared" si="189"/>
        <v/>
      </c>
      <c r="Z820" s="586" t="str">
        <f t="shared" si="239"/>
        <v/>
      </c>
    </row>
    <row r="821" spans="1:26" ht="12" hidden="1" thickBot="1" x14ac:dyDescent="0.25">
      <c r="A821" s="652" t="s">
        <v>187</v>
      </c>
      <c r="B821" s="572" t="s">
        <v>187</v>
      </c>
      <c r="C821" s="573" t="s">
        <v>187</v>
      </c>
      <c r="D821" s="580"/>
      <c r="E821" s="575"/>
      <c r="F821" s="436"/>
      <c r="G821" s="431"/>
      <c r="H821" s="430"/>
      <c r="I821" s="432"/>
      <c r="J821" s="433"/>
      <c r="K821" s="437">
        <f t="shared" si="246"/>
        <v>0</v>
      </c>
      <c r="L821" s="435" t="s">
        <v>614</v>
      </c>
      <c r="M821" s="576"/>
      <c r="N821" s="576">
        <f t="shared" si="243"/>
        <v>0</v>
      </c>
      <c r="O821" s="577">
        <f t="shared" ref="O821:O884" si="250">IF(ISBLANK(M821),0,ROUND(K821*M821,2))</f>
        <v>0</v>
      </c>
      <c r="P821" s="578">
        <f t="shared" ref="P821:P884" si="251">IF(ISBLANK(N821),0,ROUND(M821*N821,2))</f>
        <v>0</v>
      </c>
      <c r="Q821" s="765"/>
      <c r="R821" s="576">
        <f t="shared" si="247"/>
        <v>0</v>
      </c>
      <c r="S821" s="576">
        <f t="shared" si="247"/>
        <v>0</v>
      </c>
      <c r="T821" s="577">
        <f t="shared" si="248"/>
        <v>0</v>
      </c>
      <c r="U821" s="578">
        <f t="shared" si="249"/>
        <v>0</v>
      </c>
      <c r="V821" s="579"/>
      <c r="W821" s="566"/>
      <c r="X821" s="586" t="str">
        <f t="shared" si="238"/>
        <v/>
      </c>
      <c r="Y821" s="586" t="str">
        <f t="shared" si="189"/>
        <v/>
      </c>
      <c r="Z821" s="586" t="str">
        <f t="shared" si="239"/>
        <v/>
      </c>
    </row>
    <row r="822" spans="1:26" ht="12" hidden="1" thickBot="1" x14ac:dyDescent="0.25">
      <c r="A822" s="652" t="s">
        <v>187</v>
      </c>
      <c r="B822" s="572" t="s">
        <v>187</v>
      </c>
      <c r="C822" s="573" t="s">
        <v>187</v>
      </c>
      <c r="D822" s="580"/>
      <c r="E822" s="575"/>
      <c r="F822" s="436"/>
      <c r="G822" s="431"/>
      <c r="H822" s="430"/>
      <c r="I822" s="432"/>
      <c r="J822" s="433"/>
      <c r="K822" s="437">
        <f t="shared" si="246"/>
        <v>0</v>
      </c>
      <c r="L822" s="435" t="s">
        <v>614</v>
      </c>
      <c r="M822" s="576"/>
      <c r="N822" s="576">
        <f t="shared" si="243"/>
        <v>0</v>
      </c>
      <c r="O822" s="577">
        <f t="shared" si="250"/>
        <v>0</v>
      </c>
      <c r="P822" s="578">
        <f t="shared" si="251"/>
        <v>0</v>
      </c>
      <c r="Q822" s="765"/>
      <c r="R822" s="576">
        <f t="shared" si="247"/>
        <v>0</v>
      </c>
      <c r="S822" s="576">
        <f t="shared" si="247"/>
        <v>0</v>
      </c>
      <c r="T822" s="577">
        <f t="shared" si="248"/>
        <v>0</v>
      </c>
      <c r="U822" s="578">
        <f t="shared" si="249"/>
        <v>0</v>
      </c>
      <c r="V822" s="579"/>
      <c r="W822" s="566"/>
      <c r="X822" s="586" t="str">
        <f t="shared" si="238"/>
        <v/>
      </c>
      <c r="Y822" s="586" t="str">
        <f t="shared" si="189"/>
        <v/>
      </c>
      <c r="Z822" s="586" t="str">
        <f t="shared" si="239"/>
        <v/>
      </c>
    </row>
    <row r="823" spans="1:26" ht="12" hidden="1" thickBot="1" x14ac:dyDescent="0.25">
      <c r="A823" s="652" t="s">
        <v>187</v>
      </c>
      <c r="B823" s="572" t="s">
        <v>187</v>
      </c>
      <c r="C823" s="573" t="s">
        <v>187</v>
      </c>
      <c r="D823" s="580"/>
      <c r="E823" s="575"/>
      <c r="F823" s="436"/>
      <c r="G823" s="431"/>
      <c r="H823" s="430"/>
      <c r="I823" s="432"/>
      <c r="J823" s="433"/>
      <c r="K823" s="437">
        <f t="shared" si="246"/>
        <v>0</v>
      </c>
      <c r="L823" s="435" t="s">
        <v>614</v>
      </c>
      <c r="M823" s="576"/>
      <c r="N823" s="576">
        <f t="shared" si="243"/>
        <v>0</v>
      </c>
      <c r="O823" s="577">
        <f t="shared" si="250"/>
        <v>0</v>
      </c>
      <c r="P823" s="578">
        <f t="shared" si="251"/>
        <v>0</v>
      </c>
      <c r="Q823" s="765"/>
      <c r="R823" s="576">
        <f t="shared" si="247"/>
        <v>0</v>
      </c>
      <c r="S823" s="576">
        <f t="shared" si="247"/>
        <v>0</v>
      </c>
      <c r="T823" s="577">
        <f t="shared" si="248"/>
        <v>0</v>
      </c>
      <c r="U823" s="578">
        <f t="shared" si="249"/>
        <v>0</v>
      </c>
      <c r="V823" s="579"/>
      <c r="W823" s="566"/>
      <c r="X823" s="586" t="str">
        <f t="shared" si="238"/>
        <v/>
      </c>
      <c r="Y823" s="586" t="str">
        <f t="shared" si="189"/>
        <v/>
      </c>
      <c r="Z823" s="586" t="str">
        <f t="shared" si="239"/>
        <v/>
      </c>
    </row>
    <row r="824" spans="1:26" ht="12" hidden="1" thickBot="1" x14ac:dyDescent="0.25">
      <c r="A824" s="652" t="s">
        <v>187</v>
      </c>
      <c r="B824" s="572" t="s">
        <v>187</v>
      </c>
      <c r="C824" s="573" t="s">
        <v>187</v>
      </c>
      <c r="D824" s="580"/>
      <c r="E824" s="575"/>
      <c r="F824" s="436"/>
      <c r="G824" s="431"/>
      <c r="H824" s="430"/>
      <c r="I824" s="432"/>
      <c r="J824" s="433"/>
      <c r="K824" s="437">
        <f t="shared" si="246"/>
        <v>0</v>
      </c>
      <c r="L824" s="435" t="s">
        <v>614</v>
      </c>
      <c r="M824" s="576"/>
      <c r="N824" s="576">
        <f t="shared" si="243"/>
        <v>0</v>
      </c>
      <c r="O824" s="577">
        <f t="shared" si="250"/>
        <v>0</v>
      </c>
      <c r="P824" s="578">
        <f t="shared" si="251"/>
        <v>0</v>
      </c>
      <c r="Q824" s="765"/>
      <c r="R824" s="576">
        <f t="shared" si="247"/>
        <v>0</v>
      </c>
      <c r="S824" s="576">
        <f t="shared" si="247"/>
        <v>0</v>
      </c>
      <c r="T824" s="577">
        <f t="shared" si="248"/>
        <v>0</v>
      </c>
      <c r="U824" s="578">
        <f t="shared" si="249"/>
        <v>0</v>
      </c>
      <c r="V824" s="579"/>
      <c r="W824" s="566"/>
      <c r="X824" s="586" t="str">
        <f t="shared" si="238"/>
        <v/>
      </c>
      <c r="Y824" s="586" t="str">
        <f t="shared" si="189"/>
        <v/>
      </c>
      <c r="Z824" s="586" t="str">
        <f t="shared" si="239"/>
        <v/>
      </c>
    </row>
    <row r="825" spans="1:26" ht="12" hidden="1" thickBot="1" x14ac:dyDescent="0.25">
      <c r="A825" s="652" t="s">
        <v>187</v>
      </c>
      <c r="B825" s="572" t="s">
        <v>187</v>
      </c>
      <c r="C825" s="573" t="s">
        <v>187</v>
      </c>
      <c r="D825" s="580"/>
      <c r="E825" s="575"/>
      <c r="F825" s="436"/>
      <c r="G825" s="431"/>
      <c r="H825" s="430"/>
      <c r="I825" s="432"/>
      <c r="J825" s="433"/>
      <c r="K825" s="437">
        <f t="shared" si="246"/>
        <v>0</v>
      </c>
      <c r="L825" s="435" t="s">
        <v>614</v>
      </c>
      <c r="M825" s="576"/>
      <c r="N825" s="576">
        <f t="shared" si="243"/>
        <v>0</v>
      </c>
      <c r="O825" s="577">
        <f t="shared" si="250"/>
        <v>0</v>
      </c>
      <c r="P825" s="578">
        <f t="shared" si="251"/>
        <v>0</v>
      </c>
      <c r="Q825" s="765"/>
      <c r="R825" s="576">
        <f t="shared" si="247"/>
        <v>0</v>
      </c>
      <c r="S825" s="576">
        <f t="shared" si="247"/>
        <v>0</v>
      </c>
      <c r="T825" s="577">
        <f t="shared" si="248"/>
        <v>0</v>
      </c>
      <c r="U825" s="578">
        <f t="shared" si="249"/>
        <v>0</v>
      </c>
      <c r="V825" s="579"/>
      <c r="W825" s="566"/>
      <c r="X825" s="586" t="str">
        <f t="shared" si="238"/>
        <v/>
      </c>
      <c r="Y825" s="586" t="str">
        <f t="shared" si="189"/>
        <v/>
      </c>
      <c r="Z825" s="586" t="str">
        <f t="shared" si="239"/>
        <v/>
      </c>
    </row>
    <row r="826" spans="1:26" ht="12" hidden="1" thickBot="1" x14ac:dyDescent="0.25">
      <c r="A826" s="652" t="s">
        <v>187</v>
      </c>
      <c r="B826" s="572" t="s">
        <v>187</v>
      </c>
      <c r="C826" s="573" t="s">
        <v>187</v>
      </c>
      <c r="D826" s="580"/>
      <c r="E826" s="575"/>
      <c r="F826" s="436"/>
      <c r="G826" s="431"/>
      <c r="H826" s="430"/>
      <c r="I826" s="432"/>
      <c r="J826" s="433"/>
      <c r="K826" s="437">
        <f t="shared" si="246"/>
        <v>0</v>
      </c>
      <c r="L826" s="435" t="s">
        <v>614</v>
      </c>
      <c r="M826" s="576"/>
      <c r="N826" s="576">
        <f t="shared" si="243"/>
        <v>0</v>
      </c>
      <c r="O826" s="577">
        <f t="shared" si="250"/>
        <v>0</v>
      </c>
      <c r="P826" s="578">
        <f t="shared" si="251"/>
        <v>0</v>
      </c>
      <c r="Q826" s="765"/>
      <c r="R826" s="576">
        <f t="shared" si="247"/>
        <v>0</v>
      </c>
      <c r="S826" s="576">
        <f t="shared" si="247"/>
        <v>0</v>
      </c>
      <c r="T826" s="577">
        <f t="shared" si="248"/>
        <v>0</v>
      </c>
      <c r="U826" s="578">
        <f t="shared" si="249"/>
        <v>0</v>
      </c>
      <c r="V826" s="579"/>
      <c r="W826" s="566"/>
      <c r="X826" s="586" t="str">
        <f t="shared" si="238"/>
        <v/>
      </c>
      <c r="Y826" s="586" t="str">
        <f t="shared" si="189"/>
        <v/>
      </c>
      <c r="Z826" s="586" t="str">
        <f t="shared" si="239"/>
        <v/>
      </c>
    </row>
    <row r="827" spans="1:26" ht="12" hidden="1" thickBot="1" x14ac:dyDescent="0.25">
      <c r="A827" s="652" t="s">
        <v>187</v>
      </c>
      <c r="B827" s="572" t="s">
        <v>187</v>
      </c>
      <c r="C827" s="573" t="s">
        <v>187</v>
      </c>
      <c r="D827" s="580"/>
      <c r="E827" s="575"/>
      <c r="F827" s="436"/>
      <c r="G827" s="431"/>
      <c r="H827" s="430"/>
      <c r="I827" s="432"/>
      <c r="J827" s="433"/>
      <c r="K827" s="437">
        <f t="shared" si="246"/>
        <v>0</v>
      </c>
      <c r="L827" s="435" t="s">
        <v>614</v>
      </c>
      <c r="M827" s="576"/>
      <c r="N827" s="576">
        <f t="shared" si="243"/>
        <v>0</v>
      </c>
      <c r="O827" s="577">
        <f t="shared" si="250"/>
        <v>0</v>
      </c>
      <c r="P827" s="578">
        <f t="shared" si="251"/>
        <v>0</v>
      </c>
      <c r="Q827" s="765"/>
      <c r="R827" s="576">
        <f t="shared" si="247"/>
        <v>0</v>
      </c>
      <c r="S827" s="576">
        <f t="shared" si="247"/>
        <v>0</v>
      </c>
      <c r="T827" s="577">
        <f t="shared" si="248"/>
        <v>0</v>
      </c>
      <c r="U827" s="578">
        <f t="shared" si="249"/>
        <v>0</v>
      </c>
      <c r="V827" s="579"/>
      <c r="W827" s="566"/>
      <c r="X827" s="586" t="str">
        <f t="shared" si="238"/>
        <v/>
      </c>
      <c r="Y827" s="586" t="str">
        <f t="shared" si="189"/>
        <v/>
      </c>
      <c r="Z827" s="586" t="str">
        <f t="shared" si="239"/>
        <v/>
      </c>
    </row>
    <row r="828" spans="1:26" ht="12" hidden="1" thickBot="1" x14ac:dyDescent="0.25">
      <c r="A828" s="652" t="s">
        <v>187</v>
      </c>
      <c r="B828" s="572" t="s">
        <v>187</v>
      </c>
      <c r="C828" s="573" t="s">
        <v>187</v>
      </c>
      <c r="D828" s="580"/>
      <c r="E828" s="575"/>
      <c r="F828" s="436"/>
      <c r="G828" s="431"/>
      <c r="H828" s="430"/>
      <c r="I828" s="432"/>
      <c r="J828" s="433"/>
      <c r="K828" s="437">
        <f t="shared" si="246"/>
        <v>0</v>
      </c>
      <c r="L828" s="435" t="s">
        <v>614</v>
      </c>
      <c r="M828" s="576"/>
      <c r="N828" s="576">
        <f t="shared" si="243"/>
        <v>0</v>
      </c>
      <c r="O828" s="577">
        <f t="shared" si="250"/>
        <v>0</v>
      </c>
      <c r="P828" s="578">
        <f t="shared" si="251"/>
        <v>0</v>
      </c>
      <c r="Q828" s="765"/>
      <c r="R828" s="576">
        <f t="shared" si="247"/>
        <v>0</v>
      </c>
      <c r="S828" s="576">
        <f t="shared" si="247"/>
        <v>0</v>
      </c>
      <c r="T828" s="577">
        <f t="shared" si="248"/>
        <v>0</v>
      </c>
      <c r="U828" s="578">
        <f t="shared" si="249"/>
        <v>0</v>
      </c>
      <c r="V828" s="579"/>
      <c r="W828" s="566"/>
      <c r="X828" s="586" t="str">
        <f t="shared" si="238"/>
        <v/>
      </c>
      <c r="Y828" s="586" t="str">
        <f t="shared" si="189"/>
        <v/>
      </c>
      <c r="Z828" s="586" t="str">
        <f t="shared" si="239"/>
        <v/>
      </c>
    </row>
    <row r="829" spans="1:26" ht="12" hidden="1" thickBot="1" x14ac:dyDescent="0.25">
      <c r="A829" s="652" t="s">
        <v>187</v>
      </c>
      <c r="B829" s="572" t="s">
        <v>187</v>
      </c>
      <c r="C829" s="573" t="s">
        <v>187</v>
      </c>
      <c r="D829" s="580"/>
      <c r="E829" s="575"/>
      <c r="F829" s="436"/>
      <c r="G829" s="431"/>
      <c r="H829" s="430"/>
      <c r="I829" s="432"/>
      <c r="J829" s="433"/>
      <c r="K829" s="437">
        <f t="shared" si="246"/>
        <v>0</v>
      </c>
      <c r="L829" s="435" t="s">
        <v>614</v>
      </c>
      <c r="M829" s="576"/>
      <c r="N829" s="576">
        <f t="shared" si="243"/>
        <v>0</v>
      </c>
      <c r="O829" s="577">
        <f t="shared" si="250"/>
        <v>0</v>
      </c>
      <c r="P829" s="578">
        <f t="shared" si="251"/>
        <v>0</v>
      </c>
      <c r="Q829" s="765"/>
      <c r="R829" s="576">
        <f t="shared" si="247"/>
        <v>0</v>
      </c>
      <c r="S829" s="576">
        <f t="shared" si="247"/>
        <v>0</v>
      </c>
      <c r="T829" s="577">
        <f t="shared" si="248"/>
        <v>0</v>
      </c>
      <c r="U829" s="578">
        <f t="shared" si="249"/>
        <v>0</v>
      </c>
      <c r="V829" s="579"/>
      <c r="W829" s="566"/>
      <c r="X829" s="586" t="str">
        <f t="shared" ref="X829:X892" si="252">IF(W829="X","x",IF(W829="xx","x",IF(W829="xy","x",IF(W829="y","x",IF(OR(P829&gt;0,U829&gt;0),"x","")))))</f>
        <v/>
      </c>
      <c r="Y829" s="586" t="str">
        <f t="shared" si="189"/>
        <v/>
      </c>
      <c r="Z829" s="586" t="str">
        <f t="shared" si="239"/>
        <v/>
      </c>
    </row>
    <row r="830" spans="1:26" ht="12" hidden="1" thickBot="1" x14ac:dyDescent="0.25">
      <c r="A830" s="652" t="s">
        <v>187</v>
      </c>
      <c r="B830" s="572" t="s">
        <v>187</v>
      </c>
      <c r="C830" s="573" t="s">
        <v>187</v>
      </c>
      <c r="D830" s="580"/>
      <c r="E830" s="575"/>
      <c r="F830" s="436"/>
      <c r="G830" s="431"/>
      <c r="H830" s="430"/>
      <c r="I830" s="432"/>
      <c r="J830" s="433"/>
      <c r="K830" s="437">
        <f t="shared" si="246"/>
        <v>0</v>
      </c>
      <c r="L830" s="435" t="s">
        <v>614</v>
      </c>
      <c r="M830" s="576"/>
      <c r="N830" s="576">
        <f t="shared" si="243"/>
        <v>0</v>
      </c>
      <c r="O830" s="577">
        <f t="shared" si="250"/>
        <v>0</v>
      </c>
      <c r="P830" s="578">
        <f t="shared" si="251"/>
        <v>0</v>
      </c>
      <c r="Q830" s="765"/>
      <c r="R830" s="576">
        <f t="shared" si="247"/>
        <v>0</v>
      </c>
      <c r="S830" s="576">
        <f t="shared" si="247"/>
        <v>0</v>
      </c>
      <c r="T830" s="577">
        <f t="shared" si="248"/>
        <v>0</v>
      </c>
      <c r="U830" s="578">
        <f t="shared" si="249"/>
        <v>0</v>
      </c>
      <c r="V830" s="579"/>
      <c r="W830" s="566"/>
      <c r="X830" s="586" t="str">
        <f t="shared" si="252"/>
        <v/>
      </c>
      <c r="Y830" s="586" t="str">
        <f t="shared" si="189"/>
        <v/>
      </c>
      <c r="Z830" s="586" t="str">
        <f t="shared" si="239"/>
        <v/>
      </c>
    </row>
    <row r="831" spans="1:26" ht="12" hidden="1" thickBot="1" x14ac:dyDescent="0.25">
      <c r="A831" s="652" t="s">
        <v>187</v>
      </c>
      <c r="B831" s="572" t="s">
        <v>187</v>
      </c>
      <c r="C831" s="573" t="s">
        <v>187</v>
      </c>
      <c r="D831" s="580"/>
      <c r="E831" s="575"/>
      <c r="F831" s="436"/>
      <c r="G831" s="431"/>
      <c r="H831" s="430"/>
      <c r="I831" s="432"/>
      <c r="J831" s="433"/>
      <c r="K831" s="437">
        <f t="shared" si="246"/>
        <v>0</v>
      </c>
      <c r="L831" s="435" t="s">
        <v>614</v>
      </c>
      <c r="M831" s="576"/>
      <c r="N831" s="576">
        <f t="shared" si="243"/>
        <v>0</v>
      </c>
      <c r="O831" s="577">
        <f t="shared" si="250"/>
        <v>0</v>
      </c>
      <c r="P831" s="578">
        <f t="shared" si="251"/>
        <v>0</v>
      </c>
      <c r="Q831" s="765"/>
      <c r="R831" s="576">
        <f t="shared" si="247"/>
        <v>0</v>
      </c>
      <c r="S831" s="576">
        <f t="shared" si="247"/>
        <v>0</v>
      </c>
      <c r="T831" s="577">
        <f t="shared" si="248"/>
        <v>0</v>
      </c>
      <c r="U831" s="578">
        <f t="shared" si="249"/>
        <v>0</v>
      </c>
      <c r="V831" s="579"/>
      <c r="W831" s="566"/>
      <c r="X831" s="586" t="str">
        <f t="shared" si="252"/>
        <v/>
      </c>
      <c r="Y831" s="586" t="str">
        <f t="shared" si="189"/>
        <v/>
      </c>
      <c r="Z831" s="586" t="str">
        <f t="shared" si="239"/>
        <v/>
      </c>
    </row>
    <row r="832" spans="1:26" ht="43.35" hidden="1" customHeight="1" x14ac:dyDescent="0.2">
      <c r="A832" s="652" t="s">
        <v>187</v>
      </c>
      <c r="B832" s="572" t="s">
        <v>187</v>
      </c>
      <c r="C832" s="573" t="s">
        <v>187</v>
      </c>
      <c r="D832" s="580"/>
      <c r="E832" s="575"/>
      <c r="F832" s="436"/>
      <c r="G832" s="431"/>
      <c r="H832" s="430"/>
      <c r="I832" s="432"/>
      <c r="J832" s="433"/>
      <c r="K832" s="437">
        <f t="shared" si="246"/>
        <v>0</v>
      </c>
      <c r="L832" s="435" t="s">
        <v>614</v>
      </c>
      <c r="M832" s="576"/>
      <c r="N832" s="576">
        <f t="shared" si="243"/>
        <v>0</v>
      </c>
      <c r="O832" s="577">
        <f t="shared" si="250"/>
        <v>0</v>
      </c>
      <c r="P832" s="578">
        <f t="shared" si="251"/>
        <v>0</v>
      </c>
      <c r="Q832" s="765"/>
      <c r="R832" s="576">
        <f t="shared" si="247"/>
        <v>0</v>
      </c>
      <c r="S832" s="576">
        <f t="shared" si="247"/>
        <v>0</v>
      </c>
      <c r="T832" s="577">
        <f t="shared" si="248"/>
        <v>0</v>
      </c>
      <c r="U832" s="578">
        <f t="shared" si="249"/>
        <v>0</v>
      </c>
      <c r="V832" s="579"/>
      <c r="W832" s="566"/>
      <c r="X832" s="586" t="str">
        <f t="shared" si="252"/>
        <v/>
      </c>
      <c r="Y832" s="586" t="str">
        <f t="shared" si="189"/>
        <v/>
      </c>
      <c r="Z832" s="586" t="str">
        <f t="shared" si="239"/>
        <v/>
      </c>
    </row>
    <row r="833" spans="1:26" ht="12" hidden="1" thickBot="1" x14ac:dyDescent="0.25">
      <c r="A833" s="652" t="s">
        <v>187</v>
      </c>
      <c r="B833" s="572" t="s">
        <v>187</v>
      </c>
      <c r="C833" s="573" t="s">
        <v>187</v>
      </c>
      <c r="D833" s="580"/>
      <c r="E833" s="575"/>
      <c r="F833" s="436"/>
      <c r="G833" s="431"/>
      <c r="H833" s="430"/>
      <c r="I833" s="432"/>
      <c r="J833" s="433"/>
      <c r="K833" s="437">
        <f t="shared" si="246"/>
        <v>0</v>
      </c>
      <c r="L833" s="435" t="s">
        <v>614</v>
      </c>
      <c r="M833" s="576"/>
      <c r="N833" s="576">
        <f t="shared" si="243"/>
        <v>0</v>
      </c>
      <c r="O833" s="577">
        <f t="shared" si="250"/>
        <v>0</v>
      </c>
      <c r="P833" s="578">
        <f t="shared" si="251"/>
        <v>0</v>
      </c>
      <c r="Q833" s="765"/>
      <c r="R833" s="576">
        <f t="shared" si="247"/>
        <v>0</v>
      </c>
      <c r="S833" s="576">
        <f t="shared" si="247"/>
        <v>0</v>
      </c>
      <c r="T833" s="577">
        <f t="shared" si="248"/>
        <v>0</v>
      </c>
      <c r="U833" s="578">
        <f t="shared" si="249"/>
        <v>0</v>
      </c>
      <c r="V833" s="579"/>
      <c r="W833" s="566"/>
      <c r="X833" s="586" t="str">
        <f t="shared" si="252"/>
        <v/>
      </c>
      <c r="Y833" s="586" t="str">
        <f t="shared" si="189"/>
        <v/>
      </c>
      <c r="Z833" s="586" t="str">
        <f t="shared" si="239"/>
        <v/>
      </c>
    </row>
    <row r="834" spans="1:26" ht="12" hidden="1" thickBot="1" x14ac:dyDescent="0.25">
      <c r="A834" s="652" t="s">
        <v>187</v>
      </c>
      <c r="B834" s="572" t="s">
        <v>187</v>
      </c>
      <c r="C834" s="573" t="s">
        <v>187</v>
      </c>
      <c r="D834" s="580"/>
      <c r="E834" s="575"/>
      <c r="F834" s="436"/>
      <c r="G834" s="431"/>
      <c r="H834" s="430"/>
      <c r="I834" s="432"/>
      <c r="J834" s="433"/>
      <c r="K834" s="437">
        <f t="shared" si="246"/>
        <v>0</v>
      </c>
      <c r="L834" s="435" t="s">
        <v>614</v>
      </c>
      <c r="M834" s="576"/>
      <c r="N834" s="576">
        <f t="shared" si="243"/>
        <v>0</v>
      </c>
      <c r="O834" s="577">
        <f t="shared" si="250"/>
        <v>0</v>
      </c>
      <c r="P834" s="578">
        <f t="shared" si="251"/>
        <v>0</v>
      </c>
      <c r="Q834" s="765"/>
      <c r="R834" s="576">
        <f t="shared" si="247"/>
        <v>0</v>
      </c>
      <c r="S834" s="576">
        <f t="shared" si="247"/>
        <v>0</v>
      </c>
      <c r="T834" s="577">
        <f t="shared" si="248"/>
        <v>0</v>
      </c>
      <c r="U834" s="578">
        <f t="shared" si="249"/>
        <v>0</v>
      </c>
      <c r="V834" s="579"/>
      <c r="W834" s="566"/>
      <c r="X834" s="586" t="str">
        <f t="shared" si="252"/>
        <v/>
      </c>
      <c r="Y834" s="586"/>
      <c r="Z834" s="586"/>
    </row>
    <row r="835" spans="1:26" ht="12" hidden="1" thickBot="1" x14ac:dyDescent="0.25">
      <c r="A835" s="652" t="s">
        <v>187</v>
      </c>
      <c r="B835" s="572" t="s">
        <v>187</v>
      </c>
      <c r="C835" s="573" t="s">
        <v>187</v>
      </c>
      <c r="D835" s="580"/>
      <c r="E835" s="575"/>
      <c r="F835" s="436"/>
      <c r="G835" s="431"/>
      <c r="H835" s="430"/>
      <c r="I835" s="432"/>
      <c r="J835" s="433"/>
      <c r="K835" s="437">
        <f t="shared" si="246"/>
        <v>0</v>
      </c>
      <c r="L835" s="435" t="s">
        <v>614</v>
      </c>
      <c r="M835" s="576"/>
      <c r="N835" s="576">
        <f t="shared" si="243"/>
        <v>0</v>
      </c>
      <c r="O835" s="577">
        <f t="shared" si="250"/>
        <v>0</v>
      </c>
      <c r="P835" s="578">
        <f t="shared" si="251"/>
        <v>0</v>
      </c>
      <c r="Q835" s="765"/>
      <c r="R835" s="576">
        <f t="shared" si="247"/>
        <v>0</v>
      </c>
      <c r="S835" s="576">
        <f t="shared" si="247"/>
        <v>0</v>
      </c>
      <c r="T835" s="577">
        <f t="shared" si="248"/>
        <v>0</v>
      </c>
      <c r="U835" s="578">
        <f t="shared" si="249"/>
        <v>0</v>
      </c>
      <c r="V835" s="579"/>
      <c r="W835" s="566"/>
      <c r="X835" s="586" t="str">
        <f t="shared" si="252"/>
        <v/>
      </c>
      <c r="Y835" s="586" t="str">
        <f t="shared" si="189"/>
        <v/>
      </c>
      <c r="Z835" s="586" t="str">
        <f t="shared" si="239"/>
        <v/>
      </c>
    </row>
    <row r="836" spans="1:26" ht="12" hidden="1" thickBot="1" x14ac:dyDescent="0.25">
      <c r="A836" s="652" t="s">
        <v>187</v>
      </c>
      <c r="B836" s="572" t="s">
        <v>187</v>
      </c>
      <c r="C836" s="573" t="s">
        <v>187</v>
      </c>
      <c r="D836" s="580"/>
      <c r="E836" s="575"/>
      <c r="F836" s="436"/>
      <c r="G836" s="431"/>
      <c r="H836" s="430"/>
      <c r="I836" s="432"/>
      <c r="J836" s="433"/>
      <c r="K836" s="437">
        <f t="shared" si="246"/>
        <v>0</v>
      </c>
      <c r="L836" s="435" t="s">
        <v>614</v>
      </c>
      <c r="M836" s="576"/>
      <c r="N836" s="576">
        <f t="shared" si="243"/>
        <v>0</v>
      </c>
      <c r="O836" s="577">
        <f t="shared" si="250"/>
        <v>0</v>
      </c>
      <c r="P836" s="578">
        <f t="shared" si="251"/>
        <v>0</v>
      </c>
      <c r="Q836" s="765"/>
      <c r="R836" s="576">
        <f t="shared" si="247"/>
        <v>0</v>
      </c>
      <c r="S836" s="576">
        <f t="shared" si="247"/>
        <v>0</v>
      </c>
      <c r="T836" s="577">
        <f t="shared" si="248"/>
        <v>0</v>
      </c>
      <c r="U836" s="578">
        <f t="shared" si="249"/>
        <v>0</v>
      </c>
      <c r="V836" s="579"/>
      <c r="W836" s="566"/>
      <c r="X836" s="586" t="str">
        <f t="shared" si="252"/>
        <v/>
      </c>
      <c r="Y836" s="586" t="str">
        <f t="shared" si="189"/>
        <v/>
      </c>
      <c r="Z836" s="586" t="str">
        <f t="shared" si="239"/>
        <v/>
      </c>
    </row>
    <row r="837" spans="1:26" ht="12" hidden="1" thickBot="1" x14ac:dyDescent="0.25">
      <c r="A837" s="652" t="s">
        <v>187</v>
      </c>
      <c r="B837" s="572" t="s">
        <v>187</v>
      </c>
      <c r="C837" s="573" t="s">
        <v>187</v>
      </c>
      <c r="D837" s="580"/>
      <c r="E837" s="575"/>
      <c r="F837" s="436"/>
      <c r="G837" s="431"/>
      <c r="H837" s="430"/>
      <c r="I837" s="432"/>
      <c r="J837" s="433"/>
      <c r="K837" s="437">
        <f t="shared" si="246"/>
        <v>0</v>
      </c>
      <c r="L837" s="435" t="s">
        <v>614</v>
      </c>
      <c r="M837" s="576"/>
      <c r="N837" s="576">
        <f t="shared" si="243"/>
        <v>0</v>
      </c>
      <c r="O837" s="577">
        <f t="shared" si="250"/>
        <v>0</v>
      </c>
      <c r="P837" s="578">
        <f t="shared" si="251"/>
        <v>0</v>
      </c>
      <c r="Q837" s="765"/>
      <c r="R837" s="576">
        <f t="shared" si="247"/>
        <v>0</v>
      </c>
      <c r="S837" s="576">
        <f t="shared" si="247"/>
        <v>0</v>
      </c>
      <c r="T837" s="577">
        <f t="shared" si="248"/>
        <v>0</v>
      </c>
      <c r="U837" s="578">
        <f t="shared" si="249"/>
        <v>0</v>
      </c>
      <c r="V837" s="579"/>
      <c r="W837" s="566"/>
      <c r="X837" s="586" t="str">
        <f t="shared" si="252"/>
        <v/>
      </c>
      <c r="Y837" s="586" t="str">
        <f t="shared" si="189"/>
        <v/>
      </c>
      <c r="Z837" s="586" t="str">
        <f t="shared" si="239"/>
        <v/>
      </c>
    </row>
    <row r="838" spans="1:26" ht="12" hidden="1" thickBot="1" x14ac:dyDescent="0.25">
      <c r="A838" s="652" t="s">
        <v>187</v>
      </c>
      <c r="B838" s="572" t="s">
        <v>187</v>
      </c>
      <c r="C838" s="573" t="s">
        <v>187</v>
      </c>
      <c r="D838" s="580"/>
      <c r="E838" s="575"/>
      <c r="F838" s="436"/>
      <c r="G838" s="431"/>
      <c r="H838" s="430"/>
      <c r="I838" s="432"/>
      <c r="J838" s="433"/>
      <c r="K838" s="437">
        <f t="shared" si="246"/>
        <v>0</v>
      </c>
      <c r="L838" s="435" t="s">
        <v>614</v>
      </c>
      <c r="M838" s="576"/>
      <c r="N838" s="576">
        <f t="shared" si="243"/>
        <v>0</v>
      </c>
      <c r="O838" s="577">
        <f t="shared" si="250"/>
        <v>0</v>
      </c>
      <c r="P838" s="578">
        <f t="shared" si="251"/>
        <v>0</v>
      </c>
      <c r="Q838" s="765"/>
      <c r="R838" s="576">
        <f t="shared" si="247"/>
        <v>0</v>
      </c>
      <c r="S838" s="576">
        <f t="shared" si="247"/>
        <v>0</v>
      </c>
      <c r="T838" s="577">
        <f t="shared" si="248"/>
        <v>0</v>
      </c>
      <c r="U838" s="578">
        <f t="shared" si="249"/>
        <v>0</v>
      </c>
      <c r="V838" s="579"/>
      <c r="W838" s="566"/>
      <c r="X838" s="586" t="str">
        <f t="shared" si="252"/>
        <v/>
      </c>
      <c r="Y838" s="586" t="str">
        <f t="shared" si="189"/>
        <v/>
      </c>
      <c r="Z838" s="586" t="str">
        <f t="shared" si="239"/>
        <v/>
      </c>
    </row>
    <row r="839" spans="1:26" ht="12" hidden="1" thickBot="1" x14ac:dyDescent="0.25">
      <c r="A839" s="652" t="s">
        <v>187</v>
      </c>
      <c r="B839" s="581" t="s">
        <v>187</v>
      </c>
      <c r="C839" s="582" t="s">
        <v>187</v>
      </c>
      <c r="D839" s="583"/>
      <c r="E839" s="584"/>
      <c r="F839" s="438"/>
      <c r="G839" s="439"/>
      <c r="H839" s="440"/>
      <c r="I839" s="441"/>
      <c r="J839" s="442"/>
      <c r="K839" s="443">
        <f t="shared" si="246"/>
        <v>0</v>
      </c>
      <c r="L839" s="444" t="s">
        <v>614</v>
      </c>
      <c r="M839" s="576"/>
      <c r="N839" s="576">
        <f t="shared" si="243"/>
        <v>0</v>
      </c>
      <c r="O839" s="585">
        <f t="shared" si="250"/>
        <v>0</v>
      </c>
      <c r="P839" s="660">
        <f t="shared" si="251"/>
        <v>0</v>
      </c>
      <c r="Q839" s="765"/>
      <c r="R839" s="576">
        <f t="shared" si="247"/>
        <v>0</v>
      </c>
      <c r="S839" s="576">
        <f t="shared" si="247"/>
        <v>0</v>
      </c>
      <c r="T839" s="585">
        <f t="shared" si="248"/>
        <v>0</v>
      </c>
      <c r="U839" s="660">
        <f t="shared" si="249"/>
        <v>0</v>
      </c>
      <c r="V839" s="579"/>
      <c r="W839" s="566"/>
      <c r="X839" s="586" t="str">
        <f t="shared" si="252"/>
        <v/>
      </c>
      <c r="Y839" s="586" t="str">
        <f t="shared" si="189"/>
        <v/>
      </c>
      <c r="Z839" s="586" t="str">
        <f t="shared" si="239"/>
        <v/>
      </c>
    </row>
    <row r="840" spans="1:26" ht="12" hidden="1" thickBot="1" x14ac:dyDescent="0.25">
      <c r="A840" s="567" t="s">
        <v>321</v>
      </c>
      <c r="B840" s="664" t="s">
        <v>321</v>
      </c>
      <c r="C840" s="665"/>
      <c r="D840" s="666" t="s">
        <v>470</v>
      </c>
      <c r="E840" s="631"/>
      <c r="F840" s="632"/>
      <c r="G840" s="633"/>
      <c r="H840" s="409"/>
      <c r="I840" s="409"/>
      <c r="J840" s="409"/>
      <c r="K840" s="409"/>
      <c r="L840" s="409" t="s">
        <v>614</v>
      </c>
      <c r="M840" s="634"/>
      <c r="N840" s="797"/>
      <c r="O840" s="409">
        <f t="shared" si="250"/>
        <v>0</v>
      </c>
      <c r="P840" s="635">
        <f t="shared" si="251"/>
        <v>0</v>
      </c>
      <c r="Q840" s="635">
        <f>SUM(P841:P1689)</f>
        <v>0</v>
      </c>
      <c r="R840" s="634"/>
      <c r="S840" s="409"/>
      <c r="T840" s="409">
        <f t="shared" si="248"/>
        <v>0</v>
      </c>
      <c r="U840" s="635">
        <f t="shared" si="249"/>
        <v>0</v>
      </c>
      <c r="V840" s="636">
        <f>SUM(U841:U1689)</f>
        <v>0</v>
      </c>
      <c r="W840" s="637" t="str">
        <f>IF(OR(Q840&gt;0,V840&gt;0),"X","")</f>
        <v/>
      </c>
      <c r="X840" s="586" t="str">
        <f t="shared" si="252"/>
        <v/>
      </c>
      <c r="Y840" s="586" t="str">
        <f t="shared" si="189"/>
        <v/>
      </c>
      <c r="Z840" s="586" t="str">
        <f t="shared" si="239"/>
        <v/>
      </c>
    </row>
    <row r="841" spans="1:26" ht="12" hidden="1" thickBot="1" x14ac:dyDescent="0.25">
      <c r="A841" s="567">
        <v>702</v>
      </c>
      <c r="B841" s="644">
        <v>702</v>
      </c>
      <c r="C841" s="645" t="s">
        <v>458</v>
      </c>
      <c r="D841" s="422" t="s">
        <v>510</v>
      </c>
      <c r="E841" s="423"/>
      <c r="F841" s="424">
        <v>0</v>
      </c>
      <c r="G841" s="425"/>
      <c r="H841" s="651">
        <v>0</v>
      </c>
      <c r="I841" s="420">
        <v>456.36</v>
      </c>
      <c r="J841" s="420">
        <f t="shared" ref="J841:J846" si="253">IF(ISBLANK(I841),"",SUM(H841:I841))</f>
        <v>456.36</v>
      </c>
      <c r="K841" s="421">
        <f t="shared" ref="K841:K904" si="254">IF(ISBLANK(I841),0,ROUND(J841*(1+$F$10)*(1+$F$11*E841),2))</f>
        <v>542.20000000000005</v>
      </c>
      <c r="L841" s="647" t="s">
        <v>177</v>
      </c>
      <c r="M841" s="576"/>
      <c r="N841" s="576">
        <f t="shared" si="243"/>
        <v>0</v>
      </c>
      <c r="O841" s="577">
        <f t="shared" si="250"/>
        <v>0</v>
      </c>
      <c r="P841" s="578">
        <f t="shared" si="251"/>
        <v>0</v>
      </c>
      <c r="Q841" s="765"/>
      <c r="R841" s="576">
        <f t="shared" si="247"/>
        <v>0</v>
      </c>
      <c r="S841" s="576">
        <f t="shared" si="247"/>
        <v>0</v>
      </c>
      <c r="T841" s="577">
        <f t="shared" si="248"/>
        <v>0</v>
      </c>
      <c r="U841" s="578">
        <f t="shared" si="249"/>
        <v>0</v>
      </c>
      <c r="V841" s="579"/>
      <c r="W841" s="566"/>
      <c r="X841" s="586" t="str">
        <f t="shared" si="252"/>
        <v/>
      </c>
      <c r="Y841" s="586" t="str">
        <f t="shared" si="189"/>
        <v/>
      </c>
      <c r="Z841" s="586" t="str">
        <f t="shared" si="239"/>
        <v/>
      </c>
    </row>
    <row r="842" spans="1:26" ht="12" hidden="1" thickBot="1" x14ac:dyDescent="0.25">
      <c r="A842" s="567">
        <v>703</v>
      </c>
      <c r="B842" s="644">
        <v>703</v>
      </c>
      <c r="C842" s="645" t="s">
        <v>458</v>
      </c>
      <c r="D842" s="422" t="s">
        <v>511</v>
      </c>
      <c r="E842" s="423"/>
      <c r="F842" s="424">
        <v>0</v>
      </c>
      <c r="G842" s="425"/>
      <c r="H842" s="651">
        <v>0</v>
      </c>
      <c r="I842" s="420">
        <v>57.9</v>
      </c>
      <c r="J842" s="420">
        <f t="shared" si="253"/>
        <v>57.9</v>
      </c>
      <c r="K842" s="421">
        <f t="shared" si="254"/>
        <v>68.790000000000006</v>
      </c>
      <c r="L842" s="647" t="s">
        <v>21</v>
      </c>
      <c r="M842" s="576"/>
      <c r="N842" s="576">
        <f t="shared" si="243"/>
        <v>0</v>
      </c>
      <c r="O842" s="577">
        <f t="shared" si="250"/>
        <v>0</v>
      </c>
      <c r="P842" s="578">
        <f t="shared" si="251"/>
        <v>0</v>
      </c>
      <c r="Q842" s="765"/>
      <c r="R842" s="576">
        <f t="shared" si="247"/>
        <v>0</v>
      </c>
      <c r="S842" s="576">
        <f t="shared" si="247"/>
        <v>0</v>
      </c>
      <c r="T842" s="577">
        <f t="shared" si="248"/>
        <v>0</v>
      </c>
      <c r="U842" s="578">
        <f t="shared" si="249"/>
        <v>0</v>
      </c>
      <c r="V842" s="579"/>
      <c r="W842" s="566"/>
      <c r="X842" s="586" t="str">
        <f t="shared" si="252"/>
        <v/>
      </c>
      <c r="Y842" s="586" t="str">
        <f t="shared" si="189"/>
        <v/>
      </c>
      <c r="Z842" s="586" t="str">
        <f t="shared" si="239"/>
        <v/>
      </c>
    </row>
    <row r="843" spans="1:26" ht="12" hidden="1" thickBot="1" x14ac:dyDescent="0.25">
      <c r="A843" s="567">
        <v>704</v>
      </c>
      <c r="B843" s="644">
        <v>704</v>
      </c>
      <c r="C843" s="645" t="s">
        <v>458</v>
      </c>
      <c r="D843" s="422" t="s">
        <v>512</v>
      </c>
      <c r="E843" s="423"/>
      <c r="F843" s="424">
        <v>0</v>
      </c>
      <c r="G843" s="425"/>
      <c r="H843" s="651">
        <v>0</v>
      </c>
      <c r="I843" s="420">
        <v>44.54</v>
      </c>
      <c r="J843" s="420">
        <f t="shared" si="253"/>
        <v>44.54</v>
      </c>
      <c r="K843" s="421">
        <f t="shared" si="254"/>
        <v>52.92</v>
      </c>
      <c r="L843" s="647" t="s">
        <v>21</v>
      </c>
      <c r="M843" s="576"/>
      <c r="N843" s="576">
        <f t="shared" si="243"/>
        <v>0</v>
      </c>
      <c r="O843" s="577">
        <f t="shared" si="250"/>
        <v>0</v>
      </c>
      <c r="P843" s="578">
        <f t="shared" si="251"/>
        <v>0</v>
      </c>
      <c r="Q843" s="765"/>
      <c r="R843" s="576">
        <f t="shared" si="247"/>
        <v>0</v>
      </c>
      <c r="S843" s="576">
        <f t="shared" si="247"/>
        <v>0</v>
      </c>
      <c r="T843" s="577">
        <f t="shared" si="248"/>
        <v>0</v>
      </c>
      <c r="U843" s="578">
        <f t="shared" si="249"/>
        <v>0</v>
      </c>
      <c r="V843" s="579"/>
      <c r="W843" s="566"/>
      <c r="X843" s="586" t="str">
        <f t="shared" si="252"/>
        <v/>
      </c>
      <c r="Y843" s="586" t="str">
        <f t="shared" si="189"/>
        <v/>
      </c>
      <c r="Z843" s="586" t="str">
        <f t="shared" si="239"/>
        <v/>
      </c>
    </row>
    <row r="844" spans="1:26" ht="12" hidden="1" thickBot="1" x14ac:dyDescent="0.25">
      <c r="A844" s="567">
        <v>740</v>
      </c>
      <c r="B844" s="644">
        <v>740</v>
      </c>
      <c r="C844" s="645" t="s">
        <v>458</v>
      </c>
      <c r="D844" s="422" t="s">
        <v>1923</v>
      </c>
      <c r="E844" s="423"/>
      <c r="F844" s="424">
        <v>0</v>
      </c>
      <c r="G844" s="425"/>
      <c r="H844" s="651">
        <v>0</v>
      </c>
      <c r="I844" s="420">
        <v>54.82</v>
      </c>
      <c r="J844" s="420">
        <f t="shared" si="253"/>
        <v>54.82</v>
      </c>
      <c r="K844" s="421">
        <f t="shared" si="254"/>
        <v>65.13</v>
      </c>
      <c r="L844" s="647" t="s">
        <v>21</v>
      </c>
      <c r="M844" s="576"/>
      <c r="N844" s="576">
        <f t="shared" si="243"/>
        <v>0</v>
      </c>
      <c r="O844" s="577">
        <f t="shared" si="250"/>
        <v>0</v>
      </c>
      <c r="P844" s="578">
        <f t="shared" si="251"/>
        <v>0</v>
      </c>
      <c r="Q844" s="765"/>
      <c r="R844" s="576">
        <f t="shared" si="247"/>
        <v>0</v>
      </c>
      <c r="S844" s="576">
        <f t="shared" si="247"/>
        <v>0</v>
      </c>
      <c r="T844" s="577">
        <f t="shared" si="248"/>
        <v>0</v>
      </c>
      <c r="U844" s="578">
        <f t="shared" si="249"/>
        <v>0</v>
      </c>
      <c r="V844" s="579"/>
      <c r="W844" s="566"/>
      <c r="X844" s="586" t="str">
        <f t="shared" si="252"/>
        <v/>
      </c>
      <c r="Y844" s="586" t="str">
        <f t="shared" si="189"/>
        <v/>
      </c>
      <c r="Z844" s="586" t="str">
        <f t="shared" si="239"/>
        <v/>
      </c>
    </row>
    <row r="845" spans="1:26" ht="12" hidden="1" thickBot="1" x14ac:dyDescent="0.25">
      <c r="A845" s="567">
        <v>741</v>
      </c>
      <c r="B845" s="644">
        <v>741</v>
      </c>
      <c r="C845" s="645" t="s">
        <v>458</v>
      </c>
      <c r="D845" s="422" t="s">
        <v>1924</v>
      </c>
      <c r="E845" s="423"/>
      <c r="F845" s="424"/>
      <c r="G845" s="425"/>
      <c r="H845" s="651"/>
      <c r="I845" s="420">
        <v>149.38</v>
      </c>
      <c r="J845" s="420">
        <f t="shared" si="253"/>
        <v>149.38</v>
      </c>
      <c r="K845" s="421">
        <f t="shared" si="254"/>
        <v>177.48</v>
      </c>
      <c r="L845" s="647" t="s">
        <v>21</v>
      </c>
      <c r="M845" s="576"/>
      <c r="N845" s="576">
        <f t="shared" si="243"/>
        <v>0</v>
      </c>
      <c r="O845" s="577">
        <f t="shared" si="250"/>
        <v>0</v>
      </c>
      <c r="P845" s="578">
        <f t="shared" si="251"/>
        <v>0</v>
      </c>
      <c r="Q845" s="765"/>
      <c r="R845" s="576">
        <f t="shared" si="247"/>
        <v>0</v>
      </c>
      <c r="S845" s="576">
        <f t="shared" si="247"/>
        <v>0</v>
      </c>
      <c r="T845" s="577">
        <f t="shared" si="248"/>
        <v>0</v>
      </c>
      <c r="U845" s="578">
        <f t="shared" si="249"/>
        <v>0</v>
      </c>
      <c r="V845" s="579"/>
      <c r="W845" s="566"/>
      <c r="X845" s="586" t="str">
        <f t="shared" si="252"/>
        <v/>
      </c>
      <c r="Y845" s="586" t="str">
        <f t="shared" si="189"/>
        <v/>
      </c>
      <c r="Z845" s="586" t="str">
        <f t="shared" si="239"/>
        <v/>
      </c>
    </row>
    <row r="846" spans="1:26" ht="12" hidden="1" thickBot="1" x14ac:dyDescent="0.25">
      <c r="A846" s="567">
        <v>742</v>
      </c>
      <c r="B846" s="644">
        <v>742</v>
      </c>
      <c r="C846" s="645" t="s">
        <v>458</v>
      </c>
      <c r="D846" s="422" t="s">
        <v>1925</v>
      </c>
      <c r="E846" s="423"/>
      <c r="F846" s="424"/>
      <c r="G846" s="425"/>
      <c r="H846" s="651"/>
      <c r="I846" s="420">
        <v>45.23</v>
      </c>
      <c r="J846" s="420">
        <f t="shared" si="253"/>
        <v>45.23</v>
      </c>
      <c r="K846" s="421">
        <f t="shared" si="254"/>
        <v>53.74</v>
      </c>
      <c r="L846" s="647" t="s">
        <v>21</v>
      </c>
      <c r="M846" s="576"/>
      <c r="N846" s="576">
        <f t="shared" si="243"/>
        <v>0</v>
      </c>
      <c r="O846" s="577">
        <f t="shared" si="250"/>
        <v>0</v>
      </c>
      <c r="P846" s="578">
        <f t="shared" si="251"/>
        <v>0</v>
      </c>
      <c r="Q846" s="765"/>
      <c r="R846" s="576">
        <f t="shared" si="247"/>
        <v>0</v>
      </c>
      <c r="S846" s="576">
        <f t="shared" si="247"/>
        <v>0</v>
      </c>
      <c r="T846" s="577">
        <f t="shared" si="248"/>
        <v>0</v>
      </c>
      <c r="U846" s="578">
        <f t="shared" si="249"/>
        <v>0</v>
      </c>
      <c r="V846" s="579"/>
      <c r="W846" s="566"/>
      <c r="X846" s="586" t="str">
        <f t="shared" si="252"/>
        <v/>
      </c>
      <c r="Y846" s="586" t="str">
        <f t="shared" si="189"/>
        <v/>
      </c>
      <c r="Z846" s="586" t="str">
        <f t="shared" si="239"/>
        <v/>
      </c>
    </row>
    <row r="847" spans="1:26" ht="12" hidden="1" thickBot="1" x14ac:dyDescent="0.25">
      <c r="A847" s="567" t="s">
        <v>513</v>
      </c>
      <c r="B847" s="644" t="s">
        <v>513</v>
      </c>
      <c r="C847" s="645" t="s">
        <v>458</v>
      </c>
      <c r="D847" s="422" t="s">
        <v>1926</v>
      </c>
      <c r="E847" s="423"/>
      <c r="F847" s="424"/>
      <c r="G847" s="425"/>
      <c r="H847" s="651"/>
      <c r="I847" s="420">
        <v>18.16</v>
      </c>
      <c r="J847" s="420">
        <f t="shared" ref="J847:J861" si="255">IF(ISBLANK(I847),"",SUM(H847:I847))</f>
        <v>18.16</v>
      </c>
      <c r="K847" s="421">
        <f t="shared" si="254"/>
        <v>21.58</v>
      </c>
      <c r="L847" s="647" t="s">
        <v>21</v>
      </c>
      <c r="M847" s="576"/>
      <c r="N847" s="576">
        <f t="shared" si="243"/>
        <v>0</v>
      </c>
      <c r="O847" s="577">
        <f t="shared" si="250"/>
        <v>0</v>
      </c>
      <c r="P847" s="578">
        <f t="shared" si="251"/>
        <v>0</v>
      </c>
      <c r="Q847" s="765"/>
      <c r="R847" s="576">
        <f t="shared" si="247"/>
        <v>0</v>
      </c>
      <c r="S847" s="576">
        <f t="shared" si="247"/>
        <v>0</v>
      </c>
      <c r="T847" s="577">
        <f t="shared" si="248"/>
        <v>0</v>
      </c>
      <c r="U847" s="578">
        <f t="shared" si="249"/>
        <v>0</v>
      </c>
      <c r="V847" s="579"/>
      <c r="W847" s="566"/>
      <c r="X847" s="586" t="str">
        <f t="shared" si="252"/>
        <v/>
      </c>
      <c r="Y847" s="586" t="str">
        <f t="shared" si="189"/>
        <v/>
      </c>
      <c r="Z847" s="586" t="str">
        <f t="shared" si="239"/>
        <v/>
      </c>
    </row>
    <row r="848" spans="1:26" ht="12" hidden="1" thickBot="1" x14ac:dyDescent="0.25">
      <c r="A848" s="567">
        <v>743</v>
      </c>
      <c r="B848" s="644">
        <v>743</v>
      </c>
      <c r="C848" s="645" t="s">
        <v>458</v>
      </c>
      <c r="D848" s="422" t="s">
        <v>1927</v>
      </c>
      <c r="E848" s="423"/>
      <c r="F848" s="424"/>
      <c r="G848" s="425"/>
      <c r="H848" s="651"/>
      <c r="I848" s="420">
        <v>222.01</v>
      </c>
      <c r="J848" s="420">
        <f t="shared" si="255"/>
        <v>222.01</v>
      </c>
      <c r="K848" s="421">
        <f t="shared" si="254"/>
        <v>263.77</v>
      </c>
      <c r="L848" s="647" t="s">
        <v>21</v>
      </c>
      <c r="M848" s="576"/>
      <c r="N848" s="576">
        <f t="shared" si="243"/>
        <v>0</v>
      </c>
      <c r="O848" s="577">
        <f t="shared" si="250"/>
        <v>0</v>
      </c>
      <c r="P848" s="578">
        <f t="shared" si="251"/>
        <v>0</v>
      </c>
      <c r="Q848" s="765"/>
      <c r="R848" s="576">
        <f t="shared" si="247"/>
        <v>0</v>
      </c>
      <c r="S848" s="576">
        <f t="shared" si="247"/>
        <v>0</v>
      </c>
      <c r="T848" s="577">
        <f t="shared" si="248"/>
        <v>0</v>
      </c>
      <c r="U848" s="578">
        <f t="shared" si="249"/>
        <v>0</v>
      </c>
      <c r="V848" s="579"/>
      <c r="W848" s="566"/>
      <c r="X848" s="586" t="str">
        <f t="shared" si="252"/>
        <v/>
      </c>
      <c r="Y848" s="586" t="str">
        <f t="shared" si="189"/>
        <v/>
      </c>
      <c r="Z848" s="586" t="str">
        <f t="shared" si="239"/>
        <v/>
      </c>
    </row>
    <row r="849" spans="1:26" ht="12" hidden="1" thickBot="1" x14ac:dyDescent="0.25">
      <c r="A849" s="567" t="s">
        <v>514</v>
      </c>
      <c r="B849" s="644" t="s">
        <v>514</v>
      </c>
      <c r="C849" s="645" t="s">
        <v>458</v>
      </c>
      <c r="D849" s="422" t="s">
        <v>1928</v>
      </c>
      <c r="E849" s="423"/>
      <c r="F849" s="424"/>
      <c r="G849" s="425"/>
      <c r="H849" s="651"/>
      <c r="I849" s="420">
        <v>88.74</v>
      </c>
      <c r="J849" s="420">
        <f t="shared" si="255"/>
        <v>88.74</v>
      </c>
      <c r="K849" s="421">
        <f t="shared" si="254"/>
        <v>105.43</v>
      </c>
      <c r="L849" s="647" t="s">
        <v>21</v>
      </c>
      <c r="M849" s="576"/>
      <c r="N849" s="576">
        <f t="shared" si="243"/>
        <v>0</v>
      </c>
      <c r="O849" s="577">
        <f t="shared" si="250"/>
        <v>0</v>
      </c>
      <c r="P849" s="578">
        <f t="shared" si="251"/>
        <v>0</v>
      </c>
      <c r="Q849" s="765"/>
      <c r="R849" s="576">
        <f t="shared" si="247"/>
        <v>0</v>
      </c>
      <c r="S849" s="576">
        <f t="shared" si="247"/>
        <v>0</v>
      </c>
      <c r="T849" s="577">
        <f t="shared" si="248"/>
        <v>0</v>
      </c>
      <c r="U849" s="578">
        <f t="shared" si="249"/>
        <v>0</v>
      </c>
      <c r="V849" s="579"/>
      <c r="W849" s="566"/>
      <c r="X849" s="586" t="str">
        <f t="shared" si="252"/>
        <v/>
      </c>
      <c r="Y849" s="586" t="str">
        <f t="shared" si="189"/>
        <v/>
      </c>
      <c r="Z849" s="586" t="str">
        <f t="shared" si="239"/>
        <v/>
      </c>
    </row>
    <row r="850" spans="1:26" ht="12" hidden="1" thickBot="1" x14ac:dyDescent="0.25">
      <c r="A850" s="567">
        <v>744</v>
      </c>
      <c r="B850" s="644">
        <v>744</v>
      </c>
      <c r="C850" s="645" t="s">
        <v>458</v>
      </c>
      <c r="D850" s="422" t="s">
        <v>1929</v>
      </c>
      <c r="E850" s="423"/>
      <c r="F850" s="424"/>
      <c r="G850" s="425"/>
      <c r="H850" s="651"/>
      <c r="I850" s="420">
        <v>421.76</v>
      </c>
      <c r="J850" s="420">
        <f t="shared" si="255"/>
        <v>421.76</v>
      </c>
      <c r="K850" s="421">
        <f t="shared" si="254"/>
        <v>501.09</v>
      </c>
      <c r="L850" s="647" t="s">
        <v>21</v>
      </c>
      <c r="M850" s="576"/>
      <c r="N850" s="576">
        <f t="shared" si="243"/>
        <v>0</v>
      </c>
      <c r="O850" s="577">
        <f t="shared" si="250"/>
        <v>0</v>
      </c>
      <c r="P850" s="578">
        <f t="shared" si="251"/>
        <v>0</v>
      </c>
      <c r="Q850" s="765"/>
      <c r="R850" s="576">
        <f t="shared" si="247"/>
        <v>0</v>
      </c>
      <c r="S850" s="576">
        <f t="shared" si="247"/>
        <v>0</v>
      </c>
      <c r="T850" s="577">
        <f t="shared" si="248"/>
        <v>0</v>
      </c>
      <c r="U850" s="578">
        <f t="shared" si="249"/>
        <v>0</v>
      </c>
      <c r="V850" s="579"/>
      <c r="W850" s="566"/>
      <c r="X850" s="586" t="str">
        <f t="shared" si="252"/>
        <v/>
      </c>
      <c r="Y850" s="586" t="str">
        <f t="shared" si="189"/>
        <v/>
      </c>
      <c r="Z850" s="586" t="str">
        <f t="shared" si="239"/>
        <v/>
      </c>
    </row>
    <row r="851" spans="1:26" ht="23.25" hidden="1" thickBot="1" x14ac:dyDescent="0.25">
      <c r="A851" s="567" t="s">
        <v>515</v>
      </c>
      <c r="B851" s="644" t="s">
        <v>515</v>
      </c>
      <c r="C851" s="645" t="s">
        <v>458</v>
      </c>
      <c r="D851" s="422" t="s">
        <v>1930</v>
      </c>
      <c r="E851" s="423"/>
      <c r="F851" s="424"/>
      <c r="G851" s="425"/>
      <c r="H851" s="651"/>
      <c r="I851" s="420">
        <v>168.57</v>
      </c>
      <c r="J851" s="420">
        <f t="shared" si="255"/>
        <v>168.57</v>
      </c>
      <c r="K851" s="421">
        <f t="shared" si="254"/>
        <v>200.28</v>
      </c>
      <c r="L851" s="647" t="s">
        <v>21</v>
      </c>
      <c r="M851" s="576"/>
      <c r="N851" s="576">
        <f t="shared" si="243"/>
        <v>0</v>
      </c>
      <c r="O851" s="577">
        <f t="shared" si="250"/>
        <v>0</v>
      </c>
      <c r="P851" s="578">
        <f t="shared" si="251"/>
        <v>0</v>
      </c>
      <c r="Q851" s="765"/>
      <c r="R851" s="576">
        <f t="shared" si="247"/>
        <v>0</v>
      </c>
      <c r="S851" s="576">
        <f t="shared" si="247"/>
        <v>0</v>
      </c>
      <c r="T851" s="577">
        <f t="shared" si="248"/>
        <v>0</v>
      </c>
      <c r="U851" s="578">
        <f t="shared" si="249"/>
        <v>0</v>
      </c>
      <c r="V851" s="579"/>
      <c r="W851" s="566"/>
      <c r="X851" s="586" t="str">
        <f t="shared" si="252"/>
        <v/>
      </c>
      <c r="Y851" s="586" t="str">
        <f t="shared" si="189"/>
        <v/>
      </c>
      <c r="Z851" s="586" t="str">
        <f t="shared" si="239"/>
        <v/>
      </c>
    </row>
    <row r="852" spans="1:26" ht="12" hidden="1" thickBot="1" x14ac:dyDescent="0.25">
      <c r="A852" s="567">
        <v>745</v>
      </c>
      <c r="B852" s="644">
        <v>745</v>
      </c>
      <c r="C852" s="645" t="s">
        <v>458</v>
      </c>
      <c r="D852" s="422" t="s">
        <v>1931</v>
      </c>
      <c r="E852" s="423"/>
      <c r="F852" s="424"/>
      <c r="G852" s="425"/>
      <c r="H852" s="651"/>
      <c r="I852" s="420">
        <v>481.03</v>
      </c>
      <c r="J852" s="420">
        <f t="shared" si="255"/>
        <v>481.03</v>
      </c>
      <c r="K852" s="421">
        <f t="shared" si="254"/>
        <v>571.51</v>
      </c>
      <c r="L852" s="647" t="s">
        <v>21</v>
      </c>
      <c r="M852" s="576"/>
      <c r="N852" s="576">
        <f t="shared" ref="N852:N915" si="256">IF(M852=0,0,K852)</f>
        <v>0</v>
      </c>
      <c r="O852" s="577">
        <f t="shared" si="250"/>
        <v>0</v>
      </c>
      <c r="P852" s="578">
        <f t="shared" si="251"/>
        <v>0</v>
      </c>
      <c r="Q852" s="765"/>
      <c r="R852" s="576">
        <f t="shared" si="247"/>
        <v>0</v>
      </c>
      <c r="S852" s="576">
        <f t="shared" si="247"/>
        <v>0</v>
      </c>
      <c r="T852" s="577">
        <f t="shared" si="248"/>
        <v>0</v>
      </c>
      <c r="U852" s="578">
        <f t="shared" si="249"/>
        <v>0</v>
      </c>
      <c r="V852" s="579"/>
      <c r="W852" s="566"/>
      <c r="X852" s="586" t="str">
        <f t="shared" si="252"/>
        <v/>
      </c>
      <c r="Y852" s="586" t="str">
        <f t="shared" si="189"/>
        <v/>
      </c>
      <c r="Z852" s="586" t="str">
        <f t="shared" si="239"/>
        <v/>
      </c>
    </row>
    <row r="853" spans="1:26" ht="12" hidden="1" thickBot="1" x14ac:dyDescent="0.25">
      <c r="A853" s="567" t="s">
        <v>516</v>
      </c>
      <c r="B853" s="644" t="s">
        <v>516</v>
      </c>
      <c r="C853" s="645" t="s">
        <v>458</v>
      </c>
      <c r="D853" s="422" t="s">
        <v>1932</v>
      </c>
      <c r="E853" s="423"/>
      <c r="F853" s="424"/>
      <c r="G853" s="425"/>
      <c r="H853" s="651"/>
      <c r="I853" s="420">
        <v>192.55</v>
      </c>
      <c r="J853" s="420">
        <f t="shared" si="255"/>
        <v>192.55</v>
      </c>
      <c r="K853" s="421">
        <f t="shared" si="254"/>
        <v>228.77</v>
      </c>
      <c r="L853" s="647" t="s">
        <v>21</v>
      </c>
      <c r="M853" s="576"/>
      <c r="N853" s="576">
        <f t="shared" si="256"/>
        <v>0</v>
      </c>
      <c r="O853" s="577">
        <f t="shared" si="250"/>
        <v>0</v>
      </c>
      <c r="P853" s="578">
        <f t="shared" si="251"/>
        <v>0</v>
      </c>
      <c r="Q853" s="765"/>
      <c r="R853" s="576">
        <f t="shared" si="247"/>
        <v>0</v>
      </c>
      <c r="S853" s="576">
        <f t="shared" si="247"/>
        <v>0</v>
      </c>
      <c r="T853" s="577">
        <f t="shared" si="248"/>
        <v>0</v>
      </c>
      <c r="U853" s="578">
        <f t="shared" si="249"/>
        <v>0</v>
      </c>
      <c r="V853" s="579"/>
      <c r="W853" s="566"/>
      <c r="X853" s="586" t="str">
        <f t="shared" si="252"/>
        <v/>
      </c>
      <c r="Y853" s="586" t="str">
        <f t="shared" si="189"/>
        <v/>
      </c>
      <c r="Z853" s="586" t="str">
        <f t="shared" si="239"/>
        <v/>
      </c>
    </row>
    <row r="854" spans="1:26" ht="12" hidden="1" thickBot="1" x14ac:dyDescent="0.25">
      <c r="A854" s="567">
        <v>746</v>
      </c>
      <c r="B854" s="644">
        <v>746</v>
      </c>
      <c r="C854" s="645" t="s">
        <v>458</v>
      </c>
      <c r="D854" s="422" t="s">
        <v>1933</v>
      </c>
      <c r="E854" s="423"/>
      <c r="F854" s="424"/>
      <c r="G854" s="425"/>
      <c r="H854" s="651"/>
      <c r="I854" s="420">
        <v>577.30999999999995</v>
      </c>
      <c r="J854" s="420">
        <f t="shared" si="255"/>
        <v>577.30999999999995</v>
      </c>
      <c r="K854" s="421">
        <f t="shared" si="254"/>
        <v>685.9</v>
      </c>
      <c r="L854" s="647" t="s">
        <v>21</v>
      </c>
      <c r="M854" s="576"/>
      <c r="N854" s="576">
        <f t="shared" si="256"/>
        <v>0</v>
      </c>
      <c r="O854" s="577">
        <f t="shared" si="250"/>
        <v>0</v>
      </c>
      <c r="P854" s="578">
        <f t="shared" si="251"/>
        <v>0</v>
      </c>
      <c r="Q854" s="765"/>
      <c r="R854" s="576">
        <f t="shared" si="247"/>
        <v>0</v>
      </c>
      <c r="S854" s="576">
        <f t="shared" si="247"/>
        <v>0</v>
      </c>
      <c r="T854" s="577">
        <f t="shared" si="248"/>
        <v>0</v>
      </c>
      <c r="U854" s="578">
        <f t="shared" si="249"/>
        <v>0</v>
      </c>
      <c r="V854" s="579"/>
      <c r="W854" s="566"/>
      <c r="X854" s="586" t="str">
        <f t="shared" si="252"/>
        <v/>
      </c>
      <c r="Y854" s="586" t="str">
        <f t="shared" si="189"/>
        <v/>
      </c>
      <c r="Z854" s="586" t="str">
        <f t="shared" si="239"/>
        <v/>
      </c>
    </row>
    <row r="855" spans="1:26" ht="12" hidden="1" thickBot="1" x14ac:dyDescent="0.25">
      <c r="A855" s="567" t="s">
        <v>517</v>
      </c>
      <c r="B855" s="644" t="s">
        <v>517</v>
      </c>
      <c r="C855" s="645" t="s">
        <v>458</v>
      </c>
      <c r="D855" s="422" t="s">
        <v>1934</v>
      </c>
      <c r="E855" s="423"/>
      <c r="F855" s="424"/>
      <c r="G855" s="425"/>
      <c r="H855" s="651"/>
      <c r="I855" s="420">
        <v>230.92</v>
      </c>
      <c r="J855" s="420">
        <f t="shared" si="255"/>
        <v>230.92</v>
      </c>
      <c r="K855" s="421">
        <f t="shared" si="254"/>
        <v>274.36</v>
      </c>
      <c r="L855" s="647" t="s">
        <v>21</v>
      </c>
      <c r="M855" s="576"/>
      <c r="N855" s="576">
        <f t="shared" si="256"/>
        <v>0</v>
      </c>
      <c r="O855" s="577">
        <f t="shared" si="250"/>
        <v>0</v>
      </c>
      <c r="P855" s="578">
        <f t="shared" si="251"/>
        <v>0</v>
      </c>
      <c r="Q855" s="765"/>
      <c r="R855" s="576">
        <f t="shared" si="247"/>
        <v>0</v>
      </c>
      <c r="S855" s="576">
        <f t="shared" si="247"/>
        <v>0</v>
      </c>
      <c r="T855" s="577">
        <f t="shared" si="248"/>
        <v>0</v>
      </c>
      <c r="U855" s="578">
        <f t="shared" si="249"/>
        <v>0</v>
      </c>
      <c r="V855" s="579"/>
      <c r="W855" s="566"/>
      <c r="X855" s="586" t="str">
        <f t="shared" si="252"/>
        <v/>
      </c>
      <c r="Y855" s="586" t="str">
        <f t="shared" si="189"/>
        <v/>
      </c>
      <c r="Z855" s="586" t="str">
        <f t="shared" si="239"/>
        <v/>
      </c>
    </row>
    <row r="856" spans="1:26" ht="12" hidden="1" thickBot="1" x14ac:dyDescent="0.25">
      <c r="A856" s="567">
        <v>747</v>
      </c>
      <c r="B856" s="644">
        <v>747</v>
      </c>
      <c r="C856" s="645" t="s">
        <v>458</v>
      </c>
      <c r="D856" s="422" t="s">
        <v>1935</v>
      </c>
      <c r="E856" s="423"/>
      <c r="F856" s="424"/>
      <c r="G856" s="425"/>
      <c r="H856" s="651"/>
      <c r="I856" s="420">
        <v>867.84</v>
      </c>
      <c r="J856" s="420">
        <f t="shared" si="255"/>
        <v>867.84</v>
      </c>
      <c r="K856" s="421">
        <f t="shared" si="254"/>
        <v>1031.08</v>
      </c>
      <c r="L856" s="647" t="s">
        <v>21</v>
      </c>
      <c r="M856" s="576"/>
      <c r="N856" s="576">
        <f t="shared" si="256"/>
        <v>0</v>
      </c>
      <c r="O856" s="577">
        <f t="shared" si="250"/>
        <v>0</v>
      </c>
      <c r="P856" s="578">
        <f t="shared" si="251"/>
        <v>0</v>
      </c>
      <c r="Q856" s="765"/>
      <c r="R856" s="576">
        <f t="shared" si="247"/>
        <v>0</v>
      </c>
      <c r="S856" s="576">
        <f t="shared" si="247"/>
        <v>0</v>
      </c>
      <c r="T856" s="577">
        <f t="shared" si="248"/>
        <v>0</v>
      </c>
      <c r="U856" s="578">
        <f t="shared" si="249"/>
        <v>0</v>
      </c>
      <c r="V856" s="579"/>
      <c r="W856" s="566"/>
      <c r="X856" s="586" t="str">
        <f t="shared" si="252"/>
        <v/>
      </c>
      <c r="Y856" s="586" t="str">
        <f t="shared" si="189"/>
        <v/>
      </c>
      <c r="Z856" s="586" t="str">
        <f t="shared" si="239"/>
        <v/>
      </c>
    </row>
    <row r="857" spans="1:26" ht="12" hidden="1" thickBot="1" x14ac:dyDescent="0.25">
      <c r="A857" s="567" t="s">
        <v>518</v>
      </c>
      <c r="B857" s="644" t="s">
        <v>518</v>
      </c>
      <c r="C857" s="645" t="s">
        <v>458</v>
      </c>
      <c r="D857" s="422" t="s">
        <v>1936</v>
      </c>
      <c r="E857" s="423"/>
      <c r="F857" s="424"/>
      <c r="G857" s="425"/>
      <c r="H857" s="651"/>
      <c r="I857" s="420">
        <v>347.07</v>
      </c>
      <c r="J857" s="420">
        <f t="shared" si="255"/>
        <v>347.07</v>
      </c>
      <c r="K857" s="421">
        <f t="shared" si="254"/>
        <v>412.35</v>
      </c>
      <c r="L857" s="647" t="s">
        <v>21</v>
      </c>
      <c r="M857" s="576"/>
      <c r="N857" s="576">
        <f t="shared" si="256"/>
        <v>0</v>
      </c>
      <c r="O857" s="577">
        <f t="shared" si="250"/>
        <v>0</v>
      </c>
      <c r="P857" s="578">
        <f t="shared" si="251"/>
        <v>0</v>
      </c>
      <c r="Q857" s="765"/>
      <c r="R857" s="576">
        <f t="shared" si="247"/>
        <v>0</v>
      </c>
      <c r="S857" s="576">
        <f t="shared" si="247"/>
        <v>0</v>
      </c>
      <c r="T857" s="577">
        <f t="shared" si="248"/>
        <v>0</v>
      </c>
      <c r="U857" s="578">
        <f t="shared" si="249"/>
        <v>0</v>
      </c>
      <c r="V857" s="579"/>
      <c r="W857" s="566"/>
      <c r="X857" s="586" t="str">
        <f t="shared" si="252"/>
        <v/>
      </c>
      <c r="Y857" s="586" t="str">
        <f t="shared" si="189"/>
        <v/>
      </c>
      <c r="Z857" s="586" t="str">
        <f t="shared" si="239"/>
        <v/>
      </c>
    </row>
    <row r="858" spans="1:26" ht="12" hidden="1" thickBot="1" x14ac:dyDescent="0.25">
      <c r="A858" s="567">
        <v>748</v>
      </c>
      <c r="B858" s="644">
        <v>748</v>
      </c>
      <c r="C858" s="645" t="s">
        <v>458</v>
      </c>
      <c r="D858" s="422" t="s">
        <v>1937</v>
      </c>
      <c r="E858" s="423"/>
      <c r="F858" s="424"/>
      <c r="G858" s="425"/>
      <c r="H858" s="651"/>
      <c r="I858" s="420">
        <v>69.89</v>
      </c>
      <c r="J858" s="420">
        <f t="shared" si="255"/>
        <v>69.89</v>
      </c>
      <c r="K858" s="421">
        <f t="shared" si="254"/>
        <v>83.04</v>
      </c>
      <c r="L858" s="647" t="s">
        <v>21</v>
      </c>
      <c r="M858" s="576"/>
      <c r="N858" s="576">
        <f t="shared" si="256"/>
        <v>0</v>
      </c>
      <c r="O858" s="577">
        <f t="shared" si="250"/>
        <v>0</v>
      </c>
      <c r="P858" s="578">
        <f t="shared" si="251"/>
        <v>0</v>
      </c>
      <c r="Q858" s="765"/>
      <c r="R858" s="576">
        <f t="shared" si="247"/>
        <v>0</v>
      </c>
      <c r="S858" s="576">
        <f t="shared" si="247"/>
        <v>0</v>
      </c>
      <c r="T858" s="577">
        <f t="shared" si="248"/>
        <v>0</v>
      </c>
      <c r="U858" s="578">
        <f t="shared" si="249"/>
        <v>0</v>
      </c>
      <c r="V858" s="579"/>
      <c r="W858" s="566"/>
      <c r="X858" s="586" t="str">
        <f t="shared" si="252"/>
        <v/>
      </c>
      <c r="Y858" s="586" t="str">
        <f t="shared" si="189"/>
        <v/>
      </c>
      <c r="Z858" s="586" t="str">
        <f t="shared" si="239"/>
        <v/>
      </c>
    </row>
    <row r="859" spans="1:26" ht="12" hidden="1" thickBot="1" x14ac:dyDescent="0.25">
      <c r="A859" s="567" t="s">
        <v>519</v>
      </c>
      <c r="B859" s="644" t="s">
        <v>519</v>
      </c>
      <c r="C859" s="645" t="s">
        <v>458</v>
      </c>
      <c r="D859" s="422" t="s">
        <v>1938</v>
      </c>
      <c r="E859" s="423"/>
      <c r="F859" s="424"/>
      <c r="G859" s="425"/>
      <c r="H859" s="651"/>
      <c r="I859" s="420">
        <v>28.09</v>
      </c>
      <c r="J859" s="420">
        <f t="shared" si="255"/>
        <v>28.09</v>
      </c>
      <c r="K859" s="421">
        <f t="shared" si="254"/>
        <v>33.369999999999997</v>
      </c>
      <c r="L859" s="647" t="s">
        <v>21</v>
      </c>
      <c r="M859" s="576"/>
      <c r="N859" s="576">
        <f t="shared" si="256"/>
        <v>0</v>
      </c>
      <c r="O859" s="577">
        <f t="shared" si="250"/>
        <v>0</v>
      </c>
      <c r="P859" s="578">
        <f t="shared" si="251"/>
        <v>0</v>
      </c>
      <c r="Q859" s="765"/>
      <c r="R859" s="576">
        <f t="shared" si="247"/>
        <v>0</v>
      </c>
      <c r="S859" s="576">
        <f t="shared" si="247"/>
        <v>0</v>
      </c>
      <c r="T859" s="577">
        <f t="shared" si="248"/>
        <v>0</v>
      </c>
      <c r="U859" s="578">
        <f t="shared" si="249"/>
        <v>0</v>
      </c>
      <c r="V859" s="579"/>
      <c r="W859" s="566"/>
      <c r="X859" s="586" t="str">
        <f t="shared" si="252"/>
        <v/>
      </c>
      <c r="Y859" s="586" t="str">
        <f t="shared" si="189"/>
        <v/>
      </c>
      <c r="Z859" s="586" t="str">
        <f t="shared" si="239"/>
        <v/>
      </c>
    </row>
    <row r="860" spans="1:26" ht="12" hidden="1" thickBot="1" x14ac:dyDescent="0.25">
      <c r="A860" s="567">
        <v>759</v>
      </c>
      <c r="B860" s="644">
        <v>759</v>
      </c>
      <c r="C860" s="645" t="s">
        <v>458</v>
      </c>
      <c r="D860" s="422" t="s">
        <v>1939</v>
      </c>
      <c r="E860" s="423"/>
      <c r="F860" s="424"/>
      <c r="G860" s="425"/>
      <c r="H860" s="651"/>
      <c r="I860" s="420">
        <v>536.12</v>
      </c>
      <c r="J860" s="420">
        <f t="shared" si="255"/>
        <v>536.12</v>
      </c>
      <c r="K860" s="421">
        <f t="shared" si="254"/>
        <v>636.96</v>
      </c>
      <c r="L860" s="647" t="s">
        <v>21</v>
      </c>
      <c r="M860" s="576"/>
      <c r="N860" s="576">
        <f t="shared" si="256"/>
        <v>0</v>
      </c>
      <c r="O860" s="577">
        <f t="shared" si="250"/>
        <v>0</v>
      </c>
      <c r="P860" s="578">
        <f t="shared" si="251"/>
        <v>0</v>
      </c>
      <c r="Q860" s="765"/>
      <c r="R860" s="576">
        <f t="shared" si="247"/>
        <v>0</v>
      </c>
      <c r="S860" s="576">
        <f t="shared" si="247"/>
        <v>0</v>
      </c>
      <c r="T860" s="577">
        <f t="shared" si="248"/>
        <v>0</v>
      </c>
      <c r="U860" s="578">
        <f t="shared" si="249"/>
        <v>0</v>
      </c>
      <c r="V860" s="579"/>
      <c r="W860" s="566"/>
      <c r="X860" s="586" t="str">
        <f t="shared" si="252"/>
        <v/>
      </c>
      <c r="Y860" s="586" t="str">
        <f t="shared" si="189"/>
        <v/>
      </c>
      <c r="Z860" s="586" t="str">
        <f t="shared" si="239"/>
        <v/>
      </c>
    </row>
    <row r="861" spans="1:26" ht="12" hidden="1" thickBot="1" x14ac:dyDescent="0.25">
      <c r="A861" s="567" t="s">
        <v>520</v>
      </c>
      <c r="B861" s="644" t="s">
        <v>520</v>
      </c>
      <c r="C861" s="645" t="s">
        <v>458</v>
      </c>
      <c r="D861" s="422" t="s">
        <v>1940</v>
      </c>
      <c r="E861" s="423"/>
      <c r="F861" s="424"/>
      <c r="G861" s="425"/>
      <c r="H861" s="651"/>
      <c r="I861" s="420">
        <v>70.239999999999995</v>
      </c>
      <c r="J861" s="420">
        <f t="shared" si="255"/>
        <v>70.239999999999995</v>
      </c>
      <c r="K861" s="421">
        <f t="shared" si="254"/>
        <v>83.45</v>
      </c>
      <c r="L861" s="647" t="s">
        <v>21</v>
      </c>
      <c r="M861" s="576"/>
      <c r="N861" s="576">
        <f t="shared" si="256"/>
        <v>0</v>
      </c>
      <c r="O861" s="577">
        <f t="shared" si="250"/>
        <v>0</v>
      </c>
      <c r="P861" s="578">
        <f t="shared" si="251"/>
        <v>0</v>
      </c>
      <c r="Q861" s="765"/>
      <c r="R861" s="576">
        <f t="shared" si="247"/>
        <v>0</v>
      </c>
      <c r="S861" s="576">
        <f t="shared" si="247"/>
        <v>0</v>
      </c>
      <c r="T861" s="577">
        <f t="shared" si="248"/>
        <v>0</v>
      </c>
      <c r="U861" s="578">
        <f t="shared" si="249"/>
        <v>0</v>
      </c>
      <c r="V861" s="579"/>
      <c r="W861" s="566"/>
      <c r="X861" s="586" t="str">
        <f t="shared" si="252"/>
        <v/>
      </c>
      <c r="Y861" s="586" t="str">
        <f t="shared" si="189"/>
        <v/>
      </c>
      <c r="Z861" s="586" t="str">
        <f t="shared" si="239"/>
        <v/>
      </c>
    </row>
    <row r="862" spans="1:26" ht="12" hidden="1" thickBot="1" x14ac:dyDescent="0.25">
      <c r="A862" s="567">
        <v>751</v>
      </c>
      <c r="B862" s="644">
        <v>751</v>
      </c>
      <c r="C862" s="645" t="s">
        <v>458</v>
      </c>
      <c r="D862" s="422" t="s">
        <v>1941</v>
      </c>
      <c r="E862" s="423"/>
      <c r="F862" s="424"/>
      <c r="G862" s="425"/>
      <c r="H862" s="651"/>
      <c r="I862" s="420">
        <v>11.31</v>
      </c>
      <c r="J862" s="420">
        <f t="shared" ref="J862:J888" si="257">IF(ISBLANK(I862),"",SUM(H862:I862))</f>
        <v>11.31</v>
      </c>
      <c r="K862" s="421">
        <f t="shared" si="254"/>
        <v>13.44</v>
      </c>
      <c r="L862" s="647" t="s">
        <v>21</v>
      </c>
      <c r="M862" s="576"/>
      <c r="N862" s="576">
        <f t="shared" si="256"/>
        <v>0</v>
      </c>
      <c r="O862" s="577">
        <f t="shared" si="250"/>
        <v>0</v>
      </c>
      <c r="P862" s="578">
        <f t="shared" si="251"/>
        <v>0</v>
      </c>
      <c r="Q862" s="765"/>
      <c r="R862" s="576">
        <f t="shared" si="247"/>
        <v>0</v>
      </c>
      <c r="S862" s="576">
        <f t="shared" si="247"/>
        <v>0</v>
      </c>
      <c r="T862" s="577">
        <f t="shared" si="248"/>
        <v>0</v>
      </c>
      <c r="U862" s="578">
        <f t="shared" si="249"/>
        <v>0</v>
      </c>
      <c r="V862" s="579"/>
      <c r="W862" s="566"/>
      <c r="X862" s="586" t="str">
        <f t="shared" si="252"/>
        <v/>
      </c>
      <c r="Y862" s="586" t="str">
        <f t="shared" si="189"/>
        <v/>
      </c>
      <c r="Z862" s="586" t="str">
        <f t="shared" si="239"/>
        <v/>
      </c>
    </row>
    <row r="863" spans="1:26" ht="12" hidden="1" thickBot="1" x14ac:dyDescent="0.25">
      <c r="A863" s="567" t="s">
        <v>521</v>
      </c>
      <c r="B863" s="644" t="s">
        <v>521</v>
      </c>
      <c r="C863" s="645" t="s">
        <v>458</v>
      </c>
      <c r="D863" s="422" t="s">
        <v>1942</v>
      </c>
      <c r="E863" s="423"/>
      <c r="F863" s="424"/>
      <c r="G863" s="425"/>
      <c r="H863" s="651"/>
      <c r="I863" s="420">
        <v>4.45</v>
      </c>
      <c r="J863" s="420">
        <f t="shared" si="257"/>
        <v>4.45</v>
      </c>
      <c r="K863" s="421">
        <f t="shared" si="254"/>
        <v>5.29</v>
      </c>
      <c r="L863" s="647" t="s">
        <v>21</v>
      </c>
      <c r="M863" s="576"/>
      <c r="N863" s="576">
        <f t="shared" si="256"/>
        <v>0</v>
      </c>
      <c r="O863" s="577">
        <f t="shared" si="250"/>
        <v>0</v>
      </c>
      <c r="P863" s="578">
        <f t="shared" si="251"/>
        <v>0</v>
      </c>
      <c r="Q863" s="765"/>
      <c r="R863" s="576">
        <f t="shared" si="247"/>
        <v>0</v>
      </c>
      <c r="S863" s="576">
        <f t="shared" si="247"/>
        <v>0</v>
      </c>
      <c r="T863" s="577">
        <f t="shared" si="248"/>
        <v>0</v>
      </c>
      <c r="U863" s="578">
        <f t="shared" si="249"/>
        <v>0</v>
      </c>
      <c r="V863" s="579"/>
      <c r="W863" s="566"/>
      <c r="X863" s="586" t="str">
        <f t="shared" si="252"/>
        <v/>
      </c>
      <c r="Y863" s="586" t="str">
        <f t="shared" si="189"/>
        <v/>
      </c>
      <c r="Z863" s="586" t="str">
        <f t="shared" si="239"/>
        <v/>
      </c>
    </row>
    <row r="864" spans="1:26" ht="12" hidden="1" thickBot="1" x14ac:dyDescent="0.25">
      <c r="A864" s="567">
        <v>752</v>
      </c>
      <c r="B864" s="644">
        <v>752</v>
      </c>
      <c r="C864" s="645" t="s">
        <v>458</v>
      </c>
      <c r="D864" s="422" t="s">
        <v>1943</v>
      </c>
      <c r="E864" s="423"/>
      <c r="F864" s="424"/>
      <c r="G864" s="425"/>
      <c r="H864" s="651"/>
      <c r="I864" s="420">
        <v>28.78</v>
      </c>
      <c r="J864" s="420">
        <f t="shared" si="257"/>
        <v>28.78</v>
      </c>
      <c r="K864" s="421">
        <f t="shared" si="254"/>
        <v>34.19</v>
      </c>
      <c r="L864" s="647" t="s">
        <v>21</v>
      </c>
      <c r="M864" s="576"/>
      <c r="N864" s="576">
        <f t="shared" si="256"/>
        <v>0</v>
      </c>
      <c r="O864" s="577">
        <f t="shared" si="250"/>
        <v>0</v>
      </c>
      <c r="P864" s="578">
        <f t="shared" si="251"/>
        <v>0</v>
      </c>
      <c r="Q864" s="765"/>
      <c r="R864" s="576">
        <f t="shared" si="247"/>
        <v>0</v>
      </c>
      <c r="S864" s="576">
        <f t="shared" si="247"/>
        <v>0</v>
      </c>
      <c r="T864" s="577">
        <f t="shared" si="248"/>
        <v>0</v>
      </c>
      <c r="U864" s="578">
        <f t="shared" si="249"/>
        <v>0</v>
      </c>
      <c r="V864" s="579"/>
      <c r="W864" s="566"/>
      <c r="X864" s="586" t="str">
        <f t="shared" si="252"/>
        <v/>
      </c>
      <c r="Y864" s="586" t="str">
        <f t="shared" si="189"/>
        <v/>
      </c>
      <c r="Z864" s="586" t="str">
        <f t="shared" si="239"/>
        <v/>
      </c>
    </row>
    <row r="865" spans="1:26" ht="12" hidden="1" thickBot="1" x14ac:dyDescent="0.25">
      <c r="A865" s="567" t="s">
        <v>522</v>
      </c>
      <c r="B865" s="644" t="s">
        <v>522</v>
      </c>
      <c r="C865" s="645" t="s">
        <v>458</v>
      </c>
      <c r="D865" s="422" t="s">
        <v>1944</v>
      </c>
      <c r="E865" s="423"/>
      <c r="F865" s="424"/>
      <c r="G865" s="425"/>
      <c r="H865" s="651"/>
      <c r="I865" s="420">
        <v>28.78</v>
      </c>
      <c r="J865" s="420">
        <f t="shared" si="257"/>
        <v>28.78</v>
      </c>
      <c r="K865" s="421">
        <f t="shared" si="254"/>
        <v>34.19</v>
      </c>
      <c r="L865" s="647" t="s">
        <v>21</v>
      </c>
      <c r="M865" s="576"/>
      <c r="N865" s="576">
        <f t="shared" si="256"/>
        <v>0</v>
      </c>
      <c r="O865" s="577">
        <f t="shared" si="250"/>
        <v>0</v>
      </c>
      <c r="P865" s="578">
        <f t="shared" si="251"/>
        <v>0</v>
      </c>
      <c r="Q865" s="765"/>
      <c r="R865" s="576">
        <f t="shared" si="247"/>
        <v>0</v>
      </c>
      <c r="S865" s="576">
        <f t="shared" si="247"/>
        <v>0</v>
      </c>
      <c r="T865" s="577">
        <f t="shared" si="248"/>
        <v>0</v>
      </c>
      <c r="U865" s="578">
        <f t="shared" si="249"/>
        <v>0</v>
      </c>
      <c r="V865" s="579"/>
      <c r="W865" s="566"/>
      <c r="X865" s="586" t="str">
        <f t="shared" si="252"/>
        <v/>
      </c>
      <c r="Y865" s="586" t="str">
        <f t="shared" si="189"/>
        <v/>
      </c>
      <c r="Z865" s="586" t="str">
        <f t="shared" si="239"/>
        <v/>
      </c>
    </row>
    <row r="866" spans="1:26" ht="12" hidden="1" thickBot="1" x14ac:dyDescent="0.25">
      <c r="A866" s="567">
        <v>753</v>
      </c>
      <c r="B866" s="644">
        <v>753</v>
      </c>
      <c r="C866" s="645" t="s">
        <v>458</v>
      </c>
      <c r="D866" s="422" t="s">
        <v>1945</v>
      </c>
      <c r="E866" s="423"/>
      <c r="F866" s="424"/>
      <c r="G866" s="425"/>
      <c r="H866" s="651"/>
      <c r="I866" s="420">
        <v>62.7</v>
      </c>
      <c r="J866" s="420">
        <f t="shared" si="257"/>
        <v>62.7</v>
      </c>
      <c r="K866" s="421">
        <f t="shared" si="254"/>
        <v>74.489999999999995</v>
      </c>
      <c r="L866" s="647" t="s">
        <v>21</v>
      </c>
      <c r="M866" s="576"/>
      <c r="N866" s="576">
        <f t="shared" si="256"/>
        <v>0</v>
      </c>
      <c r="O866" s="577">
        <f t="shared" si="250"/>
        <v>0</v>
      </c>
      <c r="P866" s="578">
        <f t="shared" si="251"/>
        <v>0</v>
      </c>
      <c r="Q866" s="765"/>
      <c r="R866" s="576">
        <f t="shared" si="247"/>
        <v>0</v>
      </c>
      <c r="S866" s="576">
        <f t="shared" si="247"/>
        <v>0</v>
      </c>
      <c r="T866" s="577">
        <f t="shared" si="248"/>
        <v>0</v>
      </c>
      <c r="U866" s="578">
        <f t="shared" si="249"/>
        <v>0</v>
      </c>
      <c r="V866" s="579"/>
      <c r="W866" s="566"/>
      <c r="X866" s="586" t="str">
        <f t="shared" si="252"/>
        <v/>
      </c>
      <c r="Y866" s="586" t="str">
        <f t="shared" si="189"/>
        <v/>
      </c>
      <c r="Z866" s="586" t="str">
        <f t="shared" si="239"/>
        <v/>
      </c>
    </row>
    <row r="867" spans="1:26" ht="12" hidden="1" thickBot="1" x14ac:dyDescent="0.25">
      <c r="A867" s="567" t="s">
        <v>523</v>
      </c>
      <c r="B867" s="644" t="s">
        <v>523</v>
      </c>
      <c r="C867" s="645" t="s">
        <v>458</v>
      </c>
      <c r="D867" s="422" t="s">
        <v>1946</v>
      </c>
      <c r="E867" s="423"/>
      <c r="F867" s="424"/>
      <c r="G867" s="425"/>
      <c r="H867" s="651"/>
      <c r="I867" s="420">
        <v>62.7</v>
      </c>
      <c r="J867" s="420">
        <f t="shared" si="257"/>
        <v>62.7</v>
      </c>
      <c r="K867" s="421">
        <f t="shared" si="254"/>
        <v>74.489999999999995</v>
      </c>
      <c r="L867" s="647" t="s">
        <v>21</v>
      </c>
      <c r="M867" s="576"/>
      <c r="N867" s="576">
        <f t="shared" si="256"/>
        <v>0</v>
      </c>
      <c r="O867" s="577">
        <f t="shared" si="250"/>
        <v>0</v>
      </c>
      <c r="P867" s="578">
        <f t="shared" si="251"/>
        <v>0</v>
      </c>
      <c r="Q867" s="765"/>
      <c r="R867" s="576">
        <f t="shared" si="247"/>
        <v>0</v>
      </c>
      <c r="S867" s="576">
        <f t="shared" si="247"/>
        <v>0</v>
      </c>
      <c r="T867" s="577">
        <f t="shared" si="248"/>
        <v>0</v>
      </c>
      <c r="U867" s="578">
        <f t="shared" si="249"/>
        <v>0</v>
      </c>
      <c r="V867" s="579"/>
      <c r="W867" s="566"/>
      <c r="X867" s="586" t="str">
        <f t="shared" si="252"/>
        <v/>
      </c>
      <c r="Y867" s="586" t="str">
        <f t="shared" ref="Y867:Y930" si="258">IF(W867="X","x",IF(W867="y","x",IF(W867="xx","x",IF(U867&gt;0,"x",""))))</f>
        <v/>
      </c>
      <c r="Z867" s="586" t="str">
        <f t="shared" si="239"/>
        <v/>
      </c>
    </row>
    <row r="868" spans="1:26" ht="12" hidden="1" thickBot="1" x14ac:dyDescent="0.25">
      <c r="A868" s="567">
        <v>754</v>
      </c>
      <c r="B868" s="644">
        <v>754</v>
      </c>
      <c r="C868" s="645" t="s">
        <v>458</v>
      </c>
      <c r="D868" s="422" t="s">
        <v>1947</v>
      </c>
      <c r="E868" s="423"/>
      <c r="F868" s="424"/>
      <c r="G868" s="425"/>
      <c r="H868" s="651"/>
      <c r="I868" s="420">
        <v>71.95</v>
      </c>
      <c r="J868" s="420">
        <f t="shared" si="257"/>
        <v>71.95</v>
      </c>
      <c r="K868" s="421">
        <f t="shared" si="254"/>
        <v>85.48</v>
      </c>
      <c r="L868" s="647" t="s">
        <v>21</v>
      </c>
      <c r="M868" s="576"/>
      <c r="N868" s="576">
        <f t="shared" si="256"/>
        <v>0</v>
      </c>
      <c r="O868" s="577">
        <f t="shared" si="250"/>
        <v>0</v>
      </c>
      <c r="P868" s="578">
        <f t="shared" si="251"/>
        <v>0</v>
      </c>
      <c r="Q868" s="765"/>
      <c r="R868" s="576">
        <f t="shared" si="247"/>
        <v>0</v>
      </c>
      <c r="S868" s="576">
        <f t="shared" si="247"/>
        <v>0</v>
      </c>
      <c r="T868" s="577">
        <f t="shared" si="248"/>
        <v>0</v>
      </c>
      <c r="U868" s="578">
        <f t="shared" si="249"/>
        <v>0</v>
      </c>
      <c r="V868" s="579"/>
      <c r="W868" s="566"/>
      <c r="X868" s="586" t="str">
        <f t="shared" si="252"/>
        <v/>
      </c>
      <c r="Y868" s="586" t="str">
        <f t="shared" si="258"/>
        <v/>
      </c>
      <c r="Z868" s="586" t="str">
        <f t="shared" si="239"/>
        <v/>
      </c>
    </row>
    <row r="869" spans="1:26" ht="12" hidden="1" thickBot="1" x14ac:dyDescent="0.25">
      <c r="A869" s="567">
        <v>755</v>
      </c>
      <c r="B869" s="644">
        <v>755</v>
      </c>
      <c r="C869" s="645" t="s">
        <v>458</v>
      </c>
      <c r="D869" s="422" t="s">
        <v>1948</v>
      </c>
      <c r="E869" s="423"/>
      <c r="F869" s="424"/>
      <c r="G869" s="425"/>
      <c r="H869" s="651"/>
      <c r="I869" s="420">
        <v>15.08</v>
      </c>
      <c r="J869" s="420">
        <f t="shared" si="257"/>
        <v>15.08</v>
      </c>
      <c r="K869" s="421">
        <f t="shared" si="254"/>
        <v>17.920000000000002</v>
      </c>
      <c r="L869" s="647" t="s">
        <v>21</v>
      </c>
      <c r="M869" s="576"/>
      <c r="N869" s="576">
        <f t="shared" si="256"/>
        <v>0</v>
      </c>
      <c r="O869" s="577">
        <f t="shared" si="250"/>
        <v>0</v>
      </c>
      <c r="P869" s="578">
        <f t="shared" si="251"/>
        <v>0</v>
      </c>
      <c r="Q869" s="765"/>
      <c r="R869" s="576">
        <f t="shared" si="247"/>
        <v>0</v>
      </c>
      <c r="S869" s="576">
        <f t="shared" si="247"/>
        <v>0</v>
      </c>
      <c r="T869" s="577">
        <f t="shared" si="248"/>
        <v>0</v>
      </c>
      <c r="U869" s="578">
        <f t="shared" si="249"/>
        <v>0</v>
      </c>
      <c r="V869" s="579"/>
      <c r="W869" s="566"/>
      <c r="X869" s="586" t="str">
        <f t="shared" si="252"/>
        <v/>
      </c>
      <c r="Y869" s="586" t="str">
        <f t="shared" si="258"/>
        <v/>
      </c>
      <c r="Z869" s="586" t="str">
        <f t="shared" si="239"/>
        <v/>
      </c>
    </row>
    <row r="870" spans="1:26" ht="12" hidden="1" thickBot="1" x14ac:dyDescent="0.25">
      <c r="A870" s="567" t="s">
        <v>524</v>
      </c>
      <c r="B870" s="644" t="s">
        <v>524</v>
      </c>
      <c r="C870" s="645" t="s">
        <v>458</v>
      </c>
      <c r="D870" s="422" t="s">
        <v>1949</v>
      </c>
      <c r="E870" s="423"/>
      <c r="F870" s="424"/>
      <c r="G870" s="425"/>
      <c r="H870" s="651"/>
      <c r="I870" s="420">
        <v>6.17</v>
      </c>
      <c r="J870" s="420">
        <f t="shared" si="257"/>
        <v>6.17</v>
      </c>
      <c r="K870" s="421">
        <f t="shared" si="254"/>
        <v>7.33</v>
      </c>
      <c r="L870" s="647" t="s">
        <v>21</v>
      </c>
      <c r="M870" s="576"/>
      <c r="N870" s="576">
        <f t="shared" si="256"/>
        <v>0</v>
      </c>
      <c r="O870" s="577">
        <f t="shared" si="250"/>
        <v>0</v>
      </c>
      <c r="P870" s="578">
        <f t="shared" si="251"/>
        <v>0</v>
      </c>
      <c r="Q870" s="765"/>
      <c r="R870" s="576">
        <f t="shared" si="247"/>
        <v>0</v>
      </c>
      <c r="S870" s="576">
        <f t="shared" si="247"/>
        <v>0</v>
      </c>
      <c r="T870" s="577">
        <f t="shared" si="248"/>
        <v>0</v>
      </c>
      <c r="U870" s="578">
        <f t="shared" si="249"/>
        <v>0</v>
      </c>
      <c r="V870" s="579"/>
      <c r="W870" s="566"/>
      <c r="X870" s="586" t="str">
        <f t="shared" si="252"/>
        <v/>
      </c>
      <c r="Y870" s="586" t="str">
        <f t="shared" si="258"/>
        <v/>
      </c>
      <c r="Z870" s="586" t="str">
        <f t="shared" si="239"/>
        <v/>
      </c>
    </row>
    <row r="871" spans="1:26" ht="12" hidden="1" thickBot="1" x14ac:dyDescent="0.25">
      <c r="A871" s="567">
        <v>756</v>
      </c>
      <c r="B871" s="644">
        <v>756</v>
      </c>
      <c r="C871" s="645" t="s">
        <v>458</v>
      </c>
      <c r="D871" s="422" t="s">
        <v>1950</v>
      </c>
      <c r="E871" s="423"/>
      <c r="F871" s="424"/>
      <c r="G871" s="425"/>
      <c r="H871" s="651"/>
      <c r="I871" s="420">
        <v>24.67</v>
      </c>
      <c r="J871" s="420">
        <f t="shared" si="257"/>
        <v>24.67</v>
      </c>
      <c r="K871" s="421">
        <f t="shared" si="254"/>
        <v>29.31</v>
      </c>
      <c r="L871" s="647" t="s">
        <v>21</v>
      </c>
      <c r="M871" s="576"/>
      <c r="N871" s="576">
        <f t="shared" si="256"/>
        <v>0</v>
      </c>
      <c r="O871" s="577">
        <f t="shared" si="250"/>
        <v>0</v>
      </c>
      <c r="P871" s="578">
        <f t="shared" si="251"/>
        <v>0</v>
      </c>
      <c r="Q871" s="765"/>
      <c r="R871" s="576">
        <f t="shared" si="247"/>
        <v>0</v>
      </c>
      <c r="S871" s="576">
        <f t="shared" si="247"/>
        <v>0</v>
      </c>
      <c r="T871" s="577">
        <f t="shared" si="248"/>
        <v>0</v>
      </c>
      <c r="U871" s="578">
        <f t="shared" si="249"/>
        <v>0</v>
      </c>
      <c r="V871" s="579"/>
      <c r="W871" s="566"/>
      <c r="X871" s="586" t="str">
        <f t="shared" si="252"/>
        <v/>
      </c>
      <c r="Y871" s="586" t="str">
        <f t="shared" si="258"/>
        <v/>
      </c>
      <c r="Z871" s="586" t="str">
        <f t="shared" si="239"/>
        <v/>
      </c>
    </row>
    <row r="872" spans="1:26" ht="12" hidden="1" thickBot="1" x14ac:dyDescent="0.25">
      <c r="A872" s="567" t="s">
        <v>525</v>
      </c>
      <c r="B872" s="644" t="s">
        <v>525</v>
      </c>
      <c r="C872" s="645" t="s">
        <v>458</v>
      </c>
      <c r="D872" s="422" t="s">
        <v>1951</v>
      </c>
      <c r="E872" s="423"/>
      <c r="F872" s="424"/>
      <c r="G872" s="425"/>
      <c r="H872" s="651"/>
      <c r="I872" s="420">
        <v>9.94</v>
      </c>
      <c r="J872" s="420">
        <f t="shared" si="257"/>
        <v>9.94</v>
      </c>
      <c r="K872" s="421">
        <f t="shared" si="254"/>
        <v>11.81</v>
      </c>
      <c r="L872" s="647" t="s">
        <v>21</v>
      </c>
      <c r="M872" s="576"/>
      <c r="N872" s="576">
        <f t="shared" si="256"/>
        <v>0</v>
      </c>
      <c r="O872" s="577">
        <f t="shared" si="250"/>
        <v>0</v>
      </c>
      <c r="P872" s="578">
        <f t="shared" si="251"/>
        <v>0</v>
      </c>
      <c r="Q872" s="765"/>
      <c r="R872" s="576">
        <f t="shared" si="247"/>
        <v>0</v>
      </c>
      <c r="S872" s="576">
        <f t="shared" si="247"/>
        <v>0</v>
      </c>
      <c r="T872" s="577">
        <f t="shared" si="248"/>
        <v>0</v>
      </c>
      <c r="U872" s="578">
        <f t="shared" si="249"/>
        <v>0</v>
      </c>
      <c r="V872" s="579"/>
      <c r="W872" s="566"/>
      <c r="X872" s="586" t="str">
        <f t="shared" si="252"/>
        <v/>
      </c>
      <c r="Y872" s="586" t="str">
        <f t="shared" si="258"/>
        <v/>
      </c>
      <c r="Z872" s="586" t="str">
        <f t="shared" si="239"/>
        <v/>
      </c>
    </row>
    <row r="873" spans="1:26" ht="12" hidden="1" thickBot="1" x14ac:dyDescent="0.25">
      <c r="A873" s="567">
        <v>757</v>
      </c>
      <c r="B873" s="644">
        <v>757</v>
      </c>
      <c r="C873" s="645" t="s">
        <v>458</v>
      </c>
      <c r="D873" s="422" t="s">
        <v>1952</v>
      </c>
      <c r="E873" s="423"/>
      <c r="F873" s="424"/>
      <c r="G873" s="425"/>
      <c r="H873" s="651"/>
      <c r="I873" s="420">
        <v>15.42</v>
      </c>
      <c r="J873" s="420">
        <f t="shared" si="257"/>
        <v>15.42</v>
      </c>
      <c r="K873" s="421">
        <f t="shared" si="254"/>
        <v>18.32</v>
      </c>
      <c r="L873" s="647" t="s">
        <v>21</v>
      </c>
      <c r="M873" s="576"/>
      <c r="N873" s="576">
        <f t="shared" si="256"/>
        <v>0</v>
      </c>
      <c r="O873" s="577">
        <f t="shared" si="250"/>
        <v>0</v>
      </c>
      <c r="P873" s="578">
        <f t="shared" si="251"/>
        <v>0</v>
      </c>
      <c r="Q873" s="765"/>
      <c r="R873" s="576">
        <f t="shared" si="247"/>
        <v>0</v>
      </c>
      <c r="S873" s="576">
        <f t="shared" si="247"/>
        <v>0</v>
      </c>
      <c r="T873" s="577">
        <f t="shared" si="248"/>
        <v>0</v>
      </c>
      <c r="U873" s="578">
        <f t="shared" si="249"/>
        <v>0</v>
      </c>
      <c r="V873" s="579"/>
      <c r="W873" s="566"/>
      <c r="X873" s="586" t="str">
        <f t="shared" si="252"/>
        <v/>
      </c>
      <c r="Y873" s="586" t="str">
        <f t="shared" si="258"/>
        <v/>
      </c>
      <c r="Z873" s="586" t="str">
        <f t="shared" si="239"/>
        <v/>
      </c>
    </row>
    <row r="874" spans="1:26" ht="12" hidden="1" thickBot="1" x14ac:dyDescent="0.25">
      <c r="A874" s="567" t="s">
        <v>526</v>
      </c>
      <c r="B874" s="644" t="s">
        <v>526</v>
      </c>
      <c r="C874" s="645" t="s">
        <v>458</v>
      </c>
      <c r="D874" s="422" t="s">
        <v>1953</v>
      </c>
      <c r="E874" s="423"/>
      <c r="F874" s="424"/>
      <c r="G874" s="425"/>
      <c r="H874" s="651"/>
      <c r="I874" s="420">
        <v>6.17</v>
      </c>
      <c r="J874" s="420">
        <f t="shared" si="257"/>
        <v>6.17</v>
      </c>
      <c r="K874" s="421">
        <f t="shared" si="254"/>
        <v>7.33</v>
      </c>
      <c r="L874" s="647" t="s">
        <v>21</v>
      </c>
      <c r="M874" s="576"/>
      <c r="N874" s="576">
        <f t="shared" si="256"/>
        <v>0</v>
      </c>
      <c r="O874" s="577">
        <f t="shared" si="250"/>
        <v>0</v>
      </c>
      <c r="P874" s="578">
        <f t="shared" si="251"/>
        <v>0</v>
      </c>
      <c r="Q874" s="765"/>
      <c r="R874" s="576">
        <f t="shared" si="247"/>
        <v>0</v>
      </c>
      <c r="S874" s="576">
        <f t="shared" si="247"/>
        <v>0</v>
      </c>
      <c r="T874" s="577">
        <f t="shared" si="248"/>
        <v>0</v>
      </c>
      <c r="U874" s="578">
        <f t="shared" si="249"/>
        <v>0</v>
      </c>
      <c r="V874" s="579"/>
      <c r="W874" s="566"/>
      <c r="X874" s="586" t="str">
        <f t="shared" si="252"/>
        <v/>
      </c>
      <c r="Y874" s="586" t="str">
        <f t="shared" si="258"/>
        <v/>
      </c>
      <c r="Z874" s="586" t="str">
        <f t="shared" si="239"/>
        <v/>
      </c>
    </row>
    <row r="875" spans="1:26" ht="12" hidden="1" thickBot="1" x14ac:dyDescent="0.25">
      <c r="A875" s="567">
        <v>947</v>
      </c>
      <c r="B875" s="644">
        <v>947</v>
      </c>
      <c r="C875" s="645" t="s">
        <v>458</v>
      </c>
      <c r="D875" s="422" t="s">
        <v>1954</v>
      </c>
      <c r="E875" s="423"/>
      <c r="F875" s="424"/>
      <c r="G875" s="425"/>
      <c r="H875" s="651"/>
      <c r="I875" s="420">
        <v>34.26</v>
      </c>
      <c r="J875" s="420">
        <f t="shared" si="257"/>
        <v>34.26</v>
      </c>
      <c r="K875" s="421">
        <f t="shared" si="254"/>
        <v>40.700000000000003</v>
      </c>
      <c r="L875" s="647" t="s">
        <v>21</v>
      </c>
      <c r="M875" s="576"/>
      <c r="N875" s="576">
        <f t="shared" si="256"/>
        <v>0</v>
      </c>
      <c r="O875" s="577">
        <f t="shared" si="250"/>
        <v>0</v>
      </c>
      <c r="P875" s="578">
        <f t="shared" si="251"/>
        <v>0</v>
      </c>
      <c r="Q875" s="765"/>
      <c r="R875" s="576">
        <f t="shared" si="247"/>
        <v>0</v>
      </c>
      <c r="S875" s="576">
        <f t="shared" si="247"/>
        <v>0</v>
      </c>
      <c r="T875" s="577">
        <f t="shared" si="248"/>
        <v>0</v>
      </c>
      <c r="U875" s="578">
        <f t="shared" si="249"/>
        <v>0</v>
      </c>
      <c r="V875" s="579"/>
      <c r="W875" s="566"/>
      <c r="X875" s="586" t="str">
        <f t="shared" si="252"/>
        <v/>
      </c>
      <c r="Y875" s="586" t="str">
        <f t="shared" si="258"/>
        <v/>
      </c>
      <c r="Z875" s="586" t="str">
        <f t="shared" si="239"/>
        <v/>
      </c>
    </row>
    <row r="876" spans="1:26" ht="12" hidden="1" thickBot="1" x14ac:dyDescent="0.25">
      <c r="A876" s="567" t="s">
        <v>534</v>
      </c>
      <c r="B876" s="644" t="s">
        <v>534</v>
      </c>
      <c r="C876" s="645" t="s">
        <v>458</v>
      </c>
      <c r="D876" s="422" t="s">
        <v>1955</v>
      </c>
      <c r="E876" s="423"/>
      <c r="F876" s="424"/>
      <c r="G876" s="425"/>
      <c r="H876" s="651"/>
      <c r="I876" s="420">
        <v>34.26</v>
      </c>
      <c r="J876" s="420">
        <f t="shared" si="257"/>
        <v>34.26</v>
      </c>
      <c r="K876" s="421">
        <f t="shared" si="254"/>
        <v>40.700000000000003</v>
      </c>
      <c r="L876" s="647" t="s">
        <v>21</v>
      </c>
      <c r="M876" s="576"/>
      <c r="N876" s="576">
        <f t="shared" si="256"/>
        <v>0</v>
      </c>
      <c r="O876" s="577">
        <f t="shared" si="250"/>
        <v>0</v>
      </c>
      <c r="P876" s="578">
        <f t="shared" si="251"/>
        <v>0</v>
      </c>
      <c r="Q876" s="765"/>
      <c r="R876" s="576">
        <f t="shared" si="247"/>
        <v>0</v>
      </c>
      <c r="S876" s="576">
        <f t="shared" si="247"/>
        <v>0</v>
      </c>
      <c r="T876" s="577">
        <f t="shared" si="248"/>
        <v>0</v>
      </c>
      <c r="U876" s="578">
        <f t="shared" si="249"/>
        <v>0</v>
      </c>
      <c r="V876" s="579"/>
      <c r="W876" s="566"/>
      <c r="X876" s="586" t="str">
        <f t="shared" si="252"/>
        <v/>
      </c>
      <c r="Y876" s="586" t="str">
        <f t="shared" si="258"/>
        <v/>
      </c>
      <c r="Z876" s="586" t="str">
        <f t="shared" si="239"/>
        <v/>
      </c>
    </row>
    <row r="877" spans="1:26" ht="12" hidden="1" thickBot="1" x14ac:dyDescent="0.25">
      <c r="A877" s="567">
        <v>760</v>
      </c>
      <c r="B877" s="644">
        <v>760</v>
      </c>
      <c r="C877" s="645" t="s">
        <v>458</v>
      </c>
      <c r="D877" s="422" t="s">
        <v>1956</v>
      </c>
      <c r="E877" s="423"/>
      <c r="F877" s="424"/>
      <c r="G877" s="425"/>
      <c r="H877" s="651"/>
      <c r="I877" s="420">
        <v>17.47</v>
      </c>
      <c r="J877" s="420">
        <f t="shared" si="257"/>
        <v>17.47</v>
      </c>
      <c r="K877" s="421">
        <f t="shared" si="254"/>
        <v>20.76</v>
      </c>
      <c r="L877" s="647" t="s">
        <v>21</v>
      </c>
      <c r="M877" s="576"/>
      <c r="N877" s="576">
        <f t="shared" si="256"/>
        <v>0</v>
      </c>
      <c r="O877" s="577">
        <f t="shared" si="250"/>
        <v>0</v>
      </c>
      <c r="P877" s="578">
        <f t="shared" si="251"/>
        <v>0</v>
      </c>
      <c r="Q877" s="765"/>
      <c r="R877" s="576">
        <f t="shared" si="247"/>
        <v>0</v>
      </c>
      <c r="S877" s="576">
        <f t="shared" si="247"/>
        <v>0</v>
      </c>
      <c r="T877" s="577">
        <f t="shared" si="248"/>
        <v>0</v>
      </c>
      <c r="U877" s="578">
        <f t="shared" si="249"/>
        <v>0</v>
      </c>
      <c r="V877" s="579"/>
      <c r="W877" s="566"/>
      <c r="X877" s="586" t="str">
        <f t="shared" si="252"/>
        <v/>
      </c>
      <c r="Y877" s="586" t="str">
        <f t="shared" si="258"/>
        <v/>
      </c>
      <c r="Z877" s="586" t="str">
        <f t="shared" si="239"/>
        <v/>
      </c>
    </row>
    <row r="878" spans="1:26" ht="12" hidden="1" thickBot="1" x14ac:dyDescent="0.25">
      <c r="A878" s="567" t="s">
        <v>535</v>
      </c>
      <c r="B878" s="644" t="s">
        <v>535</v>
      </c>
      <c r="C878" s="645" t="s">
        <v>458</v>
      </c>
      <c r="D878" s="422" t="s">
        <v>1957</v>
      </c>
      <c r="E878" s="423"/>
      <c r="F878" s="424"/>
      <c r="G878" s="425"/>
      <c r="H878" s="651"/>
      <c r="I878" s="420">
        <v>6.85</v>
      </c>
      <c r="J878" s="420">
        <f t="shared" si="257"/>
        <v>6.85</v>
      </c>
      <c r="K878" s="421">
        <f t="shared" si="254"/>
        <v>8.14</v>
      </c>
      <c r="L878" s="647" t="s">
        <v>21</v>
      </c>
      <c r="M878" s="576"/>
      <c r="N878" s="576">
        <f t="shared" si="256"/>
        <v>0</v>
      </c>
      <c r="O878" s="577">
        <f t="shared" si="250"/>
        <v>0</v>
      </c>
      <c r="P878" s="578">
        <f t="shared" si="251"/>
        <v>0</v>
      </c>
      <c r="Q878" s="765"/>
      <c r="R878" s="576">
        <f t="shared" si="247"/>
        <v>0</v>
      </c>
      <c r="S878" s="576">
        <f t="shared" si="247"/>
        <v>0</v>
      </c>
      <c r="T878" s="577">
        <f t="shared" si="248"/>
        <v>0</v>
      </c>
      <c r="U878" s="578">
        <f t="shared" si="249"/>
        <v>0</v>
      </c>
      <c r="V878" s="579"/>
      <c r="W878" s="566"/>
      <c r="X878" s="586" t="str">
        <f t="shared" si="252"/>
        <v/>
      </c>
      <c r="Y878" s="586" t="str">
        <f t="shared" si="258"/>
        <v/>
      </c>
      <c r="Z878" s="586" t="str">
        <f t="shared" si="239"/>
        <v/>
      </c>
    </row>
    <row r="879" spans="1:26" ht="12" hidden="1" thickBot="1" x14ac:dyDescent="0.25">
      <c r="A879" s="567">
        <v>761</v>
      </c>
      <c r="B879" s="644">
        <v>761</v>
      </c>
      <c r="C879" s="645" t="s">
        <v>458</v>
      </c>
      <c r="D879" s="422" t="s">
        <v>1958</v>
      </c>
      <c r="E879" s="423"/>
      <c r="F879" s="424"/>
      <c r="G879" s="425"/>
      <c r="H879" s="651"/>
      <c r="I879" s="420">
        <v>13.36</v>
      </c>
      <c r="J879" s="420">
        <f t="shared" si="257"/>
        <v>13.36</v>
      </c>
      <c r="K879" s="421">
        <f t="shared" si="254"/>
        <v>15.87</v>
      </c>
      <c r="L879" s="647" t="s">
        <v>21</v>
      </c>
      <c r="M879" s="576"/>
      <c r="N879" s="576">
        <f t="shared" si="256"/>
        <v>0</v>
      </c>
      <c r="O879" s="577">
        <f t="shared" si="250"/>
        <v>0</v>
      </c>
      <c r="P879" s="578">
        <f t="shared" si="251"/>
        <v>0</v>
      </c>
      <c r="Q879" s="765"/>
      <c r="R879" s="576">
        <f t="shared" si="247"/>
        <v>0</v>
      </c>
      <c r="S879" s="576">
        <f t="shared" si="247"/>
        <v>0</v>
      </c>
      <c r="T879" s="577">
        <f t="shared" si="248"/>
        <v>0</v>
      </c>
      <c r="U879" s="578">
        <f t="shared" si="249"/>
        <v>0</v>
      </c>
      <c r="V879" s="579"/>
      <c r="W879" s="566"/>
      <c r="X879" s="586" t="str">
        <f t="shared" si="252"/>
        <v/>
      </c>
      <c r="Y879" s="586" t="str">
        <f t="shared" si="258"/>
        <v/>
      </c>
      <c r="Z879" s="586" t="str">
        <f t="shared" si="239"/>
        <v/>
      </c>
    </row>
    <row r="880" spans="1:26" ht="12" hidden="1" thickBot="1" x14ac:dyDescent="0.25">
      <c r="A880" s="567" t="s">
        <v>536</v>
      </c>
      <c r="B880" s="644" t="s">
        <v>536</v>
      </c>
      <c r="C880" s="645" t="s">
        <v>458</v>
      </c>
      <c r="D880" s="422" t="s">
        <v>1959</v>
      </c>
      <c r="E880" s="423"/>
      <c r="F880" s="424"/>
      <c r="G880" s="425"/>
      <c r="H880" s="651"/>
      <c r="I880" s="420">
        <v>5.48</v>
      </c>
      <c r="J880" s="420">
        <f t="shared" si="257"/>
        <v>5.48</v>
      </c>
      <c r="K880" s="421">
        <f t="shared" si="254"/>
        <v>6.51</v>
      </c>
      <c r="L880" s="647" t="s">
        <v>21</v>
      </c>
      <c r="M880" s="576"/>
      <c r="N880" s="576">
        <f t="shared" si="256"/>
        <v>0</v>
      </c>
      <c r="O880" s="577">
        <f t="shared" si="250"/>
        <v>0</v>
      </c>
      <c r="P880" s="578">
        <f t="shared" si="251"/>
        <v>0</v>
      </c>
      <c r="Q880" s="765"/>
      <c r="R880" s="576">
        <f t="shared" si="247"/>
        <v>0</v>
      </c>
      <c r="S880" s="576">
        <f t="shared" si="247"/>
        <v>0</v>
      </c>
      <c r="T880" s="577">
        <f t="shared" si="248"/>
        <v>0</v>
      </c>
      <c r="U880" s="578">
        <f t="shared" si="249"/>
        <v>0</v>
      </c>
      <c r="V880" s="579"/>
      <c r="W880" s="566"/>
      <c r="X880" s="586" t="str">
        <f t="shared" si="252"/>
        <v/>
      </c>
      <c r="Y880" s="586" t="str">
        <f t="shared" si="258"/>
        <v/>
      </c>
      <c r="Z880" s="586" t="str">
        <f t="shared" si="239"/>
        <v/>
      </c>
    </row>
    <row r="881" spans="1:26" ht="12" hidden="1" thickBot="1" x14ac:dyDescent="0.25">
      <c r="A881" s="567">
        <v>762</v>
      </c>
      <c r="B881" s="644">
        <v>762</v>
      </c>
      <c r="C881" s="645" t="s">
        <v>458</v>
      </c>
      <c r="D881" s="422" t="s">
        <v>1960</v>
      </c>
      <c r="E881" s="423"/>
      <c r="F881" s="424"/>
      <c r="G881" s="425"/>
      <c r="H881" s="651"/>
      <c r="I881" s="420">
        <v>21.58</v>
      </c>
      <c r="J881" s="420">
        <f t="shared" si="257"/>
        <v>21.58</v>
      </c>
      <c r="K881" s="421">
        <f t="shared" si="254"/>
        <v>25.64</v>
      </c>
      <c r="L881" s="647" t="s">
        <v>21</v>
      </c>
      <c r="M881" s="576"/>
      <c r="N881" s="576">
        <f t="shared" si="256"/>
        <v>0</v>
      </c>
      <c r="O881" s="577">
        <f t="shared" si="250"/>
        <v>0</v>
      </c>
      <c r="P881" s="578">
        <f t="shared" si="251"/>
        <v>0</v>
      </c>
      <c r="Q881" s="765"/>
      <c r="R881" s="576">
        <f t="shared" si="247"/>
        <v>0</v>
      </c>
      <c r="S881" s="576">
        <f t="shared" si="247"/>
        <v>0</v>
      </c>
      <c r="T881" s="577">
        <f t="shared" si="248"/>
        <v>0</v>
      </c>
      <c r="U881" s="578">
        <f t="shared" si="249"/>
        <v>0</v>
      </c>
      <c r="V881" s="579"/>
      <c r="W881" s="566"/>
      <c r="X881" s="586" t="str">
        <f t="shared" si="252"/>
        <v/>
      </c>
      <c r="Y881" s="586" t="str">
        <f t="shared" si="258"/>
        <v/>
      </c>
      <c r="Z881" s="586" t="str">
        <f t="shared" si="239"/>
        <v/>
      </c>
    </row>
    <row r="882" spans="1:26" ht="12" hidden="1" thickBot="1" x14ac:dyDescent="0.25">
      <c r="A882" s="567" t="s">
        <v>537</v>
      </c>
      <c r="B882" s="644" t="s">
        <v>537</v>
      </c>
      <c r="C882" s="645" t="s">
        <v>458</v>
      </c>
      <c r="D882" s="422" t="s">
        <v>1961</v>
      </c>
      <c r="E882" s="423"/>
      <c r="F882" s="424"/>
      <c r="G882" s="425"/>
      <c r="H882" s="651"/>
      <c r="I882" s="420">
        <v>8.57</v>
      </c>
      <c r="J882" s="420">
        <f t="shared" si="257"/>
        <v>8.57</v>
      </c>
      <c r="K882" s="421">
        <f t="shared" si="254"/>
        <v>10.18</v>
      </c>
      <c r="L882" s="647" t="s">
        <v>21</v>
      </c>
      <c r="M882" s="576"/>
      <c r="N882" s="576">
        <f t="shared" si="256"/>
        <v>0</v>
      </c>
      <c r="O882" s="577">
        <f t="shared" si="250"/>
        <v>0</v>
      </c>
      <c r="P882" s="578">
        <f t="shared" si="251"/>
        <v>0</v>
      </c>
      <c r="Q882" s="765"/>
      <c r="R882" s="576">
        <f t="shared" si="247"/>
        <v>0</v>
      </c>
      <c r="S882" s="576">
        <f t="shared" si="247"/>
        <v>0</v>
      </c>
      <c r="T882" s="577">
        <f t="shared" si="248"/>
        <v>0</v>
      </c>
      <c r="U882" s="578">
        <f t="shared" si="249"/>
        <v>0</v>
      </c>
      <c r="V882" s="579"/>
      <c r="W882" s="566"/>
      <c r="X882" s="586" t="str">
        <f t="shared" si="252"/>
        <v/>
      </c>
      <c r="Y882" s="586" t="str">
        <f t="shared" si="258"/>
        <v/>
      </c>
      <c r="Z882" s="586" t="str">
        <f t="shared" si="239"/>
        <v/>
      </c>
    </row>
    <row r="883" spans="1:26" ht="23.25" hidden="1" thickBot="1" x14ac:dyDescent="0.25">
      <c r="A883" s="567">
        <v>763</v>
      </c>
      <c r="B883" s="644">
        <v>763</v>
      </c>
      <c r="C883" s="645" t="s">
        <v>458</v>
      </c>
      <c r="D883" s="422" t="s">
        <v>1962</v>
      </c>
      <c r="E883" s="423"/>
      <c r="F883" s="424"/>
      <c r="G883" s="425"/>
      <c r="H883" s="651"/>
      <c r="I883" s="420">
        <v>23.3</v>
      </c>
      <c r="J883" s="420">
        <f t="shared" si="257"/>
        <v>23.3</v>
      </c>
      <c r="K883" s="421">
        <f t="shared" si="254"/>
        <v>27.68</v>
      </c>
      <c r="L883" s="647" t="s">
        <v>21</v>
      </c>
      <c r="M883" s="576"/>
      <c r="N883" s="576">
        <f t="shared" si="256"/>
        <v>0</v>
      </c>
      <c r="O883" s="577">
        <f t="shared" si="250"/>
        <v>0</v>
      </c>
      <c r="P883" s="578">
        <f t="shared" si="251"/>
        <v>0</v>
      </c>
      <c r="Q883" s="765"/>
      <c r="R883" s="576">
        <f t="shared" si="247"/>
        <v>0</v>
      </c>
      <c r="S883" s="576">
        <f t="shared" si="247"/>
        <v>0</v>
      </c>
      <c r="T883" s="577">
        <f t="shared" si="248"/>
        <v>0</v>
      </c>
      <c r="U883" s="578">
        <f t="shared" si="249"/>
        <v>0</v>
      </c>
      <c r="V883" s="579"/>
      <c r="W883" s="566"/>
      <c r="X883" s="586" t="str">
        <f t="shared" si="252"/>
        <v/>
      </c>
      <c r="Y883" s="586" t="str">
        <f t="shared" si="258"/>
        <v/>
      </c>
      <c r="Z883" s="586" t="str">
        <f t="shared" si="239"/>
        <v/>
      </c>
    </row>
    <row r="884" spans="1:26" ht="12" hidden="1" thickBot="1" x14ac:dyDescent="0.25">
      <c r="A884" s="567">
        <v>767</v>
      </c>
      <c r="B884" s="644">
        <v>767</v>
      </c>
      <c r="C884" s="645" t="s">
        <v>458</v>
      </c>
      <c r="D884" s="422" t="s">
        <v>1963</v>
      </c>
      <c r="E884" s="423"/>
      <c r="F884" s="424">
        <v>0</v>
      </c>
      <c r="G884" s="425"/>
      <c r="H884" s="651">
        <v>0</v>
      </c>
      <c r="I884" s="420">
        <v>19.53</v>
      </c>
      <c r="J884" s="420">
        <f t="shared" si="257"/>
        <v>19.53</v>
      </c>
      <c r="K884" s="421">
        <f t="shared" si="254"/>
        <v>23.2</v>
      </c>
      <c r="L884" s="647" t="s">
        <v>21</v>
      </c>
      <c r="M884" s="576"/>
      <c r="N884" s="576">
        <f t="shared" si="256"/>
        <v>0</v>
      </c>
      <c r="O884" s="577">
        <f t="shared" si="250"/>
        <v>0</v>
      </c>
      <c r="P884" s="578">
        <f t="shared" si="251"/>
        <v>0</v>
      </c>
      <c r="Q884" s="765"/>
      <c r="R884" s="576">
        <f t="shared" ref="R884:S947" si="259">M884</f>
        <v>0</v>
      </c>
      <c r="S884" s="576">
        <f t="shared" si="259"/>
        <v>0</v>
      </c>
      <c r="T884" s="577">
        <f t="shared" ref="T884:T947" si="260">IF(ISBLANK(R884),0,ROUND(K884*R884,2))</f>
        <v>0</v>
      </c>
      <c r="U884" s="578">
        <f t="shared" ref="U884:U947" si="261">IF(ISBLANK(R884),0,ROUND(R884*S884,2))</f>
        <v>0</v>
      </c>
      <c r="V884" s="579"/>
      <c r="W884" s="566"/>
      <c r="X884" s="586" t="str">
        <f t="shared" si="252"/>
        <v/>
      </c>
      <c r="Y884" s="586" t="str">
        <f t="shared" si="258"/>
        <v/>
      </c>
      <c r="Z884" s="586" t="str">
        <f t="shared" si="239"/>
        <v/>
      </c>
    </row>
    <row r="885" spans="1:26" ht="12" hidden="1" thickBot="1" x14ac:dyDescent="0.25">
      <c r="A885" s="567">
        <v>768</v>
      </c>
      <c r="B885" s="644">
        <v>768</v>
      </c>
      <c r="C885" s="645" t="s">
        <v>458</v>
      </c>
      <c r="D885" s="422" t="s">
        <v>1964</v>
      </c>
      <c r="E885" s="423"/>
      <c r="F885" s="424">
        <v>0</v>
      </c>
      <c r="G885" s="425"/>
      <c r="H885" s="651">
        <v>0</v>
      </c>
      <c r="I885" s="420">
        <v>44.54</v>
      </c>
      <c r="J885" s="420">
        <f t="shared" si="257"/>
        <v>44.54</v>
      </c>
      <c r="K885" s="421">
        <f t="shared" si="254"/>
        <v>52.92</v>
      </c>
      <c r="L885" s="647" t="s">
        <v>21</v>
      </c>
      <c r="M885" s="576"/>
      <c r="N885" s="576">
        <f t="shared" si="256"/>
        <v>0</v>
      </c>
      <c r="O885" s="577">
        <f t="shared" ref="O885:O948" si="262">IF(ISBLANK(M885),0,ROUND(K885*M885,2))</f>
        <v>0</v>
      </c>
      <c r="P885" s="578">
        <f t="shared" ref="P885:P948" si="263">IF(ISBLANK(N885),0,ROUND(M885*N885,2))</f>
        <v>0</v>
      </c>
      <c r="Q885" s="765"/>
      <c r="R885" s="576">
        <f t="shared" si="259"/>
        <v>0</v>
      </c>
      <c r="S885" s="576">
        <f t="shared" si="259"/>
        <v>0</v>
      </c>
      <c r="T885" s="577">
        <f t="shared" si="260"/>
        <v>0</v>
      </c>
      <c r="U885" s="578">
        <f t="shared" si="261"/>
        <v>0</v>
      </c>
      <c r="V885" s="579"/>
      <c r="W885" s="566"/>
      <c r="X885" s="586" t="str">
        <f t="shared" si="252"/>
        <v/>
      </c>
      <c r="Y885" s="586" t="str">
        <f t="shared" si="258"/>
        <v/>
      </c>
      <c r="Z885" s="586" t="str">
        <f t="shared" si="239"/>
        <v/>
      </c>
    </row>
    <row r="886" spans="1:26" ht="12" hidden="1" thickBot="1" x14ac:dyDescent="0.25">
      <c r="A886" s="567">
        <v>769</v>
      </c>
      <c r="B886" s="644">
        <v>769</v>
      </c>
      <c r="C886" s="645" t="s">
        <v>458</v>
      </c>
      <c r="D886" s="422" t="s">
        <v>1965</v>
      </c>
      <c r="E886" s="423"/>
      <c r="F886" s="424">
        <v>0</v>
      </c>
      <c r="G886" s="425"/>
      <c r="H886" s="651">
        <v>0</v>
      </c>
      <c r="I886" s="420">
        <v>163.77000000000001</v>
      </c>
      <c r="J886" s="420">
        <f t="shared" si="257"/>
        <v>163.77000000000001</v>
      </c>
      <c r="K886" s="421">
        <f t="shared" si="254"/>
        <v>194.58</v>
      </c>
      <c r="L886" s="647" t="s">
        <v>21</v>
      </c>
      <c r="M886" s="576"/>
      <c r="N886" s="576">
        <f t="shared" si="256"/>
        <v>0</v>
      </c>
      <c r="O886" s="577">
        <f t="shared" si="262"/>
        <v>0</v>
      </c>
      <c r="P886" s="578">
        <f t="shared" si="263"/>
        <v>0</v>
      </c>
      <c r="Q886" s="765"/>
      <c r="R886" s="576">
        <f t="shared" si="259"/>
        <v>0</v>
      </c>
      <c r="S886" s="576">
        <f t="shared" si="259"/>
        <v>0</v>
      </c>
      <c r="T886" s="577">
        <f t="shared" si="260"/>
        <v>0</v>
      </c>
      <c r="U886" s="578">
        <f t="shared" si="261"/>
        <v>0</v>
      </c>
      <c r="V886" s="579"/>
      <c r="W886" s="566"/>
      <c r="X886" s="586" t="str">
        <f t="shared" si="252"/>
        <v/>
      </c>
      <c r="Y886" s="586" t="str">
        <f t="shared" si="258"/>
        <v/>
      </c>
      <c r="Z886" s="586" t="str">
        <f t="shared" si="239"/>
        <v/>
      </c>
    </row>
    <row r="887" spans="1:26" ht="12" hidden="1" thickBot="1" x14ac:dyDescent="0.25">
      <c r="A887" s="567">
        <v>770</v>
      </c>
      <c r="B887" s="644">
        <v>770</v>
      </c>
      <c r="C887" s="645" t="s">
        <v>458</v>
      </c>
      <c r="D887" s="422" t="s">
        <v>1966</v>
      </c>
      <c r="E887" s="423"/>
      <c r="F887" s="424"/>
      <c r="G887" s="425"/>
      <c r="H887" s="651"/>
      <c r="I887" s="420">
        <v>56.53</v>
      </c>
      <c r="J887" s="420">
        <f t="shared" si="257"/>
        <v>56.53</v>
      </c>
      <c r="K887" s="421">
        <f t="shared" si="254"/>
        <v>67.16</v>
      </c>
      <c r="L887" s="647" t="s">
        <v>21</v>
      </c>
      <c r="M887" s="576"/>
      <c r="N887" s="576">
        <f t="shared" si="256"/>
        <v>0</v>
      </c>
      <c r="O887" s="577">
        <f t="shared" si="262"/>
        <v>0</v>
      </c>
      <c r="P887" s="578">
        <f t="shared" si="263"/>
        <v>0</v>
      </c>
      <c r="Q887" s="765"/>
      <c r="R887" s="576">
        <f t="shared" si="259"/>
        <v>0</v>
      </c>
      <c r="S887" s="576">
        <f t="shared" si="259"/>
        <v>0</v>
      </c>
      <c r="T887" s="577">
        <f t="shared" si="260"/>
        <v>0</v>
      </c>
      <c r="U887" s="578">
        <f t="shared" si="261"/>
        <v>0</v>
      </c>
      <c r="V887" s="579"/>
      <c r="W887" s="566"/>
      <c r="X887" s="586" t="str">
        <f t="shared" si="252"/>
        <v/>
      </c>
      <c r="Y887" s="586" t="str">
        <f t="shared" si="258"/>
        <v/>
      </c>
      <c r="Z887" s="586" t="str">
        <f t="shared" si="239"/>
        <v/>
      </c>
    </row>
    <row r="888" spans="1:26" ht="12" hidden="1" thickBot="1" x14ac:dyDescent="0.25">
      <c r="A888" s="567" t="s">
        <v>527</v>
      </c>
      <c r="B888" s="644" t="s">
        <v>527</v>
      </c>
      <c r="C888" s="645" t="s">
        <v>458</v>
      </c>
      <c r="D888" s="422" t="s">
        <v>1967</v>
      </c>
      <c r="E888" s="423"/>
      <c r="F888" s="424"/>
      <c r="G888" s="425"/>
      <c r="H888" s="651"/>
      <c r="I888" s="420">
        <v>22.61</v>
      </c>
      <c r="J888" s="420">
        <f t="shared" si="257"/>
        <v>22.61</v>
      </c>
      <c r="K888" s="421">
        <f t="shared" si="254"/>
        <v>26.86</v>
      </c>
      <c r="L888" s="647" t="s">
        <v>21</v>
      </c>
      <c r="M888" s="576"/>
      <c r="N888" s="576">
        <f t="shared" si="256"/>
        <v>0</v>
      </c>
      <c r="O888" s="577">
        <f t="shared" si="262"/>
        <v>0</v>
      </c>
      <c r="P888" s="578">
        <f t="shared" si="263"/>
        <v>0</v>
      </c>
      <c r="Q888" s="765"/>
      <c r="R888" s="576">
        <f t="shared" si="259"/>
        <v>0</v>
      </c>
      <c r="S888" s="576">
        <f t="shared" si="259"/>
        <v>0</v>
      </c>
      <c r="T888" s="577">
        <f t="shared" si="260"/>
        <v>0</v>
      </c>
      <c r="U888" s="578">
        <f t="shared" si="261"/>
        <v>0</v>
      </c>
      <c r="V888" s="579"/>
      <c r="W888" s="566"/>
      <c r="X888" s="586" t="str">
        <f t="shared" si="252"/>
        <v/>
      </c>
      <c r="Y888" s="586" t="str">
        <f t="shared" si="258"/>
        <v/>
      </c>
      <c r="Z888" s="586" t="str">
        <f t="shared" si="239"/>
        <v/>
      </c>
    </row>
    <row r="889" spans="1:26" ht="12" hidden="1" thickBot="1" x14ac:dyDescent="0.25">
      <c r="A889" s="567">
        <v>771</v>
      </c>
      <c r="B889" s="644">
        <v>771</v>
      </c>
      <c r="C889" s="645" t="s">
        <v>458</v>
      </c>
      <c r="D889" s="422" t="s">
        <v>1968</v>
      </c>
      <c r="E889" s="423"/>
      <c r="F889" s="424"/>
      <c r="G889" s="425"/>
      <c r="H889" s="651"/>
      <c r="I889" s="420">
        <v>81.2</v>
      </c>
      <c r="J889" s="420">
        <f t="shared" ref="J889:J895" si="264">IF(ISBLANK(I889),"",SUM(H889:I889))</f>
        <v>81.2</v>
      </c>
      <c r="K889" s="421">
        <f t="shared" si="254"/>
        <v>96.47</v>
      </c>
      <c r="L889" s="647" t="s">
        <v>21</v>
      </c>
      <c r="M889" s="576"/>
      <c r="N889" s="576">
        <f t="shared" si="256"/>
        <v>0</v>
      </c>
      <c r="O889" s="577">
        <f t="shared" si="262"/>
        <v>0</v>
      </c>
      <c r="P889" s="578">
        <f t="shared" si="263"/>
        <v>0</v>
      </c>
      <c r="Q889" s="765"/>
      <c r="R889" s="576">
        <f t="shared" si="259"/>
        <v>0</v>
      </c>
      <c r="S889" s="576">
        <f t="shared" si="259"/>
        <v>0</v>
      </c>
      <c r="T889" s="577">
        <f t="shared" si="260"/>
        <v>0</v>
      </c>
      <c r="U889" s="578">
        <f t="shared" si="261"/>
        <v>0</v>
      </c>
      <c r="V889" s="579"/>
      <c r="W889" s="566"/>
      <c r="X889" s="586" t="str">
        <f t="shared" si="252"/>
        <v/>
      </c>
      <c r="Y889" s="586" t="str">
        <f t="shared" si="258"/>
        <v/>
      </c>
      <c r="Z889" s="586" t="str">
        <f t="shared" si="239"/>
        <v/>
      </c>
    </row>
    <row r="890" spans="1:26" ht="12" hidden="1" thickBot="1" x14ac:dyDescent="0.25">
      <c r="A890" s="567" t="s">
        <v>528</v>
      </c>
      <c r="B890" s="644" t="s">
        <v>528</v>
      </c>
      <c r="C890" s="645" t="s">
        <v>458</v>
      </c>
      <c r="D890" s="422" t="s">
        <v>1969</v>
      </c>
      <c r="E890" s="423"/>
      <c r="F890" s="424"/>
      <c r="G890" s="425"/>
      <c r="H890" s="651"/>
      <c r="I890" s="420">
        <v>32.549999999999997</v>
      </c>
      <c r="J890" s="420">
        <f t="shared" si="264"/>
        <v>32.549999999999997</v>
      </c>
      <c r="K890" s="421">
        <f t="shared" si="254"/>
        <v>38.67</v>
      </c>
      <c r="L890" s="647" t="s">
        <v>21</v>
      </c>
      <c r="M890" s="576"/>
      <c r="N890" s="576">
        <f t="shared" si="256"/>
        <v>0</v>
      </c>
      <c r="O890" s="577">
        <f t="shared" si="262"/>
        <v>0</v>
      </c>
      <c r="P890" s="578">
        <f t="shared" si="263"/>
        <v>0</v>
      </c>
      <c r="Q890" s="765"/>
      <c r="R890" s="576">
        <f t="shared" si="259"/>
        <v>0</v>
      </c>
      <c r="S890" s="576">
        <f t="shared" si="259"/>
        <v>0</v>
      </c>
      <c r="T890" s="577">
        <f t="shared" si="260"/>
        <v>0</v>
      </c>
      <c r="U890" s="578">
        <f t="shared" si="261"/>
        <v>0</v>
      </c>
      <c r="V890" s="579"/>
      <c r="W890" s="566"/>
      <c r="X890" s="586" t="str">
        <f t="shared" si="252"/>
        <v/>
      </c>
      <c r="Y890" s="586" t="str">
        <f t="shared" si="258"/>
        <v/>
      </c>
      <c r="Z890" s="586" t="str">
        <f t="shared" si="239"/>
        <v/>
      </c>
    </row>
    <row r="891" spans="1:26" ht="12" hidden="1" thickBot="1" x14ac:dyDescent="0.25">
      <c r="A891" s="567">
        <v>772</v>
      </c>
      <c r="B891" s="644">
        <v>772</v>
      </c>
      <c r="C891" s="645" t="s">
        <v>458</v>
      </c>
      <c r="D891" s="422" t="s">
        <v>1970</v>
      </c>
      <c r="E891" s="423"/>
      <c r="F891" s="424"/>
      <c r="G891" s="425"/>
      <c r="H891" s="651"/>
      <c r="I891" s="420">
        <v>26.72</v>
      </c>
      <c r="J891" s="420">
        <f t="shared" si="264"/>
        <v>26.72</v>
      </c>
      <c r="K891" s="421">
        <f t="shared" si="254"/>
        <v>31.75</v>
      </c>
      <c r="L891" s="647" t="s">
        <v>21</v>
      </c>
      <c r="M891" s="576"/>
      <c r="N891" s="576">
        <f t="shared" si="256"/>
        <v>0</v>
      </c>
      <c r="O891" s="577">
        <f t="shared" si="262"/>
        <v>0</v>
      </c>
      <c r="P891" s="578">
        <f t="shared" si="263"/>
        <v>0</v>
      </c>
      <c r="Q891" s="765"/>
      <c r="R891" s="576">
        <f t="shared" si="259"/>
        <v>0</v>
      </c>
      <c r="S891" s="576">
        <f t="shared" si="259"/>
        <v>0</v>
      </c>
      <c r="T891" s="577">
        <f t="shared" si="260"/>
        <v>0</v>
      </c>
      <c r="U891" s="578">
        <f t="shared" si="261"/>
        <v>0</v>
      </c>
      <c r="V891" s="579"/>
      <c r="W891" s="566"/>
      <c r="X891" s="586" t="str">
        <f t="shared" si="252"/>
        <v/>
      </c>
      <c r="Y891" s="586" t="str">
        <f t="shared" si="258"/>
        <v/>
      </c>
      <c r="Z891" s="586" t="str">
        <f t="shared" si="239"/>
        <v/>
      </c>
    </row>
    <row r="892" spans="1:26" ht="12" hidden="1" thickBot="1" x14ac:dyDescent="0.25">
      <c r="A892" s="567" t="s">
        <v>529</v>
      </c>
      <c r="B892" s="644" t="s">
        <v>529</v>
      </c>
      <c r="C892" s="645" t="s">
        <v>458</v>
      </c>
      <c r="D892" s="422" t="s">
        <v>1971</v>
      </c>
      <c r="E892" s="423"/>
      <c r="F892" s="424"/>
      <c r="G892" s="425"/>
      <c r="H892" s="651"/>
      <c r="I892" s="420">
        <v>10.62</v>
      </c>
      <c r="J892" s="420">
        <f t="shared" si="264"/>
        <v>10.62</v>
      </c>
      <c r="K892" s="421">
        <f t="shared" si="254"/>
        <v>12.62</v>
      </c>
      <c r="L892" s="647" t="s">
        <v>21</v>
      </c>
      <c r="M892" s="576"/>
      <c r="N892" s="576">
        <f t="shared" si="256"/>
        <v>0</v>
      </c>
      <c r="O892" s="577">
        <f t="shared" si="262"/>
        <v>0</v>
      </c>
      <c r="P892" s="578">
        <f t="shared" si="263"/>
        <v>0</v>
      </c>
      <c r="Q892" s="765"/>
      <c r="R892" s="576">
        <f t="shared" si="259"/>
        <v>0</v>
      </c>
      <c r="S892" s="576">
        <f t="shared" si="259"/>
        <v>0</v>
      </c>
      <c r="T892" s="577">
        <f t="shared" si="260"/>
        <v>0</v>
      </c>
      <c r="U892" s="578">
        <f t="shared" si="261"/>
        <v>0</v>
      </c>
      <c r="V892" s="579"/>
      <c r="W892" s="566"/>
      <c r="X892" s="586" t="str">
        <f t="shared" si="252"/>
        <v/>
      </c>
      <c r="Y892" s="586" t="str">
        <f t="shared" si="258"/>
        <v/>
      </c>
      <c r="Z892" s="586" t="str">
        <f t="shared" si="239"/>
        <v/>
      </c>
    </row>
    <row r="893" spans="1:26" ht="12" hidden="1" thickBot="1" x14ac:dyDescent="0.25">
      <c r="A893" s="567">
        <v>773</v>
      </c>
      <c r="B893" s="644">
        <v>773</v>
      </c>
      <c r="C893" s="645" t="s">
        <v>458</v>
      </c>
      <c r="D893" s="422" t="s">
        <v>1972</v>
      </c>
      <c r="E893" s="423"/>
      <c r="F893" s="424"/>
      <c r="G893" s="425"/>
      <c r="H893" s="651"/>
      <c r="I893" s="420">
        <v>88.39</v>
      </c>
      <c r="J893" s="420">
        <f t="shared" si="264"/>
        <v>88.39</v>
      </c>
      <c r="K893" s="421">
        <f t="shared" si="254"/>
        <v>105.02</v>
      </c>
      <c r="L893" s="647" t="s">
        <v>21</v>
      </c>
      <c r="M893" s="576"/>
      <c r="N893" s="576">
        <f t="shared" si="256"/>
        <v>0</v>
      </c>
      <c r="O893" s="577">
        <f t="shared" si="262"/>
        <v>0</v>
      </c>
      <c r="P893" s="578">
        <f t="shared" si="263"/>
        <v>0</v>
      </c>
      <c r="Q893" s="765"/>
      <c r="R893" s="576">
        <f t="shared" si="259"/>
        <v>0</v>
      </c>
      <c r="S893" s="576">
        <f t="shared" si="259"/>
        <v>0</v>
      </c>
      <c r="T893" s="577">
        <f t="shared" si="260"/>
        <v>0</v>
      </c>
      <c r="U893" s="578">
        <f t="shared" si="261"/>
        <v>0</v>
      </c>
      <c r="V893" s="579"/>
      <c r="W893" s="566"/>
      <c r="X893" s="586" t="str">
        <f t="shared" ref="X893:X956" si="265">IF(W893="X","x",IF(W893="xx","x",IF(W893="xy","x",IF(W893="y","x",IF(OR(P893&gt;0,U893&gt;0),"x","")))))</f>
        <v/>
      </c>
      <c r="Y893" s="586" t="str">
        <f t="shared" si="258"/>
        <v/>
      </c>
      <c r="Z893" s="586" t="str">
        <f t="shared" si="239"/>
        <v/>
      </c>
    </row>
    <row r="894" spans="1:26" ht="12" hidden="1" thickBot="1" x14ac:dyDescent="0.25">
      <c r="A894" s="567">
        <v>774</v>
      </c>
      <c r="B894" s="644">
        <v>774</v>
      </c>
      <c r="C894" s="645" t="s">
        <v>458</v>
      </c>
      <c r="D894" s="422" t="s">
        <v>1973</v>
      </c>
      <c r="E894" s="423"/>
      <c r="F894" s="424"/>
      <c r="G894" s="425"/>
      <c r="H894" s="651"/>
      <c r="I894" s="420">
        <v>119.92</v>
      </c>
      <c r="J894" s="420">
        <f t="shared" si="264"/>
        <v>119.92</v>
      </c>
      <c r="K894" s="421">
        <f t="shared" si="254"/>
        <v>142.47999999999999</v>
      </c>
      <c r="L894" s="647" t="s">
        <v>21</v>
      </c>
      <c r="M894" s="576"/>
      <c r="N894" s="576">
        <f t="shared" si="256"/>
        <v>0</v>
      </c>
      <c r="O894" s="577">
        <f t="shared" si="262"/>
        <v>0</v>
      </c>
      <c r="P894" s="578">
        <f t="shared" si="263"/>
        <v>0</v>
      </c>
      <c r="Q894" s="765"/>
      <c r="R894" s="576">
        <f t="shared" si="259"/>
        <v>0</v>
      </c>
      <c r="S894" s="576">
        <f t="shared" si="259"/>
        <v>0</v>
      </c>
      <c r="T894" s="577">
        <f t="shared" si="260"/>
        <v>0</v>
      </c>
      <c r="U894" s="578">
        <f t="shared" si="261"/>
        <v>0</v>
      </c>
      <c r="V894" s="579"/>
      <c r="W894" s="566"/>
      <c r="X894" s="586" t="str">
        <f t="shared" si="265"/>
        <v/>
      </c>
      <c r="Y894" s="586" t="str">
        <f t="shared" si="258"/>
        <v/>
      </c>
      <c r="Z894" s="586" t="str">
        <f t="shared" si="239"/>
        <v/>
      </c>
    </row>
    <row r="895" spans="1:26" ht="12" hidden="1" thickBot="1" x14ac:dyDescent="0.25">
      <c r="A895" s="567" t="s">
        <v>530</v>
      </c>
      <c r="B895" s="644" t="s">
        <v>530</v>
      </c>
      <c r="C895" s="645" t="s">
        <v>458</v>
      </c>
      <c r="D895" s="422" t="s">
        <v>1974</v>
      </c>
      <c r="E895" s="423"/>
      <c r="F895" s="424"/>
      <c r="G895" s="425"/>
      <c r="H895" s="651"/>
      <c r="I895" s="420">
        <v>17.13</v>
      </c>
      <c r="J895" s="420">
        <f t="shared" si="264"/>
        <v>17.13</v>
      </c>
      <c r="K895" s="421">
        <f t="shared" si="254"/>
        <v>20.350000000000001</v>
      </c>
      <c r="L895" s="647" t="s">
        <v>21</v>
      </c>
      <c r="M895" s="576"/>
      <c r="N895" s="576">
        <f t="shared" si="256"/>
        <v>0</v>
      </c>
      <c r="O895" s="577">
        <f t="shared" si="262"/>
        <v>0</v>
      </c>
      <c r="P895" s="578">
        <f t="shared" si="263"/>
        <v>0</v>
      </c>
      <c r="Q895" s="765"/>
      <c r="R895" s="576">
        <f t="shared" si="259"/>
        <v>0</v>
      </c>
      <c r="S895" s="576">
        <f t="shared" si="259"/>
        <v>0</v>
      </c>
      <c r="T895" s="577">
        <f t="shared" si="260"/>
        <v>0</v>
      </c>
      <c r="U895" s="578">
        <f t="shared" si="261"/>
        <v>0</v>
      </c>
      <c r="V895" s="579"/>
      <c r="W895" s="566"/>
      <c r="X895" s="586" t="str">
        <f t="shared" si="265"/>
        <v/>
      </c>
      <c r="Y895" s="586" t="str">
        <f t="shared" si="258"/>
        <v/>
      </c>
      <c r="Z895" s="586" t="str">
        <f t="shared" si="239"/>
        <v/>
      </c>
    </row>
    <row r="896" spans="1:26" ht="23.25" hidden="1" thickBot="1" x14ac:dyDescent="0.25">
      <c r="A896" s="567">
        <v>775</v>
      </c>
      <c r="B896" s="644">
        <v>775</v>
      </c>
      <c r="C896" s="645" t="s">
        <v>458</v>
      </c>
      <c r="D896" s="422" t="s">
        <v>1975</v>
      </c>
      <c r="E896" s="423"/>
      <c r="F896" s="424"/>
      <c r="G896" s="425"/>
      <c r="H896" s="651"/>
      <c r="I896" s="420">
        <v>14.05</v>
      </c>
      <c r="J896" s="420">
        <f t="shared" ref="J896:J920" si="266">IF(ISBLANK(I896),"",SUM(H896:I896))</f>
        <v>14.05</v>
      </c>
      <c r="K896" s="421">
        <f t="shared" si="254"/>
        <v>16.690000000000001</v>
      </c>
      <c r="L896" s="647" t="s">
        <v>21</v>
      </c>
      <c r="M896" s="576"/>
      <c r="N896" s="576">
        <f t="shared" si="256"/>
        <v>0</v>
      </c>
      <c r="O896" s="577">
        <f t="shared" si="262"/>
        <v>0</v>
      </c>
      <c r="P896" s="578">
        <f t="shared" si="263"/>
        <v>0</v>
      </c>
      <c r="Q896" s="765"/>
      <c r="R896" s="576">
        <f t="shared" si="259"/>
        <v>0</v>
      </c>
      <c r="S896" s="576">
        <f t="shared" si="259"/>
        <v>0</v>
      </c>
      <c r="T896" s="577">
        <f t="shared" si="260"/>
        <v>0</v>
      </c>
      <c r="U896" s="578">
        <f t="shared" si="261"/>
        <v>0</v>
      </c>
      <c r="V896" s="579"/>
      <c r="W896" s="566"/>
      <c r="X896" s="586" t="str">
        <f t="shared" si="265"/>
        <v/>
      </c>
      <c r="Y896" s="586" t="str">
        <f t="shared" si="258"/>
        <v/>
      </c>
      <c r="Z896" s="586" t="str">
        <f t="shared" si="239"/>
        <v/>
      </c>
    </row>
    <row r="897" spans="1:26" ht="12" hidden="1" thickBot="1" x14ac:dyDescent="0.25">
      <c r="A897" s="567">
        <v>776</v>
      </c>
      <c r="B897" s="644">
        <v>776</v>
      </c>
      <c r="C897" s="645" t="s">
        <v>458</v>
      </c>
      <c r="D897" s="422" t="s">
        <v>1976</v>
      </c>
      <c r="E897" s="423"/>
      <c r="F897" s="424"/>
      <c r="G897" s="425"/>
      <c r="H897" s="651"/>
      <c r="I897" s="420">
        <v>17.47</v>
      </c>
      <c r="J897" s="420">
        <f t="shared" si="266"/>
        <v>17.47</v>
      </c>
      <c r="K897" s="421">
        <f t="shared" si="254"/>
        <v>20.76</v>
      </c>
      <c r="L897" s="647" t="s">
        <v>21</v>
      </c>
      <c r="M897" s="576"/>
      <c r="N897" s="576">
        <f t="shared" si="256"/>
        <v>0</v>
      </c>
      <c r="O897" s="577">
        <f t="shared" si="262"/>
        <v>0</v>
      </c>
      <c r="P897" s="578">
        <f t="shared" si="263"/>
        <v>0</v>
      </c>
      <c r="Q897" s="765"/>
      <c r="R897" s="576">
        <f t="shared" si="259"/>
        <v>0</v>
      </c>
      <c r="S897" s="576">
        <f t="shared" si="259"/>
        <v>0</v>
      </c>
      <c r="T897" s="577">
        <f t="shared" si="260"/>
        <v>0</v>
      </c>
      <c r="U897" s="578">
        <f t="shared" si="261"/>
        <v>0</v>
      </c>
      <c r="V897" s="579"/>
      <c r="W897" s="566"/>
      <c r="X897" s="586" t="str">
        <f t="shared" si="265"/>
        <v/>
      </c>
      <c r="Y897" s="586" t="str">
        <f t="shared" si="258"/>
        <v/>
      </c>
      <c r="Z897" s="586" t="str">
        <f t="shared" si="239"/>
        <v/>
      </c>
    </row>
    <row r="898" spans="1:26" ht="12" hidden="1" thickBot="1" x14ac:dyDescent="0.25">
      <c r="A898" s="567" t="s">
        <v>531</v>
      </c>
      <c r="B898" s="644" t="s">
        <v>531</v>
      </c>
      <c r="C898" s="645" t="s">
        <v>458</v>
      </c>
      <c r="D898" s="422" t="s">
        <v>1977</v>
      </c>
      <c r="E898" s="423"/>
      <c r="F898" s="424"/>
      <c r="G898" s="425"/>
      <c r="H898" s="651"/>
      <c r="I898" s="420">
        <v>6.85</v>
      </c>
      <c r="J898" s="420">
        <f t="shared" si="266"/>
        <v>6.85</v>
      </c>
      <c r="K898" s="421">
        <f t="shared" si="254"/>
        <v>8.14</v>
      </c>
      <c r="L898" s="647" t="s">
        <v>21</v>
      </c>
      <c r="M898" s="576"/>
      <c r="N898" s="576">
        <f t="shared" si="256"/>
        <v>0</v>
      </c>
      <c r="O898" s="577">
        <f t="shared" si="262"/>
        <v>0</v>
      </c>
      <c r="P898" s="578">
        <f t="shared" si="263"/>
        <v>0</v>
      </c>
      <c r="Q898" s="765"/>
      <c r="R898" s="576">
        <f t="shared" si="259"/>
        <v>0</v>
      </c>
      <c r="S898" s="576">
        <f t="shared" si="259"/>
        <v>0</v>
      </c>
      <c r="T898" s="577">
        <f t="shared" si="260"/>
        <v>0</v>
      </c>
      <c r="U898" s="578">
        <f t="shared" si="261"/>
        <v>0</v>
      </c>
      <c r="V898" s="579"/>
      <c r="W898" s="566"/>
      <c r="X898" s="586" t="str">
        <f t="shared" si="265"/>
        <v/>
      </c>
      <c r="Y898" s="586" t="str">
        <f t="shared" si="258"/>
        <v/>
      </c>
      <c r="Z898" s="586" t="str">
        <f t="shared" si="239"/>
        <v/>
      </c>
    </row>
    <row r="899" spans="1:26" ht="12" hidden="1" thickBot="1" x14ac:dyDescent="0.25">
      <c r="A899" s="567">
        <v>862</v>
      </c>
      <c r="B899" s="644">
        <v>862</v>
      </c>
      <c r="C899" s="645" t="s">
        <v>458</v>
      </c>
      <c r="D899" s="427" t="s">
        <v>1978</v>
      </c>
      <c r="E899" s="423"/>
      <c r="F899" s="424"/>
      <c r="G899" s="425"/>
      <c r="H899" s="651"/>
      <c r="I899" s="420">
        <v>425.19</v>
      </c>
      <c r="J899" s="420">
        <f t="shared" si="266"/>
        <v>425.19</v>
      </c>
      <c r="K899" s="421">
        <f t="shared" si="254"/>
        <v>505.17</v>
      </c>
      <c r="L899" s="647" t="s">
        <v>16</v>
      </c>
      <c r="M899" s="576"/>
      <c r="N899" s="576">
        <f t="shared" si="256"/>
        <v>0</v>
      </c>
      <c r="O899" s="577">
        <f t="shared" si="262"/>
        <v>0</v>
      </c>
      <c r="P899" s="578">
        <f t="shared" si="263"/>
        <v>0</v>
      </c>
      <c r="Q899" s="765"/>
      <c r="R899" s="576">
        <f t="shared" si="259"/>
        <v>0</v>
      </c>
      <c r="S899" s="576">
        <f t="shared" si="259"/>
        <v>0</v>
      </c>
      <c r="T899" s="577">
        <f t="shared" si="260"/>
        <v>0</v>
      </c>
      <c r="U899" s="578">
        <f t="shared" si="261"/>
        <v>0</v>
      </c>
      <c r="V899" s="579"/>
      <c r="W899" s="566"/>
      <c r="X899" s="586" t="str">
        <f t="shared" si="265"/>
        <v/>
      </c>
      <c r="Y899" s="586" t="str">
        <f t="shared" si="258"/>
        <v/>
      </c>
      <c r="Z899" s="586" t="str">
        <f t="shared" si="239"/>
        <v/>
      </c>
    </row>
    <row r="900" spans="1:26" ht="12" hidden="1" thickBot="1" x14ac:dyDescent="0.25">
      <c r="A900" s="567" t="s">
        <v>532</v>
      </c>
      <c r="B900" s="644" t="s">
        <v>532</v>
      </c>
      <c r="C900" s="645" t="s">
        <v>458</v>
      </c>
      <c r="D900" s="422" t="s">
        <v>1979</v>
      </c>
      <c r="E900" s="423"/>
      <c r="F900" s="424"/>
      <c r="G900" s="425"/>
      <c r="H900" s="651"/>
      <c r="I900" s="420">
        <v>297.73</v>
      </c>
      <c r="J900" s="420">
        <f t="shared" si="266"/>
        <v>297.73</v>
      </c>
      <c r="K900" s="421">
        <f t="shared" si="254"/>
        <v>353.73</v>
      </c>
      <c r="L900" s="647" t="s">
        <v>16</v>
      </c>
      <c r="M900" s="576"/>
      <c r="N900" s="576">
        <f t="shared" si="256"/>
        <v>0</v>
      </c>
      <c r="O900" s="577">
        <f t="shared" si="262"/>
        <v>0</v>
      </c>
      <c r="P900" s="578">
        <f t="shared" si="263"/>
        <v>0</v>
      </c>
      <c r="Q900" s="765"/>
      <c r="R900" s="576">
        <f t="shared" si="259"/>
        <v>0</v>
      </c>
      <c r="S900" s="576">
        <f t="shared" si="259"/>
        <v>0</v>
      </c>
      <c r="T900" s="577">
        <f t="shared" si="260"/>
        <v>0</v>
      </c>
      <c r="U900" s="578">
        <f t="shared" si="261"/>
        <v>0</v>
      </c>
      <c r="V900" s="579"/>
      <c r="W900" s="566"/>
      <c r="X900" s="586" t="str">
        <f t="shared" si="265"/>
        <v/>
      </c>
      <c r="Y900" s="586" t="str">
        <f t="shared" si="258"/>
        <v/>
      </c>
      <c r="Z900" s="586" t="str">
        <f t="shared" si="239"/>
        <v/>
      </c>
    </row>
    <row r="901" spans="1:26" ht="12" hidden="1" thickBot="1" x14ac:dyDescent="0.25">
      <c r="A901" s="567">
        <v>875</v>
      </c>
      <c r="B901" s="644">
        <v>875</v>
      </c>
      <c r="C901" s="645" t="s">
        <v>458</v>
      </c>
      <c r="D901" s="427" t="s">
        <v>1980</v>
      </c>
      <c r="E901" s="423"/>
      <c r="F901" s="424"/>
      <c r="G901" s="425"/>
      <c r="H901" s="651"/>
      <c r="I901" s="420">
        <v>7.19</v>
      </c>
      <c r="J901" s="420">
        <f t="shared" si="266"/>
        <v>7.19</v>
      </c>
      <c r="K901" s="421">
        <f t="shared" si="254"/>
        <v>8.5399999999999991</v>
      </c>
      <c r="L901" s="647" t="s">
        <v>21</v>
      </c>
      <c r="M901" s="576"/>
      <c r="N901" s="576">
        <f t="shared" si="256"/>
        <v>0</v>
      </c>
      <c r="O901" s="577">
        <f t="shared" si="262"/>
        <v>0</v>
      </c>
      <c r="P901" s="578">
        <f t="shared" si="263"/>
        <v>0</v>
      </c>
      <c r="Q901" s="765"/>
      <c r="R901" s="576">
        <f t="shared" si="259"/>
        <v>0</v>
      </c>
      <c r="S901" s="576">
        <f t="shared" si="259"/>
        <v>0</v>
      </c>
      <c r="T901" s="577">
        <f t="shared" si="260"/>
        <v>0</v>
      </c>
      <c r="U901" s="578">
        <f t="shared" si="261"/>
        <v>0</v>
      </c>
      <c r="V901" s="579"/>
      <c r="W901" s="566"/>
      <c r="X901" s="586" t="str">
        <f t="shared" si="265"/>
        <v/>
      </c>
      <c r="Y901" s="586" t="str">
        <f t="shared" si="258"/>
        <v/>
      </c>
      <c r="Z901" s="586" t="str">
        <f t="shared" si="239"/>
        <v/>
      </c>
    </row>
    <row r="902" spans="1:26" ht="12" hidden="1" thickBot="1" x14ac:dyDescent="0.25">
      <c r="A902" s="567" t="s">
        <v>533</v>
      </c>
      <c r="B902" s="644" t="s">
        <v>533</v>
      </c>
      <c r="C902" s="645" t="s">
        <v>458</v>
      </c>
      <c r="D902" s="427" t="s">
        <v>1981</v>
      </c>
      <c r="E902" s="423"/>
      <c r="F902" s="424"/>
      <c r="G902" s="425"/>
      <c r="H902" s="651"/>
      <c r="I902" s="420">
        <v>2.74</v>
      </c>
      <c r="J902" s="420">
        <f t="shared" si="266"/>
        <v>2.74</v>
      </c>
      <c r="K902" s="421">
        <f t="shared" si="254"/>
        <v>3.26</v>
      </c>
      <c r="L902" s="647" t="s">
        <v>21</v>
      </c>
      <c r="M902" s="576"/>
      <c r="N902" s="576">
        <f t="shared" si="256"/>
        <v>0</v>
      </c>
      <c r="O902" s="577">
        <f t="shared" si="262"/>
        <v>0</v>
      </c>
      <c r="P902" s="578">
        <f t="shared" si="263"/>
        <v>0</v>
      </c>
      <c r="Q902" s="765"/>
      <c r="R902" s="576">
        <f t="shared" si="259"/>
        <v>0</v>
      </c>
      <c r="S902" s="576">
        <f t="shared" si="259"/>
        <v>0</v>
      </c>
      <c r="T902" s="577">
        <f t="shared" si="260"/>
        <v>0</v>
      </c>
      <c r="U902" s="578">
        <f t="shared" si="261"/>
        <v>0</v>
      </c>
      <c r="V902" s="579"/>
      <c r="W902" s="566"/>
      <c r="X902" s="586" t="str">
        <f t="shared" si="265"/>
        <v/>
      </c>
      <c r="Y902" s="586" t="str">
        <f t="shared" si="258"/>
        <v/>
      </c>
      <c r="Z902" s="586" t="str">
        <f t="shared" si="239"/>
        <v/>
      </c>
    </row>
    <row r="903" spans="1:26" ht="12" hidden="1" thickBot="1" x14ac:dyDescent="0.25">
      <c r="A903" s="567">
        <v>780</v>
      </c>
      <c r="B903" s="644">
        <v>780</v>
      </c>
      <c r="C903" s="645" t="s">
        <v>458</v>
      </c>
      <c r="D903" s="422" t="s">
        <v>1982</v>
      </c>
      <c r="E903" s="423"/>
      <c r="F903" s="424"/>
      <c r="G903" s="425"/>
      <c r="H903" s="651"/>
      <c r="I903" s="420">
        <v>528.30999999999995</v>
      </c>
      <c r="J903" s="420">
        <f t="shared" si="266"/>
        <v>528.30999999999995</v>
      </c>
      <c r="K903" s="421">
        <f t="shared" si="254"/>
        <v>627.69000000000005</v>
      </c>
      <c r="L903" s="647" t="s">
        <v>177</v>
      </c>
      <c r="M903" s="576"/>
      <c r="N903" s="576">
        <f t="shared" si="256"/>
        <v>0</v>
      </c>
      <c r="O903" s="577">
        <f t="shared" si="262"/>
        <v>0</v>
      </c>
      <c r="P903" s="578">
        <f t="shared" si="263"/>
        <v>0</v>
      </c>
      <c r="Q903" s="765"/>
      <c r="R903" s="576">
        <f t="shared" si="259"/>
        <v>0</v>
      </c>
      <c r="S903" s="576">
        <f t="shared" si="259"/>
        <v>0</v>
      </c>
      <c r="T903" s="577">
        <f t="shared" si="260"/>
        <v>0</v>
      </c>
      <c r="U903" s="578">
        <f t="shared" si="261"/>
        <v>0</v>
      </c>
      <c r="V903" s="579"/>
      <c r="W903" s="566"/>
      <c r="X903" s="586" t="str">
        <f t="shared" si="265"/>
        <v/>
      </c>
      <c r="Y903" s="586" t="str">
        <f t="shared" si="258"/>
        <v/>
      </c>
      <c r="Z903" s="586" t="str">
        <f t="shared" si="239"/>
        <v/>
      </c>
    </row>
    <row r="904" spans="1:26" ht="12" hidden="1" thickBot="1" x14ac:dyDescent="0.25">
      <c r="A904" s="567" t="s">
        <v>538</v>
      </c>
      <c r="B904" s="644" t="s">
        <v>538</v>
      </c>
      <c r="C904" s="645" t="s">
        <v>458</v>
      </c>
      <c r="D904" s="422" t="s">
        <v>1983</v>
      </c>
      <c r="E904" s="423"/>
      <c r="F904" s="424"/>
      <c r="G904" s="425"/>
      <c r="H904" s="651"/>
      <c r="I904" s="420">
        <v>211.39</v>
      </c>
      <c r="J904" s="420">
        <f t="shared" si="266"/>
        <v>211.39</v>
      </c>
      <c r="K904" s="421">
        <f t="shared" si="254"/>
        <v>251.15</v>
      </c>
      <c r="L904" s="647" t="s">
        <v>177</v>
      </c>
      <c r="M904" s="576"/>
      <c r="N904" s="576">
        <f t="shared" si="256"/>
        <v>0</v>
      </c>
      <c r="O904" s="577">
        <f t="shared" si="262"/>
        <v>0</v>
      </c>
      <c r="P904" s="578">
        <f t="shared" si="263"/>
        <v>0</v>
      </c>
      <c r="Q904" s="765"/>
      <c r="R904" s="576">
        <f t="shared" si="259"/>
        <v>0</v>
      </c>
      <c r="S904" s="576">
        <f t="shared" si="259"/>
        <v>0</v>
      </c>
      <c r="T904" s="577">
        <f t="shared" si="260"/>
        <v>0</v>
      </c>
      <c r="U904" s="578">
        <f t="shared" si="261"/>
        <v>0</v>
      </c>
      <c r="V904" s="579"/>
      <c r="W904" s="566"/>
      <c r="X904" s="586" t="str">
        <f t="shared" si="265"/>
        <v/>
      </c>
      <c r="Y904" s="586" t="str">
        <f t="shared" si="258"/>
        <v/>
      </c>
      <c r="Z904" s="586" t="str">
        <f t="shared" si="239"/>
        <v/>
      </c>
    </row>
    <row r="905" spans="1:26" ht="23.25" hidden="1" thickBot="1" x14ac:dyDescent="0.25">
      <c r="A905" s="567">
        <v>781</v>
      </c>
      <c r="B905" s="644">
        <v>781</v>
      </c>
      <c r="C905" s="645" t="s">
        <v>458</v>
      </c>
      <c r="D905" s="422" t="s">
        <v>1984</v>
      </c>
      <c r="E905" s="423"/>
      <c r="F905" s="424"/>
      <c r="G905" s="425"/>
      <c r="H905" s="651"/>
      <c r="I905" s="420">
        <v>879.15</v>
      </c>
      <c r="J905" s="420">
        <f t="shared" si="266"/>
        <v>879.15</v>
      </c>
      <c r="K905" s="421">
        <f t="shared" ref="K905:K968" si="267">IF(ISBLANK(I905),0,ROUND(J905*(1+$F$10)*(1+$F$11*E905),2))</f>
        <v>1044.52</v>
      </c>
      <c r="L905" s="647" t="s">
        <v>177</v>
      </c>
      <c r="M905" s="576"/>
      <c r="N905" s="576">
        <f t="shared" si="256"/>
        <v>0</v>
      </c>
      <c r="O905" s="577">
        <f t="shared" si="262"/>
        <v>0</v>
      </c>
      <c r="P905" s="578">
        <f t="shared" si="263"/>
        <v>0</v>
      </c>
      <c r="Q905" s="765"/>
      <c r="R905" s="576">
        <f t="shared" si="259"/>
        <v>0</v>
      </c>
      <c r="S905" s="576">
        <f t="shared" si="259"/>
        <v>0</v>
      </c>
      <c r="T905" s="577">
        <f t="shared" si="260"/>
        <v>0</v>
      </c>
      <c r="U905" s="578">
        <f t="shared" si="261"/>
        <v>0</v>
      </c>
      <c r="V905" s="579"/>
      <c r="W905" s="566"/>
      <c r="X905" s="586" t="str">
        <f t="shared" si="265"/>
        <v/>
      </c>
      <c r="Y905" s="586" t="str">
        <f t="shared" si="258"/>
        <v/>
      </c>
      <c r="Z905" s="586" t="str">
        <f t="shared" si="239"/>
        <v/>
      </c>
    </row>
    <row r="906" spans="1:26" ht="12" hidden="1" thickBot="1" x14ac:dyDescent="0.25">
      <c r="A906" s="567" t="s">
        <v>539</v>
      </c>
      <c r="B906" s="644" t="s">
        <v>539</v>
      </c>
      <c r="C906" s="645" t="s">
        <v>458</v>
      </c>
      <c r="D906" s="422" t="s">
        <v>1985</v>
      </c>
      <c r="E906" s="423"/>
      <c r="F906" s="424"/>
      <c r="G906" s="425"/>
      <c r="H906" s="651"/>
      <c r="I906" s="420">
        <v>351.52</v>
      </c>
      <c r="J906" s="420">
        <f t="shared" si="266"/>
        <v>351.52</v>
      </c>
      <c r="K906" s="421">
        <f t="shared" si="267"/>
        <v>417.64</v>
      </c>
      <c r="L906" s="647" t="s">
        <v>177</v>
      </c>
      <c r="M906" s="576"/>
      <c r="N906" s="576">
        <f t="shared" si="256"/>
        <v>0</v>
      </c>
      <c r="O906" s="577">
        <f t="shared" si="262"/>
        <v>0</v>
      </c>
      <c r="P906" s="578">
        <f t="shared" si="263"/>
        <v>0</v>
      </c>
      <c r="Q906" s="765"/>
      <c r="R906" s="576">
        <f t="shared" si="259"/>
        <v>0</v>
      </c>
      <c r="S906" s="576">
        <f t="shared" si="259"/>
        <v>0</v>
      </c>
      <c r="T906" s="577">
        <f t="shared" si="260"/>
        <v>0</v>
      </c>
      <c r="U906" s="578">
        <f t="shared" si="261"/>
        <v>0</v>
      </c>
      <c r="V906" s="579"/>
      <c r="W906" s="566"/>
      <c r="X906" s="586" t="str">
        <f t="shared" si="265"/>
        <v/>
      </c>
      <c r="Y906" s="586" t="str">
        <f t="shared" si="258"/>
        <v/>
      </c>
      <c r="Z906" s="586" t="str">
        <f t="shared" si="239"/>
        <v/>
      </c>
    </row>
    <row r="907" spans="1:26" ht="23.25" hidden="1" thickBot="1" x14ac:dyDescent="0.25">
      <c r="A907" s="567">
        <v>782</v>
      </c>
      <c r="B907" s="644">
        <v>782</v>
      </c>
      <c r="C907" s="645" t="s">
        <v>458</v>
      </c>
      <c r="D907" s="422" t="s">
        <v>1986</v>
      </c>
      <c r="E907" s="423"/>
      <c r="F907" s="424"/>
      <c r="G907" s="425"/>
      <c r="H907" s="651"/>
      <c r="I907" s="420">
        <v>1465.37</v>
      </c>
      <c r="J907" s="420">
        <f t="shared" si="266"/>
        <v>1465.37</v>
      </c>
      <c r="K907" s="421">
        <f t="shared" si="267"/>
        <v>1741.01</v>
      </c>
      <c r="L907" s="647" t="s">
        <v>177</v>
      </c>
      <c r="M907" s="576"/>
      <c r="N907" s="576">
        <f t="shared" si="256"/>
        <v>0</v>
      </c>
      <c r="O907" s="577">
        <f t="shared" si="262"/>
        <v>0</v>
      </c>
      <c r="P907" s="578">
        <f t="shared" si="263"/>
        <v>0</v>
      </c>
      <c r="Q907" s="765"/>
      <c r="R907" s="576">
        <f t="shared" si="259"/>
        <v>0</v>
      </c>
      <c r="S907" s="576">
        <f t="shared" si="259"/>
        <v>0</v>
      </c>
      <c r="T907" s="577">
        <f t="shared" si="260"/>
        <v>0</v>
      </c>
      <c r="U907" s="578">
        <f t="shared" si="261"/>
        <v>0</v>
      </c>
      <c r="V907" s="579"/>
      <c r="W907" s="566"/>
      <c r="X907" s="586" t="str">
        <f t="shared" si="265"/>
        <v/>
      </c>
      <c r="Y907" s="586" t="str">
        <f t="shared" si="258"/>
        <v/>
      </c>
      <c r="Z907" s="586" t="str">
        <f t="shared" si="239"/>
        <v/>
      </c>
    </row>
    <row r="908" spans="1:26" ht="23.25" hidden="1" thickBot="1" x14ac:dyDescent="0.25">
      <c r="A908" s="567" t="s">
        <v>540</v>
      </c>
      <c r="B908" s="644" t="s">
        <v>540</v>
      </c>
      <c r="C908" s="645" t="s">
        <v>458</v>
      </c>
      <c r="D908" s="422" t="s">
        <v>1987</v>
      </c>
      <c r="E908" s="423"/>
      <c r="F908" s="424"/>
      <c r="G908" s="425"/>
      <c r="H908" s="651"/>
      <c r="I908" s="420">
        <v>586.21</v>
      </c>
      <c r="J908" s="420">
        <f t="shared" si="266"/>
        <v>586.21</v>
      </c>
      <c r="K908" s="421">
        <f t="shared" si="267"/>
        <v>696.48</v>
      </c>
      <c r="L908" s="647" t="s">
        <v>177</v>
      </c>
      <c r="M908" s="576"/>
      <c r="N908" s="576">
        <f t="shared" si="256"/>
        <v>0</v>
      </c>
      <c r="O908" s="577">
        <f t="shared" si="262"/>
        <v>0</v>
      </c>
      <c r="P908" s="578">
        <f t="shared" si="263"/>
        <v>0</v>
      </c>
      <c r="Q908" s="765"/>
      <c r="R908" s="576">
        <f t="shared" si="259"/>
        <v>0</v>
      </c>
      <c r="S908" s="576">
        <f t="shared" si="259"/>
        <v>0</v>
      </c>
      <c r="T908" s="577">
        <f t="shared" si="260"/>
        <v>0</v>
      </c>
      <c r="U908" s="578">
        <f t="shared" si="261"/>
        <v>0</v>
      </c>
      <c r="V908" s="579"/>
      <c r="W908" s="566"/>
      <c r="X908" s="586" t="str">
        <f t="shared" si="265"/>
        <v/>
      </c>
      <c r="Y908" s="586" t="str">
        <f t="shared" si="258"/>
        <v/>
      </c>
      <c r="Z908" s="586" t="str">
        <f t="shared" si="239"/>
        <v/>
      </c>
    </row>
    <row r="909" spans="1:26" ht="12" hidden="1" thickBot="1" x14ac:dyDescent="0.25">
      <c r="A909" s="567">
        <v>783</v>
      </c>
      <c r="B909" s="644">
        <v>783</v>
      </c>
      <c r="C909" s="645" t="s">
        <v>458</v>
      </c>
      <c r="D909" s="422" t="s">
        <v>1988</v>
      </c>
      <c r="E909" s="423"/>
      <c r="F909" s="424"/>
      <c r="G909" s="425"/>
      <c r="H909" s="651"/>
      <c r="I909" s="420">
        <v>1721.98</v>
      </c>
      <c r="J909" s="420">
        <f t="shared" si="266"/>
        <v>1721.98</v>
      </c>
      <c r="K909" s="421">
        <f t="shared" si="267"/>
        <v>2045.88</v>
      </c>
      <c r="L909" s="647" t="s">
        <v>177</v>
      </c>
      <c r="M909" s="576"/>
      <c r="N909" s="576">
        <f t="shared" si="256"/>
        <v>0</v>
      </c>
      <c r="O909" s="577">
        <f t="shared" si="262"/>
        <v>0</v>
      </c>
      <c r="P909" s="578">
        <f t="shared" si="263"/>
        <v>0</v>
      </c>
      <c r="Q909" s="765"/>
      <c r="R909" s="576">
        <f t="shared" si="259"/>
        <v>0</v>
      </c>
      <c r="S909" s="576">
        <f t="shared" si="259"/>
        <v>0</v>
      </c>
      <c r="T909" s="577">
        <f t="shared" si="260"/>
        <v>0</v>
      </c>
      <c r="U909" s="578">
        <f t="shared" si="261"/>
        <v>0</v>
      </c>
      <c r="V909" s="579"/>
      <c r="W909" s="566"/>
      <c r="X909" s="586" t="str">
        <f t="shared" si="265"/>
        <v/>
      </c>
      <c r="Y909" s="586" t="str">
        <f t="shared" si="258"/>
        <v/>
      </c>
      <c r="Z909" s="586" t="str">
        <f t="shared" si="239"/>
        <v/>
      </c>
    </row>
    <row r="910" spans="1:26" ht="12" hidden="1" thickBot="1" x14ac:dyDescent="0.25">
      <c r="A910" s="567" t="s">
        <v>541</v>
      </c>
      <c r="B910" s="644" t="s">
        <v>541</v>
      </c>
      <c r="C910" s="645" t="s">
        <v>458</v>
      </c>
      <c r="D910" s="422" t="s">
        <v>1989</v>
      </c>
      <c r="E910" s="423"/>
      <c r="F910" s="424"/>
      <c r="G910" s="425"/>
      <c r="H910" s="651"/>
      <c r="I910" s="420">
        <v>688.66</v>
      </c>
      <c r="J910" s="420">
        <f t="shared" si="266"/>
        <v>688.66</v>
      </c>
      <c r="K910" s="421">
        <f t="shared" si="267"/>
        <v>818.2</v>
      </c>
      <c r="L910" s="647" t="s">
        <v>177</v>
      </c>
      <c r="M910" s="576"/>
      <c r="N910" s="576">
        <f t="shared" si="256"/>
        <v>0</v>
      </c>
      <c r="O910" s="577">
        <f t="shared" si="262"/>
        <v>0</v>
      </c>
      <c r="P910" s="578">
        <f t="shared" si="263"/>
        <v>0</v>
      </c>
      <c r="Q910" s="765"/>
      <c r="R910" s="576">
        <f t="shared" si="259"/>
        <v>0</v>
      </c>
      <c r="S910" s="576">
        <f t="shared" si="259"/>
        <v>0</v>
      </c>
      <c r="T910" s="577">
        <f t="shared" si="260"/>
        <v>0</v>
      </c>
      <c r="U910" s="578">
        <f t="shared" si="261"/>
        <v>0</v>
      </c>
      <c r="V910" s="579"/>
      <c r="W910" s="566"/>
      <c r="X910" s="586" t="str">
        <f t="shared" si="265"/>
        <v/>
      </c>
      <c r="Y910" s="586" t="str">
        <f t="shared" si="258"/>
        <v/>
      </c>
      <c r="Z910" s="586" t="str">
        <f t="shared" si="239"/>
        <v/>
      </c>
    </row>
    <row r="911" spans="1:26" ht="12" hidden="1" thickBot="1" x14ac:dyDescent="0.25">
      <c r="A911" s="567">
        <v>784</v>
      </c>
      <c r="B911" s="644">
        <v>784</v>
      </c>
      <c r="C911" s="645" t="s">
        <v>458</v>
      </c>
      <c r="D911" s="422" t="s">
        <v>1990</v>
      </c>
      <c r="E911" s="423"/>
      <c r="F911" s="424"/>
      <c r="G911" s="425"/>
      <c r="H911" s="651"/>
      <c r="I911" s="420">
        <v>642.75</v>
      </c>
      <c r="J911" s="420">
        <f t="shared" si="266"/>
        <v>642.75</v>
      </c>
      <c r="K911" s="421">
        <f t="shared" si="267"/>
        <v>763.65</v>
      </c>
      <c r="L911" s="647" t="s">
        <v>177</v>
      </c>
      <c r="M911" s="576"/>
      <c r="N911" s="576">
        <f t="shared" si="256"/>
        <v>0</v>
      </c>
      <c r="O911" s="577">
        <f t="shared" si="262"/>
        <v>0</v>
      </c>
      <c r="P911" s="578">
        <f t="shared" si="263"/>
        <v>0</v>
      </c>
      <c r="Q911" s="765"/>
      <c r="R911" s="576">
        <f t="shared" si="259"/>
        <v>0</v>
      </c>
      <c r="S911" s="576">
        <f t="shared" si="259"/>
        <v>0</v>
      </c>
      <c r="T911" s="577">
        <f t="shared" si="260"/>
        <v>0</v>
      </c>
      <c r="U911" s="578">
        <f t="shared" si="261"/>
        <v>0</v>
      </c>
      <c r="V911" s="579"/>
      <c r="W911" s="566"/>
      <c r="X911" s="586" t="str">
        <f t="shared" si="265"/>
        <v/>
      </c>
      <c r="Y911" s="586" t="str">
        <f t="shared" si="258"/>
        <v/>
      </c>
      <c r="Z911" s="586" t="str">
        <f t="shared" si="239"/>
        <v/>
      </c>
    </row>
    <row r="912" spans="1:26" ht="12" hidden="1" thickBot="1" x14ac:dyDescent="0.25">
      <c r="A912" s="567" t="s">
        <v>542</v>
      </c>
      <c r="B912" s="644" t="s">
        <v>542</v>
      </c>
      <c r="C912" s="645" t="s">
        <v>458</v>
      </c>
      <c r="D912" s="422" t="s">
        <v>1991</v>
      </c>
      <c r="E912" s="423"/>
      <c r="F912" s="424"/>
      <c r="G912" s="425"/>
      <c r="H912" s="651"/>
      <c r="I912" s="420">
        <v>256.95999999999998</v>
      </c>
      <c r="J912" s="420">
        <f t="shared" si="266"/>
        <v>256.95999999999998</v>
      </c>
      <c r="K912" s="421">
        <f t="shared" si="267"/>
        <v>305.29000000000002</v>
      </c>
      <c r="L912" s="647" t="s">
        <v>177</v>
      </c>
      <c r="M912" s="576"/>
      <c r="N912" s="576">
        <f t="shared" si="256"/>
        <v>0</v>
      </c>
      <c r="O912" s="577">
        <f t="shared" si="262"/>
        <v>0</v>
      </c>
      <c r="P912" s="578">
        <f t="shared" si="263"/>
        <v>0</v>
      </c>
      <c r="Q912" s="765"/>
      <c r="R912" s="576">
        <f t="shared" si="259"/>
        <v>0</v>
      </c>
      <c r="S912" s="576">
        <f t="shared" si="259"/>
        <v>0</v>
      </c>
      <c r="T912" s="577">
        <f t="shared" si="260"/>
        <v>0</v>
      </c>
      <c r="U912" s="578">
        <f t="shared" si="261"/>
        <v>0</v>
      </c>
      <c r="V912" s="579"/>
      <c r="W912" s="566"/>
      <c r="X912" s="586" t="str">
        <f t="shared" si="265"/>
        <v/>
      </c>
      <c r="Y912" s="586" t="str">
        <f t="shared" si="258"/>
        <v/>
      </c>
      <c r="Z912" s="586" t="str">
        <f t="shared" si="239"/>
        <v/>
      </c>
    </row>
    <row r="913" spans="1:26" ht="12" hidden="1" thickBot="1" x14ac:dyDescent="0.25">
      <c r="A913" s="567">
        <v>785</v>
      </c>
      <c r="B913" s="644">
        <v>785</v>
      </c>
      <c r="C913" s="645" t="s">
        <v>458</v>
      </c>
      <c r="D913" s="422" t="s">
        <v>1992</v>
      </c>
      <c r="E913" s="423"/>
      <c r="F913" s="424"/>
      <c r="G913" s="425"/>
      <c r="H913" s="651"/>
      <c r="I913" s="420">
        <v>1706.57</v>
      </c>
      <c r="J913" s="420">
        <f t="shared" si="266"/>
        <v>1706.57</v>
      </c>
      <c r="K913" s="421">
        <f t="shared" si="267"/>
        <v>2027.58</v>
      </c>
      <c r="L913" s="647" t="s">
        <v>177</v>
      </c>
      <c r="M913" s="576"/>
      <c r="N913" s="576">
        <f t="shared" si="256"/>
        <v>0</v>
      </c>
      <c r="O913" s="577">
        <f t="shared" si="262"/>
        <v>0</v>
      </c>
      <c r="P913" s="578">
        <f t="shared" si="263"/>
        <v>0</v>
      </c>
      <c r="Q913" s="765"/>
      <c r="R913" s="576">
        <f t="shared" si="259"/>
        <v>0</v>
      </c>
      <c r="S913" s="576">
        <f t="shared" si="259"/>
        <v>0</v>
      </c>
      <c r="T913" s="577">
        <f t="shared" si="260"/>
        <v>0</v>
      </c>
      <c r="U913" s="578">
        <f t="shared" si="261"/>
        <v>0</v>
      </c>
      <c r="V913" s="579"/>
      <c r="W913" s="566"/>
      <c r="X913" s="586" t="str">
        <f t="shared" si="265"/>
        <v/>
      </c>
      <c r="Y913" s="586" t="str">
        <f t="shared" si="258"/>
        <v/>
      </c>
      <c r="Z913" s="586" t="str">
        <f t="shared" si="239"/>
        <v/>
      </c>
    </row>
    <row r="914" spans="1:26" ht="12" hidden="1" thickBot="1" x14ac:dyDescent="0.25">
      <c r="A914" s="567" t="s">
        <v>543</v>
      </c>
      <c r="B914" s="644" t="s">
        <v>543</v>
      </c>
      <c r="C914" s="645" t="s">
        <v>458</v>
      </c>
      <c r="D914" s="422" t="s">
        <v>1993</v>
      </c>
      <c r="E914" s="423"/>
      <c r="F914" s="424"/>
      <c r="G914" s="425"/>
      <c r="H914" s="651"/>
      <c r="I914" s="420">
        <v>659.19</v>
      </c>
      <c r="J914" s="420">
        <f t="shared" si="266"/>
        <v>659.19</v>
      </c>
      <c r="K914" s="421">
        <f t="shared" si="267"/>
        <v>783.18</v>
      </c>
      <c r="L914" s="647" t="s">
        <v>177</v>
      </c>
      <c r="M914" s="576"/>
      <c r="N914" s="576">
        <f t="shared" si="256"/>
        <v>0</v>
      </c>
      <c r="O914" s="577">
        <f t="shared" si="262"/>
        <v>0</v>
      </c>
      <c r="P914" s="578">
        <f t="shared" si="263"/>
        <v>0</v>
      </c>
      <c r="Q914" s="765"/>
      <c r="R914" s="576">
        <f t="shared" si="259"/>
        <v>0</v>
      </c>
      <c r="S914" s="576">
        <f t="shared" si="259"/>
        <v>0</v>
      </c>
      <c r="T914" s="577">
        <f t="shared" si="260"/>
        <v>0</v>
      </c>
      <c r="U914" s="578">
        <f t="shared" si="261"/>
        <v>0</v>
      </c>
      <c r="V914" s="579"/>
      <c r="W914" s="566"/>
      <c r="X914" s="586" t="str">
        <f t="shared" si="265"/>
        <v/>
      </c>
      <c r="Y914" s="586" t="str">
        <f t="shared" si="258"/>
        <v/>
      </c>
      <c r="Z914" s="586" t="str">
        <f t="shared" si="239"/>
        <v/>
      </c>
    </row>
    <row r="915" spans="1:26" ht="12" hidden="1" thickBot="1" x14ac:dyDescent="0.25">
      <c r="A915" s="567">
        <v>786</v>
      </c>
      <c r="B915" s="644">
        <v>786</v>
      </c>
      <c r="C915" s="645" t="s">
        <v>458</v>
      </c>
      <c r="D915" s="422" t="s">
        <v>1994</v>
      </c>
      <c r="E915" s="423"/>
      <c r="F915" s="424"/>
      <c r="G915" s="425"/>
      <c r="H915" s="651"/>
      <c r="I915" s="420">
        <v>535.51</v>
      </c>
      <c r="J915" s="420">
        <f t="shared" si="266"/>
        <v>535.51</v>
      </c>
      <c r="K915" s="421">
        <f t="shared" si="267"/>
        <v>636.24</v>
      </c>
      <c r="L915" s="647" t="s">
        <v>177</v>
      </c>
      <c r="M915" s="576"/>
      <c r="N915" s="576">
        <f t="shared" si="256"/>
        <v>0</v>
      </c>
      <c r="O915" s="577">
        <f t="shared" si="262"/>
        <v>0</v>
      </c>
      <c r="P915" s="578">
        <f t="shared" si="263"/>
        <v>0</v>
      </c>
      <c r="Q915" s="765"/>
      <c r="R915" s="576">
        <f t="shared" si="259"/>
        <v>0</v>
      </c>
      <c r="S915" s="576">
        <f t="shared" si="259"/>
        <v>0</v>
      </c>
      <c r="T915" s="577">
        <f t="shared" si="260"/>
        <v>0</v>
      </c>
      <c r="U915" s="578">
        <f t="shared" si="261"/>
        <v>0</v>
      </c>
      <c r="V915" s="579"/>
      <c r="W915" s="566"/>
      <c r="X915" s="586" t="str">
        <f t="shared" si="265"/>
        <v/>
      </c>
      <c r="Y915" s="586" t="str">
        <f t="shared" si="258"/>
        <v/>
      </c>
      <c r="Z915" s="586" t="str">
        <f t="shared" ref="Z915:Z978" si="268">IF(W915="X","x",IF(U915&gt;0,"x",""))</f>
        <v/>
      </c>
    </row>
    <row r="916" spans="1:26" ht="12" hidden="1" thickBot="1" x14ac:dyDescent="0.25">
      <c r="A916" s="567" t="s">
        <v>544</v>
      </c>
      <c r="B916" s="644" t="s">
        <v>544</v>
      </c>
      <c r="C916" s="645" t="s">
        <v>458</v>
      </c>
      <c r="D916" s="422" t="s">
        <v>1995</v>
      </c>
      <c r="E916" s="423"/>
      <c r="F916" s="424"/>
      <c r="G916" s="425"/>
      <c r="H916" s="651"/>
      <c r="I916" s="420">
        <v>214.13</v>
      </c>
      <c r="J916" s="420">
        <f t="shared" si="266"/>
        <v>214.13</v>
      </c>
      <c r="K916" s="421">
        <f t="shared" si="267"/>
        <v>254.41</v>
      </c>
      <c r="L916" s="647" t="s">
        <v>177</v>
      </c>
      <c r="M916" s="576"/>
      <c r="N916" s="576">
        <f t="shared" ref="N916:N979" si="269">IF(M916=0,0,K916)</f>
        <v>0</v>
      </c>
      <c r="O916" s="577">
        <f t="shared" si="262"/>
        <v>0</v>
      </c>
      <c r="P916" s="578">
        <f t="shared" si="263"/>
        <v>0</v>
      </c>
      <c r="Q916" s="765"/>
      <c r="R916" s="576">
        <f t="shared" si="259"/>
        <v>0</v>
      </c>
      <c r="S916" s="576">
        <f t="shared" si="259"/>
        <v>0</v>
      </c>
      <c r="T916" s="577">
        <f t="shared" si="260"/>
        <v>0</v>
      </c>
      <c r="U916" s="578">
        <f t="shared" si="261"/>
        <v>0</v>
      </c>
      <c r="V916" s="579"/>
      <c r="W916" s="566"/>
      <c r="X916" s="586" t="str">
        <f t="shared" si="265"/>
        <v/>
      </c>
      <c r="Y916" s="586" t="str">
        <f t="shared" si="258"/>
        <v/>
      </c>
      <c r="Z916" s="586" t="str">
        <f t="shared" si="268"/>
        <v/>
      </c>
    </row>
    <row r="917" spans="1:26" ht="12" hidden="1" thickBot="1" x14ac:dyDescent="0.25">
      <c r="A917" s="567">
        <v>787</v>
      </c>
      <c r="B917" s="644">
        <v>787</v>
      </c>
      <c r="C917" s="645" t="s">
        <v>458</v>
      </c>
      <c r="D917" s="422" t="s">
        <v>1996</v>
      </c>
      <c r="E917" s="423"/>
      <c r="F917" s="424"/>
      <c r="G917" s="425"/>
      <c r="H917" s="651"/>
      <c r="I917" s="420">
        <v>484.12</v>
      </c>
      <c r="J917" s="420">
        <f t="shared" si="266"/>
        <v>484.12</v>
      </c>
      <c r="K917" s="421">
        <f t="shared" si="267"/>
        <v>575.17999999999995</v>
      </c>
      <c r="L917" s="647" t="s">
        <v>177</v>
      </c>
      <c r="M917" s="576"/>
      <c r="N917" s="576">
        <f t="shared" si="269"/>
        <v>0</v>
      </c>
      <c r="O917" s="577">
        <f t="shared" si="262"/>
        <v>0</v>
      </c>
      <c r="P917" s="578">
        <f t="shared" si="263"/>
        <v>0</v>
      </c>
      <c r="Q917" s="765"/>
      <c r="R917" s="576">
        <f t="shared" si="259"/>
        <v>0</v>
      </c>
      <c r="S917" s="576">
        <f t="shared" si="259"/>
        <v>0</v>
      </c>
      <c r="T917" s="577">
        <f t="shared" si="260"/>
        <v>0</v>
      </c>
      <c r="U917" s="578">
        <f t="shared" si="261"/>
        <v>0</v>
      </c>
      <c r="V917" s="579"/>
      <c r="W917" s="566"/>
      <c r="X917" s="586" t="str">
        <f t="shared" si="265"/>
        <v/>
      </c>
      <c r="Y917" s="586" t="str">
        <f t="shared" si="258"/>
        <v/>
      </c>
      <c r="Z917" s="586" t="str">
        <f t="shared" si="268"/>
        <v/>
      </c>
    </row>
    <row r="918" spans="1:26" ht="12" hidden="1" thickBot="1" x14ac:dyDescent="0.25">
      <c r="A918" s="567" t="s">
        <v>545</v>
      </c>
      <c r="B918" s="644" t="s">
        <v>545</v>
      </c>
      <c r="C918" s="645" t="s">
        <v>458</v>
      </c>
      <c r="D918" s="422" t="s">
        <v>1997</v>
      </c>
      <c r="E918" s="423"/>
      <c r="F918" s="424"/>
      <c r="G918" s="425"/>
      <c r="H918" s="651"/>
      <c r="I918" s="420">
        <v>193.58</v>
      </c>
      <c r="J918" s="420">
        <f t="shared" si="266"/>
        <v>193.58</v>
      </c>
      <c r="K918" s="421">
        <f t="shared" si="267"/>
        <v>229.99</v>
      </c>
      <c r="L918" s="647" t="s">
        <v>177</v>
      </c>
      <c r="M918" s="576"/>
      <c r="N918" s="576">
        <f t="shared" si="269"/>
        <v>0</v>
      </c>
      <c r="O918" s="577">
        <f t="shared" si="262"/>
        <v>0</v>
      </c>
      <c r="P918" s="578">
        <f t="shared" si="263"/>
        <v>0</v>
      </c>
      <c r="Q918" s="765"/>
      <c r="R918" s="576">
        <f t="shared" si="259"/>
        <v>0</v>
      </c>
      <c r="S918" s="576">
        <f t="shared" si="259"/>
        <v>0</v>
      </c>
      <c r="T918" s="577">
        <f t="shared" si="260"/>
        <v>0</v>
      </c>
      <c r="U918" s="578">
        <f t="shared" si="261"/>
        <v>0</v>
      </c>
      <c r="V918" s="579"/>
      <c r="W918" s="566"/>
      <c r="X918" s="586" t="str">
        <f t="shared" si="265"/>
        <v/>
      </c>
      <c r="Y918" s="586" t="str">
        <f t="shared" si="258"/>
        <v/>
      </c>
      <c r="Z918" s="586" t="str">
        <f t="shared" si="268"/>
        <v/>
      </c>
    </row>
    <row r="919" spans="1:26" ht="12" hidden="1" thickBot="1" x14ac:dyDescent="0.25">
      <c r="A919" s="567">
        <v>790</v>
      </c>
      <c r="B919" s="644">
        <v>790</v>
      </c>
      <c r="C919" s="645" t="s">
        <v>458</v>
      </c>
      <c r="D919" s="422" t="s">
        <v>1998</v>
      </c>
      <c r="E919" s="423"/>
      <c r="F919" s="424"/>
      <c r="G919" s="425"/>
      <c r="H919" s="651"/>
      <c r="I919" s="420">
        <v>12.68</v>
      </c>
      <c r="J919" s="420">
        <f t="shared" si="266"/>
        <v>12.68</v>
      </c>
      <c r="K919" s="421">
        <f t="shared" si="267"/>
        <v>15.07</v>
      </c>
      <c r="L919" s="647" t="s">
        <v>19</v>
      </c>
      <c r="M919" s="576"/>
      <c r="N919" s="576">
        <f t="shared" si="269"/>
        <v>0</v>
      </c>
      <c r="O919" s="577">
        <f t="shared" si="262"/>
        <v>0</v>
      </c>
      <c r="P919" s="578">
        <f t="shared" si="263"/>
        <v>0</v>
      </c>
      <c r="Q919" s="765"/>
      <c r="R919" s="576">
        <f t="shared" si="259"/>
        <v>0</v>
      </c>
      <c r="S919" s="576">
        <f t="shared" si="259"/>
        <v>0</v>
      </c>
      <c r="T919" s="577">
        <f t="shared" si="260"/>
        <v>0</v>
      </c>
      <c r="U919" s="578">
        <f t="shared" si="261"/>
        <v>0</v>
      </c>
      <c r="V919" s="579"/>
      <c r="W919" s="566"/>
      <c r="X919" s="586" t="str">
        <f t="shared" si="265"/>
        <v/>
      </c>
      <c r="Y919" s="586" t="str">
        <f t="shared" si="258"/>
        <v/>
      </c>
      <c r="Z919" s="586" t="str">
        <f t="shared" si="268"/>
        <v/>
      </c>
    </row>
    <row r="920" spans="1:26" ht="12" hidden="1" thickBot="1" x14ac:dyDescent="0.25">
      <c r="A920" s="567" t="s">
        <v>546</v>
      </c>
      <c r="B920" s="644" t="s">
        <v>546</v>
      </c>
      <c r="C920" s="645" t="s">
        <v>458</v>
      </c>
      <c r="D920" s="422" t="s">
        <v>1999</v>
      </c>
      <c r="E920" s="423"/>
      <c r="F920" s="424"/>
      <c r="G920" s="425"/>
      <c r="H920" s="651"/>
      <c r="I920" s="420">
        <v>5.14</v>
      </c>
      <c r="J920" s="420">
        <f t="shared" si="266"/>
        <v>5.14</v>
      </c>
      <c r="K920" s="421">
        <f t="shared" si="267"/>
        <v>6.11</v>
      </c>
      <c r="L920" s="647" t="s">
        <v>19</v>
      </c>
      <c r="M920" s="576"/>
      <c r="N920" s="576">
        <f t="shared" si="269"/>
        <v>0</v>
      </c>
      <c r="O920" s="577">
        <f t="shared" si="262"/>
        <v>0</v>
      </c>
      <c r="P920" s="578">
        <f t="shared" si="263"/>
        <v>0</v>
      </c>
      <c r="Q920" s="765"/>
      <c r="R920" s="576">
        <f t="shared" si="259"/>
        <v>0</v>
      </c>
      <c r="S920" s="576">
        <f t="shared" si="259"/>
        <v>0</v>
      </c>
      <c r="T920" s="577">
        <f t="shared" si="260"/>
        <v>0</v>
      </c>
      <c r="U920" s="578">
        <f t="shared" si="261"/>
        <v>0</v>
      </c>
      <c r="V920" s="579"/>
      <c r="W920" s="566"/>
      <c r="X920" s="586" t="str">
        <f t="shared" si="265"/>
        <v/>
      </c>
      <c r="Y920" s="586" t="str">
        <f t="shared" si="258"/>
        <v/>
      </c>
      <c r="Z920" s="586" t="str">
        <f t="shared" si="268"/>
        <v/>
      </c>
    </row>
    <row r="921" spans="1:26" ht="12" hidden="1" thickBot="1" x14ac:dyDescent="0.25">
      <c r="A921" s="567">
        <v>800</v>
      </c>
      <c r="B921" s="644">
        <v>800</v>
      </c>
      <c r="C921" s="645" t="s">
        <v>458</v>
      </c>
      <c r="D921" s="422" t="s">
        <v>2000</v>
      </c>
      <c r="E921" s="423"/>
      <c r="F921" s="424"/>
      <c r="G921" s="425"/>
      <c r="H921" s="651"/>
      <c r="I921" s="420">
        <v>15.08</v>
      </c>
      <c r="J921" s="420">
        <f>IF(ISBLANK(I921),"",SUM(H921:I921))</f>
        <v>15.08</v>
      </c>
      <c r="K921" s="421">
        <f t="shared" si="267"/>
        <v>17.920000000000002</v>
      </c>
      <c r="L921" s="647" t="s">
        <v>21</v>
      </c>
      <c r="M921" s="576"/>
      <c r="N921" s="576">
        <f t="shared" si="269"/>
        <v>0</v>
      </c>
      <c r="O921" s="577">
        <f t="shared" si="262"/>
        <v>0</v>
      </c>
      <c r="P921" s="578">
        <f t="shared" si="263"/>
        <v>0</v>
      </c>
      <c r="Q921" s="765"/>
      <c r="R921" s="576">
        <f t="shared" si="259"/>
        <v>0</v>
      </c>
      <c r="S921" s="576">
        <f t="shared" si="259"/>
        <v>0</v>
      </c>
      <c r="T921" s="577">
        <f t="shared" si="260"/>
        <v>0</v>
      </c>
      <c r="U921" s="578">
        <f t="shared" si="261"/>
        <v>0</v>
      </c>
      <c r="V921" s="579"/>
      <c r="W921" s="566"/>
      <c r="X921" s="586" t="str">
        <f t="shared" si="265"/>
        <v/>
      </c>
      <c r="Y921" s="586" t="str">
        <f t="shared" si="258"/>
        <v/>
      </c>
      <c r="Z921" s="586" t="str">
        <f t="shared" si="268"/>
        <v/>
      </c>
    </row>
    <row r="922" spans="1:26" ht="12" hidden="1" thickBot="1" x14ac:dyDescent="0.25">
      <c r="A922" s="567">
        <v>860</v>
      </c>
      <c r="B922" s="644">
        <v>860</v>
      </c>
      <c r="C922" s="645" t="s">
        <v>458</v>
      </c>
      <c r="D922" s="422" t="s">
        <v>2001</v>
      </c>
      <c r="E922" s="423"/>
      <c r="F922" s="424"/>
      <c r="G922" s="425"/>
      <c r="H922" s="651"/>
      <c r="I922" s="420">
        <v>560.17999999999995</v>
      </c>
      <c r="J922" s="420">
        <f t="shared" ref="J922:J940" si="270">IF(ISBLANK(I922),"",SUM(H922:I922))</f>
        <v>560.17999999999995</v>
      </c>
      <c r="K922" s="421">
        <f t="shared" si="267"/>
        <v>665.55</v>
      </c>
      <c r="L922" s="647" t="s">
        <v>177</v>
      </c>
      <c r="M922" s="576"/>
      <c r="N922" s="576">
        <f t="shared" si="269"/>
        <v>0</v>
      </c>
      <c r="O922" s="577">
        <f t="shared" si="262"/>
        <v>0</v>
      </c>
      <c r="P922" s="578">
        <f t="shared" si="263"/>
        <v>0</v>
      </c>
      <c r="Q922" s="765"/>
      <c r="R922" s="576">
        <f t="shared" si="259"/>
        <v>0</v>
      </c>
      <c r="S922" s="576">
        <f t="shared" si="259"/>
        <v>0</v>
      </c>
      <c r="T922" s="577">
        <f t="shared" si="260"/>
        <v>0</v>
      </c>
      <c r="U922" s="578">
        <f t="shared" si="261"/>
        <v>0</v>
      </c>
      <c r="V922" s="579"/>
      <c r="W922" s="566"/>
      <c r="X922" s="586" t="str">
        <f t="shared" si="265"/>
        <v/>
      </c>
      <c r="Y922" s="586" t="str">
        <f t="shared" si="258"/>
        <v/>
      </c>
      <c r="Z922" s="586" t="str">
        <f t="shared" si="268"/>
        <v/>
      </c>
    </row>
    <row r="923" spans="1:26" ht="12" hidden="1" thickBot="1" x14ac:dyDescent="0.25">
      <c r="A923" s="567" t="s">
        <v>548</v>
      </c>
      <c r="B923" s="644" t="s">
        <v>548</v>
      </c>
      <c r="C923" s="645" t="s">
        <v>458</v>
      </c>
      <c r="D923" s="422" t="s">
        <v>2002</v>
      </c>
      <c r="E923" s="423"/>
      <c r="F923" s="424"/>
      <c r="G923" s="425"/>
      <c r="H923" s="651"/>
      <c r="I923" s="420">
        <v>224.07</v>
      </c>
      <c r="J923" s="420">
        <f t="shared" si="270"/>
        <v>224.07</v>
      </c>
      <c r="K923" s="421">
        <f t="shared" si="267"/>
        <v>266.22000000000003</v>
      </c>
      <c r="L923" s="647" t="s">
        <v>177</v>
      </c>
      <c r="M923" s="576"/>
      <c r="N923" s="576">
        <f t="shared" si="269"/>
        <v>0</v>
      </c>
      <c r="O923" s="577">
        <f t="shared" si="262"/>
        <v>0</v>
      </c>
      <c r="P923" s="578">
        <f t="shared" si="263"/>
        <v>0</v>
      </c>
      <c r="Q923" s="765"/>
      <c r="R923" s="576">
        <f t="shared" si="259"/>
        <v>0</v>
      </c>
      <c r="S923" s="576">
        <f t="shared" si="259"/>
        <v>0</v>
      </c>
      <c r="T923" s="577">
        <f t="shared" si="260"/>
        <v>0</v>
      </c>
      <c r="U923" s="578">
        <f t="shared" si="261"/>
        <v>0</v>
      </c>
      <c r="V923" s="579"/>
      <c r="W923" s="566"/>
      <c r="X923" s="586" t="str">
        <f t="shared" si="265"/>
        <v/>
      </c>
      <c r="Y923" s="586" t="str">
        <f t="shared" si="258"/>
        <v/>
      </c>
      <c r="Z923" s="586" t="str">
        <f t="shared" si="268"/>
        <v/>
      </c>
    </row>
    <row r="924" spans="1:26" ht="12" hidden="1" thickBot="1" x14ac:dyDescent="0.25">
      <c r="A924" s="567">
        <v>864</v>
      </c>
      <c r="B924" s="644">
        <v>864</v>
      </c>
      <c r="C924" s="645" t="s">
        <v>458</v>
      </c>
      <c r="D924" s="422" t="s">
        <v>2003</v>
      </c>
      <c r="E924" s="423"/>
      <c r="F924" s="424"/>
      <c r="G924" s="425"/>
      <c r="H924" s="651"/>
      <c r="I924" s="420">
        <v>6.85</v>
      </c>
      <c r="J924" s="420">
        <f t="shared" si="270"/>
        <v>6.85</v>
      </c>
      <c r="K924" s="421">
        <f t="shared" si="267"/>
        <v>8.14</v>
      </c>
      <c r="L924" s="647" t="s">
        <v>19</v>
      </c>
      <c r="M924" s="576"/>
      <c r="N924" s="576">
        <f t="shared" si="269"/>
        <v>0</v>
      </c>
      <c r="O924" s="577">
        <f t="shared" si="262"/>
        <v>0</v>
      </c>
      <c r="P924" s="578">
        <f t="shared" si="263"/>
        <v>0</v>
      </c>
      <c r="Q924" s="765"/>
      <c r="R924" s="576">
        <f t="shared" si="259"/>
        <v>0</v>
      </c>
      <c r="S924" s="576">
        <f t="shared" si="259"/>
        <v>0</v>
      </c>
      <c r="T924" s="577">
        <f t="shared" si="260"/>
        <v>0</v>
      </c>
      <c r="U924" s="578">
        <f t="shared" si="261"/>
        <v>0</v>
      </c>
      <c r="V924" s="579"/>
      <c r="W924" s="566"/>
      <c r="X924" s="586" t="str">
        <f t="shared" si="265"/>
        <v/>
      </c>
      <c r="Y924" s="586" t="str">
        <f t="shared" si="258"/>
        <v/>
      </c>
      <c r="Z924" s="586" t="str">
        <f t="shared" si="268"/>
        <v/>
      </c>
    </row>
    <row r="925" spans="1:26" ht="12" hidden="1" thickBot="1" x14ac:dyDescent="0.25">
      <c r="A925" s="567" t="s">
        <v>549</v>
      </c>
      <c r="B925" s="644" t="s">
        <v>549</v>
      </c>
      <c r="C925" s="645" t="s">
        <v>458</v>
      </c>
      <c r="D925" s="422" t="s">
        <v>2004</v>
      </c>
      <c r="E925" s="423"/>
      <c r="F925" s="424"/>
      <c r="G925" s="425"/>
      <c r="H925" s="651"/>
      <c r="I925" s="420">
        <v>5.14</v>
      </c>
      <c r="J925" s="420">
        <f t="shared" si="270"/>
        <v>5.14</v>
      </c>
      <c r="K925" s="421">
        <f t="shared" si="267"/>
        <v>6.11</v>
      </c>
      <c r="L925" s="647" t="s">
        <v>19</v>
      </c>
      <c r="M925" s="576"/>
      <c r="N925" s="576">
        <f t="shared" si="269"/>
        <v>0</v>
      </c>
      <c r="O925" s="577">
        <f t="shared" si="262"/>
        <v>0</v>
      </c>
      <c r="P925" s="578">
        <f t="shared" si="263"/>
        <v>0</v>
      </c>
      <c r="Q925" s="765"/>
      <c r="R925" s="576">
        <f t="shared" si="259"/>
        <v>0</v>
      </c>
      <c r="S925" s="576">
        <f t="shared" si="259"/>
        <v>0</v>
      </c>
      <c r="T925" s="577">
        <f t="shared" si="260"/>
        <v>0</v>
      </c>
      <c r="U925" s="578">
        <f t="shared" si="261"/>
        <v>0</v>
      </c>
      <c r="V925" s="579"/>
      <c r="W925" s="566"/>
      <c r="X925" s="586" t="str">
        <f t="shared" si="265"/>
        <v/>
      </c>
      <c r="Y925" s="586" t="str">
        <f t="shared" si="258"/>
        <v/>
      </c>
      <c r="Z925" s="586" t="str">
        <f t="shared" si="268"/>
        <v/>
      </c>
    </row>
    <row r="926" spans="1:26" ht="12" hidden="1" thickBot="1" x14ac:dyDescent="0.25">
      <c r="A926" s="567">
        <v>866</v>
      </c>
      <c r="B926" s="644">
        <v>866</v>
      </c>
      <c r="C926" s="645" t="s">
        <v>458</v>
      </c>
      <c r="D926" s="422" t="s">
        <v>2005</v>
      </c>
      <c r="E926" s="423"/>
      <c r="F926" s="424"/>
      <c r="G926" s="425"/>
      <c r="H926" s="651"/>
      <c r="I926" s="420">
        <v>33.92</v>
      </c>
      <c r="J926" s="420">
        <f t="shared" si="270"/>
        <v>33.92</v>
      </c>
      <c r="K926" s="421">
        <f t="shared" si="267"/>
        <v>40.299999999999997</v>
      </c>
      <c r="L926" s="647" t="s">
        <v>21</v>
      </c>
      <c r="M926" s="576"/>
      <c r="N926" s="576">
        <f t="shared" si="269"/>
        <v>0</v>
      </c>
      <c r="O926" s="577">
        <f t="shared" si="262"/>
        <v>0</v>
      </c>
      <c r="P926" s="578">
        <f t="shared" si="263"/>
        <v>0</v>
      </c>
      <c r="Q926" s="765"/>
      <c r="R926" s="576">
        <f t="shared" si="259"/>
        <v>0</v>
      </c>
      <c r="S926" s="576">
        <f t="shared" si="259"/>
        <v>0</v>
      </c>
      <c r="T926" s="577">
        <f t="shared" si="260"/>
        <v>0</v>
      </c>
      <c r="U926" s="578">
        <f t="shared" si="261"/>
        <v>0</v>
      </c>
      <c r="V926" s="579"/>
      <c r="W926" s="566"/>
      <c r="X926" s="586" t="str">
        <f t="shared" si="265"/>
        <v/>
      </c>
      <c r="Y926" s="586" t="str">
        <f t="shared" si="258"/>
        <v/>
      </c>
      <c r="Z926" s="586" t="str">
        <f t="shared" si="268"/>
        <v/>
      </c>
    </row>
    <row r="927" spans="1:26" ht="12" hidden="1" thickBot="1" x14ac:dyDescent="0.25">
      <c r="A927" s="567" t="s">
        <v>550</v>
      </c>
      <c r="B927" s="644" t="s">
        <v>550</v>
      </c>
      <c r="C927" s="645" t="s">
        <v>458</v>
      </c>
      <c r="D927" s="422" t="s">
        <v>2006</v>
      </c>
      <c r="E927" s="423"/>
      <c r="F927" s="424"/>
      <c r="G927" s="425"/>
      <c r="H927" s="651"/>
      <c r="I927" s="420">
        <v>13.7</v>
      </c>
      <c r="J927" s="420">
        <f t="shared" si="270"/>
        <v>13.7</v>
      </c>
      <c r="K927" s="421">
        <f t="shared" si="267"/>
        <v>16.28</v>
      </c>
      <c r="L927" s="647" t="s">
        <v>21</v>
      </c>
      <c r="M927" s="576"/>
      <c r="N927" s="576">
        <f t="shared" si="269"/>
        <v>0</v>
      </c>
      <c r="O927" s="577">
        <f t="shared" si="262"/>
        <v>0</v>
      </c>
      <c r="P927" s="578">
        <f t="shared" si="263"/>
        <v>0</v>
      </c>
      <c r="Q927" s="765"/>
      <c r="R927" s="576">
        <f t="shared" si="259"/>
        <v>0</v>
      </c>
      <c r="S927" s="576">
        <f t="shared" si="259"/>
        <v>0</v>
      </c>
      <c r="T927" s="577">
        <f t="shared" si="260"/>
        <v>0</v>
      </c>
      <c r="U927" s="578">
        <f t="shared" si="261"/>
        <v>0</v>
      </c>
      <c r="V927" s="579"/>
      <c r="W927" s="566"/>
      <c r="X927" s="586" t="str">
        <f t="shared" si="265"/>
        <v/>
      </c>
      <c r="Y927" s="586" t="str">
        <f t="shared" si="258"/>
        <v/>
      </c>
      <c r="Z927" s="586" t="str">
        <f t="shared" si="268"/>
        <v/>
      </c>
    </row>
    <row r="928" spans="1:26" ht="12" hidden="1" thickBot="1" x14ac:dyDescent="0.25">
      <c r="A928" s="567">
        <v>792</v>
      </c>
      <c r="B928" s="644">
        <v>792</v>
      </c>
      <c r="C928" s="645" t="s">
        <v>458</v>
      </c>
      <c r="D928" s="422" t="s">
        <v>2007</v>
      </c>
      <c r="E928" s="423"/>
      <c r="F928" s="424"/>
      <c r="G928" s="425"/>
      <c r="H928" s="651"/>
      <c r="I928" s="420">
        <v>395.04</v>
      </c>
      <c r="J928" s="420">
        <f t="shared" si="270"/>
        <v>395.04</v>
      </c>
      <c r="K928" s="421">
        <f t="shared" si="267"/>
        <v>469.35</v>
      </c>
      <c r="L928" s="647" t="s">
        <v>177</v>
      </c>
      <c r="M928" s="576"/>
      <c r="N928" s="576">
        <f t="shared" si="269"/>
        <v>0</v>
      </c>
      <c r="O928" s="577">
        <f t="shared" si="262"/>
        <v>0</v>
      </c>
      <c r="P928" s="578">
        <f t="shared" si="263"/>
        <v>0</v>
      </c>
      <c r="Q928" s="765"/>
      <c r="R928" s="576">
        <f t="shared" si="259"/>
        <v>0</v>
      </c>
      <c r="S928" s="576">
        <f t="shared" si="259"/>
        <v>0</v>
      </c>
      <c r="T928" s="577">
        <f t="shared" si="260"/>
        <v>0</v>
      </c>
      <c r="U928" s="578">
        <f t="shared" si="261"/>
        <v>0</v>
      </c>
      <c r="V928" s="579"/>
      <c r="W928" s="566"/>
      <c r="X928" s="586" t="str">
        <f t="shared" si="265"/>
        <v/>
      </c>
      <c r="Y928" s="586" t="str">
        <f t="shared" si="258"/>
        <v/>
      </c>
      <c r="Z928" s="586" t="str">
        <f t="shared" si="268"/>
        <v/>
      </c>
    </row>
    <row r="929" spans="1:26" ht="12" hidden="1" thickBot="1" x14ac:dyDescent="0.25">
      <c r="A929" s="567" t="s">
        <v>553</v>
      </c>
      <c r="B929" s="644" t="s">
        <v>553</v>
      </c>
      <c r="C929" s="645" t="s">
        <v>458</v>
      </c>
      <c r="D929" s="422" t="s">
        <v>2008</v>
      </c>
      <c r="E929" s="423"/>
      <c r="F929" s="424"/>
      <c r="G929" s="425"/>
      <c r="H929" s="651"/>
      <c r="I929" s="420">
        <v>157.94999999999999</v>
      </c>
      <c r="J929" s="420">
        <f t="shared" si="270"/>
        <v>157.94999999999999</v>
      </c>
      <c r="K929" s="421">
        <f t="shared" si="267"/>
        <v>187.66</v>
      </c>
      <c r="L929" s="647" t="s">
        <v>177</v>
      </c>
      <c r="M929" s="576"/>
      <c r="N929" s="576">
        <f t="shared" si="269"/>
        <v>0</v>
      </c>
      <c r="O929" s="577">
        <f t="shared" si="262"/>
        <v>0</v>
      </c>
      <c r="P929" s="578">
        <f t="shared" si="263"/>
        <v>0</v>
      </c>
      <c r="Q929" s="765"/>
      <c r="R929" s="576">
        <f t="shared" si="259"/>
        <v>0</v>
      </c>
      <c r="S929" s="576">
        <f t="shared" si="259"/>
        <v>0</v>
      </c>
      <c r="T929" s="577">
        <f t="shared" si="260"/>
        <v>0</v>
      </c>
      <c r="U929" s="578">
        <f t="shared" si="261"/>
        <v>0</v>
      </c>
      <c r="V929" s="579"/>
      <c r="W929" s="566"/>
      <c r="X929" s="586" t="str">
        <f t="shared" si="265"/>
        <v/>
      </c>
      <c r="Y929" s="586" t="str">
        <f t="shared" si="258"/>
        <v/>
      </c>
      <c r="Z929" s="586" t="str">
        <f t="shared" si="268"/>
        <v/>
      </c>
    </row>
    <row r="930" spans="1:26" ht="12" hidden="1" thickBot="1" x14ac:dyDescent="0.25">
      <c r="A930" s="567">
        <v>793</v>
      </c>
      <c r="B930" s="644">
        <v>793</v>
      </c>
      <c r="C930" s="645" t="s">
        <v>458</v>
      </c>
      <c r="D930" s="422" t="s">
        <v>2009</v>
      </c>
      <c r="E930" s="423"/>
      <c r="F930" s="424"/>
      <c r="G930" s="425"/>
      <c r="H930" s="651"/>
      <c r="I930" s="420">
        <v>504.33</v>
      </c>
      <c r="J930" s="420">
        <f t="shared" si="270"/>
        <v>504.33</v>
      </c>
      <c r="K930" s="421">
        <f t="shared" si="267"/>
        <v>599.19000000000005</v>
      </c>
      <c r="L930" s="647" t="s">
        <v>177</v>
      </c>
      <c r="M930" s="576"/>
      <c r="N930" s="576">
        <f t="shared" si="269"/>
        <v>0</v>
      </c>
      <c r="O930" s="577">
        <f t="shared" si="262"/>
        <v>0</v>
      </c>
      <c r="P930" s="578">
        <f t="shared" si="263"/>
        <v>0</v>
      </c>
      <c r="Q930" s="765"/>
      <c r="R930" s="576">
        <f t="shared" si="259"/>
        <v>0</v>
      </c>
      <c r="S930" s="576">
        <f t="shared" si="259"/>
        <v>0</v>
      </c>
      <c r="T930" s="577">
        <f t="shared" si="260"/>
        <v>0</v>
      </c>
      <c r="U930" s="578">
        <f t="shared" si="261"/>
        <v>0</v>
      </c>
      <c r="V930" s="579"/>
      <c r="W930" s="566"/>
      <c r="X930" s="586" t="str">
        <f t="shared" si="265"/>
        <v/>
      </c>
      <c r="Y930" s="586" t="str">
        <f t="shared" si="258"/>
        <v/>
      </c>
      <c r="Z930" s="586" t="str">
        <f t="shared" si="268"/>
        <v/>
      </c>
    </row>
    <row r="931" spans="1:26" ht="12" hidden="1" thickBot="1" x14ac:dyDescent="0.25">
      <c r="A931" s="567" t="s">
        <v>564</v>
      </c>
      <c r="B931" s="644" t="s">
        <v>564</v>
      </c>
      <c r="C931" s="645" t="s">
        <v>458</v>
      </c>
      <c r="D931" s="422" t="s">
        <v>2010</v>
      </c>
      <c r="E931" s="423"/>
      <c r="F931" s="424"/>
      <c r="G931" s="425"/>
      <c r="H931" s="651"/>
      <c r="I931" s="420">
        <v>202.14</v>
      </c>
      <c r="J931" s="420">
        <f t="shared" si="270"/>
        <v>202.14</v>
      </c>
      <c r="K931" s="421">
        <f t="shared" si="267"/>
        <v>240.16</v>
      </c>
      <c r="L931" s="647" t="s">
        <v>177</v>
      </c>
      <c r="M931" s="576"/>
      <c r="N931" s="576">
        <f t="shared" si="269"/>
        <v>0</v>
      </c>
      <c r="O931" s="577">
        <f t="shared" si="262"/>
        <v>0</v>
      </c>
      <c r="P931" s="578">
        <f t="shared" si="263"/>
        <v>0</v>
      </c>
      <c r="Q931" s="765"/>
      <c r="R931" s="576">
        <f t="shared" si="259"/>
        <v>0</v>
      </c>
      <c r="S931" s="576">
        <f t="shared" si="259"/>
        <v>0</v>
      </c>
      <c r="T931" s="577">
        <f t="shared" si="260"/>
        <v>0</v>
      </c>
      <c r="U931" s="578">
        <f t="shared" si="261"/>
        <v>0</v>
      </c>
      <c r="V931" s="579"/>
      <c r="W931" s="566"/>
      <c r="X931" s="586" t="str">
        <f t="shared" si="265"/>
        <v/>
      </c>
      <c r="Y931" s="586" t="str">
        <f t="shared" ref="Y931:Y994" si="271">IF(W931="X","x",IF(W931="y","x",IF(W931="xx","x",IF(U931&gt;0,"x",""))))</f>
        <v/>
      </c>
      <c r="Z931" s="586" t="str">
        <f t="shared" si="268"/>
        <v/>
      </c>
    </row>
    <row r="932" spans="1:26" ht="12" hidden="1" thickBot="1" x14ac:dyDescent="0.25">
      <c r="A932" s="567">
        <v>794</v>
      </c>
      <c r="B932" s="644">
        <v>794</v>
      </c>
      <c r="C932" s="645" t="s">
        <v>458</v>
      </c>
      <c r="D932" s="422" t="s">
        <v>2011</v>
      </c>
      <c r="E932" s="423"/>
      <c r="F932" s="424"/>
      <c r="G932" s="425"/>
      <c r="H932" s="651"/>
      <c r="I932" s="420">
        <v>516.32000000000005</v>
      </c>
      <c r="J932" s="420">
        <f t="shared" si="270"/>
        <v>516.32000000000005</v>
      </c>
      <c r="K932" s="421">
        <f t="shared" si="267"/>
        <v>613.44000000000005</v>
      </c>
      <c r="L932" s="647" t="s">
        <v>177</v>
      </c>
      <c r="M932" s="576"/>
      <c r="N932" s="576">
        <f t="shared" si="269"/>
        <v>0</v>
      </c>
      <c r="O932" s="577">
        <f t="shared" si="262"/>
        <v>0</v>
      </c>
      <c r="P932" s="578">
        <f t="shared" si="263"/>
        <v>0</v>
      </c>
      <c r="Q932" s="765"/>
      <c r="R932" s="576">
        <f t="shared" si="259"/>
        <v>0</v>
      </c>
      <c r="S932" s="576">
        <f t="shared" si="259"/>
        <v>0</v>
      </c>
      <c r="T932" s="577">
        <f t="shared" si="260"/>
        <v>0</v>
      </c>
      <c r="U932" s="578">
        <f t="shared" si="261"/>
        <v>0</v>
      </c>
      <c r="V932" s="579"/>
      <c r="W932" s="566"/>
      <c r="X932" s="586" t="str">
        <f t="shared" si="265"/>
        <v/>
      </c>
      <c r="Y932" s="586" t="str">
        <f t="shared" si="271"/>
        <v/>
      </c>
      <c r="Z932" s="586" t="str">
        <f t="shared" si="268"/>
        <v/>
      </c>
    </row>
    <row r="933" spans="1:26" ht="12" hidden="1" thickBot="1" x14ac:dyDescent="0.25">
      <c r="A933" s="567" t="s">
        <v>551</v>
      </c>
      <c r="B933" s="644" t="s">
        <v>551</v>
      </c>
      <c r="C933" s="645" t="s">
        <v>458</v>
      </c>
      <c r="D933" s="422" t="s">
        <v>556</v>
      </c>
      <c r="E933" s="423"/>
      <c r="F933" s="424"/>
      <c r="G933" s="425"/>
      <c r="H933" s="651"/>
      <c r="I933" s="420">
        <v>206.6</v>
      </c>
      <c r="J933" s="420">
        <f t="shared" si="270"/>
        <v>206.6</v>
      </c>
      <c r="K933" s="421">
        <f t="shared" si="267"/>
        <v>245.46</v>
      </c>
      <c r="L933" s="647" t="s">
        <v>177</v>
      </c>
      <c r="M933" s="576"/>
      <c r="N933" s="576">
        <f t="shared" si="269"/>
        <v>0</v>
      </c>
      <c r="O933" s="577">
        <f t="shared" si="262"/>
        <v>0</v>
      </c>
      <c r="P933" s="578">
        <f t="shared" si="263"/>
        <v>0</v>
      </c>
      <c r="Q933" s="765"/>
      <c r="R933" s="576">
        <f t="shared" si="259"/>
        <v>0</v>
      </c>
      <c r="S933" s="576">
        <f t="shared" si="259"/>
        <v>0</v>
      </c>
      <c r="T933" s="577">
        <f t="shared" si="260"/>
        <v>0</v>
      </c>
      <c r="U933" s="578">
        <f t="shared" si="261"/>
        <v>0</v>
      </c>
      <c r="V933" s="579"/>
      <c r="W933" s="566"/>
      <c r="X933" s="586" t="str">
        <f t="shared" si="265"/>
        <v/>
      </c>
      <c r="Y933" s="586" t="str">
        <f t="shared" si="271"/>
        <v/>
      </c>
      <c r="Z933" s="586" t="str">
        <f t="shared" si="268"/>
        <v/>
      </c>
    </row>
    <row r="934" spans="1:26" ht="12" hidden="1" thickBot="1" x14ac:dyDescent="0.25">
      <c r="A934" s="567">
        <v>795</v>
      </c>
      <c r="B934" s="644">
        <v>795</v>
      </c>
      <c r="C934" s="645" t="s">
        <v>458</v>
      </c>
      <c r="D934" s="422" t="s">
        <v>2012</v>
      </c>
      <c r="E934" s="423"/>
      <c r="F934" s="424"/>
      <c r="G934" s="425"/>
      <c r="H934" s="651"/>
      <c r="I934" s="420">
        <v>1527.72</v>
      </c>
      <c r="J934" s="420">
        <f t="shared" si="270"/>
        <v>1527.72</v>
      </c>
      <c r="K934" s="421">
        <f t="shared" si="267"/>
        <v>1815.08</v>
      </c>
      <c r="L934" s="647" t="s">
        <v>177</v>
      </c>
      <c r="M934" s="576"/>
      <c r="N934" s="576">
        <f t="shared" si="269"/>
        <v>0</v>
      </c>
      <c r="O934" s="577">
        <f t="shared" si="262"/>
        <v>0</v>
      </c>
      <c r="P934" s="578">
        <f t="shared" si="263"/>
        <v>0</v>
      </c>
      <c r="Q934" s="765"/>
      <c r="R934" s="576">
        <f t="shared" si="259"/>
        <v>0</v>
      </c>
      <c r="S934" s="576">
        <f t="shared" si="259"/>
        <v>0</v>
      </c>
      <c r="T934" s="577">
        <f t="shared" si="260"/>
        <v>0</v>
      </c>
      <c r="U934" s="578">
        <f t="shared" si="261"/>
        <v>0</v>
      </c>
      <c r="V934" s="579"/>
      <c r="W934" s="566"/>
      <c r="X934" s="586" t="str">
        <f t="shared" si="265"/>
        <v/>
      </c>
      <c r="Y934" s="586" t="str">
        <f t="shared" si="271"/>
        <v/>
      </c>
      <c r="Z934" s="586" t="str">
        <f t="shared" si="268"/>
        <v/>
      </c>
    </row>
    <row r="935" spans="1:26" ht="12" hidden="1" thickBot="1" x14ac:dyDescent="0.25">
      <c r="A935" s="567" t="s">
        <v>552</v>
      </c>
      <c r="B935" s="644" t="s">
        <v>552</v>
      </c>
      <c r="C935" s="645" t="s">
        <v>458</v>
      </c>
      <c r="D935" s="422" t="s">
        <v>557</v>
      </c>
      <c r="E935" s="423"/>
      <c r="F935" s="424"/>
      <c r="G935" s="425"/>
      <c r="H935" s="651"/>
      <c r="I935" s="420">
        <v>611.23</v>
      </c>
      <c r="J935" s="420">
        <f t="shared" si="270"/>
        <v>611.23</v>
      </c>
      <c r="K935" s="421">
        <f t="shared" si="267"/>
        <v>726.2</v>
      </c>
      <c r="L935" s="647" t="s">
        <v>177</v>
      </c>
      <c r="M935" s="576"/>
      <c r="N935" s="576">
        <f t="shared" si="269"/>
        <v>0</v>
      </c>
      <c r="O935" s="577">
        <f t="shared" si="262"/>
        <v>0</v>
      </c>
      <c r="P935" s="578">
        <f t="shared" si="263"/>
        <v>0</v>
      </c>
      <c r="Q935" s="765"/>
      <c r="R935" s="576">
        <f t="shared" si="259"/>
        <v>0</v>
      </c>
      <c r="S935" s="576">
        <f t="shared" si="259"/>
        <v>0</v>
      </c>
      <c r="T935" s="577">
        <f t="shared" si="260"/>
        <v>0</v>
      </c>
      <c r="U935" s="578">
        <f t="shared" si="261"/>
        <v>0</v>
      </c>
      <c r="V935" s="579"/>
      <c r="W935" s="566"/>
      <c r="X935" s="586" t="str">
        <f t="shared" si="265"/>
        <v/>
      </c>
      <c r="Y935" s="586" t="str">
        <f t="shared" si="271"/>
        <v/>
      </c>
      <c r="Z935" s="586" t="str">
        <f t="shared" si="268"/>
        <v/>
      </c>
    </row>
    <row r="936" spans="1:26" ht="12" hidden="1" thickBot="1" x14ac:dyDescent="0.25">
      <c r="A936" s="567">
        <v>796</v>
      </c>
      <c r="B936" s="644">
        <v>796</v>
      </c>
      <c r="C936" s="645" t="s">
        <v>458</v>
      </c>
      <c r="D936" s="422" t="s">
        <v>2013</v>
      </c>
      <c r="E936" s="423"/>
      <c r="F936" s="424"/>
      <c r="G936" s="425"/>
      <c r="H936" s="651"/>
      <c r="I936" s="420">
        <v>8.57</v>
      </c>
      <c r="J936" s="420">
        <f t="shared" si="270"/>
        <v>8.57</v>
      </c>
      <c r="K936" s="421">
        <f t="shared" si="267"/>
        <v>10.18</v>
      </c>
      <c r="L936" s="647" t="s">
        <v>19</v>
      </c>
      <c r="M936" s="576"/>
      <c r="N936" s="576">
        <f t="shared" si="269"/>
        <v>0</v>
      </c>
      <c r="O936" s="577">
        <f t="shared" si="262"/>
        <v>0</v>
      </c>
      <c r="P936" s="578">
        <f t="shared" si="263"/>
        <v>0</v>
      </c>
      <c r="Q936" s="765"/>
      <c r="R936" s="576">
        <f t="shared" si="259"/>
        <v>0</v>
      </c>
      <c r="S936" s="576">
        <f t="shared" si="259"/>
        <v>0</v>
      </c>
      <c r="T936" s="577">
        <f t="shared" si="260"/>
        <v>0</v>
      </c>
      <c r="U936" s="578">
        <f t="shared" si="261"/>
        <v>0</v>
      </c>
      <c r="V936" s="579"/>
      <c r="W936" s="566"/>
      <c r="X936" s="586" t="str">
        <f t="shared" si="265"/>
        <v/>
      </c>
      <c r="Y936" s="586" t="str">
        <f t="shared" si="271"/>
        <v/>
      </c>
      <c r="Z936" s="586" t="str">
        <f t="shared" si="268"/>
        <v/>
      </c>
    </row>
    <row r="937" spans="1:26" ht="12" hidden="1" thickBot="1" x14ac:dyDescent="0.25">
      <c r="A937" s="567" t="s">
        <v>554</v>
      </c>
      <c r="B937" s="644" t="s">
        <v>554</v>
      </c>
      <c r="C937" s="645" t="s">
        <v>458</v>
      </c>
      <c r="D937" s="422" t="s">
        <v>558</v>
      </c>
      <c r="E937" s="423"/>
      <c r="F937" s="424"/>
      <c r="G937" s="425"/>
      <c r="H937" s="651"/>
      <c r="I937" s="420">
        <v>3.43</v>
      </c>
      <c r="J937" s="420">
        <f t="shared" si="270"/>
        <v>3.43</v>
      </c>
      <c r="K937" s="421">
        <f t="shared" si="267"/>
        <v>4.08</v>
      </c>
      <c r="L937" s="647" t="s">
        <v>19</v>
      </c>
      <c r="M937" s="576"/>
      <c r="N937" s="576">
        <f t="shared" si="269"/>
        <v>0</v>
      </c>
      <c r="O937" s="577">
        <f t="shared" si="262"/>
        <v>0</v>
      </c>
      <c r="P937" s="578">
        <f t="shared" si="263"/>
        <v>0</v>
      </c>
      <c r="Q937" s="765"/>
      <c r="R937" s="576">
        <f t="shared" si="259"/>
        <v>0</v>
      </c>
      <c r="S937" s="576">
        <f t="shared" si="259"/>
        <v>0</v>
      </c>
      <c r="T937" s="577">
        <f t="shared" si="260"/>
        <v>0</v>
      </c>
      <c r="U937" s="578">
        <f t="shared" si="261"/>
        <v>0</v>
      </c>
      <c r="V937" s="579"/>
      <c r="W937" s="566"/>
      <c r="X937" s="586" t="str">
        <f t="shared" si="265"/>
        <v/>
      </c>
      <c r="Y937" s="586" t="str">
        <f t="shared" si="271"/>
        <v/>
      </c>
      <c r="Z937" s="586" t="str">
        <f t="shared" si="268"/>
        <v/>
      </c>
    </row>
    <row r="938" spans="1:26" ht="12" hidden="1" thickBot="1" x14ac:dyDescent="0.25">
      <c r="A938" s="567">
        <v>867</v>
      </c>
      <c r="B938" s="644">
        <v>867</v>
      </c>
      <c r="C938" s="645" t="s">
        <v>458</v>
      </c>
      <c r="D938" s="422" t="s">
        <v>2014</v>
      </c>
      <c r="E938" s="423"/>
      <c r="F938" s="424"/>
      <c r="G938" s="425"/>
      <c r="H938" s="651"/>
      <c r="I938" s="420">
        <v>11.99</v>
      </c>
      <c r="J938" s="420">
        <f t="shared" si="270"/>
        <v>11.99</v>
      </c>
      <c r="K938" s="421">
        <f t="shared" si="267"/>
        <v>14.25</v>
      </c>
      <c r="L938" s="647" t="s">
        <v>21</v>
      </c>
      <c r="M938" s="576"/>
      <c r="N938" s="576">
        <f t="shared" si="269"/>
        <v>0</v>
      </c>
      <c r="O938" s="577">
        <f t="shared" si="262"/>
        <v>0</v>
      </c>
      <c r="P938" s="578">
        <f t="shared" si="263"/>
        <v>0</v>
      </c>
      <c r="Q938" s="765"/>
      <c r="R938" s="576">
        <f t="shared" si="259"/>
        <v>0</v>
      </c>
      <c r="S938" s="576">
        <f t="shared" si="259"/>
        <v>0</v>
      </c>
      <c r="T938" s="577">
        <f t="shared" si="260"/>
        <v>0</v>
      </c>
      <c r="U938" s="578">
        <f t="shared" si="261"/>
        <v>0</v>
      </c>
      <c r="V938" s="579"/>
      <c r="W938" s="566"/>
      <c r="X938" s="586" t="str">
        <f t="shared" si="265"/>
        <v/>
      </c>
      <c r="Y938" s="586" t="str">
        <f t="shared" si="271"/>
        <v/>
      </c>
      <c r="Z938" s="586" t="str">
        <f t="shared" si="268"/>
        <v/>
      </c>
    </row>
    <row r="939" spans="1:26" ht="12" hidden="1" thickBot="1" x14ac:dyDescent="0.25">
      <c r="A939" s="567" t="s">
        <v>555</v>
      </c>
      <c r="B939" s="644" t="s">
        <v>555</v>
      </c>
      <c r="C939" s="645" t="s">
        <v>458</v>
      </c>
      <c r="D939" s="422" t="s">
        <v>559</v>
      </c>
      <c r="E939" s="423"/>
      <c r="F939" s="424"/>
      <c r="G939" s="425"/>
      <c r="H939" s="651"/>
      <c r="I939" s="420">
        <v>4.8</v>
      </c>
      <c r="J939" s="420">
        <f t="shared" si="270"/>
        <v>4.8</v>
      </c>
      <c r="K939" s="421">
        <f t="shared" si="267"/>
        <v>5.7</v>
      </c>
      <c r="L939" s="647" t="s">
        <v>21</v>
      </c>
      <c r="M939" s="576"/>
      <c r="N939" s="576">
        <f t="shared" si="269"/>
        <v>0</v>
      </c>
      <c r="O939" s="577">
        <f t="shared" si="262"/>
        <v>0</v>
      </c>
      <c r="P939" s="578">
        <f t="shared" si="263"/>
        <v>0</v>
      </c>
      <c r="Q939" s="765"/>
      <c r="R939" s="576">
        <f t="shared" si="259"/>
        <v>0</v>
      </c>
      <c r="S939" s="576">
        <f t="shared" si="259"/>
        <v>0</v>
      </c>
      <c r="T939" s="577">
        <f t="shared" si="260"/>
        <v>0</v>
      </c>
      <c r="U939" s="578">
        <f t="shared" si="261"/>
        <v>0</v>
      </c>
      <c r="V939" s="579"/>
      <c r="W939" s="566"/>
      <c r="X939" s="586" t="str">
        <f t="shared" si="265"/>
        <v/>
      </c>
      <c r="Y939" s="586" t="str">
        <f t="shared" si="271"/>
        <v/>
      </c>
      <c r="Z939" s="586" t="str">
        <f t="shared" si="268"/>
        <v/>
      </c>
    </row>
    <row r="940" spans="1:26" ht="12" hidden="1" thickBot="1" x14ac:dyDescent="0.25">
      <c r="A940" s="567">
        <v>801</v>
      </c>
      <c r="B940" s="644">
        <v>801</v>
      </c>
      <c r="C940" s="645" t="s">
        <v>458</v>
      </c>
      <c r="D940" s="422" t="s">
        <v>2015</v>
      </c>
      <c r="E940" s="423"/>
      <c r="F940" s="424"/>
      <c r="G940" s="425"/>
      <c r="H940" s="651"/>
      <c r="I940" s="420">
        <v>12.68</v>
      </c>
      <c r="J940" s="420">
        <f t="shared" si="270"/>
        <v>12.68</v>
      </c>
      <c r="K940" s="421">
        <f t="shared" si="267"/>
        <v>15.07</v>
      </c>
      <c r="L940" s="647" t="s">
        <v>21</v>
      </c>
      <c r="M940" s="576"/>
      <c r="N940" s="576">
        <f t="shared" si="269"/>
        <v>0</v>
      </c>
      <c r="O940" s="577">
        <f t="shared" si="262"/>
        <v>0</v>
      </c>
      <c r="P940" s="578">
        <f t="shared" si="263"/>
        <v>0</v>
      </c>
      <c r="Q940" s="765"/>
      <c r="R940" s="576">
        <f t="shared" si="259"/>
        <v>0</v>
      </c>
      <c r="S940" s="576">
        <f t="shared" si="259"/>
        <v>0</v>
      </c>
      <c r="T940" s="577">
        <f t="shared" si="260"/>
        <v>0</v>
      </c>
      <c r="U940" s="578">
        <f t="shared" si="261"/>
        <v>0</v>
      </c>
      <c r="V940" s="579"/>
      <c r="W940" s="566"/>
      <c r="X940" s="586" t="str">
        <f t="shared" si="265"/>
        <v/>
      </c>
      <c r="Y940" s="586" t="str">
        <f t="shared" si="271"/>
        <v/>
      </c>
      <c r="Z940" s="586" t="str">
        <f t="shared" si="268"/>
        <v/>
      </c>
    </row>
    <row r="941" spans="1:26" ht="12" hidden="1" thickBot="1" x14ac:dyDescent="0.25">
      <c r="A941" s="567">
        <v>813</v>
      </c>
      <c r="B941" s="644">
        <v>813</v>
      </c>
      <c r="C941" s="645" t="s">
        <v>458</v>
      </c>
      <c r="D941" s="422" t="s">
        <v>2016</v>
      </c>
      <c r="E941" s="423"/>
      <c r="F941" s="424"/>
      <c r="G941" s="425"/>
      <c r="H941" s="651"/>
      <c r="I941" s="420">
        <v>26.72</v>
      </c>
      <c r="J941" s="420">
        <f>IF(ISBLANK(I941),"",SUM(H941:I941))</f>
        <v>26.72</v>
      </c>
      <c r="K941" s="421">
        <f t="shared" si="267"/>
        <v>31.75</v>
      </c>
      <c r="L941" s="647" t="s">
        <v>21</v>
      </c>
      <c r="M941" s="576"/>
      <c r="N941" s="576">
        <f t="shared" si="269"/>
        <v>0</v>
      </c>
      <c r="O941" s="577">
        <f t="shared" si="262"/>
        <v>0</v>
      </c>
      <c r="P941" s="578">
        <f t="shared" si="263"/>
        <v>0</v>
      </c>
      <c r="Q941" s="765"/>
      <c r="R941" s="576">
        <f t="shared" si="259"/>
        <v>0</v>
      </c>
      <c r="S941" s="576">
        <f t="shared" si="259"/>
        <v>0</v>
      </c>
      <c r="T941" s="577">
        <f t="shared" si="260"/>
        <v>0</v>
      </c>
      <c r="U941" s="578">
        <f t="shared" si="261"/>
        <v>0</v>
      </c>
      <c r="V941" s="579"/>
      <c r="W941" s="566"/>
      <c r="X941" s="586" t="str">
        <f t="shared" si="265"/>
        <v/>
      </c>
      <c r="Y941" s="586" t="str">
        <f t="shared" si="271"/>
        <v/>
      </c>
      <c r="Z941" s="586" t="str">
        <f t="shared" si="268"/>
        <v/>
      </c>
    </row>
    <row r="942" spans="1:26" ht="12" hidden="1" thickBot="1" x14ac:dyDescent="0.25">
      <c r="A942" s="567" t="s">
        <v>560</v>
      </c>
      <c r="B942" s="644" t="s">
        <v>560</v>
      </c>
      <c r="C942" s="645" t="s">
        <v>458</v>
      </c>
      <c r="D942" s="422" t="s">
        <v>2017</v>
      </c>
      <c r="E942" s="423"/>
      <c r="F942" s="424"/>
      <c r="G942" s="425"/>
      <c r="H942" s="651"/>
      <c r="I942" s="420">
        <v>10.62</v>
      </c>
      <c r="J942" s="420">
        <f>IF(ISBLANK(I942),"",SUM(H942:I942))</f>
        <v>10.62</v>
      </c>
      <c r="K942" s="421">
        <f t="shared" si="267"/>
        <v>12.62</v>
      </c>
      <c r="L942" s="647" t="s">
        <v>21</v>
      </c>
      <c r="M942" s="576"/>
      <c r="N942" s="576">
        <f t="shared" si="269"/>
        <v>0</v>
      </c>
      <c r="O942" s="577">
        <f t="shared" si="262"/>
        <v>0</v>
      </c>
      <c r="P942" s="578">
        <f t="shared" si="263"/>
        <v>0</v>
      </c>
      <c r="Q942" s="765"/>
      <c r="R942" s="576">
        <f t="shared" si="259"/>
        <v>0</v>
      </c>
      <c r="S942" s="576">
        <f t="shared" si="259"/>
        <v>0</v>
      </c>
      <c r="T942" s="577">
        <f t="shared" si="260"/>
        <v>0</v>
      </c>
      <c r="U942" s="578">
        <f t="shared" si="261"/>
        <v>0</v>
      </c>
      <c r="V942" s="579"/>
      <c r="W942" s="566"/>
      <c r="X942" s="586" t="str">
        <f t="shared" si="265"/>
        <v/>
      </c>
      <c r="Y942" s="586" t="str">
        <f t="shared" si="271"/>
        <v/>
      </c>
      <c r="Z942" s="586" t="str">
        <f t="shared" si="268"/>
        <v/>
      </c>
    </row>
    <row r="943" spans="1:26" ht="12" hidden="1" thickBot="1" x14ac:dyDescent="0.25">
      <c r="A943" s="567">
        <v>811</v>
      </c>
      <c r="B943" s="644">
        <v>811</v>
      </c>
      <c r="C943" s="645" t="s">
        <v>458</v>
      </c>
      <c r="D943" s="422" t="s">
        <v>2018</v>
      </c>
      <c r="E943" s="423"/>
      <c r="F943" s="424"/>
      <c r="G943" s="425"/>
      <c r="H943" s="651"/>
      <c r="I943" s="420">
        <v>13.02</v>
      </c>
      <c r="J943" s="420">
        <f t="shared" ref="J943:J966" si="272">IF(ISBLANK(I943),"",SUM(H943:I943))</f>
        <v>13.02</v>
      </c>
      <c r="K943" s="421">
        <f t="shared" si="267"/>
        <v>15.47</v>
      </c>
      <c r="L943" s="647" t="s">
        <v>21</v>
      </c>
      <c r="M943" s="576"/>
      <c r="N943" s="576">
        <f t="shared" si="269"/>
        <v>0</v>
      </c>
      <c r="O943" s="577">
        <f t="shared" si="262"/>
        <v>0</v>
      </c>
      <c r="P943" s="578">
        <f t="shared" si="263"/>
        <v>0</v>
      </c>
      <c r="Q943" s="765"/>
      <c r="R943" s="576">
        <f t="shared" si="259"/>
        <v>0</v>
      </c>
      <c r="S943" s="576">
        <f t="shared" si="259"/>
        <v>0</v>
      </c>
      <c r="T943" s="577">
        <f t="shared" si="260"/>
        <v>0</v>
      </c>
      <c r="U943" s="578">
        <f t="shared" si="261"/>
        <v>0</v>
      </c>
      <c r="V943" s="579"/>
      <c r="W943" s="566"/>
      <c r="X943" s="586" t="str">
        <f t="shared" si="265"/>
        <v/>
      </c>
      <c r="Y943" s="586" t="str">
        <f t="shared" si="271"/>
        <v/>
      </c>
      <c r="Z943" s="586" t="str">
        <f t="shared" si="268"/>
        <v/>
      </c>
    </row>
    <row r="944" spans="1:26" ht="12" hidden="1" thickBot="1" x14ac:dyDescent="0.25">
      <c r="A944" s="567">
        <v>814</v>
      </c>
      <c r="B944" s="644">
        <v>814</v>
      </c>
      <c r="C944" s="645" t="s">
        <v>458</v>
      </c>
      <c r="D944" s="422" t="s">
        <v>2019</v>
      </c>
      <c r="E944" s="423"/>
      <c r="F944" s="424"/>
      <c r="G944" s="425"/>
      <c r="H944" s="651"/>
      <c r="I944" s="420">
        <v>34.6</v>
      </c>
      <c r="J944" s="420">
        <f t="shared" si="272"/>
        <v>34.6</v>
      </c>
      <c r="K944" s="421">
        <f t="shared" si="267"/>
        <v>41.11</v>
      </c>
      <c r="L944" s="647" t="s">
        <v>21</v>
      </c>
      <c r="M944" s="576"/>
      <c r="N944" s="576">
        <f t="shared" si="269"/>
        <v>0</v>
      </c>
      <c r="O944" s="577">
        <f t="shared" si="262"/>
        <v>0</v>
      </c>
      <c r="P944" s="578">
        <f t="shared" si="263"/>
        <v>0</v>
      </c>
      <c r="Q944" s="765"/>
      <c r="R944" s="576">
        <f t="shared" si="259"/>
        <v>0</v>
      </c>
      <c r="S944" s="576">
        <f t="shared" si="259"/>
        <v>0</v>
      </c>
      <c r="T944" s="577">
        <f t="shared" si="260"/>
        <v>0</v>
      </c>
      <c r="U944" s="578">
        <f t="shared" si="261"/>
        <v>0</v>
      </c>
      <c r="V944" s="579"/>
      <c r="W944" s="566"/>
      <c r="X944" s="586" t="str">
        <f t="shared" si="265"/>
        <v/>
      </c>
      <c r="Y944" s="586" t="str">
        <f t="shared" si="271"/>
        <v/>
      </c>
      <c r="Z944" s="586" t="str">
        <f t="shared" si="268"/>
        <v/>
      </c>
    </row>
    <row r="945" spans="1:26" ht="12" hidden="1" thickBot="1" x14ac:dyDescent="0.25">
      <c r="A945" s="567">
        <v>815</v>
      </c>
      <c r="B945" s="644">
        <v>815</v>
      </c>
      <c r="C945" s="645" t="s">
        <v>458</v>
      </c>
      <c r="D945" s="422" t="s">
        <v>2020</v>
      </c>
      <c r="E945" s="423"/>
      <c r="F945" s="424"/>
      <c r="G945" s="425"/>
      <c r="H945" s="651"/>
      <c r="I945" s="420">
        <v>60.64</v>
      </c>
      <c r="J945" s="420">
        <f t="shared" si="272"/>
        <v>60.64</v>
      </c>
      <c r="K945" s="421">
        <f t="shared" si="267"/>
        <v>72.05</v>
      </c>
      <c r="L945" s="647" t="s">
        <v>21</v>
      </c>
      <c r="M945" s="576"/>
      <c r="N945" s="576">
        <f t="shared" si="269"/>
        <v>0</v>
      </c>
      <c r="O945" s="577">
        <f t="shared" si="262"/>
        <v>0</v>
      </c>
      <c r="P945" s="578">
        <f t="shared" si="263"/>
        <v>0</v>
      </c>
      <c r="Q945" s="765"/>
      <c r="R945" s="576">
        <f t="shared" si="259"/>
        <v>0</v>
      </c>
      <c r="S945" s="576">
        <f t="shared" si="259"/>
        <v>0</v>
      </c>
      <c r="T945" s="577">
        <f t="shared" si="260"/>
        <v>0</v>
      </c>
      <c r="U945" s="578">
        <f t="shared" si="261"/>
        <v>0</v>
      </c>
      <c r="V945" s="579"/>
      <c r="W945" s="566"/>
      <c r="X945" s="586" t="str">
        <f t="shared" si="265"/>
        <v/>
      </c>
      <c r="Y945" s="586" t="str">
        <f t="shared" si="271"/>
        <v/>
      </c>
      <c r="Z945" s="586" t="str">
        <f t="shared" si="268"/>
        <v/>
      </c>
    </row>
    <row r="946" spans="1:26" ht="12" hidden="1" thickBot="1" x14ac:dyDescent="0.25">
      <c r="A946" s="567">
        <v>816</v>
      </c>
      <c r="B946" s="644">
        <v>816</v>
      </c>
      <c r="C946" s="645" t="s">
        <v>458</v>
      </c>
      <c r="D946" s="422" t="s">
        <v>2021</v>
      </c>
      <c r="E946" s="423"/>
      <c r="F946" s="424"/>
      <c r="G946" s="425"/>
      <c r="H946" s="651"/>
      <c r="I946" s="420">
        <v>28.78</v>
      </c>
      <c r="J946" s="420">
        <f t="shared" si="272"/>
        <v>28.78</v>
      </c>
      <c r="K946" s="421">
        <f t="shared" si="267"/>
        <v>34.19</v>
      </c>
      <c r="L946" s="647" t="s">
        <v>21</v>
      </c>
      <c r="M946" s="576"/>
      <c r="N946" s="576">
        <f t="shared" si="269"/>
        <v>0</v>
      </c>
      <c r="O946" s="577">
        <f t="shared" si="262"/>
        <v>0</v>
      </c>
      <c r="P946" s="578">
        <f t="shared" si="263"/>
        <v>0</v>
      </c>
      <c r="Q946" s="765"/>
      <c r="R946" s="576">
        <f t="shared" si="259"/>
        <v>0</v>
      </c>
      <c r="S946" s="576">
        <f t="shared" si="259"/>
        <v>0</v>
      </c>
      <c r="T946" s="577">
        <f t="shared" si="260"/>
        <v>0</v>
      </c>
      <c r="U946" s="578">
        <f t="shared" si="261"/>
        <v>0</v>
      </c>
      <c r="V946" s="579"/>
      <c r="W946" s="566"/>
      <c r="X946" s="586" t="str">
        <f t="shared" si="265"/>
        <v/>
      </c>
      <c r="Y946" s="586" t="str">
        <f t="shared" si="271"/>
        <v/>
      </c>
      <c r="Z946" s="586" t="str">
        <f t="shared" si="268"/>
        <v/>
      </c>
    </row>
    <row r="947" spans="1:26" ht="12" hidden="1" thickBot="1" x14ac:dyDescent="0.25">
      <c r="A947" s="567">
        <v>817</v>
      </c>
      <c r="B947" s="644">
        <v>817</v>
      </c>
      <c r="C947" s="645" t="s">
        <v>458</v>
      </c>
      <c r="D947" s="422" t="s">
        <v>2022</v>
      </c>
      <c r="E947" s="423"/>
      <c r="F947" s="424"/>
      <c r="G947" s="425"/>
      <c r="H947" s="651"/>
      <c r="I947" s="420">
        <v>41.46</v>
      </c>
      <c r="J947" s="420">
        <f t="shared" si="272"/>
        <v>41.46</v>
      </c>
      <c r="K947" s="421">
        <f t="shared" si="267"/>
        <v>49.26</v>
      </c>
      <c r="L947" s="647" t="s">
        <v>21</v>
      </c>
      <c r="M947" s="576"/>
      <c r="N947" s="576">
        <f t="shared" si="269"/>
        <v>0</v>
      </c>
      <c r="O947" s="577">
        <f t="shared" si="262"/>
        <v>0</v>
      </c>
      <c r="P947" s="578">
        <f t="shared" si="263"/>
        <v>0</v>
      </c>
      <c r="Q947" s="765"/>
      <c r="R947" s="576">
        <f t="shared" si="259"/>
        <v>0</v>
      </c>
      <c r="S947" s="576">
        <f t="shared" si="259"/>
        <v>0</v>
      </c>
      <c r="T947" s="577">
        <f t="shared" si="260"/>
        <v>0</v>
      </c>
      <c r="U947" s="578">
        <f t="shared" si="261"/>
        <v>0</v>
      </c>
      <c r="V947" s="579"/>
      <c r="W947" s="566"/>
      <c r="X947" s="586" t="str">
        <f t="shared" si="265"/>
        <v/>
      </c>
      <c r="Y947" s="586" t="str">
        <f t="shared" si="271"/>
        <v/>
      </c>
      <c r="Z947" s="586" t="str">
        <f t="shared" si="268"/>
        <v/>
      </c>
    </row>
    <row r="948" spans="1:26" ht="12" hidden="1" thickBot="1" x14ac:dyDescent="0.25">
      <c r="A948" s="567">
        <v>818</v>
      </c>
      <c r="B948" s="644">
        <v>818</v>
      </c>
      <c r="C948" s="645" t="s">
        <v>458</v>
      </c>
      <c r="D948" s="422" t="s">
        <v>2023</v>
      </c>
      <c r="E948" s="423"/>
      <c r="F948" s="424"/>
      <c r="G948" s="425"/>
      <c r="H948" s="651"/>
      <c r="I948" s="420">
        <v>15.42</v>
      </c>
      <c r="J948" s="420">
        <f t="shared" si="272"/>
        <v>15.42</v>
      </c>
      <c r="K948" s="421">
        <f t="shared" si="267"/>
        <v>18.32</v>
      </c>
      <c r="L948" s="647" t="s">
        <v>21</v>
      </c>
      <c r="M948" s="576"/>
      <c r="N948" s="576">
        <f t="shared" si="269"/>
        <v>0</v>
      </c>
      <c r="O948" s="577">
        <f t="shared" si="262"/>
        <v>0</v>
      </c>
      <c r="P948" s="578">
        <f t="shared" si="263"/>
        <v>0</v>
      </c>
      <c r="Q948" s="765"/>
      <c r="R948" s="576">
        <f t="shared" ref="R948:S1011" si="273">M948</f>
        <v>0</v>
      </c>
      <c r="S948" s="576">
        <f t="shared" si="273"/>
        <v>0</v>
      </c>
      <c r="T948" s="577">
        <f t="shared" ref="T948:T1011" si="274">IF(ISBLANK(R948),0,ROUND(K948*R948,2))</f>
        <v>0</v>
      </c>
      <c r="U948" s="578">
        <f t="shared" ref="U948:U1011" si="275">IF(ISBLANK(R948),0,ROUND(R948*S948,2))</f>
        <v>0</v>
      </c>
      <c r="V948" s="579"/>
      <c r="W948" s="566"/>
      <c r="X948" s="586" t="str">
        <f t="shared" si="265"/>
        <v/>
      </c>
      <c r="Y948" s="586" t="str">
        <f t="shared" si="271"/>
        <v/>
      </c>
      <c r="Z948" s="586" t="str">
        <f t="shared" si="268"/>
        <v/>
      </c>
    </row>
    <row r="949" spans="1:26" ht="12" hidden="1" thickBot="1" x14ac:dyDescent="0.25">
      <c r="A949" s="567">
        <v>819</v>
      </c>
      <c r="B949" s="644">
        <v>819</v>
      </c>
      <c r="C949" s="645" t="s">
        <v>458</v>
      </c>
      <c r="D949" s="422" t="s">
        <v>2024</v>
      </c>
      <c r="E949" s="423"/>
      <c r="F949" s="424"/>
      <c r="G949" s="425"/>
      <c r="H949" s="651"/>
      <c r="I949" s="420">
        <v>23.3</v>
      </c>
      <c r="J949" s="420">
        <f t="shared" si="272"/>
        <v>23.3</v>
      </c>
      <c r="K949" s="421">
        <f t="shared" si="267"/>
        <v>27.68</v>
      </c>
      <c r="L949" s="647" t="s">
        <v>19</v>
      </c>
      <c r="M949" s="576"/>
      <c r="N949" s="576">
        <f t="shared" si="269"/>
        <v>0</v>
      </c>
      <c r="O949" s="577">
        <f t="shared" ref="O949:O1012" si="276">IF(ISBLANK(M949),0,ROUND(K949*M949,2))</f>
        <v>0</v>
      </c>
      <c r="P949" s="578">
        <f t="shared" ref="P949:P1012" si="277">IF(ISBLANK(N949),0,ROUND(M949*N949,2))</f>
        <v>0</v>
      </c>
      <c r="Q949" s="765"/>
      <c r="R949" s="576">
        <f t="shared" si="273"/>
        <v>0</v>
      </c>
      <c r="S949" s="576">
        <f t="shared" si="273"/>
        <v>0</v>
      </c>
      <c r="T949" s="577">
        <f t="shared" si="274"/>
        <v>0</v>
      </c>
      <c r="U949" s="578">
        <f t="shared" si="275"/>
        <v>0</v>
      </c>
      <c r="V949" s="579"/>
      <c r="W949" s="566"/>
      <c r="X949" s="586" t="str">
        <f t="shared" si="265"/>
        <v/>
      </c>
      <c r="Y949" s="586" t="str">
        <f t="shared" si="271"/>
        <v/>
      </c>
      <c r="Z949" s="586" t="str">
        <f t="shared" si="268"/>
        <v/>
      </c>
    </row>
    <row r="950" spans="1:26" ht="12" hidden="1" thickBot="1" x14ac:dyDescent="0.25">
      <c r="A950" s="567">
        <v>820</v>
      </c>
      <c r="B950" s="644">
        <v>820</v>
      </c>
      <c r="C950" s="645" t="s">
        <v>458</v>
      </c>
      <c r="D950" s="422" t="s">
        <v>2025</v>
      </c>
      <c r="E950" s="423"/>
      <c r="F950" s="424"/>
      <c r="G950" s="425"/>
      <c r="H950" s="651"/>
      <c r="I950" s="420">
        <v>14.08</v>
      </c>
      <c r="J950" s="420">
        <f t="shared" si="272"/>
        <v>14.08</v>
      </c>
      <c r="K950" s="421">
        <f t="shared" si="267"/>
        <v>16.73</v>
      </c>
      <c r="L950" s="647" t="s">
        <v>21</v>
      </c>
      <c r="M950" s="576"/>
      <c r="N950" s="576">
        <f t="shared" si="269"/>
        <v>0</v>
      </c>
      <c r="O950" s="577">
        <f t="shared" si="276"/>
        <v>0</v>
      </c>
      <c r="P950" s="578">
        <f t="shared" si="277"/>
        <v>0</v>
      </c>
      <c r="Q950" s="765"/>
      <c r="R950" s="576">
        <f t="shared" si="273"/>
        <v>0</v>
      </c>
      <c r="S950" s="576">
        <f t="shared" si="273"/>
        <v>0</v>
      </c>
      <c r="T950" s="577">
        <f t="shared" si="274"/>
        <v>0</v>
      </c>
      <c r="U950" s="578">
        <f t="shared" si="275"/>
        <v>0</v>
      </c>
      <c r="V950" s="579"/>
      <c r="W950" s="566"/>
      <c r="X950" s="586" t="str">
        <f t="shared" si="265"/>
        <v/>
      </c>
      <c r="Y950" s="586" t="str">
        <f t="shared" si="271"/>
        <v/>
      </c>
      <c r="Z950" s="586" t="str">
        <f t="shared" si="268"/>
        <v/>
      </c>
    </row>
    <row r="951" spans="1:26" ht="12" hidden="1" thickBot="1" x14ac:dyDescent="0.25">
      <c r="A951" s="567">
        <v>821</v>
      </c>
      <c r="B951" s="644">
        <v>821</v>
      </c>
      <c r="C951" s="645" t="s">
        <v>458</v>
      </c>
      <c r="D951" s="422" t="s">
        <v>2026</v>
      </c>
      <c r="E951" s="423"/>
      <c r="F951" s="424"/>
      <c r="G951" s="425"/>
      <c r="H951" s="651"/>
      <c r="I951" s="420">
        <v>22.96</v>
      </c>
      <c r="J951" s="420">
        <f t="shared" si="272"/>
        <v>22.96</v>
      </c>
      <c r="K951" s="421">
        <f t="shared" si="267"/>
        <v>27.28</v>
      </c>
      <c r="L951" s="647" t="s">
        <v>21</v>
      </c>
      <c r="M951" s="576"/>
      <c r="N951" s="576">
        <f t="shared" si="269"/>
        <v>0</v>
      </c>
      <c r="O951" s="577">
        <f t="shared" si="276"/>
        <v>0</v>
      </c>
      <c r="P951" s="578">
        <f t="shared" si="277"/>
        <v>0</v>
      </c>
      <c r="Q951" s="765"/>
      <c r="R951" s="576">
        <f t="shared" si="273"/>
        <v>0</v>
      </c>
      <c r="S951" s="576">
        <f t="shared" si="273"/>
        <v>0</v>
      </c>
      <c r="T951" s="577">
        <f t="shared" si="274"/>
        <v>0</v>
      </c>
      <c r="U951" s="578">
        <f t="shared" si="275"/>
        <v>0</v>
      </c>
      <c r="V951" s="579"/>
      <c r="W951" s="566"/>
      <c r="X951" s="586" t="str">
        <f t="shared" si="265"/>
        <v/>
      </c>
      <c r="Y951" s="586" t="str">
        <f t="shared" si="271"/>
        <v/>
      </c>
      <c r="Z951" s="586" t="str">
        <f t="shared" si="268"/>
        <v/>
      </c>
    </row>
    <row r="952" spans="1:26" ht="12" hidden="1" thickBot="1" x14ac:dyDescent="0.25">
      <c r="A952" s="567">
        <v>871</v>
      </c>
      <c r="B952" s="644">
        <v>871</v>
      </c>
      <c r="C952" s="645" t="s">
        <v>458</v>
      </c>
      <c r="D952" s="422" t="s">
        <v>2027</v>
      </c>
      <c r="E952" s="423"/>
      <c r="F952" s="424"/>
      <c r="G952" s="425"/>
      <c r="H952" s="651"/>
      <c r="I952" s="420">
        <v>11.31</v>
      </c>
      <c r="J952" s="420">
        <f t="shared" si="272"/>
        <v>11.31</v>
      </c>
      <c r="K952" s="421">
        <f t="shared" si="267"/>
        <v>13.44</v>
      </c>
      <c r="L952" s="647" t="s">
        <v>21</v>
      </c>
      <c r="M952" s="576"/>
      <c r="N952" s="576">
        <f t="shared" si="269"/>
        <v>0</v>
      </c>
      <c r="O952" s="577">
        <f t="shared" si="276"/>
        <v>0</v>
      </c>
      <c r="P952" s="578">
        <f t="shared" si="277"/>
        <v>0</v>
      </c>
      <c r="Q952" s="765"/>
      <c r="R952" s="576">
        <f t="shared" si="273"/>
        <v>0</v>
      </c>
      <c r="S952" s="576">
        <f t="shared" si="273"/>
        <v>0</v>
      </c>
      <c r="T952" s="577">
        <f t="shared" si="274"/>
        <v>0</v>
      </c>
      <c r="U952" s="578">
        <f t="shared" si="275"/>
        <v>0</v>
      </c>
      <c r="V952" s="579"/>
      <c r="W952" s="566"/>
      <c r="X952" s="586" t="str">
        <f t="shared" si="265"/>
        <v/>
      </c>
      <c r="Y952" s="586" t="str">
        <f t="shared" si="271"/>
        <v/>
      </c>
      <c r="Z952" s="586" t="str">
        <f t="shared" si="268"/>
        <v/>
      </c>
    </row>
    <row r="953" spans="1:26" ht="12" hidden="1" thickBot="1" x14ac:dyDescent="0.25">
      <c r="A953" s="567" t="s">
        <v>561</v>
      </c>
      <c r="B953" s="644" t="s">
        <v>561</v>
      </c>
      <c r="C953" s="645" t="s">
        <v>458</v>
      </c>
      <c r="D953" s="422" t="s">
        <v>2028</v>
      </c>
      <c r="E953" s="423"/>
      <c r="F953" s="424"/>
      <c r="G953" s="425"/>
      <c r="H953" s="651"/>
      <c r="I953" s="420">
        <v>4.45</v>
      </c>
      <c r="J953" s="420">
        <f t="shared" si="272"/>
        <v>4.45</v>
      </c>
      <c r="K953" s="421">
        <f t="shared" si="267"/>
        <v>5.29</v>
      </c>
      <c r="L953" s="647" t="s">
        <v>21</v>
      </c>
      <c r="M953" s="576"/>
      <c r="N953" s="576">
        <f t="shared" si="269"/>
        <v>0</v>
      </c>
      <c r="O953" s="577">
        <f t="shared" si="276"/>
        <v>0</v>
      </c>
      <c r="P953" s="578">
        <f t="shared" si="277"/>
        <v>0</v>
      </c>
      <c r="Q953" s="765"/>
      <c r="R953" s="576">
        <f t="shared" si="273"/>
        <v>0</v>
      </c>
      <c r="S953" s="576">
        <f t="shared" si="273"/>
        <v>0</v>
      </c>
      <c r="T953" s="577">
        <f t="shared" si="274"/>
        <v>0</v>
      </c>
      <c r="U953" s="578">
        <f t="shared" si="275"/>
        <v>0</v>
      </c>
      <c r="V953" s="579"/>
      <c r="W953" s="566"/>
      <c r="X953" s="586" t="str">
        <f t="shared" si="265"/>
        <v/>
      </c>
      <c r="Y953" s="586" t="str">
        <f t="shared" si="271"/>
        <v/>
      </c>
      <c r="Z953" s="586" t="str">
        <f t="shared" si="268"/>
        <v/>
      </c>
    </row>
    <row r="954" spans="1:26" ht="12" hidden="1" thickBot="1" x14ac:dyDescent="0.25">
      <c r="A954" s="567">
        <v>834</v>
      </c>
      <c r="B954" s="644">
        <v>834</v>
      </c>
      <c r="C954" s="645" t="s">
        <v>458</v>
      </c>
      <c r="D954" s="422" t="s">
        <v>2029</v>
      </c>
      <c r="E954" s="423"/>
      <c r="F954" s="424"/>
      <c r="G954" s="425"/>
      <c r="H954" s="651"/>
      <c r="I954" s="420">
        <v>11.99</v>
      </c>
      <c r="J954" s="420">
        <f t="shared" si="272"/>
        <v>11.99</v>
      </c>
      <c r="K954" s="421">
        <f t="shared" si="267"/>
        <v>14.25</v>
      </c>
      <c r="L954" s="647" t="s">
        <v>21</v>
      </c>
      <c r="M954" s="576"/>
      <c r="N954" s="576">
        <f t="shared" si="269"/>
        <v>0</v>
      </c>
      <c r="O954" s="577">
        <f t="shared" si="276"/>
        <v>0</v>
      </c>
      <c r="P954" s="578">
        <f t="shared" si="277"/>
        <v>0</v>
      </c>
      <c r="Q954" s="765"/>
      <c r="R954" s="576">
        <f t="shared" si="273"/>
        <v>0</v>
      </c>
      <c r="S954" s="576">
        <f t="shared" si="273"/>
        <v>0</v>
      </c>
      <c r="T954" s="577">
        <f t="shared" si="274"/>
        <v>0</v>
      </c>
      <c r="U954" s="578">
        <f t="shared" si="275"/>
        <v>0</v>
      </c>
      <c r="V954" s="579"/>
      <c r="W954" s="566"/>
      <c r="X954" s="586" t="str">
        <f t="shared" si="265"/>
        <v/>
      </c>
      <c r="Y954" s="586" t="str">
        <f t="shared" si="271"/>
        <v/>
      </c>
      <c r="Z954" s="586" t="str">
        <f t="shared" si="268"/>
        <v/>
      </c>
    </row>
    <row r="955" spans="1:26" ht="12" hidden="1" thickBot="1" x14ac:dyDescent="0.25">
      <c r="A955" s="567" t="s">
        <v>562</v>
      </c>
      <c r="B955" s="644" t="s">
        <v>562</v>
      </c>
      <c r="C955" s="645" t="s">
        <v>458</v>
      </c>
      <c r="D955" s="422" t="s">
        <v>2030</v>
      </c>
      <c r="E955" s="423"/>
      <c r="F955" s="424"/>
      <c r="G955" s="425"/>
      <c r="H955" s="651"/>
      <c r="I955" s="420">
        <v>4.8</v>
      </c>
      <c r="J955" s="420">
        <f t="shared" si="272"/>
        <v>4.8</v>
      </c>
      <c r="K955" s="421">
        <f t="shared" si="267"/>
        <v>5.7</v>
      </c>
      <c r="L955" s="647" t="s">
        <v>21</v>
      </c>
      <c r="M955" s="576"/>
      <c r="N955" s="576">
        <f t="shared" si="269"/>
        <v>0</v>
      </c>
      <c r="O955" s="577">
        <f t="shared" si="276"/>
        <v>0</v>
      </c>
      <c r="P955" s="578">
        <f t="shared" si="277"/>
        <v>0</v>
      </c>
      <c r="Q955" s="765"/>
      <c r="R955" s="576">
        <f t="shared" si="273"/>
        <v>0</v>
      </c>
      <c r="S955" s="576">
        <f t="shared" si="273"/>
        <v>0</v>
      </c>
      <c r="T955" s="577">
        <f t="shared" si="274"/>
        <v>0</v>
      </c>
      <c r="U955" s="578">
        <f t="shared" si="275"/>
        <v>0</v>
      </c>
      <c r="V955" s="579"/>
      <c r="W955" s="566"/>
      <c r="X955" s="586" t="str">
        <f t="shared" si="265"/>
        <v/>
      </c>
      <c r="Y955" s="586" t="str">
        <f t="shared" si="271"/>
        <v/>
      </c>
      <c r="Z955" s="586" t="str">
        <f t="shared" si="268"/>
        <v/>
      </c>
    </row>
    <row r="956" spans="1:26" ht="23.25" hidden="1" thickBot="1" x14ac:dyDescent="0.25">
      <c r="A956" s="567">
        <v>835</v>
      </c>
      <c r="B956" s="644">
        <v>835</v>
      </c>
      <c r="C956" s="645" t="s">
        <v>458</v>
      </c>
      <c r="D956" s="422" t="s">
        <v>2031</v>
      </c>
      <c r="E956" s="423"/>
      <c r="F956" s="424"/>
      <c r="G956" s="425"/>
      <c r="H956" s="651"/>
      <c r="I956" s="420">
        <v>43.85</v>
      </c>
      <c r="J956" s="420">
        <f t="shared" si="272"/>
        <v>43.85</v>
      </c>
      <c r="K956" s="421">
        <f t="shared" si="267"/>
        <v>52.1</v>
      </c>
      <c r="L956" s="647" t="s">
        <v>21</v>
      </c>
      <c r="M956" s="576"/>
      <c r="N956" s="576">
        <f t="shared" si="269"/>
        <v>0</v>
      </c>
      <c r="O956" s="577">
        <f t="shared" si="276"/>
        <v>0</v>
      </c>
      <c r="P956" s="578">
        <f t="shared" si="277"/>
        <v>0</v>
      </c>
      <c r="Q956" s="765"/>
      <c r="R956" s="576">
        <f t="shared" si="273"/>
        <v>0</v>
      </c>
      <c r="S956" s="576">
        <f t="shared" si="273"/>
        <v>0</v>
      </c>
      <c r="T956" s="577">
        <f t="shared" si="274"/>
        <v>0</v>
      </c>
      <c r="U956" s="578">
        <f t="shared" si="275"/>
        <v>0</v>
      </c>
      <c r="V956" s="579"/>
      <c r="W956" s="566"/>
      <c r="X956" s="586" t="str">
        <f t="shared" si="265"/>
        <v/>
      </c>
      <c r="Y956" s="586" t="str">
        <f t="shared" si="271"/>
        <v/>
      </c>
      <c r="Z956" s="586" t="str">
        <f t="shared" si="268"/>
        <v/>
      </c>
    </row>
    <row r="957" spans="1:26" ht="23.25" hidden="1" thickBot="1" x14ac:dyDescent="0.25">
      <c r="A957" s="567" t="s">
        <v>565</v>
      </c>
      <c r="B957" s="644" t="s">
        <v>565</v>
      </c>
      <c r="C957" s="645" t="s">
        <v>458</v>
      </c>
      <c r="D957" s="422" t="s">
        <v>2032</v>
      </c>
      <c r="E957" s="423"/>
      <c r="F957" s="424"/>
      <c r="G957" s="425"/>
      <c r="H957" s="651"/>
      <c r="I957" s="420">
        <v>17.47</v>
      </c>
      <c r="J957" s="420">
        <f t="shared" si="272"/>
        <v>17.47</v>
      </c>
      <c r="K957" s="421">
        <f t="shared" si="267"/>
        <v>20.76</v>
      </c>
      <c r="L957" s="647" t="s">
        <v>21</v>
      </c>
      <c r="M957" s="576"/>
      <c r="N957" s="576">
        <f t="shared" si="269"/>
        <v>0</v>
      </c>
      <c r="O957" s="577">
        <f t="shared" si="276"/>
        <v>0</v>
      </c>
      <c r="P957" s="578">
        <f t="shared" si="277"/>
        <v>0</v>
      </c>
      <c r="Q957" s="765"/>
      <c r="R957" s="576">
        <f t="shared" si="273"/>
        <v>0</v>
      </c>
      <c r="S957" s="576">
        <f t="shared" si="273"/>
        <v>0</v>
      </c>
      <c r="T957" s="577">
        <f t="shared" si="274"/>
        <v>0</v>
      </c>
      <c r="U957" s="578">
        <f t="shared" si="275"/>
        <v>0</v>
      </c>
      <c r="V957" s="579"/>
      <c r="W957" s="566"/>
      <c r="X957" s="586" t="str">
        <f t="shared" ref="X957:X1020" si="278">IF(W957="X","x",IF(W957="xx","x",IF(W957="xy","x",IF(W957="y","x",IF(OR(P957&gt;0,U957&gt;0),"x","")))))</f>
        <v/>
      </c>
      <c r="Y957" s="586" t="str">
        <f t="shared" si="271"/>
        <v/>
      </c>
      <c r="Z957" s="586" t="str">
        <f t="shared" si="268"/>
        <v/>
      </c>
    </row>
    <row r="958" spans="1:26" ht="23.25" hidden="1" thickBot="1" x14ac:dyDescent="0.25">
      <c r="A958" s="567">
        <v>836</v>
      </c>
      <c r="B958" s="644">
        <v>836</v>
      </c>
      <c r="C958" s="645" t="s">
        <v>458</v>
      </c>
      <c r="D958" s="422" t="s">
        <v>2033</v>
      </c>
      <c r="E958" s="423"/>
      <c r="F958" s="424"/>
      <c r="G958" s="425"/>
      <c r="H958" s="651"/>
      <c r="I958" s="420">
        <v>114.78</v>
      </c>
      <c r="J958" s="420">
        <f t="shared" si="272"/>
        <v>114.78</v>
      </c>
      <c r="K958" s="421">
        <f t="shared" si="267"/>
        <v>136.37</v>
      </c>
      <c r="L958" s="647" t="s">
        <v>21</v>
      </c>
      <c r="M958" s="576"/>
      <c r="N958" s="576">
        <f t="shared" si="269"/>
        <v>0</v>
      </c>
      <c r="O958" s="577">
        <f t="shared" si="276"/>
        <v>0</v>
      </c>
      <c r="P958" s="578">
        <f t="shared" si="277"/>
        <v>0</v>
      </c>
      <c r="Q958" s="765"/>
      <c r="R958" s="576">
        <f t="shared" si="273"/>
        <v>0</v>
      </c>
      <c r="S958" s="576">
        <f t="shared" si="273"/>
        <v>0</v>
      </c>
      <c r="T958" s="577">
        <f t="shared" si="274"/>
        <v>0</v>
      </c>
      <c r="U958" s="578">
        <f t="shared" si="275"/>
        <v>0</v>
      </c>
      <c r="V958" s="579"/>
      <c r="W958" s="566"/>
      <c r="X958" s="586" t="str">
        <f t="shared" si="278"/>
        <v/>
      </c>
      <c r="Y958" s="586" t="str">
        <f t="shared" si="271"/>
        <v/>
      </c>
      <c r="Z958" s="586" t="str">
        <f t="shared" si="268"/>
        <v/>
      </c>
    </row>
    <row r="959" spans="1:26" ht="23.25" hidden="1" thickBot="1" x14ac:dyDescent="0.25">
      <c r="A959" s="567" t="s">
        <v>563</v>
      </c>
      <c r="B959" s="644" t="s">
        <v>563</v>
      </c>
      <c r="C959" s="645" t="s">
        <v>458</v>
      </c>
      <c r="D959" s="422" t="s">
        <v>2034</v>
      </c>
      <c r="E959" s="423"/>
      <c r="F959" s="424"/>
      <c r="G959" s="425"/>
      <c r="H959" s="651"/>
      <c r="I959" s="420">
        <v>57.56</v>
      </c>
      <c r="J959" s="420">
        <f t="shared" si="272"/>
        <v>57.56</v>
      </c>
      <c r="K959" s="421">
        <f t="shared" si="267"/>
        <v>68.39</v>
      </c>
      <c r="L959" s="647" t="s">
        <v>21</v>
      </c>
      <c r="M959" s="576"/>
      <c r="N959" s="576">
        <f t="shared" si="269"/>
        <v>0</v>
      </c>
      <c r="O959" s="577">
        <f t="shared" si="276"/>
        <v>0</v>
      </c>
      <c r="P959" s="578">
        <f t="shared" si="277"/>
        <v>0</v>
      </c>
      <c r="Q959" s="765"/>
      <c r="R959" s="576">
        <f t="shared" si="273"/>
        <v>0</v>
      </c>
      <c r="S959" s="576">
        <f t="shared" si="273"/>
        <v>0</v>
      </c>
      <c r="T959" s="577">
        <f t="shared" si="274"/>
        <v>0</v>
      </c>
      <c r="U959" s="578">
        <f t="shared" si="275"/>
        <v>0</v>
      </c>
      <c r="V959" s="579"/>
      <c r="W959" s="566"/>
      <c r="X959" s="586" t="str">
        <f t="shared" si="278"/>
        <v/>
      </c>
      <c r="Y959" s="586" t="str">
        <f t="shared" si="271"/>
        <v/>
      </c>
      <c r="Z959" s="586" t="str">
        <f t="shared" si="268"/>
        <v/>
      </c>
    </row>
    <row r="960" spans="1:26" ht="12" hidden="1" thickBot="1" x14ac:dyDescent="0.25">
      <c r="A960" s="567">
        <v>837</v>
      </c>
      <c r="B960" s="644">
        <v>837</v>
      </c>
      <c r="C960" s="645" t="s">
        <v>458</v>
      </c>
      <c r="D960" s="422" t="s">
        <v>2035</v>
      </c>
      <c r="E960" s="423"/>
      <c r="F960" s="424"/>
      <c r="G960" s="425"/>
      <c r="H960" s="651"/>
      <c r="I960" s="420">
        <v>20.9</v>
      </c>
      <c r="J960" s="420">
        <f t="shared" si="272"/>
        <v>20.9</v>
      </c>
      <c r="K960" s="421">
        <f t="shared" si="267"/>
        <v>24.83</v>
      </c>
      <c r="L960" s="647" t="s">
        <v>21</v>
      </c>
      <c r="M960" s="576"/>
      <c r="N960" s="576">
        <f t="shared" si="269"/>
        <v>0</v>
      </c>
      <c r="O960" s="577">
        <f t="shared" si="276"/>
        <v>0</v>
      </c>
      <c r="P960" s="578">
        <f t="shared" si="277"/>
        <v>0</v>
      </c>
      <c r="Q960" s="765"/>
      <c r="R960" s="576">
        <f t="shared" si="273"/>
        <v>0</v>
      </c>
      <c r="S960" s="576">
        <f t="shared" si="273"/>
        <v>0</v>
      </c>
      <c r="T960" s="577">
        <f t="shared" si="274"/>
        <v>0</v>
      </c>
      <c r="U960" s="578">
        <f t="shared" si="275"/>
        <v>0</v>
      </c>
      <c r="V960" s="579"/>
      <c r="W960" s="566"/>
      <c r="X960" s="586" t="str">
        <f t="shared" si="278"/>
        <v/>
      </c>
      <c r="Y960" s="586" t="str">
        <f t="shared" si="271"/>
        <v/>
      </c>
      <c r="Z960" s="586" t="str">
        <f t="shared" si="268"/>
        <v/>
      </c>
    </row>
    <row r="961" spans="1:26" ht="12" hidden="1" thickBot="1" x14ac:dyDescent="0.25">
      <c r="A961" s="567">
        <v>838</v>
      </c>
      <c r="B961" s="644">
        <v>838</v>
      </c>
      <c r="C961" s="645" t="s">
        <v>458</v>
      </c>
      <c r="D961" s="422" t="s">
        <v>2036</v>
      </c>
      <c r="E961" s="423"/>
      <c r="F961" s="424"/>
      <c r="G961" s="425"/>
      <c r="H961" s="651"/>
      <c r="I961" s="420">
        <v>53.11</v>
      </c>
      <c r="J961" s="420">
        <f t="shared" si="272"/>
        <v>53.11</v>
      </c>
      <c r="K961" s="421">
        <f t="shared" si="267"/>
        <v>63.1</v>
      </c>
      <c r="L961" s="647" t="s">
        <v>21</v>
      </c>
      <c r="M961" s="576"/>
      <c r="N961" s="576">
        <f t="shared" si="269"/>
        <v>0</v>
      </c>
      <c r="O961" s="577">
        <f t="shared" si="276"/>
        <v>0</v>
      </c>
      <c r="P961" s="578">
        <f t="shared" si="277"/>
        <v>0</v>
      </c>
      <c r="Q961" s="765"/>
      <c r="R961" s="576">
        <f t="shared" si="273"/>
        <v>0</v>
      </c>
      <c r="S961" s="576">
        <f t="shared" si="273"/>
        <v>0</v>
      </c>
      <c r="T961" s="577">
        <f t="shared" si="274"/>
        <v>0</v>
      </c>
      <c r="U961" s="578">
        <f t="shared" si="275"/>
        <v>0</v>
      </c>
      <c r="V961" s="579"/>
      <c r="W961" s="566"/>
      <c r="X961" s="586" t="str">
        <f t="shared" si="278"/>
        <v/>
      </c>
      <c r="Y961" s="586" t="str">
        <f t="shared" si="271"/>
        <v/>
      </c>
      <c r="Z961" s="586" t="str">
        <f t="shared" si="268"/>
        <v/>
      </c>
    </row>
    <row r="962" spans="1:26" ht="12" hidden="1" thickBot="1" x14ac:dyDescent="0.25">
      <c r="A962" s="567" t="s">
        <v>566</v>
      </c>
      <c r="B962" s="644" t="s">
        <v>566</v>
      </c>
      <c r="C962" s="645" t="s">
        <v>458</v>
      </c>
      <c r="D962" s="422" t="s">
        <v>574</v>
      </c>
      <c r="E962" s="423"/>
      <c r="F962" s="424"/>
      <c r="G962" s="425"/>
      <c r="H962" s="651"/>
      <c r="I962" s="420">
        <v>21.24</v>
      </c>
      <c r="J962" s="420">
        <f t="shared" si="272"/>
        <v>21.24</v>
      </c>
      <c r="K962" s="421">
        <f t="shared" si="267"/>
        <v>25.24</v>
      </c>
      <c r="L962" s="647" t="s">
        <v>21</v>
      </c>
      <c r="M962" s="576"/>
      <c r="N962" s="576">
        <f t="shared" si="269"/>
        <v>0</v>
      </c>
      <c r="O962" s="577">
        <f t="shared" si="276"/>
        <v>0</v>
      </c>
      <c r="P962" s="578">
        <f t="shared" si="277"/>
        <v>0</v>
      </c>
      <c r="Q962" s="765"/>
      <c r="R962" s="576">
        <f t="shared" si="273"/>
        <v>0</v>
      </c>
      <c r="S962" s="576">
        <f t="shared" si="273"/>
        <v>0</v>
      </c>
      <c r="T962" s="577">
        <f t="shared" si="274"/>
        <v>0</v>
      </c>
      <c r="U962" s="578">
        <f t="shared" si="275"/>
        <v>0</v>
      </c>
      <c r="V962" s="579"/>
      <c r="W962" s="566"/>
      <c r="X962" s="586" t="str">
        <f t="shared" si="278"/>
        <v/>
      </c>
      <c r="Y962" s="586" t="str">
        <f t="shared" si="271"/>
        <v/>
      </c>
      <c r="Z962" s="586" t="str">
        <f t="shared" si="268"/>
        <v/>
      </c>
    </row>
    <row r="963" spans="1:26" ht="12" hidden="1" thickBot="1" x14ac:dyDescent="0.25">
      <c r="A963" s="567">
        <v>839</v>
      </c>
      <c r="B963" s="644">
        <v>839</v>
      </c>
      <c r="C963" s="645" t="s">
        <v>458</v>
      </c>
      <c r="D963" s="422" t="s">
        <v>2037</v>
      </c>
      <c r="E963" s="423"/>
      <c r="F963" s="424"/>
      <c r="G963" s="425"/>
      <c r="H963" s="651"/>
      <c r="I963" s="420">
        <v>171.99</v>
      </c>
      <c r="J963" s="420">
        <f t="shared" si="272"/>
        <v>171.99</v>
      </c>
      <c r="K963" s="421">
        <f t="shared" si="267"/>
        <v>204.34</v>
      </c>
      <c r="L963" s="647" t="s">
        <v>21</v>
      </c>
      <c r="M963" s="576"/>
      <c r="N963" s="576">
        <f t="shared" si="269"/>
        <v>0</v>
      </c>
      <c r="O963" s="577">
        <f t="shared" si="276"/>
        <v>0</v>
      </c>
      <c r="P963" s="578">
        <f t="shared" si="277"/>
        <v>0</v>
      </c>
      <c r="Q963" s="765"/>
      <c r="R963" s="576">
        <f t="shared" si="273"/>
        <v>0</v>
      </c>
      <c r="S963" s="576">
        <f t="shared" si="273"/>
        <v>0</v>
      </c>
      <c r="T963" s="577">
        <f t="shared" si="274"/>
        <v>0</v>
      </c>
      <c r="U963" s="578">
        <f t="shared" si="275"/>
        <v>0</v>
      </c>
      <c r="V963" s="579"/>
      <c r="W963" s="566"/>
      <c r="X963" s="586" t="str">
        <f t="shared" si="278"/>
        <v/>
      </c>
      <c r="Y963" s="586" t="str">
        <f t="shared" si="271"/>
        <v/>
      </c>
      <c r="Z963" s="586" t="str">
        <f t="shared" si="268"/>
        <v/>
      </c>
    </row>
    <row r="964" spans="1:26" ht="12" hidden="1" thickBot="1" x14ac:dyDescent="0.25">
      <c r="A964" s="567" t="s">
        <v>567</v>
      </c>
      <c r="B964" s="644" t="s">
        <v>567</v>
      </c>
      <c r="C964" s="645" t="s">
        <v>458</v>
      </c>
      <c r="D964" s="422" t="s">
        <v>2038</v>
      </c>
      <c r="E964" s="423"/>
      <c r="F964" s="424"/>
      <c r="G964" s="425"/>
      <c r="H964" s="651"/>
      <c r="I964" s="420">
        <v>120.26</v>
      </c>
      <c r="J964" s="420">
        <f t="shared" si="272"/>
        <v>120.26</v>
      </c>
      <c r="K964" s="421">
        <f t="shared" si="267"/>
        <v>142.88</v>
      </c>
      <c r="L964" s="647" t="s">
        <v>21</v>
      </c>
      <c r="M964" s="576"/>
      <c r="N964" s="576">
        <f t="shared" si="269"/>
        <v>0</v>
      </c>
      <c r="O964" s="577">
        <f t="shared" si="276"/>
        <v>0</v>
      </c>
      <c r="P964" s="578">
        <f t="shared" si="277"/>
        <v>0</v>
      </c>
      <c r="Q964" s="765"/>
      <c r="R964" s="576">
        <f t="shared" si="273"/>
        <v>0</v>
      </c>
      <c r="S964" s="576">
        <f t="shared" si="273"/>
        <v>0</v>
      </c>
      <c r="T964" s="577">
        <f t="shared" si="274"/>
        <v>0</v>
      </c>
      <c r="U964" s="578">
        <f t="shared" si="275"/>
        <v>0</v>
      </c>
      <c r="V964" s="579"/>
      <c r="W964" s="566"/>
      <c r="X964" s="586" t="str">
        <f t="shared" si="278"/>
        <v/>
      </c>
      <c r="Y964" s="586" t="str">
        <f t="shared" si="271"/>
        <v/>
      </c>
      <c r="Z964" s="586" t="str">
        <f t="shared" si="268"/>
        <v/>
      </c>
    </row>
    <row r="965" spans="1:26" ht="12" hidden="1" thickBot="1" x14ac:dyDescent="0.25">
      <c r="A965" s="567">
        <v>840</v>
      </c>
      <c r="B965" s="644">
        <v>840</v>
      </c>
      <c r="C965" s="645" t="s">
        <v>458</v>
      </c>
      <c r="D965" s="422" t="s">
        <v>2039</v>
      </c>
      <c r="E965" s="423"/>
      <c r="F965" s="424"/>
      <c r="G965" s="425"/>
      <c r="H965" s="651"/>
      <c r="I965" s="420">
        <v>402.57</v>
      </c>
      <c r="J965" s="420">
        <f t="shared" si="272"/>
        <v>402.57</v>
      </c>
      <c r="K965" s="421">
        <f t="shared" si="267"/>
        <v>478.29</v>
      </c>
      <c r="L965" s="647" t="s">
        <v>21</v>
      </c>
      <c r="M965" s="576"/>
      <c r="N965" s="576">
        <f t="shared" si="269"/>
        <v>0</v>
      </c>
      <c r="O965" s="577">
        <f t="shared" si="276"/>
        <v>0</v>
      </c>
      <c r="P965" s="578">
        <f t="shared" si="277"/>
        <v>0</v>
      </c>
      <c r="Q965" s="765"/>
      <c r="R965" s="576">
        <f t="shared" si="273"/>
        <v>0</v>
      </c>
      <c r="S965" s="576">
        <f t="shared" si="273"/>
        <v>0</v>
      </c>
      <c r="T965" s="577">
        <f t="shared" si="274"/>
        <v>0</v>
      </c>
      <c r="U965" s="578">
        <f t="shared" si="275"/>
        <v>0</v>
      </c>
      <c r="V965" s="579"/>
      <c r="W965" s="566"/>
      <c r="X965" s="586" t="str">
        <f t="shared" si="278"/>
        <v/>
      </c>
      <c r="Y965" s="586" t="str">
        <f t="shared" si="271"/>
        <v/>
      </c>
      <c r="Z965" s="586" t="str">
        <f t="shared" si="268"/>
        <v/>
      </c>
    </row>
    <row r="966" spans="1:26" ht="12" hidden="1" thickBot="1" x14ac:dyDescent="0.25">
      <c r="A966" s="567" t="s">
        <v>568</v>
      </c>
      <c r="B966" s="644" t="s">
        <v>568</v>
      </c>
      <c r="C966" s="645" t="s">
        <v>458</v>
      </c>
      <c r="D966" s="422" t="s">
        <v>2040</v>
      </c>
      <c r="E966" s="423"/>
      <c r="F966" s="424"/>
      <c r="G966" s="425"/>
      <c r="H966" s="651"/>
      <c r="I966" s="420">
        <v>161.03</v>
      </c>
      <c r="J966" s="420">
        <f t="shared" si="272"/>
        <v>161.03</v>
      </c>
      <c r="K966" s="421">
        <f t="shared" si="267"/>
        <v>191.32</v>
      </c>
      <c r="L966" s="647" t="s">
        <v>21</v>
      </c>
      <c r="M966" s="576"/>
      <c r="N966" s="576">
        <f t="shared" si="269"/>
        <v>0</v>
      </c>
      <c r="O966" s="577">
        <f t="shared" si="276"/>
        <v>0</v>
      </c>
      <c r="P966" s="578">
        <f t="shared" si="277"/>
        <v>0</v>
      </c>
      <c r="Q966" s="765"/>
      <c r="R966" s="576">
        <f t="shared" si="273"/>
        <v>0</v>
      </c>
      <c r="S966" s="576">
        <f t="shared" si="273"/>
        <v>0</v>
      </c>
      <c r="T966" s="577">
        <f t="shared" si="274"/>
        <v>0</v>
      </c>
      <c r="U966" s="578">
        <f t="shared" si="275"/>
        <v>0</v>
      </c>
      <c r="V966" s="579"/>
      <c r="W966" s="566"/>
      <c r="X966" s="586" t="str">
        <f t="shared" si="278"/>
        <v/>
      </c>
      <c r="Y966" s="586" t="str">
        <f t="shared" si="271"/>
        <v/>
      </c>
      <c r="Z966" s="586" t="str">
        <f t="shared" si="268"/>
        <v/>
      </c>
    </row>
    <row r="967" spans="1:26" ht="12" hidden="1" thickBot="1" x14ac:dyDescent="0.25">
      <c r="A967" s="567">
        <v>841</v>
      </c>
      <c r="B967" s="644">
        <v>841</v>
      </c>
      <c r="C967" s="645" t="s">
        <v>458</v>
      </c>
      <c r="D967" s="422" t="s">
        <v>2041</v>
      </c>
      <c r="E967" s="423"/>
      <c r="F967" s="424"/>
      <c r="G967" s="425"/>
      <c r="H967" s="651"/>
      <c r="I967" s="420">
        <v>191.86</v>
      </c>
      <c r="J967" s="420">
        <f t="shared" ref="J967:J972" si="279">IF(ISBLANK(I967),"",SUM(H967:I967))</f>
        <v>191.86</v>
      </c>
      <c r="K967" s="421">
        <f t="shared" si="267"/>
        <v>227.95</v>
      </c>
      <c r="L967" s="647" t="s">
        <v>21</v>
      </c>
      <c r="M967" s="576"/>
      <c r="N967" s="576">
        <f t="shared" si="269"/>
        <v>0</v>
      </c>
      <c r="O967" s="577">
        <f t="shared" si="276"/>
        <v>0</v>
      </c>
      <c r="P967" s="578">
        <f t="shared" si="277"/>
        <v>0</v>
      </c>
      <c r="Q967" s="765"/>
      <c r="R967" s="576">
        <f t="shared" si="273"/>
        <v>0</v>
      </c>
      <c r="S967" s="576">
        <f t="shared" si="273"/>
        <v>0</v>
      </c>
      <c r="T967" s="577">
        <f t="shared" si="274"/>
        <v>0</v>
      </c>
      <c r="U967" s="578">
        <f t="shared" si="275"/>
        <v>0</v>
      </c>
      <c r="V967" s="579"/>
      <c r="W967" s="566"/>
      <c r="X967" s="586" t="str">
        <f t="shared" si="278"/>
        <v/>
      </c>
      <c r="Y967" s="586" t="str">
        <f t="shared" si="271"/>
        <v/>
      </c>
      <c r="Z967" s="586" t="str">
        <f t="shared" si="268"/>
        <v/>
      </c>
    </row>
    <row r="968" spans="1:26" ht="12" hidden="1" thickBot="1" x14ac:dyDescent="0.25">
      <c r="A968" s="567" t="s">
        <v>569</v>
      </c>
      <c r="B968" s="644" t="s">
        <v>569</v>
      </c>
      <c r="C968" s="645" t="s">
        <v>458</v>
      </c>
      <c r="D968" s="422" t="s">
        <v>2042</v>
      </c>
      <c r="E968" s="423"/>
      <c r="F968" s="424"/>
      <c r="G968" s="425"/>
      <c r="H968" s="651"/>
      <c r="I968" s="420">
        <v>76.75</v>
      </c>
      <c r="J968" s="420">
        <f t="shared" si="279"/>
        <v>76.75</v>
      </c>
      <c r="K968" s="421">
        <f t="shared" si="267"/>
        <v>91.19</v>
      </c>
      <c r="L968" s="647" t="s">
        <v>21</v>
      </c>
      <c r="M968" s="576"/>
      <c r="N968" s="576">
        <f t="shared" si="269"/>
        <v>0</v>
      </c>
      <c r="O968" s="577">
        <f t="shared" si="276"/>
        <v>0</v>
      </c>
      <c r="P968" s="578">
        <f t="shared" si="277"/>
        <v>0</v>
      </c>
      <c r="Q968" s="765"/>
      <c r="R968" s="576">
        <f t="shared" si="273"/>
        <v>0</v>
      </c>
      <c r="S968" s="576">
        <f t="shared" si="273"/>
        <v>0</v>
      </c>
      <c r="T968" s="577">
        <f t="shared" si="274"/>
        <v>0</v>
      </c>
      <c r="U968" s="578">
        <f t="shared" si="275"/>
        <v>0</v>
      </c>
      <c r="V968" s="579"/>
      <c r="W968" s="566"/>
      <c r="X968" s="586" t="str">
        <f t="shared" si="278"/>
        <v/>
      </c>
      <c r="Y968" s="586" t="str">
        <f t="shared" si="271"/>
        <v/>
      </c>
      <c r="Z968" s="586" t="str">
        <f t="shared" si="268"/>
        <v/>
      </c>
    </row>
    <row r="969" spans="1:26" ht="12" hidden="1" thickBot="1" x14ac:dyDescent="0.25">
      <c r="A969" s="567">
        <v>842</v>
      </c>
      <c r="B969" s="644">
        <v>842</v>
      </c>
      <c r="C969" s="645" t="s">
        <v>458</v>
      </c>
      <c r="D969" s="422" t="s">
        <v>2043</v>
      </c>
      <c r="E969" s="423"/>
      <c r="F969" s="424"/>
      <c r="G969" s="425"/>
      <c r="H969" s="651"/>
      <c r="I969" s="420">
        <v>11.99</v>
      </c>
      <c r="J969" s="420">
        <f t="shared" si="279"/>
        <v>11.99</v>
      </c>
      <c r="K969" s="421">
        <f t="shared" ref="K969:K1032" si="280">IF(ISBLANK(I969),0,ROUND(J969*(1+$F$10)*(1+$F$11*E969),2))</f>
        <v>14.25</v>
      </c>
      <c r="L969" s="647" t="s">
        <v>21</v>
      </c>
      <c r="M969" s="576"/>
      <c r="N969" s="576">
        <f t="shared" si="269"/>
        <v>0</v>
      </c>
      <c r="O969" s="577">
        <f t="shared" si="276"/>
        <v>0</v>
      </c>
      <c r="P969" s="578">
        <f t="shared" si="277"/>
        <v>0</v>
      </c>
      <c r="Q969" s="765"/>
      <c r="R969" s="576">
        <f t="shared" si="273"/>
        <v>0</v>
      </c>
      <c r="S969" s="576">
        <f t="shared" si="273"/>
        <v>0</v>
      </c>
      <c r="T969" s="577">
        <f t="shared" si="274"/>
        <v>0</v>
      </c>
      <c r="U969" s="578">
        <f t="shared" si="275"/>
        <v>0</v>
      </c>
      <c r="V969" s="579"/>
      <c r="W969" s="566"/>
      <c r="X969" s="586" t="str">
        <f t="shared" si="278"/>
        <v/>
      </c>
      <c r="Y969" s="586" t="str">
        <f t="shared" si="271"/>
        <v/>
      </c>
      <c r="Z969" s="586" t="str">
        <f t="shared" si="268"/>
        <v/>
      </c>
    </row>
    <row r="970" spans="1:26" ht="12" hidden="1" thickBot="1" x14ac:dyDescent="0.25">
      <c r="A970" s="567" t="s">
        <v>570</v>
      </c>
      <c r="B970" s="644" t="s">
        <v>570</v>
      </c>
      <c r="C970" s="645" t="s">
        <v>458</v>
      </c>
      <c r="D970" s="422" t="s">
        <v>2044</v>
      </c>
      <c r="E970" s="423"/>
      <c r="F970" s="424"/>
      <c r="G970" s="425"/>
      <c r="H970" s="651"/>
      <c r="I970" s="420">
        <v>4.8</v>
      </c>
      <c r="J970" s="420">
        <f t="shared" si="279"/>
        <v>4.8</v>
      </c>
      <c r="K970" s="421">
        <f t="shared" si="280"/>
        <v>5.7</v>
      </c>
      <c r="L970" s="647" t="s">
        <v>21</v>
      </c>
      <c r="M970" s="576"/>
      <c r="N970" s="576">
        <f t="shared" si="269"/>
        <v>0</v>
      </c>
      <c r="O970" s="577">
        <f t="shared" si="276"/>
        <v>0</v>
      </c>
      <c r="P970" s="578">
        <f t="shared" si="277"/>
        <v>0</v>
      </c>
      <c r="Q970" s="765"/>
      <c r="R970" s="576">
        <f t="shared" si="273"/>
        <v>0</v>
      </c>
      <c r="S970" s="576">
        <f t="shared" si="273"/>
        <v>0</v>
      </c>
      <c r="T970" s="577">
        <f t="shared" si="274"/>
        <v>0</v>
      </c>
      <c r="U970" s="578">
        <f t="shared" si="275"/>
        <v>0</v>
      </c>
      <c r="V970" s="579"/>
      <c r="W970" s="566"/>
      <c r="X970" s="586" t="str">
        <f t="shared" si="278"/>
        <v/>
      </c>
      <c r="Y970" s="586" t="str">
        <f t="shared" si="271"/>
        <v/>
      </c>
      <c r="Z970" s="586" t="str">
        <f t="shared" si="268"/>
        <v/>
      </c>
    </row>
    <row r="971" spans="1:26" ht="23.25" hidden="1" thickBot="1" x14ac:dyDescent="0.25">
      <c r="A971" s="567">
        <v>843</v>
      </c>
      <c r="B971" s="644">
        <v>843</v>
      </c>
      <c r="C971" s="645" t="s">
        <v>458</v>
      </c>
      <c r="D971" s="422" t="s">
        <v>2045</v>
      </c>
      <c r="E971" s="423"/>
      <c r="F971" s="424"/>
      <c r="G971" s="425"/>
      <c r="H971" s="651"/>
      <c r="I971" s="420">
        <v>133.28</v>
      </c>
      <c r="J971" s="420">
        <f t="shared" si="279"/>
        <v>133.28</v>
      </c>
      <c r="K971" s="421">
        <f t="shared" si="280"/>
        <v>158.35</v>
      </c>
      <c r="L971" s="647" t="s">
        <v>21</v>
      </c>
      <c r="M971" s="576"/>
      <c r="N971" s="576">
        <f t="shared" si="269"/>
        <v>0</v>
      </c>
      <c r="O971" s="577">
        <f t="shared" si="276"/>
        <v>0</v>
      </c>
      <c r="P971" s="578">
        <f t="shared" si="277"/>
        <v>0</v>
      </c>
      <c r="Q971" s="765"/>
      <c r="R971" s="576">
        <f t="shared" si="273"/>
        <v>0</v>
      </c>
      <c r="S971" s="576">
        <f t="shared" si="273"/>
        <v>0</v>
      </c>
      <c r="T971" s="577">
        <f t="shared" si="274"/>
        <v>0</v>
      </c>
      <c r="U971" s="578">
        <f t="shared" si="275"/>
        <v>0</v>
      </c>
      <c r="V971" s="579"/>
      <c r="W971" s="566"/>
      <c r="X971" s="586" t="str">
        <f t="shared" si="278"/>
        <v/>
      </c>
      <c r="Y971" s="586" t="str">
        <f t="shared" si="271"/>
        <v/>
      </c>
      <c r="Z971" s="586" t="str">
        <f t="shared" si="268"/>
        <v/>
      </c>
    </row>
    <row r="972" spans="1:26" ht="23.25" hidden="1" thickBot="1" x14ac:dyDescent="0.25">
      <c r="A972" s="567" t="s">
        <v>572</v>
      </c>
      <c r="B972" s="644" t="s">
        <v>572</v>
      </c>
      <c r="C972" s="645" t="s">
        <v>458</v>
      </c>
      <c r="D972" s="422" t="s">
        <v>2046</v>
      </c>
      <c r="E972" s="423"/>
      <c r="F972" s="424"/>
      <c r="G972" s="425"/>
      <c r="H972" s="651"/>
      <c r="I972" s="420">
        <v>53.45</v>
      </c>
      <c r="J972" s="420">
        <f t="shared" si="279"/>
        <v>53.45</v>
      </c>
      <c r="K972" s="421">
        <f t="shared" si="280"/>
        <v>63.5</v>
      </c>
      <c r="L972" s="647" t="s">
        <v>21</v>
      </c>
      <c r="M972" s="576"/>
      <c r="N972" s="576">
        <f t="shared" si="269"/>
        <v>0</v>
      </c>
      <c r="O972" s="577">
        <f t="shared" si="276"/>
        <v>0</v>
      </c>
      <c r="P972" s="578">
        <f t="shared" si="277"/>
        <v>0</v>
      </c>
      <c r="Q972" s="765"/>
      <c r="R972" s="576">
        <f t="shared" si="273"/>
        <v>0</v>
      </c>
      <c r="S972" s="576">
        <f t="shared" si="273"/>
        <v>0</v>
      </c>
      <c r="T972" s="577">
        <f t="shared" si="274"/>
        <v>0</v>
      </c>
      <c r="U972" s="578">
        <f t="shared" si="275"/>
        <v>0</v>
      </c>
      <c r="V972" s="579"/>
      <c r="W972" s="566"/>
      <c r="X972" s="586" t="str">
        <f t="shared" si="278"/>
        <v/>
      </c>
      <c r="Y972" s="586" t="str">
        <f t="shared" si="271"/>
        <v/>
      </c>
      <c r="Z972" s="586" t="str">
        <f t="shared" si="268"/>
        <v/>
      </c>
    </row>
    <row r="973" spans="1:26" ht="12" hidden="1" thickBot="1" x14ac:dyDescent="0.25">
      <c r="A973" s="567">
        <v>844</v>
      </c>
      <c r="B973" s="644">
        <v>844</v>
      </c>
      <c r="C973" s="645" t="s">
        <v>458</v>
      </c>
      <c r="D973" s="422" t="s">
        <v>2047</v>
      </c>
      <c r="E973" s="423"/>
      <c r="F973" s="424"/>
      <c r="G973" s="425"/>
      <c r="H973" s="651"/>
      <c r="I973" s="420">
        <v>45.23</v>
      </c>
      <c r="J973" s="420">
        <f t="shared" ref="J973:J979" si="281">IF(ISBLANK(I973),"",SUM(H973:I973))</f>
        <v>45.23</v>
      </c>
      <c r="K973" s="421">
        <f t="shared" si="280"/>
        <v>53.74</v>
      </c>
      <c r="L973" s="647" t="s">
        <v>21</v>
      </c>
      <c r="M973" s="576"/>
      <c r="N973" s="576">
        <f t="shared" si="269"/>
        <v>0</v>
      </c>
      <c r="O973" s="577">
        <f t="shared" si="276"/>
        <v>0</v>
      </c>
      <c r="P973" s="578">
        <f t="shared" si="277"/>
        <v>0</v>
      </c>
      <c r="Q973" s="765"/>
      <c r="R973" s="576">
        <f t="shared" si="273"/>
        <v>0</v>
      </c>
      <c r="S973" s="576">
        <f t="shared" si="273"/>
        <v>0</v>
      </c>
      <c r="T973" s="577">
        <f t="shared" si="274"/>
        <v>0</v>
      </c>
      <c r="U973" s="578">
        <f t="shared" si="275"/>
        <v>0</v>
      </c>
      <c r="V973" s="579"/>
      <c r="W973" s="566"/>
      <c r="X973" s="586" t="str">
        <f t="shared" si="278"/>
        <v/>
      </c>
      <c r="Y973" s="586" t="str">
        <f t="shared" si="271"/>
        <v/>
      </c>
      <c r="Z973" s="586" t="str">
        <f t="shared" si="268"/>
        <v/>
      </c>
    </row>
    <row r="974" spans="1:26" ht="12" hidden="1" thickBot="1" x14ac:dyDescent="0.25">
      <c r="A974" s="567">
        <v>845</v>
      </c>
      <c r="B974" s="644">
        <v>845</v>
      </c>
      <c r="C974" s="645" t="s">
        <v>458</v>
      </c>
      <c r="D974" s="422" t="s">
        <v>2048</v>
      </c>
      <c r="E974" s="423"/>
      <c r="F974" s="424"/>
      <c r="G974" s="425"/>
      <c r="H974" s="651"/>
      <c r="I974" s="420">
        <v>6.85</v>
      </c>
      <c r="J974" s="420">
        <f t="shared" si="281"/>
        <v>6.85</v>
      </c>
      <c r="K974" s="421">
        <f t="shared" si="280"/>
        <v>8.14</v>
      </c>
      <c r="L974" s="647" t="s">
        <v>21</v>
      </c>
      <c r="M974" s="576"/>
      <c r="N974" s="576">
        <f t="shared" si="269"/>
        <v>0</v>
      </c>
      <c r="O974" s="577">
        <f t="shared" si="276"/>
        <v>0</v>
      </c>
      <c r="P974" s="578">
        <f t="shared" si="277"/>
        <v>0</v>
      </c>
      <c r="Q974" s="765"/>
      <c r="R974" s="576">
        <f t="shared" si="273"/>
        <v>0</v>
      </c>
      <c r="S974" s="576">
        <f t="shared" si="273"/>
        <v>0</v>
      </c>
      <c r="T974" s="577">
        <f t="shared" si="274"/>
        <v>0</v>
      </c>
      <c r="U974" s="578">
        <f t="shared" si="275"/>
        <v>0</v>
      </c>
      <c r="V974" s="579"/>
      <c r="W974" s="566"/>
      <c r="X974" s="586" t="str">
        <f t="shared" si="278"/>
        <v/>
      </c>
      <c r="Y974" s="586" t="str">
        <f t="shared" si="271"/>
        <v/>
      </c>
      <c r="Z974" s="586" t="str">
        <f t="shared" si="268"/>
        <v/>
      </c>
    </row>
    <row r="975" spans="1:26" ht="12" hidden="1" thickBot="1" x14ac:dyDescent="0.25">
      <c r="A975" s="567" t="s">
        <v>571</v>
      </c>
      <c r="B975" s="644" t="s">
        <v>571</v>
      </c>
      <c r="C975" s="645" t="s">
        <v>458</v>
      </c>
      <c r="D975" s="422" t="s">
        <v>2049</v>
      </c>
      <c r="E975" s="423"/>
      <c r="F975" s="424"/>
      <c r="G975" s="425"/>
      <c r="H975" s="651"/>
      <c r="I975" s="420">
        <v>2.74</v>
      </c>
      <c r="J975" s="420">
        <f t="shared" si="281"/>
        <v>2.74</v>
      </c>
      <c r="K975" s="421">
        <f t="shared" si="280"/>
        <v>3.26</v>
      </c>
      <c r="L975" s="647" t="s">
        <v>21</v>
      </c>
      <c r="M975" s="576"/>
      <c r="N975" s="576">
        <f t="shared" si="269"/>
        <v>0</v>
      </c>
      <c r="O975" s="577">
        <f t="shared" si="276"/>
        <v>0</v>
      </c>
      <c r="P975" s="578">
        <f t="shared" si="277"/>
        <v>0</v>
      </c>
      <c r="Q975" s="765"/>
      <c r="R975" s="576">
        <f t="shared" si="273"/>
        <v>0</v>
      </c>
      <c r="S975" s="576">
        <f t="shared" si="273"/>
        <v>0</v>
      </c>
      <c r="T975" s="577">
        <f t="shared" si="274"/>
        <v>0</v>
      </c>
      <c r="U975" s="578">
        <f t="shared" si="275"/>
        <v>0</v>
      </c>
      <c r="V975" s="579"/>
      <c r="W975" s="566"/>
      <c r="X975" s="586" t="str">
        <f t="shared" si="278"/>
        <v/>
      </c>
      <c r="Y975" s="586" t="str">
        <f t="shared" si="271"/>
        <v/>
      </c>
      <c r="Z975" s="586" t="str">
        <f t="shared" si="268"/>
        <v/>
      </c>
    </row>
    <row r="976" spans="1:26" ht="12" hidden="1" thickBot="1" x14ac:dyDescent="0.25">
      <c r="A976" s="567">
        <v>846</v>
      </c>
      <c r="B976" s="644">
        <v>846</v>
      </c>
      <c r="C976" s="645" t="s">
        <v>458</v>
      </c>
      <c r="D976" s="422" t="s">
        <v>2050</v>
      </c>
      <c r="E976" s="423"/>
      <c r="F976" s="424"/>
      <c r="G976" s="425"/>
      <c r="H976" s="651"/>
      <c r="I976" s="420">
        <v>6.85</v>
      </c>
      <c r="J976" s="420">
        <f t="shared" si="281"/>
        <v>6.85</v>
      </c>
      <c r="K976" s="421">
        <f t="shared" si="280"/>
        <v>8.14</v>
      </c>
      <c r="L976" s="647" t="s">
        <v>21</v>
      </c>
      <c r="M976" s="576"/>
      <c r="N976" s="576">
        <f t="shared" si="269"/>
        <v>0</v>
      </c>
      <c r="O976" s="577">
        <f t="shared" si="276"/>
        <v>0</v>
      </c>
      <c r="P976" s="578">
        <f t="shared" si="277"/>
        <v>0</v>
      </c>
      <c r="Q976" s="765"/>
      <c r="R976" s="576">
        <f t="shared" si="273"/>
        <v>0</v>
      </c>
      <c r="S976" s="576">
        <f t="shared" si="273"/>
        <v>0</v>
      </c>
      <c r="T976" s="577">
        <f t="shared" si="274"/>
        <v>0</v>
      </c>
      <c r="U976" s="578">
        <f t="shared" si="275"/>
        <v>0</v>
      </c>
      <c r="V976" s="579"/>
      <c r="W976" s="566"/>
      <c r="X976" s="586" t="str">
        <f t="shared" si="278"/>
        <v/>
      </c>
      <c r="Y976" s="586" t="str">
        <f t="shared" si="271"/>
        <v/>
      </c>
      <c r="Z976" s="586" t="str">
        <f t="shared" si="268"/>
        <v/>
      </c>
    </row>
    <row r="977" spans="1:26" ht="12" hidden="1" thickBot="1" x14ac:dyDescent="0.25">
      <c r="A977" s="567">
        <v>859</v>
      </c>
      <c r="B977" s="644">
        <v>859</v>
      </c>
      <c r="C977" s="645" t="s">
        <v>458</v>
      </c>
      <c r="D977" s="422" t="s">
        <v>2051</v>
      </c>
      <c r="E977" s="423"/>
      <c r="F977" s="424"/>
      <c r="G977" s="425"/>
      <c r="H977" s="651"/>
      <c r="I977" s="420">
        <v>148.69999999999999</v>
      </c>
      <c r="J977" s="420">
        <f t="shared" si="281"/>
        <v>148.69999999999999</v>
      </c>
      <c r="K977" s="421">
        <f t="shared" si="280"/>
        <v>176.67</v>
      </c>
      <c r="L977" s="647" t="s">
        <v>21</v>
      </c>
      <c r="M977" s="576"/>
      <c r="N977" s="576">
        <f t="shared" si="269"/>
        <v>0</v>
      </c>
      <c r="O977" s="577">
        <f t="shared" si="276"/>
        <v>0</v>
      </c>
      <c r="P977" s="578">
        <f t="shared" si="277"/>
        <v>0</v>
      </c>
      <c r="Q977" s="765"/>
      <c r="R977" s="576">
        <f t="shared" si="273"/>
        <v>0</v>
      </c>
      <c r="S977" s="576">
        <f t="shared" si="273"/>
        <v>0</v>
      </c>
      <c r="T977" s="577">
        <f t="shared" si="274"/>
        <v>0</v>
      </c>
      <c r="U977" s="578">
        <f t="shared" si="275"/>
        <v>0</v>
      </c>
      <c r="V977" s="579"/>
      <c r="W977" s="566"/>
      <c r="X977" s="586" t="str">
        <f t="shared" si="278"/>
        <v/>
      </c>
      <c r="Y977" s="586" t="str">
        <f t="shared" si="271"/>
        <v/>
      </c>
      <c r="Z977" s="586" t="str">
        <f t="shared" si="268"/>
        <v/>
      </c>
    </row>
    <row r="978" spans="1:26" ht="12" hidden="1" thickBot="1" x14ac:dyDescent="0.25">
      <c r="A978" s="567" t="s">
        <v>573</v>
      </c>
      <c r="B978" s="644" t="s">
        <v>573</v>
      </c>
      <c r="C978" s="645" t="s">
        <v>458</v>
      </c>
      <c r="D978" s="422" t="s">
        <v>2052</v>
      </c>
      <c r="E978" s="423"/>
      <c r="F978" s="424"/>
      <c r="G978" s="425"/>
      <c r="H978" s="651"/>
      <c r="I978" s="420">
        <v>59.62</v>
      </c>
      <c r="J978" s="420">
        <f t="shared" si="281"/>
        <v>59.62</v>
      </c>
      <c r="K978" s="421">
        <f t="shared" si="280"/>
        <v>70.83</v>
      </c>
      <c r="L978" s="647" t="s">
        <v>21</v>
      </c>
      <c r="M978" s="576"/>
      <c r="N978" s="576">
        <f t="shared" si="269"/>
        <v>0</v>
      </c>
      <c r="O978" s="577">
        <f t="shared" si="276"/>
        <v>0</v>
      </c>
      <c r="P978" s="578">
        <f t="shared" si="277"/>
        <v>0</v>
      </c>
      <c r="Q978" s="765"/>
      <c r="R978" s="576">
        <f t="shared" si="273"/>
        <v>0</v>
      </c>
      <c r="S978" s="576">
        <f t="shared" si="273"/>
        <v>0</v>
      </c>
      <c r="T978" s="577">
        <f t="shared" si="274"/>
        <v>0</v>
      </c>
      <c r="U978" s="578">
        <f t="shared" si="275"/>
        <v>0</v>
      </c>
      <c r="V978" s="579"/>
      <c r="W978" s="566"/>
      <c r="X978" s="586" t="str">
        <f t="shared" si="278"/>
        <v/>
      </c>
      <c r="Y978" s="586" t="str">
        <f t="shared" si="271"/>
        <v/>
      </c>
      <c r="Z978" s="586" t="str">
        <f t="shared" si="268"/>
        <v/>
      </c>
    </row>
    <row r="979" spans="1:26" ht="23.25" hidden="1" thickBot="1" x14ac:dyDescent="0.25">
      <c r="A979" s="567">
        <v>102102</v>
      </c>
      <c r="B979" s="644">
        <v>102102</v>
      </c>
      <c r="C979" s="645" t="s">
        <v>670</v>
      </c>
      <c r="D979" s="422" t="s">
        <v>827</v>
      </c>
      <c r="E979" s="423"/>
      <c r="F979" s="424"/>
      <c r="G979" s="425"/>
      <c r="H979" s="651"/>
      <c r="I979" s="420">
        <v>9891.84</v>
      </c>
      <c r="J979" s="420">
        <f t="shared" si="281"/>
        <v>9891.84</v>
      </c>
      <c r="K979" s="421">
        <f t="shared" si="280"/>
        <v>11752.5</v>
      </c>
      <c r="L979" s="647" t="s">
        <v>2065</v>
      </c>
      <c r="M979" s="576"/>
      <c r="N979" s="576">
        <f t="shared" si="269"/>
        <v>0</v>
      </c>
      <c r="O979" s="577">
        <f t="shared" si="276"/>
        <v>0</v>
      </c>
      <c r="P979" s="578">
        <f t="shared" si="277"/>
        <v>0</v>
      </c>
      <c r="Q979" s="765"/>
      <c r="R979" s="576">
        <f t="shared" si="273"/>
        <v>0</v>
      </c>
      <c r="S979" s="576">
        <f t="shared" si="273"/>
        <v>0</v>
      </c>
      <c r="T979" s="577">
        <f t="shared" si="274"/>
        <v>0</v>
      </c>
      <c r="U979" s="578">
        <f t="shared" si="275"/>
        <v>0</v>
      </c>
      <c r="V979" s="579"/>
      <c r="W979" s="566"/>
      <c r="X979" s="586" t="str">
        <f t="shared" si="278"/>
        <v/>
      </c>
      <c r="Y979" s="586" t="str">
        <f t="shared" si="271"/>
        <v/>
      </c>
      <c r="Z979" s="586" t="str">
        <f t="shared" ref="Z979:Z1042" si="282">IF(W979="X","x",IF(U979&gt;0,"x",""))</f>
        <v/>
      </c>
    </row>
    <row r="980" spans="1:26" ht="23.25" hidden="1" thickBot="1" x14ac:dyDescent="0.25">
      <c r="A980" s="567">
        <v>102103</v>
      </c>
      <c r="B980" s="644">
        <v>102103</v>
      </c>
      <c r="C980" s="645" t="s">
        <v>670</v>
      </c>
      <c r="D980" s="422" t="s">
        <v>828</v>
      </c>
      <c r="E980" s="423"/>
      <c r="F980" s="424"/>
      <c r="G980" s="425"/>
      <c r="H980" s="651"/>
      <c r="I980" s="420">
        <v>11004</v>
      </c>
      <c r="J980" s="420">
        <f t="shared" ref="J980:J1042" si="283">IF(ISBLANK(I980),"",SUM(H980:I980))</f>
        <v>11004</v>
      </c>
      <c r="K980" s="421">
        <f t="shared" si="280"/>
        <v>13073.85</v>
      </c>
      <c r="L980" s="647" t="s">
        <v>2065</v>
      </c>
      <c r="M980" s="576"/>
      <c r="N980" s="576">
        <f t="shared" ref="N980:N1043" si="284">IF(M980=0,0,K980)</f>
        <v>0</v>
      </c>
      <c r="O980" s="577">
        <f t="shared" si="276"/>
        <v>0</v>
      </c>
      <c r="P980" s="578">
        <f t="shared" si="277"/>
        <v>0</v>
      </c>
      <c r="Q980" s="765"/>
      <c r="R980" s="576">
        <f t="shared" si="273"/>
        <v>0</v>
      </c>
      <c r="S980" s="576">
        <f t="shared" si="273"/>
        <v>0</v>
      </c>
      <c r="T980" s="577">
        <f t="shared" si="274"/>
        <v>0</v>
      </c>
      <c r="U980" s="578">
        <f t="shared" si="275"/>
        <v>0</v>
      </c>
      <c r="V980" s="579"/>
      <c r="W980" s="566"/>
      <c r="X980" s="586" t="str">
        <f t="shared" si="278"/>
        <v/>
      </c>
      <c r="Y980" s="586" t="str">
        <f t="shared" si="271"/>
        <v/>
      </c>
      <c r="Z980" s="586" t="str">
        <f t="shared" si="282"/>
        <v/>
      </c>
    </row>
    <row r="981" spans="1:26" ht="23.25" hidden="1" thickBot="1" x14ac:dyDescent="0.25">
      <c r="A981" s="567">
        <v>102104</v>
      </c>
      <c r="B981" s="644">
        <v>102104</v>
      </c>
      <c r="C981" s="645" t="s">
        <v>670</v>
      </c>
      <c r="D981" s="422" t="s">
        <v>829</v>
      </c>
      <c r="E981" s="423"/>
      <c r="F981" s="424"/>
      <c r="G981" s="425"/>
      <c r="H981" s="651"/>
      <c r="I981" s="420">
        <v>14103.55</v>
      </c>
      <c r="J981" s="420">
        <f t="shared" si="283"/>
        <v>14103.55</v>
      </c>
      <c r="K981" s="421">
        <f t="shared" si="280"/>
        <v>16756.43</v>
      </c>
      <c r="L981" s="647" t="s">
        <v>2065</v>
      </c>
      <c r="M981" s="576"/>
      <c r="N981" s="576">
        <f t="shared" si="284"/>
        <v>0</v>
      </c>
      <c r="O981" s="577">
        <f t="shared" si="276"/>
        <v>0</v>
      </c>
      <c r="P981" s="578">
        <f t="shared" si="277"/>
        <v>0</v>
      </c>
      <c r="Q981" s="765"/>
      <c r="R981" s="576">
        <f t="shared" si="273"/>
        <v>0</v>
      </c>
      <c r="S981" s="576">
        <f t="shared" si="273"/>
        <v>0</v>
      </c>
      <c r="T981" s="577">
        <f t="shared" si="274"/>
        <v>0</v>
      </c>
      <c r="U981" s="578">
        <f t="shared" si="275"/>
        <v>0</v>
      </c>
      <c r="V981" s="579"/>
      <c r="W981" s="566"/>
      <c r="X981" s="586" t="str">
        <f t="shared" si="278"/>
        <v/>
      </c>
      <c r="Y981" s="586" t="str">
        <f t="shared" si="271"/>
        <v/>
      </c>
      <c r="Z981" s="586" t="str">
        <f t="shared" si="282"/>
        <v/>
      </c>
    </row>
    <row r="982" spans="1:26" ht="23.25" hidden="1" thickBot="1" x14ac:dyDescent="0.25">
      <c r="A982" s="567">
        <v>102105</v>
      </c>
      <c r="B982" s="644">
        <v>102105</v>
      </c>
      <c r="C982" s="645" t="s">
        <v>670</v>
      </c>
      <c r="D982" s="422" t="s">
        <v>830</v>
      </c>
      <c r="E982" s="423"/>
      <c r="F982" s="424"/>
      <c r="G982" s="425"/>
      <c r="H982" s="651"/>
      <c r="I982" s="420">
        <v>17324</v>
      </c>
      <c r="J982" s="420">
        <f t="shared" si="283"/>
        <v>17324</v>
      </c>
      <c r="K982" s="421">
        <f t="shared" si="280"/>
        <v>20582.64</v>
      </c>
      <c r="L982" s="647" t="s">
        <v>2065</v>
      </c>
      <c r="M982" s="576"/>
      <c r="N982" s="576">
        <f t="shared" si="284"/>
        <v>0</v>
      </c>
      <c r="O982" s="577">
        <f t="shared" si="276"/>
        <v>0</v>
      </c>
      <c r="P982" s="578">
        <f t="shared" si="277"/>
        <v>0</v>
      </c>
      <c r="Q982" s="765"/>
      <c r="R982" s="576">
        <f t="shared" si="273"/>
        <v>0</v>
      </c>
      <c r="S982" s="576">
        <f t="shared" si="273"/>
        <v>0</v>
      </c>
      <c r="T982" s="577">
        <f t="shared" si="274"/>
        <v>0</v>
      </c>
      <c r="U982" s="578">
        <f t="shared" si="275"/>
        <v>0</v>
      </c>
      <c r="V982" s="579"/>
      <c r="W982" s="566"/>
      <c r="X982" s="586" t="str">
        <f t="shared" si="278"/>
        <v/>
      </c>
      <c r="Y982" s="586" t="str">
        <f t="shared" si="271"/>
        <v/>
      </c>
      <c r="Z982" s="586" t="str">
        <f t="shared" si="282"/>
        <v/>
      </c>
    </row>
    <row r="983" spans="1:26" ht="23.25" hidden="1" thickBot="1" x14ac:dyDescent="0.25">
      <c r="A983" s="567">
        <v>102106</v>
      </c>
      <c r="B983" s="644">
        <v>102106</v>
      </c>
      <c r="C983" s="645" t="s">
        <v>670</v>
      </c>
      <c r="D983" s="422" t="s">
        <v>831</v>
      </c>
      <c r="E983" s="423"/>
      <c r="F983" s="424"/>
      <c r="G983" s="425"/>
      <c r="H983" s="651"/>
      <c r="I983" s="420">
        <v>21717.759999999998</v>
      </c>
      <c r="J983" s="420">
        <f t="shared" si="283"/>
        <v>21717.759999999998</v>
      </c>
      <c r="K983" s="421">
        <f t="shared" si="280"/>
        <v>25802.87</v>
      </c>
      <c r="L983" s="647" t="s">
        <v>2065</v>
      </c>
      <c r="M983" s="576"/>
      <c r="N983" s="576">
        <f t="shared" si="284"/>
        <v>0</v>
      </c>
      <c r="O983" s="577">
        <f t="shared" si="276"/>
        <v>0</v>
      </c>
      <c r="P983" s="578">
        <f t="shared" si="277"/>
        <v>0</v>
      </c>
      <c r="Q983" s="765"/>
      <c r="R983" s="576">
        <f t="shared" si="273"/>
        <v>0</v>
      </c>
      <c r="S983" s="576">
        <f t="shared" si="273"/>
        <v>0</v>
      </c>
      <c r="T983" s="577">
        <f t="shared" si="274"/>
        <v>0</v>
      </c>
      <c r="U983" s="578">
        <f t="shared" si="275"/>
        <v>0</v>
      </c>
      <c r="V983" s="579"/>
      <c r="W983" s="566"/>
      <c r="X983" s="586" t="str">
        <f t="shared" si="278"/>
        <v/>
      </c>
      <c r="Y983" s="586" t="str">
        <f t="shared" si="271"/>
        <v/>
      </c>
      <c r="Z983" s="586" t="str">
        <f t="shared" si="282"/>
        <v/>
      </c>
    </row>
    <row r="984" spans="1:26" ht="23.25" hidden="1" thickBot="1" x14ac:dyDescent="0.25">
      <c r="A984" s="567">
        <v>102107</v>
      </c>
      <c r="B984" s="644">
        <v>102107</v>
      </c>
      <c r="C984" s="645" t="s">
        <v>670</v>
      </c>
      <c r="D984" s="422" t="s">
        <v>832</v>
      </c>
      <c r="E984" s="423"/>
      <c r="F984" s="424"/>
      <c r="G984" s="425"/>
      <c r="H984" s="651"/>
      <c r="I984" s="420">
        <v>30286.99</v>
      </c>
      <c r="J984" s="420">
        <f t="shared" si="283"/>
        <v>30286.99</v>
      </c>
      <c r="K984" s="421">
        <f t="shared" si="280"/>
        <v>35983.97</v>
      </c>
      <c r="L984" s="647" t="s">
        <v>2065</v>
      </c>
      <c r="M984" s="576"/>
      <c r="N984" s="576">
        <f t="shared" si="284"/>
        <v>0</v>
      </c>
      <c r="O984" s="577">
        <f t="shared" si="276"/>
        <v>0</v>
      </c>
      <c r="P984" s="578">
        <f t="shared" si="277"/>
        <v>0</v>
      </c>
      <c r="Q984" s="765"/>
      <c r="R984" s="576">
        <f t="shared" si="273"/>
        <v>0</v>
      </c>
      <c r="S984" s="576">
        <f t="shared" si="273"/>
        <v>0</v>
      </c>
      <c r="T984" s="577">
        <f t="shared" si="274"/>
        <v>0</v>
      </c>
      <c r="U984" s="578">
        <f t="shared" si="275"/>
        <v>0</v>
      </c>
      <c r="V984" s="579"/>
      <c r="W984" s="566"/>
      <c r="X984" s="586" t="str">
        <f t="shared" si="278"/>
        <v/>
      </c>
      <c r="Y984" s="586" t="str">
        <f t="shared" si="271"/>
        <v/>
      </c>
      <c r="Z984" s="586" t="str">
        <f t="shared" si="282"/>
        <v/>
      </c>
    </row>
    <row r="985" spans="1:26" ht="23.25" hidden="1" thickBot="1" x14ac:dyDescent="0.25">
      <c r="A985" s="567">
        <v>102108</v>
      </c>
      <c r="B985" s="644">
        <v>102108</v>
      </c>
      <c r="C985" s="645" t="s">
        <v>670</v>
      </c>
      <c r="D985" s="422" t="s">
        <v>833</v>
      </c>
      <c r="E985" s="423"/>
      <c r="F985" s="424"/>
      <c r="G985" s="425"/>
      <c r="H985" s="651"/>
      <c r="I985" s="420">
        <v>35262.17</v>
      </c>
      <c r="J985" s="420">
        <f t="shared" si="283"/>
        <v>35262.17</v>
      </c>
      <c r="K985" s="421">
        <f t="shared" si="280"/>
        <v>41894.980000000003</v>
      </c>
      <c r="L985" s="647" t="s">
        <v>2065</v>
      </c>
      <c r="M985" s="576"/>
      <c r="N985" s="576">
        <f t="shared" si="284"/>
        <v>0</v>
      </c>
      <c r="O985" s="577">
        <f t="shared" si="276"/>
        <v>0</v>
      </c>
      <c r="P985" s="578">
        <f t="shared" si="277"/>
        <v>0</v>
      </c>
      <c r="Q985" s="765"/>
      <c r="R985" s="576">
        <f t="shared" si="273"/>
        <v>0</v>
      </c>
      <c r="S985" s="576">
        <f t="shared" si="273"/>
        <v>0</v>
      </c>
      <c r="T985" s="577">
        <f t="shared" si="274"/>
        <v>0</v>
      </c>
      <c r="U985" s="578">
        <f t="shared" si="275"/>
        <v>0</v>
      </c>
      <c r="V985" s="579"/>
      <c r="W985" s="566"/>
      <c r="X985" s="586" t="str">
        <f t="shared" si="278"/>
        <v/>
      </c>
      <c r="Y985" s="586" t="str">
        <f t="shared" si="271"/>
        <v/>
      </c>
      <c r="Z985" s="586" t="str">
        <f t="shared" si="282"/>
        <v/>
      </c>
    </row>
    <row r="986" spans="1:26" ht="23.25" hidden="1" thickBot="1" x14ac:dyDescent="0.25">
      <c r="A986" s="567">
        <v>102109</v>
      </c>
      <c r="B986" s="644">
        <v>102109</v>
      </c>
      <c r="C986" s="645" t="s">
        <v>670</v>
      </c>
      <c r="D986" s="422" t="s">
        <v>834</v>
      </c>
      <c r="E986" s="423"/>
      <c r="F986" s="424"/>
      <c r="G986" s="425"/>
      <c r="H986" s="651"/>
      <c r="I986" s="420">
        <v>46.36</v>
      </c>
      <c r="J986" s="420">
        <f t="shared" si="283"/>
        <v>46.36</v>
      </c>
      <c r="K986" s="421">
        <f t="shared" si="280"/>
        <v>55.08</v>
      </c>
      <c r="L986" s="647" t="s">
        <v>2065</v>
      </c>
      <c r="M986" s="576"/>
      <c r="N986" s="576">
        <f t="shared" si="284"/>
        <v>0</v>
      </c>
      <c r="O986" s="577">
        <f t="shared" si="276"/>
        <v>0</v>
      </c>
      <c r="P986" s="578">
        <f t="shared" si="277"/>
        <v>0</v>
      </c>
      <c r="Q986" s="765"/>
      <c r="R986" s="576">
        <f t="shared" si="273"/>
        <v>0</v>
      </c>
      <c r="S986" s="576">
        <f t="shared" si="273"/>
        <v>0</v>
      </c>
      <c r="T986" s="577">
        <f t="shared" si="274"/>
        <v>0</v>
      </c>
      <c r="U986" s="578">
        <f t="shared" si="275"/>
        <v>0</v>
      </c>
      <c r="V986" s="579"/>
      <c r="W986" s="566"/>
      <c r="X986" s="586" t="str">
        <f t="shared" si="278"/>
        <v/>
      </c>
      <c r="Y986" s="586" t="str">
        <f t="shared" si="271"/>
        <v/>
      </c>
      <c r="Z986" s="586" t="str">
        <f t="shared" si="282"/>
        <v/>
      </c>
    </row>
    <row r="987" spans="1:26" ht="23.25" hidden="1" thickBot="1" x14ac:dyDescent="0.25">
      <c r="A987" s="567">
        <v>102110</v>
      </c>
      <c r="B987" s="644">
        <v>102110</v>
      </c>
      <c r="C987" s="645" t="s">
        <v>670</v>
      </c>
      <c r="D987" s="422" t="s">
        <v>835</v>
      </c>
      <c r="E987" s="423"/>
      <c r="F987" s="424"/>
      <c r="G987" s="425"/>
      <c r="H987" s="651"/>
      <c r="I987" s="420">
        <v>124.4</v>
      </c>
      <c r="J987" s="420">
        <f t="shared" si="283"/>
        <v>124.4</v>
      </c>
      <c r="K987" s="421">
        <f t="shared" si="280"/>
        <v>147.80000000000001</v>
      </c>
      <c r="L987" s="647" t="s">
        <v>2065</v>
      </c>
      <c r="M987" s="576"/>
      <c r="N987" s="576">
        <f t="shared" si="284"/>
        <v>0</v>
      </c>
      <c r="O987" s="577">
        <f t="shared" si="276"/>
        <v>0</v>
      </c>
      <c r="P987" s="578">
        <f t="shared" si="277"/>
        <v>0</v>
      </c>
      <c r="Q987" s="765"/>
      <c r="R987" s="576">
        <f t="shared" si="273"/>
        <v>0</v>
      </c>
      <c r="S987" s="576">
        <f t="shared" si="273"/>
        <v>0</v>
      </c>
      <c r="T987" s="577">
        <f t="shared" si="274"/>
        <v>0</v>
      </c>
      <c r="U987" s="578">
        <f t="shared" si="275"/>
        <v>0</v>
      </c>
      <c r="V987" s="579"/>
      <c r="W987" s="566"/>
      <c r="X987" s="586" t="str">
        <f t="shared" si="278"/>
        <v/>
      </c>
      <c r="Y987" s="586" t="str">
        <f t="shared" si="271"/>
        <v/>
      </c>
      <c r="Z987" s="586" t="str">
        <f t="shared" si="282"/>
        <v/>
      </c>
    </row>
    <row r="988" spans="1:26" ht="23.25" hidden="1" thickBot="1" x14ac:dyDescent="0.25">
      <c r="A988" s="567">
        <v>100619</v>
      </c>
      <c r="B988" s="644">
        <v>100619</v>
      </c>
      <c r="C988" s="645" t="s">
        <v>670</v>
      </c>
      <c r="D988" s="422" t="s">
        <v>836</v>
      </c>
      <c r="E988" s="423"/>
      <c r="F988" s="424"/>
      <c r="G988" s="425"/>
      <c r="H988" s="651"/>
      <c r="I988" s="420">
        <v>636.61</v>
      </c>
      <c r="J988" s="420">
        <f t="shared" si="283"/>
        <v>636.61</v>
      </c>
      <c r="K988" s="421">
        <f t="shared" si="280"/>
        <v>756.36</v>
      </c>
      <c r="L988" s="647" t="s">
        <v>2065</v>
      </c>
      <c r="M988" s="576"/>
      <c r="N988" s="576">
        <f t="shared" si="284"/>
        <v>0</v>
      </c>
      <c r="O988" s="577">
        <f t="shared" si="276"/>
        <v>0</v>
      </c>
      <c r="P988" s="578">
        <f t="shared" si="277"/>
        <v>0</v>
      </c>
      <c r="Q988" s="765"/>
      <c r="R988" s="576">
        <f t="shared" si="273"/>
        <v>0</v>
      </c>
      <c r="S988" s="576">
        <f t="shared" si="273"/>
        <v>0</v>
      </c>
      <c r="T988" s="577">
        <f t="shared" si="274"/>
        <v>0</v>
      </c>
      <c r="U988" s="578">
        <f t="shared" si="275"/>
        <v>0</v>
      </c>
      <c r="V988" s="579"/>
      <c r="W988" s="566"/>
      <c r="X988" s="586" t="str">
        <f t="shared" si="278"/>
        <v/>
      </c>
      <c r="Y988" s="586" t="str">
        <f t="shared" si="271"/>
        <v/>
      </c>
      <c r="Z988" s="586" t="str">
        <f t="shared" si="282"/>
        <v/>
      </c>
    </row>
    <row r="989" spans="1:26" ht="23.25" hidden="1" thickBot="1" x14ac:dyDescent="0.25">
      <c r="A989" s="567">
        <v>100620</v>
      </c>
      <c r="B989" s="644">
        <v>100620</v>
      </c>
      <c r="C989" s="645" t="s">
        <v>670</v>
      </c>
      <c r="D989" s="422" t="s">
        <v>837</v>
      </c>
      <c r="E989" s="423"/>
      <c r="F989" s="424"/>
      <c r="G989" s="425"/>
      <c r="H989" s="651"/>
      <c r="I989" s="420">
        <v>3872.57</v>
      </c>
      <c r="J989" s="420">
        <f t="shared" si="283"/>
        <v>3872.57</v>
      </c>
      <c r="K989" s="421">
        <f t="shared" si="280"/>
        <v>4601</v>
      </c>
      <c r="L989" s="647" t="s">
        <v>2065</v>
      </c>
      <c r="M989" s="576"/>
      <c r="N989" s="576">
        <f t="shared" si="284"/>
        <v>0</v>
      </c>
      <c r="O989" s="577">
        <f t="shared" si="276"/>
        <v>0</v>
      </c>
      <c r="P989" s="578">
        <f t="shared" si="277"/>
        <v>0</v>
      </c>
      <c r="Q989" s="765"/>
      <c r="R989" s="576">
        <f t="shared" si="273"/>
        <v>0</v>
      </c>
      <c r="S989" s="576">
        <f t="shared" si="273"/>
        <v>0</v>
      </c>
      <c r="T989" s="577">
        <f t="shared" si="274"/>
        <v>0</v>
      </c>
      <c r="U989" s="578">
        <f t="shared" si="275"/>
        <v>0</v>
      </c>
      <c r="V989" s="579"/>
      <c r="W989" s="566"/>
      <c r="X989" s="586" t="str">
        <f t="shared" si="278"/>
        <v/>
      </c>
      <c r="Y989" s="586" t="str">
        <f t="shared" si="271"/>
        <v/>
      </c>
      <c r="Z989" s="586" t="str">
        <f t="shared" si="282"/>
        <v/>
      </c>
    </row>
    <row r="990" spans="1:26" ht="23.25" hidden="1" thickBot="1" x14ac:dyDescent="0.25">
      <c r="A990" s="567">
        <v>100621</v>
      </c>
      <c r="B990" s="644">
        <v>100621</v>
      </c>
      <c r="C990" s="645" t="s">
        <v>670</v>
      </c>
      <c r="D990" s="422" t="s">
        <v>838</v>
      </c>
      <c r="E990" s="423"/>
      <c r="F990" s="424"/>
      <c r="G990" s="425"/>
      <c r="H990" s="651"/>
      <c r="I990" s="420">
        <v>4438.99</v>
      </c>
      <c r="J990" s="420">
        <f t="shared" si="283"/>
        <v>4438.99</v>
      </c>
      <c r="K990" s="421">
        <f t="shared" si="280"/>
        <v>5273.96</v>
      </c>
      <c r="L990" s="647" t="s">
        <v>2065</v>
      </c>
      <c r="M990" s="576"/>
      <c r="N990" s="576">
        <f t="shared" si="284"/>
        <v>0</v>
      </c>
      <c r="O990" s="577">
        <f t="shared" si="276"/>
        <v>0</v>
      </c>
      <c r="P990" s="578">
        <f t="shared" si="277"/>
        <v>0</v>
      </c>
      <c r="Q990" s="765"/>
      <c r="R990" s="576">
        <f t="shared" si="273"/>
        <v>0</v>
      </c>
      <c r="S990" s="576">
        <f t="shared" si="273"/>
        <v>0</v>
      </c>
      <c r="T990" s="577">
        <f t="shared" si="274"/>
        <v>0</v>
      </c>
      <c r="U990" s="578">
        <f t="shared" si="275"/>
        <v>0</v>
      </c>
      <c r="V990" s="579"/>
      <c r="W990" s="566"/>
      <c r="X990" s="586" t="str">
        <f t="shared" si="278"/>
        <v/>
      </c>
      <c r="Y990" s="586" t="str">
        <f t="shared" si="271"/>
        <v/>
      </c>
      <c r="Z990" s="586" t="str">
        <f t="shared" si="282"/>
        <v/>
      </c>
    </row>
    <row r="991" spans="1:26" ht="23.25" hidden="1" thickBot="1" x14ac:dyDescent="0.25">
      <c r="A991" s="567">
        <v>100622</v>
      </c>
      <c r="B991" s="644">
        <v>100622</v>
      </c>
      <c r="C991" s="645" t="s">
        <v>670</v>
      </c>
      <c r="D991" s="422" t="s">
        <v>839</v>
      </c>
      <c r="E991" s="423"/>
      <c r="F991" s="424"/>
      <c r="G991" s="425"/>
      <c r="H991" s="651"/>
      <c r="I991" s="420">
        <v>2912.84</v>
      </c>
      <c r="J991" s="420">
        <f t="shared" si="283"/>
        <v>2912.84</v>
      </c>
      <c r="K991" s="421">
        <f t="shared" si="280"/>
        <v>3460.75</v>
      </c>
      <c r="L991" s="647" t="s">
        <v>2065</v>
      </c>
      <c r="M991" s="576"/>
      <c r="N991" s="576">
        <f t="shared" si="284"/>
        <v>0</v>
      </c>
      <c r="O991" s="577">
        <f t="shared" si="276"/>
        <v>0</v>
      </c>
      <c r="P991" s="578">
        <f t="shared" si="277"/>
        <v>0</v>
      </c>
      <c r="Q991" s="765"/>
      <c r="R991" s="576">
        <f t="shared" si="273"/>
        <v>0</v>
      </c>
      <c r="S991" s="576">
        <f t="shared" si="273"/>
        <v>0</v>
      </c>
      <c r="T991" s="577">
        <f t="shared" si="274"/>
        <v>0</v>
      </c>
      <c r="U991" s="578">
        <f t="shared" si="275"/>
        <v>0</v>
      </c>
      <c r="V991" s="579"/>
      <c r="W991" s="566"/>
      <c r="X991" s="586" t="str">
        <f t="shared" si="278"/>
        <v/>
      </c>
      <c r="Y991" s="586" t="str">
        <f t="shared" si="271"/>
        <v/>
      </c>
      <c r="Z991" s="586" t="str">
        <f t="shared" si="282"/>
        <v/>
      </c>
    </row>
    <row r="992" spans="1:26" ht="23.25" hidden="1" thickBot="1" x14ac:dyDescent="0.25">
      <c r="A992" s="567">
        <v>100623</v>
      </c>
      <c r="B992" s="644">
        <v>100623</v>
      </c>
      <c r="C992" s="645" t="s">
        <v>670</v>
      </c>
      <c r="D992" s="422" t="s">
        <v>840</v>
      </c>
      <c r="E992" s="423"/>
      <c r="F992" s="424"/>
      <c r="G992" s="425"/>
      <c r="H992" s="651"/>
      <c r="I992" s="420">
        <v>3153.04</v>
      </c>
      <c r="J992" s="420">
        <f t="shared" si="283"/>
        <v>3153.04</v>
      </c>
      <c r="K992" s="421">
        <f t="shared" si="280"/>
        <v>3746.13</v>
      </c>
      <c r="L992" s="647" t="s">
        <v>2065</v>
      </c>
      <c r="M992" s="576"/>
      <c r="N992" s="576">
        <f t="shared" si="284"/>
        <v>0</v>
      </c>
      <c r="O992" s="577">
        <f t="shared" si="276"/>
        <v>0</v>
      </c>
      <c r="P992" s="578">
        <f t="shared" si="277"/>
        <v>0</v>
      </c>
      <c r="Q992" s="765"/>
      <c r="R992" s="576">
        <f t="shared" si="273"/>
        <v>0</v>
      </c>
      <c r="S992" s="576">
        <f t="shared" si="273"/>
        <v>0</v>
      </c>
      <c r="T992" s="577">
        <f t="shared" si="274"/>
        <v>0</v>
      </c>
      <c r="U992" s="578">
        <f t="shared" si="275"/>
        <v>0</v>
      </c>
      <c r="V992" s="579"/>
      <c r="W992" s="566"/>
      <c r="X992" s="586" t="str">
        <f t="shared" si="278"/>
        <v/>
      </c>
      <c r="Y992" s="586" t="str">
        <f t="shared" si="271"/>
        <v/>
      </c>
      <c r="Z992" s="586" t="str">
        <f t="shared" si="282"/>
        <v/>
      </c>
    </row>
    <row r="993" spans="1:26" ht="34.5" hidden="1" thickBot="1" x14ac:dyDescent="0.25">
      <c r="A993" s="567">
        <v>100578</v>
      </c>
      <c r="B993" s="644">
        <v>100578</v>
      </c>
      <c r="C993" s="645" t="s">
        <v>670</v>
      </c>
      <c r="D993" s="422" t="s">
        <v>841</v>
      </c>
      <c r="E993" s="423"/>
      <c r="F993" s="424"/>
      <c r="G993" s="425"/>
      <c r="H993" s="651"/>
      <c r="I993" s="420">
        <v>503.67</v>
      </c>
      <c r="J993" s="420">
        <f t="shared" si="283"/>
        <v>503.67</v>
      </c>
      <c r="K993" s="421">
        <f t="shared" si="280"/>
        <v>598.41</v>
      </c>
      <c r="L993" s="647" t="s">
        <v>2065</v>
      </c>
      <c r="M993" s="576"/>
      <c r="N993" s="576">
        <f t="shared" si="284"/>
        <v>0</v>
      </c>
      <c r="O993" s="577">
        <f t="shared" si="276"/>
        <v>0</v>
      </c>
      <c r="P993" s="578">
        <f t="shared" si="277"/>
        <v>0</v>
      </c>
      <c r="Q993" s="765"/>
      <c r="R993" s="576">
        <f t="shared" si="273"/>
        <v>0</v>
      </c>
      <c r="S993" s="576">
        <f t="shared" si="273"/>
        <v>0</v>
      </c>
      <c r="T993" s="577">
        <f t="shared" si="274"/>
        <v>0</v>
      </c>
      <c r="U993" s="578">
        <f t="shared" si="275"/>
        <v>0</v>
      </c>
      <c r="V993" s="579"/>
      <c r="W993" s="566"/>
      <c r="X993" s="586" t="str">
        <f t="shared" si="278"/>
        <v/>
      </c>
      <c r="Y993" s="586" t="str">
        <f t="shared" si="271"/>
        <v/>
      </c>
      <c r="Z993" s="586" t="str">
        <f t="shared" si="282"/>
        <v/>
      </c>
    </row>
    <row r="994" spans="1:26" ht="34.5" hidden="1" thickBot="1" x14ac:dyDescent="0.25">
      <c r="A994" s="567">
        <v>100579</v>
      </c>
      <c r="B994" s="644">
        <v>100579</v>
      </c>
      <c r="C994" s="645" t="s">
        <v>670</v>
      </c>
      <c r="D994" s="422" t="s">
        <v>842</v>
      </c>
      <c r="E994" s="423"/>
      <c r="F994" s="424"/>
      <c r="G994" s="425"/>
      <c r="H994" s="651"/>
      <c r="I994" s="420">
        <v>552.51</v>
      </c>
      <c r="J994" s="420">
        <f t="shared" si="283"/>
        <v>552.51</v>
      </c>
      <c r="K994" s="421">
        <f t="shared" si="280"/>
        <v>656.44</v>
      </c>
      <c r="L994" s="647" t="s">
        <v>2065</v>
      </c>
      <c r="M994" s="576"/>
      <c r="N994" s="576">
        <f t="shared" si="284"/>
        <v>0</v>
      </c>
      <c r="O994" s="577">
        <f t="shared" si="276"/>
        <v>0</v>
      </c>
      <c r="P994" s="578">
        <f t="shared" si="277"/>
        <v>0</v>
      </c>
      <c r="Q994" s="765"/>
      <c r="R994" s="576">
        <f t="shared" si="273"/>
        <v>0</v>
      </c>
      <c r="S994" s="576">
        <f t="shared" si="273"/>
        <v>0</v>
      </c>
      <c r="T994" s="577">
        <f t="shared" si="274"/>
        <v>0</v>
      </c>
      <c r="U994" s="578">
        <f t="shared" si="275"/>
        <v>0</v>
      </c>
      <c r="V994" s="579"/>
      <c r="W994" s="566"/>
      <c r="X994" s="586" t="str">
        <f t="shared" si="278"/>
        <v/>
      </c>
      <c r="Y994" s="586" t="str">
        <f t="shared" si="271"/>
        <v/>
      </c>
      <c r="Z994" s="586" t="str">
        <f t="shared" si="282"/>
        <v/>
      </c>
    </row>
    <row r="995" spans="1:26" ht="23.25" hidden="1" thickBot="1" x14ac:dyDescent="0.25">
      <c r="A995" s="567">
        <v>100580</v>
      </c>
      <c r="B995" s="644">
        <v>100580</v>
      </c>
      <c r="C995" s="645" t="s">
        <v>670</v>
      </c>
      <c r="D995" s="422" t="s">
        <v>843</v>
      </c>
      <c r="E995" s="423"/>
      <c r="F995" s="424"/>
      <c r="G995" s="425"/>
      <c r="H995" s="651"/>
      <c r="I995" s="420">
        <v>602.62</v>
      </c>
      <c r="J995" s="420">
        <f t="shared" si="283"/>
        <v>602.62</v>
      </c>
      <c r="K995" s="421">
        <f t="shared" si="280"/>
        <v>715.97</v>
      </c>
      <c r="L995" s="647" t="s">
        <v>2065</v>
      </c>
      <c r="M995" s="576"/>
      <c r="N995" s="576">
        <f t="shared" si="284"/>
        <v>0</v>
      </c>
      <c r="O995" s="577">
        <f t="shared" si="276"/>
        <v>0</v>
      </c>
      <c r="P995" s="578">
        <f t="shared" si="277"/>
        <v>0</v>
      </c>
      <c r="Q995" s="765"/>
      <c r="R995" s="576">
        <f t="shared" si="273"/>
        <v>0</v>
      </c>
      <c r="S995" s="576">
        <f t="shared" si="273"/>
        <v>0</v>
      </c>
      <c r="T995" s="577">
        <f t="shared" si="274"/>
        <v>0</v>
      </c>
      <c r="U995" s="578">
        <f t="shared" si="275"/>
        <v>0</v>
      </c>
      <c r="V995" s="579"/>
      <c r="W995" s="566"/>
      <c r="X995" s="586" t="str">
        <f t="shared" si="278"/>
        <v/>
      </c>
      <c r="Y995" s="586" t="str">
        <f t="shared" ref="Y995:Y1058" si="285">IF(W995="X","x",IF(W995="y","x",IF(W995="xx","x",IF(U995&gt;0,"x",""))))</f>
        <v/>
      </c>
      <c r="Z995" s="586" t="str">
        <f t="shared" si="282"/>
        <v/>
      </c>
    </row>
    <row r="996" spans="1:26" ht="34.5" hidden="1" thickBot="1" x14ac:dyDescent="0.25">
      <c r="A996" s="567">
        <v>100581</v>
      </c>
      <c r="B996" s="644">
        <v>100581</v>
      </c>
      <c r="C996" s="645" t="s">
        <v>670</v>
      </c>
      <c r="D996" s="422" t="s">
        <v>844</v>
      </c>
      <c r="E996" s="423"/>
      <c r="F996" s="424"/>
      <c r="G996" s="425"/>
      <c r="H996" s="651"/>
      <c r="I996" s="420">
        <v>576.72</v>
      </c>
      <c r="J996" s="420">
        <f t="shared" si="283"/>
        <v>576.72</v>
      </c>
      <c r="K996" s="421">
        <f t="shared" si="280"/>
        <v>685.2</v>
      </c>
      <c r="L996" s="647" t="s">
        <v>2065</v>
      </c>
      <c r="M996" s="576"/>
      <c r="N996" s="576">
        <f t="shared" si="284"/>
        <v>0</v>
      </c>
      <c r="O996" s="577">
        <f t="shared" si="276"/>
        <v>0</v>
      </c>
      <c r="P996" s="578">
        <f t="shared" si="277"/>
        <v>0</v>
      </c>
      <c r="Q996" s="765"/>
      <c r="R996" s="576">
        <f t="shared" si="273"/>
        <v>0</v>
      </c>
      <c r="S996" s="576">
        <f t="shared" si="273"/>
        <v>0</v>
      </c>
      <c r="T996" s="577">
        <f t="shared" si="274"/>
        <v>0</v>
      </c>
      <c r="U996" s="578">
        <f t="shared" si="275"/>
        <v>0</v>
      </c>
      <c r="V996" s="579"/>
      <c r="W996" s="566"/>
      <c r="X996" s="586" t="str">
        <f t="shared" si="278"/>
        <v/>
      </c>
      <c r="Y996" s="586" t="str">
        <f t="shared" si="285"/>
        <v/>
      </c>
      <c r="Z996" s="586" t="str">
        <f t="shared" si="282"/>
        <v/>
      </c>
    </row>
    <row r="997" spans="1:26" ht="34.5" hidden="1" thickBot="1" x14ac:dyDescent="0.25">
      <c r="A997" s="567">
        <v>100582</v>
      </c>
      <c r="B997" s="644">
        <v>100582</v>
      </c>
      <c r="C997" s="645" t="s">
        <v>670</v>
      </c>
      <c r="D997" s="422" t="s">
        <v>845</v>
      </c>
      <c r="E997" s="423"/>
      <c r="F997" s="424"/>
      <c r="G997" s="425"/>
      <c r="H997" s="651"/>
      <c r="I997" s="420">
        <v>666.99</v>
      </c>
      <c r="J997" s="420">
        <f t="shared" si="283"/>
        <v>666.99</v>
      </c>
      <c r="K997" s="421">
        <f t="shared" si="280"/>
        <v>792.45</v>
      </c>
      <c r="L997" s="647" t="s">
        <v>2065</v>
      </c>
      <c r="M997" s="576"/>
      <c r="N997" s="576">
        <f t="shared" si="284"/>
        <v>0</v>
      </c>
      <c r="O997" s="577">
        <f t="shared" si="276"/>
        <v>0</v>
      </c>
      <c r="P997" s="578">
        <f t="shared" si="277"/>
        <v>0</v>
      </c>
      <c r="Q997" s="765"/>
      <c r="R997" s="576">
        <f t="shared" si="273"/>
        <v>0</v>
      </c>
      <c r="S997" s="576">
        <f t="shared" si="273"/>
        <v>0</v>
      </c>
      <c r="T997" s="577">
        <f t="shared" si="274"/>
        <v>0</v>
      </c>
      <c r="U997" s="578">
        <f t="shared" si="275"/>
        <v>0</v>
      </c>
      <c r="V997" s="579"/>
      <c r="W997" s="566"/>
      <c r="X997" s="586" t="str">
        <f t="shared" si="278"/>
        <v/>
      </c>
      <c r="Y997" s="586" t="str">
        <f t="shared" si="285"/>
        <v/>
      </c>
      <c r="Z997" s="586" t="str">
        <f t="shared" si="282"/>
        <v/>
      </c>
    </row>
    <row r="998" spans="1:26" ht="34.5" hidden="1" thickBot="1" x14ac:dyDescent="0.25">
      <c r="A998" s="567">
        <v>100583</v>
      </c>
      <c r="B998" s="644">
        <v>100583</v>
      </c>
      <c r="C998" s="645" t="s">
        <v>670</v>
      </c>
      <c r="D998" s="422" t="s">
        <v>846</v>
      </c>
      <c r="E998" s="423"/>
      <c r="F998" s="424"/>
      <c r="G998" s="425"/>
      <c r="H998" s="651"/>
      <c r="I998" s="420">
        <v>602.57000000000005</v>
      </c>
      <c r="J998" s="420">
        <f t="shared" si="283"/>
        <v>602.57000000000005</v>
      </c>
      <c r="K998" s="421">
        <f t="shared" si="280"/>
        <v>715.91</v>
      </c>
      <c r="L998" s="647" t="s">
        <v>2065</v>
      </c>
      <c r="M998" s="576"/>
      <c r="N998" s="576">
        <f t="shared" si="284"/>
        <v>0</v>
      </c>
      <c r="O998" s="577">
        <f t="shared" si="276"/>
        <v>0</v>
      </c>
      <c r="P998" s="578">
        <f t="shared" si="277"/>
        <v>0</v>
      </c>
      <c r="Q998" s="765"/>
      <c r="R998" s="576">
        <f t="shared" si="273"/>
        <v>0</v>
      </c>
      <c r="S998" s="576">
        <f t="shared" si="273"/>
        <v>0</v>
      </c>
      <c r="T998" s="577">
        <f t="shared" si="274"/>
        <v>0</v>
      </c>
      <c r="U998" s="578">
        <f t="shared" si="275"/>
        <v>0</v>
      </c>
      <c r="V998" s="579"/>
      <c r="W998" s="566"/>
      <c r="X998" s="586" t="str">
        <f t="shared" si="278"/>
        <v/>
      </c>
      <c r="Y998" s="586" t="str">
        <f t="shared" si="285"/>
        <v/>
      </c>
      <c r="Z998" s="586" t="str">
        <f t="shared" si="282"/>
        <v/>
      </c>
    </row>
    <row r="999" spans="1:26" ht="23.25" hidden="1" thickBot="1" x14ac:dyDescent="0.25">
      <c r="A999" s="567">
        <v>100584</v>
      </c>
      <c r="B999" s="644">
        <v>100584</v>
      </c>
      <c r="C999" s="645" t="s">
        <v>670</v>
      </c>
      <c r="D999" s="422" t="s">
        <v>847</v>
      </c>
      <c r="E999" s="423"/>
      <c r="F999" s="424"/>
      <c r="G999" s="425"/>
      <c r="H999" s="651"/>
      <c r="I999" s="420">
        <v>656.87</v>
      </c>
      <c r="J999" s="420">
        <f t="shared" si="283"/>
        <v>656.87</v>
      </c>
      <c r="K999" s="421">
        <f t="shared" si="280"/>
        <v>780.43</v>
      </c>
      <c r="L999" s="647" t="s">
        <v>2065</v>
      </c>
      <c r="M999" s="576"/>
      <c r="N999" s="576">
        <f t="shared" si="284"/>
        <v>0</v>
      </c>
      <c r="O999" s="577">
        <f t="shared" si="276"/>
        <v>0</v>
      </c>
      <c r="P999" s="578">
        <f t="shared" si="277"/>
        <v>0</v>
      </c>
      <c r="Q999" s="765"/>
      <c r="R999" s="576">
        <f t="shared" si="273"/>
        <v>0</v>
      </c>
      <c r="S999" s="576">
        <f t="shared" si="273"/>
        <v>0</v>
      </c>
      <c r="T999" s="577">
        <f t="shared" si="274"/>
        <v>0</v>
      </c>
      <c r="U999" s="578">
        <f t="shared" si="275"/>
        <v>0</v>
      </c>
      <c r="V999" s="579"/>
      <c r="W999" s="566"/>
      <c r="X999" s="586" t="str">
        <f t="shared" si="278"/>
        <v/>
      </c>
      <c r="Y999" s="586" t="str">
        <f t="shared" si="285"/>
        <v/>
      </c>
      <c r="Z999" s="586" t="str">
        <f t="shared" si="282"/>
        <v/>
      </c>
    </row>
    <row r="1000" spans="1:26" ht="34.5" hidden="1" thickBot="1" x14ac:dyDescent="0.25">
      <c r="A1000" s="567">
        <v>100585</v>
      </c>
      <c r="B1000" s="644">
        <v>100585</v>
      </c>
      <c r="C1000" s="645" t="s">
        <v>670</v>
      </c>
      <c r="D1000" s="422" t="s">
        <v>848</v>
      </c>
      <c r="E1000" s="423"/>
      <c r="F1000" s="424"/>
      <c r="G1000" s="425"/>
      <c r="H1000" s="651"/>
      <c r="I1000" s="420">
        <v>652.87</v>
      </c>
      <c r="J1000" s="420">
        <f t="shared" si="283"/>
        <v>652.87</v>
      </c>
      <c r="K1000" s="421">
        <f t="shared" si="280"/>
        <v>775.67</v>
      </c>
      <c r="L1000" s="647" t="s">
        <v>2065</v>
      </c>
      <c r="M1000" s="576"/>
      <c r="N1000" s="576">
        <f t="shared" si="284"/>
        <v>0</v>
      </c>
      <c r="O1000" s="577">
        <f t="shared" si="276"/>
        <v>0</v>
      </c>
      <c r="P1000" s="578">
        <f t="shared" si="277"/>
        <v>0</v>
      </c>
      <c r="Q1000" s="765"/>
      <c r="R1000" s="576">
        <f t="shared" si="273"/>
        <v>0</v>
      </c>
      <c r="S1000" s="576">
        <f t="shared" si="273"/>
        <v>0</v>
      </c>
      <c r="T1000" s="577">
        <f t="shared" si="274"/>
        <v>0</v>
      </c>
      <c r="U1000" s="578">
        <f t="shared" si="275"/>
        <v>0</v>
      </c>
      <c r="V1000" s="579"/>
      <c r="W1000" s="566"/>
      <c r="X1000" s="586" t="str">
        <f t="shared" si="278"/>
        <v/>
      </c>
      <c r="Y1000" s="586" t="str">
        <f t="shared" si="285"/>
        <v/>
      </c>
      <c r="Z1000" s="586" t="str">
        <f t="shared" si="282"/>
        <v/>
      </c>
    </row>
    <row r="1001" spans="1:26" ht="23.25" hidden="1" thickBot="1" x14ac:dyDescent="0.25">
      <c r="A1001" s="567">
        <v>100586</v>
      </c>
      <c r="B1001" s="644">
        <v>100586</v>
      </c>
      <c r="C1001" s="645" t="s">
        <v>670</v>
      </c>
      <c r="D1001" s="422" t="s">
        <v>849</v>
      </c>
      <c r="E1001" s="423"/>
      <c r="F1001" s="424"/>
      <c r="G1001" s="425"/>
      <c r="H1001" s="651"/>
      <c r="I1001" s="420">
        <v>739.43</v>
      </c>
      <c r="J1001" s="420">
        <f t="shared" si="283"/>
        <v>739.43</v>
      </c>
      <c r="K1001" s="421">
        <f t="shared" si="280"/>
        <v>878.52</v>
      </c>
      <c r="L1001" s="647" t="s">
        <v>2065</v>
      </c>
      <c r="M1001" s="576"/>
      <c r="N1001" s="576">
        <f t="shared" si="284"/>
        <v>0</v>
      </c>
      <c r="O1001" s="577">
        <f t="shared" si="276"/>
        <v>0</v>
      </c>
      <c r="P1001" s="578">
        <f t="shared" si="277"/>
        <v>0</v>
      </c>
      <c r="Q1001" s="765"/>
      <c r="R1001" s="576">
        <f t="shared" si="273"/>
        <v>0</v>
      </c>
      <c r="S1001" s="576">
        <f t="shared" si="273"/>
        <v>0</v>
      </c>
      <c r="T1001" s="577">
        <f t="shared" si="274"/>
        <v>0</v>
      </c>
      <c r="U1001" s="578">
        <f t="shared" si="275"/>
        <v>0</v>
      </c>
      <c r="V1001" s="579"/>
      <c r="W1001" s="566"/>
      <c r="X1001" s="586" t="str">
        <f t="shared" si="278"/>
        <v/>
      </c>
      <c r="Y1001" s="586" t="str">
        <f t="shared" si="285"/>
        <v/>
      </c>
      <c r="Z1001" s="586" t="str">
        <f t="shared" si="282"/>
        <v/>
      </c>
    </row>
    <row r="1002" spans="1:26" ht="34.5" hidden="1" thickBot="1" x14ac:dyDescent="0.25">
      <c r="A1002" s="567">
        <v>100587</v>
      </c>
      <c r="B1002" s="644">
        <v>100587</v>
      </c>
      <c r="C1002" s="645" t="s">
        <v>670</v>
      </c>
      <c r="D1002" s="422" t="s">
        <v>850</v>
      </c>
      <c r="E1002" s="423"/>
      <c r="F1002" s="424"/>
      <c r="G1002" s="425"/>
      <c r="H1002" s="651"/>
      <c r="I1002" s="420">
        <v>704.86</v>
      </c>
      <c r="J1002" s="420">
        <f t="shared" si="283"/>
        <v>704.86</v>
      </c>
      <c r="K1002" s="421">
        <f t="shared" si="280"/>
        <v>837.44</v>
      </c>
      <c r="L1002" s="647" t="s">
        <v>2065</v>
      </c>
      <c r="M1002" s="576"/>
      <c r="N1002" s="576">
        <f t="shared" si="284"/>
        <v>0</v>
      </c>
      <c r="O1002" s="577">
        <f t="shared" si="276"/>
        <v>0</v>
      </c>
      <c r="P1002" s="578">
        <f t="shared" si="277"/>
        <v>0</v>
      </c>
      <c r="Q1002" s="765"/>
      <c r="R1002" s="576">
        <f t="shared" si="273"/>
        <v>0</v>
      </c>
      <c r="S1002" s="576">
        <f t="shared" si="273"/>
        <v>0</v>
      </c>
      <c r="T1002" s="577">
        <f t="shared" si="274"/>
        <v>0</v>
      </c>
      <c r="U1002" s="578">
        <f t="shared" si="275"/>
        <v>0</v>
      </c>
      <c r="V1002" s="579"/>
      <c r="W1002" s="566"/>
      <c r="X1002" s="586" t="str">
        <f t="shared" si="278"/>
        <v/>
      </c>
      <c r="Y1002" s="586" t="str">
        <f t="shared" si="285"/>
        <v/>
      </c>
      <c r="Z1002" s="586" t="str">
        <f t="shared" si="282"/>
        <v/>
      </c>
    </row>
    <row r="1003" spans="1:26" ht="23.25" hidden="1" thickBot="1" x14ac:dyDescent="0.25">
      <c r="A1003" s="567">
        <v>100588</v>
      </c>
      <c r="B1003" s="644">
        <v>100588</v>
      </c>
      <c r="C1003" s="645" t="s">
        <v>670</v>
      </c>
      <c r="D1003" s="422" t="s">
        <v>851</v>
      </c>
      <c r="E1003" s="423"/>
      <c r="F1003" s="424"/>
      <c r="G1003" s="425"/>
      <c r="H1003" s="651"/>
      <c r="I1003" s="420">
        <v>772.15</v>
      </c>
      <c r="J1003" s="420">
        <f t="shared" si="283"/>
        <v>772.15</v>
      </c>
      <c r="K1003" s="421">
        <f t="shared" si="280"/>
        <v>917.39</v>
      </c>
      <c r="L1003" s="647" t="s">
        <v>2065</v>
      </c>
      <c r="M1003" s="576"/>
      <c r="N1003" s="576">
        <f t="shared" si="284"/>
        <v>0</v>
      </c>
      <c r="O1003" s="577">
        <f t="shared" si="276"/>
        <v>0</v>
      </c>
      <c r="P1003" s="578">
        <f t="shared" si="277"/>
        <v>0</v>
      </c>
      <c r="Q1003" s="765"/>
      <c r="R1003" s="576">
        <f t="shared" si="273"/>
        <v>0</v>
      </c>
      <c r="S1003" s="576">
        <f t="shared" si="273"/>
        <v>0</v>
      </c>
      <c r="T1003" s="577">
        <f t="shared" si="274"/>
        <v>0</v>
      </c>
      <c r="U1003" s="578">
        <f t="shared" si="275"/>
        <v>0</v>
      </c>
      <c r="V1003" s="579"/>
      <c r="W1003" s="566"/>
      <c r="X1003" s="586" t="str">
        <f t="shared" si="278"/>
        <v/>
      </c>
      <c r="Y1003" s="586" t="str">
        <f t="shared" si="285"/>
        <v/>
      </c>
      <c r="Z1003" s="586" t="str">
        <f t="shared" si="282"/>
        <v/>
      </c>
    </row>
    <row r="1004" spans="1:26" ht="34.5" hidden="1" thickBot="1" x14ac:dyDescent="0.25">
      <c r="A1004" s="567">
        <v>100589</v>
      </c>
      <c r="B1004" s="644">
        <v>100589</v>
      </c>
      <c r="C1004" s="645" t="s">
        <v>670</v>
      </c>
      <c r="D1004" s="422" t="s">
        <v>852</v>
      </c>
      <c r="E1004" s="423"/>
      <c r="F1004" s="424"/>
      <c r="G1004" s="425"/>
      <c r="H1004" s="651"/>
      <c r="I1004" s="420">
        <v>777.45</v>
      </c>
      <c r="J1004" s="420">
        <f t="shared" si="283"/>
        <v>777.45</v>
      </c>
      <c r="K1004" s="421">
        <f t="shared" si="280"/>
        <v>923.69</v>
      </c>
      <c r="L1004" s="647" t="s">
        <v>2065</v>
      </c>
      <c r="M1004" s="576"/>
      <c r="N1004" s="576">
        <f t="shared" si="284"/>
        <v>0</v>
      </c>
      <c r="O1004" s="577">
        <f t="shared" si="276"/>
        <v>0</v>
      </c>
      <c r="P1004" s="578">
        <f t="shared" si="277"/>
        <v>0</v>
      </c>
      <c r="Q1004" s="765"/>
      <c r="R1004" s="576">
        <f t="shared" si="273"/>
        <v>0</v>
      </c>
      <c r="S1004" s="576">
        <f t="shared" si="273"/>
        <v>0</v>
      </c>
      <c r="T1004" s="577">
        <f t="shared" si="274"/>
        <v>0</v>
      </c>
      <c r="U1004" s="578">
        <f t="shared" si="275"/>
        <v>0</v>
      </c>
      <c r="V1004" s="579"/>
      <c r="W1004" s="566"/>
      <c r="X1004" s="586" t="str">
        <f t="shared" si="278"/>
        <v/>
      </c>
      <c r="Y1004" s="586" t="str">
        <f t="shared" si="285"/>
        <v/>
      </c>
      <c r="Z1004" s="586" t="str">
        <f t="shared" si="282"/>
        <v/>
      </c>
    </row>
    <row r="1005" spans="1:26" ht="34.5" hidden="1" thickBot="1" x14ac:dyDescent="0.25">
      <c r="A1005" s="567">
        <v>100590</v>
      </c>
      <c r="B1005" s="644">
        <v>100590</v>
      </c>
      <c r="C1005" s="645" t="s">
        <v>670</v>
      </c>
      <c r="D1005" s="422" t="s">
        <v>853</v>
      </c>
      <c r="E1005" s="423"/>
      <c r="F1005" s="424"/>
      <c r="G1005" s="425"/>
      <c r="H1005" s="651"/>
      <c r="I1005" s="420">
        <v>843.89</v>
      </c>
      <c r="J1005" s="420">
        <f t="shared" si="283"/>
        <v>843.89</v>
      </c>
      <c r="K1005" s="421">
        <f t="shared" si="280"/>
        <v>1002.63</v>
      </c>
      <c r="L1005" s="647" t="s">
        <v>2065</v>
      </c>
      <c r="M1005" s="576"/>
      <c r="N1005" s="576">
        <f t="shared" si="284"/>
        <v>0</v>
      </c>
      <c r="O1005" s="577">
        <f t="shared" si="276"/>
        <v>0</v>
      </c>
      <c r="P1005" s="578">
        <f t="shared" si="277"/>
        <v>0</v>
      </c>
      <c r="Q1005" s="765"/>
      <c r="R1005" s="576">
        <f t="shared" si="273"/>
        <v>0</v>
      </c>
      <c r="S1005" s="576">
        <f t="shared" si="273"/>
        <v>0</v>
      </c>
      <c r="T1005" s="577">
        <f t="shared" si="274"/>
        <v>0</v>
      </c>
      <c r="U1005" s="578">
        <f t="shared" si="275"/>
        <v>0</v>
      </c>
      <c r="V1005" s="579"/>
      <c r="W1005" s="566"/>
      <c r="X1005" s="586" t="str">
        <f t="shared" si="278"/>
        <v/>
      </c>
      <c r="Y1005" s="586" t="str">
        <f t="shared" si="285"/>
        <v/>
      </c>
      <c r="Z1005" s="586" t="str">
        <f t="shared" si="282"/>
        <v/>
      </c>
    </row>
    <row r="1006" spans="1:26" ht="34.5" hidden="1" thickBot="1" x14ac:dyDescent="0.25">
      <c r="A1006" s="567">
        <v>100591</v>
      </c>
      <c r="B1006" s="644">
        <v>100591</v>
      </c>
      <c r="C1006" s="645" t="s">
        <v>670</v>
      </c>
      <c r="D1006" s="422" t="s">
        <v>854</v>
      </c>
      <c r="E1006" s="423"/>
      <c r="F1006" s="424"/>
      <c r="G1006" s="425"/>
      <c r="H1006" s="651"/>
      <c r="I1006" s="420">
        <v>774.55</v>
      </c>
      <c r="J1006" s="420">
        <f t="shared" si="283"/>
        <v>774.55</v>
      </c>
      <c r="K1006" s="421">
        <f t="shared" si="280"/>
        <v>920.24</v>
      </c>
      <c r="L1006" s="647" t="s">
        <v>2065</v>
      </c>
      <c r="M1006" s="576"/>
      <c r="N1006" s="576">
        <f t="shared" si="284"/>
        <v>0</v>
      </c>
      <c r="O1006" s="577">
        <f t="shared" si="276"/>
        <v>0</v>
      </c>
      <c r="P1006" s="578">
        <f t="shared" si="277"/>
        <v>0</v>
      </c>
      <c r="Q1006" s="765"/>
      <c r="R1006" s="576">
        <f t="shared" si="273"/>
        <v>0</v>
      </c>
      <c r="S1006" s="576">
        <f t="shared" si="273"/>
        <v>0</v>
      </c>
      <c r="T1006" s="577">
        <f t="shared" si="274"/>
        <v>0</v>
      </c>
      <c r="U1006" s="578">
        <f t="shared" si="275"/>
        <v>0</v>
      </c>
      <c r="V1006" s="579"/>
      <c r="W1006" s="566"/>
      <c r="X1006" s="586" t="str">
        <f t="shared" si="278"/>
        <v/>
      </c>
      <c r="Y1006" s="586" t="str">
        <f t="shared" si="285"/>
        <v/>
      </c>
      <c r="Z1006" s="586" t="str">
        <f t="shared" si="282"/>
        <v/>
      </c>
    </row>
    <row r="1007" spans="1:26" ht="23.25" hidden="1" thickBot="1" x14ac:dyDescent="0.25">
      <c r="A1007" s="567">
        <v>100592</v>
      </c>
      <c r="B1007" s="644">
        <v>100592</v>
      </c>
      <c r="C1007" s="645" t="s">
        <v>670</v>
      </c>
      <c r="D1007" s="422" t="s">
        <v>855</v>
      </c>
      <c r="E1007" s="423"/>
      <c r="F1007" s="424"/>
      <c r="G1007" s="425"/>
      <c r="H1007" s="651"/>
      <c r="I1007" s="420">
        <v>829.61</v>
      </c>
      <c r="J1007" s="420">
        <f t="shared" si="283"/>
        <v>829.61</v>
      </c>
      <c r="K1007" s="421">
        <f t="shared" si="280"/>
        <v>985.66</v>
      </c>
      <c r="L1007" s="647" t="s">
        <v>2065</v>
      </c>
      <c r="M1007" s="576"/>
      <c r="N1007" s="576">
        <f t="shared" si="284"/>
        <v>0</v>
      </c>
      <c r="O1007" s="577">
        <f t="shared" si="276"/>
        <v>0</v>
      </c>
      <c r="P1007" s="578">
        <f t="shared" si="277"/>
        <v>0</v>
      </c>
      <c r="Q1007" s="765"/>
      <c r="R1007" s="576">
        <f t="shared" si="273"/>
        <v>0</v>
      </c>
      <c r="S1007" s="576">
        <f t="shared" si="273"/>
        <v>0</v>
      </c>
      <c r="T1007" s="577">
        <f t="shared" si="274"/>
        <v>0</v>
      </c>
      <c r="U1007" s="578">
        <f t="shared" si="275"/>
        <v>0</v>
      </c>
      <c r="V1007" s="579"/>
      <c r="W1007" s="566"/>
      <c r="X1007" s="586" t="str">
        <f t="shared" si="278"/>
        <v/>
      </c>
      <c r="Y1007" s="586" t="str">
        <f t="shared" si="285"/>
        <v/>
      </c>
      <c r="Z1007" s="586" t="str">
        <f t="shared" si="282"/>
        <v/>
      </c>
    </row>
    <row r="1008" spans="1:26" ht="34.5" hidden="1" thickBot="1" x14ac:dyDescent="0.25">
      <c r="A1008" s="567">
        <v>100593</v>
      </c>
      <c r="B1008" s="644">
        <v>100593</v>
      </c>
      <c r="C1008" s="645" t="s">
        <v>670</v>
      </c>
      <c r="D1008" s="422" t="s">
        <v>856</v>
      </c>
      <c r="E1008" s="423"/>
      <c r="F1008" s="424"/>
      <c r="G1008" s="425"/>
      <c r="H1008" s="651"/>
      <c r="I1008" s="420">
        <v>829.57</v>
      </c>
      <c r="J1008" s="420">
        <f t="shared" si="283"/>
        <v>829.57</v>
      </c>
      <c r="K1008" s="421">
        <f t="shared" si="280"/>
        <v>985.61</v>
      </c>
      <c r="L1008" s="647" t="s">
        <v>2065</v>
      </c>
      <c r="M1008" s="576"/>
      <c r="N1008" s="576">
        <f t="shared" si="284"/>
        <v>0</v>
      </c>
      <c r="O1008" s="577">
        <f t="shared" si="276"/>
        <v>0</v>
      </c>
      <c r="P1008" s="578">
        <f t="shared" si="277"/>
        <v>0</v>
      </c>
      <c r="Q1008" s="765"/>
      <c r="R1008" s="576">
        <f t="shared" si="273"/>
        <v>0</v>
      </c>
      <c r="S1008" s="576">
        <f t="shared" si="273"/>
        <v>0</v>
      </c>
      <c r="T1008" s="577">
        <f t="shared" si="274"/>
        <v>0</v>
      </c>
      <c r="U1008" s="578">
        <f t="shared" si="275"/>
        <v>0</v>
      </c>
      <c r="V1008" s="579"/>
      <c r="W1008" s="566"/>
      <c r="X1008" s="586" t="str">
        <f t="shared" si="278"/>
        <v/>
      </c>
      <c r="Y1008" s="586" t="str">
        <f t="shared" si="285"/>
        <v/>
      </c>
      <c r="Z1008" s="586" t="str">
        <f t="shared" si="282"/>
        <v/>
      </c>
    </row>
    <row r="1009" spans="1:26" ht="23.25" hidden="1" thickBot="1" x14ac:dyDescent="0.25">
      <c r="A1009" s="567">
        <v>100594</v>
      </c>
      <c r="B1009" s="644">
        <v>100594</v>
      </c>
      <c r="C1009" s="645" t="s">
        <v>670</v>
      </c>
      <c r="D1009" s="422" t="s">
        <v>857</v>
      </c>
      <c r="E1009" s="423"/>
      <c r="F1009" s="424"/>
      <c r="G1009" s="425"/>
      <c r="H1009" s="651"/>
      <c r="I1009" s="420">
        <v>922.98</v>
      </c>
      <c r="J1009" s="420">
        <f t="shared" si="283"/>
        <v>922.98</v>
      </c>
      <c r="K1009" s="421">
        <f t="shared" si="280"/>
        <v>1096.5899999999999</v>
      </c>
      <c r="L1009" s="647" t="s">
        <v>2065</v>
      </c>
      <c r="M1009" s="576"/>
      <c r="N1009" s="576">
        <f t="shared" si="284"/>
        <v>0</v>
      </c>
      <c r="O1009" s="577">
        <f t="shared" si="276"/>
        <v>0</v>
      </c>
      <c r="P1009" s="578">
        <f t="shared" si="277"/>
        <v>0</v>
      </c>
      <c r="Q1009" s="765"/>
      <c r="R1009" s="576">
        <f t="shared" si="273"/>
        <v>0</v>
      </c>
      <c r="S1009" s="576">
        <f t="shared" si="273"/>
        <v>0</v>
      </c>
      <c r="T1009" s="577">
        <f t="shared" si="274"/>
        <v>0</v>
      </c>
      <c r="U1009" s="578">
        <f t="shared" si="275"/>
        <v>0</v>
      </c>
      <c r="V1009" s="579"/>
      <c r="W1009" s="566"/>
      <c r="X1009" s="586" t="str">
        <f t="shared" si="278"/>
        <v/>
      </c>
      <c r="Y1009" s="586" t="str">
        <f t="shared" si="285"/>
        <v/>
      </c>
      <c r="Z1009" s="586" t="str">
        <f t="shared" si="282"/>
        <v/>
      </c>
    </row>
    <row r="1010" spans="1:26" ht="34.5" hidden="1" thickBot="1" x14ac:dyDescent="0.25">
      <c r="A1010" s="567">
        <v>100595</v>
      </c>
      <c r="B1010" s="644">
        <v>100595</v>
      </c>
      <c r="C1010" s="645" t="s">
        <v>670</v>
      </c>
      <c r="D1010" s="422" t="s">
        <v>858</v>
      </c>
      <c r="E1010" s="423"/>
      <c r="F1010" s="424"/>
      <c r="G1010" s="425"/>
      <c r="H1010" s="651"/>
      <c r="I1010" s="420">
        <v>994.6</v>
      </c>
      <c r="J1010" s="420">
        <f t="shared" si="283"/>
        <v>994.6</v>
      </c>
      <c r="K1010" s="421">
        <f t="shared" si="280"/>
        <v>1181.68</v>
      </c>
      <c r="L1010" s="647" t="s">
        <v>2065</v>
      </c>
      <c r="M1010" s="576"/>
      <c r="N1010" s="576">
        <f t="shared" si="284"/>
        <v>0</v>
      </c>
      <c r="O1010" s="577">
        <f t="shared" si="276"/>
        <v>0</v>
      </c>
      <c r="P1010" s="578">
        <f t="shared" si="277"/>
        <v>0</v>
      </c>
      <c r="Q1010" s="765"/>
      <c r="R1010" s="576">
        <f t="shared" si="273"/>
        <v>0</v>
      </c>
      <c r="S1010" s="576">
        <f t="shared" si="273"/>
        <v>0</v>
      </c>
      <c r="T1010" s="577">
        <f t="shared" si="274"/>
        <v>0</v>
      </c>
      <c r="U1010" s="578">
        <f t="shared" si="275"/>
        <v>0</v>
      </c>
      <c r="V1010" s="579"/>
      <c r="W1010" s="566"/>
      <c r="X1010" s="586" t="str">
        <f t="shared" si="278"/>
        <v/>
      </c>
      <c r="Y1010" s="586" t="str">
        <f t="shared" si="285"/>
        <v/>
      </c>
      <c r="Z1010" s="586" t="str">
        <f t="shared" si="282"/>
        <v/>
      </c>
    </row>
    <row r="1011" spans="1:26" ht="23.25" hidden="1" thickBot="1" x14ac:dyDescent="0.25">
      <c r="A1011" s="567">
        <v>100596</v>
      </c>
      <c r="B1011" s="644">
        <v>100596</v>
      </c>
      <c r="C1011" s="645" t="s">
        <v>670</v>
      </c>
      <c r="D1011" s="422" t="s">
        <v>859</v>
      </c>
      <c r="E1011" s="423"/>
      <c r="F1011" s="424"/>
      <c r="G1011" s="425"/>
      <c r="H1011" s="651"/>
      <c r="I1011" s="420">
        <v>1120.68</v>
      </c>
      <c r="J1011" s="420">
        <f t="shared" si="283"/>
        <v>1120.68</v>
      </c>
      <c r="K1011" s="421">
        <f t="shared" si="280"/>
        <v>1331.48</v>
      </c>
      <c r="L1011" s="647" t="s">
        <v>2065</v>
      </c>
      <c r="M1011" s="576"/>
      <c r="N1011" s="576">
        <f t="shared" si="284"/>
        <v>0</v>
      </c>
      <c r="O1011" s="577">
        <f t="shared" si="276"/>
        <v>0</v>
      </c>
      <c r="P1011" s="578">
        <f t="shared" si="277"/>
        <v>0</v>
      </c>
      <c r="Q1011" s="765"/>
      <c r="R1011" s="576">
        <f t="shared" si="273"/>
        <v>0</v>
      </c>
      <c r="S1011" s="576">
        <f t="shared" si="273"/>
        <v>0</v>
      </c>
      <c r="T1011" s="577">
        <f t="shared" si="274"/>
        <v>0</v>
      </c>
      <c r="U1011" s="578">
        <f t="shared" si="275"/>
        <v>0</v>
      </c>
      <c r="V1011" s="579"/>
      <c r="W1011" s="566"/>
      <c r="X1011" s="586" t="str">
        <f t="shared" si="278"/>
        <v/>
      </c>
      <c r="Y1011" s="586" t="str">
        <f t="shared" si="285"/>
        <v/>
      </c>
      <c r="Z1011" s="586" t="str">
        <f t="shared" si="282"/>
        <v/>
      </c>
    </row>
    <row r="1012" spans="1:26" ht="34.5" hidden="1" thickBot="1" x14ac:dyDescent="0.25">
      <c r="A1012" s="567">
        <v>100597</v>
      </c>
      <c r="B1012" s="644">
        <v>100597</v>
      </c>
      <c r="C1012" s="645" t="s">
        <v>670</v>
      </c>
      <c r="D1012" s="422" t="s">
        <v>860</v>
      </c>
      <c r="E1012" s="423"/>
      <c r="F1012" s="424"/>
      <c r="G1012" s="425"/>
      <c r="H1012" s="651"/>
      <c r="I1012" s="420">
        <v>1147.5</v>
      </c>
      <c r="J1012" s="420">
        <f t="shared" si="283"/>
        <v>1147.5</v>
      </c>
      <c r="K1012" s="421">
        <f t="shared" si="280"/>
        <v>1363.34</v>
      </c>
      <c r="L1012" s="647" t="s">
        <v>2065</v>
      </c>
      <c r="M1012" s="576"/>
      <c r="N1012" s="576">
        <f t="shared" si="284"/>
        <v>0</v>
      </c>
      <c r="O1012" s="577">
        <f t="shared" si="276"/>
        <v>0</v>
      </c>
      <c r="P1012" s="578">
        <f t="shared" si="277"/>
        <v>0</v>
      </c>
      <c r="Q1012" s="765"/>
      <c r="R1012" s="576">
        <f t="shared" ref="R1012:S1075" si="286">M1012</f>
        <v>0</v>
      </c>
      <c r="S1012" s="576">
        <f t="shared" si="286"/>
        <v>0</v>
      </c>
      <c r="T1012" s="577">
        <f t="shared" ref="T1012:T1075" si="287">IF(ISBLANK(R1012),0,ROUND(K1012*R1012,2))</f>
        <v>0</v>
      </c>
      <c r="U1012" s="578">
        <f t="shared" ref="U1012:U1075" si="288">IF(ISBLANK(R1012),0,ROUND(R1012*S1012,2))</f>
        <v>0</v>
      </c>
      <c r="V1012" s="579"/>
      <c r="W1012" s="566"/>
      <c r="X1012" s="586" t="str">
        <f t="shared" si="278"/>
        <v/>
      </c>
      <c r="Y1012" s="586" t="str">
        <f t="shared" si="285"/>
        <v/>
      </c>
      <c r="Z1012" s="586" t="str">
        <f t="shared" si="282"/>
        <v/>
      </c>
    </row>
    <row r="1013" spans="1:26" ht="23.25" hidden="1" thickBot="1" x14ac:dyDescent="0.25">
      <c r="A1013" s="567">
        <v>100598</v>
      </c>
      <c r="B1013" s="644">
        <v>100598</v>
      </c>
      <c r="C1013" s="645" t="s">
        <v>670</v>
      </c>
      <c r="D1013" s="422" t="s">
        <v>861</v>
      </c>
      <c r="E1013" s="423"/>
      <c r="F1013" s="424"/>
      <c r="G1013" s="425"/>
      <c r="H1013" s="651"/>
      <c r="I1013" s="420">
        <v>1251.46</v>
      </c>
      <c r="J1013" s="420">
        <f t="shared" si="283"/>
        <v>1251.46</v>
      </c>
      <c r="K1013" s="421">
        <f t="shared" si="280"/>
        <v>1486.86</v>
      </c>
      <c r="L1013" s="647" t="s">
        <v>2065</v>
      </c>
      <c r="M1013" s="576"/>
      <c r="N1013" s="576">
        <f t="shared" si="284"/>
        <v>0</v>
      </c>
      <c r="O1013" s="577">
        <f t="shared" ref="O1013:O1076" si="289">IF(ISBLANK(M1013),0,ROUND(K1013*M1013,2))</f>
        <v>0</v>
      </c>
      <c r="P1013" s="578">
        <f t="shared" ref="P1013:P1076" si="290">IF(ISBLANK(N1013),0,ROUND(M1013*N1013,2))</f>
        <v>0</v>
      </c>
      <c r="Q1013" s="765"/>
      <c r="R1013" s="576">
        <f t="shared" si="286"/>
        <v>0</v>
      </c>
      <c r="S1013" s="576">
        <f t="shared" si="286"/>
        <v>0</v>
      </c>
      <c r="T1013" s="577">
        <f t="shared" si="287"/>
        <v>0</v>
      </c>
      <c r="U1013" s="578">
        <f t="shared" si="288"/>
        <v>0</v>
      </c>
      <c r="V1013" s="579"/>
      <c r="W1013" s="566"/>
      <c r="X1013" s="586" t="str">
        <f t="shared" si="278"/>
        <v/>
      </c>
      <c r="Y1013" s="586" t="str">
        <f t="shared" si="285"/>
        <v/>
      </c>
      <c r="Z1013" s="586" t="str">
        <f t="shared" si="282"/>
        <v/>
      </c>
    </row>
    <row r="1014" spans="1:26" ht="34.5" hidden="1" thickBot="1" x14ac:dyDescent="0.25">
      <c r="A1014" s="567">
        <v>100599</v>
      </c>
      <c r="B1014" s="644">
        <v>100599</v>
      </c>
      <c r="C1014" s="645" t="s">
        <v>670</v>
      </c>
      <c r="D1014" s="422" t="s">
        <v>862</v>
      </c>
      <c r="E1014" s="423"/>
      <c r="F1014" s="424"/>
      <c r="G1014" s="425"/>
      <c r="H1014" s="651"/>
      <c r="I1014" s="420">
        <v>514.44000000000005</v>
      </c>
      <c r="J1014" s="420">
        <f t="shared" si="283"/>
        <v>514.44000000000005</v>
      </c>
      <c r="K1014" s="421">
        <f t="shared" si="280"/>
        <v>611.21</v>
      </c>
      <c r="L1014" s="647" t="s">
        <v>2065</v>
      </c>
      <c r="M1014" s="576"/>
      <c r="N1014" s="576">
        <f t="shared" si="284"/>
        <v>0</v>
      </c>
      <c r="O1014" s="577">
        <f t="shared" si="289"/>
        <v>0</v>
      </c>
      <c r="P1014" s="578">
        <f t="shared" si="290"/>
        <v>0</v>
      </c>
      <c r="Q1014" s="765"/>
      <c r="R1014" s="576">
        <f t="shared" si="286"/>
        <v>0</v>
      </c>
      <c r="S1014" s="576">
        <f t="shared" si="286"/>
        <v>0</v>
      </c>
      <c r="T1014" s="577">
        <f t="shared" si="287"/>
        <v>0</v>
      </c>
      <c r="U1014" s="578">
        <f t="shared" si="288"/>
        <v>0</v>
      </c>
      <c r="V1014" s="579"/>
      <c r="W1014" s="566"/>
      <c r="X1014" s="586" t="str">
        <f t="shared" si="278"/>
        <v/>
      </c>
      <c r="Y1014" s="586" t="str">
        <f t="shared" si="285"/>
        <v/>
      </c>
      <c r="Z1014" s="586" t="str">
        <f t="shared" si="282"/>
        <v/>
      </c>
    </row>
    <row r="1015" spans="1:26" ht="34.5" hidden="1" thickBot="1" x14ac:dyDescent="0.25">
      <c r="A1015" s="567">
        <v>100600</v>
      </c>
      <c r="B1015" s="644">
        <v>100600</v>
      </c>
      <c r="C1015" s="645" t="s">
        <v>670</v>
      </c>
      <c r="D1015" s="422" t="s">
        <v>863</v>
      </c>
      <c r="E1015" s="423"/>
      <c r="F1015" s="424"/>
      <c r="G1015" s="425"/>
      <c r="H1015" s="651"/>
      <c r="I1015" s="420">
        <v>601.97</v>
      </c>
      <c r="J1015" s="420">
        <f t="shared" si="283"/>
        <v>601.97</v>
      </c>
      <c r="K1015" s="421">
        <f t="shared" si="280"/>
        <v>715.2</v>
      </c>
      <c r="L1015" s="647" t="s">
        <v>2065</v>
      </c>
      <c r="M1015" s="576"/>
      <c r="N1015" s="576">
        <f t="shared" si="284"/>
        <v>0</v>
      </c>
      <c r="O1015" s="577">
        <f t="shared" si="289"/>
        <v>0</v>
      </c>
      <c r="P1015" s="578">
        <f t="shared" si="290"/>
        <v>0</v>
      </c>
      <c r="Q1015" s="765"/>
      <c r="R1015" s="576">
        <f t="shared" si="286"/>
        <v>0</v>
      </c>
      <c r="S1015" s="576">
        <f t="shared" si="286"/>
        <v>0</v>
      </c>
      <c r="T1015" s="577">
        <f t="shared" si="287"/>
        <v>0</v>
      </c>
      <c r="U1015" s="578">
        <f t="shared" si="288"/>
        <v>0</v>
      </c>
      <c r="V1015" s="579"/>
      <c r="W1015" s="566"/>
      <c r="X1015" s="586" t="str">
        <f t="shared" si="278"/>
        <v/>
      </c>
      <c r="Y1015" s="586" t="str">
        <f t="shared" si="285"/>
        <v/>
      </c>
      <c r="Z1015" s="586" t="str">
        <f t="shared" si="282"/>
        <v/>
      </c>
    </row>
    <row r="1016" spans="1:26" ht="34.5" hidden="1" thickBot="1" x14ac:dyDescent="0.25">
      <c r="A1016" s="567">
        <v>100601</v>
      </c>
      <c r="B1016" s="644">
        <v>100601</v>
      </c>
      <c r="C1016" s="645" t="s">
        <v>670</v>
      </c>
      <c r="D1016" s="422" t="s">
        <v>864</v>
      </c>
      <c r="E1016" s="423"/>
      <c r="F1016" s="424"/>
      <c r="G1016" s="425"/>
      <c r="H1016" s="651"/>
      <c r="I1016" s="420">
        <v>748.11</v>
      </c>
      <c r="J1016" s="420">
        <f t="shared" si="283"/>
        <v>748.11</v>
      </c>
      <c r="K1016" s="421">
        <f t="shared" si="280"/>
        <v>888.83</v>
      </c>
      <c r="L1016" s="647" t="s">
        <v>2065</v>
      </c>
      <c r="M1016" s="576"/>
      <c r="N1016" s="576">
        <f t="shared" si="284"/>
        <v>0</v>
      </c>
      <c r="O1016" s="577">
        <f t="shared" si="289"/>
        <v>0</v>
      </c>
      <c r="P1016" s="578">
        <f t="shared" si="290"/>
        <v>0</v>
      </c>
      <c r="Q1016" s="765"/>
      <c r="R1016" s="576">
        <f t="shared" si="286"/>
        <v>0</v>
      </c>
      <c r="S1016" s="576">
        <f t="shared" si="286"/>
        <v>0</v>
      </c>
      <c r="T1016" s="577">
        <f t="shared" si="287"/>
        <v>0</v>
      </c>
      <c r="U1016" s="578">
        <f t="shared" si="288"/>
        <v>0</v>
      </c>
      <c r="V1016" s="579"/>
      <c r="W1016" s="566"/>
      <c r="X1016" s="586" t="str">
        <f t="shared" si="278"/>
        <v/>
      </c>
      <c r="Y1016" s="586" t="str">
        <f t="shared" si="285"/>
        <v/>
      </c>
      <c r="Z1016" s="586" t="str">
        <f t="shared" si="282"/>
        <v/>
      </c>
    </row>
    <row r="1017" spans="1:26" ht="34.5" hidden="1" thickBot="1" x14ac:dyDescent="0.25">
      <c r="A1017" s="567">
        <v>100602</v>
      </c>
      <c r="B1017" s="644">
        <v>100602</v>
      </c>
      <c r="C1017" s="645" t="s">
        <v>670</v>
      </c>
      <c r="D1017" s="422" t="s">
        <v>865</v>
      </c>
      <c r="E1017" s="423"/>
      <c r="F1017" s="424"/>
      <c r="G1017" s="425"/>
      <c r="H1017" s="651"/>
      <c r="I1017" s="420">
        <v>930.41</v>
      </c>
      <c r="J1017" s="420">
        <f t="shared" si="283"/>
        <v>930.41</v>
      </c>
      <c r="K1017" s="421">
        <f t="shared" si="280"/>
        <v>1105.42</v>
      </c>
      <c r="L1017" s="647" t="s">
        <v>2065</v>
      </c>
      <c r="M1017" s="576"/>
      <c r="N1017" s="576">
        <f t="shared" si="284"/>
        <v>0</v>
      </c>
      <c r="O1017" s="577">
        <f t="shared" si="289"/>
        <v>0</v>
      </c>
      <c r="P1017" s="578">
        <f t="shared" si="290"/>
        <v>0</v>
      </c>
      <c r="Q1017" s="765"/>
      <c r="R1017" s="576">
        <f t="shared" si="286"/>
        <v>0</v>
      </c>
      <c r="S1017" s="576">
        <f t="shared" si="286"/>
        <v>0</v>
      </c>
      <c r="T1017" s="577">
        <f t="shared" si="287"/>
        <v>0</v>
      </c>
      <c r="U1017" s="578">
        <f t="shared" si="288"/>
        <v>0</v>
      </c>
      <c r="V1017" s="579"/>
      <c r="W1017" s="566"/>
      <c r="X1017" s="586" t="str">
        <f t="shared" si="278"/>
        <v/>
      </c>
      <c r="Y1017" s="586" t="str">
        <f t="shared" si="285"/>
        <v/>
      </c>
      <c r="Z1017" s="586" t="str">
        <f t="shared" si="282"/>
        <v/>
      </c>
    </row>
    <row r="1018" spans="1:26" ht="34.5" hidden="1" thickBot="1" x14ac:dyDescent="0.25">
      <c r="A1018" s="567">
        <v>100603</v>
      </c>
      <c r="B1018" s="644">
        <v>100603</v>
      </c>
      <c r="C1018" s="645" t="s">
        <v>670</v>
      </c>
      <c r="D1018" s="422" t="s">
        <v>866</v>
      </c>
      <c r="E1018" s="423"/>
      <c r="F1018" s="424"/>
      <c r="G1018" s="425"/>
      <c r="H1018" s="651"/>
      <c r="I1018" s="420">
        <v>1400.05</v>
      </c>
      <c r="J1018" s="420">
        <f t="shared" si="283"/>
        <v>1400.05</v>
      </c>
      <c r="K1018" s="421">
        <f t="shared" si="280"/>
        <v>1663.4</v>
      </c>
      <c r="L1018" s="647" t="s">
        <v>2065</v>
      </c>
      <c r="M1018" s="576"/>
      <c r="N1018" s="576">
        <f t="shared" si="284"/>
        <v>0</v>
      </c>
      <c r="O1018" s="577">
        <f t="shared" si="289"/>
        <v>0</v>
      </c>
      <c r="P1018" s="578">
        <f t="shared" si="290"/>
        <v>0</v>
      </c>
      <c r="Q1018" s="765"/>
      <c r="R1018" s="576">
        <f t="shared" si="286"/>
        <v>0</v>
      </c>
      <c r="S1018" s="576">
        <f t="shared" si="286"/>
        <v>0</v>
      </c>
      <c r="T1018" s="577">
        <f t="shared" si="287"/>
        <v>0</v>
      </c>
      <c r="U1018" s="578">
        <f t="shared" si="288"/>
        <v>0</v>
      </c>
      <c r="V1018" s="579"/>
      <c r="W1018" s="566"/>
      <c r="X1018" s="586" t="str">
        <f t="shared" si="278"/>
        <v/>
      </c>
      <c r="Y1018" s="586" t="str">
        <f t="shared" si="285"/>
        <v/>
      </c>
      <c r="Z1018" s="586" t="str">
        <f t="shared" si="282"/>
        <v/>
      </c>
    </row>
    <row r="1019" spans="1:26" ht="34.5" hidden="1" thickBot="1" x14ac:dyDescent="0.25">
      <c r="A1019" s="567">
        <v>100604</v>
      </c>
      <c r="B1019" s="644">
        <v>100604</v>
      </c>
      <c r="C1019" s="645" t="s">
        <v>670</v>
      </c>
      <c r="D1019" s="422" t="s">
        <v>867</v>
      </c>
      <c r="E1019" s="423"/>
      <c r="F1019" s="424"/>
      <c r="G1019" s="425"/>
      <c r="H1019" s="651"/>
      <c r="I1019" s="420">
        <v>642.01</v>
      </c>
      <c r="J1019" s="420">
        <f t="shared" si="283"/>
        <v>642.01</v>
      </c>
      <c r="K1019" s="421">
        <f t="shared" si="280"/>
        <v>762.77</v>
      </c>
      <c r="L1019" s="647" t="s">
        <v>2065</v>
      </c>
      <c r="M1019" s="576"/>
      <c r="N1019" s="576">
        <f t="shared" si="284"/>
        <v>0</v>
      </c>
      <c r="O1019" s="577">
        <f t="shared" si="289"/>
        <v>0</v>
      </c>
      <c r="P1019" s="578">
        <f t="shared" si="290"/>
        <v>0</v>
      </c>
      <c r="Q1019" s="765"/>
      <c r="R1019" s="576">
        <f t="shared" si="286"/>
        <v>0</v>
      </c>
      <c r="S1019" s="576">
        <f t="shared" si="286"/>
        <v>0</v>
      </c>
      <c r="T1019" s="577">
        <f t="shared" si="287"/>
        <v>0</v>
      </c>
      <c r="U1019" s="578">
        <f t="shared" si="288"/>
        <v>0</v>
      </c>
      <c r="V1019" s="579"/>
      <c r="W1019" s="566"/>
      <c r="X1019" s="586" t="str">
        <f t="shared" si="278"/>
        <v/>
      </c>
      <c r="Y1019" s="586" t="str">
        <f t="shared" si="285"/>
        <v/>
      </c>
      <c r="Z1019" s="586" t="str">
        <f t="shared" si="282"/>
        <v/>
      </c>
    </row>
    <row r="1020" spans="1:26" ht="34.5" hidden="1" thickBot="1" x14ac:dyDescent="0.25">
      <c r="A1020" s="567">
        <v>100605</v>
      </c>
      <c r="B1020" s="644">
        <v>100605</v>
      </c>
      <c r="C1020" s="645" t="s">
        <v>670</v>
      </c>
      <c r="D1020" s="422" t="s">
        <v>868</v>
      </c>
      <c r="E1020" s="423"/>
      <c r="F1020" s="424"/>
      <c r="G1020" s="425"/>
      <c r="H1020" s="651"/>
      <c r="I1020" s="420">
        <v>979.6</v>
      </c>
      <c r="J1020" s="420">
        <f t="shared" si="283"/>
        <v>979.6</v>
      </c>
      <c r="K1020" s="421">
        <f t="shared" si="280"/>
        <v>1163.8599999999999</v>
      </c>
      <c r="L1020" s="647" t="s">
        <v>2065</v>
      </c>
      <c r="M1020" s="576"/>
      <c r="N1020" s="576">
        <f t="shared" si="284"/>
        <v>0</v>
      </c>
      <c r="O1020" s="577">
        <f t="shared" si="289"/>
        <v>0</v>
      </c>
      <c r="P1020" s="578">
        <f t="shared" si="290"/>
        <v>0</v>
      </c>
      <c r="Q1020" s="765"/>
      <c r="R1020" s="576">
        <f t="shared" si="286"/>
        <v>0</v>
      </c>
      <c r="S1020" s="576">
        <f t="shared" si="286"/>
        <v>0</v>
      </c>
      <c r="T1020" s="577">
        <f t="shared" si="287"/>
        <v>0</v>
      </c>
      <c r="U1020" s="578">
        <f t="shared" si="288"/>
        <v>0</v>
      </c>
      <c r="V1020" s="579"/>
      <c r="W1020" s="566"/>
      <c r="X1020" s="586" t="str">
        <f t="shared" si="278"/>
        <v/>
      </c>
      <c r="Y1020" s="586" t="str">
        <f t="shared" si="285"/>
        <v/>
      </c>
      <c r="Z1020" s="586" t="str">
        <f t="shared" si="282"/>
        <v/>
      </c>
    </row>
    <row r="1021" spans="1:26" ht="34.5" hidden="1" thickBot="1" x14ac:dyDescent="0.25">
      <c r="A1021" s="567">
        <v>100606</v>
      </c>
      <c r="B1021" s="644">
        <v>100606</v>
      </c>
      <c r="C1021" s="645" t="s">
        <v>670</v>
      </c>
      <c r="D1021" s="422" t="s">
        <v>869</v>
      </c>
      <c r="E1021" s="423"/>
      <c r="F1021" s="424"/>
      <c r="G1021" s="425"/>
      <c r="H1021" s="651"/>
      <c r="I1021" s="420">
        <v>1461.07</v>
      </c>
      <c r="J1021" s="420">
        <f t="shared" si="283"/>
        <v>1461.07</v>
      </c>
      <c r="K1021" s="421">
        <f t="shared" si="280"/>
        <v>1735.9</v>
      </c>
      <c r="L1021" s="647" t="s">
        <v>2065</v>
      </c>
      <c r="M1021" s="576"/>
      <c r="N1021" s="576">
        <f t="shared" si="284"/>
        <v>0</v>
      </c>
      <c r="O1021" s="577">
        <f t="shared" si="289"/>
        <v>0</v>
      </c>
      <c r="P1021" s="578">
        <f t="shared" si="290"/>
        <v>0</v>
      </c>
      <c r="Q1021" s="765"/>
      <c r="R1021" s="576">
        <f t="shared" si="286"/>
        <v>0</v>
      </c>
      <c r="S1021" s="576">
        <f t="shared" si="286"/>
        <v>0</v>
      </c>
      <c r="T1021" s="577">
        <f t="shared" si="287"/>
        <v>0</v>
      </c>
      <c r="U1021" s="578">
        <f t="shared" si="288"/>
        <v>0</v>
      </c>
      <c r="V1021" s="579"/>
      <c r="W1021" s="566"/>
      <c r="X1021" s="586" t="str">
        <f t="shared" ref="X1021:X1084" si="291">IF(W1021="X","x",IF(W1021="xx","x",IF(W1021="xy","x",IF(W1021="y","x",IF(OR(P1021&gt;0,U1021&gt;0),"x","")))))</f>
        <v/>
      </c>
      <c r="Y1021" s="586" t="str">
        <f t="shared" si="285"/>
        <v/>
      </c>
      <c r="Z1021" s="586" t="str">
        <f t="shared" si="282"/>
        <v/>
      </c>
    </row>
    <row r="1022" spans="1:26" ht="34.5" hidden="1" thickBot="1" x14ac:dyDescent="0.25">
      <c r="A1022" s="567">
        <v>100607</v>
      </c>
      <c r="B1022" s="644">
        <v>100607</v>
      </c>
      <c r="C1022" s="645" t="s">
        <v>670</v>
      </c>
      <c r="D1022" s="422" t="s">
        <v>870</v>
      </c>
      <c r="E1022" s="423"/>
      <c r="F1022" s="424"/>
      <c r="G1022" s="425"/>
      <c r="H1022" s="651"/>
      <c r="I1022" s="420">
        <v>661.2</v>
      </c>
      <c r="J1022" s="420">
        <f t="shared" si="283"/>
        <v>661.2</v>
      </c>
      <c r="K1022" s="421">
        <f t="shared" si="280"/>
        <v>785.57</v>
      </c>
      <c r="L1022" s="647" t="s">
        <v>2065</v>
      </c>
      <c r="M1022" s="576"/>
      <c r="N1022" s="576">
        <f t="shared" si="284"/>
        <v>0</v>
      </c>
      <c r="O1022" s="577">
        <f t="shared" si="289"/>
        <v>0</v>
      </c>
      <c r="P1022" s="578">
        <f t="shared" si="290"/>
        <v>0</v>
      </c>
      <c r="Q1022" s="765"/>
      <c r="R1022" s="576">
        <f t="shared" si="286"/>
        <v>0</v>
      </c>
      <c r="S1022" s="576">
        <f t="shared" si="286"/>
        <v>0</v>
      </c>
      <c r="T1022" s="577">
        <f t="shared" si="287"/>
        <v>0</v>
      </c>
      <c r="U1022" s="578">
        <f t="shared" si="288"/>
        <v>0</v>
      </c>
      <c r="V1022" s="579"/>
      <c r="W1022" s="566"/>
      <c r="X1022" s="586" t="str">
        <f t="shared" si="291"/>
        <v/>
      </c>
      <c r="Y1022" s="586" t="str">
        <f t="shared" si="285"/>
        <v/>
      </c>
      <c r="Z1022" s="586" t="str">
        <f t="shared" si="282"/>
        <v/>
      </c>
    </row>
    <row r="1023" spans="1:26" ht="34.5" hidden="1" thickBot="1" x14ac:dyDescent="0.25">
      <c r="A1023" s="567">
        <v>100608</v>
      </c>
      <c r="B1023" s="644">
        <v>100608</v>
      </c>
      <c r="C1023" s="645" t="s">
        <v>670</v>
      </c>
      <c r="D1023" s="422" t="s">
        <v>871</v>
      </c>
      <c r="E1023" s="423"/>
      <c r="F1023" s="424"/>
      <c r="G1023" s="425"/>
      <c r="H1023" s="651"/>
      <c r="I1023" s="420">
        <v>1003.86</v>
      </c>
      <c r="J1023" s="420">
        <f t="shared" si="283"/>
        <v>1003.86</v>
      </c>
      <c r="K1023" s="421">
        <f t="shared" si="280"/>
        <v>1192.69</v>
      </c>
      <c r="L1023" s="647" t="s">
        <v>2065</v>
      </c>
      <c r="M1023" s="576"/>
      <c r="N1023" s="576">
        <f t="shared" si="284"/>
        <v>0</v>
      </c>
      <c r="O1023" s="577">
        <f t="shared" si="289"/>
        <v>0</v>
      </c>
      <c r="P1023" s="578">
        <f t="shared" si="290"/>
        <v>0</v>
      </c>
      <c r="Q1023" s="765"/>
      <c r="R1023" s="576">
        <f t="shared" si="286"/>
        <v>0</v>
      </c>
      <c r="S1023" s="576">
        <f t="shared" si="286"/>
        <v>0</v>
      </c>
      <c r="T1023" s="577">
        <f t="shared" si="287"/>
        <v>0</v>
      </c>
      <c r="U1023" s="578">
        <f t="shared" si="288"/>
        <v>0</v>
      </c>
      <c r="V1023" s="579"/>
      <c r="W1023" s="566"/>
      <c r="X1023" s="586" t="str">
        <f t="shared" si="291"/>
        <v/>
      </c>
      <c r="Y1023" s="586" t="str">
        <f t="shared" si="285"/>
        <v/>
      </c>
      <c r="Z1023" s="586" t="str">
        <f t="shared" si="282"/>
        <v/>
      </c>
    </row>
    <row r="1024" spans="1:26" ht="34.5" hidden="1" thickBot="1" x14ac:dyDescent="0.25">
      <c r="A1024" s="567">
        <v>100609</v>
      </c>
      <c r="B1024" s="644">
        <v>100609</v>
      </c>
      <c r="C1024" s="645" t="s">
        <v>670</v>
      </c>
      <c r="D1024" s="422" t="s">
        <v>872</v>
      </c>
      <c r="E1024" s="423"/>
      <c r="F1024" s="424"/>
      <c r="G1024" s="425"/>
      <c r="H1024" s="651"/>
      <c r="I1024" s="420">
        <v>1493.6</v>
      </c>
      <c r="J1024" s="420">
        <f t="shared" si="283"/>
        <v>1493.6</v>
      </c>
      <c r="K1024" s="421">
        <f t="shared" si="280"/>
        <v>1774.55</v>
      </c>
      <c r="L1024" s="647" t="s">
        <v>2065</v>
      </c>
      <c r="M1024" s="576"/>
      <c r="N1024" s="576">
        <f t="shared" si="284"/>
        <v>0</v>
      </c>
      <c r="O1024" s="577">
        <f t="shared" si="289"/>
        <v>0</v>
      </c>
      <c r="P1024" s="578">
        <f t="shared" si="290"/>
        <v>0</v>
      </c>
      <c r="Q1024" s="765"/>
      <c r="R1024" s="576">
        <f t="shared" si="286"/>
        <v>0</v>
      </c>
      <c r="S1024" s="576">
        <f t="shared" si="286"/>
        <v>0</v>
      </c>
      <c r="T1024" s="577">
        <f t="shared" si="287"/>
        <v>0</v>
      </c>
      <c r="U1024" s="578">
        <f t="shared" si="288"/>
        <v>0</v>
      </c>
      <c r="V1024" s="579"/>
      <c r="W1024" s="566"/>
      <c r="X1024" s="586" t="str">
        <f t="shared" si="291"/>
        <v/>
      </c>
      <c r="Y1024" s="586" t="str">
        <f t="shared" si="285"/>
        <v/>
      </c>
      <c r="Z1024" s="586" t="str">
        <f t="shared" si="282"/>
        <v/>
      </c>
    </row>
    <row r="1025" spans="1:26" ht="34.5" hidden="1" thickBot="1" x14ac:dyDescent="0.25">
      <c r="A1025" s="567">
        <v>100610</v>
      </c>
      <c r="B1025" s="644">
        <v>100610</v>
      </c>
      <c r="C1025" s="645" t="s">
        <v>670</v>
      </c>
      <c r="D1025" s="422" t="s">
        <v>873</v>
      </c>
      <c r="E1025" s="423"/>
      <c r="F1025" s="424"/>
      <c r="G1025" s="425"/>
      <c r="H1025" s="651"/>
      <c r="I1025" s="420">
        <v>680.33</v>
      </c>
      <c r="J1025" s="420">
        <f t="shared" si="283"/>
        <v>680.33</v>
      </c>
      <c r="K1025" s="421">
        <f t="shared" si="280"/>
        <v>808.3</v>
      </c>
      <c r="L1025" s="647" t="s">
        <v>2065</v>
      </c>
      <c r="M1025" s="576"/>
      <c r="N1025" s="576">
        <f t="shared" si="284"/>
        <v>0</v>
      </c>
      <c r="O1025" s="577">
        <f t="shared" si="289"/>
        <v>0</v>
      </c>
      <c r="P1025" s="578">
        <f t="shared" si="290"/>
        <v>0</v>
      </c>
      <c r="Q1025" s="765"/>
      <c r="R1025" s="576">
        <f t="shared" si="286"/>
        <v>0</v>
      </c>
      <c r="S1025" s="576">
        <f t="shared" si="286"/>
        <v>0</v>
      </c>
      <c r="T1025" s="577">
        <f t="shared" si="287"/>
        <v>0</v>
      </c>
      <c r="U1025" s="578">
        <f t="shared" si="288"/>
        <v>0</v>
      </c>
      <c r="V1025" s="579"/>
      <c r="W1025" s="566"/>
      <c r="X1025" s="586" t="str">
        <f t="shared" si="291"/>
        <v/>
      </c>
      <c r="Y1025" s="586" t="str">
        <f t="shared" si="285"/>
        <v/>
      </c>
      <c r="Z1025" s="586" t="str">
        <f t="shared" si="282"/>
        <v/>
      </c>
    </row>
    <row r="1026" spans="1:26" ht="34.5" hidden="1" thickBot="1" x14ac:dyDescent="0.25">
      <c r="A1026" s="567">
        <v>100611</v>
      </c>
      <c r="B1026" s="644">
        <v>100611</v>
      </c>
      <c r="C1026" s="645" t="s">
        <v>670</v>
      </c>
      <c r="D1026" s="422" t="s">
        <v>874</v>
      </c>
      <c r="E1026" s="423"/>
      <c r="F1026" s="424"/>
      <c r="G1026" s="425"/>
      <c r="H1026" s="651"/>
      <c r="I1026" s="420">
        <v>834.56</v>
      </c>
      <c r="J1026" s="420">
        <f t="shared" si="283"/>
        <v>834.56</v>
      </c>
      <c r="K1026" s="421">
        <f t="shared" si="280"/>
        <v>991.54</v>
      </c>
      <c r="L1026" s="647" t="s">
        <v>2065</v>
      </c>
      <c r="M1026" s="576"/>
      <c r="N1026" s="576">
        <f t="shared" si="284"/>
        <v>0</v>
      </c>
      <c r="O1026" s="577">
        <f t="shared" si="289"/>
        <v>0</v>
      </c>
      <c r="P1026" s="578">
        <f t="shared" si="290"/>
        <v>0</v>
      </c>
      <c r="Q1026" s="765"/>
      <c r="R1026" s="576">
        <f t="shared" si="286"/>
        <v>0</v>
      </c>
      <c r="S1026" s="576">
        <f t="shared" si="286"/>
        <v>0</v>
      </c>
      <c r="T1026" s="577">
        <f t="shared" si="287"/>
        <v>0</v>
      </c>
      <c r="U1026" s="578">
        <f t="shared" si="288"/>
        <v>0</v>
      </c>
      <c r="V1026" s="579"/>
      <c r="W1026" s="566"/>
      <c r="X1026" s="586" t="str">
        <f t="shared" si="291"/>
        <v/>
      </c>
      <c r="Y1026" s="586" t="str">
        <f t="shared" si="285"/>
        <v/>
      </c>
      <c r="Z1026" s="586" t="str">
        <f t="shared" si="282"/>
        <v/>
      </c>
    </row>
    <row r="1027" spans="1:26" ht="34.5" hidden="1" thickBot="1" x14ac:dyDescent="0.25">
      <c r="A1027" s="567">
        <v>100612</v>
      </c>
      <c r="B1027" s="644">
        <v>100612</v>
      </c>
      <c r="C1027" s="645" t="s">
        <v>670</v>
      </c>
      <c r="D1027" s="422" t="s">
        <v>875</v>
      </c>
      <c r="E1027" s="423"/>
      <c r="F1027" s="424"/>
      <c r="G1027" s="425"/>
      <c r="H1027" s="651"/>
      <c r="I1027" s="420">
        <v>1027.78</v>
      </c>
      <c r="J1027" s="420">
        <f t="shared" si="283"/>
        <v>1027.78</v>
      </c>
      <c r="K1027" s="421">
        <f t="shared" si="280"/>
        <v>1221.1099999999999</v>
      </c>
      <c r="L1027" s="647" t="s">
        <v>2065</v>
      </c>
      <c r="M1027" s="576"/>
      <c r="N1027" s="576">
        <f t="shared" si="284"/>
        <v>0</v>
      </c>
      <c r="O1027" s="577">
        <f t="shared" si="289"/>
        <v>0</v>
      </c>
      <c r="P1027" s="578">
        <f t="shared" si="290"/>
        <v>0</v>
      </c>
      <c r="Q1027" s="765"/>
      <c r="R1027" s="576">
        <f t="shared" si="286"/>
        <v>0</v>
      </c>
      <c r="S1027" s="576">
        <f t="shared" si="286"/>
        <v>0</v>
      </c>
      <c r="T1027" s="577">
        <f t="shared" si="287"/>
        <v>0</v>
      </c>
      <c r="U1027" s="578">
        <f t="shared" si="288"/>
        <v>0</v>
      </c>
      <c r="V1027" s="579"/>
      <c r="W1027" s="566"/>
      <c r="X1027" s="586" t="str">
        <f t="shared" si="291"/>
        <v/>
      </c>
      <c r="Y1027" s="586" t="str">
        <f t="shared" si="285"/>
        <v/>
      </c>
      <c r="Z1027" s="586" t="str">
        <f t="shared" si="282"/>
        <v/>
      </c>
    </row>
    <row r="1028" spans="1:26" ht="34.5" hidden="1" thickBot="1" x14ac:dyDescent="0.25">
      <c r="A1028" s="567">
        <v>100613</v>
      </c>
      <c r="B1028" s="644">
        <v>100613</v>
      </c>
      <c r="C1028" s="645" t="s">
        <v>670</v>
      </c>
      <c r="D1028" s="422" t="s">
        <v>876</v>
      </c>
      <c r="E1028" s="423"/>
      <c r="F1028" s="424"/>
      <c r="G1028" s="425"/>
      <c r="H1028" s="651"/>
      <c r="I1028" s="420">
        <v>1525.46</v>
      </c>
      <c r="J1028" s="420">
        <f t="shared" si="283"/>
        <v>1525.46</v>
      </c>
      <c r="K1028" s="421">
        <f t="shared" si="280"/>
        <v>1812.4</v>
      </c>
      <c r="L1028" s="647" t="s">
        <v>2065</v>
      </c>
      <c r="M1028" s="576"/>
      <c r="N1028" s="576">
        <f t="shared" si="284"/>
        <v>0</v>
      </c>
      <c r="O1028" s="577">
        <f t="shared" si="289"/>
        <v>0</v>
      </c>
      <c r="P1028" s="578">
        <f t="shared" si="290"/>
        <v>0</v>
      </c>
      <c r="Q1028" s="765"/>
      <c r="R1028" s="576">
        <f t="shared" si="286"/>
        <v>0</v>
      </c>
      <c r="S1028" s="576">
        <f t="shared" si="286"/>
        <v>0</v>
      </c>
      <c r="T1028" s="577">
        <f t="shared" si="287"/>
        <v>0</v>
      </c>
      <c r="U1028" s="578">
        <f t="shared" si="288"/>
        <v>0</v>
      </c>
      <c r="V1028" s="579"/>
      <c r="W1028" s="566"/>
      <c r="X1028" s="586" t="str">
        <f t="shared" si="291"/>
        <v/>
      </c>
      <c r="Y1028" s="586" t="str">
        <f t="shared" si="285"/>
        <v/>
      </c>
      <c r="Z1028" s="586" t="str">
        <f t="shared" si="282"/>
        <v/>
      </c>
    </row>
    <row r="1029" spans="1:26" ht="34.5" hidden="1" thickBot="1" x14ac:dyDescent="0.25">
      <c r="A1029" s="567">
        <v>100614</v>
      </c>
      <c r="B1029" s="644">
        <v>100614</v>
      </c>
      <c r="C1029" s="645" t="s">
        <v>670</v>
      </c>
      <c r="D1029" s="422" t="s">
        <v>877</v>
      </c>
      <c r="E1029" s="423"/>
      <c r="F1029" s="424"/>
      <c r="G1029" s="425"/>
      <c r="H1029" s="651"/>
      <c r="I1029" s="420">
        <v>877.14</v>
      </c>
      <c r="J1029" s="420">
        <f t="shared" si="283"/>
        <v>877.14</v>
      </c>
      <c r="K1029" s="421">
        <f t="shared" si="280"/>
        <v>1042.1300000000001</v>
      </c>
      <c r="L1029" s="647" t="s">
        <v>2065</v>
      </c>
      <c r="M1029" s="576"/>
      <c r="N1029" s="576">
        <f t="shared" si="284"/>
        <v>0</v>
      </c>
      <c r="O1029" s="577">
        <f t="shared" si="289"/>
        <v>0</v>
      </c>
      <c r="P1029" s="578">
        <f t="shared" si="290"/>
        <v>0</v>
      </c>
      <c r="Q1029" s="765"/>
      <c r="R1029" s="576">
        <f t="shared" si="286"/>
        <v>0</v>
      </c>
      <c r="S1029" s="576">
        <f t="shared" si="286"/>
        <v>0</v>
      </c>
      <c r="T1029" s="577">
        <f t="shared" si="287"/>
        <v>0</v>
      </c>
      <c r="U1029" s="578">
        <f t="shared" si="288"/>
        <v>0</v>
      </c>
      <c r="V1029" s="579"/>
      <c r="W1029" s="566"/>
      <c r="X1029" s="586" t="str">
        <f t="shared" si="291"/>
        <v/>
      </c>
      <c r="Y1029" s="586" t="str">
        <f t="shared" si="285"/>
        <v/>
      </c>
      <c r="Z1029" s="586" t="str">
        <f t="shared" si="282"/>
        <v/>
      </c>
    </row>
    <row r="1030" spans="1:26" ht="34.5" hidden="1" thickBot="1" x14ac:dyDescent="0.25">
      <c r="A1030" s="567">
        <v>100615</v>
      </c>
      <c r="B1030" s="644">
        <v>100615</v>
      </c>
      <c r="C1030" s="645" t="s">
        <v>670</v>
      </c>
      <c r="D1030" s="422" t="s">
        <v>878</v>
      </c>
      <c r="E1030" s="423"/>
      <c r="F1030" s="424"/>
      <c r="G1030" s="425"/>
      <c r="H1030" s="651"/>
      <c r="I1030" s="420">
        <v>1075.3</v>
      </c>
      <c r="J1030" s="420">
        <f t="shared" si="283"/>
        <v>1075.3</v>
      </c>
      <c r="K1030" s="421">
        <f t="shared" si="280"/>
        <v>1277.56</v>
      </c>
      <c r="L1030" s="647" t="s">
        <v>2065</v>
      </c>
      <c r="M1030" s="576"/>
      <c r="N1030" s="576">
        <f t="shared" si="284"/>
        <v>0</v>
      </c>
      <c r="O1030" s="577">
        <f t="shared" si="289"/>
        <v>0</v>
      </c>
      <c r="P1030" s="578">
        <f t="shared" si="290"/>
        <v>0</v>
      </c>
      <c r="Q1030" s="765"/>
      <c r="R1030" s="576">
        <f t="shared" si="286"/>
        <v>0</v>
      </c>
      <c r="S1030" s="576">
        <f t="shared" si="286"/>
        <v>0</v>
      </c>
      <c r="T1030" s="577">
        <f t="shared" si="287"/>
        <v>0</v>
      </c>
      <c r="U1030" s="578">
        <f t="shared" si="288"/>
        <v>0</v>
      </c>
      <c r="V1030" s="579"/>
      <c r="W1030" s="566"/>
      <c r="X1030" s="586" t="str">
        <f t="shared" si="291"/>
        <v/>
      </c>
      <c r="Y1030" s="586" t="str">
        <f t="shared" si="285"/>
        <v/>
      </c>
      <c r="Z1030" s="586" t="str">
        <f t="shared" si="282"/>
        <v/>
      </c>
    </row>
    <row r="1031" spans="1:26" ht="34.5" hidden="1" thickBot="1" x14ac:dyDescent="0.25">
      <c r="A1031" s="567">
        <v>100616</v>
      </c>
      <c r="B1031" s="644">
        <v>100616</v>
      </c>
      <c r="C1031" s="645" t="s">
        <v>670</v>
      </c>
      <c r="D1031" s="422" t="s">
        <v>879</v>
      </c>
      <c r="E1031" s="423"/>
      <c r="F1031" s="424"/>
      <c r="G1031" s="425"/>
      <c r="H1031" s="651"/>
      <c r="I1031" s="420">
        <v>1592.3</v>
      </c>
      <c r="J1031" s="420">
        <f t="shared" si="283"/>
        <v>1592.3</v>
      </c>
      <c r="K1031" s="421">
        <f t="shared" si="280"/>
        <v>1891.81</v>
      </c>
      <c r="L1031" s="647" t="s">
        <v>2065</v>
      </c>
      <c r="M1031" s="576"/>
      <c r="N1031" s="576">
        <f t="shared" si="284"/>
        <v>0</v>
      </c>
      <c r="O1031" s="577">
        <f t="shared" si="289"/>
        <v>0</v>
      </c>
      <c r="P1031" s="578">
        <f t="shared" si="290"/>
        <v>0</v>
      </c>
      <c r="Q1031" s="765"/>
      <c r="R1031" s="576">
        <f t="shared" si="286"/>
        <v>0</v>
      </c>
      <c r="S1031" s="576">
        <f t="shared" si="286"/>
        <v>0</v>
      </c>
      <c r="T1031" s="577">
        <f t="shared" si="287"/>
        <v>0</v>
      </c>
      <c r="U1031" s="578">
        <f t="shared" si="288"/>
        <v>0</v>
      </c>
      <c r="V1031" s="579"/>
      <c r="W1031" s="566"/>
      <c r="X1031" s="586" t="str">
        <f t="shared" si="291"/>
        <v/>
      </c>
      <c r="Y1031" s="586" t="str">
        <f t="shared" si="285"/>
        <v/>
      </c>
      <c r="Z1031" s="586" t="str">
        <f t="shared" si="282"/>
        <v/>
      </c>
    </row>
    <row r="1032" spans="1:26" ht="34.5" hidden="1" thickBot="1" x14ac:dyDescent="0.25">
      <c r="A1032" s="567">
        <v>100617</v>
      </c>
      <c r="B1032" s="644">
        <v>100617</v>
      </c>
      <c r="C1032" s="645" t="s">
        <v>670</v>
      </c>
      <c r="D1032" s="422" t="s">
        <v>880</v>
      </c>
      <c r="E1032" s="423"/>
      <c r="F1032" s="424"/>
      <c r="G1032" s="425"/>
      <c r="H1032" s="651"/>
      <c r="I1032" s="420">
        <v>1122.68</v>
      </c>
      <c r="J1032" s="420">
        <f t="shared" si="283"/>
        <v>1122.68</v>
      </c>
      <c r="K1032" s="421">
        <f t="shared" si="280"/>
        <v>1333.86</v>
      </c>
      <c r="L1032" s="647" t="s">
        <v>2065</v>
      </c>
      <c r="M1032" s="576"/>
      <c r="N1032" s="576">
        <f t="shared" si="284"/>
        <v>0</v>
      </c>
      <c r="O1032" s="577">
        <f t="shared" si="289"/>
        <v>0</v>
      </c>
      <c r="P1032" s="578">
        <f t="shared" si="290"/>
        <v>0</v>
      </c>
      <c r="Q1032" s="765"/>
      <c r="R1032" s="576">
        <f t="shared" si="286"/>
        <v>0</v>
      </c>
      <c r="S1032" s="576">
        <f t="shared" si="286"/>
        <v>0</v>
      </c>
      <c r="T1032" s="577">
        <f t="shared" si="287"/>
        <v>0</v>
      </c>
      <c r="U1032" s="578">
        <f t="shared" si="288"/>
        <v>0</v>
      </c>
      <c r="V1032" s="579"/>
      <c r="W1032" s="566"/>
      <c r="X1032" s="586" t="str">
        <f t="shared" si="291"/>
        <v/>
      </c>
      <c r="Y1032" s="586" t="str">
        <f t="shared" si="285"/>
        <v/>
      </c>
      <c r="Z1032" s="586" t="str">
        <f t="shared" si="282"/>
        <v/>
      </c>
    </row>
    <row r="1033" spans="1:26" ht="34.5" hidden="1" thickBot="1" x14ac:dyDescent="0.25">
      <c r="A1033" s="567">
        <v>100618</v>
      </c>
      <c r="B1033" s="644">
        <v>100618</v>
      </c>
      <c r="C1033" s="645" t="s">
        <v>670</v>
      </c>
      <c r="D1033" s="422" t="s">
        <v>881</v>
      </c>
      <c r="E1033" s="423"/>
      <c r="F1033" s="424"/>
      <c r="G1033" s="425"/>
      <c r="H1033" s="651"/>
      <c r="I1033" s="420">
        <v>1662.73</v>
      </c>
      <c r="J1033" s="420">
        <f t="shared" si="283"/>
        <v>1662.73</v>
      </c>
      <c r="K1033" s="421">
        <f t="shared" ref="K1033:K1096" si="292">IF(ISBLANK(I1033),0,ROUND(J1033*(1+$F$10)*(1+$F$11*E1033),2))</f>
        <v>1975.49</v>
      </c>
      <c r="L1033" s="647" t="s">
        <v>2065</v>
      </c>
      <c r="M1033" s="576"/>
      <c r="N1033" s="576">
        <f t="shared" si="284"/>
        <v>0</v>
      </c>
      <c r="O1033" s="577">
        <f t="shared" si="289"/>
        <v>0</v>
      </c>
      <c r="P1033" s="578">
        <f t="shared" si="290"/>
        <v>0</v>
      </c>
      <c r="Q1033" s="765"/>
      <c r="R1033" s="576">
        <f t="shared" si="286"/>
        <v>0</v>
      </c>
      <c r="S1033" s="576">
        <f t="shared" si="286"/>
        <v>0</v>
      </c>
      <c r="T1033" s="577">
        <f t="shared" si="287"/>
        <v>0</v>
      </c>
      <c r="U1033" s="578">
        <f t="shared" si="288"/>
        <v>0</v>
      </c>
      <c r="V1033" s="579"/>
      <c r="W1033" s="566"/>
      <c r="X1033" s="586" t="str">
        <f t="shared" si="291"/>
        <v/>
      </c>
      <c r="Y1033" s="586" t="str">
        <f t="shared" si="285"/>
        <v/>
      </c>
      <c r="Z1033" s="586" t="str">
        <f t="shared" si="282"/>
        <v/>
      </c>
    </row>
    <row r="1034" spans="1:26" ht="23.25" hidden="1" thickBot="1" x14ac:dyDescent="0.25">
      <c r="A1034" s="567">
        <v>97660</v>
      </c>
      <c r="B1034" s="644">
        <v>97660</v>
      </c>
      <c r="C1034" s="645" t="s">
        <v>670</v>
      </c>
      <c r="D1034" s="422" t="s">
        <v>882</v>
      </c>
      <c r="E1034" s="423"/>
      <c r="F1034" s="424"/>
      <c r="G1034" s="425"/>
      <c r="H1034" s="651"/>
      <c r="I1034" s="420">
        <v>0.67</v>
      </c>
      <c r="J1034" s="420">
        <f t="shared" si="283"/>
        <v>0.67</v>
      </c>
      <c r="K1034" s="421">
        <f t="shared" si="292"/>
        <v>0.8</v>
      </c>
      <c r="L1034" s="647" t="s">
        <v>2065</v>
      </c>
      <c r="M1034" s="576"/>
      <c r="N1034" s="576">
        <f t="shared" si="284"/>
        <v>0</v>
      </c>
      <c r="O1034" s="577">
        <f t="shared" si="289"/>
        <v>0</v>
      </c>
      <c r="P1034" s="578">
        <f t="shared" si="290"/>
        <v>0</v>
      </c>
      <c r="Q1034" s="765"/>
      <c r="R1034" s="576">
        <f t="shared" si="286"/>
        <v>0</v>
      </c>
      <c r="S1034" s="576">
        <f t="shared" si="286"/>
        <v>0</v>
      </c>
      <c r="T1034" s="577">
        <f t="shared" si="287"/>
        <v>0</v>
      </c>
      <c r="U1034" s="578">
        <f t="shared" si="288"/>
        <v>0</v>
      </c>
      <c r="V1034" s="579"/>
      <c r="W1034" s="566"/>
      <c r="X1034" s="586" t="str">
        <f t="shared" si="291"/>
        <v/>
      </c>
      <c r="Y1034" s="586" t="str">
        <f t="shared" si="285"/>
        <v/>
      </c>
      <c r="Z1034" s="586" t="str">
        <f t="shared" si="282"/>
        <v/>
      </c>
    </row>
    <row r="1035" spans="1:26" ht="12" hidden="1" thickBot="1" x14ac:dyDescent="0.25">
      <c r="A1035" s="567">
        <v>90447</v>
      </c>
      <c r="B1035" s="644">
        <v>90447</v>
      </c>
      <c r="C1035" s="645" t="s">
        <v>670</v>
      </c>
      <c r="D1035" s="422" t="s">
        <v>883</v>
      </c>
      <c r="E1035" s="423"/>
      <c r="F1035" s="424"/>
      <c r="G1035" s="425"/>
      <c r="H1035" s="651"/>
      <c r="I1035" s="420">
        <v>6.98</v>
      </c>
      <c r="J1035" s="420">
        <f t="shared" si="283"/>
        <v>6.98</v>
      </c>
      <c r="K1035" s="421">
        <f t="shared" si="292"/>
        <v>8.2899999999999991</v>
      </c>
      <c r="L1035" s="647" t="s">
        <v>79</v>
      </c>
      <c r="M1035" s="576"/>
      <c r="N1035" s="576">
        <f t="shared" si="284"/>
        <v>0</v>
      </c>
      <c r="O1035" s="577">
        <f t="shared" si="289"/>
        <v>0</v>
      </c>
      <c r="P1035" s="578">
        <f t="shared" si="290"/>
        <v>0</v>
      </c>
      <c r="Q1035" s="765"/>
      <c r="R1035" s="576">
        <f t="shared" si="286"/>
        <v>0</v>
      </c>
      <c r="S1035" s="576">
        <f t="shared" si="286"/>
        <v>0</v>
      </c>
      <c r="T1035" s="577">
        <f t="shared" si="287"/>
        <v>0</v>
      </c>
      <c r="U1035" s="578">
        <f t="shared" si="288"/>
        <v>0</v>
      </c>
      <c r="V1035" s="579"/>
      <c r="W1035" s="566"/>
      <c r="X1035" s="586" t="str">
        <f t="shared" si="291"/>
        <v/>
      </c>
      <c r="Y1035" s="586" t="str">
        <f t="shared" si="285"/>
        <v/>
      </c>
      <c r="Z1035" s="586" t="str">
        <f t="shared" si="282"/>
        <v/>
      </c>
    </row>
    <row r="1036" spans="1:26" ht="12" hidden="1" thickBot="1" x14ac:dyDescent="0.25">
      <c r="A1036" s="567">
        <v>90456</v>
      </c>
      <c r="B1036" s="644">
        <v>90456</v>
      </c>
      <c r="C1036" s="645" t="s">
        <v>670</v>
      </c>
      <c r="D1036" s="422" t="s">
        <v>884</v>
      </c>
      <c r="E1036" s="423"/>
      <c r="F1036" s="424"/>
      <c r="G1036" s="425"/>
      <c r="H1036" s="651"/>
      <c r="I1036" s="420">
        <v>4.51</v>
      </c>
      <c r="J1036" s="420">
        <f t="shared" si="283"/>
        <v>4.51</v>
      </c>
      <c r="K1036" s="421">
        <f t="shared" si="292"/>
        <v>5.36</v>
      </c>
      <c r="L1036" s="647" t="s">
        <v>2065</v>
      </c>
      <c r="M1036" s="576"/>
      <c r="N1036" s="576">
        <f t="shared" si="284"/>
        <v>0</v>
      </c>
      <c r="O1036" s="577">
        <f t="shared" si="289"/>
        <v>0</v>
      </c>
      <c r="P1036" s="578">
        <f t="shared" si="290"/>
        <v>0</v>
      </c>
      <c r="Q1036" s="765"/>
      <c r="R1036" s="576">
        <f t="shared" si="286"/>
        <v>0</v>
      </c>
      <c r="S1036" s="576">
        <f t="shared" si="286"/>
        <v>0</v>
      </c>
      <c r="T1036" s="577">
        <f t="shared" si="287"/>
        <v>0</v>
      </c>
      <c r="U1036" s="578">
        <f t="shared" si="288"/>
        <v>0</v>
      </c>
      <c r="V1036" s="579"/>
      <c r="W1036" s="566"/>
      <c r="X1036" s="586" t="str">
        <f t="shared" si="291"/>
        <v/>
      </c>
      <c r="Y1036" s="586" t="str">
        <f t="shared" si="285"/>
        <v/>
      </c>
      <c r="Z1036" s="586" t="str">
        <f t="shared" si="282"/>
        <v/>
      </c>
    </row>
    <row r="1037" spans="1:26" ht="23.25" hidden="1" thickBot="1" x14ac:dyDescent="0.25">
      <c r="A1037" s="567">
        <v>90457</v>
      </c>
      <c r="B1037" s="644">
        <v>90457</v>
      </c>
      <c r="C1037" s="645" t="s">
        <v>670</v>
      </c>
      <c r="D1037" s="422" t="s">
        <v>885</v>
      </c>
      <c r="E1037" s="423"/>
      <c r="F1037" s="424"/>
      <c r="G1037" s="425"/>
      <c r="H1037" s="651"/>
      <c r="I1037" s="420">
        <v>10.28</v>
      </c>
      <c r="J1037" s="420">
        <f t="shared" si="283"/>
        <v>10.28</v>
      </c>
      <c r="K1037" s="421">
        <f t="shared" si="292"/>
        <v>12.21</v>
      </c>
      <c r="L1037" s="647" t="s">
        <v>2065</v>
      </c>
      <c r="M1037" s="576"/>
      <c r="N1037" s="576">
        <f t="shared" si="284"/>
        <v>0</v>
      </c>
      <c r="O1037" s="577">
        <f t="shared" si="289"/>
        <v>0</v>
      </c>
      <c r="P1037" s="578">
        <f t="shared" si="290"/>
        <v>0</v>
      </c>
      <c r="Q1037" s="765"/>
      <c r="R1037" s="576">
        <f t="shared" si="286"/>
        <v>0</v>
      </c>
      <c r="S1037" s="576">
        <f t="shared" si="286"/>
        <v>0</v>
      </c>
      <c r="T1037" s="577">
        <f t="shared" si="287"/>
        <v>0</v>
      </c>
      <c r="U1037" s="578">
        <f t="shared" si="288"/>
        <v>0</v>
      </c>
      <c r="V1037" s="579"/>
      <c r="W1037" s="566"/>
      <c r="X1037" s="586" t="str">
        <f t="shared" si="291"/>
        <v/>
      </c>
      <c r="Y1037" s="586" t="str">
        <f t="shared" si="285"/>
        <v/>
      </c>
      <c r="Z1037" s="586" t="str">
        <f t="shared" si="282"/>
        <v/>
      </c>
    </row>
    <row r="1038" spans="1:26" ht="12" hidden="1" thickBot="1" x14ac:dyDescent="0.25">
      <c r="A1038" s="567">
        <v>90458</v>
      </c>
      <c r="B1038" s="644">
        <v>90458</v>
      </c>
      <c r="C1038" s="645" t="s">
        <v>670</v>
      </c>
      <c r="D1038" s="422" t="s">
        <v>886</v>
      </c>
      <c r="E1038" s="423"/>
      <c r="F1038" s="424"/>
      <c r="G1038" s="425"/>
      <c r="H1038" s="651"/>
      <c r="I1038" s="420">
        <v>29.17</v>
      </c>
      <c r="J1038" s="420">
        <f t="shared" si="283"/>
        <v>29.17</v>
      </c>
      <c r="K1038" s="421">
        <f t="shared" si="292"/>
        <v>34.659999999999997</v>
      </c>
      <c r="L1038" s="647" t="s">
        <v>2065</v>
      </c>
      <c r="M1038" s="576"/>
      <c r="N1038" s="576">
        <f t="shared" si="284"/>
        <v>0</v>
      </c>
      <c r="O1038" s="577">
        <f t="shared" si="289"/>
        <v>0</v>
      </c>
      <c r="P1038" s="578">
        <f t="shared" si="290"/>
        <v>0</v>
      </c>
      <c r="Q1038" s="765"/>
      <c r="R1038" s="576">
        <f t="shared" si="286"/>
        <v>0</v>
      </c>
      <c r="S1038" s="576">
        <f t="shared" si="286"/>
        <v>0</v>
      </c>
      <c r="T1038" s="577">
        <f t="shared" si="287"/>
        <v>0</v>
      </c>
      <c r="U1038" s="578">
        <f t="shared" si="288"/>
        <v>0</v>
      </c>
      <c r="V1038" s="579"/>
      <c r="W1038" s="566"/>
      <c r="X1038" s="586" t="str">
        <f t="shared" si="291"/>
        <v/>
      </c>
      <c r="Y1038" s="586" t="str">
        <f t="shared" si="285"/>
        <v/>
      </c>
      <c r="Z1038" s="586" t="str">
        <f t="shared" si="282"/>
        <v/>
      </c>
    </row>
    <row r="1039" spans="1:26" ht="23.25" hidden="1" thickBot="1" x14ac:dyDescent="0.25">
      <c r="A1039" s="567">
        <v>101938</v>
      </c>
      <c r="B1039" s="644">
        <v>101938</v>
      </c>
      <c r="C1039" s="645" t="s">
        <v>670</v>
      </c>
      <c r="D1039" s="422" t="s">
        <v>887</v>
      </c>
      <c r="E1039" s="423"/>
      <c r="F1039" s="424"/>
      <c r="G1039" s="425"/>
      <c r="H1039" s="651"/>
      <c r="I1039" s="420">
        <v>118.7</v>
      </c>
      <c r="J1039" s="420">
        <f t="shared" si="283"/>
        <v>118.7</v>
      </c>
      <c r="K1039" s="421">
        <f t="shared" si="292"/>
        <v>141.03</v>
      </c>
      <c r="L1039" s="647" t="s">
        <v>2065</v>
      </c>
      <c r="M1039" s="576"/>
      <c r="N1039" s="576">
        <f t="shared" si="284"/>
        <v>0</v>
      </c>
      <c r="O1039" s="577">
        <f t="shared" si="289"/>
        <v>0</v>
      </c>
      <c r="P1039" s="578">
        <f t="shared" si="290"/>
        <v>0</v>
      </c>
      <c r="Q1039" s="765"/>
      <c r="R1039" s="576">
        <f t="shared" si="286"/>
        <v>0</v>
      </c>
      <c r="S1039" s="576">
        <f t="shared" si="286"/>
        <v>0</v>
      </c>
      <c r="T1039" s="577">
        <f t="shared" si="287"/>
        <v>0</v>
      </c>
      <c r="U1039" s="578">
        <f t="shared" si="288"/>
        <v>0</v>
      </c>
      <c r="V1039" s="579"/>
      <c r="W1039" s="566"/>
      <c r="X1039" s="586" t="str">
        <f t="shared" si="291"/>
        <v/>
      </c>
      <c r="Y1039" s="586" t="str">
        <f t="shared" si="285"/>
        <v/>
      </c>
      <c r="Z1039" s="586" t="str">
        <f t="shared" si="282"/>
        <v/>
      </c>
    </row>
    <row r="1040" spans="1:26" ht="23.25" hidden="1" thickBot="1" x14ac:dyDescent="0.25">
      <c r="A1040" s="567">
        <v>101489</v>
      </c>
      <c r="B1040" s="644">
        <v>101489</v>
      </c>
      <c r="C1040" s="645" t="s">
        <v>670</v>
      </c>
      <c r="D1040" s="422" t="s">
        <v>888</v>
      </c>
      <c r="E1040" s="423"/>
      <c r="F1040" s="424"/>
      <c r="G1040" s="425"/>
      <c r="H1040" s="651"/>
      <c r="I1040" s="420">
        <v>1458.09</v>
      </c>
      <c r="J1040" s="420">
        <f t="shared" si="283"/>
        <v>1458.09</v>
      </c>
      <c r="K1040" s="421">
        <f t="shared" si="292"/>
        <v>1732.36</v>
      </c>
      <c r="L1040" s="647" t="s">
        <v>2065</v>
      </c>
      <c r="M1040" s="576"/>
      <c r="N1040" s="576">
        <f t="shared" si="284"/>
        <v>0</v>
      </c>
      <c r="O1040" s="577">
        <f t="shared" si="289"/>
        <v>0</v>
      </c>
      <c r="P1040" s="578">
        <f t="shared" si="290"/>
        <v>0</v>
      </c>
      <c r="Q1040" s="765"/>
      <c r="R1040" s="576">
        <f t="shared" si="286"/>
        <v>0</v>
      </c>
      <c r="S1040" s="576">
        <f t="shared" si="286"/>
        <v>0</v>
      </c>
      <c r="T1040" s="577">
        <f t="shared" si="287"/>
        <v>0</v>
      </c>
      <c r="U1040" s="578">
        <f t="shared" si="288"/>
        <v>0</v>
      </c>
      <c r="V1040" s="579"/>
      <c r="W1040" s="566"/>
      <c r="X1040" s="586" t="str">
        <f t="shared" si="291"/>
        <v/>
      </c>
      <c r="Y1040" s="586" t="str">
        <f t="shared" si="285"/>
        <v/>
      </c>
      <c r="Z1040" s="586" t="str">
        <f t="shared" si="282"/>
        <v/>
      </c>
    </row>
    <row r="1041" spans="1:26" ht="23.25" hidden="1" thickBot="1" x14ac:dyDescent="0.25">
      <c r="A1041" s="567">
        <v>101490</v>
      </c>
      <c r="B1041" s="644">
        <v>101490</v>
      </c>
      <c r="C1041" s="645" t="s">
        <v>670</v>
      </c>
      <c r="D1041" s="422" t="s">
        <v>889</v>
      </c>
      <c r="E1041" s="423"/>
      <c r="F1041" s="424"/>
      <c r="G1041" s="425"/>
      <c r="H1041" s="651"/>
      <c r="I1041" s="420">
        <v>1550.71</v>
      </c>
      <c r="J1041" s="420">
        <f t="shared" si="283"/>
        <v>1550.71</v>
      </c>
      <c r="K1041" s="421">
        <f t="shared" si="292"/>
        <v>1842.4</v>
      </c>
      <c r="L1041" s="647" t="s">
        <v>2065</v>
      </c>
      <c r="M1041" s="576"/>
      <c r="N1041" s="576">
        <f t="shared" si="284"/>
        <v>0</v>
      </c>
      <c r="O1041" s="577">
        <f t="shared" si="289"/>
        <v>0</v>
      </c>
      <c r="P1041" s="578">
        <f t="shared" si="290"/>
        <v>0</v>
      </c>
      <c r="Q1041" s="765"/>
      <c r="R1041" s="576">
        <f t="shared" si="286"/>
        <v>0</v>
      </c>
      <c r="S1041" s="576">
        <f t="shared" si="286"/>
        <v>0</v>
      </c>
      <c r="T1041" s="577">
        <f t="shared" si="287"/>
        <v>0</v>
      </c>
      <c r="U1041" s="578">
        <f t="shared" si="288"/>
        <v>0</v>
      </c>
      <c r="V1041" s="579"/>
      <c r="W1041" s="566"/>
      <c r="X1041" s="586" t="str">
        <f t="shared" si="291"/>
        <v/>
      </c>
      <c r="Y1041" s="586" t="str">
        <f t="shared" si="285"/>
        <v/>
      </c>
      <c r="Z1041" s="586" t="str">
        <f t="shared" si="282"/>
        <v/>
      </c>
    </row>
    <row r="1042" spans="1:26" ht="23.25" hidden="1" thickBot="1" x14ac:dyDescent="0.25">
      <c r="A1042" s="567">
        <v>101491</v>
      </c>
      <c r="B1042" s="644">
        <v>101491</v>
      </c>
      <c r="C1042" s="645" t="s">
        <v>670</v>
      </c>
      <c r="D1042" s="422" t="s">
        <v>890</v>
      </c>
      <c r="E1042" s="423"/>
      <c r="F1042" s="424"/>
      <c r="G1042" s="425"/>
      <c r="H1042" s="651"/>
      <c r="I1042" s="420">
        <v>1580.41</v>
      </c>
      <c r="J1042" s="420">
        <f t="shared" si="283"/>
        <v>1580.41</v>
      </c>
      <c r="K1042" s="421">
        <f t="shared" si="292"/>
        <v>1877.69</v>
      </c>
      <c r="L1042" s="647" t="s">
        <v>2065</v>
      </c>
      <c r="M1042" s="576"/>
      <c r="N1042" s="576">
        <f t="shared" si="284"/>
        <v>0</v>
      </c>
      <c r="O1042" s="577">
        <f t="shared" si="289"/>
        <v>0</v>
      </c>
      <c r="P1042" s="578">
        <f t="shared" si="290"/>
        <v>0</v>
      </c>
      <c r="Q1042" s="765"/>
      <c r="R1042" s="576">
        <f t="shared" si="286"/>
        <v>0</v>
      </c>
      <c r="S1042" s="576">
        <f t="shared" si="286"/>
        <v>0</v>
      </c>
      <c r="T1042" s="577">
        <f t="shared" si="287"/>
        <v>0</v>
      </c>
      <c r="U1042" s="578">
        <f t="shared" si="288"/>
        <v>0</v>
      </c>
      <c r="V1042" s="579"/>
      <c r="W1042" s="566"/>
      <c r="X1042" s="586" t="str">
        <f t="shared" si="291"/>
        <v/>
      </c>
      <c r="Y1042" s="586" t="str">
        <f t="shared" si="285"/>
        <v/>
      </c>
      <c r="Z1042" s="586" t="str">
        <f t="shared" si="282"/>
        <v/>
      </c>
    </row>
    <row r="1043" spans="1:26" ht="23.25" hidden="1" thickBot="1" x14ac:dyDescent="0.25">
      <c r="A1043" s="567">
        <v>101492</v>
      </c>
      <c r="B1043" s="644">
        <v>101492</v>
      </c>
      <c r="C1043" s="645" t="s">
        <v>670</v>
      </c>
      <c r="D1043" s="422" t="s">
        <v>891</v>
      </c>
      <c r="E1043" s="423"/>
      <c r="F1043" s="424"/>
      <c r="G1043" s="425"/>
      <c r="H1043" s="651"/>
      <c r="I1043" s="420">
        <v>1720.47</v>
      </c>
      <c r="J1043" s="420">
        <f t="shared" ref="J1043:J1106" si="293">IF(ISBLANK(I1043),"",SUM(H1043:I1043))</f>
        <v>1720.47</v>
      </c>
      <c r="K1043" s="421">
        <f t="shared" si="292"/>
        <v>2044.09</v>
      </c>
      <c r="L1043" s="647" t="s">
        <v>2065</v>
      </c>
      <c r="M1043" s="576"/>
      <c r="N1043" s="576">
        <f t="shared" si="284"/>
        <v>0</v>
      </c>
      <c r="O1043" s="577">
        <f t="shared" si="289"/>
        <v>0</v>
      </c>
      <c r="P1043" s="578">
        <f t="shared" si="290"/>
        <v>0</v>
      </c>
      <c r="Q1043" s="765"/>
      <c r="R1043" s="576">
        <f t="shared" si="286"/>
        <v>0</v>
      </c>
      <c r="S1043" s="576">
        <f t="shared" si="286"/>
        <v>0</v>
      </c>
      <c r="T1043" s="577">
        <f t="shared" si="287"/>
        <v>0</v>
      </c>
      <c r="U1043" s="578">
        <f t="shared" si="288"/>
        <v>0</v>
      </c>
      <c r="V1043" s="579"/>
      <c r="W1043" s="566"/>
      <c r="X1043" s="586" t="str">
        <f t="shared" si="291"/>
        <v/>
      </c>
      <c r="Y1043" s="586" t="str">
        <f t="shared" si="285"/>
        <v/>
      </c>
      <c r="Z1043" s="586" t="str">
        <f t="shared" ref="Z1043:Z1106" si="294">IF(W1043="X","x",IF(U1043&gt;0,"x",""))</f>
        <v/>
      </c>
    </row>
    <row r="1044" spans="1:26" ht="23.25" hidden="1" thickBot="1" x14ac:dyDescent="0.25">
      <c r="A1044" s="567">
        <v>101493</v>
      </c>
      <c r="B1044" s="644">
        <v>101493</v>
      </c>
      <c r="C1044" s="645" t="s">
        <v>670</v>
      </c>
      <c r="D1044" s="422" t="s">
        <v>892</v>
      </c>
      <c r="E1044" s="423"/>
      <c r="F1044" s="424"/>
      <c r="G1044" s="425"/>
      <c r="H1044" s="651"/>
      <c r="I1044" s="420">
        <v>1441.18</v>
      </c>
      <c r="J1044" s="420">
        <f t="shared" si="293"/>
        <v>1441.18</v>
      </c>
      <c r="K1044" s="421">
        <f t="shared" si="292"/>
        <v>1712.27</v>
      </c>
      <c r="L1044" s="647" t="s">
        <v>2065</v>
      </c>
      <c r="M1044" s="576"/>
      <c r="N1044" s="576">
        <f t="shared" ref="N1044:N1107" si="295">IF(M1044=0,0,K1044)</f>
        <v>0</v>
      </c>
      <c r="O1044" s="577">
        <f t="shared" si="289"/>
        <v>0</v>
      </c>
      <c r="P1044" s="578">
        <f t="shared" si="290"/>
        <v>0</v>
      </c>
      <c r="Q1044" s="765"/>
      <c r="R1044" s="576">
        <f t="shared" si="286"/>
        <v>0</v>
      </c>
      <c r="S1044" s="576">
        <f t="shared" si="286"/>
        <v>0</v>
      </c>
      <c r="T1044" s="577">
        <f t="shared" si="287"/>
        <v>0</v>
      </c>
      <c r="U1044" s="578">
        <f t="shared" si="288"/>
        <v>0</v>
      </c>
      <c r="V1044" s="579"/>
      <c r="W1044" s="566"/>
      <c r="X1044" s="586" t="str">
        <f t="shared" si="291"/>
        <v/>
      </c>
      <c r="Y1044" s="586" t="str">
        <f t="shared" si="285"/>
        <v/>
      </c>
      <c r="Z1044" s="586" t="str">
        <f t="shared" si="294"/>
        <v/>
      </c>
    </row>
    <row r="1045" spans="1:26" ht="23.25" hidden="1" thickBot="1" x14ac:dyDescent="0.25">
      <c r="A1045" s="567">
        <v>101494</v>
      </c>
      <c r="B1045" s="644">
        <v>101494</v>
      </c>
      <c r="C1045" s="645" t="s">
        <v>670</v>
      </c>
      <c r="D1045" s="422" t="s">
        <v>893</v>
      </c>
      <c r="E1045" s="423"/>
      <c r="F1045" s="424"/>
      <c r="G1045" s="425"/>
      <c r="H1045" s="651"/>
      <c r="I1045" s="420">
        <v>1533.8</v>
      </c>
      <c r="J1045" s="420">
        <f t="shared" si="293"/>
        <v>1533.8</v>
      </c>
      <c r="K1045" s="421">
        <f t="shared" si="292"/>
        <v>1822.31</v>
      </c>
      <c r="L1045" s="647" t="s">
        <v>2065</v>
      </c>
      <c r="M1045" s="576"/>
      <c r="N1045" s="576">
        <f t="shared" si="295"/>
        <v>0</v>
      </c>
      <c r="O1045" s="577">
        <f t="shared" si="289"/>
        <v>0</v>
      </c>
      <c r="P1045" s="578">
        <f t="shared" si="290"/>
        <v>0</v>
      </c>
      <c r="Q1045" s="765"/>
      <c r="R1045" s="576">
        <f t="shared" si="286"/>
        <v>0</v>
      </c>
      <c r="S1045" s="576">
        <f t="shared" si="286"/>
        <v>0</v>
      </c>
      <c r="T1045" s="577">
        <f t="shared" si="287"/>
        <v>0</v>
      </c>
      <c r="U1045" s="578">
        <f t="shared" si="288"/>
        <v>0</v>
      </c>
      <c r="V1045" s="579"/>
      <c r="W1045" s="566"/>
      <c r="X1045" s="586" t="str">
        <f t="shared" si="291"/>
        <v/>
      </c>
      <c r="Y1045" s="586" t="str">
        <f t="shared" si="285"/>
        <v/>
      </c>
      <c r="Z1045" s="586" t="str">
        <f t="shared" si="294"/>
        <v/>
      </c>
    </row>
    <row r="1046" spans="1:26" ht="23.25" hidden="1" thickBot="1" x14ac:dyDescent="0.25">
      <c r="A1046" s="567">
        <v>101495</v>
      </c>
      <c r="B1046" s="644">
        <v>101495</v>
      </c>
      <c r="C1046" s="645" t="s">
        <v>670</v>
      </c>
      <c r="D1046" s="422" t="s">
        <v>894</v>
      </c>
      <c r="E1046" s="423"/>
      <c r="F1046" s="424"/>
      <c r="G1046" s="425"/>
      <c r="H1046" s="651"/>
      <c r="I1046" s="420">
        <v>1563.5</v>
      </c>
      <c r="J1046" s="420">
        <f t="shared" si="293"/>
        <v>1563.5</v>
      </c>
      <c r="K1046" s="421">
        <f t="shared" si="292"/>
        <v>1857.59</v>
      </c>
      <c r="L1046" s="647" t="s">
        <v>2065</v>
      </c>
      <c r="M1046" s="576"/>
      <c r="N1046" s="576">
        <f t="shared" si="295"/>
        <v>0</v>
      </c>
      <c r="O1046" s="577">
        <f t="shared" si="289"/>
        <v>0</v>
      </c>
      <c r="P1046" s="578">
        <f t="shared" si="290"/>
        <v>0</v>
      </c>
      <c r="Q1046" s="765"/>
      <c r="R1046" s="576">
        <f t="shared" si="286"/>
        <v>0</v>
      </c>
      <c r="S1046" s="576">
        <f t="shared" si="286"/>
        <v>0</v>
      </c>
      <c r="T1046" s="577">
        <f t="shared" si="287"/>
        <v>0</v>
      </c>
      <c r="U1046" s="578">
        <f t="shared" si="288"/>
        <v>0</v>
      </c>
      <c r="V1046" s="579"/>
      <c r="W1046" s="566"/>
      <c r="X1046" s="586" t="str">
        <f t="shared" si="291"/>
        <v/>
      </c>
      <c r="Y1046" s="586" t="str">
        <f t="shared" si="285"/>
        <v/>
      </c>
      <c r="Z1046" s="586" t="str">
        <f t="shared" si="294"/>
        <v/>
      </c>
    </row>
    <row r="1047" spans="1:26" ht="23.25" hidden="1" thickBot="1" x14ac:dyDescent="0.25">
      <c r="A1047" s="567">
        <v>101496</v>
      </c>
      <c r="B1047" s="644">
        <v>101496</v>
      </c>
      <c r="C1047" s="645" t="s">
        <v>670</v>
      </c>
      <c r="D1047" s="422" t="s">
        <v>895</v>
      </c>
      <c r="E1047" s="423"/>
      <c r="F1047" s="424"/>
      <c r="G1047" s="425"/>
      <c r="H1047" s="651"/>
      <c r="I1047" s="420">
        <v>1703.56</v>
      </c>
      <c r="J1047" s="420">
        <f t="shared" si="293"/>
        <v>1703.56</v>
      </c>
      <c r="K1047" s="421">
        <f t="shared" si="292"/>
        <v>2024</v>
      </c>
      <c r="L1047" s="647" t="s">
        <v>2065</v>
      </c>
      <c r="M1047" s="576"/>
      <c r="N1047" s="576">
        <f t="shared" si="295"/>
        <v>0</v>
      </c>
      <c r="O1047" s="577">
        <f t="shared" si="289"/>
        <v>0</v>
      </c>
      <c r="P1047" s="578">
        <f t="shared" si="290"/>
        <v>0</v>
      </c>
      <c r="Q1047" s="765"/>
      <c r="R1047" s="576">
        <f t="shared" si="286"/>
        <v>0</v>
      </c>
      <c r="S1047" s="576">
        <f t="shared" si="286"/>
        <v>0</v>
      </c>
      <c r="T1047" s="577">
        <f t="shared" si="287"/>
        <v>0</v>
      </c>
      <c r="U1047" s="578">
        <f t="shared" si="288"/>
        <v>0</v>
      </c>
      <c r="V1047" s="579"/>
      <c r="W1047" s="566"/>
      <c r="X1047" s="586" t="str">
        <f t="shared" si="291"/>
        <v/>
      </c>
      <c r="Y1047" s="586" t="str">
        <f t="shared" si="285"/>
        <v/>
      </c>
      <c r="Z1047" s="586" t="str">
        <f t="shared" si="294"/>
        <v/>
      </c>
    </row>
    <row r="1048" spans="1:26" ht="23.25" hidden="1" thickBot="1" x14ac:dyDescent="0.25">
      <c r="A1048" s="567">
        <v>101497</v>
      </c>
      <c r="B1048" s="644">
        <v>101497</v>
      </c>
      <c r="C1048" s="645" t="s">
        <v>670</v>
      </c>
      <c r="D1048" s="422" t="s">
        <v>896</v>
      </c>
      <c r="E1048" s="423"/>
      <c r="F1048" s="424"/>
      <c r="G1048" s="425"/>
      <c r="H1048" s="651"/>
      <c r="I1048" s="420">
        <v>1733.98</v>
      </c>
      <c r="J1048" s="420">
        <f t="shared" si="293"/>
        <v>1733.98</v>
      </c>
      <c r="K1048" s="421">
        <f t="shared" si="292"/>
        <v>2060.14</v>
      </c>
      <c r="L1048" s="647" t="s">
        <v>2065</v>
      </c>
      <c r="M1048" s="576"/>
      <c r="N1048" s="576">
        <f t="shared" si="295"/>
        <v>0</v>
      </c>
      <c r="O1048" s="577">
        <f t="shared" si="289"/>
        <v>0</v>
      </c>
      <c r="P1048" s="578">
        <f t="shared" si="290"/>
        <v>0</v>
      </c>
      <c r="Q1048" s="765"/>
      <c r="R1048" s="576">
        <f t="shared" si="286"/>
        <v>0</v>
      </c>
      <c r="S1048" s="576">
        <f t="shared" si="286"/>
        <v>0</v>
      </c>
      <c r="T1048" s="577">
        <f t="shared" si="287"/>
        <v>0</v>
      </c>
      <c r="U1048" s="578">
        <f t="shared" si="288"/>
        <v>0</v>
      </c>
      <c r="V1048" s="579"/>
      <c r="W1048" s="566"/>
      <c r="X1048" s="586" t="str">
        <f t="shared" si="291"/>
        <v/>
      </c>
      <c r="Y1048" s="586" t="str">
        <f t="shared" si="285"/>
        <v/>
      </c>
      <c r="Z1048" s="586" t="str">
        <f t="shared" si="294"/>
        <v/>
      </c>
    </row>
    <row r="1049" spans="1:26" ht="23.25" hidden="1" thickBot="1" x14ac:dyDescent="0.25">
      <c r="A1049" s="567">
        <v>101498</v>
      </c>
      <c r="B1049" s="644">
        <v>101498</v>
      </c>
      <c r="C1049" s="645" t="s">
        <v>670</v>
      </c>
      <c r="D1049" s="422" t="s">
        <v>897</v>
      </c>
      <c r="E1049" s="423"/>
      <c r="F1049" s="424"/>
      <c r="G1049" s="425"/>
      <c r="H1049" s="651"/>
      <c r="I1049" s="420">
        <v>1874.17</v>
      </c>
      <c r="J1049" s="420">
        <f t="shared" si="293"/>
        <v>1874.17</v>
      </c>
      <c r="K1049" s="421">
        <f t="shared" si="292"/>
        <v>2226.6999999999998</v>
      </c>
      <c r="L1049" s="647" t="s">
        <v>2065</v>
      </c>
      <c r="M1049" s="576"/>
      <c r="N1049" s="576">
        <f t="shared" si="295"/>
        <v>0</v>
      </c>
      <c r="O1049" s="577">
        <f t="shared" si="289"/>
        <v>0</v>
      </c>
      <c r="P1049" s="578">
        <f t="shared" si="290"/>
        <v>0</v>
      </c>
      <c r="Q1049" s="765"/>
      <c r="R1049" s="576">
        <f t="shared" si="286"/>
        <v>0</v>
      </c>
      <c r="S1049" s="576">
        <f t="shared" si="286"/>
        <v>0</v>
      </c>
      <c r="T1049" s="577">
        <f t="shared" si="287"/>
        <v>0</v>
      </c>
      <c r="U1049" s="578">
        <f t="shared" si="288"/>
        <v>0</v>
      </c>
      <c r="V1049" s="579"/>
      <c r="W1049" s="566"/>
      <c r="X1049" s="586" t="str">
        <f t="shared" si="291"/>
        <v/>
      </c>
      <c r="Y1049" s="586" t="str">
        <f t="shared" si="285"/>
        <v/>
      </c>
      <c r="Z1049" s="586" t="str">
        <f t="shared" si="294"/>
        <v/>
      </c>
    </row>
    <row r="1050" spans="1:26" ht="23.25" hidden="1" thickBot="1" x14ac:dyDescent="0.25">
      <c r="A1050" s="567">
        <v>101499</v>
      </c>
      <c r="B1050" s="644">
        <v>101499</v>
      </c>
      <c r="C1050" s="645" t="s">
        <v>670</v>
      </c>
      <c r="D1050" s="422" t="s">
        <v>898</v>
      </c>
      <c r="E1050" s="423"/>
      <c r="F1050" s="424"/>
      <c r="G1050" s="425"/>
      <c r="H1050" s="651"/>
      <c r="I1050" s="420">
        <v>1919.13</v>
      </c>
      <c r="J1050" s="420">
        <f t="shared" si="293"/>
        <v>1919.13</v>
      </c>
      <c r="K1050" s="421">
        <f t="shared" si="292"/>
        <v>2280.12</v>
      </c>
      <c r="L1050" s="647" t="s">
        <v>2065</v>
      </c>
      <c r="M1050" s="576"/>
      <c r="N1050" s="576">
        <f t="shared" si="295"/>
        <v>0</v>
      </c>
      <c r="O1050" s="577">
        <f t="shared" si="289"/>
        <v>0</v>
      </c>
      <c r="P1050" s="578">
        <f t="shared" si="290"/>
        <v>0</v>
      </c>
      <c r="Q1050" s="765"/>
      <c r="R1050" s="576">
        <f t="shared" si="286"/>
        <v>0</v>
      </c>
      <c r="S1050" s="576">
        <f t="shared" si="286"/>
        <v>0</v>
      </c>
      <c r="T1050" s="577">
        <f t="shared" si="287"/>
        <v>0</v>
      </c>
      <c r="U1050" s="578">
        <f t="shared" si="288"/>
        <v>0</v>
      </c>
      <c r="V1050" s="579"/>
      <c r="W1050" s="566"/>
      <c r="X1050" s="586" t="str">
        <f t="shared" si="291"/>
        <v/>
      </c>
      <c r="Y1050" s="586" t="str">
        <f t="shared" si="285"/>
        <v/>
      </c>
      <c r="Z1050" s="586" t="str">
        <f t="shared" si="294"/>
        <v/>
      </c>
    </row>
    <row r="1051" spans="1:26" ht="23.25" hidden="1" thickBot="1" x14ac:dyDescent="0.25">
      <c r="A1051" s="567">
        <v>101500</v>
      </c>
      <c r="B1051" s="644">
        <v>101500</v>
      </c>
      <c r="C1051" s="645" t="s">
        <v>670</v>
      </c>
      <c r="D1051" s="422" t="s">
        <v>899</v>
      </c>
      <c r="E1051" s="423"/>
      <c r="F1051" s="424"/>
      <c r="G1051" s="425"/>
      <c r="H1051" s="651"/>
      <c r="I1051" s="420">
        <v>2113.15</v>
      </c>
      <c r="J1051" s="420">
        <f t="shared" si="293"/>
        <v>2113.15</v>
      </c>
      <c r="K1051" s="421">
        <f t="shared" si="292"/>
        <v>2510.63</v>
      </c>
      <c r="L1051" s="647" t="s">
        <v>2065</v>
      </c>
      <c r="M1051" s="576"/>
      <c r="N1051" s="576">
        <f t="shared" si="295"/>
        <v>0</v>
      </c>
      <c r="O1051" s="577">
        <f t="shared" si="289"/>
        <v>0</v>
      </c>
      <c r="P1051" s="578">
        <f t="shared" si="290"/>
        <v>0</v>
      </c>
      <c r="Q1051" s="765"/>
      <c r="R1051" s="576">
        <f t="shared" si="286"/>
        <v>0</v>
      </c>
      <c r="S1051" s="576">
        <f t="shared" si="286"/>
        <v>0</v>
      </c>
      <c r="T1051" s="577">
        <f t="shared" si="287"/>
        <v>0</v>
      </c>
      <c r="U1051" s="578">
        <f t="shared" si="288"/>
        <v>0</v>
      </c>
      <c r="V1051" s="579"/>
      <c r="W1051" s="566"/>
      <c r="X1051" s="586" t="str">
        <f t="shared" si="291"/>
        <v/>
      </c>
      <c r="Y1051" s="586" t="str">
        <f t="shared" si="285"/>
        <v/>
      </c>
      <c r="Z1051" s="586" t="str">
        <f t="shared" si="294"/>
        <v/>
      </c>
    </row>
    <row r="1052" spans="1:26" ht="23.25" hidden="1" thickBot="1" x14ac:dyDescent="0.25">
      <c r="A1052" s="567">
        <v>101501</v>
      </c>
      <c r="B1052" s="644">
        <v>101501</v>
      </c>
      <c r="C1052" s="645" t="s">
        <v>670</v>
      </c>
      <c r="D1052" s="422" t="s">
        <v>900</v>
      </c>
      <c r="E1052" s="423"/>
      <c r="F1052" s="424"/>
      <c r="G1052" s="425"/>
      <c r="H1052" s="651"/>
      <c r="I1052" s="420">
        <v>1724.18</v>
      </c>
      <c r="J1052" s="420">
        <f t="shared" si="293"/>
        <v>1724.18</v>
      </c>
      <c r="K1052" s="421">
        <f t="shared" si="292"/>
        <v>2048.5</v>
      </c>
      <c r="L1052" s="647" t="s">
        <v>2065</v>
      </c>
      <c r="M1052" s="576"/>
      <c r="N1052" s="576">
        <f t="shared" si="295"/>
        <v>0</v>
      </c>
      <c r="O1052" s="577">
        <f t="shared" si="289"/>
        <v>0</v>
      </c>
      <c r="P1052" s="578">
        <f t="shared" si="290"/>
        <v>0</v>
      </c>
      <c r="Q1052" s="765"/>
      <c r="R1052" s="576">
        <f t="shared" si="286"/>
        <v>0</v>
      </c>
      <c r="S1052" s="576">
        <f t="shared" si="286"/>
        <v>0</v>
      </c>
      <c r="T1052" s="577">
        <f t="shared" si="287"/>
        <v>0</v>
      </c>
      <c r="U1052" s="578">
        <f t="shared" si="288"/>
        <v>0</v>
      </c>
      <c r="V1052" s="579"/>
      <c r="W1052" s="566"/>
      <c r="X1052" s="586" t="str">
        <f t="shared" si="291"/>
        <v/>
      </c>
      <c r="Y1052" s="586" t="str">
        <f t="shared" si="285"/>
        <v/>
      </c>
      <c r="Z1052" s="586" t="str">
        <f t="shared" si="294"/>
        <v/>
      </c>
    </row>
    <row r="1053" spans="1:26" ht="23.25" hidden="1" thickBot="1" x14ac:dyDescent="0.25">
      <c r="A1053" s="567">
        <v>101502</v>
      </c>
      <c r="B1053" s="644">
        <v>101502</v>
      </c>
      <c r="C1053" s="645" t="s">
        <v>670</v>
      </c>
      <c r="D1053" s="422" t="s">
        <v>901</v>
      </c>
      <c r="E1053" s="423"/>
      <c r="F1053" s="424"/>
      <c r="G1053" s="425"/>
      <c r="H1053" s="651"/>
      <c r="I1053" s="420">
        <v>1864.37</v>
      </c>
      <c r="J1053" s="420">
        <f t="shared" si="293"/>
        <v>1864.37</v>
      </c>
      <c r="K1053" s="421">
        <f t="shared" si="292"/>
        <v>2215.06</v>
      </c>
      <c r="L1053" s="647" t="s">
        <v>2065</v>
      </c>
      <c r="M1053" s="576"/>
      <c r="N1053" s="576">
        <f t="shared" si="295"/>
        <v>0</v>
      </c>
      <c r="O1053" s="577">
        <f t="shared" si="289"/>
        <v>0</v>
      </c>
      <c r="P1053" s="578">
        <f t="shared" si="290"/>
        <v>0</v>
      </c>
      <c r="Q1053" s="765"/>
      <c r="R1053" s="576">
        <f t="shared" si="286"/>
        <v>0</v>
      </c>
      <c r="S1053" s="576">
        <f t="shared" si="286"/>
        <v>0</v>
      </c>
      <c r="T1053" s="577">
        <f t="shared" si="287"/>
        <v>0</v>
      </c>
      <c r="U1053" s="578">
        <f t="shared" si="288"/>
        <v>0</v>
      </c>
      <c r="V1053" s="579"/>
      <c r="W1053" s="566"/>
      <c r="X1053" s="586" t="str">
        <f t="shared" si="291"/>
        <v/>
      </c>
      <c r="Y1053" s="586" t="str">
        <f t="shared" si="285"/>
        <v/>
      </c>
      <c r="Z1053" s="586" t="str">
        <f t="shared" si="294"/>
        <v/>
      </c>
    </row>
    <row r="1054" spans="1:26" ht="23.25" hidden="1" thickBot="1" x14ac:dyDescent="0.25">
      <c r="A1054" s="567">
        <v>101503</v>
      </c>
      <c r="B1054" s="644">
        <v>101503</v>
      </c>
      <c r="C1054" s="645" t="s">
        <v>670</v>
      </c>
      <c r="D1054" s="422" t="s">
        <v>902</v>
      </c>
      <c r="E1054" s="423"/>
      <c r="F1054" s="424"/>
      <c r="G1054" s="425"/>
      <c r="H1054" s="651"/>
      <c r="I1054" s="420">
        <v>1909.33</v>
      </c>
      <c r="J1054" s="420">
        <f t="shared" si="293"/>
        <v>1909.33</v>
      </c>
      <c r="K1054" s="421">
        <f t="shared" si="292"/>
        <v>2268.4699999999998</v>
      </c>
      <c r="L1054" s="647" t="s">
        <v>2065</v>
      </c>
      <c r="M1054" s="576"/>
      <c r="N1054" s="576">
        <f t="shared" si="295"/>
        <v>0</v>
      </c>
      <c r="O1054" s="577">
        <f t="shared" si="289"/>
        <v>0</v>
      </c>
      <c r="P1054" s="578">
        <f t="shared" si="290"/>
        <v>0</v>
      </c>
      <c r="Q1054" s="765"/>
      <c r="R1054" s="576">
        <f t="shared" si="286"/>
        <v>0</v>
      </c>
      <c r="S1054" s="576">
        <f t="shared" si="286"/>
        <v>0</v>
      </c>
      <c r="T1054" s="577">
        <f t="shared" si="287"/>
        <v>0</v>
      </c>
      <c r="U1054" s="578">
        <f t="shared" si="288"/>
        <v>0</v>
      </c>
      <c r="V1054" s="579"/>
      <c r="W1054" s="566"/>
      <c r="X1054" s="586" t="str">
        <f t="shared" si="291"/>
        <v/>
      </c>
      <c r="Y1054" s="586" t="str">
        <f t="shared" si="285"/>
        <v/>
      </c>
      <c r="Z1054" s="586" t="str">
        <f t="shared" si="294"/>
        <v/>
      </c>
    </row>
    <row r="1055" spans="1:26" ht="23.25" hidden="1" thickBot="1" x14ac:dyDescent="0.25">
      <c r="A1055" s="567">
        <v>101504</v>
      </c>
      <c r="B1055" s="644">
        <v>101504</v>
      </c>
      <c r="C1055" s="645" t="s">
        <v>670</v>
      </c>
      <c r="D1055" s="422" t="s">
        <v>903</v>
      </c>
      <c r="E1055" s="423"/>
      <c r="F1055" s="424"/>
      <c r="G1055" s="425"/>
      <c r="H1055" s="651"/>
      <c r="I1055" s="420">
        <v>2103.35</v>
      </c>
      <c r="J1055" s="420">
        <f t="shared" si="293"/>
        <v>2103.35</v>
      </c>
      <c r="K1055" s="421">
        <f t="shared" si="292"/>
        <v>2498.9899999999998</v>
      </c>
      <c r="L1055" s="647" t="s">
        <v>2065</v>
      </c>
      <c r="M1055" s="576"/>
      <c r="N1055" s="576">
        <f t="shared" si="295"/>
        <v>0</v>
      </c>
      <c r="O1055" s="577">
        <f t="shared" si="289"/>
        <v>0</v>
      </c>
      <c r="P1055" s="578">
        <f t="shared" si="290"/>
        <v>0</v>
      </c>
      <c r="Q1055" s="765"/>
      <c r="R1055" s="576">
        <f t="shared" si="286"/>
        <v>0</v>
      </c>
      <c r="S1055" s="576">
        <f t="shared" si="286"/>
        <v>0</v>
      </c>
      <c r="T1055" s="577">
        <f t="shared" si="287"/>
        <v>0</v>
      </c>
      <c r="U1055" s="578">
        <f t="shared" si="288"/>
        <v>0</v>
      </c>
      <c r="V1055" s="579"/>
      <c r="W1055" s="566"/>
      <c r="X1055" s="586" t="str">
        <f t="shared" si="291"/>
        <v/>
      </c>
      <c r="Y1055" s="586" t="str">
        <f t="shared" si="285"/>
        <v/>
      </c>
      <c r="Z1055" s="586" t="str">
        <f t="shared" si="294"/>
        <v/>
      </c>
    </row>
    <row r="1056" spans="1:26" ht="23.25" hidden="1" thickBot="1" x14ac:dyDescent="0.25">
      <c r="A1056" s="567">
        <v>101505</v>
      </c>
      <c r="B1056" s="644">
        <v>101505</v>
      </c>
      <c r="C1056" s="645" t="s">
        <v>670</v>
      </c>
      <c r="D1056" s="422" t="s">
        <v>904</v>
      </c>
      <c r="E1056" s="423"/>
      <c r="F1056" s="424"/>
      <c r="G1056" s="425"/>
      <c r="H1056" s="651"/>
      <c r="I1056" s="420">
        <v>1850.2</v>
      </c>
      <c r="J1056" s="420">
        <f t="shared" si="293"/>
        <v>1850.2</v>
      </c>
      <c r="K1056" s="421">
        <f t="shared" si="292"/>
        <v>2198.2199999999998</v>
      </c>
      <c r="L1056" s="647" t="s">
        <v>2065</v>
      </c>
      <c r="M1056" s="576"/>
      <c r="N1056" s="576">
        <f t="shared" si="295"/>
        <v>0</v>
      </c>
      <c r="O1056" s="577">
        <f t="shared" si="289"/>
        <v>0</v>
      </c>
      <c r="P1056" s="578">
        <f t="shared" si="290"/>
        <v>0</v>
      </c>
      <c r="Q1056" s="765"/>
      <c r="R1056" s="576">
        <f t="shared" si="286"/>
        <v>0</v>
      </c>
      <c r="S1056" s="576">
        <f t="shared" si="286"/>
        <v>0</v>
      </c>
      <c r="T1056" s="577">
        <f t="shared" si="287"/>
        <v>0</v>
      </c>
      <c r="U1056" s="578">
        <f t="shared" si="288"/>
        <v>0</v>
      </c>
      <c r="V1056" s="579"/>
      <c r="W1056" s="566"/>
      <c r="X1056" s="586" t="str">
        <f t="shared" si="291"/>
        <v/>
      </c>
      <c r="Y1056" s="586" t="str">
        <f t="shared" si="285"/>
        <v/>
      </c>
      <c r="Z1056" s="586" t="str">
        <f t="shared" si="294"/>
        <v/>
      </c>
    </row>
    <row r="1057" spans="1:26" ht="23.25" hidden="1" thickBot="1" x14ac:dyDescent="0.25">
      <c r="A1057" s="567">
        <v>101506</v>
      </c>
      <c r="B1057" s="644">
        <v>101506</v>
      </c>
      <c r="C1057" s="645" t="s">
        <v>670</v>
      </c>
      <c r="D1057" s="422" t="s">
        <v>905</v>
      </c>
      <c r="E1057" s="423"/>
      <c r="F1057" s="424"/>
      <c r="G1057" s="425"/>
      <c r="H1057" s="651"/>
      <c r="I1057" s="420">
        <v>2037.13</v>
      </c>
      <c r="J1057" s="420">
        <f t="shared" si="293"/>
        <v>2037.13</v>
      </c>
      <c r="K1057" s="421">
        <f t="shared" si="292"/>
        <v>2420.31</v>
      </c>
      <c r="L1057" s="647" t="s">
        <v>2065</v>
      </c>
      <c r="M1057" s="576"/>
      <c r="N1057" s="576">
        <f t="shared" si="295"/>
        <v>0</v>
      </c>
      <c r="O1057" s="577">
        <f t="shared" si="289"/>
        <v>0</v>
      </c>
      <c r="P1057" s="578">
        <f t="shared" si="290"/>
        <v>0</v>
      </c>
      <c r="Q1057" s="765"/>
      <c r="R1057" s="576">
        <f t="shared" si="286"/>
        <v>0</v>
      </c>
      <c r="S1057" s="576">
        <f t="shared" si="286"/>
        <v>0</v>
      </c>
      <c r="T1057" s="577">
        <f t="shared" si="287"/>
        <v>0</v>
      </c>
      <c r="U1057" s="578">
        <f t="shared" si="288"/>
        <v>0</v>
      </c>
      <c r="V1057" s="579"/>
      <c r="W1057" s="566"/>
      <c r="X1057" s="586" t="str">
        <f t="shared" si="291"/>
        <v/>
      </c>
      <c r="Y1057" s="586" t="str">
        <f t="shared" si="285"/>
        <v/>
      </c>
      <c r="Z1057" s="586" t="str">
        <f t="shared" si="294"/>
        <v/>
      </c>
    </row>
    <row r="1058" spans="1:26" ht="23.25" hidden="1" thickBot="1" x14ac:dyDescent="0.25">
      <c r="A1058" s="567">
        <v>101507</v>
      </c>
      <c r="B1058" s="644">
        <v>101507</v>
      </c>
      <c r="C1058" s="645" t="s">
        <v>670</v>
      </c>
      <c r="D1058" s="422" t="s">
        <v>906</v>
      </c>
      <c r="E1058" s="423"/>
      <c r="F1058" s="424"/>
      <c r="G1058" s="425"/>
      <c r="H1058" s="651"/>
      <c r="I1058" s="420">
        <v>2097.0700000000002</v>
      </c>
      <c r="J1058" s="420">
        <f t="shared" si="293"/>
        <v>2097.0700000000002</v>
      </c>
      <c r="K1058" s="421">
        <f t="shared" si="292"/>
        <v>2491.5300000000002</v>
      </c>
      <c r="L1058" s="647" t="s">
        <v>2065</v>
      </c>
      <c r="M1058" s="576"/>
      <c r="N1058" s="576">
        <f t="shared" si="295"/>
        <v>0</v>
      </c>
      <c r="O1058" s="577">
        <f t="shared" si="289"/>
        <v>0</v>
      </c>
      <c r="P1058" s="578">
        <f t="shared" si="290"/>
        <v>0</v>
      </c>
      <c r="Q1058" s="765"/>
      <c r="R1058" s="576">
        <f t="shared" si="286"/>
        <v>0</v>
      </c>
      <c r="S1058" s="576">
        <f t="shared" si="286"/>
        <v>0</v>
      </c>
      <c r="T1058" s="577">
        <f t="shared" si="287"/>
        <v>0</v>
      </c>
      <c r="U1058" s="578">
        <f t="shared" si="288"/>
        <v>0</v>
      </c>
      <c r="V1058" s="579"/>
      <c r="W1058" s="566"/>
      <c r="X1058" s="586" t="str">
        <f t="shared" si="291"/>
        <v/>
      </c>
      <c r="Y1058" s="586" t="str">
        <f t="shared" si="285"/>
        <v/>
      </c>
      <c r="Z1058" s="586" t="str">
        <f t="shared" si="294"/>
        <v/>
      </c>
    </row>
    <row r="1059" spans="1:26" ht="23.25" hidden="1" thickBot="1" x14ac:dyDescent="0.25">
      <c r="A1059" s="567">
        <v>101508</v>
      </c>
      <c r="B1059" s="644">
        <v>101508</v>
      </c>
      <c r="C1059" s="645" t="s">
        <v>670</v>
      </c>
      <c r="D1059" s="422" t="s">
        <v>907</v>
      </c>
      <c r="E1059" s="423"/>
      <c r="F1059" s="424"/>
      <c r="G1059" s="425"/>
      <c r="H1059" s="651"/>
      <c r="I1059" s="420">
        <v>2344.09</v>
      </c>
      <c r="J1059" s="420">
        <f t="shared" si="293"/>
        <v>2344.09</v>
      </c>
      <c r="K1059" s="421">
        <f t="shared" si="292"/>
        <v>2785.01</v>
      </c>
      <c r="L1059" s="647" t="s">
        <v>2065</v>
      </c>
      <c r="M1059" s="576"/>
      <c r="N1059" s="576">
        <f t="shared" si="295"/>
        <v>0</v>
      </c>
      <c r="O1059" s="577">
        <f t="shared" si="289"/>
        <v>0</v>
      </c>
      <c r="P1059" s="578">
        <f t="shared" si="290"/>
        <v>0</v>
      </c>
      <c r="Q1059" s="765"/>
      <c r="R1059" s="576">
        <f t="shared" si="286"/>
        <v>0</v>
      </c>
      <c r="S1059" s="576">
        <f t="shared" si="286"/>
        <v>0</v>
      </c>
      <c r="T1059" s="577">
        <f t="shared" si="287"/>
        <v>0</v>
      </c>
      <c r="U1059" s="578">
        <f t="shared" si="288"/>
        <v>0</v>
      </c>
      <c r="V1059" s="579"/>
      <c r="W1059" s="566"/>
      <c r="X1059" s="586" t="str">
        <f t="shared" si="291"/>
        <v/>
      </c>
      <c r="Y1059" s="586" t="str">
        <f t="shared" ref="Y1059:Y1122" si="296">IF(W1059="X","x",IF(W1059="y","x",IF(W1059="xx","x",IF(U1059&gt;0,"x",""))))</f>
        <v/>
      </c>
      <c r="Z1059" s="586" t="str">
        <f t="shared" si="294"/>
        <v/>
      </c>
    </row>
    <row r="1060" spans="1:26" ht="23.25" hidden="1" thickBot="1" x14ac:dyDescent="0.25">
      <c r="A1060" s="567">
        <v>101509</v>
      </c>
      <c r="B1060" s="644">
        <v>101509</v>
      </c>
      <c r="C1060" s="645" t="s">
        <v>670</v>
      </c>
      <c r="D1060" s="422" t="s">
        <v>908</v>
      </c>
      <c r="E1060" s="423"/>
      <c r="F1060" s="424"/>
      <c r="G1060" s="425"/>
      <c r="H1060" s="651"/>
      <c r="I1060" s="420">
        <v>2006.91</v>
      </c>
      <c r="J1060" s="420">
        <f t="shared" si="293"/>
        <v>2006.91</v>
      </c>
      <c r="K1060" s="421">
        <f t="shared" si="292"/>
        <v>2384.41</v>
      </c>
      <c r="L1060" s="647" t="s">
        <v>2065</v>
      </c>
      <c r="M1060" s="576"/>
      <c r="N1060" s="576">
        <f t="shared" si="295"/>
        <v>0</v>
      </c>
      <c r="O1060" s="577">
        <f t="shared" si="289"/>
        <v>0</v>
      </c>
      <c r="P1060" s="578">
        <f t="shared" si="290"/>
        <v>0</v>
      </c>
      <c r="Q1060" s="765"/>
      <c r="R1060" s="576">
        <f t="shared" si="286"/>
        <v>0</v>
      </c>
      <c r="S1060" s="576">
        <f t="shared" si="286"/>
        <v>0</v>
      </c>
      <c r="T1060" s="577">
        <f t="shared" si="287"/>
        <v>0</v>
      </c>
      <c r="U1060" s="578">
        <f t="shared" si="288"/>
        <v>0</v>
      </c>
      <c r="V1060" s="579"/>
      <c r="W1060" s="566"/>
      <c r="X1060" s="586" t="str">
        <f t="shared" si="291"/>
        <v/>
      </c>
      <c r="Y1060" s="586" t="str">
        <f t="shared" si="296"/>
        <v/>
      </c>
      <c r="Z1060" s="586" t="str">
        <f t="shared" si="294"/>
        <v/>
      </c>
    </row>
    <row r="1061" spans="1:26" ht="23.25" hidden="1" thickBot="1" x14ac:dyDescent="0.25">
      <c r="A1061" s="567">
        <v>101510</v>
      </c>
      <c r="B1061" s="644">
        <v>101510</v>
      </c>
      <c r="C1061" s="645" t="s">
        <v>670</v>
      </c>
      <c r="D1061" s="422" t="s">
        <v>909</v>
      </c>
      <c r="E1061" s="423"/>
      <c r="F1061" s="424"/>
      <c r="G1061" s="425"/>
      <c r="H1061" s="651"/>
      <c r="I1061" s="420">
        <v>2193.84</v>
      </c>
      <c r="J1061" s="420">
        <f t="shared" si="293"/>
        <v>2193.84</v>
      </c>
      <c r="K1061" s="421">
        <f t="shared" si="292"/>
        <v>2606.5</v>
      </c>
      <c r="L1061" s="647" t="s">
        <v>2065</v>
      </c>
      <c r="M1061" s="576"/>
      <c r="N1061" s="576">
        <f t="shared" si="295"/>
        <v>0</v>
      </c>
      <c r="O1061" s="577">
        <f t="shared" si="289"/>
        <v>0</v>
      </c>
      <c r="P1061" s="578">
        <f t="shared" si="290"/>
        <v>0</v>
      </c>
      <c r="Q1061" s="765"/>
      <c r="R1061" s="576">
        <f t="shared" si="286"/>
        <v>0</v>
      </c>
      <c r="S1061" s="576">
        <f t="shared" si="286"/>
        <v>0</v>
      </c>
      <c r="T1061" s="577">
        <f t="shared" si="287"/>
        <v>0</v>
      </c>
      <c r="U1061" s="578">
        <f t="shared" si="288"/>
        <v>0</v>
      </c>
      <c r="V1061" s="579"/>
      <c r="W1061" s="566"/>
      <c r="X1061" s="586" t="str">
        <f t="shared" si="291"/>
        <v/>
      </c>
      <c r="Y1061" s="586" t="str">
        <f t="shared" si="296"/>
        <v/>
      </c>
      <c r="Z1061" s="586" t="str">
        <f t="shared" si="294"/>
        <v/>
      </c>
    </row>
    <row r="1062" spans="1:26" ht="23.25" hidden="1" thickBot="1" x14ac:dyDescent="0.25">
      <c r="A1062" s="567">
        <v>101511</v>
      </c>
      <c r="B1062" s="644">
        <v>101511</v>
      </c>
      <c r="C1062" s="645" t="s">
        <v>670</v>
      </c>
      <c r="D1062" s="422" t="s">
        <v>910</v>
      </c>
      <c r="E1062" s="423"/>
      <c r="F1062" s="424"/>
      <c r="G1062" s="425"/>
      <c r="H1062" s="651"/>
      <c r="I1062" s="420">
        <v>2253.7800000000002</v>
      </c>
      <c r="J1062" s="420">
        <f t="shared" si="293"/>
        <v>2253.7800000000002</v>
      </c>
      <c r="K1062" s="421">
        <f t="shared" si="292"/>
        <v>2677.72</v>
      </c>
      <c r="L1062" s="647" t="s">
        <v>2065</v>
      </c>
      <c r="M1062" s="576"/>
      <c r="N1062" s="576">
        <f t="shared" si="295"/>
        <v>0</v>
      </c>
      <c r="O1062" s="577">
        <f t="shared" si="289"/>
        <v>0</v>
      </c>
      <c r="P1062" s="578">
        <f t="shared" si="290"/>
        <v>0</v>
      </c>
      <c r="Q1062" s="765"/>
      <c r="R1062" s="576">
        <f t="shared" si="286"/>
        <v>0</v>
      </c>
      <c r="S1062" s="576">
        <f t="shared" si="286"/>
        <v>0</v>
      </c>
      <c r="T1062" s="577">
        <f t="shared" si="287"/>
        <v>0</v>
      </c>
      <c r="U1062" s="578">
        <f t="shared" si="288"/>
        <v>0</v>
      </c>
      <c r="V1062" s="579"/>
      <c r="W1062" s="566"/>
      <c r="X1062" s="586" t="str">
        <f t="shared" si="291"/>
        <v/>
      </c>
      <c r="Y1062" s="586" t="str">
        <f t="shared" si="296"/>
        <v/>
      </c>
      <c r="Z1062" s="586" t="str">
        <f t="shared" si="294"/>
        <v/>
      </c>
    </row>
    <row r="1063" spans="1:26" ht="23.25" hidden="1" thickBot="1" x14ac:dyDescent="0.25">
      <c r="A1063" s="567">
        <v>101512</v>
      </c>
      <c r="B1063" s="644">
        <v>101512</v>
      </c>
      <c r="C1063" s="645" t="s">
        <v>670</v>
      </c>
      <c r="D1063" s="422" t="s">
        <v>911</v>
      </c>
      <c r="E1063" s="423"/>
      <c r="F1063" s="424"/>
      <c r="G1063" s="425"/>
      <c r="H1063" s="651"/>
      <c r="I1063" s="420">
        <v>2500.8000000000002</v>
      </c>
      <c r="J1063" s="420">
        <f t="shared" si="293"/>
        <v>2500.8000000000002</v>
      </c>
      <c r="K1063" s="421">
        <f t="shared" si="292"/>
        <v>2971.2</v>
      </c>
      <c r="L1063" s="647" t="s">
        <v>2065</v>
      </c>
      <c r="M1063" s="576"/>
      <c r="N1063" s="576">
        <f t="shared" si="295"/>
        <v>0</v>
      </c>
      <c r="O1063" s="577">
        <f t="shared" si="289"/>
        <v>0</v>
      </c>
      <c r="P1063" s="578">
        <f t="shared" si="290"/>
        <v>0</v>
      </c>
      <c r="Q1063" s="765"/>
      <c r="R1063" s="576">
        <f t="shared" si="286"/>
        <v>0</v>
      </c>
      <c r="S1063" s="576">
        <f t="shared" si="286"/>
        <v>0</v>
      </c>
      <c r="T1063" s="577">
        <f t="shared" si="287"/>
        <v>0</v>
      </c>
      <c r="U1063" s="578">
        <f t="shared" si="288"/>
        <v>0</v>
      </c>
      <c r="V1063" s="579"/>
      <c r="W1063" s="566"/>
      <c r="X1063" s="586" t="str">
        <f t="shared" si="291"/>
        <v/>
      </c>
      <c r="Y1063" s="586" t="str">
        <f t="shared" si="296"/>
        <v/>
      </c>
      <c r="Z1063" s="586" t="str">
        <f t="shared" si="294"/>
        <v/>
      </c>
    </row>
    <row r="1064" spans="1:26" ht="23.25" hidden="1" thickBot="1" x14ac:dyDescent="0.25">
      <c r="A1064" s="567">
        <v>101513</v>
      </c>
      <c r="B1064" s="644">
        <v>101513</v>
      </c>
      <c r="C1064" s="645" t="s">
        <v>670</v>
      </c>
      <c r="D1064" s="422" t="s">
        <v>912</v>
      </c>
      <c r="E1064" s="423"/>
      <c r="F1064" s="424"/>
      <c r="G1064" s="425"/>
      <c r="H1064" s="651"/>
      <c r="I1064" s="420">
        <v>810.41</v>
      </c>
      <c r="J1064" s="420">
        <f t="shared" si="293"/>
        <v>810.41</v>
      </c>
      <c r="K1064" s="421">
        <f t="shared" si="292"/>
        <v>962.85</v>
      </c>
      <c r="L1064" s="647" t="s">
        <v>2065</v>
      </c>
      <c r="M1064" s="576"/>
      <c r="N1064" s="576">
        <f t="shared" si="295"/>
        <v>0</v>
      </c>
      <c r="O1064" s="577">
        <f t="shared" si="289"/>
        <v>0</v>
      </c>
      <c r="P1064" s="578">
        <f t="shared" si="290"/>
        <v>0</v>
      </c>
      <c r="Q1064" s="765"/>
      <c r="R1064" s="576">
        <f t="shared" si="286"/>
        <v>0</v>
      </c>
      <c r="S1064" s="576">
        <f t="shared" si="286"/>
        <v>0</v>
      </c>
      <c r="T1064" s="577">
        <f t="shared" si="287"/>
        <v>0</v>
      </c>
      <c r="U1064" s="578">
        <f t="shared" si="288"/>
        <v>0</v>
      </c>
      <c r="V1064" s="579"/>
      <c r="W1064" s="566"/>
      <c r="X1064" s="586" t="str">
        <f t="shared" si="291"/>
        <v/>
      </c>
      <c r="Y1064" s="586" t="str">
        <f t="shared" si="296"/>
        <v/>
      </c>
      <c r="Z1064" s="586" t="str">
        <f t="shared" si="294"/>
        <v/>
      </c>
    </row>
    <row r="1065" spans="1:26" ht="23.25" hidden="1" thickBot="1" x14ac:dyDescent="0.25">
      <c r="A1065" s="567">
        <v>101514</v>
      </c>
      <c r="B1065" s="644">
        <v>101514</v>
      </c>
      <c r="C1065" s="645" t="s">
        <v>670</v>
      </c>
      <c r="D1065" s="422" t="s">
        <v>913</v>
      </c>
      <c r="E1065" s="423"/>
      <c r="F1065" s="424"/>
      <c r="G1065" s="425"/>
      <c r="H1065" s="651"/>
      <c r="I1065" s="420">
        <v>921.56</v>
      </c>
      <c r="J1065" s="420">
        <f t="shared" si="293"/>
        <v>921.56</v>
      </c>
      <c r="K1065" s="421">
        <f t="shared" si="292"/>
        <v>1094.9100000000001</v>
      </c>
      <c r="L1065" s="647" t="s">
        <v>2065</v>
      </c>
      <c r="M1065" s="576"/>
      <c r="N1065" s="576">
        <f t="shared" si="295"/>
        <v>0</v>
      </c>
      <c r="O1065" s="577">
        <f t="shared" si="289"/>
        <v>0</v>
      </c>
      <c r="P1065" s="578">
        <f t="shared" si="290"/>
        <v>0</v>
      </c>
      <c r="Q1065" s="765"/>
      <c r="R1065" s="576">
        <f t="shared" si="286"/>
        <v>0</v>
      </c>
      <c r="S1065" s="576">
        <f t="shared" si="286"/>
        <v>0</v>
      </c>
      <c r="T1065" s="577">
        <f t="shared" si="287"/>
        <v>0</v>
      </c>
      <c r="U1065" s="578">
        <f t="shared" si="288"/>
        <v>0</v>
      </c>
      <c r="V1065" s="579"/>
      <c r="W1065" s="566"/>
      <c r="X1065" s="586" t="str">
        <f t="shared" si="291"/>
        <v/>
      </c>
      <c r="Y1065" s="586" t="str">
        <f t="shared" si="296"/>
        <v/>
      </c>
      <c r="Z1065" s="586" t="str">
        <f t="shared" si="294"/>
        <v/>
      </c>
    </row>
    <row r="1066" spans="1:26" ht="23.25" hidden="1" thickBot="1" x14ac:dyDescent="0.25">
      <c r="A1066" s="567">
        <v>101515</v>
      </c>
      <c r="B1066" s="644">
        <v>101515</v>
      </c>
      <c r="C1066" s="645" t="s">
        <v>670</v>
      </c>
      <c r="D1066" s="422" t="s">
        <v>914</v>
      </c>
      <c r="E1066" s="423"/>
      <c r="F1066" s="424"/>
      <c r="G1066" s="425"/>
      <c r="H1066" s="651"/>
      <c r="I1066" s="420">
        <v>957.2</v>
      </c>
      <c r="J1066" s="420">
        <f t="shared" si="293"/>
        <v>957.2</v>
      </c>
      <c r="K1066" s="421">
        <f t="shared" si="292"/>
        <v>1137.25</v>
      </c>
      <c r="L1066" s="647" t="s">
        <v>2065</v>
      </c>
      <c r="M1066" s="576"/>
      <c r="N1066" s="576">
        <f t="shared" si="295"/>
        <v>0</v>
      </c>
      <c r="O1066" s="577">
        <f t="shared" si="289"/>
        <v>0</v>
      </c>
      <c r="P1066" s="578">
        <f t="shared" si="290"/>
        <v>0</v>
      </c>
      <c r="Q1066" s="765"/>
      <c r="R1066" s="576">
        <f t="shared" si="286"/>
        <v>0</v>
      </c>
      <c r="S1066" s="576">
        <f t="shared" si="286"/>
        <v>0</v>
      </c>
      <c r="T1066" s="577">
        <f t="shared" si="287"/>
        <v>0</v>
      </c>
      <c r="U1066" s="578">
        <f t="shared" si="288"/>
        <v>0</v>
      </c>
      <c r="V1066" s="579"/>
      <c r="W1066" s="566"/>
      <c r="X1066" s="586" t="str">
        <f t="shared" si="291"/>
        <v/>
      </c>
      <c r="Y1066" s="586" t="str">
        <f t="shared" si="296"/>
        <v/>
      </c>
      <c r="Z1066" s="586" t="str">
        <f t="shared" si="294"/>
        <v/>
      </c>
    </row>
    <row r="1067" spans="1:26" ht="23.25" hidden="1" thickBot="1" x14ac:dyDescent="0.25">
      <c r="A1067" s="567">
        <v>101516</v>
      </c>
      <c r="B1067" s="644">
        <v>101516</v>
      </c>
      <c r="C1067" s="645" t="s">
        <v>670</v>
      </c>
      <c r="D1067" s="422" t="s">
        <v>915</v>
      </c>
      <c r="E1067" s="423"/>
      <c r="F1067" s="424"/>
      <c r="G1067" s="425"/>
      <c r="H1067" s="651"/>
      <c r="I1067" s="420">
        <v>1083.26</v>
      </c>
      <c r="J1067" s="420">
        <f t="shared" si="293"/>
        <v>1083.26</v>
      </c>
      <c r="K1067" s="421">
        <f t="shared" si="292"/>
        <v>1287.02</v>
      </c>
      <c r="L1067" s="647" t="s">
        <v>2065</v>
      </c>
      <c r="M1067" s="576"/>
      <c r="N1067" s="576">
        <f t="shared" si="295"/>
        <v>0</v>
      </c>
      <c r="O1067" s="577">
        <f t="shared" si="289"/>
        <v>0</v>
      </c>
      <c r="P1067" s="578">
        <f t="shared" si="290"/>
        <v>0</v>
      </c>
      <c r="Q1067" s="765"/>
      <c r="R1067" s="576">
        <f t="shared" si="286"/>
        <v>0</v>
      </c>
      <c r="S1067" s="576">
        <f t="shared" si="286"/>
        <v>0</v>
      </c>
      <c r="T1067" s="577">
        <f t="shared" si="287"/>
        <v>0</v>
      </c>
      <c r="U1067" s="578">
        <f t="shared" si="288"/>
        <v>0</v>
      </c>
      <c r="V1067" s="579"/>
      <c r="W1067" s="566"/>
      <c r="X1067" s="586" t="str">
        <f t="shared" si="291"/>
        <v/>
      </c>
      <c r="Y1067" s="586" t="str">
        <f t="shared" si="296"/>
        <v/>
      </c>
      <c r="Z1067" s="586" t="str">
        <f t="shared" si="294"/>
        <v/>
      </c>
    </row>
    <row r="1068" spans="1:26" ht="23.25" hidden="1" thickBot="1" x14ac:dyDescent="0.25">
      <c r="A1068" s="567">
        <v>101517</v>
      </c>
      <c r="B1068" s="644">
        <v>101517</v>
      </c>
      <c r="C1068" s="645" t="s">
        <v>670</v>
      </c>
      <c r="D1068" s="422" t="s">
        <v>916</v>
      </c>
      <c r="E1068" s="423"/>
      <c r="F1068" s="424"/>
      <c r="G1068" s="425"/>
      <c r="H1068" s="651"/>
      <c r="I1068" s="420">
        <v>793.49</v>
      </c>
      <c r="J1068" s="420">
        <f t="shared" si="293"/>
        <v>793.49</v>
      </c>
      <c r="K1068" s="421">
        <f t="shared" si="292"/>
        <v>942.75</v>
      </c>
      <c r="L1068" s="647" t="s">
        <v>2065</v>
      </c>
      <c r="M1068" s="576"/>
      <c r="N1068" s="576">
        <f t="shared" si="295"/>
        <v>0</v>
      </c>
      <c r="O1068" s="577">
        <f t="shared" si="289"/>
        <v>0</v>
      </c>
      <c r="P1068" s="578">
        <f t="shared" si="290"/>
        <v>0</v>
      </c>
      <c r="Q1068" s="765"/>
      <c r="R1068" s="576">
        <f t="shared" si="286"/>
        <v>0</v>
      </c>
      <c r="S1068" s="576">
        <f t="shared" si="286"/>
        <v>0</v>
      </c>
      <c r="T1068" s="577">
        <f t="shared" si="287"/>
        <v>0</v>
      </c>
      <c r="U1068" s="578">
        <f t="shared" si="288"/>
        <v>0</v>
      </c>
      <c r="V1068" s="579"/>
      <c r="W1068" s="566"/>
      <c r="X1068" s="586" t="str">
        <f t="shared" si="291"/>
        <v/>
      </c>
      <c r="Y1068" s="586" t="str">
        <f t="shared" si="296"/>
        <v/>
      </c>
      <c r="Z1068" s="586" t="str">
        <f t="shared" si="294"/>
        <v/>
      </c>
    </row>
    <row r="1069" spans="1:26" ht="23.25" hidden="1" thickBot="1" x14ac:dyDescent="0.25">
      <c r="A1069" s="567">
        <v>101518</v>
      </c>
      <c r="B1069" s="644">
        <v>101518</v>
      </c>
      <c r="C1069" s="645" t="s">
        <v>670</v>
      </c>
      <c r="D1069" s="422" t="s">
        <v>917</v>
      </c>
      <c r="E1069" s="423"/>
      <c r="F1069" s="424"/>
      <c r="G1069" s="425"/>
      <c r="H1069" s="651"/>
      <c r="I1069" s="420">
        <v>904.64</v>
      </c>
      <c r="J1069" s="420">
        <f t="shared" si="293"/>
        <v>904.64</v>
      </c>
      <c r="K1069" s="421">
        <f t="shared" si="292"/>
        <v>1074.8</v>
      </c>
      <c r="L1069" s="647" t="s">
        <v>2065</v>
      </c>
      <c r="M1069" s="576"/>
      <c r="N1069" s="576">
        <f t="shared" si="295"/>
        <v>0</v>
      </c>
      <c r="O1069" s="577">
        <f t="shared" si="289"/>
        <v>0</v>
      </c>
      <c r="P1069" s="578">
        <f t="shared" si="290"/>
        <v>0</v>
      </c>
      <c r="Q1069" s="765"/>
      <c r="R1069" s="576">
        <f t="shared" si="286"/>
        <v>0</v>
      </c>
      <c r="S1069" s="576">
        <f t="shared" si="286"/>
        <v>0</v>
      </c>
      <c r="T1069" s="577">
        <f t="shared" si="287"/>
        <v>0</v>
      </c>
      <c r="U1069" s="578">
        <f t="shared" si="288"/>
        <v>0</v>
      </c>
      <c r="V1069" s="579"/>
      <c r="W1069" s="566"/>
      <c r="X1069" s="586" t="str">
        <f t="shared" si="291"/>
        <v/>
      </c>
      <c r="Y1069" s="586" t="str">
        <f t="shared" si="296"/>
        <v/>
      </c>
      <c r="Z1069" s="586" t="str">
        <f t="shared" si="294"/>
        <v/>
      </c>
    </row>
    <row r="1070" spans="1:26" ht="23.25" hidden="1" thickBot="1" x14ac:dyDescent="0.25">
      <c r="A1070" s="567">
        <v>101519</v>
      </c>
      <c r="B1070" s="644">
        <v>101519</v>
      </c>
      <c r="C1070" s="645" t="s">
        <v>670</v>
      </c>
      <c r="D1070" s="422" t="s">
        <v>918</v>
      </c>
      <c r="E1070" s="423"/>
      <c r="F1070" s="424"/>
      <c r="G1070" s="425"/>
      <c r="H1070" s="651"/>
      <c r="I1070" s="420">
        <v>940.28</v>
      </c>
      <c r="J1070" s="420">
        <f t="shared" si="293"/>
        <v>940.28</v>
      </c>
      <c r="K1070" s="421">
        <f t="shared" si="292"/>
        <v>1117.1500000000001</v>
      </c>
      <c r="L1070" s="647" t="s">
        <v>2065</v>
      </c>
      <c r="M1070" s="576"/>
      <c r="N1070" s="576">
        <f t="shared" si="295"/>
        <v>0</v>
      </c>
      <c r="O1070" s="577">
        <f t="shared" si="289"/>
        <v>0</v>
      </c>
      <c r="P1070" s="578">
        <f t="shared" si="290"/>
        <v>0</v>
      </c>
      <c r="Q1070" s="765"/>
      <c r="R1070" s="576">
        <f t="shared" si="286"/>
        <v>0</v>
      </c>
      <c r="S1070" s="576">
        <f t="shared" si="286"/>
        <v>0</v>
      </c>
      <c r="T1070" s="577">
        <f t="shared" si="287"/>
        <v>0</v>
      </c>
      <c r="U1070" s="578">
        <f t="shared" si="288"/>
        <v>0</v>
      </c>
      <c r="V1070" s="579"/>
      <c r="W1070" s="566"/>
      <c r="X1070" s="586" t="str">
        <f t="shared" si="291"/>
        <v/>
      </c>
      <c r="Y1070" s="586" t="str">
        <f t="shared" si="296"/>
        <v/>
      </c>
      <c r="Z1070" s="586" t="str">
        <f t="shared" si="294"/>
        <v/>
      </c>
    </row>
    <row r="1071" spans="1:26" ht="23.25" hidden="1" thickBot="1" x14ac:dyDescent="0.25">
      <c r="A1071" s="567">
        <v>101520</v>
      </c>
      <c r="B1071" s="644">
        <v>101520</v>
      </c>
      <c r="C1071" s="645" t="s">
        <v>670</v>
      </c>
      <c r="D1071" s="422" t="s">
        <v>919</v>
      </c>
      <c r="E1071" s="423"/>
      <c r="F1071" s="424"/>
      <c r="G1071" s="425"/>
      <c r="H1071" s="651"/>
      <c r="I1071" s="420">
        <v>1066.3399999999999</v>
      </c>
      <c r="J1071" s="420">
        <f t="shared" si="293"/>
        <v>1066.3399999999999</v>
      </c>
      <c r="K1071" s="421">
        <f t="shared" si="292"/>
        <v>1266.92</v>
      </c>
      <c r="L1071" s="647" t="s">
        <v>2065</v>
      </c>
      <c r="M1071" s="576"/>
      <c r="N1071" s="576">
        <f t="shared" si="295"/>
        <v>0</v>
      </c>
      <c r="O1071" s="577">
        <f t="shared" si="289"/>
        <v>0</v>
      </c>
      <c r="P1071" s="578">
        <f t="shared" si="290"/>
        <v>0</v>
      </c>
      <c r="Q1071" s="765"/>
      <c r="R1071" s="576">
        <f t="shared" si="286"/>
        <v>0</v>
      </c>
      <c r="S1071" s="576">
        <f t="shared" si="286"/>
        <v>0</v>
      </c>
      <c r="T1071" s="577">
        <f t="shared" si="287"/>
        <v>0</v>
      </c>
      <c r="U1071" s="578">
        <f t="shared" si="288"/>
        <v>0</v>
      </c>
      <c r="V1071" s="579"/>
      <c r="W1071" s="566"/>
      <c r="X1071" s="586" t="str">
        <f t="shared" si="291"/>
        <v/>
      </c>
      <c r="Y1071" s="586" t="str">
        <f t="shared" si="296"/>
        <v/>
      </c>
      <c r="Z1071" s="586" t="str">
        <f t="shared" si="294"/>
        <v/>
      </c>
    </row>
    <row r="1072" spans="1:26" ht="23.25" hidden="1" thickBot="1" x14ac:dyDescent="0.25">
      <c r="A1072" s="567">
        <v>101521</v>
      </c>
      <c r="B1072" s="644">
        <v>101521</v>
      </c>
      <c r="C1072" s="645" t="s">
        <v>670</v>
      </c>
      <c r="D1072" s="422" t="s">
        <v>920</v>
      </c>
      <c r="E1072" s="423"/>
      <c r="F1072" s="424"/>
      <c r="G1072" s="425"/>
      <c r="H1072" s="651"/>
      <c r="I1072" s="420">
        <v>1101.6300000000001</v>
      </c>
      <c r="J1072" s="420">
        <f t="shared" si="293"/>
        <v>1101.6300000000001</v>
      </c>
      <c r="K1072" s="421">
        <f t="shared" si="292"/>
        <v>1308.8499999999999</v>
      </c>
      <c r="L1072" s="647" t="s">
        <v>2065</v>
      </c>
      <c r="M1072" s="576"/>
      <c r="N1072" s="576">
        <f t="shared" si="295"/>
        <v>0</v>
      </c>
      <c r="O1072" s="577">
        <f t="shared" si="289"/>
        <v>0</v>
      </c>
      <c r="P1072" s="578">
        <f t="shared" si="290"/>
        <v>0</v>
      </c>
      <c r="Q1072" s="765"/>
      <c r="R1072" s="576">
        <f t="shared" si="286"/>
        <v>0</v>
      </c>
      <c r="S1072" s="576">
        <f t="shared" si="286"/>
        <v>0</v>
      </c>
      <c r="T1072" s="577">
        <f t="shared" si="287"/>
        <v>0</v>
      </c>
      <c r="U1072" s="578">
        <f t="shared" si="288"/>
        <v>0</v>
      </c>
      <c r="V1072" s="579"/>
      <c r="W1072" s="566"/>
      <c r="X1072" s="586" t="str">
        <f t="shared" si="291"/>
        <v/>
      </c>
      <c r="Y1072" s="586" t="str">
        <f t="shared" si="296"/>
        <v/>
      </c>
      <c r="Z1072" s="586" t="str">
        <f t="shared" si="294"/>
        <v/>
      </c>
    </row>
    <row r="1073" spans="1:26" ht="23.25" hidden="1" thickBot="1" x14ac:dyDescent="0.25">
      <c r="A1073" s="567">
        <v>101522</v>
      </c>
      <c r="B1073" s="644">
        <v>101522</v>
      </c>
      <c r="C1073" s="645" t="s">
        <v>670</v>
      </c>
      <c r="D1073" s="422" t="s">
        <v>921</v>
      </c>
      <c r="E1073" s="423"/>
      <c r="F1073" s="424"/>
      <c r="G1073" s="425"/>
      <c r="H1073" s="651"/>
      <c r="I1073" s="420">
        <v>1268.3499999999999</v>
      </c>
      <c r="J1073" s="420">
        <f t="shared" si="293"/>
        <v>1268.3499999999999</v>
      </c>
      <c r="K1073" s="421">
        <f t="shared" si="292"/>
        <v>1506.93</v>
      </c>
      <c r="L1073" s="647" t="s">
        <v>2065</v>
      </c>
      <c r="M1073" s="576"/>
      <c r="N1073" s="576">
        <f t="shared" si="295"/>
        <v>0</v>
      </c>
      <c r="O1073" s="577">
        <f t="shared" si="289"/>
        <v>0</v>
      </c>
      <c r="P1073" s="578">
        <f t="shared" si="290"/>
        <v>0</v>
      </c>
      <c r="Q1073" s="765"/>
      <c r="R1073" s="576">
        <f t="shared" si="286"/>
        <v>0</v>
      </c>
      <c r="S1073" s="576">
        <f t="shared" si="286"/>
        <v>0</v>
      </c>
      <c r="T1073" s="577">
        <f t="shared" si="287"/>
        <v>0</v>
      </c>
      <c r="U1073" s="578">
        <f t="shared" si="288"/>
        <v>0</v>
      </c>
      <c r="V1073" s="579"/>
      <c r="W1073" s="566"/>
      <c r="X1073" s="586" t="str">
        <f t="shared" si="291"/>
        <v/>
      </c>
      <c r="Y1073" s="586" t="str">
        <f t="shared" si="296"/>
        <v/>
      </c>
      <c r="Z1073" s="586" t="str">
        <f t="shared" si="294"/>
        <v/>
      </c>
    </row>
    <row r="1074" spans="1:26" ht="23.25" hidden="1" thickBot="1" x14ac:dyDescent="0.25">
      <c r="A1074" s="567">
        <v>101523</v>
      </c>
      <c r="B1074" s="644">
        <v>101523</v>
      </c>
      <c r="C1074" s="645" t="s">
        <v>670</v>
      </c>
      <c r="D1074" s="422" t="s">
        <v>922</v>
      </c>
      <c r="E1074" s="423"/>
      <c r="F1074" s="424"/>
      <c r="G1074" s="425"/>
      <c r="H1074" s="651"/>
      <c r="I1074" s="420">
        <v>1321.81</v>
      </c>
      <c r="J1074" s="420">
        <f t="shared" si="293"/>
        <v>1321.81</v>
      </c>
      <c r="K1074" s="421">
        <f t="shared" si="292"/>
        <v>1570.44</v>
      </c>
      <c r="L1074" s="647" t="s">
        <v>2065</v>
      </c>
      <c r="M1074" s="576"/>
      <c r="N1074" s="576">
        <f t="shared" si="295"/>
        <v>0</v>
      </c>
      <c r="O1074" s="577">
        <f t="shared" si="289"/>
        <v>0</v>
      </c>
      <c r="P1074" s="578">
        <f t="shared" si="290"/>
        <v>0</v>
      </c>
      <c r="Q1074" s="765"/>
      <c r="R1074" s="576">
        <f t="shared" si="286"/>
        <v>0</v>
      </c>
      <c r="S1074" s="576">
        <f t="shared" si="286"/>
        <v>0</v>
      </c>
      <c r="T1074" s="577">
        <f t="shared" si="287"/>
        <v>0</v>
      </c>
      <c r="U1074" s="578">
        <f t="shared" si="288"/>
        <v>0</v>
      </c>
      <c r="V1074" s="579"/>
      <c r="W1074" s="566"/>
      <c r="X1074" s="586" t="str">
        <f t="shared" si="291"/>
        <v/>
      </c>
      <c r="Y1074" s="586" t="str">
        <f t="shared" si="296"/>
        <v/>
      </c>
      <c r="Z1074" s="586" t="str">
        <f t="shared" si="294"/>
        <v/>
      </c>
    </row>
    <row r="1075" spans="1:26" ht="23.25" hidden="1" thickBot="1" x14ac:dyDescent="0.25">
      <c r="A1075" s="567">
        <v>101524</v>
      </c>
      <c r="B1075" s="644">
        <v>101524</v>
      </c>
      <c r="C1075" s="645" t="s">
        <v>670</v>
      </c>
      <c r="D1075" s="422" t="s">
        <v>923</v>
      </c>
      <c r="E1075" s="423"/>
      <c r="F1075" s="424"/>
      <c r="G1075" s="425"/>
      <c r="H1075" s="651"/>
      <c r="I1075" s="420">
        <v>1510.9</v>
      </c>
      <c r="J1075" s="420">
        <f t="shared" si="293"/>
        <v>1510.9</v>
      </c>
      <c r="K1075" s="421">
        <f t="shared" si="292"/>
        <v>1795.1</v>
      </c>
      <c r="L1075" s="647" t="s">
        <v>2065</v>
      </c>
      <c r="M1075" s="576"/>
      <c r="N1075" s="576">
        <f t="shared" si="295"/>
        <v>0</v>
      </c>
      <c r="O1075" s="577">
        <f t="shared" si="289"/>
        <v>0</v>
      </c>
      <c r="P1075" s="578">
        <f t="shared" si="290"/>
        <v>0</v>
      </c>
      <c r="Q1075" s="765"/>
      <c r="R1075" s="576">
        <f t="shared" si="286"/>
        <v>0</v>
      </c>
      <c r="S1075" s="576">
        <f t="shared" si="286"/>
        <v>0</v>
      </c>
      <c r="T1075" s="577">
        <f t="shared" si="287"/>
        <v>0</v>
      </c>
      <c r="U1075" s="578">
        <f t="shared" si="288"/>
        <v>0</v>
      </c>
      <c r="V1075" s="579"/>
      <c r="W1075" s="566"/>
      <c r="X1075" s="586" t="str">
        <f t="shared" si="291"/>
        <v/>
      </c>
      <c r="Y1075" s="586" t="str">
        <f t="shared" si="296"/>
        <v/>
      </c>
      <c r="Z1075" s="586" t="str">
        <f t="shared" si="294"/>
        <v/>
      </c>
    </row>
    <row r="1076" spans="1:26" ht="23.25" hidden="1" thickBot="1" x14ac:dyDescent="0.25">
      <c r="A1076" s="567">
        <v>101525</v>
      </c>
      <c r="B1076" s="644">
        <v>101525</v>
      </c>
      <c r="C1076" s="645" t="s">
        <v>670</v>
      </c>
      <c r="D1076" s="422" t="s">
        <v>924</v>
      </c>
      <c r="E1076" s="423"/>
      <c r="F1076" s="424"/>
      <c r="G1076" s="425"/>
      <c r="H1076" s="651"/>
      <c r="I1076" s="420">
        <v>1091.83</v>
      </c>
      <c r="J1076" s="420">
        <f t="shared" si="293"/>
        <v>1091.83</v>
      </c>
      <c r="K1076" s="421">
        <f t="shared" si="292"/>
        <v>1297.2</v>
      </c>
      <c r="L1076" s="647" t="s">
        <v>2065</v>
      </c>
      <c r="M1076" s="576"/>
      <c r="N1076" s="576">
        <f t="shared" si="295"/>
        <v>0</v>
      </c>
      <c r="O1076" s="577">
        <f t="shared" si="289"/>
        <v>0</v>
      </c>
      <c r="P1076" s="578">
        <f t="shared" si="290"/>
        <v>0</v>
      </c>
      <c r="Q1076" s="765"/>
      <c r="R1076" s="576">
        <f t="shared" ref="R1076:S1139" si="297">M1076</f>
        <v>0</v>
      </c>
      <c r="S1076" s="576">
        <f t="shared" si="297"/>
        <v>0</v>
      </c>
      <c r="T1076" s="577">
        <f t="shared" ref="T1076:T1139" si="298">IF(ISBLANK(R1076),0,ROUND(K1076*R1076,2))</f>
        <v>0</v>
      </c>
      <c r="U1076" s="578">
        <f t="shared" ref="U1076:U1139" si="299">IF(ISBLANK(R1076),0,ROUND(R1076*S1076,2))</f>
        <v>0</v>
      </c>
      <c r="V1076" s="579"/>
      <c r="W1076" s="566"/>
      <c r="X1076" s="586" t="str">
        <f t="shared" si="291"/>
        <v/>
      </c>
      <c r="Y1076" s="586" t="str">
        <f t="shared" si="296"/>
        <v/>
      </c>
      <c r="Z1076" s="586" t="str">
        <f t="shared" si="294"/>
        <v/>
      </c>
    </row>
    <row r="1077" spans="1:26" ht="23.25" hidden="1" thickBot="1" x14ac:dyDescent="0.25">
      <c r="A1077" s="567">
        <v>101526</v>
      </c>
      <c r="B1077" s="644">
        <v>101526</v>
      </c>
      <c r="C1077" s="645" t="s">
        <v>670</v>
      </c>
      <c r="D1077" s="422" t="s">
        <v>925</v>
      </c>
      <c r="E1077" s="423"/>
      <c r="F1077" s="424"/>
      <c r="G1077" s="425"/>
      <c r="H1077" s="651"/>
      <c r="I1077" s="420">
        <v>1258.55</v>
      </c>
      <c r="J1077" s="420">
        <f t="shared" si="293"/>
        <v>1258.55</v>
      </c>
      <c r="K1077" s="421">
        <f t="shared" si="292"/>
        <v>1495.28</v>
      </c>
      <c r="L1077" s="647" t="s">
        <v>2065</v>
      </c>
      <c r="M1077" s="576"/>
      <c r="N1077" s="576">
        <f t="shared" si="295"/>
        <v>0</v>
      </c>
      <c r="O1077" s="577">
        <f t="shared" ref="O1077:O1140" si="300">IF(ISBLANK(M1077),0,ROUND(K1077*M1077,2))</f>
        <v>0</v>
      </c>
      <c r="P1077" s="578">
        <f t="shared" ref="P1077:P1140" si="301">IF(ISBLANK(N1077),0,ROUND(M1077*N1077,2))</f>
        <v>0</v>
      </c>
      <c r="Q1077" s="765"/>
      <c r="R1077" s="576">
        <f t="shared" si="297"/>
        <v>0</v>
      </c>
      <c r="S1077" s="576">
        <f t="shared" si="297"/>
        <v>0</v>
      </c>
      <c r="T1077" s="577">
        <f t="shared" si="298"/>
        <v>0</v>
      </c>
      <c r="U1077" s="578">
        <f t="shared" si="299"/>
        <v>0</v>
      </c>
      <c r="V1077" s="579"/>
      <c r="W1077" s="566"/>
      <c r="X1077" s="586" t="str">
        <f t="shared" si="291"/>
        <v/>
      </c>
      <c r="Y1077" s="586" t="str">
        <f t="shared" si="296"/>
        <v/>
      </c>
      <c r="Z1077" s="586" t="str">
        <f t="shared" si="294"/>
        <v/>
      </c>
    </row>
    <row r="1078" spans="1:26" ht="23.25" hidden="1" thickBot="1" x14ac:dyDescent="0.25">
      <c r="A1078" s="567">
        <v>101527</v>
      </c>
      <c r="B1078" s="644">
        <v>101527</v>
      </c>
      <c r="C1078" s="645" t="s">
        <v>670</v>
      </c>
      <c r="D1078" s="422" t="s">
        <v>926</v>
      </c>
      <c r="E1078" s="423"/>
      <c r="F1078" s="424"/>
      <c r="G1078" s="425"/>
      <c r="H1078" s="651"/>
      <c r="I1078" s="420">
        <v>1312.01</v>
      </c>
      <c r="J1078" s="420">
        <f t="shared" si="293"/>
        <v>1312.01</v>
      </c>
      <c r="K1078" s="421">
        <f t="shared" si="292"/>
        <v>1558.8</v>
      </c>
      <c r="L1078" s="647" t="s">
        <v>2065</v>
      </c>
      <c r="M1078" s="576"/>
      <c r="N1078" s="576">
        <f t="shared" si="295"/>
        <v>0</v>
      </c>
      <c r="O1078" s="577">
        <f t="shared" si="300"/>
        <v>0</v>
      </c>
      <c r="P1078" s="578">
        <f t="shared" si="301"/>
        <v>0</v>
      </c>
      <c r="Q1078" s="765"/>
      <c r="R1078" s="576">
        <f t="shared" si="297"/>
        <v>0</v>
      </c>
      <c r="S1078" s="576">
        <f t="shared" si="297"/>
        <v>0</v>
      </c>
      <c r="T1078" s="577">
        <f t="shared" si="298"/>
        <v>0</v>
      </c>
      <c r="U1078" s="578">
        <f t="shared" si="299"/>
        <v>0</v>
      </c>
      <c r="V1078" s="579"/>
      <c r="W1078" s="566"/>
      <c r="X1078" s="586" t="str">
        <f t="shared" si="291"/>
        <v/>
      </c>
      <c r="Y1078" s="586" t="str">
        <f t="shared" si="296"/>
        <v/>
      </c>
      <c r="Z1078" s="586" t="str">
        <f t="shared" si="294"/>
        <v/>
      </c>
    </row>
    <row r="1079" spans="1:26" ht="23.25" hidden="1" thickBot="1" x14ac:dyDescent="0.25">
      <c r="A1079" s="567">
        <v>101528</v>
      </c>
      <c r="B1079" s="644">
        <v>101528</v>
      </c>
      <c r="C1079" s="645" t="s">
        <v>670</v>
      </c>
      <c r="D1079" s="422" t="s">
        <v>927</v>
      </c>
      <c r="E1079" s="423"/>
      <c r="F1079" s="424"/>
      <c r="G1079" s="425"/>
      <c r="H1079" s="651"/>
      <c r="I1079" s="420">
        <v>1501.1</v>
      </c>
      <c r="J1079" s="420">
        <f t="shared" si="293"/>
        <v>1501.1</v>
      </c>
      <c r="K1079" s="421">
        <f t="shared" si="292"/>
        <v>1783.46</v>
      </c>
      <c r="L1079" s="647" t="s">
        <v>2065</v>
      </c>
      <c r="M1079" s="576"/>
      <c r="N1079" s="576">
        <f t="shared" si="295"/>
        <v>0</v>
      </c>
      <c r="O1079" s="577">
        <f t="shared" si="300"/>
        <v>0</v>
      </c>
      <c r="P1079" s="578">
        <f t="shared" si="301"/>
        <v>0</v>
      </c>
      <c r="Q1079" s="765"/>
      <c r="R1079" s="576">
        <f t="shared" si="297"/>
        <v>0</v>
      </c>
      <c r="S1079" s="576">
        <f t="shared" si="297"/>
        <v>0</v>
      </c>
      <c r="T1079" s="577">
        <f t="shared" si="298"/>
        <v>0</v>
      </c>
      <c r="U1079" s="578">
        <f t="shared" si="299"/>
        <v>0</v>
      </c>
      <c r="V1079" s="579"/>
      <c r="W1079" s="566"/>
      <c r="X1079" s="586" t="str">
        <f t="shared" si="291"/>
        <v/>
      </c>
      <c r="Y1079" s="586" t="str">
        <f t="shared" si="296"/>
        <v/>
      </c>
      <c r="Z1079" s="586" t="str">
        <f t="shared" si="294"/>
        <v/>
      </c>
    </row>
    <row r="1080" spans="1:26" ht="23.25" hidden="1" thickBot="1" x14ac:dyDescent="0.25">
      <c r="A1080" s="567">
        <v>101529</v>
      </c>
      <c r="B1080" s="644">
        <v>101529</v>
      </c>
      <c r="C1080" s="645" t="s">
        <v>670</v>
      </c>
      <c r="D1080" s="422" t="s">
        <v>928</v>
      </c>
      <c r="E1080" s="423"/>
      <c r="F1080" s="424"/>
      <c r="G1080" s="425"/>
      <c r="H1080" s="651"/>
      <c r="I1080" s="420">
        <v>1234.79</v>
      </c>
      <c r="J1080" s="420">
        <f t="shared" si="293"/>
        <v>1234.79</v>
      </c>
      <c r="K1080" s="421">
        <f t="shared" si="292"/>
        <v>1467.05</v>
      </c>
      <c r="L1080" s="647" t="s">
        <v>2065</v>
      </c>
      <c r="M1080" s="576"/>
      <c r="N1080" s="576">
        <f t="shared" si="295"/>
        <v>0</v>
      </c>
      <c r="O1080" s="577">
        <f t="shared" si="300"/>
        <v>0</v>
      </c>
      <c r="P1080" s="578">
        <f t="shared" si="301"/>
        <v>0</v>
      </c>
      <c r="Q1080" s="765"/>
      <c r="R1080" s="576">
        <f t="shared" si="297"/>
        <v>0</v>
      </c>
      <c r="S1080" s="576">
        <f t="shared" si="297"/>
        <v>0</v>
      </c>
      <c r="T1080" s="577">
        <f t="shared" si="298"/>
        <v>0</v>
      </c>
      <c r="U1080" s="578">
        <f t="shared" si="299"/>
        <v>0</v>
      </c>
      <c r="V1080" s="579"/>
      <c r="W1080" s="566"/>
      <c r="X1080" s="586" t="str">
        <f t="shared" si="291"/>
        <v/>
      </c>
      <c r="Y1080" s="586" t="str">
        <f t="shared" si="296"/>
        <v/>
      </c>
      <c r="Z1080" s="586" t="str">
        <f t="shared" si="294"/>
        <v/>
      </c>
    </row>
    <row r="1081" spans="1:26" ht="23.25" hidden="1" thickBot="1" x14ac:dyDescent="0.25">
      <c r="A1081" s="567">
        <v>101530</v>
      </c>
      <c r="B1081" s="644">
        <v>101530</v>
      </c>
      <c r="C1081" s="645" t="s">
        <v>670</v>
      </c>
      <c r="D1081" s="422" t="s">
        <v>929</v>
      </c>
      <c r="E1081" s="423"/>
      <c r="F1081" s="424"/>
      <c r="G1081" s="425"/>
      <c r="H1081" s="651"/>
      <c r="I1081" s="420">
        <v>1457.08</v>
      </c>
      <c r="J1081" s="420">
        <f t="shared" si="293"/>
        <v>1457.08</v>
      </c>
      <c r="K1081" s="421">
        <f t="shared" si="292"/>
        <v>1731.16</v>
      </c>
      <c r="L1081" s="647" t="s">
        <v>2065</v>
      </c>
      <c r="M1081" s="576"/>
      <c r="N1081" s="576">
        <f t="shared" si="295"/>
        <v>0</v>
      </c>
      <c r="O1081" s="577">
        <f t="shared" si="300"/>
        <v>0</v>
      </c>
      <c r="P1081" s="578">
        <f t="shared" si="301"/>
        <v>0</v>
      </c>
      <c r="Q1081" s="765"/>
      <c r="R1081" s="576">
        <f t="shared" si="297"/>
        <v>0</v>
      </c>
      <c r="S1081" s="576">
        <f t="shared" si="297"/>
        <v>0</v>
      </c>
      <c r="T1081" s="577">
        <f t="shared" si="298"/>
        <v>0</v>
      </c>
      <c r="U1081" s="578">
        <f t="shared" si="299"/>
        <v>0</v>
      </c>
      <c r="V1081" s="579"/>
      <c r="W1081" s="566"/>
      <c r="X1081" s="586" t="str">
        <f t="shared" si="291"/>
        <v/>
      </c>
      <c r="Y1081" s="586" t="str">
        <f t="shared" si="296"/>
        <v/>
      </c>
      <c r="Z1081" s="586" t="str">
        <f t="shared" si="294"/>
        <v/>
      </c>
    </row>
    <row r="1082" spans="1:26" ht="23.25" hidden="1" thickBot="1" x14ac:dyDescent="0.25">
      <c r="A1082" s="567">
        <v>101531</v>
      </c>
      <c r="B1082" s="644">
        <v>101531</v>
      </c>
      <c r="C1082" s="645" t="s">
        <v>670</v>
      </c>
      <c r="D1082" s="422" t="s">
        <v>930</v>
      </c>
      <c r="E1082" s="423"/>
      <c r="F1082" s="424"/>
      <c r="G1082" s="425"/>
      <c r="H1082" s="651"/>
      <c r="I1082" s="420">
        <v>1528.36</v>
      </c>
      <c r="J1082" s="420">
        <f t="shared" si="293"/>
        <v>1528.36</v>
      </c>
      <c r="K1082" s="421">
        <f t="shared" si="292"/>
        <v>1815.84</v>
      </c>
      <c r="L1082" s="647" t="s">
        <v>2065</v>
      </c>
      <c r="M1082" s="576"/>
      <c r="N1082" s="576">
        <f t="shared" si="295"/>
        <v>0</v>
      </c>
      <c r="O1082" s="577">
        <f t="shared" si="300"/>
        <v>0</v>
      </c>
      <c r="P1082" s="578">
        <f t="shared" si="301"/>
        <v>0</v>
      </c>
      <c r="Q1082" s="765"/>
      <c r="R1082" s="576">
        <f t="shared" si="297"/>
        <v>0</v>
      </c>
      <c r="S1082" s="576">
        <f t="shared" si="297"/>
        <v>0</v>
      </c>
      <c r="T1082" s="577">
        <f t="shared" si="298"/>
        <v>0</v>
      </c>
      <c r="U1082" s="578">
        <f t="shared" si="299"/>
        <v>0</v>
      </c>
      <c r="V1082" s="579"/>
      <c r="W1082" s="566"/>
      <c r="X1082" s="586" t="str">
        <f t="shared" si="291"/>
        <v/>
      </c>
      <c r="Y1082" s="586" t="str">
        <f t="shared" si="296"/>
        <v/>
      </c>
      <c r="Z1082" s="586" t="str">
        <f t="shared" si="294"/>
        <v/>
      </c>
    </row>
    <row r="1083" spans="1:26" ht="23.25" hidden="1" thickBot="1" x14ac:dyDescent="0.25">
      <c r="A1083" s="567">
        <v>101532</v>
      </c>
      <c r="B1083" s="644">
        <v>101532</v>
      </c>
      <c r="C1083" s="645" t="s">
        <v>670</v>
      </c>
      <c r="D1083" s="422" t="s">
        <v>931</v>
      </c>
      <c r="E1083" s="423"/>
      <c r="F1083" s="424"/>
      <c r="G1083" s="425"/>
      <c r="H1083" s="651"/>
      <c r="I1083" s="420">
        <v>1780.48</v>
      </c>
      <c r="J1083" s="420">
        <f t="shared" si="293"/>
        <v>1780.48</v>
      </c>
      <c r="K1083" s="421">
        <f t="shared" si="292"/>
        <v>2115.39</v>
      </c>
      <c r="L1083" s="647" t="s">
        <v>2065</v>
      </c>
      <c r="M1083" s="576"/>
      <c r="N1083" s="576">
        <f t="shared" si="295"/>
        <v>0</v>
      </c>
      <c r="O1083" s="577">
        <f t="shared" si="300"/>
        <v>0</v>
      </c>
      <c r="P1083" s="578">
        <f t="shared" si="301"/>
        <v>0</v>
      </c>
      <c r="Q1083" s="765"/>
      <c r="R1083" s="576">
        <f t="shared" si="297"/>
        <v>0</v>
      </c>
      <c r="S1083" s="576">
        <f t="shared" si="297"/>
        <v>0</v>
      </c>
      <c r="T1083" s="577">
        <f t="shared" si="298"/>
        <v>0</v>
      </c>
      <c r="U1083" s="578">
        <f t="shared" si="299"/>
        <v>0</v>
      </c>
      <c r="V1083" s="579"/>
      <c r="W1083" s="566"/>
      <c r="X1083" s="586" t="str">
        <f t="shared" si="291"/>
        <v/>
      </c>
      <c r="Y1083" s="586" t="str">
        <f t="shared" si="296"/>
        <v/>
      </c>
      <c r="Z1083" s="586" t="str">
        <f t="shared" si="294"/>
        <v/>
      </c>
    </row>
    <row r="1084" spans="1:26" ht="23.25" hidden="1" thickBot="1" x14ac:dyDescent="0.25">
      <c r="A1084" s="567">
        <v>101533</v>
      </c>
      <c r="B1084" s="644">
        <v>101533</v>
      </c>
      <c r="C1084" s="645" t="s">
        <v>670</v>
      </c>
      <c r="D1084" s="422" t="s">
        <v>932</v>
      </c>
      <c r="E1084" s="423"/>
      <c r="F1084" s="424"/>
      <c r="G1084" s="425"/>
      <c r="H1084" s="651"/>
      <c r="I1084" s="420">
        <v>1391.5</v>
      </c>
      <c r="J1084" s="420">
        <f t="shared" si="293"/>
        <v>1391.5</v>
      </c>
      <c r="K1084" s="421">
        <f t="shared" si="292"/>
        <v>1653.24</v>
      </c>
      <c r="L1084" s="647" t="s">
        <v>2065</v>
      </c>
      <c r="M1084" s="576"/>
      <c r="N1084" s="576">
        <f t="shared" si="295"/>
        <v>0</v>
      </c>
      <c r="O1084" s="577">
        <f t="shared" si="300"/>
        <v>0</v>
      </c>
      <c r="P1084" s="578">
        <f t="shared" si="301"/>
        <v>0</v>
      </c>
      <c r="Q1084" s="765"/>
      <c r="R1084" s="576">
        <f t="shared" si="297"/>
        <v>0</v>
      </c>
      <c r="S1084" s="576">
        <f t="shared" si="297"/>
        <v>0</v>
      </c>
      <c r="T1084" s="577">
        <f t="shared" si="298"/>
        <v>0</v>
      </c>
      <c r="U1084" s="578">
        <f t="shared" si="299"/>
        <v>0</v>
      </c>
      <c r="V1084" s="579"/>
      <c r="W1084" s="566"/>
      <c r="X1084" s="586" t="str">
        <f t="shared" si="291"/>
        <v/>
      </c>
      <c r="Y1084" s="586" t="str">
        <f t="shared" si="296"/>
        <v/>
      </c>
      <c r="Z1084" s="586" t="str">
        <f t="shared" si="294"/>
        <v/>
      </c>
    </row>
    <row r="1085" spans="1:26" ht="23.25" hidden="1" thickBot="1" x14ac:dyDescent="0.25">
      <c r="A1085" s="567">
        <v>101534</v>
      </c>
      <c r="B1085" s="644">
        <v>101534</v>
      </c>
      <c r="C1085" s="645" t="s">
        <v>670</v>
      </c>
      <c r="D1085" s="422" t="s">
        <v>933</v>
      </c>
      <c r="E1085" s="423"/>
      <c r="F1085" s="424"/>
      <c r="G1085" s="425"/>
      <c r="H1085" s="651"/>
      <c r="I1085" s="420">
        <v>1613.79</v>
      </c>
      <c r="J1085" s="420">
        <f t="shared" si="293"/>
        <v>1613.79</v>
      </c>
      <c r="K1085" s="421">
        <f t="shared" si="292"/>
        <v>1917.34</v>
      </c>
      <c r="L1085" s="647" t="s">
        <v>2065</v>
      </c>
      <c r="M1085" s="576"/>
      <c r="N1085" s="576">
        <f t="shared" si="295"/>
        <v>0</v>
      </c>
      <c r="O1085" s="577">
        <f t="shared" si="300"/>
        <v>0</v>
      </c>
      <c r="P1085" s="578">
        <f t="shared" si="301"/>
        <v>0</v>
      </c>
      <c r="Q1085" s="765"/>
      <c r="R1085" s="576">
        <f t="shared" si="297"/>
        <v>0</v>
      </c>
      <c r="S1085" s="576">
        <f t="shared" si="297"/>
        <v>0</v>
      </c>
      <c r="T1085" s="577">
        <f t="shared" si="298"/>
        <v>0</v>
      </c>
      <c r="U1085" s="578">
        <f t="shared" si="299"/>
        <v>0</v>
      </c>
      <c r="V1085" s="579"/>
      <c r="W1085" s="566"/>
      <c r="X1085" s="586" t="str">
        <f t="shared" ref="X1085:X1148" si="302">IF(W1085="X","x",IF(W1085="xx","x",IF(W1085="xy","x",IF(W1085="y","x",IF(OR(P1085&gt;0,U1085&gt;0),"x","")))))</f>
        <v/>
      </c>
      <c r="Y1085" s="586" t="str">
        <f t="shared" si="296"/>
        <v/>
      </c>
      <c r="Z1085" s="586" t="str">
        <f t="shared" si="294"/>
        <v/>
      </c>
    </row>
    <row r="1086" spans="1:26" ht="23.25" hidden="1" thickBot="1" x14ac:dyDescent="0.25">
      <c r="A1086" s="567">
        <v>101535</v>
      </c>
      <c r="B1086" s="644">
        <v>101535</v>
      </c>
      <c r="C1086" s="645" t="s">
        <v>670</v>
      </c>
      <c r="D1086" s="422" t="s">
        <v>934</v>
      </c>
      <c r="E1086" s="423"/>
      <c r="F1086" s="424"/>
      <c r="G1086" s="425"/>
      <c r="H1086" s="651"/>
      <c r="I1086" s="420">
        <v>1685.07</v>
      </c>
      <c r="J1086" s="420">
        <f t="shared" si="293"/>
        <v>1685.07</v>
      </c>
      <c r="K1086" s="421">
        <f t="shared" si="292"/>
        <v>2002.03</v>
      </c>
      <c r="L1086" s="647" t="s">
        <v>2065</v>
      </c>
      <c r="M1086" s="576"/>
      <c r="N1086" s="576">
        <f t="shared" si="295"/>
        <v>0</v>
      </c>
      <c r="O1086" s="577">
        <f t="shared" si="300"/>
        <v>0</v>
      </c>
      <c r="P1086" s="578">
        <f t="shared" si="301"/>
        <v>0</v>
      </c>
      <c r="Q1086" s="765"/>
      <c r="R1086" s="576">
        <f t="shared" si="297"/>
        <v>0</v>
      </c>
      <c r="S1086" s="576">
        <f t="shared" si="297"/>
        <v>0</v>
      </c>
      <c r="T1086" s="577">
        <f t="shared" si="298"/>
        <v>0</v>
      </c>
      <c r="U1086" s="578">
        <f t="shared" si="299"/>
        <v>0</v>
      </c>
      <c r="V1086" s="579"/>
      <c r="W1086" s="566"/>
      <c r="X1086" s="586" t="str">
        <f t="shared" si="302"/>
        <v/>
      </c>
      <c r="Y1086" s="586" t="str">
        <f t="shared" si="296"/>
        <v/>
      </c>
      <c r="Z1086" s="586" t="str">
        <f t="shared" si="294"/>
        <v/>
      </c>
    </row>
    <row r="1087" spans="1:26" ht="23.25" hidden="1" thickBot="1" x14ac:dyDescent="0.25">
      <c r="A1087" s="567">
        <v>101536</v>
      </c>
      <c r="B1087" s="644">
        <v>101536</v>
      </c>
      <c r="C1087" s="645" t="s">
        <v>670</v>
      </c>
      <c r="D1087" s="422" t="s">
        <v>935</v>
      </c>
      <c r="E1087" s="423"/>
      <c r="F1087" s="424"/>
      <c r="G1087" s="425"/>
      <c r="H1087" s="651"/>
      <c r="I1087" s="420">
        <v>1937.19</v>
      </c>
      <c r="J1087" s="420">
        <f t="shared" si="293"/>
        <v>1937.19</v>
      </c>
      <c r="K1087" s="421">
        <f t="shared" si="292"/>
        <v>2301.58</v>
      </c>
      <c r="L1087" s="647" t="s">
        <v>2065</v>
      </c>
      <c r="M1087" s="576"/>
      <c r="N1087" s="576">
        <f t="shared" si="295"/>
        <v>0</v>
      </c>
      <c r="O1087" s="577">
        <f t="shared" si="300"/>
        <v>0</v>
      </c>
      <c r="P1087" s="578">
        <f t="shared" si="301"/>
        <v>0</v>
      </c>
      <c r="Q1087" s="765"/>
      <c r="R1087" s="576">
        <f t="shared" si="297"/>
        <v>0</v>
      </c>
      <c r="S1087" s="576">
        <f t="shared" si="297"/>
        <v>0</v>
      </c>
      <c r="T1087" s="577">
        <f t="shared" si="298"/>
        <v>0</v>
      </c>
      <c r="U1087" s="578">
        <f t="shared" si="299"/>
        <v>0</v>
      </c>
      <c r="V1087" s="579"/>
      <c r="W1087" s="566"/>
      <c r="X1087" s="586" t="str">
        <f t="shared" si="302"/>
        <v/>
      </c>
      <c r="Y1087" s="586" t="str">
        <f t="shared" si="296"/>
        <v/>
      </c>
      <c r="Z1087" s="586" t="str">
        <f t="shared" si="294"/>
        <v/>
      </c>
    </row>
    <row r="1088" spans="1:26" ht="23.25" hidden="1" thickBot="1" x14ac:dyDescent="0.25">
      <c r="A1088" s="567" t="s">
        <v>936</v>
      </c>
      <c r="B1088" s="644" t="s">
        <v>936</v>
      </c>
      <c r="C1088" s="645" t="s">
        <v>2094</v>
      </c>
      <c r="D1088" s="422" t="s">
        <v>933</v>
      </c>
      <c r="E1088" s="423"/>
      <c r="F1088" s="424"/>
      <c r="G1088" s="425"/>
      <c r="H1088" s="651"/>
      <c r="I1088" s="420">
        <v>1724.04</v>
      </c>
      <c r="J1088" s="420">
        <f t="shared" si="293"/>
        <v>1724.04</v>
      </c>
      <c r="K1088" s="421">
        <f t="shared" si="292"/>
        <v>2048.33</v>
      </c>
      <c r="L1088" s="647" t="s">
        <v>2065</v>
      </c>
      <c r="M1088" s="576"/>
      <c r="N1088" s="576">
        <f t="shared" si="295"/>
        <v>0</v>
      </c>
      <c r="O1088" s="577">
        <f t="shared" si="300"/>
        <v>0</v>
      </c>
      <c r="P1088" s="578">
        <f t="shared" si="301"/>
        <v>0</v>
      </c>
      <c r="Q1088" s="765"/>
      <c r="R1088" s="576">
        <f t="shared" si="297"/>
        <v>0</v>
      </c>
      <c r="S1088" s="576">
        <f t="shared" si="297"/>
        <v>0</v>
      </c>
      <c r="T1088" s="577">
        <f t="shared" si="298"/>
        <v>0</v>
      </c>
      <c r="U1088" s="578">
        <f t="shared" si="299"/>
        <v>0</v>
      </c>
      <c r="V1088" s="579"/>
      <c r="W1088" s="566"/>
      <c r="X1088" s="586" t="str">
        <f t="shared" si="302"/>
        <v/>
      </c>
      <c r="Y1088" s="586" t="str">
        <f t="shared" si="296"/>
        <v/>
      </c>
      <c r="Z1088" s="586" t="str">
        <f t="shared" si="294"/>
        <v/>
      </c>
    </row>
    <row r="1089" spans="1:26" ht="23.25" hidden="1" thickBot="1" x14ac:dyDescent="0.25">
      <c r="A1089" s="567" t="s">
        <v>937</v>
      </c>
      <c r="B1089" s="644" t="s">
        <v>937</v>
      </c>
      <c r="C1089" s="645" t="s">
        <v>2094</v>
      </c>
      <c r="D1089" s="422" t="s">
        <v>934</v>
      </c>
      <c r="E1089" s="423"/>
      <c r="F1089" s="424"/>
      <c r="G1089" s="425"/>
      <c r="H1089" s="651"/>
      <c r="I1089" s="420">
        <v>1885.63</v>
      </c>
      <c r="J1089" s="420">
        <f t="shared" si="293"/>
        <v>1885.63</v>
      </c>
      <c r="K1089" s="421">
        <f t="shared" si="292"/>
        <v>2240.3200000000002</v>
      </c>
      <c r="L1089" s="647" t="s">
        <v>2065</v>
      </c>
      <c r="M1089" s="576"/>
      <c r="N1089" s="576">
        <f t="shared" si="295"/>
        <v>0</v>
      </c>
      <c r="O1089" s="577">
        <f t="shared" si="300"/>
        <v>0</v>
      </c>
      <c r="P1089" s="578">
        <f t="shared" si="301"/>
        <v>0</v>
      </c>
      <c r="Q1089" s="765"/>
      <c r="R1089" s="576">
        <f t="shared" si="297"/>
        <v>0</v>
      </c>
      <c r="S1089" s="576">
        <f t="shared" si="297"/>
        <v>0</v>
      </c>
      <c r="T1089" s="577">
        <f t="shared" si="298"/>
        <v>0</v>
      </c>
      <c r="U1089" s="578">
        <f t="shared" si="299"/>
        <v>0</v>
      </c>
      <c r="V1089" s="579"/>
      <c r="W1089" s="566"/>
      <c r="X1089" s="586" t="str">
        <f t="shared" si="302"/>
        <v/>
      </c>
      <c r="Y1089" s="586" t="str">
        <f t="shared" si="296"/>
        <v/>
      </c>
      <c r="Z1089" s="586" t="str">
        <f t="shared" si="294"/>
        <v/>
      </c>
    </row>
    <row r="1090" spans="1:26" ht="23.25" hidden="1" thickBot="1" x14ac:dyDescent="0.25">
      <c r="A1090" s="567" t="s">
        <v>938</v>
      </c>
      <c r="B1090" s="644" t="s">
        <v>938</v>
      </c>
      <c r="C1090" s="645" t="s">
        <v>2094</v>
      </c>
      <c r="D1090" s="422" t="s">
        <v>935</v>
      </c>
      <c r="E1090" s="423"/>
      <c r="F1090" s="424"/>
      <c r="G1090" s="425"/>
      <c r="H1090" s="651"/>
      <c r="I1090" s="420">
        <v>2193.96</v>
      </c>
      <c r="J1090" s="420">
        <f t="shared" si="293"/>
        <v>2193.96</v>
      </c>
      <c r="K1090" s="421">
        <f t="shared" si="292"/>
        <v>2606.64</v>
      </c>
      <c r="L1090" s="647" t="s">
        <v>2065</v>
      </c>
      <c r="M1090" s="576"/>
      <c r="N1090" s="576">
        <f t="shared" si="295"/>
        <v>0</v>
      </c>
      <c r="O1090" s="577">
        <f t="shared" si="300"/>
        <v>0</v>
      </c>
      <c r="P1090" s="578">
        <f t="shared" si="301"/>
        <v>0</v>
      </c>
      <c r="Q1090" s="765"/>
      <c r="R1090" s="576">
        <f t="shared" si="297"/>
        <v>0</v>
      </c>
      <c r="S1090" s="576">
        <f t="shared" si="297"/>
        <v>0</v>
      </c>
      <c r="T1090" s="577">
        <f t="shared" si="298"/>
        <v>0</v>
      </c>
      <c r="U1090" s="578">
        <f t="shared" si="299"/>
        <v>0</v>
      </c>
      <c r="V1090" s="579"/>
      <c r="W1090" s="566"/>
      <c r="X1090" s="586" t="str">
        <f t="shared" si="302"/>
        <v/>
      </c>
      <c r="Y1090" s="586" t="str">
        <f t="shared" si="296"/>
        <v/>
      </c>
      <c r="Z1090" s="586" t="str">
        <f t="shared" si="294"/>
        <v/>
      </c>
    </row>
    <row r="1091" spans="1:26" ht="12" hidden="1" thickBot="1" x14ac:dyDescent="0.25">
      <c r="A1091" s="567" t="s">
        <v>939</v>
      </c>
      <c r="B1091" s="644" t="s">
        <v>939</v>
      </c>
      <c r="C1091" s="645" t="s">
        <v>2094</v>
      </c>
      <c r="D1091" s="422" t="s">
        <v>940</v>
      </c>
      <c r="E1091" s="423"/>
      <c r="F1091" s="424"/>
      <c r="G1091" s="425"/>
      <c r="H1091" s="651"/>
      <c r="I1091" s="420">
        <v>2469.5</v>
      </c>
      <c r="J1091" s="420">
        <f t="shared" si="293"/>
        <v>2469.5</v>
      </c>
      <c r="K1091" s="421">
        <f t="shared" si="292"/>
        <v>2934.01</v>
      </c>
      <c r="L1091" s="647" t="s">
        <v>2065</v>
      </c>
      <c r="M1091" s="576"/>
      <c r="N1091" s="576">
        <f t="shared" si="295"/>
        <v>0</v>
      </c>
      <c r="O1091" s="577">
        <f t="shared" si="300"/>
        <v>0</v>
      </c>
      <c r="P1091" s="578">
        <f t="shared" si="301"/>
        <v>0</v>
      </c>
      <c r="Q1091" s="765"/>
      <c r="R1091" s="576">
        <f t="shared" si="297"/>
        <v>0</v>
      </c>
      <c r="S1091" s="576">
        <f t="shared" si="297"/>
        <v>0</v>
      </c>
      <c r="T1091" s="577">
        <f t="shared" si="298"/>
        <v>0</v>
      </c>
      <c r="U1091" s="578">
        <f t="shared" si="299"/>
        <v>0</v>
      </c>
      <c r="V1091" s="579"/>
      <c r="W1091" s="566"/>
      <c r="X1091" s="586" t="str">
        <f t="shared" si="302"/>
        <v/>
      </c>
      <c r="Y1091" s="586" t="str">
        <f t="shared" si="296"/>
        <v/>
      </c>
      <c r="Z1091" s="586" t="str">
        <f t="shared" si="294"/>
        <v/>
      </c>
    </row>
    <row r="1092" spans="1:26" ht="12" hidden="1" thickBot="1" x14ac:dyDescent="0.25">
      <c r="A1092" s="567" t="s">
        <v>941</v>
      </c>
      <c r="B1092" s="644" t="s">
        <v>941</v>
      </c>
      <c r="C1092" s="645" t="s">
        <v>2094</v>
      </c>
      <c r="D1092" s="422" t="s">
        <v>942</v>
      </c>
      <c r="E1092" s="423"/>
      <c r="F1092" s="424"/>
      <c r="G1092" s="425"/>
      <c r="H1092" s="651"/>
      <c r="I1092" s="420">
        <v>3665.37</v>
      </c>
      <c r="J1092" s="420">
        <f t="shared" si="293"/>
        <v>3665.37</v>
      </c>
      <c r="K1092" s="421">
        <f t="shared" si="292"/>
        <v>4354.83</v>
      </c>
      <c r="L1092" s="647" t="s">
        <v>2065</v>
      </c>
      <c r="M1092" s="576"/>
      <c r="N1092" s="576">
        <f t="shared" si="295"/>
        <v>0</v>
      </c>
      <c r="O1092" s="577">
        <f t="shared" si="300"/>
        <v>0</v>
      </c>
      <c r="P1092" s="578">
        <f t="shared" si="301"/>
        <v>0</v>
      </c>
      <c r="Q1092" s="765"/>
      <c r="R1092" s="576">
        <f t="shared" si="297"/>
        <v>0</v>
      </c>
      <c r="S1092" s="576">
        <f t="shared" si="297"/>
        <v>0</v>
      </c>
      <c r="T1092" s="577">
        <f t="shared" si="298"/>
        <v>0</v>
      </c>
      <c r="U1092" s="578">
        <f t="shared" si="299"/>
        <v>0</v>
      </c>
      <c r="V1092" s="579"/>
      <c r="W1092" s="566"/>
      <c r="X1092" s="586" t="str">
        <f t="shared" si="302"/>
        <v/>
      </c>
      <c r="Y1092" s="586" t="str">
        <f t="shared" si="296"/>
        <v/>
      </c>
      <c r="Z1092" s="586" t="str">
        <f t="shared" si="294"/>
        <v/>
      </c>
    </row>
    <row r="1093" spans="1:26" ht="12" hidden="1" thickBot="1" x14ac:dyDescent="0.25">
      <c r="A1093" s="567" t="s">
        <v>943</v>
      </c>
      <c r="B1093" s="644" t="s">
        <v>943</v>
      </c>
      <c r="C1093" s="645" t="s">
        <v>2094</v>
      </c>
      <c r="D1093" s="422" t="s">
        <v>944</v>
      </c>
      <c r="E1093" s="423"/>
      <c r="F1093" s="424"/>
      <c r="G1093" s="425"/>
      <c r="H1093" s="651"/>
      <c r="I1093" s="420">
        <v>4606.5</v>
      </c>
      <c r="J1093" s="420">
        <f t="shared" si="293"/>
        <v>4606.5</v>
      </c>
      <c r="K1093" s="421">
        <f t="shared" si="292"/>
        <v>5472.98</v>
      </c>
      <c r="L1093" s="647" t="s">
        <v>2065</v>
      </c>
      <c r="M1093" s="576"/>
      <c r="N1093" s="576">
        <f t="shared" si="295"/>
        <v>0</v>
      </c>
      <c r="O1093" s="577">
        <f t="shared" si="300"/>
        <v>0</v>
      </c>
      <c r="P1093" s="578">
        <f t="shared" si="301"/>
        <v>0</v>
      </c>
      <c r="Q1093" s="765"/>
      <c r="R1093" s="576">
        <f t="shared" si="297"/>
        <v>0</v>
      </c>
      <c r="S1093" s="576">
        <f t="shared" si="297"/>
        <v>0</v>
      </c>
      <c r="T1093" s="577">
        <f t="shared" si="298"/>
        <v>0</v>
      </c>
      <c r="U1093" s="578">
        <f t="shared" si="299"/>
        <v>0</v>
      </c>
      <c r="V1093" s="579"/>
      <c r="W1093" s="566"/>
      <c r="X1093" s="586" t="str">
        <f t="shared" si="302"/>
        <v/>
      </c>
      <c r="Y1093" s="586" t="str">
        <f t="shared" si="296"/>
        <v/>
      </c>
      <c r="Z1093" s="586" t="str">
        <f t="shared" si="294"/>
        <v/>
      </c>
    </row>
    <row r="1094" spans="1:26" ht="12" hidden="1" thickBot="1" x14ac:dyDescent="0.25">
      <c r="A1094" s="567">
        <v>96984</v>
      </c>
      <c r="B1094" s="644">
        <v>96984</v>
      </c>
      <c r="C1094" s="645" t="s">
        <v>670</v>
      </c>
      <c r="D1094" s="422" t="s">
        <v>945</v>
      </c>
      <c r="E1094" s="423"/>
      <c r="F1094" s="424"/>
      <c r="G1094" s="425"/>
      <c r="H1094" s="651"/>
      <c r="I1094" s="420">
        <v>65.59</v>
      </c>
      <c r="J1094" s="420">
        <f t="shared" si="293"/>
        <v>65.59</v>
      </c>
      <c r="K1094" s="421">
        <f t="shared" si="292"/>
        <v>77.930000000000007</v>
      </c>
      <c r="L1094" s="647" t="s">
        <v>2065</v>
      </c>
      <c r="M1094" s="576"/>
      <c r="N1094" s="576">
        <f t="shared" si="295"/>
        <v>0</v>
      </c>
      <c r="O1094" s="577">
        <f t="shared" si="300"/>
        <v>0</v>
      </c>
      <c r="P1094" s="578">
        <f t="shared" si="301"/>
        <v>0</v>
      </c>
      <c r="Q1094" s="765"/>
      <c r="R1094" s="576">
        <f t="shared" si="297"/>
        <v>0</v>
      </c>
      <c r="S1094" s="576">
        <f t="shared" si="297"/>
        <v>0</v>
      </c>
      <c r="T1094" s="577">
        <f t="shared" si="298"/>
        <v>0</v>
      </c>
      <c r="U1094" s="578">
        <f t="shared" si="299"/>
        <v>0</v>
      </c>
      <c r="V1094" s="579"/>
      <c r="W1094" s="566"/>
      <c r="X1094" s="586" t="str">
        <f t="shared" si="302"/>
        <v/>
      </c>
      <c r="Y1094" s="586" t="str">
        <f t="shared" si="296"/>
        <v/>
      </c>
      <c r="Z1094" s="586" t="str">
        <f t="shared" si="294"/>
        <v/>
      </c>
    </row>
    <row r="1095" spans="1:26" ht="23.25" hidden="1" thickBot="1" x14ac:dyDescent="0.25">
      <c r="A1095" s="567">
        <v>91831</v>
      </c>
      <c r="B1095" s="644">
        <v>91831</v>
      </c>
      <c r="C1095" s="645" t="s">
        <v>670</v>
      </c>
      <c r="D1095" s="422" t="s">
        <v>946</v>
      </c>
      <c r="E1095" s="423"/>
      <c r="F1095" s="424"/>
      <c r="G1095" s="425"/>
      <c r="H1095" s="651"/>
      <c r="I1095" s="420">
        <v>9.01</v>
      </c>
      <c r="J1095" s="420">
        <f t="shared" si="293"/>
        <v>9.01</v>
      </c>
      <c r="K1095" s="421">
        <f t="shared" si="292"/>
        <v>10.7</v>
      </c>
      <c r="L1095" s="647" t="s">
        <v>79</v>
      </c>
      <c r="M1095" s="576"/>
      <c r="N1095" s="576">
        <f t="shared" si="295"/>
        <v>0</v>
      </c>
      <c r="O1095" s="577">
        <f t="shared" si="300"/>
        <v>0</v>
      </c>
      <c r="P1095" s="578">
        <f t="shared" si="301"/>
        <v>0</v>
      </c>
      <c r="Q1095" s="765"/>
      <c r="R1095" s="576">
        <f t="shared" si="297"/>
        <v>0</v>
      </c>
      <c r="S1095" s="576">
        <f t="shared" si="297"/>
        <v>0</v>
      </c>
      <c r="T1095" s="577">
        <f t="shared" si="298"/>
        <v>0</v>
      </c>
      <c r="U1095" s="578">
        <f t="shared" si="299"/>
        <v>0</v>
      </c>
      <c r="V1095" s="579"/>
      <c r="W1095" s="566"/>
      <c r="X1095" s="586" t="str">
        <f t="shared" si="302"/>
        <v/>
      </c>
      <c r="Y1095" s="586" t="str">
        <f t="shared" si="296"/>
        <v/>
      </c>
      <c r="Z1095" s="586" t="str">
        <f t="shared" si="294"/>
        <v/>
      </c>
    </row>
    <row r="1096" spans="1:26" ht="23.25" hidden="1" thickBot="1" x14ac:dyDescent="0.25">
      <c r="A1096" s="567">
        <v>91834</v>
      </c>
      <c r="B1096" s="644">
        <v>91834</v>
      </c>
      <c r="C1096" s="645" t="s">
        <v>670</v>
      </c>
      <c r="D1096" s="422" t="s">
        <v>947</v>
      </c>
      <c r="E1096" s="423"/>
      <c r="F1096" s="424"/>
      <c r="G1096" s="425"/>
      <c r="H1096" s="651"/>
      <c r="I1096" s="420">
        <v>10.050000000000001</v>
      </c>
      <c r="J1096" s="420">
        <f t="shared" si="293"/>
        <v>10.050000000000001</v>
      </c>
      <c r="K1096" s="421">
        <f t="shared" si="292"/>
        <v>11.94</v>
      </c>
      <c r="L1096" s="647" t="s">
        <v>79</v>
      </c>
      <c r="M1096" s="576"/>
      <c r="N1096" s="576">
        <f t="shared" si="295"/>
        <v>0</v>
      </c>
      <c r="O1096" s="577">
        <f t="shared" si="300"/>
        <v>0</v>
      </c>
      <c r="P1096" s="578">
        <f t="shared" si="301"/>
        <v>0</v>
      </c>
      <c r="Q1096" s="765"/>
      <c r="R1096" s="576">
        <f t="shared" si="297"/>
        <v>0</v>
      </c>
      <c r="S1096" s="576">
        <f t="shared" si="297"/>
        <v>0</v>
      </c>
      <c r="T1096" s="577">
        <f t="shared" si="298"/>
        <v>0</v>
      </c>
      <c r="U1096" s="578">
        <f t="shared" si="299"/>
        <v>0</v>
      </c>
      <c r="V1096" s="579"/>
      <c r="W1096" s="566"/>
      <c r="X1096" s="586" t="str">
        <f t="shared" si="302"/>
        <v/>
      </c>
      <c r="Y1096" s="586" t="str">
        <f t="shared" si="296"/>
        <v/>
      </c>
      <c r="Z1096" s="586" t="str">
        <f t="shared" si="294"/>
        <v/>
      </c>
    </row>
    <row r="1097" spans="1:26" ht="23.25" hidden="1" thickBot="1" x14ac:dyDescent="0.25">
      <c r="A1097" s="567">
        <v>91836</v>
      </c>
      <c r="B1097" s="644">
        <v>91836</v>
      </c>
      <c r="C1097" s="645" t="s">
        <v>670</v>
      </c>
      <c r="D1097" s="422" t="s">
        <v>948</v>
      </c>
      <c r="E1097" s="423"/>
      <c r="F1097" s="424"/>
      <c r="G1097" s="425"/>
      <c r="H1097" s="651"/>
      <c r="I1097" s="420">
        <v>13.39</v>
      </c>
      <c r="J1097" s="420">
        <f t="shared" si="293"/>
        <v>13.39</v>
      </c>
      <c r="K1097" s="421">
        <f t="shared" ref="K1097:K1160" si="303">IF(ISBLANK(I1097),0,ROUND(J1097*(1+$F$10)*(1+$F$11*E1097),2))</f>
        <v>15.91</v>
      </c>
      <c r="L1097" s="647" t="s">
        <v>79</v>
      </c>
      <c r="M1097" s="576"/>
      <c r="N1097" s="576">
        <f t="shared" si="295"/>
        <v>0</v>
      </c>
      <c r="O1097" s="577">
        <f t="shared" si="300"/>
        <v>0</v>
      </c>
      <c r="P1097" s="578">
        <f t="shared" si="301"/>
        <v>0</v>
      </c>
      <c r="Q1097" s="765"/>
      <c r="R1097" s="576">
        <f t="shared" si="297"/>
        <v>0</v>
      </c>
      <c r="S1097" s="576">
        <f t="shared" si="297"/>
        <v>0</v>
      </c>
      <c r="T1097" s="577">
        <f t="shared" si="298"/>
        <v>0</v>
      </c>
      <c r="U1097" s="578">
        <f t="shared" si="299"/>
        <v>0</v>
      </c>
      <c r="V1097" s="579"/>
      <c r="W1097" s="566"/>
      <c r="X1097" s="586" t="str">
        <f t="shared" si="302"/>
        <v/>
      </c>
      <c r="Y1097" s="586" t="str">
        <f t="shared" si="296"/>
        <v/>
      </c>
      <c r="Z1097" s="586" t="str">
        <f t="shared" si="294"/>
        <v/>
      </c>
    </row>
    <row r="1098" spans="1:26" ht="23.25" hidden="1" thickBot="1" x14ac:dyDescent="0.25">
      <c r="A1098" s="567">
        <v>91842</v>
      </c>
      <c r="B1098" s="644">
        <v>91842</v>
      </c>
      <c r="C1098" s="645" t="s">
        <v>670</v>
      </c>
      <c r="D1098" s="422" t="s">
        <v>949</v>
      </c>
      <c r="E1098" s="423"/>
      <c r="F1098" s="424"/>
      <c r="G1098" s="425"/>
      <c r="H1098" s="651"/>
      <c r="I1098" s="420">
        <v>6.74</v>
      </c>
      <c r="J1098" s="420">
        <f t="shared" si="293"/>
        <v>6.74</v>
      </c>
      <c r="K1098" s="421">
        <f t="shared" si="303"/>
        <v>8.01</v>
      </c>
      <c r="L1098" s="647" t="s">
        <v>79</v>
      </c>
      <c r="M1098" s="576"/>
      <c r="N1098" s="576">
        <f t="shared" si="295"/>
        <v>0</v>
      </c>
      <c r="O1098" s="577">
        <f t="shared" si="300"/>
        <v>0</v>
      </c>
      <c r="P1098" s="578">
        <f t="shared" si="301"/>
        <v>0</v>
      </c>
      <c r="Q1098" s="765"/>
      <c r="R1098" s="576">
        <f t="shared" si="297"/>
        <v>0</v>
      </c>
      <c r="S1098" s="576">
        <f t="shared" si="297"/>
        <v>0</v>
      </c>
      <c r="T1098" s="577">
        <f t="shared" si="298"/>
        <v>0</v>
      </c>
      <c r="U1098" s="578">
        <f t="shared" si="299"/>
        <v>0</v>
      </c>
      <c r="V1098" s="579"/>
      <c r="W1098" s="566"/>
      <c r="X1098" s="586" t="str">
        <f t="shared" si="302"/>
        <v/>
      </c>
      <c r="Y1098" s="586" t="str">
        <f t="shared" si="296"/>
        <v/>
      </c>
      <c r="Z1098" s="586" t="str">
        <f t="shared" si="294"/>
        <v/>
      </c>
    </row>
    <row r="1099" spans="1:26" ht="23.25" hidden="1" thickBot="1" x14ac:dyDescent="0.25">
      <c r="A1099" s="567">
        <v>91844</v>
      </c>
      <c r="B1099" s="644">
        <v>91844</v>
      </c>
      <c r="C1099" s="645" t="s">
        <v>670</v>
      </c>
      <c r="D1099" s="422" t="s">
        <v>950</v>
      </c>
      <c r="E1099" s="423"/>
      <c r="F1099" s="424"/>
      <c r="G1099" s="425"/>
      <c r="H1099" s="651"/>
      <c r="I1099" s="420">
        <v>7.79</v>
      </c>
      <c r="J1099" s="420">
        <f t="shared" si="293"/>
        <v>7.79</v>
      </c>
      <c r="K1099" s="421">
        <f t="shared" si="303"/>
        <v>9.26</v>
      </c>
      <c r="L1099" s="647" t="s">
        <v>79</v>
      </c>
      <c r="M1099" s="576"/>
      <c r="N1099" s="576">
        <f t="shared" si="295"/>
        <v>0</v>
      </c>
      <c r="O1099" s="577">
        <f t="shared" si="300"/>
        <v>0</v>
      </c>
      <c r="P1099" s="578">
        <f t="shared" si="301"/>
        <v>0</v>
      </c>
      <c r="Q1099" s="765"/>
      <c r="R1099" s="576">
        <f t="shared" si="297"/>
        <v>0</v>
      </c>
      <c r="S1099" s="576">
        <f t="shared" si="297"/>
        <v>0</v>
      </c>
      <c r="T1099" s="577">
        <f t="shared" si="298"/>
        <v>0</v>
      </c>
      <c r="U1099" s="578">
        <f t="shared" si="299"/>
        <v>0</v>
      </c>
      <c r="V1099" s="579"/>
      <c r="W1099" s="566"/>
      <c r="X1099" s="586" t="str">
        <f t="shared" si="302"/>
        <v/>
      </c>
      <c r="Y1099" s="586" t="str">
        <f t="shared" si="296"/>
        <v/>
      </c>
      <c r="Z1099" s="586" t="str">
        <f t="shared" si="294"/>
        <v/>
      </c>
    </row>
    <row r="1100" spans="1:26" ht="23.25" hidden="1" thickBot="1" x14ac:dyDescent="0.25">
      <c r="A1100" s="567">
        <v>91846</v>
      </c>
      <c r="B1100" s="644">
        <v>91846</v>
      </c>
      <c r="C1100" s="645" t="s">
        <v>670</v>
      </c>
      <c r="D1100" s="422" t="s">
        <v>951</v>
      </c>
      <c r="E1100" s="423"/>
      <c r="F1100" s="424"/>
      <c r="G1100" s="425"/>
      <c r="H1100" s="651"/>
      <c r="I1100" s="420">
        <v>11.12</v>
      </c>
      <c r="J1100" s="420">
        <f t="shared" si="293"/>
        <v>11.12</v>
      </c>
      <c r="K1100" s="421">
        <f t="shared" si="303"/>
        <v>13.21</v>
      </c>
      <c r="L1100" s="647" t="s">
        <v>79</v>
      </c>
      <c r="M1100" s="576"/>
      <c r="N1100" s="576">
        <f t="shared" si="295"/>
        <v>0</v>
      </c>
      <c r="O1100" s="577">
        <f t="shared" si="300"/>
        <v>0</v>
      </c>
      <c r="P1100" s="578">
        <f t="shared" si="301"/>
        <v>0</v>
      </c>
      <c r="Q1100" s="765"/>
      <c r="R1100" s="576">
        <f t="shared" si="297"/>
        <v>0</v>
      </c>
      <c r="S1100" s="576">
        <f t="shared" si="297"/>
        <v>0</v>
      </c>
      <c r="T1100" s="577">
        <f t="shared" si="298"/>
        <v>0</v>
      </c>
      <c r="U1100" s="578">
        <f t="shared" si="299"/>
        <v>0</v>
      </c>
      <c r="V1100" s="579"/>
      <c r="W1100" s="566"/>
      <c r="X1100" s="586" t="str">
        <f t="shared" si="302"/>
        <v/>
      </c>
      <c r="Y1100" s="586" t="str">
        <f t="shared" si="296"/>
        <v/>
      </c>
      <c r="Z1100" s="586" t="str">
        <f t="shared" si="294"/>
        <v/>
      </c>
    </row>
    <row r="1101" spans="1:26" ht="23.25" hidden="1" thickBot="1" x14ac:dyDescent="0.25">
      <c r="A1101" s="567">
        <v>91852</v>
      </c>
      <c r="B1101" s="644">
        <v>91852</v>
      </c>
      <c r="C1101" s="645" t="s">
        <v>670</v>
      </c>
      <c r="D1101" s="422" t="s">
        <v>952</v>
      </c>
      <c r="E1101" s="423"/>
      <c r="F1101" s="424"/>
      <c r="G1101" s="425"/>
      <c r="H1101" s="651"/>
      <c r="I1101" s="420">
        <v>9.4499999999999993</v>
      </c>
      <c r="J1101" s="420">
        <f t="shared" si="293"/>
        <v>9.4499999999999993</v>
      </c>
      <c r="K1101" s="421">
        <f t="shared" si="303"/>
        <v>11.23</v>
      </c>
      <c r="L1101" s="647" t="s">
        <v>79</v>
      </c>
      <c r="M1101" s="576"/>
      <c r="N1101" s="576">
        <f t="shared" si="295"/>
        <v>0</v>
      </c>
      <c r="O1101" s="577">
        <f t="shared" si="300"/>
        <v>0</v>
      </c>
      <c r="P1101" s="578">
        <f t="shared" si="301"/>
        <v>0</v>
      </c>
      <c r="Q1101" s="765"/>
      <c r="R1101" s="576">
        <f t="shared" si="297"/>
        <v>0</v>
      </c>
      <c r="S1101" s="576">
        <f t="shared" si="297"/>
        <v>0</v>
      </c>
      <c r="T1101" s="577">
        <f t="shared" si="298"/>
        <v>0</v>
      </c>
      <c r="U1101" s="578">
        <f t="shared" si="299"/>
        <v>0</v>
      </c>
      <c r="V1101" s="579"/>
      <c r="W1101" s="566"/>
      <c r="X1101" s="586" t="str">
        <f t="shared" si="302"/>
        <v/>
      </c>
      <c r="Y1101" s="586" t="str">
        <f t="shared" si="296"/>
        <v/>
      </c>
      <c r="Z1101" s="586" t="str">
        <f t="shared" si="294"/>
        <v/>
      </c>
    </row>
    <row r="1102" spans="1:26" ht="23.25" hidden="1" thickBot="1" x14ac:dyDescent="0.25">
      <c r="A1102" s="567">
        <v>91854</v>
      </c>
      <c r="B1102" s="644">
        <v>91854</v>
      </c>
      <c r="C1102" s="645" t="s">
        <v>670</v>
      </c>
      <c r="D1102" s="422" t="s">
        <v>953</v>
      </c>
      <c r="E1102" s="423"/>
      <c r="F1102" s="424"/>
      <c r="G1102" s="425"/>
      <c r="H1102" s="651"/>
      <c r="I1102" s="420">
        <v>10.46</v>
      </c>
      <c r="J1102" s="420">
        <f t="shared" si="293"/>
        <v>10.46</v>
      </c>
      <c r="K1102" s="421">
        <f t="shared" si="303"/>
        <v>12.43</v>
      </c>
      <c r="L1102" s="647" t="s">
        <v>79</v>
      </c>
      <c r="M1102" s="576"/>
      <c r="N1102" s="576">
        <f t="shared" si="295"/>
        <v>0</v>
      </c>
      <c r="O1102" s="577">
        <f t="shared" si="300"/>
        <v>0</v>
      </c>
      <c r="P1102" s="578">
        <f t="shared" si="301"/>
        <v>0</v>
      </c>
      <c r="Q1102" s="765"/>
      <c r="R1102" s="576">
        <f t="shared" si="297"/>
        <v>0</v>
      </c>
      <c r="S1102" s="576">
        <f t="shared" si="297"/>
        <v>0</v>
      </c>
      <c r="T1102" s="577">
        <f t="shared" si="298"/>
        <v>0</v>
      </c>
      <c r="U1102" s="578">
        <f t="shared" si="299"/>
        <v>0</v>
      </c>
      <c r="V1102" s="579"/>
      <c r="W1102" s="566"/>
      <c r="X1102" s="586" t="str">
        <f t="shared" si="302"/>
        <v/>
      </c>
      <c r="Y1102" s="586" t="str">
        <f t="shared" si="296"/>
        <v/>
      </c>
      <c r="Z1102" s="586" t="str">
        <f t="shared" si="294"/>
        <v/>
      </c>
    </row>
    <row r="1103" spans="1:26" ht="23.25" hidden="1" thickBot="1" x14ac:dyDescent="0.25">
      <c r="A1103" s="567">
        <v>91856</v>
      </c>
      <c r="B1103" s="644">
        <v>91856</v>
      </c>
      <c r="C1103" s="645" t="s">
        <v>670</v>
      </c>
      <c r="D1103" s="422" t="s">
        <v>954</v>
      </c>
      <c r="E1103" s="423"/>
      <c r="F1103" s="424"/>
      <c r="G1103" s="425"/>
      <c r="H1103" s="651"/>
      <c r="I1103" s="420">
        <v>13.63</v>
      </c>
      <c r="J1103" s="420">
        <f t="shared" si="293"/>
        <v>13.63</v>
      </c>
      <c r="K1103" s="421">
        <f t="shared" si="303"/>
        <v>16.190000000000001</v>
      </c>
      <c r="L1103" s="647" t="s">
        <v>79</v>
      </c>
      <c r="M1103" s="576"/>
      <c r="N1103" s="576">
        <f t="shared" si="295"/>
        <v>0</v>
      </c>
      <c r="O1103" s="577">
        <f t="shared" si="300"/>
        <v>0</v>
      </c>
      <c r="P1103" s="578">
        <f t="shared" si="301"/>
        <v>0</v>
      </c>
      <c r="Q1103" s="765"/>
      <c r="R1103" s="576">
        <f t="shared" si="297"/>
        <v>0</v>
      </c>
      <c r="S1103" s="576">
        <f t="shared" si="297"/>
        <v>0</v>
      </c>
      <c r="T1103" s="577">
        <f t="shared" si="298"/>
        <v>0</v>
      </c>
      <c r="U1103" s="578">
        <f t="shared" si="299"/>
        <v>0</v>
      </c>
      <c r="V1103" s="579"/>
      <c r="W1103" s="566"/>
      <c r="X1103" s="586" t="str">
        <f t="shared" si="302"/>
        <v/>
      </c>
      <c r="Y1103" s="586" t="str">
        <f t="shared" si="296"/>
        <v/>
      </c>
      <c r="Z1103" s="586" t="str">
        <f t="shared" si="294"/>
        <v/>
      </c>
    </row>
    <row r="1104" spans="1:26" ht="23.25" hidden="1" thickBot="1" x14ac:dyDescent="0.25">
      <c r="A1104" s="567">
        <v>91833</v>
      </c>
      <c r="B1104" s="644">
        <v>91833</v>
      </c>
      <c r="C1104" s="645" t="s">
        <v>670</v>
      </c>
      <c r="D1104" s="422" t="s">
        <v>955</v>
      </c>
      <c r="E1104" s="423"/>
      <c r="F1104" s="424"/>
      <c r="G1104" s="425"/>
      <c r="H1104" s="651"/>
      <c r="I1104" s="420">
        <v>9.67</v>
      </c>
      <c r="J1104" s="420">
        <f t="shared" si="293"/>
        <v>9.67</v>
      </c>
      <c r="K1104" s="421">
        <f t="shared" si="303"/>
        <v>11.49</v>
      </c>
      <c r="L1104" s="647" t="s">
        <v>79</v>
      </c>
      <c r="M1104" s="576"/>
      <c r="N1104" s="576">
        <f t="shared" si="295"/>
        <v>0</v>
      </c>
      <c r="O1104" s="577">
        <f t="shared" si="300"/>
        <v>0</v>
      </c>
      <c r="P1104" s="578">
        <f t="shared" si="301"/>
        <v>0</v>
      </c>
      <c r="Q1104" s="765"/>
      <c r="R1104" s="576">
        <f t="shared" si="297"/>
        <v>0</v>
      </c>
      <c r="S1104" s="576">
        <f t="shared" si="297"/>
        <v>0</v>
      </c>
      <c r="T1104" s="577">
        <f t="shared" si="298"/>
        <v>0</v>
      </c>
      <c r="U1104" s="578">
        <f t="shared" si="299"/>
        <v>0</v>
      </c>
      <c r="V1104" s="579"/>
      <c r="W1104" s="566"/>
      <c r="X1104" s="586" t="str">
        <f t="shared" si="302"/>
        <v/>
      </c>
      <c r="Y1104" s="586" t="str">
        <f t="shared" si="296"/>
        <v/>
      </c>
      <c r="Z1104" s="586" t="str">
        <f t="shared" si="294"/>
        <v/>
      </c>
    </row>
    <row r="1105" spans="1:26" ht="23.25" hidden="1" thickBot="1" x14ac:dyDescent="0.25">
      <c r="A1105" s="567">
        <v>91835</v>
      </c>
      <c r="B1105" s="644">
        <v>91835</v>
      </c>
      <c r="C1105" s="645" t="s">
        <v>670</v>
      </c>
      <c r="D1105" s="422" t="s">
        <v>956</v>
      </c>
      <c r="E1105" s="423"/>
      <c r="F1105" s="424"/>
      <c r="G1105" s="425"/>
      <c r="H1105" s="651"/>
      <c r="I1105" s="420">
        <v>11.73</v>
      </c>
      <c r="J1105" s="420">
        <f t="shared" si="293"/>
        <v>11.73</v>
      </c>
      <c r="K1105" s="421">
        <f t="shared" si="303"/>
        <v>13.94</v>
      </c>
      <c r="L1105" s="647" t="s">
        <v>79</v>
      </c>
      <c r="M1105" s="576"/>
      <c r="N1105" s="576">
        <f t="shared" si="295"/>
        <v>0</v>
      </c>
      <c r="O1105" s="577">
        <f t="shared" si="300"/>
        <v>0</v>
      </c>
      <c r="P1105" s="578">
        <f t="shared" si="301"/>
        <v>0</v>
      </c>
      <c r="Q1105" s="765"/>
      <c r="R1105" s="576">
        <f t="shared" si="297"/>
        <v>0</v>
      </c>
      <c r="S1105" s="576">
        <f t="shared" si="297"/>
        <v>0</v>
      </c>
      <c r="T1105" s="577">
        <f t="shared" si="298"/>
        <v>0</v>
      </c>
      <c r="U1105" s="578">
        <f t="shared" si="299"/>
        <v>0</v>
      </c>
      <c r="V1105" s="579"/>
      <c r="W1105" s="566"/>
      <c r="X1105" s="586" t="str">
        <f t="shared" si="302"/>
        <v/>
      </c>
      <c r="Y1105" s="586" t="str">
        <f t="shared" si="296"/>
        <v/>
      </c>
      <c r="Z1105" s="586" t="str">
        <f t="shared" si="294"/>
        <v/>
      </c>
    </row>
    <row r="1106" spans="1:26" ht="23.25" hidden="1" thickBot="1" x14ac:dyDescent="0.25">
      <c r="A1106" s="567">
        <v>91837</v>
      </c>
      <c r="B1106" s="644">
        <v>91837</v>
      </c>
      <c r="C1106" s="645" t="s">
        <v>670</v>
      </c>
      <c r="D1106" s="422" t="s">
        <v>957</v>
      </c>
      <c r="E1106" s="423"/>
      <c r="F1106" s="424"/>
      <c r="G1106" s="425"/>
      <c r="H1106" s="651"/>
      <c r="I1106" s="420">
        <v>17.3</v>
      </c>
      <c r="J1106" s="420">
        <f t="shared" si="293"/>
        <v>17.3</v>
      </c>
      <c r="K1106" s="421">
        <f t="shared" si="303"/>
        <v>20.55</v>
      </c>
      <c r="L1106" s="647" t="s">
        <v>79</v>
      </c>
      <c r="M1106" s="576"/>
      <c r="N1106" s="576">
        <f t="shared" si="295"/>
        <v>0</v>
      </c>
      <c r="O1106" s="577">
        <f t="shared" si="300"/>
        <v>0</v>
      </c>
      <c r="P1106" s="578">
        <f t="shared" si="301"/>
        <v>0</v>
      </c>
      <c r="Q1106" s="765"/>
      <c r="R1106" s="576">
        <f t="shared" si="297"/>
        <v>0</v>
      </c>
      <c r="S1106" s="576">
        <f t="shared" si="297"/>
        <v>0</v>
      </c>
      <c r="T1106" s="577">
        <f t="shared" si="298"/>
        <v>0</v>
      </c>
      <c r="U1106" s="578">
        <f t="shared" si="299"/>
        <v>0</v>
      </c>
      <c r="V1106" s="579"/>
      <c r="W1106" s="566"/>
      <c r="X1106" s="586" t="str">
        <f t="shared" si="302"/>
        <v/>
      </c>
      <c r="Y1106" s="586" t="str">
        <f t="shared" si="296"/>
        <v/>
      </c>
      <c r="Z1106" s="586" t="str">
        <f t="shared" si="294"/>
        <v/>
      </c>
    </row>
    <row r="1107" spans="1:26" ht="23.25" hidden="1" thickBot="1" x14ac:dyDescent="0.25">
      <c r="A1107" s="567">
        <v>91843</v>
      </c>
      <c r="B1107" s="644">
        <v>91843</v>
      </c>
      <c r="C1107" s="645" t="s">
        <v>670</v>
      </c>
      <c r="D1107" s="422" t="s">
        <v>958</v>
      </c>
      <c r="E1107" s="423"/>
      <c r="F1107" s="424"/>
      <c r="G1107" s="425"/>
      <c r="H1107" s="651"/>
      <c r="I1107" s="420">
        <v>7.4</v>
      </c>
      <c r="J1107" s="420">
        <f t="shared" ref="J1107:J1170" si="304">IF(ISBLANK(I1107),"",SUM(H1107:I1107))</f>
        <v>7.4</v>
      </c>
      <c r="K1107" s="421">
        <f t="shared" si="303"/>
        <v>8.7899999999999991</v>
      </c>
      <c r="L1107" s="647" t="s">
        <v>79</v>
      </c>
      <c r="M1107" s="576"/>
      <c r="N1107" s="576">
        <f t="shared" si="295"/>
        <v>0</v>
      </c>
      <c r="O1107" s="577">
        <f t="shared" si="300"/>
        <v>0</v>
      </c>
      <c r="P1107" s="578">
        <f t="shared" si="301"/>
        <v>0</v>
      </c>
      <c r="Q1107" s="765"/>
      <c r="R1107" s="576">
        <f t="shared" si="297"/>
        <v>0</v>
      </c>
      <c r="S1107" s="576">
        <f t="shared" si="297"/>
        <v>0</v>
      </c>
      <c r="T1107" s="577">
        <f t="shared" si="298"/>
        <v>0</v>
      </c>
      <c r="U1107" s="578">
        <f t="shared" si="299"/>
        <v>0</v>
      </c>
      <c r="V1107" s="579"/>
      <c r="W1107" s="566"/>
      <c r="X1107" s="586" t="str">
        <f t="shared" si="302"/>
        <v/>
      </c>
      <c r="Y1107" s="586" t="str">
        <f t="shared" si="296"/>
        <v/>
      </c>
      <c r="Z1107" s="586" t="str">
        <f t="shared" ref="Z1107:Z1170" si="305">IF(W1107="X","x",IF(U1107&gt;0,"x",""))</f>
        <v/>
      </c>
    </row>
    <row r="1108" spans="1:26" ht="23.25" hidden="1" thickBot="1" x14ac:dyDescent="0.25">
      <c r="A1108" s="567">
        <v>91845</v>
      </c>
      <c r="B1108" s="644">
        <v>91845</v>
      </c>
      <c r="C1108" s="645" t="s">
        <v>670</v>
      </c>
      <c r="D1108" s="422" t="s">
        <v>959</v>
      </c>
      <c r="E1108" s="423"/>
      <c r="F1108" s="424"/>
      <c r="G1108" s="425"/>
      <c r="H1108" s="651"/>
      <c r="I1108" s="420">
        <v>9.4700000000000006</v>
      </c>
      <c r="J1108" s="420">
        <f t="shared" si="304"/>
        <v>9.4700000000000006</v>
      </c>
      <c r="K1108" s="421">
        <f t="shared" si="303"/>
        <v>11.25</v>
      </c>
      <c r="L1108" s="647" t="s">
        <v>79</v>
      </c>
      <c r="M1108" s="576"/>
      <c r="N1108" s="576">
        <f t="shared" ref="N1108:N1171" si="306">IF(M1108=0,0,K1108)</f>
        <v>0</v>
      </c>
      <c r="O1108" s="577">
        <f t="shared" si="300"/>
        <v>0</v>
      </c>
      <c r="P1108" s="578">
        <f t="shared" si="301"/>
        <v>0</v>
      </c>
      <c r="Q1108" s="765"/>
      <c r="R1108" s="576">
        <f t="shared" si="297"/>
        <v>0</v>
      </c>
      <c r="S1108" s="576">
        <f t="shared" si="297"/>
        <v>0</v>
      </c>
      <c r="T1108" s="577">
        <f t="shared" si="298"/>
        <v>0</v>
      </c>
      <c r="U1108" s="578">
        <f t="shared" si="299"/>
        <v>0</v>
      </c>
      <c r="V1108" s="579"/>
      <c r="W1108" s="566"/>
      <c r="X1108" s="586" t="str">
        <f t="shared" si="302"/>
        <v/>
      </c>
      <c r="Y1108" s="586" t="str">
        <f t="shared" si="296"/>
        <v/>
      </c>
      <c r="Z1108" s="586" t="str">
        <f t="shared" si="305"/>
        <v/>
      </c>
    </row>
    <row r="1109" spans="1:26" ht="23.25" hidden="1" thickBot="1" x14ac:dyDescent="0.25">
      <c r="A1109" s="567">
        <v>91847</v>
      </c>
      <c r="B1109" s="644">
        <v>91847</v>
      </c>
      <c r="C1109" s="645" t="s">
        <v>670</v>
      </c>
      <c r="D1109" s="422" t="s">
        <v>960</v>
      </c>
      <c r="E1109" s="423"/>
      <c r="F1109" s="424"/>
      <c r="G1109" s="425"/>
      <c r="H1109" s="651"/>
      <c r="I1109" s="420">
        <v>15.03</v>
      </c>
      <c r="J1109" s="420">
        <f t="shared" si="304"/>
        <v>15.03</v>
      </c>
      <c r="K1109" s="421">
        <f t="shared" si="303"/>
        <v>17.86</v>
      </c>
      <c r="L1109" s="647" t="s">
        <v>79</v>
      </c>
      <c r="M1109" s="576"/>
      <c r="N1109" s="576">
        <f t="shared" si="306"/>
        <v>0</v>
      </c>
      <c r="O1109" s="577">
        <f t="shared" si="300"/>
        <v>0</v>
      </c>
      <c r="P1109" s="578">
        <f t="shared" si="301"/>
        <v>0</v>
      </c>
      <c r="Q1109" s="765"/>
      <c r="R1109" s="576">
        <f t="shared" si="297"/>
        <v>0</v>
      </c>
      <c r="S1109" s="576">
        <f t="shared" si="297"/>
        <v>0</v>
      </c>
      <c r="T1109" s="577">
        <f t="shared" si="298"/>
        <v>0</v>
      </c>
      <c r="U1109" s="578">
        <f t="shared" si="299"/>
        <v>0</v>
      </c>
      <c r="V1109" s="579"/>
      <c r="W1109" s="566"/>
      <c r="X1109" s="586" t="str">
        <f t="shared" si="302"/>
        <v/>
      </c>
      <c r="Y1109" s="586" t="str">
        <f t="shared" si="296"/>
        <v/>
      </c>
      <c r="Z1109" s="586" t="str">
        <f t="shared" si="305"/>
        <v/>
      </c>
    </row>
    <row r="1110" spans="1:26" ht="23.25" hidden="1" thickBot="1" x14ac:dyDescent="0.25">
      <c r="A1110" s="567">
        <v>91853</v>
      </c>
      <c r="B1110" s="644">
        <v>91853</v>
      </c>
      <c r="C1110" s="645" t="s">
        <v>670</v>
      </c>
      <c r="D1110" s="422" t="s">
        <v>961</v>
      </c>
      <c r="E1110" s="423"/>
      <c r="F1110" s="424"/>
      <c r="G1110" s="425"/>
      <c r="H1110" s="651"/>
      <c r="I1110" s="420">
        <v>10.06</v>
      </c>
      <c r="J1110" s="420">
        <f t="shared" si="304"/>
        <v>10.06</v>
      </c>
      <c r="K1110" s="421">
        <f t="shared" si="303"/>
        <v>11.95</v>
      </c>
      <c r="L1110" s="647" t="s">
        <v>79</v>
      </c>
      <c r="M1110" s="576"/>
      <c r="N1110" s="576">
        <f t="shared" si="306"/>
        <v>0</v>
      </c>
      <c r="O1110" s="577">
        <f t="shared" si="300"/>
        <v>0</v>
      </c>
      <c r="P1110" s="578">
        <f t="shared" si="301"/>
        <v>0</v>
      </c>
      <c r="Q1110" s="765"/>
      <c r="R1110" s="576">
        <f t="shared" si="297"/>
        <v>0</v>
      </c>
      <c r="S1110" s="576">
        <f t="shared" si="297"/>
        <v>0</v>
      </c>
      <c r="T1110" s="577">
        <f t="shared" si="298"/>
        <v>0</v>
      </c>
      <c r="U1110" s="578">
        <f t="shared" si="299"/>
        <v>0</v>
      </c>
      <c r="V1110" s="579"/>
      <c r="W1110" s="566"/>
      <c r="X1110" s="586" t="str">
        <f t="shared" si="302"/>
        <v/>
      </c>
      <c r="Y1110" s="586" t="str">
        <f t="shared" si="296"/>
        <v/>
      </c>
      <c r="Z1110" s="586" t="str">
        <f t="shared" si="305"/>
        <v/>
      </c>
    </row>
    <row r="1111" spans="1:26" ht="23.25" hidden="1" thickBot="1" x14ac:dyDescent="0.25">
      <c r="A1111" s="567">
        <v>91855</v>
      </c>
      <c r="B1111" s="644">
        <v>91855</v>
      </c>
      <c r="C1111" s="645" t="s">
        <v>670</v>
      </c>
      <c r="D1111" s="422" t="s">
        <v>962</v>
      </c>
      <c r="E1111" s="423"/>
      <c r="F1111" s="424"/>
      <c r="G1111" s="425"/>
      <c r="H1111" s="651"/>
      <c r="I1111" s="420">
        <v>12.02</v>
      </c>
      <c r="J1111" s="420">
        <f t="shared" si="304"/>
        <v>12.02</v>
      </c>
      <c r="K1111" s="421">
        <f t="shared" si="303"/>
        <v>14.28</v>
      </c>
      <c r="L1111" s="647" t="s">
        <v>79</v>
      </c>
      <c r="M1111" s="576"/>
      <c r="N1111" s="576">
        <f t="shared" si="306"/>
        <v>0</v>
      </c>
      <c r="O1111" s="577">
        <f t="shared" si="300"/>
        <v>0</v>
      </c>
      <c r="P1111" s="578">
        <f t="shared" si="301"/>
        <v>0</v>
      </c>
      <c r="Q1111" s="765"/>
      <c r="R1111" s="576">
        <f t="shared" si="297"/>
        <v>0</v>
      </c>
      <c r="S1111" s="576">
        <f t="shared" si="297"/>
        <v>0</v>
      </c>
      <c r="T1111" s="577">
        <f t="shared" si="298"/>
        <v>0</v>
      </c>
      <c r="U1111" s="578">
        <f t="shared" si="299"/>
        <v>0</v>
      </c>
      <c r="V1111" s="579"/>
      <c r="W1111" s="566"/>
      <c r="X1111" s="586" t="str">
        <f t="shared" si="302"/>
        <v/>
      </c>
      <c r="Y1111" s="586" t="str">
        <f t="shared" si="296"/>
        <v/>
      </c>
      <c r="Z1111" s="586" t="str">
        <f t="shared" si="305"/>
        <v/>
      </c>
    </row>
    <row r="1112" spans="1:26" ht="23.25" hidden="1" thickBot="1" x14ac:dyDescent="0.25">
      <c r="A1112" s="567">
        <v>91857</v>
      </c>
      <c r="B1112" s="644">
        <v>91857</v>
      </c>
      <c r="C1112" s="645" t="s">
        <v>670</v>
      </c>
      <c r="D1112" s="422" t="s">
        <v>963</v>
      </c>
      <c r="E1112" s="423"/>
      <c r="F1112" s="424"/>
      <c r="G1112" s="425"/>
      <c r="H1112" s="651"/>
      <c r="I1112" s="420">
        <v>17.25</v>
      </c>
      <c r="J1112" s="420">
        <f t="shared" si="304"/>
        <v>17.25</v>
      </c>
      <c r="K1112" s="421">
        <f t="shared" si="303"/>
        <v>20.49</v>
      </c>
      <c r="L1112" s="647" t="s">
        <v>79</v>
      </c>
      <c r="M1112" s="576"/>
      <c r="N1112" s="576">
        <f t="shared" si="306"/>
        <v>0</v>
      </c>
      <c r="O1112" s="577">
        <f t="shared" si="300"/>
        <v>0</v>
      </c>
      <c r="P1112" s="578">
        <f t="shared" si="301"/>
        <v>0</v>
      </c>
      <c r="Q1112" s="765"/>
      <c r="R1112" s="576">
        <f t="shared" si="297"/>
        <v>0</v>
      </c>
      <c r="S1112" s="576">
        <f t="shared" si="297"/>
        <v>0</v>
      </c>
      <c r="T1112" s="577">
        <f t="shared" si="298"/>
        <v>0</v>
      </c>
      <c r="U1112" s="578">
        <f t="shared" si="299"/>
        <v>0</v>
      </c>
      <c r="V1112" s="579"/>
      <c r="W1112" s="566"/>
      <c r="X1112" s="586" t="str">
        <f t="shared" si="302"/>
        <v/>
      </c>
      <c r="Y1112" s="586" t="str">
        <f t="shared" si="296"/>
        <v/>
      </c>
      <c r="Z1112" s="586" t="str">
        <f t="shared" si="305"/>
        <v/>
      </c>
    </row>
    <row r="1113" spans="1:26" ht="23.25" hidden="1" thickBot="1" x14ac:dyDescent="0.25">
      <c r="A1113" s="567">
        <v>91874</v>
      </c>
      <c r="B1113" s="644">
        <v>91874</v>
      </c>
      <c r="C1113" s="645" t="s">
        <v>670</v>
      </c>
      <c r="D1113" s="422" t="s">
        <v>964</v>
      </c>
      <c r="E1113" s="423"/>
      <c r="F1113" s="424"/>
      <c r="G1113" s="425"/>
      <c r="H1113" s="651"/>
      <c r="I1113" s="420">
        <v>5.63</v>
      </c>
      <c r="J1113" s="420">
        <f t="shared" si="304"/>
        <v>5.63</v>
      </c>
      <c r="K1113" s="421">
        <f t="shared" si="303"/>
        <v>6.69</v>
      </c>
      <c r="L1113" s="647" t="s">
        <v>2065</v>
      </c>
      <c r="M1113" s="576"/>
      <c r="N1113" s="576">
        <f t="shared" si="306"/>
        <v>0</v>
      </c>
      <c r="O1113" s="577">
        <f t="shared" si="300"/>
        <v>0</v>
      </c>
      <c r="P1113" s="578">
        <f t="shared" si="301"/>
        <v>0</v>
      </c>
      <c r="Q1113" s="765"/>
      <c r="R1113" s="576">
        <f t="shared" si="297"/>
        <v>0</v>
      </c>
      <c r="S1113" s="576">
        <f t="shared" si="297"/>
        <v>0</v>
      </c>
      <c r="T1113" s="577">
        <f t="shared" si="298"/>
        <v>0</v>
      </c>
      <c r="U1113" s="578">
        <f t="shared" si="299"/>
        <v>0</v>
      </c>
      <c r="V1113" s="579"/>
      <c r="W1113" s="566"/>
      <c r="X1113" s="586" t="str">
        <f t="shared" si="302"/>
        <v/>
      </c>
      <c r="Y1113" s="586" t="str">
        <f t="shared" si="296"/>
        <v/>
      </c>
      <c r="Z1113" s="586" t="str">
        <f t="shared" si="305"/>
        <v/>
      </c>
    </row>
    <row r="1114" spans="1:26" ht="23.25" hidden="1" thickBot="1" x14ac:dyDescent="0.25">
      <c r="A1114" s="567">
        <v>91875</v>
      </c>
      <c r="B1114" s="644">
        <v>91875</v>
      </c>
      <c r="C1114" s="645" t="s">
        <v>670</v>
      </c>
      <c r="D1114" s="422" t="s">
        <v>965</v>
      </c>
      <c r="E1114" s="423"/>
      <c r="F1114" s="424"/>
      <c r="G1114" s="425"/>
      <c r="H1114" s="651"/>
      <c r="I1114" s="420">
        <v>7.49</v>
      </c>
      <c r="J1114" s="420">
        <f t="shared" si="304"/>
        <v>7.49</v>
      </c>
      <c r="K1114" s="421">
        <f t="shared" si="303"/>
        <v>8.9</v>
      </c>
      <c r="L1114" s="647" t="s">
        <v>2065</v>
      </c>
      <c r="M1114" s="576"/>
      <c r="N1114" s="576">
        <f t="shared" si="306"/>
        <v>0</v>
      </c>
      <c r="O1114" s="577">
        <f t="shared" si="300"/>
        <v>0</v>
      </c>
      <c r="P1114" s="578">
        <f t="shared" si="301"/>
        <v>0</v>
      </c>
      <c r="Q1114" s="765"/>
      <c r="R1114" s="576">
        <f t="shared" si="297"/>
        <v>0</v>
      </c>
      <c r="S1114" s="576">
        <f t="shared" si="297"/>
        <v>0</v>
      </c>
      <c r="T1114" s="577">
        <f t="shared" si="298"/>
        <v>0</v>
      </c>
      <c r="U1114" s="578">
        <f t="shared" si="299"/>
        <v>0</v>
      </c>
      <c r="V1114" s="579"/>
      <c r="W1114" s="566"/>
      <c r="X1114" s="586" t="str">
        <f t="shared" si="302"/>
        <v/>
      </c>
      <c r="Y1114" s="586" t="str">
        <f t="shared" si="296"/>
        <v/>
      </c>
      <c r="Z1114" s="586" t="str">
        <f t="shared" si="305"/>
        <v/>
      </c>
    </row>
    <row r="1115" spans="1:26" ht="23.25" hidden="1" thickBot="1" x14ac:dyDescent="0.25">
      <c r="A1115" s="567">
        <v>91876</v>
      </c>
      <c r="B1115" s="644">
        <v>91876</v>
      </c>
      <c r="C1115" s="645" t="s">
        <v>670</v>
      </c>
      <c r="D1115" s="422" t="s">
        <v>966</v>
      </c>
      <c r="E1115" s="423"/>
      <c r="F1115" s="424"/>
      <c r="G1115" s="425"/>
      <c r="H1115" s="651"/>
      <c r="I1115" s="420">
        <v>9.92</v>
      </c>
      <c r="J1115" s="420">
        <f t="shared" si="304"/>
        <v>9.92</v>
      </c>
      <c r="K1115" s="421">
        <f t="shared" si="303"/>
        <v>11.79</v>
      </c>
      <c r="L1115" s="647" t="s">
        <v>2065</v>
      </c>
      <c r="M1115" s="576"/>
      <c r="N1115" s="576">
        <f t="shared" si="306"/>
        <v>0</v>
      </c>
      <c r="O1115" s="577">
        <f t="shared" si="300"/>
        <v>0</v>
      </c>
      <c r="P1115" s="578">
        <f t="shared" si="301"/>
        <v>0</v>
      </c>
      <c r="Q1115" s="765"/>
      <c r="R1115" s="576">
        <f t="shared" si="297"/>
        <v>0</v>
      </c>
      <c r="S1115" s="576">
        <f t="shared" si="297"/>
        <v>0</v>
      </c>
      <c r="T1115" s="577">
        <f t="shared" si="298"/>
        <v>0</v>
      </c>
      <c r="U1115" s="578">
        <f t="shared" si="299"/>
        <v>0</v>
      </c>
      <c r="V1115" s="579"/>
      <c r="W1115" s="566"/>
      <c r="X1115" s="586" t="str">
        <f t="shared" si="302"/>
        <v/>
      </c>
      <c r="Y1115" s="586" t="str">
        <f t="shared" si="296"/>
        <v/>
      </c>
      <c r="Z1115" s="586" t="str">
        <f t="shared" si="305"/>
        <v/>
      </c>
    </row>
    <row r="1116" spans="1:26" ht="23.25" hidden="1" thickBot="1" x14ac:dyDescent="0.25">
      <c r="A1116" s="567">
        <v>91877</v>
      </c>
      <c r="B1116" s="644">
        <v>91877</v>
      </c>
      <c r="C1116" s="645" t="s">
        <v>670</v>
      </c>
      <c r="D1116" s="422" t="s">
        <v>967</v>
      </c>
      <c r="E1116" s="423"/>
      <c r="F1116" s="424"/>
      <c r="G1116" s="425"/>
      <c r="H1116" s="651"/>
      <c r="I1116" s="420">
        <v>13.33</v>
      </c>
      <c r="J1116" s="420">
        <f t="shared" si="304"/>
        <v>13.33</v>
      </c>
      <c r="K1116" s="421">
        <f t="shared" si="303"/>
        <v>15.84</v>
      </c>
      <c r="L1116" s="647" t="s">
        <v>2065</v>
      </c>
      <c r="M1116" s="576"/>
      <c r="N1116" s="576">
        <f t="shared" si="306"/>
        <v>0</v>
      </c>
      <c r="O1116" s="577">
        <f t="shared" si="300"/>
        <v>0</v>
      </c>
      <c r="P1116" s="578">
        <f t="shared" si="301"/>
        <v>0</v>
      </c>
      <c r="Q1116" s="765"/>
      <c r="R1116" s="576">
        <f t="shared" si="297"/>
        <v>0</v>
      </c>
      <c r="S1116" s="576">
        <f t="shared" si="297"/>
        <v>0</v>
      </c>
      <c r="T1116" s="577">
        <f t="shared" si="298"/>
        <v>0</v>
      </c>
      <c r="U1116" s="578">
        <f t="shared" si="299"/>
        <v>0</v>
      </c>
      <c r="V1116" s="579"/>
      <c r="W1116" s="566"/>
      <c r="X1116" s="586" t="str">
        <f t="shared" si="302"/>
        <v/>
      </c>
      <c r="Y1116" s="586" t="str">
        <f t="shared" si="296"/>
        <v/>
      </c>
      <c r="Z1116" s="586" t="str">
        <f t="shared" si="305"/>
        <v/>
      </c>
    </row>
    <row r="1117" spans="1:26" ht="23.25" hidden="1" thickBot="1" x14ac:dyDescent="0.25">
      <c r="A1117" s="567">
        <v>91878</v>
      </c>
      <c r="B1117" s="644">
        <v>91878</v>
      </c>
      <c r="C1117" s="645" t="s">
        <v>670</v>
      </c>
      <c r="D1117" s="422" t="s">
        <v>968</v>
      </c>
      <c r="E1117" s="423"/>
      <c r="F1117" s="424"/>
      <c r="G1117" s="425"/>
      <c r="H1117" s="651"/>
      <c r="I1117" s="420">
        <v>7.14</v>
      </c>
      <c r="J1117" s="420">
        <f t="shared" si="304"/>
        <v>7.14</v>
      </c>
      <c r="K1117" s="421">
        <f t="shared" si="303"/>
        <v>8.48</v>
      </c>
      <c r="L1117" s="647" t="s">
        <v>2065</v>
      </c>
      <c r="M1117" s="576"/>
      <c r="N1117" s="576">
        <f t="shared" si="306"/>
        <v>0</v>
      </c>
      <c r="O1117" s="577">
        <f t="shared" si="300"/>
        <v>0</v>
      </c>
      <c r="P1117" s="578">
        <f t="shared" si="301"/>
        <v>0</v>
      </c>
      <c r="Q1117" s="765"/>
      <c r="R1117" s="576">
        <f t="shared" si="297"/>
        <v>0</v>
      </c>
      <c r="S1117" s="576">
        <f t="shared" si="297"/>
        <v>0</v>
      </c>
      <c r="T1117" s="577">
        <f t="shared" si="298"/>
        <v>0</v>
      </c>
      <c r="U1117" s="578">
        <f t="shared" si="299"/>
        <v>0</v>
      </c>
      <c r="V1117" s="579"/>
      <c r="W1117" s="566"/>
      <c r="X1117" s="586" t="str">
        <f t="shared" si="302"/>
        <v/>
      </c>
      <c r="Y1117" s="586" t="str">
        <f t="shared" si="296"/>
        <v/>
      </c>
      <c r="Z1117" s="586" t="str">
        <f t="shared" si="305"/>
        <v/>
      </c>
    </row>
    <row r="1118" spans="1:26" ht="23.25" hidden="1" thickBot="1" x14ac:dyDescent="0.25">
      <c r="A1118" s="567">
        <v>91879</v>
      </c>
      <c r="B1118" s="644">
        <v>91879</v>
      </c>
      <c r="C1118" s="645" t="s">
        <v>670</v>
      </c>
      <c r="D1118" s="422" t="s">
        <v>969</v>
      </c>
      <c r="E1118" s="423"/>
      <c r="F1118" s="424"/>
      <c r="G1118" s="425"/>
      <c r="H1118" s="651"/>
      <c r="I1118" s="420">
        <v>8.9600000000000009</v>
      </c>
      <c r="J1118" s="420">
        <f t="shared" si="304"/>
        <v>8.9600000000000009</v>
      </c>
      <c r="K1118" s="421">
        <f t="shared" si="303"/>
        <v>10.65</v>
      </c>
      <c r="L1118" s="647" t="s">
        <v>2065</v>
      </c>
      <c r="M1118" s="576"/>
      <c r="N1118" s="576">
        <f t="shared" si="306"/>
        <v>0</v>
      </c>
      <c r="O1118" s="577">
        <f t="shared" si="300"/>
        <v>0</v>
      </c>
      <c r="P1118" s="578">
        <f t="shared" si="301"/>
        <v>0</v>
      </c>
      <c r="Q1118" s="765"/>
      <c r="R1118" s="576">
        <f t="shared" si="297"/>
        <v>0</v>
      </c>
      <c r="S1118" s="576">
        <f t="shared" si="297"/>
        <v>0</v>
      </c>
      <c r="T1118" s="577">
        <f t="shared" si="298"/>
        <v>0</v>
      </c>
      <c r="U1118" s="578">
        <f t="shared" si="299"/>
        <v>0</v>
      </c>
      <c r="V1118" s="579"/>
      <c r="W1118" s="566"/>
      <c r="X1118" s="586" t="str">
        <f t="shared" si="302"/>
        <v/>
      </c>
      <c r="Y1118" s="586" t="str">
        <f t="shared" si="296"/>
        <v/>
      </c>
      <c r="Z1118" s="586" t="str">
        <f t="shared" si="305"/>
        <v/>
      </c>
    </row>
    <row r="1119" spans="1:26" ht="23.25" hidden="1" thickBot="1" x14ac:dyDescent="0.25">
      <c r="A1119" s="567">
        <v>91880</v>
      </c>
      <c r="B1119" s="644">
        <v>91880</v>
      </c>
      <c r="C1119" s="645" t="s">
        <v>670</v>
      </c>
      <c r="D1119" s="422" t="s">
        <v>970</v>
      </c>
      <c r="E1119" s="423"/>
      <c r="F1119" s="424"/>
      <c r="G1119" s="425"/>
      <c r="H1119" s="651"/>
      <c r="I1119" s="420">
        <v>11.43</v>
      </c>
      <c r="J1119" s="420">
        <f t="shared" si="304"/>
        <v>11.43</v>
      </c>
      <c r="K1119" s="421">
        <f t="shared" si="303"/>
        <v>13.58</v>
      </c>
      <c r="L1119" s="647" t="s">
        <v>2065</v>
      </c>
      <c r="M1119" s="576"/>
      <c r="N1119" s="576">
        <f t="shared" si="306"/>
        <v>0</v>
      </c>
      <c r="O1119" s="577">
        <f t="shared" si="300"/>
        <v>0</v>
      </c>
      <c r="P1119" s="578">
        <f t="shared" si="301"/>
        <v>0</v>
      </c>
      <c r="Q1119" s="765"/>
      <c r="R1119" s="576">
        <f t="shared" si="297"/>
        <v>0</v>
      </c>
      <c r="S1119" s="576">
        <f t="shared" si="297"/>
        <v>0</v>
      </c>
      <c r="T1119" s="577">
        <f t="shared" si="298"/>
        <v>0</v>
      </c>
      <c r="U1119" s="578">
        <f t="shared" si="299"/>
        <v>0</v>
      </c>
      <c r="V1119" s="579"/>
      <c r="W1119" s="566"/>
      <c r="X1119" s="586" t="str">
        <f t="shared" si="302"/>
        <v/>
      </c>
      <c r="Y1119" s="586" t="str">
        <f t="shared" si="296"/>
        <v/>
      </c>
      <c r="Z1119" s="586" t="str">
        <f t="shared" si="305"/>
        <v/>
      </c>
    </row>
    <row r="1120" spans="1:26" ht="23.25" hidden="1" thickBot="1" x14ac:dyDescent="0.25">
      <c r="A1120" s="567">
        <v>91881</v>
      </c>
      <c r="B1120" s="644">
        <v>91881</v>
      </c>
      <c r="C1120" s="645" t="s">
        <v>670</v>
      </c>
      <c r="D1120" s="422" t="s">
        <v>971</v>
      </c>
      <c r="E1120" s="423"/>
      <c r="F1120" s="424"/>
      <c r="G1120" s="425"/>
      <c r="H1120" s="651"/>
      <c r="I1120" s="420">
        <v>14.84</v>
      </c>
      <c r="J1120" s="420">
        <f t="shared" si="304"/>
        <v>14.84</v>
      </c>
      <c r="K1120" s="421">
        <f t="shared" si="303"/>
        <v>17.63</v>
      </c>
      <c r="L1120" s="647" t="s">
        <v>2065</v>
      </c>
      <c r="M1120" s="576"/>
      <c r="N1120" s="576">
        <f t="shared" si="306"/>
        <v>0</v>
      </c>
      <c r="O1120" s="577">
        <f t="shared" si="300"/>
        <v>0</v>
      </c>
      <c r="P1120" s="578">
        <f t="shared" si="301"/>
        <v>0</v>
      </c>
      <c r="Q1120" s="765"/>
      <c r="R1120" s="576">
        <f t="shared" si="297"/>
        <v>0</v>
      </c>
      <c r="S1120" s="576">
        <f t="shared" si="297"/>
        <v>0</v>
      </c>
      <c r="T1120" s="577">
        <f t="shared" si="298"/>
        <v>0</v>
      </c>
      <c r="U1120" s="578">
        <f t="shared" si="299"/>
        <v>0</v>
      </c>
      <c r="V1120" s="579"/>
      <c r="W1120" s="566"/>
      <c r="X1120" s="586" t="str">
        <f t="shared" si="302"/>
        <v/>
      </c>
      <c r="Y1120" s="586" t="str">
        <f t="shared" si="296"/>
        <v/>
      </c>
      <c r="Z1120" s="586" t="str">
        <f t="shared" si="305"/>
        <v/>
      </c>
    </row>
    <row r="1121" spans="1:26" ht="23.25" hidden="1" thickBot="1" x14ac:dyDescent="0.25">
      <c r="A1121" s="567">
        <v>91882</v>
      </c>
      <c r="B1121" s="644">
        <v>91882</v>
      </c>
      <c r="C1121" s="645" t="s">
        <v>670</v>
      </c>
      <c r="D1121" s="422" t="s">
        <v>972</v>
      </c>
      <c r="E1121" s="423"/>
      <c r="F1121" s="424"/>
      <c r="G1121" s="425"/>
      <c r="H1121" s="651"/>
      <c r="I1121" s="420">
        <v>8.76</v>
      </c>
      <c r="J1121" s="420">
        <f t="shared" si="304"/>
        <v>8.76</v>
      </c>
      <c r="K1121" s="421">
        <f t="shared" si="303"/>
        <v>10.41</v>
      </c>
      <c r="L1121" s="647" t="s">
        <v>2065</v>
      </c>
      <c r="M1121" s="576"/>
      <c r="N1121" s="576">
        <f t="shared" si="306"/>
        <v>0</v>
      </c>
      <c r="O1121" s="577">
        <f t="shared" si="300"/>
        <v>0</v>
      </c>
      <c r="P1121" s="578">
        <f t="shared" si="301"/>
        <v>0</v>
      </c>
      <c r="Q1121" s="765"/>
      <c r="R1121" s="576">
        <f t="shared" si="297"/>
        <v>0</v>
      </c>
      <c r="S1121" s="576">
        <f t="shared" si="297"/>
        <v>0</v>
      </c>
      <c r="T1121" s="577">
        <f t="shared" si="298"/>
        <v>0</v>
      </c>
      <c r="U1121" s="578">
        <f t="shared" si="299"/>
        <v>0</v>
      </c>
      <c r="V1121" s="579"/>
      <c r="W1121" s="566"/>
      <c r="X1121" s="586" t="str">
        <f t="shared" si="302"/>
        <v/>
      </c>
      <c r="Y1121" s="586" t="str">
        <f t="shared" si="296"/>
        <v/>
      </c>
      <c r="Z1121" s="586" t="str">
        <f t="shared" si="305"/>
        <v/>
      </c>
    </row>
    <row r="1122" spans="1:26" ht="23.25" hidden="1" thickBot="1" x14ac:dyDescent="0.25">
      <c r="A1122" s="567">
        <v>91884</v>
      </c>
      <c r="B1122" s="644">
        <v>91884</v>
      </c>
      <c r="C1122" s="645" t="s">
        <v>670</v>
      </c>
      <c r="D1122" s="422" t="s">
        <v>973</v>
      </c>
      <c r="E1122" s="423"/>
      <c r="F1122" s="424"/>
      <c r="G1122" s="425"/>
      <c r="H1122" s="651"/>
      <c r="I1122" s="420">
        <v>10.210000000000001</v>
      </c>
      <c r="J1122" s="420">
        <f t="shared" si="304"/>
        <v>10.210000000000001</v>
      </c>
      <c r="K1122" s="421">
        <f t="shared" si="303"/>
        <v>12.13</v>
      </c>
      <c r="L1122" s="647" t="s">
        <v>2065</v>
      </c>
      <c r="M1122" s="576"/>
      <c r="N1122" s="576">
        <f t="shared" si="306"/>
        <v>0</v>
      </c>
      <c r="O1122" s="577">
        <f t="shared" si="300"/>
        <v>0</v>
      </c>
      <c r="P1122" s="578">
        <f t="shared" si="301"/>
        <v>0</v>
      </c>
      <c r="Q1122" s="765"/>
      <c r="R1122" s="576">
        <f t="shared" si="297"/>
        <v>0</v>
      </c>
      <c r="S1122" s="576">
        <f t="shared" si="297"/>
        <v>0</v>
      </c>
      <c r="T1122" s="577">
        <f t="shared" si="298"/>
        <v>0</v>
      </c>
      <c r="U1122" s="578">
        <f t="shared" si="299"/>
        <v>0</v>
      </c>
      <c r="V1122" s="579"/>
      <c r="W1122" s="566"/>
      <c r="X1122" s="586" t="str">
        <f t="shared" si="302"/>
        <v/>
      </c>
      <c r="Y1122" s="586" t="str">
        <f t="shared" si="296"/>
        <v/>
      </c>
      <c r="Z1122" s="586" t="str">
        <f t="shared" si="305"/>
        <v/>
      </c>
    </row>
    <row r="1123" spans="1:26" ht="23.25" hidden="1" thickBot="1" x14ac:dyDescent="0.25">
      <c r="A1123" s="567">
        <v>91885</v>
      </c>
      <c r="B1123" s="644">
        <v>91885</v>
      </c>
      <c r="C1123" s="645" t="s">
        <v>670</v>
      </c>
      <c r="D1123" s="422" t="s">
        <v>974</v>
      </c>
      <c r="E1123" s="423"/>
      <c r="F1123" s="424"/>
      <c r="G1123" s="425"/>
      <c r="H1123" s="651"/>
      <c r="I1123" s="420">
        <v>12.16</v>
      </c>
      <c r="J1123" s="420">
        <f t="shared" si="304"/>
        <v>12.16</v>
      </c>
      <c r="K1123" s="421">
        <f t="shared" si="303"/>
        <v>14.45</v>
      </c>
      <c r="L1123" s="647" t="s">
        <v>2065</v>
      </c>
      <c r="M1123" s="576"/>
      <c r="N1123" s="576">
        <f t="shared" si="306"/>
        <v>0</v>
      </c>
      <c r="O1123" s="577">
        <f t="shared" si="300"/>
        <v>0</v>
      </c>
      <c r="P1123" s="578">
        <f t="shared" si="301"/>
        <v>0</v>
      </c>
      <c r="Q1123" s="765"/>
      <c r="R1123" s="576">
        <f t="shared" si="297"/>
        <v>0</v>
      </c>
      <c r="S1123" s="576">
        <f t="shared" si="297"/>
        <v>0</v>
      </c>
      <c r="T1123" s="577">
        <f t="shared" si="298"/>
        <v>0</v>
      </c>
      <c r="U1123" s="578">
        <f t="shared" si="299"/>
        <v>0</v>
      </c>
      <c r="V1123" s="579"/>
      <c r="W1123" s="566"/>
      <c r="X1123" s="586" t="str">
        <f t="shared" si="302"/>
        <v/>
      </c>
      <c r="Y1123" s="586" t="str">
        <f t="shared" ref="Y1123:Y1186" si="307">IF(W1123="X","x",IF(W1123="y","x",IF(W1123="xx","x",IF(U1123&gt;0,"x",""))))</f>
        <v/>
      </c>
      <c r="Z1123" s="586" t="str">
        <f t="shared" si="305"/>
        <v/>
      </c>
    </row>
    <row r="1124" spans="1:26" ht="23.25" hidden="1" thickBot="1" x14ac:dyDescent="0.25">
      <c r="A1124" s="567">
        <v>91886</v>
      </c>
      <c r="B1124" s="644">
        <v>91886</v>
      </c>
      <c r="C1124" s="645" t="s">
        <v>670</v>
      </c>
      <c r="D1124" s="422" t="s">
        <v>975</v>
      </c>
      <c r="E1124" s="423"/>
      <c r="F1124" s="424"/>
      <c r="G1124" s="425"/>
      <c r="H1124" s="651"/>
      <c r="I1124" s="420">
        <v>15.01</v>
      </c>
      <c r="J1124" s="420">
        <f t="shared" si="304"/>
        <v>15.01</v>
      </c>
      <c r="K1124" s="421">
        <f t="shared" si="303"/>
        <v>17.829999999999998</v>
      </c>
      <c r="L1124" s="647" t="s">
        <v>2065</v>
      </c>
      <c r="M1124" s="576"/>
      <c r="N1124" s="576">
        <f t="shared" si="306"/>
        <v>0</v>
      </c>
      <c r="O1124" s="577">
        <f t="shared" si="300"/>
        <v>0</v>
      </c>
      <c r="P1124" s="578">
        <f t="shared" si="301"/>
        <v>0</v>
      </c>
      <c r="Q1124" s="765"/>
      <c r="R1124" s="576">
        <f t="shared" si="297"/>
        <v>0</v>
      </c>
      <c r="S1124" s="576">
        <f t="shared" si="297"/>
        <v>0</v>
      </c>
      <c r="T1124" s="577">
        <f t="shared" si="298"/>
        <v>0</v>
      </c>
      <c r="U1124" s="578">
        <f t="shared" si="299"/>
        <v>0</v>
      </c>
      <c r="V1124" s="579"/>
      <c r="W1124" s="566"/>
      <c r="X1124" s="586" t="str">
        <f t="shared" si="302"/>
        <v/>
      </c>
      <c r="Y1124" s="586" t="str">
        <f t="shared" si="307"/>
        <v/>
      </c>
      <c r="Z1124" s="586" t="str">
        <f t="shared" si="305"/>
        <v/>
      </c>
    </row>
    <row r="1125" spans="1:26" ht="23.25" hidden="1" thickBot="1" x14ac:dyDescent="0.25">
      <c r="A1125" s="567">
        <v>91887</v>
      </c>
      <c r="B1125" s="644">
        <v>91887</v>
      </c>
      <c r="C1125" s="645" t="s">
        <v>670</v>
      </c>
      <c r="D1125" s="422" t="s">
        <v>976</v>
      </c>
      <c r="E1125" s="423"/>
      <c r="F1125" s="424"/>
      <c r="G1125" s="425"/>
      <c r="H1125" s="651"/>
      <c r="I1125" s="420">
        <v>10.88</v>
      </c>
      <c r="J1125" s="420">
        <f t="shared" si="304"/>
        <v>10.88</v>
      </c>
      <c r="K1125" s="421">
        <f t="shared" si="303"/>
        <v>12.93</v>
      </c>
      <c r="L1125" s="647" t="s">
        <v>2065</v>
      </c>
      <c r="M1125" s="576"/>
      <c r="N1125" s="576">
        <f t="shared" si="306"/>
        <v>0</v>
      </c>
      <c r="O1125" s="577">
        <f t="shared" si="300"/>
        <v>0</v>
      </c>
      <c r="P1125" s="578">
        <f t="shared" si="301"/>
        <v>0</v>
      </c>
      <c r="Q1125" s="765"/>
      <c r="R1125" s="576">
        <f t="shared" si="297"/>
        <v>0</v>
      </c>
      <c r="S1125" s="576">
        <f t="shared" si="297"/>
        <v>0</v>
      </c>
      <c r="T1125" s="577">
        <f t="shared" si="298"/>
        <v>0</v>
      </c>
      <c r="U1125" s="578">
        <f t="shared" si="299"/>
        <v>0</v>
      </c>
      <c r="V1125" s="579"/>
      <c r="W1125" s="566"/>
      <c r="X1125" s="586" t="str">
        <f t="shared" si="302"/>
        <v/>
      </c>
      <c r="Y1125" s="586" t="str">
        <f t="shared" si="307"/>
        <v/>
      </c>
      <c r="Z1125" s="586" t="str">
        <f t="shared" si="305"/>
        <v/>
      </c>
    </row>
    <row r="1126" spans="1:26" ht="23.25" hidden="1" thickBot="1" x14ac:dyDescent="0.25">
      <c r="A1126" s="567">
        <v>91889</v>
      </c>
      <c r="B1126" s="644">
        <v>91889</v>
      </c>
      <c r="C1126" s="645" t="s">
        <v>670</v>
      </c>
      <c r="D1126" s="422" t="s">
        <v>977</v>
      </c>
      <c r="E1126" s="423"/>
      <c r="F1126" s="424"/>
      <c r="G1126" s="425"/>
      <c r="H1126" s="651"/>
      <c r="I1126" s="420">
        <v>10.41</v>
      </c>
      <c r="J1126" s="420">
        <f t="shared" si="304"/>
        <v>10.41</v>
      </c>
      <c r="K1126" s="421">
        <f t="shared" si="303"/>
        <v>12.37</v>
      </c>
      <c r="L1126" s="647" t="s">
        <v>2065</v>
      </c>
      <c r="M1126" s="576"/>
      <c r="N1126" s="576">
        <f t="shared" si="306"/>
        <v>0</v>
      </c>
      <c r="O1126" s="577">
        <f t="shared" si="300"/>
        <v>0</v>
      </c>
      <c r="P1126" s="578">
        <f t="shared" si="301"/>
        <v>0</v>
      </c>
      <c r="Q1126" s="765"/>
      <c r="R1126" s="576">
        <f t="shared" si="297"/>
        <v>0</v>
      </c>
      <c r="S1126" s="576">
        <f t="shared" si="297"/>
        <v>0</v>
      </c>
      <c r="T1126" s="577">
        <f t="shared" si="298"/>
        <v>0</v>
      </c>
      <c r="U1126" s="578">
        <f t="shared" si="299"/>
        <v>0</v>
      </c>
      <c r="V1126" s="579"/>
      <c r="W1126" s="566"/>
      <c r="X1126" s="586" t="str">
        <f t="shared" si="302"/>
        <v/>
      </c>
      <c r="Y1126" s="586" t="str">
        <f t="shared" si="307"/>
        <v/>
      </c>
      <c r="Z1126" s="586" t="str">
        <f t="shared" si="305"/>
        <v/>
      </c>
    </row>
    <row r="1127" spans="1:26" ht="23.25" hidden="1" thickBot="1" x14ac:dyDescent="0.25">
      <c r="A1127" s="567">
        <v>91890</v>
      </c>
      <c r="B1127" s="644">
        <v>91890</v>
      </c>
      <c r="C1127" s="645" t="s">
        <v>670</v>
      </c>
      <c r="D1127" s="422" t="s">
        <v>978</v>
      </c>
      <c r="E1127" s="423"/>
      <c r="F1127" s="424"/>
      <c r="G1127" s="425"/>
      <c r="H1127" s="651"/>
      <c r="I1127" s="420">
        <v>12.77</v>
      </c>
      <c r="J1127" s="420">
        <f t="shared" si="304"/>
        <v>12.77</v>
      </c>
      <c r="K1127" s="421">
        <f t="shared" si="303"/>
        <v>15.17</v>
      </c>
      <c r="L1127" s="647" t="s">
        <v>2065</v>
      </c>
      <c r="M1127" s="576"/>
      <c r="N1127" s="576">
        <f t="shared" si="306"/>
        <v>0</v>
      </c>
      <c r="O1127" s="577">
        <f t="shared" si="300"/>
        <v>0</v>
      </c>
      <c r="P1127" s="578">
        <f t="shared" si="301"/>
        <v>0</v>
      </c>
      <c r="Q1127" s="765"/>
      <c r="R1127" s="576">
        <f t="shared" si="297"/>
        <v>0</v>
      </c>
      <c r="S1127" s="576">
        <f t="shared" si="297"/>
        <v>0</v>
      </c>
      <c r="T1127" s="577">
        <f t="shared" si="298"/>
        <v>0</v>
      </c>
      <c r="U1127" s="578">
        <f t="shared" si="299"/>
        <v>0</v>
      </c>
      <c r="V1127" s="579"/>
      <c r="W1127" s="566"/>
      <c r="X1127" s="586" t="str">
        <f t="shared" si="302"/>
        <v/>
      </c>
      <c r="Y1127" s="586" t="str">
        <f t="shared" si="307"/>
        <v/>
      </c>
      <c r="Z1127" s="586" t="str">
        <f t="shared" si="305"/>
        <v/>
      </c>
    </row>
    <row r="1128" spans="1:26" ht="23.25" hidden="1" thickBot="1" x14ac:dyDescent="0.25">
      <c r="A1128" s="567">
        <v>91892</v>
      </c>
      <c r="B1128" s="644">
        <v>91892</v>
      </c>
      <c r="C1128" s="645" t="s">
        <v>670</v>
      </c>
      <c r="D1128" s="422" t="s">
        <v>979</v>
      </c>
      <c r="E1128" s="423"/>
      <c r="F1128" s="424"/>
      <c r="G1128" s="425"/>
      <c r="H1128" s="651"/>
      <c r="I1128" s="420">
        <v>15.93</v>
      </c>
      <c r="J1128" s="420">
        <f t="shared" si="304"/>
        <v>15.93</v>
      </c>
      <c r="K1128" s="421">
        <f t="shared" si="303"/>
        <v>18.93</v>
      </c>
      <c r="L1128" s="647" t="s">
        <v>2065</v>
      </c>
      <c r="M1128" s="576"/>
      <c r="N1128" s="576">
        <f t="shared" si="306"/>
        <v>0</v>
      </c>
      <c r="O1128" s="577">
        <f t="shared" si="300"/>
        <v>0</v>
      </c>
      <c r="P1128" s="578">
        <f t="shared" si="301"/>
        <v>0</v>
      </c>
      <c r="Q1128" s="765"/>
      <c r="R1128" s="576">
        <f t="shared" si="297"/>
        <v>0</v>
      </c>
      <c r="S1128" s="576">
        <f t="shared" si="297"/>
        <v>0</v>
      </c>
      <c r="T1128" s="577">
        <f t="shared" si="298"/>
        <v>0</v>
      </c>
      <c r="U1128" s="578">
        <f t="shared" si="299"/>
        <v>0</v>
      </c>
      <c r="V1128" s="579"/>
      <c r="W1128" s="566"/>
      <c r="X1128" s="586" t="str">
        <f t="shared" si="302"/>
        <v/>
      </c>
      <c r="Y1128" s="586" t="str">
        <f t="shared" si="307"/>
        <v/>
      </c>
      <c r="Z1128" s="586" t="str">
        <f t="shared" si="305"/>
        <v/>
      </c>
    </row>
    <row r="1129" spans="1:26" ht="23.25" hidden="1" thickBot="1" x14ac:dyDescent="0.25">
      <c r="A1129" s="567">
        <v>91893</v>
      </c>
      <c r="B1129" s="644">
        <v>91893</v>
      </c>
      <c r="C1129" s="645" t="s">
        <v>670</v>
      </c>
      <c r="D1129" s="422" t="s">
        <v>980</v>
      </c>
      <c r="E1129" s="423"/>
      <c r="F1129" s="424"/>
      <c r="G1129" s="425"/>
      <c r="H1129" s="651"/>
      <c r="I1129" s="420">
        <v>17.61</v>
      </c>
      <c r="J1129" s="420">
        <f t="shared" si="304"/>
        <v>17.61</v>
      </c>
      <c r="K1129" s="421">
        <f t="shared" si="303"/>
        <v>20.92</v>
      </c>
      <c r="L1129" s="647" t="s">
        <v>2065</v>
      </c>
      <c r="M1129" s="576"/>
      <c r="N1129" s="576">
        <f t="shared" si="306"/>
        <v>0</v>
      </c>
      <c r="O1129" s="577">
        <f t="shared" si="300"/>
        <v>0</v>
      </c>
      <c r="P1129" s="578">
        <f t="shared" si="301"/>
        <v>0</v>
      </c>
      <c r="Q1129" s="765"/>
      <c r="R1129" s="576">
        <f t="shared" si="297"/>
        <v>0</v>
      </c>
      <c r="S1129" s="576">
        <f t="shared" si="297"/>
        <v>0</v>
      </c>
      <c r="T1129" s="577">
        <f t="shared" si="298"/>
        <v>0</v>
      </c>
      <c r="U1129" s="578">
        <f t="shared" si="299"/>
        <v>0</v>
      </c>
      <c r="V1129" s="579"/>
      <c r="W1129" s="566"/>
      <c r="X1129" s="586" t="str">
        <f t="shared" si="302"/>
        <v/>
      </c>
      <c r="Y1129" s="586" t="str">
        <f t="shared" si="307"/>
        <v/>
      </c>
      <c r="Z1129" s="586" t="str">
        <f t="shared" si="305"/>
        <v/>
      </c>
    </row>
    <row r="1130" spans="1:26" ht="23.25" hidden="1" thickBot="1" x14ac:dyDescent="0.25">
      <c r="A1130" s="567">
        <v>91896</v>
      </c>
      <c r="B1130" s="644">
        <v>91896</v>
      </c>
      <c r="C1130" s="645" t="s">
        <v>670</v>
      </c>
      <c r="D1130" s="422" t="s">
        <v>981</v>
      </c>
      <c r="E1130" s="423"/>
      <c r="F1130" s="424"/>
      <c r="G1130" s="425"/>
      <c r="H1130" s="651"/>
      <c r="I1130" s="420">
        <v>21.34</v>
      </c>
      <c r="J1130" s="420">
        <f t="shared" si="304"/>
        <v>21.34</v>
      </c>
      <c r="K1130" s="421">
        <f t="shared" si="303"/>
        <v>25.35</v>
      </c>
      <c r="L1130" s="647" t="s">
        <v>2065</v>
      </c>
      <c r="M1130" s="576"/>
      <c r="N1130" s="576">
        <f t="shared" si="306"/>
        <v>0</v>
      </c>
      <c r="O1130" s="577">
        <f t="shared" si="300"/>
        <v>0</v>
      </c>
      <c r="P1130" s="578">
        <f t="shared" si="301"/>
        <v>0</v>
      </c>
      <c r="Q1130" s="765"/>
      <c r="R1130" s="576">
        <f t="shared" si="297"/>
        <v>0</v>
      </c>
      <c r="S1130" s="576">
        <f t="shared" si="297"/>
        <v>0</v>
      </c>
      <c r="T1130" s="577">
        <f t="shared" si="298"/>
        <v>0</v>
      </c>
      <c r="U1130" s="578">
        <f t="shared" si="299"/>
        <v>0</v>
      </c>
      <c r="V1130" s="579"/>
      <c r="W1130" s="566"/>
      <c r="X1130" s="586" t="str">
        <f t="shared" si="302"/>
        <v/>
      </c>
      <c r="Y1130" s="586" t="str">
        <f t="shared" si="307"/>
        <v/>
      </c>
      <c r="Z1130" s="586" t="str">
        <f t="shared" si="305"/>
        <v/>
      </c>
    </row>
    <row r="1131" spans="1:26" ht="23.25" hidden="1" thickBot="1" x14ac:dyDescent="0.25">
      <c r="A1131" s="567">
        <v>91898</v>
      </c>
      <c r="B1131" s="644">
        <v>91898</v>
      </c>
      <c r="C1131" s="645" t="s">
        <v>670</v>
      </c>
      <c r="D1131" s="422" t="s">
        <v>982</v>
      </c>
      <c r="E1131" s="423"/>
      <c r="F1131" s="424"/>
      <c r="G1131" s="425"/>
      <c r="H1131" s="651"/>
      <c r="I1131" s="420">
        <v>24.78</v>
      </c>
      <c r="J1131" s="420">
        <f t="shared" si="304"/>
        <v>24.78</v>
      </c>
      <c r="K1131" s="421">
        <f t="shared" si="303"/>
        <v>29.44</v>
      </c>
      <c r="L1131" s="647" t="s">
        <v>2065</v>
      </c>
      <c r="M1131" s="576"/>
      <c r="N1131" s="576">
        <f t="shared" si="306"/>
        <v>0</v>
      </c>
      <c r="O1131" s="577">
        <f t="shared" si="300"/>
        <v>0</v>
      </c>
      <c r="P1131" s="578">
        <f t="shared" si="301"/>
        <v>0</v>
      </c>
      <c r="Q1131" s="765"/>
      <c r="R1131" s="576">
        <f t="shared" si="297"/>
        <v>0</v>
      </c>
      <c r="S1131" s="576">
        <f t="shared" si="297"/>
        <v>0</v>
      </c>
      <c r="T1131" s="577">
        <f t="shared" si="298"/>
        <v>0</v>
      </c>
      <c r="U1131" s="578">
        <f t="shared" si="299"/>
        <v>0</v>
      </c>
      <c r="V1131" s="579"/>
      <c r="W1131" s="566"/>
      <c r="X1131" s="586" t="str">
        <f t="shared" si="302"/>
        <v/>
      </c>
      <c r="Y1131" s="586" t="str">
        <f t="shared" si="307"/>
        <v/>
      </c>
      <c r="Z1131" s="586" t="str">
        <f t="shared" si="305"/>
        <v/>
      </c>
    </row>
    <row r="1132" spans="1:26" ht="23.25" hidden="1" thickBot="1" x14ac:dyDescent="0.25">
      <c r="A1132" s="567">
        <v>91899</v>
      </c>
      <c r="B1132" s="644">
        <v>91899</v>
      </c>
      <c r="C1132" s="645" t="s">
        <v>670</v>
      </c>
      <c r="D1132" s="422" t="s">
        <v>983</v>
      </c>
      <c r="E1132" s="423"/>
      <c r="F1132" s="424"/>
      <c r="G1132" s="425"/>
      <c r="H1132" s="651"/>
      <c r="I1132" s="420">
        <v>13.07</v>
      </c>
      <c r="J1132" s="420">
        <f t="shared" si="304"/>
        <v>13.07</v>
      </c>
      <c r="K1132" s="421">
        <f t="shared" si="303"/>
        <v>15.53</v>
      </c>
      <c r="L1132" s="647" t="s">
        <v>2065</v>
      </c>
      <c r="M1132" s="576"/>
      <c r="N1132" s="576">
        <f t="shared" si="306"/>
        <v>0</v>
      </c>
      <c r="O1132" s="577">
        <f t="shared" si="300"/>
        <v>0</v>
      </c>
      <c r="P1132" s="578">
        <f t="shared" si="301"/>
        <v>0</v>
      </c>
      <c r="Q1132" s="765"/>
      <c r="R1132" s="576">
        <f t="shared" si="297"/>
        <v>0</v>
      </c>
      <c r="S1132" s="576">
        <f t="shared" si="297"/>
        <v>0</v>
      </c>
      <c r="T1132" s="577">
        <f t="shared" si="298"/>
        <v>0</v>
      </c>
      <c r="U1132" s="578">
        <f t="shared" si="299"/>
        <v>0</v>
      </c>
      <c r="V1132" s="579"/>
      <c r="W1132" s="566"/>
      <c r="X1132" s="586" t="str">
        <f t="shared" si="302"/>
        <v/>
      </c>
      <c r="Y1132" s="586" t="str">
        <f t="shared" si="307"/>
        <v/>
      </c>
      <c r="Z1132" s="586" t="str">
        <f t="shared" si="305"/>
        <v/>
      </c>
    </row>
    <row r="1133" spans="1:26" ht="23.25" hidden="1" thickBot="1" x14ac:dyDescent="0.25">
      <c r="A1133" s="567">
        <v>91901</v>
      </c>
      <c r="B1133" s="644">
        <v>91901</v>
      </c>
      <c r="C1133" s="645" t="s">
        <v>670</v>
      </c>
      <c r="D1133" s="422" t="s">
        <v>984</v>
      </c>
      <c r="E1133" s="423"/>
      <c r="F1133" s="424"/>
      <c r="G1133" s="425"/>
      <c r="H1133" s="651"/>
      <c r="I1133" s="420">
        <v>12.6</v>
      </c>
      <c r="J1133" s="420">
        <f t="shared" si="304"/>
        <v>12.6</v>
      </c>
      <c r="K1133" s="421">
        <f t="shared" si="303"/>
        <v>14.97</v>
      </c>
      <c r="L1133" s="647" t="s">
        <v>2065</v>
      </c>
      <c r="M1133" s="576"/>
      <c r="N1133" s="576">
        <f t="shared" si="306"/>
        <v>0</v>
      </c>
      <c r="O1133" s="577">
        <f t="shared" si="300"/>
        <v>0</v>
      </c>
      <c r="P1133" s="578">
        <f t="shared" si="301"/>
        <v>0</v>
      </c>
      <c r="Q1133" s="765"/>
      <c r="R1133" s="576">
        <f t="shared" si="297"/>
        <v>0</v>
      </c>
      <c r="S1133" s="576">
        <f t="shared" si="297"/>
        <v>0</v>
      </c>
      <c r="T1133" s="577">
        <f t="shared" si="298"/>
        <v>0</v>
      </c>
      <c r="U1133" s="578">
        <f t="shared" si="299"/>
        <v>0</v>
      </c>
      <c r="V1133" s="579"/>
      <c r="W1133" s="566"/>
      <c r="X1133" s="586" t="str">
        <f t="shared" si="302"/>
        <v/>
      </c>
      <c r="Y1133" s="586" t="str">
        <f t="shared" si="307"/>
        <v/>
      </c>
      <c r="Z1133" s="586" t="str">
        <f t="shared" si="305"/>
        <v/>
      </c>
    </row>
    <row r="1134" spans="1:26" ht="23.25" hidden="1" thickBot="1" x14ac:dyDescent="0.25">
      <c r="A1134" s="567">
        <v>91902</v>
      </c>
      <c r="B1134" s="644">
        <v>91902</v>
      </c>
      <c r="C1134" s="645" t="s">
        <v>670</v>
      </c>
      <c r="D1134" s="422" t="s">
        <v>985</v>
      </c>
      <c r="E1134" s="423"/>
      <c r="F1134" s="424"/>
      <c r="G1134" s="425"/>
      <c r="H1134" s="651"/>
      <c r="I1134" s="420">
        <v>14.96</v>
      </c>
      <c r="J1134" s="420">
        <f t="shared" si="304"/>
        <v>14.96</v>
      </c>
      <c r="K1134" s="421">
        <f t="shared" si="303"/>
        <v>17.77</v>
      </c>
      <c r="L1134" s="647" t="s">
        <v>2065</v>
      </c>
      <c r="M1134" s="576"/>
      <c r="N1134" s="576">
        <f t="shared" si="306"/>
        <v>0</v>
      </c>
      <c r="O1134" s="577">
        <f t="shared" si="300"/>
        <v>0</v>
      </c>
      <c r="P1134" s="578">
        <f t="shared" si="301"/>
        <v>0</v>
      </c>
      <c r="Q1134" s="765"/>
      <c r="R1134" s="576">
        <f t="shared" si="297"/>
        <v>0</v>
      </c>
      <c r="S1134" s="576">
        <f t="shared" si="297"/>
        <v>0</v>
      </c>
      <c r="T1134" s="577">
        <f t="shared" si="298"/>
        <v>0</v>
      </c>
      <c r="U1134" s="578">
        <f t="shared" si="299"/>
        <v>0</v>
      </c>
      <c r="V1134" s="579"/>
      <c r="W1134" s="566"/>
      <c r="X1134" s="586" t="str">
        <f t="shared" si="302"/>
        <v/>
      </c>
      <c r="Y1134" s="586" t="str">
        <f t="shared" si="307"/>
        <v/>
      </c>
      <c r="Z1134" s="586" t="str">
        <f t="shared" si="305"/>
        <v/>
      </c>
    </row>
    <row r="1135" spans="1:26" ht="23.25" hidden="1" thickBot="1" x14ac:dyDescent="0.25">
      <c r="A1135" s="567">
        <v>91895</v>
      </c>
      <c r="B1135" s="644">
        <v>91895</v>
      </c>
      <c r="C1135" s="645" t="s">
        <v>670</v>
      </c>
      <c r="D1135" s="422" t="s">
        <v>986</v>
      </c>
      <c r="E1135" s="423"/>
      <c r="F1135" s="424"/>
      <c r="G1135" s="425"/>
      <c r="H1135" s="651"/>
      <c r="I1135" s="420">
        <v>20.83</v>
      </c>
      <c r="J1135" s="420">
        <f t="shared" si="304"/>
        <v>20.83</v>
      </c>
      <c r="K1135" s="421">
        <f t="shared" si="303"/>
        <v>24.75</v>
      </c>
      <c r="L1135" s="647" t="s">
        <v>2065</v>
      </c>
      <c r="M1135" s="576"/>
      <c r="N1135" s="576">
        <f t="shared" si="306"/>
        <v>0</v>
      </c>
      <c r="O1135" s="577">
        <f t="shared" si="300"/>
        <v>0</v>
      </c>
      <c r="P1135" s="578">
        <f t="shared" si="301"/>
        <v>0</v>
      </c>
      <c r="Q1135" s="765"/>
      <c r="R1135" s="576">
        <f t="shared" si="297"/>
        <v>0</v>
      </c>
      <c r="S1135" s="576">
        <f t="shared" si="297"/>
        <v>0</v>
      </c>
      <c r="T1135" s="577">
        <f t="shared" si="298"/>
        <v>0</v>
      </c>
      <c r="U1135" s="578">
        <f t="shared" si="299"/>
        <v>0</v>
      </c>
      <c r="V1135" s="579"/>
      <c r="W1135" s="566"/>
      <c r="X1135" s="586" t="str">
        <f t="shared" si="302"/>
        <v/>
      </c>
      <c r="Y1135" s="586" t="str">
        <f t="shared" si="307"/>
        <v/>
      </c>
      <c r="Z1135" s="586" t="str">
        <f t="shared" si="305"/>
        <v/>
      </c>
    </row>
    <row r="1136" spans="1:26" ht="23.25" hidden="1" thickBot="1" x14ac:dyDescent="0.25">
      <c r="A1136" s="567">
        <v>91907</v>
      </c>
      <c r="B1136" s="644">
        <v>91907</v>
      </c>
      <c r="C1136" s="645" t="s">
        <v>670</v>
      </c>
      <c r="D1136" s="422" t="s">
        <v>987</v>
      </c>
      <c r="E1136" s="423"/>
      <c r="F1136" s="424"/>
      <c r="G1136" s="425"/>
      <c r="H1136" s="651"/>
      <c r="I1136" s="420">
        <v>23.02</v>
      </c>
      <c r="J1136" s="420">
        <f t="shared" si="304"/>
        <v>23.02</v>
      </c>
      <c r="K1136" s="421">
        <f t="shared" si="303"/>
        <v>27.35</v>
      </c>
      <c r="L1136" s="647" t="s">
        <v>2065</v>
      </c>
      <c r="M1136" s="576"/>
      <c r="N1136" s="576">
        <f t="shared" si="306"/>
        <v>0</v>
      </c>
      <c r="O1136" s="577">
        <f t="shared" si="300"/>
        <v>0</v>
      </c>
      <c r="P1136" s="578">
        <f t="shared" si="301"/>
        <v>0</v>
      </c>
      <c r="Q1136" s="765"/>
      <c r="R1136" s="576">
        <f t="shared" si="297"/>
        <v>0</v>
      </c>
      <c r="S1136" s="576">
        <f t="shared" si="297"/>
        <v>0</v>
      </c>
      <c r="T1136" s="577">
        <f t="shared" si="298"/>
        <v>0</v>
      </c>
      <c r="U1136" s="578">
        <f t="shared" si="299"/>
        <v>0</v>
      </c>
      <c r="V1136" s="579"/>
      <c r="W1136" s="566"/>
      <c r="X1136" s="586" t="str">
        <f t="shared" si="302"/>
        <v/>
      </c>
      <c r="Y1136" s="586" t="str">
        <f t="shared" si="307"/>
        <v/>
      </c>
      <c r="Z1136" s="586" t="str">
        <f t="shared" si="305"/>
        <v/>
      </c>
    </row>
    <row r="1137" spans="1:26" ht="23.25" hidden="1" thickBot="1" x14ac:dyDescent="0.25">
      <c r="A1137" s="567">
        <v>91919</v>
      </c>
      <c r="B1137" s="644">
        <v>91919</v>
      </c>
      <c r="C1137" s="645" t="s">
        <v>670</v>
      </c>
      <c r="D1137" s="422" t="s">
        <v>988</v>
      </c>
      <c r="E1137" s="423"/>
      <c r="F1137" s="424"/>
      <c r="G1137" s="425"/>
      <c r="H1137" s="651"/>
      <c r="I1137" s="420">
        <v>24.16</v>
      </c>
      <c r="J1137" s="420">
        <f t="shared" si="304"/>
        <v>24.16</v>
      </c>
      <c r="K1137" s="421">
        <f t="shared" si="303"/>
        <v>28.7</v>
      </c>
      <c r="L1137" s="647" t="s">
        <v>2065</v>
      </c>
      <c r="M1137" s="576"/>
      <c r="N1137" s="576">
        <f t="shared" si="306"/>
        <v>0</v>
      </c>
      <c r="O1137" s="577">
        <f t="shared" si="300"/>
        <v>0</v>
      </c>
      <c r="P1137" s="578">
        <f t="shared" si="301"/>
        <v>0</v>
      </c>
      <c r="Q1137" s="765"/>
      <c r="R1137" s="576">
        <f t="shared" si="297"/>
        <v>0</v>
      </c>
      <c r="S1137" s="576">
        <f t="shared" si="297"/>
        <v>0</v>
      </c>
      <c r="T1137" s="577">
        <f t="shared" si="298"/>
        <v>0</v>
      </c>
      <c r="U1137" s="578">
        <f t="shared" si="299"/>
        <v>0</v>
      </c>
      <c r="V1137" s="579"/>
      <c r="W1137" s="566"/>
      <c r="X1137" s="586" t="str">
        <f t="shared" si="302"/>
        <v/>
      </c>
      <c r="Y1137" s="586" t="str">
        <f t="shared" si="307"/>
        <v/>
      </c>
      <c r="Z1137" s="586" t="str">
        <f t="shared" si="305"/>
        <v/>
      </c>
    </row>
    <row r="1138" spans="1:26" ht="23.25" hidden="1" thickBot="1" x14ac:dyDescent="0.25">
      <c r="A1138" s="567">
        <v>91904</v>
      </c>
      <c r="B1138" s="644">
        <v>91904</v>
      </c>
      <c r="C1138" s="645" t="s">
        <v>670</v>
      </c>
      <c r="D1138" s="422" t="s">
        <v>989</v>
      </c>
      <c r="E1138" s="423"/>
      <c r="F1138" s="424"/>
      <c r="G1138" s="425"/>
      <c r="H1138" s="651"/>
      <c r="I1138" s="420">
        <v>18.12</v>
      </c>
      <c r="J1138" s="420">
        <f t="shared" si="304"/>
        <v>18.12</v>
      </c>
      <c r="K1138" s="421">
        <f t="shared" si="303"/>
        <v>21.53</v>
      </c>
      <c r="L1138" s="647" t="s">
        <v>2065</v>
      </c>
      <c r="M1138" s="576"/>
      <c r="N1138" s="576">
        <f t="shared" si="306"/>
        <v>0</v>
      </c>
      <c r="O1138" s="577">
        <f t="shared" si="300"/>
        <v>0</v>
      </c>
      <c r="P1138" s="578">
        <f t="shared" si="301"/>
        <v>0</v>
      </c>
      <c r="Q1138" s="765"/>
      <c r="R1138" s="576">
        <f t="shared" si="297"/>
        <v>0</v>
      </c>
      <c r="S1138" s="576">
        <f t="shared" si="297"/>
        <v>0</v>
      </c>
      <c r="T1138" s="577">
        <f t="shared" si="298"/>
        <v>0</v>
      </c>
      <c r="U1138" s="578">
        <f t="shared" si="299"/>
        <v>0</v>
      </c>
      <c r="V1138" s="579"/>
      <c r="W1138" s="566"/>
      <c r="X1138" s="586" t="str">
        <f t="shared" si="302"/>
        <v/>
      </c>
      <c r="Y1138" s="586" t="str">
        <f t="shared" si="307"/>
        <v/>
      </c>
      <c r="Z1138" s="586" t="str">
        <f t="shared" si="305"/>
        <v/>
      </c>
    </row>
    <row r="1139" spans="1:26" ht="23.25" hidden="1" thickBot="1" x14ac:dyDescent="0.25">
      <c r="A1139" s="567">
        <v>91905</v>
      </c>
      <c r="B1139" s="644">
        <v>91905</v>
      </c>
      <c r="C1139" s="645" t="s">
        <v>670</v>
      </c>
      <c r="D1139" s="422" t="s">
        <v>990</v>
      </c>
      <c r="E1139" s="423"/>
      <c r="F1139" s="424"/>
      <c r="G1139" s="425"/>
      <c r="H1139" s="651"/>
      <c r="I1139" s="420">
        <v>19.8</v>
      </c>
      <c r="J1139" s="420">
        <f t="shared" si="304"/>
        <v>19.8</v>
      </c>
      <c r="K1139" s="421">
        <f t="shared" si="303"/>
        <v>23.52</v>
      </c>
      <c r="L1139" s="647" t="s">
        <v>2065</v>
      </c>
      <c r="M1139" s="576"/>
      <c r="N1139" s="576">
        <f t="shared" si="306"/>
        <v>0</v>
      </c>
      <c r="O1139" s="577">
        <f t="shared" si="300"/>
        <v>0</v>
      </c>
      <c r="P1139" s="578">
        <f t="shared" si="301"/>
        <v>0</v>
      </c>
      <c r="Q1139" s="765"/>
      <c r="R1139" s="576">
        <f t="shared" si="297"/>
        <v>0</v>
      </c>
      <c r="S1139" s="576">
        <f t="shared" si="297"/>
        <v>0</v>
      </c>
      <c r="T1139" s="577">
        <f t="shared" si="298"/>
        <v>0</v>
      </c>
      <c r="U1139" s="578">
        <f t="shared" si="299"/>
        <v>0</v>
      </c>
      <c r="V1139" s="579"/>
      <c r="W1139" s="566"/>
      <c r="X1139" s="586" t="str">
        <f t="shared" si="302"/>
        <v/>
      </c>
      <c r="Y1139" s="586" t="str">
        <f t="shared" si="307"/>
        <v/>
      </c>
      <c r="Z1139" s="586" t="str">
        <f t="shared" si="305"/>
        <v/>
      </c>
    </row>
    <row r="1140" spans="1:26" ht="23.25" hidden="1" thickBot="1" x14ac:dyDescent="0.25">
      <c r="A1140" s="567">
        <v>91908</v>
      </c>
      <c r="B1140" s="644">
        <v>91908</v>
      </c>
      <c r="C1140" s="645" t="s">
        <v>670</v>
      </c>
      <c r="D1140" s="422" t="s">
        <v>991</v>
      </c>
      <c r="E1140" s="423"/>
      <c r="F1140" s="424"/>
      <c r="G1140" s="425"/>
      <c r="H1140" s="651"/>
      <c r="I1140" s="420">
        <v>23.58</v>
      </c>
      <c r="J1140" s="420">
        <f t="shared" si="304"/>
        <v>23.58</v>
      </c>
      <c r="K1140" s="421">
        <f t="shared" si="303"/>
        <v>28.02</v>
      </c>
      <c r="L1140" s="647" t="s">
        <v>2065</v>
      </c>
      <c r="M1140" s="576"/>
      <c r="N1140" s="576">
        <f t="shared" si="306"/>
        <v>0</v>
      </c>
      <c r="O1140" s="577">
        <f t="shared" si="300"/>
        <v>0</v>
      </c>
      <c r="P1140" s="578">
        <f t="shared" si="301"/>
        <v>0</v>
      </c>
      <c r="Q1140" s="765"/>
      <c r="R1140" s="576">
        <f t="shared" ref="R1140:S1203" si="308">M1140</f>
        <v>0</v>
      </c>
      <c r="S1140" s="576">
        <f t="shared" si="308"/>
        <v>0</v>
      </c>
      <c r="T1140" s="577">
        <f t="shared" ref="T1140:T1203" si="309">IF(ISBLANK(R1140),0,ROUND(K1140*R1140,2))</f>
        <v>0</v>
      </c>
      <c r="U1140" s="578">
        <f t="shared" ref="U1140:U1203" si="310">IF(ISBLANK(R1140),0,ROUND(R1140*S1140,2))</f>
        <v>0</v>
      </c>
      <c r="V1140" s="579"/>
      <c r="W1140" s="566"/>
      <c r="X1140" s="586" t="str">
        <f t="shared" si="302"/>
        <v/>
      </c>
      <c r="Y1140" s="586" t="str">
        <f t="shared" si="307"/>
        <v/>
      </c>
      <c r="Z1140" s="586" t="str">
        <f t="shared" si="305"/>
        <v/>
      </c>
    </row>
    <row r="1141" spans="1:26" ht="23.25" hidden="1" thickBot="1" x14ac:dyDescent="0.25">
      <c r="A1141" s="567">
        <v>91910</v>
      </c>
      <c r="B1141" s="644">
        <v>91910</v>
      </c>
      <c r="C1141" s="645" t="s">
        <v>670</v>
      </c>
      <c r="D1141" s="422" t="s">
        <v>992</v>
      </c>
      <c r="E1141" s="423"/>
      <c r="F1141" s="424"/>
      <c r="G1141" s="425"/>
      <c r="H1141" s="651"/>
      <c r="I1141" s="420">
        <v>27.02</v>
      </c>
      <c r="J1141" s="420">
        <f t="shared" si="304"/>
        <v>27.02</v>
      </c>
      <c r="K1141" s="421">
        <f t="shared" si="303"/>
        <v>32.1</v>
      </c>
      <c r="L1141" s="647" t="s">
        <v>2065</v>
      </c>
      <c r="M1141" s="576"/>
      <c r="N1141" s="576">
        <f t="shared" si="306"/>
        <v>0</v>
      </c>
      <c r="O1141" s="577">
        <f t="shared" ref="O1141:O1204" si="311">IF(ISBLANK(M1141),0,ROUND(K1141*M1141,2))</f>
        <v>0</v>
      </c>
      <c r="P1141" s="578">
        <f t="shared" ref="P1141:P1204" si="312">IF(ISBLANK(N1141),0,ROUND(M1141*N1141,2))</f>
        <v>0</v>
      </c>
      <c r="Q1141" s="765"/>
      <c r="R1141" s="576">
        <f t="shared" si="308"/>
        <v>0</v>
      </c>
      <c r="S1141" s="576">
        <f t="shared" si="308"/>
        <v>0</v>
      </c>
      <c r="T1141" s="577">
        <f t="shared" si="309"/>
        <v>0</v>
      </c>
      <c r="U1141" s="578">
        <f t="shared" si="310"/>
        <v>0</v>
      </c>
      <c r="V1141" s="579"/>
      <c r="W1141" s="566"/>
      <c r="X1141" s="586" t="str">
        <f t="shared" si="302"/>
        <v/>
      </c>
      <c r="Y1141" s="586" t="str">
        <f t="shared" si="307"/>
        <v/>
      </c>
      <c r="Z1141" s="586" t="str">
        <f t="shared" si="305"/>
        <v/>
      </c>
    </row>
    <row r="1142" spans="1:26" ht="23.25" hidden="1" thickBot="1" x14ac:dyDescent="0.25">
      <c r="A1142" s="567">
        <v>91911</v>
      </c>
      <c r="B1142" s="644">
        <v>91911</v>
      </c>
      <c r="C1142" s="645" t="s">
        <v>670</v>
      </c>
      <c r="D1142" s="422" t="s">
        <v>993</v>
      </c>
      <c r="E1142" s="423"/>
      <c r="F1142" s="424"/>
      <c r="G1142" s="425"/>
      <c r="H1142" s="651"/>
      <c r="I1142" s="420">
        <v>15.58</v>
      </c>
      <c r="J1142" s="420">
        <f t="shared" si="304"/>
        <v>15.58</v>
      </c>
      <c r="K1142" s="421">
        <f t="shared" si="303"/>
        <v>18.510000000000002</v>
      </c>
      <c r="L1142" s="647" t="s">
        <v>2065</v>
      </c>
      <c r="M1142" s="576"/>
      <c r="N1142" s="576">
        <f t="shared" si="306"/>
        <v>0</v>
      </c>
      <c r="O1142" s="577">
        <f t="shared" si="311"/>
        <v>0</v>
      </c>
      <c r="P1142" s="578">
        <f t="shared" si="312"/>
        <v>0</v>
      </c>
      <c r="Q1142" s="765"/>
      <c r="R1142" s="576">
        <f t="shared" si="308"/>
        <v>0</v>
      </c>
      <c r="S1142" s="576">
        <f t="shared" si="308"/>
        <v>0</v>
      </c>
      <c r="T1142" s="577">
        <f t="shared" si="309"/>
        <v>0</v>
      </c>
      <c r="U1142" s="578">
        <f t="shared" si="310"/>
        <v>0</v>
      </c>
      <c r="V1142" s="579"/>
      <c r="W1142" s="566"/>
      <c r="X1142" s="586" t="str">
        <f t="shared" si="302"/>
        <v/>
      </c>
      <c r="Y1142" s="586" t="str">
        <f t="shared" si="307"/>
        <v/>
      </c>
      <c r="Z1142" s="586" t="str">
        <f t="shared" si="305"/>
        <v/>
      </c>
    </row>
    <row r="1143" spans="1:26" ht="23.25" hidden="1" thickBot="1" x14ac:dyDescent="0.25">
      <c r="A1143" s="567">
        <v>91913</v>
      </c>
      <c r="B1143" s="644">
        <v>91913</v>
      </c>
      <c r="C1143" s="645" t="s">
        <v>670</v>
      </c>
      <c r="D1143" s="422" t="s">
        <v>994</v>
      </c>
      <c r="E1143" s="423"/>
      <c r="F1143" s="424"/>
      <c r="G1143" s="425"/>
      <c r="H1143" s="651"/>
      <c r="I1143" s="420">
        <v>15.11</v>
      </c>
      <c r="J1143" s="420">
        <f t="shared" si="304"/>
        <v>15.11</v>
      </c>
      <c r="K1143" s="421">
        <f t="shared" si="303"/>
        <v>17.95</v>
      </c>
      <c r="L1143" s="647" t="s">
        <v>2065</v>
      </c>
      <c r="M1143" s="576"/>
      <c r="N1143" s="576">
        <f t="shared" si="306"/>
        <v>0</v>
      </c>
      <c r="O1143" s="577">
        <f t="shared" si="311"/>
        <v>0</v>
      </c>
      <c r="P1143" s="578">
        <f t="shared" si="312"/>
        <v>0</v>
      </c>
      <c r="Q1143" s="765"/>
      <c r="R1143" s="576">
        <f t="shared" si="308"/>
        <v>0</v>
      </c>
      <c r="S1143" s="576">
        <f t="shared" si="308"/>
        <v>0</v>
      </c>
      <c r="T1143" s="577">
        <f t="shared" si="309"/>
        <v>0</v>
      </c>
      <c r="U1143" s="578">
        <f t="shared" si="310"/>
        <v>0</v>
      </c>
      <c r="V1143" s="579"/>
      <c r="W1143" s="566"/>
      <c r="X1143" s="586" t="str">
        <f t="shared" si="302"/>
        <v/>
      </c>
      <c r="Y1143" s="586" t="str">
        <f t="shared" si="307"/>
        <v/>
      </c>
      <c r="Z1143" s="586" t="str">
        <f t="shared" si="305"/>
        <v/>
      </c>
    </row>
    <row r="1144" spans="1:26" ht="23.25" hidden="1" thickBot="1" x14ac:dyDescent="0.25">
      <c r="A1144" s="567">
        <v>91914</v>
      </c>
      <c r="B1144" s="644">
        <v>91914</v>
      </c>
      <c r="C1144" s="645" t="s">
        <v>670</v>
      </c>
      <c r="D1144" s="422" t="s">
        <v>995</v>
      </c>
      <c r="E1144" s="423"/>
      <c r="F1144" s="424"/>
      <c r="G1144" s="425"/>
      <c r="H1144" s="651"/>
      <c r="I1144" s="420">
        <v>16.89</v>
      </c>
      <c r="J1144" s="420">
        <f t="shared" si="304"/>
        <v>16.89</v>
      </c>
      <c r="K1144" s="421">
        <f t="shared" si="303"/>
        <v>20.07</v>
      </c>
      <c r="L1144" s="647" t="s">
        <v>2065</v>
      </c>
      <c r="M1144" s="576"/>
      <c r="N1144" s="576">
        <f t="shared" si="306"/>
        <v>0</v>
      </c>
      <c r="O1144" s="577">
        <f t="shared" si="311"/>
        <v>0</v>
      </c>
      <c r="P1144" s="578">
        <f t="shared" si="312"/>
        <v>0</v>
      </c>
      <c r="Q1144" s="765"/>
      <c r="R1144" s="576">
        <f t="shared" si="308"/>
        <v>0</v>
      </c>
      <c r="S1144" s="576">
        <f t="shared" si="308"/>
        <v>0</v>
      </c>
      <c r="T1144" s="577">
        <f t="shared" si="309"/>
        <v>0</v>
      </c>
      <c r="U1144" s="578">
        <f t="shared" si="310"/>
        <v>0</v>
      </c>
      <c r="V1144" s="579"/>
      <c r="W1144" s="566"/>
      <c r="X1144" s="586" t="str">
        <f t="shared" si="302"/>
        <v/>
      </c>
      <c r="Y1144" s="586" t="str">
        <f t="shared" si="307"/>
        <v/>
      </c>
      <c r="Z1144" s="586" t="str">
        <f t="shared" si="305"/>
        <v/>
      </c>
    </row>
    <row r="1145" spans="1:26" ht="23.25" hidden="1" thickBot="1" x14ac:dyDescent="0.25">
      <c r="A1145" s="567">
        <v>91916</v>
      </c>
      <c r="B1145" s="644">
        <v>91916</v>
      </c>
      <c r="C1145" s="645" t="s">
        <v>670</v>
      </c>
      <c r="D1145" s="422" t="s">
        <v>996</v>
      </c>
      <c r="E1145" s="423"/>
      <c r="F1145" s="424"/>
      <c r="G1145" s="425"/>
      <c r="H1145" s="651"/>
      <c r="I1145" s="420">
        <v>20.05</v>
      </c>
      <c r="J1145" s="420">
        <f t="shared" si="304"/>
        <v>20.05</v>
      </c>
      <c r="K1145" s="421">
        <f t="shared" si="303"/>
        <v>23.82</v>
      </c>
      <c r="L1145" s="647" t="s">
        <v>2065</v>
      </c>
      <c r="M1145" s="576"/>
      <c r="N1145" s="576">
        <f t="shared" si="306"/>
        <v>0</v>
      </c>
      <c r="O1145" s="577">
        <f t="shared" si="311"/>
        <v>0</v>
      </c>
      <c r="P1145" s="578">
        <f t="shared" si="312"/>
        <v>0</v>
      </c>
      <c r="Q1145" s="765"/>
      <c r="R1145" s="576">
        <f t="shared" si="308"/>
        <v>0</v>
      </c>
      <c r="S1145" s="576">
        <f t="shared" si="308"/>
        <v>0</v>
      </c>
      <c r="T1145" s="577">
        <f t="shared" si="309"/>
        <v>0</v>
      </c>
      <c r="U1145" s="578">
        <f t="shared" si="310"/>
        <v>0</v>
      </c>
      <c r="V1145" s="579"/>
      <c r="W1145" s="566"/>
      <c r="X1145" s="586" t="str">
        <f t="shared" si="302"/>
        <v/>
      </c>
      <c r="Y1145" s="586" t="str">
        <f t="shared" si="307"/>
        <v/>
      </c>
      <c r="Z1145" s="586" t="str">
        <f t="shared" si="305"/>
        <v/>
      </c>
    </row>
    <row r="1146" spans="1:26" ht="23.25" hidden="1" thickBot="1" x14ac:dyDescent="0.25">
      <c r="A1146" s="567">
        <v>91917</v>
      </c>
      <c r="B1146" s="644">
        <v>91917</v>
      </c>
      <c r="C1146" s="645" t="s">
        <v>670</v>
      </c>
      <c r="D1146" s="422" t="s">
        <v>997</v>
      </c>
      <c r="E1146" s="423"/>
      <c r="F1146" s="424"/>
      <c r="G1146" s="425"/>
      <c r="H1146" s="651"/>
      <c r="I1146" s="420">
        <v>20.94</v>
      </c>
      <c r="J1146" s="420">
        <f t="shared" si="304"/>
        <v>20.94</v>
      </c>
      <c r="K1146" s="421">
        <f t="shared" si="303"/>
        <v>24.88</v>
      </c>
      <c r="L1146" s="647" t="s">
        <v>2065</v>
      </c>
      <c r="M1146" s="576"/>
      <c r="N1146" s="576">
        <f t="shared" si="306"/>
        <v>0</v>
      </c>
      <c r="O1146" s="577">
        <f t="shared" si="311"/>
        <v>0</v>
      </c>
      <c r="P1146" s="578">
        <f t="shared" si="312"/>
        <v>0</v>
      </c>
      <c r="Q1146" s="765"/>
      <c r="R1146" s="576">
        <f t="shared" si="308"/>
        <v>0</v>
      </c>
      <c r="S1146" s="576">
        <f t="shared" si="308"/>
        <v>0</v>
      </c>
      <c r="T1146" s="577">
        <f t="shared" si="309"/>
        <v>0</v>
      </c>
      <c r="U1146" s="578">
        <f t="shared" si="310"/>
        <v>0</v>
      </c>
      <c r="V1146" s="579"/>
      <c r="W1146" s="566"/>
      <c r="X1146" s="586" t="str">
        <f t="shared" si="302"/>
        <v/>
      </c>
      <c r="Y1146" s="586" t="str">
        <f t="shared" si="307"/>
        <v/>
      </c>
      <c r="Z1146" s="586" t="str">
        <f t="shared" si="305"/>
        <v/>
      </c>
    </row>
    <row r="1147" spans="1:26" ht="23.25" hidden="1" thickBot="1" x14ac:dyDescent="0.25">
      <c r="A1147" s="567">
        <v>91920</v>
      </c>
      <c r="B1147" s="644">
        <v>91920</v>
      </c>
      <c r="C1147" s="645" t="s">
        <v>670</v>
      </c>
      <c r="D1147" s="422" t="s">
        <v>998</v>
      </c>
      <c r="E1147" s="423"/>
      <c r="F1147" s="424"/>
      <c r="G1147" s="425"/>
      <c r="H1147" s="651"/>
      <c r="I1147" s="420">
        <v>23.84</v>
      </c>
      <c r="J1147" s="420">
        <f t="shared" si="304"/>
        <v>23.84</v>
      </c>
      <c r="K1147" s="421">
        <f t="shared" si="303"/>
        <v>28.32</v>
      </c>
      <c r="L1147" s="647" t="s">
        <v>2065</v>
      </c>
      <c r="M1147" s="576"/>
      <c r="N1147" s="576">
        <f t="shared" si="306"/>
        <v>0</v>
      </c>
      <c r="O1147" s="577">
        <f t="shared" si="311"/>
        <v>0</v>
      </c>
      <c r="P1147" s="578">
        <f t="shared" si="312"/>
        <v>0</v>
      </c>
      <c r="Q1147" s="765"/>
      <c r="R1147" s="576">
        <f t="shared" si="308"/>
        <v>0</v>
      </c>
      <c r="S1147" s="576">
        <f t="shared" si="308"/>
        <v>0</v>
      </c>
      <c r="T1147" s="577">
        <f t="shared" si="309"/>
        <v>0</v>
      </c>
      <c r="U1147" s="578">
        <f t="shared" si="310"/>
        <v>0</v>
      </c>
      <c r="V1147" s="579"/>
      <c r="W1147" s="566"/>
      <c r="X1147" s="586" t="str">
        <f t="shared" si="302"/>
        <v/>
      </c>
      <c r="Y1147" s="586" t="str">
        <f t="shared" si="307"/>
        <v/>
      </c>
      <c r="Z1147" s="586" t="str">
        <f t="shared" si="305"/>
        <v/>
      </c>
    </row>
    <row r="1148" spans="1:26" ht="23.25" hidden="1" thickBot="1" x14ac:dyDescent="0.25">
      <c r="A1148" s="567">
        <v>91922</v>
      </c>
      <c r="B1148" s="644">
        <v>91922</v>
      </c>
      <c r="C1148" s="645" t="s">
        <v>670</v>
      </c>
      <c r="D1148" s="422" t="s">
        <v>999</v>
      </c>
      <c r="E1148" s="423"/>
      <c r="F1148" s="424"/>
      <c r="G1148" s="425"/>
      <c r="H1148" s="651"/>
      <c r="I1148" s="420">
        <v>27.28</v>
      </c>
      <c r="J1148" s="420">
        <f t="shared" si="304"/>
        <v>27.28</v>
      </c>
      <c r="K1148" s="421">
        <f t="shared" si="303"/>
        <v>32.409999999999997</v>
      </c>
      <c r="L1148" s="647" t="s">
        <v>2065</v>
      </c>
      <c r="M1148" s="576"/>
      <c r="N1148" s="576">
        <f t="shared" si="306"/>
        <v>0</v>
      </c>
      <c r="O1148" s="577">
        <f t="shared" si="311"/>
        <v>0</v>
      </c>
      <c r="P1148" s="578">
        <f t="shared" si="312"/>
        <v>0</v>
      </c>
      <c r="Q1148" s="765"/>
      <c r="R1148" s="576">
        <f t="shared" si="308"/>
        <v>0</v>
      </c>
      <c r="S1148" s="576">
        <f t="shared" si="308"/>
        <v>0</v>
      </c>
      <c r="T1148" s="577">
        <f t="shared" si="309"/>
        <v>0</v>
      </c>
      <c r="U1148" s="578">
        <f t="shared" si="310"/>
        <v>0</v>
      </c>
      <c r="V1148" s="579"/>
      <c r="W1148" s="566"/>
      <c r="X1148" s="586" t="str">
        <f t="shared" si="302"/>
        <v/>
      </c>
      <c r="Y1148" s="586" t="str">
        <f t="shared" si="307"/>
        <v/>
      </c>
      <c r="Z1148" s="586" t="str">
        <f t="shared" si="305"/>
        <v/>
      </c>
    </row>
    <row r="1149" spans="1:26" ht="23.25" hidden="1" thickBot="1" x14ac:dyDescent="0.25">
      <c r="A1149" s="567">
        <v>93013</v>
      </c>
      <c r="B1149" s="644">
        <v>93013</v>
      </c>
      <c r="C1149" s="645" t="s">
        <v>670</v>
      </c>
      <c r="D1149" s="422" t="s">
        <v>1000</v>
      </c>
      <c r="E1149" s="423"/>
      <c r="F1149" s="424"/>
      <c r="G1149" s="425"/>
      <c r="H1149" s="651"/>
      <c r="I1149" s="420">
        <v>17.420000000000002</v>
      </c>
      <c r="J1149" s="420">
        <f t="shared" si="304"/>
        <v>17.420000000000002</v>
      </c>
      <c r="K1149" s="421">
        <f t="shared" si="303"/>
        <v>20.7</v>
      </c>
      <c r="L1149" s="647" t="s">
        <v>2065</v>
      </c>
      <c r="M1149" s="576"/>
      <c r="N1149" s="576">
        <f t="shared" si="306"/>
        <v>0</v>
      </c>
      <c r="O1149" s="577">
        <f t="shared" si="311"/>
        <v>0</v>
      </c>
      <c r="P1149" s="578">
        <f t="shared" si="312"/>
        <v>0</v>
      </c>
      <c r="Q1149" s="765"/>
      <c r="R1149" s="576">
        <f t="shared" si="308"/>
        <v>0</v>
      </c>
      <c r="S1149" s="576">
        <f t="shared" si="308"/>
        <v>0</v>
      </c>
      <c r="T1149" s="577">
        <f t="shared" si="309"/>
        <v>0</v>
      </c>
      <c r="U1149" s="578">
        <f t="shared" si="310"/>
        <v>0</v>
      </c>
      <c r="V1149" s="579"/>
      <c r="W1149" s="566"/>
      <c r="X1149" s="586" t="str">
        <f t="shared" ref="X1149:X1212" si="313">IF(W1149="X","x",IF(W1149="xx","x",IF(W1149="xy","x",IF(W1149="y","x",IF(OR(P1149&gt;0,U1149&gt;0),"x","")))))</f>
        <v/>
      </c>
      <c r="Y1149" s="586" t="str">
        <f t="shared" si="307"/>
        <v/>
      </c>
      <c r="Z1149" s="586" t="str">
        <f t="shared" si="305"/>
        <v/>
      </c>
    </row>
    <row r="1150" spans="1:26" ht="12" hidden="1" thickBot="1" x14ac:dyDescent="0.25">
      <c r="A1150" s="567">
        <v>93014</v>
      </c>
      <c r="B1150" s="644">
        <v>93014</v>
      </c>
      <c r="C1150" s="645" t="s">
        <v>670</v>
      </c>
      <c r="D1150" s="422" t="s">
        <v>1001</v>
      </c>
      <c r="E1150" s="423"/>
      <c r="F1150" s="424"/>
      <c r="G1150" s="425"/>
      <c r="H1150" s="651"/>
      <c r="I1150" s="420">
        <v>21.73</v>
      </c>
      <c r="J1150" s="420">
        <f t="shared" si="304"/>
        <v>21.73</v>
      </c>
      <c r="K1150" s="421">
        <f t="shared" si="303"/>
        <v>25.82</v>
      </c>
      <c r="L1150" s="647" t="s">
        <v>2065</v>
      </c>
      <c r="M1150" s="576"/>
      <c r="N1150" s="576">
        <f t="shared" si="306"/>
        <v>0</v>
      </c>
      <c r="O1150" s="577">
        <f t="shared" si="311"/>
        <v>0</v>
      </c>
      <c r="P1150" s="578">
        <f t="shared" si="312"/>
        <v>0</v>
      </c>
      <c r="Q1150" s="765"/>
      <c r="R1150" s="576">
        <f t="shared" si="308"/>
        <v>0</v>
      </c>
      <c r="S1150" s="576">
        <f t="shared" si="308"/>
        <v>0</v>
      </c>
      <c r="T1150" s="577">
        <f t="shared" si="309"/>
        <v>0</v>
      </c>
      <c r="U1150" s="578">
        <f t="shared" si="310"/>
        <v>0</v>
      </c>
      <c r="V1150" s="579"/>
      <c r="W1150" s="566"/>
      <c r="X1150" s="586" t="str">
        <f t="shared" si="313"/>
        <v/>
      </c>
      <c r="Y1150" s="586" t="str">
        <f t="shared" si="307"/>
        <v/>
      </c>
      <c r="Z1150" s="586" t="str">
        <f t="shared" si="305"/>
        <v/>
      </c>
    </row>
    <row r="1151" spans="1:26" ht="23.25" hidden="1" thickBot="1" x14ac:dyDescent="0.25">
      <c r="A1151" s="567">
        <v>93015</v>
      </c>
      <c r="B1151" s="644">
        <v>93015</v>
      </c>
      <c r="C1151" s="645" t="s">
        <v>670</v>
      </c>
      <c r="D1151" s="422" t="s">
        <v>1002</v>
      </c>
      <c r="E1151" s="423"/>
      <c r="F1151" s="424"/>
      <c r="G1151" s="425"/>
      <c r="H1151" s="651"/>
      <c r="I1151" s="420">
        <v>34.5</v>
      </c>
      <c r="J1151" s="420">
        <f t="shared" si="304"/>
        <v>34.5</v>
      </c>
      <c r="K1151" s="421">
        <f t="shared" si="303"/>
        <v>40.99</v>
      </c>
      <c r="L1151" s="647" t="s">
        <v>2065</v>
      </c>
      <c r="M1151" s="576"/>
      <c r="N1151" s="576">
        <f t="shared" si="306"/>
        <v>0</v>
      </c>
      <c r="O1151" s="577">
        <f t="shared" si="311"/>
        <v>0</v>
      </c>
      <c r="P1151" s="578">
        <f t="shared" si="312"/>
        <v>0</v>
      </c>
      <c r="Q1151" s="765"/>
      <c r="R1151" s="576">
        <f t="shared" si="308"/>
        <v>0</v>
      </c>
      <c r="S1151" s="576">
        <f t="shared" si="308"/>
        <v>0</v>
      </c>
      <c r="T1151" s="577">
        <f t="shared" si="309"/>
        <v>0</v>
      </c>
      <c r="U1151" s="578">
        <f t="shared" si="310"/>
        <v>0</v>
      </c>
      <c r="V1151" s="579"/>
      <c r="W1151" s="566"/>
      <c r="X1151" s="586" t="str">
        <f t="shared" si="313"/>
        <v/>
      </c>
      <c r="Y1151" s="586" t="str">
        <f t="shared" si="307"/>
        <v/>
      </c>
      <c r="Z1151" s="586" t="str">
        <f t="shared" si="305"/>
        <v/>
      </c>
    </row>
    <row r="1152" spans="1:26" ht="12" hidden="1" thickBot="1" x14ac:dyDescent="0.25">
      <c r="A1152" s="567">
        <v>93016</v>
      </c>
      <c r="B1152" s="644">
        <v>93016</v>
      </c>
      <c r="C1152" s="645" t="s">
        <v>670</v>
      </c>
      <c r="D1152" s="422" t="s">
        <v>1003</v>
      </c>
      <c r="E1152" s="423"/>
      <c r="F1152" s="424"/>
      <c r="G1152" s="425"/>
      <c r="H1152" s="651"/>
      <c r="I1152" s="420">
        <v>42.56</v>
      </c>
      <c r="J1152" s="420">
        <f t="shared" si="304"/>
        <v>42.56</v>
      </c>
      <c r="K1152" s="421">
        <f t="shared" si="303"/>
        <v>50.57</v>
      </c>
      <c r="L1152" s="647" t="s">
        <v>2065</v>
      </c>
      <c r="M1152" s="576"/>
      <c r="N1152" s="576">
        <f t="shared" si="306"/>
        <v>0</v>
      </c>
      <c r="O1152" s="577">
        <f t="shared" si="311"/>
        <v>0</v>
      </c>
      <c r="P1152" s="578">
        <f t="shared" si="312"/>
        <v>0</v>
      </c>
      <c r="Q1152" s="765"/>
      <c r="R1152" s="576">
        <f t="shared" si="308"/>
        <v>0</v>
      </c>
      <c r="S1152" s="576">
        <f t="shared" si="308"/>
        <v>0</v>
      </c>
      <c r="T1152" s="577">
        <f t="shared" si="309"/>
        <v>0</v>
      </c>
      <c r="U1152" s="578">
        <f t="shared" si="310"/>
        <v>0</v>
      </c>
      <c r="V1152" s="579"/>
      <c r="W1152" s="566"/>
      <c r="X1152" s="586" t="str">
        <f t="shared" si="313"/>
        <v/>
      </c>
      <c r="Y1152" s="586" t="str">
        <f t="shared" si="307"/>
        <v/>
      </c>
      <c r="Z1152" s="586" t="str">
        <f t="shared" si="305"/>
        <v/>
      </c>
    </row>
    <row r="1153" spans="1:26" ht="23.25" hidden="1" thickBot="1" x14ac:dyDescent="0.25">
      <c r="A1153" s="567">
        <v>93017</v>
      </c>
      <c r="B1153" s="644">
        <v>93017</v>
      </c>
      <c r="C1153" s="645" t="s">
        <v>670</v>
      </c>
      <c r="D1153" s="422" t="s">
        <v>1004</v>
      </c>
      <c r="E1153" s="423"/>
      <c r="F1153" s="424"/>
      <c r="G1153" s="425"/>
      <c r="H1153" s="651"/>
      <c r="I1153" s="420">
        <v>65.66</v>
      </c>
      <c r="J1153" s="420">
        <f t="shared" si="304"/>
        <v>65.66</v>
      </c>
      <c r="K1153" s="421">
        <f t="shared" si="303"/>
        <v>78.010000000000005</v>
      </c>
      <c r="L1153" s="647" t="s">
        <v>2065</v>
      </c>
      <c r="M1153" s="576"/>
      <c r="N1153" s="576">
        <f t="shared" si="306"/>
        <v>0</v>
      </c>
      <c r="O1153" s="577">
        <f t="shared" si="311"/>
        <v>0</v>
      </c>
      <c r="P1153" s="578">
        <f t="shared" si="312"/>
        <v>0</v>
      </c>
      <c r="Q1153" s="765"/>
      <c r="R1153" s="576">
        <f t="shared" si="308"/>
        <v>0</v>
      </c>
      <c r="S1153" s="576">
        <f t="shared" si="308"/>
        <v>0</v>
      </c>
      <c r="T1153" s="577">
        <f t="shared" si="309"/>
        <v>0</v>
      </c>
      <c r="U1153" s="578">
        <f t="shared" si="310"/>
        <v>0</v>
      </c>
      <c r="V1153" s="579"/>
      <c r="W1153" s="566"/>
      <c r="X1153" s="586" t="str">
        <f t="shared" si="313"/>
        <v/>
      </c>
      <c r="Y1153" s="586" t="str">
        <f t="shared" si="307"/>
        <v/>
      </c>
      <c r="Z1153" s="586" t="str">
        <f t="shared" si="305"/>
        <v/>
      </c>
    </row>
    <row r="1154" spans="1:26" ht="23.25" hidden="1" thickBot="1" x14ac:dyDescent="0.25">
      <c r="A1154" s="567">
        <v>93018</v>
      </c>
      <c r="B1154" s="644">
        <v>93018</v>
      </c>
      <c r="C1154" s="645" t="s">
        <v>670</v>
      </c>
      <c r="D1154" s="422" t="s">
        <v>1005</v>
      </c>
      <c r="E1154" s="423"/>
      <c r="F1154" s="424"/>
      <c r="G1154" s="425"/>
      <c r="H1154" s="651"/>
      <c r="I1154" s="420">
        <v>26.73</v>
      </c>
      <c r="J1154" s="420">
        <f t="shared" si="304"/>
        <v>26.73</v>
      </c>
      <c r="K1154" s="421">
        <f t="shared" si="303"/>
        <v>31.76</v>
      </c>
      <c r="L1154" s="647" t="s">
        <v>2065</v>
      </c>
      <c r="M1154" s="576"/>
      <c r="N1154" s="576">
        <f t="shared" si="306"/>
        <v>0</v>
      </c>
      <c r="O1154" s="577">
        <f t="shared" si="311"/>
        <v>0</v>
      </c>
      <c r="P1154" s="578">
        <f t="shared" si="312"/>
        <v>0</v>
      </c>
      <c r="Q1154" s="765"/>
      <c r="R1154" s="576">
        <f t="shared" si="308"/>
        <v>0</v>
      </c>
      <c r="S1154" s="576">
        <f t="shared" si="308"/>
        <v>0</v>
      </c>
      <c r="T1154" s="577">
        <f t="shared" si="309"/>
        <v>0</v>
      </c>
      <c r="U1154" s="578">
        <f t="shared" si="310"/>
        <v>0</v>
      </c>
      <c r="V1154" s="579"/>
      <c r="W1154" s="566"/>
      <c r="X1154" s="586" t="str">
        <f t="shared" si="313"/>
        <v/>
      </c>
      <c r="Y1154" s="586" t="str">
        <f t="shared" si="307"/>
        <v/>
      </c>
      <c r="Z1154" s="586" t="str">
        <f t="shared" si="305"/>
        <v/>
      </c>
    </row>
    <row r="1155" spans="1:26" ht="23.25" hidden="1" thickBot="1" x14ac:dyDescent="0.25">
      <c r="A1155" s="567">
        <v>93020</v>
      </c>
      <c r="B1155" s="644">
        <v>93020</v>
      </c>
      <c r="C1155" s="645" t="s">
        <v>670</v>
      </c>
      <c r="D1155" s="422" t="s">
        <v>1006</v>
      </c>
      <c r="E1155" s="423"/>
      <c r="F1155" s="424"/>
      <c r="G1155" s="425"/>
      <c r="H1155" s="651"/>
      <c r="I1155" s="420">
        <v>35.07</v>
      </c>
      <c r="J1155" s="420">
        <f t="shared" si="304"/>
        <v>35.07</v>
      </c>
      <c r="K1155" s="421">
        <f t="shared" si="303"/>
        <v>41.67</v>
      </c>
      <c r="L1155" s="647" t="s">
        <v>2065</v>
      </c>
      <c r="M1155" s="576"/>
      <c r="N1155" s="576">
        <f t="shared" si="306"/>
        <v>0</v>
      </c>
      <c r="O1155" s="577">
        <f t="shared" si="311"/>
        <v>0</v>
      </c>
      <c r="P1155" s="578">
        <f t="shared" si="312"/>
        <v>0</v>
      </c>
      <c r="Q1155" s="765"/>
      <c r="R1155" s="576">
        <f t="shared" si="308"/>
        <v>0</v>
      </c>
      <c r="S1155" s="576">
        <f t="shared" si="308"/>
        <v>0</v>
      </c>
      <c r="T1155" s="577">
        <f t="shared" si="309"/>
        <v>0</v>
      </c>
      <c r="U1155" s="578">
        <f t="shared" si="310"/>
        <v>0</v>
      </c>
      <c r="V1155" s="579"/>
      <c r="W1155" s="566"/>
      <c r="X1155" s="586" t="str">
        <f t="shared" si="313"/>
        <v/>
      </c>
      <c r="Y1155" s="586" t="str">
        <f t="shared" si="307"/>
        <v/>
      </c>
      <c r="Z1155" s="586" t="str">
        <f t="shared" si="305"/>
        <v/>
      </c>
    </row>
    <row r="1156" spans="1:26" ht="23.25" hidden="1" thickBot="1" x14ac:dyDescent="0.25">
      <c r="A1156" s="567">
        <v>93022</v>
      </c>
      <c r="B1156" s="644">
        <v>93022</v>
      </c>
      <c r="C1156" s="645" t="s">
        <v>670</v>
      </c>
      <c r="D1156" s="422" t="s">
        <v>1007</v>
      </c>
      <c r="E1156" s="423"/>
      <c r="F1156" s="424"/>
      <c r="G1156" s="425"/>
      <c r="H1156" s="651"/>
      <c r="I1156" s="420">
        <v>62.13</v>
      </c>
      <c r="J1156" s="420">
        <f t="shared" si="304"/>
        <v>62.13</v>
      </c>
      <c r="K1156" s="421">
        <f t="shared" si="303"/>
        <v>73.819999999999993</v>
      </c>
      <c r="L1156" s="647" t="s">
        <v>2065</v>
      </c>
      <c r="M1156" s="576"/>
      <c r="N1156" s="576">
        <f t="shared" si="306"/>
        <v>0</v>
      </c>
      <c r="O1156" s="577">
        <f t="shared" si="311"/>
        <v>0</v>
      </c>
      <c r="P1156" s="578">
        <f t="shared" si="312"/>
        <v>0</v>
      </c>
      <c r="Q1156" s="765"/>
      <c r="R1156" s="576">
        <f t="shared" si="308"/>
        <v>0</v>
      </c>
      <c r="S1156" s="576">
        <f t="shared" si="308"/>
        <v>0</v>
      </c>
      <c r="T1156" s="577">
        <f t="shared" si="309"/>
        <v>0</v>
      </c>
      <c r="U1156" s="578">
        <f t="shared" si="310"/>
        <v>0</v>
      </c>
      <c r="V1156" s="579"/>
      <c r="W1156" s="566"/>
      <c r="X1156" s="586" t="str">
        <f t="shared" si="313"/>
        <v/>
      </c>
      <c r="Y1156" s="586" t="str">
        <f t="shared" si="307"/>
        <v/>
      </c>
      <c r="Z1156" s="586" t="str">
        <f t="shared" si="305"/>
        <v/>
      </c>
    </row>
    <row r="1157" spans="1:26" ht="23.25" hidden="1" thickBot="1" x14ac:dyDescent="0.25">
      <c r="A1157" s="567">
        <v>93024</v>
      </c>
      <c r="B1157" s="644">
        <v>93024</v>
      </c>
      <c r="C1157" s="645" t="s">
        <v>670</v>
      </c>
      <c r="D1157" s="422" t="s">
        <v>1008</v>
      </c>
      <c r="E1157" s="423"/>
      <c r="F1157" s="424"/>
      <c r="G1157" s="425"/>
      <c r="H1157" s="651"/>
      <c r="I1157" s="420">
        <v>64.819999999999993</v>
      </c>
      <c r="J1157" s="420">
        <f t="shared" si="304"/>
        <v>64.819999999999993</v>
      </c>
      <c r="K1157" s="421">
        <f t="shared" si="303"/>
        <v>77.010000000000005</v>
      </c>
      <c r="L1157" s="647" t="s">
        <v>2065</v>
      </c>
      <c r="M1157" s="576"/>
      <c r="N1157" s="576">
        <f t="shared" si="306"/>
        <v>0</v>
      </c>
      <c r="O1157" s="577">
        <f t="shared" si="311"/>
        <v>0</v>
      </c>
      <c r="P1157" s="578">
        <f t="shared" si="312"/>
        <v>0</v>
      </c>
      <c r="Q1157" s="765"/>
      <c r="R1157" s="576">
        <f t="shared" si="308"/>
        <v>0</v>
      </c>
      <c r="S1157" s="576">
        <f t="shared" si="308"/>
        <v>0</v>
      </c>
      <c r="T1157" s="577">
        <f t="shared" si="309"/>
        <v>0</v>
      </c>
      <c r="U1157" s="578">
        <f t="shared" si="310"/>
        <v>0</v>
      </c>
      <c r="V1157" s="579"/>
      <c r="W1157" s="566"/>
      <c r="X1157" s="586" t="str">
        <f t="shared" si="313"/>
        <v/>
      </c>
      <c r="Y1157" s="586" t="str">
        <f t="shared" si="307"/>
        <v/>
      </c>
      <c r="Z1157" s="586" t="str">
        <f t="shared" si="305"/>
        <v/>
      </c>
    </row>
    <row r="1158" spans="1:26" ht="23.25" hidden="1" thickBot="1" x14ac:dyDescent="0.25">
      <c r="A1158" s="567">
        <v>93026</v>
      </c>
      <c r="B1158" s="644">
        <v>93026</v>
      </c>
      <c r="C1158" s="645" t="s">
        <v>670</v>
      </c>
      <c r="D1158" s="422" t="s">
        <v>1009</v>
      </c>
      <c r="E1158" s="423"/>
      <c r="F1158" s="424"/>
      <c r="G1158" s="425"/>
      <c r="H1158" s="651"/>
      <c r="I1158" s="420">
        <v>109.78</v>
      </c>
      <c r="J1158" s="420">
        <f t="shared" si="304"/>
        <v>109.78</v>
      </c>
      <c r="K1158" s="421">
        <f t="shared" si="303"/>
        <v>130.43</v>
      </c>
      <c r="L1158" s="647" t="s">
        <v>2065</v>
      </c>
      <c r="M1158" s="576"/>
      <c r="N1158" s="576">
        <f t="shared" si="306"/>
        <v>0</v>
      </c>
      <c r="O1158" s="577">
        <f t="shared" si="311"/>
        <v>0</v>
      </c>
      <c r="P1158" s="578">
        <f t="shared" si="312"/>
        <v>0</v>
      </c>
      <c r="Q1158" s="765"/>
      <c r="R1158" s="576">
        <f t="shared" si="308"/>
        <v>0</v>
      </c>
      <c r="S1158" s="576">
        <f t="shared" si="308"/>
        <v>0</v>
      </c>
      <c r="T1158" s="577">
        <f t="shared" si="309"/>
        <v>0</v>
      </c>
      <c r="U1158" s="578">
        <f t="shared" si="310"/>
        <v>0</v>
      </c>
      <c r="V1158" s="579"/>
      <c r="W1158" s="566"/>
      <c r="X1158" s="586" t="str">
        <f t="shared" si="313"/>
        <v/>
      </c>
      <c r="Y1158" s="586" t="str">
        <f t="shared" si="307"/>
        <v/>
      </c>
      <c r="Z1158" s="586" t="str">
        <f t="shared" si="305"/>
        <v/>
      </c>
    </row>
    <row r="1159" spans="1:26" ht="23.25" hidden="1" thickBot="1" x14ac:dyDescent="0.25">
      <c r="A1159" s="567">
        <v>97559</v>
      </c>
      <c r="B1159" s="644">
        <v>97559</v>
      </c>
      <c r="C1159" s="645" t="s">
        <v>670</v>
      </c>
      <c r="D1159" s="422" t="s">
        <v>1010</v>
      </c>
      <c r="E1159" s="423"/>
      <c r="F1159" s="424"/>
      <c r="G1159" s="425"/>
      <c r="H1159" s="651"/>
      <c r="I1159" s="420">
        <v>12.41</v>
      </c>
      <c r="J1159" s="420">
        <f t="shared" si="304"/>
        <v>12.41</v>
      </c>
      <c r="K1159" s="421">
        <f t="shared" si="303"/>
        <v>14.74</v>
      </c>
      <c r="L1159" s="647" t="s">
        <v>2065</v>
      </c>
      <c r="M1159" s="576"/>
      <c r="N1159" s="576">
        <f t="shared" si="306"/>
        <v>0</v>
      </c>
      <c r="O1159" s="577">
        <f t="shared" si="311"/>
        <v>0</v>
      </c>
      <c r="P1159" s="578">
        <f t="shared" si="312"/>
        <v>0</v>
      </c>
      <c r="Q1159" s="765"/>
      <c r="R1159" s="576">
        <f t="shared" si="308"/>
        <v>0</v>
      </c>
      <c r="S1159" s="576">
        <f t="shared" si="308"/>
        <v>0</v>
      </c>
      <c r="T1159" s="577">
        <f t="shared" si="309"/>
        <v>0</v>
      </c>
      <c r="U1159" s="578">
        <f t="shared" si="310"/>
        <v>0</v>
      </c>
      <c r="V1159" s="579"/>
      <c r="W1159" s="566"/>
      <c r="X1159" s="586" t="str">
        <f t="shared" si="313"/>
        <v/>
      </c>
      <c r="Y1159" s="586" t="str">
        <f t="shared" si="307"/>
        <v/>
      </c>
      <c r="Z1159" s="586" t="str">
        <f t="shared" si="305"/>
        <v/>
      </c>
    </row>
    <row r="1160" spans="1:26" ht="23.25" hidden="1" thickBot="1" x14ac:dyDescent="0.25">
      <c r="A1160" s="567">
        <v>97562</v>
      </c>
      <c r="B1160" s="644">
        <v>97562</v>
      </c>
      <c r="C1160" s="645" t="s">
        <v>670</v>
      </c>
      <c r="D1160" s="422" t="s">
        <v>1011</v>
      </c>
      <c r="E1160" s="423"/>
      <c r="F1160" s="424"/>
      <c r="G1160" s="425"/>
      <c r="H1160" s="651"/>
      <c r="I1160" s="420">
        <v>14.6</v>
      </c>
      <c r="J1160" s="420">
        <f t="shared" si="304"/>
        <v>14.6</v>
      </c>
      <c r="K1160" s="421">
        <f t="shared" si="303"/>
        <v>17.350000000000001</v>
      </c>
      <c r="L1160" s="647" t="s">
        <v>2065</v>
      </c>
      <c r="M1160" s="576"/>
      <c r="N1160" s="576">
        <f t="shared" si="306"/>
        <v>0</v>
      </c>
      <c r="O1160" s="577">
        <f t="shared" si="311"/>
        <v>0</v>
      </c>
      <c r="P1160" s="578">
        <f t="shared" si="312"/>
        <v>0</v>
      </c>
      <c r="Q1160" s="765"/>
      <c r="R1160" s="576">
        <f t="shared" si="308"/>
        <v>0</v>
      </c>
      <c r="S1160" s="576">
        <f t="shared" si="308"/>
        <v>0</v>
      </c>
      <c r="T1160" s="577">
        <f t="shared" si="309"/>
        <v>0</v>
      </c>
      <c r="U1160" s="578">
        <f t="shared" si="310"/>
        <v>0</v>
      </c>
      <c r="V1160" s="579"/>
      <c r="W1160" s="566"/>
      <c r="X1160" s="586" t="str">
        <f t="shared" si="313"/>
        <v/>
      </c>
      <c r="Y1160" s="586" t="str">
        <f t="shared" si="307"/>
        <v/>
      </c>
      <c r="Z1160" s="586" t="str">
        <f t="shared" si="305"/>
        <v/>
      </c>
    </row>
    <row r="1161" spans="1:26" ht="23.25" hidden="1" thickBot="1" x14ac:dyDescent="0.25">
      <c r="A1161" s="567">
        <v>97564</v>
      </c>
      <c r="B1161" s="644">
        <v>97564</v>
      </c>
      <c r="C1161" s="645" t="s">
        <v>670</v>
      </c>
      <c r="D1161" s="422" t="s">
        <v>1012</v>
      </c>
      <c r="E1161" s="423"/>
      <c r="F1161" s="424"/>
      <c r="G1161" s="425"/>
      <c r="H1161" s="651"/>
      <c r="I1161" s="420">
        <v>16.53</v>
      </c>
      <c r="J1161" s="420">
        <f t="shared" si="304"/>
        <v>16.53</v>
      </c>
      <c r="K1161" s="421">
        <f t="shared" ref="K1161:K1224" si="314">IF(ISBLANK(I1161),0,ROUND(J1161*(1+$F$10)*(1+$F$11*E1161),2))</f>
        <v>19.64</v>
      </c>
      <c r="L1161" s="647" t="s">
        <v>2065</v>
      </c>
      <c r="M1161" s="576"/>
      <c r="N1161" s="576">
        <f t="shared" si="306"/>
        <v>0</v>
      </c>
      <c r="O1161" s="577">
        <f t="shared" si="311"/>
        <v>0</v>
      </c>
      <c r="P1161" s="578">
        <f t="shared" si="312"/>
        <v>0</v>
      </c>
      <c r="Q1161" s="765"/>
      <c r="R1161" s="576">
        <f t="shared" si="308"/>
        <v>0</v>
      </c>
      <c r="S1161" s="576">
        <f t="shared" si="308"/>
        <v>0</v>
      </c>
      <c r="T1161" s="577">
        <f t="shared" si="309"/>
        <v>0</v>
      </c>
      <c r="U1161" s="578">
        <f t="shared" si="310"/>
        <v>0</v>
      </c>
      <c r="V1161" s="579"/>
      <c r="W1161" s="566"/>
      <c r="X1161" s="586" t="str">
        <f t="shared" si="313"/>
        <v/>
      </c>
      <c r="Y1161" s="586" t="str">
        <f t="shared" si="307"/>
        <v/>
      </c>
      <c r="Z1161" s="586" t="str">
        <f t="shared" si="305"/>
        <v/>
      </c>
    </row>
    <row r="1162" spans="1:26" ht="23.25" hidden="1" thickBot="1" x14ac:dyDescent="0.25">
      <c r="A1162" s="567">
        <v>91862</v>
      </c>
      <c r="B1162" s="644">
        <v>91862</v>
      </c>
      <c r="C1162" s="645" t="s">
        <v>670</v>
      </c>
      <c r="D1162" s="422" t="s">
        <v>1013</v>
      </c>
      <c r="E1162" s="423"/>
      <c r="F1162" s="424"/>
      <c r="G1162" s="425"/>
      <c r="H1162" s="651"/>
      <c r="I1162" s="420">
        <v>11.11</v>
      </c>
      <c r="J1162" s="420">
        <f t="shared" si="304"/>
        <v>11.11</v>
      </c>
      <c r="K1162" s="421">
        <f t="shared" si="314"/>
        <v>13.2</v>
      </c>
      <c r="L1162" s="647" t="s">
        <v>79</v>
      </c>
      <c r="M1162" s="576"/>
      <c r="N1162" s="576">
        <f t="shared" si="306"/>
        <v>0</v>
      </c>
      <c r="O1162" s="577">
        <f t="shared" si="311"/>
        <v>0</v>
      </c>
      <c r="P1162" s="578">
        <f t="shared" si="312"/>
        <v>0</v>
      </c>
      <c r="Q1162" s="765"/>
      <c r="R1162" s="576">
        <f t="shared" si="308"/>
        <v>0</v>
      </c>
      <c r="S1162" s="576">
        <f t="shared" si="308"/>
        <v>0</v>
      </c>
      <c r="T1162" s="577">
        <f t="shared" si="309"/>
        <v>0</v>
      </c>
      <c r="U1162" s="578">
        <f t="shared" si="310"/>
        <v>0</v>
      </c>
      <c r="V1162" s="579"/>
      <c r="W1162" s="566"/>
      <c r="X1162" s="586" t="str">
        <f t="shared" si="313"/>
        <v/>
      </c>
      <c r="Y1162" s="586" t="str">
        <f t="shared" si="307"/>
        <v/>
      </c>
      <c r="Z1162" s="586" t="str">
        <f t="shared" si="305"/>
        <v/>
      </c>
    </row>
    <row r="1163" spans="1:26" ht="23.25" hidden="1" thickBot="1" x14ac:dyDescent="0.25">
      <c r="A1163" s="567">
        <v>91863</v>
      </c>
      <c r="B1163" s="644">
        <v>91863</v>
      </c>
      <c r="C1163" s="645" t="s">
        <v>670</v>
      </c>
      <c r="D1163" s="422" t="s">
        <v>1014</v>
      </c>
      <c r="E1163" s="423"/>
      <c r="F1163" s="424"/>
      <c r="G1163" s="425"/>
      <c r="H1163" s="651"/>
      <c r="I1163" s="420">
        <v>13.11</v>
      </c>
      <c r="J1163" s="420">
        <f t="shared" si="304"/>
        <v>13.11</v>
      </c>
      <c r="K1163" s="421">
        <f t="shared" si="314"/>
        <v>15.58</v>
      </c>
      <c r="L1163" s="647" t="s">
        <v>79</v>
      </c>
      <c r="M1163" s="576"/>
      <c r="N1163" s="576">
        <f t="shared" si="306"/>
        <v>0</v>
      </c>
      <c r="O1163" s="577">
        <f t="shared" si="311"/>
        <v>0</v>
      </c>
      <c r="P1163" s="578">
        <f t="shared" si="312"/>
        <v>0</v>
      </c>
      <c r="Q1163" s="765"/>
      <c r="R1163" s="576">
        <f t="shared" si="308"/>
        <v>0</v>
      </c>
      <c r="S1163" s="576">
        <f t="shared" si="308"/>
        <v>0</v>
      </c>
      <c r="T1163" s="577">
        <f t="shared" si="309"/>
        <v>0</v>
      </c>
      <c r="U1163" s="578">
        <f t="shared" si="310"/>
        <v>0</v>
      </c>
      <c r="V1163" s="579"/>
      <c r="W1163" s="566"/>
      <c r="X1163" s="586" t="str">
        <f t="shared" si="313"/>
        <v/>
      </c>
      <c r="Y1163" s="586" t="str">
        <f t="shared" si="307"/>
        <v/>
      </c>
      <c r="Z1163" s="586" t="str">
        <f t="shared" si="305"/>
        <v/>
      </c>
    </row>
    <row r="1164" spans="1:26" ht="23.25" hidden="1" thickBot="1" x14ac:dyDescent="0.25">
      <c r="A1164" s="567">
        <v>91864</v>
      </c>
      <c r="B1164" s="644">
        <v>91864</v>
      </c>
      <c r="C1164" s="645" t="s">
        <v>670</v>
      </c>
      <c r="D1164" s="422" t="s">
        <v>1015</v>
      </c>
      <c r="E1164" s="423"/>
      <c r="F1164" s="424"/>
      <c r="G1164" s="425"/>
      <c r="H1164" s="651"/>
      <c r="I1164" s="420">
        <v>17.55</v>
      </c>
      <c r="J1164" s="420">
        <f t="shared" si="304"/>
        <v>17.55</v>
      </c>
      <c r="K1164" s="421">
        <f t="shared" si="314"/>
        <v>20.85</v>
      </c>
      <c r="L1164" s="647" t="s">
        <v>79</v>
      </c>
      <c r="M1164" s="576"/>
      <c r="N1164" s="576">
        <f t="shared" si="306"/>
        <v>0</v>
      </c>
      <c r="O1164" s="577">
        <f t="shared" si="311"/>
        <v>0</v>
      </c>
      <c r="P1164" s="578">
        <f t="shared" si="312"/>
        <v>0</v>
      </c>
      <c r="Q1164" s="765"/>
      <c r="R1164" s="576">
        <f t="shared" si="308"/>
        <v>0</v>
      </c>
      <c r="S1164" s="576">
        <f t="shared" si="308"/>
        <v>0</v>
      </c>
      <c r="T1164" s="577">
        <f t="shared" si="309"/>
        <v>0</v>
      </c>
      <c r="U1164" s="578">
        <f t="shared" si="310"/>
        <v>0</v>
      </c>
      <c r="V1164" s="579"/>
      <c r="W1164" s="566"/>
      <c r="X1164" s="586" t="str">
        <f t="shared" si="313"/>
        <v/>
      </c>
      <c r="Y1164" s="586" t="str">
        <f t="shared" si="307"/>
        <v/>
      </c>
      <c r="Z1164" s="586" t="str">
        <f t="shared" si="305"/>
        <v/>
      </c>
    </row>
    <row r="1165" spans="1:26" ht="23.25" hidden="1" thickBot="1" x14ac:dyDescent="0.25">
      <c r="A1165" s="567">
        <v>91865</v>
      </c>
      <c r="B1165" s="644">
        <v>91865</v>
      </c>
      <c r="C1165" s="645" t="s">
        <v>670</v>
      </c>
      <c r="D1165" s="422" t="s">
        <v>1016</v>
      </c>
      <c r="E1165" s="423"/>
      <c r="F1165" s="424"/>
      <c r="G1165" s="425"/>
      <c r="H1165" s="651"/>
      <c r="I1165" s="420">
        <v>21.93</v>
      </c>
      <c r="J1165" s="420">
        <f t="shared" si="304"/>
        <v>21.93</v>
      </c>
      <c r="K1165" s="421">
        <f t="shared" si="314"/>
        <v>26.06</v>
      </c>
      <c r="L1165" s="647" t="s">
        <v>79</v>
      </c>
      <c r="M1165" s="576"/>
      <c r="N1165" s="576">
        <f t="shared" si="306"/>
        <v>0</v>
      </c>
      <c r="O1165" s="577">
        <f t="shared" si="311"/>
        <v>0</v>
      </c>
      <c r="P1165" s="578">
        <f t="shared" si="312"/>
        <v>0</v>
      </c>
      <c r="Q1165" s="765"/>
      <c r="R1165" s="576">
        <f t="shared" si="308"/>
        <v>0</v>
      </c>
      <c r="S1165" s="576">
        <f t="shared" si="308"/>
        <v>0</v>
      </c>
      <c r="T1165" s="577">
        <f t="shared" si="309"/>
        <v>0</v>
      </c>
      <c r="U1165" s="578">
        <f t="shared" si="310"/>
        <v>0</v>
      </c>
      <c r="V1165" s="579"/>
      <c r="W1165" s="566"/>
      <c r="X1165" s="586" t="str">
        <f t="shared" si="313"/>
        <v/>
      </c>
      <c r="Y1165" s="586" t="str">
        <f t="shared" si="307"/>
        <v/>
      </c>
      <c r="Z1165" s="586" t="str">
        <f t="shared" si="305"/>
        <v/>
      </c>
    </row>
    <row r="1166" spans="1:26" ht="23.25" hidden="1" thickBot="1" x14ac:dyDescent="0.25">
      <c r="A1166" s="567">
        <v>91866</v>
      </c>
      <c r="B1166" s="644">
        <v>91866</v>
      </c>
      <c r="C1166" s="645" t="s">
        <v>670</v>
      </c>
      <c r="D1166" s="422" t="s">
        <v>1017</v>
      </c>
      <c r="E1166" s="423"/>
      <c r="F1166" s="424"/>
      <c r="G1166" s="425"/>
      <c r="H1166" s="651"/>
      <c r="I1166" s="420">
        <v>8.99</v>
      </c>
      <c r="J1166" s="420">
        <f t="shared" si="304"/>
        <v>8.99</v>
      </c>
      <c r="K1166" s="421">
        <f t="shared" si="314"/>
        <v>10.68</v>
      </c>
      <c r="L1166" s="647" t="s">
        <v>79</v>
      </c>
      <c r="M1166" s="576"/>
      <c r="N1166" s="576">
        <f t="shared" si="306"/>
        <v>0</v>
      </c>
      <c r="O1166" s="577">
        <f t="shared" si="311"/>
        <v>0</v>
      </c>
      <c r="P1166" s="578">
        <f t="shared" si="312"/>
        <v>0</v>
      </c>
      <c r="Q1166" s="765"/>
      <c r="R1166" s="576">
        <f t="shared" si="308"/>
        <v>0</v>
      </c>
      <c r="S1166" s="576">
        <f t="shared" si="308"/>
        <v>0</v>
      </c>
      <c r="T1166" s="577">
        <f t="shared" si="309"/>
        <v>0</v>
      </c>
      <c r="U1166" s="578">
        <f t="shared" si="310"/>
        <v>0</v>
      </c>
      <c r="V1166" s="579"/>
      <c r="W1166" s="566"/>
      <c r="X1166" s="586" t="str">
        <f t="shared" si="313"/>
        <v/>
      </c>
      <c r="Y1166" s="586" t="str">
        <f t="shared" si="307"/>
        <v/>
      </c>
      <c r="Z1166" s="586" t="str">
        <f t="shared" si="305"/>
        <v/>
      </c>
    </row>
    <row r="1167" spans="1:26" ht="23.25" hidden="1" thickBot="1" x14ac:dyDescent="0.25">
      <c r="A1167" s="567">
        <v>91867</v>
      </c>
      <c r="B1167" s="644">
        <v>91867</v>
      </c>
      <c r="C1167" s="645" t="s">
        <v>670</v>
      </c>
      <c r="D1167" s="422" t="s">
        <v>1018</v>
      </c>
      <c r="E1167" s="423"/>
      <c r="F1167" s="424"/>
      <c r="G1167" s="425"/>
      <c r="H1167" s="651"/>
      <c r="I1167" s="420">
        <v>11</v>
      </c>
      <c r="J1167" s="420">
        <f t="shared" si="304"/>
        <v>11</v>
      </c>
      <c r="K1167" s="421">
        <f t="shared" si="314"/>
        <v>13.07</v>
      </c>
      <c r="L1167" s="647" t="s">
        <v>79</v>
      </c>
      <c r="M1167" s="576"/>
      <c r="N1167" s="576">
        <f t="shared" si="306"/>
        <v>0</v>
      </c>
      <c r="O1167" s="577">
        <f t="shared" si="311"/>
        <v>0</v>
      </c>
      <c r="P1167" s="578">
        <f t="shared" si="312"/>
        <v>0</v>
      </c>
      <c r="Q1167" s="765"/>
      <c r="R1167" s="576">
        <f t="shared" si="308"/>
        <v>0</v>
      </c>
      <c r="S1167" s="576">
        <f t="shared" si="308"/>
        <v>0</v>
      </c>
      <c r="T1167" s="577">
        <f t="shared" si="309"/>
        <v>0</v>
      </c>
      <c r="U1167" s="578">
        <f t="shared" si="310"/>
        <v>0</v>
      </c>
      <c r="V1167" s="579"/>
      <c r="W1167" s="566"/>
      <c r="X1167" s="586" t="str">
        <f t="shared" si="313"/>
        <v/>
      </c>
      <c r="Y1167" s="586" t="str">
        <f t="shared" si="307"/>
        <v/>
      </c>
      <c r="Z1167" s="586" t="str">
        <f t="shared" si="305"/>
        <v/>
      </c>
    </row>
    <row r="1168" spans="1:26" ht="23.25" hidden="1" thickBot="1" x14ac:dyDescent="0.25">
      <c r="A1168" s="567">
        <v>91868</v>
      </c>
      <c r="B1168" s="644">
        <v>91868</v>
      </c>
      <c r="C1168" s="645" t="s">
        <v>670</v>
      </c>
      <c r="D1168" s="422" t="s">
        <v>1019</v>
      </c>
      <c r="E1168" s="423"/>
      <c r="F1168" s="424"/>
      <c r="G1168" s="425"/>
      <c r="H1168" s="651"/>
      <c r="I1168" s="420">
        <v>15.44</v>
      </c>
      <c r="J1168" s="420">
        <f t="shared" si="304"/>
        <v>15.44</v>
      </c>
      <c r="K1168" s="421">
        <f t="shared" si="314"/>
        <v>18.34</v>
      </c>
      <c r="L1168" s="647" t="s">
        <v>79</v>
      </c>
      <c r="M1168" s="576"/>
      <c r="N1168" s="576">
        <f t="shared" si="306"/>
        <v>0</v>
      </c>
      <c r="O1168" s="577">
        <f t="shared" si="311"/>
        <v>0</v>
      </c>
      <c r="P1168" s="578">
        <f t="shared" si="312"/>
        <v>0</v>
      </c>
      <c r="Q1168" s="765"/>
      <c r="R1168" s="576">
        <f t="shared" si="308"/>
        <v>0</v>
      </c>
      <c r="S1168" s="576">
        <f t="shared" si="308"/>
        <v>0</v>
      </c>
      <c r="T1168" s="577">
        <f t="shared" si="309"/>
        <v>0</v>
      </c>
      <c r="U1168" s="578">
        <f t="shared" si="310"/>
        <v>0</v>
      </c>
      <c r="V1168" s="579"/>
      <c r="W1168" s="566"/>
      <c r="X1168" s="586" t="str">
        <f t="shared" si="313"/>
        <v/>
      </c>
      <c r="Y1168" s="586" t="str">
        <f t="shared" si="307"/>
        <v/>
      </c>
      <c r="Z1168" s="586" t="str">
        <f t="shared" si="305"/>
        <v/>
      </c>
    </row>
    <row r="1169" spans="1:26" ht="23.25" hidden="1" thickBot="1" x14ac:dyDescent="0.25">
      <c r="A1169" s="567">
        <v>91869</v>
      </c>
      <c r="B1169" s="644">
        <v>91869</v>
      </c>
      <c r="C1169" s="645" t="s">
        <v>670</v>
      </c>
      <c r="D1169" s="422" t="s">
        <v>1020</v>
      </c>
      <c r="E1169" s="423"/>
      <c r="F1169" s="424"/>
      <c r="G1169" s="425"/>
      <c r="H1169" s="651"/>
      <c r="I1169" s="420">
        <v>19.829999999999998</v>
      </c>
      <c r="J1169" s="420">
        <f t="shared" si="304"/>
        <v>19.829999999999998</v>
      </c>
      <c r="K1169" s="421">
        <f t="shared" si="314"/>
        <v>23.56</v>
      </c>
      <c r="L1169" s="647" t="s">
        <v>79</v>
      </c>
      <c r="M1169" s="576"/>
      <c r="N1169" s="576">
        <f t="shared" si="306"/>
        <v>0</v>
      </c>
      <c r="O1169" s="577">
        <f t="shared" si="311"/>
        <v>0</v>
      </c>
      <c r="P1169" s="578">
        <f t="shared" si="312"/>
        <v>0</v>
      </c>
      <c r="Q1169" s="765"/>
      <c r="R1169" s="576">
        <f t="shared" si="308"/>
        <v>0</v>
      </c>
      <c r="S1169" s="576">
        <f t="shared" si="308"/>
        <v>0</v>
      </c>
      <c r="T1169" s="577">
        <f t="shared" si="309"/>
        <v>0</v>
      </c>
      <c r="U1169" s="578">
        <f t="shared" si="310"/>
        <v>0</v>
      </c>
      <c r="V1169" s="579"/>
      <c r="W1169" s="566"/>
      <c r="X1169" s="586" t="str">
        <f t="shared" si="313"/>
        <v/>
      </c>
      <c r="Y1169" s="586" t="str">
        <f t="shared" si="307"/>
        <v/>
      </c>
      <c r="Z1169" s="586" t="str">
        <f t="shared" si="305"/>
        <v/>
      </c>
    </row>
    <row r="1170" spans="1:26" ht="23.25" hidden="1" thickBot="1" x14ac:dyDescent="0.25">
      <c r="A1170" s="567">
        <v>91870</v>
      </c>
      <c r="B1170" s="644">
        <v>91870</v>
      </c>
      <c r="C1170" s="645" t="s">
        <v>670</v>
      </c>
      <c r="D1170" s="422" t="s">
        <v>1021</v>
      </c>
      <c r="E1170" s="423"/>
      <c r="F1170" s="424"/>
      <c r="G1170" s="425"/>
      <c r="H1170" s="651"/>
      <c r="I1170" s="420">
        <v>12.45</v>
      </c>
      <c r="J1170" s="420">
        <f t="shared" si="304"/>
        <v>12.45</v>
      </c>
      <c r="K1170" s="421">
        <f t="shared" si="314"/>
        <v>14.79</v>
      </c>
      <c r="L1170" s="647" t="s">
        <v>79</v>
      </c>
      <c r="M1170" s="576"/>
      <c r="N1170" s="576">
        <f t="shared" si="306"/>
        <v>0</v>
      </c>
      <c r="O1170" s="577">
        <f t="shared" si="311"/>
        <v>0</v>
      </c>
      <c r="P1170" s="578">
        <f t="shared" si="312"/>
        <v>0</v>
      </c>
      <c r="Q1170" s="765"/>
      <c r="R1170" s="576">
        <f t="shared" si="308"/>
        <v>0</v>
      </c>
      <c r="S1170" s="576">
        <f t="shared" si="308"/>
        <v>0</v>
      </c>
      <c r="T1170" s="577">
        <f t="shared" si="309"/>
        <v>0</v>
      </c>
      <c r="U1170" s="578">
        <f t="shared" si="310"/>
        <v>0</v>
      </c>
      <c r="V1170" s="579"/>
      <c r="W1170" s="566"/>
      <c r="X1170" s="586" t="str">
        <f t="shared" si="313"/>
        <v/>
      </c>
      <c r="Y1170" s="586" t="str">
        <f t="shared" si="307"/>
        <v/>
      </c>
      <c r="Z1170" s="586" t="str">
        <f t="shared" si="305"/>
        <v/>
      </c>
    </row>
    <row r="1171" spans="1:26" ht="23.25" hidden="1" thickBot="1" x14ac:dyDescent="0.25">
      <c r="A1171" s="567">
        <v>91871</v>
      </c>
      <c r="B1171" s="644">
        <v>91871</v>
      </c>
      <c r="C1171" s="645" t="s">
        <v>670</v>
      </c>
      <c r="D1171" s="422" t="s">
        <v>1022</v>
      </c>
      <c r="E1171" s="423"/>
      <c r="F1171" s="424"/>
      <c r="G1171" s="425"/>
      <c r="H1171" s="651"/>
      <c r="I1171" s="420">
        <v>14.5</v>
      </c>
      <c r="J1171" s="420">
        <f t="shared" ref="J1171:J1234" si="315">IF(ISBLANK(I1171),"",SUM(H1171:I1171))</f>
        <v>14.5</v>
      </c>
      <c r="K1171" s="421">
        <f t="shared" si="314"/>
        <v>17.23</v>
      </c>
      <c r="L1171" s="647" t="s">
        <v>79</v>
      </c>
      <c r="M1171" s="576"/>
      <c r="N1171" s="576">
        <f t="shared" si="306"/>
        <v>0</v>
      </c>
      <c r="O1171" s="577">
        <f t="shared" si="311"/>
        <v>0</v>
      </c>
      <c r="P1171" s="578">
        <f t="shared" si="312"/>
        <v>0</v>
      </c>
      <c r="Q1171" s="765"/>
      <c r="R1171" s="576">
        <f t="shared" si="308"/>
        <v>0</v>
      </c>
      <c r="S1171" s="576">
        <f t="shared" si="308"/>
        <v>0</v>
      </c>
      <c r="T1171" s="577">
        <f t="shared" si="309"/>
        <v>0</v>
      </c>
      <c r="U1171" s="578">
        <f t="shared" si="310"/>
        <v>0</v>
      </c>
      <c r="V1171" s="579"/>
      <c r="W1171" s="566"/>
      <c r="X1171" s="586" t="str">
        <f t="shared" si="313"/>
        <v/>
      </c>
      <c r="Y1171" s="586" t="str">
        <f t="shared" si="307"/>
        <v/>
      </c>
      <c r="Z1171" s="586" t="str">
        <f t="shared" ref="Z1171:Z1234" si="316">IF(W1171="X","x",IF(U1171&gt;0,"x",""))</f>
        <v/>
      </c>
    </row>
    <row r="1172" spans="1:26" ht="23.25" hidden="1" thickBot="1" x14ac:dyDescent="0.25">
      <c r="A1172" s="567">
        <v>91872</v>
      </c>
      <c r="B1172" s="644">
        <v>91872</v>
      </c>
      <c r="C1172" s="645" t="s">
        <v>670</v>
      </c>
      <c r="D1172" s="422" t="s">
        <v>1023</v>
      </c>
      <c r="E1172" s="423"/>
      <c r="F1172" s="424"/>
      <c r="G1172" s="425"/>
      <c r="H1172" s="651"/>
      <c r="I1172" s="420">
        <v>18.940000000000001</v>
      </c>
      <c r="J1172" s="420">
        <f t="shared" si="315"/>
        <v>18.940000000000001</v>
      </c>
      <c r="K1172" s="421">
        <f t="shared" si="314"/>
        <v>22.5</v>
      </c>
      <c r="L1172" s="647" t="s">
        <v>79</v>
      </c>
      <c r="M1172" s="576"/>
      <c r="N1172" s="576">
        <f t="shared" ref="N1172:N1235" si="317">IF(M1172=0,0,K1172)</f>
        <v>0</v>
      </c>
      <c r="O1172" s="577">
        <f t="shared" si="311"/>
        <v>0</v>
      </c>
      <c r="P1172" s="578">
        <f t="shared" si="312"/>
        <v>0</v>
      </c>
      <c r="Q1172" s="765"/>
      <c r="R1172" s="576">
        <f t="shared" si="308"/>
        <v>0</v>
      </c>
      <c r="S1172" s="576">
        <f t="shared" si="308"/>
        <v>0</v>
      </c>
      <c r="T1172" s="577">
        <f t="shared" si="309"/>
        <v>0</v>
      </c>
      <c r="U1172" s="578">
        <f t="shared" si="310"/>
        <v>0</v>
      </c>
      <c r="V1172" s="579"/>
      <c r="W1172" s="566"/>
      <c r="X1172" s="586" t="str">
        <f t="shared" si="313"/>
        <v/>
      </c>
      <c r="Y1172" s="586" t="str">
        <f t="shared" si="307"/>
        <v/>
      </c>
      <c r="Z1172" s="586" t="str">
        <f t="shared" si="316"/>
        <v/>
      </c>
    </row>
    <row r="1173" spans="1:26" ht="23.25" hidden="1" thickBot="1" x14ac:dyDescent="0.25">
      <c r="A1173" s="567">
        <v>91873</v>
      </c>
      <c r="B1173" s="644">
        <v>91873</v>
      </c>
      <c r="C1173" s="645" t="s">
        <v>670</v>
      </c>
      <c r="D1173" s="422" t="s">
        <v>1024</v>
      </c>
      <c r="E1173" s="423"/>
      <c r="F1173" s="424"/>
      <c r="G1173" s="425"/>
      <c r="H1173" s="651"/>
      <c r="I1173" s="420">
        <v>23.26</v>
      </c>
      <c r="J1173" s="420">
        <f t="shared" si="315"/>
        <v>23.26</v>
      </c>
      <c r="K1173" s="421">
        <f t="shared" si="314"/>
        <v>27.64</v>
      </c>
      <c r="L1173" s="647" t="s">
        <v>79</v>
      </c>
      <c r="M1173" s="576"/>
      <c r="N1173" s="576">
        <f t="shared" si="317"/>
        <v>0</v>
      </c>
      <c r="O1173" s="577">
        <f t="shared" si="311"/>
        <v>0</v>
      </c>
      <c r="P1173" s="578">
        <f t="shared" si="312"/>
        <v>0</v>
      </c>
      <c r="Q1173" s="765"/>
      <c r="R1173" s="576">
        <f t="shared" si="308"/>
        <v>0</v>
      </c>
      <c r="S1173" s="576">
        <f t="shared" si="308"/>
        <v>0</v>
      </c>
      <c r="T1173" s="577">
        <f t="shared" si="309"/>
        <v>0</v>
      </c>
      <c r="U1173" s="578">
        <f t="shared" si="310"/>
        <v>0</v>
      </c>
      <c r="V1173" s="579"/>
      <c r="W1173" s="566"/>
      <c r="X1173" s="586" t="str">
        <f t="shared" si="313"/>
        <v/>
      </c>
      <c r="Y1173" s="586" t="str">
        <f t="shared" si="307"/>
        <v/>
      </c>
      <c r="Z1173" s="586" t="str">
        <f t="shared" si="316"/>
        <v/>
      </c>
    </row>
    <row r="1174" spans="1:26" ht="12" hidden="1" thickBot="1" x14ac:dyDescent="0.25">
      <c r="A1174" s="567">
        <v>93008</v>
      </c>
      <c r="B1174" s="644">
        <v>93008</v>
      </c>
      <c r="C1174" s="645" t="s">
        <v>670</v>
      </c>
      <c r="D1174" s="422" t="s">
        <v>1025</v>
      </c>
      <c r="E1174" s="423"/>
      <c r="F1174" s="424"/>
      <c r="G1174" s="425"/>
      <c r="H1174" s="651"/>
      <c r="I1174" s="420">
        <v>19.809999999999999</v>
      </c>
      <c r="J1174" s="420">
        <f t="shared" si="315"/>
        <v>19.809999999999999</v>
      </c>
      <c r="K1174" s="421">
        <f t="shared" si="314"/>
        <v>23.54</v>
      </c>
      <c r="L1174" s="647" t="s">
        <v>79</v>
      </c>
      <c r="M1174" s="576"/>
      <c r="N1174" s="576">
        <f t="shared" si="317"/>
        <v>0</v>
      </c>
      <c r="O1174" s="577">
        <f t="shared" si="311"/>
        <v>0</v>
      </c>
      <c r="P1174" s="578">
        <f t="shared" si="312"/>
        <v>0</v>
      </c>
      <c r="Q1174" s="765"/>
      <c r="R1174" s="576">
        <f t="shared" si="308"/>
        <v>0</v>
      </c>
      <c r="S1174" s="576">
        <f t="shared" si="308"/>
        <v>0</v>
      </c>
      <c r="T1174" s="577">
        <f t="shared" si="309"/>
        <v>0</v>
      </c>
      <c r="U1174" s="578">
        <f t="shared" si="310"/>
        <v>0</v>
      </c>
      <c r="V1174" s="579"/>
      <c r="W1174" s="566"/>
      <c r="X1174" s="586" t="str">
        <f t="shared" si="313"/>
        <v/>
      </c>
      <c r="Y1174" s="586" t="str">
        <f t="shared" si="307"/>
        <v/>
      </c>
      <c r="Z1174" s="586" t="str">
        <f t="shared" si="316"/>
        <v/>
      </c>
    </row>
    <row r="1175" spans="1:26" ht="12" hidden="1" thickBot="1" x14ac:dyDescent="0.25">
      <c r="A1175" s="567">
        <v>93009</v>
      </c>
      <c r="B1175" s="644">
        <v>93009</v>
      </c>
      <c r="C1175" s="645" t="s">
        <v>670</v>
      </c>
      <c r="D1175" s="422" t="s">
        <v>1026</v>
      </c>
      <c r="E1175" s="423"/>
      <c r="F1175" s="424"/>
      <c r="G1175" s="425"/>
      <c r="H1175" s="651"/>
      <c r="I1175" s="420">
        <v>29.54</v>
      </c>
      <c r="J1175" s="420">
        <f t="shared" si="315"/>
        <v>29.54</v>
      </c>
      <c r="K1175" s="421">
        <f t="shared" si="314"/>
        <v>35.1</v>
      </c>
      <c r="L1175" s="647" t="s">
        <v>79</v>
      </c>
      <c r="M1175" s="576"/>
      <c r="N1175" s="576">
        <f t="shared" si="317"/>
        <v>0</v>
      </c>
      <c r="O1175" s="577">
        <f t="shared" si="311"/>
        <v>0</v>
      </c>
      <c r="P1175" s="578">
        <f t="shared" si="312"/>
        <v>0</v>
      </c>
      <c r="Q1175" s="765"/>
      <c r="R1175" s="576">
        <f t="shared" si="308"/>
        <v>0</v>
      </c>
      <c r="S1175" s="576">
        <f t="shared" si="308"/>
        <v>0</v>
      </c>
      <c r="T1175" s="577">
        <f t="shared" si="309"/>
        <v>0</v>
      </c>
      <c r="U1175" s="578">
        <f t="shared" si="310"/>
        <v>0</v>
      </c>
      <c r="V1175" s="579"/>
      <c r="W1175" s="566"/>
      <c r="X1175" s="586" t="str">
        <f t="shared" si="313"/>
        <v/>
      </c>
      <c r="Y1175" s="586" t="str">
        <f t="shared" si="307"/>
        <v/>
      </c>
      <c r="Z1175" s="586" t="str">
        <f t="shared" si="316"/>
        <v/>
      </c>
    </row>
    <row r="1176" spans="1:26" ht="12" hidden="1" thickBot="1" x14ac:dyDescent="0.25">
      <c r="A1176" s="567">
        <v>93010</v>
      </c>
      <c r="B1176" s="644">
        <v>93010</v>
      </c>
      <c r="C1176" s="645" t="s">
        <v>670</v>
      </c>
      <c r="D1176" s="422" t="s">
        <v>1027</v>
      </c>
      <c r="E1176" s="423"/>
      <c r="F1176" s="424"/>
      <c r="G1176" s="425"/>
      <c r="H1176" s="651"/>
      <c r="I1176" s="420">
        <v>41.34</v>
      </c>
      <c r="J1176" s="420">
        <f t="shared" si="315"/>
        <v>41.34</v>
      </c>
      <c r="K1176" s="421">
        <f t="shared" si="314"/>
        <v>49.12</v>
      </c>
      <c r="L1176" s="647" t="s">
        <v>79</v>
      </c>
      <c r="M1176" s="576"/>
      <c r="N1176" s="576">
        <f t="shared" si="317"/>
        <v>0</v>
      </c>
      <c r="O1176" s="577">
        <f t="shared" si="311"/>
        <v>0</v>
      </c>
      <c r="P1176" s="578">
        <f t="shared" si="312"/>
        <v>0</v>
      </c>
      <c r="Q1176" s="765"/>
      <c r="R1176" s="576">
        <f t="shared" si="308"/>
        <v>0</v>
      </c>
      <c r="S1176" s="576">
        <f t="shared" si="308"/>
        <v>0</v>
      </c>
      <c r="T1176" s="577">
        <f t="shared" si="309"/>
        <v>0</v>
      </c>
      <c r="U1176" s="578">
        <f t="shared" si="310"/>
        <v>0</v>
      </c>
      <c r="V1176" s="579"/>
      <c r="W1176" s="566"/>
      <c r="X1176" s="586" t="str">
        <f t="shared" si="313"/>
        <v/>
      </c>
      <c r="Y1176" s="586" t="str">
        <f t="shared" si="307"/>
        <v/>
      </c>
      <c r="Z1176" s="586" t="str">
        <f t="shared" si="316"/>
        <v/>
      </c>
    </row>
    <row r="1177" spans="1:26" ht="12" hidden="1" thickBot="1" x14ac:dyDescent="0.25">
      <c r="A1177" s="567">
        <v>93011</v>
      </c>
      <c r="B1177" s="644">
        <v>93011</v>
      </c>
      <c r="C1177" s="645" t="s">
        <v>670</v>
      </c>
      <c r="D1177" s="422" t="s">
        <v>1028</v>
      </c>
      <c r="E1177" s="423"/>
      <c r="F1177" s="424"/>
      <c r="G1177" s="425"/>
      <c r="H1177" s="651"/>
      <c r="I1177" s="420">
        <v>50.68</v>
      </c>
      <c r="J1177" s="420">
        <f t="shared" si="315"/>
        <v>50.68</v>
      </c>
      <c r="K1177" s="421">
        <f t="shared" si="314"/>
        <v>60.21</v>
      </c>
      <c r="L1177" s="647" t="s">
        <v>79</v>
      </c>
      <c r="M1177" s="576"/>
      <c r="N1177" s="576">
        <f t="shared" si="317"/>
        <v>0</v>
      </c>
      <c r="O1177" s="577">
        <f t="shared" si="311"/>
        <v>0</v>
      </c>
      <c r="P1177" s="578">
        <f t="shared" si="312"/>
        <v>0</v>
      </c>
      <c r="Q1177" s="765"/>
      <c r="R1177" s="576">
        <f t="shared" si="308"/>
        <v>0</v>
      </c>
      <c r="S1177" s="576">
        <f t="shared" si="308"/>
        <v>0</v>
      </c>
      <c r="T1177" s="577">
        <f t="shared" si="309"/>
        <v>0</v>
      </c>
      <c r="U1177" s="578">
        <f t="shared" si="310"/>
        <v>0</v>
      </c>
      <c r="V1177" s="579"/>
      <c r="W1177" s="566"/>
      <c r="X1177" s="586" t="str">
        <f t="shared" si="313"/>
        <v/>
      </c>
      <c r="Y1177" s="586" t="str">
        <f t="shared" si="307"/>
        <v/>
      </c>
      <c r="Z1177" s="586" t="str">
        <f t="shared" si="316"/>
        <v/>
      </c>
    </row>
    <row r="1178" spans="1:26" ht="12" hidden="1" thickBot="1" x14ac:dyDescent="0.25">
      <c r="A1178" s="567">
        <v>93012</v>
      </c>
      <c r="B1178" s="644">
        <v>93012</v>
      </c>
      <c r="C1178" s="645" t="s">
        <v>670</v>
      </c>
      <c r="D1178" s="422" t="s">
        <v>1029</v>
      </c>
      <c r="E1178" s="423"/>
      <c r="F1178" s="424"/>
      <c r="G1178" s="425"/>
      <c r="H1178" s="651"/>
      <c r="I1178" s="420">
        <v>76.91</v>
      </c>
      <c r="J1178" s="420">
        <f t="shared" si="315"/>
        <v>76.91</v>
      </c>
      <c r="K1178" s="421">
        <f t="shared" si="314"/>
        <v>91.38</v>
      </c>
      <c r="L1178" s="647" t="s">
        <v>79</v>
      </c>
      <c r="M1178" s="576"/>
      <c r="N1178" s="576">
        <f t="shared" si="317"/>
        <v>0</v>
      </c>
      <c r="O1178" s="577">
        <f t="shared" si="311"/>
        <v>0</v>
      </c>
      <c r="P1178" s="578">
        <f t="shared" si="312"/>
        <v>0</v>
      </c>
      <c r="Q1178" s="765"/>
      <c r="R1178" s="576">
        <f t="shared" si="308"/>
        <v>0</v>
      </c>
      <c r="S1178" s="576">
        <f t="shared" si="308"/>
        <v>0</v>
      </c>
      <c r="T1178" s="577">
        <f t="shared" si="309"/>
        <v>0</v>
      </c>
      <c r="U1178" s="578">
        <f t="shared" si="310"/>
        <v>0</v>
      </c>
      <c r="V1178" s="579"/>
      <c r="W1178" s="566"/>
      <c r="X1178" s="586" t="str">
        <f t="shared" si="313"/>
        <v/>
      </c>
      <c r="Y1178" s="586" t="str">
        <f t="shared" si="307"/>
        <v/>
      </c>
      <c r="Z1178" s="586" t="str">
        <f t="shared" si="316"/>
        <v/>
      </c>
    </row>
    <row r="1179" spans="1:26" ht="23.25" hidden="1" thickBot="1" x14ac:dyDescent="0.25">
      <c r="A1179" s="567">
        <v>95726</v>
      </c>
      <c r="B1179" s="644">
        <v>95726</v>
      </c>
      <c r="C1179" s="645" t="s">
        <v>670</v>
      </c>
      <c r="D1179" s="422" t="s">
        <v>1030</v>
      </c>
      <c r="E1179" s="423"/>
      <c r="F1179" s="424"/>
      <c r="G1179" s="425"/>
      <c r="H1179" s="651"/>
      <c r="I1179" s="420">
        <v>7.51</v>
      </c>
      <c r="J1179" s="420">
        <f t="shared" si="315"/>
        <v>7.51</v>
      </c>
      <c r="K1179" s="421">
        <f t="shared" si="314"/>
        <v>8.92</v>
      </c>
      <c r="L1179" s="647" t="s">
        <v>79</v>
      </c>
      <c r="M1179" s="576"/>
      <c r="N1179" s="576">
        <f t="shared" si="317"/>
        <v>0</v>
      </c>
      <c r="O1179" s="577">
        <f t="shared" si="311"/>
        <v>0</v>
      </c>
      <c r="P1179" s="578">
        <f t="shared" si="312"/>
        <v>0</v>
      </c>
      <c r="Q1179" s="765"/>
      <c r="R1179" s="576">
        <f t="shared" si="308"/>
        <v>0</v>
      </c>
      <c r="S1179" s="576">
        <f t="shared" si="308"/>
        <v>0</v>
      </c>
      <c r="T1179" s="577">
        <f t="shared" si="309"/>
        <v>0</v>
      </c>
      <c r="U1179" s="578">
        <f t="shared" si="310"/>
        <v>0</v>
      </c>
      <c r="V1179" s="579"/>
      <c r="W1179" s="566"/>
      <c r="X1179" s="586" t="str">
        <f t="shared" si="313"/>
        <v/>
      </c>
      <c r="Y1179" s="586" t="str">
        <f t="shared" si="307"/>
        <v/>
      </c>
      <c r="Z1179" s="586" t="str">
        <f t="shared" si="316"/>
        <v/>
      </c>
    </row>
    <row r="1180" spans="1:26" ht="23.25" hidden="1" thickBot="1" x14ac:dyDescent="0.25">
      <c r="A1180" s="567">
        <v>95727</v>
      </c>
      <c r="B1180" s="644">
        <v>95727</v>
      </c>
      <c r="C1180" s="645" t="s">
        <v>670</v>
      </c>
      <c r="D1180" s="422" t="s">
        <v>1031</v>
      </c>
      <c r="E1180" s="423"/>
      <c r="F1180" s="424"/>
      <c r="G1180" s="425"/>
      <c r="H1180" s="651"/>
      <c r="I1180" s="420">
        <v>8.6300000000000008</v>
      </c>
      <c r="J1180" s="420">
        <f t="shared" si="315"/>
        <v>8.6300000000000008</v>
      </c>
      <c r="K1180" s="421">
        <f t="shared" si="314"/>
        <v>10.25</v>
      </c>
      <c r="L1180" s="647" t="s">
        <v>79</v>
      </c>
      <c r="M1180" s="576"/>
      <c r="N1180" s="576">
        <f t="shared" si="317"/>
        <v>0</v>
      </c>
      <c r="O1180" s="577">
        <f t="shared" si="311"/>
        <v>0</v>
      </c>
      <c r="P1180" s="578">
        <f t="shared" si="312"/>
        <v>0</v>
      </c>
      <c r="Q1180" s="765"/>
      <c r="R1180" s="576">
        <f t="shared" si="308"/>
        <v>0</v>
      </c>
      <c r="S1180" s="576">
        <f t="shared" si="308"/>
        <v>0</v>
      </c>
      <c r="T1180" s="577">
        <f t="shared" si="309"/>
        <v>0</v>
      </c>
      <c r="U1180" s="578">
        <f t="shared" si="310"/>
        <v>0</v>
      </c>
      <c r="V1180" s="579"/>
      <c r="W1180" s="566"/>
      <c r="X1180" s="586" t="str">
        <f t="shared" si="313"/>
        <v/>
      </c>
      <c r="Y1180" s="586" t="str">
        <f t="shared" si="307"/>
        <v/>
      </c>
      <c r="Z1180" s="586" t="str">
        <f t="shared" si="316"/>
        <v/>
      </c>
    </row>
    <row r="1181" spans="1:26" ht="23.25" hidden="1" thickBot="1" x14ac:dyDescent="0.25">
      <c r="A1181" s="567">
        <v>95728</v>
      </c>
      <c r="B1181" s="644">
        <v>95728</v>
      </c>
      <c r="C1181" s="645" t="s">
        <v>670</v>
      </c>
      <c r="D1181" s="422" t="s">
        <v>1032</v>
      </c>
      <c r="E1181" s="423"/>
      <c r="F1181" s="424"/>
      <c r="G1181" s="425"/>
      <c r="H1181" s="651"/>
      <c r="I1181" s="420">
        <v>11.08</v>
      </c>
      <c r="J1181" s="420">
        <f t="shared" si="315"/>
        <v>11.08</v>
      </c>
      <c r="K1181" s="421">
        <f t="shared" si="314"/>
        <v>13.16</v>
      </c>
      <c r="L1181" s="647" t="s">
        <v>79</v>
      </c>
      <c r="M1181" s="576"/>
      <c r="N1181" s="576">
        <f t="shared" si="317"/>
        <v>0</v>
      </c>
      <c r="O1181" s="577">
        <f t="shared" si="311"/>
        <v>0</v>
      </c>
      <c r="P1181" s="578">
        <f t="shared" si="312"/>
        <v>0</v>
      </c>
      <c r="Q1181" s="765"/>
      <c r="R1181" s="576">
        <f t="shared" si="308"/>
        <v>0</v>
      </c>
      <c r="S1181" s="576">
        <f t="shared" si="308"/>
        <v>0</v>
      </c>
      <c r="T1181" s="577">
        <f t="shared" si="309"/>
        <v>0</v>
      </c>
      <c r="U1181" s="578">
        <f t="shared" si="310"/>
        <v>0</v>
      </c>
      <c r="V1181" s="579"/>
      <c r="W1181" s="566"/>
      <c r="X1181" s="586" t="str">
        <f t="shared" si="313"/>
        <v/>
      </c>
      <c r="Y1181" s="586" t="str">
        <f t="shared" si="307"/>
        <v/>
      </c>
      <c r="Z1181" s="586" t="str">
        <f t="shared" si="316"/>
        <v/>
      </c>
    </row>
    <row r="1182" spans="1:26" ht="23.25" hidden="1" thickBot="1" x14ac:dyDescent="0.25">
      <c r="A1182" s="567">
        <v>95729</v>
      </c>
      <c r="B1182" s="644">
        <v>95729</v>
      </c>
      <c r="C1182" s="645" t="s">
        <v>670</v>
      </c>
      <c r="D1182" s="422" t="s">
        <v>1033</v>
      </c>
      <c r="E1182" s="423"/>
      <c r="F1182" s="424"/>
      <c r="G1182" s="425"/>
      <c r="H1182" s="651"/>
      <c r="I1182" s="420">
        <v>9.75</v>
      </c>
      <c r="J1182" s="420">
        <f t="shared" si="315"/>
        <v>9.75</v>
      </c>
      <c r="K1182" s="421">
        <f t="shared" si="314"/>
        <v>11.58</v>
      </c>
      <c r="L1182" s="647" t="s">
        <v>79</v>
      </c>
      <c r="M1182" s="576"/>
      <c r="N1182" s="576">
        <f t="shared" si="317"/>
        <v>0</v>
      </c>
      <c r="O1182" s="577">
        <f t="shared" si="311"/>
        <v>0</v>
      </c>
      <c r="P1182" s="578">
        <f t="shared" si="312"/>
        <v>0</v>
      </c>
      <c r="Q1182" s="765"/>
      <c r="R1182" s="576">
        <f t="shared" si="308"/>
        <v>0</v>
      </c>
      <c r="S1182" s="576">
        <f t="shared" si="308"/>
        <v>0</v>
      </c>
      <c r="T1182" s="577">
        <f t="shared" si="309"/>
        <v>0</v>
      </c>
      <c r="U1182" s="578">
        <f t="shared" si="310"/>
        <v>0</v>
      </c>
      <c r="V1182" s="579"/>
      <c r="W1182" s="566"/>
      <c r="X1182" s="586" t="str">
        <f t="shared" si="313"/>
        <v/>
      </c>
      <c r="Y1182" s="586" t="str">
        <f t="shared" si="307"/>
        <v/>
      </c>
      <c r="Z1182" s="586" t="str">
        <f t="shared" si="316"/>
        <v/>
      </c>
    </row>
    <row r="1183" spans="1:26" ht="23.25" hidden="1" thickBot="1" x14ac:dyDescent="0.25">
      <c r="A1183" s="567">
        <v>95730</v>
      </c>
      <c r="B1183" s="644">
        <v>95730</v>
      </c>
      <c r="C1183" s="645" t="s">
        <v>670</v>
      </c>
      <c r="D1183" s="422" t="s">
        <v>1034</v>
      </c>
      <c r="E1183" s="423"/>
      <c r="F1183" s="424"/>
      <c r="G1183" s="425"/>
      <c r="H1183" s="651"/>
      <c r="I1183" s="420">
        <v>10.86</v>
      </c>
      <c r="J1183" s="420">
        <f t="shared" si="315"/>
        <v>10.86</v>
      </c>
      <c r="K1183" s="421">
        <f t="shared" si="314"/>
        <v>12.9</v>
      </c>
      <c r="L1183" s="647" t="s">
        <v>79</v>
      </c>
      <c r="M1183" s="576"/>
      <c r="N1183" s="576">
        <f t="shared" si="317"/>
        <v>0</v>
      </c>
      <c r="O1183" s="577">
        <f t="shared" si="311"/>
        <v>0</v>
      </c>
      <c r="P1183" s="578">
        <f t="shared" si="312"/>
        <v>0</v>
      </c>
      <c r="Q1183" s="765"/>
      <c r="R1183" s="576">
        <f t="shared" si="308"/>
        <v>0</v>
      </c>
      <c r="S1183" s="576">
        <f t="shared" si="308"/>
        <v>0</v>
      </c>
      <c r="T1183" s="577">
        <f t="shared" si="309"/>
        <v>0</v>
      </c>
      <c r="U1183" s="578">
        <f t="shared" si="310"/>
        <v>0</v>
      </c>
      <c r="V1183" s="579"/>
      <c r="W1183" s="566"/>
      <c r="X1183" s="586" t="str">
        <f t="shared" si="313"/>
        <v/>
      </c>
      <c r="Y1183" s="586" t="str">
        <f t="shared" si="307"/>
        <v/>
      </c>
      <c r="Z1183" s="586" t="str">
        <f t="shared" si="316"/>
        <v/>
      </c>
    </row>
    <row r="1184" spans="1:26" ht="23.25" hidden="1" thickBot="1" x14ac:dyDescent="0.25">
      <c r="A1184" s="567">
        <v>95731</v>
      </c>
      <c r="B1184" s="644">
        <v>95731</v>
      </c>
      <c r="C1184" s="645" t="s">
        <v>670</v>
      </c>
      <c r="D1184" s="422" t="s">
        <v>1035</v>
      </c>
      <c r="E1184" s="423"/>
      <c r="F1184" s="424"/>
      <c r="G1184" s="425"/>
      <c r="H1184" s="651"/>
      <c r="I1184" s="420">
        <v>13.31</v>
      </c>
      <c r="J1184" s="420">
        <f t="shared" si="315"/>
        <v>13.31</v>
      </c>
      <c r="K1184" s="421">
        <f t="shared" si="314"/>
        <v>15.81</v>
      </c>
      <c r="L1184" s="647" t="s">
        <v>79</v>
      </c>
      <c r="M1184" s="576"/>
      <c r="N1184" s="576">
        <f t="shared" si="317"/>
        <v>0</v>
      </c>
      <c r="O1184" s="577">
        <f t="shared" si="311"/>
        <v>0</v>
      </c>
      <c r="P1184" s="578">
        <f t="shared" si="312"/>
        <v>0</v>
      </c>
      <c r="Q1184" s="765"/>
      <c r="R1184" s="576">
        <f t="shared" si="308"/>
        <v>0</v>
      </c>
      <c r="S1184" s="576">
        <f t="shared" si="308"/>
        <v>0</v>
      </c>
      <c r="T1184" s="577">
        <f t="shared" si="309"/>
        <v>0</v>
      </c>
      <c r="U1184" s="578">
        <f t="shared" si="310"/>
        <v>0</v>
      </c>
      <c r="V1184" s="579"/>
      <c r="W1184" s="566"/>
      <c r="X1184" s="586" t="str">
        <f t="shared" si="313"/>
        <v/>
      </c>
      <c r="Y1184" s="586" t="str">
        <f t="shared" si="307"/>
        <v/>
      </c>
      <c r="Z1184" s="586" t="str">
        <f t="shared" si="316"/>
        <v/>
      </c>
    </row>
    <row r="1185" spans="1:26" ht="23.25" hidden="1" thickBot="1" x14ac:dyDescent="0.25">
      <c r="A1185" s="567">
        <v>95733</v>
      </c>
      <c r="B1185" s="644">
        <v>95733</v>
      </c>
      <c r="C1185" s="645" t="s">
        <v>670</v>
      </c>
      <c r="D1185" s="422" t="s">
        <v>1036</v>
      </c>
      <c r="E1185" s="423"/>
      <c r="F1185" s="424"/>
      <c r="G1185" s="425"/>
      <c r="H1185" s="651"/>
      <c r="I1185" s="420">
        <v>6.83</v>
      </c>
      <c r="J1185" s="420">
        <f t="shared" si="315"/>
        <v>6.83</v>
      </c>
      <c r="K1185" s="421">
        <f t="shared" si="314"/>
        <v>8.11</v>
      </c>
      <c r="L1185" s="647" t="s">
        <v>2065</v>
      </c>
      <c r="M1185" s="576"/>
      <c r="N1185" s="576">
        <f t="shared" si="317"/>
        <v>0</v>
      </c>
      <c r="O1185" s="577">
        <f t="shared" si="311"/>
        <v>0</v>
      </c>
      <c r="P1185" s="578">
        <f t="shared" si="312"/>
        <v>0</v>
      </c>
      <c r="Q1185" s="765"/>
      <c r="R1185" s="576">
        <f t="shared" si="308"/>
        <v>0</v>
      </c>
      <c r="S1185" s="576">
        <f t="shared" si="308"/>
        <v>0</v>
      </c>
      <c r="T1185" s="577">
        <f t="shared" si="309"/>
        <v>0</v>
      </c>
      <c r="U1185" s="578">
        <f t="shared" si="310"/>
        <v>0</v>
      </c>
      <c r="V1185" s="579"/>
      <c r="W1185" s="566"/>
      <c r="X1185" s="586" t="str">
        <f t="shared" si="313"/>
        <v/>
      </c>
      <c r="Y1185" s="586" t="str">
        <f t="shared" si="307"/>
        <v/>
      </c>
      <c r="Z1185" s="586" t="str">
        <f t="shared" si="316"/>
        <v/>
      </c>
    </row>
    <row r="1186" spans="1:26" ht="23.25" hidden="1" thickBot="1" x14ac:dyDescent="0.25">
      <c r="A1186" s="567">
        <v>95734</v>
      </c>
      <c r="B1186" s="644">
        <v>95734</v>
      </c>
      <c r="C1186" s="645" t="s">
        <v>670</v>
      </c>
      <c r="D1186" s="422" t="s">
        <v>1037</v>
      </c>
      <c r="E1186" s="423"/>
      <c r="F1186" s="424"/>
      <c r="G1186" s="425"/>
      <c r="H1186" s="651"/>
      <c r="I1186" s="420">
        <v>9.11</v>
      </c>
      <c r="J1186" s="420">
        <f t="shared" si="315"/>
        <v>9.11</v>
      </c>
      <c r="K1186" s="421">
        <f t="shared" si="314"/>
        <v>10.82</v>
      </c>
      <c r="L1186" s="647" t="s">
        <v>2065</v>
      </c>
      <c r="M1186" s="576"/>
      <c r="N1186" s="576">
        <f t="shared" si="317"/>
        <v>0</v>
      </c>
      <c r="O1186" s="577">
        <f t="shared" si="311"/>
        <v>0</v>
      </c>
      <c r="P1186" s="578">
        <f t="shared" si="312"/>
        <v>0</v>
      </c>
      <c r="Q1186" s="765"/>
      <c r="R1186" s="576">
        <f t="shared" si="308"/>
        <v>0</v>
      </c>
      <c r="S1186" s="576">
        <f t="shared" si="308"/>
        <v>0</v>
      </c>
      <c r="T1186" s="577">
        <f t="shared" si="309"/>
        <v>0</v>
      </c>
      <c r="U1186" s="578">
        <f t="shared" si="310"/>
        <v>0</v>
      </c>
      <c r="V1186" s="579"/>
      <c r="W1186" s="566"/>
      <c r="X1186" s="586" t="str">
        <f t="shared" si="313"/>
        <v/>
      </c>
      <c r="Y1186" s="586" t="str">
        <f t="shared" si="307"/>
        <v/>
      </c>
      <c r="Z1186" s="586" t="str">
        <f t="shared" si="316"/>
        <v/>
      </c>
    </row>
    <row r="1187" spans="1:26" ht="23.25" hidden="1" thickBot="1" x14ac:dyDescent="0.25">
      <c r="A1187" s="567">
        <v>95735</v>
      </c>
      <c r="B1187" s="644">
        <v>95735</v>
      </c>
      <c r="C1187" s="645" t="s">
        <v>670</v>
      </c>
      <c r="D1187" s="422" t="s">
        <v>1038</v>
      </c>
      <c r="E1187" s="423"/>
      <c r="F1187" s="424"/>
      <c r="G1187" s="425"/>
      <c r="H1187" s="651"/>
      <c r="I1187" s="420">
        <v>7.49</v>
      </c>
      <c r="J1187" s="420">
        <f t="shared" si="315"/>
        <v>7.49</v>
      </c>
      <c r="K1187" s="421">
        <f t="shared" si="314"/>
        <v>8.9</v>
      </c>
      <c r="L1187" s="647" t="s">
        <v>2065</v>
      </c>
      <c r="M1187" s="576"/>
      <c r="N1187" s="576">
        <f t="shared" si="317"/>
        <v>0</v>
      </c>
      <c r="O1187" s="577">
        <f t="shared" si="311"/>
        <v>0</v>
      </c>
      <c r="P1187" s="578">
        <f t="shared" si="312"/>
        <v>0</v>
      </c>
      <c r="Q1187" s="765"/>
      <c r="R1187" s="576">
        <f t="shared" si="308"/>
        <v>0</v>
      </c>
      <c r="S1187" s="576">
        <f t="shared" si="308"/>
        <v>0</v>
      </c>
      <c r="T1187" s="577">
        <f t="shared" si="309"/>
        <v>0</v>
      </c>
      <c r="U1187" s="578">
        <f t="shared" si="310"/>
        <v>0</v>
      </c>
      <c r="V1187" s="579"/>
      <c r="W1187" s="566"/>
      <c r="X1187" s="586" t="str">
        <f t="shared" si="313"/>
        <v/>
      </c>
      <c r="Y1187" s="586" t="str">
        <f t="shared" ref="Y1187:Y1250" si="318">IF(W1187="X","x",IF(W1187="y","x",IF(W1187="xx","x",IF(U1187&gt;0,"x",""))))</f>
        <v/>
      </c>
      <c r="Z1187" s="586" t="str">
        <f t="shared" si="316"/>
        <v/>
      </c>
    </row>
    <row r="1188" spans="1:26" ht="23.25" hidden="1" thickBot="1" x14ac:dyDescent="0.25">
      <c r="A1188" s="567">
        <v>95736</v>
      </c>
      <c r="B1188" s="644">
        <v>95736</v>
      </c>
      <c r="C1188" s="645" t="s">
        <v>670</v>
      </c>
      <c r="D1188" s="422" t="s">
        <v>1039</v>
      </c>
      <c r="E1188" s="423"/>
      <c r="F1188" s="424"/>
      <c r="G1188" s="425"/>
      <c r="H1188" s="651"/>
      <c r="I1188" s="420">
        <v>8.8699999999999992</v>
      </c>
      <c r="J1188" s="420">
        <f t="shared" si="315"/>
        <v>8.8699999999999992</v>
      </c>
      <c r="K1188" s="421">
        <f t="shared" si="314"/>
        <v>10.54</v>
      </c>
      <c r="L1188" s="647" t="s">
        <v>2065</v>
      </c>
      <c r="M1188" s="576"/>
      <c r="N1188" s="576">
        <f t="shared" si="317"/>
        <v>0</v>
      </c>
      <c r="O1188" s="577">
        <f t="shared" si="311"/>
        <v>0</v>
      </c>
      <c r="P1188" s="578">
        <f t="shared" si="312"/>
        <v>0</v>
      </c>
      <c r="Q1188" s="765"/>
      <c r="R1188" s="576">
        <f t="shared" si="308"/>
        <v>0</v>
      </c>
      <c r="S1188" s="576">
        <f t="shared" si="308"/>
        <v>0</v>
      </c>
      <c r="T1188" s="577">
        <f t="shared" si="309"/>
        <v>0</v>
      </c>
      <c r="U1188" s="578">
        <f t="shared" si="310"/>
        <v>0</v>
      </c>
      <c r="V1188" s="579"/>
      <c r="W1188" s="566"/>
      <c r="X1188" s="586" t="str">
        <f t="shared" si="313"/>
        <v/>
      </c>
      <c r="Y1188" s="586" t="str">
        <f t="shared" si="318"/>
        <v/>
      </c>
      <c r="Z1188" s="586" t="str">
        <f t="shared" si="316"/>
        <v/>
      </c>
    </row>
    <row r="1189" spans="1:26" ht="23.25" hidden="1" thickBot="1" x14ac:dyDescent="0.25">
      <c r="A1189" s="567">
        <v>95738</v>
      </c>
      <c r="B1189" s="644">
        <v>95738</v>
      </c>
      <c r="C1189" s="645" t="s">
        <v>670</v>
      </c>
      <c r="D1189" s="422" t="s">
        <v>1040</v>
      </c>
      <c r="E1189" s="423"/>
      <c r="F1189" s="424"/>
      <c r="G1189" s="425"/>
      <c r="H1189" s="651"/>
      <c r="I1189" s="420">
        <v>10.78</v>
      </c>
      <c r="J1189" s="420">
        <f t="shared" si="315"/>
        <v>10.78</v>
      </c>
      <c r="K1189" s="421">
        <f t="shared" si="314"/>
        <v>12.81</v>
      </c>
      <c r="L1189" s="647" t="s">
        <v>2065</v>
      </c>
      <c r="M1189" s="576"/>
      <c r="N1189" s="576">
        <f t="shared" si="317"/>
        <v>0</v>
      </c>
      <c r="O1189" s="577">
        <f t="shared" si="311"/>
        <v>0</v>
      </c>
      <c r="P1189" s="578">
        <f t="shared" si="312"/>
        <v>0</v>
      </c>
      <c r="Q1189" s="765"/>
      <c r="R1189" s="576">
        <f t="shared" si="308"/>
        <v>0</v>
      </c>
      <c r="S1189" s="576">
        <f t="shared" si="308"/>
        <v>0</v>
      </c>
      <c r="T1189" s="577">
        <f t="shared" si="309"/>
        <v>0</v>
      </c>
      <c r="U1189" s="578">
        <f t="shared" si="310"/>
        <v>0</v>
      </c>
      <c r="V1189" s="579"/>
      <c r="W1189" s="566"/>
      <c r="X1189" s="586" t="str">
        <f t="shared" si="313"/>
        <v/>
      </c>
      <c r="Y1189" s="586" t="str">
        <f t="shared" si="318"/>
        <v/>
      </c>
      <c r="Z1189" s="586" t="str">
        <f t="shared" si="316"/>
        <v/>
      </c>
    </row>
    <row r="1190" spans="1:26" ht="23.25" hidden="1" thickBot="1" x14ac:dyDescent="0.25">
      <c r="A1190" s="567">
        <v>95732</v>
      </c>
      <c r="B1190" s="644">
        <v>95732</v>
      </c>
      <c r="C1190" s="645" t="s">
        <v>670</v>
      </c>
      <c r="D1190" s="422" t="s">
        <v>1041</v>
      </c>
      <c r="E1190" s="423"/>
      <c r="F1190" s="424"/>
      <c r="G1190" s="425"/>
      <c r="H1190" s="651"/>
      <c r="I1190" s="420">
        <v>5.17</v>
      </c>
      <c r="J1190" s="420">
        <f t="shared" si="315"/>
        <v>5.17</v>
      </c>
      <c r="K1190" s="421">
        <f t="shared" si="314"/>
        <v>6.14</v>
      </c>
      <c r="L1190" s="647" t="s">
        <v>2065</v>
      </c>
      <c r="M1190" s="576"/>
      <c r="N1190" s="576">
        <f t="shared" si="317"/>
        <v>0</v>
      </c>
      <c r="O1190" s="577">
        <f t="shared" si="311"/>
        <v>0</v>
      </c>
      <c r="P1190" s="578">
        <f t="shared" si="312"/>
        <v>0</v>
      </c>
      <c r="Q1190" s="765"/>
      <c r="R1190" s="576">
        <f t="shared" si="308"/>
        <v>0</v>
      </c>
      <c r="S1190" s="576">
        <f t="shared" si="308"/>
        <v>0</v>
      </c>
      <c r="T1190" s="577">
        <f t="shared" si="309"/>
        <v>0</v>
      </c>
      <c r="U1190" s="578">
        <f t="shared" si="310"/>
        <v>0</v>
      </c>
      <c r="V1190" s="579"/>
      <c r="W1190" s="566"/>
      <c r="X1190" s="586" t="str">
        <f t="shared" si="313"/>
        <v/>
      </c>
      <c r="Y1190" s="586" t="str">
        <f t="shared" si="318"/>
        <v/>
      </c>
      <c r="Z1190" s="586" t="str">
        <f t="shared" si="316"/>
        <v/>
      </c>
    </row>
    <row r="1191" spans="1:26" ht="23.25" hidden="1" thickBot="1" x14ac:dyDescent="0.25">
      <c r="A1191" s="567">
        <v>95745</v>
      </c>
      <c r="B1191" s="644">
        <v>95745</v>
      </c>
      <c r="C1191" s="645" t="s">
        <v>670</v>
      </c>
      <c r="D1191" s="422" t="s">
        <v>1042</v>
      </c>
      <c r="E1191" s="423"/>
      <c r="F1191" s="424"/>
      <c r="G1191" s="425"/>
      <c r="H1191" s="651"/>
      <c r="I1191" s="420">
        <v>24.76</v>
      </c>
      <c r="J1191" s="420">
        <f t="shared" si="315"/>
        <v>24.76</v>
      </c>
      <c r="K1191" s="421">
        <f t="shared" si="314"/>
        <v>29.42</v>
      </c>
      <c r="L1191" s="647" t="s">
        <v>79</v>
      </c>
      <c r="M1191" s="576"/>
      <c r="N1191" s="576">
        <f t="shared" si="317"/>
        <v>0</v>
      </c>
      <c r="O1191" s="577">
        <f t="shared" si="311"/>
        <v>0</v>
      </c>
      <c r="P1191" s="578">
        <f t="shared" si="312"/>
        <v>0</v>
      </c>
      <c r="Q1191" s="765"/>
      <c r="R1191" s="576">
        <f t="shared" si="308"/>
        <v>0</v>
      </c>
      <c r="S1191" s="576">
        <f t="shared" si="308"/>
        <v>0</v>
      </c>
      <c r="T1191" s="577">
        <f t="shared" si="309"/>
        <v>0</v>
      </c>
      <c r="U1191" s="578">
        <f t="shared" si="310"/>
        <v>0</v>
      </c>
      <c r="V1191" s="579"/>
      <c r="W1191" s="566"/>
      <c r="X1191" s="586" t="str">
        <f t="shared" si="313"/>
        <v/>
      </c>
      <c r="Y1191" s="586" t="str">
        <f t="shared" si="318"/>
        <v/>
      </c>
      <c r="Z1191" s="586" t="str">
        <f t="shared" si="316"/>
        <v/>
      </c>
    </row>
    <row r="1192" spans="1:26" ht="23.25" hidden="1" thickBot="1" x14ac:dyDescent="0.25">
      <c r="A1192" s="567">
        <v>95746</v>
      </c>
      <c r="B1192" s="644">
        <v>95746</v>
      </c>
      <c r="C1192" s="645" t="s">
        <v>670</v>
      </c>
      <c r="D1192" s="422" t="s">
        <v>1043</v>
      </c>
      <c r="E1192" s="423"/>
      <c r="F1192" s="424"/>
      <c r="G1192" s="425"/>
      <c r="H1192" s="651"/>
      <c r="I1192" s="420">
        <v>30.83</v>
      </c>
      <c r="J1192" s="420">
        <f t="shared" si="315"/>
        <v>30.83</v>
      </c>
      <c r="K1192" s="421">
        <f t="shared" si="314"/>
        <v>36.630000000000003</v>
      </c>
      <c r="L1192" s="647" t="s">
        <v>79</v>
      </c>
      <c r="M1192" s="576"/>
      <c r="N1192" s="576">
        <f t="shared" si="317"/>
        <v>0</v>
      </c>
      <c r="O1192" s="577">
        <f t="shared" si="311"/>
        <v>0</v>
      </c>
      <c r="P1192" s="578">
        <f t="shared" si="312"/>
        <v>0</v>
      </c>
      <c r="Q1192" s="765"/>
      <c r="R1192" s="576">
        <f t="shared" si="308"/>
        <v>0</v>
      </c>
      <c r="S1192" s="576">
        <f t="shared" si="308"/>
        <v>0</v>
      </c>
      <c r="T1192" s="577">
        <f t="shared" si="309"/>
        <v>0</v>
      </c>
      <c r="U1192" s="578">
        <f t="shared" si="310"/>
        <v>0</v>
      </c>
      <c r="V1192" s="579"/>
      <c r="W1192" s="566"/>
      <c r="X1192" s="586" t="str">
        <f t="shared" si="313"/>
        <v/>
      </c>
      <c r="Y1192" s="586" t="str">
        <f t="shared" si="318"/>
        <v/>
      </c>
      <c r="Z1192" s="586" t="str">
        <f t="shared" si="316"/>
        <v/>
      </c>
    </row>
    <row r="1193" spans="1:26" ht="23.25" hidden="1" thickBot="1" x14ac:dyDescent="0.25">
      <c r="A1193" s="567">
        <v>95747</v>
      </c>
      <c r="B1193" s="644">
        <v>95747</v>
      </c>
      <c r="C1193" s="645" t="s">
        <v>670</v>
      </c>
      <c r="D1193" s="422" t="s">
        <v>1044</v>
      </c>
      <c r="E1193" s="423"/>
      <c r="F1193" s="424"/>
      <c r="G1193" s="425"/>
      <c r="H1193" s="651"/>
      <c r="I1193" s="420">
        <v>51.35</v>
      </c>
      <c r="J1193" s="420">
        <f t="shared" si="315"/>
        <v>51.35</v>
      </c>
      <c r="K1193" s="421">
        <f t="shared" si="314"/>
        <v>61.01</v>
      </c>
      <c r="L1193" s="647" t="s">
        <v>79</v>
      </c>
      <c r="M1193" s="576"/>
      <c r="N1193" s="576">
        <f t="shared" si="317"/>
        <v>0</v>
      </c>
      <c r="O1193" s="577">
        <f t="shared" si="311"/>
        <v>0</v>
      </c>
      <c r="P1193" s="578">
        <f t="shared" si="312"/>
        <v>0</v>
      </c>
      <c r="Q1193" s="765"/>
      <c r="R1193" s="576">
        <f t="shared" si="308"/>
        <v>0</v>
      </c>
      <c r="S1193" s="576">
        <f t="shared" si="308"/>
        <v>0</v>
      </c>
      <c r="T1193" s="577">
        <f t="shared" si="309"/>
        <v>0</v>
      </c>
      <c r="U1193" s="578">
        <f t="shared" si="310"/>
        <v>0</v>
      </c>
      <c r="V1193" s="579"/>
      <c r="W1193" s="566"/>
      <c r="X1193" s="586" t="str">
        <f t="shared" si="313"/>
        <v/>
      </c>
      <c r="Y1193" s="586" t="str">
        <f t="shared" si="318"/>
        <v/>
      </c>
      <c r="Z1193" s="586" t="str">
        <f t="shared" si="316"/>
        <v/>
      </c>
    </row>
    <row r="1194" spans="1:26" ht="23.25" hidden="1" thickBot="1" x14ac:dyDescent="0.25">
      <c r="A1194" s="567">
        <v>95748</v>
      </c>
      <c r="B1194" s="644">
        <v>95748</v>
      </c>
      <c r="C1194" s="645" t="s">
        <v>670</v>
      </c>
      <c r="D1194" s="422" t="s">
        <v>1045</v>
      </c>
      <c r="E1194" s="423"/>
      <c r="F1194" s="424"/>
      <c r="G1194" s="425"/>
      <c r="H1194" s="651"/>
      <c r="I1194" s="420">
        <v>55.37</v>
      </c>
      <c r="J1194" s="420">
        <f t="shared" si="315"/>
        <v>55.37</v>
      </c>
      <c r="K1194" s="421">
        <f t="shared" si="314"/>
        <v>65.790000000000006</v>
      </c>
      <c r="L1194" s="647" t="s">
        <v>79</v>
      </c>
      <c r="M1194" s="576"/>
      <c r="N1194" s="576">
        <f t="shared" si="317"/>
        <v>0</v>
      </c>
      <c r="O1194" s="577">
        <f t="shared" si="311"/>
        <v>0</v>
      </c>
      <c r="P1194" s="578">
        <f t="shared" si="312"/>
        <v>0</v>
      </c>
      <c r="Q1194" s="765"/>
      <c r="R1194" s="576">
        <f t="shared" si="308"/>
        <v>0</v>
      </c>
      <c r="S1194" s="576">
        <f t="shared" si="308"/>
        <v>0</v>
      </c>
      <c r="T1194" s="577">
        <f t="shared" si="309"/>
        <v>0</v>
      </c>
      <c r="U1194" s="578">
        <f t="shared" si="310"/>
        <v>0</v>
      </c>
      <c r="V1194" s="579"/>
      <c r="W1194" s="566"/>
      <c r="X1194" s="586" t="str">
        <f t="shared" si="313"/>
        <v/>
      </c>
      <c r="Y1194" s="586" t="str">
        <f t="shared" si="318"/>
        <v/>
      </c>
      <c r="Z1194" s="586" t="str">
        <f t="shared" si="316"/>
        <v/>
      </c>
    </row>
    <row r="1195" spans="1:26" ht="23.25" hidden="1" thickBot="1" x14ac:dyDescent="0.25">
      <c r="A1195" s="567">
        <v>95749</v>
      </c>
      <c r="B1195" s="644">
        <v>95749</v>
      </c>
      <c r="C1195" s="645" t="s">
        <v>670</v>
      </c>
      <c r="D1195" s="422" t="s">
        <v>1046</v>
      </c>
      <c r="E1195" s="423"/>
      <c r="F1195" s="424"/>
      <c r="G1195" s="425"/>
      <c r="H1195" s="651"/>
      <c r="I1195" s="420">
        <v>31.99</v>
      </c>
      <c r="J1195" s="420">
        <f t="shared" si="315"/>
        <v>31.99</v>
      </c>
      <c r="K1195" s="421">
        <f t="shared" si="314"/>
        <v>38.01</v>
      </c>
      <c r="L1195" s="647" t="s">
        <v>79</v>
      </c>
      <c r="M1195" s="576"/>
      <c r="N1195" s="576">
        <f t="shared" si="317"/>
        <v>0</v>
      </c>
      <c r="O1195" s="577">
        <f t="shared" si="311"/>
        <v>0</v>
      </c>
      <c r="P1195" s="578">
        <f t="shared" si="312"/>
        <v>0</v>
      </c>
      <c r="Q1195" s="765"/>
      <c r="R1195" s="576">
        <f t="shared" si="308"/>
        <v>0</v>
      </c>
      <c r="S1195" s="576">
        <f t="shared" si="308"/>
        <v>0</v>
      </c>
      <c r="T1195" s="577">
        <f t="shared" si="309"/>
        <v>0</v>
      </c>
      <c r="U1195" s="578">
        <f t="shared" si="310"/>
        <v>0</v>
      </c>
      <c r="V1195" s="579"/>
      <c r="W1195" s="566"/>
      <c r="X1195" s="586" t="str">
        <f t="shared" si="313"/>
        <v/>
      </c>
      <c r="Y1195" s="586" t="str">
        <f t="shared" si="318"/>
        <v/>
      </c>
      <c r="Z1195" s="586" t="str">
        <f t="shared" si="316"/>
        <v/>
      </c>
    </row>
    <row r="1196" spans="1:26" ht="23.25" hidden="1" thickBot="1" x14ac:dyDescent="0.25">
      <c r="A1196" s="567">
        <v>95750</v>
      </c>
      <c r="B1196" s="644">
        <v>95750</v>
      </c>
      <c r="C1196" s="645" t="s">
        <v>670</v>
      </c>
      <c r="D1196" s="422" t="s">
        <v>1047</v>
      </c>
      <c r="E1196" s="423"/>
      <c r="F1196" s="424"/>
      <c r="G1196" s="425"/>
      <c r="H1196" s="651"/>
      <c r="I1196" s="420">
        <v>37.89</v>
      </c>
      <c r="J1196" s="420">
        <f t="shared" si="315"/>
        <v>37.89</v>
      </c>
      <c r="K1196" s="421">
        <f t="shared" si="314"/>
        <v>45.02</v>
      </c>
      <c r="L1196" s="647" t="s">
        <v>79</v>
      </c>
      <c r="M1196" s="576"/>
      <c r="N1196" s="576">
        <f t="shared" si="317"/>
        <v>0</v>
      </c>
      <c r="O1196" s="577">
        <f t="shared" si="311"/>
        <v>0</v>
      </c>
      <c r="P1196" s="578">
        <f t="shared" si="312"/>
        <v>0</v>
      </c>
      <c r="Q1196" s="765"/>
      <c r="R1196" s="576">
        <f t="shared" si="308"/>
        <v>0</v>
      </c>
      <c r="S1196" s="576">
        <f t="shared" si="308"/>
        <v>0</v>
      </c>
      <c r="T1196" s="577">
        <f t="shared" si="309"/>
        <v>0</v>
      </c>
      <c r="U1196" s="578">
        <f t="shared" si="310"/>
        <v>0</v>
      </c>
      <c r="V1196" s="579"/>
      <c r="W1196" s="566"/>
      <c r="X1196" s="586" t="str">
        <f t="shared" si="313"/>
        <v/>
      </c>
      <c r="Y1196" s="586" t="str">
        <f t="shared" si="318"/>
        <v/>
      </c>
      <c r="Z1196" s="586" t="str">
        <f t="shared" si="316"/>
        <v/>
      </c>
    </row>
    <row r="1197" spans="1:26" ht="23.25" hidden="1" thickBot="1" x14ac:dyDescent="0.25">
      <c r="A1197" s="567">
        <v>95751</v>
      </c>
      <c r="B1197" s="644">
        <v>95751</v>
      </c>
      <c r="C1197" s="645" t="s">
        <v>670</v>
      </c>
      <c r="D1197" s="422" t="s">
        <v>1048</v>
      </c>
      <c r="E1197" s="423"/>
      <c r="F1197" s="424"/>
      <c r="G1197" s="425"/>
      <c r="H1197" s="651"/>
      <c r="I1197" s="420">
        <v>58.19</v>
      </c>
      <c r="J1197" s="420">
        <f t="shared" si="315"/>
        <v>58.19</v>
      </c>
      <c r="K1197" s="421">
        <f t="shared" si="314"/>
        <v>69.14</v>
      </c>
      <c r="L1197" s="647" t="s">
        <v>79</v>
      </c>
      <c r="M1197" s="576"/>
      <c r="N1197" s="576">
        <f t="shared" si="317"/>
        <v>0</v>
      </c>
      <c r="O1197" s="577">
        <f t="shared" si="311"/>
        <v>0</v>
      </c>
      <c r="P1197" s="578">
        <f t="shared" si="312"/>
        <v>0</v>
      </c>
      <c r="Q1197" s="765"/>
      <c r="R1197" s="576">
        <f t="shared" si="308"/>
        <v>0</v>
      </c>
      <c r="S1197" s="576">
        <f t="shared" si="308"/>
        <v>0</v>
      </c>
      <c r="T1197" s="577">
        <f t="shared" si="309"/>
        <v>0</v>
      </c>
      <c r="U1197" s="578">
        <f t="shared" si="310"/>
        <v>0</v>
      </c>
      <c r="V1197" s="579"/>
      <c r="W1197" s="566"/>
      <c r="X1197" s="586" t="str">
        <f t="shared" si="313"/>
        <v/>
      </c>
      <c r="Y1197" s="586" t="str">
        <f t="shared" si="318"/>
        <v/>
      </c>
      <c r="Z1197" s="586" t="str">
        <f t="shared" si="316"/>
        <v/>
      </c>
    </row>
    <row r="1198" spans="1:26" ht="23.25" hidden="1" thickBot="1" x14ac:dyDescent="0.25">
      <c r="A1198" s="567">
        <v>95752</v>
      </c>
      <c r="B1198" s="644">
        <v>95752</v>
      </c>
      <c r="C1198" s="645" t="s">
        <v>670</v>
      </c>
      <c r="D1198" s="422" t="s">
        <v>1049</v>
      </c>
      <c r="E1198" s="423"/>
      <c r="F1198" s="424"/>
      <c r="G1198" s="425"/>
      <c r="H1198" s="651"/>
      <c r="I1198" s="420">
        <v>61.97</v>
      </c>
      <c r="J1198" s="420">
        <f t="shared" si="315"/>
        <v>61.97</v>
      </c>
      <c r="K1198" s="421">
        <f t="shared" si="314"/>
        <v>73.63</v>
      </c>
      <c r="L1198" s="647" t="s">
        <v>79</v>
      </c>
      <c r="M1198" s="576"/>
      <c r="N1198" s="576">
        <f t="shared" si="317"/>
        <v>0</v>
      </c>
      <c r="O1198" s="577">
        <f t="shared" si="311"/>
        <v>0</v>
      </c>
      <c r="P1198" s="578">
        <f t="shared" si="312"/>
        <v>0</v>
      </c>
      <c r="Q1198" s="765"/>
      <c r="R1198" s="576">
        <f t="shared" si="308"/>
        <v>0</v>
      </c>
      <c r="S1198" s="576">
        <f t="shared" si="308"/>
        <v>0</v>
      </c>
      <c r="T1198" s="577">
        <f t="shared" si="309"/>
        <v>0</v>
      </c>
      <c r="U1198" s="578">
        <f t="shared" si="310"/>
        <v>0</v>
      </c>
      <c r="V1198" s="579"/>
      <c r="W1198" s="566"/>
      <c r="X1198" s="586" t="str">
        <f t="shared" si="313"/>
        <v/>
      </c>
      <c r="Y1198" s="586" t="str">
        <f t="shared" si="318"/>
        <v/>
      </c>
      <c r="Z1198" s="586" t="str">
        <f t="shared" si="316"/>
        <v/>
      </c>
    </row>
    <row r="1199" spans="1:26" ht="23.25" hidden="1" thickBot="1" x14ac:dyDescent="0.25">
      <c r="A1199" s="567">
        <v>95753</v>
      </c>
      <c r="B1199" s="644">
        <v>95753</v>
      </c>
      <c r="C1199" s="645" t="s">
        <v>670</v>
      </c>
      <c r="D1199" s="422" t="s">
        <v>1050</v>
      </c>
      <c r="E1199" s="423"/>
      <c r="F1199" s="424"/>
      <c r="G1199" s="425"/>
      <c r="H1199" s="651"/>
      <c r="I1199" s="420">
        <v>8.07</v>
      </c>
      <c r="J1199" s="420">
        <f t="shared" si="315"/>
        <v>8.07</v>
      </c>
      <c r="K1199" s="421">
        <f t="shared" si="314"/>
        <v>9.59</v>
      </c>
      <c r="L1199" s="647" t="s">
        <v>2065</v>
      </c>
      <c r="M1199" s="576"/>
      <c r="N1199" s="576">
        <f t="shared" si="317"/>
        <v>0</v>
      </c>
      <c r="O1199" s="577">
        <f t="shared" si="311"/>
        <v>0</v>
      </c>
      <c r="P1199" s="578">
        <f t="shared" si="312"/>
        <v>0</v>
      </c>
      <c r="Q1199" s="765"/>
      <c r="R1199" s="576">
        <f t="shared" si="308"/>
        <v>0</v>
      </c>
      <c r="S1199" s="576">
        <f t="shared" si="308"/>
        <v>0</v>
      </c>
      <c r="T1199" s="577">
        <f t="shared" si="309"/>
        <v>0</v>
      </c>
      <c r="U1199" s="578">
        <f t="shared" si="310"/>
        <v>0</v>
      </c>
      <c r="V1199" s="579"/>
      <c r="W1199" s="566"/>
      <c r="X1199" s="586" t="str">
        <f t="shared" si="313"/>
        <v/>
      </c>
      <c r="Y1199" s="586" t="str">
        <f t="shared" si="318"/>
        <v/>
      </c>
      <c r="Z1199" s="586" t="str">
        <f t="shared" si="316"/>
        <v/>
      </c>
    </row>
    <row r="1200" spans="1:26" ht="23.25" hidden="1" thickBot="1" x14ac:dyDescent="0.25">
      <c r="A1200" s="567">
        <v>95754</v>
      </c>
      <c r="B1200" s="644">
        <v>95754</v>
      </c>
      <c r="C1200" s="645" t="s">
        <v>670</v>
      </c>
      <c r="D1200" s="422" t="s">
        <v>1051</v>
      </c>
      <c r="E1200" s="423"/>
      <c r="F1200" s="424"/>
      <c r="G1200" s="425"/>
      <c r="H1200" s="651"/>
      <c r="I1200" s="420">
        <v>10.039999999999999</v>
      </c>
      <c r="J1200" s="420">
        <f t="shared" si="315"/>
        <v>10.039999999999999</v>
      </c>
      <c r="K1200" s="421">
        <f t="shared" si="314"/>
        <v>11.93</v>
      </c>
      <c r="L1200" s="647" t="s">
        <v>2065</v>
      </c>
      <c r="M1200" s="576"/>
      <c r="N1200" s="576">
        <f t="shared" si="317"/>
        <v>0</v>
      </c>
      <c r="O1200" s="577">
        <f t="shared" si="311"/>
        <v>0</v>
      </c>
      <c r="P1200" s="578">
        <f t="shared" si="312"/>
        <v>0</v>
      </c>
      <c r="Q1200" s="765"/>
      <c r="R1200" s="576">
        <f t="shared" si="308"/>
        <v>0</v>
      </c>
      <c r="S1200" s="576">
        <f t="shared" si="308"/>
        <v>0</v>
      </c>
      <c r="T1200" s="577">
        <f t="shared" si="309"/>
        <v>0</v>
      </c>
      <c r="U1200" s="578">
        <f t="shared" si="310"/>
        <v>0</v>
      </c>
      <c r="V1200" s="579"/>
      <c r="W1200" s="566"/>
      <c r="X1200" s="586" t="str">
        <f t="shared" si="313"/>
        <v/>
      </c>
      <c r="Y1200" s="586" t="str">
        <f t="shared" si="318"/>
        <v/>
      </c>
      <c r="Z1200" s="586" t="str">
        <f t="shared" si="316"/>
        <v/>
      </c>
    </row>
    <row r="1201" spans="1:26" ht="23.25" hidden="1" thickBot="1" x14ac:dyDescent="0.25">
      <c r="A1201" s="567">
        <v>95755</v>
      </c>
      <c r="B1201" s="644">
        <v>95755</v>
      </c>
      <c r="C1201" s="645" t="s">
        <v>670</v>
      </c>
      <c r="D1201" s="422" t="s">
        <v>1052</v>
      </c>
      <c r="E1201" s="423"/>
      <c r="F1201" s="424"/>
      <c r="G1201" s="425"/>
      <c r="H1201" s="651"/>
      <c r="I1201" s="420">
        <v>14.51</v>
      </c>
      <c r="J1201" s="420">
        <f t="shared" si="315"/>
        <v>14.51</v>
      </c>
      <c r="K1201" s="421">
        <f t="shared" si="314"/>
        <v>17.239999999999998</v>
      </c>
      <c r="L1201" s="647" t="s">
        <v>2065</v>
      </c>
      <c r="M1201" s="576"/>
      <c r="N1201" s="576">
        <f t="shared" si="317"/>
        <v>0</v>
      </c>
      <c r="O1201" s="577">
        <f t="shared" si="311"/>
        <v>0</v>
      </c>
      <c r="P1201" s="578">
        <f t="shared" si="312"/>
        <v>0</v>
      </c>
      <c r="Q1201" s="765"/>
      <c r="R1201" s="576">
        <f t="shared" si="308"/>
        <v>0</v>
      </c>
      <c r="S1201" s="576">
        <f t="shared" si="308"/>
        <v>0</v>
      </c>
      <c r="T1201" s="577">
        <f t="shared" si="309"/>
        <v>0</v>
      </c>
      <c r="U1201" s="578">
        <f t="shared" si="310"/>
        <v>0</v>
      </c>
      <c r="V1201" s="579"/>
      <c r="W1201" s="566"/>
      <c r="X1201" s="586" t="str">
        <f t="shared" si="313"/>
        <v/>
      </c>
      <c r="Y1201" s="586" t="str">
        <f t="shared" si="318"/>
        <v/>
      </c>
      <c r="Z1201" s="586" t="str">
        <f t="shared" si="316"/>
        <v/>
      </c>
    </row>
    <row r="1202" spans="1:26" ht="23.25" hidden="1" thickBot="1" x14ac:dyDescent="0.25">
      <c r="A1202" s="567">
        <v>95756</v>
      </c>
      <c r="B1202" s="644">
        <v>95756</v>
      </c>
      <c r="C1202" s="645" t="s">
        <v>670</v>
      </c>
      <c r="D1202" s="422" t="s">
        <v>1053</v>
      </c>
      <c r="E1202" s="423"/>
      <c r="F1202" s="424"/>
      <c r="G1202" s="425"/>
      <c r="H1202" s="651"/>
      <c r="I1202" s="420">
        <v>19.36</v>
      </c>
      <c r="J1202" s="420">
        <f t="shared" si="315"/>
        <v>19.36</v>
      </c>
      <c r="K1202" s="421">
        <f t="shared" si="314"/>
        <v>23</v>
      </c>
      <c r="L1202" s="647" t="s">
        <v>2065</v>
      </c>
      <c r="M1202" s="576"/>
      <c r="N1202" s="576">
        <f t="shared" si="317"/>
        <v>0</v>
      </c>
      <c r="O1202" s="577">
        <f t="shared" si="311"/>
        <v>0</v>
      </c>
      <c r="P1202" s="578">
        <f t="shared" si="312"/>
        <v>0</v>
      </c>
      <c r="Q1202" s="765"/>
      <c r="R1202" s="576">
        <f t="shared" si="308"/>
        <v>0</v>
      </c>
      <c r="S1202" s="576">
        <f t="shared" si="308"/>
        <v>0</v>
      </c>
      <c r="T1202" s="577">
        <f t="shared" si="309"/>
        <v>0</v>
      </c>
      <c r="U1202" s="578">
        <f t="shared" si="310"/>
        <v>0</v>
      </c>
      <c r="V1202" s="579"/>
      <c r="W1202" s="566"/>
      <c r="X1202" s="586" t="str">
        <f t="shared" si="313"/>
        <v/>
      </c>
      <c r="Y1202" s="586" t="str">
        <f t="shared" si="318"/>
        <v/>
      </c>
      <c r="Z1202" s="586" t="str">
        <f t="shared" si="316"/>
        <v/>
      </c>
    </row>
    <row r="1203" spans="1:26" ht="23.25" hidden="1" thickBot="1" x14ac:dyDescent="0.25">
      <c r="A1203" s="567">
        <v>95757</v>
      </c>
      <c r="B1203" s="644">
        <v>95757</v>
      </c>
      <c r="C1203" s="645" t="s">
        <v>670</v>
      </c>
      <c r="D1203" s="422" t="s">
        <v>1054</v>
      </c>
      <c r="E1203" s="423"/>
      <c r="F1203" s="424"/>
      <c r="G1203" s="425"/>
      <c r="H1203" s="651"/>
      <c r="I1203" s="420">
        <v>12.08</v>
      </c>
      <c r="J1203" s="420">
        <f t="shared" si="315"/>
        <v>12.08</v>
      </c>
      <c r="K1203" s="421">
        <f t="shared" si="314"/>
        <v>14.35</v>
      </c>
      <c r="L1203" s="647" t="s">
        <v>2065</v>
      </c>
      <c r="M1203" s="576"/>
      <c r="N1203" s="576">
        <f t="shared" si="317"/>
        <v>0</v>
      </c>
      <c r="O1203" s="577">
        <f t="shared" si="311"/>
        <v>0</v>
      </c>
      <c r="P1203" s="578">
        <f t="shared" si="312"/>
        <v>0</v>
      </c>
      <c r="Q1203" s="765"/>
      <c r="R1203" s="576">
        <f t="shared" si="308"/>
        <v>0</v>
      </c>
      <c r="S1203" s="576">
        <f t="shared" si="308"/>
        <v>0</v>
      </c>
      <c r="T1203" s="577">
        <f t="shared" si="309"/>
        <v>0</v>
      </c>
      <c r="U1203" s="578">
        <f t="shared" si="310"/>
        <v>0</v>
      </c>
      <c r="V1203" s="579"/>
      <c r="W1203" s="566"/>
      <c r="X1203" s="586" t="str">
        <f t="shared" si="313"/>
        <v/>
      </c>
      <c r="Y1203" s="586" t="str">
        <f t="shared" si="318"/>
        <v/>
      </c>
      <c r="Z1203" s="586" t="str">
        <f t="shared" si="316"/>
        <v/>
      </c>
    </row>
    <row r="1204" spans="1:26" ht="23.25" hidden="1" thickBot="1" x14ac:dyDescent="0.25">
      <c r="A1204" s="567">
        <v>95758</v>
      </c>
      <c r="B1204" s="644">
        <v>95758</v>
      </c>
      <c r="C1204" s="645" t="s">
        <v>670</v>
      </c>
      <c r="D1204" s="422" t="s">
        <v>1055</v>
      </c>
      <c r="E1204" s="423"/>
      <c r="F1204" s="424"/>
      <c r="G1204" s="425"/>
      <c r="H1204" s="651"/>
      <c r="I1204" s="420">
        <v>13.58</v>
      </c>
      <c r="J1204" s="420">
        <f t="shared" si="315"/>
        <v>13.58</v>
      </c>
      <c r="K1204" s="421">
        <f t="shared" si="314"/>
        <v>16.13</v>
      </c>
      <c r="L1204" s="647" t="s">
        <v>2065</v>
      </c>
      <c r="M1204" s="576"/>
      <c r="N1204" s="576">
        <f t="shared" si="317"/>
        <v>0</v>
      </c>
      <c r="O1204" s="577">
        <f t="shared" si="311"/>
        <v>0</v>
      </c>
      <c r="P1204" s="578">
        <f t="shared" si="312"/>
        <v>0</v>
      </c>
      <c r="Q1204" s="765"/>
      <c r="R1204" s="576">
        <f t="shared" ref="R1204:S1257" si="319">M1204</f>
        <v>0</v>
      </c>
      <c r="S1204" s="576">
        <f t="shared" si="319"/>
        <v>0</v>
      </c>
      <c r="T1204" s="577">
        <f t="shared" ref="T1204:T1267" si="320">IF(ISBLANK(R1204),0,ROUND(K1204*R1204,2))</f>
        <v>0</v>
      </c>
      <c r="U1204" s="578">
        <f t="shared" ref="U1204:U1267" si="321">IF(ISBLANK(R1204),0,ROUND(R1204*S1204,2))</f>
        <v>0</v>
      </c>
      <c r="V1204" s="579"/>
      <c r="W1204" s="566"/>
      <c r="X1204" s="586" t="str">
        <f t="shared" si="313"/>
        <v/>
      </c>
      <c r="Y1204" s="586" t="str">
        <f t="shared" si="318"/>
        <v/>
      </c>
      <c r="Z1204" s="586" t="str">
        <f t="shared" si="316"/>
        <v/>
      </c>
    </row>
    <row r="1205" spans="1:26" ht="23.25" hidden="1" thickBot="1" x14ac:dyDescent="0.25">
      <c r="A1205" s="567">
        <v>95759</v>
      </c>
      <c r="B1205" s="644">
        <v>95759</v>
      </c>
      <c r="C1205" s="645" t="s">
        <v>670</v>
      </c>
      <c r="D1205" s="422" t="s">
        <v>1056</v>
      </c>
      <c r="E1205" s="423"/>
      <c r="F1205" s="424"/>
      <c r="G1205" s="425"/>
      <c r="H1205" s="651"/>
      <c r="I1205" s="420">
        <v>17.38</v>
      </c>
      <c r="J1205" s="420">
        <f t="shared" si="315"/>
        <v>17.38</v>
      </c>
      <c r="K1205" s="421">
        <f t="shared" si="314"/>
        <v>20.65</v>
      </c>
      <c r="L1205" s="647" t="s">
        <v>2065</v>
      </c>
      <c r="M1205" s="576"/>
      <c r="N1205" s="576">
        <f t="shared" si="317"/>
        <v>0</v>
      </c>
      <c r="O1205" s="577">
        <f t="shared" ref="O1205:O1268" si="322">IF(ISBLANK(M1205),0,ROUND(K1205*M1205,2))</f>
        <v>0</v>
      </c>
      <c r="P1205" s="578">
        <f t="shared" ref="P1205:P1268" si="323">IF(ISBLANK(N1205),0,ROUND(M1205*N1205,2))</f>
        <v>0</v>
      </c>
      <c r="Q1205" s="765"/>
      <c r="R1205" s="576">
        <f t="shared" si="319"/>
        <v>0</v>
      </c>
      <c r="S1205" s="576">
        <f t="shared" si="319"/>
        <v>0</v>
      </c>
      <c r="T1205" s="577">
        <f t="shared" si="320"/>
        <v>0</v>
      </c>
      <c r="U1205" s="578">
        <f t="shared" si="321"/>
        <v>0</v>
      </c>
      <c r="V1205" s="579"/>
      <c r="W1205" s="566"/>
      <c r="X1205" s="586" t="str">
        <f t="shared" si="313"/>
        <v/>
      </c>
      <c r="Y1205" s="586" t="str">
        <f t="shared" si="318"/>
        <v/>
      </c>
      <c r="Z1205" s="586" t="str">
        <f t="shared" si="316"/>
        <v/>
      </c>
    </row>
    <row r="1206" spans="1:26" ht="23.25" hidden="1" thickBot="1" x14ac:dyDescent="0.25">
      <c r="A1206" s="567">
        <v>95760</v>
      </c>
      <c r="B1206" s="644">
        <v>95760</v>
      </c>
      <c r="C1206" s="645" t="s">
        <v>670</v>
      </c>
      <c r="D1206" s="422" t="s">
        <v>1057</v>
      </c>
      <c r="E1206" s="423"/>
      <c r="F1206" s="424"/>
      <c r="G1206" s="425"/>
      <c r="H1206" s="651"/>
      <c r="I1206" s="420">
        <v>21.47</v>
      </c>
      <c r="J1206" s="420">
        <f t="shared" si="315"/>
        <v>21.47</v>
      </c>
      <c r="K1206" s="421">
        <f t="shared" si="314"/>
        <v>25.51</v>
      </c>
      <c r="L1206" s="647" t="s">
        <v>2065</v>
      </c>
      <c r="M1206" s="576"/>
      <c r="N1206" s="576">
        <f t="shared" si="317"/>
        <v>0</v>
      </c>
      <c r="O1206" s="577">
        <f t="shared" si="322"/>
        <v>0</v>
      </c>
      <c r="P1206" s="578">
        <f t="shared" si="323"/>
        <v>0</v>
      </c>
      <c r="Q1206" s="765"/>
      <c r="R1206" s="576">
        <f t="shared" si="319"/>
        <v>0</v>
      </c>
      <c r="S1206" s="576">
        <f t="shared" si="319"/>
        <v>0</v>
      </c>
      <c r="T1206" s="577">
        <f t="shared" si="320"/>
        <v>0</v>
      </c>
      <c r="U1206" s="578">
        <f t="shared" si="321"/>
        <v>0</v>
      </c>
      <c r="V1206" s="579"/>
      <c r="W1206" s="566"/>
      <c r="X1206" s="586" t="str">
        <f t="shared" si="313"/>
        <v/>
      </c>
      <c r="Y1206" s="586" t="str">
        <f t="shared" si="318"/>
        <v/>
      </c>
      <c r="Z1206" s="586" t="str">
        <f t="shared" si="316"/>
        <v/>
      </c>
    </row>
    <row r="1207" spans="1:26" ht="23.25" hidden="1" thickBot="1" x14ac:dyDescent="0.25">
      <c r="A1207" s="567">
        <v>91839</v>
      </c>
      <c r="B1207" s="644">
        <v>91839</v>
      </c>
      <c r="C1207" s="645" t="s">
        <v>670</v>
      </c>
      <c r="D1207" s="422" t="s">
        <v>1058</v>
      </c>
      <c r="E1207" s="423"/>
      <c r="F1207" s="424"/>
      <c r="G1207" s="425"/>
      <c r="H1207" s="651"/>
      <c r="I1207" s="420">
        <v>10.48</v>
      </c>
      <c r="J1207" s="420">
        <f t="shared" si="315"/>
        <v>10.48</v>
      </c>
      <c r="K1207" s="421">
        <f t="shared" si="314"/>
        <v>12.45</v>
      </c>
      <c r="L1207" s="647" t="s">
        <v>79</v>
      </c>
      <c r="M1207" s="576"/>
      <c r="N1207" s="576">
        <f t="shared" si="317"/>
        <v>0</v>
      </c>
      <c r="O1207" s="577">
        <f t="shared" si="322"/>
        <v>0</v>
      </c>
      <c r="P1207" s="578">
        <f t="shared" si="323"/>
        <v>0</v>
      </c>
      <c r="Q1207" s="765"/>
      <c r="R1207" s="576">
        <f t="shared" si="319"/>
        <v>0</v>
      </c>
      <c r="S1207" s="576">
        <f t="shared" si="319"/>
        <v>0</v>
      </c>
      <c r="T1207" s="577">
        <f t="shared" si="320"/>
        <v>0</v>
      </c>
      <c r="U1207" s="578">
        <f t="shared" si="321"/>
        <v>0</v>
      </c>
      <c r="V1207" s="579"/>
      <c r="W1207" s="566"/>
      <c r="X1207" s="586" t="str">
        <f t="shared" si="313"/>
        <v/>
      </c>
      <c r="Y1207" s="586" t="str">
        <f t="shared" si="318"/>
        <v/>
      </c>
      <c r="Z1207" s="586" t="str">
        <f t="shared" si="316"/>
        <v/>
      </c>
    </row>
    <row r="1208" spans="1:26" ht="23.25" hidden="1" thickBot="1" x14ac:dyDescent="0.25">
      <c r="A1208" s="567">
        <v>91840</v>
      </c>
      <c r="B1208" s="644">
        <v>91840</v>
      </c>
      <c r="C1208" s="645" t="s">
        <v>670</v>
      </c>
      <c r="D1208" s="422" t="s">
        <v>1059</v>
      </c>
      <c r="E1208" s="423"/>
      <c r="F1208" s="424"/>
      <c r="G1208" s="425"/>
      <c r="H1208" s="651"/>
      <c r="I1208" s="420">
        <v>13.02</v>
      </c>
      <c r="J1208" s="420">
        <f t="shared" si="315"/>
        <v>13.02</v>
      </c>
      <c r="K1208" s="421">
        <f t="shared" si="314"/>
        <v>15.47</v>
      </c>
      <c r="L1208" s="647" t="s">
        <v>79</v>
      </c>
      <c r="M1208" s="576"/>
      <c r="N1208" s="576">
        <f t="shared" si="317"/>
        <v>0</v>
      </c>
      <c r="O1208" s="577">
        <f t="shared" si="322"/>
        <v>0</v>
      </c>
      <c r="P1208" s="578">
        <f t="shared" si="323"/>
        <v>0</v>
      </c>
      <c r="Q1208" s="765"/>
      <c r="R1208" s="576">
        <f t="shared" si="319"/>
        <v>0</v>
      </c>
      <c r="S1208" s="576">
        <f t="shared" si="319"/>
        <v>0</v>
      </c>
      <c r="T1208" s="577">
        <f t="shared" si="320"/>
        <v>0</v>
      </c>
      <c r="U1208" s="578">
        <f t="shared" si="321"/>
        <v>0</v>
      </c>
      <c r="V1208" s="579"/>
      <c r="W1208" s="566"/>
      <c r="X1208" s="586" t="str">
        <f t="shared" si="313"/>
        <v/>
      </c>
      <c r="Y1208" s="586" t="str">
        <f t="shared" si="318"/>
        <v/>
      </c>
      <c r="Z1208" s="586" t="str">
        <f t="shared" si="316"/>
        <v/>
      </c>
    </row>
    <row r="1209" spans="1:26" ht="23.25" hidden="1" thickBot="1" x14ac:dyDescent="0.25">
      <c r="A1209" s="567">
        <v>91841</v>
      </c>
      <c r="B1209" s="644">
        <v>91841</v>
      </c>
      <c r="C1209" s="645" t="s">
        <v>670</v>
      </c>
      <c r="D1209" s="422" t="s">
        <v>1060</v>
      </c>
      <c r="E1209" s="423"/>
      <c r="F1209" s="424"/>
      <c r="G1209" s="425"/>
      <c r="H1209" s="651"/>
      <c r="I1209" s="420">
        <v>12.42</v>
      </c>
      <c r="J1209" s="420">
        <f t="shared" si="315"/>
        <v>12.42</v>
      </c>
      <c r="K1209" s="421">
        <f t="shared" si="314"/>
        <v>14.76</v>
      </c>
      <c r="L1209" s="647" t="s">
        <v>79</v>
      </c>
      <c r="M1209" s="576"/>
      <c r="N1209" s="576">
        <f t="shared" si="317"/>
        <v>0</v>
      </c>
      <c r="O1209" s="577">
        <f t="shared" si="322"/>
        <v>0</v>
      </c>
      <c r="P1209" s="578">
        <f t="shared" si="323"/>
        <v>0</v>
      </c>
      <c r="Q1209" s="765"/>
      <c r="R1209" s="576">
        <f t="shared" si="319"/>
        <v>0</v>
      </c>
      <c r="S1209" s="576">
        <f t="shared" si="319"/>
        <v>0</v>
      </c>
      <c r="T1209" s="577">
        <f t="shared" si="320"/>
        <v>0</v>
      </c>
      <c r="U1209" s="578">
        <f t="shared" si="321"/>
        <v>0</v>
      </c>
      <c r="V1209" s="579"/>
      <c r="W1209" s="566"/>
      <c r="X1209" s="586" t="str">
        <f t="shared" si="313"/>
        <v/>
      </c>
      <c r="Y1209" s="586" t="str">
        <f t="shared" si="318"/>
        <v/>
      </c>
      <c r="Z1209" s="586" t="str">
        <f t="shared" si="316"/>
        <v/>
      </c>
    </row>
    <row r="1210" spans="1:26" ht="23.25" hidden="1" thickBot="1" x14ac:dyDescent="0.25">
      <c r="A1210" s="567">
        <v>91849</v>
      </c>
      <c r="B1210" s="644">
        <v>91849</v>
      </c>
      <c r="C1210" s="645" t="s">
        <v>670</v>
      </c>
      <c r="D1210" s="422" t="s">
        <v>1061</v>
      </c>
      <c r="E1210" s="423"/>
      <c r="F1210" s="424"/>
      <c r="G1210" s="425"/>
      <c r="H1210" s="651"/>
      <c r="I1210" s="420">
        <v>8.2100000000000009</v>
      </c>
      <c r="J1210" s="420">
        <f t="shared" si="315"/>
        <v>8.2100000000000009</v>
      </c>
      <c r="K1210" s="421">
        <f t="shared" si="314"/>
        <v>9.75</v>
      </c>
      <c r="L1210" s="647" t="s">
        <v>79</v>
      </c>
      <c r="M1210" s="576"/>
      <c r="N1210" s="576">
        <f t="shared" si="317"/>
        <v>0</v>
      </c>
      <c r="O1210" s="577">
        <f t="shared" si="322"/>
        <v>0</v>
      </c>
      <c r="P1210" s="578">
        <f t="shared" si="323"/>
        <v>0</v>
      </c>
      <c r="Q1210" s="765"/>
      <c r="R1210" s="576">
        <f t="shared" si="319"/>
        <v>0</v>
      </c>
      <c r="S1210" s="576">
        <f t="shared" si="319"/>
        <v>0</v>
      </c>
      <c r="T1210" s="577">
        <f t="shared" si="320"/>
        <v>0</v>
      </c>
      <c r="U1210" s="578">
        <f t="shared" si="321"/>
        <v>0</v>
      </c>
      <c r="V1210" s="579"/>
      <c r="W1210" s="566"/>
      <c r="X1210" s="586" t="str">
        <f t="shared" si="313"/>
        <v/>
      </c>
      <c r="Y1210" s="586" t="str">
        <f t="shared" si="318"/>
        <v/>
      </c>
      <c r="Z1210" s="586" t="str">
        <f t="shared" si="316"/>
        <v/>
      </c>
    </row>
    <row r="1211" spans="1:26" ht="23.25" hidden="1" thickBot="1" x14ac:dyDescent="0.25">
      <c r="A1211" s="567">
        <v>91850</v>
      </c>
      <c r="B1211" s="644">
        <v>91850</v>
      </c>
      <c r="C1211" s="645" t="s">
        <v>670</v>
      </c>
      <c r="D1211" s="422" t="s">
        <v>1062</v>
      </c>
      <c r="E1211" s="423"/>
      <c r="F1211" s="424"/>
      <c r="G1211" s="425"/>
      <c r="H1211" s="651"/>
      <c r="I1211" s="420">
        <v>10.81</v>
      </c>
      <c r="J1211" s="420">
        <f t="shared" si="315"/>
        <v>10.81</v>
      </c>
      <c r="K1211" s="421">
        <f t="shared" si="314"/>
        <v>12.84</v>
      </c>
      <c r="L1211" s="647" t="s">
        <v>79</v>
      </c>
      <c r="M1211" s="576"/>
      <c r="N1211" s="576">
        <f t="shared" si="317"/>
        <v>0</v>
      </c>
      <c r="O1211" s="577">
        <f t="shared" si="322"/>
        <v>0</v>
      </c>
      <c r="P1211" s="578">
        <f t="shared" si="323"/>
        <v>0</v>
      </c>
      <c r="Q1211" s="765"/>
      <c r="R1211" s="576">
        <f t="shared" si="319"/>
        <v>0</v>
      </c>
      <c r="S1211" s="576">
        <f t="shared" si="319"/>
        <v>0</v>
      </c>
      <c r="T1211" s="577">
        <f t="shared" si="320"/>
        <v>0</v>
      </c>
      <c r="U1211" s="578">
        <f t="shared" si="321"/>
        <v>0</v>
      </c>
      <c r="V1211" s="579"/>
      <c r="W1211" s="566"/>
      <c r="X1211" s="586" t="str">
        <f t="shared" si="313"/>
        <v/>
      </c>
      <c r="Y1211" s="586" t="str">
        <f t="shared" si="318"/>
        <v/>
      </c>
      <c r="Z1211" s="586" t="str">
        <f t="shared" si="316"/>
        <v/>
      </c>
    </row>
    <row r="1212" spans="1:26" ht="23.25" hidden="1" thickBot="1" x14ac:dyDescent="0.25">
      <c r="A1212" s="567">
        <v>91851</v>
      </c>
      <c r="B1212" s="644">
        <v>91851</v>
      </c>
      <c r="C1212" s="645" t="s">
        <v>670</v>
      </c>
      <c r="D1212" s="422" t="s">
        <v>1063</v>
      </c>
      <c r="E1212" s="423"/>
      <c r="F1212" s="424"/>
      <c r="G1212" s="425"/>
      <c r="H1212" s="651"/>
      <c r="I1212" s="420">
        <v>10.210000000000001</v>
      </c>
      <c r="J1212" s="420">
        <f t="shared" si="315"/>
        <v>10.210000000000001</v>
      </c>
      <c r="K1212" s="421">
        <f t="shared" si="314"/>
        <v>12.13</v>
      </c>
      <c r="L1212" s="647" t="s">
        <v>79</v>
      </c>
      <c r="M1212" s="576"/>
      <c r="N1212" s="576">
        <f t="shared" si="317"/>
        <v>0</v>
      </c>
      <c r="O1212" s="577">
        <f t="shared" si="322"/>
        <v>0</v>
      </c>
      <c r="P1212" s="578">
        <f t="shared" si="323"/>
        <v>0</v>
      </c>
      <c r="Q1212" s="765"/>
      <c r="R1212" s="576">
        <f t="shared" si="319"/>
        <v>0</v>
      </c>
      <c r="S1212" s="576">
        <f t="shared" si="319"/>
        <v>0</v>
      </c>
      <c r="T1212" s="577">
        <f t="shared" si="320"/>
        <v>0</v>
      </c>
      <c r="U1212" s="578">
        <f t="shared" si="321"/>
        <v>0</v>
      </c>
      <c r="V1212" s="579"/>
      <c r="W1212" s="566"/>
      <c r="X1212" s="586" t="str">
        <f t="shared" si="313"/>
        <v/>
      </c>
      <c r="Y1212" s="586" t="str">
        <f t="shared" si="318"/>
        <v/>
      </c>
      <c r="Z1212" s="586" t="str">
        <f t="shared" si="316"/>
        <v/>
      </c>
    </row>
    <row r="1213" spans="1:26" ht="23.25" hidden="1" thickBot="1" x14ac:dyDescent="0.25">
      <c r="A1213" s="567">
        <v>91859</v>
      </c>
      <c r="B1213" s="644">
        <v>91859</v>
      </c>
      <c r="C1213" s="645" t="s">
        <v>670</v>
      </c>
      <c r="D1213" s="422" t="s">
        <v>1064</v>
      </c>
      <c r="E1213" s="423"/>
      <c r="F1213" s="424"/>
      <c r="G1213" s="425"/>
      <c r="H1213" s="651"/>
      <c r="I1213" s="420">
        <v>10.95</v>
      </c>
      <c r="J1213" s="420">
        <f t="shared" si="315"/>
        <v>10.95</v>
      </c>
      <c r="K1213" s="421">
        <f t="shared" si="314"/>
        <v>13.01</v>
      </c>
      <c r="L1213" s="647" t="s">
        <v>79</v>
      </c>
      <c r="M1213" s="576"/>
      <c r="N1213" s="576">
        <f t="shared" si="317"/>
        <v>0</v>
      </c>
      <c r="O1213" s="577">
        <f t="shared" si="322"/>
        <v>0</v>
      </c>
      <c r="P1213" s="578">
        <f t="shared" si="323"/>
        <v>0</v>
      </c>
      <c r="Q1213" s="765"/>
      <c r="R1213" s="576">
        <f t="shared" si="319"/>
        <v>0</v>
      </c>
      <c r="S1213" s="576">
        <f t="shared" si="319"/>
        <v>0</v>
      </c>
      <c r="T1213" s="577">
        <f t="shared" si="320"/>
        <v>0</v>
      </c>
      <c r="U1213" s="578">
        <f t="shared" si="321"/>
        <v>0</v>
      </c>
      <c r="V1213" s="579"/>
      <c r="W1213" s="566"/>
      <c r="X1213" s="586" t="str">
        <f t="shared" ref="X1213:X1276" si="324">IF(W1213="X","x",IF(W1213="xx","x",IF(W1213="xy","x",IF(W1213="y","x",IF(OR(P1213&gt;0,U1213&gt;0),"x","")))))</f>
        <v/>
      </c>
      <c r="Y1213" s="586" t="str">
        <f t="shared" si="318"/>
        <v/>
      </c>
      <c r="Z1213" s="586" t="str">
        <f t="shared" si="316"/>
        <v/>
      </c>
    </row>
    <row r="1214" spans="1:26" ht="23.25" hidden="1" thickBot="1" x14ac:dyDescent="0.25">
      <c r="A1214" s="567">
        <v>91860</v>
      </c>
      <c r="B1214" s="644">
        <v>91860</v>
      </c>
      <c r="C1214" s="645" t="s">
        <v>670</v>
      </c>
      <c r="D1214" s="422" t="s">
        <v>1065</v>
      </c>
      <c r="E1214" s="423"/>
      <c r="F1214" s="424"/>
      <c r="G1214" s="425"/>
      <c r="H1214" s="651"/>
      <c r="I1214" s="420">
        <v>13.44</v>
      </c>
      <c r="J1214" s="420">
        <f t="shared" si="315"/>
        <v>13.44</v>
      </c>
      <c r="K1214" s="421">
        <f t="shared" si="314"/>
        <v>15.97</v>
      </c>
      <c r="L1214" s="647" t="s">
        <v>79</v>
      </c>
      <c r="M1214" s="576"/>
      <c r="N1214" s="576">
        <f t="shared" si="317"/>
        <v>0</v>
      </c>
      <c r="O1214" s="577">
        <f t="shared" si="322"/>
        <v>0</v>
      </c>
      <c r="P1214" s="578">
        <f t="shared" si="323"/>
        <v>0</v>
      </c>
      <c r="Q1214" s="765"/>
      <c r="R1214" s="576">
        <f t="shared" si="319"/>
        <v>0</v>
      </c>
      <c r="S1214" s="576">
        <f t="shared" si="319"/>
        <v>0</v>
      </c>
      <c r="T1214" s="577">
        <f t="shared" si="320"/>
        <v>0</v>
      </c>
      <c r="U1214" s="578">
        <f t="shared" si="321"/>
        <v>0</v>
      </c>
      <c r="V1214" s="579"/>
      <c r="W1214" s="566"/>
      <c r="X1214" s="586" t="str">
        <f t="shared" si="324"/>
        <v/>
      </c>
      <c r="Y1214" s="586" t="str">
        <f t="shared" si="318"/>
        <v/>
      </c>
      <c r="Z1214" s="586" t="str">
        <f t="shared" si="316"/>
        <v/>
      </c>
    </row>
    <row r="1215" spans="1:26" ht="23.25" hidden="1" thickBot="1" x14ac:dyDescent="0.25">
      <c r="A1215" s="567">
        <v>91861</v>
      </c>
      <c r="B1215" s="644">
        <v>91861</v>
      </c>
      <c r="C1215" s="645" t="s">
        <v>670</v>
      </c>
      <c r="D1215" s="422" t="s">
        <v>1066</v>
      </c>
      <c r="E1215" s="423"/>
      <c r="F1215" s="424"/>
      <c r="G1215" s="425"/>
      <c r="H1215" s="651"/>
      <c r="I1215" s="420">
        <v>12.88</v>
      </c>
      <c r="J1215" s="420">
        <f t="shared" si="315"/>
        <v>12.88</v>
      </c>
      <c r="K1215" s="421">
        <f t="shared" si="314"/>
        <v>15.3</v>
      </c>
      <c r="L1215" s="647" t="s">
        <v>79</v>
      </c>
      <c r="M1215" s="576"/>
      <c r="N1215" s="576">
        <f t="shared" si="317"/>
        <v>0</v>
      </c>
      <c r="O1215" s="577">
        <f t="shared" si="322"/>
        <v>0</v>
      </c>
      <c r="P1215" s="578">
        <f t="shared" si="323"/>
        <v>0</v>
      </c>
      <c r="Q1215" s="765"/>
      <c r="R1215" s="576">
        <f t="shared" si="319"/>
        <v>0</v>
      </c>
      <c r="S1215" s="576">
        <f t="shared" si="319"/>
        <v>0</v>
      </c>
      <c r="T1215" s="577">
        <f t="shared" si="320"/>
        <v>0</v>
      </c>
      <c r="U1215" s="578">
        <f t="shared" si="321"/>
        <v>0</v>
      </c>
      <c r="V1215" s="579"/>
      <c r="W1215" s="566"/>
      <c r="X1215" s="586" t="str">
        <f t="shared" si="324"/>
        <v/>
      </c>
      <c r="Y1215" s="586" t="str">
        <f t="shared" si="318"/>
        <v/>
      </c>
      <c r="Z1215" s="586" t="str">
        <f t="shared" si="316"/>
        <v/>
      </c>
    </row>
    <row r="1216" spans="1:26" ht="12" hidden="1" thickBot="1" x14ac:dyDescent="0.25">
      <c r="A1216" s="567">
        <v>97667</v>
      </c>
      <c r="B1216" s="644">
        <v>97667</v>
      </c>
      <c r="C1216" s="645" t="s">
        <v>670</v>
      </c>
      <c r="D1216" s="422" t="s">
        <v>1067</v>
      </c>
      <c r="E1216" s="423"/>
      <c r="F1216" s="424"/>
      <c r="G1216" s="425"/>
      <c r="H1216" s="651"/>
      <c r="I1216" s="420">
        <v>8.01</v>
      </c>
      <c r="J1216" s="420">
        <f t="shared" si="315"/>
        <v>8.01</v>
      </c>
      <c r="K1216" s="421">
        <f t="shared" si="314"/>
        <v>9.52</v>
      </c>
      <c r="L1216" s="647" t="s">
        <v>79</v>
      </c>
      <c r="M1216" s="576"/>
      <c r="N1216" s="576">
        <f t="shared" si="317"/>
        <v>0</v>
      </c>
      <c r="O1216" s="577">
        <f t="shared" si="322"/>
        <v>0</v>
      </c>
      <c r="P1216" s="578">
        <f t="shared" si="323"/>
        <v>0</v>
      </c>
      <c r="Q1216" s="765"/>
      <c r="R1216" s="576">
        <f t="shared" si="319"/>
        <v>0</v>
      </c>
      <c r="S1216" s="576">
        <f t="shared" si="319"/>
        <v>0</v>
      </c>
      <c r="T1216" s="577">
        <f t="shared" si="320"/>
        <v>0</v>
      </c>
      <c r="U1216" s="578">
        <f t="shared" si="321"/>
        <v>0</v>
      </c>
      <c r="V1216" s="579"/>
      <c r="W1216" s="566"/>
      <c r="X1216" s="586" t="str">
        <f t="shared" si="324"/>
        <v/>
      </c>
      <c r="Y1216" s="586" t="str">
        <f t="shared" si="318"/>
        <v/>
      </c>
      <c r="Z1216" s="586" t="str">
        <f t="shared" si="316"/>
        <v/>
      </c>
    </row>
    <row r="1217" spans="1:26" ht="12" hidden="1" thickBot="1" x14ac:dyDescent="0.25">
      <c r="A1217" s="567">
        <v>97668</v>
      </c>
      <c r="B1217" s="644">
        <v>97668</v>
      </c>
      <c r="C1217" s="645" t="s">
        <v>670</v>
      </c>
      <c r="D1217" s="422" t="s">
        <v>1068</v>
      </c>
      <c r="E1217" s="423"/>
      <c r="F1217" s="424"/>
      <c r="G1217" s="425"/>
      <c r="H1217" s="651"/>
      <c r="I1217" s="420">
        <v>11.42</v>
      </c>
      <c r="J1217" s="420">
        <f t="shared" si="315"/>
        <v>11.42</v>
      </c>
      <c r="K1217" s="421">
        <f t="shared" si="314"/>
        <v>13.57</v>
      </c>
      <c r="L1217" s="647" t="s">
        <v>79</v>
      </c>
      <c r="M1217" s="576"/>
      <c r="N1217" s="576">
        <f t="shared" si="317"/>
        <v>0</v>
      </c>
      <c r="O1217" s="577">
        <f t="shared" si="322"/>
        <v>0</v>
      </c>
      <c r="P1217" s="578">
        <f t="shared" si="323"/>
        <v>0</v>
      </c>
      <c r="Q1217" s="765"/>
      <c r="R1217" s="576">
        <f t="shared" si="319"/>
        <v>0</v>
      </c>
      <c r="S1217" s="576">
        <f t="shared" si="319"/>
        <v>0</v>
      </c>
      <c r="T1217" s="577">
        <f t="shared" si="320"/>
        <v>0</v>
      </c>
      <c r="U1217" s="578">
        <f t="shared" si="321"/>
        <v>0</v>
      </c>
      <c r="V1217" s="579"/>
      <c r="W1217" s="566"/>
      <c r="X1217" s="586" t="str">
        <f t="shared" si="324"/>
        <v/>
      </c>
      <c r="Y1217" s="586" t="str">
        <f t="shared" si="318"/>
        <v/>
      </c>
      <c r="Z1217" s="586" t="str">
        <f t="shared" si="316"/>
        <v/>
      </c>
    </row>
    <row r="1218" spans="1:26" ht="12" hidden="1" thickBot="1" x14ac:dyDescent="0.25">
      <c r="A1218" s="567">
        <v>97669</v>
      </c>
      <c r="B1218" s="644">
        <v>97669</v>
      </c>
      <c r="C1218" s="645" t="s">
        <v>670</v>
      </c>
      <c r="D1218" s="422" t="s">
        <v>1069</v>
      </c>
      <c r="E1218" s="423"/>
      <c r="F1218" s="424"/>
      <c r="G1218" s="425"/>
      <c r="H1218" s="651"/>
      <c r="I1218" s="420">
        <v>16.96</v>
      </c>
      <c r="J1218" s="420">
        <f t="shared" si="315"/>
        <v>16.96</v>
      </c>
      <c r="K1218" s="421">
        <f t="shared" si="314"/>
        <v>20.149999999999999</v>
      </c>
      <c r="L1218" s="647" t="s">
        <v>79</v>
      </c>
      <c r="M1218" s="576"/>
      <c r="N1218" s="576">
        <f t="shared" si="317"/>
        <v>0</v>
      </c>
      <c r="O1218" s="577">
        <f t="shared" si="322"/>
        <v>0</v>
      </c>
      <c r="P1218" s="578">
        <f t="shared" si="323"/>
        <v>0</v>
      </c>
      <c r="Q1218" s="765"/>
      <c r="R1218" s="576">
        <f t="shared" si="319"/>
        <v>0</v>
      </c>
      <c r="S1218" s="576">
        <f t="shared" si="319"/>
        <v>0</v>
      </c>
      <c r="T1218" s="577">
        <f t="shared" si="320"/>
        <v>0</v>
      </c>
      <c r="U1218" s="578">
        <f t="shared" si="321"/>
        <v>0</v>
      </c>
      <c r="V1218" s="579"/>
      <c r="W1218" s="566"/>
      <c r="X1218" s="586" t="str">
        <f t="shared" si="324"/>
        <v/>
      </c>
      <c r="Y1218" s="586" t="str">
        <f t="shared" si="318"/>
        <v/>
      </c>
      <c r="Z1218" s="586" t="str">
        <f t="shared" si="316"/>
        <v/>
      </c>
    </row>
    <row r="1219" spans="1:26" ht="12" hidden="1" thickBot="1" x14ac:dyDescent="0.25">
      <c r="A1219" s="567">
        <v>97670</v>
      </c>
      <c r="B1219" s="644">
        <v>97670</v>
      </c>
      <c r="C1219" s="645" t="s">
        <v>670</v>
      </c>
      <c r="D1219" s="422" t="s">
        <v>1070</v>
      </c>
      <c r="E1219" s="423"/>
      <c r="F1219" s="424"/>
      <c r="G1219" s="425"/>
      <c r="H1219" s="651"/>
      <c r="I1219" s="420">
        <v>21.64</v>
      </c>
      <c r="J1219" s="420">
        <f t="shared" si="315"/>
        <v>21.64</v>
      </c>
      <c r="K1219" s="421">
        <f t="shared" si="314"/>
        <v>25.71</v>
      </c>
      <c r="L1219" s="647" t="s">
        <v>79</v>
      </c>
      <c r="M1219" s="576"/>
      <c r="N1219" s="576">
        <f t="shared" si="317"/>
        <v>0</v>
      </c>
      <c r="O1219" s="577">
        <f t="shared" si="322"/>
        <v>0</v>
      </c>
      <c r="P1219" s="578">
        <f t="shared" si="323"/>
        <v>0</v>
      </c>
      <c r="Q1219" s="765"/>
      <c r="R1219" s="576">
        <f t="shared" si="319"/>
        <v>0</v>
      </c>
      <c r="S1219" s="576">
        <f t="shared" si="319"/>
        <v>0</v>
      </c>
      <c r="T1219" s="577">
        <f t="shared" si="320"/>
        <v>0</v>
      </c>
      <c r="U1219" s="578">
        <f t="shared" si="321"/>
        <v>0</v>
      </c>
      <c r="V1219" s="579"/>
      <c r="W1219" s="566"/>
      <c r="X1219" s="586" t="str">
        <f t="shared" si="324"/>
        <v/>
      </c>
      <c r="Y1219" s="586" t="str">
        <f t="shared" si="318"/>
        <v/>
      </c>
      <c r="Z1219" s="586" t="str">
        <f t="shared" si="316"/>
        <v/>
      </c>
    </row>
    <row r="1220" spans="1:26" ht="23.25" hidden="1" thickBot="1" x14ac:dyDescent="0.25">
      <c r="A1220" s="567">
        <v>91924</v>
      </c>
      <c r="B1220" s="644">
        <v>91924</v>
      </c>
      <c r="C1220" s="645" t="s">
        <v>670</v>
      </c>
      <c r="D1220" s="422" t="s">
        <v>1071</v>
      </c>
      <c r="E1220" s="423"/>
      <c r="F1220" s="424"/>
      <c r="G1220" s="425"/>
      <c r="H1220" s="651"/>
      <c r="I1220" s="420">
        <v>2.91</v>
      </c>
      <c r="J1220" s="420">
        <f t="shared" si="315"/>
        <v>2.91</v>
      </c>
      <c r="K1220" s="421">
        <f t="shared" si="314"/>
        <v>3.46</v>
      </c>
      <c r="L1220" s="647" t="s">
        <v>79</v>
      </c>
      <c r="M1220" s="576"/>
      <c r="N1220" s="576">
        <f t="shared" si="317"/>
        <v>0</v>
      </c>
      <c r="O1220" s="577">
        <f t="shared" si="322"/>
        <v>0</v>
      </c>
      <c r="P1220" s="578">
        <f t="shared" si="323"/>
        <v>0</v>
      </c>
      <c r="Q1220" s="765"/>
      <c r="R1220" s="576">
        <f t="shared" si="319"/>
        <v>0</v>
      </c>
      <c r="S1220" s="576">
        <f t="shared" si="319"/>
        <v>0</v>
      </c>
      <c r="T1220" s="577">
        <f t="shared" si="320"/>
        <v>0</v>
      </c>
      <c r="U1220" s="578">
        <f t="shared" si="321"/>
        <v>0</v>
      </c>
      <c r="V1220" s="579"/>
      <c r="W1220" s="566"/>
      <c r="X1220" s="586" t="str">
        <f t="shared" si="324"/>
        <v/>
      </c>
      <c r="Y1220" s="586" t="str">
        <f t="shared" si="318"/>
        <v/>
      </c>
      <c r="Z1220" s="586" t="str">
        <f t="shared" si="316"/>
        <v/>
      </c>
    </row>
    <row r="1221" spans="1:26" ht="23.25" hidden="1" thickBot="1" x14ac:dyDescent="0.25">
      <c r="A1221" s="567">
        <v>91926</v>
      </c>
      <c r="B1221" s="644">
        <v>91926</v>
      </c>
      <c r="C1221" s="645" t="s">
        <v>670</v>
      </c>
      <c r="D1221" s="422" t="s">
        <v>1072</v>
      </c>
      <c r="E1221" s="423"/>
      <c r="F1221" s="424"/>
      <c r="G1221" s="425"/>
      <c r="H1221" s="651"/>
      <c r="I1221" s="420">
        <v>4.2</v>
      </c>
      <c r="J1221" s="420">
        <f t="shared" si="315"/>
        <v>4.2</v>
      </c>
      <c r="K1221" s="421">
        <f t="shared" si="314"/>
        <v>4.99</v>
      </c>
      <c r="L1221" s="647" t="s">
        <v>79</v>
      </c>
      <c r="M1221" s="576"/>
      <c r="N1221" s="576">
        <f t="shared" si="317"/>
        <v>0</v>
      </c>
      <c r="O1221" s="577">
        <f t="shared" si="322"/>
        <v>0</v>
      </c>
      <c r="P1221" s="578">
        <f t="shared" si="323"/>
        <v>0</v>
      </c>
      <c r="Q1221" s="765"/>
      <c r="R1221" s="576">
        <f t="shared" si="319"/>
        <v>0</v>
      </c>
      <c r="S1221" s="576">
        <f t="shared" si="319"/>
        <v>0</v>
      </c>
      <c r="T1221" s="577">
        <f t="shared" si="320"/>
        <v>0</v>
      </c>
      <c r="U1221" s="578">
        <f t="shared" si="321"/>
        <v>0</v>
      </c>
      <c r="V1221" s="579"/>
      <c r="W1221" s="566"/>
      <c r="X1221" s="586" t="str">
        <f t="shared" si="324"/>
        <v/>
      </c>
      <c r="Y1221" s="586" t="str">
        <f t="shared" si="318"/>
        <v/>
      </c>
      <c r="Z1221" s="586" t="str">
        <f t="shared" si="316"/>
        <v/>
      </c>
    </row>
    <row r="1222" spans="1:26" ht="23.25" hidden="1" thickBot="1" x14ac:dyDescent="0.25">
      <c r="A1222" s="567">
        <v>91928</v>
      </c>
      <c r="B1222" s="644">
        <v>91928</v>
      </c>
      <c r="C1222" s="645" t="s">
        <v>670</v>
      </c>
      <c r="D1222" s="422" t="s">
        <v>1073</v>
      </c>
      <c r="E1222" s="423"/>
      <c r="F1222" s="424"/>
      <c r="G1222" s="425"/>
      <c r="H1222" s="651"/>
      <c r="I1222" s="420">
        <v>6.76</v>
      </c>
      <c r="J1222" s="420">
        <f t="shared" si="315"/>
        <v>6.76</v>
      </c>
      <c r="K1222" s="421">
        <f t="shared" si="314"/>
        <v>8.0299999999999994</v>
      </c>
      <c r="L1222" s="647" t="s">
        <v>79</v>
      </c>
      <c r="M1222" s="576"/>
      <c r="N1222" s="576">
        <f t="shared" si="317"/>
        <v>0</v>
      </c>
      <c r="O1222" s="577">
        <f t="shared" si="322"/>
        <v>0</v>
      </c>
      <c r="P1222" s="578">
        <f t="shared" si="323"/>
        <v>0</v>
      </c>
      <c r="Q1222" s="765"/>
      <c r="R1222" s="576">
        <f t="shared" si="319"/>
        <v>0</v>
      </c>
      <c r="S1222" s="576">
        <f t="shared" si="319"/>
        <v>0</v>
      </c>
      <c r="T1222" s="577">
        <f t="shared" si="320"/>
        <v>0</v>
      </c>
      <c r="U1222" s="578">
        <f t="shared" si="321"/>
        <v>0</v>
      </c>
      <c r="V1222" s="579"/>
      <c r="W1222" s="566"/>
      <c r="X1222" s="586" t="str">
        <f t="shared" si="324"/>
        <v/>
      </c>
      <c r="Y1222" s="586" t="str">
        <f t="shared" si="318"/>
        <v/>
      </c>
      <c r="Z1222" s="586" t="str">
        <f t="shared" si="316"/>
        <v/>
      </c>
    </row>
    <row r="1223" spans="1:26" ht="23.25" hidden="1" thickBot="1" x14ac:dyDescent="0.25">
      <c r="A1223" s="567">
        <v>91930</v>
      </c>
      <c r="B1223" s="644">
        <v>91930</v>
      </c>
      <c r="C1223" s="645" t="s">
        <v>670</v>
      </c>
      <c r="D1223" s="422" t="s">
        <v>1074</v>
      </c>
      <c r="E1223" s="423"/>
      <c r="F1223" s="424"/>
      <c r="G1223" s="425"/>
      <c r="H1223" s="651"/>
      <c r="I1223" s="420">
        <v>9.24</v>
      </c>
      <c r="J1223" s="420">
        <f t="shared" si="315"/>
        <v>9.24</v>
      </c>
      <c r="K1223" s="421">
        <f t="shared" si="314"/>
        <v>10.98</v>
      </c>
      <c r="L1223" s="647" t="s">
        <v>79</v>
      </c>
      <c r="M1223" s="576"/>
      <c r="N1223" s="576">
        <f t="shared" si="317"/>
        <v>0</v>
      </c>
      <c r="O1223" s="577">
        <f t="shared" si="322"/>
        <v>0</v>
      </c>
      <c r="P1223" s="578">
        <f t="shared" si="323"/>
        <v>0</v>
      </c>
      <c r="Q1223" s="765"/>
      <c r="R1223" s="576">
        <f t="shared" si="319"/>
        <v>0</v>
      </c>
      <c r="S1223" s="576">
        <f t="shared" si="319"/>
        <v>0</v>
      </c>
      <c r="T1223" s="577">
        <f t="shared" si="320"/>
        <v>0</v>
      </c>
      <c r="U1223" s="578">
        <f t="shared" si="321"/>
        <v>0</v>
      </c>
      <c r="V1223" s="579"/>
      <c r="W1223" s="566"/>
      <c r="X1223" s="586" t="str">
        <f t="shared" si="324"/>
        <v/>
      </c>
      <c r="Y1223" s="586" t="str">
        <f t="shared" si="318"/>
        <v/>
      </c>
      <c r="Z1223" s="586" t="str">
        <f t="shared" si="316"/>
        <v/>
      </c>
    </row>
    <row r="1224" spans="1:26" ht="23.25" hidden="1" thickBot="1" x14ac:dyDescent="0.25">
      <c r="A1224" s="567">
        <v>91932</v>
      </c>
      <c r="B1224" s="644">
        <v>91932</v>
      </c>
      <c r="C1224" s="645" t="s">
        <v>670</v>
      </c>
      <c r="D1224" s="422" t="s">
        <v>1075</v>
      </c>
      <c r="E1224" s="423"/>
      <c r="F1224" s="424"/>
      <c r="G1224" s="425"/>
      <c r="H1224" s="651"/>
      <c r="I1224" s="420">
        <v>15.13</v>
      </c>
      <c r="J1224" s="420">
        <f t="shared" si="315"/>
        <v>15.13</v>
      </c>
      <c r="K1224" s="421">
        <f t="shared" si="314"/>
        <v>17.98</v>
      </c>
      <c r="L1224" s="647" t="s">
        <v>79</v>
      </c>
      <c r="M1224" s="576"/>
      <c r="N1224" s="576">
        <f t="shared" si="317"/>
        <v>0</v>
      </c>
      <c r="O1224" s="577">
        <f t="shared" si="322"/>
        <v>0</v>
      </c>
      <c r="P1224" s="578">
        <f t="shared" si="323"/>
        <v>0</v>
      </c>
      <c r="Q1224" s="765"/>
      <c r="R1224" s="576">
        <f t="shared" si="319"/>
        <v>0</v>
      </c>
      <c r="S1224" s="576">
        <f t="shared" si="319"/>
        <v>0</v>
      </c>
      <c r="T1224" s="577">
        <f t="shared" si="320"/>
        <v>0</v>
      </c>
      <c r="U1224" s="578">
        <f t="shared" si="321"/>
        <v>0</v>
      </c>
      <c r="V1224" s="579"/>
      <c r="W1224" s="566"/>
      <c r="X1224" s="586" t="str">
        <f t="shared" si="324"/>
        <v/>
      </c>
      <c r="Y1224" s="586" t="str">
        <f t="shared" si="318"/>
        <v/>
      </c>
      <c r="Z1224" s="586" t="str">
        <f t="shared" si="316"/>
        <v/>
      </c>
    </row>
    <row r="1225" spans="1:26" ht="23.25" hidden="1" thickBot="1" x14ac:dyDescent="0.25">
      <c r="A1225" s="567">
        <v>91934</v>
      </c>
      <c r="B1225" s="644">
        <v>91934</v>
      </c>
      <c r="C1225" s="645" t="s">
        <v>670</v>
      </c>
      <c r="D1225" s="422" t="s">
        <v>1076</v>
      </c>
      <c r="E1225" s="423"/>
      <c r="F1225" s="424"/>
      <c r="G1225" s="425"/>
      <c r="H1225" s="651"/>
      <c r="I1225" s="420">
        <v>23.1</v>
      </c>
      <c r="J1225" s="420">
        <f t="shared" si="315"/>
        <v>23.1</v>
      </c>
      <c r="K1225" s="421">
        <f t="shared" ref="K1225:K1288" si="325">IF(ISBLANK(I1225),0,ROUND(J1225*(1+$F$10)*(1+$F$11*E1225),2))</f>
        <v>27.45</v>
      </c>
      <c r="L1225" s="647" t="s">
        <v>79</v>
      </c>
      <c r="M1225" s="576"/>
      <c r="N1225" s="576">
        <f t="shared" si="317"/>
        <v>0</v>
      </c>
      <c r="O1225" s="577">
        <f t="shared" si="322"/>
        <v>0</v>
      </c>
      <c r="P1225" s="578">
        <f t="shared" si="323"/>
        <v>0</v>
      </c>
      <c r="Q1225" s="765"/>
      <c r="R1225" s="576">
        <f t="shared" si="319"/>
        <v>0</v>
      </c>
      <c r="S1225" s="576">
        <f t="shared" si="319"/>
        <v>0</v>
      </c>
      <c r="T1225" s="577">
        <f t="shared" si="320"/>
        <v>0</v>
      </c>
      <c r="U1225" s="578">
        <f t="shared" si="321"/>
        <v>0</v>
      </c>
      <c r="V1225" s="579"/>
      <c r="W1225" s="566"/>
      <c r="X1225" s="586" t="str">
        <f t="shared" si="324"/>
        <v/>
      </c>
      <c r="Y1225" s="586" t="str">
        <f t="shared" si="318"/>
        <v/>
      </c>
      <c r="Z1225" s="586" t="str">
        <f t="shared" si="316"/>
        <v/>
      </c>
    </row>
    <row r="1226" spans="1:26" ht="23.25" hidden="1" thickBot="1" x14ac:dyDescent="0.25">
      <c r="A1226" s="567">
        <v>92979</v>
      </c>
      <c r="B1226" s="644">
        <v>92979</v>
      </c>
      <c r="C1226" s="645" t="s">
        <v>670</v>
      </c>
      <c r="D1226" s="422" t="s">
        <v>1077</v>
      </c>
      <c r="E1226" s="423"/>
      <c r="F1226" s="424"/>
      <c r="G1226" s="425"/>
      <c r="H1226" s="651"/>
      <c r="I1226" s="420">
        <v>10.07</v>
      </c>
      <c r="J1226" s="420">
        <f t="shared" si="315"/>
        <v>10.07</v>
      </c>
      <c r="K1226" s="421">
        <f t="shared" si="325"/>
        <v>11.96</v>
      </c>
      <c r="L1226" s="647" t="s">
        <v>79</v>
      </c>
      <c r="M1226" s="576"/>
      <c r="N1226" s="576">
        <f t="shared" si="317"/>
        <v>0</v>
      </c>
      <c r="O1226" s="577">
        <f t="shared" si="322"/>
        <v>0</v>
      </c>
      <c r="P1226" s="578">
        <f t="shared" si="323"/>
        <v>0</v>
      </c>
      <c r="Q1226" s="765"/>
      <c r="R1226" s="576">
        <f t="shared" si="319"/>
        <v>0</v>
      </c>
      <c r="S1226" s="576">
        <f t="shared" si="319"/>
        <v>0</v>
      </c>
      <c r="T1226" s="577">
        <f t="shared" si="320"/>
        <v>0</v>
      </c>
      <c r="U1226" s="578">
        <f t="shared" si="321"/>
        <v>0</v>
      </c>
      <c r="V1226" s="579"/>
      <c r="W1226" s="566"/>
      <c r="X1226" s="586" t="str">
        <f t="shared" si="324"/>
        <v/>
      </c>
      <c r="Y1226" s="586" t="str">
        <f t="shared" si="318"/>
        <v/>
      </c>
      <c r="Z1226" s="586" t="str">
        <f t="shared" si="316"/>
        <v/>
      </c>
    </row>
    <row r="1227" spans="1:26" ht="23.25" hidden="1" thickBot="1" x14ac:dyDescent="0.25">
      <c r="A1227" s="567">
        <v>92981</v>
      </c>
      <c r="B1227" s="644">
        <v>92981</v>
      </c>
      <c r="C1227" s="645" t="s">
        <v>670</v>
      </c>
      <c r="D1227" s="422" t="s">
        <v>1078</v>
      </c>
      <c r="E1227" s="423"/>
      <c r="F1227" s="424"/>
      <c r="G1227" s="425"/>
      <c r="H1227" s="651"/>
      <c r="I1227" s="420">
        <v>15.44</v>
      </c>
      <c r="J1227" s="420">
        <f t="shared" si="315"/>
        <v>15.44</v>
      </c>
      <c r="K1227" s="421">
        <f t="shared" si="325"/>
        <v>18.34</v>
      </c>
      <c r="L1227" s="647" t="s">
        <v>79</v>
      </c>
      <c r="M1227" s="576"/>
      <c r="N1227" s="576">
        <f t="shared" si="317"/>
        <v>0</v>
      </c>
      <c r="O1227" s="577">
        <f t="shared" si="322"/>
        <v>0</v>
      </c>
      <c r="P1227" s="578">
        <f t="shared" si="323"/>
        <v>0</v>
      </c>
      <c r="Q1227" s="765"/>
      <c r="R1227" s="576">
        <f t="shared" si="319"/>
        <v>0</v>
      </c>
      <c r="S1227" s="576">
        <f t="shared" si="319"/>
        <v>0</v>
      </c>
      <c r="T1227" s="577">
        <f t="shared" si="320"/>
        <v>0</v>
      </c>
      <c r="U1227" s="578">
        <f t="shared" si="321"/>
        <v>0</v>
      </c>
      <c r="V1227" s="579"/>
      <c r="W1227" s="566"/>
      <c r="X1227" s="586" t="str">
        <f t="shared" si="324"/>
        <v/>
      </c>
      <c r="Y1227" s="586" t="str">
        <f t="shared" si="318"/>
        <v/>
      </c>
      <c r="Z1227" s="586" t="str">
        <f t="shared" si="316"/>
        <v/>
      </c>
    </row>
    <row r="1228" spans="1:26" ht="23.25" hidden="1" thickBot="1" x14ac:dyDescent="0.25">
      <c r="A1228" s="567">
        <v>91925</v>
      </c>
      <c r="B1228" s="644">
        <v>91925</v>
      </c>
      <c r="C1228" s="645" t="s">
        <v>670</v>
      </c>
      <c r="D1228" s="422" t="s">
        <v>1079</v>
      </c>
      <c r="E1228" s="423"/>
      <c r="F1228" s="424"/>
      <c r="G1228" s="425"/>
      <c r="H1228" s="651"/>
      <c r="I1228" s="420">
        <v>4.07</v>
      </c>
      <c r="J1228" s="420">
        <f t="shared" si="315"/>
        <v>4.07</v>
      </c>
      <c r="K1228" s="421">
        <f t="shared" si="325"/>
        <v>4.84</v>
      </c>
      <c r="L1228" s="647" t="s">
        <v>79</v>
      </c>
      <c r="M1228" s="576"/>
      <c r="N1228" s="576">
        <f t="shared" si="317"/>
        <v>0</v>
      </c>
      <c r="O1228" s="577">
        <f t="shared" si="322"/>
        <v>0</v>
      </c>
      <c r="P1228" s="578">
        <f t="shared" si="323"/>
        <v>0</v>
      </c>
      <c r="Q1228" s="765"/>
      <c r="R1228" s="576">
        <f t="shared" si="319"/>
        <v>0</v>
      </c>
      <c r="S1228" s="576">
        <f t="shared" si="319"/>
        <v>0</v>
      </c>
      <c r="T1228" s="577">
        <f t="shared" si="320"/>
        <v>0</v>
      </c>
      <c r="U1228" s="578">
        <f t="shared" si="321"/>
        <v>0</v>
      </c>
      <c r="V1228" s="579"/>
      <c r="W1228" s="566"/>
      <c r="X1228" s="586" t="str">
        <f t="shared" si="324"/>
        <v/>
      </c>
      <c r="Y1228" s="586" t="str">
        <f t="shared" si="318"/>
        <v/>
      </c>
      <c r="Z1228" s="586" t="str">
        <f t="shared" si="316"/>
        <v/>
      </c>
    </row>
    <row r="1229" spans="1:26" ht="23.25" hidden="1" thickBot="1" x14ac:dyDescent="0.25">
      <c r="A1229" s="567">
        <v>91927</v>
      </c>
      <c r="B1229" s="644">
        <v>91927</v>
      </c>
      <c r="C1229" s="645" t="s">
        <v>670</v>
      </c>
      <c r="D1229" s="422" t="s">
        <v>1080</v>
      </c>
      <c r="E1229" s="423"/>
      <c r="F1229" s="424"/>
      <c r="G1229" s="425"/>
      <c r="H1229" s="651"/>
      <c r="I1229" s="420">
        <v>5.46</v>
      </c>
      <c r="J1229" s="420">
        <f t="shared" si="315"/>
        <v>5.46</v>
      </c>
      <c r="K1229" s="421">
        <f t="shared" si="325"/>
        <v>6.49</v>
      </c>
      <c r="L1229" s="647" t="s">
        <v>79</v>
      </c>
      <c r="M1229" s="576"/>
      <c r="N1229" s="576">
        <f t="shared" si="317"/>
        <v>0</v>
      </c>
      <c r="O1229" s="577">
        <f t="shared" si="322"/>
        <v>0</v>
      </c>
      <c r="P1229" s="578">
        <f t="shared" si="323"/>
        <v>0</v>
      </c>
      <c r="Q1229" s="765"/>
      <c r="R1229" s="576">
        <f t="shared" si="319"/>
        <v>0</v>
      </c>
      <c r="S1229" s="576">
        <f t="shared" si="319"/>
        <v>0</v>
      </c>
      <c r="T1229" s="577">
        <f t="shared" si="320"/>
        <v>0</v>
      </c>
      <c r="U1229" s="578">
        <f t="shared" si="321"/>
        <v>0</v>
      </c>
      <c r="V1229" s="579"/>
      <c r="W1229" s="566"/>
      <c r="X1229" s="586" t="str">
        <f t="shared" si="324"/>
        <v/>
      </c>
      <c r="Y1229" s="586" t="str">
        <f t="shared" si="318"/>
        <v/>
      </c>
      <c r="Z1229" s="586" t="str">
        <f t="shared" si="316"/>
        <v/>
      </c>
    </row>
    <row r="1230" spans="1:26" ht="23.25" hidden="1" thickBot="1" x14ac:dyDescent="0.25">
      <c r="A1230" s="567">
        <v>91929</v>
      </c>
      <c r="B1230" s="644">
        <v>91929</v>
      </c>
      <c r="C1230" s="645" t="s">
        <v>670</v>
      </c>
      <c r="D1230" s="422" t="s">
        <v>1081</v>
      </c>
      <c r="E1230" s="423"/>
      <c r="F1230" s="424"/>
      <c r="G1230" s="425"/>
      <c r="H1230" s="651"/>
      <c r="I1230" s="420">
        <v>7.64</v>
      </c>
      <c r="J1230" s="420">
        <f t="shared" si="315"/>
        <v>7.64</v>
      </c>
      <c r="K1230" s="421">
        <f t="shared" si="325"/>
        <v>9.08</v>
      </c>
      <c r="L1230" s="647" t="s">
        <v>79</v>
      </c>
      <c r="M1230" s="576"/>
      <c r="N1230" s="576">
        <f t="shared" si="317"/>
        <v>0</v>
      </c>
      <c r="O1230" s="577">
        <f t="shared" si="322"/>
        <v>0</v>
      </c>
      <c r="P1230" s="578">
        <f t="shared" si="323"/>
        <v>0</v>
      </c>
      <c r="Q1230" s="765"/>
      <c r="R1230" s="576">
        <f t="shared" si="319"/>
        <v>0</v>
      </c>
      <c r="S1230" s="576">
        <f t="shared" si="319"/>
        <v>0</v>
      </c>
      <c r="T1230" s="577">
        <f t="shared" si="320"/>
        <v>0</v>
      </c>
      <c r="U1230" s="578">
        <f t="shared" si="321"/>
        <v>0</v>
      </c>
      <c r="V1230" s="579"/>
      <c r="W1230" s="566"/>
      <c r="X1230" s="586" t="str">
        <f t="shared" si="324"/>
        <v/>
      </c>
      <c r="Y1230" s="586" t="str">
        <f t="shared" si="318"/>
        <v/>
      </c>
      <c r="Z1230" s="586" t="str">
        <f t="shared" si="316"/>
        <v/>
      </c>
    </row>
    <row r="1231" spans="1:26" ht="23.25" hidden="1" thickBot="1" x14ac:dyDescent="0.25">
      <c r="A1231" s="567">
        <v>91931</v>
      </c>
      <c r="B1231" s="644">
        <v>91931</v>
      </c>
      <c r="C1231" s="645" t="s">
        <v>670</v>
      </c>
      <c r="D1231" s="422" t="s">
        <v>1082</v>
      </c>
      <c r="E1231" s="423"/>
      <c r="F1231" s="424"/>
      <c r="G1231" s="425"/>
      <c r="H1231" s="651"/>
      <c r="I1231" s="420">
        <v>10.3</v>
      </c>
      <c r="J1231" s="420">
        <f t="shared" si="315"/>
        <v>10.3</v>
      </c>
      <c r="K1231" s="421">
        <f t="shared" si="325"/>
        <v>12.24</v>
      </c>
      <c r="L1231" s="647" t="s">
        <v>79</v>
      </c>
      <c r="M1231" s="576"/>
      <c r="N1231" s="576">
        <f t="shared" si="317"/>
        <v>0</v>
      </c>
      <c r="O1231" s="577">
        <f t="shared" si="322"/>
        <v>0</v>
      </c>
      <c r="P1231" s="578">
        <f t="shared" si="323"/>
        <v>0</v>
      </c>
      <c r="Q1231" s="765"/>
      <c r="R1231" s="576">
        <f t="shared" si="319"/>
        <v>0</v>
      </c>
      <c r="S1231" s="576">
        <f t="shared" si="319"/>
        <v>0</v>
      </c>
      <c r="T1231" s="577">
        <f t="shared" si="320"/>
        <v>0</v>
      </c>
      <c r="U1231" s="578">
        <f t="shared" si="321"/>
        <v>0</v>
      </c>
      <c r="V1231" s="579"/>
      <c r="W1231" s="566"/>
      <c r="X1231" s="586" t="str">
        <f t="shared" si="324"/>
        <v/>
      </c>
      <c r="Y1231" s="586" t="str">
        <f t="shared" si="318"/>
        <v/>
      </c>
      <c r="Z1231" s="586" t="str">
        <f t="shared" si="316"/>
        <v/>
      </c>
    </row>
    <row r="1232" spans="1:26" ht="23.25" hidden="1" thickBot="1" x14ac:dyDescent="0.25">
      <c r="A1232" s="567">
        <v>91933</v>
      </c>
      <c r="B1232" s="644">
        <v>91933</v>
      </c>
      <c r="C1232" s="645" t="s">
        <v>670</v>
      </c>
      <c r="D1232" s="422" t="s">
        <v>1083</v>
      </c>
      <c r="E1232" s="423"/>
      <c r="F1232" s="424"/>
      <c r="G1232" s="425"/>
      <c r="H1232" s="651"/>
      <c r="I1232" s="420">
        <v>16.13</v>
      </c>
      <c r="J1232" s="420">
        <f t="shared" si="315"/>
        <v>16.13</v>
      </c>
      <c r="K1232" s="421">
        <f t="shared" si="325"/>
        <v>19.16</v>
      </c>
      <c r="L1232" s="647" t="s">
        <v>79</v>
      </c>
      <c r="M1232" s="576"/>
      <c r="N1232" s="576">
        <f t="shared" si="317"/>
        <v>0</v>
      </c>
      <c r="O1232" s="577">
        <f t="shared" si="322"/>
        <v>0</v>
      </c>
      <c r="P1232" s="578">
        <f t="shared" si="323"/>
        <v>0</v>
      </c>
      <c r="Q1232" s="765"/>
      <c r="R1232" s="576">
        <f t="shared" si="319"/>
        <v>0</v>
      </c>
      <c r="S1232" s="576">
        <f t="shared" si="319"/>
        <v>0</v>
      </c>
      <c r="T1232" s="577">
        <f t="shared" si="320"/>
        <v>0</v>
      </c>
      <c r="U1232" s="578">
        <f t="shared" si="321"/>
        <v>0</v>
      </c>
      <c r="V1232" s="579"/>
      <c r="W1232" s="566"/>
      <c r="X1232" s="586" t="str">
        <f t="shared" si="324"/>
        <v/>
      </c>
      <c r="Y1232" s="586" t="str">
        <f t="shared" si="318"/>
        <v/>
      </c>
      <c r="Z1232" s="586" t="str">
        <f t="shared" si="316"/>
        <v/>
      </c>
    </row>
    <row r="1233" spans="1:26" ht="23.25" hidden="1" thickBot="1" x14ac:dyDescent="0.25">
      <c r="A1233" s="567">
        <v>91935</v>
      </c>
      <c r="B1233" s="644">
        <v>91935</v>
      </c>
      <c r="C1233" s="645" t="s">
        <v>670</v>
      </c>
      <c r="D1233" s="422" t="s">
        <v>1084</v>
      </c>
      <c r="E1233" s="423"/>
      <c r="F1233" s="424"/>
      <c r="G1233" s="425"/>
      <c r="H1233" s="651"/>
      <c r="I1233" s="420">
        <v>24.55</v>
      </c>
      <c r="J1233" s="420">
        <f t="shared" si="315"/>
        <v>24.55</v>
      </c>
      <c r="K1233" s="421">
        <f t="shared" si="325"/>
        <v>29.17</v>
      </c>
      <c r="L1233" s="647" t="s">
        <v>79</v>
      </c>
      <c r="M1233" s="576"/>
      <c r="N1233" s="576">
        <f t="shared" si="317"/>
        <v>0</v>
      </c>
      <c r="O1233" s="577">
        <f t="shared" si="322"/>
        <v>0</v>
      </c>
      <c r="P1233" s="578">
        <f t="shared" si="323"/>
        <v>0</v>
      </c>
      <c r="Q1233" s="765"/>
      <c r="R1233" s="576">
        <f t="shared" si="319"/>
        <v>0</v>
      </c>
      <c r="S1233" s="576">
        <f t="shared" si="319"/>
        <v>0</v>
      </c>
      <c r="T1233" s="577">
        <f t="shared" si="320"/>
        <v>0</v>
      </c>
      <c r="U1233" s="578">
        <f t="shared" si="321"/>
        <v>0</v>
      </c>
      <c r="V1233" s="579"/>
      <c r="W1233" s="566"/>
      <c r="X1233" s="586" t="str">
        <f t="shared" si="324"/>
        <v/>
      </c>
      <c r="Y1233" s="586" t="str">
        <f t="shared" si="318"/>
        <v/>
      </c>
      <c r="Z1233" s="586" t="str">
        <f t="shared" si="316"/>
        <v/>
      </c>
    </row>
    <row r="1234" spans="1:26" ht="23.25" hidden="1" thickBot="1" x14ac:dyDescent="0.25">
      <c r="A1234" s="567">
        <v>92980</v>
      </c>
      <c r="B1234" s="644">
        <v>92980</v>
      </c>
      <c r="C1234" s="645" t="s">
        <v>670</v>
      </c>
      <c r="D1234" s="422" t="s">
        <v>1085</v>
      </c>
      <c r="E1234" s="423"/>
      <c r="F1234" s="424"/>
      <c r="G1234" s="425"/>
      <c r="H1234" s="651"/>
      <c r="I1234" s="420">
        <v>10.93</v>
      </c>
      <c r="J1234" s="420">
        <f t="shared" si="315"/>
        <v>10.93</v>
      </c>
      <c r="K1234" s="421">
        <f t="shared" si="325"/>
        <v>12.99</v>
      </c>
      <c r="L1234" s="647" t="s">
        <v>79</v>
      </c>
      <c r="M1234" s="576"/>
      <c r="N1234" s="576">
        <f t="shared" si="317"/>
        <v>0</v>
      </c>
      <c r="O1234" s="577">
        <f t="shared" si="322"/>
        <v>0</v>
      </c>
      <c r="P1234" s="578">
        <f t="shared" si="323"/>
        <v>0</v>
      </c>
      <c r="Q1234" s="765"/>
      <c r="R1234" s="576">
        <f t="shared" si="319"/>
        <v>0</v>
      </c>
      <c r="S1234" s="576">
        <f t="shared" si="319"/>
        <v>0</v>
      </c>
      <c r="T1234" s="577">
        <f t="shared" si="320"/>
        <v>0</v>
      </c>
      <c r="U1234" s="578">
        <f t="shared" si="321"/>
        <v>0</v>
      </c>
      <c r="V1234" s="579"/>
      <c r="W1234" s="566"/>
      <c r="X1234" s="586" t="str">
        <f t="shared" si="324"/>
        <v/>
      </c>
      <c r="Y1234" s="586" t="str">
        <f t="shared" si="318"/>
        <v/>
      </c>
      <c r="Z1234" s="586" t="str">
        <f t="shared" si="316"/>
        <v/>
      </c>
    </row>
    <row r="1235" spans="1:26" ht="23.25" hidden="1" thickBot="1" x14ac:dyDescent="0.25">
      <c r="A1235" s="567">
        <v>92982</v>
      </c>
      <c r="B1235" s="644">
        <v>92982</v>
      </c>
      <c r="C1235" s="645" t="s">
        <v>670</v>
      </c>
      <c r="D1235" s="422" t="s">
        <v>1086</v>
      </c>
      <c r="E1235" s="423"/>
      <c r="F1235" s="424"/>
      <c r="G1235" s="425"/>
      <c r="H1235" s="651"/>
      <c r="I1235" s="420">
        <v>16.690000000000001</v>
      </c>
      <c r="J1235" s="420">
        <f t="shared" ref="J1235:J1298" si="326">IF(ISBLANK(I1235),"",SUM(H1235:I1235))</f>
        <v>16.690000000000001</v>
      </c>
      <c r="K1235" s="421">
        <f t="shared" si="325"/>
        <v>19.829999999999998</v>
      </c>
      <c r="L1235" s="647" t="s">
        <v>79</v>
      </c>
      <c r="M1235" s="576"/>
      <c r="N1235" s="576">
        <f t="shared" si="317"/>
        <v>0</v>
      </c>
      <c r="O1235" s="577">
        <f t="shared" si="322"/>
        <v>0</v>
      </c>
      <c r="P1235" s="578">
        <f t="shared" si="323"/>
        <v>0</v>
      </c>
      <c r="Q1235" s="765"/>
      <c r="R1235" s="576">
        <f t="shared" si="319"/>
        <v>0</v>
      </c>
      <c r="S1235" s="576">
        <f t="shared" si="319"/>
        <v>0</v>
      </c>
      <c r="T1235" s="577">
        <f t="shared" si="320"/>
        <v>0</v>
      </c>
      <c r="U1235" s="578">
        <f t="shared" si="321"/>
        <v>0</v>
      </c>
      <c r="V1235" s="579"/>
      <c r="W1235" s="566"/>
      <c r="X1235" s="586" t="str">
        <f t="shared" si="324"/>
        <v/>
      </c>
      <c r="Y1235" s="586" t="str">
        <f t="shared" si="318"/>
        <v/>
      </c>
      <c r="Z1235" s="586" t="str">
        <f t="shared" ref="Z1235:Z1298" si="327">IF(W1235="X","x",IF(U1235&gt;0,"x",""))</f>
        <v/>
      </c>
    </row>
    <row r="1236" spans="1:26" ht="23.25" hidden="1" thickBot="1" x14ac:dyDescent="0.25">
      <c r="A1236" s="567">
        <v>92984</v>
      </c>
      <c r="B1236" s="644">
        <v>92984</v>
      </c>
      <c r="C1236" s="645" t="s">
        <v>670</v>
      </c>
      <c r="D1236" s="422" t="s">
        <v>1087</v>
      </c>
      <c r="E1236" s="423"/>
      <c r="F1236" s="424"/>
      <c r="G1236" s="425"/>
      <c r="H1236" s="651"/>
      <c r="I1236" s="420">
        <v>27.25</v>
      </c>
      <c r="J1236" s="420">
        <f t="shared" si="326"/>
        <v>27.25</v>
      </c>
      <c r="K1236" s="421">
        <f t="shared" si="325"/>
        <v>32.380000000000003</v>
      </c>
      <c r="L1236" s="647" t="s">
        <v>79</v>
      </c>
      <c r="M1236" s="576"/>
      <c r="N1236" s="576">
        <f t="shared" ref="N1236:N1299" si="328">IF(M1236=0,0,K1236)</f>
        <v>0</v>
      </c>
      <c r="O1236" s="577">
        <f t="shared" si="322"/>
        <v>0</v>
      </c>
      <c r="P1236" s="578">
        <f t="shared" si="323"/>
        <v>0</v>
      </c>
      <c r="Q1236" s="765"/>
      <c r="R1236" s="576">
        <f t="shared" si="319"/>
        <v>0</v>
      </c>
      <c r="S1236" s="576">
        <f t="shared" si="319"/>
        <v>0</v>
      </c>
      <c r="T1236" s="577">
        <f t="shared" si="320"/>
        <v>0</v>
      </c>
      <c r="U1236" s="578">
        <f t="shared" si="321"/>
        <v>0</v>
      </c>
      <c r="V1236" s="579"/>
      <c r="W1236" s="566"/>
      <c r="X1236" s="586" t="str">
        <f t="shared" si="324"/>
        <v/>
      </c>
      <c r="Y1236" s="586" t="str">
        <f t="shared" si="318"/>
        <v/>
      </c>
      <c r="Z1236" s="586" t="str">
        <f t="shared" si="327"/>
        <v/>
      </c>
    </row>
    <row r="1237" spans="1:26" ht="23.25" hidden="1" thickBot="1" x14ac:dyDescent="0.25">
      <c r="A1237" s="567">
        <v>92986</v>
      </c>
      <c r="B1237" s="644">
        <v>92986</v>
      </c>
      <c r="C1237" s="645" t="s">
        <v>670</v>
      </c>
      <c r="D1237" s="422" t="s">
        <v>1088</v>
      </c>
      <c r="E1237" s="423"/>
      <c r="F1237" s="424"/>
      <c r="G1237" s="425"/>
      <c r="H1237" s="651"/>
      <c r="I1237" s="420">
        <v>36.799999999999997</v>
      </c>
      <c r="J1237" s="420">
        <f t="shared" si="326"/>
        <v>36.799999999999997</v>
      </c>
      <c r="K1237" s="421">
        <f t="shared" si="325"/>
        <v>43.72</v>
      </c>
      <c r="L1237" s="647" t="s">
        <v>79</v>
      </c>
      <c r="M1237" s="576"/>
      <c r="N1237" s="576">
        <f t="shared" si="328"/>
        <v>0</v>
      </c>
      <c r="O1237" s="577">
        <f t="shared" si="322"/>
        <v>0</v>
      </c>
      <c r="P1237" s="578">
        <f t="shared" si="323"/>
        <v>0</v>
      </c>
      <c r="Q1237" s="765"/>
      <c r="R1237" s="576">
        <f t="shared" si="319"/>
        <v>0</v>
      </c>
      <c r="S1237" s="576">
        <f t="shared" si="319"/>
        <v>0</v>
      </c>
      <c r="T1237" s="577">
        <f t="shared" si="320"/>
        <v>0</v>
      </c>
      <c r="U1237" s="578">
        <f t="shared" si="321"/>
        <v>0</v>
      </c>
      <c r="V1237" s="579"/>
      <c r="W1237" s="566"/>
      <c r="X1237" s="586" t="str">
        <f t="shared" si="324"/>
        <v/>
      </c>
      <c r="Y1237" s="586" t="str">
        <f t="shared" si="318"/>
        <v/>
      </c>
      <c r="Z1237" s="586" t="str">
        <f t="shared" si="327"/>
        <v/>
      </c>
    </row>
    <row r="1238" spans="1:26" ht="23.25" hidden="1" thickBot="1" x14ac:dyDescent="0.25">
      <c r="A1238" s="567">
        <v>92988</v>
      </c>
      <c r="B1238" s="644">
        <v>92988</v>
      </c>
      <c r="C1238" s="645" t="s">
        <v>670</v>
      </c>
      <c r="D1238" s="422" t="s">
        <v>1089</v>
      </c>
      <c r="E1238" s="423"/>
      <c r="F1238" s="424"/>
      <c r="G1238" s="425"/>
      <c r="H1238" s="651"/>
      <c r="I1238" s="420">
        <v>51.6</v>
      </c>
      <c r="J1238" s="420">
        <f t="shared" si="326"/>
        <v>51.6</v>
      </c>
      <c r="K1238" s="421">
        <f t="shared" si="325"/>
        <v>61.31</v>
      </c>
      <c r="L1238" s="647" t="s">
        <v>79</v>
      </c>
      <c r="M1238" s="576"/>
      <c r="N1238" s="576">
        <f t="shared" si="328"/>
        <v>0</v>
      </c>
      <c r="O1238" s="577">
        <f t="shared" si="322"/>
        <v>0</v>
      </c>
      <c r="P1238" s="578">
        <f t="shared" si="323"/>
        <v>0</v>
      </c>
      <c r="Q1238" s="765"/>
      <c r="R1238" s="576">
        <f t="shared" si="319"/>
        <v>0</v>
      </c>
      <c r="S1238" s="576">
        <f t="shared" si="319"/>
        <v>0</v>
      </c>
      <c r="T1238" s="577">
        <f t="shared" si="320"/>
        <v>0</v>
      </c>
      <c r="U1238" s="578">
        <f t="shared" si="321"/>
        <v>0</v>
      </c>
      <c r="V1238" s="579"/>
      <c r="W1238" s="566"/>
      <c r="X1238" s="586" t="str">
        <f t="shared" si="324"/>
        <v/>
      </c>
      <c r="Y1238" s="586" t="str">
        <f t="shared" si="318"/>
        <v/>
      </c>
      <c r="Z1238" s="586" t="str">
        <f t="shared" si="327"/>
        <v/>
      </c>
    </row>
    <row r="1239" spans="1:26" ht="23.25" hidden="1" thickBot="1" x14ac:dyDescent="0.25">
      <c r="A1239" s="567">
        <v>92990</v>
      </c>
      <c r="B1239" s="644">
        <v>92990</v>
      </c>
      <c r="C1239" s="645" t="s">
        <v>670</v>
      </c>
      <c r="D1239" s="422" t="s">
        <v>1090</v>
      </c>
      <c r="E1239" s="423"/>
      <c r="F1239" s="424"/>
      <c r="G1239" s="425"/>
      <c r="H1239" s="651"/>
      <c r="I1239" s="420">
        <v>70.7</v>
      </c>
      <c r="J1239" s="420">
        <f t="shared" si="326"/>
        <v>70.7</v>
      </c>
      <c r="K1239" s="421">
        <f t="shared" si="325"/>
        <v>84</v>
      </c>
      <c r="L1239" s="647" t="s">
        <v>79</v>
      </c>
      <c r="M1239" s="576"/>
      <c r="N1239" s="576">
        <f t="shared" si="328"/>
        <v>0</v>
      </c>
      <c r="O1239" s="577">
        <f t="shared" si="322"/>
        <v>0</v>
      </c>
      <c r="P1239" s="578">
        <f t="shared" si="323"/>
        <v>0</v>
      </c>
      <c r="Q1239" s="765"/>
      <c r="R1239" s="576">
        <f t="shared" si="319"/>
        <v>0</v>
      </c>
      <c r="S1239" s="576">
        <f t="shared" si="319"/>
        <v>0</v>
      </c>
      <c r="T1239" s="577">
        <f t="shared" si="320"/>
        <v>0</v>
      </c>
      <c r="U1239" s="578">
        <f t="shared" si="321"/>
        <v>0</v>
      </c>
      <c r="V1239" s="579"/>
      <c r="W1239" s="566"/>
      <c r="X1239" s="586" t="str">
        <f t="shared" si="324"/>
        <v/>
      </c>
      <c r="Y1239" s="586" t="str">
        <f t="shared" si="318"/>
        <v/>
      </c>
      <c r="Z1239" s="586" t="str">
        <f t="shared" si="327"/>
        <v/>
      </c>
    </row>
    <row r="1240" spans="1:26" ht="23.25" hidden="1" thickBot="1" x14ac:dyDescent="0.25">
      <c r="A1240" s="567">
        <v>92992</v>
      </c>
      <c r="B1240" s="644">
        <v>92992</v>
      </c>
      <c r="C1240" s="645" t="s">
        <v>670</v>
      </c>
      <c r="D1240" s="422" t="s">
        <v>1091</v>
      </c>
      <c r="E1240" s="423"/>
      <c r="F1240" s="424"/>
      <c r="G1240" s="425"/>
      <c r="H1240" s="651"/>
      <c r="I1240" s="420">
        <v>93.34</v>
      </c>
      <c r="J1240" s="420">
        <f t="shared" si="326"/>
        <v>93.34</v>
      </c>
      <c r="K1240" s="421">
        <f t="shared" si="325"/>
        <v>110.9</v>
      </c>
      <c r="L1240" s="647" t="s">
        <v>79</v>
      </c>
      <c r="M1240" s="576"/>
      <c r="N1240" s="576">
        <f t="shared" si="328"/>
        <v>0</v>
      </c>
      <c r="O1240" s="577">
        <f t="shared" si="322"/>
        <v>0</v>
      </c>
      <c r="P1240" s="578">
        <f t="shared" si="323"/>
        <v>0</v>
      </c>
      <c r="Q1240" s="765"/>
      <c r="R1240" s="576">
        <f t="shared" si="319"/>
        <v>0</v>
      </c>
      <c r="S1240" s="576">
        <f t="shared" si="319"/>
        <v>0</v>
      </c>
      <c r="T1240" s="577">
        <f t="shared" si="320"/>
        <v>0</v>
      </c>
      <c r="U1240" s="578">
        <f t="shared" si="321"/>
        <v>0</v>
      </c>
      <c r="V1240" s="579"/>
      <c r="W1240" s="566"/>
      <c r="X1240" s="586" t="str">
        <f t="shared" si="324"/>
        <v/>
      </c>
      <c r="Y1240" s="586" t="str">
        <f t="shared" si="318"/>
        <v/>
      </c>
      <c r="Z1240" s="586" t="str">
        <f t="shared" si="327"/>
        <v/>
      </c>
    </row>
    <row r="1241" spans="1:26" ht="23.25" hidden="1" thickBot="1" x14ac:dyDescent="0.25">
      <c r="A1241" s="567">
        <v>92994</v>
      </c>
      <c r="B1241" s="644">
        <v>92994</v>
      </c>
      <c r="C1241" s="645" t="s">
        <v>670</v>
      </c>
      <c r="D1241" s="422" t="s">
        <v>1092</v>
      </c>
      <c r="E1241" s="423"/>
      <c r="F1241" s="424"/>
      <c r="G1241" s="425"/>
      <c r="H1241" s="651"/>
      <c r="I1241" s="420">
        <v>120.71</v>
      </c>
      <c r="J1241" s="420">
        <f t="shared" si="326"/>
        <v>120.71</v>
      </c>
      <c r="K1241" s="421">
        <f t="shared" si="325"/>
        <v>143.41999999999999</v>
      </c>
      <c r="L1241" s="647" t="s">
        <v>79</v>
      </c>
      <c r="M1241" s="576"/>
      <c r="N1241" s="576">
        <f t="shared" si="328"/>
        <v>0</v>
      </c>
      <c r="O1241" s="577">
        <f t="shared" si="322"/>
        <v>0</v>
      </c>
      <c r="P1241" s="578">
        <f t="shared" si="323"/>
        <v>0</v>
      </c>
      <c r="Q1241" s="765"/>
      <c r="R1241" s="576">
        <f t="shared" si="319"/>
        <v>0</v>
      </c>
      <c r="S1241" s="576">
        <f t="shared" si="319"/>
        <v>0</v>
      </c>
      <c r="T1241" s="577">
        <f t="shared" si="320"/>
        <v>0</v>
      </c>
      <c r="U1241" s="578">
        <f t="shared" si="321"/>
        <v>0</v>
      </c>
      <c r="V1241" s="579"/>
      <c r="W1241" s="566"/>
      <c r="X1241" s="586" t="str">
        <f t="shared" si="324"/>
        <v/>
      </c>
      <c r="Y1241" s="586" t="str">
        <f t="shared" si="318"/>
        <v/>
      </c>
      <c r="Z1241" s="586" t="str">
        <f t="shared" si="327"/>
        <v/>
      </c>
    </row>
    <row r="1242" spans="1:26" ht="23.25" hidden="1" thickBot="1" x14ac:dyDescent="0.25">
      <c r="A1242" s="567">
        <v>92996</v>
      </c>
      <c r="B1242" s="644">
        <v>92996</v>
      </c>
      <c r="C1242" s="645" t="s">
        <v>670</v>
      </c>
      <c r="D1242" s="422" t="s">
        <v>1093</v>
      </c>
      <c r="E1242" s="423"/>
      <c r="F1242" s="424"/>
      <c r="G1242" s="425"/>
      <c r="H1242" s="651"/>
      <c r="I1242" s="420">
        <v>149.13999999999999</v>
      </c>
      <c r="J1242" s="420">
        <f t="shared" si="326"/>
        <v>149.13999999999999</v>
      </c>
      <c r="K1242" s="421">
        <f t="shared" si="325"/>
        <v>177.19</v>
      </c>
      <c r="L1242" s="647" t="s">
        <v>79</v>
      </c>
      <c r="M1242" s="576"/>
      <c r="N1242" s="576">
        <f t="shared" si="328"/>
        <v>0</v>
      </c>
      <c r="O1242" s="577">
        <f t="shared" si="322"/>
        <v>0</v>
      </c>
      <c r="P1242" s="578">
        <f t="shared" si="323"/>
        <v>0</v>
      </c>
      <c r="Q1242" s="765"/>
      <c r="R1242" s="576">
        <f t="shared" si="319"/>
        <v>0</v>
      </c>
      <c r="S1242" s="576">
        <f t="shared" si="319"/>
        <v>0</v>
      </c>
      <c r="T1242" s="577">
        <f t="shared" si="320"/>
        <v>0</v>
      </c>
      <c r="U1242" s="578">
        <f t="shared" si="321"/>
        <v>0</v>
      </c>
      <c r="V1242" s="579"/>
      <c r="W1242" s="566"/>
      <c r="X1242" s="586" t="str">
        <f t="shared" si="324"/>
        <v/>
      </c>
      <c r="Y1242" s="586" t="str">
        <f t="shared" si="318"/>
        <v/>
      </c>
      <c r="Z1242" s="586" t="str">
        <f t="shared" si="327"/>
        <v/>
      </c>
    </row>
    <row r="1243" spans="1:26" ht="23.25" hidden="1" thickBot="1" x14ac:dyDescent="0.25">
      <c r="A1243" s="567">
        <v>92998</v>
      </c>
      <c r="B1243" s="644">
        <v>92998</v>
      </c>
      <c r="C1243" s="645" t="s">
        <v>670</v>
      </c>
      <c r="D1243" s="422" t="s">
        <v>1094</v>
      </c>
      <c r="E1243" s="423"/>
      <c r="F1243" s="424"/>
      <c r="G1243" s="425"/>
      <c r="H1243" s="651"/>
      <c r="I1243" s="420">
        <v>182.4</v>
      </c>
      <c r="J1243" s="420">
        <f t="shared" si="326"/>
        <v>182.4</v>
      </c>
      <c r="K1243" s="421">
        <f t="shared" si="325"/>
        <v>216.71</v>
      </c>
      <c r="L1243" s="647" t="s">
        <v>79</v>
      </c>
      <c r="M1243" s="576"/>
      <c r="N1243" s="576">
        <f t="shared" si="328"/>
        <v>0</v>
      </c>
      <c r="O1243" s="577">
        <f t="shared" si="322"/>
        <v>0</v>
      </c>
      <c r="P1243" s="578">
        <f t="shared" si="323"/>
        <v>0</v>
      </c>
      <c r="Q1243" s="765"/>
      <c r="R1243" s="576">
        <f t="shared" si="319"/>
        <v>0</v>
      </c>
      <c r="S1243" s="576">
        <f t="shared" si="319"/>
        <v>0</v>
      </c>
      <c r="T1243" s="577">
        <f t="shared" si="320"/>
        <v>0</v>
      </c>
      <c r="U1243" s="578">
        <f t="shared" si="321"/>
        <v>0</v>
      </c>
      <c r="V1243" s="579"/>
      <c r="W1243" s="566"/>
      <c r="X1243" s="586" t="str">
        <f t="shared" si="324"/>
        <v/>
      </c>
      <c r="Y1243" s="586" t="str">
        <f t="shared" si="318"/>
        <v/>
      </c>
      <c r="Z1243" s="586" t="str">
        <f t="shared" si="327"/>
        <v/>
      </c>
    </row>
    <row r="1244" spans="1:26" ht="23.25" hidden="1" thickBot="1" x14ac:dyDescent="0.25">
      <c r="A1244" s="567">
        <v>93000</v>
      </c>
      <c r="B1244" s="644">
        <v>93000</v>
      </c>
      <c r="C1244" s="645" t="s">
        <v>670</v>
      </c>
      <c r="D1244" s="422" t="s">
        <v>1095</v>
      </c>
      <c r="E1244" s="423"/>
      <c r="F1244" s="424"/>
      <c r="G1244" s="425"/>
      <c r="H1244" s="651"/>
      <c r="I1244" s="420">
        <v>239.37</v>
      </c>
      <c r="J1244" s="420">
        <f t="shared" si="326"/>
        <v>239.37</v>
      </c>
      <c r="K1244" s="421">
        <f t="shared" si="325"/>
        <v>284.39999999999998</v>
      </c>
      <c r="L1244" s="647" t="s">
        <v>79</v>
      </c>
      <c r="M1244" s="576"/>
      <c r="N1244" s="576">
        <f t="shared" si="328"/>
        <v>0</v>
      </c>
      <c r="O1244" s="577">
        <f t="shared" si="322"/>
        <v>0</v>
      </c>
      <c r="P1244" s="578">
        <f t="shared" si="323"/>
        <v>0</v>
      </c>
      <c r="Q1244" s="765"/>
      <c r="R1244" s="576">
        <f t="shared" si="319"/>
        <v>0</v>
      </c>
      <c r="S1244" s="576">
        <f t="shared" si="319"/>
        <v>0</v>
      </c>
      <c r="T1244" s="577">
        <f t="shared" si="320"/>
        <v>0</v>
      </c>
      <c r="U1244" s="578">
        <f t="shared" si="321"/>
        <v>0</v>
      </c>
      <c r="V1244" s="579"/>
      <c r="W1244" s="566"/>
      <c r="X1244" s="586" t="str">
        <f t="shared" si="324"/>
        <v/>
      </c>
      <c r="Y1244" s="586" t="str">
        <f t="shared" si="318"/>
        <v/>
      </c>
      <c r="Z1244" s="586" t="str">
        <f t="shared" si="327"/>
        <v/>
      </c>
    </row>
    <row r="1245" spans="1:26" ht="23.25" hidden="1" thickBot="1" x14ac:dyDescent="0.25">
      <c r="A1245" s="567">
        <v>93002</v>
      </c>
      <c r="B1245" s="644">
        <v>93002</v>
      </c>
      <c r="C1245" s="645" t="s">
        <v>670</v>
      </c>
      <c r="D1245" s="422" t="s">
        <v>1096</v>
      </c>
      <c r="E1245" s="423"/>
      <c r="F1245" s="424"/>
      <c r="G1245" s="425"/>
      <c r="H1245" s="651"/>
      <c r="I1245" s="420">
        <v>299.02999999999997</v>
      </c>
      <c r="J1245" s="420">
        <f t="shared" si="326"/>
        <v>299.02999999999997</v>
      </c>
      <c r="K1245" s="421">
        <f t="shared" si="325"/>
        <v>355.28</v>
      </c>
      <c r="L1245" s="647" t="s">
        <v>79</v>
      </c>
      <c r="M1245" s="576"/>
      <c r="N1245" s="576">
        <f t="shared" si="328"/>
        <v>0</v>
      </c>
      <c r="O1245" s="577">
        <f t="shared" si="322"/>
        <v>0</v>
      </c>
      <c r="P1245" s="578">
        <f t="shared" si="323"/>
        <v>0</v>
      </c>
      <c r="Q1245" s="765"/>
      <c r="R1245" s="576">
        <f t="shared" si="319"/>
        <v>0</v>
      </c>
      <c r="S1245" s="576">
        <f t="shared" si="319"/>
        <v>0</v>
      </c>
      <c r="T1245" s="577">
        <f t="shared" si="320"/>
        <v>0</v>
      </c>
      <c r="U1245" s="578">
        <f t="shared" si="321"/>
        <v>0</v>
      </c>
      <c r="V1245" s="579"/>
      <c r="W1245" s="566"/>
      <c r="X1245" s="586" t="str">
        <f t="shared" si="324"/>
        <v/>
      </c>
      <c r="Y1245" s="586" t="str">
        <f t="shared" si="318"/>
        <v/>
      </c>
      <c r="Z1245" s="586" t="str">
        <f t="shared" si="327"/>
        <v/>
      </c>
    </row>
    <row r="1246" spans="1:26" ht="23.25" hidden="1" thickBot="1" x14ac:dyDescent="0.25">
      <c r="A1246" s="567">
        <v>101884</v>
      </c>
      <c r="B1246" s="644">
        <v>101884</v>
      </c>
      <c r="C1246" s="645" t="s">
        <v>670</v>
      </c>
      <c r="D1246" s="422" t="s">
        <v>1097</v>
      </c>
      <c r="E1246" s="423"/>
      <c r="F1246" s="424"/>
      <c r="G1246" s="425"/>
      <c r="H1246" s="651"/>
      <c r="I1246" s="420">
        <v>9.7899999999999991</v>
      </c>
      <c r="J1246" s="420">
        <f t="shared" si="326"/>
        <v>9.7899999999999991</v>
      </c>
      <c r="K1246" s="421">
        <f t="shared" si="325"/>
        <v>11.63</v>
      </c>
      <c r="L1246" s="647" t="s">
        <v>79</v>
      </c>
      <c r="M1246" s="576"/>
      <c r="N1246" s="576">
        <f t="shared" si="328"/>
        <v>0</v>
      </c>
      <c r="O1246" s="577">
        <f t="shared" si="322"/>
        <v>0</v>
      </c>
      <c r="P1246" s="578">
        <f t="shared" si="323"/>
        <v>0</v>
      </c>
      <c r="Q1246" s="765"/>
      <c r="R1246" s="576">
        <f t="shared" si="319"/>
        <v>0</v>
      </c>
      <c r="S1246" s="576">
        <f t="shared" si="319"/>
        <v>0</v>
      </c>
      <c r="T1246" s="577">
        <f t="shared" si="320"/>
        <v>0</v>
      </c>
      <c r="U1246" s="578">
        <f t="shared" si="321"/>
        <v>0</v>
      </c>
      <c r="V1246" s="579"/>
      <c r="W1246" s="566"/>
      <c r="X1246" s="586" t="str">
        <f t="shared" si="324"/>
        <v/>
      </c>
      <c r="Y1246" s="586" t="str">
        <f t="shared" si="318"/>
        <v/>
      </c>
      <c r="Z1246" s="586" t="str">
        <f t="shared" si="327"/>
        <v/>
      </c>
    </row>
    <row r="1247" spans="1:26" ht="23.25" hidden="1" thickBot="1" x14ac:dyDescent="0.25">
      <c r="A1247" s="567">
        <v>101885</v>
      </c>
      <c r="B1247" s="644">
        <v>101885</v>
      </c>
      <c r="C1247" s="645" t="s">
        <v>670</v>
      </c>
      <c r="D1247" s="422" t="s">
        <v>1098</v>
      </c>
      <c r="E1247" s="423"/>
      <c r="F1247" s="424"/>
      <c r="G1247" s="425"/>
      <c r="H1247" s="651"/>
      <c r="I1247" s="420">
        <v>10.65</v>
      </c>
      <c r="J1247" s="420">
        <f t="shared" si="326"/>
        <v>10.65</v>
      </c>
      <c r="K1247" s="421">
        <f t="shared" si="325"/>
        <v>12.65</v>
      </c>
      <c r="L1247" s="647" t="s">
        <v>79</v>
      </c>
      <c r="M1247" s="576"/>
      <c r="N1247" s="576">
        <f t="shared" si="328"/>
        <v>0</v>
      </c>
      <c r="O1247" s="577">
        <f t="shared" si="322"/>
        <v>0</v>
      </c>
      <c r="P1247" s="578">
        <f t="shared" si="323"/>
        <v>0</v>
      </c>
      <c r="Q1247" s="765"/>
      <c r="R1247" s="576">
        <f t="shared" si="319"/>
        <v>0</v>
      </c>
      <c r="S1247" s="576">
        <f t="shared" si="319"/>
        <v>0</v>
      </c>
      <c r="T1247" s="577">
        <f t="shared" si="320"/>
        <v>0</v>
      </c>
      <c r="U1247" s="578">
        <f t="shared" si="321"/>
        <v>0</v>
      </c>
      <c r="V1247" s="579"/>
      <c r="W1247" s="566"/>
      <c r="X1247" s="586" t="str">
        <f t="shared" si="324"/>
        <v/>
      </c>
      <c r="Y1247" s="586" t="str">
        <f t="shared" si="318"/>
        <v/>
      </c>
      <c r="Z1247" s="586" t="str">
        <f t="shared" si="327"/>
        <v/>
      </c>
    </row>
    <row r="1248" spans="1:26" ht="23.25" hidden="1" thickBot="1" x14ac:dyDescent="0.25">
      <c r="A1248" s="567">
        <v>101886</v>
      </c>
      <c r="B1248" s="644">
        <v>101886</v>
      </c>
      <c r="C1248" s="645" t="s">
        <v>670</v>
      </c>
      <c r="D1248" s="422" t="s">
        <v>1099</v>
      </c>
      <c r="E1248" s="423"/>
      <c r="F1248" s="424"/>
      <c r="G1248" s="425"/>
      <c r="H1248" s="651"/>
      <c r="I1248" s="420">
        <v>15.13</v>
      </c>
      <c r="J1248" s="420">
        <f t="shared" si="326"/>
        <v>15.13</v>
      </c>
      <c r="K1248" s="421">
        <f t="shared" si="325"/>
        <v>17.98</v>
      </c>
      <c r="L1248" s="647" t="s">
        <v>79</v>
      </c>
      <c r="M1248" s="576"/>
      <c r="N1248" s="576">
        <f t="shared" si="328"/>
        <v>0</v>
      </c>
      <c r="O1248" s="577">
        <f t="shared" si="322"/>
        <v>0</v>
      </c>
      <c r="P1248" s="578">
        <f t="shared" si="323"/>
        <v>0</v>
      </c>
      <c r="Q1248" s="765"/>
      <c r="R1248" s="576">
        <f t="shared" si="319"/>
        <v>0</v>
      </c>
      <c r="S1248" s="576">
        <f t="shared" si="319"/>
        <v>0</v>
      </c>
      <c r="T1248" s="577">
        <f t="shared" si="320"/>
        <v>0</v>
      </c>
      <c r="U1248" s="578">
        <f t="shared" si="321"/>
        <v>0</v>
      </c>
      <c r="V1248" s="579"/>
      <c r="W1248" s="566"/>
      <c r="X1248" s="586" t="str">
        <f t="shared" si="324"/>
        <v/>
      </c>
      <c r="Y1248" s="586" t="str">
        <f t="shared" si="318"/>
        <v/>
      </c>
      <c r="Z1248" s="586" t="str">
        <f t="shared" si="327"/>
        <v/>
      </c>
    </row>
    <row r="1249" spans="1:26" ht="23.25" hidden="1" thickBot="1" x14ac:dyDescent="0.25">
      <c r="A1249" s="567">
        <v>101887</v>
      </c>
      <c r="B1249" s="644">
        <v>101887</v>
      </c>
      <c r="C1249" s="645" t="s">
        <v>670</v>
      </c>
      <c r="D1249" s="422" t="s">
        <v>1100</v>
      </c>
      <c r="E1249" s="423"/>
      <c r="F1249" s="424"/>
      <c r="G1249" s="425"/>
      <c r="H1249" s="651"/>
      <c r="I1249" s="420">
        <v>16.38</v>
      </c>
      <c r="J1249" s="420">
        <f t="shared" si="326"/>
        <v>16.38</v>
      </c>
      <c r="K1249" s="421">
        <f t="shared" si="325"/>
        <v>19.46</v>
      </c>
      <c r="L1249" s="647" t="s">
        <v>79</v>
      </c>
      <c r="M1249" s="576"/>
      <c r="N1249" s="576">
        <f t="shared" si="328"/>
        <v>0</v>
      </c>
      <c r="O1249" s="577">
        <f t="shared" si="322"/>
        <v>0</v>
      </c>
      <c r="P1249" s="578">
        <f t="shared" si="323"/>
        <v>0</v>
      </c>
      <c r="Q1249" s="765"/>
      <c r="R1249" s="576">
        <f t="shared" si="319"/>
        <v>0</v>
      </c>
      <c r="S1249" s="576">
        <f t="shared" si="319"/>
        <v>0</v>
      </c>
      <c r="T1249" s="577">
        <f t="shared" si="320"/>
        <v>0</v>
      </c>
      <c r="U1249" s="578">
        <f t="shared" si="321"/>
        <v>0</v>
      </c>
      <c r="V1249" s="579"/>
      <c r="W1249" s="566"/>
      <c r="X1249" s="586" t="str">
        <f t="shared" si="324"/>
        <v/>
      </c>
      <c r="Y1249" s="586" t="str">
        <f t="shared" si="318"/>
        <v/>
      </c>
      <c r="Z1249" s="586" t="str">
        <f t="shared" si="327"/>
        <v/>
      </c>
    </row>
    <row r="1250" spans="1:26" ht="23.25" hidden="1" thickBot="1" x14ac:dyDescent="0.25">
      <c r="A1250" s="567">
        <v>101888</v>
      </c>
      <c r="B1250" s="644">
        <v>101888</v>
      </c>
      <c r="C1250" s="645" t="s">
        <v>670</v>
      </c>
      <c r="D1250" s="422" t="s">
        <v>1101</v>
      </c>
      <c r="E1250" s="423"/>
      <c r="F1250" s="424"/>
      <c r="G1250" s="425"/>
      <c r="H1250" s="651"/>
      <c r="I1250" s="420">
        <v>24.28</v>
      </c>
      <c r="J1250" s="420">
        <f t="shared" si="326"/>
        <v>24.28</v>
      </c>
      <c r="K1250" s="421">
        <f t="shared" si="325"/>
        <v>28.85</v>
      </c>
      <c r="L1250" s="647" t="s">
        <v>79</v>
      </c>
      <c r="M1250" s="576"/>
      <c r="N1250" s="576">
        <f t="shared" si="328"/>
        <v>0</v>
      </c>
      <c r="O1250" s="577">
        <f t="shared" si="322"/>
        <v>0</v>
      </c>
      <c r="P1250" s="578">
        <f t="shared" si="323"/>
        <v>0</v>
      </c>
      <c r="Q1250" s="765"/>
      <c r="R1250" s="576">
        <f t="shared" si="319"/>
        <v>0</v>
      </c>
      <c r="S1250" s="576">
        <f t="shared" si="319"/>
        <v>0</v>
      </c>
      <c r="T1250" s="577">
        <f t="shared" si="320"/>
        <v>0</v>
      </c>
      <c r="U1250" s="578">
        <f t="shared" si="321"/>
        <v>0</v>
      </c>
      <c r="V1250" s="579"/>
      <c r="W1250" s="566"/>
      <c r="X1250" s="586" t="str">
        <f t="shared" si="324"/>
        <v/>
      </c>
      <c r="Y1250" s="586" t="str">
        <f t="shared" si="318"/>
        <v/>
      </c>
      <c r="Z1250" s="586" t="str">
        <f t="shared" si="327"/>
        <v/>
      </c>
    </row>
    <row r="1251" spans="1:26" ht="23.25" hidden="1" thickBot="1" x14ac:dyDescent="0.25">
      <c r="A1251" s="567">
        <v>101889</v>
      </c>
      <c r="B1251" s="644">
        <v>101889</v>
      </c>
      <c r="C1251" s="645" t="s">
        <v>670</v>
      </c>
      <c r="D1251" s="422" t="s">
        <v>1102</v>
      </c>
      <c r="E1251" s="423"/>
      <c r="F1251" s="424"/>
      <c r="G1251" s="425"/>
      <c r="H1251" s="651"/>
      <c r="I1251" s="420">
        <v>24.98</v>
      </c>
      <c r="J1251" s="420">
        <f t="shared" si="326"/>
        <v>24.98</v>
      </c>
      <c r="K1251" s="421">
        <f t="shared" si="325"/>
        <v>29.68</v>
      </c>
      <c r="L1251" s="647" t="s">
        <v>79</v>
      </c>
      <c r="M1251" s="576"/>
      <c r="N1251" s="576">
        <f t="shared" si="328"/>
        <v>0</v>
      </c>
      <c r="O1251" s="577">
        <f t="shared" si="322"/>
        <v>0</v>
      </c>
      <c r="P1251" s="578">
        <f t="shared" si="323"/>
        <v>0</v>
      </c>
      <c r="Q1251" s="765"/>
      <c r="R1251" s="576">
        <f t="shared" si="319"/>
        <v>0</v>
      </c>
      <c r="S1251" s="576">
        <f t="shared" si="319"/>
        <v>0</v>
      </c>
      <c r="T1251" s="577">
        <f t="shared" si="320"/>
        <v>0</v>
      </c>
      <c r="U1251" s="578">
        <f t="shared" si="321"/>
        <v>0</v>
      </c>
      <c r="V1251" s="579"/>
      <c r="W1251" s="566"/>
      <c r="X1251" s="586" t="str">
        <f t="shared" si="324"/>
        <v/>
      </c>
      <c r="Y1251" s="586" t="str">
        <f t="shared" ref="Y1251:Y1314" si="329">IF(W1251="X","x",IF(W1251="y","x",IF(W1251="xx","x",IF(U1251&gt;0,"x",""))))</f>
        <v/>
      </c>
      <c r="Z1251" s="586" t="str">
        <f t="shared" si="327"/>
        <v/>
      </c>
    </row>
    <row r="1252" spans="1:26" ht="23.25" hidden="1" thickBot="1" x14ac:dyDescent="0.25">
      <c r="A1252" s="567">
        <v>101560</v>
      </c>
      <c r="B1252" s="644">
        <v>101560</v>
      </c>
      <c r="C1252" s="645" t="s">
        <v>670</v>
      </c>
      <c r="D1252" s="422" t="s">
        <v>1103</v>
      </c>
      <c r="E1252" s="423"/>
      <c r="F1252" s="424"/>
      <c r="G1252" s="425"/>
      <c r="H1252" s="651"/>
      <c r="I1252" s="420">
        <v>10.62</v>
      </c>
      <c r="J1252" s="420">
        <f t="shared" si="326"/>
        <v>10.62</v>
      </c>
      <c r="K1252" s="421">
        <f t="shared" si="325"/>
        <v>12.62</v>
      </c>
      <c r="L1252" s="647" t="s">
        <v>79</v>
      </c>
      <c r="M1252" s="576"/>
      <c r="N1252" s="576">
        <f t="shared" si="328"/>
        <v>0</v>
      </c>
      <c r="O1252" s="577">
        <f t="shared" si="322"/>
        <v>0</v>
      </c>
      <c r="P1252" s="578">
        <f t="shared" si="323"/>
        <v>0</v>
      </c>
      <c r="Q1252" s="765"/>
      <c r="R1252" s="576">
        <f t="shared" si="319"/>
        <v>0</v>
      </c>
      <c r="S1252" s="576">
        <f t="shared" si="319"/>
        <v>0</v>
      </c>
      <c r="T1252" s="577">
        <f t="shared" si="320"/>
        <v>0</v>
      </c>
      <c r="U1252" s="578">
        <f t="shared" si="321"/>
        <v>0</v>
      </c>
      <c r="V1252" s="579"/>
      <c r="W1252" s="566"/>
      <c r="X1252" s="586" t="str">
        <f t="shared" si="324"/>
        <v/>
      </c>
      <c r="Y1252" s="586" t="str">
        <f t="shared" si="329"/>
        <v/>
      </c>
      <c r="Z1252" s="586" t="str">
        <f t="shared" si="327"/>
        <v/>
      </c>
    </row>
    <row r="1253" spans="1:26" ht="23.25" hidden="1" thickBot="1" x14ac:dyDescent="0.25">
      <c r="A1253" s="567">
        <v>101561</v>
      </c>
      <c r="B1253" s="644">
        <v>101561</v>
      </c>
      <c r="C1253" s="645" t="s">
        <v>670</v>
      </c>
      <c r="D1253" s="422" t="s">
        <v>1104</v>
      </c>
      <c r="E1253" s="423"/>
      <c r="F1253" s="424"/>
      <c r="G1253" s="425"/>
      <c r="H1253" s="651"/>
      <c r="I1253" s="420">
        <v>16.25</v>
      </c>
      <c r="J1253" s="420">
        <f t="shared" si="326"/>
        <v>16.25</v>
      </c>
      <c r="K1253" s="421">
        <f t="shared" si="325"/>
        <v>19.309999999999999</v>
      </c>
      <c r="L1253" s="647" t="s">
        <v>79</v>
      </c>
      <c r="M1253" s="576"/>
      <c r="N1253" s="576">
        <f t="shared" si="328"/>
        <v>0</v>
      </c>
      <c r="O1253" s="577">
        <f t="shared" si="322"/>
        <v>0</v>
      </c>
      <c r="P1253" s="578">
        <f t="shared" si="323"/>
        <v>0</v>
      </c>
      <c r="Q1253" s="765"/>
      <c r="R1253" s="576">
        <f t="shared" si="319"/>
        <v>0</v>
      </c>
      <c r="S1253" s="576">
        <f t="shared" si="319"/>
        <v>0</v>
      </c>
      <c r="T1253" s="577">
        <f t="shared" si="320"/>
        <v>0</v>
      </c>
      <c r="U1253" s="578">
        <f t="shared" si="321"/>
        <v>0</v>
      </c>
      <c r="V1253" s="579"/>
      <c r="W1253" s="566"/>
      <c r="X1253" s="586" t="str">
        <f t="shared" si="324"/>
        <v/>
      </c>
      <c r="Y1253" s="586" t="str">
        <f t="shared" si="329"/>
        <v/>
      </c>
      <c r="Z1253" s="586" t="str">
        <f t="shared" si="327"/>
        <v/>
      </c>
    </row>
    <row r="1254" spans="1:26" ht="23.25" hidden="1" thickBot="1" x14ac:dyDescent="0.25">
      <c r="A1254" s="567">
        <v>101562</v>
      </c>
      <c r="B1254" s="644">
        <v>101562</v>
      </c>
      <c r="C1254" s="645" t="s">
        <v>670</v>
      </c>
      <c r="D1254" s="422" t="s">
        <v>1105</v>
      </c>
      <c r="E1254" s="423"/>
      <c r="F1254" s="424"/>
      <c r="G1254" s="425"/>
      <c r="H1254" s="651"/>
      <c r="I1254" s="420">
        <v>24.7</v>
      </c>
      <c r="J1254" s="420">
        <f t="shared" si="326"/>
        <v>24.7</v>
      </c>
      <c r="K1254" s="421">
        <f t="shared" si="325"/>
        <v>29.35</v>
      </c>
      <c r="L1254" s="647" t="s">
        <v>79</v>
      </c>
      <c r="M1254" s="576"/>
      <c r="N1254" s="576">
        <f t="shared" si="328"/>
        <v>0</v>
      </c>
      <c r="O1254" s="577">
        <f t="shared" si="322"/>
        <v>0</v>
      </c>
      <c r="P1254" s="578">
        <f t="shared" si="323"/>
        <v>0</v>
      </c>
      <c r="Q1254" s="765"/>
      <c r="R1254" s="576">
        <f t="shared" si="319"/>
        <v>0</v>
      </c>
      <c r="S1254" s="576">
        <f t="shared" si="319"/>
        <v>0</v>
      </c>
      <c r="T1254" s="577">
        <f t="shared" si="320"/>
        <v>0</v>
      </c>
      <c r="U1254" s="578">
        <f t="shared" si="321"/>
        <v>0</v>
      </c>
      <c r="V1254" s="579"/>
      <c r="W1254" s="566"/>
      <c r="X1254" s="586" t="str">
        <f t="shared" si="324"/>
        <v/>
      </c>
      <c r="Y1254" s="586" t="str">
        <f t="shared" si="329"/>
        <v/>
      </c>
      <c r="Z1254" s="586" t="str">
        <f t="shared" si="327"/>
        <v/>
      </c>
    </row>
    <row r="1255" spans="1:26" ht="23.25" hidden="1" thickBot="1" x14ac:dyDescent="0.25">
      <c r="A1255" s="567">
        <v>101563</v>
      </c>
      <c r="B1255" s="644">
        <v>101563</v>
      </c>
      <c r="C1255" s="645" t="s">
        <v>670</v>
      </c>
      <c r="D1255" s="422" t="s">
        <v>1106</v>
      </c>
      <c r="E1255" s="423"/>
      <c r="F1255" s="424"/>
      <c r="G1255" s="425"/>
      <c r="H1255" s="651"/>
      <c r="I1255" s="420">
        <v>34.020000000000003</v>
      </c>
      <c r="J1255" s="420">
        <f t="shared" si="326"/>
        <v>34.020000000000003</v>
      </c>
      <c r="K1255" s="421">
        <f t="shared" si="325"/>
        <v>40.42</v>
      </c>
      <c r="L1255" s="647" t="s">
        <v>79</v>
      </c>
      <c r="M1255" s="576"/>
      <c r="N1255" s="576">
        <f t="shared" si="328"/>
        <v>0</v>
      </c>
      <c r="O1255" s="577">
        <f t="shared" si="322"/>
        <v>0</v>
      </c>
      <c r="P1255" s="578">
        <f t="shared" si="323"/>
        <v>0</v>
      </c>
      <c r="Q1255" s="765"/>
      <c r="R1255" s="576">
        <f t="shared" si="319"/>
        <v>0</v>
      </c>
      <c r="S1255" s="576">
        <f t="shared" si="319"/>
        <v>0</v>
      </c>
      <c r="T1255" s="577">
        <f t="shared" si="320"/>
        <v>0</v>
      </c>
      <c r="U1255" s="578">
        <f t="shared" si="321"/>
        <v>0</v>
      </c>
      <c r="V1255" s="579"/>
      <c r="W1255" s="566"/>
      <c r="X1255" s="586" t="str">
        <f t="shared" si="324"/>
        <v/>
      </c>
      <c r="Y1255" s="586" t="str">
        <f t="shared" si="329"/>
        <v/>
      </c>
      <c r="Z1255" s="586" t="str">
        <f t="shared" si="327"/>
        <v/>
      </c>
    </row>
    <row r="1256" spans="1:26" ht="23.25" hidden="1" thickBot="1" x14ac:dyDescent="0.25">
      <c r="A1256" s="567">
        <v>101564</v>
      </c>
      <c r="B1256" s="644">
        <v>101564</v>
      </c>
      <c r="C1256" s="645" t="s">
        <v>670</v>
      </c>
      <c r="D1256" s="422" t="s">
        <v>1107</v>
      </c>
      <c r="E1256" s="423"/>
      <c r="F1256" s="424"/>
      <c r="G1256" s="425"/>
      <c r="H1256" s="651"/>
      <c r="I1256" s="420">
        <v>48.46</v>
      </c>
      <c r="J1256" s="420">
        <f t="shared" si="326"/>
        <v>48.46</v>
      </c>
      <c r="K1256" s="421">
        <f t="shared" si="325"/>
        <v>57.58</v>
      </c>
      <c r="L1256" s="647" t="s">
        <v>79</v>
      </c>
      <c r="M1256" s="576"/>
      <c r="N1256" s="576">
        <f t="shared" si="328"/>
        <v>0</v>
      </c>
      <c r="O1256" s="577">
        <f t="shared" si="322"/>
        <v>0</v>
      </c>
      <c r="P1256" s="578">
        <f t="shared" si="323"/>
        <v>0</v>
      </c>
      <c r="Q1256" s="765"/>
      <c r="R1256" s="576">
        <f t="shared" si="319"/>
        <v>0</v>
      </c>
      <c r="S1256" s="576">
        <f t="shared" si="319"/>
        <v>0</v>
      </c>
      <c r="T1256" s="577">
        <f t="shared" si="320"/>
        <v>0</v>
      </c>
      <c r="U1256" s="578">
        <f t="shared" si="321"/>
        <v>0</v>
      </c>
      <c r="V1256" s="579"/>
      <c r="W1256" s="566"/>
      <c r="X1256" s="586" t="str">
        <f t="shared" si="324"/>
        <v/>
      </c>
      <c r="Y1256" s="586" t="str">
        <f t="shared" si="329"/>
        <v/>
      </c>
      <c r="Z1256" s="586" t="str">
        <f t="shared" si="327"/>
        <v/>
      </c>
    </row>
    <row r="1257" spans="1:26" ht="23.25" hidden="1" thickBot="1" x14ac:dyDescent="0.25">
      <c r="A1257" s="567">
        <v>101565</v>
      </c>
      <c r="B1257" s="644">
        <v>101565</v>
      </c>
      <c r="C1257" s="645" t="s">
        <v>670</v>
      </c>
      <c r="D1257" s="422" t="s">
        <v>1108</v>
      </c>
      <c r="E1257" s="423"/>
      <c r="F1257" s="424"/>
      <c r="G1257" s="425"/>
      <c r="H1257" s="651"/>
      <c r="I1257" s="420">
        <v>67.099999999999994</v>
      </c>
      <c r="J1257" s="420">
        <f t="shared" si="326"/>
        <v>67.099999999999994</v>
      </c>
      <c r="K1257" s="421">
        <f t="shared" si="325"/>
        <v>79.72</v>
      </c>
      <c r="L1257" s="647" t="s">
        <v>79</v>
      </c>
      <c r="M1257" s="576"/>
      <c r="N1257" s="576">
        <f t="shared" si="328"/>
        <v>0</v>
      </c>
      <c r="O1257" s="577">
        <f t="shared" si="322"/>
        <v>0</v>
      </c>
      <c r="P1257" s="578">
        <f t="shared" si="323"/>
        <v>0</v>
      </c>
      <c r="Q1257" s="765"/>
      <c r="R1257" s="576">
        <f t="shared" si="319"/>
        <v>0</v>
      </c>
      <c r="S1257" s="576">
        <f t="shared" si="319"/>
        <v>0</v>
      </c>
      <c r="T1257" s="577">
        <f t="shared" si="320"/>
        <v>0</v>
      </c>
      <c r="U1257" s="578">
        <f t="shared" si="321"/>
        <v>0</v>
      </c>
      <c r="V1257" s="579"/>
      <c r="W1257" s="566"/>
      <c r="X1257" s="586" t="str">
        <f t="shared" si="324"/>
        <v/>
      </c>
      <c r="Y1257" s="586" t="str">
        <f t="shared" si="329"/>
        <v/>
      </c>
      <c r="Z1257" s="586" t="str">
        <f t="shared" si="327"/>
        <v/>
      </c>
    </row>
    <row r="1258" spans="1:26" ht="23.25" hidden="1" thickBot="1" x14ac:dyDescent="0.25">
      <c r="A1258" s="567">
        <v>101567</v>
      </c>
      <c r="B1258" s="644">
        <v>101567</v>
      </c>
      <c r="C1258" s="645" t="s">
        <v>670</v>
      </c>
      <c r="D1258" s="422" t="s">
        <v>1109</v>
      </c>
      <c r="E1258" s="423"/>
      <c r="F1258" s="424"/>
      <c r="G1258" s="425"/>
      <c r="H1258" s="651"/>
      <c r="I1258" s="420">
        <v>89.12</v>
      </c>
      <c r="J1258" s="420">
        <f t="shared" si="326"/>
        <v>89.12</v>
      </c>
      <c r="K1258" s="421">
        <f t="shared" si="325"/>
        <v>105.88</v>
      </c>
      <c r="L1258" s="647" t="s">
        <v>79</v>
      </c>
      <c r="M1258" s="576"/>
      <c r="N1258" s="576">
        <f t="shared" si="328"/>
        <v>0</v>
      </c>
      <c r="O1258" s="577">
        <f t="shared" si="322"/>
        <v>0</v>
      </c>
      <c r="P1258" s="578">
        <f t="shared" si="323"/>
        <v>0</v>
      </c>
      <c r="Q1258" s="765"/>
      <c r="R1258" s="576">
        <f t="shared" ref="R1258:S1321" si="330">M1258</f>
        <v>0</v>
      </c>
      <c r="S1258" s="576">
        <f t="shared" si="330"/>
        <v>0</v>
      </c>
      <c r="T1258" s="577">
        <f t="shared" si="320"/>
        <v>0</v>
      </c>
      <c r="U1258" s="578">
        <f t="shared" si="321"/>
        <v>0</v>
      </c>
      <c r="V1258" s="579"/>
      <c r="W1258" s="566"/>
      <c r="X1258" s="586" t="str">
        <f t="shared" si="324"/>
        <v/>
      </c>
      <c r="Y1258" s="586" t="str">
        <f t="shared" si="329"/>
        <v/>
      </c>
      <c r="Z1258" s="586" t="str">
        <f t="shared" si="327"/>
        <v/>
      </c>
    </row>
    <row r="1259" spans="1:26" ht="23.25" hidden="1" thickBot="1" x14ac:dyDescent="0.25">
      <c r="A1259" s="567">
        <v>101568</v>
      </c>
      <c r="B1259" s="644">
        <v>101568</v>
      </c>
      <c r="C1259" s="645" t="s">
        <v>670</v>
      </c>
      <c r="D1259" s="422" t="s">
        <v>1110</v>
      </c>
      <c r="E1259" s="423"/>
      <c r="F1259" s="424"/>
      <c r="G1259" s="425"/>
      <c r="H1259" s="651"/>
      <c r="I1259" s="420">
        <v>115.98</v>
      </c>
      <c r="J1259" s="420">
        <f t="shared" si="326"/>
        <v>115.98</v>
      </c>
      <c r="K1259" s="421">
        <f t="shared" si="325"/>
        <v>137.80000000000001</v>
      </c>
      <c r="L1259" s="647" t="s">
        <v>79</v>
      </c>
      <c r="M1259" s="576"/>
      <c r="N1259" s="576">
        <f t="shared" si="328"/>
        <v>0</v>
      </c>
      <c r="O1259" s="577">
        <f t="shared" si="322"/>
        <v>0</v>
      </c>
      <c r="P1259" s="578">
        <f t="shared" si="323"/>
        <v>0</v>
      </c>
      <c r="Q1259" s="765"/>
      <c r="R1259" s="576">
        <f t="shared" si="330"/>
        <v>0</v>
      </c>
      <c r="S1259" s="576">
        <f t="shared" si="330"/>
        <v>0</v>
      </c>
      <c r="T1259" s="577">
        <f t="shared" si="320"/>
        <v>0</v>
      </c>
      <c r="U1259" s="578">
        <f t="shared" si="321"/>
        <v>0</v>
      </c>
      <c r="V1259" s="579"/>
      <c r="W1259" s="566"/>
      <c r="X1259" s="586" t="str">
        <f t="shared" si="324"/>
        <v/>
      </c>
      <c r="Y1259" s="586" t="str">
        <f t="shared" si="329"/>
        <v/>
      </c>
      <c r="Z1259" s="586" t="str">
        <f t="shared" si="327"/>
        <v/>
      </c>
    </row>
    <row r="1260" spans="1:26" ht="23.25" hidden="1" thickBot="1" x14ac:dyDescent="0.25">
      <c r="A1260" s="567">
        <v>95777</v>
      </c>
      <c r="B1260" s="644">
        <v>95777</v>
      </c>
      <c r="C1260" s="645" t="s">
        <v>670</v>
      </c>
      <c r="D1260" s="422" t="s">
        <v>1111</v>
      </c>
      <c r="E1260" s="423"/>
      <c r="F1260" s="424"/>
      <c r="G1260" s="425"/>
      <c r="H1260" s="651"/>
      <c r="I1260" s="420">
        <v>31.07</v>
      </c>
      <c r="J1260" s="420">
        <f t="shared" si="326"/>
        <v>31.07</v>
      </c>
      <c r="K1260" s="421">
        <f t="shared" si="325"/>
        <v>36.909999999999997</v>
      </c>
      <c r="L1260" s="647" t="s">
        <v>2065</v>
      </c>
      <c r="M1260" s="576"/>
      <c r="N1260" s="576">
        <f t="shared" si="328"/>
        <v>0</v>
      </c>
      <c r="O1260" s="577">
        <f t="shared" si="322"/>
        <v>0</v>
      </c>
      <c r="P1260" s="578">
        <f t="shared" si="323"/>
        <v>0</v>
      </c>
      <c r="Q1260" s="765"/>
      <c r="R1260" s="576">
        <f t="shared" si="330"/>
        <v>0</v>
      </c>
      <c r="S1260" s="576">
        <f t="shared" si="330"/>
        <v>0</v>
      </c>
      <c r="T1260" s="577">
        <f t="shared" si="320"/>
        <v>0</v>
      </c>
      <c r="U1260" s="578">
        <f t="shared" si="321"/>
        <v>0</v>
      </c>
      <c r="V1260" s="579"/>
      <c r="W1260" s="566"/>
      <c r="X1260" s="586" t="str">
        <f t="shared" si="324"/>
        <v/>
      </c>
      <c r="Y1260" s="586" t="str">
        <f t="shared" si="329"/>
        <v/>
      </c>
      <c r="Z1260" s="586" t="str">
        <f t="shared" si="327"/>
        <v/>
      </c>
    </row>
    <row r="1261" spans="1:26" ht="23.25" hidden="1" thickBot="1" x14ac:dyDescent="0.25">
      <c r="A1261" s="567">
        <v>95778</v>
      </c>
      <c r="B1261" s="644">
        <v>95778</v>
      </c>
      <c r="C1261" s="645" t="s">
        <v>670</v>
      </c>
      <c r="D1261" s="422" t="s">
        <v>1112</v>
      </c>
      <c r="E1261" s="423"/>
      <c r="F1261" s="424"/>
      <c r="G1261" s="425"/>
      <c r="H1261" s="651"/>
      <c r="I1261" s="420">
        <v>31.83</v>
      </c>
      <c r="J1261" s="420">
        <f t="shared" si="326"/>
        <v>31.83</v>
      </c>
      <c r="K1261" s="421">
        <f t="shared" si="325"/>
        <v>37.82</v>
      </c>
      <c r="L1261" s="647" t="s">
        <v>2065</v>
      </c>
      <c r="M1261" s="576"/>
      <c r="N1261" s="576">
        <f t="shared" si="328"/>
        <v>0</v>
      </c>
      <c r="O1261" s="577">
        <f t="shared" si="322"/>
        <v>0</v>
      </c>
      <c r="P1261" s="578">
        <f t="shared" si="323"/>
        <v>0</v>
      </c>
      <c r="Q1261" s="765"/>
      <c r="R1261" s="576">
        <f t="shared" si="330"/>
        <v>0</v>
      </c>
      <c r="S1261" s="576">
        <f t="shared" si="330"/>
        <v>0</v>
      </c>
      <c r="T1261" s="577">
        <f t="shared" si="320"/>
        <v>0</v>
      </c>
      <c r="U1261" s="578">
        <f t="shared" si="321"/>
        <v>0</v>
      </c>
      <c r="V1261" s="579"/>
      <c r="W1261" s="566"/>
      <c r="X1261" s="586" t="str">
        <f t="shared" si="324"/>
        <v/>
      </c>
      <c r="Y1261" s="586" t="str">
        <f t="shared" si="329"/>
        <v/>
      </c>
      <c r="Z1261" s="586" t="str">
        <f t="shared" si="327"/>
        <v/>
      </c>
    </row>
    <row r="1262" spans="1:26" ht="23.25" hidden="1" thickBot="1" x14ac:dyDescent="0.25">
      <c r="A1262" s="567">
        <v>95779</v>
      </c>
      <c r="B1262" s="644">
        <v>95779</v>
      </c>
      <c r="C1262" s="645" t="s">
        <v>670</v>
      </c>
      <c r="D1262" s="422" t="s">
        <v>1113</v>
      </c>
      <c r="E1262" s="423"/>
      <c r="F1262" s="424"/>
      <c r="G1262" s="425"/>
      <c r="H1262" s="651"/>
      <c r="I1262" s="420">
        <v>29.28</v>
      </c>
      <c r="J1262" s="420">
        <f t="shared" si="326"/>
        <v>29.28</v>
      </c>
      <c r="K1262" s="421">
        <f t="shared" si="325"/>
        <v>34.79</v>
      </c>
      <c r="L1262" s="647" t="s">
        <v>2065</v>
      </c>
      <c r="M1262" s="576"/>
      <c r="N1262" s="576">
        <f t="shared" si="328"/>
        <v>0</v>
      </c>
      <c r="O1262" s="577">
        <f t="shared" si="322"/>
        <v>0</v>
      </c>
      <c r="P1262" s="578">
        <f t="shared" si="323"/>
        <v>0</v>
      </c>
      <c r="Q1262" s="765"/>
      <c r="R1262" s="576">
        <f t="shared" si="330"/>
        <v>0</v>
      </c>
      <c r="S1262" s="576">
        <f t="shared" si="330"/>
        <v>0</v>
      </c>
      <c r="T1262" s="577">
        <f t="shared" si="320"/>
        <v>0</v>
      </c>
      <c r="U1262" s="578">
        <f t="shared" si="321"/>
        <v>0</v>
      </c>
      <c r="V1262" s="579"/>
      <c r="W1262" s="566"/>
      <c r="X1262" s="586" t="str">
        <f t="shared" si="324"/>
        <v/>
      </c>
      <c r="Y1262" s="586" t="str">
        <f t="shared" si="329"/>
        <v/>
      </c>
      <c r="Z1262" s="586" t="str">
        <f t="shared" si="327"/>
        <v/>
      </c>
    </row>
    <row r="1263" spans="1:26" ht="23.25" hidden="1" thickBot="1" x14ac:dyDescent="0.25">
      <c r="A1263" s="567">
        <v>95780</v>
      </c>
      <c r="B1263" s="644">
        <v>95780</v>
      </c>
      <c r="C1263" s="645" t="s">
        <v>670</v>
      </c>
      <c r="D1263" s="422" t="s">
        <v>1114</v>
      </c>
      <c r="E1263" s="423"/>
      <c r="F1263" s="424"/>
      <c r="G1263" s="425"/>
      <c r="H1263" s="651"/>
      <c r="I1263" s="420">
        <v>35.340000000000003</v>
      </c>
      <c r="J1263" s="420">
        <f t="shared" si="326"/>
        <v>35.340000000000003</v>
      </c>
      <c r="K1263" s="421">
        <f t="shared" si="325"/>
        <v>41.99</v>
      </c>
      <c r="L1263" s="647" t="s">
        <v>2065</v>
      </c>
      <c r="M1263" s="576"/>
      <c r="N1263" s="576">
        <f t="shared" si="328"/>
        <v>0</v>
      </c>
      <c r="O1263" s="577">
        <f t="shared" si="322"/>
        <v>0</v>
      </c>
      <c r="P1263" s="578">
        <f t="shared" si="323"/>
        <v>0</v>
      </c>
      <c r="Q1263" s="765"/>
      <c r="R1263" s="576">
        <f t="shared" si="330"/>
        <v>0</v>
      </c>
      <c r="S1263" s="576">
        <f t="shared" si="330"/>
        <v>0</v>
      </c>
      <c r="T1263" s="577">
        <f t="shared" si="320"/>
        <v>0</v>
      </c>
      <c r="U1263" s="578">
        <f t="shared" si="321"/>
        <v>0</v>
      </c>
      <c r="V1263" s="579"/>
      <c r="W1263" s="566"/>
      <c r="X1263" s="586" t="str">
        <f t="shared" si="324"/>
        <v/>
      </c>
      <c r="Y1263" s="586" t="str">
        <f t="shared" si="329"/>
        <v/>
      </c>
      <c r="Z1263" s="586" t="str">
        <f t="shared" si="327"/>
        <v/>
      </c>
    </row>
    <row r="1264" spans="1:26" ht="23.25" hidden="1" thickBot="1" x14ac:dyDescent="0.25">
      <c r="A1264" s="567">
        <v>95781</v>
      </c>
      <c r="B1264" s="644">
        <v>95781</v>
      </c>
      <c r="C1264" s="645" t="s">
        <v>670</v>
      </c>
      <c r="D1264" s="422" t="s">
        <v>1115</v>
      </c>
      <c r="E1264" s="423"/>
      <c r="F1264" s="424"/>
      <c r="G1264" s="425"/>
      <c r="H1264" s="651"/>
      <c r="I1264" s="420">
        <v>35.9</v>
      </c>
      <c r="J1264" s="420">
        <f t="shared" si="326"/>
        <v>35.9</v>
      </c>
      <c r="K1264" s="421">
        <f t="shared" si="325"/>
        <v>42.65</v>
      </c>
      <c r="L1264" s="647" t="s">
        <v>2065</v>
      </c>
      <c r="M1264" s="576"/>
      <c r="N1264" s="576">
        <f t="shared" si="328"/>
        <v>0</v>
      </c>
      <c r="O1264" s="577">
        <f t="shared" si="322"/>
        <v>0</v>
      </c>
      <c r="P1264" s="578">
        <f t="shared" si="323"/>
        <v>0</v>
      </c>
      <c r="Q1264" s="765"/>
      <c r="R1264" s="576">
        <f t="shared" si="330"/>
        <v>0</v>
      </c>
      <c r="S1264" s="576">
        <f t="shared" si="330"/>
        <v>0</v>
      </c>
      <c r="T1264" s="577">
        <f t="shared" si="320"/>
        <v>0</v>
      </c>
      <c r="U1264" s="578">
        <f t="shared" si="321"/>
        <v>0</v>
      </c>
      <c r="V1264" s="579"/>
      <c r="W1264" s="566"/>
      <c r="X1264" s="586" t="str">
        <f t="shared" si="324"/>
        <v/>
      </c>
      <c r="Y1264" s="586" t="str">
        <f t="shared" si="329"/>
        <v/>
      </c>
      <c r="Z1264" s="586" t="str">
        <f t="shared" si="327"/>
        <v/>
      </c>
    </row>
    <row r="1265" spans="1:26" ht="23.25" hidden="1" thickBot="1" x14ac:dyDescent="0.25">
      <c r="A1265" s="567">
        <v>95782</v>
      </c>
      <c r="B1265" s="644">
        <v>95782</v>
      </c>
      <c r="C1265" s="645" t="s">
        <v>670</v>
      </c>
      <c r="D1265" s="422" t="s">
        <v>1116</v>
      </c>
      <c r="E1265" s="423"/>
      <c r="F1265" s="424"/>
      <c r="G1265" s="425"/>
      <c r="H1265" s="651"/>
      <c r="I1265" s="420">
        <v>37.39</v>
      </c>
      <c r="J1265" s="420">
        <f t="shared" si="326"/>
        <v>37.39</v>
      </c>
      <c r="K1265" s="421">
        <f t="shared" si="325"/>
        <v>44.42</v>
      </c>
      <c r="L1265" s="647" t="s">
        <v>2065</v>
      </c>
      <c r="M1265" s="576"/>
      <c r="N1265" s="576">
        <f t="shared" si="328"/>
        <v>0</v>
      </c>
      <c r="O1265" s="577">
        <f t="shared" si="322"/>
        <v>0</v>
      </c>
      <c r="P1265" s="578">
        <f t="shared" si="323"/>
        <v>0</v>
      </c>
      <c r="Q1265" s="765"/>
      <c r="R1265" s="576">
        <f t="shared" si="330"/>
        <v>0</v>
      </c>
      <c r="S1265" s="576">
        <f t="shared" si="330"/>
        <v>0</v>
      </c>
      <c r="T1265" s="577">
        <f t="shared" si="320"/>
        <v>0</v>
      </c>
      <c r="U1265" s="578">
        <f t="shared" si="321"/>
        <v>0</v>
      </c>
      <c r="V1265" s="579"/>
      <c r="W1265" s="566"/>
      <c r="X1265" s="586" t="str">
        <f t="shared" si="324"/>
        <v/>
      </c>
      <c r="Y1265" s="586" t="str">
        <f t="shared" si="329"/>
        <v/>
      </c>
      <c r="Z1265" s="586" t="str">
        <f t="shared" si="327"/>
        <v/>
      </c>
    </row>
    <row r="1266" spans="1:26" ht="23.25" hidden="1" thickBot="1" x14ac:dyDescent="0.25">
      <c r="A1266" s="567">
        <v>95785</v>
      </c>
      <c r="B1266" s="644">
        <v>95785</v>
      </c>
      <c r="C1266" s="645" t="s">
        <v>670</v>
      </c>
      <c r="D1266" s="422" t="s">
        <v>1117</v>
      </c>
      <c r="E1266" s="423"/>
      <c r="F1266" s="424"/>
      <c r="G1266" s="425"/>
      <c r="H1266" s="651"/>
      <c r="I1266" s="420">
        <v>42.52</v>
      </c>
      <c r="J1266" s="420">
        <f t="shared" si="326"/>
        <v>42.52</v>
      </c>
      <c r="K1266" s="421">
        <f t="shared" si="325"/>
        <v>50.52</v>
      </c>
      <c r="L1266" s="647" t="s">
        <v>2065</v>
      </c>
      <c r="M1266" s="576"/>
      <c r="N1266" s="576">
        <f t="shared" si="328"/>
        <v>0</v>
      </c>
      <c r="O1266" s="577">
        <f t="shared" si="322"/>
        <v>0</v>
      </c>
      <c r="P1266" s="578">
        <f t="shared" si="323"/>
        <v>0</v>
      </c>
      <c r="Q1266" s="765"/>
      <c r="R1266" s="576">
        <f t="shared" si="330"/>
        <v>0</v>
      </c>
      <c r="S1266" s="576">
        <f t="shared" si="330"/>
        <v>0</v>
      </c>
      <c r="T1266" s="577">
        <f t="shared" si="320"/>
        <v>0</v>
      </c>
      <c r="U1266" s="578">
        <f t="shared" si="321"/>
        <v>0</v>
      </c>
      <c r="V1266" s="579"/>
      <c r="W1266" s="566"/>
      <c r="X1266" s="586" t="str">
        <f t="shared" si="324"/>
        <v/>
      </c>
      <c r="Y1266" s="586" t="str">
        <f t="shared" si="329"/>
        <v/>
      </c>
      <c r="Z1266" s="586" t="str">
        <f t="shared" si="327"/>
        <v/>
      </c>
    </row>
    <row r="1267" spans="1:26" ht="23.25" hidden="1" thickBot="1" x14ac:dyDescent="0.25">
      <c r="A1267" s="567">
        <v>95787</v>
      </c>
      <c r="B1267" s="644">
        <v>95787</v>
      </c>
      <c r="C1267" s="645" t="s">
        <v>670</v>
      </c>
      <c r="D1267" s="422" t="s">
        <v>1118</v>
      </c>
      <c r="E1267" s="423"/>
      <c r="F1267" s="424"/>
      <c r="G1267" s="425"/>
      <c r="H1267" s="651"/>
      <c r="I1267" s="420">
        <v>31.39</v>
      </c>
      <c r="J1267" s="420">
        <f t="shared" si="326"/>
        <v>31.39</v>
      </c>
      <c r="K1267" s="421">
        <f t="shared" si="325"/>
        <v>37.29</v>
      </c>
      <c r="L1267" s="647" t="s">
        <v>2065</v>
      </c>
      <c r="M1267" s="576"/>
      <c r="N1267" s="576">
        <f t="shared" si="328"/>
        <v>0</v>
      </c>
      <c r="O1267" s="577">
        <f t="shared" si="322"/>
        <v>0</v>
      </c>
      <c r="P1267" s="578">
        <f t="shared" si="323"/>
        <v>0</v>
      </c>
      <c r="Q1267" s="765"/>
      <c r="R1267" s="576">
        <f t="shared" si="330"/>
        <v>0</v>
      </c>
      <c r="S1267" s="576">
        <f t="shared" si="330"/>
        <v>0</v>
      </c>
      <c r="T1267" s="577">
        <f t="shared" si="320"/>
        <v>0</v>
      </c>
      <c r="U1267" s="578">
        <f t="shared" si="321"/>
        <v>0</v>
      </c>
      <c r="V1267" s="579"/>
      <c r="W1267" s="566"/>
      <c r="X1267" s="586" t="str">
        <f t="shared" si="324"/>
        <v/>
      </c>
      <c r="Y1267" s="586" t="str">
        <f t="shared" si="329"/>
        <v/>
      </c>
      <c r="Z1267" s="586" t="str">
        <f t="shared" si="327"/>
        <v/>
      </c>
    </row>
    <row r="1268" spans="1:26" ht="23.25" hidden="1" thickBot="1" x14ac:dyDescent="0.25">
      <c r="A1268" s="567">
        <v>95789</v>
      </c>
      <c r="B1268" s="644">
        <v>95789</v>
      </c>
      <c r="C1268" s="645" t="s">
        <v>670</v>
      </c>
      <c r="D1268" s="422" t="s">
        <v>1119</v>
      </c>
      <c r="E1268" s="423"/>
      <c r="F1268" s="424"/>
      <c r="G1268" s="425"/>
      <c r="H1268" s="651"/>
      <c r="I1268" s="420">
        <v>38.909999999999997</v>
      </c>
      <c r="J1268" s="420">
        <f t="shared" si="326"/>
        <v>38.909999999999997</v>
      </c>
      <c r="K1268" s="421">
        <f t="shared" si="325"/>
        <v>46.23</v>
      </c>
      <c r="L1268" s="647" t="s">
        <v>2065</v>
      </c>
      <c r="M1268" s="576"/>
      <c r="N1268" s="576">
        <f t="shared" si="328"/>
        <v>0</v>
      </c>
      <c r="O1268" s="577">
        <f t="shared" si="322"/>
        <v>0</v>
      </c>
      <c r="P1268" s="578">
        <f t="shared" si="323"/>
        <v>0</v>
      </c>
      <c r="Q1268" s="765"/>
      <c r="R1268" s="576">
        <f t="shared" si="330"/>
        <v>0</v>
      </c>
      <c r="S1268" s="576">
        <f t="shared" si="330"/>
        <v>0</v>
      </c>
      <c r="T1268" s="577">
        <f t="shared" ref="T1268:T1331" si="331">IF(ISBLANK(R1268),0,ROUND(K1268*R1268,2))</f>
        <v>0</v>
      </c>
      <c r="U1268" s="578">
        <f t="shared" ref="U1268:U1331" si="332">IF(ISBLANK(R1268),0,ROUND(R1268*S1268,2))</f>
        <v>0</v>
      </c>
      <c r="V1268" s="579"/>
      <c r="W1268" s="566"/>
      <c r="X1268" s="586" t="str">
        <f t="shared" si="324"/>
        <v/>
      </c>
      <c r="Y1268" s="586" t="str">
        <f t="shared" si="329"/>
        <v/>
      </c>
      <c r="Z1268" s="586" t="str">
        <f t="shared" si="327"/>
        <v/>
      </c>
    </row>
    <row r="1269" spans="1:26" ht="23.25" hidden="1" thickBot="1" x14ac:dyDescent="0.25">
      <c r="A1269" s="567">
        <v>95791</v>
      </c>
      <c r="B1269" s="644">
        <v>95791</v>
      </c>
      <c r="C1269" s="645" t="s">
        <v>670</v>
      </c>
      <c r="D1269" s="422" t="s">
        <v>1120</v>
      </c>
      <c r="E1269" s="423"/>
      <c r="F1269" s="424"/>
      <c r="G1269" s="425"/>
      <c r="H1269" s="651"/>
      <c r="I1269" s="420">
        <v>50.14</v>
      </c>
      <c r="J1269" s="420">
        <f t="shared" si="326"/>
        <v>50.14</v>
      </c>
      <c r="K1269" s="421">
        <f t="shared" si="325"/>
        <v>59.57</v>
      </c>
      <c r="L1269" s="647" t="s">
        <v>2065</v>
      </c>
      <c r="M1269" s="576"/>
      <c r="N1269" s="576">
        <f t="shared" si="328"/>
        <v>0</v>
      </c>
      <c r="O1269" s="577">
        <f t="shared" ref="O1269:O1332" si="333">IF(ISBLANK(M1269),0,ROUND(K1269*M1269,2))</f>
        <v>0</v>
      </c>
      <c r="P1269" s="578">
        <f t="shared" ref="P1269:P1332" si="334">IF(ISBLANK(N1269),0,ROUND(M1269*N1269,2))</f>
        <v>0</v>
      </c>
      <c r="Q1269" s="765"/>
      <c r="R1269" s="576">
        <f t="shared" si="330"/>
        <v>0</v>
      </c>
      <c r="S1269" s="576">
        <f t="shared" si="330"/>
        <v>0</v>
      </c>
      <c r="T1269" s="577">
        <f t="shared" si="331"/>
        <v>0</v>
      </c>
      <c r="U1269" s="578">
        <f t="shared" si="332"/>
        <v>0</v>
      </c>
      <c r="V1269" s="579"/>
      <c r="W1269" s="566"/>
      <c r="X1269" s="586" t="str">
        <f t="shared" si="324"/>
        <v/>
      </c>
      <c r="Y1269" s="586" t="str">
        <f t="shared" si="329"/>
        <v/>
      </c>
      <c r="Z1269" s="586" t="str">
        <f t="shared" si="327"/>
        <v/>
      </c>
    </row>
    <row r="1270" spans="1:26" ht="23.25" hidden="1" thickBot="1" x14ac:dyDescent="0.25">
      <c r="A1270" s="567">
        <v>95795</v>
      </c>
      <c r="B1270" s="644">
        <v>95795</v>
      </c>
      <c r="C1270" s="645" t="s">
        <v>670</v>
      </c>
      <c r="D1270" s="422" t="s">
        <v>1121</v>
      </c>
      <c r="E1270" s="423"/>
      <c r="F1270" s="424"/>
      <c r="G1270" s="425"/>
      <c r="H1270" s="651"/>
      <c r="I1270" s="420">
        <v>36.229999999999997</v>
      </c>
      <c r="J1270" s="420">
        <f t="shared" si="326"/>
        <v>36.229999999999997</v>
      </c>
      <c r="K1270" s="421">
        <f t="shared" si="325"/>
        <v>43.04</v>
      </c>
      <c r="L1270" s="647" t="s">
        <v>2065</v>
      </c>
      <c r="M1270" s="576"/>
      <c r="N1270" s="576">
        <f t="shared" si="328"/>
        <v>0</v>
      </c>
      <c r="O1270" s="577">
        <f t="shared" si="333"/>
        <v>0</v>
      </c>
      <c r="P1270" s="578">
        <f t="shared" si="334"/>
        <v>0</v>
      </c>
      <c r="Q1270" s="765"/>
      <c r="R1270" s="576">
        <f t="shared" si="330"/>
        <v>0</v>
      </c>
      <c r="S1270" s="576">
        <f t="shared" si="330"/>
        <v>0</v>
      </c>
      <c r="T1270" s="577">
        <f t="shared" si="331"/>
        <v>0</v>
      </c>
      <c r="U1270" s="578">
        <f t="shared" si="332"/>
        <v>0</v>
      </c>
      <c r="V1270" s="579"/>
      <c r="W1270" s="566"/>
      <c r="X1270" s="586" t="str">
        <f t="shared" si="324"/>
        <v/>
      </c>
      <c r="Y1270" s="586" t="str">
        <f t="shared" si="329"/>
        <v/>
      </c>
      <c r="Z1270" s="586" t="str">
        <f t="shared" si="327"/>
        <v/>
      </c>
    </row>
    <row r="1271" spans="1:26" ht="23.25" hidden="1" thickBot="1" x14ac:dyDescent="0.25">
      <c r="A1271" s="567">
        <v>95796</v>
      </c>
      <c r="B1271" s="644">
        <v>95796</v>
      </c>
      <c r="C1271" s="645" t="s">
        <v>670</v>
      </c>
      <c r="D1271" s="422" t="s">
        <v>1122</v>
      </c>
      <c r="E1271" s="423"/>
      <c r="F1271" s="424"/>
      <c r="G1271" s="425"/>
      <c r="H1271" s="651"/>
      <c r="I1271" s="420">
        <v>45.79</v>
      </c>
      <c r="J1271" s="420">
        <f t="shared" si="326"/>
        <v>45.79</v>
      </c>
      <c r="K1271" s="421">
        <f t="shared" si="325"/>
        <v>54.4</v>
      </c>
      <c r="L1271" s="647" t="s">
        <v>2065</v>
      </c>
      <c r="M1271" s="576"/>
      <c r="N1271" s="576">
        <f t="shared" si="328"/>
        <v>0</v>
      </c>
      <c r="O1271" s="577">
        <f t="shared" si="333"/>
        <v>0</v>
      </c>
      <c r="P1271" s="578">
        <f t="shared" si="334"/>
        <v>0</v>
      </c>
      <c r="Q1271" s="765"/>
      <c r="R1271" s="576">
        <f t="shared" si="330"/>
        <v>0</v>
      </c>
      <c r="S1271" s="576">
        <f t="shared" si="330"/>
        <v>0</v>
      </c>
      <c r="T1271" s="577">
        <f t="shared" si="331"/>
        <v>0</v>
      </c>
      <c r="U1271" s="578">
        <f t="shared" si="332"/>
        <v>0</v>
      </c>
      <c r="V1271" s="579"/>
      <c r="W1271" s="566"/>
      <c r="X1271" s="586" t="str">
        <f t="shared" si="324"/>
        <v/>
      </c>
      <c r="Y1271" s="586" t="str">
        <f t="shared" si="329"/>
        <v/>
      </c>
      <c r="Z1271" s="586" t="str">
        <f t="shared" si="327"/>
        <v/>
      </c>
    </row>
    <row r="1272" spans="1:26" ht="23.25" hidden="1" thickBot="1" x14ac:dyDescent="0.25">
      <c r="A1272" s="567">
        <v>95797</v>
      </c>
      <c r="B1272" s="644">
        <v>95797</v>
      </c>
      <c r="C1272" s="645" t="s">
        <v>670</v>
      </c>
      <c r="D1272" s="422" t="s">
        <v>1123</v>
      </c>
      <c r="E1272" s="423"/>
      <c r="F1272" s="424"/>
      <c r="G1272" s="425"/>
      <c r="H1272" s="651"/>
      <c r="I1272" s="420">
        <v>58.23</v>
      </c>
      <c r="J1272" s="420">
        <f t="shared" si="326"/>
        <v>58.23</v>
      </c>
      <c r="K1272" s="421">
        <f t="shared" si="325"/>
        <v>69.180000000000007</v>
      </c>
      <c r="L1272" s="647" t="s">
        <v>2065</v>
      </c>
      <c r="M1272" s="576"/>
      <c r="N1272" s="576">
        <f t="shared" si="328"/>
        <v>0</v>
      </c>
      <c r="O1272" s="577">
        <f t="shared" si="333"/>
        <v>0</v>
      </c>
      <c r="P1272" s="578">
        <f t="shared" si="334"/>
        <v>0</v>
      </c>
      <c r="Q1272" s="765"/>
      <c r="R1272" s="576">
        <f t="shared" si="330"/>
        <v>0</v>
      </c>
      <c r="S1272" s="576">
        <f t="shared" si="330"/>
        <v>0</v>
      </c>
      <c r="T1272" s="577">
        <f t="shared" si="331"/>
        <v>0</v>
      </c>
      <c r="U1272" s="578">
        <f t="shared" si="332"/>
        <v>0</v>
      </c>
      <c r="V1272" s="579"/>
      <c r="W1272" s="566"/>
      <c r="X1272" s="586" t="str">
        <f t="shared" si="324"/>
        <v/>
      </c>
      <c r="Y1272" s="586" t="str">
        <f t="shared" si="329"/>
        <v/>
      </c>
      <c r="Z1272" s="586" t="str">
        <f t="shared" si="327"/>
        <v/>
      </c>
    </row>
    <row r="1273" spans="1:26" ht="23.25" hidden="1" thickBot="1" x14ac:dyDescent="0.25">
      <c r="A1273" s="567">
        <v>95801</v>
      </c>
      <c r="B1273" s="644">
        <v>95801</v>
      </c>
      <c r="C1273" s="645" t="s">
        <v>670</v>
      </c>
      <c r="D1273" s="422" t="s">
        <v>1124</v>
      </c>
      <c r="E1273" s="423"/>
      <c r="F1273" s="424"/>
      <c r="G1273" s="425"/>
      <c r="H1273" s="651"/>
      <c r="I1273" s="420">
        <v>43.52</v>
      </c>
      <c r="J1273" s="420">
        <f t="shared" si="326"/>
        <v>43.52</v>
      </c>
      <c r="K1273" s="421">
        <f t="shared" si="325"/>
        <v>51.71</v>
      </c>
      <c r="L1273" s="647" t="s">
        <v>2065</v>
      </c>
      <c r="M1273" s="576"/>
      <c r="N1273" s="576">
        <f t="shared" si="328"/>
        <v>0</v>
      </c>
      <c r="O1273" s="577">
        <f t="shared" si="333"/>
        <v>0</v>
      </c>
      <c r="P1273" s="578">
        <f t="shared" si="334"/>
        <v>0</v>
      </c>
      <c r="Q1273" s="765"/>
      <c r="R1273" s="576">
        <f t="shared" si="330"/>
        <v>0</v>
      </c>
      <c r="S1273" s="576">
        <f t="shared" si="330"/>
        <v>0</v>
      </c>
      <c r="T1273" s="577">
        <f t="shared" si="331"/>
        <v>0</v>
      </c>
      <c r="U1273" s="578">
        <f t="shared" si="332"/>
        <v>0</v>
      </c>
      <c r="V1273" s="579"/>
      <c r="W1273" s="566"/>
      <c r="X1273" s="586" t="str">
        <f t="shared" si="324"/>
        <v/>
      </c>
      <c r="Y1273" s="586" t="str">
        <f t="shared" si="329"/>
        <v/>
      </c>
      <c r="Z1273" s="586" t="str">
        <f t="shared" si="327"/>
        <v/>
      </c>
    </row>
    <row r="1274" spans="1:26" ht="23.25" hidden="1" thickBot="1" x14ac:dyDescent="0.25">
      <c r="A1274" s="567">
        <v>95802</v>
      </c>
      <c r="B1274" s="644">
        <v>95802</v>
      </c>
      <c r="C1274" s="645" t="s">
        <v>670</v>
      </c>
      <c r="D1274" s="422" t="s">
        <v>1125</v>
      </c>
      <c r="E1274" s="423"/>
      <c r="F1274" s="424"/>
      <c r="G1274" s="425"/>
      <c r="H1274" s="651"/>
      <c r="I1274" s="420">
        <v>48.57</v>
      </c>
      <c r="J1274" s="420">
        <f t="shared" si="326"/>
        <v>48.57</v>
      </c>
      <c r="K1274" s="421">
        <f t="shared" si="325"/>
        <v>57.71</v>
      </c>
      <c r="L1274" s="647" t="s">
        <v>2065</v>
      </c>
      <c r="M1274" s="576"/>
      <c r="N1274" s="576">
        <f t="shared" si="328"/>
        <v>0</v>
      </c>
      <c r="O1274" s="577">
        <f t="shared" si="333"/>
        <v>0</v>
      </c>
      <c r="P1274" s="578">
        <f t="shared" si="334"/>
        <v>0</v>
      </c>
      <c r="Q1274" s="765"/>
      <c r="R1274" s="576">
        <f t="shared" si="330"/>
        <v>0</v>
      </c>
      <c r="S1274" s="576">
        <f t="shared" si="330"/>
        <v>0</v>
      </c>
      <c r="T1274" s="577">
        <f t="shared" si="331"/>
        <v>0</v>
      </c>
      <c r="U1274" s="578">
        <f t="shared" si="332"/>
        <v>0</v>
      </c>
      <c r="V1274" s="579"/>
      <c r="W1274" s="566"/>
      <c r="X1274" s="586" t="str">
        <f t="shared" si="324"/>
        <v/>
      </c>
      <c r="Y1274" s="586" t="str">
        <f t="shared" si="329"/>
        <v/>
      </c>
      <c r="Z1274" s="586" t="str">
        <f t="shared" si="327"/>
        <v/>
      </c>
    </row>
    <row r="1275" spans="1:26" ht="23.25" hidden="1" thickBot="1" x14ac:dyDescent="0.25">
      <c r="A1275" s="567">
        <v>95803</v>
      </c>
      <c r="B1275" s="644">
        <v>95803</v>
      </c>
      <c r="C1275" s="645" t="s">
        <v>670</v>
      </c>
      <c r="D1275" s="422" t="s">
        <v>1126</v>
      </c>
      <c r="E1275" s="423"/>
      <c r="F1275" s="424"/>
      <c r="G1275" s="425"/>
      <c r="H1275" s="651"/>
      <c r="I1275" s="420">
        <v>64.45</v>
      </c>
      <c r="J1275" s="420">
        <f t="shared" si="326"/>
        <v>64.45</v>
      </c>
      <c r="K1275" s="421">
        <f t="shared" si="325"/>
        <v>76.569999999999993</v>
      </c>
      <c r="L1275" s="647" t="s">
        <v>2065</v>
      </c>
      <c r="M1275" s="576"/>
      <c r="N1275" s="576">
        <f t="shared" si="328"/>
        <v>0</v>
      </c>
      <c r="O1275" s="577">
        <f t="shared" si="333"/>
        <v>0</v>
      </c>
      <c r="P1275" s="578">
        <f t="shared" si="334"/>
        <v>0</v>
      </c>
      <c r="Q1275" s="765"/>
      <c r="R1275" s="576">
        <f t="shared" si="330"/>
        <v>0</v>
      </c>
      <c r="S1275" s="576">
        <f t="shared" si="330"/>
        <v>0</v>
      </c>
      <c r="T1275" s="577">
        <f t="shared" si="331"/>
        <v>0</v>
      </c>
      <c r="U1275" s="578">
        <f t="shared" si="332"/>
        <v>0</v>
      </c>
      <c r="V1275" s="579"/>
      <c r="W1275" s="566"/>
      <c r="X1275" s="586" t="str">
        <f t="shared" si="324"/>
        <v/>
      </c>
      <c r="Y1275" s="586" t="str">
        <f t="shared" si="329"/>
        <v/>
      </c>
      <c r="Z1275" s="586" t="str">
        <f t="shared" si="327"/>
        <v/>
      </c>
    </row>
    <row r="1276" spans="1:26" ht="23.25" hidden="1" thickBot="1" x14ac:dyDescent="0.25">
      <c r="A1276" s="567">
        <v>95804</v>
      </c>
      <c r="B1276" s="644">
        <v>95804</v>
      </c>
      <c r="C1276" s="645" t="s">
        <v>670</v>
      </c>
      <c r="D1276" s="422" t="s">
        <v>1127</v>
      </c>
      <c r="E1276" s="423"/>
      <c r="F1276" s="424"/>
      <c r="G1276" s="425"/>
      <c r="H1276" s="651"/>
      <c r="I1276" s="420">
        <v>31.37</v>
      </c>
      <c r="J1276" s="420">
        <f t="shared" si="326"/>
        <v>31.37</v>
      </c>
      <c r="K1276" s="421">
        <f t="shared" si="325"/>
        <v>37.270000000000003</v>
      </c>
      <c r="L1276" s="647" t="s">
        <v>2065</v>
      </c>
      <c r="M1276" s="576"/>
      <c r="N1276" s="576">
        <f t="shared" si="328"/>
        <v>0</v>
      </c>
      <c r="O1276" s="577">
        <f t="shared" si="333"/>
        <v>0</v>
      </c>
      <c r="P1276" s="578">
        <f t="shared" si="334"/>
        <v>0</v>
      </c>
      <c r="Q1276" s="765"/>
      <c r="R1276" s="576">
        <f t="shared" si="330"/>
        <v>0</v>
      </c>
      <c r="S1276" s="576">
        <f t="shared" si="330"/>
        <v>0</v>
      </c>
      <c r="T1276" s="577">
        <f t="shared" si="331"/>
        <v>0</v>
      </c>
      <c r="U1276" s="578">
        <f t="shared" si="332"/>
        <v>0</v>
      </c>
      <c r="V1276" s="579"/>
      <c r="W1276" s="566"/>
      <c r="X1276" s="586" t="str">
        <f t="shared" si="324"/>
        <v/>
      </c>
      <c r="Y1276" s="586" t="str">
        <f t="shared" si="329"/>
        <v/>
      </c>
      <c r="Z1276" s="586" t="str">
        <f t="shared" si="327"/>
        <v/>
      </c>
    </row>
    <row r="1277" spans="1:26" ht="23.25" hidden="1" thickBot="1" x14ac:dyDescent="0.25">
      <c r="A1277" s="567">
        <v>95805</v>
      </c>
      <c r="B1277" s="644">
        <v>95805</v>
      </c>
      <c r="C1277" s="645" t="s">
        <v>670</v>
      </c>
      <c r="D1277" s="422" t="s">
        <v>1128</v>
      </c>
      <c r="E1277" s="423"/>
      <c r="F1277" s="424"/>
      <c r="G1277" s="425"/>
      <c r="H1277" s="651"/>
      <c r="I1277" s="420">
        <v>31.61</v>
      </c>
      <c r="J1277" s="420">
        <f t="shared" si="326"/>
        <v>31.61</v>
      </c>
      <c r="K1277" s="421">
        <f t="shared" si="325"/>
        <v>37.56</v>
      </c>
      <c r="L1277" s="647" t="s">
        <v>2065</v>
      </c>
      <c r="M1277" s="576"/>
      <c r="N1277" s="576">
        <f t="shared" si="328"/>
        <v>0</v>
      </c>
      <c r="O1277" s="577">
        <f t="shared" si="333"/>
        <v>0</v>
      </c>
      <c r="P1277" s="578">
        <f t="shared" si="334"/>
        <v>0</v>
      </c>
      <c r="Q1277" s="765"/>
      <c r="R1277" s="576">
        <f t="shared" si="330"/>
        <v>0</v>
      </c>
      <c r="S1277" s="576">
        <f t="shared" si="330"/>
        <v>0</v>
      </c>
      <c r="T1277" s="577">
        <f t="shared" si="331"/>
        <v>0</v>
      </c>
      <c r="U1277" s="578">
        <f t="shared" si="332"/>
        <v>0</v>
      </c>
      <c r="V1277" s="579"/>
      <c r="W1277" s="566"/>
      <c r="X1277" s="586" t="str">
        <f t="shared" ref="X1277:X1340" si="335">IF(W1277="X","x",IF(W1277="xx","x",IF(W1277="xy","x",IF(W1277="y","x",IF(OR(P1277&gt;0,U1277&gt;0),"x","")))))</f>
        <v/>
      </c>
      <c r="Y1277" s="586" t="str">
        <f t="shared" si="329"/>
        <v/>
      </c>
      <c r="Z1277" s="586" t="str">
        <f t="shared" si="327"/>
        <v/>
      </c>
    </row>
    <row r="1278" spans="1:26" ht="23.25" hidden="1" thickBot="1" x14ac:dyDescent="0.25">
      <c r="A1278" s="567">
        <v>95806</v>
      </c>
      <c r="B1278" s="644">
        <v>95806</v>
      </c>
      <c r="C1278" s="645" t="s">
        <v>670</v>
      </c>
      <c r="D1278" s="422" t="s">
        <v>1129</v>
      </c>
      <c r="E1278" s="423"/>
      <c r="F1278" s="424"/>
      <c r="G1278" s="425"/>
      <c r="H1278" s="651"/>
      <c r="I1278" s="420">
        <v>32.68</v>
      </c>
      <c r="J1278" s="420">
        <f t="shared" si="326"/>
        <v>32.68</v>
      </c>
      <c r="K1278" s="421">
        <f t="shared" si="325"/>
        <v>38.83</v>
      </c>
      <c r="L1278" s="647" t="s">
        <v>2065</v>
      </c>
      <c r="M1278" s="576"/>
      <c r="N1278" s="576">
        <f t="shared" si="328"/>
        <v>0</v>
      </c>
      <c r="O1278" s="577">
        <f t="shared" si="333"/>
        <v>0</v>
      </c>
      <c r="P1278" s="578">
        <f t="shared" si="334"/>
        <v>0</v>
      </c>
      <c r="Q1278" s="765"/>
      <c r="R1278" s="576">
        <f t="shared" si="330"/>
        <v>0</v>
      </c>
      <c r="S1278" s="576">
        <f t="shared" si="330"/>
        <v>0</v>
      </c>
      <c r="T1278" s="577">
        <f t="shared" si="331"/>
        <v>0</v>
      </c>
      <c r="U1278" s="578">
        <f t="shared" si="332"/>
        <v>0</v>
      </c>
      <c r="V1278" s="579"/>
      <c r="W1278" s="566"/>
      <c r="X1278" s="586" t="str">
        <f t="shared" si="335"/>
        <v/>
      </c>
      <c r="Y1278" s="586" t="str">
        <f t="shared" si="329"/>
        <v/>
      </c>
      <c r="Z1278" s="586" t="str">
        <f t="shared" si="327"/>
        <v/>
      </c>
    </row>
    <row r="1279" spans="1:26" ht="23.25" hidden="1" thickBot="1" x14ac:dyDescent="0.25">
      <c r="A1279" s="567">
        <v>95807</v>
      </c>
      <c r="B1279" s="644">
        <v>95807</v>
      </c>
      <c r="C1279" s="645" t="s">
        <v>670</v>
      </c>
      <c r="D1279" s="422" t="s">
        <v>1130</v>
      </c>
      <c r="E1279" s="423"/>
      <c r="F1279" s="424"/>
      <c r="G1279" s="425"/>
      <c r="H1279" s="651"/>
      <c r="I1279" s="420">
        <v>35.81</v>
      </c>
      <c r="J1279" s="420">
        <f t="shared" si="326"/>
        <v>35.81</v>
      </c>
      <c r="K1279" s="421">
        <f t="shared" si="325"/>
        <v>42.55</v>
      </c>
      <c r="L1279" s="647" t="s">
        <v>2065</v>
      </c>
      <c r="M1279" s="576"/>
      <c r="N1279" s="576">
        <f t="shared" si="328"/>
        <v>0</v>
      </c>
      <c r="O1279" s="577">
        <f t="shared" si="333"/>
        <v>0</v>
      </c>
      <c r="P1279" s="578">
        <f t="shared" si="334"/>
        <v>0</v>
      </c>
      <c r="Q1279" s="765"/>
      <c r="R1279" s="576">
        <f t="shared" si="330"/>
        <v>0</v>
      </c>
      <c r="S1279" s="576">
        <f t="shared" si="330"/>
        <v>0</v>
      </c>
      <c r="T1279" s="577">
        <f t="shared" si="331"/>
        <v>0</v>
      </c>
      <c r="U1279" s="578">
        <f t="shared" si="332"/>
        <v>0</v>
      </c>
      <c r="V1279" s="579"/>
      <c r="W1279" s="566"/>
      <c r="X1279" s="586" t="str">
        <f t="shared" si="335"/>
        <v/>
      </c>
      <c r="Y1279" s="586" t="str">
        <f t="shared" si="329"/>
        <v/>
      </c>
      <c r="Z1279" s="586" t="str">
        <f t="shared" si="327"/>
        <v/>
      </c>
    </row>
    <row r="1280" spans="1:26" ht="23.25" hidden="1" thickBot="1" x14ac:dyDescent="0.25">
      <c r="A1280" s="567">
        <v>95808</v>
      </c>
      <c r="B1280" s="644">
        <v>95808</v>
      </c>
      <c r="C1280" s="645" t="s">
        <v>670</v>
      </c>
      <c r="D1280" s="422" t="s">
        <v>1131</v>
      </c>
      <c r="E1280" s="423"/>
      <c r="F1280" s="424"/>
      <c r="G1280" s="425"/>
      <c r="H1280" s="651"/>
      <c r="I1280" s="420">
        <v>36.549999999999997</v>
      </c>
      <c r="J1280" s="420">
        <f t="shared" si="326"/>
        <v>36.549999999999997</v>
      </c>
      <c r="K1280" s="421">
        <f t="shared" si="325"/>
        <v>43.43</v>
      </c>
      <c r="L1280" s="647" t="s">
        <v>2065</v>
      </c>
      <c r="M1280" s="576"/>
      <c r="N1280" s="576">
        <f t="shared" si="328"/>
        <v>0</v>
      </c>
      <c r="O1280" s="577">
        <f t="shared" si="333"/>
        <v>0</v>
      </c>
      <c r="P1280" s="578">
        <f t="shared" si="334"/>
        <v>0</v>
      </c>
      <c r="Q1280" s="765"/>
      <c r="R1280" s="576">
        <f t="shared" si="330"/>
        <v>0</v>
      </c>
      <c r="S1280" s="576">
        <f t="shared" si="330"/>
        <v>0</v>
      </c>
      <c r="T1280" s="577">
        <f t="shared" si="331"/>
        <v>0</v>
      </c>
      <c r="U1280" s="578">
        <f t="shared" si="332"/>
        <v>0</v>
      </c>
      <c r="V1280" s="579"/>
      <c r="W1280" s="566"/>
      <c r="X1280" s="586" t="str">
        <f t="shared" si="335"/>
        <v/>
      </c>
      <c r="Y1280" s="586" t="str">
        <f t="shared" si="329"/>
        <v/>
      </c>
      <c r="Z1280" s="586" t="str">
        <f t="shared" si="327"/>
        <v/>
      </c>
    </row>
    <row r="1281" spans="1:26" ht="23.25" hidden="1" thickBot="1" x14ac:dyDescent="0.25">
      <c r="A1281" s="567">
        <v>95809</v>
      </c>
      <c r="B1281" s="644">
        <v>95809</v>
      </c>
      <c r="C1281" s="645" t="s">
        <v>670</v>
      </c>
      <c r="D1281" s="422" t="s">
        <v>1132</v>
      </c>
      <c r="E1281" s="423"/>
      <c r="F1281" s="424"/>
      <c r="G1281" s="425"/>
      <c r="H1281" s="651"/>
      <c r="I1281" s="420">
        <v>40.49</v>
      </c>
      <c r="J1281" s="420">
        <f t="shared" si="326"/>
        <v>40.49</v>
      </c>
      <c r="K1281" s="421">
        <f t="shared" si="325"/>
        <v>48.11</v>
      </c>
      <c r="L1281" s="647" t="s">
        <v>2065</v>
      </c>
      <c r="M1281" s="576"/>
      <c r="N1281" s="576">
        <f t="shared" si="328"/>
        <v>0</v>
      </c>
      <c r="O1281" s="577">
        <f t="shared" si="333"/>
        <v>0</v>
      </c>
      <c r="P1281" s="578">
        <f t="shared" si="334"/>
        <v>0</v>
      </c>
      <c r="Q1281" s="765"/>
      <c r="R1281" s="576">
        <f t="shared" si="330"/>
        <v>0</v>
      </c>
      <c r="S1281" s="576">
        <f t="shared" si="330"/>
        <v>0</v>
      </c>
      <c r="T1281" s="577">
        <f t="shared" si="331"/>
        <v>0</v>
      </c>
      <c r="U1281" s="578">
        <f t="shared" si="332"/>
        <v>0</v>
      </c>
      <c r="V1281" s="579"/>
      <c r="W1281" s="566"/>
      <c r="X1281" s="586" t="str">
        <f t="shared" si="335"/>
        <v/>
      </c>
      <c r="Y1281" s="586" t="str">
        <f t="shared" si="329"/>
        <v/>
      </c>
      <c r="Z1281" s="586" t="str">
        <f t="shared" si="327"/>
        <v/>
      </c>
    </row>
    <row r="1282" spans="1:26" ht="23.25" hidden="1" thickBot="1" x14ac:dyDescent="0.25">
      <c r="A1282" s="567">
        <v>95810</v>
      </c>
      <c r="B1282" s="644">
        <v>95810</v>
      </c>
      <c r="C1282" s="645" t="s">
        <v>670</v>
      </c>
      <c r="D1282" s="422" t="s">
        <v>1133</v>
      </c>
      <c r="E1282" s="423"/>
      <c r="F1282" s="424"/>
      <c r="G1282" s="425"/>
      <c r="H1282" s="651"/>
      <c r="I1282" s="420">
        <v>21.91</v>
      </c>
      <c r="J1282" s="420">
        <f t="shared" si="326"/>
        <v>21.91</v>
      </c>
      <c r="K1282" s="421">
        <f t="shared" si="325"/>
        <v>26.03</v>
      </c>
      <c r="L1282" s="647" t="s">
        <v>2065</v>
      </c>
      <c r="M1282" s="576"/>
      <c r="N1282" s="576">
        <f t="shared" si="328"/>
        <v>0</v>
      </c>
      <c r="O1282" s="577">
        <f t="shared" si="333"/>
        <v>0</v>
      </c>
      <c r="P1282" s="578">
        <f t="shared" si="334"/>
        <v>0</v>
      </c>
      <c r="Q1282" s="765"/>
      <c r="R1282" s="576">
        <f t="shared" si="330"/>
        <v>0</v>
      </c>
      <c r="S1282" s="576">
        <f t="shared" si="330"/>
        <v>0</v>
      </c>
      <c r="T1282" s="577">
        <f t="shared" si="331"/>
        <v>0</v>
      </c>
      <c r="U1282" s="578">
        <f t="shared" si="332"/>
        <v>0</v>
      </c>
      <c r="V1282" s="579"/>
      <c r="W1282" s="566"/>
      <c r="X1282" s="586" t="str">
        <f t="shared" si="335"/>
        <v/>
      </c>
      <c r="Y1282" s="586" t="str">
        <f t="shared" si="329"/>
        <v/>
      </c>
      <c r="Z1282" s="586" t="str">
        <f t="shared" si="327"/>
        <v/>
      </c>
    </row>
    <row r="1283" spans="1:26" ht="23.25" hidden="1" thickBot="1" x14ac:dyDescent="0.25">
      <c r="A1283" s="567">
        <v>95811</v>
      </c>
      <c r="B1283" s="644">
        <v>95811</v>
      </c>
      <c r="C1283" s="645" t="s">
        <v>670</v>
      </c>
      <c r="D1283" s="422" t="s">
        <v>1134</v>
      </c>
      <c r="E1283" s="423"/>
      <c r="F1283" s="424"/>
      <c r="G1283" s="425"/>
      <c r="H1283" s="651"/>
      <c r="I1283" s="420">
        <v>22.65</v>
      </c>
      <c r="J1283" s="420">
        <f t="shared" si="326"/>
        <v>22.65</v>
      </c>
      <c r="K1283" s="421">
        <f t="shared" si="325"/>
        <v>26.91</v>
      </c>
      <c r="L1283" s="647" t="s">
        <v>2065</v>
      </c>
      <c r="M1283" s="576"/>
      <c r="N1283" s="576">
        <f t="shared" si="328"/>
        <v>0</v>
      </c>
      <c r="O1283" s="577">
        <f t="shared" si="333"/>
        <v>0</v>
      </c>
      <c r="P1283" s="578">
        <f t="shared" si="334"/>
        <v>0</v>
      </c>
      <c r="Q1283" s="765"/>
      <c r="R1283" s="576">
        <f t="shared" si="330"/>
        <v>0</v>
      </c>
      <c r="S1283" s="576">
        <f t="shared" si="330"/>
        <v>0</v>
      </c>
      <c r="T1283" s="577">
        <f t="shared" si="331"/>
        <v>0</v>
      </c>
      <c r="U1283" s="578">
        <f t="shared" si="332"/>
        <v>0</v>
      </c>
      <c r="V1283" s="579"/>
      <c r="W1283" s="566"/>
      <c r="X1283" s="586" t="str">
        <f t="shared" si="335"/>
        <v/>
      </c>
      <c r="Y1283" s="586" t="str">
        <f t="shared" si="329"/>
        <v/>
      </c>
      <c r="Z1283" s="586" t="str">
        <f t="shared" si="327"/>
        <v/>
      </c>
    </row>
    <row r="1284" spans="1:26" ht="23.25" hidden="1" thickBot="1" x14ac:dyDescent="0.25">
      <c r="A1284" s="567">
        <v>95812</v>
      </c>
      <c r="B1284" s="644">
        <v>95812</v>
      </c>
      <c r="C1284" s="645" t="s">
        <v>670</v>
      </c>
      <c r="D1284" s="422" t="s">
        <v>1135</v>
      </c>
      <c r="E1284" s="423"/>
      <c r="F1284" s="424"/>
      <c r="G1284" s="425"/>
      <c r="H1284" s="651"/>
      <c r="I1284" s="420">
        <v>26.58</v>
      </c>
      <c r="J1284" s="420">
        <f t="shared" si="326"/>
        <v>26.58</v>
      </c>
      <c r="K1284" s="421">
        <f t="shared" si="325"/>
        <v>31.58</v>
      </c>
      <c r="L1284" s="647" t="s">
        <v>2065</v>
      </c>
      <c r="M1284" s="576"/>
      <c r="N1284" s="576">
        <f t="shared" si="328"/>
        <v>0</v>
      </c>
      <c r="O1284" s="577">
        <f t="shared" si="333"/>
        <v>0</v>
      </c>
      <c r="P1284" s="578">
        <f t="shared" si="334"/>
        <v>0</v>
      </c>
      <c r="Q1284" s="765"/>
      <c r="R1284" s="576">
        <f t="shared" si="330"/>
        <v>0</v>
      </c>
      <c r="S1284" s="576">
        <f t="shared" si="330"/>
        <v>0</v>
      </c>
      <c r="T1284" s="577">
        <f t="shared" si="331"/>
        <v>0</v>
      </c>
      <c r="U1284" s="578">
        <f t="shared" si="332"/>
        <v>0</v>
      </c>
      <c r="V1284" s="579"/>
      <c r="W1284" s="566"/>
      <c r="X1284" s="586" t="str">
        <f t="shared" si="335"/>
        <v/>
      </c>
      <c r="Y1284" s="586" t="str">
        <f t="shared" si="329"/>
        <v/>
      </c>
      <c r="Z1284" s="586" t="str">
        <f t="shared" si="327"/>
        <v/>
      </c>
    </row>
    <row r="1285" spans="1:26" ht="23.25" hidden="1" thickBot="1" x14ac:dyDescent="0.25">
      <c r="A1285" s="567">
        <v>95813</v>
      </c>
      <c r="B1285" s="644">
        <v>95813</v>
      </c>
      <c r="C1285" s="645" t="s">
        <v>670</v>
      </c>
      <c r="D1285" s="422" t="s">
        <v>1136</v>
      </c>
      <c r="E1285" s="423"/>
      <c r="F1285" s="424"/>
      <c r="G1285" s="425"/>
      <c r="H1285" s="651"/>
      <c r="I1285" s="420">
        <v>25.84</v>
      </c>
      <c r="J1285" s="420">
        <f t="shared" si="326"/>
        <v>25.84</v>
      </c>
      <c r="K1285" s="421">
        <f t="shared" si="325"/>
        <v>30.7</v>
      </c>
      <c r="L1285" s="647" t="s">
        <v>2065</v>
      </c>
      <c r="M1285" s="576"/>
      <c r="N1285" s="576">
        <f t="shared" si="328"/>
        <v>0</v>
      </c>
      <c r="O1285" s="577">
        <f t="shared" si="333"/>
        <v>0</v>
      </c>
      <c r="P1285" s="578">
        <f t="shared" si="334"/>
        <v>0</v>
      </c>
      <c r="Q1285" s="765"/>
      <c r="R1285" s="576">
        <f t="shared" si="330"/>
        <v>0</v>
      </c>
      <c r="S1285" s="576">
        <f t="shared" si="330"/>
        <v>0</v>
      </c>
      <c r="T1285" s="577">
        <f t="shared" si="331"/>
        <v>0</v>
      </c>
      <c r="U1285" s="578">
        <f t="shared" si="332"/>
        <v>0</v>
      </c>
      <c r="V1285" s="579"/>
      <c r="W1285" s="566"/>
      <c r="X1285" s="586" t="str">
        <f t="shared" si="335"/>
        <v/>
      </c>
      <c r="Y1285" s="586" t="str">
        <f t="shared" si="329"/>
        <v/>
      </c>
      <c r="Z1285" s="586" t="str">
        <f t="shared" si="327"/>
        <v/>
      </c>
    </row>
    <row r="1286" spans="1:26" ht="23.25" hidden="1" thickBot="1" x14ac:dyDescent="0.25">
      <c r="A1286" s="567">
        <v>95814</v>
      </c>
      <c r="B1286" s="644">
        <v>95814</v>
      </c>
      <c r="C1286" s="645" t="s">
        <v>670</v>
      </c>
      <c r="D1286" s="422" t="s">
        <v>1137</v>
      </c>
      <c r="E1286" s="423"/>
      <c r="F1286" s="424"/>
      <c r="G1286" s="425"/>
      <c r="H1286" s="651"/>
      <c r="I1286" s="420">
        <v>26.95</v>
      </c>
      <c r="J1286" s="420">
        <f t="shared" si="326"/>
        <v>26.95</v>
      </c>
      <c r="K1286" s="421">
        <f t="shared" si="325"/>
        <v>32.020000000000003</v>
      </c>
      <c r="L1286" s="647" t="s">
        <v>2065</v>
      </c>
      <c r="M1286" s="576"/>
      <c r="N1286" s="576">
        <f t="shared" si="328"/>
        <v>0</v>
      </c>
      <c r="O1286" s="577">
        <f t="shared" si="333"/>
        <v>0</v>
      </c>
      <c r="P1286" s="578">
        <f t="shared" si="334"/>
        <v>0</v>
      </c>
      <c r="Q1286" s="765"/>
      <c r="R1286" s="576">
        <f t="shared" si="330"/>
        <v>0</v>
      </c>
      <c r="S1286" s="576">
        <f t="shared" si="330"/>
        <v>0</v>
      </c>
      <c r="T1286" s="577">
        <f t="shared" si="331"/>
        <v>0</v>
      </c>
      <c r="U1286" s="578">
        <f t="shared" si="332"/>
        <v>0</v>
      </c>
      <c r="V1286" s="579"/>
      <c r="W1286" s="566"/>
      <c r="X1286" s="586" t="str">
        <f t="shared" si="335"/>
        <v/>
      </c>
      <c r="Y1286" s="586" t="str">
        <f t="shared" si="329"/>
        <v/>
      </c>
      <c r="Z1286" s="586" t="str">
        <f t="shared" si="327"/>
        <v/>
      </c>
    </row>
    <row r="1287" spans="1:26" ht="23.25" hidden="1" thickBot="1" x14ac:dyDescent="0.25">
      <c r="A1287" s="567">
        <v>95815</v>
      </c>
      <c r="B1287" s="644">
        <v>95815</v>
      </c>
      <c r="C1287" s="645" t="s">
        <v>670</v>
      </c>
      <c r="D1287" s="422" t="s">
        <v>1138</v>
      </c>
      <c r="E1287" s="423"/>
      <c r="F1287" s="424"/>
      <c r="G1287" s="425"/>
      <c r="H1287" s="651"/>
      <c r="I1287" s="420">
        <v>34.72</v>
      </c>
      <c r="J1287" s="420">
        <f t="shared" si="326"/>
        <v>34.72</v>
      </c>
      <c r="K1287" s="421">
        <f t="shared" si="325"/>
        <v>41.25</v>
      </c>
      <c r="L1287" s="647" t="s">
        <v>2065</v>
      </c>
      <c r="M1287" s="576"/>
      <c r="N1287" s="576">
        <f t="shared" si="328"/>
        <v>0</v>
      </c>
      <c r="O1287" s="577">
        <f t="shared" si="333"/>
        <v>0</v>
      </c>
      <c r="P1287" s="578">
        <f t="shared" si="334"/>
        <v>0</v>
      </c>
      <c r="Q1287" s="765"/>
      <c r="R1287" s="576">
        <f t="shared" si="330"/>
        <v>0</v>
      </c>
      <c r="S1287" s="576">
        <f t="shared" si="330"/>
        <v>0</v>
      </c>
      <c r="T1287" s="577">
        <f t="shared" si="331"/>
        <v>0</v>
      </c>
      <c r="U1287" s="578">
        <f t="shared" si="332"/>
        <v>0</v>
      </c>
      <c r="V1287" s="579"/>
      <c r="W1287" s="566"/>
      <c r="X1287" s="586" t="str">
        <f t="shared" si="335"/>
        <v/>
      </c>
      <c r="Y1287" s="586" t="str">
        <f t="shared" si="329"/>
        <v/>
      </c>
      <c r="Z1287" s="586" t="str">
        <f t="shared" si="327"/>
        <v/>
      </c>
    </row>
    <row r="1288" spans="1:26" ht="23.25" hidden="1" thickBot="1" x14ac:dyDescent="0.25">
      <c r="A1288" s="567">
        <v>95816</v>
      </c>
      <c r="B1288" s="644">
        <v>95816</v>
      </c>
      <c r="C1288" s="645" t="s">
        <v>670</v>
      </c>
      <c r="D1288" s="422" t="s">
        <v>1139</v>
      </c>
      <c r="E1288" s="423"/>
      <c r="F1288" s="424"/>
      <c r="G1288" s="425"/>
      <c r="H1288" s="651"/>
      <c r="I1288" s="420">
        <v>44.08</v>
      </c>
      <c r="J1288" s="420">
        <f t="shared" si="326"/>
        <v>44.08</v>
      </c>
      <c r="K1288" s="421">
        <f t="shared" si="325"/>
        <v>52.37</v>
      </c>
      <c r="L1288" s="647" t="s">
        <v>2065</v>
      </c>
      <c r="M1288" s="576"/>
      <c r="N1288" s="576">
        <f t="shared" si="328"/>
        <v>0</v>
      </c>
      <c r="O1288" s="577">
        <f t="shared" si="333"/>
        <v>0</v>
      </c>
      <c r="P1288" s="578">
        <f t="shared" si="334"/>
        <v>0</v>
      </c>
      <c r="Q1288" s="765"/>
      <c r="R1288" s="576">
        <f t="shared" si="330"/>
        <v>0</v>
      </c>
      <c r="S1288" s="576">
        <f t="shared" si="330"/>
        <v>0</v>
      </c>
      <c r="T1288" s="577">
        <f t="shared" si="331"/>
        <v>0</v>
      </c>
      <c r="U1288" s="578">
        <f t="shared" si="332"/>
        <v>0</v>
      </c>
      <c r="V1288" s="579"/>
      <c r="W1288" s="566"/>
      <c r="X1288" s="586" t="str">
        <f t="shared" si="335"/>
        <v/>
      </c>
      <c r="Y1288" s="586" t="str">
        <f t="shared" si="329"/>
        <v/>
      </c>
      <c r="Z1288" s="586" t="str">
        <f t="shared" si="327"/>
        <v/>
      </c>
    </row>
    <row r="1289" spans="1:26" ht="23.25" hidden="1" thickBot="1" x14ac:dyDescent="0.25">
      <c r="A1289" s="567">
        <v>95817</v>
      </c>
      <c r="B1289" s="644">
        <v>95817</v>
      </c>
      <c r="C1289" s="645" t="s">
        <v>670</v>
      </c>
      <c r="D1289" s="422" t="s">
        <v>1140</v>
      </c>
      <c r="E1289" s="423"/>
      <c r="F1289" s="424"/>
      <c r="G1289" s="425"/>
      <c r="H1289" s="651"/>
      <c r="I1289" s="420">
        <v>44.84</v>
      </c>
      <c r="J1289" s="420">
        <f t="shared" si="326"/>
        <v>44.84</v>
      </c>
      <c r="K1289" s="421">
        <f t="shared" ref="K1289:K1352" si="336">IF(ISBLANK(I1289),0,ROUND(J1289*(1+$F$10)*(1+$F$11*E1289),2))</f>
        <v>53.27</v>
      </c>
      <c r="L1289" s="647" t="s">
        <v>2065</v>
      </c>
      <c r="M1289" s="576"/>
      <c r="N1289" s="576">
        <f t="shared" si="328"/>
        <v>0</v>
      </c>
      <c r="O1289" s="577">
        <f t="shared" si="333"/>
        <v>0</v>
      </c>
      <c r="P1289" s="578">
        <f t="shared" si="334"/>
        <v>0</v>
      </c>
      <c r="Q1289" s="765"/>
      <c r="R1289" s="576">
        <f t="shared" si="330"/>
        <v>0</v>
      </c>
      <c r="S1289" s="576">
        <f t="shared" si="330"/>
        <v>0</v>
      </c>
      <c r="T1289" s="577">
        <f t="shared" si="331"/>
        <v>0</v>
      </c>
      <c r="U1289" s="578">
        <f t="shared" si="332"/>
        <v>0</v>
      </c>
      <c r="V1289" s="579"/>
      <c r="W1289" s="566"/>
      <c r="X1289" s="586" t="str">
        <f t="shared" si="335"/>
        <v/>
      </c>
      <c r="Y1289" s="586" t="str">
        <f t="shared" si="329"/>
        <v/>
      </c>
      <c r="Z1289" s="586" t="str">
        <f t="shared" si="327"/>
        <v/>
      </c>
    </row>
    <row r="1290" spans="1:26" ht="23.25" hidden="1" thickBot="1" x14ac:dyDescent="0.25">
      <c r="A1290" s="567">
        <v>95818</v>
      </c>
      <c r="B1290" s="644">
        <v>95818</v>
      </c>
      <c r="C1290" s="645" t="s">
        <v>670</v>
      </c>
      <c r="D1290" s="422" t="s">
        <v>1141</v>
      </c>
      <c r="E1290" s="423"/>
      <c r="F1290" s="424"/>
      <c r="G1290" s="425"/>
      <c r="H1290" s="651"/>
      <c r="I1290" s="420">
        <v>55.31</v>
      </c>
      <c r="J1290" s="420">
        <f t="shared" si="326"/>
        <v>55.31</v>
      </c>
      <c r="K1290" s="421">
        <f t="shared" si="336"/>
        <v>65.709999999999994</v>
      </c>
      <c r="L1290" s="647" t="s">
        <v>2065</v>
      </c>
      <c r="M1290" s="576"/>
      <c r="N1290" s="576">
        <f t="shared" si="328"/>
        <v>0</v>
      </c>
      <c r="O1290" s="577">
        <f t="shared" si="333"/>
        <v>0</v>
      </c>
      <c r="P1290" s="578">
        <f t="shared" si="334"/>
        <v>0</v>
      </c>
      <c r="Q1290" s="765"/>
      <c r="R1290" s="576">
        <f t="shared" si="330"/>
        <v>0</v>
      </c>
      <c r="S1290" s="576">
        <f t="shared" si="330"/>
        <v>0</v>
      </c>
      <c r="T1290" s="577">
        <f t="shared" si="331"/>
        <v>0</v>
      </c>
      <c r="U1290" s="578">
        <f t="shared" si="332"/>
        <v>0</v>
      </c>
      <c r="V1290" s="579"/>
      <c r="W1290" s="566"/>
      <c r="X1290" s="586" t="str">
        <f t="shared" si="335"/>
        <v/>
      </c>
      <c r="Y1290" s="586" t="str">
        <f t="shared" si="329"/>
        <v/>
      </c>
      <c r="Z1290" s="586" t="str">
        <f t="shared" si="327"/>
        <v/>
      </c>
    </row>
    <row r="1291" spans="1:26" ht="12" hidden="1" thickBot="1" x14ac:dyDescent="0.25">
      <c r="A1291" s="567">
        <v>91936</v>
      </c>
      <c r="B1291" s="644">
        <v>91936</v>
      </c>
      <c r="C1291" s="645" t="s">
        <v>670</v>
      </c>
      <c r="D1291" s="422" t="s">
        <v>1142</v>
      </c>
      <c r="E1291" s="423"/>
      <c r="F1291" s="424"/>
      <c r="G1291" s="425"/>
      <c r="H1291" s="651"/>
      <c r="I1291" s="420">
        <v>17.34</v>
      </c>
      <c r="J1291" s="420">
        <f t="shared" si="326"/>
        <v>17.34</v>
      </c>
      <c r="K1291" s="421">
        <f t="shared" si="336"/>
        <v>20.6</v>
      </c>
      <c r="L1291" s="647" t="s">
        <v>2065</v>
      </c>
      <c r="M1291" s="576"/>
      <c r="N1291" s="576">
        <f t="shared" si="328"/>
        <v>0</v>
      </c>
      <c r="O1291" s="577">
        <f t="shared" si="333"/>
        <v>0</v>
      </c>
      <c r="P1291" s="578">
        <f t="shared" si="334"/>
        <v>0</v>
      </c>
      <c r="Q1291" s="765"/>
      <c r="R1291" s="576">
        <f t="shared" si="330"/>
        <v>0</v>
      </c>
      <c r="S1291" s="576">
        <f t="shared" si="330"/>
        <v>0</v>
      </c>
      <c r="T1291" s="577">
        <f t="shared" si="331"/>
        <v>0</v>
      </c>
      <c r="U1291" s="578">
        <f t="shared" si="332"/>
        <v>0</v>
      </c>
      <c r="V1291" s="579"/>
      <c r="W1291" s="566"/>
      <c r="X1291" s="586" t="str">
        <f t="shared" si="335"/>
        <v/>
      </c>
      <c r="Y1291" s="586" t="str">
        <f t="shared" si="329"/>
        <v/>
      </c>
      <c r="Z1291" s="586" t="str">
        <f t="shared" si="327"/>
        <v/>
      </c>
    </row>
    <row r="1292" spans="1:26" ht="12" hidden="1" thickBot="1" x14ac:dyDescent="0.25">
      <c r="A1292" s="567">
        <v>91937</v>
      </c>
      <c r="B1292" s="644">
        <v>91937</v>
      </c>
      <c r="C1292" s="645" t="s">
        <v>670</v>
      </c>
      <c r="D1292" s="422" t="s">
        <v>1143</v>
      </c>
      <c r="E1292" s="423"/>
      <c r="F1292" s="424"/>
      <c r="G1292" s="425"/>
      <c r="H1292" s="651"/>
      <c r="I1292" s="420">
        <v>14.3</v>
      </c>
      <c r="J1292" s="420">
        <f t="shared" si="326"/>
        <v>14.3</v>
      </c>
      <c r="K1292" s="421">
        <f t="shared" si="336"/>
        <v>16.989999999999998</v>
      </c>
      <c r="L1292" s="647" t="s">
        <v>2065</v>
      </c>
      <c r="M1292" s="576"/>
      <c r="N1292" s="576">
        <f t="shared" si="328"/>
        <v>0</v>
      </c>
      <c r="O1292" s="577">
        <f t="shared" si="333"/>
        <v>0</v>
      </c>
      <c r="P1292" s="578">
        <f t="shared" si="334"/>
        <v>0</v>
      </c>
      <c r="Q1292" s="765"/>
      <c r="R1292" s="576">
        <f t="shared" si="330"/>
        <v>0</v>
      </c>
      <c r="S1292" s="576">
        <f t="shared" si="330"/>
        <v>0</v>
      </c>
      <c r="T1292" s="577">
        <f t="shared" si="331"/>
        <v>0</v>
      </c>
      <c r="U1292" s="578">
        <f t="shared" si="332"/>
        <v>0</v>
      </c>
      <c r="V1292" s="579"/>
      <c r="W1292" s="566"/>
      <c r="X1292" s="586" t="str">
        <f t="shared" si="335"/>
        <v/>
      </c>
      <c r="Y1292" s="586" t="str">
        <f t="shared" si="329"/>
        <v/>
      </c>
      <c r="Z1292" s="586" t="str">
        <f t="shared" si="327"/>
        <v/>
      </c>
    </row>
    <row r="1293" spans="1:26" ht="23.25" hidden="1" thickBot="1" x14ac:dyDescent="0.25">
      <c r="A1293" s="567">
        <v>91939</v>
      </c>
      <c r="B1293" s="644">
        <v>91939</v>
      </c>
      <c r="C1293" s="645" t="s">
        <v>670</v>
      </c>
      <c r="D1293" s="422" t="s">
        <v>1144</v>
      </c>
      <c r="E1293" s="423"/>
      <c r="F1293" s="424"/>
      <c r="G1293" s="425"/>
      <c r="H1293" s="651"/>
      <c r="I1293" s="420">
        <v>31.44</v>
      </c>
      <c r="J1293" s="420">
        <f t="shared" si="326"/>
        <v>31.44</v>
      </c>
      <c r="K1293" s="421">
        <f t="shared" si="336"/>
        <v>37.35</v>
      </c>
      <c r="L1293" s="647" t="s">
        <v>2065</v>
      </c>
      <c r="M1293" s="576"/>
      <c r="N1293" s="576">
        <f t="shared" si="328"/>
        <v>0</v>
      </c>
      <c r="O1293" s="577">
        <f t="shared" si="333"/>
        <v>0</v>
      </c>
      <c r="P1293" s="578">
        <f t="shared" si="334"/>
        <v>0</v>
      </c>
      <c r="Q1293" s="765"/>
      <c r="R1293" s="576">
        <f t="shared" si="330"/>
        <v>0</v>
      </c>
      <c r="S1293" s="576">
        <f t="shared" si="330"/>
        <v>0</v>
      </c>
      <c r="T1293" s="577">
        <f t="shared" si="331"/>
        <v>0</v>
      </c>
      <c r="U1293" s="578">
        <f t="shared" si="332"/>
        <v>0</v>
      </c>
      <c r="V1293" s="579"/>
      <c r="W1293" s="566"/>
      <c r="X1293" s="586" t="str">
        <f t="shared" si="335"/>
        <v/>
      </c>
      <c r="Y1293" s="586" t="str">
        <f t="shared" si="329"/>
        <v/>
      </c>
      <c r="Z1293" s="586" t="str">
        <f t="shared" si="327"/>
        <v/>
      </c>
    </row>
    <row r="1294" spans="1:26" ht="23.25" hidden="1" thickBot="1" x14ac:dyDescent="0.25">
      <c r="A1294" s="567">
        <v>91940</v>
      </c>
      <c r="B1294" s="644">
        <v>91940</v>
      </c>
      <c r="C1294" s="645" t="s">
        <v>670</v>
      </c>
      <c r="D1294" s="422" t="s">
        <v>1145</v>
      </c>
      <c r="E1294" s="423"/>
      <c r="F1294" s="424"/>
      <c r="G1294" s="425"/>
      <c r="H1294" s="651"/>
      <c r="I1294" s="420">
        <v>17.239999999999998</v>
      </c>
      <c r="J1294" s="420">
        <f t="shared" si="326"/>
        <v>17.239999999999998</v>
      </c>
      <c r="K1294" s="421">
        <f t="shared" si="336"/>
        <v>20.48</v>
      </c>
      <c r="L1294" s="647" t="s">
        <v>2065</v>
      </c>
      <c r="M1294" s="576"/>
      <c r="N1294" s="576">
        <f t="shared" si="328"/>
        <v>0</v>
      </c>
      <c r="O1294" s="577">
        <f t="shared" si="333"/>
        <v>0</v>
      </c>
      <c r="P1294" s="578">
        <f t="shared" si="334"/>
        <v>0</v>
      </c>
      <c r="Q1294" s="765"/>
      <c r="R1294" s="576">
        <f t="shared" si="330"/>
        <v>0</v>
      </c>
      <c r="S1294" s="576">
        <f t="shared" si="330"/>
        <v>0</v>
      </c>
      <c r="T1294" s="577">
        <f t="shared" si="331"/>
        <v>0</v>
      </c>
      <c r="U1294" s="578">
        <f t="shared" si="332"/>
        <v>0</v>
      </c>
      <c r="V1294" s="579"/>
      <c r="W1294" s="566"/>
      <c r="X1294" s="586" t="str">
        <f t="shared" si="335"/>
        <v/>
      </c>
      <c r="Y1294" s="586" t="str">
        <f t="shared" si="329"/>
        <v/>
      </c>
      <c r="Z1294" s="586" t="str">
        <f t="shared" si="327"/>
        <v/>
      </c>
    </row>
    <row r="1295" spans="1:26" ht="23.25" hidden="1" thickBot="1" x14ac:dyDescent="0.25">
      <c r="A1295" s="567">
        <v>91941</v>
      </c>
      <c r="B1295" s="644">
        <v>91941</v>
      </c>
      <c r="C1295" s="645" t="s">
        <v>670</v>
      </c>
      <c r="D1295" s="422" t="s">
        <v>1146</v>
      </c>
      <c r="E1295" s="423"/>
      <c r="F1295" s="424"/>
      <c r="G1295" s="425"/>
      <c r="H1295" s="651"/>
      <c r="I1295" s="420">
        <v>11.91</v>
      </c>
      <c r="J1295" s="420">
        <f t="shared" si="326"/>
        <v>11.91</v>
      </c>
      <c r="K1295" s="421">
        <f t="shared" si="336"/>
        <v>14.15</v>
      </c>
      <c r="L1295" s="647" t="s">
        <v>2065</v>
      </c>
      <c r="M1295" s="576"/>
      <c r="N1295" s="576">
        <f t="shared" si="328"/>
        <v>0</v>
      </c>
      <c r="O1295" s="577">
        <f t="shared" si="333"/>
        <v>0</v>
      </c>
      <c r="P1295" s="578">
        <f t="shared" si="334"/>
        <v>0</v>
      </c>
      <c r="Q1295" s="765"/>
      <c r="R1295" s="576">
        <f t="shared" si="330"/>
        <v>0</v>
      </c>
      <c r="S1295" s="576">
        <f t="shared" si="330"/>
        <v>0</v>
      </c>
      <c r="T1295" s="577">
        <f t="shared" si="331"/>
        <v>0</v>
      </c>
      <c r="U1295" s="578">
        <f t="shared" si="332"/>
        <v>0</v>
      </c>
      <c r="V1295" s="579"/>
      <c r="W1295" s="566"/>
      <c r="X1295" s="586" t="str">
        <f t="shared" si="335"/>
        <v/>
      </c>
      <c r="Y1295" s="586" t="str">
        <f t="shared" si="329"/>
        <v/>
      </c>
      <c r="Z1295" s="586" t="str">
        <f t="shared" si="327"/>
        <v/>
      </c>
    </row>
    <row r="1296" spans="1:26" ht="23.25" hidden="1" thickBot="1" x14ac:dyDescent="0.25">
      <c r="A1296" s="567">
        <v>91942</v>
      </c>
      <c r="B1296" s="644">
        <v>91942</v>
      </c>
      <c r="C1296" s="645" t="s">
        <v>670</v>
      </c>
      <c r="D1296" s="422" t="s">
        <v>1147</v>
      </c>
      <c r="E1296" s="423"/>
      <c r="F1296" s="424"/>
      <c r="G1296" s="425"/>
      <c r="H1296" s="651"/>
      <c r="I1296" s="420">
        <v>39.409999999999997</v>
      </c>
      <c r="J1296" s="420">
        <f t="shared" si="326"/>
        <v>39.409999999999997</v>
      </c>
      <c r="K1296" s="421">
        <f t="shared" si="336"/>
        <v>46.82</v>
      </c>
      <c r="L1296" s="647" t="s">
        <v>2065</v>
      </c>
      <c r="M1296" s="576"/>
      <c r="N1296" s="576">
        <f t="shared" si="328"/>
        <v>0</v>
      </c>
      <c r="O1296" s="577">
        <f t="shared" si="333"/>
        <v>0</v>
      </c>
      <c r="P1296" s="578">
        <f t="shared" si="334"/>
        <v>0</v>
      </c>
      <c r="Q1296" s="765"/>
      <c r="R1296" s="576">
        <f t="shared" si="330"/>
        <v>0</v>
      </c>
      <c r="S1296" s="576">
        <f t="shared" si="330"/>
        <v>0</v>
      </c>
      <c r="T1296" s="577">
        <f t="shared" si="331"/>
        <v>0</v>
      </c>
      <c r="U1296" s="578">
        <f t="shared" si="332"/>
        <v>0</v>
      </c>
      <c r="V1296" s="579"/>
      <c r="W1296" s="566"/>
      <c r="X1296" s="586" t="str">
        <f t="shared" si="335"/>
        <v/>
      </c>
      <c r="Y1296" s="586" t="str">
        <f t="shared" si="329"/>
        <v/>
      </c>
      <c r="Z1296" s="586" t="str">
        <f t="shared" si="327"/>
        <v/>
      </c>
    </row>
    <row r="1297" spans="1:26" ht="23.25" hidden="1" thickBot="1" x14ac:dyDescent="0.25">
      <c r="A1297" s="567">
        <v>91943</v>
      </c>
      <c r="B1297" s="644">
        <v>91943</v>
      </c>
      <c r="C1297" s="645" t="s">
        <v>670</v>
      </c>
      <c r="D1297" s="422" t="s">
        <v>1148</v>
      </c>
      <c r="E1297" s="423"/>
      <c r="F1297" s="424"/>
      <c r="G1297" s="425"/>
      <c r="H1297" s="651"/>
      <c r="I1297" s="420">
        <v>23.07</v>
      </c>
      <c r="J1297" s="420">
        <f t="shared" si="326"/>
        <v>23.07</v>
      </c>
      <c r="K1297" s="421">
        <f t="shared" si="336"/>
        <v>27.41</v>
      </c>
      <c r="L1297" s="647" t="s">
        <v>2065</v>
      </c>
      <c r="M1297" s="576"/>
      <c r="N1297" s="576">
        <f t="shared" si="328"/>
        <v>0</v>
      </c>
      <c r="O1297" s="577">
        <f t="shared" si="333"/>
        <v>0</v>
      </c>
      <c r="P1297" s="578">
        <f t="shared" si="334"/>
        <v>0</v>
      </c>
      <c r="Q1297" s="765"/>
      <c r="R1297" s="576">
        <f t="shared" si="330"/>
        <v>0</v>
      </c>
      <c r="S1297" s="576">
        <f t="shared" si="330"/>
        <v>0</v>
      </c>
      <c r="T1297" s="577">
        <f t="shared" si="331"/>
        <v>0</v>
      </c>
      <c r="U1297" s="578">
        <f t="shared" si="332"/>
        <v>0</v>
      </c>
      <c r="V1297" s="579"/>
      <c r="W1297" s="566"/>
      <c r="X1297" s="586" t="str">
        <f t="shared" si="335"/>
        <v/>
      </c>
      <c r="Y1297" s="586" t="str">
        <f t="shared" si="329"/>
        <v/>
      </c>
      <c r="Z1297" s="586" t="str">
        <f t="shared" si="327"/>
        <v/>
      </c>
    </row>
    <row r="1298" spans="1:26" ht="23.25" hidden="1" thickBot="1" x14ac:dyDescent="0.25">
      <c r="A1298" s="567">
        <v>91944</v>
      </c>
      <c r="B1298" s="644">
        <v>91944</v>
      </c>
      <c r="C1298" s="645" t="s">
        <v>670</v>
      </c>
      <c r="D1298" s="422" t="s">
        <v>1149</v>
      </c>
      <c r="E1298" s="423"/>
      <c r="F1298" s="424"/>
      <c r="G1298" s="425"/>
      <c r="H1298" s="651"/>
      <c r="I1298" s="420">
        <v>16.97</v>
      </c>
      <c r="J1298" s="420">
        <f t="shared" si="326"/>
        <v>16.97</v>
      </c>
      <c r="K1298" s="421">
        <f t="shared" si="336"/>
        <v>20.16</v>
      </c>
      <c r="L1298" s="647" t="s">
        <v>2065</v>
      </c>
      <c r="M1298" s="576"/>
      <c r="N1298" s="576">
        <f t="shared" si="328"/>
        <v>0</v>
      </c>
      <c r="O1298" s="577">
        <f t="shared" si="333"/>
        <v>0</v>
      </c>
      <c r="P1298" s="578">
        <f t="shared" si="334"/>
        <v>0</v>
      </c>
      <c r="Q1298" s="765"/>
      <c r="R1298" s="576">
        <f t="shared" si="330"/>
        <v>0</v>
      </c>
      <c r="S1298" s="576">
        <f t="shared" si="330"/>
        <v>0</v>
      </c>
      <c r="T1298" s="577">
        <f t="shared" si="331"/>
        <v>0</v>
      </c>
      <c r="U1298" s="578">
        <f t="shared" si="332"/>
        <v>0</v>
      </c>
      <c r="V1298" s="579"/>
      <c r="W1298" s="566"/>
      <c r="X1298" s="586" t="str">
        <f t="shared" si="335"/>
        <v/>
      </c>
      <c r="Y1298" s="586" t="str">
        <f t="shared" si="329"/>
        <v/>
      </c>
      <c r="Z1298" s="586" t="str">
        <f t="shared" si="327"/>
        <v/>
      </c>
    </row>
    <row r="1299" spans="1:26" ht="23.25" hidden="1" thickBot="1" x14ac:dyDescent="0.25">
      <c r="A1299" s="567">
        <v>92865</v>
      </c>
      <c r="B1299" s="644">
        <v>92865</v>
      </c>
      <c r="C1299" s="645" t="s">
        <v>670</v>
      </c>
      <c r="D1299" s="422" t="s">
        <v>1150</v>
      </c>
      <c r="E1299" s="423"/>
      <c r="F1299" s="424"/>
      <c r="G1299" s="425"/>
      <c r="H1299" s="651"/>
      <c r="I1299" s="420">
        <v>12.27</v>
      </c>
      <c r="J1299" s="420">
        <f t="shared" ref="J1299:J1362" si="337">IF(ISBLANK(I1299),"",SUM(H1299:I1299))</f>
        <v>12.27</v>
      </c>
      <c r="K1299" s="421">
        <f t="shared" si="336"/>
        <v>14.58</v>
      </c>
      <c r="L1299" s="647" t="s">
        <v>2065</v>
      </c>
      <c r="M1299" s="576"/>
      <c r="N1299" s="576">
        <f t="shared" si="328"/>
        <v>0</v>
      </c>
      <c r="O1299" s="577">
        <f t="shared" si="333"/>
        <v>0</v>
      </c>
      <c r="P1299" s="578">
        <f t="shared" si="334"/>
        <v>0</v>
      </c>
      <c r="Q1299" s="765"/>
      <c r="R1299" s="576">
        <f t="shared" si="330"/>
        <v>0</v>
      </c>
      <c r="S1299" s="576">
        <f t="shared" si="330"/>
        <v>0</v>
      </c>
      <c r="T1299" s="577">
        <f t="shared" si="331"/>
        <v>0</v>
      </c>
      <c r="U1299" s="578">
        <f t="shared" si="332"/>
        <v>0</v>
      </c>
      <c r="V1299" s="579"/>
      <c r="W1299" s="566"/>
      <c r="X1299" s="586" t="str">
        <f t="shared" si="335"/>
        <v/>
      </c>
      <c r="Y1299" s="586" t="str">
        <f t="shared" si="329"/>
        <v/>
      </c>
      <c r="Z1299" s="586" t="str">
        <f t="shared" ref="Z1299:Z1362" si="338">IF(W1299="X","x",IF(U1299&gt;0,"x",""))</f>
        <v/>
      </c>
    </row>
    <row r="1300" spans="1:26" ht="23.25" hidden="1" thickBot="1" x14ac:dyDescent="0.25">
      <c r="A1300" s="567">
        <v>92866</v>
      </c>
      <c r="B1300" s="644">
        <v>92866</v>
      </c>
      <c r="C1300" s="645" t="s">
        <v>670</v>
      </c>
      <c r="D1300" s="422" t="s">
        <v>1151</v>
      </c>
      <c r="E1300" s="423"/>
      <c r="F1300" s="424"/>
      <c r="G1300" s="425"/>
      <c r="H1300" s="651"/>
      <c r="I1300" s="420">
        <v>9.66</v>
      </c>
      <c r="J1300" s="420">
        <f t="shared" si="337"/>
        <v>9.66</v>
      </c>
      <c r="K1300" s="421">
        <f t="shared" si="336"/>
        <v>11.48</v>
      </c>
      <c r="L1300" s="647" t="s">
        <v>2065</v>
      </c>
      <c r="M1300" s="576"/>
      <c r="N1300" s="576">
        <f t="shared" ref="N1300:N1363" si="339">IF(M1300=0,0,K1300)</f>
        <v>0</v>
      </c>
      <c r="O1300" s="577">
        <f t="shared" si="333"/>
        <v>0</v>
      </c>
      <c r="P1300" s="578">
        <f t="shared" si="334"/>
        <v>0</v>
      </c>
      <c r="Q1300" s="765"/>
      <c r="R1300" s="576">
        <f t="shared" si="330"/>
        <v>0</v>
      </c>
      <c r="S1300" s="576">
        <f t="shared" si="330"/>
        <v>0</v>
      </c>
      <c r="T1300" s="577">
        <f t="shared" si="331"/>
        <v>0</v>
      </c>
      <c r="U1300" s="578">
        <f t="shared" si="332"/>
        <v>0</v>
      </c>
      <c r="V1300" s="579"/>
      <c r="W1300" s="566"/>
      <c r="X1300" s="586" t="str">
        <f t="shared" si="335"/>
        <v/>
      </c>
      <c r="Y1300" s="586" t="str">
        <f t="shared" si="329"/>
        <v/>
      </c>
      <c r="Z1300" s="586" t="str">
        <f t="shared" si="338"/>
        <v/>
      </c>
    </row>
    <row r="1301" spans="1:26" ht="23.25" hidden="1" thickBot="1" x14ac:dyDescent="0.25">
      <c r="A1301" s="567">
        <v>92867</v>
      </c>
      <c r="B1301" s="644">
        <v>92867</v>
      </c>
      <c r="C1301" s="645" t="s">
        <v>670</v>
      </c>
      <c r="D1301" s="422" t="s">
        <v>1152</v>
      </c>
      <c r="E1301" s="423"/>
      <c r="F1301" s="424"/>
      <c r="G1301" s="425"/>
      <c r="H1301" s="651"/>
      <c r="I1301" s="420">
        <v>29.89</v>
      </c>
      <c r="J1301" s="420">
        <f t="shared" si="337"/>
        <v>29.89</v>
      </c>
      <c r="K1301" s="421">
        <f t="shared" si="336"/>
        <v>35.51</v>
      </c>
      <c r="L1301" s="647" t="s">
        <v>2065</v>
      </c>
      <c r="M1301" s="576"/>
      <c r="N1301" s="576">
        <f t="shared" si="339"/>
        <v>0</v>
      </c>
      <c r="O1301" s="577">
        <f t="shared" si="333"/>
        <v>0</v>
      </c>
      <c r="P1301" s="578">
        <f t="shared" si="334"/>
        <v>0</v>
      </c>
      <c r="Q1301" s="765"/>
      <c r="R1301" s="576">
        <f t="shared" si="330"/>
        <v>0</v>
      </c>
      <c r="S1301" s="576">
        <f t="shared" si="330"/>
        <v>0</v>
      </c>
      <c r="T1301" s="577">
        <f t="shared" si="331"/>
        <v>0</v>
      </c>
      <c r="U1301" s="578">
        <f t="shared" si="332"/>
        <v>0</v>
      </c>
      <c r="V1301" s="579"/>
      <c r="W1301" s="566"/>
      <c r="X1301" s="586" t="str">
        <f t="shared" si="335"/>
        <v/>
      </c>
      <c r="Y1301" s="586" t="str">
        <f t="shared" si="329"/>
        <v/>
      </c>
      <c r="Z1301" s="586" t="str">
        <f t="shared" si="338"/>
        <v/>
      </c>
    </row>
    <row r="1302" spans="1:26" ht="23.25" hidden="1" thickBot="1" x14ac:dyDescent="0.25">
      <c r="A1302" s="567">
        <v>92868</v>
      </c>
      <c r="B1302" s="644">
        <v>92868</v>
      </c>
      <c r="C1302" s="645" t="s">
        <v>670</v>
      </c>
      <c r="D1302" s="422" t="s">
        <v>1153</v>
      </c>
      <c r="E1302" s="423"/>
      <c r="F1302" s="424"/>
      <c r="G1302" s="425"/>
      <c r="H1302" s="651"/>
      <c r="I1302" s="420">
        <v>15.69</v>
      </c>
      <c r="J1302" s="420">
        <f t="shared" si="337"/>
        <v>15.69</v>
      </c>
      <c r="K1302" s="421">
        <f t="shared" si="336"/>
        <v>18.64</v>
      </c>
      <c r="L1302" s="647" t="s">
        <v>2065</v>
      </c>
      <c r="M1302" s="576"/>
      <c r="N1302" s="576">
        <f t="shared" si="339"/>
        <v>0</v>
      </c>
      <c r="O1302" s="577">
        <f t="shared" si="333"/>
        <v>0</v>
      </c>
      <c r="P1302" s="578">
        <f t="shared" si="334"/>
        <v>0</v>
      </c>
      <c r="Q1302" s="765"/>
      <c r="R1302" s="576">
        <f t="shared" si="330"/>
        <v>0</v>
      </c>
      <c r="S1302" s="576">
        <f t="shared" si="330"/>
        <v>0</v>
      </c>
      <c r="T1302" s="577">
        <f t="shared" si="331"/>
        <v>0</v>
      </c>
      <c r="U1302" s="578">
        <f t="shared" si="332"/>
        <v>0</v>
      </c>
      <c r="V1302" s="579"/>
      <c r="W1302" s="566"/>
      <c r="X1302" s="586" t="str">
        <f t="shared" si="335"/>
        <v/>
      </c>
      <c r="Y1302" s="586" t="str">
        <f t="shared" si="329"/>
        <v/>
      </c>
      <c r="Z1302" s="586" t="str">
        <f t="shared" si="338"/>
        <v/>
      </c>
    </row>
    <row r="1303" spans="1:26" ht="23.25" hidden="1" thickBot="1" x14ac:dyDescent="0.25">
      <c r="A1303" s="567">
        <v>92869</v>
      </c>
      <c r="B1303" s="644">
        <v>92869</v>
      </c>
      <c r="C1303" s="645" t="s">
        <v>670</v>
      </c>
      <c r="D1303" s="422" t="s">
        <v>1154</v>
      </c>
      <c r="E1303" s="423"/>
      <c r="F1303" s="424"/>
      <c r="G1303" s="425"/>
      <c r="H1303" s="651"/>
      <c r="I1303" s="420">
        <v>10.36</v>
      </c>
      <c r="J1303" s="420">
        <f t="shared" si="337"/>
        <v>10.36</v>
      </c>
      <c r="K1303" s="421">
        <f t="shared" si="336"/>
        <v>12.31</v>
      </c>
      <c r="L1303" s="647" t="s">
        <v>2065</v>
      </c>
      <c r="M1303" s="576"/>
      <c r="N1303" s="576">
        <f t="shared" si="339"/>
        <v>0</v>
      </c>
      <c r="O1303" s="577">
        <f t="shared" si="333"/>
        <v>0</v>
      </c>
      <c r="P1303" s="578">
        <f t="shared" si="334"/>
        <v>0</v>
      </c>
      <c r="Q1303" s="765"/>
      <c r="R1303" s="576">
        <f t="shared" si="330"/>
        <v>0</v>
      </c>
      <c r="S1303" s="576">
        <f t="shared" si="330"/>
        <v>0</v>
      </c>
      <c r="T1303" s="577">
        <f t="shared" si="331"/>
        <v>0</v>
      </c>
      <c r="U1303" s="578">
        <f t="shared" si="332"/>
        <v>0</v>
      </c>
      <c r="V1303" s="579"/>
      <c r="W1303" s="566"/>
      <c r="X1303" s="586" t="str">
        <f t="shared" si="335"/>
        <v/>
      </c>
      <c r="Y1303" s="586" t="str">
        <f t="shared" si="329"/>
        <v/>
      </c>
      <c r="Z1303" s="586" t="str">
        <f t="shared" si="338"/>
        <v/>
      </c>
    </row>
    <row r="1304" spans="1:26" ht="23.25" hidden="1" thickBot="1" x14ac:dyDescent="0.25">
      <c r="A1304" s="567">
        <v>92870</v>
      </c>
      <c r="B1304" s="644">
        <v>92870</v>
      </c>
      <c r="C1304" s="645" t="s">
        <v>670</v>
      </c>
      <c r="D1304" s="422" t="s">
        <v>1155</v>
      </c>
      <c r="E1304" s="423"/>
      <c r="F1304" s="424"/>
      <c r="G1304" s="425"/>
      <c r="H1304" s="651"/>
      <c r="I1304" s="420">
        <v>36.630000000000003</v>
      </c>
      <c r="J1304" s="420">
        <f t="shared" si="337"/>
        <v>36.630000000000003</v>
      </c>
      <c r="K1304" s="421">
        <f t="shared" si="336"/>
        <v>43.52</v>
      </c>
      <c r="L1304" s="647" t="s">
        <v>2065</v>
      </c>
      <c r="M1304" s="576"/>
      <c r="N1304" s="576">
        <f t="shared" si="339"/>
        <v>0</v>
      </c>
      <c r="O1304" s="577">
        <f t="shared" si="333"/>
        <v>0</v>
      </c>
      <c r="P1304" s="578">
        <f t="shared" si="334"/>
        <v>0</v>
      </c>
      <c r="Q1304" s="765"/>
      <c r="R1304" s="576">
        <f t="shared" si="330"/>
        <v>0</v>
      </c>
      <c r="S1304" s="576">
        <f t="shared" si="330"/>
        <v>0</v>
      </c>
      <c r="T1304" s="577">
        <f t="shared" si="331"/>
        <v>0</v>
      </c>
      <c r="U1304" s="578">
        <f t="shared" si="332"/>
        <v>0</v>
      </c>
      <c r="V1304" s="579"/>
      <c r="W1304" s="566"/>
      <c r="X1304" s="586" t="str">
        <f t="shared" si="335"/>
        <v/>
      </c>
      <c r="Y1304" s="586" t="str">
        <f t="shared" si="329"/>
        <v/>
      </c>
      <c r="Z1304" s="586" t="str">
        <f t="shared" si="338"/>
        <v/>
      </c>
    </row>
    <row r="1305" spans="1:26" ht="23.25" hidden="1" thickBot="1" x14ac:dyDescent="0.25">
      <c r="A1305" s="567">
        <v>92871</v>
      </c>
      <c r="B1305" s="644">
        <v>92871</v>
      </c>
      <c r="C1305" s="645" t="s">
        <v>670</v>
      </c>
      <c r="D1305" s="422" t="s">
        <v>1156</v>
      </c>
      <c r="E1305" s="423"/>
      <c r="F1305" s="424"/>
      <c r="G1305" s="425"/>
      <c r="H1305" s="651"/>
      <c r="I1305" s="420">
        <v>20.29</v>
      </c>
      <c r="J1305" s="420">
        <f t="shared" si="337"/>
        <v>20.29</v>
      </c>
      <c r="K1305" s="421">
        <f t="shared" si="336"/>
        <v>24.11</v>
      </c>
      <c r="L1305" s="647" t="s">
        <v>2065</v>
      </c>
      <c r="M1305" s="576"/>
      <c r="N1305" s="576">
        <f t="shared" si="339"/>
        <v>0</v>
      </c>
      <c r="O1305" s="577">
        <f t="shared" si="333"/>
        <v>0</v>
      </c>
      <c r="P1305" s="578">
        <f t="shared" si="334"/>
        <v>0</v>
      </c>
      <c r="Q1305" s="765"/>
      <c r="R1305" s="576">
        <f t="shared" si="330"/>
        <v>0</v>
      </c>
      <c r="S1305" s="576">
        <f t="shared" si="330"/>
        <v>0</v>
      </c>
      <c r="T1305" s="577">
        <f t="shared" si="331"/>
        <v>0</v>
      </c>
      <c r="U1305" s="578">
        <f t="shared" si="332"/>
        <v>0</v>
      </c>
      <c r="V1305" s="579"/>
      <c r="W1305" s="566"/>
      <c r="X1305" s="586" t="str">
        <f t="shared" si="335"/>
        <v/>
      </c>
      <c r="Y1305" s="586" t="str">
        <f t="shared" si="329"/>
        <v/>
      </c>
      <c r="Z1305" s="586" t="str">
        <f t="shared" si="338"/>
        <v/>
      </c>
    </row>
    <row r="1306" spans="1:26" ht="23.25" hidden="1" thickBot="1" x14ac:dyDescent="0.25">
      <c r="A1306" s="567">
        <v>92872</v>
      </c>
      <c r="B1306" s="644">
        <v>92872</v>
      </c>
      <c r="C1306" s="645" t="s">
        <v>670</v>
      </c>
      <c r="D1306" s="422" t="s">
        <v>1157</v>
      </c>
      <c r="E1306" s="423"/>
      <c r="F1306" s="424"/>
      <c r="G1306" s="425"/>
      <c r="H1306" s="651"/>
      <c r="I1306" s="420">
        <v>14.19</v>
      </c>
      <c r="J1306" s="420">
        <f t="shared" si="337"/>
        <v>14.19</v>
      </c>
      <c r="K1306" s="421">
        <f t="shared" si="336"/>
        <v>16.86</v>
      </c>
      <c r="L1306" s="647" t="s">
        <v>2065</v>
      </c>
      <c r="M1306" s="576"/>
      <c r="N1306" s="576">
        <f t="shared" si="339"/>
        <v>0</v>
      </c>
      <c r="O1306" s="577">
        <f t="shared" si="333"/>
        <v>0</v>
      </c>
      <c r="P1306" s="578">
        <f t="shared" si="334"/>
        <v>0</v>
      </c>
      <c r="Q1306" s="765"/>
      <c r="R1306" s="576">
        <f t="shared" si="330"/>
        <v>0</v>
      </c>
      <c r="S1306" s="576">
        <f t="shared" si="330"/>
        <v>0</v>
      </c>
      <c r="T1306" s="577">
        <f t="shared" si="331"/>
        <v>0</v>
      </c>
      <c r="U1306" s="578">
        <f t="shared" si="332"/>
        <v>0</v>
      </c>
      <c r="V1306" s="579"/>
      <c r="W1306" s="566"/>
      <c r="X1306" s="586" t="str">
        <f t="shared" si="335"/>
        <v/>
      </c>
      <c r="Y1306" s="586" t="str">
        <f t="shared" si="329"/>
        <v/>
      </c>
      <c r="Z1306" s="586" t="str">
        <f t="shared" si="338"/>
        <v/>
      </c>
    </row>
    <row r="1307" spans="1:26" ht="23.25" hidden="1" thickBot="1" x14ac:dyDescent="0.25">
      <c r="A1307" s="567">
        <v>97886</v>
      </c>
      <c r="B1307" s="644">
        <v>97886</v>
      </c>
      <c r="C1307" s="645" t="s">
        <v>670</v>
      </c>
      <c r="D1307" s="422" t="s">
        <v>1158</v>
      </c>
      <c r="E1307" s="423"/>
      <c r="F1307" s="424"/>
      <c r="G1307" s="425"/>
      <c r="H1307" s="651"/>
      <c r="I1307" s="420">
        <v>164.67</v>
      </c>
      <c r="J1307" s="420">
        <f t="shared" si="337"/>
        <v>164.67</v>
      </c>
      <c r="K1307" s="421">
        <f t="shared" si="336"/>
        <v>195.64</v>
      </c>
      <c r="L1307" s="647" t="s">
        <v>2065</v>
      </c>
      <c r="M1307" s="576"/>
      <c r="N1307" s="576">
        <f t="shared" si="339"/>
        <v>0</v>
      </c>
      <c r="O1307" s="577">
        <f t="shared" si="333"/>
        <v>0</v>
      </c>
      <c r="P1307" s="578">
        <f t="shared" si="334"/>
        <v>0</v>
      </c>
      <c r="Q1307" s="765"/>
      <c r="R1307" s="576">
        <f t="shared" si="330"/>
        <v>0</v>
      </c>
      <c r="S1307" s="576">
        <f t="shared" si="330"/>
        <v>0</v>
      </c>
      <c r="T1307" s="577">
        <f t="shared" si="331"/>
        <v>0</v>
      </c>
      <c r="U1307" s="578">
        <f t="shared" si="332"/>
        <v>0</v>
      </c>
      <c r="V1307" s="579"/>
      <c r="W1307" s="566"/>
      <c r="X1307" s="586" t="str">
        <f t="shared" si="335"/>
        <v/>
      </c>
      <c r="Y1307" s="586" t="str">
        <f t="shared" si="329"/>
        <v/>
      </c>
      <c r="Z1307" s="586" t="str">
        <f t="shared" si="338"/>
        <v/>
      </c>
    </row>
    <row r="1308" spans="1:26" ht="23.25" hidden="1" thickBot="1" x14ac:dyDescent="0.25">
      <c r="A1308" s="567">
        <v>97887</v>
      </c>
      <c r="B1308" s="644">
        <v>97887</v>
      </c>
      <c r="C1308" s="645" t="s">
        <v>670</v>
      </c>
      <c r="D1308" s="422" t="s">
        <v>1159</v>
      </c>
      <c r="E1308" s="423"/>
      <c r="F1308" s="424"/>
      <c r="G1308" s="425"/>
      <c r="H1308" s="651"/>
      <c r="I1308" s="420">
        <v>259.82</v>
      </c>
      <c r="J1308" s="420">
        <f t="shared" si="337"/>
        <v>259.82</v>
      </c>
      <c r="K1308" s="421">
        <f t="shared" si="336"/>
        <v>308.69</v>
      </c>
      <c r="L1308" s="647" t="s">
        <v>2065</v>
      </c>
      <c r="M1308" s="576"/>
      <c r="N1308" s="576">
        <f t="shared" si="339"/>
        <v>0</v>
      </c>
      <c r="O1308" s="577">
        <f t="shared" si="333"/>
        <v>0</v>
      </c>
      <c r="P1308" s="578">
        <f t="shared" si="334"/>
        <v>0</v>
      </c>
      <c r="Q1308" s="765"/>
      <c r="R1308" s="576">
        <f t="shared" si="330"/>
        <v>0</v>
      </c>
      <c r="S1308" s="576">
        <f t="shared" si="330"/>
        <v>0</v>
      </c>
      <c r="T1308" s="577">
        <f t="shared" si="331"/>
        <v>0</v>
      </c>
      <c r="U1308" s="578">
        <f t="shared" si="332"/>
        <v>0</v>
      </c>
      <c r="V1308" s="579"/>
      <c r="W1308" s="566"/>
      <c r="X1308" s="586" t="str">
        <f t="shared" si="335"/>
        <v/>
      </c>
      <c r="Y1308" s="586" t="str">
        <f t="shared" si="329"/>
        <v/>
      </c>
      <c r="Z1308" s="586" t="str">
        <f t="shared" si="338"/>
        <v/>
      </c>
    </row>
    <row r="1309" spans="1:26" ht="23.25" hidden="1" thickBot="1" x14ac:dyDescent="0.25">
      <c r="A1309" s="567">
        <v>97888</v>
      </c>
      <c r="B1309" s="644">
        <v>97888</v>
      </c>
      <c r="C1309" s="645" t="s">
        <v>670</v>
      </c>
      <c r="D1309" s="422" t="s">
        <v>1160</v>
      </c>
      <c r="E1309" s="423"/>
      <c r="F1309" s="424"/>
      <c r="G1309" s="425"/>
      <c r="H1309" s="651"/>
      <c r="I1309" s="420">
        <v>502.57</v>
      </c>
      <c r="J1309" s="420">
        <f t="shared" si="337"/>
        <v>502.57</v>
      </c>
      <c r="K1309" s="421">
        <f t="shared" si="336"/>
        <v>597.1</v>
      </c>
      <c r="L1309" s="647" t="s">
        <v>2065</v>
      </c>
      <c r="M1309" s="576"/>
      <c r="N1309" s="576">
        <f t="shared" si="339"/>
        <v>0</v>
      </c>
      <c r="O1309" s="577">
        <f t="shared" si="333"/>
        <v>0</v>
      </c>
      <c r="P1309" s="578">
        <f t="shared" si="334"/>
        <v>0</v>
      </c>
      <c r="Q1309" s="765"/>
      <c r="R1309" s="576">
        <f t="shared" si="330"/>
        <v>0</v>
      </c>
      <c r="S1309" s="576">
        <f t="shared" si="330"/>
        <v>0</v>
      </c>
      <c r="T1309" s="577">
        <f t="shared" si="331"/>
        <v>0</v>
      </c>
      <c r="U1309" s="578">
        <f t="shared" si="332"/>
        <v>0</v>
      </c>
      <c r="V1309" s="579"/>
      <c r="W1309" s="566"/>
      <c r="X1309" s="586" t="str">
        <f t="shared" si="335"/>
        <v/>
      </c>
      <c r="Y1309" s="586" t="str">
        <f t="shared" si="329"/>
        <v/>
      </c>
      <c r="Z1309" s="586" t="str">
        <f t="shared" si="338"/>
        <v/>
      </c>
    </row>
    <row r="1310" spans="1:26" ht="23.25" hidden="1" thickBot="1" x14ac:dyDescent="0.25">
      <c r="A1310" s="567">
        <v>97889</v>
      </c>
      <c r="B1310" s="644">
        <v>97889</v>
      </c>
      <c r="C1310" s="645" t="s">
        <v>670</v>
      </c>
      <c r="D1310" s="422" t="s">
        <v>1161</v>
      </c>
      <c r="E1310" s="423"/>
      <c r="F1310" s="424"/>
      <c r="G1310" s="425"/>
      <c r="H1310" s="651"/>
      <c r="I1310" s="420">
        <v>680.75</v>
      </c>
      <c r="J1310" s="420">
        <f t="shared" si="337"/>
        <v>680.75</v>
      </c>
      <c r="K1310" s="421">
        <f t="shared" si="336"/>
        <v>808.8</v>
      </c>
      <c r="L1310" s="647" t="s">
        <v>2065</v>
      </c>
      <c r="M1310" s="576"/>
      <c r="N1310" s="576">
        <f t="shared" si="339"/>
        <v>0</v>
      </c>
      <c r="O1310" s="577">
        <f t="shared" si="333"/>
        <v>0</v>
      </c>
      <c r="P1310" s="578">
        <f t="shared" si="334"/>
        <v>0</v>
      </c>
      <c r="Q1310" s="765"/>
      <c r="R1310" s="576">
        <f t="shared" si="330"/>
        <v>0</v>
      </c>
      <c r="S1310" s="576">
        <f t="shared" si="330"/>
        <v>0</v>
      </c>
      <c r="T1310" s="577">
        <f t="shared" si="331"/>
        <v>0</v>
      </c>
      <c r="U1310" s="578">
        <f t="shared" si="332"/>
        <v>0</v>
      </c>
      <c r="V1310" s="579"/>
      <c r="W1310" s="566"/>
      <c r="X1310" s="586" t="str">
        <f t="shared" si="335"/>
        <v/>
      </c>
      <c r="Y1310" s="586" t="str">
        <f t="shared" si="329"/>
        <v/>
      </c>
      <c r="Z1310" s="586" t="str">
        <f t="shared" si="338"/>
        <v/>
      </c>
    </row>
    <row r="1311" spans="1:26" ht="23.25" hidden="1" thickBot="1" x14ac:dyDescent="0.25">
      <c r="A1311" s="567">
        <v>97890</v>
      </c>
      <c r="B1311" s="644">
        <v>97890</v>
      </c>
      <c r="C1311" s="645" t="s">
        <v>670</v>
      </c>
      <c r="D1311" s="422" t="s">
        <v>1162</v>
      </c>
      <c r="E1311" s="423"/>
      <c r="F1311" s="424"/>
      <c r="G1311" s="425"/>
      <c r="H1311" s="651"/>
      <c r="I1311" s="420">
        <v>769.51</v>
      </c>
      <c r="J1311" s="420">
        <f t="shared" si="337"/>
        <v>769.51</v>
      </c>
      <c r="K1311" s="421">
        <f t="shared" si="336"/>
        <v>914.25</v>
      </c>
      <c r="L1311" s="647" t="s">
        <v>2065</v>
      </c>
      <c r="M1311" s="576"/>
      <c r="N1311" s="576">
        <f t="shared" si="339"/>
        <v>0</v>
      </c>
      <c r="O1311" s="577">
        <f t="shared" si="333"/>
        <v>0</v>
      </c>
      <c r="P1311" s="578">
        <f t="shared" si="334"/>
        <v>0</v>
      </c>
      <c r="Q1311" s="765"/>
      <c r="R1311" s="576">
        <f t="shared" si="330"/>
        <v>0</v>
      </c>
      <c r="S1311" s="576">
        <f t="shared" si="330"/>
        <v>0</v>
      </c>
      <c r="T1311" s="577">
        <f t="shared" si="331"/>
        <v>0</v>
      </c>
      <c r="U1311" s="578">
        <f t="shared" si="332"/>
        <v>0</v>
      </c>
      <c r="V1311" s="579"/>
      <c r="W1311" s="566"/>
      <c r="X1311" s="586" t="str">
        <f t="shared" si="335"/>
        <v/>
      </c>
      <c r="Y1311" s="586" t="str">
        <f t="shared" si="329"/>
        <v/>
      </c>
      <c r="Z1311" s="586" t="str">
        <f t="shared" si="338"/>
        <v/>
      </c>
    </row>
    <row r="1312" spans="1:26" ht="23.25" hidden="1" thickBot="1" x14ac:dyDescent="0.25">
      <c r="A1312" s="567">
        <v>97933</v>
      </c>
      <c r="B1312" s="644">
        <v>97933</v>
      </c>
      <c r="C1312" s="645" t="s">
        <v>670</v>
      </c>
      <c r="D1312" s="422" t="s">
        <v>1163</v>
      </c>
      <c r="E1312" s="423"/>
      <c r="F1312" s="424"/>
      <c r="G1312" s="425"/>
      <c r="H1312" s="651"/>
      <c r="I1312" s="420">
        <v>656.21</v>
      </c>
      <c r="J1312" s="420">
        <f t="shared" si="337"/>
        <v>656.21</v>
      </c>
      <c r="K1312" s="421">
        <f t="shared" si="336"/>
        <v>779.64</v>
      </c>
      <c r="L1312" s="647" t="s">
        <v>2065</v>
      </c>
      <c r="M1312" s="576"/>
      <c r="N1312" s="576">
        <f t="shared" si="339"/>
        <v>0</v>
      </c>
      <c r="O1312" s="577">
        <f t="shared" si="333"/>
        <v>0</v>
      </c>
      <c r="P1312" s="578">
        <f t="shared" si="334"/>
        <v>0</v>
      </c>
      <c r="Q1312" s="765"/>
      <c r="R1312" s="576">
        <f t="shared" si="330"/>
        <v>0</v>
      </c>
      <c r="S1312" s="576">
        <f t="shared" si="330"/>
        <v>0</v>
      </c>
      <c r="T1312" s="577">
        <f t="shared" si="331"/>
        <v>0</v>
      </c>
      <c r="U1312" s="578">
        <f t="shared" si="332"/>
        <v>0</v>
      </c>
      <c r="V1312" s="579"/>
      <c r="W1312" s="566"/>
      <c r="X1312" s="586" t="str">
        <f t="shared" si="335"/>
        <v/>
      </c>
      <c r="Y1312" s="586" t="str">
        <f t="shared" si="329"/>
        <v/>
      </c>
      <c r="Z1312" s="586" t="str">
        <f t="shared" si="338"/>
        <v/>
      </c>
    </row>
    <row r="1313" spans="1:26" ht="23.25" hidden="1" thickBot="1" x14ac:dyDescent="0.25">
      <c r="A1313" s="567">
        <v>97947</v>
      </c>
      <c r="B1313" s="644">
        <v>97947</v>
      </c>
      <c r="C1313" s="645" t="s">
        <v>670</v>
      </c>
      <c r="D1313" s="422" t="s">
        <v>1164</v>
      </c>
      <c r="E1313" s="423"/>
      <c r="F1313" s="424"/>
      <c r="G1313" s="425"/>
      <c r="H1313" s="651"/>
      <c r="I1313" s="420">
        <v>1610.54</v>
      </c>
      <c r="J1313" s="420">
        <f t="shared" si="337"/>
        <v>1610.54</v>
      </c>
      <c r="K1313" s="421">
        <f t="shared" si="336"/>
        <v>1913.48</v>
      </c>
      <c r="L1313" s="647" t="s">
        <v>2065</v>
      </c>
      <c r="M1313" s="576"/>
      <c r="N1313" s="576">
        <f t="shared" si="339"/>
        <v>0</v>
      </c>
      <c r="O1313" s="577">
        <f t="shared" si="333"/>
        <v>0</v>
      </c>
      <c r="P1313" s="578">
        <f t="shared" si="334"/>
        <v>0</v>
      </c>
      <c r="Q1313" s="765"/>
      <c r="R1313" s="576">
        <f t="shared" si="330"/>
        <v>0</v>
      </c>
      <c r="S1313" s="576">
        <f t="shared" si="330"/>
        <v>0</v>
      </c>
      <c r="T1313" s="577">
        <f t="shared" si="331"/>
        <v>0</v>
      </c>
      <c r="U1313" s="578">
        <f t="shared" si="332"/>
        <v>0</v>
      </c>
      <c r="V1313" s="579"/>
      <c r="W1313" s="566"/>
      <c r="X1313" s="586" t="str">
        <f t="shared" si="335"/>
        <v/>
      </c>
      <c r="Y1313" s="586" t="str">
        <f t="shared" si="329"/>
        <v/>
      </c>
      <c r="Z1313" s="586" t="str">
        <f t="shared" si="338"/>
        <v/>
      </c>
    </row>
    <row r="1314" spans="1:26" ht="23.25" hidden="1" thickBot="1" x14ac:dyDescent="0.25">
      <c r="A1314" s="567">
        <v>97948</v>
      </c>
      <c r="B1314" s="644">
        <v>97948</v>
      </c>
      <c r="C1314" s="645" t="s">
        <v>670</v>
      </c>
      <c r="D1314" s="422" t="s">
        <v>1165</v>
      </c>
      <c r="E1314" s="423"/>
      <c r="F1314" s="424"/>
      <c r="G1314" s="425"/>
      <c r="H1314" s="651"/>
      <c r="I1314" s="420">
        <v>2935.97</v>
      </c>
      <c r="J1314" s="420">
        <f t="shared" si="337"/>
        <v>2935.97</v>
      </c>
      <c r="K1314" s="421">
        <f t="shared" si="336"/>
        <v>3488.23</v>
      </c>
      <c r="L1314" s="647" t="s">
        <v>2065</v>
      </c>
      <c r="M1314" s="576"/>
      <c r="N1314" s="576">
        <f t="shared" si="339"/>
        <v>0</v>
      </c>
      <c r="O1314" s="577">
        <f t="shared" si="333"/>
        <v>0</v>
      </c>
      <c r="P1314" s="578">
        <f t="shared" si="334"/>
        <v>0</v>
      </c>
      <c r="Q1314" s="765"/>
      <c r="R1314" s="576">
        <f t="shared" si="330"/>
        <v>0</v>
      </c>
      <c r="S1314" s="576">
        <f t="shared" si="330"/>
        <v>0</v>
      </c>
      <c r="T1314" s="577">
        <f t="shared" si="331"/>
        <v>0</v>
      </c>
      <c r="U1314" s="578">
        <f t="shared" si="332"/>
        <v>0</v>
      </c>
      <c r="V1314" s="579"/>
      <c r="W1314" s="566"/>
      <c r="X1314" s="586" t="str">
        <f t="shared" si="335"/>
        <v/>
      </c>
      <c r="Y1314" s="586" t="str">
        <f t="shared" si="329"/>
        <v/>
      </c>
      <c r="Z1314" s="586" t="str">
        <f t="shared" si="338"/>
        <v/>
      </c>
    </row>
    <row r="1315" spans="1:26" ht="23.25" hidden="1" thickBot="1" x14ac:dyDescent="0.25">
      <c r="A1315" s="567">
        <v>97953</v>
      </c>
      <c r="B1315" s="644">
        <v>97953</v>
      </c>
      <c r="C1315" s="645" t="s">
        <v>670</v>
      </c>
      <c r="D1315" s="422" t="s">
        <v>1166</v>
      </c>
      <c r="E1315" s="423"/>
      <c r="F1315" s="424"/>
      <c r="G1315" s="425"/>
      <c r="H1315" s="651"/>
      <c r="I1315" s="420">
        <v>1084.21</v>
      </c>
      <c r="J1315" s="420">
        <f t="shared" si="337"/>
        <v>1084.21</v>
      </c>
      <c r="K1315" s="421">
        <f t="shared" si="336"/>
        <v>1288.1500000000001</v>
      </c>
      <c r="L1315" s="647" t="s">
        <v>2065</v>
      </c>
      <c r="M1315" s="576"/>
      <c r="N1315" s="576">
        <f t="shared" si="339"/>
        <v>0</v>
      </c>
      <c r="O1315" s="577">
        <f t="shared" si="333"/>
        <v>0</v>
      </c>
      <c r="P1315" s="578">
        <f t="shared" si="334"/>
        <v>0</v>
      </c>
      <c r="Q1315" s="765"/>
      <c r="R1315" s="576">
        <f t="shared" si="330"/>
        <v>0</v>
      </c>
      <c r="S1315" s="576">
        <f t="shared" si="330"/>
        <v>0</v>
      </c>
      <c r="T1315" s="577">
        <f t="shared" si="331"/>
        <v>0</v>
      </c>
      <c r="U1315" s="578">
        <f t="shared" si="332"/>
        <v>0</v>
      </c>
      <c r="V1315" s="579"/>
      <c r="W1315" s="566"/>
      <c r="X1315" s="586" t="str">
        <f t="shared" si="335"/>
        <v/>
      </c>
      <c r="Y1315" s="586" t="str">
        <f t="shared" ref="Y1315:Y1378" si="340">IF(W1315="X","x",IF(W1315="y","x",IF(W1315="xx","x",IF(U1315&gt;0,"x",""))))</f>
        <v/>
      </c>
      <c r="Z1315" s="586" t="str">
        <f t="shared" si="338"/>
        <v/>
      </c>
    </row>
    <row r="1316" spans="1:26" ht="23.25" hidden="1" thickBot="1" x14ac:dyDescent="0.25">
      <c r="A1316" s="567">
        <v>97955</v>
      </c>
      <c r="B1316" s="644">
        <v>97955</v>
      </c>
      <c r="C1316" s="645" t="s">
        <v>670</v>
      </c>
      <c r="D1316" s="422" t="s">
        <v>1167</v>
      </c>
      <c r="E1316" s="423"/>
      <c r="F1316" s="424"/>
      <c r="G1316" s="425"/>
      <c r="H1316" s="651"/>
      <c r="I1316" s="420">
        <v>2394.4699999999998</v>
      </c>
      <c r="J1316" s="420">
        <f t="shared" si="337"/>
        <v>2394.4699999999998</v>
      </c>
      <c r="K1316" s="421">
        <f t="shared" si="336"/>
        <v>2844.87</v>
      </c>
      <c r="L1316" s="647" t="s">
        <v>2065</v>
      </c>
      <c r="M1316" s="576"/>
      <c r="N1316" s="576">
        <f t="shared" si="339"/>
        <v>0</v>
      </c>
      <c r="O1316" s="577">
        <f t="shared" si="333"/>
        <v>0</v>
      </c>
      <c r="P1316" s="578">
        <f t="shared" si="334"/>
        <v>0</v>
      </c>
      <c r="Q1316" s="765"/>
      <c r="R1316" s="576">
        <f t="shared" si="330"/>
        <v>0</v>
      </c>
      <c r="S1316" s="576">
        <f t="shared" si="330"/>
        <v>0</v>
      </c>
      <c r="T1316" s="577">
        <f t="shared" si="331"/>
        <v>0</v>
      </c>
      <c r="U1316" s="578">
        <f t="shared" si="332"/>
        <v>0</v>
      </c>
      <c r="V1316" s="579"/>
      <c r="W1316" s="566"/>
      <c r="X1316" s="586" t="str">
        <f t="shared" si="335"/>
        <v/>
      </c>
      <c r="Y1316" s="586" t="str">
        <f t="shared" si="340"/>
        <v/>
      </c>
      <c r="Z1316" s="586" t="str">
        <f t="shared" si="338"/>
        <v/>
      </c>
    </row>
    <row r="1317" spans="1:26" ht="23.25" hidden="1" thickBot="1" x14ac:dyDescent="0.25">
      <c r="A1317" s="567">
        <v>97891</v>
      </c>
      <c r="B1317" s="644">
        <v>97891</v>
      </c>
      <c r="C1317" s="645" t="s">
        <v>670</v>
      </c>
      <c r="D1317" s="422" t="s">
        <v>1168</v>
      </c>
      <c r="E1317" s="423"/>
      <c r="F1317" s="424"/>
      <c r="G1317" s="425"/>
      <c r="H1317" s="651"/>
      <c r="I1317" s="420">
        <v>189.1</v>
      </c>
      <c r="J1317" s="420">
        <f t="shared" si="337"/>
        <v>189.1</v>
      </c>
      <c r="K1317" s="421">
        <f t="shared" si="336"/>
        <v>224.67</v>
      </c>
      <c r="L1317" s="647" t="s">
        <v>2065</v>
      </c>
      <c r="M1317" s="576"/>
      <c r="N1317" s="576">
        <f t="shared" si="339"/>
        <v>0</v>
      </c>
      <c r="O1317" s="577">
        <f t="shared" si="333"/>
        <v>0</v>
      </c>
      <c r="P1317" s="578">
        <f t="shared" si="334"/>
        <v>0</v>
      </c>
      <c r="Q1317" s="765"/>
      <c r="R1317" s="576">
        <f t="shared" si="330"/>
        <v>0</v>
      </c>
      <c r="S1317" s="576">
        <f t="shared" si="330"/>
        <v>0</v>
      </c>
      <c r="T1317" s="577">
        <f t="shared" si="331"/>
        <v>0</v>
      </c>
      <c r="U1317" s="578">
        <f t="shared" si="332"/>
        <v>0</v>
      </c>
      <c r="V1317" s="579"/>
      <c r="W1317" s="566"/>
      <c r="X1317" s="586" t="str">
        <f t="shared" si="335"/>
        <v/>
      </c>
      <c r="Y1317" s="586" t="str">
        <f t="shared" si="340"/>
        <v/>
      </c>
      <c r="Z1317" s="586" t="str">
        <f t="shared" si="338"/>
        <v/>
      </c>
    </row>
    <row r="1318" spans="1:26" ht="23.25" hidden="1" thickBot="1" x14ac:dyDescent="0.25">
      <c r="A1318" s="567">
        <v>97892</v>
      </c>
      <c r="B1318" s="644">
        <v>97892</v>
      </c>
      <c r="C1318" s="645" t="s">
        <v>670</v>
      </c>
      <c r="D1318" s="422" t="s">
        <v>1169</v>
      </c>
      <c r="E1318" s="423"/>
      <c r="F1318" s="424"/>
      <c r="G1318" s="425"/>
      <c r="H1318" s="651"/>
      <c r="I1318" s="420">
        <v>353.05</v>
      </c>
      <c r="J1318" s="420">
        <f t="shared" si="337"/>
        <v>353.05</v>
      </c>
      <c r="K1318" s="421">
        <f t="shared" si="336"/>
        <v>419.46</v>
      </c>
      <c r="L1318" s="647" t="s">
        <v>2065</v>
      </c>
      <c r="M1318" s="576"/>
      <c r="N1318" s="576">
        <f t="shared" si="339"/>
        <v>0</v>
      </c>
      <c r="O1318" s="577">
        <f t="shared" si="333"/>
        <v>0</v>
      </c>
      <c r="P1318" s="578">
        <f t="shared" si="334"/>
        <v>0</v>
      </c>
      <c r="Q1318" s="765"/>
      <c r="R1318" s="576">
        <f t="shared" si="330"/>
        <v>0</v>
      </c>
      <c r="S1318" s="576">
        <f t="shared" si="330"/>
        <v>0</v>
      </c>
      <c r="T1318" s="577">
        <f t="shared" si="331"/>
        <v>0</v>
      </c>
      <c r="U1318" s="578">
        <f t="shared" si="332"/>
        <v>0</v>
      </c>
      <c r="V1318" s="579"/>
      <c r="W1318" s="566"/>
      <c r="X1318" s="586" t="str">
        <f t="shared" si="335"/>
        <v/>
      </c>
      <c r="Y1318" s="586" t="str">
        <f t="shared" si="340"/>
        <v/>
      </c>
      <c r="Z1318" s="586" t="str">
        <f t="shared" si="338"/>
        <v/>
      </c>
    </row>
    <row r="1319" spans="1:26" ht="23.25" hidden="1" thickBot="1" x14ac:dyDescent="0.25">
      <c r="A1319" s="567">
        <v>97893</v>
      </c>
      <c r="B1319" s="644">
        <v>97893</v>
      </c>
      <c r="C1319" s="645" t="s">
        <v>670</v>
      </c>
      <c r="D1319" s="422" t="s">
        <v>1170</v>
      </c>
      <c r="E1319" s="423"/>
      <c r="F1319" s="424"/>
      <c r="G1319" s="425"/>
      <c r="H1319" s="651"/>
      <c r="I1319" s="420">
        <v>490.04</v>
      </c>
      <c r="J1319" s="420">
        <f t="shared" si="337"/>
        <v>490.04</v>
      </c>
      <c r="K1319" s="421">
        <f t="shared" si="336"/>
        <v>582.22</v>
      </c>
      <c r="L1319" s="647" t="s">
        <v>2065</v>
      </c>
      <c r="M1319" s="576"/>
      <c r="N1319" s="576">
        <f t="shared" si="339"/>
        <v>0</v>
      </c>
      <c r="O1319" s="577">
        <f t="shared" si="333"/>
        <v>0</v>
      </c>
      <c r="P1319" s="578">
        <f t="shared" si="334"/>
        <v>0</v>
      </c>
      <c r="Q1319" s="765"/>
      <c r="R1319" s="576">
        <f t="shared" si="330"/>
        <v>0</v>
      </c>
      <c r="S1319" s="576">
        <f t="shared" si="330"/>
        <v>0</v>
      </c>
      <c r="T1319" s="577">
        <f t="shared" si="331"/>
        <v>0</v>
      </c>
      <c r="U1319" s="578">
        <f t="shared" si="332"/>
        <v>0</v>
      </c>
      <c r="V1319" s="579"/>
      <c r="W1319" s="566"/>
      <c r="X1319" s="586" t="str">
        <f t="shared" si="335"/>
        <v/>
      </c>
      <c r="Y1319" s="586" t="str">
        <f t="shared" si="340"/>
        <v/>
      </c>
      <c r="Z1319" s="586" t="str">
        <f t="shared" si="338"/>
        <v/>
      </c>
    </row>
    <row r="1320" spans="1:26" ht="23.25" hidden="1" thickBot="1" x14ac:dyDescent="0.25">
      <c r="A1320" s="567">
        <v>97894</v>
      </c>
      <c r="B1320" s="644">
        <v>97894</v>
      </c>
      <c r="C1320" s="645" t="s">
        <v>670</v>
      </c>
      <c r="D1320" s="422" t="s">
        <v>1171</v>
      </c>
      <c r="E1320" s="423"/>
      <c r="F1320" s="424"/>
      <c r="G1320" s="425"/>
      <c r="H1320" s="651"/>
      <c r="I1320" s="420">
        <v>538.41999999999996</v>
      </c>
      <c r="J1320" s="420">
        <f t="shared" si="337"/>
        <v>538.41999999999996</v>
      </c>
      <c r="K1320" s="421">
        <f t="shared" si="336"/>
        <v>639.70000000000005</v>
      </c>
      <c r="L1320" s="647" t="s">
        <v>2065</v>
      </c>
      <c r="M1320" s="576"/>
      <c r="N1320" s="576">
        <f t="shared" si="339"/>
        <v>0</v>
      </c>
      <c r="O1320" s="577">
        <f t="shared" si="333"/>
        <v>0</v>
      </c>
      <c r="P1320" s="578">
        <f t="shared" si="334"/>
        <v>0</v>
      </c>
      <c r="Q1320" s="765"/>
      <c r="R1320" s="576">
        <f t="shared" si="330"/>
        <v>0</v>
      </c>
      <c r="S1320" s="576">
        <f t="shared" si="330"/>
        <v>0</v>
      </c>
      <c r="T1320" s="577">
        <f t="shared" si="331"/>
        <v>0</v>
      </c>
      <c r="U1320" s="578">
        <f t="shared" si="332"/>
        <v>0</v>
      </c>
      <c r="V1320" s="579"/>
      <c r="W1320" s="566"/>
      <c r="X1320" s="586" t="str">
        <f t="shared" si="335"/>
        <v/>
      </c>
      <c r="Y1320" s="586" t="str">
        <f t="shared" si="340"/>
        <v/>
      </c>
      <c r="Z1320" s="586" t="str">
        <f t="shared" si="338"/>
        <v/>
      </c>
    </row>
    <row r="1321" spans="1:26" ht="23.25" hidden="1" thickBot="1" x14ac:dyDescent="0.25">
      <c r="A1321" s="567">
        <v>97881</v>
      </c>
      <c r="B1321" s="644">
        <v>97881</v>
      </c>
      <c r="C1321" s="645" t="s">
        <v>670</v>
      </c>
      <c r="D1321" s="422" t="s">
        <v>1172</v>
      </c>
      <c r="E1321" s="423"/>
      <c r="F1321" s="424"/>
      <c r="G1321" s="425"/>
      <c r="H1321" s="651"/>
      <c r="I1321" s="420">
        <v>94.27</v>
      </c>
      <c r="J1321" s="420">
        <f t="shared" si="337"/>
        <v>94.27</v>
      </c>
      <c r="K1321" s="421">
        <f t="shared" si="336"/>
        <v>112</v>
      </c>
      <c r="L1321" s="647" t="s">
        <v>2065</v>
      </c>
      <c r="M1321" s="576"/>
      <c r="N1321" s="576">
        <f t="shared" si="339"/>
        <v>0</v>
      </c>
      <c r="O1321" s="577">
        <f t="shared" si="333"/>
        <v>0</v>
      </c>
      <c r="P1321" s="578">
        <f t="shared" si="334"/>
        <v>0</v>
      </c>
      <c r="Q1321" s="765"/>
      <c r="R1321" s="576">
        <f t="shared" si="330"/>
        <v>0</v>
      </c>
      <c r="S1321" s="576">
        <f t="shared" si="330"/>
        <v>0</v>
      </c>
      <c r="T1321" s="577">
        <f t="shared" si="331"/>
        <v>0</v>
      </c>
      <c r="U1321" s="578">
        <f t="shared" si="332"/>
        <v>0</v>
      </c>
      <c r="V1321" s="579"/>
      <c r="W1321" s="566"/>
      <c r="X1321" s="586" t="str">
        <f t="shared" si="335"/>
        <v/>
      </c>
      <c r="Y1321" s="586" t="str">
        <f t="shared" si="340"/>
        <v/>
      </c>
      <c r="Z1321" s="586" t="str">
        <f t="shared" si="338"/>
        <v/>
      </c>
    </row>
    <row r="1322" spans="1:26" ht="23.25" hidden="1" thickBot="1" x14ac:dyDescent="0.25">
      <c r="A1322" s="567">
        <v>97882</v>
      </c>
      <c r="B1322" s="644">
        <v>97882</v>
      </c>
      <c r="C1322" s="645" t="s">
        <v>670</v>
      </c>
      <c r="D1322" s="422" t="s">
        <v>1173</v>
      </c>
      <c r="E1322" s="423"/>
      <c r="F1322" s="424"/>
      <c r="G1322" s="425"/>
      <c r="H1322" s="651"/>
      <c r="I1322" s="420">
        <v>145.55000000000001</v>
      </c>
      <c r="J1322" s="420">
        <f t="shared" si="337"/>
        <v>145.55000000000001</v>
      </c>
      <c r="K1322" s="421">
        <f t="shared" si="336"/>
        <v>172.93</v>
      </c>
      <c r="L1322" s="647" t="s">
        <v>2065</v>
      </c>
      <c r="M1322" s="576"/>
      <c r="N1322" s="576">
        <f t="shared" si="339"/>
        <v>0</v>
      </c>
      <c r="O1322" s="577">
        <f t="shared" si="333"/>
        <v>0</v>
      </c>
      <c r="P1322" s="578">
        <f t="shared" si="334"/>
        <v>0</v>
      </c>
      <c r="Q1322" s="765"/>
      <c r="R1322" s="576">
        <f t="shared" ref="R1322:S1385" si="341">M1322</f>
        <v>0</v>
      </c>
      <c r="S1322" s="576">
        <f t="shared" si="341"/>
        <v>0</v>
      </c>
      <c r="T1322" s="577">
        <f t="shared" si="331"/>
        <v>0</v>
      </c>
      <c r="U1322" s="578">
        <f t="shared" si="332"/>
        <v>0</v>
      </c>
      <c r="V1322" s="579"/>
      <c r="W1322" s="566"/>
      <c r="X1322" s="586" t="str">
        <f t="shared" si="335"/>
        <v/>
      </c>
      <c r="Y1322" s="586" t="str">
        <f t="shared" si="340"/>
        <v/>
      </c>
      <c r="Z1322" s="586" t="str">
        <f t="shared" si="338"/>
        <v/>
      </c>
    </row>
    <row r="1323" spans="1:26" ht="23.25" hidden="1" thickBot="1" x14ac:dyDescent="0.25">
      <c r="A1323" s="567">
        <v>97883</v>
      </c>
      <c r="B1323" s="644">
        <v>97883</v>
      </c>
      <c r="C1323" s="645" t="s">
        <v>670</v>
      </c>
      <c r="D1323" s="422" t="s">
        <v>1174</v>
      </c>
      <c r="E1323" s="423"/>
      <c r="F1323" s="424"/>
      <c r="G1323" s="425"/>
      <c r="H1323" s="651"/>
      <c r="I1323" s="420">
        <v>282.02</v>
      </c>
      <c r="J1323" s="420">
        <f t="shared" si="337"/>
        <v>282.02</v>
      </c>
      <c r="K1323" s="421">
        <f t="shared" si="336"/>
        <v>335.07</v>
      </c>
      <c r="L1323" s="647" t="s">
        <v>2065</v>
      </c>
      <c r="M1323" s="576"/>
      <c r="N1323" s="576">
        <f t="shared" si="339"/>
        <v>0</v>
      </c>
      <c r="O1323" s="577">
        <f t="shared" si="333"/>
        <v>0</v>
      </c>
      <c r="P1323" s="578">
        <f t="shared" si="334"/>
        <v>0</v>
      </c>
      <c r="Q1323" s="765"/>
      <c r="R1323" s="576">
        <f t="shared" si="341"/>
        <v>0</v>
      </c>
      <c r="S1323" s="576">
        <f t="shared" si="341"/>
        <v>0</v>
      </c>
      <c r="T1323" s="577">
        <f t="shared" si="331"/>
        <v>0</v>
      </c>
      <c r="U1323" s="578">
        <f t="shared" si="332"/>
        <v>0</v>
      </c>
      <c r="V1323" s="579"/>
      <c r="W1323" s="566"/>
      <c r="X1323" s="586" t="str">
        <f t="shared" si="335"/>
        <v/>
      </c>
      <c r="Y1323" s="586" t="str">
        <f t="shared" si="340"/>
        <v/>
      </c>
      <c r="Z1323" s="586" t="str">
        <f t="shared" si="338"/>
        <v/>
      </c>
    </row>
    <row r="1324" spans="1:26" ht="23.25" hidden="1" thickBot="1" x14ac:dyDescent="0.25">
      <c r="A1324" s="567">
        <v>97884</v>
      </c>
      <c r="B1324" s="644">
        <v>97884</v>
      </c>
      <c r="C1324" s="645" t="s">
        <v>670</v>
      </c>
      <c r="D1324" s="422" t="s">
        <v>1175</v>
      </c>
      <c r="E1324" s="423"/>
      <c r="F1324" s="424"/>
      <c r="G1324" s="425"/>
      <c r="H1324" s="651"/>
      <c r="I1324" s="420">
        <v>541.54999999999995</v>
      </c>
      <c r="J1324" s="420">
        <f t="shared" si="337"/>
        <v>541.54999999999995</v>
      </c>
      <c r="K1324" s="421">
        <f t="shared" si="336"/>
        <v>643.41999999999996</v>
      </c>
      <c r="L1324" s="647" t="s">
        <v>2065</v>
      </c>
      <c r="M1324" s="576"/>
      <c r="N1324" s="576">
        <f t="shared" si="339"/>
        <v>0</v>
      </c>
      <c r="O1324" s="577">
        <f t="shared" si="333"/>
        <v>0</v>
      </c>
      <c r="P1324" s="578">
        <f t="shared" si="334"/>
        <v>0</v>
      </c>
      <c r="Q1324" s="765"/>
      <c r="R1324" s="576">
        <f t="shared" si="341"/>
        <v>0</v>
      </c>
      <c r="S1324" s="576">
        <f t="shared" si="341"/>
        <v>0</v>
      </c>
      <c r="T1324" s="577">
        <f t="shared" si="331"/>
        <v>0</v>
      </c>
      <c r="U1324" s="578">
        <f t="shared" si="332"/>
        <v>0</v>
      </c>
      <c r="V1324" s="579"/>
      <c r="W1324" s="566"/>
      <c r="X1324" s="586" t="str">
        <f t="shared" si="335"/>
        <v/>
      </c>
      <c r="Y1324" s="586" t="str">
        <f t="shared" si="340"/>
        <v/>
      </c>
      <c r="Z1324" s="586" t="str">
        <f t="shared" si="338"/>
        <v/>
      </c>
    </row>
    <row r="1325" spans="1:26" ht="23.25" hidden="1" thickBot="1" x14ac:dyDescent="0.25">
      <c r="A1325" s="567">
        <v>97885</v>
      </c>
      <c r="B1325" s="644">
        <v>97885</v>
      </c>
      <c r="C1325" s="645" t="s">
        <v>670</v>
      </c>
      <c r="D1325" s="422" t="s">
        <v>1176</v>
      </c>
      <c r="E1325" s="423"/>
      <c r="F1325" s="424"/>
      <c r="G1325" s="425"/>
      <c r="H1325" s="651"/>
      <c r="I1325" s="420">
        <v>825.06</v>
      </c>
      <c r="J1325" s="420">
        <f t="shared" si="337"/>
        <v>825.06</v>
      </c>
      <c r="K1325" s="421">
        <f t="shared" si="336"/>
        <v>980.25</v>
      </c>
      <c r="L1325" s="647" t="s">
        <v>2065</v>
      </c>
      <c r="M1325" s="576"/>
      <c r="N1325" s="576">
        <f t="shared" si="339"/>
        <v>0</v>
      </c>
      <c r="O1325" s="577">
        <f t="shared" si="333"/>
        <v>0</v>
      </c>
      <c r="P1325" s="578">
        <f t="shared" si="334"/>
        <v>0</v>
      </c>
      <c r="Q1325" s="765"/>
      <c r="R1325" s="576">
        <f t="shared" si="341"/>
        <v>0</v>
      </c>
      <c r="S1325" s="576">
        <f t="shared" si="341"/>
        <v>0</v>
      </c>
      <c r="T1325" s="577">
        <f t="shared" si="331"/>
        <v>0</v>
      </c>
      <c r="U1325" s="578">
        <f t="shared" si="332"/>
        <v>0</v>
      </c>
      <c r="V1325" s="579"/>
      <c r="W1325" s="566"/>
      <c r="X1325" s="586" t="str">
        <f t="shared" si="335"/>
        <v/>
      </c>
      <c r="Y1325" s="586" t="str">
        <f t="shared" si="340"/>
        <v/>
      </c>
      <c r="Z1325" s="586" t="str">
        <f t="shared" si="338"/>
        <v/>
      </c>
    </row>
    <row r="1326" spans="1:26" ht="23.25" hidden="1" thickBot="1" x14ac:dyDescent="0.25">
      <c r="A1326" s="567">
        <v>91945</v>
      </c>
      <c r="B1326" s="644">
        <v>91945</v>
      </c>
      <c r="C1326" s="645" t="s">
        <v>670</v>
      </c>
      <c r="D1326" s="422" t="s">
        <v>1177</v>
      </c>
      <c r="E1326" s="423"/>
      <c r="F1326" s="424"/>
      <c r="G1326" s="425"/>
      <c r="H1326" s="651"/>
      <c r="I1326" s="420">
        <v>11.39</v>
      </c>
      <c r="J1326" s="420">
        <f t="shared" si="337"/>
        <v>11.39</v>
      </c>
      <c r="K1326" s="421">
        <f t="shared" si="336"/>
        <v>13.53</v>
      </c>
      <c r="L1326" s="647" t="s">
        <v>2065</v>
      </c>
      <c r="M1326" s="576"/>
      <c r="N1326" s="576">
        <f t="shared" si="339"/>
        <v>0</v>
      </c>
      <c r="O1326" s="577">
        <f t="shared" si="333"/>
        <v>0</v>
      </c>
      <c r="P1326" s="578">
        <f t="shared" si="334"/>
        <v>0</v>
      </c>
      <c r="Q1326" s="765"/>
      <c r="R1326" s="576">
        <f t="shared" si="341"/>
        <v>0</v>
      </c>
      <c r="S1326" s="576">
        <f t="shared" si="341"/>
        <v>0</v>
      </c>
      <c r="T1326" s="577">
        <f t="shared" si="331"/>
        <v>0</v>
      </c>
      <c r="U1326" s="578">
        <f t="shared" si="332"/>
        <v>0</v>
      </c>
      <c r="V1326" s="579"/>
      <c r="W1326" s="566"/>
      <c r="X1326" s="586" t="str">
        <f t="shared" si="335"/>
        <v/>
      </c>
      <c r="Y1326" s="586" t="str">
        <f t="shared" si="340"/>
        <v/>
      </c>
      <c r="Z1326" s="586" t="str">
        <f t="shared" si="338"/>
        <v/>
      </c>
    </row>
    <row r="1327" spans="1:26" ht="23.25" hidden="1" thickBot="1" x14ac:dyDescent="0.25">
      <c r="A1327" s="567">
        <v>91946</v>
      </c>
      <c r="B1327" s="644">
        <v>91946</v>
      </c>
      <c r="C1327" s="645" t="s">
        <v>670</v>
      </c>
      <c r="D1327" s="422" t="s">
        <v>1178</v>
      </c>
      <c r="E1327" s="423"/>
      <c r="F1327" s="424"/>
      <c r="G1327" s="425"/>
      <c r="H1327" s="651"/>
      <c r="I1327" s="420">
        <v>9.73</v>
      </c>
      <c r="J1327" s="420">
        <f t="shared" si="337"/>
        <v>9.73</v>
      </c>
      <c r="K1327" s="421">
        <f t="shared" si="336"/>
        <v>11.56</v>
      </c>
      <c r="L1327" s="647" t="s">
        <v>2065</v>
      </c>
      <c r="M1327" s="576"/>
      <c r="N1327" s="576">
        <f t="shared" si="339"/>
        <v>0</v>
      </c>
      <c r="O1327" s="577">
        <f t="shared" si="333"/>
        <v>0</v>
      </c>
      <c r="P1327" s="578">
        <f t="shared" si="334"/>
        <v>0</v>
      </c>
      <c r="Q1327" s="765"/>
      <c r="R1327" s="576">
        <f t="shared" si="341"/>
        <v>0</v>
      </c>
      <c r="S1327" s="576">
        <f t="shared" si="341"/>
        <v>0</v>
      </c>
      <c r="T1327" s="577">
        <f t="shared" si="331"/>
        <v>0</v>
      </c>
      <c r="U1327" s="578">
        <f t="shared" si="332"/>
        <v>0</v>
      </c>
      <c r="V1327" s="579"/>
      <c r="W1327" s="566"/>
      <c r="X1327" s="586" t="str">
        <f t="shared" si="335"/>
        <v/>
      </c>
      <c r="Y1327" s="586" t="str">
        <f t="shared" si="340"/>
        <v/>
      </c>
      <c r="Z1327" s="586" t="str">
        <f t="shared" si="338"/>
        <v/>
      </c>
    </row>
    <row r="1328" spans="1:26" ht="23.25" hidden="1" thickBot="1" x14ac:dyDescent="0.25">
      <c r="A1328" s="567">
        <v>91947</v>
      </c>
      <c r="B1328" s="644">
        <v>91947</v>
      </c>
      <c r="C1328" s="645" t="s">
        <v>670</v>
      </c>
      <c r="D1328" s="422" t="s">
        <v>1179</v>
      </c>
      <c r="E1328" s="423"/>
      <c r="F1328" s="424"/>
      <c r="G1328" s="425"/>
      <c r="H1328" s="651"/>
      <c r="I1328" s="420">
        <v>8.6999999999999993</v>
      </c>
      <c r="J1328" s="420">
        <f t="shared" si="337"/>
        <v>8.6999999999999993</v>
      </c>
      <c r="K1328" s="421">
        <f t="shared" si="336"/>
        <v>10.34</v>
      </c>
      <c r="L1328" s="647" t="s">
        <v>2065</v>
      </c>
      <c r="M1328" s="576"/>
      <c r="N1328" s="576">
        <f t="shared" si="339"/>
        <v>0</v>
      </c>
      <c r="O1328" s="577">
        <f t="shared" si="333"/>
        <v>0</v>
      </c>
      <c r="P1328" s="578">
        <f t="shared" si="334"/>
        <v>0</v>
      </c>
      <c r="Q1328" s="765"/>
      <c r="R1328" s="576">
        <f t="shared" si="341"/>
        <v>0</v>
      </c>
      <c r="S1328" s="576">
        <f t="shared" si="341"/>
        <v>0</v>
      </c>
      <c r="T1328" s="577">
        <f t="shared" si="331"/>
        <v>0</v>
      </c>
      <c r="U1328" s="578">
        <f t="shared" si="332"/>
        <v>0</v>
      </c>
      <c r="V1328" s="579"/>
      <c r="W1328" s="566"/>
      <c r="X1328" s="586" t="str">
        <f t="shared" si="335"/>
        <v/>
      </c>
      <c r="Y1328" s="586" t="str">
        <f t="shared" si="340"/>
        <v/>
      </c>
      <c r="Z1328" s="586" t="str">
        <f t="shared" si="338"/>
        <v/>
      </c>
    </row>
    <row r="1329" spans="1:26" ht="23.25" hidden="1" thickBot="1" x14ac:dyDescent="0.25">
      <c r="A1329" s="567">
        <v>91949</v>
      </c>
      <c r="B1329" s="644">
        <v>91949</v>
      </c>
      <c r="C1329" s="645" t="s">
        <v>670</v>
      </c>
      <c r="D1329" s="422" t="s">
        <v>1180</v>
      </c>
      <c r="E1329" s="423"/>
      <c r="F1329" s="424"/>
      <c r="G1329" s="425"/>
      <c r="H1329" s="651"/>
      <c r="I1329" s="420">
        <v>17.899999999999999</v>
      </c>
      <c r="J1329" s="420">
        <f t="shared" si="337"/>
        <v>17.899999999999999</v>
      </c>
      <c r="K1329" s="421">
        <f t="shared" si="336"/>
        <v>21.27</v>
      </c>
      <c r="L1329" s="647" t="s">
        <v>2065</v>
      </c>
      <c r="M1329" s="576"/>
      <c r="N1329" s="576">
        <f t="shared" si="339"/>
        <v>0</v>
      </c>
      <c r="O1329" s="577">
        <f t="shared" si="333"/>
        <v>0</v>
      </c>
      <c r="P1329" s="578">
        <f t="shared" si="334"/>
        <v>0</v>
      </c>
      <c r="Q1329" s="765"/>
      <c r="R1329" s="576">
        <f t="shared" si="341"/>
        <v>0</v>
      </c>
      <c r="S1329" s="576">
        <f t="shared" si="341"/>
        <v>0</v>
      </c>
      <c r="T1329" s="577">
        <f t="shared" si="331"/>
        <v>0</v>
      </c>
      <c r="U1329" s="578">
        <f t="shared" si="332"/>
        <v>0</v>
      </c>
      <c r="V1329" s="579"/>
      <c r="W1329" s="566"/>
      <c r="X1329" s="586" t="str">
        <f t="shared" si="335"/>
        <v/>
      </c>
      <c r="Y1329" s="586" t="str">
        <f t="shared" si="340"/>
        <v/>
      </c>
      <c r="Z1329" s="586" t="str">
        <f t="shared" si="338"/>
        <v/>
      </c>
    </row>
    <row r="1330" spans="1:26" ht="23.25" hidden="1" thickBot="1" x14ac:dyDescent="0.25">
      <c r="A1330" s="567">
        <v>91950</v>
      </c>
      <c r="B1330" s="644">
        <v>91950</v>
      </c>
      <c r="C1330" s="645" t="s">
        <v>670</v>
      </c>
      <c r="D1330" s="422" t="s">
        <v>1181</v>
      </c>
      <c r="E1330" s="423"/>
      <c r="F1330" s="424"/>
      <c r="G1330" s="425"/>
      <c r="H1330" s="651"/>
      <c r="I1330" s="420">
        <v>15.89</v>
      </c>
      <c r="J1330" s="420">
        <f t="shared" si="337"/>
        <v>15.89</v>
      </c>
      <c r="K1330" s="421">
        <f t="shared" si="336"/>
        <v>18.88</v>
      </c>
      <c r="L1330" s="647" t="s">
        <v>2065</v>
      </c>
      <c r="M1330" s="576"/>
      <c r="N1330" s="576">
        <f t="shared" si="339"/>
        <v>0</v>
      </c>
      <c r="O1330" s="577">
        <f t="shared" si="333"/>
        <v>0</v>
      </c>
      <c r="P1330" s="578">
        <f t="shared" si="334"/>
        <v>0</v>
      </c>
      <c r="Q1330" s="765"/>
      <c r="R1330" s="576">
        <f t="shared" si="341"/>
        <v>0</v>
      </c>
      <c r="S1330" s="576">
        <f t="shared" si="341"/>
        <v>0</v>
      </c>
      <c r="T1330" s="577">
        <f t="shared" si="331"/>
        <v>0</v>
      </c>
      <c r="U1330" s="578">
        <f t="shared" si="332"/>
        <v>0</v>
      </c>
      <c r="V1330" s="579"/>
      <c r="W1330" s="566"/>
      <c r="X1330" s="586" t="str">
        <f t="shared" si="335"/>
        <v/>
      </c>
      <c r="Y1330" s="586" t="str">
        <f t="shared" si="340"/>
        <v/>
      </c>
      <c r="Z1330" s="586" t="str">
        <f t="shared" si="338"/>
        <v/>
      </c>
    </row>
    <row r="1331" spans="1:26" ht="23.25" hidden="1" thickBot="1" x14ac:dyDescent="0.25">
      <c r="A1331" s="567">
        <v>91951</v>
      </c>
      <c r="B1331" s="644">
        <v>91951</v>
      </c>
      <c r="C1331" s="645" t="s">
        <v>670</v>
      </c>
      <c r="D1331" s="422" t="s">
        <v>1182</v>
      </c>
      <c r="E1331" s="423"/>
      <c r="F1331" s="424"/>
      <c r="G1331" s="425"/>
      <c r="H1331" s="651"/>
      <c r="I1331" s="420">
        <v>14.69</v>
      </c>
      <c r="J1331" s="420">
        <f t="shared" si="337"/>
        <v>14.69</v>
      </c>
      <c r="K1331" s="421">
        <f t="shared" si="336"/>
        <v>17.45</v>
      </c>
      <c r="L1331" s="647" t="s">
        <v>2065</v>
      </c>
      <c r="M1331" s="576"/>
      <c r="N1331" s="576">
        <f t="shared" si="339"/>
        <v>0</v>
      </c>
      <c r="O1331" s="577">
        <f t="shared" si="333"/>
        <v>0</v>
      </c>
      <c r="P1331" s="578">
        <f t="shared" si="334"/>
        <v>0</v>
      </c>
      <c r="Q1331" s="765"/>
      <c r="R1331" s="576">
        <f t="shared" si="341"/>
        <v>0</v>
      </c>
      <c r="S1331" s="576">
        <f t="shared" si="341"/>
        <v>0</v>
      </c>
      <c r="T1331" s="577">
        <f t="shared" si="331"/>
        <v>0</v>
      </c>
      <c r="U1331" s="578">
        <f t="shared" si="332"/>
        <v>0</v>
      </c>
      <c r="V1331" s="579"/>
      <c r="W1331" s="566"/>
      <c r="X1331" s="586" t="str">
        <f t="shared" si="335"/>
        <v/>
      </c>
      <c r="Y1331" s="586" t="str">
        <f t="shared" si="340"/>
        <v/>
      </c>
      <c r="Z1331" s="586" t="str">
        <f t="shared" si="338"/>
        <v/>
      </c>
    </row>
    <row r="1332" spans="1:26" ht="23.25" hidden="1" thickBot="1" x14ac:dyDescent="0.25">
      <c r="A1332" s="567">
        <v>101946</v>
      </c>
      <c r="B1332" s="644">
        <v>101946</v>
      </c>
      <c r="C1332" s="645" t="s">
        <v>670</v>
      </c>
      <c r="D1332" s="422" t="s">
        <v>1183</v>
      </c>
      <c r="E1332" s="423"/>
      <c r="F1332" s="424"/>
      <c r="G1332" s="425"/>
      <c r="H1332" s="651"/>
      <c r="I1332" s="420">
        <v>173.46</v>
      </c>
      <c r="J1332" s="420">
        <f t="shared" si="337"/>
        <v>173.46</v>
      </c>
      <c r="K1332" s="421">
        <f t="shared" si="336"/>
        <v>206.09</v>
      </c>
      <c r="L1332" s="647" t="s">
        <v>2065</v>
      </c>
      <c r="M1332" s="576"/>
      <c r="N1332" s="576">
        <f t="shared" si="339"/>
        <v>0</v>
      </c>
      <c r="O1332" s="577">
        <f t="shared" si="333"/>
        <v>0</v>
      </c>
      <c r="P1332" s="578">
        <f t="shared" si="334"/>
        <v>0</v>
      </c>
      <c r="Q1332" s="765"/>
      <c r="R1332" s="576">
        <f t="shared" si="341"/>
        <v>0</v>
      </c>
      <c r="S1332" s="576">
        <f t="shared" si="341"/>
        <v>0</v>
      </c>
      <c r="T1332" s="577">
        <f t="shared" ref="T1332:T1395" si="342">IF(ISBLANK(R1332),0,ROUND(K1332*R1332,2))</f>
        <v>0</v>
      </c>
      <c r="U1332" s="578">
        <f t="shared" ref="U1332:U1395" si="343">IF(ISBLANK(R1332),0,ROUND(R1332*S1332,2))</f>
        <v>0</v>
      </c>
      <c r="V1332" s="579"/>
      <c r="W1332" s="566"/>
      <c r="X1332" s="586" t="str">
        <f t="shared" si="335"/>
        <v/>
      </c>
      <c r="Y1332" s="586" t="str">
        <f t="shared" si="340"/>
        <v/>
      </c>
      <c r="Z1332" s="586" t="str">
        <f t="shared" si="338"/>
        <v/>
      </c>
    </row>
    <row r="1333" spans="1:26" ht="23.25" hidden="1" thickBot="1" x14ac:dyDescent="0.25">
      <c r="A1333" s="567">
        <v>97362</v>
      </c>
      <c r="B1333" s="644">
        <v>97362</v>
      </c>
      <c r="C1333" s="645" t="s">
        <v>670</v>
      </c>
      <c r="D1333" s="422" t="s">
        <v>1184</v>
      </c>
      <c r="E1333" s="423"/>
      <c r="F1333" s="424"/>
      <c r="G1333" s="425"/>
      <c r="H1333" s="651"/>
      <c r="I1333" s="420">
        <v>2586.6799999999998</v>
      </c>
      <c r="J1333" s="420">
        <f t="shared" si="337"/>
        <v>2586.6799999999998</v>
      </c>
      <c r="K1333" s="421">
        <f t="shared" si="336"/>
        <v>3073.23</v>
      </c>
      <c r="L1333" s="647" t="s">
        <v>2065</v>
      </c>
      <c r="M1333" s="576"/>
      <c r="N1333" s="576">
        <f t="shared" si="339"/>
        <v>0</v>
      </c>
      <c r="O1333" s="577">
        <f t="shared" ref="O1333:O1396" si="344">IF(ISBLANK(M1333),0,ROUND(K1333*M1333,2))</f>
        <v>0</v>
      </c>
      <c r="P1333" s="578">
        <f t="shared" ref="P1333:P1396" si="345">IF(ISBLANK(N1333),0,ROUND(M1333*N1333,2))</f>
        <v>0</v>
      </c>
      <c r="Q1333" s="765"/>
      <c r="R1333" s="576">
        <f t="shared" si="341"/>
        <v>0</v>
      </c>
      <c r="S1333" s="576">
        <f t="shared" si="341"/>
        <v>0</v>
      </c>
      <c r="T1333" s="577">
        <f t="shared" si="342"/>
        <v>0</v>
      </c>
      <c r="U1333" s="578">
        <f t="shared" si="343"/>
        <v>0</v>
      </c>
      <c r="V1333" s="579"/>
      <c r="W1333" s="566"/>
      <c r="X1333" s="586" t="str">
        <f t="shared" si="335"/>
        <v/>
      </c>
      <c r="Y1333" s="586" t="str">
        <f t="shared" si="340"/>
        <v/>
      </c>
      <c r="Z1333" s="586" t="str">
        <f t="shared" si="338"/>
        <v/>
      </c>
    </row>
    <row r="1334" spans="1:26" ht="23.25" hidden="1" thickBot="1" x14ac:dyDescent="0.25">
      <c r="A1334" s="567">
        <v>97359</v>
      </c>
      <c r="B1334" s="644">
        <v>97359</v>
      </c>
      <c r="C1334" s="645" t="s">
        <v>670</v>
      </c>
      <c r="D1334" s="422" t="s">
        <v>1185</v>
      </c>
      <c r="E1334" s="423"/>
      <c r="F1334" s="424"/>
      <c r="G1334" s="425"/>
      <c r="H1334" s="651"/>
      <c r="I1334" s="420">
        <v>4007.03</v>
      </c>
      <c r="J1334" s="420">
        <f t="shared" si="337"/>
        <v>4007.03</v>
      </c>
      <c r="K1334" s="421">
        <f t="shared" si="336"/>
        <v>4760.75</v>
      </c>
      <c r="L1334" s="647" t="s">
        <v>2065</v>
      </c>
      <c r="M1334" s="576"/>
      <c r="N1334" s="576">
        <f t="shared" si="339"/>
        <v>0</v>
      </c>
      <c r="O1334" s="577">
        <f t="shared" si="344"/>
        <v>0</v>
      </c>
      <c r="P1334" s="578">
        <f t="shared" si="345"/>
        <v>0</v>
      </c>
      <c r="Q1334" s="765"/>
      <c r="R1334" s="576">
        <f t="shared" si="341"/>
        <v>0</v>
      </c>
      <c r="S1334" s="576">
        <f t="shared" si="341"/>
        <v>0</v>
      </c>
      <c r="T1334" s="577">
        <f t="shared" si="342"/>
        <v>0</v>
      </c>
      <c r="U1334" s="578">
        <f t="shared" si="343"/>
        <v>0</v>
      </c>
      <c r="V1334" s="579"/>
      <c r="W1334" s="566"/>
      <c r="X1334" s="586" t="str">
        <f t="shared" si="335"/>
        <v/>
      </c>
      <c r="Y1334" s="586" t="str">
        <f t="shared" si="340"/>
        <v/>
      </c>
      <c r="Z1334" s="586" t="str">
        <f t="shared" si="338"/>
        <v/>
      </c>
    </row>
    <row r="1335" spans="1:26" ht="23.25" hidden="1" thickBot="1" x14ac:dyDescent="0.25">
      <c r="A1335" s="567">
        <v>97360</v>
      </c>
      <c r="B1335" s="644">
        <v>97360</v>
      </c>
      <c r="C1335" s="645" t="s">
        <v>670</v>
      </c>
      <c r="D1335" s="422" t="s">
        <v>1186</v>
      </c>
      <c r="E1335" s="423"/>
      <c r="F1335" s="424"/>
      <c r="G1335" s="425"/>
      <c r="H1335" s="651"/>
      <c r="I1335" s="420">
        <v>7727.75</v>
      </c>
      <c r="J1335" s="420">
        <f t="shared" si="337"/>
        <v>7727.75</v>
      </c>
      <c r="K1335" s="421">
        <f t="shared" si="336"/>
        <v>9181.34</v>
      </c>
      <c r="L1335" s="647" t="s">
        <v>2065</v>
      </c>
      <c r="M1335" s="576"/>
      <c r="N1335" s="576">
        <f t="shared" si="339"/>
        <v>0</v>
      </c>
      <c r="O1335" s="577">
        <f t="shared" si="344"/>
        <v>0</v>
      </c>
      <c r="P1335" s="578">
        <f t="shared" si="345"/>
        <v>0</v>
      </c>
      <c r="Q1335" s="765"/>
      <c r="R1335" s="576">
        <f t="shared" si="341"/>
        <v>0</v>
      </c>
      <c r="S1335" s="576">
        <f t="shared" si="341"/>
        <v>0</v>
      </c>
      <c r="T1335" s="577">
        <f t="shared" si="342"/>
        <v>0</v>
      </c>
      <c r="U1335" s="578">
        <f t="shared" si="343"/>
        <v>0</v>
      </c>
      <c r="V1335" s="579"/>
      <c r="W1335" s="566"/>
      <c r="X1335" s="586" t="str">
        <f t="shared" si="335"/>
        <v/>
      </c>
      <c r="Y1335" s="586" t="str">
        <f t="shared" si="340"/>
        <v/>
      </c>
      <c r="Z1335" s="586" t="str">
        <f t="shared" si="338"/>
        <v/>
      </c>
    </row>
    <row r="1336" spans="1:26" ht="23.25" hidden="1" thickBot="1" x14ac:dyDescent="0.25">
      <c r="A1336" s="567">
        <v>97361</v>
      </c>
      <c r="B1336" s="644">
        <v>97361</v>
      </c>
      <c r="C1336" s="645" t="s">
        <v>670</v>
      </c>
      <c r="D1336" s="422" t="s">
        <v>1187</v>
      </c>
      <c r="E1336" s="423"/>
      <c r="F1336" s="424"/>
      <c r="G1336" s="425"/>
      <c r="H1336" s="651"/>
      <c r="I1336" s="420">
        <v>10303.67</v>
      </c>
      <c r="J1336" s="420">
        <f t="shared" si="337"/>
        <v>10303.67</v>
      </c>
      <c r="K1336" s="421">
        <f t="shared" si="336"/>
        <v>12241.79</v>
      </c>
      <c r="L1336" s="647" t="s">
        <v>2065</v>
      </c>
      <c r="M1336" s="576"/>
      <c r="N1336" s="576">
        <f t="shared" si="339"/>
        <v>0</v>
      </c>
      <c r="O1336" s="577">
        <f t="shared" si="344"/>
        <v>0</v>
      </c>
      <c r="P1336" s="578">
        <f t="shared" si="345"/>
        <v>0</v>
      </c>
      <c r="Q1336" s="765"/>
      <c r="R1336" s="576">
        <f t="shared" si="341"/>
        <v>0</v>
      </c>
      <c r="S1336" s="576">
        <f t="shared" si="341"/>
        <v>0</v>
      </c>
      <c r="T1336" s="577">
        <f t="shared" si="342"/>
        <v>0</v>
      </c>
      <c r="U1336" s="578">
        <f t="shared" si="343"/>
        <v>0</v>
      </c>
      <c r="V1336" s="579"/>
      <c r="W1336" s="566"/>
      <c r="X1336" s="586" t="str">
        <f t="shared" si="335"/>
        <v/>
      </c>
      <c r="Y1336" s="586" t="str">
        <f t="shared" si="340"/>
        <v/>
      </c>
      <c r="Z1336" s="586" t="str">
        <f t="shared" si="338"/>
        <v/>
      </c>
    </row>
    <row r="1337" spans="1:26" ht="23.25" hidden="1" thickBot="1" x14ac:dyDescent="0.25">
      <c r="A1337" s="567">
        <v>101875</v>
      </c>
      <c r="B1337" s="644">
        <v>101875</v>
      </c>
      <c r="C1337" s="645" t="s">
        <v>670</v>
      </c>
      <c r="D1337" s="422" t="s">
        <v>1188</v>
      </c>
      <c r="E1337" s="423"/>
      <c r="F1337" s="424"/>
      <c r="G1337" s="425"/>
      <c r="H1337" s="651"/>
      <c r="I1337" s="420">
        <v>547.15</v>
      </c>
      <c r="J1337" s="420">
        <f t="shared" si="337"/>
        <v>547.15</v>
      </c>
      <c r="K1337" s="421">
        <f t="shared" si="336"/>
        <v>650.07000000000005</v>
      </c>
      <c r="L1337" s="647" t="s">
        <v>2065</v>
      </c>
      <c r="M1337" s="576"/>
      <c r="N1337" s="576">
        <f t="shared" si="339"/>
        <v>0</v>
      </c>
      <c r="O1337" s="577">
        <f t="shared" si="344"/>
        <v>0</v>
      </c>
      <c r="P1337" s="578">
        <f t="shared" si="345"/>
        <v>0</v>
      </c>
      <c r="Q1337" s="765"/>
      <c r="R1337" s="576">
        <f t="shared" si="341"/>
        <v>0</v>
      </c>
      <c r="S1337" s="576">
        <f t="shared" si="341"/>
        <v>0</v>
      </c>
      <c r="T1337" s="577">
        <f t="shared" si="342"/>
        <v>0</v>
      </c>
      <c r="U1337" s="578">
        <f t="shared" si="343"/>
        <v>0</v>
      </c>
      <c r="V1337" s="579"/>
      <c r="W1337" s="566"/>
      <c r="X1337" s="586" t="str">
        <f t="shared" si="335"/>
        <v/>
      </c>
      <c r="Y1337" s="586" t="str">
        <f t="shared" si="340"/>
        <v/>
      </c>
      <c r="Z1337" s="586" t="str">
        <f t="shared" si="338"/>
        <v/>
      </c>
    </row>
    <row r="1338" spans="1:26" ht="23.25" hidden="1" thickBot="1" x14ac:dyDescent="0.25">
      <c r="A1338" s="567">
        <v>101876</v>
      </c>
      <c r="B1338" s="644">
        <v>101876</v>
      </c>
      <c r="C1338" s="645" t="s">
        <v>670</v>
      </c>
      <c r="D1338" s="422" t="s">
        <v>1189</v>
      </c>
      <c r="E1338" s="423"/>
      <c r="F1338" s="424"/>
      <c r="G1338" s="425"/>
      <c r="H1338" s="651"/>
      <c r="I1338" s="420">
        <v>88.65</v>
      </c>
      <c r="J1338" s="420">
        <f t="shared" si="337"/>
        <v>88.65</v>
      </c>
      <c r="K1338" s="421">
        <f t="shared" si="336"/>
        <v>105.33</v>
      </c>
      <c r="L1338" s="647" t="s">
        <v>2065</v>
      </c>
      <c r="M1338" s="576"/>
      <c r="N1338" s="576">
        <f t="shared" si="339"/>
        <v>0</v>
      </c>
      <c r="O1338" s="577">
        <f t="shared" si="344"/>
        <v>0</v>
      </c>
      <c r="P1338" s="578">
        <f t="shared" si="345"/>
        <v>0</v>
      </c>
      <c r="Q1338" s="765"/>
      <c r="R1338" s="576">
        <f t="shared" si="341"/>
        <v>0</v>
      </c>
      <c r="S1338" s="576">
        <f t="shared" si="341"/>
        <v>0</v>
      </c>
      <c r="T1338" s="577">
        <f t="shared" si="342"/>
        <v>0</v>
      </c>
      <c r="U1338" s="578">
        <f t="shared" si="343"/>
        <v>0</v>
      </c>
      <c r="V1338" s="579"/>
      <c r="W1338" s="566"/>
      <c r="X1338" s="586" t="str">
        <f t="shared" si="335"/>
        <v/>
      </c>
      <c r="Y1338" s="586" t="str">
        <f t="shared" si="340"/>
        <v/>
      </c>
      <c r="Z1338" s="586" t="str">
        <f t="shared" si="338"/>
        <v/>
      </c>
    </row>
    <row r="1339" spans="1:26" ht="23.25" hidden="1" thickBot="1" x14ac:dyDescent="0.25">
      <c r="A1339" s="567">
        <v>101877</v>
      </c>
      <c r="B1339" s="644">
        <v>101877</v>
      </c>
      <c r="C1339" s="645" t="s">
        <v>670</v>
      </c>
      <c r="D1339" s="422" t="s">
        <v>1190</v>
      </c>
      <c r="E1339" s="423"/>
      <c r="F1339" s="424"/>
      <c r="G1339" s="425"/>
      <c r="H1339" s="651"/>
      <c r="I1339" s="420">
        <v>60.92</v>
      </c>
      <c r="J1339" s="420">
        <f t="shared" si="337"/>
        <v>60.92</v>
      </c>
      <c r="K1339" s="421">
        <f t="shared" si="336"/>
        <v>72.38</v>
      </c>
      <c r="L1339" s="647" t="s">
        <v>2065</v>
      </c>
      <c r="M1339" s="576"/>
      <c r="N1339" s="576">
        <f t="shared" si="339"/>
        <v>0</v>
      </c>
      <c r="O1339" s="577">
        <f t="shared" si="344"/>
        <v>0</v>
      </c>
      <c r="P1339" s="578">
        <f t="shared" si="345"/>
        <v>0</v>
      </c>
      <c r="Q1339" s="765"/>
      <c r="R1339" s="576">
        <f t="shared" si="341"/>
        <v>0</v>
      </c>
      <c r="S1339" s="576">
        <f t="shared" si="341"/>
        <v>0</v>
      </c>
      <c r="T1339" s="577">
        <f t="shared" si="342"/>
        <v>0</v>
      </c>
      <c r="U1339" s="578">
        <f t="shared" si="343"/>
        <v>0</v>
      </c>
      <c r="V1339" s="579"/>
      <c r="W1339" s="566"/>
      <c r="X1339" s="586" t="str">
        <f t="shared" si="335"/>
        <v/>
      </c>
      <c r="Y1339" s="586" t="str">
        <f t="shared" si="340"/>
        <v/>
      </c>
      <c r="Z1339" s="586" t="str">
        <f t="shared" si="338"/>
        <v/>
      </c>
    </row>
    <row r="1340" spans="1:26" ht="23.25" hidden="1" thickBot="1" x14ac:dyDescent="0.25">
      <c r="A1340" s="567">
        <v>101878</v>
      </c>
      <c r="B1340" s="644">
        <v>101878</v>
      </c>
      <c r="C1340" s="645" t="s">
        <v>670</v>
      </c>
      <c r="D1340" s="422" t="s">
        <v>1191</v>
      </c>
      <c r="E1340" s="423"/>
      <c r="F1340" s="424"/>
      <c r="G1340" s="425"/>
      <c r="H1340" s="651"/>
      <c r="I1340" s="420">
        <v>747.59</v>
      </c>
      <c r="J1340" s="420">
        <f t="shared" si="337"/>
        <v>747.59</v>
      </c>
      <c r="K1340" s="421">
        <f t="shared" si="336"/>
        <v>888.21</v>
      </c>
      <c r="L1340" s="647" t="s">
        <v>2065</v>
      </c>
      <c r="M1340" s="576"/>
      <c r="N1340" s="576">
        <f t="shared" si="339"/>
        <v>0</v>
      </c>
      <c r="O1340" s="577">
        <f t="shared" si="344"/>
        <v>0</v>
      </c>
      <c r="P1340" s="578">
        <f t="shared" si="345"/>
        <v>0</v>
      </c>
      <c r="Q1340" s="765"/>
      <c r="R1340" s="576">
        <f t="shared" si="341"/>
        <v>0</v>
      </c>
      <c r="S1340" s="576">
        <f t="shared" si="341"/>
        <v>0</v>
      </c>
      <c r="T1340" s="577">
        <f t="shared" si="342"/>
        <v>0</v>
      </c>
      <c r="U1340" s="578">
        <f t="shared" si="343"/>
        <v>0</v>
      </c>
      <c r="V1340" s="579"/>
      <c r="W1340" s="566"/>
      <c r="X1340" s="586" t="str">
        <f t="shared" si="335"/>
        <v/>
      </c>
      <c r="Y1340" s="586" t="str">
        <f t="shared" si="340"/>
        <v/>
      </c>
      <c r="Z1340" s="586" t="str">
        <f t="shared" si="338"/>
        <v/>
      </c>
    </row>
    <row r="1341" spans="1:26" ht="23.25" hidden="1" thickBot="1" x14ac:dyDescent="0.25">
      <c r="A1341" s="567">
        <v>101879</v>
      </c>
      <c r="B1341" s="644">
        <v>101879</v>
      </c>
      <c r="C1341" s="645" t="s">
        <v>670</v>
      </c>
      <c r="D1341" s="422" t="s">
        <v>1192</v>
      </c>
      <c r="E1341" s="423"/>
      <c r="F1341" s="424"/>
      <c r="G1341" s="425"/>
      <c r="H1341" s="651"/>
      <c r="I1341" s="420">
        <v>795.05</v>
      </c>
      <c r="J1341" s="420">
        <f t="shared" si="337"/>
        <v>795.05</v>
      </c>
      <c r="K1341" s="421">
        <f t="shared" si="336"/>
        <v>944.6</v>
      </c>
      <c r="L1341" s="647" t="s">
        <v>2065</v>
      </c>
      <c r="M1341" s="576"/>
      <c r="N1341" s="576">
        <f t="shared" si="339"/>
        <v>0</v>
      </c>
      <c r="O1341" s="577">
        <f t="shared" si="344"/>
        <v>0</v>
      </c>
      <c r="P1341" s="578">
        <f t="shared" si="345"/>
        <v>0</v>
      </c>
      <c r="Q1341" s="765"/>
      <c r="R1341" s="576">
        <f t="shared" si="341"/>
        <v>0</v>
      </c>
      <c r="S1341" s="576">
        <f t="shared" si="341"/>
        <v>0</v>
      </c>
      <c r="T1341" s="577">
        <f t="shared" si="342"/>
        <v>0</v>
      </c>
      <c r="U1341" s="578">
        <f t="shared" si="343"/>
        <v>0</v>
      </c>
      <c r="V1341" s="579"/>
      <c r="W1341" s="566"/>
      <c r="X1341" s="586" t="str">
        <f t="shared" ref="X1341:X1404" si="346">IF(W1341="X","x",IF(W1341="xx","x",IF(W1341="xy","x",IF(W1341="y","x",IF(OR(P1341&gt;0,U1341&gt;0),"x","")))))</f>
        <v/>
      </c>
      <c r="Y1341" s="586" t="str">
        <f t="shared" si="340"/>
        <v/>
      </c>
      <c r="Z1341" s="586" t="str">
        <f t="shared" si="338"/>
        <v/>
      </c>
    </row>
    <row r="1342" spans="1:26" ht="23.25" hidden="1" thickBot="1" x14ac:dyDescent="0.25">
      <c r="A1342" s="567">
        <v>101880</v>
      </c>
      <c r="B1342" s="644">
        <v>101880</v>
      </c>
      <c r="C1342" s="645" t="s">
        <v>670</v>
      </c>
      <c r="D1342" s="422" t="s">
        <v>1193</v>
      </c>
      <c r="E1342" s="423"/>
      <c r="F1342" s="424"/>
      <c r="G1342" s="425"/>
      <c r="H1342" s="651"/>
      <c r="I1342" s="420">
        <v>914.44</v>
      </c>
      <c r="J1342" s="420">
        <f t="shared" si="337"/>
        <v>914.44</v>
      </c>
      <c r="K1342" s="421">
        <f t="shared" si="336"/>
        <v>1086.45</v>
      </c>
      <c r="L1342" s="647" t="s">
        <v>2065</v>
      </c>
      <c r="M1342" s="576"/>
      <c r="N1342" s="576">
        <f t="shared" si="339"/>
        <v>0</v>
      </c>
      <c r="O1342" s="577">
        <f t="shared" si="344"/>
        <v>0</v>
      </c>
      <c r="P1342" s="578">
        <f t="shared" si="345"/>
        <v>0</v>
      </c>
      <c r="Q1342" s="765"/>
      <c r="R1342" s="576">
        <f t="shared" si="341"/>
        <v>0</v>
      </c>
      <c r="S1342" s="576">
        <f t="shared" si="341"/>
        <v>0</v>
      </c>
      <c r="T1342" s="577">
        <f t="shared" si="342"/>
        <v>0</v>
      </c>
      <c r="U1342" s="578">
        <f t="shared" si="343"/>
        <v>0</v>
      </c>
      <c r="V1342" s="579"/>
      <c r="W1342" s="566"/>
      <c r="X1342" s="586" t="str">
        <f t="shared" si="346"/>
        <v/>
      </c>
      <c r="Y1342" s="586" t="str">
        <f t="shared" si="340"/>
        <v/>
      </c>
      <c r="Z1342" s="586" t="str">
        <f t="shared" si="338"/>
        <v/>
      </c>
    </row>
    <row r="1343" spans="1:26" ht="23.25" hidden="1" thickBot="1" x14ac:dyDescent="0.25">
      <c r="A1343" s="567">
        <v>101881</v>
      </c>
      <c r="B1343" s="644">
        <v>101881</v>
      </c>
      <c r="C1343" s="645" t="s">
        <v>670</v>
      </c>
      <c r="D1343" s="422" t="s">
        <v>1194</v>
      </c>
      <c r="E1343" s="423"/>
      <c r="F1343" s="424"/>
      <c r="G1343" s="425"/>
      <c r="H1343" s="651"/>
      <c r="I1343" s="420">
        <v>1321.07</v>
      </c>
      <c r="J1343" s="420">
        <f t="shared" si="337"/>
        <v>1321.07</v>
      </c>
      <c r="K1343" s="421">
        <f t="shared" si="336"/>
        <v>1569.56</v>
      </c>
      <c r="L1343" s="647" t="s">
        <v>2065</v>
      </c>
      <c r="M1343" s="576"/>
      <c r="N1343" s="576">
        <f t="shared" si="339"/>
        <v>0</v>
      </c>
      <c r="O1343" s="577">
        <f t="shared" si="344"/>
        <v>0</v>
      </c>
      <c r="P1343" s="578">
        <f t="shared" si="345"/>
        <v>0</v>
      </c>
      <c r="Q1343" s="765"/>
      <c r="R1343" s="576">
        <f t="shared" si="341"/>
        <v>0</v>
      </c>
      <c r="S1343" s="576">
        <f t="shared" si="341"/>
        <v>0</v>
      </c>
      <c r="T1343" s="577">
        <f t="shared" si="342"/>
        <v>0</v>
      </c>
      <c r="U1343" s="578">
        <f t="shared" si="343"/>
        <v>0</v>
      </c>
      <c r="V1343" s="579"/>
      <c r="W1343" s="566"/>
      <c r="X1343" s="586" t="str">
        <f t="shared" si="346"/>
        <v/>
      </c>
      <c r="Y1343" s="586" t="str">
        <f t="shared" si="340"/>
        <v/>
      </c>
      <c r="Z1343" s="586" t="str">
        <f t="shared" si="338"/>
        <v/>
      </c>
    </row>
    <row r="1344" spans="1:26" ht="23.25" hidden="1" thickBot="1" x14ac:dyDescent="0.25">
      <c r="A1344" s="567">
        <v>101882</v>
      </c>
      <c r="B1344" s="644">
        <v>101882</v>
      </c>
      <c r="C1344" s="645" t="s">
        <v>670</v>
      </c>
      <c r="D1344" s="422" t="s">
        <v>1195</v>
      </c>
      <c r="E1344" s="423"/>
      <c r="F1344" s="424"/>
      <c r="G1344" s="425"/>
      <c r="H1344" s="651"/>
      <c r="I1344" s="420">
        <v>1881.42</v>
      </c>
      <c r="J1344" s="420">
        <f t="shared" si="337"/>
        <v>1881.42</v>
      </c>
      <c r="K1344" s="421">
        <f t="shared" si="336"/>
        <v>2235.3200000000002</v>
      </c>
      <c r="L1344" s="647" t="s">
        <v>2065</v>
      </c>
      <c r="M1344" s="576"/>
      <c r="N1344" s="576">
        <f t="shared" si="339"/>
        <v>0</v>
      </c>
      <c r="O1344" s="577">
        <f t="shared" si="344"/>
        <v>0</v>
      </c>
      <c r="P1344" s="578">
        <f t="shared" si="345"/>
        <v>0</v>
      </c>
      <c r="Q1344" s="765"/>
      <c r="R1344" s="576">
        <f t="shared" si="341"/>
        <v>0</v>
      </c>
      <c r="S1344" s="576">
        <f t="shared" si="341"/>
        <v>0</v>
      </c>
      <c r="T1344" s="577">
        <f t="shared" si="342"/>
        <v>0</v>
      </c>
      <c r="U1344" s="578">
        <f t="shared" si="343"/>
        <v>0</v>
      </c>
      <c r="V1344" s="579"/>
      <c r="W1344" s="566"/>
      <c r="X1344" s="586" t="str">
        <f t="shared" si="346"/>
        <v/>
      </c>
      <c r="Y1344" s="586" t="str">
        <f t="shared" si="340"/>
        <v/>
      </c>
      <c r="Z1344" s="586" t="str">
        <f t="shared" si="338"/>
        <v/>
      </c>
    </row>
    <row r="1345" spans="1:26" ht="23.25" hidden="1" thickBot="1" x14ac:dyDescent="0.25">
      <c r="A1345" s="567">
        <v>101883</v>
      </c>
      <c r="B1345" s="644">
        <v>101883</v>
      </c>
      <c r="C1345" s="645" t="s">
        <v>670</v>
      </c>
      <c r="D1345" s="422" t="s">
        <v>1196</v>
      </c>
      <c r="E1345" s="423"/>
      <c r="F1345" s="424"/>
      <c r="G1345" s="425"/>
      <c r="H1345" s="651"/>
      <c r="I1345" s="420">
        <v>757.66</v>
      </c>
      <c r="J1345" s="420">
        <f t="shared" si="337"/>
        <v>757.66</v>
      </c>
      <c r="K1345" s="421">
        <f t="shared" si="336"/>
        <v>900.18</v>
      </c>
      <c r="L1345" s="647" t="s">
        <v>2065</v>
      </c>
      <c r="M1345" s="576"/>
      <c r="N1345" s="576">
        <f t="shared" si="339"/>
        <v>0</v>
      </c>
      <c r="O1345" s="577">
        <f t="shared" si="344"/>
        <v>0</v>
      </c>
      <c r="P1345" s="578">
        <f t="shared" si="345"/>
        <v>0</v>
      </c>
      <c r="Q1345" s="765"/>
      <c r="R1345" s="576">
        <f t="shared" si="341"/>
        <v>0</v>
      </c>
      <c r="S1345" s="576">
        <f t="shared" si="341"/>
        <v>0</v>
      </c>
      <c r="T1345" s="577">
        <f t="shared" si="342"/>
        <v>0</v>
      </c>
      <c r="U1345" s="578">
        <f t="shared" si="343"/>
        <v>0</v>
      </c>
      <c r="V1345" s="579"/>
      <c r="W1345" s="566"/>
      <c r="X1345" s="586" t="str">
        <f t="shared" si="346"/>
        <v/>
      </c>
      <c r="Y1345" s="586" t="str">
        <f t="shared" si="340"/>
        <v/>
      </c>
      <c r="Z1345" s="586" t="str">
        <f t="shared" si="338"/>
        <v/>
      </c>
    </row>
    <row r="1346" spans="1:26" ht="12" hidden="1" thickBot="1" x14ac:dyDescent="0.25">
      <c r="A1346" s="567">
        <v>101901</v>
      </c>
      <c r="B1346" s="644">
        <v>101901</v>
      </c>
      <c r="C1346" s="645" t="s">
        <v>670</v>
      </c>
      <c r="D1346" s="422" t="s">
        <v>1197</v>
      </c>
      <c r="E1346" s="423"/>
      <c r="F1346" s="424"/>
      <c r="G1346" s="425"/>
      <c r="H1346" s="651"/>
      <c r="I1346" s="420">
        <v>130.36000000000001</v>
      </c>
      <c r="J1346" s="420">
        <f t="shared" si="337"/>
        <v>130.36000000000001</v>
      </c>
      <c r="K1346" s="421">
        <f t="shared" si="336"/>
        <v>154.88</v>
      </c>
      <c r="L1346" s="647" t="s">
        <v>2065</v>
      </c>
      <c r="M1346" s="576"/>
      <c r="N1346" s="576">
        <f t="shared" si="339"/>
        <v>0</v>
      </c>
      <c r="O1346" s="577">
        <f t="shared" si="344"/>
        <v>0</v>
      </c>
      <c r="P1346" s="578">
        <f t="shared" si="345"/>
        <v>0</v>
      </c>
      <c r="Q1346" s="765"/>
      <c r="R1346" s="576">
        <f t="shared" si="341"/>
        <v>0</v>
      </c>
      <c r="S1346" s="576">
        <f t="shared" si="341"/>
        <v>0</v>
      </c>
      <c r="T1346" s="577">
        <f t="shared" si="342"/>
        <v>0</v>
      </c>
      <c r="U1346" s="578">
        <f t="shared" si="343"/>
        <v>0</v>
      </c>
      <c r="V1346" s="579"/>
      <c r="W1346" s="566"/>
      <c r="X1346" s="586" t="str">
        <f t="shared" si="346"/>
        <v/>
      </c>
      <c r="Y1346" s="586" t="str">
        <f t="shared" si="340"/>
        <v/>
      </c>
      <c r="Z1346" s="586" t="str">
        <f t="shared" si="338"/>
        <v/>
      </c>
    </row>
    <row r="1347" spans="1:26" ht="12" hidden="1" thickBot="1" x14ac:dyDescent="0.25">
      <c r="A1347" s="567">
        <v>101902</v>
      </c>
      <c r="B1347" s="644">
        <v>101902</v>
      </c>
      <c r="C1347" s="645" t="s">
        <v>670</v>
      </c>
      <c r="D1347" s="422" t="s">
        <v>1198</v>
      </c>
      <c r="E1347" s="423"/>
      <c r="F1347" s="424"/>
      <c r="G1347" s="425"/>
      <c r="H1347" s="651"/>
      <c r="I1347" s="420">
        <v>161.28</v>
      </c>
      <c r="J1347" s="420">
        <f t="shared" si="337"/>
        <v>161.28</v>
      </c>
      <c r="K1347" s="421">
        <f t="shared" si="336"/>
        <v>191.62</v>
      </c>
      <c r="L1347" s="647" t="s">
        <v>2065</v>
      </c>
      <c r="M1347" s="576"/>
      <c r="N1347" s="576">
        <f t="shared" si="339"/>
        <v>0</v>
      </c>
      <c r="O1347" s="577">
        <f t="shared" si="344"/>
        <v>0</v>
      </c>
      <c r="P1347" s="578">
        <f t="shared" si="345"/>
        <v>0</v>
      </c>
      <c r="Q1347" s="765"/>
      <c r="R1347" s="576">
        <f t="shared" si="341"/>
        <v>0</v>
      </c>
      <c r="S1347" s="576">
        <f t="shared" si="341"/>
        <v>0</v>
      </c>
      <c r="T1347" s="577">
        <f t="shared" si="342"/>
        <v>0</v>
      </c>
      <c r="U1347" s="578">
        <f t="shared" si="343"/>
        <v>0</v>
      </c>
      <c r="V1347" s="579"/>
      <c r="W1347" s="566"/>
      <c r="X1347" s="586" t="str">
        <f t="shared" si="346"/>
        <v/>
      </c>
      <c r="Y1347" s="586" t="str">
        <f t="shared" si="340"/>
        <v/>
      </c>
      <c r="Z1347" s="586" t="str">
        <f t="shared" si="338"/>
        <v/>
      </c>
    </row>
    <row r="1348" spans="1:26" ht="12" hidden="1" thickBot="1" x14ac:dyDescent="0.25">
      <c r="A1348" s="567">
        <v>101903</v>
      </c>
      <c r="B1348" s="644">
        <v>101903</v>
      </c>
      <c r="C1348" s="645" t="s">
        <v>670</v>
      </c>
      <c r="D1348" s="422" t="s">
        <v>1199</v>
      </c>
      <c r="E1348" s="423"/>
      <c r="F1348" s="424"/>
      <c r="G1348" s="425"/>
      <c r="H1348" s="651"/>
      <c r="I1348" s="420">
        <v>336.27</v>
      </c>
      <c r="J1348" s="420">
        <f t="shared" si="337"/>
        <v>336.27</v>
      </c>
      <c r="K1348" s="421">
        <f t="shared" si="336"/>
        <v>399.52</v>
      </c>
      <c r="L1348" s="647" t="s">
        <v>2065</v>
      </c>
      <c r="M1348" s="576"/>
      <c r="N1348" s="576">
        <f t="shared" si="339"/>
        <v>0</v>
      </c>
      <c r="O1348" s="577">
        <f t="shared" si="344"/>
        <v>0</v>
      </c>
      <c r="P1348" s="578">
        <f t="shared" si="345"/>
        <v>0</v>
      </c>
      <c r="Q1348" s="765"/>
      <c r="R1348" s="576">
        <f t="shared" si="341"/>
        <v>0</v>
      </c>
      <c r="S1348" s="576">
        <f t="shared" si="341"/>
        <v>0</v>
      </c>
      <c r="T1348" s="577">
        <f t="shared" si="342"/>
        <v>0</v>
      </c>
      <c r="U1348" s="578">
        <f t="shared" si="343"/>
        <v>0</v>
      </c>
      <c r="V1348" s="579"/>
      <c r="W1348" s="566"/>
      <c r="X1348" s="586" t="str">
        <f t="shared" si="346"/>
        <v/>
      </c>
      <c r="Y1348" s="586" t="str">
        <f t="shared" si="340"/>
        <v/>
      </c>
      <c r="Z1348" s="586" t="str">
        <f t="shared" si="338"/>
        <v/>
      </c>
    </row>
    <row r="1349" spans="1:26" ht="12" hidden="1" thickBot="1" x14ac:dyDescent="0.25">
      <c r="A1349" s="567">
        <v>101904</v>
      </c>
      <c r="B1349" s="644">
        <v>101904</v>
      </c>
      <c r="C1349" s="645" t="s">
        <v>670</v>
      </c>
      <c r="D1349" s="422" t="s">
        <v>1200</v>
      </c>
      <c r="E1349" s="423"/>
      <c r="F1349" s="424"/>
      <c r="G1349" s="425"/>
      <c r="H1349" s="651"/>
      <c r="I1349" s="420">
        <v>1230.0999999999999</v>
      </c>
      <c r="J1349" s="420">
        <f t="shared" si="337"/>
        <v>1230.0999999999999</v>
      </c>
      <c r="K1349" s="421">
        <f t="shared" si="336"/>
        <v>1461.48</v>
      </c>
      <c r="L1349" s="647" t="s">
        <v>2065</v>
      </c>
      <c r="M1349" s="576"/>
      <c r="N1349" s="576">
        <f t="shared" si="339"/>
        <v>0</v>
      </c>
      <c r="O1349" s="577">
        <f t="shared" si="344"/>
        <v>0</v>
      </c>
      <c r="P1349" s="578">
        <f t="shared" si="345"/>
        <v>0</v>
      </c>
      <c r="Q1349" s="765"/>
      <c r="R1349" s="576">
        <f t="shared" si="341"/>
        <v>0</v>
      </c>
      <c r="S1349" s="576">
        <f t="shared" si="341"/>
        <v>0</v>
      </c>
      <c r="T1349" s="577">
        <f t="shared" si="342"/>
        <v>0</v>
      </c>
      <c r="U1349" s="578">
        <f t="shared" si="343"/>
        <v>0</v>
      </c>
      <c r="V1349" s="579"/>
      <c r="W1349" s="566"/>
      <c r="X1349" s="586" t="str">
        <f t="shared" si="346"/>
        <v/>
      </c>
      <c r="Y1349" s="586" t="str">
        <f t="shared" si="340"/>
        <v/>
      </c>
      <c r="Z1349" s="586" t="str">
        <f t="shared" si="338"/>
        <v/>
      </c>
    </row>
    <row r="1350" spans="1:26" ht="23.25" hidden="1" thickBot="1" x14ac:dyDescent="0.25">
      <c r="A1350" s="567">
        <v>93653</v>
      </c>
      <c r="B1350" s="644">
        <v>93653</v>
      </c>
      <c r="C1350" s="645" t="s">
        <v>670</v>
      </c>
      <c r="D1350" s="422" t="s">
        <v>1201</v>
      </c>
      <c r="E1350" s="423"/>
      <c r="F1350" s="424"/>
      <c r="G1350" s="425"/>
      <c r="H1350" s="651"/>
      <c r="I1350" s="420">
        <v>13.64</v>
      </c>
      <c r="J1350" s="420">
        <f t="shared" si="337"/>
        <v>13.64</v>
      </c>
      <c r="K1350" s="421">
        <f t="shared" si="336"/>
        <v>16.21</v>
      </c>
      <c r="L1350" s="647" t="s">
        <v>2065</v>
      </c>
      <c r="M1350" s="576"/>
      <c r="N1350" s="576">
        <f t="shared" si="339"/>
        <v>0</v>
      </c>
      <c r="O1350" s="577">
        <f t="shared" si="344"/>
        <v>0</v>
      </c>
      <c r="P1350" s="578">
        <f t="shared" si="345"/>
        <v>0</v>
      </c>
      <c r="Q1350" s="765"/>
      <c r="R1350" s="576">
        <f t="shared" si="341"/>
        <v>0</v>
      </c>
      <c r="S1350" s="576">
        <f t="shared" si="341"/>
        <v>0</v>
      </c>
      <c r="T1350" s="577">
        <f t="shared" si="342"/>
        <v>0</v>
      </c>
      <c r="U1350" s="578">
        <f t="shared" si="343"/>
        <v>0</v>
      </c>
      <c r="V1350" s="579"/>
      <c r="W1350" s="566"/>
      <c r="X1350" s="586" t="str">
        <f t="shared" si="346"/>
        <v/>
      </c>
      <c r="Y1350" s="586" t="str">
        <f t="shared" si="340"/>
        <v/>
      </c>
      <c r="Z1350" s="586" t="str">
        <f t="shared" si="338"/>
        <v/>
      </c>
    </row>
    <row r="1351" spans="1:26" ht="23.25" hidden="1" thickBot="1" x14ac:dyDescent="0.25">
      <c r="A1351" s="567">
        <v>93654</v>
      </c>
      <c r="B1351" s="644">
        <v>93654</v>
      </c>
      <c r="C1351" s="645" t="s">
        <v>670</v>
      </c>
      <c r="D1351" s="422" t="s">
        <v>1202</v>
      </c>
      <c r="E1351" s="423"/>
      <c r="F1351" s="424"/>
      <c r="G1351" s="425"/>
      <c r="H1351" s="651"/>
      <c r="I1351" s="420">
        <v>14.29</v>
      </c>
      <c r="J1351" s="420">
        <f t="shared" si="337"/>
        <v>14.29</v>
      </c>
      <c r="K1351" s="421">
        <f t="shared" si="336"/>
        <v>16.98</v>
      </c>
      <c r="L1351" s="647" t="s">
        <v>2065</v>
      </c>
      <c r="M1351" s="576"/>
      <c r="N1351" s="576">
        <f t="shared" si="339"/>
        <v>0</v>
      </c>
      <c r="O1351" s="577">
        <f t="shared" si="344"/>
        <v>0</v>
      </c>
      <c r="P1351" s="578">
        <f t="shared" si="345"/>
        <v>0</v>
      </c>
      <c r="Q1351" s="765"/>
      <c r="R1351" s="576">
        <f t="shared" si="341"/>
        <v>0</v>
      </c>
      <c r="S1351" s="576">
        <f t="shared" si="341"/>
        <v>0</v>
      </c>
      <c r="T1351" s="577">
        <f t="shared" si="342"/>
        <v>0</v>
      </c>
      <c r="U1351" s="578">
        <f t="shared" si="343"/>
        <v>0</v>
      </c>
      <c r="V1351" s="579"/>
      <c r="W1351" s="566"/>
      <c r="X1351" s="586" t="str">
        <f t="shared" si="346"/>
        <v/>
      </c>
      <c r="Y1351" s="586" t="str">
        <f t="shared" si="340"/>
        <v/>
      </c>
      <c r="Z1351" s="586" t="str">
        <f t="shared" si="338"/>
        <v/>
      </c>
    </row>
    <row r="1352" spans="1:26" ht="23.25" hidden="1" thickBot="1" x14ac:dyDescent="0.25">
      <c r="A1352" s="567">
        <v>93655</v>
      </c>
      <c r="B1352" s="644">
        <v>93655</v>
      </c>
      <c r="C1352" s="645" t="s">
        <v>670</v>
      </c>
      <c r="D1352" s="422" t="s">
        <v>1203</v>
      </c>
      <c r="E1352" s="423"/>
      <c r="F1352" s="424"/>
      <c r="G1352" s="425"/>
      <c r="H1352" s="651"/>
      <c r="I1352" s="420">
        <v>15.53</v>
      </c>
      <c r="J1352" s="420">
        <f t="shared" si="337"/>
        <v>15.53</v>
      </c>
      <c r="K1352" s="421">
        <f t="shared" si="336"/>
        <v>18.45</v>
      </c>
      <c r="L1352" s="647" t="s">
        <v>2065</v>
      </c>
      <c r="M1352" s="576"/>
      <c r="N1352" s="576">
        <f t="shared" si="339"/>
        <v>0</v>
      </c>
      <c r="O1352" s="577">
        <f t="shared" si="344"/>
        <v>0</v>
      </c>
      <c r="P1352" s="578">
        <f t="shared" si="345"/>
        <v>0</v>
      </c>
      <c r="Q1352" s="765"/>
      <c r="R1352" s="576">
        <f t="shared" si="341"/>
        <v>0</v>
      </c>
      <c r="S1352" s="576">
        <f t="shared" si="341"/>
        <v>0</v>
      </c>
      <c r="T1352" s="577">
        <f t="shared" si="342"/>
        <v>0</v>
      </c>
      <c r="U1352" s="578">
        <f t="shared" si="343"/>
        <v>0</v>
      </c>
      <c r="V1352" s="579"/>
      <c r="W1352" s="566"/>
      <c r="X1352" s="586" t="str">
        <f t="shared" si="346"/>
        <v/>
      </c>
      <c r="Y1352" s="586" t="str">
        <f t="shared" si="340"/>
        <v/>
      </c>
      <c r="Z1352" s="586" t="str">
        <f t="shared" si="338"/>
        <v/>
      </c>
    </row>
    <row r="1353" spans="1:26" ht="23.25" hidden="1" thickBot="1" x14ac:dyDescent="0.25">
      <c r="A1353" s="567">
        <v>93656</v>
      </c>
      <c r="B1353" s="644">
        <v>93656</v>
      </c>
      <c r="C1353" s="645" t="s">
        <v>670</v>
      </c>
      <c r="D1353" s="422" t="s">
        <v>1204</v>
      </c>
      <c r="E1353" s="423"/>
      <c r="F1353" s="424"/>
      <c r="G1353" s="425"/>
      <c r="H1353" s="651"/>
      <c r="I1353" s="420">
        <v>15.53</v>
      </c>
      <c r="J1353" s="420">
        <f t="shared" si="337"/>
        <v>15.53</v>
      </c>
      <c r="K1353" s="421">
        <f t="shared" ref="K1353:K1416" si="347">IF(ISBLANK(I1353),0,ROUND(J1353*(1+$F$10)*(1+$F$11*E1353),2))</f>
        <v>18.45</v>
      </c>
      <c r="L1353" s="647" t="s">
        <v>2065</v>
      </c>
      <c r="M1353" s="576"/>
      <c r="N1353" s="576">
        <f t="shared" si="339"/>
        <v>0</v>
      </c>
      <c r="O1353" s="577">
        <f t="shared" si="344"/>
        <v>0</v>
      </c>
      <c r="P1353" s="578">
        <f t="shared" si="345"/>
        <v>0</v>
      </c>
      <c r="Q1353" s="765"/>
      <c r="R1353" s="576">
        <f t="shared" si="341"/>
        <v>0</v>
      </c>
      <c r="S1353" s="576">
        <f t="shared" si="341"/>
        <v>0</v>
      </c>
      <c r="T1353" s="577">
        <f t="shared" si="342"/>
        <v>0</v>
      </c>
      <c r="U1353" s="578">
        <f t="shared" si="343"/>
        <v>0</v>
      </c>
      <c r="V1353" s="579"/>
      <c r="W1353" s="566"/>
      <c r="X1353" s="586" t="str">
        <f t="shared" si="346"/>
        <v/>
      </c>
      <c r="Y1353" s="586" t="str">
        <f t="shared" si="340"/>
        <v/>
      </c>
      <c r="Z1353" s="586" t="str">
        <f t="shared" si="338"/>
        <v/>
      </c>
    </row>
    <row r="1354" spans="1:26" ht="23.25" hidden="1" thickBot="1" x14ac:dyDescent="0.25">
      <c r="A1354" s="567">
        <v>93657</v>
      </c>
      <c r="B1354" s="644">
        <v>93657</v>
      </c>
      <c r="C1354" s="645" t="s">
        <v>670</v>
      </c>
      <c r="D1354" s="422" t="s">
        <v>1205</v>
      </c>
      <c r="E1354" s="423"/>
      <c r="F1354" s="424"/>
      <c r="G1354" s="425"/>
      <c r="H1354" s="651"/>
      <c r="I1354" s="420">
        <v>17.04</v>
      </c>
      <c r="J1354" s="420">
        <f t="shared" si="337"/>
        <v>17.04</v>
      </c>
      <c r="K1354" s="421">
        <f t="shared" si="347"/>
        <v>20.25</v>
      </c>
      <c r="L1354" s="647" t="s">
        <v>2065</v>
      </c>
      <c r="M1354" s="576"/>
      <c r="N1354" s="576">
        <f t="shared" si="339"/>
        <v>0</v>
      </c>
      <c r="O1354" s="577">
        <f t="shared" si="344"/>
        <v>0</v>
      </c>
      <c r="P1354" s="578">
        <f t="shared" si="345"/>
        <v>0</v>
      </c>
      <c r="Q1354" s="765"/>
      <c r="R1354" s="576">
        <f t="shared" si="341"/>
        <v>0</v>
      </c>
      <c r="S1354" s="576">
        <f t="shared" si="341"/>
        <v>0</v>
      </c>
      <c r="T1354" s="577">
        <f t="shared" si="342"/>
        <v>0</v>
      </c>
      <c r="U1354" s="578">
        <f t="shared" si="343"/>
        <v>0</v>
      </c>
      <c r="V1354" s="579"/>
      <c r="W1354" s="566"/>
      <c r="X1354" s="586" t="str">
        <f t="shared" si="346"/>
        <v/>
      </c>
      <c r="Y1354" s="586" t="str">
        <f t="shared" si="340"/>
        <v/>
      </c>
      <c r="Z1354" s="586" t="str">
        <f t="shared" si="338"/>
        <v/>
      </c>
    </row>
    <row r="1355" spans="1:26" ht="23.25" hidden="1" thickBot="1" x14ac:dyDescent="0.25">
      <c r="A1355" s="567">
        <v>93658</v>
      </c>
      <c r="B1355" s="644">
        <v>93658</v>
      </c>
      <c r="C1355" s="645" t="s">
        <v>670</v>
      </c>
      <c r="D1355" s="422" t="s">
        <v>1206</v>
      </c>
      <c r="E1355" s="423"/>
      <c r="F1355" s="424"/>
      <c r="G1355" s="425"/>
      <c r="H1355" s="651"/>
      <c r="I1355" s="420">
        <v>24.72</v>
      </c>
      <c r="J1355" s="420">
        <f t="shared" si="337"/>
        <v>24.72</v>
      </c>
      <c r="K1355" s="421">
        <f t="shared" si="347"/>
        <v>29.37</v>
      </c>
      <c r="L1355" s="647" t="s">
        <v>2065</v>
      </c>
      <c r="M1355" s="576"/>
      <c r="N1355" s="576">
        <f t="shared" si="339"/>
        <v>0</v>
      </c>
      <c r="O1355" s="577">
        <f t="shared" si="344"/>
        <v>0</v>
      </c>
      <c r="P1355" s="578">
        <f t="shared" si="345"/>
        <v>0</v>
      </c>
      <c r="Q1355" s="765"/>
      <c r="R1355" s="576">
        <f t="shared" si="341"/>
        <v>0</v>
      </c>
      <c r="S1355" s="576">
        <f t="shared" si="341"/>
        <v>0</v>
      </c>
      <c r="T1355" s="577">
        <f t="shared" si="342"/>
        <v>0</v>
      </c>
      <c r="U1355" s="578">
        <f t="shared" si="343"/>
        <v>0</v>
      </c>
      <c r="V1355" s="579"/>
      <c r="W1355" s="566"/>
      <c r="X1355" s="586" t="str">
        <f t="shared" si="346"/>
        <v/>
      </c>
      <c r="Y1355" s="586" t="str">
        <f t="shared" si="340"/>
        <v/>
      </c>
      <c r="Z1355" s="586" t="str">
        <f t="shared" si="338"/>
        <v/>
      </c>
    </row>
    <row r="1356" spans="1:26" ht="23.25" hidden="1" thickBot="1" x14ac:dyDescent="0.25">
      <c r="A1356" s="567">
        <v>93659</v>
      </c>
      <c r="B1356" s="644">
        <v>93659</v>
      </c>
      <c r="C1356" s="645" t="s">
        <v>670</v>
      </c>
      <c r="D1356" s="422" t="s">
        <v>1207</v>
      </c>
      <c r="E1356" s="423"/>
      <c r="F1356" s="424"/>
      <c r="G1356" s="425"/>
      <c r="H1356" s="651"/>
      <c r="I1356" s="420">
        <v>27.81</v>
      </c>
      <c r="J1356" s="420">
        <f t="shared" si="337"/>
        <v>27.81</v>
      </c>
      <c r="K1356" s="421">
        <f t="shared" si="347"/>
        <v>33.04</v>
      </c>
      <c r="L1356" s="647" t="s">
        <v>2065</v>
      </c>
      <c r="M1356" s="576"/>
      <c r="N1356" s="576">
        <f t="shared" si="339"/>
        <v>0</v>
      </c>
      <c r="O1356" s="577">
        <f t="shared" si="344"/>
        <v>0</v>
      </c>
      <c r="P1356" s="578">
        <f t="shared" si="345"/>
        <v>0</v>
      </c>
      <c r="Q1356" s="765"/>
      <c r="R1356" s="576">
        <f t="shared" si="341"/>
        <v>0</v>
      </c>
      <c r="S1356" s="576">
        <f t="shared" si="341"/>
        <v>0</v>
      </c>
      <c r="T1356" s="577">
        <f t="shared" si="342"/>
        <v>0</v>
      </c>
      <c r="U1356" s="578">
        <f t="shared" si="343"/>
        <v>0</v>
      </c>
      <c r="V1356" s="579"/>
      <c r="W1356" s="566"/>
      <c r="X1356" s="586" t="str">
        <f t="shared" si="346"/>
        <v/>
      </c>
      <c r="Y1356" s="586" t="str">
        <f t="shared" si="340"/>
        <v/>
      </c>
      <c r="Z1356" s="586" t="str">
        <f t="shared" si="338"/>
        <v/>
      </c>
    </row>
    <row r="1357" spans="1:26" ht="23.25" hidden="1" thickBot="1" x14ac:dyDescent="0.25">
      <c r="A1357" s="567">
        <v>101890</v>
      </c>
      <c r="B1357" s="644">
        <v>101890</v>
      </c>
      <c r="C1357" s="645" t="s">
        <v>670</v>
      </c>
      <c r="D1357" s="422" t="s">
        <v>1208</v>
      </c>
      <c r="E1357" s="423"/>
      <c r="F1357" s="424"/>
      <c r="G1357" s="425"/>
      <c r="H1357" s="651"/>
      <c r="I1357" s="420">
        <v>18.760000000000002</v>
      </c>
      <c r="J1357" s="420">
        <f t="shared" si="337"/>
        <v>18.760000000000002</v>
      </c>
      <c r="K1357" s="421">
        <f t="shared" si="347"/>
        <v>22.29</v>
      </c>
      <c r="L1357" s="647" t="s">
        <v>2065</v>
      </c>
      <c r="M1357" s="576"/>
      <c r="N1357" s="576">
        <f t="shared" si="339"/>
        <v>0</v>
      </c>
      <c r="O1357" s="577">
        <f t="shared" si="344"/>
        <v>0</v>
      </c>
      <c r="P1357" s="578">
        <f t="shared" si="345"/>
        <v>0</v>
      </c>
      <c r="Q1357" s="765"/>
      <c r="R1357" s="576">
        <f t="shared" si="341"/>
        <v>0</v>
      </c>
      <c r="S1357" s="576">
        <f t="shared" si="341"/>
        <v>0</v>
      </c>
      <c r="T1357" s="577">
        <f t="shared" si="342"/>
        <v>0</v>
      </c>
      <c r="U1357" s="578">
        <f t="shared" si="343"/>
        <v>0</v>
      </c>
      <c r="V1357" s="579"/>
      <c r="W1357" s="566"/>
      <c r="X1357" s="586" t="str">
        <f t="shared" si="346"/>
        <v/>
      </c>
      <c r="Y1357" s="586" t="str">
        <f t="shared" si="340"/>
        <v/>
      </c>
      <c r="Z1357" s="586" t="str">
        <f t="shared" si="338"/>
        <v/>
      </c>
    </row>
    <row r="1358" spans="1:26" ht="23.25" hidden="1" thickBot="1" x14ac:dyDescent="0.25">
      <c r="A1358" s="567">
        <v>101891</v>
      </c>
      <c r="B1358" s="644">
        <v>101891</v>
      </c>
      <c r="C1358" s="645" t="s">
        <v>670</v>
      </c>
      <c r="D1358" s="422" t="s">
        <v>1209</v>
      </c>
      <c r="E1358" s="423"/>
      <c r="F1358" s="424"/>
      <c r="G1358" s="425"/>
      <c r="H1358" s="651"/>
      <c r="I1358" s="420">
        <v>32.28</v>
      </c>
      <c r="J1358" s="420">
        <f t="shared" si="337"/>
        <v>32.28</v>
      </c>
      <c r="K1358" s="421">
        <f t="shared" si="347"/>
        <v>38.35</v>
      </c>
      <c r="L1358" s="647" t="s">
        <v>2065</v>
      </c>
      <c r="M1358" s="576"/>
      <c r="N1358" s="576">
        <f t="shared" si="339"/>
        <v>0</v>
      </c>
      <c r="O1358" s="577">
        <f t="shared" si="344"/>
        <v>0</v>
      </c>
      <c r="P1358" s="578">
        <f t="shared" si="345"/>
        <v>0</v>
      </c>
      <c r="Q1358" s="765"/>
      <c r="R1358" s="576">
        <f t="shared" si="341"/>
        <v>0</v>
      </c>
      <c r="S1358" s="576">
        <f t="shared" si="341"/>
        <v>0</v>
      </c>
      <c r="T1358" s="577">
        <f t="shared" si="342"/>
        <v>0</v>
      </c>
      <c r="U1358" s="578">
        <f t="shared" si="343"/>
        <v>0</v>
      </c>
      <c r="V1358" s="579"/>
      <c r="W1358" s="566"/>
      <c r="X1358" s="586" t="str">
        <f t="shared" si="346"/>
        <v/>
      </c>
      <c r="Y1358" s="586" t="str">
        <f t="shared" si="340"/>
        <v/>
      </c>
      <c r="Z1358" s="586" t="str">
        <f t="shared" si="338"/>
        <v/>
      </c>
    </row>
    <row r="1359" spans="1:26" ht="12" hidden="1" thickBot="1" x14ac:dyDescent="0.25">
      <c r="A1359" s="567">
        <v>93660</v>
      </c>
      <c r="B1359" s="644">
        <v>93660</v>
      </c>
      <c r="C1359" s="645" t="s">
        <v>670</v>
      </c>
      <c r="D1359" s="422" t="s">
        <v>1210</v>
      </c>
      <c r="E1359" s="423"/>
      <c r="F1359" s="424"/>
      <c r="G1359" s="425"/>
      <c r="H1359" s="651"/>
      <c r="I1359" s="420">
        <v>68.16</v>
      </c>
      <c r="J1359" s="420">
        <f t="shared" si="337"/>
        <v>68.16</v>
      </c>
      <c r="K1359" s="421">
        <f t="shared" si="347"/>
        <v>80.98</v>
      </c>
      <c r="L1359" s="647" t="s">
        <v>2065</v>
      </c>
      <c r="M1359" s="576"/>
      <c r="N1359" s="576">
        <f t="shared" si="339"/>
        <v>0</v>
      </c>
      <c r="O1359" s="577">
        <f t="shared" si="344"/>
        <v>0</v>
      </c>
      <c r="P1359" s="578">
        <f t="shared" si="345"/>
        <v>0</v>
      </c>
      <c r="Q1359" s="765"/>
      <c r="R1359" s="576">
        <f t="shared" si="341"/>
        <v>0</v>
      </c>
      <c r="S1359" s="576">
        <f t="shared" si="341"/>
        <v>0</v>
      </c>
      <c r="T1359" s="577">
        <f t="shared" si="342"/>
        <v>0</v>
      </c>
      <c r="U1359" s="578">
        <f t="shared" si="343"/>
        <v>0</v>
      </c>
      <c r="V1359" s="579"/>
      <c r="W1359" s="566"/>
      <c r="X1359" s="586" t="str">
        <f t="shared" si="346"/>
        <v/>
      </c>
      <c r="Y1359" s="586" t="str">
        <f t="shared" si="340"/>
        <v/>
      </c>
      <c r="Z1359" s="586" t="str">
        <f t="shared" si="338"/>
        <v/>
      </c>
    </row>
    <row r="1360" spans="1:26" ht="12" hidden="1" thickBot="1" x14ac:dyDescent="0.25">
      <c r="A1360" s="567">
        <v>93661</v>
      </c>
      <c r="B1360" s="644">
        <v>93661</v>
      </c>
      <c r="C1360" s="645" t="s">
        <v>670</v>
      </c>
      <c r="D1360" s="422" t="s">
        <v>1211</v>
      </c>
      <c r="E1360" s="423"/>
      <c r="F1360" s="424"/>
      <c r="G1360" s="425"/>
      <c r="H1360" s="651"/>
      <c r="I1360" s="420">
        <v>69.459999999999994</v>
      </c>
      <c r="J1360" s="420">
        <f t="shared" si="337"/>
        <v>69.459999999999994</v>
      </c>
      <c r="K1360" s="421">
        <f t="shared" si="347"/>
        <v>82.53</v>
      </c>
      <c r="L1360" s="647" t="s">
        <v>2065</v>
      </c>
      <c r="M1360" s="576"/>
      <c r="N1360" s="576">
        <f t="shared" si="339"/>
        <v>0</v>
      </c>
      <c r="O1360" s="577">
        <f t="shared" si="344"/>
        <v>0</v>
      </c>
      <c r="P1360" s="578">
        <f t="shared" si="345"/>
        <v>0</v>
      </c>
      <c r="Q1360" s="765"/>
      <c r="R1360" s="576">
        <f t="shared" si="341"/>
        <v>0</v>
      </c>
      <c r="S1360" s="576">
        <f t="shared" si="341"/>
        <v>0</v>
      </c>
      <c r="T1360" s="577">
        <f t="shared" si="342"/>
        <v>0</v>
      </c>
      <c r="U1360" s="578">
        <f t="shared" si="343"/>
        <v>0</v>
      </c>
      <c r="V1360" s="579"/>
      <c r="W1360" s="566"/>
      <c r="X1360" s="586" t="str">
        <f t="shared" si="346"/>
        <v/>
      </c>
      <c r="Y1360" s="586" t="str">
        <f t="shared" si="340"/>
        <v/>
      </c>
      <c r="Z1360" s="586" t="str">
        <f t="shared" si="338"/>
        <v/>
      </c>
    </row>
    <row r="1361" spans="1:26" ht="12" hidden="1" thickBot="1" x14ac:dyDescent="0.25">
      <c r="A1361" s="567">
        <v>93662</v>
      </c>
      <c r="B1361" s="644">
        <v>93662</v>
      </c>
      <c r="C1361" s="645" t="s">
        <v>670</v>
      </c>
      <c r="D1361" s="422" t="s">
        <v>1212</v>
      </c>
      <c r="E1361" s="423"/>
      <c r="F1361" s="424"/>
      <c r="G1361" s="425"/>
      <c r="H1361" s="651"/>
      <c r="I1361" s="420">
        <v>71.930000000000007</v>
      </c>
      <c r="J1361" s="420">
        <f t="shared" si="337"/>
        <v>71.930000000000007</v>
      </c>
      <c r="K1361" s="421">
        <f t="shared" si="347"/>
        <v>85.46</v>
      </c>
      <c r="L1361" s="647" t="s">
        <v>2065</v>
      </c>
      <c r="M1361" s="576"/>
      <c r="N1361" s="576">
        <f t="shared" si="339"/>
        <v>0</v>
      </c>
      <c r="O1361" s="577">
        <f t="shared" si="344"/>
        <v>0</v>
      </c>
      <c r="P1361" s="578">
        <f t="shared" si="345"/>
        <v>0</v>
      </c>
      <c r="Q1361" s="765"/>
      <c r="R1361" s="576">
        <f t="shared" si="341"/>
        <v>0</v>
      </c>
      <c r="S1361" s="576">
        <f t="shared" si="341"/>
        <v>0</v>
      </c>
      <c r="T1361" s="577">
        <f t="shared" si="342"/>
        <v>0</v>
      </c>
      <c r="U1361" s="578">
        <f t="shared" si="343"/>
        <v>0</v>
      </c>
      <c r="V1361" s="579"/>
      <c r="W1361" s="566"/>
      <c r="X1361" s="586" t="str">
        <f t="shared" si="346"/>
        <v/>
      </c>
      <c r="Y1361" s="586" t="str">
        <f t="shared" si="340"/>
        <v/>
      </c>
      <c r="Z1361" s="586" t="str">
        <f t="shared" si="338"/>
        <v/>
      </c>
    </row>
    <row r="1362" spans="1:26" ht="12" hidden="1" thickBot="1" x14ac:dyDescent="0.25">
      <c r="A1362" s="567">
        <v>93663</v>
      </c>
      <c r="B1362" s="644">
        <v>93663</v>
      </c>
      <c r="C1362" s="645" t="s">
        <v>670</v>
      </c>
      <c r="D1362" s="422" t="s">
        <v>1213</v>
      </c>
      <c r="E1362" s="423"/>
      <c r="F1362" s="424"/>
      <c r="G1362" s="425"/>
      <c r="H1362" s="651"/>
      <c r="I1362" s="420">
        <v>71.930000000000007</v>
      </c>
      <c r="J1362" s="420">
        <f t="shared" si="337"/>
        <v>71.930000000000007</v>
      </c>
      <c r="K1362" s="421">
        <f t="shared" si="347"/>
        <v>85.46</v>
      </c>
      <c r="L1362" s="647" t="s">
        <v>2065</v>
      </c>
      <c r="M1362" s="576"/>
      <c r="N1362" s="576">
        <f t="shared" si="339"/>
        <v>0</v>
      </c>
      <c r="O1362" s="577">
        <f t="shared" si="344"/>
        <v>0</v>
      </c>
      <c r="P1362" s="578">
        <f t="shared" si="345"/>
        <v>0</v>
      </c>
      <c r="Q1362" s="765"/>
      <c r="R1362" s="576">
        <f t="shared" si="341"/>
        <v>0</v>
      </c>
      <c r="S1362" s="576">
        <f t="shared" si="341"/>
        <v>0</v>
      </c>
      <c r="T1362" s="577">
        <f t="shared" si="342"/>
        <v>0</v>
      </c>
      <c r="U1362" s="578">
        <f t="shared" si="343"/>
        <v>0</v>
      </c>
      <c r="V1362" s="579"/>
      <c r="W1362" s="566"/>
      <c r="X1362" s="586" t="str">
        <f t="shared" si="346"/>
        <v/>
      </c>
      <c r="Y1362" s="586" t="str">
        <f t="shared" si="340"/>
        <v/>
      </c>
      <c r="Z1362" s="586" t="str">
        <f t="shared" si="338"/>
        <v/>
      </c>
    </row>
    <row r="1363" spans="1:26" ht="12" hidden="1" thickBot="1" x14ac:dyDescent="0.25">
      <c r="A1363" s="567">
        <v>93664</v>
      </c>
      <c r="B1363" s="644">
        <v>93664</v>
      </c>
      <c r="C1363" s="645" t="s">
        <v>670</v>
      </c>
      <c r="D1363" s="422" t="s">
        <v>1214</v>
      </c>
      <c r="E1363" s="423"/>
      <c r="F1363" s="424"/>
      <c r="G1363" s="425"/>
      <c r="H1363" s="651"/>
      <c r="I1363" s="420">
        <v>74.94</v>
      </c>
      <c r="J1363" s="420">
        <f t="shared" ref="J1363:J1426" si="348">IF(ISBLANK(I1363),"",SUM(H1363:I1363))</f>
        <v>74.94</v>
      </c>
      <c r="K1363" s="421">
        <f t="shared" si="347"/>
        <v>89.04</v>
      </c>
      <c r="L1363" s="647" t="s">
        <v>2065</v>
      </c>
      <c r="M1363" s="576"/>
      <c r="N1363" s="576">
        <f t="shared" si="339"/>
        <v>0</v>
      </c>
      <c r="O1363" s="577">
        <f t="shared" si="344"/>
        <v>0</v>
      </c>
      <c r="P1363" s="578">
        <f t="shared" si="345"/>
        <v>0</v>
      </c>
      <c r="Q1363" s="765"/>
      <c r="R1363" s="576">
        <f t="shared" si="341"/>
        <v>0</v>
      </c>
      <c r="S1363" s="576">
        <f t="shared" si="341"/>
        <v>0</v>
      </c>
      <c r="T1363" s="577">
        <f t="shared" si="342"/>
        <v>0</v>
      </c>
      <c r="U1363" s="578">
        <f t="shared" si="343"/>
        <v>0</v>
      </c>
      <c r="V1363" s="579"/>
      <c r="W1363" s="566"/>
      <c r="X1363" s="586" t="str">
        <f t="shared" si="346"/>
        <v/>
      </c>
      <c r="Y1363" s="586" t="str">
        <f t="shared" si="340"/>
        <v/>
      </c>
      <c r="Z1363" s="586" t="str">
        <f t="shared" ref="Z1363:Z1426" si="349">IF(W1363="X","x",IF(U1363&gt;0,"x",""))</f>
        <v/>
      </c>
    </row>
    <row r="1364" spans="1:26" ht="12" hidden="1" thickBot="1" x14ac:dyDescent="0.25">
      <c r="A1364" s="567">
        <v>93665</v>
      </c>
      <c r="B1364" s="644">
        <v>93665</v>
      </c>
      <c r="C1364" s="645" t="s">
        <v>670</v>
      </c>
      <c r="D1364" s="422" t="s">
        <v>1215</v>
      </c>
      <c r="E1364" s="423"/>
      <c r="F1364" s="424"/>
      <c r="G1364" s="425"/>
      <c r="H1364" s="651"/>
      <c r="I1364" s="420">
        <v>78.790000000000006</v>
      </c>
      <c r="J1364" s="420">
        <f t="shared" si="348"/>
        <v>78.790000000000006</v>
      </c>
      <c r="K1364" s="421">
        <f t="shared" si="347"/>
        <v>93.61</v>
      </c>
      <c r="L1364" s="647" t="s">
        <v>2065</v>
      </c>
      <c r="M1364" s="576"/>
      <c r="N1364" s="576">
        <f t="shared" ref="N1364:N1427" si="350">IF(M1364=0,0,K1364)</f>
        <v>0</v>
      </c>
      <c r="O1364" s="577">
        <f t="shared" si="344"/>
        <v>0</v>
      </c>
      <c r="P1364" s="578">
        <f t="shared" si="345"/>
        <v>0</v>
      </c>
      <c r="Q1364" s="765"/>
      <c r="R1364" s="576">
        <f t="shared" si="341"/>
        <v>0</v>
      </c>
      <c r="S1364" s="576">
        <f t="shared" si="341"/>
        <v>0</v>
      </c>
      <c r="T1364" s="577">
        <f t="shared" si="342"/>
        <v>0</v>
      </c>
      <c r="U1364" s="578">
        <f t="shared" si="343"/>
        <v>0</v>
      </c>
      <c r="V1364" s="579"/>
      <c r="W1364" s="566"/>
      <c r="X1364" s="586" t="str">
        <f t="shared" si="346"/>
        <v/>
      </c>
      <c r="Y1364" s="586" t="str">
        <f t="shared" si="340"/>
        <v/>
      </c>
      <c r="Z1364" s="586" t="str">
        <f t="shared" si="349"/>
        <v/>
      </c>
    </row>
    <row r="1365" spans="1:26" ht="12" hidden="1" thickBot="1" x14ac:dyDescent="0.25">
      <c r="A1365" s="567">
        <v>93666</v>
      </c>
      <c r="B1365" s="644">
        <v>93666</v>
      </c>
      <c r="C1365" s="645" t="s">
        <v>670</v>
      </c>
      <c r="D1365" s="422" t="s">
        <v>1216</v>
      </c>
      <c r="E1365" s="423"/>
      <c r="F1365" s="424"/>
      <c r="G1365" s="425"/>
      <c r="H1365" s="651"/>
      <c r="I1365" s="420">
        <v>84.97</v>
      </c>
      <c r="J1365" s="420">
        <f t="shared" si="348"/>
        <v>84.97</v>
      </c>
      <c r="K1365" s="421">
        <f t="shared" si="347"/>
        <v>100.95</v>
      </c>
      <c r="L1365" s="647" t="s">
        <v>2065</v>
      </c>
      <c r="M1365" s="576"/>
      <c r="N1365" s="576">
        <f t="shared" si="350"/>
        <v>0</v>
      </c>
      <c r="O1365" s="577">
        <f t="shared" si="344"/>
        <v>0</v>
      </c>
      <c r="P1365" s="578">
        <f t="shared" si="345"/>
        <v>0</v>
      </c>
      <c r="Q1365" s="765"/>
      <c r="R1365" s="576">
        <f t="shared" si="341"/>
        <v>0</v>
      </c>
      <c r="S1365" s="576">
        <f t="shared" si="341"/>
        <v>0</v>
      </c>
      <c r="T1365" s="577">
        <f t="shared" si="342"/>
        <v>0</v>
      </c>
      <c r="U1365" s="578">
        <f t="shared" si="343"/>
        <v>0</v>
      </c>
      <c r="V1365" s="579"/>
      <c r="W1365" s="566"/>
      <c r="X1365" s="586" t="str">
        <f t="shared" si="346"/>
        <v/>
      </c>
      <c r="Y1365" s="586" t="str">
        <f t="shared" si="340"/>
        <v/>
      </c>
      <c r="Z1365" s="586" t="str">
        <f t="shared" si="349"/>
        <v/>
      </c>
    </row>
    <row r="1366" spans="1:26" ht="23.25" hidden="1" thickBot="1" x14ac:dyDescent="0.25">
      <c r="A1366" s="567">
        <v>101892</v>
      </c>
      <c r="B1366" s="644">
        <v>101892</v>
      </c>
      <c r="C1366" s="645" t="s">
        <v>670</v>
      </c>
      <c r="D1366" s="422" t="s">
        <v>1217</v>
      </c>
      <c r="E1366" s="423"/>
      <c r="F1366" s="424"/>
      <c r="G1366" s="425"/>
      <c r="H1366" s="651"/>
      <c r="I1366" s="420">
        <v>85.48</v>
      </c>
      <c r="J1366" s="420">
        <f t="shared" si="348"/>
        <v>85.48</v>
      </c>
      <c r="K1366" s="421">
        <f t="shared" si="347"/>
        <v>101.56</v>
      </c>
      <c r="L1366" s="647" t="s">
        <v>2065</v>
      </c>
      <c r="M1366" s="576"/>
      <c r="N1366" s="576">
        <f t="shared" si="350"/>
        <v>0</v>
      </c>
      <c r="O1366" s="577">
        <f t="shared" si="344"/>
        <v>0</v>
      </c>
      <c r="P1366" s="578">
        <f t="shared" si="345"/>
        <v>0</v>
      </c>
      <c r="Q1366" s="765"/>
      <c r="R1366" s="576">
        <f t="shared" si="341"/>
        <v>0</v>
      </c>
      <c r="S1366" s="576">
        <f t="shared" si="341"/>
        <v>0</v>
      </c>
      <c r="T1366" s="577">
        <f t="shared" si="342"/>
        <v>0</v>
      </c>
      <c r="U1366" s="578">
        <f t="shared" si="343"/>
        <v>0</v>
      </c>
      <c r="V1366" s="579"/>
      <c r="W1366" s="566"/>
      <c r="X1366" s="586" t="str">
        <f t="shared" si="346"/>
        <v/>
      </c>
      <c r="Y1366" s="586" t="str">
        <f t="shared" si="340"/>
        <v/>
      </c>
      <c r="Z1366" s="586" t="str">
        <f t="shared" si="349"/>
        <v/>
      </c>
    </row>
    <row r="1367" spans="1:26" ht="12" hidden="1" thickBot="1" x14ac:dyDescent="0.25">
      <c r="A1367" s="567">
        <v>93667</v>
      </c>
      <c r="B1367" s="644">
        <v>93667</v>
      </c>
      <c r="C1367" s="645" t="s">
        <v>670</v>
      </c>
      <c r="D1367" s="422" t="s">
        <v>1218</v>
      </c>
      <c r="E1367" s="423"/>
      <c r="F1367" s="424"/>
      <c r="G1367" s="425"/>
      <c r="H1367" s="651"/>
      <c r="I1367" s="420">
        <v>85</v>
      </c>
      <c r="J1367" s="420">
        <f t="shared" si="348"/>
        <v>85</v>
      </c>
      <c r="K1367" s="421">
        <f t="shared" si="347"/>
        <v>100.99</v>
      </c>
      <c r="L1367" s="647" t="s">
        <v>2065</v>
      </c>
      <c r="M1367" s="576"/>
      <c r="N1367" s="576">
        <f t="shared" si="350"/>
        <v>0</v>
      </c>
      <c r="O1367" s="577">
        <f t="shared" si="344"/>
        <v>0</v>
      </c>
      <c r="P1367" s="578">
        <f t="shared" si="345"/>
        <v>0</v>
      </c>
      <c r="Q1367" s="765"/>
      <c r="R1367" s="576">
        <f t="shared" si="341"/>
        <v>0</v>
      </c>
      <c r="S1367" s="576">
        <f t="shared" si="341"/>
        <v>0</v>
      </c>
      <c r="T1367" s="577">
        <f t="shared" si="342"/>
        <v>0</v>
      </c>
      <c r="U1367" s="578">
        <f t="shared" si="343"/>
        <v>0</v>
      </c>
      <c r="V1367" s="579"/>
      <c r="W1367" s="566"/>
      <c r="X1367" s="586" t="str">
        <f t="shared" si="346"/>
        <v/>
      </c>
      <c r="Y1367" s="586" t="str">
        <f t="shared" si="340"/>
        <v/>
      </c>
      <c r="Z1367" s="586" t="str">
        <f t="shared" si="349"/>
        <v/>
      </c>
    </row>
    <row r="1368" spans="1:26" ht="12" hidden="1" thickBot="1" x14ac:dyDescent="0.25">
      <c r="A1368" s="567">
        <v>93668</v>
      </c>
      <c r="B1368" s="644">
        <v>93668</v>
      </c>
      <c r="C1368" s="645" t="s">
        <v>670</v>
      </c>
      <c r="D1368" s="422" t="s">
        <v>1219</v>
      </c>
      <c r="E1368" s="423"/>
      <c r="F1368" s="424"/>
      <c r="G1368" s="425"/>
      <c r="H1368" s="651"/>
      <c r="I1368" s="420">
        <v>86.94</v>
      </c>
      <c r="J1368" s="420">
        <f t="shared" si="348"/>
        <v>86.94</v>
      </c>
      <c r="K1368" s="421">
        <f t="shared" si="347"/>
        <v>103.29</v>
      </c>
      <c r="L1368" s="647" t="s">
        <v>2065</v>
      </c>
      <c r="M1368" s="576"/>
      <c r="N1368" s="576">
        <f t="shared" si="350"/>
        <v>0</v>
      </c>
      <c r="O1368" s="577">
        <f t="shared" si="344"/>
        <v>0</v>
      </c>
      <c r="P1368" s="578">
        <f t="shared" si="345"/>
        <v>0</v>
      </c>
      <c r="Q1368" s="765"/>
      <c r="R1368" s="576">
        <f t="shared" si="341"/>
        <v>0</v>
      </c>
      <c r="S1368" s="576">
        <f t="shared" si="341"/>
        <v>0</v>
      </c>
      <c r="T1368" s="577">
        <f t="shared" si="342"/>
        <v>0</v>
      </c>
      <c r="U1368" s="578">
        <f t="shared" si="343"/>
        <v>0</v>
      </c>
      <c r="V1368" s="579"/>
      <c r="W1368" s="566"/>
      <c r="X1368" s="586" t="str">
        <f t="shared" si="346"/>
        <v/>
      </c>
      <c r="Y1368" s="586" t="str">
        <f t="shared" si="340"/>
        <v/>
      </c>
      <c r="Z1368" s="586" t="str">
        <f t="shared" si="349"/>
        <v/>
      </c>
    </row>
    <row r="1369" spans="1:26" ht="12" hidden="1" thickBot="1" x14ac:dyDescent="0.25">
      <c r="A1369" s="567">
        <v>93669</v>
      </c>
      <c r="B1369" s="644">
        <v>93669</v>
      </c>
      <c r="C1369" s="645" t="s">
        <v>670</v>
      </c>
      <c r="D1369" s="422" t="s">
        <v>1220</v>
      </c>
      <c r="E1369" s="423"/>
      <c r="F1369" s="424"/>
      <c r="G1369" s="425"/>
      <c r="H1369" s="651"/>
      <c r="I1369" s="420">
        <v>90.65</v>
      </c>
      <c r="J1369" s="420">
        <f t="shared" si="348"/>
        <v>90.65</v>
      </c>
      <c r="K1369" s="421">
        <f t="shared" si="347"/>
        <v>107.7</v>
      </c>
      <c r="L1369" s="647" t="s">
        <v>2065</v>
      </c>
      <c r="M1369" s="576"/>
      <c r="N1369" s="576">
        <f t="shared" si="350"/>
        <v>0</v>
      </c>
      <c r="O1369" s="577">
        <f t="shared" si="344"/>
        <v>0</v>
      </c>
      <c r="P1369" s="578">
        <f t="shared" si="345"/>
        <v>0</v>
      </c>
      <c r="Q1369" s="765"/>
      <c r="R1369" s="576">
        <f t="shared" si="341"/>
        <v>0</v>
      </c>
      <c r="S1369" s="576">
        <f t="shared" si="341"/>
        <v>0</v>
      </c>
      <c r="T1369" s="577">
        <f t="shared" si="342"/>
        <v>0</v>
      </c>
      <c r="U1369" s="578">
        <f t="shared" si="343"/>
        <v>0</v>
      </c>
      <c r="V1369" s="579"/>
      <c r="W1369" s="566"/>
      <c r="X1369" s="586" t="str">
        <f t="shared" si="346"/>
        <v/>
      </c>
      <c r="Y1369" s="586" t="str">
        <f t="shared" si="340"/>
        <v/>
      </c>
      <c r="Z1369" s="586" t="str">
        <f t="shared" si="349"/>
        <v/>
      </c>
    </row>
    <row r="1370" spans="1:26" ht="12" hidden="1" thickBot="1" x14ac:dyDescent="0.25">
      <c r="A1370" s="567">
        <v>93670</v>
      </c>
      <c r="B1370" s="644">
        <v>93670</v>
      </c>
      <c r="C1370" s="645" t="s">
        <v>670</v>
      </c>
      <c r="D1370" s="422" t="s">
        <v>1221</v>
      </c>
      <c r="E1370" s="423"/>
      <c r="F1370" s="424"/>
      <c r="G1370" s="425"/>
      <c r="H1370" s="651"/>
      <c r="I1370" s="420">
        <v>90.65</v>
      </c>
      <c r="J1370" s="420">
        <f t="shared" si="348"/>
        <v>90.65</v>
      </c>
      <c r="K1370" s="421">
        <f t="shared" si="347"/>
        <v>107.7</v>
      </c>
      <c r="L1370" s="647" t="s">
        <v>2065</v>
      </c>
      <c r="M1370" s="576"/>
      <c r="N1370" s="576">
        <f t="shared" si="350"/>
        <v>0</v>
      </c>
      <c r="O1370" s="577">
        <f t="shared" si="344"/>
        <v>0</v>
      </c>
      <c r="P1370" s="578">
        <f t="shared" si="345"/>
        <v>0</v>
      </c>
      <c r="Q1370" s="765"/>
      <c r="R1370" s="576">
        <f t="shared" si="341"/>
        <v>0</v>
      </c>
      <c r="S1370" s="576">
        <f t="shared" si="341"/>
        <v>0</v>
      </c>
      <c r="T1370" s="577">
        <f t="shared" si="342"/>
        <v>0</v>
      </c>
      <c r="U1370" s="578">
        <f t="shared" si="343"/>
        <v>0</v>
      </c>
      <c r="V1370" s="579"/>
      <c r="W1370" s="566"/>
      <c r="X1370" s="586" t="str">
        <f t="shared" si="346"/>
        <v/>
      </c>
      <c r="Y1370" s="586" t="str">
        <f t="shared" si="340"/>
        <v/>
      </c>
      <c r="Z1370" s="586" t="str">
        <f t="shared" si="349"/>
        <v/>
      </c>
    </row>
    <row r="1371" spans="1:26" ht="12" hidden="1" thickBot="1" x14ac:dyDescent="0.25">
      <c r="A1371" s="567">
        <v>93671</v>
      </c>
      <c r="B1371" s="644">
        <v>93671</v>
      </c>
      <c r="C1371" s="645" t="s">
        <v>670</v>
      </c>
      <c r="D1371" s="422" t="s">
        <v>1222</v>
      </c>
      <c r="E1371" s="423"/>
      <c r="F1371" s="424"/>
      <c r="G1371" s="425"/>
      <c r="H1371" s="651"/>
      <c r="I1371" s="420">
        <v>95.17</v>
      </c>
      <c r="J1371" s="420">
        <f t="shared" si="348"/>
        <v>95.17</v>
      </c>
      <c r="K1371" s="421">
        <f t="shared" si="347"/>
        <v>113.07</v>
      </c>
      <c r="L1371" s="647" t="s">
        <v>2065</v>
      </c>
      <c r="M1371" s="576"/>
      <c r="N1371" s="576">
        <f t="shared" si="350"/>
        <v>0</v>
      </c>
      <c r="O1371" s="577">
        <f t="shared" si="344"/>
        <v>0</v>
      </c>
      <c r="P1371" s="578">
        <f t="shared" si="345"/>
        <v>0</v>
      </c>
      <c r="Q1371" s="765"/>
      <c r="R1371" s="576">
        <f t="shared" si="341"/>
        <v>0</v>
      </c>
      <c r="S1371" s="576">
        <f t="shared" si="341"/>
        <v>0</v>
      </c>
      <c r="T1371" s="577">
        <f t="shared" si="342"/>
        <v>0</v>
      </c>
      <c r="U1371" s="578">
        <f t="shared" si="343"/>
        <v>0</v>
      </c>
      <c r="V1371" s="579"/>
      <c r="W1371" s="566"/>
      <c r="X1371" s="586" t="str">
        <f t="shared" si="346"/>
        <v/>
      </c>
      <c r="Y1371" s="586" t="str">
        <f t="shared" si="340"/>
        <v/>
      </c>
      <c r="Z1371" s="586" t="str">
        <f t="shared" si="349"/>
        <v/>
      </c>
    </row>
    <row r="1372" spans="1:26" ht="12" hidden="1" thickBot="1" x14ac:dyDescent="0.25">
      <c r="A1372" s="567">
        <v>93672</v>
      </c>
      <c r="B1372" s="644">
        <v>93672</v>
      </c>
      <c r="C1372" s="645" t="s">
        <v>670</v>
      </c>
      <c r="D1372" s="422" t="s">
        <v>1223</v>
      </c>
      <c r="E1372" s="423"/>
      <c r="F1372" s="424"/>
      <c r="G1372" s="425"/>
      <c r="H1372" s="651"/>
      <c r="I1372" s="420">
        <v>102.4</v>
      </c>
      <c r="J1372" s="420">
        <f t="shared" si="348"/>
        <v>102.4</v>
      </c>
      <c r="K1372" s="421">
        <f t="shared" si="347"/>
        <v>121.66</v>
      </c>
      <c r="L1372" s="647" t="s">
        <v>2065</v>
      </c>
      <c r="M1372" s="576"/>
      <c r="N1372" s="576">
        <f t="shared" si="350"/>
        <v>0</v>
      </c>
      <c r="O1372" s="577">
        <f t="shared" si="344"/>
        <v>0</v>
      </c>
      <c r="P1372" s="578">
        <f t="shared" si="345"/>
        <v>0</v>
      </c>
      <c r="Q1372" s="765"/>
      <c r="R1372" s="576">
        <f t="shared" si="341"/>
        <v>0</v>
      </c>
      <c r="S1372" s="576">
        <f t="shared" si="341"/>
        <v>0</v>
      </c>
      <c r="T1372" s="577">
        <f t="shared" si="342"/>
        <v>0</v>
      </c>
      <c r="U1372" s="578">
        <f t="shared" si="343"/>
        <v>0</v>
      </c>
      <c r="V1372" s="579"/>
      <c r="W1372" s="566"/>
      <c r="X1372" s="586" t="str">
        <f t="shared" si="346"/>
        <v/>
      </c>
      <c r="Y1372" s="586" t="str">
        <f t="shared" si="340"/>
        <v/>
      </c>
      <c r="Z1372" s="586" t="str">
        <f t="shared" si="349"/>
        <v/>
      </c>
    </row>
    <row r="1373" spans="1:26" ht="12" hidden="1" thickBot="1" x14ac:dyDescent="0.25">
      <c r="A1373" s="567">
        <v>93673</v>
      </c>
      <c r="B1373" s="644">
        <v>93673</v>
      </c>
      <c r="C1373" s="645" t="s">
        <v>670</v>
      </c>
      <c r="D1373" s="422" t="s">
        <v>1224</v>
      </c>
      <c r="E1373" s="423"/>
      <c r="F1373" s="424"/>
      <c r="G1373" s="425"/>
      <c r="H1373" s="651"/>
      <c r="I1373" s="420">
        <v>111.67</v>
      </c>
      <c r="J1373" s="420">
        <f t="shared" si="348"/>
        <v>111.67</v>
      </c>
      <c r="K1373" s="421">
        <f t="shared" si="347"/>
        <v>132.68</v>
      </c>
      <c r="L1373" s="647" t="s">
        <v>2065</v>
      </c>
      <c r="M1373" s="576"/>
      <c r="N1373" s="576">
        <f t="shared" si="350"/>
        <v>0</v>
      </c>
      <c r="O1373" s="577">
        <f t="shared" si="344"/>
        <v>0</v>
      </c>
      <c r="P1373" s="578">
        <f t="shared" si="345"/>
        <v>0</v>
      </c>
      <c r="Q1373" s="765"/>
      <c r="R1373" s="576">
        <f t="shared" si="341"/>
        <v>0</v>
      </c>
      <c r="S1373" s="576">
        <f t="shared" si="341"/>
        <v>0</v>
      </c>
      <c r="T1373" s="577">
        <f t="shared" si="342"/>
        <v>0</v>
      </c>
      <c r="U1373" s="578">
        <f t="shared" si="343"/>
        <v>0</v>
      </c>
      <c r="V1373" s="579"/>
      <c r="W1373" s="566"/>
      <c r="X1373" s="586" t="str">
        <f t="shared" si="346"/>
        <v/>
      </c>
      <c r="Y1373" s="586" t="str">
        <f t="shared" si="340"/>
        <v/>
      </c>
      <c r="Z1373" s="586" t="str">
        <f t="shared" si="349"/>
        <v/>
      </c>
    </row>
    <row r="1374" spans="1:26" ht="23.25" hidden="1" thickBot="1" x14ac:dyDescent="0.25">
      <c r="A1374" s="567">
        <v>101893</v>
      </c>
      <c r="B1374" s="644">
        <v>101893</v>
      </c>
      <c r="C1374" s="645" t="s">
        <v>670</v>
      </c>
      <c r="D1374" s="422" t="s">
        <v>1225</v>
      </c>
      <c r="E1374" s="423"/>
      <c r="F1374" s="424"/>
      <c r="G1374" s="425"/>
      <c r="H1374" s="651"/>
      <c r="I1374" s="420">
        <v>108.95</v>
      </c>
      <c r="J1374" s="420">
        <f t="shared" si="348"/>
        <v>108.95</v>
      </c>
      <c r="K1374" s="421">
        <f t="shared" si="347"/>
        <v>129.44</v>
      </c>
      <c r="L1374" s="647" t="s">
        <v>2065</v>
      </c>
      <c r="M1374" s="576"/>
      <c r="N1374" s="576">
        <f t="shared" si="350"/>
        <v>0</v>
      </c>
      <c r="O1374" s="577">
        <f t="shared" si="344"/>
        <v>0</v>
      </c>
      <c r="P1374" s="578">
        <f t="shared" si="345"/>
        <v>0</v>
      </c>
      <c r="Q1374" s="765"/>
      <c r="R1374" s="576">
        <f t="shared" si="341"/>
        <v>0</v>
      </c>
      <c r="S1374" s="576">
        <f t="shared" si="341"/>
        <v>0</v>
      </c>
      <c r="T1374" s="577">
        <f t="shared" si="342"/>
        <v>0</v>
      </c>
      <c r="U1374" s="578">
        <f t="shared" si="343"/>
        <v>0</v>
      </c>
      <c r="V1374" s="579"/>
      <c r="W1374" s="566"/>
      <c r="X1374" s="586" t="str">
        <f t="shared" si="346"/>
        <v/>
      </c>
      <c r="Y1374" s="586" t="str">
        <f t="shared" si="340"/>
        <v/>
      </c>
      <c r="Z1374" s="586" t="str">
        <f t="shared" si="349"/>
        <v/>
      </c>
    </row>
    <row r="1375" spans="1:26" ht="23.25" hidden="1" thickBot="1" x14ac:dyDescent="0.25">
      <c r="A1375" s="567">
        <v>101894</v>
      </c>
      <c r="B1375" s="644">
        <v>101894</v>
      </c>
      <c r="C1375" s="645" t="s">
        <v>670</v>
      </c>
      <c r="D1375" s="422" t="s">
        <v>1226</v>
      </c>
      <c r="E1375" s="423"/>
      <c r="F1375" s="424"/>
      <c r="G1375" s="425"/>
      <c r="H1375" s="651"/>
      <c r="I1375" s="420">
        <v>182.13</v>
      </c>
      <c r="J1375" s="420">
        <f t="shared" si="348"/>
        <v>182.13</v>
      </c>
      <c r="K1375" s="421">
        <f t="shared" si="347"/>
        <v>216.39</v>
      </c>
      <c r="L1375" s="647" t="s">
        <v>2065</v>
      </c>
      <c r="M1375" s="576"/>
      <c r="N1375" s="576">
        <f t="shared" si="350"/>
        <v>0</v>
      </c>
      <c r="O1375" s="577">
        <f t="shared" si="344"/>
        <v>0</v>
      </c>
      <c r="P1375" s="578">
        <f t="shared" si="345"/>
        <v>0</v>
      </c>
      <c r="Q1375" s="765"/>
      <c r="R1375" s="576">
        <f t="shared" si="341"/>
        <v>0</v>
      </c>
      <c r="S1375" s="576">
        <f t="shared" si="341"/>
        <v>0</v>
      </c>
      <c r="T1375" s="577">
        <f t="shared" si="342"/>
        <v>0</v>
      </c>
      <c r="U1375" s="578">
        <f t="shared" si="343"/>
        <v>0</v>
      </c>
      <c r="V1375" s="579"/>
      <c r="W1375" s="566"/>
      <c r="X1375" s="586" t="str">
        <f t="shared" si="346"/>
        <v/>
      </c>
      <c r="Y1375" s="586" t="str">
        <f t="shared" si="340"/>
        <v/>
      </c>
      <c r="Z1375" s="586" t="str">
        <f t="shared" si="349"/>
        <v/>
      </c>
    </row>
    <row r="1376" spans="1:26" ht="23.25" hidden="1" thickBot="1" x14ac:dyDescent="0.25">
      <c r="A1376" s="567">
        <v>101663</v>
      </c>
      <c r="B1376" s="644">
        <v>101663</v>
      </c>
      <c r="C1376" s="645" t="s">
        <v>670</v>
      </c>
      <c r="D1376" s="422" t="s">
        <v>1227</v>
      </c>
      <c r="E1376" s="423"/>
      <c r="F1376" s="424"/>
      <c r="G1376" s="425"/>
      <c r="H1376" s="651"/>
      <c r="I1376" s="420">
        <v>26.57</v>
      </c>
      <c r="J1376" s="420">
        <f t="shared" si="348"/>
        <v>26.57</v>
      </c>
      <c r="K1376" s="421">
        <f t="shared" si="347"/>
        <v>31.57</v>
      </c>
      <c r="L1376" s="647" t="s">
        <v>2065</v>
      </c>
      <c r="M1376" s="576"/>
      <c r="N1376" s="576">
        <f t="shared" si="350"/>
        <v>0</v>
      </c>
      <c r="O1376" s="577">
        <f t="shared" si="344"/>
        <v>0</v>
      </c>
      <c r="P1376" s="578">
        <f t="shared" si="345"/>
        <v>0</v>
      </c>
      <c r="Q1376" s="765"/>
      <c r="R1376" s="576">
        <f t="shared" si="341"/>
        <v>0</v>
      </c>
      <c r="S1376" s="576">
        <f t="shared" si="341"/>
        <v>0</v>
      </c>
      <c r="T1376" s="577">
        <f t="shared" si="342"/>
        <v>0</v>
      </c>
      <c r="U1376" s="578">
        <f t="shared" si="343"/>
        <v>0</v>
      </c>
      <c r="V1376" s="579"/>
      <c r="W1376" s="566"/>
      <c r="X1376" s="586" t="str">
        <f t="shared" si="346"/>
        <v/>
      </c>
      <c r="Y1376" s="586" t="str">
        <f t="shared" si="340"/>
        <v/>
      </c>
      <c r="Z1376" s="586" t="str">
        <f t="shared" si="349"/>
        <v/>
      </c>
    </row>
    <row r="1377" spans="1:26" ht="23.25" hidden="1" thickBot="1" x14ac:dyDescent="0.25">
      <c r="A1377" s="567">
        <v>101664</v>
      </c>
      <c r="B1377" s="644">
        <v>101664</v>
      </c>
      <c r="C1377" s="645" t="s">
        <v>670</v>
      </c>
      <c r="D1377" s="422" t="s">
        <v>1228</v>
      </c>
      <c r="E1377" s="423"/>
      <c r="F1377" s="424"/>
      <c r="G1377" s="425"/>
      <c r="H1377" s="651"/>
      <c r="I1377" s="420">
        <v>27.65</v>
      </c>
      <c r="J1377" s="420">
        <f t="shared" si="348"/>
        <v>27.65</v>
      </c>
      <c r="K1377" s="421">
        <f t="shared" si="347"/>
        <v>32.85</v>
      </c>
      <c r="L1377" s="647" t="s">
        <v>2065</v>
      </c>
      <c r="M1377" s="576"/>
      <c r="N1377" s="576">
        <f t="shared" si="350"/>
        <v>0</v>
      </c>
      <c r="O1377" s="577">
        <f t="shared" si="344"/>
        <v>0</v>
      </c>
      <c r="P1377" s="578">
        <f t="shared" si="345"/>
        <v>0</v>
      </c>
      <c r="Q1377" s="765"/>
      <c r="R1377" s="576">
        <f t="shared" si="341"/>
        <v>0</v>
      </c>
      <c r="S1377" s="576">
        <f t="shared" si="341"/>
        <v>0</v>
      </c>
      <c r="T1377" s="577">
        <f t="shared" si="342"/>
        <v>0</v>
      </c>
      <c r="U1377" s="578">
        <f t="shared" si="343"/>
        <v>0</v>
      </c>
      <c r="V1377" s="579"/>
      <c r="W1377" s="566"/>
      <c r="X1377" s="586" t="str">
        <f t="shared" si="346"/>
        <v/>
      </c>
      <c r="Y1377" s="586" t="str">
        <f t="shared" si="340"/>
        <v/>
      </c>
      <c r="Z1377" s="586" t="str">
        <f t="shared" si="349"/>
        <v/>
      </c>
    </row>
    <row r="1378" spans="1:26" ht="23.25" hidden="1" thickBot="1" x14ac:dyDescent="0.25">
      <c r="A1378" s="567">
        <v>101665</v>
      </c>
      <c r="B1378" s="644">
        <v>101665</v>
      </c>
      <c r="C1378" s="645" t="s">
        <v>670</v>
      </c>
      <c r="D1378" s="422" t="s">
        <v>1229</v>
      </c>
      <c r="E1378" s="423"/>
      <c r="F1378" s="424"/>
      <c r="G1378" s="425"/>
      <c r="H1378" s="651"/>
      <c r="I1378" s="420">
        <v>32.299999999999997</v>
      </c>
      <c r="J1378" s="420">
        <f t="shared" si="348"/>
        <v>32.299999999999997</v>
      </c>
      <c r="K1378" s="421">
        <f t="shared" si="347"/>
        <v>38.380000000000003</v>
      </c>
      <c r="L1378" s="647" t="s">
        <v>2065</v>
      </c>
      <c r="M1378" s="576"/>
      <c r="N1378" s="576">
        <f t="shared" si="350"/>
        <v>0</v>
      </c>
      <c r="O1378" s="577">
        <f t="shared" si="344"/>
        <v>0</v>
      </c>
      <c r="P1378" s="578">
        <f t="shared" si="345"/>
        <v>0</v>
      </c>
      <c r="Q1378" s="765"/>
      <c r="R1378" s="576">
        <f t="shared" si="341"/>
        <v>0</v>
      </c>
      <c r="S1378" s="576">
        <f t="shared" si="341"/>
        <v>0</v>
      </c>
      <c r="T1378" s="577">
        <f t="shared" si="342"/>
        <v>0</v>
      </c>
      <c r="U1378" s="578">
        <f t="shared" si="343"/>
        <v>0</v>
      </c>
      <c r="V1378" s="579"/>
      <c r="W1378" s="566"/>
      <c r="X1378" s="586" t="str">
        <f t="shared" si="346"/>
        <v/>
      </c>
      <c r="Y1378" s="586" t="str">
        <f t="shared" si="340"/>
        <v/>
      </c>
      <c r="Z1378" s="586" t="str">
        <f t="shared" si="349"/>
        <v/>
      </c>
    </row>
    <row r="1379" spans="1:26" ht="23.25" hidden="1" thickBot="1" x14ac:dyDescent="0.25">
      <c r="A1379" s="567">
        <v>101895</v>
      </c>
      <c r="B1379" s="644">
        <v>101895</v>
      </c>
      <c r="C1379" s="645" t="s">
        <v>670</v>
      </c>
      <c r="D1379" s="422" t="s">
        <v>1230</v>
      </c>
      <c r="E1379" s="423"/>
      <c r="F1379" s="424"/>
      <c r="G1379" s="425"/>
      <c r="H1379" s="651"/>
      <c r="I1379" s="420">
        <v>502.46</v>
      </c>
      <c r="J1379" s="420">
        <f t="shared" si="348"/>
        <v>502.46</v>
      </c>
      <c r="K1379" s="421">
        <f t="shared" si="347"/>
        <v>596.97</v>
      </c>
      <c r="L1379" s="647" t="s">
        <v>2065</v>
      </c>
      <c r="M1379" s="576"/>
      <c r="N1379" s="576">
        <f t="shared" si="350"/>
        <v>0</v>
      </c>
      <c r="O1379" s="577">
        <f t="shared" si="344"/>
        <v>0</v>
      </c>
      <c r="P1379" s="578">
        <f t="shared" si="345"/>
        <v>0</v>
      </c>
      <c r="Q1379" s="765"/>
      <c r="R1379" s="576">
        <f t="shared" si="341"/>
        <v>0</v>
      </c>
      <c r="S1379" s="576">
        <f t="shared" si="341"/>
        <v>0</v>
      </c>
      <c r="T1379" s="577">
        <f t="shared" si="342"/>
        <v>0</v>
      </c>
      <c r="U1379" s="578">
        <f t="shared" si="343"/>
        <v>0</v>
      </c>
      <c r="V1379" s="579"/>
      <c r="W1379" s="566"/>
      <c r="X1379" s="586" t="str">
        <f t="shared" si="346"/>
        <v/>
      </c>
      <c r="Y1379" s="586" t="str">
        <f t="shared" ref="Y1379:Y1442" si="351">IF(W1379="X","x",IF(W1379="y","x",IF(W1379="xx","x",IF(U1379&gt;0,"x",""))))</f>
        <v/>
      </c>
      <c r="Z1379" s="586" t="str">
        <f t="shared" si="349"/>
        <v/>
      </c>
    </row>
    <row r="1380" spans="1:26" ht="23.25" hidden="1" thickBot="1" x14ac:dyDescent="0.25">
      <c r="A1380" s="567">
        <v>101896</v>
      </c>
      <c r="B1380" s="644">
        <v>101896</v>
      </c>
      <c r="C1380" s="645" t="s">
        <v>670</v>
      </c>
      <c r="D1380" s="422" t="s">
        <v>1231</v>
      </c>
      <c r="E1380" s="423"/>
      <c r="F1380" s="424"/>
      <c r="G1380" s="425"/>
      <c r="H1380" s="651"/>
      <c r="I1380" s="420">
        <v>758.3</v>
      </c>
      <c r="J1380" s="420">
        <f t="shared" si="348"/>
        <v>758.3</v>
      </c>
      <c r="K1380" s="421">
        <f t="shared" si="347"/>
        <v>900.94</v>
      </c>
      <c r="L1380" s="647" t="s">
        <v>2065</v>
      </c>
      <c r="M1380" s="576"/>
      <c r="N1380" s="576">
        <f t="shared" si="350"/>
        <v>0</v>
      </c>
      <c r="O1380" s="577">
        <f t="shared" si="344"/>
        <v>0</v>
      </c>
      <c r="P1380" s="578">
        <f t="shared" si="345"/>
        <v>0</v>
      </c>
      <c r="Q1380" s="765"/>
      <c r="R1380" s="576">
        <f t="shared" si="341"/>
        <v>0</v>
      </c>
      <c r="S1380" s="576">
        <f t="shared" si="341"/>
        <v>0</v>
      </c>
      <c r="T1380" s="577">
        <f t="shared" si="342"/>
        <v>0</v>
      </c>
      <c r="U1380" s="578">
        <f t="shared" si="343"/>
        <v>0</v>
      </c>
      <c r="V1380" s="579"/>
      <c r="W1380" s="566"/>
      <c r="X1380" s="586" t="str">
        <f t="shared" si="346"/>
        <v/>
      </c>
      <c r="Y1380" s="586" t="str">
        <f t="shared" si="351"/>
        <v/>
      </c>
      <c r="Z1380" s="586" t="str">
        <f t="shared" si="349"/>
        <v/>
      </c>
    </row>
    <row r="1381" spans="1:26" ht="23.25" hidden="1" thickBot="1" x14ac:dyDescent="0.25">
      <c r="A1381" s="567">
        <v>101897</v>
      </c>
      <c r="B1381" s="644">
        <v>101897</v>
      </c>
      <c r="C1381" s="645" t="s">
        <v>670</v>
      </c>
      <c r="D1381" s="422" t="s">
        <v>1232</v>
      </c>
      <c r="E1381" s="423"/>
      <c r="F1381" s="424"/>
      <c r="G1381" s="425"/>
      <c r="H1381" s="651"/>
      <c r="I1381" s="420">
        <v>1217.54</v>
      </c>
      <c r="J1381" s="420">
        <f t="shared" si="348"/>
        <v>1217.54</v>
      </c>
      <c r="K1381" s="421">
        <f t="shared" si="347"/>
        <v>1446.56</v>
      </c>
      <c r="L1381" s="647" t="s">
        <v>2065</v>
      </c>
      <c r="M1381" s="576"/>
      <c r="N1381" s="576">
        <f t="shared" si="350"/>
        <v>0</v>
      </c>
      <c r="O1381" s="577">
        <f t="shared" si="344"/>
        <v>0</v>
      </c>
      <c r="P1381" s="578">
        <f t="shared" si="345"/>
        <v>0</v>
      </c>
      <c r="Q1381" s="765"/>
      <c r="R1381" s="576">
        <f t="shared" si="341"/>
        <v>0</v>
      </c>
      <c r="S1381" s="576">
        <f t="shared" si="341"/>
        <v>0</v>
      </c>
      <c r="T1381" s="577">
        <f t="shared" si="342"/>
        <v>0</v>
      </c>
      <c r="U1381" s="578">
        <f t="shared" si="343"/>
        <v>0</v>
      </c>
      <c r="V1381" s="579"/>
      <c r="W1381" s="566"/>
      <c r="X1381" s="586" t="str">
        <f t="shared" si="346"/>
        <v/>
      </c>
      <c r="Y1381" s="586" t="str">
        <f t="shared" si="351"/>
        <v/>
      </c>
      <c r="Z1381" s="586" t="str">
        <f t="shared" si="349"/>
        <v/>
      </c>
    </row>
    <row r="1382" spans="1:26" ht="23.25" hidden="1" thickBot="1" x14ac:dyDescent="0.25">
      <c r="A1382" s="567">
        <v>101898</v>
      </c>
      <c r="B1382" s="644">
        <v>101898</v>
      </c>
      <c r="C1382" s="645" t="s">
        <v>670</v>
      </c>
      <c r="D1382" s="422" t="s">
        <v>1233</v>
      </c>
      <c r="E1382" s="423"/>
      <c r="F1382" s="424"/>
      <c r="G1382" s="425"/>
      <c r="H1382" s="651"/>
      <c r="I1382" s="420">
        <v>1635.35</v>
      </c>
      <c r="J1382" s="420">
        <f t="shared" si="348"/>
        <v>1635.35</v>
      </c>
      <c r="K1382" s="421">
        <f t="shared" si="347"/>
        <v>1942.96</v>
      </c>
      <c r="L1382" s="647" t="s">
        <v>2065</v>
      </c>
      <c r="M1382" s="576"/>
      <c r="N1382" s="576">
        <f t="shared" si="350"/>
        <v>0</v>
      </c>
      <c r="O1382" s="577">
        <f t="shared" si="344"/>
        <v>0</v>
      </c>
      <c r="P1382" s="578">
        <f t="shared" si="345"/>
        <v>0</v>
      </c>
      <c r="Q1382" s="765"/>
      <c r="R1382" s="576">
        <f t="shared" si="341"/>
        <v>0</v>
      </c>
      <c r="S1382" s="576">
        <f t="shared" si="341"/>
        <v>0</v>
      </c>
      <c r="T1382" s="577">
        <f t="shared" si="342"/>
        <v>0</v>
      </c>
      <c r="U1382" s="578">
        <f t="shared" si="343"/>
        <v>0</v>
      </c>
      <c r="V1382" s="579"/>
      <c r="W1382" s="566"/>
      <c r="X1382" s="586" t="str">
        <f t="shared" si="346"/>
        <v/>
      </c>
      <c r="Y1382" s="586" t="str">
        <f t="shared" si="351"/>
        <v/>
      </c>
      <c r="Z1382" s="586" t="str">
        <f t="shared" si="349"/>
        <v/>
      </c>
    </row>
    <row r="1383" spans="1:26" ht="23.25" hidden="1" thickBot="1" x14ac:dyDescent="0.25">
      <c r="A1383" s="567">
        <v>101899</v>
      </c>
      <c r="B1383" s="644">
        <v>101899</v>
      </c>
      <c r="C1383" s="645" t="s">
        <v>670</v>
      </c>
      <c r="D1383" s="422" t="s">
        <v>1234</v>
      </c>
      <c r="E1383" s="423"/>
      <c r="F1383" s="424"/>
      <c r="G1383" s="425"/>
      <c r="H1383" s="651"/>
      <c r="I1383" s="420">
        <v>2629.16</v>
      </c>
      <c r="J1383" s="420">
        <f t="shared" si="348"/>
        <v>2629.16</v>
      </c>
      <c r="K1383" s="421">
        <f t="shared" si="347"/>
        <v>3123.7</v>
      </c>
      <c r="L1383" s="647" t="s">
        <v>2065</v>
      </c>
      <c r="M1383" s="576"/>
      <c r="N1383" s="576">
        <f t="shared" si="350"/>
        <v>0</v>
      </c>
      <c r="O1383" s="577">
        <f t="shared" si="344"/>
        <v>0</v>
      </c>
      <c r="P1383" s="578">
        <f t="shared" si="345"/>
        <v>0</v>
      </c>
      <c r="Q1383" s="765"/>
      <c r="R1383" s="576">
        <f t="shared" si="341"/>
        <v>0</v>
      </c>
      <c r="S1383" s="576">
        <f t="shared" si="341"/>
        <v>0</v>
      </c>
      <c r="T1383" s="577">
        <f t="shared" si="342"/>
        <v>0</v>
      </c>
      <c r="U1383" s="578">
        <f t="shared" si="343"/>
        <v>0</v>
      </c>
      <c r="V1383" s="579"/>
      <c r="W1383" s="566"/>
      <c r="X1383" s="586" t="str">
        <f t="shared" si="346"/>
        <v/>
      </c>
      <c r="Y1383" s="586" t="str">
        <f t="shared" si="351"/>
        <v/>
      </c>
      <c r="Z1383" s="586" t="str">
        <f t="shared" si="349"/>
        <v/>
      </c>
    </row>
    <row r="1384" spans="1:26" ht="12" hidden="1" thickBot="1" x14ac:dyDescent="0.25">
      <c r="A1384" s="567">
        <v>101900</v>
      </c>
      <c r="B1384" s="644">
        <v>101900</v>
      </c>
      <c r="C1384" s="645" t="s">
        <v>670</v>
      </c>
      <c r="D1384" s="422" t="s">
        <v>1235</v>
      </c>
      <c r="E1384" s="423"/>
      <c r="F1384" s="424"/>
      <c r="G1384" s="425"/>
      <c r="H1384" s="651"/>
      <c r="I1384" s="420">
        <v>5507.67</v>
      </c>
      <c r="J1384" s="420">
        <f t="shared" si="348"/>
        <v>5507.67</v>
      </c>
      <c r="K1384" s="421">
        <f t="shared" si="347"/>
        <v>6543.66</v>
      </c>
      <c r="L1384" s="647" t="s">
        <v>2065</v>
      </c>
      <c r="M1384" s="576"/>
      <c r="N1384" s="576">
        <f t="shared" si="350"/>
        <v>0</v>
      </c>
      <c r="O1384" s="577">
        <f t="shared" si="344"/>
        <v>0</v>
      </c>
      <c r="P1384" s="578">
        <f t="shared" si="345"/>
        <v>0</v>
      </c>
      <c r="Q1384" s="765"/>
      <c r="R1384" s="576">
        <f t="shared" si="341"/>
        <v>0</v>
      </c>
      <c r="S1384" s="576">
        <f t="shared" si="341"/>
        <v>0</v>
      </c>
      <c r="T1384" s="577">
        <f t="shared" si="342"/>
        <v>0</v>
      </c>
      <c r="U1384" s="578">
        <f t="shared" si="343"/>
        <v>0</v>
      </c>
      <c r="V1384" s="579"/>
      <c r="W1384" s="566"/>
      <c r="X1384" s="586" t="str">
        <f t="shared" si="346"/>
        <v/>
      </c>
      <c r="Y1384" s="586" t="str">
        <f t="shared" si="351"/>
        <v/>
      </c>
      <c r="Z1384" s="586" t="str">
        <f t="shared" si="349"/>
        <v/>
      </c>
    </row>
    <row r="1385" spans="1:26" ht="23.25" hidden="1" thickBot="1" x14ac:dyDescent="0.25">
      <c r="A1385" s="567">
        <v>91952</v>
      </c>
      <c r="B1385" s="644">
        <v>91952</v>
      </c>
      <c r="C1385" s="645" t="s">
        <v>670</v>
      </c>
      <c r="D1385" s="422" t="s">
        <v>1236</v>
      </c>
      <c r="E1385" s="423"/>
      <c r="F1385" s="424"/>
      <c r="G1385" s="425"/>
      <c r="H1385" s="651"/>
      <c r="I1385" s="420">
        <v>21.32</v>
      </c>
      <c r="J1385" s="420">
        <f t="shared" si="348"/>
        <v>21.32</v>
      </c>
      <c r="K1385" s="421">
        <f t="shared" si="347"/>
        <v>25.33</v>
      </c>
      <c r="L1385" s="647" t="s">
        <v>2065</v>
      </c>
      <c r="M1385" s="576"/>
      <c r="N1385" s="576">
        <f t="shared" si="350"/>
        <v>0</v>
      </c>
      <c r="O1385" s="577">
        <f t="shared" si="344"/>
        <v>0</v>
      </c>
      <c r="P1385" s="578">
        <f t="shared" si="345"/>
        <v>0</v>
      </c>
      <c r="Q1385" s="765"/>
      <c r="R1385" s="576">
        <f t="shared" si="341"/>
        <v>0</v>
      </c>
      <c r="S1385" s="576">
        <f t="shared" si="341"/>
        <v>0</v>
      </c>
      <c r="T1385" s="577">
        <f t="shared" si="342"/>
        <v>0</v>
      </c>
      <c r="U1385" s="578">
        <f t="shared" si="343"/>
        <v>0</v>
      </c>
      <c r="V1385" s="579"/>
      <c r="W1385" s="566"/>
      <c r="X1385" s="586" t="str">
        <f t="shared" si="346"/>
        <v/>
      </c>
      <c r="Y1385" s="586" t="str">
        <f t="shared" si="351"/>
        <v/>
      </c>
      <c r="Z1385" s="586" t="str">
        <f t="shared" si="349"/>
        <v/>
      </c>
    </row>
    <row r="1386" spans="1:26" ht="23.25" hidden="1" thickBot="1" x14ac:dyDescent="0.25">
      <c r="A1386" s="567">
        <v>91953</v>
      </c>
      <c r="B1386" s="644">
        <v>91953</v>
      </c>
      <c r="C1386" s="645" t="s">
        <v>670</v>
      </c>
      <c r="D1386" s="422" t="s">
        <v>1237</v>
      </c>
      <c r="E1386" s="423"/>
      <c r="F1386" s="424"/>
      <c r="G1386" s="425"/>
      <c r="H1386" s="651"/>
      <c r="I1386" s="420">
        <v>31.05</v>
      </c>
      <c r="J1386" s="420">
        <f t="shared" si="348"/>
        <v>31.05</v>
      </c>
      <c r="K1386" s="421">
        <f t="shared" si="347"/>
        <v>36.89</v>
      </c>
      <c r="L1386" s="647" t="s">
        <v>2065</v>
      </c>
      <c r="M1386" s="576"/>
      <c r="N1386" s="576">
        <f t="shared" si="350"/>
        <v>0</v>
      </c>
      <c r="O1386" s="577">
        <f t="shared" si="344"/>
        <v>0</v>
      </c>
      <c r="P1386" s="578">
        <f t="shared" si="345"/>
        <v>0</v>
      </c>
      <c r="Q1386" s="765"/>
      <c r="R1386" s="576">
        <f t="shared" ref="R1386:S1449" si="352">M1386</f>
        <v>0</v>
      </c>
      <c r="S1386" s="576">
        <f t="shared" si="352"/>
        <v>0</v>
      </c>
      <c r="T1386" s="577">
        <f t="shared" si="342"/>
        <v>0</v>
      </c>
      <c r="U1386" s="578">
        <f t="shared" si="343"/>
        <v>0</v>
      </c>
      <c r="V1386" s="579"/>
      <c r="W1386" s="566"/>
      <c r="X1386" s="586" t="str">
        <f t="shared" si="346"/>
        <v/>
      </c>
      <c r="Y1386" s="586" t="str">
        <f t="shared" si="351"/>
        <v/>
      </c>
      <c r="Z1386" s="586" t="str">
        <f t="shared" si="349"/>
        <v/>
      </c>
    </row>
    <row r="1387" spans="1:26" ht="23.25" hidden="1" thickBot="1" x14ac:dyDescent="0.25">
      <c r="A1387" s="567">
        <v>91956</v>
      </c>
      <c r="B1387" s="644">
        <v>91956</v>
      </c>
      <c r="C1387" s="645" t="s">
        <v>670</v>
      </c>
      <c r="D1387" s="422" t="s">
        <v>1238</v>
      </c>
      <c r="E1387" s="423"/>
      <c r="F1387" s="424"/>
      <c r="G1387" s="425"/>
      <c r="H1387" s="651"/>
      <c r="I1387" s="420">
        <v>46.71</v>
      </c>
      <c r="J1387" s="420">
        <f t="shared" si="348"/>
        <v>46.71</v>
      </c>
      <c r="K1387" s="421">
        <f t="shared" si="347"/>
        <v>55.5</v>
      </c>
      <c r="L1387" s="647" t="s">
        <v>2065</v>
      </c>
      <c r="M1387" s="576"/>
      <c r="N1387" s="576">
        <f t="shared" si="350"/>
        <v>0</v>
      </c>
      <c r="O1387" s="577">
        <f t="shared" si="344"/>
        <v>0</v>
      </c>
      <c r="P1387" s="578">
        <f t="shared" si="345"/>
        <v>0</v>
      </c>
      <c r="Q1387" s="765"/>
      <c r="R1387" s="576">
        <f t="shared" si="352"/>
        <v>0</v>
      </c>
      <c r="S1387" s="576">
        <f t="shared" si="352"/>
        <v>0</v>
      </c>
      <c r="T1387" s="577">
        <f t="shared" si="342"/>
        <v>0</v>
      </c>
      <c r="U1387" s="578">
        <f t="shared" si="343"/>
        <v>0</v>
      </c>
      <c r="V1387" s="579"/>
      <c r="W1387" s="566"/>
      <c r="X1387" s="586" t="str">
        <f t="shared" si="346"/>
        <v/>
      </c>
      <c r="Y1387" s="586" t="str">
        <f t="shared" si="351"/>
        <v/>
      </c>
      <c r="Z1387" s="586" t="str">
        <f t="shared" si="349"/>
        <v/>
      </c>
    </row>
    <row r="1388" spans="1:26" ht="23.25" hidden="1" thickBot="1" x14ac:dyDescent="0.25">
      <c r="A1388" s="567">
        <v>91957</v>
      </c>
      <c r="B1388" s="644">
        <v>91957</v>
      </c>
      <c r="C1388" s="645" t="s">
        <v>670</v>
      </c>
      <c r="D1388" s="422" t="s">
        <v>1239</v>
      </c>
      <c r="E1388" s="423"/>
      <c r="F1388" s="424"/>
      <c r="G1388" s="425"/>
      <c r="H1388" s="651"/>
      <c r="I1388" s="420">
        <v>56.44</v>
      </c>
      <c r="J1388" s="420">
        <f t="shared" si="348"/>
        <v>56.44</v>
      </c>
      <c r="K1388" s="421">
        <f t="shared" si="347"/>
        <v>67.06</v>
      </c>
      <c r="L1388" s="647" t="s">
        <v>2065</v>
      </c>
      <c r="M1388" s="576"/>
      <c r="N1388" s="576">
        <f t="shared" si="350"/>
        <v>0</v>
      </c>
      <c r="O1388" s="577">
        <f t="shared" si="344"/>
        <v>0</v>
      </c>
      <c r="P1388" s="578">
        <f t="shared" si="345"/>
        <v>0</v>
      </c>
      <c r="Q1388" s="765"/>
      <c r="R1388" s="576">
        <f t="shared" si="352"/>
        <v>0</v>
      </c>
      <c r="S1388" s="576">
        <f t="shared" si="352"/>
        <v>0</v>
      </c>
      <c r="T1388" s="577">
        <f t="shared" si="342"/>
        <v>0</v>
      </c>
      <c r="U1388" s="578">
        <f t="shared" si="343"/>
        <v>0</v>
      </c>
      <c r="V1388" s="579"/>
      <c r="W1388" s="566"/>
      <c r="X1388" s="586" t="str">
        <f t="shared" si="346"/>
        <v/>
      </c>
      <c r="Y1388" s="586" t="str">
        <f t="shared" si="351"/>
        <v/>
      </c>
      <c r="Z1388" s="586" t="str">
        <f t="shared" si="349"/>
        <v/>
      </c>
    </row>
    <row r="1389" spans="1:26" ht="23.25" hidden="1" thickBot="1" x14ac:dyDescent="0.25">
      <c r="A1389" s="567">
        <v>91958</v>
      </c>
      <c r="B1389" s="644">
        <v>91958</v>
      </c>
      <c r="C1389" s="645" t="s">
        <v>670</v>
      </c>
      <c r="D1389" s="422" t="s">
        <v>1240</v>
      </c>
      <c r="E1389" s="423"/>
      <c r="F1389" s="424"/>
      <c r="G1389" s="425"/>
      <c r="H1389" s="651"/>
      <c r="I1389" s="420">
        <v>39.520000000000003</v>
      </c>
      <c r="J1389" s="420">
        <f t="shared" si="348"/>
        <v>39.520000000000003</v>
      </c>
      <c r="K1389" s="421">
        <f t="shared" si="347"/>
        <v>46.95</v>
      </c>
      <c r="L1389" s="647" t="s">
        <v>2065</v>
      </c>
      <c r="M1389" s="576"/>
      <c r="N1389" s="576">
        <f t="shared" si="350"/>
        <v>0</v>
      </c>
      <c r="O1389" s="577">
        <f t="shared" si="344"/>
        <v>0</v>
      </c>
      <c r="P1389" s="578">
        <f t="shared" si="345"/>
        <v>0</v>
      </c>
      <c r="Q1389" s="765"/>
      <c r="R1389" s="576">
        <f t="shared" si="352"/>
        <v>0</v>
      </c>
      <c r="S1389" s="576">
        <f t="shared" si="352"/>
        <v>0</v>
      </c>
      <c r="T1389" s="577">
        <f t="shared" si="342"/>
        <v>0</v>
      </c>
      <c r="U1389" s="578">
        <f t="shared" si="343"/>
        <v>0</v>
      </c>
      <c r="V1389" s="579"/>
      <c r="W1389" s="566"/>
      <c r="X1389" s="586" t="str">
        <f t="shared" si="346"/>
        <v/>
      </c>
      <c r="Y1389" s="586" t="str">
        <f t="shared" si="351"/>
        <v/>
      </c>
      <c r="Z1389" s="586" t="str">
        <f t="shared" si="349"/>
        <v/>
      </c>
    </row>
    <row r="1390" spans="1:26" ht="23.25" hidden="1" thickBot="1" x14ac:dyDescent="0.25">
      <c r="A1390" s="567">
        <v>91959</v>
      </c>
      <c r="B1390" s="644">
        <v>91959</v>
      </c>
      <c r="C1390" s="645" t="s">
        <v>670</v>
      </c>
      <c r="D1390" s="422" t="s">
        <v>1241</v>
      </c>
      <c r="E1390" s="423"/>
      <c r="F1390" s="424"/>
      <c r="G1390" s="425"/>
      <c r="H1390" s="651"/>
      <c r="I1390" s="420">
        <v>49.25</v>
      </c>
      <c r="J1390" s="420">
        <f t="shared" si="348"/>
        <v>49.25</v>
      </c>
      <c r="K1390" s="421">
        <f t="shared" si="347"/>
        <v>58.51</v>
      </c>
      <c r="L1390" s="647" t="s">
        <v>2065</v>
      </c>
      <c r="M1390" s="576"/>
      <c r="N1390" s="576">
        <f t="shared" si="350"/>
        <v>0</v>
      </c>
      <c r="O1390" s="577">
        <f t="shared" si="344"/>
        <v>0</v>
      </c>
      <c r="P1390" s="578">
        <f t="shared" si="345"/>
        <v>0</v>
      </c>
      <c r="Q1390" s="765"/>
      <c r="R1390" s="576">
        <f t="shared" si="352"/>
        <v>0</v>
      </c>
      <c r="S1390" s="576">
        <f t="shared" si="352"/>
        <v>0</v>
      </c>
      <c r="T1390" s="577">
        <f t="shared" si="342"/>
        <v>0</v>
      </c>
      <c r="U1390" s="578">
        <f t="shared" si="343"/>
        <v>0</v>
      </c>
      <c r="V1390" s="579"/>
      <c r="W1390" s="566"/>
      <c r="X1390" s="586" t="str">
        <f t="shared" si="346"/>
        <v/>
      </c>
      <c r="Y1390" s="586" t="str">
        <f t="shared" si="351"/>
        <v/>
      </c>
      <c r="Z1390" s="586" t="str">
        <f t="shared" si="349"/>
        <v/>
      </c>
    </row>
    <row r="1391" spans="1:26" ht="23.25" hidden="1" thickBot="1" x14ac:dyDescent="0.25">
      <c r="A1391" s="567">
        <v>91962</v>
      </c>
      <c r="B1391" s="644">
        <v>91962</v>
      </c>
      <c r="C1391" s="645" t="s">
        <v>670</v>
      </c>
      <c r="D1391" s="422" t="s">
        <v>1242</v>
      </c>
      <c r="E1391" s="423"/>
      <c r="F1391" s="424"/>
      <c r="G1391" s="425"/>
      <c r="H1391" s="651"/>
      <c r="I1391" s="420">
        <v>72.150000000000006</v>
      </c>
      <c r="J1391" s="420">
        <f t="shared" si="348"/>
        <v>72.150000000000006</v>
      </c>
      <c r="K1391" s="421">
        <f t="shared" si="347"/>
        <v>85.72</v>
      </c>
      <c r="L1391" s="647" t="s">
        <v>2065</v>
      </c>
      <c r="M1391" s="576"/>
      <c r="N1391" s="576">
        <f t="shared" si="350"/>
        <v>0</v>
      </c>
      <c r="O1391" s="577">
        <f t="shared" si="344"/>
        <v>0</v>
      </c>
      <c r="P1391" s="578">
        <f t="shared" si="345"/>
        <v>0</v>
      </c>
      <c r="Q1391" s="765"/>
      <c r="R1391" s="576">
        <f t="shared" si="352"/>
        <v>0</v>
      </c>
      <c r="S1391" s="576">
        <f t="shared" si="352"/>
        <v>0</v>
      </c>
      <c r="T1391" s="577">
        <f t="shared" si="342"/>
        <v>0</v>
      </c>
      <c r="U1391" s="578">
        <f t="shared" si="343"/>
        <v>0</v>
      </c>
      <c r="V1391" s="579"/>
      <c r="W1391" s="566"/>
      <c r="X1391" s="586" t="str">
        <f t="shared" si="346"/>
        <v/>
      </c>
      <c r="Y1391" s="586" t="str">
        <f t="shared" si="351"/>
        <v/>
      </c>
      <c r="Z1391" s="586" t="str">
        <f t="shared" si="349"/>
        <v/>
      </c>
    </row>
    <row r="1392" spans="1:26" ht="23.25" hidden="1" thickBot="1" x14ac:dyDescent="0.25">
      <c r="A1392" s="567">
        <v>91963</v>
      </c>
      <c r="B1392" s="644">
        <v>91963</v>
      </c>
      <c r="C1392" s="645" t="s">
        <v>670</v>
      </c>
      <c r="D1392" s="422" t="s">
        <v>1243</v>
      </c>
      <c r="E1392" s="423"/>
      <c r="F1392" s="424"/>
      <c r="G1392" s="425"/>
      <c r="H1392" s="651"/>
      <c r="I1392" s="420">
        <v>81.88</v>
      </c>
      <c r="J1392" s="420">
        <f t="shared" si="348"/>
        <v>81.88</v>
      </c>
      <c r="K1392" s="421">
        <f t="shared" si="347"/>
        <v>97.28</v>
      </c>
      <c r="L1392" s="647" t="s">
        <v>2065</v>
      </c>
      <c r="M1392" s="576"/>
      <c r="N1392" s="576">
        <f t="shared" si="350"/>
        <v>0</v>
      </c>
      <c r="O1392" s="577">
        <f t="shared" si="344"/>
        <v>0</v>
      </c>
      <c r="P1392" s="578">
        <f t="shared" si="345"/>
        <v>0</v>
      </c>
      <c r="Q1392" s="765"/>
      <c r="R1392" s="576">
        <f t="shared" si="352"/>
        <v>0</v>
      </c>
      <c r="S1392" s="576">
        <f t="shared" si="352"/>
        <v>0</v>
      </c>
      <c r="T1392" s="577">
        <f t="shared" si="342"/>
        <v>0</v>
      </c>
      <c r="U1392" s="578">
        <f t="shared" si="343"/>
        <v>0</v>
      </c>
      <c r="V1392" s="579"/>
      <c r="W1392" s="566"/>
      <c r="X1392" s="586" t="str">
        <f t="shared" si="346"/>
        <v/>
      </c>
      <c r="Y1392" s="586" t="str">
        <f t="shared" si="351"/>
        <v/>
      </c>
      <c r="Z1392" s="586" t="str">
        <f t="shared" si="349"/>
        <v/>
      </c>
    </row>
    <row r="1393" spans="1:26" ht="23.25" hidden="1" thickBot="1" x14ac:dyDescent="0.25">
      <c r="A1393" s="567">
        <v>91964</v>
      </c>
      <c r="B1393" s="644">
        <v>91964</v>
      </c>
      <c r="C1393" s="645" t="s">
        <v>670</v>
      </c>
      <c r="D1393" s="422" t="s">
        <v>1244</v>
      </c>
      <c r="E1393" s="423"/>
      <c r="F1393" s="424"/>
      <c r="G1393" s="425"/>
      <c r="H1393" s="651"/>
      <c r="I1393" s="420">
        <v>64.91</v>
      </c>
      <c r="J1393" s="420">
        <f t="shared" si="348"/>
        <v>64.91</v>
      </c>
      <c r="K1393" s="421">
        <f t="shared" si="347"/>
        <v>77.12</v>
      </c>
      <c r="L1393" s="647" t="s">
        <v>2065</v>
      </c>
      <c r="M1393" s="576"/>
      <c r="N1393" s="576">
        <f t="shared" si="350"/>
        <v>0</v>
      </c>
      <c r="O1393" s="577">
        <f t="shared" si="344"/>
        <v>0</v>
      </c>
      <c r="P1393" s="578">
        <f t="shared" si="345"/>
        <v>0</v>
      </c>
      <c r="Q1393" s="765"/>
      <c r="R1393" s="576">
        <f t="shared" si="352"/>
        <v>0</v>
      </c>
      <c r="S1393" s="576">
        <f t="shared" si="352"/>
        <v>0</v>
      </c>
      <c r="T1393" s="577">
        <f t="shared" si="342"/>
        <v>0</v>
      </c>
      <c r="U1393" s="578">
        <f t="shared" si="343"/>
        <v>0</v>
      </c>
      <c r="V1393" s="579"/>
      <c r="W1393" s="566"/>
      <c r="X1393" s="586" t="str">
        <f t="shared" si="346"/>
        <v/>
      </c>
      <c r="Y1393" s="586" t="str">
        <f t="shared" si="351"/>
        <v/>
      </c>
      <c r="Z1393" s="586" t="str">
        <f t="shared" si="349"/>
        <v/>
      </c>
    </row>
    <row r="1394" spans="1:26" ht="23.25" hidden="1" thickBot="1" x14ac:dyDescent="0.25">
      <c r="A1394" s="567">
        <v>91965</v>
      </c>
      <c r="B1394" s="644">
        <v>91965</v>
      </c>
      <c r="C1394" s="645" t="s">
        <v>670</v>
      </c>
      <c r="D1394" s="422" t="s">
        <v>1245</v>
      </c>
      <c r="E1394" s="423"/>
      <c r="F1394" s="424"/>
      <c r="G1394" s="425"/>
      <c r="H1394" s="651"/>
      <c r="I1394" s="420">
        <v>74.64</v>
      </c>
      <c r="J1394" s="420">
        <f t="shared" si="348"/>
        <v>74.64</v>
      </c>
      <c r="K1394" s="421">
        <f t="shared" si="347"/>
        <v>88.68</v>
      </c>
      <c r="L1394" s="647" t="s">
        <v>2065</v>
      </c>
      <c r="M1394" s="576"/>
      <c r="N1394" s="576">
        <f t="shared" si="350"/>
        <v>0</v>
      </c>
      <c r="O1394" s="577">
        <f t="shared" si="344"/>
        <v>0</v>
      </c>
      <c r="P1394" s="578">
        <f t="shared" si="345"/>
        <v>0</v>
      </c>
      <c r="Q1394" s="765"/>
      <c r="R1394" s="576">
        <f t="shared" si="352"/>
        <v>0</v>
      </c>
      <c r="S1394" s="576">
        <f t="shared" si="352"/>
        <v>0</v>
      </c>
      <c r="T1394" s="577">
        <f t="shared" si="342"/>
        <v>0</v>
      </c>
      <c r="U1394" s="578">
        <f t="shared" si="343"/>
        <v>0</v>
      </c>
      <c r="V1394" s="579"/>
      <c r="W1394" s="566"/>
      <c r="X1394" s="586" t="str">
        <f t="shared" si="346"/>
        <v/>
      </c>
      <c r="Y1394" s="586" t="str">
        <f t="shared" si="351"/>
        <v/>
      </c>
      <c r="Z1394" s="586" t="str">
        <f t="shared" si="349"/>
        <v/>
      </c>
    </row>
    <row r="1395" spans="1:26" ht="23.25" hidden="1" thickBot="1" x14ac:dyDescent="0.25">
      <c r="A1395" s="567">
        <v>91966</v>
      </c>
      <c r="B1395" s="644">
        <v>91966</v>
      </c>
      <c r="C1395" s="645" t="s">
        <v>670</v>
      </c>
      <c r="D1395" s="422" t="s">
        <v>1246</v>
      </c>
      <c r="E1395" s="423"/>
      <c r="F1395" s="424"/>
      <c r="G1395" s="425"/>
      <c r="H1395" s="651"/>
      <c r="I1395" s="420">
        <v>57.72</v>
      </c>
      <c r="J1395" s="420">
        <f t="shared" si="348"/>
        <v>57.72</v>
      </c>
      <c r="K1395" s="421">
        <f t="shared" si="347"/>
        <v>68.58</v>
      </c>
      <c r="L1395" s="647" t="s">
        <v>2065</v>
      </c>
      <c r="M1395" s="576"/>
      <c r="N1395" s="576">
        <f t="shared" si="350"/>
        <v>0</v>
      </c>
      <c r="O1395" s="577">
        <f t="shared" si="344"/>
        <v>0</v>
      </c>
      <c r="P1395" s="578">
        <f t="shared" si="345"/>
        <v>0</v>
      </c>
      <c r="Q1395" s="765"/>
      <c r="R1395" s="576">
        <f t="shared" si="352"/>
        <v>0</v>
      </c>
      <c r="S1395" s="576">
        <f t="shared" si="352"/>
        <v>0</v>
      </c>
      <c r="T1395" s="577">
        <f t="shared" si="342"/>
        <v>0</v>
      </c>
      <c r="U1395" s="578">
        <f t="shared" si="343"/>
        <v>0</v>
      </c>
      <c r="V1395" s="579"/>
      <c r="W1395" s="566"/>
      <c r="X1395" s="586" t="str">
        <f t="shared" si="346"/>
        <v/>
      </c>
      <c r="Y1395" s="586" t="str">
        <f t="shared" si="351"/>
        <v/>
      </c>
      <c r="Z1395" s="586" t="str">
        <f t="shared" si="349"/>
        <v/>
      </c>
    </row>
    <row r="1396" spans="1:26" ht="23.25" hidden="1" thickBot="1" x14ac:dyDescent="0.25">
      <c r="A1396" s="567">
        <v>91967</v>
      </c>
      <c r="B1396" s="644">
        <v>91967</v>
      </c>
      <c r="C1396" s="645" t="s">
        <v>670</v>
      </c>
      <c r="D1396" s="422" t="s">
        <v>1247</v>
      </c>
      <c r="E1396" s="423"/>
      <c r="F1396" s="424"/>
      <c r="G1396" s="425"/>
      <c r="H1396" s="651"/>
      <c r="I1396" s="420">
        <v>67.45</v>
      </c>
      <c r="J1396" s="420">
        <f t="shared" si="348"/>
        <v>67.45</v>
      </c>
      <c r="K1396" s="421">
        <f t="shared" si="347"/>
        <v>80.14</v>
      </c>
      <c r="L1396" s="647" t="s">
        <v>2065</v>
      </c>
      <c r="M1396" s="576"/>
      <c r="N1396" s="576">
        <f t="shared" si="350"/>
        <v>0</v>
      </c>
      <c r="O1396" s="577">
        <f t="shared" si="344"/>
        <v>0</v>
      </c>
      <c r="P1396" s="578">
        <f t="shared" si="345"/>
        <v>0</v>
      </c>
      <c r="Q1396" s="765"/>
      <c r="R1396" s="576">
        <f t="shared" si="352"/>
        <v>0</v>
      </c>
      <c r="S1396" s="576">
        <f t="shared" si="352"/>
        <v>0</v>
      </c>
      <c r="T1396" s="577">
        <f t="shared" ref="T1396:T1459" si="353">IF(ISBLANK(R1396),0,ROUND(K1396*R1396,2))</f>
        <v>0</v>
      </c>
      <c r="U1396" s="578">
        <f t="shared" ref="U1396:U1459" si="354">IF(ISBLANK(R1396),0,ROUND(R1396*S1396,2))</f>
        <v>0</v>
      </c>
      <c r="V1396" s="579"/>
      <c r="W1396" s="566"/>
      <c r="X1396" s="586" t="str">
        <f t="shared" si="346"/>
        <v/>
      </c>
      <c r="Y1396" s="586" t="str">
        <f t="shared" si="351"/>
        <v/>
      </c>
      <c r="Z1396" s="586" t="str">
        <f t="shared" si="349"/>
        <v/>
      </c>
    </row>
    <row r="1397" spans="1:26" ht="23.25" hidden="1" thickBot="1" x14ac:dyDescent="0.25">
      <c r="A1397" s="567">
        <v>91970</v>
      </c>
      <c r="B1397" s="644">
        <v>91970</v>
      </c>
      <c r="C1397" s="645" t="s">
        <v>670</v>
      </c>
      <c r="D1397" s="422" t="s">
        <v>1248</v>
      </c>
      <c r="E1397" s="423"/>
      <c r="F1397" s="424"/>
      <c r="G1397" s="425"/>
      <c r="H1397" s="651"/>
      <c r="I1397" s="420">
        <v>83.48</v>
      </c>
      <c r="J1397" s="420">
        <f t="shared" si="348"/>
        <v>83.48</v>
      </c>
      <c r="K1397" s="421">
        <f t="shared" si="347"/>
        <v>99.18</v>
      </c>
      <c r="L1397" s="647" t="s">
        <v>2065</v>
      </c>
      <c r="M1397" s="576"/>
      <c r="N1397" s="576">
        <f t="shared" si="350"/>
        <v>0</v>
      </c>
      <c r="O1397" s="577">
        <f t="shared" ref="O1397:O1460" si="355">IF(ISBLANK(M1397),0,ROUND(K1397*M1397,2))</f>
        <v>0</v>
      </c>
      <c r="P1397" s="578">
        <f t="shared" ref="P1397:P1460" si="356">IF(ISBLANK(N1397),0,ROUND(M1397*N1397,2))</f>
        <v>0</v>
      </c>
      <c r="Q1397" s="765"/>
      <c r="R1397" s="576">
        <f t="shared" si="352"/>
        <v>0</v>
      </c>
      <c r="S1397" s="576">
        <f t="shared" si="352"/>
        <v>0</v>
      </c>
      <c r="T1397" s="577">
        <f t="shared" si="353"/>
        <v>0</v>
      </c>
      <c r="U1397" s="578">
        <f t="shared" si="354"/>
        <v>0</v>
      </c>
      <c r="V1397" s="579"/>
      <c r="W1397" s="566"/>
      <c r="X1397" s="586" t="str">
        <f t="shared" si="346"/>
        <v/>
      </c>
      <c r="Y1397" s="586" t="str">
        <f t="shared" si="351"/>
        <v/>
      </c>
      <c r="Z1397" s="586" t="str">
        <f t="shared" si="349"/>
        <v/>
      </c>
    </row>
    <row r="1398" spans="1:26" ht="23.25" hidden="1" thickBot="1" x14ac:dyDescent="0.25">
      <c r="A1398" s="567">
        <v>91971</v>
      </c>
      <c r="B1398" s="644">
        <v>91971</v>
      </c>
      <c r="C1398" s="645" t="s">
        <v>670</v>
      </c>
      <c r="D1398" s="422" t="s">
        <v>1249</v>
      </c>
      <c r="E1398" s="423"/>
      <c r="F1398" s="424"/>
      <c r="G1398" s="425"/>
      <c r="H1398" s="651"/>
      <c r="I1398" s="420">
        <v>99.37</v>
      </c>
      <c r="J1398" s="420">
        <f t="shared" si="348"/>
        <v>99.37</v>
      </c>
      <c r="K1398" s="421">
        <f t="shared" si="347"/>
        <v>118.06</v>
      </c>
      <c r="L1398" s="647" t="s">
        <v>2065</v>
      </c>
      <c r="M1398" s="576"/>
      <c r="N1398" s="576">
        <f t="shared" si="350"/>
        <v>0</v>
      </c>
      <c r="O1398" s="577">
        <f t="shared" si="355"/>
        <v>0</v>
      </c>
      <c r="P1398" s="578">
        <f t="shared" si="356"/>
        <v>0</v>
      </c>
      <c r="Q1398" s="765"/>
      <c r="R1398" s="576">
        <f t="shared" si="352"/>
        <v>0</v>
      </c>
      <c r="S1398" s="576">
        <f t="shared" si="352"/>
        <v>0</v>
      </c>
      <c r="T1398" s="577">
        <f t="shared" si="353"/>
        <v>0</v>
      </c>
      <c r="U1398" s="578">
        <f t="shared" si="354"/>
        <v>0</v>
      </c>
      <c r="V1398" s="579"/>
      <c r="W1398" s="566"/>
      <c r="X1398" s="586" t="str">
        <f t="shared" si="346"/>
        <v/>
      </c>
      <c r="Y1398" s="586" t="str">
        <f t="shared" si="351"/>
        <v/>
      </c>
      <c r="Z1398" s="586" t="str">
        <f t="shared" si="349"/>
        <v/>
      </c>
    </row>
    <row r="1399" spans="1:26" ht="23.25" hidden="1" thickBot="1" x14ac:dyDescent="0.25">
      <c r="A1399" s="567">
        <v>91972</v>
      </c>
      <c r="B1399" s="644">
        <v>91972</v>
      </c>
      <c r="C1399" s="645" t="s">
        <v>670</v>
      </c>
      <c r="D1399" s="422" t="s">
        <v>1250</v>
      </c>
      <c r="E1399" s="423"/>
      <c r="F1399" s="424"/>
      <c r="G1399" s="425"/>
      <c r="H1399" s="651"/>
      <c r="I1399" s="420">
        <v>90.73</v>
      </c>
      <c r="J1399" s="420">
        <f t="shared" si="348"/>
        <v>90.73</v>
      </c>
      <c r="K1399" s="421">
        <f t="shared" si="347"/>
        <v>107.8</v>
      </c>
      <c r="L1399" s="647" t="s">
        <v>2065</v>
      </c>
      <c r="M1399" s="576"/>
      <c r="N1399" s="576">
        <f t="shared" si="350"/>
        <v>0</v>
      </c>
      <c r="O1399" s="577">
        <f t="shared" si="355"/>
        <v>0</v>
      </c>
      <c r="P1399" s="578">
        <f t="shared" si="356"/>
        <v>0</v>
      </c>
      <c r="Q1399" s="765"/>
      <c r="R1399" s="576">
        <f t="shared" si="352"/>
        <v>0</v>
      </c>
      <c r="S1399" s="576">
        <f t="shared" si="352"/>
        <v>0</v>
      </c>
      <c r="T1399" s="577">
        <f t="shared" si="353"/>
        <v>0</v>
      </c>
      <c r="U1399" s="578">
        <f t="shared" si="354"/>
        <v>0</v>
      </c>
      <c r="V1399" s="579"/>
      <c r="W1399" s="566"/>
      <c r="X1399" s="586" t="str">
        <f t="shared" si="346"/>
        <v/>
      </c>
      <c r="Y1399" s="586" t="str">
        <f t="shared" si="351"/>
        <v/>
      </c>
      <c r="Z1399" s="586" t="str">
        <f t="shared" si="349"/>
        <v/>
      </c>
    </row>
    <row r="1400" spans="1:26" ht="23.25" hidden="1" thickBot="1" x14ac:dyDescent="0.25">
      <c r="A1400" s="567">
        <v>91973</v>
      </c>
      <c r="B1400" s="644">
        <v>91973</v>
      </c>
      <c r="C1400" s="645" t="s">
        <v>670</v>
      </c>
      <c r="D1400" s="422" t="s">
        <v>1251</v>
      </c>
      <c r="E1400" s="423"/>
      <c r="F1400" s="424"/>
      <c r="G1400" s="425"/>
      <c r="H1400" s="651"/>
      <c r="I1400" s="420">
        <v>106.62</v>
      </c>
      <c r="J1400" s="420">
        <f t="shared" si="348"/>
        <v>106.62</v>
      </c>
      <c r="K1400" s="421">
        <f t="shared" si="347"/>
        <v>126.68</v>
      </c>
      <c r="L1400" s="647" t="s">
        <v>2065</v>
      </c>
      <c r="M1400" s="576"/>
      <c r="N1400" s="576">
        <f t="shared" si="350"/>
        <v>0</v>
      </c>
      <c r="O1400" s="577">
        <f t="shared" si="355"/>
        <v>0</v>
      </c>
      <c r="P1400" s="578">
        <f t="shared" si="356"/>
        <v>0</v>
      </c>
      <c r="Q1400" s="765"/>
      <c r="R1400" s="576">
        <f t="shared" si="352"/>
        <v>0</v>
      </c>
      <c r="S1400" s="576">
        <f t="shared" si="352"/>
        <v>0</v>
      </c>
      <c r="T1400" s="577">
        <f t="shared" si="353"/>
        <v>0</v>
      </c>
      <c r="U1400" s="578">
        <f t="shared" si="354"/>
        <v>0</v>
      </c>
      <c r="V1400" s="579"/>
      <c r="W1400" s="566"/>
      <c r="X1400" s="586" t="str">
        <f t="shared" si="346"/>
        <v/>
      </c>
      <c r="Y1400" s="586" t="str">
        <f t="shared" si="351"/>
        <v/>
      </c>
      <c r="Z1400" s="586" t="str">
        <f t="shared" si="349"/>
        <v/>
      </c>
    </row>
    <row r="1401" spans="1:26" ht="23.25" hidden="1" thickBot="1" x14ac:dyDescent="0.25">
      <c r="A1401" s="567">
        <v>91974</v>
      </c>
      <c r="B1401" s="644">
        <v>91974</v>
      </c>
      <c r="C1401" s="645" t="s">
        <v>670</v>
      </c>
      <c r="D1401" s="422" t="s">
        <v>1252</v>
      </c>
      <c r="E1401" s="423"/>
      <c r="F1401" s="424"/>
      <c r="G1401" s="425"/>
      <c r="H1401" s="651"/>
      <c r="I1401" s="420">
        <v>76.239999999999995</v>
      </c>
      <c r="J1401" s="420">
        <f t="shared" si="348"/>
        <v>76.239999999999995</v>
      </c>
      <c r="K1401" s="421">
        <f t="shared" si="347"/>
        <v>90.58</v>
      </c>
      <c r="L1401" s="647" t="s">
        <v>2065</v>
      </c>
      <c r="M1401" s="576"/>
      <c r="N1401" s="576">
        <f t="shared" si="350"/>
        <v>0</v>
      </c>
      <c r="O1401" s="577">
        <f t="shared" si="355"/>
        <v>0</v>
      </c>
      <c r="P1401" s="578">
        <f t="shared" si="356"/>
        <v>0</v>
      </c>
      <c r="Q1401" s="765"/>
      <c r="R1401" s="576">
        <f t="shared" si="352"/>
        <v>0</v>
      </c>
      <c r="S1401" s="576">
        <f t="shared" si="352"/>
        <v>0</v>
      </c>
      <c r="T1401" s="577">
        <f t="shared" si="353"/>
        <v>0</v>
      </c>
      <c r="U1401" s="578">
        <f t="shared" si="354"/>
        <v>0</v>
      </c>
      <c r="V1401" s="579"/>
      <c r="W1401" s="566"/>
      <c r="X1401" s="586" t="str">
        <f t="shared" si="346"/>
        <v/>
      </c>
      <c r="Y1401" s="586" t="str">
        <f t="shared" si="351"/>
        <v/>
      </c>
      <c r="Z1401" s="586" t="str">
        <f t="shared" si="349"/>
        <v/>
      </c>
    </row>
    <row r="1402" spans="1:26" ht="23.25" hidden="1" thickBot="1" x14ac:dyDescent="0.25">
      <c r="A1402" s="567">
        <v>91975</v>
      </c>
      <c r="B1402" s="644">
        <v>91975</v>
      </c>
      <c r="C1402" s="645" t="s">
        <v>670</v>
      </c>
      <c r="D1402" s="422" t="s">
        <v>1253</v>
      </c>
      <c r="E1402" s="423"/>
      <c r="F1402" s="424"/>
      <c r="G1402" s="425"/>
      <c r="H1402" s="651"/>
      <c r="I1402" s="420">
        <v>92.13</v>
      </c>
      <c r="J1402" s="420">
        <f t="shared" si="348"/>
        <v>92.13</v>
      </c>
      <c r="K1402" s="421">
        <f t="shared" si="347"/>
        <v>109.46</v>
      </c>
      <c r="L1402" s="647" t="s">
        <v>2065</v>
      </c>
      <c r="M1402" s="576"/>
      <c r="N1402" s="576">
        <f t="shared" si="350"/>
        <v>0</v>
      </c>
      <c r="O1402" s="577">
        <f t="shared" si="355"/>
        <v>0</v>
      </c>
      <c r="P1402" s="578">
        <f t="shared" si="356"/>
        <v>0</v>
      </c>
      <c r="Q1402" s="765"/>
      <c r="R1402" s="576">
        <f t="shared" si="352"/>
        <v>0</v>
      </c>
      <c r="S1402" s="576">
        <f t="shared" si="352"/>
        <v>0</v>
      </c>
      <c r="T1402" s="577">
        <f t="shared" si="353"/>
        <v>0</v>
      </c>
      <c r="U1402" s="578">
        <f t="shared" si="354"/>
        <v>0</v>
      </c>
      <c r="V1402" s="579"/>
      <c r="W1402" s="566"/>
      <c r="X1402" s="586" t="str">
        <f t="shared" si="346"/>
        <v/>
      </c>
      <c r="Y1402" s="586" t="str">
        <f t="shared" si="351"/>
        <v/>
      </c>
      <c r="Z1402" s="586" t="str">
        <f t="shared" si="349"/>
        <v/>
      </c>
    </row>
    <row r="1403" spans="1:26" ht="23.25" hidden="1" thickBot="1" x14ac:dyDescent="0.25">
      <c r="A1403" s="567">
        <v>91976</v>
      </c>
      <c r="B1403" s="644">
        <v>91976</v>
      </c>
      <c r="C1403" s="645" t="s">
        <v>670</v>
      </c>
      <c r="D1403" s="422" t="s">
        <v>1254</v>
      </c>
      <c r="E1403" s="423"/>
      <c r="F1403" s="424"/>
      <c r="G1403" s="425"/>
      <c r="H1403" s="651"/>
      <c r="I1403" s="420">
        <v>112.75</v>
      </c>
      <c r="J1403" s="420">
        <f t="shared" si="348"/>
        <v>112.75</v>
      </c>
      <c r="K1403" s="421">
        <f t="shared" si="347"/>
        <v>133.96</v>
      </c>
      <c r="L1403" s="647" t="s">
        <v>2065</v>
      </c>
      <c r="M1403" s="576"/>
      <c r="N1403" s="576">
        <f t="shared" si="350"/>
        <v>0</v>
      </c>
      <c r="O1403" s="577">
        <f t="shared" si="355"/>
        <v>0</v>
      </c>
      <c r="P1403" s="578">
        <f t="shared" si="356"/>
        <v>0</v>
      </c>
      <c r="Q1403" s="765"/>
      <c r="R1403" s="576">
        <f t="shared" si="352"/>
        <v>0</v>
      </c>
      <c r="S1403" s="576">
        <f t="shared" si="352"/>
        <v>0</v>
      </c>
      <c r="T1403" s="577">
        <f t="shared" si="353"/>
        <v>0</v>
      </c>
      <c r="U1403" s="578">
        <f t="shared" si="354"/>
        <v>0</v>
      </c>
      <c r="V1403" s="579"/>
      <c r="W1403" s="566"/>
      <c r="X1403" s="586" t="str">
        <f t="shared" si="346"/>
        <v/>
      </c>
      <c r="Y1403" s="586" t="str">
        <f t="shared" si="351"/>
        <v/>
      </c>
      <c r="Z1403" s="586" t="str">
        <f t="shared" si="349"/>
        <v/>
      </c>
    </row>
    <row r="1404" spans="1:26" ht="23.25" hidden="1" thickBot="1" x14ac:dyDescent="0.25">
      <c r="A1404" s="567">
        <v>91977</v>
      </c>
      <c r="B1404" s="644">
        <v>91977</v>
      </c>
      <c r="C1404" s="645" t="s">
        <v>670</v>
      </c>
      <c r="D1404" s="422" t="s">
        <v>1255</v>
      </c>
      <c r="E1404" s="423"/>
      <c r="F1404" s="424"/>
      <c r="G1404" s="425"/>
      <c r="H1404" s="651"/>
      <c r="I1404" s="420">
        <v>128.63999999999999</v>
      </c>
      <c r="J1404" s="420">
        <f t="shared" si="348"/>
        <v>128.63999999999999</v>
      </c>
      <c r="K1404" s="421">
        <f t="shared" si="347"/>
        <v>152.84</v>
      </c>
      <c r="L1404" s="647" t="s">
        <v>2065</v>
      </c>
      <c r="M1404" s="576"/>
      <c r="N1404" s="576">
        <f t="shared" si="350"/>
        <v>0</v>
      </c>
      <c r="O1404" s="577">
        <f t="shared" si="355"/>
        <v>0</v>
      </c>
      <c r="P1404" s="578">
        <f t="shared" si="356"/>
        <v>0</v>
      </c>
      <c r="Q1404" s="765"/>
      <c r="R1404" s="576">
        <f t="shared" si="352"/>
        <v>0</v>
      </c>
      <c r="S1404" s="576">
        <f t="shared" si="352"/>
        <v>0</v>
      </c>
      <c r="T1404" s="577">
        <f t="shared" si="353"/>
        <v>0</v>
      </c>
      <c r="U1404" s="578">
        <f t="shared" si="354"/>
        <v>0</v>
      </c>
      <c r="V1404" s="579"/>
      <c r="W1404" s="566"/>
      <c r="X1404" s="586" t="str">
        <f t="shared" si="346"/>
        <v/>
      </c>
      <c r="Y1404" s="586" t="str">
        <f t="shared" si="351"/>
        <v/>
      </c>
      <c r="Z1404" s="586" t="str">
        <f t="shared" si="349"/>
        <v/>
      </c>
    </row>
    <row r="1405" spans="1:26" ht="23.25" hidden="1" thickBot="1" x14ac:dyDescent="0.25">
      <c r="A1405" s="567">
        <v>92022</v>
      </c>
      <c r="B1405" s="644">
        <v>92022</v>
      </c>
      <c r="C1405" s="645" t="s">
        <v>670</v>
      </c>
      <c r="D1405" s="422" t="s">
        <v>1256</v>
      </c>
      <c r="E1405" s="423"/>
      <c r="F1405" s="424"/>
      <c r="G1405" s="425"/>
      <c r="H1405" s="651"/>
      <c r="I1405" s="420">
        <v>45.13</v>
      </c>
      <c r="J1405" s="420">
        <f t="shared" si="348"/>
        <v>45.13</v>
      </c>
      <c r="K1405" s="421">
        <f t="shared" si="347"/>
        <v>53.62</v>
      </c>
      <c r="L1405" s="647" t="s">
        <v>2065</v>
      </c>
      <c r="M1405" s="576"/>
      <c r="N1405" s="576">
        <f t="shared" si="350"/>
        <v>0</v>
      </c>
      <c r="O1405" s="577">
        <f t="shared" si="355"/>
        <v>0</v>
      </c>
      <c r="P1405" s="578">
        <f t="shared" si="356"/>
        <v>0</v>
      </c>
      <c r="Q1405" s="765"/>
      <c r="R1405" s="576">
        <f t="shared" si="352"/>
        <v>0</v>
      </c>
      <c r="S1405" s="576">
        <f t="shared" si="352"/>
        <v>0</v>
      </c>
      <c r="T1405" s="577">
        <f t="shared" si="353"/>
        <v>0</v>
      </c>
      <c r="U1405" s="578">
        <f t="shared" si="354"/>
        <v>0</v>
      </c>
      <c r="V1405" s="579"/>
      <c r="W1405" s="566"/>
      <c r="X1405" s="586" t="str">
        <f t="shared" ref="X1405:X1468" si="357">IF(W1405="X","x",IF(W1405="xx","x",IF(W1405="xy","x",IF(W1405="y","x",IF(OR(P1405&gt;0,U1405&gt;0),"x","")))))</f>
        <v/>
      </c>
      <c r="Y1405" s="586" t="str">
        <f t="shared" si="351"/>
        <v/>
      </c>
      <c r="Z1405" s="586" t="str">
        <f t="shared" si="349"/>
        <v/>
      </c>
    </row>
    <row r="1406" spans="1:26" ht="23.25" hidden="1" thickBot="1" x14ac:dyDescent="0.25">
      <c r="A1406" s="567">
        <v>92023</v>
      </c>
      <c r="B1406" s="644">
        <v>92023</v>
      </c>
      <c r="C1406" s="645" t="s">
        <v>670</v>
      </c>
      <c r="D1406" s="422" t="s">
        <v>1257</v>
      </c>
      <c r="E1406" s="423"/>
      <c r="F1406" s="424"/>
      <c r="G1406" s="425"/>
      <c r="H1406" s="651"/>
      <c r="I1406" s="420">
        <v>54.86</v>
      </c>
      <c r="J1406" s="420">
        <f t="shared" si="348"/>
        <v>54.86</v>
      </c>
      <c r="K1406" s="421">
        <f t="shared" si="347"/>
        <v>65.180000000000007</v>
      </c>
      <c r="L1406" s="647" t="s">
        <v>2065</v>
      </c>
      <c r="M1406" s="576"/>
      <c r="N1406" s="576">
        <f t="shared" si="350"/>
        <v>0</v>
      </c>
      <c r="O1406" s="577">
        <f t="shared" si="355"/>
        <v>0</v>
      </c>
      <c r="P1406" s="578">
        <f t="shared" si="356"/>
        <v>0</v>
      </c>
      <c r="Q1406" s="765"/>
      <c r="R1406" s="576">
        <f t="shared" si="352"/>
        <v>0</v>
      </c>
      <c r="S1406" s="576">
        <f t="shared" si="352"/>
        <v>0</v>
      </c>
      <c r="T1406" s="577">
        <f t="shared" si="353"/>
        <v>0</v>
      </c>
      <c r="U1406" s="578">
        <f t="shared" si="354"/>
        <v>0</v>
      </c>
      <c r="V1406" s="579"/>
      <c r="W1406" s="566"/>
      <c r="X1406" s="586" t="str">
        <f t="shared" si="357"/>
        <v/>
      </c>
      <c r="Y1406" s="586" t="str">
        <f t="shared" si="351"/>
        <v/>
      </c>
      <c r="Z1406" s="586" t="str">
        <f t="shared" si="349"/>
        <v/>
      </c>
    </row>
    <row r="1407" spans="1:26" ht="23.25" hidden="1" thickBot="1" x14ac:dyDescent="0.25">
      <c r="A1407" s="567">
        <v>92024</v>
      </c>
      <c r="B1407" s="644">
        <v>92024</v>
      </c>
      <c r="C1407" s="645" t="s">
        <v>670</v>
      </c>
      <c r="D1407" s="422" t="s">
        <v>1258</v>
      </c>
      <c r="E1407" s="423"/>
      <c r="F1407" s="424"/>
      <c r="G1407" s="425"/>
      <c r="H1407" s="651"/>
      <c r="I1407" s="420">
        <v>68.989999999999995</v>
      </c>
      <c r="J1407" s="420">
        <f t="shared" si="348"/>
        <v>68.989999999999995</v>
      </c>
      <c r="K1407" s="421">
        <f t="shared" si="347"/>
        <v>81.97</v>
      </c>
      <c r="L1407" s="647" t="s">
        <v>2065</v>
      </c>
      <c r="M1407" s="576"/>
      <c r="N1407" s="576">
        <f t="shared" si="350"/>
        <v>0</v>
      </c>
      <c r="O1407" s="577">
        <f t="shared" si="355"/>
        <v>0</v>
      </c>
      <c r="P1407" s="578">
        <f t="shared" si="356"/>
        <v>0</v>
      </c>
      <c r="Q1407" s="765"/>
      <c r="R1407" s="576">
        <f t="shared" si="352"/>
        <v>0</v>
      </c>
      <c r="S1407" s="576">
        <f t="shared" si="352"/>
        <v>0</v>
      </c>
      <c r="T1407" s="577">
        <f t="shared" si="353"/>
        <v>0</v>
      </c>
      <c r="U1407" s="578">
        <f t="shared" si="354"/>
        <v>0</v>
      </c>
      <c r="V1407" s="579"/>
      <c r="W1407" s="566"/>
      <c r="X1407" s="586" t="str">
        <f t="shared" si="357"/>
        <v/>
      </c>
      <c r="Y1407" s="586" t="str">
        <f t="shared" si="351"/>
        <v/>
      </c>
      <c r="Z1407" s="586" t="str">
        <f t="shared" si="349"/>
        <v/>
      </c>
    </row>
    <row r="1408" spans="1:26" ht="23.25" hidden="1" thickBot="1" x14ac:dyDescent="0.25">
      <c r="A1408" s="567">
        <v>92025</v>
      </c>
      <c r="B1408" s="644">
        <v>92025</v>
      </c>
      <c r="C1408" s="645" t="s">
        <v>670</v>
      </c>
      <c r="D1408" s="422" t="s">
        <v>1259</v>
      </c>
      <c r="E1408" s="423"/>
      <c r="F1408" s="424"/>
      <c r="G1408" s="425"/>
      <c r="H1408" s="651"/>
      <c r="I1408" s="420">
        <v>78.72</v>
      </c>
      <c r="J1408" s="420">
        <f t="shared" si="348"/>
        <v>78.72</v>
      </c>
      <c r="K1408" s="421">
        <f t="shared" si="347"/>
        <v>93.53</v>
      </c>
      <c r="L1408" s="647" t="s">
        <v>2065</v>
      </c>
      <c r="M1408" s="576"/>
      <c r="N1408" s="576">
        <f t="shared" si="350"/>
        <v>0</v>
      </c>
      <c r="O1408" s="577">
        <f t="shared" si="355"/>
        <v>0</v>
      </c>
      <c r="P1408" s="578">
        <f t="shared" si="356"/>
        <v>0</v>
      </c>
      <c r="Q1408" s="765"/>
      <c r="R1408" s="576">
        <f t="shared" si="352"/>
        <v>0</v>
      </c>
      <c r="S1408" s="576">
        <f t="shared" si="352"/>
        <v>0</v>
      </c>
      <c r="T1408" s="577">
        <f t="shared" si="353"/>
        <v>0</v>
      </c>
      <c r="U1408" s="578">
        <f t="shared" si="354"/>
        <v>0</v>
      </c>
      <c r="V1408" s="579"/>
      <c r="W1408" s="566"/>
      <c r="X1408" s="586" t="str">
        <f t="shared" si="357"/>
        <v/>
      </c>
      <c r="Y1408" s="586" t="str">
        <f t="shared" si="351"/>
        <v/>
      </c>
      <c r="Z1408" s="586" t="str">
        <f t="shared" si="349"/>
        <v/>
      </c>
    </row>
    <row r="1409" spans="1:26" ht="23.25" hidden="1" thickBot="1" x14ac:dyDescent="0.25">
      <c r="A1409" s="567">
        <v>92026</v>
      </c>
      <c r="B1409" s="644">
        <v>92026</v>
      </c>
      <c r="C1409" s="645" t="s">
        <v>670</v>
      </c>
      <c r="D1409" s="422" t="s">
        <v>1260</v>
      </c>
      <c r="E1409" s="423"/>
      <c r="F1409" s="424"/>
      <c r="G1409" s="425"/>
      <c r="H1409" s="651"/>
      <c r="I1409" s="420">
        <v>63.33</v>
      </c>
      <c r="J1409" s="420">
        <f t="shared" si="348"/>
        <v>63.33</v>
      </c>
      <c r="K1409" s="421">
        <f t="shared" si="347"/>
        <v>75.239999999999995</v>
      </c>
      <c r="L1409" s="647" t="s">
        <v>2065</v>
      </c>
      <c r="M1409" s="576"/>
      <c r="N1409" s="576">
        <f t="shared" si="350"/>
        <v>0</v>
      </c>
      <c r="O1409" s="577">
        <f t="shared" si="355"/>
        <v>0</v>
      </c>
      <c r="P1409" s="578">
        <f t="shared" si="356"/>
        <v>0</v>
      </c>
      <c r="Q1409" s="765"/>
      <c r="R1409" s="576">
        <f t="shared" si="352"/>
        <v>0</v>
      </c>
      <c r="S1409" s="576">
        <f t="shared" si="352"/>
        <v>0</v>
      </c>
      <c r="T1409" s="577">
        <f t="shared" si="353"/>
        <v>0</v>
      </c>
      <c r="U1409" s="578">
        <f t="shared" si="354"/>
        <v>0</v>
      </c>
      <c r="V1409" s="579"/>
      <c r="W1409" s="566"/>
      <c r="X1409" s="586" t="str">
        <f t="shared" si="357"/>
        <v/>
      </c>
      <c r="Y1409" s="586" t="str">
        <f t="shared" si="351"/>
        <v/>
      </c>
      <c r="Z1409" s="586" t="str">
        <f t="shared" si="349"/>
        <v/>
      </c>
    </row>
    <row r="1410" spans="1:26" ht="23.25" hidden="1" thickBot="1" x14ac:dyDescent="0.25">
      <c r="A1410" s="567">
        <v>92027</v>
      </c>
      <c r="B1410" s="644">
        <v>92027</v>
      </c>
      <c r="C1410" s="645" t="s">
        <v>670</v>
      </c>
      <c r="D1410" s="422" t="s">
        <v>1261</v>
      </c>
      <c r="E1410" s="423"/>
      <c r="F1410" s="424"/>
      <c r="G1410" s="425"/>
      <c r="H1410" s="651"/>
      <c r="I1410" s="420">
        <v>73.06</v>
      </c>
      <c r="J1410" s="420">
        <f t="shared" si="348"/>
        <v>73.06</v>
      </c>
      <c r="K1410" s="421">
        <f t="shared" si="347"/>
        <v>86.8</v>
      </c>
      <c r="L1410" s="647" t="s">
        <v>2065</v>
      </c>
      <c r="M1410" s="576"/>
      <c r="N1410" s="576">
        <f t="shared" si="350"/>
        <v>0</v>
      </c>
      <c r="O1410" s="577">
        <f t="shared" si="355"/>
        <v>0</v>
      </c>
      <c r="P1410" s="578">
        <f t="shared" si="356"/>
        <v>0</v>
      </c>
      <c r="Q1410" s="765"/>
      <c r="R1410" s="576">
        <f t="shared" si="352"/>
        <v>0</v>
      </c>
      <c r="S1410" s="576">
        <f t="shared" si="352"/>
        <v>0</v>
      </c>
      <c r="T1410" s="577">
        <f t="shared" si="353"/>
        <v>0</v>
      </c>
      <c r="U1410" s="578">
        <f t="shared" si="354"/>
        <v>0</v>
      </c>
      <c r="V1410" s="579"/>
      <c r="W1410" s="566"/>
      <c r="X1410" s="586" t="str">
        <f t="shared" si="357"/>
        <v/>
      </c>
      <c r="Y1410" s="586" t="str">
        <f t="shared" si="351"/>
        <v/>
      </c>
      <c r="Z1410" s="586" t="str">
        <f t="shared" si="349"/>
        <v/>
      </c>
    </row>
    <row r="1411" spans="1:26" ht="23.25" hidden="1" thickBot="1" x14ac:dyDescent="0.25">
      <c r="A1411" s="567">
        <v>92034</v>
      </c>
      <c r="B1411" s="644">
        <v>92034</v>
      </c>
      <c r="C1411" s="645" t="s">
        <v>670</v>
      </c>
      <c r="D1411" s="422" t="s">
        <v>1262</v>
      </c>
      <c r="E1411" s="423"/>
      <c r="F1411" s="424"/>
      <c r="G1411" s="425"/>
      <c r="H1411" s="651"/>
      <c r="I1411" s="420">
        <v>70.569999999999993</v>
      </c>
      <c r="J1411" s="420">
        <f t="shared" si="348"/>
        <v>70.569999999999993</v>
      </c>
      <c r="K1411" s="421">
        <f t="shared" si="347"/>
        <v>83.84</v>
      </c>
      <c r="L1411" s="647" t="s">
        <v>2065</v>
      </c>
      <c r="M1411" s="576"/>
      <c r="N1411" s="576">
        <f t="shared" si="350"/>
        <v>0</v>
      </c>
      <c r="O1411" s="577">
        <f t="shared" si="355"/>
        <v>0</v>
      </c>
      <c r="P1411" s="578">
        <f t="shared" si="356"/>
        <v>0</v>
      </c>
      <c r="Q1411" s="765"/>
      <c r="R1411" s="576">
        <f t="shared" si="352"/>
        <v>0</v>
      </c>
      <c r="S1411" s="576">
        <f t="shared" si="352"/>
        <v>0</v>
      </c>
      <c r="T1411" s="577">
        <f t="shared" si="353"/>
        <v>0</v>
      </c>
      <c r="U1411" s="578">
        <f t="shared" si="354"/>
        <v>0</v>
      </c>
      <c r="V1411" s="579"/>
      <c r="W1411" s="566"/>
      <c r="X1411" s="586" t="str">
        <f t="shared" si="357"/>
        <v/>
      </c>
      <c r="Y1411" s="586" t="str">
        <f t="shared" si="351"/>
        <v/>
      </c>
      <c r="Z1411" s="586" t="str">
        <f t="shared" si="349"/>
        <v/>
      </c>
    </row>
    <row r="1412" spans="1:26" ht="23.25" hidden="1" thickBot="1" x14ac:dyDescent="0.25">
      <c r="A1412" s="567">
        <v>92035</v>
      </c>
      <c r="B1412" s="644">
        <v>92035</v>
      </c>
      <c r="C1412" s="645" t="s">
        <v>670</v>
      </c>
      <c r="D1412" s="422" t="s">
        <v>1263</v>
      </c>
      <c r="E1412" s="423"/>
      <c r="F1412" s="424"/>
      <c r="G1412" s="425"/>
      <c r="H1412" s="651"/>
      <c r="I1412" s="420">
        <v>80.3</v>
      </c>
      <c r="J1412" s="420">
        <f t="shared" si="348"/>
        <v>80.3</v>
      </c>
      <c r="K1412" s="421">
        <f t="shared" si="347"/>
        <v>95.4</v>
      </c>
      <c r="L1412" s="647" t="s">
        <v>2065</v>
      </c>
      <c r="M1412" s="576"/>
      <c r="N1412" s="576">
        <f t="shared" si="350"/>
        <v>0</v>
      </c>
      <c r="O1412" s="577">
        <f t="shared" si="355"/>
        <v>0</v>
      </c>
      <c r="P1412" s="578">
        <f t="shared" si="356"/>
        <v>0</v>
      </c>
      <c r="Q1412" s="765"/>
      <c r="R1412" s="576">
        <f t="shared" si="352"/>
        <v>0</v>
      </c>
      <c r="S1412" s="576">
        <f t="shared" si="352"/>
        <v>0</v>
      </c>
      <c r="T1412" s="577">
        <f t="shared" si="353"/>
        <v>0</v>
      </c>
      <c r="U1412" s="578">
        <f t="shared" si="354"/>
        <v>0</v>
      </c>
      <c r="V1412" s="579"/>
      <c r="W1412" s="566"/>
      <c r="X1412" s="586" t="str">
        <f t="shared" si="357"/>
        <v/>
      </c>
      <c r="Y1412" s="586" t="str">
        <f t="shared" si="351"/>
        <v/>
      </c>
      <c r="Z1412" s="586" t="str">
        <f t="shared" si="349"/>
        <v/>
      </c>
    </row>
    <row r="1413" spans="1:26" ht="23.25" hidden="1" thickBot="1" x14ac:dyDescent="0.25">
      <c r="A1413" s="567">
        <v>91954</v>
      </c>
      <c r="B1413" s="644">
        <v>91954</v>
      </c>
      <c r="C1413" s="645" t="s">
        <v>670</v>
      </c>
      <c r="D1413" s="422" t="s">
        <v>1264</v>
      </c>
      <c r="E1413" s="423"/>
      <c r="F1413" s="424"/>
      <c r="G1413" s="425"/>
      <c r="H1413" s="651"/>
      <c r="I1413" s="420">
        <v>28.57</v>
      </c>
      <c r="J1413" s="420">
        <f t="shared" si="348"/>
        <v>28.57</v>
      </c>
      <c r="K1413" s="421">
        <f t="shared" si="347"/>
        <v>33.94</v>
      </c>
      <c r="L1413" s="647" t="s">
        <v>2065</v>
      </c>
      <c r="M1413" s="576"/>
      <c r="N1413" s="576">
        <f t="shared" si="350"/>
        <v>0</v>
      </c>
      <c r="O1413" s="577">
        <f t="shared" si="355"/>
        <v>0</v>
      </c>
      <c r="P1413" s="578">
        <f t="shared" si="356"/>
        <v>0</v>
      </c>
      <c r="Q1413" s="765"/>
      <c r="R1413" s="576">
        <f t="shared" si="352"/>
        <v>0</v>
      </c>
      <c r="S1413" s="576">
        <f t="shared" si="352"/>
        <v>0</v>
      </c>
      <c r="T1413" s="577">
        <f t="shared" si="353"/>
        <v>0</v>
      </c>
      <c r="U1413" s="578">
        <f t="shared" si="354"/>
        <v>0</v>
      </c>
      <c r="V1413" s="579"/>
      <c r="W1413" s="566"/>
      <c r="X1413" s="586" t="str">
        <f t="shared" si="357"/>
        <v/>
      </c>
      <c r="Y1413" s="586" t="str">
        <f t="shared" si="351"/>
        <v/>
      </c>
      <c r="Z1413" s="586" t="str">
        <f t="shared" si="349"/>
        <v/>
      </c>
    </row>
    <row r="1414" spans="1:26" ht="23.25" hidden="1" thickBot="1" x14ac:dyDescent="0.25">
      <c r="A1414" s="567">
        <v>91955</v>
      </c>
      <c r="B1414" s="644">
        <v>91955</v>
      </c>
      <c r="C1414" s="645" t="s">
        <v>670</v>
      </c>
      <c r="D1414" s="422" t="s">
        <v>1265</v>
      </c>
      <c r="E1414" s="423"/>
      <c r="F1414" s="424"/>
      <c r="G1414" s="425"/>
      <c r="H1414" s="651"/>
      <c r="I1414" s="420">
        <v>38.299999999999997</v>
      </c>
      <c r="J1414" s="420">
        <f t="shared" si="348"/>
        <v>38.299999999999997</v>
      </c>
      <c r="K1414" s="421">
        <f t="shared" si="347"/>
        <v>45.5</v>
      </c>
      <c r="L1414" s="647" t="s">
        <v>2065</v>
      </c>
      <c r="M1414" s="576"/>
      <c r="N1414" s="576">
        <f t="shared" si="350"/>
        <v>0</v>
      </c>
      <c r="O1414" s="577">
        <f t="shared" si="355"/>
        <v>0</v>
      </c>
      <c r="P1414" s="578">
        <f t="shared" si="356"/>
        <v>0</v>
      </c>
      <c r="Q1414" s="765"/>
      <c r="R1414" s="576">
        <f t="shared" si="352"/>
        <v>0</v>
      </c>
      <c r="S1414" s="576">
        <f t="shared" si="352"/>
        <v>0</v>
      </c>
      <c r="T1414" s="577">
        <f t="shared" si="353"/>
        <v>0</v>
      </c>
      <c r="U1414" s="578">
        <f t="shared" si="354"/>
        <v>0</v>
      </c>
      <c r="V1414" s="579"/>
      <c r="W1414" s="566"/>
      <c r="X1414" s="586" t="str">
        <f t="shared" si="357"/>
        <v/>
      </c>
      <c r="Y1414" s="586" t="str">
        <f t="shared" si="351"/>
        <v/>
      </c>
      <c r="Z1414" s="586" t="str">
        <f t="shared" si="349"/>
        <v/>
      </c>
    </row>
    <row r="1415" spans="1:26" ht="23.25" hidden="1" thickBot="1" x14ac:dyDescent="0.25">
      <c r="A1415" s="567">
        <v>91960</v>
      </c>
      <c r="B1415" s="644">
        <v>91960</v>
      </c>
      <c r="C1415" s="645" t="s">
        <v>670</v>
      </c>
      <c r="D1415" s="422" t="s">
        <v>1266</v>
      </c>
      <c r="E1415" s="423"/>
      <c r="F1415" s="424"/>
      <c r="G1415" s="425"/>
      <c r="H1415" s="651"/>
      <c r="I1415" s="420">
        <v>53.95</v>
      </c>
      <c r="J1415" s="420">
        <f t="shared" si="348"/>
        <v>53.95</v>
      </c>
      <c r="K1415" s="421">
        <f t="shared" si="347"/>
        <v>64.099999999999994</v>
      </c>
      <c r="L1415" s="647" t="s">
        <v>2065</v>
      </c>
      <c r="M1415" s="576"/>
      <c r="N1415" s="576">
        <f t="shared" si="350"/>
        <v>0</v>
      </c>
      <c r="O1415" s="577">
        <f t="shared" si="355"/>
        <v>0</v>
      </c>
      <c r="P1415" s="578">
        <f t="shared" si="356"/>
        <v>0</v>
      </c>
      <c r="Q1415" s="765"/>
      <c r="R1415" s="576">
        <f t="shared" si="352"/>
        <v>0</v>
      </c>
      <c r="S1415" s="576">
        <f t="shared" si="352"/>
        <v>0</v>
      </c>
      <c r="T1415" s="577">
        <f t="shared" si="353"/>
        <v>0</v>
      </c>
      <c r="U1415" s="578">
        <f t="shared" si="354"/>
        <v>0</v>
      </c>
      <c r="V1415" s="579"/>
      <c r="W1415" s="566"/>
      <c r="X1415" s="586" t="str">
        <f t="shared" si="357"/>
        <v/>
      </c>
      <c r="Y1415" s="586" t="str">
        <f t="shared" si="351"/>
        <v/>
      </c>
      <c r="Z1415" s="586" t="str">
        <f t="shared" si="349"/>
        <v/>
      </c>
    </row>
    <row r="1416" spans="1:26" ht="23.25" hidden="1" thickBot="1" x14ac:dyDescent="0.25">
      <c r="A1416" s="567">
        <v>91961</v>
      </c>
      <c r="B1416" s="644">
        <v>91961</v>
      </c>
      <c r="C1416" s="645" t="s">
        <v>670</v>
      </c>
      <c r="D1416" s="422" t="s">
        <v>1267</v>
      </c>
      <c r="E1416" s="423"/>
      <c r="F1416" s="424"/>
      <c r="G1416" s="425"/>
      <c r="H1416" s="651"/>
      <c r="I1416" s="420">
        <v>63.68</v>
      </c>
      <c r="J1416" s="420">
        <f t="shared" si="348"/>
        <v>63.68</v>
      </c>
      <c r="K1416" s="421">
        <f t="shared" si="347"/>
        <v>75.66</v>
      </c>
      <c r="L1416" s="647" t="s">
        <v>2065</v>
      </c>
      <c r="M1416" s="576"/>
      <c r="N1416" s="576">
        <f t="shared" si="350"/>
        <v>0</v>
      </c>
      <c r="O1416" s="577">
        <f t="shared" si="355"/>
        <v>0</v>
      </c>
      <c r="P1416" s="578">
        <f t="shared" si="356"/>
        <v>0</v>
      </c>
      <c r="Q1416" s="765"/>
      <c r="R1416" s="576">
        <f t="shared" si="352"/>
        <v>0</v>
      </c>
      <c r="S1416" s="576">
        <f t="shared" si="352"/>
        <v>0</v>
      </c>
      <c r="T1416" s="577">
        <f t="shared" si="353"/>
        <v>0</v>
      </c>
      <c r="U1416" s="578">
        <f t="shared" si="354"/>
        <v>0</v>
      </c>
      <c r="V1416" s="579"/>
      <c r="W1416" s="566"/>
      <c r="X1416" s="586" t="str">
        <f t="shared" si="357"/>
        <v/>
      </c>
      <c r="Y1416" s="586" t="str">
        <f t="shared" si="351"/>
        <v/>
      </c>
      <c r="Z1416" s="586" t="str">
        <f t="shared" si="349"/>
        <v/>
      </c>
    </row>
    <row r="1417" spans="1:26" ht="23.25" hidden="1" thickBot="1" x14ac:dyDescent="0.25">
      <c r="A1417" s="567">
        <v>91968</v>
      </c>
      <c r="B1417" s="644">
        <v>91968</v>
      </c>
      <c r="C1417" s="645" t="s">
        <v>670</v>
      </c>
      <c r="D1417" s="422" t="s">
        <v>1268</v>
      </c>
      <c r="E1417" s="423"/>
      <c r="F1417" s="424"/>
      <c r="G1417" s="425"/>
      <c r="H1417" s="651"/>
      <c r="I1417" s="420">
        <v>79.349999999999994</v>
      </c>
      <c r="J1417" s="420">
        <f t="shared" si="348"/>
        <v>79.349999999999994</v>
      </c>
      <c r="K1417" s="421">
        <f t="shared" ref="K1417:K1480" si="358">IF(ISBLANK(I1417),0,ROUND(J1417*(1+$F$10)*(1+$F$11*E1417),2))</f>
        <v>94.28</v>
      </c>
      <c r="L1417" s="647" t="s">
        <v>2065</v>
      </c>
      <c r="M1417" s="576"/>
      <c r="N1417" s="576">
        <f t="shared" si="350"/>
        <v>0</v>
      </c>
      <c r="O1417" s="577">
        <f t="shared" si="355"/>
        <v>0</v>
      </c>
      <c r="P1417" s="578">
        <f t="shared" si="356"/>
        <v>0</v>
      </c>
      <c r="Q1417" s="765"/>
      <c r="R1417" s="576">
        <f t="shared" si="352"/>
        <v>0</v>
      </c>
      <c r="S1417" s="576">
        <f t="shared" si="352"/>
        <v>0</v>
      </c>
      <c r="T1417" s="577">
        <f t="shared" si="353"/>
        <v>0</v>
      </c>
      <c r="U1417" s="578">
        <f t="shared" si="354"/>
        <v>0</v>
      </c>
      <c r="V1417" s="579"/>
      <c r="W1417" s="566"/>
      <c r="X1417" s="586" t="str">
        <f t="shared" si="357"/>
        <v/>
      </c>
      <c r="Y1417" s="586" t="str">
        <f t="shared" si="351"/>
        <v/>
      </c>
      <c r="Z1417" s="586" t="str">
        <f t="shared" si="349"/>
        <v/>
      </c>
    </row>
    <row r="1418" spans="1:26" ht="23.25" hidden="1" thickBot="1" x14ac:dyDescent="0.25">
      <c r="A1418" s="567">
        <v>91969</v>
      </c>
      <c r="B1418" s="644">
        <v>91969</v>
      </c>
      <c r="C1418" s="645" t="s">
        <v>670</v>
      </c>
      <c r="D1418" s="422" t="s">
        <v>1269</v>
      </c>
      <c r="E1418" s="423"/>
      <c r="F1418" s="424"/>
      <c r="G1418" s="425"/>
      <c r="H1418" s="651"/>
      <c r="I1418" s="420">
        <v>89.08</v>
      </c>
      <c r="J1418" s="420">
        <f t="shared" si="348"/>
        <v>89.08</v>
      </c>
      <c r="K1418" s="421">
        <f t="shared" si="358"/>
        <v>105.84</v>
      </c>
      <c r="L1418" s="647" t="s">
        <v>2065</v>
      </c>
      <c r="M1418" s="576"/>
      <c r="N1418" s="576">
        <f t="shared" si="350"/>
        <v>0</v>
      </c>
      <c r="O1418" s="577">
        <f t="shared" si="355"/>
        <v>0</v>
      </c>
      <c r="P1418" s="578">
        <f t="shared" si="356"/>
        <v>0</v>
      </c>
      <c r="Q1418" s="765"/>
      <c r="R1418" s="576">
        <f t="shared" si="352"/>
        <v>0</v>
      </c>
      <c r="S1418" s="576">
        <f t="shared" si="352"/>
        <v>0</v>
      </c>
      <c r="T1418" s="577">
        <f t="shared" si="353"/>
        <v>0</v>
      </c>
      <c r="U1418" s="578">
        <f t="shared" si="354"/>
        <v>0</v>
      </c>
      <c r="V1418" s="579"/>
      <c r="W1418" s="566"/>
      <c r="X1418" s="586" t="str">
        <f t="shared" si="357"/>
        <v/>
      </c>
      <c r="Y1418" s="586" t="str">
        <f t="shared" si="351"/>
        <v/>
      </c>
      <c r="Z1418" s="586" t="str">
        <f t="shared" si="349"/>
        <v/>
      </c>
    </row>
    <row r="1419" spans="1:26" ht="23.25" hidden="1" thickBot="1" x14ac:dyDescent="0.25">
      <c r="A1419" s="567">
        <v>92028</v>
      </c>
      <c r="B1419" s="644">
        <v>92028</v>
      </c>
      <c r="C1419" s="645" t="s">
        <v>670</v>
      </c>
      <c r="D1419" s="422" t="s">
        <v>1270</v>
      </c>
      <c r="E1419" s="423"/>
      <c r="F1419" s="424"/>
      <c r="G1419" s="425"/>
      <c r="H1419" s="651"/>
      <c r="I1419" s="420">
        <v>52.37</v>
      </c>
      <c r="J1419" s="420">
        <f t="shared" si="348"/>
        <v>52.37</v>
      </c>
      <c r="K1419" s="421">
        <f t="shared" si="358"/>
        <v>62.22</v>
      </c>
      <c r="L1419" s="647" t="s">
        <v>2065</v>
      </c>
      <c r="M1419" s="576"/>
      <c r="N1419" s="576">
        <f t="shared" si="350"/>
        <v>0</v>
      </c>
      <c r="O1419" s="577">
        <f t="shared" si="355"/>
        <v>0</v>
      </c>
      <c r="P1419" s="578">
        <f t="shared" si="356"/>
        <v>0</v>
      </c>
      <c r="Q1419" s="765"/>
      <c r="R1419" s="576">
        <f t="shared" si="352"/>
        <v>0</v>
      </c>
      <c r="S1419" s="576">
        <f t="shared" si="352"/>
        <v>0</v>
      </c>
      <c r="T1419" s="577">
        <f t="shared" si="353"/>
        <v>0</v>
      </c>
      <c r="U1419" s="578">
        <f t="shared" si="354"/>
        <v>0</v>
      </c>
      <c r="V1419" s="579"/>
      <c r="W1419" s="566"/>
      <c r="X1419" s="586" t="str">
        <f t="shared" si="357"/>
        <v/>
      </c>
      <c r="Y1419" s="586" t="str">
        <f t="shared" si="351"/>
        <v/>
      </c>
      <c r="Z1419" s="586" t="str">
        <f t="shared" si="349"/>
        <v/>
      </c>
    </row>
    <row r="1420" spans="1:26" ht="23.25" hidden="1" thickBot="1" x14ac:dyDescent="0.25">
      <c r="A1420" s="567">
        <v>92029</v>
      </c>
      <c r="B1420" s="644">
        <v>92029</v>
      </c>
      <c r="C1420" s="645" t="s">
        <v>670</v>
      </c>
      <c r="D1420" s="422" t="s">
        <v>1271</v>
      </c>
      <c r="E1420" s="423"/>
      <c r="F1420" s="424"/>
      <c r="G1420" s="425"/>
      <c r="H1420" s="651"/>
      <c r="I1420" s="420">
        <v>62.1</v>
      </c>
      <c r="J1420" s="420">
        <f t="shared" si="348"/>
        <v>62.1</v>
      </c>
      <c r="K1420" s="421">
        <f t="shared" si="358"/>
        <v>73.78</v>
      </c>
      <c r="L1420" s="647" t="s">
        <v>2065</v>
      </c>
      <c r="M1420" s="576"/>
      <c r="N1420" s="576">
        <f t="shared" si="350"/>
        <v>0</v>
      </c>
      <c r="O1420" s="577">
        <f t="shared" si="355"/>
        <v>0</v>
      </c>
      <c r="P1420" s="578">
        <f t="shared" si="356"/>
        <v>0</v>
      </c>
      <c r="Q1420" s="765"/>
      <c r="R1420" s="576">
        <f t="shared" si="352"/>
        <v>0</v>
      </c>
      <c r="S1420" s="576">
        <f t="shared" si="352"/>
        <v>0</v>
      </c>
      <c r="T1420" s="577">
        <f t="shared" si="353"/>
        <v>0</v>
      </c>
      <c r="U1420" s="578">
        <f t="shared" si="354"/>
        <v>0</v>
      </c>
      <c r="V1420" s="579"/>
      <c r="W1420" s="566"/>
      <c r="X1420" s="586" t="str">
        <f t="shared" si="357"/>
        <v/>
      </c>
      <c r="Y1420" s="586" t="str">
        <f t="shared" si="351"/>
        <v/>
      </c>
      <c r="Z1420" s="586" t="str">
        <f t="shared" si="349"/>
        <v/>
      </c>
    </row>
    <row r="1421" spans="1:26" ht="23.25" hidden="1" thickBot="1" x14ac:dyDescent="0.25">
      <c r="A1421" s="567">
        <v>92030</v>
      </c>
      <c r="B1421" s="644">
        <v>92030</v>
      </c>
      <c r="C1421" s="645" t="s">
        <v>670</v>
      </c>
      <c r="D1421" s="422" t="s">
        <v>1272</v>
      </c>
      <c r="E1421" s="423"/>
      <c r="F1421" s="424"/>
      <c r="G1421" s="425"/>
      <c r="H1421" s="651"/>
      <c r="I1421" s="420">
        <v>76.19</v>
      </c>
      <c r="J1421" s="420">
        <f t="shared" si="348"/>
        <v>76.19</v>
      </c>
      <c r="K1421" s="421">
        <f t="shared" si="358"/>
        <v>90.52</v>
      </c>
      <c r="L1421" s="647" t="s">
        <v>2065</v>
      </c>
      <c r="M1421" s="576"/>
      <c r="N1421" s="576">
        <f t="shared" si="350"/>
        <v>0</v>
      </c>
      <c r="O1421" s="577">
        <f t="shared" si="355"/>
        <v>0</v>
      </c>
      <c r="P1421" s="578">
        <f t="shared" si="356"/>
        <v>0</v>
      </c>
      <c r="Q1421" s="765"/>
      <c r="R1421" s="576">
        <f t="shared" si="352"/>
        <v>0</v>
      </c>
      <c r="S1421" s="576">
        <f t="shared" si="352"/>
        <v>0</v>
      </c>
      <c r="T1421" s="577">
        <f t="shared" si="353"/>
        <v>0</v>
      </c>
      <c r="U1421" s="578">
        <f t="shared" si="354"/>
        <v>0</v>
      </c>
      <c r="V1421" s="579"/>
      <c r="W1421" s="566"/>
      <c r="X1421" s="586" t="str">
        <f t="shared" si="357"/>
        <v/>
      </c>
      <c r="Y1421" s="586" t="str">
        <f t="shared" si="351"/>
        <v/>
      </c>
      <c r="Z1421" s="586" t="str">
        <f t="shared" si="349"/>
        <v/>
      </c>
    </row>
    <row r="1422" spans="1:26" ht="23.25" hidden="1" thickBot="1" x14ac:dyDescent="0.25">
      <c r="A1422" s="567">
        <v>92031</v>
      </c>
      <c r="B1422" s="644">
        <v>92031</v>
      </c>
      <c r="C1422" s="645" t="s">
        <v>670</v>
      </c>
      <c r="D1422" s="422" t="s">
        <v>1273</v>
      </c>
      <c r="E1422" s="423"/>
      <c r="F1422" s="424"/>
      <c r="G1422" s="425"/>
      <c r="H1422" s="651"/>
      <c r="I1422" s="420">
        <v>85.92</v>
      </c>
      <c r="J1422" s="420">
        <f t="shared" si="348"/>
        <v>85.92</v>
      </c>
      <c r="K1422" s="421">
        <f t="shared" si="358"/>
        <v>102.08</v>
      </c>
      <c r="L1422" s="647" t="s">
        <v>2065</v>
      </c>
      <c r="M1422" s="576"/>
      <c r="N1422" s="576">
        <f t="shared" si="350"/>
        <v>0</v>
      </c>
      <c r="O1422" s="577">
        <f t="shared" si="355"/>
        <v>0</v>
      </c>
      <c r="P1422" s="578">
        <f t="shared" si="356"/>
        <v>0</v>
      </c>
      <c r="Q1422" s="765"/>
      <c r="R1422" s="576">
        <f t="shared" si="352"/>
        <v>0</v>
      </c>
      <c r="S1422" s="576">
        <f t="shared" si="352"/>
        <v>0</v>
      </c>
      <c r="T1422" s="577">
        <f t="shared" si="353"/>
        <v>0</v>
      </c>
      <c r="U1422" s="578">
        <f t="shared" si="354"/>
        <v>0</v>
      </c>
      <c r="V1422" s="579"/>
      <c r="W1422" s="566"/>
      <c r="X1422" s="586" t="str">
        <f t="shared" si="357"/>
        <v/>
      </c>
      <c r="Y1422" s="586" t="str">
        <f t="shared" si="351"/>
        <v/>
      </c>
      <c r="Z1422" s="586" t="str">
        <f t="shared" si="349"/>
        <v/>
      </c>
    </row>
    <row r="1423" spans="1:26" ht="23.25" hidden="1" thickBot="1" x14ac:dyDescent="0.25">
      <c r="A1423" s="567">
        <v>92032</v>
      </c>
      <c r="B1423" s="644">
        <v>92032</v>
      </c>
      <c r="C1423" s="645" t="s">
        <v>670</v>
      </c>
      <c r="D1423" s="422" t="s">
        <v>1274</v>
      </c>
      <c r="E1423" s="423"/>
      <c r="F1423" s="424"/>
      <c r="G1423" s="425"/>
      <c r="H1423" s="651"/>
      <c r="I1423" s="420">
        <v>77.77</v>
      </c>
      <c r="J1423" s="420">
        <f t="shared" si="348"/>
        <v>77.77</v>
      </c>
      <c r="K1423" s="421">
        <f t="shared" si="358"/>
        <v>92.4</v>
      </c>
      <c r="L1423" s="647" t="s">
        <v>2065</v>
      </c>
      <c r="M1423" s="576"/>
      <c r="N1423" s="576">
        <f t="shared" si="350"/>
        <v>0</v>
      </c>
      <c r="O1423" s="577">
        <f t="shared" si="355"/>
        <v>0</v>
      </c>
      <c r="P1423" s="578">
        <f t="shared" si="356"/>
        <v>0</v>
      </c>
      <c r="Q1423" s="765"/>
      <c r="R1423" s="576">
        <f t="shared" si="352"/>
        <v>0</v>
      </c>
      <c r="S1423" s="576">
        <f t="shared" si="352"/>
        <v>0</v>
      </c>
      <c r="T1423" s="577">
        <f t="shared" si="353"/>
        <v>0</v>
      </c>
      <c r="U1423" s="578">
        <f t="shared" si="354"/>
        <v>0</v>
      </c>
      <c r="V1423" s="579"/>
      <c r="W1423" s="566"/>
      <c r="X1423" s="586" t="str">
        <f t="shared" si="357"/>
        <v/>
      </c>
      <c r="Y1423" s="586" t="str">
        <f t="shared" si="351"/>
        <v/>
      </c>
      <c r="Z1423" s="586" t="str">
        <f t="shared" si="349"/>
        <v/>
      </c>
    </row>
    <row r="1424" spans="1:26" ht="23.25" hidden="1" thickBot="1" x14ac:dyDescent="0.25">
      <c r="A1424" s="567">
        <v>92033</v>
      </c>
      <c r="B1424" s="644">
        <v>92033</v>
      </c>
      <c r="C1424" s="645" t="s">
        <v>670</v>
      </c>
      <c r="D1424" s="422" t="s">
        <v>1275</v>
      </c>
      <c r="E1424" s="423"/>
      <c r="F1424" s="424"/>
      <c r="G1424" s="425"/>
      <c r="H1424" s="651"/>
      <c r="I1424" s="420">
        <v>87.5</v>
      </c>
      <c r="J1424" s="420">
        <f t="shared" si="348"/>
        <v>87.5</v>
      </c>
      <c r="K1424" s="421">
        <f t="shared" si="358"/>
        <v>103.96</v>
      </c>
      <c r="L1424" s="647" t="s">
        <v>2065</v>
      </c>
      <c r="M1424" s="576"/>
      <c r="N1424" s="576">
        <f t="shared" si="350"/>
        <v>0</v>
      </c>
      <c r="O1424" s="577">
        <f t="shared" si="355"/>
        <v>0</v>
      </c>
      <c r="P1424" s="578">
        <f t="shared" si="356"/>
        <v>0</v>
      </c>
      <c r="Q1424" s="765"/>
      <c r="R1424" s="576">
        <f t="shared" si="352"/>
        <v>0</v>
      </c>
      <c r="S1424" s="576">
        <f t="shared" si="352"/>
        <v>0</v>
      </c>
      <c r="T1424" s="577">
        <f t="shared" si="353"/>
        <v>0</v>
      </c>
      <c r="U1424" s="578">
        <f t="shared" si="354"/>
        <v>0</v>
      </c>
      <c r="V1424" s="579"/>
      <c r="W1424" s="566"/>
      <c r="X1424" s="586" t="str">
        <f t="shared" si="357"/>
        <v/>
      </c>
      <c r="Y1424" s="586" t="str">
        <f t="shared" si="351"/>
        <v/>
      </c>
      <c r="Z1424" s="586" t="str">
        <f t="shared" si="349"/>
        <v/>
      </c>
    </row>
    <row r="1425" spans="1:26" ht="23.25" hidden="1" thickBot="1" x14ac:dyDescent="0.25">
      <c r="A1425" s="567">
        <v>91978</v>
      </c>
      <c r="B1425" s="644">
        <v>91978</v>
      </c>
      <c r="C1425" s="645" t="s">
        <v>670</v>
      </c>
      <c r="D1425" s="422" t="s">
        <v>1276</v>
      </c>
      <c r="E1425" s="423"/>
      <c r="F1425" s="424"/>
      <c r="G1425" s="425"/>
      <c r="H1425" s="651"/>
      <c r="I1425" s="420">
        <v>46.88</v>
      </c>
      <c r="J1425" s="420">
        <f t="shared" si="348"/>
        <v>46.88</v>
      </c>
      <c r="K1425" s="421">
        <f t="shared" si="358"/>
        <v>55.7</v>
      </c>
      <c r="L1425" s="647" t="s">
        <v>2065</v>
      </c>
      <c r="M1425" s="576"/>
      <c r="N1425" s="576">
        <f t="shared" si="350"/>
        <v>0</v>
      </c>
      <c r="O1425" s="577">
        <f t="shared" si="355"/>
        <v>0</v>
      </c>
      <c r="P1425" s="578">
        <f t="shared" si="356"/>
        <v>0</v>
      </c>
      <c r="Q1425" s="765"/>
      <c r="R1425" s="576">
        <f t="shared" si="352"/>
        <v>0</v>
      </c>
      <c r="S1425" s="576">
        <f t="shared" si="352"/>
        <v>0</v>
      </c>
      <c r="T1425" s="577">
        <f t="shared" si="353"/>
        <v>0</v>
      </c>
      <c r="U1425" s="578">
        <f t="shared" si="354"/>
        <v>0</v>
      </c>
      <c r="V1425" s="579"/>
      <c r="W1425" s="566"/>
      <c r="X1425" s="586" t="str">
        <f t="shared" si="357"/>
        <v/>
      </c>
      <c r="Y1425" s="586" t="str">
        <f t="shared" si="351"/>
        <v/>
      </c>
      <c r="Z1425" s="586" t="str">
        <f t="shared" si="349"/>
        <v/>
      </c>
    </row>
    <row r="1426" spans="1:26" ht="23.25" hidden="1" thickBot="1" x14ac:dyDescent="0.25">
      <c r="A1426" s="567">
        <v>91979</v>
      </c>
      <c r="B1426" s="644">
        <v>91979</v>
      </c>
      <c r="C1426" s="645" t="s">
        <v>670</v>
      </c>
      <c r="D1426" s="422" t="s">
        <v>1277</v>
      </c>
      <c r="E1426" s="423"/>
      <c r="F1426" s="424"/>
      <c r="G1426" s="425"/>
      <c r="H1426" s="651"/>
      <c r="I1426" s="420">
        <v>56.61</v>
      </c>
      <c r="J1426" s="420">
        <f t="shared" si="348"/>
        <v>56.61</v>
      </c>
      <c r="K1426" s="421">
        <f t="shared" si="358"/>
        <v>67.260000000000005</v>
      </c>
      <c r="L1426" s="647" t="s">
        <v>2065</v>
      </c>
      <c r="M1426" s="576"/>
      <c r="N1426" s="576">
        <f t="shared" si="350"/>
        <v>0</v>
      </c>
      <c r="O1426" s="577">
        <f t="shared" si="355"/>
        <v>0</v>
      </c>
      <c r="P1426" s="578">
        <f t="shared" si="356"/>
        <v>0</v>
      </c>
      <c r="Q1426" s="765"/>
      <c r="R1426" s="576">
        <f t="shared" si="352"/>
        <v>0</v>
      </c>
      <c r="S1426" s="576">
        <f t="shared" si="352"/>
        <v>0</v>
      </c>
      <c r="T1426" s="577">
        <f t="shared" si="353"/>
        <v>0</v>
      </c>
      <c r="U1426" s="578">
        <f t="shared" si="354"/>
        <v>0</v>
      </c>
      <c r="V1426" s="579"/>
      <c r="W1426" s="566"/>
      <c r="X1426" s="586" t="str">
        <f t="shared" si="357"/>
        <v/>
      </c>
      <c r="Y1426" s="586" t="str">
        <f t="shared" si="351"/>
        <v/>
      </c>
      <c r="Z1426" s="586" t="str">
        <f t="shared" si="349"/>
        <v/>
      </c>
    </row>
    <row r="1427" spans="1:26" ht="23.25" hidden="1" thickBot="1" x14ac:dyDescent="0.25">
      <c r="A1427" s="567">
        <v>91980</v>
      </c>
      <c r="B1427" s="644">
        <v>91980</v>
      </c>
      <c r="C1427" s="645" t="s">
        <v>670</v>
      </c>
      <c r="D1427" s="422" t="s">
        <v>1278</v>
      </c>
      <c r="E1427" s="423"/>
      <c r="F1427" s="424"/>
      <c r="G1427" s="425"/>
      <c r="H1427" s="651"/>
      <c r="I1427" s="420">
        <v>45.2</v>
      </c>
      <c r="J1427" s="420">
        <f t="shared" ref="J1427:J1490" si="359">IF(ISBLANK(I1427),"",SUM(H1427:I1427))</f>
        <v>45.2</v>
      </c>
      <c r="K1427" s="421">
        <f t="shared" si="358"/>
        <v>53.7</v>
      </c>
      <c r="L1427" s="647" t="s">
        <v>2065</v>
      </c>
      <c r="M1427" s="576"/>
      <c r="N1427" s="576">
        <f t="shared" si="350"/>
        <v>0</v>
      </c>
      <c r="O1427" s="577">
        <f t="shared" si="355"/>
        <v>0</v>
      </c>
      <c r="P1427" s="578">
        <f t="shared" si="356"/>
        <v>0</v>
      </c>
      <c r="Q1427" s="765"/>
      <c r="R1427" s="576">
        <f t="shared" si="352"/>
        <v>0</v>
      </c>
      <c r="S1427" s="576">
        <f t="shared" si="352"/>
        <v>0</v>
      </c>
      <c r="T1427" s="577">
        <f t="shared" si="353"/>
        <v>0</v>
      </c>
      <c r="U1427" s="578">
        <f t="shared" si="354"/>
        <v>0</v>
      </c>
      <c r="V1427" s="579"/>
      <c r="W1427" s="566"/>
      <c r="X1427" s="586" t="str">
        <f t="shared" si="357"/>
        <v/>
      </c>
      <c r="Y1427" s="586" t="str">
        <f t="shared" si="351"/>
        <v/>
      </c>
      <c r="Z1427" s="586" t="str">
        <f t="shared" ref="Z1427:Z1490" si="360">IF(W1427="X","x",IF(U1427&gt;0,"x",""))</f>
        <v/>
      </c>
    </row>
    <row r="1428" spans="1:26" ht="23.25" hidden="1" thickBot="1" x14ac:dyDescent="0.25">
      <c r="A1428" s="567">
        <v>91981</v>
      </c>
      <c r="B1428" s="644">
        <v>91981</v>
      </c>
      <c r="C1428" s="645" t="s">
        <v>670</v>
      </c>
      <c r="D1428" s="422" t="s">
        <v>1279</v>
      </c>
      <c r="E1428" s="423"/>
      <c r="F1428" s="424"/>
      <c r="G1428" s="425"/>
      <c r="H1428" s="651"/>
      <c r="I1428" s="420">
        <v>54.93</v>
      </c>
      <c r="J1428" s="420">
        <f t="shared" si="359"/>
        <v>54.93</v>
      </c>
      <c r="K1428" s="421">
        <f t="shared" si="358"/>
        <v>65.260000000000005</v>
      </c>
      <c r="L1428" s="647" t="s">
        <v>2065</v>
      </c>
      <c r="M1428" s="576"/>
      <c r="N1428" s="576">
        <f t="shared" ref="N1428:N1491" si="361">IF(M1428=0,0,K1428)</f>
        <v>0</v>
      </c>
      <c r="O1428" s="577">
        <f t="shared" si="355"/>
        <v>0</v>
      </c>
      <c r="P1428" s="578">
        <f t="shared" si="356"/>
        <v>0</v>
      </c>
      <c r="Q1428" s="765"/>
      <c r="R1428" s="576">
        <f t="shared" si="352"/>
        <v>0</v>
      </c>
      <c r="S1428" s="576">
        <f t="shared" si="352"/>
        <v>0</v>
      </c>
      <c r="T1428" s="577">
        <f t="shared" si="353"/>
        <v>0</v>
      </c>
      <c r="U1428" s="578">
        <f t="shared" si="354"/>
        <v>0</v>
      </c>
      <c r="V1428" s="579"/>
      <c r="W1428" s="566"/>
      <c r="X1428" s="586" t="str">
        <f t="shared" si="357"/>
        <v/>
      </c>
      <c r="Y1428" s="586" t="str">
        <f t="shared" si="351"/>
        <v/>
      </c>
      <c r="Z1428" s="586" t="str">
        <f t="shared" si="360"/>
        <v/>
      </c>
    </row>
    <row r="1429" spans="1:26" ht="23.25" hidden="1" thickBot="1" x14ac:dyDescent="0.25">
      <c r="A1429" s="567">
        <v>91978</v>
      </c>
      <c r="B1429" s="644">
        <v>91978</v>
      </c>
      <c r="C1429" s="645" t="s">
        <v>670</v>
      </c>
      <c r="D1429" s="422" t="s">
        <v>1276</v>
      </c>
      <c r="E1429" s="423"/>
      <c r="F1429" s="424"/>
      <c r="G1429" s="425"/>
      <c r="H1429" s="651"/>
      <c r="I1429" s="420">
        <v>46.88</v>
      </c>
      <c r="J1429" s="420">
        <f t="shared" si="359"/>
        <v>46.88</v>
      </c>
      <c r="K1429" s="421">
        <f t="shared" si="358"/>
        <v>55.7</v>
      </c>
      <c r="L1429" s="647" t="s">
        <v>2065</v>
      </c>
      <c r="M1429" s="576"/>
      <c r="N1429" s="576">
        <f t="shared" si="361"/>
        <v>0</v>
      </c>
      <c r="O1429" s="577">
        <f t="shared" si="355"/>
        <v>0</v>
      </c>
      <c r="P1429" s="578">
        <f t="shared" si="356"/>
        <v>0</v>
      </c>
      <c r="Q1429" s="765"/>
      <c r="R1429" s="576">
        <f t="shared" si="352"/>
        <v>0</v>
      </c>
      <c r="S1429" s="576">
        <f t="shared" si="352"/>
        <v>0</v>
      </c>
      <c r="T1429" s="577">
        <f t="shared" si="353"/>
        <v>0</v>
      </c>
      <c r="U1429" s="578">
        <f t="shared" si="354"/>
        <v>0</v>
      </c>
      <c r="V1429" s="579"/>
      <c r="W1429" s="566"/>
      <c r="X1429" s="586" t="str">
        <f t="shared" si="357"/>
        <v/>
      </c>
      <c r="Y1429" s="586" t="str">
        <f t="shared" si="351"/>
        <v/>
      </c>
      <c r="Z1429" s="586" t="str">
        <f t="shared" si="360"/>
        <v/>
      </c>
    </row>
    <row r="1430" spans="1:26" ht="23.25" hidden="1" thickBot="1" x14ac:dyDescent="0.25">
      <c r="A1430" s="567">
        <v>91979</v>
      </c>
      <c r="B1430" s="644">
        <v>91979</v>
      </c>
      <c r="C1430" s="645" t="s">
        <v>670</v>
      </c>
      <c r="D1430" s="422" t="s">
        <v>1277</v>
      </c>
      <c r="E1430" s="423"/>
      <c r="F1430" s="424"/>
      <c r="G1430" s="425"/>
      <c r="H1430" s="651"/>
      <c r="I1430" s="420">
        <v>56.61</v>
      </c>
      <c r="J1430" s="420">
        <f t="shared" si="359"/>
        <v>56.61</v>
      </c>
      <c r="K1430" s="421">
        <f t="shared" si="358"/>
        <v>67.260000000000005</v>
      </c>
      <c r="L1430" s="647" t="s">
        <v>2065</v>
      </c>
      <c r="M1430" s="576"/>
      <c r="N1430" s="576">
        <f t="shared" si="361"/>
        <v>0</v>
      </c>
      <c r="O1430" s="577">
        <f t="shared" si="355"/>
        <v>0</v>
      </c>
      <c r="P1430" s="578">
        <f t="shared" si="356"/>
        <v>0</v>
      </c>
      <c r="Q1430" s="765"/>
      <c r="R1430" s="576">
        <f t="shared" si="352"/>
        <v>0</v>
      </c>
      <c r="S1430" s="576">
        <f t="shared" si="352"/>
        <v>0</v>
      </c>
      <c r="T1430" s="577">
        <f t="shared" si="353"/>
        <v>0</v>
      </c>
      <c r="U1430" s="578">
        <f t="shared" si="354"/>
        <v>0</v>
      </c>
      <c r="V1430" s="579"/>
      <c r="W1430" s="566"/>
      <c r="X1430" s="586" t="str">
        <f t="shared" si="357"/>
        <v/>
      </c>
      <c r="Y1430" s="586" t="str">
        <f t="shared" si="351"/>
        <v/>
      </c>
      <c r="Z1430" s="586" t="str">
        <f t="shared" si="360"/>
        <v/>
      </c>
    </row>
    <row r="1431" spans="1:26" ht="23.25" hidden="1" thickBot="1" x14ac:dyDescent="0.25">
      <c r="A1431" s="567">
        <v>91980</v>
      </c>
      <c r="B1431" s="644">
        <v>91980</v>
      </c>
      <c r="C1431" s="645" t="s">
        <v>670</v>
      </c>
      <c r="D1431" s="422" t="s">
        <v>1278</v>
      </c>
      <c r="E1431" s="423"/>
      <c r="F1431" s="424"/>
      <c r="G1431" s="425"/>
      <c r="H1431" s="651"/>
      <c r="I1431" s="420">
        <v>45.2</v>
      </c>
      <c r="J1431" s="420">
        <f t="shared" si="359"/>
        <v>45.2</v>
      </c>
      <c r="K1431" s="421">
        <f t="shared" si="358"/>
        <v>53.7</v>
      </c>
      <c r="L1431" s="647" t="s">
        <v>2065</v>
      </c>
      <c r="M1431" s="576"/>
      <c r="N1431" s="576">
        <f t="shared" si="361"/>
        <v>0</v>
      </c>
      <c r="O1431" s="577">
        <f t="shared" si="355"/>
        <v>0</v>
      </c>
      <c r="P1431" s="578">
        <f t="shared" si="356"/>
        <v>0</v>
      </c>
      <c r="Q1431" s="765"/>
      <c r="R1431" s="576">
        <f t="shared" si="352"/>
        <v>0</v>
      </c>
      <c r="S1431" s="576">
        <f t="shared" si="352"/>
        <v>0</v>
      </c>
      <c r="T1431" s="577">
        <f t="shared" si="353"/>
        <v>0</v>
      </c>
      <c r="U1431" s="578">
        <f t="shared" si="354"/>
        <v>0</v>
      </c>
      <c r="V1431" s="579"/>
      <c r="W1431" s="566"/>
      <c r="X1431" s="586" t="str">
        <f t="shared" si="357"/>
        <v/>
      </c>
      <c r="Y1431" s="586" t="str">
        <f t="shared" si="351"/>
        <v/>
      </c>
      <c r="Z1431" s="586" t="str">
        <f t="shared" si="360"/>
        <v/>
      </c>
    </row>
    <row r="1432" spans="1:26" ht="23.25" hidden="1" thickBot="1" x14ac:dyDescent="0.25">
      <c r="A1432" s="567">
        <v>91981</v>
      </c>
      <c r="B1432" s="644">
        <v>91981</v>
      </c>
      <c r="C1432" s="645" t="s">
        <v>670</v>
      </c>
      <c r="D1432" s="422" t="s">
        <v>1279</v>
      </c>
      <c r="E1432" s="423"/>
      <c r="F1432" s="424"/>
      <c r="G1432" s="425"/>
      <c r="H1432" s="651"/>
      <c r="I1432" s="420">
        <v>54.93</v>
      </c>
      <c r="J1432" s="420">
        <f t="shared" si="359"/>
        <v>54.93</v>
      </c>
      <c r="K1432" s="421">
        <f t="shared" si="358"/>
        <v>65.260000000000005</v>
      </c>
      <c r="L1432" s="647" t="s">
        <v>2065</v>
      </c>
      <c r="M1432" s="576"/>
      <c r="N1432" s="576">
        <f t="shared" si="361"/>
        <v>0</v>
      </c>
      <c r="O1432" s="577">
        <f t="shared" si="355"/>
        <v>0</v>
      </c>
      <c r="P1432" s="578">
        <f t="shared" si="356"/>
        <v>0</v>
      </c>
      <c r="Q1432" s="765"/>
      <c r="R1432" s="576">
        <f t="shared" si="352"/>
        <v>0</v>
      </c>
      <c r="S1432" s="576">
        <f t="shared" si="352"/>
        <v>0</v>
      </c>
      <c r="T1432" s="577">
        <f t="shared" si="353"/>
        <v>0</v>
      </c>
      <c r="U1432" s="578">
        <f t="shared" si="354"/>
        <v>0</v>
      </c>
      <c r="V1432" s="579"/>
      <c r="W1432" s="566"/>
      <c r="X1432" s="586" t="str">
        <f t="shared" si="357"/>
        <v/>
      </c>
      <c r="Y1432" s="586" t="str">
        <f t="shared" si="351"/>
        <v/>
      </c>
      <c r="Z1432" s="586" t="str">
        <f t="shared" si="360"/>
        <v/>
      </c>
    </row>
    <row r="1433" spans="1:26" ht="23.25" hidden="1" thickBot="1" x14ac:dyDescent="0.25">
      <c r="A1433" s="567">
        <v>91982</v>
      </c>
      <c r="B1433" s="644">
        <v>91982</v>
      </c>
      <c r="C1433" s="645" t="s">
        <v>670</v>
      </c>
      <c r="D1433" s="422" t="s">
        <v>1280</v>
      </c>
      <c r="E1433" s="423"/>
      <c r="F1433" s="424"/>
      <c r="G1433" s="425"/>
      <c r="H1433" s="651"/>
      <c r="I1433" s="420">
        <v>118.52</v>
      </c>
      <c r="J1433" s="420">
        <f t="shared" si="359"/>
        <v>118.52</v>
      </c>
      <c r="K1433" s="421">
        <f t="shared" si="358"/>
        <v>140.81</v>
      </c>
      <c r="L1433" s="647" t="s">
        <v>2065</v>
      </c>
      <c r="M1433" s="576"/>
      <c r="N1433" s="576">
        <f t="shared" si="361"/>
        <v>0</v>
      </c>
      <c r="O1433" s="577">
        <f t="shared" si="355"/>
        <v>0</v>
      </c>
      <c r="P1433" s="578">
        <f t="shared" si="356"/>
        <v>0</v>
      </c>
      <c r="Q1433" s="765"/>
      <c r="R1433" s="576">
        <f t="shared" si="352"/>
        <v>0</v>
      </c>
      <c r="S1433" s="576">
        <f t="shared" si="352"/>
        <v>0</v>
      </c>
      <c r="T1433" s="577">
        <f t="shared" si="353"/>
        <v>0</v>
      </c>
      <c r="U1433" s="578">
        <f t="shared" si="354"/>
        <v>0</v>
      </c>
      <c r="V1433" s="579"/>
      <c r="W1433" s="566"/>
      <c r="X1433" s="586" t="str">
        <f t="shared" si="357"/>
        <v/>
      </c>
      <c r="Y1433" s="586" t="str">
        <f t="shared" si="351"/>
        <v/>
      </c>
      <c r="Z1433" s="586" t="str">
        <f t="shared" si="360"/>
        <v/>
      </c>
    </row>
    <row r="1434" spans="1:26" ht="23.25" hidden="1" thickBot="1" x14ac:dyDescent="0.25">
      <c r="A1434" s="567">
        <v>91983</v>
      </c>
      <c r="B1434" s="644">
        <v>91983</v>
      </c>
      <c r="C1434" s="645" t="s">
        <v>670</v>
      </c>
      <c r="D1434" s="422" t="s">
        <v>1281</v>
      </c>
      <c r="E1434" s="423"/>
      <c r="F1434" s="424"/>
      <c r="G1434" s="425"/>
      <c r="H1434" s="651"/>
      <c r="I1434" s="420">
        <v>128.25</v>
      </c>
      <c r="J1434" s="420">
        <f t="shared" si="359"/>
        <v>128.25</v>
      </c>
      <c r="K1434" s="421">
        <f t="shared" si="358"/>
        <v>152.37</v>
      </c>
      <c r="L1434" s="647" t="s">
        <v>2065</v>
      </c>
      <c r="M1434" s="576"/>
      <c r="N1434" s="576">
        <f t="shared" si="361"/>
        <v>0</v>
      </c>
      <c r="O1434" s="577">
        <f t="shared" si="355"/>
        <v>0</v>
      </c>
      <c r="P1434" s="578">
        <f t="shared" si="356"/>
        <v>0</v>
      </c>
      <c r="Q1434" s="765"/>
      <c r="R1434" s="576">
        <f t="shared" si="352"/>
        <v>0</v>
      </c>
      <c r="S1434" s="576">
        <f t="shared" si="352"/>
        <v>0</v>
      </c>
      <c r="T1434" s="577">
        <f t="shared" si="353"/>
        <v>0</v>
      </c>
      <c r="U1434" s="578">
        <f t="shared" si="354"/>
        <v>0</v>
      </c>
      <c r="V1434" s="579"/>
      <c r="W1434" s="566"/>
      <c r="X1434" s="586" t="str">
        <f t="shared" si="357"/>
        <v/>
      </c>
      <c r="Y1434" s="586" t="str">
        <f t="shared" si="351"/>
        <v/>
      </c>
      <c r="Z1434" s="586" t="str">
        <f t="shared" si="360"/>
        <v/>
      </c>
    </row>
    <row r="1435" spans="1:26" ht="23.25" hidden="1" thickBot="1" x14ac:dyDescent="0.25">
      <c r="A1435" s="567">
        <v>91984</v>
      </c>
      <c r="B1435" s="644">
        <v>91984</v>
      </c>
      <c r="C1435" s="645" t="s">
        <v>670</v>
      </c>
      <c r="D1435" s="422" t="s">
        <v>1282</v>
      </c>
      <c r="E1435" s="423"/>
      <c r="F1435" s="424"/>
      <c r="G1435" s="425"/>
      <c r="H1435" s="651"/>
      <c r="I1435" s="420">
        <v>19.77</v>
      </c>
      <c r="J1435" s="420">
        <f t="shared" si="359"/>
        <v>19.77</v>
      </c>
      <c r="K1435" s="421">
        <f t="shared" si="358"/>
        <v>23.49</v>
      </c>
      <c r="L1435" s="647" t="s">
        <v>2065</v>
      </c>
      <c r="M1435" s="576"/>
      <c r="N1435" s="576">
        <f t="shared" si="361"/>
        <v>0</v>
      </c>
      <c r="O1435" s="577">
        <f t="shared" si="355"/>
        <v>0</v>
      </c>
      <c r="P1435" s="578">
        <f t="shared" si="356"/>
        <v>0</v>
      </c>
      <c r="Q1435" s="765"/>
      <c r="R1435" s="576">
        <f t="shared" si="352"/>
        <v>0</v>
      </c>
      <c r="S1435" s="576">
        <f t="shared" si="352"/>
        <v>0</v>
      </c>
      <c r="T1435" s="577">
        <f t="shared" si="353"/>
        <v>0</v>
      </c>
      <c r="U1435" s="578">
        <f t="shared" si="354"/>
        <v>0</v>
      </c>
      <c r="V1435" s="579"/>
      <c r="W1435" s="566"/>
      <c r="X1435" s="586" t="str">
        <f t="shared" si="357"/>
        <v/>
      </c>
      <c r="Y1435" s="586" t="str">
        <f t="shared" si="351"/>
        <v/>
      </c>
      <c r="Z1435" s="586" t="str">
        <f t="shared" si="360"/>
        <v/>
      </c>
    </row>
    <row r="1436" spans="1:26" ht="23.25" hidden="1" thickBot="1" x14ac:dyDescent="0.25">
      <c r="A1436" s="567">
        <v>91985</v>
      </c>
      <c r="B1436" s="644">
        <v>91985</v>
      </c>
      <c r="C1436" s="645" t="s">
        <v>670</v>
      </c>
      <c r="D1436" s="422" t="s">
        <v>1283</v>
      </c>
      <c r="E1436" s="423"/>
      <c r="F1436" s="424"/>
      <c r="G1436" s="425"/>
      <c r="H1436" s="651"/>
      <c r="I1436" s="420">
        <v>29.5</v>
      </c>
      <c r="J1436" s="420">
        <f t="shared" si="359"/>
        <v>29.5</v>
      </c>
      <c r="K1436" s="421">
        <f t="shared" si="358"/>
        <v>35.049999999999997</v>
      </c>
      <c r="L1436" s="647" t="s">
        <v>2065</v>
      </c>
      <c r="M1436" s="576"/>
      <c r="N1436" s="576">
        <f t="shared" si="361"/>
        <v>0</v>
      </c>
      <c r="O1436" s="577">
        <f t="shared" si="355"/>
        <v>0</v>
      </c>
      <c r="P1436" s="578">
        <f t="shared" si="356"/>
        <v>0</v>
      </c>
      <c r="Q1436" s="765"/>
      <c r="R1436" s="576">
        <f t="shared" si="352"/>
        <v>0</v>
      </c>
      <c r="S1436" s="576">
        <f t="shared" si="352"/>
        <v>0</v>
      </c>
      <c r="T1436" s="577">
        <f t="shared" si="353"/>
        <v>0</v>
      </c>
      <c r="U1436" s="578">
        <f t="shared" si="354"/>
        <v>0</v>
      </c>
      <c r="V1436" s="579"/>
      <c r="W1436" s="566"/>
      <c r="X1436" s="586" t="str">
        <f t="shared" si="357"/>
        <v/>
      </c>
      <c r="Y1436" s="586" t="str">
        <f t="shared" si="351"/>
        <v/>
      </c>
      <c r="Z1436" s="586" t="str">
        <f t="shared" si="360"/>
        <v/>
      </c>
    </row>
    <row r="1437" spans="1:26" ht="23.25" hidden="1" thickBot="1" x14ac:dyDescent="0.25">
      <c r="A1437" s="567">
        <v>91986</v>
      </c>
      <c r="B1437" s="644">
        <v>91986</v>
      </c>
      <c r="C1437" s="645" t="s">
        <v>670</v>
      </c>
      <c r="D1437" s="422" t="s">
        <v>1284</v>
      </c>
      <c r="E1437" s="423"/>
      <c r="F1437" s="424"/>
      <c r="G1437" s="425"/>
      <c r="H1437" s="651"/>
      <c r="I1437" s="420">
        <v>44.02</v>
      </c>
      <c r="J1437" s="420">
        <f t="shared" si="359"/>
        <v>44.02</v>
      </c>
      <c r="K1437" s="421">
        <f t="shared" si="358"/>
        <v>52.3</v>
      </c>
      <c r="L1437" s="647" t="s">
        <v>2065</v>
      </c>
      <c r="M1437" s="576"/>
      <c r="N1437" s="576">
        <f t="shared" si="361"/>
        <v>0</v>
      </c>
      <c r="O1437" s="577">
        <f t="shared" si="355"/>
        <v>0</v>
      </c>
      <c r="P1437" s="578">
        <f t="shared" si="356"/>
        <v>0</v>
      </c>
      <c r="Q1437" s="765"/>
      <c r="R1437" s="576">
        <f t="shared" si="352"/>
        <v>0</v>
      </c>
      <c r="S1437" s="576">
        <f t="shared" si="352"/>
        <v>0</v>
      </c>
      <c r="T1437" s="577">
        <f t="shared" si="353"/>
        <v>0</v>
      </c>
      <c r="U1437" s="578">
        <f t="shared" si="354"/>
        <v>0</v>
      </c>
      <c r="V1437" s="579"/>
      <c r="W1437" s="566"/>
      <c r="X1437" s="586" t="str">
        <f t="shared" si="357"/>
        <v/>
      </c>
      <c r="Y1437" s="586" t="str">
        <f t="shared" si="351"/>
        <v/>
      </c>
      <c r="Z1437" s="586" t="str">
        <f t="shared" si="360"/>
        <v/>
      </c>
    </row>
    <row r="1438" spans="1:26" ht="23.25" hidden="1" thickBot="1" x14ac:dyDescent="0.25">
      <c r="A1438" s="567">
        <v>91987</v>
      </c>
      <c r="B1438" s="644">
        <v>91987</v>
      </c>
      <c r="C1438" s="645" t="s">
        <v>670</v>
      </c>
      <c r="D1438" s="422" t="s">
        <v>1285</v>
      </c>
      <c r="E1438" s="423"/>
      <c r="F1438" s="424"/>
      <c r="G1438" s="425"/>
      <c r="H1438" s="651"/>
      <c r="I1438" s="420">
        <v>53.75</v>
      </c>
      <c r="J1438" s="420">
        <f t="shared" si="359"/>
        <v>53.75</v>
      </c>
      <c r="K1438" s="421">
        <f t="shared" si="358"/>
        <v>63.86</v>
      </c>
      <c r="L1438" s="647" t="s">
        <v>2065</v>
      </c>
      <c r="M1438" s="576"/>
      <c r="N1438" s="576">
        <f t="shared" si="361"/>
        <v>0</v>
      </c>
      <c r="O1438" s="577">
        <f t="shared" si="355"/>
        <v>0</v>
      </c>
      <c r="P1438" s="578">
        <f t="shared" si="356"/>
        <v>0</v>
      </c>
      <c r="Q1438" s="765"/>
      <c r="R1438" s="576">
        <f t="shared" si="352"/>
        <v>0</v>
      </c>
      <c r="S1438" s="576">
        <f t="shared" si="352"/>
        <v>0</v>
      </c>
      <c r="T1438" s="577">
        <f t="shared" si="353"/>
        <v>0</v>
      </c>
      <c r="U1438" s="578">
        <f t="shared" si="354"/>
        <v>0</v>
      </c>
      <c r="V1438" s="579"/>
      <c r="W1438" s="566"/>
      <c r="X1438" s="586" t="str">
        <f t="shared" si="357"/>
        <v/>
      </c>
      <c r="Y1438" s="586" t="str">
        <f t="shared" si="351"/>
        <v/>
      </c>
      <c r="Z1438" s="586" t="str">
        <f t="shared" si="360"/>
        <v/>
      </c>
    </row>
    <row r="1439" spans="1:26" ht="23.25" hidden="1" thickBot="1" x14ac:dyDescent="0.25">
      <c r="A1439" s="567">
        <v>91988</v>
      </c>
      <c r="B1439" s="644">
        <v>91988</v>
      </c>
      <c r="C1439" s="645" t="s">
        <v>670</v>
      </c>
      <c r="D1439" s="422" t="s">
        <v>1286</v>
      </c>
      <c r="E1439" s="423"/>
      <c r="F1439" s="424"/>
      <c r="G1439" s="425"/>
      <c r="H1439" s="651"/>
      <c r="I1439" s="420">
        <v>25.42</v>
      </c>
      <c r="J1439" s="420">
        <f t="shared" si="359"/>
        <v>25.42</v>
      </c>
      <c r="K1439" s="421">
        <f t="shared" si="358"/>
        <v>30.2</v>
      </c>
      <c r="L1439" s="647" t="s">
        <v>2065</v>
      </c>
      <c r="M1439" s="576"/>
      <c r="N1439" s="576">
        <f t="shared" si="361"/>
        <v>0</v>
      </c>
      <c r="O1439" s="577">
        <f t="shared" si="355"/>
        <v>0</v>
      </c>
      <c r="P1439" s="578">
        <f t="shared" si="356"/>
        <v>0</v>
      </c>
      <c r="Q1439" s="765"/>
      <c r="R1439" s="576">
        <f t="shared" si="352"/>
        <v>0</v>
      </c>
      <c r="S1439" s="576">
        <f t="shared" si="352"/>
        <v>0</v>
      </c>
      <c r="T1439" s="577">
        <f t="shared" si="353"/>
        <v>0</v>
      </c>
      <c r="U1439" s="578">
        <f t="shared" si="354"/>
        <v>0</v>
      </c>
      <c r="V1439" s="579"/>
      <c r="W1439" s="566"/>
      <c r="X1439" s="586" t="str">
        <f t="shared" si="357"/>
        <v/>
      </c>
      <c r="Y1439" s="586" t="str">
        <f t="shared" si="351"/>
        <v/>
      </c>
      <c r="Z1439" s="586" t="str">
        <f t="shared" si="360"/>
        <v/>
      </c>
    </row>
    <row r="1440" spans="1:26" ht="23.25" hidden="1" thickBot="1" x14ac:dyDescent="0.25">
      <c r="A1440" s="567">
        <v>91989</v>
      </c>
      <c r="B1440" s="644">
        <v>91989</v>
      </c>
      <c r="C1440" s="645" t="s">
        <v>670</v>
      </c>
      <c r="D1440" s="422" t="s">
        <v>1287</v>
      </c>
      <c r="E1440" s="423"/>
      <c r="F1440" s="424"/>
      <c r="G1440" s="425"/>
      <c r="H1440" s="651"/>
      <c r="I1440" s="420">
        <v>35.15</v>
      </c>
      <c r="J1440" s="420">
        <f t="shared" si="359"/>
        <v>35.15</v>
      </c>
      <c r="K1440" s="421">
        <f t="shared" si="358"/>
        <v>41.76</v>
      </c>
      <c r="L1440" s="647" t="s">
        <v>2065</v>
      </c>
      <c r="M1440" s="576"/>
      <c r="N1440" s="576">
        <f t="shared" si="361"/>
        <v>0</v>
      </c>
      <c r="O1440" s="577">
        <f t="shared" si="355"/>
        <v>0</v>
      </c>
      <c r="P1440" s="578">
        <f t="shared" si="356"/>
        <v>0</v>
      </c>
      <c r="Q1440" s="765"/>
      <c r="R1440" s="576">
        <f t="shared" si="352"/>
        <v>0</v>
      </c>
      <c r="S1440" s="576">
        <f t="shared" si="352"/>
        <v>0</v>
      </c>
      <c r="T1440" s="577">
        <f t="shared" si="353"/>
        <v>0</v>
      </c>
      <c r="U1440" s="578">
        <f t="shared" si="354"/>
        <v>0</v>
      </c>
      <c r="V1440" s="579"/>
      <c r="W1440" s="566"/>
      <c r="X1440" s="586" t="str">
        <f t="shared" si="357"/>
        <v/>
      </c>
      <c r="Y1440" s="586" t="str">
        <f t="shared" si="351"/>
        <v/>
      </c>
      <c r="Z1440" s="586" t="str">
        <f t="shared" si="360"/>
        <v/>
      </c>
    </row>
    <row r="1441" spans="1:26" ht="23.25" hidden="1" thickBot="1" x14ac:dyDescent="0.25">
      <c r="A1441" s="567">
        <v>91990</v>
      </c>
      <c r="B1441" s="644">
        <v>91990</v>
      </c>
      <c r="C1441" s="645" t="s">
        <v>670</v>
      </c>
      <c r="D1441" s="422" t="s">
        <v>1288</v>
      </c>
      <c r="E1441" s="423"/>
      <c r="F1441" s="424"/>
      <c r="G1441" s="425"/>
      <c r="H1441" s="651"/>
      <c r="I1441" s="420">
        <v>36.799999999999997</v>
      </c>
      <c r="J1441" s="420">
        <f t="shared" si="359"/>
        <v>36.799999999999997</v>
      </c>
      <c r="K1441" s="421">
        <f t="shared" si="358"/>
        <v>43.72</v>
      </c>
      <c r="L1441" s="647" t="s">
        <v>2065</v>
      </c>
      <c r="M1441" s="576"/>
      <c r="N1441" s="576">
        <f t="shared" si="361"/>
        <v>0</v>
      </c>
      <c r="O1441" s="577">
        <f t="shared" si="355"/>
        <v>0</v>
      </c>
      <c r="P1441" s="578">
        <f t="shared" si="356"/>
        <v>0</v>
      </c>
      <c r="Q1441" s="765"/>
      <c r="R1441" s="576">
        <f t="shared" si="352"/>
        <v>0</v>
      </c>
      <c r="S1441" s="576">
        <f t="shared" si="352"/>
        <v>0</v>
      </c>
      <c r="T1441" s="577">
        <f t="shared" si="353"/>
        <v>0</v>
      </c>
      <c r="U1441" s="578">
        <f t="shared" si="354"/>
        <v>0</v>
      </c>
      <c r="V1441" s="579"/>
      <c r="W1441" s="566"/>
      <c r="X1441" s="586" t="str">
        <f t="shared" si="357"/>
        <v/>
      </c>
      <c r="Y1441" s="586" t="str">
        <f t="shared" si="351"/>
        <v/>
      </c>
      <c r="Z1441" s="586" t="str">
        <f t="shared" si="360"/>
        <v/>
      </c>
    </row>
    <row r="1442" spans="1:26" ht="23.25" hidden="1" thickBot="1" x14ac:dyDescent="0.25">
      <c r="A1442" s="567">
        <v>91991</v>
      </c>
      <c r="B1442" s="644">
        <v>91991</v>
      </c>
      <c r="C1442" s="645" t="s">
        <v>670</v>
      </c>
      <c r="D1442" s="422" t="s">
        <v>1289</v>
      </c>
      <c r="E1442" s="423"/>
      <c r="F1442" s="424"/>
      <c r="G1442" s="425"/>
      <c r="H1442" s="651"/>
      <c r="I1442" s="420">
        <v>39.85</v>
      </c>
      <c r="J1442" s="420">
        <f t="shared" si="359"/>
        <v>39.85</v>
      </c>
      <c r="K1442" s="421">
        <f t="shared" si="358"/>
        <v>47.35</v>
      </c>
      <c r="L1442" s="647" t="s">
        <v>2065</v>
      </c>
      <c r="M1442" s="576"/>
      <c r="N1442" s="576">
        <f t="shared" si="361"/>
        <v>0</v>
      </c>
      <c r="O1442" s="577">
        <f t="shared" si="355"/>
        <v>0</v>
      </c>
      <c r="P1442" s="578">
        <f t="shared" si="356"/>
        <v>0</v>
      </c>
      <c r="Q1442" s="765"/>
      <c r="R1442" s="576">
        <f t="shared" si="352"/>
        <v>0</v>
      </c>
      <c r="S1442" s="576">
        <f t="shared" si="352"/>
        <v>0</v>
      </c>
      <c r="T1442" s="577">
        <f t="shared" si="353"/>
        <v>0</v>
      </c>
      <c r="U1442" s="578">
        <f t="shared" si="354"/>
        <v>0</v>
      </c>
      <c r="V1442" s="579"/>
      <c r="W1442" s="566"/>
      <c r="X1442" s="586" t="str">
        <f t="shared" si="357"/>
        <v/>
      </c>
      <c r="Y1442" s="586" t="str">
        <f t="shared" si="351"/>
        <v/>
      </c>
      <c r="Z1442" s="586" t="str">
        <f t="shared" si="360"/>
        <v/>
      </c>
    </row>
    <row r="1443" spans="1:26" ht="23.25" hidden="1" thickBot="1" x14ac:dyDescent="0.25">
      <c r="A1443" s="567">
        <v>91992</v>
      </c>
      <c r="B1443" s="644">
        <v>91992</v>
      </c>
      <c r="C1443" s="645" t="s">
        <v>670</v>
      </c>
      <c r="D1443" s="422" t="s">
        <v>1290</v>
      </c>
      <c r="E1443" s="423"/>
      <c r="F1443" s="424"/>
      <c r="G1443" s="425"/>
      <c r="H1443" s="651"/>
      <c r="I1443" s="420">
        <v>46.53</v>
      </c>
      <c r="J1443" s="420">
        <f t="shared" si="359"/>
        <v>46.53</v>
      </c>
      <c r="K1443" s="421">
        <f t="shared" si="358"/>
        <v>55.28</v>
      </c>
      <c r="L1443" s="647" t="s">
        <v>2065</v>
      </c>
      <c r="M1443" s="576"/>
      <c r="N1443" s="576">
        <f t="shared" si="361"/>
        <v>0</v>
      </c>
      <c r="O1443" s="577">
        <f t="shared" si="355"/>
        <v>0</v>
      </c>
      <c r="P1443" s="578">
        <f t="shared" si="356"/>
        <v>0</v>
      </c>
      <c r="Q1443" s="765"/>
      <c r="R1443" s="576">
        <f t="shared" si="352"/>
        <v>0</v>
      </c>
      <c r="S1443" s="576">
        <f t="shared" si="352"/>
        <v>0</v>
      </c>
      <c r="T1443" s="577">
        <f t="shared" si="353"/>
        <v>0</v>
      </c>
      <c r="U1443" s="578">
        <f t="shared" si="354"/>
        <v>0</v>
      </c>
      <c r="V1443" s="579"/>
      <c r="W1443" s="566"/>
      <c r="X1443" s="586" t="str">
        <f t="shared" si="357"/>
        <v/>
      </c>
      <c r="Y1443" s="586" t="str">
        <f t="shared" ref="Y1443:Y1506" si="362">IF(W1443="X","x",IF(W1443="y","x",IF(W1443="xx","x",IF(U1443&gt;0,"x",""))))</f>
        <v/>
      </c>
      <c r="Z1443" s="586" t="str">
        <f t="shared" si="360"/>
        <v/>
      </c>
    </row>
    <row r="1444" spans="1:26" ht="23.25" hidden="1" thickBot="1" x14ac:dyDescent="0.25">
      <c r="A1444" s="567">
        <v>91993</v>
      </c>
      <c r="B1444" s="644">
        <v>91993</v>
      </c>
      <c r="C1444" s="645" t="s">
        <v>670</v>
      </c>
      <c r="D1444" s="422" t="s">
        <v>1291</v>
      </c>
      <c r="E1444" s="423"/>
      <c r="F1444" s="424"/>
      <c r="G1444" s="425"/>
      <c r="H1444" s="651"/>
      <c r="I1444" s="420">
        <v>49.58</v>
      </c>
      <c r="J1444" s="420">
        <f t="shared" si="359"/>
        <v>49.58</v>
      </c>
      <c r="K1444" s="421">
        <f t="shared" si="358"/>
        <v>58.91</v>
      </c>
      <c r="L1444" s="647" t="s">
        <v>2065</v>
      </c>
      <c r="M1444" s="576"/>
      <c r="N1444" s="576">
        <f t="shared" si="361"/>
        <v>0</v>
      </c>
      <c r="O1444" s="577">
        <f t="shared" si="355"/>
        <v>0</v>
      </c>
      <c r="P1444" s="578">
        <f t="shared" si="356"/>
        <v>0</v>
      </c>
      <c r="Q1444" s="765"/>
      <c r="R1444" s="576">
        <f t="shared" si="352"/>
        <v>0</v>
      </c>
      <c r="S1444" s="576">
        <f t="shared" si="352"/>
        <v>0</v>
      </c>
      <c r="T1444" s="577">
        <f t="shared" si="353"/>
        <v>0</v>
      </c>
      <c r="U1444" s="578">
        <f t="shared" si="354"/>
        <v>0</v>
      </c>
      <c r="V1444" s="579"/>
      <c r="W1444" s="566"/>
      <c r="X1444" s="586" t="str">
        <f t="shared" si="357"/>
        <v/>
      </c>
      <c r="Y1444" s="586" t="str">
        <f t="shared" si="362"/>
        <v/>
      </c>
      <c r="Z1444" s="586" t="str">
        <f t="shared" si="360"/>
        <v/>
      </c>
    </row>
    <row r="1445" spans="1:26" ht="23.25" hidden="1" thickBot="1" x14ac:dyDescent="0.25">
      <c r="A1445" s="567">
        <v>91994</v>
      </c>
      <c r="B1445" s="644">
        <v>91994</v>
      </c>
      <c r="C1445" s="645" t="s">
        <v>670</v>
      </c>
      <c r="D1445" s="422" t="s">
        <v>1292</v>
      </c>
      <c r="E1445" s="423"/>
      <c r="F1445" s="424"/>
      <c r="G1445" s="425"/>
      <c r="H1445" s="651"/>
      <c r="I1445" s="420">
        <v>26.99</v>
      </c>
      <c r="J1445" s="420">
        <f t="shared" si="359"/>
        <v>26.99</v>
      </c>
      <c r="K1445" s="421">
        <f t="shared" si="358"/>
        <v>32.07</v>
      </c>
      <c r="L1445" s="647" t="s">
        <v>2065</v>
      </c>
      <c r="M1445" s="576"/>
      <c r="N1445" s="576">
        <f t="shared" si="361"/>
        <v>0</v>
      </c>
      <c r="O1445" s="577">
        <f t="shared" si="355"/>
        <v>0</v>
      </c>
      <c r="P1445" s="578">
        <f t="shared" si="356"/>
        <v>0</v>
      </c>
      <c r="Q1445" s="765"/>
      <c r="R1445" s="576">
        <f t="shared" si="352"/>
        <v>0</v>
      </c>
      <c r="S1445" s="576">
        <f t="shared" si="352"/>
        <v>0</v>
      </c>
      <c r="T1445" s="577">
        <f t="shared" si="353"/>
        <v>0</v>
      </c>
      <c r="U1445" s="578">
        <f t="shared" si="354"/>
        <v>0</v>
      </c>
      <c r="V1445" s="579"/>
      <c r="W1445" s="566"/>
      <c r="X1445" s="586" t="str">
        <f t="shared" si="357"/>
        <v/>
      </c>
      <c r="Y1445" s="586" t="str">
        <f t="shared" si="362"/>
        <v/>
      </c>
      <c r="Z1445" s="586" t="str">
        <f t="shared" si="360"/>
        <v/>
      </c>
    </row>
    <row r="1446" spans="1:26" ht="23.25" hidden="1" thickBot="1" x14ac:dyDescent="0.25">
      <c r="A1446" s="567">
        <v>91995</v>
      </c>
      <c r="B1446" s="644">
        <v>91995</v>
      </c>
      <c r="C1446" s="645" t="s">
        <v>670</v>
      </c>
      <c r="D1446" s="422" t="s">
        <v>1293</v>
      </c>
      <c r="E1446" s="423"/>
      <c r="F1446" s="424"/>
      <c r="G1446" s="425"/>
      <c r="H1446" s="651"/>
      <c r="I1446" s="420">
        <v>30.04</v>
      </c>
      <c r="J1446" s="420">
        <f t="shared" si="359"/>
        <v>30.04</v>
      </c>
      <c r="K1446" s="421">
        <f t="shared" si="358"/>
        <v>35.69</v>
      </c>
      <c r="L1446" s="647" t="s">
        <v>2065</v>
      </c>
      <c r="M1446" s="576"/>
      <c r="N1446" s="576">
        <f t="shared" si="361"/>
        <v>0</v>
      </c>
      <c r="O1446" s="577">
        <f t="shared" si="355"/>
        <v>0</v>
      </c>
      <c r="P1446" s="578">
        <f t="shared" si="356"/>
        <v>0</v>
      </c>
      <c r="Q1446" s="765"/>
      <c r="R1446" s="576">
        <f t="shared" si="352"/>
        <v>0</v>
      </c>
      <c r="S1446" s="576">
        <f t="shared" si="352"/>
        <v>0</v>
      </c>
      <c r="T1446" s="577">
        <f t="shared" si="353"/>
        <v>0</v>
      </c>
      <c r="U1446" s="578">
        <f t="shared" si="354"/>
        <v>0</v>
      </c>
      <c r="V1446" s="579"/>
      <c r="W1446" s="566"/>
      <c r="X1446" s="586" t="str">
        <f t="shared" si="357"/>
        <v/>
      </c>
      <c r="Y1446" s="586" t="str">
        <f t="shared" si="362"/>
        <v/>
      </c>
      <c r="Z1446" s="586" t="str">
        <f t="shared" si="360"/>
        <v/>
      </c>
    </row>
    <row r="1447" spans="1:26" ht="23.25" hidden="1" thickBot="1" x14ac:dyDescent="0.25">
      <c r="A1447" s="567">
        <v>91996</v>
      </c>
      <c r="B1447" s="644">
        <v>91996</v>
      </c>
      <c r="C1447" s="645" t="s">
        <v>670</v>
      </c>
      <c r="D1447" s="422" t="s">
        <v>1294</v>
      </c>
      <c r="E1447" s="423"/>
      <c r="F1447" s="424"/>
      <c r="G1447" s="425"/>
      <c r="H1447" s="651"/>
      <c r="I1447" s="420">
        <v>36.72</v>
      </c>
      <c r="J1447" s="420">
        <f t="shared" si="359"/>
        <v>36.72</v>
      </c>
      <c r="K1447" s="421">
        <f t="shared" si="358"/>
        <v>43.63</v>
      </c>
      <c r="L1447" s="647" t="s">
        <v>2065</v>
      </c>
      <c r="M1447" s="576"/>
      <c r="N1447" s="576">
        <f t="shared" si="361"/>
        <v>0</v>
      </c>
      <c r="O1447" s="577">
        <f t="shared" si="355"/>
        <v>0</v>
      </c>
      <c r="P1447" s="578">
        <f t="shared" si="356"/>
        <v>0</v>
      </c>
      <c r="Q1447" s="765"/>
      <c r="R1447" s="576">
        <f t="shared" si="352"/>
        <v>0</v>
      </c>
      <c r="S1447" s="576">
        <f t="shared" si="352"/>
        <v>0</v>
      </c>
      <c r="T1447" s="577">
        <f t="shared" si="353"/>
        <v>0</v>
      </c>
      <c r="U1447" s="578">
        <f t="shared" si="354"/>
        <v>0</v>
      </c>
      <c r="V1447" s="579"/>
      <c r="W1447" s="566"/>
      <c r="X1447" s="586" t="str">
        <f t="shared" si="357"/>
        <v/>
      </c>
      <c r="Y1447" s="586" t="str">
        <f t="shared" si="362"/>
        <v/>
      </c>
      <c r="Z1447" s="586" t="str">
        <f t="shared" si="360"/>
        <v/>
      </c>
    </row>
    <row r="1448" spans="1:26" ht="23.25" hidden="1" thickBot="1" x14ac:dyDescent="0.25">
      <c r="A1448" s="567">
        <v>91997</v>
      </c>
      <c r="B1448" s="644">
        <v>91997</v>
      </c>
      <c r="C1448" s="645" t="s">
        <v>670</v>
      </c>
      <c r="D1448" s="422" t="s">
        <v>1295</v>
      </c>
      <c r="E1448" s="423"/>
      <c r="F1448" s="424"/>
      <c r="G1448" s="425"/>
      <c r="H1448" s="651"/>
      <c r="I1448" s="420">
        <v>39.770000000000003</v>
      </c>
      <c r="J1448" s="420">
        <f t="shared" si="359"/>
        <v>39.770000000000003</v>
      </c>
      <c r="K1448" s="421">
        <f t="shared" si="358"/>
        <v>47.25</v>
      </c>
      <c r="L1448" s="647" t="s">
        <v>2065</v>
      </c>
      <c r="M1448" s="576"/>
      <c r="N1448" s="576">
        <f t="shared" si="361"/>
        <v>0</v>
      </c>
      <c r="O1448" s="577">
        <f t="shared" si="355"/>
        <v>0</v>
      </c>
      <c r="P1448" s="578">
        <f t="shared" si="356"/>
        <v>0</v>
      </c>
      <c r="Q1448" s="765"/>
      <c r="R1448" s="576">
        <f t="shared" si="352"/>
        <v>0</v>
      </c>
      <c r="S1448" s="576">
        <f t="shared" si="352"/>
        <v>0</v>
      </c>
      <c r="T1448" s="577">
        <f t="shared" si="353"/>
        <v>0</v>
      </c>
      <c r="U1448" s="578">
        <f t="shared" si="354"/>
        <v>0</v>
      </c>
      <c r="V1448" s="579"/>
      <c r="W1448" s="566"/>
      <c r="X1448" s="586" t="str">
        <f t="shared" si="357"/>
        <v/>
      </c>
      <c r="Y1448" s="586" t="str">
        <f t="shared" si="362"/>
        <v/>
      </c>
      <c r="Z1448" s="586" t="str">
        <f t="shared" si="360"/>
        <v/>
      </c>
    </row>
    <row r="1449" spans="1:26" ht="23.25" hidden="1" thickBot="1" x14ac:dyDescent="0.25">
      <c r="A1449" s="567">
        <v>91998</v>
      </c>
      <c r="B1449" s="644">
        <v>91998</v>
      </c>
      <c r="C1449" s="645" t="s">
        <v>670</v>
      </c>
      <c r="D1449" s="422" t="s">
        <v>1296</v>
      </c>
      <c r="E1449" s="423"/>
      <c r="F1449" s="424"/>
      <c r="G1449" s="425"/>
      <c r="H1449" s="651"/>
      <c r="I1449" s="420">
        <v>23.17</v>
      </c>
      <c r="J1449" s="420">
        <f t="shared" si="359"/>
        <v>23.17</v>
      </c>
      <c r="K1449" s="421">
        <f t="shared" si="358"/>
        <v>27.53</v>
      </c>
      <c r="L1449" s="647" t="s">
        <v>2065</v>
      </c>
      <c r="M1449" s="576"/>
      <c r="N1449" s="576">
        <f t="shared" si="361"/>
        <v>0</v>
      </c>
      <c r="O1449" s="577">
        <f t="shared" si="355"/>
        <v>0</v>
      </c>
      <c r="P1449" s="578">
        <f t="shared" si="356"/>
        <v>0</v>
      </c>
      <c r="Q1449" s="765"/>
      <c r="R1449" s="576">
        <f t="shared" si="352"/>
        <v>0</v>
      </c>
      <c r="S1449" s="576">
        <f t="shared" si="352"/>
        <v>0</v>
      </c>
      <c r="T1449" s="577">
        <f t="shared" si="353"/>
        <v>0</v>
      </c>
      <c r="U1449" s="578">
        <f t="shared" si="354"/>
        <v>0</v>
      </c>
      <c r="V1449" s="579"/>
      <c r="W1449" s="566"/>
      <c r="X1449" s="586" t="str">
        <f t="shared" si="357"/>
        <v/>
      </c>
      <c r="Y1449" s="586" t="str">
        <f t="shared" si="362"/>
        <v/>
      </c>
      <c r="Z1449" s="586" t="str">
        <f t="shared" si="360"/>
        <v/>
      </c>
    </row>
    <row r="1450" spans="1:26" ht="23.25" hidden="1" thickBot="1" x14ac:dyDescent="0.25">
      <c r="A1450" s="567">
        <v>91999</v>
      </c>
      <c r="B1450" s="644">
        <v>91999</v>
      </c>
      <c r="C1450" s="645" t="s">
        <v>670</v>
      </c>
      <c r="D1450" s="422" t="s">
        <v>1297</v>
      </c>
      <c r="E1450" s="423"/>
      <c r="F1450" s="424"/>
      <c r="G1450" s="425"/>
      <c r="H1450" s="651"/>
      <c r="I1450" s="420">
        <v>26.22</v>
      </c>
      <c r="J1450" s="420">
        <f t="shared" si="359"/>
        <v>26.22</v>
      </c>
      <c r="K1450" s="421">
        <f t="shared" si="358"/>
        <v>31.15</v>
      </c>
      <c r="L1450" s="647" t="s">
        <v>2065</v>
      </c>
      <c r="M1450" s="576"/>
      <c r="N1450" s="576">
        <f t="shared" si="361"/>
        <v>0</v>
      </c>
      <c r="O1450" s="577">
        <f t="shared" si="355"/>
        <v>0</v>
      </c>
      <c r="P1450" s="578">
        <f t="shared" si="356"/>
        <v>0</v>
      </c>
      <c r="Q1450" s="765"/>
      <c r="R1450" s="576">
        <f t="shared" ref="R1450:S1513" si="363">M1450</f>
        <v>0</v>
      </c>
      <c r="S1450" s="576">
        <f t="shared" si="363"/>
        <v>0</v>
      </c>
      <c r="T1450" s="577">
        <f t="shared" si="353"/>
        <v>0</v>
      </c>
      <c r="U1450" s="578">
        <f t="shared" si="354"/>
        <v>0</v>
      </c>
      <c r="V1450" s="579"/>
      <c r="W1450" s="566"/>
      <c r="X1450" s="586" t="str">
        <f t="shared" si="357"/>
        <v/>
      </c>
      <c r="Y1450" s="586" t="str">
        <f t="shared" si="362"/>
        <v/>
      </c>
      <c r="Z1450" s="586" t="str">
        <f t="shared" si="360"/>
        <v/>
      </c>
    </row>
    <row r="1451" spans="1:26" ht="23.25" hidden="1" thickBot="1" x14ac:dyDescent="0.25">
      <c r="A1451" s="567">
        <v>92000</v>
      </c>
      <c r="B1451" s="644">
        <v>92000</v>
      </c>
      <c r="C1451" s="645" t="s">
        <v>670</v>
      </c>
      <c r="D1451" s="422" t="s">
        <v>1298</v>
      </c>
      <c r="E1451" s="423"/>
      <c r="F1451" s="424"/>
      <c r="G1451" s="425"/>
      <c r="H1451" s="651"/>
      <c r="I1451" s="420">
        <v>32.9</v>
      </c>
      <c r="J1451" s="420">
        <f t="shared" si="359"/>
        <v>32.9</v>
      </c>
      <c r="K1451" s="421">
        <f t="shared" si="358"/>
        <v>39.090000000000003</v>
      </c>
      <c r="L1451" s="647" t="s">
        <v>2065</v>
      </c>
      <c r="M1451" s="576"/>
      <c r="N1451" s="576">
        <f t="shared" si="361"/>
        <v>0</v>
      </c>
      <c r="O1451" s="577">
        <f t="shared" si="355"/>
        <v>0</v>
      </c>
      <c r="P1451" s="578">
        <f t="shared" si="356"/>
        <v>0</v>
      </c>
      <c r="Q1451" s="765"/>
      <c r="R1451" s="576">
        <f t="shared" si="363"/>
        <v>0</v>
      </c>
      <c r="S1451" s="576">
        <f t="shared" si="363"/>
        <v>0</v>
      </c>
      <c r="T1451" s="577">
        <f t="shared" si="353"/>
        <v>0</v>
      </c>
      <c r="U1451" s="578">
        <f t="shared" si="354"/>
        <v>0</v>
      </c>
      <c r="V1451" s="579"/>
      <c r="W1451" s="566"/>
      <c r="X1451" s="586" t="str">
        <f t="shared" si="357"/>
        <v/>
      </c>
      <c r="Y1451" s="586" t="str">
        <f t="shared" si="362"/>
        <v/>
      </c>
      <c r="Z1451" s="586" t="str">
        <f t="shared" si="360"/>
        <v/>
      </c>
    </row>
    <row r="1452" spans="1:26" ht="23.25" hidden="1" thickBot="1" x14ac:dyDescent="0.25">
      <c r="A1452" s="567">
        <v>92001</v>
      </c>
      <c r="B1452" s="644">
        <v>92001</v>
      </c>
      <c r="C1452" s="645" t="s">
        <v>670</v>
      </c>
      <c r="D1452" s="422" t="s">
        <v>1299</v>
      </c>
      <c r="E1452" s="423"/>
      <c r="F1452" s="424"/>
      <c r="G1452" s="425"/>
      <c r="H1452" s="651"/>
      <c r="I1452" s="420">
        <v>35.950000000000003</v>
      </c>
      <c r="J1452" s="420">
        <f t="shared" si="359"/>
        <v>35.950000000000003</v>
      </c>
      <c r="K1452" s="421">
        <f t="shared" si="358"/>
        <v>42.71</v>
      </c>
      <c r="L1452" s="647" t="s">
        <v>2065</v>
      </c>
      <c r="M1452" s="576"/>
      <c r="N1452" s="576">
        <f t="shared" si="361"/>
        <v>0</v>
      </c>
      <c r="O1452" s="577">
        <f t="shared" si="355"/>
        <v>0</v>
      </c>
      <c r="P1452" s="578">
        <f t="shared" si="356"/>
        <v>0</v>
      </c>
      <c r="Q1452" s="765"/>
      <c r="R1452" s="576">
        <f t="shared" si="363"/>
        <v>0</v>
      </c>
      <c r="S1452" s="576">
        <f t="shared" si="363"/>
        <v>0</v>
      </c>
      <c r="T1452" s="577">
        <f t="shared" si="353"/>
        <v>0</v>
      </c>
      <c r="U1452" s="578">
        <f t="shared" si="354"/>
        <v>0</v>
      </c>
      <c r="V1452" s="579"/>
      <c r="W1452" s="566"/>
      <c r="X1452" s="586" t="str">
        <f t="shared" si="357"/>
        <v/>
      </c>
      <c r="Y1452" s="586" t="str">
        <f t="shared" si="362"/>
        <v/>
      </c>
      <c r="Z1452" s="586" t="str">
        <f t="shared" si="360"/>
        <v/>
      </c>
    </row>
    <row r="1453" spans="1:26" ht="23.25" hidden="1" thickBot="1" x14ac:dyDescent="0.25">
      <c r="A1453" s="567">
        <v>92002</v>
      </c>
      <c r="B1453" s="644">
        <v>92002</v>
      </c>
      <c r="C1453" s="645" t="s">
        <v>670</v>
      </c>
      <c r="D1453" s="422" t="s">
        <v>1300</v>
      </c>
      <c r="E1453" s="423"/>
      <c r="F1453" s="424"/>
      <c r="G1453" s="425"/>
      <c r="H1453" s="651"/>
      <c r="I1453" s="420">
        <v>50.79</v>
      </c>
      <c r="J1453" s="420">
        <f t="shared" si="359"/>
        <v>50.79</v>
      </c>
      <c r="K1453" s="421">
        <f t="shared" si="358"/>
        <v>60.34</v>
      </c>
      <c r="L1453" s="647" t="s">
        <v>2065</v>
      </c>
      <c r="M1453" s="576"/>
      <c r="N1453" s="576">
        <f t="shared" si="361"/>
        <v>0</v>
      </c>
      <c r="O1453" s="577">
        <f t="shared" si="355"/>
        <v>0</v>
      </c>
      <c r="P1453" s="578">
        <f t="shared" si="356"/>
        <v>0</v>
      </c>
      <c r="Q1453" s="765"/>
      <c r="R1453" s="576">
        <f t="shared" si="363"/>
        <v>0</v>
      </c>
      <c r="S1453" s="576">
        <f t="shared" si="363"/>
        <v>0</v>
      </c>
      <c r="T1453" s="577">
        <f t="shared" si="353"/>
        <v>0</v>
      </c>
      <c r="U1453" s="578">
        <f t="shared" si="354"/>
        <v>0</v>
      </c>
      <c r="V1453" s="579"/>
      <c r="W1453" s="566"/>
      <c r="X1453" s="586" t="str">
        <f t="shared" si="357"/>
        <v/>
      </c>
      <c r="Y1453" s="586" t="str">
        <f t="shared" si="362"/>
        <v/>
      </c>
      <c r="Z1453" s="586" t="str">
        <f t="shared" si="360"/>
        <v/>
      </c>
    </row>
    <row r="1454" spans="1:26" ht="23.25" hidden="1" thickBot="1" x14ac:dyDescent="0.25">
      <c r="A1454" s="567">
        <v>92003</v>
      </c>
      <c r="B1454" s="644">
        <v>92003</v>
      </c>
      <c r="C1454" s="645" t="s">
        <v>670</v>
      </c>
      <c r="D1454" s="422" t="s">
        <v>1301</v>
      </c>
      <c r="E1454" s="423"/>
      <c r="F1454" s="424"/>
      <c r="G1454" s="425"/>
      <c r="H1454" s="651"/>
      <c r="I1454" s="420">
        <v>56.89</v>
      </c>
      <c r="J1454" s="420">
        <f t="shared" si="359"/>
        <v>56.89</v>
      </c>
      <c r="K1454" s="421">
        <f t="shared" si="358"/>
        <v>67.59</v>
      </c>
      <c r="L1454" s="647" t="s">
        <v>2065</v>
      </c>
      <c r="M1454" s="576"/>
      <c r="N1454" s="576">
        <f t="shared" si="361"/>
        <v>0</v>
      </c>
      <c r="O1454" s="577">
        <f t="shared" si="355"/>
        <v>0</v>
      </c>
      <c r="P1454" s="578">
        <f t="shared" si="356"/>
        <v>0</v>
      </c>
      <c r="Q1454" s="765"/>
      <c r="R1454" s="576">
        <f t="shared" si="363"/>
        <v>0</v>
      </c>
      <c r="S1454" s="576">
        <f t="shared" si="363"/>
        <v>0</v>
      </c>
      <c r="T1454" s="577">
        <f t="shared" si="353"/>
        <v>0</v>
      </c>
      <c r="U1454" s="578">
        <f t="shared" si="354"/>
        <v>0</v>
      </c>
      <c r="V1454" s="579"/>
      <c r="W1454" s="566"/>
      <c r="X1454" s="586" t="str">
        <f t="shared" si="357"/>
        <v/>
      </c>
      <c r="Y1454" s="586" t="str">
        <f t="shared" si="362"/>
        <v/>
      </c>
      <c r="Z1454" s="586" t="str">
        <f t="shared" si="360"/>
        <v/>
      </c>
    </row>
    <row r="1455" spans="1:26" ht="23.25" hidden="1" thickBot="1" x14ac:dyDescent="0.25">
      <c r="A1455" s="567">
        <v>92004</v>
      </c>
      <c r="B1455" s="644">
        <v>92004</v>
      </c>
      <c r="C1455" s="645" t="s">
        <v>670</v>
      </c>
      <c r="D1455" s="422" t="s">
        <v>1302</v>
      </c>
      <c r="E1455" s="423"/>
      <c r="F1455" s="424"/>
      <c r="G1455" s="425"/>
      <c r="H1455" s="651"/>
      <c r="I1455" s="420">
        <v>60.52</v>
      </c>
      <c r="J1455" s="420">
        <f t="shared" si="359"/>
        <v>60.52</v>
      </c>
      <c r="K1455" s="421">
        <f t="shared" si="358"/>
        <v>71.900000000000006</v>
      </c>
      <c r="L1455" s="647" t="s">
        <v>2065</v>
      </c>
      <c r="M1455" s="576"/>
      <c r="N1455" s="576">
        <f t="shared" si="361"/>
        <v>0</v>
      </c>
      <c r="O1455" s="577">
        <f t="shared" si="355"/>
        <v>0</v>
      </c>
      <c r="P1455" s="578">
        <f t="shared" si="356"/>
        <v>0</v>
      </c>
      <c r="Q1455" s="765"/>
      <c r="R1455" s="576">
        <f t="shared" si="363"/>
        <v>0</v>
      </c>
      <c r="S1455" s="576">
        <f t="shared" si="363"/>
        <v>0</v>
      </c>
      <c r="T1455" s="577">
        <f t="shared" si="353"/>
        <v>0</v>
      </c>
      <c r="U1455" s="578">
        <f t="shared" si="354"/>
        <v>0</v>
      </c>
      <c r="V1455" s="579"/>
      <c r="W1455" s="566"/>
      <c r="X1455" s="586" t="str">
        <f t="shared" si="357"/>
        <v/>
      </c>
      <c r="Y1455" s="586" t="str">
        <f t="shared" si="362"/>
        <v/>
      </c>
      <c r="Z1455" s="586" t="str">
        <f t="shared" si="360"/>
        <v/>
      </c>
    </row>
    <row r="1456" spans="1:26" ht="23.25" hidden="1" thickBot="1" x14ac:dyDescent="0.25">
      <c r="A1456" s="567">
        <v>92005</v>
      </c>
      <c r="B1456" s="644">
        <v>92005</v>
      </c>
      <c r="C1456" s="645" t="s">
        <v>670</v>
      </c>
      <c r="D1456" s="422" t="s">
        <v>1303</v>
      </c>
      <c r="E1456" s="423"/>
      <c r="F1456" s="424"/>
      <c r="G1456" s="425"/>
      <c r="H1456" s="651"/>
      <c r="I1456" s="420">
        <v>66.62</v>
      </c>
      <c r="J1456" s="420">
        <f t="shared" si="359"/>
        <v>66.62</v>
      </c>
      <c r="K1456" s="421">
        <f t="shared" si="358"/>
        <v>79.150000000000006</v>
      </c>
      <c r="L1456" s="647" t="s">
        <v>2065</v>
      </c>
      <c r="M1456" s="576"/>
      <c r="N1456" s="576">
        <f t="shared" si="361"/>
        <v>0</v>
      </c>
      <c r="O1456" s="577">
        <f t="shared" si="355"/>
        <v>0</v>
      </c>
      <c r="P1456" s="578">
        <f t="shared" si="356"/>
        <v>0</v>
      </c>
      <c r="Q1456" s="765"/>
      <c r="R1456" s="576">
        <f t="shared" si="363"/>
        <v>0</v>
      </c>
      <c r="S1456" s="576">
        <f t="shared" si="363"/>
        <v>0</v>
      </c>
      <c r="T1456" s="577">
        <f t="shared" si="353"/>
        <v>0</v>
      </c>
      <c r="U1456" s="578">
        <f t="shared" si="354"/>
        <v>0</v>
      </c>
      <c r="V1456" s="579"/>
      <c r="W1456" s="566"/>
      <c r="X1456" s="586" t="str">
        <f t="shared" si="357"/>
        <v/>
      </c>
      <c r="Y1456" s="586" t="str">
        <f t="shared" si="362"/>
        <v/>
      </c>
      <c r="Z1456" s="586" t="str">
        <f t="shared" si="360"/>
        <v/>
      </c>
    </row>
    <row r="1457" spans="1:26" ht="23.25" hidden="1" thickBot="1" x14ac:dyDescent="0.25">
      <c r="A1457" s="567">
        <v>92006</v>
      </c>
      <c r="B1457" s="644">
        <v>92006</v>
      </c>
      <c r="C1457" s="645" t="s">
        <v>670</v>
      </c>
      <c r="D1457" s="422" t="s">
        <v>1304</v>
      </c>
      <c r="E1457" s="423"/>
      <c r="F1457" s="424"/>
      <c r="G1457" s="425"/>
      <c r="H1457" s="651"/>
      <c r="I1457" s="420">
        <v>43.18</v>
      </c>
      <c r="J1457" s="420">
        <f t="shared" si="359"/>
        <v>43.18</v>
      </c>
      <c r="K1457" s="421">
        <f t="shared" si="358"/>
        <v>51.3</v>
      </c>
      <c r="L1457" s="647" t="s">
        <v>2065</v>
      </c>
      <c r="M1457" s="576"/>
      <c r="N1457" s="576">
        <f t="shared" si="361"/>
        <v>0</v>
      </c>
      <c r="O1457" s="577">
        <f t="shared" si="355"/>
        <v>0</v>
      </c>
      <c r="P1457" s="578">
        <f t="shared" si="356"/>
        <v>0</v>
      </c>
      <c r="Q1457" s="765"/>
      <c r="R1457" s="576">
        <f t="shared" si="363"/>
        <v>0</v>
      </c>
      <c r="S1457" s="576">
        <f t="shared" si="363"/>
        <v>0</v>
      </c>
      <c r="T1457" s="577">
        <f t="shared" si="353"/>
        <v>0</v>
      </c>
      <c r="U1457" s="578">
        <f t="shared" si="354"/>
        <v>0</v>
      </c>
      <c r="V1457" s="579"/>
      <c r="W1457" s="566"/>
      <c r="X1457" s="586" t="str">
        <f t="shared" si="357"/>
        <v/>
      </c>
      <c r="Y1457" s="586" t="str">
        <f t="shared" si="362"/>
        <v/>
      </c>
      <c r="Z1457" s="586" t="str">
        <f t="shared" si="360"/>
        <v/>
      </c>
    </row>
    <row r="1458" spans="1:26" ht="23.25" hidden="1" thickBot="1" x14ac:dyDescent="0.25">
      <c r="A1458" s="567">
        <v>92007</v>
      </c>
      <c r="B1458" s="644">
        <v>92007</v>
      </c>
      <c r="C1458" s="645" t="s">
        <v>670</v>
      </c>
      <c r="D1458" s="422" t="s">
        <v>1305</v>
      </c>
      <c r="E1458" s="423"/>
      <c r="F1458" s="424"/>
      <c r="G1458" s="425"/>
      <c r="H1458" s="651"/>
      <c r="I1458" s="420">
        <v>49.28</v>
      </c>
      <c r="J1458" s="420">
        <f t="shared" si="359"/>
        <v>49.28</v>
      </c>
      <c r="K1458" s="421">
        <f t="shared" si="358"/>
        <v>58.55</v>
      </c>
      <c r="L1458" s="647" t="s">
        <v>2065</v>
      </c>
      <c r="M1458" s="576"/>
      <c r="N1458" s="576">
        <f t="shared" si="361"/>
        <v>0</v>
      </c>
      <c r="O1458" s="577">
        <f t="shared" si="355"/>
        <v>0</v>
      </c>
      <c r="P1458" s="578">
        <f t="shared" si="356"/>
        <v>0</v>
      </c>
      <c r="Q1458" s="765"/>
      <c r="R1458" s="576">
        <f t="shared" si="363"/>
        <v>0</v>
      </c>
      <c r="S1458" s="576">
        <f t="shared" si="363"/>
        <v>0</v>
      </c>
      <c r="T1458" s="577">
        <f t="shared" si="353"/>
        <v>0</v>
      </c>
      <c r="U1458" s="578">
        <f t="shared" si="354"/>
        <v>0</v>
      </c>
      <c r="V1458" s="579"/>
      <c r="W1458" s="566"/>
      <c r="X1458" s="586" t="str">
        <f t="shared" si="357"/>
        <v/>
      </c>
      <c r="Y1458" s="586" t="str">
        <f t="shared" si="362"/>
        <v/>
      </c>
      <c r="Z1458" s="586" t="str">
        <f t="shared" si="360"/>
        <v/>
      </c>
    </row>
    <row r="1459" spans="1:26" ht="23.25" hidden="1" thickBot="1" x14ac:dyDescent="0.25">
      <c r="A1459" s="567">
        <v>92008</v>
      </c>
      <c r="B1459" s="644">
        <v>92008</v>
      </c>
      <c r="C1459" s="645" t="s">
        <v>670</v>
      </c>
      <c r="D1459" s="422" t="s">
        <v>1306</v>
      </c>
      <c r="E1459" s="423"/>
      <c r="F1459" s="424"/>
      <c r="G1459" s="425"/>
      <c r="H1459" s="651"/>
      <c r="I1459" s="420">
        <v>52.91</v>
      </c>
      <c r="J1459" s="420">
        <f t="shared" si="359"/>
        <v>52.91</v>
      </c>
      <c r="K1459" s="421">
        <f t="shared" si="358"/>
        <v>62.86</v>
      </c>
      <c r="L1459" s="647" t="s">
        <v>2065</v>
      </c>
      <c r="M1459" s="576"/>
      <c r="N1459" s="576">
        <f t="shared" si="361"/>
        <v>0</v>
      </c>
      <c r="O1459" s="577">
        <f t="shared" si="355"/>
        <v>0</v>
      </c>
      <c r="P1459" s="578">
        <f t="shared" si="356"/>
        <v>0</v>
      </c>
      <c r="Q1459" s="765"/>
      <c r="R1459" s="576">
        <f t="shared" si="363"/>
        <v>0</v>
      </c>
      <c r="S1459" s="576">
        <f t="shared" si="363"/>
        <v>0</v>
      </c>
      <c r="T1459" s="577">
        <f t="shared" si="353"/>
        <v>0</v>
      </c>
      <c r="U1459" s="578">
        <f t="shared" si="354"/>
        <v>0</v>
      </c>
      <c r="V1459" s="579"/>
      <c r="W1459" s="566"/>
      <c r="X1459" s="586" t="str">
        <f t="shared" si="357"/>
        <v/>
      </c>
      <c r="Y1459" s="586" t="str">
        <f t="shared" si="362"/>
        <v/>
      </c>
      <c r="Z1459" s="586" t="str">
        <f t="shared" si="360"/>
        <v/>
      </c>
    </row>
    <row r="1460" spans="1:26" ht="23.25" hidden="1" thickBot="1" x14ac:dyDescent="0.25">
      <c r="A1460" s="567">
        <v>92009</v>
      </c>
      <c r="B1460" s="644">
        <v>92009</v>
      </c>
      <c r="C1460" s="645" t="s">
        <v>670</v>
      </c>
      <c r="D1460" s="422" t="s">
        <v>1307</v>
      </c>
      <c r="E1460" s="423"/>
      <c r="F1460" s="424"/>
      <c r="G1460" s="425"/>
      <c r="H1460" s="651"/>
      <c r="I1460" s="420">
        <v>59.01</v>
      </c>
      <c r="J1460" s="420">
        <f t="shared" si="359"/>
        <v>59.01</v>
      </c>
      <c r="K1460" s="421">
        <f t="shared" si="358"/>
        <v>70.11</v>
      </c>
      <c r="L1460" s="647" t="s">
        <v>2065</v>
      </c>
      <c r="M1460" s="576"/>
      <c r="N1460" s="576">
        <f t="shared" si="361"/>
        <v>0</v>
      </c>
      <c r="O1460" s="577">
        <f t="shared" si="355"/>
        <v>0</v>
      </c>
      <c r="P1460" s="578">
        <f t="shared" si="356"/>
        <v>0</v>
      </c>
      <c r="Q1460" s="765"/>
      <c r="R1460" s="576">
        <f t="shared" si="363"/>
        <v>0</v>
      </c>
      <c r="S1460" s="576">
        <f t="shared" si="363"/>
        <v>0</v>
      </c>
      <c r="T1460" s="577">
        <f t="shared" ref="T1460:T1523" si="364">IF(ISBLANK(R1460),0,ROUND(K1460*R1460,2))</f>
        <v>0</v>
      </c>
      <c r="U1460" s="578">
        <f t="shared" ref="U1460:U1523" si="365">IF(ISBLANK(R1460),0,ROUND(R1460*S1460,2))</f>
        <v>0</v>
      </c>
      <c r="V1460" s="579"/>
      <c r="W1460" s="566"/>
      <c r="X1460" s="586" t="str">
        <f t="shared" si="357"/>
        <v/>
      </c>
      <c r="Y1460" s="586" t="str">
        <f t="shared" si="362"/>
        <v/>
      </c>
      <c r="Z1460" s="586" t="str">
        <f t="shared" si="360"/>
        <v/>
      </c>
    </row>
    <row r="1461" spans="1:26" ht="23.25" hidden="1" thickBot="1" x14ac:dyDescent="0.25">
      <c r="A1461" s="567">
        <v>92010</v>
      </c>
      <c r="B1461" s="644">
        <v>92010</v>
      </c>
      <c r="C1461" s="645" t="s">
        <v>670</v>
      </c>
      <c r="D1461" s="422" t="s">
        <v>1308</v>
      </c>
      <c r="E1461" s="423"/>
      <c r="F1461" s="424"/>
      <c r="G1461" s="425"/>
      <c r="H1461" s="651"/>
      <c r="I1461" s="420">
        <v>74.61</v>
      </c>
      <c r="J1461" s="420">
        <f t="shared" si="359"/>
        <v>74.61</v>
      </c>
      <c r="K1461" s="421">
        <f t="shared" si="358"/>
        <v>88.64</v>
      </c>
      <c r="L1461" s="647" t="s">
        <v>2065</v>
      </c>
      <c r="M1461" s="576"/>
      <c r="N1461" s="576">
        <f t="shared" si="361"/>
        <v>0</v>
      </c>
      <c r="O1461" s="577">
        <f t="shared" ref="O1461:O1524" si="366">IF(ISBLANK(M1461),0,ROUND(K1461*M1461,2))</f>
        <v>0</v>
      </c>
      <c r="P1461" s="578">
        <f t="shared" ref="P1461:P1524" si="367">IF(ISBLANK(N1461),0,ROUND(M1461*N1461,2))</f>
        <v>0</v>
      </c>
      <c r="Q1461" s="765"/>
      <c r="R1461" s="576">
        <f t="shared" si="363"/>
        <v>0</v>
      </c>
      <c r="S1461" s="576">
        <f t="shared" si="363"/>
        <v>0</v>
      </c>
      <c r="T1461" s="577">
        <f t="shared" si="364"/>
        <v>0</v>
      </c>
      <c r="U1461" s="578">
        <f t="shared" si="365"/>
        <v>0</v>
      </c>
      <c r="V1461" s="579"/>
      <c r="W1461" s="566"/>
      <c r="X1461" s="586" t="str">
        <f t="shared" si="357"/>
        <v/>
      </c>
      <c r="Y1461" s="586" t="str">
        <f t="shared" si="362"/>
        <v/>
      </c>
      <c r="Z1461" s="586" t="str">
        <f t="shared" si="360"/>
        <v/>
      </c>
    </row>
    <row r="1462" spans="1:26" ht="23.25" hidden="1" thickBot="1" x14ac:dyDescent="0.25">
      <c r="A1462" s="567">
        <v>92011</v>
      </c>
      <c r="B1462" s="644">
        <v>92011</v>
      </c>
      <c r="C1462" s="645" t="s">
        <v>670</v>
      </c>
      <c r="D1462" s="422" t="s">
        <v>1309</v>
      </c>
      <c r="E1462" s="423"/>
      <c r="F1462" s="424"/>
      <c r="G1462" s="425"/>
      <c r="H1462" s="651"/>
      <c r="I1462" s="420">
        <v>83.76</v>
      </c>
      <c r="J1462" s="420">
        <f t="shared" si="359"/>
        <v>83.76</v>
      </c>
      <c r="K1462" s="421">
        <f t="shared" si="358"/>
        <v>99.52</v>
      </c>
      <c r="L1462" s="647" t="s">
        <v>2065</v>
      </c>
      <c r="M1462" s="576"/>
      <c r="N1462" s="576">
        <f t="shared" si="361"/>
        <v>0</v>
      </c>
      <c r="O1462" s="577">
        <f t="shared" si="366"/>
        <v>0</v>
      </c>
      <c r="P1462" s="578">
        <f t="shared" si="367"/>
        <v>0</v>
      </c>
      <c r="Q1462" s="765"/>
      <c r="R1462" s="576">
        <f t="shared" si="363"/>
        <v>0</v>
      </c>
      <c r="S1462" s="576">
        <f t="shared" si="363"/>
        <v>0</v>
      </c>
      <c r="T1462" s="577">
        <f t="shared" si="364"/>
        <v>0</v>
      </c>
      <c r="U1462" s="578">
        <f t="shared" si="365"/>
        <v>0</v>
      </c>
      <c r="V1462" s="579"/>
      <c r="W1462" s="566"/>
      <c r="X1462" s="586" t="str">
        <f t="shared" si="357"/>
        <v/>
      </c>
      <c r="Y1462" s="586" t="str">
        <f t="shared" si="362"/>
        <v/>
      </c>
      <c r="Z1462" s="586" t="str">
        <f t="shared" si="360"/>
        <v/>
      </c>
    </row>
    <row r="1463" spans="1:26" ht="23.25" hidden="1" thickBot="1" x14ac:dyDescent="0.25">
      <c r="A1463" s="567">
        <v>92012</v>
      </c>
      <c r="B1463" s="644">
        <v>92012</v>
      </c>
      <c r="C1463" s="645" t="s">
        <v>670</v>
      </c>
      <c r="D1463" s="422" t="s">
        <v>1310</v>
      </c>
      <c r="E1463" s="423"/>
      <c r="F1463" s="424"/>
      <c r="G1463" s="425"/>
      <c r="H1463" s="651"/>
      <c r="I1463" s="420">
        <v>84.34</v>
      </c>
      <c r="J1463" s="420">
        <f t="shared" si="359"/>
        <v>84.34</v>
      </c>
      <c r="K1463" s="421">
        <f t="shared" si="358"/>
        <v>100.2</v>
      </c>
      <c r="L1463" s="647" t="s">
        <v>2065</v>
      </c>
      <c r="M1463" s="576"/>
      <c r="N1463" s="576">
        <f t="shared" si="361"/>
        <v>0</v>
      </c>
      <c r="O1463" s="577">
        <f t="shared" si="366"/>
        <v>0</v>
      </c>
      <c r="P1463" s="578">
        <f t="shared" si="367"/>
        <v>0</v>
      </c>
      <c r="Q1463" s="765"/>
      <c r="R1463" s="576">
        <f t="shared" si="363"/>
        <v>0</v>
      </c>
      <c r="S1463" s="576">
        <f t="shared" si="363"/>
        <v>0</v>
      </c>
      <c r="T1463" s="577">
        <f t="shared" si="364"/>
        <v>0</v>
      </c>
      <c r="U1463" s="578">
        <f t="shared" si="365"/>
        <v>0</v>
      </c>
      <c r="V1463" s="579"/>
      <c r="W1463" s="566"/>
      <c r="X1463" s="586" t="str">
        <f t="shared" si="357"/>
        <v/>
      </c>
      <c r="Y1463" s="586" t="str">
        <f t="shared" si="362"/>
        <v/>
      </c>
      <c r="Z1463" s="586" t="str">
        <f t="shared" si="360"/>
        <v/>
      </c>
    </row>
    <row r="1464" spans="1:26" ht="23.25" hidden="1" thickBot="1" x14ac:dyDescent="0.25">
      <c r="A1464" s="567">
        <v>92013</v>
      </c>
      <c r="B1464" s="644">
        <v>92013</v>
      </c>
      <c r="C1464" s="645" t="s">
        <v>670</v>
      </c>
      <c r="D1464" s="422" t="s">
        <v>1311</v>
      </c>
      <c r="E1464" s="423"/>
      <c r="F1464" s="424"/>
      <c r="G1464" s="425"/>
      <c r="H1464" s="651"/>
      <c r="I1464" s="420">
        <v>93.49</v>
      </c>
      <c r="J1464" s="420">
        <f t="shared" si="359"/>
        <v>93.49</v>
      </c>
      <c r="K1464" s="421">
        <f t="shared" si="358"/>
        <v>111.08</v>
      </c>
      <c r="L1464" s="647" t="s">
        <v>2065</v>
      </c>
      <c r="M1464" s="576"/>
      <c r="N1464" s="576">
        <f t="shared" si="361"/>
        <v>0</v>
      </c>
      <c r="O1464" s="577">
        <f t="shared" si="366"/>
        <v>0</v>
      </c>
      <c r="P1464" s="578">
        <f t="shared" si="367"/>
        <v>0</v>
      </c>
      <c r="Q1464" s="765"/>
      <c r="R1464" s="576">
        <f t="shared" si="363"/>
        <v>0</v>
      </c>
      <c r="S1464" s="576">
        <f t="shared" si="363"/>
        <v>0</v>
      </c>
      <c r="T1464" s="577">
        <f t="shared" si="364"/>
        <v>0</v>
      </c>
      <c r="U1464" s="578">
        <f t="shared" si="365"/>
        <v>0</v>
      </c>
      <c r="V1464" s="579"/>
      <c r="W1464" s="566"/>
      <c r="X1464" s="586" t="str">
        <f t="shared" si="357"/>
        <v/>
      </c>
      <c r="Y1464" s="586" t="str">
        <f t="shared" si="362"/>
        <v/>
      </c>
      <c r="Z1464" s="586" t="str">
        <f t="shared" si="360"/>
        <v/>
      </c>
    </row>
    <row r="1465" spans="1:26" ht="23.25" hidden="1" thickBot="1" x14ac:dyDescent="0.25">
      <c r="A1465" s="567">
        <v>92014</v>
      </c>
      <c r="B1465" s="644">
        <v>92014</v>
      </c>
      <c r="C1465" s="645" t="s">
        <v>670</v>
      </c>
      <c r="D1465" s="422" t="s">
        <v>1312</v>
      </c>
      <c r="E1465" s="423"/>
      <c r="F1465" s="424"/>
      <c r="G1465" s="425"/>
      <c r="H1465" s="651"/>
      <c r="I1465" s="420">
        <v>63.18</v>
      </c>
      <c r="J1465" s="420">
        <f t="shared" si="359"/>
        <v>63.18</v>
      </c>
      <c r="K1465" s="421">
        <f t="shared" si="358"/>
        <v>75.06</v>
      </c>
      <c r="L1465" s="647" t="s">
        <v>2065</v>
      </c>
      <c r="M1465" s="576"/>
      <c r="N1465" s="576">
        <f t="shared" si="361"/>
        <v>0</v>
      </c>
      <c r="O1465" s="577">
        <f t="shared" si="366"/>
        <v>0</v>
      </c>
      <c r="P1465" s="578">
        <f t="shared" si="367"/>
        <v>0</v>
      </c>
      <c r="Q1465" s="765"/>
      <c r="R1465" s="576">
        <f t="shared" si="363"/>
        <v>0</v>
      </c>
      <c r="S1465" s="576">
        <f t="shared" si="363"/>
        <v>0</v>
      </c>
      <c r="T1465" s="577">
        <f t="shared" si="364"/>
        <v>0</v>
      </c>
      <c r="U1465" s="578">
        <f t="shared" si="365"/>
        <v>0</v>
      </c>
      <c r="V1465" s="579"/>
      <c r="W1465" s="566"/>
      <c r="X1465" s="586" t="str">
        <f t="shared" si="357"/>
        <v/>
      </c>
      <c r="Y1465" s="586" t="str">
        <f t="shared" si="362"/>
        <v/>
      </c>
      <c r="Z1465" s="586" t="str">
        <f t="shared" si="360"/>
        <v/>
      </c>
    </row>
    <row r="1466" spans="1:26" ht="23.25" hidden="1" thickBot="1" x14ac:dyDescent="0.25">
      <c r="A1466" s="567">
        <v>92015</v>
      </c>
      <c r="B1466" s="644">
        <v>92015</v>
      </c>
      <c r="C1466" s="645" t="s">
        <v>670</v>
      </c>
      <c r="D1466" s="422" t="s">
        <v>1313</v>
      </c>
      <c r="E1466" s="423"/>
      <c r="F1466" s="424"/>
      <c r="G1466" s="425"/>
      <c r="H1466" s="651"/>
      <c r="I1466" s="420">
        <v>72.33</v>
      </c>
      <c r="J1466" s="420">
        <f t="shared" si="359"/>
        <v>72.33</v>
      </c>
      <c r="K1466" s="421">
        <f t="shared" si="358"/>
        <v>85.94</v>
      </c>
      <c r="L1466" s="647" t="s">
        <v>2065</v>
      </c>
      <c r="M1466" s="576"/>
      <c r="N1466" s="576">
        <f t="shared" si="361"/>
        <v>0</v>
      </c>
      <c r="O1466" s="577">
        <f t="shared" si="366"/>
        <v>0</v>
      </c>
      <c r="P1466" s="578">
        <f t="shared" si="367"/>
        <v>0</v>
      </c>
      <c r="Q1466" s="765"/>
      <c r="R1466" s="576">
        <f t="shared" si="363"/>
        <v>0</v>
      </c>
      <c r="S1466" s="576">
        <f t="shared" si="363"/>
        <v>0</v>
      </c>
      <c r="T1466" s="577">
        <f t="shared" si="364"/>
        <v>0</v>
      </c>
      <c r="U1466" s="578">
        <f t="shared" si="365"/>
        <v>0</v>
      </c>
      <c r="V1466" s="579"/>
      <c r="W1466" s="566"/>
      <c r="X1466" s="586" t="str">
        <f t="shared" si="357"/>
        <v/>
      </c>
      <c r="Y1466" s="586" t="str">
        <f t="shared" si="362"/>
        <v/>
      </c>
      <c r="Z1466" s="586" t="str">
        <f t="shared" si="360"/>
        <v/>
      </c>
    </row>
    <row r="1467" spans="1:26" ht="23.25" hidden="1" thickBot="1" x14ac:dyDescent="0.25">
      <c r="A1467" s="567">
        <v>92016</v>
      </c>
      <c r="B1467" s="644">
        <v>92016</v>
      </c>
      <c r="C1467" s="645" t="s">
        <v>670</v>
      </c>
      <c r="D1467" s="422" t="s">
        <v>1314</v>
      </c>
      <c r="E1467" s="423"/>
      <c r="F1467" s="424"/>
      <c r="G1467" s="425"/>
      <c r="H1467" s="651"/>
      <c r="I1467" s="420">
        <v>72.91</v>
      </c>
      <c r="J1467" s="420">
        <f t="shared" si="359"/>
        <v>72.91</v>
      </c>
      <c r="K1467" s="421">
        <f t="shared" si="358"/>
        <v>86.62</v>
      </c>
      <c r="L1467" s="647" t="s">
        <v>2065</v>
      </c>
      <c r="M1467" s="576"/>
      <c r="N1467" s="576">
        <f t="shared" si="361"/>
        <v>0</v>
      </c>
      <c r="O1467" s="577">
        <f t="shared" si="366"/>
        <v>0</v>
      </c>
      <c r="P1467" s="578">
        <f t="shared" si="367"/>
        <v>0</v>
      </c>
      <c r="Q1467" s="765"/>
      <c r="R1467" s="576">
        <f t="shared" si="363"/>
        <v>0</v>
      </c>
      <c r="S1467" s="576">
        <f t="shared" si="363"/>
        <v>0</v>
      </c>
      <c r="T1467" s="577">
        <f t="shared" si="364"/>
        <v>0</v>
      </c>
      <c r="U1467" s="578">
        <f t="shared" si="365"/>
        <v>0</v>
      </c>
      <c r="V1467" s="579"/>
      <c r="W1467" s="566"/>
      <c r="X1467" s="586" t="str">
        <f t="shared" si="357"/>
        <v/>
      </c>
      <c r="Y1467" s="586" t="str">
        <f t="shared" si="362"/>
        <v/>
      </c>
      <c r="Z1467" s="586" t="str">
        <f t="shared" si="360"/>
        <v/>
      </c>
    </row>
    <row r="1468" spans="1:26" ht="23.25" hidden="1" thickBot="1" x14ac:dyDescent="0.25">
      <c r="A1468" s="567">
        <v>92017</v>
      </c>
      <c r="B1468" s="644">
        <v>92017</v>
      </c>
      <c r="C1468" s="645" t="s">
        <v>670</v>
      </c>
      <c r="D1468" s="422" t="s">
        <v>1315</v>
      </c>
      <c r="E1468" s="423"/>
      <c r="F1468" s="424"/>
      <c r="G1468" s="425"/>
      <c r="H1468" s="651"/>
      <c r="I1468" s="420">
        <v>82.06</v>
      </c>
      <c r="J1468" s="420">
        <f t="shared" si="359"/>
        <v>82.06</v>
      </c>
      <c r="K1468" s="421">
        <f t="shared" si="358"/>
        <v>97.5</v>
      </c>
      <c r="L1468" s="647" t="s">
        <v>2065</v>
      </c>
      <c r="M1468" s="576"/>
      <c r="N1468" s="576">
        <f t="shared" si="361"/>
        <v>0</v>
      </c>
      <c r="O1468" s="577">
        <f t="shared" si="366"/>
        <v>0</v>
      </c>
      <c r="P1468" s="578">
        <f t="shared" si="367"/>
        <v>0</v>
      </c>
      <c r="Q1468" s="765"/>
      <c r="R1468" s="576">
        <f t="shared" si="363"/>
        <v>0</v>
      </c>
      <c r="S1468" s="576">
        <f t="shared" si="363"/>
        <v>0</v>
      </c>
      <c r="T1468" s="577">
        <f t="shared" si="364"/>
        <v>0</v>
      </c>
      <c r="U1468" s="578">
        <f t="shared" si="365"/>
        <v>0</v>
      </c>
      <c r="V1468" s="579"/>
      <c r="W1468" s="566"/>
      <c r="X1468" s="586" t="str">
        <f t="shared" si="357"/>
        <v/>
      </c>
      <c r="Y1468" s="586" t="str">
        <f t="shared" si="362"/>
        <v/>
      </c>
      <c r="Z1468" s="586" t="str">
        <f t="shared" si="360"/>
        <v/>
      </c>
    </row>
    <row r="1469" spans="1:26" ht="23.25" hidden="1" thickBot="1" x14ac:dyDescent="0.25">
      <c r="A1469" s="567">
        <v>92018</v>
      </c>
      <c r="B1469" s="644">
        <v>92018</v>
      </c>
      <c r="C1469" s="645" t="s">
        <v>670</v>
      </c>
      <c r="D1469" s="422" t="s">
        <v>1316</v>
      </c>
      <c r="E1469" s="423"/>
      <c r="F1469" s="424"/>
      <c r="G1469" s="425"/>
      <c r="H1469" s="651"/>
      <c r="I1469" s="420">
        <v>83.7</v>
      </c>
      <c r="J1469" s="420">
        <f t="shared" si="359"/>
        <v>83.7</v>
      </c>
      <c r="K1469" s="421">
        <f t="shared" si="358"/>
        <v>99.44</v>
      </c>
      <c r="L1469" s="647" t="s">
        <v>2065</v>
      </c>
      <c r="M1469" s="576"/>
      <c r="N1469" s="576">
        <f t="shared" si="361"/>
        <v>0</v>
      </c>
      <c r="O1469" s="577">
        <f t="shared" si="366"/>
        <v>0</v>
      </c>
      <c r="P1469" s="578">
        <f t="shared" si="367"/>
        <v>0</v>
      </c>
      <c r="Q1469" s="765"/>
      <c r="R1469" s="576">
        <f t="shared" si="363"/>
        <v>0</v>
      </c>
      <c r="S1469" s="576">
        <f t="shared" si="363"/>
        <v>0</v>
      </c>
      <c r="T1469" s="577">
        <f t="shared" si="364"/>
        <v>0</v>
      </c>
      <c r="U1469" s="578">
        <f t="shared" si="365"/>
        <v>0</v>
      </c>
      <c r="V1469" s="579"/>
      <c r="W1469" s="566"/>
      <c r="X1469" s="586" t="str">
        <f t="shared" ref="X1469:X1532" si="368">IF(W1469="X","x",IF(W1469="xx","x",IF(W1469="xy","x",IF(W1469="y","x",IF(OR(P1469&gt;0,U1469&gt;0),"x","")))))</f>
        <v/>
      </c>
      <c r="Y1469" s="586" t="str">
        <f t="shared" si="362"/>
        <v/>
      </c>
      <c r="Z1469" s="586" t="str">
        <f t="shared" si="360"/>
        <v/>
      </c>
    </row>
    <row r="1470" spans="1:26" ht="23.25" hidden="1" thickBot="1" x14ac:dyDescent="0.25">
      <c r="A1470" s="567">
        <v>92019</v>
      </c>
      <c r="B1470" s="644">
        <v>92019</v>
      </c>
      <c r="C1470" s="645" t="s">
        <v>670</v>
      </c>
      <c r="D1470" s="422" t="s">
        <v>1317</v>
      </c>
      <c r="E1470" s="423"/>
      <c r="F1470" s="424"/>
      <c r="G1470" s="425"/>
      <c r="H1470" s="651"/>
      <c r="I1470" s="420">
        <v>99.59</v>
      </c>
      <c r="J1470" s="420">
        <f t="shared" si="359"/>
        <v>99.59</v>
      </c>
      <c r="K1470" s="421">
        <f t="shared" si="358"/>
        <v>118.32</v>
      </c>
      <c r="L1470" s="647" t="s">
        <v>2065</v>
      </c>
      <c r="M1470" s="576"/>
      <c r="N1470" s="576">
        <f t="shared" si="361"/>
        <v>0</v>
      </c>
      <c r="O1470" s="577">
        <f t="shared" si="366"/>
        <v>0</v>
      </c>
      <c r="P1470" s="578">
        <f t="shared" si="367"/>
        <v>0</v>
      </c>
      <c r="Q1470" s="765"/>
      <c r="R1470" s="576">
        <f t="shared" si="363"/>
        <v>0</v>
      </c>
      <c r="S1470" s="576">
        <f t="shared" si="363"/>
        <v>0</v>
      </c>
      <c r="T1470" s="577">
        <f t="shared" si="364"/>
        <v>0</v>
      </c>
      <c r="U1470" s="578">
        <f t="shared" si="365"/>
        <v>0</v>
      </c>
      <c r="V1470" s="579"/>
      <c r="W1470" s="566"/>
      <c r="X1470" s="586" t="str">
        <f t="shared" si="368"/>
        <v/>
      </c>
      <c r="Y1470" s="586" t="str">
        <f t="shared" si="362"/>
        <v/>
      </c>
      <c r="Z1470" s="586" t="str">
        <f t="shared" si="360"/>
        <v/>
      </c>
    </row>
    <row r="1471" spans="1:26" ht="23.25" hidden="1" thickBot="1" x14ac:dyDescent="0.25">
      <c r="A1471" s="567">
        <v>92020</v>
      </c>
      <c r="B1471" s="644">
        <v>92020</v>
      </c>
      <c r="C1471" s="645" t="s">
        <v>670</v>
      </c>
      <c r="D1471" s="422" t="s">
        <v>1318</v>
      </c>
      <c r="E1471" s="423"/>
      <c r="F1471" s="424"/>
      <c r="G1471" s="425"/>
      <c r="H1471" s="651"/>
      <c r="I1471" s="420">
        <v>123.97</v>
      </c>
      <c r="J1471" s="420">
        <f t="shared" si="359"/>
        <v>123.97</v>
      </c>
      <c r="K1471" s="421">
        <f t="shared" si="358"/>
        <v>147.29</v>
      </c>
      <c r="L1471" s="647" t="s">
        <v>2065</v>
      </c>
      <c r="M1471" s="576"/>
      <c r="N1471" s="576">
        <f t="shared" si="361"/>
        <v>0</v>
      </c>
      <c r="O1471" s="577">
        <f t="shared" si="366"/>
        <v>0</v>
      </c>
      <c r="P1471" s="578">
        <f t="shared" si="367"/>
        <v>0</v>
      </c>
      <c r="Q1471" s="765"/>
      <c r="R1471" s="576">
        <f t="shared" si="363"/>
        <v>0</v>
      </c>
      <c r="S1471" s="576">
        <f t="shared" si="363"/>
        <v>0</v>
      </c>
      <c r="T1471" s="577">
        <f t="shared" si="364"/>
        <v>0</v>
      </c>
      <c r="U1471" s="578">
        <f t="shared" si="365"/>
        <v>0</v>
      </c>
      <c r="V1471" s="579"/>
      <c r="W1471" s="566"/>
      <c r="X1471" s="586" t="str">
        <f t="shared" si="368"/>
        <v/>
      </c>
      <c r="Y1471" s="586" t="str">
        <f t="shared" si="362"/>
        <v/>
      </c>
      <c r="Z1471" s="586" t="str">
        <f t="shared" si="360"/>
        <v/>
      </c>
    </row>
    <row r="1472" spans="1:26" ht="23.25" hidden="1" thickBot="1" x14ac:dyDescent="0.25">
      <c r="A1472" s="567">
        <v>92021</v>
      </c>
      <c r="B1472" s="644">
        <v>92021</v>
      </c>
      <c r="C1472" s="645" t="s">
        <v>670</v>
      </c>
      <c r="D1472" s="422" t="s">
        <v>1319</v>
      </c>
      <c r="E1472" s="423"/>
      <c r="F1472" s="424"/>
      <c r="G1472" s="425"/>
      <c r="H1472" s="651"/>
      <c r="I1472" s="420">
        <v>139.86000000000001</v>
      </c>
      <c r="J1472" s="420">
        <f t="shared" si="359"/>
        <v>139.86000000000001</v>
      </c>
      <c r="K1472" s="421">
        <f t="shared" si="358"/>
        <v>166.17</v>
      </c>
      <c r="L1472" s="647" t="s">
        <v>2065</v>
      </c>
      <c r="M1472" s="576"/>
      <c r="N1472" s="576">
        <f t="shared" si="361"/>
        <v>0</v>
      </c>
      <c r="O1472" s="577">
        <f t="shared" si="366"/>
        <v>0</v>
      </c>
      <c r="P1472" s="578">
        <f t="shared" si="367"/>
        <v>0</v>
      </c>
      <c r="Q1472" s="765"/>
      <c r="R1472" s="576">
        <f t="shared" si="363"/>
        <v>0</v>
      </c>
      <c r="S1472" s="576">
        <f t="shared" si="363"/>
        <v>0</v>
      </c>
      <c r="T1472" s="577">
        <f t="shared" si="364"/>
        <v>0</v>
      </c>
      <c r="U1472" s="578">
        <f t="shared" si="365"/>
        <v>0</v>
      </c>
      <c r="V1472" s="579"/>
      <c r="W1472" s="566"/>
      <c r="X1472" s="586" t="str">
        <f t="shared" si="368"/>
        <v/>
      </c>
      <c r="Y1472" s="586" t="str">
        <f t="shared" si="362"/>
        <v/>
      </c>
      <c r="Z1472" s="586" t="str">
        <f t="shared" si="360"/>
        <v/>
      </c>
    </row>
    <row r="1473" spans="1:26" ht="23.25" hidden="1" thickBot="1" x14ac:dyDescent="0.25">
      <c r="A1473" s="567">
        <v>93141</v>
      </c>
      <c r="B1473" s="644">
        <v>93141</v>
      </c>
      <c r="C1473" s="645" t="s">
        <v>670</v>
      </c>
      <c r="D1473" s="422" t="s">
        <v>1320</v>
      </c>
      <c r="E1473" s="423"/>
      <c r="F1473" s="424"/>
      <c r="G1473" s="425"/>
      <c r="H1473" s="651"/>
      <c r="I1473" s="420">
        <v>196.92</v>
      </c>
      <c r="J1473" s="420">
        <f t="shared" si="359"/>
        <v>196.92</v>
      </c>
      <c r="K1473" s="421">
        <f t="shared" si="358"/>
        <v>233.96</v>
      </c>
      <c r="L1473" s="647" t="s">
        <v>2065</v>
      </c>
      <c r="M1473" s="576"/>
      <c r="N1473" s="576">
        <f t="shared" si="361"/>
        <v>0</v>
      </c>
      <c r="O1473" s="577">
        <f t="shared" si="366"/>
        <v>0</v>
      </c>
      <c r="P1473" s="578">
        <f t="shared" si="367"/>
        <v>0</v>
      </c>
      <c r="Q1473" s="765"/>
      <c r="R1473" s="576">
        <f t="shared" si="363"/>
        <v>0</v>
      </c>
      <c r="S1473" s="576">
        <f t="shared" si="363"/>
        <v>0</v>
      </c>
      <c r="T1473" s="577">
        <f t="shared" si="364"/>
        <v>0</v>
      </c>
      <c r="U1473" s="578">
        <f t="shared" si="365"/>
        <v>0</v>
      </c>
      <c r="V1473" s="579"/>
      <c r="W1473" s="566"/>
      <c r="X1473" s="586" t="str">
        <f t="shared" si="368"/>
        <v/>
      </c>
      <c r="Y1473" s="586" t="str">
        <f t="shared" si="362"/>
        <v/>
      </c>
      <c r="Z1473" s="586" t="str">
        <f t="shared" si="360"/>
        <v/>
      </c>
    </row>
    <row r="1474" spans="1:26" ht="23.25" hidden="1" thickBot="1" x14ac:dyDescent="0.25">
      <c r="A1474" s="567">
        <v>93142</v>
      </c>
      <c r="B1474" s="644">
        <v>93142</v>
      </c>
      <c r="C1474" s="645" t="s">
        <v>670</v>
      </c>
      <c r="D1474" s="422" t="s">
        <v>1321</v>
      </c>
      <c r="E1474" s="423"/>
      <c r="F1474" s="424"/>
      <c r="G1474" s="425"/>
      <c r="H1474" s="651"/>
      <c r="I1474" s="420">
        <v>220.72</v>
      </c>
      <c r="J1474" s="420">
        <f t="shared" si="359"/>
        <v>220.72</v>
      </c>
      <c r="K1474" s="421">
        <f t="shared" si="358"/>
        <v>262.24</v>
      </c>
      <c r="L1474" s="647" t="s">
        <v>2065</v>
      </c>
      <c r="M1474" s="576"/>
      <c r="N1474" s="576">
        <f t="shared" si="361"/>
        <v>0</v>
      </c>
      <c r="O1474" s="577">
        <f t="shared" si="366"/>
        <v>0</v>
      </c>
      <c r="P1474" s="578">
        <f t="shared" si="367"/>
        <v>0</v>
      </c>
      <c r="Q1474" s="765"/>
      <c r="R1474" s="576">
        <f t="shared" si="363"/>
        <v>0</v>
      </c>
      <c r="S1474" s="576">
        <f t="shared" si="363"/>
        <v>0</v>
      </c>
      <c r="T1474" s="577">
        <f t="shared" si="364"/>
        <v>0</v>
      </c>
      <c r="U1474" s="578">
        <f t="shared" si="365"/>
        <v>0</v>
      </c>
      <c r="V1474" s="579"/>
      <c r="W1474" s="566"/>
      <c r="X1474" s="586" t="str">
        <f t="shared" si="368"/>
        <v/>
      </c>
      <c r="Y1474" s="586" t="str">
        <f t="shared" si="362"/>
        <v/>
      </c>
      <c r="Z1474" s="586" t="str">
        <f t="shared" si="360"/>
        <v/>
      </c>
    </row>
    <row r="1475" spans="1:26" ht="23.25" hidden="1" thickBot="1" x14ac:dyDescent="0.25">
      <c r="A1475" s="567">
        <v>93143</v>
      </c>
      <c r="B1475" s="644">
        <v>93143</v>
      </c>
      <c r="C1475" s="645" t="s">
        <v>670</v>
      </c>
      <c r="D1475" s="422" t="s">
        <v>1322</v>
      </c>
      <c r="E1475" s="423"/>
      <c r="F1475" s="424"/>
      <c r="G1475" s="425"/>
      <c r="H1475" s="651"/>
      <c r="I1475" s="420">
        <v>199.97</v>
      </c>
      <c r="J1475" s="420">
        <f t="shared" si="359"/>
        <v>199.97</v>
      </c>
      <c r="K1475" s="421">
        <f t="shared" si="358"/>
        <v>237.58</v>
      </c>
      <c r="L1475" s="647" t="s">
        <v>2065</v>
      </c>
      <c r="M1475" s="576"/>
      <c r="N1475" s="576">
        <f t="shared" si="361"/>
        <v>0</v>
      </c>
      <c r="O1475" s="577">
        <f t="shared" si="366"/>
        <v>0</v>
      </c>
      <c r="P1475" s="578">
        <f t="shared" si="367"/>
        <v>0</v>
      </c>
      <c r="Q1475" s="765"/>
      <c r="R1475" s="576">
        <f t="shared" si="363"/>
        <v>0</v>
      </c>
      <c r="S1475" s="576">
        <f t="shared" si="363"/>
        <v>0</v>
      </c>
      <c r="T1475" s="577">
        <f t="shared" si="364"/>
        <v>0</v>
      </c>
      <c r="U1475" s="578">
        <f t="shared" si="365"/>
        <v>0</v>
      </c>
      <c r="V1475" s="579"/>
      <c r="W1475" s="566"/>
      <c r="X1475" s="586" t="str">
        <f t="shared" si="368"/>
        <v/>
      </c>
      <c r="Y1475" s="586" t="str">
        <f t="shared" si="362"/>
        <v/>
      </c>
      <c r="Z1475" s="586" t="str">
        <f t="shared" si="360"/>
        <v/>
      </c>
    </row>
    <row r="1476" spans="1:26" ht="23.25" hidden="1" thickBot="1" x14ac:dyDescent="0.25">
      <c r="A1476" s="567">
        <v>93144</v>
      </c>
      <c r="B1476" s="644">
        <v>93144</v>
      </c>
      <c r="C1476" s="645" t="s">
        <v>670</v>
      </c>
      <c r="D1476" s="422" t="s">
        <v>1323</v>
      </c>
      <c r="E1476" s="423"/>
      <c r="F1476" s="424"/>
      <c r="G1476" s="425"/>
      <c r="H1476" s="651"/>
      <c r="I1476" s="420">
        <v>253.83</v>
      </c>
      <c r="J1476" s="420">
        <f t="shared" si="359"/>
        <v>253.83</v>
      </c>
      <c r="K1476" s="421">
        <f t="shared" si="358"/>
        <v>301.58</v>
      </c>
      <c r="L1476" s="647" t="s">
        <v>2065</v>
      </c>
      <c r="M1476" s="576"/>
      <c r="N1476" s="576">
        <f t="shared" si="361"/>
        <v>0</v>
      </c>
      <c r="O1476" s="577">
        <f t="shared" si="366"/>
        <v>0</v>
      </c>
      <c r="P1476" s="578">
        <f t="shared" si="367"/>
        <v>0</v>
      </c>
      <c r="Q1476" s="765"/>
      <c r="R1476" s="576">
        <f t="shared" si="363"/>
        <v>0</v>
      </c>
      <c r="S1476" s="576">
        <f t="shared" si="363"/>
        <v>0</v>
      </c>
      <c r="T1476" s="577">
        <f t="shared" si="364"/>
        <v>0</v>
      </c>
      <c r="U1476" s="578">
        <f t="shared" si="365"/>
        <v>0</v>
      </c>
      <c r="V1476" s="579"/>
      <c r="W1476" s="566"/>
      <c r="X1476" s="586" t="str">
        <f t="shared" si="368"/>
        <v/>
      </c>
      <c r="Y1476" s="586" t="str">
        <f t="shared" si="362"/>
        <v/>
      </c>
      <c r="Z1476" s="586" t="str">
        <f t="shared" si="360"/>
        <v/>
      </c>
    </row>
    <row r="1477" spans="1:26" ht="34.5" hidden="1" thickBot="1" x14ac:dyDescent="0.25">
      <c r="A1477" s="567">
        <v>93145</v>
      </c>
      <c r="B1477" s="644">
        <v>93145</v>
      </c>
      <c r="C1477" s="645" t="s">
        <v>670</v>
      </c>
      <c r="D1477" s="422" t="s">
        <v>1324</v>
      </c>
      <c r="E1477" s="423"/>
      <c r="F1477" s="424"/>
      <c r="G1477" s="425"/>
      <c r="H1477" s="651"/>
      <c r="I1477" s="420">
        <v>239.5</v>
      </c>
      <c r="J1477" s="420">
        <f t="shared" si="359"/>
        <v>239.5</v>
      </c>
      <c r="K1477" s="421">
        <f t="shared" si="358"/>
        <v>284.55</v>
      </c>
      <c r="L1477" s="647" t="s">
        <v>2065</v>
      </c>
      <c r="M1477" s="576"/>
      <c r="N1477" s="576">
        <f t="shared" si="361"/>
        <v>0</v>
      </c>
      <c r="O1477" s="577">
        <f t="shared" si="366"/>
        <v>0</v>
      </c>
      <c r="P1477" s="578">
        <f t="shared" si="367"/>
        <v>0</v>
      </c>
      <c r="Q1477" s="765"/>
      <c r="R1477" s="576">
        <f t="shared" si="363"/>
        <v>0</v>
      </c>
      <c r="S1477" s="576">
        <f t="shared" si="363"/>
        <v>0</v>
      </c>
      <c r="T1477" s="577">
        <f t="shared" si="364"/>
        <v>0</v>
      </c>
      <c r="U1477" s="578">
        <f t="shared" si="365"/>
        <v>0</v>
      </c>
      <c r="V1477" s="579"/>
      <c r="W1477" s="566"/>
      <c r="X1477" s="586" t="str">
        <f t="shared" si="368"/>
        <v/>
      </c>
      <c r="Y1477" s="586" t="str">
        <f t="shared" si="362"/>
        <v/>
      </c>
      <c r="Z1477" s="586" t="str">
        <f t="shared" si="360"/>
        <v/>
      </c>
    </row>
    <row r="1478" spans="1:26" ht="34.5" hidden="1" thickBot="1" x14ac:dyDescent="0.25">
      <c r="A1478" s="567">
        <v>93146</v>
      </c>
      <c r="B1478" s="644">
        <v>93146</v>
      </c>
      <c r="C1478" s="645" t="s">
        <v>670</v>
      </c>
      <c r="D1478" s="422" t="s">
        <v>1325</v>
      </c>
      <c r="E1478" s="423"/>
      <c r="F1478" s="424"/>
      <c r="G1478" s="425"/>
      <c r="H1478" s="651"/>
      <c r="I1478" s="420">
        <v>258.95999999999998</v>
      </c>
      <c r="J1478" s="420">
        <f t="shared" si="359"/>
        <v>258.95999999999998</v>
      </c>
      <c r="K1478" s="421">
        <f t="shared" si="358"/>
        <v>307.67</v>
      </c>
      <c r="L1478" s="647" t="s">
        <v>2065</v>
      </c>
      <c r="M1478" s="576"/>
      <c r="N1478" s="576">
        <f t="shared" si="361"/>
        <v>0</v>
      </c>
      <c r="O1478" s="577">
        <f t="shared" si="366"/>
        <v>0</v>
      </c>
      <c r="P1478" s="578">
        <f t="shared" si="367"/>
        <v>0</v>
      </c>
      <c r="Q1478" s="765"/>
      <c r="R1478" s="576">
        <f t="shared" si="363"/>
        <v>0</v>
      </c>
      <c r="S1478" s="576">
        <f t="shared" si="363"/>
        <v>0</v>
      </c>
      <c r="T1478" s="577">
        <f t="shared" si="364"/>
        <v>0</v>
      </c>
      <c r="U1478" s="578">
        <f t="shared" si="365"/>
        <v>0</v>
      </c>
      <c r="V1478" s="579"/>
      <c r="W1478" s="566"/>
      <c r="X1478" s="586" t="str">
        <f t="shared" si="368"/>
        <v/>
      </c>
      <c r="Y1478" s="586" t="str">
        <f t="shared" si="362"/>
        <v/>
      </c>
      <c r="Z1478" s="586" t="str">
        <f t="shared" si="360"/>
        <v/>
      </c>
    </row>
    <row r="1479" spans="1:26" ht="34.5" hidden="1" thickBot="1" x14ac:dyDescent="0.25">
      <c r="A1479" s="567">
        <v>93147</v>
      </c>
      <c r="B1479" s="644">
        <v>93147</v>
      </c>
      <c r="C1479" s="645" t="s">
        <v>670</v>
      </c>
      <c r="D1479" s="422" t="s">
        <v>1326</v>
      </c>
      <c r="E1479" s="423"/>
      <c r="F1479" s="424"/>
      <c r="G1479" s="425"/>
      <c r="H1479" s="651"/>
      <c r="I1479" s="420">
        <v>295.49</v>
      </c>
      <c r="J1479" s="420">
        <f t="shared" si="359"/>
        <v>295.49</v>
      </c>
      <c r="K1479" s="421">
        <f t="shared" si="358"/>
        <v>351.07</v>
      </c>
      <c r="L1479" s="647" t="s">
        <v>2065</v>
      </c>
      <c r="M1479" s="576"/>
      <c r="N1479" s="576">
        <f t="shared" si="361"/>
        <v>0</v>
      </c>
      <c r="O1479" s="577">
        <f t="shared" si="366"/>
        <v>0</v>
      </c>
      <c r="P1479" s="578">
        <f t="shared" si="367"/>
        <v>0</v>
      </c>
      <c r="Q1479" s="765"/>
      <c r="R1479" s="576">
        <f t="shared" si="363"/>
        <v>0</v>
      </c>
      <c r="S1479" s="576">
        <f t="shared" si="363"/>
        <v>0</v>
      </c>
      <c r="T1479" s="577">
        <f t="shared" si="364"/>
        <v>0</v>
      </c>
      <c r="U1479" s="578">
        <f t="shared" si="365"/>
        <v>0</v>
      </c>
      <c r="V1479" s="579"/>
      <c r="W1479" s="566"/>
      <c r="X1479" s="586" t="str">
        <f t="shared" si="368"/>
        <v/>
      </c>
      <c r="Y1479" s="586" t="str">
        <f t="shared" si="362"/>
        <v/>
      </c>
      <c r="Z1479" s="586" t="str">
        <f t="shared" si="360"/>
        <v/>
      </c>
    </row>
    <row r="1480" spans="1:26" ht="23.25" hidden="1" thickBot="1" x14ac:dyDescent="0.25">
      <c r="A1480" s="567">
        <v>93128</v>
      </c>
      <c r="B1480" s="644">
        <v>93128</v>
      </c>
      <c r="C1480" s="645" t="s">
        <v>670</v>
      </c>
      <c r="D1480" s="422" t="s">
        <v>1327</v>
      </c>
      <c r="E1480" s="423"/>
      <c r="F1480" s="424"/>
      <c r="G1480" s="425"/>
      <c r="H1480" s="651"/>
      <c r="I1480" s="420">
        <v>162.77000000000001</v>
      </c>
      <c r="J1480" s="420">
        <f t="shared" si="359"/>
        <v>162.77000000000001</v>
      </c>
      <c r="K1480" s="421">
        <f t="shared" si="358"/>
        <v>193.39</v>
      </c>
      <c r="L1480" s="647" t="s">
        <v>2065</v>
      </c>
      <c r="M1480" s="576"/>
      <c r="N1480" s="576">
        <f t="shared" si="361"/>
        <v>0</v>
      </c>
      <c r="O1480" s="577">
        <f t="shared" si="366"/>
        <v>0</v>
      </c>
      <c r="P1480" s="578">
        <f t="shared" si="367"/>
        <v>0</v>
      </c>
      <c r="Q1480" s="765"/>
      <c r="R1480" s="576">
        <f t="shared" si="363"/>
        <v>0</v>
      </c>
      <c r="S1480" s="576">
        <f t="shared" si="363"/>
        <v>0</v>
      </c>
      <c r="T1480" s="577">
        <f t="shared" si="364"/>
        <v>0</v>
      </c>
      <c r="U1480" s="578">
        <f t="shared" si="365"/>
        <v>0</v>
      </c>
      <c r="V1480" s="579"/>
      <c r="W1480" s="566"/>
      <c r="X1480" s="586" t="str">
        <f t="shared" si="368"/>
        <v/>
      </c>
      <c r="Y1480" s="586" t="str">
        <f t="shared" si="362"/>
        <v/>
      </c>
      <c r="Z1480" s="586" t="str">
        <f t="shared" si="360"/>
        <v/>
      </c>
    </row>
    <row r="1481" spans="1:26" ht="34.5" hidden="1" thickBot="1" x14ac:dyDescent="0.25">
      <c r="A1481" s="567">
        <v>93137</v>
      </c>
      <c r="B1481" s="644">
        <v>93137</v>
      </c>
      <c r="C1481" s="645" t="s">
        <v>670</v>
      </c>
      <c r="D1481" s="422" t="s">
        <v>1328</v>
      </c>
      <c r="E1481" s="423"/>
      <c r="F1481" s="424"/>
      <c r="G1481" s="425"/>
      <c r="H1481" s="651"/>
      <c r="I1481" s="420">
        <v>193.19</v>
      </c>
      <c r="J1481" s="420">
        <f t="shared" si="359"/>
        <v>193.19</v>
      </c>
      <c r="K1481" s="421">
        <f t="shared" ref="K1481:K1544" si="369">IF(ISBLANK(I1481),0,ROUND(J1481*(1+$F$10)*(1+$F$11*E1481),2))</f>
        <v>229.53</v>
      </c>
      <c r="L1481" s="647" t="s">
        <v>2065</v>
      </c>
      <c r="M1481" s="576"/>
      <c r="N1481" s="576">
        <f t="shared" si="361"/>
        <v>0</v>
      </c>
      <c r="O1481" s="577">
        <f t="shared" si="366"/>
        <v>0</v>
      </c>
      <c r="P1481" s="578">
        <f t="shared" si="367"/>
        <v>0</v>
      </c>
      <c r="Q1481" s="765"/>
      <c r="R1481" s="576">
        <f t="shared" si="363"/>
        <v>0</v>
      </c>
      <c r="S1481" s="576">
        <f t="shared" si="363"/>
        <v>0</v>
      </c>
      <c r="T1481" s="577">
        <f t="shared" si="364"/>
        <v>0</v>
      </c>
      <c r="U1481" s="578">
        <f t="shared" si="365"/>
        <v>0</v>
      </c>
      <c r="V1481" s="579"/>
      <c r="W1481" s="566"/>
      <c r="X1481" s="586" t="str">
        <f t="shared" si="368"/>
        <v/>
      </c>
      <c r="Y1481" s="586" t="str">
        <f t="shared" si="362"/>
        <v/>
      </c>
      <c r="Z1481" s="586" t="str">
        <f t="shared" si="360"/>
        <v/>
      </c>
    </row>
    <row r="1482" spans="1:26" ht="34.5" hidden="1" thickBot="1" x14ac:dyDescent="0.25">
      <c r="A1482" s="567">
        <v>93138</v>
      </c>
      <c r="B1482" s="644">
        <v>93138</v>
      </c>
      <c r="C1482" s="645" t="s">
        <v>670</v>
      </c>
      <c r="D1482" s="422" t="s">
        <v>1329</v>
      </c>
      <c r="E1482" s="423"/>
      <c r="F1482" s="424"/>
      <c r="G1482" s="425"/>
      <c r="H1482" s="651"/>
      <c r="I1482" s="420">
        <v>182.24</v>
      </c>
      <c r="J1482" s="420">
        <f t="shared" si="359"/>
        <v>182.24</v>
      </c>
      <c r="K1482" s="421">
        <f t="shared" si="369"/>
        <v>216.52</v>
      </c>
      <c r="L1482" s="647" t="s">
        <v>2065</v>
      </c>
      <c r="M1482" s="576"/>
      <c r="N1482" s="576">
        <f t="shared" si="361"/>
        <v>0</v>
      </c>
      <c r="O1482" s="577">
        <f t="shared" si="366"/>
        <v>0</v>
      </c>
      <c r="P1482" s="578">
        <f t="shared" si="367"/>
        <v>0</v>
      </c>
      <c r="Q1482" s="765"/>
      <c r="R1482" s="576">
        <f t="shared" si="363"/>
        <v>0</v>
      </c>
      <c r="S1482" s="576">
        <f t="shared" si="363"/>
        <v>0</v>
      </c>
      <c r="T1482" s="577">
        <f t="shared" si="364"/>
        <v>0</v>
      </c>
      <c r="U1482" s="578">
        <f t="shared" si="365"/>
        <v>0</v>
      </c>
      <c r="V1482" s="579"/>
      <c r="W1482" s="566"/>
      <c r="X1482" s="586" t="str">
        <f t="shared" si="368"/>
        <v/>
      </c>
      <c r="Y1482" s="586" t="str">
        <f t="shared" si="362"/>
        <v/>
      </c>
      <c r="Z1482" s="586" t="str">
        <f t="shared" si="360"/>
        <v/>
      </c>
    </row>
    <row r="1483" spans="1:26" ht="34.5" hidden="1" thickBot="1" x14ac:dyDescent="0.25">
      <c r="A1483" s="567">
        <v>93139</v>
      </c>
      <c r="B1483" s="644">
        <v>93139</v>
      </c>
      <c r="C1483" s="645" t="s">
        <v>670</v>
      </c>
      <c r="D1483" s="422" t="s">
        <v>1330</v>
      </c>
      <c r="E1483" s="423"/>
      <c r="F1483" s="424"/>
      <c r="G1483" s="425"/>
      <c r="H1483" s="651"/>
      <c r="I1483" s="420">
        <v>232.07</v>
      </c>
      <c r="J1483" s="420">
        <f t="shared" si="359"/>
        <v>232.07</v>
      </c>
      <c r="K1483" s="421">
        <f t="shared" si="369"/>
        <v>275.72000000000003</v>
      </c>
      <c r="L1483" s="647" t="s">
        <v>2065</v>
      </c>
      <c r="M1483" s="576"/>
      <c r="N1483" s="576">
        <f t="shared" si="361"/>
        <v>0</v>
      </c>
      <c r="O1483" s="577">
        <f t="shared" si="366"/>
        <v>0</v>
      </c>
      <c r="P1483" s="578">
        <f t="shared" si="367"/>
        <v>0</v>
      </c>
      <c r="Q1483" s="765"/>
      <c r="R1483" s="576">
        <f t="shared" si="363"/>
        <v>0</v>
      </c>
      <c r="S1483" s="576">
        <f t="shared" si="363"/>
        <v>0</v>
      </c>
      <c r="T1483" s="577">
        <f t="shared" si="364"/>
        <v>0</v>
      </c>
      <c r="U1483" s="578">
        <f t="shared" si="365"/>
        <v>0</v>
      </c>
      <c r="V1483" s="579"/>
      <c r="W1483" s="566"/>
      <c r="X1483" s="586" t="str">
        <f t="shared" si="368"/>
        <v/>
      </c>
      <c r="Y1483" s="586" t="str">
        <f t="shared" si="362"/>
        <v/>
      </c>
      <c r="Z1483" s="586" t="str">
        <f t="shared" si="360"/>
        <v/>
      </c>
    </row>
    <row r="1484" spans="1:26" ht="34.5" hidden="1" thickBot="1" x14ac:dyDescent="0.25">
      <c r="A1484" s="567">
        <v>93140</v>
      </c>
      <c r="B1484" s="644">
        <v>93140</v>
      </c>
      <c r="C1484" s="645" t="s">
        <v>670</v>
      </c>
      <c r="D1484" s="422" t="s">
        <v>1331</v>
      </c>
      <c r="E1484" s="423"/>
      <c r="F1484" s="424"/>
      <c r="G1484" s="425"/>
      <c r="H1484" s="651"/>
      <c r="I1484" s="420">
        <v>218.71</v>
      </c>
      <c r="J1484" s="420">
        <f t="shared" si="359"/>
        <v>218.71</v>
      </c>
      <c r="K1484" s="421">
        <f t="shared" si="369"/>
        <v>259.85000000000002</v>
      </c>
      <c r="L1484" s="647" t="s">
        <v>2065</v>
      </c>
      <c r="M1484" s="576"/>
      <c r="N1484" s="576">
        <f t="shared" si="361"/>
        <v>0</v>
      </c>
      <c r="O1484" s="577">
        <f t="shared" si="366"/>
        <v>0</v>
      </c>
      <c r="P1484" s="578">
        <f t="shared" si="367"/>
        <v>0</v>
      </c>
      <c r="Q1484" s="765"/>
      <c r="R1484" s="576">
        <f t="shared" si="363"/>
        <v>0</v>
      </c>
      <c r="S1484" s="576">
        <f t="shared" si="363"/>
        <v>0</v>
      </c>
      <c r="T1484" s="577">
        <f t="shared" si="364"/>
        <v>0</v>
      </c>
      <c r="U1484" s="578">
        <f t="shared" si="365"/>
        <v>0</v>
      </c>
      <c r="V1484" s="579"/>
      <c r="W1484" s="566"/>
      <c r="X1484" s="586" t="str">
        <f t="shared" si="368"/>
        <v/>
      </c>
      <c r="Y1484" s="586" t="str">
        <f t="shared" si="362"/>
        <v/>
      </c>
      <c r="Z1484" s="586" t="str">
        <f t="shared" si="360"/>
        <v/>
      </c>
    </row>
    <row r="1485" spans="1:26" ht="23.25" hidden="1" thickBot="1" x14ac:dyDescent="0.25">
      <c r="A1485" s="567">
        <v>97595</v>
      </c>
      <c r="B1485" s="644">
        <v>97595</v>
      </c>
      <c r="C1485" s="645" t="s">
        <v>670</v>
      </c>
      <c r="D1485" s="422" t="s">
        <v>1332</v>
      </c>
      <c r="E1485" s="423"/>
      <c r="F1485" s="424"/>
      <c r="G1485" s="425"/>
      <c r="H1485" s="651"/>
      <c r="I1485" s="420">
        <v>141.28</v>
      </c>
      <c r="J1485" s="420">
        <f t="shared" si="359"/>
        <v>141.28</v>
      </c>
      <c r="K1485" s="421">
        <f t="shared" si="369"/>
        <v>167.85</v>
      </c>
      <c r="L1485" s="647" t="s">
        <v>2065</v>
      </c>
      <c r="M1485" s="576"/>
      <c r="N1485" s="576">
        <f t="shared" si="361"/>
        <v>0</v>
      </c>
      <c r="O1485" s="577">
        <f t="shared" si="366"/>
        <v>0</v>
      </c>
      <c r="P1485" s="578">
        <f t="shared" si="367"/>
        <v>0</v>
      </c>
      <c r="Q1485" s="765"/>
      <c r="R1485" s="576">
        <f t="shared" si="363"/>
        <v>0</v>
      </c>
      <c r="S1485" s="576">
        <f t="shared" si="363"/>
        <v>0</v>
      </c>
      <c r="T1485" s="577">
        <f t="shared" si="364"/>
        <v>0</v>
      </c>
      <c r="U1485" s="578">
        <f t="shared" si="365"/>
        <v>0</v>
      </c>
      <c r="V1485" s="579"/>
      <c r="W1485" s="566"/>
      <c r="X1485" s="586" t="str">
        <f t="shared" si="368"/>
        <v/>
      </c>
      <c r="Y1485" s="586" t="str">
        <f t="shared" si="362"/>
        <v/>
      </c>
      <c r="Z1485" s="586" t="str">
        <f t="shared" si="360"/>
        <v/>
      </c>
    </row>
    <row r="1486" spans="1:26" ht="23.25" hidden="1" thickBot="1" x14ac:dyDescent="0.25">
      <c r="A1486" s="567">
        <v>97596</v>
      </c>
      <c r="B1486" s="644">
        <v>97596</v>
      </c>
      <c r="C1486" s="645" t="s">
        <v>670</v>
      </c>
      <c r="D1486" s="422" t="s">
        <v>1333</v>
      </c>
      <c r="E1486" s="423"/>
      <c r="F1486" s="424"/>
      <c r="G1486" s="425"/>
      <c r="H1486" s="651"/>
      <c r="I1486" s="420">
        <v>95.65</v>
      </c>
      <c r="J1486" s="420">
        <f t="shared" si="359"/>
        <v>95.65</v>
      </c>
      <c r="K1486" s="421">
        <f t="shared" si="369"/>
        <v>113.64</v>
      </c>
      <c r="L1486" s="647" t="s">
        <v>2065</v>
      </c>
      <c r="M1486" s="576"/>
      <c r="N1486" s="576">
        <f t="shared" si="361"/>
        <v>0</v>
      </c>
      <c r="O1486" s="577">
        <f t="shared" si="366"/>
        <v>0</v>
      </c>
      <c r="P1486" s="578">
        <f t="shared" si="367"/>
        <v>0</v>
      </c>
      <c r="Q1486" s="765"/>
      <c r="R1486" s="576">
        <f t="shared" si="363"/>
        <v>0</v>
      </c>
      <c r="S1486" s="576">
        <f t="shared" si="363"/>
        <v>0</v>
      </c>
      <c r="T1486" s="577">
        <f t="shared" si="364"/>
        <v>0</v>
      </c>
      <c r="U1486" s="578">
        <f t="shared" si="365"/>
        <v>0</v>
      </c>
      <c r="V1486" s="579"/>
      <c r="W1486" s="566"/>
      <c r="X1486" s="586" t="str">
        <f t="shared" si="368"/>
        <v/>
      </c>
      <c r="Y1486" s="586" t="str">
        <f t="shared" si="362"/>
        <v/>
      </c>
      <c r="Z1486" s="586" t="str">
        <f t="shared" si="360"/>
        <v/>
      </c>
    </row>
    <row r="1487" spans="1:26" ht="23.25" hidden="1" thickBot="1" x14ac:dyDescent="0.25">
      <c r="A1487" s="567">
        <v>97597</v>
      </c>
      <c r="B1487" s="644">
        <v>97597</v>
      </c>
      <c r="C1487" s="645" t="s">
        <v>670</v>
      </c>
      <c r="D1487" s="422" t="s">
        <v>1334</v>
      </c>
      <c r="E1487" s="423"/>
      <c r="F1487" s="424"/>
      <c r="G1487" s="425"/>
      <c r="H1487" s="651"/>
      <c r="I1487" s="420">
        <v>97.68</v>
      </c>
      <c r="J1487" s="420">
        <f t="shared" si="359"/>
        <v>97.68</v>
      </c>
      <c r="K1487" s="421">
        <f t="shared" si="369"/>
        <v>116.05</v>
      </c>
      <c r="L1487" s="647" t="s">
        <v>2065</v>
      </c>
      <c r="M1487" s="576"/>
      <c r="N1487" s="576">
        <f t="shared" si="361"/>
        <v>0</v>
      </c>
      <c r="O1487" s="577">
        <f t="shared" si="366"/>
        <v>0</v>
      </c>
      <c r="P1487" s="578">
        <f t="shared" si="367"/>
        <v>0</v>
      </c>
      <c r="Q1487" s="765"/>
      <c r="R1487" s="576">
        <f t="shared" si="363"/>
        <v>0</v>
      </c>
      <c r="S1487" s="576">
        <f t="shared" si="363"/>
        <v>0</v>
      </c>
      <c r="T1487" s="577">
        <f t="shared" si="364"/>
        <v>0</v>
      </c>
      <c r="U1487" s="578">
        <f t="shared" si="365"/>
        <v>0</v>
      </c>
      <c r="V1487" s="579"/>
      <c r="W1487" s="566"/>
      <c r="X1487" s="586" t="str">
        <f t="shared" si="368"/>
        <v/>
      </c>
      <c r="Y1487" s="586" t="str">
        <f t="shared" si="362"/>
        <v/>
      </c>
      <c r="Z1487" s="586" t="str">
        <f t="shared" si="360"/>
        <v/>
      </c>
    </row>
    <row r="1488" spans="1:26" ht="23.25" hidden="1" thickBot="1" x14ac:dyDescent="0.25">
      <c r="A1488" s="567">
        <v>97598</v>
      </c>
      <c r="B1488" s="644">
        <v>97598</v>
      </c>
      <c r="C1488" s="645" t="s">
        <v>670</v>
      </c>
      <c r="D1488" s="422" t="s">
        <v>1335</v>
      </c>
      <c r="E1488" s="423"/>
      <c r="F1488" s="424"/>
      <c r="G1488" s="425"/>
      <c r="H1488" s="651"/>
      <c r="I1488" s="420">
        <v>91.85</v>
      </c>
      <c r="J1488" s="420">
        <f t="shared" si="359"/>
        <v>91.85</v>
      </c>
      <c r="K1488" s="421">
        <f t="shared" si="369"/>
        <v>109.13</v>
      </c>
      <c r="L1488" s="647" t="s">
        <v>2065</v>
      </c>
      <c r="M1488" s="576"/>
      <c r="N1488" s="576">
        <f t="shared" si="361"/>
        <v>0</v>
      </c>
      <c r="O1488" s="577">
        <f t="shared" si="366"/>
        <v>0</v>
      </c>
      <c r="P1488" s="578">
        <f t="shared" si="367"/>
        <v>0</v>
      </c>
      <c r="Q1488" s="765"/>
      <c r="R1488" s="576">
        <f t="shared" si="363"/>
        <v>0</v>
      </c>
      <c r="S1488" s="576">
        <f t="shared" si="363"/>
        <v>0</v>
      </c>
      <c r="T1488" s="577">
        <f t="shared" si="364"/>
        <v>0</v>
      </c>
      <c r="U1488" s="578">
        <f t="shared" si="365"/>
        <v>0</v>
      </c>
      <c r="V1488" s="579"/>
      <c r="W1488" s="566"/>
      <c r="X1488" s="586" t="str">
        <f t="shared" si="368"/>
        <v/>
      </c>
      <c r="Y1488" s="586" t="str">
        <f t="shared" si="362"/>
        <v/>
      </c>
      <c r="Z1488" s="586" t="str">
        <f t="shared" si="360"/>
        <v/>
      </c>
    </row>
    <row r="1489" spans="1:26" ht="23.25" hidden="1" thickBot="1" x14ac:dyDescent="0.25">
      <c r="A1489" s="567">
        <v>97599</v>
      </c>
      <c r="B1489" s="644">
        <v>97599</v>
      </c>
      <c r="C1489" s="645" t="s">
        <v>670</v>
      </c>
      <c r="D1489" s="422" t="s">
        <v>1336</v>
      </c>
      <c r="E1489" s="423"/>
      <c r="F1489" s="424"/>
      <c r="G1489" s="425"/>
      <c r="H1489" s="651"/>
      <c r="I1489" s="420">
        <v>29.25</v>
      </c>
      <c r="J1489" s="420">
        <f t="shared" si="359"/>
        <v>29.25</v>
      </c>
      <c r="K1489" s="421">
        <f t="shared" si="369"/>
        <v>34.75</v>
      </c>
      <c r="L1489" s="647" t="s">
        <v>2065</v>
      </c>
      <c r="M1489" s="576"/>
      <c r="N1489" s="576">
        <f t="shared" si="361"/>
        <v>0</v>
      </c>
      <c r="O1489" s="577">
        <f t="shared" si="366"/>
        <v>0</v>
      </c>
      <c r="P1489" s="578">
        <f t="shared" si="367"/>
        <v>0</v>
      </c>
      <c r="Q1489" s="765"/>
      <c r="R1489" s="576">
        <f t="shared" si="363"/>
        <v>0</v>
      </c>
      <c r="S1489" s="576">
        <f t="shared" si="363"/>
        <v>0</v>
      </c>
      <c r="T1489" s="577">
        <f t="shared" si="364"/>
        <v>0</v>
      </c>
      <c r="U1489" s="578">
        <f t="shared" si="365"/>
        <v>0</v>
      </c>
      <c r="V1489" s="579"/>
      <c r="W1489" s="566"/>
      <c r="X1489" s="586" t="str">
        <f t="shared" si="368"/>
        <v/>
      </c>
      <c r="Y1489" s="586" t="str">
        <f t="shared" si="362"/>
        <v/>
      </c>
      <c r="Z1489" s="586" t="str">
        <f t="shared" si="360"/>
        <v/>
      </c>
    </row>
    <row r="1490" spans="1:26" ht="23.25" hidden="1" thickBot="1" x14ac:dyDescent="0.25">
      <c r="A1490" s="567">
        <v>97583</v>
      </c>
      <c r="B1490" s="644">
        <v>97583</v>
      </c>
      <c r="C1490" s="645" t="s">
        <v>670</v>
      </c>
      <c r="D1490" s="422" t="s">
        <v>1337</v>
      </c>
      <c r="E1490" s="423"/>
      <c r="F1490" s="424"/>
      <c r="G1490" s="425"/>
      <c r="H1490" s="651"/>
      <c r="I1490" s="420">
        <v>120.49</v>
      </c>
      <c r="J1490" s="420">
        <f t="shared" si="359"/>
        <v>120.49</v>
      </c>
      <c r="K1490" s="421">
        <f t="shared" si="369"/>
        <v>143.15</v>
      </c>
      <c r="L1490" s="647" t="s">
        <v>2065</v>
      </c>
      <c r="M1490" s="576"/>
      <c r="N1490" s="576">
        <f t="shared" si="361"/>
        <v>0</v>
      </c>
      <c r="O1490" s="577">
        <f t="shared" si="366"/>
        <v>0</v>
      </c>
      <c r="P1490" s="578">
        <f t="shared" si="367"/>
        <v>0</v>
      </c>
      <c r="Q1490" s="765"/>
      <c r="R1490" s="576">
        <f t="shared" si="363"/>
        <v>0</v>
      </c>
      <c r="S1490" s="576">
        <f t="shared" si="363"/>
        <v>0</v>
      </c>
      <c r="T1490" s="577">
        <f t="shared" si="364"/>
        <v>0</v>
      </c>
      <c r="U1490" s="578">
        <f t="shared" si="365"/>
        <v>0</v>
      </c>
      <c r="V1490" s="579"/>
      <c r="W1490" s="566"/>
      <c r="X1490" s="586" t="str">
        <f t="shared" si="368"/>
        <v/>
      </c>
      <c r="Y1490" s="586" t="str">
        <f t="shared" si="362"/>
        <v/>
      </c>
      <c r="Z1490" s="586" t="str">
        <f t="shared" si="360"/>
        <v/>
      </c>
    </row>
    <row r="1491" spans="1:26" ht="23.25" hidden="1" thickBot="1" x14ac:dyDescent="0.25">
      <c r="A1491" s="567">
        <v>101662</v>
      </c>
      <c r="B1491" s="644">
        <v>101662</v>
      </c>
      <c r="C1491" s="645" t="s">
        <v>670</v>
      </c>
      <c r="D1491" s="422" t="s">
        <v>1338</v>
      </c>
      <c r="E1491" s="423"/>
      <c r="F1491" s="424"/>
      <c r="G1491" s="425"/>
      <c r="H1491" s="651"/>
      <c r="I1491" s="420">
        <v>970.72</v>
      </c>
      <c r="J1491" s="420">
        <f t="shared" ref="J1491:J1554" si="370">IF(ISBLANK(I1491),"",SUM(H1491:I1491))</f>
        <v>970.72</v>
      </c>
      <c r="K1491" s="421">
        <f t="shared" si="369"/>
        <v>1153.31</v>
      </c>
      <c r="L1491" s="647" t="s">
        <v>2065</v>
      </c>
      <c r="M1491" s="576"/>
      <c r="N1491" s="576">
        <f t="shared" si="361"/>
        <v>0</v>
      </c>
      <c r="O1491" s="577">
        <f t="shared" si="366"/>
        <v>0</v>
      </c>
      <c r="P1491" s="578">
        <f t="shared" si="367"/>
        <v>0</v>
      </c>
      <c r="Q1491" s="765"/>
      <c r="R1491" s="576">
        <f t="shared" si="363"/>
        <v>0</v>
      </c>
      <c r="S1491" s="576">
        <f t="shared" si="363"/>
        <v>0</v>
      </c>
      <c r="T1491" s="577">
        <f t="shared" si="364"/>
        <v>0</v>
      </c>
      <c r="U1491" s="578">
        <f t="shared" si="365"/>
        <v>0</v>
      </c>
      <c r="V1491" s="579"/>
      <c r="W1491" s="566"/>
      <c r="X1491" s="586" t="str">
        <f t="shared" si="368"/>
        <v/>
      </c>
      <c r="Y1491" s="586" t="str">
        <f t="shared" si="362"/>
        <v/>
      </c>
      <c r="Z1491" s="586" t="str">
        <f t="shared" ref="Z1491:Z1554" si="371">IF(W1491="X","x",IF(U1491&gt;0,"x",""))</f>
        <v/>
      </c>
    </row>
    <row r="1492" spans="1:26" ht="23.25" hidden="1" thickBot="1" x14ac:dyDescent="0.25">
      <c r="A1492" s="567">
        <v>101652</v>
      </c>
      <c r="B1492" s="644">
        <v>101652</v>
      </c>
      <c r="C1492" s="645" t="s">
        <v>670</v>
      </c>
      <c r="D1492" s="422" t="s">
        <v>1339</v>
      </c>
      <c r="E1492" s="423"/>
      <c r="F1492" s="424"/>
      <c r="G1492" s="425"/>
      <c r="H1492" s="651"/>
      <c r="I1492" s="420">
        <v>702.82</v>
      </c>
      <c r="J1492" s="420">
        <f t="shared" si="370"/>
        <v>702.82</v>
      </c>
      <c r="K1492" s="421">
        <f t="shared" si="369"/>
        <v>835.02</v>
      </c>
      <c r="L1492" s="647" t="s">
        <v>2065</v>
      </c>
      <c r="M1492" s="576"/>
      <c r="N1492" s="576">
        <f t="shared" ref="N1492:N1555" si="372">IF(M1492=0,0,K1492)</f>
        <v>0</v>
      </c>
      <c r="O1492" s="577">
        <f t="shared" si="366"/>
        <v>0</v>
      </c>
      <c r="P1492" s="578">
        <f t="shared" si="367"/>
        <v>0</v>
      </c>
      <c r="Q1492" s="765"/>
      <c r="R1492" s="576">
        <f t="shared" si="363"/>
        <v>0</v>
      </c>
      <c r="S1492" s="576">
        <f t="shared" si="363"/>
        <v>0</v>
      </c>
      <c r="T1492" s="577">
        <f t="shared" si="364"/>
        <v>0</v>
      </c>
      <c r="U1492" s="578">
        <f t="shared" si="365"/>
        <v>0</v>
      </c>
      <c r="V1492" s="579"/>
      <c r="W1492" s="566"/>
      <c r="X1492" s="586" t="str">
        <f t="shared" si="368"/>
        <v/>
      </c>
      <c r="Y1492" s="586" t="str">
        <f t="shared" si="362"/>
        <v/>
      </c>
      <c r="Z1492" s="586" t="str">
        <f t="shared" si="371"/>
        <v/>
      </c>
    </row>
    <row r="1493" spans="1:26" ht="34.5" hidden="1" thickBot="1" x14ac:dyDescent="0.25">
      <c r="A1493" s="567">
        <v>101653</v>
      </c>
      <c r="B1493" s="644">
        <v>101653</v>
      </c>
      <c r="C1493" s="645" t="s">
        <v>670</v>
      </c>
      <c r="D1493" s="422" t="s">
        <v>1340</v>
      </c>
      <c r="E1493" s="423"/>
      <c r="F1493" s="424"/>
      <c r="G1493" s="425"/>
      <c r="H1493" s="651"/>
      <c r="I1493" s="420">
        <v>345.88</v>
      </c>
      <c r="J1493" s="420">
        <f t="shared" si="370"/>
        <v>345.88</v>
      </c>
      <c r="K1493" s="421">
        <f t="shared" si="369"/>
        <v>410.94</v>
      </c>
      <c r="L1493" s="647" t="s">
        <v>2065</v>
      </c>
      <c r="M1493" s="576"/>
      <c r="N1493" s="576">
        <f t="shared" si="372"/>
        <v>0</v>
      </c>
      <c r="O1493" s="577">
        <f t="shared" si="366"/>
        <v>0</v>
      </c>
      <c r="P1493" s="578">
        <f t="shared" si="367"/>
        <v>0</v>
      </c>
      <c r="Q1493" s="765"/>
      <c r="R1493" s="576">
        <f t="shared" si="363"/>
        <v>0</v>
      </c>
      <c r="S1493" s="576">
        <f t="shared" si="363"/>
        <v>0</v>
      </c>
      <c r="T1493" s="577">
        <f t="shared" si="364"/>
        <v>0</v>
      </c>
      <c r="U1493" s="578">
        <f t="shared" si="365"/>
        <v>0</v>
      </c>
      <c r="V1493" s="579"/>
      <c r="W1493" s="566"/>
      <c r="X1493" s="586" t="str">
        <f t="shared" si="368"/>
        <v/>
      </c>
      <c r="Y1493" s="586" t="str">
        <f t="shared" si="362"/>
        <v/>
      </c>
      <c r="Z1493" s="586" t="str">
        <f t="shared" si="371"/>
        <v/>
      </c>
    </row>
    <row r="1494" spans="1:26" ht="23.25" hidden="1" thickBot="1" x14ac:dyDescent="0.25">
      <c r="A1494" s="567">
        <v>97584</v>
      </c>
      <c r="B1494" s="644">
        <v>97584</v>
      </c>
      <c r="C1494" s="645" t="s">
        <v>670</v>
      </c>
      <c r="D1494" s="422" t="s">
        <v>1341</v>
      </c>
      <c r="E1494" s="423"/>
      <c r="F1494" s="424"/>
      <c r="G1494" s="425"/>
      <c r="H1494" s="651"/>
      <c r="I1494" s="420">
        <v>171.1</v>
      </c>
      <c r="J1494" s="420">
        <f t="shared" si="370"/>
        <v>171.1</v>
      </c>
      <c r="K1494" s="421">
        <f t="shared" si="369"/>
        <v>203.28</v>
      </c>
      <c r="L1494" s="647" t="s">
        <v>2065</v>
      </c>
      <c r="M1494" s="576"/>
      <c r="N1494" s="576">
        <f t="shared" si="372"/>
        <v>0</v>
      </c>
      <c r="O1494" s="577">
        <f t="shared" si="366"/>
        <v>0</v>
      </c>
      <c r="P1494" s="578">
        <f t="shared" si="367"/>
        <v>0</v>
      </c>
      <c r="Q1494" s="765"/>
      <c r="R1494" s="576">
        <f t="shared" si="363"/>
        <v>0</v>
      </c>
      <c r="S1494" s="576">
        <f t="shared" si="363"/>
        <v>0</v>
      </c>
      <c r="T1494" s="577">
        <f t="shared" si="364"/>
        <v>0</v>
      </c>
      <c r="U1494" s="578">
        <f t="shared" si="365"/>
        <v>0</v>
      </c>
      <c r="V1494" s="579"/>
      <c r="W1494" s="566"/>
      <c r="X1494" s="586" t="str">
        <f t="shared" si="368"/>
        <v/>
      </c>
      <c r="Y1494" s="586" t="str">
        <f t="shared" si="362"/>
        <v/>
      </c>
      <c r="Z1494" s="586" t="str">
        <f t="shared" si="371"/>
        <v/>
      </c>
    </row>
    <row r="1495" spans="1:26" ht="23.25" hidden="1" thickBot="1" x14ac:dyDescent="0.25">
      <c r="A1495" s="567">
        <v>97585</v>
      </c>
      <c r="B1495" s="644">
        <v>97585</v>
      </c>
      <c r="C1495" s="645" t="s">
        <v>670</v>
      </c>
      <c r="D1495" s="422" t="s">
        <v>1342</v>
      </c>
      <c r="E1495" s="423"/>
      <c r="F1495" s="424"/>
      <c r="G1495" s="425"/>
      <c r="H1495" s="651"/>
      <c r="I1495" s="420">
        <v>163.49</v>
      </c>
      <c r="J1495" s="420">
        <f t="shared" si="370"/>
        <v>163.49</v>
      </c>
      <c r="K1495" s="421">
        <f t="shared" si="369"/>
        <v>194.24</v>
      </c>
      <c r="L1495" s="647" t="s">
        <v>2065</v>
      </c>
      <c r="M1495" s="576"/>
      <c r="N1495" s="576">
        <f t="shared" si="372"/>
        <v>0</v>
      </c>
      <c r="O1495" s="577">
        <f t="shared" si="366"/>
        <v>0</v>
      </c>
      <c r="P1495" s="578">
        <f t="shared" si="367"/>
        <v>0</v>
      </c>
      <c r="Q1495" s="765"/>
      <c r="R1495" s="576">
        <f t="shared" si="363"/>
        <v>0</v>
      </c>
      <c r="S1495" s="576">
        <f t="shared" si="363"/>
        <v>0</v>
      </c>
      <c r="T1495" s="577">
        <f t="shared" si="364"/>
        <v>0</v>
      </c>
      <c r="U1495" s="578">
        <f t="shared" si="365"/>
        <v>0</v>
      </c>
      <c r="V1495" s="579"/>
      <c r="W1495" s="566"/>
      <c r="X1495" s="586" t="str">
        <f t="shared" si="368"/>
        <v/>
      </c>
      <c r="Y1495" s="586" t="str">
        <f t="shared" si="362"/>
        <v/>
      </c>
      <c r="Z1495" s="586" t="str">
        <f t="shared" si="371"/>
        <v/>
      </c>
    </row>
    <row r="1496" spans="1:26" ht="23.25" hidden="1" thickBot="1" x14ac:dyDescent="0.25">
      <c r="A1496" s="567">
        <v>97586</v>
      </c>
      <c r="B1496" s="644">
        <v>97586</v>
      </c>
      <c r="C1496" s="645" t="s">
        <v>670</v>
      </c>
      <c r="D1496" s="422" t="s">
        <v>1343</v>
      </c>
      <c r="E1496" s="423"/>
      <c r="F1496" s="424"/>
      <c r="G1496" s="425"/>
      <c r="H1496" s="651"/>
      <c r="I1496" s="420">
        <v>224.61</v>
      </c>
      <c r="J1496" s="420">
        <f t="shared" si="370"/>
        <v>224.61</v>
      </c>
      <c r="K1496" s="421">
        <f t="shared" si="369"/>
        <v>266.86</v>
      </c>
      <c r="L1496" s="647" t="s">
        <v>2065</v>
      </c>
      <c r="M1496" s="576"/>
      <c r="N1496" s="576">
        <f t="shared" si="372"/>
        <v>0</v>
      </c>
      <c r="O1496" s="577">
        <f t="shared" si="366"/>
        <v>0</v>
      </c>
      <c r="P1496" s="578">
        <f t="shared" si="367"/>
        <v>0</v>
      </c>
      <c r="Q1496" s="765"/>
      <c r="R1496" s="576">
        <f t="shared" si="363"/>
        <v>0</v>
      </c>
      <c r="S1496" s="576">
        <f t="shared" si="363"/>
        <v>0</v>
      </c>
      <c r="T1496" s="577">
        <f t="shared" si="364"/>
        <v>0</v>
      </c>
      <c r="U1496" s="578">
        <f t="shared" si="365"/>
        <v>0</v>
      </c>
      <c r="V1496" s="579"/>
      <c r="W1496" s="566"/>
      <c r="X1496" s="586" t="str">
        <f t="shared" si="368"/>
        <v/>
      </c>
      <c r="Y1496" s="586" t="str">
        <f t="shared" si="362"/>
        <v/>
      </c>
      <c r="Z1496" s="586" t="str">
        <f t="shared" si="371"/>
        <v/>
      </c>
    </row>
    <row r="1497" spans="1:26" ht="23.25" hidden="1" thickBot="1" x14ac:dyDescent="0.25">
      <c r="A1497" s="567">
        <v>97587</v>
      </c>
      <c r="B1497" s="644">
        <v>97587</v>
      </c>
      <c r="C1497" s="645" t="s">
        <v>670</v>
      </c>
      <c r="D1497" s="422" t="s">
        <v>1344</v>
      </c>
      <c r="E1497" s="423"/>
      <c r="F1497" s="424"/>
      <c r="G1497" s="425"/>
      <c r="H1497" s="651"/>
      <c r="I1497" s="420">
        <v>416.88</v>
      </c>
      <c r="J1497" s="420">
        <f t="shared" si="370"/>
        <v>416.88</v>
      </c>
      <c r="K1497" s="421">
        <f t="shared" si="369"/>
        <v>495.3</v>
      </c>
      <c r="L1497" s="647" t="s">
        <v>2065</v>
      </c>
      <c r="M1497" s="576"/>
      <c r="N1497" s="576">
        <f t="shared" si="372"/>
        <v>0</v>
      </c>
      <c r="O1497" s="577">
        <f t="shared" si="366"/>
        <v>0</v>
      </c>
      <c r="P1497" s="578">
        <f t="shared" si="367"/>
        <v>0</v>
      </c>
      <c r="Q1497" s="765"/>
      <c r="R1497" s="576">
        <f t="shared" si="363"/>
        <v>0</v>
      </c>
      <c r="S1497" s="576">
        <f t="shared" si="363"/>
        <v>0</v>
      </c>
      <c r="T1497" s="577">
        <f t="shared" si="364"/>
        <v>0</v>
      </c>
      <c r="U1497" s="578">
        <f t="shared" si="365"/>
        <v>0</v>
      </c>
      <c r="V1497" s="579"/>
      <c r="W1497" s="566"/>
      <c r="X1497" s="586" t="str">
        <f t="shared" si="368"/>
        <v/>
      </c>
      <c r="Y1497" s="586" t="str">
        <f t="shared" si="362"/>
        <v/>
      </c>
      <c r="Z1497" s="586" t="str">
        <f t="shared" si="371"/>
        <v/>
      </c>
    </row>
    <row r="1498" spans="1:26" ht="23.25" hidden="1" thickBot="1" x14ac:dyDescent="0.25">
      <c r="A1498" s="567">
        <v>97589</v>
      </c>
      <c r="B1498" s="644">
        <v>97589</v>
      </c>
      <c r="C1498" s="645" t="s">
        <v>670</v>
      </c>
      <c r="D1498" s="422" t="s">
        <v>1345</v>
      </c>
      <c r="E1498" s="423"/>
      <c r="F1498" s="424"/>
      <c r="G1498" s="425"/>
      <c r="H1498" s="651"/>
      <c r="I1498" s="420">
        <v>48.7</v>
      </c>
      <c r="J1498" s="420">
        <f t="shared" si="370"/>
        <v>48.7</v>
      </c>
      <c r="K1498" s="421">
        <f t="shared" si="369"/>
        <v>57.86</v>
      </c>
      <c r="L1498" s="647" t="s">
        <v>2065</v>
      </c>
      <c r="M1498" s="576"/>
      <c r="N1498" s="576">
        <f t="shared" si="372"/>
        <v>0</v>
      </c>
      <c r="O1498" s="577">
        <f t="shared" si="366"/>
        <v>0</v>
      </c>
      <c r="P1498" s="578">
        <f t="shared" si="367"/>
        <v>0</v>
      </c>
      <c r="Q1498" s="765"/>
      <c r="R1498" s="576">
        <f t="shared" si="363"/>
        <v>0</v>
      </c>
      <c r="S1498" s="576">
        <f t="shared" si="363"/>
        <v>0</v>
      </c>
      <c r="T1498" s="577">
        <f t="shared" si="364"/>
        <v>0</v>
      </c>
      <c r="U1498" s="578">
        <f t="shared" si="365"/>
        <v>0</v>
      </c>
      <c r="V1498" s="579"/>
      <c r="W1498" s="566"/>
      <c r="X1498" s="586" t="str">
        <f t="shared" si="368"/>
        <v/>
      </c>
      <c r="Y1498" s="586" t="str">
        <f t="shared" si="362"/>
        <v/>
      </c>
      <c r="Z1498" s="586" t="str">
        <f t="shared" si="371"/>
        <v/>
      </c>
    </row>
    <row r="1499" spans="1:26" ht="23.25" hidden="1" thickBot="1" x14ac:dyDescent="0.25">
      <c r="A1499" s="567">
        <v>97590</v>
      </c>
      <c r="B1499" s="644">
        <v>97590</v>
      </c>
      <c r="C1499" s="645" t="s">
        <v>670</v>
      </c>
      <c r="D1499" s="422" t="s">
        <v>1346</v>
      </c>
      <c r="E1499" s="423"/>
      <c r="F1499" s="424"/>
      <c r="G1499" s="425"/>
      <c r="H1499" s="651"/>
      <c r="I1499" s="420">
        <v>133.15</v>
      </c>
      <c r="J1499" s="420">
        <f t="shared" si="370"/>
        <v>133.15</v>
      </c>
      <c r="K1499" s="421">
        <f t="shared" si="369"/>
        <v>158.19999999999999</v>
      </c>
      <c r="L1499" s="647" t="s">
        <v>2065</v>
      </c>
      <c r="M1499" s="576"/>
      <c r="N1499" s="576">
        <f t="shared" si="372"/>
        <v>0</v>
      </c>
      <c r="O1499" s="577">
        <f t="shared" si="366"/>
        <v>0</v>
      </c>
      <c r="P1499" s="578">
        <f t="shared" si="367"/>
        <v>0</v>
      </c>
      <c r="Q1499" s="765"/>
      <c r="R1499" s="576">
        <f t="shared" si="363"/>
        <v>0</v>
      </c>
      <c r="S1499" s="576">
        <f t="shared" si="363"/>
        <v>0</v>
      </c>
      <c r="T1499" s="577">
        <f t="shared" si="364"/>
        <v>0</v>
      </c>
      <c r="U1499" s="578">
        <f t="shared" si="365"/>
        <v>0</v>
      </c>
      <c r="V1499" s="579"/>
      <c r="W1499" s="566"/>
      <c r="X1499" s="586" t="str">
        <f t="shared" si="368"/>
        <v/>
      </c>
      <c r="Y1499" s="586" t="str">
        <f t="shared" si="362"/>
        <v/>
      </c>
      <c r="Z1499" s="586" t="str">
        <f t="shared" si="371"/>
        <v/>
      </c>
    </row>
    <row r="1500" spans="1:26" ht="23.25" hidden="1" thickBot="1" x14ac:dyDescent="0.25">
      <c r="A1500" s="567">
        <v>97591</v>
      </c>
      <c r="B1500" s="644">
        <v>97591</v>
      </c>
      <c r="C1500" s="645" t="s">
        <v>670</v>
      </c>
      <c r="D1500" s="422" t="s">
        <v>1347</v>
      </c>
      <c r="E1500" s="423"/>
      <c r="F1500" s="424"/>
      <c r="G1500" s="425"/>
      <c r="H1500" s="651"/>
      <c r="I1500" s="420">
        <v>172.18</v>
      </c>
      <c r="J1500" s="420">
        <f t="shared" si="370"/>
        <v>172.18</v>
      </c>
      <c r="K1500" s="421">
        <f t="shared" si="369"/>
        <v>204.57</v>
      </c>
      <c r="L1500" s="647" t="s">
        <v>2065</v>
      </c>
      <c r="M1500" s="576"/>
      <c r="N1500" s="576">
        <f t="shared" si="372"/>
        <v>0</v>
      </c>
      <c r="O1500" s="577">
        <f t="shared" si="366"/>
        <v>0</v>
      </c>
      <c r="P1500" s="578">
        <f t="shared" si="367"/>
        <v>0</v>
      </c>
      <c r="Q1500" s="765"/>
      <c r="R1500" s="576">
        <f t="shared" si="363"/>
        <v>0</v>
      </c>
      <c r="S1500" s="576">
        <f t="shared" si="363"/>
        <v>0</v>
      </c>
      <c r="T1500" s="577">
        <f t="shared" si="364"/>
        <v>0</v>
      </c>
      <c r="U1500" s="578">
        <f t="shared" si="365"/>
        <v>0</v>
      </c>
      <c r="V1500" s="579"/>
      <c r="W1500" s="566"/>
      <c r="X1500" s="586" t="str">
        <f t="shared" si="368"/>
        <v/>
      </c>
      <c r="Y1500" s="586" t="str">
        <f t="shared" si="362"/>
        <v/>
      </c>
      <c r="Z1500" s="586" t="str">
        <f t="shared" si="371"/>
        <v/>
      </c>
    </row>
    <row r="1501" spans="1:26" ht="23.25" hidden="1" thickBot="1" x14ac:dyDescent="0.25">
      <c r="A1501" s="567">
        <v>103782</v>
      </c>
      <c r="B1501" s="644">
        <v>103782</v>
      </c>
      <c r="C1501" s="645" t="s">
        <v>670</v>
      </c>
      <c r="D1501" s="422" t="s">
        <v>2095</v>
      </c>
      <c r="E1501" s="423"/>
      <c r="F1501" s="424"/>
      <c r="G1501" s="425"/>
      <c r="H1501" s="651"/>
      <c r="I1501" s="420">
        <v>39.75</v>
      </c>
      <c r="J1501" s="420">
        <f t="shared" si="370"/>
        <v>39.75</v>
      </c>
      <c r="K1501" s="421">
        <f t="shared" si="369"/>
        <v>47.23</v>
      </c>
      <c r="L1501" s="647" t="s">
        <v>2065</v>
      </c>
      <c r="M1501" s="576"/>
      <c r="N1501" s="576">
        <f t="shared" si="372"/>
        <v>0</v>
      </c>
      <c r="O1501" s="577">
        <f t="shared" si="366"/>
        <v>0</v>
      </c>
      <c r="P1501" s="578">
        <f t="shared" si="367"/>
        <v>0</v>
      </c>
      <c r="Q1501" s="765"/>
      <c r="R1501" s="576">
        <f t="shared" si="363"/>
        <v>0</v>
      </c>
      <c r="S1501" s="576">
        <f t="shared" si="363"/>
        <v>0</v>
      </c>
      <c r="T1501" s="577">
        <f t="shared" si="364"/>
        <v>0</v>
      </c>
      <c r="U1501" s="578">
        <f t="shared" si="365"/>
        <v>0</v>
      </c>
      <c r="V1501" s="579"/>
      <c r="W1501" s="566"/>
      <c r="X1501" s="586" t="str">
        <f t="shared" si="368"/>
        <v/>
      </c>
      <c r="Y1501" s="586" t="str">
        <f t="shared" si="362"/>
        <v/>
      </c>
      <c r="Z1501" s="586" t="str">
        <f t="shared" si="371"/>
        <v/>
      </c>
    </row>
    <row r="1502" spans="1:26" ht="23.25" hidden="1" thickBot="1" x14ac:dyDescent="0.25">
      <c r="A1502" s="567">
        <v>97593</v>
      </c>
      <c r="B1502" s="644">
        <v>97593</v>
      </c>
      <c r="C1502" s="645" t="s">
        <v>670</v>
      </c>
      <c r="D1502" s="422" t="s">
        <v>1348</v>
      </c>
      <c r="E1502" s="423"/>
      <c r="F1502" s="424"/>
      <c r="G1502" s="425"/>
      <c r="H1502" s="651"/>
      <c r="I1502" s="420">
        <v>199.41</v>
      </c>
      <c r="J1502" s="420">
        <f t="shared" si="370"/>
        <v>199.41</v>
      </c>
      <c r="K1502" s="421">
        <f t="shared" si="369"/>
        <v>236.92</v>
      </c>
      <c r="L1502" s="647" t="s">
        <v>2065</v>
      </c>
      <c r="M1502" s="576"/>
      <c r="N1502" s="576">
        <f t="shared" si="372"/>
        <v>0</v>
      </c>
      <c r="O1502" s="577">
        <f t="shared" si="366"/>
        <v>0</v>
      </c>
      <c r="P1502" s="578">
        <f t="shared" si="367"/>
        <v>0</v>
      </c>
      <c r="Q1502" s="765"/>
      <c r="R1502" s="576">
        <f t="shared" si="363"/>
        <v>0</v>
      </c>
      <c r="S1502" s="576">
        <f t="shared" si="363"/>
        <v>0</v>
      </c>
      <c r="T1502" s="577">
        <f t="shared" si="364"/>
        <v>0</v>
      </c>
      <c r="U1502" s="578">
        <f t="shared" si="365"/>
        <v>0</v>
      </c>
      <c r="V1502" s="579"/>
      <c r="W1502" s="566"/>
      <c r="X1502" s="586" t="str">
        <f t="shared" si="368"/>
        <v/>
      </c>
      <c r="Y1502" s="586" t="str">
        <f t="shared" si="362"/>
        <v/>
      </c>
      <c r="Z1502" s="586" t="str">
        <f t="shared" si="371"/>
        <v/>
      </c>
    </row>
    <row r="1503" spans="1:26" ht="23.25" hidden="1" thickBot="1" x14ac:dyDescent="0.25">
      <c r="A1503" s="567">
        <v>97594</v>
      </c>
      <c r="B1503" s="644">
        <v>97594</v>
      </c>
      <c r="C1503" s="645" t="s">
        <v>670</v>
      </c>
      <c r="D1503" s="422" t="s">
        <v>1349</v>
      </c>
      <c r="E1503" s="423"/>
      <c r="F1503" s="424"/>
      <c r="G1503" s="425"/>
      <c r="H1503" s="651"/>
      <c r="I1503" s="420">
        <v>174.96</v>
      </c>
      <c r="J1503" s="420">
        <f t="shared" si="370"/>
        <v>174.96</v>
      </c>
      <c r="K1503" s="421">
        <f t="shared" si="369"/>
        <v>207.87</v>
      </c>
      <c r="L1503" s="647" t="s">
        <v>2065</v>
      </c>
      <c r="M1503" s="576"/>
      <c r="N1503" s="576">
        <f t="shared" si="372"/>
        <v>0</v>
      </c>
      <c r="O1503" s="577">
        <f t="shared" si="366"/>
        <v>0</v>
      </c>
      <c r="P1503" s="578">
        <f t="shared" si="367"/>
        <v>0</v>
      </c>
      <c r="Q1503" s="765"/>
      <c r="R1503" s="576">
        <f t="shared" si="363"/>
        <v>0</v>
      </c>
      <c r="S1503" s="576">
        <f t="shared" si="363"/>
        <v>0</v>
      </c>
      <c r="T1503" s="577">
        <f t="shared" si="364"/>
        <v>0</v>
      </c>
      <c r="U1503" s="578">
        <f t="shared" si="365"/>
        <v>0</v>
      </c>
      <c r="V1503" s="579"/>
      <c r="W1503" s="566"/>
      <c r="X1503" s="586" t="str">
        <f t="shared" si="368"/>
        <v/>
      </c>
      <c r="Y1503" s="586" t="str">
        <f t="shared" si="362"/>
        <v/>
      </c>
      <c r="Z1503" s="586" t="str">
        <f t="shared" si="371"/>
        <v/>
      </c>
    </row>
    <row r="1504" spans="1:26" ht="23.25" hidden="1" thickBot="1" x14ac:dyDescent="0.25">
      <c r="A1504" s="567">
        <v>101666</v>
      </c>
      <c r="B1504" s="644">
        <v>101666</v>
      </c>
      <c r="C1504" s="645" t="s">
        <v>670</v>
      </c>
      <c r="D1504" s="422" t="s">
        <v>1350</v>
      </c>
      <c r="E1504" s="423"/>
      <c r="F1504" s="424"/>
      <c r="G1504" s="425"/>
      <c r="H1504" s="651"/>
      <c r="I1504" s="420">
        <v>547.97</v>
      </c>
      <c r="J1504" s="420">
        <f t="shared" si="370"/>
        <v>547.97</v>
      </c>
      <c r="K1504" s="421">
        <f t="shared" si="369"/>
        <v>651.04</v>
      </c>
      <c r="L1504" s="647" t="s">
        <v>2065</v>
      </c>
      <c r="M1504" s="576"/>
      <c r="N1504" s="576">
        <f t="shared" si="372"/>
        <v>0</v>
      </c>
      <c r="O1504" s="577">
        <f t="shared" si="366"/>
        <v>0</v>
      </c>
      <c r="P1504" s="578">
        <f t="shared" si="367"/>
        <v>0</v>
      </c>
      <c r="Q1504" s="765"/>
      <c r="R1504" s="576">
        <f t="shared" si="363"/>
        <v>0</v>
      </c>
      <c r="S1504" s="576">
        <f t="shared" si="363"/>
        <v>0</v>
      </c>
      <c r="T1504" s="577">
        <f t="shared" si="364"/>
        <v>0</v>
      </c>
      <c r="U1504" s="578">
        <f t="shared" si="365"/>
        <v>0</v>
      </c>
      <c r="V1504" s="579"/>
      <c r="W1504" s="566"/>
      <c r="X1504" s="586" t="str">
        <f t="shared" si="368"/>
        <v/>
      </c>
      <c r="Y1504" s="586" t="str">
        <f t="shared" si="362"/>
        <v/>
      </c>
      <c r="Z1504" s="586" t="str">
        <f t="shared" si="371"/>
        <v/>
      </c>
    </row>
    <row r="1505" spans="1:26" ht="23.25" hidden="1" thickBot="1" x14ac:dyDescent="0.25">
      <c r="A1505" s="567">
        <v>97600</v>
      </c>
      <c r="B1505" s="644">
        <v>97600</v>
      </c>
      <c r="C1505" s="645" t="s">
        <v>670</v>
      </c>
      <c r="D1505" s="422" t="s">
        <v>1351</v>
      </c>
      <c r="E1505" s="423"/>
      <c r="F1505" s="424"/>
      <c r="G1505" s="425"/>
      <c r="H1505" s="651"/>
      <c r="I1505" s="420">
        <v>370.04</v>
      </c>
      <c r="J1505" s="420">
        <f t="shared" si="370"/>
        <v>370.04</v>
      </c>
      <c r="K1505" s="421">
        <f t="shared" si="369"/>
        <v>439.64</v>
      </c>
      <c r="L1505" s="647" t="s">
        <v>2065</v>
      </c>
      <c r="M1505" s="576"/>
      <c r="N1505" s="576">
        <f t="shared" si="372"/>
        <v>0</v>
      </c>
      <c r="O1505" s="577">
        <f t="shared" si="366"/>
        <v>0</v>
      </c>
      <c r="P1505" s="578">
        <f t="shared" si="367"/>
        <v>0</v>
      </c>
      <c r="Q1505" s="765"/>
      <c r="R1505" s="576">
        <f t="shared" si="363"/>
        <v>0</v>
      </c>
      <c r="S1505" s="576">
        <f t="shared" si="363"/>
        <v>0</v>
      </c>
      <c r="T1505" s="577">
        <f t="shared" si="364"/>
        <v>0</v>
      </c>
      <c r="U1505" s="578">
        <f t="shared" si="365"/>
        <v>0</v>
      </c>
      <c r="V1505" s="579"/>
      <c r="W1505" s="566"/>
      <c r="X1505" s="586" t="str">
        <f t="shared" si="368"/>
        <v/>
      </c>
      <c r="Y1505" s="586" t="str">
        <f t="shared" si="362"/>
        <v/>
      </c>
      <c r="Z1505" s="586" t="str">
        <f t="shared" si="371"/>
        <v/>
      </c>
    </row>
    <row r="1506" spans="1:26" ht="23.25" hidden="1" thickBot="1" x14ac:dyDescent="0.25">
      <c r="A1506" s="567">
        <v>97601</v>
      </c>
      <c r="B1506" s="644">
        <v>97601</v>
      </c>
      <c r="C1506" s="645" t="s">
        <v>670</v>
      </c>
      <c r="D1506" s="422" t="s">
        <v>1352</v>
      </c>
      <c r="E1506" s="423"/>
      <c r="F1506" s="424"/>
      <c r="G1506" s="425"/>
      <c r="H1506" s="651"/>
      <c r="I1506" s="420">
        <v>392.82</v>
      </c>
      <c r="J1506" s="420">
        <f t="shared" si="370"/>
        <v>392.82</v>
      </c>
      <c r="K1506" s="421">
        <f t="shared" si="369"/>
        <v>466.71</v>
      </c>
      <c r="L1506" s="647" t="s">
        <v>2065</v>
      </c>
      <c r="M1506" s="576"/>
      <c r="N1506" s="576">
        <f t="shared" si="372"/>
        <v>0</v>
      </c>
      <c r="O1506" s="577">
        <f t="shared" si="366"/>
        <v>0</v>
      </c>
      <c r="P1506" s="578">
        <f t="shared" si="367"/>
        <v>0</v>
      </c>
      <c r="Q1506" s="765"/>
      <c r="R1506" s="576">
        <f t="shared" si="363"/>
        <v>0</v>
      </c>
      <c r="S1506" s="576">
        <f t="shared" si="363"/>
        <v>0</v>
      </c>
      <c r="T1506" s="577">
        <f t="shared" si="364"/>
        <v>0</v>
      </c>
      <c r="U1506" s="578">
        <f t="shared" si="365"/>
        <v>0</v>
      </c>
      <c r="V1506" s="579"/>
      <c r="W1506" s="566"/>
      <c r="X1506" s="586" t="str">
        <f t="shared" si="368"/>
        <v/>
      </c>
      <c r="Y1506" s="586" t="str">
        <f t="shared" si="362"/>
        <v/>
      </c>
      <c r="Z1506" s="586" t="str">
        <f t="shared" si="371"/>
        <v/>
      </c>
    </row>
    <row r="1507" spans="1:26" ht="12" hidden="1" thickBot="1" x14ac:dyDescent="0.25">
      <c r="A1507" s="567">
        <v>97611</v>
      </c>
      <c r="B1507" s="644">
        <v>97611</v>
      </c>
      <c r="C1507" s="645" t="s">
        <v>670</v>
      </c>
      <c r="D1507" s="422" t="s">
        <v>1353</v>
      </c>
      <c r="E1507" s="423"/>
      <c r="F1507" s="424"/>
      <c r="G1507" s="425"/>
      <c r="H1507" s="651"/>
      <c r="I1507" s="420">
        <v>27.91</v>
      </c>
      <c r="J1507" s="420">
        <f t="shared" si="370"/>
        <v>27.91</v>
      </c>
      <c r="K1507" s="421">
        <f t="shared" si="369"/>
        <v>33.159999999999997</v>
      </c>
      <c r="L1507" s="647" t="s">
        <v>2065</v>
      </c>
      <c r="M1507" s="576"/>
      <c r="N1507" s="576">
        <f t="shared" si="372"/>
        <v>0</v>
      </c>
      <c r="O1507" s="577">
        <f t="shared" si="366"/>
        <v>0</v>
      </c>
      <c r="P1507" s="578">
        <f t="shared" si="367"/>
        <v>0</v>
      </c>
      <c r="Q1507" s="765"/>
      <c r="R1507" s="576">
        <f t="shared" si="363"/>
        <v>0</v>
      </c>
      <c r="S1507" s="576">
        <f t="shared" si="363"/>
        <v>0</v>
      </c>
      <c r="T1507" s="577">
        <f t="shared" si="364"/>
        <v>0</v>
      </c>
      <c r="U1507" s="578">
        <f t="shared" si="365"/>
        <v>0</v>
      </c>
      <c r="V1507" s="579"/>
      <c r="W1507" s="566"/>
      <c r="X1507" s="586" t="str">
        <f t="shared" si="368"/>
        <v/>
      </c>
      <c r="Y1507" s="586" t="str">
        <f t="shared" ref="Y1507:Y1570" si="373">IF(W1507="X","x",IF(W1507="y","x",IF(W1507="xx","x",IF(U1507&gt;0,"x",""))))</f>
        <v/>
      </c>
      <c r="Z1507" s="586" t="str">
        <f t="shared" si="371"/>
        <v/>
      </c>
    </row>
    <row r="1508" spans="1:26" ht="12" hidden="1" thickBot="1" x14ac:dyDescent="0.25">
      <c r="A1508" s="567">
        <v>97612</v>
      </c>
      <c r="B1508" s="644">
        <v>97612</v>
      </c>
      <c r="C1508" s="645" t="s">
        <v>670</v>
      </c>
      <c r="D1508" s="422" t="s">
        <v>1354</v>
      </c>
      <c r="E1508" s="423"/>
      <c r="F1508" s="424"/>
      <c r="G1508" s="425"/>
      <c r="H1508" s="651"/>
      <c r="I1508" s="420">
        <v>30.46</v>
      </c>
      <c r="J1508" s="420">
        <f t="shared" si="370"/>
        <v>30.46</v>
      </c>
      <c r="K1508" s="421">
        <f t="shared" si="369"/>
        <v>36.19</v>
      </c>
      <c r="L1508" s="647" t="s">
        <v>2065</v>
      </c>
      <c r="M1508" s="576"/>
      <c r="N1508" s="576">
        <f t="shared" si="372"/>
        <v>0</v>
      </c>
      <c r="O1508" s="577">
        <f t="shared" si="366"/>
        <v>0</v>
      </c>
      <c r="P1508" s="578">
        <f t="shared" si="367"/>
        <v>0</v>
      </c>
      <c r="Q1508" s="765"/>
      <c r="R1508" s="576">
        <f t="shared" si="363"/>
        <v>0</v>
      </c>
      <c r="S1508" s="576">
        <f t="shared" si="363"/>
        <v>0</v>
      </c>
      <c r="T1508" s="577">
        <f t="shared" si="364"/>
        <v>0</v>
      </c>
      <c r="U1508" s="578">
        <f t="shared" si="365"/>
        <v>0</v>
      </c>
      <c r="V1508" s="579"/>
      <c r="W1508" s="566"/>
      <c r="X1508" s="586" t="str">
        <f t="shared" si="368"/>
        <v/>
      </c>
      <c r="Y1508" s="586" t="str">
        <f t="shared" si="373"/>
        <v/>
      </c>
      <c r="Z1508" s="586" t="str">
        <f t="shared" si="371"/>
        <v/>
      </c>
    </row>
    <row r="1509" spans="1:26" ht="23.25" hidden="1" thickBot="1" x14ac:dyDescent="0.25">
      <c r="A1509" s="567">
        <v>97615</v>
      </c>
      <c r="B1509" s="644">
        <v>97615</v>
      </c>
      <c r="C1509" s="645" t="s">
        <v>670</v>
      </c>
      <c r="D1509" s="422" t="s">
        <v>1355</v>
      </c>
      <c r="E1509" s="423"/>
      <c r="F1509" s="424"/>
      <c r="G1509" s="425"/>
      <c r="H1509" s="651"/>
      <c r="I1509" s="420">
        <v>71.03</v>
      </c>
      <c r="J1509" s="420">
        <f t="shared" si="370"/>
        <v>71.03</v>
      </c>
      <c r="K1509" s="421">
        <f t="shared" si="369"/>
        <v>84.39</v>
      </c>
      <c r="L1509" s="647" t="s">
        <v>2065</v>
      </c>
      <c r="M1509" s="576"/>
      <c r="N1509" s="576">
        <f t="shared" si="372"/>
        <v>0</v>
      </c>
      <c r="O1509" s="577">
        <f t="shared" si="366"/>
        <v>0</v>
      </c>
      <c r="P1509" s="578">
        <f t="shared" si="367"/>
        <v>0</v>
      </c>
      <c r="Q1509" s="765"/>
      <c r="R1509" s="576">
        <f t="shared" si="363"/>
        <v>0</v>
      </c>
      <c r="S1509" s="576">
        <f t="shared" si="363"/>
        <v>0</v>
      </c>
      <c r="T1509" s="577">
        <f t="shared" si="364"/>
        <v>0</v>
      </c>
      <c r="U1509" s="578">
        <f t="shared" si="365"/>
        <v>0</v>
      </c>
      <c r="V1509" s="579"/>
      <c r="W1509" s="566"/>
      <c r="X1509" s="586" t="str">
        <f t="shared" si="368"/>
        <v/>
      </c>
      <c r="Y1509" s="586" t="str">
        <f t="shared" si="373"/>
        <v/>
      </c>
      <c r="Z1509" s="586" t="str">
        <f t="shared" si="371"/>
        <v/>
      </c>
    </row>
    <row r="1510" spans="1:26" ht="23.25" hidden="1" thickBot="1" x14ac:dyDescent="0.25">
      <c r="A1510" s="567">
        <v>97616</v>
      </c>
      <c r="B1510" s="644">
        <v>97616</v>
      </c>
      <c r="C1510" s="645" t="s">
        <v>670</v>
      </c>
      <c r="D1510" s="422" t="s">
        <v>1356</v>
      </c>
      <c r="E1510" s="423"/>
      <c r="F1510" s="424"/>
      <c r="G1510" s="425"/>
      <c r="H1510" s="651"/>
      <c r="I1510" s="420">
        <v>82.58</v>
      </c>
      <c r="J1510" s="420">
        <f t="shared" si="370"/>
        <v>82.58</v>
      </c>
      <c r="K1510" s="421">
        <f t="shared" si="369"/>
        <v>98.11</v>
      </c>
      <c r="L1510" s="647" t="s">
        <v>2065</v>
      </c>
      <c r="M1510" s="576"/>
      <c r="N1510" s="576">
        <f t="shared" si="372"/>
        <v>0</v>
      </c>
      <c r="O1510" s="577">
        <f t="shared" si="366"/>
        <v>0</v>
      </c>
      <c r="P1510" s="578">
        <f t="shared" si="367"/>
        <v>0</v>
      </c>
      <c r="Q1510" s="765"/>
      <c r="R1510" s="576">
        <f t="shared" si="363"/>
        <v>0</v>
      </c>
      <c r="S1510" s="576">
        <f t="shared" si="363"/>
        <v>0</v>
      </c>
      <c r="T1510" s="577">
        <f t="shared" si="364"/>
        <v>0</v>
      </c>
      <c r="U1510" s="578">
        <f t="shared" si="365"/>
        <v>0</v>
      </c>
      <c r="V1510" s="579"/>
      <c r="W1510" s="566"/>
      <c r="X1510" s="586" t="str">
        <f t="shared" si="368"/>
        <v/>
      </c>
      <c r="Y1510" s="586" t="str">
        <f t="shared" si="373"/>
        <v/>
      </c>
      <c r="Z1510" s="586" t="str">
        <f t="shared" si="371"/>
        <v/>
      </c>
    </row>
    <row r="1511" spans="1:26" ht="23.25" hidden="1" thickBot="1" x14ac:dyDescent="0.25">
      <c r="A1511" s="567">
        <v>97617</v>
      </c>
      <c r="B1511" s="644">
        <v>97617</v>
      </c>
      <c r="C1511" s="645" t="s">
        <v>670</v>
      </c>
      <c r="D1511" s="422" t="s">
        <v>1357</v>
      </c>
      <c r="E1511" s="423"/>
      <c r="F1511" s="424"/>
      <c r="G1511" s="425"/>
      <c r="H1511" s="651"/>
      <c r="I1511" s="420">
        <v>82.19</v>
      </c>
      <c r="J1511" s="420">
        <f t="shared" si="370"/>
        <v>82.19</v>
      </c>
      <c r="K1511" s="421">
        <f t="shared" si="369"/>
        <v>97.65</v>
      </c>
      <c r="L1511" s="647" t="s">
        <v>2065</v>
      </c>
      <c r="M1511" s="576"/>
      <c r="N1511" s="576">
        <f t="shared" si="372"/>
        <v>0</v>
      </c>
      <c r="O1511" s="577">
        <f t="shared" si="366"/>
        <v>0</v>
      </c>
      <c r="P1511" s="578">
        <f t="shared" si="367"/>
        <v>0</v>
      </c>
      <c r="Q1511" s="765"/>
      <c r="R1511" s="576">
        <f t="shared" si="363"/>
        <v>0</v>
      </c>
      <c r="S1511" s="576">
        <f t="shared" si="363"/>
        <v>0</v>
      </c>
      <c r="T1511" s="577">
        <f t="shared" si="364"/>
        <v>0</v>
      </c>
      <c r="U1511" s="578">
        <f t="shared" si="365"/>
        <v>0</v>
      </c>
      <c r="V1511" s="579"/>
      <c r="W1511" s="566"/>
      <c r="X1511" s="586" t="str">
        <f t="shared" si="368"/>
        <v/>
      </c>
      <c r="Y1511" s="586" t="str">
        <f t="shared" si="373"/>
        <v/>
      </c>
      <c r="Z1511" s="586" t="str">
        <f t="shared" si="371"/>
        <v/>
      </c>
    </row>
    <row r="1512" spans="1:26" ht="23.25" hidden="1" thickBot="1" x14ac:dyDescent="0.25">
      <c r="A1512" s="567">
        <v>97618</v>
      </c>
      <c r="B1512" s="644">
        <v>97618</v>
      </c>
      <c r="C1512" s="645" t="s">
        <v>670</v>
      </c>
      <c r="D1512" s="422" t="s">
        <v>1358</v>
      </c>
      <c r="E1512" s="423"/>
      <c r="F1512" s="424"/>
      <c r="G1512" s="425"/>
      <c r="H1512" s="651"/>
      <c r="I1512" s="420">
        <v>74.61</v>
      </c>
      <c r="J1512" s="420">
        <f t="shared" si="370"/>
        <v>74.61</v>
      </c>
      <c r="K1512" s="421">
        <f t="shared" si="369"/>
        <v>88.64</v>
      </c>
      <c r="L1512" s="647" t="s">
        <v>2065</v>
      </c>
      <c r="M1512" s="576"/>
      <c r="N1512" s="576">
        <f t="shared" si="372"/>
        <v>0</v>
      </c>
      <c r="O1512" s="577">
        <f t="shared" si="366"/>
        <v>0</v>
      </c>
      <c r="P1512" s="578">
        <f t="shared" si="367"/>
        <v>0</v>
      </c>
      <c r="Q1512" s="765"/>
      <c r="R1512" s="576">
        <f t="shared" si="363"/>
        <v>0</v>
      </c>
      <c r="S1512" s="576">
        <f t="shared" si="363"/>
        <v>0</v>
      </c>
      <c r="T1512" s="577">
        <f t="shared" si="364"/>
        <v>0</v>
      </c>
      <c r="U1512" s="578">
        <f t="shared" si="365"/>
        <v>0</v>
      </c>
      <c r="V1512" s="579"/>
      <c r="W1512" s="566"/>
      <c r="X1512" s="586" t="str">
        <f t="shared" si="368"/>
        <v/>
      </c>
      <c r="Y1512" s="586" t="str">
        <f t="shared" si="373"/>
        <v/>
      </c>
      <c r="Z1512" s="586" t="str">
        <f t="shared" si="371"/>
        <v/>
      </c>
    </row>
    <row r="1513" spans="1:26" ht="23.25" hidden="1" thickBot="1" x14ac:dyDescent="0.25">
      <c r="A1513" s="567">
        <v>97613</v>
      </c>
      <c r="B1513" s="644">
        <v>97613</v>
      </c>
      <c r="C1513" s="645" t="s">
        <v>670</v>
      </c>
      <c r="D1513" s="422" t="s">
        <v>1359</v>
      </c>
      <c r="E1513" s="423"/>
      <c r="F1513" s="424"/>
      <c r="G1513" s="425"/>
      <c r="H1513" s="651"/>
      <c r="I1513" s="420">
        <v>38.93</v>
      </c>
      <c r="J1513" s="420">
        <f t="shared" si="370"/>
        <v>38.93</v>
      </c>
      <c r="K1513" s="421">
        <f t="shared" si="369"/>
        <v>46.25</v>
      </c>
      <c r="L1513" s="647" t="s">
        <v>2065</v>
      </c>
      <c r="M1513" s="576"/>
      <c r="N1513" s="576">
        <f t="shared" si="372"/>
        <v>0</v>
      </c>
      <c r="O1513" s="577">
        <f t="shared" si="366"/>
        <v>0</v>
      </c>
      <c r="P1513" s="578">
        <f t="shared" si="367"/>
        <v>0</v>
      </c>
      <c r="Q1513" s="765"/>
      <c r="R1513" s="576">
        <f t="shared" si="363"/>
        <v>0</v>
      </c>
      <c r="S1513" s="576">
        <f t="shared" si="363"/>
        <v>0</v>
      </c>
      <c r="T1513" s="577">
        <f t="shared" si="364"/>
        <v>0</v>
      </c>
      <c r="U1513" s="578">
        <f t="shared" si="365"/>
        <v>0</v>
      </c>
      <c r="V1513" s="579"/>
      <c r="W1513" s="566"/>
      <c r="X1513" s="586" t="str">
        <f t="shared" si="368"/>
        <v/>
      </c>
      <c r="Y1513" s="586" t="str">
        <f t="shared" si="373"/>
        <v/>
      </c>
      <c r="Z1513" s="586" t="str">
        <f t="shared" si="371"/>
        <v/>
      </c>
    </row>
    <row r="1514" spans="1:26" ht="23.25" hidden="1" thickBot="1" x14ac:dyDescent="0.25">
      <c r="A1514" s="567">
        <v>97614</v>
      </c>
      <c r="B1514" s="644">
        <v>97614</v>
      </c>
      <c r="C1514" s="645" t="s">
        <v>670</v>
      </c>
      <c r="D1514" s="422" t="s">
        <v>1360</v>
      </c>
      <c r="E1514" s="423"/>
      <c r="F1514" s="424"/>
      <c r="G1514" s="425"/>
      <c r="H1514" s="651"/>
      <c r="I1514" s="420">
        <v>69.52</v>
      </c>
      <c r="J1514" s="420">
        <f t="shared" si="370"/>
        <v>69.52</v>
      </c>
      <c r="K1514" s="421">
        <f t="shared" si="369"/>
        <v>82.6</v>
      </c>
      <c r="L1514" s="647" t="s">
        <v>2065</v>
      </c>
      <c r="M1514" s="576"/>
      <c r="N1514" s="576">
        <f t="shared" si="372"/>
        <v>0</v>
      </c>
      <c r="O1514" s="577">
        <f t="shared" si="366"/>
        <v>0</v>
      </c>
      <c r="P1514" s="578">
        <f t="shared" si="367"/>
        <v>0</v>
      </c>
      <c r="Q1514" s="765"/>
      <c r="R1514" s="576">
        <f t="shared" ref="R1514:S1577" si="374">M1514</f>
        <v>0</v>
      </c>
      <c r="S1514" s="576">
        <f t="shared" si="374"/>
        <v>0</v>
      </c>
      <c r="T1514" s="577">
        <f t="shared" si="364"/>
        <v>0</v>
      </c>
      <c r="U1514" s="578">
        <f t="shared" si="365"/>
        <v>0</v>
      </c>
      <c r="V1514" s="579"/>
      <c r="W1514" s="566"/>
      <c r="X1514" s="586" t="str">
        <f t="shared" si="368"/>
        <v/>
      </c>
      <c r="Y1514" s="586" t="str">
        <f t="shared" si="373"/>
        <v/>
      </c>
      <c r="Z1514" s="586" t="str">
        <f t="shared" si="371"/>
        <v/>
      </c>
    </row>
    <row r="1515" spans="1:26" ht="12" hidden="1" thickBot="1" x14ac:dyDescent="0.25">
      <c r="A1515" s="567">
        <v>101648</v>
      </c>
      <c r="B1515" s="644">
        <v>101648</v>
      </c>
      <c r="C1515" s="645" t="s">
        <v>670</v>
      </c>
      <c r="D1515" s="422" t="s">
        <v>1361</v>
      </c>
      <c r="E1515" s="423"/>
      <c r="F1515" s="424"/>
      <c r="G1515" s="425"/>
      <c r="H1515" s="651"/>
      <c r="I1515" s="420">
        <v>64.48</v>
      </c>
      <c r="J1515" s="420">
        <f t="shared" si="370"/>
        <v>64.48</v>
      </c>
      <c r="K1515" s="421">
        <f t="shared" si="369"/>
        <v>76.61</v>
      </c>
      <c r="L1515" s="647" t="s">
        <v>2065</v>
      </c>
      <c r="M1515" s="576"/>
      <c r="N1515" s="576">
        <f t="shared" si="372"/>
        <v>0</v>
      </c>
      <c r="O1515" s="577">
        <f t="shared" si="366"/>
        <v>0</v>
      </c>
      <c r="P1515" s="578">
        <f t="shared" si="367"/>
        <v>0</v>
      </c>
      <c r="Q1515" s="765"/>
      <c r="R1515" s="576">
        <f t="shared" si="374"/>
        <v>0</v>
      </c>
      <c r="S1515" s="576">
        <f t="shared" si="374"/>
        <v>0</v>
      </c>
      <c r="T1515" s="577">
        <f t="shared" si="364"/>
        <v>0</v>
      </c>
      <c r="U1515" s="578">
        <f t="shared" si="365"/>
        <v>0</v>
      </c>
      <c r="V1515" s="579"/>
      <c r="W1515" s="566"/>
      <c r="X1515" s="586" t="str">
        <f t="shared" si="368"/>
        <v/>
      </c>
      <c r="Y1515" s="586" t="str">
        <f t="shared" si="373"/>
        <v/>
      </c>
      <c r="Z1515" s="586" t="str">
        <f t="shared" si="371"/>
        <v/>
      </c>
    </row>
    <row r="1516" spans="1:26" ht="12" hidden="1" thickBot="1" x14ac:dyDescent="0.25">
      <c r="A1516" s="567">
        <v>101649</v>
      </c>
      <c r="B1516" s="644">
        <v>101649</v>
      </c>
      <c r="C1516" s="645" t="s">
        <v>670</v>
      </c>
      <c r="D1516" s="422" t="s">
        <v>1362</v>
      </c>
      <c r="E1516" s="423"/>
      <c r="F1516" s="424"/>
      <c r="G1516" s="425"/>
      <c r="H1516" s="651"/>
      <c r="I1516" s="420">
        <v>74.34</v>
      </c>
      <c r="J1516" s="420">
        <f t="shared" si="370"/>
        <v>74.34</v>
      </c>
      <c r="K1516" s="421">
        <f t="shared" si="369"/>
        <v>88.32</v>
      </c>
      <c r="L1516" s="647" t="s">
        <v>2065</v>
      </c>
      <c r="M1516" s="576"/>
      <c r="N1516" s="576">
        <f t="shared" si="372"/>
        <v>0</v>
      </c>
      <c r="O1516" s="577">
        <f t="shared" si="366"/>
        <v>0</v>
      </c>
      <c r="P1516" s="578">
        <f t="shared" si="367"/>
        <v>0</v>
      </c>
      <c r="Q1516" s="765"/>
      <c r="R1516" s="576">
        <f t="shared" si="374"/>
        <v>0</v>
      </c>
      <c r="S1516" s="576">
        <f t="shared" si="374"/>
        <v>0</v>
      </c>
      <c r="T1516" s="577">
        <f t="shared" si="364"/>
        <v>0</v>
      </c>
      <c r="U1516" s="578">
        <f t="shared" si="365"/>
        <v>0</v>
      </c>
      <c r="V1516" s="579"/>
      <c r="W1516" s="566"/>
      <c r="X1516" s="586" t="str">
        <f t="shared" si="368"/>
        <v/>
      </c>
      <c r="Y1516" s="586" t="str">
        <f t="shared" si="373"/>
        <v/>
      </c>
      <c r="Z1516" s="586" t="str">
        <f t="shared" si="371"/>
        <v/>
      </c>
    </row>
    <row r="1517" spans="1:26" ht="12" hidden="1" thickBot="1" x14ac:dyDescent="0.25">
      <c r="A1517" s="567">
        <v>101650</v>
      </c>
      <c r="B1517" s="644">
        <v>101650</v>
      </c>
      <c r="C1517" s="645" t="s">
        <v>670</v>
      </c>
      <c r="D1517" s="422" t="s">
        <v>1363</v>
      </c>
      <c r="E1517" s="423"/>
      <c r="F1517" s="424"/>
      <c r="G1517" s="425"/>
      <c r="H1517" s="651"/>
      <c r="I1517" s="420">
        <v>86.44</v>
      </c>
      <c r="J1517" s="420">
        <f t="shared" si="370"/>
        <v>86.44</v>
      </c>
      <c r="K1517" s="421">
        <f t="shared" si="369"/>
        <v>102.7</v>
      </c>
      <c r="L1517" s="647" t="s">
        <v>2065</v>
      </c>
      <c r="M1517" s="576"/>
      <c r="N1517" s="576">
        <f t="shared" si="372"/>
        <v>0</v>
      </c>
      <c r="O1517" s="577">
        <f t="shared" si="366"/>
        <v>0</v>
      </c>
      <c r="P1517" s="578">
        <f t="shared" si="367"/>
        <v>0</v>
      </c>
      <c r="Q1517" s="765"/>
      <c r="R1517" s="576">
        <f t="shared" si="374"/>
        <v>0</v>
      </c>
      <c r="S1517" s="576">
        <f t="shared" si="374"/>
        <v>0</v>
      </c>
      <c r="T1517" s="577">
        <f t="shared" si="364"/>
        <v>0</v>
      </c>
      <c r="U1517" s="578">
        <f t="shared" si="365"/>
        <v>0</v>
      </c>
      <c r="V1517" s="579"/>
      <c r="W1517" s="566"/>
      <c r="X1517" s="586" t="str">
        <f t="shared" si="368"/>
        <v/>
      </c>
      <c r="Y1517" s="586" t="str">
        <f t="shared" si="373"/>
        <v/>
      </c>
      <c r="Z1517" s="586" t="str">
        <f t="shared" si="371"/>
        <v/>
      </c>
    </row>
    <row r="1518" spans="1:26" ht="12" hidden="1" thickBot="1" x14ac:dyDescent="0.25">
      <c r="A1518" s="567">
        <v>101640</v>
      </c>
      <c r="B1518" s="644">
        <v>101640</v>
      </c>
      <c r="C1518" s="645" t="s">
        <v>670</v>
      </c>
      <c r="D1518" s="422" t="s">
        <v>1364</v>
      </c>
      <c r="E1518" s="423"/>
      <c r="F1518" s="424"/>
      <c r="G1518" s="425"/>
      <c r="H1518" s="651"/>
      <c r="I1518" s="420">
        <v>118.24</v>
      </c>
      <c r="J1518" s="420">
        <f t="shared" si="370"/>
        <v>118.24</v>
      </c>
      <c r="K1518" s="421">
        <f t="shared" si="369"/>
        <v>140.47999999999999</v>
      </c>
      <c r="L1518" s="647" t="s">
        <v>2065</v>
      </c>
      <c r="M1518" s="576"/>
      <c r="N1518" s="576">
        <f t="shared" si="372"/>
        <v>0</v>
      </c>
      <c r="O1518" s="577">
        <f t="shared" si="366"/>
        <v>0</v>
      </c>
      <c r="P1518" s="578">
        <f t="shared" si="367"/>
        <v>0</v>
      </c>
      <c r="Q1518" s="765"/>
      <c r="R1518" s="576">
        <f t="shared" si="374"/>
        <v>0</v>
      </c>
      <c r="S1518" s="576">
        <f t="shared" si="374"/>
        <v>0</v>
      </c>
      <c r="T1518" s="577">
        <f t="shared" si="364"/>
        <v>0</v>
      </c>
      <c r="U1518" s="578">
        <f t="shared" si="365"/>
        <v>0</v>
      </c>
      <c r="V1518" s="579"/>
      <c r="W1518" s="566"/>
      <c r="X1518" s="586" t="str">
        <f t="shared" si="368"/>
        <v/>
      </c>
      <c r="Y1518" s="586" t="str">
        <f t="shared" si="373"/>
        <v/>
      </c>
      <c r="Z1518" s="586" t="str">
        <f t="shared" si="371"/>
        <v/>
      </c>
    </row>
    <row r="1519" spans="1:26" ht="12" hidden="1" thickBot="1" x14ac:dyDescent="0.25">
      <c r="A1519" s="567">
        <v>101641</v>
      </c>
      <c r="B1519" s="644">
        <v>101641</v>
      </c>
      <c r="C1519" s="645" t="s">
        <v>670</v>
      </c>
      <c r="D1519" s="422" t="s">
        <v>1365</v>
      </c>
      <c r="E1519" s="423"/>
      <c r="F1519" s="424"/>
      <c r="G1519" s="425"/>
      <c r="H1519" s="651"/>
      <c r="I1519" s="420">
        <v>61.12</v>
      </c>
      <c r="J1519" s="420">
        <f t="shared" si="370"/>
        <v>61.12</v>
      </c>
      <c r="K1519" s="421">
        <f t="shared" si="369"/>
        <v>72.62</v>
      </c>
      <c r="L1519" s="647" t="s">
        <v>2065</v>
      </c>
      <c r="M1519" s="576"/>
      <c r="N1519" s="576">
        <f t="shared" si="372"/>
        <v>0</v>
      </c>
      <c r="O1519" s="577">
        <f t="shared" si="366"/>
        <v>0</v>
      </c>
      <c r="P1519" s="578">
        <f t="shared" si="367"/>
        <v>0</v>
      </c>
      <c r="Q1519" s="765"/>
      <c r="R1519" s="576">
        <f t="shared" si="374"/>
        <v>0</v>
      </c>
      <c r="S1519" s="576">
        <f t="shared" si="374"/>
        <v>0</v>
      </c>
      <c r="T1519" s="577">
        <f t="shared" si="364"/>
        <v>0</v>
      </c>
      <c r="U1519" s="578">
        <f t="shared" si="365"/>
        <v>0</v>
      </c>
      <c r="V1519" s="579"/>
      <c r="W1519" s="566"/>
      <c r="X1519" s="586" t="str">
        <f t="shared" si="368"/>
        <v/>
      </c>
      <c r="Y1519" s="586" t="str">
        <f t="shared" si="373"/>
        <v/>
      </c>
      <c r="Z1519" s="586" t="str">
        <f t="shared" si="371"/>
        <v/>
      </c>
    </row>
    <row r="1520" spans="1:26" ht="12" hidden="1" thickBot="1" x14ac:dyDescent="0.25">
      <c r="A1520" s="567">
        <v>101642</v>
      </c>
      <c r="B1520" s="644">
        <v>101642</v>
      </c>
      <c r="C1520" s="645" t="s">
        <v>670</v>
      </c>
      <c r="D1520" s="422" t="s">
        <v>1366</v>
      </c>
      <c r="E1520" s="423"/>
      <c r="F1520" s="424"/>
      <c r="G1520" s="425"/>
      <c r="H1520" s="651"/>
      <c r="I1520" s="420">
        <v>30.53</v>
      </c>
      <c r="J1520" s="420">
        <f t="shared" si="370"/>
        <v>30.53</v>
      </c>
      <c r="K1520" s="421">
        <f t="shared" si="369"/>
        <v>36.270000000000003</v>
      </c>
      <c r="L1520" s="647" t="s">
        <v>2065</v>
      </c>
      <c r="M1520" s="576"/>
      <c r="N1520" s="576">
        <f t="shared" si="372"/>
        <v>0</v>
      </c>
      <c r="O1520" s="577">
        <f t="shared" si="366"/>
        <v>0</v>
      </c>
      <c r="P1520" s="578">
        <f t="shared" si="367"/>
        <v>0</v>
      </c>
      <c r="Q1520" s="765"/>
      <c r="R1520" s="576">
        <f t="shared" si="374"/>
        <v>0</v>
      </c>
      <c r="S1520" s="576">
        <f t="shared" si="374"/>
        <v>0</v>
      </c>
      <c r="T1520" s="577">
        <f t="shared" si="364"/>
        <v>0</v>
      </c>
      <c r="U1520" s="578">
        <f t="shared" si="365"/>
        <v>0</v>
      </c>
      <c r="V1520" s="579"/>
      <c r="W1520" s="566"/>
      <c r="X1520" s="586" t="str">
        <f t="shared" si="368"/>
        <v/>
      </c>
      <c r="Y1520" s="586" t="str">
        <f t="shared" si="373"/>
        <v/>
      </c>
      <c r="Z1520" s="586" t="str">
        <f t="shared" si="371"/>
        <v/>
      </c>
    </row>
    <row r="1521" spans="1:26" ht="12" hidden="1" thickBot="1" x14ac:dyDescent="0.25">
      <c r="A1521" s="567">
        <v>101643</v>
      </c>
      <c r="B1521" s="644">
        <v>101643</v>
      </c>
      <c r="C1521" s="645" t="s">
        <v>670</v>
      </c>
      <c r="D1521" s="422" t="s">
        <v>1367</v>
      </c>
      <c r="E1521" s="423"/>
      <c r="F1521" s="424"/>
      <c r="G1521" s="425"/>
      <c r="H1521" s="651"/>
      <c r="I1521" s="420">
        <v>53.31</v>
      </c>
      <c r="J1521" s="420">
        <f t="shared" si="370"/>
        <v>53.31</v>
      </c>
      <c r="K1521" s="421">
        <f t="shared" si="369"/>
        <v>63.34</v>
      </c>
      <c r="L1521" s="647" t="s">
        <v>2065</v>
      </c>
      <c r="M1521" s="576"/>
      <c r="N1521" s="576">
        <f t="shared" si="372"/>
        <v>0</v>
      </c>
      <c r="O1521" s="577">
        <f t="shared" si="366"/>
        <v>0</v>
      </c>
      <c r="P1521" s="578">
        <f t="shared" si="367"/>
        <v>0</v>
      </c>
      <c r="Q1521" s="765"/>
      <c r="R1521" s="576">
        <f t="shared" si="374"/>
        <v>0</v>
      </c>
      <c r="S1521" s="576">
        <f t="shared" si="374"/>
        <v>0</v>
      </c>
      <c r="T1521" s="577">
        <f t="shared" si="364"/>
        <v>0</v>
      </c>
      <c r="U1521" s="578">
        <f t="shared" si="365"/>
        <v>0</v>
      </c>
      <c r="V1521" s="579"/>
      <c r="W1521" s="566"/>
      <c r="X1521" s="586" t="str">
        <f t="shared" si="368"/>
        <v/>
      </c>
      <c r="Y1521" s="586" t="str">
        <f t="shared" si="373"/>
        <v/>
      </c>
      <c r="Z1521" s="586" t="str">
        <f t="shared" si="371"/>
        <v/>
      </c>
    </row>
    <row r="1522" spans="1:26" ht="12" hidden="1" thickBot="1" x14ac:dyDescent="0.25">
      <c r="A1522" s="567">
        <v>101644</v>
      </c>
      <c r="B1522" s="644">
        <v>101644</v>
      </c>
      <c r="C1522" s="645" t="s">
        <v>670</v>
      </c>
      <c r="D1522" s="422" t="s">
        <v>1368</v>
      </c>
      <c r="E1522" s="423"/>
      <c r="F1522" s="424"/>
      <c r="G1522" s="425"/>
      <c r="H1522" s="651"/>
      <c r="I1522" s="420">
        <v>72.23</v>
      </c>
      <c r="J1522" s="420">
        <f t="shared" si="370"/>
        <v>72.23</v>
      </c>
      <c r="K1522" s="421">
        <f t="shared" si="369"/>
        <v>85.82</v>
      </c>
      <c r="L1522" s="647" t="s">
        <v>2065</v>
      </c>
      <c r="M1522" s="576"/>
      <c r="N1522" s="576">
        <f t="shared" si="372"/>
        <v>0</v>
      </c>
      <c r="O1522" s="577">
        <f t="shared" si="366"/>
        <v>0</v>
      </c>
      <c r="P1522" s="578">
        <f t="shared" si="367"/>
        <v>0</v>
      </c>
      <c r="Q1522" s="765"/>
      <c r="R1522" s="576">
        <f t="shared" si="374"/>
        <v>0</v>
      </c>
      <c r="S1522" s="576">
        <f t="shared" si="374"/>
        <v>0</v>
      </c>
      <c r="T1522" s="577">
        <f t="shared" si="364"/>
        <v>0</v>
      </c>
      <c r="U1522" s="578">
        <f t="shared" si="365"/>
        <v>0</v>
      </c>
      <c r="V1522" s="579"/>
      <c r="W1522" s="566"/>
      <c r="X1522" s="586" t="str">
        <f t="shared" si="368"/>
        <v/>
      </c>
      <c r="Y1522" s="586" t="str">
        <f t="shared" si="373"/>
        <v/>
      </c>
      <c r="Z1522" s="586" t="str">
        <f t="shared" si="371"/>
        <v/>
      </c>
    </row>
    <row r="1523" spans="1:26" ht="12" hidden="1" thickBot="1" x14ac:dyDescent="0.25">
      <c r="A1523" s="567">
        <v>101645</v>
      </c>
      <c r="B1523" s="644">
        <v>101645</v>
      </c>
      <c r="C1523" s="645" t="s">
        <v>670</v>
      </c>
      <c r="D1523" s="422" t="s">
        <v>1369</v>
      </c>
      <c r="E1523" s="423"/>
      <c r="F1523" s="424"/>
      <c r="G1523" s="425"/>
      <c r="H1523" s="651"/>
      <c r="I1523" s="420">
        <v>34.06</v>
      </c>
      <c r="J1523" s="420">
        <f t="shared" si="370"/>
        <v>34.06</v>
      </c>
      <c r="K1523" s="421">
        <f t="shared" si="369"/>
        <v>40.47</v>
      </c>
      <c r="L1523" s="647" t="s">
        <v>2065</v>
      </c>
      <c r="M1523" s="576"/>
      <c r="N1523" s="576">
        <f t="shared" si="372"/>
        <v>0</v>
      </c>
      <c r="O1523" s="577">
        <f t="shared" si="366"/>
        <v>0</v>
      </c>
      <c r="P1523" s="578">
        <f t="shared" si="367"/>
        <v>0</v>
      </c>
      <c r="Q1523" s="765"/>
      <c r="R1523" s="576">
        <f t="shared" si="374"/>
        <v>0</v>
      </c>
      <c r="S1523" s="576">
        <f t="shared" si="374"/>
        <v>0</v>
      </c>
      <c r="T1523" s="577">
        <f t="shared" si="364"/>
        <v>0</v>
      </c>
      <c r="U1523" s="578">
        <f t="shared" si="365"/>
        <v>0</v>
      </c>
      <c r="V1523" s="579"/>
      <c r="W1523" s="566"/>
      <c r="X1523" s="586" t="str">
        <f t="shared" si="368"/>
        <v/>
      </c>
      <c r="Y1523" s="586" t="str">
        <f t="shared" si="373"/>
        <v/>
      </c>
      <c r="Z1523" s="586" t="str">
        <f t="shared" si="371"/>
        <v/>
      </c>
    </row>
    <row r="1524" spans="1:26" ht="12" hidden="1" thickBot="1" x14ac:dyDescent="0.25">
      <c r="A1524" s="567">
        <v>101646</v>
      </c>
      <c r="B1524" s="644">
        <v>101646</v>
      </c>
      <c r="C1524" s="645" t="s">
        <v>670</v>
      </c>
      <c r="D1524" s="422" t="s">
        <v>1370</v>
      </c>
      <c r="E1524" s="423"/>
      <c r="F1524" s="424"/>
      <c r="G1524" s="425"/>
      <c r="H1524" s="651"/>
      <c r="I1524" s="420">
        <v>45.31</v>
      </c>
      <c r="J1524" s="420">
        <f t="shared" si="370"/>
        <v>45.31</v>
      </c>
      <c r="K1524" s="421">
        <f t="shared" si="369"/>
        <v>53.83</v>
      </c>
      <c r="L1524" s="647" t="s">
        <v>2065</v>
      </c>
      <c r="M1524" s="576"/>
      <c r="N1524" s="576">
        <f t="shared" si="372"/>
        <v>0</v>
      </c>
      <c r="O1524" s="577">
        <f t="shared" si="366"/>
        <v>0</v>
      </c>
      <c r="P1524" s="578">
        <f t="shared" si="367"/>
        <v>0</v>
      </c>
      <c r="Q1524" s="765"/>
      <c r="R1524" s="576">
        <f t="shared" si="374"/>
        <v>0</v>
      </c>
      <c r="S1524" s="576">
        <f t="shared" si="374"/>
        <v>0</v>
      </c>
      <c r="T1524" s="577">
        <f t="shared" ref="T1524:T1587" si="375">IF(ISBLANK(R1524),0,ROUND(K1524*R1524,2))</f>
        <v>0</v>
      </c>
      <c r="U1524" s="578">
        <f t="shared" ref="U1524:U1587" si="376">IF(ISBLANK(R1524),0,ROUND(R1524*S1524,2))</f>
        <v>0</v>
      </c>
      <c r="V1524" s="579"/>
      <c r="W1524" s="566"/>
      <c r="X1524" s="586" t="str">
        <f t="shared" si="368"/>
        <v/>
      </c>
      <c r="Y1524" s="586" t="str">
        <f t="shared" si="373"/>
        <v/>
      </c>
      <c r="Z1524" s="586" t="str">
        <f t="shared" si="371"/>
        <v/>
      </c>
    </row>
    <row r="1525" spans="1:26" ht="12" hidden="1" thickBot="1" x14ac:dyDescent="0.25">
      <c r="A1525" s="567">
        <v>101647</v>
      </c>
      <c r="B1525" s="644">
        <v>101647</v>
      </c>
      <c r="C1525" s="645" t="s">
        <v>670</v>
      </c>
      <c r="D1525" s="422" t="s">
        <v>1371</v>
      </c>
      <c r="E1525" s="423"/>
      <c r="F1525" s="424"/>
      <c r="G1525" s="425"/>
      <c r="H1525" s="651"/>
      <c r="I1525" s="420">
        <v>83.44</v>
      </c>
      <c r="J1525" s="420">
        <f t="shared" si="370"/>
        <v>83.44</v>
      </c>
      <c r="K1525" s="421">
        <f t="shared" si="369"/>
        <v>99.14</v>
      </c>
      <c r="L1525" s="647" t="s">
        <v>2065</v>
      </c>
      <c r="M1525" s="576"/>
      <c r="N1525" s="576">
        <f t="shared" si="372"/>
        <v>0</v>
      </c>
      <c r="O1525" s="577">
        <f t="shared" ref="O1525:O1588" si="377">IF(ISBLANK(M1525),0,ROUND(K1525*M1525,2))</f>
        <v>0</v>
      </c>
      <c r="P1525" s="578">
        <f t="shared" ref="P1525:P1588" si="378">IF(ISBLANK(N1525),0,ROUND(M1525*N1525,2))</f>
        <v>0</v>
      </c>
      <c r="Q1525" s="765"/>
      <c r="R1525" s="576">
        <f t="shared" si="374"/>
        <v>0</v>
      </c>
      <c r="S1525" s="576">
        <f t="shared" si="374"/>
        <v>0</v>
      </c>
      <c r="T1525" s="577">
        <f t="shared" si="375"/>
        <v>0</v>
      </c>
      <c r="U1525" s="578">
        <f t="shared" si="376"/>
        <v>0</v>
      </c>
      <c r="V1525" s="579"/>
      <c r="W1525" s="566"/>
      <c r="X1525" s="586" t="str">
        <f t="shared" si="368"/>
        <v/>
      </c>
      <c r="Y1525" s="586" t="str">
        <f t="shared" si="373"/>
        <v/>
      </c>
      <c r="Z1525" s="586" t="str">
        <f t="shared" si="371"/>
        <v/>
      </c>
    </row>
    <row r="1526" spans="1:26" ht="23.25" hidden="1" thickBot="1" x14ac:dyDescent="0.25">
      <c r="A1526" s="567">
        <v>102085</v>
      </c>
      <c r="B1526" s="644">
        <v>102085</v>
      </c>
      <c r="C1526" s="645" t="s">
        <v>670</v>
      </c>
      <c r="D1526" s="422" t="s">
        <v>1372</v>
      </c>
      <c r="E1526" s="423"/>
      <c r="F1526" s="424"/>
      <c r="G1526" s="425"/>
      <c r="H1526" s="651"/>
      <c r="I1526" s="420">
        <v>277.33999999999997</v>
      </c>
      <c r="J1526" s="420">
        <f t="shared" si="370"/>
        <v>277.33999999999997</v>
      </c>
      <c r="K1526" s="421">
        <f t="shared" si="369"/>
        <v>329.51</v>
      </c>
      <c r="L1526" s="647" t="s">
        <v>2065</v>
      </c>
      <c r="M1526" s="576"/>
      <c r="N1526" s="576">
        <f t="shared" si="372"/>
        <v>0</v>
      </c>
      <c r="O1526" s="577">
        <f t="shared" si="377"/>
        <v>0</v>
      </c>
      <c r="P1526" s="578">
        <f t="shared" si="378"/>
        <v>0</v>
      </c>
      <c r="Q1526" s="765"/>
      <c r="R1526" s="576">
        <f t="shared" si="374"/>
        <v>0</v>
      </c>
      <c r="S1526" s="576">
        <f t="shared" si="374"/>
        <v>0</v>
      </c>
      <c r="T1526" s="577">
        <f t="shared" si="375"/>
        <v>0</v>
      </c>
      <c r="U1526" s="578">
        <f t="shared" si="376"/>
        <v>0</v>
      </c>
      <c r="V1526" s="579"/>
      <c r="W1526" s="566"/>
      <c r="X1526" s="586" t="str">
        <f t="shared" si="368"/>
        <v/>
      </c>
      <c r="Y1526" s="586" t="str">
        <f t="shared" si="373"/>
        <v/>
      </c>
      <c r="Z1526" s="586" t="str">
        <f t="shared" si="371"/>
        <v/>
      </c>
    </row>
    <row r="1527" spans="1:26" ht="23.25" hidden="1" thickBot="1" x14ac:dyDescent="0.25">
      <c r="A1527" s="567">
        <v>97605</v>
      </c>
      <c r="B1527" s="644">
        <v>97605</v>
      </c>
      <c r="C1527" s="645" t="s">
        <v>670</v>
      </c>
      <c r="D1527" s="422" t="s">
        <v>1373</v>
      </c>
      <c r="E1527" s="423"/>
      <c r="F1527" s="424"/>
      <c r="G1527" s="425"/>
      <c r="H1527" s="651"/>
      <c r="I1527" s="420">
        <v>125.56</v>
      </c>
      <c r="J1527" s="420">
        <f t="shared" si="370"/>
        <v>125.56</v>
      </c>
      <c r="K1527" s="421">
        <f t="shared" si="369"/>
        <v>149.18</v>
      </c>
      <c r="L1527" s="647" t="s">
        <v>2065</v>
      </c>
      <c r="M1527" s="576"/>
      <c r="N1527" s="576">
        <f t="shared" si="372"/>
        <v>0</v>
      </c>
      <c r="O1527" s="577">
        <f t="shared" si="377"/>
        <v>0</v>
      </c>
      <c r="P1527" s="578">
        <f t="shared" si="378"/>
        <v>0</v>
      </c>
      <c r="Q1527" s="765"/>
      <c r="R1527" s="576">
        <f t="shared" si="374"/>
        <v>0</v>
      </c>
      <c r="S1527" s="576">
        <f t="shared" si="374"/>
        <v>0</v>
      </c>
      <c r="T1527" s="577">
        <f t="shared" si="375"/>
        <v>0</v>
      </c>
      <c r="U1527" s="578">
        <f t="shared" si="376"/>
        <v>0</v>
      </c>
      <c r="V1527" s="579"/>
      <c r="W1527" s="566"/>
      <c r="X1527" s="586" t="str">
        <f t="shared" si="368"/>
        <v/>
      </c>
      <c r="Y1527" s="586" t="str">
        <f t="shared" si="373"/>
        <v/>
      </c>
      <c r="Z1527" s="586" t="str">
        <f t="shared" si="371"/>
        <v/>
      </c>
    </row>
    <row r="1528" spans="1:26" ht="23.25" hidden="1" thickBot="1" x14ac:dyDescent="0.25">
      <c r="A1528" s="567">
        <v>101654</v>
      </c>
      <c r="B1528" s="644">
        <v>101654</v>
      </c>
      <c r="C1528" s="645" t="s">
        <v>670</v>
      </c>
      <c r="D1528" s="422" t="s">
        <v>1374</v>
      </c>
      <c r="E1528" s="423"/>
      <c r="F1528" s="424"/>
      <c r="G1528" s="425"/>
      <c r="H1528" s="651"/>
      <c r="I1528" s="420">
        <v>306.95</v>
      </c>
      <c r="J1528" s="420">
        <f t="shared" si="370"/>
        <v>306.95</v>
      </c>
      <c r="K1528" s="421">
        <f t="shared" si="369"/>
        <v>364.69</v>
      </c>
      <c r="L1528" s="647" t="s">
        <v>2065</v>
      </c>
      <c r="M1528" s="576"/>
      <c r="N1528" s="576">
        <f t="shared" si="372"/>
        <v>0</v>
      </c>
      <c r="O1528" s="577">
        <f t="shared" si="377"/>
        <v>0</v>
      </c>
      <c r="P1528" s="578">
        <f t="shared" si="378"/>
        <v>0</v>
      </c>
      <c r="Q1528" s="765"/>
      <c r="R1528" s="576">
        <f t="shared" si="374"/>
        <v>0</v>
      </c>
      <c r="S1528" s="576">
        <f t="shared" si="374"/>
        <v>0</v>
      </c>
      <c r="T1528" s="577">
        <f t="shared" si="375"/>
        <v>0</v>
      </c>
      <c r="U1528" s="578">
        <f t="shared" si="376"/>
        <v>0</v>
      </c>
      <c r="V1528" s="579"/>
      <c r="W1528" s="566"/>
      <c r="X1528" s="586" t="str">
        <f t="shared" si="368"/>
        <v/>
      </c>
      <c r="Y1528" s="586" t="str">
        <f t="shared" si="373"/>
        <v/>
      </c>
      <c r="Z1528" s="586" t="str">
        <f t="shared" si="371"/>
        <v/>
      </c>
    </row>
    <row r="1529" spans="1:26" ht="23.25" hidden="1" thickBot="1" x14ac:dyDescent="0.25">
      <c r="A1529" s="567">
        <v>101655</v>
      </c>
      <c r="B1529" s="644">
        <v>101655</v>
      </c>
      <c r="C1529" s="645" t="s">
        <v>670</v>
      </c>
      <c r="D1529" s="422" t="s">
        <v>1375</v>
      </c>
      <c r="E1529" s="423"/>
      <c r="F1529" s="424"/>
      <c r="G1529" s="425"/>
      <c r="H1529" s="651"/>
      <c r="I1529" s="420">
        <v>500.81</v>
      </c>
      <c r="J1529" s="420">
        <f t="shared" si="370"/>
        <v>500.81</v>
      </c>
      <c r="K1529" s="421">
        <f t="shared" si="369"/>
        <v>595.01</v>
      </c>
      <c r="L1529" s="647" t="s">
        <v>2065</v>
      </c>
      <c r="M1529" s="576"/>
      <c r="N1529" s="576">
        <f t="shared" si="372"/>
        <v>0</v>
      </c>
      <c r="O1529" s="577">
        <f t="shared" si="377"/>
        <v>0</v>
      </c>
      <c r="P1529" s="578">
        <f t="shared" si="378"/>
        <v>0</v>
      </c>
      <c r="Q1529" s="765"/>
      <c r="R1529" s="576">
        <f t="shared" si="374"/>
        <v>0</v>
      </c>
      <c r="S1529" s="576">
        <f t="shared" si="374"/>
        <v>0</v>
      </c>
      <c r="T1529" s="577">
        <f t="shared" si="375"/>
        <v>0</v>
      </c>
      <c r="U1529" s="578">
        <f t="shared" si="376"/>
        <v>0</v>
      </c>
      <c r="V1529" s="579"/>
      <c r="W1529" s="566"/>
      <c r="X1529" s="586" t="str">
        <f t="shared" si="368"/>
        <v/>
      </c>
      <c r="Y1529" s="586" t="str">
        <f t="shared" si="373"/>
        <v/>
      </c>
      <c r="Z1529" s="586" t="str">
        <f t="shared" si="371"/>
        <v/>
      </c>
    </row>
    <row r="1530" spans="1:26" ht="23.25" hidden="1" thickBot="1" x14ac:dyDescent="0.25">
      <c r="A1530" s="567">
        <v>101656</v>
      </c>
      <c r="B1530" s="644">
        <v>101656</v>
      </c>
      <c r="C1530" s="645" t="s">
        <v>670</v>
      </c>
      <c r="D1530" s="422" t="s">
        <v>1376</v>
      </c>
      <c r="E1530" s="423"/>
      <c r="F1530" s="424"/>
      <c r="G1530" s="425"/>
      <c r="H1530" s="651"/>
      <c r="I1530" s="420">
        <v>546.08000000000004</v>
      </c>
      <c r="J1530" s="420">
        <f t="shared" si="370"/>
        <v>546.08000000000004</v>
      </c>
      <c r="K1530" s="421">
        <f t="shared" si="369"/>
        <v>648.79999999999995</v>
      </c>
      <c r="L1530" s="647" t="s">
        <v>2065</v>
      </c>
      <c r="M1530" s="576"/>
      <c r="N1530" s="576">
        <f t="shared" si="372"/>
        <v>0</v>
      </c>
      <c r="O1530" s="577">
        <f t="shared" si="377"/>
        <v>0</v>
      </c>
      <c r="P1530" s="578">
        <f t="shared" si="378"/>
        <v>0</v>
      </c>
      <c r="Q1530" s="765"/>
      <c r="R1530" s="576">
        <f t="shared" si="374"/>
        <v>0</v>
      </c>
      <c r="S1530" s="576">
        <f t="shared" si="374"/>
        <v>0</v>
      </c>
      <c r="T1530" s="577">
        <f t="shared" si="375"/>
        <v>0</v>
      </c>
      <c r="U1530" s="578">
        <f t="shared" si="376"/>
        <v>0</v>
      </c>
      <c r="V1530" s="579"/>
      <c r="W1530" s="566"/>
      <c r="X1530" s="586" t="str">
        <f t="shared" si="368"/>
        <v/>
      </c>
      <c r="Y1530" s="586" t="str">
        <f t="shared" si="373"/>
        <v/>
      </c>
      <c r="Z1530" s="586" t="str">
        <f t="shared" si="371"/>
        <v/>
      </c>
    </row>
    <row r="1531" spans="1:26" ht="23.25" hidden="1" thickBot="1" x14ac:dyDescent="0.25">
      <c r="A1531" s="567">
        <v>101657</v>
      </c>
      <c r="B1531" s="644">
        <v>101657</v>
      </c>
      <c r="C1531" s="645" t="s">
        <v>670</v>
      </c>
      <c r="D1531" s="422" t="s">
        <v>1377</v>
      </c>
      <c r="E1531" s="423"/>
      <c r="F1531" s="424"/>
      <c r="G1531" s="425"/>
      <c r="H1531" s="651"/>
      <c r="I1531" s="420">
        <v>642.5</v>
      </c>
      <c r="J1531" s="420">
        <f t="shared" si="370"/>
        <v>642.5</v>
      </c>
      <c r="K1531" s="421">
        <f t="shared" si="369"/>
        <v>763.35</v>
      </c>
      <c r="L1531" s="647" t="s">
        <v>2065</v>
      </c>
      <c r="M1531" s="576"/>
      <c r="N1531" s="576">
        <f t="shared" si="372"/>
        <v>0</v>
      </c>
      <c r="O1531" s="577">
        <f t="shared" si="377"/>
        <v>0</v>
      </c>
      <c r="P1531" s="578">
        <f t="shared" si="378"/>
        <v>0</v>
      </c>
      <c r="Q1531" s="765"/>
      <c r="R1531" s="576">
        <f t="shared" si="374"/>
        <v>0</v>
      </c>
      <c r="S1531" s="576">
        <f t="shared" si="374"/>
        <v>0</v>
      </c>
      <c r="T1531" s="577">
        <f t="shared" si="375"/>
        <v>0</v>
      </c>
      <c r="U1531" s="578">
        <f t="shared" si="376"/>
        <v>0</v>
      </c>
      <c r="V1531" s="579"/>
      <c r="W1531" s="566"/>
      <c r="X1531" s="586" t="str">
        <f t="shared" si="368"/>
        <v/>
      </c>
      <c r="Y1531" s="586" t="str">
        <f t="shared" si="373"/>
        <v/>
      </c>
      <c r="Z1531" s="586" t="str">
        <f t="shared" si="371"/>
        <v/>
      </c>
    </row>
    <row r="1532" spans="1:26" ht="23.25" hidden="1" thickBot="1" x14ac:dyDescent="0.25">
      <c r="A1532" s="567">
        <v>101658</v>
      </c>
      <c r="B1532" s="644">
        <v>101658</v>
      </c>
      <c r="C1532" s="645" t="s">
        <v>670</v>
      </c>
      <c r="D1532" s="422" t="s">
        <v>1378</v>
      </c>
      <c r="E1532" s="423"/>
      <c r="F1532" s="424"/>
      <c r="G1532" s="425"/>
      <c r="H1532" s="651"/>
      <c r="I1532" s="420">
        <v>840.76</v>
      </c>
      <c r="J1532" s="420">
        <f t="shared" si="370"/>
        <v>840.76</v>
      </c>
      <c r="K1532" s="421">
        <f t="shared" si="369"/>
        <v>998.91</v>
      </c>
      <c r="L1532" s="647" t="s">
        <v>2065</v>
      </c>
      <c r="M1532" s="576"/>
      <c r="N1532" s="576">
        <f t="shared" si="372"/>
        <v>0</v>
      </c>
      <c r="O1532" s="577">
        <f t="shared" si="377"/>
        <v>0</v>
      </c>
      <c r="P1532" s="578">
        <f t="shared" si="378"/>
        <v>0</v>
      </c>
      <c r="Q1532" s="765"/>
      <c r="R1532" s="576">
        <f t="shared" si="374"/>
        <v>0</v>
      </c>
      <c r="S1532" s="576">
        <f t="shared" si="374"/>
        <v>0</v>
      </c>
      <c r="T1532" s="577">
        <f t="shared" si="375"/>
        <v>0</v>
      </c>
      <c r="U1532" s="578">
        <f t="shared" si="376"/>
        <v>0</v>
      </c>
      <c r="V1532" s="579"/>
      <c r="W1532" s="566"/>
      <c r="X1532" s="586" t="str">
        <f t="shared" si="368"/>
        <v/>
      </c>
      <c r="Y1532" s="586" t="str">
        <f t="shared" si="373"/>
        <v/>
      </c>
      <c r="Z1532" s="586" t="str">
        <f t="shared" si="371"/>
        <v/>
      </c>
    </row>
    <row r="1533" spans="1:26" ht="23.25" hidden="1" thickBot="1" x14ac:dyDescent="0.25">
      <c r="A1533" s="567">
        <v>101659</v>
      </c>
      <c r="B1533" s="644">
        <v>101659</v>
      </c>
      <c r="C1533" s="645" t="s">
        <v>670</v>
      </c>
      <c r="D1533" s="422" t="s">
        <v>1379</v>
      </c>
      <c r="E1533" s="423"/>
      <c r="F1533" s="424"/>
      <c r="G1533" s="425"/>
      <c r="H1533" s="651"/>
      <c r="I1533" s="420">
        <v>964.07</v>
      </c>
      <c r="J1533" s="420">
        <f t="shared" si="370"/>
        <v>964.07</v>
      </c>
      <c r="K1533" s="421">
        <f t="shared" si="369"/>
        <v>1145.4100000000001</v>
      </c>
      <c r="L1533" s="647" t="s">
        <v>2065</v>
      </c>
      <c r="M1533" s="576"/>
      <c r="N1533" s="576">
        <f t="shared" si="372"/>
        <v>0</v>
      </c>
      <c r="O1533" s="577">
        <f t="shared" si="377"/>
        <v>0</v>
      </c>
      <c r="P1533" s="578">
        <f t="shared" si="378"/>
        <v>0</v>
      </c>
      <c r="Q1533" s="765"/>
      <c r="R1533" s="576">
        <f t="shared" si="374"/>
        <v>0</v>
      </c>
      <c r="S1533" s="576">
        <f t="shared" si="374"/>
        <v>0</v>
      </c>
      <c r="T1533" s="577">
        <f t="shared" si="375"/>
        <v>0</v>
      </c>
      <c r="U1533" s="578">
        <f t="shared" si="376"/>
        <v>0</v>
      </c>
      <c r="V1533" s="579"/>
      <c r="W1533" s="566"/>
      <c r="X1533" s="586" t="str">
        <f t="shared" ref="X1533:X1596" si="379">IF(W1533="X","x",IF(W1533="xx","x",IF(W1533="xy","x",IF(W1533="y","x",IF(OR(P1533&gt;0,U1533&gt;0),"x","")))))</f>
        <v/>
      </c>
      <c r="Y1533" s="586" t="str">
        <f t="shared" si="373"/>
        <v/>
      </c>
      <c r="Z1533" s="586" t="str">
        <f t="shared" si="371"/>
        <v/>
      </c>
    </row>
    <row r="1534" spans="1:26" ht="23.25" hidden="1" thickBot="1" x14ac:dyDescent="0.25">
      <c r="A1534" s="567">
        <v>101660</v>
      </c>
      <c r="B1534" s="644">
        <v>101660</v>
      </c>
      <c r="C1534" s="645" t="s">
        <v>670</v>
      </c>
      <c r="D1534" s="422" t="s">
        <v>1380</v>
      </c>
      <c r="E1534" s="423"/>
      <c r="F1534" s="424"/>
      <c r="G1534" s="425"/>
      <c r="H1534" s="651"/>
      <c r="I1534" s="420">
        <v>1546.17</v>
      </c>
      <c r="J1534" s="420">
        <f t="shared" si="370"/>
        <v>1546.17</v>
      </c>
      <c r="K1534" s="421">
        <f t="shared" si="369"/>
        <v>1837</v>
      </c>
      <c r="L1534" s="647" t="s">
        <v>2065</v>
      </c>
      <c r="M1534" s="576"/>
      <c r="N1534" s="576">
        <f t="shared" si="372"/>
        <v>0</v>
      </c>
      <c r="O1534" s="577">
        <f t="shared" si="377"/>
        <v>0</v>
      </c>
      <c r="P1534" s="578">
        <f t="shared" si="378"/>
        <v>0</v>
      </c>
      <c r="Q1534" s="765"/>
      <c r="R1534" s="576">
        <f t="shared" si="374"/>
        <v>0</v>
      </c>
      <c r="S1534" s="576">
        <f t="shared" si="374"/>
        <v>0</v>
      </c>
      <c r="T1534" s="577">
        <f t="shared" si="375"/>
        <v>0</v>
      </c>
      <c r="U1534" s="578">
        <f t="shared" si="376"/>
        <v>0</v>
      </c>
      <c r="V1534" s="579"/>
      <c r="W1534" s="566"/>
      <c r="X1534" s="586" t="str">
        <f t="shared" si="379"/>
        <v/>
      </c>
      <c r="Y1534" s="586" t="str">
        <f t="shared" si="373"/>
        <v/>
      </c>
      <c r="Z1534" s="586" t="str">
        <f t="shared" si="371"/>
        <v/>
      </c>
    </row>
    <row r="1535" spans="1:26" ht="23.25" hidden="1" thickBot="1" x14ac:dyDescent="0.25">
      <c r="A1535" s="567">
        <v>97606</v>
      </c>
      <c r="B1535" s="644">
        <v>97606</v>
      </c>
      <c r="C1535" s="645" t="s">
        <v>670</v>
      </c>
      <c r="D1535" s="422" t="s">
        <v>1381</v>
      </c>
      <c r="E1535" s="423"/>
      <c r="F1535" s="424"/>
      <c r="G1535" s="425"/>
      <c r="H1535" s="651"/>
      <c r="I1535" s="420">
        <v>135.91999999999999</v>
      </c>
      <c r="J1535" s="420">
        <f t="shared" si="370"/>
        <v>135.91999999999999</v>
      </c>
      <c r="K1535" s="421">
        <f t="shared" si="369"/>
        <v>161.49</v>
      </c>
      <c r="L1535" s="647" t="s">
        <v>2065</v>
      </c>
      <c r="M1535" s="576"/>
      <c r="N1535" s="576">
        <f t="shared" si="372"/>
        <v>0</v>
      </c>
      <c r="O1535" s="577">
        <f t="shared" si="377"/>
        <v>0</v>
      </c>
      <c r="P1535" s="578">
        <f t="shared" si="378"/>
        <v>0</v>
      </c>
      <c r="Q1535" s="765"/>
      <c r="R1535" s="576">
        <f t="shared" si="374"/>
        <v>0</v>
      </c>
      <c r="S1535" s="576">
        <f t="shared" si="374"/>
        <v>0</v>
      </c>
      <c r="T1535" s="577">
        <f t="shared" si="375"/>
        <v>0</v>
      </c>
      <c r="U1535" s="578">
        <f t="shared" si="376"/>
        <v>0</v>
      </c>
      <c r="V1535" s="579"/>
      <c r="W1535" s="566"/>
      <c r="X1535" s="586" t="str">
        <f t="shared" si="379"/>
        <v/>
      </c>
      <c r="Y1535" s="586" t="str">
        <f t="shared" si="373"/>
        <v/>
      </c>
      <c r="Z1535" s="586" t="str">
        <f t="shared" si="371"/>
        <v/>
      </c>
    </row>
    <row r="1536" spans="1:26" ht="23.25" hidden="1" thickBot="1" x14ac:dyDescent="0.25">
      <c r="A1536" s="567">
        <v>97607</v>
      </c>
      <c r="B1536" s="644">
        <v>97607</v>
      </c>
      <c r="C1536" s="645" t="s">
        <v>670</v>
      </c>
      <c r="D1536" s="422" t="s">
        <v>1382</v>
      </c>
      <c r="E1536" s="423"/>
      <c r="F1536" s="424"/>
      <c r="G1536" s="425"/>
      <c r="H1536" s="651"/>
      <c r="I1536" s="420">
        <v>152.28</v>
      </c>
      <c r="J1536" s="420">
        <f t="shared" si="370"/>
        <v>152.28</v>
      </c>
      <c r="K1536" s="421">
        <f t="shared" si="369"/>
        <v>180.92</v>
      </c>
      <c r="L1536" s="647" t="s">
        <v>2065</v>
      </c>
      <c r="M1536" s="576"/>
      <c r="N1536" s="576">
        <f t="shared" si="372"/>
        <v>0</v>
      </c>
      <c r="O1536" s="577">
        <f t="shared" si="377"/>
        <v>0</v>
      </c>
      <c r="P1536" s="578">
        <f t="shared" si="378"/>
        <v>0</v>
      </c>
      <c r="Q1536" s="765"/>
      <c r="R1536" s="576">
        <f t="shared" si="374"/>
        <v>0</v>
      </c>
      <c r="S1536" s="576">
        <f t="shared" si="374"/>
        <v>0</v>
      </c>
      <c r="T1536" s="577">
        <f t="shared" si="375"/>
        <v>0</v>
      </c>
      <c r="U1536" s="578">
        <f t="shared" si="376"/>
        <v>0</v>
      </c>
      <c r="V1536" s="579"/>
      <c r="W1536" s="566"/>
      <c r="X1536" s="586" t="str">
        <f t="shared" si="379"/>
        <v/>
      </c>
      <c r="Y1536" s="586" t="str">
        <f t="shared" si="373"/>
        <v/>
      </c>
      <c r="Z1536" s="586" t="str">
        <f t="shared" si="371"/>
        <v/>
      </c>
    </row>
    <row r="1537" spans="1:26" ht="23.25" hidden="1" thickBot="1" x14ac:dyDescent="0.25">
      <c r="A1537" s="567">
        <v>97608</v>
      </c>
      <c r="B1537" s="644">
        <v>97608</v>
      </c>
      <c r="C1537" s="645" t="s">
        <v>670</v>
      </c>
      <c r="D1537" s="422" t="s">
        <v>1383</v>
      </c>
      <c r="E1537" s="423"/>
      <c r="F1537" s="424"/>
      <c r="G1537" s="425"/>
      <c r="H1537" s="651"/>
      <c r="I1537" s="420">
        <v>162.63999999999999</v>
      </c>
      <c r="J1537" s="420">
        <f t="shared" si="370"/>
        <v>162.63999999999999</v>
      </c>
      <c r="K1537" s="421">
        <f t="shared" si="369"/>
        <v>193.23</v>
      </c>
      <c r="L1537" s="647" t="s">
        <v>2065</v>
      </c>
      <c r="M1537" s="576"/>
      <c r="N1537" s="576">
        <f t="shared" si="372"/>
        <v>0</v>
      </c>
      <c r="O1537" s="577">
        <f t="shared" si="377"/>
        <v>0</v>
      </c>
      <c r="P1537" s="578">
        <f t="shared" si="378"/>
        <v>0</v>
      </c>
      <c r="Q1537" s="765"/>
      <c r="R1537" s="576">
        <f t="shared" si="374"/>
        <v>0</v>
      </c>
      <c r="S1537" s="576">
        <f t="shared" si="374"/>
        <v>0</v>
      </c>
      <c r="T1537" s="577">
        <f t="shared" si="375"/>
        <v>0</v>
      </c>
      <c r="U1537" s="578">
        <f t="shared" si="376"/>
        <v>0</v>
      </c>
      <c r="V1537" s="579"/>
      <c r="W1537" s="566"/>
      <c r="X1537" s="586" t="str">
        <f t="shared" si="379"/>
        <v/>
      </c>
      <c r="Y1537" s="586" t="str">
        <f t="shared" si="373"/>
        <v/>
      </c>
      <c r="Z1537" s="586" t="str">
        <f t="shared" si="371"/>
        <v/>
      </c>
    </row>
    <row r="1538" spans="1:26" ht="12" hidden="1" thickBot="1" x14ac:dyDescent="0.25">
      <c r="A1538" s="567">
        <v>100902</v>
      </c>
      <c r="B1538" s="644">
        <v>100902</v>
      </c>
      <c r="C1538" s="645" t="s">
        <v>670</v>
      </c>
      <c r="D1538" s="422" t="s">
        <v>1384</v>
      </c>
      <c r="E1538" s="423"/>
      <c r="F1538" s="424"/>
      <c r="G1538" s="425"/>
      <c r="H1538" s="651"/>
      <c r="I1538" s="420">
        <v>28.34</v>
      </c>
      <c r="J1538" s="420">
        <f t="shared" si="370"/>
        <v>28.34</v>
      </c>
      <c r="K1538" s="421">
        <f t="shared" si="369"/>
        <v>33.67</v>
      </c>
      <c r="L1538" s="647" t="s">
        <v>2065</v>
      </c>
      <c r="M1538" s="576"/>
      <c r="N1538" s="576">
        <f t="shared" si="372"/>
        <v>0</v>
      </c>
      <c r="O1538" s="577">
        <f t="shared" si="377"/>
        <v>0</v>
      </c>
      <c r="P1538" s="578">
        <f t="shared" si="378"/>
        <v>0</v>
      </c>
      <c r="Q1538" s="765"/>
      <c r="R1538" s="576">
        <f t="shared" si="374"/>
        <v>0</v>
      </c>
      <c r="S1538" s="576">
        <f t="shared" si="374"/>
        <v>0</v>
      </c>
      <c r="T1538" s="577">
        <f t="shared" si="375"/>
        <v>0</v>
      </c>
      <c r="U1538" s="578">
        <f t="shared" si="376"/>
        <v>0</v>
      </c>
      <c r="V1538" s="579"/>
      <c r="W1538" s="566"/>
      <c r="X1538" s="586" t="str">
        <f t="shared" si="379"/>
        <v/>
      </c>
      <c r="Y1538" s="586" t="str">
        <f t="shared" si="373"/>
        <v/>
      </c>
      <c r="Z1538" s="586" t="str">
        <f t="shared" si="371"/>
        <v/>
      </c>
    </row>
    <row r="1539" spans="1:26" ht="12" hidden="1" thickBot="1" x14ac:dyDescent="0.25">
      <c r="A1539" s="567">
        <v>100903</v>
      </c>
      <c r="B1539" s="644">
        <v>100903</v>
      </c>
      <c r="C1539" s="645" t="s">
        <v>670</v>
      </c>
      <c r="D1539" s="422" t="s">
        <v>1385</v>
      </c>
      <c r="E1539" s="423"/>
      <c r="F1539" s="424"/>
      <c r="G1539" s="425"/>
      <c r="H1539" s="651"/>
      <c r="I1539" s="420">
        <v>33.5</v>
      </c>
      <c r="J1539" s="420">
        <f t="shared" si="370"/>
        <v>33.5</v>
      </c>
      <c r="K1539" s="421">
        <f t="shared" si="369"/>
        <v>39.799999999999997</v>
      </c>
      <c r="L1539" s="647" t="s">
        <v>2065</v>
      </c>
      <c r="M1539" s="576"/>
      <c r="N1539" s="576">
        <f t="shared" si="372"/>
        <v>0</v>
      </c>
      <c r="O1539" s="577">
        <f t="shared" si="377"/>
        <v>0</v>
      </c>
      <c r="P1539" s="578">
        <f t="shared" si="378"/>
        <v>0</v>
      </c>
      <c r="Q1539" s="765"/>
      <c r="R1539" s="576">
        <f t="shared" si="374"/>
        <v>0</v>
      </c>
      <c r="S1539" s="576">
        <f t="shared" si="374"/>
        <v>0</v>
      </c>
      <c r="T1539" s="577">
        <f t="shared" si="375"/>
        <v>0</v>
      </c>
      <c r="U1539" s="578">
        <f t="shared" si="376"/>
        <v>0</v>
      </c>
      <c r="V1539" s="579"/>
      <c r="W1539" s="566"/>
      <c r="X1539" s="586" t="str">
        <f t="shared" si="379"/>
        <v/>
      </c>
      <c r="Y1539" s="586" t="str">
        <f t="shared" si="373"/>
        <v/>
      </c>
      <c r="Z1539" s="586" t="str">
        <f t="shared" si="371"/>
        <v/>
      </c>
    </row>
    <row r="1540" spans="1:26" ht="23.25" hidden="1" thickBot="1" x14ac:dyDescent="0.25">
      <c r="A1540" s="567">
        <v>100904</v>
      </c>
      <c r="B1540" s="644">
        <v>100904</v>
      </c>
      <c r="C1540" s="645" t="s">
        <v>670</v>
      </c>
      <c r="D1540" s="422" t="s">
        <v>1386</v>
      </c>
      <c r="E1540" s="423"/>
      <c r="F1540" s="424"/>
      <c r="G1540" s="425"/>
      <c r="H1540" s="651"/>
      <c r="I1540" s="420">
        <v>120.49</v>
      </c>
      <c r="J1540" s="420">
        <f t="shared" si="370"/>
        <v>120.49</v>
      </c>
      <c r="K1540" s="421">
        <f t="shared" si="369"/>
        <v>143.15</v>
      </c>
      <c r="L1540" s="647" t="s">
        <v>2065</v>
      </c>
      <c r="M1540" s="576"/>
      <c r="N1540" s="576">
        <f t="shared" si="372"/>
        <v>0</v>
      </c>
      <c r="O1540" s="577">
        <f t="shared" si="377"/>
        <v>0</v>
      </c>
      <c r="P1540" s="578">
        <f t="shared" si="378"/>
        <v>0</v>
      </c>
      <c r="Q1540" s="765"/>
      <c r="R1540" s="576">
        <f t="shared" si="374"/>
        <v>0</v>
      </c>
      <c r="S1540" s="576">
        <f t="shared" si="374"/>
        <v>0</v>
      </c>
      <c r="T1540" s="577">
        <f t="shared" si="375"/>
        <v>0</v>
      </c>
      <c r="U1540" s="578">
        <f t="shared" si="376"/>
        <v>0</v>
      </c>
      <c r="V1540" s="579"/>
      <c r="W1540" s="566"/>
      <c r="X1540" s="586" t="str">
        <f t="shared" si="379"/>
        <v/>
      </c>
      <c r="Y1540" s="586" t="str">
        <f t="shared" si="373"/>
        <v/>
      </c>
      <c r="Z1540" s="586" t="str">
        <f t="shared" si="371"/>
        <v/>
      </c>
    </row>
    <row r="1541" spans="1:26" ht="23.25" hidden="1" thickBot="1" x14ac:dyDescent="0.25">
      <c r="A1541" s="567">
        <v>100905</v>
      </c>
      <c r="B1541" s="644">
        <v>100905</v>
      </c>
      <c r="C1541" s="645" t="s">
        <v>670</v>
      </c>
      <c r="D1541" s="422" t="s">
        <v>1387</v>
      </c>
      <c r="E1541" s="423"/>
      <c r="F1541" s="424"/>
      <c r="G1541" s="425"/>
      <c r="H1541" s="651"/>
      <c r="I1541" s="420">
        <v>326.97000000000003</v>
      </c>
      <c r="J1541" s="420">
        <f t="shared" si="370"/>
        <v>326.97000000000003</v>
      </c>
      <c r="K1541" s="421">
        <f t="shared" si="369"/>
        <v>388.47</v>
      </c>
      <c r="L1541" s="647" t="s">
        <v>2065</v>
      </c>
      <c r="M1541" s="576"/>
      <c r="N1541" s="576">
        <f t="shared" si="372"/>
        <v>0</v>
      </c>
      <c r="O1541" s="577">
        <f t="shared" si="377"/>
        <v>0</v>
      </c>
      <c r="P1541" s="578">
        <f t="shared" si="378"/>
        <v>0</v>
      </c>
      <c r="Q1541" s="765"/>
      <c r="R1541" s="576">
        <f t="shared" si="374"/>
        <v>0</v>
      </c>
      <c r="S1541" s="576">
        <f t="shared" si="374"/>
        <v>0</v>
      </c>
      <c r="T1541" s="577">
        <f t="shared" si="375"/>
        <v>0</v>
      </c>
      <c r="U1541" s="578">
        <f t="shared" si="376"/>
        <v>0</v>
      </c>
      <c r="V1541" s="579"/>
      <c r="W1541" s="566"/>
      <c r="X1541" s="586" t="str">
        <f t="shared" si="379"/>
        <v/>
      </c>
      <c r="Y1541" s="586" t="str">
        <f t="shared" si="373"/>
        <v/>
      </c>
      <c r="Z1541" s="586" t="str">
        <f t="shared" si="371"/>
        <v/>
      </c>
    </row>
    <row r="1542" spans="1:26" ht="23.25" hidden="1" thickBot="1" x14ac:dyDescent="0.25">
      <c r="A1542" s="567">
        <v>100906</v>
      </c>
      <c r="B1542" s="644">
        <v>100906</v>
      </c>
      <c r="C1542" s="645" t="s">
        <v>670</v>
      </c>
      <c r="D1542" s="422" t="s">
        <v>1388</v>
      </c>
      <c r="E1542" s="423"/>
      <c r="F1542" s="424"/>
      <c r="G1542" s="425"/>
      <c r="H1542" s="651"/>
      <c r="I1542" s="420">
        <v>449.21</v>
      </c>
      <c r="J1542" s="420">
        <f t="shared" si="370"/>
        <v>449.21</v>
      </c>
      <c r="K1542" s="421">
        <f t="shared" si="369"/>
        <v>533.71</v>
      </c>
      <c r="L1542" s="647" t="s">
        <v>2065</v>
      </c>
      <c r="M1542" s="576"/>
      <c r="N1542" s="576">
        <f t="shared" si="372"/>
        <v>0</v>
      </c>
      <c r="O1542" s="577">
        <f t="shared" si="377"/>
        <v>0</v>
      </c>
      <c r="P1542" s="578">
        <f t="shared" si="378"/>
        <v>0</v>
      </c>
      <c r="Q1542" s="765"/>
      <c r="R1542" s="576">
        <f t="shared" si="374"/>
        <v>0</v>
      </c>
      <c r="S1542" s="576">
        <f t="shared" si="374"/>
        <v>0</v>
      </c>
      <c r="T1542" s="577">
        <f t="shared" si="375"/>
        <v>0</v>
      </c>
      <c r="U1542" s="578">
        <f t="shared" si="376"/>
        <v>0</v>
      </c>
      <c r="V1542" s="579"/>
      <c r="W1542" s="566"/>
      <c r="X1542" s="586" t="str">
        <f t="shared" si="379"/>
        <v/>
      </c>
      <c r="Y1542" s="586" t="str">
        <f t="shared" si="373"/>
        <v/>
      </c>
      <c r="Z1542" s="586" t="str">
        <f t="shared" si="371"/>
        <v/>
      </c>
    </row>
    <row r="1543" spans="1:26" ht="23.25" hidden="1" thickBot="1" x14ac:dyDescent="0.25">
      <c r="A1543" s="567">
        <v>100919</v>
      </c>
      <c r="B1543" s="644">
        <v>100919</v>
      </c>
      <c r="C1543" s="645" t="s">
        <v>670</v>
      </c>
      <c r="D1543" s="422" t="s">
        <v>1389</v>
      </c>
      <c r="E1543" s="423"/>
      <c r="F1543" s="424"/>
      <c r="G1543" s="425"/>
      <c r="H1543" s="651"/>
      <c r="I1543" s="420">
        <v>79.510000000000005</v>
      </c>
      <c r="J1543" s="420">
        <f t="shared" si="370"/>
        <v>79.510000000000005</v>
      </c>
      <c r="K1543" s="421">
        <f t="shared" si="369"/>
        <v>94.47</v>
      </c>
      <c r="L1543" s="647" t="s">
        <v>2065</v>
      </c>
      <c r="M1543" s="576"/>
      <c r="N1543" s="576">
        <f t="shared" si="372"/>
        <v>0</v>
      </c>
      <c r="O1543" s="577">
        <f t="shared" si="377"/>
        <v>0</v>
      </c>
      <c r="P1543" s="578">
        <f t="shared" si="378"/>
        <v>0</v>
      </c>
      <c r="Q1543" s="765"/>
      <c r="R1543" s="576">
        <f t="shared" si="374"/>
        <v>0</v>
      </c>
      <c r="S1543" s="576">
        <f t="shared" si="374"/>
        <v>0</v>
      </c>
      <c r="T1543" s="577">
        <f t="shared" si="375"/>
        <v>0</v>
      </c>
      <c r="U1543" s="578">
        <f t="shared" si="376"/>
        <v>0</v>
      </c>
      <c r="V1543" s="579"/>
      <c r="W1543" s="566"/>
      <c r="X1543" s="586" t="str">
        <f t="shared" si="379"/>
        <v/>
      </c>
      <c r="Y1543" s="586" t="str">
        <f t="shared" si="373"/>
        <v/>
      </c>
      <c r="Z1543" s="586" t="str">
        <f t="shared" si="371"/>
        <v/>
      </c>
    </row>
    <row r="1544" spans="1:26" ht="23.25" hidden="1" thickBot="1" x14ac:dyDescent="0.25">
      <c r="A1544" s="567">
        <v>100920</v>
      </c>
      <c r="B1544" s="644">
        <v>100920</v>
      </c>
      <c r="C1544" s="645" t="s">
        <v>670</v>
      </c>
      <c r="D1544" s="422" t="s">
        <v>1390</v>
      </c>
      <c r="E1544" s="423"/>
      <c r="F1544" s="424"/>
      <c r="G1544" s="425"/>
      <c r="H1544" s="651"/>
      <c r="I1544" s="420">
        <v>135.91999999999999</v>
      </c>
      <c r="J1544" s="420">
        <f t="shared" si="370"/>
        <v>135.91999999999999</v>
      </c>
      <c r="K1544" s="421">
        <f t="shared" si="369"/>
        <v>161.49</v>
      </c>
      <c r="L1544" s="647" t="s">
        <v>2065</v>
      </c>
      <c r="M1544" s="576"/>
      <c r="N1544" s="576">
        <f t="shared" si="372"/>
        <v>0</v>
      </c>
      <c r="O1544" s="577">
        <f t="shared" si="377"/>
        <v>0</v>
      </c>
      <c r="P1544" s="578">
        <f t="shared" si="378"/>
        <v>0</v>
      </c>
      <c r="Q1544" s="765"/>
      <c r="R1544" s="576">
        <f t="shared" si="374"/>
        <v>0</v>
      </c>
      <c r="S1544" s="576">
        <f t="shared" si="374"/>
        <v>0</v>
      </c>
      <c r="T1544" s="577">
        <f t="shared" si="375"/>
        <v>0</v>
      </c>
      <c r="U1544" s="578">
        <f t="shared" si="376"/>
        <v>0</v>
      </c>
      <c r="V1544" s="579"/>
      <c r="W1544" s="566"/>
      <c r="X1544" s="586" t="str">
        <f t="shared" si="379"/>
        <v/>
      </c>
      <c r="Y1544" s="586" t="str">
        <f t="shared" si="373"/>
        <v/>
      </c>
      <c r="Z1544" s="586" t="str">
        <f t="shared" si="371"/>
        <v/>
      </c>
    </row>
    <row r="1545" spans="1:26" ht="12" hidden="1" thickBot="1" x14ac:dyDescent="0.25">
      <c r="A1545" s="567">
        <v>97609</v>
      </c>
      <c r="B1545" s="644">
        <v>97609</v>
      </c>
      <c r="C1545" s="645" t="s">
        <v>670</v>
      </c>
      <c r="D1545" s="422" t="s">
        <v>1391</v>
      </c>
      <c r="E1545" s="423"/>
      <c r="F1545" s="424"/>
      <c r="G1545" s="425"/>
      <c r="H1545" s="651"/>
      <c r="I1545" s="420">
        <v>17.55</v>
      </c>
      <c r="J1545" s="420">
        <f t="shared" si="370"/>
        <v>17.55</v>
      </c>
      <c r="K1545" s="421">
        <f t="shared" ref="K1545:K1608" si="380">IF(ISBLANK(I1545),0,ROUND(J1545*(1+$F$10)*(1+$F$11*E1545),2))</f>
        <v>20.85</v>
      </c>
      <c r="L1545" s="647" t="s">
        <v>2065</v>
      </c>
      <c r="M1545" s="576"/>
      <c r="N1545" s="576">
        <f t="shared" si="372"/>
        <v>0</v>
      </c>
      <c r="O1545" s="577">
        <f t="shared" si="377"/>
        <v>0</v>
      </c>
      <c r="P1545" s="578">
        <f t="shared" si="378"/>
        <v>0</v>
      </c>
      <c r="Q1545" s="765"/>
      <c r="R1545" s="576">
        <f t="shared" si="374"/>
        <v>0</v>
      </c>
      <c r="S1545" s="576">
        <f t="shared" si="374"/>
        <v>0</v>
      </c>
      <c r="T1545" s="577">
        <f t="shared" si="375"/>
        <v>0</v>
      </c>
      <c r="U1545" s="578">
        <f t="shared" si="376"/>
        <v>0</v>
      </c>
      <c r="V1545" s="579"/>
      <c r="W1545" s="566"/>
      <c r="X1545" s="586" t="str">
        <f t="shared" si="379"/>
        <v/>
      </c>
      <c r="Y1545" s="586" t="str">
        <f t="shared" si="373"/>
        <v/>
      </c>
      <c r="Z1545" s="586" t="str">
        <f t="shared" si="371"/>
        <v/>
      </c>
    </row>
    <row r="1546" spans="1:26" ht="12" hidden="1" thickBot="1" x14ac:dyDescent="0.25">
      <c r="A1546" s="567">
        <v>97610</v>
      </c>
      <c r="B1546" s="644">
        <v>97610</v>
      </c>
      <c r="C1546" s="645" t="s">
        <v>670</v>
      </c>
      <c r="D1546" s="422" t="s">
        <v>1392</v>
      </c>
      <c r="E1546" s="423"/>
      <c r="F1546" s="424"/>
      <c r="G1546" s="425"/>
      <c r="H1546" s="651"/>
      <c r="I1546" s="420">
        <v>18.72</v>
      </c>
      <c r="J1546" s="420">
        <f t="shared" si="370"/>
        <v>18.72</v>
      </c>
      <c r="K1546" s="421">
        <f t="shared" si="380"/>
        <v>22.24</v>
      </c>
      <c r="L1546" s="647" t="s">
        <v>2065</v>
      </c>
      <c r="M1546" s="576"/>
      <c r="N1546" s="576">
        <f t="shared" si="372"/>
        <v>0</v>
      </c>
      <c r="O1546" s="577">
        <f t="shared" si="377"/>
        <v>0</v>
      </c>
      <c r="P1546" s="578">
        <f t="shared" si="378"/>
        <v>0</v>
      </c>
      <c r="Q1546" s="765"/>
      <c r="R1546" s="576">
        <f t="shared" si="374"/>
        <v>0</v>
      </c>
      <c r="S1546" s="576">
        <f t="shared" si="374"/>
        <v>0</v>
      </c>
      <c r="T1546" s="577">
        <f t="shared" si="375"/>
        <v>0</v>
      </c>
      <c r="U1546" s="578">
        <f t="shared" si="376"/>
        <v>0</v>
      </c>
      <c r="V1546" s="579"/>
      <c r="W1546" s="566"/>
      <c r="X1546" s="586" t="str">
        <f t="shared" si="379"/>
        <v/>
      </c>
      <c r="Y1546" s="586" t="str">
        <f t="shared" si="373"/>
        <v/>
      </c>
      <c r="Z1546" s="586" t="str">
        <f t="shared" si="371"/>
        <v/>
      </c>
    </row>
    <row r="1547" spans="1:26" ht="23.25" hidden="1" thickBot="1" x14ac:dyDescent="0.25">
      <c r="A1547" s="567">
        <v>101537</v>
      </c>
      <c r="B1547" s="644">
        <v>101537</v>
      </c>
      <c r="C1547" s="645" t="s">
        <v>670</v>
      </c>
      <c r="D1547" s="422" t="s">
        <v>1393</v>
      </c>
      <c r="E1547" s="423"/>
      <c r="F1547" s="424"/>
      <c r="G1547" s="425"/>
      <c r="H1547" s="651"/>
      <c r="I1547" s="420">
        <v>140.06</v>
      </c>
      <c r="J1547" s="420">
        <f t="shared" si="370"/>
        <v>140.06</v>
      </c>
      <c r="K1547" s="421">
        <f t="shared" si="380"/>
        <v>166.41</v>
      </c>
      <c r="L1547" s="647" t="s">
        <v>2065</v>
      </c>
      <c r="M1547" s="576"/>
      <c r="N1547" s="576">
        <f t="shared" si="372"/>
        <v>0</v>
      </c>
      <c r="O1547" s="577">
        <f t="shared" si="377"/>
        <v>0</v>
      </c>
      <c r="P1547" s="578">
        <f t="shared" si="378"/>
        <v>0</v>
      </c>
      <c r="Q1547" s="765"/>
      <c r="R1547" s="576">
        <f t="shared" si="374"/>
        <v>0</v>
      </c>
      <c r="S1547" s="576">
        <f t="shared" si="374"/>
        <v>0</v>
      </c>
      <c r="T1547" s="577">
        <f t="shared" si="375"/>
        <v>0</v>
      </c>
      <c r="U1547" s="578">
        <f t="shared" si="376"/>
        <v>0</v>
      </c>
      <c r="V1547" s="579"/>
      <c r="W1547" s="566"/>
      <c r="X1547" s="586" t="str">
        <f t="shared" si="379"/>
        <v/>
      </c>
      <c r="Y1547" s="586" t="str">
        <f t="shared" si="373"/>
        <v/>
      </c>
      <c r="Z1547" s="586" t="str">
        <f t="shared" si="371"/>
        <v/>
      </c>
    </row>
    <row r="1548" spans="1:26" ht="12" hidden="1" thickBot="1" x14ac:dyDescent="0.25">
      <c r="A1548" s="567">
        <v>97054</v>
      </c>
      <c r="B1548" s="644">
        <v>97054</v>
      </c>
      <c r="C1548" s="645" t="s">
        <v>670</v>
      </c>
      <c r="D1548" s="422" t="s">
        <v>1394</v>
      </c>
      <c r="E1548" s="423"/>
      <c r="F1548" s="424"/>
      <c r="G1548" s="425"/>
      <c r="H1548" s="651"/>
      <c r="I1548" s="420">
        <v>29.87</v>
      </c>
      <c r="J1548" s="420">
        <f t="shared" si="370"/>
        <v>29.87</v>
      </c>
      <c r="K1548" s="421">
        <f t="shared" si="380"/>
        <v>35.49</v>
      </c>
      <c r="L1548" s="647" t="s">
        <v>2065</v>
      </c>
      <c r="M1548" s="576"/>
      <c r="N1548" s="576">
        <f t="shared" si="372"/>
        <v>0</v>
      </c>
      <c r="O1548" s="577">
        <f t="shared" si="377"/>
        <v>0</v>
      </c>
      <c r="P1548" s="578">
        <f t="shared" si="378"/>
        <v>0</v>
      </c>
      <c r="Q1548" s="765"/>
      <c r="R1548" s="576">
        <f t="shared" si="374"/>
        <v>0</v>
      </c>
      <c r="S1548" s="576">
        <f t="shared" si="374"/>
        <v>0</v>
      </c>
      <c r="T1548" s="577">
        <f t="shared" si="375"/>
        <v>0</v>
      </c>
      <c r="U1548" s="578">
        <f t="shared" si="376"/>
        <v>0</v>
      </c>
      <c r="V1548" s="579"/>
      <c r="W1548" s="566"/>
      <c r="X1548" s="586" t="str">
        <f t="shared" si="379"/>
        <v/>
      </c>
      <c r="Y1548" s="586" t="str">
        <f t="shared" si="373"/>
        <v/>
      </c>
      <c r="Z1548" s="586" t="str">
        <f t="shared" si="371"/>
        <v/>
      </c>
    </row>
    <row r="1549" spans="1:26" ht="12" hidden="1" thickBot="1" x14ac:dyDescent="0.25">
      <c r="A1549" s="567">
        <v>101538</v>
      </c>
      <c r="B1549" s="644">
        <v>101538</v>
      </c>
      <c r="C1549" s="645" t="s">
        <v>670</v>
      </c>
      <c r="D1549" s="422" t="s">
        <v>1395</v>
      </c>
      <c r="E1549" s="423"/>
      <c r="F1549" s="424"/>
      <c r="G1549" s="425"/>
      <c r="H1549" s="651"/>
      <c r="I1549" s="420">
        <v>33.700000000000003</v>
      </c>
      <c r="J1549" s="420">
        <f t="shared" si="370"/>
        <v>33.700000000000003</v>
      </c>
      <c r="K1549" s="421">
        <f t="shared" si="380"/>
        <v>40.04</v>
      </c>
      <c r="L1549" s="647" t="s">
        <v>2065</v>
      </c>
      <c r="M1549" s="576"/>
      <c r="N1549" s="576">
        <f t="shared" si="372"/>
        <v>0</v>
      </c>
      <c r="O1549" s="577">
        <f t="shared" si="377"/>
        <v>0</v>
      </c>
      <c r="P1549" s="578">
        <f t="shared" si="378"/>
        <v>0</v>
      </c>
      <c r="Q1549" s="765"/>
      <c r="R1549" s="576">
        <f t="shared" si="374"/>
        <v>0</v>
      </c>
      <c r="S1549" s="576">
        <f t="shared" si="374"/>
        <v>0</v>
      </c>
      <c r="T1549" s="577">
        <f t="shared" si="375"/>
        <v>0</v>
      </c>
      <c r="U1549" s="578">
        <f t="shared" si="376"/>
        <v>0</v>
      </c>
      <c r="V1549" s="579"/>
      <c r="W1549" s="566"/>
      <c r="X1549" s="586" t="str">
        <f t="shared" si="379"/>
        <v/>
      </c>
      <c r="Y1549" s="586" t="str">
        <f t="shared" si="373"/>
        <v/>
      </c>
      <c r="Z1549" s="586" t="str">
        <f t="shared" si="371"/>
        <v/>
      </c>
    </row>
    <row r="1550" spans="1:26" ht="12" hidden="1" thickBot="1" x14ac:dyDescent="0.25">
      <c r="A1550" s="567">
        <v>101539</v>
      </c>
      <c r="B1550" s="644">
        <v>101539</v>
      </c>
      <c r="C1550" s="645" t="s">
        <v>670</v>
      </c>
      <c r="D1550" s="422" t="s">
        <v>1396</v>
      </c>
      <c r="E1550" s="423"/>
      <c r="F1550" s="424"/>
      <c r="G1550" s="425"/>
      <c r="H1550" s="651"/>
      <c r="I1550" s="420">
        <v>57.83</v>
      </c>
      <c r="J1550" s="420">
        <f t="shared" si="370"/>
        <v>57.83</v>
      </c>
      <c r="K1550" s="421">
        <f t="shared" si="380"/>
        <v>68.709999999999994</v>
      </c>
      <c r="L1550" s="647" t="s">
        <v>2065</v>
      </c>
      <c r="M1550" s="576"/>
      <c r="N1550" s="576">
        <f t="shared" si="372"/>
        <v>0</v>
      </c>
      <c r="O1550" s="577">
        <f t="shared" si="377"/>
        <v>0</v>
      </c>
      <c r="P1550" s="578">
        <f t="shared" si="378"/>
        <v>0</v>
      </c>
      <c r="Q1550" s="765"/>
      <c r="R1550" s="576">
        <f t="shared" si="374"/>
        <v>0</v>
      </c>
      <c r="S1550" s="576">
        <f t="shared" si="374"/>
        <v>0</v>
      </c>
      <c r="T1550" s="577">
        <f t="shared" si="375"/>
        <v>0</v>
      </c>
      <c r="U1550" s="578">
        <f t="shared" si="376"/>
        <v>0</v>
      </c>
      <c r="V1550" s="579"/>
      <c r="W1550" s="566"/>
      <c r="X1550" s="586" t="str">
        <f t="shared" si="379"/>
        <v/>
      </c>
      <c r="Y1550" s="586" t="str">
        <f t="shared" si="373"/>
        <v/>
      </c>
      <c r="Z1550" s="586" t="str">
        <f t="shared" si="371"/>
        <v/>
      </c>
    </row>
    <row r="1551" spans="1:26" ht="12" hidden="1" thickBot="1" x14ac:dyDescent="0.25">
      <c r="A1551" s="567">
        <v>101540</v>
      </c>
      <c r="B1551" s="644">
        <v>101540</v>
      </c>
      <c r="C1551" s="645" t="s">
        <v>670</v>
      </c>
      <c r="D1551" s="422" t="s">
        <v>1397</v>
      </c>
      <c r="E1551" s="423"/>
      <c r="F1551" s="424"/>
      <c r="G1551" s="425"/>
      <c r="H1551" s="651"/>
      <c r="I1551" s="420">
        <v>95.28</v>
      </c>
      <c r="J1551" s="420">
        <f t="shared" si="370"/>
        <v>95.28</v>
      </c>
      <c r="K1551" s="421">
        <f t="shared" si="380"/>
        <v>113.2</v>
      </c>
      <c r="L1551" s="647" t="s">
        <v>2065</v>
      </c>
      <c r="M1551" s="576"/>
      <c r="N1551" s="576">
        <f t="shared" si="372"/>
        <v>0</v>
      </c>
      <c r="O1551" s="577">
        <f t="shared" si="377"/>
        <v>0</v>
      </c>
      <c r="P1551" s="578">
        <f t="shared" si="378"/>
        <v>0</v>
      </c>
      <c r="Q1551" s="765"/>
      <c r="R1551" s="576">
        <f t="shared" si="374"/>
        <v>0</v>
      </c>
      <c r="S1551" s="576">
        <f t="shared" si="374"/>
        <v>0</v>
      </c>
      <c r="T1551" s="577">
        <f t="shared" si="375"/>
        <v>0</v>
      </c>
      <c r="U1551" s="578">
        <f t="shared" si="376"/>
        <v>0</v>
      </c>
      <c r="V1551" s="579"/>
      <c r="W1551" s="566"/>
      <c r="X1551" s="586" t="str">
        <f t="shared" si="379"/>
        <v/>
      </c>
      <c r="Y1551" s="586" t="str">
        <f t="shared" si="373"/>
        <v/>
      </c>
      <c r="Z1551" s="586" t="str">
        <f t="shared" si="371"/>
        <v/>
      </c>
    </row>
    <row r="1552" spans="1:26" ht="12" hidden="1" thickBot="1" x14ac:dyDescent="0.25">
      <c r="A1552" s="567">
        <v>101541</v>
      </c>
      <c r="B1552" s="644">
        <v>101541</v>
      </c>
      <c r="C1552" s="645" t="s">
        <v>670</v>
      </c>
      <c r="D1552" s="422" t="s">
        <v>1398</v>
      </c>
      <c r="E1552" s="423"/>
      <c r="F1552" s="424"/>
      <c r="G1552" s="425"/>
      <c r="H1552" s="651"/>
      <c r="I1552" s="420">
        <v>124.8</v>
      </c>
      <c r="J1552" s="420">
        <f t="shared" si="370"/>
        <v>124.8</v>
      </c>
      <c r="K1552" s="421">
        <f t="shared" si="380"/>
        <v>148.27000000000001</v>
      </c>
      <c r="L1552" s="647" t="s">
        <v>2065</v>
      </c>
      <c r="M1552" s="576"/>
      <c r="N1552" s="576">
        <f t="shared" si="372"/>
        <v>0</v>
      </c>
      <c r="O1552" s="577">
        <f t="shared" si="377"/>
        <v>0</v>
      </c>
      <c r="P1552" s="578">
        <f t="shared" si="378"/>
        <v>0</v>
      </c>
      <c r="Q1552" s="765"/>
      <c r="R1552" s="576">
        <f t="shared" si="374"/>
        <v>0</v>
      </c>
      <c r="S1552" s="576">
        <f t="shared" si="374"/>
        <v>0</v>
      </c>
      <c r="T1552" s="577">
        <f t="shared" si="375"/>
        <v>0</v>
      </c>
      <c r="U1552" s="578">
        <f t="shared" si="376"/>
        <v>0</v>
      </c>
      <c r="V1552" s="579"/>
      <c r="W1552" s="566"/>
      <c r="X1552" s="586" t="str">
        <f t="shared" si="379"/>
        <v/>
      </c>
      <c r="Y1552" s="586" t="str">
        <f t="shared" si="373"/>
        <v/>
      </c>
      <c r="Z1552" s="586" t="str">
        <f t="shared" si="371"/>
        <v/>
      </c>
    </row>
    <row r="1553" spans="1:26" ht="12" hidden="1" thickBot="1" x14ac:dyDescent="0.25">
      <c r="A1553" s="567">
        <v>101542</v>
      </c>
      <c r="B1553" s="644">
        <v>101542</v>
      </c>
      <c r="C1553" s="645" t="s">
        <v>670</v>
      </c>
      <c r="D1553" s="422" t="s">
        <v>1399</v>
      </c>
      <c r="E1553" s="423"/>
      <c r="F1553" s="424"/>
      <c r="G1553" s="425"/>
      <c r="H1553" s="651"/>
      <c r="I1553" s="420">
        <v>26.15</v>
      </c>
      <c r="J1553" s="420">
        <f t="shared" si="370"/>
        <v>26.15</v>
      </c>
      <c r="K1553" s="421">
        <f t="shared" si="380"/>
        <v>31.07</v>
      </c>
      <c r="L1553" s="647" t="s">
        <v>2065</v>
      </c>
      <c r="M1553" s="576"/>
      <c r="N1553" s="576">
        <f t="shared" si="372"/>
        <v>0</v>
      </c>
      <c r="O1553" s="577">
        <f t="shared" si="377"/>
        <v>0</v>
      </c>
      <c r="P1553" s="578">
        <f t="shared" si="378"/>
        <v>0</v>
      </c>
      <c r="Q1553" s="765"/>
      <c r="R1553" s="576">
        <f t="shared" si="374"/>
        <v>0</v>
      </c>
      <c r="S1553" s="576">
        <f t="shared" si="374"/>
        <v>0</v>
      </c>
      <c r="T1553" s="577">
        <f t="shared" si="375"/>
        <v>0</v>
      </c>
      <c r="U1553" s="578">
        <f t="shared" si="376"/>
        <v>0</v>
      </c>
      <c r="V1553" s="579"/>
      <c r="W1553" s="566"/>
      <c r="X1553" s="586" t="str">
        <f t="shared" si="379"/>
        <v/>
      </c>
      <c r="Y1553" s="586" t="str">
        <f t="shared" si="373"/>
        <v/>
      </c>
      <c r="Z1553" s="586" t="str">
        <f t="shared" si="371"/>
        <v/>
      </c>
    </row>
    <row r="1554" spans="1:26" ht="12" hidden="1" thickBot="1" x14ac:dyDescent="0.25">
      <c r="A1554" s="567">
        <v>101543</v>
      </c>
      <c r="B1554" s="644">
        <v>101543</v>
      </c>
      <c r="C1554" s="645" t="s">
        <v>670</v>
      </c>
      <c r="D1554" s="422" t="s">
        <v>1400</v>
      </c>
      <c r="E1554" s="423"/>
      <c r="F1554" s="424"/>
      <c r="G1554" s="425"/>
      <c r="H1554" s="651"/>
      <c r="I1554" s="420">
        <v>47.67</v>
      </c>
      <c r="J1554" s="420">
        <f t="shared" si="370"/>
        <v>47.67</v>
      </c>
      <c r="K1554" s="421">
        <f t="shared" si="380"/>
        <v>56.64</v>
      </c>
      <c r="L1554" s="647" t="s">
        <v>2065</v>
      </c>
      <c r="M1554" s="576"/>
      <c r="N1554" s="576">
        <f t="shared" si="372"/>
        <v>0</v>
      </c>
      <c r="O1554" s="577">
        <f t="shared" si="377"/>
        <v>0</v>
      </c>
      <c r="P1554" s="578">
        <f t="shared" si="378"/>
        <v>0</v>
      </c>
      <c r="Q1554" s="765"/>
      <c r="R1554" s="576">
        <f t="shared" si="374"/>
        <v>0</v>
      </c>
      <c r="S1554" s="576">
        <f t="shared" si="374"/>
        <v>0</v>
      </c>
      <c r="T1554" s="577">
        <f t="shared" si="375"/>
        <v>0</v>
      </c>
      <c r="U1554" s="578">
        <f t="shared" si="376"/>
        <v>0</v>
      </c>
      <c r="V1554" s="579"/>
      <c r="W1554" s="566"/>
      <c r="X1554" s="586" t="str">
        <f t="shared" si="379"/>
        <v/>
      </c>
      <c r="Y1554" s="586" t="str">
        <f t="shared" si="373"/>
        <v/>
      </c>
      <c r="Z1554" s="586" t="str">
        <f t="shared" si="371"/>
        <v/>
      </c>
    </row>
    <row r="1555" spans="1:26" ht="12" hidden="1" thickBot="1" x14ac:dyDescent="0.25">
      <c r="A1555" s="567">
        <v>101544</v>
      </c>
      <c r="B1555" s="644">
        <v>101544</v>
      </c>
      <c r="C1555" s="645" t="s">
        <v>670</v>
      </c>
      <c r="D1555" s="422" t="s">
        <v>1401</v>
      </c>
      <c r="E1555" s="423"/>
      <c r="F1555" s="424"/>
      <c r="G1555" s="425"/>
      <c r="H1555" s="651"/>
      <c r="I1555" s="420">
        <v>75.22</v>
      </c>
      <c r="J1555" s="420">
        <f t="shared" ref="J1555:J1618" si="381">IF(ISBLANK(I1555),"",SUM(H1555:I1555))</f>
        <v>75.22</v>
      </c>
      <c r="K1555" s="421">
        <f t="shared" si="380"/>
        <v>89.37</v>
      </c>
      <c r="L1555" s="647" t="s">
        <v>2065</v>
      </c>
      <c r="M1555" s="576"/>
      <c r="N1555" s="576">
        <f t="shared" si="372"/>
        <v>0</v>
      </c>
      <c r="O1555" s="577">
        <f t="shared" si="377"/>
        <v>0</v>
      </c>
      <c r="P1555" s="578">
        <f t="shared" si="378"/>
        <v>0</v>
      </c>
      <c r="Q1555" s="765"/>
      <c r="R1555" s="576">
        <f t="shared" si="374"/>
        <v>0</v>
      </c>
      <c r="S1555" s="576">
        <f t="shared" si="374"/>
        <v>0</v>
      </c>
      <c r="T1555" s="577">
        <f t="shared" si="375"/>
        <v>0</v>
      </c>
      <c r="U1555" s="578">
        <f t="shared" si="376"/>
        <v>0</v>
      </c>
      <c r="V1555" s="579"/>
      <c r="W1555" s="566"/>
      <c r="X1555" s="586" t="str">
        <f t="shared" si="379"/>
        <v/>
      </c>
      <c r="Y1555" s="586" t="str">
        <f t="shared" si="373"/>
        <v/>
      </c>
      <c r="Z1555" s="586" t="str">
        <f t="shared" ref="Z1555:Z1618" si="382">IF(W1555="X","x",IF(U1555&gt;0,"x",""))</f>
        <v/>
      </c>
    </row>
    <row r="1556" spans="1:26" ht="12" hidden="1" thickBot="1" x14ac:dyDescent="0.25">
      <c r="A1556" s="567">
        <v>101545</v>
      </c>
      <c r="B1556" s="644">
        <v>101545</v>
      </c>
      <c r="C1556" s="645" t="s">
        <v>670</v>
      </c>
      <c r="D1556" s="422" t="s">
        <v>1402</v>
      </c>
      <c r="E1556" s="423"/>
      <c r="F1556" s="424"/>
      <c r="G1556" s="425"/>
      <c r="H1556" s="651"/>
      <c r="I1556" s="420">
        <v>107.28</v>
      </c>
      <c r="J1556" s="420">
        <f t="shared" si="381"/>
        <v>107.28</v>
      </c>
      <c r="K1556" s="421">
        <f t="shared" si="380"/>
        <v>127.46</v>
      </c>
      <c r="L1556" s="647" t="s">
        <v>2065</v>
      </c>
      <c r="M1556" s="576"/>
      <c r="N1556" s="576">
        <f t="shared" ref="N1556:N1619" si="383">IF(M1556=0,0,K1556)</f>
        <v>0</v>
      </c>
      <c r="O1556" s="577">
        <f t="shared" si="377"/>
        <v>0</v>
      </c>
      <c r="P1556" s="578">
        <f t="shared" si="378"/>
        <v>0</v>
      </c>
      <c r="Q1556" s="765"/>
      <c r="R1556" s="576">
        <f t="shared" si="374"/>
        <v>0</v>
      </c>
      <c r="S1556" s="576">
        <f t="shared" si="374"/>
        <v>0</v>
      </c>
      <c r="T1556" s="577">
        <f t="shared" si="375"/>
        <v>0</v>
      </c>
      <c r="U1556" s="578">
        <f t="shared" si="376"/>
        <v>0</v>
      </c>
      <c r="V1556" s="579"/>
      <c r="W1556" s="566"/>
      <c r="X1556" s="586" t="str">
        <f t="shared" si="379"/>
        <v/>
      </c>
      <c r="Y1556" s="586" t="str">
        <f t="shared" si="373"/>
        <v/>
      </c>
      <c r="Z1556" s="586" t="str">
        <f t="shared" si="382"/>
        <v/>
      </c>
    </row>
    <row r="1557" spans="1:26" ht="12" hidden="1" thickBot="1" x14ac:dyDescent="0.25">
      <c r="A1557" s="567">
        <v>101546</v>
      </c>
      <c r="B1557" s="644">
        <v>101546</v>
      </c>
      <c r="C1557" s="645" t="s">
        <v>670</v>
      </c>
      <c r="D1557" s="422" t="s">
        <v>1403</v>
      </c>
      <c r="E1557" s="423"/>
      <c r="F1557" s="424"/>
      <c r="G1557" s="425"/>
      <c r="H1557" s="651"/>
      <c r="I1557" s="420">
        <v>31.93</v>
      </c>
      <c r="J1557" s="420">
        <f t="shared" si="381"/>
        <v>31.93</v>
      </c>
      <c r="K1557" s="421">
        <f t="shared" si="380"/>
        <v>37.94</v>
      </c>
      <c r="L1557" s="647" t="s">
        <v>2065</v>
      </c>
      <c r="M1557" s="576"/>
      <c r="N1557" s="576">
        <f t="shared" si="383"/>
        <v>0</v>
      </c>
      <c r="O1557" s="577">
        <f t="shared" si="377"/>
        <v>0</v>
      </c>
      <c r="P1557" s="578">
        <f t="shared" si="378"/>
        <v>0</v>
      </c>
      <c r="Q1557" s="765"/>
      <c r="R1557" s="576">
        <f t="shared" si="374"/>
        <v>0</v>
      </c>
      <c r="S1557" s="576">
        <f t="shared" si="374"/>
        <v>0</v>
      </c>
      <c r="T1557" s="577">
        <f t="shared" si="375"/>
        <v>0</v>
      </c>
      <c r="U1557" s="578">
        <f t="shared" si="376"/>
        <v>0</v>
      </c>
      <c r="V1557" s="579"/>
      <c r="W1557" s="566"/>
      <c r="X1557" s="586" t="str">
        <f t="shared" si="379"/>
        <v/>
      </c>
      <c r="Y1557" s="586" t="str">
        <f t="shared" si="373"/>
        <v/>
      </c>
      <c r="Z1557" s="586" t="str">
        <f t="shared" si="382"/>
        <v/>
      </c>
    </row>
    <row r="1558" spans="1:26" ht="12" hidden="1" thickBot="1" x14ac:dyDescent="0.25">
      <c r="A1558" s="567">
        <v>101547</v>
      </c>
      <c r="B1558" s="644">
        <v>101547</v>
      </c>
      <c r="C1558" s="645" t="s">
        <v>670</v>
      </c>
      <c r="D1558" s="422" t="s">
        <v>1404</v>
      </c>
      <c r="E1558" s="423"/>
      <c r="F1558" s="424"/>
      <c r="G1558" s="425"/>
      <c r="H1558" s="651"/>
      <c r="I1558" s="420">
        <v>99.94</v>
      </c>
      <c r="J1558" s="420">
        <f t="shared" si="381"/>
        <v>99.94</v>
      </c>
      <c r="K1558" s="421">
        <f t="shared" si="380"/>
        <v>118.74</v>
      </c>
      <c r="L1558" s="647" t="s">
        <v>2065</v>
      </c>
      <c r="M1558" s="576"/>
      <c r="N1558" s="576">
        <f t="shared" si="383"/>
        <v>0</v>
      </c>
      <c r="O1558" s="577">
        <f t="shared" si="377"/>
        <v>0</v>
      </c>
      <c r="P1558" s="578">
        <f t="shared" si="378"/>
        <v>0</v>
      </c>
      <c r="Q1558" s="765"/>
      <c r="R1558" s="576">
        <f t="shared" si="374"/>
        <v>0</v>
      </c>
      <c r="S1558" s="576">
        <f t="shared" si="374"/>
        <v>0</v>
      </c>
      <c r="T1558" s="577">
        <f t="shared" si="375"/>
        <v>0</v>
      </c>
      <c r="U1558" s="578">
        <f t="shared" si="376"/>
        <v>0</v>
      </c>
      <c r="V1558" s="579"/>
      <c r="W1558" s="566"/>
      <c r="X1558" s="586" t="str">
        <f t="shared" si="379"/>
        <v/>
      </c>
      <c r="Y1558" s="586" t="str">
        <f t="shared" si="373"/>
        <v/>
      </c>
      <c r="Z1558" s="586" t="str">
        <f t="shared" si="382"/>
        <v/>
      </c>
    </row>
    <row r="1559" spans="1:26" ht="12" hidden="1" thickBot="1" x14ac:dyDescent="0.25">
      <c r="A1559" s="567">
        <v>101548</v>
      </c>
      <c r="B1559" s="644">
        <v>101548</v>
      </c>
      <c r="C1559" s="645" t="s">
        <v>670</v>
      </c>
      <c r="D1559" s="422" t="s">
        <v>1405</v>
      </c>
      <c r="E1559" s="423"/>
      <c r="F1559" s="424"/>
      <c r="G1559" s="425"/>
      <c r="H1559" s="651"/>
      <c r="I1559" s="420">
        <v>7.94</v>
      </c>
      <c r="J1559" s="420">
        <f t="shared" si="381"/>
        <v>7.94</v>
      </c>
      <c r="K1559" s="421">
        <f t="shared" si="380"/>
        <v>9.43</v>
      </c>
      <c r="L1559" s="647" t="s">
        <v>2065</v>
      </c>
      <c r="M1559" s="576"/>
      <c r="N1559" s="576">
        <f t="shared" si="383"/>
        <v>0</v>
      </c>
      <c r="O1559" s="577">
        <f t="shared" si="377"/>
        <v>0</v>
      </c>
      <c r="P1559" s="578">
        <f t="shared" si="378"/>
        <v>0</v>
      </c>
      <c r="Q1559" s="765"/>
      <c r="R1559" s="576">
        <f t="shared" si="374"/>
        <v>0</v>
      </c>
      <c r="S1559" s="576">
        <f t="shared" si="374"/>
        <v>0</v>
      </c>
      <c r="T1559" s="577">
        <f t="shared" si="375"/>
        <v>0</v>
      </c>
      <c r="U1559" s="578">
        <f t="shared" si="376"/>
        <v>0</v>
      </c>
      <c r="V1559" s="579"/>
      <c r="W1559" s="566"/>
      <c r="X1559" s="586" t="str">
        <f t="shared" si="379"/>
        <v/>
      </c>
      <c r="Y1559" s="586" t="str">
        <f t="shared" si="373"/>
        <v/>
      </c>
      <c r="Z1559" s="586" t="str">
        <f t="shared" si="382"/>
        <v/>
      </c>
    </row>
    <row r="1560" spans="1:26" ht="23.25" hidden="1" thickBot="1" x14ac:dyDescent="0.25">
      <c r="A1560" s="567">
        <v>101549</v>
      </c>
      <c r="B1560" s="644">
        <v>101549</v>
      </c>
      <c r="C1560" s="645" t="s">
        <v>670</v>
      </c>
      <c r="D1560" s="422" t="s">
        <v>1406</v>
      </c>
      <c r="E1560" s="423"/>
      <c r="F1560" s="424"/>
      <c r="G1560" s="425"/>
      <c r="H1560" s="651"/>
      <c r="I1560" s="420">
        <v>21.86</v>
      </c>
      <c r="J1560" s="420">
        <f t="shared" si="381"/>
        <v>21.86</v>
      </c>
      <c r="K1560" s="421">
        <f t="shared" si="380"/>
        <v>25.97</v>
      </c>
      <c r="L1560" s="647" t="s">
        <v>2065</v>
      </c>
      <c r="M1560" s="576"/>
      <c r="N1560" s="576">
        <f t="shared" si="383"/>
        <v>0</v>
      </c>
      <c r="O1560" s="577">
        <f t="shared" si="377"/>
        <v>0</v>
      </c>
      <c r="P1560" s="578">
        <f t="shared" si="378"/>
        <v>0</v>
      </c>
      <c r="Q1560" s="765"/>
      <c r="R1560" s="576">
        <f t="shared" si="374"/>
        <v>0</v>
      </c>
      <c r="S1560" s="576">
        <f t="shared" si="374"/>
        <v>0</v>
      </c>
      <c r="T1560" s="577">
        <f t="shared" si="375"/>
        <v>0</v>
      </c>
      <c r="U1560" s="578">
        <f t="shared" si="376"/>
        <v>0</v>
      </c>
      <c r="V1560" s="579"/>
      <c r="W1560" s="566"/>
      <c r="X1560" s="586" t="str">
        <f t="shared" si="379"/>
        <v/>
      </c>
      <c r="Y1560" s="586" t="str">
        <f t="shared" si="373"/>
        <v/>
      </c>
      <c r="Z1560" s="586" t="str">
        <f t="shared" si="382"/>
        <v/>
      </c>
    </row>
    <row r="1561" spans="1:26" ht="23.25" hidden="1" thickBot="1" x14ac:dyDescent="0.25">
      <c r="A1561" s="567">
        <v>101553</v>
      </c>
      <c r="B1561" s="644">
        <v>101553</v>
      </c>
      <c r="C1561" s="645" t="s">
        <v>670</v>
      </c>
      <c r="D1561" s="422" t="s">
        <v>1407</v>
      </c>
      <c r="E1561" s="423"/>
      <c r="F1561" s="424"/>
      <c r="G1561" s="425"/>
      <c r="H1561" s="651"/>
      <c r="I1561" s="420">
        <v>11.77</v>
      </c>
      <c r="J1561" s="420">
        <f t="shared" si="381"/>
        <v>11.77</v>
      </c>
      <c r="K1561" s="421">
        <f t="shared" si="380"/>
        <v>13.98</v>
      </c>
      <c r="L1561" s="647" t="s">
        <v>2065</v>
      </c>
      <c r="M1561" s="576"/>
      <c r="N1561" s="576">
        <f t="shared" si="383"/>
        <v>0</v>
      </c>
      <c r="O1561" s="577">
        <f t="shared" si="377"/>
        <v>0</v>
      </c>
      <c r="P1561" s="578">
        <f t="shared" si="378"/>
        <v>0</v>
      </c>
      <c r="Q1561" s="765"/>
      <c r="R1561" s="576">
        <f t="shared" si="374"/>
        <v>0</v>
      </c>
      <c r="S1561" s="576">
        <f t="shared" si="374"/>
        <v>0</v>
      </c>
      <c r="T1561" s="577">
        <f t="shared" si="375"/>
        <v>0</v>
      </c>
      <c r="U1561" s="578">
        <f t="shared" si="376"/>
        <v>0</v>
      </c>
      <c r="V1561" s="579"/>
      <c r="W1561" s="566"/>
      <c r="X1561" s="586" t="str">
        <f t="shared" si="379"/>
        <v/>
      </c>
      <c r="Y1561" s="586" t="str">
        <f t="shared" si="373"/>
        <v/>
      </c>
      <c r="Z1561" s="586" t="str">
        <f t="shared" si="382"/>
        <v/>
      </c>
    </row>
    <row r="1562" spans="1:26" ht="23.25" hidden="1" thickBot="1" x14ac:dyDescent="0.25">
      <c r="A1562" s="567">
        <v>101554</v>
      </c>
      <c r="B1562" s="644">
        <v>101554</v>
      </c>
      <c r="C1562" s="645" t="s">
        <v>670</v>
      </c>
      <c r="D1562" s="422" t="s">
        <v>1408</v>
      </c>
      <c r="E1562" s="423"/>
      <c r="F1562" s="424"/>
      <c r="G1562" s="425"/>
      <c r="H1562" s="651"/>
      <c r="I1562" s="420">
        <v>9.0500000000000007</v>
      </c>
      <c r="J1562" s="420">
        <f t="shared" si="381"/>
        <v>9.0500000000000007</v>
      </c>
      <c r="K1562" s="421">
        <f t="shared" si="380"/>
        <v>10.75</v>
      </c>
      <c r="L1562" s="647" t="s">
        <v>2065</v>
      </c>
      <c r="M1562" s="576"/>
      <c r="N1562" s="576">
        <f t="shared" si="383"/>
        <v>0</v>
      </c>
      <c r="O1562" s="577">
        <f t="shared" si="377"/>
        <v>0</v>
      </c>
      <c r="P1562" s="578">
        <f t="shared" si="378"/>
        <v>0</v>
      </c>
      <c r="Q1562" s="765"/>
      <c r="R1562" s="576">
        <f t="shared" si="374"/>
        <v>0</v>
      </c>
      <c r="S1562" s="576">
        <f t="shared" si="374"/>
        <v>0</v>
      </c>
      <c r="T1562" s="577">
        <f t="shared" si="375"/>
        <v>0</v>
      </c>
      <c r="U1562" s="578">
        <f t="shared" si="376"/>
        <v>0</v>
      </c>
      <c r="V1562" s="579"/>
      <c r="W1562" s="566"/>
      <c r="X1562" s="586" t="str">
        <f t="shared" si="379"/>
        <v/>
      </c>
      <c r="Y1562" s="586" t="str">
        <f t="shared" si="373"/>
        <v/>
      </c>
      <c r="Z1562" s="586" t="str">
        <f t="shared" si="382"/>
        <v/>
      </c>
    </row>
    <row r="1563" spans="1:26" ht="23.25" hidden="1" thickBot="1" x14ac:dyDescent="0.25">
      <c r="A1563" s="567">
        <v>101555</v>
      </c>
      <c r="B1563" s="644">
        <v>101555</v>
      </c>
      <c r="C1563" s="645" t="s">
        <v>670</v>
      </c>
      <c r="D1563" s="422" t="s">
        <v>1409</v>
      </c>
      <c r="E1563" s="423"/>
      <c r="F1563" s="424"/>
      <c r="G1563" s="425"/>
      <c r="H1563" s="651"/>
      <c r="I1563" s="420">
        <v>6.57</v>
      </c>
      <c r="J1563" s="420">
        <f t="shared" si="381"/>
        <v>6.57</v>
      </c>
      <c r="K1563" s="421">
        <f t="shared" si="380"/>
        <v>7.81</v>
      </c>
      <c r="L1563" s="647" t="s">
        <v>2065</v>
      </c>
      <c r="M1563" s="576"/>
      <c r="N1563" s="576">
        <f t="shared" si="383"/>
        <v>0</v>
      </c>
      <c r="O1563" s="577">
        <f t="shared" si="377"/>
        <v>0</v>
      </c>
      <c r="P1563" s="578">
        <f t="shared" si="378"/>
        <v>0</v>
      </c>
      <c r="Q1563" s="765"/>
      <c r="R1563" s="576">
        <f t="shared" si="374"/>
        <v>0</v>
      </c>
      <c r="S1563" s="576">
        <f t="shared" si="374"/>
        <v>0</v>
      </c>
      <c r="T1563" s="577">
        <f t="shared" si="375"/>
        <v>0</v>
      </c>
      <c r="U1563" s="578">
        <f t="shared" si="376"/>
        <v>0</v>
      </c>
      <c r="V1563" s="579"/>
      <c r="W1563" s="566"/>
      <c r="X1563" s="586" t="str">
        <f t="shared" si="379"/>
        <v/>
      </c>
      <c r="Y1563" s="586" t="str">
        <f t="shared" si="373"/>
        <v/>
      </c>
      <c r="Z1563" s="586" t="str">
        <f t="shared" si="382"/>
        <v/>
      </c>
    </row>
    <row r="1564" spans="1:26" ht="23.25" hidden="1" thickBot="1" x14ac:dyDescent="0.25">
      <c r="A1564" s="567">
        <v>101556</v>
      </c>
      <c r="B1564" s="644">
        <v>101556</v>
      </c>
      <c r="C1564" s="645" t="s">
        <v>670</v>
      </c>
      <c r="D1564" s="422" t="s">
        <v>1410</v>
      </c>
      <c r="E1564" s="423"/>
      <c r="F1564" s="424"/>
      <c r="G1564" s="425"/>
      <c r="H1564" s="651"/>
      <c r="I1564" s="420">
        <v>6.17</v>
      </c>
      <c r="J1564" s="420">
        <f t="shared" si="381"/>
        <v>6.17</v>
      </c>
      <c r="K1564" s="421">
        <f t="shared" si="380"/>
        <v>7.33</v>
      </c>
      <c r="L1564" s="647" t="s">
        <v>2065</v>
      </c>
      <c r="M1564" s="576"/>
      <c r="N1564" s="576">
        <f t="shared" si="383"/>
        <v>0</v>
      </c>
      <c r="O1564" s="577">
        <f t="shared" si="377"/>
        <v>0</v>
      </c>
      <c r="P1564" s="578">
        <f t="shared" si="378"/>
        <v>0</v>
      </c>
      <c r="Q1564" s="765"/>
      <c r="R1564" s="576">
        <f t="shared" si="374"/>
        <v>0</v>
      </c>
      <c r="S1564" s="576">
        <f t="shared" si="374"/>
        <v>0</v>
      </c>
      <c r="T1564" s="577">
        <f t="shared" si="375"/>
        <v>0</v>
      </c>
      <c r="U1564" s="578">
        <f t="shared" si="376"/>
        <v>0</v>
      </c>
      <c r="V1564" s="579"/>
      <c r="W1564" s="566"/>
      <c r="X1564" s="586" t="str">
        <f t="shared" si="379"/>
        <v/>
      </c>
      <c r="Y1564" s="586" t="str">
        <f t="shared" si="373"/>
        <v/>
      </c>
      <c r="Z1564" s="586" t="str">
        <f t="shared" si="382"/>
        <v/>
      </c>
    </row>
    <row r="1565" spans="1:26" ht="23.25" hidden="1" thickBot="1" x14ac:dyDescent="0.25">
      <c r="A1565" s="567">
        <v>101626</v>
      </c>
      <c r="B1565" s="644">
        <v>101626</v>
      </c>
      <c r="C1565" s="645" t="s">
        <v>670</v>
      </c>
      <c r="D1565" s="422" t="s">
        <v>1411</v>
      </c>
      <c r="E1565" s="423"/>
      <c r="F1565" s="424"/>
      <c r="G1565" s="425"/>
      <c r="H1565" s="651"/>
      <c r="I1565" s="420">
        <v>245.61</v>
      </c>
      <c r="J1565" s="420">
        <f t="shared" si="381"/>
        <v>245.61</v>
      </c>
      <c r="K1565" s="421">
        <f t="shared" si="380"/>
        <v>291.81</v>
      </c>
      <c r="L1565" s="647" t="s">
        <v>2065</v>
      </c>
      <c r="M1565" s="576"/>
      <c r="N1565" s="576">
        <f t="shared" si="383"/>
        <v>0</v>
      </c>
      <c r="O1565" s="577">
        <f t="shared" si="377"/>
        <v>0</v>
      </c>
      <c r="P1565" s="578">
        <f t="shared" si="378"/>
        <v>0</v>
      </c>
      <c r="Q1565" s="765"/>
      <c r="R1565" s="576">
        <f t="shared" si="374"/>
        <v>0</v>
      </c>
      <c r="S1565" s="576">
        <f t="shared" si="374"/>
        <v>0</v>
      </c>
      <c r="T1565" s="577">
        <f t="shared" si="375"/>
        <v>0</v>
      </c>
      <c r="U1565" s="578">
        <f t="shared" si="376"/>
        <v>0</v>
      </c>
      <c r="V1565" s="579"/>
      <c r="W1565" s="566"/>
      <c r="X1565" s="586" t="str">
        <f t="shared" si="379"/>
        <v/>
      </c>
      <c r="Y1565" s="586" t="str">
        <f t="shared" si="373"/>
        <v/>
      </c>
      <c r="Z1565" s="586" t="str">
        <f t="shared" si="382"/>
        <v/>
      </c>
    </row>
    <row r="1566" spans="1:26" ht="23.25" hidden="1" thickBot="1" x14ac:dyDescent="0.25">
      <c r="A1566" s="567">
        <v>101627</v>
      </c>
      <c r="B1566" s="644">
        <v>101627</v>
      </c>
      <c r="C1566" s="645" t="s">
        <v>670</v>
      </c>
      <c r="D1566" s="422" t="s">
        <v>1412</v>
      </c>
      <c r="E1566" s="423"/>
      <c r="F1566" s="424"/>
      <c r="G1566" s="425"/>
      <c r="H1566" s="651"/>
      <c r="I1566" s="420">
        <v>384.01</v>
      </c>
      <c r="J1566" s="420">
        <f t="shared" si="381"/>
        <v>384.01</v>
      </c>
      <c r="K1566" s="421">
        <f t="shared" si="380"/>
        <v>456.24</v>
      </c>
      <c r="L1566" s="647" t="s">
        <v>2065</v>
      </c>
      <c r="M1566" s="576"/>
      <c r="N1566" s="576">
        <f t="shared" si="383"/>
        <v>0</v>
      </c>
      <c r="O1566" s="577">
        <f t="shared" si="377"/>
        <v>0</v>
      </c>
      <c r="P1566" s="578">
        <f t="shared" si="378"/>
        <v>0</v>
      </c>
      <c r="Q1566" s="765"/>
      <c r="R1566" s="576">
        <f t="shared" si="374"/>
        <v>0</v>
      </c>
      <c r="S1566" s="576">
        <f t="shared" si="374"/>
        <v>0</v>
      </c>
      <c r="T1566" s="577">
        <f t="shared" si="375"/>
        <v>0</v>
      </c>
      <c r="U1566" s="578">
        <f t="shared" si="376"/>
        <v>0</v>
      </c>
      <c r="V1566" s="579"/>
      <c r="W1566" s="566"/>
      <c r="X1566" s="586" t="str">
        <f t="shared" si="379"/>
        <v/>
      </c>
      <c r="Y1566" s="586" t="str">
        <f t="shared" si="373"/>
        <v/>
      </c>
      <c r="Z1566" s="586" t="str">
        <f t="shared" si="382"/>
        <v/>
      </c>
    </row>
    <row r="1567" spans="1:26" ht="23.25" hidden="1" thickBot="1" x14ac:dyDescent="0.25">
      <c r="A1567" s="567">
        <v>101628</v>
      </c>
      <c r="B1567" s="644">
        <v>101628</v>
      </c>
      <c r="C1567" s="645" t="s">
        <v>670</v>
      </c>
      <c r="D1567" s="422" t="s">
        <v>1413</v>
      </c>
      <c r="E1567" s="423"/>
      <c r="F1567" s="424"/>
      <c r="G1567" s="425"/>
      <c r="H1567" s="651"/>
      <c r="I1567" s="420">
        <v>181.59</v>
      </c>
      <c r="J1567" s="420">
        <f t="shared" si="381"/>
        <v>181.59</v>
      </c>
      <c r="K1567" s="421">
        <f t="shared" si="380"/>
        <v>215.75</v>
      </c>
      <c r="L1567" s="647" t="s">
        <v>2065</v>
      </c>
      <c r="M1567" s="576"/>
      <c r="N1567" s="576">
        <f t="shared" si="383"/>
        <v>0</v>
      </c>
      <c r="O1567" s="577">
        <f t="shared" si="377"/>
        <v>0</v>
      </c>
      <c r="P1567" s="578">
        <f t="shared" si="378"/>
        <v>0</v>
      </c>
      <c r="Q1567" s="765"/>
      <c r="R1567" s="576">
        <f t="shared" si="374"/>
        <v>0</v>
      </c>
      <c r="S1567" s="576">
        <f t="shared" si="374"/>
        <v>0</v>
      </c>
      <c r="T1567" s="577">
        <f t="shared" si="375"/>
        <v>0</v>
      </c>
      <c r="U1567" s="578">
        <f t="shared" si="376"/>
        <v>0</v>
      </c>
      <c r="V1567" s="579"/>
      <c r="W1567" s="566"/>
      <c r="X1567" s="586" t="str">
        <f t="shared" si="379"/>
        <v/>
      </c>
      <c r="Y1567" s="586" t="str">
        <f t="shared" si="373"/>
        <v/>
      </c>
      <c r="Z1567" s="586" t="str">
        <f t="shared" si="382"/>
        <v/>
      </c>
    </row>
    <row r="1568" spans="1:26" ht="23.25" hidden="1" thickBot="1" x14ac:dyDescent="0.25">
      <c r="A1568" s="567">
        <v>101629</v>
      </c>
      <c r="B1568" s="644">
        <v>101629</v>
      </c>
      <c r="C1568" s="645" t="s">
        <v>670</v>
      </c>
      <c r="D1568" s="422" t="s">
        <v>1414</v>
      </c>
      <c r="E1568" s="423"/>
      <c r="F1568" s="424"/>
      <c r="G1568" s="425"/>
      <c r="H1568" s="651"/>
      <c r="I1568" s="420">
        <v>214.56</v>
      </c>
      <c r="J1568" s="420">
        <f t="shared" si="381"/>
        <v>214.56</v>
      </c>
      <c r="K1568" s="421">
        <f t="shared" si="380"/>
        <v>254.92</v>
      </c>
      <c r="L1568" s="647" t="s">
        <v>2065</v>
      </c>
      <c r="M1568" s="576"/>
      <c r="N1568" s="576">
        <f t="shared" si="383"/>
        <v>0</v>
      </c>
      <c r="O1568" s="577">
        <f t="shared" si="377"/>
        <v>0</v>
      </c>
      <c r="P1568" s="578">
        <f t="shared" si="378"/>
        <v>0</v>
      </c>
      <c r="Q1568" s="765"/>
      <c r="R1568" s="576">
        <f t="shared" si="374"/>
        <v>0</v>
      </c>
      <c r="S1568" s="576">
        <f t="shared" si="374"/>
        <v>0</v>
      </c>
      <c r="T1568" s="577">
        <f t="shared" si="375"/>
        <v>0</v>
      </c>
      <c r="U1568" s="578">
        <f t="shared" si="376"/>
        <v>0</v>
      </c>
      <c r="V1568" s="579"/>
      <c r="W1568" s="566"/>
      <c r="X1568" s="586" t="str">
        <f t="shared" si="379"/>
        <v/>
      </c>
      <c r="Y1568" s="586" t="str">
        <f t="shared" si="373"/>
        <v/>
      </c>
      <c r="Z1568" s="586" t="str">
        <f t="shared" si="382"/>
        <v/>
      </c>
    </row>
    <row r="1569" spans="1:26" ht="23.25" hidden="1" thickBot="1" x14ac:dyDescent="0.25">
      <c r="A1569" s="567">
        <v>100921</v>
      </c>
      <c r="B1569" s="644">
        <v>100921</v>
      </c>
      <c r="C1569" s="645" t="s">
        <v>670</v>
      </c>
      <c r="D1569" s="422" t="s">
        <v>1415</v>
      </c>
      <c r="E1569" s="423"/>
      <c r="F1569" s="424"/>
      <c r="G1569" s="425"/>
      <c r="H1569" s="651"/>
      <c r="I1569" s="420">
        <v>85.94</v>
      </c>
      <c r="J1569" s="420">
        <f t="shared" si="381"/>
        <v>85.94</v>
      </c>
      <c r="K1569" s="421">
        <f t="shared" si="380"/>
        <v>102.11</v>
      </c>
      <c r="L1569" s="647" t="s">
        <v>2065</v>
      </c>
      <c r="M1569" s="576"/>
      <c r="N1569" s="576">
        <f t="shared" si="383"/>
        <v>0</v>
      </c>
      <c r="O1569" s="577">
        <f t="shared" si="377"/>
        <v>0</v>
      </c>
      <c r="P1569" s="578">
        <f t="shared" si="378"/>
        <v>0</v>
      </c>
      <c r="Q1569" s="765"/>
      <c r="R1569" s="576">
        <f t="shared" si="374"/>
        <v>0</v>
      </c>
      <c r="S1569" s="576">
        <f t="shared" si="374"/>
        <v>0</v>
      </c>
      <c r="T1569" s="577">
        <f t="shared" si="375"/>
        <v>0</v>
      </c>
      <c r="U1569" s="578">
        <f t="shared" si="376"/>
        <v>0</v>
      </c>
      <c r="V1569" s="579"/>
      <c r="W1569" s="566"/>
      <c r="X1569" s="586" t="str">
        <f t="shared" si="379"/>
        <v/>
      </c>
      <c r="Y1569" s="586" t="str">
        <f t="shared" si="373"/>
        <v/>
      </c>
      <c r="Z1569" s="586" t="str">
        <f t="shared" si="382"/>
        <v/>
      </c>
    </row>
    <row r="1570" spans="1:26" ht="23.25" hidden="1" thickBot="1" x14ac:dyDescent="0.25">
      <c r="A1570" s="567">
        <v>100922</v>
      </c>
      <c r="B1570" s="644">
        <v>100922</v>
      </c>
      <c r="C1570" s="645" t="s">
        <v>670</v>
      </c>
      <c r="D1570" s="422" t="s">
        <v>1416</v>
      </c>
      <c r="E1570" s="423"/>
      <c r="F1570" s="424"/>
      <c r="G1570" s="425"/>
      <c r="H1570" s="651"/>
      <c r="I1570" s="420">
        <v>62.04</v>
      </c>
      <c r="J1570" s="420">
        <f t="shared" si="381"/>
        <v>62.04</v>
      </c>
      <c r="K1570" s="421">
        <f t="shared" si="380"/>
        <v>73.709999999999994</v>
      </c>
      <c r="L1570" s="647" t="s">
        <v>2065</v>
      </c>
      <c r="M1570" s="576"/>
      <c r="N1570" s="576">
        <f t="shared" si="383"/>
        <v>0</v>
      </c>
      <c r="O1570" s="577">
        <f t="shared" si="377"/>
        <v>0</v>
      </c>
      <c r="P1570" s="578">
        <f t="shared" si="378"/>
        <v>0</v>
      </c>
      <c r="Q1570" s="765"/>
      <c r="R1570" s="576">
        <f t="shared" si="374"/>
        <v>0</v>
      </c>
      <c r="S1570" s="576">
        <f t="shared" si="374"/>
        <v>0</v>
      </c>
      <c r="T1570" s="577">
        <f t="shared" si="375"/>
        <v>0</v>
      </c>
      <c r="U1570" s="578">
        <f t="shared" si="376"/>
        <v>0</v>
      </c>
      <c r="V1570" s="579"/>
      <c r="W1570" s="566"/>
      <c r="X1570" s="586" t="str">
        <f t="shared" si="379"/>
        <v/>
      </c>
      <c r="Y1570" s="586" t="str">
        <f t="shared" si="373"/>
        <v/>
      </c>
      <c r="Z1570" s="586" t="str">
        <f t="shared" si="382"/>
        <v/>
      </c>
    </row>
    <row r="1571" spans="1:26" ht="23.25" hidden="1" thickBot="1" x14ac:dyDescent="0.25">
      <c r="A1571" s="567">
        <v>100923</v>
      </c>
      <c r="B1571" s="644">
        <v>100923</v>
      </c>
      <c r="C1571" s="645" t="s">
        <v>670</v>
      </c>
      <c r="D1571" s="422" t="s">
        <v>1417</v>
      </c>
      <c r="E1571" s="423"/>
      <c r="F1571" s="424"/>
      <c r="G1571" s="425"/>
      <c r="H1571" s="651"/>
      <c r="I1571" s="420">
        <v>72.95</v>
      </c>
      <c r="J1571" s="420">
        <f t="shared" si="381"/>
        <v>72.95</v>
      </c>
      <c r="K1571" s="421">
        <f t="shared" si="380"/>
        <v>86.67</v>
      </c>
      <c r="L1571" s="647" t="s">
        <v>2065</v>
      </c>
      <c r="M1571" s="576"/>
      <c r="N1571" s="576">
        <f t="shared" si="383"/>
        <v>0</v>
      </c>
      <c r="O1571" s="577">
        <f t="shared" si="377"/>
        <v>0</v>
      </c>
      <c r="P1571" s="578">
        <f t="shared" si="378"/>
        <v>0</v>
      </c>
      <c r="Q1571" s="765"/>
      <c r="R1571" s="576">
        <f t="shared" si="374"/>
        <v>0</v>
      </c>
      <c r="S1571" s="576">
        <f t="shared" si="374"/>
        <v>0</v>
      </c>
      <c r="T1571" s="577">
        <f t="shared" si="375"/>
        <v>0</v>
      </c>
      <c r="U1571" s="578">
        <f t="shared" si="376"/>
        <v>0</v>
      </c>
      <c r="V1571" s="579"/>
      <c r="W1571" s="566"/>
      <c r="X1571" s="586" t="str">
        <f t="shared" si="379"/>
        <v/>
      </c>
      <c r="Y1571" s="586" t="str">
        <f t="shared" ref="Y1571:Y1634" si="384">IF(W1571="X","x",IF(W1571="y","x",IF(W1571="xx","x",IF(U1571&gt;0,"x",""))))</f>
        <v/>
      </c>
      <c r="Z1571" s="586" t="str">
        <f t="shared" si="382"/>
        <v/>
      </c>
    </row>
    <row r="1572" spans="1:26" ht="23.25" hidden="1" thickBot="1" x14ac:dyDescent="0.25">
      <c r="A1572" s="567">
        <v>101661</v>
      </c>
      <c r="B1572" s="644">
        <v>101661</v>
      </c>
      <c r="C1572" s="645" t="s">
        <v>670</v>
      </c>
      <c r="D1572" s="422" t="s">
        <v>1418</v>
      </c>
      <c r="E1572" s="423"/>
      <c r="F1572" s="424"/>
      <c r="G1572" s="425"/>
      <c r="H1572" s="651"/>
      <c r="I1572" s="420">
        <v>119.82</v>
      </c>
      <c r="J1572" s="420">
        <f t="shared" si="381"/>
        <v>119.82</v>
      </c>
      <c r="K1572" s="421">
        <f t="shared" si="380"/>
        <v>142.36000000000001</v>
      </c>
      <c r="L1572" s="647" t="s">
        <v>2065</v>
      </c>
      <c r="M1572" s="576"/>
      <c r="N1572" s="576">
        <f t="shared" si="383"/>
        <v>0</v>
      </c>
      <c r="O1572" s="577">
        <f t="shared" si="377"/>
        <v>0</v>
      </c>
      <c r="P1572" s="578">
        <f t="shared" si="378"/>
        <v>0</v>
      </c>
      <c r="Q1572" s="765"/>
      <c r="R1572" s="576">
        <f t="shared" si="374"/>
        <v>0</v>
      </c>
      <c r="S1572" s="576">
        <f t="shared" si="374"/>
        <v>0</v>
      </c>
      <c r="T1572" s="577">
        <f t="shared" si="375"/>
        <v>0</v>
      </c>
      <c r="U1572" s="578">
        <f t="shared" si="376"/>
        <v>0</v>
      </c>
      <c r="V1572" s="579"/>
      <c r="W1572" s="566"/>
      <c r="X1572" s="586" t="str">
        <f t="shared" si="379"/>
        <v/>
      </c>
      <c r="Y1572" s="586" t="str">
        <f t="shared" si="384"/>
        <v/>
      </c>
      <c r="Z1572" s="586" t="str">
        <f t="shared" si="382"/>
        <v/>
      </c>
    </row>
    <row r="1573" spans="1:26" ht="12" hidden="1" thickBot="1" x14ac:dyDescent="0.25">
      <c r="A1573" s="567">
        <v>101651</v>
      </c>
      <c r="B1573" s="644">
        <v>101651</v>
      </c>
      <c r="C1573" s="645" t="s">
        <v>670</v>
      </c>
      <c r="D1573" s="422" t="s">
        <v>1419</v>
      </c>
      <c r="E1573" s="423"/>
      <c r="F1573" s="424"/>
      <c r="G1573" s="425"/>
      <c r="H1573" s="651"/>
      <c r="I1573" s="420">
        <v>68.14</v>
      </c>
      <c r="J1573" s="420">
        <f t="shared" si="381"/>
        <v>68.14</v>
      </c>
      <c r="K1573" s="421">
        <f t="shared" si="380"/>
        <v>80.959999999999994</v>
      </c>
      <c r="L1573" s="647" t="s">
        <v>2065</v>
      </c>
      <c r="M1573" s="576"/>
      <c r="N1573" s="576">
        <f t="shared" si="383"/>
        <v>0</v>
      </c>
      <c r="O1573" s="577">
        <f t="shared" si="377"/>
        <v>0</v>
      </c>
      <c r="P1573" s="578">
        <f t="shared" si="378"/>
        <v>0</v>
      </c>
      <c r="Q1573" s="765"/>
      <c r="R1573" s="576">
        <f t="shared" si="374"/>
        <v>0</v>
      </c>
      <c r="S1573" s="576">
        <f t="shared" si="374"/>
        <v>0</v>
      </c>
      <c r="T1573" s="577">
        <f t="shared" si="375"/>
        <v>0</v>
      </c>
      <c r="U1573" s="578">
        <f t="shared" si="376"/>
        <v>0</v>
      </c>
      <c r="V1573" s="579"/>
      <c r="W1573" s="566"/>
      <c r="X1573" s="586" t="str">
        <f t="shared" si="379"/>
        <v/>
      </c>
      <c r="Y1573" s="586" t="str">
        <f t="shared" si="384"/>
        <v/>
      </c>
      <c r="Z1573" s="586" t="str">
        <f t="shared" si="382"/>
        <v/>
      </c>
    </row>
    <row r="1574" spans="1:26" ht="12" hidden="1" thickBot="1" x14ac:dyDescent="0.25">
      <c r="A1574" s="567">
        <v>101630</v>
      </c>
      <c r="B1574" s="644">
        <v>101630</v>
      </c>
      <c r="C1574" s="645" t="s">
        <v>670</v>
      </c>
      <c r="D1574" s="422" t="s">
        <v>1420</v>
      </c>
      <c r="E1574" s="423"/>
      <c r="F1574" s="424"/>
      <c r="G1574" s="425"/>
      <c r="H1574" s="651"/>
      <c r="I1574" s="420">
        <v>79.58</v>
      </c>
      <c r="J1574" s="420">
        <f t="shared" si="381"/>
        <v>79.58</v>
      </c>
      <c r="K1574" s="421">
        <f t="shared" si="380"/>
        <v>94.55</v>
      </c>
      <c r="L1574" s="647" t="s">
        <v>2065</v>
      </c>
      <c r="M1574" s="576"/>
      <c r="N1574" s="576">
        <f t="shared" si="383"/>
        <v>0</v>
      </c>
      <c r="O1574" s="577">
        <f t="shared" si="377"/>
        <v>0</v>
      </c>
      <c r="P1574" s="578">
        <f t="shared" si="378"/>
        <v>0</v>
      </c>
      <c r="Q1574" s="765"/>
      <c r="R1574" s="576">
        <f t="shared" si="374"/>
        <v>0</v>
      </c>
      <c r="S1574" s="576">
        <f t="shared" si="374"/>
        <v>0</v>
      </c>
      <c r="T1574" s="577">
        <f t="shared" si="375"/>
        <v>0</v>
      </c>
      <c r="U1574" s="578">
        <f t="shared" si="376"/>
        <v>0</v>
      </c>
      <c r="V1574" s="579"/>
      <c r="W1574" s="566"/>
      <c r="X1574" s="586" t="str">
        <f t="shared" si="379"/>
        <v/>
      </c>
      <c r="Y1574" s="586" t="str">
        <f t="shared" si="384"/>
        <v/>
      </c>
      <c r="Z1574" s="586" t="str">
        <f t="shared" si="382"/>
        <v/>
      </c>
    </row>
    <row r="1575" spans="1:26" ht="23.25" hidden="1" thickBot="1" x14ac:dyDescent="0.25">
      <c r="A1575" s="567">
        <v>101631</v>
      </c>
      <c r="B1575" s="644">
        <v>101631</v>
      </c>
      <c r="C1575" s="645" t="s">
        <v>670</v>
      </c>
      <c r="D1575" s="422" t="s">
        <v>1421</v>
      </c>
      <c r="E1575" s="423"/>
      <c r="F1575" s="424"/>
      <c r="G1575" s="425"/>
      <c r="H1575" s="651"/>
      <c r="I1575" s="420">
        <v>24.58</v>
      </c>
      <c r="J1575" s="420">
        <f t="shared" si="381"/>
        <v>24.58</v>
      </c>
      <c r="K1575" s="421">
        <f t="shared" si="380"/>
        <v>29.2</v>
      </c>
      <c r="L1575" s="647" t="s">
        <v>2065</v>
      </c>
      <c r="M1575" s="576"/>
      <c r="N1575" s="576">
        <f t="shared" si="383"/>
        <v>0</v>
      </c>
      <c r="O1575" s="577">
        <f t="shared" si="377"/>
        <v>0</v>
      </c>
      <c r="P1575" s="578">
        <f t="shared" si="378"/>
        <v>0</v>
      </c>
      <c r="Q1575" s="765"/>
      <c r="R1575" s="576">
        <f t="shared" si="374"/>
        <v>0</v>
      </c>
      <c r="S1575" s="576">
        <f t="shared" si="374"/>
        <v>0</v>
      </c>
      <c r="T1575" s="577">
        <f t="shared" si="375"/>
        <v>0</v>
      </c>
      <c r="U1575" s="578">
        <f t="shared" si="376"/>
        <v>0</v>
      </c>
      <c r="V1575" s="579"/>
      <c r="W1575" s="566"/>
      <c r="X1575" s="586" t="str">
        <f t="shared" si="379"/>
        <v/>
      </c>
      <c r="Y1575" s="586" t="str">
        <f t="shared" si="384"/>
        <v/>
      </c>
      <c r="Z1575" s="586" t="str">
        <f t="shared" si="382"/>
        <v/>
      </c>
    </row>
    <row r="1576" spans="1:26" ht="23.25" hidden="1" thickBot="1" x14ac:dyDescent="0.25">
      <c r="A1576" s="567">
        <v>101632</v>
      </c>
      <c r="B1576" s="644">
        <v>101632</v>
      </c>
      <c r="C1576" s="645" t="s">
        <v>670</v>
      </c>
      <c r="D1576" s="422" t="s">
        <v>1422</v>
      </c>
      <c r="E1576" s="423"/>
      <c r="F1576" s="424"/>
      <c r="G1576" s="425"/>
      <c r="H1576" s="651"/>
      <c r="I1576" s="420">
        <v>55.15</v>
      </c>
      <c r="J1576" s="420">
        <f t="shared" si="381"/>
        <v>55.15</v>
      </c>
      <c r="K1576" s="421">
        <f t="shared" si="380"/>
        <v>65.52</v>
      </c>
      <c r="L1576" s="647" t="s">
        <v>2065</v>
      </c>
      <c r="M1576" s="576"/>
      <c r="N1576" s="576">
        <f t="shared" si="383"/>
        <v>0</v>
      </c>
      <c r="O1576" s="577">
        <f t="shared" si="377"/>
        <v>0</v>
      </c>
      <c r="P1576" s="578">
        <f t="shared" si="378"/>
        <v>0</v>
      </c>
      <c r="Q1576" s="765"/>
      <c r="R1576" s="576">
        <f t="shared" si="374"/>
        <v>0</v>
      </c>
      <c r="S1576" s="576">
        <f t="shared" si="374"/>
        <v>0</v>
      </c>
      <c r="T1576" s="577">
        <f t="shared" si="375"/>
        <v>0</v>
      </c>
      <c r="U1576" s="578">
        <f t="shared" si="376"/>
        <v>0</v>
      </c>
      <c r="V1576" s="579"/>
      <c r="W1576" s="566"/>
      <c r="X1576" s="586" t="str">
        <f t="shared" si="379"/>
        <v/>
      </c>
      <c r="Y1576" s="586" t="str">
        <f t="shared" si="384"/>
        <v/>
      </c>
      <c r="Z1576" s="586" t="str">
        <f t="shared" si="382"/>
        <v/>
      </c>
    </row>
    <row r="1577" spans="1:26" ht="23.25" hidden="1" thickBot="1" x14ac:dyDescent="0.25">
      <c r="A1577" s="567">
        <v>101633</v>
      </c>
      <c r="B1577" s="644">
        <v>101633</v>
      </c>
      <c r="C1577" s="645" t="s">
        <v>670</v>
      </c>
      <c r="D1577" s="422" t="s">
        <v>1423</v>
      </c>
      <c r="E1577" s="423"/>
      <c r="F1577" s="424"/>
      <c r="G1577" s="425"/>
      <c r="H1577" s="651"/>
      <c r="I1577" s="420">
        <v>121.12</v>
      </c>
      <c r="J1577" s="420">
        <f t="shared" si="381"/>
        <v>121.12</v>
      </c>
      <c r="K1577" s="421">
        <f t="shared" si="380"/>
        <v>143.9</v>
      </c>
      <c r="L1577" s="647" t="s">
        <v>2065</v>
      </c>
      <c r="M1577" s="576"/>
      <c r="N1577" s="576">
        <f t="shared" si="383"/>
        <v>0</v>
      </c>
      <c r="O1577" s="577">
        <f t="shared" si="377"/>
        <v>0</v>
      </c>
      <c r="P1577" s="578">
        <f t="shared" si="378"/>
        <v>0</v>
      </c>
      <c r="Q1577" s="765"/>
      <c r="R1577" s="576">
        <f t="shared" si="374"/>
        <v>0</v>
      </c>
      <c r="S1577" s="576">
        <f t="shared" si="374"/>
        <v>0</v>
      </c>
      <c r="T1577" s="577">
        <f t="shared" si="375"/>
        <v>0</v>
      </c>
      <c r="U1577" s="578">
        <f t="shared" si="376"/>
        <v>0</v>
      </c>
      <c r="V1577" s="579"/>
      <c r="W1577" s="566"/>
      <c r="X1577" s="586" t="str">
        <f t="shared" si="379"/>
        <v/>
      </c>
      <c r="Y1577" s="586" t="str">
        <f t="shared" si="384"/>
        <v/>
      </c>
      <c r="Z1577" s="586" t="str">
        <f t="shared" si="382"/>
        <v/>
      </c>
    </row>
    <row r="1578" spans="1:26" ht="23.25" hidden="1" thickBot="1" x14ac:dyDescent="0.25">
      <c r="A1578" s="567">
        <v>101636</v>
      </c>
      <c r="B1578" s="644">
        <v>101636</v>
      </c>
      <c r="C1578" s="645" t="s">
        <v>670</v>
      </c>
      <c r="D1578" s="422" t="s">
        <v>1424</v>
      </c>
      <c r="E1578" s="423"/>
      <c r="F1578" s="424"/>
      <c r="G1578" s="425"/>
      <c r="H1578" s="651"/>
      <c r="I1578" s="420">
        <v>175.9</v>
      </c>
      <c r="J1578" s="420">
        <f t="shared" si="381"/>
        <v>175.9</v>
      </c>
      <c r="K1578" s="421">
        <f t="shared" si="380"/>
        <v>208.99</v>
      </c>
      <c r="L1578" s="647" t="s">
        <v>2065</v>
      </c>
      <c r="M1578" s="576"/>
      <c r="N1578" s="576">
        <f t="shared" si="383"/>
        <v>0</v>
      </c>
      <c r="O1578" s="577">
        <f t="shared" si="377"/>
        <v>0</v>
      </c>
      <c r="P1578" s="578">
        <f t="shared" si="378"/>
        <v>0</v>
      </c>
      <c r="Q1578" s="765"/>
      <c r="R1578" s="576">
        <f t="shared" ref="R1578:S1641" si="385">M1578</f>
        <v>0</v>
      </c>
      <c r="S1578" s="576">
        <f t="shared" si="385"/>
        <v>0</v>
      </c>
      <c r="T1578" s="577">
        <f t="shared" si="375"/>
        <v>0</v>
      </c>
      <c r="U1578" s="578">
        <f t="shared" si="376"/>
        <v>0</v>
      </c>
      <c r="V1578" s="579"/>
      <c r="W1578" s="566"/>
      <c r="X1578" s="586" t="str">
        <f t="shared" si="379"/>
        <v/>
      </c>
      <c r="Y1578" s="586" t="str">
        <f t="shared" si="384"/>
        <v/>
      </c>
      <c r="Z1578" s="586" t="str">
        <f t="shared" si="382"/>
        <v/>
      </c>
    </row>
    <row r="1579" spans="1:26" ht="23.25" hidden="1" thickBot="1" x14ac:dyDescent="0.25">
      <c r="A1579" s="567">
        <v>101637</v>
      </c>
      <c r="B1579" s="644">
        <v>101637</v>
      </c>
      <c r="C1579" s="645" t="s">
        <v>670</v>
      </c>
      <c r="D1579" s="422" t="s">
        <v>1425</v>
      </c>
      <c r="E1579" s="423"/>
      <c r="F1579" s="424"/>
      <c r="G1579" s="425"/>
      <c r="H1579" s="651"/>
      <c r="I1579" s="420">
        <v>169.44</v>
      </c>
      <c r="J1579" s="420">
        <f t="shared" si="381"/>
        <v>169.44</v>
      </c>
      <c r="K1579" s="421">
        <f t="shared" si="380"/>
        <v>201.31</v>
      </c>
      <c r="L1579" s="647" t="s">
        <v>2065</v>
      </c>
      <c r="M1579" s="576"/>
      <c r="N1579" s="576">
        <f t="shared" si="383"/>
        <v>0</v>
      </c>
      <c r="O1579" s="577">
        <f t="shared" si="377"/>
        <v>0</v>
      </c>
      <c r="P1579" s="578">
        <f t="shared" si="378"/>
        <v>0</v>
      </c>
      <c r="Q1579" s="765"/>
      <c r="R1579" s="576">
        <f t="shared" si="385"/>
        <v>0</v>
      </c>
      <c r="S1579" s="576">
        <f t="shared" si="385"/>
        <v>0</v>
      </c>
      <c r="T1579" s="577">
        <f t="shared" si="375"/>
        <v>0</v>
      </c>
      <c r="U1579" s="578">
        <f t="shared" si="376"/>
        <v>0</v>
      </c>
      <c r="V1579" s="579"/>
      <c r="W1579" s="566"/>
      <c r="X1579" s="586" t="str">
        <f t="shared" si="379"/>
        <v/>
      </c>
      <c r="Y1579" s="586" t="str">
        <f t="shared" si="384"/>
        <v/>
      </c>
      <c r="Z1579" s="586" t="str">
        <f t="shared" si="382"/>
        <v/>
      </c>
    </row>
    <row r="1580" spans="1:26" ht="12" hidden="1" thickBot="1" x14ac:dyDescent="0.25">
      <c r="A1580" s="567">
        <v>96985</v>
      </c>
      <c r="B1580" s="644">
        <v>96985</v>
      </c>
      <c r="C1580" s="645" t="s">
        <v>670</v>
      </c>
      <c r="D1580" s="422" t="s">
        <v>1426</v>
      </c>
      <c r="E1580" s="423"/>
      <c r="F1580" s="424"/>
      <c r="G1580" s="425"/>
      <c r="H1580" s="651"/>
      <c r="I1580" s="420">
        <v>93.33</v>
      </c>
      <c r="J1580" s="420">
        <f t="shared" si="381"/>
        <v>93.33</v>
      </c>
      <c r="K1580" s="421">
        <f t="shared" si="380"/>
        <v>110.89</v>
      </c>
      <c r="L1580" s="647" t="s">
        <v>2065</v>
      </c>
      <c r="M1580" s="576"/>
      <c r="N1580" s="576">
        <f t="shared" si="383"/>
        <v>0</v>
      </c>
      <c r="O1580" s="577">
        <f t="shared" si="377"/>
        <v>0</v>
      </c>
      <c r="P1580" s="578">
        <f t="shared" si="378"/>
        <v>0</v>
      </c>
      <c r="Q1580" s="765"/>
      <c r="R1580" s="576">
        <f t="shared" si="385"/>
        <v>0</v>
      </c>
      <c r="S1580" s="576">
        <f t="shared" si="385"/>
        <v>0</v>
      </c>
      <c r="T1580" s="577">
        <f t="shared" si="375"/>
        <v>0</v>
      </c>
      <c r="U1580" s="578">
        <f t="shared" si="376"/>
        <v>0</v>
      </c>
      <c r="V1580" s="579"/>
      <c r="W1580" s="566"/>
      <c r="X1580" s="586" t="str">
        <f t="shared" si="379"/>
        <v/>
      </c>
      <c r="Y1580" s="586" t="str">
        <f t="shared" si="384"/>
        <v/>
      </c>
      <c r="Z1580" s="586" t="str">
        <f t="shared" si="382"/>
        <v/>
      </c>
    </row>
    <row r="1581" spans="1:26" ht="12" hidden="1" thickBot="1" x14ac:dyDescent="0.25">
      <c r="A1581" s="567">
        <v>96986</v>
      </c>
      <c r="B1581" s="644">
        <v>96986</v>
      </c>
      <c r="C1581" s="645" t="s">
        <v>670</v>
      </c>
      <c r="D1581" s="422" t="s">
        <v>1427</v>
      </c>
      <c r="E1581" s="423"/>
      <c r="F1581" s="424"/>
      <c r="G1581" s="425"/>
      <c r="H1581" s="651"/>
      <c r="I1581" s="420">
        <v>139.19999999999999</v>
      </c>
      <c r="J1581" s="420">
        <f t="shared" si="381"/>
        <v>139.19999999999999</v>
      </c>
      <c r="K1581" s="421">
        <f t="shared" si="380"/>
        <v>165.38</v>
      </c>
      <c r="L1581" s="647" t="s">
        <v>2065</v>
      </c>
      <c r="M1581" s="576"/>
      <c r="N1581" s="576">
        <f t="shared" si="383"/>
        <v>0</v>
      </c>
      <c r="O1581" s="577">
        <f t="shared" si="377"/>
        <v>0</v>
      </c>
      <c r="P1581" s="578">
        <f t="shared" si="378"/>
        <v>0</v>
      </c>
      <c r="Q1581" s="765"/>
      <c r="R1581" s="576">
        <f t="shared" si="385"/>
        <v>0</v>
      </c>
      <c r="S1581" s="576">
        <f t="shared" si="385"/>
        <v>0</v>
      </c>
      <c r="T1581" s="577">
        <f t="shared" si="375"/>
        <v>0</v>
      </c>
      <c r="U1581" s="578">
        <f t="shared" si="376"/>
        <v>0</v>
      </c>
      <c r="V1581" s="579"/>
      <c r="W1581" s="566"/>
      <c r="X1581" s="586" t="str">
        <f t="shared" si="379"/>
        <v/>
      </c>
      <c r="Y1581" s="586" t="str">
        <f t="shared" si="384"/>
        <v/>
      </c>
      <c r="Z1581" s="586" t="str">
        <f t="shared" si="382"/>
        <v/>
      </c>
    </row>
    <row r="1582" spans="1:26" ht="12" hidden="1" thickBot="1" x14ac:dyDescent="0.25">
      <c r="A1582" s="567">
        <v>96987</v>
      </c>
      <c r="B1582" s="644">
        <v>96987</v>
      </c>
      <c r="C1582" s="645" t="s">
        <v>670</v>
      </c>
      <c r="D1582" s="422" t="s">
        <v>1428</v>
      </c>
      <c r="E1582" s="423"/>
      <c r="F1582" s="424"/>
      <c r="G1582" s="425"/>
      <c r="H1582" s="651"/>
      <c r="I1582" s="420">
        <v>118.53</v>
      </c>
      <c r="J1582" s="420">
        <f t="shared" si="381"/>
        <v>118.53</v>
      </c>
      <c r="K1582" s="421">
        <f t="shared" si="380"/>
        <v>140.83000000000001</v>
      </c>
      <c r="L1582" s="647" t="s">
        <v>2065</v>
      </c>
      <c r="M1582" s="576"/>
      <c r="N1582" s="576">
        <f t="shared" si="383"/>
        <v>0</v>
      </c>
      <c r="O1582" s="577">
        <f t="shared" si="377"/>
        <v>0</v>
      </c>
      <c r="P1582" s="578">
        <f t="shared" si="378"/>
        <v>0</v>
      </c>
      <c r="Q1582" s="765"/>
      <c r="R1582" s="576">
        <f t="shared" si="385"/>
        <v>0</v>
      </c>
      <c r="S1582" s="576">
        <f t="shared" si="385"/>
        <v>0</v>
      </c>
      <c r="T1582" s="577">
        <f t="shared" si="375"/>
        <v>0</v>
      </c>
      <c r="U1582" s="578">
        <f t="shared" si="376"/>
        <v>0</v>
      </c>
      <c r="V1582" s="579"/>
      <c r="W1582" s="566"/>
      <c r="X1582" s="586" t="str">
        <f t="shared" si="379"/>
        <v/>
      </c>
      <c r="Y1582" s="586" t="str">
        <f t="shared" si="384"/>
        <v/>
      </c>
      <c r="Z1582" s="586" t="str">
        <f t="shared" si="382"/>
        <v/>
      </c>
    </row>
    <row r="1583" spans="1:26" ht="12" hidden="1" thickBot="1" x14ac:dyDescent="0.25">
      <c r="A1583" s="567">
        <v>96988</v>
      </c>
      <c r="B1583" s="644">
        <v>96988</v>
      </c>
      <c r="C1583" s="645" t="s">
        <v>670</v>
      </c>
      <c r="D1583" s="422" t="s">
        <v>1429</v>
      </c>
      <c r="E1583" s="423"/>
      <c r="F1583" s="424"/>
      <c r="G1583" s="425"/>
      <c r="H1583" s="651"/>
      <c r="I1583" s="420">
        <v>183.83</v>
      </c>
      <c r="J1583" s="420">
        <f t="shared" si="381"/>
        <v>183.83</v>
      </c>
      <c r="K1583" s="421">
        <f t="shared" si="380"/>
        <v>218.41</v>
      </c>
      <c r="L1583" s="647" t="s">
        <v>2065</v>
      </c>
      <c r="M1583" s="576"/>
      <c r="N1583" s="576">
        <f t="shared" si="383"/>
        <v>0</v>
      </c>
      <c r="O1583" s="577">
        <f t="shared" si="377"/>
        <v>0</v>
      </c>
      <c r="P1583" s="578">
        <f t="shared" si="378"/>
        <v>0</v>
      </c>
      <c r="Q1583" s="765"/>
      <c r="R1583" s="576">
        <f t="shared" si="385"/>
        <v>0</v>
      </c>
      <c r="S1583" s="576">
        <f t="shared" si="385"/>
        <v>0</v>
      </c>
      <c r="T1583" s="577">
        <f t="shared" si="375"/>
        <v>0</v>
      </c>
      <c r="U1583" s="578">
        <f t="shared" si="376"/>
        <v>0</v>
      </c>
      <c r="V1583" s="579"/>
      <c r="W1583" s="566"/>
      <c r="X1583" s="586" t="str">
        <f t="shared" si="379"/>
        <v/>
      </c>
      <c r="Y1583" s="586" t="str">
        <f t="shared" si="384"/>
        <v/>
      </c>
      <c r="Z1583" s="586" t="str">
        <f t="shared" si="382"/>
        <v/>
      </c>
    </row>
    <row r="1584" spans="1:26" ht="23.25" hidden="1" thickBot="1" x14ac:dyDescent="0.25">
      <c r="A1584" s="567">
        <v>96971</v>
      </c>
      <c r="B1584" s="644">
        <v>96971</v>
      </c>
      <c r="C1584" s="645" t="s">
        <v>670</v>
      </c>
      <c r="D1584" s="422" t="s">
        <v>1430</v>
      </c>
      <c r="E1584" s="423"/>
      <c r="F1584" s="424"/>
      <c r="G1584" s="425"/>
      <c r="H1584" s="651"/>
      <c r="I1584" s="420">
        <v>36.29</v>
      </c>
      <c r="J1584" s="420">
        <f t="shared" si="381"/>
        <v>36.29</v>
      </c>
      <c r="K1584" s="421">
        <f t="shared" si="380"/>
        <v>43.12</v>
      </c>
      <c r="L1584" s="647" t="s">
        <v>79</v>
      </c>
      <c r="M1584" s="576"/>
      <c r="N1584" s="576">
        <f t="shared" si="383"/>
        <v>0</v>
      </c>
      <c r="O1584" s="577">
        <f t="shared" si="377"/>
        <v>0</v>
      </c>
      <c r="P1584" s="578">
        <f t="shared" si="378"/>
        <v>0</v>
      </c>
      <c r="Q1584" s="765"/>
      <c r="R1584" s="576">
        <f t="shared" si="385"/>
        <v>0</v>
      </c>
      <c r="S1584" s="576">
        <f t="shared" si="385"/>
        <v>0</v>
      </c>
      <c r="T1584" s="577">
        <f t="shared" si="375"/>
        <v>0</v>
      </c>
      <c r="U1584" s="578">
        <f t="shared" si="376"/>
        <v>0</v>
      </c>
      <c r="V1584" s="579"/>
      <c r="W1584" s="566"/>
      <c r="X1584" s="586" t="str">
        <f t="shared" si="379"/>
        <v/>
      </c>
      <c r="Y1584" s="586" t="str">
        <f t="shared" si="384"/>
        <v/>
      </c>
      <c r="Z1584" s="586" t="str">
        <f t="shared" si="382"/>
        <v/>
      </c>
    </row>
    <row r="1585" spans="1:26" ht="23.25" hidden="1" thickBot="1" x14ac:dyDescent="0.25">
      <c r="A1585" s="567">
        <v>96972</v>
      </c>
      <c r="B1585" s="644">
        <v>96972</v>
      </c>
      <c r="C1585" s="645" t="s">
        <v>670</v>
      </c>
      <c r="D1585" s="422" t="s">
        <v>1431</v>
      </c>
      <c r="E1585" s="423"/>
      <c r="F1585" s="424"/>
      <c r="G1585" s="425"/>
      <c r="H1585" s="651"/>
      <c r="I1585" s="420">
        <v>51.07</v>
      </c>
      <c r="J1585" s="420">
        <f t="shared" si="381"/>
        <v>51.07</v>
      </c>
      <c r="K1585" s="421">
        <f t="shared" si="380"/>
        <v>60.68</v>
      </c>
      <c r="L1585" s="647" t="s">
        <v>79</v>
      </c>
      <c r="M1585" s="576"/>
      <c r="N1585" s="576">
        <f t="shared" si="383"/>
        <v>0</v>
      </c>
      <c r="O1585" s="577">
        <f t="shared" si="377"/>
        <v>0</v>
      </c>
      <c r="P1585" s="578">
        <f t="shared" si="378"/>
        <v>0</v>
      </c>
      <c r="Q1585" s="765"/>
      <c r="R1585" s="576">
        <f t="shared" si="385"/>
        <v>0</v>
      </c>
      <c r="S1585" s="576">
        <f t="shared" si="385"/>
        <v>0</v>
      </c>
      <c r="T1585" s="577">
        <f t="shared" si="375"/>
        <v>0</v>
      </c>
      <c r="U1585" s="578">
        <f t="shared" si="376"/>
        <v>0</v>
      </c>
      <c r="V1585" s="579"/>
      <c r="W1585" s="566"/>
      <c r="X1585" s="586" t="str">
        <f t="shared" si="379"/>
        <v/>
      </c>
      <c r="Y1585" s="586" t="str">
        <f t="shared" si="384"/>
        <v/>
      </c>
      <c r="Z1585" s="586" t="str">
        <f t="shared" si="382"/>
        <v/>
      </c>
    </row>
    <row r="1586" spans="1:26" ht="23.25" hidden="1" thickBot="1" x14ac:dyDescent="0.25">
      <c r="A1586" s="567">
        <v>96973</v>
      </c>
      <c r="B1586" s="644">
        <v>96973</v>
      </c>
      <c r="C1586" s="645" t="s">
        <v>670</v>
      </c>
      <c r="D1586" s="422" t="s">
        <v>1432</v>
      </c>
      <c r="E1586" s="423"/>
      <c r="F1586" s="424"/>
      <c r="G1586" s="425"/>
      <c r="H1586" s="651"/>
      <c r="I1586" s="420">
        <v>65.52</v>
      </c>
      <c r="J1586" s="420">
        <f t="shared" si="381"/>
        <v>65.52</v>
      </c>
      <c r="K1586" s="421">
        <f t="shared" si="380"/>
        <v>77.84</v>
      </c>
      <c r="L1586" s="647" t="s">
        <v>79</v>
      </c>
      <c r="M1586" s="576"/>
      <c r="N1586" s="576">
        <f t="shared" si="383"/>
        <v>0</v>
      </c>
      <c r="O1586" s="577">
        <f t="shared" si="377"/>
        <v>0</v>
      </c>
      <c r="P1586" s="578">
        <f t="shared" si="378"/>
        <v>0</v>
      </c>
      <c r="Q1586" s="765"/>
      <c r="R1586" s="576">
        <f t="shared" si="385"/>
        <v>0</v>
      </c>
      <c r="S1586" s="576">
        <f t="shared" si="385"/>
        <v>0</v>
      </c>
      <c r="T1586" s="577">
        <f t="shared" si="375"/>
        <v>0</v>
      </c>
      <c r="U1586" s="578">
        <f t="shared" si="376"/>
        <v>0</v>
      </c>
      <c r="V1586" s="579"/>
      <c r="W1586" s="566"/>
      <c r="X1586" s="586" t="str">
        <f t="shared" si="379"/>
        <v/>
      </c>
      <c r="Y1586" s="586" t="str">
        <f t="shared" si="384"/>
        <v/>
      </c>
      <c r="Z1586" s="586" t="str">
        <f t="shared" si="382"/>
        <v/>
      </c>
    </row>
    <row r="1587" spans="1:26" ht="23.25" hidden="1" thickBot="1" x14ac:dyDescent="0.25">
      <c r="A1587" s="567">
        <v>96974</v>
      </c>
      <c r="B1587" s="644">
        <v>96974</v>
      </c>
      <c r="C1587" s="645" t="s">
        <v>670</v>
      </c>
      <c r="D1587" s="422" t="s">
        <v>1433</v>
      </c>
      <c r="E1587" s="423"/>
      <c r="F1587" s="424"/>
      <c r="G1587" s="425"/>
      <c r="H1587" s="651"/>
      <c r="I1587" s="420">
        <v>84.79</v>
      </c>
      <c r="J1587" s="420">
        <f t="shared" si="381"/>
        <v>84.79</v>
      </c>
      <c r="K1587" s="421">
        <f t="shared" si="380"/>
        <v>100.74</v>
      </c>
      <c r="L1587" s="647" t="s">
        <v>79</v>
      </c>
      <c r="M1587" s="576"/>
      <c r="N1587" s="576">
        <f t="shared" si="383"/>
        <v>0</v>
      </c>
      <c r="O1587" s="577">
        <f t="shared" si="377"/>
        <v>0</v>
      </c>
      <c r="P1587" s="578">
        <f t="shared" si="378"/>
        <v>0</v>
      </c>
      <c r="Q1587" s="765"/>
      <c r="R1587" s="576">
        <f t="shared" si="385"/>
        <v>0</v>
      </c>
      <c r="S1587" s="576">
        <f t="shared" si="385"/>
        <v>0</v>
      </c>
      <c r="T1587" s="577">
        <f t="shared" si="375"/>
        <v>0</v>
      </c>
      <c r="U1587" s="578">
        <f t="shared" si="376"/>
        <v>0</v>
      </c>
      <c r="V1587" s="579"/>
      <c r="W1587" s="566"/>
      <c r="X1587" s="586" t="str">
        <f t="shared" si="379"/>
        <v/>
      </c>
      <c r="Y1587" s="586" t="str">
        <f t="shared" si="384"/>
        <v/>
      </c>
      <c r="Z1587" s="586" t="str">
        <f t="shared" si="382"/>
        <v/>
      </c>
    </row>
    <row r="1588" spans="1:26" ht="23.25" hidden="1" thickBot="1" x14ac:dyDescent="0.25">
      <c r="A1588" s="567">
        <v>96975</v>
      </c>
      <c r="B1588" s="644">
        <v>96975</v>
      </c>
      <c r="C1588" s="645" t="s">
        <v>670</v>
      </c>
      <c r="D1588" s="422" t="s">
        <v>1434</v>
      </c>
      <c r="E1588" s="423"/>
      <c r="F1588" s="424"/>
      <c r="G1588" s="425"/>
      <c r="H1588" s="651"/>
      <c r="I1588" s="420">
        <v>110.82</v>
      </c>
      <c r="J1588" s="420">
        <f t="shared" si="381"/>
        <v>110.82</v>
      </c>
      <c r="K1588" s="421">
        <f t="shared" si="380"/>
        <v>131.66999999999999</v>
      </c>
      <c r="L1588" s="647" t="s">
        <v>79</v>
      </c>
      <c r="M1588" s="576"/>
      <c r="N1588" s="576">
        <f t="shared" si="383"/>
        <v>0</v>
      </c>
      <c r="O1588" s="577">
        <f t="shared" si="377"/>
        <v>0</v>
      </c>
      <c r="P1588" s="578">
        <f t="shared" si="378"/>
        <v>0</v>
      </c>
      <c r="Q1588" s="765"/>
      <c r="R1588" s="576">
        <f t="shared" si="385"/>
        <v>0</v>
      </c>
      <c r="S1588" s="576">
        <f t="shared" si="385"/>
        <v>0</v>
      </c>
      <c r="T1588" s="577">
        <f t="shared" ref="T1588:T1651" si="386">IF(ISBLANK(R1588),0,ROUND(K1588*R1588,2))</f>
        <v>0</v>
      </c>
      <c r="U1588" s="578">
        <f t="shared" ref="U1588:U1651" si="387">IF(ISBLANK(R1588),0,ROUND(R1588*S1588,2))</f>
        <v>0</v>
      </c>
      <c r="V1588" s="579"/>
      <c r="W1588" s="566"/>
      <c r="X1588" s="586" t="str">
        <f t="shared" si="379"/>
        <v/>
      </c>
      <c r="Y1588" s="586" t="str">
        <f t="shared" si="384"/>
        <v/>
      </c>
      <c r="Z1588" s="586" t="str">
        <f t="shared" si="382"/>
        <v/>
      </c>
    </row>
    <row r="1589" spans="1:26" ht="23.25" hidden="1" thickBot="1" x14ac:dyDescent="0.25">
      <c r="A1589" s="567">
        <v>96976</v>
      </c>
      <c r="B1589" s="644">
        <v>96976</v>
      </c>
      <c r="C1589" s="645" t="s">
        <v>670</v>
      </c>
      <c r="D1589" s="422" t="s">
        <v>1435</v>
      </c>
      <c r="E1589" s="423"/>
      <c r="F1589" s="424"/>
      <c r="G1589" s="425"/>
      <c r="H1589" s="651"/>
      <c r="I1589" s="420">
        <v>145.71</v>
      </c>
      <c r="J1589" s="420">
        <f t="shared" si="381"/>
        <v>145.71</v>
      </c>
      <c r="K1589" s="421">
        <f t="shared" si="380"/>
        <v>173.12</v>
      </c>
      <c r="L1589" s="647" t="s">
        <v>79</v>
      </c>
      <c r="M1589" s="576"/>
      <c r="N1589" s="576">
        <f t="shared" si="383"/>
        <v>0</v>
      </c>
      <c r="O1589" s="577">
        <f t="shared" ref="O1589:O1652" si="388">IF(ISBLANK(M1589),0,ROUND(K1589*M1589,2))</f>
        <v>0</v>
      </c>
      <c r="P1589" s="578">
        <f t="shared" ref="P1589:P1652" si="389">IF(ISBLANK(N1589),0,ROUND(M1589*N1589,2))</f>
        <v>0</v>
      </c>
      <c r="Q1589" s="765"/>
      <c r="R1589" s="576">
        <f t="shared" si="385"/>
        <v>0</v>
      </c>
      <c r="S1589" s="576">
        <f t="shared" si="385"/>
        <v>0</v>
      </c>
      <c r="T1589" s="577">
        <f t="shared" si="386"/>
        <v>0</v>
      </c>
      <c r="U1589" s="578">
        <f t="shared" si="387"/>
        <v>0</v>
      </c>
      <c r="V1589" s="579"/>
      <c r="W1589" s="566"/>
      <c r="X1589" s="586" t="str">
        <f t="shared" si="379"/>
        <v/>
      </c>
      <c r="Y1589" s="586" t="str">
        <f t="shared" si="384"/>
        <v/>
      </c>
      <c r="Z1589" s="586" t="str">
        <f t="shared" si="382"/>
        <v/>
      </c>
    </row>
    <row r="1590" spans="1:26" ht="23.25" hidden="1" thickBot="1" x14ac:dyDescent="0.25">
      <c r="A1590" s="567">
        <v>96977</v>
      </c>
      <c r="B1590" s="644">
        <v>96977</v>
      </c>
      <c r="C1590" s="645" t="s">
        <v>670</v>
      </c>
      <c r="D1590" s="422" t="s">
        <v>1436</v>
      </c>
      <c r="E1590" s="423"/>
      <c r="F1590" s="424"/>
      <c r="G1590" s="425"/>
      <c r="H1590" s="651"/>
      <c r="I1590" s="420">
        <v>59.41</v>
      </c>
      <c r="J1590" s="420">
        <f t="shared" si="381"/>
        <v>59.41</v>
      </c>
      <c r="K1590" s="421">
        <f t="shared" si="380"/>
        <v>70.59</v>
      </c>
      <c r="L1590" s="647" t="s">
        <v>79</v>
      </c>
      <c r="M1590" s="576"/>
      <c r="N1590" s="576">
        <f t="shared" si="383"/>
        <v>0</v>
      </c>
      <c r="O1590" s="577">
        <f t="shared" si="388"/>
        <v>0</v>
      </c>
      <c r="P1590" s="578">
        <f t="shared" si="389"/>
        <v>0</v>
      </c>
      <c r="Q1590" s="765"/>
      <c r="R1590" s="576">
        <f t="shared" si="385"/>
        <v>0</v>
      </c>
      <c r="S1590" s="576">
        <f t="shared" si="385"/>
        <v>0</v>
      </c>
      <c r="T1590" s="577">
        <f t="shared" si="386"/>
        <v>0</v>
      </c>
      <c r="U1590" s="578">
        <f t="shared" si="387"/>
        <v>0</v>
      </c>
      <c r="V1590" s="579"/>
      <c r="W1590" s="566"/>
      <c r="X1590" s="586" t="str">
        <f t="shared" si="379"/>
        <v/>
      </c>
      <c r="Y1590" s="586" t="str">
        <f t="shared" si="384"/>
        <v/>
      </c>
      <c r="Z1590" s="586" t="str">
        <f t="shared" si="382"/>
        <v/>
      </c>
    </row>
    <row r="1591" spans="1:26" ht="23.25" hidden="1" thickBot="1" x14ac:dyDescent="0.25">
      <c r="A1591" s="567">
        <v>96978</v>
      </c>
      <c r="B1591" s="644">
        <v>96978</v>
      </c>
      <c r="C1591" s="645" t="s">
        <v>670</v>
      </c>
      <c r="D1591" s="422" t="s">
        <v>1437</v>
      </c>
      <c r="E1591" s="423"/>
      <c r="F1591" s="424"/>
      <c r="G1591" s="425"/>
      <c r="H1591" s="651"/>
      <c r="I1591" s="420">
        <v>83.34</v>
      </c>
      <c r="J1591" s="420">
        <f t="shared" si="381"/>
        <v>83.34</v>
      </c>
      <c r="K1591" s="421">
        <f t="shared" si="380"/>
        <v>99.02</v>
      </c>
      <c r="L1591" s="647" t="s">
        <v>79</v>
      </c>
      <c r="M1591" s="576"/>
      <c r="N1591" s="576">
        <f t="shared" si="383"/>
        <v>0</v>
      </c>
      <c r="O1591" s="577">
        <f t="shared" si="388"/>
        <v>0</v>
      </c>
      <c r="P1591" s="578">
        <f t="shared" si="389"/>
        <v>0</v>
      </c>
      <c r="Q1591" s="765"/>
      <c r="R1591" s="576">
        <f t="shared" si="385"/>
        <v>0</v>
      </c>
      <c r="S1591" s="576">
        <f t="shared" si="385"/>
        <v>0</v>
      </c>
      <c r="T1591" s="577">
        <f t="shared" si="386"/>
        <v>0</v>
      </c>
      <c r="U1591" s="578">
        <f t="shared" si="387"/>
        <v>0</v>
      </c>
      <c r="V1591" s="579"/>
      <c r="W1591" s="566"/>
      <c r="X1591" s="586" t="str">
        <f t="shared" si="379"/>
        <v/>
      </c>
      <c r="Y1591" s="586" t="str">
        <f t="shared" si="384"/>
        <v/>
      </c>
      <c r="Z1591" s="586" t="str">
        <f t="shared" si="382"/>
        <v/>
      </c>
    </row>
    <row r="1592" spans="1:26" ht="23.25" hidden="1" thickBot="1" x14ac:dyDescent="0.25">
      <c r="A1592" s="567">
        <v>96979</v>
      </c>
      <c r="B1592" s="644">
        <v>96979</v>
      </c>
      <c r="C1592" s="645" t="s">
        <v>670</v>
      </c>
      <c r="D1592" s="422" t="s">
        <v>1438</v>
      </c>
      <c r="E1592" s="423"/>
      <c r="F1592" s="424"/>
      <c r="G1592" s="425"/>
      <c r="H1592" s="651"/>
      <c r="I1592" s="420">
        <v>116.87</v>
      </c>
      <c r="J1592" s="420">
        <f t="shared" si="381"/>
        <v>116.87</v>
      </c>
      <c r="K1592" s="421">
        <f t="shared" si="380"/>
        <v>138.85</v>
      </c>
      <c r="L1592" s="647" t="s">
        <v>79</v>
      </c>
      <c r="M1592" s="576"/>
      <c r="N1592" s="576">
        <f t="shared" si="383"/>
        <v>0</v>
      </c>
      <c r="O1592" s="577">
        <f t="shared" si="388"/>
        <v>0</v>
      </c>
      <c r="P1592" s="578">
        <f t="shared" si="389"/>
        <v>0</v>
      </c>
      <c r="Q1592" s="765"/>
      <c r="R1592" s="576">
        <f t="shared" si="385"/>
        <v>0</v>
      </c>
      <c r="S1592" s="576">
        <f t="shared" si="385"/>
        <v>0</v>
      </c>
      <c r="T1592" s="577">
        <f t="shared" si="386"/>
        <v>0</v>
      </c>
      <c r="U1592" s="578">
        <f t="shared" si="387"/>
        <v>0</v>
      </c>
      <c r="V1592" s="579"/>
      <c r="W1592" s="566"/>
      <c r="X1592" s="586" t="str">
        <f t="shared" si="379"/>
        <v/>
      </c>
      <c r="Y1592" s="586" t="str">
        <f t="shared" si="384"/>
        <v/>
      </c>
      <c r="Z1592" s="586" t="str">
        <f t="shared" si="382"/>
        <v/>
      </c>
    </row>
    <row r="1593" spans="1:26" ht="12" hidden="1" thickBot="1" x14ac:dyDescent="0.25">
      <c r="A1593" s="567">
        <v>96989</v>
      </c>
      <c r="B1593" s="644">
        <v>96989</v>
      </c>
      <c r="C1593" s="645" t="s">
        <v>670</v>
      </c>
      <c r="D1593" s="422" t="s">
        <v>1439</v>
      </c>
      <c r="E1593" s="423"/>
      <c r="F1593" s="424"/>
      <c r="G1593" s="425"/>
      <c r="H1593" s="651"/>
      <c r="I1593" s="420">
        <v>153.85</v>
      </c>
      <c r="J1593" s="420">
        <f t="shared" si="381"/>
        <v>153.85</v>
      </c>
      <c r="K1593" s="421">
        <f t="shared" si="380"/>
        <v>182.79</v>
      </c>
      <c r="L1593" s="647" t="s">
        <v>2065</v>
      </c>
      <c r="M1593" s="576"/>
      <c r="N1593" s="576">
        <f t="shared" si="383"/>
        <v>0</v>
      </c>
      <c r="O1593" s="577">
        <f t="shared" si="388"/>
        <v>0</v>
      </c>
      <c r="P1593" s="578">
        <f t="shared" si="389"/>
        <v>0</v>
      </c>
      <c r="Q1593" s="765"/>
      <c r="R1593" s="576">
        <f t="shared" si="385"/>
        <v>0</v>
      </c>
      <c r="S1593" s="576">
        <f t="shared" si="385"/>
        <v>0</v>
      </c>
      <c r="T1593" s="577">
        <f t="shared" si="386"/>
        <v>0</v>
      </c>
      <c r="U1593" s="578">
        <f t="shared" si="387"/>
        <v>0</v>
      </c>
      <c r="V1593" s="579"/>
      <c r="W1593" s="566"/>
      <c r="X1593" s="586" t="str">
        <f t="shared" si="379"/>
        <v/>
      </c>
      <c r="Y1593" s="586" t="str">
        <f t="shared" si="384"/>
        <v/>
      </c>
      <c r="Z1593" s="586" t="str">
        <f t="shared" si="382"/>
        <v/>
      </c>
    </row>
    <row r="1594" spans="1:26" ht="12" hidden="1" thickBot="1" x14ac:dyDescent="0.25">
      <c r="A1594" s="567">
        <v>98463</v>
      </c>
      <c r="B1594" s="644">
        <v>98463</v>
      </c>
      <c r="C1594" s="645" t="s">
        <v>670</v>
      </c>
      <c r="D1594" s="422" t="s">
        <v>1440</v>
      </c>
      <c r="E1594" s="423"/>
      <c r="F1594" s="424"/>
      <c r="G1594" s="425"/>
      <c r="H1594" s="651"/>
      <c r="I1594" s="420">
        <v>25.58</v>
      </c>
      <c r="J1594" s="420">
        <f t="shared" si="381"/>
        <v>25.58</v>
      </c>
      <c r="K1594" s="421">
        <f t="shared" si="380"/>
        <v>30.39</v>
      </c>
      <c r="L1594" s="647" t="s">
        <v>2065</v>
      </c>
      <c r="M1594" s="576"/>
      <c r="N1594" s="576">
        <f t="shared" si="383"/>
        <v>0</v>
      </c>
      <c r="O1594" s="577">
        <f t="shared" si="388"/>
        <v>0</v>
      </c>
      <c r="P1594" s="578">
        <f t="shared" si="389"/>
        <v>0</v>
      </c>
      <c r="Q1594" s="765"/>
      <c r="R1594" s="576">
        <f t="shared" si="385"/>
        <v>0</v>
      </c>
      <c r="S1594" s="576">
        <f t="shared" si="385"/>
        <v>0</v>
      </c>
      <c r="T1594" s="577">
        <f t="shared" si="386"/>
        <v>0</v>
      </c>
      <c r="U1594" s="578">
        <f t="shared" si="387"/>
        <v>0</v>
      </c>
      <c r="V1594" s="579"/>
      <c r="W1594" s="566"/>
      <c r="X1594" s="586" t="str">
        <f t="shared" si="379"/>
        <v/>
      </c>
      <c r="Y1594" s="586" t="str">
        <f t="shared" si="384"/>
        <v/>
      </c>
      <c r="Z1594" s="586" t="str">
        <f t="shared" si="382"/>
        <v/>
      </c>
    </row>
    <row r="1595" spans="1:26" ht="23.25" hidden="1" thickBot="1" x14ac:dyDescent="0.25">
      <c r="A1595" s="567">
        <v>100560</v>
      </c>
      <c r="B1595" s="644">
        <v>100560</v>
      </c>
      <c r="C1595" s="645" t="s">
        <v>670</v>
      </c>
      <c r="D1595" s="422" t="s">
        <v>1441</v>
      </c>
      <c r="E1595" s="423"/>
      <c r="F1595" s="424"/>
      <c r="G1595" s="425"/>
      <c r="H1595" s="651"/>
      <c r="I1595" s="420">
        <v>136.51</v>
      </c>
      <c r="J1595" s="420">
        <f t="shared" si="381"/>
        <v>136.51</v>
      </c>
      <c r="K1595" s="421">
        <f t="shared" si="380"/>
        <v>162.19</v>
      </c>
      <c r="L1595" s="647" t="s">
        <v>2065</v>
      </c>
      <c r="M1595" s="576"/>
      <c r="N1595" s="576">
        <f t="shared" si="383"/>
        <v>0</v>
      </c>
      <c r="O1595" s="577">
        <f t="shared" si="388"/>
        <v>0</v>
      </c>
      <c r="P1595" s="578">
        <f t="shared" si="389"/>
        <v>0</v>
      </c>
      <c r="Q1595" s="765"/>
      <c r="R1595" s="576">
        <f t="shared" si="385"/>
        <v>0</v>
      </c>
      <c r="S1595" s="576">
        <f t="shared" si="385"/>
        <v>0</v>
      </c>
      <c r="T1595" s="577">
        <f t="shared" si="386"/>
        <v>0</v>
      </c>
      <c r="U1595" s="578">
        <f t="shared" si="387"/>
        <v>0</v>
      </c>
      <c r="V1595" s="579"/>
      <c r="W1595" s="566"/>
      <c r="X1595" s="586" t="str">
        <f t="shared" si="379"/>
        <v/>
      </c>
      <c r="Y1595" s="586" t="str">
        <f t="shared" si="384"/>
        <v/>
      </c>
      <c r="Z1595" s="586" t="str">
        <f t="shared" si="382"/>
        <v/>
      </c>
    </row>
    <row r="1596" spans="1:26" ht="23.25" hidden="1" thickBot="1" x14ac:dyDescent="0.25">
      <c r="A1596" s="567">
        <v>100561</v>
      </c>
      <c r="B1596" s="644">
        <v>100561</v>
      </c>
      <c r="C1596" s="645" t="s">
        <v>670</v>
      </c>
      <c r="D1596" s="422" t="s">
        <v>1442</v>
      </c>
      <c r="E1596" s="423"/>
      <c r="F1596" s="424"/>
      <c r="G1596" s="425"/>
      <c r="H1596" s="651"/>
      <c r="I1596" s="420">
        <v>253.7</v>
      </c>
      <c r="J1596" s="420">
        <f t="shared" si="381"/>
        <v>253.7</v>
      </c>
      <c r="K1596" s="421">
        <f t="shared" si="380"/>
        <v>301.42</v>
      </c>
      <c r="L1596" s="647" t="s">
        <v>2065</v>
      </c>
      <c r="M1596" s="576"/>
      <c r="N1596" s="576">
        <f t="shared" si="383"/>
        <v>0</v>
      </c>
      <c r="O1596" s="577">
        <f t="shared" si="388"/>
        <v>0</v>
      </c>
      <c r="P1596" s="578">
        <f t="shared" si="389"/>
        <v>0</v>
      </c>
      <c r="Q1596" s="765"/>
      <c r="R1596" s="576">
        <f t="shared" si="385"/>
        <v>0</v>
      </c>
      <c r="S1596" s="576">
        <f t="shared" si="385"/>
        <v>0</v>
      </c>
      <c r="T1596" s="577">
        <f t="shared" si="386"/>
        <v>0</v>
      </c>
      <c r="U1596" s="578">
        <f t="shared" si="387"/>
        <v>0</v>
      </c>
      <c r="V1596" s="579"/>
      <c r="W1596" s="566"/>
      <c r="X1596" s="586" t="str">
        <f t="shared" si="379"/>
        <v/>
      </c>
      <c r="Y1596" s="586" t="str">
        <f t="shared" si="384"/>
        <v/>
      </c>
      <c r="Z1596" s="586" t="str">
        <f t="shared" si="382"/>
        <v/>
      </c>
    </row>
    <row r="1597" spans="1:26" ht="23.25" hidden="1" thickBot="1" x14ac:dyDescent="0.25">
      <c r="A1597" s="567">
        <v>100562</v>
      </c>
      <c r="B1597" s="644">
        <v>100562</v>
      </c>
      <c r="C1597" s="645" t="s">
        <v>670</v>
      </c>
      <c r="D1597" s="422" t="s">
        <v>1443</v>
      </c>
      <c r="E1597" s="423"/>
      <c r="F1597" s="424"/>
      <c r="G1597" s="425"/>
      <c r="H1597" s="651"/>
      <c r="I1597" s="420">
        <v>394.91</v>
      </c>
      <c r="J1597" s="420">
        <f t="shared" si="381"/>
        <v>394.91</v>
      </c>
      <c r="K1597" s="421">
        <f t="shared" si="380"/>
        <v>469.19</v>
      </c>
      <c r="L1597" s="647" t="s">
        <v>2065</v>
      </c>
      <c r="M1597" s="576"/>
      <c r="N1597" s="576">
        <f t="shared" si="383"/>
        <v>0</v>
      </c>
      <c r="O1597" s="577">
        <f t="shared" si="388"/>
        <v>0</v>
      </c>
      <c r="P1597" s="578">
        <f t="shared" si="389"/>
        <v>0</v>
      </c>
      <c r="Q1597" s="765"/>
      <c r="R1597" s="576">
        <f t="shared" si="385"/>
        <v>0</v>
      </c>
      <c r="S1597" s="576">
        <f t="shared" si="385"/>
        <v>0</v>
      </c>
      <c r="T1597" s="577">
        <f t="shared" si="386"/>
        <v>0</v>
      </c>
      <c r="U1597" s="578">
        <f t="shared" si="387"/>
        <v>0</v>
      </c>
      <c r="V1597" s="579"/>
      <c r="W1597" s="566"/>
      <c r="X1597" s="586" t="str">
        <f t="shared" ref="X1597:X1660" si="390">IF(W1597="X","x",IF(W1597="xx","x",IF(W1597="xy","x",IF(W1597="y","x",IF(OR(P1597&gt;0,U1597&gt;0),"x","")))))</f>
        <v/>
      </c>
      <c r="Y1597" s="586" t="str">
        <f t="shared" si="384"/>
        <v/>
      </c>
      <c r="Z1597" s="586" t="str">
        <f t="shared" si="382"/>
        <v/>
      </c>
    </row>
    <row r="1598" spans="1:26" ht="23.25" hidden="1" thickBot="1" x14ac:dyDescent="0.25">
      <c r="A1598" s="567">
        <v>100563</v>
      </c>
      <c r="B1598" s="644">
        <v>100563</v>
      </c>
      <c r="C1598" s="645" t="s">
        <v>670</v>
      </c>
      <c r="D1598" s="422" t="s">
        <v>1444</v>
      </c>
      <c r="E1598" s="423"/>
      <c r="F1598" s="424"/>
      <c r="G1598" s="425"/>
      <c r="H1598" s="651"/>
      <c r="I1598" s="420">
        <v>570.80999999999995</v>
      </c>
      <c r="J1598" s="420">
        <f t="shared" si="381"/>
        <v>570.80999999999995</v>
      </c>
      <c r="K1598" s="421">
        <f t="shared" si="380"/>
        <v>678.18</v>
      </c>
      <c r="L1598" s="647" t="s">
        <v>2065</v>
      </c>
      <c r="M1598" s="576"/>
      <c r="N1598" s="576">
        <f t="shared" si="383"/>
        <v>0</v>
      </c>
      <c r="O1598" s="577">
        <f t="shared" si="388"/>
        <v>0</v>
      </c>
      <c r="P1598" s="578">
        <f t="shared" si="389"/>
        <v>0</v>
      </c>
      <c r="Q1598" s="765"/>
      <c r="R1598" s="576">
        <f t="shared" si="385"/>
        <v>0</v>
      </c>
      <c r="S1598" s="576">
        <f t="shared" si="385"/>
        <v>0</v>
      </c>
      <c r="T1598" s="577">
        <f t="shared" si="386"/>
        <v>0</v>
      </c>
      <c r="U1598" s="578">
        <f t="shared" si="387"/>
        <v>0</v>
      </c>
      <c r="V1598" s="579"/>
      <c r="W1598" s="566"/>
      <c r="X1598" s="586" t="str">
        <f t="shared" si="390"/>
        <v/>
      </c>
      <c r="Y1598" s="586" t="str">
        <f t="shared" si="384"/>
        <v/>
      </c>
      <c r="Z1598" s="586" t="str">
        <f t="shared" si="382"/>
        <v/>
      </c>
    </row>
    <row r="1599" spans="1:26" ht="23.25" hidden="1" thickBot="1" x14ac:dyDescent="0.25">
      <c r="A1599" s="567">
        <v>100556</v>
      </c>
      <c r="B1599" s="644">
        <v>100556</v>
      </c>
      <c r="C1599" s="645" t="s">
        <v>670</v>
      </c>
      <c r="D1599" s="422" t="s">
        <v>1445</v>
      </c>
      <c r="E1599" s="423"/>
      <c r="F1599" s="424"/>
      <c r="G1599" s="425"/>
      <c r="H1599" s="651"/>
      <c r="I1599" s="420">
        <v>50.44</v>
      </c>
      <c r="J1599" s="420">
        <f t="shared" si="381"/>
        <v>50.44</v>
      </c>
      <c r="K1599" s="421">
        <f t="shared" si="380"/>
        <v>59.93</v>
      </c>
      <c r="L1599" s="647" t="s">
        <v>2065</v>
      </c>
      <c r="M1599" s="576"/>
      <c r="N1599" s="576">
        <f t="shared" si="383"/>
        <v>0</v>
      </c>
      <c r="O1599" s="577">
        <f t="shared" si="388"/>
        <v>0</v>
      </c>
      <c r="P1599" s="578">
        <f t="shared" si="389"/>
        <v>0</v>
      </c>
      <c r="Q1599" s="765"/>
      <c r="R1599" s="576">
        <f t="shared" si="385"/>
        <v>0</v>
      </c>
      <c r="S1599" s="576">
        <f t="shared" si="385"/>
        <v>0</v>
      </c>
      <c r="T1599" s="577">
        <f t="shared" si="386"/>
        <v>0</v>
      </c>
      <c r="U1599" s="578">
        <f t="shared" si="387"/>
        <v>0</v>
      </c>
      <c r="V1599" s="579"/>
      <c r="W1599" s="566"/>
      <c r="X1599" s="586" t="str">
        <f t="shared" si="390"/>
        <v/>
      </c>
      <c r="Y1599" s="586" t="str">
        <f t="shared" si="384"/>
        <v/>
      </c>
      <c r="Z1599" s="586" t="str">
        <f t="shared" si="382"/>
        <v/>
      </c>
    </row>
    <row r="1600" spans="1:26" ht="23.25" hidden="1" thickBot="1" x14ac:dyDescent="0.25">
      <c r="A1600" s="567">
        <v>100557</v>
      </c>
      <c r="B1600" s="644">
        <v>100557</v>
      </c>
      <c r="C1600" s="645" t="s">
        <v>670</v>
      </c>
      <c r="D1600" s="422" t="s">
        <v>1446</v>
      </c>
      <c r="E1600" s="423"/>
      <c r="F1600" s="424"/>
      <c r="G1600" s="425"/>
      <c r="H1600" s="651"/>
      <c r="I1600" s="420">
        <v>659.16</v>
      </c>
      <c r="J1600" s="420">
        <f t="shared" si="381"/>
        <v>659.16</v>
      </c>
      <c r="K1600" s="421">
        <f t="shared" si="380"/>
        <v>783.15</v>
      </c>
      <c r="L1600" s="647" t="s">
        <v>2065</v>
      </c>
      <c r="M1600" s="576"/>
      <c r="N1600" s="576">
        <f t="shared" si="383"/>
        <v>0</v>
      </c>
      <c r="O1600" s="577">
        <f t="shared" si="388"/>
        <v>0</v>
      </c>
      <c r="P1600" s="578">
        <f t="shared" si="389"/>
        <v>0</v>
      </c>
      <c r="Q1600" s="765"/>
      <c r="R1600" s="576">
        <f t="shared" si="385"/>
        <v>0</v>
      </c>
      <c r="S1600" s="576">
        <f t="shared" si="385"/>
        <v>0</v>
      </c>
      <c r="T1600" s="577">
        <f t="shared" si="386"/>
        <v>0</v>
      </c>
      <c r="U1600" s="578">
        <f t="shared" si="387"/>
        <v>0</v>
      </c>
      <c r="V1600" s="579"/>
      <c r="W1600" s="566"/>
      <c r="X1600" s="586" t="str">
        <f t="shared" si="390"/>
        <v/>
      </c>
      <c r="Y1600" s="586" t="str">
        <f t="shared" si="384"/>
        <v/>
      </c>
      <c r="Z1600" s="586" t="str">
        <f t="shared" si="382"/>
        <v/>
      </c>
    </row>
    <row r="1601" spans="1:26" ht="23.25" hidden="1" thickBot="1" x14ac:dyDescent="0.25">
      <c r="A1601" s="567">
        <v>98294</v>
      </c>
      <c r="B1601" s="644">
        <v>98294</v>
      </c>
      <c r="C1601" s="645" t="s">
        <v>670</v>
      </c>
      <c r="D1601" s="422" t="s">
        <v>1447</v>
      </c>
      <c r="E1601" s="423"/>
      <c r="F1601" s="424"/>
      <c r="G1601" s="425"/>
      <c r="H1601" s="651"/>
      <c r="I1601" s="420">
        <v>7.19</v>
      </c>
      <c r="J1601" s="420">
        <f t="shared" si="381"/>
        <v>7.19</v>
      </c>
      <c r="K1601" s="421">
        <f t="shared" si="380"/>
        <v>8.5399999999999991</v>
      </c>
      <c r="L1601" s="647" t="s">
        <v>79</v>
      </c>
      <c r="M1601" s="576"/>
      <c r="N1601" s="576">
        <f t="shared" si="383"/>
        <v>0</v>
      </c>
      <c r="O1601" s="577">
        <f t="shared" si="388"/>
        <v>0</v>
      </c>
      <c r="P1601" s="578">
        <f t="shared" si="389"/>
        <v>0</v>
      </c>
      <c r="Q1601" s="765"/>
      <c r="R1601" s="576">
        <f t="shared" si="385"/>
        <v>0</v>
      </c>
      <c r="S1601" s="576">
        <f t="shared" si="385"/>
        <v>0</v>
      </c>
      <c r="T1601" s="577">
        <f t="shared" si="386"/>
        <v>0</v>
      </c>
      <c r="U1601" s="578">
        <f t="shared" si="387"/>
        <v>0</v>
      </c>
      <c r="V1601" s="579"/>
      <c r="W1601" s="566"/>
      <c r="X1601" s="586" t="str">
        <f t="shared" si="390"/>
        <v/>
      </c>
      <c r="Y1601" s="586" t="str">
        <f t="shared" si="384"/>
        <v/>
      </c>
      <c r="Z1601" s="586" t="str">
        <f t="shared" si="382"/>
        <v/>
      </c>
    </row>
    <row r="1602" spans="1:26" ht="23.25" hidden="1" thickBot="1" x14ac:dyDescent="0.25">
      <c r="A1602" s="567">
        <v>98295</v>
      </c>
      <c r="B1602" s="644">
        <v>98295</v>
      </c>
      <c r="C1602" s="645" t="s">
        <v>670</v>
      </c>
      <c r="D1602" s="422" t="s">
        <v>1448</v>
      </c>
      <c r="E1602" s="423"/>
      <c r="F1602" s="424"/>
      <c r="G1602" s="425"/>
      <c r="H1602" s="651"/>
      <c r="I1602" s="420">
        <v>6.46</v>
      </c>
      <c r="J1602" s="420">
        <f t="shared" si="381"/>
        <v>6.46</v>
      </c>
      <c r="K1602" s="421">
        <f t="shared" si="380"/>
        <v>7.68</v>
      </c>
      <c r="L1602" s="647" t="s">
        <v>79</v>
      </c>
      <c r="M1602" s="576"/>
      <c r="N1602" s="576">
        <f t="shared" si="383"/>
        <v>0</v>
      </c>
      <c r="O1602" s="577">
        <f t="shared" si="388"/>
        <v>0</v>
      </c>
      <c r="P1602" s="578">
        <f t="shared" si="389"/>
        <v>0</v>
      </c>
      <c r="Q1602" s="765"/>
      <c r="R1602" s="576">
        <f t="shared" si="385"/>
        <v>0</v>
      </c>
      <c r="S1602" s="576">
        <f t="shared" si="385"/>
        <v>0</v>
      </c>
      <c r="T1602" s="577">
        <f t="shared" si="386"/>
        <v>0</v>
      </c>
      <c r="U1602" s="578">
        <f t="shared" si="387"/>
        <v>0</v>
      </c>
      <c r="V1602" s="579"/>
      <c r="W1602" s="566"/>
      <c r="X1602" s="586" t="str">
        <f t="shared" si="390"/>
        <v/>
      </c>
      <c r="Y1602" s="586" t="str">
        <f t="shared" si="384"/>
        <v/>
      </c>
      <c r="Z1602" s="586" t="str">
        <f t="shared" si="382"/>
        <v/>
      </c>
    </row>
    <row r="1603" spans="1:26" ht="23.25" hidden="1" thickBot="1" x14ac:dyDescent="0.25">
      <c r="A1603" s="567">
        <v>98296</v>
      </c>
      <c r="B1603" s="644">
        <v>98296</v>
      </c>
      <c r="C1603" s="645" t="s">
        <v>670</v>
      </c>
      <c r="D1603" s="422" t="s">
        <v>1449</v>
      </c>
      <c r="E1603" s="423"/>
      <c r="F1603" s="424"/>
      <c r="G1603" s="425"/>
      <c r="H1603" s="651"/>
      <c r="I1603" s="420">
        <v>4.9400000000000004</v>
      </c>
      <c r="J1603" s="420">
        <f t="shared" si="381"/>
        <v>4.9400000000000004</v>
      </c>
      <c r="K1603" s="421">
        <f t="shared" si="380"/>
        <v>5.87</v>
      </c>
      <c r="L1603" s="647" t="s">
        <v>79</v>
      </c>
      <c r="M1603" s="576"/>
      <c r="N1603" s="576">
        <f t="shared" si="383"/>
        <v>0</v>
      </c>
      <c r="O1603" s="577">
        <f t="shared" si="388"/>
        <v>0</v>
      </c>
      <c r="P1603" s="578">
        <f t="shared" si="389"/>
        <v>0</v>
      </c>
      <c r="Q1603" s="765"/>
      <c r="R1603" s="576">
        <f t="shared" si="385"/>
        <v>0</v>
      </c>
      <c r="S1603" s="576">
        <f t="shared" si="385"/>
        <v>0</v>
      </c>
      <c r="T1603" s="577">
        <f t="shared" si="386"/>
        <v>0</v>
      </c>
      <c r="U1603" s="578">
        <f t="shared" si="387"/>
        <v>0</v>
      </c>
      <c r="V1603" s="579"/>
      <c r="W1603" s="566"/>
      <c r="X1603" s="586" t="str">
        <f t="shared" si="390"/>
        <v/>
      </c>
      <c r="Y1603" s="586" t="str">
        <f t="shared" si="384"/>
        <v/>
      </c>
      <c r="Z1603" s="586" t="str">
        <f t="shared" si="382"/>
        <v/>
      </c>
    </row>
    <row r="1604" spans="1:26" ht="23.25" hidden="1" thickBot="1" x14ac:dyDescent="0.25">
      <c r="A1604" s="567">
        <v>98297</v>
      </c>
      <c r="B1604" s="644">
        <v>98297</v>
      </c>
      <c r="C1604" s="645" t="s">
        <v>670</v>
      </c>
      <c r="D1604" s="422" t="s">
        <v>1450</v>
      </c>
      <c r="E1604" s="423"/>
      <c r="F1604" s="424"/>
      <c r="G1604" s="425"/>
      <c r="H1604" s="651"/>
      <c r="I1604" s="420">
        <v>3.76</v>
      </c>
      <c r="J1604" s="420">
        <f t="shared" si="381"/>
        <v>3.76</v>
      </c>
      <c r="K1604" s="421">
        <f t="shared" si="380"/>
        <v>4.47</v>
      </c>
      <c r="L1604" s="647" t="s">
        <v>79</v>
      </c>
      <c r="M1604" s="576"/>
      <c r="N1604" s="576">
        <f t="shared" si="383"/>
        <v>0</v>
      </c>
      <c r="O1604" s="577">
        <f t="shared" si="388"/>
        <v>0</v>
      </c>
      <c r="P1604" s="578">
        <f t="shared" si="389"/>
        <v>0</v>
      </c>
      <c r="Q1604" s="765"/>
      <c r="R1604" s="576">
        <f t="shared" si="385"/>
        <v>0</v>
      </c>
      <c r="S1604" s="576">
        <f t="shared" si="385"/>
        <v>0</v>
      </c>
      <c r="T1604" s="577">
        <f t="shared" si="386"/>
        <v>0</v>
      </c>
      <c r="U1604" s="578">
        <f t="shared" si="387"/>
        <v>0</v>
      </c>
      <c r="V1604" s="579"/>
      <c r="W1604" s="566"/>
      <c r="X1604" s="586" t="str">
        <f t="shared" si="390"/>
        <v/>
      </c>
      <c r="Y1604" s="586" t="str">
        <f t="shared" si="384"/>
        <v/>
      </c>
      <c r="Z1604" s="586" t="str">
        <f t="shared" si="382"/>
        <v/>
      </c>
    </row>
    <row r="1605" spans="1:26" ht="12" hidden="1" thickBot="1" x14ac:dyDescent="0.25">
      <c r="A1605" s="567">
        <v>98301</v>
      </c>
      <c r="B1605" s="644">
        <v>98301</v>
      </c>
      <c r="C1605" s="645" t="s">
        <v>670</v>
      </c>
      <c r="D1605" s="422" t="s">
        <v>1451</v>
      </c>
      <c r="E1605" s="423"/>
      <c r="F1605" s="424"/>
      <c r="G1605" s="425"/>
      <c r="H1605" s="651"/>
      <c r="I1605" s="420">
        <v>684.6</v>
      </c>
      <c r="J1605" s="420">
        <f t="shared" si="381"/>
        <v>684.6</v>
      </c>
      <c r="K1605" s="421">
        <f t="shared" si="380"/>
        <v>813.37</v>
      </c>
      <c r="L1605" s="647" t="s">
        <v>2065</v>
      </c>
      <c r="M1605" s="576"/>
      <c r="N1605" s="576">
        <f t="shared" si="383"/>
        <v>0</v>
      </c>
      <c r="O1605" s="577">
        <f t="shared" si="388"/>
        <v>0</v>
      </c>
      <c r="P1605" s="578">
        <f t="shared" si="389"/>
        <v>0</v>
      </c>
      <c r="Q1605" s="765"/>
      <c r="R1605" s="576">
        <f t="shared" si="385"/>
        <v>0</v>
      </c>
      <c r="S1605" s="576">
        <f t="shared" si="385"/>
        <v>0</v>
      </c>
      <c r="T1605" s="577">
        <f t="shared" si="386"/>
        <v>0</v>
      </c>
      <c r="U1605" s="578">
        <f t="shared" si="387"/>
        <v>0</v>
      </c>
      <c r="V1605" s="579"/>
      <c r="W1605" s="566"/>
      <c r="X1605" s="586" t="str">
        <f t="shared" si="390"/>
        <v/>
      </c>
      <c r="Y1605" s="586" t="str">
        <f t="shared" si="384"/>
        <v/>
      </c>
      <c r="Z1605" s="586" t="str">
        <f t="shared" si="382"/>
        <v/>
      </c>
    </row>
    <row r="1606" spans="1:26" ht="12" hidden="1" thickBot="1" x14ac:dyDescent="0.25">
      <c r="A1606" s="567">
        <v>98302</v>
      </c>
      <c r="B1606" s="644">
        <v>98302</v>
      </c>
      <c r="C1606" s="645" t="s">
        <v>670</v>
      </c>
      <c r="D1606" s="422" t="s">
        <v>1452</v>
      </c>
      <c r="E1606" s="423"/>
      <c r="F1606" s="424"/>
      <c r="G1606" s="425"/>
      <c r="H1606" s="651"/>
      <c r="I1606" s="420">
        <v>1290.3900000000001</v>
      </c>
      <c r="J1606" s="420">
        <f t="shared" si="381"/>
        <v>1290.3900000000001</v>
      </c>
      <c r="K1606" s="421">
        <f t="shared" si="380"/>
        <v>1533.11</v>
      </c>
      <c r="L1606" s="647" t="s">
        <v>2065</v>
      </c>
      <c r="M1606" s="576"/>
      <c r="N1606" s="576">
        <f t="shared" si="383"/>
        <v>0</v>
      </c>
      <c r="O1606" s="577">
        <f t="shared" si="388"/>
        <v>0</v>
      </c>
      <c r="P1606" s="578">
        <f t="shared" si="389"/>
        <v>0</v>
      </c>
      <c r="Q1606" s="765"/>
      <c r="R1606" s="576">
        <f t="shared" si="385"/>
        <v>0</v>
      </c>
      <c r="S1606" s="576">
        <f t="shared" si="385"/>
        <v>0</v>
      </c>
      <c r="T1606" s="577">
        <f t="shared" si="386"/>
        <v>0</v>
      </c>
      <c r="U1606" s="578">
        <f t="shared" si="387"/>
        <v>0</v>
      </c>
      <c r="V1606" s="579"/>
      <c r="W1606" s="566"/>
      <c r="X1606" s="586" t="str">
        <f t="shared" si="390"/>
        <v/>
      </c>
      <c r="Y1606" s="586" t="str">
        <f t="shared" si="384"/>
        <v/>
      </c>
      <c r="Z1606" s="586" t="str">
        <f t="shared" si="382"/>
        <v/>
      </c>
    </row>
    <row r="1607" spans="1:26" ht="12" hidden="1" thickBot="1" x14ac:dyDescent="0.25">
      <c r="A1607" s="567">
        <v>98304</v>
      </c>
      <c r="B1607" s="644">
        <v>98304</v>
      </c>
      <c r="C1607" s="645" t="s">
        <v>670</v>
      </c>
      <c r="D1607" s="422" t="s">
        <v>1453</v>
      </c>
      <c r="E1607" s="423"/>
      <c r="F1607" s="424"/>
      <c r="G1607" s="425"/>
      <c r="H1607" s="651"/>
      <c r="I1607" s="420">
        <v>4050.61</v>
      </c>
      <c r="J1607" s="420">
        <f t="shared" si="381"/>
        <v>4050.61</v>
      </c>
      <c r="K1607" s="421">
        <f t="shared" si="380"/>
        <v>4812.53</v>
      </c>
      <c r="L1607" s="647" t="s">
        <v>2065</v>
      </c>
      <c r="M1607" s="576"/>
      <c r="N1607" s="576">
        <f t="shared" si="383"/>
        <v>0</v>
      </c>
      <c r="O1607" s="577">
        <f t="shared" si="388"/>
        <v>0</v>
      </c>
      <c r="P1607" s="578">
        <f t="shared" si="389"/>
        <v>0</v>
      </c>
      <c r="Q1607" s="765"/>
      <c r="R1607" s="576">
        <f t="shared" si="385"/>
        <v>0</v>
      </c>
      <c r="S1607" s="576">
        <f t="shared" si="385"/>
        <v>0</v>
      </c>
      <c r="T1607" s="577">
        <f t="shared" si="386"/>
        <v>0</v>
      </c>
      <c r="U1607" s="578">
        <f t="shared" si="387"/>
        <v>0</v>
      </c>
      <c r="V1607" s="579"/>
      <c r="W1607" s="566"/>
      <c r="X1607" s="586" t="str">
        <f t="shared" si="390"/>
        <v/>
      </c>
      <c r="Y1607" s="586" t="str">
        <f t="shared" si="384"/>
        <v/>
      </c>
      <c r="Z1607" s="586" t="str">
        <f t="shared" si="382"/>
        <v/>
      </c>
    </row>
    <row r="1608" spans="1:26" ht="12" hidden="1" thickBot="1" x14ac:dyDescent="0.25">
      <c r="A1608" s="567">
        <v>98307</v>
      </c>
      <c r="B1608" s="644">
        <v>98307</v>
      </c>
      <c r="C1608" s="645" t="s">
        <v>670</v>
      </c>
      <c r="D1608" s="422" t="s">
        <v>1454</v>
      </c>
      <c r="E1608" s="423"/>
      <c r="F1608" s="424"/>
      <c r="G1608" s="425"/>
      <c r="H1608" s="651"/>
      <c r="I1608" s="420">
        <v>60.66</v>
      </c>
      <c r="J1608" s="420">
        <f t="shared" si="381"/>
        <v>60.66</v>
      </c>
      <c r="K1608" s="421">
        <f t="shared" si="380"/>
        <v>72.069999999999993</v>
      </c>
      <c r="L1608" s="647" t="s">
        <v>2065</v>
      </c>
      <c r="M1608" s="576"/>
      <c r="N1608" s="576">
        <f t="shared" si="383"/>
        <v>0</v>
      </c>
      <c r="O1608" s="577">
        <f t="shared" si="388"/>
        <v>0</v>
      </c>
      <c r="P1608" s="578">
        <f t="shared" si="389"/>
        <v>0</v>
      </c>
      <c r="Q1608" s="765"/>
      <c r="R1608" s="576">
        <f t="shared" si="385"/>
        <v>0</v>
      </c>
      <c r="S1608" s="576">
        <f t="shared" si="385"/>
        <v>0</v>
      </c>
      <c r="T1608" s="577">
        <f t="shared" si="386"/>
        <v>0</v>
      </c>
      <c r="U1608" s="578">
        <f t="shared" si="387"/>
        <v>0</v>
      </c>
      <c r="V1608" s="579"/>
      <c r="W1608" s="566"/>
      <c r="X1608" s="586" t="str">
        <f t="shared" si="390"/>
        <v/>
      </c>
      <c r="Y1608" s="586" t="str">
        <f t="shared" si="384"/>
        <v/>
      </c>
      <c r="Z1608" s="586" t="str">
        <f t="shared" si="382"/>
        <v/>
      </c>
    </row>
    <row r="1609" spans="1:26" ht="12" hidden="1" thickBot="1" x14ac:dyDescent="0.25">
      <c r="A1609" s="567">
        <v>98308</v>
      </c>
      <c r="B1609" s="644">
        <v>98308</v>
      </c>
      <c r="C1609" s="645" t="s">
        <v>670</v>
      </c>
      <c r="D1609" s="422" t="s">
        <v>1455</v>
      </c>
      <c r="E1609" s="423"/>
      <c r="F1609" s="424"/>
      <c r="G1609" s="425"/>
      <c r="H1609" s="651"/>
      <c r="I1609" s="420">
        <v>39.03</v>
      </c>
      <c r="J1609" s="420">
        <f t="shared" si="381"/>
        <v>39.03</v>
      </c>
      <c r="K1609" s="421">
        <f t="shared" ref="K1609:K1656" si="391">IF(ISBLANK(I1609),0,ROUND(J1609*(1+$F$10)*(1+$F$11*E1609),2))</f>
        <v>46.37</v>
      </c>
      <c r="L1609" s="647" t="s">
        <v>2065</v>
      </c>
      <c r="M1609" s="576"/>
      <c r="N1609" s="576">
        <f t="shared" si="383"/>
        <v>0</v>
      </c>
      <c r="O1609" s="577">
        <f t="shared" si="388"/>
        <v>0</v>
      </c>
      <c r="P1609" s="578">
        <f t="shared" si="389"/>
        <v>0</v>
      </c>
      <c r="Q1609" s="765"/>
      <c r="R1609" s="576">
        <f t="shared" si="385"/>
        <v>0</v>
      </c>
      <c r="S1609" s="576">
        <f t="shared" si="385"/>
        <v>0</v>
      </c>
      <c r="T1609" s="577">
        <f t="shared" si="386"/>
        <v>0</v>
      </c>
      <c r="U1609" s="578">
        <f t="shared" si="387"/>
        <v>0</v>
      </c>
      <c r="V1609" s="579"/>
      <c r="W1609" s="566"/>
      <c r="X1609" s="586" t="str">
        <f t="shared" si="390"/>
        <v/>
      </c>
      <c r="Y1609" s="586" t="str">
        <f t="shared" si="384"/>
        <v/>
      </c>
      <c r="Z1609" s="586" t="str">
        <f t="shared" si="382"/>
        <v/>
      </c>
    </row>
    <row r="1610" spans="1:26" ht="12" hidden="1" thickBot="1" x14ac:dyDescent="0.25">
      <c r="A1610" s="567">
        <v>98593</v>
      </c>
      <c r="B1610" s="644">
        <v>98593</v>
      </c>
      <c r="C1610" s="645" t="s">
        <v>670</v>
      </c>
      <c r="D1610" s="422" t="s">
        <v>1456</v>
      </c>
      <c r="E1610" s="423"/>
      <c r="F1610" s="424"/>
      <c r="G1610" s="425"/>
      <c r="H1610" s="651"/>
      <c r="I1610" s="420">
        <v>2815.39</v>
      </c>
      <c r="J1610" s="420">
        <f t="shared" si="381"/>
        <v>2815.39</v>
      </c>
      <c r="K1610" s="421">
        <f t="shared" si="391"/>
        <v>3344.96</v>
      </c>
      <c r="L1610" s="647" t="s">
        <v>2065</v>
      </c>
      <c r="M1610" s="576"/>
      <c r="N1610" s="576">
        <f t="shared" si="383"/>
        <v>0</v>
      </c>
      <c r="O1610" s="577">
        <f t="shared" si="388"/>
        <v>0</v>
      </c>
      <c r="P1610" s="578">
        <f t="shared" si="389"/>
        <v>0</v>
      </c>
      <c r="Q1610" s="765"/>
      <c r="R1610" s="576">
        <f t="shared" si="385"/>
        <v>0</v>
      </c>
      <c r="S1610" s="576">
        <f t="shared" si="385"/>
        <v>0</v>
      </c>
      <c r="T1610" s="577">
        <f t="shared" si="386"/>
        <v>0</v>
      </c>
      <c r="U1610" s="578">
        <f t="shared" si="387"/>
        <v>0</v>
      </c>
      <c r="V1610" s="579"/>
      <c r="W1610" s="566"/>
      <c r="X1610" s="586" t="str">
        <f t="shared" si="390"/>
        <v/>
      </c>
      <c r="Y1610" s="586" t="str">
        <f t="shared" si="384"/>
        <v/>
      </c>
      <c r="Z1610" s="586" t="str">
        <f t="shared" si="382"/>
        <v/>
      </c>
    </row>
    <row r="1611" spans="1:26" ht="23.25" hidden="1" thickBot="1" x14ac:dyDescent="0.25">
      <c r="A1611" s="567">
        <v>98400</v>
      </c>
      <c r="B1611" s="644">
        <v>98400</v>
      </c>
      <c r="C1611" s="645" t="s">
        <v>670</v>
      </c>
      <c r="D1611" s="422" t="s">
        <v>1457</v>
      </c>
      <c r="E1611" s="423"/>
      <c r="F1611" s="424"/>
      <c r="G1611" s="425"/>
      <c r="H1611" s="651"/>
      <c r="I1611" s="420">
        <v>14.58</v>
      </c>
      <c r="J1611" s="420">
        <f t="shared" si="381"/>
        <v>14.58</v>
      </c>
      <c r="K1611" s="421">
        <f t="shared" si="391"/>
        <v>17.32</v>
      </c>
      <c r="L1611" s="647" t="s">
        <v>79</v>
      </c>
      <c r="M1611" s="576"/>
      <c r="N1611" s="576">
        <f t="shared" si="383"/>
        <v>0</v>
      </c>
      <c r="O1611" s="577">
        <f t="shared" si="388"/>
        <v>0</v>
      </c>
      <c r="P1611" s="578">
        <f t="shared" si="389"/>
        <v>0</v>
      </c>
      <c r="Q1611" s="765"/>
      <c r="R1611" s="576">
        <f t="shared" si="385"/>
        <v>0</v>
      </c>
      <c r="S1611" s="576">
        <f t="shared" si="385"/>
        <v>0</v>
      </c>
      <c r="T1611" s="577">
        <f t="shared" si="386"/>
        <v>0</v>
      </c>
      <c r="U1611" s="578">
        <f t="shared" si="387"/>
        <v>0</v>
      </c>
      <c r="V1611" s="579"/>
      <c r="W1611" s="566"/>
      <c r="X1611" s="586" t="str">
        <f t="shared" si="390"/>
        <v/>
      </c>
      <c r="Y1611" s="586" t="str">
        <f t="shared" si="384"/>
        <v/>
      </c>
      <c r="Z1611" s="586" t="str">
        <f t="shared" si="382"/>
        <v/>
      </c>
    </row>
    <row r="1612" spans="1:26" ht="23.25" hidden="1" thickBot="1" x14ac:dyDescent="0.25">
      <c r="A1612" s="567">
        <v>98401</v>
      </c>
      <c r="B1612" s="644">
        <v>98401</v>
      </c>
      <c r="C1612" s="645" t="s">
        <v>670</v>
      </c>
      <c r="D1612" s="422" t="s">
        <v>1458</v>
      </c>
      <c r="E1612" s="423"/>
      <c r="F1612" s="424"/>
      <c r="G1612" s="425"/>
      <c r="H1612" s="651"/>
      <c r="I1612" s="420">
        <v>22.67</v>
      </c>
      <c r="J1612" s="420">
        <f t="shared" si="381"/>
        <v>22.67</v>
      </c>
      <c r="K1612" s="421">
        <f t="shared" si="391"/>
        <v>26.93</v>
      </c>
      <c r="L1612" s="647" t="s">
        <v>79</v>
      </c>
      <c r="M1612" s="576"/>
      <c r="N1612" s="576">
        <f t="shared" si="383"/>
        <v>0</v>
      </c>
      <c r="O1612" s="577">
        <f t="shared" si="388"/>
        <v>0</v>
      </c>
      <c r="P1612" s="578">
        <f t="shared" si="389"/>
        <v>0</v>
      </c>
      <c r="Q1612" s="765"/>
      <c r="R1612" s="576">
        <f t="shared" si="385"/>
        <v>0</v>
      </c>
      <c r="S1612" s="576">
        <f t="shared" si="385"/>
        <v>0</v>
      </c>
      <c r="T1612" s="577">
        <f t="shared" si="386"/>
        <v>0</v>
      </c>
      <c r="U1612" s="578">
        <f t="shared" si="387"/>
        <v>0</v>
      </c>
      <c r="V1612" s="579"/>
      <c r="W1612" s="566"/>
      <c r="X1612" s="586" t="str">
        <f t="shared" si="390"/>
        <v/>
      </c>
      <c r="Y1612" s="586" t="str">
        <f t="shared" si="384"/>
        <v/>
      </c>
      <c r="Z1612" s="586" t="str">
        <f t="shared" si="382"/>
        <v/>
      </c>
    </row>
    <row r="1613" spans="1:26" ht="23.25" hidden="1" thickBot="1" x14ac:dyDescent="0.25">
      <c r="A1613" s="567">
        <v>98402</v>
      </c>
      <c r="B1613" s="644">
        <v>98402</v>
      </c>
      <c r="C1613" s="645" t="s">
        <v>670</v>
      </c>
      <c r="D1613" s="422" t="s">
        <v>1459</v>
      </c>
      <c r="E1613" s="423"/>
      <c r="F1613" s="424"/>
      <c r="G1613" s="425"/>
      <c r="H1613" s="651"/>
      <c r="I1613" s="420">
        <v>26.41</v>
      </c>
      <c r="J1613" s="420">
        <f t="shared" si="381"/>
        <v>26.41</v>
      </c>
      <c r="K1613" s="421">
        <f t="shared" si="391"/>
        <v>31.38</v>
      </c>
      <c r="L1613" s="647" t="s">
        <v>79</v>
      </c>
      <c r="M1613" s="576"/>
      <c r="N1613" s="576">
        <f t="shared" si="383"/>
        <v>0</v>
      </c>
      <c r="O1613" s="577">
        <f t="shared" si="388"/>
        <v>0</v>
      </c>
      <c r="P1613" s="578">
        <f t="shared" si="389"/>
        <v>0</v>
      </c>
      <c r="Q1613" s="765"/>
      <c r="R1613" s="576">
        <f t="shared" si="385"/>
        <v>0</v>
      </c>
      <c r="S1613" s="576">
        <f t="shared" si="385"/>
        <v>0</v>
      </c>
      <c r="T1613" s="577">
        <f t="shared" si="386"/>
        <v>0</v>
      </c>
      <c r="U1613" s="578">
        <f t="shared" si="387"/>
        <v>0</v>
      </c>
      <c r="V1613" s="579"/>
      <c r="W1613" s="566"/>
      <c r="X1613" s="586" t="str">
        <f t="shared" si="390"/>
        <v/>
      </c>
      <c r="Y1613" s="586" t="str">
        <f t="shared" si="384"/>
        <v/>
      </c>
      <c r="Z1613" s="586" t="str">
        <f t="shared" si="382"/>
        <v/>
      </c>
    </row>
    <row r="1614" spans="1:26" ht="23.25" hidden="1" thickBot="1" x14ac:dyDescent="0.25">
      <c r="A1614" s="567">
        <v>98267</v>
      </c>
      <c r="B1614" s="644">
        <v>98267</v>
      </c>
      <c r="C1614" s="645" t="s">
        <v>670</v>
      </c>
      <c r="D1614" s="422" t="s">
        <v>1460</v>
      </c>
      <c r="E1614" s="423"/>
      <c r="F1614" s="424"/>
      <c r="G1614" s="425"/>
      <c r="H1614" s="651"/>
      <c r="I1614" s="420">
        <v>11.95</v>
      </c>
      <c r="J1614" s="420">
        <f t="shared" si="381"/>
        <v>11.95</v>
      </c>
      <c r="K1614" s="421">
        <f t="shared" si="391"/>
        <v>14.2</v>
      </c>
      <c r="L1614" s="647" t="s">
        <v>79</v>
      </c>
      <c r="M1614" s="576"/>
      <c r="N1614" s="576">
        <f t="shared" si="383"/>
        <v>0</v>
      </c>
      <c r="O1614" s="577">
        <f t="shared" si="388"/>
        <v>0</v>
      </c>
      <c r="P1614" s="578">
        <f t="shared" si="389"/>
        <v>0</v>
      </c>
      <c r="Q1614" s="765"/>
      <c r="R1614" s="576">
        <f t="shared" si="385"/>
        <v>0</v>
      </c>
      <c r="S1614" s="576">
        <f t="shared" si="385"/>
        <v>0</v>
      </c>
      <c r="T1614" s="577">
        <f t="shared" si="386"/>
        <v>0</v>
      </c>
      <c r="U1614" s="578">
        <f t="shared" si="387"/>
        <v>0</v>
      </c>
      <c r="V1614" s="579"/>
      <c r="W1614" s="566"/>
      <c r="X1614" s="586" t="str">
        <f t="shared" si="390"/>
        <v/>
      </c>
      <c r="Y1614" s="586" t="str">
        <f t="shared" si="384"/>
        <v/>
      </c>
      <c r="Z1614" s="586" t="str">
        <f t="shared" si="382"/>
        <v/>
      </c>
    </row>
    <row r="1615" spans="1:26" ht="23.25" hidden="1" thickBot="1" x14ac:dyDescent="0.25">
      <c r="A1615" s="567">
        <v>98268</v>
      </c>
      <c r="B1615" s="644">
        <v>98268</v>
      </c>
      <c r="C1615" s="645" t="s">
        <v>670</v>
      </c>
      <c r="D1615" s="422" t="s">
        <v>1461</v>
      </c>
      <c r="E1615" s="423"/>
      <c r="F1615" s="424"/>
      <c r="G1615" s="425"/>
      <c r="H1615" s="651"/>
      <c r="I1615" s="420">
        <v>19.010000000000002</v>
      </c>
      <c r="J1615" s="420">
        <f t="shared" si="381"/>
        <v>19.010000000000002</v>
      </c>
      <c r="K1615" s="421">
        <f t="shared" si="391"/>
        <v>22.59</v>
      </c>
      <c r="L1615" s="647" t="s">
        <v>79</v>
      </c>
      <c r="M1615" s="576"/>
      <c r="N1615" s="576">
        <f t="shared" si="383"/>
        <v>0</v>
      </c>
      <c r="O1615" s="577">
        <f t="shared" si="388"/>
        <v>0</v>
      </c>
      <c r="P1615" s="578">
        <f t="shared" si="389"/>
        <v>0</v>
      </c>
      <c r="Q1615" s="765"/>
      <c r="R1615" s="576">
        <f t="shared" si="385"/>
        <v>0</v>
      </c>
      <c r="S1615" s="576">
        <f t="shared" si="385"/>
        <v>0</v>
      </c>
      <c r="T1615" s="577">
        <f t="shared" si="386"/>
        <v>0</v>
      </c>
      <c r="U1615" s="578">
        <f t="shared" si="387"/>
        <v>0</v>
      </c>
      <c r="V1615" s="579"/>
      <c r="W1615" s="566"/>
      <c r="X1615" s="586" t="str">
        <f t="shared" si="390"/>
        <v/>
      </c>
      <c r="Y1615" s="586" t="str">
        <f t="shared" si="384"/>
        <v/>
      </c>
      <c r="Z1615" s="586" t="str">
        <f t="shared" si="382"/>
        <v/>
      </c>
    </row>
    <row r="1616" spans="1:26" ht="23.25" hidden="1" thickBot="1" x14ac:dyDescent="0.25">
      <c r="A1616" s="567">
        <v>98269</v>
      </c>
      <c r="B1616" s="644">
        <v>98269</v>
      </c>
      <c r="C1616" s="645" t="s">
        <v>670</v>
      </c>
      <c r="D1616" s="422" t="s">
        <v>1462</v>
      </c>
      <c r="E1616" s="423"/>
      <c r="F1616" s="424"/>
      <c r="G1616" s="425"/>
      <c r="H1616" s="651"/>
      <c r="I1616" s="420">
        <v>25.84</v>
      </c>
      <c r="J1616" s="420">
        <f t="shared" si="381"/>
        <v>25.84</v>
      </c>
      <c r="K1616" s="421">
        <f t="shared" si="391"/>
        <v>30.7</v>
      </c>
      <c r="L1616" s="647" t="s">
        <v>79</v>
      </c>
      <c r="M1616" s="576"/>
      <c r="N1616" s="576">
        <f t="shared" si="383"/>
        <v>0</v>
      </c>
      <c r="O1616" s="577">
        <f t="shared" si="388"/>
        <v>0</v>
      </c>
      <c r="P1616" s="578">
        <f t="shared" si="389"/>
        <v>0</v>
      </c>
      <c r="Q1616" s="765"/>
      <c r="R1616" s="576">
        <f t="shared" si="385"/>
        <v>0</v>
      </c>
      <c r="S1616" s="576">
        <f t="shared" si="385"/>
        <v>0</v>
      </c>
      <c r="T1616" s="577">
        <f t="shared" si="386"/>
        <v>0</v>
      </c>
      <c r="U1616" s="578">
        <f t="shared" si="387"/>
        <v>0</v>
      </c>
      <c r="V1616" s="579"/>
      <c r="W1616" s="566"/>
      <c r="X1616" s="586" t="str">
        <f t="shared" si="390"/>
        <v/>
      </c>
      <c r="Y1616" s="586" t="str">
        <f t="shared" si="384"/>
        <v/>
      </c>
      <c r="Z1616" s="586" t="str">
        <f t="shared" si="382"/>
        <v/>
      </c>
    </row>
    <row r="1617" spans="1:26" ht="23.25" hidden="1" thickBot="1" x14ac:dyDescent="0.25">
      <c r="A1617" s="567">
        <v>98270</v>
      </c>
      <c r="B1617" s="644">
        <v>98270</v>
      </c>
      <c r="C1617" s="645" t="s">
        <v>670</v>
      </c>
      <c r="D1617" s="422" t="s">
        <v>1463</v>
      </c>
      <c r="E1617" s="423"/>
      <c r="F1617" s="424"/>
      <c r="G1617" s="425"/>
      <c r="H1617" s="651"/>
      <c r="I1617" s="420">
        <v>38.770000000000003</v>
      </c>
      <c r="J1617" s="420">
        <f t="shared" si="381"/>
        <v>38.770000000000003</v>
      </c>
      <c r="K1617" s="421">
        <f t="shared" si="391"/>
        <v>46.06</v>
      </c>
      <c r="L1617" s="647" t="s">
        <v>79</v>
      </c>
      <c r="M1617" s="576"/>
      <c r="N1617" s="576">
        <f t="shared" si="383"/>
        <v>0</v>
      </c>
      <c r="O1617" s="577">
        <f t="shared" si="388"/>
        <v>0</v>
      </c>
      <c r="P1617" s="578">
        <f t="shared" si="389"/>
        <v>0</v>
      </c>
      <c r="Q1617" s="765"/>
      <c r="R1617" s="576">
        <f t="shared" si="385"/>
        <v>0</v>
      </c>
      <c r="S1617" s="576">
        <f t="shared" si="385"/>
        <v>0</v>
      </c>
      <c r="T1617" s="577">
        <f t="shared" si="386"/>
        <v>0</v>
      </c>
      <c r="U1617" s="578">
        <f t="shared" si="387"/>
        <v>0</v>
      </c>
      <c r="V1617" s="579"/>
      <c r="W1617" s="566"/>
      <c r="X1617" s="586" t="str">
        <f t="shared" si="390"/>
        <v/>
      </c>
      <c r="Y1617" s="586" t="str">
        <f t="shared" si="384"/>
        <v/>
      </c>
      <c r="Z1617" s="586" t="str">
        <f t="shared" si="382"/>
        <v/>
      </c>
    </row>
    <row r="1618" spans="1:26" ht="23.25" hidden="1" thickBot="1" x14ac:dyDescent="0.25">
      <c r="A1618" s="567">
        <v>98271</v>
      </c>
      <c r="B1618" s="644">
        <v>98271</v>
      </c>
      <c r="C1618" s="645" t="s">
        <v>670</v>
      </c>
      <c r="D1618" s="422" t="s">
        <v>1464</v>
      </c>
      <c r="E1618" s="423"/>
      <c r="F1618" s="424"/>
      <c r="G1618" s="425"/>
      <c r="H1618" s="651"/>
      <c r="I1618" s="420">
        <v>54.34</v>
      </c>
      <c r="J1618" s="420">
        <f t="shared" si="381"/>
        <v>54.34</v>
      </c>
      <c r="K1618" s="421">
        <f t="shared" si="391"/>
        <v>64.56</v>
      </c>
      <c r="L1618" s="647" t="s">
        <v>79</v>
      </c>
      <c r="M1618" s="576"/>
      <c r="N1618" s="576">
        <f t="shared" si="383"/>
        <v>0</v>
      </c>
      <c r="O1618" s="577">
        <f t="shared" si="388"/>
        <v>0</v>
      </c>
      <c r="P1618" s="578">
        <f t="shared" si="389"/>
        <v>0</v>
      </c>
      <c r="Q1618" s="765"/>
      <c r="R1618" s="576">
        <f t="shared" si="385"/>
        <v>0</v>
      </c>
      <c r="S1618" s="576">
        <f t="shared" si="385"/>
        <v>0</v>
      </c>
      <c r="T1618" s="577">
        <f t="shared" si="386"/>
        <v>0</v>
      </c>
      <c r="U1618" s="578">
        <f t="shared" si="387"/>
        <v>0</v>
      </c>
      <c r="V1618" s="579"/>
      <c r="W1618" s="566"/>
      <c r="X1618" s="586" t="str">
        <f t="shared" si="390"/>
        <v/>
      </c>
      <c r="Y1618" s="586" t="str">
        <f t="shared" si="384"/>
        <v/>
      </c>
      <c r="Z1618" s="586" t="str">
        <f t="shared" si="382"/>
        <v/>
      </c>
    </row>
    <row r="1619" spans="1:26" ht="23.25" hidden="1" thickBot="1" x14ac:dyDescent="0.25">
      <c r="A1619" s="567">
        <v>98272</v>
      </c>
      <c r="B1619" s="644">
        <v>98272</v>
      </c>
      <c r="C1619" s="645" t="s">
        <v>670</v>
      </c>
      <c r="D1619" s="422" t="s">
        <v>1465</v>
      </c>
      <c r="E1619" s="423"/>
      <c r="F1619" s="424"/>
      <c r="G1619" s="425"/>
      <c r="H1619" s="651"/>
      <c r="I1619" s="420">
        <v>124.06</v>
      </c>
      <c r="J1619" s="420">
        <f t="shared" ref="J1619:J1655" si="392">IF(ISBLANK(I1619),"",SUM(H1619:I1619))</f>
        <v>124.06</v>
      </c>
      <c r="K1619" s="421">
        <f t="shared" si="391"/>
        <v>147.4</v>
      </c>
      <c r="L1619" s="647" t="s">
        <v>79</v>
      </c>
      <c r="M1619" s="576"/>
      <c r="N1619" s="576">
        <f t="shared" si="383"/>
        <v>0</v>
      </c>
      <c r="O1619" s="577">
        <f t="shared" si="388"/>
        <v>0</v>
      </c>
      <c r="P1619" s="578">
        <f t="shared" si="389"/>
        <v>0</v>
      </c>
      <c r="Q1619" s="765"/>
      <c r="R1619" s="576">
        <f t="shared" si="385"/>
        <v>0</v>
      </c>
      <c r="S1619" s="576">
        <f t="shared" si="385"/>
        <v>0</v>
      </c>
      <c r="T1619" s="577">
        <f t="shared" si="386"/>
        <v>0</v>
      </c>
      <c r="U1619" s="578">
        <f t="shared" si="387"/>
        <v>0</v>
      </c>
      <c r="V1619" s="579"/>
      <c r="W1619" s="566"/>
      <c r="X1619" s="586" t="str">
        <f t="shared" si="390"/>
        <v/>
      </c>
      <c r="Y1619" s="586" t="str">
        <f t="shared" si="384"/>
        <v/>
      </c>
      <c r="Z1619" s="586" t="str">
        <f t="shared" ref="Z1619:Z1682" si="393">IF(W1619="X","x",IF(U1619&gt;0,"x",""))</f>
        <v/>
      </c>
    </row>
    <row r="1620" spans="1:26" ht="23.25" hidden="1" thickBot="1" x14ac:dyDescent="0.25">
      <c r="A1620" s="567">
        <v>98276</v>
      </c>
      <c r="B1620" s="644">
        <v>98276</v>
      </c>
      <c r="C1620" s="645" t="s">
        <v>670</v>
      </c>
      <c r="D1620" s="422" t="s">
        <v>1466</v>
      </c>
      <c r="E1620" s="423"/>
      <c r="F1620" s="424"/>
      <c r="G1620" s="425"/>
      <c r="H1620" s="651"/>
      <c r="I1620" s="420">
        <v>8.8000000000000007</v>
      </c>
      <c r="J1620" s="420">
        <f t="shared" si="392"/>
        <v>8.8000000000000007</v>
      </c>
      <c r="K1620" s="421">
        <f t="shared" si="391"/>
        <v>10.46</v>
      </c>
      <c r="L1620" s="647" t="s">
        <v>79</v>
      </c>
      <c r="M1620" s="576"/>
      <c r="N1620" s="576">
        <f t="shared" ref="N1620:N1683" si="394">IF(M1620=0,0,K1620)</f>
        <v>0</v>
      </c>
      <c r="O1620" s="577">
        <f t="shared" si="388"/>
        <v>0</v>
      </c>
      <c r="P1620" s="578">
        <f t="shared" si="389"/>
        <v>0</v>
      </c>
      <c r="Q1620" s="765"/>
      <c r="R1620" s="576">
        <f t="shared" si="385"/>
        <v>0</v>
      </c>
      <c r="S1620" s="576">
        <f t="shared" si="385"/>
        <v>0</v>
      </c>
      <c r="T1620" s="577">
        <f t="shared" si="386"/>
        <v>0</v>
      </c>
      <c r="U1620" s="578">
        <f t="shared" si="387"/>
        <v>0</v>
      </c>
      <c r="V1620" s="579"/>
      <c r="W1620" s="566"/>
      <c r="X1620" s="586" t="str">
        <f t="shared" si="390"/>
        <v/>
      </c>
      <c r="Y1620" s="586" t="str">
        <f t="shared" si="384"/>
        <v/>
      </c>
      <c r="Z1620" s="586" t="str">
        <f t="shared" si="393"/>
        <v/>
      </c>
    </row>
    <row r="1621" spans="1:26" ht="23.25" hidden="1" thickBot="1" x14ac:dyDescent="0.25">
      <c r="A1621" s="567">
        <v>98277</v>
      </c>
      <c r="B1621" s="644">
        <v>98277</v>
      </c>
      <c r="C1621" s="645" t="s">
        <v>670</v>
      </c>
      <c r="D1621" s="422" t="s">
        <v>1467</v>
      </c>
      <c r="E1621" s="423"/>
      <c r="F1621" s="424"/>
      <c r="G1621" s="425"/>
      <c r="H1621" s="651"/>
      <c r="I1621" s="420">
        <v>15.87</v>
      </c>
      <c r="J1621" s="420">
        <f t="shared" si="392"/>
        <v>15.87</v>
      </c>
      <c r="K1621" s="421">
        <f t="shared" si="391"/>
        <v>18.86</v>
      </c>
      <c r="L1621" s="647" t="s">
        <v>79</v>
      </c>
      <c r="M1621" s="576"/>
      <c r="N1621" s="576">
        <f t="shared" si="394"/>
        <v>0</v>
      </c>
      <c r="O1621" s="577">
        <f t="shared" si="388"/>
        <v>0</v>
      </c>
      <c r="P1621" s="578">
        <f t="shared" si="389"/>
        <v>0</v>
      </c>
      <c r="Q1621" s="765"/>
      <c r="R1621" s="576">
        <f t="shared" si="385"/>
        <v>0</v>
      </c>
      <c r="S1621" s="576">
        <f t="shared" si="385"/>
        <v>0</v>
      </c>
      <c r="T1621" s="577">
        <f t="shared" si="386"/>
        <v>0</v>
      </c>
      <c r="U1621" s="578">
        <f t="shared" si="387"/>
        <v>0</v>
      </c>
      <c r="V1621" s="579"/>
      <c r="W1621" s="566"/>
      <c r="X1621" s="586" t="str">
        <f t="shared" si="390"/>
        <v/>
      </c>
      <c r="Y1621" s="586" t="str">
        <f t="shared" si="384"/>
        <v/>
      </c>
      <c r="Z1621" s="586" t="str">
        <f t="shared" si="393"/>
        <v/>
      </c>
    </row>
    <row r="1622" spans="1:26" ht="23.25" hidden="1" thickBot="1" x14ac:dyDescent="0.25">
      <c r="A1622" s="567">
        <v>98278</v>
      </c>
      <c r="B1622" s="644">
        <v>98278</v>
      </c>
      <c r="C1622" s="645" t="s">
        <v>670</v>
      </c>
      <c r="D1622" s="422" t="s">
        <v>1468</v>
      </c>
      <c r="E1622" s="423"/>
      <c r="F1622" s="424"/>
      <c r="G1622" s="425"/>
      <c r="H1622" s="651"/>
      <c r="I1622" s="420">
        <v>22.71</v>
      </c>
      <c r="J1622" s="420">
        <f t="shared" si="392"/>
        <v>22.71</v>
      </c>
      <c r="K1622" s="421">
        <f t="shared" si="391"/>
        <v>26.98</v>
      </c>
      <c r="L1622" s="647" t="s">
        <v>79</v>
      </c>
      <c r="M1622" s="576"/>
      <c r="N1622" s="576">
        <f t="shared" si="394"/>
        <v>0</v>
      </c>
      <c r="O1622" s="577">
        <f t="shared" si="388"/>
        <v>0</v>
      </c>
      <c r="P1622" s="578">
        <f t="shared" si="389"/>
        <v>0</v>
      </c>
      <c r="Q1622" s="765"/>
      <c r="R1622" s="576">
        <f t="shared" si="385"/>
        <v>0</v>
      </c>
      <c r="S1622" s="576">
        <f t="shared" si="385"/>
        <v>0</v>
      </c>
      <c r="T1622" s="577">
        <f t="shared" si="386"/>
        <v>0</v>
      </c>
      <c r="U1622" s="578">
        <f t="shared" si="387"/>
        <v>0</v>
      </c>
      <c r="V1622" s="579"/>
      <c r="W1622" s="566"/>
      <c r="X1622" s="586" t="str">
        <f t="shared" si="390"/>
        <v/>
      </c>
      <c r="Y1622" s="586" t="str">
        <f t="shared" si="384"/>
        <v/>
      </c>
      <c r="Z1622" s="586" t="str">
        <f t="shared" si="393"/>
        <v/>
      </c>
    </row>
    <row r="1623" spans="1:26" ht="23.25" hidden="1" thickBot="1" x14ac:dyDescent="0.25">
      <c r="A1623" s="567">
        <v>98279</v>
      </c>
      <c r="B1623" s="644">
        <v>98279</v>
      </c>
      <c r="C1623" s="645" t="s">
        <v>670</v>
      </c>
      <c r="D1623" s="422" t="s">
        <v>1469</v>
      </c>
      <c r="E1623" s="423"/>
      <c r="F1623" s="424"/>
      <c r="G1623" s="425"/>
      <c r="H1623" s="651"/>
      <c r="I1623" s="420">
        <v>35.619999999999997</v>
      </c>
      <c r="J1623" s="420">
        <f t="shared" si="392"/>
        <v>35.619999999999997</v>
      </c>
      <c r="K1623" s="421">
        <f t="shared" si="391"/>
        <v>42.32</v>
      </c>
      <c r="L1623" s="647" t="s">
        <v>79</v>
      </c>
      <c r="M1623" s="576"/>
      <c r="N1623" s="576">
        <f t="shared" si="394"/>
        <v>0</v>
      </c>
      <c r="O1623" s="577">
        <f t="shared" si="388"/>
        <v>0</v>
      </c>
      <c r="P1623" s="578">
        <f t="shared" si="389"/>
        <v>0</v>
      </c>
      <c r="Q1623" s="765"/>
      <c r="R1623" s="576">
        <f t="shared" si="385"/>
        <v>0</v>
      </c>
      <c r="S1623" s="576">
        <f t="shared" si="385"/>
        <v>0</v>
      </c>
      <c r="T1623" s="577">
        <f t="shared" si="386"/>
        <v>0</v>
      </c>
      <c r="U1623" s="578">
        <f t="shared" si="387"/>
        <v>0</v>
      </c>
      <c r="V1623" s="579"/>
      <c r="W1623" s="566"/>
      <c r="X1623" s="586" t="str">
        <f t="shared" si="390"/>
        <v/>
      </c>
      <c r="Y1623" s="586" t="str">
        <f t="shared" si="384"/>
        <v/>
      </c>
      <c r="Z1623" s="586" t="str">
        <f t="shared" si="393"/>
        <v/>
      </c>
    </row>
    <row r="1624" spans="1:26" ht="23.25" hidden="1" thickBot="1" x14ac:dyDescent="0.25">
      <c r="A1624" s="567">
        <v>98286</v>
      </c>
      <c r="B1624" s="644">
        <v>98286</v>
      </c>
      <c r="C1624" s="645" t="s">
        <v>670</v>
      </c>
      <c r="D1624" s="422" t="s">
        <v>1470</v>
      </c>
      <c r="E1624" s="423"/>
      <c r="F1624" s="424"/>
      <c r="G1624" s="425"/>
      <c r="H1624" s="651"/>
      <c r="I1624" s="420">
        <v>15.99</v>
      </c>
      <c r="J1624" s="420">
        <f t="shared" si="392"/>
        <v>15.99</v>
      </c>
      <c r="K1624" s="421">
        <f t="shared" si="391"/>
        <v>19</v>
      </c>
      <c r="L1624" s="647" t="s">
        <v>79</v>
      </c>
      <c r="M1624" s="576"/>
      <c r="N1624" s="576">
        <f t="shared" si="394"/>
        <v>0</v>
      </c>
      <c r="O1624" s="577">
        <f t="shared" si="388"/>
        <v>0</v>
      </c>
      <c r="P1624" s="578">
        <f t="shared" si="389"/>
        <v>0</v>
      </c>
      <c r="Q1624" s="765"/>
      <c r="R1624" s="576">
        <f t="shared" si="385"/>
        <v>0</v>
      </c>
      <c r="S1624" s="576">
        <f t="shared" si="385"/>
        <v>0</v>
      </c>
      <c r="T1624" s="577">
        <f t="shared" si="386"/>
        <v>0</v>
      </c>
      <c r="U1624" s="578">
        <f t="shared" si="387"/>
        <v>0</v>
      </c>
      <c r="V1624" s="579"/>
      <c r="W1624" s="566"/>
      <c r="X1624" s="586" t="str">
        <f t="shared" si="390"/>
        <v/>
      </c>
      <c r="Y1624" s="586" t="str">
        <f t="shared" si="384"/>
        <v/>
      </c>
      <c r="Z1624" s="586" t="str">
        <f t="shared" si="393"/>
        <v/>
      </c>
    </row>
    <row r="1625" spans="1:26" ht="23.25" hidden="1" thickBot="1" x14ac:dyDescent="0.25">
      <c r="A1625" s="567">
        <v>98293</v>
      </c>
      <c r="B1625" s="644">
        <v>98293</v>
      </c>
      <c r="C1625" s="645" t="s">
        <v>670</v>
      </c>
      <c r="D1625" s="422" t="s">
        <v>1471</v>
      </c>
      <c r="E1625" s="423"/>
      <c r="F1625" s="424"/>
      <c r="G1625" s="425"/>
      <c r="H1625" s="651"/>
      <c r="I1625" s="420">
        <v>9.52</v>
      </c>
      <c r="J1625" s="420">
        <f t="shared" si="392"/>
        <v>9.52</v>
      </c>
      <c r="K1625" s="421">
        <f t="shared" si="391"/>
        <v>11.31</v>
      </c>
      <c r="L1625" s="647" t="s">
        <v>79</v>
      </c>
      <c r="M1625" s="576"/>
      <c r="N1625" s="576">
        <f t="shared" si="394"/>
        <v>0</v>
      </c>
      <c r="O1625" s="577">
        <f t="shared" si="388"/>
        <v>0</v>
      </c>
      <c r="P1625" s="578">
        <f t="shared" si="389"/>
        <v>0</v>
      </c>
      <c r="Q1625" s="765"/>
      <c r="R1625" s="576">
        <f t="shared" si="385"/>
        <v>0</v>
      </c>
      <c r="S1625" s="576">
        <f t="shared" si="385"/>
        <v>0</v>
      </c>
      <c r="T1625" s="577">
        <f t="shared" si="386"/>
        <v>0</v>
      </c>
      <c r="U1625" s="578">
        <f t="shared" si="387"/>
        <v>0</v>
      </c>
      <c r="V1625" s="579"/>
      <c r="W1625" s="566"/>
      <c r="X1625" s="586" t="str">
        <f t="shared" si="390"/>
        <v/>
      </c>
      <c r="Y1625" s="586" t="str">
        <f t="shared" si="384"/>
        <v/>
      </c>
      <c r="Z1625" s="586" t="str">
        <f t="shared" si="393"/>
        <v/>
      </c>
    </row>
    <row r="1626" spans="1:26" ht="23.25" hidden="1" thickBot="1" x14ac:dyDescent="0.25">
      <c r="A1626" s="567">
        <v>98261</v>
      </c>
      <c r="B1626" s="644">
        <v>98261</v>
      </c>
      <c r="C1626" s="645" t="s">
        <v>670</v>
      </c>
      <c r="D1626" s="422" t="s">
        <v>1472</v>
      </c>
      <c r="E1626" s="423"/>
      <c r="F1626" s="424"/>
      <c r="G1626" s="425"/>
      <c r="H1626" s="651"/>
      <c r="I1626" s="420">
        <v>4</v>
      </c>
      <c r="J1626" s="420">
        <f t="shared" si="392"/>
        <v>4</v>
      </c>
      <c r="K1626" s="421">
        <f t="shared" si="391"/>
        <v>4.75</v>
      </c>
      <c r="L1626" s="647" t="s">
        <v>79</v>
      </c>
      <c r="M1626" s="576"/>
      <c r="N1626" s="576">
        <f t="shared" si="394"/>
        <v>0</v>
      </c>
      <c r="O1626" s="577">
        <f t="shared" si="388"/>
        <v>0</v>
      </c>
      <c r="P1626" s="578">
        <f t="shared" si="389"/>
        <v>0</v>
      </c>
      <c r="Q1626" s="765"/>
      <c r="R1626" s="576">
        <f t="shared" si="385"/>
        <v>0</v>
      </c>
      <c r="S1626" s="576">
        <f t="shared" si="385"/>
        <v>0</v>
      </c>
      <c r="T1626" s="577">
        <f t="shared" si="386"/>
        <v>0</v>
      </c>
      <c r="U1626" s="578">
        <f t="shared" si="387"/>
        <v>0</v>
      </c>
      <c r="V1626" s="579"/>
      <c r="W1626" s="566"/>
      <c r="X1626" s="586" t="str">
        <f t="shared" si="390"/>
        <v/>
      </c>
      <c r="Y1626" s="586" t="str">
        <f t="shared" si="384"/>
        <v/>
      </c>
      <c r="Z1626" s="586" t="str">
        <f t="shared" si="393"/>
        <v/>
      </c>
    </row>
    <row r="1627" spans="1:26" ht="23.25" hidden="1" thickBot="1" x14ac:dyDescent="0.25">
      <c r="A1627" s="567">
        <v>98262</v>
      </c>
      <c r="B1627" s="644">
        <v>98262</v>
      </c>
      <c r="C1627" s="645" t="s">
        <v>670</v>
      </c>
      <c r="D1627" s="422" t="s">
        <v>1473</v>
      </c>
      <c r="E1627" s="423"/>
      <c r="F1627" s="424"/>
      <c r="G1627" s="425"/>
      <c r="H1627" s="651"/>
      <c r="I1627" s="420">
        <v>4.8899999999999997</v>
      </c>
      <c r="J1627" s="420">
        <f t="shared" si="392"/>
        <v>4.8899999999999997</v>
      </c>
      <c r="K1627" s="421">
        <f t="shared" si="391"/>
        <v>5.81</v>
      </c>
      <c r="L1627" s="647" t="s">
        <v>79</v>
      </c>
      <c r="M1627" s="576"/>
      <c r="N1627" s="576">
        <f t="shared" si="394"/>
        <v>0</v>
      </c>
      <c r="O1627" s="577">
        <f t="shared" si="388"/>
        <v>0</v>
      </c>
      <c r="P1627" s="578">
        <f t="shared" si="389"/>
        <v>0</v>
      </c>
      <c r="Q1627" s="765"/>
      <c r="R1627" s="576">
        <f t="shared" si="385"/>
        <v>0</v>
      </c>
      <c r="S1627" s="576">
        <f t="shared" si="385"/>
        <v>0</v>
      </c>
      <c r="T1627" s="577">
        <f t="shared" si="386"/>
        <v>0</v>
      </c>
      <c r="U1627" s="578">
        <f t="shared" si="387"/>
        <v>0</v>
      </c>
      <c r="V1627" s="579"/>
      <c r="W1627" s="566"/>
      <c r="X1627" s="586" t="str">
        <f t="shared" si="390"/>
        <v/>
      </c>
      <c r="Y1627" s="586" t="str">
        <f t="shared" si="384"/>
        <v/>
      </c>
      <c r="Z1627" s="586" t="str">
        <f t="shared" si="393"/>
        <v/>
      </c>
    </row>
    <row r="1628" spans="1:26" ht="23.25" hidden="1" thickBot="1" x14ac:dyDescent="0.25">
      <c r="A1628" s="567">
        <v>98263</v>
      </c>
      <c r="B1628" s="644">
        <v>98263</v>
      </c>
      <c r="C1628" s="645" t="s">
        <v>670</v>
      </c>
      <c r="D1628" s="422" t="s">
        <v>1474</v>
      </c>
      <c r="E1628" s="423"/>
      <c r="F1628" s="424"/>
      <c r="G1628" s="425"/>
      <c r="H1628" s="651"/>
      <c r="I1628" s="420">
        <v>5.12</v>
      </c>
      <c r="J1628" s="420">
        <f t="shared" si="392"/>
        <v>5.12</v>
      </c>
      <c r="K1628" s="421">
        <f t="shared" si="391"/>
        <v>6.08</v>
      </c>
      <c r="L1628" s="647" t="s">
        <v>79</v>
      </c>
      <c r="M1628" s="576"/>
      <c r="N1628" s="576">
        <f t="shared" si="394"/>
        <v>0</v>
      </c>
      <c r="O1628" s="577">
        <f t="shared" si="388"/>
        <v>0</v>
      </c>
      <c r="P1628" s="578">
        <f t="shared" si="389"/>
        <v>0</v>
      </c>
      <c r="Q1628" s="765"/>
      <c r="R1628" s="576">
        <f t="shared" si="385"/>
        <v>0</v>
      </c>
      <c r="S1628" s="576">
        <f t="shared" si="385"/>
        <v>0</v>
      </c>
      <c r="T1628" s="577">
        <f t="shared" si="386"/>
        <v>0</v>
      </c>
      <c r="U1628" s="578">
        <f t="shared" si="387"/>
        <v>0</v>
      </c>
      <c r="V1628" s="579"/>
      <c r="W1628" s="566"/>
      <c r="X1628" s="586" t="str">
        <f t="shared" si="390"/>
        <v/>
      </c>
      <c r="Y1628" s="586" t="str">
        <f t="shared" si="384"/>
        <v/>
      </c>
      <c r="Z1628" s="586" t="str">
        <f t="shared" si="393"/>
        <v/>
      </c>
    </row>
    <row r="1629" spans="1:26" ht="23.25" hidden="1" thickBot="1" x14ac:dyDescent="0.25">
      <c r="A1629" s="567">
        <v>98264</v>
      </c>
      <c r="B1629" s="644">
        <v>98264</v>
      </c>
      <c r="C1629" s="645" t="s">
        <v>670</v>
      </c>
      <c r="D1629" s="422" t="s">
        <v>1475</v>
      </c>
      <c r="E1629" s="423"/>
      <c r="F1629" s="424"/>
      <c r="G1629" s="425"/>
      <c r="H1629" s="651"/>
      <c r="I1629" s="420">
        <v>6.09</v>
      </c>
      <c r="J1629" s="420">
        <f t="shared" si="392"/>
        <v>6.09</v>
      </c>
      <c r="K1629" s="421">
        <f t="shared" si="391"/>
        <v>7.24</v>
      </c>
      <c r="L1629" s="647" t="s">
        <v>79</v>
      </c>
      <c r="M1629" s="576"/>
      <c r="N1629" s="576">
        <f t="shared" si="394"/>
        <v>0</v>
      </c>
      <c r="O1629" s="577">
        <f t="shared" si="388"/>
        <v>0</v>
      </c>
      <c r="P1629" s="578">
        <f t="shared" si="389"/>
        <v>0</v>
      </c>
      <c r="Q1629" s="765"/>
      <c r="R1629" s="576">
        <f t="shared" si="385"/>
        <v>0</v>
      </c>
      <c r="S1629" s="576">
        <f t="shared" si="385"/>
        <v>0</v>
      </c>
      <c r="T1629" s="577">
        <f t="shared" si="386"/>
        <v>0</v>
      </c>
      <c r="U1629" s="578">
        <f t="shared" si="387"/>
        <v>0</v>
      </c>
      <c r="V1629" s="579"/>
      <c r="W1629" s="566"/>
      <c r="X1629" s="586" t="str">
        <f t="shared" si="390"/>
        <v/>
      </c>
      <c r="Y1629" s="586" t="str">
        <f t="shared" si="384"/>
        <v/>
      </c>
      <c r="Z1629" s="586" t="str">
        <f t="shared" si="393"/>
        <v/>
      </c>
    </row>
    <row r="1630" spans="1:26" ht="23.25" hidden="1" thickBot="1" x14ac:dyDescent="0.25">
      <c r="A1630" s="567">
        <v>98265</v>
      </c>
      <c r="B1630" s="644">
        <v>98265</v>
      </c>
      <c r="C1630" s="645" t="s">
        <v>670</v>
      </c>
      <c r="D1630" s="422" t="s">
        <v>1476</v>
      </c>
      <c r="E1630" s="423"/>
      <c r="F1630" s="424"/>
      <c r="G1630" s="425"/>
      <c r="H1630" s="651"/>
      <c r="I1630" s="420">
        <v>6.72</v>
      </c>
      <c r="J1630" s="420">
        <f t="shared" si="392"/>
        <v>6.72</v>
      </c>
      <c r="K1630" s="421">
        <f t="shared" si="391"/>
        <v>7.98</v>
      </c>
      <c r="L1630" s="647" t="s">
        <v>79</v>
      </c>
      <c r="M1630" s="576"/>
      <c r="N1630" s="576">
        <f t="shared" si="394"/>
        <v>0</v>
      </c>
      <c r="O1630" s="577">
        <f t="shared" si="388"/>
        <v>0</v>
      </c>
      <c r="P1630" s="578">
        <f t="shared" si="389"/>
        <v>0</v>
      </c>
      <c r="Q1630" s="765"/>
      <c r="R1630" s="576">
        <f t="shared" si="385"/>
        <v>0</v>
      </c>
      <c r="S1630" s="576">
        <f t="shared" si="385"/>
        <v>0</v>
      </c>
      <c r="T1630" s="577">
        <f t="shared" si="386"/>
        <v>0</v>
      </c>
      <c r="U1630" s="578">
        <f t="shared" si="387"/>
        <v>0</v>
      </c>
      <c r="V1630" s="579"/>
      <c r="W1630" s="566"/>
      <c r="X1630" s="586" t="str">
        <f t="shared" si="390"/>
        <v/>
      </c>
      <c r="Y1630" s="586" t="str">
        <f t="shared" si="384"/>
        <v/>
      </c>
      <c r="Z1630" s="586" t="str">
        <f t="shared" si="393"/>
        <v/>
      </c>
    </row>
    <row r="1631" spans="1:26" ht="23.25" hidden="1" thickBot="1" x14ac:dyDescent="0.25">
      <c r="A1631" s="567">
        <v>98266</v>
      </c>
      <c r="B1631" s="644">
        <v>98266</v>
      </c>
      <c r="C1631" s="645" t="s">
        <v>670</v>
      </c>
      <c r="D1631" s="422" t="s">
        <v>1477</v>
      </c>
      <c r="E1631" s="423"/>
      <c r="F1631" s="424"/>
      <c r="G1631" s="425"/>
      <c r="H1631" s="651"/>
      <c r="I1631" s="420">
        <v>7.6</v>
      </c>
      <c r="J1631" s="420">
        <f t="shared" si="392"/>
        <v>7.6</v>
      </c>
      <c r="K1631" s="421">
        <f t="shared" si="391"/>
        <v>9.0299999999999994</v>
      </c>
      <c r="L1631" s="647" t="s">
        <v>79</v>
      </c>
      <c r="M1631" s="576"/>
      <c r="N1631" s="576">
        <f t="shared" si="394"/>
        <v>0</v>
      </c>
      <c r="O1631" s="577">
        <f t="shared" si="388"/>
        <v>0</v>
      </c>
      <c r="P1631" s="578">
        <f t="shared" si="389"/>
        <v>0</v>
      </c>
      <c r="Q1631" s="765"/>
      <c r="R1631" s="576">
        <f t="shared" si="385"/>
        <v>0</v>
      </c>
      <c r="S1631" s="576">
        <f t="shared" si="385"/>
        <v>0</v>
      </c>
      <c r="T1631" s="577">
        <f t="shared" si="386"/>
        <v>0</v>
      </c>
      <c r="U1631" s="578">
        <f t="shared" si="387"/>
        <v>0</v>
      </c>
      <c r="V1631" s="579"/>
      <c r="W1631" s="566"/>
      <c r="X1631" s="586" t="str">
        <f t="shared" si="390"/>
        <v/>
      </c>
      <c r="Y1631" s="586" t="str">
        <f t="shared" si="384"/>
        <v/>
      </c>
      <c r="Z1631" s="586" t="str">
        <f t="shared" si="393"/>
        <v/>
      </c>
    </row>
    <row r="1632" spans="1:26" ht="23.25" hidden="1" thickBot="1" x14ac:dyDescent="0.25">
      <c r="A1632" s="567">
        <v>98273</v>
      </c>
      <c r="B1632" s="644">
        <v>98273</v>
      </c>
      <c r="C1632" s="645" t="s">
        <v>670</v>
      </c>
      <c r="D1632" s="422" t="s">
        <v>1478</v>
      </c>
      <c r="E1632" s="423"/>
      <c r="F1632" s="424"/>
      <c r="G1632" s="425"/>
      <c r="H1632" s="651"/>
      <c r="I1632" s="420">
        <v>2.95</v>
      </c>
      <c r="J1632" s="420">
        <f t="shared" si="392"/>
        <v>2.95</v>
      </c>
      <c r="K1632" s="421">
        <f t="shared" si="391"/>
        <v>3.5</v>
      </c>
      <c r="L1632" s="647" t="s">
        <v>79</v>
      </c>
      <c r="M1632" s="576"/>
      <c r="N1632" s="576">
        <f t="shared" si="394"/>
        <v>0</v>
      </c>
      <c r="O1632" s="577">
        <f t="shared" si="388"/>
        <v>0</v>
      </c>
      <c r="P1632" s="578">
        <f t="shared" si="389"/>
        <v>0</v>
      </c>
      <c r="Q1632" s="765"/>
      <c r="R1632" s="576">
        <f t="shared" si="385"/>
        <v>0</v>
      </c>
      <c r="S1632" s="576">
        <f t="shared" si="385"/>
        <v>0</v>
      </c>
      <c r="T1632" s="577">
        <f t="shared" si="386"/>
        <v>0</v>
      </c>
      <c r="U1632" s="578">
        <f t="shared" si="387"/>
        <v>0</v>
      </c>
      <c r="V1632" s="579"/>
      <c r="W1632" s="566"/>
      <c r="X1632" s="586" t="str">
        <f t="shared" si="390"/>
        <v/>
      </c>
      <c r="Y1632" s="586" t="str">
        <f t="shared" si="384"/>
        <v/>
      </c>
      <c r="Z1632" s="586" t="str">
        <f t="shared" si="393"/>
        <v/>
      </c>
    </row>
    <row r="1633" spans="1:26" ht="23.25" hidden="1" thickBot="1" x14ac:dyDescent="0.25">
      <c r="A1633" s="567">
        <v>98274</v>
      </c>
      <c r="B1633" s="644">
        <v>98274</v>
      </c>
      <c r="C1633" s="645" t="s">
        <v>670</v>
      </c>
      <c r="D1633" s="422" t="s">
        <v>1479</v>
      </c>
      <c r="E1633" s="423"/>
      <c r="F1633" s="424"/>
      <c r="G1633" s="425"/>
      <c r="H1633" s="651"/>
      <c r="I1633" s="420">
        <v>3.57</v>
      </c>
      <c r="J1633" s="420">
        <f t="shared" si="392"/>
        <v>3.57</v>
      </c>
      <c r="K1633" s="421">
        <f t="shared" si="391"/>
        <v>4.24</v>
      </c>
      <c r="L1633" s="647" t="s">
        <v>79</v>
      </c>
      <c r="M1633" s="576"/>
      <c r="N1633" s="576">
        <f t="shared" si="394"/>
        <v>0</v>
      </c>
      <c r="O1633" s="577">
        <f t="shared" si="388"/>
        <v>0</v>
      </c>
      <c r="P1633" s="578">
        <f t="shared" si="389"/>
        <v>0</v>
      </c>
      <c r="Q1633" s="765"/>
      <c r="R1633" s="576">
        <f t="shared" si="385"/>
        <v>0</v>
      </c>
      <c r="S1633" s="576">
        <f t="shared" si="385"/>
        <v>0</v>
      </c>
      <c r="T1633" s="577">
        <f t="shared" si="386"/>
        <v>0</v>
      </c>
      <c r="U1633" s="578">
        <f t="shared" si="387"/>
        <v>0</v>
      </c>
      <c r="V1633" s="579"/>
      <c r="W1633" s="566"/>
      <c r="X1633" s="586" t="str">
        <f t="shared" si="390"/>
        <v/>
      </c>
      <c r="Y1633" s="586" t="str">
        <f t="shared" si="384"/>
        <v/>
      </c>
      <c r="Z1633" s="586" t="str">
        <f t="shared" si="393"/>
        <v/>
      </c>
    </row>
    <row r="1634" spans="1:26" ht="23.25" hidden="1" thickBot="1" x14ac:dyDescent="0.25">
      <c r="A1634" s="567">
        <v>98275</v>
      </c>
      <c r="B1634" s="644">
        <v>98275</v>
      </c>
      <c r="C1634" s="645" t="s">
        <v>670</v>
      </c>
      <c r="D1634" s="422" t="s">
        <v>1480</v>
      </c>
      <c r="E1634" s="423"/>
      <c r="F1634" s="424"/>
      <c r="G1634" s="425"/>
      <c r="H1634" s="651"/>
      <c r="I1634" s="420">
        <v>4.45</v>
      </c>
      <c r="J1634" s="420">
        <f t="shared" si="392"/>
        <v>4.45</v>
      </c>
      <c r="K1634" s="421">
        <f t="shared" si="391"/>
        <v>5.29</v>
      </c>
      <c r="L1634" s="647" t="s">
        <v>79</v>
      </c>
      <c r="M1634" s="576"/>
      <c r="N1634" s="576">
        <f t="shared" si="394"/>
        <v>0</v>
      </c>
      <c r="O1634" s="577">
        <f t="shared" si="388"/>
        <v>0</v>
      </c>
      <c r="P1634" s="578">
        <f t="shared" si="389"/>
        <v>0</v>
      </c>
      <c r="Q1634" s="765"/>
      <c r="R1634" s="576">
        <f t="shared" si="385"/>
        <v>0</v>
      </c>
      <c r="S1634" s="576">
        <f t="shared" si="385"/>
        <v>0</v>
      </c>
      <c r="T1634" s="577">
        <f t="shared" si="386"/>
        <v>0</v>
      </c>
      <c r="U1634" s="578">
        <f t="shared" si="387"/>
        <v>0</v>
      </c>
      <c r="V1634" s="579"/>
      <c r="W1634" s="566"/>
      <c r="X1634" s="586" t="str">
        <f t="shared" si="390"/>
        <v/>
      </c>
      <c r="Y1634" s="586" t="str">
        <f t="shared" si="384"/>
        <v/>
      </c>
      <c r="Z1634" s="586" t="str">
        <f t="shared" si="393"/>
        <v/>
      </c>
    </row>
    <row r="1635" spans="1:26" ht="23.25" hidden="1" thickBot="1" x14ac:dyDescent="0.25">
      <c r="A1635" s="567">
        <v>98280</v>
      </c>
      <c r="B1635" s="644">
        <v>98280</v>
      </c>
      <c r="C1635" s="645" t="s">
        <v>670</v>
      </c>
      <c r="D1635" s="422" t="s">
        <v>1481</v>
      </c>
      <c r="E1635" s="423"/>
      <c r="F1635" s="424"/>
      <c r="G1635" s="425"/>
      <c r="H1635" s="651"/>
      <c r="I1635" s="420">
        <v>8.0500000000000007</v>
      </c>
      <c r="J1635" s="420">
        <f t="shared" si="392"/>
        <v>8.0500000000000007</v>
      </c>
      <c r="K1635" s="421">
        <f t="shared" si="391"/>
        <v>9.56</v>
      </c>
      <c r="L1635" s="647" t="s">
        <v>79</v>
      </c>
      <c r="M1635" s="576"/>
      <c r="N1635" s="576">
        <f t="shared" si="394"/>
        <v>0</v>
      </c>
      <c r="O1635" s="577">
        <f t="shared" si="388"/>
        <v>0</v>
      </c>
      <c r="P1635" s="578">
        <f t="shared" si="389"/>
        <v>0</v>
      </c>
      <c r="Q1635" s="765"/>
      <c r="R1635" s="576">
        <f t="shared" si="385"/>
        <v>0</v>
      </c>
      <c r="S1635" s="576">
        <f t="shared" si="385"/>
        <v>0</v>
      </c>
      <c r="T1635" s="577">
        <f t="shared" si="386"/>
        <v>0</v>
      </c>
      <c r="U1635" s="578">
        <f t="shared" si="387"/>
        <v>0</v>
      </c>
      <c r="V1635" s="579"/>
      <c r="W1635" s="566"/>
      <c r="X1635" s="586" t="str">
        <f t="shared" si="390"/>
        <v/>
      </c>
      <c r="Y1635" s="586" t="str">
        <f t="shared" ref="Y1635:Y1698" si="395">IF(W1635="X","x",IF(W1635="y","x",IF(W1635="xx","x",IF(U1635&gt;0,"x",""))))</f>
        <v/>
      </c>
      <c r="Z1635" s="586" t="str">
        <f t="shared" si="393"/>
        <v/>
      </c>
    </row>
    <row r="1636" spans="1:26" ht="23.25" hidden="1" thickBot="1" x14ac:dyDescent="0.25">
      <c r="A1636" s="567">
        <v>98281</v>
      </c>
      <c r="B1636" s="644">
        <v>98281</v>
      </c>
      <c r="C1636" s="645" t="s">
        <v>670</v>
      </c>
      <c r="D1636" s="422" t="s">
        <v>1482</v>
      </c>
      <c r="E1636" s="423"/>
      <c r="F1636" s="424"/>
      <c r="G1636" s="425"/>
      <c r="H1636" s="651"/>
      <c r="I1636" s="420">
        <v>8.94</v>
      </c>
      <c r="J1636" s="420">
        <f t="shared" si="392"/>
        <v>8.94</v>
      </c>
      <c r="K1636" s="421">
        <f t="shared" si="391"/>
        <v>10.62</v>
      </c>
      <c r="L1636" s="647" t="s">
        <v>79</v>
      </c>
      <c r="M1636" s="576"/>
      <c r="N1636" s="576">
        <f t="shared" si="394"/>
        <v>0</v>
      </c>
      <c r="O1636" s="577">
        <f t="shared" si="388"/>
        <v>0</v>
      </c>
      <c r="P1636" s="578">
        <f t="shared" si="389"/>
        <v>0</v>
      </c>
      <c r="Q1636" s="765"/>
      <c r="R1636" s="576">
        <f t="shared" si="385"/>
        <v>0</v>
      </c>
      <c r="S1636" s="576">
        <f t="shared" si="385"/>
        <v>0</v>
      </c>
      <c r="T1636" s="577">
        <f t="shared" si="386"/>
        <v>0</v>
      </c>
      <c r="U1636" s="578">
        <f t="shared" si="387"/>
        <v>0</v>
      </c>
      <c r="V1636" s="579"/>
      <c r="W1636" s="566"/>
      <c r="X1636" s="586" t="str">
        <f t="shared" si="390"/>
        <v/>
      </c>
      <c r="Y1636" s="586" t="str">
        <f t="shared" si="395"/>
        <v/>
      </c>
      <c r="Z1636" s="586" t="str">
        <f t="shared" si="393"/>
        <v/>
      </c>
    </row>
    <row r="1637" spans="1:26" ht="23.25" hidden="1" thickBot="1" x14ac:dyDescent="0.25">
      <c r="A1637" s="567">
        <v>98282</v>
      </c>
      <c r="B1637" s="644">
        <v>98282</v>
      </c>
      <c r="C1637" s="645" t="s">
        <v>670</v>
      </c>
      <c r="D1637" s="422" t="s">
        <v>1483</v>
      </c>
      <c r="E1637" s="423"/>
      <c r="F1637" s="424"/>
      <c r="G1637" s="425"/>
      <c r="H1637" s="651"/>
      <c r="I1637" s="420">
        <v>9.16</v>
      </c>
      <c r="J1637" s="420">
        <f t="shared" si="392"/>
        <v>9.16</v>
      </c>
      <c r="K1637" s="421">
        <f t="shared" si="391"/>
        <v>10.88</v>
      </c>
      <c r="L1637" s="647" t="s">
        <v>79</v>
      </c>
      <c r="M1637" s="576"/>
      <c r="N1637" s="576">
        <f t="shared" si="394"/>
        <v>0</v>
      </c>
      <c r="O1637" s="577">
        <f t="shared" si="388"/>
        <v>0</v>
      </c>
      <c r="P1637" s="578">
        <f t="shared" si="389"/>
        <v>0</v>
      </c>
      <c r="Q1637" s="765"/>
      <c r="R1637" s="576">
        <f t="shared" si="385"/>
        <v>0</v>
      </c>
      <c r="S1637" s="576">
        <f t="shared" si="385"/>
        <v>0</v>
      </c>
      <c r="T1637" s="577">
        <f t="shared" si="386"/>
        <v>0</v>
      </c>
      <c r="U1637" s="578">
        <f t="shared" si="387"/>
        <v>0</v>
      </c>
      <c r="V1637" s="579"/>
      <c r="W1637" s="566"/>
      <c r="X1637" s="586" t="str">
        <f t="shared" si="390"/>
        <v/>
      </c>
      <c r="Y1637" s="586" t="str">
        <f t="shared" si="395"/>
        <v/>
      </c>
      <c r="Z1637" s="586" t="str">
        <f t="shared" si="393"/>
        <v/>
      </c>
    </row>
    <row r="1638" spans="1:26" ht="23.25" hidden="1" thickBot="1" x14ac:dyDescent="0.25">
      <c r="A1638" s="567">
        <v>98283</v>
      </c>
      <c r="B1638" s="644">
        <v>98283</v>
      </c>
      <c r="C1638" s="645" t="s">
        <v>670</v>
      </c>
      <c r="D1638" s="422" t="s">
        <v>1484</v>
      </c>
      <c r="E1638" s="423"/>
      <c r="F1638" s="424"/>
      <c r="G1638" s="425"/>
      <c r="H1638" s="651"/>
      <c r="I1638" s="420">
        <v>10.14</v>
      </c>
      <c r="J1638" s="420">
        <f t="shared" si="392"/>
        <v>10.14</v>
      </c>
      <c r="K1638" s="421">
        <f t="shared" si="391"/>
        <v>12.05</v>
      </c>
      <c r="L1638" s="647" t="s">
        <v>79</v>
      </c>
      <c r="M1638" s="576"/>
      <c r="N1638" s="576">
        <f t="shared" si="394"/>
        <v>0</v>
      </c>
      <c r="O1638" s="577">
        <f t="shared" si="388"/>
        <v>0</v>
      </c>
      <c r="P1638" s="578">
        <f t="shared" si="389"/>
        <v>0</v>
      </c>
      <c r="Q1638" s="765"/>
      <c r="R1638" s="576">
        <f t="shared" si="385"/>
        <v>0</v>
      </c>
      <c r="S1638" s="576">
        <f t="shared" si="385"/>
        <v>0</v>
      </c>
      <c r="T1638" s="577">
        <f t="shared" si="386"/>
        <v>0</v>
      </c>
      <c r="U1638" s="578">
        <f t="shared" si="387"/>
        <v>0</v>
      </c>
      <c r="V1638" s="579"/>
      <c r="W1638" s="566"/>
      <c r="X1638" s="586" t="str">
        <f t="shared" si="390"/>
        <v/>
      </c>
      <c r="Y1638" s="586" t="str">
        <f t="shared" si="395"/>
        <v/>
      </c>
      <c r="Z1638" s="586" t="str">
        <f t="shared" si="393"/>
        <v/>
      </c>
    </row>
    <row r="1639" spans="1:26" ht="23.25" hidden="1" thickBot="1" x14ac:dyDescent="0.25">
      <c r="A1639" s="567">
        <v>98284</v>
      </c>
      <c r="B1639" s="644">
        <v>98284</v>
      </c>
      <c r="C1639" s="645" t="s">
        <v>670</v>
      </c>
      <c r="D1639" s="422" t="s">
        <v>1485</v>
      </c>
      <c r="E1639" s="423"/>
      <c r="F1639" s="424"/>
      <c r="G1639" s="425"/>
      <c r="H1639" s="651"/>
      <c r="I1639" s="420">
        <v>10.76</v>
      </c>
      <c r="J1639" s="420">
        <f t="shared" si="392"/>
        <v>10.76</v>
      </c>
      <c r="K1639" s="421">
        <f t="shared" si="391"/>
        <v>12.78</v>
      </c>
      <c r="L1639" s="647" t="s">
        <v>79</v>
      </c>
      <c r="M1639" s="576"/>
      <c r="N1639" s="576">
        <f t="shared" si="394"/>
        <v>0</v>
      </c>
      <c r="O1639" s="577">
        <f t="shared" si="388"/>
        <v>0</v>
      </c>
      <c r="P1639" s="578">
        <f t="shared" si="389"/>
        <v>0</v>
      </c>
      <c r="Q1639" s="765"/>
      <c r="R1639" s="576">
        <f t="shared" si="385"/>
        <v>0</v>
      </c>
      <c r="S1639" s="576">
        <f t="shared" si="385"/>
        <v>0</v>
      </c>
      <c r="T1639" s="577">
        <f t="shared" si="386"/>
        <v>0</v>
      </c>
      <c r="U1639" s="578">
        <f t="shared" si="387"/>
        <v>0</v>
      </c>
      <c r="V1639" s="579"/>
      <c r="W1639" s="566"/>
      <c r="X1639" s="586" t="str">
        <f t="shared" si="390"/>
        <v/>
      </c>
      <c r="Y1639" s="586" t="str">
        <f t="shared" si="395"/>
        <v/>
      </c>
      <c r="Z1639" s="586" t="str">
        <f t="shared" si="393"/>
        <v/>
      </c>
    </row>
    <row r="1640" spans="1:26" ht="23.25" hidden="1" thickBot="1" x14ac:dyDescent="0.25">
      <c r="A1640" s="567">
        <v>98285</v>
      </c>
      <c r="B1640" s="644">
        <v>98285</v>
      </c>
      <c r="C1640" s="645" t="s">
        <v>670</v>
      </c>
      <c r="D1640" s="422" t="s">
        <v>1486</v>
      </c>
      <c r="E1640" s="423"/>
      <c r="F1640" s="424"/>
      <c r="G1640" s="425"/>
      <c r="H1640" s="651"/>
      <c r="I1640" s="420">
        <v>11.65</v>
      </c>
      <c r="J1640" s="420">
        <f t="shared" si="392"/>
        <v>11.65</v>
      </c>
      <c r="K1640" s="421">
        <f t="shared" si="391"/>
        <v>13.84</v>
      </c>
      <c r="L1640" s="647" t="s">
        <v>79</v>
      </c>
      <c r="M1640" s="576"/>
      <c r="N1640" s="576">
        <f t="shared" si="394"/>
        <v>0</v>
      </c>
      <c r="O1640" s="577">
        <f t="shared" si="388"/>
        <v>0</v>
      </c>
      <c r="P1640" s="578">
        <f t="shared" si="389"/>
        <v>0</v>
      </c>
      <c r="Q1640" s="765"/>
      <c r="R1640" s="576">
        <f t="shared" si="385"/>
        <v>0</v>
      </c>
      <c r="S1640" s="576">
        <f t="shared" si="385"/>
        <v>0</v>
      </c>
      <c r="T1640" s="577">
        <f t="shared" si="386"/>
        <v>0</v>
      </c>
      <c r="U1640" s="578">
        <f t="shared" si="387"/>
        <v>0</v>
      </c>
      <c r="V1640" s="579"/>
      <c r="W1640" s="566"/>
      <c r="X1640" s="586" t="str">
        <f t="shared" si="390"/>
        <v/>
      </c>
      <c r="Y1640" s="586" t="str">
        <f t="shared" si="395"/>
        <v/>
      </c>
      <c r="Z1640" s="586" t="str">
        <f t="shared" si="393"/>
        <v/>
      </c>
    </row>
    <row r="1641" spans="1:26" ht="23.25" hidden="1" thickBot="1" x14ac:dyDescent="0.25">
      <c r="A1641" s="567">
        <v>98287</v>
      </c>
      <c r="B1641" s="644">
        <v>98287</v>
      </c>
      <c r="C1641" s="645" t="s">
        <v>670</v>
      </c>
      <c r="D1641" s="422" t="s">
        <v>1487</v>
      </c>
      <c r="E1641" s="423"/>
      <c r="F1641" s="424"/>
      <c r="G1641" s="425"/>
      <c r="H1641" s="651"/>
      <c r="I1641" s="420">
        <v>1.57</v>
      </c>
      <c r="J1641" s="420">
        <f t="shared" si="392"/>
        <v>1.57</v>
      </c>
      <c r="K1641" s="421">
        <f t="shared" si="391"/>
        <v>1.87</v>
      </c>
      <c r="L1641" s="647" t="s">
        <v>79</v>
      </c>
      <c r="M1641" s="576"/>
      <c r="N1641" s="576">
        <f t="shared" si="394"/>
        <v>0</v>
      </c>
      <c r="O1641" s="577">
        <f t="shared" si="388"/>
        <v>0</v>
      </c>
      <c r="P1641" s="578">
        <f t="shared" si="389"/>
        <v>0</v>
      </c>
      <c r="Q1641" s="765"/>
      <c r="R1641" s="576">
        <f t="shared" si="385"/>
        <v>0</v>
      </c>
      <c r="S1641" s="576">
        <f t="shared" si="385"/>
        <v>0</v>
      </c>
      <c r="T1641" s="577">
        <f t="shared" si="386"/>
        <v>0</v>
      </c>
      <c r="U1641" s="578">
        <f t="shared" si="387"/>
        <v>0</v>
      </c>
      <c r="V1641" s="579"/>
      <c r="W1641" s="566"/>
      <c r="X1641" s="586" t="str">
        <f t="shared" si="390"/>
        <v/>
      </c>
      <c r="Y1641" s="586" t="str">
        <f t="shared" si="395"/>
        <v/>
      </c>
      <c r="Z1641" s="586" t="str">
        <f t="shared" si="393"/>
        <v/>
      </c>
    </row>
    <row r="1642" spans="1:26" ht="23.25" hidden="1" thickBot="1" x14ac:dyDescent="0.25">
      <c r="A1642" s="567">
        <v>98288</v>
      </c>
      <c r="B1642" s="644">
        <v>98288</v>
      </c>
      <c r="C1642" s="645" t="s">
        <v>670</v>
      </c>
      <c r="D1642" s="422" t="s">
        <v>1488</v>
      </c>
      <c r="E1642" s="423"/>
      <c r="F1642" s="424"/>
      <c r="G1642" s="425"/>
      <c r="H1642" s="651"/>
      <c r="I1642" s="420">
        <v>2.4700000000000002</v>
      </c>
      <c r="J1642" s="420">
        <f t="shared" si="392"/>
        <v>2.4700000000000002</v>
      </c>
      <c r="K1642" s="421">
        <f t="shared" si="391"/>
        <v>2.93</v>
      </c>
      <c r="L1642" s="647" t="s">
        <v>79</v>
      </c>
      <c r="M1642" s="576"/>
      <c r="N1642" s="576">
        <f t="shared" si="394"/>
        <v>0</v>
      </c>
      <c r="O1642" s="577">
        <f t="shared" si="388"/>
        <v>0</v>
      </c>
      <c r="P1642" s="578">
        <f t="shared" si="389"/>
        <v>0</v>
      </c>
      <c r="Q1642" s="765"/>
      <c r="R1642" s="576">
        <f t="shared" ref="R1642:S1711" si="396">M1642</f>
        <v>0</v>
      </c>
      <c r="S1642" s="576">
        <f t="shared" si="396"/>
        <v>0</v>
      </c>
      <c r="T1642" s="577">
        <f t="shared" si="386"/>
        <v>0</v>
      </c>
      <c r="U1642" s="578">
        <f t="shared" si="387"/>
        <v>0</v>
      </c>
      <c r="V1642" s="579"/>
      <c r="W1642" s="566"/>
      <c r="X1642" s="586" t="str">
        <f t="shared" si="390"/>
        <v/>
      </c>
      <c r="Y1642" s="586" t="str">
        <f t="shared" si="395"/>
        <v/>
      </c>
      <c r="Z1642" s="586" t="str">
        <f t="shared" si="393"/>
        <v/>
      </c>
    </row>
    <row r="1643" spans="1:26" ht="23.25" hidden="1" thickBot="1" x14ac:dyDescent="0.25">
      <c r="A1643" s="567">
        <v>98289</v>
      </c>
      <c r="B1643" s="644">
        <v>98289</v>
      </c>
      <c r="C1643" s="645" t="s">
        <v>670</v>
      </c>
      <c r="D1643" s="422" t="s">
        <v>1489</v>
      </c>
      <c r="E1643" s="423"/>
      <c r="F1643" s="424"/>
      <c r="G1643" s="425"/>
      <c r="H1643" s="651"/>
      <c r="I1643" s="420">
        <v>2.69</v>
      </c>
      <c r="J1643" s="420">
        <f t="shared" si="392"/>
        <v>2.69</v>
      </c>
      <c r="K1643" s="421">
        <f t="shared" si="391"/>
        <v>3.2</v>
      </c>
      <c r="L1643" s="647" t="s">
        <v>79</v>
      </c>
      <c r="M1643" s="576"/>
      <c r="N1643" s="576">
        <f t="shared" si="394"/>
        <v>0</v>
      </c>
      <c r="O1643" s="577">
        <f t="shared" si="388"/>
        <v>0</v>
      </c>
      <c r="P1643" s="578">
        <f t="shared" si="389"/>
        <v>0</v>
      </c>
      <c r="Q1643" s="765"/>
      <c r="R1643" s="576">
        <f t="shared" si="396"/>
        <v>0</v>
      </c>
      <c r="S1643" s="576">
        <f t="shared" si="396"/>
        <v>0</v>
      </c>
      <c r="T1643" s="577">
        <f t="shared" si="386"/>
        <v>0</v>
      </c>
      <c r="U1643" s="578">
        <f t="shared" si="387"/>
        <v>0</v>
      </c>
      <c r="V1643" s="579"/>
      <c r="W1643" s="566"/>
      <c r="X1643" s="586" t="str">
        <f t="shared" si="390"/>
        <v/>
      </c>
      <c r="Y1643" s="586" t="str">
        <f t="shared" si="395"/>
        <v/>
      </c>
      <c r="Z1643" s="586" t="str">
        <f t="shared" si="393"/>
        <v/>
      </c>
    </row>
    <row r="1644" spans="1:26" ht="23.25" hidden="1" thickBot="1" x14ac:dyDescent="0.25">
      <c r="A1644" s="567">
        <v>98290</v>
      </c>
      <c r="B1644" s="644">
        <v>98290</v>
      </c>
      <c r="C1644" s="645" t="s">
        <v>670</v>
      </c>
      <c r="D1644" s="422" t="s">
        <v>1490</v>
      </c>
      <c r="E1644" s="423"/>
      <c r="F1644" s="424"/>
      <c r="G1644" s="425"/>
      <c r="H1644" s="651"/>
      <c r="I1644" s="420">
        <v>3.66</v>
      </c>
      <c r="J1644" s="420">
        <f t="shared" si="392"/>
        <v>3.66</v>
      </c>
      <c r="K1644" s="421">
        <f t="shared" si="391"/>
        <v>4.3499999999999996</v>
      </c>
      <c r="L1644" s="647" t="s">
        <v>79</v>
      </c>
      <c r="M1644" s="576"/>
      <c r="N1644" s="576">
        <f t="shared" si="394"/>
        <v>0</v>
      </c>
      <c r="O1644" s="577">
        <f t="shared" si="388"/>
        <v>0</v>
      </c>
      <c r="P1644" s="578">
        <f t="shared" si="389"/>
        <v>0</v>
      </c>
      <c r="Q1644" s="765"/>
      <c r="R1644" s="576">
        <f t="shared" si="396"/>
        <v>0</v>
      </c>
      <c r="S1644" s="576">
        <f t="shared" si="396"/>
        <v>0</v>
      </c>
      <c r="T1644" s="577">
        <f t="shared" si="386"/>
        <v>0</v>
      </c>
      <c r="U1644" s="578">
        <f t="shared" si="387"/>
        <v>0</v>
      </c>
      <c r="V1644" s="579"/>
      <c r="W1644" s="566"/>
      <c r="X1644" s="586" t="str">
        <f t="shared" si="390"/>
        <v/>
      </c>
      <c r="Y1644" s="586" t="str">
        <f t="shared" si="395"/>
        <v/>
      </c>
      <c r="Z1644" s="586" t="str">
        <f t="shared" si="393"/>
        <v/>
      </c>
    </row>
    <row r="1645" spans="1:26" ht="23.25" hidden="1" thickBot="1" x14ac:dyDescent="0.25">
      <c r="A1645" s="567">
        <v>98291</v>
      </c>
      <c r="B1645" s="644">
        <v>98291</v>
      </c>
      <c r="C1645" s="645" t="s">
        <v>670</v>
      </c>
      <c r="D1645" s="422" t="s">
        <v>1491</v>
      </c>
      <c r="E1645" s="423"/>
      <c r="F1645" s="424"/>
      <c r="G1645" s="425"/>
      <c r="H1645" s="651"/>
      <c r="I1645" s="420">
        <v>4.29</v>
      </c>
      <c r="J1645" s="420">
        <f t="shared" si="392"/>
        <v>4.29</v>
      </c>
      <c r="K1645" s="421">
        <f t="shared" si="391"/>
        <v>5.0999999999999996</v>
      </c>
      <c r="L1645" s="647" t="s">
        <v>79</v>
      </c>
      <c r="M1645" s="576"/>
      <c r="N1645" s="576">
        <f t="shared" si="394"/>
        <v>0</v>
      </c>
      <c r="O1645" s="577">
        <f t="shared" si="388"/>
        <v>0</v>
      </c>
      <c r="P1645" s="578">
        <f t="shared" si="389"/>
        <v>0</v>
      </c>
      <c r="Q1645" s="765"/>
      <c r="R1645" s="576">
        <f t="shared" si="396"/>
        <v>0</v>
      </c>
      <c r="S1645" s="576">
        <f t="shared" si="396"/>
        <v>0</v>
      </c>
      <c r="T1645" s="577">
        <f t="shared" si="386"/>
        <v>0</v>
      </c>
      <c r="U1645" s="578">
        <f t="shared" si="387"/>
        <v>0</v>
      </c>
      <c r="V1645" s="579"/>
      <c r="W1645" s="566"/>
      <c r="X1645" s="586" t="str">
        <f t="shared" si="390"/>
        <v/>
      </c>
      <c r="Y1645" s="586" t="str">
        <f t="shared" si="395"/>
        <v/>
      </c>
      <c r="Z1645" s="586" t="str">
        <f t="shared" si="393"/>
        <v/>
      </c>
    </row>
    <row r="1646" spans="1:26" ht="23.25" hidden="1" thickBot="1" x14ac:dyDescent="0.25">
      <c r="A1646" s="567">
        <v>98292</v>
      </c>
      <c r="B1646" s="644">
        <v>98292</v>
      </c>
      <c r="C1646" s="645" t="s">
        <v>670</v>
      </c>
      <c r="D1646" s="422" t="s">
        <v>1492</v>
      </c>
      <c r="E1646" s="423"/>
      <c r="F1646" s="424"/>
      <c r="G1646" s="425"/>
      <c r="H1646" s="651"/>
      <c r="I1646" s="420">
        <v>5.17</v>
      </c>
      <c r="J1646" s="420">
        <f t="shared" si="392"/>
        <v>5.17</v>
      </c>
      <c r="K1646" s="421">
        <f t="shared" si="391"/>
        <v>6.14</v>
      </c>
      <c r="L1646" s="647" t="s">
        <v>79</v>
      </c>
      <c r="M1646" s="576"/>
      <c r="N1646" s="576">
        <f t="shared" si="394"/>
        <v>0</v>
      </c>
      <c r="O1646" s="577">
        <f t="shared" si="388"/>
        <v>0</v>
      </c>
      <c r="P1646" s="578">
        <f t="shared" si="389"/>
        <v>0</v>
      </c>
      <c r="Q1646" s="765"/>
      <c r="R1646" s="576">
        <f t="shared" si="396"/>
        <v>0</v>
      </c>
      <c r="S1646" s="576">
        <f t="shared" si="396"/>
        <v>0</v>
      </c>
      <c r="T1646" s="577">
        <f t="shared" si="386"/>
        <v>0</v>
      </c>
      <c r="U1646" s="578">
        <f t="shared" si="387"/>
        <v>0</v>
      </c>
      <c r="V1646" s="579"/>
      <c r="W1646" s="566"/>
      <c r="X1646" s="586" t="str">
        <f t="shared" si="390"/>
        <v/>
      </c>
      <c r="Y1646" s="586" t="str">
        <f t="shared" si="395"/>
        <v/>
      </c>
      <c r="Z1646" s="586" t="str">
        <f t="shared" si="393"/>
        <v/>
      </c>
    </row>
    <row r="1647" spans="1:26" ht="12" hidden="1" thickBot="1" x14ac:dyDescent="0.25">
      <c r="A1647" s="567">
        <v>98397</v>
      </c>
      <c r="B1647" s="644">
        <v>98397</v>
      </c>
      <c r="C1647" s="645" t="s">
        <v>670</v>
      </c>
      <c r="D1647" s="422" t="s">
        <v>1493</v>
      </c>
      <c r="E1647" s="423"/>
      <c r="F1647" s="424"/>
      <c r="G1647" s="425"/>
      <c r="H1647" s="651"/>
      <c r="I1647" s="420">
        <v>12.48</v>
      </c>
      <c r="J1647" s="420">
        <f t="shared" si="392"/>
        <v>12.48</v>
      </c>
      <c r="K1647" s="421">
        <f t="shared" si="391"/>
        <v>14.83</v>
      </c>
      <c r="L1647" s="647" t="s">
        <v>2096</v>
      </c>
      <c r="M1647" s="576"/>
      <c r="N1647" s="576">
        <f t="shared" si="394"/>
        <v>0</v>
      </c>
      <c r="O1647" s="577">
        <f t="shared" si="388"/>
        <v>0</v>
      </c>
      <c r="P1647" s="578">
        <f t="shared" si="389"/>
        <v>0</v>
      </c>
      <c r="Q1647" s="765"/>
      <c r="R1647" s="576">
        <f t="shared" si="396"/>
        <v>0</v>
      </c>
      <c r="S1647" s="576">
        <f t="shared" si="396"/>
        <v>0</v>
      </c>
      <c r="T1647" s="577">
        <f t="shared" si="386"/>
        <v>0</v>
      </c>
      <c r="U1647" s="578">
        <f t="shared" si="387"/>
        <v>0</v>
      </c>
      <c r="V1647" s="579"/>
      <c r="W1647" s="566"/>
      <c r="X1647" s="586" t="str">
        <f t="shared" si="390"/>
        <v/>
      </c>
      <c r="Y1647" s="586" t="str">
        <f t="shared" si="395"/>
        <v/>
      </c>
      <c r="Z1647" s="586" t="str">
        <f t="shared" si="393"/>
        <v/>
      </c>
    </row>
    <row r="1648" spans="1:26" ht="23.25" hidden="1" thickBot="1" x14ac:dyDescent="0.25">
      <c r="A1648" s="567">
        <v>97327</v>
      </c>
      <c r="B1648" s="644">
        <v>97327</v>
      </c>
      <c r="C1648" s="645" t="s">
        <v>670</v>
      </c>
      <c r="D1648" s="422" t="s">
        <v>1494</v>
      </c>
      <c r="E1648" s="423"/>
      <c r="F1648" s="424"/>
      <c r="G1648" s="425"/>
      <c r="H1648" s="651"/>
      <c r="I1648" s="420">
        <v>30.85</v>
      </c>
      <c r="J1648" s="420">
        <f t="shared" si="392"/>
        <v>30.85</v>
      </c>
      <c r="K1648" s="421">
        <f t="shared" si="391"/>
        <v>36.65</v>
      </c>
      <c r="L1648" s="647" t="s">
        <v>79</v>
      </c>
      <c r="M1648" s="576"/>
      <c r="N1648" s="576">
        <f t="shared" si="394"/>
        <v>0</v>
      </c>
      <c r="O1648" s="577">
        <f t="shared" si="388"/>
        <v>0</v>
      </c>
      <c r="P1648" s="578">
        <f t="shared" si="389"/>
        <v>0</v>
      </c>
      <c r="Q1648" s="765"/>
      <c r="R1648" s="576">
        <f t="shared" si="396"/>
        <v>0</v>
      </c>
      <c r="S1648" s="576">
        <f t="shared" si="396"/>
        <v>0</v>
      </c>
      <c r="T1648" s="577">
        <f t="shared" si="386"/>
        <v>0</v>
      </c>
      <c r="U1648" s="578">
        <f t="shared" si="387"/>
        <v>0</v>
      </c>
      <c r="V1648" s="579"/>
      <c r="W1648" s="566"/>
      <c r="X1648" s="586" t="str">
        <f t="shared" si="390"/>
        <v/>
      </c>
      <c r="Y1648" s="586" t="str">
        <f t="shared" si="395"/>
        <v/>
      </c>
      <c r="Z1648" s="586" t="str">
        <f t="shared" si="393"/>
        <v/>
      </c>
    </row>
    <row r="1649" spans="1:26" ht="23.25" hidden="1" thickBot="1" x14ac:dyDescent="0.25">
      <c r="A1649" s="567">
        <v>97328</v>
      </c>
      <c r="B1649" s="644">
        <v>97328</v>
      </c>
      <c r="C1649" s="645" t="s">
        <v>670</v>
      </c>
      <c r="D1649" s="422" t="s">
        <v>1495</v>
      </c>
      <c r="E1649" s="423"/>
      <c r="F1649" s="424"/>
      <c r="G1649" s="425"/>
      <c r="H1649" s="651"/>
      <c r="I1649" s="420">
        <v>51.57</v>
      </c>
      <c r="J1649" s="420">
        <f t="shared" si="392"/>
        <v>51.57</v>
      </c>
      <c r="K1649" s="421">
        <f t="shared" si="391"/>
        <v>61.27</v>
      </c>
      <c r="L1649" s="647" t="s">
        <v>79</v>
      </c>
      <c r="M1649" s="576"/>
      <c r="N1649" s="576">
        <f t="shared" si="394"/>
        <v>0</v>
      </c>
      <c r="O1649" s="577">
        <f t="shared" si="388"/>
        <v>0</v>
      </c>
      <c r="P1649" s="578">
        <f t="shared" si="389"/>
        <v>0</v>
      </c>
      <c r="Q1649" s="765"/>
      <c r="R1649" s="576">
        <f t="shared" si="396"/>
        <v>0</v>
      </c>
      <c r="S1649" s="576">
        <f t="shared" si="396"/>
        <v>0</v>
      </c>
      <c r="T1649" s="577">
        <f t="shared" si="386"/>
        <v>0</v>
      </c>
      <c r="U1649" s="578">
        <f t="shared" si="387"/>
        <v>0</v>
      </c>
      <c r="V1649" s="579"/>
      <c r="W1649" s="566"/>
      <c r="X1649" s="586" t="str">
        <f t="shared" si="390"/>
        <v/>
      </c>
      <c r="Y1649" s="586" t="str">
        <f t="shared" si="395"/>
        <v/>
      </c>
      <c r="Z1649" s="586" t="str">
        <f t="shared" si="393"/>
        <v/>
      </c>
    </row>
    <row r="1650" spans="1:26" ht="23.25" hidden="1" thickBot="1" x14ac:dyDescent="0.25">
      <c r="A1650" s="567">
        <v>97329</v>
      </c>
      <c r="B1650" s="644">
        <v>97329</v>
      </c>
      <c r="C1650" s="645" t="s">
        <v>670</v>
      </c>
      <c r="D1650" s="422" t="s">
        <v>1496</v>
      </c>
      <c r="E1650" s="423"/>
      <c r="F1650" s="424"/>
      <c r="G1650" s="425"/>
      <c r="H1650" s="651"/>
      <c r="I1650" s="420">
        <v>65.66</v>
      </c>
      <c r="J1650" s="420">
        <f t="shared" si="392"/>
        <v>65.66</v>
      </c>
      <c r="K1650" s="421">
        <f t="shared" si="391"/>
        <v>78.010000000000005</v>
      </c>
      <c r="L1650" s="647" t="s">
        <v>79</v>
      </c>
      <c r="M1650" s="576"/>
      <c r="N1650" s="576">
        <f t="shared" si="394"/>
        <v>0</v>
      </c>
      <c r="O1650" s="577">
        <f t="shared" si="388"/>
        <v>0</v>
      </c>
      <c r="P1650" s="578">
        <f t="shared" si="389"/>
        <v>0</v>
      </c>
      <c r="Q1650" s="765"/>
      <c r="R1650" s="576">
        <f t="shared" si="396"/>
        <v>0</v>
      </c>
      <c r="S1650" s="576">
        <f t="shared" si="396"/>
        <v>0</v>
      </c>
      <c r="T1650" s="577">
        <f t="shared" si="386"/>
        <v>0</v>
      </c>
      <c r="U1650" s="578">
        <f t="shared" si="387"/>
        <v>0</v>
      </c>
      <c r="V1650" s="579"/>
      <c r="W1650" s="566"/>
      <c r="X1650" s="586" t="str">
        <f t="shared" si="390"/>
        <v/>
      </c>
      <c r="Y1650" s="586" t="str">
        <f t="shared" si="395"/>
        <v/>
      </c>
      <c r="Z1650" s="586" t="str">
        <f t="shared" si="393"/>
        <v/>
      </c>
    </row>
    <row r="1651" spans="1:26" ht="23.25" hidden="1" thickBot="1" x14ac:dyDescent="0.25">
      <c r="A1651" s="567">
        <v>97330</v>
      </c>
      <c r="B1651" s="644">
        <v>97330</v>
      </c>
      <c r="C1651" s="645" t="s">
        <v>670</v>
      </c>
      <c r="D1651" s="422" t="s">
        <v>1497</v>
      </c>
      <c r="E1651" s="423"/>
      <c r="F1651" s="424"/>
      <c r="G1651" s="425"/>
      <c r="H1651" s="651"/>
      <c r="I1651" s="420">
        <v>80.34</v>
      </c>
      <c r="J1651" s="420">
        <f t="shared" si="392"/>
        <v>80.34</v>
      </c>
      <c r="K1651" s="421">
        <f t="shared" si="391"/>
        <v>95.45</v>
      </c>
      <c r="L1651" s="647" t="s">
        <v>79</v>
      </c>
      <c r="M1651" s="576"/>
      <c r="N1651" s="576">
        <f t="shared" si="394"/>
        <v>0</v>
      </c>
      <c r="O1651" s="577">
        <f t="shared" si="388"/>
        <v>0</v>
      </c>
      <c r="P1651" s="578">
        <f t="shared" si="389"/>
        <v>0</v>
      </c>
      <c r="Q1651" s="765"/>
      <c r="R1651" s="576">
        <f t="shared" si="396"/>
        <v>0</v>
      </c>
      <c r="S1651" s="576">
        <f t="shared" si="396"/>
        <v>0</v>
      </c>
      <c r="T1651" s="577">
        <f t="shared" si="386"/>
        <v>0</v>
      </c>
      <c r="U1651" s="578">
        <f t="shared" si="387"/>
        <v>0</v>
      </c>
      <c r="V1651" s="579"/>
      <c r="W1651" s="566"/>
      <c r="X1651" s="586" t="str">
        <f t="shared" si="390"/>
        <v/>
      </c>
      <c r="Y1651" s="586" t="str">
        <f t="shared" si="395"/>
        <v/>
      </c>
      <c r="Z1651" s="586" t="str">
        <f t="shared" si="393"/>
        <v/>
      </c>
    </row>
    <row r="1652" spans="1:26" ht="23.25" hidden="1" thickBot="1" x14ac:dyDescent="0.25">
      <c r="A1652" s="567">
        <v>97331</v>
      </c>
      <c r="B1652" s="644">
        <v>97331</v>
      </c>
      <c r="C1652" s="645" t="s">
        <v>670</v>
      </c>
      <c r="D1652" s="422" t="s">
        <v>1498</v>
      </c>
      <c r="E1652" s="423"/>
      <c r="F1652" s="424"/>
      <c r="G1652" s="425"/>
      <c r="H1652" s="651"/>
      <c r="I1652" s="420">
        <v>31.2</v>
      </c>
      <c r="J1652" s="420">
        <f t="shared" si="392"/>
        <v>31.2</v>
      </c>
      <c r="K1652" s="421">
        <f t="shared" si="391"/>
        <v>37.07</v>
      </c>
      <c r="L1652" s="647" t="s">
        <v>79</v>
      </c>
      <c r="M1652" s="576"/>
      <c r="N1652" s="576">
        <f t="shared" si="394"/>
        <v>0</v>
      </c>
      <c r="O1652" s="577">
        <f t="shared" si="388"/>
        <v>0</v>
      </c>
      <c r="P1652" s="578">
        <f t="shared" si="389"/>
        <v>0</v>
      </c>
      <c r="Q1652" s="765"/>
      <c r="R1652" s="576">
        <f t="shared" si="396"/>
        <v>0</v>
      </c>
      <c r="S1652" s="576">
        <f t="shared" si="396"/>
        <v>0</v>
      </c>
      <c r="T1652" s="577">
        <f t="shared" ref="T1652:T1721" si="397">IF(ISBLANK(R1652),0,ROUND(K1652*R1652,2))</f>
        <v>0</v>
      </c>
      <c r="U1652" s="578">
        <f t="shared" ref="U1652:U1721" si="398">IF(ISBLANK(R1652),0,ROUND(R1652*S1652,2))</f>
        <v>0</v>
      </c>
      <c r="V1652" s="579"/>
      <c r="W1652" s="566"/>
      <c r="X1652" s="586" t="str">
        <f t="shared" si="390"/>
        <v/>
      </c>
      <c r="Y1652" s="586" t="str">
        <f t="shared" si="395"/>
        <v/>
      </c>
      <c r="Z1652" s="586" t="str">
        <f t="shared" si="393"/>
        <v/>
      </c>
    </row>
    <row r="1653" spans="1:26" ht="23.25" hidden="1" thickBot="1" x14ac:dyDescent="0.25">
      <c r="A1653" s="567">
        <v>97332</v>
      </c>
      <c r="B1653" s="644">
        <v>97332</v>
      </c>
      <c r="C1653" s="645" t="s">
        <v>670</v>
      </c>
      <c r="D1653" s="422" t="s">
        <v>1499</v>
      </c>
      <c r="E1653" s="423"/>
      <c r="F1653" s="424"/>
      <c r="G1653" s="425"/>
      <c r="H1653" s="651"/>
      <c r="I1653" s="420">
        <v>51.97</v>
      </c>
      <c r="J1653" s="420">
        <f t="shared" si="392"/>
        <v>51.97</v>
      </c>
      <c r="K1653" s="421">
        <f t="shared" si="391"/>
        <v>61.75</v>
      </c>
      <c r="L1653" s="647" t="s">
        <v>79</v>
      </c>
      <c r="M1653" s="576"/>
      <c r="N1653" s="576">
        <f t="shared" si="394"/>
        <v>0</v>
      </c>
      <c r="O1653" s="577">
        <f t="shared" ref="O1653:O1722" si="399">IF(ISBLANK(M1653),0,ROUND(K1653*M1653,2))</f>
        <v>0</v>
      </c>
      <c r="P1653" s="578">
        <f t="shared" ref="P1653:P1722" si="400">IF(ISBLANK(N1653),0,ROUND(M1653*N1653,2))</f>
        <v>0</v>
      </c>
      <c r="Q1653" s="765"/>
      <c r="R1653" s="576">
        <f t="shared" si="396"/>
        <v>0</v>
      </c>
      <c r="S1653" s="576">
        <f t="shared" si="396"/>
        <v>0</v>
      </c>
      <c r="T1653" s="577">
        <f t="shared" si="397"/>
        <v>0</v>
      </c>
      <c r="U1653" s="578">
        <f t="shared" si="398"/>
        <v>0</v>
      </c>
      <c r="V1653" s="579"/>
      <c r="W1653" s="566"/>
      <c r="X1653" s="586" t="str">
        <f t="shared" si="390"/>
        <v/>
      </c>
      <c r="Y1653" s="586" t="str">
        <f t="shared" si="395"/>
        <v/>
      </c>
      <c r="Z1653" s="586" t="str">
        <f t="shared" si="393"/>
        <v/>
      </c>
    </row>
    <row r="1654" spans="1:26" ht="23.25" hidden="1" thickBot="1" x14ac:dyDescent="0.25">
      <c r="A1654" s="567">
        <v>97333</v>
      </c>
      <c r="B1654" s="644">
        <v>97333</v>
      </c>
      <c r="C1654" s="645" t="s">
        <v>670</v>
      </c>
      <c r="D1654" s="422" t="s">
        <v>1500</v>
      </c>
      <c r="E1654" s="423"/>
      <c r="F1654" s="424"/>
      <c r="G1654" s="425"/>
      <c r="H1654" s="651"/>
      <c r="I1654" s="420">
        <v>66.16</v>
      </c>
      <c r="J1654" s="420">
        <f t="shared" si="392"/>
        <v>66.16</v>
      </c>
      <c r="K1654" s="421">
        <f t="shared" si="391"/>
        <v>78.599999999999994</v>
      </c>
      <c r="L1654" s="647" t="s">
        <v>79</v>
      </c>
      <c r="M1654" s="576"/>
      <c r="N1654" s="576">
        <f t="shared" si="394"/>
        <v>0</v>
      </c>
      <c r="O1654" s="577">
        <f t="shared" si="399"/>
        <v>0</v>
      </c>
      <c r="P1654" s="578">
        <f t="shared" si="400"/>
        <v>0</v>
      </c>
      <c r="Q1654" s="765"/>
      <c r="R1654" s="576">
        <f t="shared" si="396"/>
        <v>0</v>
      </c>
      <c r="S1654" s="576">
        <f t="shared" si="396"/>
        <v>0</v>
      </c>
      <c r="T1654" s="577">
        <f t="shared" si="397"/>
        <v>0</v>
      </c>
      <c r="U1654" s="578">
        <f t="shared" si="398"/>
        <v>0</v>
      </c>
      <c r="V1654" s="579"/>
      <c r="W1654" s="566"/>
      <c r="X1654" s="586" t="str">
        <f t="shared" si="390"/>
        <v/>
      </c>
      <c r="Y1654" s="586" t="str">
        <f t="shared" si="395"/>
        <v/>
      </c>
      <c r="Z1654" s="586" t="str">
        <f t="shared" si="393"/>
        <v/>
      </c>
    </row>
    <row r="1655" spans="1:26" ht="23.25" hidden="1" thickBot="1" x14ac:dyDescent="0.25">
      <c r="A1655" s="567">
        <v>97334</v>
      </c>
      <c r="B1655" s="644">
        <v>97334</v>
      </c>
      <c r="C1655" s="645" t="s">
        <v>670</v>
      </c>
      <c r="D1655" s="422" t="s">
        <v>1501</v>
      </c>
      <c r="E1655" s="423"/>
      <c r="F1655" s="424"/>
      <c r="G1655" s="425"/>
      <c r="H1655" s="651"/>
      <c r="I1655" s="420">
        <v>80.89</v>
      </c>
      <c r="J1655" s="420">
        <f t="shared" si="392"/>
        <v>80.89</v>
      </c>
      <c r="K1655" s="421">
        <f t="shared" si="391"/>
        <v>96.11</v>
      </c>
      <c r="L1655" s="647" t="s">
        <v>79</v>
      </c>
      <c r="M1655" s="576"/>
      <c r="N1655" s="576">
        <f t="shared" si="394"/>
        <v>0</v>
      </c>
      <c r="O1655" s="577">
        <f t="shared" si="399"/>
        <v>0</v>
      </c>
      <c r="P1655" s="578">
        <f t="shared" si="400"/>
        <v>0</v>
      </c>
      <c r="Q1655" s="765"/>
      <c r="R1655" s="576">
        <f t="shared" si="396"/>
        <v>0</v>
      </c>
      <c r="S1655" s="576">
        <f t="shared" si="396"/>
        <v>0</v>
      </c>
      <c r="T1655" s="577">
        <f t="shared" si="397"/>
        <v>0</v>
      </c>
      <c r="U1655" s="578">
        <f t="shared" si="398"/>
        <v>0</v>
      </c>
      <c r="V1655" s="579"/>
      <c r="W1655" s="566"/>
      <c r="X1655" s="722" t="str">
        <f t="shared" si="390"/>
        <v/>
      </c>
      <c r="Y1655" s="722" t="str">
        <f t="shared" si="395"/>
        <v/>
      </c>
      <c r="Z1655" s="722" t="str">
        <f t="shared" si="393"/>
        <v/>
      </c>
    </row>
    <row r="1656" spans="1:26" ht="15.6" hidden="1" customHeight="1" x14ac:dyDescent="0.2">
      <c r="A1656" s="567">
        <v>844000</v>
      </c>
      <c r="B1656" s="644">
        <v>844000</v>
      </c>
      <c r="C1656" s="645" t="s">
        <v>206</v>
      </c>
      <c r="D1656" s="422" t="s">
        <v>594</v>
      </c>
      <c r="E1656" s="423"/>
      <c r="F1656" s="424"/>
      <c r="G1656" s="425"/>
      <c r="H1656" s="651"/>
      <c r="I1656" s="420">
        <v>5148.5</v>
      </c>
      <c r="J1656" s="420">
        <f>IF(ISBLANK(I1656),"",SUM(H1656:I1656))</f>
        <v>5148.5</v>
      </c>
      <c r="K1656" s="421">
        <f t="shared" si="391"/>
        <v>6116.93</v>
      </c>
      <c r="L1656" s="647" t="s">
        <v>21</v>
      </c>
      <c r="M1656" s="576"/>
      <c r="N1656" s="576">
        <f t="shared" si="394"/>
        <v>0</v>
      </c>
      <c r="O1656" s="577">
        <f t="shared" si="399"/>
        <v>0</v>
      </c>
      <c r="P1656" s="578">
        <f t="shared" si="400"/>
        <v>0</v>
      </c>
      <c r="Q1656" s="765"/>
      <c r="R1656" s="576">
        <f t="shared" si="396"/>
        <v>0</v>
      </c>
      <c r="S1656" s="576">
        <f t="shared" si="396"/>
        <v>0</v>
      </c>
      <c r="T1656" s="577">
        <f t="shared" si="397"/>
        <v>0</v>
      </c>
      <c r="U1656" s="578">
        <f t="shared" si="398"/>
        <v>0</v>
      </c>
      <c r="V1656" s="579"/>
      <c r="W1656" s="566"/>
      <c r="X1656" s="586" t="str">
        <f t="shared" si="390"/>
        <v/>
      </c>
      <c r="Y1656" s="586" t="str">
        <f t="shared" si="395"/>
        <v/>
      </c>
      <c r="Z1656" s="586" t="str">
        <f t="shared" si="393"/>
        <v/>
      </c>
    </row>
    <row r="1657" spans="1:26" ht="12" hidden="1" thickBot="1" x14ac:dyDescent="0.25">
      <c r="A1657" s="652" t="s">
        <v>187</v>
      </c>
      <c r="B1657" s="653" t="s">
        <v>187</v>
      </c>
      <c r="C1657" s="654"/>
      <c r="D1657" s="427" t="s">
        <v>575</v>
      </c>
      <c r="E1657" s="491"/>
      <c r="F1657" s="655"/>
      <c r="G1657" s="656"/>
      <c r="H1657" s="657"/>
      <c r="I1657" s="429">
        <v>0</v>
      </c>
      <c r="J1657" s="429"/>
      <c r="K1657" s="429"/>
      <c r="L1657" s="429" t="s">
        <v>614</v>
      </c>
      <c r="M1657" s="657"/>
      <c r="N1657" s="576">
        <f t="shared" si="394"/>
        <v>0</v>
      </c>
      <c r="O1657" s="429">
        <f t="shared" si="399"/>
        <v>0</v>
      </c>
      <c r="P1657" s="658">
        <f t="shared" si="400"/>
        <v>0</v>
      </c>
      <c r="Q1657" s="765"/>
      <c r="R1657" s="657"/>
      <c r="S1657" s="429"/>
      <c r="T1657" s="429">
        <f t="shared" si="397"/>
        <v>0</v>
      </c>
      <c r="U1657" s="658">
        <f t="shared" si="398"/>
        <v>0</v>
      </c>
      <c r="V1657" s="579"/>
      <c r="W1657" s="637" t="str">
        <f>IF(OR(SUM(P1658:P1689)&gt;0,SUM(U1658:U1689)&gt;0),"y","")</f>
        <v/>
      </c>
      <c r="X1657" s="586" t="str">
        <f t="shared" si="390"/>
        <v/>
      </c>
      <c r="Y1657" s="586" t="str">
        <f t="shared" si="395"/>
        <v/>
      </c>
      <c r="Z1657" s="586" t="str">
        <f t="shared" si="393"/>
        <v/>
      </c>
    </row>
    <row r="1658" spans="1:26" ht="12" hidden="1" thickBot="1" x14ac:dyDescent="0.25">
      <c r="A1658" s="652" t="s">
        <v>187</v>
      </c>
      <c r="B1658" s="572" t="s">
        <v>187</v>
      </c>
      <c r="C1658" s="573" t="s">
        <v>187</v>
      </c>
      <c r="D1658" s="580"/>
      <c r="E1658" s="575"/>
      <c r="F1658" s="436"/>
      <c r="G1658" s="431"/>
      <c r="H1658" s="430"/>
      <c r="I1658" s="432"/>
      <c r="J1658" s="433"/>
      <c r="K1658" s="434">
        <f t="shared" ref="K1658:K1689" si="401">IF(ISBLANK(J1658),0,ROUND(J1658*(1+$F$10)*(1+$F$11*E1658),2))</f>
        <v>0</v>
      </c>
      <c r="L1658" s="435" t="s">
        <v>614</v>
      </c>
      <c r="M1658" s="587"/>
      <c r="N1658" s="576">
        <f t="shared" si="394"/>
        <v>0</v>
      </c>
      <c r="O1658" s="577">
        <f t="shared" si="399"/>
        <v>0</v>
      </c>
      <c r="P1658" s="578">
        <f t="shared" si="400"/>
        <v>0</v>
      </c>
      <c r="Q1658" s="765"/>
      <c r="R1658" s="650">
        <f t="shared" si="396"/>
        <v>0</v>
      </c>
      <c r="S1658" s="587">
        <f t="shared" si="396"/>
        <v>0</v>
      </c>
      <c r="T1658" s="577">
        <f t="shared" si="397"/>
        <v>0</v>
      </c>
      <c r="U1658" s="578">
        <f t="shared" si="398"/>
        <v>0</v>
      </c>
      <c r="V1658" s="579"/>
      <c r="W1658" s="566"/>
      <c r="X1658" s="586" t="str">
        <f t="shared" si="390"/>
        <v/>
      </c>
      <c r="Y1658" s="586" t="str">
        <f t="shared" si="395"/>
        <v/>
      </c>
      <c r="Z1658" s="586" t="str">
        <f t="shared" si="393"/>
        <v/>
      </c>
    </row>
    <row r="1659" spans="1:26" ht="12" hidden="1" thickBot="1" x14ac:dyDescent="0.25">
      <c r="A1659" s="652" t="s">
        <v>187</v>
      </c>
      <c r="B1659" s="572" t="s">
        <v>187</v>
      </c>
      <c r="C1659" s="573" t="s">
        <v>187</v>
      </c>
      <c r="D1659" s="580"/>
      <c r="E1659" s="575"/>
      <c r="F1659" s="436"/>
      <c r="G1659" s="431"/>
      <c r="H1659" s="430"/>
      <c r="I1659" s="432"/>
      <c r="J1659" s="433"/>
      <c r="K1659" s="437">
        <f t="shared" si="401"/>
        <v>0</v>
      </c>
      <c r="L1659" s="435" t="s">
        <v>614</v>
      </c>
      <c r="M1659" s="576"/>
      <c r="N1659" s="576">
        <f t="shared" si="394"/>
        <v>0</v>
      </c>
      <c r="O1659" s="577">
        <f t="shared" si="399"/>
        <v>0</v>
      </c>
      <c r="P1659" s="578">
        <f t="shared" si="400"/>
        <v>0</v>
      </c>
      <c r="Q1659" s="765"/>
      <c r="R1659" s="576">
        <f t="shared" si="396"/>
        <v>0</v>
      </c>
      <c r="S1659" s="576">
        <f t="shared" si="396"/>
        <v>0</v>
      </c>
      <c r="T1659" s="577">
        <f t="shared" si="397"/>
        <v>0</v>
      </c>
      <c r="U1659" s="659">
        <f t="shared" si="398"/>
        <v>0</v>
      </c>
      <c r="V1659" s="579"/>
      <c r="W1659" s="566"/>
      <c r="X1659" s="586" t="str">
        <f t="shared" si="390"/>
        <v/>
      </c>
      <c r="Y1659" s="586" t="str">
        <f t="shared" si="395"/>
        <v/>
      </c>
      <c r="Z1659" s="586" t="str">
        <f t="shared" si="393"/>
        <v/>
      </c>
    </row>
    <row r="1660" spans="1:26" ht="12" hidden="1" thickBot="1" x14ac:dyDescent="0.25">
      <c r="A1660" s="652" t="s">
        <v>187</v>
      </c>
      <c r="B1660" s="572" t="s">
        <v>187</v>
      </c>
      <c r="C1660" s="573" t="s">
        <v>187</v>
      </c>
      <c r="D1660" s="580"/>
      <c r="E1660" s="575"/>
      <c r="F1660" s="436"/>
      <c r="G1660" s="431"/>
      <c r="H1660" s="430"/>
      <c r="I1660" s="432"/>
      <c r="J1660" s="433"/>
      <c r="K1660" s="437">
        <f t="shared" si="401"/>
        <v>0</v>
      </c>
      <c r="L1660" s="435" t="s">
        <v>614</v>
      </c>
      <c r="M1660" s="576"/>
      <c r="N1660" s="576">
        <f t="shared" si="394"/>
        <v>0</v>
      </c>
      <c r="O1660" s="577">
        <f t="shared" si="399"/>
        <v>0</v>
      </c>
      <c r="P1660" s="578">
        <f t="shared" si="400"/>
        <v>0</v>
      </c>
      <c r="Q1660" s="765"/>
      <c r="R1660" s="576">
        <f t="shared" si="396"/>
        <v>0</v>
      </c>
      <c r="S1660" s="576">
        <f t="shared" si="396"/>
        <v>0</v>
      </c>
      <c r="T1660" s="577">
        <f t="shared" si="397"/>
        <v>0</v>
      </c>
      <c r="U1660" s="578">
        <f t="shared" si="398"/>
        <v>0</v>
      </c>
      <c r="V1660" s="579"/>
      <c r="W1660" s="566"/>
      <c r="X1660" s="586" t="str">
        <f t="shared" si="390"/>
        <v/>
      </c>
      <c r="Y1660" s="586" t="str">
        <f t="shared" si="395"/>
        <v/>
      </c>
      <c r="Z1660" s="586" t="str">
        <f t="shared" si="393"/>
        <v/>
      </c>
    </row>
    <row r="1661" spans="1:26" ht="12" hidden="1" thickBot="1" x14ac:dyDescent="0.25">
      <c r="A1661" s="652" t="s">
        <v>187</v>
      </c>
      <c r="B1661" s="572" t="s">
        <v>187</v>
      </c>
      <c r="C1661" s="573" t="s">
        <v>187</v>
      </c>
      <c r="D1661" s="580"/>
      <c r="E1661" s="575"/>
      <c r="F1661" s="436"/>
      <c r="G1661" s="431"/>
      <c r="H1661" s="430"/>
      <c r="I1661" s="432"/>
      <c r="J1661" s="433"/>
      <c r="K1661" s="437">
        <f t="shared" si="401"/>
        <v>0</v>
      </c>
      <c r="L1661" s="435" t="s">
        <v>614</v>
      </c>
      <c r="M1661" s="576"/>
      <c r="N1661" s="576">
        <f t="shared" si="394"/>
        <v>0</v>
      </c>
      <c r="O1661" s="577">
        <f t="shared" si="399"/>
        <v>0</v>
      </c>
      <c r="P1661" s="578">
        <f t="shared" si="400"/>
        <v>0</v>
      </c>
      <c r="Q1661" s="765"/>
      <c r="R1661" s="576">
        <f t="shared" si="396"/>
        <v>0</v>
      </c>
      <c r="S1661" s="576">
        <f t="shared" si="396"/>
        <v>0</v>
      </c>
      <c r="T1661" s="577">
        <f t="shared" si="397"/>
        <v>0</v>
      </c>
      <c r="U1661" s="578">
        <f t="shared" si="398"/>
        <v>0</v>
      </c>
      <c r="V1661" s="579"/>
      <c r="W1661" s="566"/>
      <c r="X1661" s="586" t="str">
        <f t="shared" ref="X1661:X1724" si="402">IF(W1661="X","x",IF(W1661="xx","x",IF(W1661="xy","x",IF(W1661="y","x",IF(OR(P1661&gt;0,U1661&gt;0),"x","")))))</f>
        <v/>
      </c>
      <c r="Y1661" s="586" t="str">
        <f t="shared" si="395"/>
        <v/>
      </c>
      <c r="Z1661" s="586" t="str">
        <f t="shared" si="393"/>
        <v/>
      </c>
    </row>
    <row r="1662" spans="1:26" ht="12" hidden="1" thickBot="1" x14ac:dyDescent="0.25">
      <c r="A1662" s="652" t="s">
        <v>187</v>
      </c>
      <c r="B1662" s="572" t="s">
        <v>187</v>
      </c>
      <c r="C1662" s="573" t="s">
        <v>187</v>
      </c>
      <c r="D1662" s="580"/>
      <c r="E1662" s="575"/>
      <c r="F1662" s="436"/>
      <c r="G1662" s="431"/>
      <c r="H1662" s="430"/>
      <c r="I1662" s="432"/>
      <c r="J1662" s="433"/>
      <c r="K1662" s="437">
        <f t="shared" si="401"/>
        <v>0</v>
      </c>
      <c r="L1662" s="435" t="s">
        <v>614</v>
      </c>
      <c r="M1662" s="576"/>
      <c r="N1662" s="576">
        <f t="shared" si="394"/>
        <v>0</v>
      </c>
      <c r="O1662" s="577">
        <f t="shared" si="399"/>
        <v>0</v>
      </c>
      <c r="P1662" s="578">
        <f t="shared" si="400"/>
        <v>0</v>
      </c>
      <c r="Q1662" s="765"/>
      <c r="R1662" s="576">
        <f t="shared" si="396"/>
        <v>0</v>
      </c>
      <c r="S1662" s="576">
        <f t="shared" si="396"/>
        <v>0</v>
      </c>
      <c r="T1662" s="577">
        <f t="shared" si="397"/>
        <v>0</v>
      </c>
      <c r="U1662" s="578">
        <f t="shared" si="398"/>
        <v>0</v>
      </c>
      <c r="V1662" s="579"/>
      <c r="W1662" s="566"/>
      <c r="X1662" s="586" t="str">
        <f t="shared" si="402"/>
        <v/>
      </c>
      <c r="Y1662" s="586" t="str">
        <f t="shared" si="395"/>
        <v/>
      </c>
      <c r="Z1662" s="586" t="str">
        <f t="shared" si="393"/>
        <v/>
      </c>
    </row>
    <row r="1663" spans="1:26" ht="12" hidden="1" thickBot="1" x14ac:dyDescent="0.25">
      <c r="A1663" s="652" t="s">
        <v>187</v>
      </c>
      <c r="B1663" s="572" t="s">
        <v>187</v>
      </c>
      <c r="C1663" s="573" t="s">
        <v>187</v>
      </c>
      <c r="D1663" s="580"/>
      <c r="E1663" s="575"/>
      <c r="F1663" s="436"/>
      <c r="G1663" s="431"/>
      <c r="H1663" s="430"/>
      <c r="I1663" s="432"/>
      <c r="J1663" s="433"/>
      <c r="K1663" s="437">
        <f t="shared" si="401"/>
        <v>0</v>
      </c>
      <c r="L1663" s="435" t="s">
        <v>614</v>
      </c>
      <c r="M1663" s="576"/>
      <c r="N1663" s="576">
        <f t="shared" si="394"/>
        <v>0</v>
      </c>
      <c r="O1663" s="577">
        <f t="shared" si="399"/>
        <v>0</v>
      </c>
      <c r="P1663" s="578">
        <f t="shared" si="400"/>
        <v>0</v>
      </c>
      <c r="Q1663" s="765"/>
      <c r="R1663" s="576">
        <f t="shared" si="396"/>
        <v>0</v>
      </c>
      <c r="S1663" s="576">
        <f t="shared" si="396"/>
        <v>0</v>
      </c>
      <c r="T1663" s="577">
        <f t="shared" si="397"/>
        <v>0</v>
      </c>
      <c r="U1663" s="578">
        <f t="shared" si="398"/>
        <v>0</v>
      </c>
      <c r="V1663" s="579"/>
      <c r="W1663" s="566"/>
      <c r="X1663" s="586" t="str">
        <f t="shared" si="402"/>
        <v/>
      </c>
      <c r="Y1663" s="586" t="str">
        <f t="shared" si="395"/>
        <v/>
      </c>
      <c r="Z1663" s="586" t="str">
        <f t="shared" si="393"/>
        <v/>
      </c>
    </row>
    <row r="1664" spans="1:26" ht="12" hidden="1" thickBot="1" x14ac:dyDescent="0.25">
      <c r="A1664" s="652" t="s">
        <v>187</v>
      </c>
      <c r="B1664" s="572" t="s">
        <v>187</v>
      </c>
      <c r="C1664" s="573" t="s">
        <v>187</v>
      </c>
      <c r="D1664" s="580"/>
      <c r="E1664" s="575"/>
      <c r="F1664" s="436"/>
      <c r="G1664" s="431"/>
      <c r="H1664" s="430"/>
      <c r="I1664" s="432"/>
      <c r="J1664" s="433"/>
      <c r="K1664" s="437">
        <f t="shared" si="401"/>
        <v>0</v>
      </c>
      <c r="L1664" s="435" t="s">
        <v>614</v>
      </c>
      <c r="M1664" s="576"/>
      <c r="N1664" s="576">
        <f t="shared" si="394"/>
        <v>0</v>
      </c>
      <c r="O1664" s="577">
        <f t="shared" si="399"/>
        <v>0</v>
      </c>
      <c r="P1664" s="578">
        <f t="shared" si="400"/>
        <v>0</v>
      </c>
      <c r="Q1664" s="765"/>
      <c r="R1664" s="576">
        <f t="shared" si="396"/>
        <v>0</v>
      </c>
      <c r="S1664" s="576">
        <f t="shared" si="396"/>
        <v>0</v>
      </c>
      <c r="T1664" s="577">
        <f t="shared" si="397"/>
        <v>0</v>
      </c>
      <c r="U1664" s="578">
        <f t="shared" si="398"/>
        <v>0</v>
      </c>
      <c r="V1664" s="579"/>
      <c r="W1664" s="566"/>
      <c r="X1664" s="586" t="str">
        <f t="shared" si="402"/>
        <v/>
      </c>
      <c r="Y1664" s="586" t="str">
        <f t="shared" si="395"/>
        <v/>
      </c>
      <c r="Z1664" s="586" t="str">
        <f t="shared" si="393"/>
        <v/>
      </c>
    </row>
    <row r="1665" spans="1:26" ht="12" hidden="1" thickBot="1" x14ac:dyDescent="0.25">
      <c r="A1665" s="652" t="s">
        <v>187</v>
      </c>
      <c r="B1665" s="572" t="s">
        <v>187</v>
      </c>
      <c r="C1665" s="573" t="s">
        <v>187</v>
      </c>
      <c r="D1665" s="580"/>
      <c r="E1665" s="575"/>
      <c r="F1665" s="436"/>
      <c r="G1665" s="431"/>
      <c r="H1665" s="430"/>
      <c r="I1665" s="432"/>
      <c r="J1665" s="433"/>
      <c r="K1665" s="437">
        <f t="shared" si="401"/>
        <v>0</v>
      </c>
      <c r="L1665" s="435" t="s">
        <v>614</v>
      </c>
      <c r="M1665" s="576"/>
      <c r="N1665" s="576">
        <f t="shared" si="394"/>
        <v>0</v>
      </c>
      <c r="O1665" s="577">
        <f t="shared" si="399"/>
        <v>0</v>
      </c>
      <c r="P1665" s="578">
        <f t="shared" si="400"/>
        <v>0</v>
      </c>
      <c r="Q1665" s="765"/>
      <c r="R1665" s="576">
        <f t="shared" si="396"/>
        <v>0</v>
      </c>
      <c r="S1665" s="576">
        <f t="shared" si="396"/>
        <v>0</v>
      </c>
      <c r="T1665" s="577">
        <f t="shared" si="397"/>
        <v>0</v>
      </c>
      <c r="U1665" s="578">
        <f t="shared" si="398"/>
        <v>0</v>
      </c>
      <c r="V1665" s="579"/>
      <c r="W1665" s="566"/>
      <c r="X1665" s="586" t="str">
        <f t="shared" si="402"/>
        <v/>
      </c>
      <c r="Y1665" s="586" t="str">
        <f t="shared" si="395"/>
        <v/>
      </c>
      <c r="Z1665" s="586" t="str">
        <f t="shared" si="393"/>
        <v/>
      </c>
    </row>
    <row r="1666" spans="1:26" ht="12" hidden="1" thickBot="1" x14ac:dyDescent="0.25">
      <c r="A1666" s="652" t="s">
        <v>187</v>
      </c>
      <c r="B1666" s="572" t="s">
        <v>187</v>
      </c>
      <c r="C1666" s="573" t="s">
        <v>187</v>
      </c>
      <c r="D1666" s="580"/>
      <c r="E1666" s="575"/>
      <c r="F1666" s="436"/>
      <c r="G1666" s="431"/>
      <c r="H1666" s="430"/>
      <c r="I1666" s="432"/>
      <c r="J1666" s="433"/>
      <c r="K1666" s="437">
        <f t="shared" si="401"/>
        <v>0</v>
      </c>
      <c r="L1666" s="435" t="s">
        <v>614</v>
      </c>
      <c r="M1666" s="576"/>
      <c r="N1666" s="576">
        <f t="shared" si="394"/>
        <v>0</v>
      </c>
      <c r="O1666" s="577">
        <f t="shared" si="399"/>
        <v>0</v>
      </c>
      <c r="P1666" s="578">
        <f t="shared" si="400"/>
        <v>0</v>
      </c>
      <c r="Q1666" s="765"/>
      <c r="R1666" s="576">
        <f t="shared" si="396"/>
        <v>0</v>
      </c>
      <c r="S1666" s="576">
        <f t="shared" si="396"/>
        <v>0</v>
      </c>
      <c r="T1666" s="577">
        <f t="shared" si="397"/>
        <v>0</v>
      </c>
      <c r="U1666" s="578">
        <f t="shared" si="398"/>
        <v>0</v>
      </c>
      <c r="V1666" s="579"/>
      <c r="W1666" s="566"/>
      <c r="X1666" s="586" t="str">
        <f t="shared" si="402"/>
        <v/>
      </c>
      <c r="Y1666" s="586" t="str">
        <f t="shared" si="395"/>
        <v/>
      </c>
      <c r="Z1666" s="586" t="str">
        <f t="shared" si="393"/>
        <v/>
      </c>
    </row>
    <row r="1667" spans="1:26" ht="12" hidden="1" thickBot="1" x14ac:dyDescent="0.25">
      <c r="A1667" s="652" t="s">
        <v>187</v>
      </c>
      <c r="B1667" s="572" t="s">
        <v>187</v>
      </c>
      <c r="C1667" s="573" t="s">
        <v>187</v>
      </c>
      <c r="D1667" s="580"/>
      <c r="E1667" s="575"/>
      <c r="F1667" s="436"/>
      <c r="G1667" s="431"/>
      <c r="H1667" s="430"/>
      <c r="I1667" s="432"/>
      <c r="J1667" s="433"/>
      <c r="K1667" s="437">
        <f t="shared" si="401"/>
        <v>0</v>
      </c>
      <c r="L1667" s="435" t="s">
        <v>614</v>
      </c>
      <c r="M1667" s="576"/>
      <c r="N1667" s="576">
        <f t="shared" si="394"/>
        <v>0</v>
      </c>
      <c r="O1667" s="577">
        <f t="shared" si="399"/>
        <v>0</v>
      </c>
      <c r="P1667" s="578">
        <f t="shared" si="400"/>
        <v>0</v>
      </c>
      <c r="Q1667" s="765"/>
      <c r="R1667" s="576">
        <f t="shared" si="396"/>
        <v>0</v>
      </c>
      <c r="S1667" s="576">
        <f t="shared" si="396"/>
        <v>0</v>
      </c>
      <c r="T1667" s="577">
        <f t="shared" si="397"/>
        <v>0</v>
      </c>
      <c r="U1667" s="578">
        <f t="shared" si="398"/>
        <v>0</v>
      </c>
      <c r="V1667" s="579"/>
      <c r="W1667" s="566"/>
      <c r="X1667" s="586" t="str">
        <f t="shared" si="402"/>
        <v/>
      </c>
      <c r="Y1667" s="586" t="str">
        <f t="shared" si="395"/>
        <v/>
      </c>
      <c r="Z1667" s="586" t="str">
        <f t="shared" si="393"/>
        <v/>
      </c>
    </row>
    <row r="1668" spans="1:26" ht="12" hidden="1" thickBot="1" x14ac:dyDescent="0.25">
      <c r="A1668" s="652" t="s">
        <v>187</v>
      </c>
      <c r="B1668" s="572" t="s">
        <v>187</v>
      </c>
      <c r="C1668" s="573" t="s">
        <v>187</v>
      </c>
      <c r="D1668" s="580"/>
      <c r="E1668" s="575"/>
      <c r="F1668" s="436"/>
      <c r="G1668" s="431"/>
      <c r="H1668" s="430"/>
      <c r="I1668" s="432"/>
      <c r="J1668" s="433"/>
      <c r="K1668" s="437">
        <f t="shared" si="401"/>
        <v>0</v>
      </c>
      <c r="L1668" s="435" t="s">
        <v>614</v>
      </c>
      <c r="M1668" s="576"/>
      <c r="N1668" s="576">
        <f t="shared" si="394"/>
        <v>0</v>
      </c>
      <c r="O1668" s="577">
        <f t="shared" si="399"/>
        <v>0</v>
      </c>
      <c r="P1668" s="578">
        <f t="shared" si="400"/>
        <v>0</v>
      </c>
      <c r="Q1668" s="765"/>
      <c r="R1668" s="576">
        <f t="shared" si="396"/>
        <v>0</v>
      </c>
      <c r="S1668" s="576">
        <f t="shared" si="396"/>
        <v>0</v>
      </c>
      <c r="T1668" s="577">
        <f t="shared" si="397"/>
        <v>0</v>
      </c>
      <c r="U1668" s="578">
        <f t="shared" si="398"/>
        <v>0</v>
      </c>
      <c r="V1668" s="579"/>
      <c r="W1668" s="566"/>
      <c r="X1668" s="586" t="str">
        <f t="shared" si="402"/>
        <v/>
      </c>
      <c r="Y1668" s="586" t="str">
        <f t="shared" si="395"/>
        <v/>
      </c>
      <c r="Z1668" s="586" t="str">
        <f t="shared" si="393"/>
        <v/>
      </c>
    </row>
    <row r="1669" spans="1:26" ht="12" hidden="1" thickBot="1" x14ac:dyDescent="0.25">
      <c r="A1669" s="652" t="s">
        <v>187</v>
      </c>
      <c r="B1669" s="572" t="s">
        <v>187</v>
      </c>
      <c r="C1669" s="573" t="s">
        <v>187</v>
      </c>
      <c r="D1669" s="580"/>
      <c r="E1669" s="575"/>
      <c r="F1669" s="436"/>
      <c r="G1669" s="431"/>
      <c r="H1669" s="430"/>
      <c r="I1669" s="432"/>
      <c r="J1669" s="433"/>
      <c r="K1669" s="437">
        <f t="shared" si="401"/>
        <v>0</v>
      </c>
      <c r="L1669" s="435" t="s">
        <v>614</v>
      </c>
      <c r="M1669" s="576"/>
      <c r="N1669" s="576">
        <f t="shared" si="394"/>
        <v>0</v>
      </c>
      <c r="O1669" s="577">
        <f t="shared" si="399"/>
        <v>0</v>
      </c>
      <c r="P1669" s="578">
        <f t="shared" si="400"/>
        <v>0</v>
      </c>
      <c r="Q1669" s="765"/>
      <c r="R1669" s="576">
        <f t="shared" si="396"/>
        <v>0</v>
      </c>
      <c r="S1669" s="576">
        <f t="shared" si="396"/>
        <v>0</v>
      </c>
      <c r="T1669" s="577">
        <f t="shared" si="397"/>
        <v>0</v>
      </c>
      <c r="U1669" s="578">
        <f t="shared" si="398"/>
        <v>0</v>
      </c>
      <c r="V1669" s="579"/>
      <c r="W1669" s="566"/>
      <c r="X1669" s="586" t="str">
        <f t="shared" si="402"/>
        <v/>
      </c>
      <c r="Y1669" s="586" t="str">
        <f t="shared" si="395"/>
        <v/>
      </c>
      <c r="Z1669" s="586" t="str">
        <f t="shared" si="393"/>
        <v/>
      </c>
    </row>
    <row r="1670" spans="1:26" ht="12" hidden="1" thickBot="1" x14ac:dyDescent="0.25">
      <c r="A1670" s="652" t="s">
        <v>187</v>
      </c>
      <c r="B1670" s="572" t="s">
        <v>187</v>
      </c>
      <c r="C1670" s="573" t="s">
        <v>187</v>
      </c>
      <c r="D1670" s="580"/>
      <c r="E1670" s="575"/>
      <c r="F1670" s="436"/>
      <c r="G1670" s="431"/>
      <c r="H1670" s="430"/>
      <c r="I1670" s="432"/>
      <c r="J1670" s="433"/>
      <c r="K1670" s="437">
        <f t="shared" si="401"/>
        <v>0</v>
      </c>
      <c r="L1670" s="435" t="s">
        <v>614</v>
      </c>
      <c r="M1670" s="576"/>
      <c r="N1670" s="576">
        <f t="shared" si="394"/>
        <v>0</v>
      </c>
      <c r="O1670" s="577">
        <f t="shared" si="399"/>
        <v>0</v>
      </c>
      <c r="P1670" s="578">
        <f t="shared" si="400"/>
        <v>0</v>
      </c>
      <c r="Q1670" s="765"/>
      <c r="R1670" s="576">
        <f t="shared" si="396"/>
        <v>0</v>
      </c>
      <c r="S1670" s="576">
        <f t="shared" si="396"/>
        <v>0</v>
      </c>
      <c r="T1670" s="577">
        <f t="shared" si="397"/>
        <v>0</v>
      </c>
      <c r="U1670" s="578">
        <f t="shared" si="398"/>
        <v>0</v>
      </c>
      <c r="V1670" s="579"/>
      <c r="W1670" s="566"/>
      <c r="X1670" s="586" t="str">
        <f t="shared" si="402"/>
        <v/>
      </c>
      <c r="Y1670" s="586" t="str">
        <f t="shared" si="395"/>
        <v/>
      </c>
      <c r="Z1670" s="586" t="str">
        <f t="shared" si="393"/>
        <v/>
      </c>
    </row>
    <row r="1671" spans="1:26" ht="12" hidden="1" thickBot="1" x14ac:dyDescent="0.25">
      <c r="A1671" s="652" t="s">
        <v>187</v>
      </c>
      <c r="B1671" s="572" t="s">
        <v>187</v>
      </c>
      <c r="C1671" s="573" t="s">
        <v>187</v>
      </c>
      <c r="D1671" s="580"/>
      <c r="E1671" s="575"/>
      <c r="F1671" s="436"/>
      <c r="G1671" s="431"/>
      <c r="H1671" s="430"/>
      <c r="I1671" s="432"/>
      <c r="J1671" s="433"/>
      <c r="K1671" s="437">
        <f t="shared" si="401"/>
        <v>0</v>
      </c>
      <c r="L1671" s="435" t="s">
        <v>614</v>
      </c>
      <c r="M1671" s="576"/>
      <c r="N1671" s="576">
        <f t="shared" si="394"/>
        <v>0</v>
      </c>
      <c r="O1671" s="577">
        <f t="shared" si="399"/>
        <v>0</v>
      </c>
      <c r="P1671" s="578">
        <f t="shared" si="400"/>
        <v>0</v>
      </c>
      <c r="Q1671" s="765"/>
      <c r="R1671" s="576">
        <f t="shared" si="396"/>
        <v>0</v>
      </c>
      <c r="S1671" s="576">
        <f t="shared" si="396"/>
        <v>0</v>
      </c>
      <c r="T1671" s="577">
        <f t="shared" si="397"/>
        <v>0</v>
      </c>
      <c r="U1671" s="578">
        <f t="shared" si="398"/>
        <v>0</v>
      </c>
      <c r="V1671" s="579"/>
      <c r="W1671" s="566"/>
      <c r="X1671" s="586" t="str">
        <f t="shared" si="402"/>
        <v/>
      </c>
      <c r="Y1671" s="586" t="str">
        <f t="shared" si="395"/>
        <v/>
      </c>
      <c r="Z1671" s="586" t="str">
        <f t="shared" si="393"/>
        <v/>
      </c>
    </row>
    <row r="1672" spans="1:26" ht="12" hidden="1" thickBot="1" x14ac:dyDescent="0.25">
      <c r="A1672" s="652" t="s">
        <v>187</v>
      </c>
      <c r="B1672" s="572" t="s">
        <v>187</v>
      </c>
      <c r="C1672" s="573" t="s">
        <v>187</v>
      </c>
      <c r="D1672" s="580"/>
      <c r="E1672" s="575"/>
      <c r="F1672" s="436"/>
      <c r="G1672" s="431"/>
      <c r="H1672" s="430"/>
      <c r="I1672" s="432"/>
      <c r="J1672" s="433"/>
      <c r="K1672" s="437">
        <f t="shared" si="401"/>
        <v>0</v>
      </c>
      <c r="L1672" s="435" t="s">
        <v>614</v>
      </c>
      <c r="M1672" s="576"/>
      <c r="N1672" s="576">
        <f t="shared" si="394"/>
        <v>0</v>
      </c>
      <c r="O1672" s="577">
        <f t="shared" si="399"/>
        <v>0</v>
      </c>
      <c r="P1672" s="578">
        <f t="shared" si="400"/>
        <v>0</v>
      </c>
      <c r="Q1672" s="765"/>
      <c r="R1672" s="576">
        <f t="shared" si="396"/>
        <v>0</v>
      </c>
      <c r="S1672" s="576">
        <f t="shared" si="396"/>
        <v>0</v>
      </c>
      <c r="T1672" s="577">
        <f t="shared" si="397"/>
        <v>0</v>
      </c>
      <c r="U1672" s="578">
        <f t="shared" si="398"/>
        <v>0</v>
      </c>
      <c r="V1672" s="579"/>
      <c r="W1672" s="566"/>
      <c r="X1672" s="586" t="str">
        <f t="shared" si="402"/>
        <v/>
      </c>
      <c r="Y1672" s="586" t="str">
        <f t="shared" si="395"/>
        <v/>
      </c>
      <c r="Z1672" s="586" t="str">
        <f t="shared" si="393"/>
        <v/>
      </c>
    </row>
    <row r="1673" spans="1:26" ht="12" hidden="1" thickBot="1" x14ac:dyDescent="0.25">
      <c r="A1673" s="652" t="s">
        <v>187</v>
      </c>
      <c r="B1673" s="572" t="s">
        <v>187</v>
      </c>
      <c r="C1673" s="573" t="s">
        <v>187</v>
      </c>
      <c r="D1673" s="580"/>
      <c r="E1673" s="575"/>
      <c r="F1673" s="436"/>
      <c r="G1673" s="431"/>
      <c r="H1673" s="430"/>
      <c r="I1673" s="432"/>
      <c r="J1673" s="433"/>
      <c r="K1673" s="437">
        <f t="shared" si="401"/>
        <v>0</v>
      </c>
      <c r="L1673" s="435" t="s">
        <v>614</v>
      </c>
      <c r="M1673" s="576"/>
      <c r="N1673" s="576">
        <f t="shared" si="394"/>
        <v>0</v>
      </c>
      <c r="O1673" s="577">
        <f t="shared" si="399"/>
        <v>0</v>
      </c>
      <c r="P1673" s="578">
        <f t="shared" si="400"/>
        <v>0</v>
      </c>
      <c r="Q1673" s="765"/>
      <c r="R1673" s="576">
        <f t="shared" si="396"/>
        <v>0</v>
      </c>
      <c r="S1673" s="576">
        <f t="shared" si="396"/>
        <v>0</v>
      </c>
      <c r="T1673" s="577">
        <f t="shared" si="397"/>
        <v>0</v>
      </c>
      <c r="U1673" s="578">
        <f t="shared" si="398"/>
        <v>0</v>
      </c>
      <c r="V1673" s="579"/>
      <c r="W1673" s="566"/>
      <c r="X1673" s="586" t="str">
        <f t="shared" si="402"/>
        <v/>
      </c>
      <c r="Y1673" s="586" t="str">
        <f t="shared" si="395"/>
        <v/>
      </c>
      <c r="Z1673" s="586" t="str">
        <f t="shared" si="393"/>
        <v/>
      </c>
    </row>
    <row r="1674" spans="1:26" ht="12" hidden="1" thickBot="1" x14ac:dyDescent="0.25">
      <c r="A1674" s="652" t="s">
        <v>187</v>
      </c>
      <c r="B1674" s="572" t="s">
        <v>187</v>
      </c>
      <c r="C1674" s="573" t="s">
        <v>187</v>
      </c>
      <c r="D1674" s="580"/>
      <c r="E1674" s="575"/>
      <c r="F1674" s="436"/>
      <c r="G1674" s="431"/>
      <c r="H1674" s="430"/>
      <c r="I1674" s="432"/>
      <c r="J1674" s="433"/>
      <c r="K1674" s="437">
        <f t="shared" si="401"/>
        <v>0</v>
      </c>
      <c r="L1674" s="435" t="s">
        <v>614</v>
      </c>
      <c r="M1674" s="576"/>
      <c r="N1674" s="576">
        <f t="shared" si="394"/>
        <v>0</v>
      </c>
      <c r="O1674" s="577">
        <f t="shared" si="399"/>
        <v>0</v>
      </c>
      <c r="P1674" s="578">
        <f t="shared" si="400"/>
        <v>0</v>
      </c>
      <c r="Q1674" s="765"/>
      <c r="R1674" s="576">
        <f t="shared" si="396"/>
        <v>0</v>
      </c>
      <c r="S1674" s="576">
        <f t="shared" si="396"/>
        <v>0</v>
      </c>
      <c r="T1674" s="577">
        <f t="shared" si="397"/>
        <v>0</v>
      </c>
      <c r="U1674" s="578">
        <f t="shared" si="398"/>
        <v>0</v>
      </c>
      <c r="V1674" s="579"/>
      <c r="W1674" s="566"/>
      <c r="X1674" s="586" t="str">
        <f t="shared" si="402"/>
        <v/>
      </c>
      <c r="Y1674" s="586" t="str">
        <f t="shared" si="395"/>
        <v/>
      </c>
      <c r="Z1674" s="586" t="str">
        <f t="shared" si="393"/>
        <v/>
      </c>
    </row>
    <row r="1675" spans="1:26" ht="12" hidden="1" thickBot="1" x14ac:dyDescent="0.25">
      <c r="A1675" s="652" t="s">
        <v>187</v>
      </c>
      <c r="B1675" s="572" t="s">
        <v>187</v>
      </c>
      <c r="C1675" s="573" t="s">
        <v>187</v>
      </c>
      <c r="D1675" s="580"/>
      <c r="E1675" s="575"/>
      <c r="F1675" s="436"/>
      <c r="G1675" s="431"/>
      <c r="H1675" s="430"/>
      <c r="I1675" s="432"/>
      <c r="J1675" s="433"/>
      <c r="K1675" s="437">
        <f t="shared" si="401"/>
        <v>0</v>
      </c>
      <c r="L1675" s="435" t="s">
        <v>614</v>
      </c>
      <c r="M1675" s="576"/>
      <c r="N1675" s="576">
        <f t="shared" si="394"/>
        <v>0</v>
      </c>
      <c r="O1675" s="577">
        <f t="shared" si="399"/>
        <v>0</v>
      </c>
      <c r="P1675" s="578">
        <f t="shared" si="400"/>
        <v>0</v>
      </c>
      <c r="Q1675" s="765"/>
      <c r="R1675" s="576">
        <f t="shared" si="396"/>
        <v>0</v>
      </c>
      <c r="S1675" s="576">
        <f t="shared" si="396"/>
        <v>0</v>
      </c>
      <c r="T1675" s="577">
        <f t="shared" si="397"/>
        <v>0</v>
      </c>
      <c r="U1675" s="578">
        <f t="shared" si="398"/>
        <v>0</v>
      </c>
      <c r="V1675" s="579"/>
      <c r="W1675" s="566"/>
      <c r="X1675" s="586" t="str">
        <f t="shared" si="402"/>
        <v/>
      </c>
      <c r="Y1675" s="586" t="str">
        <f t="shared" si="395"/>
        <v/>
      </c>
      <c r="Z1675" s="586" t="str">
        <f t="shared" si="393"/>
        <v/>
      </c>
    </row>
    <row r="1676" spans="1:26" ht="12" hidden="1" thickBot="1" x14ac:dyDescent="0.25">
      <c r="A1676" s="652" t="s">
        <v>187</v>
      </c>
      <c r="B1676" s="572" t="s">
        <v>187</v>
      </c>
      <c r="C1676" s="573" t="s">
        <v>187</v>
      </c>
      <c r="D1676" s="580"/>
      <c r="E1676" s="575"/>
      <c r="F1676" s="436"/>
      <c r="G1676" s="431"/>
      <c r="H1676" s="430"/>
      <c r="I1676" s="432"/>
      <c r="J1676" s="433"/>
      <c r="K1676" s="437">
        <f t="shared" si="401"/>
        <v>0</v>
      </c>
      <c r="L1676" s="435" t="s">
        <v>614</v>
      </c>
      <c r="M1676" s="576"/>
      <c r="N1676" s="576">
        <f t="shared" si="394"/>
        <v>0</v>
      </c>
      <c r="O1676" s="577">
        <f t="shared" si="399"/>
        <v>0</v>
      </c>
      <c r="P1676" s="578">
        <f t="shared" si="400"/>
        <v>0</v>
      </c>
      <c r="Q1676" s="765"/>
      <c r="R1676" s="576">
        <f t="shared" si="396"/>
        <v>0</v>
      </c>
      <c r="S1676" s="576">
        <f t="shared" si="396"/>
        <v>0</v>
      </c>
      <c r="T1676" s="577">
        <f t="shared" si="397"/>
        <v>0</v>
      </c>
      <c r="U1676" s="578">
        <f t="shared" si="398"/>
        <v>0</v>
      </c>
      <c r="V1676" s="579"/>
      <c r="W1676" s="566"/>
      <c r="X1676" s="586" t="str">
        <f t="shared" si="402"/>
        <v/>
      </c>
      <c r="Y1676" s="586" t="str">
        <f t="shared" si="395"/>
        <v/>
      </c>
      <c r="Z1676" s="586" t="str">
        <f t="shared" si="393"/>
        <v/>
      </c>
    </row>
    <row r="1677" spans="1:26" ht="12" hidden="1" thickBot="1" x14ac:dyDescent="0.25">
      <c r="A1677" s="652" t="s">
        <v>187</v>
      </c>
      <c r="B1677" s="572" t="s">
        <v>187</v>
      </c>
      <c r="C1677" s="573" t="s">
        <v>187</v>
      </c>
      <c r="D1677" s="580"/>
      <c r="E1677" s="575"/>
      <c r="F1677" s="436"/>
      <c r="G1677" s="431"/>
      <c r="H1677" s="430"/>
      <c r="I1677" s="432"/>
      <c r="J1677" s="433"/>
      <c r="K1677" s="437">
        <f t="shared" si="401"/>
        <v>0</v>
      </c>
      <c r="L1677" s="435" t="s">
        <v>614</v>
      </c>
      <c r="M1677" s="576"/>
      <c r="N1677" s="576">
        <f t="shared" si="394"/>
        <v>0</v>
      </c>
      <c r="O1677" s="577">
        <f t="shared" si="399"/>
        <v>0</v>
      </c>
      <c r="P1677" s="578">
        <f t="shared" si="400"/>
        <v>0</v>
      </c>
      <c r="Q1677" s="765"/>
      <c r="R1677" s="576">
        <f t="shared" si="396"/>
        <v>0</v>
      </c>
      <c r="S1677" s="576">
        <f t="shared" si="396"/>
        <v>0</v>
      </c>
      <c r="T1677" s="577">
        <f t="shared" si="397"/>
        <v>0</v>
      </c>
      <c r="U1677" s="578">
        <f t="shared" si="398"/>
        <v>0</v>
      </c>
      <c r="V1677" s="579"/>
      <c r="W1677" s="566"/>
      <c r="X1677" s="586" t="str">
        <f t="shared" si="402"/>
        <v/>
      </c>
      <c r="Y1677" s="586" t="str">
        <f t="shared" si="395"/>
        <v/>
      </c>
      <c r="Z1677" s="586" t="str">
        <f t="shared" si="393"/>
        <v/>
      </c>
    </row>
    <row r="1678" spans="1:26" ht="12" hidden="1" thickBot="1" x14ac:dyDescent="0.25">
      <c r="A1678" s="652" t="s">
        <v>187</v>
      </c>
      <c r="B1678" s="572" t="s">
        <v>187</v>
      </c>
      <c r="C1678" s="573" t="s">
        <v>187</v>
      </c>
      <c r="D1678" s="580"/>
      <c r="E1678" s="575"/>
      <c r="F1678" s="436"/>
      <c r="G1678" s="431"/>
      <c r="H1678" s="430"/>
      <c r="I1678" s="432"/>
      <c r="J1678" s="433"/>
      <c r="K1678" s="437">
        <f t="shared" si="401"/>
        <v>0</v>
      </c>
      <c r="L1678" s="435" t="s">
        <v>614</v>
      </c>
      <c r="M1678" s="576"/>
      <c r="N1678" s="576">
        <f t="shared" si="394"/>
        <v>0</v>
      </c>
      <c r="O1678" s="577">
        <f t="shared" si="399"/>
        <v>0</v>
      </c>
      <c r="P1678" s="578">
        <f t="shared" si="400"/>
        <v>0</v>
      </c>
      <c r="Q1678" s="765"/>
      <c r="R1678" s="576">
        <f t="shared" si="396"/>
        <v>0</v>
      </c>
      <c r="S1678" s="576">
        <f t="shared" si="396"/>
        <v>0</v>
      </c>
      <c r="T1678" s="577">
        <f t="shared" si="397"/>
        <v>0</v>
      </c>
      <c r="U1678" s="578">
        <f t="shared" si="398"/>
        <v>0</v>
      </c>
      <c r="V1678" s="579"/>
      <c r="W1678" s="566"/>
      <c r="X1678" s="586" t="str">
        <f t="shared" si="402"/>
        <v/>
      </c>
      <c r="Y1678" s="586" t="str">
        <f t="shared" si="395"/>
        <v/>
      </c>
      <c r="Z1678" s="586" t="str">
        <f t="shared" si="393"/>
        <v/>
      </c>
    </row>
    <row r="1679" spans="1:26" ht="12" hidden="1" thickBot="1" x14ac:dyDescent="0.25">
      <c r="A1679" s="652" t="s">
        <v>187</v>
      </c>
      <c r="B1679" s="572" t="s">
        <v>187</v>
      </c>
      <c r="C1679" s="573" t="s">
        <v>187</v>
      </c>
      <c r="D1679" s="580"/>
      <c r="E1679" s="575"/>
      <c r="F1679" s="436"/>
      <c r="G1679" s="431"/>
      <c r="H1679" s="430"/>
      <c r="I1679" s="432"/>
      <c r="J1679" s="433"/>
      <c r="K1679" s="437">
        <f t="shared" si="401"/>
        <v>0</v>
      </c>
      <c r="L1679" s="435" t="s">
        <v>614</v>
      </c>
      <c r="M1679" s="576"/>
      <c r="N1679" s="576">
        <f t="shared" si="394"/>
        <v>0</v>
      </c>
      <c r="O1679" s="577">
        <f t="shared" si="399"/>
        <v>0</v>
      </c>
      <c r="P1679" s="578">
        <f t="shared" si="400"/>
        <v>0</v>
      </c>
      <c r="Q1679" s="765"/>
      <c r="R1679" s="576">
        <f t="shared" si="396"/>
        <v>0</v>
      </c>
      <c r="S1679" s="576">
        <f t="shared" si="396"/>
        <v>0</v>
      </c>
      <c r="T1679" s="577">
        <f t="shared" si="397"/>
        <v>0</v>
      </c>
      <c r="U1679" s="578">
        <f t="shared" si="398"/>
        <v>0</v>
      </c>
      <c r="V1679" s="579"/>
      <c r="W1679" s="566"/>
      <c r="X1679" s="586" t="str">
        <f t="shared" si="402"/>
        <v/>
      </c>
      <c r="Y1679" s="586" t="str">
        <f t="shared" si="395"/>
        <v/>
      </c>
      <c r="Z1679" s="586" t="str">
        <f t="shared" si="393"/>
        <v/>
      </c>
    </row>
    <row r="1680" spans="1:26" ht="12" hidden="1" thickBot="1" x14ac:dyDescent="0.25">
      <c r="A1680" s="652" t="s">
        <v>187</v>
      </c>
      <c r="B1680" s="572" t="s">
        <v>187</v>
      </c>
      <c r="C1680" s="573" t="s">
        <v>187</v>
      </c>
      <c r="D1680" s="580"/>
      <c r="E1680" s="575"/>
      <c r="F1680" s="436"/>
      <c r="G1680" s="431"/>
      <c r="H1680" s="430"/>
      <c r="I1680" s="432"/>
      <c r="J1680" s="433"/>
      <c r="K1680" s="437">
        <f t="shared" si="401"/>
        <v>0</v>
      </c>
      <c r="L1680" s="435" t="s">
        <v>614</v>
      </c>
      <c r="M1680" s="576"/>
      <c r="N1680" s="576">
        <f t="shared" si="394"/>
        <v>0</v>
      </c>
      <c r="O1680" s="577">
        <f t="shared" si="399"/>
        <v>0</v>
      </c>
      <c r="P1680" s="578">
        <f t="shared" si="400"/>
        <v>0</v>
      </c>
      <c r="Q1680" s="765"/>
      <c r="R1680" s="576">
        <f t="shared" si="396"/>
        <v>0</v>
      </c>
      <c r="S1680" s="576">
        <f t="shared" si="396"/>
        <v>0</v>
      </c>
      <c r="T1680" s="577">
        <f t="shared" si="397"/>
        <v>0</v>
      </c>
      <c r="U1680" s="578">
        <f t="shared" si="398"/>
        <v>0</v>
      </c>
      <c r="V1680" s="579"/>
      <c r="W1680" s="566"/>
      <c r="X1680" s="586" t="str">
        <f t="shared" si="402"/>
        <v/>
      </c>
      <c r="Y1680" s="586" t="str">
        <f t="shared" si="395"/>
        <v/>
      </c>
      <c r="Z1680" s="586" t="str">
        <f t="shared" si="393"/>
        <v/>
      </c>
    </row>
    <row r="1681" spans="1:26" ht="12" hidden="1" thickBot="1" x14ac:dyDescent="0.25">
      <c r="A1681" s="652" t="s">
        <v>187</v>
      </c>
      <c r="B1681" s="572" t="s">
        <v>187</v>
      </c>
      <c r="C1681" s="573" t="s">
        <v>187</v>
      </c>
      <c r="D1681" s="580"/>
      <c r="E1681" s="575"/>
      <c r="F1681" s="436"/>
      <c r="G1681" s="431"/>
      <c r="H1681" s="430"/>
      <c r="I1681" s="432"/>
      <c r="J1681" s="433"/>
      <c r="K1681" s="437">
        <f t="shared" si="401"/>
        <v>0</v>
      </c>
      <c r="L1681" s="435" t="s">
        <v>614</v>
      </c>
      <c r="M1681" s="576"/>
      <c r="N1681" s="576">
        <f t="shared" si="394"/>
        <v>0</v>
      </c>
      <c r="O1681" s="577">
        <f t="shared" si="399"/>
        <v>0</v>
      </c>
      <c r="P1681" s="578">
        <f t="shared" si="400"/>
        <v>0</v>
      </c>
      <c r="Q1681" s="765"/>
      <c r="R1681" s="576">
        <f t="shared" si="396"/>
        <v>0</v>
      </c>
      <c r="S1681" s="576">
        <f t="shared" si="396"/>
        <v>0</v>
      </c>
      <c r="T1681" s="577">
        <f t="shared" si="397"/>
        <v>0</v>
      </c>
      <c r="U1681" s="578">
        <f t="shared" si="398"/>
        <v>0</v>
      </c>
      <c r="V1681" s="579"/>
      <c r="W1681" s="566"/>
      <c r="X1681" s="586" t="str">
        <f t="shared" si="402"/>
        <v/>
      </c>
      <c r="Y1681" s="586" t="str">
        <f t="shared" si="395"/>
        <v/>
      </c>
      <c r="Z1681" s="586" t="str">
        <f t="shared" si="393"/>
        <v/>
      </c>
    </row>
    <row r="1682" spans="1:26" ht="12" hidden="1" thickBot="1" x14ac:dyDescent="0.25">
      <c r="A1682" s="652" t="s">
        <v>187</v>
      </c>
      <c r="B1682" s="572" t="s">
        <v>187</v>
      </c>
      <c r="C1682" s="573" t="s">
        <v>187</v>
      </c>
      <c r="D1682" s="580"/>
      <c r="E1682" s="575"/>
      <c r="F1682" s="436"/>
      <c r="G1682" s="431"/>
      <c r="H1682" s="430"/>
      <c r="I1682" s="432"/>
      <c r="J1682" s="433"/>
      <c r="K1682" s="437">
        <f t="shared" si="401"/>
        <v>0</v>
      </c>
      <c r="L1682" s="435" t="s">
        <v>614</v>
      </c>
      <c r="M1682" s="576"/>
      <c r="N1682" s="576">
        <f t="shared" si="394"/>
        <v>0</v>
      </c>
      <c r="O1682" s="577">
        <f t="shared" si="399"/>
        <v>0</v>
      </c>
      <c r="P1682" s="578">
        <f t="shared" si="400"/>
        <v>0</v>
      </c>
      <c r="Q1682" s="765"/>
      <c r="R1682" s="576">
        <f t="shared" si="396"/>
        <v>0</v>
      </c>
      <c r="S1682" s="576">
        <f t="shared" si="396"/>
        <v>0</v>
      </c>
      <c r="T1682" s="577">
        <f t="shared" si="397"/>
        <v>0</v>
      </c>
      <c r="U1682" s="578">
        <f t="shared" si="398"/>
        <v>0</v>
      </c>
      <c r="V1682" s="579"/>
      <c r="W1682" s="566"/>
      <c r="X1682" s="586" t="str">
        <f t="shared" si="402"/>
        <v/>
      </c>
      <c r="Y1682" s="586" t="str">
        <f t="shared" si="395"/>
        <v/>
      </c>
      <c r="Z1682" s="586" t="str">
        <f t="shared" si="393"/>
        <v/>
      </c>
    </row>
    <row r="1683" spans="1:26" ht="12" hidden="1" thickBot="1" x14ac:dyDescent="0.25">
      <c r="A1683" s="652" t="s">
        <v>187</v>
      </c>
      <c r="B1683" s="572" t="s">
        <v>187</v>
      </c>
      <c r="C1683" s="573" t="s">
        <v>187</v>
      </c>
      <c r="D1683" s="580"/>
      <c r="E1683" s="575"/>
      <c r="F1683" s="436"/>
      <c r="G1683" s="431"/>
      <c r="H1683" s="430"/>
      <c r="I1683" s="432"/>
      <c r="J1683" s="433"/>
      <c r="K1683" s="437">
        <f t="shared" si="401"/>
        <v>0</v>
      </c>
      <c r="L1683" s="435" t="s">
        <v>614</v>
      </c>
      <c r="M1683" s="576"/>
      <c r="N1683" s="576">
        <f t="shared" si="394"/>
        <v>0</v>
      </c>
      <c r="O1683" s="577">
        <f t="shared" si="399"/>
        <v>0</v>
      </c>
      <c r="P1683" s="578">
        <f t="shared" si="400"/>
        <v>0</v>
      </c>
      <c r="Q1683" s="765"/>
      <c r="R1683" s="576">
        <f t="shared" si="396"/>
        <v>0</v>
      </c>
      <c r="S1683" s="576">
        <f t="shared" si="396"/>
        <v>0</v>
      </c>
      <c r="T1683" s="577">
        <f t="shared" si="397"/>
        <v>0</v>
      </c>
      <c r="U1683" s="578">
        <f t="shared" si="398"/>
        <v>0</v>
      </c>
      <c r="V1683" s="579"/>
      <c r="W1683" s="566"/>
      <c r="X1683" s="586" t="str">
        <f t="shared" si="402"/>
        <v/>
      </c>
      <c r="Y1683" s="586" t="str">
        <f t="shared" si="395"/>
        <v/>
      </c>
      <c r="Z1683" s="586" t="str">
        <f t="shared" ref="Z1683:Z1746" si="403">IF(W1683="X","x",IF(U1683&gt;0,"x",""))</f>
        <v/>
      </c>
    </row>
    <row r="1684" spans="1:26" ht="12" hidden="1" thickBot="1" x14ac:dyDescent="0.25">
      <c r="A1684" s="652" t="s">
        <v>187</v>
      </c>
      <c r="B1684" s="572" t="s">
        <v>187</v>
      </c>
      <c r="C1684" s="573" t="s">
        <v>187</v>
      </c>
      <c r="D1684" s="580"/>
      <c r="E1684" s="575"/>
      <c r="F1684" s="436"/>
      <c r="G1684" s="431"/>
      <c r="H1684" s="430"/>
      <c r="I1684" s="432"/>
      <c r="J1684" s="433"/>
      <c r="K1684" s="437">
        <f t="shared" si="401"/>
        <v>0</v>
      </c>
      <c r="L1684" s="435" t="s">
        <v>614</v>
      </c>
      <c r="M1684" s="576"/>
      <c r="N1684" s="576">
        <f t="shared" ref="N1684:N1747" si="404">IF(M1684=0,0,K1684)</f>
        <v>0</v>
      </c>
      <c r="O1684" s="577">
        <f t="shared" si="399"/>
        <v>0</v>
      </c>
      <c r="P1684" s="578">
        <f t="shared" si="400"/>
        <v>0</v>
      </c>
      <c r="Q1684" s="765"/>
      <c r="R1684" s="576">
        <f t="shared" si="396"/>
        <v>0</v>
      </c>
      <c r="S1684" s="576">
        <f t="shared" si="396"/>
        <v>0</v>
      </c>
      <c r="T1684" s="577">
        <f t="shared" si="397"/>
        <v>0</v>
      </c>
      <c r="U1684" s="578">
        <f t="shared" si="398"/>
        <v>0</v>
      </c>
      <c r="V1684" s="579"/>
      <c r="W1684" s="566"/>
      <c r="X1684" s="586" t="str">
        <f t="shared" si="402"/>
        <v/>
      </c>
      <c r="Y1684" s="586" t="str">
        <f t="shared" si="395"/>
        <v/>
      </c>
      <c r="Z1684" s="586" t="str">
        <f t="shared" si="403"/>
        <v/>
      </c>
    </row>
    <row r="1685" spans="1:26" ht="12" hidden="1" thickBot="1" x14ac:dyDescent="0.25">
      <c r="A1685" s="652" t="s">
        <v>187</v>
      </c>
      <c r="B1685" s="572" t="s">
        <v>187</v>
      </c>
      <c r="C1685" s="573" t="s">
        <v>187</v>
      </c>
      <c r="D1685" s="580"/>
      <c r="E1685" s="575"/>
      <c r="F1685" s="436"/>
      <c r="G1685" s="431"/>
      <c r="H1685" s="430"/>
      <c r="I1685" s="432"/>
      <c r="J1685" s="433"/>
      <c r="K1685" s="437">
        <f t="shared" si="401"/>
        <v>0</v>
      </c>
      <c r="L1685" s="435" t="s">
        <v>614</v>
      </c>
      <c r="M1685" s="576"/>
      <c r="N1685" s="576">
        <f t="shared" si="404"/>
        <v>0</v>
      </c>
      <c r="O1685" s="577">
        <f t="shared" si="399"/>
        <v>0</v>
      </c>
      <c r="P1685" s="578">
        <f t="shared" si="400"/>
        <v>0</v>
      </c>
      <c r="Q1685" s="765"/>
      <c r="R1685" s="576">
        <f t="shared" si="396"/>
        <v>0</v>
      </c>
      <c r="S1685" s="576">
        <f t="shared" si="396"/>
        <v>0</v>
      </c>
      <c r="T1685" s="577">
        <f t="shared" si="397"/>
        <v>0</v>
      </c>
      <c r="U1685" s="578">
        <f t="shared" si="398"/>
        <v>0</v>
      </c>
      <c r="V1685" s="579"/>
      <c r="W1685" s="566"/>
      <c r="X1685" s="586" t="str">
        <f t="shared" si="402"/>
        <v/>
      </c>
      <c r="Y1685" s="586" t="str">
        <f t="shared" si="395"/>
        <v/>
      </c>
      <c r="Z1685" s="586" t="str">
        <f t="shared" si="403"/>
        <v/>
      </c>
    </row>
    <row r="1686" spans="1:26" ht="12" hidden="1" thickBot="1" x14ac:dyDescent="0.25">
      <c r="A1686" s="652" t="s">
        <v>187</v>
      </c>
      <c r="B1686" s="572" t="s">
        <v>187</v>
      </c>
      <c r="C1686" s="573" t="s">
        <v>187</v>
      </c>
      <c r="D1686" s="580"/>
      <c r="E1686" s="575"/>
      <c r="F1686" s="436"/>
      <c r="G1686" s="431"/>
      <c r="H1686" s="430"/>
      <c r="I1686" s="432"/>
      <c r="J1686" s="433"/>
      <c r="K1686" s="437">
        <f t="shared" si="401"/>
        <v>0</v>
      </c>
      <c r="L1686" s="435" t="s">
        <v>614</v>
      </c>
      <c r="M1686" s="576"/>
      <c r="N1686" s="576">
        <f t="shared" si="404"/>
        <v>0</v>
      </c>
      <c r="O1686" s="577">
        <f t="shared" si="399"/>
        <v>0</v>
      </c>
      <c r="P1686" s="578">
        <f t="shared" si="400"/>
        <v>0</v>
      </c>
      <c r="Q1686" s="765"/>
      <c r="R1686" s="576">
        <f t="shared" si="396"/>
        <v>0</v>
      </c>
      <c r="S1686" s="576">
        <f t="shared" si="396"/>
        <v>0</v>
      </c>
      <c r="T1686" s="577">
        <f t="shared" si="397"/>
        <v>0</v>
      </c>
      <c r="U1686" s="578">
        <f t="shared" si="398"/>
        <v>0</v>
      </c>
      <c r="V1686" s="579"/>
      <c r="W1686" s="566"/>
      <c r="X1686" s="586" t="str">
        <f t="shared" si="402"/>
        <v/>
      </c>
      <c r="Y1686" s="586" t="str">
        <f t="shared" si="395"/>
        <v/>
      </c>
      <c r="Z1686" s="586" t="str">
        <f t="shared" si="403"/>
        <v/>
      </c>
    </row>
    <row r="1687" spans="1:26" ht="12" hidden="1" thickBot="1" x14ac:dyDescent="0.25">
      <c r="A1687" s="652" t="s">
        <v>187</v>
      </c>
      <c r="B1687" s="572" t="s">
        <v>187</v>
      </c>
      <c r="C1687" s="573" t="s">
        <v>187</v>
      </c>
      <c r="D1687" s="580"/>
      <c r="E1687" s="575"/>
      <c r="F1687" s="436"/>
      <c r="G1687" s="431"/>
      <c r="H1687" s="430"/>
      <c r="I1687" s="432"/>
      <c r="J1687" s="433"/>
      <c r="K1687" s="437">
        <f t="shared" si="401"/>
        <v>0</v>
      </c>
      <c r="L1687" s="435" t="s">
        <v>614</v>
      </c>
      <c r="M1687" s="576"/>
      <c r="N1687" s="576">
        <f t="shared" si="404"/>
        <v>0</v>
      </c>
      <c r="O1687" s="577">
        <f t="shared" si="399"/>
        <v>0</v>
      </c>
      <c r="P1687" s="578">
        <f t="shared" si="400"/>
        <v>0</v>
      </c>
      <c r="Q1687" s="765"/>
      <c r="R1687" s="576">
        <f t="shared" si="396"/>
        <v>0</v>
      </c>
      <c r="S1687" s="576">
        <f t="shared" si="396"/>
        <v>0</v>
      </c>
      <c r="T1687" s="577">
        <f t="shared" si="397"/>
        <v>0</v>
      </c>
      <c r="U1687" s="578">
        <f t="shared" si="398"/>
        <v>0</v>
      </c>
      <c r="V1687" s="579"/>
      <c r="W1687" s="566"/>
      <c r="X1687" s="586" t="str">
        <f t="shared" si="402"/>
        <v/>
      </c>
      <c r="Y1687" s="586" t="str">
        <f t="shared" si="395"/>
        <v/>
      </c>
      <c r="Z1687" s="586" t="str">
        <f t="shared" si="403"/>
        <v/>
      </c>
    </row>
    <row r="1688" spans="1:26" ht="12" hidden="1" thickBot="1" x14ac:dyDescent="0.25">
      <c r="A1688" s="652" t="s">
        <v>187</v>
      </c>
      <c r="B1688" s="572" t="s">
        <v>187</v>
      </c>
      <c r="C1688" s="573" t="s">
        <v>187</v>
      </c>
      <c r="D1688" s="580"/>
      <c r="E1688" s="575"/>
      <c r="F1688" s="436"/>
      <c r="G1688" s="431"/>
      <c r="H1688" s="430"/>
      <c r="I1688" s="432"/>
      <c r="J1688" s="433"/>
      <c r="K1688" s="437">
        <f t="shared" si="401"/>
        <v>0</v>
      </c>
      <c r="L1688" s="435" t="s">
        <v>614</v>
      </c>
      <c r="M1688" s="576"/>
      <c r="N1688" s="576">
        <f t="shared" si="404"/>
        <v>0</v>
      </c>
      <c r="O1688" s="577">
        <f t="shared" si="399"/>
        <v>0</v>
      </c>
      <c r="P1688" s="578">
        <f t="shared" si="400"/>
        <v>0</v>
      </c>
      <c r="Q1688" s="765"/>
      <c r="R1688" s="576">
        <f t="shared" si="396"/>
        <v>0</v>
      </c>
      <c r="S1688" s="576">
        <f t="shared" si="396"/>
        <v>0</v>
      </c>
      <c r="T1688" s="577">
        <f t="shared" si="397"/>
        <v>0</v>
      </c>
      <c r="U1688" s="578">
        <f t="shared" si="398"/>
        <v>0</v>
      </c>
      <c r="V1688" s="579"/>
      <c r="W1688" s="566"/>
      <c r="X1688" s="586" t="str">
        <f t="shared" si="402"/>
        <v/>
      </c>
      <c r="Y1688" s="586" t="str">
        <f t="shared" si="395"/>
        <v/>
      </c>
      <c r="Z1688" s="586" t="str">
        <f t="shared" si="403"/>
        <v/>
      </c>
    </row>
    <row r="1689" spans="1:26" ht="12" hidden="1" thickBot="1" x14ac:dyDescent="0.25">
      <c r="A1689" s="652" t="s">
        <v>187</v>
      </c>
      <c r="B1689" s="581" t="s">
        <v>187</v>
      </c>
      <c r="C1689" s="582" t="s">
        <v>187</v>
      </c>
      <c r="D1689" s="583"/>
      <c r="E1689" s="584"/>
      <c r="F1689" s="438"/>
      <c r="G1689" s="439"/>
      <c r="H1689" s="440"/>
      <c r="I1689" s="441"/>
      <c r="J1689" s="442"/>
      <c r="K1689" s="443">
        <f t="shared" si="401"/>
        <v>0</v>
      </c>
      <c r="L1689" s="444" t="s">
        <v>614</v>
      </c>
      <c r="M1689" s="576"/>
      <c r="N1689" s="576">
        <f t="shared" si="404"/>
        <v>0</v>
      </c>
      <c r="O1689" s="585">
        <f t="shared" si="399"/>
        <v>0</v>
      </c>
      <c r="P1689" s="660">
        <f t="shared" si="400"/>
        <v>0</v>
      </c>
      <c r="Q1689" s="765"/>
      <c r="R1689" s="576">
        <f t="shared" si="396"/>
        <v>0</v>
      </c>
      <c r="S1689" s="576">
        <f t="shared" si="396"/>
        <v>0</v>
      </c>
      <c r="T1689" s="585">
        <f t="shared" si="397"/>
        <v>0</v>
      </c>
      <c r="U1689" s="660">
        <f t="shared" si="398"/>
        <v>0</v>
      </c>
      <c r="V1689" s="579"/>
      <c r="W1689" s="566"/>
      <c r="X1689" s="586" t="str">
        <f t="shared" si="402"/>
        <v/>
      </c>
      <c r="Y1689" s="586" t="str">
        <f t="shared" si="395"/>
        <v/>
      </c>
      <c r="Z1689" s="586" t="str">
        <f t="shared" si="403"/>
        <v/>
      </c>
    </row>
    <row r="1690" spans="1:26" ht="12" hidden="1" thickBot="1" x14ac:dyDescent="0.25">
      <c r="A1690" s="567" t="s">
        <v>473</v>
      </c>
      <c r="B1690" s="664" t="s">
        <v>471</v>
      </c>
      <c r="C1690" s="665"/>
      <c r="D1690" s="666" t="s">
        <v>472</v>
      </c>
      <c r="E1690" s="631"/>
      <c r="F1690" s="632"/>
      <c r="G1690" s="633"/>
      <c r="H1690" s="634"/>
      <c r="I1690" s="409">
        <v>0</v>
      </c>
      <c r="J1690" s="409"/>
      <c r="K1690" s="409"/>
      <c r="L1690" s="409" t="s">
        <v>614</v>
      </c>
      <c r="M1690" s="634"/>
      <c r="N1690" s="797"/>
      <c r="O1690" s="409">
        <f t="shared" si="399"/>
        <v>0</v>
      </c>
      <c r="P1690" s="635">
        <f t="shared" si="400"/>
        <v>0</v>
      </c>
      <c r="Q1690" s="635">
        <f>SUM(P1691:P1784)</f>
        <v>0</v>
      </c>
      <c r="R1690" s="634"/>
      <c r="S1690" s="409"/>
      <c r="T1690" s="409">
        <f t="shared" si="397"/>
        <v>0</v>
      </c>
      <c r="U1690" s="635">
        <f t="shared" si="398"/>
        <v>0</v>
      </c>
      <c r="V1690" s="636">
        <f>SUM(U1691:U1784)</f>
        <v>0</v>
      </c>
      <c r="W1690" s="637" t="str">
        <f>IF(OR(Q1690&gt;0,V1690&gt;0),"X","")</f>
        <v/>
      </c>
      <c r="X1690" s="586" t="str">
        <f t="shared" si="402"/>
        <v/>
      </c>
      <c r="Y1690" s="586" t="str">
        <f t="shared" si="395"/>
        <v/>
      </c>
      <c r="Z1690" s="586" t="str">
        <f t="shared" si="403"/>
        <v/>
      </c>
    </row>
    <row r="1691" spans="1:26" ht="12" hidden="1" thickBot="1" x14ac:dyDescent="0.25">
      <c r="A1691" s="567">
        <v>850000</v>
      </c>
      <c r="B1691" s="644">
        <v>850000</v>
      </c>
      <c r="C1691" s="645" t="s">
        <v>206</v>
      </c>
      <c r="D1691" s="422" t="s">
        <v>294</v>
      </c>
      <c r="E1691" s="423"/>
      <c r="F1691" s="418">
        <v>20</v>
      </c>
      <c r="G1691" s="425">
        <v>1.73</v>
      </c>
      <c r="H1691" s="649">
        <f t="shared" ref="H1691" si="405">IF(F1691&lt;=30,(1.07*F1691+2.68)*G1691,((1.07*30+2.68)+1.07*(F1691-30))*G1691)</f>
        <v>41.6584</v>
      </c>
      <c r="I1691" s="420">
        <v>7093.9400000000005</v>
      </c>
      <c r="J1691" s="420">
        <f t="shared" ref="J1691:J1696" si="406">IF(ISBLANK(I1691),"",SUM(H1691:I1691))</f>
        <v>7135.5984000000008</v>
      </c>
      <c r="K1691" s="421">
        <f t="shared" ref="K1691:K1751" si="407">IF(ISBLANK(I1691),0,ROUND(J1691*(1+$F$10)*(1+$F$11*E1691),2))</f>
        <v>8477.7999999999993</v>
      </c>
      <c r="L1691" s="647" t="s">
        <v>21</v>
      </c>
      <c r="M1691" s="576"/>
      <c r="N1691" s="576">
        <f t="shared" si="404"/>
        <v>0</v>
      </c>
      <c r="O1691" s="577">
        <f t="shared" si="399"/>
        <v>0</v>
      </c>
      <c r="P1691" s="578">
        <f t="shared" si="400"/>
        <v>0</v>
      </c>
      <c r="Q1691" s="765"/>
      <c r="R1691" s="576">
        <f t="shared" si="396"/>
        <v>0</v>
      </c>
      <c r="S1691" s="576">
        <f t="shared" si="396"/>
        <v>0</v>
      </c>
      <c r="T1691" s="577">
        <f t="shared" si="397"/>
        <v>0</v>
      </c>
      <c r="U1691" s="578">
        <f t="shared" si="398"/>
        <v>0</v>
      </c>
      <c r="V1691" s="579"/>
      <c r="W1691" s="566"/>
      <c r="X1691" s="586" t="str">
        <f t="shared" si="402"/>
        <v/>
      </c>
      <c r="Y1691" s="586" t="str">
        <f t="shared" si="395"/>
        <v/>
      </c>
      <c r="Z1691" s="586" t="str">
        <f t="shared" si="403"/>
        <v/>
      </c>
    </row>
    <row r="1692" spans="1:26" ht="12" hidden="1" thickBot="1" x14ac:dyDescent="0.25">
      <c r="A1692" s="567">
        <v>603000</v>
      </c>
      <c r="B1692" s="644" t="s">
        <v>1861</v>
      </c>
      <c r="C1692" s="645" t="s">
        <v>206</v>
      </c>
      <c r="D1692" s="422" t="s">
        <v>276</v>
      </c>
      <c r="E1692" s="423"/>
      <c r="F1692" s="424"/>
      <c r="G1692" s="425"/>
      <c r="H1692" s="663"/>
      <c r="I1692" s="420">
        <v>17.84</v>
      </c>
      <c r="J1692" s="420">
        <f t="shared" si="406"/>
        <v>17.84</v>
      </c>
      <c r="K1692" s="421">
        <f t="shared" si="407"/>
        <v>21.2</v>
      </c>
      <c r="L1692" s="647" t="s">
        <v>23</v>
      </c>
      <c r="M1692" s="576"/>
      <c r="N1692" s="576">
        <f t="shared" si="404"/>
        <v>0</v>
      </c>
      <c r="O1692" s="577">
        <f t="shared" si="399"/>
        <v>0</v>
      </c>
      <c r="P1692" s="578">
        <f t="shared" si="400"/>
        <v>0</v>
      </c>
      <c r="Q1692" s="765"/>
      <c r="R1692" s="576">
        <f t="shared" si="396"/>
        <v>0</v>
      </c>
      <c r="S1692" s="576">
        <f t="shared" si="396"/>
        <v>0</v>
      </c>
      <c r="T1692" s="577">
        <f t="shared" si="397"/>
        <v>0</v>
      </c>
      <c r="U1692" s="578">
        <f t="shared" si="398"/>
        <v>0</v>
      </c>
      <c r="V1692" s="579"/>
      <c r="W1692" s="566"/>
      <c r="X1692" s="586" t="str">
        <f t="shared" si="402"/>
        <v/>
      </c>
      <c r="Y1692" s="586" t="str">
        <f t="shared" si="395"/>
        <v/>
      </c>
      <c r="Z1692" s="586" t="str">
        <f t="shared" si="403"/>
        <v/>
      </c>
    </row>
    <row r="1693" spans="1:26" ht="12" hidden="1" thickBot="1" x14ac:dyDescent="0.25">
      <c r="A1693" s="567">
        <v>603300</v>
      </c>
      <c r="B1693" s="644" t="s">
        <v>1862</v>
      </c>
      <c r="C1693" s="645" t="s">
        <v>206</v>
      </c>
      <c r="D1693" s="422" t="s">
        <v>277</v>
      </c>
      <c r="E1693" s="423"/>
      <c r="F1693" s="424"/>
      <c r="G1693" s="425"/>
      <c r="H1693" s="663"/>
      <c r="I1693" s="420">
        <v>19.490000000000002</v>
      </c>
      <c r="J1693" s="420">
        <f t="shared" si="406"/>
        <v>19.490000000000002</v>
      </c>
      <c r="K1693" s="421">
        <f t="shared" si="407"/>
        <v>23.16</v>
      </c>
      <c r="L1693" s="647" t="s">
        <v>23</v>
      </c>
      <c r="M1693" s="576"/>
      <c r="N1693" s="576">
        <f t="shared" si="404"/>
        <v>0</v>
      </c>
      <c r="O1693" s="577">
        <f t="shared" si="399"/>
        <v>0</v>
      </c>
      <c r="P1693" s="578">
        <f t="shared" si="400"/>
        <v>0</v>
      </c>
      <c r="Q1693" s="765"/>
      <c r="R1693" s="576">
        <f t="shared" si="396"/>
        <v>0</v>
      </c>
      <c r="S1693" s="576">
        <f t="shared" si="396"/>
        <v>0</v>
      </c>
      <c r="T1693" s="577">
        <f t="shared" si="397"/>
        <v>0</v>
      </c>
      <c r="U1693" s="578">
        <f t="shared" si="398"/>
        <v>0</v>
      </c>
      <c r="V1693" s="579"/>
      <c r="W1693" s="566"/>
      <c r="X1693" s="586" t="str">
        <f t="shared" si="402"/>
        <v/>
      </c>
      <c r="Y1693" s="586" t="str">
        <f t="shared" si="395"/>
        <v/>
      </c>
      <c r="Z1693" s="586" t="str">
        <f t="shared" si="403"/>
        <v/>
      </c>
    </row>
    <row r="1694" spans="1:26" ht="12" hidden="1" thickBot="1" x14ac:dyDescent="0.25">
      <c r="A1694" s="567">
        <v>601100</v>
      </c>
      <c r="B1694" s="644" t="s">
        <v>1627</v>
      </c>
      <c r="C1694" s="645" t="s">
        <v>206</v>
      </c>
      <c r="D1694" s="422" t="s">
        <v>335</v>
      </c>
      <c r="E1694" s="423"/>
      <c r="F1694" s="424"/>
      <c r="G1694" s="425"/>
      <c r="H1694" s="651"/>
      <c r="I1694" s="420">
        <v>50.31</v>
      </c>
      <c r="J1694" s="420">
        <f t="shared" si="406"/>
        <v>50.31</v>
      </c>
      <c r="K1694" s="421">
        <f t="shared" si="407"/>
        <v>59.77</v>
      </c>
      <c r="L1694" s="647" t="s">
        <v>16</v>
      </c>
      <c r="M1694" s="576"/>
      <c r="N1694" s="576">
        <f t="shared" si="404"/>
        <v>0</v>
      </c>
      <c r="O1694" s="577">
        <f t="shared" si="399"/>
        <v>0</v>
      </c>
      <c r="P1694" s="578">
        <f t="shared" si="400"/>
        <v>0</v>
      </c>
      <c r="Q1694" s="765"/>
      <c r="R1694" s="576">
        <f t="shared" si="396"/>
        <v>0</v>
      </c>
      <c r="S1694" s="576">
        <f t="shared" si="396"/>
        <v>0</v>
      </c>
      <c r="T1694" s="577">
        <f t="shared" si="397"/>
        <v>0</v>
      </c>
      <c r="U1694" s="578">
        <f t="shared" si="398"/>
        <v>0</v>
      </c>
      <c r="V1694" s="579"/>
      <c r="W1694" s="566"/>
      <c r="X1694" s="586" t="str">
        <f t="shared" si="402"/>
        <v/>
      </c>
      <c r="Y1694" s="586" t="str">
        <f t="shared" si="395"/>
        <v/>
      </c>
      <c r="Z1694" s="586" t="str">
        <f t="shared" si="403"/>
        <v/>
      </c>
    </row>
    <row r="1695" spans="1:26" ht="12" hidden="1" thickBot="1" x14ac:dyDescent="0.25">
      <c r="A1695" s="567">
        <v>520100</v>
      </c>
      <c r="B1695" s="644" t="s">
        <v>1863</v>
      </c>
      <c r="C1695" s="645" t="s">
        <v>206</v>
      </c>
      <c r="D1695" s="422" t="s">
        <v>285</v>
      </c>
      <c r="E1695" s="423"/>
      <c r="F1695" s="418">
        <v>0.5</v>
      </c>
      <c r="G1695" s="419">
        <f>1.5*1.4</f>
        <v>2.0999999999999996</v>
      </c>
      <c r="H1695" s="649">
        <f t="shared" ref="H1695:H1698" si="408">IF(F1695&lt;=30,(1.07*F1695+2.68)*G1695,((1.07*30+2.68)+1.07*(F1695-30))*G1695)</f>
        <v>6.7514999999999992</v>
      </c>
      <c r="I1695" s="449">
        <v>13.587999999999999</v>
      </c>
      <c r="J1695" s="420">
        <f t="shared" si="406"/>
        <v>20.339499999999997</v>
      </c>
      <c r="K1695" s="421">
        <f t="shared" si="407"/>
        <v>24.17</v>
      </c>
      <c r="L1695" s="647" t="s">
        <v>16</v>
      </c>
      <c r="M1695" s="576"/>
      <c r="N1695" s="576">
        <f t="shared" si="404"/>
        <v>0</v>
      </c>
      <c r="O1695" s="577">
        <f t="shared" si="399"/>
        <v>0</v>
      </c>
      <c r="P1695" s="578">
        <f t="shared" si="400"/>
        <v>0</v>
      </c>
      <c r="Q1695" s="765"/>
      <c r="R1695" s="576">
        <f t="shared" si="396"/>
        <v>0</v>
      </c>
      <c r="S1695" s="576">
        <f t="shared" si="396"/>
        <v>0</v>
      </c>
      <c r="T1695" s="577">
        <f t="shared" si="397"/>
        <v>0</v>
      </c>
      <c r="U1695" s="578">
        <f t="shared" si="398"/>
        <v>0</v>
      </c>
      <c r="V1695" s="579"/>
      <c r="W1695" s="566"/>
      <c r="X1695" s="586" t="str">
        <f t="shared" si="402"/>
        <v/>
      </c>
      <c r="Y1695" s="586" t="str">
        <f t="shared" si="395"/>
        <v/>
      </c>
      <c r="Z1695" s="586" t="str">
        <f t="shared" si="403"/>
        <v/>
      </c>
    </row>
    <row r="1696" spans="1:26" ht="12" hidden="1" thickBot="1" x14ac:dyDescent="0.25">
      <c r="A1696" s="567">
        <v>520100</v>
      </c>
      <c r="B1696" s="644" t="s">
        <v>1864</v>
      </c>
      <c r="C1696" s="645" t="s">
        <v>206</v>
      </c>
      <c r="D1696" s="422" t="s">
        <v>286</v>
      </c>
      <c r="E1696" s="423"/>
      <c r="F1696" s="418">
        <v>15</v>
      </c>
      <c r="G1696" s="419">
        <f>1.5*1.4</f>
        <v>2.0999999999999996</v>
      </c>
      <c r="H1696" s="649">
        <f t="shared" si="408"/>
        <v>39.332999999999991</v>
      </c>
      <c r="I1696" s="449">
        <v>13.587999999999999</v>
      </c>
      <c r="J1696" s="420">
        <f t="shared" si="406"/>
        <v>52.920999999999992</v>
      </c>
      <c r="K1696" s="421">
        <f t="shared" si="407"/>
        <v>62.88</v>
      </c>
      <c r="L1696" s="647" t="s">
        <v>16</v>
      </c>
      <c r="M1696" s="576"/>
      <c r="N1696" s="576">
        <f t="shared" si="404"/>
        <v>0</v>
      </c>
      <c r="O1696" s="577">
        <f t="shared" si="399"/>
        <v>0</v>
      </c>
      <c r="P1696" s="578">
        <f t="shared" si="400"/>
        <v>0</v>
      </c>
      <c r="Q1696" s="765"/>
      <c r="R1696" s="576">
        <f t="shared" si="396"/>
        <v>0</v>
      </c>
      <c r="S1696" s="576">
        <f t="shared" si="396"/>
        <v>0</v>
      </c>
      <c r="T1696" s="577">
        <f t="shared" si="397"/>
        <v>0</v>
      </c>
      <c r="U1696" s="578">
        <f t="shared" si="398"/>
        <v>0</v>
      </c>
      <c r="V1696" s="579"/>
      <c r="W1696" s="566"/>
      <c r="X1696" s="586" t="str">
        <f t="shared" si="402"/>
        <v/>
      </c>
      <c r="Y1696" s="586" t="str">
        <f t="shared" si="395"/>
        <v/>
      </c>
      <c r="Z1696" s="586" t="str">
        <f t="shared" si="403"/>
        <v/>
      </c>
    </row>
    <row r="1697" spans="1:26" ht="12" hidden="1" thickBot="1" x14ac:dyDescent="0.25">
      <c r="A1697" s="567">
        <v>532500</v>
      </c>
      <c r="B1697" s="644" t="s">
        <v>1865</v>
      </c>
      <c r="C1697" s="645" t="s">
        <v>206</v>
      </c>
      <c r="D1697" s="451" t="s">
        <v>340</v>
      </c>
      <c r="E1697" s="423"/>
      <c r="F1697" s="424">
        <v>20</v>
      </c>
      <c r="G1697" s="425">
        <v>1.7250000000000001</v>
      </c>
      <c r="H1697" s="649">
        <f t="shared" si="408"/>
        <v>41.538000000000004</v>
      </c>
      <c r="I1697" s="420">
        <v>97.26</v>
      </c>
      <c r="J1697" s="420">
        <f>IF(ISBLANK(I1697),"",SUM(H1697:I1697))</f>
        <v>138.798</v>
      </c>
      <c r="K1697" s="421">
        <f t="shared" si="407"/>
        <v>164.91</v>
      </c>
      <c r="L1697" s="647" t="s">
        <v>16</v>
      </c>
      <c r="M1697" s="576"/>
      <c r="N1697" s="576">
        <f t="shared" si="404"/>
        <v>0</v>
      </c>
      <c r="O1697" s="577">
        <f t="shared" si="399"/>
        <v>0</v>
      </c>
      <c r="P1697" s="578">
        <f t="shared" si="400"/>
        <v>0</v>
      </c>
      <c r="Q1697" s="765"/>
      <c r="R1697" s="576">
        <f t="shared" si="396"/>
        <v>0</v>
      </c>
      <c r="S1697" s="576">
        <f t="shared" si="396"/>
        <v>0</v>
      </c>
      <c r="T1697" s="577">
        <f t="shared" si="397"/>
        <v>0</v>
      </c>
      <c r="U1697" s="578">
        <f t="shared" si="398"/>
        <v>0</v>
      </c>
      <c r="V1697" s="579"/>
      <c r="W1697" s="566"/>
      <c r="X1697" s="586" t="str">
        <f t="shared" si="402"/>
        <v/>
      </c>
      <c r="Y1697" s="586" t="str">
        <f t="shared" si="395"/>
        <v/>
      </c>
      <c r="Z1697" s="586" t="str">
        <f t="shared" si="403"/>
        <v/>
      </c>
    </row>
    <row r="1698" spans="1:26" ht="14.45" hidden="1" customHeight="1" x14ac:dyDescent="0.2">
      <c r="A1698" s="567">
        <v>603900</v>
      </c>
      <c r="B1698" s="644" t="s">
        <v>1866</v>
      </c>
      <c r="C1698" s="645" t="s">
        <v>206</v>
      </c>
      <c r="D1698" s="451" t="s">
        <v>341</v>
      </c>
      <c r="E1698" s="423"/>
      <c r="F1698" s="424">
        <v>20</v>
      </c>
      <c r="G1698" s="425">
        <v>1.5</v>
      </c>
      <c r="H1698" s="649">
        <f t="shared" si="408"/>
        <v>36.120000000000005</v>
      </c>
      <c r="I1698" s="420">
        <v>124.3</v>
      </c>
      <c r="J1698" s="420">
        <f>IF(ISBLANK(I1698),"",SUM(H1698:I1698))</f>
        <v>160.42000000000002</v>
      </c>
      <c r="K1698" s="421">
        <f t="shared" si="407"/>
        <v>190.6</v>
      </c>
      <c r="L1698" s="647" t="s">
        <v>16</v>
      </c>
      <c r="M1698" s="576"/>
      <c r="N1698" s="576">
        <f t="shared" si="404"/>
        <v>0</v>
      </c>
      <c r="O1698" s="577">
        <f t="shared" si="399"/>
        <v>0</v>
      </c>
      <c r="P1698" s="578">
        <f t="shared" si="400"/>
        <v>0</v>
      </c>
      <c r="Q1698" s="765"/>
      <c r="R1698" s="576">
        <f t="shared" si="396"/>
        <v>0</v>
      </c>
      <c r="S1698" s="576">
        <f t="shared" si="396"/>
        <v>0</v>
      </c>
      <c r="T1698" s="577">
        <f t="shared" si="397"/>
        <v>0</v>
      </c>
      <c r="U1698" s="578">
        <f t="shared" si="398"/>
        <v>0</v>
      </c>
      <c r="V1698" s="579"/>
      <c r="W1698" s="566"/>
      <c r="X1698" s="586" t="str">
        <f t="shared" si="402"/>
        <v/>
      </c>
      <c r="Y1698" s="586" t="str">
        <f t="shared" si="395"/>
        <v/>
      </c>
      <c r="Z1698" s="586" t="str">
        <f t="shared" si="403"/>
        <v/>
      </c>
    </row>
    <row r="1699" spans="1:26" ht="12" hidden="1" thickBot="1" x14ac:dyDescent="0.25">
      <c r="A1699" s="567">
        <v>605000</v>
      </c>
      <c r="B1699" s="644" t="s">
        <v>1867</v>
      </c>
      <c r="C1699" s="645" t="s">
        <v>206</v>
      </c>
      <c r="D1699" s="422" t="s">
        <v>274</v>
      </c>
      <c r="E1699" s="423"/>
      <c r="F1699" s="424"/>
      <c r="G1699" s="425"/>
      <c r="H1699" s="651">
        <f>SUM(H1700:H1702)</f>
        <v>305.33319999999998</v>
      </c>
      <c r="I1699" s="420">
        <v>408.95</v>
      </c>
      <c r="J1699" s="420">
        <f>IF(ISBLANK(I1699),"",SUM(H1699:I1699))</f>
        <v>714.28319999999997</v>
      </c>
      <c r="K1699" s="421">
        <f t="shared" si="407"/>
        <v>848.64</v>
      </c>
      <c r="L1699" s="647" t="s">
        <v>16</v>
      </c>
      <c r="M1699" s="576"/>
      <c r="N1699" s="576">
        <f t="shared" si="404"/>
        <v>0</v>
      </c>
      <c r="O1699" s="577">
        <f t="shared" si="399"/>
        <v>0</v>
      </c>
      <c r="P1699" s="578">
        <f t="shared" si="400"/>
        <v>0</v>
      </c>
      <c r="Q1699" s="765"/>
      <c r="R1699" s="576">
        <f t="shared" si="396"/>
        <v>0</v>
      </c>
      <c r="S1699" s="576">
        <f t="shared" si="396"/>
        <v>0</v>
      </c>
      <c r="T1699" s="577">
        <f t="shared" si="397"/>
        <v>0</v>
      </c>
      <c r="U1699" s="578">
        <f t="shared" si="398"/>
        <v>0</v>
      </c>
      <c r="V1699" s="579"/>
      <c r="W1699" s="566"/>
      <c r="X1699" s="586" t="str">
        <f t="shared" si="402"/>
        <v/>
      </c>
      <c r="Y1699" s="586" t="str">
        <f t="shared" ref="Y1699:Y1764" si="409">IF(W1699="X","x",IF(W1699="y","x",IF(W1699="xx","x",IF(U1699&gt;0,"x",""))))</f>
        <v/>
      </c>
      <c r="Z1699" s="586" t="str">
        <f t="shared" si="403"/>
        <v/>
      </c>
    </row>
    <row r="1700" spans="1:26" ht="12" hidden="1" thickBot="1" x14ac:dyDescent="0.25">
      <c r="A1700" s="567" t="s">
        <v>168</v>
      </c>
      <c r="B1700" s="644" t="s">
        <v>168</v>
      </c>
      <c r="C1700" s="645"/>
      <c r="D1700" s="451" t="s">
        <v>212</v>
      </c>
      <c r="E1700" s="423"/>
      <c r="F1700" s="424">
        <v>500</v>
      </c>
      <c r="G1700" s="425">
        <v>0.18</v>
      </c>
      <c r="H1700" s="649">
        <f>IF(F1700&lt;=30,(0.78*F1700+7.82)*G1700,((0.78*30+7.82)+0.78*(F1700-30))*G1700)</f>
        <v>71.607600000000005</v>
      </c>
      <c r="I1700" s="420">
        <v>0</v>
      </c>
      <c r="J1700" s="420"/>
      <c r="K1700" s="421">
        <f t="shared" si="407"/>
        <v>0</v>
      </c>
      <c r="L1700" s="668" t="s">
        <v>614</v>
      </c>
      <c r="M1700" s="669"/>
      <c r="N1700" s="576">
        <f t="shared" si="404"/>
        <v>0</v>
      </c>
      <c r="O1700" s="577">
        <f t="shared" si="399"/>
        <v>0</v>
      </c>
      <c r="P1700" s="578">
        <f t="shared" si="400"/>
        <v>0</v>
      </c>
      <c r="Q1700" s="765"/>
      <c r="R1700" s="669"/>
      <c r="S1700" s="670"/>
      <c r="T1700" s="577">
        <f t="shared" si="397"/>
        <v>0</v>
      </c>
      <c r="U1700" s="578">
        <f t="shared" si="398"/>
        <v>0</v>
      </c>
      <c r="V1700" s="579"/>
      <c r="W1700" s="637" t="str">
        <f>IF(U1699&gt;0,"xx",IF(P1699&gt;0,"xy",""))</f>
        <v/>
      </c>
      <c r="X1700" s="586" t="str">
        <f t="shared" si="402"/>
        <v/>
      </c>
      <c r="Y1700" s="586" t="str">
        <f t="shared" si="409"/>
        <v/>
      </c>
      <c r="Z1700" s="586" t="str">
        <f t="shared" si="403"/>
        <v/>
      </c>
    </row>
    <row r="1701" spans="1:26" ht="12" hidden="1" thickBot="1" x14ac:dyDescent="0.25">
      <c r="A1701" s="567" t="s">
        <v>168</v>
      </c>
      <c r="B1701" s="644" t="s">
        <v>168</v>
      </c>
      <c r="C1701" s="645"/>
      <c r="D1701" s="451" t="s">
        <v>248</v>
      </c>
      <c r="E1701" s="423"/>
      <c r="F1701" s="424">
        <v>180</v>
      </c>
      <c r="G1701" s="425">
        <v>1.06</v>
      </c>
      <c r="H1701" s="663">
        <f t="shared" ref="H1701:H1706" si="410">IF(F1701&lt;=30,(1.07*F1701+2.68)*G1701,((1.07*30+2.68)+1.07*(F1701-30))*G1701)</f>
        <v>206.99680000000001</v>
      </c>
      <c r="I1701" s="420">
        <v>0</v>
      </c>
      <c r="J1701" s="420"/>
      <c r="K1701" s="421">
        <f t="shared" si="407"/>
        <v>0</v>
      </c>
      <c r="L1701" s="668" t="s">
        <v>614</v>
      </c>
      <c r="M1701" s="669"/>
      <c r="N1701" s="576">
        <f t="shared" si="404"/>
        <v>0</v>
      </c>
      <c r="O1701" s="577">
        <f t="shared" si="399"/>
        <v>0</v>
      </c>
      <c r="P1701" s="578">
        <f t="shared" si="400"/>
        <v>0</v>
      </c>
      <c r="Q1701" s="765"/>
      <c r="R1701" s="669"/>
      <c r="S1701" s="670"/>
      <c r="T1701" s="577">
        <f t="shared" si="397"/>
        <v>0</v>
      </c>
      <c r="U1701" s="578">
        <f t="shared" si="398"/>
        <v>0</v>
      </c>
      <c r="V1701" s="579"/>
      <c r="W1701" s="637" t="str">
        <f>IF(U1699&gt;0,"xx",IF(P1699&gt;0,"xy",""))</f>
        <v/>
      </c>
      <c r="X1701" s="586" t="str">
        <f t="shared" si="402"/>
        <v/>
      </c>
      <c r="Y1701" s="586" t="str">
        <f t="shared" si="409"/>
        <v/>
      </c>
      <c r="Z1701" s="586" t="str">
        <f t="shared" si="403"/>
        <v/>
      </c>
    </row>
    <row r="1702" spans="1:26" ht="12" hidden="1" thickBot="1" x14ac:dyDescent="0.25">
      <c r="A1702" s="567" t="s">
        <v>168</v>
      </c>
      <c r="B1702" s="644" t="s">
        <v>168</v>
      </c>
      <c r="C1702" s="645"/>
      <c r="D1702" s="451" t="s">
        <v>252</v>
      </c>
      <c r="E1702" s="423"/>
      <c r="F1702" s="424">
        <v>20</v>
      </c>
      <c r="G1702" s="425">
        <v>1.1100000000000001</v>
      </c>
      <c r="H1702" s="663">
        <f t="shared" si="410"/>
        <v>26.728800000000003</v>
      </c>
      <c r="I1702" s="420">
        <v>0</v>
      </c>
      <c r="J1702" s="420"/>
      <c r="K1702" s="421">
        <f t="shared" si="407"/>
        <v>0</v>
      </c>
      <c r="L1702" s="668" t="s">
        <v>614</v>
      </c>
      <c r="M1702" s="669"/>
      <c r="N1702" s="576">
        <f t="shared" si="404"/>
        <v>0</v>
      </c>
      <c r="O1702" s="577">
        <f t="shared" si="399"/>
        <v>0</v>
      </c>
      <c r="P1702" s="578">
        <f t="shared" si="400"/>
        <v>0</v>
      </c>
      <c r="Q1702" s="765"/>
      <c r="R1702" s="669"/>
      <c r="S1702" s="670"/>
      <c r="T1702" s="577">
        <f t="shared" si="397"/>
        <v>0</v>
      </c>
      <c r="U1702" s="578">
        <f t="shared" si="398"/>
        <v>0</v>
      </c>
      <c r="V1702" s="579"/>
      <c r="W1702" s="637" t="str">
        <f>IF(U1699&gt;0,"xx",IF(P1699&gt;0,"xy",""))</f>
        <v/>
      </c>
      <c r="X1702" s="586" t="str">
        <f t="shared" si="402"/>
        <v/>
      </c>
      <c r="Y1702" s="586" t="str">
        <f t="shared" si="409"/>
        <v/>
      </c>
      <c r="Z1702" s="586" t="str">
        <f t="shared" si="403"/>
        <v/>
      </c>
    </row>
    <row r="1703" spans="1:26" ht="12" hidden="1" thickBot="1" x14ac:dyDescent="0.25">
      <c r="A1703" s="567">
        <v>400500</v>
      </c>
      <c r="B1703" s="644" t="s">
        <v>1868</v>
      </c>
      <c r="C1703" s="645" t="s">
        <v>206</v>
      </c>
      <c r="D1703" s="422" t="s">
        <v>1608</v>
      </c>
      <c r="E1703" s="423"/>
      <c r="F1703" s="424">
        <v>20</v>
      </c>
      <c r="G1703" s="425">
        <v>1.73</v>
      </c>
      <c r="H1703" s="663">
        <f t="shared" si="410"/>
        <v>41.6584</v>
      </c>
      <c r="I1703" s="420">
        <v>80.100000000000009</v>
      </c>
      <c r="J1703" s="420">
        <f>IF(ISBLANK(I1703),"",SUM(H1703:I1703))</f>
        <v>121.75840000000001</v>
      </c>
      <c r="K1703" s="421">
        <f t="shared" si="407"/>
        <v>144.66</v>
      </c>
      <c r="L1703" s="647" t="s">
        <v>16</v>
      </c>
      <c r="M1703" s="576"/>
      <c r="N1703" s="576">
        <f t="shared" si="404"/>
        <v>0</v>
      </c>
      <c r="O1703" s="577">
        <f t="shared" si="399"/>
        <v>0</v>
      </c>
      <c r="P1703" s="578">
        <f t="shared" si="400"/>
        <v>0</v>
      </c>
      <c r="Q1703" s="765"/>
      <c r="R1703" s="576">
        <f t="shared" ref="R1703:S1706" si="411">M1703</f>
        <v>0</v>
      </c>
      <c r="S1703" s="576">
        <f t="shared" si="411"/>
        <v>0</v>
      </c>
      <c r="T1703" s="577">
        <f t="shared" si="397"/>
        <v>0</v>
      </c>
      <c r="U1703" s="578">
        <f t="shared" si="398"/>
        <v>0</v>
      </c>
      <c r="V1703" s="579"/>
      <c r="W1703" s="566"/>
      <c r="X1703" s="586" t="str">
        <f t="shared" si="402"/>
        <v/>
      </c>
      <c r="Y1703" s="586" t="str">
        <f t="shared" si="409"/>
        <v/>
      </c>
      <c r="Z1703" s="586" t="str">
        <f t="shared" si="403"/>
        <v/>
      </c>
    </row>
    <row r="1704" spans="1:26" ht="12" hidden="1" thickBot="1" x14ac:dyDescent="0.25">
      <c r="A1704" s="567">
        <v>532500</v>
      </c>
      <c r="B1704" s="644" t="s">
        <v>1869</v>
      </c>
      <c r="C1704" s="645" t="s">
        <v>206</v>
      </c>
      <c r="D1704" s="422" t="s">
        <v>1609</v>
      </c>
      <c r="E1704" s="423"/>
      <c r="F1704" s="424">
        <v>20</v>
      </c>
      <c r="G1704" s="425">
        <v>1.7250000000000001</v>
      </c>
      <c r="H1704" s="663">
        <f t="shared" si="410"/>
        <v>41.538000000000004</v>
      </c>
      <c r="I1704" s="420">
        <v>97.26</v>
      </c>
      <c r="J1704" s="420">
        <f>IF(ISBLANK(I1704),"",SUM(H1704:I1704))</f>
        <v>138.798</v>
      </c>
      <c r="K1704" s="421">
        <f t="shared" si="407"/>
        <v>164.91</v>
      </c>
      <c r="L1704" s="647" t="s">
        <v>16</v>
      </c>
      <c r="M1704" s="576"/>
      <c r="N1704" s="576">
        <f t="shared" si="404"/>
        <v>0</v>
      </c>
      <c r="O1704" s="577">
        <f t="shared" si="399"/>
        <v>0</v>
      </c>
      <c r="P1704" s="578">
        <f t="shared" si="400"/>
        <v>0</v>
      </c>
      <c r="Q1704" s="765"/>
      <c r="R1704" s="576">
        <f t="shared" si="411"/>
        <v>0</v>
      </c>
      <c r="S1704" s="576">
        <f t="shared" si="411"/>
        <v>0</v>
      </c>
      <c r="T1704" s="577">
        <f t="shared" si="397"/>
        <v>0</v>
      </c>
      <c r="U1704" s="578">
        <f t="shared" si="398"/>
        <v>0</v>
      </c>
      <c r="V1704" s="579"/>
      <c r="W1704" s="566"/>
      <c r="X1704" s="586" t="str">
        <f t="shared" si="402"/>
        <v/>
      </c>
      <c r="Y1704" s="586" t="str">
        <f t="shared" si="409"/>
        <v/>
      </c>
      <c r="Z1704" s="586" t="str">
        <f t="shared" si="403"/>
        <v/>
      </c>
    </row>
    <row r="1705" spans="1:26" ht="12" hidden="1" thickBot="1" x14ac:dyDescent="0.25">
      <c r="A1705" s="567">
        <v>532600</v>
      </c>
      <c r="B1705" s="644" t="s">
        <v>1870</v>
      </c>
      <c r="C1705" s="645" t="s">
        <v>206</v>
      </c>
      <c r="D1705" s="422" t="s">
        <v>1610</v>
      </c>
      <c r="E1705" s="423"/>
      <c r="F1705" s="418">
        <v>15</v>
      </c>
      <c r="G1705" s="425">
        <f>ROUND(1.5*1.5,4)</f>
        <v>2.25</v>
      </c>
      <c r="H1705" s="663">
        <f t="shared" si="410"/>
        <v>42.142499999999998</v>
      </c>
      <c r="I1705" s="420">
        <v>15.533333333333335</v>
      </c>
      <c r="J1705" s="420">
        <f>IF(ISBLANK(I1705),"",SUM(H1705:I1705))</f>
        <v>57.67583333333333</v>
      </c>
      <c r="K1705" s="421">
        <f t="shared" si="407"/>
        <v>68.52</v>
      </c>
      <c r="L1705" s="647" t="s">
        <v>16</v>
      </c>
      <c r="M1705" s="576"/>
      <c r="N1705" s="576">
        <f t="shared" si="404"/>
        <v>0</v>
      </c>
      <c r="O1705" s="577">
        <f t="shared" si="399"/>
        <v>0</v>
      </c>
      <c r="P1705" s="578">
        <f t="shared" si="400"/>
        <v>0</v>
      </c>
      <c r="Q1705" s="765"/>
      <c r="R1705" s="576">
        <f t="shared" si="411"/>
        <v>0</v>
      </c>
      <c r="S1705" s="576">
        <f t="shared" si="411"/>
        <v>0</v>
      </c>
      <c r="T1705" s="577">
        <f t="shared" si="397"/>
        <v>0</v>
      </c>
      <c r="U1705" s="578">
        <f t="shared" si="398"/>
        <v>0</v>
      </c>
      <c r="V1705" s="579"/>
      <c r="W1705" s="566"/>
      <c r="X1705" s="586" t="str">
        <f t="shared" si="402"/>
        <v/>
      </c>
      <c r="Y1705" s="586" t="str">
        <f t="shared" si="409"/>
        <v/>
      </c>
      <c r="Z1705" s="586" t="str">
        <f t="shared" si="403"/>
        <v/>
      </c>
    </row>
    <row r="1706" spans="1:26" ht="12" hidden="1" thickBot="1" x14ac:dyDescent="0.25">
      <c r="A1706" s="567">
        <v>603900</v>
      </c>
      <c r="B1706" s="644" t="s">
        <v>1871</v>
      </c>
      <c r="C1706" s="645" t="s">
        <v>206</v>
      </c>
      <c r="D1706" s="422" t="s">
        <v>1611</v>
      </c>
      <c r="E1706" s="423"/>
      <c r="F1706" s="424">
        <v>20</v>
      </c>
      <c r="G1706" s="425">
        <v>1.5</v>
      </c>
      <c r="H1706" s="663">
        <f t="shared" si="410"/>
        <v>36.120000000000005</v>
      </c>
      <c r="I1706" s="420">
        <v>124.3</v>
      </c>
      <c r="J1706" s="420">
        <f>IF(ISBLANK(I1706),"",SUM(H1706:I1706))</f>
        <v>160.42000000000002</v>
      </c>
      <c r="K1706" s="421">
        <f t="shared" si="407"/>
        <v>190.6</v>
      </c>
      <c r="L1706" s="647" t="s">
        <v>16</v>
      </c>
      <c r="M1706" s="576"/>
      <c r="N1706" s="576">
        <f t="shared" si="404"/>
        <v>0</v>
      </c>
      <c r="O1706" s="577">
        <f t="shared" si="399"/>
        <v>0</v>
      </c>
      <c r="P1706" s="578">
        <f t="shared" si="400"/>
        <v>0</v>
      </c>
      <c r="Q1706" s="765"/>
      <c r="R1706" s="576">
        <f t="shared" si="411"/>
        <v>0</v>
      </c>
      <c r="S1706" s="576">
        <f t="shared" si="411"/>
        <v>0</v>
      </c>
      <c r="T1706" s="577">
        <f t="shared" si="397"/>
        <v>0</v>
      </c>
      <c r="U1706" s="578">
        <f t="shared" si="398"/>
        <v>0</v>
      </c>
      <c r="V1706" s="579"/>
      <c r="W1706" s="566"/>
      <c r="X1706" s="586" t="str">
        <f t="shared" si="402"/>
        <v/>
      </c>
      <c r="Y1706" s="586" t="str">
        <f t="shared" si="409"/>
        <v/>
      </c>
      <c r="Z1706" s="586" t="str">
        <f t="shared" si="403"/>
        <v/>
      </c>
    </row>
    <row r="1707" spans="1:26" ht="12" hidden="1" thickBot="1" x14ac:dyDescent="0.25">
      <c r="A1707" s="567">
        <v>605000</v>
      </c>
      <c r="B1707" s="644" t="s">
        <v>1872</v>
      </c>
      <c r="C1707" s="645" t="s">
        <v>206</v>
      </c>
      <c r="D1707" s="422" t="s">
        <v>348</v>
      </c>
      <c r="E1707" s="423"/>
      <c r="F1707" s="424"/>
      <c r="G1707" s="425"/>
      <c r="H1707" s="651">
        <f>SUM(H1708:H1710)</f>
        <v>305.33319999999998</v>
      </c>
      <c r="I1707" s="420">
        <v>408.95</v>
      </c>
      <c r="J1707" s="420">
        <f>IF(ISBLANK(I1707),"",SUM(H1707:I1707))</f>
        <v>714.28319999999997</v>
      </c>
      <c r="K1707" s="421">
        <f t="shared" si="407"/>
        <v>848.64</v>
      </c>
      <c r="L1707" s="647" t="s">
        <v>16</v>
      </c>
      <c r="M1707" s="576"/>
      <c r="N1707" s="576">
        <f t="shared" si="404"/>
        <v>0</v>
      </c>
      <c r="O1707" s="577">
        <f t="shared" si="399"/>
        <v>0</v>
      </c>
      <c r="P1707" s="578">
        <f t="shared" si="400"/>
        <v>0</v>
      </c>
      <c r="Q1707" s="765"/>
      <c r="R1707" s="576">
        <f t="shared" si="396"/>
        <v>0</v>
      </c>
      <c r="S1707" s="576">
        <f t="shared" si="396"/>
        <v>0</v>
      </c>
      <c r="T1707" s="577">
        <f t="shared" si="397"/>
        <v>0</v>
      </c>
      <c r="U1707" s="578">
        <f t="shared" si="398"/>
        <v>0</v>
      </c>
      <c r="V1707" s="579"/>
      <c r="W1707" s="566"/>
      <c r="X1707" s="586" t="str">
        <f t="shared" si="402"/>
        <v/>
      </c>
      <c r="Y1707" s="586" t="str">
        <f t="shared" si="409"/>
        <v/>
      </c>
      <c r="Z1707" s="586" t="str">
        <f t="shared" si="403"/>
        <v/>
      </c>
    </row>
    <row r="1708" spans="1:26" ht="12" hidden="1" thickBot="1" x14ac:dyDescent="0.25">
      <c r="A1708" s="567" t="s">
        <v>168</v>
      </c>
      <c r="B1708" s="644" t="s">
        <v>168</v>
      </c>
      <c r="C1708" s="645"/>
      <c r="D1708" s="451" t="s">
        <v>212</v>
      </c>
      <c r="E1708" s="423"/>
      <c r="F1708" s="424">
        <v>500</v>
      </c>
      <c r="G1708" s="425">
        <v>0.18</v>
      </c>
      <c r="H1708" s="649">
        <f>IF(F1708&lt;=30,(0.78*F1708+7.82)*G1708,((0.78*30+7.82)+0.78*(F1708-30))*G1708)</f>
        <v>71.607600000000005</v>
      </c>
      <c r="I1708" s="420">
        <v>0</v>
      </c>
      <c r="J1708" s="420"/>
      <c r="K1708" s="421">
        <f t="shared" si="407"/>
        <v>0</v>
      </c>
      <c r="L1708" s="668" t="s">
        <v>614</v>
      </c>
      <c r="M1708" s="669"/>
      <c r="N1708" s="576">
        <f t="shared" si="404"/>
        <v>0</v>
      </c>
      <c r="O1708" s="577">
        <f t="shared" si="399"/>
        <v>0</v>
      </c>
      <c r="P1708" s="578">
        <f t="shared" si="400"/>
        <v>0</v>
      </c>
      <c r="Q1708" s="765"/>
      <c r="R1708" s="669"/>
      <c r="S1708" s="670"/>
      <c r="T1708" s="577">
        <f t="shared" si="397"/>
        <v>0</v>
      </c>
      <c r="U1708" s="578">
        <f t="shared" si="398"/>
        <v>0</v>
      </c>
      <c r="V1708" s="579"/>
      <c r="W1708" s="637" t="str">
        <f>IF(U1707&gt;0,"xx",IF(P1707&gt;0,"xy",""))</f>
        <v/>
      </c>
      <c r="X1708" s="586" t="str">
        <f t="shared" si="402"/>
        <v/>
      </c>
      <c r="Y1708" s="586" t="str">
        <f t="shared" si="409"/>
        <v/>
      </c>
      <c r="Z1708" s="586" t="str">
        <f t="shared" si="403"/>
        <v/>
      </c>
    </row>
    <row r="1709" spans="1:26" ht="12" hidden="1" thickBot="1" x14ac:dyDescent="0.25">
      <c r="A1709" s="567" t="s">
        <v>168</v>
      </c>
      <c r="B1709" s="644" t="s">
        <v>168</v>
      </c>
      <c r="C1709" s="645"/>
      <c r="D1709" s="451" t="s">
        <v>248</v>
      </c>
      <c r="E1709" s="423"/>
      <c r="F1709" s="424">
        <v>180</v>
      </c>
      <c r="G1709" s="425">
        <v>1.06</v>
      </c>
      <c r="H1709" s="663">
        <f t="shared" ref="H1709:H1710" si="412">IF(F1709&lt;=30,(1.07*F1709+2.68)*G1709,((1.07*30+2.68)+1.07*(F1709-30))*G1709)</f>
        <v>206.99680000000001</v>
      </c>
      <c r="I1709" s="420">
        <v>0</v>
      </c>
      <c r="J1709" s="420"/>
      <c r="K1709" s="421">
        <f t="shared" si="407"/>
        <v>0</v>
      </c>
      <c r="L1709" s="668" t="s">
        <v>614</v>
      </c>
      <c r="M1709" s="669"/>
      <c r="N1709" s="576">
        <f t="shared" si="404"/>
        <v>0</v>
      </c>
      <c r="O1709" s="577">
        <f t="shared" si="399"/>
        <v>0</v>
      </c>
      <c r="P1709" s="578">
        <f t="shared" si="400"/>
        <v>0</v>
      </c>
      <c r="Q1709" s="765"/>
      <c r="R1709" s="669"/>
      <c r="S1709" s="670"/>
      <c r="T1709" s="577">
        <f t="shared" si="397"/>
        <v>0</v>
      </c>
      <c r="U1709" s="578">
        <f t="shared" si="398"/>
        <v>0</v>
      </c>
      <c r="V1709" s="579"/>
      <c r="W1709" s="637" t="str">
        <f>IF(U1707&gt;0,"xx",IF(P1707&gt;0,"xy",""))</f>
        <v/>
      </c>
      <c r="X1709" s="586" t="str">
        <f t="shared" si="402"/>
        <v/>
      </c>
      <c r="Y1709" s="586" t="str">
        <f t="shared" si="409"/>
        <v/>
      </c>
      <c r="Z1709" s="586" t="str">
        <f t="shared" si="403"/>
        <v/>
      </c>
    </row>
    <row r="1710" spans="1:26" ht="12" hidden="1" thickBot="1" x14ac:dyDescent="0.25">
      <c r="A1710" s="567" t="s">
        <v>168</v>
      </c>
      <c r="B1710" s="644" t="s">
        <v>168</v>
      </c>
      <c r="C1710" s="645"/>
      <c r="D1710" s="451" t="s">
        <v>252</v>
      </c>
      <c r="E1710" s="423"/>
      <c r="F1710" s="424">
        <v>20</v>
      </c>
      <c r="G1710" s="425">
        <v>1.1100000000000001</v>
      </c>
      <c r="H1710" s="663">
        <f t="shared" si="412"/>
        <v>26.728800000000003</v>
      </c>
      <c r="I1710" s="420">
        <v>0</v>
      </c>
      <c r="J1710" s="420"/>
      <c r="K1710" s="421">
        <f t="shared" si="407"/>
        <v>0</v>
      </c>
      <c r="L1710" s="668" t="s">
        <v>614</v>
      </c>
      <c r="M1710" s="669"/>
      <c r="N1710" s="576">
        <f t="shared" si="404"/>
        <v>0</v>
      </c>
      <c r="O1710" s="577">
        <f t="shared" si="399"/>
        <v>0</v>
      </c>
      <c r="P1710" s="578">
        <f t="shared" si="400"/>
        <v>0</v>
      </c>
      <c r="Q1710" s="765"/>
      <c r="R1710" s="669"/>
      <c r="S1710" s="670"/>
      <c r="T1710" s="577">
        <f t="shared" si="397"/>
        <v>0</v>
      </c>
      <c r="U1710" s="578">
        <f t="shared" si="398"/>
        <v>0</v>
      </c>
      <c r="V1710" s="579"/>
      <c r="W1710" s="637" t="str">
        <f>IF(U1707&gt;0,"xx",IF(P1707&gt;0,"xy",""))</f>
        <v/>
      </c>
      <c r="X1710" s="586" t="str">
        <f t="shared" si="402"/>
        <v/>
      </c>
      <c r="Y1710" s="586" t="str">
        <f t="shared" si="409"/>
        <v/>
      </c>
      <c r="Z1710" s="586" t="str">
        <f t="shared" si="403"/>
        <v/>
      </c>
    </row>
    <row r="1711" spans="1:26" ht="12" hidden="1" thickBot="1" x14ac:dyDescent="0.25">
      <c r="A1711" s="567">
        <v>606000</v>
      </c>
      <c r="B1711" s="644" t="s">
        <v>1638</v>
      </c>
      <c r="C1711" s="645" t="s">
        <v>206</v>
      </c>
      <c r="D1711" s="422" t="s">
        <v>349</v>
      </c>
      <c r="E1711" s="423"/>
      <c r="F1711" s="424"/>
      <c r="G1711" s="425"/>
      <c r="H1711" s="651">
        <f>SUM(H1712:H1714)</f>
        <v>235.96230000000003</v>
      </c>
      <c r="I1711" s="420">
        <v>365.08</v>
      </c>
      <c r="J1711" s="420">
        <f>IF(ISBLANK(I1711),"",SUM(H1711:I1711))</f>
        <v>601.04230000000007</v>
      </c>
      <c r="K1711" s="421">
        <f t="shared" si="407"/>
        <v>714.1</v>
      </c>
      <c r="L1711" s="647" t="s">
        <v>16</v>
      </c>
      <c r="M1711" s="576"/>
      <c r="N1711" s="576">
        <f t="shared" si="404"/>
        <v>0</v>
      </c>
      <c r="O1711" s="577">
        <f t="shared" si="399"/>
        <v>0</v>
      </c>
      <c r="P1711" s="578">
        <f t="shared" si="400"/>
        <v>0</v>
      </c>
      <c r="Q1711" s="765"/>
      <c r="R1711" s="576">
        <f t="shared" si="396"/>
        <v>0</v>
      </c>
      <c r="S1711" s="576">
        <f t="shared" si="396"/>
        <v>0</v>
      </c>
      <c r="T1711" s="577">
        <f t="shared" si="397"/>
        <v>0</v>
      </c>
      <c r="U1711" s="578">
        <f t="shared" si="398"/>
        <v>0</v>
      </c>
      <c r="V1711" s="579"/>
      <c r="W1711" s="566"/>
      <c r="X1711" s="586" t="str">
        <f t="shared" si="402"/>
        <v/>
      </c>
      <c r="Y1711" s="586" t="str">
        <f t="shared" si="409"/>
        <v/>
      </c>
      <c r="Z1711" s="586" t="str">
        <f t="shared" si="403"/>
        <v/>
      </c>
    </row>
    <row r="1712" spans="1:26" ht="12" hidden="1" thickBot="1" x14ac:dyDescent="0.25">
      <c r="A1712" s="567" t="s">
        <v>168</v>
      </c>
      <c r="B1712" s="644" t="s">
        <v>168</v>
      </c>
      <c r="C1712" s="645"/>
      <c r="D1712" s="451" t="s">
        <v>212</v>
      </c>
      <c r="E1712" s="423"/>
      <c r="F1712" s="424">
        <v>500</v>
      </c>
      <c r="G1712" s="425">
        <v>0.189</v>
      </c>
      <c r="H1712" s="649">
        <f>IF(F1712&lt;=30,(0.78*F1712+7.82)*G1712,((0.78*30+7.82)+0.78*(F1712-30))*G1712)</f>
        <v>75.18798000000001</v>
      </c>
      <c r="I1712" s="420">
        <v>0</v>
      </c>
      <c r="J1712" s="420"/>
      <c r="K1712" s="421">
        <f t="shared" si="407"/>
        <v>0</v>
      </c>
      <c r="L1712" s="668" t="s">
        <v>614</v>
      </c>
      <c r="M1712" s="669"/>
      <c r="N1712" s="576">
        <f t="shared" si="404"/>
        <v>0</v>
      </c>
      <c r="O1712" s="577">
        <f t="shared" si="399"/>
        <v>0</v>
      </c>
      <c r="P1712" s="578">
        <f t="shared" si="400"/>
        <v>0</v>
      </c>
      <c r="Q1712" s="765"/>
      <c r="R1712" s="669"/>
      <c r="S1712" s="670"/>
      <c r="T1712" s="577">
        <f t="shared" si="397"/>
        <v>0</v>
      </c>
      <c r="U1712" s="578">
        <f t="shared" si="398"/>
        <v>0</v>
      </c>
      <c r="V1712" s="579"/>
      <c r="W1712" s="637" t="str">
        <f>IF(U1711&gt;0,"xx",IF(P1711&gt;0,"xy",""))</f>
        <v/>
      </c>
      <c r="X1712" s="586" t="str">
        <f t="shared" si="402"/>
        <v/>
      </c>
      <c r="Y1712" s="586" t="str">
        <f t="shared" si="409"/>
        <v/>
      </c>
      <c r="Z1712" s="586" t="str">
        <f t="shared" si="403"/>
        <v/>
      </c>
    </row>
    <row r="1713" spans="1:26" ht="12" hidden="1" thickBot="1" x14ac:dyDescent="0.25">
      <c r="A1713" s="567" t="s">
        <v>168</v>
      </c>
      <c r="B1713" s="644" t="s">
        <v>168</v>
      </c>
      <c r="C1713" s="645"/>
      <c r="D1713" s="451" t="s">
        <v>248</v>
      </c>
      <c r="E1713" s="423"/>
      <c r="F1713" s="424">
        <v>180</v>
      </c>
      <c r="G1713" s="425">
        <v>0.67200000000000004</v>
      </c>
      <c r="H1713" s="663">
        <f t="shared" ref="H1713:H1714" si="413">IF(F1713&lt;=30,(1.07*F1713+2.68)*G1713,((1.07*30+2.68)+1.07*(F1713-30))*G1713)</f>
        <v>131.22816</v>
      </c>
      <c r="I1713" s="420">
        <v>0</v>
      </c>
      <c r="J1713" s="420"/>
      <c r="K1713" s="421">
        <f t="shared" si="407"/>
        <v>0</v>
      </c>
      <c r="L1713" s="668" t="s">
        <v>614</v>
      </c>
      <c r="M1713" s="669"/>
      <c r="N1713" s="576">
        <f t="shared" si="404"/>
        <v>0</v>
      </c>
      <c r="O1713" s="577">
        <f t="shared" si="399"/>
        <v>0</v>
      </c>
      <c r="P1713" s="578">
        <f t="shared" si="400"/>
        <v>0</v>
      </c>
      <c r="Q1713" s="765"/>
      <c r="R1713" s="669"/>
      <c r="S1713" s="670"/>
      <c r="T1713" s="577">
        <f t="shared" si="397"/>
        <v>0</v>
      </c>
      <c r="U1713" s="578">
        <f t="shared" si="398"/>
        <v>0</v>
      </c>
      <c r="V1713" s="579"/>
      <c r="W1713" s="637" t="str">
        <f>IF(U1711&gt;0,"xx",IF(P1711&gt;0,"xy",""))</f>
        <v/>
      </c>
      <c r="X1713" s="586" t="str">
        <f t="shared" si="402"/>
        <v/>
      </c>
      <c r="Y1713" s="586" t="str">
        <f t="shared" si="409"/>
        <v/>
      </c>
      <c r="Z1713" s="586" t="str">
        <f t="shared" si="403"/>
        <v/>
      </c>
    </row>
    <row r="1714" spans="1:26" ht="12" hidden="1" thickBot="1" x14ac:dyDescent="0.25">
      <c r="A1714" s="567" t="s">
        <v>168</v>
      </c>
      <c r="B1714" s="644" t="s">
        <v>168</v>
      </c>
      <c r="C1714" s="645"/>
      <c r="D1714" s="451" t="s">
        <v>350</v>
      </c>
      <c r="E1714" s="423"/>
      <c r="F1714" s="424">
        <v>20</v>
      </c>
      <c r="G1714" s="425">
        <v>1.2270000000000001</v>
      </c>
      <c r="H1714" s="663">
        <f t="shared" si="413"/>
        <v>29.546160000000004</v>
      </c>
      <c r="I1714" s="420">
        <v>0</v>
      </c>
      <c r="J1714" s="420"/>
      <c r="K1714" s="421">
        <f t="shared" si="407"/>
        <v>0</v>
      </c>
      <c r="L1714" s="668" t="s">
        <v>614</v>
      </c>
      <c r="M1714" s="669"/>
      <c r="N1714" s="576">
        <f t="shared" si="404"/>
        <v>0</v>
      </c>
      <c r="O1714" s="577">
        <f t="shared" si="399"/>
        <v>0</v>
      </c>
      <c r="P1714" s="578">
        <f t="shared" si="400"/>
        <v>0</v>
      </c>
      <c r="Q1714" s="765"/>
      <c r="R1714" s="669"/>
      <c r="S1714" s="670"/>
      <c r="T1714" s="577">
        <f t="shared" si="397"/>
        <v>0</v>
      </c>
      <c r="U1714" s="578">
        <f t="shared" si="398"/>
        <v>0</v>
      </c>
      <c r="V1714" s="579"/>
      <c r="W1714" s="637" t="str">
        <f>IF(U1711&gt;0,"xx",IF(P1711&gt;0,"xy",""))</f>
        <v/>
      </c>
      <c r="X1714" s="586" t="str">
        <f t="shared" si="402"/>
        <v/>
      </c>
      <c r="Y1714" s="586" t="str">
        <f t="shared" si="409"/>
        <v/>
      </c>
      <c r="Z1714" s="586" t="str">
        <f t="shared" si="403"/>
        <v/>
      </c>
    </row>
    <row r="1715" spans="1:26" ht="12" hidden="1" thickBot="1" x14ac:dyDescent="0.25">
      <c r="A1715" s="567">
        <v>605200</v>
      </c>
      <c r="B1715" s="644" t="s">
        <v>1640</v>
      </c>
      <c r="C1715" s="645" t="s">
        <v>206</v>
      </c>
      <c r="D1715" s="422" t="s">
        <v>351</v>
      </c>
      <c r="E1715" s="423"/>
      <c r="F1715" s="424"/>
      <c r="G1715" s="425"/>
      <c r="H1715" s="651">
        <f>SUM(H1716:H1718)</f>
        <v>321.60899999999998</v>
      </c>
      <c r="I1715" s="420">
        <v>455.36</v>
      </c>
      <c r="J1715" s="420">
        <f>IF(ISBLANK(I1715),"",SUM(H1715:I1715))</f>
        <v>776.96900000000005</v>
      </c>
      <c r="K1715" s="421">
        <f t="shared" si="407"/>
        <v>923.12</v>
      </c>
      <c r="L1715" s="647" t="s">
        <v>16</v>
      </c>
      <c r="M1715" s="576"/>
      <c r="N1715" s="576">
        <f t="shared" si="404"/>
        <v>0</v>
      </c>
      <c r="O1715" s="577">
        <f t="shared" si="399"/>
        <v>0</v>
      </c>
      <c r="P1715" s="578">
        <f t="shared" si="400"/>
        <v>0</v>
      </c>
      <c r="Q1715" s="765"/>
      <c r="R1715" s="576">
        <f t="shared" ref="R1715:S1771" si="414">M1715</f>
        <v>0</v>
      </c>
      <c r="S1715" s="576">
        <f t="shared" si="414"/>
        <v>0</v>
      </c>
      <c r="T1715" s="577">
        <f t="shared" si="397"/>
        <v>0</v>
      </c>
      <c r="U1715" s="578">
        <f t="shared" si="398"/>
        <v>0</v>
      </c>
      <c r="V1715" s="579"/>
      <c r="W1715" s="566"/>
      <c r="X1715" s="586" t="str">
        <f t="shared" si="402"/>
        <v/>
      </c>
      <c r="Y1715" s="586" t="str">
        <f t="shared" si="409"/>
        <v/>
      </c>
      <c r="Z1715" s="586" t="str">
        <f t="shared" si="403"/>
        <v/>
      </c>
    </row>
    <row r="1716" spans="1:26" ht="12" hidden="1" thickBot="1" x14ac:dyDescent="0.25">
      <c r="A1716" s="567" t="s">
        <v>168</v>
      </c>
      <c r="B1716" s="644" t="s">
        <v>168</v>
      </c>
      <c r="C1716" s="645"/>
      <c r="D1716" s="451" t="s">
        <v>212</v>
      </c>
      <c r="E1716" s="423"/>
      <c r="F1716" s="424">
        <v>500</v>
      </c>
      <c r="G1716" s="425">
        <v>0.27</v>
      </c>
      <c r="H1716" s="649">
        <f>IF(F1716&lt;=30,(0.78*F1716+7.82)*G1716,((0.78*30+7.82)+0.78*(F1716-30))*G1716)</f>
        <v>107.41140000000001</v>
      </c>
      <c r="I1716" s="420">
        <v>0</v>
      </c>
      <c r="J1716" s="420"/>
      <c r="K1716" s="421">
        <f t="shared" si="407"/>
        <v>0</v>
      </c>
      <c r="L1716" s="668" t="s">
        <v>614</v>
      </c>
      <c r="M1716" s="669"/>
      <c r="N1716" s="576">
        <f t="shared" si="404"/>
        <v>0</v>
      </c>
      <c r="O1716" s="577">
        <f t="shared" si="399"/>
        <v>0</v>
      </c>
      <c r="P1716" s="578">
        <f t="shared" si="400"/>
        <v>0</v>
      </c>
      <c r="Q1716" s="765"/>
      <c r="R1716" s="669"/>
      <c r="S1716" s="670"/>
      <c r="T1716" s="577">
        <f t="shared" si="397"/>
        <v>0</v>
      </c>
      <c r="U1716" s="578">
        <f t="shared" si="398"/>
        <v>0</v>
      </c>
      <c r="V1716" s="579"/>
      <c r="W1716" s="637" t="str">
        <f>IF(U1715&gt;0,"xx",IF(P1715&gt;0,"xy",""))</f>
        <v/>
      </c>
      <c r="X1716" s="586" t="str">
        <f t="shared" si="402"/>
        <v/>
      </c>
      <c r="Y1716" s="586" t="str">
        <f t="shared" si="409"/>
        <v/>
      </c>
      <c r="Z1716" s="586" t="str">
        <f t="shared" si="403"/>
        <v/>
      </c>
    </row>
    <row r="1717" spans="1:26" ht="12" hidden="1" thickBot="1" x14ac:dyDescent="0.25">
      <c r="A1717" s="567" t="s">
        <v>168</v>
      </c>
      <c r="B1717" s="644" t="s">
        <v>168</v>
      </c>
      <c r="C1717" s="645"/>
      <c r="D1717" s="451" t="s">
        <v>248</v>
      </c>
      <c r="E1717" s="423"/>
      <c r="F1717" s="424">
        <v>180</v>
      </c>
      <c r="G1717" s="425">
        <v>0.96</v>
      </c>
      <c r="H1717" s="663">
        <f t="shared" ref="H1717:H1718" si="415">IF(F1717&lt;=30,(1.07*F1717+2.68)*G1717,((1.07*30+2.68)+1.07*(F1717-30))*G1717)</f>
        <v>187.46879999999999</v>
      </c>
      <c r="I1717" s="420">
        <v>0</v>
      </c>
      <c r="J1717" s="420"/>
      <c r="K1717" s="421">
        <f t="shared" si="407"/>
        <v>0</v>
      </c>
      <c r="L1717" s="668" t="s">
        <v>614</v>
      </c>
      <c r="M1717" s="669"/>
      <c r="N1717" s="576">
        <f t="shared" si="404"/>
        <v>0</v>
      </c>
      <c r="O1717" s="577">
        <f t="shared" si="399"/>
        <v>0</v>
      </c>
      <c r="P1717" s="578">
        <f t="shared" si="400"/>
        <v>0</v>
      </c>
      <c r="Q1717" s="765"/>
      <c r="R1717" s="669"/>
      <c r="S1717" s="670"/>
      <c r="T1717" s="577">
        <f t="shared" si="397"/>
        <v>0</v>
      </c>
      <c r="U1717" s="578">
        <f t="shared" si="398"/>
        <v>0</v>
      </c>
      <c r="V1717" s="579"/>
      <c r="W1717" s="637" t="str">
        <f>IF(U1715&gt;0,"xx",IF(P1715&gt;0,"xy",""))</f>
        <v/>
      </c>
      <c r="X1717" s="586" t="str">
        <f t="shared" si="402"/>
        <v/>
      </c>
      <c r="Y1717" s="586" t="str">
        <f t="shared" si="409"/>
        <v/>
      </c>
      <c r="Z1717" s="586" t="str">
        <f t="shared" si="403"/>
        <v/>
      </c>
    </row>
    <row r="1718" spans="1:26" ht="12" hidden="1" thickBot="1" x14ac:dyDescent="0.25">
      <c r="A1718" s="567" t="s">
        <v>168</v>
      </c>
      <c r="B1718" s="644" t="s">
        <v>168</v>
      </c>
      <c r="C1718" s="645"/>
      <c r="D1718" s="451" t="s">
        <v>252</v>
      </c>
      <c r="E1718" s="423"/>
      <c r="F1718" s="424">
        <v>20</v>
      </c>
      <c r="G1718" s="425">
        <v>1.1100000000000001</v>
      </c>
      <c r="H1718" s="663">
        <f t="shared" si="415"/>
        <v>26.728800000000003</v>
      </c>
      <c r="I1718" s="420">
        <v>0</v>
      </c>
      <c r="J1718" s="420"/>
      <c r="K1718" s="421">
        <f t="shared" si="407"/>
        <v>0</v>
      </c>
      <c r="L1718" s="668" t="s">
        <v>614</v>
      </c>
      <c r="M1718" s="669"/>
      <c r="N1718" s="576">
        <f t="shared" si="404"/>
        <v>0</v>
      </c>
      <c r="O1718" s="577">
        <f t="shared" si="399"/>
        <v>0</v>
      </c>
      <c r="P1718" s="578">
        <f t="shared" si="400"/>
        <v>0</v>
      </c>
      <c r="Q1718" s="765"/>
      <c r="R1718" s="669"/>
      <c r="S1718" s="670"/>
      <c r="T1718" s="577">
        <f t="shared" si="397"/>
        <v>0</v>
      </c>
      <c r="U1718" s="578">
        <f t="shared" si="398"/>
        <v>0</v>
      </c>
      <c r="V1718" s="579"/>
      <c r="W1718" s="637" t="str">
        <f>IF(U1715&gt;0,"xx",IF(P1715&gt;0,"xy",""))</f>
        <v/>
      </c>
      <c r="X1718" s="586" t="str">
        <f t="shared" si="402"/>
        <v/>
      </c>
      <c r="Y1718" s="586" t="str">
        <f t="shared" si="409"/>
        <v/>
      </c>
      <c r="Z1718" s="586" t="str">
        <f t="shared" si="403"/>
        <v/>
      </c>
    </row>
    <row r="1719" spans="1:26" ht="12" hidden="1" thickBot="1" x14ac:dyDescent="0.25">
      <c r="A1719" s="567">
        <v>605300</v>
      </c>
      <c r="B1719" s="644" t="s">
        <v>1715</v>
      </c>
      <c r="C1719" s="645" t="s">
        <v>206</v>
      </c>
      <c r="D1719" s="422" t="s">
        <v>352</v>
      </c>
      <c r="E1719" s="423"/>
      <c r="F1719" s="424"/>
      <c r="G1719" s="425"/>
      <c r="H1719" s="651">
        <f>SUM(H1720:H1722)</f>
        <v>337.86228</v>
      </c>
      <c r="I1719" s="420">
        <v>487.71000000000004</v>
      </c>
      <c r="J1719" s="420">
        <f>IF(ISBLANK(I1719),"",SUM(H1719:I1719))</f>
        <v>825.57228000000009</v>
      </c>
      <c r="K1719" s="421">
        <f t="shared" si="407"/>
        <v>980.86</v>
      </c>
      <c r="L1719" s="647" t="s">
        <v>16</v>
      </c>
      <c r="M1719" s="576"/>
      <c r="N1719" s="576">
        <f t="shared" si="404"/>
        <v>0</v>
      </c>
      <c r="O1719" s="577">
        <f t="shared" si="399"/>
        <v>0</v>
      </c>
      <c r="P1719" s="578">
        <f t="shared" si="400"/>
        <v>0</v>
      </c>
      <c r="Q1719" s="765"/>
      <c r="R1719" s="576">
        <f t="shared" si="414"/>
        <v>0</v>
      </c>
      <c r="S1719" s="576">
        <f t="shared" si="414"/>
        <v>0</v>
      </c>
      <c r="T1719" s="577">
        <f t="shared" si="397"/>
        <v>0</v>
      </c>
      <c r="U1719" s="578">
        <f t="shared" si="398"/>
        <v>0</v>
      </c>
      <c r="V1719" s="579"/>
      <c r="W1719" s="566"/>
      <c r="X1719" s="586" t="str">
        <f t="shared" si="402"/>
        <v/>
      </c>
      <c r="Y1719" s="586" t="str">
        <f t="shared" si="409"/>
        <v/>
      </c>
      <c r="Z1719" s="586" t="str">
        <f t="shared" si="403"/>
        <v/>
      </c>
    </row>
    <row r="1720" spans="1:26" ht="12" hidden="1" thickBot="1" x14ac:dyDescent="0.25">
      <c r="A1720" s="567" t="s">
        <v>168</v>
      </c>
      <c r="B1720" s="644" t="s">
        <v>168</v>
      </c>
      <c r="C1720" s="645"/>
      <c r="D1720" s="451" t="s">
        <v>212</v>
      </c>
      <c r="E1720" s="423"/>
      <c r="F1720" s="424">
        <v>500</v>
      </c>
      <c r="G1720" s="425">
        <v>0.33</v>
      </c>
      <c r="H1720" s="649">
        <f>IF(F1720&lt;=30,(0.78*F1720+7.82)*G1720,((0.78*30+7.82)+0.78*(F1720-30))*G1720)</f>
        <v>131.28060000000002</v>
      </c>
      <c r="I1720" s="420">
        <v>0</v>
      </c>
      <c r="J1720" s="420"/>
      <c r="K1720" s="421">
        <f t="shared" si="407"/>
        <v>0</v>
      </c>
      <c r="L1720" s="668" t="s">
        <v>614</v>
      </c>
      <c r="M1720" s="669"/>
      <c r="N1720" s="576">
        <f t="shared" si="404"/>
        <v>0</v>
      </c>
      <c r="O1720" s="577">
        <f t="shared" si="399"/>
        <v>0</v>
      </c>
      <c r="P1720" s="578">
        <f t="shared" si="400"/>
        <v>0</v>
      </c>
      <c r="Q1720" s="765"/>
      <c r="R1720" s="669"/>
      <c r="S1720" s="670"/>
      <c r="T1720" s="577">
        <f t="shared" si="397"/>
        <v>0</v>
      </c>
      <c r="U1720" s="578">
        <f t="shared" si="398"/>
        <v>0</v>
      </c>
      <c r="V1720" s="579"/>
      <c r="W1720" s="637" t="str">
        <f>IF(U1719&gt;0,"xx",IF(P1719&gt;0,"xy",""))</f>
        <v/>
      </c>
      <c r="X1720" s="586" t="str">
        <f t="shared" si="402"/>
        <v/>
      </c>
      <c r="Y1720" s="586" t="str">
        <f t="shared" si="409"/>
        <v/>
      </c>
      <c r="Z1720" s="586" t="str">
        <f t="shared" si="403"/>
        <v/>
      </c>
    </row>
    <row r="1721" spans="1:26" ht="12" hidden="1" thickBot="1" x14ac:dyDescent="0.25">
      <c r="A1721" s="567" t="s">
        <v>168</v>
      </c>
      <c r="B1721" s="644" t="s">
        <v>168</v>
      </c>
      <c r="C1721" s="645"/>
      <c r="D1721" s="451" t="s">
        <v>248</v>
      </c>
      <c r="E1721" s="423"/>
      <c r="F1721" s="424">
        <v>180</v>
      </c>
      <c r="G1721" s="425">
        <v>0.92100000000000004</v>
      </c>
      <c r="H1721" s="663">
        <f t="shared" ref="H1721:H1722" si="416">IF(F1721&lt;=30,(1.07*F1721+2.68)*G1721,((1.07*30+2.68)+1.07*(F1721-30))*G1721)</f>
        <v>179.85288</v>
      </c>
      <c r="I1721" s="420">
        <v>0</v>
      </c>
      <c r="J1721" s="420"/>
      <c r="K1721" s="421">
        <f t="shared" si="407"/>
        <v>0</v>
      </c>
      <c r="L1721" s="668" t="s">
        <v>614</v>
      </c>
      <c r="M1721" s="669"/>
      <c r="N1721" s="576">
        <f t="shared" si="404"/>
        <v>0</v>
      </c>
      <c r="O1721" s="577">
        <f t="shared" si="399"/>
        <v>0</v>
      </c>
      <c r="P1721" s="578">
        <f t="shared" si="400"/>
        <v>0</v>
      </c>
      <c r="Q1721" s="765"/>
      <c r="R1721" s="669"/>
      <c r="S1721" s="670"/>
      <c r="T1721" s="577">
        <f t="shared" si="397"/>
        <v>0</v>
      </c>
      <c r="U1721" s="578">
        <f t="shared" si="398"/>
        <v>0</v>
      </c>
      <c r="V1721" s="579"/>
      <c r="W1721" s="637" t="str">
        <f>IF(U1719&gt;0,"xx",IF(P1719&gt;0,"xy",""))</f>
        <v/>
      </c>
      <c r="X1721" s="586" t="str">
        <f t="shared" si="402"/>
        <v/>
      </c>
      <c r="Y1721" s="586" t="str">
        <f t="shared" si="409"/>
        <v/>
      </c>
      <c r="Z1721" s="586" t="str">
        <f t="shared" si="403"/>
        <v/>
      </c>
    </row>
    <row r="1722" spans="1:26" ht="12" hidden="1" thickBot="1" x14ac:dyDescent="0.25">
      <c r="A1722" s="567" t="s">
        <v>168</v>
      </c>
      <c r="B1722" s="644" t="s">
        <v>168</v>
      </c>
      <c r="C1722" s="645"/>
      <c r="D1722" s="451" t="s">
        <v>252</v>
      </c>
      <c r="E1722" s="423"/>
      <c r="F1722" s="424">
        <v>20</v>
      </c>
      <c r="G1722" s="425">
        <v>1.1100000000000001</v>
      </c>
      <c r="H1722" s="663">
        <f t="shared" si="416"/>
        <v>26.728800000000003</v>
      </c>
      <c r="I1722" s="420">
        <v>0</v>
      </c>
      <c r="J1722" s="420"/>
      <c r="K1722" s="421">
        <f t="shared" si="407"/>
        <v>0</v>
      </c>
      <c r="L1722" s="668" t="s">
        <v>614</v>
      </c>
      <c r="M1722" s="669"/>
      <c r="N1722" s="576">
        <f t="shared" si="404"/>
        <v>0</v>
      </c>
      <c r="O1722" s="577">
        <f t="shared" si="399"/>
        <v>0</v>
      </c>
      <c r="P1722" s="578">
        <f t="shared" si="400"/>
        <v>0</v>
      </c>
      <c r="Q1722" s="765"/>
      <c r="R1722" s="669"/>
      <c r="S1722" s="670"/>
      <c r="T1722" s="577">
        <f t="shared" ref="T1722:T1785" si="417">IF(ISBLANK(R1722),0,ROUND(K1722*R1722,2))</f>
        <v>0</v>
      </c>
      <c r="U1722" s="578">
        <f t="shared" ref="U1722:U1785" si="418">IF(ISBLANK(R1722),0,ROUND(R1722*S1722,2))</f>
        <v>0</v>
      </c>
      <c r="V1722" s="579"/>
      <c r="W1722" s="637" t="str">
        <f>IF(U1719&gt;0,"xx",IF(P1719&gt;0,"xy",""))</f>
        <v/>
      </c>
      <c r="X1722" s="586" t="str">
        <f t="shared" si="402"/>
        <v/>
      </c>
      <c r="Y1722" s="586" t="str">
        <f t="shared" si="409"/>
        <v/>
      </c>
      <c r="Z1722" s="586" t="str">
        <f t="shared" si="403"/>
        <v/>
      </c>
    </row>
    <row r="1723" spans="1:26" ht="12" hidden="1" thickBot="1" x14ac:dyDescent="0.25">
      <c r="A1723" s="567">
        <v>605400</v>
      </c>
      <c r="B1723" s="644" t="s">
        <v>1642</v>
      </c>
      <c r="C1723" s="645" t="s">
        <v>206</v>
      </c>
      <c r="D1723" s="422" t="s">
        <v>353</v>
      </c>
      <c r="E1723" s="423"/>
      <c r="F1723" s="424"/>
      <c r="G1723" s="425"/>
      <c r="H1723" s="651">
        <f>SUM(H1724:H1726)</f>
        <v>362.76447999999999</v>
      </c>
      <c r="I1723" s="420">
        <v>495.4</v>
      </c>
      <c r="J1723" s="420">
        <f>IF(ISBLANK(I1723),"",SUM(H1723:I1723))</f>
        <v>858.16447999999991</v>
      </c>
      <c r="K1723" s="421">
        <f t="shared" si="407"/>
        <v>1019.59</v>
      </c>
      <c r="L1723" s="647" t="s">
        <v>16</v>
      </c>
      <c r="M1723" s="576"/>
      <c r="N1723" s="576">
        <f t="shared" si="404"/>
        <v>0</v>
      </c>
      <c r="O1723" s="577">
        <f t="shared" ref="O1723:O1786" si="419">IF(ISBLANK(M1723),0,ROUND(K1723*M1723,2))</f>
        <v>0</v>
      </c>
      <c r="P1723" s="578">
        <f t="shared" ref="P1723:P1786" si="420">IF(ISBLANK(N1723),0,ROUND(M1723*N1723,2))</f>
        <v>0</v>
      </c>
      <c r="Q1723" s="765"/>
      <c r="R1723" s="576">
        <f t="shared" si="414"/>
        <v>0</v>
      </c>
      <c r="S1723" s="576">
        <f t="shared" si="414"/>
        <v>0</v>
      </c>
      <c r="T1723" s="577">
        <f t="shared" si="417"/>
        <v>0</v>
      </c>
      <c r="U1723" s="578">
        <f t="shared" si="418"/>
        <v>0</v>
      </c>
      <c r="V1723" s="579"/>
      <c r="W1723" s="566"/>
      <c r="X1723" s="586" t="str">
        <f t="shared" si="402"/>
        <v/>
      </c>
      <c r="Y1723" s="586" t="str">
        <f t="shared" si="409"/>
        <v/>
      </c>
      <c r="Z1723" s="586" t="str">
        <f t="shared" si="403"/>
        <v/>
      </c>
    </row>
    <row r="1724" spans="1:26" ht="12" hidden="1" thickBot="1" x14ac:dyDescent="0.25">
      <c r="A1724" s="567" t="s">
        <v>168</v>
      </c>
      <c r="B1724" s="644" t="s">
        <v>168</v>
      </c>
      <c r="C1724" s="645"/>
      <c r="D1724" s="451" t="s">
        <v>212</v>
      </c>
      <c r="E1724" s="423"/>
      <c r="F1724" s="424">
        <v>500</v>
      </c>
      <c r="G1724" s="425">
        <v>0.34399999999999997</v>
      </c>
      <c r="H1724" s="649">
        <f>IF(F1724&lt;=30,(0.78*F1724+7.82)*G1724,((0.78*30+7.82)+0.78*(F1724-30))*G1724)</f>
        <v>136.85008000000002</v>
      </c>
      <c r="I1724" s="420">
        <v>0</v>
      </c>
      <c r="J1724" s="420"/>
      <c r="K1724" s="421">
        <f t="shared" si="407"/>
        <v>0</v>
      </c>
      <c r="L1724" s="668" t="s">
        <v>614</v>
      </c>
      <c r="M1724" s="669"/>
      <c r="N1724" s="576">
        <f t="shared" si="404"/>
        <v>0</v>
      </c>
      <c r="O1724" s="577">
        <f t="shared" si="419"/>
        <v>0</v>
      </c>
      <c r="P1724" s="578">
        <f t="shared" si="420"/>
        <v>0</v>
      </c>
      <c r="Q1724" s="765"/>
      <c r="R1724" s="669"/>
      <c r="S1724" s="670"/>
      <c r="T1724" s="577">
        <f t="shared" si="417"/>
        <v>0</v>
      </c>
      <c r="U1724" s="578">
        <f t="shared" si="418"/>
        <v>0</v>
      </c>
      <c r="V1724" s="579"/>
      <c r="W1724" s="637" t="str">
        <f>IF(U1723&gt;0,"xx",IF(P1723&gt;0,"xy",""))</f>
        <v/>
      </c>
      <c r="X1724" s="586" t="str">
        <f t="shared" si="402"/>
        <v/>
      </c>
      <c r="Y1724" s="586" t="str">
        <f t="shared" si="409"/>
        <v/>
      </c>
      <c r="Z1724" s="586" t="str">
        <f t="shared" si="403"/>
        <v/>
      </c>
    </row>
    <row r="1725" spans="1:26" ht="12" hidden="1" thickBot="1" x14ac:dyDescent="0.25">
      <c r="A1725" s="567" t="s">
        <v>168</v>
      </c>
      <c r="B1725" s="644" t="s">
        <v>168</v>
      </c>
      <c r="C1725" s="645"/>
      <c r="D1725" s="451" t="s">
        <v>248</v>
      </c>
      <c r="E1725" s="423"/>
      <c r="F1725" s="424">
        <v>180</v>
      </c>
      <c r="G1725" s="425">
        <v>1.02</v>
      </c>
      <c r="H1725" s="663">
        <f t="shared" ref="H1725:H1726" si="421">IF(F1725&lt;=30,(1.07*F1725+2.68)*G1725,((1.07*30+2.68)+1.07*(F1725-30))*G1725)</f>
        <v>199.18559999999999</v>
      </c>
      <c r="I1725" s="420">
        <v>0</v>
      </c>
      <c r="J1725" s="420"/>
      <c r="K1725" s="421">
        <f t="shared" si="407"/>
        <v>0</v>
      </c>
      <c r="L1725" s="668" t="s">
        <v>614</v>
      </c>
      <c r="M1725" s="669"/>
      <c r="N1725" s="576">
        <f t="shared" si="404"/>
        <v>0</v>
      </c>
      <c r="O1725" s="577">
        <f t="shared" si="419"/>
        <v>0</v>
      </c>
      <c r="P1725" s="578">
        <f t="shared" si="420"/>
        <v>0</v>
      </c>
      <c r="Q1725" s="765"/>
      <c r="R1725" s="669"/>
      <c r="S1725" s="670"/>
      <c r="T1725" s="577">
        <f t="shared" si="417"/>
        <v>0</v>
      </c>
      <c r="U1725" s="578">
        <f t="shared" si="418"/>
        <v>0</v>
      </c>
      <c r="V1725" s="579"/>
      <c r="W1725" s="637" t="str">
        <f>IF(U1723&gt;0,"xx",IF(P1723&gt;0,"xy",""))</f>
        <v/>
      </c>
      <c r="X1725" s="586" t="str">
        <f t="shared" ref="X1725:X1792" si="422">IF(W1725="X","x",IF(W1725="xx","x",IF(W1725="xy","x",IF(W1725="y","x",IF(OR(P1725&gt;0,U1725&gt;0),"x","")))))</f>
        <v/>
      </c>
      <c r="Y1725" s="586" t="str">
        <f t="shared" si="409"/>
        <v/>
      </c>
      <c r="Z1725" s="586" t="str">
        <f t="shared" si="403"/>
        <v/>
      </c>
    </row>
    <row r="1726" spans="1:26" ht="12" hidden="1" thickBot="1" x14ac:dyDescent="0.25">
      <c r="A1726" s="567" t="s">
        <v>168</v>
      </c>
      <c r="B1726" s="644" t="s">
        <v>168</v>
      </c>
      <c r="C1726" s="645"/>
      <c r="D1726" s="451" t="s">
        <v>252</v>
      </c>
      <c r="E1726" s="423"/>
      <c r="F1726" s="424">
        <v>20</v>
      </c>
      <c r="G1726" s="425">
        <v>1.1100000000000001</v>
      </c>
      <c r="H1726" s="663">
        <f t="shared" si="421"/>
        <v>26.728800000000003</v>
      </c>
      <c r="I1726" s="420">
        <v>0</v>
      </c>
      <c r="J1726" s="420"/>
      <c r="K1726" s="421">
        <f t="shared" si="407"/>
        <v>0</v>
      </c>
      <c r="L1726" s="668" t="s">
        <v>614</v>
      </c>
      <c r="M1726" s="669"/>
      <c r="N1726" s="576">
        <f t="shared" si="404"/>
        <v>0</v>
      </c>
      <c r="O1726" s="577">
        <f t="shared" si="419"/>
        <v>0</v>
      </c>
      <c r="P1726" s="578">
        <f t="shared" si="420"/>
        <v>0</v>
      </c>
      <c r="Q1726" s="765"/>
      <c r="R1726" s="669"/>
      <c r="S1726" s="670"/>
      <c r="T1726" s="577">
        <f t="shared" si="417"/>
        <v>0</v>
      </c>
      <c r="U1726" s="578">
        <f t="shared" si="418"/>
        <v>0</v>
      </c>
      <c r="V1726" s="579"/>
      <c r="W1726" s="637" t="str">
        <f>IF(U1723&gt;0,"xx",IF(P1723&gt;0,"xy",""))</f>
        <v/>
      </c>
      <c r="X1726" s="586" t="str">
        <f t="shared" si="422"/>
        <v/>
      </c>
      <c r="Y1726" s="586" t="str">
        <f t="shared" si="409"/>
        <v/>
      </c>
      <c r="Z1726" s="586" t="str">
        <f t="shared" si="403"/>
        <v/>
      </c>
    </row>
    <row r="1727" spans="1:26" ht="12" hidden="1" thickBot="1" x14ac:dyDescent="0.25">
      <c r="A1727" s="567">
        <v>831000</v>
      </c>
      <c r="B1727" s="644" t="s">
        <v>1873</v>
      </c>
      <c r="C1727" s="645" t="s">
        <v>206</v>
      </c>
      <c r="D1727" s="422" t="s">
        <v>280</v>
      </c>
      <c r="E1727" s="423"/>
      <c r="F1727" s="424"/>
      <c r="G1727" s="425"/>
      <c r="H1727" s="651"/>
      <c r="I1727" s="420">
        <v>41.120000000000005</v>
      </c>
      <c r="J1727" s="420">
        <f t="shared" ref="J1727:J1734" si="423">IF(ISBLANK(I1727),"",SUM(H1727:I1727))</f>
        <v>41.120000000000005</v>
      </c>
      <c r="K1727" s="421">
        <f t="shared" si="407"/>
        <v>48.85</v>
      </c>
      <c r="L1727" s="647" t="s">
        <v>19</v>
      </c>
      <c r="M1727" s="576"/>
      <c r="N1727" s="576">
        <f t="shared" si="404"/>
        <v>0</v>
      </c>
      <c r="O1727" s="577">
        <f t="shared" si="419"/>
        <v>0</v>
      </c>
      <c r="P1727" s="578">
        <f t="shared" si="420"/>
        <v>0</v>
      </c>
      <c r="Q1727" s="765"/>
      <c r="R1727" s="576">
        <f t="shared" si="414"/>
        <v>0</v>
      </c>
      <c r="S1727" s="576">
        <f t="shared" si="414"/>
        <v>0</v>
      </c>
      <c r="T1727" s="577">
        <f t="shared" si="417"/>
        <v>0</v>
      </c>
      <c r="U1727" s="578">
        <f t="shared" si="418"/>
        <v>0</v>
      </c>
      <c r="V1727" s="579"/>
      <c r="W1727" s="566"/>
      <c r="X1727" s="586" t="str">
        <f t="shared" si="422"/>
        <v/>
      </c>
      <c r="Y1727" s="586" t="str">
        <f t="shared" si="409"/>
        <v/>
      </c>
      <c r="Z1727" s="586" t="str">
        <f t="shared" si="403"/>
        <v/>
      </c>
    </row>
    <row r="1728" spans="1:26" ht="12" hidden="1" thickBot="1" x14ac:dyDescent="0.25">
      <c r="A1728" s="567">
        <v>830000</v>
      </c>
      <c r="B1728" s="644" t="s">
        <v>1874</v>
      </c>
      <c r="C1728" s="645" t="s">
        <v>206</v>
      </c>
      <c r="D1728" s="422" t="s">
        <v>281</v>
      </c>
      <c r="E1728" s="423"/>
      <c r="F1728" s="424"/>
      <c r="G1728" s="425"/>
      <c r="H1728" s="651"/>
      <c r="I1728" s="420">
        <v>34.14</v>
      </c>
      <c r="J1728" s="420">
        <f t="shared" si="423"/>
        <v>34.14</v>
      </c>
      <c r="K1728" s="421">
        <f t="shared" si="407"/>
        <v>40.56</v>
      </c>
      <c r="L1728" s="647" t="s">
        <v>19</v>
      </c>
      <c r="M1728" s="576"/>
      <c r="N1728" s="576">
        <f t="shared" si="404"/>
        <v>0</v>
      </c>
      <c r="O1728" s="577">
        <f t="shared" si="419"/>
        <v>0</v>
      </c>
      <c r="P1728" s="578">
        <f t="shared" si="420"/>
        <v>0</v>
      </c>
      <c r="Q1728" s="765"/>
      <c r="R1728" s="576">
        <f t="shared" si="414"/>
        <v>0</v>
      </c>
      <c r="S1728" s="576">
        <f t="shared" si="414"/>
        <v>0</v>
      </c>
      <c r="T1728" s="577">
        <f t="shared" si="417"/>
        <v>0</v>
      </c>
      <c r="U1728" s="578">
        <f t="shared" si="418"/>
        <v>0</v>
      </c>
      <c r="V1728" s="579"/>
      <c r="W1728" s="566"/>
      <c r="X1728" s="586" t="str">
        <f t="shared" si="422"/>
        <v/>
      </c>
      <c r="Y1728" s="586" t="str">
        <f t="shared" si="409"/>
        <v/>
      </c>
      <c r="Z1728" s="586" t="str">
        <f t="shared" si="403"/>
        <v/>
      </c>
    </row>
    <row r="1729" spans="1:26" ht="12" hidden="1" thickBot="1" x14ac:dyDescent="0.25">
      <c r="A1729" s="567">
        <v>823000</v>
      </c>
      <c r="B1729" s="644" t="s">
        <v>1636</v>
      </c>
      <c r="C1729" s="645" t="s">
        <v>206</v>
      </c>
      <c r="D1729" s="422" t="s">
        <v>282</v>
      </c>
      <c r="E1729" s="423"/>
      <c r="F1729" s="424">
        <v>0</v>
      </c>
      <c r="G1729" s="425"/>
      <c r="H1729" s="651"/>
      <c r="I1729" s="420">
        <v>486.65</v>
      </c>
      <c r="J1729" s="420">
        <f t="shared" si="423"/>
        <v>486.65</v>
      </c>
      <c r="K1729" s="421">
        <f t="shared" si="407"/>
        <v>578.19000000000005</v>
      </c>
      <c r="L1729" s="647" t="s">
        <v>19</v>
      </c>
      <c r="M1729" s="576"/>
      <c r="N1729" s="576">
        <f t="shared" si="404"/>
        <v>0</v>
      </c>
      <c r="O1729" s="577">
        <f t="shared" si="419"/>
        <v>0</v>
      </c>
      <c r="P1729" s="578">
        <f t="shared" si="420"/>
        <v>0</v>
      </c>
      <c r="Q1729" s="765"/>
      <c r="R1729" s="576">
        <f t="shared" si="414"/>
        <v>0</v>
      </c>
      <c r="S1729" s="576">
        <f t="shared" si="414"/>
        <v>0</v>
      </c>
      <c r="T1729" s="577">
        <f t="shared" si="417"/>
        <v>0</v>
      </c>
      <c r="U1729" s="578">
        <f t="shared" si="418"/>
        <v>0</v>
      </c>
      <c r="V1729" s="579"/>
      <c r="W1729" s="566"/>
      <c r="X1729" s="586" t="str">
        <f t="shared" si="422"/>
        <v/>
      </c>
      <c r="Y1729" s="586" t="str">
        <f t="shared" si="409"/>
        <v/>
      </c>
      <c r="Z1729" s="586" t="str">
        <f t="shared" si="403"/>
        <v/>
      </c>
    </row>
    <row r="1730" spans="1:26" ht="12" hidden="1" thickBot="1" x14ac:dyDescent="0.25">
      <c r="A1730" s="567">
        <v>97623</v>
      </c>
      <c r="B1730" s="644" t="s">
        <v>1598</v>
      </c>
      <c r="C1730" s="645" t="s">
        <v>670</v>
      </c>
      <c r="D1730" s="416" t="s">
        <v>1595</v>
      </c>
      <c r="E1730" s="417"/>
      <c r="F1730" s="418"/>
      <c r="G1730" s="419"/>
      <c r="H1730" s="646"/>
      <c r="I1730" s="420">
        <v>175.28</v>
      </c>
      <c r="J1730" s="420">
        <f t="shared" si="423"/>
        <v>175.28</v>
      </c>
      <c r="K1730" s="421">
        <f t="shared" si="407"/>
        <v>208.25</v>
      </c>
      <c r="L1730" s="647" t="s">
        <v>16</v>
      </c>
      <c r="M1730" s="576"/>
      <c r="N1730" s="576">
        <f t="shared" si="404"/>
        <v>0</v>
      </c>
      <c r="O1730" s="577">
        <f t="shared" si="419"/>
        <v>0</v>
      </c>
      <c r="P1730" s="578">
        <f t="shared" si="420"/>
        <v>0</v>
      </c>
      <c r="Q1730" s="765"/>
      <c r="R1730" s="650">
        <f t="shared" si="414"/>
        <v>0</v>
      </c>
      <c r="S1730" s="587">
        <f t="shared" si="414"/>
        <v>0</v>
      </c>
      <c r="T1730" s="577">
        <f t="shared" si="417"/>
        <v>0</v>
      </c>
      <c r="U1730" s="578">
        <f t="shared" si="418"/>
        <v>0</v>
      </c>
      <c r="V1730" s="579"/>
      <c r="W1730" s="566"/>
      <c r="X1730" s="586" t="str">
        <f t="shared" si="422"/>
        <v/>
      </c>
      <c r="Y1730" s="586" t="str">
        <f t="shared" si="409"/>
        <v/>
      </c>
      <c r="Z1730" s="586" t="str">
        <f t="shared" si="403"/>
        <v/>
      </c>
    </row>
    <row r="1731" spans="1:26" ht="12" hidden="1" thickBot="1" x14ac:dyDescent="0.25">
      <c r="A1731" s="567">
        <v>97624</v>
      </c>
      <c r="B1731" s="644" t="s">
        <v>1599</v>
      </c>
      <c r="C1731" s="645" t="s">
        <v>670</v>
      </c>
      <c r="D1731" s="416" t="s">
        <v>1597</v>
      </c>
      <c r="E1731" s="417"/>
      <c r="F1731" s="418"/>
      <c r="G1731" s="419"/>
      <c r="H1731" s="646"/>
      <c r="I1731" s="420">
        <v>107.58</v>
      </c>
      <c r="J1731" s="420">
        <f t="shared" si="423"/>
        <v>107.58</v>
      </c>
      <c r="K1731" s="421">
        <f t="shared" si="407"/>
        <v>127.82</v>
      </c>
      <c r="L1731" s="647" t="s">
        <v>16</v>
      </c>
      <c r="M1731" s="576"/>
      <c r="N1731" s="576">
        <f t="shared" si="404"/>
        <v>0</v>
      </c>
      <c r="O1731" s="577">
        <f t="shared" si="419"/>
        <v>0</v>
      </c>
      <c r="P1731" s="578">
        <f t="shared" si="420"/>
        <v>0</v>
      </c>
      <c r="Q1731" s="765"/>
      <c r="R1731" s="650">
        <f t="shared" si="414"/>
        <v>0</v>
      </c>
      <c r="S1731" s="587">
        <f t="shared" si="414"/>
        <v>0</v>
      </c>
      <c r="T1731" s="577">
        <f t="shared" si="417"/>
        <v>0</v>
      </c>
      <c r="U1731" s="578">
        <f t="shared" si="418"/>
        <v>0</v>
      </c>
      <c r="V1731" s="579"/>
      <c r="W1731" s="566"/>
      <c r="X1731" s="586" t="str">
        <f t="shared" si="422"/>
        <v/>
      </c>
      <c r="Y1731" s="586" t="str">
        <f t="shared" si="409"/>
        <v/>
      </c>
      <c r="Z1731" s="586" t="str">
        <f t="shared" si="403"/>
        <v/>
      </c>
    </row>
    <row r="1732" spans="1:26" ht="12" hidden="1" thickBot="1" x14ac:dyDescent="0.25">
      <c r="A1732" s="567">
        <v>606500</v>
      </c>
      <c r="B1732" s="644" t="s">
        <v>1600</v>
      </c>
      <c r="C1732" s="645" t="s">
        <v>206</v>
      </c>
      <c r="D1732" s="416" t="s">
        <v>501</v>
      </c>
      <c r="E1732" s="417"/>
      <c r="F1732" s="418"/>
      <c r="G1732" s="419"/>
      <c r="H1732" s="646"/>
      <c r="I1732" s="420">
        <v>169.87</v>
      </c>
      <c r="J1732" s="420">
        <f t="shared" si="423"/>
        <v>169.87</v>
      </c>
      <c r="K1732" s="421">
        <f t="shared" si="407"/>
        <v>201.82</v>
      </c>
      <c r="L1732" s="647" t="s">
        <v>16</v>
      </c>
      <c r="M1732" s="576"/>
      <c r="N1732" s="576">
        <f t="shared" si="404"/>
        <v>0</v>
      </c>
      <c r="O1732" s="577">
        <f t="shared" si="419"/>
        <v>0</v>
      </c>
      <c r="P1732" s="578">
        <f t="shared" si="420"/>
        <v>0</v>
      </c>
      <c r="Q1732" s="765"/>
      <c r="R1732" s="650">
        <f t="shared" si="414"/>
        <v>0</v>
      </c>
      <c r="S1732" s="587">
        <f t="shared" si="414"/>
        <v>0</v>
      </c>
      <c r="T1732" s="577">
        <f t="shared" si="417"/>
        <v>0</v>
      </c>
      <c r="U1732" s="578">
        <f t="shared" si="418"/>
        <v>0</v>
      </c>
      <c r="V1732" s="579"/>
      <c r="W1732" s="566"/>
      <c r="X1732" s="586" t="str">
        <f t="shared" si="422"/>
        <v/>
      </c>
      <c r="Y1732" s="586" t="str">
        <f t="shared" si="409"/>
        <v/>
      </c>
      <c r="Z1732" s="586" t="str">
        <f t="shared" si="403"/>
        <v/>
      </c>
    </row>
    <row r="1733" spans="1:26" ht="12" hidden="1" thickBot="1" x14ac:dyDescent="0.25">
      <c r="A1733" s="567">
        <v>841000</v>
      </c>
      <c r="B1733" s="644" t="s">
        <v>1593</v>
      </c>
      <c r="C1733" s="645" t="s">
        <v>206</v>
      </c>
      <c r="D1733" s="422" t="s">
        <v>477</v>
      </c>
      <c r="E1733" s="423"/>
      <c r="F1733" s="424">
        <v>0</v>
      </c>
      <c r="G1733" s="425"/>
      <c r="H1733" s="651"/>
      <c r="I1733" s="420">
        <v>11.64</v>
      </c>
      <c r="J1733" s="420">
        <f t="shared" si="423"/>
        <v>11.64</v>
      </c>
      <c r="K1733" s="421">
        <f t="shared" si="407"/>
        <v>13.83</v>
      </c>
      <c r="L1733" s="647" t="s">
        <v>19</v>
      </c>
      <c r="M1733" s="576"/>
      <c r="N1733" s="576">
        <f t="shared" si="404"/>
        <v>0</v>
      </c>
      <c r="O1733" s="577">
        <f t="shared" si="419"/>
        <v>0</v>
      </c>
      <c r="P1733" s="578">
        <f t="shared" si="420"/>
        <v>0</v>
      </c>
      <c r="Q1733" s="765"/>
      <c r="R1733" s="576">
        <f t="shared" si="414"/>
        <v>0</v>
      </c>
      <c r="S1733" s="576">
        <f t="shared" si="414"/>
        <v>0</v>
      </c>
      <c r="T1733" s="577">
        <f t="shared" si="417"/>
        <v>0</v>
      </c>
      <c r="U1733" s="578">
        <f t="shared" si="418"/>
        <v>0</v>
      </c>
      <c r="V1733" s="579"/>
      <c r="W1733" s="566"/>
      <c r="X1733" s="586" t="str">
        <f t="shared" si="422"/>
        <v/>
      </c>
      <c r="Y1733" s="586" t="str">
        <f t="shared" si="409"/>
        <v/>
      </c>
      <c r="Z1733" s="586" t="str">
        <f t="shared" si="403"/>
        <v/>
      </c>
    </row>
    <row r="1734" spans="1:26" ht="12" hidden="1" thickBot="1" x14ac:dyDescent="0.25">
      <c r="A1734" s="567">
        <v>840000</v>
      </c>
      <c r="B1734" s="644" t="s">
        <v>1716</v>
      </c>
      <c r="C1734" s="645" t="s">
        <v>206</v>
      </c>
      <c r="D1734" s="422" t="s">
        <v>279</v>
      </c>
      <c r="E1734" s="423"/>
      <c r="F1734" s="424">
        <v>0</v>
      </c>
      <c r="G1734" s="425"/>
      <c r="H1734" s="651"/>
      <c r="I1734" s="420">
        <v>32.15</v>
      </c>
      <c r="J1734" s="420">
        <f t="shared" si="423"/>
        <v>32.15</v>
      </c>
      <c r="K1734" s="421">
        <f t="shared" si="407"/>
        <v>38.200000000000003</v>
      </c>
      <c r="L1734" s="647" t="s">
        <v>19</v>
      </c>
      <c r="M1734" s="576"/>
      <c r="N1734" s="576">
        <f t="shared" si="404"/>
        <v>0</v>
      </c>
      <c r="O1734" s="577">
        <f t="shared" si="419"/>
        <v>0</v>
      </c>
      <c r="P1734" s="578">
        <f t="shared" si="420"/>
        <v>0</v>
      </c>
      <c r="Q1734" s="765"/>
      <c r="R1734" s="576">
        <f t="shared" si="414"/>
        <v>0</v>
      </c>
      <c r="S1734" s="576">
        <f t="shared" si="414"/>
        <v>0</v>
      </c>
      <c r="T1734" s="577">
        <f t="shared" si="417"/>
        <v>0</v>
      </c>
      <c r="U1734" s="578">
        <f t="shared" si="418"/>
        <v>0</v>
      </c>
      <c r="V1734" s="579"/>
      <c r="W1734" s="566"/>
      <c r="X1734" s="586" t="str">
        <f>IF(W1734="X","x",IF(W1734="xx","x",IF(W1734="xy","x",IF(W1734="y","x",IF(OR(P1734&gt;0,U1734&gt;0),"x","")))))</f>
        <v/>
      </c>
      <c r="Y1734" s="586" t="str">
        <f>IF(W1734="X","x",IF(W1734="y","x",IF(W1734="xx","x",IF(U1734&gt;0,"x",""))))</f>
        <v/>
      </c>
      <c r="Z1734" s="586" t="str">
        <f t="shared" si="403"/>
        <v/>
      </c>
    </row>
    <row r="1735" spans="1:26" ht="12" hidden="1" thickBot="1" x14ac:dyDescent="0.25">
      <c r="A1735" s="567">
        <v>606600</v>
      </c>
      <c r="B1735" s="644" t="s">
        <v>1579</v>
      </c>
      <c r="C1735" s="645" t="s">
        <v>206</v>
      </c>
      <c r="D1735" s="422" t="s">
        <v>200</v>
      </c>
      <c r="E1735" s="423"/>
      <c r="F1735" s="424">
        <v>0</v>
      </c>
      <c r="G1735" s="425"/>
      <c r="H1735" s="651"/>
      <c r="I1735" s="420">
        <v>300.33999999999997</v>
      </c>
      <c r="J1735" s="420">
        <f t="shared" ref="J1735:J1740" si="424">IF(ISBLANK(I1735),"",SUM(H1735:I1735))</f>
        <v>300.33999999999997</v>
      </c>
      <c r="K1735" s="421">
        <f t="shared" si="407"/>
        <v>356.83</v>
      </c>
      <c r="L1735" s="647" t="s">
        <v>16</v>
      </c>
      <c r="M1735" s="576"/>
      <c r="N1735" s="576">
        <f t="shared" si="404"/>
        <v>0</v>
      </c>
      <c r="O1735" s="577">
        <f t="shared" si="419"/>
        <v>0</v>
      </c>
      <c r="P1735" s="578">
        <f t="shared" si="420"/>
        <v>0</v>
      </c>
      <c r="Q1735" s="765"/>
      <c r="R1735" s="576">
        <f t="shared" si="414"/>
        <v>0</v>
      </c>
      <c r="S1735" s="576">
        <f t="shared" si="414"/>
        <v>0</v>
      </c>
      <c r="T1735" s="577">
        <f t="shared" si="417"/>
        <v>0</v>
      </c>
      <c r="U1735" s="578">
        <f t="shared" si="418"/>
        <v>0</v>
      </c>
      <c r="V1735" s="579"/>
      <c r="W1735" s="566"/>
      <c r="X1735" s="586" t="str">
        <f t="shared" si="422"/>
        <v/>
      </c>
      <c r="Y1735" s="586" t="str">
        <f t="shared" si="409"/>
        <v/>
      </c>
      <c r="Z1735" s="586" t="str">
        <f t="shared" si="403"/>
        <v/>
      </c>
    </row>
    <row r="1736" spans="1:26" ht="12" hidden="1" thickBot="1" x14ac:dyDescent="0.25">
      <c r="A1736" s="567">
        <v>606700</v>
      </c>
      <c r="B1736" s="644" t="s">
        <v>1582</v>
      </c>
      <c r="C1736" s="645" t="s">
        <v>206</v>
      </c>
      <c r="D1736" s="422" t="s">
        <v>273</v>
      </c>
      <c r="E1736" s="423"/>
      <c r="F1736" s="424">
        <v>0</v>
      </c>
      <c r="G1736" s="425"/>
      <c r="H1736" s="651"/>
      <c r="I1736" s="420">
        <v>143.94</v>
      </c>
      <c r="J1736" s="420">
        <f t="shared" si="424"/>
        <v>143.94</v>
      </c>
      <c r="K1736" s="421">
        <f t="shared" si="407"/>
        <v>171.02</v>
      </c>
      <c r="L1736" s="647" t="s">
        <v>16</v>
      </c>
      <c r="M1736" s="576"/>
      <c r="N1736" s="576">
        <f t="shared" si="404"/>
        <v>0</v>
      </c>
      <c r="O1736" s="577">
        <f t="shared" si="419"/>
        <v>0</v>
      </c>
      <c r="P1736" s="578">
        <f t="shared" si="420"/>
        <v>0</v>
      </c>
      <c r="Q1736" s="765"/>
      <c r="R1736" s="576">
        <f t="shared" si="414"/>
        <v>0</v>
      </c>
      <c r="S1736" s="576">
        <f t="shared" si="414"/>
        <v>0</v>
      </c>
      <c r="T1736" s="577">
        <f t="shared" si="417"/>
        <v>0</v>
      </c>
      <c r="U1736" s="578">
        <f t="shared" si="418"/>
        <v>0</v>
      </c>
      <c r="V1736" s="579"/>
      <c r="W1736" s="566"/>
      <c r="X1736" s="586" t="str">
        <f t="shared" si="422"/>
        <v/>
      </c>
      <c r="Y1736" s="586" t="str">
        <f t="shared" si="409"/>
        <v/>
      </c>
      <c r="Z1736" s="586" t="str">
        <f t="shared" si="403"/>
        <v/>
      </c>
    </row>
    <row r="1737" spans="1:26" ht="12" hidden="1" thickBot="1" x14ac:dyDescent="0.25">
      <c r="A1737" s="567">
        <v>603700</v>
      </c>
      <c r="B1737" s="644" t="s">
        <v>1644</v>
      </c>
      <c r="C1737" s="645" t="s">
        <v>206</v>
      </c>
      <c r="D1737" s="422" t="s">
        <v>338</v>
      </c>
      <c r="E1737" s="423"/>
      <c r="F1737" s="424">
        <v>20</v>
      </c>
      <c r="G1737" s="425">
        <v>1.8</v>
      </c>
      <c r="H1737" s="663">
        <f t="shared" ref="H1737:H1738" si="425">IF(F1737&lt;=30,(1.07*F1737+2.68)*G1737,((1.07*30+2.68)+1.07*(F1737-30))*G1737)</f>
        <v>43.344000000000001</v>
      </c>
      <c r="I1737" s="420">
        <v>201.64</v>
      </c>
      <c r="J1737" s="420">
        <f t="shared" si="424"/>
        <v>244.98399999999998</v>
      </c>
      <c r="K1737" s="421">
        <f t="shared" si="407"/>
        <v>291.07</v>
      </c>
      <c r="L1737" s="647" t="s">
        <v>16</v>
      </c>
      <c r="M1737" s="576"/>
      <c r="N1737" s="576">
        <f t="shared" si="404"/>
        <v>0</v>
      </c>
      <c r="O1737" s="577">
        <f t="shared" si="419"/>
        <v>0</v>
      </c>
      <c r="P1737" s="578">
        <f t="shared" si="420"/>
        <v>0</v>
      </c>
      <c r="Q1737" s="765"/>
      <c r="R1737" s="576">
        <f t="shared" si="414"/>
        <v>0</v>
      </c>
      <c r="S1737" s="576">
        <f t="shared" si="414"/>
        <v>0</v>
      </c>
      <c r="T1737" s="577">
        <f t="shared" si="417"/>
        <v>0</v>
      </c>
      <c r="U1737" s="578">
        <f t="shared" si="418"/>
        <v>0</v>
      </c>
      <c r="V1737" s="579"/>
      <c r="W1737" s="637"/>
      <c r="X1737" s="586" t="str">
        <f t="shared" si="422"/>
        <v/>
      </c>
      <c r="Y1737" s="586" t="str">
        <f t="shared" si="409"/>
        <v/>
      </c>
      <c r="Z1737" s="586" t="str">
        <f t="shared" si="403"/>
        <v/>
      </c>
    </row>
    <row r="1738" spans="1:26" ht="12" hidden="1" thickBot="1" x14ac:dyDescent="0.25">
      <c r="A1738" s="567">
        <v>603800</v>
      </c>
      <c r="B1738" s="644" t="s">
        <v>1645</v>
      </c>
      <c r="C1738" s="645" t="s">
        <v>206</v>
      </c>
      <c r="D1738" s="422" t="s">
        <v>339</v>
      </c>
      <c r="E1738" s="423"/>
      <c r="F1738" s="424">
        <v>20</v>
      </c>
      <c r="G1738" s="425">
        <v>1.5</v>
      </c>
      <c r="H1738" s="663">
        <f t="shared" si="425"/>
        <v>36.120000000000005</v>
      </c>
      <c r="I1738" s="420">
        <v>119.45</v>
      </c>
      <c r="J1738" s="420">
        <f t="shared" si="424"/>
        <v>155.57</v>
      </c>
      <c r="K1738" s="421">
        <f t="shared" si="407"/>
        <v>184.83</v>
      </c>
      <c r="L1738" s="647" t="s">
        <v>16</v>
      </c>
      <c r="M1738" s="576"/>
      <c r="N1738" s="576">
        <f t="shared" si="404"/>
        <v>0</v>
      </c>
      <c r="O1738" s="577">
        <f t="shared" si="419"/>
        <v>0</v>
      </c>
      <c r="P1738" s="578">
        <f t="shared" si="420"/>
        <v>0</v>
      </c>
      <c r="Q1738" s="765"/>
      <c r="R1738" s="576">
        <f t="shared" si="414"/>
        <v>0</v>
      </c>
      <c r="S1738" s="576">
        <f t="shared" si="414"/>
        <v>0</v>
      </c>
      <c r="T1738" s="577">
        <f t="shared" si="417"/>
        <v>0</v>
      </c>
      <c r="U1738" s="578">
        <f t="shared" si="418"/>
        <v>0</v>
      </c>
      <c r="V1738" s="579"/>
      <c r="W1738" s="566"/>
      <c r="X1738" s="586" t="str">
        <f t="shared" si="422"/>
        <v/>
      </c>
      <c r="Y1738" s="586" t="str">
        <f t="shared" si="409"/>
        <v/>
      </c>
      <c r="Z1738" s="586" t="str">
        <f t="shared" si="403"/>
        <v/>
      </c>
    </row>
    <row r="1739" spans="1:26" ht="12" hidden="1" thickBot="1" x14ac:dyDescent="0.25">
      <c r="A1739" s="567">
        <v>600000</v>
      </c>
      <c r="B1739" s="644" t="s">
        <v>1648</v>
      </c>
      <c r="C1739" s="645" t="s">
        <v>206</v>
      </c>
      <c r="D1739" s="422" t="s">
        <v>322</v>
      </c>
      <c r="E1739" s="423"/>
      <c r="F1739" s="424">
        <v>0</v>
      </c>
      <c r="G1739" s="425">
        <v>0</v>
      </c>
      <c r="H1739" s="651"/>
      <c r="I1739" s="420">
        <v>46.12</v>
      </c>
      <c r="J1739" s="420">
        <f t="shared" si="424"/>
        <v>46.12</v>
      </c>
      <c r="K1739" s="421">
        <f t="shared" si="407"/>
        <v>54.8</v>
      </c>
      <c r="L1739" s="647" t="s">
        <v>16</v>
      </c>
      <c r="M1739" s="576"/>
      <c r="N1739" s="576">
        <f t="shared" si="404"/>
        <v>0</v>
      </c>
      <c r="O1739" s="577">
        <f t="shared" si="419"/>
        <v>0</v>
      </c>
      <c r="P1739" s="578">
        <f t="shared" si="420"/>
        <v>0</v>
      </c>
      <c r="Q1739" s="765"/>
      <c r="R1739" s="576">
        <f t="shared" si="414"/>
        <v>0</v>
      </c>
      <c r="S1739" s="576">
        <f t="shared" si="414"/>
        <v>0</v>
      </c>
      <c r="T1739" s="577">
        <f t="shared" si="417"/>
        <v>0</v>
      </c>
      <c r="U1739" s="578">
        <f t="shared" si="418"/>
        <v>0</v>
      </c>
      <c r="V1739" s="579"/>
      <c r="W1739" s="566"/>
      <c r="X1739" s="586" t="str">
        <f t="shared" si="422"/>
        <v/>
      </c>
      <c r="Y1739" s="586" t="str">
        <f t="shared" si="409"/>
        <v/>
      </c>
      <c r="Z1739" s="586" t="str">
        <f t="shared" si="403"/>
        <v/>
      </c>
    </row>
    <row r="1740" spans="1:26" ht="12" hidden="1" thickBot="1" x14ac:dyDescent="0.25">
      <c r="A1740" s="567">
        <v>602000</v>
      </c>
      <c r="B1740" s="644" t="s">
        <v>2097</v>
      </c>
      <c r="C1740" s="645" t="s">
        <v>206</v>
      </c>
      <c r="D1740" s="422" t="s">
        <v>2092</v>
      </c>
      <c r="E1740" s="423"/>
      <c r="F1740" s="424"/>
      <c r="G1740" s="425"/>
      <c r="H1740" s="651"/>
      <c r="I1740" s="420">
        <v>58.84</v>
      </c>
      <c r="J1740" s="420">
        <f t="shared" si="424"/>
        <v>58.84</v>
      </c>
      <c r="K1740" s="421">
        <f t="shared" si="407"/>
        <v>69.91</v>
      </c>
      <c r="L1740" s="647" t="s">
        <v>18</v>
      </c>
      <c r="M1740" s="576"/>
      <c r="N1740" s="576">
        <f t="shared" si="404"/>
        <v>0</v>
      </c>
      <c r="O1740" s="577">
        <f t="shared" si="419"/>
        <v>0</v>
      </c>
      <c r="P1740" s="578">
        <f t="shared" si="420"/>
        <v>0</v>
      </c>
      <c r="Q1740" s="765"/>
      <c r="R1740" s="576">
        <f t="shared" si="414"/>
        <v>0</v>
      </c>
      <c r="S1740" s="576">
        <f t="shared" si="414"/>
        <v>0</v>
      </c>
      <c r="T1740" s="577">
        <f t="shared" si="417"/>
        <v>0</v>
      </c>
      <c r="U1740" s="578">
        <f t="shared" si="418"/>
        <v>0</v>
      </c>
      <c r="V1740" s="579"/>
      <c r="W1740" s="566"/>
      <c r="X1740" s="586" t="str">
        <f t="shared" si="422"/>
        <v/>
      </c>
      <c r="Y1740" s="586" t="str">
        <f t="shared" si="409"/>
        <v/>
      </c>
      <c r="Z1740" s="586" t="str">
        <f t="shared" si="403"/>
        <v/>
      </c>
    </row>
    <row r="1741" spans="1:26" ht="12" hidden="1" thickBot="1" x14ac:dyDescent="0.25">
      <c r="A1741" s="567">
        <v>600310</v>
      </c>
      <c r="B1741" s="644" t="s">
        <v>1588</v>
      </c>
      <c r="C1741" s="645" t="s">
        <v>206</v>
      </c>
      <c r="D1741" s="416" t="s">
        <v>474</v>
      </c>
      <c r="E1741" s="417"/>
      <c r="F1741" s="418"/>
      <c r="G1741" s="419"/>
      <c r="H1741" s="646"/>
      <c r="I1741" s="420">
        <v>138.22</v>
      </c>
      <c r="J1741" s="420">
        <f t="shared" ref="J1741:J1751" si="426">IF(ISBLANK(I1741),"",SUM(H1741:I1741))</f>
        <v>138.22</v>
      </c>
      <c r="K1741" s="421">
        <f t="shared" si="407"/>
        <v>164.22</v>
      </c>
      <c r="L1741" s="647" t="s">
        <v>21</v>
      </c>
      <c r="M1741" s="576"/>
      <c r="N1741" s="576">
        <f t="shared" si="404"/>
        <v>0</v>
      </c>
      <c r="O1741" s="577">
        <f t="shared" si="419"/>
        <v>0</v>
      </c>
      <c r="P1741" s="578">
        <f t="shared" si="420"/>
        <v>0</v>
      </c>
      <c r="Q1741" s="765"/>
      <c r="R1741" s="576">
        <f t="shared" si="414"/>
        <v>0</v>
      </c>
      <c r="S1741" s="576">
        <f t="shared" si="414"/>
        <v>0</v>
      </c>
      <c r="T1741" s="577">
        <f t="shared" si="417"/>
        <v>0</v>
      </c>
      <c r="U1741" s="578">
        <f t="shared" si="418"/>
        <v>0</v>
      </c>
      <c r="V1741" s="579"/>
      <c r="W1741" s="566"/>
      <c r="X1741" s="586" t="str">
        <f t="shared" si="422"/>
        <v/>
      </c>
      <c r="Y1741" s="586" t="str">
        <f t="shared" si="409"/>
        <v/>
      </c>
      <c r="Z1741" s="586" t="str">
        <f t="shared" si="403"/>
        <v/>
      </c>
    </row>
    <row r="1742" spans="1:26" ht="12" hidden="1" thickBot="1" x14ac:dyDescent="0.25">
      <c r="A1742" s="567">
        <v>633000</v>
      </c>
      <c r="B1742" s="644" t="s">
        <v>1650</v>
      </c>
      <c r="C1742" s="645" t="s">
        <v>206</v>
      </c>
      <c r="D1742" s="416" t="s">
        <v>623</v>
      </c>
      <c r="E1742" s="417"/>
      <c r="F1742" s="418"/>
      <c r="G1742" s="419"/>
      <c r="H1742" s="646"/>
      <c r="I1742" s="420">
        <v>76.88</v>
      </c>
      <c r="J1742" s="420">
        <f>IF(ISBLANK(I1742),"",SUM(H1742:I1742))</f>
        <v>76.88</v>
      </c>
      <c r="K1742" s="421">
        <f t="shared" si="407"/>
        <v>91.34</v>
      </c>
      <c r="L1742" s="647" t="s">
        <v>19</v>
      </c>
      <c r="M1742" s="576"/>
      <c r="N1742" s="576">
        <f t="shared" si="404"/>
        <v>0</v>
      </c>
      <c r="O1742" s="577">
        <f t="shared" si="419"/>
        <v>0</v>
      </c>
      <c r="P1742" s="578">
        <f t="shared" si="420"/>
        <v>0</v>
      </c>
      <c r="Q1742" s="765"/>
      <c r="R1742" s="576">
        <f t="shared" si="414"/>
        <v>0</v>
      </c>
      <c r="S1742" s="576">
        <f t="shared" si="414"/>
        <v>0</v>
      </c>
      <c r="T1742" s="577">
        <f t="shared" si="417"/>
        <v>0</v>
      </c>
      <c r="U1742" s="578">
        <f t="shared" si="418"/>
        <v>0</v>
      </c>
      <c r="V1742" s="579"/>
      <c r="W1742" s="566"/>
      <c r="X1742" s="586" t="str">
        <f t="shared" si="422"/>
        <v/>
      </c>
      <c r="Y1742" s="586" t="str">
        <f t="shared" si="409"/>
        <v/>
      </c>
      <c r="Z1742" s="586" t="str">
        <f t="shared" si="403"/>
        <v/>
      </c>
    </row>
    <row r="1743" spans="1:26" ht="12" hidden="1" thickBot="1" x14ac:dyDescent="0.25">
      <c r="A1743" s="567">
        <v>633100</v>
      </c>
      <c r="B1743" s="644" t="s">
        <v>1652</v>
      </c>
      <c r="C1743" s="645" t="s">
        <v>206</v>
      </c>
      <c r="D1743" s="416" t="s">
        <v>624</v>
      </c>
      <c r="E1743" s="417"/>
      <c r="F1743" s="418"/>
      <c r="G1743" s="419"/>
      <c r="H1743" s="646"/>
      <c r="I1743" s="420">
        <v>153.77000000000001</v>
      </c>
      <c r="J1743" s="420">
        <f>IF(ISBLANK(I1743),"",SUM(H1743:I1743))</f>
        <v>153.77000000000001</v>
      </c>
      <c r="K1743" s="421">
        <f t="shared" si="407"/>
        <v>182.69</v>
      </c>
      <c r="L1743" s="647" t="s">
        <v>19</v>
      </c>
      <c r="M1743" s="576"/>
      <c r="N1743" s="576">
        <f t="shared" si="404"/>
        <v>0</v>
      </c>
      <c r="O1743" s="577">
        <f t="shared" si="419"/>
        <v>0</v>
      </c>
      <c r="P1743" s="578">
        <f t="shared" si="420"/>
        <v>0</v>
      </c>
      <c r="Q1743" s="765"/>
      <c r="R1743" s="576">
        <f t="shared" si="414"/>
        <v>0</v>
      </c>
      <c r="S1743" s="576">
        <f t="shared" si="414"/>
        <v>0</v>
      </c>
      <c r="T1743" s="577">
        <f t="shared" si="417"/>
        <v>0</v>
      </c>
      <c r="U1743" s="578">
        <f t="shared" si="418"/>
        <v>0</v>
      </c>
      <c r="V1743" s="579"/>
      <c r="W1743" s="566"/>
      <c r="X1743" s="586" t="str">
        <f t="shared" si="422"/>
        <v/>
      </c>
      <c r="Y1743" s="586" t="str">
        <f t="shared" si="409"/>
        <v/>
      </c>
      <c r="Z1743" s="586" t="str">
        <f t="shared" si="403"/>
        <v/>
      </c>
    </row>
    <row r="1744" spans="1:26" ht="12" hidden="1" thickBot="1" x14ac:dyDescent="0.25">
      <c r="A1744" s="567">
        <v>633200</v>
      </c>
      <c r="B1744" s="644" t="s">
        <v>1653</v>
      </c>
      <c r="C1744" s="645" t="s">
        <v>206</v>
      </c>
      <c r="D1744" s="416" t="s">
        <v>625</v>
      </c>
      <c r="E1744" s="417"/>
      <c r="F1744" s="418"/>
      <c r="G1744" s="419"/>
      <c r="H1744" s="646"/>
      <c r="I1744" s="420">
        <v>230.65</v>
      </c>
      <c r="J1744" s="420">
        <f>IF(ISBLANK(I1744),"",SUM(H1744:I1744))</f>
        <v>230.65</v>
      </c>
      <c r="K1744" s="421">
        <f t="shared" si="407"/>
        <v>274.04000000000002</v>
      </c>
      <c r="L1744" s="647" t="s">
        <v>19</v>
      </c>
      <c r="M1744" s="576"/>
      <c r="N1744" s="576">
        <f t="shared" si="404"/>
        <v>0</v>
      </c>
      <c r="O1744" s="577">
        <f t="shared" si="419"/>
        <v>0</v>
      </c>
      <c r="P1744" s="578">
        <f t="shared" si="420"/>
        <v>0</v>
      </c>
      <c r="Q1744" s="765"/>
      <c r="R1744" s="576">
        <f t="shared" si="414"/>
        <v>0</v>
      </c>
      <c r="S1744" s="576">
        <f t="shared" si="414"/>
        <v>0</v>
      </c>
      <c r="T1744" s="577">
        <f t="shared" si="417"/>
        <v>0</v>
      </c>
      <c r="U1744" s="578">
        <f t="shared" si="418"/>
        <v>0</v>
      </c>
      <c r="V1744" s="579"/>
      <c r="W1744" s="566"/>
      <c r="X1744" s="586" t="str">
        <f t="shared" si="422"/>
        <v/>
      </c>
      <c r="Y1744" s="586" t="str">
        <f t="shared" si="409"/>
        <v/>
      </c>
      <c r="Z1744" s="586" t="str">
        <f t="shared" si="403"/>
        <v/>
      </c>
    </row>
    <row r="1745" spans="1:26" ht="12" hidden="1" thickBot="1" x14ac:dyDescent="0.25">
      <c r="A1745" s="567">
        <v>800900</v>
      </c>
      <c r="B1745" s="644" t="s">
        <v>1590</v>
      </c>
      <c r="C1745" s="645" t="s">
        <v>206</v>
      </c>
      <c r="D1745" s="416" t="s">
        <v>475</v>
      </c>
      <c r="E1745" s="417"/>
      <c r="F1745" s="418"/>
      <c r="G1745" s="419"/>
      <c r="H1745" s="646"/>
      <c r="I1745" s="420">
        <v>13.34</v>
      </c>
      <c r="J1745" s="420">
        <f t="shared" si="426"/>
        <v>13.34</v>
      </c>
      <c r="K1745" s="421">
        <f t="shared" si="407"/>
        <v>15.85</v>
      </c>
      <c r="L1745" s="647" t="s">
        <v>18</v>
      </c>
      <c r="M1745" s="576"/>
      <c r="N1745" s="576">
        <f t="shared" si="404"/>
        <v>0</v>
      </c>
      <c r="O1745" s="577">
        <f t="shared" si="419"/>
        <v>0</v>
      </c>
      <c r="P1745" s="578">
        <f t="shared" si="420"/>
        <v>0</v>
      </c>
      <c r="Q1745" s="765"/>
      <c r="R1745" s="576">
        <f t="shared" si="414"/>
        <v>0</v>
      </c>
      <c r="S1745" s="576">
        <f t="shared" si="414"/>
        <v>0</v>
      </c>
      <c r="T1745" s="577">
        <f t="shared" si="417"/>
        <v>0</v>
      </c>
      <c r="U1745" s="578">
        <f t="shared" si="418"/>
        <v>0</v>
      </c>
      <c r="V1745" s="579"/>
      <c r="W1745" s="566"/>
      <c r="X1745" s="586" t="str">
        <f t="shared" si="422"/>
        <v/>
      </c>
      <c r="Y1745" s="586" t="str">
        <f t="shared" si="409"/>
        <v/>
      </c>
      <c r="Z1745" s="586" t="str">
        <f t="shared" si="403"/>
        <v/>
      </c>
    </row>
    <row r="1746" spans="1:26" ht="12" hidden="1" thickBot="1" x14ac:dyDescent="0.25">
      <c r="A1746" s="567">
        <v>801100</v>
      </c>
      <c r="B1746" s="644" t="s">
        <v>1591</v>
      </c>
      <c r="C1746" s="645" t="s">
        <v>206</v>
      </c>
      <c r="D1746" s="416" t="s">
        <v>293</v>
      </c>
      <c r="E1746" s="417"/>
      <c r="F1746" s="418"/>
      <c r="G1746" s="419"/>
      <c r="H1746" s="646"/>
      <c r="I1746" s="420">
        <v>19.09</v>
      </c>
      <c r="J1746" s="420">
        <f t="shared" si="426"/>
        <v>19.09</v>
      </c>
      <c r="K1746" s="421">
        <f t="shared" si="407"/>
        <v>22.68</v>
      </c>
      <c r="L1746" s="647" t="s">
        <v>18</v>
      </c>
      <c r="M1746" s="587"/>
      <c r="N1746" s="576">
        <f t="shared" si="404"/>
        <v>0</v>
      </c>
      <c r="O1746" s="577">
        <f t="shared" si="419"/>
        <v>0</v>
      </c>
      <c r="P1746" s="578">
        <f t="shared" si="420"/>
        <v>0</v>
      </c>
      <c r="Q1746" s="765"/>
      <c r="R1746" s="650">
        <f t="shared" si="414"/>
        <v>0</v>
      </c>
      <c r="S1746" s="587">
        <f t="shared" si="414"/>
        <v>0</v>
      </c>
      <c r="T1746" s="577">
        <f t="shared" si="417"/>
        <v>0</v>
      </c>
      <c r="U1746" s="578">
        <f t="shared" si="418"/>
        <v>0</v>
      </c>
      <c r="V1746" s="579"/>
      <c r="W1746" s="566"/>
      <c r="X1746" s="586" t="str">
        <f t="shared" si="422"/>
        <v/>
      </c>
      <c r="Y1746" s="586" t="str">
        <f t="shared" si="409"/>
        <v/>
      </c>
      <c r="Z1746" s="586" t="str">
        <f t="shared" si="403"/>
        <v/>
      </c>
    </row>
    <row r="1747" spans="1:26" ht="12" hidden="1" thickBot="1" x14ac:dyDescent="0.25">
      <c r="A1747" s="567">
        <v>600510</v>
      </c>
      <c r="B1747" s="644" t="s">
        <v>1717</v>
      </c>
      <c r="C1747" s="645" t="s">
        <v>206</v>
      </c>
      <c r="D1747" s="416" t="s">
        <v>476</v>
      </c>
      <c r="E1747" s="417"/>
      <c r="F1747" s="418"/>
      <c r="G1747" s="419"/>
      <c r="H1747" s="646"/>
      <c r="I1747" s="420">
        <v>2.39</v>
      </c>
      <c r="J1747" s="420">
        <f t="shared" si="426"/>
        <v>2.39</v>
      </c>
      <c r="K1747" s="421">
        <f t="shared" si="407"/>
        <v>2.84</v>
      </c>
      <c r="L1747" s="647" t="s">
        <v>19</v>
      </c>
      <c r="M1747" s="587"/>
      <c r="N1747" s="576">
        <f t="shared" si="404"/>
        <v>0</v>
      </c>
      <c r="O1747" s="577">
        <f t="shared" si="419"/>
        <v>0</v>
      </c>
      <c r="P1747" s="578">
        <f t="shared" si="420"/>
        <v>0</v>
      </c>
      <c r="Q1747" s="765"/>
      <c r="R1747" s="650">
        <f t="shared" si="414"/>
        <v>0</v>
      </c>
      <c r="S1747" s="587">
        <f t="shared" si="414"/>
        <v>0</v>
      </c>
      <c r="T1747" s="577">
        <f t="shared" si="417"/>
        <v>0</v>
      </c>
      <c r="U1747" s="578">
        <f t="shared" si="418"/>
        <v>0</v>
      </c>
      <c r="V1747" s="579"/>
      <c r="W1747" s="566"/>
      <c r="X1747" s="586" t="str">
        <f t="shared" si="422"/>
        <v/>
      </c>
      <c r="Y1747" s="586" t="str">
        <f t="shared" si="409"/>
        <v/>
      </c>
      <c r="Z1747" s="586" t="str">
        <f t="shared" ref="Z1747:Z1810" si="427">IF(W1747="X","x",IF(U1747&gt;0,"x",""))</f>
        <v/>
      </c>
    </row>
    <row r="1748" spans="1:26" ht="12" hidden="1" thickBot="1" x14ac:dyDescent="0.25">
      <c r="A1748" s="567">
        <v>521450</v>
      </c>
      <c r="B1748" s="450" t="s">
        <v>1875</v>
      </c>
      <c r="C1748" s="473" t="s">
        <v>206</v>
      </c>
      <c r="D1748" s="422" t="s">
        <v>238</v>
      </c>
      <c r="E1748" s="423"/>
      <c r="F1748" s="424">
        <v>20</v>
      </c>
      <c r="G1748" s="419">
        <v>0.3</v>
      </c>
      <c r="H1748" s="663">
        <f t="shared" ref="H1748" si="428">IF(F1748&lt;=30,(1.07*F1748+2.68)*G1748,((1.07*30+2.68)+1.07*(F1748-30))*G1748)</f>
        <v>7.2240000000000002</v>
      </c>
      <c r="I1748" s="420">
        <v>24.94</v>
      </c>
      <c r="J1748" s="420">
        <f>IF(ISBLANK(I1748),"",SUM(H1748:I1748))</f>
        <v>32.164000000000001</v>
      </c>
      <c r="K1748" s="421">
        <f t="shared" si="407"/>
        <v>38.21</v>
      </c>
      <c r="L1748" s="647" t="s">
        <v>18</v>
      </c>
      <c r="M1748" s="576"/>
      <c r="N1748" s="576">
        <f t="shared" ref="N1748:N1811" si="429">IF(M1748=0,0,K1748)</f>
        <v>0</v>
      </c>
      <c r="O1748" s="577">
        <f t="shared" si="419"/>
        <v>0</v>
      </c>
      <c r="P1748" s="578">
        <f t="shared" si="420"/>
        <v>0</v>
      </c>
      <c r="Q1748" s="765"/>
      <c r="R1748" s="576">
        <f t="shared" si="414"/>
        <v>0</v>
      </c>
      <c r="S1748" s="576">
        <f t="shared" si="414"/>
        <v>0</v>
      </c>
      <c r="T1748" s="577">
        <f t="shared" si="417"/>
        <v>0</v>
      </c>
      <c r="U1748" s="578">
        <f t="shared" si="418"/>
        <v>0</v>
      </c>
      <c r="V1748" s="579"/>
      <c r="W1748" s="566"/>
      <c r="X1748" s="586" t="str">
        <f t="shared" si="422"/>
        <v/>
      </c>
      <c r="Y1748" s="586" t="str">
        <f t="shared" si="409"/>
        <v/>
      </c>
      <c r="Z1748" s="586" t="str">
        <f t="shared" si="427"/>
        <v/>
      </c>
    </row>
    <row r="1749" spans="1:26" ht="12" hidden="1" thickBot="1" x14ac:dyDescent="0.25">
      <c r="A1749" s="567">
        <v>511300</v>
      </c>
      <c r="B1749" s="644" t="s">
        <v>1541</v>
      </c>
      <c r="C1749" s="645" t="s">
        <v>206</v>
      </c>
      <c r="D1749" s="422" t="s">
        <v>202</v>
      </c>
      <c r="E1749" s="423"/>
      <c r="F1749" s="424">
        <v>0</v>
      </c>
      <c r="G1749" s="425">
        <v>0</v>
      </c>
      <c r="H1749" s="651">
        <v>0</v>
      </c>
      <c r="I1749" s="420">
        <v>0.3</v>
      </c>
      <c r="J1749" s="420">
        <f t="shared" si="426"/>
        <v>0.3</v>
      </c>
      <c r="K1749" s="421">
        <f t="shared" si="407"/>
        <v>0.36</v>
      </c>
      <c r="L1749" s="647" t="s">
        <v>18</v>
      </c>
      <c r="M1749" s="576"/>
      <c r="N1749" s="576">
        <f t="shared" si="429"/>
        <v>0</v>
      </c>
      <c r="O1749" s="577">
        <f t="shared" si="419"/>
        <v>0</v>
      </c>
      <c r="P1749" s="578">
        <f t="shared" si="420"/>
        <v>0</v>
      </c>
      <c r="Q1749" s="765"/>
      <c r="R1749" s="576">
        <f t="shared" si="414"/>
        <v>0</v>
      </c>
      <c r="S1749" s="576">
        <f t="shared" si="414"/>
        <v>0</v>
      </c>
      <c r="T1749" s="577">
        <f t="shared" si="417"/>
        <v>0</v>
      </c>
      <c r="U1749" s="578">
        <f t="shared" si="418"/>
        <v>0</v>
      </c>
      <c r="V1749" s="579"/>
      <c r="W1749" s="566"/>
      <c r="X1749" s="586" t="str">
        <f t="shared" si="422"/>
        <v/>
      </c>
      <c r="Y1749" s="586" t="str">
        <f t="shared" si="409"/>
        <v/>
      </c>
      <c r="Z1749" s="586" t="str">
        <f t="shared" si="427"/>
        <v/>
      </c>
    </row>
    <row r="1750" spans="1:26" ht="12" hidden="1" thickBot="1" x14ac:dyDescent="0.25">
      <c r="A1750" s="567">
        <v>521450</v>
      </c>
      <c r="B1750" s="644" t="s">
        <v>1547</v>
      </c>
      <c r="C1750" s="645" t="s">
        <v>206</v>
      </c>
      <c r="D1750" s="422" t="s">
        <v>485</v>
      </c>
      <c r="E1750" s="423"/>
      <c r="F1750" s="424"/>
      <c r="G1750" s="419"/>
      <c r="H1750" s="651"/>
      <c r="I1750" s="420">
        <v>9.42</v>
      </c>
      <c r="J1750" s="420">
        <f t="shared" si="426"/>
        <v>9.42</v>
      </c>
      <c r="K1750" s="421">
        <f t="shared" si="407"/>
        <v>11.19</v>
      </c>
      <c r="L1750" s="647" t="s">
        <v>18</v>
      </c>
      <c r="M1750" s="576"/>
      <c r="N1750" s="576">
        <f t="shared" si="429"/>
        <v>0</v>
      </c>
      <c r="O1750" s="577">
        <f t="shared" si="419"/>
        <v>0</v>
      </c>
      <c r="P1750" s="578">
        <f t="shared" si="420"/>
        <v>0</v>
      </c>
      <c r="Q1750" s="765"/>
      <c r="R1750" s="576">
        <f t="shared" si="414"/>
        <v>0</v>
      </c>
      <c r="S1750" s="576">
        <f t="shared" si="414"/>
        <v>0</v>
      </c>
      <c r="T1750" s="577">
        <f t="shared" si="417"/>
        <v>0</v>
      </c>
      <c r="U1750" s="578">
        <f t="shared" si="418"/>
        <v>0</v>
      </c>
      <c r="V1750" s="579"/>
      <c r="W1750" s="566"/>
      <c r="X1750" s="586" t="str">
        <f t="shared" si="422"/>
        <v/>
      </c>
      <c r="Y1750" s="586" t="str">
        <f t="shared" si="409"/>
        <v/>
      </c>
      <c r="Z1750" s="586" t="str">
        <f t="shared" si="427"/>
        <v/>
      </c>
    </row>
    <row r="1751" spans="1:26" ht="12" hidden="1" thickBot="1" x14ac:dyDescent="0.25">
      <c r="A1751" s="567">
        <v>521450</v>
      </c>
      <c r="B1751" s="644" t="s">
        <v>1548</v>
      </c>
      <c r="C1751" s="645" t="s">
        <v>206</v>
      </c>
      <c r="D1751" s="422" t="s">
        <v>240</v>
      </c>
      <c r="E1751" s="423"/>
      <c r="F1751" s="424"/>
      <c r="G1751" s="419"/>
      <c r="H1751" s="651"/>
      <c r="I1751" s="420">
        <v>13.188000000000001</v>
      </c>
      <c r="J1751" s="420">
        <f t="shared" si="426"/>
        <v>13.188000000000001</v>
      </c>
      <c r="K1751" s="421">
        <f t="shared" si="407"/>
        <v>15.67</v>
      </c>
      <c r="L1751" s="647" t="s">
        <v>18</v>
      </c>
      <c r="M1751" s="576"/>
      <c r="N1751" s="576">
        <f t="shared" si="429"/>
        <v>0</v>
      </c>
      <c r="O1751" s="577">
        <f t="shared" si="419"/>
        <v>0</v>
      </c>
      <c r="P1751" s="578">
        <f t="shared" si="420"/>
        <v>0</v>
      </c>
      <c r="Q1751" s="765"/>
      <c r="R1751" s="576">
        <f t="shared" si="414"/>
        <v>0</v>
      </c>
      <c r="S1751" s="576">
        <f t="shared" si="414"/>
        <v>0</v>
      </c>
      <c r="T1751" s="577">
        <f t="shared" si="417"/>
        <v>0</v>
      </c>
      <c r="U1751" s="578">
        <f t="shared" si="418"/>
        <v>0</v>
      </c>
      <c r="V1751" s="579"/>
      <c r="W1751" s="566"/>
      <c r="X1751" s="586" t="str">
        <f t="shared" si="422"/>
        <v/>
      </c>
      <c r="Y1751" s="586" t="str">
        <f t="shared" si="409"/>
        <v/>
      </c>
      <c r="Z1751" s="586" t="str">
        <f t="shared" si="427"/>
        <v/>
      </c>
    </row>
    <row r="1752" spans="1:26" ht="12" hidden="1" thickBot="1" x14ac:dyDescent="0.25">
      <c r="A1752" s="652" t="s">
        <v>187</v>
      </c>
      <c r="B1752" s="653" t="s">
        <v>187</v>
      </c>
      <c r="C1752" s="654"/>
      <c r="D1752" s="427" t="s">
        <v>593</v>
      </c>
      <c r="E1752" s="491"/>
      <c r="F1752" s="655"/>
      <c r="G1752" s="656"/>
      <c r="H1752" s="657"/>
      <c r="I1752" s="429"/>
      <c r="J1752" s="429"/>
      <c r="K1752" s="429"/>
      <c r="L1752" s="429" t="s">
        <v>614</v>
      </c>
      <c r="M1752" s="657"/>
      <c r="N1752" s="576">
        <f t="shared" si="429"/>
        <v>0</v>
      </c>
      <c r="O1752" s="429">
        <f t="shared" si="419"/>
        <v>0</v>
      </c>
      <c r="P1752" s="658">
        <f t="shared" si="420"/>
        <v>0</v>
      </c>
      <c r="Q1752" s="765"/>
      <c r="R1752" s="657"/>
      <c r="S1752" s="429"/>
      <c r="T1752" s="429">
        <f t="shared" si="417"/>
        <v>0</v>
      </c>
      <c r="U1752" s="658">
        <f t="shared" si="418"/>
        <v>0</v>
      </c>
      <c r="V1752" s="579"/>
      <c r="W1752" s="637" t="str">
        <f>IF(OR(SUM(P1753:P1784)&gt;0,SUM(U1753:U1784)&gt;0),"y","")</f>
        <v/>
      </c>
      <c r="X1752" s="586" t="str">
        <f t="shared" si="422"/>
        <v/>
      </c>
      <c r="Y1752" s="586" t="str">
        <f t="shared" si="409"/>
        <v/>
      </c>
      <c r="Z1752" s="586" t="str">
        <f t="shared" si="427"/>
        <v/>
      </c>
    </row>
    <row r="1753" spans="1:26" ht="12" hidden="1" thickBot="1" x14ac:dyDescent="0.25">
      <c r="A1753" s="652" t="s">
        <v>187</v>
      </c>
      <c r="B1753" s="572" t="s">
        <v>187</v>
      </c>
      <c r="C1753" s="573" t="s">
        <v>187</v>
      </c>
      <c r="D1753" s="574"/>
      <c r="E1753" s="575"/>
      <c r="F1753" s="436"/>
      <c r="G1753" s="431"/>
      <c r="H1753" s="430"/>
      <c r="I1753" s="432"/>
      <c r="J1753" s="433"/>
      <c r="K1753" s="434">
        <f t="shared" ref="K1753:K1784" si="430">IF(ISBLANK(J1753),0,ROUND(J1753*(1+$F$10)*(1+$F$11*E1753),2))</f>
        <v>0</v>
      </c>
      <c r="L1753" s="435" t="s">
        <v>614</v>
      </c>
      <c r="M1753" s="587"/>
      <c r="N1753" s="576">
        <f t="shared" si="429"/>
        <v>0</v>
      </c>
      <c r="O1753" s="577">
        <f t="shared" si="419"/>
        <v>0</v>
      </c>
      <c r="P1753" s="578">
        <f t="shared" si="420"/>
        <v>0</v>
      </c>
      <c r="Q1753" s="765"/>
      <c r="R1753" s="650">
        <f t="shared" si="414"/>
        <v>0</v>
      </c>
      <c r="S1753" s="587">
        <f t="shared" si="414"/>
        <v>0</v>
      </c>
      <c r="T1753" s="577">
        <f t="shared" si="417"/>
        <v>0</v>
      </c>
      <c r="U1753" s="578">
        <f t="shared" si="418"/>
        <v>0</v>
      </c>
      <c r="V1753" s="579"/>
      <c r="W1753" s="566"/>
      <c r="X1753" s="586" t="str">
        <f t="shared" si="422"/>
        <v/>
      </c>
      <c r="Y1753" s="586" t="str">
        <f t="shared" si="409"/>
        <v/>
      </c>
      <c r="Z1753" s="586" t="str">
        <f t="shared" si="427"/>
        <v/>
      </c>
    </row>
    <row r="1754" spans="1:26" ht="12" hidden="1" thickBot="1" x14ac:dyDescent="0.25">
      <c r="A1754" s="652" t="s">
        <v>187</v>
      </c>
      <c r="B1754" s="572" t="s">
        <v>187</v>
      </c>
      <c r="C1754" s="573" t="s">
        <v>187</v>
      </c>
      <c r="D1754" s="580"/>
      <c r="E1754" s="575"/>
      <c r="F1754" s="436"/>
      <c r="G1754" s="431"/>
      <c r="H1754" s="430"/>
      <c r="I1754" s="432"/>
      <c r="J1754" s="433"/>
      <c r="K1754" s="437">
        <f t="shared" si="430"/>
        <v>0</v>
      </c>
      <c r="L1754" s="435" t="s">
        <v>614</v>
      </c>
      <c r="M1754" s="576"/>
      <c r="N1754" s="576">
        <f t="shared" si="429"/>
        <v>0</v>
      </c>
      <c r="O1754" s="577">
        <f t="shared" si="419"/>
        <v>0</v>
      </c>
      <c r="P1754" s="578">
        <f t="shared" si="420"/>
        <v>0</v>
      </c>
      <c r="Q1754" s="765"/>
      <c r="R1754" s="576">
        <f t="shared" si="414"/>
        <v>0</v>
      </c>
      <c r="S1754" s="576">
        <f t="shared" si="414"/>
        <v>0</v>
      </c>
      <c r="T1754" s="577">
        <f t="shared" si="417"/>
        <v>0</v>
      </c>
      <c r="U1754" s="659">
        <f t="shared" si="418"/>
        <v>0</v>
      </c>
      <c r="V1754" s="579"/>
      <c r="W1754" s="566"/>
      <c r="X1754" s="586" t="str">
        <f t="shared" si="422"/>
        <v/>
      </c>
      <c r="Y1754" s="586" t="str">
        <f t="shared" si="409"/>
        <v/>
      </c>
      <c r="Z1754" s="586" t="str">
        <f t="shared" si="427"/>
        <v/>
      </c>
    </row>
    <row r="1755" spans="1:26" ht="12" hidden="1" thickBot="1" x14ac:dyDescent="0.25">
      <c r="A1755" s="652" t="s">
        <v>187</v>
      </c>
      <c r="B1755" s="572" t="s">
        <v>187</v>
      </c>
      <c r="C1755" s="573" t="s">
        <v>187</v>
      </c>
      <c r="D1755" s="580"/>
      <c r="E1755" s="575"/>
      <c r="F1755" s="436"/>
      <c r="G1755" s="431"/>
      <c r="H1755" s="430"/>
      <c r="I1755" s="432"/>
      <c r="J1755" s="433"/>
      <c r="K1755" s="437">
        <f t="shared" si="430"/>
        <v>0</v>
      </c>
      <c r="L1755" s="435" t="s">
        <v>614</v>
      </c>
      <c r="M1755" s="576"/>
      <c r="N1755" s="576">
        <f t="shared" si="429"/>
        <v>0</v>
      </c>
      <c r="O1755" s="577">
        <f t="shared" si="419"/>
        <v>0</v>
      </c>
      <c r="P1755" s="578">
        <f t="shared" si="420"/>
        <v>0</v>
      </c>
      <c r="Q1755" s="765"/>
      <c r="R1755" s="576">
        <f t="shared" si="414"/>
        <v>0</v>
      </c>
      <c r="S1755" s="576">
        <f t="shared" si="414"/>
        <v>0</v>
      </c>
      <c r="T1755" s="577">
        <f t="shared" si="417"/>
        <v>0</v>
      </c>
      <c r="U1755" s="578">
        <f t="shared" si="418"/>
        <v>0</v>
      </c>
      <c r="V1755" s="579"/>
      <c r="W1755" s="566"/>
      <c r="X1755" s="586" t="str">
        <f t="shared" si="422"/>
        <v/>
      </c>
      <c r="Y1755" s="586" t="str">
        <f t="shared" si="409"/>
        <v/>
      </c>
      <c r="Z1755" s="586" t="str">
        <f t="shared" si="427"/>
        <v/>
      </c>
    </row>
    <row r="1756" spans="1:26" ht="12" hidden="1" thickBot="1" x14ac:dyDescent="0.25">
      <c r="A1756" s="652" t="s">
        <v>187</v>
      </c>
      <c r="B1756" s="572" t="s">
        <v>187</v>
      </c>
      <c r="C1756" s="573" t="s">
        <v>187</v>
      </c>
      <c r="D1756" s="580"/>
      <c r="E1756" s="575"/>
      <c r="F1756" s="436"/>
      <c r="G1756" s="431"/>
      <c r="H1756" s="430"/>
      <c r="I1756" s="432"/>
      <c r="J1756" s="433"/>
      <c r="K1756" s="437">
        <f t="shared" si="430"/>
        <v>0</v>
      </c>
      <c r="L1756" s="435" t="s">
        <v>614</v>
      </c>
      <c r="M1756" s="576"/>
      <c r="N1756" s="576">
        <f t="shared" si="429"/>
        <v>0</v>
      </c>
      <c r="O1756" s="577">
        <f t="shared" si="419"/>
        <v>0</v>
      </c>
      <c r="P1756" s="578">
        <f t="shared" si="420"/>
        <v>0</v>
      </c>
      <c r="Q1756" s="765"/>
      <c r="R1756" s="576">
        <f t="shared" si="414"/>
        <v>0</v>
      </c>
      <c r="S1756" s="576">
        <f t="shared" si="414"/>
        <v>0</v>
      </c>
      <c r="T1756" s="577">
        <f t="shared" si="417"/>
        <v>0</v>
      </c>
      <c r="U1756" s="578">
        <f t="shared" si="418"/>
        <v>0</v>
      </c>
      <c r="V1756" s="579"/>
      <c r="W1756" s="566"/>
      <c r="X1756" s="586" t="str">
        <f t="shared" si="422"/>
        <v/>
      </c>
      <c r="Y1756" s="586" t="str">
        <f t="shared" si="409"/>
        <v/>
      </c>
      <c r="Z1756" s="586" t="str">
        <f t="shared" si="427"/>
        <v/>
      </c>
    </row>
    <row r="1757" spans="1:26" ht="12" hidden="1" thickBot="1" x14ac:dyDescent="0.25">
      <c r="A1757" s="652" t="s">
        <v>187</v>
      </c>
      <c r="B1757" s="572" t="s">
        <v>187</v>
      </c>
      <c r="C1757" s="573" t="s">
        <v>187</v>
      </c>
      <c r="D1757" s="580"/>
      <c r="E1757" s="575"/>
      <c r="F1757" s="436"/>
      <c r="G1757" s="431"/>
      <c r="H1757" s="430"/>
      <c r="I1757" s="432"/>
      <c r="J1757" s="433"/>
      <c r="K1757" s="437">
        <f t="shared" si="430"/>
        <v>0</v>
      </c>
      <c r="L1757" s="435" t="s">
        <v>614</v>
      </c>
      <c r="M1757" s="576"/>
      <c r="N1757" s="576">
        <f t="shared" si="429"/>
        <v>0</v>
      </c>
      <c r="O1757" s="577">
        <f t="shared" si="419"/>
        <v>0</v>
      </c>
      <c r="P1757" s="578">
        <f t="shared" si="420"/>
        <v>0</v>
      </c>
      <c r="Q1757" s="765"/>
      <c r="R1757" s="576">
        <f t="shared" si="414"/>
        <v>0</v>
      </c>
      <c r="S1757" s="576">
        <f t="shared" si="414"/>
        <v>0</v>
      </c>
      <c r="T1757" s="577">
        <f t="shared" si="417"/>
        <v>0</v>
      </c>
      <c r="U1757" s="578">
        <f t="shared" si="418"/>
        <v>0</v>
      </c>
      <c r="V1757" s="579"/>
      <c r="W1757" s="566"/>
      <c r="X1757" s="586" t="str">
        <f t="shared" si="422"/>
        <v/>
      </c>
      <c r="Y1757" s="586" t="str">
        <f t="shared" si="409"/>
        <v/>
      </c>
      <c r="Z1757" s="586" t="str">
        <f t="shared" si="427"/>
        <v/>
      </c>
    </row>
    <row r="1758" spans="1:26" ht="12" hidden="1" thickBot="1" x14ac:dyDescent="0.25">
      <c r="A1758" s="652" t="s">
        <v>187</v>
      </c>
      <c r="B1758" s="572" t="s">
        <v>187</v>
      </c>
      <c r="C1758" s="573" t="s">
        <v>187</v>
      </c>
      <c r="D1758" s="580"/>
      <c r="E1758" s="575"/>
      <c r="F1758" s="436"/>
      <c r="G1758" s="431"/>
      <c r="H1758" s="430"/>
      <c r="I1758" s="432"/>
      <c r="J1758" s="433"/>
      <c r="K1758" s="437">
        <f t="shared" si="430"/>
        <v>0</v>
      </c>
      <c r="L1758" s="435" t="s">
        <v>614</v>
      </c>
      <c r="M1758" s="576"/>
      <c r="N1758" s="576">
        <f t="shared" si="429"/>
        <v>0</v>
      </c>
      <c r="O1758" s="577">
        <f t="shared" si="419"/>
        <v>0</v>
      </c>
      <c r="P1758" s="578">
        <f t="shared" si="420"/>
        <v>0</v>
      </c>
      <c r="Q1758" s="765"/>
      <c r="R1758" s="576">
        <f t="shared" si="414"/>
        <v>0</v>
      </c>
      <c r="S1758" s="576">
        <f t="shared" si="414"/>
        <v>0</v>
      </c>
      <c r="T1758" s="577">
        <f t="shared" si="417"/>
        <v>0</v>
      </c>
      <c r="U1758" s="578">
        <f t="shared" si="418"/>
        <v>0</v>
      </c>
      <c r="V1758" s="579"/>
      <c r="W1758" s="566"/>
      <c r="X1758" s="586" t="str">
        <f t="shared" si="422"/>
        <v/>
      </c>
      <c r="Y1758" s="586" t="str">
        <f t="shared" si="409"/>
        <v/>
      </c>
      <c r="Z1758" s="586" t="str">
        <f t="shared" si="427"/>
        <v/>
      </c>
    </row>
    <row r="1759" spans="1:26" ht="12" hidden="1" thickBot="1" x14ac:dyDescent="0.25">
      <c r="A1759" s="652" t="s">
        <v>187</v>
      </c>
      <c r="B1759" s="572" t="s">
        <v>187</v>
      </c>
      <c r="C1759" s="573" t="s">
        <v>187</v>
      </c>
      <c r="D1759" s="580"/>
      <c r="E1759" s="575"/>
      <c r="F1759" s="436"/>
      <c r="G1759" s="431"/>
      <c r="H1759" s="430"/>
      <c r="I1759" s="432"/>
      <c r="J1759" s="433"/>
      <c r="K1759" s="437">
        <f t="shared" si="430"/>
        <v>0</v>
      </c>
      <c r="L1759" s="435" t="s">
        <v>614</v>
      </c>
      <c r="M1759" s="576"/>
      <c r="N1759" s="576">
        <f t="shared" si="429"/>
        <v>0</v>
      </c>
      <c r="O1759" s="577">
        <f t="shared" si="419"/>
        <v>0</v>
      </c>
      <c r="P1759" s="578">
        <f t="shared" si="420"/>
        <v>0</v>
      </c>
      <c r="Q1759" s="765"/>
      <c r="R1759" s="576">
        <f t="shared" si="414"/>
        <v>0</v>
      </c>
      <c r="S1759" s="576">
        <f t="shared" si="414"/>
        <v>0</v>
      </c>
      <c r="T1759" s="577">
        <f t="shared" si="417"/>
        <v>0</v>
      </c>
      <c r="U1759" s="578">
        <f t="shared" si="418"/>
        <v>0</v>
      </c>
      <c r="V1759" s="579"/>
      <c r="W1759" s="566"/>
      <c r="X1759" s="586" t="str">
        <f t="shared" si="422"/>
        <v/>
      </c>
      <c r="Y1759" s="586" t="str">
        <f t="shared" si="409"/>
        <v/>
      </c>
      <c r="Z1759" s="586" t="str">
        <f t="shared" si="427"/>
        <v/>
      </c>
    </row>
    <row r="1760" spans="1:26" ht="12" hidden="1" thickBot="1" x14ac:dyDescent="0.25">
      <c r="A1760" s="652" t="s">
        <v>187</v>
      </c>
      <c r="B1760" s="572" t="s">
        <v>187</v>
      </c>
      <c r="C1760" s="573" t="s">
        <v>187</v>
      </c>
      <c r="D1760" s="580"/>
      <c r="E1760" s="575"/>
      <c r="F1760" s="436"/>
      <c r="G1760" s="431"/>
      <c r="H1760" s="430"/>
      <c r="I1760" s="432"/>
      <c r="J1760" s="433"/>
      <c r="K1760" s="437">
        <f t="shared" si="430"/>
        <v>0</v>
      </c>
      <c r="L1760" s="435" t="s">
        <v>614</v>
      </c>
      <c r="M1760" s="576"/>
      <c r="N1760" s="576">
        <f t="shared" si="429"/>
        <v>0</v>
      </c>
      <c r="O1760" s="577">
        <f t="shared" si="419"/>
        <v>0</v>
      </c>
      <c r="P1760" s="578">
        <f t="shared" si="420"/>
        <v>0</v>
      </c>
      <c r="Q1760" s="765"/>
      <c r="R1760" s="576">
        <f t="shared" si="414"/>
        <v>0</v>
      </c>
      <c r="S1760" s="576">
        <f t="shared" si="414"/>
        <v>0</v>
      </c>
      <c r="T1760" s="577">
        <f t="shared" si="417"/>
        <v>0</v>
      </c>
      <c r="U1760" s="578">
        <f t="shared" si="418"/>
        <v>0</v>
      </c>
      <c r="V1760" s="579"/>
      <c r="W1760" s="566"/>
      <c r="X1760" s="586" t="str">
        <f t="shared" si="422"/>
        <v/>
      </c>
      <c r="Y1760" s="586" t="str">
        <f t="shared" si="409"/>
        <v/>
      </c>
      <c r="Z1760" s="586" t="str">
        <f t="shared" si="427"/>
        <v/>
      </c>
    </row>
    <row r="1761" spans="1:26" ht="12" hidden="1" thickBot="1" x14ac:dyDescent="0.25">
      <c r="A1761" s="652" t="s">
        <v>187</v>
      </c>
      <c r="B1761" s="572" t="s">
        <v>187</v>
      </c>
      <c r="C1761" s="573" t="s">
        <v>187</v>
      </c>
      <c r="D1761" s="580"/>
      <c r="E1761" s="575"/>
      <c r="F1761" s="436"/>
      <c r="G1761" s="431"/>
      <c r="H1761" s="430"/>
      <c r="I1761" s="432"/>
      <c r="J1761" s="433"/>
      <c r="K1761" s="437">
        <f t="shared" si="430"/>
        <v>0</v>
      </c>
      <c r="L1761" s="435" t="s">
        <v>614</v>
      </c>
      <c r="M1761" s="576"/>
      <c r="N1761" s="576">
        <f t="shared" si="429"/>
        <v>0</v>
      </c>
      <c r="O1761" s="577">
        <f t="shared" si="419"/>
        <v>0</v>
      </c>
      <c r="P1761" s="578">
        <f t="shared" si="420"/>
        <v>0</v>
      </c>
      <c r="Q1761" s="765"/>
      <c r="R1761" s="576">
        <f t="shared" si="414"/>
        <v>0</v>
      </c>
      <c r="S1761" s="576">
        <f t="shared" si="414"/>
        <v>0</v>
      </c>
      <c r="T1761" s="577">
        <f t="shared" si="417"/>
        <v>0</v>
      </c>
      <c r="U1761" s="578">
        <f t="shared" si="418"/>
        <v>0</v>
      </c>
      <c r="V1761" s="579"/>
      <c r="W1761" s="566"/>
      <c r="X1761" s="586" t="str">
        <f t="shared" si="422"/>
        <v/>
      </c>
      <c r="Y1761" s="586" t="str">
        <f t="shared" si="409"/>
        <v/>
      </c>
      <c r="Z1761" s="586" t="str">
        <f t="shared" si="427"/>
        <v/>
      </c>
    </row>
    <row r="1762" spans="1:26" ht="12" hidden="1" thickBot="1" x14ac:dyDescent="0.25">
      <c r="A1762" s="652" t="s">
        <v>187</v>
      </c>
      <c r="B1762" s="572" t="s">
        <v>187</v>
      </c>
      <c r="C1762" s="573" t="s">
        <v>187</v>
      </c>
      <c r="D1762" s="580"/>
      <c r="E1762" s="575"/>
      <c r="F1762" s="436"/>
      <c r="G1762" s="431"/>
      <c r="H1762" s="430"/>
      <c r="I1762" s="432"/>
      <c r="J1762" s="433"/>
      <c r="K1762" s="437">
        <f t="shared" si="430"/>
        <v>0</v>
      </c>
      <c r="L1762" s="435" t="s">
        <v>614</v>
      </c>
      <c r="M1762" s="576"/>
      <c r="N1762" s="576">
        <f t="shared" si="429"/>
        <v>0</v>
      </c>
      <c r="O1762" s="577">
        <f t="shared" si="419"/>
        <v>0</v>
      </c>
      <c r="P1762" s="578">
        <f t="shared" si="420"/>
        <v>0</v>
      </c>
      <c r="Q1762" s="765"/>
      <c r="R1762" s="576">
        <f t="shared" si="414"/>
        <v>0</v>
      </c>
      <c r="S1762" s="576">
        <f t="shared" si="414"/>
        <v>0</v>
      </c>
      <c r="T1762" s="577">
        <f t="shared" si="417"/>
        <v>0</v>
      </c>
      <c r="U1762" s="578">
        <f t="shared" si="418"/>
        <v>0</v>
      </c>
      <c r="V1762" s="579"/>
      <c r="W1762" s="566"/>
      <c r="X1762" s="586" t="str">
        <f t="shared" si="422"/>
        <v/>
      </c>
      <c r="Y1762" s="586" t="str">
        <f t="shared" si="409"/>
        <v/>
      </c>
      <c r="Z1762" s="586" t="str">
        <f t="shared" si="427"/>
        <v/>
      </c>
    </row>
    <row r="1763" spans="1:26" ht="12" hidden="1" thickBot="1" x14ac:dyDescent="0.25">
      <c r="A1763" s="652" t="s">
        <v>187</v>
      </c>
      <c r="B1763" s="572" t="s">
        <v>187</v>
      </c>
      <c r="C1763" s="573" t="s">
        <v>187</v>
      </c>
      <c r="D1763" s="580"/>
      <c r="E1763" s="575"/>
      <c r="F1763" s="436"/>
      <c r="G1763" s="431"/>
      <c r="H1763" s="430"/>
      <c r="I1763" s="432"/>
      <c r="J1763" s="433"/>
      <c r="K1763" s="437">
        <f t="shared" si="430"/>
        <v>0</v>
      </c>
      <c r="L1763" s="435" t="s">
        <v>614</v>
      </c>
      <c r="M1763" s="576"/>
      <c r="N1763" s="576">
        <f t="shared" si="429"/>
        <v>0</v>
      </c>
      <c r="O1763" s="577">
        <f t="shared" si="419"/>
        <v>0</v>
      </c>
      <c r="P1763" s="578">
        <f t="shared" si="420"/>
        <v>0</v>
      </c>
      <c r="Q1763" s="765"/>
      <c r="R1763" s="576">
        <f t="shared" si="414"/>
        <v>0</v>
      </c>
      <c r="S1763" s="576">
        <f t="shared" si="414"/>
        <v>0</v>
      </c>
      <c r="T1763" s="577">
        <f t="shared" si="417"/>
        <v>0</v>
      </c>
      <c r="U1763" s="578">
        <f t="shared" si="418"/>
        <v>0</v>
      </c>
      <c r="V1763" s="579"/>
      <c r="W1763" s="566"/>
      <c r="X1763" s="586" t="str">
        <f t="shared" si="422"/>
        <v/>
      </c>
      <c r="Y1763" s="586" t="str">
        <f t="shared" si="409"/>
        <v/>
      </c>
      <c r="Z1763" s="586" t="str">
        <f t="shared" si="427"/>
        <v/>
      </c>
    </row>
    <row r="1764" spans="1:26" ht="12" hidden="1" thickBot="1" x14ac:dyDescent="0.25">
      <c r="A1764" s="652" t="s">
        <v>187</v>
      </c>
      <c r="B1764" s="572" t="s">
        <v>187</v>
      </c>
      <c r="C1764" s="573" t="s">
        <v>187</v>
      </c>
      <c r="D1764" s="580"/>
      <c r="E1764" s="575"/>
      <c r="F1764" s="436"/>
      <c r="G1764" s="431"/>
      <c r="H1764" s="430"/>
      <c r="I1764" s="432"/>
      <c r="J1764" s="433"/>
      <c r="K1764" s="437">
        <f t="shared" si="430"/>
        <v>0</v>
      </c>
      <c r="L1764" s="435" t="s">
        <v>614</v>
      </c>
      <c r="M1764" s="576"/>
      <c r="N1764" s="576">
        <f t="shared" si="429"/>
        <v>0</v>
      </c>
      <c r="O1764" s="577">
        <f t="shared" si="419"/>
        <v>0</v>
      </c>
      <c r="P1764" s="578">
        <f t="shared" si="420"/>
        <v>0</v>
      </c>
      <c r="Q1764" s="765"/>
      <c r="R1764" s="576">
        <f t="shared" si="414"/>
        <v>0</v>
      </c>
      <c r="S1764" s="576">
        <f t="shared" si="414"/>
        <v>0</v>
      </c>
      <c r="T1764" s="577">
        <f t="shared" si="417"/>
        <v>0</v>
      </c>
      <c r="U1764" s="578">
        <f t="shared" si="418"/>
        <v>0</v>
      </c>
      <c r="V1764" s="579"/>
      <c r="W1764" s="566"/>
      <c r="X1764" s="586" t="str">
        <f t="shared" si="422"/>
        <v/>
      </c>
      <c r="Y1764" s="586" t="str">
        <f t="shared" si="409"/>
        <v/>
      </c>
      <c r="Z1764" s="586" t="str">
        <f t="shared" si="427"/>
        <v/>
      </c>
    </row>
    <row r="1765" spans="1:26" ht="12" hidden="1" thickBot="1" x14ac:dyDescent="0.25">
      <c r="A1765" s="652" t="s">
        <v>187</v>
      </c>
      <c r="B1765" s="572" t="s">
        <v>187</v>
      </c>
      <c r="C1765" s="573" t="s">
        <v>187</v>
      </c>
      <c r="D1765" s="580"/>
      <c r="E1765" s="575"/>
      <c r="F1765" s="436"/>
      <c r="G1765" s="431"/>
      <c r="H1765" s="430"/>
      <c r="I1765" s="432"/>
      <c r="J1765" s="433"/>
      <c r="K1765" s="437">
        <f t="shared" si="430"/>
        <v>0</v>
      </c>
      <c r="L1765" s="435" t="s">
        <v>614</v>
      </c>
      <c r="M1765" s="576"/>
      <c r="N1765" s="576">
        <f t="shared" si="429"/>
        <v>0</v>
      </c>
      <c r="O1765" s="577">
        <f t="shared" si="419"/>
        <v>0</v>
      </c>
      <c r="P1765" s="578">
        <f t="shared" si="420"/>
        <v>0</v>
      </c>
      <c r="Q1765" s="765"/>
      <c r="R1765" s="576">
        <f t="shared" si="414"/>
        <v>0</v>
      </c>
      <c r="S1765" s="576">
        <f t="shared" si="414"/>
        <v>0</v>
      </c>
      <c r="T1765" s="577">
        <f t="shared" si="417"/>
        <v>0</v>
      </c>
      <c r="U1765" s="578">
        <f t="shared" si="418"/>
        <v>0</v>
      </c>
      <c r="V1765" s="579"/>
      <c r="W1765" s="566"/>
      <c r="X1765" s="586" t="str">
        <f t="shared" si="422"/>
        <v/>
      </c>
      <c r="Y1765" s="586" t="str">
        <f t="shared" ref="Y1765:Y2051" si="431">IF(W1765="X","x",IF(W1765="y","x",IF(W1765="xx","x",IF(U1765&gt;0,"x",""))))</f>
        <v/>
      </c>
      <c r="Z1765" s="586" t="str">
        <f t="shared" si="427"/>
        <v/>
      </c>
    </row>
    <row r="1766" spans="1:26" ht="12" hidden="1" thickBot="1" x14ac:dyDescent="0.25">
      <c r="A1766" s="652" t="s">
        <v>187</v>
      </c>
      <c r="B1766" s="572" t="s">
        <v>187</v>
      </c>
      <c r="C1766" s="573" t="s">
        <v>187</v>
      </c>
      <c r="D1766" s="580"/>
      <c r="E1766" s="575"/>
      <c r="F1766" s="436"/>
      <c r="G1766" s="431"/>
      <c r="H1766" s="430"/>
      <c r="I1766" s="432"/>
      <c r="J1766" s="433"/>
      <c r="K1766" s="437">
        <f t="shared" si="430"/>
        <v>0</v>
      </c>
      <c r="L1766" s="435" t="s">
        <v>614</v>
      </c>
      <c r="M1766" s="576"/>
      <c r="N1766" s="576">
        <f t="shared" si="429"/>
        <v>0</v>
      </c>
      <c r="O1766" s="577">
        <f t="shared" si="419"/>
        <v>0</v>
      </c>
      <c r="P1766" s="578">
        <f t="shared" si="420"/>
        <v>0</v>
      </c>
      <c r="Q1766" s="765"/>
      <c r="R1766" s="576">
        <f t="shared" si="414"/>
        <v>0</v>
      </c>
      <c r="S1766" s="576">
        <f t="shared" si="414"/>
        <v>0</v>
      </c>
      <c r="T1766" s="577">
        <f t="shared" si="417"/>
        <v>0</v>
      </c>
      <c r="U1766" s="578">
        <f t="shared" si="418"/>
        <v>0</v>
      </c>
      <c r="V1766" s="579"/>
      <c r="W1766" s="566"/>
      <c r="X1766" s="586" t="str">
        <f t="shared" si="422"/>
        <v/>
      </c>
      <c r="Y1766" s="586" t="str">
        <f t="shared" si="431"/>
        <v/>
      </c>
      <c r="Z1766" s="586" t="str">
        <f t="shared" si="427"/>
        <v/>
      </c>
    </row>
    <row r="1767" spans="1:26" ht="12" hidden="1" thickBot="1" x14ac:dyDescent="0.25">
      <c r="A1767" s="652" t="s">
        <v>187</v>
      </c>
      <c r="B1767" s="572" t="s">
        <v>187</v>
      </c>
      <c r="C1767" s="573" t="s">
        <v>187</v>
      </c>
      <c r="D1767" s="580"/>
      <c r="E1767" s="575"/>
      <c r="F1767" s="436"/>
      <c r="G1767" s="431"/>
      <c r="H1767" s="430"/>
      <c r="I1767" s="432"/>
      <c r="J1767" s="433"/>
      <c r="K1767" s="437">
        <f t="shared" si="430"/>
        <v>0</v>
      </c>
      <c r="L1767" s="435" t="s">
        <v>614</v>
      </c>
      <c r="M1767" s="576"/>
      <c r="N1767" s="576">
        <f t="shared" si="429"/>
        <v>0</v>
      </c>
      <c r="O1767" s="577">
        <f t="shared" si="419"/>
        <v>0</v>
      </c>
      <c r="P1767" s="578">
        <f t="shared" si="420"/>
        <v>0</v>
      </c>
      <c r="Q1767" s="765"/>
      <c r="R1767" s="576">
        <f t="shared" si="414"/>
        <v>0</v>
      </c>
      <c r="S1767" s="576">
        <f t="shared" si="414"/>
        <v>0</v>
      </c>
      <c r="T1767" s="577">
        <f t="shared" si="417"/>
        <v>0</v>
      </c>
      <c r="U1767" s="578">
        <f t="shared" si="418"/>
        <v>0</v>
      </c>
      <c r="V1767" s="579"/>
      <c r="W1767" s="566"/>
      <c r="X1767" s="586" t="str">
        <f t="shared" si="422"/>
        <v/>
      </c>
      <c r="Y1767" s="586" t="str">
        <f t="shared" si="431"/>
        <v/>
      </c>
      <c r="Z1767" s="586" t="str">
        <f t="shared" si="427"/>
        <v/>
      </c>
    </row>
    <row r="1768" spans="1:26" ht="12" hidden="1" thickBot="1" x14ac:dyDescent="0.25">
      <c r="A1768" s="652" t="s">
        <v>187</v>
      </c>
      <c r="B1768" s="572" t="s">
        <v>187</v>
      </c>
      <c r="C1768" s="573" t="s">
        <v>187</v>
      </c>
      <c r="D1768" s="580"/>
      <c r="E1768" s="575"/>
      <c r="F1768" s="436"/>
      <c r="G1768" s="431"/>
      <c r="H1768" s="430"/>
      <c r="I1768" s="432"/>
      <c r="J1768" s="433"/>
      <c r="K1768" s="437">
        <f t="shared" si="430"/>
        <v>0</v>
      </c>
      <c r="L1768" s="435" t="s">
        <v>614</v>
      </c>
      <c r="M1768" s="576"/>
      <c r="N1768" s="576">
        <f t="shared" si="429"/>
        <v>0</v>
      </c>
      <c r="O1768" s="577">
        <f t="shared" si="419"/>
        <v>0</v>
      </c>
      <c r="P1768" s="578">
        <f t="shared" si="420"/>
        <v>0</v>
      </c>
      <c r="Q1768" s="765"/>
      <c r="R1768" s="576">
        <f t="shared" si="414"/>
        <v>0</v>
      </c>
      <c r="S1768" s="576">
        <f t="shared" si="414"/>
        <v>0</v>
      </c>
      <c r="T1768" s="577">
        <f t="shared" si="417"/>
        <v>0</v>
      </c>
      <c r="U1768" s="578">
        <f t="shared" si="418"/>
        <v>0</v>
      </c>
      <c r="V1768" s="579"/>
      <c r="W1768" s="566"/>
      <c r="X1768" s="586" t="str">
        <f t="shared" si="422"/>
        <v/>
      </c>
      <c r="Y1768" s="586" t="str">
        <f t="shared" si="431"/>
        <v/>
      </c>
      <c r="Z1768" s="586" t="str">
        <f t="shared" si="427"/>
        <v/>
      </c>
    </row>
    <row r="1769" spans="1:26" ht="12" hidden="1" thickBot="1" x14ac:dyDescent="0.25">
      <c r="A1769" s="652" t="s">
        <v>187</v>
      </c>
      <c r="B1769" s="572" t="s">
        <v>187</v>
      </c>
      <c r="C1769" s="573" t="s">
        <v>187</v>
      </c>
      <c r="D1769" s="580"/>
      <c r="E1769" s="575"/>
      <c r="F1769" s="436"/>
      <c r="G1769" s="431"/>
      <c r="H1769" s="430"/>
      <c r="I1769" s="432"/>
      <c r="J1769" s="433"/>
      <c r="K1769" s="437">
        <f t="shared" si="430"/>
        <v>0</v>
      </c>
      <c r="L1769" s="435" t="s">
        <v>614</v>
      </c>
      <c r="M1769" s="576"/>
      <c r="N1769" s="576">
        <f t="shared" si="429"/>
        <v>0</v>
      </c>
      <c r="O1769" s="577">
        <f t="shared" si="419"/>
        <v>0</v>
      </c>
      <c r="P1769" s="578">
        <f t="shared" si="420"/>
        <v>0</v>
      </c>
      <c r="Q1769" s="765"/>
      <c r="R1769" s="576">
        <f t="shared" si="414"/>
        <v>0</v>
      </c>
      <c r="S1769" s="576">
        <f t="shared" si="414"/>
        <v>0</v>
      </c>
      <c r="T1769" s="577">
        <f t="shared" si="417"/>
        <v>0</v>
      </c>
      <c r="U1769" s="578">
        <f t="shared" si="418"/>
        <v>0</v>
      </c>
      <c r="V1769" s="579"/>
      <c r="W1769" s="566"/>
      <c r="X1769" s="586" t="str">
        <f t="shared" si="422"/>
        <v/>
      </c>
      <c r="Y1769" s="586" t="str">
        <f t="shared" si="431"/>
        <v/>
      </c>
      <c r="Z1769" s="586" t="str">
        <f t="shared" si="427"/>
        <v/>
      </c>
    </row>
    <row r="1770" spans="1:26" ht="12" hidden="1" thickBot="1" x14ac:dyDescent="0.25">
      <c r="A1770" s="652" t="s">
        <v>187</v>
      </c>
      <c r="B1770" s="572" t="s">
        <v>187</v>
      </c>
      <c r="C1770" s="573" t="s">
        <v>187</v>
      </c>
      <c r="D1770" s="580"/>
      <c r="E1770" s="575"/>
      <c r="F1770" s="436"/>
      <c r="G1770" s="431"/>
      <c r="H1770" s="430"/>
      <c r="I1770" s="432"/>
      <c r="J1770" s="433"/>
      <c r="K1770" s="437">
        <f t="shared" si="430"/>
        <v>0</v>
      </c>
      <c r="L1770" s="435" t="s">
        <v>614</v>
      </c>
      <c r="M1770" s="576"/>
      <c r="N1770" s="576">
        <f t="shared" si="429"/>
        <v>0</v>
      </c>
      <c r="O1770" s="577">
        <f t="shared" si="419"/>
        <v>0</v>
      </c>
      <c r="P1770" s="578">
        <f t="shared" si="420"/>
        <v>0</v>
      </c>
      <c r="Q1770" s="765"/>
      <c r="R1770" s="576">
        <f t="shared" si="414"/>
        <v>0</v>
      </c>
      <c r="S1770" s="576">
        <f t="shared" si="414"/>
        <v>0</v>
      </c>
      <c r="T1770" s="577">
        <f t="shared" si="417"/>
        <v>0</v>
      </c>
      <c r="U1770" s="578">
        <f t="shared" si="418"/>
        <v>0</v>
      </c>
      <c r="V1770" s="579"/>
      <c r="W1770" s="566"/>
      <c r="X1770" s="586" t="str">
        <f t="shared" si="422"/>
        <v/>
      </c>
      <c r="Y1770" s="586" t="str">
        <f t="shared" si="431"/>
        <v/>
      </c>
      <c r="Z1770" s="586" t="str">
        <f t="shared" si="427"/>
        <v/>
      </c>
    </row>
    <row r="1771" spans="1:26" ht="12" hidden="1" thickBot="1" x14ac:dyDescent="0.25">
      <c r="A1771" s="652" t="s">
        <v>187</v>
      </c>
      <c r="B1771" s="572" t="s">
        <v>187</v>
      </c>
      <c r="C1771" s="573" t="s">
        <v>187</v>
      </c>
      <c r="D1771" s="580"/>
      <c r="E1771" s="575"/>
      <c r="F1771" s="436"/>
      <c r="G1771" s="431"/>
      <c r="H1771" s="430"/>
      <c r="I1771" s="432"/>
      <c r="J1771" s="433"/>
      <c r="K1771" s="437">
        <f t="shared" si="430"/>
        <v>0</v>
      </c>
      <c r="L1771" s="435" t="s">
        <v>614</v>
      </c>
      <c r="M1771" s="576"/>
      <c r="N1771" s="576">
        <f t="shared" si="429"/>
        <v>0</v>
      </c>
      <c r="O1771" s="577">
        <f t="shared" si="419"/>
        <v>0</v>
      </c>
      <c r="P1771" s="578">
        <f t="shared" si="420"/>
        <v>0</v>
      </c>
      <c r="Q1771" s="765"/>
      <c r="R1771" s="576">
        <f t="shared" si="414"/>
        <v>0</v>
      </c>
      <c r="S1771" s="576">
        <f t="shared" si="414"/>
        <v>0</v>
      </c>
      <c r="T1771" s="577">
        <f t="shared" si="417"/>
        <v>0</v>
      </c>
      <c r="U1771" s="578">
        <f t="shared" si="418"/>
        <v>0</v>
      </c>
      <c r="V1771" s="579"/>
      <c r="W1771" s="566"/>
      <c r="X1771" s="586" t="str">
        <f t="shared" si="422"/>
        <v/>
      </c>
      <c r="Y1771" s="586" t="str">
        <f t="shared" si="431"/>
        <v/>
      </c>
      <c r="Z1771" s="586" t="str">
        <f t="shared" si="427"/>
        <v/>
      </c>
    </row>
    <row r="1772" spans="1:26" ht="12" hidden="1" thickBot="1" x14ac:dyDescent="0.25">
      <c r="A1772" s="652" t="s">
        <v>187</v>
      </c>
      <c r="B1772" s="572" t="s">
        <v>187</v>
      </c>
      <c r="C1772" s="573" t="s">
        <v>187</v>
      </c>
      <c r="D1772" s="580"/>
      <c r="E1772" s="575"/>
      <c r="F1772" s="436"/>
      <c r="G1772" s="431"/>
      <c r="H1772" s="430"/>
      <c r="I1772" s="432"/>
      <c r="J1772" s="433"/>
      <c r="K1772" s="437">
        <f t="shared" si="430"/>
        <v>0</v>
      </c>
      <c r="L1772" s="435" t="s">
        <v>614</v>
      </c>
      <c r="M1772" s="576"/>
      <c r="N1772" s="576">
        <f t="shared" si="429"/>
        <v>0</v>
      </c>
      <c r="O1772" s="577">
        <f t="shared" si="419"/>
        <v>0</v>
      </c>
      <c r="P1772" s="578">
        <f t="shared" si="420"/>
        <v>0</v>
      </c>
      <c r="Q1772" s="765"/>
      <c r="R1772" s="576">
        <f t="shared" ref="R1772:S1837" si="432">M1772</f>
        <v>0</v>
      </c>
      <c r="S1772" s="576">
        <f t="shared" si="432"/>
        <v>0</v>
      </c>
      <c r="T1772" s="577">
        <f t="shared" si="417"/>
        <v>0</v>
      </c>
      <c r="U1772" s="578">
        <f t="shared" si="418"/>
        <v>0</v>
      </c>
      <c r="V1772" s="579"/>
      <c r="W1772" s="566"/>
      <c r="X1772" s="586" t="str">
        <f t="shared" si="422"/>
        <v/>
      </c>
      <c r="Y1772" s="586" t="str">
        <f t="shared" si="431"/>
        <v/>
      </c>
      <c r="Z1772" s="586" t="str">
        <f t="shared" si="427"/>
        <v/>
      </c>
    </row>
    <row r="1773" spans="1:26" ht="12" hidden="1" thickBot="1" x14ac:dyDescent="0.25">
      <c r="A1773" s="652" t="s">
        <v>187</v>
      </c>
      <c r="B1773" s="572" t="s">
        <v>187</v>
      </c>
      <c r="C1773" s="573" t="s">
        <v>187</v>
      </c>
      <c r="D1773" s="580"/>
      <c r="E1773" s="575"/>
      <c r="F1773" s="436"/>
      <c r="G1773" s="431"/>
      <c r="H1773" s="430"/>
      <c r="I1773" s="432"/>
      <c r="J1773" s="433"/>
      <c r="K1773" s="437">
        <f t="shared" si="430"/>
        <v>0</v>
      </c>
      <c r="L1773" s="435" t="s">
        <v>614</v>
      </c>
      <c r="M1773" s="576"/>
      <c r="N1773" s="576">
        <f t="shared" si="429"/>
        <v>0</v>
      </c>
      <c r="O1773" s="577">
        <f t="shared" si="419"/>
        <v>0</v>
      </c>
      <c r="P1773" s="578">
        <f t="shared" si="420"/>
        <v>0</v>
      </c>
      <c r="Q1773" s="765"/>
      <c r="R1773" s="576">
        <f t="shared" si="432"/>
        <v>0</v>
      </c>
      <c r="S1773" s="576">
        <f t="shared" si="432"/>
        <v>0</v>
      </c>
      <c r="T1773" s="577">
        <f t="shared" si="417"/>
        <v>0</v>
      </c>
      <c r="U1773" s="578">
        <f t="shared" si="418"/>
        <v>0</v>
      </c>
      <c r="V1773" s="579"/>
      <c r="W1773" s="566"/>
      <c r="X1773" s="586" t="str">
        <f t="shared" si="422"/>
        <v/>
      </c>
      <c r="Y1773" s="586" t="str">
        <f t="shared" si="431"/>
        <v/>
      </c>
      <c r="Z1773" s="586" t="str">
        <f t="shared" si="427"/>
        <v/>
      </c>
    </row>
    <row r="1774" spans="1:26" ht="12" hidden="1" thickBot="1" x14ac:dyDescent="0.25">
      <c r="A1774" s="652" t="s">
        <v>187</v>
      </c>
      <c r="B1774" s="572" t="s">
        <v>187</v>
      </c>
      <c r="C1774" s="573" t="s">
        <v>187</v>
      </c>
      <c r="D1774" s="580"/>
      <c r="E1774" s="575"/>
      <c r="F1774" s="436"/>
      <c r="G1774" s="431"/>
      <c r="H1774" s="430"/>
      <c r="I1774" s="432"/>
      <c r="J1774" s="433"/>
      <c r="K1774" s="437">
        <f t="shared" si="430"/>
        <v>0</v>
      </c>
      <c r="L1774" s="435" t="s">
        <v>614</v>
      </c>
      <c r="M1774" s="576"/>
      <c r="N1774" s="576">
        <f t="shared" si="429"/>
        <v>0</v>
      </c>
      <c r="O1774" s="577">
        <f t="shared" si="419"/>
        <v>0</v>
      </c>
      <c r="P1774" s="578">
        <f t="shared" si="420"/>
        <v>0</v>
      </c>
      <c r="Q1774" s="765"/>
      <c r="R1774" s="576">
        <f t="shared" si="432"/>
        <v>0</v>
      </c>
      <c r="S1774" s="576">
        <f t="shared" si="432"/>
        <v>0</v>
      </c>
      <c r="T1774" s="577">
        <f t="shared" si="417"/>
        <v>0</v>
      </c>
      <c r="U1774" s="578">
        <f t="shared" si="418"/>
        <v>0</v>
      </c>
      <c r="V1774" s="579"/>
      <c r="W1774" s="566"/>
      <c r="X1774" s="586" t="str">
        <f t="shared" si="422"/>
        <v/>
      </c>
      <c r="Y1774" s="586" t="str">
        <f t="shared" si="431"/>
        <v/>
      </c>
      <c r="Z1774" s="586" t="str">
        <f t="shared" si="427"/>
        <v/>
      </c>
    </row>
    <row r="1775" spans="1:26" ht="12" hidden="1" thickBot="1" x14ac:dyDescent="0.25">
      <c r="A1775" s="652" t="s">
        <v>187</v>
      </c>
      <c r="B1775" s="572" t="s">
        <v>187</v>
      </c>
      <c r="C1775" s="573" t="s">
        <v>187</v>
      </c>
      <c r="D1775" s="580"/>
      <c r="E1775" s="575"/>
      <c r="F1775" s="436"/>
      <c r="G1775" s="431"/>
      <c r="H1775" s="430"/>
      <c r="I1775" s="432"/>
      <c r="J1775" s="433"/>
      <c r="K1775" s="437">
        <f t="shared" si="430"/>
        <v>0</v>
      </c>
      <c r="L1775" s="435" t="s">
        <v>614</v>
      </c>
      <c r="M1775" s="576"/>
      <c r="N1775" s="576">
        <f t="shared" si="429"/>
        <v>0</v>
      </c>
      <c r="O1775" s="577">
        <f t="shared" si="419"/>
        <v>0</v>
      </c>
      <c r="P1775" s="578">
        <f t="shared" si="420"/>
        <v>0</v>
      </c>
      <c r="Q1775" s="765"/>
      <c r="R1775" s="576">
        <f t="shared" si="432"/>
        <v>0</v>
      </c>
      <c r="S1775" s="576">
        <f t="shared" si="432"/>
        <v>0</v>
      </c>
      <c r="T1775" s="577">
        <f t="shared" si="417"/>
        <v>0</v>
      </c>
      <c r="U1775" s="578">
        <f t="shared" si="418"/>
        <v>0</v>
      </c>
      <c r="V1775" s="579"/>
      <c r="W1775" s="566"/>
      <c r="X1775" s="586" t="str">
        <f t="shared" si="422"/>
        <v/>
      </c>
      <c r="Y1775" s="586" t="str">
        <f t="shared" si="431"/>
        <v/>
      </c>
      <c r="Z1775" s="586" t="str">
        <f t="shared" si="427"/>
        <v/>
      </c>
    </row>
    <row r="1776" spans="1:26" ht="12" hidden="1" thickBot="1" x14ac:dyDescent="0.25">
      <c r="A1776" s="652" t="s">
        <v>187</v>
      </c>
      <c r="B1776" s="572" t="s">
        <v>187</v>
      </c>
      <c r="C1776" s="573" t="s">
        <v>187</v>
      </c>
      <c r="D1776" s="580"/>
      <c r="E1776" s="575"/>
      <c r="F1776" s="436"/>
      <c r="G1776" s="431"/>
      <c r="H1776" s="430"/>
      <c r="I1776" s="432"/>
      <c r="J1776" s="433"/>
      <c r="K1776" s="437">
        <f t="shared" si="430"/>
        <v>0</v>
      </c>
      <c r="L1776" s="435" t="s">
        <v>614</v>
      </c>
      <c r="M1776" s="576"/>
      <c r="N1776" s="576">
        <f t="shared" si="429"/>
        <v>0</v>
      </c>
      <c r="O1776" s="577">
        <f t="shared" si="419"/>
        <v>0</v>
      </c>
      <c r="P1776" s="578">
        <f t="shared" si="420"/>
        <v>0</v>
      </c>
      <c r="Q1776" s="765"/>
      <c r="R1776" s="576">
        <f t="shared" si="432"/>
        <v>0</v>
      </c>
      <c r="S1776" s="576">
        <f t="shared" si="432"/>
        <v>0</v>
      </c>
      <c r="T1776" s="577">
        <f t="shared" si="417"/>
        <v>0</v>
      </c>
      <c r="U1776" s="578">
        <f t="shared" si="418"/>
        <v>0</v>
      </c>
      <c r="V1776" s="579"/>
      <c r="W1776" s="566"/>
      <c r="X1776" s="586" t="str">
        <f t="shared" si="422"/>
        <v/>
      </c>
      <c r="Y1776" s="586" t="str">
        <f t="shared" si="431"/>
        <v/>
      </c>
      <c r="Z1776" s="586" t="str">
        <f t="shared" si="427"/>
        <v/>
      </c>
    </row>
    <row r="1777" spans="1:26" ht="12" hidden="1" thickBot="1" x14ac:dyDescent="0.25">
      <c r="A1777" s="652" t="s">
        <v>187</v>
      </c>
      <c r="B1777" s="572" t="s">
        <v>187</v>
      </c>
      <c r="C1777" s="573" t="s">
        <v>187</v>
      </c>
      <c r="D1777" s="580"/>
      <c r="E1777" s="575"/>
      <c r="F1777" s="436"/>
      <c r="G1777" s="431"/>
      <c r="H1777" s="430"/>
      <c r="I1777" s="432"/>
      <c r="J1777" s="433"/>
      <c r="K1777" s="437">
        <f t="shared" si="430"/>
        <v>0</v>
      </c>
      <c r="L1777" s="435" t="s">
        <v>614</v>
      </c>
      <c r="M1777" s="576"/>
      <c r="N1777" s="576">
        <f t="shared" si="429"/>
        <v>0</v>
      </c>
      <c r="O1777" s="577">
        <f t="shared" si="419"/>
        <v>0</v>
      </c>
      <c r="P1777" s="578">
        <f t="shared" si="420"/>
        <v>0</v>
      </c>
      <c r="Q1777" s="765"/>
      <c r="R1777" s="576">
        <f t="shared" si="432"/>
        <v>0</v>
      </c>
      <c r="S1777" s="576">
        <f t="shared" si="432"/>
        <v>0</v>
      </c>
      <c r="T1777" s="577">
        <f t="shared" si="417"/>
        <v>0</v>
      </c>
      <c r="U1777" s="578">
        <f t="shared" si="418"/>
        <v>0</v>
      </c>
      <c r="V1777" s="579"/>
      <c r="W1777" s="566"/>
      <c r="X1777" s="586" t="str">
        <f t="shared" si="422"/>
        <v/>
      </c>
      <c r="Y1777" s="586" t="str">
        <f t="shared" si="431"/>
        <v/>
      </c>
      <c r="Z1777" s="586" t="str">
        <f t="shared" si="427"/>
        <v/>
      </c>
    </row>
    <row r="1778" spans="1:26" ht="12" hidden="1" thickBot="1" x14ac:dyDescent="0.25">
      <c r="A1778" s="652" t="s">
        <v>187</v>
      </c>
      <c r="B1778" s="572" t="s">
        <v>187</v>
      </c>
      <c r="C1778" s="573" t="s">
        <v>187</v>
      </c>
      <c r="D1778" s="580"/>
      <c r="E1778" s="575"/>
      <c r="F1778" s="436"/>
      <c r="G1778" s="431"/>
      <c r="H1778" s="430"/>
      <c r="I1778" s="432"/>
      <c r="J1778" s="433"/>
      <c r="K1778" s="437">
        <f t="shared" si="430"/>
        <v>0</v>
      </c>
      <c r="L1778" s="435" t="s">
        <v>614</v>
      </c>
      <c r="M1778" s="576"/>
      <c r="N1778" s="576">
        <f t="shared" si="429"/>
        <v>0</v>
      </c>
      <c r="O1778" s="577">
        <f t="shared" si="419"/>
        <v>0</v>
      </c>
      <c r="P1778" s="578">
        <f t="shared" si="420"/>
        <v>0</v>
      </c>
      <c r="Q1778" s="765"/>
      <c r="R1778" s="576">
        <f t="shared" si="432"/>
        <v>0</v>
      </c>
      <c r="S1778" s="576">
        <f t="shared" si="432"/>
        <v>0</v>
      </c>
      <c r="T1778" s="577">
        <f t="shared" si="417"/>
        <v>0</v>
      </c>
      <c r="U1778" s="578">
        <f t="shared" si="418"/>
        <v>0</v>
      </c>
      <c r="V1778" s="579"/>
      <c r="W1778" s="566"/>
      <c r="X1778" s="586" t="str">
        <f t="shared" si="422"/>
        <v/>
      </c>
      <c r="Y1778" s="586" t="str">
        <f t="shared" si="431"/>
        <v/>
      </c>
      <c r="Z1778" s="586" t="str">
        <f t="shared" si="427"/>
        <v/>
      </c>
    </row>
    <row r="1779" spans="1:26" ht="12" hidden="1" thickBot="1" x14ac:dyDescent="0.25">
      <c r="A1779" s="652" t="s">
        <v>187</v>
      </c>
      <c r="B1779" s="572" t="s">
        <v>187</v>
      </c>
      <c r="C1779" s="573" t="s">
        <v>187</v>
      </c>
      <c r="D1779" s="580"/>
      <c r="E1779" s="575"/>
      <c r="F1779" s="436"/>
      <c r="G1779" s="431"/>
      <c r="H1779" s="430"/>
      <c r="I1779" s="432"/>
      <c r="J1779" s="433"/>
      <c r="K1779" s="437">
        <f t="shared" si="430"/>
        <v>0</v>
      </c>
      <c r="L1779" s="435" t="s">
        <v>614</v>
      </c>
      <c r="M1779" s="576"/>
      <c r="N1779" s="576">
        <f t="shared" si="429"/>
        <v>0</v>
      </c>
      <c r="O1779" s="577">
        <f t="shared" si="419"/>
        <v>0</v>
      </c>
      <c r="P1779" s="578">
        <f t="shared" si="420"/>
        <v>0</v>
      </c>
      <c r="Q1779" s="765"/>
      <c r="R1779" s="576">
        <f t="shared" si="432"/>
        <v>0</v>
      </c>
      <c r="S1779" s="576">
        <f t="shared" si="432"/>
        <v>0</v>
      </c>
      <c r="T1779" s="577">
        <f t="shared" si="417"/>
        <v>0</v>
      </c>
      <c r="U1779" s="578">
        <f t="shared" si="418"/>
        <v>0</v>
      </c>
      <c r="V1779" s="579"/>
      <c r="W1779" s="566"/>
      <c r="X1779" s="586" t="str">
        <f t="shared" si="422"/>
        <v/>
      </c>
      <c r="Y1779" s="586" t="str">
        <f t="shared" si="431"/>
        <v/>
      </c>
      <c r="Z1779" s="586" t="str">
        <f t="shared" si="427"/>
        <v/>
      </c>
    </row>
    <row r="1780" spans="1:26" ht="12" hidden="1" thickBot="1" x14ac:dyDescent="0.25">
      <c r="A1780" s="652" t="s">
        <v>187</v>
      </c>
      <c r="B1780" s="572" t="s">
        <v>187</v>
      </c>
      <c r="C1780" s="573" t="s">
        <v>187</v>
      </c>
      <c r="D1780" s="580"/>
      <c r="E1780" s="575"/>
      <c r="F1780" s="436"/>
      <c r="G1780" s="431"/>
      <c r="H1780" s="430"/>
      <c r="I1780" s="432"/>
      <c r="J1780" s="433"/>
      <c r="K1780" s="437">
        <f t="shared" si="430"/>
        <v>0</v>
      </c>
      <c r="L1780" s="435" t="s">
        <v>614</v>
      </c>
      <c r="M1780" s="576"/>
      <c r="N1780" s="576">
        <f t="shared" si="429"/>
        <v>0</v>
      </c>
      <c r="O1780" s="577">
        <f t="shared" si="419"/>
        <v>0</v>
      </c>
      <c r="P1780" s="578">
        <f t="shared" si="420"/>
        <v>0</v>
      </c>
      <c r="Q1780" s="765"/>
      <c r="R1780" s="576">
        <f t="shared" si="432"/>
        <v>0</v>
      </c>
      <c r="S1780" s="576">
        <f t="shared" si="432"/>
        <v>0</v>
      </c>
      <c r="T1780" s="577">
        <f t="shared" si="417"/>
        <v>0</v>
      </c>
      <c r="U1780" s="578">
        <f t="shared" si="418"/>
        <v>0</v>
      </c>
      <c r="V1780" s="579"/>
      <c r="W1780" s="566"/>
      <c r="X1780" s="586" t="str">
        <f t="shared" si="422"/>
        <v/>
      </c>
      <c r="Y1780" s="586" t="str">
        <f t="shared" si="431"/>
        <v/>
      </c>
      <c r="Z1780" s="586" t="str">
        <f t="shared" si="427"/>
        <v/>
      </c>
    </row>
    <row r="1781" spans="1:26" ht="12" hidden="1" thickBot="1" x14ac:dyDescent="0.25">
      <c r="A1781" s="652" t="s">
        <v>187</v>
      </c>
      <c r="B1781" s="572" t="s">
        <v>187</v>
      </c>
      <c r="C1781" s="573" t="s">
        <v>187</v>
      </c>
      <c r="D1781" s="580"/>
      <c r="E1781" s="575"/>
      <c r="F1781" s="436"/>
      <c r="G1781" s="431"/>
      <c r="H1781" s="430"/>
      <c r="I1781" s="432"/>
      <c r="J1781" s="433"/>
      <c r="K1781" s="437">
        <f t="shared" si="430"/>
        <v>0</v>
      </c>
      <c r="L1781" s="435" t="s">
        <v>614</v>
      </c>
      <c r="M1781" s="576"/>
      <c r="N1781" s="576">
        <f t="shared" si="429"/>
        <v>0</v>
      </c>
      <c r="O1781" s="577">
        <f t="shared" si="419"/>
        <v>0</v>
      </c>
      <c r="P1781" s="578">
        <f t="shared" si="420"/>
        <v>0</v>
      </c>
      <c r="Q1781" s="765"/>
      <c r="R1781" s="576">
        <f t="shared" si="432"/>
        <v>0</v>
      </c>
      <c r="S1781" s="576">
        <f t="shared" si="432"/>
        <v>0</v>
      </c>
      <c r="T1781" s="577">
        <f t="shared" si="417"/>
        <v>0</v>
      </c>
      <c r="U1781" s="578">
        <f t="shared" si="418"/>
        <v>0</v>
      </c>
      <c r="V1781" s="579"/>
      <c r="W1781" s="566"/>
      <c r="X1781" s="586" t="str">
        <f t="shared" si="422"/>
        <v/>
      </c>
      <c r="Y1781" s="586" t="str">
        <f t="shared" si="431"/>
        <v/>
      </c>
      <c r="Z1781" s="586" t="str">
        <f t="shared" si="427"/>
        <v/>
      </c>
    </row>
    <row r="1782" spans="1:26" ht="12" hidden="1" thickBot="1" x14ac:dyDescent="0.25">
      <c r="A1782" s="652" t="s">
        <v>187</v>
      </c>
      <c r="B1782" s="572" t="s">
        <v>187</v>
      </c>
      <c r="C1782" s="573" t="s">
        <v>187</v>
      </c>
      <c r="D1782" s="580"/>
      <c r="E1782" s="575"/>
      <c r="F1782" s="436"/>
      <c r="G1782" s="431"/>
      <c r="H1782" s="430"/>
      <c r="I1782" s="432"/>
      <c r="J1782" s="433"/>
      <c r="K1782" s="437">
        <f t="shared" si="430"/>
        <v>0</v>
      </c>
      <c r="L1782" s="435" t="s">
        <v>614</v>
      </c>
      <c r="M1782" s="576"/>
      <c r="N1782" s="576">
        <f t="shared" si="429"/>
        <v>0</v>
      </c>
      <c r="O1782" s="577">
        <f t="shared" si="419"/>
        <v>0</v>
      </c>
      <c r="P1782" s="578">
        <f t="shared" si="420"/>
        <v>0</v>
      </c>
      <c r="Q1782" s="765"/>
      <c r="R1782" s="576">
        <f t="shared" si="432"/>
        <v>0</v>
      </c>
      <c r="S1782" s="576">
        <f t="shared" si="432"/>
        <v>0</v>
      </c>
      <c r="T1782" s="577">
        <f t="shared" si="417"/>
        <v>0</v>
      </c>
      <c r="U1782" s="578">
        <f t="shared" si="418"/>
        <v>0</v>
      </c>
      <c r="V1782" s="579"/>
      <c r="W1782" s="566"/>
      <c r="X1782" s="586" t="str">
        <f t="shared" si="422"/>
        <v/>
      </c>
      <c r="Y1782" s="586" t="str">
        <f t="shared" si="431"/>
        <v/>
      </c>
      <c r="Z1782" s="586" t="str">
        <f t="shared" si="427"/>
        <v/>
      </c>
    </row>
    <row r="1783" spans="1:26" ht="12" hidden="1" thickBot="1" x14ac:dyDescent="0.25">
      <c r="A1783" s="652" t="s">
        <v>187</v>
      </c>
      <c r="B1783" s="572" t="s">
        <v>187</v>
      </c>
      <c r="C1783" s="573" t="s">
        <v>187</v>
      </c>
      <c r="D1783" s="580"/>
      <c r="E1783" s="575"/>
      <c r="F1783" s="436"/>
      <c r="G1783" s="431"/>
      <c r="H1783" s="430"/>
      <c r="I1783" s="432"/>
      <c r="J1783" s="433"/>
      <c r="K1783" s="437">
        <f t="shared" si="430"/>
        <v>0</v>
      </c>
      <c r="L1783" s="435" t="s">
        <v>614</v>
      </c>
      <c r="M1783" s="576"/>
      <c r="N1783" s="576">
        <f t="shared" si="429"/>
        <v>0</v>
      </c>
      <c r="O1783" s="577">
        <f t="shared" si="419"/>
        <v>0</v>
      </c>
      <c r="P1783" s="578">
        <f t="shared" si="420"/>
        <v>0</v>
      </c>
      <c r="Q1783" s="765"/>
      <c r="R1783" s="576">
        <f t="shared" si="432"/>
        <v>0</v>
      </c>
      <c r="S1783" s="576">
        <f t="shared" si="432"/>
        <v>0</v>
      </c>
      <c r="T1783" s="577">
        <f t="shared" si="417"/>
        <v>0</v>
      </c>
      <c r="U1783" s="578">
        <f t="shared" si="418"/>
        <v>0</v>
      </c>
      <c r="V1783" s="579"/>
      <c r="W1783" s="566"/>
      <c r="X1783" s="586" t="str">
        <f t="shared" si="422"/>
        <v/>
      </c>
      <c r="Y1783" s="586" t="str">
        <f t="shared" si="431"/>
        <v/>
      </c>
      <c r="Z1783" s="586" t="str">
        <f t="shared" si="427"/>
        <v/>
      </c>
    </row>
    <row r="1784" spans="1:26" ht="12" hidden="1" thickBot="1" x14ac:dyDescent="0.25">
      <c r="A1784" s="652" t="s">
        <v>187</v>
      </c>
      <c r="B1784" s="581" t="s">
        <v>187</v>
      </c>
      <c r="C1784" s="582" t="s">
        <v>187</v>
      </c>
      <c r="D1784" s="583"/>
      <c r="E1784" s="584"/>
      <c r="F1784" s="438"/>
      <c r="G1784" s="439"/>
      <c r="H1784" s="440"/>
      <c r="I1784" s="441"/>
      <c r="J1784" s="442"/>
      <c r="K1784" s="443">
        <f t="shared" si="430"/>
        <v>0</v>
      </c>
      <c r="L1784" s="444" t="s">
        <v>614</v>
      </c>
      <c r="M1784" s="576"/>
      <c r="N1784" s="576">
        <f t="shared" si="429"/>
        <v>0</v>
      </c>
      <c r="O1784" s="585">
        <f t="shared" si="419"/>
        <v>0</v>
      </c>
      <c r="P1784" s="660">
        <f t="shared" si="420"/>
        <v>0</v>
      </c>
      <c r="Q1784" s="765"/>
      <c r="R1784" s="576">
        <f t="shared" si="432"/>
        <v>0</v>
      </c>
      <c r="S1784" s="576">
        <f t="shared" si="432"/>
        <v>0</v>
      </c>
      <c r="T1784" s="585">
        <f t="shared" si="417"/>
        <v>0</v>
      </c>
      <c r="U1784" s="660">
        <f t="shared" si="418"/>
        <v>0</v>
      </c>
      <c r="V1784" s="579"/>
      <c r="W1784" s="566"/>
      <c r="X1784" s="586" t="str">
        <f t="shared" si="422"/>
        <v/>
      </c>
      <c r="Y1784" s="586" t="str">
        <f t="shared" si="431"/>
        <v/>
      </c>
      <c r="Z1784" s="586" t="str">
        <f t="shared" si="427"/>
        <v/>
      </c>
    </row>
    <row r="1785" spans="1:26" ht="12" hidden="1" thickBot="1" x14ac:dyDescent="0.25">
      <c r="A1785" s="652" t="s">
        <v>187</v>
      </c>
      <c r="B1785" s="664" t="s">
        <v>473</v>
      </c>
      <c r="C1785" s="665"/>
      <c r="D1785" s="666" t="s">
        <v>462</v>
      </c>
      <c r="E1785" s="631"/>
      <c r="F1785" s="632"/>
      <c r="G1785" s="633"/>
      <c r="H1785" s="634"/>
      <c r="I1785" s="409"/>
      <c r="J1785" s="409"/>
      <c r="K1785" s="409"/>
      <c r="L1785" s="409" t="s">
        <v>614</v>
      </c>
      <c r="M1785" s="634"/>
      <c r="N1785" s="797"/>
      <c r="O1785" s="409">
        <f t="shared" si="419"/>
        <v>0</v>
      </c>
      <c r="P1785" s="635">
        <f t="shared" si="420"/>
        <v>0</v>
      </c>
      <c r="Q1785" s="635">
        <f>SUM(P1786:P2662)</f>
        <v>0</v>
      </c>
      <c r="R1785" s="634"/>
      <c r="S1785" s="409"/>
      <c r="T1785" s="409">
        <f t="shared" si="417"/>
        <v>0</v>
      </c>
      <c r="U1785" s="635">
        <f t="shared" si="418"/>
        <v>0</v>
      </c>
      <c r="V1785" s="636">
        <f>SUM(U1786:U2662)</f>
        <v>0</v>
      </c>
      <c r="W1785" s="637" t="str">
        <f>IF(OR(Q1785&gt;0,V1785&gt;0),"X","")</f>
        <v/>
      </c>
      <c r="X1785" s="586" t="str">
        <f t="shared" si="422"/>
        <v/>
      </c>
      <c r="Y1785" s="586" t="str">
        <f t="shared" si="431"/>
        <v/>
      </c>
      <c r="Z1785" s="586" t="str">
        <f t="shared" si="427"/>
        <v/>
      </c>
    </row>
    <row r="1786" spans="1:26" ht="12" hidden="1" thickBot="1" x14ac:dyDescent="0.25">
      <c r="A1786" s="567">
        <v>600000</v>
      </c>
      <c r="B1786" s="644" t="s">
        <v>1649</v>
      </c>
      <c r="C1786" s="645" t="s">
        <v>206</v>
      </c>
      <c r="D1786" s="422" t="s">
        <v>322</v>
      </c>
      <c r="E1786" s="423"/>
      <c r="F1786" s="424">
        <v>0</v>
      </c>
      <c r="G1786" s="425">
        <v>0</v>
      </c>
      <c r="H1786" s="651">
        <f t="shared" ref="H1786:H1801" si="433">IF(F1786&lt;=30,(0.62*F1786+6.29)*G1786,((0.62*30+6.29)+0.62*(F1786-30))*G1786)</f>
        <v>0</v>
      </c>
      <c r="I1786" s="420">
        <v>46.12</v>
      </c>
      <c r="J1786" s="420">
        <f>IF(ISBLANK(I1786),"",SUM(H1786:I1786))</f>
        <v>46.12</v>
      </c>
      <c r="K1786" s="421">
        <f t="shared" ref="K1786:K1855" si="434">IF(ISBLANK(I1786),0,ROUND(J1786*(1+$F$10)*(1+$F$11*E1786),2))</f>
        <v>54.8</v>
      </c>
      <c r="L1786" s="647" t="s">
        <v>16</v>
      </c>
      <c r="M1786" s="576"/>
      <c r="N1786" s="576">
        <f t="shared" si="429"/>
        <v>0</v>
      </c>
      <c r="O1786" s="577">
        <f t="shared" si="419"/>
        <v>0</v>
      </c>
      <c r="P1786" s="578">
        <f t="shared" si="420"/>
        <v>0</v>
      </c>
      <c r="Q1786" s="765"/>
      <c r="R1786" s="576">
        <f t="shared" si="432"/>
        <v>0</v>
      </c>
      <c r="S1786" s="576">
        <f t="shared" si="432"/>
        <v>0</v>
      </c>
      <c r="T1786" s="577">
        <f t="shared" ref="T1786:T1851" si="435">IF(ISBLANK(R1786),0,ROUND(K1786*R1786,2))</f>
        <v>0</v>
      </c>
      <c r="U1786" s="578">
        <f t="shared" ref="U1786:U1851" si="436">IF(ISBLANK(R1786),0,ROUND(R1786*S1786,2))</f>
        <v>0</v>
      </c>
      <c r="V1786" s="579"/>
      <c r="W1786" s="566"/>
      <c r="X1786" s="586" t="str">
        <f t="shared" si="422"/>
        <v/>
      </c>
      <c r="Y1786" s="586" t="str">
        <f t="shared" si="431"/>
        <v/>
      </c>
      <c r="Z1786" s="586" t="str">
        <f t="shared" si="427"/>
        <v/>
      </c>
    </row>
    <row r="1787" spans="1:26" ht="12" hidden="1" thickBot="1" x14ac:dyDescent="0.25">
      <c r="A1787" s="567">
        <v>600300</v>
      </c>
      <c r="B1787" s="644">
        <v>600300</v>
      </c>
      <c r="C1787" s="645" t="s">
        <v>206</v>
      </c>
      <c r="D1787" s="422" t="s">
        <v>323</v>
      </c>
      <c r="E1787" s="423"/>
      <c r="F1787" s="424">
        <v>0</v>
      </c>
      <c r="G1787" s="425">
        <v>0</v>
      </c>
      <c r="H1787" s="651">
        <f t="shared" si="433"/>
        <v>0</v>
      </c>
      <c r="I1787" s="420">
        <v>12.45</v>
      </c>
      <c r="J1787" s="420">
        <f t="shared" ref="J1787:J1801" si="437">IF(ISBLANK(I1787),"",SUM(H1787:I1787))</f>
        <v>12.45</v>
      </c>
      <c r="K1787" s="421">
        <f t="shared" si="434"/>
        <v>14.79</v>
      </c>
      <c r="L1787" s="647" t="s">
        <v>16</v>
      </c>
      <c r="M1787" s="576"/>
      <c r="N1787" s="576">
        <f t="shared" si="429"/>
        <v>0</v>
      </c>
      <c r="O1787" s="577">
        <f t="shared" ref="O1787:O1852" si="438">IF(ISBLANK(M1787),0,ROUND(K1787*M1787,2))</f>
        <v>0</v>
      </c>
      <c r="P1787" s="578">
        <f t="shared" ref="P1787:P1852" si="439">IF(ISBLANK(N1787),0,ROUND(M1787*N1787,2))</f>
        <v>0</v>
      </c>
      <c r="Q1787" s="765"/>
      <c r="R1787" s="576">
        <f t="shared" si="432"/>
        <v>0</v>
      </c>
      <c r="S1787" s="576">
        <f t="shared" si="432"/>
        <v>0</v>
      </c>
      <c r="T1787" s="577">
        <f t="shared" si="435"/>
        <v>0</v>
      </c>
      <c r="U1787" s="578">
        <f t="shared" si="436"/>
        <v>0</v>
      </c>
      <c r="V1787" s="579"/>
      <c r="W1787" s="566"/>
      <c r="X1787" s="586" t="str">
        <f t="shared" si="422"/>
        <v/>
      </c>
      <c r="Y1787" s="586" t="str">
        <f t="shared" si="431"/>
        <v/>
      </c>
      <c r="Z1787" s="586" t="str">
        <f t="shared" si="427"/>
        <v/>
      </c>
    </row>
    <row r="1788" spans="1:26" ht="12" hidden="1" thickBot="1" x14ac:dyDescent="0.25">
      <c r="A1788" s="567">
        <v>600400</v>
      </c>
      <c r="B1788" s="644">
        <v>600400</v>
      </c>
      <c r="C1788" s="645" t="s">
        <v>206</v>
      </c>
      <c r="D1788" s="422" t="s">
        <v>324</v>
      </c>
      <c r="E1788" s="423"/>
      <c r="F1788" s="424">
        <v>0</v>
      </c>
      <c r="G1788" s="425"/>
      <c r="H1788" s="651">
        <f t="shared" si="433"/>
        <v>0</v>
      </c>
      <c r="I1788" s="420">
        <v>12.77</v>
      </c>
      <c r="J1788" s="420">
        <f t="shared" si="437"/>
        <v>12.77</v>
      </c>
      <c r="K1788" s="421">
        <f t="shared" si="434"/>
        <v>15.17</v>
      </c>
      <c r="L1788" s="647" t="s">
        <v>16</v>
      </c>
      <c r="M1788" s="576"/>
      <c r="N1788" s="576">
        <f t="shared" si="429"/>
        <v>0</v>
      </c>
      <c r="O1788" s="577">
        <f t="shared" si="438"/>
        <v>0</v>
      </c>
      <c r="P1788" s="578">
        <f t="shared" si="439"/>
        <v>0</v>
      </c>
      <c r="Q1788" s="765"/>
      <c r="R1788" s="576">
        <f t="shared" si="432"/>
        <v>0</v>
      </c>
      <c r="S1788" s="576">
        <f t="shared" si="432"/>
        <v>0</v>
      </c>
      <c r="T1788" s="577">
        <f t="shared" si="435"/>
        <v>0</v>
      </c>
      <c r="U1788" s="578">
        <f t="shared" si="436"/>
        <v>0</v>
      </c>
      <c r="V1788" s="579"/>
      <c r="W1788" s="566"/>
      <c r="X1788" s="586" t="str">
        <f t="shared" si="422"/>
        <v/>
      </c>
      <c r="Y1788" s="586" t="str">
        <f t="shared" si="431"/>
        <v/>
      </c>
      <c r="Z1788" s="586" t="str">
        <f t="shared" si="427"/>
        <v/>
      </c>
    </row>
    <row r="1789" spans="1:26" ht="12" hidden="1" thickBot="1" x14ac:dyDescent="0.25">
      <c r="A1789" s="567">
        <v>600500</v>
      </c>
      <c r="B1789" s="644">
        <v>600500</v>
      </c>
      <c r="C1789" s="645" t="s">
        <v>206</v>
      </c>
      <c r="D1789" s="422" t="s">
        <v>325</v>
      </c>
      <c r="E1789" s="423"/>
      <c r="F1789" s="424">
        <v>0</v>
      </c>
      <c r="G1789" s="425"/>
      <c r="H1789" s="651">
        <f t="shared" si="433"/>
        <v>0</v>
      </c>
      <c r="I1789" s="420">
        <v>76.27000000000001</v>
      </c>
      <c r="J1789" s="420">
        <f t="shared" si="437"/>
        <v>76.27000000000001</v>
      </c>
      <c r="K1789" s="421">
        <f t="shared" si="434"/>
        <v>90.62</v>
      </c>
      <c r="L1789" s="647" t="s">
        <v>16</v>
      </c>
      <c r="M1789" s="576"/>
      <c r="N1789" s="576">
        <f t="shared" si="429"/>
        <v>0</v>
      </c>
      <c r="O1789" s="577">
        <f t="shared" si="438"/>
        <v>0</v>
      </c>
      <c r="P1789" s="578">
        <f t="shared" si="439"/>
        <v>0</v>
      </c>
      <c r="Q1789" s="765"/>
      <c r="R1789" s="576">
        <f t="shared" si="432"/>
        <v>0</v>
      </c>
      <c r="S1789" s="576">
        <f t="shared" si="432"/>
        <v>0</v>
      </c>
      <c r="T1789" s="577">
        <f t="shared" si="435"/>
        <v>0</v>
      </c>
      <c r="U1789" s="578">
        <f t="shared" si="436"/>
        <v>0</v>
      </c>
      <c r="V1789" s="579"/>
      <c r="W1789" s="566"/>
      <c r="X1789" s="586" t="str">
        <f t="shared" si="422"/>
        <v/>
      </c>
      <c r="Y1789" s="586" t="str">
        <f t="shared" si="431"/>
        <v/>
      </c>
      <c r="Z1789" s="586" t="str">
        <f t="shared" si="427"/>
        <v/>
      </c>
    </row>
    <row r="1790" spans="1:26" ht="12" hidden="1" thickBot="1" x14ac:dyDescent="0.25">
      <c r="A1790" s="567">
        <v>600310</v>
      </c>
      <c r="B1790" s="644" t="s">
        <v>1589</v>
      </c>
      <c r="C1790" s="645" t="s">
        <v>206</v>
      </c>
      <c r="D1790" s="416" t="s">
        <v>474</v>
      </c>
      <c r="E1790" s="417"/>
      <c r="F1790" s="418"/>
      <c r="G1790" s="419"/>
      <c r="H1790" s="646">
        <f t="shared" si="433"/>
        <v>0</v>
      </c>
      <c r="I1790" s="420">
        <v>138.22</v>
      </c>
      <c r="J1790" s="420">
        <f>IF(ISBLANK(I1790),"",SUM(H1790:I1790))</f>
        <v>138.22</v>
      </c>
      <c r="K1790" s="421">
        <f t="shared" si="434"/>
        <v>164.22</v>
      </c>
      <c r="L1790" s="647" t="s">
        <v>21</v>
      </c>
      <c r="M1790" s="576"/>
      <c r="N1790" s="576">
        <f t="shared" si="429"/>
        <v>0</v>
      </c>
      <c r="O1790" s="577">
        <f t="shared" si="438"/>
        <v>0</v>
      </c>
      <c r="P1790" s="578">
        <f t="shared" si="439"/>
        <v>0</v>
      </c>
      <c r="Q1790" s="765"/>
      <c r="R1790" s="576">
        <f t="shared" si="432"/>
        <v>0</v>
      </c>
      <c r="S1790" s="576">
        <f t="shared" si="432"/>
        <v>0</v>
      </c>
      <c r="T1790" s="577">
        <f t="shared" si="435"/>
        <v>0</v>
      </c>
      <c r="U1790" s="578">
        <f t="shared" si="436"/>
        <v>0</v>
      </c>
      <c r="V1790" s="579"/>
      <c r="W1790" s="566"/>
      <c r="X1790" s="586" t="str">
        <f t="shared" si="422"/>
        <v/>
      </c>
      <c r="Y1790" s="586" t="str">
        <f t="shared" si="431"/>
        <v/>
      </c>
      <c r="Z1790" s="586" t="str">
        <f t="shared" si="427"/>
        <v/>
      </c>
    </row>
    <row r="1791" spans="1:26" ht="12" hidden="1" thickBot="1" x14ac:dyDescent="0.25">
      <c r="A1791" s="567">
        <v>633000</v>
      </c>
      <c r="B1791" s="644" t="s">
        <v>1651</v>
      </c>
      <c r="C1791" s="645" t="s">
        <v>206</v>
      </c>
      <c r="D1791" s="416" t="s">
        <v>623</v>
      </c>
      <c r="E1791" s="417"/>
      <c r="F1791" s="418"/>
      <c r="G1791" s="419"/>
      <c r="H1791" s="646">
        <f t="shared" si="433"/>
        <v>0</v>
      </c>
      <c r="I1791" s="420">
        <v>76.88</v>
      </c>
      <c r="J1791" s="420">
        <f>IF(ISBLANK(I1791),"",SUM(H1791:I1791))</f>
        <v>76.88</v>
      </c>
      <c r="K1791" s="421">
        <f t="shared" si="434"/>
        <v>91.34</v>
      </c>
      <c r="L1791" s="647" t="s">
        <v>19</v>
      </c>
      <c r="M1791" s="576"/>
      <c r="N1791" s="576">
        <f t="shared" si="429"/>
        <v>0</v>
      </c>
      <c r="O1791" s="577">
        <f t="shared" si="438"/>
        <v>0</v>
      </c>
      <c r="P1791" s="578">
        <f t="shared" si="439"/>
        <v>0</v>
      </c>
      <c r="Q1791" s="765"/>
      <c r="R1791" s="576">
        <f t="shared" si="432"/>
        <v>0</v>
      </c>
      <c r="S1791" s="576">
        <f t="shared" si="432"/>
        <v>0</v>
      </c>
      <c r="T1791" s="577">
        <f t="shared" si="435"/>
        <v>0</v>
      </c>
      <c r="U1791" s="578">
        <f t="shared" si="436"/>
        <v>0</v>
      </c>
      <c r="V1791" s="579"/>
      <c r="W1791" s="566"/>
      <c r="X1791" s="586" t="str">
        <f t="shared" si="422"/>
        <v/>
      </c>
      <c r="Y1791" s="586" t="str">
        <f t="shared" si="431"/>
        <v/>
      </c>
      <c r="Z1791" s="586" t="str">
        <f t="shared" si="427"/>
        <v/>
      </c>
    </row>
    <row r="1792" spans="1:26" ht="12" hidden="1" thickBot="1" x14ac:dyDescent="0.25">
      <c r="A1792" s="567">
        <v>633100</v>
      </c>
      <c r="B1792" s="644" t="s">
        <v>1654</v>
      </c>
      <c r="C1792" s="645" t="s">
        <v>206</v>
      </c>
      <c r="D1792" s="416" t="s">
        <v>624</v>
      </c>
      <c r="E1792" s="417"/>
      <c r="F1792" s="418"/>
      <c r="G1792" s="419"/>
      <c r="H1792" s="646">
        <f t="shared" si="433"/>
        <v>0</v>
      </c>
      <c r="I1792" s="420">
        <v>153.77000000000001</v>
      </c>
      <c r="J1792" s="420">
        <f>IF(ISBLANK(I1792),"",SUM(H1792:I1792))</f>
        <v>153.77000000000001</v>
      </c>
      <c r="K1792" s="421">
        <f t="shared" si="434"/>
        <v>182.69</v>
      </c>
      <c r="L1792" s="647" t="s">
        <v>19</v>
      </c>
      <c r="M1792" s="576"/>
      <c r="N1792" s="576">
        <f t="shared" si="429"/>
        <v>0</v>
      </c>
      <c r="O1792" s="577">
        <f t="shared" si="438"/>
        <v>0</v>
      </c>
      <c r="P1792" s="578">
        <f t="shared" si="439"/>
        <v>0</v>
      </c>
      <c r="Q1792" s="765"/>
      <c r="R1792" s="576">
        <f t="shared" si="432"/>
        <v>0</v>
      </c>
      <c r="S1792" s="576">
        <f t="shared" si="432"/>
        <v>0</v>
      </c>
      <c r="T1792" s="577">
        <f t="shared" si="435"/>
        <v>0</v>
      </c>
      <c r="U1792" s="578">
        <f t="shared" si="436"/>
        <v>0</v>
      </c>
      <c r="V1792" s="579"/>
      <c r="W1792" s="566"/>
      <c r="X1792" s="586" t="str">
        <f t="shared" si="422"/>
        <v/>
      </c>
      <c r="Y1792" s="586" t="str">
        <f t="shared" si="431"/>
        <v/>
      </c>
      <c r="Z1792" s="586" t="str">
        <f t="shared" si="427"/>
        <v/>
      </c>
    </row>
    <row r="1793" spans="1:26" ht="12" hidden="1" thickBot="1" x14ac:dyDescent="0.25">
      <c r="A1793" s="567">
        <v>633200</v>
      </c>
      <c r="B1793" s="644" t="s">
        <v>1655</v>
      </c>
      <c r="C1793" s="645" t="s">
        <v>206</v>
      </c>
      <c r="D1793" s="416" t="s">
        <v>625</v>
      </c>
      <c r="E1793" s="417"/>
      <c r="F1793" s="418"/>
      <c r="G1793" s="419"/>
      <c r="H1793" s="646">
        <f t="shared" si="433"/>
        <v>0</v>
      </c>
      <c r="I1793" s="420">
        <v>230.65</v>
      </c>
      <c r="J1793" s="420">
        <f>IF(ISBLANK(I1793),"",SUM(H1793:I1793))</f>
        <v>230.65</v>
      </c>
      <c r="K1793" s="421">
        <f t="shared" si="434"/>
        <v>274.04000000000002</v>
      </c>
      <c r="L1793" s="647" t="s">
        <v>19</v>
      </c>
      <c r="M1793" s="576"/>
      <c r="N1793" s="576">
        <f t="shared" si="429"/>
        <v>0</v>
      </c>
      <c r="O1793" s="577">
        <f t="shared" si="438"/>
        <v>0</v>
      </c>
      <c r="P1793" s="578">
        <f t="shared" si="439"/>
        <v>0</v>
      </c>
      <c r="Q1793" s="765"/>
      <c r="R1793" s="576">
        <f t="shared" si="432"/>
        <v>0</v>
      </c>
      <c r="S1793" s="576">
        <f t="shared" si="432"/>
        <v>0</v>
      </c>
      <c r="T1793" s="577">
        <f t="shared" si="435"/>
        <v>0</v>
      </c>
      <c r="U1793" s="578">
        <f t="shared" si="436"/>
        <v>0</v>
      </c>
      <c r="V1793" s="579"/>
      <c r="W1793" s="566"/>
      <c r="X1793" s="586" t="str">
        <f t="shared" ref="X1793:X1873" si="440">IF(W1793="X","x",IF(W1793="xx","x",IF(W1793="xy","x",IF(W1793="y","x",IF(OR(P1793&gt;0,U1793&gt;0),"x","")))))</f>
        <v/>
      </c>
      <c r="Y1793" s="586" t="str">
        <f t="shared" si="431"/>
        <v/>
      </c>
      <c r="Z1793" s="586" t="str">
        <f t="shared" si="427"/>
        <v/>
      </c>
    </row>
    <row r="1794" spans="1:26" ht="12" hidden="1" thickBot="1" x14ac:dyDescent="0.25">
      <c r="A1794" s="567">
        <v>630300</v>
      </c>
      <c r="B1794" s="644">
        <v>630300</v>
      </c>
      <c r="C1794" s="645" t="s">
        <v>206</v>
      </c>
      <c r="D1794" s="422" t="s">
        <v>326</v>
      </c>
      <c r="E1794" s="423"/>
      <c r="F1794" s="424"/>
      <c r="G1794" s="425"/>
      <c r="H1794" s="646">
        <f t="shared" si="433"/>
        <v>0</v>
      </c>
      <c r="I1794" s="420">
        <v>16.32</v>
      </c>
      <c r="J1794" s="420">
        <f t="shared" si="437"/>
        <v>16.32</v>
      </c>
      <c r="K1794" s="421">
        <f t="shared" si="434"/>
        <v>19.39</v>
      </c>
      <c r="L1794" s="647" t="s">
        <v>19</v>
      </c>
      <c r="M1794" s="576"/>
      <c r="N1794" s="576">
        <f t="shared" si="429"/>
        <v>0</v>
      </c>
      <c r="O1794" s="577">
        <f t="shared" si="438"/>
        <v>0</v>
      </c>
      <c r="P1794" s="578">
        <f t="shared" si="439"/>
        <v>0</v>
      </c>
      <c r="Q1794" s="765"/>
      <c r="R1794" s="576">
        <f t="shared" si="432"/>
        <v>0</v>
      </c>
      <c r="S1794" s="576">
        <f t="shared" si="432"/>
        <v>0</v>
      </c>
      <c r="T1794" s="577">
        <f t="shared" si="435"/>
        <v>0</v>
      </c>
      <c r="U1794" s="578">
        <f t="shared" si="436"/>
        <v>0</v>
      </c>
      <c r="V1794" s="579"/>
      <c r="W1794" s="566"/>
      <c r="X1794" s="586" t="str">
        <f t="shared" si="440"/>
        <v/>
      </c>
      <c r="Y1794" s="586" t="str">
        <f t="shared" si="431"/>
        <v/>
      </c>
      <c r="Z1794" s="586" t="str">
        <f t="shared" si="427"/>
        <v/>
      </c>
    </row>
    <row r="1795" spans="1:26" ht="12" hidden="1" thickBot="1" x14ac:dyDescent="0.25">
      <c r="A1795" s="567">
        <v>630400</v>
      </c>
      <c r="B1795" s="644">
        <v>630400</v>
      </c>
      <c r="C1795" s="645" t="s">
        <v>206</v>
      </c>
      <c r="D1795" s="451" t="s">
        <v>327</v>
      </c>
      <c r="E1795" s="423"/>
      <c r="F1795" s="424"/>
      <c r="G1795" s="425"/>
      <c r="H1795" s="646">
        <f t="shared" si="433"/>
        <v>0</v>
      </c>
      <c r="I1795" s="420">
        <v>20.399999999999999</v>
      </c>
      <c r="J1795" s="420">
        <f t="shared" si="437"/>
        <v>20.399999999999999</v>
      </c>
      <c r="K1795" s="421">
        <f t="shared" si="434"/>
        <v>24.24</v>
      </c>
      <c r="L1795" s="647" t="s">
        <v>19</v>
      </c>
      <c r="M1795" s="576"/>
      <c r="N1795" s="576">
        <f t="shared" si="429"/>
        <v>0</v>
      </c>
      <c r="O1795" s="577">
        <f t="shared" si="438"/>
        <v>0</v>
      </c>
      <c r="P1795" s="578">
        <f t="shared" si="439"/>
        <v>0</v>
      </c>
      <c r="Q1795" s="765"/>
      <c r="R1795" s="576">
        <f t="shared" si="432"/>
        <v>0</v>
      </c>
      <c r="S1795" s="576">
        <f t="shared" si="432"/>
        <v>0</v>
      </c>
      <c r="T1795" s="577">
        <f t="shared" si="435"/>
        <v>0</v>
      </c>
      <c r="U1795" s="578">
        <f t="shared" si="436"/>
        <v>0</v>
      </c>
      <c r="V1795" s="579"/>
      <c r="W1795" s="566"/>
      <c r="X1795" s="586" t="str">
        <f t="shared" si="440"/>
        <v/>
      </c>
      <c r="Y1795" s="586" t="str">
        <f t="shared" si="431"/>
        <v/>
      </c>
      <c r="Z1795" s="586" t="str">
        <f t="shared" si="427"/>
        <v/>
      </c>
    </row>
    <row r="1796" spans="1:26" ht="12" hidden="1" thickBot="1" x14ac:dyDescent="0.25">
      <c r="A1796" s="567">
        <v>630500</v>
      </c>
      <c r="B1796" s="644">
        <v>630500</v>
      </c>
      <c r="C1796" s="645" t="s">
        <v>206</v>
      </c>
      <c r="D1796" s="451" t="s">
        <v>328</v>
      </c>
      <c r="E1796" s="423"/>
      <c r="F1796" s="424"/>
      <c r="G1796" s="425"/>
      <c r="H1796" s="651">
        <f t="shared" si="433"/>
        <v>0</v>
      </c>
      <c r="I1796" s="420">
        <v>22.26</v>
      </c>
      <c r="J1796" s="420">
        <f t="shared" si="437"/>
        <v>22.26</v>
      </c>
      <c r="K1796" s="421">
        <f t="shared" si="434"/>
        <v>26.45</v>
      </c>
      <c r="L1796" s="647" t="s">
        <v>19</v>
      </c>
      <c r="M1796" s="576"/>
      <c r="N1796" s="576">
        <f t="shared" si="429"/>
        <v>0</v>
      </c>
      <c r="O1796" s="577">
        <f t="shared" si="438"/>
        <v>0</v>
      </c>
      <c r="P1796" s="578">
        <f t="shared" si="439"/>
        <v>0</v>
      </c>
      <c r="Q1796" s="765"/>
      <c r="R1796" s="576">
        <f t="shared" si="432"/>
        <v>0</v>
      </c>
      <c r="S1796" s="576">
        <f t="shared" si="432"/>
        <v>0</v>
      </c>
      <c r="T1796" s="577">
        <f t="shared" si="435"/>
        <v>0</v>
      </c>
      <c r="U1796" s="578">
        <f t="shared" si="436"/>
        <v>0</v>
      </c>
      <c r="V1796" s="579"/>
      <c r="W1796" s="566"/>
      <c r="X1796" s="586" t="str">
        <f t="shared" si="440"/>
        <v/>
      </c>
      <c r="Y1796" s="586" t="str">
        <f t="shared" si="431"/>
        <v/>
      </c>
      <c r="Z1796" s="586" t="str">
        <f t="shared" si="427"/>
        <v/>
      </c>
    </row>
    <row r="1797" spans="1:26" ht="12" hidden="1" thickBot="1" x14ac:dyDescent="0.25">
      <c r="A1797" s="567">
        <v>630600</v>
      </c>
      <c r="B1797" s="644">
        <v>630600</v>
      </c>
      <c r="C1797" s="645" t="s">
        <v>206</v>
      </c>
      <c r="D1797" s="451" t="s">
        <v>329</v>
      </c>
      <c r="E1797" s="423"/>
      <c r="F1797" s="424"/>
      <c r="G1797" s="425"/>
      <c r="H1797" s="651">
        <f t="shared" si="433"/>
        <v>0</v>
      </c>
      <c r="I1797" s="420">
        <v>24.48</v>
      </c>
      <c r="J1797" s="420">
        <f t="shared" si="437"/>
        <v>24.48</v>
      </c>
      <c r="K1797" s="421">
        <f t="shared" si="434"/>
        <v>29.08</v>
      </c>
      <c r="L1797" s="647" t="s">
        <v>19</v>
      </c>
      <c r="M1797" s="576"/>
      <c r="N1797" s="576">
        <f t="shared" si="429"/>
        <v>0</v>
      </c>
      <c r="O1797" s="577">
        <f t="shared" si="438"/>
        <v>0</v>
      </c>
      <c r="P1797" s="578">
        <f t="shared" si="439"/>
        <v>0</v>
      </c>
      <c r="Q1797" s="765"/>
      <c r="R1797" s="576">
        <f t="shared" si="432"/>
        <v>0</v>
      </c>
      <c r="S1797" s="576">
        <f t="shared" si="432"/>
        <v>0</v>
      </c>
      <c r="T1797" s="577">
        <f t="shared" si="435"/>
        <v>0</v>
      </c>
      <c r="U1797" s="578">
        <f t="shared" si="436"/>
        <v>0</v>
      </c>
      <c r="V1797" s="579"/>
      <c r="W1797" s="566"/>
      <c r="X1797" s="586" t="str">
        <f t="shared" si="440"/>
        <v/>
      </c>
      <c r="Y1797" s="586" t="str">
        <f t="shared" si="431"/>
        <v/>
      </c>
      <c r="Z1797" s="586" t="str">
        <f t="shared" si="427"/>
        <v/>
      </c>
    </row>
    <row r="1798" spans="1:26" ht="12" hidden="1" thickBot="1" x14ac:dyDescent="0.25">
      <c r="A1798" s="567">
        <v>630800</v>
      </c>
      <c r="B1798" s="644">
        <v>630800</v>
      </c>
      <c r="C1798" s="645" t="s">
        <v>206</v>
      </c>
      <c r="D1798" s="422" t="s">
        <v>330</v>
      </c>
      <c r="E1798" s="423"/>
      <c r="F1798" s="424"/>
      <c r="G1798" s="425"/>
      <c r="H1798" s="651">
        <f t="shared" si="433"/>
        <v>0</v>
      </c>
      <c r="I1798" s="420">
        <v>48.97</v>
      </c>
      <c r="J1798" s="420">
        <f t="shared" si="437"/>
        <v>48.97</v>
      </c>
      <c r="K1798" s="421">
        <f t="shared" si="434"/>
        <v>58.18</v>
      </c>
      <c r="L1798" s="647" t="s">
        <v>19</v>
      </c>
      <c r="M1798" s="576"/>
      <c r="N1798" s="576">
        <f t="shared" si="429"/>
        <v>0</v>
      </c>
      <c r="O1798" s="577">
        <f t="shared" si="438"/>
        <v>0</v>
      </c>
      <c r="P1798" s="578">
        <f t="shared" si="439"/>
        <v>0</v>
      </c>
      <c r="Q1798" s="765"/>
      <c r="R1798" s="576">
        <f t="shared" si="432"/>
        <v>0</v>
      </c>
      <c r="S1798" s="576">
        <f t="shared" si="432"/>
        <v>0</v>
      </c>
      <c r="T1798" s="577">
        <f t="shared" si="435"/>
        <v>0</v>
      </c>
      <c r="U1798" s="578">
        <f t="shared" si="436"/>
        <v>0</v>
      </c>
      <c r="V1798" s="579"/>
      <c r="W1798" s="566"/>
      <c r="X1798" s="586" t="str">
        <f t="shared" si="440"/>
        <v/>
      </c>
      <c r="Y1798" s="586" t="str">
        <f t="shared" si="431"/>
        <v/>
      </c>
      <c r="Z1798" s="586" t="str">
        <f t="shared" si="427"/>
        <v/>
      </c>
    </row>
    <row r="1799" spans="1:26" ht="12" hidden="1" thickBot="1" x14ac:dyDescent="0.25">
      <c r="A1799" s="567">
        <v>631000</v>
      </c>
      <c r="B1799" s="644">
        <v>631000</v>
      </c>
      <c r="C1799" s="645" t="s">
        <v>206</v>
      </c>
      <c r="D1799" s="422" t="s">
        <v>331</v>
      </c>
      <c r="E1799" s="423"/>
      <c r="F1799" s="424"/>
      <c r="G1799" s="425"/>
      <c r="H1799" s="651">
        <f t="shared" si="433"/>
        <v>0</v>
      </c>
      <c r="I1799" s="420">
        <v>47.43</v>
      </c>
      <c r="J1799" s="420">
        <f t="shared" si="437"/>
        <v>47.43</v>
      </c>
      <c r="K1799" s="421">
        <f t="shared" si="434"/>
        <v>56.35</v>
      </c>
      <c r="L1799" s="647" t="s">
        <v>19</v>
      </c>
      <c r="M1799" s="576"/>
      <c r="N1799" s="576">
        <f t="shared" si="429"/>
        <v>0</v>
      </c>
      <c r="O1799" s="577">
        <f t="shared" si="438"/>
        <v>0</v>
      </c>
      <c r="P1799" s="578">
        <f t="shared" si="439"/>
        <v>0</v>
      </c>
      <c r="Q1799" s="765"/>
      <c r="R1799" s="576">
        <f t="shared" si="432"/>
        <v>0</v>
      </c>
      <c r="S1799" s="576">
        <f t="shared" si="432"/>
        <v>0</v>
      </c>
      <c r="T1799" s="577">
        <f t="shared" si="435"/>
        <v>0</v>
      </c>
      <c r="U1799" s="578">
        <f t="shared" si="436"/>
        <v>0</v>
      </c>
      <c r="V1799" s="579"/>
      <c r="W1799" s="566"/>
      <c r="X1799" s="586" t="str">
        <f t="shared" si="440"/>
        <v/>
      </c>
      <c r="Y1799" s="586" t="str">
        <f t="shared" si="431"/>
        <v/>
      </c>
      <c r="Z1799" s="586" t="str">
        <f t="shared" si="427"/>
        <v/>
      </c>
    </row>
    <row r="1800" spans="1:26" ht="12" hidden="1" thickBot="1" x14ac:dyDescent="0.25">
      <c r="A1800" s="567">
        <v>631200</v>
      </c>
      <c r="B1800" s="644">
        <v>631200</v>
      </c>
      <c r="C1800" s="645" t="s">
        <v>206</v>
      </c>
      <c r="D1800" s="422" t="s">
        <v>332</v>
      </c>
      <c r="E1800" s="423"/>
      <c r="F1800" s="424"/>
      <c r="G1800" s="425"/>
      <c r="H1800" s="651">
        <f t="shared" si="433"/>
        <v>0</v>
      </c>
      <c r="I1800" s="420">
        <v>56.92</v>
      </c>
      <c r="J1800" s="420">
        <f t="shared" si="437"/>
        <v>56.92</v>
      </c>
      <c r="K1800" s="421">
        <f t="shared" si="434"/>
        <v>67.63</v>
      </c>
      <c r="L1800" s="647" t="s">
        <v>19</v>
      </c>
      <c r="M1800" s="576"/>
      <c r="N1800" s="576">
        <f t="shared" si="429"/>
        <v>0</v>
      </c>
      <c r="O1800" s="577">
        <f t="shared" si="438"/>
        <v>0</v>
      </c>
      <c r="P1800" s="578">
        <f t="shared" si="439"/>
        <v>0</v>
      </c>
      <c r="Q1800" s="765"/>
      <c r="R1800" s="576">
        <f t="shared" si="432"/>
        <v>0</v>
      </c>
      <c r="S1800" s="576">
        <f t="shared" si="432"/>
        <v>0</v>
      </c>
      <c r="T1800" s="577">
        <f t="shared" si="435"/>
        <v>0</v>
      </c>
      <c r="U1800" s="578">
        <f t="shared" si="436"/>
        <v>0</v>
      </c>
      <c r="V1800" s="579"/>
      <c r="W1800" s="566"/>
      <c r="X1800" s="586" t="str">
        <f t="shared" si="440"/>
        <v/>
      </c>
      <c r="Y1800" s="586" t="str">
        <f t="shared" si="431"/>
        <v/>
      </c>
      <c r="Z1800" s="586" t="str">
        <f t="shared" si="427"/>
        <v/>
      </c>
    </row>
    <row r="1801" spans="1:26" ht="12" hidden="1" thickBot="1" x14ac:dyDescent="0.25">
      <c r="A1801" s="567">
        <v>631500</v>
      </c>
      <c r="B1801" s="644">
        <v>631500</v>
      </c>
      <c r="C1801" s="645" t="s">
        <v>206</v>
      </c>
      <c r="D1801" s="422" t="s">
        <v>333</v>
      </c>
      <c r="E1801" s="423"/>
      <c r="F1801" s="424"/>
      <c r="G1801" s="425"/>
      <c r="H1801" s="651">
        <f t="shared" si="433"/>
        <v>0</v>
      </c>
      <c r="I1801" s="420">
        <v>71.150000000000006</v>
      </c>
      <c r="J1801" s="420">
        <f t="shared" si="437"/>
        <v>71.150000000000006</v>
      </c>
      <c r="K1801" s="421">
        <f t="shared" si="434"/>
        <v>84.53</v>
      </c>
      <c r="L1801" s="647" t="s">
        <v>19</v>
      </c>
      <c r="M1801" s="576"/>
      <c r="N1801" s="576">
        <f t="shared" si="429"/>
        <v>0</v>
      </c>
      <c r="O1801" s="577">
        <f t="shared" si="438"/>
        <v>0</v>
      </c>
      <c r="P1801" s="578">
        <f t="shared" si="439"/>
        <v>0</v>
      </c>
      <c r="Q1801" s="765"/>
      <c r="R1801" s="576">
        <f t="shared" si="432"/>
        <v>0</v>
      </c>
      <c r="S1801" s="576">
        <f t="shared" si="432"/>
        <v>0</v>
      </c>
      <c r="T1801" s="577">
        <f t="shared" si="435"/>
        <v>0</v>
      </c>
      <c r="U1801" s="578">
        <f t="shared" si="436"/>
        <v>0</v>
      </c>
      <c r="V1801" s="579"/>
      <c r="W1801" s="566"/>
      <c r="X1801" s="586" t="str">
        <f t="shared" si="440"/>
        <v/>
      </c>
      <c r="Y1801" s="586" t="str">
        <f t="shared" si="431"/>
        <v/>
      </c>
      <c r="Z1801" s="586" t="str">
        <f t="shared" si="427"/>
        <v/>
      </c>
    </row>
    <row r="1802" spans="1:26" ht="12" hidden="1" thickBot="1" x14ac:dyDescent="0.25">
      <c r="A1802" s="567">
        <v>860200</v>
      </c>
      <c r="B1802" s="644">
        <v>860200</v>
      </c>
      <c r="C1802" s="645" t="s">
        <v>206</v>
      </c>
      <c r="D1802" s="422" t="s">
        <v>1502</v>
      </c>
      <c r="E1802" s="423"/>
      <c r="F1802" s="424"/>
      <c r="G1802" s="425"/>
      <c r="H1802" s="651">
        <f>SUM(H1803:H1804)</f>
        <v>23.508294000000003</v>
      </c>
      <c r="I1802" s="420">
        <v>744.48</v>
      </c>
      <c r="J1802" s="420">
        <f>IF(ISBLANK(I1802),"",SUM(H1802:I1802))</f>
        <v>767.988294</v>
      </c>
      <c r="K1802" s="421">
        <f t="shared" si="434"/>
        <v>912.45</v>
      </c>
      <c r="L1802" s="647" t="s">
        <v>16</v>
      </c>
      <c r="M1802" s="576"/>
      <c r="N1802" s="576">
        <f t="shared" si="429"/>
        <v>0</v>
      </c>
      <c r="O1802" s="577">
        <f t="shared" si="438"/>
        <v>0</v>
      </c>
      <c r="P1802" s="578">
        <f t="shared" si="439"/>
        <v>0</v>
      </c>
      <c r="Q1802" s="765"/>
      <c r="R1802" s="576">
        <f t="shared" si="432"/>
        <v>0</v>
      </c>
      <c r="S1802" s="576">
        <f t="shared" si="432"/>
        <v>0</v>
      </c>
      <c r="T1802" s="577">
        <f t="shared" si="435"/>
        <v>0</v>
      </c>
      <c r="U1802" s="578">
        <f t="shared" si="436"/>
        <v>0</v>
      </c>
      <c r="V1802" s="579"/>
      <c r="W1802" s="566"/>
      <c r="X1802" s="586" t="str">
        <f t="shared" si="440"/>
        <v/>
      </c>
      <c r="Y1802" s="586" t="str">
        <f t="shared" si="431"/>
        <v/>
      </c>
      <c r="Z1802" s="586" t="str">
        <f t="shared" si="427"/>
        <v/>
      </c>
    </row>
    <row r="1803" spans="1:26" ht="12" hidden="1" thickBot="1" x14ac:dyDescent="0.25">
      <c r="A1803" s="567" t="s">
        <v>168</v>
      </c>
      <c r="B1803" s="644" t="s">
        <v>168</v>
      </c>
      <c r="C1803" s="645"/>
      <c r="D1803" s="451" t="s">
        <v>1503</v>
      </c>
      <c r="E1803" s="423"/>
      <c r="F1803" s="424">
        <v>10</v>
      </c>
      <c r="G1803" s="425">
        <v>1.7250000000000001</v>
      </c>
      <c r="H1803" s="663">
        <f t="shared" ref="H1803:H1822" si="441">IF(F1803&lt;=30,(1.07*F1803+2.68)*G1803,((1.07*30+2.68)+1.07*(F1803-30))*G1803)</f>
        <v>23.080500000000004</v>
      </c>
      <c r="I1803" s="420"/>
      <c r="J1803" s="420"/>
      <c r="K1803" s="421">
        <f t="shared" si="434"/>
        <v>0</v>
      </c>
      <c r="L1803" s="668" t="s">
        <v>614</v>
      </c>
      <c r="M1803" s="669"/>
      <c r="N1803" s="576">
        <f t="shared" si="429"/>
        <v>0</v>
      </c>
      <c r="O1803" s="577">
        <f t="shared" si="438"/>
        <v>0</v>
      </c>
      <c r="P1803" s="578">
        <f t="shared" si="439"/>
        <v>0</v>
      </c>
      <c r="Q1803" s="765"/>
      <c r="R1803" s="669"/>
      <c r="S1803" s="670"/>
      <c r="T1803" s="577">
        <f t="shared" si="435"/>
        <v>0</v>
      </c>
      <c r="U1803" s="578">
        <f t="shared" si="436"/>
        <v>0</v>
      </c>
      <c r="V1803" s="579"/>
      <c r="W1803" s="637" t="str">
        <f>IF(U1802&gt;0,"xx",IF(P1802&gt;0,"xy",""))</f>
        <v/>
      </c>
      <c r="X1803" s="586" t="str">
        <f t="shared" si="440"/>
        <v/>
      </c>
      <c r="Y1803" s="586" t="str">
        <f t="shared" si="431"/>
        <v/>
      </c>
      <c r="Z1803" s="586" t="str">
        <f t="shared" si="427"/>
        <v/>
      </c>
    </row>
    <row r="1804" spans="1:26" ht="12" hidden="1" thickBot="1" x14ac:dyDescent="0.25">
      <c r="A1804" s="567" t="s">
        <v>168</v>
      </c>
      <c r="B1804" s="644" t="s">
        <v>168</v>
      </c>
      <c r="C1804" s="645"/>
      <c r="D1804" s="451" t="s">
        <v>334</v>
      </c>
      <c r="E1804" s="423"/>
      <c r="F1804" s="424">
        <v>30</v>
      </c>
      <c r="G1804" s="425">
        <v>1.23E-2</v>
      </c>
      <c r="H1804" s="663">
        <f t="shared" si="441"/>
        <v>0.42779400000000001</v>
      </c>
      <c r="I1804" s="420"/>
      <c r="J1804" s="420"/>
      <c r="K1804" s="421">
        <f t="shared" si="434"/>
        <v>0</v>
      </c>
      <c r="L1804" s="668" t="s">
        <v>614</v>
      </c>
      <c r="M1804" s="669"/>
      <c r="N1804" s="576">
        <f t="shared" si="429"/>
        <v>0</v>
      </c>
      <c r="O1804" s="577">
        <f t="shared" si="438"/>
        <v>0</v>
      </c>
      <c r="P1804" s="578">
        <f t="shared" si="439"/>
        <v>0</v>
      </c>
      <c r="Q1804" s="765"/>
      <c r="R1804" s="669"/>
      <c r="S1804" s="670"/>
      <c r="T1804" s="577">
        <f t="shared" si="435"/>
        <v>0</v>
      </c>
      <c r="U1804" s="578">
        <f t="shared" si="436"/>
        <v>0</v>
      </c>
      <c r="V1804" s="579"/>
      <c r="W1804" s="637" t="str">
        <f>IF(U1802&gt;0,"xx",IF(P1802&gt;0,"xy",""))</f>
        <v/>
      </c>
      <c r="X1804" s="586" t="str">
        <f t="shared" si="440"/>
        <v/>
      </c>
      <c r="Y1804" s="586" t="str">
        <f t="shared" si="431"/>
        <v/>
      </c>
      <c r="Z1804" s="586" t="str">
        <f t="shared" si="427"/>
        <v/>
      </c>
    </row>
    <row r="1805" spans="1:26" ht="12" hidden="1" thickBot="1" x14ac:dyDescent="0.25">
      <c r="A1805" s="567">
        <v>860100</v>
      </c>
      <c r="B1805" s="644">
        <v>860100</v>
      </c>
      <c r="C1805" s="645" t="s">
        <v>206</v>
      </c>
      <c r="D1805" s="422" t="s">
        <v>1504</v>
      </c>
      <c r="E1805" s="423"/>
      <c r="F1805" s="424"/>
      <c r="G1805" s="425"/>
      <c r="H1805" s="651">
        <f>SUM(H1806:H1807)</f>
        <v>23.529162000000003</v>
      </c>
      <c r="I1805" s="420">
        <v>700.8900000000001</v>
      </c>
      <c r="J1805" s="420">
        <f>IF(ISBLANK(I1805),"",SUM(H1805:I1805))</f>
        <v>724.41916200000014</v>
      </c>
      <c r="K1805" s="421">
        <f t="shared" si="434"/>
        <v>860.68</v>
      </c>
      <c r="L1805" s="647" t="s">
        <v>16</v>
      </c>
      <c r="M1805" s="576"/>
      <c r="N1805" s="576">
        <f t="shared" si="429"/>
        <v>0</v>
      </c>
      <c r="O1805" s="577">
        <f t="shared" si="438"/>
        <v>0</v>
      </c>
      <c r="P1805" s="578">
        <f t="shared" si="439"/>
        <v>0</v>
      </c>
      <c r="Q1805" s="765"/>
      <c r="R1805" s="576">
        <f t="shared" si="432"/>
        <v>0</v>
      </c>
      <c r="S1805" s="576">
        <f>N1805</f>
        <v>0</v>
      </c>
      <c r="T1805" s="577">
        <f t="shared" si="435"/>
        <v>0</v>
      </c>
      <c r="U1805" s="578">
        <f t="shared" si="436"/>
        <v>0</v>
      </c>
      <c r="V1805" s="579"/>
      <c r="W1805" s="566"/>
      <c r="X1805" s="586" t="str">
        <f t="shared" si="440"/>
        <v/>
      </c>
      <c r="Y1805" s="586" t="str">
        <f t="shared" si="431"/>
        <v/>
      </c>
      <c r="Z1805" s="586" t="str">
        <f t="shared" si="427"/>
        <v/>
      </c>
    </row>
    <row r="1806" spans="1:26" ht="12" hidden="1" thickBot="1" x14ac:dyDescent="0.25">
      <c r="A1806" s="567" t="s">
        <v>168</v>
      </c>
      <c r="B1806" s="644" t="s">
        <v>168</v>
      </c>
      <c r="C1806" s="645"/>
      <c r="D1806" s="451" t="s">
        <v>1503</v>
      </c>
      <c r="E1806" s="423"/>
      <c r="F1806" s="424">
        <v>10</v>
      </c>
      <c r="G1806" s="425">
        <v>1.7250000000000001</v>
      </c>
      <c r="H1806" s="663">
        <f t="shared" si="441"/>
        <v>23.080500000000004</v>
      </c>
      <c r="I1806" s="420"/>
      <c r="J1806" s="420"/>
      <c r="K1806" s="421">
        <f t="shared" si="434"/>
        <v>0</v>
      </c>
      <c r="L1806" s="668" t="s">
        <v>614</v>
      </c>
      <c r="M1806" s="669"/>
      <c r="N1806" s="576">
        <f t="shared" si="429"/>
        <v>0</v>
      </c>
      <c r="O1806" s="577">
        <f t="shared" si="438"/>
        <v>0</v>
      </c>
      <c r="P1806" s="578">
        <f t="shared" si="439"/>
        <v>0</v>
      </c>
      <c r="Q1806" s="765"/>
      <c r="R1806" s="669"/>
      <c r="S1806" s="670"/>
      <c r="T1806" s="577">
        <f t="shared" si="435"/>
        <v>0</v>
      </c>
      <c r="U1806" s="578">
        <f t="shared" si="436"/>
        <v>0</v>
      </c>
      <c r="V1806" s="579"/>
      <c r="W1806" s="637" t="str">
        <f>IF(U1805&gt;0,"xx",IF(P1805&gt;0,"xy",""))</f>
        <v/>
      </c>
      <c r="X1806" s="586" t="str">
        <f t="shared" si="440"/>
        <v/>
      </c>
      <c r="Y1806" s="586" t="str">
        <f t="shared" si="431"/>
        <v/>
      </c>
      <c r="Z1806" s="586" t="str">
        <f t="shared" si="427"/>
        <v/>
      </c>
    </row>
    <row r="1807" spans="1:26" ht="12" hidden="1" thickBot="1" x14ac:dyDescent="0.25">
      <c r="A1807" s="567" t="s">
        <v>168</v>
      </c>
      <c r="B1807" s="644" t="s">
        <v>168</v>
      </c>
      <c r="C1807" s="645"/>
      <c r="D1807" s="451" t="s">
        <v>334</v>
      </c>
      <c r="E1807" s="423"/>
      <c r="F1807" s="424">
        <v>30</v>
      </c>
      <c r="G1807" s="425">
        <v>1.29E-2</v>
      </c>
      <c r="H1807" s="663">
        <f t="shared" si="441"/>
        <v>0.44866200000000001</v>
      </c>
      <c r="I1807" s="420"/>
      <c r="J1807" s="420"/>
      <c r="K1807" s="421">
        <f t="shared" si="434"/>
        <v>0</v>
      </c>
      <c r="L1807" s="668" t="s">
        <v>614</v>
      </c>
      <c r="M1807" s="669"/>
      <c r="N1807" s="576">
        <f t="shared" si="429"/>
        <v>0</v>
      </c>
      <c r="O1807" s="577">
        <f t="shared" si="438"/>
        <v>0</v>
      </c>
      <c r="P1807" s="578">
        <f t="shared" si="439"/>
        <v>0</v>
      </c>
      <c r="Q1807" s="765"/>
      <c r="R1807" s="669"/>
      <c r="S1807" s="670"/>
      <c r="T1807" s="577">
        <f t="shared" si="435"/>
        <v>0</v>
      </c>
      <c r="U1807" s="578">
        <f t="shared" si="436"/>
        <v>0</v>
      </c>
      <c r="V1807" s="579"/>
      <c r="W1807" s="637" t="str">
        <f>IF(U1805&gt;0,"xx",IF(P1805&gt;0,"xy",""))</f>
        <v/>
      </c>
      <c r="X1807" s="586" t="str">
        <f t="shared" si="440"/>
        <v/>
      </c>
      <c r="Y1807" s="586" t="str">
        <f t="shared" si="431"/>
        <v/>
      </c>
      <c r="Z1807" s="586" t="str">
        <f t="shared" si="427"/>
        <v/>
      </c>
    </row>
    <row r="1808" spans="1:26" ht="12" hidden="1" thickBot="1" x14ac:dyDescent="0.25">
      <c r="A1808" s="567">
        <v>860150</v>
      </c>
      <c r="B1808" s="644">
        <v>860150</v>
      </c>
      <c r="C1808" s="645" t="s">
        <v>206</v>
      </c>
      <c r="D1808" s="422" t="s">
        <v>1505</v>
      </c>
      <c r="E1808" s="423"/>
      <c r="F1808" s="424"/>
      <c r="G1808" s="425"/>
      <c r="H1808" s="651">
        <f>SUM(H1809:H1810)</f>
        <v>23.376130000000003</v>
      </c>
      <c r="I1808" s="420">
        <v>669.31</v>
      </c>
      <c r="J1808" s="420">
        <f>IF(ISBLANK(I1808),"",SUM(H1808:I1808))</f>
        <v>692.68612999999993</v>
      </c>
      <c r="K1808" s="421">
        <f t="shared" si="434"/>
        <v>822.98</v>
      </c>
      <c r="L1808" s="647" t="s">
        <v>16</v>
      </c>
      <c r="M1808" s="576"/>
      <c r="N1808" s="576">
        <f t="shared" si="429"/>
        <v>0</v>
      </c>
      <c r="O1808" s="577">
        <f t="shared" si="438"/>
        <v>0</v>
      </c>
      <c r="P1808" s="578">
        <f t="shared" si="439"/>
        <v>0</v>
      </c>
      <c r="Q1808" s="765"/>
      <c r="R1808" s="576">
        <f t="shared" si="432"/>
        <v>0</v>
      </c>
      <c r="S1808" s="576">
        <f>N1808</f>
        <v>0</v>
      </c>
      <c r="T1808" s="577">
        <f t="shared" si="435"/>
        <v>0</v>
      </c>
      <c r="U1808" s="578">
        <f t="shared" si="436"/>
        <v>0</v>
      </c>
      <c r="V1808" s="579"/>
      <c r="W1808" s="566"/>
      <c r="X1808" s="586" t="str">
        <f t="shared" si="440"/>
        <v/>
      </c>
      <c r="Y1808" s="586" t="str">
        <f t="shared" si="431"/>
        <v/>
      </c>
      <c r="Z1808" s="586" t="str">
        <f t="shared" si="427"/>
        <v/>
      </c>
    </row>
    <row r="1809" spans="1:26" ht="12" hidden="1" thickBot="1" x14ac:dyDescent="0.25">
      <c r="A1809" s="567" t="s">
        <v>168</v>
      </c>
      <c r="B1809" s="644" t="s">
        <v>168</v>
      </c>
      <c r="C1809" s="645"/>
      <c r="D1809" s="451" t="s">
        <v>1503</v>
      </c>
      <c r="E1809" s="423"/>
      <c r="F1809" s="424">
        <v>10</v>
      </c>
      <c r="G1809" s="425">
        <v>1.7250000000000001</v>
      </c>
      <c r="H1809" s="663">
        <f t="shared" si="441"/>
        <v>23.080500000000004</v>
      </c>
      <c r="I1809" s="420"/>
      <c r="J1809" s="420"/>
      <c r="K1809" s="421">
        <f t="shared" si="434"/>
        <v>0</v>
      </c>
      <c r="L1809" s="668" t="s">
        <v>614</v>
      </c>
      <c r="M1809" s="669"/>
      <c r="N1809" s="576">
        <f t="shared" si="429"/>
        <v>0</v>
      </c>
      <c r="O1809" s="577">
        <f t="shared" si="438"/>
        <v>0</v>
      </c>
      <c r="P1809" s="578">
        <f t="shared" si="439"/>
        <v>0</v>
      </c>
      <c r="Q1809" s="765"/>
      <c r="R1809" s="669"/>
      <c r="S1809" s="670"/>
      <c r="T1809" s="577">
        <f t="shared" si="435"/>
        <v>0</v>
      </c>
      <c r="U1809" s="578">
        <f t="shared" si="436"/>
        <v>0</v>
      </c>
      <c r="V1809" s="579"/>
      <c r="W1809" s="637" t="str">
        <f>IF(U1808&gt;0,"xx",IF(P1808&gt;0,"xy",""))</f>
        <v/>
      </c>
      <c r="X1809" s="586" t="str">
        <f t="shared" si="440"/>
        <v/>
      </c>
      <c r="Y1809" s="586" t="str">
        <f t="shared" si="431"/>
        <v/>
      </c>
      <c r="Z1809" s="586" t="str">
        <f t="shared" si="427"/>
        <v/>
      </c>
    </row>
    <row r="1810" spans="1:26" ht="12" hidden="1" thickBot="1" x14ac:dyDescent="0.25">
      <c r="A1810" s="567" t="s">
        <v>168</v>
      </c>
      <c r="B1810" s="644" t="s">
        <v>168</v>
      </c>
      <c r="C1810" s="645"/>
      <c r="D1810" s="451" t="s">
        <v>334</v>
      </c>
      <c r="E1810" s="423"/>
      <c r="F1810" s="424">
        <v>30</v>
      </c>
      <c r="G1810" s="425">
        <v>8.5000000000000006E-3</v>
      </c>
      <c r="H1810" s="663">
        <f t="shared" si="441"/>
        <v>0.29563</v>
      </c>
      <c r="I1810" s="420"/>
      <c r="J1810" s="420"/>
      <c r="K1810" s="421">
        <f t="shared" si="434"/>
        <v>0</v>
      </c>
      <c r="L1810" s="668" t="s">
        <v>614</v>
      </c>
      <c r="M1810" s="669"/>
      <c r="N1810" s="576">
        <f t="shared" si="429"/>
        <v>0</v>
      </c>
      <c r="O1810" s="577">
        <f t="shared" si="438"/>
        <v>0</v>
      </c>
      <c r="P1810" s="578">
        <f t="shared" si="439"/>
        <v>0</v>
      </c>
      <c r="Q1810" s="765"/>
      <c r="R1810" s="669"/>
      <c r="S1810" s="670"/>
      <c r="T1810" s="577">
        <f t="shared" si="435"/>
        <v>0</v>
      </c>
      <c r="U1810" s="578">
        <f t="shared" si="436"/>
        <v>0</v>
      </c>
      <c r="V1810" s="579"/>
      <c r="W1810" s="637" t="str">
        <f>IF(U1808&gt;0,"xx",IF(P1808&gt;0,"xy",""))</f>
        <v/>
      </c>
      <c r="X1810" s="586" t="str">
        <f t="shared" si="440"/>
        <v/>
      </c>
      <c r="Y1810" s="586" t="str">
        <f t="shared" si="431"/>
        <v/>
      </c>
      <c r="Z1810" s="586" t="str">
        <f t="shared" si="427"/>
        <v/>
      </c>
    </row>
    <row r="1811" spans="1:26" ht="12" hidden="1" thickBot="1" x14ac:dyDescent="0.25">
      <c r="A1811" s="567">
        <v>860000</v>
      </c>
      <c r="B1811" s="644">
        <v>860000</v>
      </c>
      <c r="C1811" s="645" t="s">
        <v>206</v>
      </c>
      <c r="D1811" s="422" t="s">
        <v>1506</v>
      </c>
      <c r="E1811" s="423"/>
      <c r="F1811" s="424"/>
      <c r="G1811" s="425"/>
      <c r="H1811" s="651">
        <f>SUM(H1812:H1813)</f>
        <v>23.396998000000004</v>
      </c>
      <c r="I1811" s="420">
        <v>666.58999999999992</v>
      </c>
      <c r="J1811" s="420">
        <f>IF(ISBLANK(I1811),"",SUM(H1811:I1811))</f>
        <v>689.98699799999997</v>
      </c>
      <c r="K1811" s="421">
        <f t="shared" si="434"/>
        <v>819.77</v>
      </c>
      <c r="L1811" s="647" t="s">
        <v>16</v>
      </c>
      <c r="M1811" s="576"/>
      <c r="N1811" s="576">
        <f t="shared" si="429"/>
        <v>0</v>
      </c>
      <c r="O1811" s="577">
        <f t="shared" si="438"/>
        <v>0</v>
      </c>
      <c r="P1811" s="578">
        <f t="shared" si="439"/>
        <v>0</v>
      </c>
      <c r="Q1811" s="765"/>
      <c r="R1811" s="576">
        <f t="shared" si="432"/>
        <v>0</v>
      </c>
      <c r="S1811" s="576">
        <f>N1811</f>
        <v>0</v>
      </c>
      <c r="T1811" s="577">
        <f t="shared" si="435"/>
        <v>0</v>
      </c>
      <c r="U1811" s="578">
        <f t="shared" si="436"/>
        <v>0</v>
      </c>
      <c r="V1811" s="579"/>
      <c r="W1811" s="566"/>
      <c r="X1811" s="586" t="str">
        <f t="shared" si="440"/>
        <v/>
      </c>
      <c r="Y1811" s="586" t="str">
        <f t="shared" si="431"/>
        <v/>
      </c>
      <c r="Z1811" s="586" t="str">
        <f t="shared" ref="Z1811:Z1823" si="442">IF(W1811="X","x",IF(U1811&gt;0,"x",""))</f>
        <v/>
      </c>
    </row>
    <row r="1812" spans="1:26" ht="12" hidden="1" thickBot="1" x14ac:dyDescent="0.25">
      <c r="A1812" s="567" t="s">
        <v>168</v>
      </c>
      <c r="B1812" s="644" t="s">
        <v>168</v>
      </c>
      <c r="C1812" s="645"/>
      <c r="D1812" s="451" t="s">
        <v>1503</v>
      </c>
      <c r="E1812" s="423"/>
      <c r="F1812" s="424">
        <v>10</v>
      </c>
      <c r="G1812" s="425">
        <v>1.7250000000000001</v>
      </c>
      <c r="H1812" s="663">
        <f t="shared" si="441"/>
        <v>23.080500000000004</v>
      </c>
      <c r="I1812" s="420"/>
      <c r="J1812" s="420"/>
      <c r="K1812" s="421">
        <f t="shared" si="434"/>
        <v>0</v>
      </c>
      <c r="L1812" s="668" t="s">
        <v>614</v>
      </c>
      <c r="M1812" s="669"/>
      <c r="N1812" s="576">
        <f t="shared" ref="N1812:N1875" si="443">IF(M1812=0,0,K1812)</f>
        <v>0</v>
      </c>
      <c r="O1812" s="577">
        <f t="shared" si="438"/>
        <v>0</v>
      </c>
      <c r="P1812" s="578">
        <f t="shared" si="439"/>
        <v>0</v>
      </c>
      <c r="Q1812" s="765"/>
      <c r="R1812" s="669"/>
      <c r="S1812" s="670"/>
      <c r="T1812" s="577">
        <f t="shared" si="435"/>
        <v>0</v>
      </c>
      <c r="U1812" s="578">
        <f t="shared" si="436"/>
        <v>0</v>
      </c>
      <c r="V1812" s="579"/>
      <c r="W1812" s="637" t="str">
        <f>IF(U1811&gt;0,"xx",IF(P1811&gt;0,"xy",""))</f>
        <v/>
      </c>
      <c r="X1812" s="586" t="str">
        <f t="shared" si="440"/>
        <v/>
      </c>
      <c r="Y1812" s="586" t="str">
        <f t="shared" si="431"/>
        <v/>
      </c>
      <c r="Z1812" s="586" t="str">
        <f t="shared" si="442"/>
        <v/>
      </c>
    </row>
    <row r="1813" spans="1:26" ht="12" hidden="1" thickBot="1" x14ac:dyDescent="0.25">
      <c r="A1813" s="567" t="s">
        <v>168</v>
      </c>
      <c r="B1813" s="644" t="s">
        <v>168</v>
      </c>
      <c r="C1813" s="645"/>
      <c r="D1813" s="451" t="s">
        <v>334</v>
      </c>
      <c r="E1813" s="423"/>
      <c r="F1813" s="424">
        <v>30</v>
      </c>
      <c r="G1813" s="425">
        <v>9.1000000000000004E-3</v>
      </c>
      <c r="H1813" s="663">
        <f t="shared" si="441"/>
        <v>0.316498</v>
      </c>
      <c r="I1813" s="420"/>
      <c r="J1813" s="420"/>
      <c r="K1813" s="421">
        <f t="shared" si="434"/>
        <v>0</v>
      </c>
      <c r="L1813" s="668" t="s">
        <v>614</v>
      </c>
      <c r="M1813" s="669"/>
      <c r="N1813" s="576">
        <f t="shared" si="443"/>
        <v>0</v>
      </c>
      <c r="O1813" s="577">
        <f t="shared" si="438"/>
        <v>0</v>
      </c>
      <c r="P1813" s="578">
        <f t="shared" si="439"/>
        <v>0</v>
      </c>
      <c r="Q1813" s="765"/>
      <c r="R1813" s="669"/>
      <c r="S1813" s="670"/>
      <c r="T1813" s="577">
        <f t="shared" si="435"/>
        <v>0</v>
      </c>
      <c r="U1813" s="578">
        <f t="shared" si="436"/>
        <v>0</v>
      </c>
      <c r="V1813" s="579"/>
      <c r="W1813" s="637" t="str">
        <f>IF(U1811&gt;0,"xx",IF(P1811&gt;0,"xy",""))</f>
        <v/>
      </c>
      <c r="X1813" s="586" t="str">
        <f t="shared" si="440"/>
        <v/>
      </c>
      <c r="Y1813" s="586" t="str">
        <f t="shared" si="431"/>
        <v/>
      </c>
      <c r="Z1813" s="586" t="str">
        <f t="shared" si="442"/>
        <v/>
      </c>
    </row>
    <row r="1814" spans="1:26" ht="12" hidden="1" thickBot="1" x14ac:dyDescent="0.25">
      <c r="A1814" s="567">
        <v>860017</v>
      </c>
      <c r="B1814" s="644">
        <v>860017</v>
      </c>
      <c r="C1814" s="645" t="s">
        <v>206</v>
      </c>
      <c r="D1814" s="422" t="s">
        <v>1507</v>
      </c>
      <c r="E1814" s="423"/>
      <c r="F1814" s="424"/>
      <c r="G1814" s="425"/>
      <c r="H1814" s="651">
        <f>SUM(H1815:H1816)</f>
        <v>4.1357300000000006</v>
      </c>
      <c r="I1814" s="420">
        <v>214.35000000000002</v>
      </c>
      <c r="J1814" s="420">
        <f>IF(ISBLANK(I1814),"",SUM(H1814:I1814))</f>
        <v>218.48573000000002</v>
      </c>
      <c r="K1814" s="421">
        <f t="shared" si="434"/>
        <v>259.58</v>
      </c>
      <c r="L1814" s="647" t="s">
        <v>16</v>
      </c>
      <c r="M1814" s="576"/>
      <c r="N1814" s="576">
        <f t="shared" si="443"/>
        <v>0</v>
      </c>
      <c r="O1814" s="577">
        <f t="shared" si="438"/>
        <v>0</v>
      </c>
      <c r="P1814" s="578">
        <f t="shared" si="439"/>
        <v>0</v>
      </c>
      <c r="Q1814" s="765"/>
      <c r="R1814" s="576">
        <f t="shared" si="432"/>
        <v>0</v>
      </c>
      <c r="S1814" s="576">
        <f>N1814</f>
        <v>0</v>
      </c>
      <c r="T1814" s="577">
        <f t="shared" si="435"/>
        <v>0</v>
      </c>
      <c r="U1814" s="578">
        <f t="shared" si="436"/>
        <v>0</v>
      </c>
      <c r="V1814" s="579"/>
      <c r="W1814" s="566"/>
      <c r="X1814" s="586" t="str">
        <f t="shared" si="440"/>
        <v/>
      </c>
      <c r="Y1814" s="586" t="str">
        <f t="shared" si="431"/>
        <v/>
      </c>
      <c r="Z1814" s="586" t="str">
        <f t="shared" si="442"/>
        <v/>
      </c>
    </row>
    <row r="1815" spans="1:26" ht="12" hidden="1" thickBot="1" x14ac:dyDescent="0.25">
      <c r="A1815" s="567" t="s">
        <v>168</v>
      </c>
      <c r="B1815" s="644" t="s">
        <v>168</v>
      </c>
      <c r="C1815" s="645"/>
      <c r="D1815" s="451" t="s">
        <v>1503</v>
      </c>
      <c r="E1815" s="423"/>
      <c r="F1815" s="424">
        <v>10</v>
      </c>
      <c r="G1815" s="425">
        <v>0.3</v>
      </c>
      <c r="H1815" s="663">
        <f t="shared" si="441"/>
        <v>4.0140000000000002</v>
      </c>
      <c r="I1815" s="420"/>
      <c r="J1815" s="420"/>
      <c r="K1815" s="421">
        <f t="shared" si="434"/>
        <v>0</v>
      </c>
      <c r="L1815" s="668" t="s">
        <v>614</v>
      </c>
      <c r="M1815" s="669"/>
      <c r="N1815" s="576">
        <f t="shared" si="443"/>
        <v>0</v>
      </c>
      <c r="O1815" s="577">
        <f t="shared" si="438"/>
        <v>0</v>
      </c>
      <c r="P1815" s="578">
        <f t="shared" si="439"/>
        <v>0</v>
      </c>
      <c r="Q1815" s="765"/>
      <c r="R1815" s="669"/>
      <c r="S1815" s="670"/>
      <c r="T1815" s="577">
        <f t="shared" si="435"/>
        <v>0</v>
      </c>
      <c r="U1815" s="578">
        <f t="shared" si="436"/>
        <v>0</v>
      </c>
      <c r="V1815" s="579"/>
      <c r="W1815" s="637" t="str">
        <f>IF(U1814&gt;0,"xx",IF(P1814&gt;0,"xy",""))</f>
        <v/>
      </c>
      <c r="X1815" s="586" t="str">
        <f t="shared" si="440"/>
        <v/>
      </c>
      <c r="Y1815" s="586" t="str">
        <f t="shared" si="431"/>
        <v/>
      </c>
      <c r="Z1815" s="586" t="str">
        <f t="shared" si="442"/>
        <v/>
      </c>
    </row>
    <row r="1816" spans="1:26" ht="12" hidden="1" thickBot="1" x14ac:dyDescent="0.25">
      <c r="A1816" s="567" t="s">
        <v>168</v>
      </c>
      <c r="B1816" s="644" t="s">
        <v>168</v>
      </c>
      <c r="C1816" s="645"/>
      <c r="D1816" s="451" t="s">
        <v>334</v>
      </c>
      <c r="E1816" s="423"/>
      <c r="F1816" s="424">
        <v>30</v>
      </c>
      <c r="G1816" s="425">
        <v>3.5000000000000001E-3</v>
      </c>
      <c r="H1816" s="663">
        <f t="shared" si="441"/>
        <v>0.12173</v>
      </c>
      <c r="I1816" s="420"/>
      <c r="J1816" s="420"/>
      <c r="K1816" s="421">
        <f t="shared" si="434"/>
        <v>0</v>
      </c>
      <c r="L1816" s="668" t="s">
        <v>614</v>
      </c>
      <c r="M1816" s="669"/>
      <c r="N1816" s="576">
        <f t="shared" si="443"/>
        <v>0</v>
      </c>
      <c r="O1816" s="577">
        <f t="shared" si="438"/>
        <v>0</v>
      </c>
      <c r="P1816" s="578">
        <f t="shared" si="439"/>
        <v>0</v>
      </c>
      <c r="Q1816" s="765"/>
      <c r="R1816" s="669"/>
      <c r="S1816" s="670"/>
      <c r="T1816" s="577">
        <f t="shared" si="435"/>
        <v>0</v>
      </c>
      <c r="U1816" s="578">
        <f t="shared" si="436"/>
        <v>0</v>
      </c>
      <c r="V1816" s="579"/>
      <c r="W1816" s="637" t="str">
        <f>IF(U1814&gt;0,"xx",IF(P1814&gt;0,"xy",""))</f>
        <v/>
      </c>
      <c r="X1816" s="586" t="str">
        <f t="shared" si="440"/>
        <v/>
      </c>
      <c r="Y1816" s="586" t="str">
        <f t="shared" si="431"/>
        <v/>
      </c>
      <c r="Z1816" s="586" t="str">
        <f t="shared" si="442"/>
        <v/>
      </c>
    </row>
    <row r="1817" spans="1:26" ht="12" hidden="1" thickBot="1" x14ac:dyDescent="0.25">
      <c r="A1817" s="567">
        <v>860023</v>
      </c>
      <c r="B1817" s="644">
        <v>860023</v>
      </c>
      <c r="C1817" s="645" t="s">
        <v>206</v>
      </c>
      <c r="D1817" s="422" t="s">
        <v>1508</v>
      </c>
      <c r="E1817" s="423"/>
      <c r="F1817" s="424"/>
      <c r="G1817" s="425"/>
      <c r="H1817" s="651">
        <f>SUM(H1818:H1819)</f>
        <v>7.0702259999999999</v>
      </c>
      <c r="I1817" s="420">
        <v>240.56</v>
      </c>
      <c r="J1817" s="420">
        <f>IF(ISBLANK(I1817),"",SUM(H1817:I1817))</f>
        <v>247.63022599999999</v>
      </c>
      <c r="K1817" s="421">
        <f t="shared" si="434"/>
        <v>294.20999999999998</v>
      </c>
      <c r="L1817" s="647" t="s">
        <v>16</v>
      </c>
      <c r="M1817" s="576"/>
      <c r="N1817" s="576">
        <f t="shared" si="443"/>
        <v>0</v>
      </c>
      <c r="O1817" s="577">
        <f t="shared" si="438"/>
        <v>0</v>
      </c>
      <c r="P1817" s="578">
        <f t="shared" si="439"/>
        <v>0</v>
      </c>
      <c r="Q1817" s="765"/>
      <c r="R1817" s="576">
        <f t="shared" si="432"/>
        <v>0</v>
      </c>
      <c r="S1817" s="576">
        <f>N1817</f>
        <v>0</v>
      </c>
      <c r="T1817" s="577">
        <f t="shared" si="435"/>
        <v>0</v>
      </c>
      <c r="U1817" s="578">
        <f t="shared" si="436"/>
        <v>0</v>
      </c>
      <c r="V1817" s="579"/>
      <c r="W1817" s="566"/>
      <c r="X1817" s="586" t="str">
        <f t="shared" si="440"/>
        <v/>
      </c>
      <c r="Y1817" s="586" t="str">
        <f t="shared" si="431"/>
        <v/>
      </c>
      <c r="Z1817" s="586" t="str">
        <f t="shared" si="442"/>
        <v/>
      </c>
    </row>
    <row r="1818" spans="1:26" ht="12" hidden="1" thickBot="1" x14ac:dyDescent="0.25">
      <c r="A1818" s="567" t="s">
        <v>168</v>
      </c>
      <c r="B1818" s="644" t="s">
        <v>168</v>
      </c>
      <c r="C1818" s="645"/>
      <c r="D1818" s="451" t="s">
        <v>1503</v>
      </c>
      <c r="E1818" s="423"/>
      <c r="F1818" s="424">
        <v>10</v>
      </c>
      <c r="G1818" s="425">
        <v>0.51749999999999996</v>
      </c>
      <c r="H1818" s="663">
        <f t="shared" si="441"/>
        <v>6.92415</v>
      </c>
      <c r="I1818" s="420"/>
      <c r="J1818" s="420"/>
      <c r="K1818" s="421">
        <f t="shared" si="434"/>
        <v>0</v>
      </c>
      <c r="L1818" s="668" t="s">
        <v>614</v>
      </c>
      <c r="M1818" s="669"/>
      <c r="N1818" s="576">
        <f t="shared" si="443"/>
        <v>0</v>
      </c>
      <c r="O1818" s="577">
        <f t="shared" si="438"/>
        <v>0</v>
      </c>
      <c r="P1818" s="578">
        <f t="shared" si="439"/>
        <v>0</v>
      </c>
      <c r="Q1818" s="765"/>
      <c r="R1818" s="669"/>
      <c r="S1818" s="670"/>
      <c r="T1818" s="577">
        <f t="shared" si="435"/>
        <v>0</v>
      </c>
      <c r="U1818" s="578">
        <f t="shared" si="436"/>
        <v>0</v>
      </c>
      <c r="V1818" s="579"/>
      <c r="W1818" s="637" t="str">
        <f>IF(U1817&gt;0,"xx",IF(P1817&gt;0,"xy",""))</f>
        <v/>
      </c>
      <c r="X1818" s="586" t="str">
        <f t="shared" si="440"/>
        <v/>
      </c>
      <c r="Y1818" s="586" t="str">
        <f t="shared" si="431"/>
        <v/>
      </c>
      <c r="Z1818" s="586" t="str">
        <f t="shared" si="442"/>
        <v/>
      </c>
    </row>
    <row r="1819" spans="1:26" ht="12" hidden="1" thickBot="1" x14ac:dyDescent="0.25">
      <c r="A1819" s="567" t="s">
        <v>168</v>
      </c>
      <c r="B1819" s="644" t="s">
        <v>168</v>
      </c>
      <c r="C1819" s="645"/>
      <c r="D1819" s="451" t="s">
        <v>334</v>
      </c>
      <c r="E1819" s="423"/>
      <c r="F1819" s="424">
        <v>30</v>
      </c>
      <c r="G1819" s="425">
        <v>4.1999999999999997E-3</v>
      </c>
      <c r="H1819" s="663">
        <f t="shared" si="441"/>
        <v>0.14607599999999998</v>
      </c>
      <c r="I1819" s="420"/>
      <c r="J1819" s="420"/>
      <c r="K1819" s="421">
        <f t="shared" si="434"/>
        <v>0</v>
      </c>
      <c r="L1819" s="668" t="s">
        <v>614</v>
      </c>
      <c r="M1819" s="669"/>
      <c r="N1819" s="576">
        <f t="shared" si="443"/>
        <v>0</v>
      </c>
      <c r="O1819" s="577">
        <f t="shared" si="438"/>
        <v>0</v>
      </c>
      <c r="P1819" s="578">
        <f t="shared" si="439"/>
        <v>0</v>
      </c>
      <c r="Q1819" s="765"/>
      <c r="R1819" s="669"/>
      <c r="S1819" s="670"/>
      <c r="T1819" s="577">
        <f t="shared" si="435"/>
        <v>0</v>
      </c>
      <c r="U1819" s="578">
        <f t="shared" si="436"/>
        <v>0</v>
      </c>
      <c r="V1819" s="579"/>
      <c r="W1819" s="637" t="str">
        <f>IF(U1817&gt;0,"xx",IF(P1817&gt;0,"xy",""))</f>
        <v/>
      </c>
      <c r="X1819" s="586" t="str">
        <f t="shared" si="440"/>
        <v/>
      </c>
      <c r="Y1819" s="586" t="str">
        <f t="shared" si="431"/>
        <v/>
      </c>
      <c r="Z1819" s="586" t="str">
        <f t="shared" si="442"/>
        <v/>
      </c>
    </row>
    <row r="1820" spans="1:26" ht="12" hidden="1" thickBot="1" x14ac:dyDescent="0.25">
      <c r="A1820" s="567">
        <v>861030</v>
      </c>
      <c r="B1820" s="644">
        <v>861030</v>
      </c>
      <c r="C1820" s="645" t="s">
        <v>206</v>
      </c>
      <c r="D1820" s="422" t="s">
        <v>1509</v>
      </c>
      <c r="E1820" s="423"/>
      <c r="F1820" s="424"/>
      <c r="G1820" s="425"/>
      <c r="H1820" s="651">
        <f>SUM(H1821:H1822)</f>
        <v>23.508294000000003</v>
      </c>
      <c r="I1820" s="420">
        <v>268.45</v>
      </c>
      <c r="J1820" s="420">
        <f>IF(ISBLANK(I1820),"",SUM(H1820:I1820))</f>
        <v>291.95829399999997</v>
      </c>
      <c r="K1820" s="421">
        <f t="shared" si="434"/>
        <v>346.88</v>
      </c>
      <c r="L1820" s="647" t="s">
        <v>16</v>
      </c>
      <c r="M1820" s="576"/>
      <c r="N1820" s="576">
        <f t="shared" si="443"/>
        <v>0</v>
      </c>
      <c r="O1820" s="577">
        <f t="shared" si="438"/>
        <v>0</v>
      </c>
      <c r="P1820" s="578">
        <f t="shared" si="439"/>
        <v>0</v>
      </c>
      <c r="Q1820" s="765"/>
      <c r="R1820" s="576">
        <f t="shared" si="432"/>
        <v>0</v>
      </c>
      <c r="S1820" s="576">
        <f>N1820</f>
        <v>0</v>
      </c>
      <c r="T1820" s="577">
        <f t="shared" si="435"/>
        <v>0</v>
      </c>
      <c r="U1820" s="578">
        <f t="shared" si="436"/>
        <v>0</v>
      </c>
      <c r="V1820" s="579"/>
      <c r="W1820" s="566"/>
      <c r="X1820" s="586" t="str">
        <f t="shared" si="440"/>
        <v/>
      </c>
      <c r="Y1820" s="586" t="str">
        <f t="shared" si="431"/>
        <v/>
      </c>
      <c r="Z1820" s="586" t="str">
        <f t="shared" si="442"/>
        <v/>
      </c>
    </row>
    <row r="1821" spans="1:26" ht="12" hidden="1" thickBot="1" x14ac:dyDescent="0.25">
      <c r="A1821" s="567" t="s">
        <v>168</v>
      </c>
      <c r="B1821" s="644" t="s">
        <v>168</v>
      </c>
      <c r="C1821" s="645"/>
      <c r="D1821" s="451" t="s">
        <v>1503</v>
      </c>
      <c r="E1821" s="423"/>
      <c r="F1821" s="424">
        <v>10</v>
      </c>
      <c r="G1821" s="425">
        <v>1.7250000000000001</v>
      </c>
      <c r="H1821" s="663">
        <f t="shared" si="441"/>
        <v>23.080500000000004</v>
      </c>
      <c r="I1821" s="420"/>
      <c r="J1821" s="420"/>
      <c r="K1821" s="421">
        <f t="shared" si="434"/>
        <v>0</v>
      </c>
      <c r="L1821" s="668" t="s">
        <v>614</v>
      </c>
      <c r="M1821" s="669"/>
      <c r="N1821" s="576">
        <f t="shared" si="443"/>
        <v>0</v>
      </c>
      <c r="O1821" s="577">
        <f t="shared" si="438"/>
        <v>0</v>
      </c>
      <c r="P1821" s="578">
        <f t="shared" si="439"/>
        <v>0</v>
      </c>
      <c r="Q1821" s="765"/>
      <c r="R1821" s="669"/>
      <c r="S1821" s="670"/>
      <c r="T1821" s="577">
        <f t="shared" si="435"/>
        <v>0</v>
      </c>
      <c r="U1821" s="578">
        <f t="shared" si="436"/>
        <v>0</v>
      </c>
      <c r="V1821" s="579"/>
      <c r="W1821" s="637" t="str">
        <f>IF(U1820&gt;0,"xx",IF(P1820&gt;0,"xy",""))</f>
        <v/>
      </c>
      <c r="X1821" s="586" t="str">
        <f t="shared" si="440"/>
        <v/>
      </c>
      <c r="Y1821" s="586" t="str">
        <f t="shared" si="431"/>
        <v/>
      </c>
      <c r="Z1821" s="586" t="str">
        <f t="shared" si="442"/>
        <v/>
      </c>
    </row>
    <row r="1822" spans="1:26" ht="12" hidden="1" thickBot="1" x14ac:dyDescent="0.25">
      <c r="A1822" s="567" t="s">
        <v>168</v>
      </c>
      <c r="B1822" s="644" t="s">
        <v>168</v>
      </c>
      <c r="C1822" s="645"/>
      <c r="D1822" s="451" t="s">
        <v>334</v>
      </c>
      <c r="E1822" s="423"/>
      <c r="F1822" s="424">
        <v>30</v>
      </c>
      <c r="G1822" s="425">
        <v>1.23E-2</v>
      </c>
      <c r="H1822" s="663">
        <f t="shared" si="441"/>
        <v>0.42779400000000001</v>
      </c>
      <c r="I1822" s="420"/>
      <c r="J1822" s="420"/>
      <c r="K1822" s="421">
        <f t="shared" si="434"/>
        <v>0</v>
      </c>
      <c r="L1822" s="668" t="s">
        <v>614</v>
      </c>
      <c r="M1822" s="669"/>
      <c r="N1822" s="576">
        <f t="shared" si="443"/>
        <v>0</v>
      </c>
      <c r="O1822" s="577">
        <f t="shared" si="438"/>
        <v>0</v>
      </c>
      <c r="P1822" s="578">
        <f t="shared" si="439"/>
        <v>0</v>
      </c>
      <c r="Q1822" s="765"/>
      <c r="R1822" s="669"/>
      <c r="S1822" s="670"/>
      <c r="T1822" s="577">
        <f t="shared" si="435"/>
        <v>0</v>
      </c>
      <c r="U1822" s="578">
        <f t="shared" si="436"/>
        <v>0</v>
      </c>
      <c r="V1822" s="579"/>
      <c r="W1822" s="637" t="str">
        <f>IF(U1820&gt;0,"xx",IF(P1820&gt;0,"xy",""))</f>
        <v/>
      </c>
      <c r="X1822" s="586" t="str">
        <f t="shared" si="440"/>
        <v/>
      </c>
      <c r="Y1822" s="586" t="str">
        <f t="shared" si="431"/>
        <v/>
      </c>
      <c r="Z1822" s="586" t="str">
        <f t="shared" si="442"/>
        <v/>
      </c>
    </row>
    <row r="1823" spans="1:26" ht="12" hidden="1" thickBot="1" x14ac:dyDescent="0.25">
      <c r="A1823" s="567">
        <v>601200</v>
      </c>
      <c r="B1823" s="644" t="s">
        <v>1656</v>
      </c>
      <c r="C1823" s="645" t="s">
        <v>206</v>
      </c>
      <c r="D1823" s="422" t="s">
        <v>1510</v>
      </c>
      <c r="E1823" s="423"/>
      <c r="F1823" s="424"/>
      <c r="G1823" s="425"/>
      <c r="H1823" s="651"/>
      <c r="I1823" s="420">
        <v>31.9</v>
      </c>
      <c r="J1823" s="420">
        <f>IF(ISBLANK(I1823),"",SUM(H1823:I1823))*0.9</f>
        <v>28.71</v>
      </c>
      <c r="K1823" s="421">
        <f t="shared" si="434"/>
        <v>34.11</v>
      </c>
      <c r="L1823" s="647" t="s">
        <v>16</v>
      </c>
      <c r="M1823" s="576"/>
      <c r="N1823" s="576">
        <f t="shared" si="443"/>
        <v>0</v>
      </c>
      <c r="O1823" s="577">
        <f t="shared" si="438"/>
        <v>0</v>
      </c>
      <c r="P1823" s="578">
        <f t="shared" si="439"/>
        <v>0</v>
      </c>
      <c r="Q1823" s="765"/>
      <c r="R1823" s="576">
        <f t="shared" si="432"/>
        <v>0</v>
      </c>
      <c r="S1823" s="576">
        <f t="shared" si="432"/>
        <v>0</v>
      </c>
      <c r="T1823" s="577">
        <f t="shared" si="435"/>
        <v>0</v>
      </c>
      <c r="U1823" s="578">
        <f t="shared" si="436"/>
        <v>0</v>
      </c>
      <c r="V1823" s="579"/>
      <c r="W1823" s="566"/>
      <c r="X1823" s="586" t="str">
        <f t="shared" si="440"/>
        <v/>
      </c>
      <c r="Y1823" s="586" t="str">
        <f t="shared" si="431"/>
        <v/>
      </c>
      <c r="Z1823" s="586" t="str">
        <f t="shared" si="442"/>
        <v/>
      </c>
    </row>
    <row r="1824" spans="1:26" ht="12" hidden="1" thickBot="1" x14ac:dyDescent="0.25">
      <c r="A1824" s="567">
        <v>601200</v>
      </c>
      <c r="B1824" s="644" t="s">
        <v>1657</v>
      </c>
      <c r="C1824" s="645" t="s">
        <v>206</v>
      </c>
      <c r="D1824" s="422" t="s">
        <v>336</v>
      </c>
      <c r="E1824" s="423"/>
      <c r="F1824" s="424"/>
      <c r="G1824" s="425"/>
      <c r="H1824" s="651"/>
      <c r="I1824" s="420">
        <v>15.95</v>
      </c>
      <c r="J1824" s="420">
        <f>IF(ISBLANK(I1824),"",SUM(H1824:I1824))*0.9</f>
        <v>14.355</v>
      </c>
      <c r="K1824" s="421">
        <f t="shared" si="434"/>
        <v>17.059999999999999</v>
      </c>
      <c r="L1824" s="647" t="s">
        <v>1519</v>
      </c>
      <c r="M1824" s="576"/>
      <c r="N1824" s="576">
        <f t="shared" si="443"/>
        <v>0</v>
      </c>
      <c r="O1824" s="577">
        <f t="shared" si="438"/>
        <v>0</v>
      </c>
      <c r="P1824" s="578">
        <f t="shared" si="439"/>
        <v>0</v>
      </c>
      <c r="Q1824" s="765"/>
      <c r="R1824" s="576">
        <f t="shared" si="432"/>
        <v>0</v>
      </c>
      <c r="S1824" s="576">
        <f t="shared" si="432"/>
        <v>0</v>
      </c>
      <c r="T1824" s="577">
        <f t="shared" si="435"/>
        <v>0</v>
      </c>
      <c r="U1824" s="578">
        <f t="shared" si="436"/>
        <v>0</v>
      </c>
      <c r="V1824" s="579"/>
      <c r="W1824" s="566"/>
      <c r="X1824" s="586" t="str">
        <f>IF(W1824="X","x",IF(W1824="xx","x",IF(W1824="xy","x",IF(W1824="y","x",IF(OR(P1824&gt;0,U1824&gt;0),"x","")))))</f>
        <v/>
      </c>
      <c r="Y1824" s="586" t="str">
        <f>IF(W1824="X","x",IF(W1824="y","x",IF(W1824="xx","x",IF(U1824&gt;0,"x",""))))</f>
        <v/>
      </c>
      <c r="Z1824" s="586" t="str">
        <f>IF(W1824="X","x",IF(U1824&gt;0,"x",""))</f>
        <v/>
      </c>
    </row>
    <row r="1825" spans="1:26" ht="12" hidden="1" thickBot="1" x14ac:dyDescent="0.25">
      <c r="A1825" s="567">
        <v>97623</v>
      </c>
      <c r="B1825" s="644" t="s">
        <v>1601</v>
      </c>
      <c r="C1825" s="645" t="s">
        <v>670</v>
      </c>
      <c r="D1825" s="416" t="s">
        <v>1595</v>
      </c>
      <c r="E1825" s="417"/>
      <c r="F1825" s="418"/>
      <c r="G1825" s="419"/>
      <c r="H1825" s="646"/>
      <c r="I1825" s="420">
        <v>175.28</v>
      </c>
      <c r="J1825" s="420">
        <f t="shared" ref="J1825:J1833" si="444">IF(ISBLANK(I1825),"",SUM(H1825:I1825))</f>
        <v>175.28</v>
      </c>
      <c r="K1825" s="421">
        <f t="shared" si="434"/>
        <v>208.25</v>
      </c>
      <c r="L1825" s="647" t="s">
        <v>16</v>
      </c>
      <c r="M1825" s="576"/>
      <c r="N1825" s="576">
        <f t="shared" si="443"/>
        <v>0</v>
      </c>
      <c r="O1825" s="577">
        <f t="shared" si="438"/>
        <v>0</v>
      </c>
      <c r="P1825" s="578">
        <f t="shared" si="439"/>
        <v>0</v>
      </c>
      <c r="Q1825" s="765"/>
      <c r="R1825" s="650">
        <f t="shared" si="432"/>
        <v>0</v>
      </c>
      <c r="S1825" s="587">
        <f t="shared" si="432"/>
        <v>0</v>
      </c>
      <c r="T1825" s="577">
        <f t="shared" si="435"/>
        <v>0</v>
      </c>
      <c r="U1825" s="578">
        <f t="shared" si="436"/>
        <v>0</v>
      </c>
      <c r="V1825" s="579"/>
      <c r="W1825" s="566"/>
      <c r="X1825" s="586" t="str">
        <f>IF(W1825="X","x",IF(W1825="xx","x",IF(W1825="xy","x",IF(W1825="y","x",IF(OR(P1825&gt;0,U1825&gt;0),"x","")))))</f>
        <v/>
      </c>
      <c r="Y1825" s="586" t="str">
        <f>IF(W1825="X","x",IF(W1825="y","x",IF(W1825="xx","x",IF(U1825&gt;0,"x",""))))</f>
        <v/>
      </c>
      <c r="Z1825" s="586" t="str">
        <f>IF(W1825="X","x",IF(U1825&gt;0,"x",""))</f>
        <v/>
      </c>
    </row>
    <row r="1826" spans="1:26" ht="12" hidden="1" thickBot="1" x14ac:dyDescent="0.25">
      <c r="A1826" s="567">
        <v>97624</v>
      </c>
      <c r="B1826" s="644" t="s">
        <v>1602</v>
      </c>
      <c r="C1826" s="645" t="s">
        <v>670</v>
      </c>
      <c r="D1826" s="416" t="s">
        <v>1597</v>
      </c>
      <c r="E1826" s="417"/>
      <c r="F1826" s="418"/>
      <c r="G1826" s="419"/>
      <c r="H1826" s="646"/>
      <c r="I1826" s="420">
        <v>107.58</v>
      </c>
      <c r="J1826" s="420">
        <f t="shared" si="444"/>
        <v>107.58</v>
      </c>
      <c r="K1826" s="421">
        <f t="shared" si="434"/>
        <v>127.82</v>
      </c>
      <c r="L1826" s="647" t="s">
        <v>16</v>
      </c>
      <c r="M1826" s="576"/>
      <c r="N1826" s="576">
        <f t="shared" si="443"/>
        <v>0</v>
      </c>
      <c r="O1826" s="577">
        <f t="shared" si="438"/>
        <v>0</v>
      </c>
      <c r="P1826" s="578">
        <f t="shared" si="439"/>
        <v>0</v>
      </c>
      <c r="Q1826" s="765"/>
      <c r="R1826" s="650">
        <f t="shared" si="432"/>
        <v>0</v>
      </c>
      <c r="S1826" s="587">
        <f t="shared" si="432"/>
        <v>0</v>
      </c>
      <c r="T1826" s="577">
        <f t="shared" si="435"/>
        <v>0</v>
      </c>
      <c r="U1826" s="578">
        <f t="shared" si="436"/>
        <v>0</v>
      </c>
      <c r="V1826" s="579"/>
      <c r="W1826" s="566"/>
      <c r="X1826" s="586" t="str">
        <f>IF(W1826="X","x",IF(W1826="xx","x",IF(W1826="xy","x",IF(W1826="y","x",IF(OR(P1826&gt;0,U1826&gt;0),"x","")))))</f>
        <v/>
      </c>
      <c r="Y1826" s="586" t="str">
        <f>IF(W1826="X","x",IF(W1826="y","x",IF(W1826="xx","x",IF(U1826&gt;0,"x",""))))</f>
        <v/>
      </c>
      <c r="Z1826" s="586" t="str">
        <f>IF(W1826="X","x",IF(U1826&gt;0,"x",""))</f>
        <v/>
      </c>
    </row>
    <row r="1827" spans="1:26" ht="12" hidden="1" thickBot="1" x14ac:dyDescent="0.25">
      <c r="A1827" s="567">
        <v>606500</v>
      </c>
      <c r="B1827" s="644" t="s">
        <v>1603</v>
      </c>
      <c r="C1827" s="645" t="s">
        <v>206</v>
      </c>
      <c r="D1827" s="422" t="s">
        <v>501</v>
      </c>
      <c r="E1827" s="423"/>
      <c r="F1827" s="424"/>
      <c r="G1827" s="425"/>
      <c r="H1827" s="651"/>
      <c r="I1827" s="420">
        <v>169.87</v>
      </c>
      <c r="J1827" s="420">
        <f t="shared" si="444"/>
        <v>169.87</v>
      </c>
      <c r="K1827" s="421">
        <f t="shared" si="434"/>
        <v>201.82</v>
      </c>
      <c r="L1827" s="647" t="s">
        <v>16</v>
      </c>
      <c r="M1827" s="576"/>
      <c r="N1827" s="576">
        <f t="shared" si="443"/>
        <v>0</v>
      </c>
      <c r="O1827" s="577">
        <f t="shared" si="438"/>
        <v>0</v>
      </c>
      <c r="P1827" s="578">
        <f t="shared" si="439"/>
        <v>0</v>
      </c>
      <c r="Q1827" s="765"/>
      <c r="R1827" s="576">
        <f t="shared" si="432"/>
        <v>0</v>
      </c>
      <c r="S1827" s="576">
        <f t="shared" si="432"/>
        <v>0</v>
      </c>
      <c r="T1827" s="577">
        <f t="shared" si="435"/>
        <v>0</v>
      </c>
      <c r="U1827" s="578">
        <f t="shared" si="436"/>
        <v>0</v>
      </c>
      <c r="V1827" s="579"/>
      <c r="W1827" s="566"/>
      <c r="X1827" s="586" t="str">
        <f t="shared" si="440"/>
        <v/>
      </c>
      <c r="Y1827" s="586" t="str">
        <f t="shared" si="431"/>
        <v/>
      </c>
      <c r="Z1827" s="586" t="str">
        <f t="shared" ref="Z1827:Z1940" si="445">IF(W1827="X","x",IF(U1827&gt;0,"x",""))</f>
        <v/>
      </c>
    </row>
    <row r="1828" spans="1:26" ht="12" hidden="1" thickBot="1" x14ac:dyDescent="0.25">
      <c r="A1828" s="567">
        <v>606700</v>
      </c>
      <c r="B1828" s="644" t="s">
        <v>1583</v>
      </c>
      <c r="C1828" s="645" t="s">
        <v>206</v>
      </c>
      <c r="D1828" s="422" t="s">
        <v>199</v>
      </c>
      <c r="E1828" s="423"/>
      <c r="F1828" s="424"/>
      <c r="G1828" s="425"/>
      <c r="H1828" s="651">
        <f>IF(F1828&lt;=30,(0.31*F1828+0.77)*G1828,((0.31*30+0.77)+0.31*(F1828-30))*G1828)</f>
        <v>0</v>
      </c>
      <c r="I1828" s="420">
        <v>143.94</v>
      </c>
      <c r="J1828" s="420">
        <f t="shared" si="444"/>
        <v>143.94</v>
      </c>
      <c r="K1828" s="421">
        <f t="shared" si="434"/>
        <v>171.02</v>
      </c>
      <c r="L1828" s="647" t="s">
        <v>16</v>
      </c>
      <c r="M1828" s="576"/>
      <c r="N1828" s="576">
        <f t="shared" si="443"/>
        <v>0</v>
      </c>
      <c r="O1828" s="577">
        <f t="shared" si="438"/>
        <v>0</v>
      </c>
      <c r="P1828" s="578">
        <f t="shared" si="439"/>
        <v>0</v>
      </c>
      <c r="Q1828" s="765"/>
      <c r="R1828" s="576">
        <f t="shared" si="432"/>
        <v>0</v>
      </c>
      <c r="S1828" s="576">
        <f t="shared" si="432"/>
        <v>0</v>
      </c>
      <c r="T1828" s="577">
        <f t="shared" si="435"/>
        <v>0</v>
      </c>
      <c r="U1828" s="578">
        <f t="shared" si="436"/>
        <v>0</v>
      </c>
      <c r="V1828" s="579"/>
      <c r="W1828" s="566"/>
      <c r="X1828" s="586" t="str">
        <f t="shared" si="440"/>
        <v/>
      </c>
      <c r="Y1828" s="586" t="str">
        <f t="shared" si="431"/>
        <v/>
      </c>
      <c r="Z1828" s="586" t="str">
        <f t="shared" si="445"/>
        <v/>
      </c>
    </row>
    <row r="1829" spans="1:26" ht="12" hidden="1" thickBot="1" x14ac:dyDescent="0.25">
      <c r="A1829" s="567">
        <v>606600</v>
      </c>
      <c r="B1829" s="644" t="s">
        <v>1580</v>
      </c>
      <c r="C1829" s="645" t="s">
        <v>206</v>
      </c>
      <c r="D1829" s="422" t="s">
        <v>200</v>
      </c>
      <c r="E1829" s="423"/>
      <c r="F1829" s="424"/>
      <c r="G1829" s="425"/>
      <c r="H1829" s="651">
        <f>IF(F1829&lt;=30,(0.31*F1829+0.77)*G1829,((0.31*30+0.77)+0.31*(F1829-30))*G1829)</f>
        <v>0</v>
      </c>
      <c r="I1829" s="420">
        <v>300.33999999999997</v>
      </c>
      <c r="J1829" s="420">
        <f t="shared" si="444"/>
        <v>300.33999999999997</v>
      </c>
      <c r="K1829" s="421">
        <f t="shared" si="434"/>
        <v>356.83</v>
      </c>
      <c r="L1829" s="647" t="s">
        <v>16</v>
      </c>
      <c r="M1829" s="576"/>
      <c r="N1829" s="576">
        <f t="shared" si="443"/>
        <v>0</v>
      </c>
      <c r="O1829" s="577">
        <f t="shared" si="438"/>
        <v>0</v>
      </c>
      <c r="P1829" s="578">
        <f t="shared" si="439"/>
        <v>0</v>
      </c>
      <c r="Q1829" s="765"/>
      <c r="R1829" s="576">
        <f t="shared" si="432"/>
        <v>0</v>
      </c>
      <c r="S1829" s="576">
        <f t="shared" si="432"/>
        <v>0</v>
      </c>
      <c r="T1829" s="577">
        <f t="shared" si="435"/>
        <v>0</v>
      </c>
      <c r="U1829" s="578">
        <f t="shared" si="436"/>
        <v>0</v>
      </c>
      <c r="V1829" s="579"/>
      <c r="W1829" s="566"/>
      <c r="X1829" s="586" t="str">
        <f t="shared" si="440"/>
        <v/>
      </c>
      <c r="Y1829" s="586" t="str">
        <f t="shared" si="431"/>
        <v/>
      </c>
      <c r="Z1829" s="586" t="str">
        <f t="shared" si="445"/>
        <v/>
      </c>
    </row>
    <row r="1830" spans="1:26" ht="12" hidden="1" thickBot="1" x14ac:dyDescent="0.25">
      <c r="A1830" s="567">
        <v>602000</v>
      </c>
      <c r="B1830" s="644" t="s">
        <v>2098</v>
      </c>
      <c r="C1830" s="645" t="s">
        <v>206</v>
      </c>
      <c r="D1830" s="422" t="s">
        <v>2092</v>
      </c>
      <c r="E1830" s="423"/>
      <c r="F1830" s="424"/>
      <c r="G1830" s="425"/>
      <c r="H1830" s="651">
        <f>IF(F1830&lt;=30,(0.31*F1830+0.77)*G1830,((0.31*30+0.77)+0.31*(F1830-30))*G1830)</f>
        <v>0</v>
      </c>
      <c r="I1830" s="420">
        <v>58.84</v>
      </c>
      <c r="J1830" s="420">
        <f t="shared" si="444"/>
        <v>58.84</v>
      </c>
      <c r="K1830" s="421">
        <f t="shared" si="434"/>
        <v>69.91</v>
      </c>
      <c r="L1830" s="647" t="s">
        <v>18</v>
      </c>
      <c r="M1830" s="576"/>
      <c r="N1830" s="576">
        <f t="shared" si="443"/>
        <v>0</v>
      </c>
      <c r="O1830" s="577">
        <f t="shared" si="438"/>
        <v>0</v>
      </c>
      <c r="P1830" s="578">
        <f t="shared" si="439"/>
        <v>0</v>
      </c>
      <c r="Q1830" s="765"/>
      <c r="R1830" s="576">
        <f t="shared" si="432"/>
        <v>0</v>
      </c>
      <c r="S1830" s="576">
        <f t="shared" si="432"/>
        <v>0</v>
      </c>
      <c r="T1830" s="577">
        <f t="shared" si="435"/>
        <v>0</v>
      </c>
      <c r="U1830" s="578">
        <f t="shared" si="436"/>
        <v>0</v>
      </c>
      <c r="V1830" s="579"/>
      <c r="W1830" s="566"/>
      <c r="X1830" s="586" t="str">
        <f t="shared" si="440"/>
        <v/>
      </c>
      <c r="Y1830" s="586" t="str">
        <f t="shared" si="431"/>
        <v/>
      </c>
      <c r="Z1830" s="586" t="str">
        <f t="shared" si="445"/>
        <v/>
      </c>
    </row>
    <row r="1831" spans="1:26" ht="12" hidden="1" thickBot="1" x14ac:dyDescent="0.25">
      <c r="A1831" s="567">
        <v>603000</v>
      </c>
      <c r="B1831" s="644" t="s">
        <v>1876</v>
      </c>
      <c r="C1831" s="645" t="s">
        <v>206</v>
      </c>
      <c r="D1831" s="422" t="s">
        <v>276</v>
      </c>
      <c r="E1831" s="423"/>
      <c r="F1831" s="424"/>
      <c r="G1831" s="425"/>
      <c r="H1831" s="651">
        <f>IF(F1831&lt;=30,(0.31*F1831+0.77)*G1831,((0.31*30+0.77)+0.31*(F1831-30))*G1831)</f>
        <v>0</v>
      </c>
      <c r="I1831" s="420">
        <v>17.84</v>
      </c>
      <c r="J1831" s="420">
        <f t="shared" si="444"/>
        <v>17.84</v>
      </c>
      <c r="K1831" s="421">
        <f t="shared" si="434"/>
        <v>21.2</v>
      </c>
      <c r="L1831" s="647" t="s">
        <v>23</v>
      </c>
      <c r="M1831" s="576"/>
      <c r="N1831" s="576">
        <f t="shared" si="443"/>
        <v>0</v>
      </c>
      <c r="O1831" s="577">
        <f t="shared" si="438"/>
        <v>0</v>
      </c>
      <c r="P1831" s="578">
        <f t="shared" si="439"/>
        <v>0</v>
      </c>
      <c r="Q1831" s="765"/>
      <c r="R1831" s="576">
        <f t="shared" si="432"/>
        <v>0</v>
      </c>
      <c r="S1831" s="576">
        <f t="shared" si="432"/>
        <v>0</v>
      </c>
      <c r="T1831" s="577">
        <f t="shared" si="435"/>
        <v>0</v>
      </c>
      <c r="U1831" s="578">
        <f t="shared" si="436"/>
        <v>0</v>
      </c>
      <c r="V1831" s="579"/>
      <c r="W1831" s="566"/>
      <c r="X1831" s="586" t="str">
        <f t="shared" si="440"/>
        <v/>
      </c>
      <c r="Y1831" s="586" t="str">
        <f t="shared" si="431"/>
        <v/>
      </c>
      <c r="Z1831" s="586" t="str">
        <f t="shared" si="445"/>
        <v/>
      </c>
    </row>
    <row r="1832" spans="1:26" ht="12" hidden="1" thickBot="1" x14ac:dyDescent="0.25">
      <c r="A1832" s="567">
        <v>603300</v>
      </c>
      <c r="B1832" s="644" t="s">
        <v>1877</v>
      </c>
      <c r="C1832" s="645" t="s">
        <v>206</v>
      </c>
      <c r="D1832" s="422" t="s">
        <v>277</v>
      </c>
      <c r="E1832" s="423"/>
      <c r="F1832" s="424"/>
      <c r="G1832" s="425"/>
      <c r="H1832" s="651">
        <f>IF(F1832&lt;=30,(0.31*F1832+0.77)*G1832,((0.31*30+0.77)+0.31*(F1832-30))*G1832)</f>
        <v>0</v>
      </c>
      <c r="I1832" s="420">
        <v>19.490000000000002</v>
      </c>
      <c r="J1832" s="420">
        <f t="shared" si="444"/>
        <v>19.490000000000002</v>
      </c>
      <c r="K1832" s="421">
        <f t="shared" si="434"/>
        <v>23.16</v>
      </c>
      <c r="L1832" s="647" t="s">
        <v>23</v>
      </c>
      <c r="M1832" s="576"/>
      <c r="N1832" s="576">
        <f t="shared" si="443"/>
        <v>0</v>
      </c>
      <c r="O1832" s="577">
        <f t="shared" si="438"/>
        <v>0</v>
      </c>
      <c r="P1832" s="578">
        <f t="shared" si="439"/>
        <v>0</v>
      </c>
      <c r="Q1832" s="765"/>
      <c r="R1832" s="576">
        <f t="shared" si="432"/>
        <v>0</v>
      </c>
      <c r="S1832" s="576">
        <f t="shared" si="432"/>
        <v>0</v>
      </c>
      <c r="T1832" s="577">
        <f t="shared" si="435"/>
        <v>0</v>
      </c>
      <c r="U1832" s="578">
        <f t="shared" si="436"/>
        <v>0</v>
      </c>
      <c r="V1832" s="579"/>
      <c r="W1832" s="566"/>
      <c r="X1832" s="586" t="str">
        <f t="shared" si="440"/>
        <v/>
      </c>
      <c r="Y1832" s="586" t="str">
        <f t="shared" si="431"/>
        <v/>
      </c>
      <c r="Z1832" s="586" t="str">
        <f t="shared" si="445"/>
        <v/>
      </c>
    </row>
    <row r="1833" spans="1:26" ht="12" hidden="1" thickBot="1" x14ac:dyDescent="0.25">
      <c r="A1833" s="567">
        <v>603600</v>
      </c>
      <c r="B1833" s="644">
        <v>603600</v>
      </c>
      <c r="C1833" s="645" t="s">
        <v>206</v>
      </c>
      <c r="D1833" s="422" t="s">
        <v>337</v>
      </c>
      <c r="E1833" s="423"/>
      <c r="F1833" s="424"/>
      <c r="G1833" s="425"/>
      <c r="H1833" s="651">
        <f>SUM(H1834:H1836)</f>
        <v>175.4948</v>
      </c>
      <c r="I1833" s="420">
        <v>278.64</v>
      </c>
      <c r="J1833" s="420">
        <f t="shared" si="444"/>
        <v>454.13479999999998</v>
      </c>
      <c r="K1833" s="421">
        <f t="shared" si="434"/>
        <v>539.55999999999995</v>
      </c>
      <c r="L1833" s="647" t="s">
        <v>16</v>
      </c>
      <c r="M1833" s="576"/>
      <c r="N1833" s="576">
        <f t="shared" si="443"/>
        <v>0</v>
      </c>
      <c r="O1833" s="577">
        <f t="shared" si="438"/>
        <v>0</v>
      </c>
      <c r="P1833" s="578">
        <f t="shared" si="439"/>
        <v>0</v>
      </c>
      <c r="Q1833" s="765"/>
      <c r="R1833" s="576">
        <f t="shared" si="432"/>
        <v>0</v>
      </c>
      <c r="S1833" s="576">
        <f t="shared" si="432"/>
        <v>0</v>
      </c>
      <c r="T1833" s="577">
        <f t="shared" si="435"/>
        <v>0</v>
      </c>
      <c r="U1833" s="578">
        <f t="shared" si="436"/>
        <v>0</v>
      </c>
      <c r="V1833" s="579"/>
      <c r="W1833" s="566"/>
      <c r="X1833" s="586" t="str">
        <f t="shared" si="440"/>
        <v/>
      </c>
      <c r="Y1833" s="586" t="str">
        <f t="shared" si="431"/>
        <v/>
      </c>
      <c r="Z1833" s="586" t="str">
        <f t="shared" si="445"/>
        <v/>
      </c>
    </row>
    <row r="1834" spans="1:26" ht="12" hidden="1" thickBot="1" x14ac:dyDescent="0.25">
      <c r="A1834" s="567" t="s">
        <v>168</v>
      </c>
      <c r="B1834" s="644" t="s">
        <v>168</v>
      </c>
      <c r="C1834" s="645"/>
      <c r="D1834" s="422" t="s">
        <v>212</v>
      </c>
      <c r="E1834" s="423"/>
      <c r="F1834" s="424">
        <v>500</v>
      </c>
      <c r="G1834" s="425">
        <v>0.1</v>
      </c>
      <c r="H1834" s="649">
        <f>IF(F1834&lt;=30,(0.78*F1834+7.82)*G1834,((0.78*30+7.82)+0.78*(F1834-30))*G1834)</f>
        <v>39.782000000000011</v>
      </c>
      <c r="I1834" s="420"/>
      <c r="J1834" s="420"/>
      <c r="K1834" s="421">
        <f t="shared" si="434"/>
        <v>0</v>
      </c>
      <c r="L1834" s="647"/>
      <c r="M1834" s="723"/>
      <c r="N1834" s="576">
        <f t="shared" si="443"/>
        <v>0</v>
      </c>
      <c r="O1834" s="577">
        <f t="shared" si="438"/>
        <v>0</v>
      </c>
      <c r="P1834" s="578">
        <f t="shared" si="439"/>
        <v>0</v>
      </c>
      <c r="Q1834" s="765"/>
      <c r="R1834" s="723"/>
      <c r="S1834" s="723"/>
      <c r="T1834" s="577">
        <f t="shared" si="435"/>
        <v>0</v>
      </c>
      <c r="U1834" s="578">
        <f t="shared" si="436"/>
        <v>0</v>
      </c>
      <c r="V1834" s="579"/>
      <c r="W1834" s="566" t="str">
        <f>IF(U1833&gt;0,"xx",IF(P1833&gt;0,"xy",""))</f>
        <v/>
      </c>
      <c r="X1834" s="586" t="str">
        <f t="shared" si="440"/>
        <v/>
      </c>
      <c r="Y1834" s="586" t="str">
        <f t="shared" si="431"/>
        <v/>
      </c>
      <c r="Z1834" s="586" t="str">
        <f t="shared" si="445"/>
        <v/>
      </c>
    </row>
    <row r="1835" spans="1:26" ht="12" hidden="1" thickBot="1" x14ac:dyDescent="0.25">
      <c r="A1835" s="567" t="s">
        <v>168</v>
      </c>
      <c r="B1835" s="644" t="s">
        <v>168</v>
      </c>
      <c r="C1835" s="645"/>
      <c r="D1835" s="422" t="s">
        <v>248</v>
      </c>
      <c r="E1835" s="423"/>
      <c r="F1835" s="424">
        <v>180</v>
      </c>
      <c r="G1835" s="425">
        <v>0.51</v>
      </c>
      <c r="H1835" s="663">
        <f t="shared" ref="H1835:H1840" si="446">IF(F1835&lt;=30,(1.07*F1835+2.68)*G1835,((1.07*30+2.68)+1.07*(F1835-30))*G1835)</f>
        <v>99.592799999999997</v>
      </c>
      <c r="I1835" s="420"/>
      <c r="J1835" s="420"/>
      <c r="K1835" s="421">
        <f t="shared" si="434"/>
        <v>0</v>
      </c>
      <c r="L1835" s="647"/>
      <c r="M1835" s="723"/>
      <c r="N1835" s="576">
        <f t="shared" si="443"/>
        <v>0</v>
      </c>
      <c r="O1835" s="577">
        <f t="shared" si="438"/>
        <v>0</v>
      </c>
      <c r="P1835" s="578">
        <f t="shared" si="439"/>
        <v>0</v>
      </c>
      <c r="Q1835" s="765"/>
      <c r="R1835" s="723"/>
      <c r="S1835" s="723"/>
      <c r="T1835" s="577">
        <f t="shared" si="435"/>
        <v>0</v>
      </c>
      <c r="U1835" s="578">
        <f t="shared" si="436"/>
        <v>0</v>
      </c>
      <c r="V1835" s="579"/>
      <c r="W1835" s="566" t="str">
        <f>IF(U1833&gt;0,"xx",IF(P1833&gt;0,"xy",""))</f>
        <v/>
      </c>
      <c r="X1835" s="586" t="str">
        <f t="shared" si="440"/>
        <v/>
      </c>
      <c r="Y1835" s="586" t="str">
        <f t="shared" si="431"/>
        <v/>
      </c>
      <c r="Z1835" s="586" t="str">
        <f t="shared" si="445"/>
        <v/>
      </c>
    </row>
    <row r="1836" spans="1:26" ht="12" hidden="1" thickBot="1" x14ac:dyDescent="0.25">
      <c r="A1836" s="567" t="s">
        <v>168</v>
      </c>
      <c r="B1836" s="644" t="s">
        <v>168</v>
      </c>
      <c r="C1836" s="645"/>
      <c r="D1836" s="422" t="s">
        <v>252</v>
      </c>
      <c r="E1836" s="423"/>
      <c r="F1836" s="424">
        <v>20</v>
      </c>
      <c r="G1836" s="425">
        <v>1.5</v>
      </c>
      <c r="H1836" s="663">
        <f t="shared" si="446"/>
        <v>36.120000000000005</v>
      </c>
      <c r="I1836" s="420"/>
      <c r="J1836" s="420"/>
      <c r="K1836" s="421">
        <f t="shared" si="434"/>
        <v>0</v>
      </c>
      <c r="L1836" s="647"/>
      <c r="M1836" s="723"/>
      <c r="N1836" s="576">
        <f t="shared" si="443"/>
        <v>0</v>
      </c>
      <c r="O1836" s="577">
        <f t="shared" si="438"/>
        <v>0</v>
      </c>
      <c r="P1836" s="578">
        <f t="shared" si="439"/>
        <v>0</v>
      </c>
      <c r="Q1836" s="765"/>
      <c r="R1836" s="723"/>
      <c r="S1836" s="723"/>
      <c r="T1836" s="577">
        <f t="shared" si="435"/>
        <v>0</v>
      </c>
      <c r="U1836" s="578">
        <f t="shared" si="436"/>
        <v>0</v>
      </c>
      <c r="V1836" s="579"/>
      <c r="W1836" s="566" t="str">
        <f>IF(U1833&gt;0,"xx",IF(P1833&gt;0,"xy",""))</f>
        <v/>
      </c>
      <c r="X1836" s="586" t="str">
        <f t="shared" si="440"/>
        <v/>
      </c>
      <c r="Y1836" s="586" t="str">
        <f t="shared" si="431"/>
        <v/>
      </c>
      <c r="Z1836" s="586" t="str">
        <f t="shared" si="445"/>
        <v/>
      </c>
    </row>
    <row r="1837" spans="1:26" ht="12" hidden="1" thickBot="1" x14ac:dyDescent="0.25">
      <c r="A1837" s="567">
        <v>603700</v>
      </c>
      <c r="B1837" s="644" t="s">
        <v>1646</v>
      </c>
      <c r="C1837" s="645" t="s">
        <v>206</v>
      </c>
      <c r="D1837" s="422" t="s">
        <v>338</v>
      </c>
      <c r="E1837" s="423"/>
      <c r="F1837" s="424">
        <v>20</v>
      </c>
      <c r="G1837" s="425">
        <v>1.8</v>
      </c>
      <c r="H1837" s="663">
        <f t="shared" si="446"/>
        <v>43.344000000000001</v>
      </c>
      <c r="I1837" s="420">
        <v>201.64</v>
      </c>
      <c r="J1837" s="420">
        <f>IF(ISBLANK(I1837),"",SUM(H1837:I1837))</f>
        <v>244.98399999999998</v>
      </c>
      <c r="K1837" s="421">
        <f t="shared" si="434"/>
        <v>291.07</v>
      </c>
      <c r="L1837" s="647" t="s">
        <v>16</v>
      </c>
      <c r="M1837" s="576"/>
      <c r="N1837" s="576">
        <f t="shared" si="443"/>
        <v>0</v>
      </c>
      <c r="O1837" s="577">
        <f t="shared" si="438"/>
        <v>0</v>
      </c>
      <c r="P1837" s="578">
        <f t="shared" si="439"/>
        <v>0</v>
      </c>
      <c r="Q1837" s="765"/>
      <c r="R1837" s="576">
        <f t="shared" si="432"/>
        <v>0</v>
      </c>
      <c r="S1837" s="576">
        <f>N1837</f>
        <v>0</v>
      </c>
      <c r="T1837" s="577">
        <f t="shared" si="435"/>
        <v>0</v>
      </c>
      <c r="U1837" s="578">
        <f t="shared" si="436"/>
        <v>0</v>
      </c>
      <c r="V1837" s="579"/>
      <c r="W1837" s="566"/>
      <c r="X1837" s="586" t="str">
        <f t="shared" si="440"/>
        <v/>
      </c>
      <c r="Y1837" s="586" t="str">
        <f t="shared" si="431"/>
        <v/>
      </c>
      <c r="Z1837" s="586" t="str">
        <f t="shared" si="445"/>
        <v/>
      </c>
    </row>
    <row r="1838" spans="1:26" ht="12" hidden="1" thickBot="1" x14ac:dyDescent="0.25">
      <c r="A1838" s="567">
        <v>603800</v>
      </c>
      <c r="B1838" s="644" t="s">
        <v>1647</v>
      </c>
      <c r="C1838" s="645" t="s">
        <v>206</v>
      </c>
      <c r="D1838" s="422" t="s">
        <v>339</v>
      </c>
      <c r="E1838" s="423"/>
      <c r="F1838" s="424">
        <v>20</v>
      </c>
      <c r="G1838" s="425">
        <v>1.5</v>
      </c>
      <c r="H1838" s="663">
        <f t="shared" si="446"/>
        <v>36.120000000000005</v>
      </c>
      <c r="I1838" s="420">
        <v>119.45</v>
      </c>
      <c r="J1838" s="420">
        <f>IF(ISBLANK(I1838),"",SUM(H1838:I1838))</f>
        <v>155.57</v>
      </c>
      <c r="K1838" s="421">
        <f t="shared" si="434"/>
        <v>184.83</v>
      </c>
      <c r="L1838" s="647" t="s">
        <v>16</v>
      </c>
      <c r="M1838" s="576"/>
      <c r="N1838" s="576">
        <f t="shared" si="443"/>
        <v>0</v>
      </c>
      <c r="O1838" s="577">
        <f t="shared" si="438"/>
        <v>0</v>
      </c>
      <c r="P1838" s="578">
        <f t="shared" si="439"/>
        <v>0</v>
      </c>
      <c r="Q1838" s="765"/>
      <c r="R1838" s="576">
        <f>M1838</f>
        <v>0</v>
      </c>
      <c r="S1838" s="576">
        <f>N1838</f>
        <v>0</v>
      </c>
      <c r="T1838" s="577">
        <f t="shared" si="435"/>
        <v>0</v>
      </c>
      <c r="U1838" s="578">
        <f t="shared" si="436"/>
        <v>0</v>
      </c>
      <c r="V1838" s="579"/>
      <c r="W1838" s="566"/>
      <c r="X1838" s="586" t="str">
        <f t="shared" si="440"/>
        <v/>
      </c>
      <c r="Y1838" s="586" t="str">
        <f t="shared" si="431"/>
        <v/>
      </c>
      <c r="Z1838" s="586" t="str">
        <f t="shared" si="445"/>
        <v/>
      </c>
    </row>
    <row r="1839" spans="1:26" ht="12" hidden="1" thickBot="1" x14ac:dyDescent="0.25">
      <c r="A1839" s="567">
        <v>532500</v>
      </c>
      <c r="B1839" s="644" t="s">
        <v>1878</v>
      </c>
      <c r="C1839" s="645" t="s">
        <v>206</v>
      </c>
      <c r="D1839" s="451" t="s">
        <v>340</v>
      </c>
      <c r="E1839" s="423"/>
      <c r="F1839" s="424">
        <v>20</v>
      </c>
      <c r="G1839" s="425">
        <v>1.7250000000000001</v>
      </c>
      <c r="H1839" s="663">
        <f t="shared" si="446"/>
        <v>41.538000000000004</v>
      </c>
      <c r="I1839" s="420">
        <v>97.26</v>
      </c>
      <c r="J1839" s="420">
        <f>IF(ISBLANK(I1839),"",SUM(H1839:I1839))</f>
        <v>138.798</v>
      </c>
      <c r="K1839" s="421">
        <f t="shared" si="434"/>
        <v>164.91</v>
      </c>
      <c r="L1839" s="647" t="s">
        <v>16</v>
      </c>
      <c r="M1839" s="576"/>
      <c r="N1839" s="576">
        <f t="shared" si="443"/>
        <v>0</v>
      </c>
      <c r="O1839" s="577">
        <f t="shared" si="438"/>
        <v>0</v>
      </c>
      <c r="P1839" s="578">
        <f t="shared" si="439"/>
        <v>0</v>
      </c>
      <c r="Q1839" s="765"/>
      <c r="R1839" s="576">
        <f>M1839</f>
        <v>0</v>
      </c>
      <c r="S1839" s="576">
        <f>N1839</f>
        <v>0</v>
      </c>
      <c r="T1839" s="577">
        <f t="shared" si="435"/>
        <v>0</v>
      </c>
      <c r="U1839" s="578">
        <f t="shared" si="436"/>
        <v>0</v>
      </c>
      <c r="V1839" s="579"/>
      <c r="W1839" s="566"/>
      <c r="X1839" s="586" t="str">
        <f t="shared" si="440"/>
        <v/>
      </c>
      <c r="Y1839" s="586" t="str">
        <f>IF(W1839="X","x",IF(W1839="y","x",IF(W1839="xx","x",IF(U1839&gt;0,"x",""))))</f>
        <v/>
      </c>
      <c r="Z1839" s="586" t="str">
        <f t="shared" si="445"/>
        <v/>
      </c>
    </row>
    <row r="1840" spans="1:26" ht="12" hidden="1" thickBot="1" x14ac:dyDescent="0.25">
      <c r="A1840" s="567">
        <v>603900</v>
      </c>
      <c r="B1840" s="644" t="s">
        <v>1879</v>
      </c>
      <c r="C1840" s="645" t="s">
        <v>206</v>
      </c>
      <c r="D1840" s="422" t="s">
        <v>341</v>
      </c>
      <c r="E1840" s="423"/>
      <c r="F1840" s="424">
        <v>20</v>
      </c>
      <c r="G1840" s="425">
        <v>1.5</v>
      </c>
      <c r="H1840" s="663">
        <f t="shared" si="446"/>
        <v>36.120000000000005</v>
      </c>
      <c r="I1840" s="420">
        <v>124.3</v>
      </c>
      <c r="J1840" s="420">
        <f>IF(ISBLANK(I1840),"",SUM(H1840:I1840))</f>
        <v>160.42000000000002</v>
      </c>
      <c r="K1840" s="421">
        <f t="shared" si="434"/>
        <v>190.6</v>
      </c>
      <c r="L1840" s="647" t="s">
        <v>16</v>
      </c>
      <c r="M1840" s="576"/>
      <c r="N1840" s="576">
        <f t="shared" si="443"/>
        <v>0</v>
      </c>
      <c r="O1840" s="577">
        <f t="shared" si="438"/>
        <v>0</v>
      </c>
      <c r="P1840" s="578">
        <f t="shared" si="439"/>
        <v>0</v>
      </c>
      <c r="Q1840" s="765"/>
      <c r="R1840" s="576">
        <f>M1840</f>
        <v>0</v>
      </c>
      <c r="S1840" s="576">
        <f>N1840</f>
        <v>0</v>
      </c>
      <c r="T1840" s="577">
        <f t="shared" si="435"/>
        <v>0</v>
      </c>
      <c r="U1840" s="578">
        <f t="shared" si="436"/>
        <v>0</v>
      </c>
      <c r="V1840" s="579"/>
      <c r="W1840" s="566"/>
      <c r="X1840" s="586" t="str">
        <f t="shared" si="440"/>
        <v/>
      </c>
      <c r="Y1840" s="586" t="str">
        <f t="shared" si="431"/>
        <v/>
      </c>
      <c r="Z1840" s="586" t="str">
        <f t="shared" si="445"/>
        <v/>
      </c>
    </row>
    <row r="1841" spans="1:26" ht="12" hidden="1" thickBot="1" x14ac:dyDescent="0.25">
      <c r="A1841" s="567">
        <v>605000</v>
      </c>
      <c r="B1841" s="644" t="s">
        <v>1880</v>
      </c>
      <c r="C1841" s="645" t="s">
        <v>206</v>
      </c>
      <c r="D1841" s="422" t="s">
        <v>274</v>
      </c>
      <c r="E1841" s="423"/>
      <c r="F1841" s="424"/>
      <c r="G1841" s="425"/>
      <c r="H1841" s="651">
        <f>SUM(H1842:H1844)</f>
        <v>305.33319999999998</v>
      </c>
      <c r="I1841" s="420">
        <v>408.95</v>
      </c>
      <c r="J1841" s="420">
        <f>IF(ISBLANK(I1841),"",SUM(H1841:I1841))</f>
        <v>714.28319999999997</v>
      </c>
      <c r="K1841" s="421">
        <f t="shared" si="434"/>
        <v>848.64</v>
      </c>
      <c r="L1841" s="647" t="s">
        <v>16</v>
      </c>
      <c r="M1841" s="576"/>
      <c r="N1841" s="576">
        <f t="shared" si="443"/>
        <v>0</v>
      </c>
      <c r="O1841" s="577">
        <f t="shared" si="438"/>
        <v>0</v>
      </c>
      <c r="P1841" s="578">
        <f t="shared" si="439"/>
        <v>0</v>
      </c>
      <c r="Q1841" s="765"/>
      <c r="R1841" s="576">
        <f>M1841</f>
        <v>0</v>
      </c>
      <c r="S1841" s="576">
        <f>N1841</f>
        <v>0</v>
      </c>
      <c r="T1841" s="577">
        <f t="shared" si="435"/>
        <v>0</v>
      </c>
      <c r="U1841" s="578">
        <f t="shared" si="436"/>
        <v>0</v>
      </c>
      <c r="V1841" s="579"/>
      <c r="W1841" s="566"/>
      <c r="X1841" s="586" t="str">
        <f t="shared" si="440"/>
        <v/>
      </c>
      <c r="Y1841" s="586" t="str">
        <f t="shared" si="431"/>
        <v/>
      </c>
      <c r="Z1841" s="586" t="str">
        <f t="shared" si="445"/>
        <v/>
      </c>
    </row>
    <row r="1842" spans="1:26" ht="12" hidden="1" thickBot="1" x14ac:dyDescent="0.25">
      <c r="A1842" s="567" t="s">
        <v>168</v>
      </c>
      <c r="B1842" s="644" t="s">
        <v>168</v>
      </c>
      <c r="C1842" s="645"/>
      <c r="D1842" s="451" t="s">
        <v>212</v>
      </c>
      <c r="E1842" s="423"/>
      <c r="F1842" s="424">
        <v>500</v>
      </c>
      <c r="G1842" s="425">
        <v>0.18</v>
      </c>
      <c r="H1842" s="649">
        <f>IF(F1842&lt;=30,(0.78*F1842+7.82)*G1842,((0.78*30+7.82)+0.78*(F1842-30))*G1842)</f>
        <v>71.607600000000005</v>
      </c>
      <c r="I1842" s="420">
        <v>0</v>
      </c>
      <c r="J1842" s="420"/>
      <c r="K1842" s="421">
        <f t="shared" si="434"/>
        <v>0</v>
      </c>
      <c r="L1842" s="668" t="s">
        <v>614</v>
      </c>
      <c r="M1842" s="669"/>
      <c r="N1842" s="576">
        <f t="shared" si="443"/>
        <v>0</v>
      </c>
      <c r="O1842" s="577">
        <f t="shared" si="438"/>
        <v>0</v>
      </c>
      <c r="P1842" s="578">
        <f t="shared" si="439"/>
        <v>0</v>
      </c>
      <c r="Q1842" s="765"/>
      <c r="R1842" s="669"/>
      <c r="S1842" s="670"/>
      <c r="T1842" s="577">
        <f t="shared" si="435"/>
        <v>0</v>
      </c>
      <c r="U1842" s="578">
        <f t="shared" si="436"/>
        <v>0</v>
      </c>
      <c r="V1842" s="579"/>
      <c r="W1842" s="637" t="str">
        <f>IF(U1841&gt;0,"xx",IF(P1841&gt;0,"xy",""))</f>
        <v/>
      </c>
      <c r="X1842" s="586" t="str">
        <f t="shared" si="440"/>
        <v/>
      </c>
      <c r="Y1842" s="586" t="str">
        <f t="shared" si="431"/>
        <v/>
      </c>
      <c r="Z1842" s="586" t="str">
        <f t="shared" si="445"/>
        <v/>
      </c>
    </row>
    <row r="1843" spans="1:26" ht="12" hidden="1" thickBot="1" x14ac:dyDescent="0.25">
      <c r="A1843" s="567" t="s">
        <v>168</v>
      </c>
      <c r="B1843" s="644" t="s">
        <v>168</v>
      </c>
      <c r="C1843" s="645"/>
      <c r="D1843" s="451" t="s">
        <v>248</v>
      </c>
      <c r="E1843" s="423"/>
      <c r="F1843" s="424">
        <v>180</v>
      </c>
      <c r="G1843" s="425">
        <v>1.06</v>
      </c>
      <c r="H1843" s="663">
        <f t="shared" ref="H1843:H1844" si="447">IF(F1843&lt;=30,(1.07*F1843+2.68)*G1843,((1.07*30+2.68)+1.07*(F1843-30))*G1843)</f>
        <v>206.99680000000001</v>
      </c>
      <c r="I1843" s="420">
        <v>0</v>
      </c>
      <c r="J1843" s="420"/>
      <c r="K1843" s="421">
        <f t="shared" si="434"/>
        <v>0</v>
      </c>
      <c r="L1843" s="668" t="s">
        <v>614</v>
      </c>
      <c r="M1843" s="669"/>
      <c r="N1843" s="576">
        <f t="shared" si="443"/>
        <v>0</v>
      </c>
      <c r="O1843" s="577">
        <f t="shared" si="438"/>
        <v>0</v>
      </c>
      <c r="P1843" s="578">
        <f t="shared" si="439"/>
        <v>0</v>
      </c>
      <c r="Q1843" s="765"/>
      <c r="R1843" s="669"/>
      <c r="S1843" s="670"/>
      <c r="T1843" s="577">
        <f t="shared" si="435"/>
        <v>0</v>
      </c>
      <c r="U1843" s="578">
        <f t="shared" si="436"/>
        <v>0</v>
      </c>
      <c r="V1843" s="579"/>
      <c r="W1843" s="637" t="str">
        <f>IF(U1841&gt;0,"xx",IF(P1841&gt;0,"xy",""))</f>
        <v/>
      </c>
      <c r="X1843" s="586" t="str">
        <f t="shared" si="440"/>
        <v/>
      </c>
      <c r="Y1843" s="586" t="str">
        <f t="shared" si="431"/>
        <v/>
      </c>
      <c r="Z1843" s="586" t="str">
        <f t="shared" si="445"/>
        <v/>
      </c>
    </row>
    <row r="1844" spans="1:26" ht="12" hidden="1" thickBot="1" x14ac:dyDescent="0.25">
      <c r="A1844" s="567" t="s">
        <v>168</v>
      </c>
      <c r="B1844" s="644" t="s">
        <v>168</v>
      </c>
      <c r="C1844" s="645"/>
      <c r="D1844" s="451" t="s">
        <v>252</v>
      </c>
      <c r="E1844" s="423"/>
      <c r="F1844" s="424">
        <v>20</v>
      </c>
      <c r="G1844" s="425">
        <v>1.1100000000000001</v>
      </c>
      <c r="H1844" s="663">
        <f t="shared" si="447"/>
        <v>26.728800000000003</v>
      </c>
      <c r="I1844" s="420">
        <v>0</v>
      </c>
      <c r="J1844" s="420"/>
      <c r="K1844" s="421">
        <f t="shared" si="434"/>
        <v>0</v>
      </c>
      <c r="L1844" s="668" t="s">
        <v>614</v>
      </c>
      <c r="M1844" s="669"/>
      <c r="N1844" s="576">
        <f t="shared" si="443"/>
        <v>0</v>
      </c>
      <c r="O1844" s="577">
        <f t="shared" si="438"/>
        <v>0</v>
      </c>
      <c r="P1844" s="578">
        <f t="shared" si="439"/>
        <v>0</v>
      </c>
      <c r="Q1844" s="765"/>
      <c r="R1844" s="669"/>
      <c r="S1844" s="670"/>
      <c r="T1844" s="577">
        <f t="shared" si="435"/>
        <v>0</v>
      </c>
      <c r="U1844" s="578">
        <f t="shared" si="436"/>
        <v>0</v>
      </c>
      <c r="V1844" s="579"/>
      <c r="W1844" s="637" t="str">
        <f>IF(U1841&gt;0,"xx",IF(P1841&gt;0,"xy",""))</f>
        <v/>
      </c>
      <c r="X1844" s="586" t="str">
        <f t="shared" si="440"/>
        <v/>
      </c>
      <c r="Y1844" s="586" t="str">
        <f t="shared" si="431"/>
        <v/>
      </c>
      <c r="Z1844" s="586" t="str">
        <f t="shared" si="445"/>
        <v/>
      </c>
    </row>
    <row r="1845" spans="1:26" ht="12" hidden="1" thickBot="1" x14ac:dyDescent="0.25">
      <c r="A1845" s="567">
        <v>603500</v>
      </c>
      <c r="B1845" s="644">
        <v>603500</v>
      </c>
      <c r="C1845" s="645" t="s">
        <v>206</v>
      </c>
      <c r="D1845" s="422" t="s">
        <v>342</v>
      </c>
      <c r="E1845" s="423"/>
      <c r="F1845" s="424"/>
      <c r="G1845" s="425"/>
      <c r="H1845" s="651">
        <f>IF(F1845&lt;=30,(0.31*F1845+0.77)*G1845,((0.31*30+0.77)+0.31*(F1845-30))*G1845)</f>
        <v>0</v>
      </c>
      <c r="I1845" s="420">
        <v>1272.48</v>
      </c>
      <c r="J1845" s="420">
        <f>IF(ISBLANK(I1845),"",SUM(H1845:I1845))</f>
        <v>1272.48</v>
      </c>
      <c r="K1845" s="421">
        <f t="shared" si="434"/>
        <v>1511.83</v>
      </c>
      <c r="L1845" s="647" t="s">
        <v>16</v>
      </c>
      <c r="M1845" s="576"/>
      <c r="N1845" s="576">
        <f t="shared" si="443"/>
        <v>0</v>
      </c>
      <c r="O1845" s="577">
        <f t="shared" si="438"/>
        <v>0</v>
      </c>
      <c r="P1845" s="578">
        <f t="shared" si="439"/>
        <v>0</v>
      </c>
      <c r="Q1845" s="765"/>
      <c r="R1845" s="576">
        <f t="shared" ref="R1845:S1847" si="448">M1845</f>
        <v>0</v>
      </c>
      <c r="S1845" s="576">
        <f t="shared" si="448"/>
        <v>0</v>
      </c>
      <c r="T1845" s="577">
        <f t="shared" si="435"/>
        <v>0</v>
      </c>
      <c r="U1845" s="578">
        <f t="shared" si="436"/>
        <v>0</v>
      </c>
      <c r="V1845" s="579"/>
      <c r="W1845" s="566"/>
      <c r="X1845" s="586" t="str">
        <f t="shared" si="440"/>
        <v/>
      </c>
      <c r="Y1845" s="586" t="str">
        <f t="shared" si="431"/>
        <v/>
      </c>
      <c r="Z1845" s="586" t="str">
        <f t="shared" si="445"/>
        <v/>
      </c>
    </row>
    <row r="1846" spans="1:26" ht="12" hidden="1" thickBot="1" x14ac:dyDescent="0.25">
      <c r="A1846" s="567">
        <v>603500</v>
      </c>
      <c r="B1846" s="644" t="s">
        <v>1881</v>
      </c>
      <c r="C1846" s="645" t="s">
        <v>206</v>
      </c>
      <c r="D1846" s="422" t="s">
        <v>343</v>
      </c>
      <c r="E1846" s="423"/>
      <c r="F1846" s="424"/>
      <c r="G1846" s="425"/>
      <c r="H1846" s="651">
        <f>IF(F1846&lt;=30,(0.31*F1846+0.77)*G1846,((0.31*30+0.77)+0.31*(F1846-30))*G1846)</f>
        <v>0</v>
      </c>
      <c r="I1846" s="420">
        <v>806.62687000000005</v>
      </c>
      <c r="J1846" s="420">
        <f>IF(ISBLANK(I1846),"",SUM(H1846:I1846))*0.86</f>
        <v>693.69910820000007</v>
      </c>
      <c r="K1846" s="421">
        <f t="shared" si="434"/>
        <v>824.18</v>
      </c>
      <c r="L1846" s="647" t="s">
        <v>16</v>
      </c>
      <c r="M1846" s="576"/>
      <c r="N1846" s="576">
        <f t="shared" si="443"/>
        <v>0</v>
      </c>
      <c r="O1846" s="577">
        <f t="shared" si="438"/>
        <v>0</v>
      </c>
      <c r="P1846" s="578">
        <f t="shared" si="439"/>
        <v>0</v>
      </c>
      <c r="Q1846" s="765"/>
      <c r="R1846" s="576">
        <f t="shared" si="448"/>
        <v>0</v>
      </c>
      <c r="S1846" s="576">
        <f t="shared" si="448"/>
        <v>0</v>
      </c>
      <c r="T1846" s="577">
        <f t="shared" si="435"/>
        <v>0</v>
      </c>
      <c r="U1846" s="578">
        <f t="shared" si="436"/>
        <v>0</v>
      </c>
      <c r="V1846" s="579"/>
      <c r="W1846" s="566"/>
      <c r="X1846" s="586" t="str">
        <f t="shared" si="440"/>
        <v/>
      </c>
      <c r="Y1846" s="586" t="str">
        <f t="shared" si="431"/>
        <v/>
      </c>
      <c r="Z1846" s="586" t="str">
        <f t="shared" si="445"/>
        <v/>
      </c>
    </row>
    <row r="1847" spans="1:26" ht="12" hidden="1" thickBot="1" x14ac:dyDescent="0.25">
      <c r="A1847" s="567">
        <v>604000</v>
      </c>
      <c r="B1847" s="644">
        <v>604000</v>
      </c>
      <c r="C1847" s="645" t="s">
        <v>206</v>
      </c>
      <c r="D1847" s="422" t="s">
        <v>344</v>
      </c>
      <c r="E1847" s="423"/>
      <c r="F1847" s="424"/>
      <c r="G1847" s="425"/>
      <c r="H1847" s="651">
        <f>SUM(H1848:H1849)</f>
        <v>480.21987999999999</v>
      </c>
      <c r="I1847" s="420">
        <v>507.14</v>
      </c>
      <c r="J1847" s="420">
        <f>IF(ISBLANK(I1847),"",SUM(H1847:I1847))</f>
        <v>987.35987999999998</v>
      </c>
      <c r="K1847" s="421">
        <f t="shared" si="434"/>
        <v>1173.08</v>
      </c>
      <c r="L1847" s="647" t="s">
        <v>16</v>
      </c>
      <c r="M1847" s="576"/>
      <c r="N1847" s="576">
        <f t="shared" si="443"/>
        <v>0</v>
      </c>
      <c r="O1847" s="577">
        <f t="shared" si="438"/>
        <v>0</v>
      </c>
      <c r="P1847" s="578">
        <f t="shared" si="439"/>
        <v>0</v>
      </c>
      <c r="Q1847" s="765"/>
      <c r="R1847" s="576">
        <f t="shared" si="448"/>
        <v>0</v>
      </c>
      <c r="S1847" s="576">
        <f t="shared" si="448"/>
        <v>0</v>
      </c>
      <c r="T1847" s="577">
        <f t="shared" si="435"/>
        <v>0</v>
      </c>
      <c r="U1847" s="578">
        <f t="shared" si="436"/>
        <v>0</v>
      </c>
      <c r="V1847" s="579"/>
      <c r="W1847" s="566"/>
      <c r="X1847" s="586" t="str">
        <f t="shared" si="440"/>
        <v/>
      </c>
      <c r="Y1847" s="586" t="str">
        <f t="shared" si="431"/>
        <v/>
      </c>
      <c r="Z1847" s="586" t="str">
        <f t="shared" si="445"/>
        <v/>
      </c>
    </row>
    <row r="1848" spans="1:26" ht="12" hidden="1" thickBot="1" x14ac:dyDescent="0.25">
      <c r="A1848" s="567" t="s">
        <v>168</v>
      </c>
      <c r="B1848" s="644" t="s">
        <v>168</v>
      </c>
      <c r="C1848" s="645"/>
      <c r="D1848" s="422" t="s">
        <v>212</v>
      </c>
      <c r="E1848" s="423"/>
      <c r="F1848" s="424">
        <v>500</v>
      </c>
      <c r="G1848" s="425">
        <v>0.434</v>
      </c>
      <c r="H1848" s="649">
        <f>IF(F1848&lt;=30,(0.78*F1848+7.82)*G1848,((0.78*30+7.82)+0.78*(F1848-30))*G1848)</f>
        <v>172.65388000000002</v>
      </c>
      <c r="I1848" s="420"/>
      <c r="J1848" s="420"/>
      <c r="K1848" s="421">
        <f t="shared" si="434"/>
        <v>0</v>
      </c>
      <c r="L1848" s="647"/>
      <c r="M1848" s="723"/>
      <c r="N1848" s="576">
        <f t="shared" si="443"/>
        <v>0</v>
      </c>
      <c r="O1848" s="577">
        <f t="shared" si="438"/>
        <v>0</v>
      </c>
      <c r="P1848" s="578">
        <f t="shared" si="439"/>
        <v>0</v>
      </c>
      <c r="Q1848" s="765"/>
      <c r="R1848" s="723"/>
      <c r="S1848" s="723"/>
      <c r="T1848" s="577">
        <f t="shared" si="435"/>
        <v>0</v>
      </c>
      <c r="U1848" s="578">
        <f t="shared" si="436"/>
        <v>0</v>
      </c>
      <c r="V1848" s="579"/>
      <c r="W1848" s="566" t="str">
        <f>IF(U1847&gt;0,"xx",IF(P1847&gt;0,"xy",""))</f>
        <v/>
      </c>
      <c r="X1848" s="586" t="str">
        <f t="shared" si="440"/>
        <v/>
      </c>
      <c r="Y1848" s="586" t="str">
        <f t="shared" si="431"/>
        <v/>
      </c>
      <c r="Z1848" s="586" t="str">
        <f t="shared" si="445"/>
        <v/>
      </c>
    </row>
    <row r="1849" spans="1:26" ht="12" hidden="1" thickBot="1" x14ac:dyDescent="0.25">
      <c r="A1849" s="567" t="s">
        <v>168</v>
      </c>
      <c r="B1849" s="644" t="s">
        <v>168</v>
      </c>
      <c r="C1849" s="645"/>
      <c r="D1849" s="422" t="s">
        <v>248</v>
      </c>
      <c r="E1849" s="423"/>
      <c r="F1849" s="424">
        <v>180</v>
      </c>
      <c r="G1849" s="425">
        <v>1.575</v>
      </c>
      <c r="H1849" s="663">
        <f t="shared" ref="H1849" si="449">IF(F1849&lt;=30,(1.07*F1849+2.68)*G1849,((1.07*30+2.68)+1.07*(F1849-30))*G1849)</f>
        <v>307.56599999999997</v>
      </c>
      <c r="I1849" s="420"/>
      <c r="J1849" s="420"/>
      <c r="K1849" s="421">
        <f t="shared" si="434"/>
        <v>0</v>
      </c>
      <c r="L1849" s="647"/>
      <c r="M1849" s="723"/>
      <c r="N1849" s="576">
        <f t="shared" si="443"/>
        <v>0</v>
      </c>
      <c r="O1849" s="577">
        <f t="shared" si="438"/>
        <v>0</v>
      </c>
      <c r="P1849" s="578">
        <f t="shared" si="439"/>
        <v>0</v>
      </c>
      <c r="Q1849" s="765"/>
      <c r="R1849" s="723"/>
      <c r="S1849" s="723"/>
      <c r="T1849" s="577">
        <f t="shared" si="435"/>
        <v>0</v>
      </c>
      <c r="U1849" s="578">
        <f t="shared" si="436"/>
        <v>0</v>
      </c>
      <c r="V1849" s="579"/>
      <c r="W1849" s="566" t="str">
        <f>IF(U1847&gt;0,"xx",IF(P1847&gt;0,"xy",""))</f>
        <v/>
      </c>
      <c r="X1849" s="586" t="str">
        <f t="shared" si="440"/>
        <v/>
      </c>
      <c r="Y1849" s="586" t="str">
        <f t="shared" si="431"/>
        <v/>
      </c>
      <c r="Z1849" s="586" t="str">
        <f t="shared" si="445"/>
        <v/>
      </c>
    </row>
    <row r="1850" spans="1:26" ht="12" hidden="1" thickBot="1" x14ac:dyDescent="0.25">
      <c r="A1850" s="567">
        <v>604100</v>
      </c>
      <c r="B1850" s="644">
        <v>604100</v>
      </c>
      <c r="C1850" s="645" t="s">
        <v>206</v>
      </c>
      <c r="D1850" s="422" t="s">
        <v>345</v>
      </c>
      <c r="E1850" s="423"/>
      <c r="F1850" s="424"/>
      <c r="G1850" s="425"/>
      <c r="H1850" s="651">
        <f>SUM(H1851:H1852)</f>
        <v>497.14390000000003</v>
      </c>
      <c r="I1850" s="420">
        <v>449.91999999999996</v>
      </c>
      <c r="J1850" s="420">
        <f>IF(ISBLANK(I1850),"",SUM(H1850:I1850))</f>
        <v>947.06389999999999</v>
      </c>
      <c r="K1850" s="421">
        <f t="shared" si="434"/>
        <v>1125.21</v>
      </c>
      <c r="L1850" s="647" t="s">
        <v>16</v>
      </c>
      <c r="M1850" s="576"/>
      <c r="N1850" s="576">
        <f t="shared" si="443"/>
        <v>0</v>
      </c>
      <c r="O1850" s="577">
        <f t="shared" si="438"/>
        <v>0</v>
      </c>
      <c r="P1850" s="578">
        <f t="shared" si="439"/>
        <v>0</v>
      </c>
      <c r="Q1850" s="765"/>
      <c r="R1850" s="576">
        <f>M1850</f>
        <v>0</v>
      </c>
      <c r="S1850" s="576">
        <f>N1850</f>
        <v>0</v>
      </c>
      <c r="T1850" s="577">
        <f t="shared" si="435"/>
        <v>0</v>
      </c>
      <c r="U1850" s="578">
        <f t="shared" si="436"/>
        <v>0</v>
      </c>
      <c r="V1850" s="579"/>
      <c r="W1850" s="566"/>
      <c r="X1850" s="586" t="str">
        <f t="shared" si="440"/>
        <v/>
      </c>
      <c r="Y1850" s="586" t="str">
        <f t="shared" si="431"/>
        <v/>
      </c>
      <c r="Z1850" s="586" t="str">
        <f t="shared" si="445"/>
        <v/>
      </c>
    </row>
    <row r="1851" spans="1:26" ht="12" hidden="1" thickBot="1" x14ac:dyDescent="0.25">
      <c r="A1851" s="567" t="s">
        <v>168</v>
      </c>
      <c r="B1851" s="644" t="s">
        <v>168</v>
      </c>
      <c r="C1851" s="645"/>
      <c r="D1851" s="422" t="s">
        <v>212</v>
      </c>
      <c r="E1851" s="423"/>
      <c r="F1851" s="424">
        <v>500</v>
      </c>
      <c r="G1851" s="425">
        <v>0.42499999999999999</v>
      </c>
      <c r="H1851" s="649">
        <f>IF(F1851&lt;=30,(0.78*F1851+7.82)*G1851,((0.78*30+7.82)+0.78*(F1851-30))*G1851)</f>
        <v>169.07350000000002</v>
      </c>
      <c r="I1851" s="420"/>
      <c r="J1851" s="420"/>
      <c r="K1851" s="421">
        <f t="shared" si="434"/>
        <v>0</v>
      </c>
      <c r="L1851" s="647"/>
      <c r="M1851" s="723"/>
      <c r="N1851" s="576">
        <f t="shared" si="443"/>
        <v>0</v>
      </c>
      <c r="O1851" s="577">
        <f t="shared" si="438"/>
        <v>0</v>
      </c>
      <c r="P1851" s="578">
        <f t="shared" si="439"/>
        <v>0</v>
      </c>
      <c r="Q1851" s="765"/>
      <c r="R1851" s="723"/>
      <c r="S1851" s="723"/>
      <c r="T1851" s="577">
        <f t="shared" si="435"/>
        <v>0</v>
      </c>
      <c r="U1851" s="578">
        <f t="shared" si="436"/>
        <v>0</v>
      </c>
      <c r="V1851" s="579"/>
      <c r="W1851" s="566" t="str">
        <f>IF(U1850&gt;0,"xx",IF(P1850&gt;0,"xy",""))</f>
        <v/>
      </c>
      <c r="X1851" s="586" t="str">
        <f t="shared" si="440"/>
        <v/>
      </c>
      <c r="Y1851" s="586" t="str">
        <f t="shared" si="431"/>
        <v/>
      </c>
      <c r="Z1851" s="586" t="str">
        <f t="shared" si="445"/>
        <v/>
      </c>
    </row>
    <row r="1852" spans="1:26" ht="12" hidden="1" thickBot="1" x14ac:dyDescent="0.25">
      <c r="A1852" s="567" t="s">
        <v>168</v>
      </c>
      <c r="B1852" s="644" t="s">
        <v>168</v>
      </c>
      <c r="C1852" s="645"/>
      <c r="D1852" s="422" t="s">
        <v>248</v>
      </c>
      <c r="E1852" s="423"/>
      <c r="F1852" s="424">
        <v>180</v>
      </c>
      <c r="G1852" s="425">
        <v>1.68</v>
      </c>
      <c r="H1852" s="663">
        <f t="shared" ref="H1852:H1855" si="450">IF(F1852&lt;=30,(1.07*F1852+2.68)*G1852,((1.07*30+2.68)+1.07*(F1852-30))*G1852)</f>
        <v>328.07040000000001</v>
      </c>
      <c r="I1852" s="420"/>
      <c r="J1852" s="420"/>
      <c r="K1852" s="421">
        <f t="shared" si="434"/>
        <v>0</v>
      </c>
      <c r="L1852" s="647"/>
      <c r="M1852" s="723"/>
      <c r="N1852" s="576">
        <f t="shared" si="443"/>
        <v>0</v>
      </c>
      <c r="O1852" s="577">
        <f t="shared" si="438"/>
        <v>0</v>
      </c>
      <c r="P1852" s="578">
        <f t="shared" si="439"/>
        <v>0</v>
      </c>
      <c r="Q1852" s="765"/>
      <c r="R1852" s="723"/>
      <c r="S1852" s="723"/>
      <c r="T1852" s="577">
        <f t="shared" ref="T1852:T1919" si="451">IF(ISBLANK(R1852),0,ROUND(K1852*R1852,2))</f>
        <v>0</v>
      </c>
      <c r="U1852" s="578">
        <f t="shared" ref="U1852:U1919" si="452">IF(ISBLANK(R1852),0,ROUND(R1852*S1852,2))</f>
        <v>0</v>
      </c>
      <c r="V1852" s="579"/>
      <c r="W1852" s="566" t="str">
        <f>IF(U1850&gt;0,"xx",IF(P1850&gt;0,"xy",""))</f>
        <v/>
      </c>
      <c r="X1852" s="586" t="str">
        <f t="shared" si="440"/>
        <v/>
      </c>
      <c r="Y1852" s="586" t="str">
        <f t="shared" si="431"/>
        <v/>
      </c>
      <c r="Z1852" s="586" t="str">
        <f t="shared" si="445"/>
        <v/>
      </c>
    </row>
    <row r="1853" spans="1:26" ht="12" hidden="1" thickBot="1" x14ac:dyDescent="0.25">
      <c r="A1853" s="567">
        <v>640000</v>
      </c>
      <c r="B1853" s="644">
        <v>640000</v>
      </c>
      <c r="C1853" s="645" t="s">
        <v>206</v>
      </c>
      <c r="D1853" s="422" t="s">
        <v>346</v>
      </c>
      <c r="E1853" s="423"/>
      <c r="F1853" s="424"/>
      <c r="G1853" s="425"/>
      <c r="H1853" s="651">
        <f>SUM(H1854:H1855)</f>
        <v>100.25912000000001</v>
      </c>
      <c r="I1853" s="420">
        <v>95.3</v>
      </c>
      <c r="J1853" s="420">
        <f>IF(ISBLANK(I1853),"",SUM(H1853:I1853))</f>
        <v>195.55912000000001</v>
      </c>
      <c r="K1853" s="421">
        <f t="shared" si="434"/>
        <v>232.34</v>
      </c>
      <c r="L1853" s="647" t="s">
        <v>19</v>
      </c>
      <c r="M1853" s="576"/>
      <c r="N1853" s="576">
        <f t="shared" si="443"/>
        <v>0</v>
      </c>
      <c r="O1853" s="577">
        <f t="shared" ref="O1853:O1920" si="453">IF(ISBLANK(M1853),0,ROUND(K1853*M1853,2))</f>
        <v>0</v>
      </c>
      <c r="P1853" s="578">
        <f t="shared" ref="P1853:P1920" si="454">IF(ISBLANK(N1853),0,ROUND(M1853*N1853,2))</f>
        <v>0</v>
      </c>
      <c r="Q1853" s="765"/>
      <c r="R1853" s="576">
        <f>M1853</f>
        <v>0</v>
      </c>
      <c r="S1853" s="576">
        <f>N1853</f>
        <v>0</v>
      </c>
      <c r="T1853" s="577">
        <f t="shared" si="451"/>
        <v>0</v>
      </c>
      <c r="U1853" s="578">
        <f t="shared" si="452"/>
        <v>0</v>
      </c>
      <c r="V1853" s="579"/>
      <c r="W1853" s="566"/>
      <c r="X1853" s="586" t="str">
        <f t="shared" si="440"/>
        <v/>
      </c>
      <c r="Y1853" s="586" t="str">
        <f t="shared" si="431"/>
        <v/>
      </c>
      <c r="Z1853" s="586" t="str">
        <f t="shared" si="445"/>
        <v/>
      </c>
    </row>
    <row r="1854" spans="1:26" ht="12" hidden="1" thickBot="1" x14ac:dyDescent="0.25">
      <c r="A1854" s="567" t="s">
        <v>168</v>
      </c>
      <c r="B1854" s="644" t="s">
        <v>168</v>
      </c>
      <c r="C1854" s="645"/>
      <c r="D1854" s="422" t="s">
        <v>248</v>
      </c>
      <c r="E1854" s="423"/>
      <c r="F1854" s="424">
        <v>180</v>
      </c>
      <c r="G1854" s="425">
        <v>0.50700000000000001</v>
      </c>
      <c r="H1854" s="663">
        <f t="shared" si="450"/>
        <v>99.006960000000007</v>
      </c>
      <c r="I1854" s="420"/>
      <c r="J1854" s="420"/>
      <c r="K1854" s="421">
        <f t="shared" si="434"/>
        <v>0</v>
      </c>
      <c r="L1854" s="647"/>
      <c r="M1854" s="723"/>
      <c r="N1854" s="576">
        <f t="shared" si="443"/>
        <v>0</v>
      </c>
      <c r="O1854" s="577">
        <f t="shared" si="453"/>
        <v>0</v>
      </c>
      <c r="P1854" s="578">
        <f t="shared" si="454"/>
        <v>0</v>
      </c>
      <c r="Q1854" s="765"/>
      <c r="R1854" s="723"/>
      <c r="S1854" s="723"/>
      <c r="T1854" s="577">
        <f t="shared" si="451"/>
        <v>0</v>
      </c>
      <c r="U1854" s="578">
        <f t="shared" si="452"/>
        <v>0</v>
      </c>
      <c r="V1854" s="579"/>
      <c r="W1854" s="566" t="str">
        <f>IF(U1853&gt;0,"xx",IF(P1853&gt;0,"xy",""))</f>
        <v/>
      </c>
      <c r="X1854" s="586" t="str">
        <f t="shared" si="440"/>
        <v/>
      </c>
      <c r="Y1854" s="586" t="str">
        <f t="shared" si="431"/>
        <v/>
      </c>
      <c r="Z1854" s="586" t="str">
        <f t="shared" si="445"/>
        <v/>
      </c>
    </row>
    <row r="1855" spans="1:26" ht="12" hidden="1" thickBot="1" x14ac:dyDescent="0.25">
      <c r="A1855" s="567" t="s">
        <v>168</v>
      </c>
      <c r="B1855" s="644" t="s">
        <v>168</v>
      </c>
      <c r="C1855" s="645"/>
      <c r="D1855" s="422" t="s">
        <v>347</v>
      </c>
      <c r="E1855" s="423"/>
      <c r="F1855" s="424">
        <v>20</v>
      </c>
      <c r="G1855" s="425">
        <v>5.1999999999999998E-2</v>
      </c>
      <c r="H1855" s="663">
        <f t="shared" si="450"/>
        <v>1.2521599999999999</v>
      </c>
      <c r="I1855" s="420"/>
      <c r="J1855" s="420"/>
      <c r="K1855" s="421">
        <f t="shared" si="434"/>
        <v>0</v>
      </c>
      <c r="L1855" s="647"/>
      <c r="M1855" s="723"/>
      <c r="N1855" s="576">
        <f t="shared" si="443"/>
        <v>0</v>
      </c>
      <c r="O1855" s="577">
        <f t="shared" si="453"/>
        <v>0</v>
      </c>
      <c r="P1855" s="578">
        <f t="shared" si="454"/>
        <v>0</v>
      </c>
      <c r="Q1855" s="765"/>
      <c r="R1855" s="723"/>
      <c r="S1855" s="723"/>
      <c r="T1855" s="577">
        <f t="shared" si="451"/>
        <v>0</v>
      </c>
      <c r="U1855" s="578">
        <f t="shared" si="452"/>
        <v>0</v>
      </c>
      <c r="V1855" s="579"/>
      <c r="W1855" s="566" t="str">
        <f>IF(U1853&gt;0,"xx",IF(P1853&gt;0,"xy",""))</f>
        <v/>
      </c>
      <c r="X1855" s="586" t="str">
        <f t="shared" si="440"/>
        <v/>
      </c>
      <c r="Y1855" s="586" t="str">
        <f t="shared" si="431"/>
        <v/>
      </c>
      <c r="Z1855" s="586" t="str">
        <f t="shared" si="445"/>
        <v/>
      </c>
    </row>
    <row r="1856" spans="1:26" ht="12" hidden="1" thickBot="1" x14ac:dyDescent="0.25">
      <c r="A1856" s="567">
        <v>605000</v>
      </c>
      <c r="B1856" s="644" t="s">
        <v>1633</v>
      </c>
      <c r="C1856" s="645" t="s">
        <v>206</v>
      </c>
      <c r="D1856" s="422" t="s">
        <v>348</v>
      </c>
      <c r="E1856" s="423"/>
      <c r="F1856" s="424"/>
      <c r="G1856" s="425"/>
      <c r="H1856" s="651">
        <f>SUM(H1857:H1859)</f>
        <v>305.33319999999998</v>
      </c>
      <c r="I1856" s="420">
        <v>408.95</v>
      </c>
      <c r="J1856" s="420">
        <f>IF(ISBLANK(I1856),"",SUM(H1856:I1856))</f>
        <v>714.28319999999997</v>
      </c>
      <c r="K1856" s="421">
        <f t="shared" ref="K1856:K1919" si="455">IF(ISBLANK(I1856),0,ROUND(J1856*(1+$F$10)*(1+$F$11*E1856),2))</f>
        <v>848.64</v>
      </c>
      <c r="L1856" s="647" t="s">
        <v>16</v>
      </c>
      <c r="M1856" s="576"/>
      <c r="N1856" s="576">
        <f t="shared" si="443"/>
        <v>0</v>
      </c>
      <c r="O1856" s="577">
        <f t="shared" si="453"/>
        <v>0</v>
      </c>
      <c r="P1856" s="578">
        <f t="shared" si="454"/>
        <v>0</v>
      </c>
      <c r="Q1856" s="765"/>
      <c r="R1856" s="576">
        <f>M1856</f>
        <v>0</v>
      </c>
      <c r="S1856" s="576">
        <f>N1856</f>
        <v>0</v>
      </c>
      <c r="T1856" s="577">
        <f t="shared" si="451"/>
        <v>0</v>
      </c>
      <c r="U1856" s="578">
        <f t="shared" si="452"/>
        <v>0</v>
      </c>
      <c r="V1856" s="579"/>
      <c r="W1856" s="566"/>
      <c r="X1856" s="586" t="str">
        <f t="shared" si="440"/>
        <v/>
      </c>
      <c r="Y1856" s="586" t="str">
        <f t="shared" si="431"/>
        <v/>
      </c>
      <c r="Z1856" s="586" t="str">
        <f t="shared" si="445"/>
        <v/>
      </c>
    </row>
    <row r="1857" spans="1:26" ht="12" hidden="1" thickBot="1" x14ac:dyDescent="0.25">
      <c r="A1857" s="567" t="s">
        <v>168</v>
      </c>
      <c r="B1857" s="644" t="s">
        <v>168</v>
      </c>
      <c r="C1857" s="645"/>
      <c r="D1857" s="422" t="s">
        <v>212</v>
      </c>
      <c r="E1857" s="423"/>
      <c r="F1857" s="424">
        <v>500</v>
      </c>
      <c r="G1857" s="425">
        <v>0.18</v>
      </c>
      <c r="H1857" s="649">
        <f>IF(F1857&lt;=30,(0.78*F1857+7.82)*G1857,((0.78*30+7.82)+0.78*(F1857-30))*G1857)</f>
        <v>71.607600000000005</v>
      </c>
      <c r="I1857" s="420"/>
      <c r="J1857" s="420"/>
      <c r="K1857" s="421">
        <f t="shared" si="455"/>
        <v>0</v>
      </c>
      <c r="L1857" s="647"/>
      <c r="M1857" s="723"/>
      <c r="N1857" s="576">
        <f t="shared" si="443"/>
        <v>0</v>
      </c>
      <c r="O1857" s="577">
        <f t="shared" si="453"/>
        <v>0</v>
      </c>
      <c r="P1857" s="578">
        <f t="shared" si="454"/>
        <v>0</v>
      </c>
      <c r="Q1857" s="765"/>
      <c r="R1857" s="723"/>
      <c r="S1857" s="723"/>
      <c r="T1857" s="577">
        <f t="shared" si="451"/>
        <v>0</v>
      </c>
      <c r="U1857" s="578">
        <f t="shared" si="452"/>
        <v>0</v>
      </c>
      <c r="V1857" s="579"/>
      <c r="W1857" s="566" t="str">
        <f>IF(U1856&gt;0,"xx",IF(P1856&gt;0,"xy",""))</f>
        <v/>
      </c>
      <c r="X1857" s="586" t="str">
        <f t="shared" si="440"/>
        <v/>
      </c>
      <c r="Y1857" s="586" t="str">
        <f t="shared" si="431"/>
        <v/>
      </c>
      <c r="Z1857" s="586" t="str">
        <f t="shared" si="445"/>
        <v/>
      </c>
    </row>
    <row r="1858" spans="1:26" ht="12" hidden="1" thickBot="1" x14ac:dyDescent="0.25">
      <c r="A1858" s="567" t="s">
        <v>168</v>
      </c>
      <c r="B1858" s="644" t="s">
        <v>168</v>
      </c>
      <c r="C1858" s="645"/>
      <c r="D1858" s="422" t="s">
        <v>248</v>
      </c>
      <c r="E1858" s="423"/>
      <c r="F1858" s="424">
        <v>180</v>
      </c>
      <c r="G1858" s="425">
        <v>1.06</v>
      </c>
      <c r="H1858" s="663">
        <f t="shared" ref="H1858:H1859" si="456">IF(F1858&lt;=30,(1.07*F1858+2.68)*G1858,((1.07*30+2.68)+1.07*(F1858-30))*G1858)</f>
        <v>206.99680000000001</v>
      </c>
      <c r="I1858" s="420"/>
      <c r="J1858" s="420"/>
      <c r="K1858" s="421">
        <f t="shared" si="455"/>
        <v>0</v>
      </c>
      <c r="L1858" s="647"/>
      <c r="M1858" s="723"/>
      <c r="N1858" s="576">
        <f t="shared" si="443"/>
        <v>0</v>
      </c>
      <c r="O1858" s="577">
        <f t="shared" si="453"/>
        <v>0</v>
      </c>
      <c r="P1858" s="578">
        <f t="shared" si="454"/>
        <v>0</v>
      </c>
      <c r="Q1858" s="765"/>
      <c r="R1858" s="723"/>
      <c r="S1858" s="723"/>
      <c r="T1858" s="577">
        <f t="shared" si="451"/>
        <v>0</v>
      </c>
      <c r="U1858" s="578">
        <f t="shared" si="452"/>
        <v>0</v>
      </c>
      <c r="V1858" s="579"/>
      <c r="W1858" s="566" t="str">
        <f>IF(U1856&gt;0,"xx",IF(P1856&gt;0,"xy",""))</f>
        <v/>
      </c>
      <c r="X1858" s="586" t="str">
        <f t="shared" si="440"/>
        <v/>
      </c>
      <c r="Y1858" s="586" t="str">
        <f t="shared" si="431"/>
        <v/>
      </c>
      <c r="Z1858" s="586" t="str">
        <f t="shared" si="445"/>
        <v/>
      </c>
    </row>
    <row r="1859" spans="1:26" ht="12" hidden="1" thickBot="1" x14ac:dyDescent="0.25">
      <c r="A1859" s="567" t="s">
        <v>168</v>
      </c>
      <c r="B1859" s="644" t="s">
        <v>168</v>
      </c>
      <c r="C1859" s="645"/>
      <c r="D1859" s="422" t="s">
        <v>252</v>
      </c>
      <c r="E1859" s="423"/>
      <c r="F1859" s="424">
        <v>20</v>
      </c>
      <c r="G1859" s="425">
        <v>1.1100000000000001</v>
      </c>
      <c r="H1859" s="663">
        <f t="shared" si="456"/>
        <v>26.728800000000003</v>
      </c>
      <c r="I1859" s="420"/>
      <c r="J1859" s="420"/>
      <c r="K1859" s="421">
        <f t="shared" si="455"/>
        <v>0</v>
      </c>
      <c r="L1859" s="647"/>
      <c r="M1859" s="723"/>
      <c r="N1859" s="576">
        <f t="shared" si="443"/>
        <v>0</v>
      </c>
      <c r="O1859" s="577">
        <f t="shared" si="453"/>
        <v>0</v>
      </c>
      <c r="P1859" s="578">
        <f t="shared" si="454"/>
        <v>0</v>
      </c>
      <c r="Q1859" s="765"/>
      <c r="R1859" s="723"/>
      <c r="S1859" s="723"/>
      <c r="T1859" s="577">
        <f t="shared" si="451"/>
        <v>0</v>
      </c>
      <c r="U1859" s="578">
        <f t="shared" si="452"/>
        <v>0</v>
      </c>
      <c r="V1859" s="579"/>
      <c r="W1859" s="566" t="str">
        <f>IF(U1856&gt;0,"xx",IF(P1856&gt;0,"xy",""))</f>
        <v/>
      </c>
      <c r="X1859" s="586" t="str">
        <f t="shared" si="440"/>
        <v/>
      </c>
      <c r="Y1859" s="586" t="str">
        <f t="shared" si="431"/>
        <v/>
      </c>
      <c r="Z1859" s="586" t="str">
        <f t="shared" si="445"/>
        <v/>
      </c>
    </row>
    <row r="1860" spans="1:26" ht="12" hidden="1" thickBot="1" x14ac:dyDescent="0.25">
      <c r="A1860" s="567">
        <v>606000</v>
      </c>
      <c r="B1860" s="644" t="s">
        <v>1639</v>
      </c>
      <c r="C1860" s="645" t="s">
        <v>206</v>
      </c>
      <c r="D1860" s="422" t="s">
        <v>636</v>
      </c>
      <c r="E1860" s="423"/>
      <c r="F1860" s="424"/>
      <c r="G1860" s="425"/>
      <c r="H1860" s="651">
        <f>SUM(H1861:H1863)</f>
        <v>235.96230000000003</v>
      </c>
      <c r="I1860" s="420">
        <v>365.08</v>
      </c>
      <c r="J1860" s="420">
        <f>IF(ISBLANK(I1860),"",SUM(H1860:I1860))</f>
        <v>601.04230000000007</v>
      </c>
      <c r="K1860" s="421">
        <f t="shared" si="455"/>
        <v>714.1</v>
      </c>
      <c r="L1860" s="647" t="s">
        <v>16</v>
      </c>
      <c r="M1860" s="576"/>
      <c r="N1860" s="576">
        <f t="shared" si="443"/>
        <v>0</v>
      </c>
      <c r="O1860" s="577">
        <f t="shared" si="453"/>
        <v>0</v>
      </c>
      <c r="P1860" s="578">
        <f t="shared" si="454"/>
        <v>0</v>
      </c>
      <c r="Q1860" s="765"/>
      <c r="R1860" s="576">
        <f>M1860</f>
        <v>0</v>
      </c>
      <c r="S1860" s="576">
        <f>N1860</f>
        <v>0</v>
      </c>
      <c r="T1860" s="577">
        <f t="shared" si="451"/>
        <v>0</v>
      </c>
      <c r="U1860" s="578">
        <f t="shared" si="452"/>
        <v>0</v>
      </c>
      <c r="V1860" s="579"/>
      <c r="W1860" s="566"/>
      <c r="X1860" s="586" t="str">
        <f t="shared" si="440"/>
        <v/>
      </c>
      <c r="Y1860" s="586" t="str">
        <f t="shared" si="431"/>
        <v/>
      </c>
      <c r="Z1860" s="586" t="str">
        <f t="shared" si="445"/>
        <v/>
      </c>
    </row>
    <row r="1861" spans="1:26" ht="12" hidden="1" thickBot="1" x14ac:dyDescent="0.25">
      <c r="A1861" s="567" t="s">
        <v>168</v>
      </c>
      <c r="B1861" s="644" t="s">
        <v>168</v>
      </c>
      <c r="C1861" s="645"/>
      <c r="D1861" s="422" t="s">
        <v>212</v>
      </c>
      <c r="E1861" s="423"/>
      <c r="F1861" s="424">
        <v>500</v>
      </c>
      <c r="G1861" s="425">
        <v>0.189</v>
      </c>
      <c r="H1861" s="649">
        <f>IF(F1861&lt;=30,(0.78*F1861+7.82)*G1861,((0.78*30+7.82)+0.78*(F1861-30))*G1861)</f>
        <v>75.18798000000001</v>
      </c>
      <c r="I1861" s="420"/>
      <c r="J1861" s="420"/>
      <c r="K1861" s="421">
        <f t="shared" si="455"/>
        <v>0</v>
      </c>
      <c r="L1861" s="647"/>
      <c r="M1861" s="723"/>
      <c r="N1861" s="576">
        <f t="shared" si="443"/>
        <v>0</v>
      </c>
      <c r="O1861" s="577">
        <f t="shared" si="453"/>
        <v>0</v>
      </c>
      <c r="P1861" s="578">
        <f t="shared" si="454"/>
        <v>0</v>
      </c>
      <c r="Q1861" s="765"/>
      <c r="R1861" s="723"/>
      <c r="S1861" s="723"/>
      <c r="T1861" s="577">
        <f t="shared" si="451"/>
        <v>0</v>
      </c>
      <c r="U1861" s="578">
        <f t="shared" si="452"/>
        <v>0</v>
      </c>
      <c r="V1861" s="579"/>
      <c r="W1861" s="566" t="str">
        <f>IF(U1860&gt;0,"xx",IF(P1860&gt;0,"xy",""))</f>
        <v/>
      </c>
      <c r="X1861" s="586" t="str">
        <f t="shared" si="440"/>
        <v/>
      </c>
      <c r="Y1861" s="586" t="str">
        <f t="shared" si="431"/>
        <v/>
      </c>
      <c r="Z1861" s="586" t="str">
        <f t="shared" si="445"/>
        <v/>
      </c>
    </row>
    <row r="1862" spans="1:26" ht="12" hidden="1" thickBot="1" x14ac:dyDescent="0.25">
      <c r="A1862" s="567" t="s">
        <v>168</v>
      </c>
      <c r="B1862" s="644" t="s">
        <v>168</v>
      </c>
      <c r="C1862" s="645"/>
      <c r="D1862" s="422" t="s">
        <v>248</v>
      </c>
      <c r="E1862" s="423"/>
      <c r="F1862" s="424">
        <v>180</v>
      </c>
      <c r="G1862" s="425">
        <v>0.67200000000000004</v>
      </c>
      <c r="H1862" s="663">
        <f t="shared" ref="H1862:H1863" si="457">IF(F1862&lt;=30,(1.07*F1862+2.68)*G1862,((1.07*30+2.68)+1.07*(F1862-30))*G1862)</f>
        <v>131.22816</v>
      </c>
      <c r="I1862" s="420"/>
      <c r="J1862" s="420"/>
      <c r="K1862" s="421">
        <f t="shared" si="455"/>
        <v>0</v>
      </c>
      <c r="L1862" s="647"/>
      <c r="M1862" s="723"/>
      <c r="N1862" s="576">
        <f t="shared" si="443"/>
        <v>0</v>
      </c>
      <c r="O1862" s="577">
        <f t="shared" si="453"/>
        <v>0</v>
      </c>
      <c r="P1862" s="578">
        <f t="shared" si="454"/>
        <v>0</v>
      </c>
      <c r="Q1862" s="765"/>
      <c r="R1862" s="723"/>
      <c r="S1862" s="723"/>
      <c r="T1862" s="577">
        <f t="shared" si="451"/>
        <v>0</v>
      </c>
      <c r="U1862" s="578">
        <f t="shared" si="452"/>
        <v>0</v>
      </c>
      <c r="V1862" s="579"/>
      <c r="W1862" s="566" t="str">
        <f>IF(U1860&gt;0,"xx",IF(P1860&gt;0,"xy",""))</f>
        <v/>
      </c>
      <c r="X1862" s="586" t="str">
        <f t="shared" si="440"/>
        <v/>
      </c>
      <c r="Y1862" s="586" t="str">
        <f t="shared" si="431"/>
        <v/>
      </c>
      <c r="Z1862" s="586" t="str">
        <f t="shared" si="445"/>
        <v/>
      </c>
    </row>
    <row r="1863" spans="1:26" ht="12" hidden="1" thickBot="1" x14ac:dyDescent="0.25">
      <c r="A1863" s="567" t="s">
        <v>168</v>
      </c>
      <c r="B1863" s="644" t="s">
        <v>168</v>
      </c>
      <c r="C1863" s="645"/>
      <c r="D1863" s="422" t="s">
        <v>350</v>
      </c>
      <c r="E1863" s="423"/>
      <c r="F1863" s="424">
        <v>20</v>
      </c>
      <c r="G1863" s="425">
        <v>1.2270000000000001</v>
      </c>
      <c r="H1863" s="663">
        <f t="shared" si="457"/>
        <v>29.546160000000004</v>
      </c>
      <c r="I1863" s="420"/>
      <c r="J1863" s="420"/>
      <c r="K1863" s="421">
        <f t="shared" si="455"/>
        <v>0</v>
      </c>
      <c r="L1863" s="647"/>
      <c r="M1863" s="723"/>
      <c r="N1863" s="576">
        <f t="shared" si="443"/>
        <v>0</v>
      </c>
      <c r="O1863" s="577">
        <f t="shared" si="453"/>
        <v>0</v>
      </c>
      <c r="P1863" s="578">
        <f t="shared" si="454"/>
        <v>0</v>
      </c>
      <c r="Q1863" s="765"/>
      <c r="R1863" s="723"/>
      <c r="S1863" s="723"/>
      <c r="T1863" s="577">
        <f t="shared" si="451"/>
        <v>0</v>
      </c>
      <c r="U1863" s="578">
        <f t="shared" si="452"/>
        <v>0</v>
      </c>
      <c r="V1863" s="579"/>
      <c r="W1863" s="566" t="str">
        <f>IF(U1860&gt;0,"xx",IF(P1860&gt;0,"xy",""))</f>
        <v/>
      </c>
      <c r="X1863" s="586" t="str">
        <f t="shared" si="440"/>
        <v/>
      </c>
      <c r="Y1863" s="586" t="str">
        <f t="shared" si="431"/>
        <v/>
      </c>
      <c r="Z1863" s="586" t="str">
        <f t="shared" si="445"/>
        <v/>
      </c>
    </row>
    <row r="1864" spans="1:26" ht="12" hidden="1" thickBot="1" x14ac:dyDescent="0.25">
      <c r="A1864" s="567">
        <v>605100</v>
      </c>
      <c r="B1864" s="644">
        <v>605100</v>
      </c>
      <c r="C1864" s="645" t="s">
        <v>206</v>
      </c>
      <c r="D1864" s="422" t="s">
        <v>1511</v>
      </c>
      <c r="E1864" s="423"/>
      <c r="F1864" s="424"/>
      <c r="G1864" s="425"/>
      <c r="H1864" s="651">
        <f>SUM(H1865:H1867)</f>
        <v>313.28960000000001</v>
      </c>
      <c r="I1864" s="420">
        <v>420.33</v>
      </c>
      <c r="J1864" s="420">
        <f>IF(ISBLANK(I1864),"",SUM(H1864:I1864))</f>
        <v>733.61959999999999</v>
      </c>
      <c r="K1864" s="421">
        <f t="shared" si="455"/>
        <v>871.61</v>
      </c>
      <c r="L1864" s="647" t="s">
        <v>16</v>
      </c>
      <c r="M1864" s="576"/>
      <c r="N1864" s="576">
        <f t="shared" si="443"/>
        <v>0</v>
      </c>
      <c r="O1864" s="577">
        <f t="shared" si="453"/>
        <v>0</v>
      </c>
      <c r="P1864" s="578">
        <f t="shared" si="454"/>
        <v>0</v>
      </c>
      <c r="Q1864" s="765"/>
      <c r="R1864" s="576">
        <f>M1864</f>
        <v>0</v>
      </c>
      <c r="S1864" s="576">
        <f>N1864</f>
        <v>0</v>
      </c>
      <c r="T1864" s="577">
        <f t="shared" si="451"/>
        <v>0</v>
      </c>
      <c r="U1864" s="578">
        <f t="shared" si="452"/>
        <v>0</v>
      </c>
      <c r="V1864" s="579"/>
      <c r="W1864" s="566"/>
      <c r="X1864" s="586" t="str">
        <f>IF(W1864="X","x",IF(W1864="xx","x",IF(W1864="xy","x",IF(W1864="y","x",IF(OR(P1864&gt;0,U1864&gt;0),"x","")))))</f>
        <v/>
      </c>
      <c r="Y1864" s="586" t="str">
        <f>IF(W1864="X","x",IF(W1864="y","x",IF(W1864="xx","x",IF(U1864&gt;0,"x",""))))</f>
        <v/>
      </c>
      <c r="Z1864" s="586" t="str">
        <f>IF(W1864="X","x",IF(U1864&gt;0,"x",""))</f>
        <v/>
      </c>
    </row>
    <row r="1865" spans="1:26" ht="12" hidden="1" thickBot="1" x14ac:dyDescent="0.25">
      <c r="A1865" s="567" t="s">
        <v>168</v>
      </c>
      <c r="B1865" s="644" t="s">
        <v>168</v>
      </c>
      <c r="C1865" s="645"/>
      <c r="D1865" s="422" t="s">
        <v>212</v>
      </c>
      <c r="E1865" s="423"/>
      <c r="F1865" s="424">
        <v>500</v>
      </c>
      <c r="G1865" s="425">
        <v>0.2</v>
      </c>
      <c r="H1865" s="649">
        <f>IF(F1865&lt;=30,(0.78*F1865+7.82)*G1865,((0.78*30+7.82)+0.78*(F1865-30))*G1865)</f>
        <v>79.564000000000021</v>
      </c>
      <c r="I1865" s="420"/>
      <c r="J1865" s="420"/>
      <c r="K1865" s="421">
        <f t="shared" si="455"/>
        <v>0</v>
      </c>
      <c r="L1865" s="647"/>
      <c r="M1865" s="723"/>
      <c r="N1865" s="576">
        <f t="shared" si="443"/>
        <v>0</v>
      </c>
      <c r="O1865" s="577">
        <f t="shared" si="453"/>
        <v>0</v>
      </c>
      <c r="P1865" s="578">
        <f t="shared" si="454"/>
        <v>0</v>
      </c>
      <c r="Q1865" s="765"/>
      <c r="R1865" s="723"/>
      <c r="S1865" s="723"/>
      <c r="T1865" s="577">
        <f t="shared" si="451"/>
        <v>0</v>
      </c>
      <c r="U1865" s="578">
        <f t="shared" si="452"/>
        <v>0</v>
      </c>
      <c r="V1865" s="579"/>
      <c r="W1865" s="566" t="str">
        <f>IF(U1864&gt;0,"xx",IF(P1864&gt;0,"xy",""))</f>
        <v/>
      </c>
      <c r="X1865" s="586" t="str">
        <f>IF(W1865="X","x",IF(W1865="xx","x",IF(W1865="xy","x",IF(W1865="y","x",IF(OR(P1865&gt;0,U1865&gt;0),"x","")))))</f>
        <v/>
      </c>
      <c r="Y1865" s="586" t="str">
        <f>IF(W1865="X","x",IF(W1865="y","x",IF(W1865="xx","x",IF(U1865&gt;0,"x",""))))</f>
        <v/>
      </c>
      <c r="Z1865" s="586" t="str">
        <f>IF(W1865="X","x",IF(U1865&gt;0,"x",""))</f>
        <v/>
      </c>
    </row>
    <row r="1866" spans="1:26" ht="12" hidden="1" thickBot="1" x14ac:dyDescent="0.25">
      <c r="A1866" s="567" t="s">
        <v>168</v>
      </c>
      <c r="B1866" s="644" t="s">
        <v>168</v>
      </c>
      <c r="C1866" s="645"/>
      <c r="D1866" s="422" t="s">
        <v>248</v>
      </c>
      <c r="E1866" s="423"/>
      <c r="F1866" s="424">
        <v>180</v>
      </c>
      <c r="G1866" s="425">
        <v>1.06</v>
      </c>
      <c r="H1866" s="663">
        <f t="shared" ref="H1866:H1867" si="458">IF(F1866&lt;=30,(1.07*F1866+2.68)*G1866,((1.07*30+2.68)+1.07*(F1866-30))*G1866)</f>
        <v>206.99680000000001</v>
      </c>
      <c r="I1866" s="420"/>
      <c r="J1866" s="420"/>
      <c r="K1866" s="421">
        <f t="shared" si="455"/>
        <v>0</v>
      </c>
      <c r="L1866" s="647"/>
      <c r="M1866" s="723"/>
      <c r="N1866" s="576">
        <f t="shared" si="443"/>
        <v>0</v>
      </c>
      <c r="O1866" s="577">
        <f t="shared" si="453"/>
        <v>0</v>
      </c>
      <c r="P1866" s="578">
        <f t="shared" si="454"/>
        <v>0</v>
      </c>
      <c r="Q1866" s="765"/>
      <c r="R1866" s="723"/>
      <c r="S1866" s="723"/>
      <c r="T1866" s="577">
        <f t="shared" si="451"/>
        <v>0</v>
      </c>
      <c r="U1866" s="578">
        <f t="shared" si="452"/>
        <v>0</v>
      </c>
      <c r="V1866" s="579"/>
      <c r="W1866" s="566" t="str">
        <f>IF(U1864&gt;0,"xx",IF(P1864&gt;0,"xy",""))</f>
        <v/>
      </c>
      <c r="X1866" s="586" t="str">
        <f>IF(W1866="X","x",IF(W1866="xx","x",IF(W1866="xy","x",IF(W1866="y","x",IF(OR(P1866&gt;0,U1866&gt;0),"x","")))))</f>
        <v/>
      </c>
      <c r="Y1866" s="586" t="str">
        <f>IF(W1866="X","x",IF(W1866="y","x",IF(W1866="xx","x",IF(U1866&gt;0,"x",""))))</f>
        <v/>
      </c>
      <c r="Z1866" s="586" t="str">
        <f>IF(W1866="X","x",IF(U1866&gt;0,"x",""))</f>
        <v/>
      </c>
    </row>
    <row r="1867" spans="1:26" ht="12" hidden="1" thickBot="1" x14ac:dyDescent="0.25">
      <c r="A1867" s="567" t="s">
        <v>168</v>
      </c>
      <c r="B1867" s="644" t="s">
        <v>168</v>
      </c>
      <c r="C1867" s="645"/>
      <c r="D1867" s="422" t="s">
        <v>252</v>
      </c>
      <c r="E1867" s="423"/>
      <c r="F1867" s="424">
        <v>20</v>
      </c>
      <c r="G1867" s="425">
        <v>1.1100000000000001</v>
      </c>
      <c r="H1867" s="663">
        <f t="shared" si="458"/>
        <v>26.728800000000003</v>
      </c>
      <c r="I1867" s="420"/>
      <c r="J1867" s="420"/>
      <c r="K1867" s="421">
        <f t="shared" si="455"/>
        <v>0</v>
      </c>
      <c r="L1867" s="647"/>
      <c r="M1867" s="723"/>
      <c r="N1867" s="576">
        <f t="shared" si="443"/>
        <v>0</v>
      </c>
      <c r="O1867" s="577">
        <f t="shared" si="453"/>
        <v>0</v>
      </c>
      <c r="P1867" s="578">
        <f t="shared" si="454"/>
        <v>0</v>
      </c>
      <c r="Q1867" s="765"/>
      <c r="R1867" s="723"/>
      <c r="S1867" s="723"/>
      <c r="T1867" s="577">
        <f t="shared" si="451"/>
        <v>0</v>
      </c>
      <c r="U1867" s="578">
        <f t="shared" si="452"/>
        <v>0</v>
      </c>
      <c r="V1867" s="579"/>
      <c r="W1867" s="566" t="str">
        <f>IF(U1864&gt;0,"xx",IF(P1864&gt;0,"xy",""))</f>
        <v/>
      </c>
      <c r="X1867" s="586" t="str">
        <f>IF(W1867="X","x",IF(W1867="xx","x",IF(W1867="xy","x",IF(W1867="y","x",IF(OR(P1867&gt;0,U1867&gt;0),"x","")))))</f>
        <v/>
      </c>
      <c r="Y1867" s="586" t="str">
        <f>IF(W1867="X","x",IF(W1867="y","x",IF(W1867="xx","x",IF(U1867&gt;0,"x",""))))</f>
        <v/>
      </c>
      <c r="Z1867" s="586" t="str">
        <f>IF(W1867="X","x",IF(U1867&gt;0,"x",""))</f>
        <v/>
      </c>
    </row>
    <row r="1868" spans="1:26" ht="12" hidden="1" thickBot="1" x14ac:dyDescent="0.25">
      <c r="A1868" s="567">
        <v>605200</v>
      </c>
      <c r="B1868" s="644" t="s">
        <v>1641</v>
      </c>
      <c r="C1868" s="645" t="s">
        <v>206</v>
      </c>
      <c r="D1868" s="422" t="s">
        <v>351</v>
      </c>
      <c r="E1868" s="423"/>
      <c r="F1868" s="424"/>
      <c r="G1868" s="425"/>
      <c r="H1868" s="651">
        <f>SUM(H1869:H1871)</f>
        <v>321.60899999999998</v>
      </c>
      <c r="I1868" s="420">
        <v>455.36</v>
      </c>
      <c r="J1868" s="420">
        <f>IF(ISBLANK(I1868),"",SUM(H1868:I1868))</f>
        <v>776.96900000000005</v>
      </c>
      <c r="K1868" s="421">
        <f t="shared" si="455"/>
        <v>923.12</v>
      </c>
      <c r="L1868" s="647" t="s">
        <v>16</v>
      </c>
      <c r="M1868" s="576"/>
      <c r="N1868" s="576">
        <f t="shared" si="443"/>
        <v>0</v>
      </c>
      <c r="O1868" s="577">
        <f t="shared" si="453"/>
        <v>0</v>
      </c>
      <c r="P1868" s="578">
        <f t="shared" si="454"/>
        <v>0</v>
      </c>
      <c r="Q1868" s="765"/>
      <c r="R1868" s="576">
        <f>M1868</f>
        <v>0</v>
      </c>
      <c r="S1868" s="576">
        <f>N1868</f>
        <v>0</v>
      </c>
      <c r="T1868" s="577">
        <f t="shared" si="451"/>
        <v>0</v>
      </c>
      <c r="U1868" s="578">
        <f t="shared" si="452"/>
        <v>0</v>
      </c>
      <c r="V1868" s="579"/>
      <c r="W1868" s="566"/>
      <c r="X1868" s="586" t="str">
        <f t="shared" si="440"/>
        <v/>
      </c>
      <c r="Y1868" s="586" t="str">
        <f t="shared" si="431"/>
        <v/>
      </c>
      <c r="Z1868" s="586" t="str">
        <f t="shared" si="445"/>
        <v/>
      </c>
    </row>
    <row r="1869" spans="1:26" ht="12" hidden="1" thickBot="1" x14ac:dyDescent="0.25">
      <c r="A1869" s="567" t="s">
        <v>168</v>
      </c>
      <c r="B1869" s="644" t="s">
        <v>168</v>
      </c>
      <c r="C1869" s="645"/>
      <c r="D1869" s="422" t="s">
        <v>212</v>
      </c>
      <c r="E1869" s="423"/>
      <c r="F1869" s="424">
        <v>500</v>
      </c>
      <c r="G1869" s="425">
        <v>0.27</v>
      </c>
      <c r="H1869" s="649">
        <f>IF(F1869&lt;=30,(0.78*F1869+7.82)*G1869,((0.78*30+7.82)+0.78*(F1869-30))*G1869)</f>
        <v>107.41140000000001</v>
      </c>
      <c r="I1869" s="420"/>
      <c r="J1869" s="420"/>
      <c r="K1869" s="421">
        <f t="shared" si="455"/>
        <v>0</v>
      </c>
      <c r="L1869" s="647"/>
      <c r="M1869" s="723"/>
      <c r="N1869" s="576">
        <f t="shared" si="443"/>
        <v>0</v>
      </c>
      <c r="O1869" s="577">
        <f t="shared" si="453"/>
        <v>0</v>
      </c>
      <c r="P1869" s="578">
        <f t="shared" si="454"/>
        <v>0</v>
      </c>
      <c r="Q1869" s="765"/>
      <c r="R1869" s="723"/>
      <c r="S1869" s="723"/>
      <c r="T1869" s="577">
        <f t="shared" si="451"/>
        <v>0</v>
      </c>
      <c r="U1869" s="578">
        <f t="shared" si="452"/>
        <v>0</v>
      </c>
      <c r="V1869" s="579"/>
      <c r="W1869" s="566" t="str">
        <f>IF(U1868&gt;0,"xx",IF(P1868&gt;0,"xy",""))</f>
        <v/>
      </c>
      <c r="X1869" s="586" t="str">
        <f t="shared" si="440"/>
        <v/>
      </c>
      <c r="Y1869" s="586" t="str">
        <f t="shared" si="431"/>
        <v/>
      </c>
      <c r="Z1869" s="586" t="str">
        <f t="shared" si="445"/>
        <v/>
      </c>
    </row>
    <row r="1870" spans="1:26" ht="12" hidden="1" thickBot="1" x14ac:dyDescent="0.25">
      <c r="A1870" s="567" t="s">
        <v>168</v>
      </c>
      <c r="B1870" s="644" t="s">
        <v>168</v>
      </c>
      <c r="C1870" s="645"/>
      <c r="D1870" s="422" t="s">
        <v>248</v>
      </c>
      <c r="E1870" s="423"/>
      <c r="F1870" s="424">
        <v>180</v>
      </c>
      <c r="G1870" s="425">
        <v>0.96</v>
      </c>
      <c r="H1870" s="663">
        <f t="shared" ref="H1870:H1871" si="459">IF(F1870&lt;=30,(1.07*F1870+2.68)*G1870,((1.07*30+2.68)+1.07*(F1870-30))*G1870)</f>
        <v>187.46879999999999</v>
      </c>
      <c r="I1870" s="420"/>
      <c r="J1870" s="420"/>
      <c r="K1870" s="421">
        <f t="shared" si="455"/>
        <v>0</v>
      </c>
      <c r="L1870" s="647"/>
      <c r="M1870" s="723"/>
      <c r="N1870" s="576">
        <f t="shared" si="443"/>
        <v>0</v>
      </c>
      <c r="O1870" s="577">
        <f t="shared" si="453"/>
        <v>0</v>
      </c>
      <c r="P1870" s="578">
        <f t="shared" si="454"/>
        <v>0</v>
      </c>
      <c r="Q1870" s="765"/>
      <c r="R1870" s="723"/>
      <c r="S1870" s="723"/>
      <c r="T1870" s="577">
        <f t="shared" si="451"/>
        <v>0</v>
      </c>
      <c r="U1870" s="578">
        <f t="shared" si="452"/>
        <v>0</v>
      </c>
      <c r="V1870" s="579"/>
      <c r="W1870" s="566" t="str">
        <f>IF(U1868&gt;0,"xx",IF(P1868&gt;0,"xy",""))</f>
        <v/>
      </c>
      <c r="X1870" s="586" t="str">
        <f t="shared" si="440"/>
        <v/>
      </c>
      <c r="Y1870" s="586" t="str">
        <f t="shared" si="431"/>
        <v/>
      </c>
      <c r="Z1870" s="586" t="str">
        <f t="shared" si="445"/>
        <v/>
      </c>
    </row>
    <row r="1871" spans="1:26" ht="12" hidden="1" thickBot="1" x14ac:dyDescent="0.25">
      <c r="A1871" s="567" t="s">
        <v>168</v>
      </c>
      <c r="B1871" s="644" t="s">
        <v>168</v>
      </c>
      <c r="C1871" s="645"/>
      <c r="D1871" s="422" t="s">
        <v>252</v>
      </c>
      <c r="E1871" s="423"/>
      <c r="F1871" s="424">
        <v>20</v>
      </c>
      <c r="G1871" s="425">
        <v>1.1100000000000001</v>
      </c>
      <c r="H1871" s="663">
        <f t="shared" si="459"/>
        <v>26.728800000000003</v>
      </c>
      <c r="I1871" s="420"/>
      <c r="J1871" s="420"/>
      <c r="K1871" s="421">
        <f t="shared" si="455"/>
        <v>0</v>
      </c>
      <c r="L1871" s="647"/>
      <c r="M1871" s="723"/>
      <c r="N1871" s="576">
        <f t="shared" si="443"/>
        <v>0</v>
      </c>
      <c r="O1871" s="577">
        <f t="shared" si="453"/>
        <v>0</v>
      </c>
      <c r="P1871" s="578">
        <f t="shared" si="454"/>
        <v>0</v>
      </c>
      <c r="Q1871" s="765"/>
      <c r="R1871" s="723"/>
      <c r="S1871" s="723"/>
      <c r="T1871" s="577">
        <f t="shared" si="451"/>
        <v>0</v>
      </c>
      <c r="U1871" s="578">
        <f t="shared" si="452"/>
        <v>0</v>
      </c>
      <c r="V1871" s="579"/>
      <c r="W1871" s="566" t="str">
        <f>IF(U1868&gt;0,"xx",IF(P1868&gt;0,"xy",""))</f>
        <v/>
      </c>
      <c r="X1871" s="586" t="str">
        <f t="shared" si="440"/>
        <v/>
      </c>
      <c r="Y1871" s="586" t="str">
        <f t="shared" si="431"/>
        <v/>
      </c>
      <c r="Z1871" s="586" t="str">
        <f t="shared" si="445"/>
        <v/>
      </c>
    </row>
    <row r="1872" spans="1:26" ht="12" hidden="1" thickBot="1" x14ac:dyDescent="0.25">
      <c r="A1872" s="567">
        <v>605300</v>
      </c>
      <c r="B1872" s="644" t="s">
        <v>1718</v>
      </c>
      <c r="C1872" s="645" t="s">
        <v>206</v>
      </c>
      <c r="D1872" s="422" t="s">
        <v>352</v>
      </c>
      <c r="E1872" s="423"/>
      <c r="F1872" s="424"/>
      <c r="G1872" s="425"/>
      <c r="H1872" s="651">
        <f>SUM(H1873:H1875)</f>
        <v>337.86228</v>
      </c>
      <c r="I1872" s="420">
        <v>487.71000000000004</v>
      </c>
      <c r="J1872" s="420">
        <f>IF(ISBLANK(I1872),"",SUM(H1872:I1872))</f>
        <v>825.57228000000009</v>
      </c>
      <c r="K1872" s="421">
        <f t="shared" si="455"/>
        <v>980.86</v>
      </c>
      <c r="L1872" s="647" t="s">
        <v>16</v>
      </c>
      <c r="M1872" s="576"/>
      <c r="N1872" s="576">
        <f t="shared" si="443"/>
        <v>0</v>
      </c>
      <c r="O1872" s="577">
        <f t="shared" si="453"/>
        <v>0</v>
      </c>
      <c r="P1872" s="578">
        <f t="shared" si="454"/>
        <v>0</v>
      </c>
      <c r="Q1872" s="765"/>
      <c r="R1872" s="576">
        <f>M1872</f>
        <v>0</v>
      </c>
      <c r="S1872" s="576">
        <f>N1872</f>
        <v>0</v>
      </c>
      <c r="T1872" s="577">
        <f t="shared" si="451"/>
        <v>0</v>
      </c>
      <c r="U1872" s="578">
        <f t="shared" si="452"/>
        <v>0</v>
      </c>
      <c r="V1872" s="579"/>
      <c r="W1872" s="566"/>
      <c r="X1872" s="586" t="str">
        <f t="shared" si="440"/>
        <v/>
      </c>
      <c r="Y1872" s="586" t="str">
        <f t="shared" si="431"/>
        <v/>
      </c>
      <c r="Z1872" s="586" t="str">
        <f t="shared" si="445"/>
        <v/>
      </c>
    </row>
    <row r="1873" spans="1:26" ht="12" hidden="1" thickBot="1" x14ac:dyDescent="0.25">
      <c r="A1873" s="567" t="s">
        <v>168</v>
      </c>
      <c r="B1873" s="644" t="s">
        <v>168</v>
      </c>
      <c r="C1873" s="645"/>
      <c r="D1873" s="422" t="s">
        <v>212</v>
      </c>
      <c r="E1873" s="423"/>
      <c r="F1873" s="424">
        <v>500</v>
      </c>
      <c r="G1873" s="425">
        <v>0.33</v>
      </c>
      <c r="H1873" s="649">
        <f>IF(F1873&lt;=30,(0.78*F1873+7.82)*G1873,((0.78*30+7.82)+0.78*(F1873-30))*G1873)</f>
        <v>131.28060000000002</v>
      </c>
      <c r="I1873" s="420"/>
      <c r="J1873" s="420"/>
      <c r="K1873" s="421">
        <f t="shared" si="455"/>
        <v>0</v>
      </c>
      <c r="L1873" s="647"/>
      <c r="M1873" s="723"/>
      <c r="N1873" s="576">
        <f t="shared" si="443"/>
        <v>0</v>
      </c>
      <c r="O1873" s="577">
        <f t="shared" si="453"/>
        <v>0</v>
      </c>
      <c r="P1873" s="578">
        <f t="shared" si="454"/>
        <v>0</v>
      </c>
      <c r="Q1873" s="765"/>
      <c r="R1873" s="723"/>
      <c r="S1873" s="723"/>
      <c r="T1873" s="577">
        <f t="shared" si="451"/>
        <v>0</v>
      </c>
      <c r="U1873" s="578">
        <f t="shared" si="452"/>
        <v>0</v>
      </c>
      <c r="V1873" s="579"/>
      <c r="W1873" s="566" t="str">
        <f>IF(U1872&gt;0,"xx",IF(P1872&gt;0,"xy",""))</f>
        <v/>
      </c>
      <c r="X1873" s="586" t="str">
        <f t="shared" si="440"/>
        <v/>
      </c>
      <c r="Y1873" s="586" t="str">
        <f t="shared" si="431"/>
        <v/>
      </c>
      <c r="Z1873" s="586" t="str">
        <f t="shared" si="445"/>
        <v/>
      </c>
    </row>
    <row r="1874" spans="1:26" ht="12" hidden="1" thickBot="1" x14ac:dyDescent="0.25">
      <c r="A1874" s="567" t="s">
        <v>168</v>
      </c>
      <c r="B1874" s="644" t="s">
        <v>168</v>
      </c>
      <c r="C1874" s="645"/>
      <c r="D1874" s="422" t="s">
        <v>248</v>
      </c>
      <c r="E1874" s="423"/>
      <c r="F1874" s="424">
        <v>180</v>
      </c>
      <c r="G1874" s="425">
        <v>0.92100000000000004</v>
      </c>
      <c r="H1874" s="663">
        <f t="shared" ref="H1874:H1875" si="460">IF(F1874&lt;=30,(1.07*F1874+2.68)*G1874,((1.07*30+2.68)+1.07*(F1874-30))*G1874)</f>
        <v>179.85288</v>
      </c>
      <c r="I1874" s="420"/>
      <c r="J1874" s="420"/>
      <c r="K1874" s="421">
        <f t="shared" si="455"/>
        <v>0</v>
      </c>
      <c r="L1874" s="647"/>
      <c r="M1874" s="723"/>
      <c r="N1874" s="576">
        <f t="shared" si="443"/>
        <v>0</v>
      </c>
      <c r="O1874" s="577">
        <f t="shared" si="453"/>
        <v>0</v>
      </c>
      <c r="P1874" s="578">
        <f t="shared" si="454"/>
        <v>0</v>
      </c>
      <c r="Q1874" s="765"/>
      <c r="R1874" s="723"/>
      <c r="S1874" s="723"/>
      <c r="T1874" s="577">
        <f t="shared" si="451"/>
        <v>0</v>
      </c>
      <c r="U1874" s="578">
        <f t="shared" si="452"/>
        <v>0</v>
      </c>
      <c r="V1874" s="579"/>
      <c r="W1874" s="566" t="str">
        <f>IF(U1872&gt;0,"xx",IF(P1872&gt;0,"xy",""))</f>
        <v/>
      </c>
      <c r="X1874" s="586" t="str">
        <f t="shared" ref="X1874:X1969" si="461">IF(W1874="X","x",IF(W1874="xx","x",IF(W1874="xy","x",IF(W1874="y","x",IF(OR(P1874&gt;0,U1874&gt;0),"x","")))))</f>
        <v/>
      </c>
      <c r="Y1874" s="586" t="str">
        <f t="shared" si="431"/>
        <v/>
      </c>
      <c r="Z1874" s="586" t="str">
        <f t="shared" si="445"/>
        <v/>
      </c>
    </row>
    <row r="1875" spans="1:26" ht="12" hidden="1" thickBot="1" x14ac:dyDescent="0.25">
      <c r="A1875" s="567" t="s">
        <v>168</v>
      </c>
      <c r="B1875" s="644" t="s">
        <v>168</v>
      </c>
      <c r="C1875" s="645"/>
      <c r="D1875" s="422" t="s">
        <v>252</v>
      </c>
      <c r="E1875" s="423"/>
      <c r="F1875" s="424">
        <v>20</v>
      </c>
      <c r="G1875" s="425">
        <v>1.1100000000000001</v>
      </c>
      <c r="H1875" s="663">
        <f t="shared" si="460"/>
        <v>26.728800000000003</v>
      </c>
      <c r="I1875" s="420"/>
      <c r="J1875" s="420"/>
      <c r="K1875" s="421">
        <f t="shared" si="455"/>
        <v>0</v>
      </c>
      <c r="L1875" s="647"/>
      <c r="M1875" s="723"/>
      <c r="N1875" s="576">
        <f t="shared" si="443"/>
        <v>0</v>
      </c>
      <c r="O1875" s="577">
        <f t="shared" si="453"/>
        <v>0</v>
      </c>
      <c r="P1875" s="578">
        <f t="shared" si="454"/>
        <v>0</v>
      </c>
      <c r="Q1875" s="765"/>
      <c r="R1875" s="723"/>
      <c r="S1875" s="723"/>
      <c r="T1875" s="577">
        <f t="shared" si="451"/>
        <v>0</v>
      </c>
      <c r="U1875" s="578">
        <f t="shared" si="452"/>
        <v>0</v>
      </c>
      <c r="V1875" s="579"/>
      <c r="W1875" s="566" t="str">
        <f>IF(U1872&gt;0,"xx",IF(P1872&gt;0,"xy",""))</f>
        <v/>
      </c>
      <c r="X1875" s="586" t="str">
        <f t="shared" si="461"/>
        <v/>
      </c>
      <c r="Y1875" s="586" t="str">
        <f t="shared" si="431"/>
        <v/>
      </c>
      <c r="Z1875" s="586" t="str">
        <f t="shared" si="445"/>
        <v/>
      </c>
    </row>
    <row r="1876" spans="1:26" ht="12" hidden="1" thickBot="1" x14ac:dyDescent="0.25">
      <c r="A1876" s="567">
        <v>605400</v>
      </c>
      <c r="B1876" s="644" t="s">
        <v>1643</v>
      </c>
      <c r="C1876" s="645" t="s">
        <v>206</v>
      </c>
      <c r="D1876" s="422" t="s">
        <v>353</v>
      </c>
      <c r="E1876" s="423"/>
      <c r="F1876" s="424"/>
      <c r="G1876" s="425"/>
      <c r="H1876" s="651">
        <f>SUM(H1877:H1879)</f>
        <v>362.76447999999999</v>
      </c>
      <c r="I1876" s="420">
        <v>495.4</v>
      </c>
      <c r="J1876" s="420">
        <f>IF(ISBLANK(I1876),"",SUM(H1876:I1876))</f>
        <v>858.16447999999991</v>
      </c>
      <c r="K1876" s="421">
        <f t="shared" si="455"/>
        <v>1019.59</v>
      </c>
      <c r="L1876" s="647" t="s">
        <v>16</v>
      </c>
      <c r="M1876" s="576"/>
      <c r="N1876" s="576">
        <f t="shared" ref="N1876:N1939" si="462">IF(M1876=0,0,K1876)</f>
        <v>0</v>
      </c>
      <c r="O1876" s="577">
        <f t="shared" si="453"/>
        <v>0</v>
      </c>
      <c r="P1876" s="578">
        <f t="shared" si="454"/>
        <v>0</v>
      </c>
      <c r="Q1876" s="765"/>
      <c r="R1876" s="576">
        <f>M1876</f>
        <v>0</v>
      </c>
      <c r="S1876" s="576">
        <f>N1876</f>
        <v>0</v>
      </c>
      <c r="T1876" s="577">
        <f t="shared" si="451"/>
        <v>0</v>
      </c>
      <c r="U1876" s="578">
        <f t="shared" si="452"/>
        <v>0</v>
      </c>
      <c r="V1876" s="579"/>
      <c r="W1876" s="566"/>
      <c r="X1876" s="586" t="str">
        <f t="shared" si="461"/>
        <v/>
      </c>
      <c r="Y1876" s="586" t="str">
        <f t="shared" si="431"/>
        <v/>
      </c>
      <c r="Z1876" s="586" t="str">
        <f t="shared" si="445"/>
        <v/>
      </c>
    </row>
    <row r="1877" spans="1:26" ht="12" hidden="1" thickBot="1" x14ac:dyDescent="0.25">
      <c r="A1877" s="567" t="s">
        <v>168</v>
      </c>
      <c r="B1877" s="644" t="s">
        <v>168</v>
      </c>
      <c r="C1877" s="645"/>
      <c r="D1877" s="422" t="s">
        <v>212</v>
      </c>
      <c r="E1877" s="423"/>
      <c r="F1877" s="424">
        <v>500</v>
      </c>
      <c r="G1877" s="425">
        <v>0.34399999999999997</v>
      </c>
      <c r="H1877" s="649">
        <f>IF(F1877&lt;=30,(0.78*F1877+7.82)*G1877,((0.78*30+7.82)+0.78*(F1877-30))*G1877)</f>
        <v>136.85008000000002</v>
      </c>
      <c r="I1877" s="420">
        <v>0</v>
      </c>
      <c r="J1877" s="420"/>
      <c r="K1877" s="421">
        <f t="shared" si="455"/>
        <v>0</v>
      </c>
      <c r="L1877" s="647"/>
      <c r="M1877" s="723"/>
      <c r="N1877" s="576">
        <f t="shared" si="462"/>
        <v>0</v>
      </c>
      <c r="O1877" s="577">
        <f t="shared" si="453"/>
        <v>0</v>
      </c>
      <c r="P1877" s="578">
        <f t="shared" si="454"/>
        <v>0</v>
      </c>
      <c r="Q1877" s="765"/>
      <c r="R1877" s="723"/>
      <c r="S1877" s="723"/>
      <c r="T1877" s="577">
        <f t="shared" si="451"/>
        <v>0</v>
      </c>
      <c r="U1877" s="578">
        <f t="shared" si="452"/>
        <v>0</v>
      </c>
      <c r="V1877" s="579"/>
      <c r="W1877" s="566" t="str">
        <f>IF(U1876&gt;0,"xx",IF(P1876&gt;0,"xy",""))</f>
        <v/>
      </c>
      <c r="X1877" s="586" t="str">
        <f t="shared" si="461"/>
        <v/>
      </c>
      <c r="Y1877" s="586" t="str">
        <f t="shared" si="431"/>
        <v/>
      </c>
      <c r="Z1877" s="586" t="str">
        <f t="shared" si="445"/>
        <v/>
      </c>
    </row>
    <row r="1878" spans="1:26" ht="12" hidden="1" thickBot="1" x14ac:dyDescent="0.25">
      <c r="A1878" s="567" t="s">
        <v>168</v>
      </c>
      <c r="B1878" s="644" t="s">
        <v>168</v>
      </c>
      <c r="C1878" s="645"/>
      <c r="D1878" s="422" t="s">
        <v>248</v>
      </c>
      <c r="E1878" s="423"/>
      <c r="F1878" s="424">
        <v>180</v>
      </c>
      <c r="G1878" s="425">
        <v>1.02</v>
      </c>
      <c r="H1878" s="663">
        <f t="shared" ref="H1878:H1879" si="463">IF(F1878&lt;=30,(1.07*F1878+2.68)*G1878,((1.07*30+2.68)+1.07*(F1878-30))*G1878)</f>
        <v>199.18559999999999</v>
      </c>
      <c r="I1878" s="420">
        <v>0</v>
      </c>
      <c r="J1878" s="420"/>
      <c r="K1878" s="421">
        <f t="shared" si="455"/>
        <v>0</v>
      </c>
      <c r="L1878" s="647"/>
      <c r="M1878" s="723"/>
      <c r="N1878" s="576">
        <f t="shared" si="462"/>
        <v>0</v>
      </c>
      <c r="O1878" s="577">
        <f t="shared" si="453"/>
        <v>0</v>
      </c>
      <c r="P1878" s="578">
        <f t="shared" si="454"/>
        <v>0</v>
      </c>
      <c r="Q1878" s="765"/>
      <c r="R1878" s="723"/>
      <c r="S1878" s="723"/>
      <c r="T1878" s="577">
        <f t="shared" si="451"/>
        <v>0</v>
      </c>
      <c r="U1878" s="578">
        <f t="shared" si="452"/>
        <v>0</v>
      </c>
      <c r="V1878" s="579"/>
      <c r="W1878" s="566" t="str">
        <f>IF(U1876&gt;0,"xx",IF(P1876&gt;0,"xy",""))</f>
        <v/>
      </c>
      <c r="X1878" s="586" t="str">
        <f t="shared" si="461"/>
        <v/>
      </c>
      <c r="Y1878" s="586" t="str">
        <f t="shared" si="431"/>
        <v/>
      </c>
      <c r="Z1878" s="586" t="str">
        <f t="shared" si="445"/>
        <v/>
      </c>
    </row>
    <row r="1879" spans="1:26" ht="12" hidden="1" thickBot="1" x14ac:dyDescent="0.25">
      <c r="A1879" s="567" t="s">
        <v>168</v>
      </c>
      <c r="B1879" s="644" t="s">
        <v>168</v>
      </c>
      <c r="C1879" s="645"/>
      <c r="D1879" s="422" t="s">
        <v>252</v>
      </c>
      <c r="E1879" s="423"/>
      <c r="F1879" s="424">
        <v>20</v>
      </c>
      <c r="G1879" s="425">
        <v>1.1100000000000001</v>
      </c>
      <c r="H1879" s="663">
        <f t="shared" si="463"/>
        <v>26.728800000000003</v>
      </c>
      <c r="I1879" s="420">
        <v>0</v>
      </c>
      <c r="J1879" s="420"/>
      <c r="K1879" s="421">
        <f t="shared" si="455"/>
        <v>0</v>
      </c>
      <c r="L1879" s="647"/>
      <c r="M1879" s="723"/>
      <c r="N1879" s="576">
        <f t="shared" si="462"/>
        <v>0</v>
      </c>
      <c r="O1879" s="577">
        <f t="shared" si="453"/>
        <v>0</v>
      </c>
      <c r="P1879" s="578">
        <f t="shared" si="454"/>
        <v>0</v>
      </c>
      <c r="Q1879" s="765"/>
      <c r="R1879" s="723"/>
      <c r="S1879" s="723"/>
      <c r="T1879" s="577">
        <f t="shared" si="451"/>
        <v>0</v>
      </c>
      <c r="U1879" s="578">
        <f t="shared" si="452"/>
        <v>0</v>
      </c>
      <c r="V1879" s="579"/>
      <c r="W1879" s="566" t="str">
        <f>IF(U1876&gt;0,"xx",IF(P1876&gt;0,"xy",""))</f>
        <v/>
      </c>
      <c r="X1879" s="586" t="str">
        <f t="shared" si="461"/>
        <v/>
      </c>
      <c r="Y1879" s="586" t="str">
        <f t="shared" si="431"/>
        <v/>
      </c>
      <c r="Z1879" s="586" t="str">
        <f t="shared" si="445"/>
        <v/>
      </c>
    </row>
    <row r="1880" spans="1:26" ht="12" hidden="1" thickBot="1" x14ac:dyDescent="0.25">
      <c r="A1880" s="567">
        <v>605500</v>
      </c>
      <c r="B1880" s="644">
        <v>605500</v>
      </c>
      <c r="C1880" s="645" t="s">
        <v>206</v>
      </c>
      <c r="D1880" s="422" t="s">
        <v>1512</v>
      </c>
      <c r="E1880" s="423"/>
      <c r="F1880" s="424"/>
      <c r="G1880" s="425"/>
      <c r="H1880" s="651">
        <f>SUM(H1881:H1883)</f>
        <v>350.76675999999998</v>
      </c>
      <c r="I1880" s="420">
        <v>517.38</v>
      </c>
      <c r="J1880" s="420">
        <f>IF(ISBLANK(I1880),"",SUM(H1880:I1880))</f>
        <v>868.14675999999997</v>
      </c>
      <c r="K1880" s="421">
        <f t="shared" si="455"/>
        <v>1031.45</v>
      </c>
      <c r="L1880" s="647" t="s">
        <v>16</v>
      </c>
      <c r="M1880" s="576"/>
      <c r="N1880" s="576">
        <f t="shared" si="462"/>
        <v>0</v>
      </c>
      <c r="O1880" s="577">
        <f t="shared" si="453"/>
        <v>0</v>
      </c>
      <c r="P1880" s="578">
        <f t="shared" si="454"/>
        <v>0</v>
      </c>
      <c r="Q1880" s="765"/>
      <c r="R1880" s="576">
        <f>M1880</f>
        <v>0</v>
      </c>
      <c r="S1880" s="576">
        <f>N1880</f>
        <v>0</v>
      </c>
      <c r="T1880" s="577">
        <f t="shared" si="451"/>
        <v>0</v>
      </c>
      <c r="U1880" s="578">
        <f t="shared" si="452"/>
        <v>0</v>
      </c>
      <c r="V1880" s="579"/>
      <c r="W1880" s="566"/>
      <c r="X1880" s="586" t="str">
        <f>IF(W1880="X","x",IF(W1880="xx","x",IF(W1880="xy","x",IF(W1880="y","x",IF(OR(P1880&gt;0,U1880&gt;0),"x","")))))</f>
        <v/>
      </c>
      <c r="Y1880" s="586" t="str">
        <f>IF(W1880="X","x",IF(W1880="y","x",IF(W1880="xx","x",IF(U1880&gt;0,"x",""))))</f>
        <v/>
      </c>
      <c r="Z1880" s="586" t="str">
        <f>IF(W1880="X","x",IF(U1880&gt;0,"x",""))</f>
        <v/>
      </c>
    </row>
    <row r="1881" spans="1:26" ht="12" hidden="1" thickBot="1" x14ac:dyDescent="0.25">
      <c r="A1881" s="567" t="s">
        <v>168</v>
      </c>
      <c r="B1881" s="644" t="s">
        <v>168</v>
      </c>
      <c r="C1881" s="645"/>
      <c r="D1881" s="422" t="s">
        <v>212</v>
      </c>
      <c r="E1881" s="423"/>
      <c r="F1881" s="424">
        <v>500</v>
      </c>
      <c r="G1881" s="425">
        <v>0.38600000000000001</v>
      </c>
      <c r="H1881" s="649">
        <f>IF(F1881&lt;=30,(0.78*F1881+7.82)*G1881,((0.78*30+7.82)+0.78*(F1881-30))*G1881)</f>
        <v>153.55852000000002</v>
      </c>
      <c r="I1881" s="420">
        <v>0</v>
      </c>
      <c r="J1881" s="420"/>
      <c r="K1881" s="421">
        <f t="shared" si="455"/>
        <v>0</v>
      </c>
      <c r="L1881" s="647"/>
      <c r="M1881" s="723"/>
      <c r="N1881" s="576">
        <f t="shared" si="462"/>
        <v>0</v>
      </c>
      <c r="O1881" s="577">
        <f t="shared" si="453"/>
        <v>0</v>
      </c>
      <c r="P1881" s="578">
        <f t="shared" si="454"/>
        <v>0</v>
      </c>
      <c r="Q1881" s="765"/>
      <c r="R1881" s="723"/>
      <c r="S1881" s="723"/>
      <c r="T1881" s="577">
        <f t="shared" si="451"/>
        <v>0</v>
      </c>
      <c r="U1881" s="578">
        <f t="shared" si="452"/>
        <v>0</v>
      </c>
      <c r="V1881" s="579"/>
      <c r="W1881" s="566" t="str">
        <f>IF(U1880&gt;0,"xx",IF(P1880&gt;0,"xy",""))</f>
        <v/>
      </c>
      <c r="X1881" s="586" t="str">
        <f>IF(W1881="X","x",IF(W1881="xx","x",IF(W1881="xy","x",IF(W1881="y","x",IF(OR(P1881&gt;0,U1881&gt;0),"x","")))))</f>
        <v/>
      </c>
      <c r="Y1881" s="586" t="str">
        <f>IF(W1881="X","x",IF(W1881="y","x",IF(W1881="xx","x",IF(U1881&gt;0,"x",""))))</f>
        <v/>
      </c>
      <c r="Z1881" s="586" t="str">
        <f>IF(W1881="X","x",IF(U1881&gt;0,"x",""))</f>
        <v/>
      </c>
    </row>
    <row r="1882" spans="1:26" ht="12" hidden="1" thickBot="1" x14ac:dyDescent="0.25">
      <c r="A1882" s="567" t="s">
        <v>168</v>
      </c>
      <c r="B1882" s="644" t="s">
        <v>168</v>
      </c>
      <c r="C1882" s="645"/>
      <c r="D1882" s="422" t="s">
        <v>248</v>
      </c>
      <c r="E1882" s="423"/>
      <c r="F1882" s="424">
        <v>180</v>
      </c>
      <c r="G1882" s="425">
        <v>0.873</v>
      </c>
      <c r="H1882" s="663">
        <f t="shared" ref="H1882:H1883" si="464">IF(F1882&lt;=30,(1.07*F1882+2.68)*G1882,((1.07*30+2.68)+1.07*(F1882-30))*G1882)</f>
        <v>170.47944000000001</v>
      </c>
      <c r="I1882" s="420">
        <v>0</v>
      </c>
      <c r="J1882" s="420"/>
      <c r="K1882" s="421">
        <f t="shared" si="455"/>
        <v>0</v>
      </c>
      <c r="L1882" s="647"/>
      <c r="M1882" s="723"/>
      <c r="N1882" s="576">
        <f t="shared" si="462"/>
        <v>0</v>
      </c>
      <c r="O1882" s="577">
        <f t="shared" si="453"/>
        <v>0</v>
      </c>
      <c r="P1882" s="578">
        <f t="shared" si="454"/>
        <v>0</v>
      </c>
      <c r="Q1882" s="765"/>
      <c r="R1882" s="723"/>
      <c r="S1882" s="723"/>
      <c r="T1882" s="577">
        <f t="shared" si="451"/>
        <v>0</v>
      </c>
      <c r="U1882" s="578">
        <f t="shared" si="452"/>
        <v>0</v>
      </c>
      <c r="V1882" s="579"/>
      <c r="W1882" s="566" t="str">
        <f>IF(U1880&gt;0,"xx",IF(P1880&gt;0,"xy",""))</f>
        <v/>
      </c>
      <c r="X1882" s="586" t="str">
        <f>IF(W1882="X","x",IF(W1882="xx","x",IF(W1882="xy","x",IF(W1882="y","x",IF(OR(P1882&gt;0,U1882&gt;0),"x","")))))</f>
        <v/>
      </c>
      <c r="Y1882" s="586" t="str">
        <f>IF(W1882="X","x",IF(W1882="y","x",IF(W1882="xx","x",IF(U1882&gt;0,"x",""))))</f>
        <v/>
      </c>
      <c r="Z1882" s="586" t="str">
        <f>IF(W1882="X","x",IF(U1882&gt;0,"x",""))</f>
        <v/>
      </c>
    </row>
    <row r="1883" spans="1:26" ht="12" hidden="1" thickBot="1" x14ac:dyDescent="0.25">
      <c r="A1883" s="567" t="s">
        <v>168</v>
      </c>
      <c r="B1883" s="644" t="s">
        <v>168</v>
      </c>
      <c r="C1883" s="645"/>
      <c r="D1883" s="422" t="s">
        <v>252</v>
      </c>
      <c r="E1883" s="423"/>
      <c r="F1883" s="424">
        <v>20</v>
      </c>
      <c r="G1883" s="425">
        <v>1.1100000000000001</v>
      </c>
      <c r="H1883" s="663">
        <f t="shared" si="464"/>
        <v>26.728800000000003</v>
      </c>
      <c r="I1883" s="420">
        <v>0</v>
      </c>
      <c r="J1883" s="420"/>
      <c r="K1883" s="421">
        <f t="shared" si="455"/>
        <v>0</v>
      </c>
      <c r="L1883" s="647"/>
      <c r="M1883" s="723"/>
      <c r="N1883" s="576">
        <f t="shared" si="462"/>
        <v>0</v>
      </c>
      <c r="O1883" s="577">
        <f t="shared" si="453"/>
        <v>0</v>
      </c>
      <c r="P1883" s="578">
        <f t="shared" si="454"/>
        <v>0</v>
      </c>
      <c r="Q1883" s="765"/>
      <c r="R1883" s="723"/>
      <c r="S1883" s="723"/>
      <c r="T1883" s="577">
        <f t="shared" si="451"/>
        <v>0</v>
      </c>
      <c r="U1883" s="578">
        <f t="shared" si="452"/>
        <v>0</v>
      </c>
      <c r="V1883" s="579"/>
      <c r="W1883" s="566" t="str">
        <f>IF(U1880&gt;0,"xx",IF(P1880&gt;0,"xy",""))</f>
        <v/>
      </c>
      <c r="X1883" s="586" t="str">
        <f>IF(W1883="X","x",IF(W1883="xx","x",IF(W1883="xy","x",IF(W1883="y","x",IF(OR(P1883&gt;0,U1883&gt;0),"x","")))))</f>
        <v/>
      </c>
      <c r="Y1883" s="586" t="str">
        <f>IF(W1883="X","x",IF(W1883="y","x",IF(W1883="xx","x",IF(U1883&gt;0,"x",""))))</f>
        <v/>
      </c>
      <c r="Z1883" s="586" t="str">
        <f>IF(W1883="X","x",IF(U1883&gt;0,"x",""))</f>
        <v/>
      </c>
    </row>
    <row r="1884" spans="1:26" ht="12" hidden="1" thickBot="1" x14ac:dyDescent="0.25">
      <c r="A1884" s="567">
        <v>605600</v>
      </c>
      <c r="B1884" s="644">
        <v>605600</v>
      </c>
      <c r="C1884" s="645" t="s">
        <v>206</v>
      </c>
      <c r="D1884" s="422" t="s">
        <v>1513</v>
      </c>
      <c r="E1884" s="423"/>
      <c r="F1884" s="424"/>
      <c r="G1884" s="425"/>
      <c r="H1884" s="651">
        <f>SUM(H1885:H1887)</f>
        <v>353.87019999999995</v>
      </c>
      <c r="I1884" s="420">
        <v>529.53</v>
      </c>
      <c r="J1884" s="420">
        <f>IF(ISBLANK(I1884),"",SUM(H1884:I1884))</f>
        <v>883.40019999999993</v>
      </c>
      <c r="K1884" s="421">
        <f t="shared" si="455"/>
        <v>1049.57</v>
      </c>
      <c r="L1884" s="647" t="s">
        <v>16</v>
      </c>
      <c r="M1884" s="576"/>
      <c r="N1884" s="576">
        <f t="shared" si="462"/>
        <v>0</v>
      </c>
      <c r="O1884" s="577">
        <f t="shared" si="453"/>
        <v>0</v>
      </c>
      <c r="P1884" s="578">
        <f t="shared" si="454"/>
        <v>0</v>
      </c>
      <c r="Q1884" s="765"/>
      <c r="R1884" s="576">
        <f>M1884</f>
        <v>0</v>
      </c>
      <c r="S1884" s="576">
        <f>N1884</f>
        <v>0</v>
      </c>
      <c r="T1884" s="577">
        <f t="shared" si="451"/>
        <v>0</v>
      </c>
      <c r="U1884" s="578">
        <f t="shared" si="452"/>
        <v>0</v>
      </c>
      <c r="V1884" s="579"/>
      <c r="W1884" s="566"/>
      <c r="X1884" s="586" t="str">
        <f t="shared" ref="X1884:X1903" si="465">IF(W1884="X","x",IF(W1884="xx","x",IF(W1884="xy","x",IF(W1884="y","x",IF(OR(P1884&gt;0,U1884&gt;0),"x","")))))</f>
        <v/>
      </c>
      <c r="Y1884" s="586" t="str">
        <f t="shared" ref="Y1884:Y1903" si="466">IF(W1884="X","x",IF(W1884="y","x",IF(W1884="xx","x",IF(U1884&gt;0,"x",""))))</f>
        <v/>
      </c>
      <c r="Z1884" s="586" t="str">
        <f t="shared" ref="Z1884:Z1903" si="467">IF(W1884="X","x",IF(U1884&gt;0,"x",""))</f>
        <v/>
      </c>
    </row>
    <row r="1885" spans="1:26" ht="12" hidden="1" thickBot="1" x14ac:dyDescent="0.25">
      <c r="A1885" s="567" t="s">
        <v>168</v>
      </c>
      <c r="B1885" s="644" t="s">
        <v>168</v>
      </c>
      <c r="C1885" s="645"/>
      <c r="D1885" s="422" t="s">
        <v>212</v>
      </c>
      <c r="E1885" s="423"/>
      <c r="F1885" s="424">
        <v>500</v>
      </c>
      <c r="G1885" s="425">
        <v>0.41</v>
      </c>
      <c r="H1885" s="649">
        <f>IF(F1885&lt;=30,(0.78*F1885+7.82)*G1885,((0.78*30+7.82)+0.78*(F1885-30))*G1885)</f>
        <v>163.1062</v>
      </c>
      <c r="I1885" s="420">
        <v>0</v>
      </c>
      <c r="J1885" s="420"/>
      <c r="K1885" s="421">
        <f t="shared" si="455"/>
        <v>0</v>
      </c>
      <c r="L1885" s="647"/>
      <c r="M1885" s="723"/>
      <c r="N1885" s="576">
        <f t="shared" si="462"/>
        <v>0</v>
      </c>
      <c r="O1885" s="577">
        <f t="shared" si="453"/>
        <v>0</v>
      </c>
      <c r="P1885" s="578">
        <f t="shared" si="454"/>
        <v>0</v>
      </c>
      <c r="Q1885" s="765"/>
      <c r="R1885" s="723"/>
      <c r="S1885" s="723"/>
      <c r="T1885" s="577">
        <f t="shared" si="451"/>
        <v>0</v>
      </c>
      <c r="U1885" s="578">
        <f t="shared" si="452"/>
        <v>0</v>
      </c>
      <c r="V1885" s="579"/>
      <c r="W1885" s="566" t="str">
        <f>IF(U1884&gt;0,"xx",IF(P1884&gt;0,"xy",""))</f>
        <v/>
      </c>
      <c r="X1885" s="586" t="str">
        <f t="shared" si="465"/>
        <v/>
      </c>
      <c r="Y1885" s="586" t="str">
        <f t="shared" si="466"/>
        <v/>
      </c>
      <c r="Z1885" s="586" t="str">
        <f t="shared" si="467"/>
        <v/>
      </c>
    </row>
    <row r="1886" spans="1:26" ht="12" hidden="1" thickBot="1" x14ac:dyDescent="0.25">
      <c r="A1886" s="567" t="s">
        <v>168</v>
      </c>
      <c r="B1886" s="644" t="s">
        <v>168</v>
      </c>
      <c r="C1886" s="645"/>
      <c r="D1886" s="422" t="s">
        <v>248</v>
      </c>
      <c r="E1886" s="423"/>
      <c r="F1886" s="424">
        <v>180</v>
      </c>
      <c r="G1886" s="425">
        <v>0.84</v>
      </c>
      <c r="H1886" s="663">
        <f t="shared" ref="H1886:H1887" si="468">IF(F1886&lt;=30,(1.07*F1886+2.68)*G1886,((1.07*30+2.68)+1.07*(F1886-30))*G1886)</f>
        <v>164.0352</v>
      </c>
      <c r="I1886" s="420">
        <v>0</v>
      </c>
      <c r="J1886" s="420"/>
      <c r="K1886" s="421">
        <f t="shared" si="455"/>
        <v>0</v>
      </c>
      <c r="L1886" s="647"/>
      <c r="M1886" s="723"/>
      <c r="N1886" s="576">
        <f t="shared" si="462"/>
        <v>0</v>
      </c>
      <c r="O1886" s="577">
        <f t="shared" si="453"/>
        <v>0</v>
      </c>
      <c r="P1886" s="578">
        <f t="shared" si="454"/>
        <v>0</v>
      </c>
      <c r="Q1886" s="765"/>
      <c r="R1886" s="723"/>
      <c r="S1886" s="723"/>
      <c r="T1886" s="577">
        <f t="shared" si="451"/>
        <v>0</v>
      </c>
      <c r="U1886" s="578">
        <f t="shared" si="452"/>
        <v>0</v>
      </c>
      <c r="V1886" s="579"/>
      <c r="W1886" s="566" t="str">
        <f>IF(U1884&gt;0,"xx",IF(P1884&gt;0,"xy",""))</f>
        <v/>
      </c>
      <c r="X1886" s="586" t="str">
        <f t="shared" si="465"/>
        <v/>
      </c>
      <c r="Y1886" s="586" t="str">
        <f t="shared" si="466"/>
        <v/>
      </c>
      <c r="Z1886" s="586" t="str">
        <f t="shared" si="467"/>
        <v/>
      </c>
    </row>
    <row r="1887" spans="1:26" ht="12" hidden="1" thickBot="1" x14ac:dyDescent="0.25">
      <c r="A1887" s="567" t="s">
        <v>168</v>
      </c>
      <c r="B1887" s="644" t="s">
        <v>168</v>
      </c>
      <c r="C1887" s="645"/>
      <c r="D1887" s="422" t="s">
        <v>252</v>
      </c>
      <c r="E1887" s="423"/>
      <c r="F1887" s="424">
        <v>20</v>
      </c>
      <c r="G1887" s="425">
        <v>1.1100000000000001</v>
      </c>
      <c r="H1887" s="663">
        <f t="shared" si="468"/>
        <v>26.728800000000003</v>
      </c>
      <c r="I1887" s="420">
        <v>0</v>
      </c>
      <c r="J1887" s="420"/>
      <c r="K1887" s="421">
        <f t="shared" si="455"/>
        <v>0</v>
      </c>
      <c r="L1887" s="647"/>
      <c r="M1887" s="723"/>
      <c r="N1887" s="576">
        <f t="shared" si="462"/>
        <v>0</v>
      </c>
      <c r="O1887" s="577">
        <f t="shared" si="453"/>
        <v>0</v>
      </c>
      <c r="P1887" s="578">
        <f t="shared" si="454"/>
        <v>0</v>
      </c>
      <c r="Q1887" s="765"/>
      <c r="R1887" s="723"/>
      <c r="S1887" s="723"/>
      <c r="T1887" s="577">
        <f t="shared" si="451"/>
        <v>0</v>
      </c>
      <c r="U1887" s="578">
        <f t="shared" si="452"/>
        <v>0</v>
      </c>
      <c r="V1887" s="579"/>
      <c r="W1887" s="566" t="str">
        <f>IF(U1884&gt;0,"xx",IF(P1884&gt;0,"xy",""))</f>
        <v/>
      </c>
      <c r="X1887" s="586" t="str">
        <f t="shared" si="465"/>
        <v/>
      </c>
      <c r="Y1887" s="586" t="str">
        <f t="shared" si="466"/>
        <v/>
      </c>
      <c r="Z1887" s="586" t="str">
        <f t="shared" si="467"/>
        <v/>
      </c>
    </row>
    <row r="1888" spans="1:26" ht="12" hidden="1" thickBot="1" x14ac:dyDescent="0.25">
      <c r="A1888" s="567">
        <v>605700</v>
      </c>
      <c r="B1888" s="644">
        <v>605700</v>
      </c>
      <c r="C1888" s="645" t="s">
        <v>206</v>
      </c>
      <c r="D1888" s="422" t="s">
        <v>1514</v>
      </c>
      <c r="E1888" s="423"/>
      <c r="F1888" s="424"/>
      <c r="G1888" s="425"/>
      <c r="H1888" s="651">
        <f>SUM(H1889:H1891)</f>
        <v>358.8974</v>
      </c>
      <c r="I1888" s="420">
        <v>540.22</v>
      </c>
      <c r="J1888" s="420">
        <f>IF(ISBLANK(I1888),"",SUM(H1888:I1888))</f>
        <v>899.11740000000009</v>
      </c>
      <c r="K1888" s="421">
        <f t="shared" si="455"/>
        <v>1068.24</v>
      </c>
      <c r="L1888" s="647" t="s">
        <v>16</v>
      </c>
      <c r="M1888" s="576"/>
      <c r="N1888" s="576">
        <f t="shared" si="462"/>
        <v>0</v>
      </c>
      <c r="O1888" s="577">
        <f t="shared" si="453"/>
        <v>0</v>
      </c>
      <c r="P1888" s="578">
        <f t="shared" si="454"/>
        <v>0</v>
      </c>
      <c r="Q1888" s="765"/>
      <c r="R1888" s="576">
        <f>M1888</f>
        <v>0</v>
      </c>
      <c r="S1888" s="576">
        <f>N1888</f>
        <v>0</v>
      </c>
      <c r="T1888" s="577">
        <f t="shared" si="451"/>
        <v>0</v>
      </c>
      <c r="U1888" s="578">
        <f t="shared" si="452"/>
        <v>0</v>
      </c>
      <c r="V1888" s="579"/>
      <c r="W1888" s="566"/>
      <c r="X1888" s="586" t="str">
        <f t="shared" si="465"/>
        <v/>
      </c>
      <c r="Y1888" s="586" t="str">
        <f t="shared" si="466"/>
        <v/>
      </c>
      <c r="Z1888" s="586" t="str">
        <f t="shared" si="467"/>
        <v/>
      </c>
    </row>
    <row r="1889" spans="1:26" ht="12" hidden="1" thickBot="1" x14ac:dyDescent="0.25">
      <c r="A1889" s="567" t="s">
        <v>168</v>
      </c>
      <c r="B1889" s="644" t="s">
        <v>168</v>
      </c>
      <c r="C1889" s="645"/>
      <c r="D1889" s="422" t="s">
        <v>212</v>
      </c>
      <c r="E1889" s="423"/>
      <c r="F1889" s="424">
        <v>500</v>
      </c>
      <c r="G1889" s="425">
        <v>0.43</v>
      </c>
      <c r="H1889" s="649">
        <f>IF(F1889&lt;=30,(0.78*F1889+7.82)*G1889,((0.78*30+7.82)+0.78*(F1889-30))*G1889)</f>
        <v>171.06260000000003</v>
      </c>
      <c r="I1889" s="420">
        <v>0</v>
      </c>
      <c r="J1889" s="420"/>
      <c r="K1889" s="421">
        <f t="shared" si="455"/>
        <v>0</v>
      </c>
      <c r="L1889" s="647"/>
      <c r="M1889" s="723"/>
      <c r="N1889" s="576">
        <f t="shared" si="462"/>
        <v>0</v>
      </c>
      <c r="O1889" s="577">
        <f t="shared" si="453"/>
        <v>0</v>
      </c>
      <c r="P1889" s="578">
        <f t="shared" si="454"/>
        <v>0</v>
      </c>
      <c r="Q1889" s="765"/>
      <c r="R1889" s="723"/>
      <c r="S1889" s="723"/>
      <c r="T1889" s="577">
        <f t="shared" si="451"/>
        <v>0</v>
      </c>
      <c r="U1889" s="578">
        <f t="shared" si="452"/>
        <v>0</v>
      </c>
      <c r="V1889" s="579"/>
      <c r="W1889" s="566" t="str">
        <f>IF(U1888&gt;0,"xx",IF(P1888&gt;0,"xy",""))</f>
        <v/>
      </c>
      <c r="X1889" s="586" t="str">
        <f t="shared" si="465"/>
        <v/>
      </c>
      <c r="Y1889" s="586" t="str">
        <f t="shared" si="466"/>
        <v/>
      </c>
      <c r="Z1889" s="586" t="str">
        <f t="shared" si="467"/>
        <v/>
      </c>
    </row>
    <row r="1890" spans="1:26" ht="12" hidden="1" thickBot="1" x14ac:dyDescent="0.25">
      <c r="A1890" s="567" t="s">
        <v>168</v>
      </c>
      <c r="B1890" s="644" t="s">
        <v>168</v>
      </c>
      <c r="C1890" s="645"/>
      <c r="D1890" s="422" t="s">
        <v>248</v>
      </c>
      <c r="E1890" s="423"/>
      <c r="F1890" s="424">
        <v>180</v>
      </c>
      <c r="G1890" s="425">
        <v>0.82499999999999996</v>
      </c>
      <c r="H1890" s="663">
        <f t="shared" ref="H1890:H1891" si="469">IF(F1890&lt;=30,(1.07*F1890+2.68)*G1890,((1.07*30+2.68)+1.07*(F1890-30))*G1890)</f>
        <v>161.10599999999999</v>
      </c>
      <c r="I1890" s="420">
        <v>0</v>
      </c>
      <c r="J1890" s="420"/>
      <c r="K1890" s="421">
        <f t="shared" si="455"/>
        <v>0</v>
      </c>
      <c r="L1890" s="647"/>
      <c r="M1890" s="723"/>
      <c r="N1890" s="576">
        <f t="shared" si="462"/>
        <v>0</v>
      </c>
      <c r="O1890" s="577">
        <f t="shared" si="453"/>
        <v>0</v>
      </c>
      <c r="P1890" s="578">
        <f t="shared" si="454"/>
        <v>0</v>
      </c>
      <c r="Q1890" s="765"/>
      <c r="R1890" s="723"/>
      <c r="S1890" s="723"/>
      <c r="T1890" s="577">
        <f t="shared" si="451"/>
        <v>0</v>
      </c>
      <c r="U1890" s="578">
        <f t="shared" si="452"/>
        <v>0</v>
      </c>
      <c r="V1890" s="579"/>
      <c r="W1890" s="566" t="str">
        <f>IF(U1888&gt;0,"xx",IF(P1888&gt;0,"xy",""))</f>
        <v/>
      </c>
      <c r="X1890" s="586" t="str">
        <f t="shared" si="465"/>
        <v/>
      </c>
      <c r="Y1890" s="586" t="str">
        <f t="shared" si="466"/>
        <v/>
      </c>
      <c r="Z1890" s="586" t="str">
        <f t="shared" si="467"/>
        <v/>
      </c>
    </row>
    <row r="1891" spans="1:26" ht="12" hidden="1" thickBot="1" x14ac:dyDescent="0.25">
      <c r="A1891" s="567" t="s">
        <v>168</v>
      </c>
      <c r="B1891" s="644" t="s">
        <v>168</v>
      </c>
      <c r="C1891" s="645"/>
      <c r="D1891" s="422" t="s">
        <v>252</v>
      </c>
      <c r="E1891" s="423"/>
      <c r="F1891" s="424">
        <v>20</v>
      </c>
      <c r="G1891" s="425">
        <v>1.1100000000000001</v>
      </c>
      <c r="H1891" s="663">
        <f t="shared" si="469"/>
        <v>26.728800000000003</v>
      </c>
      <c r="I1891" s="420">
        <v>0</v>
      </c>
      <c r="J1891" s="420"/>
      <c r="K1891" s="421">
        <f t="shared" si="455"/>
        <v>0</v>
      </c>
      <c r="L1891" s="647"/>
      <c r="M1891" s="723"/>
      <c r="N1891" s="576">
        <f t="shared" si="462"/>
        <v>0</v>
      </c>
      <c r="O1891" s="577">
        <f t="shared" si="453"/>
        <v>0</v>
      </c>
      <c r="P1891" s="578">
        <f t="shared" si="454"/>
        <v>0</v>
      </c>
      <c r="Q1891" s="765"/>
      <c r="R1891" s="723"/>
      <c r="S1891" s="723"/>
      <c r="T1891" s="577">
        <f t="shared" si="451"/>
        <v>0</v>
      </c>
      <c r="U1891" s="578">
        <f t="shared" si="452"/>
        <v>0</v>
      </c>
      <c r="V1891" s="579"/>
      <c r="W1891" s="566" t="str">
        <f>IF(U1888&gt;0,"xx",IF(P1888&gt;0,"xy",""))</f>
        <v/>
      </c>
      <c r="X1891" s="586" t="str">
        <f t="shared" si="465"/>
        <v/>
      </c>
      <c r="Y1891" s="586" t="str">
        <f t="shared" si="466"/>
        <v/>
      </c>
      <c r="Z1891" s="586" t="str">
        <f t="shared" si="467"/>
        <v/>
      </c>
    </row>
    <row r="1892" spans="1:26" ht="12" hidden="1" thickBot="1" x14ac:dyDescent="0.25">
      <c r="A1892" s="567">
        <v>605800</v>
      </c>
      <c r="B1892" s="644">
        <v>605800</v>
      </c>
      <c r="C1892" s="645" t="s">
        <v>206</v>
      </c>
      <c r="D1892" s="422" t="s">
        <v>1515</v>
      </c>
      <c r="E1892" s="423"/>
      <c r="F1892" s="424"/>
      <c r="G1892" s="425"/>
      <c r="H1892" s="651">
        <f>SUM(H1893:H1895)</f>
        <v>360.88649999999996</v>
      </c>
      <c r="I1892" s="420">
        <v>543.05999999999995</v>
      </c>
      <c r="J1892" s="420">
        <f>IF(ISBLANK(I1892),"",SUM(H1892:I1892))</f>
        <v>903.9464999999999</v>
      </c>
      <c r="K1892" s="421">
        <f t="shared" si="455"/>
        <v>1073.98</v>
      </c>
      <c r="L1892" s="647" t="s">
        <v>16</v>
      </c>
      <c r="M1892" s="576"/>
      <c r="N1892" s="576">
        <f t="shared" si="462"/>
        <v>0</v>
      </c>
      <c r="O1892" s="577">
        <f t="shared" si="453"/>
        <v>0</v>
      </c>
      <c r="P1892" s="578">
        <f t="shared" si="454"/>
        <v>0</v>
      </c>
      <c r="Q1892" s="765"/>
      <c r="R1892" s="576">
        <f>M1892</f>
        <v>0</v>
      </c>
      <c r="S1892" s="576">
        <f>N1892</f>
        <v>0</v>
      </c>
      <c r="T1892" s="577">
        <f t="shared" si="451"/>
        <v>0</v>
      </c>
      <c r="U1892" s="578">
        <f t="shared" si="452"/>
        <v>0</v>
      </c>
      <c r="V1892" s="579"/>
      <c r="W1892" s="566"/>
      <c r="X1892" s="586" t="str">
        <f t="shared" si="465"/>
        <v/>
      </c>
      <c r="Y1892" s="586" t="str">
        <f t="shared" si="466"/>
        <v/>
      </c>
      <c r="Z1892" s="586" t="str">
        <f t="shared" si="467"/>
        <v/>
      </c>
    </row>
    <row r="1893" spans="1:26" ht="12" hidden="1" thickBot="1" x14ac:dyDescent="0.25">
      <c r="A1893" s="567" t="s">
        <v>168</v>
      </c>
      <c r="B1893" s="644" t="s">
        <v>168</v>
      </c>
      <c r="C1893" s="645"/>
      <c r="D1893" s="422" t="s">
        <v>212</v>
      </c>
      <c r="E1893" s="423"/>
      <c r="F1893" s="424">
        <v>500</v>
      </c>
      <c r="G1893" s="425">
        <v>0.435</v>
      </c>
      <c r="H1893" s="649">
        <f>IF(F1893&lt;=30,(0.78*F1893+7.82)*G1893,((0.78*30+7.82)+0.78*(F1893-30))*G1893)</f>
        <v>173.05170000000001</v>
      </c>
      <c r="I1893" s="420">
        <v>0</v>
      </c>
      <c r="J1893" s="420"/>
      <c r="K1893" s="421">
        <f t="shared" si="455"/>
        <v>0</v>
      </c>
      <c r="L1893" s="647"/>
      <c r="M1893" s="723"/>
      <c r="N1893" s="576">
        <f t="shared" si="462"/>
        <v>0</v>
      </c>
      <c r="O1893" s="577">
        <f t="shared" si="453"/>
        <v>0</v>
      </c>
      <c r="P1893" s="578">
        <f t="shared" si="454"/>
        <v>0</v>
      </c>
      <c r="Q1893" s="765"/>
      <c r="R1893" s="723"/>
      <c r="S1893" s="723"/>
      <c r="T1893" s="577">
        <f t="shared" si="451"/>
        <v>0</v>
      </c>
      <c r="U1893" s="578">
        <f t="shared" si="452"/>
        <v>0</v>
      </c>
      <c r="V1893" s="579"/>
      <c r="W1893" s="566" t="str">
        <f>IF(U1892&gt;0,"xx",IF(P1892&gt;0,"xy",""))</f>
        <v/>
      </c>
      <c r="X1893" s="586" t="str">
        <f t="shared" si="465"/>
        <v/>
      </c>
      <c r="Y1893" s="586" t="str">
        <f t="shared" si="466"/>
        <v/>
      </c>
      <c r="Z1893" s="586" t="str">
        <f t="shared" si="467"/>
        <v/>
      </c>
    </row>
    <row r="1894" spans="1:26" ht="12" hidden="1" thickBot="1" x14ac:dyDescent="0.25">
      <c r="A1894" s="567" t="s">
        <v>168</v>
      </c>
      <c r="B1894" s="644" t="s">
        <v>168</v>
      </c>
      <c r="C1894" s="645"/>
      <c r="D1894" s="422" t="s">
        <v>248</v>
      </c>
      <c r="E1894" s="423"/>
      <c r="F1894" s="424">
        <v>180</v>
      </c>
      <c r="G1894" s="425">
        <v>0.82499999999999996</v>
      </c>
      <c r="H1894" s="663">
        <f t="shared" ref="H1894:H1895" si="470">IF(F1894&lt;=30,(1.07*F1894+2.68)*G1894,((1.07*30+2.68)+1.07*(F1894-30))*G1894)</f>
        <v>161.10599999999999</v>
      </c>
      <c r="I1894" s="420">
        <v>0</v>
      </c>
      <c r="J1894" s="420"/>
      <c r="K1894" s="421">
        <f t="shared" si="455"/>
        <v>0</v>
      </c>
      <c r="L1894" s="647"/>
      <c r="M1894" s="723"/>
      <c r="N1894" s="576">
        <f t="shared" si="462"/>
        <v>0</v>
      </c>
      <c r="O1894" s="577">
        <f t="shared" si="453"/>
        <v>0</v>
      </c>
      <c r="P1894" s="578">
        <f t="shared" si="454"/>
        <v>0</v>
      </c>
      <c r="Q1894" s="765"/>
      <c r="R1894" s="723"/>
      <c r="S1894" s="723"/>
      <c r="T1894" s="577">
        <f t="shared" si="451"/>
        <v>0</v>
      </c>
      <c r="U1894" s="578">
        <f t="shared" si="452"/>
        <v>0</v>
      </c>
      <c r="V1894" s="579"/>
      <c r="W1894" s="566" t="str">
        <f>IF(U1892&gt;0,"xx",IF(P1892&gt;0,"xy",""))</f>
        <v/>
      </c>
      <c r="X1894" s="586" t="str">
        <f t="shared" si="465"/>
        <v/>
      </c>
      <c r="Y1894" s="586" t="str">
        <f t="shared" si="466"/>
        <v/>
      </c>
      <c r="Z1894" s="586" t="str">
        <f t="shared" si="467"/>
        <v/>
      </c>
    </row>
    <row r="1895" spans="1:26" ht="12" hidden="1" thickBot="1" x14ac:dyDescent="0.25">
      <c r="A1895" s="567" t="s">
        <v>168</v>
      </c>
      <c r="B1895" s="644" t="s">
        <v>168</v>
      </c>
      <c r="C1895" s="645"/>
      <c r="D1895" s="422" t="s">
        <v>252</v>
      </c>
      <c r="E1895" s="423"/>
      <c r="F1895" s="424">
        <v>20</v>
      </c>
      <c r="G1895" s="425">
        <v>1.1100000000000001</v>
      </c>
      <c r="H1895" s="663">
        <f t="shared" si="470"/>
        <v>26.728800000000003</v>
      </c>
      <c r="I1895" s="420">
        <v>0</v>
      </c>
      <c r="J1895" s="420"/>
      <c r="K1895" s="421">
        <f t="shared" si="455"/>
        <v>0</v>
      </c>
      <c r="L1895" s="647"/>
      <c r="M1895" s="723"/>
      <c r="N1895" s="576">
        <f t="shared" si="462"/>
        <v>0</v>
      </c>
      <c r="O1895" s="577">
        <f t="shared" si="453"/>
        <v>0</v>
      </c>
      <c r="P1895" s="578">
        <f t="shared" si="454"/>
        <v>0</v>
      </c>
      <c r="Q1895" s="765"/>
      <c r="R1895" s="723"/>
      <c r="S1895" s="723"/>
      <c r="T1895" s="577">
        <f t="shared" si="451"/>
        <v>0</v>
      </c>
      <c r="U1895" s="578">
        <f t="shared" si="452"/>
        <v>0</v>
      </c>
      <c r="V1895" s="579"/>
      <c r="W1895" s="566" t="str">
        <f>IF(U1892&gt;0,"xx",IF(P1892&gt;0,"xy",""))</f>
        <v/>
      </c>
      <c r="X1895" s="586" t="str">
        <f t="shared" si="465"/>
        <v/>
      </c>
      <c r="Y1895" s="586" t="str">
        <f t="shared" si="466"/>
        <v/>
      </c>
      <c r="Z1895" s="586" t="str">
        <f t="shared" si="467"/>
        <v/>
      </c>
    </row>
    <row r="1896" spans="1:26" ht="12" hidden="1" thickBot="1" x14ac:dyDescent="0.25">
      <c r="A1896" s="567">
        <v>605900</v>
      </c>
      <c r="B1896" s="644">
        <v>605900</v>
      </c>
      <c r="C1896" s="645" t="s">
        <v>206</v>
      </c>
      <c r="D1896" s="422" t="s">
        <v>1516</v>
      </c>
      <c r="E1896" s="423"/>
      <c r="F1896" s="424"/>
      <c r="G1896" s="425"/>
      <c r="H1896" s="651">
        <f>SUM(H1897:H1899)</f>
        <v>370.00080000000003</v>
      </c>
      <c r="I1896" s="420">
        <v>566.61</v>
      </c>
      <c r="J1896" s="420">
        <f>IF(ISBLANK(I1896),"",SUM(H1896:I1896))</f>
        <v>936.61080000000004</v>
      </c>
      <c r="K1896" s="421">
        <f t="shared" si="455"/>
        <v>1112.79</v>
      </c>
      <c r="L1896" s="647" t="s">
        <v>16</v>
      </c>
      <c r="M1896" s="576"/>
      <c r="N1896" s="576">
        <f t="shared" si="462"/>
        <v>0</v>
      </c>
      <c r="O1896" s="577">
        <f t="shared" si="453"/>
        <v>0</v>
      </c>
      <c r="P1896" s="578">
        <f t="shared" si="454"/>
        <v>0</v>
      </c>
      <c r="Q1896" s="765"/>
      <c r="R1896" s="576">
        <f>M1896</f>
        <v>0</v>
      </c>
      <c r="S1896" s="576">
        <f>N1896</f>
        <v>0</v>
      </c>
      <c r="T1896" s="577">
        <f t="shared" si="451"/>
        <v>0</v>
      </c>
      <c r="U1896" s="578">
        <f t="shared" si="452"/>
        <v>0</v>
      </c>
      <c r="V1896" s="579"/>
      <c r="W1896" s="566"/>
      <c r="X1896" s="586" t="str">
        <f t="shared" si="465"/>
        <v/>
      </c>
      <c r="Y1896" s="586" t="str">
        <f t="shared" si="466"/>
        <v/>
      </c>
      <c r="Z1896" s="586" t="str">
        <f t="shared" si="467"/>
        <v/>
      </c>
    </row>
    <row r="1897" spans="1:26" ht="12" hidden="1" thickBot="1" x14ac:dyDescent="0.25">
      <c r="A1897" s="567" t="s">
        <v>168</v>
      </c>
      <c r="B1897" s="644" t="s">
        <v>168</v>
      </c>
      <c r="C1897" s="645"/>
      <c r="D1897" s="422" t="s">
        <v>212</v>
      </c>
      <c r="E1897" s="423"/>
      <c r="F1897" s="424">
        <v>500</v>
      </c>
      <c r="G1897" s="425">
        <v>0.48</v>
      </c>
      <c r="H1897" s="649">
        <f>IF(F1897&lt;=30,(0.78*F1897+7.82)*G1897,((0.78*30+7.82)+0.78*(F1897-30))*G1897)</f>
        <v>190.95360000000002</v>
      </c>
      <c r="I1897" s="420">
        <v>0</v>
      </c>
      <c r="J1897" s="420"/>
      <c r="K1897" s="421">
        <f t="shared" si="455"/>
        <v>0</v>
      </c>
      <c r="L1897" s="647"/>
      <c r="M1897" s="723"/>
      <c r="N1897" s="576">
        <f t="shared" si="462"/>
        <v>0</v>
      </c>
      <c r="O1897" s="577">
        <f t="shared" si="453"/>
        <v>0</v>
      </c>
      <c r="P1897" s="578">
        <f t="shared" si="454"/>
        <v>0</v>
      </c>
      <c r="Q1897" s="765"/>
      <c r="R1897" s="723"/>
      <c r="S1897" s="723"/>
      <c r="T1897" s="577">
        <f t="shared" si="451"/>
        <v>0</v>
      </c>
      <c r="U1897" s="578">
        <f t="shared" si="452"/>
        <v>0</v>
      </c>
      <c r="V1897" s="579"/>
      <c r="W1897" s="566" t="str">
        <f>IF(U1896&gt;0,"xx",IF(P1896&gt;0,"xy",""))</f>
        <v/>
      </c>
      <c r="X1897" s="586" t="str">
        <f t="shared" si="465"/>
        <v/>
      </c>
      <c r="Y1897" s="586" t="str">
        <f t="shared" si="466"/>
        <v/>
      </c>
      <c r="Z1897" s="586" t="str">
        <f t="shared" si="467"/>
        <v/>
      </c>
    </row>
    <row r="1898" spans="1:26" ht="12" hidden="1" thickBot="1" x14ac:dyDescent="0.25">
      <c r="A1898" s="567" t="s">
        <v>168</v>
      </c>
      <c r="B1898" s="644" t="s">
        <v>168</v>
      </c>
      <c r="C1898" s="645"/>
      <c r="D1898" s="422" t="s">
        <v>248</v>
      </c>
      <c r="E1898" s="423"/>
      <c r="F1898" s="424">
        <v>180</v>
      </c>
      <c r="G1898" s="425">
        <v>0.78</v>
      </c>
      <c r="H1898" s="663">
        <f t="shared" ref="H1898:H1899" si="471">IF(F1898&lt;=30,(1.07*F1898+2.68)*G1898,((1.07*30+2.68)+1.07*(F1898-30))*G1898)</f>
        <v>152.3184</v>
      </c>
      <c r="I1898" s="420">
        <v>0</v>
      </c>
      <c r="J1898" s="420"/>
      <c r="K1898" s="421">
        <f t="shared" si="455"/>
        <v>0</v>
      </c>
      <c r="L1898" s="647"/>
      <c r="M1898" s="723"/>
      <c r="N1898" s="576">
        <f t="shared" si="462"/>
        <v>0</v>
      </c>
      <c r="O1898" s="577">
        <f t="shared" si="453"/>
        <v>0</v>
      </c>
      <c r="P1898" s="578">
        <f t="shared" si="454"/>
        <v>0</v>
      </c>
      <c r="Q1898" s="765"/>
      <c r="R1898" s="723"/>
      <c r="S1898" s="723"/>
      <c r="T1898" s="577">
        <f t="shared" si="451"/>
        <v>0</v>
      </c>
      <c r="U1898" s="578">
        <f t="shared" si="452"/>
        <v>0</v>
      </c>
      <c r="V1898" s="579"/>
      <c r="W1898" s="566" t="str">
        <f>IF(U1896&gt;0,"xx",IF(P1896&gt;0,"xy",""))</f>
        <v/>
      </c>
      <c r="X1898" s="586" t="str">
        <f t="shared" si="465"/>
        <v/>
      </c>
      <c r="Y1898" s="586" t="str">
        <f t="shared" si="466"/>
        <v/>
      </c>
      <c r="Z1898" s="586" t="str">
        <f t="shared" si="467"/>
        <v/>
      </c>
    </row>
    <row r="1899" spans="1:26" ht="12" hidden="1" thickBot="1" x14ac:dyDescent="0.25">
      <c r="A1899" s="567" t="s">
        <v>168</v>
      </c>
      <c r="B1899" s="644" t="s">
        <v>168</v>
      </c>
      <c r="C1899" s="645"/>
      <c r="D1899" s="422" t="s">
        <v>252</v>
      </c>
      <c r="E1899" s="423"/>
      <c r="F1899" s="424">
        <v>20</v>
      </c>
      <c r="G1899" s="425">
        <v>1.1100000000000001</v>
      </c>
      <c r="H1899" s="663">
        <f t="shared" si="471"/>
        <v>26.728800000000003</v>
      </c>
      <c r="I1899" s="420">
        <v>0</v>
      </c>
      <c r="J1899" s="420"/>
      <c r="K1899" s="421">
        <f t="shared" si="455"/>
        <v>0</v>
      </c>
      <c r="L1899" s="647"/>
      <c r="M1899" s="723"/>
      <c r="N1899" s="576">
        <f t="shared" si="462"/>
        <v>0</v>
      </c>
      <c r="O1899" s="577">
        <f t="shared" si="453"/>
        <v>0</v>
      </c>
      <c r="P1899" s="578">
        <f t="shared" si="454"/>
        <v>0</v>
      </c>
      <c r="Q1899" s="765"/>
      <c r="R1899" s="723"/>
      <c r="S1899" s="723"/>
      <c r="T1899" s="577">
        <f t="shared" si="451"/>
        <v>0</v>
      </c>
      <c r="U1899" s="578">
        <f t="shared" si="452"/>
        <v>0</v>
      </c>
      <c r="V1899" s="579"/>
      <c r="W1899" s="566" t="str">
        <f>IF(U1896&gt;0,"xx",IF(P1896&gt;0,"xy",""))</f>
        <v/>
      </c>
      <c r="X1899" s="586" t="str">
        <f t="shared" si="465"/>
        <v/>
      </c>
      <c r="Y1899" s="586" t="str">
        <f t="shared" si="466"/>
        <v/>
      </c>
      <c r="Z1899" s="586" t="str">
        <f t="shared" si="467"/>
        <v/>
      </c>
    </row>
    <row r="1900" spans="1:26" ht="12" hidden="1" thickBot="1" x14ac:dyDescent="0.25">
      <c r="A1900" s="567">
        <v>606200</v>
      </c>
      <c r="B1900" s="644">
        <v>606200</v>
      </c>
      <c r="C1900" s="645" t="s">
        <v>206</v>
      </c>
      <c r="D1900" s="422" t="s">
        <v>1517</v>
      </c>
      <c r="E1900" s="423"/>
      <c r="F1900" s="424"/>
      <c r="G1900" s="425"/>
      <c r="H1900" s="651">
        <f>SUM(H1901:H1903)</f>
        <v>376.87264000000005</v>
      </c>
      <c r="I1900" s="420">
        <v>583.43999999999994</v>
      </c>
      <c r="J1900" s="420">
        <f>IF(ISBLANK(I1900),"",SUM(H1900:I1900))</f>
        <v>960.31263999999999</v>
      </c>
      <c r="K1900" s="421">
        <f t="shared" si="455"/>
        <v>1140.95</v>
      </c>
      <c r="L1900" s="647" t="s">
        <v>16</v>
      </c>
      <c r="M1900" s="576"/>
      <c r="N1900" s="576">
        <f t="shared" si="462"/>
        <v>0</v>
      </c>
      <c r="O1900" s="577">
        <f t="shared" si="453"/>
        <v>0</v>
      </c>
      <c r="P1900" s="578">
        <f t="shared" si="454"/>
        <v>0</v>
      </c>
      <c r="Q1900" s="765"/>
      <c r="R1900" s="576">
        <f>M1900</f>
        <v>0</v>
      </c>
      <c r="S1900" s="576">
        <f>N1900</f>
        <v>0</v>
      </c>
      <c r="T1900" s="577">
        <f t="shared" si="451"/>
        <v>0</v>
      </c>
      <c r="U1900" s="578">
        <f t="shared" si="452"/>
        <v>0</v>
      </c>
      <c r="V1900" s="579"/>
      <c r="W1900" s="566"/>
      <c r="X1900" s="586" t="str">
        <f t="shared" si="465"/>
        <v/>
      </c>
      <c r="Y1900" s="586" t="str">
        <f t="shared" si="466"/>
        <v/>
      </c>
      <c r="Z1900" s="586" t="str">
        <f t="shared" si="467"/>
        <v/>
      </c>
    </row>
    <row r="1901" spans="1:26" ht="12" hidden="1" thickBot="1" x14ac:dyDescent="0.25">
      <c r="A1901" s="567" t="s">
        <v>168</v>
      </c>
      <c r="B1901" s="644" t="s">
        <v>168</v>
      </c>
      <c r="C1901" s="645"/>
      <c r="D1901" s="422" t="s">
        <v>212</v>
      </c>
      <c r="E1901" s="423"/>
      <c r="F1901" s="424">
        <v>500</v>
      </c>
      <c r="G1901" s="425">
        <v>0.51200000000000001</v>
      </c>
      <c r="H1901" s="649">
        <f>IF(F1901&lt;=30,(0.78*F1901+7.82)*G1901,((0.78*30+7.82)+0.78*(F1901-30))*G1901)</f>
        <v>203.68384000000003</v>
      </c>
      <c r="I1901" s="420">
        <v>0</v>
      </c>
      <c r="J1901" s="420"/>
      <c r="K1901" s="421">
        <f t="shared" si="455"/>
        <v>0</v>
      </c>
      <c r="L1901" s="647"/>
      <c r="M1901" s="723"/>
      <c r="N1901" s="576">
        <f t="shared" si="462"/>
        <v>0</v>
      </c>
      <c r="O1901" s="577">
        <f t="shared" si="453"/>
        <v>0</v>
      </c>
      <c r="P1901" s="578">
        <f t="shared" si="454"/>
        <v>0</v>
      </c>
      <c r="Q1901" s="765"/>
      <c r="R1901" s="723"/>
      <c r="S1901" s="723"/>
      <c r="T1901" s="577">
        <f t="shared" si="451"/>
        <v>0</v>
      </c>
      <c r="U1901" s="578">
        <f t="shared" si="452"/>
        <v>0</v>
      </c>
      <c r="V1901" s="579"/>
      <c r="W1901" s="566" t="str">
        <f>IF(U1900&gt;0,"xx",IF(P1900&gt;0,"xy",""))</f>
        <v/>
      </c>
      <c r="X1901" s="586" t="str">
        <f t="shared" si="465"/>
        <v/>
      </c>
      <c r="Y1901" s="586" t="str">
        <f t="shared" si="466"/>
        <v/>
      </c>
      <c r="Z1901" s="586" t="str">
        <f t="shared" si="467"/>
        <v/>
      </c>
    </row>
    <row r="1902" spans="1:26" ht="12" hidden="1" thickBot="1" x14ac:dyDescent="0.25">
      <c r="A1902" s="567" t="s">
        <v>168</v>
      </c>
      <c r="B1902" s="644" t="s">
        <v>168</v>
      </c>
      <c r="C1902" s="645"/>
      <c r="D1902" s="422" t="s">
        <v>248</v>
      </c>
      <c r="E1902" s="423"/>
      <c r="F1902" s="424">
        <v>180</v>
      </c>
      <c r="G1902" s="425">
        <v>0.75</v>
      </c>
      <c r="H1902" s="663">
        <f t="shared" ref="H1902:H1903" si="472">IF(F1902&lt;=30,(1.07*F1902+2.68)*G1902,((1.07*30+2.68)+1.07*(F1902-30))*G1902)</f>
        <v>146.46</v>
      </c>
      <c r="I1902" s="420">
        <v>0</v>
      </c>
      <c r="J1902" s="420"/>
      <c r="K1902" s="421">
        <f t="shared" si="455"/>
        <v>0</v>
      </c>
      <c r="L1902" s="647"/>
      <c r="M1902" s="723"/>
      <c r="N1902" s="576">
        <f t="shared" si="462"/>
        <v>0</v>
      </c>
      <c r="O1902" s="577">
        <f t="shared" si="453"/>
        <v>0</v>
      </c>
      <c r="P1902" s="578">
        <f t="shared" si="454"/>
        <v>0</v>
      </c>
      <c r="Q1902" s="765"/>
      <c r="R1902" s="723"/>
      <c r="S1902" s="723"/>
      <c r="T1902" s="577">
        <f t="shared" si="451"/>
        <v>0</v>
      </c>
      <c r="U1902" s="578">
        <f t="shared" si="452"/>
        <v>0</v>
      </c>
      <c r="V1902" s="579"/>
      <c r="W1902" s="566" t="str">
        <f>IF(U1900&gt;0,"xx",IF(P1900&gt;0,"xy",""))</f>
        <v/>
      </c>
      <c r="X1902" s="586" t="str">
        <f t="shared" si="465"/>
        <v/>
      </c>
      <c r="Y1902" s="586" t="str">
        <f t="shared" si="466"/>
        <v/>
      </c>
      <c r="Z1902" s="586" t="str">
        <f t="shared" si="467"/>
        <v/>
      </c>
    </row>
    <row r="1903" spans="1:26" ht="12" hidden="1" thickBot="1" x14ac:dyDescent="0.25">
      <c r="A1903" s="567" t="s">
        <v>168</v>
      </c>
      <c r="B1903" s="644" t="s">
        <v>168</v>
      </c>
      <c r="C1903" s="645"/>
      <c r="D1903" s="422" t="s">
        <v>252</v>
      </c>
      <c r="E1903" s="423"/>
      <c r="F1903" s="424">
        <v>20</v>
      </c>
      <c r="G1903" s="425">
        <v>1.1100000000000001</v>
      </c>
      <c r="H1903" s="663">
        <f t="shared" si="472"/>
        <v>26.728800000000003</v>
      </c>
      <c r="I1903" s="420">
        <v>0</v>
      </c>
      <c r="J1903" s="420"/>
      <c r="K1903" s="421">
        <f t="shared" si="455"/>
        <v>0</v>
      </c>
      <c r="L1903" s="647"/>
      <c r="M1903" s="723"/>
      <c r="N1903" s="576">
        <f t="shared" si="462"/>
        <v>0</v>
      </c>
      <c r="O1903" s="577">
        <f t="shared" si="453"/>
        <v>0</v>
      </c>
      <c r="P1903" s="578">
        <f t="shared" si="454"/>
        <v>0</v>
      </c>
      <c r="Q1903" s="765"/>
      <c r="R1903" s="723"/>
      <c r="S1903" s="723"/>
      <c r="T1903" s="577">
        <f t="shared" si="451"/>
        <v>0</v>
      </c>
      <c r="U1903" s="578">
        <f t="shared" si="452"/>
        <v>0</v>
      </c>
      <c r="V1903" s="579"/>
      <c r="W1903" s="566" t="str">
        <f>IF(U1900&gt;0,"xx",IF(P1900&gt;0,"xy",""))</f>
        <v/>
      </c>
      <c r="X1903" s="586" t="str">
        <f t="shared" si="465"/>
        <v/>
      </c>
      <c r="Y1903" s="586" t="str">
        <f t="shared" si="466"/>
        <v/>
      </c>
      <c r="Z1903" s="586" t="str">
        <f t="shared" si="467"/>
        <v/>
      </c>
    </row>
    <row r="1904" spans="1:26" ht="12" hidden="1" thickBot="1" x14ac:dyDescent="0.25">
      <c r="A1904" s="567">
        <v>622000</v>
      </c>
      <c r="B1904" s="644">
        <v>622000</v>
      </c>
      <c r="C1904" s="645" t="s">
        <v>206</v>
      </c>
      <c r="D1904" s="422" t="s">
        <v>626</v>
      </c>
      <c r="E1904" s="423"/>
      <c r="F1904" s="424"/>
      <c r="G1904" s="425"/>
      <c r="H1904" s="651">
        <f>SUM(H1905:H1908)</f>
        <v>51.614808000000004</v>
      </c>
      <c r="I1904" s="420">
        <v>225.42</v>
      </c>
      <c r="J1904" s="420">
        <f>IF(ISBLANK(I1904),"",SUM(H1904:I1904))</f>
        <v>277.034808</v>
      </c>
      <c r="K1904" s="421">
        <f t="shared" si="455"/>
        <v>329.15</v>
      </c>
      <c r="L1904" s="647" t="s">
        <v>21</v>
      </c>
      <c r="M1904" s="576"/>
      <c r="N1904" s="576">
        <f t="shared" si="462"/>
        <v>0</v>
      </c>
      <c r="O1904" s="577">
        <f t="shared" si="453"/>
        <v>0</v>
      </c>
      <c r="P1904" s="578">
        <f t="shared" si="454"/>
        <v>0</v>
      </c>
      <c r="Q1904" s="765"/>
      <c r="R1904" s="576">
        <f>M1904</f>
        <v>0</v>
      </c>
      <c r="S1904" s="576">
        <f>N1904</f>
        <v>0</v>
      </c>
      <c r="T1904" s="577">
        <f t="shared" si="451"/>
        <v>0</v>
      </c>
      <c r="U1904" s="578">
        <f t="shared" si="452"/>
        <v>0</v>
      </c>
      <c r="V1904" s="579"/>
      <c r="W1904" s="566"/>
      <c r="X1904" s="586" t="str">
        <f t="shared" si="461"/>
        <v/>
      </c>
      <c r="Y1904" s="586" t="str">
        <f t="shared" si="431"/>
        <v/>
      </c>
      <c r="Z1904" s="586" t="str">
        <f t="shared" si="445"/>
        <v/>
      </c>
    </row>
    <row r="1905" spans="1:26" ht="12" hidden="1" thickBot="1" x14ac:dyDescent="0.25">
      <c r="A1905" s="567" t="s">
        <v>168</v>
      </c>
      <c r="B1905" s="644" t="s">
        <v>168</v>
      </c>
      <c r="C1905" s="645"/>
      <c r="D1905" s="422" t="s">
        <v>212</v>
      </c>
      <c r="E1905" s="423"/>
      <c r="F1905" s="424">
        <v>500</v>
      </c>
      <c r="G1905" s="425">
        <v>4.24E-2</v>
      </c>
      <c r="H1905" s="649">
        <f>IF(F1905&lt;=30,(0.78*F1905+7.82)*G1905,((0.78*30+7.82)+0.78*(F1905-30))*G1905)</f>
        <v>16.867568000000002</v>
      </c>
      <c r="I1905" s="420">
        <v>0</v>
      </c>
      <c r="J1905" s="420"/>
      <c r="K1905" s="421">
        <f t="shared" si="455"/>
        <v>0</v>
      </c>
      <c r="L1905" s="647"/>
      <c r="M1905" s="723"/>
      <c r="N1905" s="576">
        <f t="shared" si="462"/>
        <v>0</v>
      </c>
      <c r="O1905" s="577">
        <f t="shared" si="453"/>
        <v>0</v>
      </c>
      <c r="P1905" s="578">
        <f t="shared" si="454"/>
        <v>0</v>
      </c>
      <c r="Q1905" s="765"/>
      <c r="R1905" s="723"/>
      <c r="S1905" s="723"/>
      <c r="T1905" s="577">
        <f t="shared" si="451"/>
        <v>0</v>
      </c>
      <c r="U1905" s="578">
        <f t="shared" si="452"/>
        <v>0</v>
      </c>
      <c r="V1905" s="579"/>
      <c r="W1905" s="566" t="str">
        <f>IF(U1904&gt;0,"xx",IF(P1904&gt;0,"xy",""))</f>
        <v/>
      </c>
      <c r="X1905" s="586" t="str">
        <f t="shared" si="461"/>
        <v/>
      </c>
      <c r="Y1905" s="586" t="str">
        <f t="shared" si="431"/>
        <v/>
      </c>
      <c r="Z1905" s="586" t="str">
        <f t="shared" si="445"/>
        <v/>
      </c>
    </row>
    <row r="1906" spans="1:26" ht="12" hidden="1" thickBot="1" x14ac:dyDescent="0.25">
      <c r="A1906" s="567" t="s">
        <v>168</v>
      </c>
      <c r="B1906" s="644" t="s">
        <v>168</v>
      </c>
      <c r="C1906" s="645"/>
      <c r="D1906" s="422" t="s">
        <v>248</v>
      </c>
      <c r="E1906" s="423"/>
      <c r="F1906" s="424">
        <v>180</v>
      </c>
      <c r="G1906" s="425">
        <v>0.1507</v>
      </c>
      <c r="H1906" s="663">
        <f t="shared" ref="H1906:H1907" si="473">IF(F1906&lt;=30,(1.07*F1906+2.68)*G1906,((1.07*30+2.68)+1.07*(F1906-30))*G1906)</f>
        <v>29.428695999999999</v>
      </c>
      <c r="I1906" s="420">
        <v>0</v>
      </c>
      <c r="J1906" s="420"/>
      <c r="K1906" s="421">
        <f t="shared" si="455"/>
        <v>0</v>
      </c>
      <c r="L1906" s="647"/>
      <c r="M1906" s="723"/>
      <c r="N1906" s="576">
        <f t="shared" si="462"/>
        <v>0</v>
      </c>
      <c r="O1906" s="577">
        <f t="shared" si="453"/>
        <v>0</v>
      </c>
      <c r="P1906" s="578">
        <f t="shared" si="454"/>
        <v>0</v>
      </c>
      <c r="Q1906" s="765"/>
      <c r="R1906" s="723"/>
      <c r="S1906" s="723"/>
      <c r="T1906" s="577">
        <f t="shared" si="451"/>
        <v>0</v>
      </c>
      <c r="U1906" s="578">
        <f t="shared" si="452"/>
        <v>0</v>
      </c>
      <c r="V1906" s="579"/>
      <c r="W1906" s="566" t="str">
        <f>IF(U1904&gt;0,"xx",IF(P1904&gt;0,"xy",""))</f>
        <v/>
      </c>
      <c r="X1906" s="586" t="str">
        <f t="shared" si="461"/>
        <v/>
      </c>
      <c r="Y1906" s="586" t="str">
        <f t="shared" si="431"/>
        <v/>
      </c>
      <c r="Z1906" s="586" t="str">
        <f t="shared" si="445"/>
        <v/>
      </c>
    </row>
    <row r="1907" spans="1:26" ht="12" hidden="1" thickBot="1" x14ac:dyDescent="0.25">
      <c r="A1907" s="567" t="s">
        <v>168</v>
      </c>
      <c r="B1907" s="644" t="s">
        <v>168</v>
      </c>
      <c r="C1907" s="645"/>
      <c r="D1907" s="422" t="s">
        <v>252</v>
      </c>
      <c r="E1907" s="423"/>
      <c r="F1907" s="424">
        <v>20</v>
      </c>
      <c r="G1907" s="425">
        <v>0.17430000000000001</v>
      </c>
      <c r="H1907" s="663">
        <f t="shared" si="473"/>
        <v>4.1971440000000007</v>
      </c>
      <c r="I1907" s="420">
        <v>0</v>
      </c>
      <c r="J1907" s="420"/>
      <c r="K1907" s="421">
        <f t="shared" si="455"/>
        <v>0</v>
      </c>
      <c r="L1907" s="647"/>
      <c r="M1907" s="723"/>
      <c r="N1907" s="576">
        <f t="shared" si="462"/>
        <v>0</v>
      </c>
      <c r="O1907" s="577">
        <f t="shared" si="453"/>
        <v>0</v>
      </c>
      <c r="P1907" s="578">
        <f t="shared" si="454"/>
        <v>0</v>
      </c>
      <c r="Q1907" s="765"/>
      <c r="R1907" s="723"/>
      <c r="S1907" s="723"/>
      <c r="T1907" s="577">
        <f t="shared" si="451"/>
        <v>0</v>
      </c>
      <c r="U1907" s="578">
        <f t="shared" si="452"/>
        <v>0</v>
      </c>
      <c r="V1907" s="579"/>
      <c r="W1907" s="566" t="str">
        <f>IF(U1904&gt;0,"xx",IF(P1904&gt;0,"xy",""))</f>
        <v/>
      </c>
      <c r="X1907" s="586" t="str">
        <f t="shared" si="461"/>
        <v/>
      </c>
      <c r="Y1907" s="586" t="str">
        <f t="shared" si="431"/>
        <v/>
      </c>
      <c r="Z1907" s="586" t="str">
        <f t="shared" si="445"/>
        <v/>
      </c>
    </row>
    <row r="1908" spans="1:26" ht="12" hidden="1" thickBot="1" x14ac:dyDescent="0.25">
      <c r="A1908" s="567" t="s">
        <v>168</v>
      </c>
      <c r="B1908" s="644" t="s">
        <v>168</v>
      </c>
      <c r="C1908" s="645"/>
      <c r="D1908" s="422" t="s">
        <v>347</v>
      </c>
      <c r="E1908" s="423"/>
      <c r="F1908" s="424">
        <v>20</v>
      </c>
      <c r="G1908" s="425">
        <v>0.06</v>
      </c>
      <c r="H1908" s="663">
        <f>IF(F1908&lt;=30,(0.62*F1908+6.29)*G1908,((0.62*30+6.29)+0.62*(F1908-30))*G1908)</f>
        <v>1.1214</v>
      </c>
      <c r="I1908" s="420">
        <v>0</v>
      </c>
      <c r="J1908" s="420"/>
      <c r="K1908" s="421">
        <f t="shared" si="455"/>
        <v>0</v>
      </c>
      <c r="L1908" s="647"/>
      <c r="M1908" s="723"/>
      <c r="N1908" s="576">
        <f t="shared" si="462"/>
        <v>0</v>
      </c>
      <c r="O1908" s="577">
        <f t="shared" si="453"/>
        <v>0</v>
      </c>
      <c r="P1908" s="578">
        <f t="shared" si="454"/>
        <v>0</v>
      </c>
      <c r="Q1908" s="765"/>
      <c r="R1908" s="723"/>
      <c r="S1908" s="723"/>
      <c r="T1908" s="577">
        <f t="shared" si="451"/>
        <v>0</v>
      </c>
      <c r="U1908" s="578">
        <f t="shared" si="452"/>
        <v>0</v>
      </c>
      <c r="V1908" s="579"/>
      <c r="W1908" s="566" t="str">
        <f>IF(U1904&gt;0,"xx",IF(P1904&gt;0,"xy",""))</f>
        <v/>
      </c>
      <c r="X1908" s="586" t="str">
        <f t="shared" si="461"/>
        <v/>
      </c>
      <c r="Y1908" s="586" t="str">
        <f t="shared" si="431"/>
        <v/>
      </c>
      <c r="Z1908" s="586" t="str">
        <f t="shared" si="445"/>
        <v/>
      </c>
    </row>
    <row r="1909" spans="1:26" ht="12" hidden="1" thickBot="1" x14ac:dyDescent="0.25">
      <c r="A1909" s="567">
        <v>620000</v>
      </c>
      <c r="B1909" s="644" t="s">
        <v>1658</v>
      </c>
      <c r="C1909" s="645" t="s">
        <v>206</v>
      </c>
      <c r="D1909" s="422" t="s">
        <v>627</v>
      </c>
      <c r="E1909" s="423"/>
      <c r="F1909" s="424"/>
      <c r="G1909" s="425"/>
      <c r="H1909" s="651">
        <f>SUM(H1910:H1912)</f>
        <v>75.751080000000002</v>
      </c>
      <c r="I1909" s="420">
        <v>359.52</v>
      </c>
      <c r="J1909" s="420">
        <f>IF(ISBLANK(I1909),"",SUM(H1909:I1909))</f>
        <v>435.27107999999998</v>
      </c>
      <c r="K1909" s="421">
        <f t="shared" si="455"/>
        <v>517.15</v>
      </c>
      <c r="L1909" s="647" t="s">
        <v>21</v>
      </c>
      <c r="M1909" s="576"/>
      <c r="N1909" s="576">
        <f t="shared" si="462"/>
        <v>0</v>
      </c>
      <c r="O1909" s="577">
        <f t="shared" si="453"/>
        <v>0</v>
      </c>
      <c r="P1909" s="578">
        <f t="shared" si="454"/>
        <v>0</v>
      </c>
      <c r="Q1909" s="765"/>
      <c r="R1909" s="576">
        <f>M1909</f>
        <v>0</v>
      </c>
      <c r="S1909" s="576">
        <f>N1909</f>
        <v>0</v>
      </c>
      <c r="T1909" s="577">
        <f t="shared" si="451"/>
        <v>0</v>
      </c>
      <c r="U1909" s="578">
        <f t="shared" si="452"/>
        <v>0</v>
      </c>
      <c r="V1909" s="579"/>
      <c r="W1909" s="566"/>
      <c r="X1909" s="586" t="str">
        <f t="shared" si="461"/>
        <v/>
      </c>
      <c r="Y1909" s="586" t="str">
        <f t="shared" si="431"/>
        <v/>
      </c>
      <c r="Z1909" s="586" t="str">
        <f t="shared" si="445"/>
        <v/>
      </c>
    </row>
    <row r="1910" spans="1:26" ht="12" hidden="1" thickBot="1" x14ac:dyDescent="0.25">
      <c r="A1910" s="567" t="s">
        <v>168</v>
      </c>
      <c r="B1910" s="644" t="s">
        <v>168</v>
      </c>
      <c r="C1910" s="645"/>
      <c r="D1910" s="422" t="s">
        <v>212</v>
      </c>
      <c r="E1910" s="423"/>
      <c r="F1910" s="424">
        <v>500</v>
      </c>
      <c r="G1910" s="425">
        <v>6.3600000000000004E-2</v>
      </c>
      <c r="H1910" s="649">
        <f>IF(F1910&lt;=30,(0.78*F1910+7.82)*G1910,((0.78*30+7.82)+0.78*(F1910-30))*G1910)</f>
        <v>25.301352000000005</v>
      </c>
      <c r="I1910" s="420">
        <v>0</v>
      </c>
      <c r="J1910" s="420"/>
      <c r="K1910" s="421">
        <f t="shared" si="455"/>
        <v>0</v>
      </c>
      <c r="L1910" s="647"/>
      <c r="M1910" s="723"/>
      <c r="N1910" s="576">
        <f t="shared" si="462"/>
        <v>0</v>
      </c>
      <c r="O1910" s="577">
        <f t="shared" si="453"/>
        <v>0</v>
      </c>
      <c r="P1910" s="578">
        <f t="shared" si="454"/>
        <v>0</v>
      </c>
      <c r="Q1910" s="765"/>
      <c r="R1910" s="723"/>
      <c r="S1910" s="723"/>
      <c r="T1910" s="577">
        <f t="shared" si="451"/>
        <v>0</v>
      </c>
      <c r="U1910" s="578">
        <f t="shared" si="452"/>
        <v>0</v>
      </c>
      <c r="V1910" s="579"/>
      <c r="W1910" s="566" t="str">
        <f>IF(U1909&gt;0,"xx",IF(P1909&gt;0,"xy",""))</f>
        <v/>
      </c>
      <c r="X1910" s="586" t="str">
        <f t="shared" si="461"/>
        <v/>
      </c>
      <c r="Y1910" s="586" t="str">
        <f t="shared" si="431"/>
        <v/>
      </c>
      <c r="Z1910" s="586" t="str">
        <f t="shared" si="445"/>
        <v/>
      </c>
    </row>
    <row r="1911" spans="1:26" ht="12" hidden="1" thickBot="1" x14ac:dyDescent="0.25">
      <c r="A1911" s="567" t="s">
        <v>168</v>
      </c>
      <c r="B1911" s="644" t="s">
        <v>168</v>
      </c>
      <c r="C1911" s="645"/>
      <c r="D1911" s="422" t="s">
        <v>248</v>
      </c>
      <c r="E1911" s="423"/>
      <c r="F1911" s="424">
        <v>180</v>
      </c>
      <c r="G1911" s="425">
        <v>0.2261</v>
      </c>
      <c r="H1911" s="663">
        <f t="shared" ref="H1911:H1912" si="474">IF(F1911&lt;=30,(1.07*F1911+2.68)*G1911,((1.07*30+2.68)+1.07*(F1911-30))*G1911)</f>
        <v>44.152808</v>
      </c>
      <c r="I1911" s="420">
        <v>0</v>
      </c>
      <c r="J1911" s="420"/>
      <c r="K1911" s="421">
        <f t="shared" si="455"/>
        <v>0</v>
      </c>
      <c r="L1911" s="647"/>
      <c r="M1911" s="723"/>
      <c r="N1911" s="576">
        <f t="shared" si="462"/>
        <v>0</v>
      </c>
      <c r="O1911" s="577">
        <f t="shared" si="453"/>
        <v>0</v>
      </c>
      <c r="P1911" s="578">
        <f t="shared" si="454"/>
        <v>0</v>
      </c>
      <c r="Q1911" s="765"/>
      <c r="R1911" s="723"/>
      <c r="S1911" s="723"/>
      <c r="T1911" s="577">
        <f t="shared" si="451"/>
        <v>0</v>
      </c>
      <c r="U1911" s="578">
        <f t="shared" si="452"/>
        <v>0</v>
      </c>
      <c r="V1911" s="579"/>
      <c r="W1911" s="566" t="str">
        <f>IF(U1909&gt;0,"xx",IF(P1909&gt;0,"xy",""))</f>
        <v/>
      </c>
      <c r="X1911" s="586" t="str">
        <f t="shared" si="461"/>
        <v/>
      </c>
      <c r="Y1911" s="586" t="str">
        <f t="shared" si="431"/>
        <v/>
      </c>
      <c r="Z1911" s="586" t="str">
        <f t="shared" si="445"/>
        <v/>
      </c>
    </row>
    <row r="1912" spans="1:26" ht="12" hidden="1" thickBot="1" x14ac:dyDescent="0.25">
      <c r="A1912" s="567" t="s">
        <v>168</v>
      </c>
      <c r="B1912" s="644" t="s">
        <v>168</v>
      </c>
      <c r="C1912" s="645"/>
      <c r="D1912" s="422" t="s">
        <v>252</v>
      </c>
      <c r="E1912" s="423"/>
      <c r="F1912" s="424">
        <v>20</v>
      </c>
      <c r="G1912" s="425">
        <v>0.26150000000000001</v>
      </c>
      <c r="H1912" s="663">
        <f t="shared" si="474"/>
        <v>6.296920000000001</v>
      </c>
      <c r="I1912" s="420">
        <v>0</v>
      </c>
      <c r="J1912" s="420"/>
      <c r="K1912" s="421">
        <f t="shared" si="455"/>
        <v>0</v>
      </c>
      <c r="L1912" s="647"/>
      <c r="M1912" s="723"/>
      <c r="N1912" s="576">
        <f t="shared" si="462"/>
        <v>0</v>
      </c>
      <c r="O1912" s="577">
        <f t="shared" si="453"/>
        <v>0</v>
      </c>
      <c r="P1912" s="578">
        <f t="shared" si="454"/>
        <v>0</v>
      </c>
      <c r="Q1912" s="765"/>
      <c r="R1912" s="723"/>
      <c r="S1912" s="723"/>
      <c r="T1912" s="577">
        <f t="shared" si="451"/>
        <v>0</v>
      </c>
      <c r="U1912" s="578">
        <f t="shared" si="452"/>
        <v>0</v>
      </c>
      <c r="V1912" s="579"/>
      <c r="W1912" s="566" t="str">
        <f>IF(U1909&gt;0,"xx",IF(P1909&gt;0,"xy",""))</f>
        <v/>
      </c>
      <c r="X1912" s="586" t="str">
        <f t="shared" si="461"/>
        <v/>
      </c>
      <c r="Y1912" s="586" t="str">
        <f t="shared" si="431"/>
        <v/>
      </c>
      <c r="Z1912" s="586" t="str">
        <f t="shared" si="445"/>
        <v/>
      </c>
    </row>
    <row r="1913" spans="1:26" ht="12" hidden="1" thickBot="1" x14ac:dyDescent="0.25">
      <c r="A1913" s="567">
        <v>620000</v>
      </c>
      <c r="B1913" s="644" t="s">
        <v>1659</v>
      </c>
      <c r="C1913" s="645" t="s">
        <v>206</v>
      </c>
      <c r="D1913" s="422" t="s">
        <v>354</v>
      </c>
      <c r="E1913" s="423"/>
      <c r="F1913" s="424"/>
      <c r="G1913" s="425"/>
      <c r="H1913" s="651">
        <f>SUM(H1914:H1916)</f>
        <v>144.12123599999998</v>
      </c>
      <c r="I1913" s="420">
        <v>609.32000000000005</v>
      </c>
      <c r="J1913" s="420">
        <f>IF(ISBLANK(I1913),"",SUM(H1913:I1913))</f>
        <v>753.441236</v>
      </c>
      <c r="K1913" s="421">
        <f t="shared" si="455"/>
        <v>895.16</v>
      </c>
      <c r="L1913" s="647" t="s">
        <v>21</v>
      </c>
      <c r="M1913" s="576"/>
      <c r="N1913" s="576">
        <f t="shared" si="462"/>
        <v>0</v>
      </c>
      <c r="O1913" s="577">
        <f t="shared" si="453"/>
        <v>0</v>
      </c>
      <c r="P1913" s="578">
        <f t="shared" si="454"/>
        <v>0</v>
      </c>
      <c r="Q1913" s="765"/>
      <c r="R1913" s="576">
        <f>M1913</f>
        <v>0</v>
      </c>
      <c r="S1913" s="576">
        <f>N1913</f>
        <v>0</v>
      </c>
      <c r="T1913" s="577">
        <f t="shared" si="451"/>
        <v>0</v>
      </c>
      <c r="U1913" s="578">
        <f t="shared" si="452"/>
        <v>0</v>
      </c>
      <c r="V1913" s="579"/>
      <c r="W1913" s="566"/>
      <c r="X1913" s="586" t="str">
        <f t="shared" si="461"/>
        <v/>
      </c>
      <c r="Y1913" s="586" t="str">
        <f t="shared" si="431"/>
        <v/>
      </c>
      <c r="Z1913" s="586" t="str">
        <f t="shared" si="445"/>
        <v/>
      </c>
    </row>
    <row r="1914" spans="1:26" ht="12" hidden="1" thickBot="1" x14ac:dyDescent="0.25">
      <c r="A1914" s="567" t="s">
        <v>168</v>
      </c>
      <c r="B1914" s="644" t="s">
        <v>168</v>
      </c>
      <c r="C1914" s="645"/>
      <c r="D1914" s="422" t="s">
        <v>212</v>
      </c>
      <c r="E1914" s="423"/>
      <c r="F1914" s="424">
        <v>500</v>
      </c>
      <c r="G1914" s="425">
        <v>0.1154</v>
      </c>
      <c r="H1914" s="649">
        <f>IF(F1914&lt;=30,(0.78*F1914+7.82)*G1914,((0.78*30+7.82)+0.78*(F1914-30))*G1914)</f>
        <v>45.908428000000008</v>
      </c>
      <c r="I1914" s="420">
        <v>0</v>
      </c>
      <c r="J1914" s="420"/>
      <c r="K1914" s="421">
        <f t="shared" si="455"/>
        <v>0</v>
      </c>
      <c r="L1914" s="647"/>
      <c r="M1914" s="723"/>
      <c r="N1914" s="576">
        <f t="shared" si="462"/>
        <v>0</v>
      </c>
      <c r="O1914" s="577">
        <f t="shared" si="453"/>
        <v>0</v>
      </c>
      <c r="P1914" s="578">
        <f t="shared" si="454"/>
        <v>0</v>
      </c>
      <c r="Q1914" s="765"/>
      <c r="R1914" s="723"/>
      <c r="S1914" s="723"/>
      <c r="T1914" s="577">
        <f t="shared" si="451"/>
        <v>0</v>
      </c>
      <c r="U1914" s="578">
        <f t="shared" si="452"/>
        <v>0</v>
      </c>
      <c r="V1914" s="579"/>
      <c r="W1914" s="566" t="str">
        <f>IF(U1913&gt;0,"xx",IF(P1913&gt;0,"xy",""))</f>
        <v/>
      </c>
      <c r="X1914" s="586" t="str">
        <f t="shared" si="461"/>
        <v/>
      </c>
      <c r="Y1914" s="586" t="str">
        <f t="shared" si="431"/>
        <v/>
      </c>
      <c r="Z1914" s="586" t="str">
        <f t="shared" si="445"/>
        <v/>
      </c>
    </row>
    <row r="1915" spans="1:26" ht="12" hidden="1" thickBot="1" x14ac:dyDescent="0.25">
      <c r="A1915" s="567" t="s">
        <v>168</v>
      </c>
      <c r="B1915" s="644" t="s">
        <v>168</v>
      </c>
      <c r="C1915" s="645"/>
      <c r="D1915" s="422" t="s">
        <v>248</v>
      </c>
      <c r="E1915" s="423"/>
      <c r="F1915" s="424">
        <v>180</v>
      </c>
      <c r="G1915" s="425">
        <v>0.41049999999999998</v>
      </c>
      <c r="H1915" s="663">
        <f t="shared" ref="H1915:H1916" si="475">IF(F1915&lt;=30,(1.07*F1915+2.68)*G1915,((1.07*30+2.68)+1.07*(F1915-30))*G1915)</f>
        <v>80.162439999999989</v>
      </c>
      <c r="I1915" s="420">
        <v>0</v>
      </c>
      <c r="J1915" s="420"/>
      <c r="K1915" s="421">
        <f t="shared" si="455"/>
        <v>0</v>
      </c>
      <c r="L1915" s="647"/>
      <c r="M1915" s="723"/>
      <c r="N1915" s="576">
        <f t="shared" si="462"/>
        <v>0</v>
      </c>
      <c r="O1915" s="577">
        <f t="shared" si="453"/>
        <v>0</v>
      </c>
      <c r="P1915" s="578">
        <f t="shared" si="454"/>
        <v>0</v>
      </c>
      <c r="Q1915" s="765"/>
      <c r="R1915" s="723"/>
      <c r="S1915" s="723"/>
      <c r="T1915" s="577">
        <f t="shared" si="451"/>
        <v>0</v>
      </c>
      <c r="U1915" s="578">
        <f t="shared" si="452"/>
        <v>0</v>
      </c>
      <c r="V1915" s="579"/>
      <c r="W1915" s="566" t="str">
        <f>IF(U1913&gt;0,"xx",IF(P1913&gt;0,"xy",""))</f>
        <v/>
      </c>
      <c r="X1915" s="586" t="str">
        <f t="shared" si="461"/>
        <v/>
      </c>
      <c r="Y1915" s="586" t="str">
        <f t="shared" si="431"/>
        <v/>
      </c>
      <c r="Z1915" s="586" t="str">
        <f t="shared" si="445"/>
        <v/>
      </c>
    </row>
    <row r="1916" spans="1:26" ht="12" hidden="1" thickBot="1" x14ac:dyDescent="0.25">
      <c r="A1916" s="567" t="s">
        <v>168</v>
      </c>
      <c r="B1916" s="644" t="s">
        <v>168</v>
      </c>
      <c r="C1916" s="645"/>
      <c r="D1916" s="422" t="s">
        <v>252</v>
      </c>
      <c r="E1916" s="423"/>
      <c r="F1916" s="424">
        <v>20</v>
      </c>
      <c r="G1916" s="425">
        <v>0.74960000000000004</v>
      </c>
      <c r="H1916" s="663">
        <f t="shared" si="475"/>
        <v>18.050368000000002</v>
      </c>
      <c r="I1916" s="420">
        <v>0</v>
      </c>
      <c r="J1916" s="420"/>
      <c r="K1916" s="421">
        <f t="shared" si="455"/>
        <v>0</v>
      </c>
      <c r="L1916" s="647"/>
      <c r="M1916" s="723"/>
      <c r="N1916" s="576">
        <f t="shared" si="462"/>
        <v>0</v>
      </c>
      <c r="O1916" s="577">
        <f t="shared" si="453"/>
        <v>0</v>
      </c>
      <c r="P1916" s="578">
        <f t="shared" si="454"/>
        <v>0</v>
      </c>
      <c r="Q1916" s="765"/>
      <c r="R1916" s="723"/>
      <c r="S1916" s="723"/>
      <c r="T1916" s="577">
        <f t="shared" si="451"/>
        <v>0</v>
      </c>
      <c r="U1916" s="578">
        <f t="shared" si="452"/>
        <v>0</v>
      </c>
      <c r="V1916" s="579"/>
      <c r="W1916" s="566" t="str">
        <f>IF(U1913&gt;0,"xx",IF(P1913&gt;0,"xy",""))</f>
        <v/>
      </c>
      <c r="X1916" s="586" t="str">
        <f t="shared" si="461"/>
        <v/>
      </c>
      <c r="Y1916" s="586" t="str">
        <f t="shared" si="431"/>
        <v/>
      </c>
      <c r="Z1916" s="586" t="str">
        <f t="shared" si="445"/>
        <v/>
      </c>
    </row>
    <row r="1917" spans="1:26" ht="12" hidden="1" thickBot="1" x14ac:dyDescent="0.25">
      <c r="A1917" s="567">
        <v>620000</v>
      </c>
      <c r="B1917" s="644" t="s">
        <v>1660</v>
      </c>
      <c r="C1917" s="645" t="s">
        <v>206</v>
      </c>
      <c r="D1917" s="422" t="s">
        <v>628</v>
      </c>
      <c r="E1917" s="423"/>
      <c r="F1917" s="424"/>
      <c r="G1917" s="425"/>
      <c r="H1917" s="651">
        <f>SUM(H1918:H1920)</f>
        <v>195.56134000000003</v>
      </c>
      <c r="I1917" s="420">
        <v>757.46</v>
      </c>
      <c r="J1917" s="420">
        <f>IF(ISBLANK(I1917),"",SUM(H1917:I1917))</f>
        <v>953.02134000000001</v>
      </c>
      <c r="K1917" s="421">
        <f t="shared" si="455"/>
        <v>1132.28</v>
      </c>
      <c r="L1917" s="647" t="s">
        <v>21</v>
      </c>
      <c r="M1917" s="576"/>
      <c r="N1917" s="576">
        <f t="shared" si="462"/>
        <v>0</v>
      </c>
      <c r="O1917" s="577">
        <f t="shared" si="453"/>
        <v>0</v>
      </c>
      <c r="P1917" s="578">
        <f t="shared" si="454"/>
        <v>0</v>
      </c>
      <c r="Q1917" s="765"/>
      <c r="R1917" s="576">
        <f>M1917</f>
        <v>0</v>
      </c>
      <c r="S1917" s="576">
        <f>N1917</f>
        <v>0</v>
      </c>
      <c r="T1917" s="577">
        <f t="shared" si="451"/>
        <v>0</v>
      </c>
      <c r="U1917" s="578">
        <f t="shared" si="452"/>
        <v>0</v>
      </c>
      <c r="V1917" s="579"/>
      <c r="W1917" s="566"/>
      <c r="X1917" s="586" t="str">
        <f t="shared" si="461"/>
        <v/>
      </c>
      <c r="Y1917" s="586" t="str">
        <f t="shared" si="431"/>
        <v/>
      </c>
      <c r="Z1917" s="586" t="str">
        <f t="shared" si="445"/>
        <v/>
      </c>
    </row>
    <row r="1918" spans="1:26" ht="12" hidden="1" thickBot="1" x14ac:dyDescent="0.25">
      <c r="A1918" s="567" t="s">
        <v>168</v>
      </c>
      <c r="B1918" s="644" t="s">
        <v>168</v>
      </c>
      <c r="C1918" s="645"/>
      <c r="D1918" s="422" t="s">
        <v>212</v>
      </c>
      <c r="E1918" s="423"/>
      <c r="F1918" s="424">
        <v>500</v>
      </c>
      <c r="G1918" s="425">
        <v>0.15659999999999999</v>
      </c>
      <c r="H1918" s="649">
        <f>IF(F1918&lt;=30,(0.78*F1918+7.82)*G1918,((0.78*30+7.82)+0.78*(F1918-30))*G1918)</f>
        <v>62.298612000000006</v>
      </c>
      <c r="I1918" s="420">
        <v>0</v>
      </c>
      <c r="J1918" s="420"/>
      <c r="K1918" s="421">
        <f t="shared" si="455"/>
        <v>0</v>
      </c>
      <c r="L1918" s="647"/>
      <c r="M1918" s="723"/>
      <c r="N1918" s="576">
        <f t="shared" si="462"/>
        <v>0</v>
      </c>
      <c r="O1918" s="577">
        <f t="shared" si="453"/>
        <v>0</v>
      </c>
      <c r="P1918" s="578">
        <f t="shared" si="454"/>
        <v>0</v>
      </c>
      <c r="Q1918" s="765"/>
      <c r="R1918" s="723"/>
      <c r="S1918" s="723"/>
      <c r="T1918" s="577">
        <f t="shared" si="451"/>
        <v>0</v>
      </c>
      <c r="U1918" s="578">
        <f t="shared" si="452"/>
        <v>0</v>
      </c>
      <c r="V1918" s="579"/>
      <c r="W1918" s="566" t="str">
        <f>IF(U1917&gt;0,"xx",IF(P1917&gt;0,"xy",""))</f>
        <v/>
      </c>
      <c r="X1918" s="586" t="str">
        <f t="shared" si="461"/>
        <v/>
      </c>
      <c r="Y1918" s="586" t="str">
        <f t="shared" si="431"/>
        <v/>
      </c>
      <c r="Z1918" s="586" t="str">
        <f t="shared" si="445"/>
        <v/>
      </c>
    </row>
    <row r="1919" spans="1:26" ht="12" hidden="1" thickBot="1" x14ac:dyDescent="0.25">
      <c r="A1919" s="567" t="s">
        <v>168</v>
      </c>
      <c r="B1919" s="644" t="s">
        <v>168</v>
      </c>
      <c r="C1919" s="645"/>
      <c r="D1919" s="422" t="s">
        <v>248</v>
      </c>
      <c r="E1919" s="423"/>
      <c r="F1919" s="424">
        <v>180</v>
      </c>
      <c r="G1919" s="425">
        <v>0.55700000000000005</v>
      </c>
      <c r="H1919" s="663">
        <f t="shared" ref="H1919:H1920" si="476">IF(F1919&lt;=30,(1.07*F1919+2.68)*G1919,((1.07*30+2.68)+1.07*(F1919-30))*G1919)</f>
        <v>108.77096000000002</v>
      </c>
      <c r="I1919" s="420">
        <v>0</v>
      </c>
      <c r="J1919" s="420"/>
      <c r="K1919" s="421">
        <f t="shared" si="455"/>
        <v>0</v>
      </c>
      <c r="L1919" s="647"/>
      <c r="M1919" s="723"/>
      <c r="N1919" s="576">
        <f t="shared" si="462"/>
        <v>0</v>
      </c>
      <c r="O1919" s="577">
        <f t="shared" si="453"/>
        <v>0</v>
      </c>
      <c r="P1919" s="578">
        <f t="shared" si="454"/>
        <v>0</v>
      </c>
      <c r="Q1919" s="765"/>
      <c r="R1919" s="723"/>
      <c r="S1919" s="723"/>
      <c r="T1919" s="577">
        <f t="shared" si="451"/>
        <v>0</v>
      </c>
      <c r="U1919" s="578">
        <f t="shared" si="452"/>
        <v>0</v>
      </c>
      <c r="V1919" s="579"/>
      <c r="W1919" s="566" t="str">
        <f>IF(U1917&gt;0,"xx",IF(P1917&gt;0,"xy",""))</f>
        <v/>
      </c>
      <c r="X1919" s="586" t="str">
        <f t="shared" si="461"/>
        <v/>
      </c>
      <c r="Y1919" s="586" t="str">
        <f t="shared" si="431"/>
        <v/>
      </c>
      <c r="Z1919" s="586" t="str">
        <f t="shared" si="445"/>
        <v/>
      </c>
    </row>
    <row r="1920" spans="1:26" ht="12" hidden="1" thickBot="1" x14ac:dyDescent="0.25">
      <c r="A1920" s="567" t="s">
        <v>168</v>
      </c>
      <c r="B1920" s="644" t="s">
        <v>168</v>
      </c>
      <c r="C1920" s="645"/>
      <c r="D1920" s="422" t="s">
        <v>252</v>
      </c>
      <c r="E1920" s="423"/>
      <c r="F1920" s="424">
        <v>20</v>
      </c>
      <c r="G1920" s="425">
        <v>1.0170999999999999</v>
      </c>
      <c r="H1920" s="663">
        <f t="shared" si="476"/>
        <v>24.491768</v>
      </c>
      <c r="I1920" s="420">
        <v>0</v>
      </c>
      <c r="J1920" s="420"/>
      <c r="K1920" s="421">
        <f t="shared" ref="K1920:K1983" si="477">IF(ISBLANK(I1920),0,ROUND(J1920*(1+$F$10)*(1+$F$11*E1920),2))</f>
        <v>0</v>
      </c>
      <c r="L1920" s="647"/>
      <c r="M1920" s="723"/>
      <c r="N1920" s="576">
        <f t="shared" si="462"/>
        <v>0</v>
      </c>
      <c r="O1920" s="577">
        <f t="shared" si="453"/>
        <v>0</v>
      </c>
      <c r="P1920" s="578">
        <f t="shared" si="454"/>
        <v>0</v>
      </c>
      <c r="Q1920" s="765"/>
      <c r="R1920" s="723"/>
      <c r="S1920" s="723"/>
      <c r="T1920" s="577">
        <f t="shared" ref="T1920:T1983" si="478">IF(ISBLANK(R1920),0,ROUND(K1920*R1920,2))</f>
        <v>0</v>
      </c>
      <c r="U1920" s="578">
        <f t="shared" ref="U1920:U1983" si="479">IF(ISBLANK(R1920),0,ROUND(R1920*S1920,2))</f>
        <v>0</v>
      </c>
      <c r="V1920" s="579"/>
      <c r="W1920" s="566" t="str">
        <f>IF(U1917&gt;0,"xx",IF(P1917&gt;0,"xy",""))</f>
        <v/>
      </c>
      <c r="X1920" s="586" t="str">
        <f t="shared" si="461"/>
        <v/>
      </c>
      <c r="Y1920" s="586" t="str">
        <f t="shared" si="431"/>
        <v/>
      </c>
      <c r="Z1920" s="586" t="str">
        <f t="shared" si="445"/>
        <v/>
      </c>
    </row>
    <row r="1921" spans="1:26" ht="12" hidden="1" thickBot="1" x14ac:dyDescent="0.25">
      <c r="A1921" s="567">
        <v>620100</v>
      </c>
      <c r="B1921" s="644" t="s">
        <v>1661</v>
      </c>
      <c r="C1921" s="645" t="s">
        <v>206</v>
      </c>
      <c r="D1921" s="422" t="s">
        <v>355</v>
      </c>
      <c r="E1921" s="423"/>
      <c r="F1921" s="424"/>
      <c r="G1921" s="425"/>
      <c r="H1921" s="651">
        <f>SUM(H1922:H1924)</f>
        <v>247.00144400000002</v>
      </c>
      <c r="I1921" s="420">
        <v>905.59</v>
      </c>
      <c r="J1921" s="420">
        <f>IF(ISBLANK(I1921),"",SUM(H1921:I1921))</f>
        <v>1152.5914440000001</v>
      </c>
      <c r="K1921" s="421">
        <f t="shared" si="477"/>
        <v>1369.39</v>
      </c>
      <c r="L1921" s="647" t="s">
        <v>21</v>
      </c>
      <c r="M1921" s="576"/>
      <c r="N1921" s="576">
        <f t="shared" si="462"/>
        <v>0</v>
      </c>
      <c r="O1921" s="577">
        <f t="shared" ref="O1921:O1984" si="480">IF(ISBLANK(M1921),0,ROUND(K1921*M1921,2))</f>
        <v>0</v>
      </c>
      <c r="P1921" s="578">
        <f t="shared" ref="P1921:P1984" si="481">IF(ISBLANK(N1921),0,ROUND(M1921*N1921,2))</f>
        <v>0</v>
      </c>
      <c r="Q1921" s="765"/>
      <c r="R1921" s="576">
        <f>M1921</f>
        <v>0</v>
      </c>
      <c r="S1921" s="576">
        <f>N1921</f>
        <v>0</v>
      </c>
      <c r="T1921" s="577">
        <f t="shared" si="478"/>
        <v>0</v>
      </c>
      <c r="U1921" s="578">
        <f t="shared" si="479"/>
        <v>0</v>
      </c>
      <c r="V1921" s="579"/>
      <c r="W1921" s="566"/>
      <c r="X1921" s="586" t="str">
        <f t="shared" si="461"/>
        <v/>
      </c>
      <c r="Y1921" s="586" t="str">
        <f t="shared" si="431"/>
        <v/>
      </c>
      <c r="Z1921" s="586" t="str">
        <f t="shared" si="445"/>
        <v/>
      </c>
    </row>
    <row r="1922" spans="1:26" ht="12" hidden="1" thickBot="1" x14ac:dyDescent="0.25">
      <c r="A1922" s="567" t="s">
        <v>168</v>
      </c>
      <c r="B1922" s="644" t="s">
        <v>168</v>
      </c>
      <c r="C1922" s="645"/>
      <c r="D1922" s="422" t="s">
        <v>212</v>
      </c>
      <c r="E1922" s="423"/>
      <c r="F1922" s="424">
        <v>500</v>
      </c>
      <c r="G1922" s="425">
        <v>0.1978</v>
      </c>
      <c r="H1922" s="649">
        <f>IF(F1922&lt;=30,(0.78*F1922+7.82)*G1922,((0.78*30+7.82)+0.78*(F1922-30))*G1922)</f>
        <v>78.688796000000011</v>
      </c>
      <c r="I1922" s="420">
        <v>0</v>
      </c>
      <c r="J1922" s="420"/>
      <c r="K1922" s="421">
        <f t="shared" si="477"/>
        <v>0</v>
      </c>
      <c r="L1922" s="647"/>
      <c r="M1922" s="723"/>
      <c r="N1922" s="576">
        <f t="shared" si="462"/>
        <v>0</v>
      </c>
      <c r="O1922" s="577">
        <f t="shared" si="480"/>
        <v>0</v>
      </c>
      <c r="P1922" s="578">
        <f t="shared" si="481"/>
        <v>0</v>
      </c>
      <c r="Q1922" s="765"/>
      <c r="R1922" s="723"/>
      <c r="S1922" s="723"/>
      <c r="T1922" s="577">
        <f t="shared" si="478"/>
        <v>0</v>
      </c>
      <c r="U1922" s="578">
        <f t="shared" si="479"/>
        <v>0</v>
      </c>
      <c r="V1922" s="579"/>
      <c r="W1922" s="566" t="str">
        <f>IF(U1921&gt;0,"xx",IF(P1921&gt;0,"xy",""))</f>
        <v/>
      </c>
      <c r="X1922" s="586" t="str">
        <f t="shared" si="461"/>
        <v/>
      </c>
      <c r="Y1922" s="586" t="str">
        <f t="shared" si="431"/>
        <v/>
      </c>
      <c r="Z1922" s="586" t="str">
        <f t="shared" si="445"/>
        <v/>
      </c>
    </row>
    <row r="1923" spans="1:26" ht="12" hidden="1" thickBot="1" x14ac:dyDescent="0.25">
      <c r="A1923" s="567" t="s">
        <v>168</v>
      </c>
      <c r="B1923" s="644" t="s">
        <v>168</v>
      </c>
      <c r="C1923" s="645"/>
      <c r="D1923" s="422" t="s">
        <v>248</v>
      </c>
      <c r="E1923" s="423"/>
      <c r="F1923" s="424">
        <v>180</v>
      </c>
      <c r="G1923" s="425">
        <v>0.70350000000000001</v>
      </c>
      <c r="H1923" s="663">
        <f t="shared" ref="H1923:H1924" si="482">IF(F1923&lt;=30,(1.07*F1923+2.68)*G1923,((1.07*30+2.68)+1.07*(F1923-30))*G1923)</f>
        <v>137.37948</v>
      </c>
      <c r="I1923" s="420">
        <v>0</v>
      </c>
      <c r="J1923" s="420"/>
      <c r="K1923" s="421">
        <f t="shared" si="477"/>
        <v>0</v>
      </c>
      <c r="L1923" s="647"/>
      <c r="M1923" s="723"/>
      <c r="N1923" s="576">
        <f t="shared" si="462"/>
        <v>0</v>
      </c>
      <c r="O1923" s="577">
        <f t="shared" si="480"/>
        <v>0</v>
      </c>
      <c r="P1923" s="578">
        <f t="shared" si="481"/>
        <v>0</v>
      </c>
      <c r="Q1923" s="765"/>
      <c r="R1923" s="723"/>
      <c r="S1923" s="723"/>
      <c r="T1923" s="577">
        <f t="shared" si="478"/>
        <v>0</v>
      </c>
      <c r="U1923" s="578">
        <f t="shared" si="479"/>
        <v>0</v>
      </c>
      <c r="V1923" s="579"/>
      <c r="W1923" s="566" t="str">
        <f>IF(U1921&gt;0,"xx",IF(P1921&gt;0,"xy",""))</f>
        <v/>
      </c>
      <c r="X1923" s="586" t="str">
        <f t="shared" si="461"/>
        <v/>
      </c>
      <c r="Y1923" s="586" t="str">
        <f t="shared" si="431"/>
        <v/>
      </c>
      <c r="Z1923" s="586" t="str">
        <f t="shared" si="445"/>
        <v/>
      </c>
    </row>
    <row r="1924" spans="1:26" ht="12" hidden="1" thickBot="1" x14ac:dyDescent="0.25">
      <c r="A1924" s="567" t="s">
        <v>168</v>
      </c>
      <c r="B1924" s="644" t="s">
        <v>168</v>
      </c>
      <c r="C1924" s="645"/>
      <c r="D1924" s="422" t="s">
        <v>252</v>
      </c>
      <c r="E1924" s="423"/>
      <c r="F1924" s="424">
        <v>20</v>
      </c>
      <c r="G1924" s="425">
        <v>1.2846</v>
      </c>
      <c r="H1924" s="663">
        <f t="shared" si="482"/>
        <v>30.933168000000002</v>
      </c>
      <c r="I1924" s="420">
        <v>0</v>
      </c>
      <c r="J1924" s="420"/>
      <c r="K1924" s="421">
        <f t="shared" si="477"/>
        <v>0</v>
      </c>
      <c r="L1924" s="647"/>
      <c r="M1924" s="723"/>
      <c r="N1924" s="576">
        <f t="shared" si="462"/>
        <v>0</v>
      </c>
      <c r="O1924" s="577">
        <f t="shared" si="480"/>
        <v>0</v>
      </c>
      <c r="P1924" s="578">
        <f t="shared" si="481"/>
        <v>0</v>
      </c>
      <c r="Q1924" s="765"/>
      <c r="R1924" s="723"/>
      <c r="S1924" s="723"/>
      <c r="T1924" s="577">
        <f t="shared" si="478"/>
        <v>0</v>
      </c>
      <c r="U1924" s="578">
        <f t="shared" si="479"/>
        <v>0</v>
      </c>
      <c r="V1924" s="579"/>
      <c r="W1924" s="566" t="str">
        <f>IF(U1921&gt;0,"xx",IF(P1921&gt;0,"xy",""))</f>
        <v/>
      </c>
      <c r="X1924" s="586" t="str">
        <f t="shared" si="461"/>
        <v/>
      </c>
      <c r="Y1924" s="586" t="str">
        <f t="shared" si="431"/>
        <v/>
      </c>
      <c r="Z1924" s="586" t="str">
        <f t="shared" si="445"/>
        <v/>
      </c>
    </row>
    <row r="1925" spans="1:26" ht="12" hidden="1" thickBot="1" x14ac:dyDescent="0.25">
      <c r="A1925" s="567">
        <v>620100</v>
      </c>
      <c r="B1925" s="644" t="s">
        <v>1662</v>
      </c>
      <c r="C1925" s="645" t="s">
        <v>206</v>
      </c>
      <c r="D1925" s="422" t="s">
        <v>629</v>
      </c>
      <c r="E1925" s="423"/>
      <c r="F1925" s="424"/>
      <c r="G1925" s="425"/>
      <c r="H1925" s="651">
        <f>SUM(H1926:H1928)</f>
        <v>278.53616000000005</v>
      </c>
      <c r="I1925" s="420">
        <v>1080.42</v>
      </c>
      <c r="J1925" s="420">
        <f>IF(ISBLANK(I1925),"",SUM(H1925:I1925))</f>
        <v>1358.9561600000002</v>
      </c>
      <c r="K1925" s="421">
        <f t="shared" si="477"/>
        <v>1614.58</v>
      </c>
      <c r="L1925" s="647" t="s">
        <v>21</v>
      </c>
      <c r="M1925" s="576"/>
      <c r="N1925" s="576">
        <f t="shared" si="462"/>
        <v>0</v>
      </c>
      <c r="O1925" s="577">
        <f t="shared" si="480"/>
        <v>0</v>
      </c>
      <c r="P1925" s="578">
        <f t="shared" si="481"/>
        <v>0</v>
      </c>
      <c r="Q1925" s="765"/>
      <c r="R1925" s="576">
        <f>M1925</f>
        <v>0</v>
      </c>
      <c r="S1925" s="576">
        <f>N1925</f>
        <v>0</v>
      </c>
      <c r="T1925" s="577">
        <f t="shared" si="478"/>
        <v>0</v>
      </c>
      <c r="U1925" s="578">
        <f t="shared" si="479"/>
        <v>0</v>
      </c>
      <c r="V1925" s="579"/>
      <c r="W1925" s="566"/>
      <c r="X1925" s="586" t="str">
        <f t="shared" si="461"/>
        <v/>
      </c>
      <c r="Y1925" s="586" t="str">
        <f t="shared" si="431"/>
        <v/>
      </c>
      <c r="Z1925" s="586" t="str">
        <f t="shared" si="445"/>
        <v/>
      </c>
    </row>
    <row r="1926" spans="1:26" ht="12" hidden="1" thickBot="1" x14ac:dyDescent="0.25">
      <c r="A1926" s="567" t="s">
        <v>168</v>
      </c>
      <c r="B1926" s="644" t="s">
        <v>168</v>
      </c>
      <c r="C1926" s="645"/>
      <c r="D1926" s="422" t="s">
        <v>212</v>
      </c>
      <c r="E1926" s="423"/>
      <c r="F1926" s="424">
        <v>500</v>
      </c>
      <c r="G1926" s="425">
        <v>0.2424</v>
      </c>
      <c r="H1926" s="649">
        <f>IF(F1926&lt;=30,(0.78*F1926+7.82)*G1926,((0.78*30+7.82)+0.78*(F1926-30))*G1926)</f>
        <v>96.431568000000013</v>
      </c>
      <c r="I1926" s="420">
        <v>0</v>
      </c>
      <c r="J1926" s="420"/>
      <c r="K1926" s="421">
        <f t="shared" si="477"/>
        <v>0</v>
      </c>
      <c r="L1926" s="647"/>
      <c r="M1926" s="723"/>
      <c r="N1926" s="576">
        <f t="shared" si="462"/>
        <v>0</v>
      </c>
      <c r="O1926" s="577">
        <f t="shared" si="480"/>
        <v>0</v>
      </c>
      <c r="P1926" s="578">
        <f t="shared" si="481"/>
        <v>0</v>
      </c>
      <c r="Q1926" s="765"/>
      <c r="R1926" s="723"/>
      <c r="S1926" s="723"/>
      <c r="T1926" s="577">
        <f t="shared" si="478"/>
        <v>0</v>
      </c>
      <c r="U1926" s="578">
        <f t="shared" si="479"/>
        <v>0</v>
      </c>
      <c r="V1926" s="579"/>
      <c r="W1926" s="566" t="str">
        <f>IF(U1925&gt;0,"xx",IF(P1925&gt;0,"xy",""))</f>
        <v/>
      </c>
      <c r="X1926" s="586" t="str">
        <f t="shared" si="461"/>
        <v/>
      </c>
      <c r="Y1926" s="586" t="str">
        <f t="shared" si="431"/>
        <v/>
      </c>
      <c r="Z1926" s="586" t="str">
        <f t="shared" si="445"/>
        <v/>
      </c>
    </row>
    <row r="1927" spans="1:26" ht="12" hidden="1" thickBot="1" x14ac:dyDescent="0.25">
      <c r="A1927" s="567" t="s">
        <v>168</v>
      </c>
      <c r="B1927" s="644" t="s">
        <v>168</v>
      </c>
      <c r="C1927" s="645"/>
      <c r="D1927" s="422" t="s">
        <v>248</v>
      </c>
      <c r="E1927" s="423"/>
      <c r="F1927" s="424">
        <v>180</v>
      </c>
      <c r="G1927" s="425">
        <v>0.86180000000000001</v>
      </c>
      <c r="H1927" s="663">
        <f t="shared" ref="H1927:H1928" si="483">IF(F1927&lt;=30,(1.07*F1927+2.68)*G1927,((1.07*30+2.68)+1.07*(F1927-30))*G1927)</f>
        <v>168.292304</v>
      </c>
      <c r="I1927" s="420">
        <v>0</v>
      </c>
      <c r="J1927" s="420"/>
      <c r="K1927" s="421">
        <f t="shared" si="477"/>
        <v>0</v>
      </c>
      <c r="L1927" s="647"/>
      <c r="M1927" s="723"/>
      <c r="N1927" s="576">
        <f t="shared" si="462"/>
        <v>0</v>
      </c>
      <c r="O1927" s="577">
        <f t="shared" si="480"/>
        <v>0</v>
      </c>
      <c r="P1927" s="578">
        <f t="shared" si="481"/>
        <v>0</v>
      </c>
      <c r="Q1927" s="765"/>
      <c r="R1927" s="723"/>
      <c r="S1927" s="723"/>
      <c r="T1927" s="577">
        <f t="shared" si="478"/>
        <v>0</v>
      </c>
      <c r="U1927" s="578">
        <f t="shared" si="479"/>
        <v>0</v>
      </c>
      <c r="V1927" s="579"/>
      <c r="W1927" s="566" t="str">
        <f>IF(U1925&gt;0,"xx",IF(P1925&gt;0,"xy",""))</f>
        <v/>
      </c>
      <c r="X1927" s="586" t="str">
        <f t="shared" si="461"/>
        <v/>
      </c>
      <c r="Y1927" s="586" t="str">
        <f t="shared" si="431"/>
        <v/>
      </c>
      <c r="Z1927" s="586" t="str">
        <f t="shared" si="445"/>
        <v/>
      </c>
    </row>
    <row r="1928" spans="1:26" ht="12" hidden="1" thickBot="1" x14ac:dyDescent="0.25">
      <c r="A1928" s="567" t="s">
        <v>168</v>
      </c>
      <c r="B1928" s="644" t="s">
        <v>168</v>
      </c>
      <c r="C1928" s="645"/>
      <c r="D1928" s="422" t="s">
        <v>252</v>
      </c>
      <c r="E1928" s="423"/>
      <c r="F1928" s="424">
        <v>20</v>
      </c>
      <c r="G1928" s="425">
        <v>0.5736</v>
      </c>
      <c r="H1928" s="663">
        <f t="shared" si="483"/>
        <v>13.812288000000001</v>
      </c>
      <c r="I1928" s="420">
        <v>0</v>
      </c>
      <c r="J1928" s="420"/>
      <c r="K1928" s="421">
        <f t="shared" si="477"/>
        <v>0</v>
      </c>
      <c r="L1928" s="647"/>
      <c r="M1928" s="723"/>
      <c r="N1928" s="576">
        <f t="shared" si="462"/>
        <v>0</v>
      </c>
      <c r="O1928" s="577">
        <f t="shared" si="480"/>
        <v>0</v>
      </c>
      <c r="P1928" s="578">
        <f t="shared" si="481"/>
        <v>0</v>
      </c>
      <c r="Q1928" s="765"/>
      <c r="R1928" s="723"/>
      <c r="S1928" s="723"/>
      <c r="T1928" s="577">
        <f t="shared" si="478"/>
        <v>0</v>
      </c>
      <c r="U1928" s="578">
        <f t="shared" si="479"/>
        <v>0</v>
      </c>
      <c r="V1928" s="579"/>
      <c r="W1928" s="566" t="str">
        <f>IF(U1925&gt;0,"xx",IF(P1925&gt;0,"xy",""))</f>
        <v/>
      </c>
      <c r="X1928" s="586" t="str">
        <f t="shared" si="461"/>
        <v/>
      </c>
      <c r="Y1928" s="586" t="str">
        <f t="shared" si="431"/>
        <v/>
      </c>
      <c r="Z1928" s="586" t="str">
        <f t="shared" si="445"/>
        <v/>
      </c>
    </row>
    <row r="1929" spans="1:26" ht="12" hidden="1" thickBot="1" x14ac:dyDescent="0.25">
      <c r="A1929" s="567">
        <v>620200</v>
      </c>
      <c r="B1929" s="644" t="s">
        <v>1665</v>
      </c>
      <c r="C1929" s="645" t="s">
        <v>206</v>
      </c>
      <c r="D1929" s="422" t="s">
        <v>356</v>
      </c>
      <c r="E1929" s="423"/>
      <c r="F1929" s="424"/>
      <c r="G1929" s="425"/>
      <c r="H1929" s="651">
        <f>SUM(H1930:H1932)</f>
        <v>358.16915799999998</v>
      </c>
      <c r="I1929" s="420">
        <v>1255.25</v>
      </c>
      <c r="J1929" s="420">
        <f>IF(ISBLANK(I1929),"",SUM(H1929:I1929))</f>
        <v>1613.4191579999999</v>
      </c>
      <c r="K1929" s="421">
        <f t="shared" si="477"/>
        <v>1916.9</v>
      </c>
      <c r="L1929" s="647" t="s">
        <v>21</v>
      </c>
      <c r="M1929" s="576"/>
      <c r="N1929" s="576">
        <f t="shared" si="462"/>
        <v>0</v>
      </c>
      <c r="O1929" s="577">
        <f t="shared" si="480"/>
        <v>0</v>
      </c>
      <c r="P1929" s="578">
        <f t="shared" si="481"/>
        <v>0</v>
      </c>
      <c r="Q1929" s="765"/>
      <c r="R1929" s="576">
        <f>M1929</f>
        <v>0</v>
      </c>
      <c r="S1929" s="576">
        <f>N1929</f>
        <v>0</v>
      </c>
      <c r="T1929" s="577">
        <f t="shared" si="478"/>
        <v>0</v>
      </c>
      <c r="U1929" s="578">
        <f t="shared" si="479"/>
        <v>0</v>
      </c>
      <c r="V1929" s="579"/>
      <c r="W1929" s="566"/>
      <c r="X1929" s="586" t="str">
        <f t="shared" si="461"/>
        <v/>
      </c>
      <c r="Y1929" s="586" t="str">
        <f t="shared" si="431"/>
        <v/>
      </c>
      <c r="Z1929" s="586" t="str">
        <f t="shared" si="445"/>
        <v/>
      </c>
    </row>
    <row r="1930" spans="1:26" ht="12" hidden="1" thickBot="1" x14ac:dyDescent="0.25">
      <c r="A1930" s="567" t="s">
        <v>168</v>
      </c>
      <c r="B1930" s="644" t="s">
        <v>168</v>
      </c>
      <c r="C1930" s="645"/>
      <c r="D1930" s="422" t="s">
        <v>212</v>
      </c>
      <c r="E1930" s="423"/>
      <c r="F1930" s="424">
        <v>500</v>
      </c>
      <c r="G1930" s="425">
        <v>0.28689999999999999</v>
      </c>
      <c r="H1930" s="649">
        <f>IF(F1930&lt;=30,(0.78*F1930+7.82)*G1930,((0.78*30+7.82)+0.78*(F1930-30))*G1930)</f>
        <v>114.13455800000001</v>
      </c>
      <c r="I1930" s="420">
        <v>0</v>
      </c>
      <c r="J1930" s="420"/>
      <c r="K1930" s="421">
        <f t="shared" si="477"/>
        <v>0</v>
      </c>
      <c r="L1930" s="647"/>
      <c r="M1930" s="723"/>
      <c r="N1930" s="576">
        <f t="shared" si="462"/>
        <v>0</v>
      </c>
      <c r="O1930" s="577">
        <f t="shared" si="480"/>
        <v>0</v>
      </c>
      <c r="P1930" s="578">
        <f t="shared" si="481"/>
        <v>0</v>
      </c>
      <c r="Q1930" s="765"/>
      <c r="R1930" s="723"/>
      <c r="S1930" s="723"/>
      <c r="T1930" s="577">
        <f t="shared" si="478"/>
        <v>0</v>
      </c>
      <c r="U1930" s="578">
        <f t="shared" si="479"/>
        <v>0</v>
      </c>
      <c r="V1930" s="579"/>
      <c r="W1930" s="566" t="str">
        <f>IF(U1929&gt;0,"xx",IF(P1929&gt;0,"xy",""))</f>
        <v/>
      </c>
      <c r="X1930" s="586" t="str">
        <f t="shared" si="461"/>
        <v/>
      </c>
      <c r="Y1930" s="586" t="str">
        <f t="shared" si="431"/>
        <v/>
      </c>
      <c r="Z1930" s="586" t="str">
        <f t="shared" si="445"/>
        <v/>
      </c>
    </row>
    <row r="1931" spans="1:26" ht="12" hidden="1" thickBot="1" x14ac:dyDescent="0.25">
      <c r="A1931" s="567" t="s">
        <v>168</v>
      </c>
      <c r="B1931" s="644" t="s">
        <v>168</v>
      </c>
      <c r="C1931" s="645"/>
      <c r="D1931" s="422" t="s">
        <v>248</v>
      </c>
      <c r="E1931" s="423"/>
      <c r="F1931" s="424">
        <v>180</v>
      </c>
      <c r="G1931" s="425">
        <v>1.02</v>
      </c>
      <c r="H1931" s="663">
        <f t="shared" ref="H1931:H1932" si="484">IF(F1931&lt;=30,(1.07*F1931+2.68)*G1931,((1.07*30+2.68)+1.07*(F1931-30))*G1931)</f>
        <v>199.18559999999999</v>
      </c>
      <c r="I1931" s="420">
        <v>0</v>
      </c>
      <c r="J1931" s="420"/>
      <c r="K1931" s="421">
        <f t="shared" si="477"/>
        <v>0</v>
      </c>
      <c r="L1931" s="647"/>
      <c r="M1931" s="723"/>
      <c r="N1931" s="576">
        <f t="shared" si="462"/>
        <v>0</v>
      </c>
      <c r="O1931" s="577">
        <f t="shared" si="480"/>
        <v>0</v>
      </c>
      <c r="P1931" s="578">
        <f t="shared" si="481"/>
        <v>0</v>
      </c>
      <c r="Q1931" s="765"/>
      <c r="R1931" s="723"/>
      <c r="S1931" s="723"/>
      <c r="T1931" s="577">
        <f t="shared" si="478"/>
        <v>0</v>
      </c>
      <c r="U1931" s="578">
        <f t="shared" si="479"/>
        <v>0</v>
      </c>
      <c r="V1931" s="579"/>
      <c r="W1931" s="566" t="str">
        <f>IF(U1929&gt;0,"xx",IF(P1929&gt;0,"xy",""))</f>
        <v/>
      </c>
      <c r="X1931" s="586" t="str">
        <f t="shared" si="461"/>
        <v/>
      </c>
      <c r="Y1931" s="586" t="str">
        <f t="shared" si="431"/>
        <v/>
      </c>
      <c r="Z1931" s="586" t="str">
        <f t="shared" si="445"/>
        <v/>
      </c>
    </row>
    <row r="1932" spans="1:26" ht="12" hidden="1" thickBot="1" x14ac:dyDescent="0.25">
      <c r="A1932" s="567" t="s">
        <v>168</v>
      </c>
      <c r="B1932" s="644" t="s">
        <v>168</v>
      </c>
      <c r="C1932" s="645"/>
      <c r="D1932" s="422" t="s">
        <v>252</v>
      </c>
      <c r="E1932" s="423"/>
      <c r="F1932" s="424">
        <v>20</v>
      </c>
      <c r="G1932" s="425">
        <v>1.8625</v>
      </c>
      <c r="H1932" s="663">
        <f t="shared" si="484"/>
        <v>44.849000000000004</v>
      </c>
      <c r="I1932" s="420">
        <v>0</v>
      </c>
      <c r="J1932" s="420"/>
      <c r="K1932" s="421">
        <f t="shared" si="477"/>
        <v>0</v>
      </c>
      <c r="L1932" s="647"/>
      <c r="M1932" s="723"/>
      <c r="N1932" s="576">
        <f t="shared" si="462"/>
        <v>0</v>
      </c>
      <c r="O1932" s="577">
        <f t="shared" si="480"/>
        <v>0</v>
      </c>
      <c r="P1932" s="578">
        <f t="shared" si="481"/>
        <v>0</v>
      </c>
      <c r="Q1932" s="765"/>
      <c r="R1932" s="723"/>
      <c r="S1932" s="723"/>
      <c r="T1932" s="577">
        <f t="shared" si="478"/>
        <v>0</v>
      </c>
      <c r="U1932" s="578">
        <f t="shared" si="479"/>
        <v>0</v>
      </c>
      <c r="V1932" s="579"/>
      <c r="W1932" s="566" t="str">
        <f>IF(U1929&gt;0,"xx",IF(P1929&gt;0,"xy",""))</f>
        <v/>
      </c>
      <c r="X1932" s="586" t="str">
        <f t="shared" si="461"/>
        <v/>
      </c>
      <c r="Y1932" s="586" t="str">
        <f t="shared" si="431"/>
        <v/>
      </c>
      <c r="Z1932" s="586" t="str">
        <f t="shared" si="445"/>
        <v/>
      </c>
    </row>
    <row r="1933" spans="1:26" ht="12" hidden="1" thickBot="1" x14ac:dyDescent="0.25">
      <c r="A1933" s="567">
        <v>620300</v>
      </c>
      <c r="B1933" s="644">
        <v>620300</v>
      </c>
      <c r="C1933" s="645" t="s">
        <v>206</v>
      </c>
      <c r="D1933" s="422" t="s">
        <v>357</v>
      </c>
      <c r="E1933" s="423"/>
      <c r="F1933" s="424"/>
      <c r="G1933" s="425"/>
      <c r="H1933" s="651">
        <f>SUM(H1934:H1936)</f>
        <v>537.50214200000005</v>
      </c>
      <c r="I1933" s="420">
        <v>1787.05</v>
      </c>
      <c r="J1933" s="420">
        <f>IF(ISBLANK(I1933),"",SUM(H1933:I1933))</f>
        <v>2324.552142</v>
      </c>
      <c r="K1933" s="421">
        <f t="shared" si="477"/>
        <v>2761.8</v>
      </c>
      <c r="L1933" s="647" t="s">
        <v>21</v>
      </c>
      <c r="M1933" s="576"/>
      <c r="N1933" s="576">
        <f t="shared" si="462"/>
        <v>0</v>
      </c>
      <c r="O1933" s="577">
        <f t="shared" si="480"/>
        <v>0</v>
      </c>
      <c r="P1933" s="578">
        <f t="shared" si="481"/>
        <v>0</v>
      </c>
      <c r="Q1933" s="765"/>
      <c r="R1933" s="576">
        <f>M1933</f>
        <v>0</v>
      </c>
      <c r="S1933" s="576">
        <f>N1933</f>
        <v>0</v>
      </c>
      <c r="T1933" s="577">
        <f t="shared" si="478"/>
        <v>0</v>
      </c>
      <c r="U1933" s="578">
        <f t="shared" si="479"/>
        <v>0</v>
      </c>
      <c r="V1933" s="579"/>
      <c r="W1933" s="566"/>
      <c r="X1933" s="586" t="str">
        <f t="shared" si="461"/>
        <v/>
      </c>
      <c r="Y1933" s="586" t="str">
        <f t="shared" si="431"/>
        <v/>
      </c>
      <c r="Z1933" s="586" t="str">
        <f t="shared" si="445"/>
        <v/>
      </c>
    </row>
    <row r="1934" spans="1:26" ht="12" hidden="1" thickBot="1" x14ac:dyDescent="0.25">
      <c r="A1934" s="567" t="s">
        <v>168</v>
      </c>
      <c r="B1934" s="644" t="s">
        <v>168</v>
      </c>
      <c r="C1934" s="645"/>
      <c r="D1934" s="422" t="s">
        <v>212</v>
      </c>
      <c r="E1934" s="423"/>
      <c r="F1934" s="424">
        <v>500</v>
      </c>
      <c r="G1934" s="425">
        <v>0.43049999999999999</v>
      </c>
      <c r="H1934" s="649">
        <f>IF(F1934&lt;=30,(0.78*F1934+7.82)*G1934,((0.78*30+7.82)+0.78*(F1934-30))*G1934)</f>
        <v>171.26151000000002</v>
      </c>
      <c r="I1934" s="420">
        <v>0</v>
      </c>
      <c r="J1934" s="420"/>
      <c r="K1934" s="421">
        <f t="shared" si="477"/>
        <v>0</v>
      </c>
      <c r="L1934" s="647"/>
      <c r="M1934" s="723"/>
      <c r="N1934" s="576">
        <f t="shared" si="462"/>
        <v>0</v>
      </c>
      <c r="O1934" s="577">
        <f t="shared" si="480"/>
        <v>0</v>
      </c>
      <c r="P1934" s="578">
        <f t="shared" si="481"/>
        <v>0</v>
      </c>
      <c r="Q1934" s="765"/>
      <c r="R1934" s="723"/>
      <c r="S1934" s="723"/>
      <c r="T1934" s="577">
        <f t="shared" si="478"/>
        <v>0</v>
      </c>
      <c r="U1934" s="578">
        <f t="shared" si="479"/>
        <v>0</v>
      </c>
      <c r="V1934" s="579"/>
      <c r="W1934" s="566" t="str">
        <f>IF(U1933&gt;0,"xx",IF(P1933&gt;0,"xy",""))</f>
        <v/>
      </c>
      <c r="X1934" s="586" t="str">
        <f t="shared" si="461"/>
        <v/>
      </c>
      <c r="Y1934" s="586" t="str">
        <f t="shared" si="431"/>
        <v/>
      </c>
      <c r="Z1934" s="586" t="str">
        <f t="shared" si="445"/>
        <v/>
      </c>
    </row>
    <row r="1935" spans="1:26" ht="12" hidden="1" thickBot="1" x14ac:dyDescent="0.25">
      <c r="A1935" s="567" t="s">
        <v>168</v>
      </c>
      <c r="B1935" s="644" t="s">
        <v>168</v>
      </c>
      <c r="C1935" s="645"/>
      <c r="D1935" s="422" t="s">
        <v>248</v>
      </c>
      <c r="E1935" s="423"/>
      <c r="F1935" s="424">
        <v>180</v>
      </c>
      <c r="G1935" s="425">
        <v>1.5307999999999999</v>
      </c>
      <c r="H1935" s="663">
        <f t="shared" ref="H1935:H1936" si="485">IF(F1935&lt;=30,(1.07*F1935+2.68)*G1935,((1.07*30+2.68)+1.07*(F1935-30))*G1935)</f>
        <v>298.93462399999999</v>
      </c>
      <c r="I1935" s="420">
        <v>0</v>
      </c>
      <c r="J1935" s="420"/>
      <c r="K1935" s="421">
        <f t="shared" si="477"/>
        <v>0</v>
      </c>
      <c r="L1935" s="647"/>
      <c r="M1935" s="723"/>
      <c r="N1935" s="576">
        <f t="shared" si="462"/>
        <v>0</v>
      </c>
      <c r="O1935" s="577">
        <f t="shared" si="480"/>
        <v>0</v>
      </c>
      <c r="P1935" s="578">
        <f t="shared" si="481"/>
        <v>0</v>
      </c>
      <c r="Q1935" s="765"/>
      <c r="R1935" s="723"/>
      <c r="S1935" s="723"/>
      <c r="T1935" s="577">
        <f t="shared" si="478"/>
        <v>0</v>
      </c>
      <c r="U1935" s="578">
        <f t="shared" si="479"/>
        <v>0</v>
      </c>
      <c r="V1935" s="579"/>
      <c r="W1935" s="566" t="str">
        <f>IF(U1933&gt;0,"xx",IF(P1933&gt;0,"xy",""))</f>
        <v/>
      </c>
      <c r="X1935" s="586" t="str">
        <f t="shared" si="461"/>
        <v/>
      </c>
      <c r="Y1935" s="586" t="str">
        <f t="shared" si="431"/>
        <v/>
      </c>
      <c r="Z1935" s="586" t="str">
        <f t="shared" si="445"/>
        <v/>
      </c>
    </row>
    <row r="1936" spans="1:26" ht="12" hidden="1" thickBot="1" x14ac:dyDescent="0.25">
      <c r="A1936" s="567" t="s">
        <v>168</v>
      </c>
      <c r="B1936" s="644" t="s">
        <v>168</v>
      </c>
      <c r="C1936" s="645"/>
      <c r="D1936" s="422" t="s">
        <v>252</v>
      </c>
      <c r="E1936" s="423"/>
      <c r="F1936" s="424">
        <v>20</v>
      </c>
      <c r="G1936" s="425">
        <v>2.7951000000000001</v>
      </c>
      <c r="H1936" s="663">
        <f t="shared" si="485"/>
        <v>67.306008000000006</v>
      </c>
      <c r="I1936" s="420">
        <v>0</v>
      </c>
      <c r="J1936" s="420"/>
      <c r="K1936" s="421">
        <f t="shared" si="477"/>
        <v>0</v>
      </c>
      <c r="L1936" s="647"/>
      <c r="M1936" s="723"/>
      <c r="N1936" s="576">
        <f t="shared" si="462"/>
        <v>0</v>
      </c>
      <c r="O1936" s="577">
        <f t="shared" si="480"/>
        <v>0</v>
      </c>
      <c r="P1936" s="578">
        <f t="shared" si="481"/>
        <v>0</v>
      </c>
      <c r="Q1936" s="765"/>
      <c r="R1936" s="723"/>
      <c r="S1936" s="723"/>
      <c r="T1936" s="577">
        <f t="shared" si="478"/>
        <v>0</v>
      </c>
      <c r="U1936" s="578">
        <f t="shared" si="479"/>
        <v>0</v>
      </c>
      <c r="V1936" s="579"/>
      <c r="W1936" s="566" t="str">
        <f>IF(U1933&gt;0,"xx",IF(P1933&gt;0,"xy",""))</f>
        <v/>
      </c>
      <c r="X1936" s="586" t="str">
        <f t="shared" si="461"/>
        <v/>
      </c>
      <c r="Y1936" s="586" t="str">
        <f t="shared" si="431"/>
        <v/>
      </c>
      <c r="Z1936" s="586" t="str">
        <f t="shared" si="445"/>
        <v/>
      </c>
    </row>
    <row r="1937" spans="1:26" ht="12" hidden="1" thickBot="1" x14ac:dyDescent="0.25">
      <c r="A1937" s="567">
        <v>620400</v>
      </c>
      <c r="B1937" s="644">
        <v>620400</v>
      </c>
      <c r="C1937" s="645" t="s">
        <v>206</v>
      </c>
      <c r="D1937" s="422" t="s">
        <v>358</v>
      </c>
      <c r="E1937" s="423"/>
      <c r="F1937" s="424"/>
      <c r="G1937" s="425"/>
      <c r="H1937" s="651">
        <f>SUM(H1938:H1940)</f>
        <v>725.77926200000013</v>
      </c>
      <c r="I1937" s="420">
        <v>2290.1999999999998</v>
      </c>
      <c r="J1937" s="420">
        <f>IF(ISBLANK(I1937),"",SUM(H1937:I1937))</f>
        <v>3015.9792619999998</v>
      </c>
      <c r="K1937" s="421">
        <f t="shared" si="477"/>
        <v>3583.28</v>
      </c>
      <c r="L1937" s="647" t="s">
        <v>21</v>
      </c>
      <c r="M1937" s="576"/>
      <c r="N1937" s="576">
        <f t="shared" si="462"/>
        <v>0</v>
      </c>
      <c r="O1937" s="577">
        <f t="shared" si="480"/>
        <v>0</v>
      </c>
      <c r="P1937" s="578">
        <f t="shared" si="481"/>
        <v>0</v>
      </c>
      <c r="Q1937" s="765"/>
      <c r="R1937" s="576">
        <f>M1937</f>
        <v>0</v>
      </c>
      <c r="S1937" s="576">
        <f>N1937</f>
        <v>0</v>
      </c>
      <c r="T1937" s="577">
        <f t="shared" si="478"/>
        <v>0</v>
      </c>
      <c r="U1937" s="578">
        <f t="shared" si="479"/>
        <v>0</v>
      </c>
      <c r="V1937" s="579"/>
      <c r="W1937" s="566"/>
      <c r="X1937" s="586" t="str">
        <f t="shared" si="461"/>
        <v/>
      </c>
      <c r="Y1937" s="586" t="str">
        <f t="shared" si="431"/>
        <v/>
      </c>
      <c r="Z1937" s="586" t="str">
        <f t="shared" si="445"/>
        <v/>
      </c>
    </row>
    <row r="1938" spans="1:26" ht="12" hidden="1" thickBot="1" x14ac:dyDescent="0.25">
      <c r="A1938" s="567" t="s">
        <v>168</v>
      </c>
      <c r="B1938" s="644" t="s">
        <v>168</v>
      </c>
      <c r="C1938" s="645"/>
      <c r="D1938" s="422" t="s">
        <v>212</v>
      </c>
      <c r="E1938" s="423"/>
      <c r="F1938" s="424">
        <v>500</v>
      </c>
      <c r="G1938" s="425">
        <v>0.58130000000000004</v>
      </c>
      <c r="H1938" s="649">
        <f>IF(F1938&lt;=30,(0.78*F1938+7.82)*G1938,((0.78*30+7.82)+0.78*(F1938-30))*G1938)</f>
        <v>231.25276600000004</v>
      </c>
      <c r="I1938" s="420">
        <v>0</v>
      </c>
      <c r="J1938" s="420"/>
      <c r="K1938" s="421">
        <f t="shared" si="477"/>
        <v>0</v>
      </c>
      <c r="L1938" s="647"/>
      <c r="M1938" s="723"/>
      <c r="N1938" s="576">
        <f t="shared" si="462"/>
        <v>0</v>
      </c>
      <c r="O1938" s="577">
        <f t="shared" si="480"/>
        <v>0</v>
      </c>
      <c r="P1938" s="578">
        <f t="shared" si="481"/>
        <v>0</v>
      </c>
      <c r="Q1938" s="765"/>
      <c r="R1938" s="723"/>
      <c r="S1938" s="723"/>
      <c r="T1938" s="577">
        <f t="shared" si="478"/>
        <v>0</v>
      </c>
      <c r="U1938" s="578">
        <f t="shared" si="479"/>
        <v>0</v>
      </c>
      <c r="V1938" s="579"/>
      <c r="W1938" s="566" t="str">
        <f>IF(U1937&gt;0,"xx",IF(P1937&gt;0,"xy",""))</f>
        <v/>
      </c>
      <c r="X1938" s="586" t="str">
        <f t="shared" si="461"/>
        <v/>
      </c>
      <c r="Y1938" s="586" t="str">
        <f t="shared" si="431"/>
        <v/>
      </c>
      <c r="Z1938" s="586" t="str">
        <f t="shared" si="445"/>
        <v/>
      </c>
    </row>
    <row r="1939" spans="1:26" ht="12" hidden="1" thickBot="1" x14ac:dyDescent="0.25">
      <c r="A1939" s="567" t="s">
        <v>168</v>
      </c>
      <c r="B1939" s="644" t="s">
        <v>168</v>
      </c>
      <c r="C1939" s="645"/>
      <c r="D1939" s="422" t="s">
        <v>248</v>
      </c>
      <c r="E1939" s="423"/>
      <c r="F1939" s="424">
        <v>180</v>
      </c>
      <c r="G1939" s="425">
        <v>2.0670000000000002</v>
      </c>
      <c r="H1939" s="663">
        <f t="shared" ref="H1939:H1940" si="486">IF(F1939&lt;=30,(1.07*F1939+2.68)*G1939,((1.07*30+2.68)+1.07*(F1939-30))*G1939)</f>
        <v>403.64376000000004</v>
      </c>
      <c r="I1939" s="420">
        <v>0</v>
      </c>
      <c r="J1939" s="420"/>
      <c r="K1939" s="421">
        <f t="shared" si="477"/>
        <v>0</v>
      </c>
      <c r="L1939" s="647"/>
      <c r="M1939" s="723"/>
      <c r="N1939" s="576">
        <f t="shared" si="462"/>
        <v>0</v>
      </c>
      <c r="O1939" s="577">
        <f t="shared" si="480"/>
        <v>0</v>
      </c>
      <c r="P1939" s="578">
        <f t="shared" si="481"/>
        <v>0</v>
      </c>
      <c r="Q1939" s="765"/>
      <c r="R1939" s="723"/>
      <c r="S1939" s="723"/>
      <c r="T1939" s="577">
        <f t="shared" si="478"/>
        <v>0</v>
      </c>
      <c r="U1939" s="578">
        <f t="shared" si="479"/>
        <v>0</v>
      </c>
      <c r="V1939" s="579"/>
      <c r="W1939" s="566" t="str">
        <f>IF(U1937&gt;0,"xx",IF(P1937&gt;0,"xy",""))</f>
        <v/>
      </c>
      <c r="X1939" s="586" t="str">
        <f t="shared" si="461"/>
        <v/>
      </c>
      <c r="Y1939" s="586" t="str">
        <f t="shared" si="431"/>
        <v/>
      </c>
      <c r="Z1939" s="586" t="str">
        <f t="shared" si="445"/>
        <v/>
      </c>
    </row>
    <row r="1940" spans="1:26" ht="12" hidden="1" thickBot="1" x14ac:dyDescent="0.25">
      <c r="A1940" s="567" t="s">
        <v>168</v>
      </c>
      <c r="B1940" s="644" t="s">
        <v>168</v>
      </c>
      <c r="C1940" s="645"/>
      <c r="D1940" s="422" t="s">
        <v>252</v>
      </c>
      <c r="E1940" s="423"/>
      <c r="F1940" s="424">
        <v>20</v>
      </c>
      <c r="G1940" s="425">
        <v>3.7742</v>
      </c>
      <c r="H1940" s="663">
        <f t="shared" si="486"/>
        <v>90.882736000000008</v>
      </c>
      <c r="I1940" s="420">
        <v>0</v>
      </c>
      <c r="J1940" s="420"/>
      <c r="K1940" s="421">
        <f t="shared" si="477"/>
        <v>0</v>
      </c>
      <c r="L1940" s="647"/>
      <c r="M1940" s="723"/>
      <c r="N1940" s="576">
        <f t="shared" ref="N1940:N2003" si="487">IF(M1940=0,0,K1940)</f>
        <v>0</v>
      </c>
      <c r="O1940" s="577">
        <f t="shared" si="480"/>
        <v>0</v>
      </c>
      <c r="P1940" s="578">
        <f t="shared" si="481"/>
        <v>0</v>
      </c>
      <c r="Q1940" s="765"/>
      <c r="R1940" s="723"/>
      <c r="S1940" s="723"/>
      <c r="T1940" s="577">
        <f t="shared" si="478"/>
        <v>0</v>
      </c>
      <c r="U1940" s="578">
        <f t="shared" si="479"/>
        <v>0</v>
      </c>
      <c r="V1940" s="579"/>
      <c r="W1940" s="566" t="str">
        <f>IF(U1937&gt;0,"xx",IF(P1937&gt;0,"xy",""))</f>
        <v/>
      </c>
      <c r="X1940" s="586" t="str">
        <f t="shared" si="461"/>
        <v/>
      </c>
      <c r="Y1940" s="586" t="str">
        <f t="shared" si="431"/>
        <v/>
      </c>
      <c r="Z1940" s="586" t="str">
        <f t="shared" si="445"/>
        <v/>
      </c>
    </row>
    <row r="1941" spans="1:26" ht="12" hidden="1" thickBot="1" x14ac:dyDescent="0.25">
      <c r="A1941" s="567">
        <v>620500</v>
      </c>
      <c r="B1941" s="644">
        <v>620500</v>
      </c>
      <c r="C1941" s="645" t="s">
        <v>206</v>
      </c>
      <c r="D1941" s="422" t="s">
        <v>359</v>
      </c>
      <c r="E1941" s="423"/>
      <c r="F1941" s="424"/>
      <c r="G1941" s="425"/>
      <c r="H1941" s="651">
        <f>SUM(H1942:H1944)</f>
        <v>1457.2623920000001</v>
      </c>
      <c r="I1941" s="420">
        <v>4098.9299999999994</v>
      </c>
      <c r="J1941" s="420">
        <f>IF(ISBLANK(I1941),"",SUM(H1941:I1941))</f>
        <v>5556.192391999999</v>
      </c>
      <c r="K1941" s="421">
        <f t="shared" si="477"/>
        <v>6601.31</v>
      </c>
      <c r="L1941" s="647" t="s">
        <v>21</v>
      </c>
      <c r="M1941" s="576"/>
      <c r="N1941" s="576">
        <f t="shared" si="487"/>
        <v>0</v>
      </c>
      <c r="O1941" s="577">
        <f t="shared" si="480"/>
        <v>0</v>
      </c>
      <c r="P1941" s="578">
        <f t="shared" si="481"/>
        <v>0</v>
      </c>
      <c r="Q1941" s="765"/>
      <c r="R1941" s="576">
        <f>M1941</f>
        <v>0</v>
      </c>
      <c r="S1941" s="576">
        <f>N1941</f>
        <v>0</v>
      </c>
      <c r="T1941" s="577">
        <f t="shared" si="478"/>
        <v>0</v>
      </c>
      <c r="U1941" s="578">
        <f t="shared" si="479"/>
        <v>0</v>
      </c>
      <c r="V1941" s="579"/>
      <c r="W1941" s="566"/>
      <c r="X1941" s="586" t="str">
        <f t="shared" si="461"/>
        <v/>
      </c>
      <c r="Y1941" s="586" t="str">
        <f t="shared" si="431"/>
        <v/>
      </c>
      <c r="Z1941" s="586" t="str">
        <f t="shared" ref="Z1941:Z2023" si="488">IF(W1941="X","x",IF(U1941&gt;0,"x",""))</f>
        <v/>
      </c>
    </row>
    <row r="1942" spans="1:26" ht="12" hidden="1" thickBot="1" x14ac:dyDescent="0.25">
      <c r="A1942" s="567" t="s">
        <v>168</v>
      </c>
      <c r="B1942" s="644" t="s">
        <v>168</v>
      </c>
      <c r="C1942" s="645"/>
      <c r="D1942" s="422" t="s">
        <v>212</v>
      </c>
      <c r="E1942" s="423"/>
      <c r="F1942" s="424">
        <v>500</v>
      </c>
      <c r="G1942" s="425">
        <v>1.1672</v>
      </c>
      <c r="H1942" s="649">
        <f>IF(F1942&lt;=30,(0.78*F1942+7.82)*G1942,((0.78*30+7.82)+0.78*(F1942-30))*G1942)</f>
        <v>464.33550400000007</v>
      </c>
      <c r="I1942" s="420">
        <v>0</v>
      </c>
      <c r="J1942" s="420"/>
      <c r="K1942" s="421">
        <f t="shared" si="477"/>
        <v>0</v>
      </c>
      <c r="L1942" s="647"/>
      <c r="M1942" s="723"/>
      <c r="N1942" s="576">
        <f t="shared" si="487"/>
        <v>0</v>
      </c>
      <c r="O1942" s="577">
        <f t="shared" si="480"/>
        <v>0</v>
      </c>
      <c r="P1942" s="578">
        <f t="shared" si="481"/>
        <v>0</v>
      </c>
      <c r="Q1942" s="765"/>
      <c r="R1942" s="723"/>
      <c r="S1942" s="723"/>
      <c r="T1942" s="577">
        <f t="shared" si="478"/>
        <v>0</v>
      </c>
      <c r="U1942" s="578">
        <f t="shared" si="479"/>
        <v>0</v>
      </c>
      <c r="V1942" s="579"/>
      <c r="W1942" s="566" t="str">
        <f>IF(U1941&gt;0,"xx",IF(P1941&gt;0,"xy",""))</f>
        <v/>
      </c>
      <c r="X1942" s="586" t="str">
        <f t="shared" si="461"/>
        <v/>
      </c>
      <c r="Y1942" s="586" t="str">
        <f t="shared" si="431"/>
        <v/>
      </c>
      <c r="Z1942" s="586" t="str">
        <f t="shared" si="488"/>
        <v/>
      </c>
    </row>
    <row r="1943" spans="1:26" ht="12" hidden="1" thickBot="1" x14ac:dyDescent="0.25">
      <c r="A1943" s="567" t="s">
        <v>168</v>
      </c>
      <c r="B1943" s="644" t="s">
        <v>168</v>
      </c>
      <c r="C1943" s="645"/>
      <c r="D1943" s="422" t="s">
        <v>248</v>
      </c>
      <c r="E1943" s="423"/>
      <c r="F1943" s="424">
        <v>180</v>
      </c>
      <c r="G1943" s="425">
        <v>4.1501999999999999</v>
      </c>
      <c r="H1943" s="663">
        <f t="shared" ref="H1943:H1944" si="489">IF(F1943&lt;=30,(1.07*F1943+2.68)*G1943,((1.07*30+2.68)+1.07*(F1943-30))*G1943)</f>
        <v>810.45105599999999</v>
      </c>
      <c r="I1943" s="420">
        <v>0</v>
      </c>
      <c r="J1943" s="420"/>
      <c r="K1943" s="421">
        <f t="shared" si="477"/>
        <v>0</v>
      </c>
      <c r="L1943" s="647"/>
      <c r="M1943" s="723"/>
      <c r="N1943" s="576">
        <f t="shared" si="487"/>
        <v>0</v>
      </c>
      <c r="O1943" s="577">
        <f t="shared" si="480"/>
        <v>0</v>
      </c>
      <c r="P1943" s="578">
        <f t="shared" si="481"/>
        <v>0</v>
      </c>
      <c r="Q1943" s="765"/>
      <c r="R1943" s="723"/>
      <c r="S1943" s="723"/>
      <c r="T1943" s="577">
        <f t="shared" si="478"/>
        <v>0</v>
      </c>
      <c r="U1943" s="578">
        <f t="shared" si="479"/>
        <v>0</v>
      </c>
      <c r="V1943" s="579"/>
      <c r="W1943" s="566" t="str">
        <f>IF(U1941&gt;0,"xx",IF(P1941&gt;0,"xy",""))</f>
        <v/>
      </c>
      <c r="X1943" s="586" t="str">
        <f t="shared" si="461"/>
        <v/>
      </c>
      <c r="Y1943" s="586" t="str">
        <f t="shared" si="431"/>
        <v/>
      </c>
      <c r="Z1943" s="586" t="str">
        <f t="shared" si="488"/>
        <v/>
      </c>
    </row>
    <row r="1944" spans="1:26" ht="12" hidden="1" thickBot="1" x14ac:dyDescent="0.25">
      <c r="A1944" s="567" t="s">
        <v>168</v>
      </c>
      <c r="B1944" s="644" t="s">
        <v>168</v>
      </c>
      <c r="C1944" s="645"/>
      <c r="D1944" s="422" t="s">
        <v>252</v>
      </c>
      <c r="E1944" s="423"/>
      <c r="F1944" s="424">
        <v>20</v>
      </c>
      <c r="G1944" s="425">
        <v>7.5778999999999996</v>
      </c>
      <c r="H1944" s="663">
        <f t="shared" si="489"/>
        <v>182.475832</v>
      </c>
      <c r="I1944" s="420">
        <v>0</v>
      </c>
      <c r="J1944" s="420"/>
      <c r="K1944" s="421">
        <f t="shared" si="477"/>
        <v>0</v>
      </c>
      <c r="L1944" s="647"/>
      <c r="M1944" s="723"/>
      <c r="N1944" s="576">
        <f t="shared" si="487"/>
        <v>0</v>
      </c>
      <c r="O1944" s="577">
        <f t="shared" si="480"/>
        <v>0</v>
      </c>
      <c r="P1944" s="578">
        <f t="shared" si="481"/>
        <v>0</v>
      </c>
      <c r="Q1944" s="765"/>
      <c r="R1944" s="723"/>
      <c r="S1944" s="723"/>
      <c r="T1944" s="577">
        <f t="shared" si="478"/>
        <v>0</v>
      </c>
      <c r="U1944" s="578">
        <f t="shared" si="479"/>
        <v>0</v>
      </c>
      <c r="V1944" s="579"/>
      <c r="W1944" s="566" t="str">
        <f>IF(U1941&gt;0,"xx",IF(P1941&gt;0,"xy",""))</f>
        <v/>
      </c>
      <c r="X1944" s="586" t="str">
        <f t="shared" si="461"/>
        <v/>
      </c>
      <c r="Y1944" s="586" t="str">
        <f t="shared" si="431"/>
        <v/>
      </c>
      <c r="Z1944" s="586" t="str">
        <f t="shared" si="488"/>
        <v/>
      </c>
    </row>
    <row r="1945" spans="1:26" ht="12" hidden="1" thickBot="1" x14ac:dyDescent="0.25">
      <c r="A1945" s="567">
        <v>620600</v>
      </c>
      <c r="B1945" s="644">
        <v>620600</v>
      </c>
      <c r="C1945" s="645" t="s">
        <v>206</v>
      </c>
      <c r="D1945" s="422" t="s">
        <v>360</v>
      </c>
      <c r="E1945" s="423"/>
      <c r="F1945" s="424"/>
      <c r="G1945" s="425"/>
      <c r="H1945" s="651">
        <f>SUM(H1946:H1948)</f>
        <v>2801.5291540000003</v>
      </c>
      <c r="I1945" s="420">
        <v>7314.29</v>
      </c>
      <c r="J1945" s="420">
        <f>IF(ISBLANK(I1945),"",SUM(H1945:I1945))</f>
        <v>10115.819154000001</v>
      </c>
      <c r="K1945" s="421">
        <f t="shared" si="477"/>
        <v>12018.6</v>
      </c>
      <c r="L1945" s="647" t="s">
        <v>21</v>
      </c>
      <c r="M1945" s="576"/>
      <c r="N1945" s="576">
        <f t="shared" si="487"/>
        <v>0</v>
      </c>
      <c r="O1945" s="577">
        <f t="shared" si="480"/>
        <v>0</v>
      </c>
      <c r="P1945" s="578">
        <f t="shared" si="481"/>
        <v>0</v>
      </c>
      <c r="Q1945" s="765"/>
      <c r="R1945" s="576">
        <f>M1945</f>
        <v>0</v>
      </c>
      <c r="S1945" s="576">
        <f>N1945</f>
        <v>0</v>
      </c>
      <c r="T1945" s="577">
        <f t="shared" si="478"/>
        <v>0</v>
      </c>
      <c r="U1945" s="578">
        <f t="shared" si="479"/>
        <v>0</v>
      </c>
      <c r="V1945" s="579"/>
      <c r="W1945" s="566"/>
      <c r="X1945" s="586" t="str">
        <f t="shared" si="461"/>
        <v/>
      </c>
      <c r="Y1945" s="586" t="str">
        <f t="shared" si="431"/>
        <v/>
      </c>
      <c r="Z1945" s="586" t="str">
        <f t="shared" si="488"/>
        <v/>
      </c>
    </row>
    <row r="1946" spans="1:26" ht="12" hidden="1" thickBot="1" x14ac:dyDescent="0.25">
      <c r="A1946" s="567" t="s">
        <v>168</v>
      </c>
      <c r="B1946" s="644" t="s">
        <v>168</v>
      </c>
      <c r="C1946" s="645"/>
      <c r="D1946" s="422" t="s">
        <v>212</v>
      </c>
      <c r="E1946" s="423"/>
      <c r="F1946" s="424">
        <v>500</v>
      </c>
      <c r="G1946" s="425">
        <v>2.2439</v>
      </c>
      <c r="H1946" s="649">
        <f>IF(F1946&lt;=30,(0.78*F1946+7.82)*G1946,((0.78*30+7.82)+0.78*(F1946-30))*G1946)</f>
        <v>892.66829800000016</v>
      </c>
      <c r="I1946" s="420">
        <v>0</v>
      </c>
      <c r="J1946" s="420"/>
      <c r="K1946" s="421">
        <f t="shared" si="477"/>
        <v>0</v>
      </c>
      <c r="L1946" s="647"/>
      <c r="M1946" s="723"/>
      <c r="N1946" s="576">
        <f t="shared" si="487"/>
        <v>0</v>
      </c>
      <c r="O1946" s="577">
        <f t="shared" si="480"/>
        <v>0</v>
      </c>
      <c r="P1946" s="578">
        <f t="shared" si="481"/>
        <v>0</v>
      </c>
      <c r="Q1946" s="765"/>
      <c r="R1946" s="723"/>
      <c r="S1946" s="723"/>
      <c r="T1946" s="577">
        <f t="shared" si="478"/>
        <v>0</v>
      </c>
      <c r="U1946" s="578">
        <f t="shared" si="479"/>
        <v>0</v>
      </c>
      <c r="V1946" s="579"/>
      <c r="W1946" s="566" t="str">
        <f>IF(U1945&gt;0,"xx",IF(P1945&gt;0,"xy",""))</f>
        <v/>
      </c>
      <c r="X1946" s="586" t="str">
        <f t="shared" si="461"/>
        <v/>
      </c>
      <c r="Y1946" s="586" t="str">
        <f t="shared" si="431"/>
        <v/>
      </c>
      <c r="Z1946" s="586" t="str">
        <f t="shared" si="488"/>
        <v/>
      </c>
    </row>
    <row r="1947" spans="1:26" ht="12" hidden="1" thickBot="1" x14ac:dyDescent="0.25">
      <c r="A1947" s="567" t="s">
        <v>168</v>
      </c>
      <c r="B1947" s="644" t="s">
        <v>168</v>
      </c>
      <c r="C1947" s="645"/>
      <c r="D1947" s="422" t="s">
        <v>248</v>
      </c>
      <c r="E1947" s="423"/>
      <c r="F1947" s="424">
        <v>180</v>
      </c>
      <c r="G1947" s="425">
        <v>7.9786000000000001</v>
      </c>
      <c r="H1947" s="663">
        <f t="shared" ref="H1947:H1948" si="490">IF(F1947&lt;=30,(1.07*F1947+2.68)*G1947,((1.07*30+2.68)+1.07*(F1947-30))*G1947)</f>
        <v>1558.0610080000001</v>
      </c>
      <c r="I1947" s="420">
        <v>0</v>
      </c>
      <c r="J1947" s="420"/>
      <c r="K1947" s="421">
        <f t="shared" si="477"/>
        <v>0</v>
      </c>
      <c r="L1947" s="647"/>
      <c r="M1947" s="723"/>
      <c r="N1947" s="576">
        <f t="shared" si="487"/>
        <v>0</v>
      </c>
      <c r="O1947" s="577">
        <f t="shared" si="480"/>
        <v>0</v>
      </c>
      <c r="P1947" s="578">
        <f t="shared" si="481"/>
        <v>0</v>
      </c>
      <c r="Q1947" s="765"/>
      <c r="R1947" s="723"/>
      <c r="S1947" s="723"/>
      <c r="T1947" s="577">
        <f t="shared" si="478"/>
        <v>0</v>
      </c>
      <c r="U1947" s="578">
        <f t="shared" si="479"/>
        <v>0</v>
      </c>
      <c r="V1947" s="579"/>
      <c r="W1947" s="566" t="str">
        <f>IF(U1945&gt;0,"xx",IF(P1945&gt;0,"xy",""))</f>
        <v/>
      </c>
      <c r="X1947" s="586" t="str">
        <f t="shared" si="461"/>
        <v/>
      </c>
      <c r="Y1947" s="586" t="str">
        <f t="shared" si="431"/>
        <v/>
      </c>
      <c r="Z1947" s="586" t="str">
        <f t="shared" si="488"/>
        <v/>
      </c>
    </row>
    <row r="1948" spans="1:26" ht="12" hidden="1" thickBot="1" x14ac:dyDescent="0.25">
      <c r="A1948" s="567" t="s">
        <v>168</v>
      </c>
      <c r="B1948" s="644" t="s">
        <v>168</v>
      </c>
      <c r="C1948" s="645"/>
      <c r="D1948" s="422" t="s">
        <v>252</v>
      </c>
      <c r="E1948" s="423"/>
      <c r="F1948" s="424">
        <v>20</v>
      </c>
      <c r="G1948" s="425">
        <v>14.568099999999999</v>
      </c>
      <c r="H1948" s="663">
        <f t="shared" si="490"/>
        <v>350.799848</v>
      </c>
      <c r="I1948" s="420">
        <v>0</v>
      </c>
      <c r="J1948" s="420"/>
      <c r="K1948" s="421">
        <f t="shared" si="477"/>
        <v>0</v>
      </c>
      <c r="L1948" s="647"/>
      <c r="M1948" s="723"/>
      <c r="N1948" s="576">
        <f t="shared" si="487"/>
        <v>0</v>
      </c>
      <c r="O1948" s="577">
        <f t="shared" si="480"/>
        <v>0</v>
      </c>
      <c r="P1948" s="578">
        <f t="shared" si="481"/>
        <v>0</v>
      </c>
      <c r="Q1948" s="765"/>
      <c r="R1948" s="723"/>
      <c r="S1948" s="723"/>
      <c r="T1948" s="577">
        <f t="shared" si="478"/>
        <v>0</v>
      </c>
      <c r="U1948" s="578">
        <f t="shared" si="479"/>
        <v>0</v>
      </c>
      <c r="V1948" s="579"/>
      <c r="W1948" s="566" t="str">
        <f>IF(U1945&gt;0,"xx",IF(P1945&gt;0,"xy",""))</f>
        <v/>
      </c>
      <c r="X1948" s="586" t="str">
        <f t="shared" si="461"/>
        <v/>
      </c>
      <c r="Y1948" s="586" t="str">
        <f t="shared" si="431"/>
        <v/>
      </c>
      <c r="Z1948" s="586" t="str">
        <f t="shared" si="488"/>
        <v/>
      </c>
    </row>
    <row r="1949" spans="1:26" ht="12" hidden="1" thickBot="1" x14ac:dyDescent="0.25">
      <c r="A1949" s="567">
        <v>620100</v>
      </c>
      <c r="B1949" s="644" t="s">
        <v>1663</v>
      </c>
      <c r="C1949" s="645" t="s">
        <v>206</v>
      </c>
      <c r="D1949" s="422" t="s">
        <v>361</v>
      </c>
      <c r="E1949" s="423"/>
      <c r="F1949" s="424"/>
      <c r="G1949" s="425"/>
      <c r="H1949" s="651">
        <f>SUM(H1950:H1952)</f>
        <v>357.50190600000002</v>
      </c>
      <c r="I1949" s="420">
        <v>1246.7937242356304</v>
      </c>
      <c r="J1949" s="420">
        <f>IF(ISBLANK(I1949),"",SUM(H1949:I1949))</f>
        <v>1604.2956302356304</v>
      </c>
      <c r="K1949" s="421">
        <f t="shared" si="477"/>
        <v>1906.06</v>
      </c>
      <c r="L1949" s="647" t="s">
        <v>21</v>
      </c>
      <c r="M1949" s="576"/>
      <c r="N1949" s="576">
        <f t="shared" si="487"/>
        <v>0</v>
      </c>
      <c r="O1949" s="577">
        <f t="shared" si="480"/>
        <v>0</v>
      </c>
      <c r="P1949" s="578">
        <f t="shared" si="481"/>
        <v>0</v>
      </c>
      <c r="Q1949" s="765"/>
      <c r="R1949" s="576">
        <f>M1949</f>
        <v>0</v>
      </c>
      <c r="S1949" s="576">
        <f>N1949</f>
        <v>0</v>
      </c>
      <c r="T1949" s="577">
        <f t="shared" si="478"/>
        <v>0</v>
      </c>
      <c r="U1949" s="578">
        <f t="shared" si="479"/>
        <v>0</v>
      </c>
      <c r="V1949" s="579"/>
      <c r="W1949" s="566"/>
      <c r="X1949" s="586" t="str">
        <f t="shared" si="461"/>
        <v/>
      </c>
      <c r="Y1949" s="586" t="str">
        <f t="shared" si="431"/>
        <v/>
      </c>
      <c r="Z1949" s="586" t="str">
        <f t="shared" si="488"/>
        <v/>
      </c>
    </row>
    <row r="1950" spans="1:26" ht="12" hidden="1" thickBot="1" x14ac:dyDescent="0.25">
      <c r="A1950" s="567" t="s">
        <v>168</v>
      </c>
      <c r="B1950" s="644" t="s">
        <v>168</v>
      </c>
      <c r="C1950" s="645"/>
      <c r="D1950" s="422" t="s">
        <v>212</v>
      </c>
      <c r="E1950" s="423"/>
      <c r="F1950" s="424">
        <v>500</v>
      </c>
      <c r="G1950" s="425">
        <v>0.2863</v>
      </c>
      <c r="H1950" s="649">
        <f>IF(F1950&lt;=30,(0.78*F1950+7.82)*G1950,((0.78*30+7.82)+0.78*(F1950-30))*G1950)</f>
        <v>113.89586600000001</v>
      </c>
      <c r="I1950" s="420">
        <v>0</v>
      </c>
      <c r="J1950" s="420"/>
      <c r="K1950" s="421">
        <f t="shared" si="477"/>
        <v>0</v>
      </c>
      <c r="L1950" s="647"/>
      <c r="M1950" s="723"/>
      <c r="N1950" s="576">
        <f t="shared" si="487"/>
        <v>0</v>
      </c>
      <c r="O1950" s="577">
        <f t="shared" si="480"/>
        <v>0</v>
      </c>
      <c r="P1950" s="578">
        <f t="shared" si="481"/>
        <v>0</v>
      </c>
      <c r="Q1950" s="765"/>
      <c r="R1950" s="723"/>
      <c r="S1950" s="723"/>
      <c r="T1950" s="577">
        <f t="shared" si="478"/>
        <v>0</v>
      </c>
      <c r="U1950" s="578">
        <f t="shared" si="479"/>
        <v>0</v>
      </c>
      <c r="V1950" s="579"/>
      <c r="W1950" s="566" t="str">
        <f>IF(U1949&gt;0,"xx",IF(P1949&gt;0,"xy",""))</f>
        <v/>
      </c>
      <c r="X1950" s="586" t="str">
        <f t="shared" si="461"/>
        <v/>
      </c>
      <c r="Y1950" s="586" t="str">
        <f t="shared" si="431"/>
        <v/>
      </c>
      <c r="Z1950" s="586" t="str">
        <f t="shared" si="488"/>
        <v/>
      </c>
    </row>
    <row r="1951" spans="1:26" ht="12" hidden="1" thickBot="1" x14ac:dyDescent="0.25">
      <c r="A1951" s="567" t="s">
        <v>168</v>
      </c>
      <c r="B1951" s="644" t="s">
        <v>168</v>
      </c>
      <c r="C1951" s="645"/>
      <c r="D1951" s="422" t="s">
        <v>248</v>
      </c>
      <c r="E1951" s="423"/>
      <c r="F1951" s="424">
        <v>180</v>
      </c>
      <c r="G1951" s="425">
        <v>1.0182</v>
      </c>
      <c r="H1951" s="663">
        <f t="shared" ref="H1951:H1952" si="491">IF(F1951&lt;=30,(1.07*F1951+2.68)*G1951,((1.07*30+2.68)+1.07*(F1951-30))*G1951)</f>
        <v>198.83409599999999</v>
      </c>
      <c r="I1951" s="420">
        <v>0</v>
      </c>
      <c r="J1951" s="420"/>
      <c r="K1951" s="421">
        <f t="shared" si="477"/>
        <v>0</v>
      </c>
      <c r="L1951" s="647"/>
      <c r="M1951" s="723"/>
      <c r="N1951" s="576">
        <f t="shared" si="487"/>
        <v>0</v>
      </c>
      <c r="O1951" s="577">
        <f t="shared" si="480"/>
        <v>0</v>
      </c>
      <c r="P1951" s="578">
        <f t="shared" si="481"/>
        <v>0</v>
      </c>
      <c r="Q1951" s="765"/>
      <c r="R1951" s="723"/>
      <c r="S1951" s="723"/>
      <c r="T1951" s="577">
        <f t="shared" si="478"/>
        <v>0</v>
      </c>
      <c r="U1951" s="578">
        <f t="shared" si="479"/>
        <v>0</v>
      </c>
      <c r="V1951" s="579"/>
      <c r="W1951" s="566" t="str">
        <f>IF(U1949&gt;0,"xx",IF(P1949&gt;0,"xy",""))</f>
        <v/>
      </c>
      <c r="X1951" s="586" t="str">
        <f t="shared" si="461"/>
        <v/>
      </c>
      <c r="Y1951" s="586" t="str">
        <f t="shared" si="431"/>
        <v/>
      </c>
      <c r="Z1951" s="586" t="str">
        <f t="shared" si="488"/>
        <v/>
      </c>
    </row>
    <row r="1952" spans="1:26" ht="12" hidden="1" thickBot="1" x14ac:dyDescent="0.25">
      <c r="A1952" s="567" t="s">
        <v>168</v>
      </c>
      <c r="B1952" s="644" t="s">
        <v>168</v>
      </c>
      <c r="C1952" s="645"/>
      <c r="D1952" s="422" t="s">
        <v>252</v>
      </c>
      <c r="E1952" s="423"/>
      <c r="F1952" s="424">
        <v>20</v>
      </c>
      <c r="G1952" s="425">
        <v>1.8593</v>
      </c>
      <c r="H1952" s="663">
        <f t="shared" si="491"/>
        <v>44.771944000000005</v>
      </c>
      <c r="I1952" s="420">
        <v>0</v>
      </c>
      <c r="J1952" s="420"/>
      <c r="K1952" s="421">
        <f t="shared" si="477"/>
        <v>0</v>
      </c>
      <c r="L1952" s="647"/>
      <c r="M1952" s="723"/>
      <c r="N1952" s="576">
        <f t="shared" si="487"/>
        <v>0</v>
      </c>
      <c r="O1952" s="577">
        <f t="shared" si="480"/>
        <v>0</v>
      </c>
      <c r="P1952" s="578">
        <f t="shared" si="481"/>
        <v>0</v>
      </c>
      <c r="Q1952" s="765"/>
      <c r="R1952" s="723"/>
      <c r="S1952" s="723"/>
      <c r="T1952" s="577">
        <f t="shared" si="478"/>
        <v>0</v>
      </c>
      <c r="U1952" s="578">
        <f t="shared" si="479"/>
        <v>0</v>
      </c>
      <c r="V1952" s="579"/>
      <c r="W1952" s="566" t="str">
        <f>IF(U1949&gt;0,"xx",IF(P1949&gt;0,"xy",""))</f>
        <v/>
      </c>
      <c r="X1952" s="586" t="str">
        <f t="shared" si="461"/>
        <v/>
      </c>
      <c r="Y1952" s="586" t="str">
        <f t="shared" si="431"/>
        <v/>
      </c>
      <c r="Z1952" s="586" t="str">
        <f t="shared" si="488"/>
        <v/>
      </c>
    </row>
    <row r="1953" spans="1:26" ht="12" hidden="1" thickBot="1" x14ac:dyDescent="0.25">
      <c r="A1953" s="567">
        <v>620200</v>
      </c>
      <c r="B1953" s="644" t="s">
        <v>1666</v>
      </c>
      <c r="C1953" s="645" t="s">
        <v>206</v>
      </c>
      <c r="D1953" s="422" t="s">
        <v>362</v>
      </c>
      <c r="E1953" s="423"/>
      <c r="F1953" s="424"/>
      <c r="G1953" s="425"/>
      <c r="H1953" s="651">
        <f>SUM(H1954:H1956)</f>
        <v>518.42137400000001</v>
      </c>
      <c r="I1953" s="420">
        <v>1735.8033996841357</v>
      </c>
      <c r="J1953" s="420">
        <f>IF(ISBLANK(I1953),"",SUM(H1953:I1953))</f>
        <v>2254.2247736841355</v>
      </c>
      <c r="K1953" s="421">
        <f t="shared" si="477"/>
        <v>2678.24</v>
      </c>
      <c r="L1953" s="647" t="s">
        <v>21</v>
      </c>
      <c r="M1953" s="576"/>
      <c r="N1953" s="576">
        <f t="shared" si="487"/>
        <v>0</v>
      </c>
      <c r="O1953" s="577">
        <f t="shared" si="480"/>
        <v>0</v>
      </c>
      <c r="P1953" s="578">
        <f t="shared" si="481"/>
        <v>0</v>
      </c>
      <c r="Q1953" s="765"/>
      <c r="R1953" s="576">
        <f>M1953</f>
        <v>0</v>
      </c>
      <c r="S1953" s="576">
        <f>N1953</f>
        <v>0</v>
      </c>
      <c r="T1953" s="577">
        <f t="shared" si="478"/>
        <v>0</v>
      </c>
      <c r="U1953" s="578">
        <f t="shared" si="479"/>
        <v>0</v>
      </c>
      <c r="V1953" s="579"/>
      <c r="W1953" s="566"/>
      <c r="X1953" s="586" t="str">
        <f t="shared" si="461"/>
        <v/>
      </c>
      <c r="Y1953" s="586" t="str">
        <f t="shared" si="431"/>
        <v/>
      </c>
      <c r="Z1953" s="586" t="str">
        <f t="shared" si="488"/>
        <v/>
      </c>
    </row>
    <row r="1954" spans="1:26" ht="12" hidden="1" thickBot="1" x14ac:dyDescent="0.25">
      <c r="A1954" s="567" t="s">
        <v>168</v>
      </c>
      <c r="B1954" s="644" t="s">
        <v>168</v>
      </c>
      <c r="C1954" s="645"/>
      <c r="D1954" s="422" t="s">
        <v>212</v>
      </c>
      <c r="E1954" s="423"/>
      <c r="F1954" s="424">
        <v>500</v>
      </c>
      <c r="G1954" s="425">
        <v>0.4153</v>
      </c>
      <c r="H1954" s="649">
        <f>IF(F1954&lt;=30,(0.78*F1954+7.82)*G1954,((0.78*30+7.82)+0.78*(F1954-30))*G1954)</f>
        <v>165.21464600000002</v>
      </c>
      <c r="I1954" s="420">
        <v>0</v>
      </c>
      <c r="J1954" s="420"/>
      <c r="K1954" s="421">
        <f t="shared" si="477"/>
        <v>0</v>
      </c>
      <c r="L1954" s="647"/>
      <c r="M1954" s="723"/>
      <c r="N1954" s="576">
        <f t="shared" si="487"/>
        <v>0</v>
      </c>
      <c r="O1954" s="577">
        <f t="shared" si="480"/>
        <v>0</v>
      </c>
      <c r="P1954" s="578">
        <f t="shared" si="481"/>
        <v>0</v>
      </c>
      <c r="Q1954" s="765"/>
      <c r="R1954" s="723"/>
      <c r="S1954" s="723"/>
      <c r="T1954" s="577">
        <f t="shared" si="478"/>
        <v>0</v>
      </c>
      <c r="U1954" s="578">
        <f t="shared" si="479"/>
        <v>0</v>
      </c>
      <c r="V1954" s="579"/>
      <c r="W1954" s="566" t="str">
        <f>IF(U1953&gt;0,"xx",IF(P1953&gt;0,"xy",""))</f>
        <v/>
      </c>
      <c r="X1954" s="586" t="str">
        <f t="shared" si="461"/>
        <v/>
      </c>
      <c r="Y1954" s="586" t="str">
        <f t="shared" si="431"/>
        <v/>
      </c>
      <c r="Z1954" s="586" t="str">
        <f t="shared" si="488"/>
        <v/>
      </c>
    </row>
    <row r="1955" spans="1:26" ht="12" hidden="1" thickBot="1" x14ac:dyDescent="0.25">
      <c r="A1955" s="567" t="s">
        <v>168</v>
      </c>
      <c r="B1955" s="644" t="s">
        <v>168</v>
      </c>
      <c r="C1955" s="645"/>
      <c r="D1955" s="422" t="s">
        <v>248</v>
      </c>
      <c r="E1955" s="423"/>
      <c r="F1955" s="424">
        <v>180</v>
      </c>
      <c r="G1955" s="425">
        <v>1.4762999999999999</v>
      </c>
      <c r="H1955" s="663">
        <f t="shared" ref="H1955:H1956" si="492">IF(F1955&lt;=30,(1.07*F1955+2.68)*G1955,((1.07*30+2.68)+1.07*(F1955-30))*G1955)</f>
        <v>288.29186399999998</v>
      </c>
      <c r="I1955" s="420">
        <v>0</v>
      </c>
      <c r="J1955" s="420"/>
      <c r="K1955" s="421">
        <f t="shared" si="477"/>
        <v>0</v>
      </c>
      <c r="L1955" s="647"/>
      <c r="M1955" s="723"/>
      <c r="N1955" s="576">
        <f t="shared" si="487"/>
        <v>0</v>
      </c>
      <c r="O1955" s="577">
        <f t="shared" si="480"/>
        <v>0</v>
      </c>
      <c r="P1955" s="578">
        <f t="shared" si="481"/>
        <v>0</v>
      </c>
      <c r="Q1955" s="765"/>
      <c r="R1955" s="723"/>
      <c r="S1955" s="723"/>
      <c r="T1955" s="577">
        <f t="shared" si="478"/>
        <v>0</v>
      </c>
      <c r="U1955" s="578">
        <f t="shared" si="479"/>
        <v>0</v>
      </c>
      <c r="V1955" s="579"/>
      <c r="W1955" s="566" t="str">
        <f>IF(U1953&gt;0,"xx",IF(P1953&gt;0,"xy",""))</f>
        <v/>
      </c>
      <c r="X1955" s="586" t="str">
        <f t="shared" si="461"/>
        <v/>
      </c>
      <c r="Y1955" s="586" t="str">
        <f t="shared" si="431"/>
        <v/>
      </c>
      <c r="Z1955" s="586" t="str">
        <f t="shared" si="488"/>
        <v/>
      </c>
    </row>
    <row r="1956" spans="1:26" ht="12" hidden="1" thickBot="1" x14ac:dyDescent="0.25">
      <c r="A1956" s="567" t="s">
        <v>168</v>
      </c>
      <c r="B1956" s="644" t="s">
        <v>168</v>
      </c>
      <c r="C1956" s="645"/>
      <c r="D1956" s="422" t="s">
        <v>252</v>
      </c>
      <c r="E1956" s="423"/>
      <c r="F1956" s="424">
        <v>20</v>
      </c>
      <c r="G1956" s="425">
        <v>2.6958000000000002</v>
      </c>
      <c r="H1956" s="663">
        <f t="shared" si="492"/>
        <v>64.914864000000009</v>
      </c>
      <c r="I1956" s="420">
        <v>0</v>
      </c>
      <c r="J1956" s="420"/>
      <c r="K1956" s="421">
        <f t="shared" si="477"/>
        <v>0</v>
      </c>
      <c r="L1956" s="647"/>
      <c r="M1956" s="723"/>
      <c r="N1956" s="576">
        <f t="shared" si="487"/>
        <v>0</v>
      </c>
      <c r="O1956" s="577">
        <f t="shared" si="480"/>
        <v>0</v>
      </c>
      <c r="P1956" s="578">
        <f t="shared" si="481"/>
        <v>0</v>
      </c>
      <c r="Q1956" s="765"/>
      <c r="R1956" s="723"/>
      <c r="S1956" s="723"/>
      <c r="T1956" s="577">
        <f t="shared" si="478"/>
        <v>0</v>
      </c>
      <c r="U1956" s="578">
        <f t="shared" si="479"/>
        <v>0</v>
      </c>
      <c r="V1956" s="579"/>
      <c r="W1956" s="566" t="str">
        <f>IF(U1953&gt;0,"xx",IF(P1953&gt;0,"xy",""))</f>
        <v/>
      </c>
      <c r="X1956" s="586" t="str">
        <f t="shared" si="461"/>
        <v/>
      </c>
      <c r="Y1956" s="586" t="str">
        <f t="shared" si="431"/>
        <v/>
      </c>
      <c r="Z1956" s="586" t="str">
        <f t="shared" si="488"/>
        <v/>
      </c>
    </row>
    <row r="1957" spans="1:26" ht="12" hidden="1" thickBot="1" x14ac:dyDescent="0.25">
      <c r="A1957" s="567">
        <v>620700</v>
      </c>
      <c r="B1957" s="644">
        <v>620700</v>
      </c>
      <c r="C1957" s="645" t="s">
        <v>206</v>
      </c>
      <c r="D1957" s="422" t="s">
        <v>363</v>
      </c>
      <c r="E1957" s="423"/>
      <c r="F1957" s="424"/>
      <c r="G1957" s="425"/>
      <c r="H1957" s="651">
        <f>SUM(H1958:H1960)</f>
        <v>777.93530600000008</v>
      </c>
      <c r="I1957" s="420">
        <v>2474.02</v>
      </c>
      <c r="J1957" s="420">
        <f>IF(ISBLANK(I1957),"",SUM(H1957:I1957))</f>
        <v>3251.9553059999998</v>
      </c>
      <c r="K1957" s="421">
        <f t="shared" si="477"/>
        <v>3863.65</v>
      </c>
      <c r="L1957" s="647" t="s">
        <v>21</v>
      </c>
      <c r="M1957" s="576"/>
      <c r="N1957" s="576">
        <f t="shared" si="487"/>
        <v>0</v>
      </c>
      <c r="O1957" s="577">
        <f t="shared" si="480"/>
        <v>0</v>
      </c>
      <c r="P1957" s="578">
        <f t="shared" si="481"/>
        <v>0</v>
      </c>
      <c r="Q1957" s="765"/>
      <c r="R1957" s="576">
        <f>M1957</f>
        <v>0</v>
      </c>
      <c r="S1957" s="576">
        <f>N1957</f>
        <v>0</v>
      </c>
      <c r="T1957" s="577">
        <f t="shared" si="478"/>
        <v>0</v>
      </c>
      <c r="U1957" s="578">
        <f t="shared" si="479"/>
        <v>0</v>
      </c>
      <c r="V1957" s="579"/>
      <c r="W1957" s="566"/>
      <c r="X1957" s="586" t="str">
        <f t="shared" si="461"/>
        <v/>
      </c>
      <c r="Y1957" s="586" t="str">
        <f t="shared" si="431"/>
        <v/>
      </c>
      <c r="Z1957" s="586" t="str">
        <f t="shared" si="488"/>
        <v/>
      </c>
    </row>
    <row r="1958" spans="1:26" ht="12" hidden="1" thickBot="1" x14ac:dyDescent="0.25">
      <c r="A1958" s="567" t="s">
        <v>168</v>
      </c>
      <c r="B1958" s="644" t="s">
        <v>168</v>
      </c>
      <c r="C1958" s="645"/>
      <c r="D1958" s="422" t="s">
        <v>212</v>
      </c>
      <c r="E1958" s="423"/>
      <c r="F1958" s="424">
        <v>500</v>
      </c>
      <c r="G1958" s="425" t="s">
        <v>97</v>
      </c>
      <c r="H1958" s="649">
        <f>IF(F1958&lt;=30,(0.78*F1958+7.82)*G1958,((0.78*30+7.82)+0.78*(F1958-30))*G1958)</f>
        <v>247.88164200000003</v>
      </c>
      <c r="I1958" s="420">
        <v>0</v>
      </c>
      <c r="J1958" s="420"/>
      <c r="K1958" s="421">
        <f t="shared" si="477"/>
        <v>0</v>
      </c>
      <c r="L1958" s="647"/>
      <c r="M1958" s="723"/>
      <c r="N1958" s="576">
        <f t="shared" si="487"/>
        <v>0</v>
      </c>
      <c r="O1958" s="577">
        <f t="shared" si="480"/>
        <v>0</v>
      </c>
      <c r="P1958" s="578">
        <f t="shared" si="481"/>
        <v>0</v>
      </c>
      <c r="Q1958" s="765"/>
      <c r="R1958" s="723"/>
      <c r="S1958" s="723"/>
      <c r="T1958" s="577">
        <f t="shared" si="478"/>
        <v>0</v>
      </c>
      <c r="U1958" s="578">
        <f t="shared" si="479"/>
        <v>0</v>
      </c>
      <c r="V1958" s="579"/>
      <c r="W1958" s="566" t="str">
        <f>IF(U1957&gt;0,"xx",IF(P1957&gt;0,"xy",""))</f>
        <v/>
      </c>
      <c r="X1958" s="586" t="str">
        <f t="shared" si="461"/>
        <v/>
      </c>
      <c r="Y1958" s="586" t="str">
        <f t="shared" si="431"/>
        <v/>
      </c>
      <c r="Z1958" s="586" t="str">
        <f t="shared" si="488"/>
        <v/>
      </c>
    </row>
    <row r="1959" spans="1:26" ht="12" hidden="1" thickBot="1" x14ac:dyDescent="0.25">
      <c r="A1959" s="567" t="s">
        <v>168</v>
      </c>
      <c r="B1959" s="644" t="s">
        <v>168</v>
      </c>
      <c r="C1959" s="645"/>
      <c r="D1959" s="422" t="s">
        <v>248</v>
      </c>
      <c r="E1959" s="423"/>
      <c r="F1959" s="424">
        <v>180</v>
      </c>
      <c r="G1959" s="425" t="s">
        <v>98</v>
      </c>
      <c r="H1959" s="663">
        <f t="shared" ref="H1959:H1960" si="493">IF(F1959&lt;=30,(1.07*F1959+2.68)*G1959,((1.07*30+2.68)+1.07*(F1959-30))*G1959)</f>
        <v>432.64284000000004</v>
      </c>
      <c r="I1959" s="420">
        <v>0</v>
      </c>
      <c r="J1959" s="420"/>
      <c r="K1959" s="421">
        <f t="shared" si="477"/>
        <v>0</v>
      </c>
      <c r="L1959" s="647"/>
      <c r="M1959" s="723"/>
      <c r="N1959" s="576">
        <f t="shared" si="487"/>
        <v>0</v>
      </c>
      <c r="O1959" s="577">
        <f t="shared" si="480"/>
        <v>0</v>
      </c>
      <c r="P1959" s="578">
        <f t="shared" si="481"/>
        <v>0</v>
      </c>
      <c r="Q1959" s="765"/>
      <c r="R1959" s="723"/>
      <c r="S1959" s="723"/>
      <c r="T1959" s="577">
        <f t="shared" si="478"/>
        <v>0</v>
      </c>
      <c r="U1959" s="578">
        <f t="shared" si="479"/>
        <v>0</v>
      </c>
      <c r="V1959" s="579"/>
      <c r="W1959" s="566" t="str">
        <f>IF(U1957&gt;0,"xx",IF(P1957&gt;0,"xy",""))</f>
        <v/>
      </c>
      <c r="X1959" s="586" t="str">
        <f t="shared" si="461"/>
        <v/>
      </c>
      <c r="Y1959" s="586" t="str">
        <f t="shared" si="431"/>
        <v/>
      </c>
      <c r="Z1959" s="586" t="str">
        <f t="shared" si="488"/>
        <v/>
      </c>
    </row>
    <row r="1960" spans="1:26" ht="12" hidden="1" thickBot="1" x14ac:dyDescent="0.25">
      <c r="A1960" s="567" t="s">
        <v>168</v>
      </c>
      <c r="B1960" s="644" t="s">
        <v>168</v>
      </c>
      <c r="C1960" s="645"/>
      <c r="D1960" s="422" t="s">
        <v>252</v>
      </c>
      <c r="E1960" s="423"/>
      <c r="F1960" s="424">
        <v>20</v>
      </c>
      <c r="G1960" s="425">
        <v>4.0453000000000001</v>
      </c>
      <c r="H1960" s="663">
        <f t="shared" si="493"/>
        <v>97.410824000000005</v>
      </c>
      <c r="I1960" s="420">
        <v>0</v>
      </c>
      <c r="J1960" s="420"/>
      <c r="K1960" s="421">
        <f t="shared" si="477"/>
        <v>0</v>
      </c>
      <c r="L1960" s="647"/>
      <c r="M1960" s="723"/>
      <c r="N1960" s="576">
        <f t="shared" si="487"/>
        <v>0</v>
      </c>
      <c r="O1960" s="577">
        <f t="shared" si="480"/>
        <v>0</v>
      </c>
      <c r="P1960" s="578">
        <f t="shared" si="481"/>
        <v>0</v>
      </c>
      <c r="Q1960" s="765"/>
      <c r="R1960" s="723"/>
      <c r="S1960" s="723"/>
      <c r="T1960" s="577">
        <f t="shared" si="478"/>
        <v>0</v>
      </c>
      <c r="U1960" s="578">
        <f t="shared" si="479"/>
        <v>0</v>
      </c>
      <c r="V1960" s="579"/>
      <c r="W1960" s="566" t="str">
        <f>IF(U1957&gt;0,"xx",IF(P1957&gt;0,"xy",""))</f>
        <v/>
      </c>
      <c r="X1960" s="586" t="str">
        <f t="shared" si="461"/>
        <v/>
      </c>
      <c r="Y1960" s="586" t="str">
        <f t="shared" si="431"/>
        <v/>
      </c>
      <c r="Z1960" s="586" t="str">
        <f t="shared" si="488"/>
        <v/>
      </c>
    </row>
    <row r="1961" spans="1:26" ht="12" hidden="1" thickBot="1" x14ac:dyDescent="0.25">
      <c r="A1961" s="567">
        <v>620800</v>
      </c>
      <c r="B1961" s="644">
        <v>620800</v>
      </c>
      <c r="C1961" s="645" t="s">
        <v>206</v>
      </c>
      <c r="D1961" s="422" t="s">
        <v>364</v>
      </c>
      <c r="E1961" s="423"/>
      <c r="F1961" s="424"/>
      <c r="G1961" s="425"/>
      <c r="H1961" s="651">
        <f>SUM(H1962:H1964)</f>
        <v>1022.8832060000001</v>
      </c>
      <c r="I1961" s="420">
        <v>3147.76</v>
      </c>
      <c r="J1961" s="420">
        <f>IF(ISBLANK(I1961),"",SUM(H1961:I1961))</f>
        <v>4170.6432060000006</v>
      </c>
      <c r="K1961" s="421">
        <f t="shared" si="477"/>
        <v>4955.1400000000003</v>
      </c>
      <c r="L1961" s="647" t="s">
        <v>21</v>
      </c>
      <c r="M1961" s="576"/>
      <c r="N1961" s="576">
        <f t="shared" si="487"/>
        <v>0</v>
      </c>
      <c r="O1961" s="577">
        <f t="shared" si="480"/>
        <v>0</v>
      </c>
      <c r="P1961" s="578">
        <f t="shared" si="481"/>
        <v>0</v>
      </c>
      <c r="Q1961" s="765"/>
      <c r="R1961" s="576">
        <f>M1961</f>
        <v>0</v>
      </c>
      <c r="S1961" s="576">
        <f>N1961</f>
        <v>0</v>
      </c>
      <c r="T1961" s="577">
        <f t="shared" si="478"/>
        <v>0</v>
      </c>
      <c r="U1961" s="578">
        <f t="shared" si="479"/>
        <v>0</v>
      </c>
      <c r="V1961" s="579"/>
      <c r="W1961" s="566"/>
      <c r="X1961" s="586" t="str">
        <f t="shared" si="461"/>
        <v/>
      </c>
      <c r="Y1961" s="586" t="str">
        <f t="shared" si="431"/>
        <v/>
      </c>
      <c r="Z1961" s="586" t="str">
        <f t="shared" si="488"/>
        <v/>
      </c>
    </row>
    <row r="1962" spans="1:26" ht="12" hidden="1" thickBot="1" x14ac:dyDescent="0.25">
      <c r="A1962" s="567" t="s">
        <v>168</v>
      </c>
      <c r="B1962" s="644" t="s">
        <v>168</v>
      </c>
      <c r="C1962" s="645"/>
      <c r="D1962" s="422" t="s">
        <v>212</v>
      </c>
      <c r="E1962" s="423"/>
      <c r="F1962" s="424">
        <v>500</v>
      </c>
      <c r="G1962" s="425">
        <v>0.81930000000000003</v>
      </c>
      <c r="H1962" s="649">
        <f>IF(F1962&lt;=30,(0.78*F1962+7.82)*G1962,((0.78*30+7.82)+0.78*(F1962-30))*G1962)</f>
        <v>325.93392600000004</v>
      </c>
      <c r="I1962" s="420">
        <v>0</v>
      </c>
      <c r="J1962" s="420"/>
      <c r="K1962" s="421">
        <f t="shared" si="477"/>
        <v>0</v>
      </c>
      <c r="L1962" s="647"/>
      <c r="M1962" s="723"/>
      <c r="N1962" s="576">
        <f t="shared" si="487"/>
        <v>0</v>
      </c>
      <c r="O1962" s="577">
        <f t="shared" si="480"/>
        <v>0</v>
      </c>
      <c r="P1962" s="578">
        <f t="shared" si="481"/>
        <v>0</v>
      </c>
      <c r="Q1962" s="765"/>
      <c r="R1962" s="723"/>
      <c r="S1962" s="723"/>
      <c r="T1962" s="577">
        <f t="shared" si="478"/>
        <v>0</v>
      </c>
      <c r="U1962" s="578">
        <f t="shared" si="479"/>
        <v>0</v>
      </c>
      <c r="V1962" s="579"/>
      <c r="W1962" s="566" t="str">
        <f>IF(U1961&gt;0,"xx",IF(P1961&gt;0,"xy",""))</f>
        <v/>
      </c>
      <c r="X1962" s="586" t="str">
        <f t="shared" si="461"/>
        <v/>
      </c>
      <c r="Y1962" s="586" t="str">
        <f t="shared" si="431"/>
        <v/>
      </c>
      <c r="Z1962" s="586" t="str">
        <f t="shared" si="488"/>
        <v/>
      </c>
    </row>
    <row r="1963" spans="1:26" ht="12" hidden="1" thickBot="1" x14ac:dyDescent="0.25">
      <c r="A1963" s="567" t="s">
        <v>168</v>
      </c>
      <c r="B1963" s="644" t="s">
        <v>168</v>
      </c>
      <c r="C1963" s="645"/>
      <c r="D1963" s="422" t="s">
        <v>248</v>
      </c>
      <c r="E1963" s="423"/>
      <c r="F1963" s="424">
        <v>180</v>
      </c>
      <c r="G1963" s="425">
        <v>2.9131</v>
      </c>
      <c r="H1963" s="663">
        <f t="shared" ref="H1963:H1964" si="494">IF(F1963&lt;=30,(1.07*F1963+2.68)*G1963,((1.07*30+2.68)+1.07*(F1963-30))*G1963)</f>
        <v>568.87016800000004</v>
      </c>
      <c r="I1963" s="420">
        <v>0</v>
      </c>
      <c r="J1963" s="420"/>
      <c r="K1963" s="421">
        <f t="shared" si="477"/>
        <v>0</v>
      </c>
      <c r="L1963" s="647"/>
      <c r="M1963" s="723"/>
      <c r="N1963" s="576">
        <f t="shared" si="487"/>
        <v>0</v>
      </c>
      <c r="O1963" s="577">
        <f t="shared" si="480"/>
        <v>0</v>
      </c>
      <c r="P1963" s="578">
        <f t="shared" si="481"/>
        <v>0</v>
      </c>
      <c r="Q1963" s="765"/>
      <c r="R1963" s="723"/>
      <c r="S1963" s="723"/>
      <c r="T1963" s="577">
        <f t="shared" si="478"/>
        <v>0</v>
      </c>
      <c r="U1963" s="578">
        <f t="shared" si="479"/>
        <v>0</v>
      </c>
      <c r="V1963" s="579"/>
      <c r="W1963" s="566" t="str">
        <f>IF(U1961&gt;0,"xx",IF(P1961&gt;0,"xy",""))</f>
        <v/>
      </c>
      <c r="X1963" s="586" t="str">
        <f t="shared" si="461"/>
        <v/>
      </c>
      <c r="Y1963" s="586" t="str">
        <f t="shared" si="431"/>
        <v/>
      </c>
      <c r="Z1963" s="586" t="str">
        <f t="shared" si="488"/>
        <v/>
      </c>
    </row>
    <row r="1964" spans="1:26" ht="12" hidden="1" thickBot="1" x14ac:dyDescent="0.25">
      <c r="A1964" s="567" t="s">
        <v>168</v>
      </c>
      <c r="B1964" s="644" t="s">
        <v>168</v>
      </c>
      <c r="C1964" s="645"/>
      <c r="D1964" s="422" t="s">
        <v>252</v>
      </c>
      <c r="E1964" s="423"/>
      <c r="F1964" s="424">
        <v>20</v>
      </c>
      <c r="G1964" s="425">
        <v>5.3189000000000002</v>
      </c>
      <c r="H1964" s="663">
        <f t="shared" si="494"/>
        <v>128.07911200000001</v>
      </c>
      <c r="I1964" s="420">
        <v>0</v>
      </c>
      <c r="J1964" s="420"/>
      <c r="K1964" s="421">
        <f t="shared" si="477"/>
        <v>0</v>
      </c>
      <c r="L1964" s="647"/>
      <c r="M1964" s="723"/>
      <c r="N1964" s="576">
        <f t="shared" si="487"/>
        <v>0</v>
      </c>
      <c r="O1964" s="577">
        <f t="shared" si="480"/>
        <v>0</v>
      </c>
      <c r="P1964" s="578">
        <f t="shared" si="481"/>
        <v>0</v>
      </c>
      <c r="Q1964" s="765"/>
      <c r="R1964" s="723"/>
      <c r="S1964" s="723"/>
      <c r="T1964" s="577">
        <f t="shared" si="478"/>
        <v>0</v>
      </c>
      <c r="U1964" s="578">
        <f t="shared" si="479"/>
        <v>0</v>
      </c>
      <c r="V1964" s="579"/>
      <c r="W1964" s="566" t="str">
        <f>IF(U1961&gt;0,"xx",IF(P1961&gt;0,"xy",""))</f>
        <v/>
      </c>
      <c r="X1964" s="586" t="str">
        <f t="shared" si="461"/>
        <v/>
      </c>
      <c r="Y1964" s="586" t="str">
        <f t="shared" si="431"/>
        <v/>
      </c>
      <c r="Z1964" s="586" t="str">
        <f t="shared" si="488"/>
        <v/>
      </c>
    </row>
    <row r="1965" spans="1:26" ht="12" hidden="1" thickBot="1" x14ac:dyDescent="0.25">
      <c r="A1965" s="567">
        <v>620900</v>
      </c>
      <c r="B1965" s="644">
        <v>620900</v>
      </c>
      <c r="C1965" s="645" t="s">
        <v>206</v>
      </c>
      <c r="D1965" s="422" t="s">
        <v>365</v>
      </c>
      <c r="E1965" s="423"/>
      <c r="F1965" s="424"/>
      <c r="G1965" s="425"/>
      <c r="H1965" s="651">
        <f>SUM(H1966:H1968)</f>
        <v>2010.6033520000003</v>
      </c>
      <c r="I1965" s="420">
        <v>5533.08</v>
      </c>
      <c r="J1965" s="420">
        <f>IF(ISBLANK(I1965),"",SUM(H1965:I1965))</f>
        <v>7543.683352</v>
      </c>
      <c r="K1965" s="421">
        <f t="shared" si="477"/>
        <v>8962.65</v>
      </c>
      <c r="L1965" s="647" t="s">
        <v>21</v>
      </c>
      <c r="M1965" s="576"/>
      <c r="N1965" s="576">
        <f t="shared" si="487"/>
        <v>0</v>
      </c>
      <c r="O1965" s="577">
        <f t="shared" si="480"/>
        <v>0</v>
      </c>
      <c r="P1965" s="578">
        <f t="shared" si="481"/>
        <v>0</v>
      </c>
      <c r="Q1965" s="765"/>
      <c r="R1965" s="576">
        <f>M1965</f>
        <v>0</v>
      </c>
      <c r="S1965" s="576">
        <f>N1965</f>
        <v>0</v>
      </c>
      <c r="T1965" s="577">
        <f t="shared" si="478"/>
        <v>0</v>
      </c>
      <c r="U1965" s="578">
        <f t="shared" si="479"/>
        <v>0</v>
      </c>
      <c r="V1965" s="579"/>
      <c r="W1965" s="566"/>
      <c r="X1965" s="586" t="str">
        <f t="shared" si="461"/>
        <v/>
      </c>
      <c r="Y1965" s="586" t="str">
        <f t="shared" si="431"/>
        <v/>
      </c>
      <c r="Z1965" s="586" t="str">
        <f t="shared" si="488"/>
        <v/>
      </c>
    </row>
    <row r="1966" spans="1:26" ht="12" hidden="1" thickBot="1" x14ac:dyDescent="0.25">
      <c r="A1966" s="567" t="s">
        <v>168</v>
      </c>
      <c r="B1966" s="644" t="s">
        <v>168</v>
      </c>
      <c r="C1966" s="645"/>
      <c r="D1966" s="422" t="s">
        <v>212</v>
      </c>
      <c r="E1966" s="423"/>
      <c r="F1966" s="424">
        <v>500</v>
      </c>
      <c r="G1966" s="425">
        <v>1.6104000000000001</v>
      </c>
      <c r="H1966" s="649">
        <f>IF(F1966&lt;=30,(0.78*F1966+7.82)*G1966,((0.78*30+7.82)+0.78*(F1966-30))*G1966)</f>
        <v>640.64932800000008</v>
      </c>
      <c r="I1966" s="420">
        <v>0</v>
      </c>
      <c r="J1966" s="420"/>
      <c r="K1966" s="421">
        <f t="shared" si="477"/>
        <v>0</v>
      </c>
      <c r="L1966" s="647"/>
      <c r="M1966" s="723"/>
      <c r="N1966" s="576">
        <f t="shared" si="487"/>
        <v>0</v>
      </c>
      <c r="O1966" s="577">
        <f t="shared" si="480"/>
        <v>0</v>
      </c>
      <c r="P1966" s="578">
        <f t="shared" si="481"/>
        <v>0</v>
      </c>
      <c r="Q1966" s="765"/>
      <c r="R1966" s="723"/>
      <c r="S1966" s="723"/>
      <c r="T1966" s="577">
        <f t="shared" si="478"/>
        <v>0</v>
      </c>
      <c r="U1966" s="578">
        <f t="shared" si="479"/>
        <v>0</v>
      </c>
      <c r="V1966" s="579"/>
      <c r="W1966" s="566" t="str">
        <f>IF(U1965&gt;0,"xx",IF(P1965&gt;0,"xy",""))</f>
        <v/>
      </c>
      <c r="X1966" s="586" t="str">
        <f t="shared" si="461"/>
        <v/>
      </c>
      <c r="Y1966" s="586" t="str">
        <f t="shared" si="431"/>
        <v/>
      </c>
      <c r="Z1966" s="586" t="str">
        <f t="shared" si="488"/>
        <v/>
      </c>
    </row>
    <row r="1967" spans="1:26" ht="12" hidden="1" thickBot="1" x14ac:dyDescent="0.25">
      <c r="A1967" s="567" t="s">
        <v>168</v>
      </c>
      <c r="B1967" s="644" t="s">
        <v>168</v>
      </c>
      <c r="C1967" s="645"/>
      <c r="D1967" s="422" t="s">
        <v>248</v>
      </c>
      <c r="E1967" s="423"/>
      <c r="F1967" s="424">
        <v>180</v>
      </c>
      <c r="G1967" s="425">
        <v>5.7260999999999997</v>
      </c>
      <c r="H1967" s="663">
        <f t="shared" ref="H1967:H1968" si="495">IF(F1967&lt;=30,(1.07*F1967+2.68)*G1967,((1.07*30+2.68)+1.07*(F1967-30))*G1967)</f>
        <v>1118.192808</v>
      </c>
      <c r="I1967" s="420">
        <v>0</v>
      </c>
      <c r="J1967" s="420"/>
      <c r="K1967" s="421">
        <f t="shared" si="477"/>
        <v>0</v>
      </c>
      <c r="L1967" s="647"/>
      <c r="M1967" s="723"/>
      <c r="N1967" s="576">
        <f t="shared" si="487"/>
        <v>0</v>
      </c>
      <c r="O1967" s="577">
        <f t="shared" si="480"/>
        <v>0</v>
      </c>
      <c r="P1967" s="578">
        <f t="shared" si="481"/>
        <v>0</v>
      </c>
      <c r="Q1967" s="765"/>
      <c r="R1967" s="723"/>
      <c r="S1967" s="723"/>
      <c r="T1967" s="577">
        <f t="shared" si="478"/>
        <v>0</v>
      </c>
      <c r="U1967" s="578">
        <f t="shared" si="479"/>
        <v>0</v>
      </c>
      <c r="V1967" s="579"/>
      <c r="W1967" s="566" t="str">
        <f>IF(U1965&gt;0,"xx",IF(P1965&gt;0,"xy",""))</f>
        <v/>
      </c>
      <c r="X1967" s="586" t="str">
        <f t="shared" si="461"/>
        <v/>
      </c>
      <c r="Y1967" s="586" t="str">
        <f t="shared" si="431"/>
        <v/>
      </c>
      <c r="Z1967" s="586" t="str">
        <f t="shared" si="488"/>
        <v/>
      </c>
    </row>
    <row r="1968" spans="1:26" ht="12" hidden="1" thickBot="1" x14ac:dyDescent="0.25">
      <c r="A1968" s="567" t="s">
        <v>168</v>
      </c>
      <c r="B1968" s="644" t="s">
        <v>168</v>
      </c>
      <c r="C1968" s="645"/>
      <c r="D1968" s="422" t="s">
        <v>252</v>
      </c>
      <c r="E1968" s="423"/>
      <c r="F1968" s="424">
        <v>20</v>
      </c>
      <c r="G1968" s="425">
        <v>10.4552</v>
      </c>
      <c r="H1968" s="663">
        <f t="shared" si="495"/>
        <v>251.76121600000002</v>
      </c>
      <c r="I1968" s="420">
        <v>0</v>
      </c>
      <c r="J1968" s="420"/>
      <c r="K1968" s="421">
        <f t="shared" si="477"/>
        <v>0</v>
      </c>
      <c r="L1968" s="647"/>
      <c r="M1968" s="723"/>
      <c r="N1968" s="576">
        <f t="shared" si="487"/>
        <v>0</v>
      </c>
      <c r="O1968" s="577">
        <f t="shared" si="480"/>
        <v>0</v>
      </c>
      <c r="P1968" s="578">
        <f t="shared" si="481"/>
        <v>0</v>
      </c>
      <c r="Q1968" s="765"/>
      <c r="R1968" s="723"/>
      <c r="S1968" s="723"/>
      <c r="T1968" s="577">
        <f t="shared" si="478"/>
        <v>0</v>
      </c>
      <c r="U1968" s="578">
        <f t="shared" si="479"/>
        <v>0</v>
      </c>
      <c r="V1968" s="579"/>
      <c r="W1968" s="566" t="str">
        <f>IF(U1965&gt;0,"xx",IF(P1965&gt;0,"xy",""))</f>
        <v/>
      </c>
      <c r="X1968" s="586" t="str">
        <f t="shared" si="461"/>
        <v/>
      </c>
      <c r="Y1968" s="586" t="str">
        <f t="shared" si="431"/>
        <v/>
      </c>
      <c r="Z1968" s="586" t="str">
        <f t="shared" si="488"/>
        <v/>
      </c>
    </row>
    <row r="1969" spans="1:26" ht="12" hidden="1" thickBot="1" x14ac:dyDescent="0.25">
      <c r="A1969" s="567">
        <v>621000</v>
      </c>
      <c r="B1969" s="644">
        <v>621000</v>
      </c>
      <c r="C1969" s="645" t="s">
        <v>206</v>
      </c>
      <c r="D1969" s="422" t="s">
        <v>366</v>
      </c>
      <c r="E1969" s="423"/>
      <c r="F1969" s="424"/>
      <c r="G1969" s="425"/>
      <c r="H1969" s="651">
        <f>SUM(H1970:H1972)</f>
        <v>3846.6164920000001</v>
      </c>
      <c r="I1969" s="420">
        <v>9821.8000000000011</v>
      </c>
      <c r="J1969" s="420">
        <f>IF(ISBLANK(I1969),"",SUM(H1969:I1969))</f>
        <v>13668.416492</v>
      </c>
      <c r="K1969" s="421">
        <f t="shared" si="477"/>
        <v>16239.45</v>
      </c>
      <c r="L1969" s="647" t="s">
        <v>21</v>
      </c>
      <c r="M1969" s="576"/>
      <c r="N1969" s="576">
        <f t="shared" si="487"/>
        <v>0</v>
      </c>
      <c r="O1969" s="577">
        <f t="shared" si="480"/>
        <v>0</v>
      </c>
      <c r="P1969" s="578">
        <f t="shared" si="481"/>
        <v>0</v>
      </c>
      <c r="Q1969" s="765"/>
      <c r="R1969" s="576">
        <f>M1969</f>
        <v>0</v>
      </c>
      <c r="S1969" s="576">
        <f>N1969</f>
        <v>0</v>
      </c>
      <c r="T1969" s="577">
        <f t="shared" si="478"/>
        <v>0</v>
      </c>
      <c r="U1969" s="578">
        <f t="shared" si="479"/>
        <v>0</v>
      </c>
      <c r="V1969" s="579"/>
      <c r="W1969" s="566"/>
      <c r="X1969" s="586" t="str">
        <f t="shared" si="461"/>
        <v/>
      </c>
      <c r="Y1969" s="586" t="str">
        <f t="shared" si="431"/>
        <v/>
      </c>
      <c r="Z1969" s="586" t="str">
        <f t="shared" si="488"/>
        <v/>
      </c>
    </row>
    <row r="1970" spans="1:26" ht="12" hidden="1" thickBot="1" x14ac:dyDescent="0.25">
      <c r="A1970" s="567" t="s">
        <v>168</v>
      </c>
      <c r="B1970" s="644" t="s">
        <v>168</v>
      </c>
      <c r="C1970" s="645"/>
      <c r="D1970" s="422" t="s">
        <v>212</v>
      </c>
      <c r="E1970" s="423"/>
      <c r="F1970" s="424">
        <v>500</v>
      </c>
      <c r="G1970" s="425">
        <v>3.081</v>
      </c>
      <c r="H1970" s="649">
        <f>IF(F1970&lt;=30,(0.78*F1970+7.82)*G1970,((0.78*30+7.82)+0.78*(F1970-30))*G1970)</f>
        <v>1225.6834200000001</v>
      </c>
      <c r="I1970" s="420">
        <v>0</v>
      </c>
      <c r="J1970" s="420"/>
      <c r="K1970" s="421">
        <f t="shared" si="477"/>
        <v>0</v>
      </c>
      <c r="L1970" s="647"/>
      <c r="M1970" s="723"/>
      <c r="N1970" s="576">
        <f t="shared" si="487"/>
        <v>0</v>
      </c>
      <c r="O1970" s="577">
        <f t="shared" si="480"/>
        <v>0</v>
      </c>
      <c r="P1970" s="578">
        <f t="shared" si="481"/>
        <v>0</v>
      </c>
      <c r="Q1970" s="765"/>
      <c r="R1970" s="723"/>
      <c r="S1970" s="723"/>
      <c r="T1970" s="577">
        <f t="shared" si="478"/>
        <v>0</v>
      </c>
      <c r="U1970" s="578">
        <f t="shared" si="479"/>
        <v>0</v>
      </c>
      <c r="V1970" s="579"/>
      <c r="W1970" s="566" t="str">
        <f>IF(U1969&gt;0,"xx",IF(P1969&gt;0,"xy",""))</f>
        <v/>
      </c>
      <c r="X1970" s="586" t="str">
        <f t="shared" ref="X1970:X2038" si="496">IF(W1970="X","x",IF(W1970="xx","x",IF(W1970="xy","x",IF(W1970="y","x",IF(OR(P1970&gt;0,U1970&gt;0),"x","")))))</f>
        <v/>
      </c>
      <c r="Y1970" s="586" t="str">
        <f t="shared" si="431"/>
        <v/>
      </c>
      <c r="Z1970" s="586" t="str">
        <f t="shared" si="488"/>
        <v/>
      </c>
    </row>
    <row r="1971" spans="1:26" ht="12" hidden="1" thickBot="1" x14ac:dyDescent="0.25">
      <c r="A1971" s="567" t="s">
        <v>168</v>
      </c>
      <c r="B1971" s="644" t="s">
        <v>168</v>
      </c>
      <c r="C1971" s="645"/>
      <c r="D1971" s="422" t="s">
        <v>248</v>
      </c>
      <c r="E1971" s="423"/>
      <c r="F1971" s="424">
        <v>180</v>
      </c>
      <c r="G1971" s="425">
        <v>10.9549</v>
      </c>
      <c r="H1971" s="663">
        <f t="shared" ref="H1971:H1972" si="497">IF(F1971&lt;=30,(1.07*F1971+2.68)*G1971,((1.07*30+2.68)+1.07*(F1971-30))*G1971)</f>
        <v>2139.272872</v>
      </c>
      <c r="I1971" s="420">
        <v>0</v>
      </c>
      <c r="J1971" s="420"/>
      <c r="K1971" s="421">
        <f t="shared" si="477"/>
        <v>0</v>
      </c>
      <c r="L1971" s="647"/>
      <c r="M1971" s="723"/>
      <c r="N1971" s="576">
        <f t="shared" si="487"/>
        <v>0</v>
      </c>
      <c r="O1971" s="577">
        <f t="shared" si="480"/>
        <v>0</v>
      </c>
      <c r="P1971" s="578">
        <f t="shared" si="481"/>
        <v>0</v>
      </c>
      <c r="Q1971" s="765"/>
      <c r="R1971" s="723"/>
      <c r="S1971" s="723"/>
      <c r="T1971" s="577">
        <f t="shared" si="478"/>
        <v>0</v>
      </c>
      <c r="U1971" s="578">
        <f t="shared" si="479"/>
        <v>0</v>
      </c>
      <c r="V1971" s="579"/>
      <c r="W1971" s="566" t="str">
        <f>IF(U1969&gt;0,"xx",IF(P1969&gt;0,"xy",""))</f>
        <v/>
      </c>
      <c r="X1971" s="586" t="str">
        <f t="shared" si="496"/>
        <v/>
      </c>
      <c r="Y1971" s="586" t="str">
        <f t="shared" si="431"/>
        <v/>
      </c>
      <c r="Z1971" s="586" t="str">
        <f t="shared" si="488"/>
        <v/>
      </c>
    </row>
    <row r="1972" spans="1:26" ht="12" hidden="1" thickBot="1" x14ac:dyDescent="0.25">
      <c r="A1972" s="567" t="s">
        <v>168</v>
      </c>
      <c r="B1972" s="644" t="s">
        <v>168</v>
      </c>
      <c r="C1972" s="645"/>
      <c r="D1972" s="422" t="s">
        <v>252</v>
      </c>
      <c r="E1972" s="423"/>
      <c r="F1972" s="424">
        <v>20</v>
      </c>
      <c r="G1972" s="425">
        <v>20.002500000000001</v>
      </c>
      <c r="H1972" s="663">
        <f t="shared" si="497"/>
        <v>481.66020000000009</v>
      </c>
      <c r="I1972" s="420">
        <v>0</v>
      </c>
      <c r="J1972" s="420"/>
      <c r="K1972" s="421">
        <f t="shared" si="477"/>
        <v>0</v>
      </c>
      <c r="L1972" s="647"/>
      <c r="M1972" s="723"/>
      <c r="N1972" s="576">
        <f t="shared" si="487"/>
        <v>0</v>
      </c>
      <c r="O1972" s="577">
        <f t="shared" si="480"/>
        <v>0</v>
      </c>
      <c r="P1972" s="578">
        <f t="shared" si="481"/>
        <v>0</v>
      </c>
      <c r="Q1972" s="765"/>
      <c r="R1972" s="723"/>
      <c r="S1972" s="723"/>
      <c r="T1972" s="577">
        <f t="shared" si="478"/>
        <v>0</v>
      </c>
      <c r="U1972" s="578">
        <f t="shared" si="479"/>
        <v>0</v>
      </c>
      <c r="V1972" s="579"/>
      <c r="W1972" s="566" t="str">
        <f>IF(U1969&gt;0,"xx",IF(P1969&gt;0,"xy",""))</f>
        <v/>
      </c>
      <c r="X1972" s="586" t="str">
        <f t="shared" si="496"/>
        <v/>
      </c>
      <c r="Y1972" s="586" t="str">
        <f t="shared" si="431"/>
        <v/>
      </c>
      <c r="Z1972" s="586" t="str">
        <f t="shared" si="488"/>
        <v/>
      </c>
    </row>
    <row r="1973" spans="1:26" ht="12" hidden="1" thickBot="1" x14ac:dyDescent="0.25">
      <c r="A1973" s="567">
        <v>620100</v>
      </c>
      <c r="B1973" s="644" t="s">
        <v>1664</v>
      </c>
      <c r="C1973" s="645" t="s">
        <v>206</v>
      </c>
      <c r="D1973" s="422" t="s">
        <v>367</v>
      </c>
      <c r="E1973" s="423"/>
      <c r="F1973" s="424"/>
      <c r="G1973" s="425"/>
      <c r="H1973" s="651">
        <f>SUM(H1974:H1976)</f>
        <v>468.02189600000008</v>
      </c>
      <c r="I1973" s="420">
        <v>1587.9896375507797</v>
      </c>
      <c r="J1973" s="420">
        <f>IF(ISBLANK(I1973),"",SUM(H1973:I1973))</f>
        <v>2056.0115335507799</v>
      </c>
      <c r="K1973" s="421">
        <f t="shared" si="477"/>
        <v>2442.75</v>
      </c>
      <c r="L1973" s="647" t="s">
        <v>21</v>
      </c>
      <c r="M1973" s="576"/>
      <c r="N1973" s="576">
        <f t="shared" si="487"/>
        <v>0</v>
      </c>
      <c r="O1973" s="577">
        <f t="shared" si="480"/>
        <v>0</v>
      </c>
      <c r="P1973" s="578">
        <f t="shared" si="481"/>
        <v>0</v>
      </c>
      <c r="Q1973" s="765"/>
      <c r="R1973" s="576">
        <f>M1973</f>
        <v>0</v>
      </c>
      <c r="S1973" s="576">
        <f>N1973</f>
        <v>0</v>
      </c>
      <c r="T1973" s="577">
        <f t="shared" si="478"/>
        <v>0</v>
      </c>
      <c r="U1973" s="578">
        <f t="shared" si="479"/>
        <v>0</v>
      </c>
      <c r="V1973" s="579"/>
      <c r="W1973" s="566"/>
      <c r="X1973" s="586" t="str">
        <f t="shared" si="496"/>
        <v/>
      </c>
      <c r="Y1973" s="586" t="str">
        <f t="shared" si="431"/>
        <v/>
      </c>
      <c r="Z1973" s="586" t="str">
        <f t="shared" si="488"/>
        <v/>
      </c>
    </row>
    <row r="1974" spans="1:26" ht="12" hidden="1" thickBot="1" x14ac:dyDescent="0.25">
      <c r="A1974" s="567" t="s">
        <v>168</v>
      </c>
      <c r="B1974" s="644" t="s">
        <v>168</v>
      </c>
      <c r="C1974" s="645"/>
      <c r="D1974" s="422" t="s">
        <v>212</v>
      </c>
      <c r="E1974" s="423"/>
      <c r="F1974" s="424">
        <v>500</v>
      </c>
      <c r="G1974" s="425">
        <v>0.37480000000000002</v>
      </c>
      <c r="H1974" s="649">
        <f>IF(F1974&lt;=30,(0.78*F1974+7.82)*G1974,((0.78*30+7.82)+0.78*(F1974-30))*G1974)</f>
        <v>149.10293600000003</v>
      </c>
      <c r="I1974" s="420">
        <v>0</v>
      </c>
      <c r="J1974" s="420"/>
      <c r="K1974" s="421">
        <f t="shared" si="477"/>
        <v>0</v>
      </c>
      <c r="L1974" s="647"/>
      <c r="M1974" s="723"/>
      <c r="N1974" s="576">
        <f t="shared" si="487"/>
        <v>0</v>
      </c>
      <c r="O1974" s="577">
        <f t="shared" si="480"/>
        <v>0</v>
      </c>
      <c r="P1974" s="578">
        <f t="shared" si="481"/>
        <v>0</v>
      </c>
      <c r="Q1974" s="765"/>
      <c r="R1974" s="723"/>
      <c r="S1974" s="723"/>
      <c r="T1974" s="577">
        <f t="shared" si="478"/>
        <v>0</v>
      </c>
      <c r="U1974" s="578">
        <f t="shared" si="479"/>
        <v>0</v>
      </c>
      <c r="V1974" s="579"/>
      <c r="W1974" s="566" t="str">
        <f>IF(U1973&gt;0,"xx",IF(P1973&gt;0,"xy",""))</f>
        <v/>
      </c>
      <c r="X1974" s="586" t="str">
        <f t="shared" si="496"/>
        <v/>
      </c>
      <c r="Y1974" s="586" t="str">
        <f t="shared" si="431"/>
        <v/>
      </c>
      <c r="Z1974" s="586" t="str">
        <f t="shared" si="488"/>
        <v/>
      </c>
    </row>
    <row r="1975" spans="1:26" ht="12" hidden="1" thickBot="1" x14ac:dyDescent="0.25">
      <c r="A1975" s="567" t="s">
        <v>168</v>
      </c>
      <c r="B1975" s="644" t="s">
        <v>168</v>
      </c>
      <c r="C1975" s="645"/>
      <c r="D1975" s="422" t="s">
        <v>248</v>
      </c>
      <c r="E1975" s="423"/>
      <c r="F1975" s="424">
        <v>180</v>
      </c>
      <c r="G1975" s="425">
        <v>1.333</v>
      </c>
      <c r="H1975" s="663">
        <f t="shared" ref="H1975:H1976" si="498">IF(F1975&lt;=30,(1.07*F1975+2.68)*G1975,((1.07*30+2.68)+1.07*(F1975-30))*G1975)</f>
        <v>260.30824000000001</v>
      </c>
      <c r="I1975" s="420">
        <v>0</v>
      </c>
      <c r="J1975" s="420"/>
      <c r="K1975" s="421">
        <f t="shared" si="477"/>
        <v>0</v>
      </c>
      <c r="L1975" s="647"/>
      <c r="M1975" s="723"/>
      <c r="N1975" s="576">
        <f t="shared" si="487"/>
        <v>0</v>
      </c>
      <c r="O1975" s="577">
        <f t="shared" si="480"/>
        <v>0</v>
      </c>
      <c r="P1975" s="578">
        <f t="shared" si="481"/>
        <v>0</v>
      </c>
      <c r="Q1975" s="765"/>
      <c r="R1975" s="723"/>
      <c r="S1975" s="723"/>
      <c r="T1975" s="577">
        <f t="shared" si="478"/>
        <v>0</v>
      </c>
      <c r="U1975" s="578">
        <f t="shared" si="479"/>
        <v>0</v>
      </c>
      <c r="V1975" s="579"/>
      <c r="W1975" s="566" t="str">
        <f>IF(U1973&gt;0,"xx",IF(P1973&gt;0,"xy",""))</f>
        <v/>
      </c>
      <c r="X1975" s="586" t="str">
        <f t="shared" si="496"/>
        <v/>
      </c>
      <c r="Y1975" s="586" t="str">
        <f t="shared" si="431"/>
        <v/>
      </c>
      <c r="Z1975" s="586" t="str">
        <f t="shared" si="488"/>
        <v/>
      </c>
    </row>
    <row r="1976" spans="1:26" ht="12" hidden="1" thickBot="1" x14ac:dyDescent="0.25">
      <c r="A1976" s="567" t="s">
        <v>168</v>
      </c>
      <c r="B1976" s="644" t="s">
        <v>168</v>
      </c>
      <c r="C1976" s="645"/>
      <c r="D1976" s="422" t="s">
        <v>252</v>
      </c>
      <c r="E1976" s="423"/>
      <c r="F1976" s="424">
        <v>20</v>
      </c>
      <c r="G1976" s="425">
        <v>2.4340000000000002</v>
      </c>
      <c r="H1976" s="663">
        <f t="shared" si="498"/>
        <v>58.610720000000008</v>
      </c>
      <c r="I1976" s="420">
        <v>0</v>
      </c>
      <c r="J1976" s="420"/>
      <c r="K1976" s="421">
        <f t="shared" si="477"/>
        <v>0</v>
      </c>
      <c r="L1976" s="647"/>
      <c r="M1976" s="723"/>
      <c r="N1976" s="576">
        <f t="shared" si="487"/>
        <v>0</v>
      </c>
      <c r="O1976" s="577">
        <f t="shared" si="480"/>
        <v>0</v>
      </c>
      <c r="P1976" s="578">
        <f t="shared" si="481"/>
        <v>0</v>
      </c>
      <c r="Q1976" s="765"/>
      <c r="R1976" s="723"/>
      <c r="S1976" s="723"/>
      <c r="T1976" s="577">
        <f t="shared" si="478"/>
        <v>0</v>
      </c>
      <c r="U1976" s="578">
        <f t="shared" si="479"/>
        <v>0</v>
      </c>
      <c r="V1976" s="579"/>
      <c r="W1976" s="566" t="str">
        <f>IF(U1973&gt;0,"xx",IF(P1973&gt;0,"xy",""))</f>
        <v/>
      </c>
      <c r="X1976" s="586" t="str">
        <f t="shared" si="496"/>
        <v/>
      </c>
      <c r="Y1976" s="586" t="str">
        <f t="shared" si="431"/>
        <v/>
      </c>
      <c r="Z1976" s="586" t="str">
        <f t="shared" si="488"/>
        <v/>
      </c>
    </row>
    <row r="1977" spans="1:26" ht="12" hidden="1" thickBot="1" x14ac:dyDescent="0.25">
      <c r="A1977" s="567">
        <v>620200</v>
      </c>
      <c r="B1977" s="644" t="s">
        <v>1667</v>
      </c>
      <c r="C1977" s="645" t="s">
        <v>206</v>
      </c>
      <c r="D1977" s="422" t="s">
        <v>368</v>
      </c>
      <c r="E1977" s="423"/>
      <c r="F1977" s="424"/>
      <c r="G1977" s="425">
        <v>0</v>
      </c>
      <c r="H1977" s="651">
        <f>SUM(H1978:H1980)</f>
        <v>678.65092800000014</v>
      </c>
      <c r="I1977" s="420">
        <v>2216.3489884477904</v>
      </c>
      <c r="J1977" s="420">
        <f>IF(ISBLANK(I1977),"",SUM(H1977:I1977))</f>
        <v>2894.9999164477904</v>
      </c>
      <c r="K1977" s="421">
        <f t="shared" si="477"/>
        <v>3439.55</v>
      </c>
      <c r="L1977" s="647" t="s">
        <v>21</v>
      </c>
      <c r="M1977" s="576"/>
      <c r="N1977" s="576">
        <f t="shared" si="487"/>
        <v>0</v>
      </c>
      <c r="O1977" s="577">
        <f t="shared" si="480"/>
        <v>0</v>
      </c>
      <c r="P1977" s="578">
        <f t="shared" si="481"/>
        <v>0</v>
      </c>
      <c r="Q1977" s="765"/>
      <c r="R1977" s="576">
        <f>M1977</f>
        <v>0</v>
      </c>
      <c r="S1977" s="576">
        <f>N1977</f>
        <v>0</v>
      </c>
      <c r="T1977" s="577">
        <f t="shared" si="478"/>
        <v>0</v>
      </c>
      <c r="U1977" s="578">
        <f t="shared" si="479"/>
        <v>0</v>
      </c>
      <c r="V1977" s="579"/>
      <c r="W1977" s="566"/>
      <c r="X1977" s="586" t="str">
        <f t="shared" si="496"/>
        <v/>
      </c>
      <c r="Y1977" s="586" t="str">
        <f t="shared" si="431"/>
        <v/>
      </c>
      <c r="Z1977" s="586" t="str">
        <f t="shared" si="488"/>
        <v/>
      </c>
    </row>
    <row r="1978" spans="1:26" ht="12" hidden="1" thickBot="1" x14ac:dyDescent="0.25">
      <c r="A1978" s="567" t="s">
        <v>168</v>
      </c>
      <c r="B1978" s="644" t="s">
        <v>168</v>
      </c>
      <c r="C1978" s="645"/>
      <c r="D1978" s="422" t="s">
        <v>212</v>
      </c>
      <c r="E1978" s="423"/>
      <c r="F1978" s="424">
        <v>500</v>
      </c>
      <c r="G1978" s="425">
        <v>0.54359999999999997</v>
      </c>
      <c r="H1978" s="649">
        <f>IF(F1978&lt;=30,(0.78*F1978+7.82)*G1978,((0.78*30+7.82)+0.78*(F1978-30))*G1978)</f>
        <v>216.254952</v>
      </c>
      <c r="I1978" s="420">
        <v>0</v>
      </c>
      <c r="J1978" s="420"/>
      <c r="K1978" s="421">
        <f t="shared" si="477"/>
        <v>0</v>
      </c>
      <c r="L1978" s="647"/>
      <c r="M1978" s="723"/>
      <c r="N1978" s="576">
        <f t="shared" si="487"/>
        <v>0</v>
      </c>
      <c r="O1978" s="577">
        <f t="shared" si="480"/>
        <v>0</v>
      </c>
      <c r="P1978" s="578">
        <f t="shared" si="481"/>
        <v>0</v>
      </c>
      <c r="Q1978" s="765"/>
      <c r="R1978" s="723"/>
      <c r="S1978" s="723"/>
      <c r="T1978" s="577">
        <f t="shared" si="478"/>
        <v>0</v>
      </c>
      <c r="U1978" s="578">
        <f t="shared" si="479"/>
        <v>0</v>
      </c>
      <c r="V1978" s="579"/>
      <c r="W1978" s="566" t="str">
        <f>IF(U1977&gt;0,"xx",IF(P1977&gt;0,"xy",""))</f>
        <v/>
      </c>
      <c r="X1978" s="586" t="str">
        <f t="shared" si="496"/>
        <v/>
      </c>
      <c r="Y1978" s="586" t="str">
        <f t="shared" si="431"/>
        <v/>
      </c>
      <c r="Z1978" s="586" t="str">
        <f t="shared" si="488"/>
        <v/>
      </c>
    </row>
    <row r="1979" spans="1:26" ht="12" hidden="1" thickBot="1" x14ac:dyDescent="0.25">
      <c r="A1979" s="567" t="s">
        <v>168</v>
      </c>
      <c r="B1979" s="644" t="s">
        <v>168</v>
      </c>
      <c r="C1979" s="645"/>
      <c r="D1979" s="422" t="s">
        <v>248</v>
      </c>
      <c r="E1979" s="423"/>
      <c r="F1979" s="424">
        <v>180</v>
      </c>
      <c r="G1979" s="425">
        <v>1.9327000000000001</v>
      </c>
      <c r="H1979" s="663">
        <f t="shared" ref="H1979:H1980" si="499">IF(F1979&lt;=30,(1.07*F1979+2.68)*G1979,((1.07*30+2.68)+1.07*(F1979-30))*G1979)</f>
        <v>377.41765600000002</v>
      </c>
      <c r="I1979" s="420">
        <v>0</v>
      </c>
      <c r="J1979" s="420"/>
      <c r="K1979" s="421">
        <f t="shared" si="477"/>
        <v>0</v>
      </c>
      <c r="L1979" s="647"/>
      <c r="M1979" s="723"/>
      <c r="N1979" s="576">
        <f t="shared" si="487"/>
        <v>0</v>
      </c>
      <c r="O1979" s="577">
        <f t="shared" si="480"/>
        <v>0</v>
      </c>
      <c r="P1979" s="578">
        <f t="shared" si="481"/>
        <v>0</v>
      </c>
      <c r="Q1979" s="765"/>
      <c r="R1979" s="723"/>
      <c r="S1979" s="723"/>
      <c r="T1979" s="577">
        <f t="shared" si="478"/>
        <v>0</v>
      </c>
      <c r="U1979" s="578">
        <f t="shared" si="479"/>
        <v>0</v>
      </c>
      <c r="V1979" s="579"/>
      <c r="W1979" s="566" t="str">
        <f>IF(U1977&gt;0,"xx",IF(P1977&gt;0,"xy",""))</f>
        <v/>
      </c>
      <c r="X1979" s="586" t="str">
        <f t="shared" si="496"/>
        <v/>
      </c>
      <c r="Y1979" s="586" t="str">
        <f t="shared" si="431"/>
        <v/>
      </c>
      <c r="Z1979" s="586" t="str">
        <f t="shared" si="488"/>
        <v/>
      </c>
    </row>
    <row r="1980" spans="1:26" ht="12" hidden="1" thickBot="1" x14ac:dyDescent="0.25">
      <c r="A1980" s="567" t="s">
        <v>168</v>
      </c>
      <c r="B1980" s="644" t="s">
        <v>168</v>
      </c>
      <c r="C1980" s="645"/>
      <c r="D1980" s="422" t="s">
        <v>252</v>
      </c>
      <c r="E1980" s="423"/>
      <c r="F1980" s="424">
        <v>20</v>
      </c>
      <c r="G1980" s="425">
        <v>3.5289999999999999</v>
      </c>
      <c r="H1980" s="663">
        <f t="shared" si="499"/>
        <v>84.978320000000011</v>
      </c>
      <c r="I1980" s="420">
        <v>0</v>
      </c>
      <c r="J1980" s="420"/>
      <c r="K1980" s="421">
        <f t="shared" si="477"/>
        <v>0</v>
      </c>
      <c r="L1980" s="647"/>
      <c r="M1980" s="723"/>
      <c r="N1980" s="576">
        <f t="shared" si="487"/>
        <v>0</v>
      </c>
      <c r="O1980" s="577">
        <f t="shared" si="480"/>
        <v>0</v>
      </c>
      <c r="P1980" s="578">
        <f t="shared" si="481"/>
        <v>0</v>
      </c>
      <c r="Q1980" s="765"/>
      <c r="R1980" s="723"/>
      <c r="S1980" s="723"/>
      <c r="T1980" s="577">
        <f t="shared" si="478"/>
        <v>0</v>
      </c>
      <c r="U1980" s="578">
        <f t="shared" si="479"/>
        <v>0</v>
      </c>
      <c r="V1980" s="579"/>
      <c r="W1980" s="566" t="str">
        <f>IF(U1977&gt;0,"xx",IF(P1977&gt;0,"xy",""))</f>
        <v/>
      </c>
      <c r="X1980" s="586" t="str">
        <f t="shared" si="496"/>
        <v/>
      </c>
      <c r="Y1980" s="586" t="str">
        <f t="shared" si="431"/>
        <v/>
      </c>
      <c r="Z1980" s="586" t="str">
        <f t="shared" si="488"/>
        <v/>
      </c>
    </row>
    <row r="1981" spans="1:26" ht="12" hidden="1" thickBot="1" x14ac:dyDescent="0.25">
      <c r="A1981" s="567">
        <v>621100</v>
      </c>
      <c r="B1981" s="644">
        <v>621100</v>
      </c>
      <c r="C1981" s="645" t="s">
        <v>206</v>
      </c>
      <c r="D1981" s="422" t="s">
        <v>369</v>
      </c>
      <c r="E1981" s="423"/>
      <c r="F1981" s="424"/>
      <c r="G1981" s="425"/>
      <c r="H1981" s="651">
        <f>SUM(H1982:H1984)</f>
        <v>1018.392814</v>
      </c>
      <c r="I1981" s="420">
        <v>3160.98</v>
      </c>
      <c r="J1981" s="420">
        <f>IF(ISBLANK(I1981),"",SUM(H1981:I1981))</f>
        <v>4179.3728140000003</v>
      </c>
      <c r="K1981" s="421">
        <f t="shared" si="477"/>
        <v>4965.51</v>
      </c>
      <c r="L1981" s="647" t="s">
        <v>21</v>
      </c>
      <c r="M1981" s="576"/>
      <c r="N1981" s="576">
        <f t="shared" si="487"/>
        <v>0</v>
      </c>
      <c r="O1981" s="577">
        <f t="shared" si="480"/>
        <v>0</v>
      </c>
      <c r="P1981" s="578">
        <f t="shared" si="481"/>
        <v>0</v>
      </c>
      <c r="Q1981" s="765"/>
      <c r="R1981" s="576">
        <f>M1981</f>
        <v>0</v>
      </c>
      <c r="S1981" s="576">
        <f>N1981</f>
        <v>0</v>
      </c>
      <c r="T1981" s="577">
        <f t="shared" si="478"/>
        <v>0</v>
      </c>
      <c r="U1981" s="578">
        <f t="shared" si="479"/>
        <v>0</v>
      </c>
      <c r="V1981" s="579"/>
      <c r="W1981" s="566"/>
      <c r="X1981" s="586" t="str">
        <f t="shared" si="496"/>
        <v/>
      </c>
      <c r="Y1981" s="586" t="str">
        <f t="shared" si="431"/>
        <v/>
      </c>
      <c r="Z1981" s="586" t="str">
        <f t="shared" si="488"/>
        <v/>
      </c>
    </row>
    <row r="1982" spans="1:26" ht="12" hidden="1" thickBot="1" x14ac:dyDescent="0.25">
      <c r="A1982" s="567" t="s">
        <v>168</v>
      </c>
      <c r="B1982" s="644" t="s">
        <v>168</v>
      </c>
      <c r="C1982" s="645"/>
      <c r="D1982" s="422" t="s">
        <v>212</v>
      </c>
      <c r="E1982" s="423"/>
      <c r="F1982" s="424">
        <v>500</v>
      </c>
      <c r="G1982" s="425">
        <v>0.81569999999999998</v>
      </c>
      <c r="H1982" s="649">
        <f>IF(F1982&lt;=30,(0.78*F1982+7.82)*G1982,((0.78*30+7.82)+0.78*(F1982-30))*G1982)</f>
        <v>324.50177400000001</v>
      </c>
      <c r="I1982" s="420">
        <v>0</v>
      </c>
      <c r="J1982" s="420"/>
      <c r="K1982" s="421">
        <f t="shared" si="477"/>
        <v>0</v>
      </c>
      <c r="L1982" s="647"/>
      <c r="M1982" s="723"/>
      <c r="N1982" s="576">
        <f t="shared" si="487"/>
        <v>0</v>
      </c>
      <c r="O1982" s="577">
        <f t="shared" si="480"/>
        <v>0</v>
      </c>
      <c r="P1982" s="578">
        <f t="shared" si="481"/>
        <v>0</v>
      </c>
      <c r="Q1982" s="765"/>
      <c r="R1982" s="723"/>
      <c r="S1982" s="723"/>
      <c r="T1982" s="577">
        <f t="shared" si="478"/>
        <v>0</v>
      </c>
      <c r="U1982" s="578">
        <f t="shared" si="479"/>
        <v>0</v>
      </c>
      <c r="V1982" s="579"/>
      <c r="W1982" s="566" t="str">
        <f>IF(U1981&gt;0,"xx",IF(P1981&gt;0,"xy",""))</f>
        <v/>
      </c>
      <c r="X1982" s="586" t="str">
        <f t="shared" si="496"/>
        <v/>
      </c>
      <c r="Y1982" s="586" t="str">
        <f t="shared" si="431"/>
        <v/>
      </c>
      <c r="Z1982" s="586" t="str">
        <f t="shared" si="488"/>
        <v/>
      </c>
    </row>
    <row r="1983" spans="1:26" ht="12" hidden="1" thickBot="1" x14ac:dyDescent="0.25">
      <c r="A1983" s="567" t="s">
        <v>168</v>
      </c>
      <c r="B1983" s="644" t="s">
        <v>168</v>
      </c>
      <c r="C1983" s="645"/>
      <c r="D1983" s="422" t="s">
        <v>248</v>
      </c>
      <c r="E1983" s="423"/>
      <c r="F1983" s="424">
        <v>180</v>
      </c>
      <c r="G1983" s="425">
        <v>2.9003000000000001</v>
      </c>
      <c r="H1983" s="663">
        <f t="shared" ref="H1983:H1984" si="500">IF(F1983&lt;=30,(1.07*F1983+2.68)*G1983,((1.07*30+2.68)+1.07*(F1983-30))*G1983)</f>
        <v>566.37058400000001</v>
      </c>
      <c r="I1983" s="420">
        <v>0</v>
      </c>
      <c r="J1983" s="420"/>
      <c r="K1983" s="421">
        <f t="shared" si="477"/>
        <v>0</v>
      </c>
      <c r="L1983" s="647"/>
      <c r="M1983" s="723"/>
      <c r="N1983" s="576">
        <f t="shared" si="487"/>
        <v>0</v>
      </c>
      <c r="O1983" s="577">
        <f t="shared" si="480"/>
        <v>0</v>
      </c>
      <c r="P1983" s="578">
        <f t="shared" si="481"/>
        <v>0</v>
      </c>
      <c r="Q1983" s="765"/>
      <c r="R1983" s="723"/>
      <c r="S1983" s="723"/>
      <c r="T1983" s="577">
        <f t="shared" si="478"/>
        <v>0</v>
      </c>
      <c r="U1983" s="578">
        <f t="shared" si="479"/>
        <v>0</v>
      </c>
      <c r="V1983" s="579"/>
      <c r="W1983" s="566" t="str">
        <f>IF(U1981&gt;0,"xx",IF(P1981&gt;0,"xy",""))</f>
        <v/>
      </c>
      <c r="X1983" s="586" t="str">
        <f t="shared" si="496"/>
        <v/>
      </c>
      <c r="Y1983" s="586" t="str">
        <f t="shared" si="431"/>
        <v/>
      </c>
      <c r="Z1983" s="586" t="str">
        <f t="shared" si="488"/>
        <v/>
      </c>
    </row>
    <row r="1984" spans="1:26" ht="12" hidden="1" thickBot="1" x14ac:dyDescent="0.25">
      <c r="A1984" s="567" t="s">
        <v>168</v>
      </c>
      <c r="B1984" s="644" t="s">
        <v>168</v>
      </c>
      <c r="C1984" s="645"/>
      <c r="D1984" s="422" t="s">
        <v>252</v>
      </c>
      <c r="E1984" s="423"/>
      <c r="F1984" s="424">
        <v>20</v>
      </c>
      <c r="G1984" s="425">
        <v>5.2957000000000001</v>
      </c>
      <c r="H1984" s="663">
        <f t="shared" si="500"/>
        <v>127.52045600000001</v>
      </c>
      <c r="I1984" s="420">
        <v>0</v>
      </c>
      <c r="J1984" s="420"/>
      <c r="K1984" s="421">
        <f t="shared" ref="K1984:K2047" si="501">IF(ISBLANK(I1984),0,ROUND(J1984*(1+$F$10)*(1+$F$11*E1984),2))</f>
        <v>0</v>
      </c>
      <c r="L1984" s="647"/>
      <c r="M1984" s="723"/>
      <c r="N1984" s="576">
        <f t="shared" si="487"/>
        <v>0</v>
      </c>
      <c r="O1984" s="577">
        <f t="shared" si="480"/>
        <v>0</v>
      </c>
      <c r="P1984" s="578">
        <f t="shared" si="481"/>
        <v>0</v>
      </c>
      <c r="Q1984" s="765"/>
      <c r="R1984" s="723"/>
      <c r="S1984" s="723"/>
      <c r="T1984" s="577">
        <f t="shared" ref="T1984:T2047" si="502">IF(ISBLANK(R1984),0,ROUND(K1984*R1984,2))</f>
        <v>0</v>
      </c>
      <c r="U1984" s="578">
        <f t="shared" ref="U1984:U2047" si="503">IF(ISBLANK(R1984),0,ROUND(R1984*S1984,2))</f>
        <v>0</v>
      </c>
      <c r="V1984" s="579"/>
      <c r="W1984" s="566" t="str">
        <f>IF(U1981&gt;0,"xx",IF(P1981&gt;0,"xy",""))</f>
        <v/>
      </c>
      <c r="X1984" s="586" t="str">
        <f t="shared" si="496"/>
        <v/>
      </c>
      <c r="Y1984" s="586" t="str">
        <f t="shared" si="431"/>
        <v/>
      </c>
      <c r="Z1984" s="586" t="str">
        <f t="shared" si="488"/>
        <v/>
      </c>
    </row>
    <row r="1985" spans="1:26" ht="12" hidden="1" thickBot="1" x14ac:dyDescent="0.25">
      <c r="A1985" s="567">
        <v>621200</v>
      </c>
      <c r="B1985" s="644">
        <v>621200</v>
      </c>
      <c r="C1985" s="645" t="s">
        <v>206</v>
      </c>
      <c r="D1985" s="422" t="s">
        <v>370</v>
      </c>
      <c r="E1985" s="423"/>
      <c r="F1985" s="424"/>
      <c r="G1985" s="425"/>
      <c r="H1985" s="651">
        <f>SUM(H1986:H1988)</f>
        <v>1320.1778119999999</v>
      </c>
      <c r="I1985" s="420">
        <v>4005.68</v>
      </c>
      <c r="J1985" s="420">
        <f>IF(ISBLANK(I1985),"",SUM(H1985:I1985))</f>
        <v>5325.8578120000002</v>
      </c>
      <c r="K1985" s="421">
        <f t="shared" si="501"/>
        <v>6327.65</v>
      </c>
      <c r="L1985" s="647" t="s">
        <v>21</v>
      </c>
      <c r="M1985" s="576"/>
      <c r="N1985" s="576">
        <f t="shared" si="487"/>
        <v>0</v>
      </c>
      <c r="O1985" s="577">
        <f t="shared" ref="O1985:O2048" si="504">IF(ISBLANK(M1985),0,ROUND(K1985*M1985,2))</f>
        <v>0</v>
      </c>
      <c r="P1985" s="578">
        <f t="shared" ref="P1985:P2048" si="505">IF(ISBLANK(N1985),0,ROUND(M1985*N1985,2))</f>
        <v>0</v>
      </c>
      <c r="Q1985" s="765"/>
      <c r="R1985" s="576">
        <f>M1985</f>
        <v>0</v>
      </c>
      <c r="S1985" s="576">
        <f>N1985</f>
        <v>0</v>
      </c>
      <c r="T1985" s="577">
        <f t="shared" si="502"/>
        <v>0</v>
      </c>
      <c r="U1985" s="578">
        <f t="shared" si="503"/>
        <v>0</v>
      </c>
      <c r="V1985" s="579"/>
      <c r="W1985" s="566"/>
      <c r="X1985" s="586" t="str">
        <f t="shared" si="496"/>
        <v/>
      </c>
      <c r="Y1985" s="586" t="str">
        <f t="shared" si="431"/>
        <v/>
      </c>
      <c r="Z1985" s="586" t="str">
        <f t="shared" si="488"/>
        <v/>
      </c>
    </row>
    <row r="1986" spans="1:26" ht="12" hidden="1" thickBot="1" x14ac:dyDescent="0.25">
      <c r="A1986" s="567" t="s">
        <v>168</v>
      </c>
      <c r="B1986" s="644" t="s">
        <v>168</v>
      </c>
      <c r="C1986" s="645"/>
      <c r="D1986" s="422" t="s">
        <v>212</v>
      </c>
      <c r="E1986" s="423"/>
      <c r="F1986" s="424">
        <v>500</v>
      </c>
      <c r="G1986" s="425">
        <v>1.0573999999999999</v>
      </c>
      <c r="H1986" s="649">
        <f>IF(F1986&lt;=30,(0.78*F1986+7.82)*G1986,((0.78*30+7.82)+0.78*(F1986-30))*G1986)</f>
        <v>420.65486800000002</v>
      </c>
      <c r="I1986" s="420">
        <v>0</v>
      </c>
      <c r="J1986" s="420"/>
      <c r="K1986" s="421">
        <f t="shared" si="501"/>
        <v>0</v>
      </c>
      <c r="L1986" s="647"/>
      <c r="M1986" s="723"/>
      <c r="N1986" s="576">
        <f t="shared" si="487"/>
        <v>0</v>
      </c>
      <c r="O1986" s="577">
        <f t="shared" si="504"/>
        <v>0</v>
      </c>
      <c r="P1986" s="578">
        <f t="shared" si="505"/>
        <v>0</v>
      </c>
      <c r="Q1986" s="765"/>
      <c r="R1986" s="723"/>
      <c r="S1986" s="723"/>
      <c r="T1986" s="577">
        <f t="shared" si="502"/>
        <v>0</v>
      </c>
      <c r="U1986" s="578">
        <f t="shared" si="503"/>
        <v>0</v>
      </c>
      <c r="V1986" s="579"/>
      <c r="W1986" s="566" t="str">
        <f>IF(U1985&gt;0,"xx",IF(P1985&gt;0,"xy",""))</f>
        <v/>
      </c>
      <c r="X1986" s="586" t="str">
        <f t="shared" si="496"/>
        <v/>
      </c>
      <c r="Y1986" s="586" t="str">
        <f t="shared" si="431"/>
        <v/>
      </c>
      <c r="Z1986" s="586" t="str">
        <f t="shared" si="488"/>
        <v/>
      </c>
    </row>
    <row r="1987" spans="1:26" ht="12" hidden="1" thickBot="1" x14ac:dyDescent="0.25">
      <c r="A1987" s="567" t="s">
        <v>168</v>
      </c>
      <c r="B1987" s="644" t="s">
        <v>168</v>
      </c>
      <c r="C1987" s="645"/>
      <c r="D1987" s="422" t="s">
        <v>248</v>
      </c>
      <c r="E1987" s="423"/>
      <c r="F1987" s="424">
        <v>180</v>
      </c>
      <c r="G1987" s="425">
        <v>3.7597999999999998</v>
      </c>
      <c r="H1987" s="663">
        <f t="shared" ref="H1987:H1988" si="506">IF(F1987&lt;=30,(1.07*F1987+2.68)*G1987,((1.07*30+2.68)+1.07*(F1987-30))*G1987)</f>
        <v>734.21374400000002</v>
      </c>
      <c r="I1987" s="420">
        <v>0</v>
      </c>
      <c r="J1987" s="420"/>
      <c r="K1987" s="421">
        <f t="shared" si="501"/>
        <v>0</v>
      </c>
      <c r="L1987" s="647"/>
      <c r="M1987" s="723"/>
      <c r="N1987" s="576">
        <f t="shared" si="487"/>
        <v>0</v>
      </c>
      <c r="O1987" s="577">
        <f t="shared" si="504"/>
        <v>0</v>
      </c>
      <c r="P1987" s="578">
        <f t="shared" si="505"/>
        <v>0</v>
      </c>
      <c r="Q1987" s="765"/>
      <c r="R1987" s="723"/>
      <c r="S1987" s="723"/>
      <c r="T1987" s="577">
        <f t="shared" si="502"/>
        <v>0</v>
      </c>
      <c r="U1987" s="578">
        <f t="shared" si="503"/>
        <v>0</v>
      </c>
      <c r="V1987" s="579"/>
      <c r="W1987" s="566" t="str">
        <f>IF(U1985&gt;0,"xx",IF(P1985&gt;0,"xy",""))</f>
        <v/>
      </c>
      <c r="X1987" s="586" t="str">
        <f t="shared" si="496"/>
        <v/>
      </c>
      <c r="Y1987" s="586" t="str">
        <f t="shared" si="431"/>
        <v/>
      </c>
      <c r="Z1987" s="586" t="str">
        <f t="shared" si="488"/>
        <v/>
      </c>
    </row>
    <row r="1988" spans="1:26" ht="12" hidden="1" thickBot="1" x14ac:dyDescent="0.25">
      <c r="A1988" s="567" t="s">
        <v>168</v>
      </c>
      <c r="B1988" s="644" t="s">
        <v>168</v>
      </c>
      <c r="C1988" s="645"/>
      <c r="D1988" s="422" t="s">
        <v>252</v>
      </c>
      <c r="E1988" s="423"/>
      <c r="F1988" s="424">
        <v>20</v>
      </c>
      <c r="G1988" s="425">
        <v>6.8650000000000002</v>
      </c>
      <c r="H1988" s="663">
        <f t="shared" si="506"/>
        <v>165.3092</v>
      </c>
      <c r="I1988" s="420">
        <v>0</v>
      </c>
      <c r="J1988" s="420"/>
      <c r="K1988" s="421">
        <f t="shared" si="501"/>
        <v>0</v>
      </c>
      <c r="L1988" s="647"/>
      <c r="M1988" s="723"/>
      <c r="N1988" s="576">
        <f t="shared" si="487"/>
        <v>0</v>
      </c>
      <c r="O1988" s="577">
        <f t="shared" si="504"/>
        <v>0</v>
      </c>
      <c r="P1988" s="578">
        <f t="shared" si="505"/>
        <v>0</v>
      </c>
      <c r="Q1988" s="765"/>
      <c r="R1988" s="723"/>
      <c r="S1988" s="723"/>
      <c r="T1988" s="577">
        <f t="shared" si="502"/>
        <v>0</v>
      </c>
      <c r="U1988" s="578">
        <f t="shared" si="503"/>
        <v>0</v>
      </c>
      <c r="V1988" s="579"/>
      <c r="W1988" s="566" t="str">
        <f>IF(U1985&gt;0,"xx",IF(P1985&gt;0,"xy",""))</f>
        <v/>
      </c>
      <c r="X1988" s="586" t="str">
        <f t="shared" si="496"/>
        <v/>
      </c>
      <c r="Y1988" s="586" t="str">
        <f t="shared" si="431"/>
        <v/>
      </c>
      <c r="Z1988" s="586" t="str">
        <f t="shared" si="488"/>
        <v/>
      </c>
    </row>
    <row r="1989" spans="1:26" ht="12" hidden="1" thickBot="1" x14ac:dyDescent="0.25">
      <c r="A1989" s="567">
        <v>621300</v>
      </c>
      <c r="B1989" s="644">
        <v>621300</v>
      </c>
      <c r="C1989" s="645" t="s">
        <v>206</v>
      </c>
      <c r="D1989" s="422" t="s">
        <v>371</v>
      </c>
      <c r="E1989" s="423"/>
      <c r="F1989" s="424"/>
      <c r="G1989" s="425"/>
      <c r="H1989" s="651">
        <f>SUM(H1990:H1992)</f>
        <v>2565.1334440000001</v>
      </c>
      <c r="I1989" s="420">
        <v>6969.67</v>
      </c>
      <c r="J1989" s="420">
        <f>IF(ISBLANK(I1989),"",SUM(H1989:I1989))</f>
        <v>9534.803444000001</v>
      </c>
      <c r="K1989" s="421">
        <f t="shared" si="501"/>
        <v>11328.3</v>
      </c>
      <c r="L1989" s="647" t="s">
        <v>21</v>
      </c>
      <c r="M1989" s="576"/>
      <c r="N1989" s="576">
        <f t="shared" si="487"/>
        <v>0</v>
      </c>
      <c r="O1989" s="577">
        <f t="shared" si="504"/>
        <v>0</v>
      </c>
      <c r="P1989" s="578">
        <f t="shared" si="505"/>
        <v>0</v>
      </c>
      <c r="Q1989" s="765"/>
      <c r="R1989" s="576">
        <f>M1989</f>
        <v>0</v>
      </c>
      <c r="S1989" s="576">
        <f>N1989</f>
        <v>0</v>
      </c>
      <c r="T1989" s="577">
        <f t="shared" si="502"/>
        <v>0</v>
      </c>
      <c r="U1989" s="578">
        <f t="shared" si="503"/>
        <v>0</v>
      </c>
      <c r="V1989" s="579"/>
      <c r="W1989" s="566"/>
      <c r="X1989" s="586" t="str">
        <f t="shared" si="496"/>
        <v/>
      </c>
      <c r="Y1989" s="586" t="str">
        <f t="shared" si="431"/>
        <v/>
      </c>
      <c r="Z1989" s="586" t="str">
        <f t="shared" si="488"/>
        <v/>
      </c>
    </row>
    <row r="1990" spans="1:26" ht="12" hidden="1" thickBot="1" x14ac:dyDescent="0.25">
      <c r="A1990" s="567" t="s">
        <v>168</v>
      </c>
      <c r="B1990" s="644" t="s">
        <v>168</v>
      </c>
      <c r="C1990" s="645"/>
      <c r="D1990" s="422" t="s">
        <v>212</v>
      </c>
      <c r="E1990" s="423"/>
      <c r="F1990" s="424">
        <v>500</v>
      </c>
      <c r="G1990" s="425">
        <v>2.0546000000000002</v>
      </c>
      <c r="H1990" s="649">
        <f>IF(F1990&lt;=30,(0.78*F1990+7.82)*G1990,((0.78*30+7.82)+0.78*(F1990-30))*G1990)</f>
        <v>817.36097200000017</v>
      </c>
      <c r="I1990" s="420">
        <v>0</v>
      </c>
      <c r="J1990" s="420"/>
      <c r="K1990" s="421">
        <f t="shared" si="501"/>
        <v>0</v>
      </c>
      <c r="L1990" s="647"/>
      <c r="M1990" s="723"/>
      <c r="N1990" s="576">
        <f t="shared" si="487"/>
        <v>0</v>
      </c>
      <c r="O1990" s="577">
        <f t="shared" si="504"/>
        <v>0</v>
      </c>
      <c r="P1990" s="578">
        <f t="shared" si="505"/>
        <v>0</v>
      </c>
      <c r="Q1990" s="765"/>
      <c r="R1990" s="723"/>
      <c r="S1990" s="723"/>
      <c r="T1990" s="577">
        <f t="shared" si="502"/>
        <v>0</v>
      </c>
      <c r="U1990" s="578">
        <f t="shared" si="503"/>
        <v>0</v>
      </c>
      <c r="V1990" s="579"/>
      <c r="W1990" s="566" t="str">
        <f>IF(U1989&gt;0,"xx",IF(P1989&gt;0,"xy",""))</f>
        <v/>
      </c>
      <c r="X1990" s="586" t="str">
        <f t="shared" si="496"/>
        <v/>
      </c>
      <c r="Y1990" s="586" t="str">
        <f t="shared" si="431"/>
        <v/>
      </c>
      <c r="Z1990" s="586" t="str">
        <f t="shared" si="488"/>
        <v/>
      </c>
    </row>
    <row r="1991" spans="1:26" ht="12" hidden="1" thickBot="1" x14ac:dyDescent="0.25">
      <c r="A1991" s="567" t="s">
        <v>168</v>
      </c>
      <c r="B1991" s="644" t="s">
        <v>168</v>
      </c>
      <c r="C1991" s="645"/>
      <c r="D1991" s="422" t="s">
        <v>248</v>
      </c>
      <c r="E1991" s="423"/>
      <c r="F1991" s="424">
        <v>180</v>
      </c>
      <c r="G1991" s="425">
        <v>7.3052999999999999</v>
      </c>
      <c r="H1991" s="663">
        <f t="shared" ref="H1991:H1992" si="507">IF(F1991&lt;=30,(1.07*F1991+2.68)*G1991,((1.07*30+2.68)+1.07*(F1991-30))*G1991)</f>
        <v>1426.578984</v>
      </c>
      <c r="I1991" s="420">
        <v>0</v>
      </c>
      <c r="J1991" s="420"/>
      <c r="K1991" s="421">
        <f t="shared" si="501"/>
        <v>0</v>
      </c>
      <c r="L1991" s="647"/>
      <c r="M1991" s="723"/>
      <c r="N1991" s="576">
        <f t="shared" si="487"/>
        <v>0</v>
      </c>
      <c r="O1991" s="577">
        <f t="shared" si="504"/>
        <v>0</v>
      </c>
      <c r="P1991" s="578">
        <f t="shared" si="505"/>
        <v>0</v>
      </c>
      <c r="Q1991" s="765"/>
      <c r="R1991" s="723"/>
      <c r="S1991" s="723"/>
      <c r="T1991" s="577">
        <f t="shared" si="502"/>
        <v>0</v>
      </c>
      <c r="U1991" s="578">
        <f t="shared" si="503"/>
        <v>0</v>
      </c>
      <c r="V1991" s="579"/>
      <c r="W1991" s="566" t="str">
        <f>IF(U1989&gt;0,"xx",IF(P1989&gt;0,"xy",""))</f>
        <v/>
      </c>
      <c r="X1991" s="586" t="str">
        <f t="shared" si="496"/>
        <v/>
      </c>
      <c r="Y1991" s="586" t="str">
        <f t="shared" si="431"/>
        <v/>
      </c>
      <c r="Z1991" s="586" t="str">
        <f t="shared" si="488"/>
        <v/>
      </c>
    </row>
    <row r="1992" spans="1:26" ht="12" hidden="1" thickBot="1" x14ac:dyDescent="0.25">
      <c r="A1992" s="567" t="s">
        <v>168</v>
      </c>
      <c r="B1992" s="644" t="s">
        <v>168</v>
      </c>
      <c r="C1992" s="645"/>
      <c r="D1992" s="422" t="s">
        <v>252</v>
      </c>
      <c r="E1992" s="423"/>
      <c r="F1992" s="424">
        <v>20</v>
      </c>
      <c r="G1992" s="425">
        <v>13.3386</v>
      </c>
      <c r="H1992" s="663">
        <f t="shared" si="507"/>
        <v>321.193488</v>
      </c>
      <c r="I1992" s="420">
        <v>0</v>
      </c>
      <c r="J1992" s="420"/>
      <c r="K1992" s="421">
        <f t="shared" si="501"/>
        <v>0</v>
      </c>
      <c r="L1992" s="647"/>
      <c r="M1992" s="723"/>
      <c r="N1992" s="576">
        <f t="shared" si="487"/>
        <v>0</v>
      </c>
      <c r="O1992" s="577">
        <f t="shared" si="504"/>
        <v>0</v>
      </c>
      <c r="P1992" s="578">
        <f t="shared" si="505"/>
        <v>0</v>
      </c>
      <c r="Q1992" s="765"/>
      <c r="R1992" s="723"/>
      <c r="S1992" s="723"/>
      <c r="T1992" s="577">
        <f t="shared" si="502"/>
        <v>0</v>
      </c>
      <c r="U1992" s="578">
        <f t="shared" si="503"/>
        <v>0</v>
      </c>
      <c r="V1992" s="579"/>
      <c r="W1992" s="566" t="str">
        <f>IF(U1989&gt;0,"xx",IF(P1989&gt;0,"xy",""))</f>
        <v/>
      </c>
      <c r="X1992" s="586" t="str">
        <f t="shared" si="496"/>
        <v/>
      </c>
      <c r="Y1992" s="586" t="str">
        <f t="shared" si="431"/>
        <v/>
      </c>
      <c r="Z1992" s="586" t="str">
        <f t="shared" si="488"/>
        <v/>
      </c>
    </row>
    <row r="1993" spans="1:26" ht="12" hidden="1" thickBot="1" x14ac:dyDescent="0.25">
      <c r="A1993" s="567">
        <v>621400</v>
      </c>
      <c r="B1993" s="644">
        <v>621400</v>
      </c>
      <c r="C1993" s="645" t="s">
        <v>206</v>
      </c>
      <c r="D1993" s="422" t="s">
        <v>372</v>
      </c>
      <c r="E1993" s="423"/>
      <c r="F1993" s="424"/>
      <c r="G1993" s="425"/>
      <c r="H1993" s="651">
        <f>SUM(H1994:H1996)</f>
        <v>4891.4586740000004</v>
      </c>
      <c r="I1993" s="420">
        <v>12328.35</v>
      </c>
      <c r="J1993" s="420">
        <f>IF(ISBLANK(I1993),"",SUM(H1993:I1993))</f>
        <v>17219.808674</v>
      </c>
      <c r="K1993" s="421">
        <f t="shared" si="501"/>
        <v>20458.849999999999</v>
      </c>
      <c r="L1993" s="647" t="s">
        <v>21</v>
      </c>
      <c r="M1993" s="576"/>
      <c r="N1993" s="576">
        <f t="shared" si="487"/>
        <v>0</v>
      </c>
      <c r="O1993" s="577">
        <f t="shared" si="504"/>
        <v>0</v>
      </c>
      <c r="P1993" s="578">
        <f t="shared" si="505"/>
        <v>0</v>
      </c>
      <c r="Q1993" s="765"/>
      <c r="R1993" s="576">
        <f>M1993</f>
        <v>0</v>
      </c>
      <c r="S1993" s="576">
        <f>N1993</f>
        <v>0</v>
      </c>
      <c r="T1993" s="577">
        <f t="shared" si="502"/>
        <v>0</v>
      </c>
      <c r="U1993" s="578">
        <f t="shared" si="503"/>
        <v>0</v>
      </c>
      <c r="V1993" s="579"/>
      <c r="W1993" s="566"/>
      <c r="X1993" s="586" t="str">
        <f t="shared" si="496"/>
        <v/>
      </c>
      <c r="Y1993" s="586" t="str">
        <f t="shared" si="431"/>
        <v/>
      </c>
      <c r="Z1993" s="586" t="str">
        <f t="shared" si="488"/>
        <v/>
      </c>
    </row>
    <row r="1994" spans="1:26" ht="12" hidden="1" thickBot="1" x14ac:dyDescent="0.25">
      <c r="A1994" s="567" t="s">
        <v>168</v>
      </c>
      <c r="B1994" s="644" t="s">
        <v>168</v>
      </c>
      <c r="C1994" s="645"/>
      <c r="D1994" s="422" t="s">
        <v>212</v>
      </c>
      <c r="E1994" s="423"/>
      <c r="F1994" s="424">
        <v>500</v>
      </c>
      <c r="G1994" s="425">
        <v>3.9178999999999999</v>
      </c>
      <c r="H1994" s="649">
        <f>IF(F1994&lt;=30,(0.78*F1994+7.82)*G1994,((0.78*30+7.82)+0.78*(F1994-30))*G1994)</f>
        <v>1558.6189780000002</v>
      </c>
      <c r="I1994" s="420"/>
      <c r="J1994" s="420"/>
      <c r="K1994" s="421">
        <f t="shared" si="501"/>
        <v>0</v>
      </c>
      <c r="L1994" s="647"/>
      <c r="M1994" s="723"/>
      <c r="N1994" s="576">
        <f t="shared" si="487"/>
        <v>0</v>
      </c>
      <c r="O1994" s="577">
        <f t="shared" si="504"/>
        <v>0</v>
      </c>
      <c r="P1994" s="578">
        <f t="shared" si="505"/>
        <v>0</v>
      </c>
      <c r="Q1994" s="765"/>
      <c r="R1994" s="723"/>
      <c r="S1994" s="723"/>
      <c r="T1994" s="577">
        <f t="shared" si="502"/>
        <v>0</v>
      </c>
      <c r="U1994" s="578">
        <f t="shared" si="503"/>
        <v>0</v>
      </c>
      <c r="V1994" s="579"/>
      <c r="W1994" s="566" t="str">
        <f>IF(U1993&gt;0,"xx",IF(P1993&gt;0,"xy",""))</f>
        <v/>
      </c>
      <c r="X1994" s="586" t="str">
        <f t="shared" si="496"/>
        <v/>
      </c>
      <c r="Y1994" s="586" t="str">
        <f t="shared" si="431"/>
        <v/>
      </c>
      <c r="Z1994" s="586" t="str">
        <f t="shared" si="488"/>
        <v/>
      </c>
    </row>
    <row r="1995" spans="1:26" ht="12" hidden="1" thickBot="1" x14ac:dyDescent="0.25">
      <c r="A1995" s="567" t="s">
        <v>168</v>
      </c>
      <c r="B1995" s="644" t="s">
        <v>168</v>
      </c>
      <c r="C1995" s="645"/>
      <c r="D1995" s="422" t="s">
        <v>248</v>
      </c>
      <c r="E1995" s="423"/>
      <c r="F1995" s="424">
        <v>180</v>
      </c>
      <c r="G1995" s="425">
        <v>13.9305</v>
      </c>
      <c r="H1995" s="663">
        <f t="shared" ref="H1995:H1996" si="508">IF(F1995&lt;=30,(1.07*F1995+2.68)*G1995,((1.07*30+2.68)+1.07*(F1995-30))*G1995)</f>
        <v>2720.3480399999999</v>
      </c>
      <c r="I1995" s="420"/>
      <c r="J1995" s="420"/>
      <c r="K1995" s="421">
        <f t="shared" si="501"/>
        <v>0</v>
      </c>
      <c r="L1995" s="647"/>
      <c r="M1995" s="723"/>
      <c r="N1995" s="576">
        <f t="shared" si="487"/>
        <v>0</v>
      </c>
      <c r="O1995" s="577">
        <f t="shared" si="504"/>
        <v>0</v>
      </c>
      <c r="P1995" s="578">
        <f t="shared" si="505"/>
        <v>0</v>
      </c>
      <c r="Q1995" s="765"/>
      <c r="R1995" s="723"/>
      <c r="S1995" s="723"/>
      <c r="T1995" s="577">
        <f t="shared" si="502"/>
        <v>0</v>
      </c>
      <c r="U1995" s="578">
        <f t="shared" si="503"/>
        <v>0</v>
      </c>
      <c r="V1995" s="579"/>
      <c r="W1995" s="566" t="str">
        <f>IF(U1993&gt;0,"xx",IF(P1993&gt;0,"xy",""))</f>
        <v/>
      </c>
      <c r="X1995" s="586" t="str">
        <f t="shared" si="496"/>
        <v/>
      </c>
      <c r="Y1995" s="586" t="str">
        <f t="shared" si="431"/>
        <v/>
      </c>
      <c r="Z1995" s="586" t="str">
        <f t="shared" si="488"/>
        <v/>
      </c>
    </row>
    <row r="1996" spans="1:26" ht="12" hidden="1" thickBot="1" x14ac:dyDescent="0.25">
      <c r="A1996" s="567" t="s">
        <v>168</v>
      </c>
      <c r="B1996" s="644" t="s">
        <v>168</v>
      </c>
      <c r="C1996" s="645"/>
      <c r="D1996" s="422" t="s">
        <v>252</v>
      </c>
      <c r="E1996" s="423"/>
      <c r="F1996" s="424">
        <v>20</v>
      </c>
      <c r="G1996" s="425">
        <v>25.435699999999997</v>
      </c>
      <c r="H1996" s="663">
        <f t="shared" si="508"/>
        <v>612.49165599999992</v>
      </c>
      <c r="I1996" s="420"/>
      <c r="J1996" s="420"/>
      <c r="K1996" s="421">
        <f t="shared" si="501"/>
        <v>0</v>
      </c>
      <c r="L1996" s="647"/>
      <c r="M1996" s="723"/>
      <c r="N1996" s="576">
        <f t="shared" si="487"/>
        <v>0</v>
      </c>
      <c r="O1996" s="577">
        <f t="shared" si="504"/>
        <v>0</v>
      </c>
      <c r="P1996" s="578">
        <f t="shared" si="505"/>
        <v>0</v>
      </c>
      <c r="Q1996" s="765"/>
      <c r="R1996" s="723"/>
      <c r="S1996" s="723"/>
      <c r="T1996" s="577">
        <f t="shared" si="502"/>
        <v>0</v>
      </c>
      <c r="U1996" s="578">
        <f t="shared" si="503"/>
        <v>0</v>
      </c>
      <c r="V1996" s="579"/>
      <c r="W1996" s="566" t="str">
        <f>IF(U1993&gt;0,"xx",IF(P1993&gt;0,"xy",""))</f>
        <v/>
      </c>
      <c r="X1996" s="586" t="str">
        <f t="shared" si="496"/>
        <v/>
      </c>
      <c r="Y1996" s="586" t="str">
        <f t="shared" si="431"/>
        <v/>
      </c>
      <c r="Z1996" s="586" t="str">
        <f t="shared" si="488"/>
        <v/>
      </c>
    </row>
    <row r="1997" spans="1:26" ht="12" hidden="1" thickBot="1" x14ac:dyDescent="0.25">
      <c r="A1997" s="567">
        <v>607500</v>
      </c>
      <c r="B1997" s="644">
        <v>607500</v>
      </c>
      <c r="C1997" s="645" t="s">
        <v>206</v>
      </c>
      <c r="D1997" s="422" t="s">
        <v>506</v>
      </c>
      <c r="E1997" s="423"/>
      <c r="F1997" s="424"/>
      <c r="G1997" s="425"/>
      <c r="H1997" s="651">
        <f>SUM(H1998:H2000)</f>
        <v>1.8180100000000001</v>
      </c>
      <c r="I1997" s="420">
        <v>43.25</v>
      </c>
      <c r="J1997" s="420">
        <f>IF(ISBLANK(I1997),"",SUM(H1997:I1997))</f>
        <v>45.068010000000001</v>
      </c>
      <c r="K1997" s="421">
        <f t="shared" si="501"/>
        <v>53.55</v>
      </c>
      <c r="L1997" s="647" t="s">
        <v>19</v>
      </c>
      <c r="M1997" s="576"/>
      <c r="N1997" s="576">
        <f t="shared" si="487"/>
        <v>0</v>
      </c>
      <c r="O1997" s="577">
        <f t="shared" si="504"/>
        <v>0</v>
      </c>
      <c r="P1997" s="578">
        <f t="shared" si="505"/>
        <v>0</v>
      </c>
      <c r="Q1997" s="765"/>
      <c r="R1997" s="576">
        <f>M1997</f>
        <v>0</v>
      </c>
      <c r="S1997" s="576">
        <f>N1997</f>
        <v>0</v>
      </c>
      <c r="T1997" s="577">
        <f t="shared" si="502"/>
        <v>0</v>
      </c>
      <c r="U1997" s="578">
        <f t="shared" si="503"/>
        <v>0</v>
      </c>
      <c r="V1997" s="579"/>
      <c r="W1997" s="566"/>
      <c r="X1997" s="586" t="str">
        <f t="shared" si="496"/>
        <v/>
      </c>
      <c r="Y1997" s="586" t="str">
        <f t="shared" si="431"/>
        <v/>
      </c>
      <c r="Z1997" s="586" t="str">
        <f t="shared" si="488"/>
        <v/>
      </c>
    </row>
    <row r="1998" spans="1:26" ht="12" hidden="1" thickBot="1" x14ac:dyDescent="0.25">
      <c r="A1998" s="567" t="s">
        <v>168</v>
      </c>
      <c r="B1998" s="644" t="s">
        <v>168</v>
      </c>
      <c r="C1998" s="645"/>
      <c r="D1998" s="422" t="s">
        <v>212</v>
      </c>
      <c r="E1998" s="423"/>
      <c r="F1998" s="424">
        <v>500</v>
      </c>
      <c r="G1998" s="425">
        <v>2.9999999999999997E-4</v>
      </c>
      <c r="H1998" s="649">
        <f>IF(F1998&lt;=30,(0.78*F1998+7.82)*G1998,((0.78*30+7.82)+0.78*(F1998-30))*G1998)</f>
        <v>0.11934600000000001</v>
      </c>
      <c r="I1998" s="420"/>
      <c r="J1998" s="420"/>
      <c r="K1998" s="421">
        <f t="shared" si="501"/>
        <v>0</v>
      </c>
      <c r="L1998" s="647"/>
      <c r="M1998" s="723"/>
      <c r="N1998" s="576">
        <f t="shared" si="487"/>
        <v>0</v>
      </c>
      <c r="O1998" s="577">
        <f t="shared" si="504"/>
        <v>0</v>
      </c>
      <c r="P1998" s="578">
        <f t="shared" si="505"/>
        <v>0</v>
      </c>
      <c r="Q1998" s="765"/>
      <c r="R1998" s="723"/>
      <c r="S1998" s="723"/>
      <c r="T1998" s="577">
        <f t="shared" si="502"/>
        <v>0</v>
      </c>
      <c r="U1998" s="578">
        <f t="shared" si="503"/>
        <v>0</v>
      </c>
      <c r="V1998" s="579"/>
      <c r="W1998" s="566" t="str">
        <f>IF(U1997&gt;0,"xx",IF(P1997&gt;0,"xy",""))</f>
        <v/>
      </c>
      <c r="X1998" s="586" t="str">
        <f t="shared" si="496"/>
        <v/>
      </c>
      <c r="Y1998" s="586" t="str">
        <f t="shared" si="431"/>
        <v/>
      </c>
      <c r="Z1998" s="586" t="str">
        <f t="shared" si="488"/>
        <v/>
      </c>
    </row>
    <row r="1999" spans="1:26" ht="12" hidden="1" thickBot="1" x14ac:dyDescent="0.25">
      <c r="A1999" s="567" t="s">
        <v>168</v>
      </c>
      <c r="B1999" s="644" t="s">
        <v>168</v>
      </c>
      <c r="C1999" s="645"/>
      <c r="D1999" s="422" t="s">
        <v>248</v>
      </c>
      <c r="E1999" s="423"/>
      <c r="F1999" s="424">
        <v>180</v>
      </c>
      <c r="G1999" s="425">
        <v>1.2999999999999999E-3</v>
      </c>
      <c r="H1999" s="663">
        <f t="shared" ref="H1999:H2000" si="509">IF(F1999&lt;=30,(1.07*F1999+2.68)*G1999,((1.07*30+2.68)+1.07*(F1999-30))*G1999)</f>
        <v>0.25386399999999998</v>
      </c>
      <c r="I1999" s="420"/>
      <c r="J1999" s="420"/>
      <c r="K1999" s="421">
        <f t="shared" si="501"/>
        <v>0</v>
      </c>
      <c r="L1999" s="647"/>
      <c r="M1999" s="723"/>
      <c r="N1999" s="576">
        <f t="shared" si="487"/>
        <v>0</v>
      </c>
      <c r="O1999" s="577">
        <f t="shared" si="504"/>
        <v>0</v>
      </c>
      <c r="P1999" s="578">
        <f t="shared" si="505"/>
        <v>0</v>
      </c>
      <c r="Q1999" s="765"/>
      <c r="R1999" s="723"/>
      <c r="S1999" s="723"/>
      <c r="T1999" s="577">
        <f t="shared" si="502"/>
        <v>0</v>
      </c>
      <c r="U1999" s="578">
        <f t="shared" si="503"/>
        <v>0</v>
      </c>
      <c r="V1999" s="579"/>
      <c r="W1999" s="566" t="str">
        <f>IF(U1997&gt;0,"xx",IF(P1997&gt;0,"xy",""))</f>
        <v/>
      </c>
      <c r="X1999" s="586" t="str">
        <f t="shared" si="496"/>
        <v/>
      </c>
      <c r="Y1999" s="586" t="str">
        <f t="shared" si="431"/>
        <v/>
      </c>
      <c r="Z1999" s="586" t="str">
        <f t="shared" si="488"/>
        <v/>
      </c>
    </row>
    <row r="2000" spans="1:26" ht="12" hidden="1" thickBot="1" x14ac:dyDescent="0.25">
      <c r="A2000" s="567" t="s">
        <v>168</v>
      </c>
      <c r="B2000" s="644" t="s">
        <v>168</v>
      </c>
      <c r="C2000" s="645"/>
      <c r="D2000" s="422" t="s">
        <v>347</v>
      </c>
      <c r="E2000" s="423"/>
      <c r="F2000" s="424">
        <v>20</v>
      </c>
      <c r="G2000" s="425">
        <v>0.06</v>
      </c>
      <c r="H2000" s="663">
        <f t="shared" si="509"/>
        <v>1.4448000000000001</v>
      </c>
      <c r="I2000" s="420"/>
      <c r="J2000" s="420"/>
      <c r="K2000" s="421">
        <f t="shared" si="501"/>
        <v>0</v>
      </c>
      <c r="L2000" s="647"/>
      <c r="M2000" s="723"/>
      <c r="N2000" s="576">
        <f t="shared" si="487"/>
        <v>0</v>
      </c>
      <c r="O2000" s="577">
        <f t="shared" si="504"/>
        <v>0</v>
      </c>
      <c r="P2000" s="578">
        <f t="shared" si="505"/>
        <v>0</v>
      </c>
      <c r="Q2000" s="765"/>
      <c r="R2000" s="723"/>
      <c r="S2000" s="723"/>
      <c r="T2000" s="577">
        <f t="shared" si="502"/>
        <v>0</v>
      </c>
      <c r="U2000" s="578">
        <f t="shared" si="503"/>
        <v>0</v>
      </c>
      <c r="V2000" s="579"/>
      <c r="W2000" s="566" t="str">
        <f>IF(U1997&gt;0,"xx",IF(P1997&gt;0,"xy",""))</f>
        <v/>
      </c>
      <c r="X2000" s="586" t="str">
        <f t="shared" si="496"/>
        <v/>
      </c>
      <c r="Y2000" s="586" t="str">
        <f t="shared" si="431"/>
        <v/>
      </c>
      <c r="Z2000" s="586" t="str">
        <f t="shared" si="488"/>
        <v/>
      </c>
    </row>
    <row r="2001" spans="1:26" ht="12" hidden="1" thickBot="1" x14ac:dyDescent="0.25">
      <c r="A2001" s="567">
        <v>607600</v>
      </c>
      <c r="B2001" s="644">
        <v>607600</v>
      </c>
      <c r="C2001" s="645" t="s">
        <v>206</v>
      </c>
      <c r="D2001" s="422" t="s">
        <v>507</v>
      </c>
      <c r="E2001" s="423"/>
      <c r="F2001" s="424"/>
      <c r="G2001" s="425"/>
      <c r="H2001" s="651">
        <f>SUM(H2002:H2004)</f>
        <v>2.8854480000000002</v>
      </c>
      <c r="I2001" s="420">
        <v>52.180000000000007</v>
      </c>
      <c r="J2001" s="420">
        <f>IF(ISBLANK(I2001),"",SUM(H2001:I2001))</f>
        <v>55.065448000000004</v>
      </c>
      <c r="K2001" s="421">
        <f t="shared" si="501"/>
        <v>65.42</v>
      </c>
      <c r="L2001" s="647" t="s">
        <v>19</v>
      </c>
      <c r="M2001" s="576"/>
      <c r="N2001" s="576">
        <f t="shared" si="487"/>
        <v>0</v>
      </c>
      <c r="O2001" s="577">
        <f t="shared" si="504"/>
        <v>0</v>
      </c>
      <c r="P2001" s="578">
        <f t="shared" si="505"/>
        <v>0</v>
      </c>
      <c r="Q2001" s="765"/>
      <c r="R2001" s="576">
        <f>M2001</f>
        <v>0</v>
      </c>
      <c r="S2001" s="576">
        <f>N2001</f>
        <v>0</v>
      </c>
      <c r="T2001" s="577">
        <f t="shared" si="502"/>
        <v>0</v>
      </c>
      <c r="U2001" s="578">
        <f t="shared" si="503"/>
        <v>0</v>
      </c>
      <c r="V2001" s="579"/>
      <c r="W2001" s="566"/>
      <c r="X2001" s="586" t="str">
        <f t="shared" si="496"/>
        <v/>
      </c>
      <c r="Y2001" s="586" t="str">
        <f t="shared" si="431"/>
        <v/>
      </c>
      <c r="Z2001" s="586" t="str">
        <f t="shared" si="488"/>
        <v/>
      </c>
    </row>
    <row r="2002" spans="1:26" ht="12" hidden="1" thickBot="1" x14ac:dyDescent="0.25">
      <c r="A2002" s="567" t="s">
        <v>168</v>
      </c>
      <c r="B2002" s="644" t="s">
        <v>168</v>
      </c>
      <c r="C2002" s="645"/>
      <c r="D2002" s="422" t="s">
        <v>212</v>
      </c>
      <c r="E2002" s="423"/>
      <c r="F2002" s="424">
        <v>500</v>
      </c>
      <c r="G2002" s="425">
        <v>4.0000000000000002E-4</v>
      </c>
      <c r="H2002" s="649">
        <f>IF(F2002&lt;=30,(0.78*F2002+7.82)*G2002,((0.78*30+7.82)+0.78*(F2002-30))*G2002)</f>
        <v>0.15912800000000002</v>
      </c>
      <c r="I2002" s="420"/>
      <c r="J2002" s="420"/>
      <c r="K2002" s="421">
        <f t="shared" si="501"/>
        <v>0</v>
      </c>
      <c r="L2002" s="647"/>
      <c r="M2002" s="723"/>
      <c r="N2002" s="576">
        <f t="shared" si="487"/>
        <v>0</v>
      </c>
      <c r="O2002" s="577">
        <f t="shared" si="504"/>
        <v>0</v>
      </c>
      <c r="P2002" s="578">
        <f t="shared" si="505"/>
        <v>0</v>
      </c>
      <c r="Q2002" s="765"/>
      <c r="R2002" s="723"/>
      <c r="S2002" s="723"/>
      <c r="T2002" s="577">
        <f t="shared" si="502"/>
        <v>0</v>
      </c>
      <c r="U2002" s="578">
        <f t="shared" si="503"/>
        <v>0</v>
      </c>
      <c r="V2002" s="579"/>
      <c r="W2002" s="566" t="str">
        <f>IF(U2001&gt;0,"xx",IF(P2001&gt;0,"xy",""))</f>
        <v/>
      </c>
      <c r="X2002" s="586" t="str">
        <f t="shared" si="496"/>
        <v/>
      </c>
      <c r="Y2002" s="586" t="str">
        <f t="shared" si="431"/>
        <v/>
      </c>
      <c r="Z2002" s="586" t="str">
        <f t="shared" si="488"/>
        <v/>
      </c>
    </row>
    <row r="2003" spans="1:26" ht="12" hidden="1" thickBot="1" x14ac:dyDescent="0.25">
      <c r="A2003" s="567" t="s">
        <v>168</v>
      </c>
      <c r="B2003" s="644" t="s">
        <v>168</v>
      </c>
      <c r="C2003" s="645"/>
      <c r="D2003" s="422" t="s">
        <v>248</v>
      </c>
      <c r="E2003" s="423"/>
      <c r="F2003" s="424">
        <v>180</v>
      </c>
      <c r="G2003" s="425">
        <v>2E-3</v>
      </c>
      <c r="H2003" s="663">
        <f t="shared" ref="H2003:H2004" si="510">IF(F2003&lt;=30,(1.07*F2003+2.68)*G2003,((1.07*30+2.68)+1.07*(F2003-30))*G2003)</f>
        <v>0.39056000000000002</v>
      </c>
      <c r="I2003" s="420"/>
      <c r="J2003" s="420"/>
      <c r="K2003" s="421">
        <f t="shared" si="501"/>
        <v>0</v>
      </c>
      <c r="L2003" s="647"/>
      <c r="M2003" s="723"/>
      <c r="N2003" s="576">
        <f t="shared" si="487"/>
        <v>0</v>
      </c>
      <c r="O2003" s="577">
        <f t="shared" si="504"/>
        <v>0</v>
      </c>
      <c r="P2003" s="578">
        <f t="shared" si="505"/>
        <v>0</v>
      </c>
      <c r="Q2003" s="765"/>
      <c r="R2003" s="723"/>
      <c r="S2003" s="723"/>
      <c r="T2003" s="577">
        <f t="shared" si="502"/>
        <v>0</v>
      </c>
      <c r="U2003" s="578">
        <f t="shared" si="503"/>
        <v>0</v>
      </c>
      <c r="V2003" s="579"/>
      <c r="W2003" s="566" t="str">
        <f>IF(U2001&gt;0,"xx",IF(P2001&gt;0,"xy",""))</f>
        <v/>
      </c>
      <c r="X2003" s="586" t="str">
        <f t="shared" si="496"/>
        <v/>
      </c>
      <c r="Y2003" s="586" t="str">
        <f t="shared" si="431"/>
        <v/>
      </c>
      <c r="Z2003" s="586" t="str">
        <f t="shared" si="488"/>
        <v/>
      </c>
    </row>
    <row r="2004" spans="1:26" ht="12" hidden="1" thickBot="1" x14ac:dyDescent="0.25">
      <c r="A2004" s="567" t="s">
        <v>168</v>
      </c>
      <c r="B2004" s="644" t="s">
        <v>168</v>
      </c>
      <c r="C2004" s="645"/>
      <c r="D2004" s="422" t="s">
        <v>347</v>
      </c>
      <c r="E2004" s="423"/>
      <c r="F2004" s="424">
        <v>20</v>
      </c>
      <c r="G2004" s="425">
        <v>9.7000000000000003E-2</v>
      </c>
      <c r="H2004" s="663">
        <f t="shared" si="510"/>
        <v>2.3357600000000001</v>
      </c>
      <c r="I2004" s="420"/>
      <c r="J2004" s="420"/>
      <c r="K2004" s="421">
        <f t="shared" si="501"/>
        <v>0</v>
      </c>
      <c r="L2004" s="647"/>
      <c r="M2004" s="723"/>
      <c r="N2004" s="576">
        <f t="shared" ref="N2004:N2067" si="511">IF(M2004=0,0,K2004)</f>
        <v>0</v>
      </c>
      <c r="O2004" s="577">
        <f t="shared" si="504"/>
        <v>0</v>
      </c>
      <c r="P2004" s="578">
        <f t="shared" si="505"/>
        <v>0</v>
      </c>
      <c r="Q2004" s="765"/>
      <c r="R2004" s="723"/>
      <c r="S2004" s="723"/>
      <c r="T2004" s="577">
        <f t="shared" si="502"/>
        <v>0</v>
      </c>
      <c r="U2004" s="578">
        <f t="shared" si="503"/>
        <v>0</v>
      </c>
      <c r="V2004" s="579"/>
      <c r="W2004" s="566" t="str">
        <f>IF(U2001&gt;0,"xx",IF(P2001&gt;0,"xy",""))</f>
        <v/>
      </c>
      <c r="X2004" s="586" t="str">
        <f t="shared" si="496"/>
        <v/>
      </c>
      <c r="Y2004" s="586" t="str">
        <f t="shared" si="431"/>
        <v/>
      </c>
      <c r="Z2004" s="586" t="str">
        <f t="shared" si="488"/>
        <v/>
      </c>
    </row>
    <row r="2005" spans="1:26" ht="12" hidden="1" thickBot="1" x14ac:dyDescent="0.25">
      <c r="A2005" s="567">
        <v>610400</v>
      </c>
      <c r="B2005" s="644" t="s">
        <v>1668</v>
      </c>
      <c r="C2005" s="645" t="s">
        <v>206</v>
      </c>
      <c r="D2005" s="422" t="s">
        <v>373</v>
      </c>
      <c r="E2005" s="423"/>
      <c r="F2005" s="424"/>
      <c r="G2005" s="425"/>
      <c r="H2005" s="651">
        <f>SUM(H2006:H2008)</f>
        <v>5.3574580000000003</v>
      </c>
      <c r="I2005" s="420">
        <v>78.7</v>
      </c>
      <c r="J2005" s="420">
        <f>IF(ISBLANK(I2005),"",SUM(H2005:I2005))</f>
        <v>84.057457999999997</v>
      </c>
      <c r="K2005" s="421">
        <f t="shared" si="501"/>
        <v>99.87</v>
      </c>
      <c r="L2005" s="647" t="s">
        <v>19</v>
      </c>
      <c r="M2005" s="576"/>
      <c r="N2005" s="576">
        <f t="shared" si="511"/>
        <v>0</v>
      </c>
      <c r="O2005" s="577">
        <f t="shared" si="504"/>
        <v>0</v>
      </c>
      <c r="P2005" s="578">
        <f t="shared" si="505"/>
        <v>0</v>
      </c>
      <c r="Q2005" s="765"/>
      <c r="R2005" s="576">
        <f>M2005</f>
        <v>0</v>
      </c>
      <c r="S2005" s="576">
        <f>N2005</f>
        <v>0</v>
      </c>
      <c r="T2005" s="577">
        <f t="shared" si="502"/>
        <v>0</v>
      </c>
      <c r="U2005" s="578">
        <f t="shared" si="503"/>
        <v>0</v>
      </c>
      <c r="V2005" s="579"/>
      <c r="W2005" s="566"/>
      <c r="X2005" s="586" t="str">
        <f t="shared" si="496"/>
        <v/>
      </c>
      <c r="Y2005" s="586" t="str">
        <f t="shared" si="431"/>
        <v/>
      </c>
      <c r="Z2005" s="586" t="str">
        <f t="shared" si="488"/>
        <v/>
      </c>
    </row>
    <row r="2006" spans="1:26" ht="12" hidden="1" thickBot="1" x14ac:dyDescent="0.25">
      <c r="A2006" s="567" t="s">
        <v>168</v>
      </c>
      <c r="B2006" s="644" t="s">
        <v>168</v>
      </c>
      <c r="C2006" s="645"/>
      <c r="D2006" s="422" t="s">
        <v>212</v>
      </c>
      <c r="E2006" s="423"/>
      <c r="F2006" s="424">
        <v>500</v>
      </c>
      <c r="G2006" s="425">
        <v>1.9E-3</v>
      </c>
      <c r="H2006" s="649">
        <f>IF(F2006&lt;=30,(0.78*F2006+7.82)*G2006,((0.78*30+7.82)+0.78*(F2006-30))*G2006)</f>
        <v>0.75585800000000014</v>
      </c>
      <c r="I2006" s="420"/>
      <c r="J2006" s="420"/>
      <c r="K2006" s="421">
        <f t="shared" si="501"/>
        <v>0</v>
      </c>
      <c r="L2006" s="647"/>
      <c r="M2006" s="723"/>
      <c r="N2006" s="576">
        <f t="shared" si="511"/>
        <v>0</v>
      </c>
      <c r="O2006" s="577">
        <f t="shared" si="504"/>
        <v>0</v>
      </c>
      <c r="P2006" s="578">
        <f t="shared" si="505"/>
        <v>0</v>
      </c>
      <c r="Q2006" s="765"/>
      <c r="R2006" s="723"/>
      <c r="S2006" s="723"/>
      <c r="T2006" s="577">
        <f t="shared" si="502"/>
        <v>0</v>
      </c>
      <c r="U2006" s="578">
        <f t="shared" si="503"/>
        <v>0</v>
      </c>
      <c r="V2006" s="579"/>
      <c r="W2006" s="566" t="str">
        <f>IF(U2005&gt;0,"xx",IF(P2005&gt;0,"xy",""))</f>
        <v/>
      </c>
      <c r="X2006" s="586" t="str">
        <f t="shared" si="496"/>
        <v/>
      </c>
      <c r="Y2006" s="586" t="str">
        <f t="shared" si="431"/>
        <v/>
      </c>
      <c r="Z2006" s="586" t="str">
        <f t="shared" si="488"/>
        <v/>
      </c>
    </row>
    <row r="2007" spans="1:26" ht="12" hidden="1" thickBot="1" x14ac:dyDescent="0.25">
      <c r="A2007" s="567" t="s">
        <v>168</v>
      </c>
      <c r="B2007" s="644" t="s">
        <v>168</v>
      </c>
      <c r="C2007" s="645"/>
      <c r="D2007" s="422" t="s">
        <v>248</v>
      </c>
      <c r="E2007" s="423"/>
      <c r="F2007" s="424">
        <v>180</v>
      </c>
      <c r="G2007" s="425">
        <v>0.01</v>
      </c>
      <c r="H2007" s="663">
        <f t="shared" ref="H2007:H2008" si="512">IF(F2007&lt;=30,(1.07*F2007+2.68)*G2007,((1.07*30+2.68)+1.07*(F2007-30))*G2007)</f>
        <v>1.9528000000000001</v>
      </c>
      <c r="I2007" s="420"/>
      <c r="J2007" s="420"/>
      <c r="K2007" s="421">
        <f t="shared" si="501"/>
        <v>0</v>
      </c>
      <c r="L2007" s="647"/>
      <c r="M2007" s="723"/>
      <c r="N2007" s="576">
        <f t="shared" si="511"/>
        <v>0</v>
      </c>
      <c r="O2007" s="577">
        <f t="shared" si="504"/>
        <v>0</v>
      </c>
      <c r="P2007" s="578">
        <f t="shared" si="505"/>
        <v>0</v>
      </c>
      <c r="Q2007" s="765"/>
      <c r="R2007" s="723"/>
      <c r="S2007" s="723"/>
      <c r="T2007" s="577">
        <f t="shared" si="502"/>
        <v>0</v>
      </c>
      <c r="U2007" s="578">
        <f t="shared" si="503"/>
        <v>0</v>
      </c>
      <c r="V2007" s="579"/>
      <c r="W2007" s="566" t="str">
        <f>IF(U2005&gt;0,"xx",IF(P2005&gt;0,"xy",""))</f>
        <v/>
      </c>
      <c r="X2007" s="586" t="str">
        <f t="shared" si="496"/>
        <v/>
      </c>
      <c r="Y2007" s="586" t="str">
        <f t="shared" si="431"/>
        <v/>
      </c>
      <c r="Z2007" s="586" t="str">
        <f t="shared" si="488"/>
        <v/>
      </c>
    </row>
    <row r="2008" spans="1:26" ht="12" hidden="1" thickBot="1" x14ac:dyDescent="0.25">
      <c r="A2008" s="567" t="s">
        <v>168</v>
      </c>
      <c r="B2008" s="644" t="s">
        <v>168</v>
      </c>
      <c r="C2008" s="645"/>
      <c r="D2008" s="422" t="s">
        <v>347</v>
      </c>
      <c r="E2008" s="423"/>
      <c r="F2008" s="424">
        <v>20</v>
      </c>
      <c r="G2008" s="425">
        <v>0.11</v>
      </c>
      <c r="H2008" s="663">
        <f t="shared" si="512"/>
        <v>2.6488</v>
      </c>
      <c r="I2008" s="420"/>
      <c r="J2008" s="420"/>
      <c r="K2008" s="421">
        <f t="shared" si="501"/>
        <v>0</v>
      </c>
      <c r="L2008" s="647"/>
      <c r="M2008" s="723"/>
      <c r="N2008" s="576">
        <f t="shared" si="511"/>
        <v>0</v>
      </c>
      <c r="O2008" s="577">
        <f t="shared" si="504"/>
        <v>0</v>
      </c>
      <c r="P2008" s="578">
        <f t="shared" si="505"/>
        <v>0</v>
      </c>
      <c r="Q2008" s="765"/>
      <c r="R2008" s="723"/>
      <c r="S2008" s="723"/>
      <c r="T2008" s="577">
        <f t="shared" si="502"/>
        <v>0</v>
      </c>
      <c r="U2008" s="578">
        <f t="shared" si="503"/>
        <v>0</v>
      </c>
      <c r="V2008" s="579"/>
      <c r="W2008" s="566" t="str">
        <f>IF(U2005&gt;0,"xx",IF(P2005&gt;0,"xy",""))</f>
        <v/>
      </c>
      <c r="X2008" s="586" t="str">
        <f t="shared" si="496"/>
        <v/>
      </c>
      <c r="Y2008" s="586" t="str">
        <f t="shared" si="431"/>
        <v/>
      </c>
      <c r="Z2008" s="586" t="str">
        <f t="shared" si="488"/>
        <v/>
      </c>
    </row>
    <row r="2009" spans="1:26" ht="12" hidden="1" thickBot="1" x14ac:dyDescent="0.25">
      <c r="A2009" s="567">
        <v>610400</v>
      </c>
      <c r="B2009" s="644" t="s">
        <v>1669</v>
      </c>
      <c r="C2009" s="645" t="s">
        <v>206</v>
      </c>
      <c r="D2009" s="422" t="s">
        <v>508</v>
      </c>
      <c r="E2009" s="423"/>
      <c r="F2009" s="424"/>
      <c r="G2009" s="425"/>
      <c r="H2009" s="651">
        <f>SUM(H2010:H2012)</f>
        <v>9.2197619999999993</v>
      </c>
      <c r="I2009" s="420">
        <v>106.14</v>
      </c>
      <c r="J2009" s="420">
        <f>IF(ISBLANK(I2009),"",SUM(H2009:I2009))</f>
        <v>115.359762</v>
      </c>
      <c r="K2009" s="421">
        <f t="shared" si="501"/>
        <v>137.06</v>
      </c>
      <c r="L2009" s="647" t="s">
        <v>19</v>
      </c>
      <c r="M2009" s="576"/>
      <c r="N2009" s="576">
        <f t="shared" si="511"/>
        <v>0</v>
      </c>
      <c r="O2009" s="577">
        <f t="shared" si="504"/>
        <v>0</v>
      </c>
      <c r="P2009" s="578">
        <f t="shared" si="505"/>
        <v>0</v>
      </c>
      <c r="Q2009" s="765"/>
      <c r="R2009" s="576">
        <f>M2009</f>
        <v>0</v>
      </c>
      <c r="S2009" s="576">
        <f>N2009</f>
        <v>0</v>
      </c>
      <c r="T2009" s="577">
        <f t="shared" si="502"/>
        <v>0</v>
      </c>
      <c r="U2009" s="578">
        <f t="shared" si="503"/>
        <v>0</v>
      </c>
      <c r="V2009" s="579"/>
      <c r="W2009" s="566"/>
      <c r="X2009" s="586" t="str">
        <f t="shared" si="496"/>
        <v/>
      </c>
      <c r="Y2009" s="586" t="str">
        <f t="shared" si="431"/>
        <v/>
      </c>
      <c r="Z2009" s="586" t="str">
        <f t="shared" si="488"/>
        <v/>
      </c>
    </row>
    <row r="2010" spans="1:26" ht="12" hidden="1" thickBot="1" x14ac:dyDescent="0.25">
      <c r="A2010" s="567" t="s">
        <v>168</v>
      </c>
      <c r="B2010" s="644" t="s">
        <v>168</v>
      </c>
      <c r="C2010" s="645"/>
      <c r="D2010" s="422" t="s">
        <v>212</v>
      </c>
      <c r="E2010" s="423"/>
      <c r="F2010" s="424">
        <v>500</v>
      </c>
      <c r="G2010" s="425">
        <v>2.3E-3</v>
      </c>
      <c r="H2010" s="649">
        <f>IF(F2010&lt;=30,(0.78*F2010+7.82)*G2010,((0.78*30+7.82)+0.78*(F2010-30))*G2010)</f>
        <v>0.91498600000000008</v>
      </c>
      <c r="I2010" s="420"/>
      <c r="J2010" s="420"/>
      <c r="K2010" s="421">
        <f t="shared" si="501"/>
        <v>0</v>
      </c>
      <c r="L2010" s="647"/>
      <c r="M2010" s="723"/>
      <c r="N2010" s="576">
        <f t="shared" si="511"/>
        <v>0</v>
      </c>
      <c r="O2010" s="577">
        <f t="shared" si="504"/>
        <v>0</v>
      </c>
      <c r="P2010" s="578">
        <f t="shared" si="505"/>
        <v>0</v>
      </c>
      <c r="Q2010" s="765"/>
      <c r="R2010" s="723"/>
      <c r="S2010" s="723"/>
      <c r="T2010" s="577">
        <f t="shared" si="502"/>
        <v>0</v>
      </c>
      <c r="U2010" s="578">
        <f t="shared" si="503"/>
        <v>0</v>
      </c>
      <c r="V2010" s="579"/>
      <c r="W2010" s="566" t="str">
        <f>IF(U2009&gt;0,"xx",IF(P2009&gt;0,"xy",""))</f>
        <v/>
      </c>
      <c r="X2010" s="586" t="str">
        <f t="shared" si="496"/>
        <v/>
      </c>
      <c r="Y2010" s="586" t="str">
        <f t="shared" si="431"/>
        <v/>
      </c>
      <c r="Z2010" s="586" t="str">
        <f t="shared" si="488"/>
        <v/>
      </c>
    </row>
    <row r="2011" spans="1:26" ht="12" hidden="1" thickBot="1" x14ac:dyDescent="0.25">
      <c r="A2011" s="567" t="s">
        <v>168</v>
      </c>
      <c r="B2011" s="644" t="s">
        <v>168</v>
      </c>
      <c r="C2011" s="645"/>
      <c r="D2011" s="422" t="s">
        <v>248</v>
      </c>
      <c r="E2011" s="423"/>
      <c r="F2011" s="424">
        <v>180</v>
      </c>
      <c r="G2011" s="425">
        <v>1.17E-2</v>
      </c>
      <c r="H2011" s="663">
        <f t="shared" ref="H2011:H2012" si="513">IF(F2011&lt;=30,(1.07*F2011+2.68)*G2011,((1.07*30+2.68)+1.07*(F2011-30))*G2011)</f>
        <v>2.2847759999999999</v>
      </c>
      <c r="I2011" s="420"/>
      <c r="J2011" s="420"/>
      <c r="K2011" s="421">
        <f t="shared" si="501"/>
        <v>0</v>
      </c>
      <c r="L2011" s="647"/>
      <c r="M2011" s="723"/>
      <c r="N2011" s="576">
        <f t="shared" si="511"/>
        <v>0</v>
      </c>
      <c r="O2011" s="577">
        <f t="shared" si="504"/>
        <v>0</v>
      </c>
      <c r="P2011" s="578">
        <f t="shared" si="505"/>
        <v>0</v>
      </c>
      <c r="Q2011" s="765"/>
      <c r="R2011" s="723"/>
      <c r="S2011" s="723"/>
      <c r="T2011" s="577">
        <f t="shared" si="502"/>
        <v>0</v>
      </c>
      <c r="U2011" s="578">
        <f t="shared" si="503"/>
        <v>0</v>
      </c>
      <c r="V2011" s="579"/>
      <c r="W2011" s="566" t="str">
        <f>IF(U2009&gt;0,"xx",IF(P2009&gt;0,"xy",""))</f>
        <v/>
      </c>
      <c r="X2011" s="586" t="str">
        <f t="shared" si="496"/>
        <v/>
      </c>
      <c r="Y2011" s="586" t="str">
        <f t="shared" si="431"/>
        <v/>
      </c>
      <c r="Z2011" s="586" t="str">
        <f t="shared" si="488"/>
        <v/>
      </c>
    </row>
    <row r="2012" spans="1:26" ht="12" hidden="1" thickBot="1" x14ac:dyDescent="0.25">
      <c r="A2012" s="567" t="s">
        <v>168</v>
      </c>
      <c r="B2012" s="644" t="s">
        <v>168</v>
      </c>
      <c r="C2012" s="645"/>
      <c r="D2012" s="422" t="s">
        <v>347</v>
      </c>
      <c r="E2012" s="423"/>
      <c r="F2012" s="424">
        <v>20</v>
      </c>
      <c r="G2012" s="425">
        <v>0.25</v>
      </c>
      <c r="H2012" s="663">
        <f t="shared" si="513"/>
        <v>6.0200000000000005</v>
      </c>
      <c r="I2012" s="420"/>
      <c r="J2012" s="420"/>
      <c r="K2012" s="421">
        <f t="shared" si="501"/>
        <v>0</v>
      </c>
      <c r="L2012" s="647"/>
      <c r="M2012" s="723"/>
      <c r="N2012" s="576">
        <f t="shared" si="511"/>
        <v>0</v>
      </c>
      <c r="O2012" s="577">
        <f t="shared" si="504"/>
        <v>0</v>
      </c>
      <c r="P2012" s="578">
        <f t="shared" si="505"/>
        <v>0</v>
      </c>
      <c r="Q2012" s="765"/>
      <c r="R2012" s="723"/>
      <c r="S2012" s="723"/>
      <c r="T2012" s="577">
        <f t="shared" si="502"/>
        <v>0</v>
      </c>
      <c r="U2012" s="578">
        <f t="shared" si="503"/>
        <v>0</v>
      </c>
      <c r="V2012" s="579"/>
      <c r="W2012" s="566" t="str">
        <f>IF(U2009&gt;0,"xx",IF(P2009&gt;0,"xy",""))</f>
        <v/>
      </c>
      <c r="X2012" s="586" t="str">
        <f t="shared" si="496"/>
        <v/>
      </c>
      <c r="Y2012" s="586" t="str">
        <f t="shared" si="431"/>
        <v/>
      </c>
      <c r="Z2012" s="586" t="str">
        <f t="shared" si="488"/>
        <v/>
      </c>
    </row>
    <row r="2013" spans="1:26" ht="12" hidden="1" thickBot="1" x14ac:dyDescent="0.25">
      <c r="A2013" s="567">
        <v>610600</v>
      </c>
      <c r="B2013" s="644" t="s">
        <v>1672</v>
      </c>
      <c r="C2013" s="645" t="s">
        <v>206</v>
      </c>
      <c r="D2013" s="422" t="s">
        <v>374</v>
      </c>
      <c r="E2013" s="423"/>
      <c r="F2013" s="424"/>
      <c r="G2013" s="425"/>
      <c r="H2013" s="651">
        <f>SUM(H2014:H2016)</f>
        <v>13.042284000000002</v>
      </c>
      <c r="I2013" s="420">
        <v>133.58000000000001</v>
      </c>
      <c r="J2013" s="420">
        <f>IF(ISBLANK(I2013),"",SUM(H2013:I2013))</f>
        <v>146.62228400000001</v>
      </c>
      <c r="K2013" s="421">
        <f t="shared" si="501"/>
        <v>174.2</v>
      </c>
      <c r="L2013" s="647" t="s">
        <v>19</v>
      </c>
      <c r="M2013" s="576"/>
      <c r="N2013" s="576">
        <f t="shared" si="511"/>
        <v>0</v>
      </c>
      <c r="O2013" s="577">
        <f t="shared" si="504"/>
        <v>0</v>
      </c>
      <c r="P2013" s="578">
        <f t="shared" si="505"/>
        <v>0</v>
      </c>
      <c r="Q2013" s="765"/>
      <c r="R2013" s="576">
        <f>M2013</f>
        <v>0</v>
      </c>
      <c r="S2013" s="576">
        <f>N2013</f>
        <v>0</v>
      </c>
      <c r="T2013" s="577">
        <f t="shared" si="502"/>
        <v>0</v>
      </c>
      <c r="U2013" s="578">
        <f t="shared" si="503"/>
        <v>0</v>
      </c>
      <c r="V2013" s="579"/>
      <c r="W2013" s="566"/>
      <c r="X2013" s="586" t="str">
        <f t="shared" si="496"/>
        <v/>
      </c>
      <c r="Y2013" s="586" t="str">
        <f t="shared" si="431"/>
        <v/>
      </c>
      <c r="Z2013" s="586" t="str">
        <f t="shared" si="488"/>
        <v/>
      </c>
    </row>
    <row r="2014" spans="1:26" ht="12" hidden="1" thickBot="1" x14ac:dyDescent="0.25">
      <c r="A2014" s="567" t="s">
        <v>168</v>
      </c>
      <c r="B2014" s="644" t="s">
        <v>168</v>
      </c>
      <c r="C2014" s="645"/>
      <c r="D2014" s="422" t="s">
        <v>212</v>
      </c>
      <c r="E2014" s="423"/>
      <c r="F2014" s="424">
        <v>500</v>
      </c>
      <c r="G2014" s="425">
        <v>2.5999999999999999E-3</v>
      </c>
      <c r="H2014" s="649">
        <f>IF(F2014&lt;=30,(0.78*F2014+7.82)*G2014,((0.78*30+7.82)+0.78*(F2014-30))*G2014)</f>
        <v>1.034332</v>
      </c>
      <c r="I2014" s="420"/>
      <c r="J2014" s="420"/>
      <c r="K2014" s="421">
        <f t="shared" si="501"/>
        <v>0</v>
      </c>
      <c r="L2014" s="647"/>
      <c r="M2014" s="723"/>
      <c r="N2014" s="576">
        <f t="shared" si="511"/>
        <v>0</v>
      </c>
      <c r="O2014" s="577">
        <f t="shared" si="504"/>
        <v>0</v>
      </c>
      <c r="P2014" s="578">
        <f t="shared" si="505"/>
        <v>0</v>
      </c>
      <c r="Q2014" s="765"/>
      <c r="R2014" s="723"/>
      <c r="S2014" s="723"/>
      <c r="T2014" s="577">
        <f t="shared" si="502"/>
        <v>0</v>
      </c>
      <c r="U2014" s="578">
        <f t="shared" si="503"/>
        <v>0</v>
      </c>
      <c r="V2014" s="579"/>
      <c r="W2014" s="566" t="str">
        <f>IF(U2013&gt;0,"xx",IF(P2013&gt;0,"xy",""))</f>
        <v/>
      </c>
      <c r="X2014" s="586" t="str">
        <f t="shared" si="496"/>
        <v/>
      </c>
      <c r="Y2014" s="586" t="str">
        <f t="shared" si="431"/>
        <v/>
      </c>
      <c r="Z2014" s="586" t="str">
        <f t="shared" si="488"/>
        <v/>
      </c>
    </row>
    <row r="2015" spans="1:26" ht="12" hidden="1" thickBot="1" x14ac:dyDescent="0.25">
      <c r="A2015" s="567" t="s">
        <v>168</v>
      </c>
      <c r="B2015" s="644" t="s">
        <v>168</v>
      </c>
      <c r="C2015" s="645"/>
      <c r="D2015" s="422" t="s">
        <v>248</v>
      </c>
      <c r="E2015" s="423"/>
      <c r="F2015" s="424">
        <v>180</v>
      </c>
      <c r="G2015" s="425">
        <v>1.34E-2</v>
      </c>
      <c r="H2015" s="663">
        <f t="shared" ref="H2015:H2016" si="514">IF(F2015&lt;=30,(1.07*F2015+2.68)*G2015,((1.07*30+2.68)+1.07*(F2015-30))*G2015)</f>
        <v>2.616752</v>
      </c>
      <c r="I2015" s="420"/>
      <c r="J2015" s="420"/>
      <c r="K2015" s="421">
        <f t="shared" si="501"/>
        <v>0</v>
      </c>
      <c r="L2015" s="647"/>
      <c r="M2015" s="723"/>
      <c r="N2015" s="576">
        <f t="shared" si="511"/>
        <v>0</v>
      </c>
      <c r="O2015" s="577">
        <f t="shared" si="504"/>
        <v>0</v>
      </c>
      <c r="P2015" s="578">
        <f t="shared" si="505"/>
        <v>0</v>
      </c>
      <c r="Q2015" s="765"/>
      <c r="R2015" s="723"/>
      <c r="S2015" s="723"/>
      <c r="T2015" s="577">
        <f t="shared" si="502"/>
        <v>0</v>
      </c>
      <c r="U2015" s="578">
        <f t="shared" si="503"/>
        <v>0</v>
      </c>
      <c r="V2015" s="579"/>
      <c r="W2015" s="566" t="str">
        <f>IF(U2013&gt;0,"xx",IF(P2013&gt;0,"xy",""))</f>
        <v/>
      </c>
      <c r="X2015" s="586" t="str">
        <f t="shared" si="496"/>
        <v/>
      </c>
      <c r="Y2015" s="586" t="str">
        <f t="shared" si="431"/>
        <v/>
      </c>
      <c r="Z2015" s="586" t="str">
        <f t="shared" si="488"/>
        <v/>
      </c>
    </row>
    <row r="2016" spans="1:26" ht="12" hidden="1" thickBot="1" x14ac:dyDescent="0.25">
      <c r="A2016" s="567" t="s">
        <v>168</v>
      </c>
      <c r="B2016" s="644" t="s">
        <v>168</v>
      </c>
      <c r="C2016" s="645"/>
      <c r="D2016" s="422" t="s">
        <v>347</v>
      </c>
      <c r="E2016" s="423"/>
      <c r="F2016" s="424">
        <v>20</v>
      </c>
      <c r="G2016" s="425">
        <v>0.39</v>
      </c>
      <c r="H2016" s="663">
        <f t="shared" si="514"/>
        <v>9.3912000000000013</v>
      </c>
      <c r="I2016" s="420"/>
      <c r="J2016" s="420"/>
      <c r="K2016" s="421">
        <f t="shared" si="501"/>
        <v>0</v>
      </c>
      <c r="L2016" s="647"/>
      <c r="M2016" s="723"/>
      <c r="N2016" s="576">
        <f t="shared" si="511"/>
        <v>0</v>
      </c>
      <c r="O2016" s="577">
        <f t="shared" si="504"/>
        <v>0</v>
      </c>
      <c r="P2016" s="578">
        <f t="shared" si="505"/>
        <v>0</v>
      </c>
      <c r="Q2016" s="765"/>
      <c r="R2016" s="723"/>
      <c r="S2016" s="723"/>
      <c r="T2016" s="577">
        <f t="shared" si="502"/>
        <v>0</v>
      </c>
      <c r="U2016" s="578">
        <f t="shared" si="503"/>
        <v>0</v>
      </c>
      <c r="V2016" s="579"/>
      <c r="W2016" s="566" t="str">
        <f>IF(U2013&gt;0,"xx",IF(P2013&gt;0,"xy",""))</f>
        <v/>
      </c>
      <c r="X2016" s="586" t="str">
        <f t="shared" si="496"/>
        <v/>
      </c>
      <c r="Y2016" s="586" t="str">
        <f t="shared" si="431"/>
        <v/>
      </c>
      <c r="Z2016" s="586" t="str">
        <f t="shared" si="488"/>
        <v/>
      </c>
    </row>
    <row r="2017" spans="1:26" ht="12" hidden="1" thickBot="1" x14ac:dyDescent="0.25">
      <c r="A2017" s="567">
        <v>610600</v>
      </c>
      <c r="B2017" s="644" t="s">
        <v>1673</v>
      </c>
      <c r="C2017" s="645" t="s">
        <v>206</v>
      </c>
      <c r="D2017" s="422" t="s">
        <v>509</v>
      </c>
      <c r="E2017" s="423"/>
      <c r="F2017" s="424"/>
      <c r="G2017" s="425"/>
      <c r="H2017" s="651">
        <f>SUM(H2018:H2020)</f>
        <v>16.864806000000002</v>
      </c>
      <c r="I2017" s="420">
        <v>202.41</v>
      </c>
      <c r="J2017" s="420">
        <f>IF(ISBLANK(I2017),"",SUM(H2017:I2017))</f>
        <v>219.27480600000001</v>
      </c>
      <c r="K2017" s="421">
        <f t="shared" si="501"/>
        <v>260.52</v>
      </c>
      <c r="L2017" s="647" t="s">
        <v>19</v>
      </c>
      <c r="M2017" s="576"/>
      <c r="N2017" s="576">
        <f t="shared" si="511"/>
        <v>0</v>
      </c>
      <c r="O2017" s="577">
        <f t="shared" si="504"/>
        <v>0</v>
      </c>
      <c r="P2017" s="578">
        <f t="shared" si="505"/>
        <v>0</v>
      </c>
      <c r="Q2017" s="765"/>
      <c r="R2017" s="576">
        <f>M2017</f>
        <v>0</v>
      </c>
      <c r="S2017" s="576">
        <f>N2017</f>
        <v>0</v>
      </c>
      <c r="T2017" s="577">
        <f t="shared" si="502"/>
        <v>0</v>
      </c>
      <c r="U2017" s="578">
        <f t="shared" si="503"/>
        <v>0</v>
      </c>
      <c r="V2017" s="579"/>
      <c r="W2017" s="566"/>
      <c r="X2017" s="586" t="str">
        <f t="shared" si="496"/>
        <v/>
      </c>
      <c r="Y2017" s="586" t="str">
        <f t="shared" si="431"/>
        <v/>
      </c>
      <c r="Z2017" s="586" t="str">
        <f t="shared" si="488"/>
        <v/>
      </c>
    </row>
    <row r="2018" spans="1:26" ht="12" hidden="1" thickBot="1" x14ac:dyDescent="0.25">
      <c r="A2018" s="567" t="s">
        <v>168</v>
      </c>
      <c r="B2018" s="644" t="s">
        <v>168</v>
      </c>
      <c r="C2018" s="645"/>
      <c r="D2018" s="422" t="s">
        <v>212</v>
      </c>
      <c r="E2018" s="423"/>
      <c r="F2018" s="424">
        <v>500</v>
      </c>
      <c r="G2018" s="425">
        <v>2.8999999999999998E-3</v>
      </c>
      <c r="H2018" s="649">
        <f>IF(F2018&lt;=30,(0.78*F2018+7.82)*G2018,((0.78*30+7.82)+0.78*(F2018-30))*G2018)</f>
        <v>1.153678</v>
      </c>
      <c r="I2018" s="420"/>
      <c r="J2018" s="420"/>
      <c r="K2018" s="421">
        <f t="shared" si="501"/>
        <v>0</v>
      </c>
      <c r="L2018" s="647"/>
      <c r="M2018" s="723"/>
      <c r="N2018" s="576">
        <f t="shared" si="511"/>
        <v>0</v>
      </c>
      <c r="O2018" s="577">
        <f t="shared" si="504"/>
        <v>0</v>
      </c>
      <c r="P2018" s="578">
        <f t="shared" si="505"/>
        <v>0</v>
      </c>
      <c r="Q2018" s="765"/>
      <c r="R2018" s="723"/>
      <c r="S2018" s="723"/>
      <c r="T2018" s="577">
        <f t="shared" si="502"/>
        <v>0</v>
      </c>
      <c r="U2018" s="578">
        <f t="shared" si="503"/>
        <v>0</v>
      </c>
      <c r="V2018" s="579"/>
      <c r="W2018" s="566" t="str">
        <f>IF(U2017&gt;0,"xx",IF(P2017&gt;0,"xy",""))</f>
        <v/>
      </c>
      <c r="X2018" s="586" t="str">
        <f t="shared" si="496"/>
        <v/>
      </c>
      <c r="Y2018" s="586" t="str">
        <f t="shared" si="431"/>
        <v/>
      </c>
      <c r="Z2018" s="586" t="str">
        <f t="shared" si="488"/>
        <v/>
      </c>
    </row>
    <row r="2019" spans="1:26" ht="12" hidden="1" thickBot="1" x14ac:dyDescent="0.25">
      <c r="A2019" s="567" t="s">
        <v>168</v>
      </c>
      <c r="B2019" s="644" t="s">
        <v>168</v>
      </c>
      <c r="C2019" s="645"/>
      <c r="D2019" s="422" t="s">
        <v>248</v>
      </c>
      <c r="E2019" s="423"/>
      <c r="F2019" s="424">
        <v>180</v>
      </c>
      <c r="G2019" s="425">
        <v>1.5100000000000001E-2</v>
      </c>
      <c r="H2019" s="663">
        <f t="shared" ref="H2019:H2020" si="515">IF(F2019&lt;=30,(1.07*F2019+2.68)*G2019,((1.07*30+2.68)+1.07*(F2019-30))*G2019)</f>
        <v>2.948728</v>
      </c>
      <c r="I2019" s="420"/>
      <c r="J2019" s="420"/>
      <c r="K2019" s="421">
        <f t="shared" si="501"/>
        <v>0</v>
      </c>
      <c r="L2019" s="647"/>
      <c r="M2019" s="723"/>
      <c r="N2019" s="576">
        <f t="shared" si="511"/>
        <v>0</v>
      </c>
      <c r="O2019" s="577">
        <f t="shared" si="504"/>
        <v>0</v>
      </c>
      <c r="P2019" s="578">
        <f t="shared" si="505"/>
        <v>0</v>
      </c>
      <c r="Q2019" s="765"/>
      <c r="R2019" s="723"/>
      <c r="S2019" s="723"/>
      <c r="T2019" s="577">
        <f t="shared" si="502"/>
        <v>0</v>
      </c>
      <c r="U2019" s="578">
        <f t="shared" si="503"/>
        <v>0</v>
      </c>
      <c r="V2019" s="579"/>
      <c r="W2019" s="566" t="str">
        <f>IF(U2017&gt;0,"xx",IF(P2017&gt;0,"xy",""))</f>
        <v/>
      </c>
      <c r="X2019" s="586" t="str">
        <f t="shared" si="496"/>
        <v/>
      </c>
      <c r="Y2019" s="586" t="str">
        <f t="shared" si="431"/>
        <v/>
      </c>
      <c r="Z2019" s="586" t="str">
        <f t="shared" si="488"/>
        <v/>
      </c>
    </row>
    <row r="2020" spans="1:26" ht="12" hidden="1" thickBot="1" x14ac:dyDescent="0.25">
      <c r="A2020" s="567" t="s">
        <v>168</v>
      </c>
      <c r="B2020" s="644" t="s">
        <v>168</v>
      </c>
      <c r="C2020" s="645"/>
      <c r="D2020" s="422" t="s">
        <v>347</v>
      </c>
      <c r="E2020" s="423"/>
      <c r="F2020" s="424">
        <v>20</v>
      </c>
      <c r="G2020" s="425">
        <v>0.53</v>
      </c>
      <c r="H2020" s="663">
        <f t="shared" si="515"/>
        <v>12.762400000000001</v>
      </c>
      <c r="I2020" s="420"/>
      <c r="J2020" s="420"/>
      <c r="K2020" s="421">
        <f t="shared" si="501"/>
        <v>0</v>
      </c>
      <c r="L2020" s="647"/>
      <c r="M2020" s="723"/>
      <c r="N2020" s="576">
        <f t="shared" si="511"/>
        <v>0</v>
      </c>
      <c r="O2020" s="577">
        <f t="shared" si="504"/>
        <v>0</v>
      </c>
      <c r="P2020" s="578">
        <f t="shared" si="505"/>
        <v>0</v>
      </c>
      <c r="Q2020" s="765"/>
      <c r="R2020" s="723"/>
      <c r="S2020" s="723"/>
      <c r="T2020" s="577">
        <f t="shared" si="502"/>
        <v>0</v>
      </c>
      <c r="U2020" s="578">
        <f t="shared" si="503"/>
        <v>0</v>
      </c>
      <c r="V2020" s="579"/>
      <c r="W2020" s="566" t="str">
        <f>IF(U2017&gt;0,"xx",IF(P2017&gt;0,"xy",""))</f>
        <v/>
      </c>
      <c r="X2020" s="586" t="str">
        <f t="shared" si="496"/>
        <v/>
      </c>
      <c r="Y2020" s="586" t="str">
        <f t="shared" si="431"/>
        <v/>
      </c>
      <c r="Z2020" s="586" t="str">
        <f t="shared" si="488"/>
        <v/>
      </c>
    </row>
    <row r="2021" spans="1:26" ht="12" hidden="1" thickBot="1" x14ac:dyDescent="0.25">
      <c r="A2021" s="567">
        <v>610800</v>
      </c>
      <c r="B2021" s="644" t="s">
        <v>1678</v>
      </c>
      <c r="C2021" s="645" t="s">
        <v>206</v>
      </c>
      <c r="D2021" s="422" t="s">
        <v>375</v>
      </c>
      <c r="E2021" s="423"/>
      <c r="F2021" s="424"/>
      <c r="G2021" s="425"/>
      <c r="H2021" s="651">
        <f>SUM(H2022:H2024)</f>
        <v>20.687328000000001</v>
      </c>
      <c r="I2021" s="420">
        <v>271.24</v>
      </c>
      <c r="J2021" s="420">
        <f>IF(ISBLANK(I2021),"",SUM(H2021:I2021))</f>
        <v>291.92732799999999</v>
      </c>
      <c r="K2021" s="421">
        <f t="shared" si="501"/>
        <v>346.84</v>
      </c>
      <c r="L2021" s="647" t="s">
        <v>19</v>
      </c>
      <c r="M2021" s="576"/>
      <c r="N2021" s="576">
        <f t="shared" si="511"/>
        <v>0</v>
      </c>
      <c r="O2021" s="577">
        <f t="shared" si="504"/>
        <v>0</v>
      </c>
      <c r="P2021" s="578">
        <f t="shared" si="505"/>
        <v>0</v>
      </c>
      <c r="Q2021" s="765"/>
      <c r="R2021" s="576">
        <f>M2021</f>
        <v>0</v>
      </c>
      <c r="S2021" s="576">
        <f>N2021</f>
        <v>0</v>
      </c>
      <c r="T2021" s="577">
        <f t="shared" si="502"/>
        <v>0</v>
      </c>
      <c r="U2021" s="578">
        <f t="shared" si="503"/>
        <v>0</v>
      </c>
      <c r="V2021" s="579"/>
      <c r="W2021" s="566"/>
      <c r="X2021" s="586" t="str">
        <f t="shared" si="496"/>
        <v/>
      </c>
      <c r="Y2021" s="586" t="str">
        <f t="shared" si="431"/>
        <v/>
      </c>
      <c r="Z2021" s="586" t="str">
        <f t="shared" si="488"/>
        <v/>
      </c>
    </row>
    <row r="2022" spans="1:26" ht="12" hidden="1" thickBot="1" x14ac:dyDescent="0.25">
      <c r="A2022" s="567" t="s">
        <v>168</v>
      </c>
      <c r="B2022" s="644" t="s">
        <v>168</v>
      </c>
      <c r="C2022" s="645"/>
      <c r="D2022" s="422" t="s">
        <v>212</v>
      </c>
      <c r="E2022" s="423"/>
      <c r="F2022" s="424">
        <v>500</v>
      </c>
      <c r="G2022" s="425">
        <v>3.2000000000000002E-3</v>
      </c>
      <c r="H2022" s="649">
        <f>IF(F2022&lt;=30,(0.78*F2022+7.82)*G2022,((0.78*30+7.82)+0.78*(F2022-30))*G2022)</f>
        <v>1.2730240000000002</v>
      </c>
      <c r="I2022" s="420"/>
      <c r="J2022" s="420"/>
      <c r="K2022" s="421">
        <f t="shared" si="501"/>
        <v>0</v>
      </c>
      <c r="L2022" s="647"/>
      <c r="M2022" s="723"/>
      <c r="N2022" s="576">
        <f t="shared" si="511"/>
        <v>0</v>
      </c>
      <c r="O2022" s="577">
        <f t="shared" si="504"/>
        <v>0</v>
      </c>
      <c r="P2022" s="578">
        <f t="shared" si="505"/>
        <v>0</v>
      </c>
      <c r="Q2022" s="765"/>
      <c r="R2022" s="723"/>
      <c r="S2022" s="723"/>
      <c r="T2022" s="577">
        <f t="shared" si="502"/>
        <v>0</v>
      </c>
      <c r="U2022" s="578">
        <f t="shared" si="503"/>
        <v>0</v>
      </c>
      <c r="V2022" s="579"/>
      <c r="W2022" s="566" t="str">
        <f>IF(U2021&gt;0,"xx",IF(P2021&gt;0,"xy",""))</f>
        <v/>
      </c>
      <c r="X2022" s="586" t="str">
        <f t="shared" si="496"/>
        <v/>
      </c>
      <c r="Y2022" s="586" t="str">
        <f t="shared" si="431"/>
        <v/>
      </c>
      <c r="Z2022" s="586" t="str">
        <f t="shared" si="488"/>
        <v/>
      </c>
    </row>
    <row r="2023" spans="1:26" ht="12" hidden="1" thickBot="1" x14ac:dyDescent="0.25">
      <c r="A2023" s="567" t="s">
        <v>168</v>
      </c>
      <c r="B2023" s="644" t="s">
        <v>168</v>
      </c>
      <c r="C2023" s="645"/>
      <c r="D2023" s="422" t="s">
        <v>248</v>
      </c>
      <c r="E2023" s="423"/>
      <c r="F2023" s="424">
        <v>180</v>
      </c>
      <c r="G2023" s="425">
        <v>1.6799999999999999E-2</v>
      </c>
      <c r="H2023" s="663">
        <f t="shared" ref="H2023:H2024" si="516">IF(F2023&lt;=30,(1.07*F2023+2.68)*G2023,((1.07*30+2.68)+1.07*(F2023-30))*G2023)</f>
        <v>3.2807039999999996</v>
      </c>
      <c r="I2023" s="420"/>
      <c r="J2023" s="420"/>
      <c r="K2023" s="421">
        <f t="shared" si="501"/>
        <v>0</v>
      </c>
      <c r="L2023" s="647"/>
      <c r="M2023" s="723"/>
      <c r="N2023" s="576">
        <f t="shared" si="511"/>
        <v>0</v>
      </c>
      <c r="O2023" s="577">
        <f t="shared" si="504"/>
        <v>0</v>
      </c>
      <c r="P2023" s="578">
        <f t="shared" si="505"/>
        <v>0</v>
      </c>
      <c r="Q2023" s="765"/>
      <c r="R2023" s="723"/>
      <c r="S2023" s="723"/>
      <c r="T2023" s="577">
        <f t="shared" si="502"/>
        <v>0</v>
      </c>
      <c r="U2023" s="578">
        <f t="shared" si="503"/>
        <v>0</v>
      </c>
      <c r="V2023" s="579"/>
      <c r="W2023" s="566" t="str">
        <f>IF(U2021&gt;0,"xx",IF(P2021&gt;0,"xy",""))</f>
        <v/>
      </c>
      <c r="X2023" s="586" t="str">
        <f t="shared" si="496"/>
        <v/>
      </c>
      <c r="Y2023" s="586" t="str">
        <f t="shared" si="431"/>
        <v/>
      </c>
      <c r="Z2023" s="586" t="str">
        <f t="shared" si="488"/>
        <v/>
      </c>
    </row>
    <row r="2024" spans="1:26" ht="12" hidden="1" thickBot="1" x14ac:dyDescent="0.25">
      <c r="A2024" s="567" t="s">
        <v>168</v>
      </c>
      <c r="B2024" s="644" t="s">
        <v>168</v>
      </c>
      <c r="C2024" s="645"/>
      <c r="D2024" s="422" t="s">
        <v>347</v>
      </c>
      <c r="E2024" s="423"/>
      <c r="F2024" s="424">
        <v>20</v>
      </c>
      <c r="G2024" s="425">
        <v>0.67</v>
      </c>
      <c r="H2024" s="663">
        <f t="shared" si="516"/>
        <v>16.133600000000001</v>
      </c>
      <c r="I2024" s="420"/>
      <c r="J2024" s="420"/>
      <c r="K2024" s="421">
        <f t="shared" si="501"/>
        <v>0</v>
      </c>
      <c r="L2024" s="647"/>
      <c r="M2024" s="723"/>
      <c r="N2024" s="576">
        <f t="shared" si="511"/>
        <v>0</v>
      </c>
      <c r="O2024" s="577">
        <f t="shared" si="504"/>
        <v>0</v>
      </c>
      <c r="P2024" s="578">
        <f t="shared" si="505"/>
        <v>0</v>
      </c>
      <c r="Q2024" s="765"/>
      <c r="R2024" s="723"/>
      <c r="S2024" s="723"/>
      <c r="T2024" s="577">
        <f t="shared" si="502"/>
        <v>0</v>
      </c>
      <c r="U2024" s="578">
        <f t="shared" si="503"/>
        <v>0</v>
      </c>
      <c r="V2024" s="579"/>
      <c r="W2024" s="566" t="str">
        <f>IF(U2021&gt;0,"xx",IF(P2021&gt;0,"xy",""))</f>
        <v/>
      </c>
      <c r="X2024" s="586" t="str">
        <f t="shared" si="496"/>
        <v/>
      </c>
      <c r="Y2024" s="586" t="str">
        <f t="shared" si="431"/>
        <v/>
      </c>
      <c r="Z2024" s="586" t="str">
        <f t="shared" ref="Z2024:Z2087" si="517">IF(W2024="X","x",IF(U2024&gt;0,"x",""))</f>
        <v/>
      </c>
    </row>
    <row r="2025" spans="1:26" ht="12" hidden="1" thickBot="1" x14ac:dyDescent="0.25">
      <c r="A2025" s="567">
        <v>610400</v>
      </c>
      <c r="B2025" s="644" t="s">
        <v>1670</v>
      </c>
      <c r="C2025" s="645" t="s">
        <v>206</v>
      </c>
      <c r="D2025" s="422" t="s">
        <v>376</v>
      </c>
      <c r="E2025" s="423"/>
      <c r="F2025" s="424"/>
      <c r="G2025" s="425"/>
      <c r="H2025" s="651">
        <f>SUM(H2026:H2028)</f>
        <v>5.3574580000000003</v>
      </c>
      <c r="I2025" s="420">
        <v>127.35</v>
      </c>
      <c r="J2025" s="420">
        <f>IF(ISBLANK(I2025),"",SUM(H2025:I2025))</f>
        <v>132.707458</v>
      </c>
      <c r="K2025" s="421">
        <f t="shared" si="501"/>
        <v>157.66999999999999</v>
      </c>
      <c r="L2025" s="647" t="s">
        <v>19</v>
      </c>
      <c r="M2025" s="576"/>
      <c r="N2025" s="576">
        <f t="shared" si="511"/>
        <v>0</v>
      </c>
      <c r="O2025" s="577">
        <f t="shared" si="504"/>
        <v>0</v>
      </c>
      <c r="P2025" s="578">
        <f t="shared" si="505"/>
        <v>0</v>
      </c>
      <c r="Q2025" s="765"/>
      <c r="R2025" s="576">
        <f>M2025</f>
        <v>0</v>
      </c>
      <c r="S2025" s="576">
        <f>N2025</f>
        <v>0</v>
      </c>
      <c r="T2025" s="577">
        <f t="shared" si="502"/>
        <v>0</v>
      </c>
      <c r="U2025" s="578">
        <f t="shared" si="503"/>
        <v>0</v>
      </c>
      <c r="V2025" s="579"/>
      <c r="W2025" s="566"/>
      <c r="X2025" s="586" t="str">
        <f t="shared" si="496"/>
        <v/>
      </c>
      <c r="Y2025" s="586" t="str">
        <f t="shared" si="431"/>
        <v/>
      </c>
      <c r="Z2025" s="586" t="str">
        <f t="shared" si="517"/>
        <v/>
      </c>
    </row>
    <row r="2026" spans="1:26" ht="12" hidden="1" thickBot="1" x14ac:dyDescent="0.25">
      <c r="A2026" s="567" t="s">
        <v>168</v>
      </c>
      <c r="B2026" s="644" t="s">
        <v>168</v>
      </c>
      <c r="C2026" s="645"/>
      <c r="D2026" s="422" t="s">
        <v>212</v>
      </c>
      <c r="E2026" s="423"/>
      <c r="F2026" s="424">
        <v>500</v>
      </c>
      <c r="G2026" s="425">
        <v>1.9E-3</v>
      </c>
      <c r="H2026" s="649">
        <f>IF(F2026&lt;=30,(0.78*F2026+7.82)*G2026,((0.78*30+7.82)+0.78*(F2026-30))*G2026)</f>
        <v>0.75585800000000014</v>
      </c>
      <c r="I2026" s="420"/>
      <c r="J2026" s="420"/>
      <c r="K2026" s="421">
        <f t="shared" si="501"/>
        <v>0</v>
      </c>
      <c r="L2026" s="647"/>
      <c r="M2026" s="723"/>
      <c r="N2026" s="576">
        <f t="shared" si="511"/>
        <v>0</v>
      </c>
      <c r="O2026" s="577">
        <f t="shared" si="504"/>
        <v>0</v>
      </c>
      <c r="P2026" s="578">
        <f t="shared" si="505"/>
        <v>0</v>
      </c>
      <c r="Q2026" s="765"/>
      <c r="R2026" s="723"/>
      <c r="S2026" s="723"/>
      <c r="T2026" s="577">
        <f t="shared" si="502"/>
        <v>0</v>
      </c>
      <c r="U2026" s="578">
        <f t="shared" si="503"/>
        <v>0</v>
      </c>
      <c r="V2026" s="579"/>
      <c r="W2026" s="566" t="str">
        <f>IF(U2025&gt;0,"xx",IF(P2025&gt;0,"xy",""))</f>
        <v/>
      </c>
      <c r="X2026" s="586" t="str">
        <f t="shared" si="496"/>
        <v/>
      </c>
      <c r="Y2026" s="586" t="str">
        <f t="shared" si="431"/>
        <v/>
      </c>
      <c r="Z2026" s="586" t="str">
        <f t="shared" si="517"/>
        <v/>
      </c>
    </row>
    <row r="2027" spans="1:26" ht="12" hidden="1" thickBot="1" x14ac:dyDescent="0.25">
      <c r="A2027" s="567" t="s">
        <v>168</v>
      </c>
      <c r="B2027" s="644" t="s">
        <v>168</v>
      </c>
      <c r="C2027" s="645"/>
      <c r="D2027" s="422" t="s">
        <v>248</v>
      </c>
      <c r="E2027" s="423"/>
      <c r="F2027" s="424">
        <v>180</v>
      </c>
      <c r="G2027" s="425">
        <v>0.01</v>
      </c>
      <c r="H2027" s="663">
        <f t="shared" ref="H2027:H2028" si="518">IF(F2027&lt;=30,(1.07*F2027+2.68)*G2027,((1.07*30+2.68)+1.07*(F2027-30))*G2027)</f>
        <v>1.9528000000000001</v>
      </c>
      <c r="I2027" s="420"/>
      <c r="J2027" s="420"/>
      <c r="K2027" s="421">
        <f t="shared" si="501"/>
        <v>0</v>
      </c>
      <c r="L2027" s="647"/>
      <c r="M2027" s="723"/>
      <c r="N2027" s="576">
        <f t="shared" si="511"/>
        <v>0</v>
      </c>
      <c r="O2027" s="577">
        <f t="shared" si="504"/>
        <v>0</v>
      </c>
      <c r="P2027" s="578">
        <f t="shared" si="505"/>
        <v>0</v>
      </c>
      <c r="Q2027" s="765"/>
      <c r="R2027" s="723"/>
      <c r="S2027" s="723"/>
      <c r="T2027" s="577">
        <f t="shared" si="502"/>
        <v>0</v>
      </c>
      <c r="U2027" s="578">
        <f t="shared" si="503"/>
        <v>0</v>
      </c>
      <c r="V2027" s="579"/>
      <c r="W2027" s="566" t="str">
        <f>IF(U2025&gt;0,"xx",IF(P2025&gt;0,"xy",""))</f>
        <v/>
      </c>
      <c r="X2027" s="586" t="str">
        <f t="shared" si="496"/>
        <v/>
      </c>
      <c r="Y2027" s="586" t="str">
        <f t="shared" si="431"/>
        <v/>
      </c>
      <c r="Z2027" s="586" t="str">
        <f t="shared" si="517"/>
        <v/>
      </c>
    </row>
    <row r="2028" spans="1:26" ht="12" hidden="1" thickBot="1" x14ac:dyDescent="0.25">
      <c r="A2028" s="567" t="s">
        <v>168</v>
      </c>
      <c r="B2028" s="644" t="s">
        <v>168</v>
      </c>
      <c r="C2028" s="645"/>
      <c r="D2028" s="422" t="s">
        <v>347</v>
      </c>
      <c r="E2028" s="423"/>
      <c r="F2028" s="424">
        <v>20</v>
      </c>
      <c r="G2028" s="425">
        <v>0.11</v>
      </c>
      <c r="H2028" s="663">
        <f t="shared" si="518"/>
        <v>2.6488</v>
      </c>
      <c r="I2028" s="420"/>
      <c r="J2028" s="420"/>
      <c r="K2028" s="421">
        <f t="shared" si="501"/>
        <v>0</v>
      </c>
      <c r="L2028" s="647"/>
      <c r="M2028" s="723"/>
      <c r="N2028" s="576">
        <f t="shared" si="511"/>
        <v>0</v>
      </c>
      <c r="O2028" s="577">
        <f t="shared" si="504"/>
        <v>0</v>
      </c>
      <c r="P2028" s="578">
        <f t="shared" si="505"/>
        <v>0</v>
      </c>
      <c r="Q2028" s="765"/>
      <c r="R2028" s="723"/>
      <c r="S2028" s="723"/>
      <c r="T2028" s="577">
        <f t="shared" si="502"/>
        <v>0</v>
      </c>
      <c r="U2028" s="578">
        <f t="shared" si="503"/>
        <v>0</v>
      </c>
      <c r="V2028" s="579"/>
      <c r="W2028" s="566" t="str">
        <f>IF(U2025&gt;0,"xx",IF(P2025&gt;0,"xy",""))</f>
        <v/>
      </c>
      <c r="X2028" s="586" t="str">
        <f t="shared" si="496"/>
        <v/>
      </c>
      <c r="Y2028" s="586" t="str">
        <f t="shared" si="431"/>
        <v/>
      </c>
      <c r="Z2028" s="586" t="str">
        <f t="shared" si="517"/>
        <v/>
      </c>
    </row>
    <row r="2029" spans="1:26" ht="12" hidden="1" thickBot="1" x14ac:dyDescent="0.25">
      <c r="A2029" s="567">
        <v>610600</v>
      </c>
      <c r="B2029" s="644" t="s">
        <v>1674</v>
      </c>
      <c r="C2029" s="645" t="s">
        <v>206</v>
      </c>
      <c r="D2029" s="422" t="s">
        <v>578</v>
      </c>
      <c r="E2029" s="423"/>
      <c r="F2029" s="424"/>
      <c r="G2029" s="425"/>
      <c r="H2029" s="651">
        <f>SUM(H2030:H2032)</f>
        <v>9.2197619999999993</v>
      </c>
      <c r="I2029" s="420">
        <v>197.23499999999999</v>
      </c>
      <c r="J2029" s="420">
        <f>IF(ISBLANK(I2029),"",SUM(H2029:I2029))</f>
        <v>206.45476199999999</v>
      </c>
      <c r="K2029" s="421">
        <f t="shared" si="501"/>
        <v>245.29</v>
      </c>
      <c r="L2029" s="647" t="s">
        <v>19</v>
      </c>
      <c r="M2029" s="576"/>
      <c r="N2029" s="576">
        <f t="shared" si="511"/>
        <v>0</v>
      </c>
      <c r="O2029" s="577">
        <f t="shared" si="504"/>
        <v>0</v>
      </c>
      <c r="P2029" s="578">
        <f t="shared" si="505"/>
        <v>0</v>
      </c>
      <c r="Q2029" s="765"/>
      <c r="R2029" s="576">
        <f>M2029</f>
        <v>0</v>
      </c>
      <c r="S2029" s="576">
        <f>N2029</f>
        <v>0</v>
      </c>
      <c r="T2029" s="577">
        <f t="shared" si="502"/>
        <v>0</v>
      </c>
      <c r="U2029" s="578">
        <f t="shared" si="503"/>
        <v>0</v>
      </c>
      <c r="V2029" s="579"/>
      <c r="W2029" s="566"/>
      <c r="X2029" s="586" t="str">
        <f t="shared" si="496"/>
        <v/>
      </c>
      <c r="Y2029" s="586" t="str">
        <f t="shared" si="431"/>
        <v/>
      </c>
      <c r="Z2029" s="586" t="str">
        <f t="shared" si="517"/>
        <v/>
      </c>
    </row>
    <row r="2030" spans="1:26" ht="12" hidden="1" thickBot="1" x14ac:dyDescent="0.25">
      <c r="A2030" s="567" t="s">
        <v>168</v>
      </c>
      <c r="B2030" s="644" t="s">
        <v>168</v>
      </c>
      <c r="C2030" s="645"/>
      <c r="D2030" s="422" t="s">
        <v>212</v>
      </c>
      <c r="E2030" s="423"/>
      <c r="F2030" s="424">
        <v>500</v>
      </c>
      <c r="G2030" s="425">
        <v>2.3E-3</v>
      </c>
      <c r="H2030" s="649">
        <f>IF(F2030&lt;=30,(0.78*F2030+7.82)*G2030,((0.78*30+7.82)+0.78*(F2030-30))*G2030)</f>
        <v>0.91498600000000008</v>
      </c>
      <c r="I2030" s="420"/>
      <c r="J2030" s="420"/>
      <c r="K2030" s="421">
        <f t="shared" si="501"/>
        <v>0</v>
      </c>
      <c r="L2030" s="647"/>
      <c r="M2030" s="723"/>
      <c r="N2030" s="576">
        <f t="shared" si="511"/>
        <v>0</v>
      </c>
      <c r="O2030" s="577">
        <f t="shared" si="504"/>
        <v>0</v>
      </c>
      <c r="P2030" s="578">
        <f t="shared" si="505"/>
        <v>0</v>
      </c>
      <c r="Q2030" s="765"/>
      <c r="R2030" s="723"/>
      <c r="S2030" s="723"/>
      <c r="T2030" s="577">
        <f t="shared" si="502"/>
        <v>0</v>
      </c>
      <c r="U2030" s="578">
        <f t="shared" si="503"/>
        <v>0</v>
      </c>
      <c r="V2030" s="579"/>
      <c r="W2030" s="566" t="str">
        <f>IF(U2029&gt;0,"xx",IF(P2029&gt;0,"xy",""))</f>
        <v/>
      </c>
      <c r="X2030" s="586" t="str">
        <f t="shared" si="496"/>
        <v/>
      </c>
      <c r="Y2030" s="586" t="str">
        <f t="shared" si="431"/>
        <v/>
      </c>
      <c r="Z2030" s="586" t="str">
        <f t="shared" si="517"/>
        <v/>
      </c>
    </row>
    <row r="2031" spans="1:26" ht="12" hidden="1" thickBot="1" x14ac:dyDescent="0.25">
      <c r="A2031" s="567" t="s">
        <v>168</v>
      </c>
      <c r="B2031" s="644" t="s">
        <v>168</v>
      </c>
      <c r="C2031" s="645"/>
      <c r="D2031" s="422" t="s">
        <v>248</v>
      </c>
      <c r="E2031" s="423"/>
      <c r="F2031" s="424">
        <v>180</v>
      </c>
      <c r="G2031" s="425">
        <v>1.17E-2</v>
      </c>
      <c r="H2031" s="663">
        <f t="shared" ref="H2031:H2032" si="519">IF(F2031&lt;=30,(1.07*F2031+2.68)*G2031,((1.07*30+2.68)+1.07*(F2031-30))*G2031)</f>
        <v>2.2847759999999999</v>
      </c>
      <c r="I2031" s="420"/>
      <c r="J2031" s="420"/>
      <c r="K2031" s="421">
        <f t="shared" si="501"/>
        <v>0</v>
      </c>
      <c r="L2031" s="647"/>
      <c r="M2031" s="723"/>
      <c r="N2031" s="576">
        <f t="shared" si="511"/>
        <v>0</v>
      </c>
      <c r="O2031" s="577">
        <f t="shared" si="504"/>
        <v>0</v>
      </c>
      <c r="P2031" s="578">
        <f t="shared" si="505"/>
        <v>0</v>
      </c>
      <c r="Q2031" s="765"/>
      <c r="R2031" s="723"/>
      <c r="S2031" s="723"/>
      <c r="T2031" s="577">
        <f t="shared" si="502"/>
        <v>0</v>
      </c>
      <c r="U2031" s="578">
        <f t="shared" si="503"/>
        <v>0</v>
      </c>
      <c r="V2031" s="579"/>
      <c r="W2031" s="566" t="str">
        <f>IF(U2029&gt;0,"xx",IF(P2029&gt;0,"xy",""))</f>
        <v/>
      </c>
      <c r="X2031" s="586" t="str">
        <f t="shared" si="496"/>
        <v/>
      </c>
      <c r="Y2031" s="586" t="str">
        <f t="shared" si="431"/>
        <v/>
      </c>
      <c r="Z2031" s="586" t="str">
        <f t="shared" si="517"/>
        <v/>
      </c>
    </row>
    <row r="2032" spans="1:26" ht="12" hidden="1" thickBot="1" x14ac:dyDescent="0.25">
      <c r="A2032" s="567" t="s">
        <v>168</v>
      </c>
      <c r="B2032" s="644" t="s">
        <v>168</v>
      </c>
      <c r="C2032" s="645"/>
      <c r="D2032" s="422" t="s">
        <v>347</v>
      </c>
      <c r="E2032" s="423"/>
      <c r="F2032" s="424">
        <v>20</v>
      </c>
      <c r="G2032" s="425">
        <v>0.25</v>
      </c>
      <c r="H2032" s="663">
        <f t="shared" si="519"/>
        <v>6.0200000000000005</v>
      </c>
      <c r="I2032" s="420"/>
      <c r="J2032" s="420"/>
      <c r="K2032" s="421">
        <f t="shared" si="501"/>
        <v>0</v>
      </c>
      <c r="L2032" s="647"/>
      <c r="M2032" s="723"/>
      <c r="N2032" s="576">
        <f t="shared" si="511"/>
        <v>0</v>
      </c>
      <c r="O2032" s="577">
        <f t="shared" si="504"/>
        <v>0</v>
      </c>
      <c r="P2032" s="578">
        <f t="shared" si="505"/>
        <v>0</v>
      </c>
      <c r="Q2032" s="765"/>
      <c r="R2032" s="723"/>
      <c r="S2032" s="723"/>
      <c r="T2032" s="577">
        <f t="shared" si="502"/>
        <v>0</v>
      </c>
      <c r="U2032" s="578">
        <f t="shared" si="503"/>
        <v>0</v>
      </c>
      <c r="V2032" s="579"/>
      <c r="W2032" s="566" t="str">
        <f>IF(U2029&gt;0,"xx",IF(P2029&gt;0,"xy",""))</f>
        <v/>
      </c>
      <c r="X2032" s="586" t="str">
        <f t="shared" si="496"/>
        <v/>
      </c>
      <c r="Y2032" s="586" t="str">
        <f t="shared" si="431"/>
        <v/>
      </c>
      <c r="Z2032" s="586" t="str">
        <f t="shared" si="517"/>
        <v/>
      </c>
    </row>
    <row r="2033" spans="1:26" ht="12" hidden="1" thickBot="1" x14ac:dyDescent="0.25">
      <c r="A2033" s="567">
        <v>610600</v>
      </c>
      <c r="B2033" s="644" t="s">
        <v>1675</v>
      </c>
      <c r="C2033" s="645" t="s">
        <v>206</v>
      </c>
      <c r="D2033" s="422" t="s">
        <v>377</v>
      </c>
      <c r="E2033" s="423"/>
      <c r="F2033" s="424"/>
      <c r="G2033" s="425"/>
      <c r="H2033" s="651">
        <f>SUM(H2034:H2036)</f>
        <v>13.042284000000002</v>
      </c>
      <c r="I2033" s="420">
        <v>267.11999999999995</v>
      </c>
      <c r="J2033" s="420">
        <f>IF(ISBLANK(I2033),"",SUM(H2033:I2033))</f>
        <v>280.16228399999994</v>
      </c>
      <c r="K2033" s="421">
        <f t="shared" si="501"/>
        <v>332.86</v>
      </c>
      <c r="L2033" s="647" t="s">
        <v>19</v>
      </c>
      <c r="M2033" s="576"/>
      <c r="N2033" s="576">
        <f t="shared" si="511"/>
        <v>0</v>
      </c>
      <c r="O2033" s="577">
        <f t="shared" si="504"/>
        <v>0</v>
      </c>
      <c r="P2033" s="578">
        <f t="shared" si="505"/>
        <v>0</v>
      </c>
      <c r="Q2033" s="765"/>
      <c r="R2033" s="576">
        <f>M2033</f>
        <v>0</v>
      </c>
      <c r="S2033" s="576">
        <f>N2033</f>
        <v>0</v>
      </c>
      <c r="T2033" s="577">
        <f t="shared" si="502"/>
        <v>0</v>
      </c>
      <c r="U2033" s="578">
        <f t="shared" si="503"/>
        <v>0</v>
      </c>
      <c r="V2033" s="579"/>
      <c r="W2033" s="566"/>
      <c r="X2033" s="586" t="str">
        <f t="shared" si="496"/>
        <v/>
      </c>
      <c r="Y2033" s="586" t="str">
        <f t="shared" si="431"/>
        <v/>
      </c>
      <c r="Z2033" s="586" t="str">
        <f t="shared" si="517"/>
        <v/>
      </c>
    </row>
    <row r="2034" spans="1:26" ht="12" hidden="1" thickBot="1" x14ac:dyDescent="0.25">
      <c r="A2034" s="567" t="s">
        <v>168</v>
      </c>
      <c r="B2034" s="644" t="s">
        <v>168</v>
      </c>
      <c r="C2034" s="645"/>
      <c r="D2034" s="422" t="s">
        <v>212</v>
      </c>
      <c r="E2034" s="423"/>
      <c r="F2034" s="424">
        <v>500</v>
      </c>
      <c r="G2034" s="425">
        <v>2.5999999999999999E-3</v>
      </c>
      <c r="H2034" s="649">
        <f>IF(F2034&lt;=30,(0.78*F2034+7.82)*G2034,((0.78*30+7.82)+0.78*(F2034-30))*G2034)</f>
        <v>1.034332</v>
      </c>
      <c r="I2034" s="420"/>
      <c r="J2034" s="420"/>
      <c r="K2034" s="421">
        <f t="shared" si="501"/>
        <v>0</v>
      </c>
      <c r="L2034" s="647"/>
      <c r="M2034" s="723"/>
      <c r="N2034" s="576">
        <f t="shared" si="511"/>
        <v>0</v>
      </c>
      <c r="O2034" s="577">
        <f t="shared" si="504"/>
        <v>0</v>
      </c>
      <c r="P2034" s="578">
        <f t="shared" si="505"/>
        <v>0</v>
      </c>
      <c r="Q2034" s="765"/>
      <c r="R2034" s="723"/>
      <c r="S2034" s="723"/>
      <c r="T2034" s="577">
        <f t="shared" si="502"/>
        <v>0</v>
      </c>
      <c r="U2034" s="578">
        <f t="shared" si="503"/>
        <v>0</v>
      </c>
      <c r="V2034" s="579"/>
      <c r="W2034" s="566" t="str">
        <f>IF(U2033&gt;0,"xx",IF(P2033&gt;0,"xy",""))</f>
        <v/>
      </c>
      <c r="X2034" s="586" t="str">
        <f t="shared" si="496"/>
        <v/>
      </c>
      <c r="Y2034" s="586" t="str">
        <f t="shared" si="431"/>
        <v/>
      </c>
      <c r="Z2034" s="586" t="str">
        <f t="shared" si="517"/>
        <v/>
      </c>
    </row>
    <row r="2035" spans="1:26" ht="12" hidden="1" thickBot="1" x14ac:dyDescent="0.25">
      <c r="A2035" s="567" t="s">
        <v>168</v>
      </c>
      <c r="B2035" s="644" t="s">
        <v>168</v>
      </c>
      <c r="C2035" s="645"/>
      <c r="D2035" s="422" t="s">
        <v>248</v>
      </c>
      <c r="E2035" s="423"/>
      <c r="F2035" s="424">
        <v>180</v>
      </c>
      <c r="G2035" s="425">
        <v>1.34E-2</v>
      </c>
      <c r="H2035" s="663">
        <f t="shared" ref="H2035:H2036" si="520">IF(F2035&lt;=30,(1.07*F2035+2.68)*G2035,((1.07*30+2.68)+1.07*(F2035-30))*G2035)</f>
        <v>2.616752</v>
      </c>
      <c r="I2035" s="420"/>
      <c r="J2035" s="420"/>
      <c r="K2035" s="421">
        <f t="shared" si="501"/>
        <v>0</v>
      </c>
      <c r="L2035" s="647"/>
      <c r="M2035" s="723"/>
      <c r="N2035" s="576">
        <f t="shared" si="511"/>
        <v>0</v>
      </c>
      <c r="O2035" s="577">
        <f t="shared" si="504"/>
        <v>0</v>
      </c>
      <c r="P2035" s="578">
        <f t="shared" si="505"/>
        <v>0</v>
      </c>
      <c r="Q2035" s="765"/>
      <c r="R2035" s="723"/>
      <c r="S2035" s="723"/>
      <c r="T2035" s="577">
        <f t="shared" si="502"/>
        <v>0</v>
      </c>
      <c r="U2035" s="578">
        <f t="shared" si="503"/>
        <v>0</v>
      </c>
      <c r="V2035" s="579"/>
      <c r="W2035" s="566" t="str">
        <f>IF(U2033&gt;0,"xx",IF(P2033&gt;0,"xy",""))</f>
        <v/>
      </c>
      <c r="X2035" s="586" t="str">
        <f t="shared" si="496"/>
        <v/>
      </c>
      <c r="Y2035" s="586" t="str">
        <f t="shared" si="431"/>
        <v/>
      </c>
      <c r="Z2035" s="586" t="str">
        <f t="shared" si="517"/>
        <v/>
      </c>
    </row>
    <row r="2036" spans="1:26" ht="12" hidden="1" thickBot="1" x14ac:dyDescent="0.25">
      <c r="A2036" s="567" t="s">
        <v>168</v>
      </c>
      <c r="B2036" s="644" t="s">
        <v>168</v>
      </c>
      <c r="C2036" s="645"/>
      <c r="D2036" s="422" t="s">
        <v>347</v>
      </c>
      <c r="E2036" s="423"/>
      <c r="F2036" s="424">
        <v>20</v>
      </c>
      <c r="G2036" s="425">
        <v>0.39</v>
      </c>
      <c r="H2036" s="663">
        <f t="shared" si="520"/>
        <v>9.3912000000000013</v>
      </c>
      <c r="I2036" s="420"/>
      <c r="J2036" s="420"/>
      <c r="K2036" s="421">
        <f t="shared" si="501"/>
        <v>0</v>
      </c>
      <c r="L2036" s="647"/>
      <c r="M2036" s="723"/>
      <c r="N2036" s="576">
        <f t="shared" si="511"/>
        <v>0</v>
      </c>
      <c r="O2036" s="577">
        <f t="shared" si="504"/>
        <v>0</v>
      </c>
      <c r="P2036" s="578">
        <f t="shared" si="505"/>
        <v>0</v>
      </c>
      <c r="Q2036" s="765"/>
      <c r="R2036" s="723"/>
      <c r="S2036" s="723"/>
      <c r="T2036" s="577">
        <f t="shared" si="502"/>
        <v>0</v>
      </c>
      <c r="U2036" s="578">
        <f t="shared" si="503"/>
        <v>0</v>
      </c>
      <c r="V2036" s="579"/>
      <c r="W2036" s="566" t="str">
        <f>IF(U2033&gt;0,"xx",IF(P2033&gt;0,"xy",""))</f>
        <v/>
      </c>
      <c r="X2036" s="586" t="str">
        <f t="shared" si="496"/>
        <v/>
      </c>
      <c r="Y2036" s="586" t="str">
        <f t="shared" si="431"/>
        <v/>
      </c>
      <c r="Z2036" s="586" t="str">
        <f t="shared" si="517"/>
        <v/>
      </c>
    </row>
    <row r="2037" spans="1:26" ht="12" hidden="1" thickBot="1" x14ac:dyDescent="0.25">
      <c r="A2037" s="567">
        <v>610800</v>
      </c>
      <c r="B2037" s="644" t="s">
        <v>1679</v>
      </c>
      <c r="C2037" s="645" t="s">
        <v>206</v>
      </c>
      <c r="D2037" s="422" t="s">
        <v>576</v>
      </c>
      <c r="E2037" s="423"/>
      <c r="F2037" s="424"/>
      <c r="G2037" s="425"/>
      <c r="H2037" s="651">
        <f>SUM(H2038:H2040)</f>
        <v>16.864806000000002</v>
      </c>
      <c r="I2037" s="420">
        <v>366.05500000000001</v>
      </c>
      <c r="J2037" s="420">
        <f>IF(ISBLANK(I2037),"",SUM(H2037:I2037))</f>
        <v>382.91980599999999</v>
      </c>
      <c r="K2037" s="421">
        <f t="shared" si="501"/>
        <v>454.95</v>
      </c>
      <c r="L2037" s="647" t="s">
        <v>19</v>
      </c>
      <c r="M2037" s="576"/>
      <c r="N2037" s="576">
        <f t="shared" si="511"/>
        <v>0</v>
      </c>
      <c r="O2037" s="577">
        <f t="shared" si="504"/>
        <v>0</v>
      </c>
      <c r="P2037" s="578">
        <f t="shared" si="505"/>
        <v>0</v>
      </c>
      <c r="Q2037" s="765"/>
      <c r="R2037" s="576">
        <f>M2037</f>
        <v>0</v>
      </c>
      <c r="S2037" s="576">
        <f>N2037</f>
        <v>0</v>
      </c>
      <c r="T2037" s="577">
        <f t="shared" si="502"/>
        <v>0</v>
      </c>
      <c r="U2037" s="578">
        <f t="shared" si="503"/>
        <v>0</v>
      </c>
      <c r="V2037" s="579"/>
      <c r="W2037" s="566"/>
      <c r="X2037" s="586" t="str">
        <f t="shared" si="496"/>
        <v/>
      </c>
      <c r="Y2037" s="586" t="str">
        <f t="shared" si="431"/>
        <v/>
      </c>
      <c r="Z2037" s="586" t="str">
        <f t="shared" si="517"/>
        <v/>
      </c>
    </row>
    <row r="2038" spans="1:26" ht="12" hidden="1" thickBot="1" x14ac:dyDescent="0.25">
      <c r="A2038" s="567" t="s">
        <v>168</v>
      </c>
      <c r="B2038" s="644" t="s">
        <v>168</v>
      </c>
      <c r="C2038" s="645"/>
      <c r="D2038" s="422" t="s">
        <v>212</v>
      </c>
      <c r="E2038" s="423"/>
      <c r="F2038" s="424">
        <v>500</v>
      </c>
      <c r="G2038" s="425">
        <v>2.8999999999999998E-3</v>
      </c>
      <c r="H2038" s="649">
        <f>IF(F2038&lt;=30,(0.78*F2038+7.82)*G2038,((0.78*30+7.82)+0.78*(F2038-30))*G2038)</f>
        <v>1.153678</v>
      </c>
      <c r="I2038" s="420"/>
      <c r="J2038" s="420"/>
      <c r="K2038" s="421">
        <f t="shared" si="501"/>
        <v>0</v>
      </c>
      <c r="L2038" s="647"/>
      <c r="M2038" s="723"/>
      <c r="N2038" s="576">
        <f t="shared" si="511"/>
        <v>0</v>
      </c>
      <c r="O2038" s="577">
        <f t="shared" si="504"/>
        <v>0</v>
      </c>
      <c r="P2038" s="578">
        <f t="shared" si="505"/>
        <v>0</v>
      </c>
      <c r="Q2038" s="765"/>
      <c r="R2038" s="723"/>
      <c r="S2038" s="723"/>
      <c r="T2038" s="577">
        <f t="shared" si="502"/>
        <v>0</v>
      </c>
      <c r="U2038" s="578">
        <f t="shared" si="503"/>
        <v>0</v>
      </c>
      <c r="V2038" s="579"/>
      <c r="W2038" s="566" t="str">
        <f>IF(U2037&gt;0,"xx",IF(P2037&gt;0,"xy",""))</f>
        <v/>
      </c>
      <c r="X2038" s="586" t="str">
        <f t="shared" si="496"/>
        <v/>
      </c>
      <c r="Y2038" s="586" t="str">
        <f t="shared" si="431"/>
        <v/>
      </c>
      <c r="Z2038" s="586" t="str">
        <f t="shared" si="517"/>
        <v/>
      </c>
    </row>
    <row r="2039" spans="1:26" ht="12" hidden="1" thickBot="1" x14ac:dyDescent="0.25">
      <c r="A2039" s="567" t="s">
        <v>168</v>
      </c>
      <c r="B2039" s="644" t="s">
        <v>168</v>
      </c>
      <c r="C2039" s="645"/>
      <c r="D2039" s="422" t="s">
        <v>248</v>
      </c>
      <c r="E2039" s="423"/>
      <c r="F2039" s="424">
        <v>180</v>
      </c>
      <c r="G2039" s="425">
        <v>1.5100000000000001E-2</v>
      </c>
      <c r="H2039" s="663">
        <f t="shared" ref="H2039:H2040" si="521">IF(F2039&lt;=30,(1.07*F2039+2.68)*G2039,((1.07*30+2.68)+1.07*(F2039-30))*G2039)</f>
        <v>2.948728</v>
      </c>
      <c r="I2039" s="420"/>
      <c r="J2039" s="420"/>
      <c r="K2039" s="421">
        <f t="shared" si="501"/>
        <v>0</v>
      </c>
      <c r="L2039" s="647"/>
      <c r="M2039" s="723"/>
      <c r="N2039" s="576">
        <f t="shared" si="511"/>
        <v>0</v>
      </c>
      <c r="O2039" s="577">
        <f t="shared" si="504"/>
        <v>0</v>
      </c>
      <c r="P2039" s="578">
        <f t="shared" si="505"/>
        <v>0</v>
      </c>
      <c r="Q2039" s="765"/>
      <c r="R2039" s="723"/>
      <c r="S2039" s="723"/>
      <c r="T2039" s="577">
        <f t="shared" si="502"/>
        <v>0</v>
      </c>
      <c r="U2039" s="578">
        <f t="shared" si="503"/>
        <v>0</v>
      </c>
      <c r="V2039" s="579"/>
      <c r="W2039" s="566" t="str">
        <f>IF(U2037&gt;0,"xx",IF(P2037&gt;0,"xy",""))</f>
        <v/>
      </c>
      <c r="X2039" s="586" t="str">
        <f t="shared" ref="X2039:X2119" si="522">IF(W2039="X","x",IF(W2039="xx","x",IF(W2039="xy","x",IF(W2039="y","x",IF(OR(P2039&gt;0,U2039&gt;0),"x","")))))</f>
        <v/>
      </c>
      <c r="Y2039" s="586" t="str">
        <f t="shared" si="431"/>
        <v/>
      </c>
      <c r="Z2039" s="586" t="str">
        <f t="shared" si="517"/>
        <v/>
      </c>
    </row>
    <row r="2040" spans="1:26" ht="12" hidden="1" thickBot="1" x14ac:dyDescent="0.25">
      <c r="A2040" s="567" t="s">
        <v>168</v>
      </c>
      <c r="B2040" s="644" t="s">
        <v>168</v>
      </c>
      <c r="C2040" s="645"/>
      <c r="D2040" s="422" t="s">
        <v>347</v>
      </c>
      <c r="E2040" s="423"/>
      <c r="F2040" s="424">
        <v>20</v>
      </c>
      <c r="G2040" s="425">
        <v>0.53</v>
      </c>
      <c r="H2040" s="663">
        <f t="shared" si="521"/>
        <v>12.762400000000001</v>
      </c>
      <c r="I2040" s="420"/>
      <c r="J2040" s="420"/>
      <c r="K2040" s="421">
        <f t="shared" si="501"/>
        <v>0</v>
      </c>
      <c r="L2040" s="647"/>
      <c r="M2040" s="723"/>
      <c r="N2040" s="576">
        <f t="shared" si="511"/>
        <v>0</v>
      </c>
      <c r="O2040" s="577">
        <f t="shared" si="504"/>
        <v>0</v>
      </c>
      <c r="P2040" s="578">
        <f t="shared" si="505"/>
        <v>0</v>
      </c>
      <c r="Q2040" s="765"/>
      <c r="R2040" s="723"/>
      <c r="S2040" s="723"/>
      <c r="T2040" s="577">
        <f t="shared" si="502"/>
        <v>0</v>
      </c>
      <c r="U2040" s="578">
        <f t="shared" si="503"/>
        <v>0</v>
      </c>
      <c r="V2040" s="579"/>
      <c r="W2040" s="566" t="str">
        <f>IF(U2037&gt;0,"xx",IF(P2037&gt;0,"xy",""))</f>
        <v/>
      </c>
      <c r="X2040" s="586" t="str">
        <f t="shared" si="522"/>
        <v/>
      </c>
      <c r="Y2040" s="586" t="str">
        <f t="shared" si="431"/>
        <v/>
      </c>
      <c r="Z2040" s="586" t="str">
        <f t="shared" si="517"/>
        <v/>
      </c>
    </row>
    <row r="2041" spans="1:26" ht="12" hidden="1" thickBot="1" x14ac:dyDescent="0.25">
      <c r="A2041" s="567">
        <v>610800</v>
      </c>
      <c r="B2041" s="644" t="s">
        <v>1680</v>
      </c>
      <c r="C2041" s="645" t="s">
        <v>206</v>
      </c>
      <c r="D2041" s="422" t="s">
        <v>378</v>
      </c>
      <c r="E2041" s="423"/>
      <c r="F2041" s="424"/>
      <c r="G2041" s="425"/>
      <c r="H2041" s="651">
        <f>SUM(H2042:H2044)</f>
        <v>20.687328000000001</v>
      </c>
      <c r="I2041" s="420">
        <v>464.99</v>
      </c>
      <c r="J2041" s="420">
        <f>IF(ISBLANK(I2041),"",SUM(H2041:I2041))</f>
        <v>485.67732799999999</v>
      </c>
      <c r="K2041" s="421">
        <f t="shared" si="501"/>
        <v>577.03</v>
      </c>
      <c r="L2041" s="647" t="s">
        <v>19</v>
      </c>
      <c r="M2041" s="576"/>
      <c r="N2041" s="576">
        <f t="shared" si="511"/>
        <v>0</v>
      </c>
      <c r="O2041" s="577">
        <f t="shared" si="504"/>
        <v>0</v>
      </c>
      <c r="P2041" s="578">
        <f t="shared" si="505"/>
        <v>0</v>
      </c>
      <c r="Q2041" s="765"/>
      <c r="R2041" s="576">
        <f>M2041</f>
        <v>0</v>
      </c>
      <c r="S2041" s="576">
        <f>N2041</f>
        <v>0</v>
      </c>
      <c r="T2041" s="577">
        <f t="shared" si="502"/>
        <v>0</v>
      </c>
      <c r="U2041" s="578">
        <f t="shared" si="503"/>
        <v>0</v>
      </c>
      <c r="V2041" s="579"/>
      <c r="W2041" s="566"/>
      <c r="X2041" s="586" t="str">
        <f t="shared" si="522"/>
        <v/>
      </c>
      <c r="Y2041" s="586" t="str">
        <f t="shared" si="431"/>
        <v/>
      </c>
      <c r="Z2041" s="586" t="str">
        <f t="shared" si="517"/>
        <v/>
      </c>
    </row>
    <row r="2042" spans="1:26" ht="12" hidden="1" thickBot="1" x14ac:dyDescent="0.25">
      <c r="A2042" s="567" t="s">
        <v>168</v>
      </c>
      <c r="B2042" s="644" t="s">
        <v>168</v>
      </c>
      <c r="C2042" s="645"/>
      <c r="D2042" s="422" t="s">
        <v>212</v>
      </c>
      <c r="E2042" s="423"/>
      <c r="F2042" s="424">
        <v>500</v>
      </c>
      <c r="G2042" s="425">
        <v>3.2000000000000002E-3</v>
      </c>
      <c r="H2042" s="649">
        <f>IF(F2042&lt;=30,(0.78*F2042+7.82)*G2042,((0.78*30+7.82)+0.78*(F2042-30))*G2042)</f>
        <v>1.2730240000000002</v>
      </c>
      <c r="I2042" s="420"/>
      <c r="J2042" s="420"/>
      <c r="K2042" s="421">
        <f t="shared" si="501"/>
        <v>0</v>
      </c>
      <c r="L2042" s="647"/>
      <c r="M2042" s="723"/>
      <c r="N2042" s="576">
        <f t="shared" si="511"/>
        <v>0</v>
      </c>
      <c r="O2042" s="577">
        <f t="shared" si="504"/>
        <v>0</v>
      </c>
      <c r="P2042" s="578">
        <f t="shared" si="505"/>
        <v>0</v>
      </c>
      <c r="Q2042" s="765"/>
      <c r="R2042" s="723"/>
      <c r="S2042" s="723"/>
      <c r="T2042" s="577">
        <f t="shared" si="502"/>
        <v>0</v>
      </c>
      <c r="U2042" s="578">
        <f t="shared" si="503"/>
        <v>0</v>
      </c>
      <c r="V2042" s="579"/>
      <c r="W2042" s="566" t="str">
        <f>IF(U2041&gt;0,"xx",IF(P2041&gt;0,"xy",""))</f>
        <v/>
      </c>
      <c r="X2042" s="586" t="str">
        <f t="shared" si="522"/>
        <v/>
      </c>
      <c r="Y2042" s="586" t="str">
        <f t="shared" si="431"/>
        <v/>
      </c>
      <c r="Z2042" s="586" t="str">
        <f t="shared" si="517"/>
        <v/>
      </c>
    </row>
    <row r="2043" spans="1:26" ht="12" hidden="1" thickBot="1" x14ac:dyDescent="0.25">
      <c r="A2043" s="567" t="s">
        <v>168</v>
      </c>
      <c r="B2043" s="644" t="s">
        <v>168</v>
      </c>
      <c r="C2043" s="645"/>
      <c r="D2043" s="422" t="s">
        <v>248</v>
      </c>
      <c r="E2043" s="423"/>
      <c r="F2043" s="424">
        <v>180</v>
      </c>
      <c r="G2043" s="425">
        <v>1.6799999999999999E-2</v>
      </c>
      <c r="H2043" s="663">
        <f t="shared" ref="H2043:H2044" si="523">IF(F2043&lt;=30,(1.07*F2043+2.68)*G2043,((1.07*30+2.68)+1.07*(F2043-30))*G2043)</f>
        <v>3.2807039999999996</v>
      </c>
      <c r="I2043" s="420"/>
      <c r="J2043" s="420"/>
      <c r="K2043" s="421">
        <f t="shared" si="501"/>
        <v>0</v>
      </c>
      <c r="L2043" s="647"/>
      <c r="M2043" s="723"/>
      <c r="N2043" s="576">
        <f t="shared" si="511"/>
        <v>0</v>
      </c>
      <c r="O2043" s="577">
        <f t="shared" si="504"/>
        <v>0</v>
      </c>
      <c r="P2043" s="578">
        <f t="shared" si="505"/>
        <v>0</v>
      </c>
      <c r="Q2043" s="765"/>
      <c r="R2043" s="723"/>
      <c r="S2043" s="723"/>
      <c r="T2043" s="577">
        <f t="shared" si="502"/>
        <v>0</v>
      </c>
      <c r="U2043" s="578">
        <f t="shared" si="503"/>
        <v>0</v>
      </c>
      <c r="V2043" s="579"/>
      <c r="W2043" s="566" t="str">
        <f>IF(U2041&gt;0,"xx",IF(P2041&gt;0,"xy",""))</f>
        <v/>
      </c>
      <c r="X2043" s="586" t="str">
        <f t="shared" si="522"/>
        <v/>
      </c>
      <c r="Y2043" s="586" t="str">
        <f t="shared" si="431"/>
        <v/>
      </c>
      <c r="Z2043" s="586" t="str">
        <f t="shared" si="517"/>
        <v/>
      </c>
    </row>
    <row r="2044" spans="1:26" ht="12" hidden="1" thickBot="1" x14ac:dyDescent="0.25">
      <c r="A2044" s="567" t="s">
        <v>168</v>
      </c>
      <c r="B2044" s="644" t="s">
        <v>168</v>
      </c>
      <c r="C2044" s="645"/>
      <c r="D2044" s="422" t="s">
        <v>347</v>
      </c>
      <c r="E2044" s="423"/>
      <c r="F2044" s="424">
        <v>20</v>
      </c>
      <c r="G2044" s="425">
        <v>0.67</v>
      </c>
      <c r="H2044" s="663">
        <f t="shared" si="523"/>
        <v>16.133600000000001</v>
      </c>
      <c r="I2044" s="420"/>
      <c r="J2044" s="420"/>
      <c r="K2044" s="421">
        <f t="shared" si="501"/>
        <v>0</v>
      </c>
      <c r="L2044" s="647"/>
      <c r="M2044" s="723"/>
      <c r="N2044" s="576">
        <f t="shared" si="511"/>
        <v>0</v>
      </c>
      <c r="O2044" s="577">
        <f t="shared" si="504"/>
        <v>0</v>
      </c>
      <c r="P2044" s="578">
        <f t="shared" si="505"/>
        <v>0</v>
      </c>
      <c r="Q2044" s="765"/>
      <c r="R2044" s="723"/>
      <c r="S2044" s="723"/>
      <c r="T2044" s="577">
        <f t="shared" si="502"/>
        <v>0</v>
      </c>
      <c r="U2044" s="578">
        <f t="shared" si="503"/>
        <v>0</v>
      </c>
      <c r="V2044" s="579"/>
      <c r="W2044" s="566" t="str">
        <f>IF(U2041&gt;0,"xx",IF(P2041&gt;0,"xy",""))</f>
        <v/>
      </c>
      <c r="X2044" s="586" t="str">
        <f t="shared" si="522"/>
        <v/>
      </c>
      <c r="Y2044" s="586" t="str">
        <f t="shared" si="431"/>
        <v/>
      </c>
      <c r="Z2044" s="586" t="str">
        <f t="shared" si="517"/>
        <v/>
      </c>
    </row>
    <row r="2045" spans="1:26" ht="12" hidden="1" thickBot="1" x14ac:dyDescent="0.25">
      <c r="A2045" s="567">
        <v>611000</v>
      </c>
      <c r="B2045" s="644" t="s">
        <v>1687</v>
      </c>
      <c r="C2045" s="645" t="s">
        <v>206</v>
      </c>
      <c r="D2045" s="422" t="s">
        <v>577</v>
      </c>
      <c r="E2045" s="423"/>
      <c r="F2045" s="424"/>
      <c r="G2045" s="425"/>
      <c r="H2045" s="651">
        <f>SUM(H2046:H2048)</f>
        <v>25.798960000000001</v>
      </c>
      <c r="I2045" s="420">
        <v>535.85500000000002</v>
      </c>
      <c r="J2045" s="420">
        <f>IF(ISBLANK(I2045),"",SUM(H2045:I2045))</f>
        <v>561.65395999999998</v>
      </c>
      <c r="K2045" s="421">
        <f t="shared" si="501"/>
        <v>667.3</v>
      </c>
      <c r="L2045" s="647" t="s">
        <v>19</v>
      </c>
      <c r="M2045" s="576"/>
      <c r="N2045" s="576">
        <f t="shared" si="511"/>
        <v>0</v>
      </c>
      <c r="O2045" s="577">
        <f t="shared" si="504"/>
        <v>0</v>
      </c>
      <c r="P2045" s="578">
        <f t="shared" si="505"/>
        <v>0</v>
      </c>
      <c r="Q2045" s="765"/>
      <c r="R2045" s="576">
        <f>M2045</f>
        <v>0</v>
      </c>
      <c r="S2045" s="576">
        <f>N2045</f>
        <v>0</v>
      </c>
      <c r="T2045" s="577">
        <f t="shared" si="502"/>
        <v>0</v>
      </c>
      <c r="U2045" s="578">
        <f t="shared" si="503"/>
        <v>0</v>
      </c>
      <c r="V2045" s="579"/>
      <c r="W2045" s="566"/>
      <c r="X2045" s="586" t="str">
        <f t="shared" si="522"/>
        <v/>
      </c>
      <c r="Y2045" s="586" t="str">
        <f t="shared" si="431"/>
        <v/>
      </c>
      <c r="Z2045" s="586" t="str">
        <f t="shared" si="517"/>
        <v/>
      </c>
    </row>
    <row r="2046" spans="1:26" ht="12" hidden="1" thickBot="1" x14ac:dyDescent="0.25">
      <c r="A2046" s="567" t="s">
        <v>168</v>
      </c>
      <c r="B2046" s="644" t="s">
        <v>168</v>
      </c>
      <c r="C2046" s="645"/>
      <c r="D2046" s="422" t="s">
        <v>212</v>
      </c>
      <c r="E2046" s="423"/>
      <c r="F2046" s="424">
        <v>500</v>
      </c>
      <c r="G2046" s="425">
        <v>4.0000000000000001E-3</v>
      </c>
      <c r="H2046" s="649">
        <f>IF(F2046&lt;=30,(0.78*F2046+7.82)*G2046,((0.78*30+7.82)+0.78*(F2046-30))*G2046)</f>
        <v>1.5912800000000002</v>
      </c>
      <c r="I2046" s="420"/>
      <c r="J2046" s="420"/>
      <c r="K2046" s="421">
        <f t="shared" si="501"/>
        <v>0</v>
      </c>
      <c r="L2046" s="647"/>
      <c r="M2046" s="723"/>
      <c r="N2046" s="576">
        <f t="shared" si="511"/>
        <v>0</v>
      </c>
      <c r="O2046" s="577">
        <f t="shared" si="504"/>
        <v>0</v>
      </c>
      <c r="P2046" s="578">
        <f t="shared" si="505"/>
        <v>0</v>
      </c>
      <c r="Q2046" s="765"/>
      <c r="R2046" s="723"/>
      <c r="S2046" s="723"/>
      <c r="T2046" s="577">
        <f t="shared" si="502"/>
        <v>0</v>
      </c>
      <c r="U2046" s="578">
        <f t="shared" si="503"/>
        <v>0</v>
      </c>
      <c r="V2046" s="579"/>
      <c r="W2046" s="566" t="str">
        <f>IF(U2045&gt;0,"xx",IF(P2045&gt;0,"xy",""))</f>
        <v/>
      </c>
      <c r="X2046" s="586" t="str">
        <f t="shared" si="522"/>
        <v/>
      </c>
      <c r="Y2046" s="586" t="str">
        <f t="shared" si="431"/>
        <v/>
      </c>
      <c r="Z2046" s="586" t="str">
        <f t="shared" si="517"/>
        <v/>
      </c>
    </row>
    <row r="2047" spans="1:26" ht="12" hidden="1" thickBot="1" x14ac:dyDescent="0.25">
      <c r="A2047" s="567" t="s">
        <v>168</v>
      </c>
      <c r="B2047" s="644" t="s">
        <v>168</v>
      </c>
      <c r="C2047" s="645"/>
      <c r="D2047" s="422" t="s">
        <v>248</v>
      </c>
      <c r="E2047" s="423"/>
      <c r="F2047" s="424">
        <v>180</v>
      </c>
      <c r="G2047" s="425">
        <v>2.1000000000000001E-2</v>
      </c>
      <c r="H2047" s="663">
        <f t="shared" ref="H2047:H2048" si="524">IF(F2047&lt;=30,(1.07*F2047+2.68)*G2047,((1.07*30+2.68)+1.07*(F2047-30))*G2047)</f>
        <v>4.1008800000000001</v>
      </c>
      <c r="I2047" s="420"/>
      <c r="J2047" s="420"/>
      <c r="K2047" s="421">
        <f t="shared" si="501"/>
        <v>0</v>
      </c>
      <c r="L2047" s="647"/>
      <c r="M2047" s="723"/>
      <c r="N2047" s="576">
        <f t="shared" si="511"/>
        <v>0</v>
      </c>
      <c r="O2047" s="577">
        <f t="shared" si="504"/>
        <v>0</v>
      </c>
      <c r="P2047" s="578">
        <f t="shared" si="505"/>
        <v>0</v>
      </c>
      <c r="Q2047" s="765"/>
      <c r="R2047" s="723"/>
      <c r="S2047" s="723"/>
      <c r="T2047" s="577">
        <f t="shared" si="502"/>
        <v>0</v>
      </c>
      <c r="U2047" s="578">
        <f t="shared" si="503"/>
        <v>0</v>
      </c>
      <c r="V2047" s="579"/>
      <c r="W2047" s="566" t="str">
        <f>IF(U2045&gt;0,"xx",IF(P2045&gt;0,"xy",""))</f>
        <v/>
      </c>
      <c r="X2047" s="586" t="str">
        <f t="shared" si="522"/>
        <v/>
      </c>
      <c r="Y2047" s="586" t="str">
        <f t="shared" si="431"/>
        <v/>
      </c>
      <c r="Z2047" s="586" t="str">
        <f t="shared" si="517"/>
        <v/>
      </c>
    </row>
    <row r="2048" spans="1:26" ht="12" hidden="1" thickBot="1" x14ac:dyDescent="0.25">
      <c r="A2048" s="567" t="s">
        <v>168</v>
      </c>
      <c r="B2048" s="644" t="s">
        <v>168</v>
      </c>
      <c r="C2048" s="645"/>
      <c r="D2048" s="422" t="s">
        <v>347</v>
      </c>
      <c r="E2048" s="423"/>
      <c r="F2048" s="424">
        <v>20</v>
      </c>
      <c r="G2048" s="425">
        <v>0.83499999999999996</v>
      </c>
      <c r="H2048" s="663">
        <f t="shared" si="524"/>
        <v>20.1068</v>
      </c>
      <c r="I2048" s="420"/>
      <c r="J2048" s="420"/>
      <c r="K2048" s="421">
        <f t="shared" ref="K2048:K2111" si="525">IF(ISBLANK(I2048),0,ROUND(J2048*(1+$F$10)*(1+$F$11*E2048),2))</f>
        <v>0</v>
      </c>
      <c r="L2048" s="647"/>
      <c r="M2048" s="723"/>
      <c r="N2048" s="576">
        <f t="shared" si="511"/>
        <v>0</v>
      </c>
      <c r="O2048" s="577">
        <f t="shared" si="504"/>
        <v>0</v>
      </c>
      <c r="P2048" s="578">
        <f t="shared" si="505"/>
        <v>0</v>
      </c>
      <c r="Q2048" s="765"/>
      <c r="R2048" s="723"/>
      <c r="S2048" s="723"/>
      <c r="T2048" s="577">
        <f t="shared" ref="T2048:T2111" si="526">IF(ISBLANK(R2048),0,ROUND(K2048*R2048,2))</f>
        <v>0</v>
      </c>
      <c r="U2048" s="578">
        <f t="shared" ref="U2048:U2111" si="527">IF(ISBLANK(R2048),0,ROUND(R2048*S2048,2))</f>
        <v>0</v>
      </c>
      <c r="V2048" s="579"/>
      <c r="W2048" s="566" t="str">
        <f>IF(U2045&gt;0,"xx",IF(P2045&gt;0,"xy",""))</f>
        <v/>
      </c>
      <c r="X2048" s="586" t="str">
        <f t="shared" si="522"/>
        <v/>
      </c>
      <c r="Y2048" s="586" t="str">
        <f t="shared" si="431"/>
        <v/>
      </c>
      <c r="Z2048" s="586" t="str">
        <f t="shared" si="517"/>
        <v/>
      </c>
    </row>
    <row r="2049" spans="1:26" ht="12" hidden="1" thickBot="1" x14ac:dyDescent="0.25">
      <c r="A2049" s="567">
        <v>611000</v>
      </c>
      <c r="B2049" s="644" t="s">
        <v>1688</v>
      </c>
      <c r="C2049" s="645" t="s">
        <v>206</v>
      </c>
      <c r="D2049" s="422" t="s">
        <v>379</v>
      </c>
      <c r="E2049" s="423"/>
      <c r="F2049" s="424"/>
      <c r="G2049" s="425"/>
      <c r="H2049" s="651">
        <f>SUM(H2050:H2052)</f>
        <v>30.910592000000001</v>
      </c>
      <c r="I2049" s="420">
        <v>606.72</v>
      </c>
      <c r="J2049" s="420">
        <f>IF(ISBLANK(I2049),"",SUM(H2049:I2049))</f>
        <v>637.63059199999998</v>
      </c>
      <c r="K2049" s="421">
        <f t="shared" si="525"/>
        <v>757.57</v>
      </c>
      <c r="L2049" s="647" t="s">
        <v>19</v>
      </c>
      <c r="M2049" s="576"/>
      <c r="N2049" s="576">
        <f t="shared" si="511"/>
        <v>0</v>
      </c>
      <c r="O2049" s="577">
        <f t="shared" ref="O2049:O2112" si="528">IF(ISBLANK(M2049),0,ROUND(K2049*M2049,2))</f>
        <v>0</v>
      </c>
      <c r="P2049" s="578">
        <f t="shared" ref="P2049:P2112" si="529">IF(ISBLANK(N2049),0,ROUND(M2049*N2049,2))</f>
        <v>0</v>
      </c>
      <c r="Q2049" s="765"/>
      <c r="R2049" s="576">
        <f>M2049</f>
        <v>0</v>
      </c>
      <c r="S2049" s="576">
        <f>N2049</f>
        <v>0</v>
      </c>
      <c r="T2049" s="577">
        <f t="shared" si="526"/>
        <v>0</v>
      </c>
      <c r="U2049" s="578">
        <f t="shared" si="527"/>
        <v>0</v>
      </c>
      <c r="V2049" s="579"/>
      <c r="W2049" s="566"/>
      <c r="X2049" s="586" t="str">
        <f t="shared" si="522"/>
        <v/>
      </c>
      <c r="Y2049" s="586" t="str">
        <f t="shared" si="431"/>
        <v/>
      </c>
      <c r="Z2049" s="586" t="str">
        <f t="shared" si="517"/>
        <v/>
      </c>
    </row>
    <row r="2050" spans="1:26" ht="12" hidden="1" thickBot="1" x14ac:dyDescent="0.25">
      <c r="A2050" s="567" t="s">
        <v>168</v>
      </c>
      <c r="B2050" s="644" t="s">
        <v>168</v>
      </c>
      <c r="C2050" s="645"/>
      <c r="D2050" s="422" t="s">
        <v>212</v>
      </c>
      <c r="E2050" s="423"/>
      <c r="F2050" s="424">
        <v>500</v>
      </c>
      <c r="G2050" s="425">
        <v>4.7999999999999996E-3</v>
      </c>
      <c r="H2050" s="649">
        <f>IF(F2050&lt;=30,(0.78*F2050+7.82)*G2050,((0.78*30+7.82)+0.78*(F2050-30))*G2050)</f>
        <v>1.9095360000000001</v>
      </c>
      <c r="I2050" s="420"/>
      <c r="J2050" s="420"/>
      <c r="K2050" s="421">
        <f t="shared" si="525"/>
        <v>0</v>
      </c>
      <c r="L2050" s="647"/>
      <c r="M2050" s="723"/>
      <c r="N2050" s="576">
        <f t="shared" si="511"/>
        <v>0</v>
      </c>
      <c r="O2050" s="577">
        <f t="shared" si="528"/>
        <v>0</v>
      </c>
      <c r="P2050" s="578">
        <f t="shared" si="529"/>
        <v>0</v>
      </c>
      <c r="Q2050" s="765"/>
      <c r="R2050" s="723"/>
      <c r="S2050" s="723"/>
      <c r="T2050" s="577">
        <f t="shared" si="526"/>
        <v>0</v>
      </c>
      <c r="U2050" s="578">
        <f t="shared" si="527"/>
        <v>0</v>
      </c>
      <c r="V2050" s="579"/>
      <c r="W2050" s="566" t="str">
        <f>IF(U2049&gt;0,"xx",IF(P2049&gt;0,"xy",""))</f>
        <v/>
      </c>
      <c r="X2050" s="586" t="str">
        <f t="shared" si="522"/>
        <v/>
      </c>
      <c r="Y2050" s="586" t="str">
        <f t="shared" si="431"/>
        <v/>
      </c>
      <c r="Z2050" s="586" t="str">
        <f t="shared" si="517"/>
        <v/>
      </c>
    </row>
    <row r="2051" spans="1:26" ht="12" hidden="1" thickBot="1" x14ac:dyDescent="0.25">
      <c r="A2051" s="567" t="s">
        <v>168</v>
      </c>
      <c r="B2051" s="644" t="s">
        <v>168</v>
      </c>
      <c r="C2051" s="645"/>
      <c r="D2051" s="422" t="s">
        <v>248</v>
      </c>
      <c r="E2051" s="423"/>
      <c r="F2051" s="424">
        <v>180</v>
      </c>
      <c r="G2051" s="425">
        <v>2.52E-2</v>
      </c>
      <c r="H2051" s="663">
        <f t="shared" ref="H2051:H2052" si="530">IF(F2051&lt;=30,(1.07*F2051+2.68)*G2051,((1.07*30+2.68)+1.07*(F2051-30))*G2051)</f>
        <v>4.9210560000000001</v>
      </c>
      <c r="I2051" s="420"/>
      <c r="J2051" s="420"/>
      <c r="K2051" s="421">
        <f t="shared" si="525"/>
        <v>0</v>
      </c>
      <c r="L2051" s="647"/>
      <c r="M2051" s="723"/>
      <c r="N2051" s="576">
        <f t="shared" si="511"/>
        <v>0</v>
      </c>
      <c r="O2051" s="577">
        <f t="shared" si="528"/>
        <v>0</v>
      </c>
      <c r="P2051" s="578">
        <f t="shared" si="529"/>
        <v>0</v>
      </c>
      <c r="Q2051" s="765"/>
      <c r="R2051" s="723"/>
      <c r="S2051" s="723"/>
      <c r="T2051" s="577">
        <f t="shared" si="526"/>
        <v>0</v>
      </c>
      <c r="U2051" s="578">
        <f t="shared" si="527"/>
        <v>0</v>
      </c>
      <c r="V2051" s="579"/>
      <c r="W2051" s="566" t="str">
        <f>IF(U2049&gt;0,"xx",IF(P2049&gt;0,"xy",""))</f>
        <v/>
      </c>
      <c r="X2051" s="586" t="str">
        <f t="shared" si="522"/>
        <v/>
      </c>
      <c r="Y2051" s="586" t="str">
        <f t="shared" si="431"/>
        <v/>
      </c>
      <c r="Z2051" s="586" t="str">
        <f t="shared" si="517"/>
        <v/>
      </c>
    </row>
    <row r="2052" spans="1:26" ht="12" hidden="1" thickBot="1" x14ac:dyDescent="0.25">
      <c r="A2052" s="567" t="s">
        <v>168</v>
      </c>
      <c r="B2052" s="644" t="s">
        <v>168</v>
      </c>
      <c r="C2052" s="645"/>
      <c r="D2052" s="422" t="s">
        <v>347</v>
      </c>
      <c r="E2052" s="423"/>
      <c r="F2052" s="424">
        <v>20</v>
      </c>
      <c r="G2052" s="425">
        <v>1</v>
      </c>
      <c r="H2052" s="663">
        <f t="shared" si="530"/>
        <v>24.080000000000002</v>
      </c>
      <c r="I2052" s="420"/>
      <c r="J2052" s="420"/>
      <c r="K2052" s="421">
        <f t="shared" si="525"/>
        <v>0</v>
      </c>
      <c r="L2052" s="647"/>
      <c r="M2052" s="723"/>
      <c r="N2052" s="576">
        <f t="shared" si="511"/>
        <v>0</v>
      </c>
      <c r="O2052" s="577">
        <f t="shared" si="528"/>
        <v>0</v>
      </c>
      <c r="P2052" s="578">
        <f t="shared" si="529"/>
        <v>0</v>
      </c>
      <c r="Q2052" s="765"/>
      <c r="R2052" s="723"/>
      <c r="S2052" s="723"/>
      <c r="T2052" s="577">
        <f t="shared" si="526"/>
        <v>0</v>
      </c>
      <c r="U2052" s="578">
        <f t="shared" si="527"/>
        <v>0</v>
      </c>
      <c r="V2052" s="579"/>
      <c r="W2052" s="566" t="str">
        <f>IF(U2049&gt;0,"xx",IF(P2049&gt;0,"xy",""))</f>
        <v/>
      </c>
      <c r="X2052" s="586" t="str">
        <f t="shared" si="522"/>
        <v/>
      </c>
      <c r="Y2052" s="586" t="str">
        <f t="shared" ref="Y2052:Y2306" si="531">IF(W2052="X","x",IF(W2052="y","x",IF(W2052="xx","x",IF(U2052&gt;0,"x",""))))</f>
        <v/>
      </c>
      <c r="Z2052" s="586" t="str">
        <f t="shared" si="517"/>
        <v/>
      </c>
    </row>
    <row r="2053" spans="1:26" ht="12" hidden="1" thickBot="1" x14ac:dyDescent="0.25">
      <c r="A2053" s="567">
        <v>611200</v>
      </c>
      <c r="B2053" s="644" t="s">
        <v>1691</v>
      </c>
      <c r="C2053" s="645" t="s">
        <v>206</v>
      </c>
      <c r="D2053" s="422" t="s">
        <v>380</v>
      </c>
      <c r="E2053" s="423"/>
      <c r="F2053" s="424"/>
      <c r="G2053" s="425"/>
      <c r="H2053" s="651">
        <f>SUM(H2054:H2056)</f>
        <v>43.822438000000005</v>
      </c>
      <c r="I2053" s="420">
        <v>890.05</v>
      </c>
      <c r="J2053" s="420">
        <f>IF(ISBLANK(I2053),"",SUM(H2053:I2053))</f>
        <v>933.87243799999999</v>
      </c>
      <c r="K2053" s="421">
        <f t="shared" si="525"/>
        <v>1109.53</v>
      </c>
      <c r="L2053" s="647" t="s">
        <v>19</v>
      </c>
      <c r="M2053" s="576"/>
      <c r="N2053" s="576">
        <f t="shared" si="511"/>
        <v>0</v>
      </c>
      <c r="O2053" s="577">
        <f t="shared" si="528"/>
        <v>0</v>
      </c>
      <c r="P2053" s="578">
        <f t="shared" si="529"/>
        <v>0</v>
      </c>
      <c r="Q2053" s="765"/>
      <c r="R2053" s="576">
        <f>M2053</f>
        <v>0</v>
      </c>
      <c r="S2053" s="576">
        <f>N2053</f>
        <v>0</v>
      </c>
      <c r="T2053" s="577">
        <f t="shared" si="526"/>
        <v>0</v>
      </c>
      <c r="U2053" s="578">
        <f t="shared" si="527"/>
        <v>0</v>
      </c>
      <c r="V2053" s="579"/>
      <c r="W2053" s="566"/>
      <c r="X2053" s="586" t="str">
        <f t="shared" si="522"/>
        <v/>
      </c>
      <c r="Y2053" s="586" t="str">
        <f t="shared" si="531"/>
        <v/>
      </c>
      <c r="Z2053" s="586" t="str">
        <f t="shared" si="517"/>
        <v/>
      </c>
    </row>
    <row r="2054" spans="1:26" ht="12" hidden="1" thickBot="1" x14ac:dyDescent="0.25">
      <c r="A2054" s="567" t="s">
        <v>168</v>
      </c>
      <c r="B2054" s="644" t="s">
        <v>168</v>
      </c>
      <c r="C2054" s="645"/>
      <c r="D2054" s="422" t="s">
        <v>212</v>
      </c>
      <c r="E2054" s="423"/>
      <c r="F2054" s="424">
        <v>500</v>
      </c>
      <c r="G2054" s="425">
        <v>6.4999999999999997E-3</v>
      </c>
      <c r="H2054" s="649">
        <f>IF(F2054&lt;=30,(0.78*F2054+7.82)*G2054,((0.78*30+7.82)+0.78*(F2054-30))*G2054)</f>
        <v>2.5858300000000001</v>
      </c>
      <c r="I2054" s="420"/>
      <c r="J2054" s="420"/>
      <c r="K2054" s="421">
        <f t="shared" si="525"/>
        <v>0</v>
      </c>
      <c r="L2054" s="647"/>
      <c r="M2054" s="723"/>
      <c r="N2054" s="576">
        <f t="shared" si="511"/>
        <v>0</v>
      </c>
      <c r="O2054" s="577">
        <f t="shared" si="528"/>
        <v>0</v>
      </c>
      <c r="P2054" s="578">
        <f t="shared" si="529"/>
        <v>0</v>
      </c>
      <c r="Q2054" s="765"/>
      <c r="R2054" s="723"/>
      <c r="S2054" s="723"/>
      <c r="T2054" s="577">
        <f t="shared" si="526"/>
        <v>0</v>
      </c>
      <c r="U2054" s="578">
        <f t="shared" si="527"/>
        <v>0</v>
      </c>
      <c r="V2054" s="579"/>
      <c r="W2054" s="566" t="str">
        <f>IF(U2053&gt;0,"xx",IF(P2053&gt;0,"xy",""))</f>
        <v/>
      </c>
      <c r="X2054" s="586" t="str">
        <f t="shared" si="522"/>
        <v/>
      </c>
      <c r="Y2054" s="586" t="str">
        <f t="shared" si="531"/>
        <v/>
      </c>
      <c r="Z2054" s="586" t="str">
        <f t="shared" si="517"/>
        <v/>
      </c>
    </row>
    <row r="2055" spans="1:26" ht="12" hidden="1" thickBot="1" x14ac:dyDescent="0.25">
      <c r="A2055" s="567" t="s">
        <v>168</v>
      </c>
      <c r="B2055" s="644" t="s">
        <v>168</v>
      </c>
      <c r="C2055" s="645"/>
      <c r="D2055" s="422" t="s">
        <v>248</v>
      </c>
      <c r="E2055" s="423"/>
      <c r="F2055" s="424">
        <v>180</v>
      </c>
      <c r="G2055" s="425">
        <v>3.3599999999999998E-2</v>
      </c>
      <c r="H2055" s="663">
        <f t="shared" ref="H2055:H2056" si="532">IF(F2055&lt;=30,(1.07*F2055+2.68)*G2055,((1.07*30+2.68)+1.07*(F2055-30))*G2055)</f>
        <v>6.5614079999999992</v>
      </c>
      <c r="I2055" s="420"/>
      <c r="J2055" s="420"/>
      <c r="K2055" s="421">
        <f t="shared" si="525"/>
        <v>0</v>
      </c>
      <c r="L2055" s="647"/>
      <c r="M2055" s="723"/>
      <c r="N2055" s="576">
        <f t="shared" si="511"/>
        <v>0</v>
      </c>
      <c r="O2055" s="577">
        <f t="shared" si="528"/>
        <v>0</v>
      </c>
      <c r="P2055" s="578">
        <f t="shared" si="529"/>
        <v>0</v>
      </c>
      <c r="Q2055" s="765"/>
      <c r="R2055" s="723"/>
      <c r="S2055" s="723"/>
      <c r="T2055" s="577">
        <f t="shared" si="526"/>
        <v>0</v>
      </c>
      <c r="U2055" s="578">
        <f t="shared" si="527"/>
        <v>0</v>
      </c>
      <c r="V2055" s="579"/>
      <c r="W2055" s="566" t="str">
        <f>IF(U2053&gt;0,"xx",IF(P2053&gt;0,"xy",""))</f>
        <v/>
      </c>
      <c r="X2055" s="586" t="str">
        <f t="shared" si="522"/>
        <v/>
      </c>
      <c r="Y2055" s="586" t="str">
        <f t="shared" si="531"/>
        <v/>
      </c>
      <c r="Z2055" s="586" t="str">
        <f t="shared" si="517"/>
        <v/>
      </c>
    </row>
    <row r="2056" spans="1:26" ht="12" hidden="1" thickBot="1" x14ac:dyDescent="0.25">
      <c r="A2056" s="567" t="s">
        <v>168</v>
      </c>
      <c r="B2056" s="644" t="s">
        <v>168</v>
      </c>
      <c r="C2056" s="645"/>
      <c r="D2056" s="422" t="s">
        <v>347</v>
      </c>
      <c r="E2056" s="423"/>
      <c r="F2056" s="424">
        <v>20</v>
      </c>
      <c r="G2056" s="425">
        <v>1.44</v>
      </c>
      <c r="H2056" s="663">
        <f t="shared" si="532"/>
        <v>34.675200000000004</v>
      </c>
      <c r="I2056" s="420"/>
      <c r="J2056" s="420"/>
      <c r="K2056" s="421">
        <f t="shared" si="525"/>
        <v>0</v>
      </c>
      <c r="L2056" s="647"/>
      <c r="M2056" s="723"/>
      <c r="N2056" s="576">
        <f t="shared" si="511"/>
        <v>0</v>
      </c>
      <c r="O2056" s="577">
        <f t="shared" si="528"/>
        <v>0</v>
      </c>
      <c r="P2056" s="578">
        <f t="shared" si="529"/>
        <v>0</v>
      </c>
      <c r="Q2056" s="765"/>
      <c r="R2056" s="723"/>
      <c r="S2056" s="723"/>
      <c r="T2056" s="577">
        <f t="shared" si="526"/>
        <v>0</v>
      </c>
      <c r="U2056" s="578">
        <f t="shared" si="527"/>
        <v>0</v>
      </c>
      <c r="V2056" s="579"/>
      <c r="W2056" s="566" t="str">
        <f>IF(U2053&gt;0,"xx",IF(P2053&gt;0,"xy",""))</f>
        <v/>
      </c>
      <c r="X2056" s="586" t="str">
        <f t="shared" si="522"/>
        <v/>
      </c>
      <c r="Y2056" s="586" t="str">
        <f t="shared" si="531"/>
        <v/>
      </c>
      <c r="Z2056" s="586" t="str">
        <f t="shared" si="517"/>
        <v/>
      </c>
    </row>
    <row r="2057" spans="1:26" ht="12" hidden="1" thickBot="1" x14ac:dyDescent="0.25">
      <c r="A2057" s="567">
        <v>611400</v>
      </c>
      <c r="B2057" s="644" t="s">
        <v>1693</v>
      </c>
      <c r="C2057" s="645" t="s">
        <v>206</v>
      </c>
      <c r="D2057" s="422" t="s">
        <v>381</v>
      </c>
      <c r="E2057" s="423"/>
      <c r="F2057" s="424"/>
      <c r="G2057" s="425"/>
      <c r="H2057" s="651">
        <f>SUM(H2058:H2060)</f>
        <v>51.156102000000004</v>
      </c>
      <c r="I2057" s="420">
        <v>1100.21</v>
      </c>
      <c r="J2057" s="420">
        <f>IF(ISBLANK(I2057),"",SUM(H2057:I2057))</f>
        <v>1151.366102</v>
      </c>
      <c r="K2057" s="421">
        <f t="shared" si="525"/>
        <v>1367.94</v>
      </c>
      <c r="L2057" s="647" t="s">
        <v>19</v>
      </c>
      <c r="M2057" s="576"/>
      <c r="N2057" s="576">
        <f t="shared" si="511"/>
        <v>0</v>
      </c>
      <c r="O2057" s="577">
        <f t="shared" si="528"/>
        <v>0</v>
      </c>
      <c r="P2057" s="578">
        <f t="shared" si="529"/>
        <v>0</v>
      </c>
      <c r="Q2057" s="765"/>
      <c r="R2057" s="576">
        <f>M2057</f>
        <v>0</v>
      </c>
      <c r="S2057" s="576">
        <f>N2057</f>
        <v>0</v>
      </c>
      <c r="T2057" s="577">
        <f t="shared" si="526"/>
        <v>0</v>
      </c>
      <c r="U2057" s="578">
        <f t="shared" si="527"/>
        <v>0</v>
      </c>
      <c r="V2057" s="579"/>
      <c r="W2057" s="566"/>
      <c r="X2057" s="586" t="str">
        <f t="shared" si="522"/>
        <v/>
      </c>
      <c r="Y2057" s="586" t="str">
        <f t="shared" si="531"/>
        <v/>
      </c>
      <c r="Z2057" s="586" t="str">
        <f t="shared" si="517"/>
        <v/>
      </c>
    </row>
    <row r="2058" spans="1:26" ht="12" hidden="1" thickBot="1" x14ac:dyDescent="0.25">
      <c r="A2058" s="567" t="s">
        <v>168</v>
      </c>
      <c r="B2058" s="644" t="s">
        <v>168</v>
      </c>
      <c r="C2058" s="645"/>
      <c r="D2058" s="422" t="s">
        <v>212</v>
      </c>
      <c r="E2058" s="423"/>
      <c r="F2058" s="424">
        <v>500</v>
      </c>
      <c r="G2058" s="425">
        <v>8.0999999999999996E-3</v>
      </c>
      <c r="H2058" s="649">
        <f>IF(F2058&lt;=30,(0.78*F2058+7.82)*G2058,((0.78*30+7.82)+0.78*(F2058-30))*G2058)</f>
        <v>3.2223420000000003</v>
      </c>
      <c r="I2058" s="420"/>
      <c r="J2058" s="420"/>
      <c r="K2058" s="421">
        <f t="shared" si="525"/>
        <v>0</v>
      </c>
      <c r="L2058" s="647"/>
      <c r="M2058" s="723"/>
      <c r="N2058" s="576">
        <f t="shared" si="511"/>
        <v>0</v>
      </c>
      <c r="O2058" s="577">
        <f t="shared" si="528"/>
        <v>0</v>
      </c>
      <c r="P2058" s="578">
        <f t="shared" si="529"/>
        <v>0</v>
      </c>
      <c r="Q2058" s="765"/>
      <c r="R2058" s="723"/>
      <c r="S2058" s="723"/>
      <c r="T2058" s="577">
        <f t="shared" si="526"/>
        <v>0</v>
      </c>
      <c r="U2058" s="578">
        <f t="shared" si="527"/>
        <v>0</v>
      </c>
      <c r="V2058" s="579"/>
      <c r="W2058" s="566" t="str">
        <f>IF(U2057&gt;0,"xx",IF(P2057&gt;0,"xy",""))</f>
        <v/>
      </c>
      <c r="X2058" s="586" t="str">
        <f t="shared" si="522"/>
        <v/>
      </c>
      <c r="Y2058" s="586" t="str">
        <f t="shared" si="531"/>
        <v/>
      </c>
      <c r="Z2058" s="586" t="str">
        <f t="shared" si="517"/>
        <v/>
      </c>
    </row>
    <row r="2059" spans="1:26" ht="12" hidden="1" thickBot="1" x14ac:dyDescent="0.25">
      <c r="A2059" s="567" t="s">
        <v>168</v>
      </c>
      <c r="B2059" s="644" t="s">
        <v>168</v>
      </c>
      <c r="C2059" s="645"/>
      <c r="D2059" s="422" t="s">
        <v>248</v>
      </c>
      <c r="E2059" s="423"/>
      <c r="F2059" s="424">
        <v>180</v>
      </c>
      <c r="G2059" s="425">
        <v>4.2000000000000003E-2</v>
      </c>
      <c r="H2059" s="663">
        <f t="shared" ref="H2059:H2060" si="533">IF(F2059&lt;=30,(1.07*F2059+2.68)*G2059,((1.07*30+2.68)+1.07*(F2059-30))*G2059)</f>
        <v>8.2017600000000002</v>
      </c>
      <c r="I2059" s="420"/>
      <c r="J2059" s="420"/>
      <c r="K2059" s="421">
        <f t="shared" si="525"/>
        <v>0</v>
      </c>
      <c r="L2059" s="647"/>
      <c r="M2059" s="723"/>
      <c r="N2059" s="576">
        <f t="shared" si="511"/>
        <v>0</v>
      </c>
      <c r="O2059" s="577">
        <f t="shared" si="528"/>
        <v>0</v>
      </c>
      <c r="P2059" s="578">
        <f t="shared" si="529"/>
        <v>0</v>
      </c>
      <c r="Q2059" s="765"/>
      <c r="R2059" s="723"/>
      <c r="S2059" s="723"/>
      <c r="T2059" s="577">
        <f t="shared" si="526"/>
        <v>0</v>
      </c>
      <c r="U2059" s="578">
        <f t="shared" si="527"/>
        <v>0</v>
      </c>
      <c r="V2059" s="579"/>
      <c r="W2059" s="566" t="str">
        <f>IF(U2057&gt;0,"xx",IF(P2057&gt;0,"xy",""))</f>
        <v/>
      </c>
      <c r="X2059" s="586" t="str">
        <f t="shared" si="522"/>
        <v/>
      </c>
      <c r="Y2059" s="586" t="str">
        <f t="shared" si="531"/>
        <v/>
      </c>
      <c r="Z2059" s="586" t="str">
        <f t="shared" si="517"/>
        <v/>
      </c>
    </row>
    <row r="2060" spans="1:26" ht="12" hidden="1" thickBot="1" x14ac:dyDescent="0.25">
      <c r="A2060" s="567" t="s">
        <v>168</v>
      </c>
      <c r="B2060" s="644" t="s">
        <v>168</v>
      </c>
      <c r="C2060" s="645"/>
      <c r="D2060" s="422" t="s">
        <v>347</v>
      </c>
      <c r="E2060" s="423"/>
      <c r="F2060" s="424">
        <v>20</v>
      </c>
      <c r="G2060" s="425">
        <v>1.65</v>
      </c>
      <c r="H2060" s="663">
        <f t="shared" si="533"/>
        <v>39.731999999999999</v>
      </c>
      <c r="I2060" s="420"/>
      <c r="J2060" s="420"/>
      <c r="K2060" s="421">
        <f t="shared" si="525"/>
        <v>0</v>
      </c>
      <c r="L2060" s="647"/>
      <c r="M2060" s="723"/>
      <c r="N2060" s="576">
        <f t="shared" si="511"/>
        <v>0</v>
      </c>
      <c r="O2060" s="577">
        <f t="shared" si="528"/>
        <v>0</v>
      </c>
      <c r="P2060" s="578">
        <f t="shared" si="529"/>
        <v>0</v>
      </c>
      <c r="Q2060" s="765"/>
      <c r="R2060" s="723"/>
      <c r="S2060" s="723"/>
      <c r="T2060" s="577">
        <f t="shared" si="526"/>
        <v>0</v>
      </c>
      <c r="U2060" s="578">
        <f t="shared" si="527"/>
        <v>0</v>
      </c>
      <c r="V2060" s="579"/>
      <c r="W2060" s="566" t="str">
        <f>IF(U2057&gt;0,"xx",IF(P2057&gt;0,"xy",""))</f>
        <v/>
      </c>
      <c r="X2060" s="586" t="str">
        <f t="shared" si="522"/>
        <v/>
      </c>
      <c r="Y2060" s="586" t="str">
        <f t="shared" si="531"/>
        <v/>
      </c>
      <c r="Z2060" s="586" t="str">
        <f t="shared" si="517"/>
        <v/>
      </c>
    </row>
    <row r="2061" spans="1:26" ht="12" hidden="1" thickBot="1" x14ac:dyDescent="0.25">
      <c r="A2061" s="567">
        <v>611400</v>
      </c>
      <c r="B2061" s="644" t="s">
        <v>1694</v>
      </c>
      <c r="C2061" s="645" t="s">
        <v>206</v>
      </c>
      <c r="D2061" s="422" t="s">
        <v>382</v>
      </c>
      <c r="E2061" s="423"/>
      <c r="F2061" s="424"/>
      <c r="G2061" s="425"/>
      <c r="H2061" s="651">
        <f>SUM(H2062:H2064)</f>
        <v>61.624152000000009</v>
      </c>
      <c r="I2061" s="420">
        <v>1466.6260000000002</v>
      </c>
      <c r="J2061" s="420">
        <f>IF(ISBLANK(I2061),"",SUM(H2061:I2061))</f>
        <v>1528.2501520000003</v>
      </c>
      <c r="K2061" s="421">
        <f t="shared" si="525"/>
        <v>1815.71</v>
      </c>
      <c r="L2061" s="647" t="s">
        <v>19</v>
      </c>
      <c r="M2061" s="576"/>
      <c r="N2061" s="576">
        <f t="shared" si="511"/>
        <v>0</v>
      </c>
      <c r="O2061" s="577">
        <f t="shared" si="528"/>
        <v>0</v>
      </c>
      <c r="P2061" s="578">
        <f t="shared" si="529"/>
        <v>0</v>
      </c>
      <c r="Q2061" s="765"/>
      <c r="R2061" s="576">
        <f>M2061</f>
        <v>0</v>
      </c>
      <c r="S2061" s="576">
        <f>N2061</f>
        <v>0</v>
      </c>
      <c r="T2061" s="577">
        <f t="shared" si="526"/>
        <v>0</v>
      </c>
      <c r="U2061" s="578">
        <f t="shared" si="527"/>
        <v>0</v>
      </c>
      <c r="V2061" s="579"/>
      <c r="W2061" s="566"/>
      <c r="X2061" s="586" t="str">
        <f t="shared" si="522"/>
        <v/>
      </c>
      <c r="Y2061" s="586" t="str">
        <f t="shared" si="531"/>
        <v/>
      </c>
      <c r="Z2061" s="586" t="str">
        <f t="shared" si="517"/>
        <v/>
      </c>
    </row>
    <row r="2062" spans="1:26" ht="12" hidden="1" thickBot="1" x14ac:dyDescent="0.25">
      <c r="A2062" s="567" t="s">
        <v>168</v>
      </c>
      <c r="B2062" s="644" t="s">
        <v>168</v>
      </c>
      <c r="C2062" s="645"/>
      <c r="D2062" s="422" t="s">
        <v>212</v>
      </c>
      <c r="E2062" s="423"/>
      <c r="F2062" s="424">
        <v>500</v>
      </c>
      <c r="G2062" s="425">
        <v>9.1999999999999998E-3</v>
      </c>
      <c r="H2062" s="649">
        <f>IF(F2062&lt;=30,(0.78*F2062+7.82)*G2062,((0.78*30+7.82)+0.78*(F2062-30))*G2062)</f>
        <v>3.6599440000000003</v>
      </c>
      <c r="I2062" s="420"/>
      <c r="J2062" s="420"/>
      <c r="K2062" s="421">
        <f t="shared" si="525"/>
        <v>0</v>
      </c>
      <c r="L2062" s="647"/>
      <c r="M2062" s="723"/>
      <c r="N2062" s="576">
        <f t="shared" si="511"/>
        <v>0</v>
      </c>
      <c r="O2062" s="577">
        <f t="shared" si="528"/>
        <v>0</v>
      </c>
      <c r="P2062" s="578">
        <f t="shared" si="529"/>
        <v>0</v>
      </c>
      <c r="Q2062" s="765"/>
      <c r="R2062" s="723"/>
      <c r="S2062" s="723"/>
      <c r="T2062" s="577">
        <f t="shared" si="526"/>
        <v>0</v>
      </c>
      <c r="U2062" s="578">
        <f t="shared" si="527"/>
        <v>0</v>
      </c>
      <c r="V2062" s="579"/>
      <c r="W2062" s="566" t="str">
        <f>IF(U2061&gt;0,"xx",IF(P2061&gt;0,"xy",""))</f>
        <v/>
      </c>
      <c r="X2062" s="586" t="str">
        <f t="shared" si="522"/>
        <v/>
      </c>
      <c r="Y2062" s="586" t="str">
        <f t="shared" si="531"/>
        <v/>
      </c>
      <c r="Z2062" s="586" t="str">
        <f t="shared" si="517"/>
        <v/>
      </c>
    </row>
    <row r="2063" spans="1:26" ht="12" hidden="1" thickBot="1" x14ac:dyDescent="0.25">
      <c r="A2063" s="567" t="s">
        <v>168</v>
      </c>
      <c r="B2063" s="644" t="s">
        <v>168</v>
      </c>
      <c r="C2063" s="645"/>
      <c r="D2063" s="422" t="s">
        <v>248</v>
      </c>
      <c r="E2063" s="423"/>
      <c r="F2063" s="424">
        <v>180</v>
      </c>
      <c r="G2063" s="425">
        <v>4.7899999999999998E-2</v>
      </c>
      <c r="H2063" s="663">
        <f t="shared" ref="H2063:H2064" si="534">IF(F2063&lt;=30,(1.07*F2063+2.68)*G2063,((1.07*30+2.68)+1.07*(F2063-30))*G2063)</f>
        <v>9.3539119999999993</v>
      </c>
      <c r="I2063" s="420"/>
      <c r="J2063" s="420"/>
      <c r="K2063" s="421">
        <f t="shared" si="525"/>
        <v>0</v>
      </c>
      <c r="L2063" s="647"/>
      <c r="M2063" s="723"/>
      <c r="N2063" s="576">
        <f t="shared" si="511"/>
        <v>0</v>
      </c>
      <c r="O2063" s="577">
        <f t="shared" si="528"/>
        <v>0</v>
      </c>
      <c r="P2063" s="578">
        <f t="shared" si="529"/>
        <v>0</v>
      </c>
      <c r="Q2063" s="765"/>
      <c r="R2063" s="723"/>
      <c r="S2063" s="723"/>
      <c r="T2063" s="577">
        <f t="shared" si="526"/>
        <v>0</v>
      </c>
      <c r="U2063" s="578">
        <f t="shared" si="527"/>
        <v>0</v>
      </c>
      <c r="V2063" s="579"/>
      <c r="W2063" s="566" t="str">
        <f>IF(U2061&gt;0,"xx",IF(P2061&gt;0,"xy",""))</f>
        <v/>
      </c>
      <c r="X2063" s="586" t="str">
        <f t="shared" si="522"/>
        <v/>
      </c>
      <c r="Y2063" s="586" t="str">
        <f t="shared" si="531"/>
        <v/>
      </c>
      <c r="Z2063" s="586" t="str">
        <f t="shared" si="517"/>
        <v/>
      </c>
    </row>
    <row r="2064" spans="1:26" ht="12" hidden="1" thickBot="1" x14ac:dyDescent="0.25">
      <c r="A2064" s="567" t="s">
        <v>168</v>
      </c>
      <c r="B2064" s="644" t="s">
        <v>168</v>
      </c>
      <c r="C2064" s="645"/>
      <c r="D2064" s="422" t="s">
        <v>347</v>
      </c>
      <c r="E2064" s="423"/>
      <c r="F2064" s="424">
        <v>20</v>
      </c>
      <c r="G2064" s="425">
        <v>2.0186999999999999</v>
      </c>
      <c r="H2064" s="663">
        <f t="shared" si="534"/>
        <v>48.610296000000005</v>
      </c>
      <c r="I2064" s="420"/>
      <c r="J2064" s="420"/>
      <c r="K2064" s="421">
        <f t="shared" si="525"/>
        <v>0</v>
      </c>
      <c r="L2064" s="647"/>
      <c r="M2064" s="723"/>
      <c r="N2064" s="576">
        <f t="shared" si="511"/>
        <v>0</v>
      </c>
      <c r="O2064" s="577">
        <f t="shared" si="528"/>
        <v>0</v>
      </c>
      <c r="P2064" s="578">
        <f t="shared" si="529"/>
        <v>0</v>
      </c>
      <c r="Q2064" s="765"/>
      <c r="R2064" s="723"/>
      <c r="S2064" s="723"/>
      <c r="T2064" s="577">
        <f t="shared" si="526"/>
        <v>0</v>
      </c>
      <c r="U2064" s="578">
        <f t="shared" si="527"/>
        <v>0</v>
      </c>
      <c r="V2064" s="579"/>
      <c r="W2064" s="566" t="str">
        <f>IF(U2061&gt;0,"xx",IF(P2061&gt;0,"xy",""))</f>
        <v/>
      </c>
      <c r="X2064" s="586" t="str">
        <f t="shared" si="522"/>
        <v/>
      </c>
      <c r="Y2064" s="586" t="str">
        <f t="shared" si="531"/>
        <v/>
      </c>
      <c r="Z2064" s="586" t="str">
        <f t="shared" si="517"/>
        <v/>
      </c>
    </row>
    <row r="2065" spans="1:26" ht="12" hidden="1" thickBot="1" x14ac:dyDescent="0.25">
      <c r="A2065" s="567">
        <v>611600</v>
      </c>
      <c r="B2065" s="644" t="s">
        <v>1697</v>
      </c>
      <c r="C2065" s="645" t="s">
        <v>206</v>
      </c>
      <c r="D2065" s="422" t="s">
        <v>383</v>
      </c>
      <c r="E2065" s="423"/>
      <c r="F2065" s="424"/>
      <c r="G2065" s="425"/>
      <c r="H2065" s="651">
        <f>SUM(H2066:H2068)</f>
        <v>65.472966</v>
      </c>
      <c r="I2065" s="420">
        <v>2245.2599999999998</v>
      </c>
      <c r="J2065" s="420">
        <f>IF(ISBLANK(I2065),"",SUM(H2065:I2065))</f>
        <v>2310.7329659999996</v>
      </c>
      <c r="K2065" s="421">
        <f t="shared" si="525"/>
        <v>2745.38</v>
      </c>
      <c r="L2065" s="647" t="s">
        <v>19</v>
      </c>
      <c r="M2065" s="576"/>
      <c r="N2065" s="576">
        <f t="shared" si="511"/>
        <v>0</v>
      </c>
      <c r="O2065" s="577">
        <f t="shared" si="528"/>
        <v>0</v>
      </c>
      <c r="P2065" s="578">
        <f t="shared" si="529"/>
        <v>0</v>
      </c>
      <c r="Q2065" s="765"/>
      <c r="R2065" s="576">
        <f>M2065</f>
        <v>0</v>
      </c>
      <c r="S2065" s="576">
        <f>N2065</f>
        <v>0</v>
      </c>
      <c r="T2065" s="577">
        <f t="shared" si="526"/>
        <v>0</v>
      </c>
      <c r="U2065" s="578">
        <f t="shared" si="527"/>
        <v>0</v>
      </c>
      <c r="V2065" s="579"/>
      <c r="W2065" s="566"/>
      <c r="X2065" s="586" t="str">
        <f t="shared" si="522"/>
        <v/>
      </c>
      <c r="Y2065" s="586" t="str">
        <f t="shared" si="531"/>
        <v/>
      </c>
      <c r="Z2065" s="586" t="str">
        <f t="shared" si="517"/>
        <v/>
      </c>
    </row>
    <row r="2066" spans="1:26" ht="12" hidden="1" thickBot="1" x14ac:dyDescent="0.25">
      <c r="A2066" s="567" t="s">
        <v>168</v>
      </c>
      <c r="B2066" s="644" t="s">
        <v>168</v>
      </c>
      <c r="C2066" s="645"/>
      <c r="D2066" s="422" t="s">
        <v>212</v>
      </c>
      <c r="E2066" s="423"/>
      <c r="F2066" s="424">
        <v>500</v>
      </c>
      <c r="G2066" s="425">
        <v>9.7000000000000003E-3</v>
      </c>
      <c r="H2066" s="649">
        <f>IF(F2066&lt;=30,(0.78*F2066+7.82)*G2066,((0.78*30+7.82)+0.78*(F2066-30))*G2066)</f>
        <v>3.8588540000000005</v>
      </c>
      <c r="I2066" s="420"/>
      <c r="J2066" s="420"/>
      <c r="K2066" s="421">
        <f t="shared" si="525"/>
        <v>0</v>
      </c>
      <c r="L2066" s="647"/>
      <c r="M2066" s="723"/>
      <c r="N2066" s="576">
        <f t="shared" si="511"/>
        <v>0</v>
      </c>
      <c r="O2066" s="577">
        <f t="shared" si="528"/>
        <v>0</v>
      </c>
      <c r="P2066" s="578">
        <f t="shared" si="529"/>
        <v>0</v>
      </c>
      <c r="Q2066" s="765"/>
      <c r="R2066" s="723"/>
      <c r="S2066" s="723"/>
      <c r="T2066" s="577">
        <f t="shared" si="526"/>
        <v>0</v>
      </c>
      <c r="U2066" s="578">
        <f t="shared" si="527"/>
        <v>0</v>
      </c>
      <c r="V2066" s="579"/>
      <c r="W2066" s="566" t="str">
        <f>IF(U2065&gt;0,"xx",IF(P2065&gt;0,"xy",""))</f>
        <v/>
      </c>
      <c r="X2066" s="586" t="str">
        <f t="shared" si="522"/>
        <v/>
      </c>
      <c r="Y2066" s="586" t="str">
        <f t="shared" si="531"/>
        <v/>
      </c>
      <c r="Z2066" s="586" t="str">
        <f t="shared" si="517"/>
        <v/>
      </c>
    </row>
    <row r="2067" spans="1:26" ht="12" hidden="1" thickBot="1" x14ac:dyDescent="0.25">
      <c r="A2067" s="567" t="s">
        <v>168</v>
      </c>
      <c r="B2067" s="644" t="s">
        <v>168</v>
      </c>
      <c r="C2067" s="645"/>
      <c r="D2067" s="422" t="s">
        <v>248</v>
      </c>
      <c r="E2067" s="423"/>
      <c r="F2067" s="424">
        <v>180</v>
      </c>
      <c r="G2067" s="425">
        <v>5.04E-2</v>
      </c>
      <c r="H2067" s="663">
        <f t="shared" ref="H2067:H2068" si="535">IF(F2067&lt;=30,(1.07*F2067+2.68)*G2067,((1.07*30+2.68)+1.07*(F2067-30))*G2067)</f>
        <v>9.8421120000000002</v>
      </c>
      <c r="I2067" s="420"/>
      <c r="J2067" s="420"/>
      <c r="K2067" s="421">
        <f t="shared" si="525"/>
        <v>0</v>
      </c>
      <c r="L2067" s="647"/>
      <c r="M2067" s="723"/>
      <c r="N2067" s="576">
        <f t="shared" si="511"/>
        <v>0</v>
      </c>
      <c r="O2067" s="577">
        <f t="shared" si="528"/>
        <v>0</v>
      </c>
      <c r="P2067" s="578">
        <f t="shared" si="529"/>
        <v>0</v>
      </c>
      <c r="Q2067" s="765"/>
      <c r="R2067" s="723"/>
      <c r="S2067" s="723"/>
      <c r="T2067" s="577">
        <f t="shared" si="526"/>
        <v>0</v>
      </c>
      <c r="U2067" s="578">
        <f t="shared" si="527"/>
        <v>0</v>
      </c>
      <c r="V2067" s="579"/>
      <c r="W2067" s="566" t="str">
        <f>IF(U2065&gt;0,"xx",IF(P2065&gt;0,"xy",""))</f>
        <v/>
      </c>
      <c r="X2067" s="586" t="str">
        <f t="shared" si="522"/>
        <v/>
      </c>
      <c r="Y2067" s="586" t="str">
        <f t="shared" si="531"/>
        <v/>
      </c>
      <c r="Z2067" s="586" t="str">
        <f t="shared" si="517"/>
        <v/>
      </c>
    </row>
    <row r="2068" spans="1:26" ht="12" hidden="1" thickBot="1" x14ac:dyDescent="0.25">
      <c r="A2068" s="567" t="s">
        <v>168</v>
      </c>
      <c r="B2068" s="644" t="s">
        <v>168</v>
      </c>
      <c r="C2068" s="645"/>
      <c r="D2068" s="422" t="s">
        <v>347</v>
      </c>
      <c r="E2068" s="423"/>
      <c r="F2068" s="424">
        <v>20</v>
      </c>
      <c r="G2068" s="425">
        <v>2.15</v>
      </c>
      <c r="H2068" s="663">
        <f t="shared" si="535"/>
        <v>51.771999999999998</v>
      </c>
      <c r="I2068" s="420"/>
      <c r="J2068" s="420"/>
      <c r="K2068" s="421">
        <f t="shared" si="525"/>
        <v>0</v>
      </c>
      <c r="L2068" s="647"/>
      <c r="M2068" s="723"/>
      <c r="N2068" s="576">
        <f t="shared" ref="N2068:N2131" si="536">IF(M2068=0,0,K2068)</f>
        <v>0</v>
      </c>
      <c r="O2068" s="577">
        <f t="shared" si="528"/>
        <v>0</v>
      </c>
      <c r="P2068" s="578">
        <f t="shared" si="529"/>
        <v>0</v>
      </c>
      <c r="Q2068" s="765"/>
      <c r="R2068" s="723"/>
      <c r="S2068" s="723"/>
      <c r="T2068" s="577">
        <f t="shared" si="526"/>
        <v>0</v>
      </c>
      <c r="U2068" s="578">
        <f t="shared" si="527"/>
        <v>0</v>
      </c>
      <c r="V2068" s="579"/>
      <c r="W2068" s="566" t="str">
        <f>IF(U2065&gt;0,"xx",IF(P2065&gt;0,"xy",""))</f>
        <v/>
      </c>
      <c r="X2068" s="586" t="str">
        <f t="shared" si="522"/>
        <v/>
      </c>
      <c r="Y2068" s="586" t="str">
        <f t="shared" si="531"/>
        <v/>
      </c>
      <c r="Z2068" s="586" t="str">
        <f t="shared" si="517"/>
        <v/>
      </c>
    </row>
    <row r="2069" spans="1:26" ht="12" hidden="1" thickBot="1" x14ac:dyDescent="0.25">
      <c r="A2069" s="567">
        <v>610400</v>
      </c>
      <c r="B2069" s="644" t="s">
        <v>1671</v>
      </c>
      <c r="C2069" s="645" t="s">
        <v>206</v>
      </c>
      <c r="D2069" s="422" t="s">
        <v>384</v>
      </c>
      <c r="E2069" s="423"/>
      <c r="F2069" s="424"/>
      <c r="G2069" s="425"/>
      <c r="H2069" s="651">
        <f>SUM(H2070:H2072)</f>
        <v>6.489218000000001</v>
      </c>
      <c r="I2069" s="420">
        <v>138.35</v>
      </c>
      <c r="J2069" s="420">
        <f>IF(ISBLANK(I2069),"",SUM(H2069:I2069))</f>
        <v>144.83921799999999</v>
      </c>
      <c r="K2069" s="421">
        <f t="shared" si="525"/>
        <v>172.08</v>
      </c>
      <c r="L2069" s="647" t="s">
        <v>19</v>
      </c>
      <c r="M2069" s="576"/>
      <c r="N2069" s="576">
        <f t="shared" si="536"/>
        <v>0</v>
      </c>
      <c r="O2069" s="577">
        <f t="shared" si="528"/>
        <v>0</v>
      </c>
      <c r="P2069" s="578">
        <f t="shared" si="529"/>
        <v>0</v>
      </c>
      <c r="Q2069" s="765"/>
      <c r="R2069" s="576">
        <f>M2069</f>
        <v>0</v>
      </c>
      <c r="S2069" s="576">
        <f>N2069</f>
        <v>0</v>
      </c>
      <c r="T2069" s="577">
        <f t="shared" si="526"/>
        <v>0</v>
      </c>
      <c r="U2069" s="578">
        <f t="shared" si="527"/>
        <v>0</v>
      </c>
      <c r="V2069" s="579"/>
      <c r="W2069" s="566"/>
      <c r="X2069" s="586" t="str">
        <f t="shared" si="522"/>
        <v/>
      </c>
      <c r="Y2069" s="586" t="str">
        <f t="shared" si="531"/>
        <v/>
      </c>
      <c r="Z2069" s="586" t="str">
        <f t="shared" si="517"/>
        <v/>
      </c>
    </row>
    <row r="2070" spans="1:26" ht="12" hidden="1" thickBot="1" x14ac:dyDescent="0.25">
      <c r="A2070" s="567" t="s">
        <v>168</v>
      </c>
      <c r="B2070" s="644" t="s">
        <v>168</v>
      </c>
      <c r="C2070" s="645"/>
      <c r="D2070" s="422" t="s">
        <v>212</v>
      </c>
      <c r="E2070" s="423"/>
      <c r="F2070" s="424">
        <v>500</v>
      </c>
      <c r="G2070" s="425">
        <v>1.9E-3</v>
      </c>
      <c r="H2070" s="649">
        <f>IF(F2070&lt;=30,(0.78*F2070+7.82)*G2070,((0.78*30+7.82)+0.78*(F2070-30))*G2070)</f>
        <v>0.75585800000000014</v>
      </c>
      <c r="I2070" s="420"/>
      <c r="J2070" s="420"/>
      <c r="K2070" s="421">
        <f t="shared" si="525"/>
        <v>0</v>
      </c>
      <c r="L2070" s="647"/>
      <c r="M2070" s="723"/>
      <c r="N2070" s="576">
        <f t="shared" si="536"/>
        <v>0</v>
      </c>
      <c r="O2070" s="577">
        <f t="shared" si="528"/>
        <v>0</v>
      </c>
      <c r="P2070" s="578">
        <f t="shared" si="529"/>
        <v>0</v>
      </c>
      <c r="Q2070" s="765"/>
      <c r="R2070" s="723"/>
      <c r="S2070" s="723"/>
      <c r="T2070" s="577">
        <f t="shared" si="526"/>
        <v>0</v>
      </c>
      <c r="U2070" s="578">
        <f t="shared" si="527"/>
        <v>0</v>
      </c>
      <c r="V2070" s="579"/>
      <c r="W2070" s="566" t="str">
        <f>IF(U2069&gt;0,"xx",IF(P2069&gt;0,"xy",""))</f>
        <v/>
      </c>
      <c r="X2070" s="586" t="str">
        <f t="shared" si="522"/>
        <v/>
      </c>
      <c r="Y2070" s="586" t="str">
        <f t="shared" si="531"/>
        <v/>
      </c>
      <c r="Z2070" s="586" t="str">
        <f t="shared" si="517"/>
        <v/>
      </c>
    </row>
    <row r="2071" spans="1:26" ht="12" hidden="1" thickBot="1" x14ac:dyDescent="0.25">
      <c r="A2071" s="567" t="s">
        <v>168</v>
      </c>
      <c r="B2071" s="644" t="s">
        <v>168</v>
      </c>
      <c r="C2071" s="645"/>
      <c r="D2071" s="422" t="s">
        <v>248</v>
      </c>
      <c r="E2071" s="423"/>
      <c r="F2071" s="424">
        <v>180</v>
      </c>
      <c r="G2071" s="425">
        <v>0.01</v>
      </c>
      <c r="H2071" s="663">
        <f t="shared" ref="H2071:H2072" si="537">IF(F2071&lt;=30,(1.07*F2071+2.68)*G2071,((1.07*30+2.68)+1.07*(F2071-30))*G2071)</f>
        <v>1.9528000000000001</v>
      </c>
      <c r="I2071" s="420"/>
      <c r="J2071" s="420"/>
      <c r="K2071" s="421">
        <f t="shared" si="525"/>
        <v>0</v>
      </c>
      <c r="L2071" s="647"/>
      <c r="M2071" s="723"/>
      <c r="N2071" s="576">
        <f t="shared" si="536"/>
        <v>0</v>
      </c>
      <c r="O2071" s="577">
        <f t="shared" si="528"/>
        <v>0</v>
      </c>
      <c r="P2071" s="578">
        <f t="shared" si="529"/>
        <v>0</v>
      </c>
      <c r="Q2071" s="765"/>
      <c r="R2071" s="723"/>
      <c r="S2071" s="723"/>
      <c r="T2071" s="577">
        <f t="shared" si="526"/>
        <v>0</v>
      </c>
      <c r="U2071" s="578">
        <f t="shared" si="527"/>
        <v>0</v>
      </c>
      <c r="V2071" s="579"/>
      <c r="W2071" s="566" t="str">
        <f>IF(U2069&gt;0,"xx",IF(P2069&gt;0,"xy",""))</f>
        <v/>
      </c>
      <c r="X2071" s="586" t="str">
        <f t="shared" si="522"/>
        <v/>
      </c>
      <c r="Y2071" s="586" t="str">
        <f t="shared" si="531"/>
        <v/>
      </c>
      <c r="Z2071" s="586" t="str">
        <f t="shared" si="517"/>
        <v/>
      </c>
    </row>
    <row r="2072" spans="1:26" ht="12" hidden="1" thickBot="1" x14ac:dyDescent="0.25">
      <c r="A2072" s="567" t="s">
        <v>168</v>
      </c>
      <c r="B2072" s="644" t="s">
        <v>168</v>
      </c>
      <c r="C2072" s="645"/>
      <c r="D2072" s="422" t="s">
        <v>347</v>
      </c>
      <c r="E2072" s="423"/>
      <c r="F2072" s="424">
        <v>20</v>
      </c>
      <c r="G2072" s="425">
        <v>0.157</v>
      </c>
      <c r="H2072" s="663">
        <f t="shared" si="537"/>
        <v>3.7805600000000004</v>
      </c>
      <c r="I2072" s="420"/>
      <c r="J2072" s="420"/>
      <c r="K2072" s="421">
        <f t="shared" si="525"/>
        <v>0</v>
      </c>
      <c r="L2072" s="647"/>
      <c r="M2072" s="723"/>
      <c r="N2072" s="576">
        <f t="shared" si="536"/>
        <v>0</v>
      </c>
      <c r="O2072" s="577">
        <f t="shared" si="528"/>
        <v>0</v>
      </c>
      <c r="P2072" s="578">
        <f t="shared" si="529"/>
        <v>0</v>
      </c>
      <c r="Q2072" s="765"/>
      <c r="R2072" s="723"/>
      <c r="S2072" s="723"/>
      <c r="T2072" s="577">
        <f t="shared" si="526"/>
        <v>0</v>
      </c>
      <c r="U2072" s="578">
        <f t="shared" si="527"/>
        <v>0</v>
      </c>
      <c r="V2072" s="579"/>
      <c r="W2072" s="566" t="str">
        <f>IF(U2069&gt;0,"xx",IF(P2069&gt;0,"xy",""))</f>
        <v/>
      </c>
      <c r="X2072" s="586" t="str">
        <f t="shared" si="522"/>
        <v/>
      </c>
      <c r="Y2072" s="586" t="str">
        <f t="shared" si="531"/>
        <v/>
      </c>
      <c r="Z2072" s="586" t="str">
        <f t="shared" si="517"/>
        <v/>
      </c>
    </row>
    <row r="2073" spans="1:26" ht="12" hidden="1" thickBot="1" x14ac:dyDescent="0.25">
      <c r="A2073" s="567">
        <v>610600</v>
      </c>
      <c r="B2073" s="644" t="s">
        <v>1676</v>
      </c>
      <c r="C2073" s="645" t="s">
        <v>206</v>
      </c>
      <c r="D2073" s="422" t="s">
        <v>579</v>
      </c>
      <c r="E2073" s="423"/>
      <c r="F2073" s="424"/>
      <c r="G2073" s="425"/>
      <c r="H2073" s="651">
        <f>SUM(H2074:H2076)</f>
        <v>9.2197619999999993</v>
      </c>
      <c r="I2073" s="420">
        <v>219.99999999999997</v>
      </c>
      <c r="J2073" s="420">
        <f>IF(ISBLANK(I2073),"",SUM(H2073:I2073))</f>
        <v>229.21976199999997</v>
      </c>
      <c r="K2073" s="421">
        <f t="shared" si="525"/>
        <v>272.33999999999997</v>
      </c>
      <c r="L2073" s="647" t="s">
        <v>19</v>
      </c>
      <c r="M2073" s="576"/>
      <c r="N2073" s="576">
        <f t="shared" si="536"/>
        <v>0</v>
      </c>
      <c r="O2073" s="577">
        <f t="shared" si="528"/>
        <v>0</v>
      </c>
      <c r="P2073" s="578">
        <f t="shared" si="529"/>
        <v>0</v>
      </c>
      <c r="Q2073" s="765"/>
      <c r="R2073" s="576">
        <f>M2073</f>
        <v>0</v>
      </c>
      <c r="S2073" s="576">
        <f>N2073</f>
        <v>0</v>
      </c>
      <c r="T2073" s="577">
        <f t="shared" si="526"/>
        <v>0</v>
      </c>
      <c r="U2073" s="578">
        <f t="shared" si="527"/>
        <v>0</v>
      </c>
      <c r="V2073" s="579"/>
      <c r="W2073" s="566"/>
      <c r="X2073" s="586" t="str">
        <f t="shared" si="522"/>
        <v/>
      </c>
      <c r="Y2073" s="586" t="str">
        <f t="shared" si="531"/>
        <v/>
      </c>
      <c r="Z2073" s="586" t="str">
        <f t="shared" si="517"/>
        <v/>
      </c>
    </row>
    <row r="2074" spans="1:26" ht="12" hidden="1" thickBot="1" x14ac:dyDescent="0.25">
      <c r="A2074" s="567" t="s">
        <v>168</v>
      </c>
      <c r="B2074" s="644" t="s">
        <v>168</v>
      </c>
      <c r="C2074" s="645"/>
      <c r="D2074" s="422" t="s">
        <v>212</v>
      </c>
      <c r="E2074" s="423"/>
      <c r="F2074" s="424">
        <v>500</v>
      </c>
      <c r="G2074" s="425">
        <v>2.3E-3</v>
      </c>
      <c r="H2074" s="649">
        <f>IF(F2074&lt;=30,(0.78*F2074+7.82)*G2074,((0.78*30+7.82)+0.78*(F2074-30))*G2074)</f>
        <v>0.91498600000000008</v>
      </c>
      <c r="I2074" s="420"/>
      <c r="J2074" s="420"/>
      <c r="K2074" s="421">
        <f t="shared" si="525"/>
        <v>0</v>
      </c>
      <c r="L2074" s="647"/>
      <c r="M2074" s="723"/>
      <c r="N2074" s="576">
        <f t="shared" si="536"/>
        <v>0</v>
      </c>
      <c r="O2074" s="577">
        <f t="shared" si="528"/>
        <v>0</v>
      </c>
      <c r="P2074" s="578">
        <f t="shared" si="529"/>
        <v>0</v>
      </c>
      <c r="Q2074" s="765"/>
      <c r="R2074" s="723"/>
      <c r="S2074" s="723"/>
      <c r="T2074" s="577">
        <f t="shared" si="526"/>
        <v>0</v>
      </c>
      <c r="U2074" s="578">
        <f t="shared" si="527"/>
        <v>0</v>
      </c>
      <c r="V2074" s="579"/>
      <c r="W2074" s="566" t="str">
        <f>IF(U2073&gt;0,"xx",IF(P2073&gt;0,"xy",""))</f>
        <v/>
      </c>
      <c r="X2074" s="586" t="str">
        <f t="shared" si="522"/>
        <v/>
      </c>
      <c r="Y2074" s="586" t="str">
        <f t="shared" si="531"/>
        <v/>
      </c>
      <c r="Z2074" s="586" t="str">
        <f t="shared" si="517"/>
        <v/>
      </c>
    </row>
    <row r="2075" spans="1:26" ht="12" hidden="1" thickBot="1" x14ac:dyDescent="0.25">
      <c r="A2075" s="567" t="s">
        <v>168</v>
      </c>
      <c r="B2075" s="644" t="s">
        <v>168</v>
      </c>
      <c r="C2075" s="645"/>
      <c r="D2075" s="422" t="s">
        <v>248</v>
      </c>
      <c r="E2075" s="423"/>
      <c r="F2075" s="424">
        <v>180</v>
      </c>
      <c r="G2075" s="425">
        <v>1.17E-2</v>
      </c>
      <c r="H2075" s="663">
        <f t="shared" ref="H2075:H2076" si="538">IF(F2075&lt;=30,(1.07*F2075+2.68)*G2075,((1.07*30+2.68)+1.07*(F2075-30))*G2075)</f>
        <v>2.2847759999999999</v>
      </c>
      <c r="I2075" s="420"/>
      <c r="J2075" s="420"/>
      <c r="K2075" s="421">
        <f t="shared" si="525"/>
        <v>0</v>
      </c>
      <c r="L2075" s="647"/>
      <c r="M2075" s="723"/>
      <c r="N2075" s="576">
        <f t="shared" si="536"/>
        <v>0</v>
      </c>
      <c r="O2075" s="577">
        <f t="shared" si="528"/>
        <v>0</v>
      </c>
      <c r="P2075" s="578">
        <f t="shared" si="529"/>
        <v>0</v>
      </c>
      <c r="Q2075" s="765"/>
      <c r="R2075" s="723"/>
      <c r="S2075" s="723"/>
      <c r="T2075" s="577">
        <f t="shared" si="526"/>
        <v>0</v>
      </c>
      <c r="U2075" s="578">
        <f t="shared" si="527"/>
        <v>0</v>
      </c>
      <c r="V2075" s="579"/>
      <c r="W2075" s="566" t="str">
        <f>IF(U2073&gt;0,"xx",IF(P2073&gt;0,"xy",""))</f>
        <v/>
      </c>
      <c r="X2075" s="586" t="str">
        <f t="shared" si="522"/>
        <v/>
      </c>
      <c r="Y2075" s="586" t="str">
        <f t="shared" si="531"/>
        <v/>
      </c>
      <c r="Z2075" s="586" t="str">
        <f t="shared" si="517"/>
        <v/>
      </c>
    </row>
    <row r="2076" spans="1:26" ht="12" hidden="1" thickBot="1" x14ac:dyDescent="0.25">
      <c r="A2076" s="567" t="s">
        <v>168</v>
      </c>
      <c r="B2076" s="644" t="s">
        <v>168</v>
      </c>
      <c r="C2076" s="645"/>
      <c r="D2076" s="422" t="s">
        <v>347</v>
      </c>
      <c r="E2076" s="423"/>
      <c r="F2076" s="424">
        <v>20</v>
      </c>
      <c r="G2076" s="425">
        <v>0.25</v>
      </c>
      <c r="H2076" s="663">
        <f t="shared" si="538"/>
        <v>6.0200000000000005</v>
      </c>
      <c r="I2076" s="420"/>
      <c r="J2076" s="420"/>
      <c r="K2076" s="421">
        <f t="shared" si="525"/>
        <v>0</v>
      </c>
      <c r="L2076" s="647"/>
      <c r="M2076" s="723"/>
      <c r="N2076" s="576">
        <f t="shared" si="536"/>
        <v>0</v>
      </c>
      <c r="O2076" s="577">
        <f t="shared" si="528"/>
        <v>0</v>
      </c>
      <c r="P2076" s="578">
        <f t="shared" si="529"/>
        <v>0</v>
      </c>
      <c r="Q2076" s="765"/>
      <c r="R2076" s="723"/>
      <c r="S2076" s="723"/>
      <c r="T2076" s="577">
        <f t="shared" si="526"/>
        <v>0</v>
      </c>
      <c r="U2076" s="578">
        <f t="shared" si="527"/>
        <v>0</v>
      </c>
      <c r="V2076" s="579"/>
      <c r="W2076" s="566" t="str">
        <f>IF(U2073&gt;0,"xx",IF(P2073&gt;0,"xy",""))</f>
        <v/>
      </c>
      <c r="X2076" s="586" t="str">
        <f t="shared" si="522"/>
        <v/>
      </c>
      <c r="Y2076" s="586" t="str">
        <f t="shared" si="531"/>
        <v/>
      </c>
      <c r="Z2076" s="586" t="str">
        <f t="shared" si="517"/>
        <v/>
      </c>
    </row>
    <row r="2077" spans="1:26" ht="12" hidden="1" thickBot="1" x14ac:dyDescent="0.25">
      <c r="A2077" s="567">
        <v>610600</v>
      </c>
      <c r="B2077" s="644" t="s">
        <v>1677</v>
      </c>
      <c r="C2077" s="645" t="s">
        <v>206</v>
      </c>
      <c r="D2077" s="422" t="s">
        <v>385</v>
      </c>
      <c r="E2077" s="423"/>
      <c r="F2077" s="424"/>
      <c r="G2077" s="425"/>
      <c r="H2077" s="651">
        <f>SUM(H2078:H2080)</f>
        <v>13.042284000000002</v>
      </c>
      <c r="I2077" s="420">
        <v>301.64999999999998</v>
      </c>
      <c r="J2077" s="420">
        <f>IF(ISBLANK(I2077),"",SUM(H2077:I2077))</f>
        <v>314.69228399999997</v>
      </c>
      <c r="K2077" s="421">
        <f t="shared" si="525"/>
        <v>373.89</v>
      </c>
      <c r="L2077" s="647" t="s">
        <v>19</v>
      </c>
      <c r="M2077" s="576"/>
      <c r="N2077" s="576">
        <f t="shared" si="536"/>
        <v>0</v>
      </c>
      <c r="O2077" s="577">
        <f t="shared" si="528"/>
        <v>0</v>
      </c>
      <c r="P2077" s="578">
        <f t="shared" si="529"/>
        <v>0</v>
      </c>
      <c r="Q2077" s="765"/>
      <c r="R2077" s="576">
        <f>M2077</f>
        <v>0</v>
      </c>
      <c r="S2077" s="576">
        <f>N2077</f>
        <v>0</v>
      </c>
      <c r="T2077" s="577">
        <f t="shared" si="526"/>
        <v>0</v>
      </c>
      <c r="U2077" s="578">
        <f t="shared" si="527"/>
        <v>0</v>
      </c>
      <c r="V2077" s="579"/>
      <c r="W2077" s="566"/>
      <c r="X2077" s="586" t="str">
        <f t="shared" si="522"/>
        <v/>
      </c>
      <c r="Y2077" s="586" t="str">
        <f t="shared" si="531"/>
        <v/>
      </c>
      <c r="Z2077" s="586" t="str">
        <f t="shared" si="517"/>
        <v/>
      </c>
    </row>
    <row r="2078" spans="1:26" ht="12" hidden="1" thickBot="1" x14ac:dyDescent="0.25">
      <c r="A2078" s="567" t="s">
        <v>168</v>
      </c>
      <c r="B2078" s="644" t="s">
        <v>168</v>
      </c>
      <c r="C2078" s="645"/>
      <c r="D2078" s="422" t="s">
        <v>212</v>
      </c>
      <c r="E2078" s="423"/>
      <c r="F2078" s="424">
        <v>500</v>
      </c>
      <c r="G2078" s="425">
        <v>2.5999999999999999E-3</v>
      </c>
      <c r="H2078" s="649">
        <f>IF(F2078&lt;=30,(0.78*F2078+7.82)*G2078,((0.78*30+7.82)+0.78*(F2078-30))*G2078)</f>
        <v>1.034332</v>
      </c>
      <c r="I2078" s="420"/>
      <c r="J2078" s="420"/>
      <c r="K2078" s="421">
        <f t="shared" si="525"/>
        <v>0</v>
      </c>
      <c r="L2078" s="647"/>
      <c r="M2078" s="723"/>
      <c r="N2078" s="576">
        <f t="shared" si="536"/>
        <v>0</v>
      </c>
      <c r="O2078" s="577">
        <f t="shared" si="528"/>
        <v>0</v>
      </c>
      <c r="P2078" s="578">
        <f t="shared" si="529"/>
        <v>0</v>
      </c>
      <c r="Q2078" s="765"/>
      <c r="R2078" s="723"/>
      <c r="S2078" s="723"/>
      <c r="T2078" s="577">
        <f t="shared" si="526"/>
        <v>0</v>
      </c>
      <c r="U2078" s="578">
        <f t="shared" si="527"/>
        <v>0</v>
      </c>
      <c r="V2078" s="579"/>
      <c r="W2078" s="566" t="str">
        <f>IF(U2077&gt;0,"xx",IF(P2077&gt;0,"xy",""))</f>
        <v/>
      </c>
      <c r="X2078" s="586" t="str">
        <f t="shared" si="522"/>
        <v/>
      </c>
      <c r="Y2078" s="586" t="str">
        <f t="shared" si="531"/>
        <v/>
      </c>
      <c r="Z2078" s="586" t="str">
        <f t="shared" si="517"/>
        <v/>
      </c>
    </row>
    <row r="2079" spans="1:26" ht="12" hidden="1" thickBot="1" x14ac:dyDescent="0.25">
      <c r="A2079" s="567" t="s">
        <v>168</v>
      </c>
      <c r="B2079" s="644" t="s">
        <v>168</v>
      </c>
      <c r="C2079" s="645"/>
      <c r="D2079" s="422" t="s">
        <v>248</v>
      </c>
      <c r="E2079" s="423"/>
      <c r="F2079" s="424">
        <v>180</v>
      </c>
      <c r="G2079" s="425">
        <v>1.34E-2</v>
      </c>
      <c r="H2079" s="663">
        <f t="shared" ref="H2079:H2080" si="539">IF(F2079&lt;=30,(1.07*F2079+2.68)*G2079,((1.07*30+2.68)+1.07*(F2079-30))*G2079)</f>
        <v>2.616752</v>
      </c>
      <c r="I2079" s="420"/>
      <c r="J2079" s="420"/>
      <c r="K2079" s="421">
        <f t="shared" si="525"/>
        <v>0</v>
      </c>
      <c r="L2079" s="647"/>
      <c r="M2079" s="723"/>
      <c r="N2079" s="576">
        <f t="shared" si="536"/>
        <v>0</v>
      </c>
      <c r="O2079" s="577">
        <f t="shared" si="528"/>
        <v>0</v>
      </c>
      <c r="P2079" s="578">
        <f t="shared" si="529"/>
        <v>0</v>
      </c>
      <c r="Q2079" s="765"/>
      <c r="R2079" s="723"/>
      <c r="S2079" s="723"/>
      <c r="T2079" s="577">
        <f t="shared" si="526"/>
        <v>0</v>
      </c>
      <c r="U2079" s="578">
        <f t="shared" si="527"/>
        <v>0</v>
      </c>
      <c r="V2079" s="579"/>
      <c r="W2079" s="566" t="str">
        <f>IF(U2077&gt;0,"xx",IF(P2077&gt;0,"xy",""))</f>
        <v/>
      </c>
      <c r="X2079" s="586" t="str">
        <f t="shared" si="522"/>
        <v/>
      </c>
      <c r="Y2079" s="586" t="str">
        <f t="shared" si="531"/>
        <v/>
      </c>
      <c r="Z2079" s="586" t="str">
        <f t="shared" si="517"/>
        <v/>
      </c>
    </row>
    <row r="2080" spans="1:26" ht="12" hidden="1" thickBot="1" x14ac:dyDescent="0.25">
      <c r="A2080" s="567" t="s">
        <v>168</v>
      </c>
      <c r="B2080" s="644" t="s">
        <v>168</v>
      </c>
      <c r="C2080" s="645"/>
      <c r="D2080" s="422" t="s">
        <v>347</v>
      </c>
      <c r="E2080" s="423"/>
      <c r="F2080" s="424">
        <v>20</v>
      </c>
      <c r="G2080" s="425">
        <v>0.39</v>
      </c>
      <c r="H2080" s="663">
        <f t="shared" si="539"/>
        <v>9.3912000000000013</v>
      </c>
      <c r="I2080" s="420"/>
      <c r="J2080" s="420"/>
      <c r="K2080" s="421">
        <f t="shared" si="525"/>
        <v>0</v>
      </c>
      <c r="L2080" s="647"/>
      <c r="M2080" s="723"/>
      <c r="N2080" s="576">
        <f t="shared" si="536"/>
        <v>0</v>
      </c>
      <c r="O2080" s="577">
        <f t="shared" si="528"/>
        <v>0</v>
      </c>
      <c r="P2080" s="578">
        <f t="shared" si="529"/>
        <v>0</v>
      </c>
      <c r="Q2080" s="765"/>
      <c r="R2080" s="723"/>
      <c r="S2080" s="723"/>
      <c r="T2080" s="577">
        <f t="shared" si="526"/>
        <v>0</v>
      </c>
      <c r="U2080" s="578">
        <f t="shared" si="527"/>
        <v>0</v>
      </c>
      <c r="V2080" s="579"/>
      <c r="W2080" s="566" t="str">
        <f>IF(U2077&gt;0,"xx",IF(P2077&gt;0,"xy",""))</f>
        <v/>
      </c>
      <c r="X2080" s="586" t="str">
        <f t="shared" si="522"/>
        <v/>
      </c>
      <c r="Y2080" s="586" t="str">
        <f t="shared" si="531"/>
        <v/>
      </c>
      <c r="Z2080" s="586" t="str">
        <f t="shared" si="517"/>
        <v/>
      </c>
    </row>
    <row r="2081" spans="1:26" ht="12" hidden="1" thickBot="1" x14ac:dyDescent="0.25">
      <c r="A2081" s="567">
        <v>610800</v>
      </c>
      <c r="B2081" s="644" t="s">
        <v>1681</v>
      </c>
      <c r="C2081" s="645" t="s">
        <v>206</v>
      </c>
      <c r="D2081" s="422" t="s">
        <v>580</v>
      </c>
      <c r="E2081" s="423"/>
      <c r="F2081" s="424"/>
      <c r="G2081" s="425"/>
      <c r="H2081" s="651">
        <f>SUM(H2082:H2084)</f>
        <v>16.864806000000002</v>
      </c>
      <c r="I2081" s="420">
        <v>409.69499999999999</v>
      </c>
      <c r="J2081" s="420">
        <f>IF(ISBLANK(I2081),"",SUM(H2081:I2081))</f>
        <v>426.55980599999998</v>
      </c>
      <c r="K2081" s="421">
        <f t="shared" si="525"/>
        <v>506.8</v>
      </c>
      <c r="L2081" s="647" t="s">
        <v>19</v>
      </c>
      <c r="M2081" s="576"/>
      <c r="N2081" s="576">
        <f t="shared" si="536"/>
        <v>0</v>
      </c>
      <c r="O2081" s="577">
        <f t="shared" si="528"/>
        <v>0</v>
      </c>
      <c r="P2081" s="578">
        <f t="shared" si="529"/>
        <v>0</v>
      </c>
      <c r="Q2081" s="765"/>
      <c r="R2081" s="576">
        <f>M2081</f>
        <v>0</v>
      </c>
      <c r="S2081" s="576">
        <f>N2081</f>
        <v>0</v>
      </c>
      <c r="T2081" s="577">
        <f t="shared" si="526"/>
        <v>0</v>
      </c>
      <c r="U2081" s="578">
        <f t="shared" si="527"/>
        <v>0</v>
      </c>
      <c r="V2081" s="579"/>
      <c r="W2081" s="566"/>
      <c r="X2081" s="586" t="str">
        <f t="shared" si="522"/>
        <v/>
      </c>
      <c r="Y2081" s="586" t="str">
        <f t="shared" si="531"/>
        <v/>
      </c>
      <c r="Z2081" s="586" t="str">
        <f t="shared" si="517"/>
        <v/>
      </c>
    </row>
    <row r="2082" spans="1:26" ht="12" hidden="1" thickBot="1" x14ac:dyDescent="0.25">
      <c r="A2082" s="567" t="s">
        <v>168</v>
      </c>
      <c r="B2082" s="644" t="s">
        <v>168</v>
      </c>
      <c r="C2082" s="645"/>
      <c r="D2082" s="422" t="s">
        <v>212</v>
      </c>
      <c r="E2082" s="423"/>
      <c r="F2082" s="424">
        <v>500</v>
      </c>
      <c r="G2082" s="425">
        <v>2.8999999999999998E-3</v>
      </c>
      <c r="H2082" s="649">
        <f>IF(F2082&lt;=30,(0.78*F2082+7.82)*G2082,((0.78*30+7.82)+0.78*(F2082-30))*G2082)</f>
        <v>1.153678</v>
      </c>
      <c r="I2082" s="420"/>
      <c r="J2082" s="420"/>
      <c r="K2082" s="421">
        <f t="shared" si="525"/>
        <v>0</v>
      </c>
      <c r="L2082" s="647"/>
      <c r="M2082" s="723"/>
      <c r="N2082" s="576">
        <f t="shared" si="536"/>
        <v>0</v>
      </c>
      <c r="O2082" s="577">
        <f t="shared" si="528"/>
        <v>0</v>
      </c>
      <c r="P2082" s="578">
        <f t="shared" si="529"/>
        <v>0</v>
      </c>
      <c r="Q2082" s="765"/>
      <c r="R2082" s="723"/>
      <c r="S2082" s="723"/>
      <c r="T2082" s="577">
        <f t="shared" si="526"/>
        <v>0</v>
      </c>
      <c r="U2082" s="578">
        <f t="shared" si="527"/>
        <v>0</v>
      </c>
      <c r="V2082" s="579"/>
      <c r="W2082" s="566" t="str">
        <f>IF(U2081&gt;0,"xx",IF(P2081&gt;0,"xy",""))</f>
        <v/>
      </c>
      <c r="X2082" s="586" t="str">
        <f t="shared" si="522"/>
        <v/>
      </c>
      <c r="Y2082" s="586" t="str">
        <f t="shared" si="531"/>
        <v/>
      </c>
      <c r="Z2082" s="586" t="str">
        <f t="shared" si="517"/>
        <v/>
      </c>
    </row>
    <row r="2083" spans="1:26" ht="12" hidden="1" thickBot="1" x14ac:dyDescent="0.25">
      <c r="A2083" s="567" t="s">
        <v>168</v>
      </c>
      <c r="B2083" s="644" t="s">
        <v>168</v>
      </c>
      <c r="C2083" s="645"/>
      <c r="D2083" s="422" t="s">
        <v>248</v>
      </c>
      <c r="E2083" s="423"/>
      <c r="F2083" s="424">
        <v>180</v>
      </c>
      <c r="G2083" s="425">
        <v>1.5100000000000001E-2</v>
      </c>
      <c r="H2083" s="663">
        <f t="shared" ref="H2083:H2084" si="540">IF(F2083&lt;=30,(1.07*F2083+2.68)*G2083,((1.07*30+2.68)+1.07*(F2083-30))*G2083)</f>
        <v>2.948728</v>
      </c>
      <c r="I2083" s="420"/>
      <c r="J2083" s="420"/>
      <c r="K2083" s="421">
        <f t="shared" si="525"/>
        <v>0</v>
      </c>
      <c r="L2083" s="647"/>
      <c r="M2083" s="723"/>
      <c r="N2083" s="576">
        <f t="shared" si="536"/>
        <v>0</v>
      </c>
      <c r="O2083" s="577">
        <f t="shared" si="528"/>
        <v>0</v>
      </c>
      <c r="P2083" s="578">
        <f t="shared" si="529"/>
        <v>0</v>
      </c>
      <c r="Q2083" s="765"/>
      <c r="R2083" s="723"/>
      <c r="S2083" s="723"/>
      <c r="T2083" s="577">
        <f t="shared" si="526"/>
        <v>0</v>
      </c>
      <c r="U2083" s="578">
        <f t="shared" si="527"/>
        <v>0</v>
      </c>
      <c r="V2083" s="579"/>
      <c r="W2083" s="566" t="str">
        <f>IF(U2081&gt;0,"xx",IF(P2081&gt;0,"xy",""))</f>
        <v/>
      </c>
      <c r="X2083" s="586" t="str">
        <f t="shared" si="522"/>
        <v/>
      </c>
      <c r="Y2083" s="586" t="str">
        <f t="shared" si="531"/>
        <v/>
      </c>
      <c r="Z2083" s="586" t="str">
        <f t="shared" si="517"/>
        <v/>
      </c>
    </row>
    <row r="2084" spans="1:26" ht="12" hidden="1" thickBot="1" x14ac:dyDescent="0.25">
      <c r="A2084" s="567" t="s">
        <v>168</v>
      </c>
      <c r="B2084" s="644" t="s">
        <v>168</v>
      </c>
      <c r="C2084" s="645"/>
      <c r="D2084" s="422" t="s">
        <v>347</v>
      </c>
      <c r="E2084" s="423"/>
      <c r="F2084" s="424">
        <v>20</v>
      </c>
      <c r="G2084" s="425">
        <v>0.53</v>
      </c>
      <c r="H2084" s="663">
        <f t="shared" si="540"/>
        <v>12.762400000000001</v>
      </c>
      <c r="I2084" s="420"/>
      <c r="J2084" s="420"/>
      <c r="K2084" s="421">
        <f t="shared" si="525"/>
        <v>0</v>
      </c>
      <c r="L2084" s="647"/>
      <c r="M2084" s="723"/>
      <c r="N2084" s="576">
        <f t="shared" si="536"/>
        <v>0</v>
      </c>
      <c r="O2084" s="577">
        <f t="shared" si="528"/>
        <v>0</v>
      </c>
      <c r="P2084" s="578">
        <f t="shared" si="529"/>
        <v>0</v>
      </c>
      <c r="Q2084" s="765"/>
      <c r="R2084" s="723"/>
      <c r="S2084" s="723"/>
      <c r="T2084" s="577">
        <f t="shared" si="526"/>
        <v>0</v>
      </c>
      <c r="U2084" s="578">
        <f t="shared" si="527"/>
        <v>0</v>
      </c>
      <c r="V2084" s="579"/>
      <c r="W2084" s="566" t="str">
        <f>IF(U2081&gt;0,"xx",IF(P2081&gt;0,"xy",""))</f>
        <v/>
      </c>
      <c r="X2084" s="586" t="str">
        <f t="shared" si="522"/>
        <v/>
      </c>
      <c r="Y2084" s="586" t="str">
        <f t="shared" si="531"/>
        <v/>
      </c>
      <c r="Z2084" s="586" t="str">
        <f t="shared" si="517"/>
        <v/>
      </c>
    </row>
    <row r="2085" spans="1:26" ht="12" hidden="1" thickBot="1" x14ac:dyDescent="0.25">
      <c r="A2085" s="567">
        <v>610800</v>
      </c>
      <c r="B2085" s="644" t="s">
        <v>1682</v>
      </c>
      <c r="C2085" s="645" t="s">
        <v>206</v>
      </c>
      <c r="D2085" s="422" t="s">
        <v>386</v>
      </c>
      <c r="E2085" s="423"/>
      <c r="F2085" s="424"/>
      <c r="G2085" s="425"/>
      <c r="H2085" s="651">
        <f>SUM(H2086:H2088)</f>
        <v>20.687328000000001</v>
      </c>
      <c r="I2085" s="420">
        <v>517.74</v>
      </c>
      <c r="J2085" s="420">
        <f>IF(ISBLANK(I2085),"",SUM(H2085:I2085))</f>
        <v>538.42732799999999</v>
      </c>
      <c r="K2085" s="421">
        <f t="shared" si="525"/>
        <v>639.71</v>
      </c>
      <c r="L2085" s="647" t="s">
        <v>19</v>
      </c>
      <c r="M2085" s="576"/>
      <c r="N2085" s="576">
        <f t="shared" si="536"/>
        <v>0</v>
      </c>
      <c r="O2085" s="577">
        <f t="shared" si="528"/>
        <v>0</v>
      </c>
      <c r="P2085" s="578">
        <f t="shared" si="529"/>
        <v>0</v>
      </c>
      <c r="Q2085" s="765"/>
      <c r="R2085" s="576">
        <f>M2085</f>
        <v>0</v>
      </c>
      <c r="S2085" s="576">
        <f>N2085</f>
        <v>0</v>
      </c>
      <c r="T2085" s="577">
        <f t="shared" si="526"/>
        <v>0</v>
      </c>
      <c r="U2085" s="578">
        <f t="shared" si="527"/>
        <v>0</v>
      </c>
      <c r="V2085" s="579"/>
      <c r="W2085" s="566"/>
      <c r="X2085" s="586" t="str">
        <f t="shared" si="522"/>
        <v/>
      </c>
      <c r="Y2085" s="586" t="str">
        <f t="shared" si="531"/>
        <v/>
      </c>
      <c r="Z2085" s="586" t="str">
        <f t="shared" si="517"/>
        <v/>
      </c>
    </row>
    <row r="2086" spans="1:26" ht="12" hidden="1" thickBot="1" x14ac:dyDescent="0.25">
      <c r="A2086" s="567" t="s">
        <v>168</v>
      </c>
      <c r="B2086" s="644" t="s">
        <v>168</v>
      </c>
      <c r="C2086" s="645"/>
      <c r="D2086" s="422" t="s">
        <v>212</v>
      </c>
      <c r="E2086" s="423"/>
      <c r="F2086" s="424">
        <v>500</v>
      </c>
      <c r="G2086" s="425">
        <v>3.2000000000000002E-3</v>
      </c>
      <c r="H2086" s="649">
        <f>IF(F2086&lt;=30,(0.78*F2086+7.82)*G2086,((0.78*30+7.82)+0.78*(F2086-30))*G2086)</f>
        <v>1.2730240000000002</v>
      </c>
      <c r="I2086" s="420"/>
      <c r="J2086" s="420"/>
      <c r="K2086" s="421">
        <f t="shared" si="525"/>
        <v>0</v>
      </c>
      <c r="L2086" s="647"/>
      <c r="M2086" s="723"/>
      <c r="N2086" s="576">
        <f t="shared" si="536"/>
        <v>0</v>
      </c>
      <c r="O2086" s="577">
        <f t="shared" si="528"/>
        <v>0</v>
      </c>
      <c r="P2086" s="578">
        <f t="shared" si="529"/>
        <v>0</v>
      </c>
      <c r="Q2086" s="765"/>
      <c r="R2086" s="723"/>
      <c r="S2086" s="723"/>
      <c r="T2086" s="577">
        <f t="shared" si="526"/>
        <v>0</v>
      </c>
      <c r="U2086" s="578">
        <f t="shared" si="527"/>
        <v>0</v>
      </c>
      <c r="V2086" s="579"/>
      <c r="W2086" s="566" t="str">
        <f>IF(U2085&gt;0,"xx",IF(P2085&gt;0,"xy",""))</f>
        <v/>
      </c>
      <c r="X2086" s="586" t="str">
        <f t="shared" si="522"/>
        <v/>
      </c>
      <c r="Y2086" s="586" t="str">
        <f t="shared" si="531"/>
        <v/>
      </c>
      <c r="Z2086" s="586" t="str">
        <f t="shared" si="517"/>
        <v/>
      </c>
    </row>
    <row r="2087" spans="1:26" ht="12" hidden="1" thickBot="1" x14ac:dyDescent="0.25">
      <c r="A2087" s="567" t="s">
        <v>168</v>
      </c>
      <c r="B2087" s="644" t="s">
        <v>168</v>
      </c>
      <c r="C2087" s="645"/>
      <c r="D2087" s="422" t="s">
        <v>248</v>
      </c>
      <c r="E2087" s="423"/>
      <c r="F2087" s="424">
        <v>180</v>
      </c>
      <c r="G2087" s="425">
        <v>1.6799999999999999E-2</v>
      </c>
      <c r="H2087" s="663">
        <f t="shared" ref="H2087:H2088" si="541">IF(F2087&lt;=30,(1.07*F2087+2.68)*G2087,((1.07*30+2.68)+1.07*(F2087-30))*G2087)</f>
        <v>3.2807039999999996</v>
      </c>
      <c r="I2087" s="420"/>
      <c r="J2087" s="420"/>
      <c r="K2087" s="421">
        <f t="shared" si="525"/>
        <v>0</v>
      </c>
      <c r="L2087" s="647"/>
      <c r="M2087" s="723"/>
      <c r="N2087" s="576">
        <f t="shared" si="536"/>
        <v>0</v>
      </c>
      <c r="O2087" s="577">
        <f t="shared" si="528"/>
        <v>0</v>
      </c>
      <c r="P2087" s="578">
        <f t="shared" si="529"/>
        <v>0</v>
      </c>
      <c r="Q2087" s="765"/>
      <c r="R2087" s="723"/>
      <c r="S2087" s="723"/>
      <c r="T2087" s="577">
        <f t="shared" si="526"/>
        <v>0</v>
      </c>
      <c r="U2087" s="578">
        <f t="shared" si="527"/>
        <v>0</v>
      </c>
      <c r="V2087" s="579"/>
      <c r="W2087" s="566" t="str">
        <f>IF(U2085&gt;0,"xx",IF(P2085&gt;0,"xy",""))</f>
        <v/>
      </c>
      <c r="X2087" s="586" t="str">
        <f t="shared" si="522"/>
        <v/>
      </c>
      <c r="Y2087" s="586" t="str">
        <f t="shared" si="531"/>
        <v/>
      </c>
      <c r="Z2087" s="586" t="str">
        <f t="shared" si="517"/>
        <v/>
      </c>
    </row>
    <row r="2088" spans="1:26" ht="12" hidden="1" thickBot="1" x14ac:dyDescent="0.25">
      <c r="A2088" s="567" t="s">
        <v>168</v>
      </c>
      <c r="B2088" s="644" t="s">
        <v>168</v>
      </c>
      <c r="C2088" s="645"/>
      <c r="D2088" s="422" t="s">
        <v>347</v>
      </c>
      <c r="E2088" s="423"/>
      <c r="F2088" s="424">
        <v>20</v>
      </c>
      <c r="G2088" s="425">
        <v>0.67</v>
      </c>
      <c r="H2088" s="663">
        <f t="shared" si="541"/>
        <v>16.133600000000001</v>
      </c>
      <c r="I2088" s="420"/>
      <c r="J2088" s="420"/>
      <c r="K2088" s="421">
        <f t="shared" si="525"/>
        <v>0</v>
      </c>
      <c r="L2088" s="647"/>
      <c r="M2088" s="723"/>
      <c r="N2088" s="576">
        <f t="shared" si="536"/>
        <v>0</v>
      </c>
      <c r="O2088" s="577">
        <f t="shared" si="528"/>
        <v>0</v>
      </c>
      <c r="P2088" s="578">
        <f t="shared" si="529"/>
        <v>0</v>
      </c>
      <c r="Q2088" s="765"/>
      <c r="R2088" s="723"/>
      <c r="S2088" s="723"/>
      <c r="T2088" s="577">
        <f t="shared" si="526"/>
        <v>0</v>
      </c>
      <c r="U2088" s="578">
        <f t="shared" si="527"/>
        <v>0</v>
      </c>
      <c r="V2088" s="579"/>
      <c r="W2088" s="566" t="str">
        <f>IF(U2085&gt;0,"xx",IF(P2085&gt;0,"xy",""))</f>
        <v/>
      </c>
      <c r="X2088" s="586" t="str">
        <f t="shared" si="522"/>
        <v/>
      </c>
      <c r="Y2088" s="586" t="str">
        <f t="shared" si="531"/>
        <v/>
      </c>
      <c r="Z2088" s="586" t="str">
        <f t="shared" ref="Z2088:Z2151" si="542">IF(W2088="X","x",IF(U2088&gt;0,"x",""))</f>
        <v/>
      </c>
    </row>
    <row r="2089" spans="1:26" ht="12" hidden="1" thickBot="1" x14ac:dyDescent="0.25">
      <c r="A2089" s="567">
        <v>611000</v>
      </c>
      <c r="B2089" s="644" t="s">
        <v>1689</v>
      </c>
      <c r="C2089" s="645" t="s">
        <v>206</v>
      </c>
      <c r="D2089" s="422" t="s">
        <v>581</v>
      </c>
      <c r="E2089" s="423"/>
      <c r="F2089" s="424"/>
      <c r="G2089" s="425"/>
      <c r="H2089" s="651">
        <f>SUM(H2090:H2092)</f>
        <v>25.798960000000001</v>
      </c>
      <c r="I2089" s="420">
        <v>634.35500000000002</v>
      </c>
      <c r="J2089" s="420">
        <f>IF(ISBLANK(I2089),"",SUM(H2089:I2089))</f>
        <v>660.15395999999998</v>
      </c>
      <c r="K2089" s="421">
        <f t="shared" si="525"/>
        <v>784.33</v>
      </c>
      <c r="L2089" s="647" t="s">
        <v>19</v>
      </c>
      <c r="M2089" s="576"/>
      <c r="N2089" s="576">
        <f t="shared" si="536"/>
        <v>0</v>
      </c>
      <c r="O2089" s="577">
        <f t="shared" si="528"/>
        <v>0</v>
      </c>
      <c r="P2089" s="578">
        <f t="shared" si="529"/>
        <v>0</v>
      </c>
      <c r="Q2089" s="765"/>
      <c r="R2089" s="576">
        <f>M2089</f>
        <v>0</v>
      </c>
      <c r="S2089" s="576">
        <f>N2089</f>
        <v>0</v>
      </c>
      <c r="T2089" s="577">
        <f t="shared" si="526"/>
        <v>0</v>
      </c>
      <c r="U2089" s="578">
        <f t="shared" si="527"/>
        <v>0</v>
      </c>
      <c r="V2089" s="579"/>
      <c r="W2089" s="566"/>
      <c r="X2089" s="586" t="str">
        <f t="shared" si="522"/>
        <v/>
      </c>
      <c r="Y2089" s="586" t="str">
        <f t="shared" si="531"/>
        <v/>
      </c>
      <c r="Z2089" s="586" t="str">
        <f t="shared" si="542"/>
        <v/>
      </c>
    </row>
    <row r="2090" spans="1:26" ht="12" hidden="1" thickBot="1" x14ac:dyDescent="0.25">
      <c r="A2090" s="567" t="s">
        <v>168</v>
      </c>
      <c r="B2090" s="644" t="s">
        <v>168</v>
      </c>
      <c r="C2090" s="645"/>
      <c r="D2090" s="422" t="s">
        <v>212</v>
      </c>
      <c r="E2090" s="423"/>
      <c r="F2090" s="424">
        <v>500</v>
      </c>
      <c r="G2090" s="425">
        <v>4.0000000000000001E-3</v>
      </c>
      <c r="H2090" s="649">
        <f>IF(F2090&lt;=30,(0.78*F2090+7.82)*G2090,((0.78*30+7.82)+0.78*(F2090-30))*G2090)</f>
        <v>1.5912800000000002</v>
      </c>
      <c r="I2090" s="420"/>
      <c r="J2090" s="420"/>
      <c r="K2090" s="421">
        <f t="shared" si="525"/>
        <v>0</v>
      </c>
      <c r="L2090" s="647"/>
      <c r="M2090" s="723"/>
      <c r="N2090" s="576">
        <f t="shared" si="536"/>
        <v>0</v>
      </c>
      <c r="O2090" s="577">
        <f t="shared" si="528"/>
        <v>0</v>
      </c>
      <c r="P2090" s="578">
        <f t="shared" si="529"/>
        <v>0</v>
      </c>
      <c r="Q2090" s="765"/>
      <c r="R2090" s="723"/>
      <c r="S2090" s="723"/>
      <c r="T2090" s="577">
        <f t="shared" si="526"/>
        <v>0</v>
      </c>
      <c r="U2090" s="578">
        <f t="shared" si="527"/>
        <v>0</v>
      </c>
      <c r="V2090" s="579"/>
      <c r="W2090" s="566" t="str">
        <f>IF(U2089&gt;0,"xx",IF(P2089&gt;0,"xy",""))</f>
        <v/>
      </c>
      <c r="X2090" s="586" t="str">
        <f t="shared" si="522"/>
        <v/>
      </c>
      <c r="Y2090" s="586" t="str">
        <f t="shared" si="531"/>
        <v/>
      </c>
      <c r="Z2090" s="586" t="str">
        <f t="shared" si="542"/>
        <v/>
      </c>
    </row>
    <row r="2091" spans="1:26" ht="12" hidden="1" thickBot="1" x14ac:dyDescent="0.25">
      <c r="A2091" s="567" t="s">
        <v>168</v>
      </c>
      <c r="B2091" s="644" t="s">
        <v>168</v>
      </c>
      <c r="C2091" s="645"/>
      <c r="D2091" s="422" t="s">
        <v>248</v>
      </c>
      <c r="E2091" s="423"/>
      <c r="F2091" s="424">
        <v>180</v>
      </c>
      <c r="G2091" s="425">
        <v>2.1000000000000001E-2</v>
      </c>
      <c r="H2091" s="663">
        <f t="shared" ref="H2091:H2092" si="543">IF(F2091&lt;=30,(1.07*F2091+2.68)*G2091,((1.07*30+2.68)+1.07*(F2091-30))*G2091)</f>
        <v>4.1008800000000001</v>
      </c>
      <c r="I2091" s="420"/>
      <c r="J2091" s="420"/>
      <c r="K2091" s="421">
        <f t="shared" si="525"/>
        <v>0</v>
      </c>
      <c r="L2091" s="647"/>
      <c r="M2091" s="723"/>
      <c r="N2091" s="576">
        <f t="shared" si="536"/>
        <v>0</v>
      </c>
      <c r="O2091" s="577">
        <f t="shared" si="528"/>
        <v>0</v>
      </c>
      <c r="P2091" s="578">
        <f t="shared" si="529"/>
        <v>0</v>
      </c>
      <c r="Q2091" s="765"/>
      <c r="R2091" s="723"/>
      <c r="S2091" s="723"/>
      <c r="T2091" s="577">
        <f t="shared" si="526"/>
        <v>0</v>
      </c>
      <c r="U2091" s="578">
        <f t="shared" si="527"/>
        <v>0</v>
      </c>
      <c r="V2091" s="579"/>
      <c r="W2091" s="566" t="str">
        <f>IF(U2089&gt;0,"xx",IF(P2089&gt;0,"xy",""))</f>
        <v/>
      </c>
      <c r="X2091" s="586" t="str">
        <f t="shared" si="522"/>
        <v/>
      </c>
      <c r="Y2091" s="586" t="str">
        <f t="shared" si="531"/>
        <v/>
      </c>
      <c r="Z2091" s="586" t="str">
        <f t="shared" si="542"/>
        <v/>
      </c>
    </row>
    <row r="2092" spans="1:26" ht="12" hidden="1" thickBot="1" x14ac:dyDescent="0.25">
      <c r="A2092" s="567" t="s">
        <v>168</v>
      </c>
      <c r="B2092" s="644" t="s">
        <v>168</v>
      </c>
      <c r="C2092" s="645"/>
      <c r="D2092" s="422" t="s">
        <v>347</v>
      </c>
      <c r="E2092" s="423"/>
      <c r="F2092" s="424">
        <v>20</v>
      </c>
      <c r="G2092" s="425">
        <v>0.83499999999999996</v>
      </c>
      <c r="H2092" s="663">
        <f t="shared" si="543"/>
        <v>20.1068</v>
      </c>
      <c r="I2092" s="420"/>
      <c r="J2092" s="420"/>
      <c r="K2092" s="421">
        <f t="shared" si="525"/>
        <v>0</v>
      </c>
      <c r="L2092" s="647"/>
      <c r="M2092" s="723"/>
      <c r="N2092" s="576">
        <f t="shared" si="536"/>
        <v>0</v>
      </c>
      <c r="O2092" s="577">
        <f t="shared" si="528"/>
        <v>0</v>
      </c>
      <c r="P2092" s="578">
        <f t="shared" si="529"/>
        <v>0</v>
      </c>
      <c r="Q2092" s="765"/>
      <c r="R2092" s="723"/>
      <c r="S2092" s="723"/>
      <c r="T2092" s="577">
        <f t="shared" si="526"/>
        <v>0</v>
      </c>
      <c r="U2092" s="578">
        <f t="shared" si="527"/>
        <v>0</v>
      </c>
      <c r="V2092" s="579"/>
      <c r="W2092" s="566" t="str">
        <f>IF(U2089&gt;0,"xx",IF(P2089&gt;0,"xy",""))</f>
        <v/>
      </c>
      <c r="X2092" s="586" t="str">
        <f t="shared" si="522"/>
        <v/>
      </c>
      <c r="Y2092" s="586" t="str">
        <f t="shared" si="531"/>
        <v/>
      </c>
      <c r="Z2092" s="586" t="str">
        <f t="shared" si="542"/>
        <v/>
      </c>
    </row>
    <row r="2093" spans="1:26" ht="12" hidden="1" thickBot="1" x14ac:dyDescent="0.25">
      <c r="A2093" s="567">
        <v>611000</v>
      </c>
      <c r="B2093" s="644" t="s">
        <v>1690</v>
      </c>
      <c r="C2093" s="645" t="s">
        <v>206</v>
      </c>
      <c r="D2093" s="422" t="s">
        <v>387</v>
      </c>
      <c r="E2093" s="423"/>
      <c r="F2093" s="424"/>
      <c r="G2093" s="425"/>
      <c r="H2093" s="651">
        <f>SUM(H2094:H2096)</f>
        <v>30.910592000000001</v>
      </c>
      <c r="I2093" s="420">
        <v>750.97</v>
      </c>
      <c r="J2093" s="420">
        <f>IF(ISBLANK(I2093),"",SUM(H2093:I2093))</f>
        <v>781.88059199999998</v>
      </c>
      <c r="K2093" s="421">
        <f t="shared" si="525"/>
        <v>928.95</v>
      </c>
      <c r="L2093" s="647" t="s">
        <v>19</v>
      </c>
      <c r="M2093" s="576"/>
      <c r="N2093" s="576">
        <f t="shared" si="536"/>
        <v>0</v>
      </c>
      <c r="O2093" s="577">
        <f t="shared" si="528"/>
        <v>0</v>
      </c>
      <c r="P2093" s="578">
        <f t="shared" si="529"/>
        <v>0</v>
      </c>
      <c r="Q2093" s="765"/>
      <c r="R2093" s="576">
        <f>M2093</f>
        <v>0</v>
      </c>
      <c r="S2093" s="576">
        <f>N2093</f>
        <v>0</v>
      </c>
      <c r="T2093" s="577">
        <f t="shared" si="526"/>
        <v>0</v>
      </c>
      <c r="U2093" s="578">
        <f t="shared" si="527"/>
        <v>0</v>
      </c>
      <c r="V2093" s="579"/>
      <c r="W2093" s="566"/>
      <c r="X2093" s="586" t="str">
        <f t="shared" si="522"/>
        <v/>
      </c>
      <c r="Y2093" s="586" t="str">
        <f t="shared" si="531"/>
        <v/>
      </c>
      <c r="Z2093" s="586" t="str">
        <f t="shared" si="542"/>
        <v/>
      </c>
    </row>
    <row r="2094" spans="1:26" ht="12" hidden="1" thickBot="1" x14ac:dyDescent="0.25">
      <c r="A2094" s="567" t="s">
        <v>168</v>
      </c>
      <c r="B2094" s="644" t="s">
        <v>168</v>
      </c>
      <c r="C2094" s="645"/>
      <c r="D2094" s="422" t="s">
        <v>212</v>
      </c>
      <c r="E2094" s="423"/>
      <c r="F2094" s="424">
        <v>500</v>
      </c>
      <c r="G2094" s="425">
        <v>4.7999999999999996E-3</v>
      </c>
      <c r="H2094" s="649">
        <f>IF(F2094&lt;=30,(0.78*F2094+7.82)*G2094,((0.78*30+7.82)+0.78*(F2094-30))*G2094)</f>
        <v>1.9095360000000001</v>
      </c>
      <c r="I2094" s="420"/>
      <c r="J2094" s="420"/>
      <c r="K2094" s="421">
        <f t="shared" si="525"/>
        <v>0</v>
      </c>
      <c r="L2094" s="647"/>
      <c r="M2094" s="723"/>
      <c r="N2094" s="576">
        <f t="shared" si="536"/>
        <v>0</v>
      </c>
      <c r="O2094" s="577">
        <f t="shared" si="528"/>
        <v>0</v>
      </c>
      <c r="P2094" s="578">
        <f t="shared" si="529"/>
        <v>0</v>
      </c>
      <c r="Q2094" s="765"/>
      <c r="R2094" s="723"/>
      <c r="S2094" s="723"/>
      <c r="T2094" s="577">
        <f t="shared" si="526"/>
        <v>0</v>
      </c>
      <c r="U2094" s="578">
        <f t="shared" si="527"/>
        <v>0</v>
      </c>
      <c r="V2094" s="579"/>
      <c r="W2094" s="566" t="str">
        <f>IF(U2093&gt;0,"xx",IF(P2093&gt;0,"xy",""))</f>
        <v/>
      </c>
      <c r="X2094" s="586" t="str">
        <f t="shared" si="522"/>
        <v/>
      </c>
      <c r="Y2094" s="586" t="str">
        <f t="shared" si="531"/>
        <v/>
      </c>
      <c r="Z2094" s="586" t="str">
        <f t="shared" si="542"/>
        <v/>
      </c>
    </row>
    <row r="2095" spans="1:26" ht="12" hidden="1" thickBot="1" x14ac:dyDescent="0.25">
      <c r="A2095" s="567" t="s">
        <v>168</v>
      </c>
      <c r="B2095" s="644" t="s">
        <v>168</v>
      </c>
      <c r="C2095" s="645"/>
      <c r="D2095" s="422" t="s">
        <v>248</v>
      </c>
      <c r="E2095" s="423"/>
      <c r="F2095" s="424">
        <v>180</v>
      </c>
      <c r="G2095" s="425">
        <v>2.52E-2</v>
      </c>
      <c r="H2095" s="663">
        <f t="shared" ref="H2095:H2096" si="544">IF(F2095&lt;=30,(1.07*F2095+2.68)*G2095,((1.07*30+2.68)+1.07*(F2095-30))*G2095)</f>
        <v>4.9210560000000001</v>
      </c>
      <c r="I2095" s="420"/>
      <c r="J2095" s="420"/>
      <c r="K2095" s="421">
        <f t="shared" si="525"/>
        <v>0</v>
      </c>
      <c r="L2095" s="647"/>
      <c r="M2095" s="723"/>
      <c r="N2095" s="576">
        <f t="shared" si="536"/>
        <v>0</v>
      </c>
      <c r="O2095" s="577">
        <f t="shared" si="528"/>
        <v>0</v>
      </c>
      <c r="P2095" s="578">
        <f t="shared" si="529"/>
        <v>0</v>
      </c>
      <c r="Q2095" s="765"/>
      <c r="R2095" s="723"/>
      <c r="S2095" s="723"/>
      <c r="T2095" s="577">
        <f t="shared" si="526"/>
        <v>0</v>
      </c>
      <c r="U2095" s="578">
        <f t="shared" si="527"/>
        <v>0</v>
      </c>
      <c r="V2095" s="579"/>
      <c r="W2095" s="566" t="str">
        <f>IF(U2093&gt;0,"xx",IF(P2093&gt;0,"xy",""))</f>
        <v/>
      </c>
      <c r="X2095" s="586" t="str">
        <f t="shared" si="522"/>
        <v/>
      </c>
      <c r="Y2095" s="586" t="str">
        <f t="shared" si="531"/>
        <v/>
      </c>
      <c r="Z2095" s="586" t="str">
        <f t="shared" si="542"/>
        <v/>
      </c>
    </row>
    <row r="2096" spans="1:26" ht="12" hidden="1" thickBot="1" x14ac:dyDescent="0.25">
      <c r="A2096" s="567" t="s">
        <v>168</v>
      </c>
      <c r="B2096" s="644" t="s">
        <v>168</v>
      </c>
      <c r="C2096" s="645"/>
      <c r="D2096" s="422" t="s">
        <v>347</v>
      </c>
      <c r="E2096" s="423"/>
      <c r="F2096" s="424">
        <v>20</v>
      </c>
      <c r="G2096" s="425">
        <v>1</v>
      </c>
      <c r="H2096" s="663">
        <f t="shared" si="544"/>
        <v>24.080000000000002</v>
      </c>
      <c r="I2096" s="420"/>
      <c r="J2096" s="420"/>
      <c r="K2096" s="421">
        <f t="shared" si="525"/>
        <v>0</v>
      </c>
      <c r="L2096" s="647"/>
      <c r="M2096" s="723"/>
      <c r="N2096" s="576">
        <f t="shared" si="536"/>
        <v>0</v>
      </c>
      <c r="O2096" s="577">
        <f t="shared" si="528"/>
        <v>0</v>
      </c>
      <c r="P2096" s="578">
        <f t="shared" si="529"/>
        <v>0</v>
      </c>
      <c r="Q2096" s="765"/>
      <c r="R2096" s="723"/>
      <c r="S2096" s="723"/>
      <c r="T2096" s="577">
        <f t="shared" si="526"/>
        <v>0</v>
      </c>
      <c r="U2096" s="578">
        <f t="shared" si="527"/>
        <v>0</v>
      </c>
      <c r="V2096" s="579"/>
      <c r="W2096" s="566" t="str">
        <f>IF(U2093&gt;0,"xx",IF(P2093&gt;0,"xy",""))</f>
        <v/>
      </c>
      <c r="X2096" s="586" t="str">
        <f t="shared" si="522"/>
        <v/>
      </c>
      <c r="Y2096" s="586" t="str">
        <f t="shared" si="531"/>
        <v/>
      </c>
      <c r="Z2096" s="586" t="str">
        <f t="shared" si="542"/>
        <v/>
      </c>
    </row>
    <row r="2097" spans="1:26" ht="12" hidden="1" thickBot="1" x14ac:dyDescent="0.25">
      <c r="A2097" s="567">
        <v>611200</v>
      </c>
      <c r="B2097" s="644" t="s">
        <v>1692</v>
      </c>
      <c r="C2097" s="645" t="s">
        <v>206</v>
      </c>
      <c r="D2097" s="422" t="s">
        <v>388</v>
      </c>
      <c r="E2097" s="423"/>
      <c r="F2097" s="424"/>
      <c r="G2097" s="425"/>
      <c r="H2097" s="651">
        <f>SUM(H2098:H2100)</f>
        <v>43.822438000000005</v>
      </c>
      <c r="I2097" s="420">
        <v>997.43000000000006</v>
      </c>
      <c r="J2097" s="420">
        <f>IF(ISBLANK(I2097),"",SUM(H2097:I2097))</f>
        <v>1041.252438</v>
      </c>
      <c r="K2097" s="421">
        <f t="shared" si="525"/>
        <v>1237.1099999999999</v>
      </c>
      <c r="L2097" s="647" t="s">
        <v>19</v>
      </c>
      <c r="M2097" s="576"/>
      <c r="N2097" s="576">
        <f t="shared" si="536"/>
        <v>0</v>
      </c>
      <c r="O2097" s="577">
        <f t="shared" si="528"/>
        <v>0</v>
      </c>
      <c r="P2097" s="578">
        <f t="shared" si="529"/>
        <v>0</v>
      </c>
      <c r="Q2097" s="765"/>
      <c r="R2097" s="576">
        <f>M2097</f>
        <v>0</v>
      </c>
      <c r="S2097" s="576">
        <f>N2097</f>
        <v>0</v>
      </c>
      <c r="T2097" s="577">
        <f t="shared" si="526"/>
        <v>0</v>
      </c>
      <c r="U2097" s="578">
        <f t="shared" si="527"/>
        <v>0</v>
      </c>
      <c r="V2097" s="579"/>
      <c r="W2097" s="566"/>
      <c r="X2097" s="586" t="str">
        <f t="shared" si="522"/>
        <v/>
      </c>
      <c r="Y2097" s="586" t="str">
        <f t="shared" si="531"/>
        <v/>
      </c>
      <c r="Z2097" s="586" t="str">
        <f t="shared" si="542"/>
        <v/>
      </c>
    </row>
    <row r="2098" spans="1:26" ht="12" hidden="1" thickBot="1" x14ac:dyDescent="0.25">
      <c r="A2098" s="567" t="s">
        <v>168</v>
      </c>
      <c r="B2098" s="644" t="s">
        <v>168</v>
      </c>
      <c r="C2098" s="645"/>
      <c r="D2098" s="422" t="s">
        <v>212</v>
      </c>
      <c r="E2098" s="423"/>
      <c r="F2098" s="424">
        <v>500</v>
      </c>
      <c r="G2098" s="425">
        <v>6.4999999999999997E-3</v>
      </c>
      <c r="H2098" s="649">
        <f>IF(F2098&lt;=30,(0.78*F2098+7.82)*G2098,((0.78*30+7.82)+0.78*(F2098-30))*G2098)</f>
        <v>2.5858300000000001</v>
      </c>
      <c r="I2098" s="420"/>
      <c r="J2098" s="420"/>
      <c r="K2098" s="421">
        <f t="shared" si="525"/>
        <v>0</v>
      </c>
      <c r="L2098" s="647"/>
      <c r="M2098" s="723"/>
      <c r="N2098" s="576">
        <f t="shared" si="536"/>
        <v>0</v>
      </c>
      <c r="O2098" s="577">
        <f t="shared" si="528"/>
        <v>0</v>
      </c>
      <c r="P2098" s="578">
        <f t="shared" si="529"/>
        <v>0</v>
      </c>
      <c r="Q2098" s="765"/>
      <c r="R2098" s="723"/>
      <c r="S2098" s="723"/>
      <c r="T2098" s="577">
        <f t="shared" si="526"/>
        <v>0</v>
      </c>
      <c r="U2098" s="578">
        <f t="shared" si="527"/>
        <v>0</v>
      </c>
      <c r="V2098" s="579"/>
      <c r="W2098" s="566" t="str">
        <f>IF(U2097&gt;0,"xx",IF(P2097&gt;0,"xy",""))</f>
        <v/>
      </c>
      <c r="X2098" s="586" t="str">
        <f t="shared" si="522"/>
        <v/>
      </c>
      <c r="Y2098" s="586" t="str">
        <f t="shared" si="531"/>
        <v/>
      </c>
      <c r="Z2098" s="586" t="str">
        <f t="shared" si="542"/>
        <v/>
      </c>
    </row>
    <row r="2099" spans="1:26" ht="12" hidden="1" thickBot="1" x14ac:dyDescent="0.25">
      <c r="A2099" s="567" t="s">
        <v>168</v>
      </c>
      <c r="B2099" s="644" t="s">
        <v>168</v>
      </c>
      <c r="C2099" s="645"/>
      <c r="D2099" s="422" t="s">
        <v>248</v>
      </c>
      <c r="E2099" s="423"/>
      <c r="F2099" s="424">
        <v>180</v>
      </c>
      <c r="G2099" s="425">
        <v>3.3599999999999998E-2</v>
      </c>
      <c r="H2099" s="663">
        <f t="shared" ref="H2099:H2100" si="545">IF(F2099&lt;=30,(1.07*F2099+2.68)*G2099,((1.07*30+2.68)+1.07*(F2099-30))*G2099)</f>
        <v>6.5614079999999992</v>
      </c>
      <c r="I2099" s="420"/>
      <c r="J2099" s="420"/>
      <c r="K2099" s="421">
        <f t="shared" si="525"/>
        <v>0</v>
      </c>
      <c r="L2099" s="647"/>
      <c r="M2099" s="723"/>
      <c r="N2099" s="576">
        <f t="shared" si="536"/>
        <v>0</v>
      </c>
      <c r="O2099" s="577">
        <f t="shared" si="528"/>
        <v>0</v>
      </c>
      <c r="P2099" s="578">
        <f t="shared" si="529"/>
        <v>0</v>
      </c>
      <c r="Q2099" s="765"/>
      <c r="R2099" s="723"/>
      <c r="S2099" s="723"/>
      <c r="T2099" s="577">
        <f t="shared" si="526"/>
        <v>0</v>
      </c>
      <c r="U2099" s="578">
        <f t="shared" si="527"/>
        <v>0</v>
      </c>
      <c r="V2099" s="579"/>
      <c r="W2099" s="566" t="str">
        <f>IF(U2097&gt;0,"xx",IF(P2097&gt;0,"xy",""))</f>
        <v/>
      </c>
      <c r="X2099" s="586" t="str">
        <f t="shared" si="522"/>
        <v/>
      </c>
      <c r="Y2099" s="586" t="str">
        <f t="shared" si="531"/>
        <v/>
      </c>
      <c r="Z2099" s="586" t="str">
        <f t="shared" si="542"/>
        <v/>
      </c>
    </row>
    <row r="2100" spans="1:26" ht="12" hidden="1" thickBot="1" x14ac:dyDescent="0.25">
      <c r="A2100" s="567" t="s">
        <v>168</v>
      </c>
      <c r="B2100" s="644" t="s">
        <v>168</v>
      </c>
      <c r="C2100" s="645"/>
      <c r="D2100" s="422" t="s">
        <v>347</v>
      </c>
      <c r="E2100" s="423"/>
      <c r="F2100" s="424">
        <v>20</v>
      </c>
      <c r="G2100" s="425">
        <v>1.44</v>
      </c>
      <c r="H2100" s="663">
        <f t="shared" si="545"/>
        <v>34.675200000000004</v>
      </c>
      <c r="I2100" s="420"/>
      <c r="J2100" s="420"/>
      <c r="K2100" s="421">
        <f t="shared" si="525"/>
        <v>0</v>
      </c>
      <c r="L2100" s="647"/>
      <c r="M2100" s="723"/>
      <c r="N2100" s="576">
        <f t="shared" si="536"/>
        <v>0</v>
      </c>
      <c r="O2100" s="577">
        <f t="shared" si="528"/>
        <v>0</v>
      </c>
      <c r="P2100" s="578">
        <f t="shared" si="529"/>
        <v>0</v>
      </c>
      <c r="Q2100" s="765"/>
      <c r="R2100" s="723"/>
      <c r="S2100" s="723"/>
      <c r="T2100" s="577">
        <f t="shared" si="526"/>
        <v>0</v>
      </c>
      <c r="U2100" s="578">
        <f t="shared" si="527"/>
        <v>0</v>
      </c>
      <c r="V2100" s="579"/>
      <c r="W2100" s="566" t="str">
        <f>IF(U2097&gt;0,"xx",IF(P2097&gt;0,"xy",""))</f>
        <v/>
      </c>
      <c r="X2100" s="586" t="str">
        <f t="shared" si="522"/>
        <v/>
      </c>
      <c r="Y2100" s="586" t="str">
        <f t="shared" si="531"/>
        <v/>
      </c>
      <c r="Z2100" s="586" t="str">
        <f t="shared" si="542"/>
        <v/>
      </c>
    </row>
    <row r="2101" spans="1:26" ht="12" hidden="1" thickBot="1" x14ac:dyDescent="0.25">
      <c r="A2101" s="567">
        <v>611400</v>
      </c>
      <c r="B2101" s="644" t="s">
        <v>1695</v>
      </c>
      <c r="C2101" s="645" t="s">
        <v>206</v>
      </c>
      <c r="D2101" s="422" t="s">
        <v>389</v>
      </c>
      <c r="E2101" s="423"/>
      <c r="F2101" s="424"/>
      <c r="G2101" s="425"/>
      <c r="H2101" s="651">
        <f>SUM(H2102:H2104)</f>
        <v>51.156102000000004</v>
      </c>
      <c r="I2101" s="420">
        <v>1260.26</v>
      </c>
      <c r="J2101" s="420">
        <f>IF(ISBLANK(I2101),"",SUM(H2101:I2101))</f>
        <v>1311.4161019999999</v>
      </c>
      <c r="K2101" s="421">
        <f t="shared" si="525"/>
        <v>1558.09</v>
      </c>
      <c r="L2101" s="647" t="s">
        <v>19</v>
      </c>
      <c r="M2101" s="576"/>
      <c r="N2101" s="576">
        <f t="shared" si="536"/>
        <v>0</v>
      </c>
      <c r="O2101" s="577">
        <f t="shared" si="528"/>
        <v>0</v>
      </c>
      <c r="P2101" s="578">
        <f t="shared" si="529"/>
        <v>0</v>
      </c>
      <c r="Q2101" s="765"/>
      <c r="R2101" s="576">
        <f>M2101</f>
        <v>0</v>
      </c>
      <c r="S2101" s="576">
        <f>N2101</f>
        <v>0</v>
      </c>
      <c r="T2101" s="577">
        <f t="shared" si="526"/>
        <v>0</v>
      </c>
      <c r="U2101" s="578">
        <f t="shared" si="527"/>
        <v>0</v>
      </c>
      <c r="V2101" s="579"/>
      <c r="W2101" s="566"/>
      <c r="X2101" s="586" t="str">
        <f t="shared" si="522"/>
        <v/>
      </c>
      <c r="Y2101" s="586" t="str">
        <f t="shared" si="531"/>
        <v/>
      </c>
      <c r="Z2101" s="586" t="str">
        <f t="shared" si="542"/>
        <v/>
      </c>
    </row>
    <row r="2102" spans="1:26" ht="12" hidden="1" thickBot="1" x14ac:dyDescent="0.25">
      <c r="A2102" s="567" t="s">
        <v>168</v>
      </c>
      <c r="B2102" s="644" t="s">
        <v>168</v>
      </c>
      <c r="C2102" s="645"/>
      <c r="D2102" s="422" t="s">
        <v>212</v>
      </c>
      <c r="E2102" s="423"/>
      <c r="F2102" s="424">
        <v>500</v>
      </c>
      <c r="G2102" s="425">
        <v>8.0999999999999996E-3</v>
      </c>
      <c r="H2102" s="649">
        <f>IF(F2102&lt;=30,(0.78*F2102+7.82)*G2102,((0.78*30+7.82)+0.78*(F2102-30))*G2102)</f>
        <v>3.2223420000000003</v>
      </c>
      <c r="I2102" s="420"/>
      <c r="J2102" s="420" t="str">
        <f>IF(ISBLANK(I2102),"",SUM(H2102:I2102))</f>
        <v/>
      </c>
      <c r="K2102" s="421">
        <f t="shared" si="525"/>
        <v>0</v>
      </c>
      <c r="L2102" s="647"/>
      <c r="M2102" s="723"/>
      <c r="N2102" s="576">
        <f t="shared" si="536"/>
        <v>0</v>
      </c>
      <c r="O2102" s="577">
        <f t="shared" si="528"/>
        <v>0</v>
      </c>
      <c r="P2102" s="578">
        <f t="shared" si="529"/>
        <v>0</v>
      </c>
      <c r="Q2102" s="765"/>
      <c r="R2102" s="723"/>
      <c r="S2102" s="723"/>
      <c r="T2102" s="577">
        <f t="shared" si="526"/>
        <v>0</v>
      </c>
      <c r="U2102" s="578">
        <f t="shared" si="527"/>
        <v>0</v>
      </c>
      <c r="V2102" s="579"/>
      <c r="W2102" s="566" t="str">
        <f>IF(U2101&gt;0,"xx",IF(P2101&gt;0,"xy",""))</f>
        <v/>
      </c>
      <c r="X2102" s="586" t="str">
        <f t="shared" si="522"/>
        <v/>
      </c>
      <c r="Y2102" s="586" t="str">
        <f t="shared" si="531"/>
        <v/>
      </c>
      <c r="Z2102" s="586" t="str">
        <f t="shared" si="542"/>
        <v/>
      </c>
    </row>
    <row r="2103" spans="1:26" ht="12" hidden="1" thickBot="1" x14ac:dyDescent="0.25">
      <c r="A2103" s="567" t="s">
        <v>168</v>
      </c>
      <c r="B2103" s="644" t="s">
        <v>168</v>
      </c>
      <c r="C2103" s="645"/>
      <c r="D2103" s="422" t="s">
        <v>248</v>
      </c>
      <c r="E2103" s="423"/>
      <c r="F2103" s="424">
        <v>180</v>
      </c>
      <c r="G2103" s="425">
        <v>4.2000000000000003E-2</v>
      </c>
      <c r="H2103" s="663">
        <f t="shared" ref="H2103:H2104" si="546">IF(F2103&lt;=30,(1.07*F2103+2.68)*G2103,((1.07*30+2.68)+1.07*(F2103-30))*G2103)</f>
        <v>8.2017600000000002</v>
      </c>
      <c r="I2103" s="420"/>
      <c r="J2103" s="420" t="str">
        <f>IF(ISBLANK(I2103),"",SUM(H2103:I2103))</f>
        <v/>
      </c>
      <c r="K2103" s="421">
        <f t="shared" si="525"/>
        <v>0</v>
      </c>
      <c r="L2103" s="647"/>
      <c r="M2103" s="723"/>
      <c r="N2103" s="576">
        <f t="shared" si="536"/>
        <v>0</v>
      </c>
      <c r="O2103" s="577">
        <f t="shared" si="528"/>
        <v>0</v>
      </c>
      <c r="P2103" s="578">
        <f t="shared" si="529"/>
        <v>0</v>
      </c>
      <c r="Q2103" s="765"/>
      <c r="R2103" s="723"/>
      <c r="S2103" s="723"/>
      <c r="T2103" s="577">
        <f t="shared" si="526"/>
        <v>0</v>
      </c>
      <c r="U2103" s="578">
        <f t="shared" si="527"/>
        <v>0</v>
      </c>
      <c r="V2103" s="579"/>
      <c r="W2103" s="566" t="str">
        <f>IF(U2101&gt;0,"xx",IF(P2101&gt;0,"xy",""))</f>
        <v/>
      </c>
      <c r="X2103" s="586" t="str">
        <f t="shared" si="522"/>
        <v/>
      </c>
      <c r="Y2103" s="586" t="str">
        <f t="shared" si="531"/>
        <v/>
      </c>
      <c r="Z2103" s="586" t="str">
        <f t="shared" si="542"/>
        <v/>
      </c>
    </row>
    <row r="2104" spans="1:26" ht="12" hidden="1" thickBot="1" x14ac:dyDescent="0.25">
      <c r="A2104" s="567" t="s">
        <v>168</v>
      </c>
      <c r="B2104" s="644" t="s">
        <v>168</v>
      </c>
      <c r="C2104" s="645"/>
      <c r="D2104" s="422" t="s">
        <v>347</v>
      </c>
      <c r="E2104" s="423"/>
      <c r="F2104" s="424">
        <v>20</v>
      </c>
      <c r="G2104" s="425">
        <v>1.65</v>
      </c>
      <c r="H2104" s="663">
        <f t="shared" si="546"/>
        <v>39.731999999999999</v>
      </c>
      <c r="I2104" s="420"/>
      <c r="J2104" s="420" t="str">
        <f>IF(ISBLANK(I2104),"",SUM(H2104:I2104))</f>
        <v/>
      </c>
      <c r="K2104" s="421">
        <f t="shared" si="525"/>
        <v>0</v>
      </c>
      <c r="L2104" s="647"/>
      <c r="M2104" s="723"/>
      <c r="N2104" s="576">
        <f t="shared" si="536"/>
        <v>0</v>
      </c>
      <c r="O2104" s="577">
        <f t="shared" si="528"/>
        <v>0</v>
      </c>
      <c r="P2104" s="578">
        <f t="shared" si="529"/>
        <v>0</v>
      </c>
      <c r="Q2104" s="765"/>
      <c r="R2104" s="723"/>
      <c r="S2104" s="723"/>
      <c r="T2104" s="577">
        <f t="shared" si="526"/>
        <v>0</v>
      </c>
      <c r="U2104" s="578">
        <f t="shared" si="527"/>
        <v>0</v>
      </c>
      <c r="V2104" s="579"/>
      <c r="W2104" s="566" t="str">
        <f>IF(U2101&gt;0,"xx",IF(P2101&gt;0,"xy",""))</f>
        <v/>
      </c>
      <c r="X2104" s="586" t="str">
        <f t="shared" si="522"/>
        <v/>
      </c>
      <c r="Y2104" s="586" t="str">
        <f t="shared" si="531"/>
        <v/>
      </c>
      <c r="Z2104" s="586" t="str">
        <f t="shared" si="542"/>
        <v/>
      </c>
    </row>
    <row r="2105" spans="1:26" ht="12" hidden="1" thickBot="1" x14ac:dyDescent="0.25">
      <c r="A2105" s="567">
        <v>611400</v>
      </c>
      <c r="B2105" s="644" t="s">
        <v>1696</v>
      </c>
      <c r="C2105" s="645" t="s">
        <v>206</v>
      </c>
      <c r="D2105" s="422" t="s">
        <v>390</v>
      </c>
      <c r="E2105" s="423"/>
      <c r="F2105" s="424"/>
      <c r="G2105" s="425"/>
      <c r="H2105" s="651">
        <f>SUM(H2106:H2108)</f>
        <v>61.624152000000009</v>
      </c>
      <c r="I2105" s="420">
        <v>1678.6472000000001</v>
      </c>
      <c r="J2105" s="420">
        <f>IF(ISBLANK(I2105),"",SUM(H2105:I2105))</f>
        <v>1740.2713520000002</v>
      </c>
      <c r="K2105" s="421">
        <f t="shared" si="525"/>
        <v>2067.62</v>
      </c>
      <c r="L2105" s="647" t="s">
        <v>19</v>
      </c>
      <c r="M2105" s="576"/>
      <c r="N2105" s="576">
        <f t="shared" si="536"/>
        <v>0</v>
      </c>
      <c r="O2105" s="577">
        <f t="shared" si="528"/>
        <v>0</v>
      </c>
      <c r="P2105" s="578">
        <f t="shared" si="529"/>
        <v>0</v>
      </c>
      <c r="Q2105" s="765"/>
      <c r="R2105" s="576">
        <f>M2105</f>
        <v>0</v>
      </c>
      <c r="S2105" s="576">
        <f>N2105</f>
        <v>0</v>
      </c>
      <c r="T2105" s="577">
        <f t="shared" si="526"/>
        <v>0</v>
      </c>
      <c r="U2105" s="578">
        <f t="shared" si="527"/>
        <v>0</v>
      </c>
      <c r="V2105" s="579"/>
      <c r="W2105" s="566"/>
      <c r="X2105" s="586" t="str">
        <f t="shared" si="522"/>
        <v/>
      </c>
      <c r="Y2105" s="586" t="str">
        <f t="shared" si="531"/>
        <v/>
      </c>
      <c r="Z2105" s="586" t="str">
        <f t="shared" si="542"/>
        <v/>
      </c>
    </row>
    <row r="2106" spans="1:26" ht="12" hidden="1" thickBot="1" x14ac:dyDescent="0.25">
      <c r="A2106" s="567" t="s">
        <v>168</v>
      </c>
      <c r="B2106" s="644" t="s">
        <v>168</v>
      </c>
      <c r="C2106" s="645"/>
      <c r="D2106" s="422" t="s">
        <v>212</v>
      </c>
      <c r="E2106" s="423"/>
      <c r="F2106" s="424">
        <v>500</v>
      </c>
      <c r="G2106" s="425">
        <v>9.1999999999999998E-3</v>
      </c>
      <c r="H2106" s="649">
        <f>IF(F2106&lt;=30,(0.78*F2106+7.82)*G2106,((0.78*30+7.82)+0.78*(F2106-30))*G2106)</f>
        <v>3.6599440000000003</v>
      </c>
      <c r="I2106" s="420"/>
      <c r="J2106" s="420"/>
      <c r="K2106" s="421">
        <f t="shared" si="525"/>
        <v>0</v>
      </c>
      <c r="L2106" s="647"/>
      <c r="M2106" s="723"/>
      <c r="N2106" s="576">
        <f t="shared" si="536"/>
        <v>0</v>
      </c>
      <c r="O2106" s="577">
        <f t="shared" si="528"/>
        <v>0</v>
      </c>
      <c r="P2106" s="578">
        <f t="shared" si="529"/>
        <v>0</v>
      </c>
      <c r="Q2106" s="765"/>
      <c r="R2106" s="723"/>
      <c r="S2106" s="723"/>
      <c r="T2106" s="577">
        <f t="shared" si="526"/>
        <v>0</v>
      </c>
      <c r="U2106" s="578">
        <f t="shared" si="527"/>
        <v>0</v>
      </c>
      <c r="V2106" s="579"/>
      <c r="W2106" s="566" t="str">
        <f>IF(U2105&gt;0,"xx",IF(P2105&gt;0,"xy",""))</f>
        <v/>
      </c>
      <c r="X2106" s="586" t="str">
        <f t="shared" si="522"/>
        <v/>
      </c>
      <c r="Y2106" s="586" t="str">
        <f t="shared" si="531"/>
        <v/>
      </c>
      <c r="Z2106" s="586" t="str">
        <f t="shared" si="542"/>
        <v/>
      </c>
    </row>
    <row r="2107" spans="1:26" ht="12" hidden="1" thickBot="1" x14ac:dyDescent="0.25">
      <c r="A2107" s="567" t="s">
        <v>168</v>
      </c>
      <c r="B2107" s="644" t="s">
        <v>168</v>
      </c>
      <c r="C2107" s="645"/>
      <c r="D2107" s="422" t="s">
        <v>248</v>
      </c>
      <c r="E2107" s="423"/>
      <c r="F2107" s="424">
        <v>180</v>
      </c>
      <c r="G2107" s="425">
        <v>4.7899999999999998E-2</v>
      </c>
      <c r="H2107" s="663">
        <f t="shared" ref="H2107:H2108" si="547">IF(F2107&lt;=30,(1.07*F2107+2.68)*G2107,((1.07*30+2.68)+1.07*(F2107-30))*G2107)</f>
        <v>9.3539119999999993</v>
      </c>
      <c r="I2107" s="420"/>
      <c r="J2107" s="420"/>
      <c r="K2107" s="421">
        <f t="shared" si="525"/>
        <v>0</v>
      </c>
      <c r="L2107" s="647"/>
      <c r="M2107" s="723"/>
      <c r="N2107" s="576">
        <f t="shared" si="536"/>
        <v>0</v>
      </c>
      <c r="O2107" s="577">
        <f t="shared" si="528"/>
        <v>0</v>
      </c>
      <c r="P2107" s="578">
        <f t="shared" si="529"/>
        <v>0</v>
      </c>
      <c r="Q2107" s="765"/>
      <c r="R2107" s="723"/>
      <c r="S2107" s="723"/>
      <c r="T2107" s="577">
        <f t="shared" si="526"/>
        <v>0</v>
      </c>
      <c r="U2107" s="578">
        <f t="shared" si="527"/>
        <v>0</v>
      </c>
      <c r="V2107" s="579"/>
      <c r="W2107" s="566" t="str">
        <f>IF(U2105&gt;0,"xx",IF(P2105&gt;0,"xy",""))</f>
        <v/>
      </c>
      <c r="X2107" s="586" t="str">
        <f t="shared" si="522"/>
        <v/>
      </c>
      <c r="Y2107" s="586" t="str">
        <f t="shared" si="531"/>
        <v/>
      </c>
      <c r="Z2107" s="586" t="str">
        <f t="shared" si="542"/>
        <v/>
      </c>
    </row>
    <row r="2108" spans="1:26" ht="12" hidden="1" thickBot="1" x14ac:dyDescent="0.25">
      <c r="A2108" s="567" t="s">
        <v>168</v>
      </c>
      <c r="B2108" s="644" t="s">
        <v>168</v>
      </c>
      <c r="C2108" s="645"/>
      <c r="D2108" s="422" t="s">
        <v>347</v>
      </c>
      <c r="E2108" s="423"/>
      <c r="F2108" s="424">
        <v>20</v>
      </c>
      <c r="G2108" s="425">
        <v>2.0186999999999999</v>
      </c>
      <c r="H2108" s="663">
        <f t="shared" si="547"/>
        <v>48.610296000000005</v>
      </c>
      <c r="I2108" s="420"/>
      <c r="J2108" s="420"/>
      <c r="K2108" s="421">
        <f t="shared" si="525"/>
        <v>0</v>
      </c>
      <c r="L2108" s="647"/>
      <c r="M2108" s="723"/>
      <c r="N2108" s="576">
        <f t="shared" si="536"/>
        <v>0</v>
      </c>
      <c r="O2108" s="577">
        <f t="shared" si="528"/>
        <v>0</v>
      </c>
      <c r="P2108" s="578">
        <f t="shared" si="529"/>
        <v>0</v>
      </c>
      <c r="Q2108" s="765"/>
      <c r="R2108" s="723"/>
      <c r="S2108" s="723"/>
      <c r="T2108" s="577">
        <f t="shared" si="526"/>
        <v>0</v>
      </c>
      <c r="U2108" s="578">
        <f t="shared" si="527"/>
        <v>0</v>
      </c>
      <c r="V2108" s="579"/>
      <c r="W2108" s="566" t="str">
        <f>IF(U2105&gt;0,"xx",IF(P2105&gt;0,"xy",""))</f>
        <v/>
      </c>
      <c r="X2108" s="586" t="str">
        <f t="shared" si="522"/>
        <v/>
      </c>
      <c r="Y2108" s="586" t="str">
        <f t="shared" si="531"/>
        <v/>
      </c>
      <c r="Z2108" s="586" t="str">
        <f t="shared" si="542"/>
        <v/>
      </c>
    </row>
    <row r="2109" spans="1:26" ht="12" hidden="1" thickBot="1" x14ac:dyDescent="0.25">
      <c r="A2109" s="567">
        <v>611600</v>
      </c>
      <c r="B2109" s="644" t="s">
        <v>1698</v>
      </c>
      <c r="C2109" s="645" t="s">
        <v>206</v>
      </c>
      <c r="D2109" s="422" t="s">
        <v>391</v>
      </c>
      <c r="E2109" s="423"/>
      <c r="F2109" s="424"/>
      <c r="G2109" s="425"/>
      <c r="H2109" s="651">
        <f>SUM(H2110:H2112)</f>
        <v>65.472966</v>
      </c>
      <c r="I2109" s="420">
        <v>2567.7199999999998</v>
      </c>
      <c r="J2109" s="420">
        <f>IF(ISBLANK(I2109),"",SUM(H2109:I2109))</f>
        <v>2633.1929659999996</v>
      </c>
      <c r="K2109" s="421">
        <f t="shared" si="525"/>
        <v>3128.5</v>
      </c>
      <c r="L2109" s="647" t="s">
        <v>19</v>
      </c>
      <c r="M2109" s="576"/>
      <c r="N2109" s="576">
        <f t="shared" si="536"/>
        <v>0</v>
      </c>
      <c r="O2109" s="577">
        <f t="shared" si="528"/>
        <v>0</v>
      </c>
      <c r="P2109" s="578">
        <f t="shared" si="529"/>
        <v>0</v>
      </c>
      <c r="Q2109" s="765"/>
      <c r="R2109" s="576">
        <f>M2109</f>
        <v>0</v>
      </c>
      <c r="S2109" s="576">
        <f>N2109</f>
        <v>0</v>
      </c>
      <c r="T2109" s="577">
        <f t="shared" si="526"/>
        <v>0</v>
      </c>
      <c r="U2109" s="578">
        <f t="shared" si="527"/>
        <v>0</v>
      </c>
      <c r="V2109" s="579"/>
      <c r="W2109" s="566"/>
      <c r="X2109" s="586" t="str">
        <f t="shared" si="522"/>
        <v/>
      </c>
      <c r="Y2109" s="586" t="str">
        <f t="shared" si="531"/>
        <v/>
      </c>
      <c r="Z2109" s="586" t="str">
        <f t="shared" si="542"/>
        <v/>
      </c>
    </row>
    <row r="2110" spans="1:26" ht="12" hidden="1" thickBot="1" x14ac:dyDescent="0.25">
      <c r="A2110" s="567" t="s">
        <v>168</v>
      </c>
      <c r="B2110" s="644" t="s">
        <v>168</v>
      </c>
      <c r="C2110" s="645"/>
      <c r="D2110" s="422" t="s">
        <v>212</v>
      </c>
      <c r="E2110" s="423"/>
      <c r="F2110" s="424">
        <v>500</v>
      </c>
      <c r="G2110" s="425">
        <v>9.7000000000000003E-3</v>
      </c>
      <c r="H2110" s="649">
        <f>IF(F2110&lt;=30,(0.78*F2110+7.82)*G2110,((0.78*30+7.82)+0.78*(F2110-30))*G2110)</f>
        <v>3.8588540000000005</v>
      </c>
      <c r="I2110" s="420"/>
      <c r="J2110" s="420"/>
      <c r="K2110" s="421">
        <f t="shared" si="525"/>
        <v>0</v>
      </c>
      <c r="L2110" s="647"/>
      <c r="M2110" s="723"/>
      <c r="N2110" s="576">
        <f t="shared" si="536"/>
        <v>0</v>
      </c>
      <c r="O2110" s="577">
        <f t="shared" si="528"/>
        <v>0</v>
      </c>
      <c r="P2110" s="578">
        <f t="shared" si="529"/>
        <v>0</v>
      </c>
      <c r="Q2110" s="765"/>
      <c r="R2110" s="723"/>
      <c r="S2110" s="723"/>
      <c r="T2110" s="577">
        <f t="shared" si="526"/>
        <v>0</v>
      </c>
      <c r="U2110" s="578">
        <f t="shared" si="527"/>
        <v>0</v>
      </c>
      <c r="V2110" s="579"/>
      <c r="W2110" s="566" t="str">
        <f>IF(U2109&gt;0,"xx",IF(P2109&gt;0,"xy",""))</f>
        <v/>
      </c>
      <c r="X2110" s="586" t="str">
        <f t="shared" si="522"/>
        <v/>
      </c>
      <c r="Y2110" s="586" t="str">
        <f t="shared" si="531"/>
        <v/>
      </c>
      <c r="Z2110" s="586" t="str">
        <f t="shared" si="542"/>
        <v/>
      </c>
    </row>
    <row r="2111" spans="1:26" ht="12" hidden="1" thickBot="1" x14ac:dyDescent="0.25">
      <c r="A2111" s="567" t="s">
        <v>168</v>
      </c>
      <c r="B2111" s="644" t="s">
        <v>168</v>
      </c>
      <c r="C2111" s="645"/>
      <c r="D2111" s="422" t="s">
        <v>248</v>
      </c>
      <c r="E2111" s="423"/>
      <c r="F2111" s="424">
        <v>180</v>
      </c>
      <c r="G2111" s="425">
        <v>5.04E-2</v>
      </c>
      <c r="H2111" s="663">
        <f t="shared" ref="H2111:H2112" si="548">IF(F2111&lt;=30,(1.07*F2111+2.68)*G2111,((1.07*30+2.68)+1.07*(F2111-30))*G2111)</f>
        <v>9.8421120000000002</v>
      </c>
      <c r="I2111" s="420"/>
      <c r="J2111" s="420"/>
      <c r="K2111" s="421">
        <f t="shared" si="525"/>
        <v>0</v>
      </c>
      <c r="L2111" s="647"/>
      <c r="M2111" s="723"/>
      <c r="N2111" s="576">
        <f t="shared" si="536"/>
        <v>0</v>
      </c>
      <c r="O2111" s="577">
        <f t="shared" si="528"/>
        <v>0</v>
      </c>
      <c r="P2111" s="578">
        <f t="shared" si="529"/>
        <v>0</v>
      </c>
      <c r="Q2111" s="765"/>
      <c r="R2111" s="723"/>
      <c r="S2111" s="723"/>
      <c r="T2111" s="577">
        <f t="shared" si="526"/>
        <v>0</v>
      </c>
      <c r="U2111" s="578">
        <f t="shared" si="527"/>
        <v>0</v>
      </c>
      <c r="V2111" s="579"/>
      <c r="W2111" s="566" t="str">
        <f>IF(U2109&gt;0,"xx",IF(P2109&gt;0,"xy",""))</f>
        <v/>
      </c>
      <c r="X2111" s="586" t="str">
        <f t="shared" si="522"/>
        <v/>
      </c>
      <c r="Y2111" s="586" t="str">
        <f t="shared" si="531"/>
        <v/>
      </c>
      <c r="Z2111" s="586" t="str">
        <f t="shared" si="542"/>
        <v/>
      </c>
    </row>
    <row r="2112" spans="1:26" ht="12" hidden="1" thickBot="1" x14ac:dyDescent="0.25">
      <c r="A2112" s="567" t="s">
        <v>168</v>
      </c>
      <c r="B2112" s="644" t="s">
        <v>168</v>
      </c>
      <c r="C2112" s="645"/>
      <c r="D2112" s="422" t="s">
        <v>347</v>
      </c>
      <c r="E2112" s="423"/>
      <c r="F2112" s="424">
        <v>20</v>
      </c>
      <c r="G2112" s="425">
        <v>2.15</v>
      </c>
      <c r="H2112" s="663">
        <f t="shared" si="548"/>
        <v>51.771999999999998</v>
      </c>
      <c r="I2112" s="420"/>
      <c r="J2112" s="420"/>
      <c r="K2112" s="421">
        <f t="shared" ref="K2112:K2175" si="549">IF(ISBLANK(I2112),0,ROUND(J2112*(1+$F$10)*(1+$F$11*E2112),2))</f>
        <v>0</v>
      </c>
      <c r="L2112" s="647"/>
      <c r="M2112" s="723"/>
      <c r="N2112" s="576">
        <f t="shared" si="536"/>
        <v>0</v>
      </c>
      <c r="O2112" s="577">
        <f t="shared" si="528"/>
        <v>0</v>
      </c>
      <c r="P2112" s="578">
        <f t="shared" si="529"/>
        <v>0</v>
      </c>
      <c r="Q2112" s="765"/>
      <c r="R2112" s="723"/>
      <c r="S2112" s="723"/>
      <c r="T2112" s="577">
        <f t="shared" ref="T2112:T2175" si="550">IF(ISBLANK(R2112),0,ROUND(K2112*R2112,2))</f>
        <v>0</v>
      </c>
      <c r="U2112" s="578">
        <f t="shared" ref="U2112:U2175" si="551">IF(ISBLANK(R2112),0,ROUND(R2112*S2112,2))</f>
        <v>0</v>
      </c>
      <c r="V2112" s="579"/>
      <c r="W2112" s="566" t="str">
        <f>IF(U2109&gt;0,"xx",IF(P2109&gt;0,"xy",""))</f>
        <v/>
      </c>
      <c r="X2112" s="586" t="str">
        <f t="shared" si="522"/>
        <v/>
      </c>
      <c r="Y2112" s="586" t="str">
        <f t="shared" si="531"/>
        <v/>
      </c>
      <c r="Z2112" s="586" t="str">
        <f t="shared" si="542"/>
        <v/>
      </c>
    </row>
    <row r="2113" spans="1:26" ht="12" hidden="1" thickBot="1" x14ac:dyDescent="0.25">
      <c r="A2113" s="567">
        <v>610500</v>
      </c>
      <c r="B2113" s="644">
        <v>610500</v>
      </c>
      <c r="C2113" s="645" t="s">
        <v>206</v>
      </c>
      <c r="D2113" s="422" t="s">
        <v>392</v>
      </c>
      <c r="E2113" s="423"/>
      <c r="F2113" s="424"/>
      <c r="G2113" s="425"/>
      <c r="H2113" s="651">
        <f>SUM(H2114:H2117)</f>
        <v>32.403676000000004</v>
      </c>
      <c r="I2113" s="420">
        <v>204.02</v>
      </c>
      <c r="J2113" s="420">
        <f>IF(ISBLANK(I2113),"",SUM(H2113:I2113))</f>
        <v>236.423676</v>
      </c>
      <c r="K2113" s="421">
        <f t="shared" si="549"/>
        <v>280.89</v>
      </c>
      <c r="L2113" s="647" t="s">
        <v>19</v>
      </c>
      <c r="M2113" s="576"/>
      <c r="N2113" s="576">
        <f t="shared" si="536"/>
        <v>0</v>
      </c>
      <c r="O2113" s="577">
        <f t="shared" ref="O2113:O2176" si="552">IF(ISBLANK(M2113),0,ROUND(K2113*M2113,2))</f>
        <v>0</v>
      </c>
      <c r="P2113" s="578">
        <f t="shared" ref="P2113:P2176" si="553">IF(ISBLANK(N2113),0,ROUND(M2113*N2113,2))</f>
        <v>0</v>
      </c>
      <c r="Q2113" s="765"/>
      <c r="R2113" s="576">
        <f>M2113</f>
        <v>0</v>
      </c>
      <c r="S2113" s="576">
        <f>N2113</f>
        <v>0</v>
      </c>
      <c r="T2113" s="577">
        <f t="shared" si="550"/>
        <v>0</v>
      </c>
      <c r="U2113" s="578">
        <f t="shared" si="551"/>
        <v>0</v>
      </c>
      <c r="V2113" s="579"/>
      <c r="W2113" s="566"/>
      <c r="X2113" s="586" t="str">
        <f t="shared" si="522"/>
        <v/>
      </c>
      <c r="Y2113" s="586" t="str">
        <f t="shared" si="531"/>
        <v/>
      </c>
      <c r="Z2113" s="586" t="str">
        <f t="shared" si="542"/>
        <v/>
      </c>
    </row>
    <row r="2114" spans="1:26" ht="12" hidden="1" thickBot="1" x14ac:dyDescent="0.25">
      <c r="A2114" s="567" t="s">
        <v>168</v>
      </c>
      <c r="B2114" s="644" t="s">
        <v>168</v>
      </c>
      <c r="C2114" s="645"/>
      <c r="D2114" s="422" t="s">
        <v>212</v>
      </c>
      <c r="E2114" s="423"/>
      <c r="F2114" s="424">
        <v>500</v>
      </c>
      <c r="G2114" s="425">
        <v>2.2599999999999999E-2</v>
      </c>
      <c r="H2114" s="649">
        <f>IF(F2114&lt;=30,(0.78*F2114+7.82)*G2114,((0.78*30+7.82)+0.78*(F2114-30))*G2114)</f>
        <v>8.9907320000000013</v>
      </c>
      <c r="I2114" s="420"/>
      <c r="J2114" s="420"/>
      <c r="K2114" s="421">
        <f t="shared" si="549"/>
        <v>0</v>
      </c>
      <c r="L2114" s="647"/>
      <c r="M2114" s="723"/>
      <c r="N2114" s="576">
        <f t="shared" si="536"/>
        <v>0</v>
      </c>
      <c r="O2114" s="577">
        <f t="shared" si="552"/>
        <v>0</v>
      </c>
      <c r="P2114" s="578">
        <f t="shared" si="553"/>
        <v>0</v>
      </c>
      <c r="Q2114" s="765"/>
      <c r="R2114" s="723"/>
      <c r="S2114" s="723"/>
      <c r="T2114" s="577">
        <f t="shared" si="550"/>
        <v>0</v>
      </c>
      <c r="U2114" s="578">
        <f t="shared" si="551"/>
        <v>0</v>
      </c>
      <c r="V2114" s="579"/>
      <c r="W2114" s="566" t="str">
        <f>IF(U2113&gt;0,"xx",IF(P2113&gt;0,"xy",""))</f>
        <v/>
      </c>
      <c r="X2114" s="586" t="str">
        <f t="shared" si="522"/>
        <v/>
      </c>
      <c r="Y2114" s="586" t="str">
        <f t="shared" si="531"/>
        <v/>
      </c>
      <c r="Z2114" s="586" t="str">
        <f t="shared" si="542"/>
        <v/>
      </c>
    </row>
    <row r="2115" spans="1:26" ht="12" hidden="1" thickBot="1" x14ac:dyDescent="0.25">
      <c r="A2115" s="567" t="s">
        <v>168</v>
      </c>
      <c r="B2115" s="644" t="s">
        <v>168</v>
      </c>
      <c r="C2115" s="645"/>
      <c r="D2115" s="422" t="s">
        <v>248</v>
      </c>
      <c r="E2115" s="423"/>
      <c r="F2115" s="424">
        <v>180</v>
      </c>
      <c r="G2115" s="425">
        <v>8.3900000000000002E-2</v>
      </c>
      <c r="H2115" s="663">
        <f t="shared" ref="H2115:H2117" si="554">IF(F2115&lt;=30,(1.07*F2115+2.68)*G2115,((1.07*30+2.68)+1.07*(F2115-30))*G2115)</f>
        <v>16.383991999999999</v>
      </c>
      <c r="I2115" s="420"/>
      <c r="J2115" s="420"/>
      <c r="K2115" s="421">
        <f t="shared" si="549"/>
        <v>0</v>
      </c>
      <c r="L2115" s="647"/>
      <c r="M2115" s="723"/>
      <c r="N2115" s="576">
        <f t="shared" si="536"/>
        <v>0</v>
      </c>
      <c r="O2115" s="577">
        <f t="shared" si="552"/>
        <v>0</v>
      </c>
      <c r="P2115" s="578">
        <f t="shared" si="553"/>
        <v>0</v>
      </c>
      <c r="Q2115" s="765"/>
      <c r="R2115" s="723"/>
      <c r="S2115" s="723"/>
      <c r="T2115" s="577">
        <f t="shared" si="550"/>
        <v>0</v>
      </c>
      <c r="U2115" s="578">
        <f t="shared" si="551"/>
        <v>0</v>
      </c>
      <c r="V2115" s="579"/>
      <c r="W2115" s="566" t="str">
        <f>IF(U2113&gt;0,"xx",IF(P2113&gt;0,"xy",""))</f>
        <v/>
      </c>
      <c r="X2115" s="586" t="str">
        <f t="shared" si="522"/>
        <v/>
      </c>
      <c r="Y2115" s="586" t="str">
        <f t="shared" si="531"/>
        <v/>
      </c>
      <c r="Z2115" s="586" t="str">
        <f t="shared" si="542"/>
        <v/>
      </c>
    </row>
    <row r="2116" spans="1:26" ht="12" hidden="1" thickBot="1" x14ac:dyDescent="0.25">
      <c r="A2116" s="567" t="s">
        <v>168</v>
      </c>
      <c r="B2116" s="644" t="s">
        <v>168</v>
      </c>
      <c r="C2116" s="645"/>
      <c r="D2116" s="422" t="s">
        <v>252</v>
      </c>
      <c r="E2116" s="423"/>
      <c r="F2116" s="424">
        <v>20</v>
      </c>
      <c r="G2116" s="425">
        <v>0.13490000000000002</v>
      </c>
      <c r="H2116" s="663">
        <f t="shared" si="554"/>
        <v>3.2483920000000008</v>
      </c>
      <c r="I2116" s="420"/>
      <c r="J2116" s="420"/>
      <c r="K2116" s="421">
        <f t="shared" si="549"/>
        <v>0</v>
      </c>
      <c r="L2116" s="647"/>
      <c r="M2116" s="723"/>
      <c r="N2116" s="576">
        <f t="shared" si="536"/>
        <v>0</v>
      </c>
      <c r="O2116" s="577">
        <f t="shared" si="552"/>
        <v>0</v>
      </c>
      <c r="P2116" s="578">
        <f t="shared" si="553"/>
        <v>0</v>
      </c>
      <c r="Q2116" s="765"/>
      <c r="R2116" s="723"/>
      <c r="S2116" s="723"/>
      <c r="T2116" s="577">
        <f t="shared" si="550"/>
        <v>0</v>
      </c>
      <c r="U2116" s="578">
        <f t="shared" si="551"/>
        <v>0</v>
      </c>
      <c r="V2116" s="579"/>
      <c r="W2116" s="566" t="str">
        <f>IF(U2113&gt;0,"xx",IF(P2113&gt;0,"xy",""))</f>
        <v/>
      </c>
      <c r="X2116" s="586" t="str">
        <f t="shared" si="522"/>
        <v/>
      </c>
      <c r="Y2116" s="586" t="str">
        <f t="shared" si="531"/>
        <v/>
      </c>
      <c r="Z2116" s="586" t="str">
        <f t="shared" si="542"/>
        <v/>
      </c>
    </row>
    <row r="2117" spans="1:26" ht="12" hidden="1" thickBot="1" x14ac:dyDescent="0.25">
      <c r="A2117" s="567" t="s">
        <v>168</v>
      </c>
      <c r="B2117" s="644" t="s">
        <v>168</v>
      </c>
      <c r="C2117" s="645"/>
      <c r="D2117" s="422" t="s">
        <v>347</v>
      </c>
      <c r="E2117" s="423"/>
      <c r="F2117" s="424">
        <v>20</v>
      </c>
      <c r="G2117" s="425">
        <v>0.157</v>
      </c>
      <c r="H2117" s="663">
        <f t="shared" si="554"/>
        <v>3.7805600000000004</v>
      </c>
      <c r="I2117" s="420"/>
      <c r="J2117" s="420"/>
      <c r="K2117" s="421">
        <f t="shared" si="549"/>
        <v>0</v>
      </c>
      <c r="L2117" s="647"/>
      <c r="M2117" s="723"/>
      <c r="N2117" s="576">
        <f t="shared" si="536"/>
        <v>0</v>
      </c>
      <c r="O2117" s="577">
        <f t="shared" si="552"/>
        <v>0</v>
      </c>
      <c r="P2117" s="578">
        <f t="shared" si="553"/>
        <v>0</v>
      </c>
      <c r="Q2117" s="765"/>
      <c r="R2117" s="723"/>
      <c r="S2117" s="723"/>
      <c r="T2117" s="577">
        <f t="shared" si="550"/>
        <v>0</v>
      </c>
      <c r="U2117" s="578">
        <f t="shared" si="551"/>
        <v>0</v>
      </c>
      <c r="V2117" s="579"/>
      <c r="W2117" s="566" t="str">
        <f>IF(U2113&gt;0,"xx",IF(P2113&gt;0,"xy",""))</f>
        <v/>
      </c>
      <c r="X2117" s="586" t="str">
        <f t="shared" si="522"/>
        <v/>
      </c>
      <c r="Y2117" s="586" t="str">
        <f t="shared" si="531"/>
        <v/>
      </c>
      <c r="Z2117" s="586" t="str">
        <f t="shared" si="542"/>
        <v/>
      </c>
    </row>
    <row r="2118" spans="1:26" ht="12" hidden="1" thickBot="1" x14ac:dyDescent="0.25">
      <c r="A2118" s="567">
        <v>610700</v>
      </c>
      <c r="B2118" s="644" t="s">
        <v>1683</v>
      </c>
      <c r="C2118" s="645" t="s">
        <v>206</v>
      </c>
      <c r="D2118" s="422" t="s">
        <v>582</v>
      </c>
      <c r="E2118" s="423"/>
      <c r="F2118" s="424"/>
      <c r="G2118" s="425"/>
      <c r="H2118" s="651">
        <f>SUM(H2119:H2122)</f>
        <v>42.100252000000005</v>
      </c>
      <c r="I2118" s="420">
        <v>300.04999999999995</v>
      </c>
      <c r="J2118" s="420">
        <f>IF(ISBLANK(I2118),"",SUM(H2118:I2118))</f>
        <v>342.15025199999997</v>
      </c>
      <c r="K2118" s="421">
        <f t="shared" si="549"/>
        <v>406.51</v>
      </c>
      <c r="L2118" s="647" t="s">
        <v>19</v>
      </c>
      <c r="M2118" s="576"/>
      <c r="N2118" s="576">
        <f t="shared" si="536"/>
        <v>0</v>
      </c>
      <c r="O2118" s="577">
        <f t="shared" si="552"/>
        <v>0</v>
      </c>
      <c r="P2118" s="578">
        <f t="shared" si="553"/>
        <v>0</v>
      </c>
      <c r="Q2118" s="765"/>
      <c r="R2118" s="576">
        <f>M2118</f>
        <v>0</v>
      </c>
      <c r="S2118" s="576">
        <f>N2118</f>
        <v>0</v>
      </c>
      <c r="T2118" s="577">
        <f t="shared" si="550"/>
        <v>0</v>
      </c>
      <c r="U2118" s="578">
        <f t="shared" si="551"/>
        <v>0</v>
      </c>
      <c r="V2118" s="579"/>
      <c r="W2118" s="566"/>
      <c r="X2118" s="586" t="str">
        <f t="shared" si="522"/>
        <v/>
      </c>
      <c r="Y2118" s="586" t="str">
        <f t="shared" si="531"/>
        <v/>
      </c>
      <c r="Z2118" s="586" t="str">
        <f t="shared" si="542"/>
        <v/>
      </c>
    </row>
    <row r="2119" spans="1:26" ht="12" hidden="1" thickBot="1" x14ac:dyDescent="0.25">
      <c r="A2119" s="567" t="s">
        <v>168</v>
      </c>
      <c r="B2119" s="644" t="s">
        <v>168</v>
      </c>
      <c r="C2119" s="645"/>
      <c r="D2119" s="422" t="s">
        <v>212</v>
      </c>
      <c r="E2119" s="423"/>
      <c r="F2119" s="424">
        <v>500</v>
      </c>
      <c r="G2119" s="425">
        <v>2.86E-2</v>
      </c>
      <c r="H2119" s="649">
        <f>IF(F2119&lt;=30,(0.78*F2119+7.82)*G2119,((0.78*30+7.82)+0.78*(F2119-30))*G2119)</f>
        <v>11.377652000000001</v>
      </c>
      <c r="I2119" s="420"/>
      <c r="J2119" s="420"/>
      <c r="K2119" s="421">
        <f t="shared" si="549"/>
        <v>0</v>
      </c>
      <c r="L2119" s="647"/>
      <c r="M2119" s="723"/>
      <c r="N2119" s="576">
        <f t="shared" si="536"/>
        <v>0</v>
      </c>
      <c r="O2119" s="577">
        <f t="shared" si="552"/>
        <v>0</v>
      </c>
      <c r="P2119" s="578">
        <f t="shared" si="553"/>
        <v>0</v>
      </c>
      <c r="Q2119" s="765"/>
      <c r="R2119" s="723"/>
      <c r="S2119" s="723"/>
      <c r="T2119" s="577">
        <f t="shared" si="550"/>
        <v>0</v>
      </c>
      <c r="U2119" s="578">
        <f t="shared" si="551"/>
        <v>0</v>
      </c>
      <c r="V2119" s="579"/>
      <c r="W2119" s="566" t="str">
        <f>IF(U2118&gt;0,"xx",IF(P2118&gt;0,"xy",""))</f>
        <v/>
      </c>
      <c r="X2119" s="586" t="str">
        <f t="shared" si="522"/>
        <v/>
      </c>
      <c r="Y2119" s="586" t="str">
        <f t="shared" si="531"/>
        <v/>
      </c>
      <c r="Z2119" s="586" t="str">
        <f t="shared" si="542"/>
        <v/>
      </c>
    </row>
    <row r="2120" spans="1:26" ht="12" hidden="1" thickBot="1" x14ac:dyDescent="0.25">
      <c r="A2120" s="567" t="s">
        <v>168</v>
      </c>
      <c r="B2120" s="644" t="s">
        <v>168</v>
      </c>
      <c r="C2120" s="645"/>
      <c r="D2120" s="422" t="s">
        <v>248</v>
      </c>
      <c r="E2120" s="423"/>
      <c r="F2120" s="424">
        <v>180</v>
      </c>
      <c r="G2120" s="425">
        <v>0.10539999999999999</v>
      </c>
      <c r="H2120" s="663">
        <f t="shared" ref="H2120:H2122" si="555">IF(F2120&lt;=30,(1.07*F2120+2.68)*G2120,((1.07*30+2.68)+1.07*(F2120-30))*G2120)</f>
        <v>20.582511999999998</v>
      </c>
      <c r="I2120" s="420"/>
      <c r="J2120" s="420"/>
      <c r="K2120" s="421">
        <f t="shared" si="549"/>
        <v>0</v>
      </c>
      <c r="L2120" s="647"/>
      <c r="M2120" s="723"/>
      <c r="N2120" s="576">
        <f t="shared" si="536"/>
        <v>0</v>
      </c>
      <c r="O2120" s="577">
        <f t="shared" si="552"/>
        <v>0</v>
      </c>
      <c r="P2120" s="578">
        <f t="shared" si="553"/>
        <v>0</v>
      </c>
      <c r="Q2120" s="765"/>
      <c r="R2120" s="723"/>
      <c r="S2120" s="723"/>
      <c r="T2120" s="577">
        <f t="shared" si="550"/>
        <v>0</v>
      </c>
      <c r="U2120" s="578">
        <f t="shared" si="551"/>
        <v>0</v>
      </c>
      <c r="V2120" s="579"/>
      <c r="W2120" s="566" t="str">
        <f>IF(U2118&gt;0,"xx",IF(P2118&gt;0,"xy",""))</f>
        <v/>
      </c>
      <c r="X2120" s="586" t="str">
        <f t="shared" ref="X2120:X2191" si="556">IF(W2120="X","x",IF(W2120="xx","x",IF(W2120="xy","x",IF(W2120="y","x",IF(OR(P2120&gt;0,U2120&gt;0),"x","")))))</f>
        <v/>
      </c>
      <c r="Y2120" s="586" t="str">
        <f t="shared" si="531"/>
        <v/>
      </c>
      <c r="Z2120" s="586" t="str">
        <f t="shared" si="542"/>
        <v/>
      </c>
    </row>
    <row r="2121" spans="1:26" ht="12" hidden="1" thickBot="1" x14ac:dyDescent="0.25">
      <c r="A2121" s="567" t="s">
        <v>168</v>
      </c>
      <c r="B2121" s="644" t="s">
        <v>168</v>
      </c>
      <c r="C2121" s="645"/>
      <c r="D2121" s="422" t="s">
        <v>252</v>
      </c>
      <c r="E2121" s="423"/>
      <c r="F2121" s="424">
        <v>20</v>
      </c>
      <c r="G2121" s="425">
        <v>0.1711</v>
      </c>
      <c r="H2121" s="663">
        <f t="shared" si="555"/>
        <v>4.120088</v>
      </c>
      <c r="I2121" s="420"/>
      <c r="J2121" s="420"/>
      <c r="K2121" s="421">
        <f t="shared" si="549"/>
        <v>0</v>
      </c>
      <c r="L2121" s="647"/>
      <c r="M2121" s="723"/>
      <c r="N2121" s="576">
        <f t="shared" si="536"/>
        <v>0</v>
      </c>
      <c r="O2121" s="577">
        <f t="shared" si="552"/>
        <v>0</v>
      </c>
      <c r="P2121" s="578">
        <f t="shared" si="553"/>
        <v>0</v>
      </c>
      <c r="Q2121" s="765"/>
      <c r="R2121" s="723"/>
      <c r="S2121" s="723"/>
      <c r="T2121" s="577">
        <f t="shared" si="550"/>
        <v>0</v>
      </c>
      <c r="U2121" s="578">
        <f t="shared" si="551"/>
        <v>0</v>
      </c>
      <c r="V2121" s="579"/>
      <c r="W2121" s="566" t="str">
        <f>IF(U2118&gt;0,"xx",IF(P2118&gt;0,"xy",""))</f>
        <v/>
      </c>
      <c r="X2121" s="586" t="str">
        <f t="shared" si="556"/>
        <v/>
      </c>
      <c r="Y2121" s="586" t="str">
        <f t="shared" si="531"/>
        <v/>
      </c>
      <c r="Z2121" s="586" t="str">
        <f t="shared" si="542"/>
        <v/>
      </c>
    </row>
    <row r="2122" spans="1:26" ht="12" hidden="1" thickBot="1" x14ac:dyDescent="0.25">
      <c r="A2122" s="567" t="s">
        <v>168</v>
      </c>
      <c r="B2122" s="644" t="s">
        <v>168</v>
      </c>
      <c r="C2122" s="645"/>
      <c r="D2122" s="422" t="s">
        <v>347</v>
      </c>
      <c r="E2122" s="423"/>
      <c r="F2122" s="424">
        <v>20</v>
      </c>
      <c r="G2122" s="425">
        <v>0.25</v>
      </c>
      <c r="H2122" s="663">
        <f t="shared" si="555"/>
        <v>6.0200000000000005</v>
      </c>
      <c r="I2122" s="420"/>
      <c r="J2122" s="420"/>
      <c r="K2122" s="421">
        <f t="shared" si="549"/>
        <v>0</v>
      </c>
      <c r="L2122" s="647"/>
      <c r="M2122" s="723"/>
      <c r="N2122" s="576">
        <f t="shared" si="536"/>
        <v>0</v>
      </c>
      <c r="O2122" s="577">
        <f t="shared" si="552"/>
        <v>0</v>
      </c>
      <c r="P2122" s="578">
        <f t="shared" si="553"/>
        <v>0</v>
      </c>
      <c r="Q2122" s="765"/>
      <c r="R2122" s="723"/>
      <c r="S2122" s="723"/>
      <c r="T2122" s="577">
        <f t="shared" si="550"/>
        <v>0</v>
      </c>
      <c r="U2122" s="578">
        <f t="shared" si="551"/>
        <v>0</v>
      </c>
      <c r="V2122" s="579"/>
      <c r="W2122" s="566" t="str">
        <f>IF(U2118&gt;0,"xx",IF(P2118&gt;0,"xy",""))</f>
        <v/>
      </c>
      <c r="X2122" s="586" t="str">
        <f t="shared" si="556"/>
        <v/>
      </c>
      <c r="Y2122" s="586" t="str">
        <f t="shared" si="531"/>
        <v/>
      </c>
      <c r="Z2122" s="586" t="str">
        <f t="shared" si="542"/>
        <v/>
      </c>
    </row>
    <row r="2123" spans="1:26" ht="12" hidden="1" thickBot="1" x14ac:dyDescent="0.25">
      <c r="A2123" s="567">
        <v>610700</v>
      </c>
      <c r="B2123" s="644" t="s">
        <v>1684</v>
      </c>
      <c r="C2123" s="645" t="s">
        <v>206</v>
      </c>
      <c r="D2123" s="422" t="s">
        <v>393</v>
      </c>
      <c r="E2123" s="423"/>
      <c r="F2123" s="424"/>
      <c r="G2123" s="425"/>
      <c r="H2123" s="651">
        <f>SUM(H2124:H2127)</f>
        <v>50.288166000000011</v>
      </c>
      <c r="I2123" s="420">
        <v>396.08</v>
      </c>
      <c r="J2123" s="420">
        <f>IF(ISBLANK(I2123),"",SUM(H2123:I2123))</f>
        <v>446.36816599999997</v>
      </c>
      <c r="K2123" s="421">
        <f t="shared" si="549"/>
        <v>530.33000000000004</v>
      </c>
      <c r="L2123" s="647" t="s">
        <v>19</v>
      </c>
      <c r="M2123" s="576"/>
      <c r="N2123" s="576">
        <f t="shared" si="536"/>
        <v>0</v>
      </c>
      <c r="O2123" s="577">
        <f t="shared" si="552"/>
        <v>0</v>
      </c>
      <c r="P2123" s="578">
        <f t="shared" si="553"/>
        <v>0</v>
      </c>
      <c r="Q2123" s="765"/>
      <c r="R2123" s="576">
        <f>M2123</f>
        <v>0</v>
      </c>
      <c r="S2123" s="576">
        <f>N2123</f>
        <v>0</v>
      </c>
      <c r="T2123" s="577">
        <f t="shared" si="550"/>
        <v>0</v>
      </c>
      <c r="U2123" s="578">
        <f t="shared" si="551"/>
        <v>0</v>
      </c>
      <c r="V2123" s="579"/>
      <c r="W2123" s="566"/>
      <c r="X2123" s="586" t="str">
        <f t="shared" si="556"/>
        <v/>
      </c>
      <c r="Y2123" s="586" t="str">
        <f t="shared" si="531"/>
        <v/>
      </c>
      <c r="Z2123" s="586" t="str">
        <f t="shared" si="542"/>
        <v/>
      </c>
    </row>
    <row r="2124" spans="1:26" ht="12" hidden="1" thickBot="1" x14ac:dyDescent="0.25">
      <c r="A2124" s="567" t="s">
        <v>168</v>
      </c>
      <c r="B2124" s="644" t="s">
        <v>168</v>
      </c>
      <c r="C2124" s="645"/>
      <c r="D2124" s="422" t="s">
        <v>212</v>
      </c>
      <c r="E2124" s="423"/>
      <c r="F2124" s="424">
        <v>500</v>
      </c>
      <c r="G2124" s="425">
        <v>3.4500000000000003E-2</v>
      </c>
      <c r="H2124" s="649">
        <f>IF(F2124&lt;=30,(0.78*F2124+7.82)*G2124,((0.78*30+7.82)+0.78*(F2124-30))*G2124)</f>
        <v>13.724790000000002</v>
      </c>
      <c r="I2124" s="420"/>
      <c r="J2124" s="420"/>
      <c r="K2124" s="421">
        <f t="shared" si="549"/>
        <v>0</v>
      </c>
      <c r="L2124" s="647"/>
      <c r="M2124" s="723"/>
      <c r="N2124" s="576">
        <f t="shared" si="536"/>
        <v>0</v>
      </c>
      <c r="O2124" s="577">
        <f t="shared" si="552"/>
        <v>0</v>
      </c>
      <c r="P2124" s="578">
        <f t="shared" si="553"/>
        <v>0</v>
      </c>
      <c r="Q2124" s="765"/>
      <c r="R2124" s="723"/>
      <c r="S2124" s="723"/>
      <c r="T2124" s="577">
        <f t="shared" si="550"/>
        <v>0</v>
      </c>
      <c r="U2124" s="578">
        <f t="shared" si="551"/>
        <v>0</v>
      </c>
      <c r="V2124" s="579"/>
      <c r="W2124" s="566" t="str">
        <f>IF(U2123&gt;0,"xx",IF(P2123&gt;0,"xy",""))</f>
        <v/>
      </c>
      <c r="X2124" s="586" t="str">
        <f t="shared" si="556"/>
        <v/>
      </c>
      <c r="Y2124" s="586" t="str">
        <f t="shared" si="531"/>
        <v/>
      </c>
      <c r="Z2124" s="586" t="str">
        <f t="shared" si="542"/>
        <v/>
      </c>
    </row>
    <row r="2125" spans="1:26" ht="12" hidden="1" thickBot="1" x14ac:dyDescent="0.25">
      <c r="A2125" s="567" t="s">
        <v>168</v>
      </c>
      <c r="B2125" s="644" t="s">
        <v>168</v>
      </c>
      <c r="C2125" s="645"/>
      <c r="D2125" s="422" t="s">
        <v>248</v>
      </c>
      <c r="E2125" s="423"/>
      <c r="F2125" s="424">
        <v>180</v>
      </c>
      <c r="G2125" s="425">
        <v>0.12690000000000001</v>
      </c>
      <c r="H2125" s="663">
        <f t="shared" ref="H2125:H2127" si="557">IF(F2125&lt;=30,(1.07*F2125+2.68)*G2125,((1.07*30+2.68)+1.07*(F2125-30))*G2125)</f>
        <v>24.781032000000003</v>
      </c>
      <c r="I2125" s="420"/>
      <c r="J2125" s="420"/>
      <c r="K2125" s="421">
        <f t="shared" si="549"/>
        <v>0</v>
      </c>
      <c r="L2125" s="647"/>
      <c r="M2125" s="723"/>
      <c r="N2125" s="576">
        <f t="shared" si="536"/>
        <v>0</v>
      </c>
      <c r="O2125" s="577">
        <f t="shared" si="552"/>
        <v>0</v>
      </c>
      <c r="P2125" s="578">
        <f t="shared" si="553"/>
        <v>0</v>
      </c>
      <c r="Q2125" s="765"/>
      <c r="R2125" s="723"/>
      <c r="S2125" s="723"/>
      <c r="T2125" s="577">
        <f t="shared" si="550"/>
        <v>0</v>
      </c>
      <c r="U2125" s="578">
        <f t="shared" si="551"/>
        <v>0</v>
      </c>
      <c r="V2125" s="579"/>
      <c r="W2125" s="566" t="str">
        <f>IF(U2123&gt;0,"xx",IF(P2123&gt;0,"xy",""))</f>
        <v/>
      </c>
      <c r="X2125" s="586" t="str">
        <f t="shared" si="556"/>
        <v/>
      </c>
      <c r="Y2125" s="586" t="str">
        <f t="shared" si="531"/>
        <v/>
      </c>
      <c r="Z2125" s="586" t="str">
        <f t="shared" si="542"/>
        <v/>
      </c>
    </row>
    <row r="2126" spans="1:26" ht="12" hidden="1" thickBot="1" x14ac:dyDescent="0.25">
      <c r="A2126" s="567" t="s">
        <v>168</v>
      </c>
      <c r="B2126" s="644" t="s">
        <v>168</v>
      </c>
      <c r="C2126" s="645"/>
      <c r="D2126" s="422" t="s">
        <v>252</v>
      </c>
      <c r="E2126" s="423"/>
      <c r="F2126" s="424">
        <v>20</v>
      </c>
      <c r="G2126" s="425">
        <v>0.20729999999999998</v>
      </c>
      <c r="H2126" s="663">
        <f t="shared" si="557"/>
        <v>4.991784</v>
      </c>
      <c r="I2126" s="420"/>
      <c r="J2126" s="420"/>
      <c r="K2126" s="421">
        <f t="shared" si="549"/>
        <v>0</v>
      </c>
      <c r="L2126" s="647"/>
      <c r="M2126" s="723"/>
      <c r="N2126" s="576">
        <f t="shared" si="536"/>
        <v>0</v>
      </c>
      <c r="O2126" s="577">
        <f t="shared" si="552"/>
        <v>0</v>
      </c>
      <c r="P2126" s="578">
        <f t="shared" si="553"/>
        <v>0</v>
      </c>
      <c r="Q2126" s="765"/>
      <c r="R2126" s="723"/>
      <c r="S2126" s="723"/>
      <c r="T2126" s="577">
        <f t="shared" si="550"/>
        <v>0</v>
      </c>
      <c r="U2126" s="578">
        <f t="shared" si="551"/>
        <v>0</v>
      </c>
      <c r="V2126" s="579"/>
      <c r="W2126" s="566" t="str">
        <f>IF(U2123&gt;0,"xx",IF(P2123&gt;0,"xy",""))</f>
        <v/>
      </c>
      <c r="X2126" s="586" t="str">
        <f t="shared" si="556"/>
        <v/>
      </c>
      <c r="Y2126" s="586" t="str">
        <f t="shared" si="531"/>
        <v/>
      </c>
      <c r="Z2126" s="586" t="str">
        <f t="shared" si="542"/>
        <v/>
      </c>
    </row>
    <row r="2127" spans="1:26" ht="12" hidden="1" thickBot="1" x14ac:dyDescent="0.25">
      <c r="A2127" s="567" t="s">
        <v>168</v>
      </c>
      <c r="B2127" s="644" t="s">
        <v>168</v>
      </c>
      <c r="C2127" s="645"/>
      <c r="D2127" s="422" t="s">
        <v>347</v>
      </c>
      <c r="E2127" s="423"/>
      <c r="F2127" s="424">
        <v>20</v>
      </c>
      <c r="G2127" s="425">
        <v>0.28199999999999997</v>
      </c>
      <c r="H2127" s="663">
        <f t="shared" si="557"/>
        <v>6.7905600000000002</v>
      </c>
      <c r="I2127" s="420"/>
      <c r="J2127" s="420"/>
      <c r="K2127" s="421">
        <f t="shared" si="549"/>
        <v>0</v>
      </c>
      <c r="L2127" s="647"/>
      <c r="M2127" s="723"/>
      <c r="N2127" s="576">
        <f t="shared" si="536"/>
        <v>0</v>
      </c>
      <c r="O2127" s="577">
        <f t="shared" si="552"/>
        <v>0</v>
      </c>
      <c r="P2127" s="578">
        <f t="shared" si="553"/>
        <v>0</v>
      </c>
      <c r="Q2127" s="765"/>
      <c r="R2127" s="723"/>
      <c r="S2127" s="723"/>
      <c r="T2127" s="577">
        <f t="shared" si="550"/>
        <v>0</v>
      </c>
      <c r="U2127" s="578">
        <f t="shared" si="551"/>
        <v>0</v>
      </c>
      <c r="V2127" s="579"/>
      <c r="W2127" s="566" t="str">
        <f>IF(U2123&gt;0,"xx",IF(P2123&gt;0,"xy",""))</f>
        <v/>
      </c>
      <c r="X2127" s="586" t="str">
        <f t="shared" si="556"/>
        <v/>
      </c>
      <c r="Y2127" s="586" t="str">
        <f t="shared" si="531"/>
        <v/>
      </c>
      <c r="Z2127" s="586" t="str">
        <f t="shared" si="542"/>
        <v/>
      </c>
    </row>
    <row r="2128" spans="1:26" ht="12" hidden="1" thickBot="1" x14ac:dyDescent="0.25">
      <c r="A2128" s="567">
        <v>610900</v>
      </c>
      <c r="B2128" s="644" t="s">
        <v>1685</v>
      </c>
      <c r="C2128" s="645" t="s">
        <v>206</v>
      </c>
      <c r="D2128" s="422" t="s">
        <v>583</v>
      </c>
      <c r="E2128" s="423"/>
      <c r="F2128" s="424"/>
      <c r="G2128" s="425"/>
      <c r="H2128" s="651">
        <f>SUM(H2129:H2132)</f>
        <v>72.192176000000003</v>
      </c>
      <c r="I2128" s="420">
        <v>534.75</v>
      </c>
      <c r="J2128" s="420">
        <f>IF(ISBLANK(I2128),"",SUM(H2128:I2128))</f>
        <v>606.94217600000002</v>
      </c>
      <c r="K2128" s="421">
        <f t="shared" si="549"/>
        <v>721.11</v>
      </c>
      <c r="L2128" s="647" t="s">
        <v>19</v>
      </c>
      <c r="M2128" s="576"/>
      <c r="N2128" s="576">
        <f t="shared" si="536"/>
        <v>0</v>
      </c>
      <c r="O2128" s="577">
        <f t="shared" si="552"/>
        <v>0</v>
      </c>
      <c r="P2128" s="578">
        <f t="shared" si="553"/>
        <v>0</v>
      </c>
      <c r="Q2128" s="765"/>
      <c r="R2128" s="576">
        <f>M2128</f>
        <v>0</v>
      </c>
      <c r="S2128" s="576">
        <f>N2128</f>
        <v>0</v>
      </c>
      <c r="T2128" s="577">
        <f t="shared" si="550"/>
        <v>0</v>
      </c>
      <c r="U2128" s="578">
        <f t="shared" si="551"/>
        <v>0</v>
      </c>
      <c r="V2128" s="579"/>
      <c r="W2128" s="566"/>
      <c r="X2128" s="586" t="str">
        <f t="shared" si="556"/>
        <v/>
      </c>
      <c r="Y2128" s="586" t="str">
        <f t="shared" si="531"/>
        <v/>
      </c>
      <c r="Z2128" s="586" t="str">
        <f t="shared" si="542"/>
        <v/>
      </c>
    </row>
    <row r="2129" spans="1:26" ht="12" hidden="1" thickBot="1" x14ac:dyDescent="0.25">
      <c r="A2129" s="567" t="s">
        <v>168</v>
      </c>
      <c r="B2129" s="644" t="s">
        <v>168</v>
      </c>
      <c r="C2129" s="645"/>
      <c r="D2129" s="422" t="s">
        <v>212</v>
      </c>
      <c r="E2129" s="423"/>
      <c r="F2129" s="424">
        <v>500</v>
      </c>
      <c r="G2129" s="425">
        <v>4.7199999999999999E-2</v>
      </c>
      <c r="H2129" s="649">
        <f>IF(F2129&lt;=30,(0.78*F2129+7.82)*G2129,((0.78*30+7.82)+0.78*(F2129-30))*G2129)</f>
        <v>18.777104000000001</v>
      </c>
      <c r="I2129" s="420"/>
      <c r="J2129" s="420"/>
      <c r="K2129" s="421">
        <f t="shared" si="549"/>
        <v>0</v>
      </c>
      <c r="L2129" s="647"/>
      <c r="M2129" s="723"/>
      <c r="N2129" s="576">
        <f t="shared" si="536"/>
        <v>0</v>
      </c>
      <c r="O2129" s="577">
        <f t="shared" si="552"/>
        <v>0</v>
      </c>
      <c r="P2129" s="578">
        <f t="shared" si="553"/>
        <v>0</v>
      </c>
      <c r="Q2129" s="765"/>
      <c r="R2129" s="723"/>
      <c r="S2129" s="723"/>
      <c r="T2129" s="577">
        <f t="shared" si="550"/>
        <v>0</v>
      </c>
      <c r="U2129" s="578">
        <f t="shared" si="551"/>
        <v>0</v>
      </c>
      <c r="V2129" s="579"/>
      <c r="W2129" s="566" t="str">
        <f>IF(U2128&gt;0,"xx",IF(P2128&gt;0,"xy",""))</f>
        <v/>
      </c>
      <c r="X2129" s="586" t="str">
        <f t="shared" si="556"/>
        <v/>
      </c>
      <c r="Y2129" s="586" t="str">
        <f t="shared" si="531"/>
        <v/>
      </c>
      <c r="Z2129" s="586" t="str">
        <f t="shared" si="542"/>
        <v/>
      </c>
    </row>
    <row r="2130" spans="1:26" ht="12" hidden="1" thickBot="1" x14ac:dyDescent="0.25">
      <c r="A2130" s="567" t="s">
        <v>168</v>
      </c>
      <c r="B2130" s="644" t="s">
        <v>168</v>
      </c>
      <c r="C2130" s="645"/>
      <c r="D2130" s="422" t="s">
        <v>248</v>
      </c>
      <c r="E2130" s="423"/>
      <c r="F2130" s="424">
        <v>180</v>
      </c>
      <c r="G2130" s="425">
        <v>0.17269999999999999</v>
      </c>
      <c r="H2130" s="663">
        <f t="shared" ref="H2130:H2132" si="558">IF(F2130&lt;=30,(1.07*F2130+2.68)*G2130,((1.07*30+2.68)+1.07*(F2130-30))*G2130)</f>
        <v>33.724855999999996</v>
      </c>
      <c r="I2130" s="420"/>
      <c r="J2130" s="420"/>
      <c r="K2130" s="421">
        <f t="shared" si="549"/>
        <v>0</v>
      </c>
      <c r="L2130" s="647"/>
      <c r="M2130" s="723"/>
      <c r="N2130" s="576">
        <f t="shared" si="536"/>
        <v>0</v>
      </c>
      <c r="O2130" s="577">
        <f t="shared" si="552"/>
        <v>0</v>
      </c>
      <c r="P2130" s="578">
        <f t="shared" si="553"/>
        <v>0</v>
      </c>
      <c r="Q2130" s="765"/>
      <c r="R2130" s="723"/>
      <c r="S2130" s="723"/>
      <c r="T2130" s="577">
        <f t="shared" si="550"/>
        <v>0</v>
      </c>
      <c r="U2130" s="578">
        <f t="shared" si="551"/>
        <v>0</v>
      </c>
      <c r="V2130" s="579"/>
      <c r="W2130" s="566" t="str">
        <f>IF(U2128&gt;0,"xx",IF(P2128&gt;0,"xy",""))</f>
        <v/>
      </c>
      <c r="X2130" s="586" t="str">
        <f t="shared" si="556"/>
        <v/>
      </c>
      <c r="Y2130" s="586" t="str">
        <f t="shared" si="531"/>
        <v/>
      </c>
      <c r="Z2130" s="586" t="str">
        <f t="shared" si="542"/>
        <v/>
      </c>
    </row>
    <row r="2131" spans="1:26" ht="12" hidden="1" thickBot="1" x14ac:dyDescent="0.25">
      <c r="A2131" s="567" t="s">
        <v>168</v>
      </c>
      <c r="B2131" s="644" t="s">
        <v>168</v>
      </c>
      <c r="C2131" s="645"/>
      <c r="D2131" s="422" t="s">
        <v>252</v>
      </c>
      <c r="E2131" s="423"/>
      <c r="F2131" s="424">
        <v>20</v>
      </c>
      <c r="G2131" s="425">
        <v>0.28770000000000001</v>
      </c>
      <c r="H2131" s="663">
        <f t="shared" si="558"/>
        <v>6.9278160000000009</v>
      </c>
      <c r="I2131" s="420"/>
      <c r="J2131" s="420"/>
      <c r="K2131" s="421">
        <f t="shared" si="549"/>
        <v>0</v>
      </c>
      <c r="L2131" s="647"/>
      <c r="M2131" s="723"/>
      <c r="N2131" s="576">
        <f t="shared" si="536"/>
        <v>0</v>
      </c>
      <c r="O2131" s="577">
        <f t="shared" si="552"/>
        <v>0</v>
      </c>
      <c r="P2131" s="578">
        <f t="shared" si="553"/>
        <v>0</v>
      </c>
      <c r="Q2131" s="765"/>
      <c r="R2131" s="723"/>
      <c r="S2131" s="723"/>
      <c r="T2131" s="577">
        <f t="shared" si="550"/>
        <v>0</v>
      </c>
      <c r="U2131" s="578">
        <f t="shared" si="551"/>
        <v>0</v>
      </c>
      <c r="V2131" s="579"/>
      <c r="W2131" s="566" t="str">
        <f>IF(U2128&gt;0,"xx",IF(P2128&gt;0,"xy",""))</f>
        <v/>
      </c>
      <c r="X2131" s="586" t="str">
        <f t="shared" si="556"/>
        <v/>
      </c>
      <c r="Y2131" s="586" t="str">
        <f t="shared" si="531"/>
        <v/>
      </c>
      <c r="Z2131" s="586" t="str">
        <f t="shared" si="542"/>
        <v/>
      </c>
    </row>
    <row r="2132" spans="1:26" ht="12" hidden="1" thickBot="1" x14ac:dyDescent="0.25">
      <c r="A2132" s="567" t="s">
        <v>168</v>
      </c>
      <c r="B2132" s="644" t="s">
        <v>168</v>
      </c>
      <c r="C2132" s="645"/>
      <c r="D2132" s="422" t="s">
        <v>347</v>
      </c>
      <c r="E2132" s="423"/>
      <c r="F2132" s="424">
        <v>20</v>
      </c>
      <c r="G2132" s="425">
        <v>0.53</v>
      </c>
      <c r="H2132" s="663">
        <f t="shared" si="558"/>
        <v>12.762400000000001</v>
      </c>
      <c r="I2132" s="420"/>
      <c r="J2132" s="420"/>
      <c r="K2132" s="421">
        <f t="shared" si="549"/>
        <v>0</v>
      </c>
      <c r="L2132" s="647"/>
      <c r="M2132" s="723"/>
      <c r="N2132" s="576">
        <f t="shared" ref="N2132:N2195" si="559">IF(M2132=0,0,K2132)</f>
        <v>0</v>
      </c>
      <c r="O2132" s="577">
        <f t="shared" si="552"/>
        <v>0</v>
      </c>
      <c r="P2132" s="578">
        <f t="shared" si="553"/>
        <v>0</v>
      </c>
      <c r="Q2132" s="765"/>
      <c r="R2132" s="723"/>
      <c r="S2132" s="723"/>
      <c r="T2132" s="577">
        <f t="shared" si="550"/>
        <v>0</v>
      </c>
      <c r="U2132" s="578">
        <f t="shared" si="551"/>
        <v>0</v>
      </c>
      <c r="V2132" s="579"/>
      <c r="W2132" s="566" t="str">
        <f>IF(U2128&gt;0,"xx",IF(P2128&gt;0,"xy",""))</f>
        <v/>
      </c>
      <c r="X2132" s="586" t="str">
        <f t="shared" si="556"/>
        <v/>
      </c>
      <c r="Y2132" s="586" t="str">
        <f t="shared" si="531"/>
        <v/>
      </c>
      <c r="Z2132" s="586" t="str">
        <f t="shared" si="542"/>
        <v/>
      </c>
    </row>
    <row r="2133" spans="1:26" ht="12" hidden="1" thickBot="1" x14ac:dyDescent="0.25">
      <c r="A2133" s="567">
        <v>610900</v>
      </c>
      <c r="B2133" s="644" t="s">
        <v>1686</v>
      </c>
      <c r="C2133" s="645" t="s">
        <v>206</v>
      </c>
      <c r="D2133" s="422" t="s">
        <v>394</v>
      </c>
      <c r="E2133" s="423"/>
      <c r="F2133" s="424"/>
      <c r="G2133" s="425"/>
      <c r="H2133" s="651">
        <f>SUM(H2134:H2137)</f>
        <v>91.957618000000011</v>
      </c>
      <c r="I2133" s="420">
        <v>673.42000000000007</v>
      </c>
      <c r="J2133" s="420">
        <f>IF(ISBLANK(I2133),"",SUM(H2133:I2133))</f>
        <v>765.3776180000001</v>
      </c>
      <c r="K2133" s="421">
        <f t="shared" si="549"/>
        <v>909.35</v>
      </c>
      <c r="L2133" s="647" t="s">
        <v>19</v>
      </c>
      <c r="M2133" s="576"/>
      <c r="N2133" s="576">
        <f t="shared" si="559"/>
        <v>0</v>
      </c>
      <c r="O2133" s="577">
        <f t="shared" si="552"/>
        <v>0</v>
      </c>
      <c r="P2133" s="578">
        <f t="shared" si="553"/>
        <v>0</v>
      </c>
      <c r="Q2133" s="765"/>
      <c r="R2133" s="576">
        <f>M2133</f>
        <v>0</v>
      </c>
      <c r="S2133" s="576">
        <f>N2133</f>
        <v>0</v>
      </c>
      <c r="T2133" s="577">
        <f t="shared" si="550"/>
        <v>0</v>
      </c>
      <c r="U2133" s="578">
        <f t="shared" si="551"/>
        <v>0</v>
      </c>
      <c r="V2133" s="579"/>
      <c r="W2133" s="566"/>
      <c r="X2133" s="586" t="str">
        <f t="shared" si="556"/>
        <v/>
      </c>
      <c r="Y2133" s="586" t="str">
        <f t="shared" si="531"/>
        <v/>
      </c>
      <c r="Z2133" s="586" t="str">
        <f t="shared" si="542"/>
        <v/>
      </c>
    </row>
    <row r="2134" spans="1:26" ht="12" hidden="1" thickBot="1" x14ac:dyDescent="0.25">
      <c r="A2134" s="567" t="s">
        <v>168</v>
      </c>
      <c r="B2134" s="644" t="s">
        <v>168</v>
      </c>
      <c r="C2134" s="645"/>
      <c r="D2134" s="422" t="s">
        <v>212</v>
      </c>
      <c r="E2134" s="423"/>
      <c r="F2134" s="424">
        <v>500</v>
      </c>
      <c r="G2134" s="425">
        <v>5.9900000000000002E-2</v>
      </c>
      <c r="H2134" s="649">
        <f>IF(F2134&lt;=30,(0.78*F2134+7.82)*G2134,((0.78*30+7.82)+0.78*(F2134-30))*G2134)</f>
        <v>23.829418000000004</v>
      </c>
      <c r="I2134" s="420"/>
      <c r="J2134" s="420"/>
      <c r="K2134" s="421">
        <f t="shared" si="549"/>
        <v>0</v>
      </c>
      <c r="L2134" s="647"/>
      <c r="M2134" s="723"/>
      <c r="N2134" s="576">
        <f t="shared" si="559"/>
        <v>0</v>
      </c>
      <c r="O2134" s="577">
        <f t="shared" si="552"/>
        <v>0</v>
      </c>
      <c r="P2134" s="578">
        <f t="shared" si="553"/>
        <v>0</v>
      </c>
      <c r="Q2134" s="765"/>
      <c r="R2134" s="723"/>
      <c r="S2134" s="723"/>
      <c r="T2134" s="577">
        <f t="shared" si="550"/>
        <v>0</v>
      </c>
      <c r="U2134" s="578">
        <f t="shared" si="551"/>
        <v>0</v>
      </c>
      <c r="V2134" s="579"/>
      <c r="W2134" s="566" t="str">
        <f>IF(U2133&gt;0,"xx",IF(P2133&gt;0,"xy",""))</f>
        <v/>
      </c>
      <c r="X2134" s="586" t="str">
        <f t="shared" si="556"/>
        <v/>
      </c>
      <c r="Y2134" s="586" t="str">
        <f t="shared" si="531"/>
        <v/>
      </c>
      <c r="Z2134" s="586" t="str">
        <f t="shared" si="542"/>
        <v/>
      </c>
    </row>
    <row r="2135" spans="1:26" ht="12" hidden="1" thickBot="1" x14ac:dyDescent="0.25">
      <c r="A2135" s="567" t="s">
        <v>168</v>
      </c>
      <c r="B2135" s="644" t="s">
        <v>168</v>
      </c>
      <c r="C2135" s="645"/>
      <c r="D2135" s="422" t="s">
        <v>248</v>
      </c>
      <c r="E2135" s="423"/>
      <c r="F2135" s="424">
        <v>180</v>
      </c>
      <c r="G2135" s="425">
        <v>0.21840000000000001</v>
      </c>
      <c r="H2135" s="663">
        <f t="shared" ref="H2135:H2137" si="560">IF(F2135&lt;=30,(1.07*F2135+2.68)*G2135,((1.07*30+2.68)+1.07*(F2135-30))*G2135)</f>
        <v>42.649152000000001</v>
      </c>
      <c r="I2135" s="420"/>
      <c r="J2135" s="420"/>
      <c r="K2135" s="421">
        <f t="shared" si="549"/>
        <v>0</v>
      </c>
      <c r="L2135" s="647"/>
      <c r="M2135" s="723"/>
      <c r="N2135" s="576">
        <f t="shared" si="559"/>
        <v>0</v>
      </c>
      <c r="O2135" s="577">
        <f t="shared" si="552"/>
        <v>0</v>
      </c>
      <c r="P2135" s="578">
        <f t="shared" si="553"/>
        <v>0</v>
      </c>
      <c r="Q2135" s="765"/>
      <c r="R2135" s="723"/>
      <c r="S2135" s="723"/>
      <c r="T2135" s="577">
        <f t="shared" si="550"/>
        <v>0</v>
      </c>
      <c r="U2135" s="578">
        <f t="shared" si="551"/>
        <v>0</v>
      </c>
      <c r="V2135" s="579"/>
      <c r="W2135" s="566" t="str">
        <f>IF(U2133&gt;0,"xx",IF(P2133&gt;0,"xy",""))</f>
        <v/>
      </c>
      <c r="X2135" s="586" t="str">
        <f t="shared" si="556"/>
        <v/>
      </c>
      <c r="Y2135" s="586" t="str">
        <f t="shared" si="531"/>
        <v/>
      </c>
      <c r="Z2135" s="586" t="str">
        <f t="shared" si="542"/>
        <v/>
      </c>
    </row>
    <row r="2136" spans="1:26" ht="12" hidden="1" thickBot="1" x14ac:dyDescent="0.25">
      <c r="A2136" s="567" t="s">
        <v>168</v>
      </c>
      <c r="B2136" s="644" t="s">
        <v>168</v>
      </c>
      <c r="C2136" s="645"/>
      <c r="D2136" s="422" t="s">
        <v>252</v>
      </c>
      <c r="E2136" s="423"/>
      <c r="F2136" s="424">
        <v>20</v>
      </c>
      <c r="G2136" s="425">
        <v>0.36809999999999998</v>
      </c>
      <c r="H2136" s="663">
        <f t="shared" si="560"/>
        <v>8.8638480000000008</v>
      </c>
      <c r="I2136" s="420"/>
      <c r="J2136" s="420"/>
      <c r="K2136" s="421">
        <f t="shared" si="549"/>
        <v>0</v>
      </c>
      <c r="L2136" s="647"/>
      <c r="M2136" s="723"/>
      <c r="N2136" s="576">
        <f t="shared" si="559"/>
        <v>0</v>
      </c>
      <c r="O2136" s="577">
        <f t="shared" si="552"/>
        <v>0</v>
      </c>
      <c r="P2136" s="578">
        <f t="shared" si="553"/>
        <v>0</v>
      </c>
      <c r="Q2136" s="765"/>
      <c r="R2136" s="723"/>
      <c r="S2136" s="723"/>
      <c r="T2136" s="577">
        <f t="shared" si="550"/>
        <v>0</v>
      </c>
      <c r="U2136" s="578">
        <f t="shared" si="551"/>
        <v>0</v>
      </c>
      <c r="V2136" s="579"/>
      <c r="W2136" s="566" t="str">
        <f>IF(U2133&gt;0,"xx",IF(P2133&gt;0,"xy",""))</f>
        <v/>
      </c>
      <c r="X2136" s="586" t="str">
        <f t="shared" si="556"/>
        <v/>
      </c>
      <c r="Y2136" s="586" t="str">
        <f t="shared" si="531"/>
        <v/>
      </c>
      <c r="Z2136" s="586" t="str">
        <f t="shared" si="542"/>
        <v/>
      </c>
    </row>
    <row r="2137" spans="1:26" ht="12" hidden="1" thickBot="1" x14ac:dyDescent="0.25">
      <c r="A2137" s="567" t="s">
        <v>168</v>
      </c>
      <c r="B2137" s="644" t="s">
        <v>168</v>
      </c>
      <c r="C2137" s="645"/>
      <c r="D2137" s="422" t="s">
        <v>347</v>
      </c>
      <c r="E2137" s="423"/>
      <c r="F2137" s="424">
        <v>20</v>
      </c>
      <c r="G2137" s="425">
        <v>0.69</v>
      </c>
      <c r="H2137" s="663">
        <f t="shared" si="560"/>
        <v>16.615200000000002</v>
      </c>
      <c r="I2137" s="420"/>
      <c r="J2137" s="420"/>
      <c r="K2137" s="421">
        <f t="shared" si="549"/>
        <v>0</v>
      </c>
      <c r="L2137" s="647"/>
      <c r="M2137" s="723"/>
      <c r="N2137" s="576">
        <f t="shared" si="559"/>
        <v>0</v>
      </c>
      <c r="O2137" s="577">
        <f t="shared" si="552"/>
        <v>0</v>
      </c>
      <c r="P2137" s="578">
        <f t="shared" si="553"/>
        <v>0</v>
      </c>
      <c r="Q2137" s="765"/>
      <c r="R2137" s="723"/>
      <c r="S2137" s="723"/>
      <c r="T2137" s="577">
        <f t="shared" si="550"/>
        <v>0</v>
      </c>
      <c r="U2137" s="578">
        <f t="shared" si="551"/>
        <v>0</v>
      </c>
      <c r="V2137" s="579"/>
      <c r="W2137" s="566" t="str">
        <f>IF(U2133&gt;0,"xx",IF(P2133&gt;0,"xy",""))</f>
        <v/>
      </c>
      <c r="X2137" s="586" t="str">
        <f t="shared" si="556"/>
        <v/>
      </c>
      <c r="Y2137" s="586" t="str">
        <f t="shared" si="531"/>
        <v/>
      </c>
      <c r="Z2137" s="586" t="str">
        <f t="shared" si="542"/>
        <v/>
      </c>
    </row>
    <row r="2138" spans="1:26" ht="12" hidden="1" thickBot="1" x14ac:dyDescent="0.25">
      <c r="A2138" s="567">
        <v>611100</v>
      </c>
      <c r="B2138" s="644" t="s">
        <v>1699</v>
      </c>
      <c r="C2138" s="645" t="s">
        <v>206</v>
      </c>
      <c r="D2138" s="422" t="s">
        <v>584</v>
      </c>
      <c r="E2138" s="423"/>
      <c r="F2138" s="424"/>
      <c r="G2138" s="425"/>
      <c r="H2138" s="651">
        <f>SUM(H2139:H2142)</f>
        <v>115.465452</v>
      </c>
      <c r="I2138" s="420">
        <v>831.46</v>
      </c>
      <c r="J2138" s="420">
        <f>IF(ISBLANK(I2138),"",SUM(H2138:I2138))</f>
        <v>946.92545200000006</v>
      </c>
      <c r="K2138" s="421">
        <f t="shared" si="549"/>
        <v>1125.04</v>
      </c>
      <c r="L2138" s="647" t="s">
        <v>19</v>
      </c>
      <c r="M2138" s="576"/>
      <c r="N2138" s="576">
        <f t="shared" si="559"/>
        <v>0</v>
      </c>
      <c r="O2138" s="577">
        <f t="shared" si="552"/>
        <v>0</v>
      </c>
      <c r="P2138" s="578">
        <f t="shared" si="553"/>
        <v>0</v>
      </c>
      <c r="Q2138" s="765"/>
      <c r="R2138" s="576">
        <f>M2138</f>
        <v>0</v>
      </c>
      <c r="S2138" s="576">
        <f>N2138</f>
        <v>0</v>
      </c>
      <c r="T2138" s="577">
        <f t="shared" si="550"/>
        <v>0</v>
      </c>
      <c r="U2138" s="578">
        <f t="shared" si="551"/>
        <v>0</v>
      </c>
      <c r="V2138" s="579"/>
      <c r="W2138" s="566"/>
      <c r="X2138" s="586" t="str">
        <f t="shared" si="556"/>
        <v/>
      </c>
      <c r="Y2138" s="586" t="str">
        <f t="shared" si="531"/>
        <v/>
      </c>
      <c r="Z2138" s="586" t="str">
        <f t="shared" si="542"/>
        <v/>
      </c>
    </row>
    <row r="2139" spans="1:26" ht="12" hidden="1" thickBot="1" x14ac:dyDescent="0.25">
      <c r="A2139" s="567" t="s">
        <v>168</v>
      </c>
      <c r="B2139" s="644" t="s">
        <v>168</v>
      </c>
      <c r="C2139" s="645"/>
      <c r="D2139" s="422" t="s">
        <v>212</v>
      </c>
      <c r="E2139" s="423"/>
      <c r="F2139" s="424">
        <v>500</v>
      </c>
      <c r="G2139" s="425">
        <v>7.5800000000000006E-2</v>
      </c>
      <c r="H2139" s="649">
        <f>IF(F2139&lt;=30,(0.78*F2139+7.82)*G2139,((0.78*30+7.82)+0.78*(F2139-30))*G2139)</f>
        <v>30.154756000000006</v>
      </c>
      <c r="I2139" s="420"/>
      <c r="J2139" s="420"/>
      <c r="K2139" s="421">
        <f t="shared" si="549"/>
        <v>0</v>
      </c>
      <c r="L2139" s="647"/>
      <c r="M2139" s="723"/>
      <c r="N2139" s="576">
        <f t="shared" si="559"/>
        <v>0</v>
      </c>
      <c r="O2139" s="577">
        <f t="shared" si="552"/>
        <v>0</v>
      </c>
      <c r="P2139" s="578">
        <f t="shared" si="553"/>
        <v>0</v>
      </c>
      <c r="Q2139" s="765"/>
      <c r="R2139" s="723"/>
      <c r="S2139" s="723"/>
      <c r="T2139" s="577">
        <f t="shared" si="550"/>
        <v>0</v>
      </c>
      <c r="U2139" s="578">
        <f t="shared" si="551"/>
        <v>0</v>
      </c>
      <c r="V2139" s="579"/>
      <c r="W2139" s="566" t="str">
        <f>IF(U2138&gt;0,"xx",IF(P2138&gt;0,"xy",""))</f>
        <v/>
      </c>
      <c r="X2139" s="586" t="str">
        <f t="shared" si="556"/>
        <v/>
      </c>
      <c r="Y2139" s="586" t="str">
        <f t="shared" si="531"/>
        <v/>
      </c>
      <c r="Z2139" s="586" t="str">
        <f t="shared" si="542"/>
        <v/>
      </c>
    </row>
    <row r="2140" spans="1:26" ht="12" hidden="1" thickBot="1" x14ac:dyDescent="0.25">
      <c r="A2140" s="567" t="s">
        <v>168</v>
      </c>
      <c r="B2140" s="644" t="s">
        <v>168</v>
      </c>
      <c r="C2140" s="645"/>
      <c r="D2140" s="422" t="s">
        <v>248</v>
      </c>
      <c r="E2140" s="423"/>
      <c r="F2140" s="424">
        <v>180</v>
      </c>
      <c r="G2140" s="425">
        <v>0.27639999999999998</v>
      </c>
      <c r="H2140" s="663">
        <f t="shared" ref="H2140:H2142" si="561">IF(F2140&lt;=30,(1.07*F2140+2.68)*G2140,((1.07*30+2.68)+1.07*(F2140-30))*G2140)</f>
        <v>53.975391999999999</v>
      </c>
      <c r="I2140" s="420"/>
      <c r="J2140" s="420"/>
      <c r="K2140" s="421">
        <f t="shared" si="549"/>
        <v>0</v>
      </c>
      <c r="L2140" s="647"/>
      <c r="M2140" s="723"/>
      <c r="N2140" s="576">
        <f t="shared" si="559"/>
        <v>0</v>
      </c>
      <c r="O2140" s="577">
        <f t="shared" si="552"/>
        <v>0</v>
      </c>
      <c r="P2140" s="578">
        <f t="shared" si="553"/>
        <v>0</v>
      </c>
      <c r="Q2140" s="765"/>
      <c r="R2140" s="723"/>
      <c r="S2140" s="723"/>
      <c r="T2140" s="577">
        <f t="shared" si="550"/>
        <v>0</v>
      </c>
      <c r="U2140" s="578">
        <f t="shared" si="551"/>
        <v>0</v>
      </c>
      <c r="V2140" s="579"/>
      <c r="W2140" s="566" t="str">
        <f>IF(U2138&gt;0,"xx",IF(P2138&gt;0,"xy",""))</f>
        <v/>
      </c>
      <c r="X2140" s="586" t="str">
        <f t="shared" si="556"/>
        <v/>
      </c>
      <c r="Y2140" s="586" t="str">
        <f t="shared" si="531"/>
        <v/>
      </c>
      <c r="Z2140" s="586" t="str">
        <f t="shared" si="542"/>
        <v/>
      </c>
    </row>
    <row r="2141" spans="1:26" ht="12" hidden="1" thickBot="1" x14ac:dyDescent="0.25">
      <c r="A2141" s="567" t="s">
        <v>168</v>
      </c>
      <c r="B2141" s="644" t="s">
        <v>168</v>
      </c>
      <c r="C2141" s="645"/>
      <c r="D2141" s="422" t="s">
        <v>252</v>
      </c>
      <c r="E2141" s="423"/>
      <c r="F2141" s="424">
        <v>20</v>
      </c>
      <c r="G2141" s="425">
        <v>0.46629999999999999</v>
      </c>
      <c r="H2141" s="663">
        <f t="shared" si="561"/>
        <v>11.228504000000001</v>
      </c>
      <c r="I2141" s="420"/>
      <c r="J2141" s="420"/>
      <c r="K2141" s="421">
        <f t="shared" si="549"/>
        <v>0</v>
      </c>
      <c r="L2141" s="647"/>
      <c r="M2141" s="723"/>
      <c r="N2141" s="576">
        <f t="shared" si="559"/>
        <v>0</v>
      </c>
      <c r="O2141" s="577">
        <f t="shared" si="552"/>
        <v>0</v>
      </c>
      <c r="P2141" s="578">
        <f t="shared" si="553"/>
        <v>0</v>
      </c>
      <c r="Q2141" s="765"/>
      <c r="R2141" s="723"/>
      <c r="S2141" s="723"/>
      <c r="T2141" s="577">
        <f t="shared" si="550"/>
        <v>0</v>
      </c>
      <c r="U2141" s="578">
        <f t="shared" si="551"/>
        <v>0</v>
      </c>
      <c r="V2141" s="579"/>
      <c r="W2141" s="566" t="str">
        <f>IF(U2138&gt;0,"xx",IF(P2138&gt;0,"xy",""))</f>
        <v/>
      </c>
      <c r="X2141" s="586" t="str">
        <f t="shared" si="556"/>
        <v/>
      </c>
      <c r="Y2141" s="586" t="str">
        <f t="shared" si="531"/>
        <v/>
      </c>
      <c r="Z2141" s="586" t="str">
        <f t="shared" si="542"/>
        <v/>
      </c>
    </row>
    <row r="2142" spans="1:26" ht="12" hidden="1" thickBot="1" x14ac:dyDescent="0.25">
      <c r="A2142" s="567" t="s">
        <v>168</v>
      </c>
      <c r="B2142" s="644" t="s">
        <v>168</v>
      </c>
      <c r="C2142" s="645"/>
      <c r="D2142" s="422" t="s">
        <v>347</v>
      </c>
      <c r="E2142" s="423"/>
      <c r="F2142" s="424">
        <v>20</v>
      </c>
      <c r="G2142" s="425">
        <v>0.83499999999999996</v>
      </c>
      <c r="H2142" s="663">
        <f t="shared" si="561"/>
        <v>20.1068</v>
      </c>
      <c r="I2142" s="420"/>
      <c r="J2142" s="420"/>
      <c r="K2142" s="421">
        <f t="shared" si="549"/>
        <v>0</v>
      </c>
      <c r="L2142" s="647"/>
      <c r="M2142" s="723"/>
      <c r="N2142" s="576">
        <f t="shared" si="559"/>
        <v>0</v>
      </c>
      <c r="O2142" s="577">
        <f t="shared" si="552"/>
        <v>0</v>
      </c>
      <c r="P2142" s="578">
        <f t="shared" si="553"/>
        <v>0</v>
      </c>
      <c r="Q2142" s="765"/>
      <c r="R2142" s="723"/>
      <c r="S2142" s="723"/>
      <c r="T2142" s="577">
        <f t="shared" si="550"/>
        <v>0</v>
      </c>
      <c r="U2142" s="578">
        <f t="shared" si="551"/>
        <v>0</v>
      </c>
      <c r="V2142" s="579"/>
      <c r="W2142" s="566" t="str">
        <f>IF(U2138&gt;0,"xx",IF(P2138&gt;0,"xy",""))</f>
        <v/>
      </c>
      <c r="X2142" s="586" t="str">
        <f t="shared" si="556"/>
        <v/>
      </c>
      <c r="Y2142" s="586" t="str">
        <f t="shared" si="531"/>
        <v/>
      </c>
      <c r="Z2142" s="586" t="str">
        <f t="shared" si="542"/>
        <v/>
      </c>
    </row>
    <row r="2143" spans="1:26" ht="12" hidden="1" thickBot="1" x14ac:dyDescent="0.25">
      <c r="A2143" s="567">
        <v>611100</v>
      </c>
      <c r="B2143" s="644" t="s">
        <v>1700</v>
      </c>
      <c r="C2143" s="645" t="s">
        <v>206</v>
      </c>
      <c r="D2143" s="422" t="s">
        <v>395</v>
      </c>
      <c r="E2143" s="423"/>
      <c r="F2143" s="424"/>
      <c r="G2143" s="425"/>
      <c r="H2143" s="651">
        <f>SUM(H2144:H2147)</f>
        <v>139.43295000000003</v>
      </c>
      <c r="I2143" s="420">
        <v>989.5</v>
      </c>
      <c r="J2143" s="420">
        <f>IF(ISBLANK(I2143),"",SUM(H2143:I2143))</f>
        <v>1128.9329500000001</v>
      </c>
      <c r="K2143" s="421">
        <f t="shared" si="549"/>
        <v>1341.29</v>
      </c>
      <c r="L2143" s="647" t="s">
        <v>19</v>
      </c>
      <c r="M2143" s="576"/>
      <c r="N2143" s="576">
        <f t="shared" si="559"/>
        <v>0</v>
      </c>
      <c r="O2143" s="577">
        <f t="shared" si="552"/>
        <v>0</v>
      </c>
      <c r="P2143" s="578">
        <f t="shared" si="553"/>
        <v>0</v>
      </c>
      <c r="Q2143" s="765"/>
      <c r="R2143" s="576">
        <f>M2143</f>
        <v>0</v>
      </c>
      <c r="S2143" s="576">
        <f>N2143</f>
        <v>0</v>
      </c>
      <c r="T2143" s="577">
        <f t="shared" si="550"/>
        <v>0</v>
      </c>
      <c r="U2143" s="578">
        <f t="shared" si="551"/>
        <v>0</v>
      </c>
      <c r="V2143" s="579"/>
      <c r="W2143" s="566"/>
      <c r="X2143" s="586" t="str">
        <f t="shared" si="556"/>
        <v/>
      </c>
      <c r="Y2143" s="586" t="str">
        <f t="shared" si="531"/>
        <v/>
      </c>
      <c r="Z2143" s="586" t="str">
        <f t="shared" si="542"/>
        <v/>
      </c>
    </row>
    <row r="2144" spans="1:26" ht="12" hidden="1" thickBot="1" x14ac:dyDescent="0.25">
      <c r="A2144" s="567" t="s">
        <v>168</v>
      </c>
      <c r="B2144" s="644" t="s">
        <v>168</v>
      </c>
      <c r="C2144" s="645"/>
      <c r="D2144" s="422" t="s">
        <v>212</v>
      </c>
      <c r="E2144" s="423"/>
      <c r="F2144" s="424">
        <v>500</v>
      </c>
      <c r="G2144" s="425">
        <v>9.1700000000000004E-2</v>
      </c>
      <c r="H2144" s="649">
        <f>IF(F2144&lt;=30,(0.78*F2144+7.82)*G2144,((0.78*30+7.82)+0.78*(F2144-30))*G2144)</f>
        <v>36.480094000000008</v>
      </c>
      <c r="I2144" s="420"/>
      <c r="J2144" s="420"/>
      <c r="K2144" s="421">
        <f t="shared" si="549"/>
        <v>0</v>
      </c>
      <c r="L2144" s="647"/>
      <c r="M2144" s="723"/>
      <c r="N2144" s="576">
        <f t="shared" si="559"/>
        <v>0</v>
      </c>
      <c r="O2144" s="577">
        <f t="shared" si="552"/>
        <v>0</v>
      </c>
      <c r="P2144" s="578">
        <f t="shared" si="553"/>
        <v>0</v>
      </c>
      <c r="Q2144" s="765"/>
      <c r="R2144" s="723"/>
      <c r="S2144" s="723"/>
      <c r="T2144" s="577">
        <f t="shared" si="550"/>
        <v>0</v>
      </c>
      <c r="U2144" s="578">
        <f t="shared" si="551"/>
        <v>0</v>
      </c>
      <c r="V2144" s="579"/>
      <c r="W2144" s="566" t="str">
        <f>IF(U2143&gt;0,"xx",IF(P2143&gt;0,"xy",""))</f>
        <v/>
      </c>
      <c r="X2144" s="586" t="str">
        <f t="shared" si="556"/>
        <v/>
      </c>
      <c r="Y2144" s="586" t="str">
        <f t="shared" si="531"/>
        <v/>
      </c>
      <c r="Z2144" s="586" t="str">
        <f t="shared" si="542"/>
        <v/>
      </c>
    </row>
    <row r="2145" spans="1:26" ht="12" hidden="1" thickBot="1" x14ac:dyDescent="0.25">
      <c r="A2145" s="567" t="s">
        <v>168</v>
      </c>
      <c r="B2145" s="644" t="s">
        <v>168</v>
      </c>
      <c r="C2145" s="645"/>
      <c r="D2145" s="422" t="s">
        <v>248</v>
      </c>
      <c r="E2145" s="423"/>
      <c r="F2145" s="424">
        <v>180</v>
      </c>
      <c r="G2145" s="425">
        <v>0.33429999999999999</v>
      </c>
      <c r="H2145" s="663">
        <f t="shared" ref="H2145:H2147" si="562">IF(F2145&lt;=30,(1.07*F2145+2.68)*G2145,((1.07*30+2.68)+1.07*(F2145-30))*G2145)</f>
        <v>65.282104000000004</v>
      </c>
      <c r="I2145" s="420"/>
      <c r="J2145" s="420"/>
      <c r="K2145" s="421">
        <f t="shared" si="549"/>
        <v>0</v>
      </c>
      <c r="L2145" s="647"/>
      <c r="M2145" s="723"/>
      <c r="N2145" s="576">
        <f t="shared" si="559"/>
        <v>0</v>
      </c>
      <c r="O2145" s="577">
        <f t="shared" si="552"/>
        <v>0</v>
      </c>
      <c r="P2145" s="578">
        <f t="shared" si="553"/>
        <v>0</v>
      </c>
      <c r="Q2145" s="765"/>
      <c r="R2145" s="723"/>
      <c r="S2145" s="723"/>
      <c r="T2145" s="577">
        <f t="shared" si="550"/>
        <v>0</v>
      </c>
      <c r="U2145" s="578">
        <f t="shared" si="551"/>
        <v>0</v>
      </c>
      <c r="V2145" s="579"/>
      <c r="W2145" s="566" t="str">
        <f>IF(U2143&gt;0,"xx",IF(P2143&gt;0,"xy",""))</f>
        <v/>
      </c>
      <c r="X2145" s="586" t="str">
        <f t="shared" si="556"/>
        <v/>
      </c>
      <c r="Y2145" s="586" t="str">
        <f t="shared" si="531"/>
        <v/>
      </c>
      <c r="Z2145" s="586" t="str">
        <f t="shared" si="542"/>
        <v/>
      </c>
    </row>
    <row r="2146" spans="1:26" ht="12" hidden="1" thickBot="1" x14ac:dyDescent="0.25">
      <c r="A2146" s="567" t="s">
        <v>168</v>
      </c>
      <c r="B2146" s="644" t="s">
        <v>168</v>
      </c>
      <c r="C2146" s="645"/>
      <c r="D2146" s="422" t="s">
        <v>252</v>
      </c>
      <c r="E2146" s="423"/>
      <c r="F2146" s="424">
        <v>20</v>
      </c>
      <c r="G2146" s="425">
        <v>0.56440000000000001</v>
      </c>
      <c r="H2146" s="663">
        <f t="shared" si="562"/>
        <v>13.590752000000002</v>
      </c>
      <c r="I2146" s="420"/>
      <c r="J2146" s="420"/>
      <c r="K2146" s="421">
        <f t="shared" si="549"/>
        <v>0</v>
      </c>
      <c r="L2146" s="647"/>
      <c r="M2146" s="723"/>
      <c r="N2146" s="576">
        <f t="shared" si="559"/>
        <v>0</v>
      </c>
      <c r="O2146" s="577">
        <f t="shared" si="552"/>
        <v>0</v>
      </c>
      <c r="P2146" s="578">
        <f t="shared" si="553"/>
        <v>0</v>
      </c>
      <c r="Q2146" s="765"/>
      <c r="R2146" s="723"/>
      <c r="S2146" s="723"/>
      <c r="T2146" s="577">
        <f t="shared" si="550"/>
        <v>0</v>
      </c>
      <c r="U2146" s="578">
        <f t="shared" si="551"/>
        <v>0</v>
      </c>
      <c r="V2146" s="579"/>
      <c r="W2146" s="566" t="str">
        <f>IF(U2143&gt;0,"xx",IF(P2143&gt;0,"xy",""))</f>
        <v/>
      </c>
      <c r="X2146" s="586" t="str">
        <f t="shared" si="556"/>
        <v/>
      </c>
      <c r="Y2146" s="586" t="str">
        <f t="shared" si="531"/>
        <v/>
      </c>
      <c r="Z2146" s="586" t="str">
        <f t="shared" si="542"/>
        <v/>
      </c>
    </row>
    <row r="2147" spans="1:26" ht="12" hidden="1" thickBot="1" x14ac:dyDescent="0.25">
      <c r="A2147" s="567" t="s">
        <v>168</v>
      </c>
      <c r="B2147" s="644" t="s">
        <v>168</v>
      </c>
      <c r="C2147" s="645"/>
      <c r="D2147" s="422" t="s">
        <v>347</v>
      </c>
      <c r="E2147" s="423"/>
      <c r="F2147" s="424">
        <v>20</v>
      </c>
      <c r="G2147" s="425">
        <v>1</v>
      </c>
      <c r="H2147" s="663">
        <f t="shared" si="562"/>
        <v>24.080000000000002</v>
      </c>
      <c r="I2147" s="420"/>
      <c r="J2147" s="420"/>
      <c r="K2147" s="421">
        <f t="shared" si="549"/>
        <v>0</v>
      </c>
      <c r="L2147" s="647"/>
      <c r="M2147" s="723"/>
      <c r="N2147" s="576">
        <f t="shared" si="559"/>
        <v>0</v>
      </c>
      <c r="O2147" s="577">
        <f t="shared" si="552"/>
        <v>0</v>
      </c>
      <c r="P2147" s="578">
        <f t="shared" si="553"/>
        <v>0</v>
      </c>
      <c r="Q2147" s="765"/>
      <c r="R2147" s="723"/>
      <c r="S2147" s="723"/>
      <c r="T2147" s="577">
        <f t="shared" si="550"/>
        <v>0</v>
      </c>
      <c r="U2147" s="578">
        <f t="shared" si="551"/>
        <v>0</v>
      </c>
      <c r="V2147" s="579"/>
      <c r="W2147" s="566" t="str">
        <f>IF(U2143&gt;0,"xx",IF(P2143&gt;0,"xy",""))</f>
        <v/>
      </c>
      <c r="X2147" s="586" t="str">
        <f t="shared" si="556"/>
        <v/>
      </c>
      <c r="Y2147" s="586" t="str">
        <f t="shared" si="531"/>
        <v/>
      </c>
      <c r="Z2147" s="586" t="str">
        <f t="shared" si="542"/>
        <v/>
      </c>
    </row>
    <row r="2148" spans="1:26" ht="12" hidden="1" thickBot="1" x14ac:dyDescent="0.25">
      <c r="A2148" s="567">
        <v>611300</v>
      </c>
      <c r="B2148" s="644">
        <v>611300</v>
      </c>
      <c r="C2148" s="645" t="s">
        <v>206</v>
      </c>
      <c r="D2148" s="422" t="s">
        <v>396</v>
      </c>
      <c r="E2148" s="423"/>
      <c r="F2148" s="424"/>
      <c r="G2148" s="425"/>
      <c r="H2148" s="651">
        <f>SUM(H2149:H2152)</f>
        <v>194.57126400000004</v>
      </c>
      <c r="I2148" s="420">
        <v>1318.96</v>
      </c>
      <c r="J2148" s="420">
        <f>IF(ISBLANK(I2148),"",SUM(H2148:I2148))</f>
        <v>1513.5312640000002</v>
      </c>
      <c r="K2148" s="421">
        <f t="shared" si="549"/>
        <v>1798.23</v>
      </c>
      <c r="L2148" s="647" t="s">
        <v>19</v>
      </c>
      <c r="M2148" s="576"/>
      <c r="N2148" s="576">
        <f t="shared" si="559"/>
        <v>0</v>
      </c>
      <c r="O2148" s="577">
        <f t="shared" si="552"/>
        <v>0</v>
      </c>
      <c r="P2148" s="578">
        <f t="shared" si="553"/>
        <v>0</v>
      </c>
      <c r="Q2148" s="765"/>
      <c r="R2148" s="576">
        <f>M2148</f>
        <v>0</v>
      </c>
      <c r="S2148" s="576">
        <f>N2148</f>
        <v>0</v>
      </c>
      <c r="T2148" s="577">
        <f t="shared" si="550"/>
        <v>0</v>
      </c>
      <c r="U2148" s="578">
        <f t="shared" si="551"/>
        <v>0</v>
      </c>
      <c r="V2148" s="579"/>
      <c r="W2148" s="566"/>
      <c r="X2148" s="586" t="str">
        <f t="shared" si="556"/>
        <v/>
      </c>
      <c r="Y2148" s="586" t="str">
        <f t="shared" si="531"/>
        <v/>
      </c>
      <c r="Z2148" s="586" t="str">
        <f t="shared" si="542"/>
        <v/>
      </c>
    </row>
    <row r="2149" spans="1:26" ht="12" hidden="1" thickBot="1" x14ac:dyDescent="0.25">
      <c r="A2149" s="567" t="s">
        <v>168</v>
      </c>
      <c r="B2149" s="644" t="s">
        <v>168</v>
      </c>
      <c r="C2149" s="645"/>
      <c r="D2149" s="422" t="s">
        <v>212</v>
      </c>
      <c r="E2149" s="423"/>
      <c r="F2149" s="424">
        <v>500</v>
      </c>
      <c r="G2149" s="425">
        <v>0.12720000000000001</v>
      </c>
      <c r="H2149" s="649">
        <f>IF(F2149&lt;=30,(0.78*F2149+7.82)*G2149,((0.78*30+7.82)+0.78*(F2149-30))*G2149)</f>
        <v>50.60270400000001</v>
      </c>
      <c r="I2149" s="420"/>
      <c r="J2149" s="420"/>
      <c r="K2149" s="421">
        <f t="shared" si="549"/>
        <v>0</v>
      </c>
      <c r="L2149" s="647"/>
      <c r="M2149" s="723"/>
      <c r="N2149" s="576">
        <f t="shared" si="559"/>
        <v>0</v>
      </c>
      <c r="O2149" s="577">
        <f t="shared" si="552"/>
        <v>0</v>
      </c>
      <c r="P2149" s="578">
        <f t="shared" si="553"/>
        <v>0</v>
      </c>
      <c r="Q2149" s="765"/>
      <c r="R2149" s="723"/>
      <c r="S2149" s="723"/>
      <c r="T2149" s="577">
        <f t="shared" si="550"/>
        <v>0</v>
      </c>
      <c r="U2149" s="578">
        <f t="shared" si="551"/>
        <v>0</v>
      </c>
      <c r="V2149" s="579"/>
      <c r="W2149" s="566" t="str">
        <f>IF(U2148&gt;0,"xx",IF(P2148&gt;0,"xy",""))</f>
        <v/>
      </c>
      <c r="X2149" s="586" t="str">
        <f t="shared" si="556"/>
        <v/>
      </c>
      <c r="Y2149" s="586" t="str">
        <f t="shared" si="531"/>
        <v/>
      </c>
      <c r="Z2149" s="586" t="str">
        <f t="shared" si="542"/>
        <v/>
      </c>
    </row>
    <row r="2150" spans="1:26" ht="12" hidden="1" thickBot="1" x14ac:dyDescent="0.25">
      <c r="A2150" s="567" t="s">
        <v>168</v>
      </c>
      <c r="B2150" s="644" t="s">
        <v>168</v>
      </c>
      <c r="C2150" s="645"/>
      <c r="D2150" s="422" t="s">
        <v>248</v>
      </c>
      <c r="E2150" s="423"/>
      <c r="F2150" s="424">
        <v>180</v>
      </c>
      <c r="G2150" s="425">
        <v>0.46300000000000002</v>
      </c>
      <c r="H2150" s="663">
        <f t="shared" ref="H2150:H2152" si="563">IF(F2150&lt;=30,(1.07*F2150+2.68)*G2150,((1.07*30+2.68)+1.07*(F2150-30))*G2150)</f>
        <v>90.414640000000006</v>
      </c>
      <c r="I2150" s="420"/>
      <c r="J2150" s="420"/>
      <c r="K2150" s="421">
        <f t="shared" si="549"/>
        <v>0</v>
      </c>
      <c r="L2150" s="647"/>
      <c r="M2150" s="723"/>
      <c r="N2150" s="576">
        <f t="shared" si="559"/>
        <v>0</v>
      </c>
      <c r="O2150" s="577">
        <f t="shared" si="552"/>
        <v>0</v>
      </c>
      <c r="P2150" s="578">
        <f t="shared" si="553"/>
        <v>0</v>
      </c>
      <c r="Q2150" s="765"/>
      <c r="R2150" s="723"/>
      <c r="S2150" s="723"/>
      <c r="T2150" s="577">
        <f t="shared" si="550"/>
        <v>0</v>
      </c>
      <c r="U2150" s="578">
        <f t="shared" si="551"/>
        <v>0</v>
      </c>
      <c r="V2150" s="579"/>
      <c r="W2150" s="566" t="str">
        <f>IF(U2148&gt;0,"xx",IF(P2148&gt;0,"xy",""))</f>
        <v/>
      </c>
      <c r="X2150" s="586" t="str">
        <f t="shared" si="556"/>
        <v/>
      </c>
      <c r="Y2150" s="586" t="str">
        <f t="shared" si="531"/>
        <v/>
      </c>
      <c r="Z2150" s="586" t="str">
        <f t="shared" si="542"/>
        <v/>
      </c>
    </row>
    <row r="2151" spans="1:26" ht="12" hidden="1" thickBot="1" x14ac:dyDescent="0.25">
      <c r="A2151" s="567" t="s">
        <v>168</v>
      </c>
      <c r="B2151" s="644" t="s">
        <v>168</v>
      </c>
      <c r="C2151" s="645"/>
      <c r="D2151" s="422" t="s">
        <v>252</v>
      </c>
      <c r="E2151" s="423"/>
      <c r="F2151" s="424">
        <v>20</v>
      </c>
      <c r="G2151" s="425">
        <v>0.78400000000000003</v>
      </c>
      <c r="H2151" s="663">
        <f t="shared" si="563"/>
        <v>18.878720000000001</v>
      </c>
      <c r="I2151" s="420"/>
      <c r="J2151" s="420"/>
      <c r="K2151" s="421">
        <f t="shared" si="549"/>
        <v>0</v>
      </c>
      <c r="L2151" s="647"/>
      <c r="M2151" s="723"/>
      <c r="N2151" s="576">
        <f t="shared" si="559"/>
        <v>0</v>
      </c>
      <c r="O2151" s="577">
        <f t="shared" si="552"/>
        <v>0</v>
      </c>
      <c r="P2151" s="578">
        <f t="shared" si="553"/>
        <v>0</v>
      </c>
      <c r="Q2151" s="765"/>
      <c r="R2151" s="723"/>
      <c r="S2151" s="723"/>
      <c r="T2151" s="577">
        <f t="shared" si="550"/>
        <v>0</v>
      </c>
      <c r="U2151" s="578">
        <f t="shared" si="551"/>
        <v>0</v>
      </c>
      <c r="V2151" s="579"/>
      <c r="W2151" s="566" t="str">
        <f>IF(U2148&gt;0,"xx",IF(P2148&gt;0,"xy",""))</f>
        <v/>
      </c>
      <c r="X2151" s="586" t="str">
        <f t="shared" si="556"/>
        <v/>
      </c>
      <c r="Y2151" s="586" t="str">
        <f t="shared" si="531"/>
        <v/>
      </c>
      <c r="Z2151" s="586" t="str">
        <f t="shared" si="542"/>
        <v/>
      </c>
    </row>
    <row r="2152" spans="1:26" ht="12" hidden="1" thickBot="1" x14ac:dyDescent="0.25">
      <c r="A2152" s="567" t="s">
        <v>168</v>
      </c>
      <c r="B2152" s="644" t="s">
        <v>168</v>
      </c>
      <c r="C2152" s="645"/>
      <c r="D2152" s="422" t="s">
        <v>347</v>
      </c>
      <c r="E2152" s="423"/>
      <c r="F2152" s="424">
        <v>20</v>
      </c>
      <c r="G2152" s="425">
        <v>1.44</v>
      </c>
      <c r="H2152" s="663">
        <f t="shared" si="563"/>
        <v>34.675200000000004</v>
      </c>
      <c r="I2152" s="420"/>
      <c r="J2152" s="420"/>
      <c r="K2152" s="421">
        <f t="shared" si="549"/>
        <v>0</v>
      </c>
      <c r="L2152" s="647"/>
      <c r="M2152" s="723"/>
      <c r="N2152" s="576">
        <f t="shared" si="559"/>
        <v>0</v>
      </c>
      <c r="O2152" s="577">
        <f t="shared" si="552"/>
        <v>0</v>
      </c>
      <c r="P2152" s="578">
        <f t="shared" si="553"/>
        <v>0</v>
      </c>
      <c r="Q2152" s="765"/>
      <c r="R2152" s="723"/>
      <c r="S2152" s="723"/>
      <c r="T2152" s="577">
        <f t="shared" si="550"/>
        <v>0</v>
      </c>
      <c r="U2152" s="578">
        <f t="shared" si="551"/>
        <v>0</v>
      </c>
      <c r="V2152" s="579"/>
      <c r="W2152" s="566" t="str">
        <f>IF(U2148&gt;0,"xx",IF(P2148&gt;0,"xy",""))</f>
        <v/>
      </c>
      <c r="X2152" s="586" t="str">
        <f t="shared" si="556"/>
        <v/>
      </c>
      <c r="Y2152" s="586" t="str">
        <f t="shared" si="531"/>
        <v/>
      </c>
      <c r="Z2152" s="586" t="str">
        <f t="shared" ref="Z2152:Z2215" si="564">IF(W2152="X","x",IF(U2152&gt;0,"x",""))</f>
        <v/>
      </c>
    </row>
    <row r="2153" spans="1:26" ht="12" hidden="1" thickBot="1" x14ac:dyDescent="0.25">
      <c r="A2153" s="567">
        <v>611500</v>
      </c>
      <c r="B2153" s="644" t="s">
        <v>1701</v>
      </c>
      <c r="C2153" s="645" t="s">
        <v>206</v>
      </c>
      <c r="D2153" s="422" t="s">
        <v>397</v>
      </c>
      <c r="E2153" s="423"/>
      <c r="F2153" s="424"/>
      <c r="G2153" s="425"/>
      <c r="H2153" s="651">
        <f>SUM(H2154:H2157)</f>
        <v>274.56131600000003</v>
      </c>
      <c r="I2153" s="420">
        <v>1721.3</v>
      </c>
      <c r="J2153" s="420">
        <f>IF(ISBLANK(I2153),"",SUM(H2153:I2153))</f>
        <v>1995.861316</v>
      </c>
      <c r="K2153" s="421">
        <f t="shared" si="549"/>
        <v>2371.2800000000002</v>
      </c>
      <c r="L2153" s="647" t="s">
        <v>19</v>
      </c>
      <c r="M2153" s="576"/>
      <c r="N2153" s="576">
        <f t="shared" si="559"/>
        <v>0</v>
      </c>
      <c r="O2153" s="577">
        <f t="shared" si="552"/>
        <v>0</v>
      </c>
      <c r="P2153" s="578">
        <f t="shared" si="553"/>
        <v>0</v>
      </c>
      <c r="Q2153" s="765"/>
      <c r="R2153" s="576">
        <f>M2153</f>
        <v>0</v>
      </c>
      <c r="S2153" s="576">
        <f>N2153</f>
        <v>0</v>
      </c>
      <c r="T2153" s="577">
        <f t="shared" si="550"/>
        <v>0</v>
      </c>
      <c r="U2153" s="578">
        <f t="shared" si="551"/>
        <v>0</v>
      </c>
      <c r="V2153" s="579"/>
      <c r="W2153" s="566"/>
      <c r="X2153" s="586" t="str">
        <f t="shared" si="556"/>
        <v/>
      </c>
      <c r="Y2153" s="586" t="str">
        <f t="shared" si="531"/>
        <v/>
      </c>
      <c r="Z2153" s="586" t="str">
        <f t="shared" si="564"/>
        <v/>
      </c>
    </row>
    <row r="2154" spans="1:26" ht="12" hidden="1" thickBot="1" x14ac:dyDescent="0.25">
      <c r="A2154" s="567" t="s">
        <v>168</v>
      </c>
      <c r="B2154" s="644" t="s">
        <v>168</v>
      </c>
      <c r="C2154" s="645"/>
      <c r="D2154" s="422" t="s">
        <v>212</v>
      </c>
      <c r="E2154" s="423"/>
      <c r="F2154" s="424">
        <v>500</v>
      </c>
      <c r="G2154" s="425">
        <v>0.187</v>
      </c>
      <c r="H2154" s="649">
        <f>IF(F2154&lt;=30,(0.78*F2154+7.82)*G2154,((0.78*30+7.82)+0.78*(F2154-30))*G2154)</f>
        <v>74.392340000000004</v>
      </c>
      <c r="I2154" s="420"/>
      <c r="J2154" s="420"/>
      <c r="K2154" s="421">
        <f t="shared" si="549"/>
        <v>0</v>
      </c>
      <c r="L2154" s="647"/>
      <c r="M2154" s="723"/>
      <c r="N2154" s="576">
        <f t="shared" si="559"/>
        <v>0</v>
      </c>
      <c r="O2154" s="577">
        <f t="shared" si="552"/>
        <v>0</v>
      </c>
      <c r="P2154" s="578">
        <f t="shared" si="553"/>
        <v>0</v>
      </c>
      <c r="Q2154" s="765"/>
      <c r="R2154" s="723"/>
      <c r="S2154" s="723"/>
      <c r="T2154" s="577">
        <f t="shared" si="550"/>
        <v>0</v>
      </c>
      <c r="U2154" s="578">
        <f t="shared" si="551"/>
        <v>0</v>
      </c>
      <c r="V2154" s="579"/>
      <c r="W2154" s="566" t="str">
        <f>IF(U2153&gt;0,"xx",IF(P2153&gt;0,"xy",""))</f>
        <v/>
      </c>
      <c r="X2154" s="586" t="str">
        <f t="shared" si="556"/>
        <v/>
      </c>
      <c r="Y2154" s="586" t="str">
        <f t="shared" si="531"/>
        <v/>
      </c>
      <c r="Z2154" s="586" t="str">
        <f t="shared" si="564"/>
        <v/>
      </c>
    </row>
    <row r="2155" spans="1:26" ht="12" hidden="1" thickBot="1" x14ac:dyDescent="0.25">
      <c r="A2155" s="567" t="s">
        <v>168</v>
      </c>
      <c r="B2155" s="644" t="s">
        <v>168</v>
      </c>
      <c r="C2155" s="645"/>
      <c r="D2155" s="422" t="s">
        <v>248</v>
      </c>
      <c r="E2155" s="423"/>
      <c r="F2155" s="424">
        <v>180</v>
      </c>
      <c r="G2155" s="425">
        <v>0.67830000000000001</v>
      </c>
      <c r="H2155" s="663">
        <f t="shared" ref="H2155:H2157" si="565">IF(F2155&lt;=30,(1.07*F2155+2.68)*G2155,((1.07*30+2.68)+1.07*(F2155-30))*G2155)</f>
        <v>132.45842400000001</v>
      </c>
      <c r="I2155" s="420"/>
      <c r="J2155" s="420"/>
      <c r="K2155" s="421">
        <f t="shared" si="549"/>
        <v>0</v>
      </c>
      <c r="L2155" s="647"/>
      <c r="M2155" s="723"/>
      <c r="N2155" s="576">
        <f t="shared" si="559"/>
        <v>0</v>
      </c>
      <c r="O2155" s="577">
        <f t="shared" si="552"/>
        <v>0</v>
      </c>
      <c r="P2155" s="578">
        <f t="shared" si="553"/>
        <v>0</v>
      </c>
      <c r="Q2155" s="765"/>
      <c r="R2155" s="723"/>
      <c r="S2155" s="723"/>
      <c r="T2155" s="577">
        <f t="shared" si="550"/>
        <v>0</v>
      </c>
      <c r="U2155" s="578">
        <f t="shared" si="551"/>
        <v>0</v>
      </c>
      <c r="V2155" s="579"/>
      <c r="W2155" s="566" t="str">
        <f>IF(U2153&gt;0,"xx",IF(P2153&gt;0,"xy",""))</f>
        <v/>
      </c>
      <c r="X2155" s="586" t="str">
        <f t="shared" si="556"/>
        <v/>
      </c>
      <c r="Y2155" s="586" t="str">
        <f t="shared" si="531"/>
        <v/>
      </c>
      <c r="Z2155" s="586" t="str">
        <f t="shared" si="564"/>
        <v/>
      </c>
    </row>
    <row r="2156" spans="1:26" ht="12" hidden="1" thickBot="1" x14ac:dyDescent="0.25">
      <c r="A2156" s="567" t="s">
        <v>168</v>
      </c>
      <c r="B2156" s="644" t="s">
        <v>168</v>
      </c>
      <c r="C2156" s="645"/>
      <c r="D2156" s="422" t="s">
        <v>252</v>
      </c>
      <c r="E2156" s="423"/>
      <c r="F2156" s="424">
        <v>20</v>
      </c>
      <c r="G2156" s="425">
        <v>1.1618999999999999</v>
      </c>
      <c r="H2156" s="663">
        <f t="shared" si="565"/>
        <v>27.978552000000001</v>
      </c>
      <c r="I2156" s="420"/>
      <c r="J2156" s="420"/>
      <c r="K2156" s="421">
        <f t="shared" si="549"/>
        <v>0</v>
      </c>
      <c r="L2156" s="647"/>
      <c r="M2156" s="723"/>
      <c r="N2156" s="576">
        <f t="shared" si="559"/>
        <v>0</v>
      </c>
      <c r="O2156" s="577">
        <f t="shared" si="552"/>
        <v>0</v>
      </c>
      <c r="P2156" s="578">
        <f t="shared" si="553"/>
        <v>0</v>
      </c>
      <c r="Q2156" s="765"/>
      <c r="R2156" s="723"/>
      <c r="S2156" s="723"/>
      <c r="T2156" s="577">
        <f t="shared" si="550"/>
        <v>0</v>
      </c>
      <c r="U2156" s="578">
        <f t="shared" si="551"/>
        <v>0</v>
      </c>
      <c r="V2156" s="579"/>
      <c r="W2156" s="566" t="str">
        <f>IF(U2153&gt;0,"xx",IF(P2153&gt;0,"xy",""))</f>
        <v/>
      </c>
      <c r="X2156" s="586" t="str">
        <f t="shared" si="556"/>
        <v/>
      </c>
      <c r="Y2156" s="586" t="str">
        <f t="shared" si="531"/>
        <v/>
      </c>
      <c r="Z2156" s="586" t="str">
        <f t="shared" si="564"/>
        <v/>
      </c>
    </row>
    <row r="2157" spans="1:26" ht="12" hidden="1" thickBot="1" x14ac:dyDescent="0.25">
      <c r="A2157" s="567" t="s">
        <v>168</v>
      </c>
      <c r="B2157" s="644" t="s">
        <v>168</v>
      </c>
      <c r="C2157" s="645"/>
      <c r="D2157" s="422" t="s">
        <v>347</v>
      </c>
      <c r="E2157" s="423"/>
      <c r="F2157" s="424">
        <v>20</v>
      </c>
      <c r="G2157" s="425">
        <v>1.65</v>
      </c>
      <c r="H2157" s="663">
        <f t="shared" si="565"/>
        <v>39.731999999999999</v>
      </c>
      <c r="I2157" s="420"/>
      <c r="J2157" s="420"/>
      <c r="K2157" s="421">
        <f t="shared" si="549"/>
        <v>0</v>
      </c>
      <c r="L2157" s="647"/>
      <c r="M2157" s="723"/>
      <c r="N2157" s="576">
        <f t="shared" si="559"/>
        <v>0</v>
      </c>
      <c r="O2157" s="577">
        <f t="shared" si="552"/>
        <v>0</v>
      </c>
      <c r="P2157" s="578">
        <f t="shared" si="553"/>
        <v>0</v>
      </c>
      <c r="Q2157" s="765"/>
      <c r="R2157" s="723"/>
      <c r="S2157" s="723"/>
      <c r="T2157" s="577">
        <f t="shared" si="550"/>
        <v>0</v>
      </c>
      <c r="U2157" s="578">
        <f t="shared" si="551"/>
        <v>0</v>
      </c>
      <c r="V2157" s="579"/>
      <c r="W2157" s="566" t="str">
        <f>IF(U2153&gt;0,"xx",IF(P2153&gt;0,"xy",""))</f>
        <v/>
      </c>
      <c r="X2157" s="586" t="str">
        <f t="shared" si="556"/>
        <v/>
      </c>
      <c r="Y2157" s="586" t="str">
        <f t="shared" si="531"/>
        <v/>
      </c>
      <c r="Z2157" s="586" t="str">
        <f t="shared" si="564"/>
        <v/>
      </c>
    </row>
    <row r="2158" spans="1:26" ht="12" hidden="1" thickBot="1" x14ac:dyDescent="0.25">
      <c r="A2158" s="567">
        <v>611500</v>
      </c>
      <c r="B2158" s="644" t="s">
        <v>1702</v>
      </c>
      <c r="C2158" s="645" t="s">
        <v>206</v>
      </c>
      <c r="D2158" s="422" t="s">
        <v>398</v>
      </c>
      <c r="E2158" s="423"/>
      <c r="F2158" s="424"/>
      <c r="G2158" s="425"/>
      <c r="H2158" s="651">
        <f>SUM(H2159:H2162)</f>
        <v>377.75290999999999</v>
      </c>
      <c r="I2158" s="420">
        <v>2241.7736</v>
      </c>
      <c r="J2158" s="420">
        <f>IF(ISBLANK(I2158),"",SUM(H2158:I2158))</f>
        <v>2619.5265100000001</v>
      </c>
      <c r="K2158" s="421">
        <f t="shared" si="549"/>
        <v>3112.26</v>
      </c>
      <c r="L2158" s="647" t="s">
        <v>19</v>
      </c>
      <c r="M2158" s="576"/>
      <c r="N2158" s="576">
        <f t="shared" si="559"/>
        <v>0</v>
      </c>
      <c r="O2158" s="577">
        <f t="shared" si="552"/>
        <v>0</v>
      </c>
      <c r="P2158" s="578">
        <f t="shared" si="553"/>
        <v>0</v>
      </c>
      <c r="Q2158" s="765"/>
      <c r="R2158" s="576">
        <f>M2158</f>
        <v>0</v>
      </c>
      <c r="S2158" s="576">
        <f>N2158</f>
        <v>0</v>
      </c>
      <c r="T2158" s="577">
        <f t="shared" si="550"/>
        <v>0</v>
      </c>
      <c r="U2158" s="578">
        <f t="shared" si="551"/>
        <v>0</v>
      </c>
      <c r="V2158" s="579"/>
      <c r="W2158" s="566"/>
      <c r="X2158" s="586" t="str">
        <f t="shared" si="556"/>
        <v/>
      </c>
      <c r="Y2158" s="586" t="str">
        <f t="shared" si="531"/>
        <v/>
      </c>
      <c r="Z2158" s="586" t="str">
        <f t="shared" si="564"/>
        <v/>
      </c>
    </row>
    <row r="2159" spans="1:26" ht="12" hidden="1" thickBot="1" x14ac:dyDescent="0.25">
      <c r="A2159" s="567" t="s">
        <v>168</v>
      </c>
      <c r="B2159" s="644" t="s">
        <v>168</v>
      </c>
      <c r="C2159" s="645"/>
      <c r="D2159" s="422" t="s">
        <v>212</v>
      </c>
      <c r="E2159" s="423"/>
      <c r="F2159" s="424">
        <v>500</v>
      </c>
      <c r="G2159" s="425">
        <v>0.27410000000000001</v>
      </c>
      <c r="H2159" s="649">
        <f>IF(F2159&lt;=30,(0.78*F2159+7.82)*G2159,((0.78*30+7.82)+0.78*(F2159-30))*G2159)</f>
        <v>109.04246200000001</v>
      </c>
      <c r="I2159" s="420"/>
      <c r="J2159" s="420"/>
      <c r="K2159" s="421">
        <f t="shared" si="549"/>
        <v>0</v>
      </c>
      <c r="L2159" s="647"/>
      <c r="M2159" s="723"/>
      <c r="N2159" s="576">
        <f t="shared" si="559"/>
        <v>0</v>
      </c>
      <c r="O2159" s="577">
        <f t="shared" si="552"/>
        <v>0</v>
      </c>
      <c r="P2159" s="578">
        <f t="shared" si="553"/>
        <v>0</v>
      </c>
      <c r="Q2159" s="765"/>
      <c r="R2159" s="723"/>
      <c r="S2159" s="723"/>
      <c r="T2159" s="577">
        <f t="shared" si="550"/>
        <v>0</v>
      </c>
      <c r="U2159" s="578">
        <f t="shared" si="551"/>
        <v>0</v>
      </c>
      <c r="V2159" s="579"/>
      <c r="W2159" s="566" t="str">
        <f>IF(U2158&gt;0,"xx",IF(P2158&gt;0,"xy",""))</f>
        <v/>
      </c>
      <c r="X2159" s="586" t="str">
        <f t="shared" si="556"/>
        <v/>
      </c>
      <c r="Y2159" s="586" t="str">
        <f t="shared" si="531"/>
        <v/>
      </c>
      <c r="Z2159" s="586" t="str">
        <f t="shared" si="564"/>
        <v/>
      </c>
    </row>
    <row r="2160" spans="1:26" ht="12" hidden="1" thickBot="1" x14ac:dyDescent="0.25">
      <c r="A2160" s="567" t="s">
        <v>168</v>
      </c>
      <c r="B2160" s="644" t="s">
        <v>168</v>
      </c>
      <c r="C2160" s="645"/>
      <c r="D2160" s="422" t="s">
        <v>248</v>
      </c>
      <c r="E2160" s="423"/>
      <c r="F2160" s="424">
        <v>180</v>
      </c>
      <c r="G2160" s="425">
        <v>0.9748</v>
      </c>
      <c r="H2160" s="663">
        <f t="shared" ref="H2160:H2162" si="566">IF(F2160&lt;=30,(1.07*F2160+2.68)*G2160,((1.07*30+2.68)+1.07*(F2160-30))*G2160)</f>
        <v>190.35894400000001</v>
      </c>
      <c r="I2160" s="420"/>
      <c r="J2160" s="420"/>
      <c r="K2160" s="421">
        <f t="shared" si="549"/>
        <v>0</v>
      </c>
      <c r="L2160" s="647"/>
      <c r="M2160" s="723"/>
      <c r="N2160" s="576">
        <f t="shared" si="559"/>
        <v>0</v>
      </c>
      <c r="O2160" s="577">
        <f t="shared" si="552"/>
        <v>0</v>
      </c>
      <c r="P2160" s="578">
        <f t="shared" si="553"/>
        <v>0</v>
      </c>
      <c r="Q2160" s="765"/>
      <c r="R2160" s="723"/>
      <c r="S2160" s="723"/>
      <c r="T2160" s="577">
        <f t="shared" si="550"/>
        <v>0</v>
      </c>
      <c r="U2160" s="578">
        <f t="shared" si="551"/>
        <v>0</v>
      </c>
      <c r="V2160" s="579"/>
      <c r="W2160" s="566" t="str">
        <f>IF(U2158&gt;0,"xx",IF(P2158&gt;0,"xy",""))</f>
        <v/>
      </c>
      <c r="X2160" s="586" t="str">
        <f t="shared" si="556"/>
        <v/>
      </c>
      <c r="Y2160" s="586" t="str">
        <f t="shared" si="531"/>
        <v/>
      </c>
      <c r="Z2160" s="586" t="str">
        <f t="shared" si="564"/>
        <v/>
      </c>
    </row>
    <row r="2161" spans="1:26" ht="12" hidden="1" thickBot="1" x14ac:dyDescent="0.25">
      <c r="A2161" s="567" t="s">
        <v>168</v>
      </c>
      <c r="B2161" s="644" t="s">
        <v>168</v>
      </c>
      <c r="C2161" s="645"/>
      <c r="D2161" s="422" t="s">
        <v>252</v>
      </c>
      <c r="E2161" s="423"/>
      <c r="F2161" s="424">
        <v>20</v>
      </c>
      <c r="G2161" s="425">
        <v>2.2538</v>
      </c>
      <c r="H2161" s="663">
        <f t="shared" si="566"/>
        <v>54.271504000000007</v>
      </c>
      <c r="I2161" s="420"/>
      <c r="J2161" s="420"/>
      <c r="K2161" s="421">
        <f t="shared" si="549"/>
        <v>0</v>
      </c>
      <c r="L2161" s="647"/>
      <c r="M2161" s="723"/>
      <c r="N2161" s="576">
        <f t="shared" si="559"/>
        <v>0</v>
      </c>
      <c r="O2161" s="577">
        <f t="shared" si="552"/>
        <v>0</v>
      </c>
      <c r="P2161" s="578">
        <f t="shared" si="553"/>
        <v>0</v>
      </c>
      <c r="Q2161" s="765"/>
      <c r="R2161" s="723"/>
      <c r="S2161" s="723"/>
      <c r="T2161" s="577">
        <f t="shared" si="550"/>
        <v>0</v>
      </c>
      <c r="U2161" s="578">
        <f t="shared" si="551"/>
        <v>0</v>
      </c>
      <c r="V2161" s="579"/>
      <c r="W2161" s="566" t="str">
        <f>IF(U2158&gt;0,"xx",IF(P2158&gt;0,"xy",""))</f>
        <v/>
      </c>
      <c r="X2161" s="586" t="str">
        <f t="shared" si="556"/>
        <v/>
      </c>
      <c r="Y2161" s="586" t="str">
        <f t="shared" si="531"/>
        <v/>
      </c>
      <c r="Z2161" s="586" t="str">
        <f t="shared" si="564"/>
        <v/>
      </c>
    </row>
    <row r="2162" spans="1:26" ht="12" hidden="1" thickBot="1" x14ac:dyDescent="0.25">
      <c r="A2162" s="567" t="s">
        <v>168</v>
      </c>
      <c r="B2162" s="644" t="s">
        <v>168</v>
      </c>
      <c r="C2162" s="645"/>
      <c r="D2162" s="422" t="s">
        <v>347</v>
      </c>
      <c r="E2162" s="423"/>
      <c r="F2162" s="424">
        <v>20</v>
      </c>
      <c r="G2162" s="425">
        <v>1</v>
      </c>
      <c r="H2162" s="663">
        <f t="shared" si="566"/>
        <v>24.080000000000002</v>
      </c>
      <c r="I2162" s="420"/>
      <c r="J2162" s="420"/>
      <c r="K2162" s="421">
        <f t="shared" si="549"/>
        <v>0</v>
      </c>
      <c r="L2162" s="647"/>
      <c r="M2162" s="723"/>
      <c r="N2162" s="576">
        <f t="shared" si="559"/>
        <v>0</v>
      </c>
      <c r="O2162" s="577">
        <f t="shared" si="552"/>
        <v>0</v>
      </c>
      <c r="P2162" s="578">
        <f t="shared" si="553"/>
        <v>0</v>
      </c>
      <c r="Q2162" s="765"/>
      <c r="R2162" s="723"/>
      <c r="S2162" s="723"/>
      <c r="T2162" s="577">
        <f t="shared" si="550"/>
        <v>0</v>
      </c>
      <c r="U2162" s="578">
        <f t="shared" si="551"/>
        <v>0</v>
      </c>
      <c r="V2162" s="579"/>
      <c r="W2162" s="566" t="str">
        <f>IF(U2158&gt;0,"xx",IF(P2158&gt;0,"xy",""))</f>
        <v/>
      </c>
      <c r="X2162" s="586" t="str">
        <f t="shared" si="556"/>
        <v/>
      </c>
      <c r="Y2162" s="586" t="str">
        <f t="shared" si="531"/>
        <v/>
      </c>
      <c r="Z2162" s="586" t="str">
        <f t="shared" si="564"/>
        <v/>
      </c>
    </row>
    <row r="2163" spans="1:26" ht="12" hidden="1" thickBot="1" x14ac:dyDescent="0.25">
      <c r="A2163" s="567">
        <v>611700</v>
      </c>
      <c r="B2163" s="644">
        <v>611700</v>
      </c>
      <c r="C2163" s="645" t="s">
        <v>206</v>
      </c>
      <c r="D2163" s="422" t="s">
        <v>399</v>
      </c>
      <c r="E2163" s="423"/>
      <c r="F2163" s="424"/>
      <c r="G2163" s="425"/>
      <c r="H2163" s="651">
        <f>SUM(H2164:H2167)</f>
        <v>435.66670800000003</v>
      </c>
      <c r="I2163" s="420">
        <v>3347.7799999999997</v>
      </c>
      <c r="J2163" s="420">
        <f>IF(ISBLANK(I2163),"",SUM(H2163:I2163))</f>
        <v>3783.4467079999999</v>
      </c>
      <c r="K2163" s="421">
        <f t="shared" si="549"/>
        <v>4495.1099999999997</v>
      </c>
      <c r="L2163" s="647" t="s">
        <v>19</v>
      </c>
      <c r="M2163" s="576"/>
      <c r="N2163" s="576">
        <f t="shared" si="559"/>
        <v>0</v>
      </c>
      <c r="O2163" s="577">
        <f t="shared" si="552"/>
        <v>0</v>
      </c>
      <c r="P2163" s="578">
        <f t="shared" si="553"/>
        <v>0</v>
      </c>
      <c r="Q2163" s="765"/>
      <c r="R2163" s="576">
        <f>M2163</f>
        <v>0</v>
      </c>
      <c r="S2163" s="576">
        <f>N2163</f>
        <v>0</v>
      </c>
      <c r="T2163" s="577">
        <f t="shared" si="550"/>
        <v>0</v>
      </c>
      <c r="U2163" s="578">
        <f t="shared" si="551"/>
        <v>0</v>
      </c>
      <c r="V2163" s="579"/>
      <c r="W2163" s="566"/>
      <c r="X2163" s="586" t="str">
        <f t="shared" si="556"/>
        <v/>
      </c>
      <c r="Y2163" s="586" t="str">
        <f t="shared" si="531"/>
        <v/>
      </c>
      <c r="Z2163" s="586" t="str">
        <f t="shared" si="564"/>
        <v/>
      </c>
    </row>
    <row r="2164" spans="1:26" ht="12" hidden="1" thickBot="1" x14ac:dyDescent="0.25">
      <c r="A2164" s="567" t="s">
        <v>168</v>
      </c>
      <c r="B2164" s="644" t="s">
        <v>168</v>
      </c>
      <c r="C2164" s="645"/>
      <c r="D2164" s="422" t="s">
        <v>212</v>
      </c>
      <c r="E2164" s="423"/>
      <c r="F2164" s="424">
        <v>500</v>
      </c>
      <c r="G2164" s="425">
        <v>0.30620000000000003</v>
      </c>
      <c r="H2164" s="649">
        <f>IF(F2164&lt;=30,(0.78*F2164+7.82)*G2164,((0.78*30+7.82)+0.78*(F2164-30))*G2164)</f>
        <v>121.81248400000003</v>
      </c>
      <c r="I2164" s="420"/>
      <c r="J2164" s="420"/>
      <c r="K2164" s="421">
        <f t="shared" si="549"/>
        <v>0</v>
      </c>
      <c r="L2164" s="647"/>
      <c r="M2164" s="723"/>
      <c r="N2164" s="576">
        <f t="shared" si="559"/>
        <v>0</v>
      </c>
      <c r="O2164" s="577">
        <f t="shared" si="552"/>
        <v>0</v>
      </c>
      <c r="P2164" s="578">
        <f t="shared" si="553"/>
        <v>0</v>
      </c>
      <c r="Q2164" s="765"/>
      <c r="R2164" s="723"/>
      <c r="S2164" s="723"/>
      <c r="T2164" s="577">
        <f t="shared" si="550"/>
        <v>0</v>
      </c>
      <c r="U2164" s="578">
        <f t="shared" si="551"/>
        <v>0</v>
      </c>
      <c r="V2164" s="579"/>
      <c r="W2164" s="566" t="str">
        <f>IF(U2163&gt;0,"xx",IF(P2163&gt;0,"xy",""))</f>
        <v/>
      </c>
      <c r="X2164" s="586" t="str">
        <f t="shared" si="556"/>
        <v/>
      </c>
      <c r="Y2164" s="586" t="str">
        <f t="shared" si="531"/>
        <v/>
      </c>
      <c r="Z2164" s="586" t="str">
        <f t="shared" si="564"/>
        <v/>
      </c>
    </row>
    <row r="2165" spans="1:26" ht="12" hidden="1" thickBot="1" x14ac:dyDescent="0.25">
      <c r="A2165" s="567" t="s">
        <v>168</v>
      </c>
      <c r="B2165" s="644" t="s">
        <v>168</v>
      </c>
      <c r="C2165" s="645"/>
      <c r="D2165" s="422" t="s">
        <v>248</v>
      </c>
      <c r="E2165" s="423"/>
      <c r="F2165" s="424">
        <v>180</v>
      </c>
      <c r="G2165" s="425">
        <v>1.1047</v>
      </c>
      <c r="H2165" s="663">
        <f t="shared" ref="H2165:H2167" si="567">IF(F2165&lt;=30,(1.07*F2165+2.68)*G2165,((1.07*30+2.68)+1.07*(F2165-30))*G2165)</f>
        <v>215.72581600000001</v>
      </c>
      <c r="I2165" s="420"/>
      <c r="J2165" s="420"/>
      <c r="K2165" s="421">
        <f t="shared" si="549"/>
        <v>0</v>
      </c>
      <c r="L2165" s="647"/>
      <c r="M2165" s="723"/>
      <c r="N2165" s="576">
        <f t="shared" si="559"/>
        <v>0</v>
      </c>
      <c r="O2165" s="577">
        <f t="shared" si="552"/>
        <v>0</v>
      </c>
      <c r="P2165" s="578">
        <f t="shared" si="553"/>
        <v>0</v>
      </c>
      <c r="Q2165" s="765"/>
      <c r="R2165" s="723"/>
      <c r="S2165" s="723"/>
      <c r="T2165" s="577">
        <f t="shared" si="550"/>
        <v>0</v>
      </c>
      <c r="U2165" s="578">
        <f t="shared" si="551"/>
        <v>0</v>
      </c>
      <c r="V2165" s="579"/>
      <c r="W2165" s="566" t="str">
        <f>IF(U2163&gt;0,"xx",IF(P2163&gt;0,"xy",""))</f>
        <v/>
      </c>
      <c r="X2165" s="586" t="str">
        <f t="shared" si="556"/>
        <v/>
      </c>
      <c r="Y2165" s="586" t="str">
        <f t="shared" si="531"/>
        <v/>
      </c>
      <c r="Z2165" s="586" t="str">
        <f t="shared" si="564"/>
        <v/>
      </c>
    </row>
    <row r="2166" spans="1:26" ht="12" hidden="1" thickBot="1" x14ac:dyDescent="0.25">
      <c r="A2166" s="567" t="s">
        <v>168</v>
      </c>
      <c r="B2166" s="644" t="s">
        <v>168</v>
      </c>
      <c r="C2166" s="645"/>
      <c r="D2166" s="422" t="s">
        <v>252</v>
      </c>
      <c r="E2166" s="423"/>
      <c r="F2166" s="424">
        <v>20</v>
      </c>
      <c r="G2166" s="425">
        <v>1.9251</v>
      </c>
      <c r="H2166" s="663">
        <f t="shared" si="567"/>
        <v>46.356408000000002</v>
      </c>
      <c r="I2166" s="420"/>
      <c r="J2166" s="420"/>
      <c r="K2166" s="421">
        <f t="shared" si="549"/>
        <v>0</v>
      </c>
      <c r="L2166" s="647"/>
      <c r="M2166" s="723"/>
      <c r="N2166" s="576">
        <f t="shared" si="559"/>
        <v>0</v>
      </c>
      <c r="O2166" s="577">
        <f t="shared" si="552"/>
        <v>0</v>
      </c>
      <c r="P2166" s="578">
        <f t="shared" si="553"/>
        <v>0</v>
      </c>
      <c r="Q2166" s="765"/>
      <c r="R2166" s="723"/>
      <c r="S2166" s="723"/>
      <c r="T2166" s="577">
        <f t="shared" si="550"/>
        <v>0</v>
      </c>
      <c r="U2166" s="578">
        <f t="shared" si="551"/>
        <v>0</v>
      </c>
      <c r="V2166" s="579"/>
      <c r="W2166" s="566" t="str">
        <f>IF(U2163&gt;0,"xx",IF(P2163&gt;0,"xy",""))</f>
        <v/>
      </c>
      <c r="X2166" s="586" t="str">
        <f t="shared" si="556"/>
        <v/>
      </c>
      <c r="Y2166" s="586" t="str">
        <f t="shared" si="531"/>
        <v/>
      </c>
      <c r="Z2166" s="586" t="str">
        <f t="shared" si="564"/>
        <v/>
      </c>
    </row>
    <row r="2167" spans="1:26" ht="12" hidden="1" thickBot="1" x14ac:dyDescent="0.25">
      <c r="A2167" s="567" t="s">
        <v>168</v>
      </c>
      <c r="B2167" s="644" t="s">
        <v>168</v>
      </c>
      <c r="C2167" s="645"/>
      <c r="D2167" s="422" t="s">
        <v>347</v>
      </c>
      <c r="E2167" s="423"/>
      <c r="F2167" s="424">
        <v>20</v>
      </c>
      <c r="G2167" s="425">
        <v>2.15</v>
      </c>
      <c r="H2167" s="663">
        <f t="shared" si="567"/>
        <v>51.771999999999998</v>
      </c>
      <c r="I2167" s="420"/>
      <c r="J2167" s="420"/>
      <c r="K2167" s="421">
        <f t="shared" si="549"/>
        <v>0</v>
      </c>
      <c r="L2167" s="647"/>
      <c r="M2167" s="723"/>
      <c r="N2167" s="576">
        <f t="shared" si="559"/>
        <v>0</v>
      </c>
      <c r="O2167" s="577">
        <f t="shared" si="552"/>
        <v>0</v>
      </c>
      <c r="P2167" s="578">
        <f t="shared" si="553"/>
        <v>0</v>
      </c>
      <c r="Q2167" s="765"/>
      <c r="R2167" s="723"/>
      <c r="S2167" s="723"/>
      <c r="T2167" s="577">
        <f t="shared" si="550"/>
        <v>0</v>
      </c>
      <c r="U2167" s="578">
        <f t="shared" si="551"/>
        <v>0</v>
      </c>
      <c r="V2167" s="579"/>
      <c r="W2167" s="566" t="str">
        <f>IF(U2163&gt;0,"xx",IF(P2163&gt;0,"xy",""))</f>
        <v/>
      </c>
      <c r="X2167" s="586" t="str">
        <f t="shared" si="556"/>
        <v/>
      </c>
      <c r="Y2167" s="586" t="str">
        <f t="shared" si="531"/>
        <v/>
      </c>
      <c r="Z2167" s="586" t="str">
        <f t="shared" si="564"/>
        <v/>
      </c>
    </row>
    <row r="2168" spans="1:26" ht="12" hidden="1" thickBot="1" x14ac:dyDescent="0.25">
      <c r="A2168" s="567" t="s">
        <v>24</v>
      </c>
      <c r="B2168" s="644" t="s">
        <v>24</v>
      </c>
      <c r="C2168" s="645" t="s">
        <v>206</v>
      </c>
      <c r="D2168" s="422" t="s">
        <v>69</v>
      </c>
      <c r="E2168" s="423"/>
      <c r="F2168" s="424"/>
      <c r="G2168" s="425"/>
      <c r="H2168" s="651">
        <f>SUM(H2169:H2173)</f>
        <v>214.58049988800002</v>
      </c>
      <c r="I2168" s="420">
        <f>VLOOKUP(D2168,'[2]ENSAIOS DE ORÇAMENTO'!$C$3:$L$79,8,FALSE)</f>
        <v>1382.6843920000001</v>
      </c>
      <c r="J2168" s="420">
        <f>IF(ISBLANK(I2168),"",SUM(H2168:I2168))</f>
        <v>1597.2648918880002</v>
      </c>
      <c r="K2168" s="421">
        <f t="shared" si="549"/>
        <v>1897.71</v>
      </c>
      <c r="L2168" s="647" t="s">
        <v>21</v>
      </c>
      <c r="M2168" s="576"/>
      <c r="N2168" s="576">
        <f t="shared" si="559"/>
        <v>0</v>
      </c>
      <c r="O2168" s="577">
        <f t="shared" si="552"/>
        <v>0</v>
      </c>
      <c r="P2168" s="578">
        <f t="shared" si="553"/>
        <v>0</v>
      </c>
      <c r="Q2168" s="765"/>
      <c r="R2168" s="576">
        <f>M2168</f>
        <v>0</v>
      </c>
      <c r="S2168" s="576">
        <f>N2168</f>
        <v>0</v>
      </c>
      <c r="T2168" s="577">
        <f t="shared" si="550"/>
        <v>0</v>
      </c>
      <c r="U2168" s="578">
        <f t="shared" si="551"/>
        <v>0</v>
      </c>
      <c r="V2168" s="579"/>
      <c r="W2168" s="566"/>
      <c r="X2168" s="586" t="str">
        <f t="shared" si="556"/>
        <v/>
      </c>
      <c r="Y2168" s="586" t="str">
        <f t="shared" si="531"/>
        <v/>
      </c>
      <c r="Z2168" s="586" t="str">
        <f t="shared" si="564"/>
        <v/>
      </c>
    </row>
    <row r="2169" spans="1:26" ht="12" hidden="1" thickBot="1" x14ac:dyDescent="0.25">
      <c r="A2169" s="567" t="s">
        <v>168</v>
      </c>
      <c r="B2169" s="644" t="s">
        <v>168</v>
      </c>
      <c r="C2169" s="645"/>
      <c r="D2169" s="422" t="s">
        <v>212</v>
      </c>
      <c r="E2169" s="423"/>
      <c r="F2169" s="424">
        <v>500</v>
      </c>
      <c r="G2169" s="425">
        <f>VLOOKUP(D2168,'[2]ENSAIOS DE ORÇAMENTO'!$C$3:$L$79,4,FALSE)</f>
        <v>0.11541040000000001</v>
      </c>
      <c r="H2169" s="649">
        <f>IF(F2169&lt;=30,(0.78*F2169+7.82)*G2169,((0.78*30+7.82)+0.78*(F2169-30))*G2169)</f>
        <v>45.912565328000007</v>
      </c>
      <c r="I2169" s="420"/>
      <c r="J2169" s="420"/>
      <c r="K2169" s="421">
        <f t="shared" si="549"/>
        <v>0</v>
      </c>
      <c r="L2169" s="647"/>
      <c r="M2169" s="723"/>
      <c r="N2169" s="576">
        <f t="shared" si="559"/>
        <v>0</v>
      </c>
      <c r="O2169" s="577">
        <f t="shared" si="552"/>
        <v>0</v>
      </c>
      <c r="P2169" s="578">
        <f t="shared" si="553"/>
        <v>0</v>
      </c>
      <c r="Q2169" s="765"/>
      <c r="R2169" s="723"/>
      <c r="S2169" s="723"/>
      <c r="T2169" s="577">
        <f t="shared" si="550"/>
        <v>0</v>
      </c>
      <c r="U2169" s="578">
        <f t="shared" si="551"/>
        <v>0</v>
      </c>
      <c r="V2169" s="579"/>
      <c r="W2169" s="566" t="str">
        <f>IF(U2168&gt;0,"xx",IF(P2168&gt;0,"xy",""))</f>
        <v/>
      </c>
      <c r="X2169" s="586" t="str">
        <f t="shared" si="556"/>
        <v/>
      </c>
      <c r="Y2169" s="586" t="str">
        <f t="shared" si="531"/>
        <v/>
      </c>
      <c r="Z2169" s="586" t="str">
        <f t="shared" si="564"/>
        <v/>
      </c>
    </row>
    <row r="2170" spans="1:26" ht="12" hidden="1" thickBot="1" x14ac:dyDescent="0.25">
      <c r="A2170" s="567" t="s">
        <v>168</v>
      </c>
      <c r="B2170" s="644" t="s">
        <v>168</v>
      </c>
      <c r="C2170" s="645"/>
      <c r="D2170" s="422" t="s">
        <v>248</v>
      </c>
      <c r="E2170" s="423"/>
      <c r="F2170" s="424">
        <v>180</v>
      </c>
      <c r="G2170" s="425">
        <f>VLOOKUP(D2168,'[2]ENSAIOS DE ORÇAMENTO'!$C$3:$L$79,5,FALSE)</f>
        <v>0.62209000000000003</v>
      </c>
      <c r="H2170" s="663">
        <f t="shared" ref="H2170:H2172" si="568">IF(F2170&lt;=30,(1.07*F2170+2.68)*G2170,((1.07*30+2.68)+1.07*(F2170-30))*G2170)</f>
        <v>121.4817352</v>
      </c>
      <c r="I2170" s="420"/>
      <c r="J2170" s="420"/>
      <c r="K2170" s="421">
        <f t="shared" si="549"/>
        <v>0</v>
      </c>
      <c r="L2170" s="647"/>
      <c r="M2170" s="723"/>
      <c r="N2170" s="576">
        <f t="shared" si="559"/>
        <v>0</v>
      </c>
      <c r="O2170" s="577">
        <f t="shared" si="552"/>
        <v>0</v>
      </c>
      <c r="P2170" s="578">
        <f t="shared" si="553"/>
        <v>0</v>
      </c>
      <c r="Q2170" s="765"/>
      <c r="R2170" s="723"/>
      <c r="S2170" s="723"/>
      <c r="T2170" s="577">
        <f t="shared" si="550"/>
        <v>0</v>
      </c>
      <c r="U2170" s="578">
        <f t="shared" si="551"/>
        <v>0</v>
      </c>
      <c r="V2170" s="579"/>
      <c r="W2170" s="566" t="str">
        <f>IF(U2168&gt;0,"xx",IF(P2168&gt;0,"xy",""))</f>
        <v/>
      </c>
      <c r="X2170" s="586" t="str">
        <f t="shared" si="556"/>
        <v/>
      </c>
      <c r="Y2170" s="586" t="str">
        <f t="shared" si="531"/>
        <v/>
      </c>
      <c r="Z2170" s="586" t="str">
        <f t="shared" si="564"/>
        <v/>
      </c>
    </row>
    <row r="2171" spans="1:26" ht="12" hidden="1" thickBot="1" x14ac:dyDescent="0.25">
      <c r="A2171" s="567" t="s">
        <v>168</v>
      </c>
      <c r="B2171" s="644" t="s">
        <v>168</v>
      </c>
      <c r="C2171" s="645"/>
      <c r="D2171" s="422" t="s">
        <v>252</v>
      </c>
      <c r="E2171" s="423"/>
      <c r="F2171" s="424">
        <v>20</v>
      </c>
      <c r="G2171" s="425">
        <f>VLOOKUP(D2168,'[2]ENSAIOS DE ORÇAMENTO'!$C$3:$L$79,6,FALSE)</f>
        <v>0.20424000000000003</v>
      </c>
      <c r="H2171" s="663">
        <f t="shared" si="568"/>
        <v>4.9180992000000012</v>
      </c>
      <c r="I2171" s="420"/>
      <c r="J2171" s="420"/>
      <c r="K2171" s="421">
        <f t="shared" si="549"/>
        <v>0</v>
      </c>
      <c r="L2171" s="647"/>
      <c r="M2171" s="723"/>
      <c r="N2171" s="576">
        <f t="shared" si="559"/>
        <v>0</v>
      </c>
      <c r="O2171" s="577">
        <f t="shared" si="552"/>
        <v>0</v>
      </c>
      <c r="P2171" s="578">
        <f t="shared" si="553"/>
        <v>0</v>
      </c>
      <c r="Q2171" s="765"/>
      <c r="R2171" s="723"/>
      <c r="S2171" s="723"/>
      <c r="T2171" s="577">
        <f t="shared" si="550"/>
        <v>0</v>
      </c>
      <c r="U2171" s="578">
        <f t="shared" si="551"/>
        <v>0</v>
      </c>
      <c r="V2171" s="579"/>
      <c r="W2171" s="566" t="str">
        <f>IF(U2168&gt;0,"xx",IF(P2168&gt;0,"xy",""))</f>
        <v/>
      </c>
      <c r="X2171" s="586" t="str">
        <f t="shared" si="556"/>
        <v/>
      </c>
      <c r="Y2171" s="586" t="str">
        <f t="shared" si="531"/>
        <v/>
      </c>
      <c r="Z2171" s="586" t="str">
        <f t="shared" si="564"/>
        <v/>
      </c>
    </row>
    <row r="2172" spans="1:26" ht="12" hidden="1" thickBot="1" x14ac:dyDescent="0.25">
      <c r="A2172" s="567" t="s">
        <v>168</v>
      </c>
      <c r="B2172" s="644" t="s">
        <v>168</v>
      </c>
      <c r="C2172" s="645"/>
      <c r="D2172" s="422" t="s">
        <v>400</v>
      </c>
      <c r="E2172" s="423"/>
      <c r="F2172" s="424">
        <v>30</v>
      </c>
      <c r="G2172" s="425">
        <f>VLOOKUP(D2168,'[2]ENSAIOS DE ORÇAMENTO'!$C$3:$L$79,3,FALSE)</f>
        <v>0.87983999999999996</v>
      </c>
      <c r="H2172" s="663">
        <f t="shared" si="568"/>
        <v>30.600835199999999</v>
      </c>
      <c r="I2172" s="420"/>
      <c r="J2172" s="420"/>
      <c r="K2172" s="421">
        <f t="shared" si="549"/>
        <v>0</v>
      </c>
      <c r="L2172" s="647"/>
      <c r="M2172" s="723"/>
      <c r="N2172" s="576">
        <f t="shared" si="559"/>
        <v>0</v>
      </c>
      <c r="O2172" s="577">
        <f t="shared" si="552"/>
        <v>0</v>
      </c>
      <c r="P2172" s="578">
        <f t="shared" si="553"/>
        <v>0</v>
      </c>
      <c r="Q2172" s="765"/>
      <c r="R2172" s="723"/>
      <c r="S2172" s="723"/>
      <c r="T2172" s="577">
        <f t="shared" si="550"/>
        <v>0</v>
      </c>
      <c r="U2172" s="578">
        <f t="shared" si="551"/>
        <v>0</v>
      </c>
      <c r="V2172" s="579"/>
      <c r="W2172" s="566" t="str">
        <f>IF(U2168&gt;0,"xx",IF(P2168&gt;0,"xy",""))</f>
        <v/>
      </c>
      <c r="X2172" s="586" t="str">
        <f t="shared" si="556"/>
        <v/>
      </c>
      <c r="Y2172" s="586" t="str">
        <f t="shared" si="531"/>
        <v/>
      </c>
      <c r="Z2172" s="586" t="str">
        <f t="shared" si="564"/>
        <v/>
      </c>
    </row>
    <row r="2173" spans="1:26" ht="12" hidden="1" thickBot="1" x14ac:dyDescent="0.25">
      <c r="A2173" s="567" t="s">
        <v>168</v>
      </c>
      <c r="B2173" s="644" t="s">
        <v>168</v>
      </c>
      <c r="C2173" s="645"/>
      <c r="D2173" s="422" t="s">
        <v>401</v>
      </c>
      <c r="E2173" s="423"/>
      <c r="F2173" s="424">
        <v>500</v>
      </c>
      <c r="G2173" s="425">
        <f>VLOOKUP(D2168,'[2]ENSAIOS DE ORÇAMENTO'!$C$3:$L$79,10,FALSE)</f>
        <v>2.9328E-2</v>
      </c>
      <c r="H2173" s="649">
        <f>IF(F2173&lt;=30,(0.78*F2173+7.82)*G2173,((0.78*30+7.82)+0.78*(F2173-30))*G2173)</f>
        <v>11.667264960000001</v>
      </c>
      <c r="I2173" s="420"/>
      <c r="J2173" s="420"/>
      <c r="K2173" s="421">
        <f t="shared" si="549"/>
        <v>0</v>
      </c>
      <c r="L2173" s="647"/>
      <c r="M2173" s="723"/>
      <c r="N2173" s="576">
        <f t="shared" si="559"/>
        <v>0</v>
      </c>
      <c r="O2173" s="577">
        <f t="shared" si="552"/>
        <v>0</v>
      </c>
      <c r="P2173" s="578">
        <f t="shared" si="553"/>
        <v>0</v>
      </c>
      <c r="Q2173" s="765"/>
      <c r="R2173" s="723"/>
      <c r="S2173" s="723"/>
      <c r="T2173" s="577">
        <f t="shared" si="550"/>
        <v>0</v>
      </c>
      <c r="U2173" s="578">
        <f t="shared" si="551"/>
        <v>0</v>
      </c>
      <c r="V2173" s="579"/>
      <c r="W2173" s="566" t="str">
        <f>IF(U2168&gt;0,"xx",IF(P2168&gt;0,"xy",""))</f>
        <v/>
      </c>
      <c r="X2173" s="586" t="str">
        <f t="shared" si="556"/>
        <v/>
      </c>
      <c r="Y2173" s="586" t="str">
        <f t="shared" si="531"/>
        <v/>
      </c>
      <c r="Z2173" s="586" t="str">
        <f t="shared" si="564"/>
        <v/>
      </c>
    </row>
    <row r="2174" spans="1:26" ht="12" hidden="1" thickBot="1" x14ac:dyDescent="0.25">
      <c r="A2174" s="567" t="s">
        <v>25</v>
      </c>
      <c r="B2174" s="644" t="s">
        <v>25</v>
      </c>
      <c r="C2174" s="645" t="s">
        <v>206</v>
      </c>
      <c r="D2174" s="422" t="s">
        <v>70</v>
      </c>
      <c r="E2174" s="423"/>
      <c r="F2174" s="424"/>
      <c r="G2174" s="425"/>
      <c r="H2174" s="651">
        <f>SUM(H2175:H2179)</f>
        <v>253.44839336000004</v>
      </c>
      <c r="I2174" s="420">
        <f>VLOOKUP(D2174,'[2]ENSAIOS DE ORÇAMENTO'!$C$3:$L$79,8,FALSE)</f>
        <v>1534.9440399999999</v>
      </c>
      <c r="J2174" s="420">
        <f>IF(ISBLANK(I2174),"",SUM(H2174:I2174))</f>
        <v>1788.3924333599998</v>
      </c>
      <c r="K2174" s="421">
        <f t="shared" si="549"/>
        <v>2124.79</v>
      </c>
      <c r="L2174" s="647" t="s">
        <v>21</v>
      </c>
      <c r="M2174" s="576"/>
      <c r="N2174" s="576">
        <f t="shared" si="559"/>
        <v>0</v>
      </c>
      <c r="O2174" s="577">
        <f t="shared" si="552"/>
        <v>0</v>
      </c>
      <c r="P2174" s="578">
        <f t="shared" si="553"/>
        <v>0</v>
      </c>
      <c r="Q2174" s="765"/>
      <c r="R2174" s="576">
        <f>M2174</f>
        <v>0</v>
      </c>
      <c r="S2174" s="576">
        <f>N2174</f>
        <v>0</v>
      </c>
      <c r="T2174" s="577">
        <f t="shared" si="550"/>
        <v>0</v>
      </c>
      <c r="U2174" s="578">
        <f t="shared" si="551"/>
        <v>0</v>
      </c>
      <c r="V2174" s="579"/>
      <c r="W2174" s="566"/>
      <c r="X2174" s="586" t="str">
        <f t="shared" si="556"/>
        <v/>
      </c>
      <c r="Y2174" s="586" t="str">
        <f t="shared" si="531"/>
        <v/>
      </c>
      <c r="Z2174" s="586" t="str">
        <f t="shared" si="564"/>
        <v/>
      </c>
    </row>
    <row r="2175" spans="1:26" ht="12" hidden="1" thickBot="1" x14ac:dyDescent="0.25">
      <c r="A2175" s="567" t="s">
        <v>168</v>
      </c>
      <c r="B2175" s="644" t="s">
        <v>168</v>
      </c>
      <c r="C2175" s="645"/>
      <c r="D2175" s="422" t="s">
        <v>212</v>
      </c>
      <c r="E2175" s="423"/>
      <c r="F2175" s="424">
        <v>500</v>
      </c>
      <c r="G2175" s="425">
        <f>VLOOKUP(D2174,'[2]ENSAIOS DE ORÇAMENTO'!$C$3:$L$79,4,FALSE)</f>
        <v>0.132608</v>
      </c>
      <c r="H2175" s="649">
        <f>IF(F2175&lt;=30,(0.78*F2175+7.82)*G2175,((0.78*30+7.82)+0.78*(F2175-30))*G2175)</f>
        <v>52.754114560000005</v>
      </c>
      <c r="I2175" s="420"/>
      <c r="J2175" s="420"/>
      <c r="K2175" s="421">
        <f t="shared" si="549"/>
        <v>0</v>
      </c>
      <c r="L2175" s="647"/>
      <c r="M2175" s="723"/>
      <c r="N2175" s="576">
        <f t="shared" si="559"/>
        <v>0</v>
      </c>
      <c r="O2175" s="577">
        <f t="shared" si="552"/>
        <v>0</v>
      </c>
      <c r="P2175" s="578">
        <f t="shared" si="553"/>
        <v>0</v>
      </c>
      <c r="Q2175" s="765"/>
      <c r="R2175" s="723"/>
      <c r="S2175" s="723"/>
      <c r="T2175" s="577">
        <f t="shared" si="550"/>
        <v>0</v>
      </c>
      <c r="U2175" s="578">
        <f t="shared" si="551"/>
        <v>0</v>
      </c>
      <c r="V2175" s="579"/>
      <c r="W2175" s="566" t="str">
        <f>IF(U2174&gt;0,"xx",IF(P2174&gt;0,"xy",""))</f>
        <v/>
      </c>
      <c r="X2175" s="586" t="str">
        <f t="shared" si="556"/>
        <v/>
      </c>
      <c r="Y2175" s="586" t="str">
        <f t="shared" si="531"/>
        <v/>
      </c>
      <c r="Z2175" s="586" t="str">
        <f t="shared" si="564"/>
        <v/>
      </c>
    </row>
    <row r="2176" spans="1:26" ht="12" hidden="1" thickBot="1" x14ac:dyDescent="0.25">
      <c r="A2176" s="567" t="s">
        <v>168</v>
      </c>
      <c r="B2176" s="644" t="s">
        <v>168</v>
      </c>
      <c r="C2176" s="645"/>
      <c r="D2176" s="422" t="s">
        <v>248</v>
      </c>
      <c r="E2176" s="423"/>
      <c r="F2176" s="424">
        <v>180</v>
      </c>
      <c r="G2176" s="425">
        <f>VLOOKUP(D2174,'[2]ENSAIOS DE ORÇAMENTO'!$C$3:$L$79,5,FALSE)</f>
        <v>0.73198000000000008</v>
      </c>
      <c r="H2176" s="663">
        <f t="shared" ref="H2176:H2178" si="569">IF(F2176&lt;=30,(1.07*F2176+2.68)*G2176,((1.07*30+2.68)+1.07*(F2176-30))*G2176)</f>
        <v>142.94105440000001</v>
      </c>
      <c r="I2176" s="420"/>
      <c r="J2176" s="420"/>
      <c r="K2176" s="421">
        <f t="shared" ref="K2176:K2239" si="570">IF(ISBLANK(I2176),0,ROUND(J2176*(1+$F$10)*(1+$F$11*E2176),2))</f>
        <v>0</v>
      </c>
      <c r="L2176" s="647"/>
      <c r="M2176" s="723"/>
      <c r="N2176" s="576">
        <f t="shared" si="559"/>
        <v>0</v>
      </c>
      <c r="O2176" s="577">
        <f t="shared" si="552"/>
        <v>0</v>
      </c>
      <c r="P2176" s="578">
        <f t="shared" si="553"/>
        <v>0</v>
      </c>
      <c r="Q2176" s="765"/>
      <c r="R2176" s="723"/>
      <c r="S2176" s="723"/>
      <c r="T2176" s="577">
        <f t="shared" ref="T2176:T2239" si="571">IF(ISBLANK(R2176),0,ROUND(K2176*R2176,2))</f>
        <v>0</v>
      </c>
      <c r="U2176" s="578">
        <f t="shared" ref="U2176:U2239" si="572">IF(ISBLANK(R2176),0,ROUND(R2176*S2176,2))</f>
        <v>0</v>
      </c>
      <c r="V2176" s="579"/>
      <c r="W2176" s="566" t="str">
        <f>IF(U2174&gt;0,"xx",IF(P2174&gt;0,"xy",""))</f>
        <v/>
      </c>
      <c r="X2176" s="586" t="str">
        <f t="shared" si="556"/>
        <v/>
      </c>
      <c r="Y2176" s="586" t="str">
        <f t="shared" si="531"/>
        <v/>
      </c>
      <c r="Z2176" s="586" t="str">
        <f t="shared" si="564"/>
        <v/>
      </c>
    </row>
    <row r="2177" spans="1:26" ht="12" hidden="1" thickBot="1" x14ac:dyDescent="0.25">
      <c r="A2177" s="567" t="s">
        <v>168</v>
      </c>
      <c r="B2177" s="644" t="s">
        <v>168</v>
      </c>
      <c r="C2177" s="645"/>
      <c r="D2177" s="422" t="s">
        <v>252</v>
      </c>
      <c r="E2177" s="423"/>
      <c r="F2177" s="424">
        <v>20</v>
      </c>
      <c r="G2177" s="425">
        <f>VLOOKUP(D2174,'[2]ENSAIOS DE ORÇAMENTO'!$C$3:$L$79,6,FALSE)</f>
        <v>0.20424000000000003</v>
      </c>
      <c r="H2177" s="663">
        <f t="shared" si="569"/>
        <v>4.9180992000000012</v>
      </c>
      <c r="I2177" s="420"/>
      <c r="J2177" s="420"/>
      <c r="K2177" s="421">
        <f t="shared" si="570"/>
        <v>0</v>
      </c>
      <c r="L2177" s="647"/>
      <c r="M2177" s="723"/>
      <c r="N2177" s="576">
        <f t="shared" si="559"/>
        <v>0</v>
      </c>
      <c r="O2177" s="577">
        <f t="shared" ref="O2177:O2240" si="573">IF(ISBLANK(M2177),0,ROUND(K2177*M2177,2))</f>
        <v>0</v>
      </c>
      <c r="P2177" s="578">
        <f t="shared" ref="P2177:P2240" si="574">IF(ISBLANK(N2177),0,ROUND(M2177*N2177,2))</f>
        <v>0</v>
      </c>
      <c r="Q2177" s="765"/>
      <c r="R2177" s="723"/>
      <c r="S2177" s="723"/>
      <c r="T2177" s="577">
        <f t="shared" si="571"/>
        <v>0</v>
      </c>
      <c r="U2177" s="578">
        <f t="shared" si="572"/>
        <v>0</v>
      </c>
      <c r="V2177" s="579"/>
      <c r="W2177" s="566" t="str">
        <f>IF(U2174&gt;0,"xx",IF(P2174&gt;0,"xy",""))</f>
        <v/>
      </c>
      <c r="X2177" s="586" t="str">
        <f t="shared" si="556"/>
        <v/>
      </c>
      <c r="Y2177" s="586" t="str">
        <f t="shared" si="531"/>
        <v/>
      </c>
      <c r="Z2177" s="586" t="str">
        <f t="shared" si="564"/>
        <v/>
      </c>
    </row>
    <row r="2178" spans="1:26" ht="12" hidden="1" thickBot="1" x14ac:dyDescent="0.25">
      <c r="A2178" s="567" t="s">
        <v>168</v>
      </c>
      <c r="B2178" s="644" t="s">
        <v>168</v>
      </c>
      <c r="C2178" s="645"/>
      <c r="D2178" s="422" t="s">
        <v>400</v>
      </c>
      <c r="E2178" s="423"/>
      <c r="F2178" s="424">
        <v>30</v>
      </c>
      <c r="G2178" s="425">
        <f>VLOOKUP(D2174,'[2]ENSAIOS DE ORÇAMENTO'!$C$3:$L$79,3,FALSE)</f>
        <v>1.0998000000000001</v>
      </c>
      <c r="H2178" s="663">
        <f t="shared" si="569"/>
        <v>38.251044000000007</v>
      </c>
      <c r="I2178" s="420"/>
      <c r="J2178" s="420"/>
      <c r="K2178" s="421">
        <f t="shared" si="570"/>
        <v>0</v>
      </c>
      <c r="L2178" s="647"/>
      <c r="M2178" s="723"/>
      <c r="N2178" s="576">
        <f t="shared" si="559"/>
        <v>0</v>
      </c>
      <c r="O2178" s="577">
        <f t="shared" si="573"/>
        <v>0</v>
      </c>
      <c r="P2178" s="578">
        <f t="shared" si="574"/>
        <v>0</v>
      </c>
      <c r="Q2178" s="765"/>
      <c r="R2178" s="723"/>
      <c r="S2178" s="723"/>
      <c r="T2178" s="577">
        <f t="shared" si="571"/>
        <v>0</v>
      </c>
      <c r="U2178" s="578">
        <f t="shared" si="572"/>
        <v>0</v>
      </c>
      <c r="V2178" s="579"/>
      <c r="W2178" s="566" t="str">
        <f>IF(U2174&gt;0,"xx",IF(P2174&gt;0,"xy",""))</f>
        <v/>
      </c>
      <c r="X2178" s="586" t="str">
        <f t="shared" si="556"/>
        <v/>
      </c>
      <c r="Y2178" s="586" t="str">
        <f t="shared" si="531"/>
        <v/>
      </c>
      <c r="Z2178" s="586" t="str">
        <f t="shared" si="564"/>
        <v/>
      </c>
    </row>
    <row r="2179" spans="1:26" ht="12" hidden="1" thickBot="1" x14ac:dyDescent="0.25">
      <c r="A2179" s="567" t="s">
        <v>168</v>
      </c>
      <c r="B2179" s="644" t="s">
        <v>168</v>
      </c>
      <c r="C2179" s="645"/>
      <c r="D2179" s="422" t="s">
        <v>401</v>
      </c>
      <c r="E2179" s="423"/>
      <c r="F2179" s="424">
        <v>500</v>
      </c>
      <c r="G2179" s="425">
        <f>VLOOKUP(D2174,'[2]ENSAIOS DE ORÇAMENTO'!$C$3:$L$79,10,FALSE)</f>
        <v>3.6659999999999998E-2</v>
      </c>
      <c r="H2179" s="649">
        <f>IF(F2179&lt;=30,(0.78*F2179+7.82)*G2179,((0.78*30+7.82)+0.78*(F2179-30))*G2179)</f>
        <v>14.584081200000002</v>
      </c>
      <c r="I2179" s="420"/>
      <c r="J2179" s="420"/>
      <c r="K2179" s="421">
        <f t="shared" si="570"/>
        <v>0</v>
      </c>
      <c r="L2179" s="647"/>
      <c r="M2179" s="723"/>
      <c r="N2179" s="576">
        <f t="shared" si="559"/>
        <v>0</v>
      </c>
      <c r="O2179" s="577">
        <f t="shared" si="573"/>
        <v>0</v>
      </c>
      <c r="P2179" s="578">
        <f t="shared" si="574"/>
        <v>0</v>
      </c>
      <c r="Q2179" s="765"/>
      <c r="R2179" s="723"/>
      <c r="S2179" s="723"/>
      <c r="T2179" s="577">
        <f t="shared" si="571"/>
        <v>0</v>
      </c>
      <c r="U2179" s="578">
        <f t="shared" si="572"/>
        <v>0</v>
      </c>
      <c r="V2179" s="579"/>
      <c r="W2179" s="566" t="str">
        <f>IF(U2174&gt;0,"xx",IF(P2174&gt;0,"xy",""))</f>
        <v/>
      </c>
      <c r="X2179" s="586" t="str">
        <f t="shared" si="556"/>
        <v/>
      </c>
      <c r="Y2179" s="586" t="str">
        <f t="shared" si="531"/>
        <v/>
      </c>
      <c r="Z2179" s="586" t="str">
        <f t="shared" si="564"/>
        <v/>
      </c>
    </row>
    <row r="2180" spans="1:26" ht="12" hidden="1" thickBot="1" x14ac:dyDescent="0.25">
      <c r="A2180" s="567" t="s">
        <v>26</v>
      </c>
      <c r="B2180" s="644" t="s">
        <v>26</v>
      </c>
      <c r="C2180" s="645" t="s">
        <v>206</v>
      </c>
      <c r="D2180" s="422" t="s">
        <v>71</v>
      </c>
      <c r="E2180" s="423"/>
      <c r="F2180" s="424"/>
      <c r="G2180" s="425"/>
      <c r="H2180" s="651">
        <f>SUM(H2181:H2185)</f>
        <v>317.76500247800004</v>
      </c>
      <c r="I2180" s="420">
        <f>VLOOKUP(D2180,'[2]ENSAIOS DE ORÇAMENTO'!$C$3:$L$79,8,FALSE)</f>
        <v>1786.7909519999998</v>
      </c>
      <c r="J2180" s="420">
        <f>IF(ISBLANK(I2180),"",SUM(H2180:I2180))</f>
        <v>2104.5559544779999</v>
      </c>
      <c r="K2180" s="421">
        <f t="shared" si="570"/>
        <v>2500.42</v>
      </c>
      <c r="L2180" s="647" t="s">
        <v>21</v>
      </c>
      <c r="M2180" s="576"/>
      <c r="N2180" s="576">
        <f t="shared" si="559"/>
        <v>0</v>
      </c>
      <c r="O2180" s="577">
        <f t="shared" si="573"/>
        <v>0</v>
      </c>
      <c r="P2180" s="578">
        <f t="shared" si="574"/>
        <v>0</v>
      </c>
      <c r="Q2180" s="765"/>
      <c r="R2180" s="576">
        <f>M2180</f>
        <v>0</v>
      </c>
      <c r="S2180" s="576">
        <f>N2180</f>
        <v>0</v>
      </c>
      <c r="T2180" s="577">
        <f t="shared" si="571"/>
        <v>0</v>
      </c>
      <c r="U2180" s="578">
        <f t="shared" si="572"/>
        <v>0</v>
      </c>
      <c r="V2180" s="579"/>
      <c r="W2180" s="566"/>
      <c r="X2180" s="586" t="str">
        <f t="shared" si="556"/>
        <v/>
      </c>
      <c r="Y2180" s="586" t="str">
        <f t="shared" si="531"/>
        <v/>
      </c>
      <c r="Z2180" s="586" t="str">
        <f t="shared" si="564"/>
        <v/>
      </c>
    </row>
    <row r="2181" spans="1:26" ht="12" hidden="1" thickBot="1" x14ac:dyDescent="0.25">
      <c r="A2181" s="567" t="s">
        <v>168</v>
      </c>
      <c r="B2181" s="644" t="s">
        <v>168</v>
      </c>
      <c r="C2181" s="645"/>
      <c r="D2181" s="422" t="s">
        <v>212</v>
      </c>
      <c r="E2181" s="423"/>
      <c r="F2181" s="424">
        <v>500</v>
      </c>
      <c r="G2181" s="425">
        <f>VLOOKUP(D2180,'[2]ENSAIOS DE ORÇAMENTO'!$C$3:$L$79,4,FALSE)</f>
        <v>0.1610819</v>
      </c>
      <c r="H2181" s="649">
        <f>IF(F2181&lt;=30,(0.78*F2181+7.82)*G2181,((0.78*30+7.82)+0.78*(F2181-30))*G2181)</f>
        <v>64.081601458000009</v>
      </c>
      <c r="I2181" s="420"/>
      <c r="J2181" s="420"/>
      <c r="K2181" s="421">
        <f t="shared" si="570"/>
        <v>0</v>
      </c>
      <c r="L2181" s="647"/>
      <c r="M2181" s="723"/>
      <c r="N2181" s="576">
        <f t="shared" si="559"/>
        <v>0</v>
      </c>
      <c r="O2181" s="577">
        <f t="shared" si="573"/>
        <v>0</v>
      </c>
      <c r="P2181" s="578">
        <f t="shared" si="574"/>
        <v>0</v>
      </c>
      <c r="Q2181" s="765"/>
      <c r="R2181" s="723"/>
      <c r="S2181" s="723"/>
      <c r="T2181" s="577">
        <f t="shared" si="571"/>
        <v>0</v>
      </c>
      <c r="U2181" s="578">
        <f t="shared" si="572"/>
        <v>0</v>
      </c>
      <c r="V2181" s="579"/>
      <c r="W2181" s="566" t="str">
        <f>IF(U2180&gt;0,"xx",IF(P2180&gt;0,"xy",""))</f>
        <v/>
      </c>
      <c r="X2181" s="586" t="str">
        <f t="shared" si="556"/>
        <v/>
      </c>
      <c r="Y2181" s="586" t="str">
        <f t="shared" si="531"/>
        <v/>
      </c>
      <c r="Z2181" s="586" t="str">
        <f t="shared" si="564"/>
        <v/>
      </c>
    </row>
    <row r="2182" spans="1:26" ht="12" hidden="1" thickBot="1" x14ac:dyDescent="0.25">
      <c r="A2182" s="567" t="s">
        <v>168</v>
      </c>
      <c r="B2182" s="644" t="s">
        <v>168</v>
      </c>
      <c r="C2182" s="645"/>
      <c r="D2182" s="422" t="s">
        <v>248</v>
      </c>
      <c r="E2182" s="423"/>
      <c r="F2182" s="424">
        <v>180</v>
      </c>
      <c r="G2182" s="425">
        <f>VLOOKUP(D2180,'[2]ENSAIOS DE ORÇAMENTO'!$C$3:$L$79,5,FALSE)</f>
        <v>0.91383625000000013</v>
      </c>
      <c r="H2182" s="663">
        <f t="shared" ref="H2182:H2184" si="575">IF(F2182&lt;=30,(1.07*F2182+2.68)*G2182,((1.07*30+2.68)+1.07*(F2182-30))*G2182)</f>
        <v>178.45394290000002</v>
      </c>
      <c r="I2182" s="420"/>
      <c r="J2182" s="420"/>
      <c r="K2182" s="421">
        <f t="shared" si="570"/>
        <v>0</v>
      </c>
      <c r="L2182" s="647"/>
      <c r="M2182" s="723"/>
      <c r="N2182" s="576">
        <f t="shared" si="559"/>
        <v>0</v>
      </c>
      <c r="O2182" s="577">
        <f t="shared" si="573"/>
        <v>0</v>
      </c>
      <c r="P2182" s="578">
        <f t="shared" si="574"/>
        <v>0</v>
      </c>
      <c r="Q2182" s="765"/>
      <c r="R2182" s="723"/>
      <c r="S2182" s="723"/>
      <c r="T2182" s="577">
        <f t="shared" si="571"/>
        <v>0</v>
      </c>
      <c r="U2182" s="578">
        <f t="shared" si="572"/>
        <v>0</v>
      </c>
      <c r="V2182" s="579"/>
      <c r="W2182" s="566" t="str">
        <f>IF(U2180&gt;0,"xx",IF(P2180&gt;0,"xy",""))</f>
        <v/>
      </c>
      <c r="X2182" s="586" t="str">
        <f t="shared" si="556"/>
        <v/>
      </c>
      <c r="Y2182" s="586" t="str">
        <f t="shared" si="531"/>
        <v/>
      </c>
      <c r="Z2182" s="586" t="str">
        <f t="shared" si="564"/>
        <v/>
      </c>
    </row>
    <row r="2183" spans="1:26" ht="12" hidden="1" thickBot="1" x14ac:dyDescent="0.25">
      <c r="A2183" s="567" t="s">
        <v>168</v>
      </c>
      <c r="B2183" s="644" t="s">
        <v>168</v>
      </c>
      <c r="C2183" s="645"/>
      <c r="D2183" s="422" t="s">
        <v>252</v>
      </c>
      <c r="E2183" s="423"/>
      <c r="F2183" s="424">
        <v>20</v>
      </c>
      <c r="G2183" s="425">
        <f>VLOOKUP(D2180,'[2]ENSAIOS DE ORÇAMENTO'!$C$3:$L$79,6,FALSE)</f>
        <v>0.20424000000000003</v>
      </c>
      <c r="H2183" s="663">
        <f t="shared" si="575"/>
        <v>4.9180992000000012</v>
      </c>
      <c r="I2183" s="420"/>
      <c r="J2183" s="420"/>
      <c r="K2183" s="421">
        <f t="shared" si="570"/>
        <v>0</v>
      </c>
      <c r="L2183" s="647"/>
      <c r="M2183" s="723"/>
      <c r="N2183" s="576">
        <f t="shared" si="559"/>
        <v>0</v>
      </c>
      <c r="O2183" s="577">
        <f t="shared" si="573"/>
        <v>0</v>
      </c>
      <c r="P2183" s="578">
        <f t="shared" si="574"/>
        <v>0</v>
      </c>
      <c r="Q2183" s="765"/>
      <c r="R2183" s="723"/>
      <c r="S2183" s="723"/>
      <c r="T2183" s="577">
        <f t="shared" si="571"/>
        <v>0</v>
      </c>
      <c r="U2183" s="578">
        <f t="shared" si="572"/>
        <v>0</v>
      </c>
      <c r="V2183" s="579"/>
      <c r="W2183" s="566" t="str">
        <f>IF(U2180&gt;0,"xx",IF(P2180&gt;0,"xy",""))</f>
        <v/>
      </c>
      <c r="X2183" s="586" t="str">
        <f t="shared" si="556"/>
        <v/>
      </c>
      <c r="Y2183" s="586" t="str">
        <f t="shared" si="531"/>
        <v/>
      </c>
      <c r="Z2183" s="586" t="str">
        <f t="shared" si="564"/>
        <v/>
      </c>
    </row>
    <row r="2184" spans="1:26" ht="12" hidden="1" thickBot="1" x14ac:dyDescent="0.25">
      <c r="A2184" s="567" t="s">
        <v>168</v>
      </c>
      <c r="B2184" s="644" t="s">
        <v>168</v>
      </c>
      <c r="C2184" s="645"/>
      <c r="D2184" s="422" t="s">
        <v>400</v>
      </c>
      <c r="E2184" s="423"/>
      <c r="F2184" s="424">
        <v>30</v>
      </c>
      <c r="G2184" s="425">
        <f>VLOOKUP(D2180,'[2]ENSAIOS DE ORÇAMENTO'!$C$3:$L$79,3,FALSE)</f>
        <v>1.4635799999999999</v>
      </c>
      <c r="H2184" s="663">
        <f t="shared" si="575"/>
        <v>50.903312399999997</v>
      </c>
      <c r="I2184" s="420"/>
      <c r="J2184" s="420"/>
      <c r="K2184" s="421">
        <f t="shared" si="570"/>
        <v>0</v>
      </c>
      <c r="L2184" s="647"/>
      <c r="M2184" s="723"/>
      <c r="N2184" s="576">
        <f t="shared" si="559"/>
        <v>0</v>
      </c>
      <c r="O2184" s="577">
        <f t="shared" si="573"/>
        <v>0</v>
      </c>
      <c r="P2184" s="578">
        <f t="shared" si="574"/>
        <v>0</v>
      </c>
      <c r="Q2184" s="765"/>
      <c r="R2184" s="723"/>
      <c r="S2184" s="723"/>
      <c r="T2184" s="577">
        <f t="shared" si="571"/>
        <v>0</v>
      </c>
      <c r="U2184" s="578">
        <f t="shared" si="572"/>
        <v>0</v>
      </c>
      <c r="V2184" s="579"/>
      <c r="W2184" s="566" t="str">
        <f>IF(U2180&gt;0,"xx",IF(P2180&gt;0,"xy",""))</f>
        <v/>
      </c>
      <c r="X2184" s="586" t="str">
        <f t="shared" si="556"/>
        <v/>
      </c>
      <c r="Y2184" s="586" t="str">
        <f t="shared" si="531"/>
        <v/>
      </c>
      <c r="Z2184" s="586" t="str">
        <f t="shared" si="564"/>
        <v/>
      </c>
    </row>
    <row r="2185" spans="1:26" ht="12" hidden="1" thickBot="1" x14ac:dyDescent="0.25">
      <c r="A2185" s="567" t="s">
        <v>168</v>
      </c>
      <c r="B2185" s="644" t="s">
        <v>168</v>
      </c>
      <c r="C2185" s="645"/>
      <c r="D2185" s="422" t="s">
        <v>401</v>
      </c>
      <c r="E2185" s="423"/>
      <c r="F2185" s="424">
        <v>500</v>
      </c>
      <c r="G2185" s="425">
        <f>VLOOKUP(D2180,'[2]ENSAIOS DE ORÇAMENTO'!$C$3:$L$79,10,FALSE)</f>
        <v>4.8785999999999996E-2</v>
      </c>
      <c r="H2185" s="649">
        <f>IF(F2185&lt;=30,(0.78*F2185+7.82)*G2185,((0.78*30+7.82)+0.78*(F2185-30))*G2185)</f>
        <v>19.408046519999999</v>
      </c>
      <c r="I2185" s="420"/>
      <c r="J2185" s="420"/>
      <c r="K2185" s="421">
        <f t="shared" si="570"/>
        <v>0</v>
      </c>
      <c r="L2185" s="647"/>
      <c r="M2185" s="723"/>
      <c r="N2185" s="576">
        <f t="shared" si="559"/>
        <v>0</v>
      </c>
      <c r="O2185" s="577">
        <f t="shared" si="573"/>
        <v>0</v>
      </c>
      <c r="P2185" s="578">
        <f t="shared" si="574"/>
        <v>0</v>
      </c>
      <c r="Q2185" s="765"/>
      <c r="R2185" s="723"/>
      <c r="S2185" s="723"/>
      <c r="T2185" s="577">
        <f t="shared" si="571"/>
        <v>0</v>
      </c>
      <c r="U2185" s="578">
        <f t="shared" si="572"/>
        <v>0</v>
      </c>
      <c r="V2185" s="579"/>
      <c r="W2185" s="566" t="str">
        <f>IF(U2180&gt;0,"xx",IF(P2180&gt;0,"xy",""))</f>
        <v/>
      </c>
      <c r="X2185" s="586" t="str">
        <f t="shared" si="556"/>
        <v/>
      </c>
      <c r="Y2185" s="586" t="str">
        <f t="shared" si="531"/>
        <v/>
      </c>
      <c r="Z2185" s="586" t="str">
        <f t="shared" si="564"/>
        <v/>
      </c>
    </row>
    <row r="2186" spans="1:26" ht="12" hidden="1" thickBot="1" x14ac:dyDescent="0.25">
      <c r="A2186" s="567" t="s">
        <v>27</v>
      </c>
      <c r="B2186" s="644" t="s">
        <v>27</v>
      </c>
      <c r="C2186" s="645" t="s">
        <v>206</v>
      </c>
      <c r="D2186" s="422" t="s">
        <v>72</v>
      </c>
      <c r="E2186" s="423"/>
      <c r="F2186" s="424"/>
      <c r="G2186" s="425"/>
      <c r="H2186" s="651">
        <f>SUM(H2187:H2191)</f>
        <v>383.47125160200005</v>
      </c>
      <c r="I2186" s="420">
        <f>VLOOKUP(D2186,'[2]ENSAIOS DE ORÇAMENTO'!$C$3:$L$79,8,FALSE)</f>
        <v>2044.395368</v>
      </c>
      <c r="J2186" s="420">
        <f>IF(ISBLANK(I2186),"",SUM(H2186:I2186))</f>
        <v>2427.8666196019999</v>
      </c>
      <c r="K2186" s="421">
        <f t="shared" si="570"/>
        <v>2884.55</v>
      </c>
      <c r="L2186" s="647" t="s">
        <v>21</v>
      </c>
      <c r="M2186" s="576"/>
      <c r="N2186" s="576">
        <f t="shared" si="559"/>
        <v>0</v>
      </c>
      <c r="O2186" s="577">
        <f t="shared" si="573"/>
        <v>0</v>
      </c>
      <c r="P2186" s="578">
        <f t="shared" si="574"/>
        <v>0</v>
      </c>
      <c r="Q2186" s="765"/>
      <c r="R2186" s="576">
        <f>M2186</f>
        <v>0</v>
      </c>
      <c r="S2186" s="576">
        <f>N2186</f>
        <v>0</v>
      </c>
      <c r="T2186" s="577">
        <f t="shared" si="571"/>
        <v>0</v>
      </c>
      <c r="U2186" s="578">
        <f t="shared" si="572"/>
        <v>0</v>
      </c>
      <c r="V2186" s="579"/>
      <c r="W2186" s="566"/>
      <c r="X2186" s="586" t="str">
        <f t="shared" si="556"/>
        <v/>
      </c>
      <c r="Y2186" s="586" t="str">
        <f t="shared" si="531"/>
        <v/>
      </c>
      <c r="Z2186" s="586" t="str">
        <f t="shared" si="564"/>
        <v/>
      </c>
    </row>
    <row r="2187" spans="1:26" ht="12" hidden="1" thickBot="1" x14ac:dyDescent="0.25">
      <c r="A2187" s="567" t="s">
        <v>168</v>
      </c>
      <c r="B2187" s="644" t="s">
        <v>168</v>
      </c>
      <c r="C2187" s="645"/>
      <c r="D2187" s="422" t="s">
        <v>212</v>
      </c>
      <c r="E2187" s="423"/>
      <c r="F2187" s="424">
        <v>500</v>
      </c>
      <c r="G2187" s="425">
        <f>VLOOKUP(D2186,'[2]ENSAIOS DE ORÇAMENTO'!$C$3:$L$79,4,FALSE)</f>
        <v>0.19012209999999999</v>
      </c>
      <c r="H2187" s="649">
        <f>IF(F2187&lt;=30,(0.78*F2187+7.82)*G2187,((0.78*30+7.82)+0.78*(F2187-30))*G2187)</f>
        <v>75.634373822000001</v>
      </c>
      <c r="I2187" s="420"/>
      <c r="J2187" s="420"/>
      <c r="K2187" s="421">
        <f t="shared" si="570"/>
        <v>0</v>
      </c>
      <c r="L2187" s="647"/>
      <c r="M2187" s="723"/>
      <c r="N2187" s="576">
        <f t="shared" si="559"/>
        <v>0</v>
      </c>
      <c r="O2187" s="577">
        <f t="shared" si="573"/>
        <v>0</v>
      </c>
      <c r="P2187" s="578">
        <f t="shared" si="574"/>
        <v>0</v>
      </c>
      <c r="Q2187" s="765"/>
      <c r="R2187" s="723"/>
      <c r="S2187" s="723"/>
      <c r="T2187" s="577">
        <f t="shared" si="571"/>
        <v>0</v>
      </c>
      <c r="U2187" s="578">
        <f t="shared" si="572"/>
        <v>0</v>
      </c>
      <c r="V2187" s="579"/>
      <c r="W2187" s="566" t="str">
        <f>IF(U2186&gt;0,"xx",IF(P2186&gt;0,"xy",""))</f>
        <v/>
      </c>
      <c r="X2187" s="586" t="str">
        <f t="shared" si="556"/>
        <v/>
      </c>
      <c r="Y2187" s="586" t="str">
        <f t="shared" si="531"/>
        <v/>
      </c>
      <c r="Z2187" s="586" t="str">
        <f t="shared" si="564"/>
        <v/>
      </c>
    </row>
    <row r="2188" spans="1:26" ht="12" hidden="1" thickBot="1" x14ac:dyDescent="0.25">
      <c r="A2188" s="567" t="s">
        <v>168</v>
      </c>
      <c r="B2188" s="644" t="s">
        <v>168</v>
      </c>
      <c r="C2188" s="645"/>
      <c r="D2188" s="422" t="s">
        <v>248</v>
      </c>
      <c r="E2188" s="423"/>
      <c r="F2188" s="424">
        <v>180</v>
      </c>
      <c r="G2188" s="425">
        <f>VLOOKUP(D2186,'[2]ENSAIOS DE ORÇAMENTO'!$C$3:$L$79,5,FALSE)</f>
        <v>1.09957375</v>
      </c>
      <c r="H2188" s="663">
        <f t="shared" ref="H2188:H2190" si="576">IF(F2188&lt;=30,(1.07*F2188+2.68)*G2188,((1.07*30+2.68)+1.07*(F2188-30))*G2188)</f>
        <v>214.7247619</v>
      </c>
      <c r="I2188" s="420"/>
      <c r="J2188" s="420"/>
      <c r="K2188" s="421">
        <f t="shared" si="570"/>
        <v>0</v>
      </c>
      <c r="L2188" s="647"/>
      <c r="M2188" s="723"/>
      <c r="N2188" s="576">
        <f t="shared" si="559"/>
        <v>0</v>
      </c>
      <c r="O2188" s="577">
        <f t="shared" si="573"/>
        <v>0</v>
      </c>
      <c r="P2188" s="578">
        <f t="shared" si="574"/>
        <v>0</v>
      </c>
      <c r="Q2188" s="765"/>
      <c r="R2188" s="723"/>
      <c r="S2188" s="723"/>
      <c r="T2188" s="577">
        <f t="shared" si="571"/>
        <v>0</v>
      </c>
      <c r="U2188" s="578">
        <f t="shared" si="572"/>
        <v>0</v>
      </c>
      <c r="V2188" s="579"/>
      <c r="W2188" s="566" t="str">
        <f>IF(U2186&gt;0,"xx",IF(P2186&gt;0,"xy",""))</f>
        <v/>
      </c>
      <c r="X2188" s="586" t="str">
        <f t="shared" si="556"/>
        <v/>
      </c>
      <c r="Y2188" s="586" t="str">
        <f t="shared" si="531"/>
        <v/>
      </c>
      <c r="Z2188" s="586" t="str">
        <f t="shared" si="564"/>
        <v/>
      </c>
    </row>
    <row r="2189" spans="1:26" ht="12" hidden="1" thickBot="1" x14ac:dyDescent="0.25">
      <c r="A2189" s="567" t="s">
        <v>168</v>
      </c>
      <c r="B2189" s="644" t="s">
        <v>168</v>
      </c>
      <c r="C2189" s="645"/>
      <c r="D2189" s="422" t="s">
        <v>252</v>
      </c>
      <c r="E2189" s="423"/>
      <c r="F2189" s="424">
        <v>20</v>
      </c>
      <c r="G2189" s="425">
        <f>VLOOKUP(D2186,'[2]ENSAIOS DE ORÇAMENTO'!$C$3:$L$79,6,FALSE)</f>
        <v>0.20424000000000003</v>
      </c>
      <c r="H2189" s="663">
        <f t="shared" si="576"/>
        <v>4.9180992000000012</v>
      </c>
      <c r="I2189" s="420"/>
      <c r="J2189" s="420"/>
      <c r="K2189" s="421">
        <f t="shared" si="570"/>
        <v>0</v>
      </c>
      <c r="L2189" s="647"/>
      <c r="M2189" s="723"/>
      <c r="N2189" s="576">
        <f t="shared" si="559"/>
        <v>0</v>
      </c>
      <c r="O2189" s="577">
        <f t="shared" si="573"/>
        <v>0</v>
      </c>
      <c r="P2189" s="578">
        <f t="shared" si="574"/>
        <v>0</v>
      </c>
      <c r="Q2189" s="765"/>
      <c r="R2189" s="723"/>
      <c r="S2189" s="723"/>
      <c r="T2189" s="577">
        <f t="shared" si="571"/>
        <v>0</v>
      </c>
      <c r="U2189" s="578">
        <f t="shared" si="572"/>
        <v>0</v>
      </c>
      <c r="V2189" s="579"/>
      <c r="W2189" s="566" t="str">
        <f>IF(U2186&gt;0,"xx",IF(P2186&gt;0,"xy",""))</f>
        <v/>
      </c>
      <c r="X2189" s="586" t="str">
        <f t="shared" si="556"/>
        <v/>
      </c>
      <c r="Y2189" s="586" t="str">
        <f t="shared" si="531"/>
        <v/>
      </c>
      <c r="Z2189" s="586" t="str">
        <f t="shared" si="564"/>
        <v/>
      </c>
    </row>
    <row r="2190" spans="1:26" ht="12" hidden="1" thickBot="1" x14ac:dyDescent="0.25">
      <c r="A2190" s="567" t="s">
        <v>168</v>
      </c>
      <c r="B2190" s="644" t="s">
        <v>168</v>
      </c>
      <c r="C2190" s="645"/>
      <c r="D2190" s="422" t="s">
        <v>400</v>
      </c>
      <c r="E2190" s="423"/>
      <c r="F2190" s="424">
        <v>30</v>
      </c>
      <c r="G2190" s="425">
        <f>VLOOKUP(D2186,'[2]ENSAIOS DE ORÇAMENTO'!$C$3:$L$79,3,FALSE)</f>
        <v>1.8358199999999998</v>
      </c>
      <c r="H2190" s="663">
        <f t="shared" si="576"/>
        <v>63.849819599999996</v>
      </c>
      <c r="I2190" s="420"/>
      <c r="J2190" s="420"/>
      <c r="K2190" s="421">
        <f t="shared" si="570"/>
        <v>0</v>
      </c>
      <c r="L2190" s="647"/>
      <c r="M2190" s="723"/>
      <c r="N2190" s="576">
        <f t="shared" si="559"/>
        <v>0</v>
      </c>
      <c r="O2190" s="577">
        <f t="shared" si="573"/>
        <v>0</v>
      </c>
      <c r="P2190" s="578">
        <f t="shared" si="574"/>
        <v>0</v>
      </c>
      <c r="Q2190" s="765"/>
      <c r="R2190" s="723"/>
      <c r="S2190" s="723"/>
      <c r="T2190" s="577">
        <f t="shared" si="571"/>
        <v>0</v>
      </c>
      <c r="U2190" s="578">
        <f t="shared" si="572"/>
        <v>0</v>
      </c>
      <c r="V2190" s="579"/>
      <c r="W2190" s="566" t="str">
        <f>IF(U2186&gt;0,"xx",IF(P2186&gt;0,"xy",""))</f>
        <v/>
      </c>
      <c r="X2190" s="586" t="str">
        <f t="shared" si="556"/>
        <v/>
      </c>
      <c r="Y2190" s="586" t="str">
        <f t="shared" si="531"/>
        <v/>
      </c>
      <c r="Z2190" s="586" t="str">
        <f t="shared" si="564"/>
        <v/>
      </c>
    </row>
    <row r="2191" spans="1:26" ht="12" hidden="1" thickBot="1" x14ac:dyDescent="0.25">
      <c r="A2191" s="567" t="s">
        <v>168</v>
      </c>
      <c r="B2191" s="644" t="s">
        <v>168</v>
      </c>
      <c r="C2191" s="645"/>
      <c r="D2191" s="422" t="s">
        <v>401</v>
      </c>
      <c r="E2191" s="423"/>
      <c r="F2191" s="424">
        <v>500</v>
      </c>
      <c r="G2191" s="425">
        <f>VLOOKUP(D2186,'[2]ENSAIOS DE ORÇAMENTO'!$C$3:$L$79,10,FALSE)</f>
        <v>6.1193999999999998E-2</v>
      </c>
      <c r="H2191" s="649">
        <f>IF(F2191&lt;=30,(0.78*F2191+7.82)*G2191,((0.78*30+7.82)+0.78*(F2191-30))*G2191)</f>
        <v>24.344197080000001</v>
      </c>
      <c r="I2191" s="420"/>
      <c r="J2191" s="420"/>
      <c r="K2191" s="421">
        <f t="shared" si="570"/>
        <v>0</v>
      </c>
      <c r="L2191" s="647"/>
      <c r="M2191" s="723"/>
      <c r="N2191" s="576">
        <f t="shared" si="559"/>
        <v>0</v>
      </c>
      <c r="O2191" s="577">
        <f t="shared" si="573"/>
        <v>0</v>
      </c>
      <c r="P2191" s="578">
        <f t="shared" si="574"/>
        <v>0</v>
      </c>
      <c r="Q2191" s="765"/>
      <c r="R2191" s="723"/>
      <c r="S2191" s="723"/>
      <c r="T2191" s="577">
        <f t="shared" si="571"/>
        <v>0</v>
      </c>
      <c r="U2191" s="578">
        <f t="shared" si="572"/>
        <v>0</v>
      </c>
      <c r="V2191" s="579"/>
      <c r="W2191" s="566" t="str">
        <f>IF(U2186&gt;0,"xx",IF(P2186&gt;0,"xy",""))</f>
        <v/>
      </c>
      <c r="X2191" s="586" t="str">
        <f t="shared" si="556"/>
        <v/>
      </c>
      <c r="Y2191" s="586" t="str">
        <f t="shared" si="531"/>
        <v/>
      </c>
      <c r="Z2191" s="586" t="str">
        <f t="shared" si="564"/>
        <v/>
      </c>
    </row>
    <row r="2192" spans="1:26" ht="12" hidden="1" thickBot="1" x14ac:dyDescent="0.25">
      <c r="A2192" s="567" t="s">
        <v>113</v>
      </c>
      <c r="B2192" s="644" t="s">
        <v>113</v>
      </c>
      <c r="C2192" s="645" t="s">
        <v>206</v>
      </c>
      <c r="D2192" s="422" t="s">
        <v>402</v>
      </c>
      <c r="E2192" s="423"/>
      <c r="F2192" s="424"/>
      <c r="G2192" s="425"/>
      <c r="H2192" s="651">
        <f>SUM(H2193:H2197)</f>
        <v>456.5251684000001</v>
      </c>
      <c r="I2192" s="420">
        <f>VLOOKUP(D2192,'[2]ENSAIOS DE ORÇAMENTO'!$C$3:$L$79,8,FALSE)</f>
        <v>1094.7577000000001</v>
      </c>
      <c r="J2192" s="420">
        <f>IF(ISBLANK(I2192),"",SUM(H2192:I2192))</f>
        <v>1551.2828684000001</v>
      </c>
      <c r="K2192" s="421">
        <f t="shared" si="570"/>
        <v>1843.08</v>
      </c>
      <c r="L2192" s="647" t="s">
        <v>21</v>
      </c>
      <c r="M2192" s="576"/>
      <c r="N2192" s="576">
        <f t="shared" si="559"/>
        <v>0</v>
      </c>
      <c r="O2192" s="577">
        <f t="shared" si="573"/>
        <v>0</v>
      </c>
      <c r="P2192" s="578">
        <f t="shared" si="574"/>
        <v>0</v>
      </c>
      <c r="Q2192" s="765"/>
      <c r="R2192" s="576">
        <f>M2192</f>
        <v>0</v>
      </c>
      <c r="S2192" s="576">
        <f>N2192</f>
        <v>0</v>
      </c>
      <c r="T2192" s="577">
        <f t="shared" si="571"/>
        <v>0</v>
      </c>
      <c r="U2192" s="578">
        <f t="shared" si="572"/>
        <v>0</v>
      </c>
      <c r="V2192" s="579"/>
      <c r="W2192" s="566"/>
      <c r="X2192" s="586" t="str">
        <f t="shared" ref="X2192:X2277" si="577">IF(W2192="X","x",IF(W2192="xx","x",IF(W2192="xy","x",IF(W2192="y","x",IF(OR(P2192&gt;0,U2192&gt;0),"x","")))))</f>
        <v/>
      </c>
      <c r="Y2192" s="586" t="str">
        <f t="shared" si="531"/>
        <v/>
      </c>
      <c r="Z2192" s="586" t="str">
        <f t="shared" si="564"/>
        <v/>
      </c>
    </row>
    <row r="2193" spans="1:26" ht="12" hidden="1" thickBot="1" x14ac:dyDescent="0.25">
      <c r="A2193" s="567" t="s">
        <v>168</v>
      </c>
      <c r="B2193" s="644" t="s">
        <v>168</v>
      </c>
      <c r="C2193" s="645"/>
      <c r="D2193" s="422" t="s">
        <v>212</v>
      </c>
      <c r="E2193" s="423"/>
      <c r="F2193" s="424">
        <v>500</v>
      </c>
      <c r="G2193" s="425">
        <f>VLOOKUP(D2192,'[2]ENSAIOS DE ORÇAMENTO'!$C$3:$L$79,4,FALSE)</f>
        <v>0.43266000000000004</v>
      </c>
      <c r="H2193" s="649">
        <f>IF(F2193&lt;=30,(0.78*F2193+7.82)*G2193,((0.78*30+7.82)+0.78*(F2193-30))*G2193)</f>
        <v>172.12080120000005</v>
      </c>
      <c r="I2193" s="420"/>
      <c r="J2193" s="420"/>
      <c r="K2193" s="421">
        <f t="shared" si="570"/>
        <v>0</v>
      </c>
      <c r="L2193" s="647"/>
      <c r="M2193" s="723"/>
      <c r="N2193" s="576">
        <f t="shared" si="559"/>
        <v>0</v>
      </c>
      <c r="O2193" s="577">
        <f t="shared" si="573"/>
        <v>0</v>
      </c>
      <c r="P2193" s="578">
        <f t="shared" si="574"/>
        <v>0</v>
      </c>
      <c r="Q2193" s="765"/>
      <c r="R2193" s="723"/>
      <c r="S2193" s="723"/>
      <c r="T2193" s="577">
        <f t="shared" si="571"/>
        <v>0</v>
      </c>
      <c r="U2193" s="578">
        <f t="shared" si="572"/>
        <v>0</v>
      </c>
      <c r="V2193" s="579"/>
      <c r="W2193" s="566" t="str">
        <f>IF(U2192&gt;0,"xx",IF(P2192&gt;0,"xy",""))</f>
        <v/>
      </c>
      <c r="X2193" s="586" t="str">
        <f t="shared" si="577"/>
        <v/>
      </c>
      <c r="Y2193" s="586" t="str">
        <f t="shared" si="531"/>
        <v/>
      </c>
      <c r="Z2193" s="586" t="str">
        <f t="shared" si="564"/>
        <v/>
      </c>
    </row>
    <row r="2194" spans="1:26" ht="12" hidden="1" thickBot="1" x14ac:dyDescent="0.25">
      <c r="A2194" s="567" t="s">
        <v>168</v>
      </c>
      <c r="B2194" s="644" t="s">
        <v>168</v>
      </c>
      <c r="C2194" s="645"/>
      <c r="D2194" s="422" t="s">
        <v>248</v>
      </c>
      <c r="E2194" s="423"/>
      <c r="F2194" s="424">
        <v>180</v>
      </c>
      <c r="G2194" s="425">
        <f>VLOOKUP(D2192,'[2]ENSAIOS DE ORÇAMENTO'!$C$3:$L$79,5,FALSE)</f>
        <v>1.26997</v>
      </c>
      <c r="H2194" s="663">
        <f t="shared" ref="H2194:H2196" si="578">IF(F2194&lt;=30,(1.07*F2194+2.68)*G2194,((1.07*30+2.68)+1.07*(F2194-30))*G2194)</f>
        <v>247.99974160000002</v>
      </c>
      <c r="I2194" s="420"/>
      <c r="J2194" s="420"/>
      <c r="K2194" s="421">
        <f t="shared" si="570"/>
        <v>0</v>
      </c>
      <c r="L2194" s="647"/>
      <c r="M2194" s="723"/>
      <c r="N2194" s="576">
        <f t="shared" si="559"/>
        <v>0</v>
      </c>
      <c r="O2194" s="577">
        <f t="shared" si="573"/>
        <v>0</v>
      </c>
      <c r="P2194" s="578">
        <f t="shared" si="574"/>
        <v>0</v>
      </c>
      <c r="Q2194" s="765"/>
      <c r="R2194" s="723"/>
      <c r="S2194" s="723"/>
      <c r="T2194" s="577">
        <f t="shared" si="571"/>
        <v>0</v>
      </c>
      <c r="U2194" s="578">
        <f t="shared" si="572"/>
        <v>0</v>
      </c>
      <c r="V2194" s="579"/>
      <c r="W2194" s="566" t="str">
        <f>IF(U2192&gt;0,"xx",IF(P2192&gt;0,"xy",""))</f>
        <v/>
      </c>
      <c r="X2194" s="586" t="str">
        <f t="shared" si="577"/>
        <v/>
      </c>
      <c r="Y2194" s="586" t="str">
        <f t="shared" si="531"/>
        <v/>
      </c>
      <c r="Z2194" s="586" t="str">
        <f t="shared" si="564"/>
        <v/>
      </c>
    </row>
    <row r="2195" spans="1:26" ht="12" hidden="1" thickBot="1" x14ac:dyDescent="0.25">
      <c r="A2195" s="567" t="s">
        <v>168</v>
      </c>
      <c r="B2195" s="644" t="s">
        <v>168</v>
      </c>
      <c r="C2195" s="645"/>
      <c r="D2195" s="422" t="s">
        <v>252</v>
      </c>
      <c r="E2195" s="423"/>
      <c r="F2195" s="424">
        <v>20</v>
      </c>
      <c r="G2195" s="425">
        <f>VLOOKUP(D2192,'[2]ENSAIOS DE ORÇAMENTO'!$C$3:$L$79,6,FALSE)</f>
        <v>1.5118200000000002</v>
      </c>
      <c r="H2195" s="663">
        <f t="shared" si="578"/>
        <v>36.40462560000001</v>
      </c>
      <c r="I2195" s="420"/>
      <c r="J2195" s="420"/>
      <c r="K2195" s="421">
        <f t="shared" si="570"/>
        <v>0</v>
      </c>
      <c r="L2195" s="647"/>
      <c r="M2195" s="723"/>
      <c r="N2195" s="576">
        <f t="shared" si="559"/>
        <v>0</v>
      </c>
      <c r="O2195" s="577">
        <f t="shared" si="573"/>
        <v>0</v>
      </c>
      <c r="P2195" s="578">
        <f t="shared" si="574"/>
        <v>0</v>
      </c>
      <c r="Q2195" s="765"/>
      <c r="R2195" s="723"/>
      <c r="S2195" s="723"/>
      <c r="T2195" s="577">
        <f t="shared" si="571"/>
        <v>0</v>
      </c>
      <c r="U2195" s="578">
        <f t="shared" si="572"/>
        <v>0</v>
      </c>
      <c r="V2195" s="579"/>
      <c r="W2195" s="566" t="str">
        <f>IF(U2192&gt;0,"xx",IF(P2192&gt;0,"xy",""))</f>
        <v/>
      </c>
      <c r="X2195" s="586" t="str">
        <f t="shared" si="577"/>
        <v/>
      </c>
      <c r="Y2195" s="586" t="str">
        <f t="shared" si="531"/>
        <v/>
      </c>
      <c r="Z2195" s="586" t="str">
        <f t="shared" si="564"/>
        <v/>
      </c>
    </row>
    <row r="2196" spans="1:26" ht="12" hidden="1" thickBot="1" x14ac:dyDescent="0.25">
      <c r="A2196" s="567" t="s">
        <v>168</v>
      </c>
      <c r="B2196" s="644" t="s">
        <v>168</v>
      </c>
      <c r="C2196" s="645"/>
      <c r="D2196" s="422" t="s">
        <v>400</v>
      </c>
      <c r="E2196" s="423"/>
      <c r="F2196" s="424">
        <v>30</v>
      </c>
      <c r="G2196" s="425">
        <f>VLOOKUP(D2192,'[2]ENSAIOS DE ORÇAMENTO'!$C$3:$L$79,3,FALSE)</f>
        <v>0</v>
      </c>
      <c r="H2196" s="663">
        <f t="shared" si="578"/>
        <v>0</v>
      </c>
      <c r="I2196" s="420"/>
      <c r="J2196" s="420"/>
      <c r="K2196" s="421">
        <f t="shared" si="570"/>
        <v>0</v>
      </c>
      <c r="L2196" s="647"/>
      <c r="M2196" s="723"/>
      <c r="N2196" s="576">
        <f t="shared" ref="N2196:N2259" si="579">IF(M2196=0,0,K2196)</f>
        <v>0</v>
      </c>
      <c r="O2196" s="577">
        <f t="shared" si="573"/>
        <v>0</v>
      </c>
      <c r="P2196" s="578">
        <f t="shared" si="574"/>
        <v>0</v>
      </c>
      <c r="Q2196" s="765"/>
      <c r="R2196" s="723"/>
      <c r="S2196" s="723"/>
      <c r="T2196" s="577">
        <f t="shared" si="571"/>
        <v>0</v>
      </c>
      <c r="U2196" s="578">
        <f t="shared" si="572"/>
        <v>0</v>
      </c>
      <c r="V2196" s="579"/>
      <c r="W2196" s="566" t="str">
        <f>IF(U2192&gt;0,"xx",IF(P2192&gt;0,"xy",""))</f>
        <v/>
      </c>
      <c r="X2196" s="586" t="str">
        <f t="shared" si="577"/>
        <v/>
      </c>
      <c r="Y2196" s="586" t="str">
        <f t="shared" si="531"/>
        <v/>
      </c>
      <c r="Z2196" s="586" t="str">
        <f t="shared" si="564"/>
        <v/>
      </c>
    </row>
    <row r="2197" spans="1:26" ht="12" hidden="1" thickBot="1" x14ac:dyDescent="0.25">
      <c r="A2197" s="567" t="s">
        <v>168</v>
      </c>
      <c r="B2197" s="644" t="s">
        <v>168</v>
      </c>
      <c r="C2197" s="645"/>
      <c r="D2197" s="422" t="s">
        <v>401</v>
      </c>
      <c r="E2197" s="423"/>
      <c r="F2197" s="424">
        <v>500</v>
      </c>
      <c r="G2197" s="425">
        <f>VLOOKUP(D2192,'[2]ENSAIOS DE ORÇAMENTO'!$C$3:$L$79,10,FALSE)</f>
        <v>0</v>
      </c>
      <c r="H2197" s="649">
        <f>IF(F2197&lt;=30,(0.78*F2197+7.82)*G2197,((0.78*30+7.82)+0.78*(F2197-30))*G2197)</f>
        <v>0</v>
      </c>
      <c r="I2197" s="420"/>
      <c r="J2197" s="420"/>
      <c r="K2197" s="421">
        <f t="shared" si="570"/>
        <v>0</v>
      </c>
      <c r="L2197" s="647"/>
      <c r="M2197" s="723"/>
      <c r="N2197" s="576">
        <f t="shared" si="579"/>
        <v>0</v>
      </c>
      <c r="O2197" s="577">
        <f t="shared" si="573"/>
        <v>0</v>
      </c>
      <c r="P2197" s="578">
        <f t="shared" si="574"/>
        <v>0</v>
      </c>
      <c r="Q2197" s="765"/>
      <c r="R2197" s="723"/>
      <c r="S2197" s="723"/>
      <c r="T2197" s="577">
        <f t="shared" si="571"/>
        <v>0</v>
      </c>
      <c r="U2197" s="578">
        <f t="shared" si="572"/>
        <v>0</v>
      </c>
      <c r="V2197" s="579"/>
      <c r="W2197" s="566" t="str">
        <f>IF(U2192&gt;0,"xx",IF(P2192&gt;0,"xy",""))</f>
        <v/>
      </c>
      <c r="X2197" s="586" t="str">
        <f t="shared" si="577"/>
        <v/>
      </c>
      <c r="Y2197" s="586" t="str">
        <f t="shared" si="531"/>
        <v/>
      </c>
      <c r="Z2197" s="586" t="str">
        <f t="shared" si="564"/>
        <v/>
      </c>
    </row>
    <row r="2198" spans="1:26" ht="12" hidden="1" thickBot="1" x14ac:dyDescent="0.25">
      <c r="A2198" s="567" t="s">
        <v>114</v>
      </c>
      <c r="B2198" s="644" t="s">
        <v>114</v>
      </c>
      <c r="C2198" s="645" t="s">
        <v>206</v>
      </c>
      <c r="D2198" s="422" t="s">
        <v>403</v>
      </c>
      <c r="E2198" s="423"/>
      <c r="F2198" s="424"/>
      <c r="G2198" s="425">
        <f>G2222</f>
        <v>0</v>
      </c>
      <c r="H2198" s="651">
        <f>SUM(H2199:H2203)</f>
        <v>568.01972080000007</v>
      </c>
      <c r="I2198" s="420">
        <f>VLOOKUP(D2198,'[2]ENSAIOS DE ORÇAMENTO'!$C$3:$L$79,8,FALSE)</f>
        <v>1275.7076000000002</v>
      </c>
      <c r="J2198" s="420">
        <f>IF(ISBLANK(I2198),"",SUM(H2198:I2198))</f>
        <v>1843.7273208000001</v>
      </c>
      <c r="K2198" s="421">
        <f t="shared" si="570"/>
        <v>2190.5300000000002</v>
      </c>
      <c r="L2198" s="647" t="s">
        <v>21</v>
      </c>
      <c r="M2198" s="576"/>
      <c r="N2198" s="576">
        <f t="shared" si="579"/>
        <v>0</v>
      </c>
      <c r="O2198" s="577">
        <f t="shared" si="573"/>
        <v>0</v>
      </c>
      <c r="P2198" s="578">
        <f t="shared" si="574"/>
        <v>0</v>
      </c>
      <c r="Q2198" s="765"/>
      <c r="R2198" s="576">
        <f>M2198</f>
        <v>0</v>
      </c>
      <c r="S2198" s="576">
        <f>N2198</f>
        <v>0</v>
      </c>
      <c r="T2198" s="577">
        <f t="shared" si="571"/>
        <v>0</v>
      </c>
      <c r="U2198" s="578">
        <f t="shared" si="572"/>
        <v>0</v>
      </c>
      <c r="V2198" s="579"/>
      <c r="W2198" s="566"/>
      <c r="X2198" s="586" t="str">
        <f t="shared" si="577"/>
        <v/>
      </c>
      <c r="Y2198" s="586" t="str">
        <f t="shared" si="531"/>
        <v/>
      </c>
      <c r="Z2198" s="586" t="str">
        <f t="shared" si="564"/>
        <v/>
      </c>
    </row>
    <row r="2199" spans="1:26" ht="12" hidden="1" thickBot="1" x14ac:dyDescent="0.25">
      <c r="A2199" s="567" t="s">
        <v>168</v>
      </c>
      <c r="B2199" s="644" t="s">
        <v>168</v>
      </c>
      <c r="C2199" s="645"/>
      <c r="D2199" s="422" t="s">
        <v>212</v>
      </c>
      <c r="E2199" s="423"/>
      <c r="F2199" s="424">
        <v>500</v>
      </c>
      <c r="G2199" s="425">
        <f>VLOOKUP(D2198,'[2]ENSAIOS DE ORÇAMENTO'!$C$3:$L$79,4,FALSE)</f>
        <v>0.54156000000000004</v>
      </c>
      <c r="H2199" s="649">
        <f>IF(F2199&lt;=30,(0.78*F2199+7.82)*G2199,((0.78*30+7.82)+0.78*(F2199-30))*G2199)</f>
        <v>215.44339920000004</v>
      </c>
      <c r="I2199" s="420"/>
      <c r="J2199" s="420"/>
      <c r="K2199" s="421">
        <f t="shared" si="570"/>
        <v>0</v>
      </c>
      <c r="L2199" s="647"/>
      <c r="M2199" s="723"/>
      <c r="N2199" s="576">
        <f t="shared" si="579"/>
        <v>0</v>
      </c>
      <c r="O2199" s="577">
        <f t="shared" si="573"/>
        <v>0</v>
      </c>
      <c r="P2199" s="578">
        <f t="shared" si="574"/>
        <v>0</v>
      </c>
      <c r="Q2199" s="765"/>
      <c r="R2199" s="723"/>
      <c r="S2199" s="723"/>
      <c r="T2199" s="577">
        <f t="shared" si="571"/>
        <v>0</v>
      </c>
      <c r="U2199" s="578">
        <f t="shared" si="572"/>
        <v>0</v>
      </c>
      <c r="V2199" s="579"/>
      <c r="W2199" s="566" t="str">
        <f>IF(U2198&gt;0,"xx",IF(P2198&gt;0,"xy",""))</f>
        <v/>
      </c>
      <c r="X2199" s="586" t="str">
        <f t="shared" si="577"/>
        <v/>
      </c>
      <c r="Y2199" s="586" t="str">
        <f t="shared" si="531"/>
        <v/>
      </c>
      <c r="Z2199" s="586" t="str">
        <f t="shared" si="564"/>
        <v/>
      </c>
    </row>
    <row r="2200" spans="1:26" ht="12" hidden="1" thickBot="1" x14ac:dyDescent="0.25">
      <c r="A2200" s="567" t="s">
        <v>168</v>
      </c>
      <c r="B2200" s="644" t="s">
        <v>168</v>
      </c>
      <c r="C2200" s="645"/>
      <c r="D2200" s="422" t="s">
        <v>248</v>
      </c>
      <c r="E2200" s="423"/>
      <c r="F2200" s="424">
        <v>180</v>
      </c>
      <c r="G2200" s="425">
        <f>VLOOKUP(D2198,'[2]ENSAIOS DE ORÇAMENTO'!$C$3:$L$79,5,FALSE)</f>
        <v>1.5739000000000001</v>
      </c>
      <c r="H2200" s="663">
        <f t="shared" ref="H2200:H2202" si="580">IF(F2200&lt;=30,(1.07*F2200+2.68)*G2200,((1.07*30+2.68)+1.07*(F2200-30))*G2200)</f>
        <v>307.35119200000003</v>
      </c>
      <c r="I2200" s="420"/>
      <c r="J2200" s="420"/>
      <c r="K2200" s="421">
        <f t="shared" si="570"/>
        <v>0</v>
      </c>
      <c r="L2200" s="647"/>
      <c r="M2200" s="723"/>
      <c r="N2200" s="576">
        <f t="shared" si="579"/>
        <v>0</v>
      </c>
      <c r="O2200" s="577">
        <f t="shared" si="573"/>
        <v>0</v>
      </c>
      <c r="P2200" s="578">
        <f t="shared" si="574"/>
        <v>0</v>
      </c>
      <c r="Q2200" s="765"/>
      <c r="R2200" s="723"/>
      <c r="S2200" s="723"/>
      <c r="T2200" s="577">
        <f t="shared" si="571"/>
        <v>0</v>
      </c>
      <c r="U2200" s="578">
        <f t="shared" si="572"/>
        <v>0</v>
      </c>
      <c r="V2200" s="579"/>
      <c r="W2200" s="566" t="str">
        <f>IF(U2198&gt;0,"xx",IF(P2198&gt;0,"xy",""))</f>
        <v/>
      </c>
      <c r="X2200" s="586" t="str">
        <f t="shared" si="577"/>
        <v/>
      </c>
      <c r="Y2200" s="586" t="str">
        <f t="shared" si="531"/>
        <v/>
      </c>
      <c r="Z2200" s="586" t="str">
        <f t="shared" si="564"/>
        <v/>
      </c>
    </row>
    <row r="2201" spans="1:26" ht="12" hidden="1" thickBot="1" x14ac:dyDescent="0.25">
      <c r="A2201" s="567" t="s">
        <v>168</v>
      </c>
      <c r="B2201" s="644" t="s">
        <v>168</v>
      </c>
      <c r="C2201" s="645"/>
      <c r="D2201" s="422" t="s">
        <v>252</v>
      </c>
      <c r="E2201" s="423"/>
      <c r="F2201" s="424">
        <v>20</v>
      </c>
      <c r="G2201" s="425">
        <f>VLOOKUP(D2198,'[2]ENSAIOS DE ORÇAMENTO'!$C$3:$L$79,6,FALSE)</f>
        <v>1.8781200000000002</v>
      </c>
      <c r="H2201" s="663">
        <f t="shared" si="580"/>
        <v>45.22512960000001</v>
      </c>
      <c r="I2201" s="420"/>
      <c r="J2201" s="420"/>
      <c r="K2201" s="421">
        <f t="shared" si="570"/>
        <v>0</v>
      </c>
      <c r="L2201" s="647"/>
      <c r="M2201" s="723"/>
      <c r="N2201" s="576">
        <f t="shared" si="579"/>
        <v>0</v>
      </c>
      <c r="O2201" s="577">
        <f t="shared" si="573"/>
        <v>0</v>
      </c>
      <c r="P2201" s="578">
        <f t="shared" si="574"/>
        <v>0</v>
      </c>
      <c r="Q2201" s="765"/>
      <c r="R2201" s="723"/>
      <c r="S2201" s="723"/>
      <c r="T2201" s="577">
        <f t="shared" si="571"/>
        <v>0</v>
      </c>
      <c r="U2201" s="578">
        <f t="shared" si="572"/>
        <v>0</v>
      </c>
      <c r="V2201" s="579"/>
      <c r="W2201" s="566" t="str">
        <f>IF(U2198&gt;0,"xx",IF(P2198&gt;0,"xy",""))</f>
        <v/>
      </c>
      <c r="X2201" s="586" t="str">
        <f t="shared" si="577"/>
        <v/>
      </c>
      <c r="Y2201" s="586" t="str">
        <f t="shared" si="531"/>
        <v/>
      </c>
      <c r="Z2201" s="586" t="str">
        <f t="shared" si="564"/>
        <v/>
      </c>
    </row>
    <row r="2202" spans="1:26" ht="12" hidden="1" thickBot="1" x14ac:dyDescent="0.25">
      <c r="A2202" s="567" t="s">
        <v>168</v>
      </c>
      <c r="B2202" s="644" t="s">
        <v>168</v>
      </c>
      <c r="C2202" s="645"/>
      <c r="D2202" s="422" t="s">
        <v>400</v>
      </c>
      <c r="E2202" s="423"/>
      <c r="F2202" s="424">
        <v>30</v>
      </c>
      <c r="G2202" s="425">
        <f>VLOOKUP(D2198,'[2]ENSAIOS DE ORÇAMENTO'!$C$3:$L$79,3,FALSE)</f>
        <v>0</v>
      </c>
      <c r="H2202" s="663">
        <f t="shared" si="580"/>
        <v>0</v>
      </c>
      <c r="I2202" s="420"/>
      <c r="J2202" s="420"/>
      <c r="K2202" s="421">
        <f t="shared" si="570"/>
        <v>0</v>
      </c>
      <c r="L2202" s="647"/>
      <c r="M2202" s="723"/>
      <c r="N2202" s="576">
        <f t="shared" si="579"/>
        <v>0</v>
      </c>
      <c r="O2202" s="577">
        <f t="shared" si="573"/>
        <v>0</v>
      </c>
      <c r="P2202" s="578">
        <f t="shared" si="574"/>
        <v>0</v>
      </c>
      <c r="Q2202" s="765"/>
      <c r="R2202" s="723"/>
      <c r="S2202" s="723"/>
      <c r="T2202" s="577">
        <f t="shared" si="571"/>
        <v>0</v>
      </c>
      <c r="U2202" s="578">
        <f t="shared" si="572"/>
        <v>0</v>
      </c>
      <c r="V2202" s="579"/>
      <c r="W2202" s="566" t="str">
        <f>IF(U2198&gt;0,"xx",IF(P2198&gt;0,"xy",""))</f>
        <v/>
      </c>
      <c r="X2202" s="586" t="str">
        <f t="shared" si="577"/>
        <v/>
      </c>
      <c r="Y2202" s="586" t="str">
        <f t="shared" si="531"/>
        <v/>
      </c>
      <c r="Z2202" s="586" t="str">
        <f t="shared" si="564"/>
        <v/>
      </c>
    </row>
    <row r="2203" spans="1:26" ht="12" hidden="1" thickBot="1" x14ac:dyDescent="0.25">
      <c r="A2203" s="567" t="s">
        <v>168</v>
      </c>
      <c r="B2203" s="644" t="s">
        <v>168</v>
      </c>
      <c r="C2203" s="645"/>
      <c r="D2203" s="422" t="s">
        <v>401</v>
      </c>
      <c r="E2203" s="423"/>
      <c r="F2203" s="424">
        <v>500</v>
      </c>
      <c r="G2203" s="425">
        <f>VLOOKUP(D2198,'[2]ENSAIOS DE ORÇAMENTO'!$C$3:$L$79,10,FALSE)</f>
        <v>0</v>
      </c>
      <c r="H2203" s="649">
        <f>IF(F2203&lt;=30,(0.78*F2203+7.82)*G2203,((0.78*30+7.82)+0.78*(F2203-30))*G2203)</f>
        <v>0</v>
      </c>
      <c r="I2203" s="420"/>
      <c r="J2203" s="420"/>
      <c r="K2203" s="421">
        <f t="shared" si="570"/>
        <v>0</v>
      </c>
      <c r="L2203" s="647"/>
      <c r="M2203" s="723"/>
      <c r="N2203" s="576">
        <f t="shared" si="579"/>
        <v>0</v>
      </c>
      <c r="O2203" s="577">
        <f t="shared" si="573"/>
        <v>0</v>
      </c>
      <c r="P2203" s="578">
        <f t="shared" si="574"/>
        <v>0</v>
      </c>
      <c r="Q2203" s="765"/>
      <c r="R2203" s="723"/>
      <c r="S2203" s="723"/>
      <c r="T2203" s="577">
        <f t="shared" si="571"/>
        <v>0</v>
      </c>
      <c r="U2203" s="578">
        <f t="shared" si="572"/>
        <v>0</v>
      </c>
      <c r="V2203" s="579"/>
      <c r="W2203" s="566" t="str">
        <f>IF(U2198&gt;0,"xx",IF(P2198&gt;0,"xy",""))</f>
        <v/>
      </c>
      <c r="X2203" s="586" t="str">
        <f t="shared" si="577"/>
        <v/>
      </c>
      <c r="Y2203" s="586" t="str">
        <f t="shared" si="531"/>
        <v/>
      </c>
      <c r="Z2203" s="586" t="str">
        <f t="shared" si="564"/>
        <v/>
      </c>
    </row>
    <row r="2204" spans="1:26" ht="12" hidden="1" thickBot="1" x14ac:dyDescent="0.25">
      <c r="A2204" s="567" t="s">
        <v>115</v>
      </c>
      <c r="B2204" s="644" t="s">
        <v>115</v>
      </c>
      <c r="C2204" s="645" t="s">
        <v>206</v>
      </c>
      <c r="D2204" s="422" t="s">
        <v>404</v>
      </c>
      <c r="E2204" s="423"/>
      <c r="F2204" s="424"/>
      <c r="G2204" s="425">
        <f>G2228</f>
        <v>0</v>
      </c>
      <c r="H2204" s="651">
        <f>SUM(H2205:H2209)</f>
        <v>750.46535200000017</v>
      </c>
      <c r="I2204" s="420">
        <f>VLOOKUP(D2204,'[2]ENSAIOS DE ORÇAMENTO'!$C$3:$L$79,8,FALSE)</f>
        <v>1572.3155999999999</v>
      </c>
      <c r="J2204" s="420">
        <f>IF(ISBLANK(I2204),"",SUM(H2204:I2204))</f>
        <v>2322.7809520000001</v>
      </c>
      <c r="K2204" s="421">
        <f t="shared" si="570"/>
        <v>2759.7</v>
      </c>
      <c r="L2204" s="647" t="s">
        <v>21</v>
      </c>
      <c r="M2204" s="576"/>
      <c r="N2204" s="576">
        <f t="shared" si="579"/>
        <v>0</v>
      </c>
      <c r="O2204" s="577">
        <f t="shared" si="573"/>
        <v>0</v>
      </c>
      <c r="P2204" s="578">
        <f t="shared" si="574"/>
        <v>0</v>
      </c>
      <c r="Q2204" s="765"/>
      <c r="R2204" s="576">
        <f>M2204</f>
        <v>0</v>
      </c>
      <c r="S2204" s="576">
        <f>N2204</f>
        <v>0</v>
      </c>
      <c r="T2204" s="577">
        <f t="shared" si="571"/>
        <v>0</v>
      </c>
      <c r="U2204" s="578">
        <f t="shared" si="572"/>
        <v>0</v>
      </c>
      <c r="V2204" s="579"/>
      <c r="W2204" s="566"/>
      <c r="X2204" s="586" t="str">
        <f t="shared" si="577"/>
        <v/>
      </c>
      <c r="Y2204" s="586" t="str">
        <f t="shared" si="531"/>
        <v/>
      </c>
      <c r="Z2204" s="586" t="str">
        <f t="shared" si="564"/>
        <v/>
      </c>
    </row>
    <row r="2205" spans="1:26" ht="12" hidden="1" thickBot="1" x14ac:dyDescent="0.25">
      <c r="A2205" s="567" t="s">
        <v>168</v>
      </c>
      <c r="B2205" s="644" t="s">
        <v>168</v>
      </c>
      <c r="C2205" s="645"/>
      <c r="D2205" s="422" t="s">
        <v>212</v>
      </c>
      <c r="E2205" s="423"/>
      <c r="F2205" s="424">
        <v>500</v>
      </c>
      <c r="G2205" s="425">
        <f>VLOOKUP(D2204,'[2]ENSAIOS DE ORÇAMENTO'!$C$3:$L$79,4,FALSE)</f>
        <v>0.71976000000000007</v>
      </c>
      <c r="H2205" s="649">
        <f>IF(F2205&lt;=30,(0.78*F2205+7.82)*G2205,((0.78*30+7.82)+0.78*(F2205-30))*G2205)</f>
        <v>286.33492320000005</v>
      </c>
      <c r="I2205" s="420"/>
      <c r="J2205" s="420"/>
      <c r="K2205" s="421">
        <f t="shared" si="570"/>
        <v>0</v>
      </c>
      <c r="L2205" s="647"/>
      <c r="M2205" s="723"/>
      <c r="N2205" s="576">
        <f t="shared" si="579"/>
        <v>0</v>
      </c>
      <c r="O2205" s="577">
        <f t="shared" si="573"/>
        <v>0</v>
      </c>
      <c r="P2205" s="578">
        <f t="shared" si="574"/>
        <v>0</v>
      </c>
      <c r="Q2205" s="765"/>
      <c r="R2205" s="723"/>
      <c r="S2205" s="723"/>
      <c r="T2205" s="577">
        <f t="shared" si="571"/>
        <v>0</v>
      </c>
      <c r="U2205" s="578">
        <f t="shared" si="572"/>
        <v>0</v>
      </c>
      <c r="V2205" s="579"/>
      <c r="W2205" s="566" t="str">
        <f>IF(U2204&gt;0,"xx",IF(P2204&gt;0,"xy",""))</f>
        <v/>
      </c>
      <c r="X2205" s="586" t="str">
        <f t="shared" si="577"/>
        <v/>
      </c>
      <c r="Y2205" s="586" t="str">
        <f t="shared" si="531"/>
        <v/>
      </c>
      <c r="Z2205" s="586" t="str">
        <f t="shared" si="564"/>
        <v/>
      </c>
    </row>
    <row r="2206" spans="1:26" ht="12" hidden="1" thickBot="1" x14ac:dyDescent="0.25">
      <c r="A2206" s="567" t="s">
        <v>168</v>
      </c>
      <c r="B2206" s="644" t="s">
        <v>168</v>
      </c>
      <c r="C2206" s="645"/>
      <c r="D2206" s="422" t="s">
        <v>248</v>
      </c>
      <c r="E2206" s="423"/>
      <c r="F2206" s="424">
        <v>180</v>
      </c>
      <c r="G2206" s="425">
        <f>VLOOKUP(D2204,'[2]ENSAIOS DE ORÇAMENTO'!$C$3:$L$79,5,FALSE)</f>
        <v>2.0712400000000004</v>
      </c>
      <c r="H2206" s="663">
        <f t="shared" ref="H2206:H2208" si="581">IF(F2206&lt;=30,(1.07*F2206+2.68)*G2206,((1.07*30+2.68)+1.07*(F2206-30))*G2206)</f>
        <v>404.4717472000001</v>
      </c>
      <c r="I2206" s="420"/>
      <c r="J2206" s="420"/>
      <c r="K2206" s="421">
        <f t="shared" si="570"/>
        <v>0</v>
      </c>
      <c r="L2206" s="647"/>
      <c r="M2206" s="723"/>
      <c r="N2206" s="576">
        <f t="shared" si="579"/>
        <v>0</v>
      </c>
      <c r="O2206" s="577">
        <f t="shared" si="573"/>
        <v>0</v>
      </c>
      <c r="P2206" s="578">
        <f t="shared" si="574"/>
        <v>0</v>
      </c>
      <c r="Q2206" s="765"/>
      <c r="R2206" s="723"/>
      <c r="S2206" s="723"/>
      <c r="T2206" s="577">
        <f t="shared" si="571"/>
        <v>0</v>
      </c>
      <c r="U2206" s="578">
        <f t="shared" si="572"/>
        <v>0</v>
      </c>
      <c r="V2206" s="579"/>
      <c r="W2206" s="566" t="str">
        <f>IF(U2204&gt;0,"xx",IF(P2204&gt;0,"xy",""))</f>
        <v/>
      </c>
      <c r="X2206" s="586" t="str">
        <f t="shared" si="577"/>
        <v/>
      </c>
      <c r="Y2206" s="586" t="str">
        <f t="shared" si="531"/>
        <v/>
      </c>
      <c r="Z2206" s="586" t="str">
        <f t="shared" si="564"/>
        <v/>
      </c>
    </row>
    <row r="2207" spans="1:26" ht="12" hidden="1" thickBot="1" x14ac:dyDescent="0.25">
      <c r="A2207" s="567" t="s">
        <v>168</v>
      </c>
      <c r="B2207" s="644" t="s">
        <v>168</v>
      </c>
      <c r="C2207" s="645"/>
      <c r="D2207" s="422" t="s">
        <v>252</v>
      </c>
      <c r="E2207" s="423"/>
      <c r="F2207" s="424">
        <v>20</v>
      </c>
      <c r="G2207" s="425">
        <f>VLOOKUP(D2204,'[2]ENSAIOS DE ORÇAMENTO'!$C$3:$L$79,6,FALSE)</f>
        <v>2.4775200000000002</v>
      </c>
      <c r="H2207" s="663">
        <f t="shared" si="581"/>
        <v>59.658681600000008</v>
      </c>
      <c r="I2207" s="420"/>
      <c r="J2207" s="420"/>
      <c r="K2207" s="421">
        <f t="shared" si="570"/>
        <v>0</v>
      </c>
      <c r="L2207" s="647"/>
      <c r="M2207" s="723"/>
      <c r="N2207" s="576">
        <f t="shared" si="579"/>
        <v>0</v>
      </c>
      <c r="O2207" s="577">
        <f t="shared" si="573"/>
        <v>0</v>
      </c>
      <c r="P2207" s="578">
        <f t="shared" si="574"/>
        <v>0</v>
      </c>
      <c r="Q2207" s="765"/>
      <c r="R2207" s="723"/>
      <c r="S2207" s="723"/>
      <c r="T2207" s="577">
        <f t="shared" si="571"/>
        <v>0</v>
      </c>
      <c r="U2207" s="578">
        <f t="shared" si="572"/>
        <v>0</v>
      </c>
      <c r="V2207" s="579"/>
      <c r="W2207" s="566" t="str">
        <f>IF(U2204&gt;0,"xx",IF(P2204&gt;0,"xy",""))</f>
        <v/>
      </c>
      <c r="X2207" s="586" t="str">
        <f t="shared" si="577"/>
        <v/>
      </c>
      <c r="Y2207" s="586" t="str">
        <f t="shared" si="531"/>
        <v/>
      </c>
      <c r="Z2207" s="586" t="str">
        <f t="shared" si="564"/>
        <v/>
      </c>
    </row>
    <row r="2208" spans="1:26" ht="12" hidden="1" thickBot="1" x14ac:dyDescent="0.25">
      <c r="A2208" s="567" t="s">
        <v>168</v>
      </c>
      <c r="B2208" s="644" t="s">
        <v>168</v>
      </c>
      <c r="C2208" s="645"/>
      <c r="D2208" s="422" t="s">
        <v>400</v>
      </c>
      <c r="E2208" s="423"/>
      <c r="F2208" s="424">
        <v>30</v>
      </c>
      <c r="G2208" s="425">
        <f>VLOOKUP(D2204,'[2]ENSAIOS DE ORÇAMENTO'!$C$3:$L$79,3,FALSE)</f>
        <v>0</v>
      </c>
      <c r="H2208" s="663">
        <f t="shared" si="581"/>
        <v>0</v>
      </c>
      <c r="I2208" s="420"/>
      <c r="J2208" s="420"/>
      <c r="K2208" s="421">
        <f t="shared" si="570"/>
        <v>0</v>
      </c>
      <c r="L2208" s="647"/>
      <c r="M2208" s="723"/>
      <c r="N2208" s="576">
        <f t="shared" si="579"/>
        <v>0</v>
      </c>
      <c r="O2208" s="577">
        <f t="shared" si="573"/>
        <v>0</v>
      </c>
      <c r="P2208" s="578">
        <f t="shared" si="574"/>
        <v>0</v>
      </c>
      <c r="Q2208" s="765"/>
      <c r="R2208" s="723"/>
      <c r="S2208" s="723"/>
      <c r="T2208" s="577">
        <f t="shared" si="571"/>
        <v>0</v>
      </c>
      <c r="U2208" s="578">
        <f t="shared" si="572"/>
        <v>0</v>
      </c>
      <c r="V2208" s="579"/>
      <c r="W2208" s="566" t="str">
        <f>IF(U2204&gt;0,"xx",IF(P2204&gt;0,"xy",""))</f>
        <v/>
      </c>
      <c r="X2208" s="586" t="str">
        <f t="shared" si="577"/>
        <v/>
      </c>
      <c r="Y2208" s="586" t="str">
        <f t="shared" si="531"/>
        <v/>
      </c>
      <c r="Z2208" s="586" t="str">
        <f t="shared" si="564"/>
        <v/>
      </c>
    </row>
    <row r="2209" spans="1:26" ht="12" hidden="1" thickBot="1" x14ac:dyDescent="0.25">
      <c r="A2209" s="567" t="s">
        <v>168</v>
      </c>
      <c r="B2209" s="644" t="s">
        <v>168</v>
      </c>
      <c r="C2209" s="645"/>
      <c r="D2209" s="422" t="s">
        <v>401</v>
      </c>
      <c r="E2209" s="423"/>
      <c r="F2209" s="424">
        <v>500</v>
      </c>
      <c r="G2209" s="425">
        <f>VLOOKUP(D2204,'[2]ENSAIOS DE ORÇAMENTO'!$C$3:$L$79,10,FALSE)</f>
        <v>0</v>
      </c>
      <c r="H2209" s="649">
        <f>IF(F2209&lt;=30,(0.78*F2209+7.82)*G2209,((0.78*30+7.82)+0.78*(F2209-30))*G2209)</f>
        <v>0</v>
      </c>
      <c r="I2209" s="420"/>
      <c r="J2209" s="420"/>
      <c r="K2209" s="421">
        <f t="shared" si="570"/>
        <v>0</v>
      </c>
      <c r="L2209" s="647"/>
      <c r="M2209" s="723"/>
      <c r="N2209" s="576">
        <f t="shared" si="579"/>
        <v>0</v>
      </c>
      <c r="O2209" s="577">
        <f t="shared" si="573"/>
        <v>0</v>
      </c>
      <c r="P2209" s="578">
        <f t="shared" si="574"/>
        <v>0</v>
      </c>
      <c r="Q2209" s="765"/>
      <c r="R2209" s="723"/>
      <c r="S2209" s="723"/>
      <c r="T2209" s="577">
        <f t="shared" si="571"/>
        <v>0</v>
      </c>
      <c r="U2209" s="578">
        <f t="shared" si="572"/>
        <v>0</v>
      </c>
      <c r="V2209" s="579"/>
      <c r="W2209" s="566" t="str">
        <f>IF(U2204&gt;0,"xx",IF(P2204&gt;0,"xy",""))</f>
        <v/>
      </c>
      <c r="X2209" s="586" t="str">
        <f t="shared" si="577"/>
        <v/>
      </c>
      <c r="Y2209" s="586" t="str">
        <f t="shared" si="531"/>
        <v/>
      </c>
      <c r="Z2209" s="586" t="str">
        <f t="shared" si="564"/>
        <v/>
      </c>
    </row>
    <row r="2210" spans="1:26" ht="12" hidden="1" thickBot="1" x14ac:dyDescent="0.25">
      <c r="A2210" s="567" t="s">
        <v>116</v>
      </c>
      <c r="B2210" s="644" t="s">
        <v>116</v>
      </c>
      <c r="C2210" s="645" t="s">
        <v>206</v>
      </c>
      <c r="D2210" s="422" t="s">
        <v>405</v>
      </c>
      <c r="E2210" s="423"/>
      <c r="F2210" s="424"/>
      <c r="G2210" s="425">
        <f>G2234</f>
        <v>0</v>
      </c>
      <c r="H2210" s="651">
        <f>IF(F2210&lt;=30,(0.62*F2210+6.29)*G2210,((0.62*30+6.29)+0.62*(F2210-30))*G2210)</f>
        <v>0</v>
      </c>
      <c r="I2210" s="420">
        <f>VLOOKUP(D2210,'[2]ENSAIOS DE ORÇAMENTO'!$C$3:$L$79,8,FALSE)</f>
        <v>1873.8007000000002</v>
      </c>
      <c r="J2210" s="420">
        <f>IF(ISBLANK(I2210),"",SUM(H2210:I2210))</f>
        <v>1873.8007000000002</v>
      </c>
      <c r="K2210" s="421">
        <f t="shared" si="570"/>
        <v>2226.2600000000002</v>
      </c>
      <c r="L2210" s="647" t="s">
        <v>21</v>
      </c>
      <c r="M2210" s="576"/>
      <c r="N2210" s="576">
        <f t="shared" si="579"/>
        <v>0</v>
      </c>
      <c r="O2210" s="577">
        <f t="shared" si="573"/>
        <v>0</v>
      </c>
      <c r="P2210" s="578">
        <f t="shared" si="574"/>
        <v>0</v>
      </c>
      <c r="Q2210" s="765"/>
      <c r="R2210" s="576">
        <f>M2210</f>
        <v>0</v>
      </c>
      <c r="S2210" s="576">
        <f>N2210</f>
        <v>0</v>
      </c>
      <c r="T2210" s="577">
        <f t="shared" si="571"/>
        <v>0</v>
      </c>
      <c r="U2210" s="578">
        <f t="shared" si="572"/>
        <v>0</v>
      </c>
      <c r="V2210" s="579"/>
      <c r="W2210" s="566"/>
      <c r="X2210" s="586" t="str">
        <f t="shared" si="577"/>
        <v/>
      </c>
      <c r="Y2210" s="586" t="str">
        <f t="shared" si="531"/>
        <v/>
      </c>
      <c r="Z2210" s="586" t="str">
        <f t="shared" si="564"/>
        <v/>
      </c>
    </row>
    <row r="2211" spans="1:26" ht="12" hidden="1" thickBot="1" x14ac:dyDescent="0.25">
      <c r="A2211" s="567" t="s">
        <v>168</v>
      </c>
      <c r="B2211" s="644" t="s">
        <v>168</v>
      </c>
      <c r="C2211" s="645"/>
      <c r="D2211" s="422" t="s">
        <v>212</v>
      </c>
      <c r="E2211" s="423"/>
      <c r="F2211" s="424">
        <v>500</v>
      </c>
      <c r="G2211" s="425">
        <f>VLOOKUP(D2210,'[2]ENSAIOS DE ORÇAMENTO'!$C$3:$L$79,4,FALSE)</f>
        <v>0.90125999999999995</v>
      </c>
      <c r="H2211" s="649">
        <f>IF(F2211&lt;=30,(0.78*F2211+7.82)*G2211,((0.78*30+7.82)+0.78*(F2211-30))*G2211)</f>
        <v>358.53925320000002</v>
      </c>
      <c r="I2211" s="420"/>
      <c r="J2211" s="420"/>
      <c r="K2211" s="421">
        <f t="shared" si="570"/>
        <v>0</v>
      </c>
      <c r="L2211" s="647"/>
      <c r="M2211" s="723"/>
      <c r="N2211" s="576">
        <f t="shared" si="579"/>
        <v>0</v>
      </c>
      <c r="O2211" s="577">
        <f t="shared" si="573"/>
        <v>0</v>
      </c>
      <c r="P2211" s="578">
        <f t="shared" si="574"/>
        <v>0</v>
      </c>
      <c r="Q2211" s="765"/>
      <c r="R2211" s="723"/>
      <c r="S2211" s="723"/>
      <c r="T2211" s="577">
        <f t="shared" si="571"/>
        <v>0</v>
      </c>
      <c r="U2211" s="578">
        <f t="shared" si="572"/>
        <v>0</v>
      </c>
      <c r="V2211" s="579"/>
      <c r="W2211" s="566" t="str">
        <f>IF(U2210&gt;0,"xx",IF(P2210&gt;0,"xy",""))</f>
        <v/>
      </c>
      <c r="X2211" s="586" t="str">
        <f t="shared" si="577"/>
        <v/>
      </c>
      <c r="Y2211" s="586" t="str">
        <f t="shared" si="531"/>
        <v/>
      </c>
      <c r="Z2211" s="586" t="str">
        <f t="shared" si="564"/>
        <v/>
      </c>
    </row>
    <row r="2212" spans="1:26" ht="12" hidden="1" thickBot="1" x14ac:dyDescent="0.25">
      <c r="A2212" s="567" t="s">
        <v>168</v>
      </c>
      <c r="B2212" s="644" t="s">
        <v>168</v>
      </c>
      <c r="C2212" s="645"/>
      <c r="D2212" s="422" t="s">
        <v>248</v>
      </c>
      <c r="E2212" s="423"/>
      <c r="F2212" s="424">
        <v>180</v>
      </c>
      <c r="G2212" s="425">
        <f>VLOOKUP(D2210,'[2]ENSAIOS DE ORÇAMENTO'!$C$3:$L$79,5,FALSE)</f>
        <v>2.5777900000000002</v>
      </c>
      <c r="H2212" s="663">
        <f t="shared" ref="H2212:H2214" si="582">IF(F2212&lt;=30,(1.07*F2212+2.68)*G2212,((1.07*30+2.68)+1.07*(F2212-30))*G2212)</f>
        <v>503.39083120000004</v>
      </c>
      <c r="I2212" s="420"/>
      <c r="J2212" s="420"/>
      <c r="K2212" s="421">
        <f t="shared" si="570"/>
        <v>0</v>
      </c>
      <c r="L2212" s="647"/>
      <c r="M2212" s="723"/>
      <c r="N2212" s="576">
        <f t="shared" si="579"/>
        <v>0</v>
      </c>
      <c r="O2212" s="577">
        <f t="shared" si="573"/>
        <v>0</v>
      </c>
      <c r="P2212" s="578">
        <f t="shared" si="574"/>
        <v>0</v>
      </c>
      <c r="Q2212" s="765"/>
      <c r="R2212" s="723"/>
      <c r="S2212" s="723"/>
      <c r="T2212" s="577">
        <f t="shared" si="571"/>
        <v>0</v>
      </c>
      <c r="U2212" s="578">
        <f t="shared" si="572"/>
        <v>0</v>
      </c>
      <c r="V2212" s="579"/>
      <c r="W2212" s="566" t="str">
        <f>IF(U2210&gt;0,"xx",IF(P2210&gt;0,"xy",""))</f>
        <v/>
      </c>
      <c r="X2212" s="586" t="str">
        <f t="shared" si="577"/>
        <v/>
      </c>
      <c r="Y2212" s="586" t="str">
        <f t="shared" si="531"/>
        <v/>
      </c>
      <c r="Z2212" s="586" t="str">
        <f t="shared" si="564"/>
        <v/>
      </c>
    </row>
    <row r="2213" spans="1:26" ht="12" hidden="1" thickBot="1" x14ac:dyDescent="0.25">
      <c r="A2213" s="567" t="s">
        <v>168</v>
      </c>
      <c r="B2213" s="644" t="s">
        <v>168</v>
      </c>
      <c r="C2213" s="645"/>
      <c r="D2213" s="422" t="s">
        <v>252</v>
      </c>
      <c r="E2213" s="423"/>
      <c r="F2213" s="424">
        <v>20</v>
      </c>
      <c r="G2213" s="425">
        <f>VLOOKUP(D2210,'[2]ENSAIOS DE ORÇAMENTO'!$C$3:$L$79,6,FALSE)</f>
        <v>3.0880200000000002</v>
      </c>
      <c r="H2213" s="663">
        <f t="shared" si="582"/>
        <v>74.359521600000008</v>
      </c>
      <c r="I2213" s="420"/>
      <c r="J2213" s="420"/>
      <c r="K2213" s="421">
        <f t="shared" si="570"/>
        <v>0</v>
      </c>
      <c r="L2213" s="647"/>
      <c r="M2213" s="723"/>
      <c r="N2213" s="576">
        <f t="shared" si="579"/>
        <v>0</v>
      </c>
      <c r="O2213" s="577">
        <f t="shared" si="573"/>
        <v>0</v>
      </c>
      <c r="P2213" s="578">
        <f t="shared" si="574"/>
        <v>0</v>
      </c>
      <c r="Q2213" s="765"/>
      <c r="R2213" s="723"/>
      <c r="S2213" s="723"/>
      <c r="T2213" s="577">
        <f t="shared" si="571"/>
        <v>0</v>
      </c>
      <c r="U2213" s="578">
        <f t="shared" si="572"/>
        <v>0</v>
      </c>
      <c r="V2213" s="579"/>
      <c r="W2213" s="566" t="str">
        <f>IF(U2210&gt;0,"xx",IF(P2210&gt;0,"xy",""))</f>
        <v/>
      </c>
      <c r="X2213" s="586" t="str">
        <f t="shared" si="577"/>
        <v/>
      </c>
      <c r="Y2213" s="586" t="str">
        <f t="shared" si="531"/>
        <v/>
      </c>
      <c r="Z2213" s="586" t="str">
        <f t="shared" si="564"/>
        <v/>
      </c>
    </row>
    <row r="2214" spans="1:26" ht="12" hidden="1" thickBot="1" x14ac:dyDescent="0.25">
      <c r="A2214" s="567" t="s">
        <v>168</v>
      </c>
      <c r="B2214" s="644" t="s">
        <v>168</v>
      </c>
      <c r="C2214" s="645"/>
      <c r="D2214" s="422" t="s">
        <v>400</v>
      </c>
      <c r="E2214" s="423"/>
      <c r="F2214" s="424">
        <v>30</v>
      </c>
      <c r="G2214" s="425">
        <f>VLOOKUP(D2210,'[2]ENSAIOS DE ORÇAMENTO'!$C$3:$L$79,3,FALSE)</f>
        <v>0</v>
      </c>
      <c r="H2214" s="663">
        <f t="shared" si="582"/>
        <v>0</v>
      </c>
      <c r="I2214" s="420"/>
      <c r="J2214" s="420"/>
      <c r="K2214" s="421">
        <f t="shared" si="570"/>
        <v>0</v>
      </c>
      <c r="L2214" s="647"/>
      <c r="M2214" s="723"/>
      <c r="N2214" s="576">
        <f t="shared" si="579"/>
        <v>0</v>
      </c>
      <c r="O2214" s="577">
        <f t="shared" si="573"/>
        <v>0</v>
      </c>
      <c r="P2214" s="578">
        <f t="shared" si="574"/>
        <v>0</v>
      </c>
      <c r="Q2214" s="765"/>
      <c r="R2214" s="723"/>
      <c r="S2214" s="723"/>
      <c r="T2214" s="577">
        <f t="shared" si="571"/>
        <v>0</v>
      </c>
      <c r="U2214" s="578">
        <f t="shared" si="572"/>
        <v>0</v>
      </c>
      <c r="V2214" s="579"/>
      <c r="W2214" s="566" t="str">
        <f>IF(U2210&gt;0,"xx",IF(P2210&gt;0,"xy",""))</f>
        <v/>
      </c>
      <c r="X2214" s="586" t="str">
        <f t="shared" si="577"/>
        <v/>
      </c>
      <c r="Y2214" s="586" t="str">
        <f t="shared" si="531"/>
        <v/>
      </c>
      <c r="Z2214" s="586" t="str">
        <f t="shared" si="564"/>
        <v/>
      </c>
    </row>
    <row r="2215" spans="1:26" ht="12" hidden="1" thickBot="1" x14ac:dyDescent="0.25">
      <c r="A2215" s="567" t="s">
        <v>168</v>
      </c>
      <c r="B2215" s="644" t="s">
        <v>168</v>
      </c>
      <c r="C2215" s="645"/>
      <c r="D2215" s="422" t="s">
        <v>401</v>
      </c>
      <c r="E2215" s="423"/>
      <c r="F2215" s="424">
        <v>500</v>
      </c>
      <c r="G2215" s="425">
        <f>VLOOKUP(D2210,'[2]ENSAIOS DE ORÇAMENTO'!$C$3:$L$79,10,FALSE)</f>
        <v>0</v>
      </c>
      <c r="H2215" s="649">
        <f>IF(F2215&lt;=30,(0.78*F2215+7.82)*G2215,((0.78*30+7.82)+0.78*(F2215-30))*G2215)</f>
        <v>0</v>
      </c>
      <c r="I2215" s="420"/>
      <c r="J2215" s="420"/>
      <c r="K2215" s="421">
        <f t="shared" si="570"/>
        <v>0</v>
      </c>
      <c r="L2215" s="647"/>
      <c r="M2215" s="723"/>
      <c r="N2215" s="576">
        <f t="shared" si="579"/>
        <v>0</v>
      </c>
      <c r="O2215" s="577">
        <f t="shared" si="573"/>
        <v>0</v>
      </c>
      <c r="P2215" s="578">
        <f t="shared" si="574"/>
        <v>0</v>
      </c>
      <c r="Q2215" s="765"/>
      <c r="R2215" s="723"/>
      <c r="S2215" s="723"/>
      <c r="T2215" s="577">
        <f t="shared" si="571"/>
        <v>0</v>
      </c>
      <c r="U2215" s="578">
        <f t="shared" si="572"/>
        <v>0</v>
      </c>
      <c r="V2215" s="579"/>
      <c r="W2215" s="566" t="str">
        <f>IF(U2210&gt;0,"xx",IF(P2210&gt;0,"xy",""))</f>
        <v/>
      </c>
      <c r="X2215" s="586" t="str">
        <f t="shared" si="577"/>
        <v/>
      </c>
      <c r="Y2215" s="586" t="str">
        <f t="shared" si="531"/>
        <v/>
      </c>
      <c r="Z2215" s="586" t="str">
        <f t="shared" si="564"/>
        <v/>
      </c>
    </row>
    <row r="2216" spans="1:26" ht="12" hidden="1" thickBot="1" x14ac:dyDescent="0.25">
      <c r="A2216" s="567" t="s">
        <v>28</v>
      </c>
      <c r="B2216" s="644" t="s">
        <v>28</v>
      </c>
      <c r="C2216" s="645" t="s">
        <v>206</v>
      </c>
      <c r="D2216" s="422" t="s">
        <v>108</v>
      </c>
      <c r="E2216" s="423"/>
      <c r="F2216" s="424"/>
      <c r="G2216" s="425"/>
      <c r="H2216" s="651">
        <f>SUM(H2217:H2221)</f>
        <v>216.43740439999999</v>
      </c>
      <c r="I2216" s="420">
        <f>VLOOKUP(D2216,'[2]ENSAIOS DE ORÇAMENTO'!$C$3:$L$79,8,FALSE)</f>
        <v>1829.9006999999997</v>
      </c>
      <c r="J2216" s="420">
        <f>IF(ISBLANK(I2216),"",SUM(H2216:I2216))</f>
        <v>2046.3381043999998</v>
      </c>
      <c r="K2216" s="421">
        <f t="shared" si="570"/>
        <v>2431.25</v>
      </c>
      <c r="L2216" s="647" t="s">
        <v>21</v>
      </c>
      <c r="M2216" s="576"/>
      <c r="N2216" s="576">
        <f t="shared" si="579"/>
        <v>0</v>
      </c>
      <c r="O2216" s="577">
        <f t="shared" si="573"/>
        <v>0</v>
      </c>
      <c r="P2216" s="578">
        <f t="shared" si="574"/>
        <v>0</v>
      </c>
      <c r="Q2216" s="765"/>
      <c r="R2216" s="576">
        <f>M2216</f>
        <v>0</v>
      </c>
      <c r="S2216" s="576">
        <f>N2216</f>
        <v>0</v>
      </c>
      <c r="T2216" s="577">
        <f t="shared" si="571"/>
        <v>0</v>
      </c>
      <c r="U2216" s="578">
        <f t="shared" si="572"/>
        <v>0</v>
      </c>
      <c r="V2216" s="579"/>
      <c r="W2216" s="566"/>
      <c r="X2216" s="586" t="str">
        <f t="shared" si="577"/>
        <v/>
      </c>
      <c r="Y2216" s="586" t="str">
        <f t="shared" si="531"/>
        <v/>
      </c>
      <c r="Z2216" s="586" t="str">
        <f t="shared" ref="Z2216:Z2279" si="583">IF(W2216="X","x",IF(U2216&gt;0,"x",""))</f>
        <v/>
      </c>
    </row>
    <row r="2217" spans="1:26" ht="12" hidden="1" thickBot="1" x14ac:dyDescent="0.25">
      <c r="A2217" s="567" t="s">
        <v>168</v>
      </c>
      <c r="B2217" s="644" t="s">
        <v>168</v>
      </c>
      <c r="C2217" s="645"/>
      <c r="D2217" s="422" t="s">
        <v>212</v>
      </c>
      <c r="E2217" s="423"/>
      <c r="F2217" s="424">
        <v>500</v>
      </c>
      <c r="G2217" s="425">
        <f>VLOOKUP(D2216,'[2]ENSAIOS DE ORÇAMENTO'!$C$3:$L$79,4,FALSE)</f>
        <v>0.20478000000000002</v>
      </c>
      <c r="H2217" s="649">
        <f>IF(F2217&lt;=30,(0.78*F2217+7.82)*G2217,((0.78*30+7.82)+0.78*(F2217-30))*G2217)</f>
        <v>81.465579600000012</v>
      </c>
      <c r="I2217" s="420"/>
      <c r="J2217" s="420"/>
      <c r="K2217" s="421">
        <f t="shared" si="570"/>
        <v>0</v>
      </c>
      <c r="L2217" s="647"/>
      <c r="M2217" s="723"/>
      <c r="N2217" s="576">
        <f t="shared" si="579"/>
        <v>0</v>
      </c>
      <c r="O2217" s="577">
        <f t="shared" si="573"/>
        <v>0</v>
      </c>
      <c r="P2217" s="578">
        <f t="shared" si="574"/>
        <v>0</v>
      </c>
      <c r="Q2217" s="765"/>
      <c r="R2217" s="723"/>
      <c r="S2217" s="723"/>
      <c r="T2217" s="577">
        <f t="shared" si="571"/>
        <v>0</v>
      </c>
      <c r="U2217" s="578">
        <f t="shared" si="572"/>
        <v>0</v>
      </c>
      <c r="V2217" s="579"/>
      <c r="W2217" s="566" t="str">
        <f>IF(U2216&gt;0,"xx",IF(P2216&gt;0,"xy",""))</f>
        <v/>
      </c>
      <c r="X2217" s="586" t="str">
        <f t="shared" si="577"/>
        <v/>
      </c>
      <c r="Y2217" s="586" t="str">
        <f t="shared" si="531"/>
        <v/>
      </c>
      <c r="Z2217" s="586" t="str">
        <f t="shared" si="583"/>
        <v/>
      </c>
    </row>
    <row r="2218" spans="1:26" ht="12" hidden="1" thickBot="1" x14ac:dyDescent="0.25">
      <c r="A2218" s="567" t="s">
        <v>168</v>
      </c>
      <c r="B2218" s="644" t="s">
        <v>168</v>
      </c>
      <c r="C2218" s="645"/>
      <c r="D2218" s="422" t="s">
        <v>248</v>
      </c>
      <c r="E2218" s="423"/>
      <c r="F2218" s="424">
        <v>180</v>
      </c>
      <c r="G2218" s="425">
        <f>VLOOKUP(D2216,'[2]ENSAIOS DE ORÇAMENTO'!$C$3:$L$79,5,FALSE)</f>
        <v>0.60275000000000001</v>
      </c>
      <c r="H2218" s="663">
        <f t="shared" ref="H2218:H2220" si="584">IF(F2218&lt;=30,(1.07*F2218+2.68)*G2218,((1.07*30+2.68)+1.07*(F2218-30))*G2218)</f>
        <v>117.70502</v>
      </c>
      <c r="I2218" s="420"/>
      <c r="J2218" s="420"/>
      <c r="K2218" s="421">
        <f t="shared" si="570"/>
        <v>0</v>
      </c>
      <c r="L2218" s="647"/>
      <c r="M2218" s="723"/>
      <c r="N2218" s="576">
        <f t="shared" si="579"/>
        <v>0</v>
      </c>
      <c r="O2218" s="577">
        <f t="shared" si="573"/>
        <v>0</v>
      </c>
      <c r="P2218" s="578">
        <f t="shared" si="574"/>
        <v>0</v>
      </c>
      <c r="Q2218" s="765"/>
      <c r="R2218" s="723"/>
      <c r="S2218" s="723"/>
      <c r="T2218" s="577">
        <f t="shared" si="571"/>
        <v>0</v>
      </c>
      <c r="U2218" s="578">
        <f t="shared" si="572"/>
        <v>0</v>
      </c>
      <c r="V2218" s="579"/>
      <c r="W2218" s="566" t="str">
        <f>IF(U2216&gt;0,"xx",IF(P2216&gt;0,"xy",""))</f>
        <v/>
      </c>
      <c r="X2218" s="586" t="str">
        <f t="shared" si="577"/>
        <v/>
      </c>
      <c r="Y2218" s="586" t="str">
        <f t="shared" si="531"/>
        <v/>
      </c>
      <c r="Z2218" s="586" t="str">
        <f t="shared" si="583"/>
        <v/>
      </c>
    </row>
    <row r="2219" spans="1:26" ht="12" hidden="1" thickBot="1" x14ac:dyDescent="0.25">
      <c r="A2219" s="567" t="s">
        <v>168</v>
      </c>
      <c r="B2219" s="644" t="s">
        <v>168</v>
      </c>
      <c r="C2219" s="645"/>
      <c r="D2219" s="422" t="s">
        <v>252</v>
      </c>
      <c r="E2219" s="423"/>
      <c r="F2219" s="424">
        <v>20</v>
      </c>
      <c r="G2219" s="425">
        <f>VLOOKUP(D2216,'[2]ENSAIOS DE ORÇAMENTO'!$C$3:$L$79,6,FALSE)</f>
        <v>0.71706000000000003</v>
      </c>
      <c r="H2219" s="663">
        <f t="shared" si="584"/>
        <v>17.266804800000003</v>
      </c>
      <c r="I2219" s="420"/>
      <c r="J2219" s="420"/>
      <c r="K2219" s="421">
        <f t="shared" si="570"/>
        <v>0</v>
      </c>
      <c r="L2219" s="647"/>
      <c r="M2219" s="723"/>
      <c r="N2219" s="576">
        <f t="shared" si="579"/>
        <v>0</v>
      </c>
      <c r="O2219" s="577">
        <f t="shared" si="573"/>
        <v>0</v>
      </c>
      <c r="P2219" s="578">
        <f t="shared" si="574"/>
        <v>0</v>
      </c>
      <c r="Q2219" s="765"/>
      <c r="R2219" s="723"/>
      <c r="S2219" s="723"/>
      <c r="T2219" s="577">
        <f t="shared" si="571"/>
        <v>0</v>
      </c>
      <c r="U2219" s="578">
        <f t="shared" si="572"/>
        <v>0</v>
      </c>
      <c r="V2219" s="579"/>
      <c r="W2219" s="566" t="str">
        <f>IF(U2216&gt;0,"xx",IF(P2216&gt;0,"xy",""))</f>
        <v/>
      </c>
      <c r="X2219" s="586" t="str">
        <f t="shared" si="577"/>
        <v/>
      </c>
      <c r="Y2219" s="586" t="str">
        <f t="shared" si="531"/>
        <v/>
      </c>
      <c r="Z2219" s="586" t="str">
        <f t="shared" si="583"/>
        <v/>
      </c>
    </row>
    <row r="2220" spans="1:26" ht="12" hidden="1" thickBot="1" x14ac:dyDescent="0.25">
      <c r="A2220" s="567" t="s">
        <v>168</v>
      </c>
      <c r="B2220" s="644" t="s">
        <v>168</v>
      </c>
      <c r="C2220" s="645"/>
      <c r="D2220" s="422" t="s">
        <v>400</v>
      </c>
      <c r="E2220" s="423"/>
      <c r="F2220" s="424">
        <v>30</v>
      </c>
      <c r="G2220" s="425">
        <f>VLOOKUP(D2216,'[2]ENSAIOS DE ORÇAMENTO'!$C$3:$L$79,3,FALSE)</f>
        <v>0</v>
      </c>
      <c r="H2220" s="663">
        <f t="shared" si="584"/>
        <v>0</v>
      </c>
      <c r="I2220" s="420"/>
      <c r="J2220" s="420"/>
      <c r="K2220" s="421">
        <f t="shared" si="570"/>
        <v>0</v>
      </c>
      <c r="L2220" s="647"/>
      <c r="M2220" s="723"/>
      <c r="N2220" s="576">
        <f t="shared" si="579"/>
        <v>0</v>
      </c>
      <c r="O2220" s="577">
        <f t="shared" si="573"/>
        <v>0</v>
      </c>
      <c r="P2220" s="578">
        <f t="shared" si="574"/>
        <v>0</v>
      </c>
      <c r="Q2220" s="765"/>
      <c r="R2220" s="723"/>
      <c r="S2220" s="723"/>
      <c r="T2220" s="577">
        <f t="shared" si="571"/>
        <v>0</v>
      </c>
      <c r="U2220" s="578">
        <f t="shared" si="572"/>
        <v>0</v>
      </c>
      <c r="V2220" s="579"/>
      <c r="W2220" s="566" t="str">
        <f>IF(U2216&gt;0,"xx",IF(P2216&gt;0,"xy",""))</f>
        <v/>
      </c>
      <c r="X2220" s="586" t="str">
        <f t="shared" si="577"/>
        <v/>
      </c>
      <c r="Y2220" s="586" t="str">
        <f t="shared" si="531"/>
        <v/>
      </c>
      <c r="Z2220" s="586" t="str">
        <f t="shared" si="583"/>
        <v/>
      </c>
    </row>
    <row r="2221" spans="1:26" ht="12" hidden="1" thickBot="1" x14ac:dyDescent="0.25">
      <c r="A2221" s="567" t="s">
        <v>168</v>
      </c>
      <c r="B2221" s="644" t="s">
        <v>168</v>
      </c>
      <c r="C2221" s="645"/>
      <c r="D2221" s="422" t="s">
        <v>401</v>
      </c>
      <c r="E2221" s="423"/>
      <c r="F2221" s="424">
        <v>500</v>
      </c>
      <c r="G2221" s="425">
        <f>VLOOKUP(D2216,'[2]ENSAIOS DE ORÇAMENTO'!$C$3:$L$79,10,FALSE)</f>
        <v>0</v>
      </c>
      <c r="H2221" s="649">
        <f>IF(F2221&lt;=30,(0.78*F2221+7.82)*G2221,((0.78*30+7.82)+0.78*(F2221-30))*G2221)</f>
        <v>0</v>
      </c>
      <c r="I2221" s="420"/>
      <c r="J2221" s="420"/>
      <c r="K2221" s="421">
        <f t="shared" si="570"/>
        <v>0</v>
      </c>
      <c r="L2221" s="647"/>
      <c r="M2221" s="723"/>
      <c r="N2221" s="576">
        <f t="shared" si="579"/>
        <v>0</v>
      </c>
      <c r="O2221" s="577">
        <f t="shared" si="573"/>
        <v>0</v>
      </c>
      <c r="P2221" s="578">
        <f t="shared" si="574"/>
        <v>0</v>
      </c>
      <c r="Q2221" s="765"/>
      <c r="R2221" s="723"/>
      <c r="S2221" s="723"/>
      <c r="T2221" s="577">
        <f t="shared" si="571"/>
        <v>0</v>
      </c>
      <c r="U2221" s="578">
        <f t="shared" si="572"/>
        <v>0</v>
      </c>
      <c r="V2221" s="579"/>
      <c r="W2221" s="566" t="str">
        <f>IF(U2216&gt;0,"xx",IF(P2216&gt;0,"xy",""))</f>
        <v/>
      </c>
      <c r="X2221" s="586" t="str">
        <f t="shared" si="577"/>
        <v/>
      </c>
      <c r="Y2221" s="586" t="str">
        <f t="shared" si="531"/>
        <v/>
      </c>
      <c r="Z2221" s="586" t="str">
        <f t="shared" si="583"/>
        <v/>
      </c>
    </row>
    <row r="2222" spans="1:26" ht="12" hidden="1" thickBot="1" x14ac:dyDescent="0.25">
      <c r="A2222" s="567" t="s">
        <v>29</v>
      </c>
      <c r="B2222" s="644" t="s">
        <v>29</v>
      </c>
      <c r="C2222" s="645" t="s">
        <v>206</v>
      </c>
      <c r="D2222" s="422" t="s">
        <v>105</v>
      </c>
      <c r="E2222" s="423"/>
      <c r="F2222" s="424"/>
      <c r="G2222" s="425"/>
      <c r="H2222" s="651">
        <f>SUM(H2223:H2227)</f>
        <v>270.49536919999997</v>
      </c>
      <c r="I2222" s="420">
        <f>VLOOKUP(D2222,'[2]ENSAIOS DE ORÇAMENTO'!$C$3:$L$79,8,FALSE)</f>
        <v>2209.8910999999998</v>
      </c>
      <c r="J2222" s="420">
        <f>IF(ISBLANK(I2222),"",SUM(H2222:I2222))</f>
        <v>2480.3864691999997</v>
      </c>
      <c r="K2222" s="421">
        <f t="shared" si="570"/>
        <v>2946.95</v>
      </c>
      <c r="L2222" s="647" t="s">
        <v>21</v>
      </c>
      <c r="M2222" s="576"/>
      <c r="N2222" s="576">
        <f t="shared" si="579"/>
        <v>0</v>
      </c>
      <c r="O2222" s="577">
        <f t="shared" si="573"/>
        <v>0</v>
      </c>
      <c r="P2222" s="578">
        <f t="shared" si="574"/>
        <v>0</v>
      </c>
      <c r="Q2222" s="765"/>
      <c r="R2222" s="576">
        <f>M2222</f>
        <v>0</v>
      </c>
      <c r="S2222" s="576">
        <f>N2222</f>
        <v>0</v>
      </c>
      <c r="T2222" s="577">
        <f t="shared" si="571"/>
        <v>0</v>
      </c>
      <c r="U2222" s="578">
        <f t="shared" si="572"/>
        <v>0</v>
      </c>
      <c r="V2222" s="579"/>
      <c r="W2222" s="566"/>
      <c r="X2222" s="586" t="str">
        <f t="shared" si="577"/>
        <v/>
      </c>
      <c r="Y2222" s="586" t="str">
        <f t="shared" si="531"/>
        <v/>
      </c>
      <c r="Z2222" s="586" t="str">
        <f t="shared" si="583"/>
        <v/>
      </c>
    </row>
    <row r="2223" spans="1:26" ht="12" hidden="1" thickBot="1" x14ac:dyDescent="0.25">
      <c r="A2223" s="567" t="s">
        <v>168</v>
      </c>
      <c r="B2223" s="644" t="s">
        <v>168</v>
      </c>
      <c r="C2223" s="645"/>
      <c r="D2223" s="422" t="s">
        <v>212</v>
      </c>
      <c r="E2223" s="423"/>
      <c r="F2223" s="424">
        <v>500</v>
      </c>
      <c r="G2223" s="425">
        <f>VLOOKUP(D2222,'[2]ENSAIOS DE ORÇAMENTO'!$C$3:$L$79,4,FALSE)</f>
        <v>0.25757999999999998</v>
      </c>
      <c r="H2223" s="649">
        <f>IF(F2223&lt;=30,(0.78*F2223+7.82)*G2223,((0.78*30+7.82)+0.78*(F2223-30))*G2223)</f>
        <v>102.4704756</v>
      </c>
      <c r="I2223" s="420"/>
      <c r="J2223" s="420"/>
      <c r="K2223" s="421">
        <f t="shared" si="570"/>
        <v>0</v>
      </c>
      <c r="L2223" s="647"/>
      <c r="M2223" s="723"/>
      <c r="N2223" s="576">
        <f t="shared" si="579"/>
        <v>0</v>
      </c>
      <c r="O2223" s="577">
        <f t="shared" si="573"/>
        <v>0</v>
      </c>
      <c r="P2223" s="578">
        <f t="shared" si="574"/>
        <v>0</v>
      </c>
      <c r="Q2223" s="765"/>
      <c r="R2223" s="723"/>
      <c r="S2223" s="723"/>
      <c r="T2223" s="577">
        <f t="shared" si="571"/>
        <v>0</v>
      </c>
      <c r="U2223" s="578">
        <f t="shared" si="572"/>
        <v>0</v>
      </c>
      <c r="V2223" s="579"/>
      <c r="W2223" s="566" t="str">
        <f>IF(U2222&gt;0,"xx",IF(P2222&gt;0,"xy",""))</f>
        <v/>
      </c>
      <c r="X2223" s="586" t="str">
        <f t="shared" si="577"/>
        <v/>
      </c>
      <c r="Y2223" s="586" t="str">
        <f t="shared" si="531"/>
        <v/>
      </c>
      <c r="Z2223" s="586" t="str">
        <f t="shared" si="583"/>
        <v/>
      </c>
    </row>
    <row r="2224" spans="1:26" ht="12" hidden="1" thickBot="1" x14ac:dyDescent="0.25">
      <c r="A2224" s="567" t="s">
        <v>168</v>
      </c>
      <c r="B2224" s="644" t="s">
        <v>168</v>
      </c>
      <c r="C2224" s="645"/>
      <c r="D2224" s="422" t="s">
        <v>248</v>
      </c>
      <c r="E2224" s="423"/>
      <c r="F2224" s="424">
        <v>180</v>
      </c>
      <c r="G2224" s="425">
        <f>VLOOKUP(D2222,'[2]ENSAIOS DE ORÇAMENTO'!$C$3:$L$79,5,FALSE)</f>
        <v>0.75010999999999994</v>
      </c>
      <c r="H2224" s="663">
        <f t="shared" ref="H2224:H2226" si="585">IF(F2224&lt;=30,(1.07*F2224+2.68)*G2224,((1.07*30+2.68)+1.07*(F2224-30))*G2224)</f>
        <v>146.48148079999999</v>
      </c>
      <c r="I2224" s="420"/>
      <c r="J2224" s="420"/>
      <c r="K2224" s="421">
        <f t="shared" si="570"/>
        <v>0</v>
      </c>
      <c r="L2224" s="647"/>
      <c r="M2224" s="723"/>
      <c r="N2224" s="576">
        <f t="shared" si="579"/>
        <v>0</v>
      </c>
      <c r="O2224" s="577">
        <f t="shared" si="573"/>
        <v>0</v>
      </c>
      <c r="P2224" s="578">
        <f t="shared" si="574"/>
        <v>0</v>
      </c>
      <c r="Q2224" s="765"/>
      <c r="R2224" s="723"/>
      <c r="S2224" s="723"/>
      <c r="T2224" s="577">
        <f t="shared" si="571"/>
        <v>0</v>
      </c>
      <c r="U2224" s="578">
        <f t="shared" si="572"/>
        <v>0</v>
      </c>
      <c r="V2224" s="579"/>
      <c r="W2224" s="566" t="str">
        <f>IF(U2222&gt;0,"xx",IF(P2222&gt;0,"xy",""))</f>
        <v/>
      </c>
      <c r="X2224" s="586" t="str">
        <f t="shared" si="577"/>
        <v/>
      </c>
      <c r="Y2224" s="586" t="str">
        <f t="shared" si="531"/>
        <v/>
      </c>
      <c r="Z2224" s="586" t="str">
        <f t="shared" si="583"/>
        <v/>
      </c>
    </row>
    <row r="2225" spans="1:26" ht="12" hidden="1" thickBot="1" x14ac:dyDescent="0.25">
      <c r="A2225" s="567" t="s">
        <v>168</v>
      </c>
      <c r="B2225" s="644" t="s">
        <v>168</v>
      </c>
      <c r="C2225" s="645"/>
      <c r="D2225" s="422" t="s">
        <v>252</v>
      </c>
      <c r="E2225" s="423"/>
      <c r="F2225" s="424">
        <v>20</v>
      </c>
      <c r="G2225" s="425">
        <f>VLOOKUP(D2222,'[2]ENSAIOS DE ORÇAMENTO'!$C$3:$L$79,6,FALSE)</f>
        <v>0.89466000000000001</v>
      </c>
      <c r="H2225" s="663">
        <f t="shared" si="585"/>
        <v>21.543412800000002</v>
      </c>
      <c r="I2225" s="420"/>
      <c r="J2225" s="420"/>
      <c r="K2225" s="421">
        <f t="shared" si="570"/>
        <v>0</v>
      </c>
      <c r="L2225" s="647"/>
      <c r="M2225" s="723"/>
      <c r="N2225" s="576">
        <f t="shared" si="579"/>
        <v>0</v>
      </c>
      <c r="O2225" s="577">
        <f t="shared" si="573"/>
        <v>0</v>
      </c>
      <c r="P2225" s="578">
        <f t="shared" si="574"/>
        <v>0</v>
      </c>
      <c r="Q2225" s="765"/>
      <c r="R2225" s="723"/>
      <c r="S2225" s="723"/>
      <c r="T2225" s="577">
        <f t="shared" si="571"/>
        <v>0</v>
      </c>
      <c r="U2225" s="578">
        <f t="shared" si="572"/>
        <v>0</v>
      </c>
      <c r="V2225" s="579"/>
      <c r="W2225" s="566" t="str">
        <f>IF(U2222&gt;0,"xx",IF(P2222&gt;0,"xy",""))</f>
        <v/>
      </c>
      <c r="X2225" s="586" t="str">
        <f t="shared" si="577"/>
        <v/>
      </c>
      <c r="Y2225" s="586" t="str">
        <f t="shared" si="531"/>
        <v/>
      </c>
      <c r="Z2225" s="586" t="str">
        <f t="shared" si="583"/>
        <v/>
      </c>
    </row>
    <row r="2226" spans="1:26" ht="12" hidden="1" thickBot="1" x14ac:dyDescent="0.25">
      <c r="A2226" s="567" t="s">
        <v>168</v>
      </c>
      <c r="B2226" s="644" t="s">
        <v>168</v>
      </c>
      <c r="C2226" s="645"/>
      <c r="D2226" s="422" t="s">
        <v>400</v>
      </c>
      <c r="E2226" s="423"/>
      <c r="F2226" s="424">
        <v>30</v>
      </c>
      <c r="G2226" s="425">
        <f>VLOOKUP(D2222,'[2]ENSAIOS DE ORÇAMENTO'!$C$3:$L$79,3,FALSE)</f>
        <v>0</v>
      </c>
      <c r="H2226" s="663">
        <f t="shared" si="585"/>
        <v>0</v>
      </c>
      <c r="I2226" s="420"/>
      <c r="J2226" s="420"/>
      <c r="K2226" s="421">
        <f t="shared" si="570"/>
        <v>0</v>
      </c>
      <c r="L2226" s="647"/>
      <c r="M2226" s="723"/>
      <c r="N2226" s="576">
        <f t="shared" si="579"/>
        <v>0</v>
      </c>
      <c r="O2226" s="577">
        <f t="shared" si="573"/>
        <v>0</v>
      </c>
      <c r="P2226" s="578">
        <f t="shared" si="574"/>
        <v>0</v>
      </c>
      <c r="Q2226" s="765"/>
      <c r="R2226" s="723"/>
      <c r="S2226" s="723"/>
      <c r="T2226" s="577">
        <f t="shared" si="571"/>
        <v>0</v>
      </c>
      <c r="U2226" s="578">
        <f t="shared" si="572"/>
        <v>0</v>
      </c>
      <c r="V2226" s="579"/>
      <c r="W2226" s="566" t="str">
        <f>IF(U2222&gt;0,"xx",IF(P2222&gt;0,"xy",""))</f>
        <v/>
      </c>
      <c r="X2226" s="586" t="str">
        <f t="shared" si="577"/>
        <v/>
      </c>
      <c r="Y2226" s="586" t="str">
        <f t="shared" si="531"/>
        <v/>
      </c>
      <c r="Z2226" s="586" t="str">
        <f t="shared" si="583"/>
        <v/>
      </c>
    </row>
    <row r="2227" spans="1:26" ht="12" hidden="1" thickBot="1" x14ac:dyDescent="0.25">
      <c r="A2227" s="567" t="s">
        <v>168</v>
      </c>
      <c r="B2227" s="644" t="s">
        <v>168</v>
      </c>
      <c r="C2227" s="645"/>
      <c r="D2227" s="422" t="s">
        <v>401</v>
      </c>
      <c r="E2227" s="423"/>
      <c r="F2227" s="424">
        <v>500</v>
      </c>
      <c r="G2227" s="425">
        <f>VLOOKUP(D2222,'[2]ENSAIOS DE ORÇAMENTO'!$C$3:$L$79,10,FALSE)</f>
        <v>0</v>
      </c>
      <c r="H2227" s="649">
        <f>IF(F2227&lt;=30,(0.78*F2227+7.82)*G2227,((0.78*30+7.82)+0.78*(F2227-30))*G2227)</f>
        <v>0</v>
      </c>
      <c r="I2227" s="420"/>
      <c r="J2227" s="420"/>
      <c r="K2227" s="421">
        <f t="shared" si="570"/>
        <v>0</v>
      </c>
      <c r="L2227" s="647"/>
      <c r="M2227" s="723"/>
      <c r="N2227" s="576">
        <f t="shared" si="579"/>
        <v>0</v>
      </c>
      <c r="O2227" s="577">
        <f t="shared" si="573"/>
        <v>0</v>
      </c>
      <c r="P2227" s="578">
        <f t="shared" si="574"/>
        <v>0</v>
      </c>
      <c r="Q2227" s="765"/>
      <c r="R2227" s="723"/>
      <c r="S2227" s="723"/>
      <c r="T2227" s="577">
        <f t="shared" si="571"/>
        <v>0</v>
      </c>
      <c r="U2227" s="578">
        <f t="shared" si="572"/>
        <v>0</v>
      </c>
      <c r="V2227" s="579"/>
      <c r="W2227" s="566" t="str">
        <f>IF(U2222&gt;0,"xx",IF(P2222&gt;0,"xy",""))</f>
        <v/>
      </c>
      <c r="X2227" s="586" t="str">
        <f t="shared" si="577"/>
        <v/>
      </c>
      <c r="Y2227" s="586" t="str">
        <f t="shared" si="531"/>
        <v/>
      </c>
      <c r="Z2227" s="586" t="str">
        <f t="shared" si="583"/>
        <v/>
      </c>
    </row>
    <row r="2228" spans="1:26" ht="12" hidden="1" thickBot="1" x14ac:dyDescent="0.25">
      <c r="A2228" s="567" t="s">
        <v>30</v>
      </c>
      <c r="B2228" s="644" t="s">
        <v>30</v>
      </c>
      <c r="C2228" s="645" t="s">
        <v>206</v>
      </c>
      <c r="D2228" s="422" t="s">
        <v>106</v>
      </c>
      <c r="E2228" s="423"/>
      <c r="F2228" s="424"/>
      <c r="G2228" s="425"/>
      <c r="H2228" s="651">
        <f>SUM(H2229:H2233)</f>
        <v>358.33956200000006</v>
      </c>
      <c r="I2228" s="420">
        <f>VLOOKUP(D2228,'[2]ENSAIOS DE ORÇAMENTO'!$C$3:$L$79,8,FALSE)</f>
        <v>2403.1848999999997</v>
      </c>
      <c r="J2228" s="420">
        <f>IF(ISBLANK(I2228),"",SUM(H2228:I2228))</f>
        <v>2761.5244619999999</v>
      </c>
      <c r="K2228" s="421">
        <f t="shared" si="570"/>
        <v>3280.97</v>
      </c>
      <c r="L2228" s="647" t="s">
        <v>21</v>
      </c>
      <c r="M2228" s="576"/>
      <c r="N2228" s="576">
        <f t="shared" si="579"/>
        <v>0</v>
      </c>
      <c r="O2228" s="577">
        <f t="shared" si="573"/>
        <v>0</v>
      </c>
      <c r="P2228" s="578">
        <f t="shared" si="574"/>
        <v>0</v>
      </c>
      <c r="Q2228" s="765"/>
      <c r="R2228" s="576">
        <f>M2228</f>
        <v>0</v>
      </c>
      <c r="S2228" s="576">
        <f>N2228</f>
        <v>0</v>
      </c>
      <c r="T2228" s="577">
        <f t="shared" si="571"/>
        <v>0</v>
      </c>
      <c r="U2228" s="578">
        <f t="shared" si="572"/>
        <v>0</v>
      </c>
      <c r="V2228" s="579"/>
      <c r="W2228" s="566"/>
      <c r="X2228" s="586" t="str">
        <f t="shared" si="577"/>
        <v/>
      </c>
      <c r="Y2228" s="586" t="str">
        <f t="shared" si="531"/>
        <v/>
      </c>
      <c r="Z2228" s="586" t="str">
        <f t="shared" si="583"/>
        <v/>
      </c>
    </row>
    <row r="2229" spans="1:26" ht="12" hidden="1" thickBot="1" x14ac:dyDescent="0.25">
      <c r="A2229" s="567" t="s">
        <v>168</v>
      </c>
      <c r="B2229" s="644" t="s">
        <v>168</v>
      </c>
      <c r="C2229" s="645"/>
      <c r="D2229" s="422" t="s">
        <v>212</v>
      </c>
      <c r="E2229" s="423"/>
      <c r="F2229" s="424">
        <v>500</v>
      </c>
      <c r="G2229" s="425">
        <f>VLOOKUP(D2228,'[2]ENSAIOS DE ORÇAMENTO'!$C$3:$L$79,4,FALSE)</f>
        <v>0.34338000000000002</v>
      </c>
      <c r="H2229" s="649">
        <f>IF(F2229&lt;=30,(0.78*F2229+7.82)*G2229,((0.78*30+7.82)+0.78*(F2229-30))*G2229)</f>
        <v>136.60343160000002</v>
      </c>
      <c r="I2229" s="420"/>
      <c r="J2229" s="420"/>
      <c r="K2229" s="421">
        <f t="shared" si="570"/>
        <v>0</v>
      </c>
      <c r="L2229" s="647"/>
      <c r="M2229" s="723"/>
      <c r="N2229" s="576">
        <f t="shared" si="579"/>
        <v>0</v>
      </c>
      <c r="O2229" s="577">
        <f t="shared" si="573"/>
        <v>0</v>
      </c>
      <c r="P2229" s="578">
        <f t="shared" si="574"/>
        <v>0</v>
      </c>
      <c r="Q2229" s="765"/>
      <c r="R2229" s="723"/>
      <c r="S2229" s="723"/>
      <c r="T2229" s="577">
        <f t="shared" si="571"/>
        <v>0</v>
      </c>
      <c r="U2229" s="578">
        <f t="shared" si="572"/>
        <v>0</v>
      </c>
      <c r="V2229" s="579"/>
      <c r="W2229" s="566" t="str">
        <f>IF(U2228&gt;0,"xx",IF(P2228&gt;0,"xy",""))</f>
        <v/>
      </c>
      <c r="X2229" s="586" t="str">
        <f t="shared" si="577"/>
        <v/>
      </c>
      <c r="Y2229" s="586" t="str">
        <f t="shared" si="531"/>
        <v/>
      </c>
      <c r="Z2229" s="586" t="str">
        <f t="shared" si="583"/>
        <v/>
      </c>
    </row>
    <row r="2230" spans="1:26" ht="12" hidden="1" thickBot="1" x14ac:dyDescent="0.25">
      <c r="A2230" s="567" t="s">
        <v>168</v>
      </c>
      <c r="B2230" s="644" t="s">
        <v>168</v>
      </c>
      <c r="C2230" s="645"/>
      <c r="D2230" s="422" t="s">
        <v>248</v>
      </c>
      <c r="E2230" s="423"/>
      <c r="F2230" s="424">
        <v>180</v>
      </c>
      <c r="G2230" s="425">
        <f>VLOOKUP(D2228,'[2]ENSAIOS DE ORÇAMENTO'!$C$3:$L$79,5,FALSE)</f>
        <v>0.98957000000000006</v>
      </c>
      <c r="H2230" s="663">
        <f t="shared" ref="H2230:H2232" si="586">IF(F2230&lt;=30,(1.07*F2230+2.68)*G2230,((1.07*30+2.68)+1.07*(F2230-30))*G2230)</f>
        <v>193.24322960000001</v>
      </c>
      <c r="I2230" s="420"/>
      <c r="J2230" s="420"/>
      <c r="K2230" s="421">
        <f t="shared" si="570"/>
        <v>0</v>
      </c>
      <c r="L2230" s="647"/>
      <c r="M2230" s="723"/>
      <c r="N2230" s="576">
        <f t="shared" si="579"/>
        <v>0</v>
      </c>
      <c r="O2230" s="577">
        <f t="shared" si="573"/>
        <v>0</v>
      </c>
      <c r="P2230" s="578">
        <f t="shared" si="574"/>
        <v>0</v>
      </c>
      <c r="Q2230" s="765"/>
      <c r="R2230" s="723"/>
      <c r="S2230" s="723"/>
      <c r="T2230" s="577">
        <f t="shared" si="571"/>
        <v>0</v>
      </c>
      <c r="U2230" s="578">
        <f t="shared" si="572"/>
        <v>0</v>
      </c>
      <c r="V2230" s="579"/>
      <c r="W2230" s="566" t="str">
        <f>IF(U2228&gt;0,"xx",IF(P2228&gt;0,"xy",""))</f>
        <v/>
      </c>
      <c r="X2230" s="586" t="str">
        <f t="shared" si="577"/>
        <v/>
      </c>
      <c r="Y2230" s="586" t="str">
        <f t="shared" si="531"/>
        <v/>
      </c>
      <c r="Z2230" s="586" t="str">
        <f t="shared" si="583"/>
        <v/>
      </c>
    </row>
    <row r="2231" spans="1:26" ht="12" hidden="1" thickBot="1" x14ac:dyDescent="0.25">
      <c r="A2231" s="567" t="s">
        <v>168</v>
      </c>
      <c r="B2231" s="644" t="s">
        <v>168</v>
      </c>
      <c r="C2231" s="645"/>
      <c r="D2231" s="422" t="s">
        <v>252</v>
      </c>
      <c r="E2231" s="423"/>
      <c r="F2231" s="424">
        <v>20</v>
      </c>
      <c r="G2231" s="425">
        <f>VLOOKUP(D2228,'[2]ENSAIOS DE ORÇAMENTO'!$C$3:$L$79,6,FALSE)</f>
        <v>1.1832600000000002</v>
      </c>
      <c r="H2231" s="663">
        <f t="shared" si="586"/>
        <v>28.492900800000008</v>
      </c>
      <c r="I2231" s="420"/>
      <c r="J2231" s="420"/>
      <c r="K2231" s="421">
        <f t="shared" si="570"/>
        <v>0</v>
      </c>
      <c r="L2231" s="647"/>
      <c r="M2231" s="723"/>
      <c r="N2231" s="576">
        <f t="shared" si="579"/>
        <v>0</v>
      </c>
      <c r="O2231" s="577">
        <f t="shared" si="573"/>
        <v>0</v>
      </c>
      <c r="P2231" s="578">
        <f t="shared" si="574"/>
        <v>0</v>
      </c>
      <c r="Q2231" s="765"/>
      <c r="R2231" s="723"/>
      <c r="S2231" s="723"/>
      <c r="T2231" s="577">
        <f t="shared" si="571"/>
        <v>0</v>
      </c>
      <c r="U2231" s="578">
        <f t="shared" si="572"/>
        <v>0</v>
      </c>
      <c r="V2231" s="579"/>
      <c r="W2231" s="566" t="str">
        <f>IF(U2228&gt;0,"xx",IF(P2228&gt;0,"xy",""))</f>
        <v/>
      </c>
      <c r="X2231" s="586" t="str">
        <f t="shared" si="577"/>
        <v/>
      </c>
      <c r="Y2231" s="586" t="str">
        <f t="shared" si="531"/>
        <v/>
      </c>
      <c r="Z2231" s="586" t="str">
        <f t="shared" si="583"/>
        <v/>
      </c>
    </row>
    <row r="2232" spans="1:26" ht="12" hidden="1" thickBot="1" x14ac:dyDescent="0.25">
      <c r="A2232" s="567" t="s">
        <v>168</v>
      </c>
      <c r="B2232" s="644" t="s">
        <v>168</v>
      </c>
      <c r="C2232" s="645"/>
      <c r="D2232" s="422" t="s">
        <v>400</v>
      </c>
      <c r="E2232" s="423"/>
      <c r="F2232" s="424">
        <v>30</v>
      </c>
      <c r="G2232" s="425">
        <f>VLOOKUP(D2228,'[2]ENSAIOS DE ORÇAMENTO'!$C$3:$L$79,3,FALSE)</f>
        <v>0</v>
      </c>
      <c r="H2232" s="663">
        <f t="shared" si="586"/>
        <v>0</v>
      </c>
      <c r="I2232" s="420"/>
      <c r="J2232" s="420"/>
      <c r="K2232" s="421">
        <f t="shared" si="570"/>
        <v>0</v>
      </c>
      <c r="L2232" s="647"/>
      <c r="M2232" s="723"/>
      <c r="N2232" s="576">
        <f t="shared" si="579"/>
        <v>0</v>
      </c>
      <c r="O2232" s="577">
        <f t="shared" si="573"/>
        <v>0</v>
      </c>
      <c r="P2232" s="578">
        <f t="shared" si="574"/>
        <v>0</v>
      </c>
      <c r="Q2232" s="765"/>
      <c r="R2232" s="723"/>
      <c r="S2232" s="723"/>
      <c r="T2232" s="577">
        <f t="shared" si="571"/>
        <v>0</v>
      </c>
      <c r="U2232" s="578">
        <f t="shared" si="572"/>
        <v>0</v>
      </c>
      <c r="V2232" s="579"/>
      <c r="W2232" s="566" t="str">
        <f>IF(U2228&gt;0,"xx",IF(P2228&gt;0,"xy",""))</f>
        <v/>
      </c>
      <c r="X2232" s="586" t="str">
        <f t="shared" si="577"/>
        <v/>
      </c>
      <c r="Y2232" s="586" t="str">
        <f t="shared" si="531"/>
        <v/>
      </c>
      <c r="Z2232" s="586" t="str">
        <f t="shared" si="583"/>
        <v/>
      </c>
    </row>
    <row r="2233" spans="1:26" ht="12" hidden="1" thickBot="1" x14ac:dyDescent="0.25">
      <c r="A2233" s="567" t="s">
        <v>168</v>
      </c>
      <c r="B2233" s="644" t="s">
        <v>168</v>
      </c>
      <c r="C2233" s="645"/>
      <c r="D2233" s="422" t="s">
        <v>401</v>
      </c>
      <c r="E2233" s="423"/>
      <c r="F2233" s="424">
        <v>500</v>
      </c>
      <c r="G2233" s="425">
        <f>VLOOKUP(D2228,'[2]ENSAIOS DE ORÇAMENTO'!$C$3:$L$79,10,FALSE)</f>
        <v>0</v>
      </c>
      <c r="H2233" s="649">
        <f>IF(F2233&lt;=30,(0.78*F2233+7.82)*G2233,((0.78*30+7.82)+0.78*(F2233-30))*G2233)</f>
        <v>0</v>
      </c>
      <c r="I2233" s="420"/>
      <c r="J2233" s="420"/>
      <c r="K2233" s="421">
        <f t="shared" si="570"/>
        <v>0</v>
      </c>
      <c r="L2233" s="647"/>
      <c r="M2233" s="723"/>
      <c r="N2233" s="576">
        <f t="shared" si="579"/>
        <v>0</v>
      </c>
      <c r="O2233" s="577">
        <f t="shared" si="573"/>
        <v>0</v>
      </c>
      <c r="P2233" s="578">
        <f t="shared" si="574"/>
        <v>0</v>
      </c>
      <c r="Q2233" s="765"/>
      <c r="R2233" s="723"/>
      <c r="S2233" s="723"/>
      <c r="T2233" s="577">
        <f t="shared" si="571"/>
        <v>0</v>
      </c>
      <c r="U2233" s="578">
        <f t="shared" si="572"/>
        <v>0</v>
      </c>
      <c r="V2233" s="579"/>
      <c r="W2233" s="566" t="str">
        <f>IF(U2228&gt;0,"xx",IF(P2228&gt;0,"xy",""))</f>
        <v/>
      </c>
      <c r="X2233" s="586" t="str">
        <f t="shared" si="577"/>
        <v/>
      </c>
      <c r="Y2233" s="586" t="str">
        <f t="shared" si="531"/>
        <v/>
      </c>
      <c r="Z2233" s="586" t="str">
        <f t="shared" si="583"/>
        <v/>
      </c>
    </row>
    <row r="2234" spans="1:26" ht="12" hidden="1" thickBot="1" x14ac:dyDescent="0.25">
      <c r="A2234" s="567" t="s">
        <v>31</v>
      </c>
      <c r="B2234" s="644" t="s">
        <v>31</v>
      </c>
      <c r="C2234" s="645" t="s">
        <v>206</v>
      </c>
      <c r="D2234" s="422" t="s">
        <v>107</v>
      </c>
      <c r="E2234" s="423"/>
      <c r="F2234" s="424"/>
      <c r="G2234" s="425"/>
      <c r="H2234" s="651">
        <f>SUM(H2235:H2239)</f>
        <v>446.18375480000009</v>
      </c>
      <c r="I2234" s="420">
        <f>VLOOKUP(D2234,'[2]ENSAIOS DE ORÇAMENTO'!$C$3:$L$79,8,FALSE)</f>
        <v>2920.9871999999996</v>
      </c>
      <c r="J2234" s="420">
        <f>IF(ISBLANK(I2234),"",SUM(H2234:I2234))</f>
        <v>3367.1709547999999</v>
      </c>
      <c r="K2234" s="421">
        <f t="shared" si="570"/>
        <v>4000.54</v>
      </c>
      <c r="L2234" s="647" t="s">
        <v>21</v>
      </c>
      <c r="M2234" s="576"/>
      <c r="N2234" s="576">
        <f t="shared" si="579"/>
        <v>0</v>
      </c>
      <c r="O2234" s="577">
        <f t="shared" si="573"/>
        <v>0</v>
      </c>
      <c r="P2234" s="578">
        <f t="shared" si="574"/>
        <v>0</v>
      </c>
      <c r="Q2234" s="765"/>
      <c r="R2234" s="576">
        <f>M2234</f>
        <v>0</v>
      </c>
      <c r="S2234" s="576">
        <f>N2234</f>
        <v>0</v>
      </c>
      <c r="T2234" s="577">
        <f t="shared" si="571"/>
        <v>0</v>
      </c>
      <c r="U2234" s="578">
        <f t="shared" si="572"/>
        <v>0</v>
      </c>
      <c r="V2234" s="579"/>
      <c r="W2234" s="566"/>
      <c r="X2234" s="586" t="str">
        <f t="shared" si="577"/>
        <v/>
      </c>
      <c r="Y2234" s="586" t="str">
        <f t="shared" si="531"/>
        <v/>
      </c>
      <c r="Z2234" s="586" t="str">
        <f t="shared" si="583"/>
        <v/>
      </c>
    </row>
    <row r="2235" spans="1:26" ht="12" hidden="1" thickBot="1" x14ac:dyDescent="0.25">
      <c r="A2235" s="567" t="s">
        <v>168</v>
      </c>
      <c r="B2235" s="644" t="s">
        <v>168</v>
      </c>
      <c r="C2235" s="645"/>
      <c r="D2235" s="422" t="s">
        <v>212</v>
      </c>
      <c r="E2235" s="423"/>
      <c r="F2235" s="424">
        <v>500</v>
      </c>
      <c r="G2235" s="425">
        <f>VLOOKUP(D2234,'[2]ENSAIOS DE ORÇAMENTO'!$C$3:$L$79,4,FALSE)</f>
        <v>0.42918000000000001</v>
      </c>
      <c r="H2235" s="649">
        <f>IF(F2235&lt;=30,(0.78*F2235+7.82)*G2235,((0.78*30+7.82)+0.78*(F2235-30))*G2235)</f>
        <v>170.73638760000003</v>
      </c>
      <c r="I2235" s="420"/>
      <c r="J2235" s="420"/>
      <c r="K2235" s="421">
        <f t="shared" si="570"/>
        <v>0</v>
      </c>
      <c r="L2235" s="647"/>
      <c r="M2235" s="723"/>
      <c r="N2235" s="576">
        <f t="shared" si="579"/>
        <v>0</v>
      </c>
      <c r="O2235" s="577">
        <f t="shared" si="573"/>
        <v>0</v>
      </c>
      <c r="P2235" s="578">
        <f t="shared" si="574"/>
        <v>0</v>
      </c>
      <c r="Q2235" s="765"/>
      <c r="R2235" s="723"/>
      <c r="S2235" s="723"/>
      <c r="T2235" s="577">
        <f t="shared" si="571"/>
        <v>0</v>
      </c>
      <c r="U2235" s="578">
        <f t="shared" si="572"/>
        <v>0</v>
      </c>
      <c r="V2235" s="579"/>
      <c r="W2235" s="566" t="str">
        <f>IF(U2234&gt;0,"xx",IF(P2234&gt;0,"xy",""))</f>
        <v/>
      </c>
      <c r="X2235" s="586" t="str">
        <f t="shared" si="577"/>
        <v/>
      </c>
      <c r="Y2235" s="586" t="str">
        <f t="shared" si="531"/>
        <v/>
      </c>
      <c r="Z2235" s="586" t="str">
        <f t="shared" si="583"/>
        <v/>
      </c>
    </row>
    <row r="2236" spans="1:26" ht="12" hidden="1" thickBot="1" x14ac:dyDescent="0.25">
      <c r="A2236" s="567" t="s">
        <v>168</v>
      </c>
      <c r="B2236" s="644" t="s">
        <v>168</v>
      </c>
      <c r="C2236" s="645"/>
      <c r="D2236" s="422" t="s">
        <v>248</v>
      </c>
      <c r="E2236" s="423"/>
      <c r="F2236" s="424">
        <v>180</v>
      </c>
      <c r="G2236" s="425">
        <f>VLOOKUP(D2234,'[2]ENSAIOS DE ORÇAMENTO'!$C$3:$L$79,5,FALSE)</f>
        <v>1.2290300000000001</v>
      </c>
      <c r="H2236" s="663">
        <f t="shared" ref="H2236:H2238" si="587">IF(F2236&lt;=30,(1.07*F2236+2.68)*G2236,((1.07*30+2.68)+1.07*(F2236-30))*G2236)</f>
        <v>240.00497840000003</v>
      </c>
      <c r="I2236" s="420"/>
      <c r="J2236" s="420"/>
      <c r="K2236" s="421">
        <f t="shared" si="570"/>
        <v>0</v>
      </c>
      <c r="L2236" s="647"/>
      <c r="M2236" s="723"/>
      <c r="N2236" s="576">
        <f t="shared" si="579"/>
        <v>0</v>
      </c>
      <c r="O2236" s="577">
        <f t="shared" si="573"/>
        <v>0</v>
      </c>
      <c r="P2236" s="578">
        <f t="shared" si="574"/>
        <v>0</v>
      </c>
      <c r="Q2236" s="765"/>
      <c r="R2236" s="723"/>
      <c r="S2236" s="723"/>
      <c r="T2236" s="577">
        <f t="shared" si="571"/>
        <v>0</v>
      </c>
      <c r="U2236" s="578">
        <f t="shared" si="572"/>
        <v>0</v>
      </c>
      <c r="V2236" s="579"/>
      <c r="W2236" s="566" t="str">
        <f>IF(U2234&gt;0,"xx",IF(P2234&gt;0,"xy",""))</f>
        <v/>
      </c>
      <c r="X2236" s="586" t="str">
        <f t="shared" si="577"/>
        <v/>
      </c>
      <c r="Y2236" s="586" t="str">
        <f t="shared" si="531"/>
        <v/>
      </c>
      <c r="Z2236" s="586" t="str">
        <f t="shared" si="583"/>
        <v/>
      </c>
    </row>
    <row r="2237" spans="1:26" ht="12" hidden="1" thickBot="1" x14ac:dyDescent="0.25">
      <c r="A2237" s="567" t="s">
        <v>168</v>
      </c>
      <c r="B2237" s="644" t="s">
        <v>168</v>
      </c>
      <c r="C2237" s="645"/>
      <c r="D2237" s="422" t="s">
        <v>252</v>
      </c>
      <c r="E2237" s="423"/>
      <c r="F2237" s="424">
        <v>20</v>
      </c>
      <c r="G2237" s="425">
        <f>VLOOKUP(D2234,'[2]ENSAIOS DE ORÇAMENTO'!$C$3:$L$79,6,FALSE)</f>
        <v>1.4718600000000002</v>
      </c>
      <c r="H2237" s="663">
        <f t="shared" si="587"/>
        <v>35.442388800000003</v>
      </c>
      <c r="I2237" s="420"/>
      <c r="J2237" s="420"/>
      <c r="K2237" s="421">
        <f t="shared" si="570"/>
        <v>0</v>
      </c>
      <c r="L2237" s="647"/>
      <c r="M2237" s="723"/>
      <c r="N2237" s="576">
        <f t="shared" si="579"/>
        <v>0</v>
      </c>
      <c r="O2237" s="577">
        <f t="shared" si="573"/>
        <v>0</v>
      </c>
      <c r="P2237" s="578">
        <f t="shared" si="574"/>
        <v>0</v>
      </c>
      <c r="Q2237" s="765"/>
      <c r="R2237" s="723"/>
      <c r="S2237" s="723"/>
      <c r="T2237" s="577">
        <f t="shared" si="571"/>
        <v>0</v>
      </c>
      <c r="U2237" s="578">
        <f t="shared" si="572"/>
        <v>0</v>
      </c>
      <c r="V2237" s="579"/>
      <c r="W2237" s="566" t="str">
        <f>IF(U2234&gt;0,"xx",IF(P2234&gt;0,"xy",""))</f>
        <v/>
      </c>
      <c r="X2237" s="586" t="str">
        <f t="shared" si="577"/>
        <v/>
      </c>
      <c r="Y2237" s="586" t="str">
        <f t="shared" si="531"/>
        <v/>
      </c>
      <c r="Z2237" s="586" t="str">
        <f t="shared" si="583"/>
        <v/>
      </c>
    </row>
    <row r="2238" spans="1:26" ht="12" hidden="1" thickBot="1" x14ac:dyDescent="0.25">
      <c r="A2238" s="567" t="s">
        <v>168</v>
      </c>
      <c r="B2238" s="644" t="s">
        <v>168</v>
      </c>
      <c r="C2238" s="645"/>
      <c r="D2238" s="422" t="s">
        <v>400</v>
      </c>
      <c r="E2238" s="423"/>
      <c r="F2238" s="424">
        <v>30</v>
      </c>
      <c r="G2238" s="425">
        <f>VLOOKUP(D2234,'[2]ENSAIOS DE ORÇAMENTO'!$C$3:$L$79,3,FALSE)</f>
        <v>0</v>
      </c>
      <c r="H2238" s="663">
        <f t="shared" si="587"/>
        <v>0</v>
      </c>
      <c r="I2238" s="420"/>
      <c r="J2238" s="420"/>
      <c r="K2238" s="421">
        <f t="shared" si="570"/>
        <v>0</v>
      </c>
      <c r="L2238" s="647"/>
      <c r="M2238" s="723"/>
      <c r="N2238" s="576">
        <f t="shared" si="579"/>
        <v>0</v>
      </c>
      <c r="O2238" s="577">
        <f t="shared" si="573"/>
        <v>0</v>
      </c>
      <c r="P2238" s="578">
        <f t="shared" si="574"/>
        <v>0</v>
      </c>
      <c r="Q2238" s="765"/>
      <c r="R2238" s="723"/>
      <c r="S2238" s="723"/>
      <c r="T2238" s="577">
        <f t="shared" si="571"/>
        <v>0</v>
      </c>
      <c r="U2238" s="578">
        <f t="shared" si="572"/>
        <v>0</v>
      </c>
      <c r="V2238" s="579"/>
      <c r="W2238" s="566" t="str">
        <f>IF(U2234&gt;0,"xx",IF(P2234&gt;0,"xy",""))</f>
        <v/>
      </c>
      <c r="X2238" s="586" t="str">
        <f t="shared" si="577"/>
        <v/>
      </c>
      <c r="Y2238" s="586" t="str">
        <f t="shared" si="531"/>
        <v/>
      </c>
      <c r="Z2238" s="586" t="str">
        <f t="shared" si="583"/>
        <v/>
      </c>
    </row>
    <row r="2239" spans="1:26" ht="12" hidden="1" thickBot="1" x14ac:dyDescent="0.25">
      <c r="A2239" s="567" t="s">
        <v>168</v>
      </c>
      <c r="B2239" s="644" t="s">
        <v>168</v>
      </c>
      <c r="C2239" s="645"/>
      <c r="D2239" s="422" t="s">
        <v>401</v>
      </c>
      <c r="E2239" s="423"/>
      <c r="F2239" s="424">
        <v>500</v>
      </c>
      <c r="G2239" s="425">
        <f>VLOOKUP(D2234,'[2]ENSAIOS DE ORÇAMENTO'!$C$3:$L$79,10,FALSE)</f>
        <v>0</v>
      </c>
      <c r="H2239" s="649">
        <f>IF(F2239&lt;=30,(0.78*F2239+7.82)*G2239,((0.78*30+7.82)+0.78*(F2239-30))*G2239)</f>
        <v>0</v>
      </c>
      <c r="I2239" s="420"/>
      <c r="J2239" s="420"/>
      <c r="K2239" s="421">
        <f t="shared" si="570"/>
        <v>0</v>
      </c>
      <c r="L2239" s="647"/>
      <c r="M2239" s="723"/>
      <c r="N2239" s="576">
        <f t="shared" si="579"/>
        <v>0</v>
      </c>
      <c r="O2239" s="577">
        <f t="shared" si="573"/>
        <v>0</v>
      </c>
      <c r="P2239" s="578">
        <f t="shared" si="574"/>
        <v>0</v>
      </c>
      <c r="Q2239" s="765"/>
      <c r="R2239" s="723"/>
      <c r="S2239" s="723"/>
      <c r="T2239" s="577">
        <f t="shared" si="571"/>
        <v>0</v>
      </c>
      <c r="U2239" s="578">
        <f t="shared" si="572"/>
        <v>0</v>
      </c>
      <c r="V2239" s="579"/>
      <c r="W2239" s="566" t="str">
        <f>IF(U2234&gt;0,"xx",IF(P2234&gt;0,"xy",""))</f>
        <v/>
      </c>
      <c r="X2239" s="586" t="str">
        <f t="shared" si="577"/>
        <v/>
      </c>
      <c r="Y2239" s="586" t="str">
        <f t="shared" si="531"/>
        <v/>
      </c>
      <c r="Z2239" s="586" t="str">
        <f t="shared" si="583"/>
        <v/>
      </c>
    </row>
    <row r="2240" spans="1:26" ht="12" hidden="1" thickBot="1" x14ac:dyDescent="0.25">
      <c r="A2240" s="567" t="s">
        <v>32</v>
      </c>
      <c r="B2240" s="644" t="s">
        <v>32</v>
      </c>
      <c r="C2240" s="645" t="s">
        <v>206</v>
      </c>
      <c r="D2240" s="422" t="s">
        <v>101</v>
      </c>
      <c r="E2240" s="423"/>
      <c r="F2240" s="424"/>
      <c r="G2240" s="425"/>
      <c r="H2240" s="651">
        <f>SUM(H2241:H2245)</f>
        <v>391.64439700000003</v>
      </c>
      <c r="I2240" s="420">
        <f>VLOOKUP(D2240,'[2]ENSAIOS DE ORÇAMENTO'!$C$3:$L$79,8,FALSE)</f>
        <v>2648.3670199999997</v>
      </c>
      <c r="J2240" s="420">
        <f>IF(ISBLANK(I2240),"",SUM(H2240:I2240))</f>
        <v>3040.0114169999997</v>
      </c>
      <c r="K2240" s="421">
        <f t="shared" ref="K2240:K2303" si="588">IF(ISBLANK(I2240),0,ROUND(J2240*(1+$F$10)*(1+$F$11*E2240),2))</f>
        <v>3611.84</v>
      </c>
      <c r="L2240" s="647" t="s">
        <v>21</v>
      </c>
      <c r="M2240" s="576"/>
      <c r="N2240" s="576">
        <f t="shared" si="579"/>
        <v>0</v>
      </c>
      <c r="O2240" s="577">
        <f t="shared" si="573"/>
        <v>0</v>
      </c>
      <c r="P2240" s="578">
        <f t="shared" si="574"/>
        <v>0</v>
      </c>
      <c r="Q2240" s="765"/>
      <c r="R2240" s="576">
        <f>M2240</f>
        <v>0</v>
      </c>
      <c r="S2240" s="576">
        <f>N2240</f>
        <v>0</v>
      </c>
      <c r="T2240" s="577">
        <f t="shared" ref="T2240:T2303" si="589">IF(ISBLANK(R2240),0,ROUND(K2240*R2240,2))</f>
        <v>0</v>
      </c>
      <c r="U2240" s="578">
        <f t="shared" ref="U2240:U2303" si="590">IF(ISBLANK(R2240),0,ROUND(R2240*S2240,2))</f>
        <v>0</v>
      </c>
      <c r="V2240" s="579"/>
      <c r="W2240" s="566"/>
      <c r="X2240" s="586" t="str">
        <f t="shared" si="577"/>
        <v/>
      </c>
      <c r="Y2240" s="586" t="str">
        <f t="shared" si="531"/>
        <v/>
      </c>
      <c r="Z2240" s="586" t="str">
        <f t="shared" si="583"/>
        <v/>
      </c>
    </row>
    <row r="2241" spans="1:26" ht="12" hidden="1" thickBot="1" x14ac:dyDescent="0.25">
      <c r="A2241" s="567" t="s">
        <v>168</v>
      </c>
      <c r="B2241" s="644" t="s">
        <v>168</v>
      </c>
      <c r="C2241" s="645"/>
      <c r="D2241" s="422" t="s">
        <v>212</v>
      </c>
      <c r="E2241" s="423"/>
      <c r="F2241" s="424">
        <v>500</v>
      </c>
      <c r="G2241" s="425">
        <f>VLOOKUP(D2240,'[2]ENSAIOS DE ORÇAMENTO'!$C$3:$L$79,4,FALSE)</f>
        <v>0.2047668</v>
      </c>
      <c r="H2241" s="649">
        <f>IF(F2241&lt;=30,(0.78*F2241+7.82)*G2241,((0.78*30+7.82)+0.78*(F2241-30))*G2241)</f>
        <v>81.460328376000007</v>
      </c>
      <c r="I2241" s="420"/>
      <c r="J2241" s="420"/>
      <c r="K2241" s="421">
        <f t="shared" si="588"/>
        <v>0</v>
      </c>
      <c r="L2241" s="647"/>
      <c r="M2241" s="723"/>
      <c r="N2241" s="576">
        <f t="shared" si="579"/>
        <v>0</v>
      </c>
      <c r="O2241" s="577">
        <f t="shared" ref="O2241:O2304" si="591">IF(ISBLANK(M2241),0,ROUND(K2241*M2241,2))</f>
        <v>0</v>
      </c>
      <c r="P2241" s="578">
        <f t="shared" ref="P2241:P2304" si="592">IF(ISBLANK(N2241),0,ROUND(M2241*N2241,2))</f>
        <v>0</v>
      </c>
      <c r="Q2241" s="765"/>
      <c r="R2241" s="723"/>
      <c r="S2241" s="723"/>
      <c r="T2241" s="577">
        <f t="shared" si="589"/>
        <v>0</v>
      </c>
      <c r="U2241" s="578">
        <f t="shared" si="590"/>
        <v>0</v>
      </c>
      <c r="V2241" s="579"/>
      <c r="W2241" s="566" t="str">
        <f>IF(U2240&gt;0,"xx",IF(P2240&gt;0,"xy",""))</f>
        <v/>
      </c>
      <c r="X2241" s="586" t="str">
        <f t="shared" si="577"/>
        <v/>
      </c>
      <c r="Y2241" s="586" t="str">
        <f t="shared" si="531"/>
        <v/>
      </c>
      <c r="Z2241" s="586" t="str">
        <f t="shared" si="583"/>
        <v/>
      </c>
    </row>
    <row r="2242" spans="1:26" ht="12" hidden="1" thickBot="1" x14ac:dyDescent="0.25">
      <c r="A2242" s="567" t="s">
        <v>168</v>
      </c>
      <c r="B2242" s="644" t="s">
        <v>168</v>
      </c>
      <c r="C2242" s="645"/>
      <c r="D2242" s="422" t="s">
        <v>248</v>
      </c>
      <c r="E2242" s="423"/>
      <c r="F2242" s="424">
        <v>180</v>
      </c>
      <c r="G2242" s="425">
        <f>VLOOKUP(D2240,'[2]ENSAIOS DE ORÇAMENTO'!$C$3:$L$79,5,FALSE)</f>
        <v>1.1293030000000002</v>
      </c>
      <c r="H2242" s="663">
        <f t="shared" ref="H2242:H2244" si="593">IF(F2242&lt;=30,(1.07*F2242+2.68)*G2242,((1.07*30+2.68)+1.07*(F2242-30))*G2242)</f>
        <v>220.53028984000002</v>
      </c>
      <c r="I2242" s="420"/>
      <c r="J2242" s="420"/>
      <c r="K2242" s="421">
        <f t="shared" si="588"/>
        <v>0</v>
      </c>
      <c r="L2242" s="647"/>
      <c r="M2242" s="723"/>
      <c r="N2242" s="576">
        <f t="shared" si="579"/>
        <v>0</v>
      </c>
      <c r="O2242" s="577">
        <f t="shared" si="591"/>
        <v>0</v>
      </c>
      <c r="P2242" s="578">
        <f t="shared" si="592"/>
        <v>0</v>
      </c>
      <c r="Q2242" s="765"/>
      <c r="R2242" s="723"/>
      <c r="S2242" s="723"/>
      <c r="T2242" s="577">
        <f t="shared" si="589"/>
        <v>0</v>
      </c>
      <c r="U2242" s="578">
        <f t="shared" si="590"/>
        <v>0</v>
      </c>
      <c r="V2242" s="579"/>
      <c r="W2242" s="566" t="str">
        <f>IF(U2240&gt;0,"xx",IF(P2240&gt;0,"xy",""))</f>
        <v/>
      </c>
      <c r="X2242" s="586" t="str">
        <f t="shared" si="577"/>
        <v/>
      </c>
      <c r="Y2242" s="586" t="str">
        <f t="shared" si="531"/>
        <v/>
      </c>
      <c r="Z2242" s="586" t="str">
        <f t="shared" si="583"/>
        <v/>
      </c>
    </row>
    <row r="2243" spans="1:26" ht="12" hidden="1" thickBot="1" x14ac:dyDescent="0.25">
      <c r="A2243" s="567" t="s">
        <v>168</v>
      </c>
      <c r="B2243" s="644" t="s">
        <v>168</v>
      </c>
      <c r="C2243" s="645"/>
      <c r="D2243" s="422" t="s">
        <v>252</v>
      </c>
      <c r="E2243" s="423"/>
      <c r="F2243" s="424">
        <v>20</v>
      </c>
      <c r="G2243" s="425">
        <f>VLOOKUP(D2240,'[2]ENSAIOS DE ORÇAMENTO'!$C$3:$L$79,6,FALSE)</f>
        <v>0.38805600000000001</v>
      </c>
      <c r="H2243" s="663">
        <f t="shared" si="593"/>
        <v>9.344388480000001</v>
      </c>
      <c r="I2243" s="420"/>
      <c r="J2243" s="420"/>
      <c r="K2243" s="421">
        <f t="shared" si="588"/>
        <v>0</v>
      </c>
      <c r="L2243" s="647"/>
      <c r="M2243" s="723"/>
      <c r="N2243" s="576">
        <f t="shared" si="579"/>
        <v>0</v>
      </c>
      <c r="O2243" s="577">
        <f t="shared" si="591"/>
        <v>0</v>
      </c>
      <c r="P2243" s="578">
        <f t="shared" si="592"/>
        <v>0</v>
      </c>
      <c r="Q2243" s="765"/>
      <c r="R2243" s="723"/>
      <c r="S2243" s="723"/>
      <c r="T2243" s="577">
        <f t="shared" si="589"/>
        <v>0</v>
      </c>
      <c r="U2243" s="578">
        <f t="shared" si="590"/>
        <v>0</v>
      </c>
      <c r="V2243" s="579"/>
      <c r="W2243" s="566" t="str">
        <f>IF(U2240&gt;0,"xx",IF(P2240&gt;0,"xy",""))</f>
        <v/>
      </c>
      <c r="X2243" s="586" t="str">
        <f t="shared" si="577"/>
        <v/>
      </c>
      <c r="Y2243" s="586" t="str">
        <f t="shared" si="531"/>
        <v/>
      </c>
      <c r="Z2243" s="586" t="str">
        <f t="shared" si="583"/>
        <v/>
      </c>
    </row>
    <row r="2244" spans="1:26" ht="12" hidden="1" thickBot="1" x14ac:dyDescent="0.25">
      <c r="A2244" s="567" t="s">
        <v>168</v>
      </c>
      <c r="B2244" s="644" t="s">
        <v>168</v>
      </c>
      <c r="C2244" s="645"/>
      <c r="D2244" s="422" t="s">
        <v>400</v>
      </c>
      <c r="E2244" s="423"/>
      <c r="F2244" s="424">
        <v>30</v>
      </c>
      <c r="G2244" s="425">
        <f>VLOOKUP(D2240,'[2]ENSAIOS DE ORÇAMENTO'!$C$3:$L$79,3,FALSE)</f>
        <v>1.6716959999999998</v>
      </c>
      <c r="H2244" s="663">
        <f t="shared" si="593"/>
        <v>58.141586879999998</v>
      </c>
      <c r="I2244" s="420"/>
      <c r="J2244" s="420"/>
      <c r="K2244" s="421">
        <f t="shared" si="588"/>
        <v>0</v>
      </c>
      <c r="L2244" s="647"/>
      <c r="M2244" s="723"/>
      <c r="N2244" s="576">
        <f t="shared" si="579"/>
        <v>0</v>
      </c>
      <c r="O2244" s="577">
        <f t="shared" si="591"/>
        <v>0</v>
      </c>
      <c r="P2244" s="578">
        <f t="shared" si="592"/>
        <v>0</v>
      </c>
      <c r="Q2244" s="765"/>
      <c r="R2244" s="723"/>
      <c r="S2244" s="723"/>
      <c r="T2244" s="577">
        <f t="shared" si="589"/>
        <v>0</v>
      </c>
      <c r="U2244" s="578">
        <f t="shared" si="590"/>
        <v>0</v>
      </c>
      <c r="V2244" s="579"/>
      <c r="W2244" s="566" t="str">
        <f>IF(U2240&gt;0,"xx",IF(P2240&gt;0,"xy",""))</f>
        <v/>
      </c>
      <c r="X2244" s="586" t="str">
        <f t="shared" si="577"/>
        <v/>
      </c>
      <c r="Y2244" s="586" t="str">
        <f t="shared" si="531"/>
        <v/>
      </c>
      <c r="Z2244" s="586" t="str">
        <f t="shared" si="583"/>
        <v/>
      </c>
    </row>
    <row r="2245" spans="1:26" ht="12" hidden="1" thickBot="1" x14ac:dyDescent="0.25">
      <c r="A2245" s="567" t="s">
        <v>168</v>
      </c>
      <c r="B2245" s="644" t="s">
        <v>168</v>
      </c>
      <c r="C2245" s="645"/>
      <c r="D2245" s="422" t="s">
        <v>401</v>
      </c>
      <c r="E2245" s="423"/>
      <c r="F2245" s="424">
        <v>500</v>
      </c>
      <c r="G2245" s="425">
        <f>VLOOKUP(D2240,'[2]ENSAIOS DE ORÇAMENTO'!$C$3:$L$79,10,FALSE)</f>
        <v>5.5723200000000001E-2</v>
      </c>
      <c r="H2245" s="649">
        <f>IF(F2245&lt;=30,(0.78*F2245+7.82)*G2245,((0.78*30+7.82)+0.78*(F2245-30))*G2245)</f>
        <v>22.167803424000002</v>
      </c>
      <c r="I2245" s="420"/>
      <c r="J2245" s="420"/>
      <c r="K2245" s="421">
        <f t="shared" si="588"/>
        <v>0</v>
      </c>
      <c r="L2245" s="647"/>
      <c r="M2245" s="723"/>
      <c r="N2245" s="576">
        <f t="shared" si="579"/>
        <v>0</v>
      </c>
      <c r="O2245" s="577">
        <f t="shared" si="591"/>
        <v>0</v>
      </c>
      <c r="P2245" s="578">
        <f t="shared" si="592"/>
        <v>0</v>
      </c>
      <c r="Q2245" s="765"/>
      <c r="R2245" s="723"/>
      <c r="S2245" s="723"/>
      <c r="T2245" s="577">
        <f t="shared" si="589"/>
        <v>0</v>
      </c>
      <c r="U2245" s="578">
        <f t="shared" si="590"/>
        <v>0</v>
      </c>
      <c r="V2245" s="579"/>
      <c r="W2245" s="566" t="str">
        <f>IF(U2240&gt;0,"xx",IF(P2240&gt;0,"xy",""))</f>
        <v/>
      </c>
      <c r="X2245" s="586" t="str">
        <f t="shared" si="577"/>
        <v/>
      </c>
      <c r="Y2245" s="586" t="str">
        <f t="shared" si="531"/>
        <v/>
      </c>
      <c r="Z2245" s="586" t="str">
        <f t="shared" si="583"/>
        <v/>
      </c>
    </row>
    <row r="2246" spans="1:26" ht="12" hidden="1" thickBot="1" x14ac:dyDescent="0.25">
      <c r="A2246" s="567" t="s">
        <v>33</v>
      </c>
      <c r="B2246" s="644" t="s">
        <v>33</v>
      </c>
      <c r="C2246" s="645" t="s">
        <v>206</v>
      </c>
      <c r="D2246" s="422" t="s">
        <v>102</v>
      </c>
      <c r="E2246" s="423"/>
      <c r="F2246" s="424"/>
      <c r="G2246" s="425"/>
      <c r="H2246" s="651">
        <f>SUM(H2247:H2251)</f>
        <v>461.47875640000001</v>
      </c>
      <c r="I2246" s="420">
        <f>VLOOKUP(D2246,'[2]ENSAIOS DE ORÇAMENTO'!$C$3:$L$79,8,FALSE)</f>
        <v>2933.8990199999998</v>
      </c>
      <c r="J2246" s="420">
        <f>IF(ISBLANK(I2246),"",SUM(H2246:I2246))</f>
        <v>3395.3777763999997</v>
      </c>
      <c r="K2246" s="421">
        <f t="shared" si="588"/>
        <v>4034.05</v>
      </c>
      <c r="L2246" s="647" t="s">
        <v>21</v>
      </c>
      <c r="M2246" s="576"/>
      <c r="N2246" s="576">
        <f t="shared" si="579"/>
        <v>0</v>
      </c>
      <c r="O2246" s="577">
        <f t="shared" si="591"/>
        <v>0</v>
      </c>
      <c r="P2246" s="578">
        <f t="shared" si="592"/>
        <v>0</v>
      </c>
      <c r="Q2246" s="765"/>
      <c r="R2246" s="576">
        <f>M2246</f>
        <v>0</v>
      </c>
      <c r="S2246" s="576">
        <f>N2246</f>
        <v>0</v>
      </c>
      <c r="T2246" s="577">
        <f t="shared" si="589"/>
        <v>0</v>
      </c>
      <c r="U2246" s="578">
        <f t="shared" si="590"/>
        <v>0</v>
      </c>
      <c r="V2246" s="579"/>
      <c r="W2246" s="566"/>
      <c r="X2246" s="586" t="str">
        <f t="shared" si="577"/>
        <v/>
      </c>
      <c r="Y2246" s="586" t="str">
        <f t="shared" si="531"/>
        <v/>
      </c>
      <c r="Z2246" s="586" t="str">
        <f t="shared" si="583"/>
        <v/>
      </c>
    </row>
    <row r="2247" spans="1:26" ht="12" hidden="1" thickBot="1" x14ac:dyDescent="0.25">
      <c r="A2247" s="567" t="s">
        <v>168</v>
      </c>
      <c r="B2247" s="644" t="s">
        <v>168</v>
      </c>
      <c r="C2247" s="645"/>
      <c r="D2247" s="422" t="s">
        <v>212</v>
      </c>
      <c r="E2247" s="423"/>
      <c r="F2247" s="424">
        <v>500</v>
      </c>
      <c r="G2247" s="425">
        <f>VLOOKUP(D2246,'[2]ENSAIOS DE ORÇAMENTO'!$C$3:$L$79,4,FALSE)</f>
        <v>0.23381399999999999</v>
      </c>
      <c r="H2247" s="649">
        <f>IF(F2247&lt;=30,(0.78*F2247+7.82)*G2247,((0.78*30+7.82)+0.78*(F2247-30))*G2247)</f>
        <v>93.015885480000009</v>
      </c>
      <c r="I2247" s="420"/>
      <c r="J2247" s="420"/>
      <c r="K2247" s="421">
        <f t="shared" si="588"/>
        <v>0</v>
      </c>
      <c r="L2247" s="647"/>
      <c r="M2247" s="723"/>
      <c r="N2247" s="576">
        <f t="shared" si="579"/>
        <v>0</v>
      </c>
      <c r="O2247" s="577">
        <f t="shared" si="591"/>
        <v>0</v>
      </c>
      <c r="P2247" s="578">
        <f t="shared" si="592"/>
        <v>0</v>
      </c>
      <c r="Q2247" s="765"/>
      <c r="R2247" s="723"/>
      <c r="S2247" s="723"/>
      <c r="T2247" s="577">
        <f t="shared" si="589"/>
        <v>0</v>
      </c>
      <c r="U2247" s="578">
        <f t="shared" si="590"/>
        <v>0</v>
      </c>
      <c r="V2247" s="579"/>
      <c r="W2247" s="566" t="str">
        <f>IF(U2246&gt;0,"xx",IF(P2246&gt;0,"xy",""))</f>
        <v/>
      </c>
      <c r="X2247" s="586" t="str">
        <f t="shared" si="577"/>
        <v/>
      </c>
      <c r="Y2247" s="586" t="str">
        <f t="shared" si="531"/>
        <v/>
      </c>
      <c r="Z2247" s="586" t="str">
        <f t="shared" si="583"/>
        <v/>
      </c>
    </row>
    <row r="2248" spans="1:26" ht="12" hidden="1" thickBot="1" x14ac:dyDescent="0.25">
      <c r="A2248" s="567" t="s">
        <v>168</v>
      </c>
      <c r="B2248" s="644" t="s">
        <v>168</v>
      </c>
      <c r="C2248" s="645"/>
      <c r="D2248" s="422" t="s">
        <v>248</v>
      </c>
      <c r="E2248" s="423"/>
      <c r="F2248" s="424">
        <v>180</v>
      </c>
      <c r="G2248" s="425">
        <f>VLOOKUP(D2246,'[2]ENSAIOS DE ORÇAMENTO'!$C$3:$L$79,5,FALSE)</f>
        <v>1.324927</v>
      </c>
      <c r="H2248" s="663">
        <f t="shared" ref="H2248:H2250" si="594">IF(F2248&lt;=30,(1.07*F2248+2.68)*G2248,((1.07*30+2.68)+1.07*(F2248-30))*G2248)</f>
        <v>258.73174455999998</v>
      </c>
      <c r="I2248" s="420"/>
      <c r="J2248" s="420"/>
      <c r="K2248" s="421">
        <f t="shared" si="588"/>
        <v>0</v>
      </c>
      <c r="L2248" s="647"/>
      <c r="M2248" s="723"/>
      <c r="N2248" s="576">
        <f t="shared" si="579"/>
        <v>0</v>
      </c>
      <c r="O2248" s="577">
        <f t="shared" si="591"/>
        <v>0</v>
      </c>
      <c r="P2248" s="578">
        <f t="shared" si="592"/>
        <v>0</v>
      </c>
      <c r="Q2248" s="765"/>
      <c r="R2248" s="723"/>
      <c r="S2248" s="723"/>
      <c r="T2248" s="577">
        <f t="shared" si="589"/>
        <v>0</v>
      </c>
      <c r="U2248" s="578">
        <f t="shared" si="590"/>
        <v>0</v>
      </c>
      <c r="V2248" s="579"/>
      <c r="W2248" s="566" t="str">
        <f>IF(U2246&gt;0,"xx",IF(P2246&gt;0,"xy",""))</f>
        <v/>
      </c>
      <c r="X2248" s="586" t="str">
        <f t="shared" si="577"/>
        <v/>
      </c>
      <c r="Y2248" s="586" t="str">
        <f t="shared" si="531"/>
        <v/>
      </c>
      <c r="Z2248" s="586" t="str">
        <f t="shared" si="583"/>
        <v/>
      </c>
    </row>
    <row r="2249" spans="1:26" ht="12" hidden="1" thickBot="1" x14ac:dyDescent="0.25">
      <c r="A2249" s="567" t="s">
        <v>168</v>
      </c>
      <c r="B2249" s="644" t="s">
        <v>168</v>
      </c>
      <c r="C2249" s="645"/>
      <c r="D2249" s="422" t="s">
        <v>252</v>
      </c>
      <c r="E2249" s="423"/>
      <c r="F2249" s="424">
        <v>20</v>
      </c>
      <c r="G2249" s="425">
        <f>VLOOKUP(D2246,'[2]ENSAIOS DE ORÇAMENTO'!$C$3:$L$79,6,FALSE)</f>
        <v>0.38805600000000001</v>
      </c>
      <c r="H2249" s="663">
        <f t="shared" si="594"/>
        <v>9.344388480000001</v>
      </c>
      <c r="I2249" s="420"/>
      <c r="J2249" s="420"/>
      <c r="K2249" s="421">
        <f t="shared" si="588"/>
        <v>0</v>
      </c>
      <c r="L2249" s="647"/>
      <c r="M2249" s="723"/>
      <c r="N2249" s="576">
        <f t="shared" si="579"/>
        <v>0</v>
      </c>
      <c r="O2249" s="577">
        <f t="shared" si="591"/>
        <v>0</v>
      </c>
      <c r="P2249" s="578">
        <f t="shared" si="592"/>
        <v>0</v>
      </c>
      <c r="Q2249" s="765"/>
      <c r="R2249" s="723"/>
      <c r="S2249" s="723"/>
      <c r="T2249" s="577">
        <f t="shared" si="589"/>
        <v>0</v>
      </c>
      <c r="U2249" s="578">
        <f t="shared" si="590"/>
        <v>0</v>
      </c>
      <c r="V2249" s="579"/>
      <c r="W2249" s="566" t="str">
        <f>IF(U2246&gt;0,"xx",IF(P2246&gt;0,"xy",""))</f>
        <v/>
      </c>
      <c r="X2249" s="586" t="str">
        <f t="shared" si="577"/>
        <v/>
      </c>
      <c r="Y2249" s="586" t="str">
        <f t="shared" si="531"/>
        <v/>
      </c>
      <c r="Z2249" s="586" t="str">
        <f t="shared" si="583"/>
        <v/>
      </c>
    </row>
    <row r="2250" spans="1:26" ht="12" hidden="1" thickBot="1" x14ac:dyDescent="0.25">
      <c r="A2250" s="567" t="s">
        <v>168</v>
      </c>
      <c r="B2250" s="644" t="s">
        <v>168</v>
      </c>
      <c r="C2250" s="645"/>
      <c r="D2250" s="422" t="s">
        <v>400</v>
      </c>
      <c r="E2250" s="423"/>
      <c r="F2250" s="424">
        <v>30</v>
      </c>
      <c r="G2250" s="425">
        <f>VLOOKUP(D2246,'[2]ENSAIOS DE ORÇAMENTO'!$C$3:$L$79,3,FALSE)</f>
        <v>2.0896199999999996</v>
      </c>
      <c r="H2250" s="663">
        <f t="shared" si="594"/>
        <v>72.676983599999986</v>
      </c>
      <c r="I2250" s="420"/>
      <c r="J2250" s="420"/>
      <c r="K2250" s="421">
        <f t="shared" si="588"/>
        <v>0</v>
      </c>
      <c r="L2250" s="647"/>
      <c r="M2250" s="723"/>
      <c r="N2250" s="576">
        <f t="shared" si="579"/>
        <v>0</v>
      </c>
      <c r="O2250" s="577">
        <f t="shared" si="591"/>
        <v>0</v>
      </c>
      <c r="P2250" s="578">
        <f t="shared" si="592"/>
        <v>0</v>
      </c>
      <c r="Q2250" s="765"/>
      <c r="R2250" s="723"/>
      <c r="S2250" s="723"/>
      <c r="T2250" s="577">
        <f t="shared" si="589"/>
        <v>0</v>
      </c>
      <c r="U2250" s="578">
        <f t="shared" si="590"/>
        <v>0</v>
      </c>
      <c r="V2250" s="579"/>
      <c r="W2250" s="566" t="str">
        <f>IF(U2246&gt;0,"xx",IF(P2246&gt;0,"xy",""))</f>
        <v/>
      </c>
      <c r="X2250" s="586" t="str">
        <f t="shared" si="577"/>
        <v/>
      </c>
      <c r="Y2250" s="586" t="str">
        <f t="shared" si="531"/>
        <v/>
      </c>
      <c r="Z2250" s="586" t="str">
        <f t="shared" si="583"/>
        <v/>
      </c>
    </row>
    <row r="2251" spans="1:26" ht="12" hidden="1" thickBot="1" x14ac:dyDescent="0.25">
      <c r="A2251" s="567" t="s">
        <v>168</v>
      </c>
      <c r="B2251" s="644" t="s">
        <v>168</v>
      </c>
      <c r="C2251" s="645"/>
      <c r="D2251" s="422" t="s">
        <v>401</v>
      </c>
      <c r="E2251" s="423"/>
      <c r="F2251" s="424">
        <v>500</v>
      </c>
      <c r="G2251" s="425">
        <f>VLOOKUP(D2246,'[2]ENSAIOS DE ORÇAMENTO'!$C$3:$L$79,10,FALSE)</f>
        <v>6.9653999999999994E-2</v>
      </c>
      <c r="H2251" s="649">
        <f>IF(F2251&lt;=30,(0.78*F2251+7.82)*G2251,((0.78*30+7.82)+0.78*(F2251-30))*G2251)</f>
        <v>27.709754280000002</v>
      </c>
      <c r="I2251" s="420"/>
      <c r="J2251" s="420"/>
      <c r="K2251" s="421">
        <f t="shared" si="588"/>
        <v>0</v>
      </c>
      <c r="L2251" s="647"/>
      <c r="M2251" s="723"/>
      <c r="N2251" s="576">
        <f t="shared" si="579"/>
        <v>0</v>
      </c>
      <c r="O2251" s="577">
        <f t="shared" si="591"/>
        <v>0</v>
      </c>
      <c r="P2251" s="578">
        <f t="shared" si="592"/>
        <v>0</v>
      </c>
      <c r="Q2251" s="765"/>
      <c r="R2251" s="723"/>
      <c r="S2251" s="723"/>
      <c r="T2251" s="577">
        <f t="shared" si="589"/>
        <v>0</v>
      </c>
      <c r="U2251" s="578">
        <f t="shared" si="590"/>
        <v>0</v>
      </c>
      <c r="V2251" s="579"/>
      <c r="W2251" s="566" t="str">
        <f>IF(U2246&gt;0,"xx",IF(P2246&gt;0,"xy",""))</f>
        <v/>
      </c>
      <c r="X2251" s="586" t="str">
        <f t="shared" si="577"/>
        <v/>
      </c>
      <c r="Y2251" s="586" t="str">
        <f t="shared" si="531"/>
        <v/>
      </c>
      <c r="Z2251" s="586" t="str">
        <f t="shared" si="583"/>
        <v/>
      </c>
    </row>
    <row r="2252" spans="1:26" ht="12" hidden="1" thickBot="1" x14ac:dyDescent="0.25">
      <c r="A2252" s="567" t="s">
        <v>117</v>
      </c>
      <c r="B2252" s="644" t="s">
        <v>117</v>
      </c>
      <c r="C2252" s="645" t="s">
        <v>206</v>
      </c>
      <c r="D2252" s="422" t="s">
        <v>103</v>
      </c>
      <c r="E2252" s="423"/>
      <c r="F2252" s="424"/>
      <c r="G2252" s="425"/>
      <c r="H2252" s="651">
        <f>SUM(H2253:H2257)</f>
        <v>576.97404310000002</v>
      </c>
      <c r="I2252" s="420">
        <f>VLOOKUP(D2252,'[2]ENSAIOS DE ORÇAMENTO'!$C$3:$L$79,8,FALSE)</f>
        <v>3406.1250199999995</v>
      </c>
      <c r="J2252" s="420">
        <f>IF(ISBLANK(I2252),"",SUM(H2252:I2252))</f>
        <v>3983.0990630999995</v>
      </c>
      <c r="K2252" s="421">
        <f t="shared" si="588"/>
        <v>4732.32</v>
      </c>
      <c r="L2252" s="647" t="s">
        <v>21</v>
      </c>
      <c r="M2252" s="576"/>
      <c r="N2252" s="576">
        <f t="shared" si="579"/>
        <v>0</v>
      </c>
      <c r="O2252" s="577">
        <f t="shared" si="591"/>
        <v>0</v>
      </c>
      <c r="P2252" s="578">
        <f t="shared" si="592"/>
        <v>0</v>
      </c>
      <c r="Q2252" s="765"/>
      <c r="R2252" s="576">
        <f>M2252</f>
        <v>0</v>
      </c>
      <c r="S2252" s="576">
        <f>N2252</f>
        <v>0</v>
      </c>
      <c r="T2252" s="577">
        <f t="shared" si="589"/>
        <v>0</v>
      </c>
      <c r="U2252" s="578">
        <f t="shared" si="590"/>
        <v>0</v>
      </c>
      <c r="V2252" s="579"/>
      <c r="W2252" s="566"/>
      <c r="X2252" s="586" t="str">
        <f t="shared" si="577"/>
        <v/>
      </c>
      <c r="Y2252" s="586" t="str">
        <f t="shared" si="531"/>
        <v/>
      </c>
      <c r="Z2252" s="586" t="str">
        <f t="shared" si="583"/>
        <v/>
      </c>
    </row>
    <row r="2253" spans="1:26" ht="12" hidden="1" thickBot="1" x14ac:dyDescent="0.25">
      <c r="A2253" s="567" t="s">
        <v>168</v>
      </c>
      <c r="B2253" s="644" t="s">
        <v>168</v>
      </c>
      <c r="C2253" s="645"/>
      <c r="D2253" s="422" t="s">
        <v>212</v>
      </c>
      <c r="E2253" s="423"/>
      <c r="F2253" s="424">
        <v>500</v>
      </c>
      <c r="G2253" s="425">
        <f>VLOOKUP(D2252,'[2]ENSAIOS DE ORÇAMENTO'!$C$3:$L$79,4,FALSE)</f>
        <v>0.28185359999999998</v>
      </c>
      <c r="H2253" s="649">
        <f>IF(F2253&lt;=30,(0.78*F2253+7.82)*G2253,((0.78*30+7.82)+0.78*(F2253-30))*G2253)</f>
        <v>112.12699915200001</v>
      </c>
      <c r="I2253" s="420"/>
      <c r="J2253" s="420"/>
      <c r="K2253" s="421">
        <f t="shared" si="588"/>
        <v>0</v>
      </c>
      <c r="L2253" s="647"/>
      <c r="M2253" s="723"/>
      <c r="N2253" s="576">
        <f t="shared" si="579"/>
        <v>0</v>
      </c>
      <c r="O2253" s="577">
        <f t="shared" si="591"/>
        <v>0</v>
      </c>
      <c r="P2253" s="578">
        <f t="shared" si="592"/>
        <v>0</v>
      </c>
      <c r="Q2253" s="765"/>
      <c r="R2253" s="723"/>
      <c r="S2253" s="723"/>
      <c r="T2253" s="577">
        <f t="shared" si="589"/>
        <v>0</v>
      </c>
      <c r="U2253" s="578">
        <f t="shared" si="590"/>
        <v>0</v>
      </c>
      <c r="V2253" s="579"/>
      <c r="W2253" s="566" t="str">
        <f>IF(U2252&gt;0,"xx",IF(P2252&gt;0,"xy",""))</f>
        <v/>
      </c>
      <c r="X2253" s="586" t="str">
        <f t="shared" si="577"/>
        <v/>
      </c>
      <c r="Y2253" s="586" t="str">
        <f t="shared" si="531"/>
        <v/>
      </c>
      <c r="Z2253" s="586" t="str">
        <f t="shared" si="583"/>
        <v/>
      </c>
    </row>
    <row r="2254" spans="1:26" ht="12" hidden="1" thickBot="1" x14ac:dyDescent="0.25">
      <c r="A2254" s="567" t="s">
        <v>168</v>
      </c>
      <c r="B2254" s="644" t="s">
        <v>168</v>
      </c>
      <c r="C2254" s="645"/>
      <c r="D2254" s="422" t="s">
        <v>248</v>
      </c>
      <c r="E2254" s="423"/>
      <c r="F2254" s="424">
        <v>180</v>
      </c>
      <c r="G2254" s="425">
        <f>VLOOKUP(D2252,'[2]ENSAIOS DE ORÇAMENTO'!$C$3:$L$79,5,FALSE)</f>
        <v>1.6484590000000001</v>
      </c>
      <c r="H2254" s="663">
        <f t="shared" ref="H2254:H2256" si="595">IF(F2254&lt;=30,(1.07*F2254+2.68)*G2254,((1.07*30+2.68)+1.07*(F2254-30))*G2254)</f>
        <v>321.91107352</v>
      </c>
      <c r="I2254" s="420"/>
      <c r="J2254" s="420"/>
      <c r="K2254" s="421">
        <f t="shared" si="588"/>
        <v>0</v>
      </c>
      <c r="L2254" s="647"/>
      <c r="M2254" s="723"/>
      <c r="N2254" s="576">
        <f t="shared" si="579"/>
        <v>0</v>
      </c>
      <c r="O2254" s="577">
        <f t="shared" si="591"/>
        <v>0</v>
      </c>
      <c r="P2254" s="578">
        <f t="shared" si="592"/>
        <v>0</v>
      </c>
      <c r="Q2254" s="765"/>
      <c r="R2254" s="723"/>
      <c r="S2254" s="723"/>
      <c r="T2254" s="577">
        <f t="shared" si="589"/>
        <v>0</v>
      </c>
      <c r="U2254" s="578">
        <f t="shared" si="590"/>
        <v>0</v>
      </c>
      <c r="V2254" s="579"/>
      <c r="W2254" s="566" t="str">
        <f>IF(U2252&gt;0,"xx",IF(P2252&gt;0,"xy",""))</f>
        <v/>
      </c>
      <c r="X2254" s="586" t="str">
        <f t="shared" si="577"/>
        <v/>
      </c>
      <c r="Y2254" s="586" t="str">
        <f t="shared" si="531"/>
        <v/>
      </c>
      <c r="Z2254" s="586" t="str">
        <f t="shared" si="583"/>
        <v/>
      </c>
    </row>
    <row r="2255" spans="1:26" ht="12" hidden="1" thickBot="1" x14ac:dyDescent="0.25">
      <c r="A2255" s="567" t="s">
        <v>168</v>
      </c>
      <c r="B2255" s="644" t="s">
        <v>168</v>
      </c>
      <c r="C2255" s="645"/>
      <c r="D2255" s="422" t="s">
        <v>252</v>
      </c>
      <c r="E2255" s="423"/>
      <c r="F2255" s="424">
        <v>20</v>
      </c>
      <c r="G2255" s="425">
        <f>VLOOKUP(D2252,'[2]ENSAIOS DE ORÇAMENTO'!$C$3:$L$79,6,FALSE)</f>
        <v>0.38805600000000001</v>
      </c>
      <c r="H2255" s="663">
        <f t="shared" si="595"/>
        <v>9.344388480000001</v>
      </c>
      <c r="I2255" s="420"/>
      <c r="J2255" s="420"/>
      <c r="K2255" s="421">
        <f t="shared" si="588"/>
        <v>0</v>
      </c>
      <c r="L2255" s="647"/>
      <c r="M2255" s="723"/>
      <c r="N2255" s="576">
        <f t="shared" si="579"/>
        <v>0</v>
      </c>
      <c r="O2255" s="577">
        <f t="shared" si="591"/>
        <v>0</v>
      </c>
      <c r="P2255" s="578">
        <f t="shared" si="592"/>
        <v>0</v>
      </c>
      <c r="Q2255" s="765"/>
      <c r="R2255" s="723"/>
      <c r="S2255" s="723"/>
      <c r="T2255" s="577">
        <f t="shared" si="589"/>
        <v>0</v>
      </c>
      <c r="U2255" s="578">
        <f t="shared" si="590"/>
        <v>0</v>
      </c>
      <c r="V2255" s="579"/>
      <c r="W2255" s="566" t="str">
        <f>IF(U2252&gt;0,"xx",IF(P2252&gt;0,"xy",""))</f>
        <v/>
      </c>
      <c r="X2255" s="586" t="str">
        <f t="shared" si="577"/>
        <v/>
      </c>
      <c r="Y2255" s="586" t="str">
        <f t="shared" si="531"/>
        <v/>
      </c>
      <c r="Z2255" s="586" t="str">
        <f t="shared" si="583"/>
        <v/>
      </c>
    </row>
    <row r="2256" spans="1:26" ht="12" hidden="1" thickBot="1" x14ac:dyDescent="0.25">
      <c r="A2256" s="567" t="s">
        <v>168</v>
      </c>
      <c r="B2256" s="644" t="s">
        <v>168</v>
      </c>
      <c r="C2256" s="645"/>
      <c r="D2256" s="422" t="s">
        <v>400</v>
      </c>
      <c r="E2256" s="423"/>
      <c r="F2256" s="424">
        <v>30</v>
      </c>
      <c r="G2256" s="425">
        <f>VLOOKUP(D2252,'[2]ENSAIOS DE ORÇAMENTO'!$C$3:$L$79,3,FALSE)</f>
        <v>2.780802</v>
      </c>
      <c r="H2256" s="663">
        <f t="shared" si="595"/>
        <v>96.716293559999997</v>
      </c>
      <c r="I2256" s="420"/>
      <c r="J2256" s="420"/>
      <c r="K2256" s="421">
        <f t="shared" si="588"/>
        <v>0</v>
      </c>
      <c r="L2256" s="647"/>
      <c r="M2256" s="723"/>
      <c r="N2256" s="576">
        <f t="shared" si="579"/>
        <v>0</v>
      </c>
      <c r="O2256" s="577">
        <f t="shared" si="591"/>
        <v>0</v>
      </c>
      <c r="P2256" s="578">
        <f t="shared" si="592"/>
        <v>0</v>
      </c>
      <c r="Q2256" s="765"/>
      <c r="R2256" s="723"/>
      <c r="S2256" s="723"/>
      <c r="T2256" s="577">
        <f t="shared" si="589"/>
        <v>0</v>
      </c>
      <c r="U2256" s="578">
        <f t="shared" si="590"/>
        <v>0</v>
      </c>
      <c r="V2256" s="579"/>
      <c r="W2256" s="566" t="str">
        <f>IF(U2252&gt;0,"xx",IF(P2252&gt;0,"xy",""))</f>
        <v/>
      </c>
      <c r="X2256" s="586" t="str">
        <f t="shared" si="577"/>
        <v/>
      </c>
      <c r="Y2256" s="586" t="str">
        <f t="shared" si="531"/>
        <v/>
      </c>
      <c r="Z2256" s="586" t="str">
        <f t="shared" si="583"/>
        <v/>
      </c>
    </row>
    <row r="2257" spans="1:26" ht="12" hidden="1" thickBot="1" x14ac:dyDescent="0.25">
      <c r="A2257" s="567" t="s">
        <v>168</v>
      </c>
      <c r="B2257" s="644" t="s">
        <v>168</v>
      </c>
      <c r="C2257" s="645"/>
      <c r="D2257" s="422" t="s">
        <v>401</v>
      </c>
      <c r="E2257" s="423"/>
      <c r="F2257" s="424">
        <v>500</v>
      </c>
      <c r="G2257" s="425">
        <f>VLOOKUP(D2252,'[2]ENSAIOS DE ORÇAMENTO'!$C$3:$L$79,10,FALSE)</f>
        <v>9.2693399999999995E-2</v>
      </c>
      <c r="H2257" s="649">
        <f>IF(F2257&lt;=30,(0.78*F2257+7.82)*G2257,((0.78*30+7.82)+0.78*(F2257-30))*G2257)</f>
        <v>36.875288388000001</v>
      </c>
      <c r="I2257" s="420"/>
      <c r="J2257" s="420"/>
      <c r="K2257" s="421">
        <f t="shared" si="588"/>
        <v>0</v>
      </c>
      <c r="L2257" s="647"/>
      <c r="M2257" s="723"/>
      <c r="N2257" s="576">
        <f t="shared" si="579"/>
        <v>0</v>
      </c>
      <c r="O2257" s="577">
        <f t="shared" si="591"/>
        <v>0</v>
      </c>
      <c r="P2257" s="578">
        <f t="shared" si="592"/>
        <v>0</v>
      </c>
      <c r="Q2257" s="765"/>
      <c r="R2257" s="723"/>
      <c r="S2257" s="723"/>
      <c r="T2257" s="577">
        <f t="shared" si="589"/>
        <v>0</v>
      </c>
      <c r="U2257" s="578">
        <f t="shared" si="590"/>
        <v>0</v>
      </c>
      <c r="V2257" s="579"/>
      <c r="W2257" s="566" t="str">
        <f>IF(U2252&gt;0,"xx",IF(P2252&gt;0,"xy",""))</f>
        <v/>
      </c>
      <c r="X2257" s="586" t="str">
        <f t="shared" si="577"/>
        <v/>
      </c>
      <c r="Y2257" s="586" t="str">
        <f t="shared" si="531"/>
        <v/>
      </c>
      <c r="Z2257" s="586" t="str">
        <f t="shared" si="583"/>
        <v/>
      </c>
    </row>
    <row r="2258" spans="1:26" ht="12" hidden="1" thickBot="1" x14ac:dyDescent="0.25">
      <c r="A2258" s="567" t="s">
        <v>118</v>
      </c>
      <c r="B2258" s="644" t="s">
        <v>118</v>
      </c>
      <c r="C2258" s="645" t="s">
        <v>206</v>
      </c>
      <c r="D2258" s="422" t="s">
        <v>104</v>
      </c>
      <c r="E2258" s="423"/>
      <c r="F2258" s="424"/>
      <c r="G2258" s="425"/>
      <c r="H2258" s="651">
        <f>SUM(H2259:H2263)</f>
        <v>695.15526669999997</v>
      </c>
      <c r="I2258" s="420">
        <f>VLOOKUP(D2258,'[2]ENSAIOS DE ORÇAMENTO'!$C$3:$L$79,8,FALSE)</f>
        <v>3889.3330199999991</v>
      </c>
      <c r="J2258" s="420">
        <f>IF(ISBLANK(I2258),"",SUM(H2258:I2258))</f>
        <v>4584.4882866999988</v>
      </c>
      <c r="K2258" s="421">
        <f t="shared" si="588"/>
        <v>5446.83</v>
      </c>
      <c r="L2258" s="647" t="s">
        <v>21</v>
      </c>
      <c r="M2258" s="576"/>
      <c r="N2258" s="576">
        <f t="shared" si="579"/>
        <v>0</v>
      </c>
      <c r="O2258" s="577">
        <f t="shared" si="591"/>
        <v>0</v>
      </c>
      <c r="P2258" s="578">
        <f t="shared" si="592"/>
        <v>0</v>
      </c>
      <c r="Q2258" s="765"/>
      <c r="R2258" s="576">
        <f>M2258</f>
        <v>0</v>
      </c>
      <c r="S2258" s="576">
        <f>N2258</f>
        <v>0</v>
      </c>
      <c r="T2258" s="577">
        <f t="shared" si="589"/>
        <v>0</v>
      </c>
      <c r="U2258" s="578">
        <f t="shared" si="590"/>
        <v>0</v>
      </c>
      <c r="V2258" s="579"/>
      <c r="W2258" s="566"/>
      <c r="X2258" s="586" t="str">
        <f t="shared" si="577"/>
        <v/>
      </c>
      <c r="Y2258" s="586" t="str">
        <f t="shared" si="531"/>
        <v/>
      </c>
      <c r="Z2258" s="586" t="str">
        <f t="shared" si="583"/>
        <v/>
      </c>
    </row>
    <row r="2259" spans="1:26" ht="12" hidden="1" thickBot="1" x14ac:dyDescent="0.25">
      <c r="A2259" s="567" t="s">
        <v>168</v>
      </c>
      <c r="B2259" s="644" t="s">
        <v>168</v>
      </c>
      <c r="C2259" s="645"/>
      <c r="D2259" s="422" t="s">
        <v>212</v>
      </c>
      <c r="E2259" s="423"/>
      <c r="F2259" s="424">
        <v>500</v>
      </c>
      <c r="G2259" s="425">
        <f>VLOOKUP(D2258,'[2]ENSAIOS DE ORÇAMENTO'!$C$3:$L$79,4,FALSE)</f>
        <v>0.33101039999999993</v>
      </c>
      <c r="H2259" s="649">
        <f>IF(F2259&lt;=30,(0.78*F2259+7.82)*G2259,((0.78*30+7.82)+0.78*(F2259-30))*G2259)</f>
        <v>131.682557328</v>
      </c>
      <c r="I2259" s="420"/>
      <c r="J2259" s="420"/>
      <c r="K2259" s="421">
        <f t="shared" si="588"/>
        <v>0</v>
      </c>
      <c r="L2259" s="647"/>
      <c r="M2259" s="723"/>
      <c r="N2259" s="576">
        <f t="shared" si="579"/>
        <v>0</v>
      </c>
      <c r="O2259" s="577">
        <f t="shared" si="591"/>
        <v>0</v>
      </c>
      <c r="P2259" s="578">
        <f t="shared" si="592"/>
        <v>0</v>
      </c>
      <c r="Q2259" s="765"/>
      <c r="R2259" s="723"/>
      <c r="S2259" s="723"/>
      <c r="T2259" s="577">
        <f t="shared" si="589"/>
        <v>0</v>
      </c>
      <c r="U2259" s="578">
        <f t="shared" si="590"/>
        <v>0</v>
      </c>
      <c r="V2259" s="579"/>
      <c r="W2259" s="566" t="str">
        <f>IF(U2258&gt;0,"xx",IF(P2258&gt;0,"xy",""))</f>
        <v/>
      </c>
      <c r="X2259" s="586" t="str">
        <f t="shared" si="577"/>
        <v/>
      </c>
      <c r="Y2259" s="586" t="str">
        <f t="shared" si="531"/>
        <v/>
      </c>
      <c r="Z2259" s="586" t="str">
        <f t="shared" si="583"/>
        <v/>
      </c>
    </row>
    <row r="2260" spans="1:26" ht="12" hidden="1" thickBot="1" x14ac:dyDescent="0.25">
      <c r="A2260" s="567" t="s">
        <v>168</v>
      </c>
      <c r="B2260" s="644" t="s">
        <v>168</v>
      </c>
      <c r="C2260" s="645"/>
      <c r="D2260" s="422" t="s">
        <v>248</v>
      </c>
      <c r="E2260" s="423"/>
      <c r="F2260" s="424">
        <v>180</v>
      </c>
      <c r="G2260" s="425">
        <f>VLOOKUP(D2258,'[2]ENSAIOS DE ORÇAMENTO'!$C$3:$L$79,5,FALSE)</f>
        <v>1.9795149999999999</v>
      </c>
      <c r="H2260" s="663">
        <f t="shared" ref="H2260:H2262" si="596">IF(F2260&lt;=30,(1.07*F2260+2.68)*G2260,((1.07*30+2.68)+1.07*(F2260-30))*G2260)</f>
        <v>386.55968919999998</v>
      </c>
      <c r="I2260" s="420"/>
      <c r="J2260" s="420"/>
      <c r="K2260" s="421">
        <f t="shared" si="588"/>
        <v>0</v>
      </c>
      <c r="L2260" s="647"/>
      <c r="M2260" s="723"/>
      <c r="N2260" s="576">
        <f t="shared" ref="N2260:N2323" si="597">IF(M2260=0,0,K2260)</f>
        <v>0</v>
      </c>
      <c r="O2260" s="577">
        <f t="shared" si="591"/>
        <v>0</v>
      </c>
      <c r="P2260" s="578">
        <f t="shared" si="592"/>
        <v>0</v>
      </c>
      <c r="Q2260" s="765"/>
      <c r="R2260" s="723"/>
      <c r="S2260" s="723"/>
      <c r="T2260" s="577">
        <f t="shared" si="589"/>
        <v>0</v>
      </c>
      <c r="U2260" s="578">
        <f t="shared" si="590"/>
        <v>0</v>
      </c>
      <c r="V2260" s="579"/>
      <c r="W2260" s="566" t="str">
        <f>IF(U2258&gt;0,"xx",IF(P2258&gt;0,"xy",""))</f>
        <v/>
      </c>
      <c r="X2260" s="586" t="str">
        <f t="shared" si="577"/>
        <v/>
      </c>
      <c r="Y2260" s="586" t="str">
        <f t="shared" si="531"/>
        <v/>
      </c>
      <c r="Z2260" s="586" t="str">
        <f t="shared" si="583"/>
        <v/>
      </c>
    </row>
    <row r="2261" spans="1:26" ht="12" hidden="1" thickBot="1" x14ac:dyDescent="0.25">
      <c r="A2261" s="567" t="s">
        <v>168</v>
      </c>
      <c r="B2261" s="644" t="s">
        <v>168</v>
      </c>
      <c r="C2261" s="645"/>
      <c r="D2261" s="422" t="s">
        <v>252</v>
      </c>
      <c r="E2261" s="423"/>
      <c r="F2261" s="424">
        <v>20</v>
      </c>
      <c r="G2261" s="425">
        <f>VLOOKUP(D2258,'[2]ENSAIOS DE ORÇAMENTO'!$C$3:$L$79,6,FALSE)</f>
        <v>0.38805600000000001</v>
      </c>
      <c r="H2261" s="663">
        <f t="shared" si="596"/>
        <v>9.344388480000001</v>
      </c>
      <c r="I2261" s="420"/>
      <c r="J2261" s="420"/>
      <c r="K2261" s="421">
        <f t="shared" si="588"/>
        <v>0</v>
      </c>
      <c r="L2261" s="647"/>
      <c r="M2261" s="723"/>
      <c r="N2261" s="576">
        <f t="shared" si="597"/>
        <v>0</v>
      </c>
      <c r="O2261" s="577">
        <f t="shared" si="591"/>
        <v>0</v>
      </c>
      <c r="P2261" s="578">
        <f t="shared" si="592"/>
        <v>0</v>
      </c>
      <c r="Q2261" s="765"/>
      <c r="R2261" s="723"/>
      <c r="S2261" s="723"/>
      <c r="T2261" s="577">
        <f t="shared" si="589"/>
        <v>0</v>
      </c>
      <c r="U2261" s="578">
        <f t="shared" si="590"/>
        <v>0</v>
      </c>
      <c r="V2261" s="579"/>
      <c r="W2261" s="566" t="str">
        <f>IF(U2258&gt;0,"xx",IF(P2258&gt;0,"xy",""))</f>
        <v/>
      </c>
      <c r="X2261" s="586" t="str">
        <f t="shared" si="577"/>
        <v/>
      </c>
      <c r="Y2261" s="586" t="str">
        <f t="shared" si="531"/>
        <v/>
      </c>
      <c r="Z2261" s="586" t="str">
        <f t="shared" si="583"/>
        <v/>
      </c>
    </row>
    <row r="2262" spans="1:26" ht="12" hidden="1" thickBot="1" x14ac:dyDescent="0.25">
      <c r="A2262" s="567" t="s">
        <v>168</v>
      </c>
      <c r="B2262" s="644" t="s">
        <v>168</v>
      </c>
      <c r="C2262" s="645"/>
      <c r="D2262" s="422" t="s">
        <v>400</v>
      </c>
      <c r="E2262" s="423"/>
      <c r="F2262" s="424">
        <v>30</v>
      </c>
      <c r="G2262" s="425">
        <f>VLOOKUP(D2258,'[2]ENSAIOS DE ORÇAMENTO'!$C$3:$L$79,3,FALSE)</f>
        <v>3.4880579999999992</v>
      </c>
      <c r="H2262" s="663">
        <f t="shared" si="596"/>
        <v>121.31465723999997</v>
      </c>
      <c r="I2262" s="420"/>
      <c r="J2262" s="420"/>
      <c r="K2262" s="421">
        <f t="shared" si="588"/>
        <v>0</v>
      </c>
      <c r="L2262" s="647"/>
      <c r="M2262" s="723"/>
      <c r="N2262" s="576">
        <f t="shared" si="597"/>
        <v>0</v>
      </c>
      <c r="O2262" s="577">
        <f t="shared" si="591"/>
        <v>0</v>
      </c>
      <c r="P2262" s="578">
        <f t="shared" si="592"/>
        <v>0</v>
      </c>
      <c r="Q2262" s="765"/>
      <c r="R2262" s="723"/>
      <c r="S2262" s="723"/>
      <c r="T2262" s="577">
        <f t="shared" si="589"/>
        <v>0</v>
      </c>
      <c r="U2262" s="578">
        <f t="shared" si="590"/>
        <v>0</v>
      </c>
      <c r="V2262" s="579"/>
      <c r="W2262" s="566" t="str">
        <f>IF(U2258&gt;0,"xx",IF(P2258&gt;0,"xy",""))</f>
        <v/>
      </c>
      <c r="X2262" s="586" t="str">
        <f t="shared" si="577"/>
        <v/>
      </c>
      <c r="Y2262" s="586" t="str">
        <f t="shared" si="531"/>
        <v/>
      </c>
      <c r="Z2262" s="586" t="str">
        <f t="shared" si="583"/>
        <v/>
      </c>
    </row>
    <row r="2263" spans="1:26" ht="12" hidden="1" thickBot="1" x14ac:dyDescent="0.25">
      <c r="A2263" s="567" t="s">
        <v>168</v>
      </c>
      <c r="B2263" s="644" t="s">
        <v>168</v>
      </c>
      <c r="C2263" s="645"/>
      <c r="D2263" s="422" t="s">
        <v>401</v>
      </c>
      <c r="E2263" s="423"/>
      <c r="F2263" s="424">
        <v>500</v>
      </c>
      <c r="G2263" s="425">
        <f>VLOOKUP(D2258,'[2]ENSAIOS DE ORÇAMENTO'!$C$3:$L$79,10,FALSE)</f>
        <v>0.11626859999999997</v>
      </c>
      <c r="H2263" s="649">
        <f>IF(F2263&lt;=30,(0.78*F2263+7.82)*G2263,((0.78*30+7.82)+0.78*(F2263-30))*G2263)</f>
        <v>46.253974451999994</v>
      </c>
      <c r="I2263" s="420"/>
      <c r="J2263" s="420"/>
      <c r="K2263" s="421">
        <f t="shared" si="588"/>
        <v>0</v>
      </c>
      <c r="L2263" s="647"/>
      <c r="M2263" s="723"/>
      <c r="N2263" s="576">
        <f t="shared" si="597"/>
        <v>0</v>
      </c>
      <c r="O2263" s="577">
        <f t="shared" si="591"/>
        <v>0</v>
      </c>
      <c r="P2263" s="578">
        <f t="shared" si="592"/>
        <v>0</v>
      </c>
      <c r="Q2263" s="765"/>
      <c r="R2263" s="723"/>
      <c r="S2263" s="723"/>
      <c r="T2263" s="577">
        <f t="shared" si="589"/>
        <v>0</v>
      </c>
      <c r="U2263" s="578">
        <f t="shared" si="590"/>
        <v>0</v>
      </c>
      <c r="V2263" s="579"/>
      <c r="W2263" s="566" t="str">
        <f>IF(U2258&gt;0,"xx",IF(P2258&gt;0,"xy",""))</f>
        <v/>
      </c>
      <c r="X2263" s="586" t="str">
        <f t="shared" si="577"/>
        <v/>
      </c>
      <c r="Y2263" s="586" t="str">
        <f t="shared" si="531"/>
        <v/>
      </c>
      <c r="Z2263" s="586" t="str">
        <f t="shared" si="583"/>
        <v/>
      </c>
    </row>
    <row r="2264" spans="1:26" ht="12" hidden="1" thickBot="1" x14ac:dyDescent="0.25">
      <c r="A2264" s="567" t="s">
        <v>119</v>
      </c>
      <c r="B2264" s="644" t="s">
        <v>119</v>
      </c>
      <c r="C2264" s="645" t="s">
        <v>206</v>
      </c>
      <c r="D2264" s="422" t="s">
        <v>406</v>
      </c>
      <c r="E2264" s="423"/>
      <c r="F2264" s="424"/>
      <c r="G2264" s="425"/>
      <c r="H2264" s="651">
        <f>SUM(H2265:H2269)</f>
        <v>867.39781996000011</v>
      </c>
      <c r="I2264" s="420">
        <f>VLOOKUP(D2264,'[2]ENSAIOS DE ORÇAMENTO'!$C$3:$L$79,8,FALSE)</f>
        <v>2116.3516300000001</v>
      </c>
      <c r="J2264" s="420">
        <f>IF(ISBLANK(I2264),"",SUM(H2264:I2264))</f>
        <v>2983.7494499600002</v>
      </c>
      <c r="K2264" s="421">
        <f t="shared" si="588"/>
        <v>3544.99</v>
      </c>
      <c r="L2264" s="647" t="s">
        <v>21</v>
      </c>
      <c r="M2264" s="576"/>
      <c r="N2264" s="576">
        <f t="shared" si="597"/>
        <v>0</v>
      </c>
      <c r="O2264" s="577">
        <f t="shared" si="591"/>
        <v>0</v>
      </c>
      <c r="P2264" s="578">
        <f t="shared" si="592"/>
        <v>0</v>
      </c>
      <c r="Q2264" s="765"/>
      <c r="R2264" s="576">
        <f>M2264</f>
        <v>0</v>
      </c>
      <c r="S2264" s="576">
        <f>N2264</f>
        <v>0</v>
      </c>
      <c r="T2264" s="577">
        <f t="shared" si="589"/>
        <v>0</v>
      </c>
      <c r="U2264" s="578">
        <f t="shared" si="590"/>
        <v>0</v>
      </c>
      <c r="V2264" s="579"/>
      <c r="W2264" s="566"/>
      <c r="X2264" s="586" t="str">
        <f t="shared" si="577"/>
        <v/>
      </c>
      <c r="Y2264" s="586" t="str">
        <f t="shared" si="531"/>
        <v/>
      </c>
      <c r="Z2264" s="586" t="str">
        <f t="shared" si="583"/>
        <v/>
      </c>
    </row>
    <row r="2265" spans="1:26" ht="12" hidden="1" thickBot="1" x14ac:dyDescent="0.25">
      <c r="A2265" s="567" t="s">
        <v>168</v>
      </c>
      <c r="B2265" s="644" t="s">
        <v>168</v>
      </c>
      <c r="C2265" s="645"/>
      <c r="D2265" s="422" t="s">
        <v>212</v>
      </c>
      <c r="E2265" s="423"/>
      <c r="F2265" s="424">
        <v>500</v>
      </c>
      <c r="G2265" s="425">
        <f>VLOOKUP(D2264,'[2]ENSAIOS DE ORÇAMENTO'!$C$3:$L$79,4,FALSE)</f>
        <v>0.82205400000000006</v>
      </c>
      <c r="H2265" s="649">
        <f>IF(F2265&lt;=30,(0.78*F2265+7.82)*G2265,((0.78*30+7.82)+0.78*(F2265-30))*G2265)</f>
        <v>327.02952228000009</v>
      </c>
      <c r="I2265" s="420"/>
      <c r="J2265" s="420"/>
      <c r="K2265" s="421">
        <f t="shared" si="588"/>
        <v>0</v>
      </c>
      <c r="L2265" s="647"/>
      <c r="M2265" s="723"/>
      <c r="N2265" s="576">
        <f t="shared" si="597"/>
        <v>0</v>
      </c>
      <c r="O2265" s="577">
        <f t="shared" si="591"/>
        <v>0</v>
      </c>
      <c r="P2265" s="578">
        <f t="shared" si="592"/>
        <v>0</v>
      </c>
      <c r="Q2265" s="765"/>
      <c r="R2265" s="723"/>
      <c r="S2265" s="723"/>
      <c r="T2265" s="577">
        <f t="shared" si="589"/>
        <v>0</v>
      </c>
      <c r="U2265" s="578">
        <f t="shared" si="590"/>
        <v>0</v>
      </c>
      <c r="V2265" s="579"/>
      <c r="W2265" s="566" t="str">
        <f>IF(U2264&gt;0,"xx",IF(P2264&gt;0,"xy",""))</f>
        <v/>
      </c>
      <c r="X2265" s="586" t="str">
        <f t="shared" si="577"/>
        <v/>
      </c>
      <c r="Y2265" s="586" t="str">
        <f t="shared" si="531"/>
        <v/>
      </c>
      <c r="Z2265" s="586" t="str">
        <f t="shared" si="583"/>
        <v/>
      </c>
    </row>
    <row r="2266" spans="1:26" ht="12" hidden="1" thickBot="1" x14ac:dyDescent="0.25">
      <c r="A2266" s="567" t="s">
        <v>168</v>
      </c>
      <c r="B2266" s="644" t="s">
        <v>168</v>
      </c>
      <c r="C2266" s="645"/>
      <c r="D2266" s="422" t="s">
        <v>248</v>
      </c>
      <c r="E2266" s="423"/>
      <c r="F2266" s="424">
        <v>180</v>
      </c>
      <c r="G2266" s="425">
        <f>VLOOKUP(D2264,'[2]ENSAIOS DE ORÇAMENTO'!$C$3:$L$79,5,FALSE)</f>
        <v>2.4129430000000003</v>
      </c>
      <c r="H2266" s="663">
        <f t="shared" ref="H2266:H2268" si="598">IF(F2266&lt;=30,(1.07*F2266+2.68)*G2266,((1.07*30+2.68)+1.07*(F2266-30))*G2266)</f>
        <v>471.19950904000007</v>
      </c>
      <c r="I2266" s="420"/>
      <c r="J2266" s="420"/>
      <c r="K2266" s="421">
        <f t="shared" si="588"/>
        <v>0</v>
      </c>
      <c r="L2266" s="647"/>
      <c r="M2266" s="723"/>
      <c r="N2266" s="576">
        <f t="shared" si="597"/>
        <v>0</v>
      </c>
      <c r="O2266" s="577">
        <f t="shared" si="591"/>
        <v>0</v>
      </c>
      <c r="P2266" s="578">
        <f t="shared" si="592"/>
        <v>0</v>
      </c>
      <c r="Q2266" s="765"/>
      <c r="R2266" s="723"/>
      <c r="S2266" s="723"/>
      <c r="T2266" s="577">
        <f t="shared" si="589"/>
        <v>0</v>
      </c>
      <c r="U2266" s="578">
        <f t="shared" si="590"/>
        <v>0</v>
      </c>
      <c r="V2266" s="579"/>
      <c r="W2266" s="566" t="str">
        <f>IF(U2264&gt;0,"xx",IF(P2264&gt;0,"xy",""))</f>
        <v/>
      </c>
      <c r="X2266" s="586" t="str">
        <f t="shared" si="577"/>
        <v/>
      </c>
      <c r="Y2266" s="586" t="str">
        <f t="shared" si="531"/>
        <v/>
      </c>
      <c r="Z2266" s="586" t="str">
        <f t="shared" si="583"/>
        <v/>
      </c>
    </row>
    <row r="2267" spans="1:26" ht="12" hidden="1" thickBot="1" x14ac:dyDescent="0.25">
      <c r="A2267" s="567" t="s">
        <v>168</v>
      </c>
      <c r="B2267" s="644" t="s">
        <v>168</v>
      </c>
      <c r="C2267" s="645"/>
      <c r="D2267" s="422" t="s">
        <v>252</v>
      </c>
      <c r="E2267" s="423"/>
      <c r="F2267" s="424">
        <v>20</v>
      </c>
      <c r="G2267" s="425">
        <f>VLOOKUP(D2264,'[2]ENSAIOS DE ORÇAMENTO'!$C$3:$L$79,6,FALSE)</f>
        <v>2.8724580000000004</v>
      </c>
      <c r="H2267" s="663">
        <f t="shared" si="598"/>
        <v>69.168788640000017</v>
      </c>
      <c r="I2267" s="420"/>
      <c r="J2267" s="420"/>
      <c r="K2267" s="421">
        <f t="shared" si="588"/>
        <v>0</v>
      </c>
      <c r="L2267" s="647"/>
      <c r="M2267" s="723"/>
      <c r="N2267" s="576">
        <f t="shared" si="597"/>
        <v>0</v>
      </c>
      <c r="O2267" s="577">
        <f t="shared" si="591"/>
        <v>0</v>
      </c>
      <c r="P2267" s="578">
        <f t="shared" si="592"/>
        <v>0</v>
      </c>
      <c r="Q2267" s="765"/>
      <c r="R2267" s="723"/>
      <c r="S2267" s="723"/>
      <c r="T2267" s="577">
        <f t="shared" si="589"/>
        <v>0</v>
      </c>
      <c r="U2267" s="578">
        <f t="shared" si="590"/>
        <v>0</v>
      </c>
      <c r="V2267" s="579"/>
      <c r="W2267" s="566" t="str">
        <f>IF(U2264&gt;0,"xx",IF(P2264&gt;0,"xy",""))</f>
        <v/>
      </c>
      <c r="X2267" s="586" t="str">
        <f t="shared" si="577"/>
        <v/>
      </c>
      <c r="Y2267" s="586" t="str">
        <f t="shared" si="531"/>
        <v/>
      </c>
      <c r="Z2267" s="586" t="str">
        <f t="shared" si="583"/>
        <v/>
      </c>
    </row>
    <row r="2268" spans="1:26" ht="12" hidden="1" thickBot="1" x14ac:dyDescent="0.25">
      <c r="A2268" s="567" t="s">
        <v>168</v>
      </c>
      <c r="B2268" s="644" t="s">
        <v>168</v>
      </c>
      <c r="C2268" s="645"/>
      <c r="D2268" s="422" t="s">
        <v>400</v>
      </c>
      <c r="E2268" s="423"/>
      <c r="F2268" s="424">
        <v>30</v>
      </c>
      <c r="G2268" s="425">
        <f>VLOOKUP(D2264,'[2]ENSAIOS DE ORÇAMENTO'!$C$3:$L$79,3,FALSE)</f>
        <v>0</v>
      </c>
      <c r="H2268" s="663">
        <f t="shared" si="598"/>
        <v>0</v>
      </c>
      <c r="I2268" s="420"/>
      <c r="J2268" s="420"/>
      <c r="K2268" s="421">
        <f t="shared" si="588"/>
        <v>0</v>
      </c>
      <c r="L2268" s="647"/>
      <c r="M2268" s="723"/>
      <c r="N2268" s="576">
        <f t="shared" si="597"/>
        <v>0</v>
      </c>
      <c r="O2268" s="577">
        <f t="shared" si="591"/>
        <v>0</v>
      </c>
      <c r="P2268" s="578">
        <f t="shared" si="592"/>
        <v>0</v>
      </c>
      <c r="Q2268" s="765"/>
      <c r="R2268" s="723"/>
      <c r="S2268" s="723"/>
      <c r="T2268" s="577">
        <f t="shared" si="589"/>
        <v>0</v>
      </c>
      <c r="U2268" s="578">
        <f t="shared" si="590"/>
        <v>0</v>
      </c>
      <c r="V2268" s="579"/>
      <c r="W2268" s="566" t="str">
        <f>IF(U2264&gt;0,"xx",IF(P2264&gt;0,"xy",""))</f>
        <v/>
      </c>
      <c r="X2268" s="586" t="str">
        <f t="shared" si="577"/>
        <v/>
      </c>
      <c r="Y2268" s="586" t="str">
        <f t="shared" si="531"/>
        <v/>
      </c>
      <c r="Z2268" s="586" t="str">
        <f t="shared" si="583"/>
        <v/>
      </c>
    </row>
    <row r="2269" spans="1:26" ht="12" hidden="1" thickBot="1" x14ac:dyDescent="0.25">
      <c r="A2269" s="567" t="s">
        <v>168</v>
      </c>
      <c r="B2269" s="644" t="s">
        <v>168</v>
      </c>
      <c r="C2269" s="645"/>
      <c r="D2269" s="422" t="s">
        <v>401</v>
      </c>
      <c r="E2269" s="423"/>
      <c r="F2269" s="424">
        <v>500</v>
      </c>
      <c r="G2269" s="425">
        <f>VLOOKUP(D2264,'[2]ENSAIOS DE ORÇAMENTO'!$C$3:$L$79,10,FALSE)</f>
        <v>0</v>
      </c>
      <c r="H2269" s="649">
        <f>IF(F2269&lt;=30,(0.78*F2269+7.82)*G2269,((0.78*30+7.82)+0.78*(F2269-30))*G2269)</f>
        <v>0</v>
      </c>
      <c r="I2269" s="420"/>
      <c r="J2269" s="420"/>
      <c r="K2269" s="421">
        <f t="shared" si="588"/>
        <v>0</v>
      </c>
      <c r="L2269" s="647"/>
      <c r="M2269" s="723"/>
      <c r="N2269" s="576">
        <f t="shared" si="597"/>
        <v>0</v>
      </c>
      <c r="O2269" s="577">
        <f t="shared" si="591"/>
        <v>0</v>
      </c>
      <c r="P2269" s="578">
        <f t="shared" si="592"/>
        <v>0</v>
      </c>
      <c r="Q2269" s="765"/>
      <c r="R2269" s="723"/>
      <c r="S2269" s="723"/>
      <c r="T2269" s="577">
        <f t="shared" si="589"/>
        <v>0</v>
      </c>
      <c r="U2269" s="578">
        <f t="shared" si="590"/>
        <v>0</v>
      </c>
      <c r="V2269" s="579"/>
      <c r="W2269" s="566" t="str">
        <f>IF(U2264&gt;0,"xx",IF(P2264&gt;0,"xy",""))</f>
        <v/>
      </c>
      <c r="X2269" s="586" t="str">
        <f t="shared" si="577"/>
        <v/>
      </c>
      <c r="Y2269" s="586" t="str">
        <f t="shared" si="531"/>
        <v/>
      </c>
      <c r="Z2269" s="586" t="str">
        <f t="shared" si="583"/>
        <v/>
      </c>
    </row>
    <row r="2270" spans="1:26" ht="12" hidden="1" thickBot="1" x14ac:dyDescent="0.25">
      <c r="A2270" s="567" t="s">
        <v>120</v>
      </c>
      <c r="B2270" s="644" t="s">
        <v>120</v>
      </c>
      <c r="C2270" s="645" t="s">
        <v>206</v>
      </c>
      <c r="D2270" s="422" t="s">
        <v>407</v>
      </c>
      <c r="E2270" s="423"/>
      <c r="F2270" s="424"/>
      <c r="G2270" s="425"/>
      <c r="H2270" s="651">
        <f>SUM(H2271:H2275)</f>
        <v>1079.2374695200001</v>
      </c>
      <c r="I2270" s="420">
        <f>VLOOKUP(D2270,'[2]ENSAIOS DE ORÇAMENTO'!$C$3:$L$79,8,FALSE)</f>
        <v>2460.1564399999997</v>
      </c>
      <c r="J2270" s="420">
        <f>IF(ISBLANK(I2270),"",SUM(H2270:I2270))</f>
        <v>3539.3939095199999</v>
      </c>
      <c r="K2270" s="421">
        <f t="shared" si="588"/>
        <v>4205.1499999999996</v>
      </c>
      <c r="L2270" s="647" t="s">
        <v>21</v>
      </c>
      <c r="M2270" s="576"/>
      <c r="N2270" s="576">
        <f t="shared" si="597"/>
        <v>0</v>
      </c>
      <c r="O2270" s="577">
        <f t="shared" si="591"/>
        <v>0</v>
      </c>
      <c r="P2270" s="578">
        <f t="shared" si="592"/>
        <v>0</v>
      </c>
      <c r="Q2270" s="765"/>
      <c r="R2270" s="576">
        <f>M2270</f>
        <v>0</v>
      </c>
      <c r="S2270" s="576">
        <f>N2270</f>
        <v>0</v>
      </c>
      <c r="T2270" s="577">
        <f t="shared" si="589"/>
        <v>0</v>
      </c>
      <c r="U2270" s="578">
        <f t="shared" si="590"/>
        <v>0</v>
      </c>
      <c r="V2270" s="579"/>
      <c r="W2270" s="566"/>
      <c r="X2270" s="586" t="str">
        <f t="shared" si="577"/>
        <v/>
      </c>
      <c r="Y2270" s="586" t="str">
        <f t="shared" si="531"/>
        <v/>
      </c>
      <c r="Z2270" s="586" t="str">
        <f t="shared" si="583"/>
        <v/>
      </c>
    </row>
    <row r="2271" spans="1:26" ht="12" hidden="1" thickBot="1" x14ac:dyDescent="0.25">
      <c r="A2271" s="567" t="s">
        <v>168</v>
      </c>
      <c r="B2271" s="644" t="s">
        <v>168</v>
      </c>
      <c r="C2271" s="645"/>
      <c r="D2271" s="422" t="s">
        <v>212</v>
      </c>
      <c r="E2271" s="423"/>
      <c r="F2271" s="424">
        <v>500</v>
      </c>
      <c r="G2271" s="425">
        <f>VLOOKUP(D2270,'[2]ENSAIOS DE ORÇAMENTO'!$C$3:$L$79,4,FALSE)</f>
        <v>1.028964</v>
      </c>
      <c r="H2271" s="649">
        <f>IF(F2271&lt;=30,(0.78*F2271+7.82)*G2271,((0.78*30+7.82)+0.78*(F2271-30))*G2271)</f>
        <v>409.34245848000006</v>
      </c>
      <c r="I2271" s="420"/>
      <c r="J2271" s="420"/>
      <c r="K2271" s="421">
        <f t="shared" si="588"/>
        <v>0</v>
      </c>
      <c r="L2271" s="647"/>
      <c r="M2271" s="723"/>
      <c r="N2271" s="576">
        <f t="shared" si="597"/>
        <v>0</v>
      </c>
      <c r="O2271" s="577">
        <f t="shared" si="591"/>
        <v>0</v>
      </c>
      <c r="P2271" s="578">
        <f t="shared" si="592"/>
        <v>0</v>
      </c>
      <c r="Q2271" s="765"/>
      <c r="R2271" s="723"/>
      <c r="S2271" s="723"/>
      <c r="T2271" s="577">
        <f t="shared" si="589"/>
        <v>0</v>
      </c>
      <c r="U2271" s="578">
        <f t="shared" si="590"/>
        <v>0</v>
      </c>
      <c r="V2271" s="579"/>
      <c r="W2271" s="566" t="str">
        <f>IF(U2270&gt;0,"xx",IF(P2270&gt;0,"xy",""))</f>
        <v/>
      </c>
      <c r="X2271" s="586" t="str">
        <f t="shared" si="577"/>
        <v/>
      </c>
      <c r="Y2271" s="586" t="str">
        <f t="shared" si="531"/>
        <v/>
      </c>
      <c r="Z2271" s="586" t="str">
        <f t="shared" si="583"/>
        <v/>
      </c>
    </row>
    <row r="2272" spans="1:26" ht="12" hidden="1" thickBot="1" x14ac:dyDescent="0.25">
      <c r="A2272" s="567" t="s">
        <v>168</v>
      </c>
      <c r="B2272" s="644" t="s">
        <v>168</v>
      </c>
      <c r="C2272" s="645"/>
      <c r="D2272" s="422" t="s">
        <v>248</v>
      </c>
      <c r="E2272" s="423"/>
      <c r="F2272" s="424">
        <v>180</v>
      </c>
      <c r="G2272" s="425">
        <f>VLOOKUP(D2270,'[2]ENSAIOS DE ORÇAMENTO'!$C$3:$L$79,5,FALSE)</f>
        <v>2.9904099999999998</v>
      </c>
      <c r="H2272" s="663">
        <f t="shared" ref="H2272:H2274" si="599">IF(F2272&lt;=30,(1.07*F2272+2.68)*G2272,((1.07*30+2.68)+1.07*(F2272-30))*G2272)</f>
        <v>583.96726479999995</v>
      </c>
      <c r="I2272" s="420"/>
      <c r="J2272" s="420"/>
      <c r="K2272" s="421">
        <f t="shared" si="588"/>
        <v>0</v>
      </c>
      <c r="L2272" s="647"/>
      <c r="M2272" s="723"/>
      <c r="N2272" s="576">
        <f t="shared" si="597"/>
        <v>0</v>
      </c>
      <c r="O2272" s="577">
        <f t="shared" si="591"/>
        <v>0</v>
      </c>
      <c r="P2272" s="578">
        <f t="shared" si="592"/>
        <v>0</v>
      </c>
      <c r="Q2272" s="765"/>
      <c r="R2272" s="723"/>
      <c r="S2272" s="723"/>
      <c r="T2272" s="577">
        <f t="shared" si="589"/>
        <v>0</v>
      </c>
      <c r="U2272" s="578">
        <f t="shared" si="590"/>
        <v>0</v>
      </c>
      <c r="V2272" s="579"/>
      <c r="W2272" s="566" t="str">
        <f>IF(U2270&gt;0,"xx",IF(P2270&gt;0,"xy",""))</f>
        <v/>
      </c>
      <c r="X2272" s="586" t="str">
        <f t="shared" si="577"/>
        <v/>
      </c>
      <c r="Y2272" s="586" t="str">
        <f t="shared" si="531"/>
        <v/>
      </c>
      <c r="Z2272" s="586" t="str">
        <f t="shared" si="583"/>
        <v/>
      </c>
    </row>
    <row r="2273" spans="1:26" ht="12" hidden="1" thickBot="1" x14ac:dyDescent="0.25">
      <c r="A2273" s="567" t="s">
        <v>168</v>
      </c>
      <c r="B2273" s="644" t="s">
        <v>168</v>
      </c>
      <c r="C2273" s="645"/>
      <c r="D2273" s="422" t="s">
        <v>252</v>
      </c>
      <c r="E2273" s="423"/>
      <c r="F2273" s="424">
        <v>20</v>
      </c>
      <c r="G2273" s="425">
        <f>VLOOKUP(D2270,'[2]ENSAIOS DE ORÇAMENTO'!$C$3:$L$79,6,FALSE)</f>
        <v>3.5684279999999999</v>
      </c>
      <c r="H2273" s="663">
        <f t="shared" si="599"/>
        <v>85.927746240000005</v>
      </c>
      <c r="I2273" s="420"/>
      <c r="J2273" s="420"/>
      <c r="K2273" s="421">
        <f t="shared" si="588"/>
        <v>0</v>
      </c>
      <c r="L2273" s="647"/>
      <c r="M2273" s="723"/>
      <c r="N2273" s="576">
        <f t="shared" si="597"/>
        <v>0</v>
      </c>
      <c r="O2273" s="577">
        <f t="shared" si="591"/>
        <v>0</v>
      </c>
      <c r="P2273" s="578">
        <f t="shared" si="592"/>
        <v>0</v>
      </c>
      <c r="Q2273" s="765"/>
      <c r="R2273" s="723"/>
      <c r="S2273" s="723"/>
      <c r="T2273" s="577">
        <f t="shared" si="589"/>
        <v>0</v>
      </c>
      <c r="U2273" s="578">
        <f t="shared" si="590"/>
        <v>0</v>
      </c>
      <c r="V2273" s="579"/>
      <c r="W2273" s="566" t="str">
        <f>IF(U2270&gt;0,"xx",IF(P2270&gt;0,"xy",""))</f>
        <v/>
      </c>
      <c r="X2273" s="586" t="str">
        <f t="shared" si="577"/>
        <v/>
      </c>
      <c r="Y2273" s="586" t="str">
        <f t="shared" si="531"/>
        <v/>
      </c>
      <c r="Z2273" s="586" t="str">
        <f t="shared" si="583"/>
        <v/>
      </c>
    </row>
    <row r="2274" spans="1:26" ht="12" hidden="1" thickBot="1" x14ac:dyDescent="0.25">
      <c r="A2274" s="567" t="s">
        <v>168</v>
      </c>
      <c r="B2274" s="644" t="s">
        <v>168</v>
      </c>
      <c r="C2274" s="645"/>
      <c r="D2274" s="422" t="s">
        <v>400</v>
      </c>
      <c r="E2274" s="423"/>
      <c r="F2274" s="424">
        <v>30</v>
      </c>
      <c r="G2274" s="425">
        <f>VLOOKUP(D2270,'[2]ENSAIOS DE ORÇAMENTO'!$C$3:$L$79,3,FALSE)</f>
        <v>0</v>
      </c>
      <c r="H2274" s="663">
        <f t="shared" si="599"/>
        <v>0</v>
      </c>
      <c r="I2274" s="420"/>
      <c r="J2274" s="420"/>
      <c r="K2274" s="421">
        <f t="shared" si="588"/>
        <v>0</v>
      </c>
      <c r="L2274" s="647"/>
      <c r="M2274" s="723"/>
      <c r="N2274" s="576">
        <f t="shared" si="597"/>
        <v>0</v>
      </c>
      <c r="O2274" s="577">
        <f t="shared" si="591"/>
        <v>0</v>
      </c>
      <c r="P2274" s="578">
        <f t="shared" si="592"/>
        <v>0</v>
      </c>
      <c r="Q2274" s="765"/>
      <c r="R2274" s="723"/>
      <c r="S2274" s="723"/>
      <c r="T2274" s="577">
        <f t="shared" si="589"/>
        <v>0</v>
      </c>
      <c r="U2274" s="578">
        <f t="shared" si="590"/>
        <v>0</v>
      </c>
      <c r="V2274" s="579"/>
      <c r="W2274" s="566" t="str">
        <f>IF(U2270&gt;0,"xx",IF(P2270&gt;0,"xy",""))</f>
        <v/>
      </c>
      <c r="X2274" s="586" t="str">
        <f t="shared" si="577"/>
        <v/>
      </c>
      <c r="Y2274" s="586" t="str">
        <f t="shared" si="531"/>
        <v/>
      </c>
      <c r="Z2274" s="586" t="str">
        <f t="shared" si="583"/>
        <v/>
      </c>
    </row>
    <row r="2275" spans="1:26" ht="12" hidden="1" thickBot="1" x14ac:dyDescent="0.25">
      <c r="A2275" s="567" t="s">
        <v>168</v>
      </c>
      <c r="B2275" s="644" t="s">
        <v>168</v>
      </c>
      <c r="C2275" s="645"/>
      <c r="D2275" s="422" t="s">
        <v>401</v>
      </c>
      <c r="E2275" s="423"/>
      <c r="F2275" s="424">
        <v>500</v>
      </c>
      <c r="G2275" s="425">
        <f>VLOOKUP(D2270,'[2]ENSAIOS DE ORÇAMENTO'!$C$3:$L$79,10,FALSE)</f>
        <v>0</v>
      </c>
      <c r="H2275" s="649">
        <f>IF(F2275&lt;=30,(0.78*F2275+7.82)*G2275,((0.78*30+7.82)+0.78*(F2275-30))*G2275)</f>
        <v>0</v>
      </c>
      <c r="I2275" s="420"/>
      <c r="J2275" s="420"/>
      <c r="K2275" s="421">
        <f t="shared" si="588"/>
        <v>0</v>
      </c>
      <c r="L2275" s="647"/>
      <c r="M2275" s="723"/>
      <c r="N2275" s="576">
        <f t="shared" si="597"/>
        <v>0</v>
      </c>
      <c r="O2275" s="577">
        <f t="shared" si="591"/>
        <v>0</v>
      </c>
      <c r="P2275" s="578">
        <f t="shared" si="592"/>
        <v>0</v>
      </c>
      <c r="Q2275" s="765"/>
      <c r="R2275" s="723"/>
      <c r="S2275" s="723"/>
      <c r="T2275" s="577">
        <f t="shared" si="589"/>
        <v>0</v>
      </c>
      <c r="U2275" s="578">
        <f t="shared" si="590"/>
        <v>0</v>
      </c>
      <c r="V2275" s="579"/>
      <c r="W2275" s="566" t="str">
        <f>IF(U2270&gt;0,"xx",IF(P2270&gt;0,"xy",""))</f>
        <v/>
      </c>
      <c r="X2275" s="586" t="str">
        <f t="shared" si="577"/>
        <v/>
      </c>
      <c r="Y2275" s="586" t="str">
        <f t="shared" si="531"/>
        <v/>
      </c>
      <c r="Z2275" s="586" t="str">
        <f t="shared" si="583"/>
        <v/>
      </c>
    </row>
    <row r="2276" spans="1:26" ht="12" hidden="1" thickBot="1" x14ac:dyDescent="0.25">
      <c r="A2276" s="567" t="s">
        <v>121</v>
      </c>
      <c r="B2276" s="644" t="s">
        <v>121</v>
      </c>
      <c r="C2276" s="645" t="s">
        <v>206</v>
      </c>
      <c r="D2276" s="422" t="s">
        <v>408</v>
      </c>
      <c r="E2276" s="423"/>
      <c r="F2276" s="424"/>
      <c r="G2276" s="425"/>
      <c r="H2276" s="651">
        <f>SUM(H2277:H2281)</f>
        <v>1425.8841687999998</v>
      </c>
      <c r="I2276" s="420">
        <f>VLOOKUP(D2276,'[2]ENSAIOS DE ORÇAMENTO'!$C$3:$L$79,8,FALSE)</f>
        <v>3023.7116399999995</v>
      </c>
      <c r="J2276" s="420">
        <f>IF(ISBLANK(I2276),"",SUM(H2276:I2276))</f>
        <v>4449.5958087999988</v>
      </c>
      <c r="K2276" s="421">
        <f t="shared" si="588"/>
        <v>5286.56</v>
      </c>
      <c r="L2276" s="647" t="s">
        <v>21</v>
      </c>
      <c r="M2276" s="576"/>
      <c r="N2276" s="576">
        <f t="shared" si="597"/>
        <v>0</v>
      </c>
      <c r="O2276" s="577">
        <f t="shared" si="591"/>
        <v>0</v>
      </c>
      <c r="P2276" s="578">
        <f t="shared" si="592"/>
        <v>0</v>
      </c>
      <c r="Q2276" s="765"/>
      <c r="R2276" s="576">
        <f>M2276</f>
        <v>0</v>
      </c>
      <c r="S2276" s="576">
        <f>N2276</f>
        <v>0</v>
      </c>
      <c r="T2276" s="577">
        <f t="shared" si="589"/>
        <v>0</v>
      </c>
      <c r="U2276" s="578">
        <f t="shared" si="590"/>
        <v>0</v>
      </c>
      <c r="V2276" s="579"/>
      <c r="W2276" s="566"/>
      <c r="X2276" s="586" t="str">
        <f t="shared" si="577"/>
        <v/>
      </c>
      <c r="Y2276" s="586" t="str">
        <f t="shared" si="531"/>
        <v/>
      </c>
      <c r="Z2276" s="586" t="str">
        <f t="shared" si="583"/>
        <v/>
      </c>
    </row>
    <row r="2277" spans="1:26" ht="12" hidden="1" thickBot="1" x14ac:dyDescent="0.25">
      <c r="A2277" s="567" t="s">
        <v>168</v>
      </c>
      <c r="B2277" s="644" t="s">
        <v>168</v>
      </c>
      <c r="C2277" s="645"/>
      <c r="D2277" s="422" t="s">
        <v>212</v>
      </c>
      <c r="E2277" s="423"/>
      <c r="F2277" s="424">
        <v>500</v>
      </c>
      <c r="G2277" s="425">
        <f>VLOOKUP(D2276,'[2]ENSAIOS DE ORÇAMENTO'!$C$3:$L$79,4,FALSE)</f>
        <v>1.3675439999999999</v>
      </c>
      <c r="H2277" s="649">
        <f>IF(F2277&lt;=30,(0.78*F2277+7.82)*G2277,((0.78*30+7.82)+0.78*(F2277-30))*G2277)</f>
        <v>544.03635408000002</v>
      </c>
      <c r="I2277" s="420"/>
      <c r="J2277" s="420"/>
      <c r="K2277" s="421">
        <f t="shared" si="588"/>
        <v>0</v>
      </c>
      <c r="L2277" s="647"/>
      <c r="M2277" s="723"/>
      <c r="N2277" s="576">
        <f t="shared" si="597"/>
        <v>0</v>
      </c>
      <c r="O2277" s="577">
        <f t="shared" si="591"/>
        <v>0</v>
      </c>
      <c r="P2277" s="578">
        <f t="shared" si="592"/>
        <v>0</v>
      </c>
      <c r="Q2277" s="765"/>
      <c r="R2277" s="723"/>
      <c r="S2277" s="723"/>
      <c r="T2277" s="577">
        <f t="shared" si="589"/>
        <v>0</v>
      </c>
      <c r="U2277" s="578">
        <f t="shared" si="590"/>
        <v>0</v>
      </c>
      <c r="V2277" s="579"/>
      <c r="W2277" s="566" t="str">
        <f>IF(U2276&gt;0,"xx",IF(P2276&gt;0,"xy",""))</f>
        <v/>
      </c>
      <c r="X2277" s="586" t="str">
        <f t="shared" si="577"/>
        <v/>
      </c>
      <c r="Y2277" s="586" t="str">
        <f t="shared" si="531"/>
        <v/>
      </c>
      <c r="Z2277" s="586" t="str">
        <f t="shared" si="583"/>
        <v/>
      </c>
    </row>
    <row r="2278" spans="1:26" ht="12" hidden="1" thickBot="1" x14ac:dyDescent="0.25">
      <c r="A2278" s="567" t="s">
        <v>168</v>
      </c>
      <c r="B2278" s="644" t="s">
        <v>168</v>
      </c>
      <c r="C2278" s="645"/>
      <c r="D2278" s="422" t="s">
        <v>248</v>
      </c>
      <c r="E2278" s="423"/>
      <c r="F2278" s="424">
        <v>180</v>
      </c>
      <c r="G2278" s="425">
        <f>VLOOKUP(D2276,'[2]ENSAIOS DE ORÇAMENTO'!$C$3:$L$79,5,FALSE)</f>
        <v>3.9353559999999996</v>
      </c>
      <c r="H2278" s="663">
        <f t="shared" ref="H2278:H2280" si="600">IF(F2278&lt;=30,(1.07*F2278+2.68)*G2278,((1.07*30+2.68)+1.07*(F2278-30))*G2278)</f>
        <v>768.49631967999994</v>
      </c>
      <c r="I2278" s="420"/>
      <c r="J2278" s="420"/>
      <c r="K2278" s="421">
        <f t="shared" si="588"/>
        <v>0</v>
      </c>
      <c r="L2278" s="647"/>
      <c r="M2278" s="723"/>
      <c r="N2278" s="576">
        <f t="shared" si="597"/>
        <v>0</v>
      </c>
      <c r="O2278" s="577">
        <f t="shared" si="591"/>
        <v>0</v>
      </c>
      <c r="P2278" s="578">
        <f t="shared" si="592"/>
        <v>0</v>
      </c>
      <c r="Q2278" s="765"/>
      <c r="R2278" s="723"/>
      <c r="S2278" s="723"/>
      <c r="T2278" s="577">
        <f t="shared" si="589"/>
        <v>0</v>
      </c>
      <c r="U2278" s="578">
        <f t="shared" si="590"/>
        <v>0</v>
      </c>
      <c r="V2278" s="579"/>
      <c r="W2278" s="566" t="str">
        <f>IF(U2276&gt;0,"xx",IF(P2276&gt;0,"xy",""))</f>
        <v/>
      </c>
      <c r="X2278" s="586" t="str">
        <f t="shared" ref="X2278:X2346" si="601">IF(W2278="X","x",IF(W2278="xx","x",IF(W2278="xy","x",IF(W2278="y","x",IF(OR(P2278&gt;0,U2278&gt;0),"x","")))))</f>
        <v/>
      </c>
      <c r="Y2278" s="586" t="str">
        <f t="shared" si="531"/>
        <v/>
      </c>
      <c r="Z2278" s="586" t="str">
        <f t="shared" si="583"/>
        <v/>
      </c>
    </row>
    <row r="2279" spans="1:26" ht="12" hidden="1" thickBot="1" x14ac:dyDescent="0.25">
      <c r="A2279" s="567" t="s">
        <v>168</v>
      </c>
      <c r="B2279" s="644" t="s">
        <v>168</v>
      </c>
      <c r="C2279" s="645"/>
      <c r="D2279" s="422" t="s">
        <v>252</v>
      </c>
      <c r="E2279" s="423"/>
      <c r="F2279" s="424">
        <v>20</v>
      </c>
      <c r="G2279" s="425">
        <f>VLOOKUP(D2276,'[2]ENSAIOS DE ORÇAMENTO'!$C$3:$L$79,6,FALSE)</f>
        <v>4.7072880000000001</v>
      </c>
      <c r="H2279" s="663">
        <f t="shared" si="600"/>
        <v>113.35149504000002</v>
      </c>
      <c r="I2279" s="420"/>
      <c r="J2279" s="420"/>
      <c r="K2279" s="421">
        <f t="shared" si="588"/>
        <v>0</v>
      </c>
      <c r="L2279" s="647"/>
      <c r="M2279" s="723"/>
      <c r="N2279" s="576">
        <f t="shared" si="597"/>
        <v>0</v>
      </c>
      <c r="O2279" s="577">
        <f t="shared" si="591"/>
        <v>0</v>
      </c>
      <c r="P2279" s="578">
        <f t="shared" si="592"/>
        <v>0</v>
      </c>
      <c r="Q2279" s="765"/>
      <c r="R2279" s="723"/>
      <c r="S2279" s="723"/>
      <c r="T2279" s="577">
        <f t="shared" si="589"/>
        <v>0</v>
      </c>
      <c r="U2279" s="578">
        <f t="shared" si="590"/>
        <v>0</v>
      </c>
      <c r="V2279" s="579"/>
      <c r="W2279" s="566" t="str">
        <f>IF(U2276&gt;0,"xx",IF(P2276&gt;0,"xy",""))</f>
        <v/>
      </c>
      <c r="X2279" s="586" t="str">
        <f t="shared" si="601"/>
        <v/>
      </c>
      <c r="Y2279" s="586" t="str">
        <f t="shared" si="531"/>
        <v/>
      </c>
      <c r="Z2279" s="586" t="str">
        <f t="shared" si="583"/>
        <v/>
      </c>
    </row>
    <row r="2280" spans="1:26" ht="12" hidden="1" thickBot="1" x14ac:dyDescent="0.25">
      <c r="A2280" s="567" t="s">
        <v>168</v>
      </c>
      <c r="B2280" s="644" t="s">
        <v>168</v>
      </c>
      <c r="C2280" s="645"/>
      <c r="D2280" s="422" t="s">
        <v>400</v>
      </c>
      <c r="E2280" s="423"/>
      <c r="F2280" s="424">
        <v>30</v>
      </c>
      <c r="G2280" s="425">
        <f>VLOOKUP(D2276,'[2]ENSAIOS DE ORÇAMENTO'!$C$3:$L$79,3,FALSE)</f>
        <v>0</v>
      </c>
      <c r="H2280" s="663">
        <f t="shared" si="600"/>
        <v>0</v>
      </c>
      <c r="I2280" s="420"/>
      <c r="J2280" s="420"/>
      <c r="K2280" s="421">
        <f t="shared" si="588"/>
        <v>0</v>
      </c>
      <c r="L2280" s="647"/>
      <c r="M2280" s="723"/>
      <c r="N2280" s="576">
        <f t="shared" si="597"/>
        <v>0</v>
      </c>
      <c r="O2280" s="577">
        <f t="shared" si="591"/>
        <v>0</v>
      </c>
      <c r="P2280" s="578">
        <f t="shared" si="592"/>
        <v>0</v>
      </c>
      <c r="Q2280" s="765"/>
      <c r="R2280" s="723"/>
      <c r="S2280" s="723"/>
      <c r="T2280" s="577">
        <f t="shared" si="589"/>
        <v>0</v>
      </c>
      <c r="U2280" s="578">
        <f t="shared" si="590"/>
        <v>0</v>
      </c>
      <c r="V2280" s="579"/>
      <c r="W2280" s="566" t="str">
        <f>IF(U2276&gt;0,"xx",IF(P2276&gt;0,"xy",""))</f>
        <v/>
      </c>
      <c r="X2280" s="586" t="str">
        <f t="shared" si="601"/>
        <v/>
      </c>
      <c r="Y2280" s="586" t="str">
        <f t="shared" si="531"/>
        <v/>
      </c>
      <c r="Z2280" s="586" t="str">
        <f t="shared" ref="Z2280:Z2343" si="602">IF(W2280="X","x",IF(U2280&gt;0,"x",""))</f>
        <v/>
      </c>
    </row>
    <row r="2281" spans="1:26" ht="12" hidden="1" thickBot="1" x14ac:dyDescent="0.25">
      <c r="A2281" s="567" t="s">
        <v>168</v>
      </c>
      <c r="B2281" s="644" t="s">
        <v>168</v>
      </c>
      <c r="C2281" s="645"/>
      <c r="D2281" s="422" t="s">
        <v>401</v>
      </c>
      <c r="E2281" s="423"/>
      <c r="F2281" s="424">
        <v>500</v>
      </c>
      <c r="G2281" s="425">
        <f>VLOOKUP(D2276,'[2]ENSAIOS DE ORÇAMENTO'!$C$3:$L$79,10,FALSE)</f>
        <v>0</v>
      </c>
      <c r="H2281" s="649">
        <f>IF(F2281&lt;=30,(0.78*F2281+7.82)*G2281,((0.78*30+7.82)+0.78*(F2281-30))*G2281)</f>
        <v>0</v>
      </c>
      <c r="I2281" s="420"/>
      <c r="J2281" s="420"/>
      <c r="K2281" s="421">
        <f t="shared" si="588"/>
        <v>0</v>
      </c>
      <c r="L2281" s="647"/>
      <c r="M2281" s="723"/>
      <c r="N2281" s="576">
        <f t="shared" si="597"/>
        <v>0</v>
      </c>
      <c r="O2281" s="577">
        <f t="shared" si="591"/>
        <v>0</v>
      </c>
      <c r="P2281" s="578">
        <f t="shared" si="592"/>
        <v>0</v>
      </c>
      <c r="Q2281" s="765"/>
      <c r="R2281" s="723"/>
      <c r="S2281" s="723"/>
      <c r="T2281" s="577">
        <f t="shared" si="589"/>
        <v>0</v>
      </c>
      <c r="U2281" s="578">
        <f t="shared" si="590"/>
        <v>0</v>
      </c>
      <c r="V2281" s="579"/>
      <c r="W2281" s="566" t="str">
        <f>IF(U2276&gt;0,"xx",IF(P2276&gt;0,"xy",""))</f>
        <v/>
      </c>
      <c r="X2281" s="586" t="str">
        <f t="shared" si="601"/>
        <v/>
      </c>
      <c r="Y2281" s="586" t="str">
        <f t="shared" si="531"/>
        <v/>
      </c>
      <c r="Z2281" s="586" t="str">
        <f t="shared" si="602"/>
        <v/>
      </c>
    </row>
    <row r="2282" spans="1:26" ht="12" hidden="1" thickBot="1" x14ac:dyDescent="0.25">
      <c r="A2282" s="567" t="s">
        <v>122</v>
      </c>
      <c r="B2282" s="644" t="s">
        <v>122</v>
      </c>
      <c r="C2282" s="645" t="s">
        <v>206</v>
      </c>
      <c r="D2282" s="422" t="s">
        <v>409</v>
      </c>
      <c r="E2282" s="423"/>
      <c r="F2282" s="424"/>
      <c r="G2282" s="425"/>
      <c r="H2282" s="651">
        <f>SUM(H2283:H2287)</f>
        <v>1778.9502513999998</v>
      </c>
      <c r="I2282" s="420">
        <f>VLOOKUP(D2282,'[2]ENSAIOS DE ORÇAMENTO'!$C$3:$L$79,8,FALSE)</f>
        <v>3596.5333299999993</v>
      </c>
      <c r="J2282" s="420">
        <f>IF(ISBLANK(I2282),"",SUM(H2282:I2282))</f>
        <v>5375.4835813999989</v>
      </c>
      <c r="K2282" s="421">
        <f t="shared" si="588"/>
        <v>6386.61</v>
      </c>
      <c r="L2282" s="647" t="s">
        <v>21</v>
      </c>
      <c r="M2282" s="576"/>
      <c r="N2282" s="576">
        <f t="shared" si="597"/>
        <v>0</v>
      </c>
      <c r="O2282" s="577">
        <f t="shared" si="591"/>
        <v>0</v>
      </c>
      <c r="P2282" s="578">
        <f t="shared" si="592"/>
        <v>0</v>
      </c>
      <c r="Q2282" s="765"/>
      <c r="R2282" s="576">
        <f>M2282</f>
        <v>0</v>
      </c>
      <c r="S2282" s="576">
        <f>N2282</f>
        <v>0</v>
      </c>
      <c r="T2282" s="577">
        <f t="shared" si="589"/>
        <v>0</v>
      </c>
      <c r="U2282" s="578">
        <f t="shared" si="590"/>
        <v>0</v>
      </c>
      <c r="V2282" s="579"/>
      <c r="W2282" s="566"/>
      <c r="X2282" s="586" t="str">
        <f t="shared" si="601"/>
        <v/>
      </c>
      <c r="Y2282" s="586" t="str">
        <f t="shared" si="531"/>
        <v/>
      </c>
      <c r="Z2282" s="586" t="str">
        <f t="shared" si="602"/>
        <v/>
      </c>
    </row>
    <row r="2283" spans="1:26" ht="12" hidden="1" thickBot="1" x14ac:dyDescent="0.25">
      <c r="A2283" s="567" t="s">
        <v>168</v>
      </c>
      <c r="B2283" s="644" t="s">
        <v>168</v>
      </c>
      <c r="C2283" s="645"/>
      <c r="D2283" s="422" t="s">
        <v>212</v>
      </c>
      <c r="E2283" s="423"/>
      <c r="F2283" s="424">
        <v>500</v>
      </c>
      <c r="G2283" s="425">
        <f>VLOOKUP(D2282,'[2]ENSAIOS DE ORÇAMENTO'!$C$3:$L$79,4,FALSE)</f>
        <v>1.7123939999999997</v>
      </c>
      <c r="H2283" s="649">
        <f>IF(F2283&lt;=30,(0.78*F2283+7.82)*G2283,((0.78*30+7.82)+0.78*(F2283-30))*G2283)</f>
        <v>681.22458108000001</v>
      </c>
      <c r="I2283" s="420"/>
      <c r="J2283" s="420"/>
      <c r="K2283" s="421">
        <f t="shared" si="588"/>
        <v>0</v>
      </c>
      <c r="L2283" s="647"/>
      <c r="M2283" s="723"/>
      <c r="N2283" s="576">
        <f t="shared" si="597"/>
        <v>0</v>
      </c>
      <c r="O2283" s="577">
        <f t="shared" si="591"/>
        <v>0</v>
      </c>
      <c r="P2283" s="578">
        <f t="shared" si="592"/>
        <v>0</v>
      </c>
      <c r="Q2283" s="765"/>
      <c r="R2283" s="723"/>
      <c r="S2283" s="723"/>
      <c r="T2283" s="577">
        <f t="shared" si="589"/>
        <v>0</v>
      </c>
      <c r="U2283" s="578">
        <f t="shared" si="590"/>
        <v>0</v>
      </c>
      <c r="V2283" s="579"/>
      <c r="W2283" s="566" t="str">
        <f>IF(U2282&gt;0,"xx",IF(P2282&gt;0,"xy",""))</f>
        <v/>
      </c>
      <c r="X2283" s="586" t="str">
        <f t="shared" si="601"/>
        <v/>
      </c>
      <c r="Y2283" s="586" t="str">
        <f t="shared" si="531"/>
        <v/>
      </c>
      <c r="Z2283" s="586" t="str">
        <f t="shared" si="602"/>
        <v/>
      </c>
    </row>
    <row r="2284" spans="1:26" ht="12" hidden="1" thickBot="1" x14ac:dyDescent="0.25">
      <c r="A2284" s="567" t="s">
        <v>168</v>
      </c>
      <c r="B2284" s="644" t="s">
        <v>168</v>
      </c>
      <c r="C2284" s="645"/>
      <c r="D2284" s="422" t="s">
        <v>248</v>
      </c>
      <c r="E2284" s="423"/>
      <c r="F2284" s="424">
        <v>180</v>
      </c>
      <c r="G2284" s="425">
        <f>VLOOKUP(D2282,'[2]ENSAIOS DE ORÇAMENTO'!$C$3:$L$79,5,FALSE)</f>
        <v>4.8978009999999994</v>
      </c>
      <c r="H2284" s="663">
        <f t="shared" ref="H2284:H2286" si="603">IF(F2284&lt;=30,(1.07*F2284+2.68)*G2284,((1.07*30+2.68)+1.07*(F2284-30))*G2284)</f>
        <v>956.4425792799999</v>
      </c>
      <c r="I2284" s="420"/>
      <c r="J2284" s="420"/>
      <c r="K2284" s="421">
        <f t="shared" si="588"/>
        <v>0</v>
      </c>
      <c r="L2284" s="647"/>
      <c r="M2284" s="723"/>
      <c r="N2284" s="576">
        <f t="shared" si="597"/>
        <v>0</v>
      </c>
      <c r="O2284" s="577">
        <f t="shared" si="591"/>
        <v>0</v>
      </c>
      <c r="P2284" s="578">
        <f t="shared" si="592"/>
        <v>0</v>
      </c>
      <c r="Q2284" s="765"/>
      <c r="R2284" s="723"/>
      <c r="S2284" s="723"/>
      <c r="T2284" s="577">
        <f t="shared" si="589"/>
        <v>0</v>
      </c>
      <c r="U2284" s="578">
        <f t="shared" si="590"/>
        <v>0</v>
      </c>
      <c r="V2284" s="579"/>
      <c r="W2284" s="566" t="str">
        <f>IF(U2282&gt;0,"xx",IF(P2282&gt;0,"xy",""))</f>
        <v/>
      </c>
      <c r="X2284" s="586" t="str">
        <f t="shared" si="601"/>
        <v/>
      </c>
      <c r="Y2284" s="586" t="str">
        <f t="shared" si="531"/>
        <v/>
      </c>
      <c r="Z2284" s="586" t="str">
        <f t="shared" si="602"/>
        <v/>
      </c>
    </row>
    <row r="2285" spans="1:26" ht="12" hidden="1" thickBot="1" x14ac:dyDescent="0.25">
      <c r="A2285" s="567" t="s">
        <v>168</v>
      </c>
      <c r="B2285" s="644" t="s">
        <v>168</v>
      </c>
      <c r="C2285" s="645"/>
      <c r="D2285" s="422" t="s">
        <v>252</v>
      </c>
      <c r="E2285" s="423"/>
      <c r="F2285" s="424">
        <v>20</v>
      </c>
      <c r="G2285" s="425">
        <f>VLOOKUP(D2282,'[2]ENSAIOS DE ORÇAMENTO'!$C$3:$L$79,6,FALSE)</f>
        <v>5.8672380000000004</v>
      </c>
      <c r="H2285" s="663">
        <f t="shared" si="603"/>
        <v>141.28309104000002</v>
      </c>
      <c r="I2285" s="420"/>
      <c r="J2285" s="420"/>
      <c r="K2285" s="421">
        <f t="shared" si="588"/>
        <v>0</v>
      </c>
      <c r="L2285" s="647"/>
      <c r="M2285" s="723"/>
      <c r="N2285" s="576">
        <f t="shared" si="597"/>
        <v>0</v>
      </c>
      <c r="O2285" s="577">
        <f t="shared" si="591"/>
        <v>0</v>
      </c>
      <c r="P2285" s="578">
        <f t="shared" si="592"/>
        <v>0</v>
      </c>
      <c r="Q2285" s="765"/>
      <c r="R2285" s="723"/>
      <c r="S2285" s="723"/>
      <c r="T2285" s="577">
        <f t="shared" si="589"/>
        <v>0</v>
      </c>
      <c r="U2285" s="578">
        <f t="shared" si="590"/>
        <v>0</v>
      </c>
      <c r="V2285" s="579"/>
      <c r="W2285" s="566" t="str">
        <f>IF(U2282&gt;0,"xx",IF(P2282&gt;0,"xy",""))</f>
        <v/>
      </c>
      <c r="X2285" s="586" t="str">
        <f t="shared" si="601"/>
        <v/>
      </c>
      <c r="Y2285" s="586" t="str">
        <f t="shared" si="531"/>
        <v/>
      </c>
      <c r="Z2285" s="586" t="str">
        <f t="shared" si="602"/>
        <v/>
      </c>
    </row>
    <row r="2286" spans="1:26" ht="12" hidden="1" thickBot="1" x14ac:dyDescent="0.25">
      <c r="A2286" s="567" t="s">
        <v>168</v>
      </c>
      <c r="B2286" s="644" t="s">
        <v>168</v>
      </c>
      <c r="C2286" s="645"/>
      <c r="D2286" s="422" t="s">
        <v>400</v>
      </c>
      <c r="E2286" s="423"/>
      <c r="F2286" s="424">
        <v>30</v>
      </c>
      <c r="G2286" s="425">
        <f>VLOOKUP(D2282,'[2]ENSAIOS DE ORÇAMENTO'!$C$3:$L$79,3,FALSE)</f>
        <v>0</v>
      </c>
      <c r="H2286" s="663">
        <f t="shared" si="603"/>
        <v>0</v>
      </c>
      <c r="I2286" s="420"/>
      <c r="J2286" s="420"/>
      <c r="K2286" s="421">
        <f t="shared" si="588"/>
        <v>0</v>
      </c>
      <c r="L2286" s="647"/>
      <c r="M2286" s="723"/>
      <c r="N2286" s="576">
        <f t="shared" si="597"/>
        <v>0</v>
      </c>
      <c r="O2286" s="577">
        <f t="shared" si="591"/>
        <v>0</v>
      </c>
      <c r="P2286" s="578">
        <f t="shared" si="592"/>
        <v>0</v>
      </c>
      <c r="Q2286" s="765"/>
      <c r="R2286" s="723"/>
      <c r="S2286" s="723"/>
      <c r="T2286" s="577">
        <f t="shared" si="589"/>
        <v>0</v>
      </c>
      <c r="U2286" s="578">
        <f t="shared" si="590"/>
        <v>0</v>
      </c>
      <c r="V2286" s="579"/>
      <c r="W2286" s="566" t="str">
        <f>IF(U2282&gt;0,"xx",IF(P2282&gt;0,"xy",""))</f>
        <v/>
      </c>
      <c r="X2286" s="586" t="str">
        <f t="shared" si="601"/>
        <v/>
      </c>
      <c r="Y2286" s="586" t="str">
        <f t="shared" si="531"/>
        <v/>
      </c>
      <c r="Z2286" s="586" t="str">
        <f t="shared" si="602"/>
        <v/>
      </c>
    </row>
    <row r="2287" spans="1:26" ht="12" hidden="1" thickBot="1" x14ac:dyDescent="0.25">
      <c r="A2287" s="567" t="s">
        <v>168</v>
      </c>
      <c r="B2287" s="644" t="s">
        <v>168</v>
      </c>
      <c r="C2287" s="645"/>
      <c r="D2287" s="422" t="s">
        <v>401</v>
      </c>
      <c r="E2287" s="423"/>
      <c r="F2287" s="424">
        <v>500</v>
      </c>
      <c r="G2287" s="425">
        <f>VLOOKUP(D2282,'[2]ENSAIOS DE ORÇAMENTO'!$C$3:$L$79,10,FALSE)</f>
        <v>0</v>
      </c>
      <c r="H2287" s="649">
        <f>IF(F2287&lt;=30,(0.78*F2287+7.82)*G2287,((0.78*30+7.82)+0.78*(F2287-30))*G2287)</f>
        <v>0</v>
      </c>
      <c r="I2287" s="420"/>
      <c r="J2287" s="420"/>
      <c r="K2287" s="421">
        <f t="shared" si="588"/>
        <v>0</v>
      </c>
      <c r="L2287" s="647"/>
      <c r="M2287" s="723"/>
      <c r="N2287" s="576">
        <f t="shared" si="597"/>
        <v>0</v>
      </c>
      <c r="O2287" s="577">
        <f t="shared" si="591"/>
        <v>0</v>
      </c>
      <c r="P2287" s="578">
        <f t="shared" si="592"/>
        <v>0</v>
      </c>
      <c r="Q2287" s="765"/>
      <c r="R2287" s="723"/>
      <c r="S2287" s="723"/>
      <c r="T2287" s="577">
        <f t="shared" si="589"/>
        <v>0</v>
      </c>
      <c r="U2287" s="578">
        <f t="shared" si="590"/>
        <v>0</v>
      </c>
      <c r="V2287" s="579"/>
      <c r="W2287" s="566" t="str">
        <f>IF(U2282&gt;0,"xx",IF(P2282&gt;0,"xy",""))</f>
        <v/>
      </c>
      <c r="X2287" s="586" t="str">
        <f t="shared" si="601"/>
        <v/>
      </c>
      <c r="Y2287" s="586" t="str">
        <f t="shared" si="531"/>
        <v/>
      </c>
      <c r="Z2287" s="586" t="str">
        <f t="shared" si="602"/>
        <v/>
      </c>
    </row>
    <row r="2288" spans="1:26" ht="12" hidden="1" thickBot="1" x14ac:dyDescent="0.25">
      <c r="A2288" s="567" t="s">
        <v>34</v>
      </c>
      <c r="B2288" s="644" t="s">
        <v>34</v>
      </c>
      <c r="C2288" s="645" t="s">
        <v>206</v>
      </c>
      <c r="D2288" s="422" t="s">
        <v>112</v>
      </c>
      <c r="E2288" s="423"/>
      <c r="F2288" s="424"/>
      <c r="G2288" s="425"/>
      <c r="H2288" s="651">
        <f>SUM(H2289:H2293)</f>
        <v>411.23106836000005</v>
      </c>
      <c r="I2288" s="420">
        <f>VLOOKUP(D2288,'[2]ENSAIOS DE ORÇAMENTO'!$C$3:$L$79,8,FALSE)</f>
        <v>3513.1233299999994</v>
      </c>
      <c r="J2288" s="420">
        <f>IF(ISBLANK(I2288),"",SUM(H2288:I2288))</f>
        <v>3924.3543983599993</v>
      </c>
      <c r="K2288" s="421">
        <f t="shared" si="588"/>
        <v>4662.53</v>
      </c>
      <c r="L2288" s="647" t="s">
        <v>21</v>
      </c>
      <c r="M2288" s="576"/>
      <c r="N2288" s="576">
        <f t="shared" si="597"/>
        <v>0</v>
      </c>
      <c r="O2288" s="577">
        <f t="shared" si="591"/>
        <v>0</v>
      </c>
      <c r="P2288" s="578">
        <f t="shared" si="592"/>
        <v>0</v>
      </c>
      <c r="Q2288" s="765"/>
      <c r="R2288" s="576">
        <f>M2288</f>
        <v>0</v>
      </c>
      <c r="S2288" s="576">
        <f>N2288</f>
        <v>0</v>
      </c>
      <c r="T2288" s="577">
        <f t="shared" si="589"/>
        <v>0</v>
      </c>
      <c r="U2288" s="578">
        <f t="shared" si="590"/>
        <v>0</v>
      </c>
      <c r="V2288" s="579"/>
      <c r="W2288" s="566"/>
      <c r="X2288" s="586" t="str">
        <f t="shared" si="601"/>
        <v/>
      </c>
      <c r="Y2288" s="586" t="str">
        <f t="shared" si="531"/>
        <v/>
      </c>
      <c r="Z2288" s="586" t="str">
        <f t="shared" si="602"/>
        <v/>
      </c>
    </row>
    <row r="2289" spans="1:26" ht="12" hidden="1" thickBot="1" x14ac:dyDescent="0.25">
      <c r="A2289" s="567" t="s">
        <v>168</v>
      </c>
      <c r="B2289" s="644" t="s">
        <v>168</v>
      </c>
      <c r="C2289" s="645"/>
      <c r="D2289" s="422" t="s">
        <v>212</v>
      </c>
      <c r="E2289" s="423"/>
      <c r="F2289" s="424">
        <v>500</v>
      </c>
      <c r="G2289" s="425">
        <f>VLOOKUP(D2288,'[2]ENSAIOS DE ORÇAMENTO'!$C$3:$L$79,4,FALSE)</f>
        <v>0.38908200000000004</v>
      </c>
      <c r="H2289" s="649">
        <f>IF(F2289&lt;=30,(0.78*F2289+7.82)*G2289,((0.78*30+7.82)+0.78*(F2289-30))*G2289)</f>
        <v>154.78460124000003</v>
      </c>
      <c r="I2289" s="420"/>
      <c r="J2289" s="420"/>
      <c r="K2289" s="421">
        <f t="shared" si="588"/>
        <v>0</v>
      </c>
      <c r="L2289" s="647"/>
      <c r="M2289" s="723"/>
      <c r="N2289" s="576">
        <f t="shared" si="597"/>
        <v>0</v>
      </c>
      <c r="O2289" s="577">
        <f t="shared" si="591"/>
        <v>0</v>
      </c>
      <c r="P2289" s="578">
        <f t="shared" si="592"/>
        <v>0</v>
      </c>
      <c r="Q2289" s="765"/>
      <c r="R2289" s="723"/>
      <c r="S2289" s="723"/>
      <c r="T2289" s="577">
        <f t="shared" si="589"/>
        <v>0</v>
      </c>
      <c r="U2289" s="578">
        <f t="shared" si="590"/>
        <v>0</v>
      </c>
      <c r="V2289" s="579"/>
      <c r="W2289" s="566" t="str">
        <f>IF(U2288&gt;0,"xx",IF(P2288&gt;0,"xy",""))</f>
        <v/>
      </c>
      <c r="X2289" s="586" t="str">
        <f t="shared" si="601"/>
        <v/>
      </c>
      <c r="Y2289" s="586" t="str">
        <f t="shared" si="531"/>
        <v/>
      </c>
      <c r="Z2289" s="586" t="str">
        <f t="shared" si="602"/>
        <v/>
      </c>
    </row>
    <row r="2290" spans="1:26" ht="12" hidden="1" thickBot="1" x14ac:dyDescent="0.25">
      <c r="A2290" s="567" t="s">
        <v>168</v>
      </c>
      <c r="B2290" s="644" t="s">
        <v>168</v>
      </c>
      <c r="C2290" s="645"/>
      <c r="D2290" s="422" t="s">
        <v>248</v>
      </c>
      <c r="E2290" s="423"/>
      <c r="F2290" s="424">
        <v>180</v>
      </c>
      <c r="G2290" s="425">
        <f>VLOOKUP(D2288,'[2]ENSAIOS DE ORÇAMENTO'!$C$3:$L$79,5,FALSE)</f>
        <v>1.1452249999999999</v>
      </c>
      <c r="H2290" s="663">
        <f t="shared" ref="H2290:H2292" si="604">IF(F2290&lt;=30,(1.07*F2290+2.68)*G2290,((1.07*30+2.68)+1.07*(F2290-30))*G2290)</f>
        <v>223.63953799999999</v>
      </c>
      <c r="I2290" s="420"/>
      <c r="J2290" s="420"/>
      <c r="K2290" s="421">
        <f t="shared" si="588"/>
        <v>0</v>
      </c>
      <c r="L2290" s="647"/>
      <c r="M2290" s="723"/>
      <c r="N2290" s="576">
        <f t="shared" si="597"/>
        <v>0</v>
      </c>
      <c r="O2290" s="577">
        <f t="shared" si="591"/>
        <v>0</v>
      </c>
      <c r="P2290" s="578">
        <f t="shared" si="592"/>
        <v>0</v>
      </c>
      <c r="Q2290" s="765"/>
      <c r="R2290" s="723"/>
      <c r="S2290" s="723"/>
      <c r="T2290" s="577">
        <f t="shared" si="589"/>
        <v>0</v>
      </c>
      <c r="U2290" s="578">
        <f t="shared" si="590"/>
        <v>0</v>
      </c>
      <c r="V2290" s="579"/>
      <c r="W2290" s="566" t="str">
        <f>IF(U2288&gt;0,"xx",IF(P2288&gt;0,"xy",""))</f>
        <v/>
      </c>
      <c r="X2290" s="586" t="str">
        <f t="shared" si="601"/>
        <v/>
      </c>
      <c r="Y2290" s="586" t="str">
        <f t="shared" si="531"/>
        <v/>
      </c>
      <c r="Z2290" s="586" t="str">
        <f t="shared" si="602"/>
        <v/>
      </c>
    </row>
    <row r="2291" spans="1:26" ht="12" hidden="1" thickBot="1" x14ac:dyDescent="0.25">
      <c r="A2291" s="567" t="s">
        <v>168</v>
      </c>
      <c r="B2291" s="644" t="s">
        <v>168</v>
      </c>
      <c r="C2291" s="645"/>
      <c r="D2291" s="422" t="s">
        <v>252</v>
      </c>
      <c r="E2291" s="423"/>
      <c r="F2291" s="424">
        <v>20</v>
      </c>
      <c r="G2291" s="425">
        <f>VLOOKUP(D2288,'[2]ENSAIOS DE ORÇAMENTO'!$C$3:$L$79,6,FALSE)</f>
        <v>1.362414</v>
      </c>
      <c r="H2291" s="663">
        <f t="shared" si="604"/>
        <v>32.80692912</v>
      </c>
      <c r="I2291" s="420"/>
      <c r="J2291" s="420"/>
      <c r="K2291" s="421">
        <f t="shared" si="588"/>
        <v>0</v>
      </c>
      <c r="L2291" s="647"/>
      <c r="M2291" s="723"/>
      <c r="N2291" s="576">
        <f t="shared" si="597"/>
        <v>0</v>
      </c>
      <c r="O2291" s="577">
        <f t="shared" si="591"/>
        <v>0</v>
      </c>
      <c r="P2291" s="578">
        <f t="shared" si="592"/>
        <v>0</v>
      </c>
      <c r="Q2291" s="765"/>
      <c r="R2291" s="723"/>
      <c r="S2291" s="723"/>
      <c r="T2291" s="577">
        <f t="shared" si="589"/>
        <v>0</v>
      </c>
      <c r="U2291" s="578">
        <f t="shared" si="590"/>
        <v>0</v>
      </c>
      <c r="V2291" s="579"/>
      <c r="W2291" s="566" t="str">
        <f>IF(U2288&gt;0,"xx",IF(P2288&gt;0,"xy",""))</f>
        <v/>
      </c>
      <c r="X2291" s="586" t="str">
        <f t="shared" si="601"/>
        <v/>
      </c>
      <c r="Y2291" s="586" t="str">
        <f t="shared" si="531"/>
        <v/>
      </c>
      <c r="Z2291" s="586" t="str">
        <f t="shared" si="602"/>
        <v/>
      </c>
    </row>
    <row r="2292" spans="1:26" ht="12" hidden="1" thickBot="1" x14ac:dyDescent="0.25">
      <c r="A2292" s="567" t="s">
        <v>168</v>
      </c>
      <c r="B2292" s="644" t="s">
        <v>168</v>
      </c>
      <c r="C2292" s="645"/>
      <c r="D2292" s="422" t="s">
        <v>400</v>
      </c>
      <c r="E2292" s="423"/>
      <c r="F2292" s="424">
        <v>30</v>
      </c>
      <c r="G2292" s="425">
        <f>VLOOKUP(D2288,'[2]ENSAIOS DE ORÇAMENTO'!$C$3:$L$79,3,FALSE)</f>
        <v>0</v>
      </c>
      <c r="H2292" s="663">
        <f t="shared" si="604"/>
        <v>0</v>
      </c>
      <c r="I2292" s="420"/>
      <c r="J2292" s="420"/>
      <c r="K2292" s="421">
        <f t="shared" si="588"/>
        <v>0</v>
      </c>
      <c r="L2292" s="647"/>
      <c r="M2292" s="723"/>
      <c r="N2292" s="576">
        <f t="shared" si="597"/>
        <v>0</v>
      </c>
      <c r="O2292" s="577">
        <f t="shared" si="591"/>
        <v>0</v>
      </c>
      <c r="P2292" s="578">
        <f t="shared" si="592"/>
        <v>0</v>
      </c>
      <c r="Q2292" s="765"/>
      <c r="R2292" s="723"/>
      <c r="S2292" s="723"/>
      <c r="T2292" s="577">
        <f t="shared" si="589"/>
        <v>0</v>
      </c>
      <c r="U2292" s="578">
        <f t="shared" si="590"/>
        <v>0</v>
      </c>
      <c r="V2292" s="579"/>
      <c r="W2292" s="566" t="str">
        <f>IF(U2288&gt;0,"xx",IF(P2288&gt;0,"xy",""))</f>
        <v/>
      </c>
      <c r="X2292" s="586" t="str">
        <f t="shared" si="601"/>
        <v/>
      </c>
      <c r="Y2292" s="586" t="str">
        <f t="shared" si="531"/>
        <v/>
      </c>
      <c r="Z2292" s="586" t="str">
        <f t="shared" si="602"/>
        <v/>
      </c>
    </row>
    <row r="2293" spans="1:26" ht="12" hidden="1" thickBot="1" x14ac:dyDescent="0.25">
      <c r="A2293" s="567" t="s">
        <v>168</v>
      </c>
      <c r="B2293" s="644" t="s">
        <v>168</v>
      </c>
      <c r="C2293" s="645"/>
      <c r="D2293" s="422" t="s">
        <v>401</v>
      </c>
      <c r="E2293" s="423"/>
      <c r="F2293" s="424">
        <v>500</v>
      </c>
      <c r="G2293" s="425">
        <f>VLOOKUP(D2288,'[2]ENSAIOS DE ORÇAMENTO'!$C$3:$L$79,10,FALSE)</f>
        <v>0</v>
      </c>
      <c r="H2293" s="649">
        <f>IF(F2293&lt;=30,(0.78*F2293+7.82)*G2293,((0.78*30+7.82)+0.78*(F2293-30))*G2293)</f>
        <v>0</v>
      </c>
      <c r="I2293" s="420"/>
      <c r="J2293" s="420"/>
      <c r="K2293" s="421">
        <f t="shared" si="588"/>
        <v>0</v>
      </c>
      <c r="L2293" s="647"/>
      <c r="M2293" s="723"/>
      <c r="N2293" s="576">
        <f t="shared" si="597"/>
        <v>0</v>
      </c>
      <c r="O2293" s="577">
        <f t="shared" si="591"/>
        <v>0</v>
      </c>
      <c r="P2293" s="578">
        <f t="shared" si="592"/>
        <v>0</v>
      </c>
      <c r="Q2293" s="765"/>
      <c r="R2293" s="723"/>
      <c r="S2293" s="723"/>
      <c r="T2293" s="577">
        <f t="shared" si="589"/>
        <v>0</v>
      </c>
      <c r="U2293" s="578">
        <f t="shared" si="590"/>
        <v>0</v>
      </c>
      <c r="V2293" s="579"/>
      <c r="W2293" s="566" t="str">
        <f>IF(U2288&gt;0,"xx",IF(P2288&gt;0,"xy",""))</f>
        <v/>
      </c>
      <c r="X2293" s="586" t="str">
        <f t="shared" si="601"/>
        <v/>
      </c>
      <c r="Y2293" s="586" t="str">
        <f t="shared" si="531"/>
        <v/>
      </c>
      <c r="Z2293" s="586" t="str">
        <f t="shared" si="602"/>
        <v/>
      </c>
    </row>
    <row r="2294" spans="1:26" ht="12" hidden="1" thickBot="1" x14ac:dyDescent="0.25">
      <c r="A2294" s="567" t="s">
        <v>35</v>
      </c>
      <c r="B2294" s="644" t="s">
        <v>35</v>
      </c>
      <c r="C2294" s="645" t="s">
        <v>206</v>
      </c>
      <c r="D2294" s="422" t="s">
        <v>109</v>
      </c>
      <c r="E2294" s="423"/>
      <c r="F2294" s="424"/>
      <c r="G2294" s="425"/>
      <c r="H2294" s="651">
        <f>SUM(H2295:H2299)</f>
        <v>513.9412014799999</v>
      </c>
      <c r="I2294" s="420">
        <f>VLOOKUP(D2294,'[2]ENSAIOS DE ORÇAMENTO'!$C$3:$L$79,8,FALSE)</f>
        <v>4235.10509</v>
      </c>
      <c r="J2294" s="420">
        <f>IF(ISBLANK(I2294),"",SUM(H2294:I2294))</f>
        <v>4749.04629148</v>
      </c>
      <c r="K2294" s="421">
        <f t="shared" si="588"/>
        <v>5642.34</v>
      </c>
      <c r="L2294" s="647" t="s">
        <v>21</v>
      </c>
      <c r="M2294" s="576"/>
      <c r="N2294" s="576">
        <f t="shared" si="597"/>
        <v>0</v>
      </c>
      <c r="O2294" s="577">
        <f t="shared" si="591"/>
        <v>0</v>
      </c>
      <c r="P2294" s="578">
        <f t="shared" si="592"/>
        <v>0</v>
      </c>
      <c r="Q2294" s="765"/>
      <c r="R2294" s="576">
        <f>M2294</f>
        <v>0</v>
      </c>
      <c r="S2294" s="576">
        <f>N2294</f>
        <v>0</v>
      </c>
      <c r="T2294" s="577">
        <f t="shared" si="589"/>
        <v>0</v>
      </c>
      <c r="U2294" s="578">
        <f t="shared" si="590"/>
        <v>0</v>
      </c>
      <c r="V2294" s="579"/>
      <c r="W2294" s="566"/>
      <c r="X2294" s="586" t="str">
        <f t="shared" si="601"/>
        <v/>
      </c>
      <c r="Y2294" s="586" t="str">
        <f t="shared" si="531"/>
        <v/>
      </c>
      <c r="Z2294" s="586" t="str">
        <f t="shared" si="602"/>
        <v/>
      </c>
    </row>
    <row r="2295" spans="1:26" ht="12" hidden="1" thickBot="1" x14ac:dyDescent="0.25">
      <c r="A2295" s="567" t="s">
        <v>168</v>
      </c>
      <c r="B2295" s="644" t="s">
        <v>168</v>
      </c>
      <c r="C2295" s="645"/>
      <c r="D2295" s="422" t="s">
        <v>212</v>
      </c>
      <c r="E2295" s="423"/>
      <c r="F2295" s="424">
        <v>500</v>
      </c>
      <c r="G2295" s="425">
        <f>VLOOKUP(D2294,'[2]ENSAIOS DE ORÇAMENTO'!$C$3:$L$79,4,FALSE)</f>
        <v>0.48940199999999995</v>
      </c>
      <c r="H2295" s="649">
        <f>IF(F2295&lt;=30,(0.78*F2295+7.82)*G2295,((0.78*30+7.82)+0.78*(F2295-30))*G2295)</f>
        <v>194.69390364</v>
      </c>
      <c r="I2295" s="420"/>
      <c r="J2295" s="420"/>
      <c r="K2295" s="421">
        <f t="shared" si="588"/>
        <v>0</v>
      </c>
      <c r="L2295" s="647"/>
      <c r="M2295" s="723"/>
      <c r="N2295" s="576">
        <f t="shared" si="597"/>
        <v>0</v>
      </c>
      <c r="O2295" s="577">
        <f t="shared" si="591"/>
        <v>0</v>
      </c>
      <c r="P2295" s="578">
        <f t="shared" si="592"/>
        <v>0</v>
      </c>
      <c r="Q2295" s="765"/>
      <c r="R2295" s="723"/>
      <c r="S2295" s="723"/>
      <c r="T2295" s="577">
        <f t="shared" si="589"/>
        <v>0</v>
      </c>
      <c r="U2295" s="578">
        <f t="shared" si="590"/>
        <v>0</v>
      </c>
      <c r="V2295" s="579"/>
      <c r="W2295" s="566" t="str">
        <f>IF(U2294&gt;0,"xx",IF(P2294&gt;0,"xy",""))</f>
        <v/>
      </c>
      <c r="X2295" s="586" t="str">
        <f t="shared" si="601"/>
        <v/>
      </c>
      <c r="Y2295" s="586" t="str">
        <f t="shared" si="531"/>
        <v/>
      </c>
      <c r="Z2295" s="586" t="str">
        <f t="shared" si="602"/>
        <v/>
      </c>
    </row>
    <row r="2296" spans="1:26" ht="12" hidden="1" thickBot="1" x14ac:dyDescent="0.25">
      <c r="A2296" s="567" t="s">
        <v>168</v>
      </c>
      <c r="B2296" s="644" t="s">
        <v>168</v>
      </c>
      <c r="C2296" s="645"/>
      <c r="D2296" s="422" t="s">
        <v>248</v>
      </c>
      <c r="E2296" s="423"/>
      <c r="F2296" s="424">
        <v>180</v>
      </c>
      <c r="G2296" s="425">
        <f>VLOOKUP(D2294,'[2]ENSAIOS DE ORÇAMENTO'!$C$3:$L$79,5,FALSE)</f>
        <v>1.4252089999999999</v>
      </c>
      <c r="H2296" s="663">
        <f t="shared" ref="H2296:H2298" si="605">IF(F2296&lt;=30,(1.07*F2296+2.68)*G2296,((1.07*30+2.68)+1.07*(F2296-30))*G2296)</f>
        <v>278.31481351999997</v>
      </c>
      <c r="I2296" s="420"/>
      <c r="J2296" s="420"/>
      <c r="K2296" s="421">
        <f t="shared" si="588"/>
        <v>0</v>
      </c>
      <c r="L2296" s="647"/>
      <c r="M2296" s="723"/>
      <c r="N2296" s="576">
        <f t="shared" si="597"/>
        <v>0</v>
      </c>
      <c r="O2296" s="577">
        <f t="shared" si="591"/>
        <v>0</v>
      </c>
      <c r="P2296" s="578">
        <f t="shared" si="592"/>
        <v>0</v>
      </c>
      <c r="Q2296" s="765"/>
      <c r="R2296" s="723"/>
      <c r="S2296" s="723"/>
      <c r="T2296" s="577">
        <f t="shared" si="589"/>
        <v>0</v>
      </c>
      <c r="U2296" s="578">
        <f t="shared" si="590"/>
        <v>0</v>
      </c>
      <c r="V2296" s="579"/>
      <c r="W2296" s="566" t="str">
        <f>IF(U2294&gt;0,"xx",IF(P2294&gt;0,"xy",""))</f>
        <v/>
      </c>
      <c r="X2296" s="586" t="str">
        <f t="shared" si="601"/>
        <v/>
      </c>
      <c r="Y2296" s="586" t="str">
        <f t="shared" si="531"/>
        <v/>
      </c>
      <c r="Z2296" s="586" t="str">
        <f t="shared" si="602"/>
        <v/>
      </c>
    </row>
    <row r="2297" spans="1:26" ht="12" hidden="1" thickBot="1" x14ac:dyDescent="0.25">
      <c r="A2297" s="567" t="s">
        <v>168</v>
      </c>
      <c r="B2297" s="644" t="s">
        <v>168</v>
      </c>
      <c r="C2297" s="645"/>
      <c r="D2297" s="422" t="s">
        <v>252</v>
      </c>
      <c r="E2297" s="423"/>
      <c r="F2297" s="424">
        <v>20</v>
      </c>
      <c r="G2297" s="425">
        <f>VLOOKUP(D2294,'[2]ENSAIOS DE ORÇAMENTO'!$C$3:$L$79,6,FALSE)</f>
        <v>1.699854</v>
      </c>
      <c r="H2297" s="663">
        <f t="shared" si="605"/>
        <v>40.93248432</v>
      </c>
      <c r="I2297" s="420"/>
      <c r="J2297" s="420"/>
      <c r="K2297" s="421">
        <f t="shared" si="588"/>
        <v>0</v>
      </c>
      <c r="L2297" s="647"/>
      <c r="M2297" s="723"/>
      <c r="N2297" s="576">
        <f t="shared" si="597"/>
        <v>0</v>
      </c>
      <c r="O2297" s="577">
        <f t="shared" si="591"/>
        <v>0</v>
      </c>
      <c r="P2297" s="578">
        <f t="shared" si="592"/>
        <v>0</v>
      </c>
      <c r="Q2297" s="765"/>
      <c r="R2297" s="723"/>
      <c r="S2297" s="723"/>
      <c r="T2297" s="577">
        <f t="shared" si="589"/>
        <v>0</v>
      </c>
      <c r="U2297" s="578">
        <f t="shared" si="590"/>
        <v>0</v>
      </c>
      <c r="V2297" s="579"/>
      <c r="W2297" s="566" t="str">
        <f>IF(U2294&gt;0,"xx",IF(P2294&gt;0,"xy",""))</f>
        <v/>
      </c>
      <c r="X2297" s="586" t="str">
        <f t="shared" si="601"/>
        <v/>
      </c>
      <c r="Y2297" s="586" t="str">
        <f t="shared" si="531"/>
        <v/>
      </c>
      <c r="Z2297" s="586" t="str">
        <f t="shared" si="602"/>
        <v/>
      </c>
    </row>
    <row r="2298" spans="1:26" ht="12" hidden="1" thickBot="1" x14ac:dyDescent="0.25">
      <c r="A2298" s="567" t="s">
        <v>168</v>
      </c>
      <c r="B2298" s="644" t="s">
        <v>168</v>
      </c>
      <c r="C2298" s="645"/>
      <c r="D2298" s="422" t="s">
        <v>400</v>
      </c>
      <c r="E2298" s="423"/>
      <c r="F2298" s="424">
        <v>30</v>
      </c>
      <c r="G2298" s="425">
        <f>VLOOKUP(D2294,'[2]ENSAIOS DE ORÇAMENTO'!$C$3:$L$79,3,FALSE)</f>
        <v>0</v>
      </c>
      <c r="H2298" s="663">
        <f t="shared" si="605"/>
        <v>0</v>
      </c>
      <c r="I2298" s="420"/>
      <c r="J2298" s="420"/>
      <c r="K2298" s="421">
        <f t="shared" si="588"/>
        <v>0</v>
      </c>
      <c r="L2298" s="647"/>
      <c r="M2298" s="723"/>
      <c r="N2298" s="576">
        <f t="shared" si="597"/>
        <v>0</v>
      </c>
      <c r="O2298" s="577">
        <f t="shared" si="591"/>
        <v>0</v>
      </c>
      <c r="P2298" s="578">
        <f t="shared" si="592"/>
        <v>0</v>
      </c>
      <c r="Q2298" s="765"/>
      <c r="R2298" s="723"/>
      <c r="S2298" s="723"/>
      <c r="T2298" s="577">
        <f t="shared" si="589"/>
        <v>0</v>
      </c>
      <c r="U2298" s="578">
        <f t="shared" si="590"/>
        <v>0</v>
      </c>
      <c r="V2298" s="579"/>
      <c r="W2298" s="566" t="str">
        <f>IF(U2294&gt;0,"xx",IF(P2294&gt;0,"xy",""))</f>
        <v/>
      </c>
      <c r="X2298" s="586" t="str">
        <f t="shared" si="601"/>
        <v/>
      </c>
      <c r="Y2298" s="586" t="str">
        <f t="shared" si="531"/>
        <v/>
      </c>
      <c r="Z2298" s="586" t="str">
        <f t="shared" si="602"/>
        <v/>
      </c>
    </row>
    <row r="2299" spans="1:26" ht="12" hidden="1" thickBot="1" x14ac:dyDescent="0.25">
      <c r="A2299" s="567" t="s">
        <v>168</v>
      </c>
      <c r="B2299" s="644" t="s">
        <v>168</v>
      </c>
      <c r="C2299" s="645"/>
      <c r="D2299" s="422" t="s">
        <v>401</v>
      </c>
      <c r="E2299" s="423"/>
      <c r="F2299" s="424">
        <v>500</v>
      </c>
      <c r="G2299" s="425">
        <f>VLOOKUP(D2294,'[2]ENSAIOS DE ORÇAMENTO'!$C$3:$L$79,10,FALSE)</f>
        <v>0</v>
      </c>
      <c r="H2299" s="649">
        <f>IF(F2299&lt;=30,(0.78*F2299+7.82)*G2299,((0.78*30+7.82)+0.78*(F2299-30))*G2299)</f>
        <v>0</v>
      </c>
      <c r="I2299" s="420"/>
      <c r="J2299" s="420"/>
      <c r="K2299" s="421">
        <f t="shared" si="588"/>
        <v>0</v>
      </c>
      <c r="L2299" s="647"/>
      <c r="M2299" s="723"/>
      <c r="N2299" s="576">
        <f t="shared" si="597"/>
        <v>0</v>
      </c>
      <c r="O2299" s="577">
        <f t="shared" si="591"/>
        <v>0</v>
      </c>
      <c r="P2299" s="578">
        <f t="shared" si="592"/>
        <v>0</v>
      </c>
      <c r="Q2299" s="765"/>
      <c r="R2299" s="723"/>
      <c r="S2299" s="723"/>
      <c r="T2299" s="577">
        <f t="shared" si="589"/>
        <v>0</v>
      </c>
      <c r="U2299" s="578">
        <f t="shared" si="590"/>
        <v>0</v>
      </c>
      <c r="V2299" s="579"/>
      <c r="W2299" s="566" t="str">
        <f>IF(U2294&gt;0,"xx",IF(P2294&gt;0,"xy",""))</f>
        <v/>
      </c>
      <c r="X2299" s="586" t="str">
        <f t="shared" si="601"/>
        <v/>
      </c>
      <c r="Y2299" s="586" t="str">
        <f t="shared" si="531"/>
        <v/>
      </c>
      <c r="Z2299" s="586" t="str">
        <f t="shared" si="602"/>
        <v/>
      </c>
    </row>
    <row r="2300" spans="1:26" ht="12" hidden="1" thickBot="1" x14ac:dyDescent="0.25">
      <c r="A2300" s="567" t="s">
        <v>123</v>
      </c>
      <c r="B2300" s="644" t="s">
        <v>123</v>
      </c>
      <c r="C2300" s="645" t="s">
        <v>206</v>
      </c>
      <c r="D2300" s="422" t="s">
        <v>110</v>
      </c>
      <c r="E2300" s="423"/>
      <c r="F2300" s="424"/>
      <c r="G2300" s="425"/>
      <c r="H2300" s="651">
        <f>SUM(H2301:H2305)</f>
        <v>680.84516780000001</v>
      </c>
      <c r="I2300" s="420">
        <f>VLOOKUP(D2300,'[2]ENSAIOS DE ORÇAMENTO'!$C$3:$L$79,8,FALSE)</f>
        <v>4602.3633099999997</v>
      </c>
      <c r="J2300" s="420">
        <f>IF(ISBLANK(I2300),"",SUM(H2300:I2300))</f>
        <v>5283.2084777999999</v>
      </c>
      <c r="K2300" s="421">
        <f t="shared" si="588"/>
        <v>6276.98</v>
      </c>
      <c r="L2300" s="647" t="s">
        <v>21</v>
      </c>
      <c r="M2300" s="576"/>
      <c r="N2300" s="576">
        <f t="shared" si="597"/>
        <v>0</v>
      </c>
      <c r="O2300" s="577">
        <f t="shared" si="591"/>
        <v>0</v>
      </c>
      <c r="P2300" s="578">
        <f t="shared" si="592"/>
        <v>0</v>
      </c>
      <c r="Q2300" s="765"/>
      <c r="R2300" s="576">
        <f>M2300</f>
        <v>0</v>
      </c>
      <c r="S2300" s="576">
        <f>N2300</f>
        <v>0</v>
      </c>
      <c r="T2300" s="577">
        <f t="shared" si="589"/>
        <v>0</v>
      </c>
      <c r="U2300" s="578">
        <f t="shared" si="590"/>
        <v>0</v>
      </c>
      <c r="V2300" s="579"/>
      <c r="W2300" s="566"/>
      <c r="X2300" s="586" t="str">
        <f t="shared" si="601"/>
        <v/>
      </c>
      <c r="Y2300" s="586" t="str">
        <f t="shared" si="531"/>
        <v/>
      </c>
      <c r="Z2300" s="586" t="str">
        <f t="shared" si="602"/>
        <v/>
      </c>
    </row>
    <row r="2301" spans="1:26" ht="12" hidden="1" thickBot="1" x14ac:dyDescent="0.25">
      <c r="A2301" s="567" t="s">
        <v>168</v>
      </c>
      <c r="B2301" s="644" t="s">
        <v>168</v>
      </c>
      <c r="C2301" s="645"/>
      <c r="D2301" s="422" t="s">
        <v>212</v>
      </c>
      <c r="E2301" s="423"/>
      <c r="F2301" s="424">
        <v>500</v>
      </c>
      <c r="G2301" s="425">
        <f>VLOOKUP(D2300,'[2]ENSAIOS DE ORÇAMENTO'!$C$3:$L$79,4,FALSE)</f>
        <v>0.65242199999999995</v>
      </c>
      <c r="H2301" s="649">
        <f>IF(F2301&lt;=30,(0.78*F2301+7.82)*G2301,((0.78*30+7.82)+0.78*(F2301-30))*G2301)</f>
        <v>259.54652004000002</v>
      </c>
      <c r="I2301" s="420"/>
      <c r="J2301" s="420"/>
      <c r="K2301" s="421">
        <f t="shared" si="588"/>
        <v>0</v>
      </c>
      <c r="L2301" s="647"/>
      <c r="M2301" s="723"/>
      <c r="N2301" s="576">
        <f t="shared" si="597"/>
        <v>0</v>
      </c>
      <c r="O2301" s="577">
        <f t="shared" si="591"/>
        <v>0</v>
      </c>
      <c r="P2301" s="578">
        <f t="shared" si="592"/>
        <v>0</v>
      </c>
      <c r="Q2301" s="765"/>
      <c r="R2301" s="723"/>
      <c r="S2301" s="723"/>
      <c r="T2301" s="577">
        <f t="shared" si="589"/>
        <v>0</v>
      </c>
      <c r="U2301" s="578">
        <f t="shared" si="590"/>
        <v>0</v>
      </c>
      <c r="V2301" s="579"/>
      <c r="W2301" s="566" t="str">
        <f>IF(U2300&gt;0,"xx",IF(P2300&gt;0,"xy",""))</f>
        <v/>
      </c>
      <c r="X2301" s="586" t="str">
        <f t="shared" si="601"/>
        <v/>
      </c>
      <c r="Y2301" s="586" t="str">
        <f t="shared" si="531"/>
        <v/>
      </c>
      <c r="Z2301" s="586" t="str">
        <f t="shared" si="602"/>
        <v/>
      </c>
    </row>
    <row r="2302" spans="1:26" ht="12" hidden="1" thickBot="1" x14ac:dyDescent="0.25">
      <c r="A2302" s="567" t="s">
        <v>168</v>
      </c>
      <c r="B2302" s="644" t="s">
        <v>168</v>
      </c>
      <c r="C2302" s="645"/>
      <c r="D2302" s="422" t="s">
        <v>248</v>
      </c>
      <c r="E2302" s="423"/>
      <c r="F2302" s="424">
        <v>180</v>
      </c>
      <c r="G2302" s="425">
        <f>VLOOKUP(D2300,'[2]ENSAIOS DE ORÇAMENTO'!$C$3:$L$79,5,FALSE)</f>
        <v>1.8801829999999999</v>
      </c>
      <c r="H2302" s="663">
        <f t="shared" ref="H2302:H2304" si="606">IF(F2302&lt;=30,(1.07*F2302+2.68)*G2302,((1.07*30+2.68)+1.07*(F2302-30))*G2302)</f>
        <v>367.16213624</v>
      </c>
      <c r="I2302" s="420"/>
      <c r="J2302" s="420"/>
      <c r="K2302" s="421">
        <f t="shared" si="588"/>
        <v>0</v>
      </c>
      <c r="L2302" s="647"/>
      <c r="M2302" s="723"/>
      <c r="N2302" s="576">
        <f t="shared" si="597"/>
        <v>0</v>
      </c>
      <c r="O2302" s="577">
        <f t="shared" si="591"/>
        <v>0</v>
      </c>
      <c r="P2302" s="578">
        <f t="shared" si="592"/>
        <v>0</v>
      </c>
      <c r="Q2302" s="765"/>
      <c r="R2302" s="723"/>
      <c r="S2302" s="723"/>
      <c r="T2302" s="577">
        <f t="shared" si="589"/>
        <v>0</v>
      </c>
      <c r="U2302" s="578">
        <f t="shared" si="590"/>
        <v>0</v>
      </c>
      <c r="V2302" s="579"/>
      <c r="W2302" s="566" t="str">
        <f>IF(U2300&gt;0,"xx",IF(P2300&gt;0,"xy",""))</f>
        <v/>
      </c>
      <c r="X2302" s="586" t="str">
        <f t="shared" si="601"/>
        <v/>
      </c>
      <c r="Y2302" s="586" t="str">
        <f t="shared" si="531"/>
        <v/>
      </c>
      <c r="Z2302" s="586" t="str">
        <f t="shared" si="602"/>
        <v/>
      </c>
    </row>
    <row r="2303" spans="1:26" ht="12" hidden="1" thickBot="1" x14ac:dyDescent="0.25">
      <c r="A2303" s="567" t="s">
        <v>168</v>
      </c>
      <c r="B2303" s="644" t="s">
        <v>168</v>
      </c>
      <c r="C2303" s="645"/>
      <c r="D2303" s="422" t="s">
        <v>252</v>
      </c>
      <c r="E2303" s="423"/>
      <c r="F2303" s="424">
        <v>20</v>
      </c>
      <c r="G2303" s="425">
        <f>VLOOKUP(D2300,'[2]ENSAIOS DE ORÇAMENTO'!$C$3:$L$79,6,FALSE)</f>
        <v>2.2481940000000002</v>
      </c>
      <c r="H2303" s="663">
        <f t="shared" si="606"/>
        <v>54.136511520000013</v>
      </c>
      <c r="I2303" s="420"/>
      <c r="J2303" s="420"/>
      <c r="K2303" s="421">
        <f t="shared" si="588"/>
        <v>0</v>
      </c>
      <c r="L2303" s="647"/>
      <c r="M2303" s="723"/>
      <c r="N2303" s="576">
        <f t="shared" si="597"/>
        <v>0</v>
      </c>
      <c r="O2303" s="577">
        <f t="shared" si="591"/>
        <v>0</v>
      </c>
      <c r="P2303" s="578">
        <f t="shared" si="592"/>
        <v>0</v>
      </c>
      <c r="Q2303" s="765"/>
      <c r="R2303" s="723"/>
      <c r="S2303" s="723"/>
      <c r="T2303" s="577">
        <f t="shared" si="589"/>
        <v>0</v>
      </c>
      <c r="U2303" s="578">
        <f t="shared" si="590"/>
        <v>0</v>
      </c>
      <c r="V2303" s="579"/>
      <c r="W2303" s="566" t="str">
        <f>IF(U2300&gt;0,"xx",IF(P2300&gt;0,"xy",""))</f>
        <v/>
      </c>
      <c r="X2303" s="586" t="str">
        <f t="shared" si="601"/>
        <v/>
      </c>
      <c r="Y2303" s="586" t="str">
        <f t="shared" si="531"/>
        <v/>
      </c>
      <c r="Z2303" s="586" t="str">
        <f t="shared" si="602"/>
        <v/>
      </c>
    </row>
    <row r="2304" spans="1:26" ht="12" hidden="1" thickBot="1" x14ac:dyDescent="0.25">
      <c r="A2304" s="567" t="s">
        <v>168</v>
      </c>
      <c r="B2304" s="644" t="s">
        <v>168</v>
      </c>
      <c r="C2304" s="645"/>
      <c r="D2304" s="422" t="s">
        <v>400</v>
      </c>
      <c r="E2304" s="423"/>
      <c r="F2304" s="424">
        <v>30</v>
      </c>
      <c r="G2304" s="425">
        <f>VLOOKUP(D2300,'[2]ENSAIOS DE ORÇAMENTO'!$C$3:$L$79,3,FALSE)</f>
        <v>0</v>
      </c>
      <c r="H2304" s="663">
        <f t="shared" si="606"/>
        <v>0</v>
      </c>
      <c r="I2304" s="420"/>
      <c r="J2304" s="420"/>
      <c r="K2304" s="421">
        <f t="shared" ref="K2304:K2367" si="607">IF(ISBLANK(I2304),0,ROUND(J2304*(1+$F$10)*(1+$F$11*E2304),2))</f>
        <v>0</v>
      </c>
      <c r="L2304" s="647"/>
      <c r="M2304" s="723"/>
      <c r="N2304" s="576">
        <f t="shared" si="597"/>
        <v>0</v>
      </c>
      <c r="O2304" s="577">
        <f t="shared" si="591"/>
        <v>0</v>
      </c>
      <c r="P2304" s="578">
        <f t="shared" si="592"/>
        <v>0</v>
      </c>
      <c r="Q2304" s="765"/>
      <c r="R2304" s="723"/>
      <c r="S2304" s="723"/>
      <c r="T2304" s="577">
        <f t="shared" ref="T2304:T2367" si="608">IF(ISBLANK(R2304),0,ROUND(K2304*R2304,2))</f>
        <v>0</v>
      </c>
      <c r="U2304" s="578">
        <f t="shared" ref="U2304:U2367" si="609">IF(ISBLANK(R2304),0,ROUND(R2304*S2304,2))</f>
        <v>0</v>
      </c>
      <c r="V2304" s="579"/>
      <c r="W2304" s="566" t="str">
        <f>IF(U2300&gt;0,"xx",IF(P2300&gt;0,"xy",""))</f>
        <v/>
      </c>
      <c r="X2304" s="586" t="str">
        <f t="shared" si="601"/>
        <v/>
      </c>
      <c r="Y2304" s="586" t="str">
        <f t="shared" si="531"/>
        <v/>
      </c>
      <c r="Z2304" s="586" t="str">
        <f t="shared" si="602"/>
        <v/>
      </c>
    </row>
    <row r="2305" spans="1:26" ht="12" hidden="1" thickBot="1" x14ac:dyDescent="0.25">
      <c r="A2305" s="567" t="s">
        <v>168</v>
      </c>
      <c r="B2305" s="644" t="s">
        <v>168</v>
      </c>
      <c r="C2305" s="645"/>
      <c r="D2305" s="422" t="s">
        <v>401</v>
      </c>
      <c r="E2305" s="423"/>
      <c r="F2305" s="424">
        <v>500</v>
      </c>
      <c r="G2305" s="425">
        <f>VLOOKUP(D2300,'[2]ENSAIOS DE ORÇAMENTO'!$C$3:$L$79,10,FALSE)</f>
        <v>0</v>
      </c>
      <c r="H2305" s="649">
        <f>IF(F2305&lt;=30,(0.78*F2305+7.82)*G2305,((0.78*30+7.82)+0.78*(F2305-30))*G2305)</f>
        <v>0</v>
      </c>
      <c r="I2305" s="420"/>
      <c r="J2305" s="420"/>
      <c r="K2305" s="421">
        <f t="shared" si="607"/>
        <v>0</v>
      </c>
      <c r="L2305" s="647"/>
      <c r="M2305" s="723"/>
      <c r="N2305" s="576">
        <f t="shared" si="597"/>
        <v>0</v>
      </c>
      <c r="O2305" s="577">
        <f t="shared" ref="O2305:O2368" si="610">IF(ISBLANK(M2305),0,ROUND(K2305*M2305,2))</f>
        <v>0</v>
      </c>
      <c r="P2305" s="578">
        <f t="shared" ref="P2305:P2368" si="611">IF(ISBLANK(N2305),0,ROUND(M2305*N2305,2))</f>
        <v>0</v>
      </c>
      <c r="Q2305" s="765"/>
      <c r="R2305" s="723"/>
      <c r="S2305" s="723"/>
      <c r="T2305" s="577">
        <f t="shared" si="608"/>
        <v>0</v>
      </c>
      <c r="U2305" s="578">
        <f t="shared" si="609"/>
        <v>0</v>
      </c>
      <c r="V2305" s="579"/>
      <c r="W2305" s="566" t="str">
        <f>IF(U2300&gt;0,"xx",IF(P2300&gt;0,"xy",""))</f>
        <v/>
      </c>
      <c r="X2305" s="586" t="str">
        <f t="shared" si="601"/>
        <v/>
      </c>
      <c r="Y2305" s="586" t="str">
        <f t="shared" si="531"/>
        <v/>
      </c>
      <c r="Z2305" s="586" t="str">
        <f t="shared" si="602"/>
        <v/>
      </c>
    </row>
    <row r="2306" spans="1:26" ht="12" hidden="1" thickBot="1" x14ac:dyDescent="0.25">
      <c r="A2306" s="567" t="s">
        <v>124</v>
      </c>
      <c r="B2306" s="644" t="s">
        <v>124</v>
      </c>
      <c r="C2306" s="645" t="s">
        <v>206</v>
      </c>
      <c r="D2306" s="422" t="s">
        <v>111</v>
      </c>
      <c r="E2306" s="423"/>
      <c r="F2306" s="424"/>
      <c r="G2306" s="425"/>
      <c r="H2306" s="651">
        <f>SUM(H2307:H2311)</f>
        <v>847.74913412000001</v>
      </c>
      <c r="I2306" s="420">
        <f>VLOOKUP(D2306,'[2]ENSAIOS DE ORÇAMENTO'!$C$3:$L$79,8,FALSE)</f>
        <v>5586.1876799999991</v>
      </c>
      <c r="J2306" s="420">
        <f>IF(ISBLANK(I2306),"",SUM(H2306:I2306))</f>
        <v>6433.9368141199993</v>
      </c>
      <c r="K2306" s="421">
        <f t="shared" si="607"/>
        <v>7644.16</v>
      </c>
      <c r="L2306" s="647" t="s">
        <v>21</v>
      </c>
      <c r="M2306" s="576"/>
      <c r="N2306" s="576">
        <f t="shared" si="597"/>
        <v>0</v>
      </c>
      <c r="O2306" s="577">
        <f t="shared" si="610"/>
        <v>0</v>
      </c>
      <c r="P2306" s="578">
        <f t="shared" si="611"/>
        <v>0</v>
      </c>
      <c r="Q2306" s="765"/>
      <c r="R2306" s="576">
        <f>M2306</f>
        <v>0</v>
      </c>
      <c r="S2306" s="576">
        <f>N2306</f>
        <v>0</v>
      </c>
      <c r="T2306" s="577">
        <f t="shared" si="608"/>
        <v>0</v>
      </c>
      <c r="U2306" s="578">
        <f t="shared" si="609"/>
        <v>0</v>
      </c>
      <c r="V2306" s="579"/>
      <c r="W2306" s="566"/>
      <c r="X2306" s="586" t="str">
        <f t="shared" si="601"/>
        <v/>
      </c>
      <c r="Y2306" s="586" t="str">
        <f t="shared" si="531"/>
        <v/>
      </c>
      <c r="Z2306" s="586" t="str">
        <f t="shared" si="602"/>
        <v/>
      </c>
    </row>
    <row r="2307" spans="1:26" ht="12" hidden="1" thickBot="1" x14ac:dyDescent="0.25">
      <c r="A2307" s="567" t="s">
        <v>168</v>
      </c>
      <c r="B2307" s="644" t="s">
        <v>168</v>
      </c>
      <c r="C2307" s="645"/>
      <c r="D2307" s="422" t="s">
        <v>212</v>
      </c>
      <c r="E2307" s="423"/>
      <c r="F2307" s="424">
        <v>500</v>
      </c>
      <c r="G2307" s="425">
        <f>VLOOKUP(D2306,'[2]ENSAIOS DE ORÇAMENTO'!$C$3:$L$79,4,FALSE)</f>
        <v>0.81544199999999989</v>
      </c>
      <c r="H2307" s="649">
        <f>IF(F2307&lt;=30,(0.78*F2307+7.82)*G2307,((0.78*30+7.82)+0.78*(F2307-30))*G2307)</f>
        <v>324.39913644000001</v>
      </c>
      <c r="I2307" s="420"/>
      <c r="J2307" s="420"/>
      <c r="K2307" s="421">
        <f t="shared" si="607"/>
        <v>0</v>
      </c>
      <c r="L2307" s="647"/>
      <c r="M2307" s="723"/>
      <c r="N2307" s="576">
        <f t="shared" si="597"/>
        <v>0</v>
      </c>
      <c r="O2307" s="577">
        <f t="shared" si="610"/>
        <v>0</v>
      </c>
      <c r="P2307" s="578">
        <f t="shared" si="611"/>
        <v>0</v>
      </c>
      <c r="Q2307" s="765"/>
      <c r="R2307" s="723"/>
      <c r="S2307" s="723"/>
      <c r="T2307" s="577">
        <f t="shared" si="608"/>
        <v>0</v>
      </c>
      <c r="U2307" s="578">
        <f t="shared" si="609"/>
        <v>0</v>
      </c>
      <c r="V2307" s="579"/>
      <c r="W2307" s="566" t="str">
        <f>IF(U2306&gt;0,"xx",IF(P2306&gt;0,"xy",""))</f>
        <v/>
      </c>
      <c r="X2307" s="586" t="str">
        <f t="shared" si="601"/>
        <v/>
      </c>
      <c r="Y2307" s="586" t="str">
        <f t="shared" ref="Y2307:Y2375" si="612">IF(W2307="X","x",IF(W2307="y","x",IF(W2307="xx","x",IF(U2307&gt;0,"x",""))))</f>
        <v/>
      </c>
      <c r="Z2307" s="586" t="str">
        <f t="shared" si="602"/>
        <v/>
      </c>
    </row>
    <row r="2308" spans="1:26" ht="12" hidden="1" thickBot="1" x14ac:dyDescent="0.25">
      <c r="A2308" s="567" t="s">
        <v>168</v>
      </c>
      <c r="B2308" s="644" t="s">
        <v>168</v>
      </c>
      <c r="C2308" s="645"/>
      <c r="D2308" s="422" t="s">
        <v>248</v>
      </c>
      <c r="E2308" s="423"/>
      <c r="F2308" s="424">
        <v>180</v>
      </c>
      <c r="G2308" s="425">
        <f>VLOOKUP(D2306,'[2]ENSAIOS DE ORÇAMENTO'!$C$3:$L$79,5,FALSE)</f>
        <v>2.3351569999999997</v>
      </c>
      <c r="H2308" s="663">
        <f t="shared" ref="H2308:H2310" si="613">IF(F2308&lt;=30,(1.07*F2308+2.68)*G2308,((1.07*30+2.68)+1.07*(F2308-30))*G2308)</f>
        <v>456.00945895999996</v>
      </c>
      <c r="I2308" s="420"/>
      <c r="J2308" s="420"/>
      <c r="K2308" s="421">
        <f t="shared" si="607"/>
        <v>0</v>
      </c>
      <c r="L2308" s="647"/>
      <c r="M2308" s="723"/>
      <c r="N2308" s="576">
        <f t="shared" si="597"/>
        <v>0</v>
      </c>
      <c r="O2308" s="577">
        <f t="shared" si="610"/>
        <v>0</v>
      </c>
      <c r="P2308" s="578">
        <f t="shared" si="611"/>
        <v>0</v>
      </c>
      <c r="Q2308" s="765"/>
      <c r="R2308" s="723"/>
      <c r="S2308" s="723"/>
      <c r="T2308" s="577">
        <f t="shared" si="608"/>
        <v>0</v>
      </c>
      <c r="U2308" s="578">
        <f t="shared" si="609"/>
        <v>0</v>
      </c>
      <c r="V2308" s="579"/>
      <c r="W2308" s="566" t="str">
        <f>IF(U2306&gt;0,"xx",IF(P2306&gt;0,"xy",""))</f>
        <v/>
      </c>
      <c r="X2308" s="586" t="str">
        <f t="shared" si="601"/>
        <v/>
      </c>
      <c r="Y2308" s="586" t="str">
        <f t="shared" si="612"/>
        <v/>
      </c>
      <c r="Z2308" s="586" t="str">
        <f t="shared" si="602"/>
        <v/>
      </c>
    </row>
    <row r="2309" spans="1:26" ht="12" hidden="1" thickBot="1" x14ac:dyDescent="0.25">
      <c r="A2309" s="567" t="s">
        <v>168</v>
      </c>
      <c r="B2309" s="644" t="s">
        <v>168</v>
      </c>
      <c r="C2309" s="645"/>
      <c r="D2309" s="422" t="s">
        <v>252</v>
      </c>
      <c r="E2309" s="423"/>
      <c r="F2309" s="424">
        <v>20</v>
      </c>
      <c r="G2309" s="425">
        <f>VLOOKUP(D2306,'[2]ENSAIOS DE ORÇAMENTO'!$C$3:$L$79,6,FALSE)</f>
        <v>2.7965340000000003</v>
      </c>
      <c r="H2309" s="663">
        <f t="shared" si="613"/>
        <v>67.340538720000012</v>
      </c>
      <c r="I2309" s="420"/>
      <c r="J2309" s="420"/>
      <c r="K2309" s="421">
        <f t="shared" si="607"/>
        <v>0</v>
      </c>
      <c r="L2309" s="647"/>
      <c r="M2309" s="723"/>
      <c r="N2309" s="576">
        <f t="shared" si="597"/>
        <v>0</v>
      </c>
      <c r="O2309" s="577">
        <f t="shared" si="610"/>
        <v>0</v>
      </c>
      <c r="P2309" s="578">
        <f t="shared" si="611"/>
        <v>0</v>
      </c>
      <c r="Q2309" s="765"/>
      <c r="R2309" s="723"/>
      <c r="S2309" s="723"/>
      <c r="T2309" s="577">
        <f t="shared" si="608"/>
        <v>0</v>
      </c>
      <c r="U2309" s="578">
        <f t="shared" si="609"/>
        <v>0</v>
      </c>
      <c r="V2309" s="579"/>
      <c r="W2309" s="566" t="str">
        <f>IF(U2306&gt;0,"xx",IF(P2306&gt;0,"xy",""))</f>
        <v/>
      </c>
      <c r="X2309" s="586" t="str">
        <f t="shared" si="601"/>
        <v/>
      </c>
      <c r="Y2309" s="586" t="str">
        <f t="shared" si="612"/>
        <v/>
      </c>
      <c r="Z2309" s="586" t="str">
        <f t="shared" si="602"/>
        <v/>
      </c>
    </row>
    <row r="2310" spans="1:26" ht="12" hidden="1" thickBot="1" x14ac:dyDescent="0.25">
      <c r="A2310" s="567" t="s">
        <v>168</v>
      </c>
      <c r="B2310" s="644" t="s">
        <v>168</v>
      </c>
      <c r="C2310" s="645"/>
      <c r="D2310" s="422" t="s">
        <v>400</v>
      </c>
      <c r="E2310" s="423"/>
      <c r="F2310" s="424">
        <v>30</v>
      </c>
      <c r="G2310" s="425">
        <f>VLOOKUP(D2306,'[2]ENSAIOS DE ORÇAMENTO'!$C$3:$L$79,3,FALSE)</f>
        <v>0</v>
      </c>
      <c r="H2310" s="663">
        <f t="shared" si="613"/>
        <v>0</v>
      </c>
      <c r="I2310" s="420"/>
      <c r="J2310" s="420"/>
      <c r="K2310" s="421">
        <f t="shared" si="607"/>
        <v>0</v>
      </c>
      <c r="L2310" s="647"/>
      <c r="M2310" s="723"/>
      <c r="N2310" s="576">
        <f t="shared" si="597"/>
        <v>0</v>
      </c>
      <c r="O2310" s="577">
        <f t="shared" si="610"/>
        <v>0</v>
      </c>
      <c r="P2310" s="578">
        <f t="shared" si="611"/>
        <v>0</v>
      </c>
      <c r="Q2310" s="765"/>
      <c r="R2310" s="723"/>
      <c r="S2310" s="723"/>
      <c r="T2310" s="577">
        <f t="shared" si="608"/>
        <v>0</v>
      </c>
      <c r="U2310" s="578">
        <f t="shared" si="609"/>
        <v>0</v>
      </c>
      <c r="V2310" s="579"/>
      <c r="W2310" s="566" t="str">
        <f>IF(U2306&gt;0,"xx",IF(P2306&gt;0,"xy",""))</f>
        <v/>
      </c>
      <c r="X2310" s="586" t="str">
        <f t="shared" si="601"/>
        <v/>
      </c>
      <c r="Y2310" s="586" t="str">
        <f t="shared" si="612"/>
        <v/>
      </c>
      <c r="Z2310" s="586" t="str">
        <f t="shared" si="602"/>
        <v/>
      </c>
    </row>
    <row r="2311" spans="1:26" ht="12" hidden="1" thickBot="1" x14ac:dyDescent="0.25">
      <c r="A2311" s="567" t="s">
        <v>168</v>
      </c>
      <c r="B2311" s="644" t="s">
        <v>168</v>
      </c>
      <c r="C2311" s="645"/>
      <c r="D2311" s="422" t="s">
        <v>401</v>
      </c>
      <c r="E2311" s="423"/>
      <c r="F2311" s="424">
        <v>500</v>
      </c>
      <c r="G2311" s="425">
        <f>VLOOKUP(D2306,'[2]ENSAIOS DE ORÇAMENTO'!$C$3:$L$79,10,FALSE)</f>
        <v>0</v>
      </c>
      <c r="H2311" s="649">
        <f>IF(F2311&lt;=30,(0.78*F2311+7.82)*G2311,((0.78*30+7.82)+0.78*(F2311-30))*G2311)</f>
        <v>0</v>
      </c>
      <c r="I2311" s="420"/>
      <c r="J2311" s="420"/>
      <c r="K2311" s="421">
        <f t="shared" si="607"/>
        <v>0</v>
      </c>
      <c r="L2311" s="647"/>
      <c r="M2311" s="723"/>
      <c r="N2311" s="576">
        <f t="shared" si="597"/>
        <v>0</v>
      </c>
      <c r="O2311" s="577">
        <f t="shared" si="610"/>
        <v>0</v>
      </c>
      <c r="P2311" s="578">
        <f t="shared" si="611"/>
        <v>0</v>
      </c>
      <c r="Q2311" s="765"/>
      <c r="R2311" s="723"/>
      <c r="S2311" s="723"/>
      <c r="T2311" s="577">
        <f t="shared" si="608"/>
        <v>0</v>
      </c>
      <c r="U2311" s="578">
        <f t="shared" si="609"/>
        <v>0</v>
      </c>
      <c r="V2311" s="579"/>
      <c r="W2311" s="566" t="str">
        <f>IF(U2306&gt;0,"xx",IF(P2306&gt;0,"xy",""))</f>
        <v/>
      </c>
      <c r="X2311" s="586" t="str">
        <f t="shared" si="601"/>
        <v/>
      </c>
      <c r="Y2311" s="586" t="str">
        <f t="shared" si="612"/>
        <v/>
      </c>
      <c r="Z2311" s="586" t="str">
        <f t="shared" si="602"/>
        <v/>
      </c>
    </row>
    <row r="2312" spans="1:26" ht="12" hidden="1" thickBot="1" x14ac:dyDescent="0.25">
      <c r="A2312" s="567" t="s">
        <v>125</v>
      </c>
      <c r="B2312" s="644" t="s">
        <v>125</v>
      </c>
      <c r="C2312" s="645" t="s">
        <v>206</v>
      </c>
      <c r="D2312" s="422" t="s">
        <v>99</v>
      </c>
      <c r="E2312" s="423"/>
      <c r="F2312" s="424"/>
      <c r="G2312" s="425"/>
      <c r="H2312" s="651">
        <f>SUM(H2313:H2317)</f>
        <v>125.85055469670401</v>
      </c>
      <c r="I2312" s="420">
        <f>VLOOKUP(D2312,'[2]ENSAIOS DE ORÇAMENTO'!$C$3:$L$79,8,FALSE)</f>
        <v>441.20676012799993</v>
      </c>
      <c r="J2312" s="420">
        <f>IF(ISBLANK(I2312),"",SUM(H2312:I2312))</f>
        <v>567.05731482470389</v>
      </c>
      <c r="K2312" s="421">
        <f t="shared" si="607"/>
        <v>673.72</v>
      </c>
      <c r="L2312" s="647" t="s">
        <v>21</v>
      </c>
      <c r="M2312" s="576"/>
      <c r="N2312" s="576">
        <f t="shared" si="597"/>
        <v>0</v>
      </c>
      <c r="O2312" s="577">
        <f t="shared" si="610"/>
        <v>0</v>
      </c>
      <c r="P2312" s="578">
        <f t="shared" si="611"/>
        <v>0</v>
      </c>
      <c r="Q2312" s="765"/>
      <c r="R2312" s="576">
        <f>M2312</f>
        <v>0</v>
      </c>
      <c r="S2312" s="576">
        <f>N2312</f>
        <v>0</v>
      </c>
      <c r="T2312" s="577">
        <f t="shared" si="608"/>
        <v>0</v>
      </c>
      <c r="U2312" s="578">
        <f t="shared" si="609"/>
        <v>0</v>
      </c>
      <c r="V2312" s="579"/>
      <c r="W2312" s="566"/>
      <c r="X2312" s="586" t="str">
        <f t="shared" si="601"/>
        <v/>
      </c>
      <c r="Y2312" s="586" t="str">
        <f t="shared" si="612"/>
        <v/>
      </c>
      <c r="Z2312" s="586" t="str">
        <f t="shared" si="602"/>
        <v/>
      </c>
    </row>
    <row r="2313" spans="1:26" ht="12" hidden="1" thickBot="1" x14ac:dyDescent="0.25">
      <c r="A2313" s="567" t="s">
        <v>168</v>
      </c>
      <c r="B2313" s="644" t="s">
        <v>168</v>
      </c>
      <c r="C2313" s="645"/>
      <c r="D2313" s="422" t="s">
        <v>212</v>
      </c>
      <c r="E2313" s="423"/>
      <c r="F2313" s="424">
        <v>500</v>
      </c>
      <c r="G2313" s="425">
        <f>VLOOKUP(D2312,'[2]ENSAIOS DE ORÇAMENTO'!$C$3:$L$79,4,FALSE)</f>
        <v>9.9453823999999996E-2</v>
      </c>
      <c r="H2313" s="649">
        <f>IF(F2313&lt;=30,(0.78*F2313+7.82)*G2313,((0.78*30+7.82)+0.78*(F2313-30))*G2313)</f>
        <v>39.564720263680002</v>
      </c>
      <c r="I2313" s="420"/>
      <c r="J2313" s="420"/>
      <c r="K2313" s="421">
        <f t="shared" si="607"/>
        <v>0</v>
      </c>
      <c r="L2313" s="647"/>
      <c r="M2313" s="723"/>
      <c r="N2313" s="576">
        <f t="shared" si="597"/>
        <v>0</v>
      </c>
      <c r="O2313" s="577">
        <f t="shared" si="610"/>
        <v>0</v>
      </c>
      <c r="P2313" s="578">
        <f t="shared" si="611"/>
        <v>0</v>
      </c>
      <c r="Q2313" s="765"/>
      <c r="R2313" s="723"/>
      <c r="S2313" s="723"/>
      <c r="T2313" s="577">
        <f t="shared" si="608"/>
        <v>0</v>
      </c>
      <c r="U2313" s="578">
        <f t="shared" si="609"/>
        <v>0</v>
      </c>
      <c r="V2313" s="579"/>
      <c r="W2313" s="566" t="str">
        <f>IF(U2312&gt;0,"xx",IF(P2312&gt;0,"xy",""))</f>
        <v/>
      </c>
      <c r="X2313" s="586" t="str">
        <f t="shared" si="601"/>
        <v/>
      </c>
      <c r="Y2313" s="586" t="str">
        <f t="shared" si="612"/>
        <v/>
      </c>
      <c r="Z2313" s="586" t="str">
        <f t="shared" si="602"/>
        <v/>
      </c>
    </row>
    <row r="2314" spans="1:26" ht="12" hidden="1" thickBot="1" x14ac:dyDescent="0.25">
      <c r="A2314" s="567" t="s">
        <v>168</v>
      </c>
      <c r="B2314" s="644" t="s">
        <v>168</v>
      </c>
      <c r="C2314" s="645"/>
      <c r="D2314" s="422" t="s">
        <v>248</v>
      </c>
      <c r="E2314" s="423"/>
      <c r="F2314" s="424">
        <v>180</v>
      </c>
      <c r="G2314" s="425">
        <f>VLOOKUP(D2312,'[2]ENSAIOS DE ORÇAMENTO'!$C$3:$L$79,5,FALSE)</f>
        <v>0.3618486528</v>
      </c>
      <c r="H2314" s="663">
        <f t="shared" ref="H2314:H2316" si="614">IF(F2314&lt;=30,(1.07*F2314+2.68)*G2314,((1.07*30+2.68)+1.07*(F2314-30))*G2314)</f>
        <v>70.661804918784</v>
      </c>
      <c r="I2314" s="420"/>
      <c r="J2314" s="420"/>
      <c r="K2314" s="421">
        <f t="shared" si="607"/>
        <v>0</v>
      </c>
      <c r="L2314" s="647"/>
      <c r="M2314" s="723"/>
      <c r="N2314" s="576">
        <f t="shared" si="597"/>
        <v>0</v>
      </c>
      <c r="O2314" s="577">
        <f t="shared" si="610"/>
        <v>0</v>
      </c>
      <c r="P2314" s="578">
        <f t="shared" si="611"/>
        <v>0</v>
      </c>
      <c r="Q2314" s="765"/>
      <c r="R2314" s="723"/>
      <c r="S2314" s="723"/>
      <c r="T2314" s="577">
        <f t="shared" si="608"/>
        <v>0</v>
      </c>
      <c r="U2314" s="578">
        <f t="shared" si="609"/>
        <v>0</v>
      </c>
      <c r="V2314" s="579"/>
      <c r="W2314" s="566" t="str">
        <f>IF(U2312&gt;0,"xx",IF(P2312&gt;0,"xy",""))</f>
        <v/>
      </c>
      <c r="X2314" s="586" t="str">
        <f t="shared" si="601"/>
        <v/>
      </c>
      <c r="Y2314" s="586" t="str">
        <f t="shared" si="612"/>
        <v/>
      </c>
      <c r="Z2314" s="586" t="str">
        <f t="shared" si="602"/>
        <v/>
      </c>
    </row>
    <row r="2315" spans="1:26" ht="12" hidden="1" thickBot="1" x14ac:dyDescent="0.25">
      <c r="A2315" s="567" t="s">
        <v>168</v>
      </c>
      <c r="B2315" s="644" t="s">
        <v>168</v>
      </c>
      <c r="C2315" s="645"/>
      <c r="D2315" s="422" t="s">
        <v>252</v>
      </c>
      <c r="E2315" s="423"/>
      <c r="F2315" s="424">
        <v>20</v>
      </c>
      <c r="G2315" s="425">
        <f>VLOOKUP(D2312,'[2]ENSAIOS DE ORÇAMENTO'!$C$3:$L$79,6,FALSE)</f>
        <v>0.308576448</v>
      </c>
      <c r="H2315" s="663">
        <f t="shared" si="614"/>
        <v>7.4305208678400003</v>
      </c>
      <c r="I2315" s="420"/>
      <c r="J2315" s="420"/>
      <c r="K2315" s="421">
        <f t="shared" si="607"/>
        <v>0</v>
      </c>
      <c r="L2315" s="647"/>
      <c r="M2315" s="723"/>
      <c r="N2315" s="576">
        <f t="shared" si="597"/>
        <v>0</v>
      </c>
      <c r="O2315" s="577">
        <f t="shared" si="610"/>
        <v>0</v>
      </c>
      <c r="P2315" s="578">
        <f t="shared" si="611"/>
        <v>0</v>
      </c>
      <c r="Q2315" s="765"/>
      <c r="R2315" s="723"/>
      <c r="S2315" s="723"/>
      <c r="T2315" s="577">
        <f t="shared" si="608"/>
        <v>0</v>
      </c>
      <c r="U2315" s="578">
        <f t="shared" si="609"/>
        <v>0</v>
      </c>
      <c r="V2315" s="579"/>
      <c r="W2315" s="566" t="str">
        <f>IF(U2312&gt;0,"xx",IF(P2312&gt;0,"xy",""))</f>
        <v/>
      </c>
      <c r="X2315" s="586" t="str">
        <f t="shared" si="601"/>
        <v/>
      </c>
      <c r="Y2315" s="586" t="str">
        <f t="shared" si="612"/>
        <v/>
      </c>
      <c r="Z2315" s="586" t="str">
        <f t="shared" si="602"/>
        <v/>
      </c>
    </row>
    <row r="2316" spans="1:26" ht="12" hidden="1" thickBot="1" x14ac:dyDescent="0.25">
      <c r="A2316" s="567" t="s">
        <v>168</v>
      </c>
      <c r="B2316" s="644" t="s">
        <v>168</v>
      </c>
      <c r="C2316" s="645"/>
      <c r="D2316" s="422" t="s">
        <v>400</v>
      </c>
      <c r="E2316" s="423"/>
      <c r="F2316" s="424">
        <v>30</v>
      </c>
      <c r="G2316" s="425">
        <f>VLOOKUP(D2312,'[2]ENSAIOS DE ORÇAMENTO'!$C$3:$L$79,3,FALSE)</f>
        <v>0.17055359999999997</v>
      </c>
      <c r="H2316" s="663">
        <f t="shared" si="614"/>
        <v>5.931854207999999</v>
      </c>
      <c r="I2316" s="420"/>
      <c r="J2316" s="420"/>
      <c r="K2316" s="421">
        <f t="shared" si="607"/>
        <v>0</v>
      </c>
      <c r="L2316" s="647"/>
      <c r="M2316" s="723"/>
      <c r="N2316" s="576">
        <f t="shared" si="597"/>
        <v>0</v>
      </c>
      <c r="O2316" s="577">
        <f t="shared" si="610"/>
        <v>0</v>
      </c>
      <c r="P2316" s="578">
        <f t="shared" si="611"/>
        <v>0</v>
      </c>
      <c r="Q2316" s="765"/>
      <c r="R2316" s="723"/>
      <c r="S2316" s="723"/>
      <c r="T2316" s="577">
        <f t="shared" si="608"/>
        <v>0</v>
      </c>
      <c r="U2316" s="578">
        <f t="shared" si="609"/>
        <v>0</v>
      </c>
      <c r="V2316" s="579"/>
      <c r="W2316" s="566" t="str">
        <f>IF(U2312&gt;0,"xx",IF(P2312&gt;0,"xy",""))</f>
        <v/>
      </c>
      <c r="X2316" s="586" t="str">
        <f t="shared" si="601"/>
        <v/>
      </c>
      <c r="Y2316" s="586" t="str">
        <f t="shared" si="612"/>
        <v/>
      </c>
      <c r="Z2316" s="586" t="str">
        <f t="shared" si="602"/>
        <v/>
      </c>
    </row>
    <row r="2317" spans="1:26" ht="12" hidden="1" thickBot="1" x14ac:dyDescent="0.25">
      <c r="A2317" s="567" t="s">
        <v>168</v>
      </c>
      <c r="B2317" s="644" t="s">
        <v>168</v>
      </c>
      <c r="C2317" s="645"/>
      <c r="D2317" s="422" t="s">
        <v>401</v>
      </c>
      <c r="E2317" s="423"/>
      <c r="F2317" s="424">
        <v>500</v>
      </c>
      <c r="G2317" s="425">
        <f>VLOOKUP(D2312,'[2]ENSAIOS DE ORÇAMENTO'!$C$3:$L$79,10,FALSE)</f>
        <v>5.6851199999999992E-3</v>
      </c>
      <c r="H2317" s="649">
        <f>IF(F2317&lt;=30,(0.78*F2317+7.82)*G2317,((0.78*30+7.82)+0.78*(F2317-30))*G2317)</f>
        <v>2.2616544383999999</v>
      </c>
      <c r="I2317" s="420"/>
      <c r="J2317" s="420"/>
      <c r="K2317" s="421">
        <f t="shared" si="607"/>
        <v>0</v>
      </c>
      <c r="L2317" s="647"/>
      <c r="M2317" s="723"/>
      <c r="N2317" s="576">
        <f t="shared" si="597"/>
        <v>0</v>
      </c>
      <c r="O2317" s="577">
        <f t="shared" si="610"/>
        <v>0</v>
      </c>
      <c r="P2317" s="578">
        <f t="shared" si="611"/>
        <v>0</v>
      </c>
      <c r="Q2317" s="765"/>
      <c r="R2317" s="723"/>
      <c r="S2317" s="723"/>
      <c r="T2317" s="577">
        <f t="shared" si="608"/>
        <v>0</v>
      </c>
      <c r="U2317" s="578">
        <f t="shared" si="609"/>
        <v>0</v>
      </c>
      <c r="V2317" s="579"/>
      <c r="W2317" s="566" t="str">
        <f>IF(U2312&gt;0,"xx",IF(P2312&gt;0,"xy",""))</f>
        <v/>
      </c>
      <c r="X2317" s="586" t="str">
        <f t="shared" si="601"/>
        <v/>
      </c>
      <c r="Y2317" s="586" t="str">
        <f t="shared" si="612"/>
        <v/>
      </c>
      <c r="Z2317" s="586" t="str">
        <f t="shared" si="602"/>
        <v/>
      </c>
    </row>
    <row r="2318" spans="1:26" ht="12" hidden="1" thickBot="1" x14ac:dyDescent="0.25">
      <c r="A2318" s="567" t="s">
        <v>36</v>
      </c>
      <c r="B2318" s="644" t="s">
        <v>36</v>
      </c>
      <c r="C2318" s="645" t="s">
        <v>206</v>
      </c>
      <c r="D2318" s="422" t="s">
        <v>100</v>
      </c>
      <c r="E2318" s="423"/>
      <c r="F2318" s="424"/>
      <c r="G2318" s="425"/>
      <c r="H2318" s="651">
        <f>SUM(H2319:H2323)</f>
        <v>185.66531998528004</v>
      </c>
      <c r="I2318" s="420">
        <f>VLOOKUP(D2318,'[2]ENSAIOS DE ORÇAMENTO'!$C$3:$L$79,8,FALSE)</f>
        <v>672.43252495999991</v>
      </c>
      <c r="J2318" s="420">
        <f>IF(ISBLANK(I2318),"",SUM(H2318:I2318))</f>
        <v>858.09784494527992</v>
      </c>
      <c r="K2318" s="421">
        <f t="shared" si="607"/>
        <v>1019.51</v>
      </c>
      <c r="L2318" s="647" t="s">
        <v>21</v>
      </c>
      <c r="M2318" s="576"/>
      <c r="N2318" s="576">
        <f t="shared" si="597"/>
        <v>0</v>
      </c>
      <c r="O2318" s="577">
        <f t="shared" si="610"/>
        <v>0</v>
      </c>
      <c r="P2318" s="578">
        <f t="shared" si="611"/>
        <v>0</v>
      </c>
      <c r="Q2318" s="765"/>
      <c r="R2318" s="576">
        <f>M2318</f>
        <v>0</v>
      </c>
      <c r="S2318" s="576">
        <f>N2318</f>
        <v>0</v>
      </c>
      <c r="T2318" s="577">
        <f t="shared" si="608"/>
        <v>0</v>
      </c>
      <c r="U2318" s="578">
        <f t="shared" si="609"/>
        <v>0</v>
      </c>
      <c r="V2318" s="579"/>
      <c r="W2318" s="566"/>
      <c r="X2318" s="586" t="str">
        <f t="shared" si="601"/>
        <v/>
      </c>
      <c r="Y2318" s="586" t="str">
        <f t="shared" si="612"/>
        <v/>
      </c>
      <c r="Z2318" s="586" t="str">
        <f t="shared" si="602"/>
        <v/>
      </c>
    </row>
    <row r="2319" spans="1:26" ht="12" hidden="1" thickBot="1" x14ac:dyDescent="0.25">
      <c r="A2319" s="567" t="s">
        <v>168</v>
      </c>
      <c r="B2319" s="644" t="s">
        <v>168</v>
      </c>
      <c r="C2319" s="645"/>
      <c r="D2319" s="422" t="s">
        <v>212</v>
      </c>
      <c r="E2319" s="423"/>
      <c r="F2319" s="424">
        <v>500</v>
      </c>
      <c r="G2319" s="425">
        <f>VLOOKUP(D2318,'[2]ENSAIOS DE ORÇAMENTO'!$C$3:$L$79,4,FALSE)</f>
        <v>0.14735024000000002</v>
      </c>
      <c r="H2319" s="649">
        <f>IF(F2319&lt;=30,(0.78*F2319+7.82)*G2319,((0.78*30+7.82)+0.78*(F2319-30))*G2319)</f>
        <v>58.618872476800014</v>
      </c>
      <c r="I2319" s="420"/>
      <c r="J2319" s="420"/>
      <c r="K2319" s="421">
        <f t="shared" si="607"/>
        <v>0</v>
      </c>
      <c r="L2319" s="647"/>
      <c r="M2319" s="723"/>
      <c r="N2319" s="576">
        <f t="shared" si="597"/>
        <v>0</v>
      </c>
      <c r="O2319" s="577">
        <f t="shared" si="610"/>
        <v>0</v>
      </c>
      <c r="P2319" s="578">
        <f t="shared" si="611"/>
        <v>0</v>
      </c>
      <c r="Q2319" s="765"/>
      <c r="R2319" s="723"/>
      <c r="S2319" s="723"/>
      <c r="T2319" s="577">
        <f t="shared" si="608"/>
        <v>0</v>
      </c>
      <c r="U2319" s="578">
        <f t="shared" si="609"/>
        <v>0</v>
      </c>
      <c r="V2319" s="579"/>
      <c r="W2319" s="566" t="str">
        <f>IF(U2318&gt;0,"xx",IF(P2318&gt;0,"xy",""))</f>
        <v/>
      </c>
      <c r="X2319" s="586" t="str">
        <f t="shared" si="601"/>
        <v/>
      </c>
      <c r="Y2319" s="586" t="str">
        <f t="shared" si="612"/>
        <v/>
      </c>
      <c r="Z2319" s="586" t="str">
        <f t="shared" si="602"/>
        <v/>
      </c>
    </row>
    <row r="2320" spans="1:26" ht="12" hidden="1" thickBot="1" x14ac:dyDescent="0.25">
      <c r="A2320" s="567" t="s">
        <v>168</v>
      </c>
      <c r="B2320" s="644" t="s">
        <v>168</v>
      </c>
      <c r="C2320" s="645"/>
      <c r="D2320" s="422" t="s">
        <v>248</v>
      </c>
      <c r="E2320" s="423"/>
      <c r="F2320" s="424">
        <v>180</v>
      </c>
      <c r="G2320" s="425">
        <f>VLOOKUP(D2318,'[2]ENSAIOS DE ORÇAMENTO'!$C$3:$L$79,5,FALSE)</f>
        <v>0.52819569600000005</v>
      </c>
      <c r="H2320" s="663">
        <f t="shared" ref="H2320:H2322" si="615">IF(F2320&lt;=30,(1.07*F2320+2.68)*G2320,((1.07*30+2.68)+1.07*(F2320-30))*G2320)</f>
        <v>103.14605551488</v>
      </c>
      <c r="I2320" s="420"/>
      <c r="J2320" s="420"/>
      <c r="K2320" s="421">
        <f t="shared" si="607"/>
        <v>0</v>
      </c>
      <c r="L2320" s="647"/>
      <c r="M2320" s="723"/>
      <c r="N2320" s="576">
        <f t="shared" si="597"/>
        <v>0</v>
      </c>
      <c r="O2320" s="577">
        <f t="shared" si="610"/>
        <v>0</v>
      </c>
      <c r="P2320" s="578">
        <f t="shared" si="611"/>
        <v>0</v>
      </c>
      <c r="Q2320" s="765"/>
      <c r="R2320" s="723"/>
      <c r="S2320" s="723"/>
      <c r="T2320" s="577">
        <f t="shared" si="608"/>
        <v>0</v>
      </c>
      <c r="U2320" s="578">
        <f t="shared" si="609"/>
        <v>0</v>
      </c>
      <c r="V2320" s="579"/>
      <c r="W2320" s="566" t="str">
        <f>IF(U2318&gt;0,"xx",IF(P2318&gt;0,"xy",""))</f>
        <v/>
      </c>
      <c r="X2320" s="586" t="str">
        <f t="shared" si="601"/>
        <v/>
      </c>
      <c r="Y2320" s="586" t="str">
        <f t="shared" si="612"/>
        <v/>
      </c>
      <c r="Z2320" s="586" t="str">
        <f t="shared" si="602"/>
        <v/>
      </c>
    </row>
    <row r="2321" spans="1:26" ht="12" hidden="1" thickBot="1" x14ac:dyDescent="0.25">
      <c r="A2321" s="567" t="s">
        <v>168</v>
      </c>
      <c r="B2321" s="644" t="s">
        <v>168</v>
      </c>
      <c r="C2321" s="645"/>
      <c r="D2321" s="422" t="s">
        <v>252</v>
      </c>
      <c r="E2321" s="423"/>
      <c r="F2321" s="424">
        <v>20</v>
      </c>
      <c r="G2321" s="425">
        <f>VLOOKUP(D2318,'[2]ENSAIOS DE ORÇAMENTO'!$C$3:$L$79,6,FALSE)</f>
        <v>0.43353936000000004</v>
      </c>
      <c r="H2321" s="663">
        <f t="shared" si="615"/>
        <v>10.439627788800001</v>
      </c>
      <c r="I2321" s="420"/>
      <c r="J2321" s="420"/>
      <c r="K2321" s="421">
        <f t="shared" si="607"/>
        <v>0</v>
      </c>
      <c r="L2321" s="647"/>
      <c r="M2321" s="723"/>
      <c r="N2321" s="576">
        <f t="shared" si="597"/>
        <v>0</v>
      </c>
      <c r="O2321" s="577">
        <f t="shared" si="610"/>
        <v>0</v>
      </c>
      <c r="P2321" s="578">
        <f t="shared" si="611"/>
        <v>0</v>
      </c>
      <c r="Q2321" s="765"/>
      <c r="R2321" s="723"/>
      <c r="S2321" s="723"/>
      <c r="T2321" s="577">
        <f t="shared" si="608"/>
        <v>0</v>
      </c>
      <c r="U2321" s="578">
        <f t="shared" si="609"/>
        <v>0</v>
      </c>
      <c r="V2321" s="579"/>
      <c r="W2321" s="566" t="str">
        <f>IF(U2318&gt;0,"xx",IF(P2318&gt;0,"xy",""))</f>
        <v/>
      </c>
      <c r="X2321" s="586" t="str">
        <f t="shared" si="601"/>
        <v/>
      </c>
      <c r="Y2321" s="586" t="str">
        <f t="shared" si="612"/>
        <v/>
      </c>
      <c r="Z2321" s="586" t="str">
        <f t="shared" si="602"/>
        <v/>
      </c>
    </row>
    <row r="2322" spans="1:26" ht="12" hidden="1" thickBot="1" x14ac:dyDescent="0.25">
      <c r="A2322" s="567" t="s">
        <v>168</v>
      </c>
      <c r="B2322" s="644" t="s">
        <v>168</v>
      </c>
      <c r="C2322" s="645"/>
      <c r="D2322" s="422" t="s">
        <v>400</v>
      </c>
      <c r="E2322" s="423"/>
      <c r="F2322" s="424">
        <v>30</v>
      </c>
      <c r="G2322" s="425">
        <f>VLOOKUP(D2318,'[2]ENSAIOS DE ORÇAMENTO'!$C$3:$L$79,3,FALSE)</f>
        <v>0.28019519999999998</v>
      </c>
      <c r="H2322" s="663">
        <f t="shared" si="615"/>
        <v>9.7451890559999992</v>
      </c>
      <c r="I2322" s="420"/>
      <c r="J2322" s="420"/>
      <c r="K2322" s="421">
        <f t="shared" si="607"/>
        <v>0</v>
      </c>
      <c r="L2322" s="647"/>
      <c r="M2322" s="723"/>
      <c r="N2322" s="576">
        <f t="shared" si="597"/>
        <v>0</v>
      </c>
      <c r="O2322" s="577">
        <f t="shared" si="610"/>
        <v>0</v>
      </c>
      <c r="P2322" s="578">
        <f t="shared" si="611"/>
        <v>0</v>
      </c>
      <c r="Q2322" s="765"/>
      <c r="R2322" s="723"/>
      <c r="S2322" s="723"/>
      <c r="T2322" s="577">
        <f t="shared" si="608"/>
        <v>0</v>
      </c>
      <c r="U2322" s="578">
        <f t="shared" si="609"/>
        <v>0</v>
      </c>
      <c r="V2322" s="579"/>
      <c r="W2322" s="566" t="str">
        <f>IF(U2318&gt;0,"xx",IF(P2318&gt;0,"xy",""))</f>
        <v/>
      </c>
      <c r="X2322" s="586" t="str">
        <f t="shared" si="601"/>
        <v/>
      </c>
      <c r="Y2322" s="586" t="str">
        <f t="shared" si="612"/>
        <v/>
      </c>
      <c r="Z2322" s="586" t="str">
        <f t="shared" si="602"/>
        <v/>
      </c>
    </row>
    <row r="2323" spans="1:26" ht="12" hidden="1" thickBot="1" x14ac:dyDescent="0.25">
      <c r="A2323" s="567" t="s">
        <v>168</v>
      </c>
      <c r="B2323" s="644" t="s">
        <v>168</v>
      </c>
      <c r="C2323" s="645"/>
      <c r="D2323" s="422" t="s">
        <v>401</v>
      </c>
      <c r="E2323" s="423"/>
      <c r="F2323" s="424">
        <v>500</v>
      </c>
      <c r="G2323" s="425">
        <f>VLOOKUP(D2318,'[2]ENSAIOS DE ORÇAMENTO'!$C$3:$L$79,10,FALSE)</f>
        <v>9.3398400000000003E-3</v>
      </c>
      <c r="H2323" s="649">
        <f>IF(F2323&lt;=30,(0.78*F2323+7.82)*G2323,((0.78*30+7.82)+0.78*(F2323-30))*G2323)</f>
        <v>3.7155751488000006</v>
      </c>
      <c r="I2323" s="420"/>
      <c r="J2323" s="420"/>
      <c r="K2323" s="421">
        <f t="shared" si="607"/>
        <v>0</v>
      </c>
      <c r="L2323" s="647"/>
      <c r="M2323" s="723"/>
      <c r="N2323" s="576">
        <f t="shared" si="597"/>
        <v>0</v>
      </c>
      <c r="O2323" s="577">
        <f t="shared" si="610"/>
        <v>0</v>
      </c>
      <c r="P2323" s="578">
        <f t="shared" si="611"/>
        <v>0</v>
      </c>
      <c r="Q2323" s="765"/>
      <c r="R2323" s="723"/>
      <c r="S2323" s="723"/>
      <c r="T2323" s="577">
        <f t="shared" si="608"/>
        <v>0</v>
      </c>
      <c r="U2323" s="578">
        <f t="shared" si="609"/>
        <v>0</v>
      </c>
      <c r="V2323" s="579"/>
      <c r="W2323" s="566" t="str">
        <f>IF(U2318&gt;0,"xx",IF(P2318&gt;0,"xy",""))</f>
        <v/>
      </c>
      <c r="X2323" s="586" t="str">
        <f t="shared" si="601"/>
        <v/>
      </c>
      <c r="Y2323" s="586" t="str">
        <f t="shared" si="612"/>
        <v/>
      </c>
      <c r="Z2323" s="586" t="str">
        <f t="shared" si="602"/>
        <v/>
      </c>
    </row>
    <row r="2324" spans="1:26" ht="12" hidden="1" thickBot="1" x14ac:dyDescent="0.25">
      <c r="A2324" s="567" t="s">
        <v>37</v>
      </c>
      <c r="B2324" s="644" t="s">
        <v>37</v>
      </c>
      <c r="C2324" s="645" t="s">
        <v>206</v>
      </c>
      <c r="D2324" s="422" t="s">
        <v>73</v>
      </c>
      <c r="E2324" s="423"/>
      <c r="F2324" s="424"/>
      <c r="G2324" s="425"/>
      <c r="H2324" s="651">
        <f>SUM(H2325:H2329)</f>
        <v>338.40781276928004</v>
      </c>
      <c r="I2324" s="420">
        <f>VLOOKUP(D2324,'[2]ENSAIOS DE ORÇAMENTO'!$C$3:$L$79,8,FALSE)</f>
        <v>1254.8365582933334</v>
      </c>
      <c r="J2324" s="420">
        <f>IF(ISBLANK(I2324),"",SUM(H2324:I2324))</f>
        <v>1593.2443710626135</v>
      </c>
      <c r="K2324" s="421">
        <f t="shared" si="607"/>
        <v>1892.93</v>
      </c>
      <c r="L2324" s="647" t="s">
        <v>21</v>
      </c>
      <c r="M2324" s="576"/>
      <c r="N2324" s="576">
        <f t="shared" ref="N2324:N2387" si="616">IF(M2324=0,0,K2324)</f>
        <v>0</v>
      </c>
      <c r="O2324" s="577">
        <f t="shared" si="610"/>
        <v>0</v>
      </c>
      <c r="P2324" s="578">
        <f t="shared" si="611"/>
        <v>0</v>
      </c>
      <c r="Q2324" s="765"/>
      <c r="R2324" s="576">
        <f>M2324</f>
        <v>0</v>
      </c>
      <c r="S2324" s="576">
        <f>N2324</f>
        <v>0</v>
      </c>
      <c r="T2324" s="577">
        <f t="shared" si="608"/>
        <v>0</v>
      </c>
      <c r="U2324" s="578">
        <f t="shared" si="609"/>
        <v>0</v>
      </c>
      <c r="V2324" s="579"/>
      <c r="W2324" s="566"/>
      <c r="X2324" s="586" t="str">
        <f t="shared" si="601"/>
        <v/>
      </c>
      <c r="Y2324" s="586" t="str">
        <f t="shared" si="612"/>
        <v/>
      </c>
      <c r="Z2324" s="586" t="str">
        <f t="shared" si="602"/>
        <v/>
      </c>
    </row>
    <row r="2325" spans="1:26" ht="12" hidden="1" thickBot="1" x14ac:dyDescent="0.25">
      <c r="A2325" s="567" t="s">
        <v>168</v>
      </c>
      <c r="B2325" s="644" t="s">
        <v>168</v>
      </c>
      <c r="C2325" s="645"/>
      <c r="D2325" s="422" t="s">
        <v>212</v>
      </c>
      <c r="E2325" s="423"/>
      <c r="F2325" s="424">
        <v>500</v>
      </c>
      <c r="G2325" s="425">
        <f>VLOOKUP(D2324,'[2]ENSAIOS DE ORÇAMENTO'!$C$3:$L$79,4,FALSE)</f>
        <v>0.25613760000000002</v>
      </c>
      <c r="H2325" s="649">
        <f>IF(F2325&lt;=30,(0.78*F2325+7.82)*G2325,((0.78*30+7.82)+0.78*(F2325-30))*G2325)</f>
        <v>101.89666003200003</v>
      </c>
      <c r="I2325" s="420"/>
      <c r="J2325" s="420"/>
      <c r="K2325" s="421">
        <f t="shared" si="607"/>
        <v>0</v>
      </c>
      <c r="L2325" s="647"/>
      <c r="M2325" s="723"/>
      <c r="N2325" s="576">
        <f t="shared" si="616"/>
        <v>0</v>
      </c>
      <c r="O2325" s="577">
        <f t="shared" si="610"/>
        <v>0</v>
      </c>
      <c r="P2325" s="578">
        <f t="shared" si="611"/>
        <v>0</v>
      </c>
      <c r="Q2325" s="765"/>
      <c r="R2325" s="723"/>
      <c r="S2325" s="723"/>
      <c r="T2325" s="577">
        <f t="shared" si="608"/>
        <v>0</v>
      </c>
      <c r="U2325" s="578">
        <f t="shared" si="609"/>
        <v>0</v>
      </c>
      <c r="V2325" s="579"/>
      <c r="W2325" s="566" t="str">
        <f>IF(U2324&gt;0,"xx",IF(P2324&gt;0,"xy",""))</f>
        <v/>
      </c>
      <c r="X2325" s="586" t="str">
        <f t="shared" si="601"/>
        <v/>
      </c>
      <c r="Y2325" s="586" t="str">
        <f t="shared" si="612"/>
        <v/>
      </c>
      <c r="Z2325" s="586" t="str">
        <f t="shared" si="602"/>
        <v/>
      </c>
    </row>
    <row r="2326" spans="1:26" ht="12" hidden="1" thickBot="1" x14ac:dyDescent="0.25">
      <c r="A2326" s="567" t="s">
        <v>168</v>
      </c>
      <c r="B2326" s="644" t="s">
        <v>168</v>
      </c>
      <c r="C2326" s="645"/>
      <c r="D2326" s="422" t="s">
        <v>248</v>
      </c>
      <c r="E2326" s="423"/>
      <c r="F2326" s="424">
        <v>180</v>
      </c>
      <c r="G2326" s="425">
        <f>VLOOKUP(D2324,'[2]ENSAIOS DE ORÇAMENTO'!$C$3:$L$79,5,FALSE)</f>
        <v>0.95694329600000005</v>
      </c>
      <c r="H2326" s="663">
        <f t="shared" ref="H2326:H2328" si="617">IF(F2326&lt;=30,(1.07*F2326+2.68)*G2326,((1.07*30+2.68)+1.07*(F2326-30))*G2326)</f>
        <v>186.87188684288</v>
      </c>
      <c r="I2326" s="420"/>
      <c r="J2326" s="420"/>
      <c r="K2326" s="421">
        <f t="shared" si="607"/>
        <v>0</v>
      </c>
      <c r="L2326" s="647"/>
      <c r="M2326" s="723"/>
      <c r="N2326" s="576">
        <f t="shared" si="616"/>
        <v>0</v>
      </c>
      <c r="O2326" s="577">
        <f t="shared" si="610"/>
        <v>0</v>
      </c>
      <c r="P2326" s="578">
        <f t="shared" si="611"/>
        <v>0</v>
      </c>
      <c r="Q2326" s="765"/>
      <c r="R2326" s="723"/>
      <c r="S2326" s="723"/>
      <c r="T2326" s="577">
        <f t="shared" si="608"/>
        <v>0</v>
      </c>
      <c r="U2326" s="578">
        <f t="shared" si="609"/>
        <v>0</v>
      </c>
      <c r="V2326" s="579"/>
      <c r="W2326" s="566" t="str">
        <f>IF(U2324&gt;0,"xx",IF(P2324&gt;0,"xy",""))</f>
        <v/>
      </c>
      <c r="X2326" s="586" t="str">
        <f t="shared" si="601"/>
        <v/>
      </c>
      <c r="Y2326" s="586" t="str">
        <f t="shared" si="612"/>
        <v/>
      </c>
      <c r="Z2326" s="586" t="str">
        <f t="shared" si="602"/>
        <v/>
      </c>
    </row>
    <row r="2327" spans="1:26" ht="12" hidden="1" thickBot="1" x14ac:dyDescent="0.25">
      <c r="A2327" s="567" t="s">
        <v>168</v>
      </c>
      <c r="B2327" s="644" t="s">
        <v>168</v>
      </c>
      <c r="C2327" s="645"/>
      <c r="D2327" s="422" t="s">
        <v>252</v>
      </c>
      <c r="E2327" s="423"/>
      <c r="F2327" s="424">
        <v>20</v>
      </c>
      <c r="G2327" s="425">
        <f>VLOOKUP(D2324,'[2]ENSAIOS DE ORÇAMENTO'!$C$3:$L$79,6,FALSE)</f>
        <v>0.70038336000000012</v>
      </c>
      <c r="H2327" s="663">
        <f t="shared" si="617"/>
        <v>16.865231308800006</v>
      </c>
      <c r="I2327" s="420"/>
      <c r="J2327" s="420"/>
      <c r="K2327" s="421">
        <f t="shared" si="607"/>
        <v>0</v>
      </c>
      <c r="L2327" s="647"/>
      <c r="M2327" s="723"/>
      <c r="N2327" s="576">
        <f t="shared" si="616"/>
        <v>0</v>
      </c>
      <c r="O2327" s="577">
        <f t="shared" si="610"/>
        <v>0</v>
      </c>
      <c r="P2327" s="578">
        <f t="shared" si="611"/>
        <v>0</v>
      </c>
      <c r="Q2327" s="765"/>
      <c r="R2327" s="723"/>
      <c r="S2327" s="723"/>
      <c r="T2327" s="577">
        <f t="shared" si="608"/>
        <v>0</v>
      </c>
      <c r="U2327" s="578">
        <f t="shared" si="609"/>
        <v>0</v>
      </c>
      <c r="V2327" s="579"/>
      <c r="W2327" s="566" t="str">
        <f>IF(U2324&gt;0,"xx",IF(P2324&gt;0,"xy",""))</f>
        <v/>
      </c>
      <c r="X2327" s="586" t="str">
        <f t="shared" si="601"/>
        <v/>
      </c>
      <c r="Y2327" s="586" t="str">
        <f t="shared" si="612"/>
        <v/>
      </c>
      <c r="Z2327" s="586" t="str">
        <f t="shared" si="602"/>
        <v/>
      </c>
    </row>
    <row r="2328" spans="1:26" ht="12" hidden="1" thickBot="1" x14ac:dyDescent="0.25">
      <c r="A2328" s="567" t="s">
        <v>168</v>
      </c>
      <c r="B2328" s="644" t="s">
        <v>168</v>
      </c>
      <c r="C2328" s="645"/>
      <c r="D2328" s="422" t="s">
        <v>400</v>
      </c>
      <c r="E2328" s="423"/>
      <c r="F2328" s="424">
        <v>30</v>
      </c>
      <c r="G2328" s="425">
        <f>VLOOKUP(D2324,'[2]ENSAIOS DE ORÇAMENTO'!$C$3:$L$79,3,FALSE)</f>
        <v>0.6822144</v>
      </c>
      <c r="H2328" s="663">
        <f t="shared" si="617"/>
        <v>23.727416831999999</v>
      </c>
      <c r="I2328" s="420"/>
      <c r="J2328" s="420"/>
      <c r="K2328" s="421">
        <f t="shared" si="607"/>
        <v>0</v>
      </c>
      <c r="L2328" s="647"/>
      <c r="M2328" s="723"/>
      <c r="N2328" s="576">
        <f t="shared" si="616"/>
        <v>0</v>
      </c>
      <c r="O2328" s="577">
        <f t="shared" si="610"/>
        <v>0</v>
      </c>
      <c r="P2328" s="578">
        <f t="shared" si="611"/>
        <v>0</v>
      </c>
      <c r="Q2328" s="765"/>
      <c r="R2328" s="723"/>
      <c r="S2328" s="723"/>
      <c r="T2328" s="577">
        <f t="shared" si="608"/>
        <v>0</v>
      </c>
      <c r="U2328" s="578">
        <f t="shared" si="609"/>
        <v>0</v>
      </c>
      <c r="V2328" s="579"/>
      <c r="W2328" s="566" t="str">
        <f>IF(U2324&gt;0,"xx",IF(P2324&gt;0,"xy",""))</f>
        <v/>
      </c>
      <c r="X2328" s="586" t="str">
        <f t="shared" si="601"/>
        <v/>
      </c>
      <c r="Y2328" s="586" t="str">
        <f t="shared" si="612"/>
        <v/>
      </c>
      <c r="Z2328" s="586" t="str">
        <f t="shared" si="602"/>
        <v/>
      </c>
    </row>
    <row r="2329" spans="1:26" ht="12" hidden="1" thickBot="1" x14ac:dyDescent="0.25">
      <c r="A2329" s="567" t="s">
        <v>168</v>
      </c>
      <c r="B2329" s="644" t="s">
        <v>168</v>
      </c>
      <c r="C2329" s="645"/>
      <c r="D2329" s="422" t="s">
        <v>401</v>
      </c>
      <c r="E2329" s="423"/>
      <c r="F2329" s="424">
        <v>500</v>
      </c>
      <c r="G2329" s="425">
        <f>VLOOKUP(D2324,'[2]ENSAIOS DE ORÇAMENTO'!$C$3:$L$79,10,FALSE)</f>
        <v>2.274048E-2</v>
      </c>
      <c r="H2329" s="649">
        <f>IF(F2329&lt;=30,(0.78*F2329+7.82)*G2329,((0.78*30+7.82)+0.78*(F2329-30))*G2329)</f>
        <v>9.0466177536000014</v>
      </c>
      <c r="I2329" s="420"/>
      <c r="J2329" s="420"/>
      <c r="K2329" s="421">
        <f t="shared" si="607"/>
        <v>0</v>
      </c>
      <c r="L2329" s="647"/>
      <c r="M2329" s="723"/>
      <c r="N2329" s="576">
        <f t="shared" si="616"/>
        <v>0</v>
      </c>
      <c r="O2329" s="577">
        <f t="shared" si="610"/>
        <v>0</v>
      </c>
      <c r="P2329" s="578">
        <f t="shared" si="611"/>
        <v>0</v>
      </c>
      <c r="Q2329" s="765"/>
      <c r="R2329" s="723"/>
      <c r="S2329" s="723"/>
      <c r="T2329" s="577">
        <f t="shared" si="608"/>
        <v>0</v>
      </c>
      <c r="U2329" s="578">
        <f t="shared" si="609"/>
        <v>0</v>
      </c>
      <c r="V2329" s="579"/>
      <c r="W2329" s="566" t="str">
        <f>IF(U2324&gt;0,"xx",IF(P2324&gt;0,"xy",""))</f>
        <v/>
      </c>
      <c r="X2329" s="586" t="str">
        <f t="shared" si="601"/>
        <v/>
      </c>
      <c r="Y2329" s="586" t="str">
        <f t="shared" si="612"/>
        <v/>
      </c>
      <c r="Z2329" s="586" t="str">
        <f t="shared" si="602"/>
        <v/>
      </c>
    </row>
    <row r="2330" spans="1:26" ht="12" hidden="1" thickBot="1" x14ac:dyDescent="0.25">
      <c r="A2330" s="567" t="s">
        <v>38</v>
      </c>
      <c r="B2330" s="644" t="s">
        <v>38</v>
      </c>
      <c r="C2330" s="645" t="s">
        <v>206</v>
      </c>
      <c r="D2330" s="422" t="s">
        <v>74</v>
      </c>
      <c r="E2330" s="423"/>
      <c r="F2330" s="424"/>
      <c r="G2330" s="425"/>
      <c r="H2330" s="651">
        <f>SUM(H2331:H2335)</f>
        <v>442.79062149376</v>
      </c>
      <c r="I2330" s="420">
        <f>VLOOKUP(D2330,'[2]ENSAIOS DE ORÇAMENTO'!$C$3:$L$79,8,FALSE)</f>
        <v>1636.8346789866664</v>
      </c>
      <c r="J2330" s="420">
        <f>IF(ISBLANK(I2330),"",SUM(H2330:I2330))</f>
        <v>2079.6253004804266</v>
      </c>
      <c r="K2330" s="421">
        <f t="shared" si="607"/>
        <v>2470.8000000000002</v>
      </c>
      <c r="L2330" s="647" t="s">
        <v>21</v>
      </c>
      <c r="M2330" s="576"/>
      <c r="N2330" s="576">
        <f t="shared" si="616"/>
        <v>0</v>
      </c>
      <c r="O2330" s="577">
        <f t="shared" si="610"/>
        <v>0</v>
      </c>
      <c r="P2330" s="578">
        <f t="shared" si="611"/>
        <v>0</v>
      </c>
      <c r="Q2330" s="765"/>
      <c r="R2330" s="576">
        <f>M2330</f>
        <v>0</v>
      </c>
      <c r="S2330" s="576">
        <f>N2330</f>
        <v>0</v>
      </c>
      <c r="T2330" s="577">
        <f t="shared" si="608"/>
        <v>0</v>
      </c>
      <c r="U2330" s="578">
        <f t="shared" si="609"/>
        <v>0</v>
      </c>
      <c r="V2330" s="579"/>
      <c r="W2330" s="566"/>
      <c r="X2330" s="586" t="str">
        <f t="shared" si="601"/>
        <v/>
      </c>
      <c r="Y2330" s="586" t="str">
        <f t="shared" si="612"/>
        <v/>
      </c>
      <c r="Z2330" s="586" t="str">
        <f t="shared" si="602"/>
        <v/>
      </c>
    </row>
    <row r="2331" spans="1:26" ht="12" hidden="1" thickBot="1" x14ac:dyDescent="0.25">
      <c r="A2331" s="567" t="s">
        <v>168</v>
      </c>
      <c r="B2331" s="644" t="s">
        <v>168</v>
      </c>
      <c r="C2331" s="645"/>
      <c r="D2331" s="422" t="s">
        <v>212</v>
      </c>
      <c r="E2331" s="423"/>
      <c r="F2331" s="424">
        <v>500</v>
      </c>
      <c r="G2331" s="425">
        <f>VLOOKUP(D2330,'[2]ENSAIOS DE ORÇAMENTO'!$C$3:$L$79,4,FALSE)</f>
        <v>0.33109503999999995</v>
      </c>
      <c r="H2331" s="649">
        <f>IF(F2331&lt;=30,(0.78*F2331+7.82)*G2331,((0.78*30+7.82)+0.78*(F2331-30))*G2331)</f>
        <v>131.71622881280001</v>
      </c>
      <c r="I2331" s="420"/>
      <c r="J2331" s="420"/>
      <c r="K2331" s="421">
        <f t="shared" si="607"/>
        <v>0</v>
      </c>
      <c r="L2331" s="647"/>
      <c r="M2331" s="723"/>
      <c r="N2331" s="576">
        <f t="shared" si="616"/>
        <v>0</v>
      </c>
      <c r="O2331" s="577">
        <f t="shared" si="610"/>
        <v>0</v>
      </c>
      <c r="P2331" s="578">
        <f t="shared" si="611"/>
        <v>0</v>
      </c>
      <c r="Q2331" s="765"/>
      <c r="R2331" s="723"/>
      <c r="S2331" s="723"/>
      <c r="T2331" s="577">
        <f t="shared" si="608"/>
        <v>0</v>
      </c>
      <c r="U2331" s="578">
        <f t="shared" si="609"/>
        <v>0</v>
      </c>
      <c r="V2331" s="579"/>
      <c r="W2331" s="566" t="str">
        <f>IF(U2330&gt;0,"xx",IF(P2330&gt;0,"xy",""))</f>
        <v/>
      </c>
      <c r="X2331" s="586" t="str">
        <f t="shared" si="601"/>
        <v/>
      </c>
      <c r="Y2331" s="586" t="str">
        <f t="shared" si="612"/>
        <v/>
      </c>
      <c r="Z2331" s="586" t="str">
        <f t="shared" si="602"/>
        <v/>
      </c>
    </row>
    <row r="2332" spans="1:26" ht="12" hidden="1" thickBot="1" x14ac:dyDescent="0.25">
      <c r="A2332" s="567" t="s">
        <v>168</v>
      </c>
      <c r="B2332" s="644" t="s">
        <v>168</v>
      </c>
      <c r="C2332" s="645"/>
      <c r="D2332" s="422" t="s">
        <v>248</v>
      </c>
      <c r="E2332" s="423"/>
      <c r="F2332" s="424">
        <v>180</v>
      </c>
      <c r="G2332" s="425">
        <f>VLOOKUP(D2330,'[2]ENSAIOS DE ORÇAMENTO'!$C$3:$L$79,5,FALSE)</f>
        <v>1.2541824319999999</v>
      </c>
      <c r="H2332" s="663">
        <f t="shared" ref="H2332:H2334" si="618">IF(F2332&lt;=30,(1.07*F2332+2.68)*G2332,((1.07*30+2.68)+1.07*(F2332-30))*G2332)</f>
        <v>244.91674532095999</v>
      </c>
      <c r="I2332" s="420"/>
      <c r="J2332" s="420"/>
      <c r="K2332" s="421">
        <f t="shared" si="607"/>
        <v>0</v>
      </c>
      <c r="L2332" s="647"/>
      <c r="M2332" s="723"/>
      <c r="N2332" s="576">
        <f t="shared" si="616"/>
        <v>0</v>
      </c>
      <c r="O2332" s="577">
        <f t="shared" si="610"/>
        <v>0</v>
      </c>
      <c r="P2332" s="578">
        <f t="shared" si="611"/>
        <v>0</v>
      </c>
      <c r="Q2332" s="765"/>
      <c r="R2332" s="723"/>
      <c r="S2332" s="723"/>
      <c r="T2332" s="577">
        <f t="shared" si="608"/>
        <v>0</v>
      </c>
      <c r="U2332" s="578">
        <f t="shared" si="609"/>
        <v>0</v>
      </c>
      <c r="V2332" s="579"/>
      <c r="W2332" s="566" t="str">
        <f>IF(U2330&gt;0,"xx",IF(P2330&gt;0,"xy",""))</f>
        <v/>
      </c>
      <c r="X2332" s="586" t="str">
        <f t="shared" si="601"/>
        <v/>
      </c>
      <c r="Y2332" s="586" t="str">
        <f t="shared" si="612"/>
        <v/>
      </c>
      <c r="Z2332" s="586" t="str">
        <f t="shared" si="602"/>
        <v/>
      </c>
    </row>
    <row r="2333" spans="1:26" ht="12" hidden="1" thickBot="1" x14ac:dyDescent="0.25">
      <c r="A2333" s="567" t="s">
        <v>168</v>
      </c>
      <c r="B2333" s="644" t="s">
        <v>168</v>
      </c>
      <c r="C2333" s="645"/>
      <c r="D2333" s="422" t="s">
        <v>252</v>
      </c>
      <c r="E2333" s="423"/>
      <c r="F2333" s="424">
        <v>20</v>
      </c>
      <c r="G2333" s="425">
        <f>VLOOKUP(D2330,'[2]ENSAIOS DE ORÇAMENTO'!$C$3:$L$79,6,FALSE)</f>
        <v>0.89487311999999997</v>
      </c>
      <c r="H2333" s="663">
        <f t="shared" si="618"/>
        <v>21.5485447296</v>
      </c>
      <c r="I2333" s="420"/>
      <c r="J2333" s="420"/>
      <c r="K2333" s="421">
        <f t="shared" si="607"/>
        <v>0</v>
      </c>
      <c r="L2333" s="647"/>
      <c r="M2333" s="723"/>
      <c r="N2333" s="576">
        <f t="shared" si="616"/>
        <v>0</v>
      </c>
      <c r="O2333" s="577">
        <f t="shared" si="610"/>
        <v>0</v>
      </c>
      <c r="P2333" s="578">
        <f t="shared" si="611"/>
        <v>0</v>
      </c>
      <c r="Q2333" s="765"/>
      <c r="R2333" s="723"/>
      <c r="S2333" s="723"/>
      <c r="T2333" s="577">
        <f t="shared" si="608"/>
        <v>0</v>
      </c>
      <c r="U2333" s="578">
        <f t="shared" si="609"/>
        <v>0</v>
      </c>
      <c r="V2333" s="579"/>
      <c r="W2333" s="566" t="str">
        <f>IF(U2330&gt;0,"xx",IF(P2330&gt;0,"xy",""))</f>
        <v/>
      </c>
      <c r="X2333" s="586" t="str">
        <f t="shared" si="601"/>
        <v/>
      </c>
      <c r="Y2333" s="586" t="str">
        <f t="shared" si="612"/>
        <v/>
      </c>
      <c r="Z2333" s="586" t="str">
        <f t="shared" si="602"/>
        <v/>
      </c>
    </row>
    <row r="2334" spans="1:26" ht="12" hidden="1" thickBot="1" x14ac:dyDescent="0.25">
      <c r="A2334" s="567" t="s">
        <v>168</v>
      </c>
      <c r="B2334" s="644" t="s">
        <v>168</v>
      </c>
      <c r="C2334" s="645"/>
      <c r="D2334" s="422" t="s">
        <v>400</v>
      </c>
      <c r="E2334" s="423"/>
      <c r="F2334" s="424">
        <v>30</v>
      </c>
      <c r="G2334" s="425">
        <f>VLOOKUP(D2330,'[2]ENSAIOS DE ORÇAMENTO'!$C$3:$L$79,3,FALSE)</f>
        <v>0.92856959999999988</v>
      </c>
      <c r="H2334" s="663">
        <f t="shared" si="618"/>
        <v>32.295650687999995</v>
      </c>
      <c r="I2334" s="420"/>
      <c r="J2334" s="420"/>
      <c r="K2334" s="421">
        <f t="shared" si="607"/>
        <v>0</v>
      </c>
      <c r="L2334" s="647"/>
      <c r="M2334" s="723"/>
      <c r="N2334" s="576">
        <f t="shared" si="616"/>
        <v>0</v>
      </c>
      <c r="O2334" s="577">
        <f t="shared" si="610"/>
        <v>0</v>
      </c>
      <c r="P2334" s="578">
        <f t="shared" si="611"/>
        <v>0</v>
      </c>
      <c r="Q2334" s="765"/>
      <c r="R2334" s="723"/>
      <c r="S2334" s="723"/>
      <c r="T2334" s="577">
        <f t="shared" si="608"/>
        <v>0</v>
      </c>
      <c r="U2334" s="578">
        <f t="shared" si="609"/>
        <v>0</v>
      </c>
      <c r="V2334" s="579"/>
      <c r="W2334" s="566" t="str">
        <f>IF(U2330&gt;0,"xx",IF(P2330&gt;0,"xy",""))</f>
        <v/>
      </c>
      <c r="X2334" s="586" t="str">
        <f t="shared" si="601"/>
        <v/>
      </c>
      <c r="Y2334" s="586" t="str">
        <f t="shared" si="612"/>
        <v/>
      </c>
      <c r="Z2334" s="586" t="str">
        <f t="shared" si="602"/>
        <v/>
      </c>
    </row>
    <row r="2335" spans="1:26" ht="12" hidden="1" thickBot="1" x14ac:dyDescent="0.25">
      <c r="A2335" s="567" t="s">
        <v>168</v>
      </c>
      <c r="B2335" s="644" t="s">
        <v>168</v>
      </c>
      <c r="C2335" s="645"/>
      <c r="D2335" s="422" t="s">
        <v>401</v>
      </c>
      <c r="E2335" s="423"/>
      <c r="F2335" s="424">
        <v>500</v>
      </c>
      <c r="G2335" s="425">
        <f>VLOOKUP(D2330,'[2]ENSAIOS DE ORÇAMENTO'!$C$3:$L$79,10,FALSE)</f>
        <v>3.0952319999999998E-2</v>
      </c>
      <c r="H2335" s="649">
        <f>IF(F2335&lt;=30,(0.78*F2335+7.82)*G2335,((0.78*30+7.82)+0.78*(F2335-30))*G2335)</f>
        <v>12.3134519424</v>
      </c>
      <c r="I2335" s="420"/>
      <c r="J2335" s="420"/>
      <c r="K2335" s="421">
        <f t="shared" si="607"/>
        <v>0</v>
      </c>
      <c r="L2335" s="647"/>
      <c r="M2335" s="723"/>
      <c r="N2335" s="576">
        <f t="shared" si="616"/>
        <v>0</v>
      </c>
      <c r="O2335" s="577">
        <f t="shared" si="610"/>
        <v>0</v>
      </c>
      <c r="P2335" s="578">
        <f t="shared" si="611"/>
        <v>0</v>
      </c>
      <c r="Q2335" s="765"/>
      <c r="R2335" s="723"/>
      <c r="S2335" s="723"/>
      <c r="T2335" s="577">
        <f t="shared" si="608"/>
        <v>0</v>
      </c>
      <c r="U2335" s="578">
        <f t="shared" si="609"/>
        <v>0</v>
      </c>
      <c r="V2335" s="579"/>
      <c r="W2335" s="566" t="str">
        <f>IF(U2330&gt;0,"xx",IF(P2330&gt;0,"xy",""))</f>
        <v/>
      </c>
      <c r="X2335" s="586" t="str">
        <f t="shared" si="601"/>
        <v/>
      </c>
      <c r="Y2335" s="586" t="str">
        <f t="shared" si="612"/>
        <v/>
      </c>
      <c r="Z2335" s="586" t="str">
        <f t="shared" si="602"/>
        <v/>
      </c>
    </row>
    <row r="2336" spans="1:26" ht="12" hidden="1" thickBot="1" x14ac:dyDescent="0.25">
      <c r="A2336" s="567" t="s">
        <v>39</v>
      </c>
      <c r="B2336" s="644" t="s">
        <v>39</v>
      </c>
      <c r="C2336" s="645" t="s">
        <v>206</v>
      </c>
      <c r="D2336" s="422" t="s">
        <v>75</v>
      </c>
      <c r="E2336" s="423"/>
      <c r="F2336" s="424"/>
      <c r="G2336" s="425"/>
      <c r="H2336" s="651">
        <f>SUM(H2337:H2341)</f>
        <v>611.13990876224</v>
      </c>
      <c r="I2336" s="420">
        <f>VLOOKUP(D2336,'[2]ENSAIOS DE ORÇAMENTO'!$C$3:$L$79,8,FALSE)</f>
        <v>2254.8232410133337</v>
      </c>
      <c r="J2336" s="420">
        <f>IF(ISBLANK(I2336),"",SUM(H2336:I2336))</f>
        <v>2865.9631497755736</v>
      </c>
      <c r="K2336" s="421">
        <f t="shared" si="607"/>
        <v>3405.05</v>
      </c>
      <c r="L2336" s="647" t="s">
        <v>21</v>
      </c>
      <c r="M2336" s="576"/>
      <c r="N2336" s="576">
        <f t="shared" si="616"/>
        <v>0</v>
      </c>
      <c r="O2336" s="577">
        <f t="shared" si="610"/>
        <v>0</v>
      </c>
      <c r="P2336" s="578">
        <f t="shared" si="611"/>
        <v>0</v>
      </c>
      <c r="Q2336" s="765"/>
      <c r="R2336" s="576">
        <f>M2336</f>
        <v>0</v>
      </c>
      <c r="S2336" s="576">
        <f>N2336</f>
        <v>0</v>
      </c>
      <c r="T2336" s="577">
        <f t="shared" si="608"/>
        <v>0</v>
      </c>
      <c r="U2336" s="578">
        <f t="shared" si="609"/>
        <v>0</v>
      </c>
      <c r="V2336" s="579"/>
      <c r="W2336" s="566"/>
      <c r="X2336" s="586" t="str">
        <f t="shared" si="601"/>
        <v/>
      </c>
      <c r="Y2336" s="586" t="str">
        <f t="shared" si="612"/>
        <v/>
      </c>
      <c r="Z2336" s="586" t="str">
        <f t="shared" si="602"/>
        <v/>
      </c>
    </row>
    <row r="2337" spans="1:26" ht="12" hidden="1" thickBot="1" x14ac:dyDescent="0.25">
      <c r="A2337" s="567" t="s">
        <v>168</v>
      </c>
      <c r="B2337" s="644" t="s">
        <v>168</v>
      </c>
      <c r="C2337" s="645"/>
      <c r="D2337" s="422" t="s">
        <v>212</v>
      </c>
      <c r="E2337" s="423"/>
      <c r="F2337" s="424">
        <v>500</v>
      </c>
      <c r="G2337" s="425">
        <f>VLOOKUP(D2336,'[2]ENSAIOS DE ORÇAMENTO'!$C$3:$L$79,4,FALSE)</f>
        <v>0.45250179200000007</v>
      </c>
      <c r="H2337" s="649">
        <f>IF(F2337&lt;=30,(0.78*F2337+7.82)*G2337,((0.78*30+7.82)+0.78*(F2337-30))*G2337)</f>
        <v>180.01426289344005</v>
      </c>
      <c r="I2337" s="420"/>
      <c r="J2337" s="420"/>
      <c r="K2337" s="421">
        <f t="shared" si="607"/>
        <v>0</v>
      </c>
      <c r="L2337" s="647"/>
      <c r="M2337" s="723"/>
      <c r="N2337" s="576">
        <f t="shared" si="616"/>
        <v>0</v>
      </c>
      <c r="O2337" s="577">
        <f t="shared" si="610"/>
        <v>0</v>
      </c>
      <c r="P2337" s="578">
        <f t="shared" si="611"/>
        <v>0</v>
      </c>
      <c r="Q2337" s="765"/>
      <c r="R2337" s="723"/>
      <c r="S2337" s="723"/>
      <c r="T2337" s="577">
        <f t="shared" si="608"/>
        <v>0</v>
      </c>
      <c r="U2337" s="578">
        <f t="shared" si="609"/>
        <v>0</v>
      </c>
      <c r="V2337" s="579"/>
      <c r="W2337" s="566" t="str">
        <f>IF(U2336&gt;0,"xx",IF(P2336&gt;0,"xy",""))</f>
        <v/>
      </c>
      <c r="X2337" s="586" t="str">
        <f t="shared" si="601"/>
        <v/>
      </c>
      <c r="Y2337" s="586" t="str">
        <f t="shared" si="612"/>
        <v/>
      </c>
      <c r="Z2337" s="586" t="str">
        <f t="shared" si="602"/>
        <v/>
      </c>
    </row>
    <row r="2338" spans="1:26" ht="12" hidden="1" thickBot="1" x14ac:dyDescent="0.25">
      <c r="A2338" s="567" t="s">
        <v>168</v>
      </c>
      <c r="B2338" s="644" t="s">
        <v>168</v>
      </c>
      <c r="C2338" s="645"/>
      <c r="D2338" s="422" t="s">
        <v>248</v>
      </c>
      <c r="E2338" s="423"/>
      <c r="F2338" s="424">
        <v>180</v>
      </c>
      <c r="G2338" s="425">
        <f>VLOOKUP(D2336,'[2]ENSAIOS DE ORÇAMENTO'!$C$3:$L$79,5,FALSE)</f>
        <v>1.7334338080000002</v>
      </c>
      <c r="H2338" s="663">
        <f t="shared" ref="H2338:H2340" si="619">IF(F2338&lt;=30,(1.07*F2338+2.68)*G2338,((1.07*30+2.68)+1.07*(F2338-30))*G2338)</f>
        <v>338.50495402624006</v>
      </c>
      <c r="I2338" s="420"/>
      <c r="J2338" s="420"/>
      <c r="K2338" s="421">
        <f t="shared" si="607"/>
        <v>0</v>
      </c>
      <c r="L2338" s="647"/>
      <c r="M2338" s="723"/>
      <c r="N2338" s="576">
        <f t="shared" si="616"/>
        <v>0</v>
      </c>
      <c r="O2338" s="577">
        <f t="shared" si="610"/>
        <v>0</v>
      </c>
      <c r="P2338" s="578">
        <f t="shared" si="611"/>
        <v>0</v>
      </c>
      <c r="Q2338" s="765"/>
      <c r="R2338" s="723"/>
      <c r="S2338" s="723"/>
      <c r="T2338" s="577">
        <f t="shared" si="608"/>
        <v>0</v>
      </c>
      <c r="U2338" s="578">
        <f t="shared" si="609"/>
        <v>0</v>
      </c>
      <c r="V2338" s="579"/>
      <c r="W2338" s="566" t="str">
        <f>IF(U2336&gt;0,"xx",IF(P2336&gt;0,"xy",""))</f>
        <v/>
      </c>
      <c r="X2338" s="586" t="str">
        <f t="shared" si="601"/>
        <v/>
      </c>
      <c r="Y2338" s="586" t="str">
        <f t="shared" si="612"/>
        <v/>
      </c>
      <c r="Z2338" s="586" t="str">
        <f t="shared" si="602"/>
        <v/>
      </c>
    </row>
    <row r="2339" spans="1:26" ht="12" hidden="1" thickBot="1" x14ac:dyDescent="0.25">
      <c r="A2339" s="567" t="s">
        <v>168</v>
      </c>
      <c r="B2339" s="644" t="s">
        <v>168</v>
      </c>
      <c r="C2339" s="645"/>
      <c r="D2339" s="422" t="s">
        <v>252</v>
      </c>
      <c r="E2339" s="423"/>
      <c r="F2339" s="424">
        <v>20</v>
      </c>
      <c r="G2339" s="425">
        <f>VLOOKUP(D2336,'[2]ENSAIOS DE ORÇAMENTO'!$C$3:$L$79,6,FALSE)</f>
        <v>1.2150148800000002</v>
      </c>
      <c r="H2339" s="663">
        <f t="shared" si="619"/>
        <v>29.257558310400007</v>
      </c>
      <c r="I2339" s="420"/>
      <c r="J2339" s="420"/>
      <c r="K2339" s="421">
        <f t="shared" si="607"/>
        <v>0</v>
      </c>
      <c r="L2339" s="647"/>
      <c r="M2339" s="723"/>
      <c r="N2339" s="576">
        <f t="shared" si="616"/>
        <v>0</v>
      </c>
      <c r="O2339" s="577">
        <f t="shared" si="610"/>
        <v>0</v>
      </c>
      <c r="P2339" s="578">
        <f t="shared" si="611"/>
        <v>0</v>
      </c>
      <c r="Q2339" s="765"/>
      <c r="R2339" s="723"/>
      <c r="S2339" s="723"/>
      <c r="T2339" s="577">
        <f t="shared" si="608"/>
        <v>0</v>
      </c>
      <c r="U2339" s="578">
        <f t="shared" si="609"/>
        <v>0</v>
      </c>
      <c r="V2339" s="579"/>
      <c r="W2339" s="566" t="str">
        <f>IF(U2336&gt;0,"xx",IF(P2336&gt;0,"xy",""))</f>
        <v/>
      </c>
      <c r="X2339" s="586" t="str">
        <f t="shared" si="601"/>
        <v/>
      </c>
      <c r="Y2339" s="586" t="str">
        <f t="shared" si="612"/>
        <v/>
      </c>
      <c r="Z2339" s="586" t="str">
        <f t="shared" si="602"/>
        <v/>
      </c>
    </row>
    <row r="2340" spans="1:26" ht="12" hidden="1" thickBot="1" x14ac:dyDescent="0.25">
      <c r="A2340" s="567" t="s">
        <v>168</v>
      </c>
      <c r="B2340" s="644" t="s">
        <v>168</v>
      </c>
      <c r="C2340" s="645"/>
      <c r="D2340" s="422" t="s">
        <v>400</v>
      </c>
      <c r="E2340" s="423"/>
      <c r="F2340" s="424">
        <v>30</v>
      </c>
      <c r="G2340" s="425">
        <f>VLOOKUP(D2336,'[2]ENSAIOS DE ORÇAMENTO'!$C$3:$L$79,3,FALSE)</f>
        <v>1.3189478400000001</v>
      </c>
      <c r="H2340" s="663">
        <f t="shared" si="619"/>
        <v>45.873005875200008</v>
      </c>
      <c r="I2340" s="420"/>
      <c r="J2340" s="420"/>
      <c r="K2340" s="421">
        <f t="shared" si="607"/>
        <v>0</v>
      </c>
      <c r="L2340" s="647"/>
      <c r="M2340" s="723"/>
      <c r="N2340" s="576">
        <f t="shared" si="616"/>
        <v>0</v>
      </c>
      <c r="O2340" s="577">
        <f t="shared" si="610"/>
        <v>0</v>
      </c>
      <c r="P2340" s="578">
        <f t="shared" si="611"/>
        <v>0</v>
      </c>
      <c r="Q2340" s="765"/>
      <c r="R2340" s="723"/>
      <c r="S2340" s="723"/>
      <c r="T2340" s="577">
        <f t="shared" si="608"/>
        <v>0</v>
      </c>
      <c r="U2340" s="578">
        <f t="shared" si="609"/>
        <v>0</v>
      </c>
      <c r="V2340" s="579"/>
      <c r="W2340" s="566" t="str">
        <f>IF(U2336&gt;0,"xx",IF(P2336&gt;0,"xy",""))</f>
        <v/>
      </c>
      <c r="X2340" s="586" t="str">
        <f t="shared" si="601"/>
        <v/>
      </c>
      <c r="Y2340" s="586" t="str">
        <f t="shared" si="612"/>
        <v/>
      </c>
      <c r="Z2340" s="586" t="str">
        <f t="shared" si="602"/>
        <v/>
      </c>
    </row>
    <row r="2341" spans="1:26" ht="12" hidden="1" thickBot="1" x14ac:dyDescent="0.25">
      <c r="A2341" s="567" t="s">
        <v>168</v>
      </c>
      <c r="B2341" s="644" t="s">
        <v>168</v>
      </c>
      <c r="C2341" s="645"/>
      <c r="D2341" s="422" t="s">
        <v>401</v>
      </c>
      <c r="E2341" s="423"/>
      <c r="F2341" s="424">
        <v>500</v>
      </c>
      <c r="G2341" s="425">
        <f>VLOOKUP(D2336,'[2]ENSAIOS DE ORÇAMENTO'!$C$3:$L$79,10,FALSE)</f>
        <v>4.3964928000000007E-2</v>
      </c>
      <c r="H2341" s="649">
        <f>IF(F2341&lt;=30,(0.78*F2341+7.82)*G2341,((0.78*30+7.82)+0.78*(F2341-30))*G2341)</f>
        <v>17.490127656960006</v>
      </c>
      <c r="I2341" s="420"/>
      <c r="J2341" s="420"/>
      <c r="K2341" s="421">
        <f t="shared" si="607"/>
        <v>0</v>
      </c>
      <c r="L2341" s="647"/>
      <c r="M2341" s="723"/>
      <c r="N2341" s="576">
        <f t="shared" si="616"/>
        <v>0</v>
      </c>
      <c r="O2341" s="577">
        <f t="shared" si="610"/>
        <v>0</v>
      </c>
      <c r="P2341" s="578">
        <f t="shared" si="611"/>
        <v>0</v>
      </c>
      <c r="Q2341" s="765"/>
      <c r="R2341" s="723"/>
      <c r="S2341" s="723"/>
      <c r="T2341" s="577">
        <f t="shared" si="608"/>
        <v>0</v>
      </c>
      <c r="U2341" s="578">
        <f t="shared" si="609"/>
        <v>0</v>
      </c>
      <c r="V2341" s="579"/>
      <c r="W2341" s="566" t="str">
        <f>IF(U2336&gt;0,"xx",IF(P2336&gt;0,"xy",""))</f>
        <v/>
      </c>
      <c r="X2341" s="586" t="str">
        <f t="shared" si="601"/>
        <v/>
      </c>
      <c r="Y2341" s="586" t="str">
        <f t="shared" si="612"/>
        <v/>
      </c>
      <c r="Z2341" s="586" t="str">
        <f t="shared" si="602"/>
        <v/>
      </c>
    </row>
    <row r="2342" spans="1:26" ht="12" hidden="1" thickBot="1" x14ac:dyDescent="0.25">
      <c r="A2342" s="567" t="s">
        <v>126</v>
      </c>
      <c r="B2342" s="644" t="s">
        <v>126</v>
      </c>
      <c r="C2342" s="645" t="s">
        <v>206</v>
      </c>
      <c r="D2342" s="422" t="s">
        <v>410</v>
      </c>
      <c r="E2342" s="423"/>
      <c r="F2342" s="424"/>
      <c r="G2342" s="425"/>
      <c r="H2342" s="651">
        <f>SUM(H2343:H2347)</f>
        <v>142.4370791808</v>
      </c>
      <c r="I2342" s="420">
        <f>VLOOKUP(D2342,'[2]ENSAIOS DE ORÇAMENTO'!$C$3:$L$79,8,FALSE)</f>
        <v>429.51122421333332</v>
      </c>
      <c r="J2342" s="420">
        <f>IF(ISBLANK(I2342),"",SUM(H2342:I2342))</f>
        <v>571.94830339413329</v>
      </c>
      <c r="K2342" s="421">
        <f t="shared" si="607"/>
        <v>679.53</v>
      </c>
      <c r="L2342" s="647" t="s">
        <v>21</v>
      </c>
      <c r="M2342" s="576"/>
      <c r="N2342" s="576">
        <f t="shared" si="616"/>
        <v>0</v>
      </c>
      <c r="O2342" s="577">
        <f t="shared" si="610"/>
        <v>0</v>
      </c>
      <c r="P2342" s="578">
        <f t="shared" si="611"/>
        <v>0</v>
      </c>
      <c r="Q2342" s="765"/>
      <c r="R2342" s="576">
        <f>M2342</f>
        <v>0</v>
      </c>
      <c r="S2342" s="576">
        <f>N2342</f>
        <v>0</v>
      </c>
      <c r="T2342" s="577">
        <f t="shared" si="608"/>
        <v>0</v>
      </c>
      <c r="U2342" s="578">
        <f t="shared" si="609"/>
        <v>0</v>
      </c>
      <c r="V2342" s="579"/>
      <c r="W2342" s="566"/>
      <c r="X2342" s="586" t="str">
        <f t="shared" si="601"/>
        <v/>
      </c>
      <c r="Y2342" s="586" t="str">
        <f t="shared" si="612"/>
        <v/>
      </c>
      <c r="Z2342" s="586" t="str">
        <f t="shared" si="602"/>
        <v/>
      </c>
    </row>
    <row r="2343" spans="1:26" ht="12" hidden="1" thickBot="1" x14ac:dyDescent="0.25">
      <c r="A2343" s="567" t="s">
        <v>168</v>
      </c>
      <c r="B2343" s="644" t="s">
        <v>168</v>
      </c>
      <c r="C2343" s="645"/>
      <c r="D2343" s="422" t="s">
        <v>212</v>
      </c>
      <c r="E2343" s="423"/>
      <c r="F2343" s="424">
        <v>500</v>
      </c>
      <c r="G2343" s="425">
        <f>VLOOKUP(D2342,'[2]ENSAIOS DE ORÇAMENTO'!$C$3:$L$79,4,FALSE)</f>
        <v>0.1320288</v>
      </c>
      <c r="H2343" s="649">
        <f>IF(F2343&lt;=30,(0.78*F2343+7.82)*G2343,((0.78*30+7.82)+0.78*(F2343-30))*G2343)</f>
        <v>52.523697216000009</v>
      </c>
      <c r="I2343" s="420"/>
      <c r="J2343" s="420"/>
      <c r="K2343" s="421">
        <f t="shared" si="607"/>
        <v>0</v>
      </c>
      <c r="L2343" s="647"/>
      <c r="M2343" s="723"/>
      <c r="N2343" s="576">
        <f t="shared" si="616"/>
        <v>0</v>
      </c>
      <c r="O2343" s="577">
        <f t="shared" si="610"/>
        <v>0</v>
      </c>
      <c r="P2343" s="578">
        <f t="shared" si="611"/>
        <v>0</v>
      </c>
      <c r="Q2343" s="765"/>
      <c r="R2343" s="723"/>
      <c r="S2343" s="723"/>
      <c r="T2343" s="577">
        <f t="shared" si="608"/>
        <v>0</v>
      </c>
      <c r="U2343" s="578">
        <f t="shared" si="609"/>
        <v>0</v>
      </c>
      <c r="V2343" s="579"/>
      <c r="W2343" s="566" t="str">
        <f>IF(U2342&gt;0,"xx",IF(P2342&gt;0,"xy",""))</f>
        <v/>
      </c>
      <c r="X2343" s="586" t="str">
        <f t="shared" si="601"/>
        <v/>
      </c>
      <c r="Y2343" s="586" t="str">
        <f t="shared" si="612"/>
        <v/>
      </c>
      <c r="Z2343" s="586" t="str">
        <f t="shared" si="602"/>
        <v/>
      </c>
    </row>
    <row r="2344" spans="1:26" ht="12" hidden="1" thickBot="1" x14ac:dyDescent="0.25">
      <c r="A2344" s="567" t="s">
        <v>168</v>
      </c>
      <c r="B2344" s="644" t="s">
        <v>168</v>
      </c>
      <c r="C2344" s="645"/>
      <c r="D2344" s="422" t="s">
        <v>248</v>
      </c>
      <c r="E2344" s="423"/>
      <c r="F2344" s="424">
        <v>180</v>
      </c>
      <c r="G2344" s="425">
        <f>VLOOKUP(D2342,'[2]ENSAIOS DE ORÇAMENTO'!$C$3:$L$79,5,FALSE)</f>
        <v>0.40193856</v>
      </c>
      <c r="H2344" s="663">
        <f t="shared" ref="H2344:H2346" si="620">IF(F2344&lt;=30,(1.07*F2344+2.68)*G2344,((1.07*30+2.68)+1.07*(F2344-30))*G2344)</f>
        <v>78.490561996799997</v>
      </c>
      <c r="I2344" s="420"/>
      <c r="J2344" s="420"/>
      <c r="K2344" s="421">
        <f t="shared" si="607"/>
        <v>0</v>
      </c>
      <c r="L2344" s="647"/>
      <c r="M2344" s="723"/>
      <c r="N2344" s="576">
        <f t="shared" si="616"/>
        <v>0</v>
      </c>
      <c r="O2344" s="577">
        <f t="shared" si="610"/>
        <v>0</v>
      </c>
      <c r="P2344" s="578">
        <f t="shared" si="611"/>
        <v>0</v>
      </c>
      <c r="Q2344" s="765"/>
      <c r="R2344" s="723"/>
      <c r="S2344" s="723"/>
      <c r="T2344" s="577">
        <f t="shared" si="608"/>
        <v>0</v>
      </c>
      <c r="U2344" s="578">
        <f t="shared" si="609"/>
        <v>0</v>
      </c>
      <c r="V2344" s="579"/>
      <c r="W2344" s="566" t="str">
        <f>IF(U2342&gt;0,"xx",IF(P2342&gt;0,"xy",""))</f>
        <v/>
      </c>
      <c r="X2344" s="586" t="str">
        <f t="shared" si="601"/>
        <v/>
      </c>
      <c r="Y2344" s="586" t="str">
        <f t="shared" si="612"/>
        <v/>
      </c>
      <c r="Z2344" s="586" t="str">
        <f t="shared" ref="Z2344:Z2407" si="621">IF(W2344="X","x",IF(U2344&gt;0,"x",""))</f>
        <v/>
      </c>
    </row>
    <row r="2345" spans="1:26" ht="12" hidden="1" thickBot="1" x14ac:dyDescent="0.25">
      <c r="A2345" s="567" t="s">
        <v>168</v>
      </c>
      <c r="B2345" s="644" t="s">
        <v>168</v>
      </c>
      <c r="C2345" s="645"/>
      <c r="D2345" s="422" t="s">
        <v>252</v>
      </c>
      <c r="E2345" s="423"/>
      <c r="F2345" s="424">
        <v>20</v>
      </c>
      <c r="G2345" s="425">
        <f>VLOOKUP(D2342,'[2]ENSAIOS DE ORÇAMENTO'!$C$3:$L$79,6,FALSE)</f>
        <v>0.47436960000000006</v>
      </c>
      <c r="H2345" s="663">
        <f t="shared" si="620"/>
        <v>11.422819968000002</v>
      </c>
      <c r="I2345" s="420"/>
      <c r="J2345" s="420"/>
      <c r="K2345" s="421">
        <f t="shared" si="607"/>
        <v>0</v>
      </c>
      <c r="L2345" s="647"/>
      <c r="M2345" s="723"/>
      <c r="N2345" s="576">
        <f t="shared" si="616"/>
        <v>0</v>
      </c>
      <c r="O2345" s="577">
        <f t="shared" si="610"/>
        <v>0</v>
      </c>
      <c r="P2345" s="578">
        <f t="shared" si="611"/>
        <v>0</v>
      </c>
      <c r="Q2345" s="765"/>
      <c r="R2345" s="723"/>
      <c r="S2345" s="723"/>
      <c r="T2345" s="577">
        <f t="shared" si="608"/>
        <v>0</v>
      </c>
      <c r="U2345" s="578">
        <f t="shared" si="609"/>
        <v>0</v>
      </c>
      <c r="V2345" s="579"/>
      <c r="W2345" s="566" t="str">
        <f>IF(U2342&gt;0,"xx",IF(P2342&gt;0,"xy",""))</f>
        <v/>
      </c>
      <c r="X2345" s="586" t="str">
        <f t="shared" si="601"/>
        <v/>
      </c>
      <c r="Y2345" s="586" t="str">
        <f t="shared" si="612"/>
        <v/>
      </c>
      <c r="Z2345" s="586" t="str">
        <f t="shared" si="621"/>
        <v/>
      </c>
    </row>
    <row r="2346" spans="1:26" ht="12" hidden="1" thickBot="1" x14ac:dyDescent="0.25">
      <c r="A2346" s="567" t="s">
        <v>168</v>
      </c>
      <c r="B2346" s="644" t="s">
        <v>168</v>
      </c>
      <c r="C2346" s="645"/>
      <c r="D2346" s="422" t="s">
        <v>400</v>
      </c>
      <c r="E2346" s="423"/>
      <c r="F2346" s="424">
        <v>30</v>
      </c>
      <c r="G2346" s="425">
        <f>VLOOKUP(D2342,'[2]ENSAIOS DE ORÇAMENTO'!$C$3:$L$79,3,FALSE)</f>
        <v>0</v>
      </c>
      <c r="H2346" s="663">
        <f t="shared" si="620"/>
        <v>0</v>
      </c>
      <c r="I2346" s="420"/>
      <c r="J2346" s="420"/>
      <c r="K2346" s="421">
        <f t="shared" si="607"/>
        <v>0</v>
      </c>
      <c r="L2346" s="647"/>
      <c r="M2346" s="723"/>
      <c r="N2346" s="576">
        <f t="shared" si="616"/>
        <v>0</v>
      </c>
      <c r="O2346" s="577">
        <f t="shared" si="610"/>
        <v>0</v>
      </c>
      <c r="P2346" s="578">
        <f t="shared" si="611"/>
        <v>0</v>
      </c>
      <c r="Q2346" s="765"/>
      <c r="R2346" s="723"/>
      <c r="S2346" s="723"/>
      <c r="T2346" s="577">
        <f t="shared" si="608"/>
        <v>0</v>
      </c>
      <c r="U2346" s="578">
        <f t="shared" si="609"/>
        <v>0</v>
      </c>
      <c r="V2346" s="579"/>
      <c r="W2346" s="566" t="str">
        <f>IF(U2342&gt;0,"xx",IF(P2342&gt;0,"xy",""))</f>
        <v/>
      </c>
      <c r="X2346" s="586" t="str">
        <f t="shared" si="601"/>
        <v/>
      </c>
      <c r="Y2346" s="586" t="str">
        <f t="shared" si="612"/>
        <v/>
      </c>
      <c r="Z2346" s="586" t="str">
        <f t="shared" si="621"/>
        <v/>
      </c>
    </row>
    <row r="2347" spans="1:26" ht="12" hidden="1" thickBot="1" x14ac:dyDescent="0.25">
      <c r="A2347" s="567" t="s">
        <v>168</v>
      </c>
      <c r="B2347" s="644" t="s">
        <v>168</v>
      </c>
      <c r="C2347" s="645"/>
      <c r="D2347" s="422" t="s">
        <v>401</v>
      </c>
      <c r="E2347" s="423"/>
      <c r="F2347" s="424">
        <v>500</v>
      </c>
      <c r="G2347" s="425">
        <f>VLOOKUP(D2342,'[2]ENSAIOS DE ORÇAMENTO'!$C$3:$L$79,10,FALSE)</f>
        <v>0</v>
      </c>
      <c r="H2347" s="649">
        <f>IF(F2347&lt;=30,(0.78*F2347+7.82)*G2347,((0.78*30+7.82)+0.78*(F2347-30))*G2347)</f>
        <v>0</v>
      </c>
      <c r="I2347" s="420"/>
      <c r="J2347" s="420"/>
      <c r="K2347" s="421">
        <f t="shared" si="607"/>
        <v>0</v>
      </c>
      <c r="L2347" s="647"/>
      <c r="M2347" s="723"/>
      <c r="N2347" s="576">
        <f t="shared" si="616"/>
        <v>0</v>
      </c>
      <c r="O2347" s="577">
        <f t="shared" si="610"/>
        <v>0</v>
      </c>
      <c r="P2347" s="578">
        <f t="shared" si="611"/>
        <v>0</v>
      </c>
      <c r="Q2347" s="765"/>
      <c r="R2347" s="723"/>
      <c r="S2347" s="723"/>
      <c r="T2347" s="577">
        <f t="shared" si="608"/>
        <v>0</v>
      </c>
      <c r="U2347" s="578">
        <f t="shared" si="609"/>
        <v>0</v>
      </c>
      <c r="V2347" s="579"/>
      <c r="W2347" s="566" t="str">
        <f>IF(U2342&gt;0,"xx",IF(P2342&gt;0,"xy",""))</f>
        <v/>
      </c>
      <c r="X2347" s="586" t="str">
        <f t="shared" ref="X2347:X2410" si="622">IF(W2347="X","x",IF(W2347="xx","x",IF(W2347="xy","x",IF(W2347="y","x",IF(OR(P2347&gt;0,U2347&gt;0),"x","")))))</f>
        <v/>
      </c>
      <c r="Y2347" s="586" t="str">
        <f t="shared" si="612"/>
        <v/>
      </c>
      <c r="Z2347" s="586" t="str">
        <f t="shared" si="621"/>
        <v/>
      </c>
    </row>
    <row r="2348" spans="1:26" ht="12" hidden="1" thickBot="1" x14ac:dyDescent="0.25">
      <c r="A2348" s="567" t="s">
        <v>127</v>
      </c>
      <c r="B2348" s="644" t="s">
        <v>127</v>
      </c>
      <c r="C2348" s="645" t="s">
        <v>206</v>
      </c>
      <c r="D2348" s="422" t="s">
        <v>411</v>
      </c>
      <c r="E2348" s="423"/>
      <c r="F2348" s="424"/>
      <c r="G2348" s="425"/>
      <c r="H2348" s="651">
        <f>SUM(H2349:H2353)</f>
        <v>216.58095652680004</v>
      </c>
      <c r="I2348" s="420">
        <f>VLOOKUP(D2348,'[2]ENSAIOS DE ORÇAMENTO'!$C$3:$L$79,8,FALSE)</f>
        <v>657.68880203333333</v>
      </c>
      <c r="J2348" s="420">
        <f>IF(ISBLANK(I2348),"",SUM(H2348:I2348))</f>
        <v>874.26975856013337</v>
      </c>
      <c r="K2348" s="421">
        <f t="shared" si="607"/>
        <v>1038.72</v>
      </c>
      <c r="L2348" s="647" t="s">
        <v>21</v>
      </c>
      <c r="M2348" s="576"/>
      <c r="N2348" s="576">
        <f t="shared" si="616"/>
        <v>0</v>
      </c>
      <c r="O2348" s="577">
        <f t="shared" si="610"/>
        <v>0</v>
      </c>
      <c r="P2348" s="578">
        <f t="shared" si="611"/>
        <v>0</v>
      </c>
      <c r="Q2348" s="765"/>
      <c r="R2348" s="576">
        <f>M2348</f>
        <v>0</v>
      </c>
      <c r="S2348" s="576">
        <f>N2348</f>
        <v>0</v>
      </c>
      <c r="T2348" s="577">
        <f t="shared" si="608"/>
        <v>0</v>
      </c>
      <c r="U2348" s="578">
        <f t="shared" si="609"/>
        <v>0</v>
      </c>
      <c r="V2348" s="579"/>
      <c r="W2348" s="566"/>
      <c r="X2348" s="586" t="str">
        <f t="shared" si="622"/>
        <v/>
      </c>
      <c r="Y2348" s="586" t="str">
        <f t="shared" si="612"/>
        <v/>
      </c>
      <c r="Z2348" s="586" t="str">
        <f t="shared" si="621"/>
        <v/>
      </c>
    </row>
    <row r="2349" spans="1:26" ht="12" hidden="1" thickBot="1" x14ac:dyDescent="0.25">
      <c r="A2349" s="567" t="s">
        <v>168</v>
      </c>
      <c r="B2349" s="644" t="s">
        <v>168</v>
      </c>
      <c r="C2349" s="645"/>
      <c r="D2349" s="422" t="s">
        <v>212</v>
      </c>
      <c r="E2349" s="423"/>
      <c r="F2349" s="424">
        <v>500</v>
      </c>
      <c r="G2349" s="425">
        <f>VLOOKUP(D2348,'[2]ENSAIOS DE ORÇAMENTO'!$C$3:$L$79,4,FALSE)</f>
        <v>0.20444730000000003</v>
      </c>
      <c r="H2349" s="649">
        <f>IF(F2349&lt;=30,(0.78*F2349+7.82)*G2349,((0.78*30+7.82)+0.78*(F2349-30))*G2349)</f>
        <v>81.333224886000025</v>
      </c>
      <c r="I2349" s="420"/>
      <c r="J2349" s="420"/>
      <c r="K2349" s="421">
        <f t="shared" si="607"/>
        <v>0</v>
      </c>
      <c r="L2349" s="647"/>
      <c r="M2349" s="723"/>
      <c r="N2349" s="576">
        <f t="shared" si="616"/>
        <v>0</v>
      </c>
      <c r="O2349" s="577">
        <f t="shared" si="610"/>
        <v>0</v>
      </c>
      <c r="P2349" s="578">
        <f t="shared" si="611"/>
        <v>0</v>
      </c>
      <c r="Q2349" s="765"/>
      <c r="R2349" s="723"/>
      <c r="S2349" s="723"/>
      <c r="T2349" s="577">
        <f t="shared" si="608"/>
        <v>0</v>
      </c>
      <c r="U2349" s="578">
        <f t="shared" si="609"/>
        <v>0</v>
      </c>
      <c r="V2349" s="579"/>
      <c r="W2349" s="566" t="str">
        <f>IF(U2348&gt;0,"xx",IF(P2348&gt;0,"xy",""))</f>
        <v/>
      </c>
      <c r="X2349" s="586" t="str">
        <f t="shared" si="622"/>
        <v/>
      </c>
      <c r="Y2349" s="586" t="str">
        <f t="shared" si="612"/>
        <v/>
      </c>
      <c r="Z2349" s="586" t="str">
        <f t="shared" si="621"/>
        <v/>
      </c>
    </row>
    <row r="2350" spans="1:26" ht="12" hidden="1" thickBot="1" x14ac:dyDescent="0.25">
      <c r="A2350" s="567" t="s">
        <v>168</v>
      </c>
      <c r="B2350" s="644" t="s">
        <v>168</v>
      </c>
      <c r="C2350" s="645"/>
      <c r="D2350" s="422" t="s">
        <v>248</v>
      </c>
      <c r="E2350" s="423"/>
      <c r="F2350" s="424">
        <v>180</v>
      </c>
      <c r="G2350" s="425">
        <f>VLOOKUP(D2348,'[2]ENSAIOS DE ORÇAMENTO'!$C$3:$L$79,5,FALSE)</f>
        <v>0.60405201000000008</v>
      </c>
      <c r="H2350" s="663">
        <f t="shared" ref="H2350:H2352" si="623">IF(F2350&lt;=30,(1.07*F2350+2.68)*G2350,((1.07*30+2.68)+1.07*(F2350-30))*G2350)</f>
        <v>117.95927651280002</v>
      </c>
      <c r="I2350" s="420"/>
      <c r="J2350" s="420"/>
      <c r="K2350" s="421">
        <f t="shared" si="607"/>
        <v>0</v>
      </c>
      <c r="L2350" s="647"/>
      <c r="M2350" s="723"/>
      <c r="N2350" s="576">
        <f t="shared" si="616"/>
        <v>0</v>
      </c>
      <c r="O2350" s="577">
        <f t="shared" si="610"/>
        <v>0</v>
      </c>
      <c r="P2350" s="578">
        <f t="shared" si="611"/>
        <v>0</v>
      </c>
      <c r="Q2350" s="765"/>
      <c r="R2350" s="723"/>
      <c r="S2350" s="723"/>
      <c r="T2350" s="577">
        <f t="shared" si="608"/>
        <v>0</v>
      </c>
      <c r="U2350" s="578">
        <f t="shared" si="609"/>
        <v>0</v>
      </c>
      <c r="V2350" s="579"/>
      <c r="W2350" s="566" t="str">
        <f>IF(U2348&gt;0,"xx",IF(P2348&gt;0,"xy",""))</f>
        <v/>
      </c>
      <c r="X2350" s="586" t="str">
        <f t="shared" si="622"/>
        <v/>
      </c>
      <c r="Y2350" s="586" t="str">
        <f t="shared" si="612"/>
        <v/>
      </c>
      <c r="Z2350" s="586" t="str">
        <f t="shared" si="621"/>
        <v/>
      </c>
    </row>
    <row r="2351" spans="1:26" ht="12" hidden="1" thickBot="1" x14ac:dyDescent="0.25">
      <c r="A2351" s="567" t="s">
        <v>168</v>
      </c>
      <c r="B2351" s="644" t="s">
        <v>168</v>
      </c>
      <c r="C2351" s="645"/>
      <c r="D2351" s="422" t="s">
        <v>252</v>
      </c>
      <c r="E2351" s="423"/>
      <c r="F2351" s="424">
        <v>20</v>
      </c>
      <c r="G2351" s="425">
        <f>VLOOKUP(D2348,'[2]ENSAIOS DE ORÇAMENTO'!$C$3:$L$79,6,FALSE)</f>
        <v>0.71795910000000007</v>
      </c>
      <c r="H2351" s="663">
        <f t="shared" si="623"/>
        <v>17.288455128000003</v>
      </c>
      <c r="I2351" s="420"/>
      <c r="J2351" s="420"/>
      <c r="K2351" s="421">
        <f t="shared" si="607"/>
        <v>0</v>
      </c>
      <c r="L2351" s="647"/>
      <c r="M2351" s="723"/>
      <c r="N2351" s="576">
        <f t="shared" si="616"/>
        <v>0</v>
      </c>
      <c r="O2351" s="577">
        <f t="shared" si="610"/>
        <v>0</v>
      </c>
      <c r="P2351" s="578">
        <f t="shared" si="611"/>
        <v>0</v>
      </c>
      <c r="Q2351" s="765"/>
      <c r="R2351" s="723"/>
      <c r="S2351" s="723"/>
      <c r="T2351" s="577">
        <f t="shared" si="608"/>
        <v>0</v>
      </c>
      <c r="U2351" s="578">
        <f t="shared" si="609"/>
        <v>0</v>
      </c>
      <c r="V2351" s="579"/>
      <c r="W2351" s="566" t="str">
        <f>IF(U2348&gt;0,"xx",IF(P2348&gt;0,"xy",""))</f>
        <v/>
      </c>
      <c r="X2351" s="586" t="str">
        <f t="shared" si="622"/>
        <v/>
      </c>
      <c r="Y2351" s="586" t="str">
        <f t="shared" si="612"/>
        <v/>
      </c>
      <c r="Z2351" s="586" t="str">
        <f t="shared" si="621"/>
        <v/>
      </c>
    </row>
    <row r="2352" spans="1:26" ht="12" hidden="1" thickBot="1" x14ac:dyDescent="0.25">
      <c r="A2352" s="567" t="s">
        <v>168</v>
      </c>
      <c r="B2352" s="644" t="s">
        <v>168</v>
      </c>
      <c r="C2352" s="645"/>
      <c r="D2352" s="422" t="s">
        <v>400</v>
      </c>
      <c r="E2352" s="423"/>
      <c r="F2352" s="424">
        <v>30</v>
      </c>
      <c r="G2352" s="425">
        <f>VLOOKUP(D2348,'[2]ENSAIOS DE ORÇAMENTO'!$C$3:$L$79,3,FALSE)</f>
        <v>0</v>
      </c>
      <c r="H2352" s="663">
        <f t="shared" si="623"/>
        <v>0</v>
      </c>
      <c r="I2352" s="420"/>
      <c r="J2352" s="420"/>
      <c r="K2352" s="421">
        <f t="shared" si="607"/>
        <v>0</v>
      </c>
      <c r="L2352" s="647"/>
      <c r="M2352" s="723"/>
      <c r="N2352" s="576">
        <f t="shared" si="616"/>
        <v>0</v>
      </c>
      <c r="O2352" s="577">
        <f t="shared" si="610"/>
        <v>0</v>
      </c>
      <c r="P2352" s="578">
        <f t="shared" si="611"/>
        <v>0</v>
      </c>
      <c r="Q2352" s="765"/>
      <c r="R2352" s="723"/>
      <c r="S2352" s="723"/>
      <c r="T2352" s="577">
        <f t="shared" si="608"/>
        <v>0</v>
      </c>
      <c r="U2352" s="578">
        <f t="shared" si="609"/>
        <v>0</v>
      </c>
      <c r="V2352" s="579"/>
      <c r="W2352" s="566" t="str">
        <f>IF(U2348&gt;0,"xx",IF(P2348&gt;0,"xy",""))</f>
        <v/>
      </c>
      <c r="X2352" s="586" t="str">
        <f t="shared" si="622"/>
        <v/>
      </c>
      <c r="Y2352" s="586" t="str">
        <f t="shared" si="612"/>
        <v/>
      </c>
      <c r="Z2352" s="586" t="str">
        <f t="shared" si="621"/>
        <v/>
      </c>
    </row>
    <row r="2353" spans="1:26" ht="12" hidden="1" thickBot="1" x14ac:dyDescent="0.25">
      <c r="A2353" s="567" t="s">
        <v>168</v>
      </c>
      <c r="B2353" s="644" t="s">
        <v>168</v>
      </c>
      <c r="C2353" s="645"/>
      <c r="D2353" s="422" t="s">
        <v>401</v>
      </c>
      <c r="E2353" s="423"/>
      <c r="F2353" s="424">
        <v>500</v>
      </c>
      <c r="G2353" s="425">
        <f>VLOOKUP(D2348,'[2]ENSAIOS DE ORÇAMENTO'!$C$3:$L$79,10,FALSE)</f>
        <v>0</v>
      </c>
      <c r="H2353" s="649">
        <f>IF(F2353&lt;=30,(0.78*F2353+7.82)*G2353,((0.78*30+7.82)+0.78*(F2353-30))*G2353)</f>
        <v>0</v>
      </c>
      <c r="I2353" s="420"/>
      <c r="J2353" s="420"/>
      <c r="K2353" s="421">
        <f t="shared" si="607"/>
        <v>0</v>
      </c>
      <c r="L2353" s="647"/>
      <c r="M2353" s="723"/>
      <c r="N2353" s="576">
        <f t="shared" si="616"/>
        <v>0</v>
      </c>
      <c r="O2353" s="577">
        <f t="shared" si="610"/>
        <v>0</v>
      </c>
      <c r="P2353" s="578">
        <f t="shared" si="611"/>
        <v>0</v>
      </c>
      <c r="Q2353" s="765"/>
      <c r="R2353" s="723"/>
      <c r="S2353" s="723"/>
      <c r="T2353" s="577">
        <f t="shared" si="608"/>
        <v>0</v>
      </c>
      <c r="U2353" s="578">
        <f t="shared" si="609"/>
        <v>0</v>
      </c>
      <c r="V2353" s="579"/>
      <c r="W2353" s="566" t="str">
        <f>IF(U2348&gt;0,"xx",IF(P2348&gt;0,"xy",""))</f>
        <v/>
      </c>
      <c r="X2353" s="586" t="str">
        <f t="shared" si="622"/>
        <v/>
      </c>
      <c r="Y2353" s="586" t="str">
        <f t="shared" si="612"/>
        <v/>
      </c>
      <c r="Z2353" s="586" t="str">
        <f t="shared" si="621"/>
        <v/>
      </c>
    </row>
    <row r="2354" spans="1:26" ht="12" hidden="1" thickBot="1" x14ac:dyDescent="0.25">
      <c r="A2354" s="567" t="s">
        <v>128</v>
      </c>
      <c r="B2354" s="644" t="s">
        <v>128</v>
      </c>
      <c r="C2354" s="645" t="s">
        <v>206</v>
      </c>
      <c r="D2354" s="422" t="s">
        <v>412</v>
      </c>
      <c r="E2354" s="423"/>
      <c r="F2354" s="424"/>
      <c r="G2354" s="425"/>
      <c r="H2354" s="651">
        <f>SUM(H2355:H2359)</f>
        <v>402.09418051819995</v>
      </c>
      <c r="I2354" s="420">
        <f>VLOOKUP(D2354,'[2]ENSAIOS DE ORÇAMENTO'!$C$3:$L$79,8,FALSE)</f>
        <v>1151.1882539166666</v>
      </c>
      <c r="J2354" s="420">
        <f>IF(ISBLANK(I2354),"",SUM(H2354:I2354))</f>
        <v>1553.2824344348664</v>
      </c>
      <c r="K2354" s="421">
        <f t="shared" si="607"/>
        <v>1845.45</v>
      </c>
      <c r="L2354" s="647" t="s">
        <v>21</v>
      </c>
      <c r="M2354" s="576"/>
      <c r="N2354" s="576">
        <f t="shared" si="616"/>
        <v>0</v>
      </c>
      <c r="O2354" s="577">
        <f t="shared" si="610"/>
        <v>0</v>
      </c>
      <c r="P2354" s="578">
        <f t="shared" si="611"/>
        <v>0</v>
      </c>
      <c r="Q2354" s="765"/>
      <c r="R2354" s="576">
        <f>M2354</f>
        <v>0</v>
      </c>
      <c r="S2354" s="576">
        <f>N2354</f>
        <v>0</v>
      </c>
      <c r="T2354" s="577">
        <f t="shared" si="608"/>
        <v>0</v>
      </c>
      <c r="U2354" s="578">
        <f t="shared" si="609"/>
        <v>0</v>
      </c>
      <c r="V2354" s="579"/>
      <c r="W2354" s="566"/>
      <c r="X2354" s="586" t="str">
        <f t="shared" si="622"/>
        <v/>
      </c>
      <c r="Y2354" s="586" t="str">
        <f t="shared" si="612"/>
        <v/>
      </c>
      <c r="Z2354" s="586" t="str">
        <f t="shared" si="621"/>
        <v/>
      </c>
    </row>
    <row r="2355" spans="1:26" ht="12" hidden="1" thickBot="1" x14ac:dyDescent="0.25">
      <c r="A2355" s="567" t="s">
        <v>168</v>
      </c>
      <c r="B2355" s="644" t="s">
        <v>168</v>
      </c>
      <c r="C2355" s="645"/>
      <c r="D2355" s="422" t="s">
        <v>212</v>
      </c>
      <c r="E2355" s="423"/>
      <c r="F2355" s="424">
        <v>500</v>
      </c>
      <c r="G2355" s="425">
        <f>VLOOKUP(D2354,'[2]ENSAIOS DE ORÇAMENTO'!$C$3:$L$79,4,FALSE)</f>
        <v>0.38327894999999995</v>
      </c>
      <c r="H2355" s="649">
        <f>IF(F2355&lt;=30,(0.78*F2355+7.82)*G2355,((0.78*30+7.82)+0.78*(F2355-30))*G2355)</f>
        <v>152.47603188900001</v>
      </c>
      <c r="I2355" s="420"/>
      <c r="J2355" s="420"/>
      <c r="K2355" s="421">
        <f t="shared" si="607"/>
        <v>0</v>
      </c>
      <c r="L2355" s="647"/>
      <c r="M2355" s="723"/>
      <c r="N2355" s="576">
        <f t="shared" si="616"/>
        <v>0</v>
      </c>
      <c r="O2355" s="577">
        <f t="shared" si="610"/>
        <v>0</v>
      </c>
      <c r="P2355" s="578">
        <f t="shared" si="611"/>
        <v>0</v>
      </c>
      <c r="Q2355" s="765"/>
      <c r="R2355" s="723"/>
      <c r="S2355" s="723"/>
      <c r="T2355" s="577">
        <f t="shared" si="608"/>
        <v>0</v>
      </c>
      <c r="U2355" s="578">
        <f t="shared" si="609"/>
        <v>0</v>
      </c>
      <c r="V2355" s="579"/>
      <c r="W2355" s="566" t="str">
        <f>IF(U2354&gt;0,"xx",IF(P2354&gt;0,"xy",""))</f>
        <v/>
      </c>
      <c r="X2355" s="586" t="str">
        <f t="shared" si="622"/>
        <v/>
      </c>
      <c r="Y2355" s="586" t="str">
        <f t="shared" si="612"/>
        <v/>
      </c>
      <c r="Z2355" s="586" t="str">
        <f t="shared" si="621"/>
        <v/>
      </c>
    </row>
    <row r="2356" spans="1:26" ht="12" hidden="1" thickBot="1" x14ac:dyDescent="0.25">
      <c r="A2356" s="567" t="s">
        <v>168</v>
      </c>
      <c r="B2356" s="644" t="s">
        <v>168</v>
      </c>
      <c r="C2356" s="645"/>
      <c r="D2356" s="422" t="s">
        <v>248</v>
      </c>
      <c r="E2356" s="423"/>
      <c r="F2356" s="424">
        <v>180</v>
      </c>
      <c r="G2356" s="425">
        <f>VLOOKUP(D2354,'[2]ENSAIOS DE ORÇAMENTO'!$C$3:$L$79,5,FALSE)</f>
        <v>1.1143076149999998</v>
      </c>
      <c r="H2356" s="663">
        <f t="shared" ref="H2356:H2358" si="624">IF(F2356&lt;=30,(1.07*F2356+2.68)*G2356,((1.07*30+2.68)+1.07*(F2356-30))*G2356)</f>
        <v>217.60199105719994</v>
      </c>
      <c r="I2356" s="420"/>
      <c r="J2356" s="420"/>
      <c r="K2356" s="421">
        <f t="shared" si="607"/>
        <v>0</v>
      </c>
      <c r="L2356" s="647"/>
      <c r="M2356" s="723"/>
      <c r="N2356" s="576">
        <f t="shared" si="616"/>
        <v>0</v>
      </c>
      <c r="O2356" s="577">
        <f t="shared" si="610"/>
        <v>0</v>
      </c>
      <c r="P2356" s="578">
        <f t="shared" si="611"/>
        <v>0</v>
      </c>
      <c r="Q2356" s="765"/>
      <c r="R2356" s="723"/>
      <c r="S2356" s="723"/>
      <c r="T2356" s="577">
        <f t="shared" si="608"/>
        <v>0</v>
      </c>
      <c r="U2356" s="578">
        <f t="shared" si="609"/>
        <v>0</v>
      </c>
      <c r="V2356" s="579"/>
      <c r="W2356" s="566" t="str">
        <f>IF(U2354&gt;0,"xx",IF(P2354&gt;0,"xy",""))</f>
        <v/>
      </c>
      <c r="X2356" s="586" t="str">
        <f t="shared" si="622"/>
        <v/>
      </c>
      <c r="Y2356" s="586" t="str">
        <f t="shared" si="612"/>
        <v/>
      </c>
      <c r="Z2356" s="586" t="str">
        <f t="shared" si="621"/>
        <v/>
      </c>
    </row>
    <row r="2357" spans="1:26" ht="12" hidden="1" thickBot="1" x14ac:dyDescent="0.25">
      <c r="A2357" s="567" t="s">
        <v>168</v>
      </c>
      <c r="B2357" s="644" t="s">
        <v>168</v>
      </c>
      <c r="C2357" s="645"/>
      <c r="D2357" s="422" t="s">
        <v>252</v>
      </c>
      <c r="E2357" s="423"/>
      <c r="F2357" s="424">
        <v>20</v>
      </c>
      <c r="G2357" s="425">
        <f>VLOOKUP(D2354,'[2]ENSAIOS DE ORÇAMENTO'!$C$3:$L$79,6,FALSE)</f>
        <v>1.3295746499999999</v>
      </c>
      <c r="H2357" s="663">
        <f t="shared" si="624"/>
        <v>32.016157571999997</v>
      </c>
      <c r="I2357" s="420"/>
      <c r="J2357" s="420"/>
      <c r="K2357" s="421">
        <f t="shared" si="607"/>
        <v>0</v>
      </c>
      <c r="L2357" s="647"/>
      <c r="M2357" s="723"/>
      <c r="N2357" s="576">
        <f t="shared" si="616"/>
        <v>0</v>
      </c>
      <c r="O2357" s="577">
        <f t="shared" si="610"/>
        <v>0</v>
      </c>
      <c r="P2357" s="578">
        <f t="shared" si="611"/>
        <v>0</v>
      </c>
      <c r="Q2357" s="765"/>
      <c r="R2357" s="723"/>
      <c r="S2357" s="723"/>
      <c r="T2357" s="577">
        <f t="shared" si="608"/>
        <v>0</v>
      </c>
      <c r="U2357" s="578">
        <f t="shared" si="609"/>
        <v>0</v>
      </c>
      <c r="V2357" s="579"/>
      <c r="W2357" s="566" t="str">
        <f>IF(U2354&gt;0,"xx",IF(P2354&gt;0,"xy",""))</f>
        <v/>
      </c>
      <c r="X2357" s="586" t="str">
        <f t="shared" si="622"/>
        <v/>
      </c>
      <c r="Y2357" s="586" t="str">
        <f t="shared" si="612"/>
        <v/>
      </c>
      <c r="Z2357" s="586" t="str">
        <f t="shared" si="621"/>
        <v/>
      </c>
    </row>
    <row r="2358" spans="1:26" ht="12" hidden="1" thickBot="1" x14ac:dyDescent="0.25">
      <c r="A2358" s="567" t="s">
        <v>168</v>
      </c>
      <c r="B2358" s="644" t="s">
        <v>168</v>
      </c>
      <c r="C2358" s="645"/>
      <c r="D2358" s="422" t="s">
        <v>400</v>
      </c>
      <c r="E2358" s="423"/>
      <c r="F2358" s="424">
        <v>30</v>
      </c>
      <c r="G2358" s="425">
        <f>VLOOKUP(D2354,'[2]ENSAIOS DE ORÇAMENTO'!$C$3:$L$79,3,FALSE)</f>
        <v>0</v>
      </c>
      <c r="H2358" s="663">
        <f t="shared" si="624"/>
        <v>0</v>
      </c>
      <c r="I2358" s="420"/>
      <c r="J2358" s="420"/>
      <c r="K2358" s="421">
        <f t="shared" si="607"/>
        <v>0</v>
      </c>
      <c r="L2358" s="647"/>
      <c r="M2358" s="723"/>
      <c r="N2358" s="576">
        <f t="shared" si="616"/>
        <v>0</v>
      </c>
      <c r="O2358" s="577">
        <f t="shared" si="610"/>
        <v>0</v>
      </c>
      <c r="P2358" s="578">
        <f t="shared" si="611"/>
        <v>0</v>
      </c>
      <c r="Q2358" s="765"/>
      <c r="R2358" s="723"/>
      <c r="S2358" s="723"/>
      <c r="T2358" s="577">
        <f t="shared" si="608"/>
        <v>0</v>
      </c>
      <c r="U2358" s="578">
        <f t="shared" si="609"/>
        <v>0</v>
      </c>
      <c r="V2358" s="579"/>
      <c r="W2358" s="566" t="str">
        <f>IF(U2354&gt;0,"xx",IF(P2354&gt;0,"xy",""))</f>
        <v/>
      </c>
      <c r="X2358" s="586" t="str">
        <f t="shared" si="622"/>
        <v/>
      </c>
      <c r="Y2358" s="586" t="str">
        <f t="shared" si="612"/>
        <v/>
      </c>
      <c r="Z2358" s="586" t="str">
        <f t="shared" si="621"/>
        <v/>
      </c>
    </row>
    <row r="2359" spans="1:26" ht="12" hidden="1" thickBot="1" x14ac:dyDescent="0.25">
      <c r="A2359" s="567" t="s">
        <v>168</v>
      </c>
      <c r="B2359" s="644" t="s">
        <v>168</v>
      </c>
      <c r="C2359" s="645"/>
      <c r="D2359" s="422" t="s">
        <v>401</v>
      </c>
      <c r="E2359" s="423"/>
      <c r="F2359" s="424">
        <v>500</v>
      </c>
      <c r="G2359" s="425">
        <f>VLOOKUP(D2354,'[2]ENSAIOS DE ORÇAMENTO'!$C$3:$L$79,10,FALSE)</f>
        <v>0</v>
      </c>
      <c r="H2359" s="649">
        <f>IF(F2359&lt;=30,(0.78*F2359+7.82)*G2359,((0.78*30+7.82)+0.78*(F2359-30))*G2359)</f>
        <v>0</v>
      </c>
      <c r="I2359" s="420"/>
      <c r="J2359" s="420"/>
      <c r="K2359" s="421">
        <f t="shared" si="607"/>
        <v>0</v>
      </c>
      <c r="L2359" s="647"/>
      <c r="M2359" s="723"/>
      <c r="N2359" s="576">
        <f t="shared" si="616"/>
        <v>0</v>
      </c>
      <c r="O2359" s="577">
        <f t="shared" si="610"/>
        <v>0</v>
      </c>
      <c r="P2359" s="578">
        <f t="shared" si="611"/>
        <v>0</v>
      </c>
      <c r="Q2359" s="765"/>
      <c r="R2359" s="723"/>
      <c r="S2359" s="723"/>
      <c r="T2359" s="577">
        <f t="shared" si="608"/>
        <v>0</v>
      </c>
      <c r="U2359" s="578">
        <f t="shared" si="609"/>
        <v>0</v>
      </c>
      <c r="V2359" s="579"/>
      <c r="W2359" s="566" t="str">
        <f>IF(U2354&gt;0,"xx",IF(P2354&gt;0,"xy",""))</f>
        <v/>
      </c>
      <c r="X2359" s="586" t="str">
        <f t="shared" si="622"/>
        <v/>
      </c>
      <c r="Y2359" s="586" t="str">
        <f t="shared" si="612"/>
        <v/>
      </c>
      <c r="Z2359" s="586" t="str">
        <f t="shared" si="621"/>
        <v/>
      </c>
    </row>
    <row r="2360" spans="1:26" ht="12" hidden="1" thickBot="1" x14ac:dyDescent="0.25">
      <c r="A2360" s="567" t="s">
        <v>129</v>
      </c>
      <c r="B2360" s="644" t="s">
        <v>129</v>
      </c>
      <c r="C2360" s="645" t="s">
        <v>206</v>
      </c>
      <c r="D2360" s="422" t="s">
        <v>413</v>
      </c>
      <c r="E2360" s="423"/>
      <c r="F2360" s="424"/>
      <c r="G2360" s="425"/>
      <c r="H2360" s="651">
        <f>SUM(H2361:H2365)</f>
        <v>590.83642489520014</v>
      </c>
      <c r="I2360" s="420">
        <f>VLOOKUP(D2360,'[2]ENSAIOS DE ORÇAMENTO'!$C$3:$L$79,8,FALSE)</f>
        <v>1584.5382719333334</v>
      </c>
      <c r="J2360" s="420">
        <f>IF(ISBLANK(I2360),"",SUM(H2360:I2360))</f>
        <v>2175.3746968285336</v>
      </c>
      <c r="K2360" s="421">
        <f t="shared" si="607"/>
        <v>2584.56</v>
      </c>
      <c r="L2360" s="647" t="s">
        <v>21</v>
      </c>
      <c r="M2360" s="576"/>
      <c r="N2360" s="576">
        <f t="shared" si="616"/>
        <v>0</v>
      </c>
      <c r="O2360" s="577">
        <f t="shared" si="610"/>
        <v>0</v>
      </c>
      <c r="P2360" s="578">
        <f t="shared" si="611"/>
        <v>0</v>
      </c>
      <c r="Q2360" s="765"/>
      <c r="R2360" s="576">
        <f>M2360</f>
        <v>0</v>
      </c>
      <c r="S2360" s="576">
        <f>N2360</f>
        <v>0</v>
      </c>
      <c r="T2360" s="577">
        <f t="shared" si="608"/>
        <v>0</v>
      </c>
      <c r="U2360" s="578">
        <f t="shared" si="609"/>
        <v>0</v>
      </c>
      <c r="V2360" s="579"/>
      <c r="W2360" s="566"/>
      <c r="X2360" s="586" t="str">
        <f t="shared" si="622"/>
        <v/>
      </c>
      <c r="Y2360" s="586" t="str">
        <f t="shared" si="612"/>
        <v/>
      </c>
      <c r="Z2360" s="586" t="str">
        <f t="shared" si="621"/>
        <v/>
      </c>
    </row>
    <row r="2361" spans="1:26" ht="12" hidden="1" thickBot="1" x14ac:dyDescent="0.25">
      <c r="A2361" s="567" t="s">
        <v>168</v>
      </c>
      <c r="B2361" s="644" t="s">
        <v>168</v>
      </c>
      <c r="C2361" s="645"/>
      <c r="D2361" s="422" t="s">
        <v>212</v>
      </c>
      <c r="E2361" s="423"/>
      <c r="F2361" s="424">
        <v>500</v>
      </c>
      <c r="G2361" s="425">
        <f>VLOOKUP(D2360,'[2]ENSAIOS DE ORÇAMENTO'!$C$3:$L$79,4,FALSE)</f>
        <v>0.56408220000000009</v>
      </c>
      <c r="H2361" s="649">
        <f>IF(F2361&lt;=30,(0.78*F2361+7.82)*G2361,((0.78*30+7.82)+0.78*(F2361-30))*G2361)</f>
        <v>224.40318080400007</v>
      </c>
      <c r="I2361" s="420"/>
      <c r="J2361" s="420"/>
      <c r="K2361" s="421">
        <f t="shared" si="607"/>
        <v>0</v>
      </c>
      <c r="L2361" s="647"/>
      <c r="M2361" s="723"/>
      <c r="N2361" s="576">
        <f t="shared" si="616"/>
        <v>0</v>
      </c>
      <c r="O2361" s="577">
        <f t="shared" si="610"/>
        <v>0</v>
      </c>
      <c r="P2361" s="578">
        <f t="shared" si="611"/>
        <v>0</v>
      </c>
      <c r="Q2361" s="765"/>
      <c r="R2361" s="723"/>
      <c r="S2361" s="723"/>
      <c r="T2361" s="577">
        <f t="shared" si="608"/>
        <v>0</v>
      </c>
      <c r="U2361" s="578">
        <f t="shared" si="609"/>
        <v>0</v>
      </c>
      <c r="V2361" s="579"/>
      <c r="W2361" s="566" t="str">
        <f>IF(U2360&gt;0,"xx",IF(P2360&gt;0,"xy",""))</f>
        <v/>
      </c>
      <c r="X2361" s="586" t="str">
        <f t="shared" si="622"/>
        <v/>
      </c>
      <c r="Y2361" s="586" t="str">
        <f t="shared" si="612"/>
        <v/>
      </c>
      <c r="Z2361" s="586" t="str">
        <f t="shared" si="621"/>
        <v/>
      </c>
    </row>
    <row r="2362" spans="1:26" ht="12" hidden="1" thickBot="1" x14ac:dyDescent="0.25">
      <c r="A2362" s="567" t="s">
        <v>168</v>
      </c>
      <c r="B2362" s="644" t="s">
        <v>168</v>
      </c>
      <c r="C2362" s="645"/>
      <c r="D2362" s="422" t="s">
        <v>248</v>
      </c>
      <c r="E2362" s="423"/>
      <c r="F2362" s="424">
        <v>180</v>
      </c>
      <c r="G2362" s="425">
        <f>VLOOKUP(D2360,'[2]ENSAIOS DE ORÇAMENTO'!$C$3:$L$79,5,FALSE)</f>
        <v>1.6356421400000001</v>
      </c>
      <c r="H2362" s="663">
        <f t="shared" ref="H2362:H2364" si="625">IF(F2362&lt;=30,(1.07*F2362+2.68)*G2362,((1.07*30+2.68)+1.07*(F2362-30))*G2362)</f>
        <v>319.40819709920004</v>
      </c>
      <c r="I2362" s="420"/>
      <c r="J2362" s="420"/>
      <c r="K2362" s="421">
        <f t="shared" si="607"/>
        <v>0</v>
      </c>
      <c r="L2362" s="647"/>
      <c r="M2362" s="723"/>
      <c r="N2362" s="576">
        <f t="shared" si="616"/>
        <v>0</v>
      </c>
      <c r="O2362" s="577">
        <f t="shared" si="610"/>
        <v>0</v>
      </c>
      <c r="P2362" s="578">
        <f t="shared" si="611"/>
        <v>0</v>
      </c>
      <c r="Q2362" s="765"/>
      <c r="R2362" s="723"/>
      <c r="S2362" s="723"/>
      <c r="T2362" s="577">
        <f t="shared" si="608"/>
        <v>0</v>
      </c>
      <c r="U2362" s="578">
        <f t="shared" si="609"/>
        <v>0</v>
      </c>
      <c r="V2362" s="579"/>
      <c r="W2362" s="566" t="str">
        <f>IF(U2360&gt;0,"xx",IF(P2360&gt;0,"xy",""))</f>
        <v/>
      </c>
      <c r="X2362" s="586" t="str">
        <f t="shared" si="622"/>
        <v/>
      </c>
      <c r="Y2362" s="586" t="str">
        <f t="shared" si="612"/>
        <v/>
      </c>
      <c r="Z2362" s="586" t="str">
        <f t="shared" si="621"/>
        <v/>
      </c>
    </row>
    <row r="2363" spans="1:26" ht="12" hidden="1" thickBot="1" x14ac:dyDescent="0.25">
      <c r="A2363" s="567" t="s">
        <v>168</v>
      </c>
      <c r="B2363" s="644" t="s">
        <v>168</v>
      </c>
      <c r="C2363" s="645"/>
      <c r="D2363" s="422" t="s">
        <v>252</v>
      </c>
      <c r="E2363" s="423"/>
      <c r="F2363" s="424">
        <v>20</v>
      </c>
      <c r="G2363" s="425">
        <f>VLOOKUP(D2360,'[2]ENSAIOS DE ORÇAMENTO'!$C$3:$L$79,6,FALSE)</f>
        <v>1.9528674000000004</v>
      </c>
      <c r="H2363" s="663">
        <f t="shared" si="625"/>
        <v>47.025046992000014</v>
      </c>
      <c r="I2363" s="420"/>
      <c r="J2363" s="420"/>
      <c r="K2363" s="421">
        <f t="shared" si="607"/>
        <v>0</v>
      </c>
      <c r="L2363" s="647"/>
      <c r="M2363" s="723"/>
      <c r="N2363" s="576">
        <f t="shared" si="616"/>
        <v>0</v>
      </c>
      <c r="O2363" s="577">
        <f t="shared" si="610"/>
        <v>0</v>
      </c>
      <c r="P2363" s="578">
        <f t="shared" si="611"/>
        <v>0</v>
      </c>
      <c r="Q2363" s="765"/>
      <c r="R2363" s="723"/>
      <c r="S2363" s="723"/>
      <c r="T2363" s="577">
        <f t="shared" si="608"/>
        <v>0</v>
      </c>
      <c r="U2363" s="578">
        <f t="shared" si="609"/>
        <v>0</v>
      </c>
      <c r="V2363" s="579"/>
      <c r="W2363" s="566" t="str">
        <f>IF(U2360&gt;0,"xx",IF(P2360&gt;0,"xy",""))</f>
        <v/>
      </c>
      <c r="X2363" s="586" t="str">
        <f t="shared" si="622"/>
        <v/>
      </c>
      <c r="Y2363" s="586" t="str">
        <f t="shared" si="612"/>
        <v/>
      </c>
      <c r="Z2363" s="586" t="str">
        <f t="shared" si="621"/>
        <v/>
      </c>
    </row>
    <row r="2364" spans="1:26" ht="12" hidden="1" thickBot="1" x14ac:dyDescent="0.25">
      <c r="A2364" s="567" t="s">
        <v>168</v>
      </c>
      <c r="B2364" s="644" t="s">
        <v>168</v>
      </c>
      <c r="C2364" s="645"/>
      <c r="D2364" s="422" t="s">
        <v>400</v>
      </c>
      <c r="E2364" s="423"/>
      <c r="F2364" s="424">
        <v>30</v>
      </c>
      <c r="G2364" s="425">
        <f>VLOOKUP(D2360,'[2]ENSAIOS DE ORÇAMENTO'!$C$3:$L$79,3,FALSE)</f>
        <v>0</v>
      </c>
      <c r="H2364" s="663">
        <f t="shared" si="625"/>
        <v>0</v>
      </c>
      <c r="I2364" s="420"/>
      <c r="J2364" s="420"/>
      <c r="K2364" s="421">
        <f t="shared" si="607"/>
        <v>0</v>
      </c>
      <c r="L2364" s="647"/>
      <c r="M2364" s="723"/>
      <c r="N2364" s="576">
        <f t="shared" si="616"/>
        <v>0</v>
      </c>
      <c r="O2364" s="577">
        <f t="shared" si="610"/>
        <v>0</v>
      </c>
      <c r="P2364" s="578">
        <f t="shared" si="611"/>
        <v>0</v>
      </c>
      <c r="Q2364" s="765"/>
      <c r="R2364" s="723"/>
      <c r="S2364" s="723"/>
      <c r="T2364" s="577">
        <f t="shared" si="608"/>
        <v>0</v>
      </c>
      <c r="U2364" s="578">
        <f t="shared" si="609"/>
        <v>0</v>
      </c>
      <c r="V2364" s="579"/>
      <c r="W2364" s="566" t="str">
        <f>IF(U2360&gt;0,"xx",IF(P2360&gt;0,"xy",""))</f>
        <v/>
      </c>
      <c r="X2364" s="586" t="str">
        <f t="shared" si="622"/>
        <v/>
      </c>
      <c r="Y2364" s="586" t="str">
        <f t="shared" si="612"/>
        <v/>
      </c>
      <c r="Z2364" s="586" t="str">
        <f t="shared" si="621"/>
        <v/>
      </c>
    </row>
    <row r="2365" spans="1:26" ht="12" hidden="1" thickBot="1" x14ac:dyDescent="0.25">
      <c r="A2365" s="567" t="s">
        <v>168</v>
      </c>
      <c r="B2365" s="644" t="s">
        <v>168</v>
      </c>
      <c r="C2365" s="645"/>
      <c r="D2365" s="422" t="s">
        <v>401</v>
      </c>
      <c r="E2365" s="423"/>
      <c r="F2365" s="424">
        <v>500</v>
      </c>
      <c r="G2365" s="425">
        <f>VLOOKUP(D2360,'[2]ENSAIOS DE ORÇAMENTO'!$C$3:$L$79,10,FALSE)</f>
        <v>0</v>
      </c>
      <c r="H2365" s="649">
        <f>IF(F2365&lt;=30,(0.78*F2365+7.82)*G2365,((0.78*30+7.82)+0.78*(F2365-30))*G2365)</f>
        <v>0</v>
      </c>
      <c r="I2365" s="420"/>
      <c r="J2365" s="420"/>
      <c r="K2365" s="421">
        <f t="shared" si="607"/>
        <v>0</v>
      </c>
      <c r="L2365" s="647"/>
      <c r="M2365" s="723"/>
      <c r="N2365" s="576">
        <f t="shared" si="616"/>
        <v>0</v>
      </c>
      <c r="O2365" s="577">
        <f t="shared" si="610"/>
        <v>0</v>
      </c>
      <c r="P2365" s="578">
        <f t="shared" si="611"/>
        <v>0</v>
      </c>
      <c r="Q2365" s="765"/>
      <c r="R2365" s="723"/>
      <c r="S2365" s="723"/>
      <c r="T2365" s="577">
        <f t="shared" si="608"/>
        <v>0</v>
      </c>
      <c r="U2365" s="578">
        <f t="shared" si="609"/>
        <v>0</v>
      </c>
      <c r="V2365" s="579"/>
      <c r="W2365" s="566" t="str">
        <f>IF(U2360&gt;0,"xx",IF(P2360&gt;0,"xy",""))</f>
        <v/>
      </c>
      <c r="X2365" s="586" t="str">
        <f t="shared" si="622"/>
        <v/>
      </c>
      <c r="Y2365" s="586" t="str">
        <f t="shared" si="612"/>
        <v/>
      </c>
      <c r="Z2365" s="586" t="str">
        <f t="shared" si="621"/>
        <v/>
      </c>
    </row>
    <row r="2366" spans="1:26" ht="12" hidden="1" thickBot="1" x14ac:dyDescent="0.25">
      <c r="A2366" s="567" t="s">
        <v>130</v>
      </c>
      <c r="B2366" s="644" t="s">
        <v>130</v>
      </c>
      <c r="C2366" s="645" t="s">
        <v>206</v>
      </c>
      <c r="D2366" s="422" t="s">
        <v>414</v>
      </c>
      <c r="E2366" s="423"/>
      <c r="F2366" s="424"/>
      <c r="G2366" s="425"/>
      <c r="H2366" s="651">
        <f>SUM(H2367:H2371)</f>
        <v>817.23322366720015</v>
      </c>
      <c r="I2366" s="420">
        <f>VLOOKUP(D2366,'[2]ENSAIOS DE ORÇAMENTO'!$C$3:$L$79,8,FALSE)</f>
        <v>2167.3900512</v>
      </c>
      <c r="J2366" s="420">
        <f>IF(ISBLANK(I2366),"",SUM(H2366:I2366))</f>
        <v>2984.6232748672001</v>
      </c>
      <c r="K2366" s="421">
        <f t="shared" si="607"/>
        <v>3546.03</v>
      </c>
      <c r="L2366" s="647" t="s">
        <v>21</v>
      </c>
      <c r="M2366" s="576"/>
      <c r="N2366" s="576">
        <f t="shared" si="616"/>
        <v>0</v>
      </c>
      <c r="O2366" s="577">
        <f t="shared" si="610"/>
        <v>0</v>
      </c>
      <c r="P2366" s="578">
        <f t="shared" si="611"/>
        <v>0</v>
      </c>
      <c r="Q2366" s="765"/>
      <c r="R2366" s="576">
        <f>M2366</f>
        <v>0</v>
      </c>
      <c r="S2366" s="576">
        <f>N2366</f>
        <v>0</v>
      </c>
      <c r="T2366" s="577">
        <f t="shared" si="608"/>
        <v>0</v>
      </c>
      <c r="U2366" s="578">
        <f t="shared" si="609"/>
        <v>0</v>
      </c>
      <c r="V2366" s="579"/>
      <c r="W2366" s="566"/>
      <c r="X2366" s="586" t="str">
        <f t="shared" si="622"/>
        <v/>
      </c>
      <c r="Y2366" s="586" t="str">
        <f t="shared" si="612"/>
        <v/>
      </c>
      <c r="Z2366" s="586" t="str">
        <f t="shared" si="621"/>
        <v/>
      </c>
    </row>
    <row r="2367" spans="1:26" ht="12" hidden="1" thickBot="1" x14ac:dyDescent="0.25">
      <c r="A2367" s="567" t="s">
        <v>168</v>
      </c>
      <c r="B2367" s="644" t="s">
        <v>168</v>
      </c>
      <c r="C2367" s="645"/>
      <c r="D2367" s="422" t="s">
        <v>212</v>
      </c>
      <c r="E2367" s="423"/>
      <c r="F2367" s="424">
        <v>500</v>
      </c>
      <c r="G2367" s="425">
        <f>VLOOKUP(D2366,'[2]ENSAIOS DE ORÇAMENTO'!$C$3:$L$79,4,FALSE)</f>
        <v>0.77929919999999997</v>
      </c>
      <c r="H2367" s="649">
        <f>IF(F2367&lt;=30,(0.78*F2367+7.82)*G2367,((0.78*30+7.82)+0.78*(F2367-30))*G2367)</f>
        <v>310.02080774400002</v>
      </c>
      <c r="I2367" s="420"/>
      <c r="J2367" s="420"/>
      <c r="K2367" s="421">
        <f t="shared" si="607"/>
        <v>0</v>
      </c>
      <c r="L2367" s="647"/>
      <c r="M2367" s="723"/>
      <c r="N2367" s="576">
        <f t="shared" si="616"/>
        <v>0</v>
      </c>
      <c r="O2367" s="577">
        <f t="shared" si="610"/>
        <v>0</v>
      </c>
      <c r="P2367" s="578">
        <f t="shared" si="611"/>
        <v>0</v>
      </c>
      <c r="Q2367" s="765"/>
      <c r="R2367" s="723"/>
      <c r="S2367" s="723"/>
      <c r="T2367" s="577">
        <f t="shared" si="608"/>
        <v>0</v>
      </c>
      <c r="U2367" s="578">
        <f t="shared" si="609"/>
        <v>0</v>
      </c>
      <c r="V2367" s="579"/>
      <c r="W2367" s="566" t="str">
        <f>IF(U2366&gt;0,"xx",IF(P2366&gt;0,"xy",""))</f>
        <v/>
      </c>
      <c r="X2367" s="586" t="str">
        <f t="shared" si="622"/>
        <v/>
      </c>
      <c r="Y2367" s="586" t="str">
        <f t="shared" si="612"/>
        <v/>
      </c>
      <c r="Z2367" s="586" t="str">
        <f t="shared" si="621"/>
        <v/>
      </c>
    </row>
    <row r="2368" spans="1:26" ht="12" hidden="1" thickBot="1" x14ac:dyDescent="0.25">
      <c r="A2368" s="567" t="s">
        <v>168</v>
      </c>
      <c r="B2368" s="644" t="s">
        <v>168</v>
      </c>
      <c r="C2368" s="645"/>
      <c r="D2368" s="422" t="s">
        <v>248</v>
      </c>
      <c r="E2368" s="423"/>
      <c r="F2368" s="424">
        <v>180</v>
      </c>
      <c r="G2368" s="425">
        <f>VLOOKUP(D2366,'[2]ENSAIOS DE ORÇAMENTO'!$C$3:$L$79,5,FALSE)</f>
        <v>2.26417504</v>
      </c>
      <c r="H2368" s="663">
        <f t="shared" ref="H2368:H2370" si="626">IF(F2368&lt;=30,(1.07*F2368+2.68)*G2368,((1.07*30+2.68)+1.07*(F2368-30))*G2368)</f>
        <v>442.14810181120004</v>
      </c>
      <c r="I2368" s="420"/>
      <c r="J2368" s="420"/>
      <c r="K2368" s="421">
        <f t="shared" ref="K2368:K2431" si="627">IF(ISBLANK(I2368),0,ROUND(J2368*(1+$F$10)*(1+$F$11*E2368),2))</f>
        <v>0</v>
      </c>
      <c r="L2368" s="647"/>
      <c r="M2368" s="723"/>
      <c r="N2368" s="576">
        <f t="shared" si="616"/>
        <v>0</v>
      </c>
      <c r="O2368" s="577">
        <f t="shared" si="610"/>
        <v>0</v>
      </c>
      <c r="P2368" s="578">
        <f t="shared" si="611"/>
        <v>0</v>
      </c>
      <c r="Q2368" s="765"/>
      <c r="R2368" s="723"/>
      <c r="S2368" s="723"/>
      <c r="T2368" s="577">
        <f t="shared" ref="T2368:T2431" si="628">IF(ISBLANK(R2368),0,ROUND(K2368*R2368,2))</f>
        <v>0</v>
      </c>
      <c r="U2368" s="578">
        <f t="shared" ref="U2368:U2431" si="629">IF(ISBLANK(R2368),0,ROUND(R2368*S2368,2))</f>
        <v>0</v>
      </c>
      <c r="V2368" s="579"/>
      <c r="W2368" s="566" t="str">
        <f>IF(U2366&gt;0,"xx",IF(P2366&gt;0,"xy",""))</f>
        <v/>
      </c>
      <c r="X2368" s="586" t="str">
        <f t="shared" si="622"/>
        <v/>
      </c>
      <c r="Y2368" s="586" t="str">
        <f t="shared" si="612"/>
        <v/>
      </c>
      <c r="Z2368" s="586" t="str">
        <f t="shared" si="621"/>
        <v/>
      </c>
    </row>
    <row r="2369" spans="1:26" ht="12" hidden="1" thickBot="1" x14ac:dyDescent="0.25">
      <c r="A2369" s="567" t="s">
        <v>168</v>
      </c>
      <c r="B2369" s="644" t="s">
        <v>168</v>
      </c>
      <c r="C2369" s="645"/>
      <c r="D2369" s="422" t="s">
        <v>252</v>
      </c>
      <c r="E2369" s="423"/>
      <c r="F2369" s="424">
        <v>20</v>
      </c>
      <c r="G2369" s="425">
        <f>VLOOKUP(D2366,'[2]ENSAIOS DE ORÇAMENTO'!$C$3:$L$79,6,FALSE)</f>
        <v>2.7020064000000001</v>
      </c>
      <c r="H2369" s="663">
        <f t="shared" si="626"/>
        <v>65.064314112000005</v>
      </c>
      <c r="I2369" s="420"/>
      <c r="J2369" s="420"/>
      <c r="K2369" s="421">
        <f t="shared" si="627"/>
        <v>0</v>
      </c>
      <c r="L2369" s="647"/>
      <c r="M2369" s="723"/>
      <c r="N2369" s="576">
        <f t="shared" si="616"/>
        <v>0</v>
      </c>
      <c r="O2369" s="577">
        <f t="shared" ref="O2369:O2432" si="630">IF(ISBLANK(M2369),0,ROUND(K2369*M2369,2))</f>
        <v>0</v>
      </c>
      <c r="P2369" s="578">
        <f t="shared" ref="P2369:P2432" si="631">IF(ISBLANK(N2369),0,ROUND(M2369*N2369,2))</f>
        <v>0</v>
      </c>
      <c r="Q2369" s="765"/>
      <c r="R2369" s="723"/>
      <c r="S2369" s="723"/>
      <c r="T2369" s="577">
        <f t="shared" si="628"/>
        <v>0</v>
      </c>
      <c r="U2369" s="578">
        <f t="shared" si="629"/>
        <v>0</v>
      </c>
      <c r="V2369" s="579"/>
      <c r="W2369" s="566" t="str">
        <f>IF(U2366&gt;0,"xx",IF(P2366&gt;0,"xy",""))</f>
        <v/>
      </c>
      <c r="X2369" s="586" t="str">
        <f t="shared" si="622"/>
        <v/>
      </c>
      <c r="Y2369" s="586" t="str">
        <f t="shared" si="612"/>
        <v/>
      </c>
      <c r="Z2369" s="586" t="str">
        <f t="shared" si="621"/>
        <v/>
      </c>
    </row>
    <row r="2370" spans="1:26" ht="12" hidden="1" thickBot="1" x14ac:dyDescent="0.25">
      <c r="A2370" s="567" t="s">
        <v>168</v>
      </c>
      <c r="B2370" s="644" t="s">
        <v>168</v>
      </c>
      <c r="C2370" s="645"/>
      <c r="D2370" s="422" t="s">
        <v>400</v>
      </c>
      <c r="E2370" s="423"/>
      <c r="F2370" s="424">
        <v>30</v>
      </c>
      <c r="G2370" s="425">
        <f>VLOOKUP(D2366,'[2]ENSAIOS DE ORÇAMENTO'!$C$3:$L$79,3,FALSE)</f>
        <v>0</v>
      </c>
      <c r="H2370" s="663">
        <f t="shared" si="626"/>
        <v>0</v>
      </c>
      <c r="I2370" s="420"/>
      <c r="J2370" s="420"/>
      <c r="K2370" s="421">
        <f t="shared" si="627"/>
        <v>0</v>
      </c>
      <c r="L2370" s="647"/>
      <c r="M2370" s="723"/>
      <c r="N2370" s="576">
        <f t="shared" si="616"/>
        <v>0</v>
      </c>
      <c r="O2370" s="577">
        <f t="shared" si="630"/>
        <v>0</v>
      </c>
      <c r="P2370" s="578">
        <f t="shared" si="631"/>
        <v>0</v>
      </c>
      <c r="Q2370" s="765"/>
      <c r="R2370" s="723"/>
      <c r="S2370" s="723"/>
      <c r="T2370" s="577">
        <f t="shared" si="628"/>
        <v>0</v>
      </c>
      <c r="U2370" s="578">
        <f t="shared" si="629"/>
        <v>0</v>
      </c>
      <c r="V2370" s="579"/>
      <c r="W2370" s="566" t="str">
        <f>IF(U2366&gt;0,"xx",IF(P2366&gt;0,"xy",""))</f>
        <v/>
      </c>
      <c r="X2370" s="586" t="str">
        <f t="shared" si="622"/>
        <v/>
      </c>
      <c r="Y2370" s="586" t="str">
        <f t="shared" si="612"/>
        <v/>
      </c>
      <c r="Z2370" s="586" t="str">
        <f t="shared" si="621"/>
        <v/>
      </c>
    </row>
    <row r="2371" spans="1:26" ht="12" hidden="1" thickBot="1" x14ac:dyDescent="0.25">
      <c r="A2371" s="567" t="s">
        <v>168</v>
      </c>
      <c r="B2371" s="644" t="s">
        <v>168</v>
      </c>
      <c r="C2371" s="645"/>
      <c r="D2371" s="422" t="s">
        <v>401</v>
      </c>
      <c r="E2371" s="423"/>
      <c r="F2371" s="424">
        <v>500</v>
      </c>
      <c r="G2371" s="425">
        <f>VLOOKUP(D2366,'[2]ENSAIOS DE ORÇAMENTO'!$C$3:$L$79,10,FALSE)</f>
        <v>0</v>
      </c>
      <c r="H2371" s="649">
        <f>IF(F2371&lt;=30,(0.78*F2371+7.82)*G2371,((0.78*30+7.82)+0.78*(F2371-30))*G2371)</f>
        <v>0</v>
      </c>
      <c r="I2371" s="420"/>
      <c r="J2371" s="420"/>
      <c r="K2371" s="421">
        <f t="shared" si="627"/>
        <v>0</v>
      </c>
      <c r="L2371" s="647"/>
      <c r="M2371" s="723"/>
      <c r="N2371" s="576">
        <f t="shared" si="616"/>
        <v>0</v>
      </c>
      <c r="O2371" s="577">
        <f t="shared" si="630"/>
        <v>0</v>
      </c>
      <c r="P2371" s="578">
        <f t="shared" si="631"/>
        <v>0</v>
      </c>
      <c r="Q2371" s="765"/>
      <c r="R2371" s="723"/>
      <c r="S2371" s="723"/>
      <c r="T2371" s="577">
        <f t="shared" si="628"/>
        <v>0</v>
      </c>
      <c r="U2371" s="578">
        <f t="shared" si="629"/>
        <v>0</v>
      </c>
      <c r="V2371" s="579"/>
      <c r="W2371" s="566" t="str">
        <f>IF(U2366&gt;0,"xx",IF(P2366&gt;0,"xy",""))</f>
        <v/>
      </c>
      <c r="X2371" s="586" t="str">
        <f t="shared" si="622"/>
        <v/>
      </c>
      <c r="Y2371" s="586" t="str">
        <f t="shared" si="612"/>
        <v/>
      </c>
      <c r="Z2371" s="586" t="str">
        <f t="shared" si="621"/>
        <v/>
      </c>
    </row>
    <row r="2372" spans="1:26" ht="12" hidden="1" thickBot="1" x14ac:dyDescent="0.25">
      <c r="A2372" s="567" t="s">
        <v>131</v>
      </c>
      <c r="B2372" s="644" t="s">
        <v>131</v>
      </c>
      <c r="C2372" s="645" t="s">
        <v>206</v>
      </c>
      <c r="D2372" s="422" t="s">
        <v>415</v>
      </c>
      <c r="E2372" s="423"/>
      <c r="F2372" s="424"/>
      <c r="G2372" s="425"/>
      <c r="H2372" s="651">
        <f>SUM(H2373:H2377)</f>
        <v>146.76171636480004</v>
      </c>
      <c r="I2372" s="420">
        <f>VLOOKUP(D2372,'[2]ENSAIOS DE ORÇAMENTO'!$C$3:$L$79,8,FALSE)</f>
        <v>877.32228026666667</v>
      </c>
      <c r="J2372" s="420">
        <f>IF(ISBLANK(I2372),"",SUM(H2372:I2372))</f>
        <v>1024.0839966314668</v>
      </c>
      <c r="K2372" s="421">
        <f t="shared" si="627"/>
        <v>1216.71</v>
      </c>
      <c r="L2372" s="647" t="s">
        <v>21</v>
      </c>
      <c r="M2372" s="576"/>
      <c r="N2372" s="576">
        <f t="shared" si="616"/>
        <v>0</v>
      </c>
      <c r="O2372" s="577">
        <f t="shared" si="630"/>
        <v>0</v>
      </c>
      <c r="P2372" s="578">
        <f t="shared" si="631"/>
        <v>0</v>
      </c>
      <c r="Q2372" s="765"/>
      <c r="R2372" s="576">
        <f>M2372</f>
        <v>0</v>
      </c>
      <c r="S2372" s="576">
        <f>N2372</f>
        <v>0</v>
      </c>
      <c r="T2372" s="577">
        <f t="shared" si="628"/>
        <v>0</v>
      </c>
      <c r="U2372" s="578">
        <f t="shared" si="629"/>
        <v>0</v>
      </c>
      <c r="V2372" s="579"/>
      <c r="W2372" s="566"/>
      <c r="X2372" s="586" t="str">
        <f t="shared" si="622"/>
        <v/>
      </c>
      <c r="Y2372" s="586" t="str">
        <f t="shared" si="612"/>
        <v/>
      </c>
      <c r="Z2372" s="586" t="str">
        <f t="shared" si="621"/>
        <v/>
      </c>
    </row>
    <row r="2373" spans="1:26" ht="12" hidden="1" thickBot="1" x14ac:dyDescent="0.25">
      <c r="A2373" s="567" t="s">
        <v>168</v>
      </c>
      <c r="B2373" s="644" t="s">
        <v>168</v>
      </c>
      <c r="C2373" s="645"/>
      <c r="D2373" s="422" t="s">
        <v>212</v>
      </c>
      <c r="E2373" s="423"/>
      <c r="F2373" s="424">
        <v>500</v>
      </c>
      <c r="G2373" s="425">
        <f>VLOOKUP(D2372,'[2]ENSAIOS DE ORÇAMENTO'!$C$3:$L$79,4,FALSE)</f>
        <v>0.13625280000000003</v>
      </c>
      <c r="H2373" s="649">
        <f>IF(F2373&lt;=30,(0.78*F2373+7.82)*G2373,((0.78*30+7.82)+0.78*(F2373-30))*G2373)</f>
        <v>54.204088896000023</v>
      </c>
      <c r="I2373" s="420"/>
      <c r="J2373" s="420"/>
      <c r="K2373" s="421">
        <f t="shared" si="627"/>
        <v>0</v>
      </c>
      <c r="L2373" s="647"/>
      <c r="M2373" s="723"/>
      <c r="N2373" s="576">
        <f t="shared" si="616"/>
        <v>0</v>
      </c>
      <c r="O2373" s="577">
        <f t="shared" si="630"/>
        <v>0</v>
      </c>
      <c r="P2373" s="578">
        <f t="shared" si="631"/>
        <v>0</v>
      </c>
      <c r="Q2373" s="765"/>
      <c r="R2373" s="723"/>
      <c r="S2373" s="723"/>
      <c r="T2373" s="577">
        <f t="shared" si="628"/>
        <v>0</v>
      </c>
      <c r="U2373" s="578">
        <f t="shared" si="629"/>
        <v>0</v>
      </c>
      <c r="V2373" s="579"/>
      <c r="W2373" s="566" t="str">
        <f>IF(U2372&gt;0,"xx",IF(P2372&gt;0,"xy",""))</f>
        <v/>
      </c>
      <c r="X2373" s="586" t="str">
        <f t="shared" si="622"/>
        <v/>
      </c>
      <c r="Y2373" s="586" t="str">
        <f t="shared" si="612"/>
        <v/>
      </c>
      <c r="Z2373" s="586" t="str">
        <f t="shared" si="621"/>
        <v/>
      </c>
    </row>
    <row r="2374" spans="1:26" ht="12" hidden="1" thickBot="1" x14ac:dyDescent="0.25">
      <c r="A2374" s="567" t="s">
        <v>168</v>
      </c>
      <c r="B2374" s="644" t="s">
        <v>168</v>
      </c>
      <c r="C2374" s="645"/>
      <c r="D2374" s="422" t="s">
        <v>248</v>
      </c>
      <c r="E2374" s="423"/>
      <c r="F2374" s="424">
        <v>180</v>
      </c>
      <c r="G2374" s="425">
        <f>VLOOKUP(D2372,'[2]ENSAIOS DE ORÇAMENTO'!$C$3:$L$79,5,FALSE)</f>
        <v>0.41372736000000004</v>
      </c>
      <c r="H2374" s="663">
        <f t="shared" ref="H2374:H2376" si="632">IF(F2374&lt;=30,(1.07*F2374+2.68)*G2374,((1.07*30+2.68)+1.07*(F2374-30))*G2374)</f>
        <v>80.792678860800009</v>
      </c>
      <c r="I2374" s="420"/>
      <c r="J2374" s="420"/>
      <c r="K2374" s="421">
        <f t="shared" si="627"/>
        <v>0</v>
      </c>
      <c r="L2374" s="647"/>
      <c r="M2374" s="723"/>
      <c r="N2374" s="576">
        <f t="shared" si="616"/>
        <v>0</v>
      </c>
      <c r="O2374" s="577">
        <f t="shared" si="630"/>
        <v>0</v>
      </c>
      <c r="P2374" s="578">
        <f t="shared" si="631"/>
        <v>0</v>
      </c>
      <c r="Q2374" s="765"/>
      <c r="R2374" s="723"/>
      <c r="S2374" s="723"/>
      <c r="T2374" s="577">
        <f t="shared" si="628"/>
        <v>0</v>
      </c>
      <c r="U2374" s="578">
        <f t="shared" si="629"/>
        <v>0</v>
      </c>
      <c r="V2374" s="579"/>
      <c r="W2374" s="566" t="str">
        <f>IF(U2372&gt;0,"xx",IF(P2372&gt;0,"xy",""))</f>
        <v/>
      </c>
      <c r="X2374" s="586" t="str">
        <f t="shared" si="622"/>
        <v/>
      </c>
      <c r="Y2374" s="586" t="str">
        <f t="shared" si="612"/>
        <v/>
      </c>
      <c r="Z2374" s="586" t="str">
        <f t="shared" si="621"/>
        <v/>
      </c>
    </row>
    <row r="2375" spans="1:26" ht="12" hidden="1" thickBot="1" x14ac:dyDescent="0.25">
      <c r="A2375" s="567" t="s">
        <v>168</v>
      </c>
      <c r="B2375" s="644" t="s">
        <v>168</v>
      </c>
      <c r="C2375" s="645"/>
      <c r="D2375" s="422" t="s">
        <v>252</v>
      </c>
      <c r="E2375" s="423"/>
      <c r="F2375" s="424">
        <v>20</v>
      </c>
      <c r="G2375" s="425">
        <f>VLOOKUP(D2372,'[2]ENSAIOS DE ORÇAMENTO'!$C$3:$L$79,6,FALSE)</f>
        <v>0.48857760000000011</v>
      </c>
      <c r="H2375" s="663">
        <f t="shared" si="632"/>
        <v>11.764948608000003</v>
      </c>
      <c r="I2375" s="420"/>
      <c r="J2375" s="420"/>
      <c r="K2375" s="421">
        <f t="shared" si="627"/>
        <v>0</v>
      </c>
      <c r="L2375" s="647"/>
      <c r="M2375" s="723"/>
      <c r="N2375" s="576">
        <f t="shared" si="616"/>
        <v>0</v>
      </c>
      <c r="O2375" s="577">
        <f t="shared" si="630"/>
        <v>0</v>
      </c>
      <c r="P2375" s="578">
        <f t="shared" si="631"/>
        <v>0</v>
      </c>
      <c r="Q2375" s="765"/>
      <c r="R2375" s="723"/>
      <c r="S2375" s="723"/>
      <c r="T2375" s="577">
        <f t="shared" si="628"/>
        <v>0</v>
      </c>
      <c r="U2375" s="578">
        <f t="shared" si="629"/>
        <v>0</v>
      </c>
      <c r="V2375" s="579"/>
      <c r="W2375" s="566" t="str">
        <f>IF(U2372&gt;0,"xx",IF(P2372&gt;0,"xy",""))</f>
        <v/>
      </c>
      <c r="X2375" s="586" t="str">
        <f t="shared" si="622"/>
        <v/>
      </c>
      <c r="Y2375" s="586" t="str">
        <f t="shared" si="612"/>
        <v/>
      </c>
      <c r="Z2375" s="586" t="str">
        <f t="shared" si="621"/>
        <v/>
      </c>
    </row>
    <row r="2376" spans="1:26" ht="12" hidden="1" thickBot="1" x14ac:dyDescent="0.25">
      <c r="A2376" s="567" t="s">
        <v>168</v>
      </c>
      <c r="B2376" s="644" t="s">
        <v>168</v>
      </c>
      <c r="C2376" s="645"/>
      <c r="D2376" s="422" t="s">
        <v>400</v>
      </c>
      <c r="E2376" s="423"/>
      <c r="F2376" s="424">
        <v>30</v>
      </c>
      <c r="G2376" s="425">
        <f>VLOOKUP(D2372,'[2]ENSAIOS DE ORÇAMENTO'!$C$3:$L$79,3,FALSE)</f>
        <v>0</v>
      </c>
      <c r="H2376" s="663">
        <f t="shared" si="632"/>
        <v>0</v>
      </c>
      <c r="I2376" s="420"/>
      <c r="J2376" s="420"/>
      <c r="K2376" s="421">
        <f t="shared" si="627"/>
        <v>0</v>
      </c>
      <c r="L2376" s="647"/>
      <c r="M2376" s="723"/>
      <c r="N2376" s="576">
        <f t="shared" si="616"/>
        <v>0</v>
      </c>
      <c r="O2376" s="577">
        <f t="shared" si="630"/>
        <v>0</v>
      </c>
      <c r="P2376" s="578">
        <f t="shared" si="631"/>
        <v>0</v>
      </c>
      <c r="Q2376" s="765"/>
      <c r="R2376" s="723"/>
      <c r="S2376" s="723"/>
      <c r="T2376" s="577">
        <f t="shared" si="628"/>
        <v>0</v>
      </c>
      <c r="U2376" s="578">
        <f t="shared" si="629"/>
        <v>0</v>
      </c>
      <c r="V2376" s="579"/>
      <c r="W2376" s="566" t="str">
        <f>IF(U2372&gt;0,"xx",IF(P2372&gt;0,"xy",""))</f>
        <v/>
      </c>
      <c r="X2376" s="586" t="str">
        <f t="shared" si="622"/>
        <v/>
      </c>
      <c r="Y2376" s="586" t="str">
        <f t="shared" ref="Y2376:Y2439" si="633">IF(W2376="X","x",IF(W2376="y","x",IF(W2376="xx","x",IF(U2376&gt;0,"x",""))))</f>
        <v/>
      </c>
      <c r="Z2376" s="586" t="str">
        <f t="shared" si="621"/>
        <v/>
      </c>
    </row>
    <row r="2377" spans="1:26" ht="12" hidden="1" thickBot="1" x14ac:dyDescent="0.25">
      <c r="A2377" s="567" t="s">
        <v>168</v>
      </c>
      <c r="B2377" s="644" t="s">
        <v>168</v>
      </c>
      <c r="C2377" s="645"/>
      <c r="D2377" s="422" t="s">
        <v>401</v>
      </c>
      <c r="E2377" s="423"/>
      <c r="F2377" s="424">
        <v>500</v>
      </c>
      <c r="G2377" s="425">
        <f>VLOOKUP(D2372,'[2]ENSAIOS DE ORÇAMENTO'!$C$3:$L$79,10,FALSE)</f>
        <v>0</v>
      </c>
      <c r="H2377" s="649">
        <f>IF(F2377&lt;=30,(0.78*F2377+7.82)*G2377,((0.78*30+7.82)+0.78*(F2377-30))*G2377)</f>
        <v>0</v>
      </c>
      <c r="I2377" s="420"/>
      <c r="J2377" s="420"/>
      <c r="K2377" s="421">
        <f t="shared" si="627"/>
        <v>0</v>
      </c>
      <c r="L2377" s="647"/>
      <c r="M2377" s="723"/>
      <c r="N2377" s="576">
        <f t="shared" si="616"/>
        <v>0</v>
      </c>
      <c r="O2377" s="577">
        <f t="shared" si="630"/>
        <v>0</v>
      </c>
      <c r="P2377" s="578">
        <f t="shared" si="631"/>
        <v>0</v>
      </c>
      <c r="Q2377" s="765"/>
      <c r="R2377" s="723"/>
      <c r="S2377" s="723"/>
      <c r="T2377" s="577">
        <f t="shared" si="628"/>
        <v>0</v>
      </c>
      <c r="U2377" s="578">
        <f t="shared" si="629"/>
        <v>0</v>
      </c>
      <c r="V2377" s="579"/>
      <c r="W2377" s="566" t="str">
        <f>IF(U2372&gt;0,"xx",IF(P2372&gt;0,"xy",""))</f>
        <v/>
      </c>
      <c r="X2377" s="586" t="str">
        <f t="shared" si="622"/>
        <v/>
      </c>
      <c r="Y2377" s="586" t="str">
        <f t="shared" si="633"/>
        <v/>
      </c>
      <c r="Z2377" s="586" t="str">
        <f t="shared" si="621"/>
        <v/>
      </c>
    </row>
    <row r="2378" spans="1:26" ht="12" hidden="1" thickBot="1" x14ac:dyDescent="0.25">
      <c r="A2378" s="567" t="s">
        <v>40</v>
      </c>
      <c r="B2378" s="644" t="s">
        <v>40</v>
      </c>
      <c r="C2378" s="645" t="s">
        <v>206</v>
      </c>
      <c r="D2378" s="422" t="s">
        <v>416</v>
      </c>
      <c r="E2378" s="423"/>
      <c r="F2378" s="424"/>
      <c r="G2378" s="425"/>
      <c r="H2378" s="651">
        <f>SUM(H2379:H2383)</f>
        <v>223.47402276336004</v>
      </c>
      <c r="I2378" s="420">
        <f>VLOOKUP(D2378,'[2]ENSAIOS DE ORÇAMENTO'!$C$3:$L$79,8,FALSE)</f>
        <v>1386.7382591866667</v>
      </c>
      <c r="J2378" s="420">
        <f>IF(ISBLANK(I2378),"",SUM(H2378:I2378))</f>
        <v>1610.2122819500269</v>
      </c>
      <c r="K2378" s="421">
        <f t="shared" si="627"/>
        <v>1913.09</v>
      </c>
      <c r="L2378" s="647" t="s">
        <v>21</v>
      </c>
      <c r="M2378" s="576"/>
      <c r="N2378" s="576">
        <f t="shared" si="616"/>
        <v>0</v>
      </c>
      <c r="O2378" s="577">
        <f t="shared" si="630"/>
        <v>0</v>
      </c>
      <c r="P2378" s="578">
        <f t="shared" si="631"/>
        <v>0</v>
      </c>
      <c r="Q2378" s="765"/>
      <c r="R2378" s="576">
        <f>M2378</f>
        <v>0</v>
      </c>
      <c r="S2378" s="576">
        <f>N2378</f>
        <v>0</v>
      </c>
      <c r="T2378" s="577">
        <f t="shared" si="628"/>
        <v>0</v>
      </c>
      <c r="U2378" s="578">
        <f t="shared" si="629"/>
        <v>0</v>
      </c>
      <c r="V2378" s="579"/>
      <c r="W2378" s="566"/>
      <c r="X2378" s="586" t="str">
        <f t="shared" si="622"/>
        <v/>
      </c>
      <c r="Y2378" s="586" t="str">
        <f t="shared" si="633"/>
        <v/>
      </c>
      <c r="Z2378" s="586" t="str">
        <f t="shared" si="621"/>
        <v/>
      </c>
    </row>
    <row r="2379" spans="1:26" ht="12" hidden="1" thickBot="1" x14ac:dyDescent="0.25">
      <c r="A2379" s="567" t="s">
        <v>168</v>
      </c>
      <c r="B2379" s="644" t="s">
        <v>168</v>
      </c>
      <c r="C2379" s="645"/>
      <c r="D2379" s="422" t="s">
        <v>212</v>
      </c>
      <c r="E2379" s="423"/>
      <c r="F2379" s="424">
        <v>500</v>
      </c>
      <c r="G2379" s="425">
        <f>VLOOKUP(D2378,'[2]ENSAIOS DE ORÇAMENTO'!$C$3:$L$79,4,FALSE)</f>
        <v>0.21117996</v>
      </c>
      <c r="H2379" s="649">
        <f>IF(F2379&lt;=30,(0.78*F2379+7.82)*G2379,((0.78*30+7.82)+0.78*(F2379-30))*G2379)</f>
        <v>84.011611687200016</v>
      </c>
      <c r="I2379" s="420"/>
      <c r="J2379" s="420"/>
      <c r="K2379" s="421">
        <f t="shared" si="627"/>
        <v>0</v>
      </c>
      <c r="L2379" s="647"/>
      <c r="M2379" s="723"/>
      <c r="N2379" s="576">
        <f t="shared" si="616"/>
        <v>0</v>
      </c>
      <c r="O2379" s="577">
        <f t="shared" si="630"/>
        <v>0</v>
      </c>
      <c r="P2379" s="578">
        <f t="shared" si="631"/>
        <v>0</v>
      </c>
      <c r="Q2379" s="765"/>
      <c r="R2379" s="723"/>
      <c r="S2379" s="723"/>
      <c r="T2379" s="577">
        <f t="shared" si="628"/>
        <v>0</v>
      </c>
      <c r="U2379" s="578">
        <f t="shared" si="629"/>
        <v>0</v>
      </c>
      <c r="V2379" s="579"/>
      <c r="W2379" s="566" t="str">
        <f>IF(U2378&gt;0,"xx",IF(P2378&gt;0,"xy",""))</f>
        <v/>
      </c>
      <c r="X2379" s="586" t="str">
        <f t="shared" si="622"/>
        <v/>
      </c>
      <c r="Y2379" s="586" t="str">
        <f t="shared" si="633"/>
        <v/>
      </c>
      <c r="Z2379" s="586" t="str">
        <f t="shared" si="621"/>
        <v/>
      </c>
    </row>
    <row r="2380" spans="1:26" ht="12" hidden="1" thickBot="1" x14ac:dyDescent="0.25">
      <c r="A2380" s="567" t="s">
        <v>168</v>
      </c>
      <c r="B2380" s="644" t="s">
        <v>168</v>
      </c>
      <c r="C2380" s="645"/>
      <c r="D2380" s="422" t="s">
        <v>248</v>
      </c>
      <c r="E2380" s="423"/>
      <c r="F2380" s="424">
        <v>180</v>
      </c>
      <c r="G2380" s="425">
        <f>VLOOKUP(D2378,'[2]ENSAIOS DE ORÇAMENTO'!$C$3:$L$79,5,FALSE)</f>
        <v>0.62284225199999999</v>
      </c>
      <c r="H2380" s="663">
        <f t="shared" ref="H2380:H2382" si="634">IF(F2380&lt;=30,(1.07*F2380+2.68)*G2380,((1.07*30+2.68)+1.07*(F2380-30))*G2380)</f>
        <v>121.62863497056</v>
      </c>
      <c r="I2380" s="420"/>
      <c r="J2380" s="420"/>
      <c r="K2380" s="421">
        <f t="shared" si="627"/>
        <v>0</v>
      </c>
      <c r="L2380" s="647"/>
      <c r="M2380" s="723"/>
      <c r="N2380" s="576">
        <f t="shared" si="616"/>
        <v>0</v>
      </c>
      <c r="O2380" s="577">
        <f t="shared" si="630"/>
        <v>0</v>
      </c>
      <c r="P2380" s="578">
        <f t="shared" si="631"/>
        <v>0</v>
      </c>
      <c r="Q2380" s="765"/>
      <c r="R2380" s="723"/>
      <c r="S2380" s="723"/>
      <c r="T2380" s="577">
        <f t="shared" si="628"/>
        <v>0</v>
      </c>
      <c r="U2380" s="578">
        <f t="shared" si="629"/>
        <v>0</v>
      </c>
      <c r="V2380" s="579"/>
      <c r="W2380" s="566" t="str">
        <f>IF(U2378&gt;0,"xx",IF(P2378&gt;0,"xy",""))</f>
        <v/>
      </c>
      <c r="X2380" s="586" t="str">
        <f t="shared" si="622"/>
        <v/>
      </c>
      <c r="Y2380" s="586" t="str">
        <f t="shared" si="633"/>
        <v/>
      </c>
      <c r="Z2380" s="586" t="str">
        <f t="shared" si="621"/>
        <v/>
      </c>
    </row>
    <row r="2381" spans="1:26" ht="12" hidden="1" thickBot="1" x14ac:dyDescent="0.25">
      <c r="A2381" s="567" t="s">
        <v>168</v>
      </c>
      <c r="B2381" s="644" t="s">
        <v>168</v>
      </c>
      <c r="C2381" s="645"/>
      <c r="D2381" s="422" t="s">
        <v>252</v>
      </c>
      <c r="E2381" s="423"/>
      <c r="F2381" s="424">
        <v>20</v>
      </c>
      <c r="G2381" s="425">
        <f>VLOOKUP(D2378,'[2]ENSAIOS DE ORÇAMENTO'!$C$3:$L$79,6,FALSE)</f>
        <v>0.74060532000000001</v>
      </c>
      <c r="H2381" s="663">
        <f t="shared" si="634"/>
        <v>17.833776105600002</v>
      </c>
      <c r="I2381" s="420"/>
      <c r="J2381" s="420"/>
      <c r="K2381" s="421">
        <f t="shared" si="627"/>
        <v>0</v>
      </c>
      <c r="L2381" s="647"/>
      <c r="M2381" s="723"/>
      <c r="N2381" s="576">
        <f t="shared" si="616"/>
        <v>0</v>
      </c>
      <c r="O2381" s="577">
        <f t="shared" si="630"/>
        <v>0</v>
      </c>
      <c r="P2381" s="578">
        <f t="shared" si="631"/>
        <v>0</v>
      </c>
      <c r="Q2381" s="765"/>
      <c r="R2381" s="723"/>
      <c r="S2381" s="723"/>
      <c r="T2381" s="577">
        <f t="shared" si="628"/>
        <v>0</v>
      </c>
      <c r="U2381" s="578">
        <f t="shared" si="629"/>
        <v>0</v>
      </c>
      <c r="V2381" s="579"/>
      <c r="W2381" s="566" t="str">
        <f>IF(U2378&gt;0,"xx",IF(P2378&gt;0,"xy",""))</f>
        <v/>
      </c>
      <c r="X2381" s="586" t="str">
        <f t="shared" si="622"/>
        <v/>
      </c>
      <c r="Y2381" s="586" t="str">
        <f t="shared" si="633"/>
        <v/>
      </c>
      <c r="Z2381" s="586" t="str">
        <f t="shared" si="621"/>
        <v/>
      </c>
    </row>
    <row r="2382" spans="1:26" ht="12" hidden="1" thickBot="1" x14ac:dyDescent="0.25">
      <c r="A2382" s="567" t="s">
        <v>168</v>
      </c>
      <c r="B2382" s="644" t="s">
        <v>168</v>
      </c>
      <c r="C2382" s="645"/>
      <c r="D2382" s="422" t="s">
        <v>400</v>
      </c>
      <c r="E2382" s="423"/>
      <c r="F2382" s="424">
        <v>30</v>
      </c>
      <c r="G2382" s="425">
        <f>VLOOKUP(D2378,'[2]ENSAIOS DE ORÇAMENTO'!$C$3:$L$79,3,FALSE)</f>
        <v>0</v>
      </c>
      <c r="H2382" s="663">
        <f t="shared" si="634"/>
        <v>0</v>
      </c>
      <c r="I2382" s="420"/>
      <c r="J2382" s="420"/>
      <c r="K2382" s="421">
        <f t="shared" si="627"/>
        <v>0</v>
      </c>
      <c r="L2382" s="647"/>
      <c r="M2382" s="723"/>
      <c r="N2382" s="576">
        <f t="shared" si="616"/>
        <v>0</v>
      </c>
      <c r="O2382" s="577">
        <f t="shared" si="630"/>
        <v>0</v>
      </c>
      <c r="P2382" s="578">
        <f t="shared" si="631"/>
        <v>0</v>
      </c>
      <c r="Q2382" s="765"/>
      <c r="R2382" s="723"/>
      <c r="S2382" s="723"/>
      <c r="T2382" s="577">
        <f t="shared" si="628"/>
        <v>0</v>
      </c>
      <c r="U2382" s="578">
        <f t="shared" si="629"/>
        <v>0</v>
      </c>
      <c r="V2382" s="579"/>
      <c r="W2382" s="566" t="str">
        <f>IF(U2378&gt;0,"xx",IF(P2378&gt;0,"xy",""))</f>
        <v/>
      </c>
      <c r="X2382" s="586" t="str">
        <f t="shared" si="622"/>
        <v/>
      </c>
      <c r="Y2382" s="586" t="str">
        <f t="shared" si="633"/>
        <v/>
      </c>
      <c r="Z2382" s="586" t="str">
        <f t="shared" si="621"/>
        <v/>
      </c>
    </row>
    <row r="2383" spans="1:26" ht="12" hidden="1" thickBot="1" x14ac:dyDescent="0.25">
      <c r="A2383" s="567" t="s">
        <v>168</v>
      </c>
      <c r="B2383" s="644" t="s">
        <v>168</v>
      </c>
      <c r="C2383" s="645"/>
      <c r="D2383" s="422" t="s">
        <v>401</v>
      </c>
      <c r="E2383" s="423"/>
      <c r="F2383" s="424">
        <v>500</v>
      </c>
      <c r="G2383" s="425">
        <f>VLOOKUP(D2378,'[2]ENSAIOS DE ORÇAMENTO'!$C$3:$L$79,10,FALSE)</f>
        <v>0</v>
      </c>
      <c r="H2383" s="649">
        <f>IF(F2383&lt;=30,(0.78*F2383+7.82)*G2383,((0.78*30+7.82)+0.78*(F2383-30))*G2383)</f>
        <v>0</v>
      </c>
      <c r="I2383" s="420"/>
      <c r="J2383" s="420"/>
      <c r="K2383" s="421">
        <f t="shared" si="627"/>
        <v>0</v>
      </c>
      <c r="L2383" s="647"/>
      <c r="M2383" s="723"/>
      <c r="N2383" s="576">
        <f t="shared" si="616"/>
        <v>0</v>
      </c>
      <c r="O2383" s="577">
        <f t="shared" si="630"/>
        <v>0</v>
      </c>
      <c r="P2383" s="578">
        <f t="shared" si="631"/>
        <v>0</v>
      </c>
      <c r="Q2383" s="765"/>
      <c r="R2383" s="723"/>
      <c r="S2383" s="723"/>
      <c r="T2383" s="577">
        <f t="shared" si="628"/>
        <v>0</v>
      </c>
      <c r="U2383" s="578">
        <f t="shared" si="629"/>
        <v>0</v>
      </c>
      <c r="V2383" s="579"/>
      <c r="W2383" s="566" t="str">
        <f>IF(U2378&gt;0,"xx",IF(P2378&gt;0,"xy",""))</f>
        <v/>
      </c>
      <c r="X2383" s="586" t="str">
        <f t="shared" si="622"/>
        <v/>
      </c>
      <c r="Y2383" s="586" t="str">
        <f t="shared" si="633"/>
        <v/>
      </c>
      <c r="Z2383" s="586" t="str">
        <f t="shared" si="621"/>
        <v/>
      </c>
    </row>
    <row r="2384" spans="1:26" ht="12" hidden="1" thickBot="1" x14ac:dyDescent="0.25">
      <c r="A2384" s="567" t="s">
        <v>41</v>
      </c>
      <c r="B2384" s="644" t="s">
        <v>41</v>
      </c>
      <c r="C2384" s="645" t="s">
        <v>206</v>
      </c>
      <c r="D2384" s="422" t="s">
        <v>417</v>
      </c>
      <c r="E2384" s="423"/>
      <c r="F2384" s="424"/>
      <c r="G2384" s="425"/>
      <c r="H2384" s="651">
        <f>SUM(H2385:H2389)</f>
        <v>402.09418051819995</v>
      </c>
      <c r="I2384" s="420">
        <f>VLOOKUP(D2384,'[2]ENSAIOS DE ORÇAMENTO'!$C$3:$L$79,8,FALSE)</f>
        <v>2390.501674983333</v>
      </c>
      <c r="J2384" s="420">
        <f>IF(ISBLANK(I2384),"",SUM(H2384:I2384))</f>
        <v>2792.5958555015332</v>
      </c>
      <c r="K2384" s="421">
        <f t="shared" si="627"/>
        <v>3317.88</v>
      </c>
      <c r="L2384" s="647" t="s">
        <v>21</v>
      </c>
      <c r="M2384" s="576"/>
      <c r="N2384" s="576">
        <f t="shared" si="616"/>
        <v>0</v>
      </c>
      <c r="O2384" s="577">
        <f t="shared" si="630"/>
        <v>0</v>
      </c>
      <c r="P2384" s="578">
        <f t="shared" si="631"/>
        <v>0</v>
      </c>
      <c r="Q2384" s="765"/>
      <c r="R2384" s="576">
        <f>M2384</f>
        <v>0</v>
      </c>
      <c r="S2384" s="576">
        <f>N2384</f>
        <v>0</v>
      </c>
      <c r="T2384" s="577">
        <f t="shared" si="628"/>
        <v>0</v>
      </c>
      <c r="U2384" s="578">
        <f t="shared" si="629"/>
        <v>0</v>
      </c>
      <c r="V2384" s="579"/>
      <c r="W2384" s="566"/>
      <c r="X2384" s="586" t="str">
        <f t="shared" si="622"/>
        <v/>
      </c>
      <c r="Y2384" s="586" t="str">
        <f t="shared" si="633"/>
        <v/>
      </c>
      <c r="Z2384" s="586" t="str">
        <f t="shared" si="621"/>
        <v/>
      </c>
    </row>
    <row r="2385" spans="1:26" ht="12" hidden="1" thickBot="1" x14ac:dyDescent="0.25">
      <c r="A2385" s="567" t="s">
        <v>168</v>
      </c>
      <c r="B2385" s="644" t="s">
        <v>168</v>
      </c>
      <c r="C2385" s="645"/>
      <c r="D2385" s="422" t="s">
        <v>212</v>
      </c>
      <c r="E2385" s="423"/>
      <c r="F2385" s="424">
        <v>500</v>
      </c>
      <c r="G2385" s="425">
        <f>VLOOKUP(D2384,'[2]ENSAIOS DE ORÇAMENTO'!$C$3:$L$79,4,FALSE)</f>
        <v>0.38327894999999995</v>
      </c>
      <c r="H2385" s="649">
        <f>IF(F2385&lt;=30,(0.78*F2385+7.82)*G2385,((0.78*30+7.82)+0.78*(F2385-30))*G2385)</f>
        <v>152.47603188900001</v>
      </c>
      <c r="I2385" s="420"/>
      <c r="J2385" s="420"/>
      <c r="K2385" s="421">
        <f t="shared" si="627"/>
        <v>0</v>
      </c>
      <c r="L2385" s="647"/>
      <c r="M2385" s="723"/>
      <c r="N2385" s="576">
        <f t="shared" si="616"/>
        <v>0</v>
      </c>
      <c r="O2385" s="577">
        <f t="shared" si="630"/>
        <v>0</v>
      </c>
      <c r="P2385" s="578">
        <f t="shared" si="631"/>
        <v>0</v>
      </c>
      <c r="Q2385" s="765"/>
      <c r="R2385" s="723"/>
      <c r="S2385" s="723"/>
      <c r="T2385" s="577">
        <f t="shared" si="628"/>
        <v>0</v>
      </c>
      <c r="U2385" s="578">
        <f t="shared" si="629"/>
        <v>0</v>
      </c>
      <c r="V2385" s="579"/>
      <c r="W2385" s="566" t="str">
        <f>IF(U2384&gt;0,"xx",IF(P2384&gt;0,"xy",""))</f>
        <v/>
      </c>
      <c r="X2385" s="586" t="str">
        <f t="shared" si="622"/>
        <v/>
      </c>
      <c r="Y2385" s="586" t="str">
        <f t="shared" si="633"/>
        <v/>
      </c>
      <c r="Z2385" s="586" t="str">
        <f t="shared" si="621"/>
        <v/>
      </c>
    </row>
    <row r="2386" spans="1:26" ht="12" hidden="1" thickBot="1" x14ac:dyDescent="0.25">
      <c r="A2386" s="567" t="s">
        <v>168</v>
      </c>
      <c r="B2386" s="644" t="s">
        <v>168</v>
      </c>
      <c r="C2386" s="645"/>
      <c r="D2386" s="422" t="s">
        <v>248</v>
      </c>
      <c r="E2386" s="423"/>
      <c r="F2386" s="424">
        <v>180</v>
      </c>
      <c r="G2386" s="425">
        <f>VLOOKUP(D2384,'[2]ENSAIOS DE ORÇAMENTO'!$C$3:$L$79,5,FALSE)</f>
        <v>1.1143076149999998</v>
      </c>
      <c r="H2386" s="663">
        <f t="shared" ref="H2386:H2388" si="635">IF(F2386&lt;=30,(1.07*F2386+2.68)*G2386,((1.07*30+2.68)+1.07*(F2386-30))*G2386)</f>
        <v>217.60199105719994</v>
      </c>
      <c r="I2386" s="420"/>
      <c r="J2386" s="420"/>
      <c r="K2386" s="421">
        <f t="shared" si="627"/>
        <v>0</v>
      </c>
      <c r="L2386" s="647"/>
      <c r="M2386" s="723"/>
      <c r="N2386" s="576">
        <f t="shared" si="616"/>
        <v>0</v>
      </c>
      <c r="O2386" s="577">
        <f t="shared" si="630"/>
        <v>0</v>
      </c>
      <c r="P2386" s="578">
        <f t="shared" si="631"/>
        <v>0</v>
      </c>
      <c r="Q2386" s="765"/>
      <c r="R2386" s="723"/>
      <c r="S2386" s="723"/>
      <c r="T2386" s="577">
        <f t="shared" si="628"/>
        <v>0</v>
      </c>
      <c r="U2386" s="578">
        <f t="shared" si="629"/>
        <v>0</v>
      </c>
      <c r="V2386" s="579"/>
      <c r="W2386" s="566" t="str">
        <f>IF(U2384&gt;0,"xx",IF(P2384&gt;0,"xy",""))</f>
        <v/>
      </c>
      <c r="X2386" s="586" t="str">
        <f t="shared" si="622"/>
        <v/>
      </c>
      <c r="Y2386" s="586" t="str">
        <f t="shared" si="633"/>
        <v/>
      </c>
      <c r="Z2386" s="586" t="str">
        <f t="shared" si="621"/>
        <v/>
      </c>
    </row>
    <row r="2387" spans="1:26" ht="12" hidden="1" thickBot="1" x14ac:dyDescent="0.25">
      <c r="A2387" s="567" t="s">
        <v>168</v>
      </c>
      <c r="B2387" s="644" t="s">
        <v>168</v>
      </c>
      <c r="C2387" s="645"/>
      <c r="D2387" s="422" t="s">
        <v>252</v>
      </c>
      <c r="E2387" s="423"/>
      <c r="F2387" s="424">
        <v>20</v>
      </c>
      <c r="G2387" s="425">
        <f>VLOOKUP(D2384,'[2]ENSAIOS DE ORÇAMENTO'!$C$3:$L$79,6,FALSE)</f>
        <v>1.3295746499999999</v>
      </c>
      <c r="H2387" s="663">
        <f t="shared" si="635"/>
        <v>32.016157571999997</v>
      </c>
      <c r="I2387" s="420"/>
      <c r="J2387" s="420"/>
      <c r="K2387" s="421">
        <f t="shared" si="627"/>
        <v>0</v>
      </c>
      <c r="L2387" s="647"/>
      <c r="M2387" s="723"/>
      <c r="N2387" s="576">
        <f t="shared" si="616"/>
        <v>0</v>
      </c>
      <c r="O2387" s="577">
        <f t="shared" si="630"/>
        <v>0</v>
      </c>
      <c r="P2387" s="578">
        <f t="shared" si="631"/>
        <v>0</v>
      </c>
      <c r="Q2387" s="765"/>
      <c r="R2387" s="723"/>
      <c r="S2387" s="723"/>
      <c r="T2387" s="577">
        <f t="shared" si="628"/>
        <v>0</v>
      </c>
      <c r="U2387" s="578">
        <f t="shared" si="629"/>
        <v>0</v>
      </c>
      <c r="V2387" s="579"/>
      <c r="W2387" s="566" t="str">
        <f>IF(U2384&gt;0,"xx",IF(P2384&gt;0,"xy",""))</f>
        <v/>
      </c>
      <c r="X2387" s="586" t="str">
        <f t="shared" si="622"/>
        <v/>
      </c>
      <c r="Y2387" s="586" t="str">
        <f t="shared" si="633"/>
        <v/>
      </c>
      <c r="Z2387" s="586" t="str">
        <f t="shared" si="621"/>
        <v/>
      </c>
    </row>
    <row r="2388" spans="1:26" ht="12" hidden="1" thickBot="1" x14ac:dyDescent="0.25">
      <c r="A2388" s="567" t="s">
        <v>168</v>
      </c>
      <c r="B2388" s="644" t="s">
        <v>168</v>
      </c>
      <c r="C2388" s="645"/>
      <c r="D2388" s="422" t="s">
        <v>400</v>
      </c>
      <c r="E2388" s="423"/>
      <c r="F2388" s="424">
        <v>30</v>
      </c>
      <c r="G2388" s="425">
        <f>VLOOKUP(D2384,'[2]ENSAIOS DE ORÇAMENTO'!$C$3:$L$79,3,FALSE)</f>
        <v>0</v>
      </c>
      <c r="H2388" s="663">
        <f t="shared" si="635"/>
        <v>0</v>
      </c>
      <c r="I2388" s="420"/>
      <c r="J2388" s="420"/>
      <c r="K2388" s="421">
        <f t="shared" si="627"/>
        <v>0</v>
      </c>
      <c r="L2388" s="647"/>
      <c r="M2388" s="723"/>
      <c r="N2388" s="576">
        <f t="shared" ref="N2388:N2451" si="636">IF(M2388=0,0,K2388)</f>
        <v>0</v>
      </c>
      <c r="O2388" s="577">
        <f t="shared" si="630"/>
        <v>0</v>
      </c>
      <c r="P2388" s="578">
        <f t="shared" si="631"/>
        <v>0</v>
      </c>
      <c r="Q2388" s="765"/>
      <c r="R2388" s="723"/>
      <c r="S2388" s="723"/>
      <c r="T2388" s="577">
        <f t="shared" si="628"/>
        <v>0</v>
      </c>
      <c r="U2388" s="578">
        <f t="shared" si="629"/>
        <v>0</v>
      </c>
      <c r="V2388" s="579"/>
      <c r="W2388" s="566" t="str">
        <f>IF(U2384&gt;0,"xx",IF(P2384&gt;0,"xy",""))</f>
        <v/>
      </c>
      <c r="X2388" s="586" t="str">
        <f t="shared" si="622"/>
        <v/>
      </c>
      <c r="Y2388" s="586" t="str">
        <f t="shared" si="633"/>
        <v/>
      </c>
      <c r="Z2388" s="586" t="str">
        <f t="shared" si="621"/>
        <v/>
      </c>
    </row>
    <row r="2389" spans="1:26" ht="12" hidden="1" thickBot="1" x14ac:dyDescent="0.25">
      <c r="A2389" s="567" t="s">
        <v>168</v>
      </c>
      <c r="B2389" s="644" t="s">
        <v>168</v>
      </c>
      <c r="C2389" s="645"/>
      <c r="D2389" s="422" t="s">
        <v>401</v>
      </c>
      <c r="E2389" s="423"/>
      <c r="F2389" s="424">
        <v>500</v>
      </c>
      <c r="G2389" s="425">
        <f>VLOOKUP(D2384,'[2]ENSAIOS DE ORÇAMENTO'!$C$3:$L$79,10,FALSE)</f>
        <v>0</v>
      </c>
      <c r="H2389" s="649">
        <f>IF(F2389&lt;=30,(0.78*F2389+7.82)*G2389,((0.78*30+7.82)+0.78*(F2389-30))*G2389)</f>
        <v>0</v>
      </c>
      <c r="I2389" s="420"/>
      <c r="J2389" s="420"/>
      <c r="K2389" s="421">
        <f t="shared" si="627"/>
        <v>0</v>
      </c>
      <c r="L2389" s="647"/>
      <c r="M2389" s="723"/>
      <c r="N2389" s="576">
        <f t="shared" si="636"/>
        <v>0</v>
      </c>
      <c r="O2389" s="577">
        <f t="shared" si="630"/>
        <v>0</v>
      </c>
      <c r="P2389" s="578">
        <f t="shared" si="631"/>
        <v>0</v>
      </c>
      <c r="Q2389" s="765"/>
      <c r="R2389" s="723"/>
      <c r="S2389" s="723"/>
      <c r="T2389" s="577">
        <f t="shared" si="628"/>
        <v>0</v>
      </c>
      <c r="U2389" s="578">
        <f t="shared" si="629"/>
        <v>0</v>
      </c>
      <c r="V2389" s="579"/>
      <c r="W2389" s="566" t="str">
        <f>IF(U2384&gt;0,"xx",IF(P2384&gt;0,"xy",""))</f>
        <v/>
      </c>
      <c r="X2389" s="586" t="str">
        <f t="shared" si="622"/>
        <v/>
      </c>
      <c r="Y2389" s="586" t="str">
        <f t="shared" si="633"/>
        <v/>
      </c>
      <c r="Z2389" s="586" t="str">
        <f t="shared" si="621"/>
        <v/>
      </c>
    </row>
    <row r="2390" spans="1:26" ht="12" hidden="1" thickBot="1" x14ac:dyDescent="0.25">
      <c r="A2390" s="567" t="s">
        <v>42</v>
      </c>
      <c r="B2390" s="644" t="s">
        <v>42</v>
      </c>
      <c r="C2390" s="645" t="s">
        <v>206</v>
      </c>
      <c r="D2390" s="422" t="s">
        <v>418</v>
      </c>
      <c r="E2390" s="423"/>
      <c r="F2390" s="424"/>
      <c r="G2390" s="425"/>
      <c r="H2390" s="651">
        <f>SUM(H2391:H2395)</f>
        <v>590.83642489520014</v>
      </c>
      <c r="I2390" s="420">
        <f>VLOOKUP(D2390,'[2]ENSAIOS DE ORÇAMENTO'!$C$3:$L$79,8,FALSE)</f>
        <v>3484.3103660666666</v>
      </c>
      <c r="J2390" s="420">
        <f>IF(ISBLANK(I2390),"",SUM(H2390:I2390))</f>
        <v>4075.1467909618668</v>
      </c>
      <c r="K2390" s="421">
        <f t="shared" si="627"/>
        <v>4841.68</v>
      </c>
      <c r="L2390" s="647" t="s">
        <v>21</v>
      </c>
      <c r="M2390" s="576"/>
      <c r="N2390" s="576">
        <f t="shared" si="636"/>
        <v>0</v>
      </c>
      <c r="O2390" s="577">
        <f t="shared" si="630"/>
        <v>0</v>
      </c>
      <c r="P2390" s="578">
        <f t="shared" si="631"/>
        <v>0</v>
      </c>
      <c r="Q2390" s="765"/>
      <c r="R2390" s="576">
        <f>M2390</f>
        <v>0</v>
      </c>
      <c r="S2390" s="576">
        <f>N2390</f>
        <v>0</v>
      </c>
      <c r="T2390" s="577">
        <f t="shared" si="628"/>
        <v>0</v>
      </c>
      <c r="U2390" s="578">
        <f t="shared" si="629"/>
        <v>0</v>
      </c>
      <c r="V2390" s="579"/>
      <c r="W2390" s="566"/>
      <c r="X2390" s="586" t="str">
        <f t="shared" si="622"/>
        <v/>
      </c>
      <c r="Y2390" s="586" t="str">
        <f t="shared" si="633"/>
        <v/>
      </c>
      <c r="Z2390" s="586" t="str">
        <f t="shared" si="621"/>
        <v/>
      </c>
    </row>
    <row r="2391" spans="1:26" ht="12" hidden="1" thickBot="1" x14ac:dyDescent="0.25">
      <c r="A2391" s="567" t="s">
        <v>168</v>
      </c>
      <c r="B2391" s="644" t="s">
        <v>168</v>
      </c>
      <c r="C2391" s="645"/>
      <c r="D2391" s="422" t="s">
        <v>212</v>
      </c>
      <c r="E2391" s="423"/>
      <c r="F2391" s="424">
        <v>500</v>
      </c>
      <c r="G2391" s="425">
        <f>VLOOKUP(D2390,'[2]ENSAIOS DE ORÇAMENTO'!$C$3:$L$79,4,FALSE)</f>
        <v>0.56408220000000009</v>
      </c>
      <c r="H2391" s="649">
        <f>IF(F2391&lt;=30,(0.78*F2391+7.82)*G2391,((0.78*30+7.82)+0.78*(F2391-30))*G2391)</f>
        <v>224.40318080400007</v>
      </c>
      <c r="I2391" s="420"/>
      <c r="J2391" s="420"/>
      <c r="K2391" s="421">
        <f t="shared" si="627"/>
        <v>0</v>
      </c>
      <c r="L2391" s="647"/>
      <c r="M2391" s="723"/>
      <c r="N2391" s="576">
        <f t="shared" si="636"/>
        <v>0</v>
      </c>
      <c r="O2391" s="577">
        <f t="shared" si="630"/>
        <v>0</v>
      </c>
      <c r="P2391" s="578">
        <f t="shared" si="631"/>
        <v>0</v>
      </c>
      <c r="Q2391" s="765"/>
      <c r="R2391" s="723"/>
      <c r="S2391" s="723"/>
      <c r="T2391" s="577">
        <f t="shared" si="628"/>
        <v>0</v>
      </c>
      <c r="U2391" s="578">
        <f t="shared" si="629"/>
        <v>0</v>
      </c>
      <c r="V2391" s="579"/>
      <c r="W2391" s="566" t="str">
        <f>IF(U2390&gt;0,"xx",IF(P2390&gt;0,"xy",""))</f>
        <v/>
      </c>
      <c r="X2391" s="586" t="str">
        <f t="shared" si="622"/>
        <v/>
      </c>
      <c r="Y2391" s="586" t="str">
        <f t="shared" si="633"/>
        <v/>
      </c>
      <c r="Z2391" s="586" t="str">
        <f t="shared" si="621"/>
        <v/>
      </c>
    </row>
    <row r="2392" spans="1:26" ht="12" hidden="1" thickBot="1" x14ac:dyDescent="0.25">
      <c r="A2392" s="567" t="s">
        <v>168</v>
      </c>
      <c r="B2392" s="644" t="s">
        <v>168</v>
      </c>
      <c r="C2392" s="645"/>
      <c r="D2392" s="422" t="s">
        <v>248</v>
      </c>
      <c r="E2392" s="423"/>
      <c r="F2392" s="424">
        <v>180</v>
      </c>
      <c r="G2392" s="425">
        <f>VLOOKUP(D2390,'[2]ENSAIOS DE ORÇAMENTO'!$C$3:$L$79,5,FALSE)</f>
        <v>1.6356421400000001</v>
      </c>
      <c r="H2392" s="663">
        <f t="shared" ref="H2392:H2394" si="637">IF(F2392&lt;=30,(1.07*F2392+2.68)*G2392,((1.07*30+2.68)+1.07*(F2392-30))*G2392)</f>
        <v>319.40819709920004</v>
      </c>
      <c r="I2392" s="420"/>
      <c r="J2392" s="420"/>
      <c r="K2392" s="421">
        <f t="shared" si="627"/>
        <v>0</v>
      </c>
      <c r="L2392" s="647"/>
      <c r="M2392" s="723"/>
      <c r="N2392" s="576">
        <f t="shared" si="636"/>
        <v>0</v>
      </c>
      <c r="O2392" s="577">
        <f t="shared" si="630"/>
        <v>0</v>
      </c>
      <c r="P2392" s="578">
        <f t="shared" si="631"/>
        <v>0</v>
      </c>
      <c r="Q2392" s="765"/>
      <c r="R2392" s="723"/>
      <c r="S2392" s="723"/>
      <c r="T2392" s="577">
        <f t="shared" si="628"/>
        <v>0</v>
      </c>
      <c r="U2392" s="578">
        <f t="shared" si="629"/>
        <v>0</v>
      </c>
      <c r="V2392" s="579"/>
      <c r="W2392" s="566" t="str">
        <f>IF(U2390&gt;0,"xx",IF(P2390&gt;0,"xy",""))</f>
        <v/>
      </c>
      <c r="X2392" s="586" t="str">
        <f t="shared" si="622"/>
        <v/>
      </c>
      <c r="Y2392" s="586" t="str">
        <f t="shared" si="633"/>
        <v/>
      </c>
      <c r="Z2392" s="586" t="str">
        <f t="shared" si="621"/>
        <v/>
      </c>
    </row>
    <row r="2393" spans="1:26" ht="12" hidden="1" thickBot="1" x14ac:dyDescent="0.25">
      <c r="A2393" s="567" t="s">
        <v>168</v>
      </c>
      <c r="B2393" s="644" t="s">
        <v>168</v>
      </c>
      <c r="C2393" s="645"/>
      <c r="D2393" s="422" t="s">
        <v>252</v>
      </c>
      <c r="E2393" s="423"/>
      <c r="F2393" s="424">
        <v>20</v>
      </c>
      <c r="G2393" s="425">
        <f>VLOOKUP(D2390,'[2]ENSAIOS DE ORÇAMENTO'!$C$3:$L$79,6,FALSE)</f>
        <v>1.9528674000000004</v>
      </c>
      <c r="H2393" s="663">
        <f t="shared" si="637"/>
        <v>47.025046992000014</v>
      </c>
      <c r="I2393" s="420"/>
      <c r="J2393" s="420"/>
      <c r="K2393" s="421">
        <f t="shared" si="627"/>
        <v>0</v>
      </c>
      <c r="L2393" s="647"/>
      <c r="M2393" s="723"/>
      <c r="N2393" s="576">
        <f t="shared" si="636"/>
        <v>0</v>
      </c>
      <c r="O2393" s="577">
        <f t="shared" si="630"/>
        <v>0</v>
      </c>
      <c r="P2393" s="578">
        <f t="shared" si="631"/>
        <v>0</v>
      </c>
      <c r="Q2393" s="765"/>
      <c r="R2393" s="723"/>
      <c r="S2393" s="723"/>
      <c r="T2393" s="577">
        <f t="shared" si="628"/>
        <v>0</v>
      </c>
      <c r="U2393" s="578">
        <f t="shared" si="629"/>
        <v>0</v>
      </c>
      <c r="V2393" s="579"/>
      <c r="W2393" s="566" t="str">
        <f>IF(U2390&gt;0,"xx",IF(P2390&gt;0,"xy",""))</f>
        <v/>
      </c>
      <c r="X2393" s="586" t="str">
        <f t="shared" si="622"/>
        <v/>
      </c>
      <c r="Y2393" s="586" t="str">
        <f t="shared" si="633"/>
        <v/>
      </c>
      <c r="Z2393" s="586" t="str">
        <f t="shared" si="621"/>
        <v/>
      </c>
    </row>
    <row r="2394" spans="1:26" ht="12" hidden="1" thickBot="1" x14ac:dyDescent="0.25">
      <c r="A2394" s="567" t="s">
        <v>168</v>
      </c>
      <c r="B2394" s="644" t="s">
        <v>168</v>
      </c>
      <c r="C2394" s="645"/>
      <c r="D2394" s="422" t="s">
        <v>400</v>
      </c>
      <c r="E2394" s="423"/>
      <c r="F2394" s="424">
        <v>30</v>
      </c>
      <c r="G2394" s="425">
        <f>VLOOKUP(D2390,'[2]ENSAIOS DE ORÇAMENTO'!$C$3:$L$79,3,FALSE)</f>
        <v>0</v>
      </c>
      <c r="H2394" s="663">
        <f t="shared" si="637"/>
        <v>0</v>
      </c>
      <c r="I2394" s="420"/>
      <c r="J2394" s="420"/>
      <c r="K2394" s="421">
        <f t="shared" si="627"/>
        <v>0</v>
      </c>
      <c r="L2394" s="647"/>
      <c r="M2394" s="723"/>
      <c r="N2394" s="576">
        <f t="shared" si="636"/>
        <v>0</v>
      </c>
      <c r="O2394" s="577">
        <f t="shared" si="630"/>
        <v>0</v>
      </c>
      <c r="P2394" s="578">
        <f t="shared" si="631"/>
        <v>0</v>
      </c>
      <c r="Q2394" s="765"/>
      <c r="R2394" s="723"/>
      <c r="S2394" s="723"/>
      <c r="T2394" s="577">
        <f t="shared" si="628"/>
        <v>0</v>
      </c>
      <c r="U2394" s="578">
        <f t="shared" si="629"/>
        <v>0</v>
      </c>
      <c r="V2394" s="579"/>
      <c r="W2394" s="566" t="str">
        <f>IF(U2390&gt;0,"xx",IF(P2390&gt;0,"xy",""))</f>
        <v/>
      </c>
      <c r="X2394" s="586" t="str">
        <f t="shared" si="622"/>
        <v/>
      </c>
      <c r="Y2394" s="586" t="str">
        <f t="shared" si="633"/>
        <v/>
      </c>
      <c r="Z2394" s="586" t="str">
        <f t="shared" si="621"/>
        <v/>
      </c>
    </row>
    <row r="2395" spans="1:26" ht="12" hidden="1" thickBot="1" x14ac:dyDescent="0.25">
      <c r="A2395" s="567" t="s">
        <v>168</v>
      </c>
      <c r="B2395" s="644" t="s">
        <v>168</v>
      </c>
      <c r="C2395" s="645"/>
      <c r="D2395" s="422" t="s">
        <v>401</v>
      </c>
      <c r="E2395" s="423"/>
      <c r="F2395" s="424">
        <v>500</v>
      </c>
      <c r="G2395" s="425">
        <f>VLOOKUP(D2390,'[2]ENSAIOS DE ORÇAMENTO'!$C$3:$L$79,10,FALSE)</f>
        <v>0</v>
      </c>
      <c r="H2395" s="649">
        <f>IF(F2395&lt;=30,(0.78*F2395+7.82)*G2395,((0.78*30+7.82)+0.78*(F2395-30))*G2395)</f>
        <v>0</v>
      </c>
      <c r="I2395" s="420"/>
      <c r="J2395" s="420"/>
      <c r="K2395" s="421">
        <f t="shared" si="627"/>
        <v>0</v>
      </c>
      <c r="L2395" s="647"/>
      <c r="M2395" s="723"/>
      <c r="N2395" s="576">
        <f t="shared" si="636"/>
        <v>0</v>
      </c>
      <c r="O2395" s="577">
        <f t="shared" si="630"/>
        <v>0</v>
      </c>
      <c r="P2395" s="578">
        <f t="shared" si="631"/>
        <v>0</v>
      </c>
      <c r="Q2395" s="765"/>
      <c r="R2395" s="723"/>
      <c r="S2395" s="723"/>
      <c r="T2395" s="577">
        <f t="shared" si="628"/>
        <v>0</v>
      </c>
      <c r="U2395" s="578">
        <f t="shared" si="629"/>
        <v>0</v>
      </c>
      <c r="V2395" s="579"/>
      <c r="W2395" s="566" t="str">
        <f>IF(U2390&gt;0,"xx",IF(P2390&gt;0,"xy",""))</f>
        <v/>
      </c>
      <c r="X2395" s="586" t="str">
        <f t="shared" si="622"/>
        <v/>
      </c>
      <c r="Y2395" s="586" t="str">
        <f t="shared" si="633"/>
        <v/>
      </c>
      <c r="Z2395" s="586" t="str">
        <f t="shared" si="621"/>
        <v/>
      </c>
    </row>
    <row r="2396" spans="1:26" ht="12" hidden="1" thickBot="1" x14ac:dyDescent="0.25">
      <c r="A2396" s="567" t="s">
        <v>43</v>
      </c>
      <c r="B2396" s="644" t="s">
        <v>43</v>
      </c>
      <c r="C2396" s="645" t="s">
        <v>206</v>
      </c>
      <c r="D2396" s="422" t="s">
        <v>419</v>
      </c>
      <c r="E2396" s="423"/>
      <c r="F2396" s="424"/>
      <c r="G2396" s="425"/>
      <c r="H2396" s="651">
        <f>SUM(H2397:H2401)</f>
        <v>817.23322366720015</v>
      </c>
      <c r="I2396" s="420">
        <f>VLOOKUP(D2396,'[2]ENSAIOS DE ORÇAMENTO'!$C$3:$L$79,8,FALSE)</f>
        <v>4805.7457183999995</v>
      </c>
      <c r="J2396" s="420">
        <f>IF(ISBLANK(I2396),"",SUM(H2396:I2396))</f>
        <v>5622.9789420671996</v>
      </c>
      <c r="K2396" s="421">
        <f t="shared" si="627"/>
        <v>6680.66</v>
      </c>
      <c r="L2396" s="647" t="s">
        <v>21</v>
      </c>
      <c r="M2396" s="576"/>
      <c r="N2396" s="576">
        <f t="shared" si="636"/>
        <v>0</v>
      </c>
      <c r="O2396" s="577">
        <f t="shared" si="630"/>
        <v>0</v>
      </c>
      <c r="P2396" s="578">
        <f t="shared" si="631"/>
        <v>0</v>
      </c>
      <c r="Q2396" s="765"/>
      <c r="R2396" s="576">
        <f>M2396</f>
        <v>0</v>
      </c>
      <c r="S2396" s="576">
        <f>N2396</f>
        <v>0</v>
      </c>
      <c r="T2396" s="577">
        <f t="shared" si="628"/>
        <v>0</v>
      </c>
      <c r="U2396" s="578">
        <f t="shared" si="629"/>
        <v>0</v>
      </c>
      <c r="V2396" s="579"/>
      <c r="W2396" s="566"/>
      <c r="X2396" s="586" t="str">
        <f t="shared" si="622"/>
        <v/>
      </c>
      <c r="Y2396" s="586" t="str">
        <f t="shared" si="633"/>
        <v/>
      </c>
      <c r="Z2396" s="586" t="str">
        <f t="shared" si="621"/>
        <v/>
      </c>
    </row>
    <row r="2397" spans="1:26" ht="12" hidden="1" thickBot="1" x14ac:dyDescent="0.25">
      <c r="A2397" s="567" t="s">
        <v>168</v>
      </c>
      <c r="B2397" s="644" t="s">
        <v>168</v>
      </c>
      <c r="C2397" s="645"/>
      <c r="D2397" s="422" t="s">
        <v>212</v>
      </c>
      <c r="E2397" s="423"/>
      <c r="F2397" s="424">
        <v>500</v>
      </c>
      <c r="G2397" s="425">
        <f>VLOOKUP(D2396,'[2]ENSAIOS DE ORÇAMENTO'!$C$3:$L$79,4,FALSE)</f>
        <v>0.77929919999999997</v>
      </c>
      <c r="H2397" s="649">
        <f>IF(F2397&lt;=30,(0.78*F2397+7.82)*G2397,((0.78*30+7.82)+0.78*(F2397-30))*G2397)</f>
        <v>310.02080774400002</v>
      </c>
      <c r="I2397" s="420"/>
      <c r="J2397" s="420"/>
      <c r="K2397" s="421">
        <f t="shared" si="627"/>
        <v>0</v>
      </c>
      <c r="L2397" s="647"/>
      <c r="M2397" s="723"/>
      <c r="N2397" s="576">
        <f t="shared" si="636"/>
        <v>0</v>
      </c>
      <c r="O2397" s="577">
        <f t="shared" si="630"/>
        <v>0</v>
      </c>
      <c r="P2397" s="578">
        <f t="shared" si="631"/>
        <v>0</v>
      </c>
      <c r="Q2397" s="765"/>
      <c r="R2397" s="723"/>
      <c r="S2397" s="723"/>
      <c r="T2397" s="577">
        <f t="shared" si="628"/>
        <v>0</v>
      </c>
      <c r="U2397" s="578">
        <f t="shared" si="629"/>
        <v>0</v>
      </c>
      <c r="V2397" s="579"/>
      <c r="W2397" s="566" t="str">
        <f>IF(U2396&gt;0,"xx",IF(P2396&gt;0,"xy",""))</f>
        <v/>
      </c>
      <c r="X2397" s="586" t="str">
        <f t="shared" si="622"/>
        <v/>
      </c>
      <c r="Y2397" s="586" t="str">
        <f t="shared" si="633"/>
        <v/>
      </c>
      <c r="Z2397" s="586" t="str">
        <f t="shared" si="621"/>
        <v/>
      </c>
    </row>
    <row r="2398" spans="1:26" ht="12" hidden="1" thickBot="1" x14ac:dyDescent="0.25">
      <c r="A2398" s="567" t="s">
        <v>168</v>
      </c>
      <c r="B2398" s="644" t="s">
        <v>168</v>
      </c>
      <c r="C2398" s="645"/>
      <c r="D2398" s="422" t="s">
        <v>248</v>
      </c>
      <c r="E2398" s="423"/>
      <c r="F2398" s="424">
        <v>180</v>
      </c>
      <c r="G2398" s="425">
        <f>VLOOKUP(D2396,'[2]ENSAIOS DE ORÇAMENTO'!$C$3:$L$79,5,FALSE)</f>
        <v>2.26417504</v>
      </c>
      <c r="H2398" s="663">
        <f t="shared" ref="H2398:H2400" si="638">IF(F2398&lt;=30,(1.07*F2398+2.68)*G2398,((1.07*30+2.68)+1.07*(F2398-30))*G2398)</f>
        <v>442.14810181120004</v>
      </c>
      <c r="I2398" s="420"/>
      <c r="J2398" s="420"/>
      <c r="K2398" s="421">
        <f t="shared" si="627"/>
        <v>0</v>
      </c>
      <c r="L2398" s="647"/>
      <c r="M2398" s="723"/>
      <c r="N2398" s="576">
        <f t="shared" si="636"/>
        <v>0</v>
      </c>
      <c r="O2398" s="577">
        <f t="shared" si="630"/>
        <v>0</v>
      </c>
      <c r="P2398" s="578">
        <f t="shared" si="631"/>
        <v>0</v>
      </c>
      <c r="Q2398" s="765"/>
      <c r="R2398" s="723"/>
      <c r="S2398" s="723"/>
      <c r="T2398" s="577">
        <f t="shared" si="628"/>
        <v>0</v>
      </c>
      <c r="U2398" s="578">
        <f t="shared" si="629"/>
        <v>0</v>
      </c>
      <c r="V2398" s="579"/>
      <c r="W2398" s="566" t="str">
        <f>IF(U2396&gt;0,"xx",IF(P2396&gt;0,"xy",""))</f>
        <v/>
      </c>
      <c r="X2398" s="586" t="str">
        <f t="shared" si="622"/>
        <v/>
      </c>
      <c r="Y2398" s="586" t="str">
        <f t="shared" si="633"/>
        <v/>
      </c>
      <c r="Z2398" s="586" t="str">
        <f t="shared" si="621"/>
        <v/>
      </c>
    </row>
    <row r="2399" spans="1:26" ht="12" hidden="1" thickBot="1" x14ac:dyDescent="0.25">
      <c r="A2399" s="567" t="s">
        <v>168</v>
      </c>
      <c r="B2399" s="644" t="s">
        <v>168</v>
      </c>
      <c r="C2399" s="645"/>
      <c r="D2399" s="422" t="s">
        <v>252</v>
      </c>
      <c r="E2399" s="423"/>
      <c r="F2399" s="424">
        <v>20</v>
      </c>
      <c r="G2399" s="425">
        <f>VLOOKUP(D2396,'[2]ENSAIOS DE ORÇAMENTO'!$C$3:$L$79,6,FALSE)</f>
        <v>2.7020064000000001</v>
      </c>
      <c r="H2399" s="663">
        <f t="shared" si="638"/>
        <v>65.064314112000005</v>
      </c>
      <c r="I2399" s="420"/>
      <c r="J2399" s="420"/>
      <c r="K2399" s="421">
        <f t="shared" si="627"/>
        <v>0</v>
      </c>
      <c r="L2399" s="647"/>
      <c r="M2399" s="723"/>
      <c r="N2399" s="576">
        <f t="shared" si="636"/>
        <v>0</v>
      </c>
      <c r="O2399" s="577">
        <f t="shared" si="630"/>
        <v>0</v>
      </c>
      <c r="P2399" s="578">
        <f t="shared" si="631"/>
        <v>0</v>
      </c>
      <c r="Q2399" s="765"/>
      <c r="R2399" s="723"/>
      <c r="S2399" s="723"/>
      <c r="T2399" s="577">
        <f t="shared" si="628"/>
        <v>0</v>
      </c>
      <c r="U2399" s="578">
        <f t="shared" si="629"/>
        <v>0</v>
      </c>
      <c r="V2399" s="579"/>
      <c r="W2399" s="566" t="str">
        <f>IF(U2396&gt;0,"xx",IF(P2396&gt;0,"xy",""))</f>
        <v/>
      </c>
      <c r="X2399" s="586" t="str">
        <f t="shared" si="622"/>
        <v/>
      </c>
      <c r="Y2399" s="586" t="str">
        <f t="shared" si="633"/>
        <v/>
      </c>
      <c r="Z2399" s="586" t="str">
        <f t="shared" si="621"/>
        <v/>
      </c>
    </row>
    <row r="2400" spans="1:26" ht="12" hidden="1" thickBot="1" x14ac:dyDescent="0.25">
      <c r="A2400" s="567" t="s">
        <v>168</v>
      </c>
      <c r="B2400" s="644" t="s">
        <v>168</v>
      </c>
      <c r="C2400" s="645"/>
      <c r="D2400" s="422" t="s">
        <v>400</v>
      </c>
      <c r="E2400" s="423"/>
      <c r="F2400" s="424">
        <v>30</v>
      </c>
      <c r="G2400" s="425">
        <f>VLOOKUP(D2396,'[2]ENSAIOS DE ORÇAMENTO'!$C$3:$L$79,3,FALSE)</f>
        <v>0</v>
      </c>
      <c r="H2400" s="663">
        <f t="shared" si="638"/>
        <v>0</v>
      </c>
      <c r="I2400" s="420"/>
      <c r="J2400" s="420"/>
      <c r="K2400" s="421">
        <f t="shared" si="627"/>
        <v>0</v>
      </c>
      <c r="L2400" s="647"/>
      <c r="M2400" s="723"/>
      <c r="N2400" s="576">
        <f t="shared" si="636"/>
        <v>0</v>
      </c>
      <c r="O2400" s="577">
        <f t="shared" si="630"/>
        <v>0</v>
      </c>
      <c r="P2400" s="578">
        <f t="shared" si="631"/>
        <v>0</v>
      </c>
      <c r="Q2400" s="765"/>
      <c r="R2400" s="723"/>
      <c r="S2400" s="723"/>
      <c r="T2400" s="577">
        <f t="shared" si="628"/>
        <v>0</v>
      </c>
      <c r="U2400" s="578">
        <f t="shared" si="629"/>
        <v>0</v>
      </c>
      <c r="V2400" s="579"/>
      <c r="W2400" s="566" t="str">
        <f>IF(U2396&gt;0,"xx",IF(P2396&gt;0,"xy",""))</f>
        <v/>
      </c>
      <c r="X2400" s="586" t="str">
        <f t="shared" si="622"/>
        <v/>
      </c>
      <c r="Y2400" s="586" t="str">
        <f t="shared" si="633"/>
        <v/>
      </c>
      <c r="Z2400" s="586" t="str">
        <f t="shared" si="621"/>
        <v/>
      </c>
    </row>
    <row r="2401" spans="1:26" ht="12" hidden="1" thickBot="1" x14ac:dyDescent="0.25">
      <c r="A2401" s="567" t="s">
        <v>168</v>
      </c>
      <c r="B2401" s="644" t="s">
        <v>168</v>
      </c>
      <c r="C2401" s="645"/>
      <c r="D2401" s="422" t="s">
        <v>401</v>
      </c>
      <c r="E2401" s="423"/>
      <c r="F2401" s="424">
        <v>500</v>
      </c>
      <c r="G2401" s="425">
        <f>VLOOKUP(D2396,'[2]ENSAIOS DE ORÇAMENTO'!$C$3:$L$79,10,FALSE)</f>
        <v>0</v>
      </c>
      <c r="H2401" s="649">
        <f>IF(F2401&lt;=30,(0.78*F2401+7.82)*G2401,((0.78*30+7.82)+0.78*(F2401-30))*G2401)</f>
        <v>0</v>
      </c>
      <c r="I2401" s="420"/>
      <c r="J2401" s="420"/>
      <c r="K2401" s="421">
        <f t="shared" si="627"/>
        <v>0</v>
      </c>
      <c r="L2401" s="647"/>
      <c r="M2401" s="723"/>
      <c r="N2401" s="576">
        <f t="shared" si="636"/>
        <v>0</v>
      </c>
      <c r="O2401" s="577">
        <f t="shared" si="630"/>
        <v>0</v>
      </c>
      <c r="P2401" s="578">
        <f t="shared" si="631"/>
        <v>0</v>
      </c>
      <c r="Q2401" s="765"/>
      <c r="R2401" s="723"/>
      <c r="S2401" s="723"/>
      <c r="T2401" s="577">
        <f t="shared" si="628"/>
        <v>0</v>
      </c>
      <c r="U2401" s="578">
        <f t="shared" si="629"/>
        <v>0</v>
      </c>
      <c r="V2401" s="579"/>
      <c r="W2401" s="566" t="str">
        <f>IF(U2396&gt;0,"xx",IF(P2396&gt;0,"xy",""))</f>
        <v/>
      </c>
      <c r="X2401" s="586" t="str">
        <f t="shared" si="622"/>
        <v/>
      </c>
      <c r="Y2401" s="586" t="str">
        <f t="shared" si="633"/>
        <v/>
      </c>
      <c r="Z2401" s="586" t="str">
        <f t="shared" si="621"/>
        <v/>
      </c>
    </row>
    <row r="2402" spans="1:26" ht="12" hidden="1" thickBot="1" x14ac:dyDescent="0.25">
      <c r="A2402" s="567" t="s">
        <v>44</v>
      </c>
      <c r="B2402" s="644" t="s">
        <v>44</v>
      </c>
      <c r="C2402" s="645" t="s">
        <v>206</v>
      </c>
      <c r="D2402" s="422" t="s">
        <v>420</v>
      </c>
      <c r="E2402" s="423"/>
      <c r="F2402" s="424"/>
      <c r="G2402" s="425"/>
      <c r="H2402" s="651">
        <f>SUM(H2403:H2407)</f>
        <v>1267.4930508222001</v>
      </c>
      <c r="I2402" s="420">
        <f>VLOOKUP(D2402,'[2]ENSAIOS DE ORÇAMENTO'!$C$3:$L$79,8,FALSE)</f>
        <v>7260.3459926499991</v>
      </c>
      <c r="J2402" s="420">
        <f>IF(ISBLANK(I2402),"",SUM(H2402:I2402))</f>
        <v>8527.8390434721987</v>
      </c>
      <c r="K2402" s="421">
        <f t="shared" si="627"/>
        <v>10131.93</v>
      </c>
      <c r="L2402" s="647" t="s">
        <v>21</v>
      </c>
      <c r="M2402" s="576"/>
      <c r="N2402" s="576">
        <f t="shared" si="636"/>
        <v>0</v>
      </c>
      <c r="O2402" s="577">
        <f t="shared" si="630"/>
        <v>0</v>
      </c>
      <c r="P2402" s="578">
        <f t="shared" si="631"/>
        <v>0</v>
      </c>
      <c r="Q2402" s="765"/>
      <c r="R2402" s="576">
        <f>M2402</f>
        <v>0</v>
      </c>
      <c r="S2402" s="576">
        <f>N2402</f>
        <v>0</v>
      </c>
      <c r="T2402" s="577">
        <f t="shared" si="628"/>
        <v>0</v>
      </c>
      <c r="U2402" s="578">
        <f t="shared" si="629"/>
        <v>0</v>
      </c>
      <c r="V2402" s="579"/>
      <c r="W2402" s="566"/>
      <c r="X2402" s="586" t="str">
        <f t="shared" si="622"/>
        <v/>
      </c>
      <c r="Y2402" s="586" t="str">
        <f t="shared" si="633"/>
        <v/>
      </c>
      <c r="Z2402" s="586" t="str">
        <f t="shared" si="621"/>
        <v/>
      </c>
    </row>
    <row r="2403" spans="1:26" ht="12" hidden="1" thickBot="1" x14ac:dyDescent="0.25">
      <c r="A2403" s="567" t="s">
        <v>168</v>
      </c>
      <c r="B2403" s="644" t="s">
        <v>168</v>
      </c>
      <c r="C2403" s="645"/>
      <c r="D2403" s="422" t="s">
        <v>212</v>
      </c>
      <c r="E2403" s="423"/>
      <c r="F2403" s="424">
        <v>500</v>
      </c>
      <c r="G2403" s="425">
        <f>VLOOKUP(D2402,'[2]ENSAIOS DE ORÇAMENTO'!$C$3:$L$79,4,FALSE)</f>
        <v>1.2096229499999998</v>
      </c>
      <c r="H2403" s="649">
        <f>IF(F2403&lt;=30,(0.78*F2403+7.82)*G2403,((0.78*30+7.82)+0.78*(F2403-30))*G2403)</f>
        <v>481.21220196899998</v>
      </c>
      <c r="I2403" s="420"/>
      <c r="J2403" s="420"/>
      <c r="K2403" s="421">
        <f t="shared" si="627"/>
        <v>0</v>
      </c>
      <c r="L2403" s="647"/>
      <c r="M2403" s="723"/>
      <c r="N2403" s="576">
        <f t="shared" si="636"/>
        <v>0</v>
      </c>
      <c r="O2403" s="577">
        <f t="shared" si="630"/>
        <v>0</v>
      </c>
      <c r="P2403" s="578">
        <f t="shared" si="631"/>
        <v>0</v>
      </c>
      <c r="Q2403" s="765"/>
      <c r="R2403" s="723"/>
      <c r="S2403" s="723"/>
      <c r="T2403" s="577">
        <f t="shared" si="628"/>
        <v>0</v>
      </c>
      <c r="U2403" s="578">
        <f t="shared" si="629"/>
        <v>0</v>
      </c>
      <c r="V2403" s="579"/>
      <c r="W2403" s="566" t="str">
        <f>IF(U2402&gt;0,"xx",IF(P2402&gt;0,"xy",""))</f>
        <v/>
      </c>
      <c r="X2403" s="586" t="str">
        <f t="shared" si="622"/>
        <v/>
      </c>
      <c r="Y2403" s="586" t="str">
        <f t="shared" si="633"/>
        <v/>
      </c>
      <c r="Z2403" s="586" t="str">
        <f t="shared" si="621"/>
        <v/>
      </c>
    </row>
    <row r="2404" spans="1:26" ht="12" hidden="1" thickBot="1" x14ac:dyDescent="0.25">
      <c r="A2404" s="567" t="s">
        <v>168</v>
      </c>
      <c r="B2404" s="644" t="s">
        <v>168</v>
      </c>
      <c r="C2404" s="645"/>
      <c r="D2404" s="422" t="s">
        <v>248</v>
      </c>
      <c r="E2404" s="423"/>
      <c r="F2404" s="424">
        <v>180</v>
      </c>
      <c r="G2404" s="425">
        <f>VLOOKUP(D2402,'[2]ENSAIOS DE ORÇAMENTO'!$C$3:$L$79,5,FALSE)</f>
        <v>3.5097804149999998</v>
      </c>
      <c r="H2404" s="663">
        <f t="shared" ref="H2404:H2406" si="639">IF(F2404&lt;=30,(1.07*F2404+2.68)*G2404,((1.07*30+2.68)+1.07*(F2404-30))*G2404)</f>
        <v>685.38991944119994</v>
      </c>
      <c r="I2404" s="420"/>
      <c r="J2404" s="420"/>
      <c r="K2404" s="421">
        <f t="shared" si="627"/>
        <v>0</v>
      </c>
      <c r="L2404" s="647"/>
      <c r="M2404" s="723"/>
      <c r="N2404" s="576">
        <f t="shared" si="636"/>
        <v>0</v>
      </c>
      <c r="O2404" s="577">
        <f t="shared" si="630"/>
        <v>0</v>
      </c>
      <c r="P2404" s="578">
        <f t="shared" si="631"/>
        <v>0</v>
      </c>
      <c r="Q2404" s="765"/>
      <c r="R2404" s="723"/>
      <c r="S2404" s="723"/>
      <c r="T2404" s="577">
        <f t="shared" si="628"/>
        <v>0</v>
      </c>
      <c r="U2404" s="578">
        <f t="shared" si="629"/>
        <v>0</v>
      </c>
      <c r="V2404" s="579"/>
      <c r="W2404" s="566" t="str">
        <f>IF(U2402&gt;0,"xx",IF(P2402&gt;0,"xy",""))</f>
        <v/>
      </c>
      <c r="X2404" s="586" t="str">
        <f t="shared" si="622"/>
        <v/>
      </c>
      <c r="Y2404" s="586" t="str">
        <f t="shared" si="633"/>
        <v/>
      </c>
      <c r="Z2404" s="586" t="str">
        <f t="shared" si="621"/>
        <v/>
      </c>
    </row>
    <row r="2405" spans="1:26" ht="12" hidden="1" thickBot="1" x14ac:dyDescent="0.25">
      <c r="A2405" s="567" t="s">
        <v>168</v>
      </c>
      <c r="B2405" s="644" t="s">
        <v>168</v>
      </c>
      <c r="C2405" s="645"/>
      <c r="D2405" s="422" t="s">
        <v>252</v>
      </c>
      <c r="E2405" s="423"/>
      <c r="F2405" s="424">
        <v>20</v>
      </c>
      <c r="G2405" s="425">
        <f>VLOOKUP(D2402,'[2]ENSAIOS DE ORÇAMENTO'!$C$3:$L$79,6,FALSE)</f>
        <v>4.18982265</v>
      </c>
      <c r="H2405" s="663">
        <f t="shared" si="639"/>
        <v>100.89092941200001</v>
      </c>
      <c r="I2405" s="420"/>
      <c r="J2405" s="420"/>
      <c r="K2405" s="421">
        <f t="shared" si="627"/>
        <v>0</v>
      </c>
      <c r="L2405" s="647"/>
      <c r="M2405" s="723"/>
      <c r="N2405" s="576">
        <f t="shared" si="636"/>
        <v>0</v>
      </c>
      <c r="O2405" s="577">
        <f t="shared" si="630"/>
        <v>0</v>
      </c>
      <c r="P2405" s="578">
        <f t="shared" si="631"/>
        <v>0</v>
      </c>
      <c r="Q2405" s="765"/>
      <c r="R2405" s="723"/>
      <c r="S2405" s="723"/>
      <c r="T2405" s="577">
        <f t="shared" si="628"/>
        <v>0</v>
      </c>
      <c r="U2405" s="578">
        <f t="shared" si="629"/>
        <v>0</v>
      </c>
      <c r="V2405" s="579"/>
      <c r="W2405" s="566" t="str">
        <f>IF(U2402&gt;0,"xx",IF(P2402&gt;0,"xy",""))</f>
        <v/>
      </c>
      <c r="X2405" s="586" t="str">
        <f t="shared" si="622"/>
        <v/>
      </c>
      <c r="Y2405" s="586" t="str">
        <f t="shared" si="633"/>
        <v/>
      </c>
      <c r="Z2405" s="586" t="str">
        <f t="shared" si="621"/>
        <v/>
      </c>
    </row>
    <row r="2406" spans="1:26" ht="12" hidden="1" thickBot="1" x14ac:dyDescent="0.25">
      <c r="A2406" s="567" t="s">
        <v>168</v>
      </c>
      <c r="B2406" s="644" t="s">
        <v>168</v>
      </c>
      <c r="C2406" s="645"/>
      <c r="D2406" s="422" t="s">
        <v>400</v>
      </c>
      <c r="E2406" s="423"/>
      <c r="F2406" s="424">
        <v>30</v>
      </c>
      <c r="G2406" s="425">
        <f>VLOOKUP(D2402,'[2]ENSAIOS DE ORÇAMENTO'!$C$3:$L$79,3,FALSE)</f>
        <v>0</v>
      </c>
      <c r="H2406" s="663">
        <f t="shared" si="639"/>
        <v>0</v>
      </c>
      <c r="I2406" s="420"/>
      <c r="J2406" s="420"/>
      <c r="K2406" s="421">
        <f t="shared" si="627"/>
        <v>0</v>
      </c>
      <c r="L2406" s="647"/>
      <c r="M2406" s="723"/>
      <c r="N2406" s="576">
        <f t="shared" si="636"/>
        <v>0</v>
      </c>
      <c r="O2406" s="577">
        <f t="shared" si="630"/>
        <v>0</v>
      </c>
      <c r="P2406" s="578">
        <f t="shared" si="631"/>
        <v>0</v>
      </c>
      <c r="Q2406" s="765"/>
      <c r="R2406" s="723"/>
      <c r="S2406" s="723"/>
      <c r="T2406" s="577">
        <f t="shared" si="628"/>
        <v>0</v>
      </c>
      <c r="U2406" s="578">
        <f t="shared" si="629"/>
        <v>0</v>
      </c>
      <c r="V2406" s="579"/>
      <c r="W2406" s="566" t="str">
        <f>IF(U2402&gt;0,"xx",IF(P2402&gt;0,"xy",""))</f>
        <v/>
      </c>
      <c r="X2406" s="586" t="str">
        <f t="shared" si="622"/>
        <v/>
      </c>
      <c r="Y2406" s="586" t="str">
        <f t="shared" si="633"/>
        <v/>
      </c>
      <c r="Z2406" s="586" t="str">
        <f t="shared" si="621"/>
        <v/>
      </c>
    </row>
    <row r="2407" spans="1:26" ht="12" hidden="1" thickBot="1" x14ac:dyDescent="0.25">
      <c r="A2407" s="567" t="s">
        <v>168</v>
      </c>
      <c r="B2407" s="644" t="s">
        <v>168</v>
      </c>
      <c r="C2407" s="645"/>
      <c r="D2407" s="422" t="s">
        <v>401</v>
      </c>
      <c r="E2407" s="423"/>
      <c r="F2407" s="424">
        <v>500</v>
      </c>
      <c r="G2407" s="425">
        <f>VLOOKUP(D2402,'[2]ENSAIOS DE ORÇAMENTO'!$C$3:$L$79,10,FALSE)</f>
        <v>0</v>
      </c>
      <c r="H2407" s="649">
        <f>IF(F2407&lt;=30,(0.78*F2407+7.82)*G2407,((0.78*30+7.82)+0.78*(F2407-30))*G2407)</f>
        <v>0</v>
      </c>
      <c r="I2407" s="420"/>
      <c r="J2407" s="420"/>
      <c r="K2407" s="421">
        <f t="shared" si="627"/>
        <v>0</v>
      </c>
      <c r="L2407" s="647"/>
      <c r="M2407" s="723"/>
      <c r="N2407" s="576">
        <f t="shared" si="636"/>
        <v>0</v>
      </c>
      <c r="O2407" s="577">
        <f t="shared" si="630"/>
        <v>0</v>
      </c>
      <c r="P2407" s="578">
        <f t="shared" si="631"/>
        <v>0</v>
      </c>
      <c r="Q2407" s="765"/>
      <c r="R2407" s="723"/>
      <c r="S2407" s="723"/>
      <c r="T2407" s="577">
        <f t="shared" si="628"/>
        <v>0</v>
      </c>
      <c r="U2407" s="578">
        <f t="shared" si="629"/>
        <v>0</v>
      </c>
      <c r="V2407" s="579"/>
      <c r="W2407" s="566" t="str">
        <f>IF(U2402&gt;0,"xx",IF(P2402&gt;0,"xy",""))</f>
        <v/>
      </c>
      <c r="X2407" s="586" t="str">
        <f t="shared" si="622"/>
        <v/>
      </c>
      <c r="Y2407" s="586" t="str">
        <f t="shared" si="633"/>
        <v/>
      </c>
      <c r="Z2407" s="586" t="str">
        <f t="shared" si="621"/>
        <v/>
      </c>
    </row>
    <row r="2408" spans="1:26" ht="12" hidden="1" thickBot="1" x14ac:dyDescent="0.25">
      <c r="A2408" s="567" t="s">
        <v>45</v>
      </c>
      <c r="B2408" s="644" t="s">
        <v>45</v>
      </c>
      <c r="C2408" s="645" t="s">
        <v>206</v>
      </c>
      <c r="D2408" s="422" t="s">
        <v>421</v>
      </c>
      <c r="E2408" s="423"/>
      <c r="F2408" s="424"/>
      <c r="G2408" s="425"/>
      <c r="H2408" s="651">
        <f>SUM(H2409:H2413)</f>
        <v>1997.8318681182</v>
      </c>
      <c r="I2408" s="420">
        <f>VLOOKUP(D2408,'[2]ENSAIOS DE ORÇAMENTO'!$C$3:$L$79,8,FALSE)</f>
        <v>11469.066144649998</v>
      </c>
      <c r="J2408" s="420">
        <f>IF(ISBLANK(I2408),"",SUM(H2408:I2408))</f>
        <v>13466.898012768197</v>
      </c>
      <c r="K2408" s="421">
        <f t="shared" si="627"/>
        <v>16000.02</v>
      </c>
      <c r="L2408" s="647" t="s">
        <v>21</v>
      </c>
      <c r="M2408" s="576"/>
      <c r="N2408" s="576">
        <f t="shared" si="636"/>
        <v>0</v>
      </c>
      <c r="O2408" s="577">
        <f t="shared" si="630"/>
        <v>0</v>
      </c>
      <c r="P2408" s="578">
        <f t="shared" si="631"/>
        <v>0</v>
      </c>
      <c r="Q2408" s="765"/>
      <c r="R2408" s="576">
        <f>M2408</f>
        <v>0</v>
      </c>
      <c r="S2408" s="576">
        <f>N2408</f>
        <v>0</v>
      </c>
      <c r="T2408" s="577">
        <f t="shared" si="628"/>
        <v>0</v>
      </c>
      <c r="U2408" s="578">
        <f t="shared" si="629"/>
        <v>0</v>
      </c>
      <c r="V2408" s="579"/>
      <c r="W2408" s="566"/>
      <c r="X2408" s="586" t="str">
        <f t="shared" si="622"/>
        <v/>
      </c>
      <c r="Y2408" s="586" t="str">
        <f t="shared" si="633"/>
        <v/>
      </c>
      <c r="Z2408" s="586" t="str">
        <f t="shared" ref="Z2408:Z2471" si="640">IF(W2408="X","x",IF(U2408&gt;0,"x",""))</f>
        <v/>
      </c>
    </row>
    <row r="2409" spans="1:26" ht="12" hidden="1" thickBot="1" x14ac:dyDescent="0.25">
      <c r="A2409" s="567" t="s">
        <v>168</v>
      </c>
      <c r="B2409" s="644" t="s">
        <v>168</v>
      </c>
      <c r="C2409" s="645"/>
      <c r="D2409" s="422" t="s">
        <v>212</v>
      </c>
      <c r="E2409" s="423"/>
      <c r="F2409" s="424">
        <v>500</v>
      </c>
      <c r="G2409" s="425">
        <f>VLOOKUP(D2408,'[2]ENSAIOS DE ORÇAMENTO'!$C$3:$L$79,4,FALSE)</f>
        <v>1.9087789500000001</v>
      </c>
      <c r="H2409" s="649">
        <f>IF(F2409&lt;=30,(0.78*F2409+7.82)*G2409,((0.78*30+7.82)+0.78*(F2409-30))*G2409)</f>
        <v>759.35044188900008</v>
      </c>
      <c r="I2409" s="420"/>
      <c r="J2409" s="420"/>
      <c r="K2409" s="421">
        <f t="shared" si="627"/>
        <v>0</v>
      </c>
      <c r="L2409" s="647"/>
      <c r="M2409" s="723"/>
      <c r="N2409" s="576">
        <f t="shared" si="636"/>
        <v>0</v>
      </c>
      <c r="O2409" s="577">
        <f t="shared" si="630"/>
        <v>0</v>
      </c>
      <c r="P2409" s="578">
        <f t="shared" si="631"/>
        <v>0</v>
      </c>
      <c r="Q2409" s="765"/>
      <c r="R2409" s="723"/>
      <c r="S2409" s="723"/>
      <c r="T2409" s="577">
        <f t="shared" si="628"/>
        <v>0</v>
      </c>
      <c r="U2409" s="578">
        <f t="shared" si="629"/>
        <v>0</v>
      </c>
      <c r="V2409" s="579"/>
      <c r="W2409" s="566" t="str">
        <f>IF(U2408&gt;0,"xx",IF(P2408&gt;0,"xy",""))</f>
        <v/>
      </c>
      <c r="X2409" s="586" t="str">
        <f t="shared" si="622"/>
        <v/>
      </c>
      <c r="Y2409" s="586" t="str">
        <f t="shared" si="633"/>
        <v/>
      </c>
      <c r="Z2409" s="586" t="str">
        <f t="shared" si="640"/>
        <v/>
      </c>
    </row>
    <row r="2410" spans="1:26" ht="12" hidden="1" thickBot="1" x14ac:dyDescent="0.25">
      <c r="A2410" s="567" t="s">
        <v>168</v>
      </c>
      <c r="B2410" s="644" t="s">
        <v>168</v>
      </c>
      <c r="C2410" s="645"/>
      <c r="D2410" s="422" t="s">
        <v>248</v>
      </c>
      <c r="E2410" s="423"/>
      <c r="F2410" s="424">
        <v>180</v>
      </c>
      <c r="G2410" s="425">
        <f>VLOOKUP(D2408,'[2]ENSAIOS DE ORÇAMENTO'!$C$3:$L$79,5,FALSE)</f>
        <v>5.5279776150000002</v>
      </c>
      <c r="H2410" s="663">
        <f t="shared" ref="H2410:H2412" si="641">IF(F2410&lt;=30,(1.07*F2410+2.68)*G2410,((1.07*30+2.68)+1.07*(F2410-30))*G2410)</f>
        <v>1079.5034686572001</v>
      </c>
      <c r="I2410" s="420"/>
      <c r="J2410" s="420"/>
      <c r="K2410" s="421">
        <f t="shared" si="627"/>
        <v>0</v>
      </c>
      <c r="L2410" s="647"/>
      <c r="M2410" s="723"/>
      <c r="N2410" s="576">
        <f t="shared" si="636"/>
        <v>0</v>
      </c>
      <c r="O2410" s="577">
        <f t="shared" si="630"/>
        <v>0</v>
      </c>
      <c r="P2410" s="578">
        <f t="shared" si="631"/>
        <v>0</v>
      </c>
      <c r="Q2410" s="765"/>
      <c r="R2410" s="723"/>
      <c r="S2410" s="723"/>
      <c r="T2410" s="577">
        <f t="shared" si="628"/>
        <v>0</v>
      </c>
      <c r="U2410" s="578">
        <f t="shared" si="629"/>
        <v>0</v>
      </c>
      <c r="V2410" s="579"/>
      <c r="W2410" s="566" t="str">
        <f>IF(U2408&gt;0,"xx",IF(P2408&gt;0,"xy",""))</f>
        <v/>
      </c>
      <c r="X2410" s="586" t="str">
        <f t="shared" si="622"/>
        <v/>
      </c>
      <c r="Y2410" s="586" t="str">
        <f t="shared" si="633"/>
        <v/>
      </c>
      <c r="Z2410" s="586" t="str">
        <f t="shared" si="640"/>
        <v/>
      </c>
    </row>
    <row r="2411" spans="1:26" ht="12" hidden="1" thickBot="1" x14ac:dyDescent="0.25">
      <c r="A2411" s="567" t="s">
        <v>168</v>
      </c>
      <c r="B2411" s="644" t="s">
        <v>168</v>
      </c>
      <c r="C2411" s="645"/>
      <c r="D2411" s="422" t="s">
        <v>252</v>
      </c>
      <c r="E2411" s="423"/>
      <c r="F2411" s="424">
        <v>20</v>
      </c>
      <c r="G2411" s="425">
        <f>VLOOKUP(D2408,'[2]ENSAIOS DE ORÇAMENTO'!$C$3:$L$79,6,FALSE)</f>
        <v>6.6020746500000005</v>
      </c>
      <c r="H2411" s="663">
        <f t="shared" si="641"/>
        <v>158.97795757200004</v>
      </c>
      <c r="I2411" s="420"/>
      <c r="J2411" s="420"/>
      <c r="K2411" s="421">
        <f t="shared" si="627"/>
        <v>0</v>
      </c>
      <c r="L2411" s="647"/>
      <c r="M2411" s="723"/>
      <c r="N2411" s="576">
        <f t="shared" si="636"/>
        <v>0</v>
      </c>
      <c r="O2411" s="577">
        <f t="shared" si="630"/>
        <v>0</v>
      </c>
      <c r="P2411" s="578">
        <f t="shared" si="631"/>
        <v>0</v>
      </c>
      <c r="Q2411" s="765"/>
      <c r="R2411" s="723"/>
      <c r="S2411" s="723"/>
      <c r="T2411" s="577">
        <f t="shared" si="628"/>
        <v>0</v>
      </c>
      <c r="U2411" s="578">
        <f t="shared" si="629"/>
        <v>0</v>
      </c>
      <c r="V2411" s="579"/>
      <c r="W2411" s="566" t="str">
        <f>IF(U2408&gt;0,"xx",IF(P2408&gt;0,"xy",""))</f>
        <v/>
      </c>
      <c r="X2411" s="586" t="str">
        <f t="shared" ref="X2411:X2474" si="642">IF(W2411="X","x",IF(W2411="xx","x",IF(W2411="xy","x",IF(W2411="y","x",IF(OR(P2411&gt;0,U2411&gt;0),"x","")))))</f>
        <v/>
      </c>
      <c r="Y2411" s="586" t="str">
        <f t="shared" si="633"/>
        <v/>
      </c>
      <c r="Z2411" s="586" t="str">
        <f t="shared" si="640"/>
        <v/>
      </c>
    </row>
    <row r="2412" spans="1:26" ht="12" hidden="1" thickBot="1" x14ac:dyDescent="0.25">
      <c r="A2412" s="567" t="s">
        <v>168</v>
      </c>
      <c r="B2412" s="644" t="s">
        <v>168</v>
      </c>
      <c r="C2412" s="645"/>
      <c r="D2412" s="422" t="s">
        <v>400</v>
      </c>
      <c r="E2412" s="423"/>
      <c r="F2412" s="424">
        <v>30</v>
      </c>
      <c r="G2412" s="425">
        <f>VLOOKUP(D2408,'[2]ENSAIOS DE ORÇAMENTO'!$C$3:$L$79,3,FALSE)</f>
        <v>0</v>
      </c>
      <c r="H2412" s="663">
        <f t="shared" si="641"/>
        <v>0</v>
      </c>
      <c r="I2412" s="420"/>
      <c r="J2412" s="420"/>
      <c r="K2412" s="421">
        <f t="shared" si="627"/>
        <v>0</v>
      </c>
      <c r="L2412" s="647"/>
      <c r="M2412" s="723"/>
      <c r="N2412" s="576">
        <f t="shared" si="636"/>
        <v>0</v>
      </c>
      <c r="O2412" s="577">
        <f t="shared" si="630"/>
        <v>0</v>
      </c>
      <c r="P2412" s="578">
        <f t="shared" si="631"/>
        <v>0</v>
      </c>
      <c r="Q2412" s="765"/>
      <c r="R2412" s="723"/>
      <c r="S2412" s="723"/>
      <c r="T2412" s="577">
        <f t="shared" si="628"/>
        <v>0</v>
      </c>
      <c r="U2412" s="578">
        <f t="shared" si="629"/>
        <v>0</v>
      </c>
      <c r="V2412" s="579"/>
      <c r="W2412" s="566" t="str">
        <f>IF(U2408&gt;0,"xx",IF(P2408&gt;0,"xy",""))</f>
        <v/>
      </c>
      <c r="X2412" s="586" t="str">
        <f t="shared" si="642"/>
        <v/>
      </c>
      <c r="Y2412" s="586" t="str">
        <f t="shared" si="633"/>
        <v/>
      </c>
      <c r="Z2412" s="586" t="str">
        <f t="shared" si="640"/>
        <v/>
      </c>
    </row>
    <row r="2413" spans="1:26" ht="12" hidden="1" thickBot="1" x14ac:dyDescent="0.25">
      <c r="A2413" s="567" t="s">
        <v>168</v>
      </c>
      <c r="B2413" s="644" t="s">
        <v>168</v>
      </c>
      <c r="C2413" s="645"/>
      <c r="D2413" s="422" t="s">
        <v>401</v>
      </c>
      <c r="E2413" s="423"/>
      <c r="F2413" s="424">
        <v>500</v>
      </c>
      <c r="G2413" s="425">
        <f>VLOOKUP(D2408,'[2]ENSAIOS DE ORÇAMENTO'!$C$3:$L$79,10,FALSE)</f>
        <v>0</v>
      </c>
      <c r="H2413" s="649">
        <f>IF(F2413&lt;=30,(0.78*F2413+7.82)*G2413,((0.78*30+7.82)+0.78*(F2413-30))*G2413)</f>
        <v>0</v>
      </c>
      <c r="I2413" s="420"/>
      <c r="J2413" s="420"/>
      <c r="K2413" s="421">
        <f t="shared" si="627"/>
        <v>0</v>
      </c>
      <c r="L2413" s="647"/>
      <c r="M2413" s="723"/>
      <c r="N2413" s="576">
        <f t="shared" si="636"/>
        <v>0</v>
      </c>
      <c r="O2413" s="577">
        <f t="shared" si="630"/>
        <v>0</v>
      </c>
      <c r="P2413" s="578">
        <f t="shared" si="631"/>
        <v>0</v>
      </c>
      <c r="Q2413" s="765"/>
      <c r="R2413" s="723"/>
      <c r="S2413" s="723"/>
      <c r="T2413" s="577">
        <f t="shared" si="628"/>
        <v>0</v>
      </c>
      <c r="U2413" s="578">
        <f t="shared" si="629"/>
        <v>0</v>
      </c>
      <c r="V2413" s="579"/>
      <c r="W2413" s="566" t="str">
        <f>IF(U2408&gt;0,"xx",IF(P2408&gt;0,"xy",""))</f>
        <v/>
      </c>
      <c r="X2413" s="586" t="str">
        <f t="shared" si="642"/>
        <v/>
      </c>
      <c r="Y2413" s="586" t="str">
        <f t="shared" si="633"/>
        <v/>
      </c>
      <c r="Z2413" s="586" t="str">
        <f t="shared" si="640"/>
        <v/>
      </c>
    </row>
    <row r="2414" spans="1:26" ht="12" hidden="1" thickBot="1" x14ac:dyDescent="0.25">
      <c r="A2414" s="567" t="s">
        <v>133</v>
      </c>
      <c r="B2414" s="644" t="s">
        <v>133</v>
      </c>
      <c r="C2414" s="645" t="s">
        <v>206</v>
      </c>
      <c r="D2414" s="422" t="s">
        <v>145</v>
      </c>
      <c r="E2414" s="423"/>
      <c r="F2414" s="424"/>
      <c r="G2414" s="425"/>
      <c r="H2414" s="651">
        <f>SUM(H2415:H2419)</f>
        <v>425.22710196400004</v>
      </c>
      <c r="I2414" s="420">
        <f>VLOOKUP(D2414,'[2]ENSAIOS DE ORÇAMENTO'!$C$3:$L$79,8,FALSE)</f>
        <v>2164.1967759999998</v>
      </c>
      <c r="J2414" s="420">
        <f>IF(ISBLANK(I2414),"",SUM(H2414:I2414))</f>
        <v>2589.423877964</v>
      </c>
      <c r="K2414" s="421">
        <f t="shared" si="627"/>
        <v>3076.49</v>
      </c>
      <c r="L2414" s="647" t="s">
        <v>21</v>
      </c>
      <c r="M2414" s="576"/>
      <c r="N2414" s="576">
        <f t="shared" si="636"/>
        <v>0</v>
      </c>
      <c r="O2414" s="577">
        <f t="shared" si="630"/>
        <v>0</v>
      </c>
      <c r="P2414" s="578">
        <f t="shared" si="631"/>
        <v>0</v>
      </c>
      <c r="Q2414" s="765"/>
      <c r="R2414" s="576">
        <f>M2414</f>
        <v>0</v>
      </c>
      <c r="S2414" s="576">
        <f>N2414</f>
        <v>0</v>
      </c>
      <c r="T2414" s="577">
        <f t="shared" si="628"/>
        <v>0</v>
      </c>
      <c r="U2414" s="578">
        <f t="shared" si="629"/>
        <v>0</v>
      </c>
      <c r="V2414" s="579"/>
      <c r="W2414" s="566"/>
      <c r="X2414" s="586" t="str">
        <f t="shared" si="642"/>
        <v/>
      </c>
      <c r="Y2414" s="586" t="str">
        <f t="shared" si="633"/>
        <v/>
      </c>
      <c r="Z2414" s="586" t="str">
        <f t="shared" si="640"/>
        <v/>
      </c>
    </row>
    <row r="2415" spans="1:26" ht="12" hidden="1" thickBot="1" x14ac:dyDescent="0.25">
      <c r="A2415" s="567" t="s">
        <v>168</v>
      </c>
      <c r="B2415" s="644" t="s">
        <v>168</v>
      </c>
      <c r="C2415" s="645"/>
      <c r="D2415" s="422" t="s">
        <v>212</v>
      </c>
      <c r="E2415" s="423"/>
      <c r="F2415" s="424">
        <v>500</v>
      </c>
      <c r="G2415" s="425">
        <f>VLOOKUP(D2414,'[2]ENSAIOS DE ORÇAMENTO'!$C$3:$L$79,4,FALSE)</f>
        <v>0.35276220000000008</v>
      </c>
      <c r="H2415" s="649">
        <f>IF(F2415&lt;=30,(0.78*F2415+7.82)*G2415,((0.78*30+7.82)+0.78*(F2415-30))*G2415)</f>
        <v>140.33585840400005</v>
      </c>
      <c r="I2415" s="420"/>
      <c r="J2415" s="420"/>
      <c r="K2415" s="421">
        <f t="shared" si="627"/>
        <v>0</v>
      </c>
      <c r="L2415" s="647"/>
      <c r="M2415" s="723"/>
      <c r="N2415" s="576">
        <f t="shared" si="636"/>
        <v>0</v>
      </c>
      <c r="O2415" s="577">
        <f t="shared" si="630"/>
        <v>0</v>
      </c>
      <c r="P2415" s="578">
        <f t="shared" si="631"/>
        <v>0</v>
      </c>
      <c r="Q2415" s="765"/>
      <c r="R2415" s="723"/>
      <c r="S2415" s="723"/>
      <c r="T2415" s="577">
        <f t="shared" si="628"/>
        <v>0</v>
      </c>
      <c r="U2415" s="578">
        <f t="shared" si="629"/>
        <v>0</v>
      </c>
      <c r="V2415" s="579"/>
      <c r="W2415" s="566" t="str">
        <f>IF(U2414&gt;0,"xx",IF(P2414&gt;0,"xy",""))</f>
        <v/>
      </c>
      <c r="X2415" s="586" t="str">
        <f t="shared" si="642"/>
        <v/>
      </c>
      <c r="Y2415" s="586" t="str">
        <f t="shared" si="633"/>
        <v/>
      </c>
      <c r="Z2415" s="586" t="str">
        <f t="shared" si="640"/>
        <v/>
      </c>
    </row>
    <row r="2416" spans="1:26" ht="12" hidden="1" thickBot="1" x14ac:dyDescent="0.25">
      <c r="A2416" s="567" t="s">
        <v>168</v>
      </c>
      <c r="B2416" s="644" t="s">
        <v>168</v>
      </c>
      <c r="C2416" s="645"/>
      <c r="D2416" s="422" t="s">
        <v>248</v>
      </c>
      <c r="E2416" s="423"/>
      <c r="F2416" s="424">
        <v>180</v>
      </c>
      <c r="G2416" s="425">
        <f>VLOOKUP(D2414,'[2]ENSAIOS DE ORÇAMENTO'!$C$3:$L$79,5,FALSE)</f>
        <v>1.1888125000000003</v>
      </c>
      <c r="H2416" s="663">
        <f t="shared" ref="H2416:H2418" si="643">IF(F2416&lt;=30,(1.07*F2416+2.68)*G2416,((1.07*30+2.68)+1.07*(F2416-30))*G2416)</f>
        <v>232.15130500000006</v>
      </c>
      <c r="I2416" s="420"/>
      <c r="J2416" s="420"/>
      <c r="K2416" s="421">
        <f t="shared" si="627"/>
        <v>0</v>
      </c>
      <c r="L2416" s="647"/>
      <c r="M2416" s="723"/>
      <c r="N2416" s="576">
        <f t="shared" si="636"/>
        <v>0</v>
      </c>
      <c r="O2416" s="577">
        <f t="shared" si="630"/>
        <v>0</v>
      </c>
      <c r="P2416" s="578">
        <f t="shared" si="631"/>
        <v>0</v>
      </c>
      <c r="Q2416" s="765"/>
      <c r="R2416" s="723"/>
      <c r="S2416" s="723"/>
      <c r="T2416" s="577">
        <f t="shared" si="628"/>
        <v>0</v>
      </c>
      <c r="U2416" s="578">
        <f t="shared" si="629"/>
        <v>0</v>
      </c>
      <c r="V2416" s="579"/>
      <c r="W2416" s="566" t="str">
        <f>IF(U2414&gt;0,"xx",IF(P2414&gt;0,"xy",""))</f>
        <v/>
      </c>
      <c r="X2416" s="586" t="str">
        <f t="shared" si="642"/>
        <v/>
      </c>
      <c r="Y2416" s="586" t="str">
        <f t="shared" si="633"/>
        <v/>
      </c>
      <c r="Z2416" s="586" t="str">
        <f t="shared" si="640"/>
        <v/>
      </c>
    </row>
    <row r="2417" spans="1:26" ht="12" hidden="1" thickBot="1" x14ac:dyDescent="0.25">
      <c r="A2417" s="567" t="s">
        <v>168</v>
      </c>
      <c r="B2417" s="644" t="s">
        <v>168</v>
      </c>
      <c r="C2417" s="645"/>
      <c r="D2417" s="422" t="s">
        <v>252</v>
      </c>
      <c r="E2417" s="423"/>
      <c r="F2417" s="424">
        <v>20</v>
      </c>
      <c r="G2417" s="425">
        <f>VLOOKUP(D2414,'[2]ENSAIOS DE ORÇAMENTO'!$C$3:$L$79,6,FALSE)</f>
        <v>1.1100000000000001</v>
      </c>
      <c r="H2417" s="663">
        <f t="shared" si="643"/>
        <v>26.728800000000003</v>
      </c>
      <c r="I2417" s="420"/>
      <c r="J2417" s="420"/>
      <c r="K2417" s="421">
        <f t="shared" si="627"/>
        <v>0</v>
      </c>
      <c r="L2417" s="647"/>
      <c r="M2417" s="723"/>
      <c r="N2417" s="576">
        <f t="shared" si="636"/>
        <v>0</v>
      </c>
      <c r="O2417" s="577">
        <f t="shared" si="630"/>
        <v>0</v>
      </c>
      <c r="P2417" s="578">
        <f t="shared" si="631"/>
        <v>0</v>
      </c>
      <c r="Q2417" s="765"/>
      <c r="R2417" s="723"/>
      <c r="S2417" s="723"/>
      <c r="T2417" s="577">
        <f t="shared" si="628"/>
        <v>0</v>
      </c>
      <c r="U2417" s="578">
        <f t="shared" si="629"/>
        <v>0</v>
      </c>
      <c r="V2417" s="579"/>
      <c r="W2417" s="566" t="str">
        <f>IF(U2414&gt;0,"xx",IF(P2414&gt;0,"xy",""))</f>
        <v/>
      </c>
      <c r="X2417" s="586" t="str">
        <f t="shared" si="642"/>
        <v/>
      </c>
      <c r="Y2417" s="586" t="str">
        <f t="shared" si="633"/>
        <v/>
      </c>
      <c r="Z2417" s="586" t="str">
        <f t="shared" si="640"/>
        <v/>
      </c>
    </row>
    <row r="2418" spans="1:26" ht="12" hidden="1" thickBot="1" x14ac:dyDescent="0.25">
      <c r="A2418" s="567" t="s">
        <v>168</v>
      </c>
      <c r="B2418" s="644" t="s">
        <v>168</v>
      </c>
      <c r="C2418" s="645"/>
      <c r="D2418" s="422" t="s">
        <v>400</v>
      </c>
      <c r="E2418" s="423"/>
      <c r="F2418" s="424">
        <v>30</v>
      </c>
      <c r="G2418" s="425">
        <f>VLOOKUP(D2414,'[2]ENSAIOS DE ORÇAMENTO'!$C$3:$L$79,3,FALSE)</f>
        <v>0.54144000000000003</v>
      </c>
      <c r="H2418" s="663">
        <f t="shared" si="643"/>
        <v>18.831283200000001</v>
      </c>
      <c r="I2418" s="420"/>
      <c r="J2418" s="420"/>
      <c r="K2418" s="421">
        <f t="shared" si="627"/>
        <v>0</v>
      </c>
      <c r="L2418" s="647"/>
      <c r="M2418" s="723"/>
      <c r="N2418" s="576">
        <f t="shared" si="636"/>
        <v>0</v>
      </c>
      <c r="O2418" s="577">
        <f t="shared" si="630"/>
        <v>0</v>
      </c>
      <c r="P2418" s="578">
        <f t="shared" si="631"/>
        <v>0</v>
      </c>
      <c r="Q2418" s="765"/>
      <c r="R2418" s="723"/>
      <c r="S2418" s="723"/>
      <c r="T2418" s="577">
        <f t="shared" si="628"/>
        <v>0</v>
      </c>
      <c r="U2418" s="578">
        <f t="shared" si="629"/>
        <v>0</v>
      </c>
      <c r="V2418" s="579"/>
      <c r="W2418" s="566" t="str">
        <f>IF(U2414&gt;0,"xx",IF(P2414&gt;0,"xy",""))</f>
        <v/>
      </c>
      <c r="X2418" s="586" t="str">
        <f t="shared" si="642"/>
        <v/>
      </c>
      <c r="Y2418" s="586" t="str">
        <f t="shared" si="633"/>
        <v/>
      </c>
      <c r="Z2418" s="586" t="str">
        <f t="shared" si="640"/>
        <v/>
      </c>
    </row>
    <row r="2419" spans="1:26" ht="12" hidden="1" thickBot="1" x14ac:dyDescent="0.25">
      <c r="A2419" s="567" t="s">
        <v>168</v>
      </c>
      <c r="B2419" s="644" t="s">
        <v>168</v>
      </c>
      <c r="C2419" s="645"/>
      <c r="D2419" s="422" t="s">
        <v>401</v>
      </c>
      <c r="E2419" s="423"/>
      <c r="F2419" s="424">
        <v>500</v>
      </c>
      <c r="G2419" s="425">
        <f>VLOOKUP(D2414,'[2]ENSAIOS DE ORÇAMENTO'!$C$3:$L$79,10,FALSE)</f>
        <v>1.8048000000000002E-2</v>
      </c>
      <c r="H2419" s="649">
        <f>IF(F2419&lt;=30,(0.78*F2419+7.82)*G2419,((0.78*30+7.82)+0.78*(F2419-30))*G2419)</f>
        <v>7.1798553600000012</v>
      </c>
      <c r="I2419" s="420"/>
      <c r="J2419" s="420"/>
      <c r="K2419" s="421">
        <f t="shared" si="627"/>
        <v>0</v>
      </c>
      <c r="L2419" s="647"/>
      <c r="M2419" s="723"/>
      <c r="N2419" s="576">
        <f t="shared" si="636"/>
        <v>0</v>
      </c>
      <c r="O2419" s="577">
        <f t="shared" si="630"/>
        <v>0</v>
      </c>
      <c r="P2419" s="578">
        <f t="shared" si="631"/>
        <v>0</v>
      </c>
      <c r="Q2419" s="765"/>
      <c r="R2419" s="723"/>
      <c r="S2419" s="723"/>
      <c r="T2419" s="577">
        <f t="shared" si="628"/>
        <v>0</v>
      </c>
      <c r="U2419" s="578">
        <f t="shared" si="629"/>
        <v>0</v>
      </c>
      <c r="V2419" s="579"/>
      <c r="W2419" s="566" t="str">
        <f>IF(U2414&gt;0,"xx",IF(P2414&gt;0,"xy",""))</f>
        <v/>
      </c>
      <c r="X2419" s="586" t="str">
        <f t="shared" si="642"/>
        <v/>
      </c>
      <c r="Y2419" s="586" t="str">
        <f t="shared" si="633"/>
        <v/>
      </c>
      <c r="Z2419" s="586" t="str">
        <f t="shared" si="640"/>
        <v/>
      </c>
    </row>
    <row r="2420" spans="1:26" ht="12" hidden="1" thickBot="1" x14ac:dyDescent="0.25">
      <c r="A2420" s="567" t="s">
        <v>134</v>
      </c>
      <c r="B2420" s="644" t="s">
        <v>134</v>
      </c>
      <c r="C2420" s="645" t="s">
        <v>206</v>
      </c>
      <c r="D2420" s="422" t="s">
        <v>146</v>
      </c>
      <c r="E2420" s="423"/>
      <c r="F2420" s="424"/>
      <c r="G2420" s="425"/>
      <c r="H2420" s="651">
        <f>SUM(H2421:H2425)</f>
        <v>481.65120515199993</v>
      </c>
      <c r="I2420" s="420">
        <f>VLOOKUP(D2420,'[2]ENSAIOS DE ORÇAMENTO'!$C$3:$L$79,8,FALSE)</f>
        <v>2380.2442679999999</v>
      </c>
      <c r="J2420" s="420">
        <f>IF(ISBLANK(I2420),"",SUM(H2420:I2420))</f>
        <v>2861.8954731519998</v>
      </c>
      <c r="K2420" s="421">
        <f t="shared" si="627"/>
        <v>3400.22</v>
      </c>
      <c r="L2420" s="647" t="s">
        <v>21</v>
      </c>
      <c r="M2420" s="576"/>
      <c r="N2420" s="576">
        <f t="shared" si="636"/>
        <v>0</v>
      </c>
      <c r="O2420" s="577">
        <f t="shared" si="630"/>
        <v>0</v>
      </c>
      <c r="P2420" s="578">
        <f t="shared" si="631"/>
        <v>0</v>
      </c>
      <c r="Q2420" s="765"/>
      <c r="R2420" s="576">
        <f>M2420</f>
        <v>0</v>
      </c>
      <c r="S2420" s="576">
        <f>N2420</f>
        <v>0</v>
      </c>
      <c r="T2420" s="577">
        <f t="shared" si="628"/>
        <v>0</v>
      </c>
      <c r="U2420" s="578">
        <f t="shared" si="629"/>
        <v>0</v>
      </c>
      <c r="V2420" s="579"/>
      <c r="W2420" s="566"/>
      <c r="X2420" s="586" t="str">
        <f t="shared" si="642"/>
        <v/>
      </c>
      <c r="Y2420" s="586" t="str">
        <f t="shared" si="633"/>
        <v/>
      </c>
      <c r="Z2420" s="586" t="str">
        <f t="shared" si="640"/>
        <v/>
      </c>
    </row>
    <row r="2421" spans="1:26" ht="12" hidden="1" thickBot="1" x14ac:dyDescent="0.25">
      <c r="A2421" s="567" t="s">
        <v>168</v>
      </c>
      <c r="B2421" s="644" t="s">
        <v>168</v>
      </c>
      <c r="C2421" s="645"/>
      <c r="D2421" s="422" t="s">
        <v>212</v>
      </c>
      <c r="E2421" s="423"/>
      <c r="F2421" s="424">
        <v>500</v>
      </c>
      <c r="G2421" s="425">
        <f>VLOOKUP(D2420,'[2]ENSAIOS DE ORÇAMENTO'!$C$3:$L$79,4,FALSE)</f>
        <v>0.38489359999999995</v>
      </c>
      <c r="H2421" s="649">
        <f>IF(F2421&lt;=30,(0.78*F2421+7.82)*G2421,((0.78*30+7.82)+0.78*(F2421-30))*G2421)</f>
        <v>153.11837195199999</v>
      </c>
      <c r="I2421" s="420"/>
      <c r="J2421" s="420"/>
      <c r="K2421" s="421">
        <f t="shared" si="627"/>
        <v>0</v>
      </c>
      <c r="L2421" s="647"/>
      <c r="M2421" s="723"/>
      <c r="N2421" s="576">
        <f t="shared" si="636"/>
        <v>0</v>
      </c>
      <c r="O2421" s="577">
        <f t="shared" si="630"/>
        <v>0</v>
      </c>
      <c r="P2421" s="578">
        <f t="shared" si="631"/>
        <v>0</v>
      </c>
      <c r="Q2421" s="765"/>
      <c r="R2421" s="723"/>
      <c r="S2421" s="723"/>
      <c r="T2421" s="577">
        <f t="shared" si="628"/>
        <v>0</v>
      </c>
      <c r="U2421" s="578">
        <f t="shared" si="629"/>
        <v>0</v>
      </c>
      <c r="V2421" s="579"/>
      <c r="W2421" s="566" t="str">
        <f>IF(U2420&gt;0,"xx",IF(P2420&gt;0,"xy",""))</f>
        <v/>
      </c>
      <c r="X2421" s="586" t="str">
        <f t="shared" si="642"/>
        <v/>
      </c>
      <c r="Y2421" s="586" t="str">
        <f t="shared" si="633"/>
        <v/>
      </c>
      <c r="Z2421" s="586" t="str">
        <f t="shared" si="640"/>
        <v/>
      </c>
    </row>
    <row r="2422" spans="1:26" ht="12" hidden="1" thickBot="1" x14ac:dyDescent="0.25">
      <c r="A2422" s="567" t="s">
        <v>168</v>
      </c>
      <c r="B2422" s="644" t="s">
        <v>168</v>
      </c>
      <c r="C2422" s="645"/>
      <c r="D2422" s="422" t="s">
        <v>248</v>
      </c>
      <c r="E2422" s="423"/>
      <c r="F2422" s="424">
        <v>180</v>
      </c>
      <c r="G2422" s="425">
        <f>VLOOKUP(D2420,'[2]ENSAIOS DE ORÇAMENTO'!$C$3:$L$79,5,FALSE)</f>
        <v>1.3499699999999999</v>
      </c>
      <c r="H2422" s="663">
        <f t="shared" ref="H2422:H2424" si="644">IF(F2422&lt;=30,(1.07*F2422+2.68)*G2422,((1.07*30+2.68)+1.07*(F2422-30))*G2422)</f>
        <v>263.62214159999996</v>
      </c>
      <c r="I2422" s="420"/>
      <c r="J2422" s="420"/>
      <c r="K2422" s="421">
        <f t="shared" si="627"/>
        <v>0</v>
      </c>
      <c r="L2422" s="647"/>
      <c r="M2422" s="723"/>
      <c r="N2422" s="576">
        <f t="shared" si="636"/>
        <v>0</v>
      </c>
      <c r="O2422" s="577">
        <f t="shared" si="630"/>
        <v>0</v>
      </c>
      <c r="P2422" s="578">
        <f t="shared" si="631"/>
        <v>0</v>
      </c>
      <c r="Q2422" s="765"/>
      <c r="R2422" s="723"/>
      <c r="S2422" s="723"/>
      <c r="T2422" s="577">
        <f t="shared" si="628"/>
        <v>0</v>
      </c>
      <c r="U2422" s="578">
        <f t="shared" si="629"/>
        <v>0</v>
      </c>
      <c r="V2422" s="579"/>
      <c r="W2422" s="566" t="str">
        <f>IF(U2420&gt;0,"xx",IF(P2420&gt;0,"xy",""))</f>
        <v/>
      </c>
      <c r="X2422" s="586" t="str">
        <f t="shared" si="642"/>
        <v/>
      </c>
      <c r="Y2422" s="586" t="str">
        <f t="shared" si="633"/>
        <v/>
      </c>
      <c r="Z2422" s="586" t="str">
        <f t="shared" si="640"/>
        <v/>
      </c>
    </row>
    <row r="2423" spans="1:26" ht="12" hidden="1" thickBot="1" x14ac:dyDescent="0.25">
      <c r="A2423" s="567" t="s">
        <v>168</v>
      </c>
      <c r="B2423" s="644" t="s">
        <v>168</v>
      </c>
      <c r="C2423" s="645"/>
      <c r="D2423" s="422" t="s">
        <v>252</v>
      </c>
      <c r="E2423" s="423"/>
      <c r="F2423" s="424">
        <v>20</v>
      </c>
      <c r="G2423" s="425">
        <f>VLOOKUP(D2420,'[2]ENSAIOS DE ORÇAMENTO'!$C$3:$L$79,6,FALSE)</f>
        <v>1.1766000000000001</v>
      </c>
      <c r="H2423" s="663">
        <f t="shared" si="644"/>
        <v>28.332528000000003</v>
      </c>
      <c r="I2423" s="420"/>
      <c r="J2423" s="420"/>
      <c r="K2423" s="421">
        <f t="shared" si="627"/>
        <v>0</v>
      </c>
      <c r="L2423" s="647"/>
      <c r="M2423" s="723"/>
      <c r="N2423" s="576">
        <f t="shared" si="636"/>
        <v>0</v>
      </c>
      <c r="O2423" s="577">
        <f t="shared" si="630"/>
        <v>0</v>
      </c>
      <c r="P2423" s="578">
        <f t="shared" si="631"/>
        <v>0</v>
      </c>
      <c r="Q2423" s="765"/>
      <c r="R2423" s="723"/>
      <c r="S2423" s="723"/>
      <c r="T2423" s="577">
        <f t="shared" si="628"/>
        <v>0</v>
      </c>
      <c r="U2423" s="578">
        <f t="shared" si="629"/>
        <v>0</v>
      </c>
      <c r="V2423" s="579"/>
      <c r="W2423" s="566" t="str">
        <f>IF(U2420&gt;0,"xx",IF(P2420&gt;0,"xy",""))</f>
        <v/>
      </c>
      <c r="X2423" s="586" t="str">
        <f t="shared" si="642"/>
        <v/>
      </c>
      <c r="Y2423" s="586" t="str">
        <f t="shared" si="633"/>
        <v/>
      </c>
      <c r="Z2423" s="586" t="str">
        <f t="shared" si="640"/>
        <v/>
      </c>
    </row>
    <row r="2424" spans="1:26" ht="12" hidden="1" thickBot="1" x14ac:dyDescent="0.25">
      <c r="A2424" s="567" t="s">
        <v>168</v>
      </c>
      <c r="B2424" s="644" t="s">
        <v>168</v>
      </c>
      <c r="C2424" s="645"/>
      <c r="D2424" s="422" t="s">
        <v>400</v>
      </c>
      <c r="E2424" s="423"/>
      <c r="F2424" s="424">
        <v>30</v>
      </c>
      <c r="G2424" s="425">
        <f>VLOOKUP(D2420,'[2]ENSAIOS DE ORÇAMENTO'!$C$3:$L$79,3,FALSE)</f>
        <v>0.76139999999999997</v>
      </c>
      <c r="H2424" s="663">
        <f t="shared" si="644"/>
        <v>26.481491999999999</v>
      </c>
      <c r="I2424" s="420"/>
      <c r="J2424" s="420"/>
      <c r="K2424" s="421">
        <f t="shared" si="627"/>
        <v>0</v>
      </c>
      <c r="L2424" s="647"/>
      <c r="M2424" s="723"/>
      <c r="N2424" s="576">
        <f t="shared" si="636"/>
        <v>0</v>
      </c>
      <c r="O2424" s="577">
        <f t="shared" si="630"/>
        <v>0</v>
      </c>
      <c r="P2424" s="578">
        <f t="shared" si="631"/>
        <v>0</v>
      </c>
      <c r="Q2424" s="765"/>
      <c r="R2424" s="723"/>
      <c r="S2424" s="723"/>
      <c r="T2424" s="577">
        <f t="shared" si="628"/>
        <v>0</v>
      </c>
      <c r="U2424" s="578">
        <f t="shared" si="629"/>
        <v>0</v>
      </c>
      <c r="V2424" s="579"/>
      <c r="W2424" s="566" t="str">
        <f>IF(U2420&gt;0,"xx",IF(P2420&gt;0,"xy",""))</f>
        <v/>
      </c>
      <c r="X2424" s="586" t="str">
        <f t="shared" si="642"/>
        <v/>
      </c>
      <c r="Y2424" s="586" t="str">
        <f t="shared" si="633"/>
        <v/>
      </c>
      <c r="Z2424" s="586" t="str">
        <f t="shared" si="640"/>
        <v/>
      </c>
    </row>
    <row r="2425" spans="1:26" ht="12" hidden="1" thickBot="1" x14ac:dyDescent="0.25">
      <c r="A2425" s="567" t="s">
        <v>168</v>
      </c>
      <c r="B2425" s="644" t="s">
        <v>168</v>
      </c>
      <c r="C2425" s="645"/>
      <c r="D2425" s="422" t="s">
        <v>401</v>
      </c>
      <c r="E2425" s="423"/>
      <c r="F2425" s="424">
        <v>500</v>
      </c>
      <c r="G2425" s="425">
        <f>VLOOKUP(D2420,'[2]ENSAIOS DE ORÇAMENTO'!$C$3:$L$79,10,FALSE)</f>
        <v>2.538E-2</v>
      </c>
      <c r="H2425" s="649">
        <f>IF(F2425&lt;=30,(0.78*F2425+7.82)*G2425,((0.78*30+7.82)+0.78*(F2425-30))*G2425)</f>
        <v>10.096671600000001</v>
      </c>
      <c r="I2425" s="420"/>
      <c r="J2425" s="420"/>
      <c r="K2425" s="421">
        <f t="shared" si="627"/>
        <v>0</v>
      </c>
      <c r="L2425" s="647"/>
      <c r="M2425" s="723"/>
      <c r="N2425" s="576">
        <f t="shared" si="636"/>
        <v>0</v>
      </c>
      <c r="O2425" s="577">
        <f t="shared" si="630"/>
        <v>0</v>
      </c>
      <c r="P2425" s="578">
        <f t="shared" si="631"/>
        <v>0</v>
      </c>
      <c r="Q2425" s="765"/>
      <c r="R2425" s="723"/>
      <c r="S2425" s="723"/>
      <c r="T2425" s="577">
        <f t="shared" si="628"/>
        <v>0</v>
      </c>
      <c r="U2425" s="578">
        <f t="shared" si="629"/>
        <v>0</v>
      </c>
      <c r="V2425" s="579"/>
      <c r="W2425" s="566" t="str">
        <f>IF(U2420&gt;0,"xx",IF(P2420&gt;0,"xy",""))</f>
        <v/>
      </c>
      <c r="X2425" s="586" t="str">
        <f t="shared" si="642"/>
        <v/>
      </c>
      <c r="Y2425" s="586" t="str">
        <f t="shared" si="633"/>
        <v/>
      </c>
      <c r="Z2425" s="586" t="str">
        <f t="shared" si="640"/>
        <v/>
      </c>
    </row>
    <row r="2426" spans="1:26" ht="12" hidden="1" thickBot="1" x14ac:dyDescent="0.25">
      <c r="A2426" s="567" t="s">
        <v>135</v>
      </c>
      <c r="B2426" s="644" t="s">
        <v>135</v>
      </c>
      <c r="C2426" s="645" t="s">
        <v>206</v>
      </c>
      <c r="D2426" s="422" t="s">
        <v>147</v>
      </c>
      <c r="E2426" s="423"/>
      <c r="F2426" s="424"/>
      <c r="G2426" s="425"/>
      <c r="H2426" s="651">
        <f>SUM(H2427:H2431)</f>
        <v>563.58332972800008</v>
      </c>
      <c r="I2426" s="420">
        <f>VLOOKUP(D2426,'[2]ENSAIOS DE ORÇAMENTO'!$C$3:$L$79,8,FALSE)</f>
        <v>2700.9386520000003</v>
      </c>
      <c r="J2426" s="420">
        <f>IF(ISBLANK(I2426),"",SUM(H2426:I2426))</f>
        <v>3264.5219817280004</v>
      </c>
      <c r="K2426" s="421">
        <f t="shared" si="627"/>
        <v>3878.58</v>
      </c>
      <c r="L2426" s="647" t="s">
        <v>21</v>
      </c>
      <c r="M2426" s="576"/>
      <c r="N2426" s="576">
        <f t="shared" si="636"/>
        <v>0</v>
      </c>
      <c r="O2426" s="577">
        <f t="shared" si="630"/>
        <v>0</v>
      </c>
      <c r="P2426" s="578">
        <f t="shared" si="631"/>
        <v>0</v>
      </c>
      <c r="Q2426" s="765"/>
      <c r="R2426" s="576">
        <f>M2426</f>
        <v>0</v>
      </c>
      <c r="S2426" s="576">
        <f>N2426</f>
        <v>0</v>
      </c>
      <c r="T2426" s="577">
        <f t="shared" si="628"/>
        <v>0</v>
      </c>
      <c r="U2426" s="578">
        <f t="shared" si="629"/>
        <v>0</v>
      </c>
      <c r="V2426" s="579"/>
      <c r="W2426" s="566"/>
      <c r="X2426" s="586" t="str">
        <f t="shared" si="642"/>
        <v/>
      </c>
      <c r="Y2426" s="586" t="str">
        <f t="shared" si="633"/>
        <v/>
      </c>
      <c r="Z2426" s="586" t="str">
        <f t="shared" si="640"/>
        <v/>
      </c>
    </row>
    <row r="2427" spans="1:26" ht="12" hidden="1" thickBot="1" x14ac:dyDescent="0.25">
      <c r="A2427" s="567" t="s">
        <v>168</v>
      </c>
      <c r="B2427" s="644" t="s">
        <v>168</v>
      </c>
      <c r="C2427" s="645"/>
      <c r="D2427" s="422" t="s">
        <v>212</v>
      </c>
      <c r="E2427" s="423"/>
      <c r="F2427" s="424">
        <v>500</v>
      </c>
      <c r="G2427" s="425">
        <f>VLOOKUP(D2426,'[2]ENSAIOS DE ORÇAMENTO'!$C$3:$L$79,4,FALSE)</f>
        <v>0.43281240000000004</v>
      </c>
      <c r="H2427" s="649">
        <f>IF(F2427&lt;=30,(0.78*F2427+7.82)*G2427,((0.78*30+7.82)+0.78*(F2427-30))*G2427)</f>
        <v>172.18142896800003</v>
      </c>
      <c r="I2427" s="420"/>
      <c r="J2427" s="420"/>
      <c r="K2427" s="421">
        <f t="shared" si="627"/>
        <v>0</v>
      </c>
      <c r="L2427" s="647"/>
      <c r="M2427" s="723"/>
      <c r="N2427" s="576">
        <f t="shared" si="636"/>
        <v>0</v>
      </c>
      <c r="O2427" s="577">
        <f t="shared" si="630"/>
        <v>0</v>
      </c>
      <c r="P2427" s="578">
        <f t="shared" si="631"/>
        <v>0</v>
      </c>
      <c r="Q2427" s="765"/>
      <c r="R2427" s="723"/>
      <c r="S2427" s="723"/>
      <c r="T2427" s="577">
        <f t="shared" si="628"/>
        <v>0</v>
      </c>
      <c r="U2427" s="578">
        <f t="shared" si="629"/>
        <v>0</v>
      </c>
      <c r="V2427" s="579"/>
      <c r="W2427" s="566" t="str">
        <f>IF(U2426&gt;0,"xx",IF(P2426&gt;0,"xy",""))</f>
        <v/>
      </c>
      <c r="X2427" s="586" t="str">
        <f t="shared" si="642"/>
        <v/>
      </c>
      <c r="Y2427" s="586" t="str">
        <f t="shared" si="633"/>
        <v/>
      </c>
      <c r="Z2427" s="586" t="str">
        <f t="shared" si="640"/>
        <v/>
      </c>
    </row>
    <row r="2428" spans="1:26" ht="12" hidden="1" thickBot="1" x14ac:dyDescent="0.25">
      <c r="A2428" s="567" t="s">
        <v>168</v>
      </c>
      <c r="B2428" s="644" t="s">
        <v>168</v>
      </c>
      <c r="C2428" s="645"/>
      <c r="D2428" s="422" t="s">
        <v>248</v>
      </c>
      <c r="E2428" s="423"/>
      <c r="F2428" s="424">
        <v>180</v>
      </c>
      <c r="G2428" s="425">
        <f>VLOOKUP(D2426,'[2]ENSAIOS DE ORÇAMENTO'!$C$3:$L$79,5,FALSE)</f>
        <v>1.5797950000000001</v>
      </c>
      <c r="H2428" s="663">
        <f t="shared" ref="H2428:H2430" si="645">IF(F2428&lt;=30,(1.07*F2428+2.68)*G2428,((1.07*30+2.68)+1.07*(F2428-30))*G2428)</f>
        <v>308.50236760000001</v>
      </c>
      <c r="I2428" s="420"/>
      <c r="J2428" s="420"/>
      <c r="K2428" s="421">
        <f t="shared" si="627"/>
        <v>0</v>
      </c>
      <c r="L2428" s="647"/>
      <c r="M2428" s="723"/>
      <c r="N2428" s="576">
        <f t="shared" si="636"/>
        <v>0</v>
      </c>
      <c r="O2428" s="577">
        <f t="shared" si="630"/>
        <v>0</v>
      </c>
      <c r="P2428" s="578">
        <f t="shared" si="631"/>
        <v>0</v>
      </c>
      <c r="Q2428" s="765"/>
      <c r="R2428" s="723"/>
      <c r="S2428" s="723"/>
      <c r="T2428" s="577">
        <f t="shared" si="628"/>
        <v>0</v>
      </c>
      <c r="U2428" s="578">
        <f t="shared" si="629"/>
        <v>0</v>
      </c>
      <c r="V2428" s="579"/>
      <c r="W2428" s="566" t="str">
        <f>IF(U2426&gt;0,"xx",IF(P2426&gt;0,"xy",""))</f>
        <v/>
      </c>
      <c r="X2428" s="586" t="str">
        <f t="shared" si="642"/>
        <v/>
      </c>
      <c r="Y2428" s="586" t="str">
        <f t="shared" si="633"/>
        <v/>
      </c>
      <c r="Z2428" s="586" t="str">
        <f t="shared" si="640"/>
        <v/>
      </c>
    </row>
    <row r="2429" spans="1:26" ht="12" hidden="1" thickBot="1" x14ac:dyDescent="0.25">
      <c r="A2429" s="567" t="s">
        <v>168</v>
      </c>
      <c r="B2429" s="644" t="s">
        <v>168</v>
      </c>
      <c r="C2429" s="645"/>
      <c r="D2429" s="422" t="s">
        <v>252</v>
      </c>
      <c r="E2429" s="423"/>
      <c r="F2429" s="424">
        <v>20</v>
      </c>
      <c r="G2429" s="425">
        <f>VLOOKUP(D2426,'[2]ENSAIOS DE ORÇAMENTO'!$C$3:$L$79,6,FALSE)</f>
        <v>1.2654000000000003</v>
      </c>
      <c r="H2429" s="663">
        <f t="shared" si="645"/>
        <v>30.470832000000009</v>
      </c>
      <c r="I2429" s="420"/>
      <c r="J2429" s="420"/>
      <c r="K2429" s="421">
        <f t="shared" si="627"/>
        <v>0</v>
      </c>
      <c r="L2429" s="647"/>
      <c r="M2429" s="723"/>
      <c r="N2429" s="576">
        <f t="shared" si="636"/>
        <v>0</v>
      </c>
      <c r="O2429" s="577">
        <f t="shared" si="630"/>
        <v>0</v>
      </c>
      <c r="P2429" s="578">
        <f t="shared" si="631"/>
        <v>0</v>
      </c>
      <c r="Q2429" s="765"/>
      <c r="R2429" s="723"/>
      <c r="S2429" s="723"/>
      <c r="T2429" s="577">
        <f t="shared" si="628"/>
        <v>0</v>
      </c>
      <c r="U2429" s="578">
        <f t="shared" si="629"/>
        <v>0</v>
      </c>
      <c r="V2429" s="579"/>
      <c r="W2429" s="566" t="str">
        <f>IF(U2426&gt;0,"xx",IF(P2426&gt;0,"xy",""))</f>
        <v/>
      </c>
      <c r="X2429" s="586" t="str">
        <f t="shared" si="642"/>
        <v/>
      </c>
      <c r="Y2429" s="586" t="str">
        <f t="shared" si="633"/>
        <v/>
      </c>
      <c r="Z2429" s="586" t="str">
        <f t="shared" si="640"/>
        <v/>
      </c>
    </row>
    <row r="2430" spans="1:26" ht="12" hidden="1" thickBot="1" x14ac:dyDescent="0.25">
      <c r="A2430" s="567" t="s">
        <v>168</v>
      </c>
      <c r="B2430" s="644" t="s">
        <v>168</v>
      </c>
      <c r="C2430" s="645"/>
      <c r="D2430" s="422" t="s">
        <v>400</v>
      </c>
      <c r="E2430" s="423"/>
      <c r="F2430" s="424">
        <v>30</v>
      </c>
      <c r="G2430" s="425">
        <f>VLOOKUP(D2426,'[2]ENSAIOS DE ORÇAMENTO'!$C$3:$L$79,3,FALSE)</f>
        <v>1.09134</v>
      </c>
      <c r="H2430" s="663">
        <f t="shared" si="645"/>
        <v>37.956805199999998</v>
      </c>
      <c r="I2430" s="420"/>
      <c r="J2430" s="420"/>
      <c r="K2430" s="421">
        <f t="shared" si="627"/>
        <v>0</v>
      </c>
      <c r="L2430" s="647"/>
      <c r="M2430" s="723"/>
      <c r="N2430" s="576">
        <f t="shared" si="636"/>
        <v>0</v>
      </c>
      <c r="O2430" s="577">
        <f t="shared" si="630"/>
        <v>0</v>
      </c>
      <c r="P2430" s="578">
        <f t="shared" si="631"/>
        <v>0</v>
      </c>
      <c r="Q2430" s="765"/>
      <c r="R2430" s="723"/>
      <c r="S2430" s="723"/>
      <c r="T2430" s="577">
        <f t="shared" si="628"/>
        <v>0</v>
      </c>
      <c r="U2430" s="578">
        <f t="shared" si="629"/>
        <v>0</v>
      </c>
      <c r="V2430" s="579"/>
      <c r="W2430" s="566" t="str">
        <f>IF(U2426&gt;0,"xx",IF(P2426&gt;0,"xy",""))</f>
        <v/>
      </c>
      <c r="X2430" s="586" t="str">
        <f t="shared" si="642"/>
        <v/>
      </c>
      <c r="Y2430" s="586" t="str">
        <f t="shared" si="633"/>
        <v/>
      </c>
      <c r="Z2430" s="586" t="str">
        <f t="shared" si="640"/>
        <v/>
      </c>
    </row>
    <row r="2431" spans="1:26" ht="12" hidden="1" thickBot="1" x14ac:dyDescent="0.25">
      <c r="A2431" s="567" t="s">
        <v>168</v>
      </c>
      <c r="B2431" s="644" t="s">
        <v>168</v>
      </c>
      <c r="C2431" s="645"/>
      <c r="D2431" s="422" t="s">
        <v>401</v>
      </c>
      <c r="E2431" s="423"/>
      <c r="F2431" s="424">
        <v>500</v>
      </c>
      <c r="G2431" s="425">
        <f>VLOOKUP(D2426,'[2]ENSAIOS DE ORÇAMENTO'!$C$3:$L$79,10,FALSE)</f>
        <v>3.6378000000000001E-2</v>
      </c>
      <c r="H2431" s="649">
        <f>IF(F2431&lt;=30,(0.78*F2431+7.82)*G2431,((0.78*30+7.82)+0.78*(F2431-30))*G2431)</f>
        <v>14.471895960000001</v>
      </c>
      <c r="I2431" s="420"/>
      <c r="J2431" s="420"/>
      <c r="K2431" s="421">
        <f t="shared" si="627"/>
        <v>0</v>
      </c>
      <c r="L2431" s="647"/>
      <c r="M2431" s="723"/>
      <c r="N2431" s="576">
        <f t="shared" si="636"/>
        <v>0</v>
      </c>
      <c r="O2431" s="577">
        <f t="shared" si="630"/>
        <v>0</v>
      </c>
      <c r="P2431" s="578">
        <f t="shared" si="631"/>
        <v>0</v>
      </c>
      <c r="Q2431" s="765"/>
      <c r="R2431" s="723"/>
      <c r="S2431" s="723"/>
      <c r="T2431" s="577">
        <f t="shared" si="628"/>
        <v>0</v>
      </c>
      <c r="U2431" s="578">
        <f t="shared" si="629"/>
        <v>0</v>
      </c>
      <c r="V2431" s="579"/>
      <c r="W2431" s="566" t="str">
        <f>IF(U2426&gt;0,"xx",IF(P2426&gt;0,"xy",""))</f>
        <v/>
      </c>
      <c r="X2431" s="586" t="str">
        <f t="shared" si="642"/>
        <v/>
      </c>
      <c r="Y2431" s="586" t="str">
        <f t="shared" si="633"/>
        <v/>
      </c>
      <c r="Z2431" s="586" t="str">
        <f t="shared" si="640"/>
        <v/>
      </c>
    </row>
    <row r="2432" spans="1:26" ht="12" hidden="1" thickBot="1" x14ac:dyDescent="0.25">
      <c r="A2432" s="567" t="s">
        <v>46</v>
      </c>
      <c r="B2432" s="644" t="s">
        <v>46</v>
      </c>
      <c r="C2432" s="645" t="s">
        <v>206</v>
      </c>
      <c r="D2432" s="422" t="s">
        <v>148</v>
      </c>
      <c r="E2432" s="423"/>
      <c r="F2432" s="424"/>
      <c r="G2432" s="425"/>
      <c r="H2432" s="651">
        <f>SUM(H2433:H2437)</f>
        <v>615.54044991600006</v>
      </c>
      <c r="I2432" s="420">
        <f>VLOOKUP(D2432,'[2]ENSAIOS DE ORÇAMENTO'!$C$3:$L$79,8,FALSE)</f>
        <v>2907.1166439999997</v>
      </c>
      <c r="J2432" s="420">
        <f>IF(ISBLANK(I2432),"",SUM(H2432:I2432))</f>
        <v>3522.6570939159997</v>
      </c>
      <c r="K2432" s="421">
        <f t="shared" ref="K2432:K2495" si="646">IF(ISBLANK(I2432),0,ROUND(J2432*(1+$F$10)*(1+$F$11*E2432),2))</f>
        <v>4185.2700000000004</v>
      </c>
      <c r="L2432" s="647" t="s">
        <v>21</v>
      </c>
      <c r="M2432" s="576"/>
      <c r="N2432" s="576">
        <f t="shared" si="636"/>
        <v>0</v>
      </c>
      <c r="O2432" s="577">
        <f t="shared" si="630"/>
        <v>0</v>
      </c>
      <c r="P2432" s="578">
        <f t="shared" si="631"/>
        <v>0</v>
      </c>
      <c r="Q2432" s="765"/>
      <c r="R2432" s="576">
        <f>M2432</f>
        <v>0</v>
      </c>
      <c r="S2432" s="576">
        <f>N2432</f>
        <v>0</v>
      </c>
      <c r="T2432" s="577">
        <f t="shared" ref="T2432:T2495" si="647">IF(ISBLANK(R2432),0,ROUND(K2432*R2432,2))</f>
        <v>0</v>
      </c>
      <c r="U2432" s="578">
        <f t="shared" ref="U2432:U2495" si="648">IF(ISBLANK(R2432),0,ROUND(R2432*S2432,2))</f>
        <v>0</v>
      </c>
      <c r="V2432" s="579"/>
      <c r="W2432" s="566"/>
      <c r="X2432" s="586" t="str">
        <f t="shared" si="642"/>
        <v/>
      </c>
      <c r="Y2432" s="586" t="str">
        <f t="shared" si="633"/>
        <v/>
      </c>
      <c r="Z2432" s="586" t="str">
        <f t="shared" si="640"/>
        <v/>
      </c>
    </row>
    <row r="2433" spans="1:26" ht="12" hidden="1" thickBot="1" x14ac:dyDescent="0.25">
      <c r="A2433" s="567" t="s">
        <v>168</v>
      </c>
      <c r="B2433" s="644" t="s">
        <v>168</v>
      </c>
      <c r="C2433" s="645"/>
      <c r="D2433" s="422" t="s">
        <v>212</v>
      </c>
      <c r="E2433" s="423"/>
      <c r="F2433" s="424">
        <v>500</v>
      </c>
      <c r="G2433" s="425">
        <f>VLOOKUP(D2432,'[2]ENSAIOS DE ORÇAMENTO'!$C$3:$L$79,4,FALSE)</f>
        <v>0.46255580000000002</v>
      </c>
      <c r="H2433" s="649">
        <f>IF(F2433&lt;=30,(0.78*F2433+7.82)*G2433,((0.78*30+7.82)+0.78*(F2433-30))*G2433)</f>
        <v>184.01394835600004</v>
      </c>
      <c r="I2433" s="420"/>
      <c r="J2433" s="420"/>
      <c r="K2433" s="421">
        <f t="shared" si="646"/>
        <v>0</v>
      </c>
      <c r="L2433" s="647"/>
      <c r="M2433" s="723"/>
      <c r="N2433" s="576">
        <f t="shared" si="636"/>
        <v>0</v>
      </c>
      <c r="O2433" s="577">
        <f t="shared" ref="O2433:O2496" si="649">IF(ISBLANK(M2433),0,ROUND(K2433*M2433,2))</f>
        <v>0</v>
      </c>
      <c r="P2433" s="578">
        <f t="shared" ref="P2433:P2496" si="650">IF(ISBLANK(N2433),0,ROUND(M2433*N2433,2))</f>
        <v>0</v>
      </c>
      <c r="Q2433" s="765"/>
      <c r="R2433" s="723"/>
      <c r="S2433" s="723"/>
      <c r="T2433" s="577">
        <f t="shared" si="647"/>
        <v>0</v>
      </c>
      <c r="U2433" s="578">
        <f t="shared" si="648"/>
        <v>0</v>
      </c>
      <c r="V2433" s="579"/>
      <c r="W2433" s="566" t="str">
        <f>IF(U2432&gt;0,"xx",IF(P2432&gt;0,"xy",""))</f>
        <v/>
      </c>
      <c r="X2433" s="586" t="str">
        <f t="shared" si="642"/>
        <v/>
      </c>
      <c r="Y2433" s="586" t="str">
        <f t="shared" si="633"/>
        <v/>
      </c>
      <c r="Z2433" s="586" t="str">
        <f t="shared" si="640"/>
        <v/>
      </c>
    </row>
    <row r="2434" spans="1:26" ht="12" hidden="1" thickBot="1" x14ac:dyDescent="0.25">
      <c r="A2434" s="567" t="s">
        <v>168</v>
      </c>
      <c r="B2434" s="644" t="s">
        <v>168</v>
      </c>
      <c r="C2434" s="645"/>
      <c r="D2434" s="422" t="s">
        <v>248</v>
      </c>
      <c r="E2434" s="423"/>
      <c r="F2434" s="424">
        <v>180</v>
      </c>
      <c r="G2434" s="425">
        <f>VLOOKUP(D2432,'[2]ENSAIOS DE ORÇAMENTO'!$C$3:$L$79,5,FALSE)</f>
        <v>1.7263925000000002</v>
      </c>
      <c r="H2434" s="663">
        <f t="shared" ref="H2434:H2436" si="651">IF(F2434&lt;=30,(1.07*F2434+2.68)*G2434,((1.07*30+2.68)+1.07*(F2434-30))*G2434)</f>
        <v>337.12992740000004</v>
      </c>
      <c r="I2434" s="420"/>
      <c r="J2434" s="420"/>
      <c r="K2434" s="421">
        <f t="shared" si="646"/>
        <v>0</v>
      </c>
      <c r="L2434" s="647"/>
      <c r="M2434" s="723"/>
      <c r="N2434" s="576">
        <f t="shared" si="636"/>
        <v>0</v>
      </c>
      <c r="O2434" s="577">
        <f t="shared" si="649"/>
        <v>0</v>
      </c>
      <c r="P2434" s="578">
        <f t="shared" si="650"/>
        <v>0</v>
      </c>
      <c r="Q2434" s="765"/>
      <c r="R2434" s="723"/>
      <c r="S2434" s="723"/>
      <c r="T2434" s="577">
        <f t="shared" si="647"/>
        <v>0</v>
      </c>
      <c r="U2434" s="578">
        <f t="shared" si="648"/>
        <v>0</v>
      </c>
      <c r="V2434" s="579"/>
      <c r="W2434" s="566" t="str">
        <f>IF(U2432&gt;0,"xx",IF(P2432&gt;0,"xy",""))</f>
        <v/>
      </c>
      <c r="X2434" s="586" t="str">
        <f t="shared" si="642"/>
        <v/>
      </c>
      <c r="Y2434" s="586" t="str">
        <f t="shared" si="633"/>
        <v/>
      </c>
      <c r="Z2434" s="586" t="str">
        <f t="shared" si="640"/>
        <v/>
      </c>
    </row>
    <row r="2435" spans="1:26" ht="12" hidden="1" thickBot="1" x14ac:dyDescent="0.25">
      <c r="A2435" s="567" t="s">
        <v>168</v>
      </c>
      <c r="B2435" s="644" t="s">
        <v>168</v>
      </c>
      <c r="C2435" s="645"/>
      <c r="D2435" s="422" t="s">
        <v>252</v>
      </c>
      <c r="E2435" s="423"/>
      <c r="F2435" s="424">
        <v>20</v>
      </c>
      <c r="G2435" s="425">
        <f>VLOOKUP(D2432,'[2]ENSAIOS DE ORÇAMENTO'!$C$3:$L$79,6,FALSE)</f>
        <v>1.3209000000000002</v>
      </c>
      <c r="H2435" s="663">
        <f t="shared" si="651"/>
        <v>31.807272000000008</v>
      </c>
      <c r="I2435" s="420"/>
      <c r="J2435" s="420"/>
      <c r="K2435" s="421">
        <f t="shared" si="646"/>
        <v>0</v>
      </c>
      <c r="L2435" s="647"/>
      <c r="M2435" s="723"/>
      <c r="N2435" s="576">
        <f t="shared" si="636"/>
        <v>0</v>
      </c>
      <c r="O2435" s="577">
        <f t="shared" si="649"/>
        <v>0</v>
      </c>
      <c r="P2435" s="578">
        <f t="shared" si="650"/>
        <v>0</v>
      </c>
      <c r="Q2435" s="765"/>
      <c r="R2435" s="723"/>
      <c r="S2435" s="723"/>
      <c r="T2435" s="577">
        <f t="shared" si="647"/>
        <v>0</v>
      </c>
      <c r="U2435" s="578">
        <f t="shared" si="648"/>
        <v>0</v>
      </c>
      <c r="V2435" s="579"/>
      <c r="W2435" s="566" t="str">
        <f>IF(U2432&gt;0,"xx",IF(P2432&gt;0,"xy",""))</f>
        <v/>
      </c>
      <c r="X2435" s="586" t="str">
        <f t="shared" si="642"/>
        <v/>
      </c>
      <c r="Y2435" s="586" t="str">
        <f t="shared" si="633"/>
        <v/>
      </c>
      <c r="Z2435" s="586" t="str">
        <f t="shared" si="640"/>
        <v/>
      </c>
    </row>
    <row r="2436" spans="1:26" ht="12" hidden="1" thickBot="1" x14ac:dyDescent="0.25">
      <c r="A2436" s="567" t="s">
        <v>168</v>
      </c>
      <c r="B2436" s="644" t="s">
        <v>168</v>
      </c>
      <c r="C2436" s="645"/>
      <c r="D2436" s="422" t="s">
        <v>400</v>
      </c>
      <c r="E2436" s="423"/>
      <c r="F2436" s="424">
        <v>30</v>
      </c>
      <c r="G2436" s="425">
        <f>VLOOKUP(D2432,'[2]ENSAIOS DE ORÇAMENTO'!$C$3:$L$79,3,FALSE)</f>
        <v>1.30284</v>
      </c>
      <c r="H2436" s="663">
        <f t="shared" si="651"/>
        <v>45.312775200000004</v>
      </c>
      <c r="I2436" s="420"/>
      <c r="J2436" s="420"/>
      <c r="K2436" s="421">
        <f t="shared" si="646"/>
        <v>0</v>
      </c>
      <c r="L2436" s="647"/>
      <c r="M2436" s="723"/>
      <c r="N2436" s="576">
        <f t="shared" si="636"/>
        <v>0</v>
      </c>
      <c r="O2436" s="577">
        <f t="shared" si="649"/>
        <v>0</v>
      </c>
      <c r="P2436" s="578">
        <f t="shared" si="650"/>
        <v>0</v>
      </c>
      <c r="Q2436" s="765"/>
      <c r="R2436" s="723"/>
      <c r="S2436" s="723"/>
      <c r="T2436" s="577">
        <f t="shared" si="647"/>
        <v>0</v>
      </c>
      <c r="U2436" s="578">
        <f t="shared" si="648"/>
        <v>0</v>
      </c>
      <c r="V2436" s="579"/>
      <c r="W2436" s="566" t="str">
        <f>IF(U2432&gt;0,"xx",IF(P2432&gt;0,"xy",""))</f>
        <v/>
      </c>
      <c r="X2436" s="586" t="str">
        <f t="shared" si="642"/>
        <v/>
      </c>
      <c r="Y2436" s="586" t="str">
        <f t="shared" si="633"/>
        <v/>
      </c>
      <c r="Z2436" s="586" t="str">
        <f t="shared" si="640"/>
        <v/>
      </c>
    </row>
    <row r="2437" spans="1:26" ht="12" hidden="1" thickBot="1" x14ac:dyDescent="0.25">
      <c r="A2437" s="567" t="s">
        <v>168</v>
      </c>
      <c r="B2437" s="644" t="s">
        <v>168</v>
      </c>
      <c r="C2437" s="645"/>
      <c r="D2437" s="422" t="s">
        <v>401</v>
      </c>
      <c r="E2437" s="423"/>
      <c r="F2437" s="424">
        <v>500</v>
      </c>
      <c r="G2437" s="425">
        <f>VLOOKUP(D2432,'[2]ENSAIOS DE ORÇAMENTO'!$C$3:$L$79,10,FALSE)</f>
        <v>4.3428000000000001E-2</v>
      </c>
      <c r="H2437" s="649">
        <f>IF(F2437&lt;=30,(0.78*F2437+7.82)*G2437,((0.78*30+7.82)+0.78*(F2437-30))*G2437)</f>
        <v>17.276526960000002</v>
      </c>
      <c r="I2437" s="420"/>
      <c r="J2437" s="420"/>
      <c r="K2437" s="421">
        <f t="shared" si="646"/>
        <v>0</v>
      </c>
      <c r="L2437" s="647"/>
      <c r="M2437" s="723"/>
      <c r="N2437" s="576">
        <f t="shared" si="636"/>
        <v>0</v>
      </c>
      <c r="O2437" s="577">
        <f t="shared" si="649"/>
        <v>0</v>
      </c>
      <c r="P2437" s="578">
        <f t="shared" si="650"/>
        <v>0</v>
      </c>
      <c r="Q2437" s="765"/>
      <c r="R2437" s="723"/>
      <c r="S2437" s="723"/>
      <c r="T2437" s="577">
        <f t="shared" si="647"/>
        <v>0</v>
      </c>
      <c r="U2437" s="578">
        <f t="shared" si="648"/>
        <v>0</v>
      </c>
      <c r="V2437" s="579"/>
      <c r="W2437" s="566" t="str">
        <f>IF(U2432&gt;0,"xx",IF(P2432&gt;0,"xy",""))</f>
        <v/>
      </c>
      <c r="X2437" s="586" t="str">
        <f t="shared" si="642"/>
        <v/>
      </c>
      <c r="Y2437" s="586" t="str">
        <f t="shared" si="633"/>
        <v/>
      </c>
      <c r="Z2437" s="586" t="str">
        <f t="shared" si="640"/>
        <v/>
      </c>
    </row>
    <row r="2438" spans="1:26" ht="12" hidden="1" thickBot="1" x14ac:dyDescent="0.25">
      <c r="A2438" s="567" t="s">
        <v>132</v>
      </c>
      <c r="B2438" s="644" t="s">
        <v>132</v>
      </c>
      <c r="C2438" s="645" t="s">
        <v>206</v>
      </c>
      <c r="D2438" s="422" t="s">
        <v>149</v>
      </c>
      <c r="E2438" s="423"/>
      <c r="F2438" s="424"/>
      <c r="G2438" s="425"/>
      <c r="H2438" s="651">
        <f>SUM(H2439:H2443)</f>
        <v>691.04061969200018</v>
      </c>
      <c r="I2438" s="420">
        <f>VLOOKUP(D2438,'[2]ENSAIOS DE ORÇAMENTO'!$C$3:$L$79,8,FALSE)</f>
        <v>3218.8444279999999</v>
      </c>
      <c r="J2438" s="420">
        <f>IF(ISBLANK(I2438),"",SUM(H2438:I2438))</f>
        <v>3909.8850476920002</v>
      </c>
      <c r="K2438" s="421">
        <f t="shared" si="646"/>
        <v>4645.33</v>
      </c>
      <c r="L2438" s="647" t="s">
        <v>21</v>
      </c>
      <c r="M2438" s="576"/>
      <c r="N2438" s="576">
        <f t="shared" si="636"/>
        <v>0</v>
      </c>
      <c r="O2438" s="577">
        <f t="shared" si="649"/>
        <v>0</v>
      </c>
      <c r="P2438" s="578">
        <f t="shared" si="650"/>
        <v>0</v>
      </c>
      <c r="Q2438" s="765"/>
      <c r="R2438" s="576">
        <f>M2438</f>
        <v>0</v>
      </c>
      <c r="S2438" s="576">
        <f>N2438</f>
        <v>0</v>
      </c>
      <c r="T2438" s="577">
        <f t="shared" si="647"/>
        <v>0</v>
      </c>
      <c r="U2438" s="578">
        <f t="shared" si="648"/>
        <v>0</v>
      </c>
      <c r="V2438" s="579"/>
      <c r="W2438" s="566"/>
      <c r="X2438" s="586" t="str">
        <f t="shared" si="642"/>
        <v/>
      </c>
      <c r="Y2438" s="586" t="str">
        <f t="shared" si="633"/>
        <v/>
      </c>
      <c r="Z2438" s="586" t="str">
        <f t="shared" si="640"/>
        <v/>
      </c>
    </row>
    <row r="2439" spans="1:26" ht="12" hidden="1" thickBot="1" x14ac:dyDescent="0.25">
      <c r="A2439" s="567" t="s">
        <v>168</v>
      </c>
      <c r="B2439" s="644" t="s">
        <v>168</v>
      </c>
      <c r="C2439" s="645"/>
      <c r="D2439" s="422" t="s">
        <v>212</v>
      </c>
      <c r="E2439" s="423"/>
      <c r="F2439" s="424">
        <v>500</v>
      </c>
      <c r="G2439" s="425">
        <f>VLOOKUP(D2438,'[2]ENSAIOS DE ORÇAMENTO'!$C$3:$L$79,4,FALSE)</f>
        <v>0.50537460000000012</v>
      </c>
      <c r="H2439" s="649">
        <f>IF(F2439&lt;=30,(0.78*F2439+7.82)*G2439,((0.78*30+7.82)+0.78*(F2439-30))*G2439)</f>
        <v>201.04812337200008</v>
      </c>
      <c r="I2439" s="420"/>
      <c r="J2439" s="420"/>
      <c r="K2439" s="421">
        <f t="shared" si="646"/>
        <v>0</v>
      </c>
      <c r="L2439" s="647"/>
      <c r="M2439" s="723"/>
      <c r="N2439" s="576">
        <f t="shared" si="636"/>
        <v>0</v>
      </c>
      <c r="O2439" s="577">
        <f t="shared" si="649"/>
        <v>0</v>
      </c>
      <c r="P2439" s="578">
        <f t="shared" si="650"/>
        <v>0</v>
      </c>
      <c r="Q2439" s="765"/>
      <c r="R2439" s="723"/>
      <c r="S2439" s="723"/>
      <c r="T2439" s="577">
        <f t="shared" si="647"/>
        <v>0</v>
      </c>
      <c r="U2439" s="578">
        <f t="shared" si="648"/>
        <v>0</v>
      </c>
      <c r="V2439" s="579"/>
      <c r="W2439" s="566" t="str">
        <f>IF(U2438&gt;0,"xx",IF(P2438&gt;0,"xy",""))</f>
        <v/>
      </c>
      <c r="X2439" s="586" t="str">
        <f t="shared" si="642"/>
        <v/>
      </c>
      <c r="Y2439" s="586" t="str">
        <f t="shared" si="633"/>
        <v/>
      </c>
      <c r="Z2439" s="586" t="str">
        <f t="shared" si="640"/>
        <v/>
      </c>
    </row>
    <row r="2440" spans="1:26" ht="12" hidden="1" thickBot="1" x14ac:dyDescent="0.25">
      <c r="A2440" s="567" t="s">
        <v>168</v>
      </c>
      <c r="B2440" s="644" t="s">
        <v>168</v>
      </c>
      <c r="C2440" s="645"/>
      <c r="D2440" s="422" t="s">
        <v>248</v>
      </c>
      <c r="E2440" s="423"/>
      <c r="F2440" s="424">
        <v>180</v>
      </c>
      <c r="G2440" s="425">
        <f>VLOOKUP(D2438,'[2]ENSAIOS DE ORÇAMENTO'!$C$3:$L$79,5,FALSE)</f>
        <v>1.9364075000000001</v>
      </c>
      <c r="H2440" s="663">
        <f t="shared" ref="H2440:H2442" si="652">IF(F2440&lt;=30,(1.07*F2440+2.68)*G2440,((1.07*30+2.68)+1.07*(F2440-30))*G2440)</f>
        <v>378.14165660000003</v>
      </c>
      <c r="I2440" s="420"/>
      <c r="J2440" s="420"/>
      <c r="K2440" s="421">
        <f t="shared" si="646"/>
        <v>0</v>
      </c>
      <c r="L2440" s="647"/>
      <c r="M2440" s="723"/>
      <c r="N2440" s="576">
        <f t="shared" si="636"/>
        <v>0</v>
      </c>
      <c r="O2440" s="577">
        <f t="shared" si="649"/>
        <v>0</v>
      </c>
      <c r="P2440" s="578">
        <f t="shared" si="650"/>
        <v>0</v>
      </c>
      <c r="Q2440" s="765"/>
      <c r="R2440" s="723"/>
      <c r="S2440" s="723"/>
      <c r="T2440" s="577">
        <f t="shared" si="647"/>
        <v>0</v>
      </c>
      <c r="U2440" s="578">
        <f t="shared" si="648"/>
        <v>0</v>
      </c>
      <c r="V2440" s="579"/>
      <c r="W2440" s="566" t="str">
        <f>IF(U2438&gt;0,"xx",IF(P2438&gt;0,"xy",""))</f>
        <v/>
      </c>
      <c r="X2440" s="586" t="str">
        <f t="shared" si="642"/>
        <v/>
      </c>
      <c r="Y2440" s="586" t="str">
        <f t="shared" ref="Y2440:Y2503" si="653">IF(W2440="X","x",IF(W2440="y","x",IF(W2440="xx","x",IF(U2440&gt;0,"x",""))))</f>
        <v/>
      </c>
      <c r="Z2440" s="586" t="str">
        <f t="shared" si="640"/>
        <v/>
      </c>
    </row>
    <row r="2441" spans="1:26" ht="12" hidden="1" thickBot="1" x14ac:dyDescent="0.25">
      <c r="A2441" s="567" t="s">
        <v>168</v>
      </c>
      <c r="B2441" s="644" t="s">
        <v>168</v>
      </c>
      <c r="C2441" s="645"/>
      <c r="D2441" s="422" t="s">
        <v>252</v>
      </c>
      <c r="E2441" s="423"/>
      <c r="F2441" s="424">
        <v>20</v>
      </c>
      <c r="G2441" s="425">
        <f>VLOOKUP(D2438,'[2]ENSAIOS DE ORÇAMENTO'!$C$3:$L$79,6,FALSE)</f>
        <v>1.3875000000000002</v>
      </c>
      <c r="H2441" s="663">
        <f t="shared" si="652"/>
        <v>33.411000000000008</v>
      </c>
      <c r="I2441" s="420"/>
      <c r="J2441" s="420"/>
      <c r="K2441" s="421">
        <f t="shared" si="646"/>
        <v>0</v>
      </c>
      <c r="L2441" s="647"/>
      <c r="M2441" s="723"/>
      <c r="N2441" s="576">
        <f t="shared" si="636"/>
        <v>0</v>
      </c>
      <c r="O2441" s="577">
        <f t="shared" si="649"/>
        <v>0</v>
      </c>
      <c r="P2441" s="578">
        <f t="shared" si="650"/>
        <v>0</v>
      </c>
      <c r="Q2441" s="765"/>
      <c r="R2441" s="723"/>
      <c r="S2441" s="723"/>
      <c r="T2441" s="577">
        <f t="shared" si="647"/>
        <v>0</v>
      </c>
      <c r="U2441" s="578">
        <f t="shared" si="648"/>
        <v>0</v>
      </c>
      <c r="V2441" s="579"/>
      <c r="W2441" s="566" t="str">
        <f>IF(U2438&gt;0,"xx",IF(P2438&gt;0,"xy",""))</f>
        <v/>
      </c>
      <c r="X2441" s="586" t="str">
        <f t="shared" si="642"/>
        <v/>
      </c>
      <c r="Y2441" s="586" t="str">
        <f t="shared" si="653"/>
        <v/>
      </c>
      <c r="Z2441" s="586" t="str">
        <f t="shared" si="640"/>
        <v/>
      </c>
    </row>
    <row r="2442" spans="1:26" ht="12" hidden="1" thickBot="1" x14ac:dyDescent="0.25">
      <c r="A2442" s="567" t="s">
        <v>168</v>
      </c>
      <c r="B2442" s="644" t="s">
        <v>168</v>
      </c>
      <c r="C2442" s="645"/>
      <c r="D2442" s="422" t="s">
        <v>400</v>
      </c>
      <c r="E2442" s="423"/>
      <c r="F2442" s="424">
        <v>30</v>
      </c>
      <c r="G2442" s="425">
        <f>VLOOKUP(D2438,'[2]ENSAIOS DE ORÇAMENTO'!$C$3:$L$79,3,FALSE)</f>
        <v>1.6327799999999999</v>
      </c>
      <c r="H2442" s="663">
        <f t="shared" si="652"/>
        <v>56.788088399999999</v>
      </c>
      <c r="I2442" s="420"/>
      <c r="J2442" s="420"/>
      <c r="K2442" s="421">
        <f t="shared" si="646"/>
        <v>0</v>
      </c>
      <c r="L2442" s="647"/>
      <c r="M2442" s="723"/>
      <c r="N2442" s="576">
        <f t="shared" si="636"/>
        <v>0</v>
      </c>
      <c r="O2442" s="577">
        <f t="shared" si="649"/>
        <v>0</v>
      </c>
      <c r="P2442" s="578">
        <f t="shared" si="650"/>
        <v>0</v>
      </c>
      <c r="Q2442" s="765"/>
      <c r="R2442" s="723"/>
      <c r="S2442" s="723"/>
      <c r="T2442" s="577">
        <f t="shared" si="647"/>
        <v>0</v>
      </c>
      <c r="U2442" s="578">
        <f t="shared" si="648"/>
        <v>0</v>
      </c>
      <c r="V2442" s="579"/>
      <c r="W2442" s="566" t="str">
        <f>IF(U2438&gt;0,"xx",IF(P2438&gt;0,"xy",""))</f>
        <v/>
      </c>
      <c r="X2442" s="586" t="str">
        <f t="shared" si="642"/>
        <v/>
      </c>
      <c r="Y2442" s="586" t="str">
        <f t="shared" si="653"/>
        <v/>
      </c>
      <c r="Z2442" s="586" t="str">
        <f t="shared" si="640"/>
        <v/>
      </c>
    </row>
    <row r="2443" spans="1:26" ht="12" hidden="1" thickBot="1" x14ac:dyDescent="0.25">
      <c r="A2443" s="567" t="s">
        <v>168</v>
      </c>
      <c r="B2443" s="644" t="s">
        <v>168</v>
      </c>
      <c r="C2443" s="645"/>
      <c r="D2443" s="422" t="s">
        <v>401</v>
      </c>
      <c r="E2443" s="423"/>
      <c r="F2443" s="424">
        <v>500</v>
      </c>
      <c r="G2443" s="425">
        <f>VLOOKUP(D2438,'[2]ENSAIOS DE ORÇAMENTO'!$C$3:$L$79,10,FALSE)</f>
        <v>5.4425999999999995E-2</v>
      </c>
      <c r="H2443" s="649">
        <f>IF(F2443&lt;=30,(0.78*F2443+7.82)*G2443,((0.78*30+7.82)+0.78*(F2443-30))*G2443)</f>
        <v>21.651751320000002</v>
      </c>
      <c r="I2443" s="420"/>
      <c r="J2443" s="420"/>
      <c r="K2443" s="421">
        <f t="shared" si="646"/>
        <v>0</v>
      </c>
      <c r="L2443" s="647"/>
      <c r="M2443" s="723"/>
      <c r="N2443" s="576">
        <f t="shared" si="636"/>
        <v>0</v>
      </c>
      <c r="O2443" s="577">
        <f t="shared" si="649"/>
        <v>0</v>
      </c>
      <c r="P2443" s="578">
        <f t="shared" si="650"/>
        <v>0</v>
      </c>
      <c r="Q2443" s="765"/>
      <c r="R2443" s="723"/>
      <c r="S2443" s="723"/>
      <c r="T2443" s="577">
        <f t="shared" si="647"/>
        <v>0</v>
      </c>
      <c r="U2443" s="578">
        <f t="shared" si="648"/>
        <v>0</v>
      </c>
      <c r="V2443" s="579"/>
      <c r="W2443" s="566" t="str">
        <f>IF(U2438&gt;0,"xx",IF(P2438&gt;0,"xy",""))</f>
        <v/>
      </c>
      <c r="X2443" s="586" t="str">
        <f t="shared" si="642"/>
        <v/>
      </c>
      <c r="Y2443" s="586" t="str">
        <f t="shared" si="653"/>
        <v/>
      </c>
      <c r="Z2443" s="586" t="str">
        <f t="shared" si="640"/>
        <v/>
      </c>
    </row>
    <row r="2444" spans="1:26" ht="12" hidden="1" thickBot="1" x14ac:dyDescent="0.25">
      <c r="A2444" s="567" t="s">
        <v>136</v>
      </c>
      <c r="B2444" s="644" t="s">
        <v>136</v>
      </c>
      <c r="C2444" s="645" t="s">
        <v>206</v>
      </c>
      <c r="D2444" s="422" t="s">
        <v>150</v>
      </c>
      <c r="E2444" s="423"/>
      <c r="F2444" s="424"/>
      <c r="G2444" s="425"/>
      <c r="H2444" s="651">
        <f>SUM(H2445:H2449)</f>
        <v>409.16457640000004</v>
      </c>
      <c r="I2444" s="420">
        <f>VLOOKUP(D2444,'[2]ENSAIOS DE ORÇAMENTO'!$C$3:$L$79,8,FALSE)</f>
        <v>1400.2775500000002</v>
      </c>
      <c r="J2444" s="420">
        <f>IF(ISBLANK(I2444),"",SUM(H2444:I2444))</f>
        <v>1809.4421264000002</v>
      </c>
      <c r="K2444" s="421">
        <f t="shared" si="646"/>
        <v>2149.8000000000002</v>
      </c>
      <c r="L2444" s="647" t="s">
        <v>21</v>
      </c>
      <c r="M2444" s="576"/>
      <c r="N2444" s="576">
        <f t="shared" si="636"/>
        <v>0</v>
      </c>
      <c r="O2444" s="577">
        <f t="shared" si="649"/>
        <v>0</v>
      </c>
      <c r="P2444" s="578">
        <f t="shared" si="650"/>
        <v>0</v>
      </c>
      <c r="Q2444" s="765"/>
      <c r="R2444" s="576">
        <f>M2444</f>
        <v>0</v>
      </c>
      <c r="S2444" s="576">
        <f>N2444</f>
        <v>0</v>
      </c>
      <c r="T2444" s="577">
        <f t="shared" si="647"/>
        <v>0</v>
      </c>
      <c r="U2444" s="578">
        <f t="shared" si="648"/>
        <v>0</v>
      </c>
      <c r="V2444" s="579"/>
      <c r="W2444" s="566"/>
      <c r="X2444" s="586" t="str">
        <f t="shared" si="642"/>
        <v/>
      </c>
      <c r="Y2444" s="586" t="str">
        <f t="shared" si="653"/>
        <v/>
      </c>
      <c r="Z2444" s="586" t="str">
        <f t="shared" si="640"/>
        <v/>
      </c>
    </row>
    <row r="2445" spans="1:26" ht="12" hidden="1" thickBot="1" x14ac:dyDescent="0.25">
      <c r="A2445" s="567" t="s">
        <v>168</v>
      </c>
      <c r="B2445" s="644" t="s">
        <v>168</v>
      </c>
      <c r="C2445" s="645"/>
      <c r="D2445" s="422" t="s">
        <v>212</v>
      </c>
      <c r="E2445" s="423"/>
      <c r="F2445" s="424">
        <v>500</v>
      </c>
      <c r="G2445" s="425">
        <f>VLOOKUP(D2444,'[2]ENSAIOS DE ORÇAMENTO'!$C$3:$L$79,4,FALSE)</f>
        <v>0.38250000000000006</v>
      </c>
      <c r="H2445" s="649">
        <f>IF(F2445&lt;=30,(0.78*F2445+7.82)*G2445,((0.78*30+7.82)+0.78*(F2445-30))*G2445)</f>
        <v>152.16615000000004</v>
      </c>
      <c r="I2445" s="420"/>
      <c r="J2445" s="420"/>
      <c r="K2445" s="421">
        <f t="shared" si="646"/>
        <v>0</v>
      </c>
      <c r="L2445" s="647"/>
      <c r="M2445" s="723"/>
      <c r="N2445" s="576">
        <f t="shared" si="636"/>
        <v>0</v>
      </c>
      <c r="O2445" s="577">
        <f t="shared" si="649"/>
        <v>0</v>
      </c>
      <c r="P2445" s="578">
        <f t="shared" si="650"/>
        <v>0</v>
      </c>
      <c r="Q2445" s="765"/>
      <c r="R2445" s="723"/>
      <c r="S2445" s="723"/>
      <c r="T2445" s="577">
        <f t="shared" si="647"/>
        <v>0</v>
      </c>
      <c r="U2445" s="578">
        <f t="shared" si="648"/>
        <v>0</v>
      </c>
      <c r="V2445" s="579"/>
      <c r="W2445" s="566" t="str">
        <f>IF(U2444&gt;0,"xx",IF(P2444&gt;0,"xy",""))</f>
        <v/>
      </c>
      <c r="X2445" s="586" t="str">
        <f t="shared" si="642"/>
        <v/>
      </c>
      <c r="Y2445" s="586" t="str">
        <f t="shared" si="653"/>
        <v/>
      </c>
      <c r="Z2445" s="586" t="str">
        <f t="shared" si="640"/>
        <v/>
      </c>
    </row>
    <row r="2446" spans="1:26" ht="12" hidden="1" thickBot="1" x14ac:dyDescent="0.25">
      <c r="A2446" s="567" t="s">
        <v>168</v>
      </c>
      <c r="B2446" s="644" t="s">
        <v>168</v>
      </c>
      <c r="C2446" s="645"/>
      <c r="D2446" s="422" t="s">
        <v>248</v>
      </c>
      <c r="E2446" s="423"/>
      <c r="F2446" s="424">
        <v>180</v>
      </c>
      <c r="G2446" s="425">
        <f>VLOOKUP(D2444,'[2]ENSAIOS DE ORÇAMENTO'!$C$3:$L$79,5,FALSE)</f>
        <v>1.1483800000000002</v>
      </c>
      <c r="H2446" s="663">
        <f t="shared" ref="H2446:H2448" si="654">IF(F2446&lt;=30,(1.07*F2446+2.68)*G2446,((1.07*30+2.68)+1.07*(F2446-30))*G2446)</f>
        <v>224.25564640000005</v>
      </c>
      <c r="I2446" s="420"/>
      <c r="J2446" s="420"/>
      <c r="K2446" s="421">
        <f t="shared" si="646"/>
        <v>0</v>
      </c>
      <c r="L2446" s="647"/>
      <c r="M2446" s="723"/>
      <c r="N2446" s="576">
        <f t="shared" si="636"/>
        <v>0</v>
      </c>
      <c r="O2446" s="577">
        <f t="shared" si="649"/>
        <v>0</v>
      </c>
      <c r="P2446" s="578">
        <f t="shared" si="650"/>
        <v>0</v>
      </c>
      <c r="Q2446" s="765"/>
      <c r="R2446" s="723"/>
      <c r="S2446" s="723"/>
      <c r="T2446" s="577">
        <f t="shared" si="647"/>
        <v>0</v>
      </c>
      <c r="U2446" s="578">
        <f t="shared" si="648"/>
        <v>0</v>
      </c>
      <c r="V2446" s="579"/>
      <c r="W2446" s="566" t="str">
        <f>IF(U2444&gt;0,"xx",IF(P2444&gt;0,"xy",""))</f>
        <v/>
      </c>
      <c r="X2446" s="586" t="str">
        <f t="shared" si="642"/>
        <v/>
      </c>
      <c r="Y2446" s="586" t="str">
        <f t="shared" si="653"/>
        <v/>
      </c>
      <c r="Z2446" s="586" t="str">
        <f t="shared" si="640"/>
        <v/>
      </c>
    </row>
    <row r="2447" spans="1:26" ht="12" hidden="1" thickBot="1" x14ac:dyDescent="0.25">
      <c r="A2447" s="567" t="s">
        <v>168</v>
      </c>
      <c r="B2447" s="644" t="s">
        <v>168</v>
      </c>
      <c r="C2447" s="645"/>
      <c r="D2447" s="422" t="s">
        <v>252</v>
      </c>
      <c r="E2447" s="423"/>
      <c r="F2447" s="424">
        <v>20</v>
      </c>
      <c r="G2447" s="425">
        <f>VLOOKUP(D2444,'[2]ENSAIOS DE ORÇAMENTO'!$C$3:$L$79,6,FALSE)</f>
        <v>1.35975</v>
      </c>
      <c r="H2447" s="663">
        <f t="shared" si="654"/>
        <v>32.742780000000003</v>
      </c>
      <c r="I2447" s="420"/>
      <c r="J2447" s="420"/>
      <c r="K2447" s="421">
        <f t="shared" si="646"/>
        <v>0</v>
      </c>
      <c r="L2447" s="647"/>
      <c r="M2447" s="723"/>
      <c r="N2447" s="576">
        <f t="shared" si="636"/>
        <v>0</v>
      </c>
      <c r="O2447" s="577">
        <f t="shared" si="649"/>
        <v>0</v>
      </c>
      <c r="P2447" s="578">
        <f t="shared" si="650"/>
        <v>0</v>
      </c>
      <c r="Q2447" s="765"/>
      <c r="R2447" s="723"/>
      <c r="S2447" s="723"/>
      <c r="T2447" s="577">
        <f t="shared" si="647"/>
        <v>0</v>
      </c>
      <c r="U2447" s="578">
        <f t="shared" si="648"/>
        <v>0</v>
      </c>
      <c r="V2447" s="579"/>
      <c r="W2447" s="566" t="str">
        <f>IF(U2444&gt;0,"xx",IF(P2444&gt;0,"xy",""))</f>
        <v/>
      </c>
      <c r="X2447" s="586" t="str">
        <f t="shared" si="642"/>
        <v/>
      </c>
      <c r="Y2447" s="586" t="str">
        <f t="shared" si="653"/>
        <v/>
      </c>
      <c r="Z2447" s="586" t="str">
        <f t="shared" si="640"/>
        <v/>
      </c>
    </row>
    <row r="2448" spans="1:26" ht="12" hidden="1" thickBot="1" x14ac:dyDescent="0.25">
      <c r="A2448" s="567" t="s">
        <v>168</v>
      </c>
      <c r="B2448" s="644" t="s">
        <v>168</v>
      </c>
      <c r="C2448" s="645"/>
      <c r="D2448" s="422" t="s">
        <v>400</v>
      </c>
      <c r="E2448" s="423"/>
      <c r="F2448" s="424">
        <v>30</v>
      </c>
      <c r="G2448" s="425">
        <f>VLOOKUP(D2444,'[2]ENSAIOS DE ORÇAMENTO'!$C$3:$L$79,3,FALSE)</f>
        <v>0</v>
      </c>
      <c r="H2448" s="663">
        <f t="shared" si="654"/>
        <v>0</v>
      </c>
      <c r="I2448" s="420"/>
      <c r="J2448" s="420"/>
      <c r="K2448" s="421">
        <f t="shared" si="646"/>
        <v>0</v>
      </c>
      <c r="L2448" s="647"/>
      <c r="M2448" s="723"/>
      <c r="N2448" s="576">
        <f t="shared" si="636"/>
        <v>0</v>
      </c>
      <c r="O2448" s="577">
        <f t="shared" si="649"/>
        <v>0</v>
      </c>
      <c r="P2448" s="578">
        <f t="shared" si="650"/>
        <v>0</v>
      </c>
      <c r="Q2448" s="765"/>
      <c r="R2448" s="723"/>
      <c r="S2448" s="723"/>
      <c r="T2448" s="577">
        <f t="shared" si="647"/>
        <v>0</v>
      </c>
      <c r="U2448" s="578">
        <f t="shared" si="648"/>
        <v>0</v>
      </c>
      <c r="V2448" s="579"/>
      <c r="W2448" s="566" t="str">
        <f>IF(U2444&gt;0,"xx",IF(P2444&gt;0,"xy",""))</f>
        <v/>
      </c>
      <c r="X2448" s="586" t="str">
        <f t="shared" si="642"/>
        <v/>
      </c>
      <c r="Y2448" s="586" t="str">
        <f t="shared" si="653"/>
        <v/>
      </c>
      <c r="Z2448" s="586" t="str">
        <f t="shared" si="640"/>
        <v/>
      </c>
    </row>
    <row r="2449" spans="1:26" ht="12" hidden="1" thickBot="1" x14ac:dyDescent="0.25">
      <c r="A2449" s="567" t="s">
        <v>168</v>
      </c>
      <c r="B2449" s="644" t="s">
        <v>168</v>
      </c>
      <c r="C2449" s="645"/>
      <c r="D2449" s="422" t="s">
        <v>401</v>
      </c>
      <c r="E2449" s="423"/>
      <c r="F2449" s="424">
        <v>500</v>
      </c>
      <c r="G2449" s="425">
        <f>VLOOKUP(D2444,'[2]ENSAIOS DE ORÇAMENTO'!$C$3:$L$79,10,FALSE)</f>
        <v>0</v>
      </c>
      <c r="H2449" s="649">
        <f>IF(F2449&lt;=30,(0.78*F2449+7.82)*G2449,((0.78*30+7.82)+0.78*(F2449-30))*G2449)</f>
        <v>0</v>
      </c>
      <c r="I2449" s="420"/>
      <c r="J2449" s="420"/>
      <c r="K2449" s="421">
        <f t="shared" si="646"/>
        <v>0</v>
      </c>
      <c r="L2449" s="647"/>
      <c r="M2449" s="723"/>
      <c r="N2449" s="576">
        <f t="shared" si="636"/>
        <v>0</v>
      </c>
      <c r="O2449" s="577">
        <f t="shared" si="649"/>
        <v>0</v>
      </c>
      <c r="P2449" s="578">
        <f t="shared" si="650"/>
        <v>0</v>
      </c>
      <c r="Q2449" s="765"/>
      <c r="R2449" s="723"/>
      <c r="S2449" s="723"/>
      <c r="T2449" s="577">
        <f t="shared" si="647"/>
        <v>0</v>
      </c>
      <c r="U2449" s="578">
        <f t="shared" si="648"/>
        <v>0</v>
      </c>
      <c r="V2449" s="579"/>
      <c r="W2449" s="566" t="str">
        <f>IF(U2444&gt;0,"xx",IF(P2444&gt;0,"xy",""))</f>
        <v/>
      </c>
      <c r="X2449" s="586" t="str">
        <f t="shared" si="642"/>
        <v/>
      </c>
      <c r="Y2449" s="586" t="str">
        <f t="shared" si="653"/>
        <v/>
      </c>
      <c r="Z2449" s="586" t="str">
        <f t="shared" si="640"/>
        <v/>
      </c>
    </row>
    <row r="2450" spans="1:26" ht="12" hidden="1" thickBot="1" x14ac:dyDescent="0.25">
      <c r="A2450" s="567" t="s">
        <v>137</v>
      </c>
      <c r="B2450" s="644" t="s">
        <v>137</v>
      </c>
      <c r="C2450" s="645" t="s">
        <v>206</v>
      </c>
      <c r="D2450" s="422" t="s">
        <v>151</v>
      </c>
      <c r="E2450" s="423"/>
      <c r="F2450" s="424"/>
      <c r="G2450" s="425"/>
      <c r="H2450" s="651">
        <f>SUM(H2451:H2455)</f>
        <v>459.84391840000006</v>
      </c>
      <c r="I2450" s="420">
        <f>VLOOKUP(D2450,'[2]ENSAIOS DE ORÇAMENTO'!$C$3:$L$79,8,FALSE)</f>
        <v>1488.1440499999999</v>
      </c>
      <c r="J2450" s="420">
        <f>IF(ISBLANK(I2450),"",SUM(H2450:I2450))</f>
        <v>1947.9879684</v>
      </c>
      <c r="K2450" s="421">
        <f t="shared" si="646"/>
        <v>2314.4</v>
      </c>
      <c r="L2450" s="647" t="s">
        <v>21</v>
      </c>
      <c r="M2450" s="576"/>
      <c r="N2450" s="576">
        <f t="shared" si="636"/>
        <v>0</v>
      </c>
      <c r="O2450" s="577">
        <f t="shared" si="649"/>
        <v>0</v>
      </c>
      <c r="P2450" s="578">
        <f t="shared" si="650"/>
        <v>0</v>
      </c>
      <c r="Q2450" s="765"/>
      <c r="R2450" s="576">
        <f>M2450</f>
        <v>0</v>
      </c>
      <c r="S2450" s="576">
        <f>N2450</f>
        <v>0</v>
      </c>
      <c r="T2450" s="577">
        <f t="shared" si="647"/>
        <v>0</v>
      </c>
      <c r="U2450" s="578">
        <f t="shared" si="648"/>
        <v>0</v>
      </c>
      <c r="V2450" s="579"/>
      <c r="W2450" s="566"/>
      <c r="X2450" s="586" t="str">
        <f t="shared" si="642"/>
        <v/>
      </c>
      <c r="Y2450" s="586" t="str">
        <f t="shared" si="653"/>
        <v/>
      </c>
      <c r="Z2450" s="586" t="str">
        <f t="shared" si="640"/>
        <v/>
      </c>
    </row>
    <row r="2451" spans="1:26" ht="12" hidden="1" thickBot="1" x14ac:dyDescent="0.25">
      <c r="A2451" s="567" t="s">
        <v>168</v>
      </c>
      <c r="B2451" s="644" t="s">
        <v>168</v>
      </c>
      <c r="C2451" s="645"/>
      <c r="D2451" s="422" t="s">
        <v>212</v>
      </c>
      <c r="E2451" s="423"/>
      <c r="F2451" s="424">
        <v>500</v>
      </c>
      <c r="G2451" s="425">
        <f>VLOOKUP(D2450,'[2]ENSAIOS DE ORÇAMENTO'!$C$3:$L$79,4,FALSE)</f>
        <v>0.43200000000000005</v>
      </c>
      <c r="H2451" s="649">
        <f>IF(F2451&lt;=30,(0.78*F2451+7.82)*G2451,((0.78*30+7.82)+0.78*(F2451-30))*G2451)</f>
        <v>171.85824000000005</v>
      </c>
      <c r="I2451" s="420"/>
      <c r="J2451" s="420"/>
      <c r="K2451" s="421">
        <f t="shared" si="646"/>
        <v>0</v>
      </c>
      <c r="L2451" s="647"/>
      <c r="M2451" s="723"/>
      <c r="N2451" s="576">
        <f t="shared" si="636"/>
        <v>0</v>
      </c>
      <c r="O2451" s="577">
        <f t="shared" si="649"/>
        <v>0</v>
      </c>
      <c r="P2451" s="578">
        <f t="shared" si="650"/>
        <v>0</v>
      </c>
      <c r="Q2451" s="765"/>
      <c r="R2451" s="723"/>
      <c r="S2451" s="723"/>
      <c r="T2451" s="577">
        <f t="shared" si="647"/>
        <v>0</v>
      </c>
      <c r="U2451" s="578">
        <f t="shared" si="648"/>
        <v>0</v>
      </c>
      <c r="V2451" s="579"/>
      <c r="W2451" s="566" t="str">
        <f>IF(U2450&gt;0,"xx",IF(P2450&gt;0,"xy",""))</f>
        <v/>
      </c>
      <c r="X2451" s="586" t="str">
        <f t="shared" si="642"/>
        <v/>
      </c>
      <c r="Y2451" s="586" t="str">
        <f t="shared" si="653"/>
        <v/>
      </c>
      <c r="Z2451" s="586" t="str">
        <f t="shared" si="640"/>
        <v/>
      </c>
    </row>
    <row r="2452" spans="1:26" ht="12" hidden="1" thickBot="1" x14ac:dyDescent="0.25">
      <c r="A2452" s="567" t="s">
        <v>168</v>
      </c>
      <c r="B2452" s="644" t="s">
        <v>168</v>
      </c>
      <c r="C2452" s="645"/>
      <c r="D2452" s="422" t="s">
        <v>248</v>
      </c>
      <c r="E2452" s="423"/>
      <c r="F2452" s="424">
        <v>180</v>
      </c>
      <c r="G2452" s="425">
        <f>VLOOKUP(D2450,'[2]ENSAIOS DE ORÇAMENTO'!$C$3:$L$79,5,FALSE)</f>
        <v>1.28653</v>
      </c>
      <c r="H2452" s="663">
        <f t="shared" ref="H2452:H2454" si="655">IF(F2452&lt;=30,(1.07*F2452+2.68)*G2452,((1.07*30+2.68)+1.07*(F2452-30))*G2452)</f>
        <v>251.2335784</v>
      </c>
      <c r="I2452" s="420"/>
      <c r="J2452" s="420"/>
      <c r="K2452" s="421">
        <f t="shared" si="646"/>
        <v>0</v>
      </c>
      <c r="L2452" s="647"/>
      <c r="M2452" s="723"/>
      <c r="N2452" s="576">
        <f t="shared" ref="N2452:N2515" si="656">IF(M2452=0,0,K2452)</f>
        <v>0</v>
      </c>
      <c r="O2452" s="577">
        <f t="shared" si="649"/>
        <v>0</v>
      </c>
      <c r="P2452" s="578">
        <f t="shared" si="650"/>
        <v>0</v>
      </c>
      <c r="Q2452" s="765"/>
      <c r="R2452" s="723"/>
      <c r="S2452" s="723"/>
      <c r="T2452" s="577">
        <f t="shared" si="647"/>
        <v>0</v>
      </c>
      <c r="U2452" s="578">
        <f t="shared" si="648"/>
        <v>0</v>
      </c>
      <c r="V2452" s="579"/>
      <c r="W2452" s="566" t="str">
        <f>IF(U2450&gt;0,"xx",IF(P2450&gt;0,"xy",""))</f>
        <v/>
      </c>
      <c r="X2452" s="586" t="str">
        <f t="shared" si="642"/>
        <v/>
      </c>
      <c r="Y2452" s="586" t="str">
        <f t="shared" si="653"/>
        <v/>
      </c>
      <c r="Z2452" s="586" t="str">
        <f t="shared" si="640"/>
        <v/>
      </c>
    </row>
    <row r="2453" spans="1:26" ht="12" hidden="1" thickBot="1" x14ac:dyDescent="0.25">
      <c r="A2453" s="567" t="s">
        <v>168</v>
      </c>
      <c r="B2453" s="644" t="s">
        <v>168</v>
      </c>
      <c r="C2453" s="645"/>
      <c r="D2453" s="422" t="s">
        <v>252</v>
      </c>
      <c r="E2453" s="423"/>
      <c r="F2453" s="424">
        <v>20</v>
      </c>
      <c r="G2453" s="425">
        <f>VLOOKUP(D2450,'[2]ENSAIOS DE ORÇAMENTO'!$C$3:$L$79,6,FALSE)</f>
        <v>1.5262500000000001</v>
      </c>
      <c r="H2453" s="663">
        <f t="shared" si="655"/>
        <v>36.752100000000006</v>
      </c>
      <c r="I2453" s="420"/>
      <c r="J2453" s="420"/>
      <c r="K2453" s="421">
        <f t="shared" si="646"/>
        <v>0</v>
      </c>
      <c r="L2453" s="647"/>
      <c r="M2453" s="723"/>
      <c r="N2453" s="576">
        <f t="shared" si="656"/>
        <v>0</v>
      </c>
      <c r="O2453" s="577">
        <f t="shared" si="649"/>
        <v>0</v>
      </c>
      <c r="P2453" s="578">
        <f t="shared" si="650"/>
        <v>0</v>
      </c>
      <c r="Q2453" s="765"/>
      <c r="R2453" s="723"/>
      <c r="S2453" s="723"/>
      <c r="T2453" s="577">
        <f t="shared" si="647"/>
        <v>0</v>
      </c>
      <c r="U2453" s="578">
        <f t="shared" si="648"/>
        <v>0</v>
      </c>
      <c r="V2453" s="579"/>
      <c r="W2453" s="566" t="str">
        <f>IF(U2450&gt;0,"xx",IF(P2450&gt;0,"xy",""))</f>
        <v/>
      </c>
      <c r="X2453" s="586" t="str">
        <f t="shared" si="642"/>
        <v/>
      </c>
      <c r="Y2453" s="586" t="str">
        <f t="shared" si="653"/>
        <v/>
      </c>
      <c r="Z2453" s="586" t="str">
        <f t="shared" si="640"/>
        <v/>
      </c>
    </row>
    <row r="2454" spans="1:26" ht="12" hidden="1" thickBot="1" x14ac:dyDescent="0.25">
      <c r="A2454" s="567" t="s">
        <v>168</v>
      </c>
      <c r="B2454" s="644" t="s">
        <v>168</v>
      </c>
      <c r="C2454" s="645"/>
      <c r="D2454" s="422" t="s">
        <v>400</v>
      </c>
      <c r="E2454" s="423"/>
      <c r="F2454" s="424">
        <v>30</v>
      </c>
      <c r="G2454" s="425">
        <f>VLOOKUP(D2450,'[2]ENSAIOS DE ORÇAMENTO'!$C$3:$L$79,3,FALSE)</f>
        <v>0</v>
      </c>
      <c r="H2454" s="663">
        <f t="shared" si="655"/>
        <v>0</v>
      </c>
      <c r="I2454" s="420"/>
      <c r="J2454" s="420"/>
      <c r="K2454" s="421">
        <f t="shared" si="646"/>
        <v>0</v>
      </c>
      <c r="L2454" s="647"/>
      <c r="M2454" s="723"/>
      <c r="N2454" s="576">
        <f t="shared" si="656"/>
        <v>0</v>
      </c>
      <c r="O2454" s="577">
        <f t="shared" si="649"/>
        <v>0</v>
      </c>
      <c r="P2454" s="578">
        <f t="shared" si="650"/>
        <v>0</v>
      </c>
      <c r="Q2454" s="765"/>
      <c r="R2454" s="723"/>
      <c r="S2454" s="723"/>
      <c r="T2454" s="577">
        <f t="shared" si="647"/>
        <v>0</v>
      </c>
      <c r="U2454" s="578">
        <f t="shared" si="648"/>
        <v>0</v>
      </c>
      <c r="V2454" s="579"/>
      <c r="W2454" s="566" t="str">
        <f>IF(U2450&gt;0,"xx",IF(P2450&gt;0,"xy",""))</f>
        <v/>
      </c>
      <c r="X2454" s="586" t="str">
        <f t="shared" si="642"/>
        <v/>
      </c>
      <c r="Y2454" s="586" t="str">
        <f t="shared" si="653"/>
        <v/>
      </c>
      <c r="Z2454" s="586" t="str">
        <f t="shared" si="640"/>
        <v/>
      </c>
    </row>
    <row r="2455" spans="1:26" ht="12" hidden="1" thickBot="1" x14ac:dyDescent="0.25">
      <c r="A2455" s="567" t="s">
        <v>168</v>
      </c>
      <c r="B2455" s="644" t="s">
        <v>168</v>
      </c>
      <c r="C2455" s="645"/>
      <c r="D2455" s="422" t="s">
        <v>401</v>
      </c>
      <c r="E2455" s="423"/>
      <c r="F2455" s="424">
        <v>500</v>
      </c>
      <c r="G2455" s="425">
        <f>VLOOKUP(D2450,'[2]ENSAIOS DE ORÇAMENTO'!$C$3:$L$79,10,FALSE)</f>
        <v>0</v>
      </c>
      <c r="H2455" s="649">
        <f>IF(F2455&lt;=30,(0.78*F2455+7.82)*G2455,((0.78*30+7.82)+0.78*(F2455-30))*G2455)</f>
        <v>0</v>
      </c>
      <c r="I2455" s="420"/>
      <c r="J2455" s="420"/>
      <c r="K2455" s="421">
        <f t="shared" si="646"/>
        <v>0</v>
      </c>
      <c r="L2455" s="647"/>
      <c r="M2455" s="723"/>
      <c r="N2455" s="576">
        <f t="shared" si="656"/>
        <v>0</v>
      </c>
      <c r="O2455" s="577">
        <f t="shared" si="649"/>
        <v>0</v>
      </c>
      <c r="P2455" s="578">
        <f t="shared" si="650"/>
        <v>0</v>
      </c>
      <c r="Q2455" s="765"/>
      <c r="R2455" s="723"/>
      <c r="S2455" s="723"/>
      <c r="T2455" s="577">
        <f t="shared" si="647"/>
        <v>0</v>
      </c>
      <c r="U2455" s="578">
        <f t="shared" si="648"/>
        <v>0</v>
      </c>
      <c r="V2455" s="579"/>
      <c r="W2455" s="566" t="str">
        <f>IF(U2450&gt;0,"xx",IF(P2450&gt;0,"xy",""))</f>
        <v/>
      </c>
      <c r="X2455" s="586" t="str">
        <f t="shared" si="642"/>
        <v/>
      </c>
      <c r="Y2455" s="586" t="str">
        <f t="shared" si="653"/>
        <v/>
      </c>
      <c r="Z2455" s="586" t="str">
        <f t="shared" si="640"/>
        <v/>
      </c>
    </row>
    <row r="2456" spans="1:26" ht="12" hidden="1" thickBot="1" x14ac:dyDescent="0.25">
      <c r="A2456" s="567" t="s">
        <v>138</v>
      </c>
      <c r="B2456" s="644" t="s">
        <v>138</v>
      </c>
      <c r="C2456" s="645" t="s">
        <v>206</v>
      </c>
      <c r="D2456" s="422" t="s">
        <v>152</v>
      </c>
      <c r="E2456" s="423"/>
      <c r="F2456" s="424"/>
      <c r="G2456" s="425"/>
      <c r="H2456" s="651">
        <f>SUM(H2457:H2461)</f>
        <v>534.17362000000003</v>
      </c>
      <c r="I2456" s="420">
        <f>VLOOKUP(D2456,'[2]ENSAIOS DE ORÇAMENTO'!$C$3:$L$79,8,FALSE)</f>
        <v>1617.5052500000002</v>
      </c>
      <c r="J2456" s="420">
        <f>IF(ISBLANK(I2456),"",SUM(H2456:I2456))</f>
        <v>2151.6788700000002</v>
      </c>
      <c r="K2456" s="421">
        <f t="shared" si="646"/>
        <v>2556.41</v>
      </c>
      <c r="L2456" s="647" t="s">
        <v>21</v>
      </c>
      <c r="M2456" s="576"/>
      <c r="N2456" s="576">
        <f t="shared" si="656"/>
        <v>0</v>
      </c>
      <c r="O2456" s="577">
        <f t="shared" si="649"/>
        <v>0</v>
      </c>
      <c r="P2456" s="578">
        <f t="shared" si="650"/>
        <v>0</v>
      </c>
      <c r="Q2456" s="765"/>
      <c r="R2456" s="576">
        <f>M2456</f>
        <v>0</v>
      </c>
      <c r="S2456" s="576">
        <f>N2456</f>
        <v>0</v>
      </c>
      <c r="T2456" s="577">
        <f t="shared" si="647"/>
        <v>0</v>
      </c>
      <c r="U2456" s="578">
        <f t="shared" si="648"/>
        <v>0</v>
      </c>
      <c r="V2456" s="579"/>
      <c r="W2456" s="566"/>
      <c r="X2456" s="586" t="str">
        <f t="shared" si="642"/>
        <v/>
      </c>
      <c r="Y2456" s="586" t="str">
        <f t="shared" si="653"/>
        <v/>
      </c>
      <c r="Z2456" s="586" t="str">
        <f t="shared" si="640"/>
        <v/>
      </c>
    </row>
    <row r="2457" spans="1:26" ht="12" hidden="1" thickBot="1" x14ac:dyDescent="0.25">
      <c r="A2457" s="567" t="s">
        <v>168</v>
      </c>
      <c r="B2457" s="644" t="s">
        <v>168</v>
      </c>
      <c r="C2457" s="645"/>
      <c r="D2457" s="422" t="s">
        <v>212</v>
      </c>
      <c r="E2457" s="423"/>
      <c r="F2457" s="424">
        <v>500</v>
      </c>
      <c r="G2457" s="425">
        <f>VLOOKUP(D2456,'[2]ENSAIOS DE ORÇAMENTO'!$C$3:$L$79,4,FALSE)</f>
        <v>0.50459999999999994</v>
      </c>
      <c r="H2457" s="649">
        <f>IF(F2457&lt;=30,(0.78*F2457+7.82)*G2457,((0.78*30+7.82)+0.78*(F2457-30))*G2457)</f>
        <v>200.73997199999999</v>
      </c>
      <c r="I2457" s="420"/>
      <c r="J2457" s="420"/>
      <c r="K2457" s="421">
        <f t="shared" si="646"/>
        <v>0</v>
      </c>
      <c r="L2457" s="647"/>
      <c r="M2457" s="723"/>
      <c r="N2457" s="576">
        <f t="shared" si="656"/>
        <v>0</v>
      </c>
      <c r="O2457" s="577">
        <f t="shared" si="649"/>
        <v>0</v>
      </c>
      <c r="P2457" s="578">
        <f t="shared" si="650"/>
        <v>0</v>
      </c>
      <c r="Q2457" s="765"/>
      <c r="R2457" s="723"/>
      <c r="S2457" s="723"/>
      <c r="T2457" s="577">
        <f t="shared" si="647"/>
        <v>0</v>
      </c>
      <c r="U2457" s="578">
        <f t="shared" si="648"/>
        <v>0</v>
      </c>
      <c r="V2457" s="579"/>
      <c r="W2457" s="566" t="str">
        <f>IF(U2456&gt;0,"xx",IF(P2456&gt;0,"xy",""))</f>
        <v/>
      </c>
      <c r="X2457" s="586" t="str">
        <f t="shared" si="642"/>
        <v/>
      </c>
      <c r="Y2457" s="586" t="str">
        <f t="shared" si="653"/>
        <v/>
      </c>
      <c r="Z2457" s="586" t="str">
        <f t="shared" si="640"/>
        <v/>
      </c>
    </row>
    <row r="2458" spans="1:26" ht="12" hidden="1" thickBot="1" x14ac:dyDescent="0.25">
      <c r="A2458" s="567" t="s">
        <v>168</v>
      </c>
      <c r="B2458" s="644" t="s">
        <v>168</v>
      </c>
      <c r="C2458" s="645"/>
      <c r="D2458" s="422" t="s">
        <v>248</v>
      </c>
      <c r="E2458" s="423"/>
      <c r="F2458" s="424">
        <v>180</v>
      </c>
      <c r="G2458" s="425">
        <f>VLOOKUP(D2456,'[2]ENSAIOS DE ORÇAMENTO'!$C$3:$L$79,5,FALSE)</f>
        <v>1.48915</v>
      </c>
      <c r="H2458" s="663">
        <f t="shared" ref="H2458:H2460" si="657">IF(F2458&lt;=30,(1.07*F2458+2.68)*G2458,((1.07*30+2.68)+1.07*(F2458-30))*G2458)</f>
        <v>290.80121200000002</v>
      </c>
      <c r="I2458" s="420"/>
      <c r="J2458" s="420"/>
      <c r="K2458" s="421">
        <f t="shared" si="646"/>
        <v>0</v>
      </c>
      <c r="L2458" s="647"/>
      <c r="M2458" s="723"/>
      <c r="N2458" s="576">
        <f t="shared" si="656"/>
        <v>0</v>
      </c>
      <c r="O2458" s="577">
        <f t="shared" si="649"/>
        <v>0</v>
      </c>
      <c r="P2458" s="578">
        <f t="shared" si="650"/>
        <v>0</v>
      </c>
      <c r="Q2458" s="765"/>
      <c r="R2458" s="723"/>
      <c r="S2458" s="723"/>
      <c r="T2458" s="577">
        <f t="shared" si="647"/>
        <v>0</v>
      </c>
      <c r="U2458" s="578">
        <f t="shared" si="648"/>
        <v>0</v>
      </c>
      <c r="V2458" s="579"/>
      <c r="W2458" s="566" t="str">
        <f>IF(U2456&gt;0,"xx",IF(P2456&gt;0,"xy",""))</f>
        <v/>
      </c>
      <c r="X2458" s="586" t="str">
        <f t="shared" si="642"/>
        <v/>
      </c>
      <c r="Y2458" s="586" t="str">
        <f t="shared" si="653"/>
        <v/>
      </c>
      <c r="Z2458" s="586" t="str">
        <f t="shared" si="640"/>
        <v/>
      </c>
    </row>
    <row r="2459" spans="1:26" ht="12" hidden="1" thickBot="1" x14ac:dyDescent="0.25">
      <c r="A2459" s="567" t="s">
        <v>168</v>
      </c>
      <c r="B2459" s="644" t="s">
        <v>168</v>
      </c>
      <c r="C2459" s="645"/>
      <c r="D2459" s="422" t="s">
        <v>252</v>
      </c>
      <c r="E2459" s="423"/>
      <c r="F2459" s="424">
        <v>20</v>
      </c>
      <c r="G2459" s="425">
        <f>VLOOKUP(D2456,'[2]ENSAIOS DE ORÇAMENTO'!$C$3:$L$79,6,FALSE)</f>
        <v>1.7704500000000001</v>
      </c>
      <c r="H2459" s="663">
        <f t="shared" si="657"/>
        <v>42.632436000000006</v>
      </c>
      <c r="I2459" s="420"/>
      <c r="J2459" s="420"/>
      <c r="K2459" s="421">
        <f t="shared" si="646"/>
        <v>0</v>
      </c>
      <c r="L2459" s="647"/>
      <c r="M2459" s="723"/>
      <c r="N2459" s="576">
        <f t="shared" si="656"/>
        <v>0</v>
      </c>
      <c r="O2459" s="577">
        <f t="shared" si="649"/>
        <v>0</v>
      </c>
      <c r="P2459" s="578">
        <f t="shared" si="650"/>
        <v>0</v>
      </c>
      <c r="Q2459" s="765"/>
      <c r="R2459" s="723"/>
      <c r="S2459" s="723"/>
      <c r="T2459" s="577">
        <f t="shared" si="647"/>
        <v>0</v>
      </c>
      <c r="U2459" s="578">
        <f t="shared" si="648"/>
        <v>0</v>
      </c>
      <c r="V2459" s="579"/>
      <c r="W2459" s="566" t="str">
        <f>IF(U2456&gt;0,"xx",IF(P2456&gt;0,"xy",""))</f>
        <v/>
      </c>
      <c r="X2459" s="586" t="str">
        <f t="shared" si="642"/>
        <v/>
      </c>
      <c r="Y2459" s="586" t="str">
        <f t="shared" si="653"/>
        <v/>
      </c>
      <c r="Z2459" s="586" t="str">
        <f t="shared" si="640"/>
        <v/>
      </c>
    </row>
    <row r="2460" spans="1:26" ht="12" hidden="1" thickBot="1" x14ac:dyDescent="0.25">
      <c r="A2460" s="567" t="s">
        <v>168</v>
      </c>
      <c r="B2460" s="644" t="s">
        <v>168</v>
      </c>
      <c r="C2460" s="645"/>
      <c r="D2460" s="422" t="s">
        <v>400</v>
      </c>
      <c r="E2460" s="423"/>
      <c r="F2460" s="424">
        <v>30</v>
      </c>
      <c r="G2460" s="425">
        <f>VLOOKUP(D2456,'[2]ENSAIOS DE ORÇAMENTO'!$C$3:$L$79,3,FALSE)</f>
        <v>0</v>
      </c>
      <c r="H2460" s="663">
        <f t="shared" si="657"/>
        <v>0</v>
      </c>
      <c r="I2460" s="420"/>
      <c r="J2460" s="420"/>
      <c r="K2460" s="421">
        <f t="shared" si="646"/>
        <v>0</v>
      </c>
      <c r="L2460" s="647"/>
      <c r="M2460" s="723"/>
      <c r="N2460" s="576">
        <f t="shared" si="656"/>
        <v>0</v>
      </c>
      <c r="O2460" s="577">
        <f t="shared" si="649"/>
        <v>0</v>
      </c>
      <c r="P2460" s="578">
        <f t="shared" si="650"/>
        <v>0</v>
      </c>
      <c r="Q2460" s="765"/>
      <c r="R2460" s="723"/>
      <c r="S2460" s="723"/>
      <c r="T2460" s="577">
        <f t="shared" si="647"/>
        <v>0</v>
      </c>
      <c r="U2460" s="578">
        <f t="shared" si="648"/>
        <v>0</v>
      </c>
      <c r="V2460" s="579"/>
      <c r="W2460" s="566" t="str">
        <f>IF(U2456&gt;0,"xx",IF(P2456&gt;0,"xy",""))</f>
        <v/>
      </c>
      <c r="X2460" s="586" t="str">
        <f t="shared" si="642"/>
        <v/>
      </c>
      <c r="Y2460" s="586" t="str">
        <f t="shared" si="653"/>
        <v/>
      </c>
      <c r="Z2460" s="586" t="str">
        <f t="shared" si="640"/>
        <v/>
      </c>
    </row>
    <row r="2461" spans="1:26" ht="12" hidden="1" thickBot="1" x14ac:dyDescent="0.25">
      <c r="A2461" s="567" t="s">
        <v>168</v>
      </c>
      <c r="B2461" s="644" t="s">
        <v>168</v>
      </c>
      <c r="C2461" s="645"/>
      <c r="D2461" s="422" t="s">
        <v>401</v>
      </c>
      <c r="E2461" s="423"/>
      <c r="F2461" s="424">
        <v>500</v>
      </c>
      <c r="G2461" s="425">
        <f>VLOOKUP(D2456,'[2]ENSAIOS DE ORÇAMENTO'!$C$3:$L$79,10,FALSE)</f>
        <v>0</v>
      </c>
      <c r="H2461" s="649">
        <f>IF(F2461&lt;=30,(0.78*F2461+7.82)*G2461,((0.78*30+7.82)+0.78*(F2461-30))*G2461)</f>
        <v>0</v>
      </c>
      <c r="I2461" s="420"/>
      <c r="J2461" s="420"/>
      <c r="K2461" s="421">
        <f t="shared" si="646"/>
        <v>0</v>
      </c>
      <c r="L2461" s="647"/>
      <c r="M2461" s="723"/>
      <c r="N2461" s="576">
        <f t="shared" si="656"/>
        <v>0</v>
      </c>
      <c r="O2461" s="577">
        <f t="shared" si="649"/>
        <v>0</v>
      </c>
      <c r="P2461" s="578">
        <f t="shared" si="650"/>
        <v>0</v>
      </c>
      <c r="Q2461" s="765"/>
      <c r="R2461" s="723"/>
      <c r="S2461" s="723"/>
      <c r="T2461" s="577">
        <f t="shared" si="647"/>
        <v>0</v>
      </c>
      <c r="U2461" s="578">
        <f t="shared" si="648"/>
        <v>0</v>
      </c>
      <c r="V2461" s="579"/>
      <c r="W2461" s="566" t="str">
        <f>IF(U2456&gt;0,"xx",IF(P2456&gt;0,"xy",""))</f>
        <v/>
      </c>
      <c r="X2461" s="586" t="str">
        <f t="shared" si="642"/>
        <v/>
      </c>
      <c r="Y2461" s="586" t="str">
        <f t="shared" si="653"/>
        <v/>
      </c>
      <c r="Z2461" s="586" t="str">
        <f t="shared" si="640"/>
        <v/>
      </c>
    </row>
    <row r="2462" spans="1:26" ht="12" hidden="1" thickBot="1" x14ac:dyDescent="0.25">
      <c r="A2462" s="567" t="s">
        <v>139</v>
      </c>
      <c r="B2462" s="644" t="s">
        <v>139</v>
      </c>
      <c r="C2462" s="645" t="s">
        <v>206</v>
      </c>
      <c r="D2462" s="422" t="s">
        <v>153</v>
      </c>
      <c r="E2462" s="423"/>
      <c r="F2462" s="424"/>
      <c r="G2462" s="425"/>
      <c r="H2462" s="651">
        <f>SUM(H2463:H2467)</f>
        <v>676.95186200000012</v>
      </c>
      <c r="I2462" s="420">
        <f>VLOOKUP(D2462,'[2]ENSAIOS DE ORÇAMENTO'!$C$3:$L$79,8,FALSE)</f>
        <v>1834.5810000000001</v>
      </c>
      <c r="J2462" s="420">
        <f>IF(ISBLANK(I2462),"",SUM(H2462:I2462))</f>
        <v>2511.532862</v>
      </c>
      <c r="K2462" s="421">
        <f t="shared" si="646"/>
        <v>2983.95</v>
      </c>
      <c r="L2462" s="647" t="s">
        <v>21</v>
      </c>
      <c r="M2462" s="576"/>
      <c r="N2462" s="576">
        <f t="shared" si="656"/>
        <v>0</v>
      </c>
      <c r="O2462" s="577">
        <f t="shared" si="649"/>
        <v>0</v>
      </c>
      <c r="P2462" s="578">
        <f t="shared" si="650"/>
        <v>0</v>
      </c>
      <c r="Q2462" s="765"/>
      <c r="R2462" s="576">
        <f>M2462</f>
        <v>0</v>
      </c>
      <c r="S2462" s="576">
        <f>N2462</f>
        <v>0</v>
      </c>
      <c r="T2462" s="577">
        <f t="shared" si="647"/>
        <v>0</v>
      </c>
      <c r="U2462" s="578">
        <f t="shared" si="648"/>
        <v>0</v>
      </c>
      <c r="V2462" s="579"/>
      <c r="W2462" s="566"/>
      <c r="X2462" s="586" t="str">
        <f t="shared" si="642"/>
        <v/>
      </c>
      <c r="Y2462" s="586" t="str">
        <f t="shared" si="653"/>
        <v/>
      </c>
      <c r="Z2462" s="586" t="str">
        <f t="shared" si="640"/>
        <v/>
      </c>
    </row>
    <row r="2463" spans="1:26" ht="12" hidden="1" thickBot="1" x14ac:dyDescent="0.25">
      <c r="A2463" s="567" t="s">
        <v>168</v>
      </c>
      <c r="B2463" s="644" t="s">
        <v>168</v>
      </c>
      <c r="C2463" s="645"/>
      <c r="D2463" s="422" t="s">
        <v>212</v>
      </c>
      <c r="E2463" s="423"/>
      <c r="F2463" s="424">
        <v>500</v>
      </c>
      <c r="G2463" s="425">
        <f>VLOOKUP(D2462,'[2]ENSAIOS DE ORÇAMENTO'!$C$3:$L$79,4,FALSE)</f>
        <v>0.6411</v>
      </c>
      <c r="H2463" s="649">
        <f>IF(F2463&lt;=30,(0.78*F2463+7.82)*G2463,((0.78*30+7.82)+0.78*(F2463-30))*G2463)</f>
        <v>255.04240200000004</v>
      </c>
      <c r="I2463" s="420"/>
      <c r="J2463" s="420"/>
      <c r="K2463" s="421">
        <f t="shared" si="646"/>
        <v>0</v>
      </c>
      <c r="L2463" s="647"/>
      <c r="M2463" s="723"/>
      <c r="N2463" s="576">
        <f t="shared" si="656"/>
        <v>0</v>
      </c>
      <c r="O2463" s="577">
        <f t="shared" si="649"/>
        <v>0</v>
      </c>
      <c r="P2463" s="578">
        <f t="shared" si="650"/>
        <v>0</v>
      </c>
      <c r="Q2463" s="765"/>
      <c r="R2463" s="723"/>
      <c r="S2463" s="723"/>
      <c r="T2463" s="577">
        <f t="shared" si="647"/>
        <v>0</v>
      </c>
      <c r="U2463" s="578">
        <f t="shared" si="648"/>
        <v>0</v>
      </c>
      <c r="V2463" s="579"/>
      <c r="W2463" s="566" t="str">
        <f>IF(U2462&gt;0,"xx",IF(P2462&gt;0,"xy",""))</f>
        <v/>
      </c>
      <c r="X2463" s="586" t="str">
        <f t="shared" si="642"/>
        <v/>
      </c>
      <c r="Y2463" s="586" t="str">
        <f t="shared" si="653"/>
        <v/>
      </c>
      <c r="Z2463" s="586" t="str">
        <f t="shared" si="640"/>
        <v/>
      </c>
    </row>
    <row r="2464" spans="1:26" ht="12" hidden="1" thickBot="1" x14ac:dyDescent="0.25">
      <c r="A2464" s="567" t="s">
        <v>168</v>
      </c>
      <c r="B2464" s="644" t="s">
        <v>168</v>
      </c>
      <c r="C2464" s="645"/>
      <c r="D2464" s="422" t="s">
        <v>248</v>
      </c>
      <c r="E2464" s="423"/>
      <c r="F2464" s="424">
        <v>180</v>
      </c>
      <c r="G2464" s="425">
        <f>VLOOKUP(D2462,'[2]ENSAIOS DE ORÇAMENTO'!$C$3:$L$79,5,FALSE)</f>
        <v>1.8840500000000002</v>
      </c>
      <c r="H2464" s="663">
        <f t="shared" ref="H2464:H2466" si="658">IF(F2464&lt;=30,(1.07*F2464+2.68)*G2464,((1.07*30+2.68)+1.07*(F2464-30))*G2464)</f>
        <v>367.91728400000005</v>
      </c>
      <c r="I2464" s="420"/>
      <c r="J2464" s="420"/>
      <c r="K2464" s="421">
        <f t="shared" si="646"/>
        <v>0</v>
      </c>
      <c r="L2464" s="647"/>
      <c r="M2464" s="723"/>
      <c r="N2464" s="576">
        <f t="shared" si="656"/>
        <v>0</v>
      </c>
      <c r="O2464" s="577">
        <f t="shared" si="649"/>
        <v>0</v>
      </c>
      <c r="P2464" s="578">
        <f t="shared" si="650"/>
        <v>0</v>
      </c>
      <c r="Q2464" s="765"/>
      <c r="R2464" s="723"/>
      <c r="S2464" s="723"/>
      <c r="T2464" s="577">
        <f t="shared" si="647"/>
        <v>0</v>
      </c>
      <c r="U2464" s="578">
        <f t="shared" si="648"/>
        <v>0</v>
      </c>
      <c r="V2464" s="579"/>
      <c r="W2464" s="566" t="str">
        <f>IF(U2462&gt;0,"xx",IF(P2462&gt;0,"xy",""))</f>
        <v/>
      </c>
      <c r="X2464" s="586" t="str">
        <f t="shared" si="642"/>
        <v/>
      </c>
      <c r="Y2464" s="586" t="str">
        <f t="shared" si="653"/>
        <v/>
      </c>
      <c r="Z2464" s="586" t="str">
        <f t="shared" si="640"/>
        <v/>
      </c>
    </row>
    <row r="2465" spans="1:26" ht="12" hidden="1" thickBot="1" x14ac:dyDescent="0.25">
      <c r="A2465" s="567" t="s">
        <v>168</v>
      </c>
      <c r="B2465" s="644" t="s">
        <v>168</v>
      </c>
      <c r="C2465" s="645"/>
      <c r="D2465" s="422" t="s">
        <v>252</v>
      </c>
      <c r="E2465" s="423"/>
      <c r="F2465" s="424">
        <v>20</v>
      </c>
      <c r="G2465" s="425">
        <f>VLOOKUP(D2462,'[2]ENSAIOS DE ORÇAMENTO'!$C$3:$L$79,6,FALSE)</f>
        <v>2.2422</v>
      </c>
      <c r="H2465" s="663">
        <f t="shared" si="658"/>
        <v>53.992176000000001</v>
      </c>
      <c r="I2465" s="420"/>
      <c r="J2465" s="420"/>
      <c r="K2465" s="421">
        <f t="shared" si="646"/>
        <v>0</v>
      </c>
      <c r="L2465" s="647"/>
      <c r="M2465" s="723"/>
      <c r="N2465" s="576">
        <f t="shared" si="656"/>
        <v>0</v>
      </c>
      <c r="O2465" s="577">
        <f t="shared" si="649"/>
        <v>0</v>
      </c>
      <c r="P2465" s="578">
        <f t="shared" si="650"/>
        <v>0</v>
      </c>
      <c r="Q2465" s="765"/>
      <c r="R2465" s="723"/>
      <c r="S2465" s="723"/>
      <c r="T2465" s="577">
        <f t="shared" si="647"/>
        <v>0</v>
      </c>
      <c r="U2465" s="578">
        <f t="shared" si="648"/>
        <v>0</v>
      </c>
      <c r="V2465" s="579"/>
      <c r="W2465" s="566" t="str">
        <f>IF(U2462&gt;0,"xx",IF(P2462&gt;0,"xy",""))</f>
        <v/>
      </c>
      <c r="X2465" s="586" t="str">
        <f t="shared" si="642"/>
        <v/>
      </c>
      <c r="Y2465" s="586" t="str">
        <f t="shared" si="653"/>
        <v/>
      </c>
      <c r="Z2465" s="586" t="str">
        <f t="shared" si="640"/>
        <v/>
      </c>
    </row>
    <row r="2466" spans="1:26" ht="12" hidden="1" thickBot="1" x14ac:dyDescent="0.25">
      <c r="A2466" s="567" t="s">
        <v>168</v>
      </c>
      <c r="B2466" s="644" t="s">
        <v>168</v>
      </c>
      <c r="C2466" s="645"/>
      <c r="D2466" s="422" t="s">
        <v>400</v>
      </c>
      <c r="E2466" s="423"/>
      <c r="F2466" s="424">
        <v>30</v>
      </c>
      <c r="G2466" s="425">
        <f>VLOOKUP(D2462,'[2]ENSAIOS DE ORÇAMENTO'!$C$3:$L$79,3,FALSE)</f>
        <v>0</v>
      </c>
      <c r="H2466" s="663">
        <f t="shared" si="658"/>
        <v>0</v>
      </c>
      <c r="I2466" s="420"/>
      <c r="J2466" s="420"/>
      <c r="K2466" s="421">
        <f t="shared" si="646"/>
        <v>0</v>
      </c>
      <c r="L2466" s="647"/>
      <c r="M2466" s="723"/>
      <c r="N2466" s="576">
        <f t="shared" si="656"/>
        <v>0</v>
      </c>
      <c r="O2466" s="577">
        <f t="shared" si="649"/>
        <v>0</v>
      </c>
      <c r="P2466" s="578">
        <f t="shared" si="650"/>
        <v>0</v>
      </c>
      <c r="Q2466" s="765"/>
      <c r="R2466" s="723"/>
      <c r="S2466" s="723"/>
      <c r="T2466" s="577">
        <f t="shared" si="647"/>
        <v>0</v>
      </c>
      <c r="U2466" s="578">
        <f t="shared" si="648"/>
        <v>0</v>
      </c>
      <c r="V2466" s="579"/>
      <c r="W2466" s="566" t="str">
        <f>IF(U2462&gt;0,"xx",IF(P2462&gt;0,"xy",""))</f>
        <v/>
      </c>
      <c r="X2466" s="586" t="str">
        <f t="shared" si="642"/>
        <v/>
      </c>
      <c r="Y2466" s="586" t="str">
        <f t="shared" si="653"/>
        <v/>
      </c>
      <c r="Z2466" s="586" t="str">
        <f t="shared" si="640"/>
        <v/>
      </c>
    </row>
    <row r="2467" spans="1:26" ht="12" hidden="1" thickBot="1" x14ac:dyDescent="0.25">
      <c r="A2467" s="567" t="s">
        <v>168</v>
      </c>
      <c r="B2467" s="644" t="s">
        <v>168</v>
      </c>
      <c r="C2467" s="645"/>
      <c r="D2467" s="422" t="s">
        <v>401</v>
      </c>
      <c r="E2467" s="423"/>
      <c r="F2467" s="424">
        <v>500</v>
      </c>
      <c r="G2467" s="425">
        <f>VLOOKUP(D2462,'[2]ENSAIOS DE ORÇAMENTO'!$C$3:$L$79,10,FALSE)</f>
        <v>0</v>
      </c>
      <c r="H2467" s="649">
        <f>IF(F2467&lt;=30,(0.78*F2467+7.82)*G2467,((0.78*30+7.82)+0.78*(F2467-30))*G2467)</f>
        <v>0</v>
      </c>
      <c r="I2467" s="420"/>
      <c r="J2467" s="420"/>
      <c r="K2467" s="421">
        <f t="shared" si="646"/>
        <v>0</v>
      </c>
      <c r="L2467" s="647"/>
      <c r="M2467" s="723"/>
      <c r="N2467" s="576">
        <f t="shared" si="656"/>
        <v>0</v>
      </c>
      <c r="O2467" s="577">
        <f t="shared" si="649"/>
        <v>0</v>
      </c>
      <c r="P2467" s="578">
        <f t="shared" si="650"/>
        <v>0</v>
      </c>
      <c r="Q2467" s="765"/>
      <c r="R2467" s="723"/>
      <c r="S2467" s="723"/>
      <c r="T2467" s="577">
        <f t="shared" si="647"/>
        <v>0</v>
      </c>
      <c r="U2467" s="578">
        <f t="shared" si="648"/>
        <v>0</v>
      </c>
      <c r="V2467" s="579"/>
      <c r="W2467" s="566" t="str">
        <f>IF(U2462&gt;0,"xx",IF(P2462&gt;0,"xy",""))</f>
        <v/>
      </c>
      <c r="X2467" s="586" t="str">
        <f t="shared" si="642"/>
        <v/>
      </c>
      <c r="Y2467" s="586" t="str">
        <f t="shared" si="653"/>
        <v/>
      </c>
      <c r="Z2467" s="586" t="str">
        <f t="shared" si="640"/>
        <v/>
      </c>
    </row>
    <row r="2468" spans="1:26" ht="12" hidden="1" thickBot="1" x14ac:dyDescent="0.25">
      <c r="A2468" s="567" t="s">
        <v>140</v>
      </c>
      <c r="B2468" s="644" t="s">
        <v>140</v>
      </c>
      <c r="C2468" s="645" t="s">
        <v>206</v>
      </c>
      <c r="D2468" s="422" t="s">
        <v>154</v>
      </c>
      <c r="E2468" s="423"/>
      <c r="F2468" s="424"/>
      <c r="G2468" s="425"/>
      <c r="H2468" s="651">
        <f>SUM(H2469:H2473)</f>
        <v>848.91637639999999</v>
      </c>
      <c r="I2468" s="420">
        <f>VLOOKUP(D2468,'[2]ENSAIOS DE ORÇAMENTO'!$C$3:$L$79,8,FALSE)</f>
        <v>2093.32645</v>
      </c>
      <c r="J2468" s="420">
        <f>IF(ISBLANK(I2468),"",SUM(H2468:I2468))</f>
        <v>2942.2428264</v>
      </c>
      <c r="K2468" s="421">
        <f t="shared" si="646"/>
        <v>3495.68</v>
      </c>
      <c r="L2468" s="647" t="s">
        <v>21</v>
      </c>
      <c r="M2468" s="576"/>
      <c r="N2468" s="576">
        <f t="shared" si="656"/>
        <v>0</v>
      </c>
      <c r="O2468" s="577">
        <f t="shared" si="649"/>
        <v>0</v>
      </c>
      <c r="P2468" s="578">
        <f t="shared" si="650"/>
        <v>0</v>
      </c>
      <c r="Q2468" s="765"/>
      <c r="R2468" s="576">
        <f>M2468</f>
        <v>0</v>
      </c>
      <c r="S2468" s="576">
        <f>N2468</f>
        <v>0</v>
      </c>
      <c r="T2468" s="577">
        <f t="shared" si="647"/>
        <v>0</v>
      </c>
      <c r="U2468" s="578">
        <f t="shared" si="648"/>
        <v>0</v>
      </c>
      <c r="V2468" s="579"/>
      <c r="W2468" s="566"/>
      <c r="X2468" s="586" t="str">
        <f t="shared" si="642"/>
        <v/>
      </c>
      <c r="Y2468" s="586" t="str">
        <f t="shared" si="653"/>
        <v/>
      </c>
      <c r="Z2468" s="586" t="str">
        <f t="shared" si="640"/>
        <v/>
      </c>
    </row>
    <row r="2469" spans="1:26" ht="12" hidden="1" thickBot="1" x14ac:dyDescent="0.25">
      <c r="A2469" s="567" t="s">
        <v>168</v>
      </c>
      <c r="B2469" s="644" t="s">
        <v>168</v>
      </c>
      <c r="C2469" s="645"/>
      <c r="D2469" s="422" t="s">
        <v>212</v>
      </c>
      <c r="E2469" s="423"/>
      <c r="F2469" s="424">
        <v>500</v>
      </c>
      <c r="G2469" s="425">
        <f>VLOOKUP(D2468,'[2]ENSAIOS DE ORÇAMENTO'!$C$3:$L$79,4,FALSE)</f>
        <v>0.80657999999999996</v>
      </c>
      <c r="H2469" s="649">
        <f>IF(F2469&lt;=30,(0.78*F2469+7.82)*G2469,((0.78*30+7.82)+0.78*(F2469-30))*G2469)</f>
        <v>320.87365560000001</v>
      </c>
      <c r="I2469" s="420"/>
      <c r="J2469" s="420"/>
      <c r="K2469" s="421">
        <f t="shared" si="646"/>
        <v>0</v>
      </c>
      <c r="L2469" s="647"/>
      <c r="M2469" s="723"/>
      <c r="N2469" s="576">
        <f t="shared" si="656"/>
        <v>0</v>
      </c>
      <c r="O2469" s="577">
        <f t="shared" si="649"/>
        <v>0</v>
      </c>
      <c r="P2469" s="578">
        <f t="shared" si="650"/>
        <v>0</v>
      </c>
      <c r="Q2469" s="765"/>
      <c r="R2469" s="723"/>
      <c r="S2469" s="723"/>
      <c r="T2469" s="577">
        <f t="shared" si="647"/>
        <v>0</v>
      </c>
      <c r="U2469" s="578">
        <f t="shared" si="648"/>
        <v>0</v>
      </c>
      <c r="V2469" s="579"/>
      <c r="W2469" s="566" t="str">
        <f>IF(U2468&gt;0,"xx",IF(P2468&gt;0,"xy",""))</f>
        <v/>
      </c>
      <c r="X2469" s="586" t="str">
        <f t="shared" si="642"/>
        <v/>
      </c>
      <c r="Y2469" s="586" t="str">
        <f t="shared" si="653"/>
        <v/>
      </c>
      <c r="Z2469" s="586" t="str">
        <f t="shared" si="640"/>
        <v/>
      </c>
    </row>
    <row r="2470" spans="1:26" ht="12" hidden="1" thickBot="1" x14ac:dyDescent="0.25">
      <c r="A2470" s="567" t="s">
        <v>168</v>
      </c>
      <c r="B2470" s="644" t="s">
        <v>168</v>
      </c>
      <c r="C2470" s="645"/>
      <c r="D2470" s="422" t="s">
        <v>248</v>
      </c>
      <c r="E2470" s="423"/>
      <c r="F2470" s="424">
        <v>180</v>
      </c>
      <c r="G2470" s="425">
        <f>VLOOKUP(D2468,'[2]ENSAIOS DE ORÇAMENTO'!$C$3:$L$79,5,FALSE)</f>
        <v>2.3575999999999997</v>
      </c>
      <c r="H2470" s="663">
        <f t="shared" ref="H2470:H2472" si="659">IF(F2470&lt;=30,(1.07*F2470+2.68)*G2470,((1.07*30+2.68)+1.07*(F2470-30))*G2470)</f>
        <v>460.39212799999996</v>
      </c>
      <c r="I2470" s="420"/>
      <c r="J2470" s="420"/>
      <c r="K2470" s="421">
        <f t="shared" si="646"/>
        <v>0</v>
      </c>
      <c r="L2470" s="647"/>
      <c r="M2470" s="723"/>
      <c r="N2470" s="576">
        <f t="shared" si="656"/>
        <v>0</v>
      </c>
      <c r="O2470" s="577">
        <f t="shared" si="649"/>
        <v>0</v>
      </c>
      <c r="P2470" s="578">
        <f t="shared" si="650"/>
        <v>0</v>
      </c>
      <c r="Q2470" s="765"/>
      <c r="R2470" s="723"/>
      <c r="S2470" s="723"/>
      <c r="T2470" s="577">
        <f t="shared" si="647"/>
        <v>0</v>
      </c>
      <c r="U2470" s="578">
        <f t="shared" si="648"/>
        <v>0</v>
      </c>
      <c r="V2470" s="579"/>
      <c r="W2470" s="566" t="str">
        <f>IF(U2468&gt;0,"xx",IF(P2468&gt;0,"xy",""))</f>
        <v/>
      </c>
      <c r="X2470" s="586" t="str">
        <f t="shared" si="642"/>
        <v/>
      </c>
      <c r="Y2470" s="586" t="str">
        <f t="shared" si="653"/>
        <v/>
      </c>
      <c r="Z2470" s="586" t="str">
        <f t="shared" si="640"/>
        <v/>
      </c>
    </row>
    <row r="2471" spans="1:26" ht="12" hidden="1" thickBot="1" x14ac:dyDescent="0.25">
      <c r="A2471" s="567" t="s">
        <v>168</v>
      </c>
      <c r="B2471" s="644" t="s">
        <v>168</v>
      </c>
      <c r="C2471" s="645"/>
      <c r="D2471" s="422" t="s">
        <v>252</v>
      </c>
      <c r="E2471" s="423"/>
      <c r="F2471" s="424">
        <v>20</v>
      </c>
      <c r="G2471" s="425">
        <f>VLOOKUP(D2468,'[2]ENSAIOS DE ORÇAMENTO'!$C$3:$L$79,6,FALSE)</f>
        <v>2.8094099999999997</v>
      </c>
      <c r="H2471" s="663">
        <f t="shared" si="659"/>
        <v>67.650592799999998</v>
      </c>
      <c r="I2471" s="420"/>
      <c r="J2471" s="420"/>
      <c r="K2471" s="421">
        <f t="shared" si="646"/>
        <v>0</v>
      </c>
      <c r="L2471" s="647"/>
      <c r="M2471" s="723"/>
      <c r="N2471" s="576">
        <f t="shared" si="656"/>
        <v>0</v>
      </c>
      <c r="O2471" s="577">
        <f t="shared" si="649"/>
        <v>0</v>
      </c>
      <c r="P2471" s="578">
        <f t="shared" si="650"/>
        <v>0</v>
      </c>
      <c r="Q2471" s="765"/>
      <c r="R2471" s="723"/>
      <c r="S2471" s="723"/>
      <c r="T2471" s="577">
        <f t="shared" si="647"/>
        <v>0</v>
      </c>
      <c r="U2471" s="578">
        <f t="shared" si="648"/>
        <v>0</v>
      </c>
      <c r="V2471" s="579"/>
      <c r="W2471" s="566" t="str">
        <f>IF(U2468&gt;0,"xx",IF(P2468&gt;0,"xy",""))</f>
        <v/>
      </c>
      <c r="X2471" s="586" t="str">
        <f t="shared" si="642"/>
        <v/>
      </c>
      <c r="Y2471" s="586" t="str">
        <f t="shared" si="653"/>
        <v/>
      </c>
      <c r="Z2471" s="586" t="str">
        <f t="shared" si="640"/>
        <v/>
      </c>
    </row>
    <row r="2472" spans="1:26" ht="12" hidden="1" thickBot="1" x14ac:dyDescent="0.25">
      <c r="A2472" s="567" t="s">
        <v>168</v>
      </c>
      <c r="B2472" s="644" t="s">
        <v>168</v>
      </c>
      <c r="C2472" s="645"/>
      <c r="D2472" s="422" t="s">
        <v>400</v>
      </c>
      <c r="E2472" s="423"/>
      <c r="F2472" s="424">
        <v>30</v>
      </c>
      <c r="G2472" s="425">
        <f>VLOOKUP(D2468,'[2]ENSAIOS DE ORÇAMENTO'!$C$3:$L$79,3,FALSE)</f>
        <v>0</v>
      </c>
      <c r="H2472" s="663">
        <f t="shared" si="659"/>
        <v>0</v>
      </c>
      <c r="I2472" s="420"/>
      <c r="J2472" s="420"/>
      <c r="K2472" s="421">
        <f t="shared" si="646"/>
        <v>0</v>
      </c>
      <c r="L2472" s="647"/>
      <c r="M2472" s="723"/>
      <c r="N2472" s="576">
        <f t="shared" si="656"/>
        <v>0</v>
      </c>
      <c r="O2472" s="577">
        <f t="shared" si="649"/>
        <v>0</v>
      </c>
      <c r="P2472" s="578">
        <f t="shared" si="650"/>
        <v>0</v>
      </c>
      <c r="Q2472" s="765"/>
      <c r="R2472" s="723"/>
      <c r="S2472" s="723"/>
      <c r="T2472" s="577">
        <f t="shared" si="647"/>
        <v>0</v>
      </c>
      <c r="U2472" s="578">
        <f t="shared" si="648"/>
        <v>0</v>
      </c>
      <c r="V2472" s="579"/>
      <c r="W2472" s="566" t="str">
        <f>IF(U2468&gt;0,"xx",IF(P2468&gt;0,"xy",""))</f>
        <v/>
      </c>
      <c r="X2472" s="586" t="str">
        <f t="shared" si="642"/>
        <v/>
      </c>
      <c r="Y2472" s="586" t="str">
        <f t="shared" si="653"/>
        <v/>
      </c>
      <c r="Z2472" s="586" t="str">
        <f t="shared" ref="Z2472:Z2535" si="660">IF(W2472="X","x",IF(U2472&gt;0,"x",""))</f>
        <v/>
      </c>
    </row>
    <row r="2473" spans="1:26" ht="12" hidden="1" thickBot="1" x14ac:dyDescent="0.25">
      <c r="A2473" s="567" t="s">
        <v>168</v>
      </c>
      <c r="B2473" s="644" t="s">
        <v>168</v>
      </c>
      <c r="C2473" s="645"/>
      <c r="D2473" s="422" t="s">
        <v>401</v>
      </c>
      <c r="E2473" s="423"/>
      <c r="F2473" s="424">
        <v>500</v>
      </c>
      <c r="G2473" s="425">
        <f>VLOOKUP(D2468,'[2]ENSAIOS DE ORÇAMENTO'!$C$3:$L$79,10,FALSE)</f>
        <v>0</v>
      </c>
      <c r="H2473" s="649">
        <f>IF(F2473&lt;=30,(0.78*F2473+7.82)*G2473,((0.78*30+7.82)+0.78*(F2473-30))*G2473)</f>
        <v>0</v>
      </c>
      <c r="I2473" s="420"/>
      <c r="J2473" s="420"/>
      <c r="K2473" s="421">
        <f t="shared" si="646"/>
        <v>0</v>
      </c>
      <c r="L2473" s="647"/>
      <c r="M2473" s="723"/>
      <c r="N2473" s="576">
        <f t="shared" si="656"/>
        <v>0</v>
      </c>
      <c r="O2473" s="577">
        <f t="shared" si="649"/>
        <v>0</v>
      </c>
      <c r="P2473" s="578">
        <f t="shared" si="650"/>
        <v>0</v>
      </c>
      <c r="Q2473" s="765"/>
      <c r="R2473" s="723"/>
      <c r="S2473" s="723"/>
      <c r="T2473" s="577">
        <f t="shared" si="647"/>
        <v>0</v>
      </c>
      <c r="U2473" s="578">
        <f t="shared" si="648"/>
        <v>0</v>
      </c>
      <c r="V2473" s="579"/>
      <c r="W2473" s="566" t="str">
        <f>IF(U2468&gt;0,"xx",IF(P2468&gt;0,"xy",""))</f>
        <v/>
      </c>
      <c r="X2473" s="586" t="str">
        <f t="shared" si="642"/>
        <v/>
      </c>
      <c r="Y2473" s="586" t="str">
        <f t="shared" si="653"/>
        <v/>
      </c>
      <c r="Z2473" s="586" t="str">
        <f t="shared" si="660"/>
        <v/>
      </c>
    </row>
    <row r="2474" spans="1:26" ht="12" hidden="1" thickBot="1" x14ac:dyDescent="0.25">
      <c r="A2474" s="567" t="s">
        <v>141</v>
      </c>
      <c r="B2474" s="644" t="s">
        <v>141</v>
      </c>
      <c r="C2474" s="645" t="s">
        <v>206</v>
      </c>
      <c r="D2474" s="422" t="s">
        <v>155</v>
      </c>
      <c r="E2474" s="423"/>
      <c r="F2474" s="424"/>
      <c r="G2474" s="425"/>
      <c r="H2474" s="651">
        <f>SUM(H2475:H2479)</f>
        <v>409.16457640000004</v>
      </c>
      <c r="I2474" s="420">
        <f>VLOOKUP(D2474,'[2]ENSAIOS DE ORÇAMENTO'!$C$3:$L$79,8,FALSE)</f>
        <v>3091.6861699999999</v>
      </c>
      <c r="J2474" s="420">
        <f>IF(ISBLANK(I2474),"",SUM(H2474:I2474))</f>
        <v>3500.8507463999999</v>
      </c>
      <c r="K2474" s="421">
        <f t="shared" si="646"/>
        <v>4159.3599999999997</v>
      </c>
      <c r="L2474" s="647" t="s">
        <v>21</v>
      </c>
      <c r="M2474" s="576"/>
      <c r="N2474" s="576">
        <f t="shared" si="656"/>
        <v>0</v>
      </c>
      <c r="O2474" s="577">
        <f t="shared" si="649"/>
        <v>0</v>
      </c>
      <c r="P2474" s="578">
        <f t="shared" si="650"/>
        <v>0</v>
      </c>
      <c r="Q2474" s="765"/>
      <c r="R2474" s="576">
        <f>M2474</f>
        <v>0</v>
      </c>
      <c r="S2474" s="576">
        <f>N2474</f>
        <v>0</v>
      </c>
      <c r="T2474" s="577">
        <f t="shared" si="647"/>
        <v>0</v>
      </c>
      <c r="U2474" s="578">
        <f t="shared" si="648"/>
        <v>0</v>
      </c>
      <c r="V2474" s="579"/>
      <c r="W2474" s="566"/>
      <c r="X2474" s="586" t="str">
        <f t="shared" si="642"/>
        <v/>
      </c>
      <c r="Y2474" s="586" t="str">
        <f t="shared" si="653"/>
        <v/>
      </c>
      <c r="Z2474" s="586" t="str">
        <f t="shared" si="660"/>
        <v/>
      </c>
    </row>
    <row r="2475" spans="1:26" ht="12" hidden="1" thickBot="1" x14ac:dyDescent="0.25">
      <c r="A2475" s="567" t="s">
        <v>168</v>
      </c>
      <c r="B2475" s="644" t="s">
        <v>168</v>
      </c>
      <c r="C2475" s="645"/>
      <c r="D2475" s="422" t="s">
        <v>212</v>
      </c>
      <c r="E2475" s="423"/>
      <c r="F2475" s="424">
        <v>500</v>
      </c>
      <c r="G2475" s="425">
        <f>VLOOKUP(D2474,'[2]ENSAIOS DE ORÇAMENTO'!$C$3:$L$79,4,FALSE)</f>
        <v>0.38250000000000006</v>
      </c>
      <c r="H2475" s="649">
        <f>IF(F2475&lt;=30,(0.78*F2475+7.82)*G2475,((0.78*30+7.82)+0.78*(F2475-30))*G2475)</f>
        <v>152.16615000000004</v>
      </c>
      <c r="I2475" s="420"/>
      <c r="J2475" s="420"/>
      <c r="K2475" s="421">
        <f t="shared" si="646"/>
        <v>0</v>
      </c>
      <c r="L2475" s="647"/>
      <c r="M2475" s="723"/>
      <c r="N2475" s="576">
        <f t="shared" si="656"/>
        <v>0</v>
      </c>
      <c r="O2475" s="577">
        <f t="shared" si="649"/>
        <v>0</v>
      </c>
      <c r="P2475" s="578">
        <f t="shared" si="650"/>
        <v>0</v>
      </c>
      <c r="Q2475" s="765"/>
      <c r="R2475" s="723"/>
      <c r="S2475" s="723"/>
      <c r="T2475" s="577">
        <f t="shared" si="647"/>
        <v>0</v>
      </c>
      <c r="U2475" s="578">
        <f t="shared" si="648"/>
        <v>0</v>
      </c>
      <c r="V2475" s="579"/>
      <c r="W2475" s="566" t="str">
        <f>IF(U2474&gt;0,"xx",IF(P2474&gt;0,"xy",""))</f>
        <v/>
      </c>
      <c r="X2475" s="586" t="str">
        <f t="shared" ref="X2475:X2538" si="661">IF(W2475="X","x",IF(W2475="xx","x",IF(W2475="xy","x",IF(W2475="y","x",IF(OR(P2475&gt;0,U2475&gt;0),"x","")))))</f>
        <v/>
      </c>
      <c r="Y2475" s="586" t="str">
        <f t="shared" si="653"/>
        <v/>
      </c>
      <c r="Z2475" s="586" t="str">
        <f t="shared" si="660"/>
        <v/>
      </c>
    </row>
    <row r="2476" spans="1:26" ht="12" hidden="1" thickBot="1" x14ac:dyDescent="0.25">
      <c r="A2476" s="567" t="s">
        <v>168</v>
      </c>
      <c r="B2476" s="644" t="s">
        <v>168</v>
      </c>
      <c r="C2476" s="645"/>
      <c r="D2476" s="422" t="s">
        <v>248</v>
      </c>
      <c r="E2476" s="423"/>
      <c r="F2476" s="424">
        <v>180</v>
      </c>
      <c r="G2476" s="425">
        <f>VLOOKUP(D2474,'[2]ENSAIOS DE ORÇAMENTO'!$C$3:$L$79,5,FALSE)</f>
        <v>1.1483800000000002</v>
      </c>
      <c r="H2476" s="663">
        <f t="shared" ref="H2476:H2478" si="662">IF(F2476&lt;=30,(1.07*F2476+2.68)*G2476,((1.07*30+2.68)+1.07*(F2476-30))*G2476)</f>
        <v>224.25564640000005</v>
      </c>
      <c r="I2476" s="420"/>
      <c r="J2476" s="420"/>
      <c r="K2476" s="421">
        <f t="shared" si="646"/>
        <v>0</v>
      </c>
      <c r="L2476" s="647"/>
      <c r="M2476" s="723"/>
      <c r="N2476" s="576">
        <f t="shared" si="656"/>
        <v>0</v>
      </c>
      <c r="O2476" s="577">
        <f t="shared" si="649"/>
        <v>0</v>
      </c>
      <c r="P2476" s="578">
        <f t="shared" si="650"/>
        <v>0</v>
      </c>
      <c r="Q2476" s="765"/>
      <c r="R2476" s="723"/>
      <c r="S2476" s="723"/>
      <c r="T2476" s="577">
        <f t="shared" si="647"/>
        <v>0</v>
      </c>
      <c r="U2476" s="578">
        <f t="shared" si="648"/>
        <v>0</v>
      </c>
      <c r="V2476" s="579"/>
      <c r="W2476" s="566" t="str">
        <f>IF(U2474&gt;0,"xx",IF(P2474&gt;0,"xy",""))</f>
        <v/>
      </c>
      <c r="X2476" s="586" t="str">
        <f t="shared" si="661"/>
        <v/>
      </c>
      <c r="Y2476" s="586" t="str">
        <f t="shared" si="653"/>
        <v/>
      </c>
      <c r="Z2476" s="586" t="str">
        <f t="shared" si="660"/>
        <v/>
      </c>
    </row>
    <row r="2477" spans="1:26" ht="12" hidden="1" thickBot="1" x14ac:dyDescent="0.25">
      <c r="A2477" s="567" t="s">
        <v>168</v>
      </c>
      <c r="B2477" s="644" t="s">
        <v>168</v>
      </c>
      <c r="C2477" s="645"/>
      <c r="D2477" s="422" t="s">
        <v>252</v>
      </c>
      <c r="E2477" s="423"/>
      <c r="F2477" s="424">
        <v>20</v>
      </c>
      <c r="G2477" s="425">
        <f>VLOOKUP(D2474,'[2]ENSAIOS DE ORÇAMENTO'!$C$3:$L$79,6,FALSE)</f>
        <v>1.35975</v>
      </c>
      <c r="H2477" s="663">
        <f t="shared" si="662"/>
        <v>32.742780000000003</v>
      </c>
      <c r="I2477" s="420"/>
      <c r="J2477" s="420"/>
      <c r="K2477" s="421">
        <f t="shared" si="646"/>
        <v>0</v>
      </c>
      <c r="L2477" s="647"/>
      <c r="M2477" s="723"/>
      <c r="N2477" s="576">
        <f t="shared" si="656"/>
        <v>0</v>
      </c>
      <c r="O2477" s="577">
        <f t="shared" si="649"/>
        <v>0</v>
      </c>
      <c r="P2477" s="578">
        <f t="shared" si="650"/>
        <v>0</v>
      </c>
      <c r="Q2477" s="765"/>
      <c r="R2477" s="723"/>
      <c r="S2477" s="723"/>
      <c r="T2477" s="577">
        <f t="shared" si="647"/>
        <v>0</v>
      </c>
      <c r="U2477" s="578">
        <f t="shared" si="648"/>
        <v>0</v>
      </c>
      <c r="V2477" s="579"/>
      <c r="W2477" s="566" t="str">
        <f>IF(U2474&gt;0,"xx",IF(P2474&gt;0,"xy",""))</f>
        <v/>
      </c>
      <c r="X2477" s="586" t="str">
        <f t="shared" si="661"/>
        <v/>
      </c>
      <c r="Y2477" s="586" t="str">
        <f t="shared" si="653"/>
        <v/>
      </c>
      <c r="Z2477" s="586" t="str">
        <f t="shared" si="660"/>
        <v/>
      </c>
    </row>
    <row r="2478" spans="1:26" ht="12" hidden="1" thickBot="1" x14ac:dyDescent="0.25">
      <c r="A2478" s="567" t="s">
        <v>168</v>
      </c>
      <c r="B2478" s="644" t="s">
        <v>168</v>
      </c>
      <c r="C2478" s="645"/>
      <c r="D2478" s="422" t="s">
        <v>400</v>
      </c>
      <c r="E2478" s="423"/>
      <c r="F2478" s="424">
        <v>30</v>
      </c>
      <c r="G2478" s="425">
        <f>VLOOKUP(D2474,'[2]ENSAIOS DE ORÇAMENTO'!$C$3:$L$79,3,FALSE)</f>
        <v>0</v>
      </c>
      <c r="H2478" s="663">
        <f t="shared" si="662"/>
        <v>0</v>
      </c>
      <c r="I2478" s="420"/>
      <c r="J2478" s="420"/>
      <c r="K2478" s="421">
        <f t="shared" si="646"/>
        <v>0</v>
      </c>
      <c r="L2478" s="647"/>
      <c r="M2478" s="723"/>
      <c r="N2478" s="576">
        <f t="shared" si="656"/>
        <v>0</v>
      </c>
      <c r="O2478" s="577">
        <f t="shared" si="649"/>
        <v>0</v>
      </c>
      <c r="P2478" s="578">
        <f t="shared" si="650"/>
        <v>0</v>
      </c>
      <c r="Q2478" s="765"/>
      <c r="R2478" s="723"/>
      <c r="S2478" s="723"/>
      <c r="T2478" s="577">
        <f t="shared" si="647"/>
        <v>0</v>
      </c>
      <c r="U2478" s="578">
        <f t="shared" si="648"/>
        <v>0</v>
      </c>
      <c r="V2478" s="579"/>
      <c r="W2478" s="566" t="str">
        <f>IF(U2474&gt;0,"xx",IF(P2474&gt;0,"xy",""))</f>
        <v/>
      </c>
      <c r="X2478" s="586" t="str">
        <f t="shared" si="661"/>
        <v/>
      </c>
      <c r="Y2478" s="586" t="str">
        <f t="shared" si="653"/>
        <v/>
      </c>
      <c r="Z2478" s="586" t="str">
        <f t="shared" si="660"/>
        <v/>
      </c>
    </row>
    <row r="2479" spans="1:26" ht="12" hidden="1" thickBot="1" x14ac:dyDescent="0.25">
      <c r="A2479" s="567" t="s">
        <v>168</v>
      </c>
      <c r="B2479" s="644" t="s">
        <v>168</v>
      </c>
      <c r="C2479" s="645"/>
      <c r="D2479" s="422" t="s">
        <v>401</v>
      </c>
      <c r="E2479" s="423"/>
      <c r="F2479" s="424">
        <v>500</v>
      </c>
      <c r="G2479" s="425">
        <f>VLOOKUP(D2474,'[2]ENSAIOS DE ORÇAMENTO'!$C$3:$L$79,10,FALSE)</f>
        <v>0</v>
      </c>
      <c r="H2479" s="649">
        <f>IF(F2479&lt;=30,(0.78*F2479+7.82)*G2479,((0.78*30+7.82)+0.78*(F2479-30))*G2479)</f>
        <v>0</v>
      </c>
      <c r="I2479" s="420"/>
      <c r="J2479" s="420"/>
      <c r="K2479" s="421">
        <f t="shared" si="646"/>
        <v>0</v>
      </c>
      <c r="L2479" s="647"/>
      <c r="M2479" s="723"/>
      <c r="N2479" s="576">
        <f t="shared" si="656"/>
        <v>0</v>
      </c>
      <c r="O2479" s="577">
        <f t="shared" si="649"/>
        <v>0</v>
      </c>
      <c r="P2479" s="578">
        <f t="shared" si="650"/>
        <v>0</v>
      </c>
      <c r="Q2479" s="765"/>
      <c r="R2479" s="723"/>
      <c r="S2479" s="723"/>
      <c r="T2479" s="577">
        <f t="shared" si="647"/>
        <v>0</v>
      </c>
      <c r="U2479" s="578">
        <f t="shared" si="648"/>
        <v>0</v>
      </c>
      <c r="V2479" s="579"/>
      <c r="W2479" s="566" t="str">
        <f>IF(U2474&gt;0,"xx",IF(P2474&gt;0,"xy",""))</f>
        <v/>
      </c>
      <c r="X2479" s="586" t="str">
        <f t="shared" si="661"/>
        <v/>
      </c>
      <c r="Y2479" s="586" t="str">
        <f t="shared" si="653"/>
        <v/>
      </c>
      <c r="Z2479" s="586" t="str">
        <f t="shared" si="660"/>
        <v/>
      </c>
    </row>
    <row r="2480" spans="1:26" ht="12" hidden="1" thickBot="1" x14ac:dyDescent="0.25">
      <c r="A2480" s="567" t="s">
        <v>142</v>
      </c>
      <c r="B2480" s="644" t="s">
        <v>142</v>
      </c>
      <c r="C2480" s="645" t="s">
        <v>206</v>
      </c>
      <c r="D2480" s="422" t="s">
        <v>156</v>
      </c>
      <c r="E2480" s="423"/>
      <c r="F2480" s="424"/>
      <c r="G2480" s="425"/>
      <c r="H2480" s="651">
        <f>SUM(H2481:H2485)</f>
        <v>459.84391840000006</v>
      </c>
      <c r="I2480" s="420">
        <f>VLOOKUP(D2480,'[2]ENSAIOS DE ORÇAMENTO'!$C$3:$L$79,8,FALSE)</f>
        <v>3420.3953949999996</v>
      </c>
      <c r="J2480" s="420">
        <f>IF(ISBLANK(I2480),"",SUM(H2480:I2480))</f>
        <v>3880.2393133999994</v>
      </c>
      <c r="K2480" s="421">
        <f t="shared" si="646"/>
        <v>4610.1099999999997</v>
      </c>
      <c r="L2480" s="647" t="s">
        <v>21</v>
      </c>
      <c r="M2480" s="576"/>
      <c r="N2480" s="576">
        <f t="shared" si="656"/>
        <v>0</v>
      </c>
      <c r="O2480" s="577">
        <f t="shared" si="649"/>
        <v>0</v>
      </c>
      <c r="P2480" s="578">
        <f t="shared" si="650"/>
        <v>0</v>
      </c>
      <c r="Q2480" s="765"/>
      <c r="R2480" s="576">
        <f>M2480</f>
        <v>0</v>
      </c>
      <c r="S2480" s="576">
        <f>N2480</f>
        <v>0</v>
      </c>
      <c r="T2480" s="577">
        <f t="shared" si="647"/>
        <v>0</v>
      </c>
      <c r="U2480" s="578">
        <f t="shared" si="648"/>
        <v>0</v>
      </c>
      <c r="V2480" s="579"/>
      <c r="W2480" s="566"/>
      <c r="X2480" s="586" t="str">
        <f t="shared" si="661"/>
        <v/>
      </c>
      <c r="Y2480" s="586" t="str">
        <f t="shared" si="653"/>
        <v/>
      </c>
      <c r="Z2480" s="586" t="str">
        <f t="shared" si="660"/>
        <v/>
      </c>
    </row>
    <row r="2481" spans="1:26" ht="12" hidden="1" thickBot="1" x14ac:dyDescent="0.25">
      <c r="A2481" s="567" t="s">
        <v>168</v>
      </c>
      <c r="B2481" s="644" t="s">
        <v>168</v>
      </c>
      <c r="C2481" s="645"/>
      <c r="D2481" s="422" t="s">
        <v>212</v>
      </c>
      <c r="E2481" s="423"/>
      <c r="F2481" s="424">
        <v>500</v>
      </c>
      <c r="G2481" s="425">
        <f>VLOOKUP(D2480,'[2]ENSAIOS DE ORÇAMENTO'!$C$3:$L$79,4,FALSE)</f>
        <v>0.43200000000000005</v>
      </c>
      <c r="H2481" s="649">
        <f>IF(F2481&lt;=30,(0.78*F2481+7.82)*G2481,((0.78*30+7.82)+0.78*(F2481-30))*G2481)</f>
        <v>171.85824000000005</v>
      </c>
      <c r="I2481" s="420"/>
      <c r="J2481" s="420"/>
      <c r="K2481" s="421">
        <f t="shared" si="646"/>
        <v>0</v>
      </c>
      <c r="L2481" s="647"/>
      <c r="M2481" s="723"/>
      <c r="N2481" s="576">
        <f t="shared" si="656"/>
        <v>0</v>
      </c>
      <c r="O2481" s="577">
        <f t="shared" si="649"/>
        <v>0</v>
      </c>
      <c r="P2481" s="578">
        <f t="shared" si="650"/>
        <v>0</v>
      </c>
      <c r="Q2481" s="765"/>
      <c r="R2481" s="723"/>
      <c r="S2481" s="723"/>
      <c r="T2481" s="577">
        <f t="shared" si="647"/>
        <v>0</v>
      </c>
      <c r="U2481" s="578">
        <f t="shared" si="648"/>
        <v>0</v>
      </c>
      <c r="V2481" s="579"/>
      <c r="W2481" s="566" t="str">
        <f>IF(U2480&gt;0,"xx",IF(P2480&gt;0,"xy",""))</f>
        <v/>
      </c>
      <c r="X2481" s="586" t="str">
        <f t="shared" si="661"/>
        <v/>
      </c>
      <c r="Y2481" s="586" t="str">
        <f t="shared" si="653"/>
        <v/>
      </c>
      <c r="Z2481" s="586" t="str">
        <f t="shared" si="660"/>
        <v/>
      </c>
    </row>
    <row r="2482" spans="1:26" ht="12" hidden="1" thickBot="1" x14ac:dyDescent="0.25">
      <c r="A2482" s="567" t="s">
        <v>168</v>
      </c>
      <c r="B2482" s="644" t="s">
        <v>168</v>
      </c>
      <c r="C2482" s="645"/>
      <c r="D2482" s="422" t="s">
        <v>248</v>
      </c>
      <c r="E2482" s="423"/>
      <c r="F2482" s="424">
        <v>180</v>
      </c>
      <c r="G2482" s="425">
        <f>VLOOKUP(D2480,'[2]ENSAIOS DE ORÇAMENTO'!$C$3:$L$79,5,FALSE)</f>
        <v>1.28653</v>
      </c>
      <c r="H2482" s="663">
        <f t="shared" ref="H2482:H2484" si="663">IF(F2482&lt;=30,(1.07*F2482+2.68)*G2482,((1.07*30+2.68)+1.07*(F2482-30))*G2482)</f>
        <v>251.2335784</v>
      </c>
      <c r="I2482" s="420"/>
      <c r="J2482" s="420"/>
      <c r="K2482" s="421">
        <f t="shared" si="646"/>
        <v>0</v>
      </c>
      <c r="L2482" s="647"/>
      <c r="M2482" s="723"/>
      <c r="N2482" s="576">
        <f t="shared" si="656"/>
        <v>0</v>
      </c>
      <c r="O2482" s="577">
        <f t="shared" si="649"/>
        <v>0</v>
      </c>
      <c r="P2482" s="578">
        <f t="shared" si="650"/>
        <v>0</v>
      </c>
      <c r="Q2482" s="765"/>
      <c r="R2482" s="723"/>
      <c r="S2482" s="723"/>
      <c r="T2482" s="577">
        <f t="shared" si="647"/>
        <v>0</v>
      </c>
      <c r="U2482" s="578">
        <f t="shared" si="648"/>
        <v>0</v>
      </c>
      <c r="V2482" s="579"/>
      <c r="W2482" s="566" t="str">
        <f>IF(U2480&gt;0,"xx",IF(P2480&gt;0,"xy",""))</f>
        <v/>
      </c>
      <c r="X2482" s="586" t="str">
        <f t="shared" si="661"/>
        <v/>
      </c>
      <c r="Y2482" s="586" t="str">
        <f t="shared" si="653"/>
        <v/>
      </c>
      <c r="Z2482" s="586" t="str">
        <f t="shared" si="660"/>
        <v/>
      </c>
    </row>
    <row r="2483" spans="1:26" ht="12" hidden="1" thickBot="1" x14ac:dyDescent="0.25">
      <c r="A2483" s="567" t="s">
        <v>168</v>
      </c>
      <c r="B2483" s="644" t="s">
        <v>168</v>
      </c>
      <c r="C2483" s="645"/>
      <c r="D2483" s="422" t="s">
        <v>252</v>
      </c>
      <c r="E2483" s="423"/>
      <c r="F2483" s="424">
        <v>20</v>
      </c>
      <c r="G2483" s="425">
        <f>VLOOKUP(D2480,'[2]ENSAIOS DE ORÇAMENTO'!$C$3:$L$79,6,FALSE)</f>
        <v>1.5262500000000001</v>
      </c>
      <c r="H2483" s="663">
        <f t="shared" si="663"/>
        <v>36.752100000000006</v>
      </c>
      <c r="I2483" s="420"/>
      <c r="J2483" s="420"/>
      <c r="K2483" s="421">
        <f t="shared" si="646"/>
        <v>0</v>
      </c>
      <c r="L2483" s="647"/>
      <c r="M2483" s="723"/>
      <c r="N2483" s="576">
        <f t="shared" si="656"/>
        <v>0</v>
      </c>
      <c r="O2483" s="577">
        <f t="shared" si="649"/>
        <v>0</v>
      </c>
      <c r="P2483" s="578">
        <f t="shared" si="650"/>
        <v>0</v>
      </c>
      <c r="Q2483" s="765"/>
      <c r="R2483" s="723"/>
      <c r="S2483" s="723"/>
      <c r="T2483" s="577">
        <f t="shared" si="647"/>
        <v>0</v>
      </c>
      <c r="U2483" s="578">
        <f t="shared" si="648"/>
        <v>0</v>
      </c>
      <c r="V2483" s="579"/>
      <c r="W2483" s="566" t="str">
        <f>IF(U2480&gt;0,"xx",IF(P2480&gt;0,"xy",""))</f>
        <v/>
      </c>
      <c r="X2483" s="586" t="str">
        <f t="shared" si="661"/>
        <v/>
      </c>
      <c r="Y2483" s="586" t="str">
        <f t="shared" si="653"/>
        <v/>
      </c>
      <c r="Z2483" s="586" t="str">
        <f t="shared" si="660"/>
        <v/>
      </c>
    </row>
    <row r="2484" spans="1:26" ht="12" hidden="1" thickBot="1" x14ac:dyDescent="0.25">
      <c r="A2484" s="567" t="s">
        <v>168</v>
      </c>
      <c r="B2484" s="644" t="s">
        <v>168</v>
      </c>
      <c r="C2484" s="645"/>
      <c r="D2484" s="422" t="s">
        <v>400</v>
      </c>
      <c r="E2484" s="423"/>
      <c r="F2484" s="424">
        <v>30</v>
      </c>
      <c r="G2484" s="425">
        <f>VLOOKUP(D2480,'[2]ENSAIOS DE ORÇAMENTO'!$C$3:$L$79,3,FALSE)</f>
        <v>0</v>
      </c>
      <c r="H2484" s="663">
        <f t="shared" si="663"/>
        <v>0</v>
      </c>
      <c r="I2484" s="420"/>
      <c r="J2484" s="420"/>
      <c r="K2484" s="421">
        <f t="shared" si="646"/>
        <v>0</v>
      </c>
      <c r="L2484" s="647"/>
      <c r="M2484" s="723"/>
      <c r="N2484" s="576">
        <f t="shared" si="656"/>
        <v>0</v>
      </c>
      <c r="O2484" s="577">
        <f t="shared" si="649"/>
        <v>0</v>
      </c>
      <c r="P2484" s="578">
        <f t="shared" si="650"/>
        <v>0</v>
      </c>
      <c r="Q2484" s="765"/>
      <c r="R2484" s="723"/>
      <c r="S2484" s="723"/>
      <c r="T2484" s="577">
        <f t="shared" si="647"/>
        <v>0</v>
      </c>
      <c r="U2484" s="578">
        <f t="shared" si="648"/>
        <v>0</v>
      </c>
      <c r="V2484" s="579"/>
      <c r="W2484" s="566" t="str">
        <f>IF(U2480&gt;0,"xx",IF(P2480&gt;0,"xy",""))</f>
        <v/>
      </c>
      <c r="X2484" s="586" t="str">
        <f t="shared" si="661"/>
        <v/>
      </c>
      <c r="Y2484" s="586" t="str">
        <f t="shared" si="653"/>
        <v/>
      </c>
      <c r="Z2484" s="586" t="str">
        <f t="shared" si="660"/>
        <v/>
      </c>
    </row>
    <row r="2485" spans="1:26" ht="12" hidden="1" thickBot="1" x14ac:dyDescent="0.25">
      <c r="A2485" s="567" t="s">
        <v>168</v>
      </c>
      <c r="B2485" s="644" t="s">
        <v>168</v>
      </c>
      <c r="C2485" s="645"/>
      <c r="D2485" s="422" t="s">
        <v>401</v>
      </c>
      <c r="E2485" s="423"/>
      <c r="F2485" s="424">
        <v>500</v>
      </c>
      <c r="G2485" s="425">
        <f>VLOOKUP(D2480,'[2]ENSAIOS DE ORÇAMENTO'!$C$3:$L$79,10,FALSE)</f>
        <v>0</v>
      </c>
      <c r="H2485" s="649">
        <f>IF(F2485&lt;=30,(0.78*F2485+7.82)*G2485,((0.78*30+7.82)+0.78*(F2485-30))*G2485)</f>
        <v>0</v>
      </c>
      <c r="I2485" s="420"/>
      <c r="J2485" s="420"/>
      <c r="K2485" s="421">
        <f t="shared" si="646"/>
        <v>0</v>
      </c>
      <c r="L2485" s="647"/>
      <c r="M2485" s="723"/>
      <c r="N2485" s="576">
        <f t="shared" si="656"/>
        <v>0</v>
      </c>
      <c r="O2485" s="577">
        <f t="shared" si="649"/>
        <v>0</v>
      </c>
      <c r="P2485" s="578">
        <f t="shared" si="650"/>
        <v>0</v>
      </c>
      <c r="Q2485" s="765"/>
      <c r="R2485" s="723"/>
      <c r="S2485" s="723"/>
      <c r="T2485" s="577">
        <f t="shared" si="647"/>
        <v>0</v>
      </c>
      <c r="U2485" s="578">
        <f t="shared" si="648"/>
        <v>0</v>
      </c>
      <c r="V2485" s="579"/>
      <c r="W2485" s="566" t="str">
        <f>IF(U2480&gt;0,"xx",IF(P2480&gt;0,"xy",""))</f>
        <v/>
      </c>
      <c r="X2485" s="586" t="str">
        <f t="shared" si="661"/>
        <v/>
      </c>
      <c r="Y2485" s="586" t="str">
        <f t="shared" si="653"/>
        <v/>
      </c>
      <c r="Z2485" s="586" t="str">
        <f t="shared" si="660"/>
        <v/>
      </c>
    </row>
    <row r="2486" spans="1:26" ht="12" hidden="1" thickBot="1" x14ac:dyDescent="0.25">
      <c r="A2486" s="567" t="s">
        <v>143</v>
      </c>
      <c r="B2486" s="644" t="s">
        <v>143</v>
      </c>
      <c r="C2486" s="645" t="s">
        <v>206</v>
      </c>
      <c r="D2486" s="422" t="s">
        <v>157</v>
      </c>
      <c r="E2486" s="423"/>
      <c r="F2486" s="424"/>
      <c r="G2486" s="425"/>
      <c r="H2486" s="651">
        <f>SUM(H2487:H2491)</f>
        <v>534.17362000000003</v>
      </c>
      <c r="I2486" s="420">
        <f>VLOOKUP(D2486,'[2]ENSAIOS DE ORÇAMENTO'!$C$3:$L$79,8,FALSE)</f>
        <v>3903.4829249999993</v>
      </c>
      <c r="J2486" s="420">
        <f>IF(ISBLANK(I2486),"",SUM(H2486:I2486))</f>
        <v>4437.6565449999998</v>
      </c>
      <c r="K2486" s="421">
        <f t="shared" si="646"/>
        <v>5272.38</v>
      </c>
      <c r="L2486" s="647" t="s">
        <v>21</v>
      </c>
      <c r="M2486" s="576"/>
      <c r="N2486" s="576">
        <f t="shared" si="656"/>
        <v>0</v>
      </c>
      <c r="O2486" s="577">
        <f t="shared" si="649"/>
        <v>0</v>
      </c>
      <c r="P2486" s="578">
        <f t="shared" si="650"/>
        <v>0</v>
      </c>
      <c r="Q2486" s="765"/>
      <c r="R2486" s="576">
        <f>M2486</f>
        <v>0</v>
      </c>
      <c r="S2486" s="576">
        <f>N2486</f>
        <v>0</v>
      </c>
      <c r="T2486" s="577">
        <f t="shared" si="647"/>
        <v>0</v>
      </c>
      <c r="U2486" s="578">
        <f t="shared" si="648"/>
        <v>0</v>
      </c>
      <c r="V2486" s="579"/>
      <c r="W2486" s="566"/>
      <c r="X2486" s="586" t="str">
        <f t="shared" si="661"/>
        <v/>
      </c>
      <c r="Y2486" s="586" t="str">
        <f t="shared" si="653"/>
        <v/>
      </c>
      <c r="Z2486" s="586" t="str">
        <f t="shared" si="660"/>
        <v/>
      </c>
    </row>
    <row r="2487" spans="1:26" ht="12" hidden="1" thickBot="1" x14ac:dyDescent="0.25">
      <c r="A2487" s="567" t="s">
        <v>168</v>
      </c>
      <c r="B2487" s="644" t="s">
        <v>168</v>
      </c>
      <c r="C2487" s="645"/>
      <c r="D2487" s="422" t="s">
        <v>212</v>
      </c>
      <c r="E2487" s="423"/>
      <c r="F2487" s="424">
        <v>500</v>
      </c>
      <c r="G2487" s="425">
        <f>VLOOKUP(D2486,'[2]ENSAIOS DE ORÇAMENTO'!$C$3:$L$79,4,FALSE)</f>
        <v>0.50459999999999994</v>
      </c>
      <c r="H2487" s="649">
        <f>IF(F2487&lt;=30,(0.78*F2487+7.82)*G2487,((0.78*30+7.82)+0.78*(F2487-30))*G2487)</f>
        <v>200.73997199999999</v>
      </c>
      <c r="I2487" s="420"/>
      <c r="J2487" s="420"/>
      <c r="K2487" s="421">
        <f t="shared" si="646"/>
        <v>0</v>
      </c>
      <c r="L2487" s="647"/>
      <c r="M2487" s="723"/>
      <c r="N2487" s="576">
        <f t="shared" si="656"/>
        <v>0</v>
      </c>
      <c r="O2487" s="577">
        <f t="shared" si="649"/>
        <v>0</v>
      </c>
      <c r="P2487" s="578">
        <f t="shared" si="650"/>
        <v>0</v>
      </c>
      <c r="Q2487" s="765"/>
      <c r="R2487" s="723"/>
      <c r="S2487" s="723"/>
      <c r="T2487" s="577">
        <f t="shared" si="647"/>
        <v>0</v>
      </c>
      <c r="U2487" s="578">
        <f t="shared" si="648"/>
        <v>0</v>
      </c>
      <c r="V2487" s="579"/>
      <c r="W2487" s="566" t="str">
        <f>IF(U2486&gt;0,"xx",IF(P2486&gt;0,"xy",""))</f>
        <v/>
      </c>
      <c r="X2487" s="586" t="str">
        <f t="shared" si="661"/>
        <v/>
      </c>
      <c r="Y2487" s="586" t="str">
        <f t="shared" si="653"/>
        <v/>
      </c>
      <c r="Z2487" s="586" t="str">
        <f t="shared" si="660"/>
        <v/>
      </c>
    </row>
    <row r="2488" spans="1:26" ht="12" hidden="1" thickBot="1" x14ac:dyDescent="0.25">
      <c r="A2488" s="567" t="s">
        <v>168</v>
      </c>
      <c r="B2488" s="644" t="s">
        <v>168</v>
      </c>
      <c r="C2488" s="645"/>
      <c r="D2488" s="422" t="s">
        <v>248</v>
      </c>
      <c r="E2488" s="423"/>
      <c r="F2488" s="424">
        <v>180</v>
      </c>
      <c r="G2488" s="425">
        <f>VLOOKUP(D2486,'[2]ENSAIOS DE ORÇAMENTO'!$C$3:$L$79,5,FALSE)</f>
        <v>1.48915</v>
      </c>
      <c r="H2488" s="663">
        <f t="shared" ref="H2488:H2490" si="664">IF(F2488&lt;=30,(1.07*F2488+2.68)*G2488,((1.07*30+2.68)+1.07*(F2488-30))*G2488)</f>
        <v>290.80121200000002</v>
      </c>
      <c r="I2488" s="420"/>
      <c r="J2488" s="420"/>
      <c r="K2488" s="421">
        <f t="shared" si="646"/>
        <v>0</v>
      </c>
      <c r="L2488" s="647"/>
      <c r="M2488" s="723"/>
      <c r="N2488" s="576">
        <f t="shared" si="656"/>
        <v>0</v>
      </c>
      <c r="O2488" s="577">
        <f t="shared" si="649"/>
        <v>0</v>
      </c>
      <c r="P2488" s="578">
        <f t="shared" si="650"/>
        <v>0</v>
      </c>
      <c r="Q2488" s="765"/>
      <c r="R2488" s="723"/>
      <c r="S2488" s="723"/>
      <c r="T2488" s="577">
        <f t="shared" si="647"/>
        <v>0</v>
      </c>
      <c r="U2488" s="578">
        <f t="shared" si="648"/>
        <v>0</v>
      </c>
      <c r="V2488" s="579"/>
      <c r="W2488" s="566" t="str">
        <f>IF(U2486&gt;0,"xx",IF(P2486&gt;0,"xy",""))</f>
        <v/>
      </c>
      <c r="X2488" s="586" t="str">
        <f t="shared" si="661"/>
        <v/>
      </c>
      <c r="Y2488" s="586" t="str">
        <f t="shared" si="653"/>
        <v/>
      </c>
      <c r="Z2488" s="586" t="str">
        <f t="shared" si="660"/>
        <v/>
      </c>
    </row>
    <row r="2489" spans="1:26" ht="12" hidden="1" thickBot="1" x14ac:dyDescent="0.25">
      <c r="A2489" s="567" t="s">
        <v>168</v>
      </c>
      <c r="B2489" s="644" t="s">
        <v>168</v>
      </c>
      <c r="C2489" s="645"/>
      <c r="D2489" s="422" t="s">
        <v>252</v>
      </c>
      <c r="E2489" s="423"/>
      <c r="F2489" s="424">
        <v>20</v>
      </c>
      <c r="G2489" s="425">
        <f>VLOOKUP(D2486,'[2]ENSAIOS DE ORÇAMENTO'!$C$3:$L$79,6,FALSE)</f>
        <v>1.7704500000000001</v>
      </c>
      <c r="H2489" s="663">
        <f t="shared" si="664"/>
        <v>42.632436000000006</v>
      </c>
      <c r="I2489" s="420"/>
      <c r="J2489" s="420"/>
      <c r="K2489" s="421">
        <f t="shared" si="646"/>
        <v>0</v>
      </c>
      <c r="L2489" s="647"/>
      <c r="M2489" s="723"/>
      <c r="N2489" s="576">
        <f t="shared" si="656"/>
        <v>0</v>
      </c>
      <c r="O2489" s="577">
        <f t="shared" si="649"/>
        <v>0</v>
      </c>
      <c r="P2489" s="578">
        <f t="shared" si="650"/>
        <v>0</v>
      </c>
      <c r="Q2489" s="765"/>
      <c r="R2489" s="723"/>
      <c r="S2489" s="723"/>
      <c r="T2489" s="577">
        <f t="shared" si="647"/>
        <v>0</v>
      </c>
      <c r="U2489" s="578">
        <f t="shared" si="648"/>
        <v>0</v>
      </c>
      <c r="V2489" s="579"/>
      <c r="W2489" s="566" t="str">
        <f>IF(U2486&gt;0,"xx",IF(P2486&gt;0,"xy",""))</f>
        <v/>
      </c>
      <c r="X2489" s="586" t="str">
        <f t="shared" si="661"/>
        <v/>
      </c>
      <c r="Y2489" s="586" t="str">
        <f t="shared" si="653"/>
        <v/>
      </c>
      <c r="Z2489" s="586" t="str">
        <f t="shared" si="660"/>
        <v/>
      </c>
    </row>
    <row r="2490" spans="1:26" ht="12" hidden="1" thickBot="1" x14ac:dyDescent="0.25">
      <c r="A2490" s="567" t="s">
        <v>168</v>
      </c>
      <c r="B2490" s="644" t="s">
        <v>168</v>
      </c>
      <c r="C2490" s="645"/>
      <c r="D2490" s="422" t="s">
        <v>400</v>
      </c>
      <c r="E2490" s="423"/>
      <c r="F2490" s="424">
        <v>30</v>
      </c>
      <c r="G2490" s="425">
        <f>VLOOKUP(D2486,'[2]ENSAIOS DE ORÇAMENTO'!$C$3:$L$79,3,FALSE)</f>
        <v>0</v>
      </c>
      <c r="H2490" s="663">
        <f t="shared" si="664"/>
        <v>0</v>
      </c>
      <c r="I2490" s="420"/>
      <c r="J2490" s="420"/>
      <c r="K2490" s="421">
        <f t="shared" si="646"/>
        <v>0</v>
      </c>
      <c r="L2490" s="647"/>
      <c r="M2490" s="723"/>
      <c r="N2490" s="576">
        <f t="shared" si="656"/>
        <v>0</v>
      </c>
      <c r="O2490" s="577">
        <f t="shared" si="649"/>
        <v>0</v>
      </c>
      <c r="P2490" s="578">
        <f t="shared" si="650"/>
        <v>0</v>
      </c>
      <c r="Q2490" s="765"/>
      <c r="R2490" s="723"/>
      <c r="S2490" s="723"/>
      <c r="T2490" s="577">
        <f t="shared" si="647"/>
        <v>0</v>
      </c>
      <c r="U2490" s="578">
        <f t="shared" si="648"/>
        <v>0</v>
      </c>
      <c r="V2490" s="579"/>
      <c r="W2490" s="566" t="str">
        <f>IF(U2486&gt;0,"xx",IF(P2486&gt;0,"xy",""))</f>
        <v/>
      </c>
      <c r="X2490" s="586" t="str">
        <f t="shared" si="661"/>
        <v/>
      </c>
      <c r="Y2490" s="586" t="str">
        <f t="shared" si="653"/>
        <v/>
      </c>
      <c r="Z2490" s="586" t="str">
        <f t="shared" si="660"/>
        <v/>
      </c>
    </row>
    <row r="2491" spans="1:26" ht="12" hidden="1" thickBot="1" x14ac:dyDescent="0.25">
      <c r="A2491" s="567" t="s">
        <v>168</v>
      </c>
      <c r="B2491" s="644" t="s">
        <v>168</v>
      </c>
      <c r="C2491" s="645"/>
      <c r="D2491" s="422" t="s">
        <v>401</v>
      </c>
      <c r="E2491" s="423"/>
      <c r="F2491" s="424">
        <v>500</v>
      </c>
      <c r="G2491" s="425">
        <f>VLOOKUP(D2486,'[2]ENSAIOS DE ORÇAMENTO'!$C$3:$L$79,10,FALSE)</f>
        <v>0</v>
      </c>
      <c r="H2491" s="649">
        <f>IF(F2491&lt;=30,(0.78*F2491+7.82)*G2491,((0.78*30+7.82)+0.78*(F2491-30))*G2491)</f>
        <v>0</v>
      </c>
      <c r="I2491" s="420"/>
      <c r="J2491" s="420"/>
      <c r="K2491" s="421">
        <f t="shared" si="646"/>
        <v>0</v>
      </c>
      <c r="L2491" s="647"/>
      <c r="M2491" s="723"/>
      <c r="N2491" s="576">
        <f t="shared" si="656"/>
        <v>0</v>
      </c>
      <c r="O2491" s="577">
        <f t="shared" si="649"/>
        <v>0</v>
      </c>
      <c r="P2491" s="578">
        <f t="shared" si="650"/>
        <v>0</v>
      </c>
      <c r="Q2491" s="765"/>
      <c r="R2491" s="723"/>
      <c r="S2491" s="723"/>
      <c r="T2491" s="577">
        <f t="shared" si="647"/>
        <v>0</v>
      </c>
      <c r="U2491" s="578">
        <f t="shared" si="648"/>
        <v>0</v>
      </c>
      <c r="V2491" s="579"/>
      <c r="W2491" s="566" t="str">
        <f>IF(U2486&gt;0,"xx",IF(P2486&gt;0,"xy",""))</f>
        <v/>
      </c>
      <c r="X2491" s="586" t="str">
        <f t="shared" si="661"/>
        <v/>
      </c>
      <c r="Y2491" s="586" t="str">
        <f t="shared" si="653"/>
        <v/>
      </c>
      <c r="Z2491" s="586" t="str">
        <f t="shared" si="660"/>
        <v/>
      </c>
    </row>
    <row r="2492" spans="1:26" ht="12" hidden="1" thickBot="1" x14ac:dyDescent="0.25">
      <c r="A2492" s="567" t="s">
        <v>47</v>
      </c>
      <c r="B2492" s="644" t="s">
        <v>47</v>
      </c>
      <c r="C2492" s="645" t="s">
        <v>206</v>
      </c>
      <c r="D2492" s="422" t="s">
        <v>158</v>
      </c>
      <c r="E2492" s="423"/>
      <c r="F2492" s="424"/>
      <c r="G2492" s="425"/>
      <c r="H2492" s="651">
        <f>SUM(H2493:H2497)</f>
        <v>676.95186200000012</v>
      </c>
      <c r="I2492" s="420">
        <f>VLOOKUP(D2492,'[2]ENSAIOS DE ORÇAMENTO'!$C$3:$L$79,8,FALSE)</f>
        <v>4735.3472749999992</v>
      </c>
      <c r="J2492" s="420">
        <f>IF(ISBLANK(I2492),"",SUM(H2492:I2492))</f>
        <v>5412.2991369999991</v>
      </c>
      <c r="K2492" s="421">
        <f t="shared" si="646"/>
        <v>6430.35</v>
      </c>
      <c r="L2492" s="647" t="s">
        <v>21</v>
      </c>
      <c r="M2492" s="576"/>
      <c r="N2492" s="576">
        <f t="shared" si="656"/>
        <v>0</v>
      </c>
      <c r="O2492" s="577">
        <f t="shared" si="649"/>
        <v>0</v>
      </c>
      <c r="P2492" s="578">
        <f t="shared" si="650"/>
        <v>0</v>
      </c>
      <c r="Q2492" s="765"/>
      <c r="R2492" s="576">
        <f>M2492</f>
        <v>0</v>
      </c>
      <c r="S2492" s="576">
        <f>N2492</f>
        <v>0</v>
      </c>
      <c r="T2492" s="577">
        <f t="shared" si="647"/>
        <v>0</v>
      </c>
      <c r="U2492" s="578">
        <f t="shared" si="648"/>
        <v>0</v>
      </c>
      <c r="V2492" s="579"/>
      <c r="W2492" s="566"/>
      <c r="X2492" s="586" t="str">
        <f t="shared" si="661"/>
        <v/>
      </c>
      <c r="Y2492" s="586" t="str">
        <f t="shared" si="653"/>
        <v/>
      </c>
      <c r="Z2492" s="586" t="str">
        <f t="shared" si="660"/>
        <v/>
      </c>
    </row>
    <row r="2493" spans="1:26" ht="12" hidden="1" thickBot="1" x14ac:dyDescent="0.25">
      <c r="A2493" s="567" t="s">
        <v>168</v>
      </c>
      <c r="B2493" s="644" t="s">
        <v>168</v>
      </c>
      <c r="C2493" s="645"/>
      <c r="D2493" s="422" t="s">
        <v>212</v>
      </c>
      <c r="E2493" s="423"/>
      <c r="F2493" s="424">
        <v>500</v>
      </c>
      <c r="G2493" s="425">
        <f>VLOOKUP(D2492,'[2]ENSAIOS DE ORÇAMENTO'!$C$3:$L$79,4,FALSE)</f>
        <v>0.6411</v>
      </c>
      <c r="H2493" s="649">
        <f>IF(F2493&lt;=30,(0.78*F2493+7.82)*G2493,((0.78*30+7.82)+0.78*(F2493-30))*G2493)</f>
        <v>255.04240200000004</v>
      </c>
      <c r="I2493" s="420"/>
      <c r="J2493" s="420"/>
      <c r="K2493" s="421">
        <f t="shared" si="646"/>
        <v>0</v>
      </c>
      <c r="L2493" s="647"/>
      <c r="M2493" s="723"/>
      <c r="N2493" s="576">
        <f t="shared" si="656"/>
        <v>0</v>
      </c>
      <c r="O2493" s="577">
        <f t="shared" si="649"/>
        <v>0</v>
      </c>
      <c r="P2493" s="578">
        <f t="shared" si="650"/>
        <v>0</v>
      </c>
      <c r="Q2493" s="765"/>
      <c r="R2493" s="723"/>
      <c r="S2493" s="723"/>
      <c r="T2493" s="577">
        <f t="shared" si="647"/>
        <v>0</v>
      </c>
      <c r="U2493" s="578">
        <f t="shared" si="648"/>
        <v>0</v>
      </c>
      <c r="V2493" s="579"/>
      <c r="W2493" s="566" t="str">
        <f>IF(U2492&gt;0,"xx",IF(P2492&gt;0,"xy",""))</f>
        <v/>
      </c>
      <c r="X2493" s="586" t="str">
        <f t="shared" si="661"/>
        <v/>
      </c>
      <c r="Y2493" s="586" t="str">
        <f t="shared" si="653"/>
        <v/>
      </c>
      <c r="Z2493" s="586" t="str">
        <f t="shared" si="660"/>
        <v/>
      </c>
    </row>
    <row r="2494" spans="1:26" ht="12" hidden="1" thickBot="1" x14ac:dyDescent="0.25">
      <c r="A2494" s="567" t="s">
        <v>168</v>
      </c>
      <c r="B2494" s="644" t="s">
        <v>168</v>
      </c>
      <c r="C2494" s="645"/>
      <c r="D2494" s="422" t="s">
        <v>248</v>
      </c>
      <c r="E2494" s="423"/>
      <c r="F2494" s="424">
        <v>180</v>
      </c>
      <c r="G2494" s="425">
        <f>VLOOKUP(D2492,'[2]ENSAIOS DE ORÇAMENTO'!$C$3:$L$79,5,FALSE)</f>
        <v>1.8840500000000002</v>
      </c>
      <c r="H2494" s="663">
        <f t="shared" ref="H2494:H2496" si="665">IF(F2494&lt;=30,(1.07*F2494+2.68)*G2494,((1.07*30+2.68)+1.07*(F2494-30))*G2494)</f>
        <v>367.91728400000005</v>
      </c>
      <c r="I2494" s="420"/>
      <c r="J2494" s="420"/>
      <c r="K2494" s="421">
        <f t="shared" si="646"/>
        <v>0</v>
      </c>
      <c r="L2494" s="647"/>
      <c r="M2494" s="723"/>
      <c r="N2494" s="576">
        <f t="shared" si="656"/>
        <v>0</v>
      </c>
      <c r="O2494" s="577">
        <f t="shared" si="649"/>
        <v>0</v>
      </c>
      <c r="P2494" s="578">
        <f t="shared" si="650"/>
        <v>0</v>
      </c>
      <c r="Q2494" s="765"/>
      <c r="R2494" s="723"/>
      <c r="S2494" s="723"/>
      <c r="T2494" s="577">
        <f t="shared" si="647"/>
        <v>0</v>
      </c>
      <c r="U2494" s="578">
        <f t="shared" si="648"/>
        <v>0</v>
      </c>
      <c r="V2494" s="579"/>
      <c r="W2494" s="566" t="str">
        <f>IF(U2492&gt;0,"xx",IF(P2492&gt;0,"xy",""))</f>
        <v/>
      </c>
      <c r="X2494" s="586" t="str">
        <f t="shared" si="661"/>
        <v/>
      </c>
      <c r="Y2494" s="586" t="str">
        <f t="shared" si="653"/>
        <v/>
      </c>
      <c r="Z2494" s="586" t="str">
        <f t="shared" si="660"/>
        <v/>
      </c>
    </row>
    <row r="2495" spans="1:26" ht="12" hidden="1" thickBot="1" x14ac:dyDescent="0.25">
      <c r="A2495" s="567" t="s">
        <v>168</v>
      </c>
      <c r="B2495" s="644" t="s">
        <v>168</v>
      </c>
      <c r="C2495" s="645"/>
      <c r="D2495" s="422" t="s">
        <v>252</v>
      </c>
      <c r="E2495" s="423"/>
      <c r="F2495" s="424">
        <v>20</v>
      </c>
      <c r="G2495" s="425">
        <f>VLOOKUP(D2492,'[2]ENSAIOS DE ORÇAMENTO'!$C$3:$L$79,6,FALSE)</f>
        <v>2.2422</v>
      </c>
      <c r="H2495" s="663">
        <f t="shared" si="665"/>
        <v>53.992176000000001</v>
      </c>
      <c r="I2495" s="420"/>
      <c r="J2495" s="420"/>
      <c r="K2495" s="421">
        <f t="shared" si="646"/>
        <v>0</v>
      </c>
      <c r="L2495" s="647"/>
      <c r="M2495" s="723"/>
      <c r="N2495" s="576">
        <f t="shared" si="656"/>
        <v>0</v>
      </c>
      <c r="O2495" s="577">
        <f t="shared" si="649"/>
        <v>0</v>
      </c>
      <c r="P2495" s="578">
        <f t="shared" si="650"/>
        <v>0</v>
      </c>
      <c r="Q2495" s="765"/>
      <c r="R2495" s="723"/>
      <c r="S2495" s="723"/>
      <c r="T2495" s="577">
        <f t="shared" si="647"/>
        <v>0</v>
      </c>
      <c r="U2495" s="578">
        <f t="shared" si="648"/>
        <v>0</v>
      </c>
      <c r="V2495" s="579"/>
      <c r="W2495" s="566" t="str">
        <f>IF(U2492&gt;0,"xx",IF(P2492&gt;0,"xy",""))</f>
        <v/>
      </c>
      <c r="X2495" s="586" t="str">
        <f t="shared" si="661"/>
        <v/>
      </c>
      <c r="Y2495" s="586" t="str">
        <f t="shared" si="653"/>
        <v/>
      </c>
      <c r="Z2495" s="586" t="str">
        <f t="shared" si="660"/>
        <v/>
      </c>
    </row>
    <row r="2496" spans="1:26" ht="12" hidden="1" thickBot="1" x14ac:dyDescent="0.25">
      <c r="A2496" s="567" t="s">
        <v>168</v>
      </c>
      <c r="B2496" s="644" t="s">
        <v>168</v>
      </c>
      <c r="C2496" s="645"/>
      <c r="D2496" s="422" t="s">
        <v>400</v>
      </c>
      <c r="E2496" s="423"/>
      <c r="F2496" s="424">
        <v>30</v>
      </c>
      <c r="G2496" s="425">
        <f>VLOOKUP(D2492,'[2]ENSAIOS DE ORÇAMENTO'!$C$3:$L$79,3,FALSE)</f>
        <v>0</v>
      </c>
      <c r="H2496" s="663">
        <f t="shared" si="665"/>
        <v>0</v>
      </c>
      <c r="I2496" s="420"/>
      <c r="J2496" s="420"/>
      <c r="K2496" s="421">
        <f t="shared" ref="K2496:K2559" si="666">IF(ISBLANK(I2496),0,ROUND(J2496*(1+$F$10)*(1+$F$11*E2496),2))</f>
        <v>0</v>
      </c>
      <c r="L2496" s="647"/>
      <c r="M2496" s="723"/>
      <c r="N2496" s="576">
        <f t="shared" si="656"/>
        <v>0</v>
      </c>
      <c r="O2496" s="577">
        <f t="shared" si="649"/>
        <v>0</v>
      </c>
      <c r="P2496" s="578">
        <f t="shared" si="650"/>
        <v>0</v>
      </c>
      <c r="Q2496" s="765"/>
      <c r="R2496" s="723"/>
      <c r="S2496" s="723"/>
      <c r="T2496" s="577">
        <f t="shared" ref="T2496:T2559" si="667">IF(ISBLANK(R2496),0,ROUND(K2496*R2496,2))</f>
        <v>0</v>
      </c>
      <c r="U2496" s="578">
        <f t="shared" ref="U2496:U2559" si="668">IF(ISBLANK(R2496),0,ROUND(R2496*S2496,2))</f>
        <v>0</v>
      </c>
      <c r="V2496" s="579"/>
      <c r="W2496" s="566" t="str">
        <f>IF(U2492&gt;0,"xx",IF(P2492&gt;0,"xy",""))</f>
        <v/>
      </c>
      <c r="X2496" s="586" t="str">
        <f t="shared" si="661"/>
        <v/>
      </c>
      <c r="Y2496" s="586" t="str">
        <f t="shared" si="653"/>
        <v/>
      </c>
      <c r="Z2496" s="586" t="str">
        <f t="shared" si="660"/>
        <v/>
      </c>
    </row>
    <row r="2497" spans="1:26" ht="12" hidden="1" thickBot="1" x14ac:dyDescent="0.25">
      <c r="A2497" s="567" t="s">
        <v>168</v>
      </c>
      <c r="B2497" s="644" t="s">
        <v>168</v>
      </c>
      <c r="C2497" s="645"/>
      <c r="D2497" s="422" t="s">
        <v>401</v>
      </c>
      <c r="E2497" s="423"/>
      <c r="F2497" s="424">
        <v>500</v>
      </c>
      <c r="G2497" s="425">
        <f>VLOOKUP(D2492,'[2]ENSAIOS DE ORÇAMENTO'!$C$3:$L$79,10,FALSE)</f>
        <v>0</v>
      </c>
      <c r="H2497" s="649">
        <f>IF(F2497&lt;=30,(0.78*F2497+7.82)*G2497,((0.78*30+7.82)+0.78*(F2497-30))*G2497)</f>
        <v>0</v>
      </c>
      <c r="I2497" s="420"/>
      <c r="J2497" s="420"/>
      <c r="K2497" s="421">
        <f t="shared" si="666"/>
        <v>0</v>
      </c>
      <c r="L2497" s="647"/>
      <c r="M2497" s="723"/>
      <c r="N2497" s="576">
        <f t="shared" si="656"/>
        <v>0</v>
      </c>
      <c r="O2497" s="577">
        <f t="shared" ref="O2497:O2560" si="669">IF(ISBLANK(M2497),0,ROUND(K2497*M2497,2))</f>
        <v>0</v>
      </c>
      <c r="P2497" s="578">
        <f t="shared" ref="P2497:P2560" si="670">IF(ISBLANK(N2497),0,ROUND(M2497*N2497,2))</f>
        <v>0</v>
      </c>
      <c r="Q2497" s="765"/>
      <c r="R2497" s="723"/>
      <c r="S2497" s="723"/>
      <c r="T2497" s="577">
        <f t="shared" si="667"/>
        <v>0</v>
      </c>
      <c r="U2497" s="578">
        <f t="shared" si="668"/>
        <v>0</v>
      </c>
      <c r="V2497" s="579"/>
      <c r="W2497" s="566" t="str">
        <f>IF(U2492&gt;0,"xx",IF(P2492&gt;0,"xy",""))</f>
        <v/>
      </c>
      <c r="X2497" s="586" t="str">
        <f t="shared" si="661"/>
        <v/>
      </c>
      <c r="Y2497" s="586" t="str">
        <f t="shared" si="653"/>
        <v/>
      </c>
      <c r="Z2497" s="586" t="str">
        <f t="shared" si="660"/>
        <v/>
      </c>
    </row>
    <row r="2498" spans="1:26" ht="12" hidden="1" thickBot="1" x14ac:dyDescent="0.25">
      <c r="A2498" s="567" t="s">
        <v>144</v>
      </c>
      <c r="B2498" s="644" t="s">
        <v>144</v>
      </c>
      <c r="C2498" s="645" t="s">
        <v>206</v>
      </c>
      <c r="D2498" s="422" t="s">
        <v>159</v>
      </c>
      <c r="E2498" s="423"/>
      <c r="F2498" s="424"/>
      <c r="G2498" s="425"/>
      <c r="H2498" s="651">
        <f>SUM(H2499:H2503)</f>
        <v>848.91637639999999</v>
      </c>
      <c r="I2498" s="420">
        <f>VLOOKUP(D2498,'[2]ENSAIOS DE ORÇAMENTO'!$C$3:$L$79,8,FALSE)</f>
        <v>5743.9725599999983</v>
      </c>
      <c r="J2498" s="420">
        <f>IF(ISBLANK(I2498),"",SUM(H2498:I2498))</f>
        <v>6592.8889363999988</v>
      </c>
      <c r="K2498" s="421">
        <f t="shared" si="666"/>
        <v>7833.01</v>
      </c>
      <c r="L2498" s="647" t="s">
        <v>21</v>
      </c>
      <c r="M2498" s="576"/>
      <c r="N2498" s="576">
        <f t="shared" si="656"/>
        <v>0</v>
      </c>
      <c r="O2498" s="577">
        <f t="shared" si="669"/>
        <v>0</v>
      </c>
      <c r="P2498" s="578">
        <f t="shared" si="670"/>
        <v>0</v>
      </c>
      <c r="Q2498" s="765"/>
      <c r="R2498" s="576">
        <f>M2498</f>
        <v>0</v>
      </c>
      <c r="S2498" s="576">
        <f>N2498</f>
        <v>0</v>
      </c>
      <c r="T2498" s="577">
        <f t="shared" si="667"/>
        <v>0</v>
      </c>
      <c r="U2498" s="578">
        <f t="shared" si="668"/>
        <v>0</v>
      </c>
      <c r="V2498" s="579"/>
      <c r="W2498" s="566"/>
      <c r="X2498" s="586" t="str">
        <f t="shared" si="661"/>
        <v/>
      </c>
      <c r="Y2498" s="586" t="str">
        <f t="shared" si="653"/>
        <v/>
      </c>
      <c r="Z2498" s="586" t="str">
        <f t="shared" si="660"/>
        <v/>
      </c>
    </row>
    <row r="2499" spans="1:26" ht="12" hidden="1" thickBot="1" x14ac:dyDescent="0.25">
      <c r="A2499" s="567" t="s">
        <v>168</v>
      </c>
      <c r="B2499" s="644" t="s">
        <v>168</v>
      </c>
      <c r="C2499" s="645"/>
      <c r="D2499" s="422" t="s">
        <v>212</v>
      </c>
      <c r="E2499" s="423"/>
      <c r="F2499" s="424">
        <v>500</v>
      </c>
      <c r="G2499" s="425">
        <f>VLOOKUP(D2498,'[2]ENSAIOS DE ORÇAMENTO'!$C$3:$L$79,4,FALSE)</f>
        <v>0.80657999999999996</v>
      </c>
      <c r="H2499" s="649">
        <f>IF(F2499&lt;=30,(0.78*F2499+7.82)*G2499,((0.78*30+7.82)+0.78*(F2499-30))*G2499)</f>
        <v>320.87365560000001</v>
      </c>
      <c r="I2499" s="420"/>
      <c r="J2499" s="420"/>
      <c r="K2499" s="421">
        <f t="shared" si="666"/>
        <v>0</v>
      </c>
      <c r="L2499" s="647"/>
      <c r="M2499" s="723"/>
      <c r="N2499" s="576">
        <f t="shared" si="656"/>
        <v>0</v>
      </c>
      <c r="O2499" s="577">
        <f t="shared" si="669"/>
        <v>0</v>
      </c>
      <c r="P2499" s="578">
        <f t="shared" si="670"/>
        <v>0</v>
      </c>
      <c r="Q2499" s="765"/>
      <c r="R2499" s="723"/>
      <c r="S2499" s="723"/>
      <c r="T2499" s="577">
        <f t="shared" si="667"/>
        <v>0</v>
      </c>
      <c r="U2499" s="578">
        <f t="shared" si="668"/>
        <v>0</v>
      </c>
      <c r="V2499" s="579"/>
      <c r="W2499" s="566" t="str">
        <f>IF(U2498&gt;0,"xx",IF(P2498&gt;0,"xy",""))</f>
        <v/>
      </c>
      <c r="X2499" s="586" t="str">
        <f t="shared" si="661"/>
        <v/>
      </c>
      <c r="Y2499" s="586" t="str">
        <f t="shared" si="653"/>
        <v/>
      </c>
      <c r="Z2499" s="586" t="str">
        <f t="shared" si="660"/>
        <v/>
      </c>
    </row>
    <row r="2500" spans="1:26" ht="12" hidden="1" thickBot="1" x14ac:dyDescent="0.25">
      <c r="A2500" s="567" t="s">
        <v>168</v>
      </c>
      <c r="B2500" s="644" t="s">
        <v>168</v>
      </c>
      <c r="C2500" s="645"/>
      <c r="D2500" s="422" t="s">
        <v>248</v>
      </c>
      <c r="E2500" s="423"/>
      <c r="F2500" s="424">
        <v>180</v>
      </c>
      <c r="G2500" s="425">
        <f>VLOOKUP(D2498,'[2]ENSAIOS DE ORÇAMENTO'!$C$3:$L$79,5,FALSE)</f>
        <v>2.3575999999999997</v>
      </c>
      <c r="H2500" s="663">
        <f t="shared" ref="H2500:H2502" si="671">IF(F2500&lt;=30,(1.07*F2500+2.68)*G2500,((1.07*30+2.68)+1.07*(F2500-30))*G2500)</f>
        <v>460.39212799999996</v>
      </c>
      <c r="I2500" s="420"/>
      <c r="J2500" s="420"/>
      <c r="K2500" s="421">
        <f t="shared" si="666"/>
        <v>0</v>
      </c>
      <c r="L2500" s="647"/>
      <c r="M2500" s="723"/>
      <c r="N2500" s="576">
        <f t="shared" si="656"/>
        <v>0</v>
      </c>
      <c r="O2500" s="577">
        <f t="shared" si="669"/>
        <v>0</v>
      </c>
      <c r="P2500" s="578">
        <f t="shared" si="670"/>
        <v>0</v>
      </c>
      <c r="Q2500" s="765"/>
      <c r="R2500" s="723"/>
      <c r="S2500" s="723"/>
      <c r="T2500" s="577">
        <f t="shared" si="667"/>
        <v>0</v>
      </c>
      <c r="U2500" s="578">
        <f t="shared" si="668"/>
        <v>0</v>
      </c>
      <c r="V2500" s="579"/>
      <c r="W2500" s="566" t="str">
        <f>IF(U2498&gt;0,"xx",IF(P2498&gt;0,"xy",""))</f>
        <v/>
      </c>
      <c r="X2500" s="586" t="str">
        <f t="shared" si="661"/>
        <v/>
      </c>
      <c r="Y2500" s="586" t="str">
        <f t="shared" si="653"/>
        <v/>
      </c>
      <c r="Z2500" s="586" t="str">
        <f t="shared" si="660"/>
        <v/>
      </c>
    </row>
    <row r="2501" spans="1:26" ht="12" hidden="1" thickBot="1" x14ac:dyDescent="0.25">
      <c r="A2501" s="567" t="s">
        <v>168</v>
      </c>
      <c r="B2501" s="644" t="s">
        <v>168</v>
      </c>
      <c r="C2501" s="645"/>
      <c r="D2501" s="422" t="s">
        <v>252</v>
      </c>
      <c r="E2501" s="423"/>
      <c r="F2501" s="424">
        <v>20</v>
      </c>
      <c r="G2501" s="425">
        <f>VLOOKUP(D2498,'[2]ENSAIOS DE ORÇAMENTO'!$C$3:$L$79,6,FALSE)</f>
        <v>2.8094099999999997</v>
      </c>
      <c r="H2501" s="663">
        <f t="shared" si="671"/>
        <v>67.650592799999998</v>
      </c>
      <c r="I2501" s="420"/>
      <c r="J2501" s="420"/>
      <c r="K2501" s="421">
        <f t="shared" si="666"/>
        <v>0</v>
      </c>
      <c r="L2501" s="647"/>
      <c r="M2501" s="723"/>
      <c r="N2501" s="576">
        <f t="shared" si="656"/>
        <v>0</v>
      </c>
      <c r="O2501" s="577">
        <f t="shared" si="669"/>
        <v>0</v>
      </c>
      <c r="P2501" s="578">
        <f t="shared" si="670"/>
        <v>0</v>
      </c>
      <c r="Q2501" s="765"/>
      <c r="R2501" s="723"/>
      <c r="S2501" s="723"/>
      <c r="T2501" s="577">
        <f t="shared" si="667"/>
        <v>0</v>
      </c>
      <c r="U2501" s="578">
        <f t="shared" si="668"/>
        <v>0</v>
      </c>
      <c r="V2501" s="579"/>
      <c r="W2501" s="566" t="str">
        <f>IF(U2498&gt;0,"xx",IF(P2498&gt;0,"xy",""))</f>
        <v/>
      </c>
      <c r="X2501" s="586" t="str">
        <f t="shared" si="661"/>
        <v/>
      </c>
      <c r="Y2501" s="586" t="str">
        <f t="shared" si="653"/>
        <v/>
      </c>
      <c r="Z2501" s="586" t="str">
        <f t="shared" si="660"/>
        <v/>
      </c>
    </row>
    <row r="2502" spans="1:26" ht="12" hidden="1" thickBot="1" x14ac:dyDescent="0.25">
      <c r="A2502" s="567" t="s">
        <v>168</v>
      </c>
      <c r="B2502" s="644" t="s">
        <v>168</v>
      </c>
      <c r="C2502" s="645"/>
      <c r="D2502" s="422" t="s">
        <v>400</v>
      </c>
      <c r="E2502" s="423"/>
      <c r="F2502" s="424">
        <v>30</v>
      </c>
      <c r="G2502" s="425">
        <f>VLOOKUP(D2498,'[2]ENSAIOS DE ORÇAMENTO'!$C$3:$L$79,3,FALSE)</f>
        <v>0</v>
      </c>
      <c r="H2502" s="663">
        <f t="shared" si="671"/>
        <v>0</v>
      </c>
      <c r="I2502" s="420"/>
      <c r="J2502" s="420"/>
      <c r="K2502" s="421">
        <f t="shared" si="666"/>
        <v>0</v>
      </c>
      <c r="L2502" s="647"/>
      <c r="M2502" s="723"/>
      <c r="N2502" s="576">
        <f t="shared" si="656"/>
        <v>0</v>
      </c>
      <c r="O2502" s="577">
        <f t="shared" si="669"/>
        <v>0</v>
      </c>
      <c r="P2502" s="578">
        <f t="shared" si="670"/>
        <v>0</v>
      </c>
      <c r="Q2502" s="765"/>
      <c r="R2502" s="723"/>
      <c r="S2502" s="723"/>
      <c r="T2502" s="577">
        <f t="shared" si="667"/>
        <v>0</v>
      </c>
      <c r="U2502" s="578">
        <f t="shared" si="668"/>
        <v>0</v>
      </c>
      <c r="V2502" s="579"/>
      <c r="W2502" s="566" t="str">
        <f>IF(U2498&gt;0,"xx",IF(P2498&gt;0,"xy",""))</f>
        <v/>
      </c>
      <c r="X2502" s="586" t="str">
        <f t="shared" si="661"/>
        <v/>
      </c>
      <c r="Y2502" s="586" t="str">
        <f t="shared" si="653"/>
        <v/>
      </c>
      <c r="Z2502" s="586" t="str">
        <f t="shared" si="660"/>
        <v/>
      </c>
    </row>
    <row r="2503" spans="1:26" ht="12" hidden="1" thickBot="1" x14ac:dyDescent="0.25">
      <c r="A2503" s="567" t="s">
        <v>168</v>
      </c>
      <c r="B2503" s="644" t="s">
        <v>168</v>
      </c>
      <c r="C2503" s="645"/>
      <c r="D2503" s="422" t="s">
        <v>401</v>
      </c>
      <c r="E2503" s="423"/>
      <c r="F2503" s="424">
        <v>500</v>
      </c>
      <c r="G2503" s="425">
        <f>VLOOKUP(D2498,'[2]ENSAIOS DE ORÇAMENTO'!$C$3:$L$79,10,FALSE)</f>
        <v>0</v>
      </c>
      <c r="H2503" s="649">
        <f>IF(F2503&lt;=30,(0.78*F2503+7.82)*G2503,((0.78*30+7.82)+0.78*(F2503-30))*G2503)</f>
        <v>0</v>
      </c>
      <c r="I2503" s="420"/>
      <c r="J2503" s="420"/>
      <c r="K2503" s="421">
        <f t="shared" si="666"/>
        <v>0</v>
      </c>
      <c r="L2503" s="647"/>
      <c r="M2503" s="723"/>
      <c r="N2503" s="576">
        <f t="shared" si="656"/>
        <v>0</v>
      </c>
      <c r="O2503" s="577">
        <f t="shared" si="669"/>
        <v>0</v>
      </c>
      <c r="P2503" s="578">
        <f t="shared" si="670"/>
        <v>0</v>
      </c>
      <c r="Q2503" s="765"/>
      <c r="R2503" s="723"/>
      <c r="S2503" s="723"/>
      <c r="T2503" s="577">
        <f t="shared" si="667"/>
        <v>0</v>
      </c>
      <c r="U2503" s="578">
        <f t="shared" si="668"/>
        <v>0</v>
      </c>
      <c r="V2503" s="579"/>
      <c r="W2503" s="566" t="str">
        <f>IF(U2498&gt;0,"xx",IF(P2498&gt;0,"xy",""))</f>
        <v/>
      </c>
      <c r="X2503" s="586" t="str">
        <f t="shared" si="661"/>
        <v/>
      </c>
      <c r="Y2503" s="586" t="str">
        <f t="shared" si="653"/>
        <v/>
      </c>
      <c r="Z2503" s="586" t="str">
        <f t="shared" si="660"/>
        <v/>
      </c>
    </row>
    <row r="2504" spans="1:26" ht="12" hidden="1" thickBot="1" x14ac:dyDescent="0.25">
      <c r="A2504" s="567" t="s">
        <v>48</v>
      </c>
      <c r="B2504" s="644" t="s">
        <v>48</v>
      </c>
      <c r="C2504" s="645" t="s">
        <v>206</v>
      </c>
      <c r="D2504" s="422" t="s">
        <v>160</v>
      </c>
      <c r="E2504" s="423"/>
      <c r="F2504" s="424"/>
      <c r="G2504" s="425"/>
      <c r="H2504" s="651">
        <f>SUM(H2505:H2509)</f>
        <v>945.5083653800001</v>
      </c>
      <c r="I2504" s="420">
        <f>VLOOKUP(D2504,'[2]ENSAIOS DE ORÇAMENTO'!$C$3:$L$79,8,FALSE)</f>
        <v>6301.7848786111099</v>
      </c>
      <c r="J2504" s="420">
        <f>IF(ISBLANK(I2504),"",SUM(H2504:I2504))</f>
        <v>7247.2932439911101</v>
      </c>
      <c r="K2504" s="421">
        <f t="shared" si="666"/>
        <v>8610.51</v>
      </c>
      <c r="L2504" s="647" t="s">
        <v>21</v>
      </c>
      <c r="M2504" s="576"/>
      <c r="N2504" s="576">
        <f t="shared" si="656"/>
        <v>0</v>
      </c>
      <c r="O2504" s="577">
        <f t="shared" si="669"/>
        <v>0</v>
      </c>
      <c r="P2504" s="578">
        <f t="shared" si="670"/>
        <v>0</v>
      </c>
      <c r="Q2504" s="765"/>
      <c r="R2504" s="576">
        <f>M2504</f>
        <v>0</v>
      </c>
      <c r="S2504" s="576">
        <f>N2504</f>
        <v>0</v>
      </c>
      <c r="T2504" s="577">
        <f t="shared" si="667"/>
        <v>0</v>
      </c>
      <c r="U2504" s="578">
        <f t="shared" si="668"/>
        <v>0</v>
      </c>
      <c r="V2504" s="579"/>
      <c r="W2504" s="566"/>
      <c r="X2504" s="586" t="str">
        <f t="shared" si="661"/>
        <v/>
      </c>
      <c r="Y2504" s="586" t="str">
        <f t="shared" ref="Y2504:Y2567" si="672">IF(W2504="X","x",IF(W2504="y","x",IF(W2504="xx","x",IF(U2504&gt;0,"x",""))))</f>
        <v/>
      </c>
      <c r="Z2504" s="586" t="str">
        <f t="shared" si="660"/>
        <v/>
      </c>
    </row>
    <row r="2505" spans="1:26" ht="12" hidden="1" thickBot="1" x14ac:dyDescent="0.25">
      <c r="A2505" s="567" t="s">
        <v>168</v>
      </c>
      <c r="B2505" s="644" t="s">
        <v>168</v>
      </c>
      <c r="C2505" s="645"/>
      <c r="D2505" s="422" t="s">
        <v>212</v>
      </c>
      <c r="E2505" s="423"/>
      <c r="F2505" s="424">
        <v>500</v>
      </c>
      <c r="G2505" s="425">
        <f>VLOOKUP(D2504,'[2]ENSAIOS DE ORÇAMENTO'!$C$3:$L$79,4,FALSE)</f>
        <v>0.89753699999999992</v>
      </c>
      <c r="H2505" s="649">
        <f>IF(F2505&lt;=30,(0.78*F2505+7.82)*G2505,((0.78*30+7.82)+0.78*(F2505-30))*G2505)</f>
        <v>357.05816934000001</v>
      </c>
      <c r="I2505" s="420"/>
      <c r="J2505" s="420"/>
      <c r="K2505" s="421">
        <f t="shared" si="666"/>
        <v>0</v>
      </c>
      <c r="L2505" s="647"/>
      <c r="M2505" s="723"/>
      <c r="N2505" s="576">
        <f t="shared" si="656"/>
        <v>0</v>
      </c>
      <c r="O2505" s="577">
        <f t="shared" si="669"/>
        <v>0</v>
      </c>
      <c r="P2505" s="578">
        <f t="shared" si="670"/>
        <v>0</v>
      </c>
      <c r="Q2505" s="765"/>
      <c r="R2505" s="723"/>
      <c r="S2505" s="723"/>
      <c r="T2505" s="577">
        <f t="shared" si="667"/>
        <v>0</v>
      </c>
      <c r="U2505" s="578">
        <f t="shared" si="668"/>
        <v>0</v>
      </c>
      <c r="V2505" s="579"/>
      <c r="W2505" s="566" t="str">
        <f>IF(U2504&gt;0,"xx",IF(P2504&gt;0,"xy",""))</f>
        <v/>
      </c>
      <c r="X2505" s="586" t="str">
        <f t="shared" si="661"/>
        <v/>
      </c>
      <c r="Y2505" s="586" t="str">
        <f t="shared" si="672"/>
        <v/>
      </c>
      <c r="Z2505" s="586" t="str">
        <f t="shared" si="660"/>
        <v/>
      </c>
    </row>
    <row r="2506" spans="1:26" ht="12" hidden="1" thickBot="1" x14ac:dyDescent="0.25">
      <c r="A2506" s="567" t="s">
        <v>168</v>
      </c>
      <c r="B2506" s="644" t="s">
        <v>168</v>
      </c>
      <c r="C2506" s="645"/>
      <c r="D2506" s="422" t="s">
        <v>248</v>
      </c>
      <c r="E2506" s="423"/>
      <c r="F2506" s="424">
        <v>180</v>
      </c>
      <c r="G2506" s="425">
        <f>VLOOKUP(D2504,'[2]ENSAIOS DE ORÇAMENTO'!$C$3:$L$79,5,FALSE)</f>
        <v>2.6274289999999998</v>
      </c>
      <c r="H2506" s="663">
        <f t="shared" ref="H2506:H2508" si="673">IF(F2506&lt;=30,(1.07*F2506+2.68)*G2506,((1.07*30+2.68)+1.07*(F2506-30))*G2506)</f>
        <v>513.08433511999999</v>
      </c>
      <c r="I2506" s="420"/>
      <c r="J2506" s="420"/>
      <c r="K2506" s="421">
        <f t="shared" si="666"/>
        <v>0</v>
      </c>
      <c r="L2506" s="647"/>
      <c r="M2506" s="723"/>
      <c r="N2506" s="576">
        <f t="shared" si="656"/>
        <v>0</v>
      </c>
      <c r="O2506" s="577">
        <f t="shared" si="669"/>
        <v>0</v>
      </c>
      <c r="P2506" s="578">
        <f t="shared" si="670"/>
        <v>0</v>
      </c>
      <c r="Q2506" s="765"/>
      <c r="R2506" s="723"/>
      <c r="S2506" s="723"/>
      <c r="T2506" s="577">
        <f t="shared" si="667"/>
        <v>0</v>
      </c>
      <c r="U2506" s="578">
        <f t="shared" si="668"/>
        <v>0</v>
      </c>
      <c r="V2506" s="579"/>
      <c r="W2506" s="566" t="str">
        <f>IF(U2504&gt;0,"xx",IF(P2504&gt;0,"xy",""))</f>
        <v/>
      </c>
      <c r="X2506" s="586" t="str">
        <f t="shared" si="661"/>
        <v/>
      </c>
      <c r="Y2506" s="586" t="str">
        <f t="shared" si="672"/>
        <v/>
      </c>
      <c r="Z2506" s="586" t="str">
        <f t="shared" si="660"/>
        <v/>
      </c>
    </row>
    <row r="2507" spans="1:26" ht="12" hidden="1" thickBot="1" x14ac:dyDescent="0.25">
      <c r="A2507" s="567" t="s">
        <v>168</v>
      </c>
      <c r="B2507" s="644" t="s">
        <v>168</v>
      </c>
      <c r="C2507" s="645"/>
      <c r="D2507" s="422" t="s">
        <v>252</v>
      </c>
      <c r="E2507" s="423"/>
      <c r="F2507" s="424">
        <v>20</v>
      </c>
      <c r="G2507" s="425">
        <f>VLOOKUP(D2504,'[2]ENSAIOS DE ORÇAMENTO'!$C$3:$L$79,6,FALSE)</f>
        <v>3.1298114999999997</v>
      </c>
      <c r="H2507" s="663">
        <f t="shared" si="673"/>
        <v>75.365860920000003</v>
      </c>
      <c r="I2507" s="420"/>
      <c r="J2507" s="420"/>
      <c r="K2507" s="421">
        <f t="shared" si="666"/>
        <v>0</v>
      </c>
      <c r="L2507" s="647"/>
      <c r="M2507" s="723"/>
      <c r="N2507" s="576">
        <f t="shared" si="656"/>
        <v>0</v>
      </c>
      <c r="O2507" s="577">
        <f t="shared" si="669"/>
        <v>0</v>
      </c>
      <c r="P2507" s="578">
        <f t="shared" si="670"/>
        <v>0</v>
      </c>
      <c r="Q2507" s="765"/>
      <c r="R2507" s="723"/>
      <c r="S2507" s="723"/>
      <c r="T2507" s="577">
        <f t="shared" si="667"/>
        <v>0</v>
      </c>
      <c r="U2507" s="578">
        <f t="shared" si="668"/>
        <v>0</v>
      </c>
      <c r="V2507" s="579"/>
      <c r="W2507" s="566" t="str">
        <f>IF(U2504&gt;0,"xx",IF(P2504&gt;0,"xy",""))</f>
        <v/>
      </c>
      <c r="X2507" s="586" t="str">
        <f t="shared" si="661"/>
        <v/>
      </c>
      <c r="Y2507" s="586" t="str">
        <f t="shared" si="672"/>
        <v/>
      </c>
      <c r="Z2507" s="586" t="str">
        <f t="shared" si="660"/>
        <v/>
      </c>
    </row>
    <row r="2508" spans="1:26" ht="12" hidden="1" thickBot="1" x14ac:dyDescent="0.25">
      <c r="A2508" s="567" t="s">
        <v>168</v>
      </c>
      <c r="B2508" s="644" t="s">
        <v>168</v>
      </c>
      <c r="C2508" s="645"/>
      <c r="D2508" s="422" t="s">
        <v>400</v>
      </c>
      <c r="E2508" s="423"/>
      <c r="F2508" s="424">
        <v>30</v>
      </c>
      <c r="G2508" s="425">
        <f>VLOOKUP(D2504,'[2]ENSAIOS DE ORÇAMENTO'!$C$3:$L$79,3,FALSE)</f>
        <v>0</v>
      </c>
      <c r="H2508" s="663">
        <f t="shared" si="673"/>
        <v>0</v>
      </c>
      <c r="I2508" s="420"/>
      <c r="J2508" s="420"/>
      <c r="K2508" s="421">
        <f t="shared" si="666"/>
        <v>0</v>
      </c>
      <c r="L2508" s="647"/>
      <c r="M2508" s="723"/>
      <c r="N2508" s="576">
        <f t="shared" si="656"/>
        <v>0</v>
      </c>
      <c r="O2508" s="577">
        <f t="shared" si="669"/>
        <v>0</v>
      </c>
      <c r="P2508" s="578">
        <f t="shared" si="670"/>
        <v>0</v>
      </c>
      <c r="Q2508" s="765"/>
      <c r="R2508" s="723"/>
      <c r="S2508" s="723"/>
      <c r="T2508" s="577">
        <f t="shared" si="667"/>
        <v>0</v>
      </c>
      <c r="U2508" s="578">
        <f t="shared" si="668"/>
        <v>0</v>
      </c>
      <c r="V2508" s="579"/>
      <c r="W2508" s="566" t="str">
        <f>IF(U2504&gt;0,"xx",IF(P2504&gt;0,"xy",""))</f>
        <v/>
      </c>
      <c r="X2508" s="586" t="str">
        <f t="shared" si="661"/>
        <v/>
      </c>
      <c r="Y2508" s="586" t="str">
        <f t="shared" si="672"/>
        <v/>
      </c>
      <c r="Z2508" s="586" t="str">
        <f t="shared" si="660"/>
        <v/>
      </c>
    </row>
    <row r="2509" spans="1:26" ht="12" hidden="1" thickBot="1" x14ac:dyDescent="0.25">
      <c r="A2509" s="567" t="s">
        <v>168</v>
      </c>
      <c r="B2509" s="644" t="s">
        <v>168</v>
      </c>
      <c r="C2509" s="645"/>
      <c r="D2509" s="422" t="s">
        <v>401</v>
      </c>
      <c r="E2509" s="423"/>
      <c r="F2509" s="424">
        <v>500</v>
      </c>
      <c r="G2509" s="425">
        <f>VLOOKUP(D2504,'[2]ENSAIOS DE ORÇAMENTO'!$C$3:$L$79,10,FALSE)</f>
        <v>0</v>
      </c>
      <c r="H2509" s="649">
        <f>IF(F2509&lt;=30,(0.78*F2509+7.82)*G2509,((0.78*30+7.82)+0.78*(F2509-30))*G2509)</f>
        <v>0</v>
      </c>
      <c r="I2509" s="420"/>
      <c r="J2509" s="420"/>
      <c r="K2509" s="421">
        <f t="shared" si="666"/>
        <v>0</v>
      </c>
      <c r="L2509" s="647"/>
      <c r="M2509" s="723"/>
      <c r="N2509" s="576">
        <f t="shared" si="656"/>
        <v>0</v>
      </c>
      <c r="O2509" s="577">
        <f t="shared" si="669"/>
        <v>0</v>
      </c>
      <c r="P2509" s="578">
        <f t="shared" si="670"/>
        <v>0</v>
      </c>
      <c r="Q2509" s="765"/>
      <c r="R2509" s="723"/>
      <c r="S2509" s="723"/>
      <c r="T2509" s="577">
        <f t="shared" si="667"/>
        <v>0</v>
      </c>
      <c r="U2509" s="578">
        <f t="shared" si="668"/>
        <v>0</v>
      </c>
      <c r="V2509" s="579"/>
      <c r="W2509" s="566" t="str">
        <f>IF(U2504&gt;0,"xx",IF(P2504&gt;0,"xy",""))</f>
        <v/>
      </c>
      <c r="X2509" s="586" t="str">
        <f t="shared" si="661"/>
        <v/>
      </c>
      <c r="Y2509" s="586" t="str">
        <f t="shared" si="672"/>
        <v/>
      </c>
      <c r="Z2509" s="586" t="str">
        <f t="shared" si="660"/>
        <v/>
      </c>
    </row>
    <row r="2510" spans="1:26" ht="12" hidden="1" thickBot="1" x14ac:dyDescent="0.25">
      <c r="A2510" s="567" t="s">
        <v>49</v>
      </c>
      <c r="B2510" s="644" t="s">
        <v>49</v>
      </c>
      <c r="C2510" s="645" t="s">
        <v>206</v>
      </c>
      <c r="D2510" s="422" t="s">
        <v>161</v>
      </c>
      <c r="E2510" s="423"/>
      <c r="F2510" s="424"/>
      <c r="G2510" s="425"/>
      <c r="H2510" s="651">
        <f>SUM(H2511:H2515)</f>
        <v>1175.1788129870001</v>
      </c>
      <c r="I2510" s="420">
        <f>VLOOKUP(D2510,'[2]ENSAIOS DE ORÇAMENTO'!$C$3:$L$79,8,FALSE)</f>
        <v>7680.4985115138879</v>
      </c>
      <c r="J2510" s="420">
        <f>IF(ISBLANK(I2510),"",SUM(H2510:I2510))</f>
        <v>8855.6773245008881</v>
      </c>
      <c r="K2510" s="421">
        <f t="shared" si="666"/>
        <v>10521.43</v>
      </c>
      <c r="L2510" s="647" t="s">
        <v>21</v>
      </c>
      <c r="M2510" s="576"/>
      <c r="N2510" s="576">
        <f t="shared" si="656"/>
        <v>0</v>
      </c>
      <c r="O2510" s="577">
        <f t="shared" si="669"/>
        <v>0</v>
      </c>
      <c r="P2510" s="578">
        <f t="shared" si="670"/>
        <v>0</v>
      </c>
      <c r="Q2510" s="765"/>
      <c r="R2510" s="576">
        <f>M2510</f>
        <v>0</v>
      </c>
      <c r="S2510" s="576">
        <f>N2510</f>
        <v>0</v>
      </c>
      <c r="T2510" s="577">
        <f t="shared" si="667"/>
        <v>0</v>
      </c>
      <c r="U2510" s="578">
        <f t="shared" si="668"/>
        <v>0</v>
      </c>
      <c r="V2510" s="579"/>
      <c r="W2510" s="566"/>
      <c r="X2510" s="586" t="str">
        <f t="shared" si="661"/>
        <v/>
      </c>
      <c r="Y2510" s="586" t="str">
        <f t="shared" si="672"/>
        <v/>
      </c>
      <c r="Z2510" s="586" t="str">
        <f t="shared" si="660"/>
        <v/>
      </c>
    </row>
    <row r="2511" spans="1:26" ht="12" hidden="1" thickBot="1" x14ac:dyDescent="0.25">
      <c r="A2511" s="567" t="s">
        <v>168</v>
      </c>
      <c r="B2511" s="644" t="s">
        <v>168</v>
      </c>
      <c r="C2511" s="645"/>
      <c r="D2511" s="422" t="s">
        <v>212</v>
      </c>
      <c r="E2511" s="423"/>
      <c r="F2511" s="424">
        <v>500</v>
      </c>
      <c r="G2511" s="425">
        <f>VLOOKUP(D2510,'[2]ENSAIOS DE ORÇAMENTO'!$C$3:$L$79,4,FALSE)</f>
        <v>1.1179675499999999</v>
      </c>
      <c r="H2511" s="649">
        <f>IF(F2511&lt;=30,(0.78*F2511+7.82)*G2511,((0.78*30+7.82)+0.78*(F2511-30))*G2511)</f>
        <v>444.74985074100005</v>
      </c>
      <c r="I2511" s="420"/>
      <c r="J2511" s="420"/>
      <c r="K2511" s="421">
        <f t="shared" si="666"/>
        <v>0</v>
      </c>
      <c r="L2511" s="647"/>
      <c r="M2511" s="723"/>
      <c r="N2511" s="576">
        <f t="shared" si="656"/>
        <v>0</v>
      </c>
      <c r="O2511" s="577">
        <f t="shared" si="669"/>
        <v>0</v>
      </c>
      <c r="P2511" s="578">
        <f t="shared" si="670"/>
        <v>0</v>
      </c>
      <c r="Q2511" s="765"/>
      <c r="R2511" s="723"/>
      <c r="S2511" s="723"/>
      <c r="T2511" s="577">
        <f t="shared" si="667"/>
        <v>0</v>
      </c>
      <c r="U2511" s="578">
        <f t="shared" si="668"/>
        <v>0</v>
      </c>
      <c r="V2511" s="579"/>
      <c r="W2511" s="566" t="str">
        <f>IF(U2510&gt;0,"xx",IF(P2510&gt;0,"xy",""))</f>
        <v/>
      </c>
      <c r="X2511" s="586" t="str">
        <f t="shared" si="661"/>
        <v/>
      </c>
      <c r="Y2511" s="586" t="str">
        <f t="shared" si="672"/>
        <v/>
      </c>
      <c r="Z2511" s="586" t="str">
        <f t="shared" si="660"/>
        <v/>
      </c>
    </row>
    <row r="2512" spans="1:26" ht="12" hidden="1" thickBot="1" x14ac:dyDescent="0.25">
      <c r="A2512" s="567" t="s">
        <v>168</v>
      </c>
      <c r="B2512" s="644" t="s">
        <v>168</v>
      </c>
      <c r="C2512" s="645"/>
      <c r="D2512" s="422" t="s">
        <v>248</v>
      </c>
      <c r="E2512" s="423"/>
      <c r="F2512" s="424">
        <v>180</v>
      </c>
      <c r="G2512" s="425">
        <f>VLOOKUP(D2510,'[2]ENSAIOS DE ORÇAMENTO'!$C$3:$L$79,5,FALSE)</f>
        <v>3.2610033499999997</v>
      </c>
      <c r="H2512" s="663">
        <f t="shared" ref="H2512:H2514" si="674">IF(F2512&lt;=30,(1.07*F2512+2.68)*G2512,((1.07*30+2.68)+1.07*(F2512-30))*G2512)</f>
        <v>636.8087341879999</v>
      </c>
      <c r="I2512" s="420"/>
      <c r="J2512" s="420"/>
      <c r="K2512" s="421">
        <f t="shared" si="666"/>
        <v>0</v>
      </c>
      <c r="L2512" s="647"/>
      <c r="M2512" s="723"/>
      <c r="N2512" s="576">
        <f t="shared" si="656"/>
        <v>0</v>
      </c>
      <c r="O2512" s="577">
        <f t="shared" si="669"/>
        <v>0</v>
      </c>
      <c r="P2512" s="578">
        <f t="shared" si="670"/>
        <v>0</v>
      </c>
      <c r="Q2512" s="765"/>
      <c r="R2512" s="723"/>
      <c r="S2512" s="723"/>
      <c r="T2512" s="577">
        <f t="shared" si="667"/>
        <v>0</v>
      </c>
      <c r="U2512" s="578">
        <f t="shared" si="668"/>
        <v>0</v>
      </c>
      <c r="V2512" s="579"/>
      <c r="W2512" s="566" t="str">
        <f>IF(U2510&gt;0,"xx",IF(P2510&gt;0,"xy",""))</f>
        <v/>
      </c>
      <c r="X2512" s="586" t="str">
        <f t="shared" si="661"/>
        <v/>
      </c>
      <c r="Y2512" s="586" t="str">
        <f t="shared" si="672"/>
        <v/>
      </c>
      <c r="Z2512" s="586" t="str">
        <f t="shared" si="660"/>
        <v/>
      </c>
    </row>
    <row r="2513" spans="1:26" ht="12" hidden="1" thickBot="1" x14ac:dyDescent="0.25">
      <c r="A2513" s="567" t="s">
        <v>168</v>
      </c>
      <c r="B2513" s="644" t="s">
        <v>168</v>
      </c>
      <c r="C2513" s="645"/>
      <c r="D2513" s="422" t="s">
        <v>252</v>
      </c>
      <c r="E2513" s="423"/>
      <c r="F2513" s="424">
        <v>20</v>
      </c>
      <c r="G2513" s="425">
        <f>VLOOKUP(D2510,'[2]ENSAIOS DE ORÇAMENTO'!$C$3:$L$79,6,FALSE)</f>
        <v>3.8878832249999999</v>
      </c>
      <c r="H2513" s="663">
        <f t="shared" si="674"/>
        <v>93.620228058000009</v>
      </c>
      <c r="I2513" s="420"/>
      <c r="J2513" s="420"/>
      <c r="K2513" s="421">
        <f t="shared" si="666"/>
        <v>0</v>
      </c>
      <c r="L2513" s="647"/>
      <c r="M2513" s="723"/>
      <c r="N2513" s="576">
        <f t="shared" si="656"/>
        <v>0</v>
      </c>
      <c r="O2513" s="577">
        <f t="shared" si="669"/>
        <v>0</v>
      </c>
      <c r="P2513" s="578">
        <f t="shared" si="670"/>
        <v>0</v>
      </c>
      <c r="Q2513" s="765"/>
      <c r="R2513" s="723"/>
      <c r="S2513" s="723"/>
      <c r="T2513" s="577">
        <f t="shared" si="667"/>
        <v>0</v>
      </c>
      <c r="U2513" s="578">
        <f t="shared" si="668"/>
        <v>0</v>
      </c>
      <c r="V2513" s="579"/>
      <c r="W2513" s="566" t="str">
        <f>IF(U2510&gt;0,"xx",IF(P2510&gt;0,"xy",""))</f>
        <v/>
      </c>
      <c r="X2513" s="586" t="str">
        <f t="shared" si="661"/>
        <v/>
      </c>
      <c r="Y2513" s="586" t="str">
        <f t="shared" si="672"/>
        <v/>
      </c>
      <c r="Z2513" s="586" t="str">
        <f t="shared" si="660"/>
        <v/>
      </c>
    </row>
    <row r="2514" spans="1:26" ht="12" hidden="1" thickBot="1" x14ac:dyDescent="0.25">
      <c r="A2514" s="567" t="s">
        <v>168</v>
      </c>
      <c r="B2514" s="644" t="s">
        <v>168</v>
      </c>
      <c r="C2514" s="645"/>
      <c r="D2514" s="422" t="s">
        <v>400</v>
      </c>
      <c r="E2514" s="423"/>
      <c r="F2514" s="424">
        <v>30</v>
      </c>
      <c r="G2514" s="425">
        <f>VLOOKUP(D2510,'[2]ENSAIOS DE ORÇAMENTO'!$C$3:$L$79,3,FALSE)</f>
        <v>0</v>
      </c>
      <c r="H2514" s="663">
        <f t="shared" si="674"/>
        <v>0</v>
      </c>
      <c r="I2514" s="420"/>
      <c r="J2514" s="420"/>
      <c r="K2514" s="421">
        <f t="shared" si="666"/>
        <v>0</v>
      </c>
      <c r="L2514" s="647"/>
      <c r="M2514" s="723"/>
      <c r="N2514" s="576">
        <f t="shared" si="656"/>
        <v>0</v>
      </c>
      <c r="O2514" s="577">
        <f t="shared" si="669"/>
        <v>0</v>
      </c>
      <c r="P2514" s="578">
        <f t="shared" si="670"/>
        <v>0</v>
      </c>
      <c r="Q2514" s="765"/>
      <c r="R2514" s="723"/>
      <c r="S2514" s="723"/>
      <c r="T2514" s="577">
        <f t="shared" si="667"/>
        <v>0</v>
      </c>
      <c r="U2514" s="578">
        <f t="shared" si="668"/>
        <v>0</v>
      </c>
      <c r="V2514" s="579"/>
      <c r="W2514" s="566" t="str">
        <f>IF(U2510&gt;0,"xx",IF(P2510&gt;0,"xy",""))</f>
        <v/>
      </c>
      <c r="X2514" s="586" t="str">
        <f t="shared" si="661"/>
        <v/>
      </c>
      <c r="Y2514" s="586" t="str">
        <f t="shared" si="672"/>
        <v/>
      </c>
      <c r="Z2514" s="586" t="str">
        <f t="shared" si="660"/>
        <v/>
      </c>
    </row>
    <row r="2515" spans="1:26" ht="12" hidden="1" thickBot="1" x14ac:dyDescent="0.25">
      <c r="A2515" s="567" t="s">
        <v>168</v>
      </c>
      <c r="B2515" s="644" t="s">
        <v>168</v>
      </c>
      <c r="C2515" s="645"/>
      <c r="D2515" s="422" t="s">
        <v>401</v>
      </c>
      <c r="E2515" s="423"/>
      <c r="F2515" s="424">
        <v>500</v>
      </c>
      <c r="G2515" s="425">
        <f>VLOOKUP(D2510,'[2]ENSAIOS DE ORÇAMENTO'!$C$3:$L$79,10,FALSE)</f>
        <v>0</v>
      </c>
      <c r="H2515" s="649">
        <f>IF(F2515&lt;=30,(0.78*F2515+7.82)*G2515,((0.78*30+7.82)+0.78*(F2515-30))*G2515)</f>
        <v>0</v>
      </c>
      <c r="I2515" s="420"/>
      <c r="J2515" s="420"/>
      <c r="K2515" s="421">
        <f t="shared" si="666"/>
        <v>0</v>
      </c>
      <c r="L2515" s="647"/>
      <c r="M2515" s="723"/>
      <c r="N2515" s="576">
        <f t="shared" si="656"/>
        <v>0</v>
      </c>
      <c r="O2515" s="577">
        <f t="shared" si="669"/>
        <v>0</v>
      </c>
      <c r="P2515" s="578">
        <f t="shared" si="670"/>
        <v>0</v>
      </c>
      <c r="Q2515" s="765"/>
      <c r="R2515" s="723"/>
      <c r="S2515" s="723"/>
      <c r="T2515" s="577">
        <f t="shared" si="667"/>
        <v>0</v>
      </c>
      <c r="U2515" s="578">
        <f t="shared" si="668"/>
        <v>0</v>
      </c>
      <c r="V2515" s="579"/>
      <c r="W2515" s="566" t="str">
        <f>IF(U2510&gt;0,"xx",IF(P2510&gt;0,"xy",""))</f>
        <v/>
      </c>
      <c r="X2515" s="586" t="str">
        <f t="shared" si="661"/>
        <v/>
      </c>
      <c r="Y2515" s="586" t="str">
        <f t="shared" si="672"/>
        <v/>
      </c>
      <c r="Z2515" s="586" t="str">
        <f t="shared" si="660"/>
        <v/>
      </c>
    </row>
    <row r="2516" spans="1:26" ht="12" hidden="1" thickBot="1" x14ac:dyDescent="0.25">
      <c r="A2516" s="567" t="s">
        <v>50</v>
      </c>
      <c r="B2516" s="644" t="s">
        <v>50</v>
      </c>
      <c r="C2516" s="645" t="s">
        <v>206</v>
      </c>
      <c r="D2516" s="422" t="s">
        <v>422</v>
      </c>
      <c r="E2516" s="423"/>
      <c r="F2516" s="424"/>
      <c r="G2516" s="425"/>
      <c r="H2516" s="651">
        <f>SUM(H2517:H2521)</f>
        <v>115.21103748000003</v>
      </c>
      <c r="I2516" s="420">
        <f>VLOOKUP(D2516,'[2]ENSAIOS DE ORÇAMENTO'!$C$3:$L$79,8,FALSE)</f>
        <v>707.76571000000001</v>
      </c>
      <c r="J2516" s="420">
        <f>IF(ISBLANK(I2516),"",SUM(H2516:I2516))</f>
        <v>822.97674748000009</v>
      </c>
      <c r="K2516" s="421">
        <f t="shared" si="666"/>
        <v>977.78</v>
      </c>
      <c r="L2516" s="647" t="s">
        <v>21</v>
      </c>
      <c r="M2516" s="576"/>
      <c r="N2516" s="576">
        <f t="shared" ref="N2516:N2579" si="675">IF(M2516=0,0,K2516)</f>
        <v>0</v>
      </c>
      <c r="O2516" s="577">
        <f t="shared" si="669"/>
        <v>0</v>
      </c>
      <c r="P2516" s="578">
        <f t="shared" si="670"/>
        <v>0</v>
      </c>
      <c r="Q2516" s="765"/>
      <c r="R2516" s="576">
        <f>M2516</f>
        <v>0</v>
      </c>
      <c r="S2516" s="576">
        <f>N2516</f>
        <v>0</v>
      </c>
      <c r="T2516" s="577">
        <f t="shared" si="667"/>
        <v>0</v>
      </c>
      <c r="U2516" s="578">
        <f t="shared" si="668"/>
        <v>0</v>
      </c>
      <c r="V2516" s="579"/>
      <c r="W2516" s="566"/>
      <c r="X2516" s="586" t="str">
        <f t="shared" si="661"/>
        <v/>
      </c>
      <c r="Y2516" s="586" t="str">
        <f t="shared" si="672"/>
        <v/>
      </c>
      <c r="Z2516" s="586" t="str">
        <f t="shared" si="660"/>
        <v/>
      </c>
    </row>
    <row r="2517" spans="1:26" ht="12" hidden="1" thickBot="1" x14ac:dyDescent="0.25">
      <c r="A2517" s="567" t="s">
        <v>168</v>
      </c>
      <c r="B2517" s="644" t="s">
        <v>168</v>
      </c>
      <c r="C2517" s="645"/>
      <c r="D2517" s="422" t="s">
        <v>212</v>
      </c>
      <c r="E2517" s="423"/>
      <c r="F2517" s="424">
        <v>500</v>
      </c>
      <c r="G2517" s="425">
        <f>VLOOKUP(D2516,'[2]ENSAIOS DE ORÇAMENTO'!$C$3:$L$79,4,FALSE)</f>
        <v>0.11253000000000002</v>
      </c>
      <c r="H2517" s="649">
        <f>IF(F2517&lt;=30,(0.78*F2517+7.82)*G2517,((0.78*30+7.82)+0.78*(F2517-30))*G2517)</f>
        <v>44.766684600000012</v>
      </c>
      <c r="I2517" s="420"/>
      <c r="J2517" s="420"/>
      <c r="K2517" s="421">
        <f t="shared" si="666"/>
        <v>0</v>
      </c>
      <c r="L2517" s="647"/>
      <c r="M2517" s="723"/>
      <c r="N2517" s="576">
        <f t="shared" si="675"/>
        <v>0</v>
      </c>
      <c r="O2517" s="577">
        <f t="shared" si="669"/>
        <v>0</v>
      </c>
      <c r="P2517" s="578">
        <f t="shared" si="670"/>
        <v>0</v>
      </c>
      <c r="Q2517" s="765"/>
      <c r="R2517" s="723"/>
      <c r="S2517" s="723"/>
      <c r="T2517" s="577">
        <f t="shared" si="667"/>
        <v>0</v>
      </c>
      <c r="U2517" s="578">
        <f t="shared" si="668"/>
        <v>0</v>
      </c>
      <c r="V2517" s="579"/>
      <c r="W2517" s="566" t="str">
        <f>IF(U2516&gt;0,"xx",IF(P2516&gt;0,"xy",""))</f>
        <v/>
      </c>
      <c r="X2517" s="586" t="str">
        <f t="shared" si="661"/>
        <v/>
      </c>
      <c r="Y2517" s="586" t="str">
        <f t="shared" si="672"/>
        <v/>
      </c>
      <c r="Z2517" s="586" t="str">
        <f t="shared" si="660"/>
        <v/>
      </c>
    </row>
    <row r="2518" spans="1:26" ht="12" hidden="1" thickBot="1" x14ac:dyDescent="0.25">
      <c r="A2518" s="567" t="s">
        <v>168</v>
      </c>
      <c r="B2518" s="644" t="s">
        <v>168</v>
      </c>
      <c r="C2518" s="645"/>
      <c r="D2518" s="422" t="s">
        <v>248</v>
      </c>
      <c r="E2518" s="423"/>
      <c r="F2518" s="424">
        <v>180</v>
      </c>
      <c r="G2518" s="425">
        <f>VLOOKUP(D2516,'[2]ENSAIOS DE ORÇAMENTO'!$C$3:$L$79,5,FALSE)</f>
        <v>0.31406100000000003</v>
      </c>
      <c r="H2518" s="663">
        <f t="shared" ref="H2518:H2520" si="676">IF(F2518&lt;=30,(1.07*F2518+2.68)*G2518,((1.07*30+2.68)+1.07*(F2518-30))*G2518)</f>
        <v>61.32983208000001</v>
      </c>
      <c r="I2518" s="420"/>
      <c r="J2518" s="420"/>
      <c r="K2518" s="421">
        <f t="shared" si="666"/>
        <v>0</v>
      </c>
      <c r="L2518" s="647"/>
      <c r="M2518" s="723"/>
      <c r="N2518" s="576">
        <f t="shared" si="675"/>
        <v>0</v>
      </c>
      <c r="O2518" s="577">
        <f t="shared" si="669"/>
        <v>0</v>
      </c>
      <c r="P2518" s="578">
        <f t="shared" si="670"/>
        <v>0</v>
      </c>
      <c r="Q2518" s="765"/>
      <c r="R2518" s="723"/>
      <c r="S2518" s="723"/>
      <c r="T2518" s="577">
        <f t="shared" si="667"/>
        <v>0</v>
      </c>
      <c r="U2518" s="578">
        <f t="shared" si="668"/>
        <v>0</v>
      </c>
      <c r="V2518" s="579"/>
      <c r="W2518" s="566" t="str">
        <f>IF(U2516&gt;0,"xx",IF(P2516&gt;0,"xy",""))</f>
        <v/>
      </c>
      <c r="X2518" s="586" t="str">
        <f t="shared" si="661"/>
        <v/>
      </c>
      <c r="Y2518" s="586" t="str">
        <f t="shared" si="672"/>
        <v/>
      </c>
      <c r="Z2518" s="586" t="str">
        <f t="shared" si="660"/>
        <v/>
      </c>
    </row>
    <row r="2519" spans="1:26" ht="12" hidden="1" thickBot="1" x14ac:dyDescent="0.25">
      <c r="A2519" s="567" t="s">
        <v>168</v>
      </c>
      <c r="B2519" s="644" t="s">
        <v>168</v>
      </c>
      <c r="C2519" s="645"/>
      <c r="D2519" s="422" t="s">
        <v>252</v>
      </c>
      <c r="E2519" s="423"/>
      <c r="F2519" s="424">
        <v>20</v>
      </c>
      <c r="G2519" s="425">
        <f>VLOOKUP(D2516,'[2]ENSAIOS DE ORÇAMENTO'!$C$3:$L$79,6,FALSE)</f>
        <v>0.37851000000000007</v>
      </c>
      <c r="H2519" s="663">
        <f t="shared" si="676"/>
        <v>9.1145208000000029</v>
      </c>
      <c r="I2519" s="420"/>
      <c r="J2519" s="420"/>
      <c r="K2519" s="421">
        <f t="shared" si="666"/>
        <v>0</v>
      </c>
      <c r="L2519" s="647"/>
      <c r="M2519" s="723"/>
      <c r="N2519" s="576">
        <f t="shared" si="675"/>
        <v>0</v>
      </c>
      <c r="O2519" s="577">
        <f t="shared" si="669"/>
        <v>0</v>
      </c>
      <c r="P2519" s="578">
        <f t="shared" si="670"/>
        <v>0</v>
      </c>
      <c r="Q2519" s="765"/>
      <c r="R2519" s="723"/>
      <c r="S2519" s="723"/>
      <c r="T2519" s="577">
        <f t="shared" si="667"/>
        <v>0</v>
      </c>
      <c r="U2519" s="578">
        <f t="shared" si="668"/>
        <v>0</v>
      </c>
      <c r="V2519" s="579"/>
      <c r="W2519" s="566" t="str">
        <f>IF(U2516&gt;0,"xx",IF(P2516&gt;0,"xy",""))</f>
        <v/>
      </c>
      <c r="X2519" s="586" t="str">
        <f t="shared" si="661"/>
        <v/>
      </c>
      <c r="Y2519" s="586" t="str">
        <f t="shared" si="672"/>
        <v/>
      </c>
      <c r="Z2519" s="586" t="str">
        <f t="shared" si="660"/>
        <v/>
      </c>
    </row>
    <row r="2520" spans="1:26" ht="12" hidden="1" thickBot="1" x14ac:dyDescent="0.25">
      <c r="A2520" s="567" t="s">
        <v>168</v>
      </c>
      <c r="B2520" s="644" t="s">
        <v>168</v>
      </c>
      <c r="C2520" s="645"/>
      <c r="D2520" s="422" t="s">
        <v>400</v>
      </c>
      <c r="E2520" s="423"/>
      <c r="F2520" s="424">
        <v>30</v>
      </c>
      <c r="G2520" s="425">
        <f>VLOOKUP(D2516,'[2]ENSAIOS DE ORÇAMENTO'!$C$3:$L$79,3,FALSE)</f>
        <v>0</v>
      </c>
      <c r="H2520" s="663">
        <f t="shared" si="676"/>
        <v>0</v>
      </c>
      <c r="I2520" s="420"/>
      <c r="J2520" s="420"/>
      <c r="K2520" s="421">
        <f t="shared" si="666"/>
        <v>0</v>
      </c>
      <c r="L2520" s="647"/>
      <c r="M2520" s="723"/>
      <c r="N2520" s="576">
        <f t="shared" si="675"/>
        <v>0</v>
      </c>
      <c r="O2520" s="577">
        <f t="shared" si="669"/>
        <v>0</v>
      </c>
      <c r="P2520" s="578">
        <f t="shared" si="670"/>
        <v>0</v>
      </c>
      <c r="Q2520" s="765"/>
      <c r="R2520" s="723"/>
      <c r="S2520" s="723"/>
      <c r="T2520" s="577">
        <f t="shared" si="667"/>
        <v>0</v>
      </c>
      <c r="U2520" s="578">
        <f t="shared" si="668"/>
        <v>0</v>
      </c>
      <c r="V2520" s="579"/>
      <c r="W2520" s="566" t="str">
        <f>IF(U2516&gt;0,"xx",IF(P2516&gt;0,"xy",""))</f>
        <v/>
      </c>
      <c r="X2520" s="586" t="str">
        <f t="shared" si="661"/>
        <v/>
      </c>
      <c r="Y2520" s="586" t="str">
        <f t="shared" si="672"/>
        <v/>
      </c>
      <c r="Z2520" s="586" t="str">
        <f t="shared" si="660"/>
        <v/>
      </c>
    </row>
    <row r="2521" spans="1:26" ht="12" hidden="1" thickBot="1" x14ac:dyDescent="0.25">
      <c r="A2521" s="567" t="s">
        <v>168</v>
      </c>
      <c r="B2521" s="644" t="s">
        <v>168</v>
      </c>
      <c r="C2521" s="645"/>
      <c r="D2521" s="422" t="s">
        <v>401</v>
      </c>
      <c r="E2521" s="423"/>
      <c r="F2521" s="424">
        <v>500</v>
      </c>
      <c r="G2521" s="425">
        <f>VLOOKUP(D2516,'[2]ENSAIOS DE ORÇAMENTO'!$C$3:$L$79,10,FALSE)</f>
        <v>0</v>
      </c>
      <c r="H2521" s="649">
        <f>IF(F2521&lt;=30,(0.78*F2521+7.82)*G2521,((0.78*30+7.82)+0.78*(F2521-30))*G2521)</f>
        <v>0</v>
      </c>
      <c r="I2521" s="420"/>
      <c r="J2521" s="420"/>
      <c r="K2521" s="421">
        <f t="shared" si="666"/>
        <v>0</v>
      </c>
      <c r="L2521" s="647"/>
      <c r="M2521" s="723"/>
      <c r="N2521" s="576">
        <f t="shared" si="675"/>
        <v>0</v>
      </c>
      <c r="O2521" s="577">
        <f t="shared" si="669"/>
        <v>0</v>
      </c>
      <c r="P2521" s="578">
        <f t="shared" si="670"/>
        <v>0</v>
      </c>
      <c r="Q2521" s="765"/>
      <c r="R2521" s="723"/>
      <c r="S2521" s="723"/>
      <c r="T2521" s="577">
        <f t="shared" si="667"/>
        <v>0</v>
      </c>
      <c r="U2521" s="578">
        <f t="shared" si="668"/>
        <v>0</v>
      </c>
      <c r="V2521" s="579"/>
      <c r="W2521" s="566" t="str">
        <f>IF(U2516&gt;0,"xx",IF(P2516&gt;0,"xy",""))</f>
        <v/>
      </c>
      <c r="X2521" s="586" t="str">
        <f t="shared" si="661"/>
        <v/>
      </c>
      <c r="Y2521" s="586" t="str">
        <f t="shared" si="672"/>
        <v/>
      </c>
      <c r="Z2521" s="586" t="str">
        <f t="shared" si="660"/>
        <v/>
      </c>
    </row>
    <row r="2522" spans="1:26" ht="12" hidden="1" thickBot="1" x14ac:dyDescent="0.25">
      <c r="A2522" s="567" t="s">
        <v>51</v>
      </c>
      <c r="B2522" s="644" t="s">
        <v>51</v>
      </c>
      <c r="C2522" s="645" t="s">
        <v>206</v>
      </c>
      <c r="D2522" s="422" t="s">
        <v>423</v>
      </c>
      <c r="E2522" s="423"/>
      <c r="F2522" s="424"/>
      <c r="G2522" s="425"/>
      <c r="H2522" s="651">
        <f>SUM(H2523:H2527)</f>
        <v>125.34690588000004</v>
      </c>
      <c r="I2522" s="420">
        <f>VLOOKUP(D2522,'[2]ENSAIOS DE ORÇAMENTO'!$C$3:$L$79,8,FALSE)</f>
        <v>802.57491000000005</v>
      </c>
      <c r="J2522" s="420">
        <f>IF(ISBLANK(I2522),"",SUM(H2522:I2522))</f>
        <v>927.92181588000005</v>
      </c>
      <c r="K2522" s="421">
        <f t="shared" si="666"/>
        <v>1102.46</v>
      </c>
      <c r="L2522" s="647" t="s">
        <v>21</v>
      </c>
      <c r="M2522" s="576"/>
      <c r="N2522" s="576">
        <f t="shared" si="675"/>
        <v>0</v>
      </c>
      <c r="O2522" s="577">
        <f t="shared" si="669"/>
        <v>0</v>
      </c>
      <c r="P2522" s="578">
        <f t="shared" si="670"/>
        <v>0</v>
      </c>
      <c r="Q2522" s="765"/>
      <c r="R2522" s="576">
        <f>M2522</f>
        <v>0</v>
      </c>
      <c r="S2522" s="576">
        <f>N2522</f>
        <v>0</v>
      </c>
      <c r="T2522" s="577">
        <f t="shared" si="667"/>
        <v>0</v>
      </c>
      <c r="U2522" s="578">
        <f t="shared" si="668"/>
        <v>0</v>
      </c>
      <c r="V2522" s="579"/>
      <c r="W2522" s="566"/>
      <c r="X2522" s="586" t="str">
        <f t="shared" si="661"/>
        <v/>
      </c>
      <c r="Y2522" s="586" t="str">
        <f t="shared" si="672"/>
        <v/>
      </c>
      <c r="Z2522" s="586" t="str">
        <f t="shared" si="660"/>
        <v/>
      </c>
    </row>
    <row r="2523" spans="1:26" ht="12" hidden="1" thickBot="1" x14ac:dyDescent="0.25">
      <c r="A2523" s="567" t="s">
        <v>168</v>
      </c>
      <c r="B2523" s="644" t="s">
        <v>168</v>
      </c>
      <c r="C2523" s="645"/>
      <c r="D2523" s="422" t="s">
        <v>212</v>
      </c>
      <c r="E2523" s="423"/>
      <c r="F2523" s="424">
        <v>500</v>
      </c>
      <c r="G2523" s="425">
        <f>VLOOKUP(D2522,'[2]ENSAIOS DE ORÇAMENTO'!$C$3:$L$79,4,FALSE)</f>
        <v>0.12243000000000002</v>
      </c>
      <c r="H2523" s="649">
        <f>IF(F2523&lt;=30,(0.78*F2523+7.82)*G2523,((0.78*30+7.82)+0.78*(F2523-30))*G2523)</f>
        <v>48.705102600000018</v>
      </c>
      <c r="I2523" s="420"/>
      <c r="J2523" s="420"/>
      <c r="K2523" s="421">
        <f t="shared" si="666"/>
        <v>0</v>
      </c>
      <c r="L2523" s="647"/>
      <c r="M2523" s="723"/>
      <c r="N2523" s="576">
        <f t="shared" si="675"/>
        <v>0</v>
      </c>
      <c r="O2523" s="577">
        <f>IF(ISBLANK(M2523),0,ROUND(K2523*M2523,2))</f>
        <v>0</v>
      </c>
      <c r="P2523" s="578">
        <f t="shared" si="670"/>
        <v>0</v>
      </c>
      <c r="Q2523" s="765"/>
      <c r="R2523" s="723"/>
      <c r="S2523" s="723"/>
      <c r="T2523" s="577">
        <f t="shared" si="667"/>
        <v>0</v>
      </c>
      <c r="U2523" s="578">
        <f t="shared" si="668"/>
        <v>0</v>
      </c>
      <c r="V2523" s="579"/>
      <c r="W2523" s="566" t="str">
        <f>IF(U2522&gt;0,"xx",IF(P2522&gt;0,"xy",""))</f>
        <v/>
      </c>
      <c r="X2523" s="586" t="str">
        <f t="shared" si="661"/>
        <v/>
      </c>
      <c r="Y2523" s="586" t="str">
        <f t="shared" si="672"/>
        <v/>
      </c>
      <c r="Z2523" s="586" t="str">
        <f t="shared" si="660"/>
        <v/>
      </c>
    </row>
    <row r="2524" spans="1:26" ht="12" hidden="1" thickBot="1" x14ac:dyDescent="0.25">
      <c r="A2524" s="567" t="s">
        <v>168</v>
      </c>
      <c r="B2524" s="644" t="s">
        <v>168</v>
      </c>
      <c r="C2524" s="645"/>
      <c r="D2524" s="422" t="s">
        <v>248</v>
      </c>
      <c r="E2524" s="423"/>
      <c r="F2524" s="424">
        <v>180</v>
      </c>
      <c r="G2524" s="425">
        <f>VLOOKUP(D2522,'[2]ENSAIOS DE ORÇAMENTO'!$C$3:$L$79,5,FALSE)</f>
        <v>0.34169100000000008</v>
      </c>
      <c r="H2524" s="663">
        <f t="shared" ref="H2524:H2526" si="677">IF(F2524&lt;=30,(1.07*F2524+2.68)*G2524,((1.07*30+2.68)+1.07*(F2524-30))*G2524)</f>
        <v>66.725418480000016</v>
      </c>
      <c r="I2524" s="420"/>
      <c r="J2524" s="420"/>
      <c r="K2524" s="421">
        <f t="shared" si="666"/>
        <v>0</v>
      </c>
      <c r="L2524" s="647"/>
      <c r="M2524" s="723"/>
      <c r="N2524" s="576">
        <f t="shared" si="675"/>
        <v>0</v>
      </c>
      <c r="O2524" s="577">
        <f t="shared" si="669"/>
        <v>0</v>
      </c>
      <c r="P2524" s="578">
        <f t="shared" si="670"/>
        <v>0</v>
      </c>
      <c r="Q2524" s="765"/>
      <c r="R2524" s="723"/>
      <c r="S2524" s="723"/>
      <c r="T2524" s="577">
        <f t="shared" si="667"/>
        <v>0</v>
      </c>
      <c r="U2524" s="578">
        <f t="shared" si="668"/>
        <v>0</v>
      </c>
      <c r="V2524" s="579"/>
      <c r="W2524" s="566" t="str">
        <f>IF(U2522&gt;0,"xx",IF(P2522&gt;0,"xy",""))</f>
        <v/>
      </c>
      <c r="X2524" s="586" t="str">
        <f t="shared" si="661"/>
        <v/>
      </c>
      <c r="Y2524" s="586" t="str">
        <f t="shared" si="672"/>
        <v/>
      </c>
      <c r="Z2524" s="586" t="str">
        <f t="shared" si="660"/>
        <v/>
      </c>
    </row>
    <row r="2525" spans="1:26" ht="12" hidden="1" thickBot="1" x14ac:dyDescent="0.25">
      <c r="A2525" s="567" t="s">
        <v>168</v>
      </c>
      <c r="B2525" s="644" t="s">
        <v>168</v>
      </c>
      <c r="C2525" s="645"/>
      <c r="D2525" s="422" t="s">
        <v>252</v>
      </c>
      <c r="E2525" s="423"/>
      <c r="F2525" s="424">
        <v>20</v>
      </c>
      <c r="G2525" s="425">
        <f>VLOOKUP(D2522,'[2]ENSAIOS DE ORÇAMENTO'!$C$3:$L$79,6,FALSE)</f>
        <v>0.41181000000000012</v>
      </c>
      <c r="H2525" s="663">
        <f t="shared" si="677"/>
        <v>9.916384800000003</v>
      </c>
      <c r="I2525" s="420"/>
      <c r="J2525" s="420"/>
      <c r="K2525" s="421">
        <f t="shared" si="666"/>
        <v>0</v>
      </c>
      <c r="L2525" s="647"/>
      <c r="M2525" s="723"/>
      <c r="N2525" s="576">
        <f t="shared" si="675"/>
        <v>0</v>
      </c>
      <c r="O2525" s="577">
        <f t="shared" si="669"/>
        <v>0</v>
      </c>
      <c r="P2525" s="578">
        <f t="shared" si="670"/>
        <v>0</v>
      </c>
      <c r="Q2525" s="765"/>
      <c r="R2525" s="723"/>
      <c r="S2525" s="723"/>
      <c r="T2525" s="577">
        <f t="shared" si="667"/>
        <v>0</v>
      </c>
      <c r="U2525" s="578">
        <f t="shared" si="668"/>
        <v>0</v>
      </c>
      <c r="V2525" s="579"/>
      <c r="W2525" s="566" t="str">
        <f>IF(U2522&gt;0,"xx",IF(P2522&gt;0,"xy",""))</f>
        <v/>
      </c>
      <c r="X2525" s="586" t="str">
        <f t="shared" si="661"/>
        <v/>
      </c>
      <c r="Y2525" s="586" t="str">
        <f t="shared" si="672"/>
        <v/>
      </c>
      <c r="Z2525" s="586" t="str">
        <f t="shared" si="660"/>
        <v/>
      </c>
    </row>
    <row r="2526" spans="1:26" ht="12" hidden="1" thickBot="1" x14ac:dyDescent="0.25">
      <c r="A2526" s="567" t="s">
        <v>168</v>
      </c>
      <c r="B2526" s="644" t="s">
        <v>168</v>
      </c>
      <c r="C2526" s="645"/>
      <c r="D2526" s="422" t="s">
        <v>400</v>
      </c>
      <c r="E2526" s="423"/>
      <c r="F2526" s="424">
        <v>30</v>
      </c>
      <c r="G2526" s="425">
        <f>VLOOKUP(D2522,'[2]ENSAIOS DE ORÇAMENTO'!$C$3:$L$79,3,FALSE)</f>
        <v>0</v>
      </c>
      <c r="H2526" s="663">
        <f t="shared" si="677"/>
        <v>0</v>
      </c>
      <c r="I2526" s="420"/>
      <c r="J2526" s="420"/>
      <c r="K2526" s="421">
        <f t="shared" si="666"/>
        <v>0</v>
      </c>
      <c r="L2526" s="647"/>
      <c r="M2526" s="723"/>
      <c r="N2526" s="576">
        <f t="shared" si="675"/>
        <v>0</v>
      </c>
      <c r="O2526" s="577">
        <f t="shared" si="669"/>
        <v>0</v>
      </c>
      <c r="P2526" s="578">
        <f t="shared" si="670"/>
        <v>0</v>
      </c>
      <c r="Q2526" s="765"/>
      <c r="R2526" s="723"/>
      <c r="S2526" s="723"/>
      <c r="T2526" s="577">
        <f t="shared" si="667"/>
        <v>0</v>
      </c>
      <c r="U2526" s="578">
        <f t="shared" si="668"/>
        <v>0</v>
      </c>
      <c r="V2526" s="579"/>
      <c r="W2526" s="566" t="str">
        <f>IF(U2522&gt;0,"xx",IF(P2522&gt;0,"xy",""))</f>
        <v/>
      </c>
      <c r="X2526" s="586" t="str">
        <f t="shared" si="661"/>
        <v/>
      </c>
      <c r="Y2526" s="586" t="str">
        <f t="shared" si="672"/>
        <v/>
      </c>
      <c r="Z2526" s="586" t="str">
        <f t="shared" si="660"/>
        <v/>
      </c>
    </row>
    <row r="2527" spans="1:26" ht="12" hidden="1" thickBot="1" x14ac:dyDescent="0.25">
      <c r="A2527" s="567" t="s">
        <v>168</v>
      </c>
      <c r="B2527" s="644" t="s">
        <v>168</v>
      </c>
      <c r="C2527" s="645"/>
      <c r="D2527" s="422" t="s">
        <v>401</v>
      </c>
      <c r="E2527" s="423"/>
      <c r="F2527" s="424">
        <v>500</v>
      </c>
      <c r="G2527" s="425">
        <f>VLOOKUP(D2522,'[2]ENSAIOS DE ORÇAMENTO'!$C$3:$L$79,10,FALSE)</f>
        <v>0</v>
      </c>
      <c r="H2527" s="649">
        <f>IF(F2527&lt;=30,(0.78*F2527+7.82)*G2527,((0.78*30+7.82)+0.78*(F2527-30))*G2527)</f>
        <v>0</v>
      </c>
      <c r="I2527" s="420"/>
      <c r="J2527" s="420"/>
      <c r="K2527" s="421">
        <f t="shared" si="666"/>
        <v>0</v>
      </c>
      <c r="L2527" s="647"/>
      <c r="M2527" s="723"/>
      <c r="N2527" s="576">
        <f t="shared" si="675"/>
        <v>0</v>
      </c>
      <c r="O2527" s="577">
        <f t="shared" si="669"/>
        <v>0</v>
      </c>
      <c r="P2527" s="578">
        <f t="shared" si="670"/>
        <v>0</v>
      </c>
      <c r="Q2527" s="765"/>
      <c r="R2527" s="723"/>
      <c r="S2527" s="723"/>
      <c r="T2527" s="577">
        <f t="shared" si="667"/>
        <v>0</v>
      </c>
      <c r="U2527" s="578">
        <f t="shared" si="668"/>
        <v>0</v>
      </c>
      <c r="V2527" s="579"/>
      <c r="W2527" s="566" t="str">
        <f>IF(U2522&gt;0,"xx",IF(P2522&gt;0,"xy",""))</f>
        <v/>
      </c>
      <c r="X2527" s="586" t="str">
        <f t="shared" si="661"/>
        <v/>
      </c>
      <c r="Y2527" s="586" t="str">
        <f t="shared" si="672"/>
        <v/>
      </c>
      <c r="Z2527" s="586" t="str">
        <f t="shared" si="660"/>
        <v/>
      </c>
    </row>
    <row r="2528" spans="1:26" ht="12" hidden="1" thickBot="1" x14ac:dyDescent="0.25">
      <c r="A2528" s="567" t="s">
        <v>52</v>
      </c>
      <c r="B2528" s="644" t="s">
        <v>52</v>
      </c>
      <c r="C2528" s="645" t="s">
        <v>206</v>
      </c>
      <c r="D2528" s="422" t="s">
        <v>424</v>
      </c>
      <c r="E2528" s="423"/>
      <c r="F2528" s="424"/>
      <c r="G2528" s="425"/>
      <c r="H2528" s="651">
        <f>SUM(H2529:H2533)</f>
        <v>135.48277428</v>
      </c>
      <c r="I2528" s="420">
        <f>VLOOKUP(D2528,'[2]ENSAIOS DE ORÇAMENTO'!$C$3:$L$79,8,FALSE)</f>
        <v>915.5098099999999</v>
      </c>
      <c r="J2528" s="420">
        <f>IF(ISBLANK(I2528),"",SUM(H2528:I2528))</f>
        <v>1050.9925842799998</v>
      </c>
      <c r="K2528" s="421">
        <f t="shared" si="666"/>
        <v>1248.68</v>
      </c>
      <c r="L2528" s="647" t="s">
        <v>21</v>
      </c>
      <c r="M2528" s="576"/>
      <c r="N2528" s="576">
        <f t="shared" si="675"/>
        <v>0</v>
      </c>
      <c r="O2528" s="577">
        <f t="shared" si="669"/>
        <v>0</v>
      </c>
      <c r="P2528" s="578">
        <f t="shared" si="670"/>
        <v>0</v>
      </c>
      <c r="Q2528" s="765"/>
      <c r="R2528" s="576">
        <f>M2528</f>
        <v>0</v>
      </c>
      <c r="S2528" s="576">
        <f>N2528</f>
        <v>0</v>
      </c>
      <c r="T2528" s="577">
        <f t="shared" si="667"/>
        <v>0</v>
      </c>
      <c r="U2528" s="578">
        <f t="shared" si="668"/>
        <v>0</v>
      </c>
      <c r="V2528" s="579"/>
      <c r="W2528" s="566"/>
      <c r="X2528" s="586" t="str">
        <f t="shared" si="661"/>
        <v/>
      </c>
      <c r="Y2528" s="586" t="str">
        <f t="shared" si="672"/>
        <v/>
      </c>
      <c r="Z2528" s="586" t="str">
        <f t="shared" si="660"/>
        <v/>
      </c>
    </row>
    <row r="2529" spans="1:26" ht="12" hidden="1" thickBot="1" x14ac:dyDescent="0.25">
      <c r="A2529" s="567" t="s">
        <v>168</v>
      </c>
      <c r="B2529" s="644" t="s">
        <v>168</v>
      </c>
      <c r="C2529" s="645"/>
      <c r="D2529" s="422" t="s">
        <v>212</v>
      </c>
      <c r="E2529" s="423"/>
      <c r="F2529" s="424">
        <v>500</v>
      </c>
      <c r="G2529" s="425">
        <f>VLOOKUP(D2528,'[2]ENSAIOS DE ORÇAMENTO'!$C$3:$L$79,4,FALSE)</f>
        <v>0.13233</v>
      </c>
      <c r="H2529" s="649">
        <f>IF(F2529&lt;=30,(0.78*F2529+7.82)*G2529,((0.78*30+7.82)+0.78*(F2529-30))*G2529)</f>
        <v>52.643520600000009</v>
      </c>
      <c r="I2529" s="420"/>
      <c r="J2529" s="420"/>
      <c r="K2529" s="421">
        <f t="shared" si="666"/>
        <v>0</v>
      </c>
      <c r="L2529" s="647"/>
      <c r="M2529" s="723"/>
      <c r="N2529" s="576">
        <f t="shared" si="675"/>
        <v>0</v>
      </c>
      <c r="O2529" s="577">
        <f t="shared" si="669"/>
        <v>0</v>
      </c>
      <c r="P2529" s="578">
        <f t="shared" si="670"/>
        <v>0</v>
      </c>
      <c r="Q2529" s="765"/>
      <c r="R2529" s="723"/>
      <c r="S2529" s="723"/>
      <c r="T2529" s="577">
        <f t="shared" si="667"/>
        <v>0</v>
      </c>
      <c r="U2529" s="578">
        <f t="shared" si="668"/>
        <v>0</v>
      </c>
      <c r="V2529" s="579"/>
      <c r="W2529" s="566" t="str">
        <f>IF(U2528&gt;0,"xx",IF(P2528&gt;0,"xy",""))</f>
        <v/>
      </c>
      <c r="X2529" s="586" t="str">
        <f t="shared" si="661"/>
        <v/>
      </c>
      <c r="Y2529" s="586" t="str">
        <f t="shared" si="672"/>
        <v/>
      </c>
      <c r="Z2529" s="586" t="str">
        <f t="shared" si="660"/>
        <v/>
      </c>
    </row>
    <row r="2530" spans="1:26" ht="12" hidden="1" thickBot="1" x14ac:dyDescent="0.25">
      <c r="A2530" s="567" t="s">
        <v>168</v>
      </c>
      <c r="B2530" s="644" t="s">
        <v>168</v>
      </c>
      <c r="C2530" s="645"/>
      <c r="D2530" s="422" t="s">
        <v>248</v>
      </c>
      <c r="E2530" s="423"/>
      <c r="F2530" s="424">
        <v>180</v>
      </c>
      <c r="G2530" s="425">
        <f>VLOOKUP(D2528,'[2]ENSAIOS DE ORÇAMENTO'!$C$3:$L$79,5,FALSE)</f>
        <v>0.36932100000000001</v>
      </c>
      <c r="H2530" s="663">
        <f t="shared" ref="H2530:H2532" si="678">IF(F2530&lt;=30,(1.07*F2530+2.68)*G2530,((1.07*30+2.68)+1.07*(F2530-30))*G2530)</f>
        <v>72.121004880000001</v>
      </c>
      <c r="I2530" s="420"/>
      <c r="J2530" s="420"/>
      <c r="K2530" s="421">
        <f t="shared" si="666"/>
        <v>0</v>
      </c>
      <c r="L2530" s="647"/>
      <c r="M2530" s="723"/>
      <c r="N2530" s="576">
        <f t="shared" si="675"/>
        <v>0</v>
      </c>
      <c r="O2530" s="577">
        <f t="shared" si="669"/>
        <v>0</v>
      </c>
      <c r="P2530" s="578">
        <f t="shared" si="670"/>
        <v>0</v>
      </c>
      <c r="Q2530" s="765"/>
      <c r="R2530" s="723"/>
      <c r="S2530" s="723"/>
      <c r="T2530" s="577">
        <f t="shared" si="667"/>
        <v>0</v>
      </c>
      <c r="U2530" s="578">
        <f t="shared" si="668"/>
        <v>0</v>
      </c>
      <c r="V2530" s="579"/>
      <c r="W2530" s="566" t="str">
        <f>IF(U2528&gt;0,"xx",IF(P2528&gt;0,"xy",""))</f>
        <v/>
      </c>
      <c r="X2530" s="586" t="str">
        <f t="shared" si="661"/>
        <v/>
      </c>
      <c r="Y2530" s="586" t="str">
        <f t="shared" si="672"/>
        <v/>
      </c>
      <c r="Z2530" s="586" t="str">
        <f t="shared" si="660"/>
        <v/>
      </c>
    </row>
    <row r="2531" spans="1:26" ht="12" hidden="1" thickBot="1" x14ac:dyDescent="0.25">
      <c r="A2531" s="567" t="s">
        <v>168</v>
      </c>
      <c r="B2531" s="644" t="s">
        <v>168</v>
      </c>
      <c r="C2531" s="645"/>
      <c r="D2531" s="422" t="s">
        <v>252</v>
      </c>
      <c r="E2531" s="423"/>
      <c r="F2531" s="424">
        <v>20</v>
      </c>
      <c r="G2531" s="425">
        <f>VLOOKUP(D2528,'[2]ENSAIOS DE ORÇAMENTO'!$C$3:$L$79,6,FALSE)</f>
        <v>0.44511000000000006</v>
      </c>
      <c r="H2531" s="663">
        <f t="shared" si="678"/>
        <v>10.718248800000003</v>
      </c>
      <c r="I2531" s="420"/>
      <c r="J2531" s="420"/>
      <c r="K2531" s="421">
        <f t="shared" si="666"/>
        <v>0</v>
      </c>
      <c r="L2531" s="647"/>
      <c r="M2531" s="723"/>
      <c r="N2531" s="576">
        <f t="shared" si="675"/>
        <v>0</v>
      </c>
      <c r="O2531" s="577">
        <f t="shared" si="669"/>
        <v>0</v>
      </c>
      <c r="P2531" s="578">
        <f t="shared" si="670"/>
        <v>0</v>
      </c>
      <c r="Q2531" s="765"/>
      <c r="R2531" s="723"/>
      <c r="S2531" s="723"/>
      <c r="T2531" s="577">
        <f t="shared" si="667"/>
        <v>0</v>
      </c>
      <c r="U2531" s="578">
        <f t="shared" si="668"/>
        <v>0</v>
      </c>
      <c r="V2531" s="579"/>
      <c r="W2531" s="566" t="str">
        <f>IF(U2528&gt;0,"xx",IF(P2528&gt;0,"xy",""))</f>
        <v/>
      </c>
      <c r="X2531" s="586" t="str">
        <f t="shared" si="661"/>
        <v/>
      </c>
      <c r="Y2531" s="586" t="str">
        <f t="shared" si="672"/>
        <v/>
      </c>
      <c r="Z2531" s="586" t="str">
        <f t="shared" si="660"/>
        <v/>
      </c>
    </row>
    <row r="2532" spans="1:26" ht="12" hidden="1" thickBot="1" x14ac:dyDescent="0.25">
      <c r="A2532" s="567" t="s">
        <v>168</v>
      </c>
      <c r="B2532" s="644" t="s">
        <v>168</v>
      </c>
      <c r="C2532" s="645"/>
      <c r="D2532" s="422" t="s">
        <v>400</v>
      </c>
      <c r="E2532" s="423"/>
      <c r="F2532" s="424">
        <v>30</v>
      </c>
      <c r="G2532" s="425">
        <f>VLOOKUP(D2528,'[2]ENSAIOS DE ORÇAMENTO'!$C$3:$L$79,3,FALSE)</f>
        <v>0</v>
      </c>
      <c r="H2532" s="663">
        <f t="shared" si="678"/>
        <v>0</v>
      </c>
      <c r="I2532" s="420"/>
      <c r="J2532" s="420"/>
      <c r="K2532" s="421">
        <f t="shared" si="666"/>
        <v>0</v>
      </c>
      <c r="L2532" s="647"/>
      <c r="M2532" s="723"/>
      <c r="N2532" s="576">
        <f t="shared" si="675"/>
        <v>0</v>
      </c>
      <c r="O2532" s="577">
        <f t="shared" si="669"/>
        <v>0</v>
      </c>
      <c r="P2532" s="578">
        <f t="shared" si="670"/>
        <v>0</v>
      </c>
      <c r="Q2532" s="765"/>
      <c r="R2532" s="723"/>
      <c r="S2532" s="723"/>
      <c r="T2532" s="577">
        <f t="shared" si="667"/>
        <v>0</v>
      </c>
      <c r="U2532" s="578">
        <f t="shared" si="668"/>
        <v>0</v>
      </c>
      <c r="V2532" s="579"/>
      <c r="W2532" s="566" t="str">
        <f>IF(U2528&gt;0,"xx",IF(P2528&gt;0,"xy",""))</f>
        <v/>
      </c>
      <c r="X2532" s="586" t="str">
        <f t="shared" si="661"/>
        <v/>
      </c>
      <c r="Y2532" s="586" t="str">
        <f t="shared" si="672"/>
        <v/>
      </c>
      <c r="Z2532" s="586" t="str">
        <f t="shared" si="660"/>
        <v/>
      </c>
    </row>
    <row r="2533" spans="1:26" ht="12" hidden="1" thickBot="1" x14ac:dyDescent="0.25">
      <c r="A2533" s="567" t="s">
        <v>168</v>
      </c>
      <c r="B2533" s="644" t="s">
        <v>168</v>
      </c>
      <c r="C2533" s="645"/>
      <c r="D2533" s="422" t="s">
        <v>401</v>
      </c>
      <c r="E2533" s="423"/>
      <c r="F2533" s="424">
        <v>500</v>
      </c>
      <c r="G2533" s="425">
        <f>VLOOKUP(D2528,'[2]ENSAIOS DE ORÇAMENTO'!$C$3:$L$79,10,FALSE)</f>
        <v>0</v>
      </c>
      <c r="H2533" s="649">
        <f>IF(F2533&lt;=30,(0.78*F2533+7.82)*G2533,((0.78*30+7.82)+0.78*(F2533-30))*G2533)</f>
        <v>0</v>
      </c>
      <c r="I2533" s="420"/>
      <c r="J2533" s="420"/>
      <c r="K2533" s="421">
        <f t="shared" si="666"/>
        <v>0</v>
      </c>
      <c r="L2533" s="647"/>
      <c r="M2533" s="723"/>
      <c r="N2533" s="576">
        <f t="shared" si="675"/>
        <v>0</v>
      </c>
      <c r="O2533" s="577">
        <f t="shared" si="669"/>
        <v>0</v>
      </c>
      <c r="P2533" s="578">
        <f t="shared" si="670"/>
        <v>0</v>
      </c>
      <c r="Q2533" s="765"/>
      <c r="R2533" s="723"/>
      <c r="S2533" s="723"/>
      <c r="T2533" s="577">
        <f t="shared" si="667"/>
        <v>0</v>
      </c>
      <c r="U2533" s="578">
        <f t="shared" si="668"/>
        <v>0</v>
      </c>
      <c r="V2533" s="579"/>
      <c r="W2533" s="566" t="str">
        <f>IF(U2528&gt;0,"xx",IF(P2528&gt;0,"xy",""))</f>
        <v/>
      </c>
      <c r="X2533" s="586" t="str">
        <f t="shared" si="661"/>
        <v/>
      </c>
      <c r="Y2533" s="586" t="str">
        <f t="shared" si="672"/>
        <v/>
      </c>
      <c r="Z2533" s="586" t="str">
        <f t="shared" si="660"/>
        <v/>
      </c>
    </row>
    <row r="2534" spans="1:26" ht="12" hidden="1" thickBot="1" x14ac:dyDescent="0.25">
      <c r="A2534" s="567" t="s">
        <v>53</v>
      </c>
      <c r="B2534" s="644" t="s">
        <v>53</v>
      </c>
      <c r="C2534" s="645" t="s">
        <v>206</v>
      </c>
      <c r="D2534" s="422" t="s">
        <v>425</v>
      </c>
      <c r="E2534" s="423"/>
      <c r="F2534" s="424"/>
      <c r="G2534" s="425"/>
      <c r="H2534" s="651">
        <f>SUM(H2535:H2539)</f>
        <v>526.38599499999998</v>
      </c>
      <c r="I2534" s="420">
        <f>VLOOKUP(D2534,'[2]ENSAIOS DE ORÇAMENTO'!$C$3:$L$79,8,FALSE)</f>
        <v>911.90959999999995</v>
      </c>
      <c r="J2534" s="420">
        <f>IF(ISBLANK(I2534),"",SUM(H2534:I2534))</f>
        <v>1438.295595</v>
      </c>
      <c r="K2534" s="421">
        <f t="shared" si="666"/>
        <v>1708.84</v>
      </c>
      <c r="L2534" s="647" t="s">
        <v>21</v>
      </c>
      <c r="M2534" s="576"/>
      <c r="N2534" s="576">
        <f t="shared" si="675"/>
        <v>0</v>
      </c>
      <c r="O2534" s="577">
        <f t="shared" si="669"/>
        <v>0</v>
      </c>
      <c r="P2534" s="578">
        <f t="shared" si="670"/>
        <v>0</v>
      </c>
      <c r="Q2534" s="765"/>
      <c r="R2534" s="576">
        <f>M2534</f>
        <v>0</v>
      </c>
      <c r="S2534" s="576">
        <f>N2534</f>
        <v>0</v>
      </c>
      <c r="T2534" s="577">
        <f t="shared" si="667"/>
        <v>0</v>
      </c>
      <c r="U2534" s="578">
        <f t="shared" si="668"/>
        <v>0</v>
      </c>
      <c r="V2534" s="579"/>
      <c r="W2534" s="566"/>
      <c r="X2534" s="586" t="str">
        <f t="shared" si="661"/>
        <v/>
      </c>
      <c r="Y2534" s="586" t="str">
        <f t="shared" si="672"/>
        <v/>
      </c>
      <c r="Z2534" s="586" t="str">
        <f t="shared" si="660"/>
        <v/>
      </c>
    </row>
    <row r="2535" spans="1:26" ht="12" hidden="1" thickBot="1" x14ac:dyDescent="0.25">
      <c r="A2535" s="567" t="s">
        <v>168</v>
      </c>
      <c r="B2535" s="644" t="s">
        <v>168</v>
      </c>
      <c r="C2535" s="645"/>
      <c r="D2535" s="422" t="s">
        <v>212</v>
      </c>
      <c r="E2535" s="423"/>
      <c r="F2535" s="424">
        <v>500</v>
      </c>
      <c r="G2535" s="425">
        <f>VLOOKUP(D2534,'[2]ENSAIOS DE ORÇAMENTO'!$C$3:$L$79,4,FALSE)</f>
        <v>0.38417000000000001</v>
      </c>
      <c r="H2535" s="649">
        <f>IF(F2535&lt;=30,(0.78*F2535+7.82)*G2535,((0.78*30+7.82)+0.78*(F2535-30))*G2535)</f>
        <v>152.83050940000001</v>
      </c>
      <c r="I2535" s="420"/>
      <c r="J2535" s="420"/>
      <c r="K2535" s="421">
        <f t="shared" si="666"/>
        <v>0</v>
      </c>
      <c r="L2535" s="647"/>
      <c r="M2535" s="723"/>
      <c r="N2535" s="576">
        <f t="shared" si="675"/>
        <v>0</v>
      </c>
      <c r="O2535" s="577">
        <f t="shared" si="669"/>
        <v>0</v>
      </c>
      <c r="P2535" s="578">
        <f t="shared" si="670"/>
        <v>0</v>
      </c>
      <c r="Q2535" s="765"/>
      <c r="R2535" s="723"/>
      <c r="S2535" s="723"/>
      <c r="T2535" s="577">
        <f t="shared" si="667"/>
        <v>0</v>
      </c>
      <c r="U2535" s="578">
        <f t="shared" si="668"/>
        <v>0</v>
      </c>
      <c r="V2535" s="579"/>
      <c r="W2535" s="566" t="str">
        <f>IF(U2534&gt;0,"xx",IF(P2534&gt;0,"xy",""))</f>
        <v/>
      </c>
      <c r="X2535" s="586" t="str">
        <f t="shared" si="661"/>
        <v/>
      </c>
      <c r="Y2535" s="586" t="str">
        <f t="shared" si="672"/>
        <v/>
      </c>
      <c r="Z2535" s="586" t="str">
        <f t="shared" si="660"/>
        <v/>
      </c>
    </row>
    <row r="2536" spans="1:26" ht="12" hidden="1" thickBot="1" x14ac:dyDescent="0.25">
      <c r="A2536" s="567" t="s">
        <v>168</v>
      </c>
      <c r="B2536" s="644" t="s">
        <v>168</v>
      </c>
      <c r="C2536" s="645"/>
      <c r="D2536" s="422" t="s">
        <v>248</v>
      </c>
      <c r="E2536" s="423"/>
      <c r="F2536" s="424">
        <v>180</v>
      </c>
      <c r="G2536" s="425">
        <f>VLOOKUP(D2534,'[2]ENSAIOS DE ORÇAMENTO'!$C$3:$L$79,5,FALSE)</f>
        <v>1.55436</v>
      </c>
      <c r="H2536" s="663">
        <f t="shared" ref="H2536:H2538" si="679">IF(F2536&lt;=30,(1.07*F2536+2.68)*G2536,((1.07*30+2.68)+1.07*(F2536-30))*G2536)</f>
        <v>303.5354208</v>
      </c>
      <c r="I2536" s="420"/>
      <c r="J2536" s="420"/>
      <c r="K2536" s="421">
        <f t="shared" si="666"/>
        <v>0</v>
      </c>
      <c r="L2536" s="647"/>
      <c r="M2536" s="723"/>
      <c r="N2536" s="576">
        <f t="shared" si="675"/>
        <v>0</v>
      </c>
      <c r="O2536" s="577">
        <f t="shared" si="669"/>
        <v>0</v>
      </c>
      <c r="P2536" s="578">
        <f t="shared" si="670"/>
        <v>0</v>
      </c>
      <c r="Q2536" s="765"/>
      <c r="R2536" s="723"/>
      <c r="S2536" s="723"/>
      <c r="T2536" s="577">
        <f t="shared" si="667"/>
        <v>0</v>
      </c>
      <c r="U2536" s="578">
        <f t="shared" si="668"/>
        <v>0</v>
      </c>
      <c r="V2536" s="579"/>
      <c r="W2536" s="566" t="str">
        <f>IF(U2534&gt;0,"xx",IF(P2534&gt;0,"xy",""))</f>
        <v/>
      </c>
      <c r="X2536" s="586" t="str">
        <f t="shared" si="661"/>
        <v/>
      </c>
      <c r="Y2536" s="586" t="str">
        <f t="shared" si="672"/>
        <v/>
      </c>
      <c r="Z2536" s="586" t="str">
        <f t="shared" ref="Z2536:Z2599" si="680">IF(W2536="X","x",IF(U2536&gt;0,"x",""))</f>
        <v/>
      </c>
    </row>
    <row r="2537" spans="1:26" ht="12" hidden="1" thickBot="1" x14ac:dyDescent="0.25">
      <c r="A2537" s="567" t="s">
        <v>168</v>
      </c>
      <c r="B2537" s="644" t="s">
        <v>168</v>
      </c>
      <c r="C2537" s="645"/>
      <c r="D2537" s="422" t="s">
        <v>252</v>
      </c>
      <c r="E2537" s="423"/>
      <c r="F2537" s="424">
        <v>20</v>
      </c>
      <c r="G2537" s="425">
        <f>VLOOKUP(D2534,'[2]ENSAIOS DE ORÇAMENTO'!$C$3:$L$79,6,FALSE)</f>
        <v>2.9078100000000004</v>
      </c>
      <c r="H2537" s="663">
        <f t="shared" si="679"/>
        <v>70.020064800000014</v>
      </c>
      <c r="I2537" s="420"/>
      <c r="J2537" s="420"/>
      <c r="K2537" s="421">
        <f t="shared" si="666"/>
        <v>0</v>
      </c>
      <c r="L2537" s="647"/>
      <c r="M2537" s="723"/>
      <c r="N2537" s="576">
        <f t="shared" si="675"/>
        <v>0</v>
      </c>
      <c r="O2537" s="577">
        <f t="shared" si="669"/>
        <v>0</v>
      </c>
      <c r="P2537" s="578">
        <f t="shared" si="670"/>
        <v>0</v>
      </c>
      <c r="Q2537" s="765"/>
      <c r="R2537" s="723"/>
      <c r="S2537" s="723"/>
      <c r="T2537" s="577">
        <f t="shared" si="667"/>
        <v>0</v>
      </c>
      <c r="U2537" s="578">
        <f t="shared" si="668"/>
        <v>0</v>
      </c>
      <c r="V2537" s="579"/>
      <c r="W2537" s="566" t="str">
        <f>IF(U2534&gt;0,"xx",IF(P2534&gt;0,"xy",""))</f>
        <v/>
      </c>
      <c r="X2537" s="586" t="str">
        <f t="shared" si="661"/>
        <v/>
      </c>
      <c r="Y2537" s="586" t="str">
        <f t="shared" si="672"/>
        <v/>
      </c>
      <c r="Z2537" s="586" t="str">
        <f t="shared" si="680"/>
        <v/>
      </c>
    </row>
    <row r="2538" spans="1:26" ht="12" hidden="1" thickBot="1" x14ac:dyDescent="0.25">
      <c r="A2538" s="567" t="s">
        <v>168</v>
      </c>
      <c r="B2538" s="644" t="s">
        <v>168</v>
      </c>
      <c r="C2538" s="645"/>
      <c r="D2538" s="422" t="s">
        <v>400</v>
      </c>
      <c r="E2538" s="423"/>
      <c r="F2538" s="424">
        <v>30</v>
      </c>
      <c r="G2538" s="425">
        <f>VLOOKUP(D2534,'[2]ENSAIOS DE ORÇAMENTO'!$C$3:$L$79,3,FALSE)</f>
        <v>0</v>
      </c>
      <c r="H2538" s="663">
        <f t="shared" si="679"/>
        <v>0</v>
      </c>
      <c r="I2538" s="420"/>
      <c r="J2538" s="420"/>
      <c r="K2538" s="421">
        <f t="shared" si="666"/>
        <v>0</v>
      </c>
      <c r="L2538" s="647"/>
      <c r="M2538" s="723"/>
      <c r="N2538" s="576">
        <f t="shared" si="675"/>
        <v>0</v>
      </c>
      <c r="O2538" s="577">
        <f t="shared" si="669"/>
        <v>0</v>
      </c>
      <c r="P2538" s="578">
        <f t="shared" si="670"/>
        <v>0</v>
      </c>
      <c r="Q2538" s="765"/>
      <c r="R2538" s="723"/>
      <c r="S2538" s="723"/>
      <c r="T2538" s="577">
        <f t="shared" si="667"/>
        <v>0</v>
      </c>
      <c r="U2538" s="578">
        <f t="shared" si="668"/>
        <v>0</v>
      </c>
      <c r="V2538" s="579"/>
      <c r="W2538" s="566" t="str">
        <f>IF(U2534&gt;0,"xx",IF(P2534&gt;0,"xy",""))</f>
        <v/>
      </c>
      <c r="X2538" s="586" t="str">
        <f t="shared" si="661"/>
        <v/>
      </c>
      <c r="Y2538" s="586" t="str">
        <f t="shared" si="672"/>
        <v/>
      </c>
      <c r="Z2538" s="586" t="str">
        <f t="shared" si="680"/>
        <v/>
      </c>
    </row>
    <row r="2539" spans="1:26" ht="12" hidden="1" thickBot="1" x14ac:dyDescent="0.25">
      <c r="A2539" s="567" t="s">
        <v>168</v>
      </c>
      <c r="B2539" s="644" t="s">
        <v>168</v>
      </c>
      <c r="C2539" s="645"/>
      <c r="D2539" s="422" t="s">
        <v>401</v>
      </c>
      <c r="E2539" s="423"/>
      <c r="F2539" s="424">
        <v>500</v>
      </c>
      <c r="G2539" s="425">
        <f>VLOOKUP(D2534,'[2]ENSAIOS DE ORÇAMENTO'!$C$3:$L$79,10,FALSE)</f>
        <v>0</v>
      </c>
      <c r="H2539" s="649">
        <f>IF(F2539&lt;=30,(0.78*F2539+7.82)*G2539,((0.78*30+7.82)+0.78*(F2539-30))*G2539)</f>
        <v>0</v>
      </c>
      <c r="I2539" s="420"/>
      <c r="J2539" s="420"/>
      <c r="K2539" s="421">
        <f t="shared" si="666"/>
        <v>0</v>
      </c>
      <c r="L2539" s="647"/>
      <c r="M2539" s="723"/>
      <c r="N2539" s="576">
        <f t="shared" si="675"/>
        <v>0</v>
      </c>
      <c r="O2539" s="577">
        <f t="shared" si="669"/>
        <v>0</v>
      </c>
      <c r="P2539" s="578">
        <f t="shared" si="670"/>
        <v>0</v>
      </c>
      <c r="Q2539" s="765"/>
      <c r="R2539" s="723"/>
      <c r="S2539" s="723"/>
      <c r="T2539" s="577">
        <f t="shared" si="667"/>
        <v>0</v>
      </c>
      <c r="U2539" s="578">
        <f t="shared" si="668"/>
        <v>0</v>
      </c>
      <c r="V2539" s="579"/>
      <c r="W2539" s="566" t="str">
        <f>IF(U2534&gt;0,"xx",IF(P2534&gt;0,"xy",""))</f>
        <v/>
      </c>
      <c r="X2539" s="586" t="str">
        <f t="shared" ref="X2539:X2602" si="681">IF(W2539="X","x",IF(W2539="xx","x",IF(W2539="xy","x",IF(W2539="y","x",IF(OR(P2539&gt;0,U2539&gt;0),"x","")))))</f>
        <v/>
      </c>
      <c r="Y2539" s="586" t="str">
        <f t="shared" si="672"/>
        <v/>
      </c>
      <c r="Z2539" s="586" t="str">
        <f t="shared" si="680"/>
        <v/>
      </c>
    </row>
    <row r="2540" spans="1:26" ht="12" hidden="1" thickBot="1" x14ac:dyDescent="0.25">
      <c r="A2540" s="567" t="s">
        <v>53</v>
      </c>
      <c r="B2540" s="644" t="s">
        <v>53</v>
      </c>
      <c r="C2540" s="645" t="s">
        <v>206</v>
      </c>
      <c r="D2540" s="422" t="s">
        <v>426</v>
      </c>
      <c r="E2540" s="423"/>
      <c r="F2540" s="424"/>
      <c r="G2540" s="425"/>
      <c r="H2540" s="651">
        <f>SUM(H2541:H2545)</f>
        <v>649.61370900000009</v>
      </c>
      <c r="I2540" s="420">
        <f>VLOOKUP(D2540,'[2]ENSAIOS DE ORÇAMENTO'!$C$3:$L$79,8,FALSE)</f>
        <v>1106.2313666666669</v>
      </c>
      <c r="J2540" s="420">
        <f>IF(ISBLANK(I2540),"",SUM(H2540:I2540))</f>
        <v>1755.8450756666671</v>
      </c>
      <c r="K2540" s="421">
        <f t="shared" si="666"/>
        <v>2086.12</v>
      </c>
      <c r="L2540" s="647" t="s">
        <v>21</v>
      </c>
      <c r="M2540" s="576"/>
      <c r="N2540" s="576">
        <f t="shared" si="675"/>
        <v>0</v>
      </c>
      <c r="O2540" s="577">
        <f t="shared" si="669"/>
        <v>0</v>
      </c>
      <c r="P2540" s="578">
        <f t="shared" si="670"/>
        <v>0</v>
      </c>
      <c r="Q2540" s="765"/>
      <c r="R2540" s="576">
        <f>M2540</f>
        <v>0</v>
      </c>
      <c r="S2540" s="576">
        <f>N2540</f>
        <v>0</v>
      </c>
      <c r="T2540" s="577">
        <f t="shared" si="667"/>
        <v>0</v>
      </c>
      <c r="U2540" s="578">
        <f t="shared" si="668"/>
        <v>0</v>
      </c>
      <c r="V2540" s="579"/>
      <c r="W2540" s="566"/>
      <c r="X2540" s="586" t="str">
        <f t="shared" si="681"/>
        <v/>
      </c>
      <c r="Y2540" s="586" t="str">
        <f t="shared" si="672"/>
        <v/>
      </c>
      <c r="Z2540" s="586" t="str">
        <f t="shared" si="680"/>
        <v/>
      </c>
    </row>
    <row r="2541" spans="1:26" ht="12" hidden="1" thickBot="1" x14ac:dyDescent="0.25">
      <c r="A2541" s="567" t="s">
        <v>168</v>
      </c>
      <c r="B2541" s="644" t="s">
        <v>168</v>
      </c>
      <c r="C2541" s="645"/>
      <c r="D2541" s="422" t="s">
        <v>212</v>
      </c>
      <c r="E2541" s="423"/>
      <c r="F2541" s="424">
        <v>500</v>
      </c>
      <c r="G2541" s="425">
        <f>VLOOKUP(D2540,'[2]ENSAIOS DE ORÇAMENTO'!$C$3:$L$79,4,FALSE)</f>
        <v>0.47295000000000004</v>
      </c>
      <c r="H2541" s="649">
        <f>IF(F2541&lt;=30,(0.78*F2541+7.82)*G2541,((0.78*30+7.82)+0.78*(F2541-30))*G2541)</f>
        <v>188.14896900000005</v>
      </c>
      <c r="I2541" s="420"/>
      <c r="J2541" s="420"/>
      <c r="K2541" s="421">
        <f t="shared" si="666"/>
        <v>0</v>
      </c>
      <c r="L2541" s="647"/>
      <c r="M2541" s="723"/>
      <c r="N2541" s="576">
        <f t="shared" si="675"/>
        <v>0</v>
      </c>
      <c r="O2541" s="577">
        <f t="shared" si="669"/>
        <v>0</v>
      </c>
      <c r="P2541" s="578">
        <f t="shared" si="670"/>
        <v>0</v>
      </c>
      <c r="Q2541" s="765"/>
      <c r="R2541" s="723"/>
      <c r="S2541" s="723"/>
      <c r="T2541" s="577">
        <f t="shared" si="667"/>
        <v>0</v>
      </c>
      <c r="U2541" s="578">
        <f t="shared" si="668"/>
        <v>0</v>
      </c>
      <c r="V2541" s="579"/>
      <c r="W2541" s="566" t="str">
        <f>IF(U2540&gt;0,"xx",IF(P2540&gt;0,"xy",""))</f>
        <v/>
      </c>
      <c r="X2541" s="586" t="str">
        <f t="shared" si="681"/>
        <v/>
      </c>
      <c r="Y2541" s="586" t="str">
        <f t="shared" si="672"/>
        <v/>
      </c>
      <c r="Z2541" s="586" t="str">
        <f t="shared" si="680"/>
        <v/>
      </c>
    </row>
    <row r="2542" spans="1:26" ht="12" hidden="1" thickBot="1" x14ac:dyDescent="0.25">
      <c r="A2542" s="567" t="s">
        <v>168</v>
      </c>
      <c r="B2542" s="644" t="s">
        <v>168</v>
      </c>
      <c r="C2542" s="645"/>
      <c r="D2542" s="422" t="s">
        <v>248</v>
      </c>
      <c r="E2542" s="423"/>
      <c r="F2542" s="424">
        <v>180</v>
      </c>
      <c r="G2542" s="425">
        <f>VLOOKUP(D2540,'[2]ENSAIOS DE ORÇAMENTO'!$C$3:$L$79,5,FALSE)</f>
        <v>1.9178999999999999</v>
      </c>
      <c r="H2542" s="663">
        <f t="shared" ref="H2542:H2544" si="682">IF(F2542&lt;=30,(1.07*F2542+2.68)*G2542,((1.07*30+2.68)+1.07*(F2542-30))*G2542)</f>
        <v>374.527512</v>
      </c>
      <c r="I2542" s="420"/>
      <c r="J2542" s="420"/>
      <c r="K2542" s="421">
        <f t="shared" si="666"/>
        <v>0</v>
      </c>
      <c r="L2542" s="647"/>
      <c r="M2542" s="723"/>
      <c r="N2542" s="576">
        <f t="shared" si="675"/>
        <v>0</v>
      </c>
      <c r="O2542" s="577">
        <f t="shared" si="669"/>
        <v>0</v>
      </c>
      <c r="P2542" s="578">
        <f t="shared" si="670"/>
        <v>0</v>
      </c>
      <c r="Q2542" s="765"/>
      <c r="R2542" s="723"/>
      <c r="S2542" s="723"/>
      <c r="T2542" s="577">
        <f t="shared" si="667"/>
        <v>0</v>
      </c>
      <c r="U2542" s="578">
        <f t="shared" si="668"/>
        <v>0</v>
      </c>
      <c r="V2542" s="579"/>
      <c r="W2542" s="566" t="str">
        <f>IF(U2540&gt;0,"xx",IF(P2540&gt;0,"xy",""))</f>
        <v/>
      </c>
      <c r="X2542" s="586" t="str">
        <f t="shared" si="681"/>
        <v/>
      </c>
      <c r="Y2542" s="586" t="str">
        <f t="shared" si="672"/>
        <v/>
      </c>
      <c r="Z2542" s="586" t="str">
        <f t="shared" si="680"/>
        <v/>
      </c>
    </row>
    <row r="2543" spans="1:26" ht="12" hidden="1" thickBot="1" x14ac:dyDescent="0.25">
      <c r="A2543" s="567" t="s">
        <v>168</v>
      </c>
      <c r="B2543" s="644" t="s">
        <v>168</v>
      </c>
      <c r="C2543" s="645"/>
      <c r="D2543" s="422" t="s">
        <v>252</v>
      </c>
      <c r="E2543" s="423"/>
      <c r="F2543" s="424">
        <v>20</v>
      </c>
      <c r="G2543" s="425">
        <f>VLOOKUP(D2540,'[2]ENSAIOS DE ORÇAMENTO'!$C$3:$L$79,6,FALSE)</f>
        <v>3.6103500000000004</v>
      </c>
      <c r="H2543" s="663">
        <f t="shared" si="682"/>
        <v>86.937228000000019</v>
      </c>
      <c r="I2543" s="420"/>
      <c r="J2543" s="420"/>
      <c r="K2543" s="421">
        <f t="shared" si="666"/>
        <v>0</v>
      </c>
      <c r="L2543" s="647"/>
      <c r="M2543" s="723"/>
      <c r="N2543" s="576">
        <f t="shared" si="675"/>
        <v>0</v>
      </c>
      <c r="O2543" s="577">
        <f t="shared" si="669"/>
        <v>0</v>
      </c>
      <c r="P2543" s="578">
        <f t="shared" si="670"/>
        <v>0</v>
      </c>
      <c r="Q2543" s="765"/>
      <c r="R2543" s="723"/>
      <c r="S2543" s="723"/>
      <c r="T2543" s="577">
        <f t="shared" si="667"/>
        <v>0</v>
      </c>
      <c r="U2543" s="578">
        <f t="shared" si="668"/>
        <v>0</v>
      </c>
      <c r="V2543" s="579"/>
      <c r="W2543" s="566" t="str">
        <f>IF(U2540&gt;0,"xx",IF(P2540&gt;0,"xy",""))</f>
        <v/>
      </c>
      <c r="X2543" s="586" t="str">
        <f t="shared" si="681"/>
        <v/>
      </c>
      <c r="Y2543" s="586" t="str">
        <f t="shared" si="672"/>
        <v/>
      </c>
      <c r="Z2543" s="586" t="str">
        <f t="shared" si="680"/>
        <v/>
      </c>
    </row>
    <row r="2544" spans="1:26" ht="12" hidden="1" thickBot="1" x14ac:dyDescent="0.25">
      <c r="A2544" s="567" t="s">
        <v>168</v>
      </c>
      <c r="B2544" s="644" t="s">
        <v>168</v>
      </c>
      <c r="C2544" s="645"/>
      <c r="D2544" s="422" t="s">
        <v>400</v>
      </c>
      <c r="E2544" s="423"/>
      <c r="F2544" s="424">
        <v>30</v>
      </c>
      <c r="G2544" s="425">
        <f>VLOOKUP(D2540,'[2]ENSAIOS DE ORÇAMENTO'!$C$3:$L$79,3,FALSE)</f>
        <v>0</v>
      </c>
      <c r="H2544" s="663">
        <f t="shared" si="682"/>
        <v>0</v>
      </c>
      <c r="I2544" s="420"/>
      <c r="J2544" s="420"/>
      <c r="K2544" s="421">
        <f t="shared" si="666"/>
        <v>0</v>
      </c>
      <c r="L2544" s="647"/>
      <c r="M2544" s="723"/>
      <c r="N2544" s="576">
        <f t="shared" si="675"/>
        <v>0</v>
      </c>
      <c r="O2544" s="577">
        <f t="shared" si="669"/>
        <v>0</v>
      </c>
      <c r="P2544" s="578">
        <f t="shared" si="670"/>
        <v>0</v>
      </c>
      <c r="Q2544" s="765"/>
      <c r="R2544" s="723"/>
      <c r="S2544" s="723"/>
      <c r="T2544" s="577">
        <f t="shared" si="667"/>
        <v>0</v>
      </c>
      <c r="U2544" s="578">
        <f t="shared" si="668"/>
        <v>0</v>
      </c>
      <c r="V2544" s="579"/>
      <c r="W2544" s="566" t="str">
        <f>IF(U2540&gt;0,"xx",IF(P2540&gt;0,"xy",""))</f>
        <v/>
      </c>
      <c r="X2544" s="586" t="str">
        <f t="shared" si="681"/>
        <v/>
      </c>
      <c r="Y2544" s="586" t="str">
        <f t="shared" si="672"/>
        <v/>
      </c>
      <c r="Z2544" s="586" t="str">
        <f t="shared" si="680"/>
        <v/>
      </c>
    </row>
    <row r="2545" spans="1:26" ht="12" hidden="1" thickBot="1" x14ac:dyDescent="0.25">
      <c r="A2545" s="567" t="s">
        <v>168</v>
      </c>
      <c r="B2545" s="644" t="s">
        <v>168</v>
      </c>
      <c r="C2545" s="645"/>
      <c r="D2545" s="422" t="s">
        <v>401</v>
      </c>
      <c r="E2545" s="423"/>
      <c r="F2545" s="424">
        <v>500</v>
      </c>
      <c r="G2545" s="425">
        <f>VLOOKUP(D2540,'[2]ENSAIOS DE ORÇAMENTO'!$C$3:$L$79,10,FALSE)</f>
        <v>0</v>
      </c>
      <c r="H2545" s="649">
        <f>IF(F2545&lt;=30,(0.78*F2545+7.82)*G2545,((0.78*30+7.82)+0.78*(F2545-30))*G2545)</f>
        <v>0</v>
      </c>
      <c r="I2545" s="420"/>
      <c r="J2545" s="420"/>
      <c r="K2545" s="421">
        <f t="shared" si="666"/>
        <v>0</v>
      </c>
      <c r="L2545" s="647"/>
      <c r="M2545" s="723"/>
      <c r="N2545" s="576">
        <f t="shared" si="675"/>
        <v>0</v>
      </c>
      <c r="O2545" s="577">
        <f t="shared" si="669"/>
        <v>0</v>
      </c>
      <c r="P2545" s="578">
        <f t="shared" si="670"/>
        <v>0</v>
      </c>
      <c r="Q2545" s="765"/>
      <c r="R2545" s="723"/>
      <c r="S2545" s="723"/>
      <c r="T2545" s="577">
        <f t="shared" si="667"/>
        <v>0</v>
      </c>
      <c r="U2545" s="578">
        <f t="shared" si="668"/>
        <v>0</v>
      </c>
      <c r="V2545" s="579"/>
      <c r="W2545" s="566" t="str">
        <f>IF(U2540&gt;0,"xx",IF(P2540&gt;0,"xy",""))</f>
        <v/>
      </c>
      <c r="X2545" s="586" t="str">
        <f t="shared" si="681"/>
        <v/>
      </c>
      <c r="Y2545" s="586" t="str">
        <f t="shared" si="672"/>
        <v/>
      </c>
      <c r="Z2545" s="586" t="str">
        <f t="shared" si="680"/>
        <v/>
      </c>
    </row>
    <row r="2546" spans="1:26" ht="12" hidden="1" thickBot="1" x14ac:dyDescent="0.25">
      <c r="A2546" s="567" t="s">
        <v>53</v>
      </c>
      <c r="B2546" s="644" t="s">
        <v>53</v>
      </c>
      <c r="C2546" s="645" t="s">
        <v>206</v>
      </c>
      <c r="D2546" s="422" t="s">
        <v>427</v>
      </c>
      <c r="E2546" s="423"/>
      <c r="F2546" s="424"/>
      <c r="G2546" s="425"/>
      <c r="H2546" s="651">
        <f>SUM(H2547:H2551)</f>
        <v>1038.335276</v>
      </c>
      <c r="I2546" s="420">
        <f>VLOOKUP(D2546,'[2]ENSAIOS DE ORÇAMENTO'!$C$3:$L$79,8,FALSE)</f>
        <v>1730.68758</v>
      </c>
      <c r="J2546" s="420">
        <f>IF(ISBLANK(I2546),"",SUM(H2546:I2546))</f>
        <v>2769.022856</v>
      </c>
      <c r="K2546" s="421">
        <f t="shared" si="666"/>
        <v>3289.88</v>
      </c>
      <c r="L2546" s="647" t="s">
        <v>21</v>
      </c>
      <c r="M2546" s="576"/>
      <c r="N2546" s="576">
        <f t="shared" si="675"/>
        <v>0</v>
      </c>
      <c r="O2546" s="577">
        <f t="shared" si="669"/>
        <v>0</v>
      </c>
      <c r="P2546" s="578">
        <f t="shared" si="670"/>
        <v>0</v>
      </c>
      <c r="Q2546" s="765"/>
      <c r="R2546" s="576">
        <f>M2546</f>
        <v>0</v>
      </c>
      <c r="S2546" s="576">
        <f>N2546</f>
        <v>0</v>
      </c>
      <c r="T2546" s="577">
        <f t="shared" si="667"/>
        <v>0</v>
      </c>
      <c r="U2546" s="578">
        <f t="shared" si="668"/>
        <v>0</v>
      </c>
      <c r="V2546" s="579"/>
      <c r="W2546" s="566"/>
      <c r="X2546" s="586" t="str">
        <f t="shared" si="681"/>
        <v/>
      </c>
      <c r="Y2546" s="586" t="str">
        <f t="shared" si="672"/>
        <v/>
      </c>
      <c r="Z2546" s="586" t="str">
        <f t="shared" si="680"/>
        <v/>
      </c>
    </row>
    <row r="2547" spans="1:26" ht="12" hidden="1" thickBot="1" x14ac:dyDescent="0.25">
      <c r="A2547" s="567" t="s">
        <v>168</v>
      </c>
      <c r="B2547" s="644" t="s">
        <v>168</v>
      </c>
      <c r="C2547" s="645"/>
      <c r="D2547" s="422" t="s">
        <v>212</v>
      </c>
      <c r="E2547" s="423"/>
      <c r="F2547" s="424">
        <v>500</v>
      </c>
      <c r="G2547" s="425">
        <f>VLOOKUP(D2546,'[2]ENSAIOS DE ORÇAMENTO'!$C$3:$L$79,4,FALSE)</f>
        <v>0.75196000000000007</v>
      </c>
      <c r="H2547" s="649">
        <f>IF(F2547&lt;=30,(0.78*F2547+7.82)*G2547,((0.78*30+7.82)+0.78*(F2547-30))*G2547)</f>
        <v>299.14472720000009</v>
      </c>
      <c r="I2547" s="420"/>
      <c r="J2547" s="420"/>
      <c r="K2547" s="421">
        <f t="shared" si="666"/>
        <v>0</v>
      </c>
      <c r="L2547" s="647"/>
      <c r="M2547" s="723"/>
      <c r="N2547" s="576">
        <f t="shared" si="675"/>
        <v>0</v>
      </c>
      <c r="O2547" s="577">
        <f t="shared" si="669"/>
        <v>0</v>
      </c>
      <c r="P2547" s="578">
        <f t="shared" si="670"/>
        <v>0</v>
      </c>
      <c r="Q2547" s="765"/>
      <c r="R2547" s="723"/>
      <c r="S2547" s="723"/>
      <c r="T2547" s="577">
        <f t="shared" si="667"/>
        <v>0</v>
      </c>
      <c r="U2547" s="578">
        <f t="shared" si="668"/>
        <v>0</v>
      </c>
      <c r="V2547" s="579"/>
      <c r="W2547" s="566" t="str">
        <f>IF(U2546&gt;0,"xx",IF(P2546&gt;0,"xy",""))</f>
        <v/>
      </c>
      <c r="X2547" s="586" t="str">
        <f t="shared" si="681"/>
        <v/>
      </c>
      <c r="Y2547" s="586" t="str">
        <f t="shared" si="672"/>
        <v/>
      </c>
      <c r="Z2547" s="586" t="str">
        <f t="shared" si="680"/>
        <v/>
      </c>
    </row>
    <row r="2548" spans="1:26" ht="12" hidden="1" thickBot="1" x14ac:dyDescent="0.25">
      <c r="A2548" s="567" t="s">
        <v>168</v>
      </c>
      <c r="B2548" s="644" t="s">
        <v>168</v>
      </c>
      <c r="C2548" s="645"/>
      <c r="D2548" s="422" t="s">
        <v>248</v>
      </c>
      <c r="E2548" s="423"/>
      <c r="F2548" s="424">
        <v>180</v>
      </c>
      <c r="G2548" s="425">
        <f>VLOOKUP(D2546,'[2]ENSAIOS DE ORÇAMENTO'!$C$3:$L$79,5,FALSE)</f>
        <v>3.0643799999999999</v>
      </c>
      <c r="H2548" s="663">
        <f t="shared" ref="H2548:H2550" si="683">IF(F2548&lt;=30,(1.07*F2548+2.68)*G2548,((1.07*30+2.68)+1.07*(F2548-30))*G2548)</f>
        <v>598.41212640000003</v>
      </c>
      <c r="I2548" s="420"/>
      <c r="J2548" s="420"/>
      <c r="K2548" s="421">
        <f t="shared" si="666"/>
        <v>0</v>
      </c>
      <c r="L2548" s="647"/>
      <c r="M2548" s="723"/>
      <c r="N2548" s="576">
        <f t="shared" si="675"/>
        <v>0</v>
      </c>
      <c r="O2548" s="577">
        <f t="shared" si="669"/>
        <v>0</v>
      </c>
      <c r="P2548" s="578">
        <f t="shared" si="670"/>
        <v>0</v>
      </c>
      <c r="Q2548" s="765"/>
      <c r="R2548" s="723"/>
      <c r="S2548" s="723"/>
      <c r="T2548" s="577">
        <f t="shared" si="667"/>
        <v>0</v>
      </c>
      <c r="U2548" s="578">
        <f t="shared" si="668"/>
        <v>0</v>
      </c>
      <c r="V2548" s="579"/>
      <c r="W2548" s="566" t="str">
        <f>IF(U2546&gt;0,"xx",IF(P2546&gt;0,"xy",""))</f>
        <v/>
      </c>
      <c r="X2548" s="586" t="str">
        <f t="shared" si="681"/>
        <v/>
      </c>
      <c r="Y2548" s="586" t="str">
        <f t="shared" si="672"/>
        <v/>
      </c>
      <c r="Z2548" s="586" t="str">
        <f t="shared" si="680"/>
        <v/>
      </c>
    </row>
    <row r="2549" spans="1:26" ht="12" hidden="1" thickBot="1" x14ac:dyDescent="0.25">
      <c r="A2549" s="567" t="s">
        <v>168</v>
      </c>
      <c r="B2549" s="644" t="s">
        <v>168</v>
      </c>
      <c r="C2549" s="645"/>
      <c r="D2549" s="422" t="s">
        <v>252</v>
      </c>
      <c r="E2549" s="423"/>
      <c r="F2549" s="424">
        <v>20</v>
      </c>
      <c r="G2549" s="425">
        <f>VLOOKUP(D2546,'[2]ENSAIOS DE ORÇAMENTO'!$C$3:$L$79,6,FALSE)</f>
        <v>5.8462800000000001</v>
      </c>
      <c r="H2549" s="663">
        <f t="shared" si="683"/>
        <v>140.77842240000001</v>
      </c>
      <c r="I2549" s="420"/>
      <c r="J2549" s="420"/>
      <c r="K2549" s="421">
        <f t="shared" si="666"/>
        <v>0</v>
      </c>
      <c r="L2549" s="647"/>
      <c r="M2549" s="723"/>
      <c r="N2549" s="576">
        <f t="shared" si="675"/>
        <v>0</v>
      </c>
      <c r="O2549" s="577">
        <f t="shared" si="669"/>
        <v>0</v>
      </c>
      <c r="P2549" s="578">
        <f t="shared" si="670"/>
        <v>0</v>
      </c>
      <c r="Q2549" s="765"/>
      <c r="R2549" s="723"/>
      <c r="S2549" s="723"/>
      <c r="T2549" s="577">
        <f t="shared" si="667"/>
        <v>0</v>
      </c>
      <c r="U2549" s="578">
        <f t="shared" si="668"/>
        <v>0</v>
      </c>
      <c r="V2549" s="579"/>
      <c r="W2549" s="566" t="str">
        <f>IF(U2546&gt;0,"xx",IF(P2546&gt;0,"xy",""))</f>
        <v/>
      </c>
      <c r="X2549" s="586" t="str">
        <f t="shared" si="681"/>
        <v/>
      </c>
      <c r="Y2549" s="586" t="str">
        <f t="shared" si="672"/>
        <v/>
      </c>
      <c r="Z2549" s="586" t="str">
        <f t="shared" si="680"/>
        <v/>
      </c>
    </row>
    <row r="2550" spans="1:26" ht="12" hidden="1" thickBot="1" x14ac:dyDescent="0.25">
      <c r="A2550" s="567" t="s">
        <v>168</v>
      </c>
      <c r="B2550" s="644" t="s">
        <v>168</v>
      </c>
      <c r="C2550" s="645"/>
      <c r="D2550" s="422" t="s">
        <v>400</v>
      </c>
      <c r="E2550" s="423"/>
      <c r="F2550" s="424">
        <v>30</v>
      </c>
      <c r="G2550" s="425">
        <f>VLOOKUP(D2546,'[2]ENSAIOS DE ORÇAMENTO'!$C$3:$L$79,3,FALSE)</f>
        <v>0</v>
      </c>
      <c r="H2550" s="663">
        <f t="shared" si="683"/>
        <v>0</v>
      </c>
      <c r="I2550" s="420"/>
      <c r="J2550" s="420"/>
      <c r="K2550" s="421">
        <f t="shared" si="666"/>
        <v>0</v>
      </c>
      <c r="L2550" s="647"/>
      <c r="M2550" s="723"/>
      <c r="N2550" s="576">
        <f t="shared" si="675"/>
        <v>0</v>
      </c>
      <c r="O2550" s="577">
        <f t="shared" si="669"/>
        <v>0</v>
      </c>
      <c r="P2550" s="578">
        <f t="shared" si="670"/>
        <v>0</v>
      </c>
      <c r="Q2550" s="765"/>
      <c r="R2550" s="723"/>
      <c r="S2550" s="723"/>
      <c r="T2550" s="577">
        <f t="shared" si="667"/>
        <v>0</v>
      </c>
      <c r="U2550" s="578">
        <f t="shared" si="668"/>
        <v>0</v>
      </c>
      <c r="V2550" s="579"/>
      <c r="W2550" s="566" t="str">
        <f>IF(U2546&gt;0,"xx",IF(P2546&gt;0,"xy",""))</f>
        <v/>
      </c>
      <c r="X2550" s="586" t="str">
        <f t="shared" si="681"/>
        <v/>
      </c>
      <c r="Y2550" s="586" t="str">
        <f t="shared" si="672"/>
        <v/>
      </c>
      <c r="Z2550" s="586" t="str">
        <f t="shared" si="680"/>
        <v/>
      </c>
    </row>
    <row r="2551" spans="1:26" ht="12" hidden="1" thickBot="1" x14ac:dyDescent="0.25">
      <c r="A2551" s="567" t="s">
        <v>168</v>
      </c>
      <c r="B2551" s="644" t="s">
        <v>168</v>
      </c>
      <c r="C2551" s="645"/>
      <c r="D2551" s="422" t="s">
        <v>401</v>
      </c>
      <c r="E2551" s="423"/>
      <c r="F2551" s="424">
        <v>500</v>
      </c>
      <c r="G2551" s="425">
        <f>VLOOKUP(D2546,'[2]ENSAIOS DE ORÇAMENTO'!$C$3:$L$79,10,FALSE)</f>
        <v>0</v>
      </c>
      <c r="H2551" s="649">
        <f>IF(F2551&lt;=30,(0.78*F2551+7.82)*G2551,((0.78*30+7.82)+0.78*(F2551-30))*G2551)</f>
        <v>0</v>
      </c>
      <c r="I2551" s="420"/>
      <c r="J2551" s="420"/>
      <c r="K2551" s="421">
        <f t="shared" si="666"/>
        <v>0</v>
      </c>
      <c r="L2551" s="647"/>
      <c r="M2551" s="723"/>
      <c r="N2551" s="576">
        <f t="shared" si="675"/>
        <v>0</v>
      </c>
      <c r="O2551" s="577">
        <f t="shared" si="669"/>
        <v>0</v>
      </c>
      <c r="P2551" s="578">
        <f t="shared" si="670"/>
        <v>0</v>
      </c>
      <c r="Q2551" s="765"/>
      <c r="R2551" s="723"/>
      <c r="S2551" s="723"/>
      <c r="T2551" s="577">
        <f t="shared" si="667"/>
        <v>0</v>
      </c>
      <c r="U2551" s="578">
        <f t="shared" si="668"/>
        <v>0</v>
      </c>
      <c r="V2551" s="579"/>
      <c r="W2551" s="566" t="str">
        <f>IF(U2546&gt;0,"xx",IF(P2546&gt;0,"xy",""))</f>
        <v/>
      </c>
      <c r="X2551" s="586" t="str">
        <f t="shared" si="681"/>
        <v/>
      </c>
      <c r="Y2551" s="586" t="str">
        <f t="shared" si="672"/>
        <v/>
      </c>
      <c r="Z2551" s="586" t="str">
        <f t="shared" si="680"/>
        <v/>
      </c>
    </row>
    <row r="2552" spans="1:26" ht="12" hidden="1" thickBot="1" x14ac:dyDescent="0.25">
      <c r="A2552" s="567" t="s">
        <v>53</v>
      </c>
      <c r="B2552" s="644" t="s">
        <v>53</v>
      </c>
      <c r="C2552" s="645" t="s">
        <v>206</v>
      </c>
      <c r="D2552" s="422" t="s">
        <v>163</v>
      </c>
      <c r="E2552" s="423"/>
      <c r="F2552" s="424"/>
      <c r="G2552" s="425"/>
      <c r="H2552" s="651">
        <f>SUM(H2553:H2557)</f>
        <v>1505.7755270000002</v>
      </c>
      <c r="I2552" s="420">
        <f>VLOOKUP(D2552,'[2]ENSAIOS DE ORÇAMENTO'!$C$3:$L$79,8,FALSE)</f>
        <v>2471.9100133333332</v>
      </c>
      <c r="J2552" s="420">
        <f>IF(ISBLANK(I2552),"",SUM(H2552:I2552))</f>
        <v>3977.6855403333334</v>
      </c>
      <c r="K2552" s="421">
        <f t="shared" si="666"/>
        <v>4725.8900000000003</v>
      </c>
      <c r="L2552" s="647" t="s">
        <v>21</v>
      </c>
      <c r="M2552" s="576"/>
      <c r="N2552" s="576">
        <f t="shared" si="675"/>
        <v>0</v>
      </c>
      <c r="O2552" s="577">
        <f t="shared" si="669"/>
        <v>0</v>
      </c>
      <c r="P2552" s="578">
        <f t="shared" si="670"/>
        <v>0</v>
      </c>
      <c r="Q2552" s="765"/>
      <c r="R2552" s="576">
        <f>M2552</f>
        <v>0</v>
      </c>
      <c r="S2552" s="576">
        <f>N2552</f>
        <v>0</v>
      </c>
      <c r="T2552" s="577">
        <f t="shared" si="667"/>
        <v>0</v>
      </c>
      <c r="U2552" s="578">
        <f t="shared" si="668"/>
        <v>0</v>
      </c>
      <c r="V2552" s="579"/>
      <c r="W2552" s="566"/>
      <c r="X2552" s="586" t="str">
        <f t="shared" si="681"/>
        <v/>
      </c>
      <c r="Y2552" s="586" t="str">
        <f t="shared" si="672"/>
        <v/>
      </c>
      <c r="Z2552" s="586" t="str">
        <f t="shared" si="680"/>
        <v/>
      </c>
    </row>
    <row r="2553" spans="1:26" ht="12" hidden="1" thickBot="1" x14ac:dyDescent="0.25">
      <c r="A2553" s="567" t="s">
        <v>168</v>
      </c>
      <c r="B2553" s="644" t="s">
        <v>168</v>
      </c>
      <c r="C2553" s="645"/>
      <c r="D2553" s="422" t="s">
        <v>212</v>
      </c>
      <c r="E2553" s="423"/>
      <c r="F2553" s="424">
        <v>500</v>
      </c>
      <c r="G2553" s="425">
        <f>VLOOKUP(D2552,'[2]ENSAIOS DE ORÇAMENTO'!$C$3:$L$79,4,FALSE)</f>
        <v>1.08901</v>
      </c>
      <c r="H2553" s="649">
        <f>IF(F2553&lt;=30,(0.78*F2553+7.82)*G2553,((0.78*30+7.82)+0.78*(F2553-30))*G2553)</f>
        <v>433.22995820000006</v>
      </c>
      <c r="I2553" s="420"/>
      <c r="J2553" s="420"/>
      <c r="K2553" s="421">
        <f t="shared" si="666"/>
        <v>0</v>
      </c>
      <c r="L2553" s="647"/>
      <c r="M2553" s="723"/>
      <c r="N2553" s="576">
        <f t="shared" si="675"/>
        <v>0</v>
      </c>
      <c r="O2553" s="577">
        <f t="shared" si="669"/>
        <v>0</v>
      </c>
      <c r="P2553" s="578">
        <f t="shared" si="670"/>
        <v>0</v>
      </c>
      <c r="Q2553" s="765"/>
      <c r="R2553" s="723"/>
      <c r="S2553" s="723"/>
      <c r="T2553" s="577">
        <f t="shared" si="667"/>
        <v>0</v>
      </c>
      <c r="U2553" s="578">
        <f t="shared" si="668"/>
        <v>0</v>
      </c>
      <c r="V2553" s="579"/>
      <c r="W2553" s="566" t="str">
        <f>IF(U2552&gt;0,"xx",IF(P2552&gt;0,"xy",""))</f>
        <v/>
      </c>
      <c r="X2553" s="586" t="str">
        <f t="shared" si="681"/>
        <v/>
      </c>
      <c r="Y2553" s="586" t="str">
        <f t="shared" si="672"/>
        <v/>
      </c>
      <c r="Z2553" s="586" t="str">
        <f t="shared" si="680"/>
        <v/>
      </c>
    </row>
    <row r="2554" spans="1:26" ht="12" hidden="1" thickBot="1" x14ac:dyDescent="0.25">
      <c r="A2554" s="567" t="s">
        <v>168</v>
      </c>
      <c r="B2554" s="644" t="s">
        <v>168</v>
      </c>
      <c r="C2554" s="645"/>
      <c r="D2554" s="422" t="s">
        <v>248</v>
      </c>
      <c r="E2554" s="423"/>
      <c r="F2554" s="424">
        <v>180</v>
      </c>
      <c r="G2554" s="425">
        <f>VLOOKUP(D2552,'[2]ENSAIOS DE ORÇAMENTO'!$C$3:$L$79,5,FALSE)</f>
        <v>4.4434800000000001</v>
      </c>
      <c r="H2554" s="663">
        <f t="shared" ref="H2554:H2556" si="684">IF(F2554&lt;=30,(1.07*F2554+2.68)*G2554,((1.07*30+2.68)+1.07*(F2554-30))*G2554)</f>
        <v>867.72277440000005</v>
      </c>
      <c r="I2554" s="420"/>
      <c r="J2554" s="420"/>
      <c r="K2554" s="421">
        <f t="shared" si="666"/>
        <v>0</v>
      </c>
      <c r="L2554" s="647"/>
      <c r="M2554" s="723"/>
      <c r="N2554" s="576">
        <f t="shared" si="675"/>
        <v>0</v>
      </c>
      <c r="O2554" s="577">
        <f t="shared" si="669"/>
        <v>0</v>
      </c>
      <c r="P2554" s="578">
        <f t="shared" si="670"/>
        <v>0</v>
      </c>
      <c r="Q2554" s="765"/>
      <c r="R2554" s="723"/>
      <c r="S2554" s="723"/>
      <c r="T2554" s="577">
        <f t="shared" si="667"/>
        <v>0</v>
      </c>
      <c r="U2554" s="578">
        <f t="shared" si="668"/>
        <v>0</v>
      </c>
      <c r="V2554" s="579"/>
      <c r="W2554" s="566" t="str">
        <f>IF(U2552&gt;0,"xx",IF(P2552&gt;0,"xy",""))</f>
        <v/>
      </c>
      <c r="X2554" s="586" t="str">
        <f t="shared" si="681"/>
        <v/>
      </c>
      <c r="Y2554" s="586" t="str">
        <f t="shared" si="672"/>
        <v/>
      </c>
      <c r="Z2554" s="586" t="str">
        <f t="shared" si="680"/>
        <v/>
      </c>
    </row>
    <row r="2555" spans="1:26" ht="12" hidden="1" thickBot="1" x14ac:dyDescent="0.25">
      <c r="A2555" s="567" t="s">
        <v>168</v>
      </c>
      <c r="B2555" s="644" t="s">
        <v>168</v>
      </c>
      <c r="C2555" s="645"/>
      <c r="D2555" s="422" t="s">
        <v>252</v>
      </c>
      <c r="E2555" s="423"/>
      <c r="F2555" s="424">
        <v>20</v>
      </c>
      <c r="G2555" s="425">
        <f>VLOOKUP(D2552,'[2]ENSAIOS DE ORÇAMENTO'!$C$3:$L$79,6,FALSE)</f>
        <v>8.5059300000000011</v>
      </c>
      <c r="H2555" s="663">
        <f t="shared" si="684"/>
        <v>204.82279440000005</v>
      </c>
      <c r="I2555" s="420"/>
      <c r="J2555" s="420"/>
      <c r="K2555" s="421">
        <f t="shared" si="666"/>
        <v>0</v>
      </c>
      <c r="L2555" s="647"/>
      <c r="M2555" s="723"/>
      <c r="N2555" s="576">
        <f t="shared" si="675"/>
        <v>0</v>
      </c>
      <c r="O2555" s="577">
        <f t="shared" si="669"/>
        <v>0</v>
      </c>
      <c r="P2555" s="578">
        <f t="shared" si="670"/>
        <v>0</v>
      </c>
      <c r="Q2555" s="765"/>
      <c r="R2555" s="723"/>
      <c r="S2555" s="723"/>
      <c r="T2555" s="577">
        <f t="shared" si="667"/>
        <v>0</v>
      </c>
      <c r="U2555" s="578">
        <f t="shared" si="668"/>
        <v>0</v>
      </c>
      <c r="V2555" s="579"/>
      <c r="W2555" s="566" t="str">
        <f>IF(U2552&gt;0,"xx",IF(P2552&gt;0,"xy",""))</f>
        <v/>
      </c>
      <c r="X2555" s="586" t="str">
        <f t="shared" si="681"/>
        <v/>
      </c>
      <c r="Y2555" s="586" t="str">
        <f t="shared" si="672"/>
        <v/>
      </c>
      <c r="Z2555" s="586" t="str">
        <f t="shared" si="680"/>
        <v/>
      </c>
    </row>
    <row r="2556" spans="1:26" ht="12" hidden="1" thickBot="1" x14ac:dyDescent="0.25">
      <c r="A2556" s="567" t="s">
        <v>168</v>
      </c>
      <c r="B2556" s="644" t="s">
        <v>168</v>
      </c>
      <c r="C2556" s="645"/>
      <c r="D2556" s="422" t="s">
        <v>400</v>
      </c>
      <c r="E2556" s="423"/>
      <c r="F2556" s="424">
        <v>30</v>
      </c>
      <c r="G2556" s="425">
        <f>VLOOKUP(D2552,'[2]ENSAIOS DE ORÇAMENTO'!$C$3:$L$79,3,FALSE)</f>
        <v>0</v>
      </c>
      <c r="H2556" s="663">
        <f t="shared" si="684"/>
        <v>0</v>
      </c>
      <c r="I2556" s="420"/>
      <c r="J2556" s="420"/>
      <c r="K2556" s="421">
        <f t="shared" si="666"/>
        <v>0</v>
      </c>
      <c r="L2556" s="647"/>
      <c r="M2556" s="723"/>
      <c r="N2556" s="576">
        <f t="shared" si="675"/>
        <v>0</v>
      </c>
      <c r="O2556" s="577">
        <f t="shared" si="669"/>
        <v>0</v>
      </c>
      <c r="P2556" s="578">
        <f t="shared" si="670"/>
        <v>0</v>
      </c>
      <c r="Q2556" s="765"/>
      <c r="R2556" s="723"/>
      <c r="S2556" s="723"/>
      <c r="T2556" s="577">
        <f t="shared" si="667"/>
        <v>0</v>
      </c>
      <c r="U2556" s="578">
        <f t="shared" si="668"/>
        <v>0</v>
      </c>
      <c r="V2556" s="579"/>
      <c r="W2556" s="566" t="str">
        <f>IF(U2552&gt;0,"xx",IF(P2552&gt;0,"xy",""))</f>
        <v/>
      </c>
      <c r="X2556" s="586" t="str">
        <f t="shared" si="681"/>
        <v/>
      </c>
      <c r="Y2556" s="586" t="str">
        <f t="shared" si="672"/>
        <v/>
      </c>
      <c r="Z2556" s="586" t="str">
        <f t="shared" si="680"/>
        <v/>
      </c>
    </row>
    <row r="2557" spans="1:26" ht="12" hidden="1" thickBot="1" x14ac:dyDescent="0.25">
      <c r="A2557" s="567" t="s">
        <v>168</v>
      </c>
      <c r="B2557" s="644" t="s">
        <v>168</v>
      </c>
      <c r="C2557" s="645"/>
      <c r="D2557" s="422" t="s">
        <v>401</v>
      </c>
      <c r="E2557" s="423"/>
      <c r="F2557" s="424">
        <v>500</v>
      </c>
      <c r="G2557" s="425">
        <f>VLOOKUP(D2552,'[2]ENSAIOS DE ORÇAMENTO'!$C$3:$L$79,10,FALSE)</f>
        <v>0</v>
      </c>
      <c r="H2557" s="649">
        <f>IF(F2557&lt;=30,(0.78*F2557+7.82)*G2557,((0.78*30+7.82)+0.78*(F2557-30))*G2557)</f>
        <v>0</v>
      </c>
      <c r="I2557" s="420"/>
      <c r="J2557" s="420"/>
      <c r="K2557" s="421">
        <f t="shared" si="666"/>
        <v>0</v>
      </c>
      <c r="L2557" s="647"/>
      <c r="M2557" s="723"/>
      <c r="N2557" s="576">
        <f t="shared" si="675"/>
        <v>0</v>
      </c>
      <c r="O2557" s="577">
        <f t="shared" si="669"/>
        <v>0</v>
      </c>
      <c r="P2557" s="578">
        <f t="shared" si="670"/>
        <v>0</v>
      </c>
      <c r="Q2557" s="765"/>
      <c r="R2557" s="723"/>
      <c r="S2557" s="723"/>
      <c r="T2557" s="577">
        <f t="shared" si="667"/>
        <v>0</v>
      </c>
      <c r="U2557" s="578">
        <f t="shared" si="668"/>
        <v>0</v>
      </c>
      <c r="V2557" s="579"/>
      <c r="W2557" s="566" t="str">
        <f>IF(U2552&gt;0,"xx",IF(P2552&gt;0,"xy",""))</f>
        <v/>
      </c>
      <c r="X2557" s="586" t="str">
        <f t="shared" si="681"/>
        <v/>
      </c>
      <c r="Y2557" s="586" t="str">
        <f t="shared" si="672"/>
        <v/>
      </c>
      <c r="Z2557" s="586" t="str">
        <f t="shared" si="680"/>
        <v/>
      </c>
    </row>
    <row r="2558" spans="1:26" ht="12" hidden="1" thickBot="1" x14ac:dyDescent="0.25">
      <c r="A2558" s="567" t="s">
        <v>53</v>
      </c>
      <c r="B2558" s="644" t="s">
        <v>53</v>
      </c>
      <c r="C2558" s="645" t="s">
        <v>206</v>
      </c>
      <c r="D2558" s="422" t="s">
        <v>164</v>
      </c>
      <c r="E2558" s="423"/>
      <c r="F2558" s="424"/>
      <c r="G2558" s="425"/>
      <c r="H2558" s="651">
        <f>SUM(H2559:H2563)</f>
        <v>2044.4262430000003</v>
      </c>
      <c r="I2558" s="420">
        <f>VLOOKUP(D2558,'[2]ENSAIOS DE ORÇAMENTO'!$C$3:$L$79,8,FALSE)</f>
        <v>3327.3276800000003</v>
      </c>
      <c r="J2558" s="420">
        <f>IF(ISBLANK(I2558),"",SUM(H2558:I2558))</f>
        <v>5371.7539230000002</v>
      </c>
      <c r="K2558" s="421">
        <f t="shared" si="666"/>
        <v>6382.18</v>
      </c>
      <c r="L2558" s="647" t="s">
        <v>21</v>
      </c>
      <c r="M2558" s="576"/>
      <c r="N2558" s="576">
        <f t="shared" si="675"/>
        <v>0</v>
      </c>
      <c r="O2558" s="577">
        <f t="shared" si="669"/>
        <v>0</v>
      </c>
      <c r="P2558" s="578">
        <f t="shared" si="670"/>
        <v>0</v>
      </c>
      <c r="Q2558" s="765"/>
      <c r="R2558" s="576">
        <f>M2558</f>
        <v>0</v>
      </c>
      <c r="S2558" s="576">
        <f>N2558</f>
        <v>0</v>
      </c>
      <c r="T2558" s="577">
        <f t="shared" si="667"/>
        <v>0</v>
      </c>
      <c r="U2558" s="578">
        <f t="shared" si="668"/>
        <v>0</v>
      </c>
      <c r="V2558" s="579"/>
      <c r="W2558" s="566"/>
      <c r="X2558" s="586" t="str">
        <f t="shared" si="681"/>
        <v/>
      </c>
      <c r="Y2558" s="586" t="str">
        <f t="shared" si="672"/>
        <v/>
      </c>
      <c r="Z2558" s="586" t="str">
        <f t="shared" si="680"/>
        <v/>
      </c>
    </row>
    <row r="2559" spans="1:26" ht="12" hidden="1" thickBot="1" x14ac:dyDescent="0.25">
      <c r="A2559" s="567" t="s">
        <v>168</v>
      </c>
      <c r="B2559" s="644" t="s">
        <v>168</v>
      </c>
      <c r="C2559" s="645"/>
      <c r="D2559" s="422" t="s">
        <v>212</v>
      </c>
      <c r="E2559" s="423"/>
      <c r="F2559" s="424">
        <v>500</v>
      </c>
      <c r="G2559" s="425">
        <f>VLOOKUP(D2558,'[2]ENSAIOS DE ORÇAMENTO'!$C$3:$L$79,4,FALSE)</f>
        <v>1.4740100000000003</v>
      </c>
      <c r="H2559" s="649">
        <f>IF(F2559&lt;=30,(0.78*F2559+7.82)*G2559,((0.78*30+7.82)+0.78*(F2559-30))*G2559)</f>
        <v>586.39065820000019</v>
      </c>
      <c r="I2559" s="420"/>
      <c r="J2559" s="420"/>
      <c r="K2559" s="421">
        <f t="shared" si="666"/>
        <v>0</v>
      </c>
      <c r="L2559" s="647"/>
      <c r="M2559" s="723"/>
      <c r="N2559" s="576">
        <f t="shared" si="675"/>
        <v>0</v>
      </c>
      <c r="O2559" s="577">
        <f t="shared" si="669"/>
        <v>0</v>
      </c>
      <c r="P2559" s="578">
        <f t="shared" si="670"/>
        <v>0</v>
      </c>
      <c r="Q2559" s="765"/>
      <c r="R2559" s="723"/>
      <c r="S2559" s="723"/>
      <c r="T2559" s="577">
        <f t="shared" si="667"/>
        <v>0</v>
      </c>
      <c r="U2559" s="578">
        <f t="shared" si="668"/>
        <v>0</v>
      </c>
      <c r="V2559" s="579"/>
      <c r="W2559" s="566" t="str">
        <f>IF(U2558&gt;0,"xx",IF(P2558&gt;0,"xy",""))</f>
        <v/>
      </c>
      <c r="X2559" s="586" t="str">
        <f t="shared" si="681"/>
        <v/>
      </c>
      <c r="Y2559" s="586" t="str">
        <f t="shared" si="672"/>
        <v/>
      </c>
      <c r="Z2559" s="586" t="str">
        <f t="shared" si="680"/>
        <v/>
      </c>
    </row>
    <row r="2560" spans="1:26" ht="12" hidden="1" thickBot="1" x14ac:dyDescent="0.25">
      <c r="A2560" s="567" t="s">
        <v>168</v>
      </c>
      <c r="B2560" s="644" t="s">
        <v>168</v>
      </c>
      <c r="C2560" s="645"/>
      <c r="D2560" s="422" t="s">
        <v>248</v>
      </c>
      <c r="E2560" s="423"/>
      <c r="F2560" s="424">
        <v>180</v>
      </c>
      <c r="G2560" s="425">
        <f>VLOOKUP(D2558,'[2]ENSAIOS DE ORÇAMENTO'!$C$3:$L$79,5,FALSE)</f>
        <v>6.0316799999999997</v>
      </c>
      <c r="H2560" s="663">
        <f t="shared" ref="H2560:H2562" si="685">IF(F2560&lt;=30,(1.07*F2560+2.68)*G2560,((1.07*30+2.68)+1.07*(F2560-30))*G2560)</f>
        <v>1177.8664704</v>
      </c>
      <c r="I2560" s="420"/>
      <c r="J2560" s="420"/>
      <c r="K2560" s="421">
        <f t="shared" ref="K2560:K2623" si="686">IF(ISBLANK(I2560),0,ROUND(J2560*(1+$F$10)*(1+$F$11*E2560),2))</f>
        <v>0</v>
      </c>
      <c r="L2560" s="647"/>
      <c r="M2560" s="723"/>
      <c r="N2560" s="576">
        <f t="shared" si="675"/>
        <v>0</v>
      </c>
      <c r="O2560" s="577">
        <f t="shared" si="669"/>
        <v>0</v>
      </c>
      <c r="P2560" s="578">
        <f t="shared" si="670"/>
        <v>0</v>
      </c>
      <c r="Q2560" s="765"/>
      <c r="R2560" s="723"/>
      <c r="S2560" s="723"/>
      <c r="T2560" s="577">
        <f t="shared" ref="T2560:T2623" si="687">IF(ISBLANK(R2560),0,ROUND(K2560*R2560,2))</f>
        <v>0</v>
      </c>
      <c r="U2560" s="578">
        <f t="shared" ref="U2560:U2623" si="688">IF(ISBLANK(R2560),0,ROUND(R2560*S2560,2))</f>
        <v>0</v>
      </c>
      <c r="V2560" s="579"/>
      <c r="W2560" s="566" t="str">
        <f>IF(U2558&gt;0,"xx",IF(P2558&gt;0,"xy",""))</f>
        <v/>
      </c>
      <c r="X2560" s="586" t="str">
        <f t="shared" si="681"/>
        <v/>
      </c>
      <c r="Y2560" s="586" t="str">
        <f t="shared" si="672"/>
        <v/>
      </c>
      <c r="Z2560" s="586" t="str">
        <f t="shared" si="680"/>
        <v/>
      </c>
    </row>
    <row r="2561" spans="1:26" ht="12" hidden="1" thickBot="1" x14ac:dyDescent="0.25">
      <c r="A2561" s="567" t="s">
        <v>168</v>
      </c>
      <c r="B2561" s="644" t="s">
        <v>168</v>
      </c>
      <c r="C2561" s="645"/>
      <c r="D2561" s="422" t="s">
        <v>252</v>
      </c>
      <c r="E2561" s="423"/>
      <c r="F2561" s="424">
        <v>20</v>
      </c>
      <c r="G2561" s="425">
        <f>VLOOKUP(D2558,'[2]ENSAIOS DE ORÇAMENTO'!$C$3:$L$79,6,FALSE)</f>
        <v>11.634930000000001</v>
      </c>
      <c r="H2561" s="663">
        <f t="shared" si="685"/>
        <v>280.16911440000001</v>
      </c>
      <c r="I2561" s="420"/>
      <c r="J2561" s="420"/>
      <c r="K2561" s="421">
        <f t="shared" si="686"/>
        <v>0</v>
      </c>
      <c r="L2561" s="647"/>
      <c r="M2561" s="723"/>
      <c r="N2561" s="576">
        <f t="shared" si="675"/>
        <v>0</v>
      </c>
      <c r="O2561" s="577">
        <f t="shared" ref="O2561:O2624" si="689">IF(ISBLANK(M2561),0,ROUND(K2561*M2561,2))</f>
        <v>0</v>
      </c>
      <c r="P2561" s="578">
        <f t="shared" ref="P2561:P2624" si="690">IF(ISBLANK(N2561),0,ROUND(M2561*N2561,2))</f>
        <v>0</v>
      </c>
      <c r="Q2561" s="765"/>
      <c r="R2561" s="723"/>
      <c r="S2561" s="723"/>
      <c r="T2561" s="577">
        <f t="shared" si="687"/>
        <v>0</v>
      </c>
      <c r="U2561" s="578">
        <f t="shared" si="688"/>
        <v>0</v>
      </c>
      <c r="V2561" s="579"/>
      <c r="W2561" s="566" t="str">
        <f>IF(U2558&gt;0,"xx",IF(P2558&gt;0,"xy",""))</f>
        <v/>
      </c>
      <c r="X2561" s="586" t="str">
        <f t="shared" si="681"/>
        <v/>
      </c>
      <c r="Y2561" s="586" t="str">
        <f t="shared" si="672"/>
        <v/>
      </c>
      <c r="Z2561" s="586" t="str">
        <f t="shared" si="680"/>
        <v/>
      </c>
    </row>
    <row r="2562" spans="1:26" ht="12" hidden="1" thickBot="1" x14ac:dyDescent="0.25">
      <c r="A2562" s="567" t="s">
        <v>168</v>
      </c>
      <c r="B2562" s="644" t="s">
        <v>168</v>
      </c>
      <c r="C2562" s="645"/>
      <c r="D2562" s="422" t="s">
        <v>400</v>
      </c>
      <c r="E2562" s="423"/>
      <c r="F2562" s="424">
        <v>30</v>
      </c>
      <c r="G2562" s="425">
        <f>VLOOKUP(D2558,'[2]ENSAIOS DE ORÇAMENTO'!$C$3:$L$79,3,FALSE)</f>
        <v>0</v>
      </c>
      <c r="H2562" s="663">
        <f t="shared" si="685"/>
        <v>0</v>
      </c>
      <c r="I2562" s="420"/>
      <c r="J2562" s="420"/>
      <c r="K2562" s="421">
        <f t="shared" si="686"/>
        <v>0</v>
      </c>
      <c r="L2562" s="647"/>
      <c r="M2562" s="723"/>
      <c r="N2562" s="576">
        <f t="shared" si="675"/>
        <v>0</v>
      </c>
      <c r="O2562" s="577">
        <f t="shared" si="689"/>
        <v>0</v>
      </c>
      <c r="P2562" s="578">
        <f t="shared" si="690"/>
        <v>0</v>
      </c>
      <c r="Q2562" s="765"/>
      <c r="R2562" s="723"/>
      <c r="S2562" s="723"/>
      <c r="T2562" s="577">
        <f t="shared" si="687"/>
        <v>0</v>
      </c>
      <c r="U2562" s="578">
        <f t="shared" si="688"/>
        <v>0</v>
      </c>
      <c r="V2562" s="579"/>
      <c r="W2562" s="566" t="str">
        <f>IF(U2558&gt;0,"xx",IF(P2558&gt;0,"xy",""))</f>
        <v/>
      </c>
      <c r="X2562" s="586" t="str">
        <f t="shared" si="681"/>
        <v/>
      </c>
      <c r="Y2562" s="586" t="str">
        <f t="shared" si="672"/>
        <v/>
      </c>
      <c r="Z2562" s="586" t="str">
        <f t="shared" si="680"/>
        <v/>
      </c>
    </row>
    <row r="2563" spans="1:26" ht="12" hidden="1" thickBot="1" x14ac:dyDescent="0.25">
      <c r="A2563" s="567" t="s">
        <v>168</v>
      </c>
      <c r="B2563" s="644" t="s">
        <v>168</v>
      </c>
      <c r="C2563" s="645"/>
      <c r="D2563" s="422" t="s">
        <v>401</v>
      </c>
      <c r="E2563" s="423"/>
      <c r="F2563" s="424">
        <v>500</v>
      </c>
      <c r="G2563" s="425">
        <f>VLOOKUP(D2558,'[2]ENSAIOS DE ORÇAMENTO'!$C$3:$L$79,10,FALSE)</f>
        <v>0</v>
      </c>
      <c r="H2563" s="649">
        <f>IF(F2563&lt;=30,(0.78*F2563+7.82)*G2563,((0.78*30+7.82)+0.78*(F2563-30))*G2563)</f>
        <v>0</v>
      </c>
      <c r="I2563" s="420"/>
      <c r="J2563" s="420"/>
      <c r="K2563" s="421">
        <f t="shared" si="686"/>
        <v>0</v>
      </c>
      <c r="L2563" s="647"/>
      <c r="M2563" s="723"/>
      <c r="N2563" s="576">
        <f t="shared" si="675"/>
        <v>0</v>
      </c>
      <c r="O2563" s="577">
        <f t="shared" si="689"/>
        <v>0</v>
      </c>
      <c r="P2563" s="578">
        <f t="shared" si="690"/>
        <v>0</v>
      </c>
      <c r="Q2563" s="765"/>
      <c r="R2563" s="723"/>
      <c r="S2563" s="723"/>
      <c r="T2563" s="577">
        <f t="shared" si="687"/>
        <v>0</v>
      </c>
      <c r="U2563" s="578">
        <f t="shared" si="688"/>
        <v>0</v>
      </c>
      <c r="V2563" s="579"/>
      <c r="W2563" s="566" t="str">
        <f>IF(U2558&gt;0,"xx",IF(P2558&gt;0,"xy",""))</f>
        <v/>
      </c>
      <c r="X2563" s="586" t="str">
        <f t="shared" si="681"/>
        <v/>
      </c>
      <c r="Y2563" s="586" t="str">
        <f t="shared" si="672"/>
        <v/>
      </c>
      <c r="Z2563" s="586" t="str">
        <f t="shared" si="680"/>
        <v/>
      </c>
    </row>
    <row r="2564" spans="1:26" ht="12" hidden="1" thickBot="1" x14ac:dyDescent="0.25">
      <c r="A2564" s="567" t="s">
        <v>53</v>
      </c>
      <c r="B2564" s="644" t="s">
        <v>53</v>
      </c>
      <c r="C2564" s="645" t="s">
        <v>206</v>
      </c>
      <c r="D2564" s="422" t="s">
        <v>165</v>
      </c>
      <c r="E2564" s="423"/>
      <c r="F2564" s="424"/>
      <c r="G2564" s="425"/>
      <c r="H2564" s="651">
        <f>SUM(H2565:H2569)</f>
        <v>3375.5045890000001</v>
      </c>
      <c r="I2564" s="420">
        <f>VLOOKUP(D2564,'[2]ENSAIOS DE ORÇAMENTO'!$C$3:$L$79,8,FALSE)</f>
        <v>5392.3903933333331</v>
      </c>
      <c r="J2564" s="420">
        <f>IF(ISBLANK(I2564),"",SUM(H2564:I2564))</f>
        <v>8767.8949823333332</v>
      </c>
      <c r="K2564" s="421">
        <f t="shared" si="686"/>
        <v>10417.14</v>
      </c>
      <c r="L2564" s="647" t="s">
        <v>21</v>
      </c>
      <c r="M2564" s="576"/>
      <c r="N2564" s="576">
        <f t="shared" si="675"/>
        <v>0</v>
      </c>
      <c r="O2564" s="577">
        <f t="shared" si="689"/>
        <v>0</v>
      </c>
      <c r="P2564" s="578">
        <f t="shared" si="690"/>
        <v>0</v>
      </c>
      <c r="Q2564" s="765"/>
      <c r="R2564" s="576">
        <f>M2564</f>
        <v>0</v>
      </c>
      <c r="S2564" s="576">
        <f>N2564</f>
        <v>0</v>
      </c>
      <c r="T2564" s="577">
        <f t="shared" si="687"/>
        <v>0</v>
      </c>
      <c r="U2564" s="578">
        <f t="shared" si="688"/>
        <v>0</v>
      </c>
      <c r="V2564" s="579"/>
      <c r="W2564" s="566"/>
      <c r="X2564" s="586" t="str">
        <f t="shared" si="681"/>
        <v/>
      </c>
      <c r="Y2564" s="586" t="str">
        <f t="shared" si="672"/>
        <v/>
      </c>
      <c r="Z2564" s="586" t="str">
        <f t="shared" si="680"/>
        <v/>
      </c>
    </row>
    <row r="2565" spans="1:26" ht="12" hidden="1" thickBot="1" x14ac:dyDescent="0.25">
      <c r="A2565" s="567" t="s">
        <v>168</v>
      </c>
      <c r="B2565" s="644" t="s">
        <v>168</v>
      </c>
      <c r="C2565" s="645"/>
      <c r="D2565" s="422" t="s">
        <v>212</v>
      </c>
      <c r="E2565" s="423"/>
      <c r="F2565" s="424">
        <v>500</v>
      </c>
      <c r="G2565" s="425">
        <f>VLOOKUP(D2564,'[2]ENSAIOS DE ORÇAMENTO'!$C$3:$L$79,4,FALSE)</f>
        <v>2.41967</v>
      </c>
      <c r="H2565" s="649">
        <f>IF(F2565&lt;=30,(0.78*F2565+7.82)*G2565,((0.78*30+7.82)+0.78*(F2565-30))*G2565)</f>
        <v>962.59311940000009</v>
      </c>
      <c r="I2565" s="420"/>
      <c r="J2565" s="420"/>
      <c r="K2565" s="421">
        <f t="shared" si="686"/>
        <v>0</v>
      </c>
      <c r="L2565" s="647"/>
      <c r="M2565" s="723"/>
      <c r="N2565" s="576">
        <f t="shared" si="675"/>
        <v>0</v>
      </c>
      <c r="O2565" s="577">
        <f t="shared" si="689"/>
        <v>0</v>
      </c>
      <c r="P2565" s="578">
        <f t="shared" si="690"/>
        <v>0</v>
      </c>
      <c r="Q2565" s="765"/>
      <c r="R2565" s="723"/>
      <c r="S2565" s="723"/>
      <c r="T2565" s="577">
        <f t="shared" si="687"/>
        <v>0</v>
      </c>
      <c r="U2565" s="578">
        <f t="shared" si="688"/>
        <v>0</v>
      </c>
      <c r="V2565" s="579"/>
      <c r="W2565" s="566" t="str">
        <f>IF(U2564&gt;0,"xx",IF(P2564&gt;0,"xy",""))</f>
        <v/>
      </c>
      <c r="X2565" s="586" t="str">
        <f t="shared" si="681"/>
        <v/>
      </c>
      <c r="Y2565" s="586" t="str">
        <f t="shared" si="672"/>
        <v/>
      </c>
      <c r="Z2565" s="586" t="str">
        <f t="shared" si="680"/>
        <v/>
      </c>
    </row>
    <row r="2566" spans="1:26" ht="12" hidden="1" thickBot="1" x14ac:dyDescent="0.25">
      <c r="A2566" s="567" t="s">
        <v>168</v>
      </c>
      <c r="B2566" s="644" t="s">
        <v>168</v>
      </c>
      <c r="C2566" s="645"/>
      <c r="D2566" s="422" t="s">
        <v>248</v>
      </c>
      <c r="E2566" s="423"/>
      <c r="F2566" s="424">
        <v>180</v>
      </c>
      <c r="G2566" s="425">
        <f>VLOOKUP(D2564,'[2]ENSAIOS DE ORÇAMENTO'!$C$3:$L$79,5,FALSE)</f>
        <v>9.9546600000000005</v>
      </c>
      <c r="H2566" s="663">
        <f t="shared" ref="H2566:H2568" si="691">IF(F2566&lt;=30,(1.07*F2566+2.68)*G2566,((1.07*30+2.68)+1.07*(F2566-30))*G2566)</f>
        <v>1943.9460048000001</v>
      </c>
      <c r="I2566" s="420"/>
      <c r="J2566" s="420"/>
      <c r="K2566" s="421">
        <f t="shared" si="686"/>
        <v>0</v>
      </c>
      <c r="L2566" s="647"/>
      <c r="M2566" s="723"/>
      <c r="N2566" s="576">
        <f t="shared" si="675"/>
        <v>0</v>
      </c>
      <c r="O2566" s="577">
        <f t="shared" si="689"/>
        <v>0</v>
      </c>
      <c r="P2566" s="578">
        <f t="shared" si="690"/>
        <v>0</v>
      </c>
      <c r="Q2566" s="765"/>
      <c r="R2566" s="723"/>
      <c r="S2566" s="723"/>
      <c r="T2566" s="577">
        <f t="shared" si="687"/>
        <v>0</v>
      </c>
      <c r="U2566" s="578">
        <f t="shared" si="688"/>
        <v>0</v>
      </c>
      <c r="V2566" s="579"/>
      <c r="W2566" s="566" t="str">
        <f>IF(U2564&gt;0,"xx",IF(P2564&gt;0,"xy",""))</f>
        <v/>
      </c>
      <c r="X2566" s="586" t="str">
        <f t="shared" si="681"/>
        <v/>
      </c>
      <c r="Y2566" s="586" t="str">
        <f t="shared" si="672"/>
        <v/>
      </c>
      <c r="Z2566" s="586" t="str">
        <f t="shared" si="680"/>
        <v/>
      </c>
    </row>
    <row r="2567" spans="1:26" ht="12" hidden="1" thickBot="1" x14ac:dyDescent="0.25">
      <c r="A2567" s="567" t="s">
        <v>168</v>
      </c>
      <c r="B2567" s="644" t="s">
        <v>168</v>
      </c>
      <c r="C2567" s="645"/>
      <c r="D2567" s="422" t="s">
        <v>252</v>
      </c>
      <c r="E2567" s="423"/>
      <c r="F2567" s="424">
        <v>20</v>
      </c>
      <c r="G2567" s="425">
        <f>VLOOKUP(D2564,'[2]ENSAIOS DE ORÇAMENTO'!$C$3:$L$79,6,FALSE)</f>
        <v>19.47531</v>
      </c>
      <c r="H2567" s="663">
        <f t="shared" si="691"/>
        <v>468.96546480000006</v>
      </c>
      <c r="I2567" s="420"/>
      <c r="J2567" s="420"/>
      <c r="K2567" s="421">
        <f t="shared" si="686"/>
        <v>0</v>
      </c>
      <c r="L2567" s="647"/>
      <c r="M2567" s="723"/>
      <c r="N2567" s="576">
        <f t="shared" si="675"/>
        <v>0</v>
      </c>
      <c r="O2567" s="577">
        <f t="shared" si="689"/>
        <v>0</v>
      </c>
      <c r="P2567" s="578">
        <f t="shared" si="690"/>
        <v>0</v>
      </c>
      <c r="Q2567" s="765"/>
      <c r="R2567" s="723"/>
      <c r="S2567" s="723"/>
      <c r="T2567" s="577">
        <f t="shared" si="687"/>
        <v>0</v>
      </c>
      <c r="U2567" s="578">
        <f t="shared" si="688"/>
        <v>0</v>
      </c>
      <c r="V2567" s="579"/>
      <c r="W2567" s="566" t="str">
        <f>IF(U2564&gt;0,"xx",IF(P2564&gt;0,"xy",""))</f>
        <v/>
      </c>
      <c r="X2567" s="586" t="str">
        <f t="shared" si="681"/>
        <v/>
      </c>
      <c r="Y2567" s="586" t="str">
        <f t="shared" si="672"/>
        <v/>
      </c>
      <c r="Z2567" s="586" t="str">
        <f t="shared" si="680"/>
        <v/>
      </c>
    </row>
    <row r="2568" spans="1:26" ht="12" hidden="1" thickBot="1" x14ac:dyDescent="0.25">
      <c r="A2568" s="567" t="s">
        <v>168</v>
      </c>
      <c r="B2568" s="644" t="s">
        <v>168</v>
      </c>
      <c r="C2568" s="645"/>
      <c r="D2568" s="422" t="s">
        <v>400</v>
      </c>
      <c r="E2568" s="423"/>
      <c r="F2568" s="424">
        <v>30</v>
      </c>
      <c r="G2568" s="425">
        <f>VLOOKUP(D2564,'[2]ENSAIOS DE ORÇAMENTO'!$C$3:$L$79,3,FALSE)</f>
        <v>0</v>
      </c>
      <c r="H2568" s="663">
        <f t="shared" si="691"/>
        <v>0</v>
      </c>
      <c r="I2568" s="420"/>
      <c r="J2568" s="420"/>
      <c r="K2568" s="421">
        <f t="shared" si="686"/>
        <v>0</v>
      </c>
      <c r="L2568" s="647"/>
      <c r="M2568" s="723"/>
      <c r="N2568" s="576">
        <f t="shared" si="675"/>
        <v>0</v>
      </c>
      <c r="O2568" s="577">
        <f t="shared" si="689"/>
        <v>0</v>
      </c>
      <c r="P2568" s="578">
        <f t="shared" si="690"/>
        <v>0</v>
      </c>
      <c r="Q2568" s="765"/>
      <c r="R2568" s="723"/>
      <c r="S2568" s="723"/>
      <c r="T2568" s="577">
        <f t="shared" si="687"/>
        <v>0</v>
      </c>
      <c r="U2568" s="578">
        <f t="shared" si="688"/>
        <v>0</v>
      </c>
      <c r="V2568" s="579"/>
      <c r="W2568" s="566" t="str">
        <f>IF(U2564&gt;0,"xx",IF(P2564&gt;0,"xy",""))</f>
        <v/>
      </c>
      <c r="X2568" s="586" t="str">
        <f t="shared" si="681"/>
        <v/>
      </c>
      <c r="Y2568" s="586" t="str">
        <f t="shared" ref="Y2568:Y2631" si="692">IF(W2568="X","x",IF(W2568="y","x",IF(W2568="xx","x",IF(U2568&gt;0,"x",""))))</f>
        <v/>
      </c>
      <c r="Z2568" s="586" t="str">
        <f t="shared" si="680"/>
        <v/>
      </c>
    </row>
    <row r="2569" spans="1:26" ht="12" hidden="1" thickBot="1" x14ac:dyDescent="0.25">
      <c r="A2569" s="567" t="s">
        <v>168</v>
      </c>
      <c r="B2569" s="644" t="s">
        <v>168</v>
      </c>
      <c r="C2569" s="645"/>
      <c r="D2569" s="422" t="s">
        <v>401</v>
      </c>
      <c r="E2569" s="423"/>
      <c r="F2569" s="424">
        <v>500</v>
      </c>
      <c r="G2569" s="425">
        <f>VLOOKUP(D2564,'[2]ENSAIOS DE ORÇAMENTO'!$C$3:$L$79,10,FALSE)</f>
        <v>0</v>
      </c>
      <c r="H2569" s="649">
        <f>IF(F2569&lt;=30,(0.78*F2569+7.82)*G2569,((0.78*30+7.82)+0.78*(F2569-30))*G2569)</f>
        <v>0</v>
      </c>
      <c r="I2569" s="420"/>
      <c r="J2569" s="420"/>
      <c r="K2569" s="421">
        <f t="shared" si="686"/>
        <v>0</v>
      </c>
      <c r="L2569" s="647"/>
      <c r="M2569" s="723"/>
      <c r="N2569" s="576">
        <f t="shared" si="675"/>
        <v>0</v>
      </c>
      <c r="O2569" s="577">
        <f t="shared" si="689"/>
        <v>0</v>
      </c>
      <c r="P2569" s="578">
        <f t="shared" si="690"/>
        <v>0</v>
      </c>
      <c r="Q2569" s="765"/>
      <c r="R2569" s="723"/>
      <c r="S2569" s="723"/>
      <c r="T2569" s="577">
        <f t="shared" si="687"/>
        <v>0</v>
      </c>
      <c r="U2569" s="578">
        <f t="shared" si="688"/>
        <v>0</v>
      </c>
      <c r="V2569" s="579"/>
      <c r="W2569" s="566" t="str">
        <f>IF(U2564&gt;0,"xx",IF(P2564&gt;0,"xy",""))</f>
        <v/>
      </c>
      <c r="X2569" s="586" t="str">
        <f t="shared" si="681"/>
        <v/>
      </c>
      <c r="Y2569" s="586" t="str">
        <f t="shared" si="692"/>
        <v/>
      </c>
      <c r="Z2569" s="586" t="str">
        <f t="shared" si="680"/>
        <v/>
      </c>
    </row>
    <row r="2570" spans="1:26" ht="12" hidden="1" thickBot="1" x14ac:dyDescent="0.25">
      <c r="A2570" s="567" t="s">
        <v>428</v>
      </c>
      <c r="B2570" s="644" t="s">
        <v>428</v>
      </c>
      <c r="C2570" s="645" t="s">
        <v>206</v>
      </c>
      <c r="D2570" s="422" t="str">
        <f>'[2]ENSAIOS DE ORÇAMENTO'!C70</f>
        <v>ENSAIO DE ORÇAMENTO 1</v>
      </c>
      <c r="E2570" s="423"/>
      <c r="F2570" s="424"/>
      <c r="G2570" s="425"/>
      <c r="H2570" s="651">
        <f>SUM(H2571:H2575)</f>
        <v>0</v>
      </c>
      <c r="I2570" s="420">
        <f>VLOOKUP(D2570,'[2]ENSAIOS DE ORÇAMENTO'!$C$3:$L$79,8,FALSE)</f>
        <v>0</v>
      </c>
      <c r="J2570" s="420">
        <f t="shared" ref="J2570:J2588" si="693">IF(ISBLANK(I2570),"",SUM(H2570:I2570))</f>
        <v>0</v>
      </c>
      <c r="K2570" s="421">
        <f t="shared" si="686"/>
        <v>0</v>
      </c>
      <c r="L2570" s="647" t="s">
        <v>21</v>
      </c>
      <c r="M2570" s="576"/>
      <c r="N2570" s="576">
        <f t="shared" si="675"/>
        <v>0</v>
      </c>
      <c r="O2570" s="577">
        <f t="shared" si="689"/>
        <v>0</v>
      </c>
      <c r="P2570" s="578">
        <f t="shared" si="690"/>
        <v>0</v>
      </c>
      <c r="Q2570" s="765"/>
      <c r="R2570" s="576">
        <f>M2570</f>
        <v>0</v>
      </c>
      <c r="S2570" s="576">
        <f>N2570</f>
        <v>0</v>
      </c>
      <c r="T2570" s="577">
        <f t="shared" si="687"/>
        <v>0</v>
      </c>
      <c r="U2570" s="578">
        <f t="shared" si="688"/>
        <v>0</v>
      </c>
      <c r="V2570" s="579"/>
      <c r="W2570" s="566"/>
      <c r="X2570" s="586" t="str">
        <f t="shared" si="681"/>
        <v/>
      </c>
      <c r="Y2570" s="586" t="str">
        <f t="shared" si="692"/>
        <v/>
      </c>
      <c r="Z2570" s="586" t="str">
        <f t="shared" si="680"/>
        <v/>
      </c>
    </row>
    <row r="2571" spans="1:26" ht="12" hidden="1" thickBot="1" x14ac:dyDescent="0.25">
      <c r="A2571" s="567" t="s">
        <v>168</v>
      </c>
      <c r="B2571" s="644" t="s">
        <v>168</v>
      </c>
      <c r="C2571" s="645"/>
      <c r="D2571" s="451" t="s">
        <v>212</v>
      </c>
      <c r="E2571" s="423"/>
      <c r="F2571" s="424">
        <v>500</v>
      </c>
      <c r="G2571" s="425">
        <f>VLOOKUP(D2570,'[2]ENSAIOS DE ORÇAMENTO'!$C$3:$L$79,4,FALSE)</f>
        <v>0</v>
      </c>
      <c r="H2571" s="649">
        <f>IF(F2571&lt;=30,(0.78*F2571+7.82)*G2571,((0.78*30+7.82)+0.78*(F2571-30))*G2571)</f>
        <v>0</v>
      </c>
      <c r="I2571" s="420"/>
      <c r="J2571" s="420" t="str">
        <f t="shared" si="693"/>
        <v/>
      </c>
      <c r="K2571" s="421">
        <f t="shared" si="686"/>
        <v>0</v>
      </c>
      <c r="L2571" s="668" t="s">
        <v>614</v>
      </c>
      <c r="M2571" s="669"/>
      <c r="N2571" s="576">
        <f t="shared" si="675"/>
        <v>0</v>
      </c>
      <c r="O2571" s="577">
        <f t="shared" si="689"/>
        <v>0</v>
      </c>
      <c r="P2571" s="578">
        <f t="shared" si="690"/>
        <v>0</v>
      </c>
      <c r="Q2571" s="765"/>
      <c r="R2571" s="669"/>
      <c r="S2571" s="670"/>
      <c r="T2571" s="577">
        <f t="shared" si="687"/>
        <v>0</v>
      </c>
      <c r="U2571" s="578">
        <f t="shared" si="688"/>
        <v>0</v>
      </c>
      <c r="V2571" s="579"/>
      <c r="W2571" s="637" t="str">
        <f>IF(U2570&gt;0,"xx",IF(P2570&gt;0,"xy",""))</f>
        <v/>
      </c>
      <c r="X2571" s="586" t="str">
        <f t="shared" si="681"/>
        <v/>
      </c>
      <c r="Y2571" s="586" t="str">
        <f t="shared" si="692"/>
        <v/>
      </c>
      <c r="Z2571" s="586" t="str">
        <f t="shared" si="680"/>
        <v/>
      </c>
    </row>
    <row r="2572" spans="1:26" ht="12" hidden="1" thickBot="1" x14ac:dyDescent="0.25">
      <c r="A2572" s="567" t="s">
        <v>168</v>
      </c>
      <c r="B2572" s="644" t="s">
        <v>168</v>
      </c>
      <c r="C2572" s="645"/>
      <c r="D2572" s="451" t="s">
        <v>248</v>
      </c>
      <c r="E2572" s="423"/>
      <c r="F2572" s="424">
        <v>180</v>
      </c>
      <c r="G2572" s="425">
        <f>VLOOKUP(D2570,'[2]ENSAIOS DE ORÇAMENTO'!$C$3:$L$79,5,FALSE)</f>
        <v>0</v>
      </c>
      <c r="H2572" s="663">
        <f t="shared" ref="H2572:H2574" si="694">IF(F2572&lt;=30,(1.07*F2572+2.68)*G2572,((1.07*30+2.68)+1.07*(F2572-30))*G2572)</f>
        <v>0</v>
      </c>
      <c r="I2572" s="420"/>
      <c r="J2572" s="420" t="str">
        <f t="shared" si="693"/>
        <v/>
      </c>
      <c r="K2572" s="421">
        <f t="shared" si="686"/>
        <v>0</v>
      </c>
      <c r="L2572" s="668" t="s">
        <v>614</v>
      </c>
      <c r="M2572" s="669"/>
      <c r="N2572" s="576">
        <f t="shared" si="675"/>
        <v>0</v>
      </c>
      <c r="O2572" s="577">
        <f t="shared" si="689"/>
        <v>0</v>
      </c>
      <c r="P2572" s="578">
        <f t="shared" si="690"/>
        <v>0</v>
      </c>
      <c r="Q2572" s="765"/>
      <c r="R2572" s="669"/>
      <c r="S2572" s="670"/>
      <c r="T2572" s="577">
        <f t="shared" si="687"/>
        <v>0</v>
      </c>
      <c r="U2572" s="578">
        <f t="shared" si="688"/>
        <v>0</v>
      </c>
      <c r="V2572" s="579"/>
      <c r="W2572" s="637" t="str">
        <f>IF(U2570&gt;0,"xx",IF(P2570&gt;0,"xy",""))</f>
        <v/>
      </c>
      <c r="X2572" s="586" t="str">
        <f t="shared" si="681"/>
        <v/>
      </c>
      <c r="Y2572" s="586" t="str">
        <f t="shared" si="692"/>
        <v/>
      </c>
      <c r="Z2572" s="586" t="str">
        <f t="shared" si="680"/>
        <v/>
      </c>
    </row>
    <row r="2573" spans="1:26" ht="12" hidden="1" thickBot="1" x14ac:dyDescent="0.25">
      <c r="A2573" s="567" t="s">
        <v>168</v>
      </c>
      <c r="B2573" s="644" t="s">
        <v>168</v>
      </c>
      <c r="C2573" s="645"/>
      <c r="D2573" s="451" t="s">
        <v>252</v>
      </c>
      <c r="E2573" s="423"/>
      <c r="F2573" s="424">
        <v>20</v>
      </c>
      <c r="G2573" s="425">
        <f>VLOOKUP(D2570,'[2]ENSAIOS DE ORÇAMENTO'!$C$3:$L$79,6,FALSE)</f>
        <v>0</v>
      </c>
      <c r="H2573" s="663">
        <f t="shared" si="694"/>
        <v>0</v>
      </c>
      <c r="I2573" s="420"/>
      <c r="J2573" s="420" t="str">
        <f t="shared" si="693"/>
        <v/>
      </c>
      <c r="K2573" s="421">
        <f t="shared" si="686"/>
        <v>0</v>
      </c>
      <c r="L2573" s="668" t="s">
        <v>614</v>
      </c>
      <c r="M2573" s="669"/>
      <c r="N2573" s="576">
        <f t="shared" si="675"/>
        <v>0</v>
      </c>
      <c r="O2573" s="577">
        <f t="shared" si="689"/>
        <v>0</v>
      </c>
      <c r="P2573" s="578">
        <f t="shared" si="690"/>
        <v>0</v>
      </c>
      <c r="Q2573" s="765"/>
      <c r="R2573" s="669"/>
      <c r="S2573" s="670"/>
      <c r="T2573" s="577">
        <f t="shared" si="687"/>
        <v>0</v>
      </c>
      <c r="U2573" s="578">
        <f t="shared" si="688"/>
        <v>0</v>
      </c>
      <c r="V2573" s="579"/>
      <c r="W2573" s="637" t="str">
        <f>IF(U2570&gt;0,"xx",IF(P2570&gt;0,"xy",""))</f>
        <v/>
      </c>
      <c r="X2573" s="586" t="str">
        <f t="shared" si="681"/>
        <v/>
      </c>
      <c r="Y2573" s="586" t="str">
        <f t="shared" si="692"/>
        <v/>
      </c>
      <c r="Z2573" s="586" t="str">
        <f t="shared" si="680"/>
        <v/>
      </c>
    </row>
    <row r="2574" spans="1:26" ht="12" hidden="1" thickBot="1" x14ac:dyDescent="0.25">
      <c r="A2574" s="567" t="s">
        <v>168</v>
      </c>
      <c r="B2574" s="644" t="s">
        <v>168</v>
      </c>
      <c r="C2574" s="645"/>
      <c r="D2574" s="451" t="s">
        <v>400</v>
      </c>
      <c r="E2574" s="423"/>
      <c r="F2574" s="424">
        <v>30</v>
      </c>
      <c r="G2574" s="425">
        <f>VLOOKUP(D2570,'[2]ENSAIOS DE ORÇAMENTO'!$C$3:$L$79,3,FALSE)</f>
        <v>0</v>
      </c>
      <c r="H2574" s="663">
        <f t="shared" si="694"/>
        <v>0</v>
      </c>
      <c r="I2574" s="420"/>
      <c r="J2574" s="420" t="str">
        <f t="shared" si="693"/>
        <v/>
      </c>
      <c r="K2574" s="421">
        <f t="shared" si="686"/>
        <v>0</v>
      </c>
      <c r="L2574" s="668" t="s">
        <v>614</v>
      </c>
      <c r="M2574" s="669"/>
      <c r="N2574" s="576">
        <f t="shared" si="675"/>
        <v>0</v>
      </c>
      <c r="O2574" s="577">
        <f t="shared" si="689"/>
        <v>0</v>
      </c>
      <c r="P2574" s="578">
        <f t="shared" si="690"/>
        <v>0</v>
      </c>
      <c r="Q2574" s="765"/>
      <c r="R2574" s="669"/>
      <c r="S2574" s="670"/>
      <c r="T2574" s="577">
        <f t="shared" si="687"/>
        <v>0</v>
      </c>
      <c r="U2574" s="578">
        <f t="shared" si="688"/>
        <v>0</v>
      </c>
      <c r="V2574" s="579"/>
      <c r="W2574" s="637" t="str">
        <f>IF(U2570&gt;0,"xx",IF(P2570&gt;0,"xy",""))</f>
        <v/>
      </c>
      <c r="X2574" s="586" t="str">
        <f t="shared" si="681"/>
        <v/>
      </c>
      <c r="Y2574" s="586" t="str">
        <f t="shared" si="692"/>
        <v/>
      </c>
      <c r="Z2574" s="586" t="str">
        <f t="shared" si="680"/>
        <v/>
      </c>
    </row>
    <row r="2575" spans="1:26" ht="12" hidden="1" thickBot="1" x14ac:dyDescent="0.25">
      <c r="A2575" s="567" t="s">
        <v>168</v>
      </c>
      <c r="B2575" s="644" t="s">
        <v>168</v>
      </c>
      <c r="C2575" s="645"/>
      <c r="D2575" s="451" t="s">
        <v>401</v>
      </c>
      <c r="E2575" s="423"/>
      <c r="F2575" s="424">
        <v>500</v>
      </c>
      <c r="G2575" s="425">
        <f>VLOOKUP(D2570,'[2]ENSAIOS DE ORÇAMENTO'!$C$3:$L$79,10,FALSE)</f>
        <v>0</v>
      </c>
      <c r="H2575" s="649">
        <f>IF(F2575&lt;=30,(0.78*F2575+7.82)*G2575,((0.78*30+7.82)+0.78*(F2575-30))*G2575)</f>
        <v>0</v>
      </c>
      <c r="I2575" s="420"/>
      <c r="J2575" s="420" t="str">
        <f t="shared" si="693"/>
        <v/>
      </c>
      <c r="K2575" s="421">
        <f t="shared" si="686"/>
        <v>0</v>
      </c>
      <c r="L2575" s="668" t="s">
        <v>614</v>
      </c>
      <c r="M2575" s="669"/>
      <c r="N2575" s="576">
        <f t="shared" si="675"/>
        <v>0</v>
      </c>
      <c r="O2575" s="577">
        <f t="shared" si="689"/>
        <v>0</v>
      </c>
      <c r="P2575" s="578">
        <f t="shared" si="690"/>
        <v>0</v>
      </c>
      <c r="Q2575" s="765"/>
      <c r="R2575" s="669"/>
      <c r="S2575" s="670"/>
      <c r="T2575" s="577">
        <f t="shared" si="687"/>
        <v>0</v>
      </c>
      <c r="U2575" s="578">
        <f t="shared" si="688"/>
        <v>0</v>
      </c>
      <c r="V2575" s="579"/>
      <c r="W2575" s="637" t="str">
        <f>IF(U2570&gt;0,"xx",IF(P2570&gt;0,"xy",""))</f>
        <v/>
      </c>
      <c r="X2575" s="586" t="str">
        <f t="shared" si="681"/>
        <v/>
      </c>
      <c r="Y2575" s="586" t="str">
        <f t="shared" si="692"/>
        <v/>
      </c>
      <c r="Z2575" s="586" t="str">
        <f t="shared" si="680"/>
        <v/>
      </c>
    </row>
    <row r="2576" spans="1:26" ht="12" hidden="1" thickBot="1" x14ac:dyDescent="0.25">
      <c r="A2576" s="567" t="s">
        <v>429</v>
      </c>
      <c r="B2576" s="644" t="s">
        <v>429</v>
      </c>
      <c r="C2576" s="645" t="s">
        <v>206</v>
      </c>
      <c r="D2576" s="422" t="str">
        <f>'[2]ENSAIOS DE ORÇAMENTO'!C71</f>
        <v>ENSAIO DE ORÇAMENTO 2</v>
      </c>
      <c r="E2576" s="423"/>
      <c r="F2576" s="424"/>
      <c r="G2576" s="425"/>
      <c r="H2576" s="651">
        <f>SUM(H2577:H2581)</f>
        <v>0</v>
      </c>
      <c r="I2576" s="420">
        <f>VLOOKUP(D2576,'[2]ENSAIOS DE ORÇAMENTO'!$C$3:$L$79,8,FALSE)</f>
        <v>0</v>
      </c>
      <c r="J2576" s="420">
        <f t="shared" si="693"/>
        <v>0</v>
      </c>
      <c r="K2576" s="421">
        <f t="shared" si="686"/>
        <v>0</v>
      </c>
      <c r="L2576" s="647" t="s">
        <v>21</v>
      </c>
      <c r="M2576" s="576"/>
      <c r="N2576" s="576">
        <f t="shared" si="675"/>
        <v>0</v>
      </c>
      <c r="O2576" s="577">
        <f t="shared" si="689"/>
        <v>0</v>
      </c>
      <c r="P2576" s="578">
        <f t="shared" si="690"/>
        <v>0</v>
      </c>
      <c r="Q2576" s="765"/>
      <c r="R2576" s="576">
        <f>M2576</f>
        <v>0</v>
      </c>
      <c r="S2576" s="576">
        <f>N2576</f>
        <v>0</v>
      </c>
      <c r="T2576" s="577">
        <f t="shared" si="687"/>
        <v>0</v>
      </c>
      <c r="U2576" s="578">
        <f t="shared" si="688"/>
        <v>0</v>
      </c>
      <c r="V2576" s="579"/>
      <c r="W2576" s="566"/>
      <c r="X2576" s="586" t="str">
        <f t="shared" si="681"/>
        <v/>
      </c>
      <c r="Y2576" s="586" t="str">
        <f t="shared" si="692"/>
        <v/>
      </c>
      <c r="Z2576" s="586" t="str">
        <f t="shared" si="680"/>
        <v/>
      </c>
    </row>
    <row r="2577" spans="1:26" ht="12" hidden="1" thickBot="1" x14ac:dyDescent="0.25">
      <c r="A2577" s="567" t="s">
        <v>168</v>
      </c>
      <c r="B2577" s="644" t="s">
        <v>168</v>
      </c>
      <c r="C2577" s="645"/>
      <c r="D2577" s="451" t="s">
        <v>212</v>
      </c>
      <c r="E2577" s="423"/>
      <c r="F2577" s="424">
        <v>500</v>
      </c>
      <c r="G2577" s="425">
        <f>VLOOKUP(D2576,'[2]ENSAIOS DE ORÇAMENTO'!$C$3:$L$79,4,FALSE)</f>
        <v>0</v>
      </c>
      <c r="H2577" s="649">
        <f>IF(F2577&lt;=30,(0.78*F2577+7.82)*G2577,((0.78*30+7.82)+0.78*(F2577-30))*G2577)</f>
        <v>0</v>
      </c>
      <c r="I2577" s="420"/>
      <c r="J2577" s="420" t="str">
        <f t="shared" si="693"/>
        <v/>
      </c>
      <c r="K2577" s="421">
        <f t="shared" si="686"/>
        <v>0</v>
      </c>
      <c r="L2577" s="668" t="s">
        <v>614</v>
      </c>
      <c r="M2577" s="669"/>
      <c r="N2577" s="576">
        <f t="shared" si="675"/>
        <v>0</v>
      </c>
      <c r="O2577" s="577">
        <f t="shared" si="689"/>
        <v>0</v>
      </c>
      <c r="P2577" s="578">
        <f t="shared" si="690"/>
        <v>0</v>
      </c>
      <c r="Q2577" s="765"/>
      <c r="R2577" s="669"/>
      <c r="S2577" s="670"/>
      <c r="T2577" s="577">
        <f t="shared" si="687"/>
        <v>0</v>
      </c>
      <c r="U2577" s="578">
        <f t="shared" si="688"/>
        <v>0</v>
      </c>
      <c r="V2577" s="579"/>
      <c r="W2577" s="637" t="str">
        <f>IF(U2576&gt;0,"xx",IF(P2576&gt;0,"xy",""))</f>
        <v/>
      </c>
      <c r="X2577" s="586" t="str">
        <f t="shared" si="681"/>
        <v/>
      </c>
      <c r="Y2577" s="586" t="str">
        <f t="shared" si="692"/>
        <v/>
      </c>
      <c r="Z2577" s="586" t="str">
        <f t="shared" si="680"/>
        <v/>
      </c>
    </row>
    <row r="2578" spans="1:26" ht="12" hidden="1" thickBot="1" x14ac:dyDescent="0.25">
      <c r="A2578" s="567" t="s">
        <v>168</v>
      </c>
      <c r="B2578" s="644" t="s">
        <v>168</v>
      </c>
      <c r="C2578" s="645"/>
      <c r="D2578" s="451" t="s">
        <v>248</v>
      </c>
      <c r="E2578" s="423"/>
      <c r="F2578" s="424">
        <v>180</v>
      </c>
      <c r="G2578" s="425">
        <f>VLOOKUP(D2576,'[2]ENSAIOS DE ORÇAMENTO'!$C$3:$L$79,5,FALSE)</f>
        <v>0</v>
      </c>
      <c r="H2578" s="663">
        <f t="shared" ref="H2578:H2580" si="695">IF(F2578&lt;=30,(1.07*F2578+2.68)*G2578,((1.07*30+2.68)+1.07*(F2578-30))*G2578)</f>
        <v>0</v>
      </c>
      <c r="I2578" s="420"/>
      <c r="J2578" s="420" t="str">
        <f t="shared" si="693"/>
        <v/>
      </c>
      <c r="K2578" s="421">
        <f t="shared" si="686"/>
        <v>0</v>
      </c>
      <c r="L2578" s="668" t="s">
        <v>614</v>
      </c>
      <c r="M2578" s="669"/>
      <c r="N2578" s="576">
        <f t="shared" si="675"/>
        <v>0</v>
      </c>
      <c r="O2578" s="577">
        <f t="shared" si="689"/>
        <v>0</v>
      </c>
      <c r="P2578" s="578">
        <f t="shared" si="690"/>
        <v>0</v>
      </c>
      <c r="Q2578" s="765"/>
      <c r="R2578" s="669"/>
      <c r="S2578" s="670"/>
      <c r="T2578" s="577">
        <f t="shared" si="687"/>
        <v>0</v>
      </c>
      <c r="U2578" s="578">
        <f t="shared" si="688"/>
        <v>0</v>
      </c>
      <c r="V2578" s="579"/>
      <c r="W2578" s="637" t="str">
        <f>IF(U2576&gt;0,"xx",IF(P2576&gt;0,"xy",""))</f>
        <v/>
      </c>
      <c r="X2578" s="586" t="str">
        <f t="shared" si="681"/>
        <v/>
      </c>
      <c r="Y2578" s="586" t="str">
        <f t="shared" si="692"/>
        <v/>
      </c>
      <c r="Z2578" s="586" t="str">
        <f t="shared" si="680"/>
        <v/>
      </c>
    </row>
    <row r="2579" spans="1:26" ht="12" hidden="1" thickBot="1" x14ac:dyDescent="0.25">
      <c r="A2579" s="567" t="s">
        <v>168</v>
      </c>
      <c r="B2579" s="644" t="s">
        <v>168</v>
      </c>
      <c r="C2579" s="645"/>
      <c r="D2579" s="451" t="s">
        <v>252</v>
      </c>
      <c r="E2579" s="423"/>
      <c r="F2579" s="424">
        <v>20</v>
      </c>
      <c r="G2579" s="425">
        <f>VLOOKUP(D2576,'[2]ENSAIOS DE ORÇAMENTO'!$C$3:$L$79,6,FALSE)</f>
        <v>0</v>
      </c>
      <c r="H2579" s="663">
        <f t="shared" si="695"/>
        <v>0</v>
      </c>
      <c r="I2579" s="420"/>
      <c r="J2579" s="420" t="str">
        <f t="shared" si="693"/>
        <v/>
      </c>
      <c r="K2579" s="421">
        <f t="shared" si="686"/>
        <v>0</v>
      </c>
      <c r="L2579" s="668" t="s">
        <v>614</v>
      </c>
      <c r="M2579" s="669"/>
      <c r="N2579" s="576">
        <f t="shared" si="675"/>
        <v>0</v>
      </c>
      <c r="O2579" s="577">
        <f t="shared" si="689"/>
        <v>0</v>
      </c>
      <c r="P2579" s="578">
        <f t="shared" si="690"/>
        <v>0</v>
      </c>
      <c r="Q2579" s="765"/>
      <c r="R2579" s="669"/>
      <c r="S2579" s="670"/>
      <c r="T2579" s="577">
        <f t="shared" si="687"/>
        <v>0</v>
      </c>
      <c r="U2579" s="578">
        <f t="shared" si="688"/>
        <v>0</v>
      </c>
      <c r="V2579" s="579"/>
      <c r="W2579" s="637" t="str">
        <f>IF(U2576&gt;0,"xx",IF(P2576&gt;0,"xy",""))</f>
        <v/>
      </c>
      <c r="X2579" s="586" t="str">
        <f t="shared" si="681"/>
        <v/>
      </c>
      <c r="Y2579" s="586" t="str">
        <f t="shared" si="692"/>
        <v/>
      </c>
      <c r="Z2579" s="586" t="str">
        <f t="shared" si="680"/>
        <v/>
      </c>
    </row>
    <row r="2580" spans="1:26" ht="12" hidden="1" thickBot="1" x14ac:dyDescent="0.25">
      <c r="A2580" s="567" t="s">
        <v>168</v>
      </c>
      <c r="B2580" s="644" t="s">
        <v>168</v>
      </c>
      <c r="C2580" s="645"/>
      <c r="D2580" s="451" t="s">
        <v>400</v>
      </c>
      <c r="E2580" s="423"/>
      <c r="F2580" s="424">
        <v>30</v>
      </c>
      <c r="G2580" s="425">
        <f>VLOOKUP(D2576,'[2]ENSAIOS DE ORÇAMENTO'!$C$3:$L$79,3,FALSE)</f>
        <v>0</v>
      </c>
      <c r="H2580" s="663">
        <f t="shared" si="695"/>
        <v>0</v>
      </c>
      <c r="I2580" s="420"/>
      <c r="J2580" s="420" t="str">
        <f t="shared" si="693"/>
        <v/>
      </c>
      <c r="K2580" s="421">
        <f t="shared" si="686"/>
        <v>0</v>
      </c>
      <c r="L2580" s="668" t="s">
        <v>614</v>
      </c>
      <c r="M2580" s="669"/>
      <c r="N2580" s="576">
        <f t="shared" ref="N2580:N2643" si="696">IF(M2580=0,0,K2580)</f>
        <v>0</v>
      </c>
      <c r="O2580" s="577">
        <f t="shared" si="689"/>
        <v>0</v>
      </c>
      <c r="P2580" s="578">
        <f t="shared" si="690"/>
        <v>0</v>
      </c>
      <c r="Q2580" s="765"/>
      <c r="R2580" s="669"/>
      <c r="S2580" s="670"/>
      <c r="T2580" s="577">
        <f t="shared" si="687"/>
        <v>0</v>
      </c>
      <c r="U2580" s="578">
        <f t="shared" si="688"/>
        <v>0</v>
      </c>
      <c r="V2580" s="579"/>
      <c r="W2580" s="637" t="str">
        <f>IF(U2576&gt;0,"xx",IF(P2576&gt;0,"xy",""))</f>
        <v/>
      </c>
      <c r="X2580" s="586" t="str">
        <f t="shared" si="681"/>
        <v/>
      </c>
      <c r="Y2580" s="586" t="str">
        <f t="shared" si="692"/>
        <v/>
      </c>
      <c r="Z2580" s="586" t="str">
        <f t="shared" si="680"/>
        <v/>
      </c>
    </row>
    <row r="2581" spans="1:26" ht="12" hidden="1" thickBot="1" x14ac:dyDescent="0.25">
      <c r="A2581" s="567" t="s">
        <v>168</v>
      </c>
      <c r="B2581" s="644" t="s">
        <v>168</v>
      </c>
      <c r="C2581" s="645"/>
      <c r="D2581" s="451" t="s">
        <v>401</v>
      </c>
      <c r="E2581" s="423"/>
      <c r="F2581" s="424">
        <v>500</v>
      </c>
      <c r="G2581" s="425">
        <f>VLOOKUP(D2576,'[2]ENSAIOS DE ORÇAMENTO'!$C$3:$L$79,10,FALSE)</f>
        <v>0</v>
      </c>
      <c r="H2581" s="649">
        <f>IF(F2581&lt;=30,(0.78*F2581+7.82)*G2581,((0.78*30+7.82)+0.78*(F2581-30))*G2581)</f>
        <v>0</v>
      </c>
      <c r="I2581" s="420"/>
      <c r="J2581" s="420" t="str">
        <f t="shared" si="693"/>
        <v/>
      </c>
      <c r="K2581" s="421">
        <f t="shared" si="686"/>
        <v>0</v>
      </c>
      <c r="L2581" s="668" t="s">
        <v>614</v>
      </c>
      <c r="M2581" s="669"/>
      <c r="N2581" s="576">
        <f t="shared" si="696"/>
        <v>0</v>
      </c>
      <c r="O2581" s="577">
        <f t="shared" si="689"/>
        <v>0</v>
      </c>
      <c r="P2581" s="578">
        <f t="shared" si="690"/>
        <v>0</v>
      </c>
      <c r="Q2581" s="765"/>
      <c r="R2581" s="669"/>
      <c r="S2581" s="670"/>
      <c r="T2581" s="577">
        <f t="shared" si="687"/>
        <v>0</v>
      </c>
      <c r="U2581" s="578">
        <f t="shared" si="688"/>
        <v>0</v>
      </c>
      <c r="V2581" s="579"/>
      <c r="W2581" s="637" t="str">
        <f>IF(U2576&gt;0,"xx",IF(P2576&gt;0,"xy",""))</f>
        <v/>
      </c>
      <c r="X2581" s="586" t="str">
        <f t="shared" si="681"/>
        <v/>
      </c>
      <c r="Y2581" s="586" t="str">
        <f t="shared" si="692"/>
        <v/>
      </c>
      <c r="Z2581" s="586" t="str">
        <f t="shared" si="680"/>
        <v/>
      </c>
    </row>
    <row r="2582" spans="1:26" ht="12" hidden="1" thickBot="1" x14ac:dyDescent="0.25">
      <c r="A2582" s="567" t="s">
        <v>430</v>
      </c>
      <c r="B2582" s="644" t="s">
        <v>430</v>
      </c>
      <c r="C2582" s="645" t="s">
        <v>206</v>
      </c>
      <c r="D2582" s="422" t="str">
        <f>'[2]ENSAIOS DE ORÇAMENTO'!C72</f>
        <v>ENSAIO DE ORÇAMENTO 3</v>
      </c>
      <c r="E2582" s="423"/>
      <c r="F2582" s="424"/>
      <c r="G2582" s="425"/>
      <c r="H2582" s="651">
        <f>SUM(H2583:H2587)</f>
        <v>0</v>
      </c>
      <c r="I2582" s="420">
        <f>VLOOKUP(D2582,'[2]ENSAIOS DE ORÇAMENTO'!$C$3:$L$79,8,FALSE)</f>
        <v>0</v>
      </c>
      <c r="J2582" s="420">
        <f t="shared" si="693"/>
        <v>0</v>
      </c>
      <c r="K2582" s="421">
        <f t="shared" si="686"/>
        <v>0</v>
      </c>
      <c r="L2582" s="647" t="s">
        <v>21</v>
      </c>
      <c r="M2582" s="576"/>
      <c r="N2582" s="576">
        <f t="shared" si="696"/>
        <v>0</v>
      </c>
      <c r="O2582" s="577">
        <f t="shared" si="689"/>
        <v>0</v>
      </c>
      <c r="P2582" s="578">
        <f t="shared" si="690"/>
        <v>0</v>
      </c>
      <c r="Q2582" s="765"/>
      <c r="R2582" s="576">
        <f>M2582</f>
        <v>0</v>
      </c>
      <c r="S2582" s="576">
        <f>N2582</f>
        <v>0</v>
      </c>
      <c r="T2582" s="577">
        <f t="shared" si="687"/>
        <v>0</v>
      </c>
      <c r="U2582" s="578">
        <f t="shared" si="688"/>
        <v>0</v>
      </c>
      <c r="V2582" s="579"/>
      <c r="W2582" s="566"/>
      <c r="X2582" s="586" t="str">
        <f t="shared" si="681"/>
        <v/>
      </c>
      <c r="Y2582" s="586" t="str">
        <f t="shared" si="692"/>
        <v/>
      </c>
      <c r="Z2582" s="586" t="str">
        <f t="shared" si="680"/>
        <v/>
      </c>
    </row>
    <row r="2583" spans="1:26" ht="12" hidden="1" thickBot="1" x14ac:dyDescent="0.25">
      <c r="A2583" s="567" t="s">
        <v>168</v>
      </c>
      <c r="B2583" s="644" t="s">
        <v>168</v>
      </c>
      <c r="C2583" s="645"/>
      <c r="D2583" s="451" t="s">
        <v>212</v>
      </c>
      <c r="E2583" s="423"/>
      <c r="F2583" s="424">
        <v>500</v>
      </c>
      <c r="G2583" s="425">
        <f>VLOOKUP(D2582,'[2]ENSAIOS DE ORÇAMENTO'!$C$3:$L$79,4,FALSE)</f>
        <v>0</v>
      </c>
      <c r="H2583" s="649">
        <f>IF(F2583&lt;=30,(0.78*F2583+7.82)*G2583,((0.78*30+7.82)+0.78*(F2583-30))*G2583)</f>
        <v>0</v>
      </c>
      <c r="I2583" s="420"/>
      <c r="J2583" s="420" t="str">
        <f t="shared" si="693"/>
        <v/>
      </c>
      <c r="K2583" s="421">
        <f t="shared" si="686"/>
        <v>0</v>
      </c>
      <c r="L2583" s="668" t="s">
        <v>614</v>
      </c>
      <c r="M2583" s="669"/>
      <c r="N2583" s="576">
        <f t="shared" si="696"/>
        <v>0</v>
      </c>
      <c r="O2583" s="577">
        <f t="shared" si="689"/>
        <v>0</v>
      </c>
      <c r="P2583" s="578">
        <f t="shared" si="690"/>
        <v>0</v>
      </c>
      <c r="Q2583" s="765"/>
      <c r="R2583" s="669"/>
      <c r="S2583" s="670"/>
      <c r="T2583" s="577">
        <f t="shared" si="687"/>
        <v>0</v>
      </c>
      <c r="U2583" s="578">
        <f t="shared" si="688"/>
        <v>0</v>
      </c>
      <c r="V2583" s="579"/>
      <c r="W2583" s="637" t="str">
        <f>IF(U2582&gt;0,"xx",IF(P2582&gt;0,"xy",""))</f>
        <v/>
      </c>
      <c r="X2583" s="586" t="str">
        <f t="shared" si="681"/>
        <v/>
      </c>
      <c r="Y2583" s="586" t="str">
        <f t="shared" si="692"/>
        <v/>
      </c>
      <c r="Z2583" s="586" t="str">
        <f t="shared" si="680"/>
        <v/>
      </c>
    </row>
    <row r="2584" spans="1:26" ht="12" hidden="1" thickBot="1" x14ac:dyDescent="0.25">
      <c r="A2584" s="567" t="s">
        <v>168</v>
      </c>
      <c r="B2584" s="644" t="s">
        <v>168</v>
      </c>
      <c r="C2584" s="645"/>
      <c r="D2584" s="451" t="s">
        <v>248</v>
      </c>
      <c r="E2584" s="423"/>
      <c r="F2584" s="424">
        <v>180</v>
      </c>
      <c r="G2584" s="425">
        <f>VLOOKUP(D2582,'[2]ENSAIOS DE ORÇAMENTO'!$C$3:$L$79,5,FALSE)</f>
        <v>0</v>
      </c>
      <c r="H2584" s="663">
        <f t="shared" ref="H2584:H2586" si="697">IF(F2584&lt;=30,(1.07*F2584+2.68)*G2584,((1.07*30+2.68)+1.07*(F2584-30))*G2584)</f>
        <v>0</v>
      </c>
      <c r="I2584" s="420"/>
      <c r="J2584" s="420" t="str">
        <f t="shared" si="693"/>
        <v/>
      </c>
      <c r="K2584" s="421">
        <f t="shared" si="686"/>
        <v>0</v>
      </c>
      <c r="L2584" s="668" t="s">
        <v>614</v>
      </c>
      <c r="M2584" s="669"/>
      <c r="N2584" s="576">
        <f t="shared" si="696"/>
        <v>0</v>
      </c>
      <c r="O2584" s="577">
        <f t="shared" si="689"/>
        <v>0</v>
      </c>
      <c r="P2584" s="578">
        <f t="shared" si="690"/>
        <v>0</v>
      </c>
      <c r="Q2584" s="765"/>
      <c r="R2584" s="669"/>
      <c r="S2584" s="670"/>
      <c r="T2584" s="577">
        <f t="shared" si="687"/>
        <v>0</v>
      </c>
      <c r="U2584" s="578">
        <f t="shared" si="688"/>
        <v>0</v>
      </c>
      <c r="V2584" s="579"/>
      <c r="W2584" s="637" t="str">
        <f>IF(U2582&gt;0,"xx",IF(P2582&gt;0,"xy",""))</f>
        <v/>
      </c>
      <c r="X2584" s="586" t="str">
        <f t="shared" si="681"/>
        <v/>
      </c>
      <c r="Y2584" s="586" t="str">
        <f t="shared" si="692"/>
        <v/>
      </c>
      <c r="Z2584" s="586" t="str">
        <f t="shared" si="680"/>
        <v/>
      </c>
    </row>
    <row r="2585" spans="1:26" ht="12" hidden="1" thickBot="1" x14ac:dyDescent="0.25">
      <c r="A2585" s="567" t="s">
        <v>168</v>
      </c>
      <c r="B2585" s="644" t="s">
        <v>168</v>
      </c>
      <c r="C2585" s="645"/>
      <c r="D2585" s="451" t="s">
        <v>252</v>
      </c>
      <c r="E2585" s="423"/>
      <c r="F2585" s="424">
        <v>20</v>
      </c>
      <c r="G2585" s="425">
        <f>VLOOKUP(D2582,'[2]ENSAIOS DE ORÇAMENTO'!$C$3:$L$79,6,FALSE)</f>
        <v>0</v>
      </c>
      <c r="H2585" s="663">
        <f t="shared" si="697"/>
        <v>0</v>
      </c>
      <c r="I2585" s="420"/>
      <c r="J2585" s="420" t="str">
        <f t="shared" si="693"/>
        <v/>
      </c>
      <c r="K2585" s="421">
        <f t="shared" si="686"/>
        <v>0</v>
      </c>
      <c r="L2585" s="668" t="s">
        <v>614</v>
      </c>
      <c r="M2585" s="669"/>
      <c r="N2585" s="576">
        <f t="shared" si="696"/>
        <v>0</v>
      </c>
      <c r="O2585" s="577">
        <f t="shared" si="689"/>
        <v>0</v>
      </c>
      <c r="P2585" s="578">
        <f t="shared" si="690"/>
        <v>0</v>
      </c>
      <c r="Q2585" s="765"/>
      <c r="R2585" s="669"/>
      <c r="S2585" s="670"/>
      <c r="T2585" s="577">
        <f t="shared" si="687"/>
        <v>0</v>
      </c>
      <c r="U2585" s="578">
        <f t="shared" si="688"/>
        <v>0</v>
      </c>
      <c r="V2585" s="579"/>
      <c r="W2585" s="637" t="str">
        <f>IF(U2582&gt;0,"xx",IF(P2582&gt;0,"xy",""))</f>
        <v/>
      </c>
      <c r="X2585" s="586" t="str">
        <f t="shared" si="681"/>
        <v/>
      </c>
      <c r="Y2585" s="586" t="str">
        <f t="shared" si="692"/>
        <v/>
      </c>
      <c r="Z2585" s="586" t="str">
        <f t="shared" si="680"/>
        <v/>
      </c>
    </row>
    <row r="2586" spans="1:26" ht="12" hidden="1" thickBot="1" x14ac:dyDescent="0.25">
      <c r="A2586" s="567" t="s">
        <v>168</v>
      </c>
      <c r="B2586" s="644" t="s">
        <v>168</v>
      </c>
      <c r="C2586" s="645"/>
      <c r="D2586" s="451" t="s">
        <v>400</v>
      </c>
      <c r="E2586" s="423"/>
      <c r="F2586" s="424">
        <v>30</v>
      </c>
      <c r="G2586" s="425">
        <f>VLOOKUP(D2582,'[2]ENSAIOS DE ORÇAMENTO'!$C$3:$L$79,3,FALSE)</f>
        <v>0</v>
      </c>
      <c r="H2586" s="663">
        <f t="shared" si="697"/>
        <v>0</v>
      </c>
      <c r="I2586" s="420"/>
      <c r="J2586" s="420" t="str">
        <f t="shared" si="693"/>
        <v/>
      </c>
      <c r="K2586" s="421">
        <f t="shared" si="686"/>
        <v>0</v>
      </c>
      <c r="L2586" s="668" t="s">
        <v>614</v>
      </c>
      <c r="M2586" s="669"/>
      <c r="N2586" s="576">
        <f t="shared" si="696"/>
        <v>0</v>
      </c>
      <c r="O2586" s="577">
        <f t="shared" si="689"/>
        <v>0</v>
      </c>
      <c r="P2586" s="578">
        <f t="shared" si="690"/>
        <v>0</v>
      </c>
      <c r="Q2586" s="765"/>
      <c r="R2586" s="669"/>
      <c r="S2586" s="670"/>
      <c r="T2586" s="577">
        <f t="shared" si="687"/>
        <v>0</v>
      </c>
      <c r="U2586" s="578">
        <f t="shared" si="688"/>
        <v>0</v>
      </c>
      <c r="V2586" s="579"/>
      <c r="W2586" s="637" t="str">
        <f>IF(U2582&gt;0,"xx",IF(P2582&gt;0,"xy",""))</f>
        <v/>
      </c>
      <c r="X2586" s="586" t="str">
        <f t="shared" si="681"/>
        <v/>
      </c>
      <c r="Y2586" s="586" t="str">
        <f t="shared" si="692"/>
        <v/>
      </c>
      <c r="Z2586" s="586" t="str">
        <f t="shared" si="680"/>
        <v/>
      </c>
    </row>
    <row r="2587" spans="1:26" ht="12" hidden="1" thickBot="1" x14ac:dyDescent="0.25">
      <c r="A2587" s="567" t="s">
        <v>168</v>
      </c>
      <c r="B2587" s="644" t="s">
        <v>168</v>
      </c>
      <c r="C2587" s="645"/>
      <c r="D2587" s="451" t="s">
        <v>401</v>
      </c>
      <c r="E2587" s="423"/>
      <c r="F2587" s="424">
        <v>500</v>
      </c>
      <c r="G2587" s="425">
        <f>VLOOKUP(D2582,'[2]ENSAIOS DE ORÇAMENTO'!$C$3:$L$79,10,FALSE)</f>
        <v>0</v>
      </c>
      <c r="H2587" s="649">
        <f>IF(F2587&lt;=30,(0.78*F2587+7.82)*G2587,((0.78*30+7.82)+0.78*(F2587-30))*G2587)</f>
        <v>0</v>
      </c>
      <c r="I2587" s="420"/>
      <c r="J2587" s="420" t="str">
        <f t="shared" si="693"/>
        <v/>
      </c>
      <c r="K2587" s="421">
        <f t="shared" si="686"/>
        <v>0</v>
      </c>
      <c r="L2587" s="668" t="s">
        <v>614</v>
      </c>
      <c r="M2587" s="669"/>
      <c r="N2587" s="576">
        <f t="shared" si="696"/>
        <v>0</v>
      </c>
      <c r="O2587" s="577">
        <f t="shared" si="689"/>
        <v>0</v>
      </c>
      <c r="P2587" s="578">
        <f t="shared" si="690"/>
        <v>0</v>
      </c>
      <c r="Q2587" s="765"/>
      <c r="R2587" s="669"/>
      <c r="S2587" s="670"/>
      <c r="T2587" s="577">
        <f t="shared" si="687"/>
        <v>0</v>
      </c>
      <c r="U2587" s="578">
        <f t="shared" si="688"/>
        <v>0</v>
      </c>
      <c r="V2587" s="579"/>
      <c r="W2587" s="637" t="str">
        <f>IF(U2582&gt;0,"xx",IF(P2582&gt;0,"xy",""))</f>
        <v/>
      </c>
      <c r="X2587" s="586" t="str">
        <f t="shared" si="681"/>
        <v/>
      </c>
      <c r="Y2587" s="586" t="str">
        <f t="shared" si="692"/>
        <v/>
      </c>
      <c r="Z2587" s="586" t="str">
        <f t="shared" si="680"/>
        <v/>
      </c>
    </row>
    <row r="2588" spans="1:26" ht="12" hidden="1" thickBot="1" x14ac:dyDescent="0.25">
      <c r="A2588" s="567" t="s">
        <v>431</v>
      </c>
      <c r="B2588" s="644" t="s">
        <v>431</v>
      </c>
      <c r="C2588" s="645" t="s">
        <v>206</v>
      </c>
      <c r="D2588" s="422" t="str">
        <f>'[2]ENSAIOS DE ORÇAMENTO'!C73</f>
        <v>ENSAIO DE ORÇAMENTO 4</v>
      </c>
      <c r="E2588" s="423"/>
      <c r="F2588" s="424"/>
      <c r="G2588" s="425"/>
      <c r="H2588" s="651">
        <f>SUM(H2589:H2593)</f>
        <v>0</v>
      </c>
      <c r="I2588" s="420">
        <f>VLOOKUP(D2588,'[2]ENSAIOS DE ORÇAMENTO'!$C$3:$L$79,8,FALSE)</f>
        <v>0</v>
      </c>
      <c r="J2588" s="420">
        <f t="shared" si="693"/>
        <v>0</v>
      </c>
      <c r="K2588" s="421">
        <f t="shared" si="686"/>
        <v>0</v>
      </c>
      <c r="L2588" s="647" t="s">
        <v>21</v>
      </c>
      <c r="M2588" s="576"/>
      <c r="N2588" s="576">
        <f t="shared" si="696"/>
        <v>0</v>
      </c>
      <c r="O2588" s="577">
        <f t="shared" si="689"/>
        <v>0</v>
      </c>
      <c r="P2588" s="578">
        <f t="shared" si="690"/>
        <v>0</v>
      </c>
      <c r="Q2588" s="765"/>
      <c r="R2588" s="576">
        <f>M2588</f>
        <v>0</v>
      </c>
      <c r="S2588" s="576">
        <f>N2588</f>
        <v>0</v>
      </c>
      <c r="T2588" s="577">
        <f t="shared" si="687"/>
        <v>0</v>
      </c>
      <c r="U2588" s="578">
        <f t="shared" si="688"/>
        <v>0</v>
      </c>
      <c r="V2588" s="579"/>
      <c r="W2588" s="566"/>
      <c r="X2588" s="586" t="str">
        <f t="shared" si="681"/>
        <v/>
      </c>
      <c r="Y2588" s="586" t="str">
        <f t="shared" si="692"/>
        <v/>
      </c>
      <c r="Z2588" s="586" t="str">
        <f t="shared" si="680"/>
        <v/>
      </c>
    </row>
    <row r="2589" spans="1:26" ht="12" hidden="1" thickBot="1" x14ac:dyDescent="0.25">
      <c r="A2589" s="567" t="s">
        <v>168</v>
      </c>
      <c r="B2589" s="644" t="s">
        <v>168</v>
      </c>
      <c r="C2589" s="645"/>
      <c r="D2589" s="451" t="s">
        <v>212</v>
      </c>
      <c r="E2589" s="423"/>
      <c r="F2589" s="424">
        <v>500</v>
      </c>
      <c r="G2589" s="425">
        <f>VLOOKUP(D2588,'[2]ENSAIOS DE ORÇAMENTO'!$C$3:$L$79,4,FALSE)</f>
        <v>0</v>
      </c>
      <c r="H2589" s="649">
        <f>IF(F2589&lt;=30,(0.78*F2589+7.82)*G2589,((0.78*30+7.82)+0.78*(F2589-30))*G2589)</f>
        <v>0</v>
      </c>
      <c r="I2589" s="420"/>
      <c r="J2589" s="420" t="str">
        <f t="shared" ref="J2589:J2628" si="698">IF(ISBLANK(I2589),"",SUM(H2589:I2589))</f>
        <v/>
      </c>
      <c r="K2589" s="421">
        <f t="shared" si="686"/>
        <v>0</v>
      </c>
      <c r="L2589" s="668" t="s">
        <v>614</v>
      </c>
      <c r="M2589" s="669"/>
      <c r="N2589" s="576">
        <f t="shared" si="696"/>
        <v>0</v>
      </c>
      <c r="O2589" s="577">
        <f t="shared" si="689"/>
        <v>0</v>
      </c>
      <c r="P2589" s="578">
        <f t="shared" si="690"/>
        <v>0</v>
      </c>
      <c r="Q2589" s="765"/>
      <c r="R2589" s="669"/>
      <c r="S2589" s="670"/>
      <c r="T2589" s="577">
        <f t="shared" si="687"/>
        <v>0</v>
      </c>
      <c r="U2589" s="578">
        <f t="shared" si="688"/>
        <v>0</v>
      </c>
      <c r="V2589" s="579"/>
      <c r="W2589" s="637" t="str">
        <f>IF(U2588&gt;0,"xx",IF(P2588&gt;0,"xy",""))</f>
        <v/>
      </c>
      <c r="X2589" s="586" t="str">
        <f t="shared" si="681"/>
        <v/>
      </c>
      <c r="Y2589" s="586" t="str">
        <f t="shared" si="692"/>
        <v/>
      </c>
      <c r="Z2589" s="586" t="str">
        <f t="shared" si="680"/>
        <v/>
      </c>
    </row>
    <row r="2590" spans="1:26" ht="12" hidden="1" thickBot="1" x14ac:dyDescent="0.25">
      <c r="A2590" s="567" t="s">
        <v>168</v>
      </c>
      <c r="B2590" s="644" t="s">
        <v>168</v>
      </c>
      <c r="C2590" s="645"/>
      <c r="D2590" s="451" t="s">
        <v>248</v>
      </c>
      <c r="E2590" s="423"/>
      <c r="F2590" s="424">
        <v>180</v>
      </c>
      <c r="G2590" s="425">
        <f>VLOOKUP(D2588,'[2]ENSAIOS DE ORÇAMENTO'!$C$3:$L$79,5,FALSE)</f>
        <v>0</v>
      </c>
      <c r="H2590" s="663">
        <f t="shared" ref="H2590:H2592" si="699">IF(F2590&lt;=30,(1.07*F2590+2.68)*G2590,((1.07*30+2.68)+1.07*(F2590-30))*G2590)</f>
        <v>0</v>
      </c>
      <c r="I2590" s="420"/>
      <c r="J2590" s="420" t="str">
        <f t="shared" si="698"/>
        <v/>
      </c>
      <c r="K2590" s="421">
        <f t="shared" si="686"/>
        <v>0</v>
      </c>
      <c r="L2590" s="668" t="s">
        <v>614</v>
      </c>
      <c r="M2590" s="669"/>
      <c r="N2590" s="576">
        <f t="shared" si="696"/>
        <v>0</v>
      </c>
      <c r="O2590" s="577">
        <f t="shared" si="689"/>
        <v>0</v>
      </c>
      <c r="P2590" s="578">
        <f t="shared" si="690"/>
        <v>0</v>
      </c>
      <c r="Q2590" s="765"/>
      <c r="R2590" s="669"/>
      <c r="S2590" s="670"/>
      <c r="T2590" s="577">
        <f t="shared" si="687"/>
        <v>0</v>
      </c>
      <c r="U2590" s="578">
        <f t="shared" si="688"/>
        <v>0</v>
      </c>
      <c r="V2590" s="579"/>
      <c r="W2590" s="637" t="str">
        <f>IF(U2588&gt;0,"xx",IF(P2588&gt;0,"xy",""))</f>
        <v/>
      </c>
      <c r="X2590" s="586" t="str">
        <f t="shared" si="681"/>
        <v/>
      </c>
      <c r="Y2590" s="586" t="str">
        <f t="shared" si="692"/>
        <v/>
      </c>
      <c r="Z2590" s="586" t="str">
        <f t="shared" si="680"/>
        <v/>
      </c>
    </row>
    <row r="2591" spans="1:26" ht="12" hidden="1" thickBot="1" x14ac:dyDescent="0.25">
      <c r="A2591" s="567" t="s">
        <v>168</v>
      </c>
      <c r="B2591" s="644" t="s">
        <v>168</v>
      </c>
      <c r="C2591" s="645"/>
      <c r="D2591" s="451" t="s">
        <v>252</v>
      </c>
      <c r="E2591" s="423"/>
      <c r="F2591" s="424">
        <v>20</v>
      </c>
      <c r="G2591" s="425">
        <f>VLOOKUP(D2588,'[2]ENSAIOS DE ORÇAMENTO'!$C$3:$L$79,6,FALSE)</f>
        <v>0</v>
      </c>
      <c r="H2591" s="663">
        <f t="shared" si="699"/>
        <v>0</v>
      </c>
      <c r="I2591" s="420"/>
      <c r="J2591" s="420" t="str">
        <f t="shared" si="698"/>
        <v/>
      </c>
      <c r="K2591" s="421">
        <f t="shared" si="686"/>
        <v>0</v>
      </c>
      <c r="L2591" s="668" t="s">
        <v>614</v>
      </c>
      <c r="M2591" s="669"/>
      <c r="N2591" s="576">
        <f t="shared" si="696"/>
        <v>0</v>
      </c>
      <c r="O2591" s="577">
        <f t="shared" si="689"/>
        <v>0</v>
      </c>
      <c r="P2591" s="578">
        <f t="shared" si="690"/>
        <v>0</v>
      </c>
      <c r="Q2591" s="765"/>
      <c r="R2591" s="669"/>
      <c r="S2591" s="670"/>
      <c r="T2591" s="577">
        <f t="shared" si="687"/>
        <v>0</v>
      </c>
      <c r="U2591" s="578">
        <f t="shared" si="688"/>
        <v>0</v>
      </c>
      <c r="V2591" s="579"/>
      <c r="W2591" s="637" t="str">
        <f>IF(U2588&gt;0,"xx",IF(P2588&gt;0,"xy",""))</f>
        <v/>
      </c>
      <c r="X2591" s="586" t="str">
        <f t="shared" si="681"/>
        <v/>
      </c>
      <c r="Y2591" s="586" t="str">
        <f t="shared" si="692"/>
        <v/>
      </c>
      <c r="Z2591" s="586" t="str">
        <f t="shared" si="680"/>
        <v/>
      </c>
    </row>
    <row r="2592" spans="1:26" ht="12" hidden="1" thickBot="1" x14ac:dyDescent="0.25">
      <c r="A2592" s="567" t="s">
        <v>168</v>
      </c>
      <c r="B2592" s="644" t="s">
        <v>168</v>
      </c>
      <c r="C2592" s="645"/>
      <c r="D2592" s="451" t="s">
        <v>400</v>
      </c>
      <c r="E2592" s="423"/>
      <c r="F2592" s="424">
        <v>30</v>
      </c>
      <c r="G2592" s="425">
        <f>VLOOKUP(D2588,'[2]ENSAIOS DE ORÇAMENTO'!$C$3:$L$79,3,FALSE)</f>
        <v>0</v>
      </c>
      <c r="H2592" s="663">
        <f t="shared" si="699"/>
        <v>0</v>
      </c>
      <c r="I2592" s="420"/>
      <c r="J2592" s="420" t="str">
        <f t="shared" si="698"/>
        <v/>
      </c>
      <c r="K2592" s="421">
        <f t="shared" si="686"/>
        <v>0</v>
      </c>
      <c r="L2592" s="668" t="s">
        <v>614</v>
      </c>
      <c r="M2592" s="669"/>
      <c r="N2592" s="576">
        <f t="shared" si="696"/>
        <v>0</v>
      </c>
      <c r="O2592" s="577">
        <f t="shared" si="689"/>
        <v>0</v>
      </c>
      <c r="P2592" s="578">
        <f t="shared" si="690"/>
        <v>0</v>
      </c>
      <c r="Q2592" s="765"/>
      <c r="R2592" s="669"/>
      <c r="S2592" s="670"/>
      <c r="T2592" s="577">
        <f t="shared" si="687"/>
        <v>0</v>
      </c>
      <c r="U2592" s="578">
        <f t="shared" si="688"/>
        <v>0</v>
      </c>
      <c r="V2592" s="579"/>
      <c r="W2592" s="637" t="str">
        <f>IF(U2588&gt;0,"xx",IF(P2588&gt;0,"xy",""))</f>
        <v/>
      </c>
      <c r="X2592" s="586" t="str">
        <f t="shared" si="681"/>
        <v/>
      </c>
      <c r="Y2592" s="586" t="str">
        <f t="shared" si="692"/>
        <v/>
      </c>
      <c r="Z2592" s="586" t="str">
        <f t="shared" si="680"/>
        <v/>
      </c>
    </row>
    <row r="2593" spans="1:26" ht="12" hidden="1" thickBot="1" x14ac:dyDescent="0.25">
      <c r="A2593" s="567" t="s">
        <v>168</v>
      </c>
      <c r="B2593" s="644" t="s">
        <v>168</v>
      </c>
      <c r="C2593" s="645"/>
      <c r="D2593" s="451" t="s">
        <v>401</v>
      </c>
      <c r="E2593" s="423"/>
      <c r="F2593" s="424">
        <v>500</v>
      </c>
      <c r="G2593" s="425">
        <f>VLOOKUP(D2588,'[2]ENSAIOS DE ORÇAMENTO'!$C$3:$L$79,10,FALSE)</f>
        <v>0</v>
      </c>
      <c r="H2593" s="649">
        <f>IF(F2593&lt;=30,(0.78*F2593+7.82)*G2593,((0.78*30+7.82)+0.78*(F2593-30))*G2593)</f>
        <v>0</v>
      </c>
      <c r="I2593" s="420"/>
      <c r="J2593" s="420" t="str">
        <f t="shared" si="698"/>
        <v/>
      </c>
      <c r="K2593" s="421">
        <f t="shared" si="686"/>
        <v>0</v>
      </c>
      <c r="L2593" s="668" t="s">
        <v>614</v>
      </c>
      <c r="M2593" s="669"/>
      <c r="N2593" s="576">
        <f t="shared" si="696"/>
        <v>0</v>
      </c>
      <c r="O2593" s="577">
        <f t="shared" si="689"/>
        <v>0</v>
      </c>
      <c r="P2593" s="578">
        <f t="shared" si="690"/>
        <v>0</v>
      </c>
      <c r="Q2593" s="765"/>
      <c r="R2593" s="669"/>
      <c r="S2593" s="670"/>
      <c r="T2593" s="577">
        <f t="shared" si="687"/>
        <v>0</v>
      </c>
      <c r="U2593" s="578">
        <f t="shared" si="688"/>
        <v>0</v>
      </c>
      <c r="V2593" s="579"/>
      <c r="W2593" s="637" t="str">
        <f>IF(U2588&gt;0,"xx",IF(P2588&gt;0,"xy",""))</f>
        <v/>
      </c>
      <c r="X2593" s="586" t="str">
        <f t="shared" si="681"/>
        <v/>
      </c>
      <c r="Y2593" s="586" t="str">
        <f t="shared" si="692"/>
        <v/>
      </c>
      <c r="Z2593" s="586" t="str">
        <f t="shared" si="680"/>
        <v/>
      </c>
    </row>
    <row r="2594" spans="1:26" ht="12" hidden="1" thickBot="1" x14ac:dyDescent="0.25">
      <c r="A2594" s="567" t="s">
        <v>432</v>
      </c>
      <c r="B2594" s="644" t="s">
        <v>432</v>
      </c>
      <c r="C2594" s="645" t="s">
        <v>206</v>
      </c>
      <c r="D2594" s="422" t="str">
        <f>'[2]ENSAIOS DE ORÇAMENTO'!C74</f>
        <v>ENSAIO DE ORÇAMENTO 5</v>
      </c>
      <c r="E2594" s="423"/>
      <c r="F2594" s="424"/>
      <c r="G2594" s="425"/>
      <c r="H2594" s="651">
        <f>SUM(H2595:H2599)</f>
        <v>0</v>
      </c>
      <c r="I2594" s="420">
        <f>VLOOKUP(D2594,'[2]ENSAIOS DE ORÇAMENTO'!$C$3:$L$79,8,FALSE)</f>
        <v>0</v>
      </c>
      <c r="J2594" s="420">
        <f t="shared" si="698"/>
        <v>0</v>
      </c>
      <c r="K2594" s="421">
        <f t="shared" si="686"/>
        <v>0</v>
      </c>
      <c r="L2594" s="647" t="s">
        <v>21</v>
      </c>
      <c r="M2594" s="576"/>
      <c r="N2594" s="576">
        <f t="shared" si="696"/>
        <v>0</v>
      </c>
      <c r="O2594" s="577">
        <f t="shared" si="689"/>
        <v>0</v>
      </c>
      <c r="P2594" s="578">
        <f t="shared" si="690"/>
        <v>0</v>
      </c>
      <c r="Q2594" s="765"/>
      <c r="R2594" s="576">
        <f>M2594</f>
        <v>0</v>
      </c>
      <c r="S2594" s="576">
        <f>N2594</f>
        <v>0</v>
      </c>
      <c r="T2594" s="577">
        <f t="shared" si="687"/>
        <v>0</v>
      </c>
      <c r="U2594" s="578">
        <f t="shared" si="688"/>
        <v>0</v>
      </c>
      <c r="V2594" s="579"/>
      <c r="W2594" s="566"/>
      <c r="X2594" s="586" t="str">
        <f t="shared" si="681"/>
        <v/>
      </c>
      <c r="Y2594" s="586" t="str">
        <f t="shared" si="692"/>
        <v/>
      </c>
      <c r="Z2594" s="586" t="str">
        <f t="shared" si="680"/>
        <v/>
      </c>
    </row>
    <row r="2595" spans="1:26" ht="12" hidden="1" thickBot="1" x14ac:dyDescent="0.25">
      <c r="A2595" s="567" t="s">
        <v>168</v>
      </c>
      <c r="B2595" s="644" t="s">
        <v>168</v>
      </c>
      <c r="C2595" s="645"/>
      <c r="D2595" s="451" t="s">
        <v>212</v>
      </c>
      <c r="E2595" s="423"/>
      <c r="F2595" s="424">
        <v>500</v>
      </c>
      <c r="G2595" s="425">
        <f>VLOOKUP(D2594,'[2]ENSAIOS DE ORÇAMENTO'!$C$3:$L$79,4,FALSE)</f>
        <v>0</v>
      </c>
      <c r="H2595" s="649">
        <f>IF(F2595&lt;=30,(0.78*F2595+7.82)*G2595,((0.78*30+7.82)+0.78*(F2595-30))*G2595)</f>
        <v>0</v>
      </c>
      <c r="I2595" s="420"/>
      <c r="J2595" s="420" t="str">
        <f t="shared" si="698"/>
        <v/>
      </c>
      <c r="K2595" s="421">
        <f t="shared" si="686"/>
        <v>0</v>
      </c>
      <c r="L2595" s="668" t="s">
        <v>614</v>
      </c>
      <c r="M2595" s="669"/>
      <c r="N2595" s="576">
        <f t="shared" si="696"/>
        <v>0</v>
      </c>
      <c r="O2595" s="577">
        <f t="shared" si="689"/>
        <v>0</v>
      </c>
      <c r="P2595" s="578">
        <f t="shared" si="690"/>
        <v>0</v>
      </c>
      <c r="Q2595" s="765"/>
      <c r="R2595" s="669"/>
      <c r="S2595" s="670"/>
      <c r="T2595" s="577">
        <f t="shared" si="687"/>
        <v>0</v>
      </c>
      <c r="U2595" s="578">
        <f t="shared" si="688"/>
        <v>0</v>
      </c>
      <c r="V2595" s="579"/>
      <c r="W2595" s="637" t="str">
        <f>IF(U2594&gt;0,"xx",IF(P2594&gt;0,"xy",""))</f>
        <v/>
      </c>
      <c r="X2595" s="586" t="str">
        <f t="shared" si="681"/>
        <v/>
      </c>
      <c r="Y2595" s="586" t="str">
        <f t="shared" si="692"/>
        <v/>
      </c>
      <c r="Z2595" s="586" t="str">
        <f t="shared" si="680"/>
        <v/>
      </c>
    </row>
    <row r="2596" spans="1:26" ht="12" hidden="1" thickBot="1" x14ac:dyDescent="0.25">
      <c r="A2596" s="567" t="s">
        <v>168</v>
      </c>
      <c r="B2596" s="644" t="s">
        <v>168</v>
      </c>
      <c r="C2596" s="645"/>
      <c r="D2596" s="451" t="s">
        <v>248</v>
      </c>
      <c r="E2596" s="423"/>
      <c r="F2596" s="424">
        <v>180</v>
      </c>
      <c r="G2596" s="425">
        <f>VLOOKUP(D2594,'[2]ENSAIOS DE ORÇAMENTO'!$C$3:$L$79,5,FALSE)</f>
        <v>0</v>
      </c>
      <c r="H2596" s="663">
        <f t="shared" ref="H2596:H2598" si="700">IF(F2596&lt;=30,(1.07*F2596+2.68)*G2596,((1.07*30+2.68)+1.07*(F2596-30))*G2596)</f>
        <v>0</v>
      </c>
      <c r="I2596" s="420"/>
      <c r="J2596" s="420" t="str">
        <f t="shared" si="698"/>
        <v/>
      </c>
      <c r="K2596" s="421">
        <f t="shared" si="686"/>
        <v>0</v>
      </c>
      <c r="L2596" s="668" t="s">
        <v>614</v>
      </c>
      <c r="M2596" s="669"/>
      <c r="N2596" s="576">
        <f t="shared" si="696"/>
        <v>0</v>
      </c>
      <c r="O2596" s="577">
        <f t="shared" si="689"/>
        <v>0</v>
      </c>
      <c r="P2596" s="578">
        <f t="shared" si="690"/>
        <v>0</v>
      </c>
      <c r="Q2596" s="765"/>
      <c r="R2596" s="669"/>
      <c r="S2596" s="670"/>
      <c r="T2596" s="577">
        <f t="shared" si="687"/>
        <v>0</v>
      </c>
      <c r="U2596" s="578">
        <f t="shared" si="688"/>
        <v>0</v>
      </c>
      <c r="V2596" s="579"/>
      <c r="W2596" s="637" t="str">
        <f>IF(U2594&gt;0,"xx",IF(P2594&gt;0,"xy",""))</f>
        <v/>
      </c>
      <c r="X2596" s="586" t="str">
        <f t="shared" si="681"/>
        <v/>
      </c>
      <c r="Y2596" s="586" t="str">
        <f t="shared" si="692"/>
        <v/>
      </c>
      <c r="Z2596" s="586" t="str">
        <f t="shared" si="680"/>
        <v/>
      </c>
    </row>
    <row r="2597" spans="1:26" ht="12" hidden="1" thickBot="1" x14ac:dyDescent="0.25">
      <c r="A2597" s="567" t="s">
        <v>168</v>
      </c>
      <c r="B2597" s="644" t="s">
        <v>168</v>
      </c>
      <c r="C2597" s="645"/>
      <c r="D2597" s="451" t="s">
        <v>252</v>
      </c>
      <c r="E2597" s="423"/>
      <c r="F2597" s="424">
        <v>20</v>
      </c>
      <c r="G2597" s="425">
        <f>VLOOKUP(D2594,'[2]ENSAIOS DE ORÇAMENTO'!$C$3:$L$79,6,FALSE)</f>
        <v>0</v>
      </c>
      <c r="H2597" s="663">
        <f t="shared" si="700"/>
        <v>0</v>
      </c>
      <c r="I2597" s="420"/>
      <c r="J2597" s="420" t="str">
        <f t="shared" si="698"/>
        <v/>
      </c>
      <c r="K2597" s="421">
        <f t="shared" si="686"/>
        <v>0</v>
      </c>
      <c r="L2597" s="668" t="s">
        <v>614</v>
      </c>
      <c r="M2597" s="669"/>
      <c r="N2597" s="576">
        <f t="shared" si="696"/>
        <v>0</v>
      </c>
      <c r="O2597" s="577">
        <f t="shared" si="689"/>
        <v>0</v>
      </c>
      <c r="P2597" s="578">
        <f t="shared" si="690"/>
        <v>0</v>
      </c>
      <c r="Q2597" s="765"/>
      <c r="R2597" s="669"/>
      <c r="S2597" s="670"/>
      <c r="T2597" s="577">
        <f t="shared" si="687"/>
        <v>0</v>
      </c>
      <c r="U2597" s="578">
        <f t="shared" si="688"/>
        <v>0</v>
      </c>
      <c r="V2597" s="579"/>
      <c r="W2597" s="637" t="str">
        <f>IF(U2594&gt;0,"xx",IF(P2594&gt;0,"xy",""))</f>
        <v/>
      </c>
      <c r="X2597" s="586" t="str">
        <f t="shared" si="681"/>
        <v/>
      </c>
      <c r="Y2597" s="586" t="str">
        <f t="shared" si="692"/>
        <v/>
      </c>
      <c r="Z2597" s="586" t="str">
        <f t="shared" si="680"/>
        <v/>
      </c>
    </row>
    <row r="2598" spans="1:26" ht="12" hidden="1" thickBot="1" x14ac:dyDescent="0.25">
      <c r="A2598" s="567" t="s">
        <v>168</v>
      </c>
      <c r="B2598" s="644" t="s">
        <v>168</v>
      </c>
      <c r="C2598" s="645"/>
      <c r="D2598" s="451" t="s">
        <v>400</v>
      </c>
      <c r="E2598" s="423"/>
      <c r="F2598" s="424">
        <v>30</v>
      </c>
      <c r="G2598" s="425">
        <f>VLOOKUP(D2594,'[2]ENSAIOS DE ORÇAMENTO'!$C$3:$L$79,3,FALSE)</f>
        <v>0</v>
      </c>
      <c r="H2598" s="663">
        <f t="shared" si="700"/>
        <v>0</v>
      </c>
      <c r="I2598" s="420"/>
      <c r="J2598" s="420" t="str">
        <f t="shared" si="698"/>
        <v/>
      </c>
      <c r="K2598" s="421">
        <f t="shared" si="686"/>
        <v>0</v>
      </c>
      <c r="L2598" s="647" t="s">
        <v>614</v>
      </c>
      <c r="M2598" s="669"/>
      <c r="N2598" s="576">
        <f t="shared" si="696"/>
        <v>0</v>
      </c>
      <c r="O2598" s="577">
        <f t="shared" si="689"/>
        <v>0</v>
      </c>
      <c r="P2598" s="578">
        <f t="shared" si="690"/>
        <v>0</v>
      </c>
      <c r="Q2598" s="765"/>
      <c r="R2598" s="669"/>
      <c r="S2598" s="670"/>
      <c r="T2598" s="577">
        <f t="shared" si="687"/>
        <v>0</v>
      </c>
      <c r="U2598" s="578">
        <f t="shared" si="688"/>
        <v>0</v>
      </c>
      <c r="V2598" s="579"/>
      <c r="W2598" s="566" t="str">
        <f>IF(U2594&gt;0,"xx",IF(P2594&gt;0,"xy",""))</f>
        <v/>
      </c>
      <c r="X2598" s="586" t="str">
        <f t="shared" si="681"/>
        <v/>
      </c>
      <c r="Y2598" s="586" t="str">
        <f t="shared" si="692"/>
        <v/>
      </c>
      <c r="Z2598" s="586" t="str">
        <f t="shared" si="680"/>
        <v/>
      </c>
    </row>
    <row r="2599" spans="1:26" ht="12" hidden="1" thickBot="1" x14ac:dyDescent="0.25">
      <c r="A2599" s="567" t="s">
        <v>168</v>
      </c>
      <c r="B2599" s="644" t="s">
        <v>168</v>
      </c>
      <c r="C2599" s="645"/>
      <c r="D2599" s="451" t="s">
        <v>401</v>
      </c>
      <c r="E2599" s="423"/>
      <c r="F2599" s="424">
        <v>500</v>
      </c>
      <c r="G2599" s="425">
        <f>VLOOKUP(D2594,'[2]ENSAIOS DE ORÇAMENTO'!$C$3:$L$79,10,FALSE)</f>
        <v>0</v>
      </c>
      <c r="H2599" s="649">
        <f>IF(F2599&lt;=30,(0.78*F2599+7.82)*G2599,((0.78*30+7.82)+0.78*(F2599-30))*G2599)</f>
        <v>0</v>
      </c>
      <c r="I2599" s="420"/>
      <c r="J2599" s="420" t="str">
        <f t="shared" si="698"/>
        <v/>
      </c>
      <c r="K2599" s="421">
        <f t="shared" si="686"/>
        <v>0</v>
      </c>
      <c r="L2599" s="668" t="s">
        <v>614</v>
      </c>
      <c r="M2599" s="669"/>
      <c r="N2599" s="576">
        <f t="shared" si="696"/>
        <v>0</v>
      </c>
      <c r="O2599" s="577">
        <f t="shared" si="689"/>
        <v>0</v>
      </c>
      <c r="P2599" s="578">
        <f t="shared" si="690"/>
        <v>0</v>
      </c>
      <c r="Q2599" s="765"/>
      <c r="R2599" s="669"/>
      <c r="S2599" s="670"/>
      <c r="T2599" s="577">
        <f t="shared" si="687"/>
        <v>0</v>
      </c>
      <c r="U2599" s="578">
        <f t="shared" si="688"/>
        <v>0</v>
      </c>
      <c r="V2599" s="579"/>
      <c r="W2599" s="637" t="str">
        <f>IF(U2594&gt;0,"xx",IF(P2594&gt;0,"xy",""))</f>
        <v/>
      </c>
      <c r="X2599" s="586" t="str">
        <f t="shared" si="681"/>
        <v/>
      </c>
      <c r="Y2599" s="586" t="str">
        <f t="shared" si="692"/>
        <v/>
      </c>
      <c r="Z2599" s="586" t="str">
        <f t="shared" si="680"/>
        <v/>
      </c>
    </row>
    <row r="2600" spans="1:26" ht="12" hidden="1" thickBot="1" x14ac:dyDescent="0.25">
      <c r="A2600" s="567" t="s">
        <v>433</v>
      </c>
      <c r="B2600" s="644" t="s">
        <v>433</v>
      </c>
      <c r="C2600" s="645" t="s">
        <v>206</v>
      </c>
      <c r="D2600" s="422" t="str">
        <f>'[2]ENSAIOS DE ORÇAMENTO'!C75</f>
        <v>ENSAIO DE ORÇAMENTO 6</v>
      </c>
      <c r="E2600" s="423"/>
      <c r="F2600" s="424"/>
      <c r="G2600" s="425"/>
      <c r="H2600" s="651">
        <f>SUM(H2601:H2605)</f>
        <v>0</v>
      </c>
      <c r="I2600" s="420">
        <f>VLOOKUP(D2600,'[2]ENSAIOS DE ORÇAMENTO'!$C$3:$L$79,8,FALSE)</f>
        <v>0</v>
      </c>
      <c r="J2600" s="420">
        <f t="shared" si="698"/>
        <v>0</v>
      </c>
      <c r="K2600" s="421">
        <f t="shared" si="686"/>
        <v>0</v>
      </c>
      <c r="L2600" s="647" t="s">
        <v>21</v>
      </c>
      <c r="M2600" s="576"/>
      <c r="N2600" s="576">
        <f t="shared" si="696"/>
        <v>0</v>
      </c>
      <c r="O2600" s="577">
        <f t="shared" si="689"/>
        <v>0</v>
      </c>
      <c r="P2600" s="578">
        <f t="shared" si="690"/>
        <v>0</v>
      </c>
      <c r="Q2600" s="765"/>
      <c r="R2600" s="576">
        <f>M2600</f>
        <v>0</v>
      </c>
      <c r="S2600" s="576">
        <f>N2600</f>
        <v>0</v>
      </c>
      <c r="T2600" s="577">
        <f t="shared" si="687"/>
        <v>0</v>
      </c>
      <c r="U2600" s="578">
        <f t="shared" si="688"/>
        <v>0</v>
      </c>
      <c r="V2600" s="579"/>
      <c r="W2600" s="566"/>
      <c r="X2600" s="586" t="str">
        <f t="shared" si="681"/>
        <v/>
      </c>
      <c r="Y2600" s="586" t="str">
        <f t="shared" si="692"/>
        <v/>
      </c>
      <c r="Z2600" s="586" t="str">
        <f t="shared" ref="Z2600:Z2663" si="701">IF(W2600="X","x",IF(U2600&gt;0,"x",""))</f>
        <v/>
      </c>
    </row>
    <row r="2601" spans="1:26" ht="12" hidden="1" thickBot="1" x14ac:dyDescent="0.25">
      <c r="A2601" s="567" t="s">
        <v>168</v>
      </c>
      <c r="B2601" s="644" t="s">
        <v>168</v>
      </c>
      <c r="C2601" s="645"/>
      <c r="D2601" s="451" t="s">
        <v>212</v>
      </c>
      <c r="E2601" s="423"/>
      <c r="F2601" s="424">
        <v>500</v>
      </c>
      <c r="G2601" s="425">
        <f>VLOOKUP(D2600,'[2]ENSAIOS DE ORÇAMENTO'!$C$3:$L$79,4,FALSE)</f>
        <v>0</v>
      </c>
      <c r="H2601" s="649">
        <f>IF(F2601&lt;=30,(0.78*F2601+7.82)*G2601,((0.78*30+7.82)+0.78*(F2601-30))*G2601)</f>
        <v>0</v>
      </c>
      <c r="I2601" s="420"/>
      <c r="J2601" s="420" t="str">
        <f t="shared" si="698"/>
        <v/>
      </c>
      <c r="K2601" s="421">
        <f t="shared" si="686"/>
        <v>0</v>
      </c>
      <c r="L2601" s="668" t="s">
        <v>614</v>
      </c>
      <c r="M2601" s="669"/>
      <c r="N2601" s="576">
        <f t="shared" si="696"/>
        <v>0</v>
      </c>
      <c r="O2601" s="577">
        <f t="shared" si="689"/>
        <v>0</v>
      </c>
      <c r="P2601" s="578">
        <f t="shared" si="690"/>
        <v>0</v>
      </c>
      <c r="Q2601" s="765"/>
      <c r="R2601" s="669"/>
      <c r="S2601" s="670"/>
      <c r="T2601" s="577">
        <f t="shared" si="687"/>
        <v>0</v>
      </c>
      <c r="U2601" s="578">
        <f t="shared" si="688"/>
        <v>0</v>
      </c>
      <c r="V2601" s="579"/>
      <c r="W2601" s="637" t="str">
        <f>IF(U2600&gt;0,"xx",IF(P2600&gt;0,"xy",""))</f>
        <v/>
      </c>
      <c r="X2601" s="586" t="str">
        <f t="shared" si="681"/>
        <v/>
      </c>
      <c r="Y2601" s="586" t="str">
        <f t="shared" si="692"/>
        <v/>
      </c>
      <c r="Z2601" s="586" t="str">
        <f t="shared" si="701"/>
        <v/>
      </c>
    </row>
    <row r="2602" spans="1:26" ht="12" hidden="1" thickBot="1" x14ac:dyDescent="0.25">
      <c r="A2602" s="567" t="s">
        <v>168</v>
      </c>
      <c r="B2602" s="644" t="s">
        <v>168</v>
      </c>
      <c r="C2602" s="645"/>
      <c r="D2602" s="451" t="s">
        <v>248</v>
      </c>
      <c r="E2602" s="423"/>
      <c r="F2602" s="424">
        <v>180</v>
      </c>
      <c r="G2602" s="425">
        <f>VLOOKUP(D2600,'[2]ENSAIOS DE ORÇAMENTO'!$C$3:$L$79,5,FALSE)</f>
        <v>0</v>
      </c>
      <c r="H2602" s="663">
        <f t="shared" ref="H2602:H2604" si="702">IF(F2602&lt;=30,(1.07*F2602+2.68)*G2602,((1.07*30+2.68)+1.07*(F2602-30))*G2602)</f>
        <v>0</v>
      </c>
      <c r="I2602" s="420"/>
      <c r="J2602" s="420" t="str">
        <f t="shared" si="698"/>
        <v/>
      </c>
      <c r="K2602" s="421">
        <f t="shared" si="686"/>
        <v>0</v>
      </c>
      <c r="L2602" s="668" t="s">
        <v>614</v>
      </c>
      <c r="M2602" s="669"/>
      <c r="N2602" s="576">
        <f t="shared" si="696"/>
        <v>0</v>
      </c>
      <c r="O2602" s="577">
        <f t="shared" si="689"/>
        <v>0</v>
      </c>
      <c r="P2602" s="578">
        <f t="shared" si="690"/>
        <v>0</v>
      </c>
      <c r="Q2602" s="765"/>
      <c r="R2602" s="669"/>
      <c r="S2602" s="670"/>
      <c r="T2602" s="577">
        <f t="shared" si="687"/>
        <v>0</v>
      </c>
      <c r="U2602" s="578">
        <f t="shared" si="688"/>
        <v>0</v>
      </c>
      <c r="V2602" s="579"/>
      <c r="W2602" s="637" t="str">
        <f>IF(U2600&gt;0,"xx",IF(P2600&gt;0,"xy",""))</f>
        <v/>
      </c>
      <c r="X2602" s="586" t="str">
        <f t="shared" si="681"/>
        <v/>
      </c>
      <c r="Y2602" s="586" t="str">
        <f t="shared" si="692"/>
        <v/>
      </c>
      <c r="Z2602" s="586" t="str">
        <f t="shared" si="701"/>
        <v/>
      </c>
    </row>
    <row r="2603" spans="1:26" ht="12" hidden="1" thickBot="1" x14ac:dyDescent="0.25">
      <c r="A2603" s="567" t="s">
        <v>168</v>
      </c>
      <c r="B2603" s="644" t="s">
        <v>168</v>
      </c>
      <c r="C2603" s="645"/>
      <c r="D2603" s="451" t="s">
        <v>252</v>
      </c>
      <c r="E2603" s="423"/>
      <c r="F2603" s="424">
        <v>20</v>
      </c>
      <c r="G2603" s="425">
        <f>VLOOKUP(D2600,'[2]ENSAIOS DE ORÇAMENTO'!$C$3:$L$79,6,FALSE)</f>
        <v>0</v>
      </c>
      <c r="H2603" s="663">
        <f t="shared" si="702"/>
        <v>0</v>
      </c>
      <c r="I2603" s="420"/>
      <c r="J2603" s="420" t="str">
        <f t="shared" si="698"/>
        <v/>
      </c>
      <c r="K2603" s="421">
        <f t="shared" si="686"/>
        <v>0</v>
      </c>
      <c r="L2603" s="668" t="s">
        <v>614</v>
      </c>
      <c r="M2603" s="669"/>
      <c r="N2603" s="576">
        <f t="shared" si="696"/>
        <v>0</v>
      </c>
      <c r="O2603" s="577">
        <f t="shared" si="689"/>
        <v>0</v>
      </c>
      <c r="P2603" s="578">
        <f t="shared" si="690"/>
        <v>0</v>
      </c>
      <c r="Q2603" s="765"/>
      <c r="R2603" s="669"/>
      <c r="S2603" s="670"/>
      <c r="T2603" s="577">
        <f t="shared" si="687"/>
        <v>0</v>
      </c>
      <c r="U2603" s="578">
        <f t="shared" si="688"/>
        <v>0</v>
      </c>
      <c r="V2603" s="579"/>
      <c r="W2603" s="637" t="str">
        <f>IF(U2600&gt;0,"xx",IF(P2600&gt;0,"xy",""))</f>
        <v/>
      </c>
      <c r="X2603" s="586" t="str">
        <f t="shared" ref="X2603:X2666" si="703">IF(W2603="X","x",IF(W2603="xx","x",IF(W2603="xy","x",IF(W2603="y","x",IF(OR(P2603&gt;0,U2603&gt;0),"x","")))))</f>
        <v/>
      </c>
      <c r="Y2603" s="586" t="str">
        <f t="shared" si="692"/>
        <v/>
      </c>
      <c r="Z2603" s="586" t="str">
        <f t="shared" si="701"/>
        <v/>
      </c>
    </row>
    <row r="2604" spans="1:26" ht="12" hidden="1" thickBot="1" x14ac:dyDescent="0.25">
      <c r="A2604" s="567" t="s">
        <v>168</v>
      </c>
      <c r="B2604" s="644" t="s">
        <v>168</v>
      </c>
      <c r="C2604" s="645"/>
      <c r="D2604" s="451" t="s">
        <v>400</v>
      </c>
      <c r="E2604" s="423"/>
      <c r="F2604" s="424">
        <v>30</v>
      </c>
      <c r="G2604" s="425">
        <f>VLOOKUP(D2600,'[2]ENSAIOS DE ORÇAMENTO'!$C$3:$L$79,3,FALSE)</f>
        <v>0</v>
      </c>
      <c r="H2604" s="663">
        <f t="shared" si="702"/>
        <v>0</v>
      </c>
      <c r="I2604" s="420"/>
      <c r="J2604" s="420" t="str">
        <f t="shared" si="698"/>
        <v/>
      </c>
      <c r="K2604" s="421">
        <f t="shared" si="686"/>
        <v>0</v>
      </c>
      <c r="L2604" s="668" t="s">
        <v>614</v>
      </c>
      <c r="M2604" s="669"/>
      <c r="N2604" s="576">
        <f t="shared" si="696"/>
        <v>0</v>
      </c>
      <c r="O2604" s="577">
        <f t="shared" si="689"/>
        <v>0</v>
      </c>
      <c r="P2604" s="578">
        <f t="shared" si="690"/>
        <v>0</v>
      </c>
      <c r="Q2604" s="765"/>
      <c r="R2604" s="669"/>
      <c r="S2604" s="670"/>
      <c r="T2604" s="577">
        <f t="shared" si="687"/>
        <v>0</v>
      </c>
      <c r="U2604" s="578">
        <f t="shared" si="688"/>
        <v>0</v>
      </c>
      <c r="V2604" s="579"/>
      <c r="W2604" s="637" t="str">
        <f>IF(U2600&gt;0,"xx",IF(P2600&gt;0,"xy",""))</f>
        <v/>
      </c>
      <c r="X2604" s="586" t="str">
        <f t="shared" si="703"/>
        <v/>
      </c>
      <c r="Y2604" s="586" t="str">
        <f t="shared" si="692"/>
        <v/>
      </c>
      <c r="Z2604" s="586" t="str">
        <f t="shared" si="701"/>
        <v/>
      </c>
    </row>
    <row r="2605" spans="1:26" ht="12" hidden="1" thickBot="1" x14ac:dyDescent="0.25">
      <c r="A2605" s="567" t="s">
        <v>168</v>
      </c>
      <c r="B2605" s="644" t="s">
        <v>168</v>
      </c>
      <c r="C2605" s="645"/>
      <c r="D2605" s="451" t="s">
        <v>401</v>
      </c>
      <c r="E2605" s="423"/>
      <c r="F2605" s="424">
        <v>500</v>
      </c>
      <c r="G2605" s="425">
        <f>VLOOKUP(D2600,'[2]ENSAIOS DE ORÇAMENTO'!$C$3:$L$79,10,FALSE)</f>
        <v>0</v>
      </c>
      <c r="H2605" s="649">
        <f>IF(F2605&lt;=30,(0.78*F2605+7.82)*G2605,((0.78*30+7.82)+0.78*(F2605-30))*G2605)</f>
        <v>0</v>
      </c>
      <c r="I2605" s="420"/>
      <c r="J2605" s="420" t="str">
        <f t="shared" si="698"/>
        <v/>
      </c>
      <c r="K2605" s="421">
        <f t="shared" si="686"/>
        <v>0</v>
      </c>
      <c r="L2605" s="668" t="s">
        <v>614</v>
      </c>
      <c r="M2605" s="669"/>
      <c r="N2605" s="576">
        <f t="shared" si="696"/>
        <v>0</v>
      </c>
      <c r="O2605" s="577">
        <f t="shared" si="689"/>
        <v>0</v>
      </c>
      <c r="P2605" s="578">
        <f t="shared" si="690"/>
        <v>0</v>
      </c>
      <c r="Q2605" s="765"/>
      <c r="R2605" s="669"/>
      <c r="S2605" s="670"/>
      <c r="T2605" s="577">
        <f t="shared" si="687"/>
        <v>0</v>
      </c>
      <c r="U2605" s="578">
        <f t="shared" si="688"/>
        <v>0</v>
      </c>
      <c r="V2605" s="579"/>
      <c r="W2605" s="637" t="str">
        <f>IF(U2600&gt;0,"xx",IF(P2600&gt;0,"xy",""))</f>
        <v/>
      </c>
      <c r="X2605" s="586" t="str">
        <f t="shared" si="703"/>
        <v/>
      </c>
      <c r="Y2605" s="586" t="str">
        <f t="shared" si="692"/>
        <v/>
      </c>
      <c r="Z2605" s="586" t="str">
        <f t="shared" si="701"/>
        <v/>
      </c>
    </row>
    <row r="2606" spans="1:26" ht="12" hidden="1" thickBot="1" x14ac:dyDescent="0.25">
      <c r="A2606" s="567" t="s">
        <v>434</v>
      </c>
      <c r="B2606" s="644" t="s">
        <v>434</v>
      </c>
      <c r="C2606" s="645" t="s">
        <v>206</v>
      </c>
      <c r="D2606" s="422" t="str">
        <f>'[2]ENSAIOS DE ORÇAMENTO'!C76</f>
        <v>ENSAIO DE ORÇAMENTO 7</v>
      </c>
      <c r="E2606" s="423"/>
      <c r="F2606" s="424"/>
      <c r="G2606" s="425"/>
      <c r="H2606" s="651">
        <f>SUM(H2607:H2611)</f>
        <v>0</v>
      </c>
      <c r="I2606" s="420">
        <f>VLOOKUP(D2606,'[2]ENSAIOS DE ORÇAMENTO'!$C$3:$L$79,8,FALSE)</f>
        <v>0</v>
      </c>
      <c r="J2606" s="420">
        <f t="shared" si="698"/>
        <v>0</v>
      </c>
      <c r="K2606" s="421">
        <f t="shared" si="686"/>
        <v>0</v>
      </c>
      <c r="L2606" s="647" t="s">
        <v>21</v>
      </c>
      <c r="M2606" s="576"/>
      <c r="N2606" s="576">
        <f t="shared" si="696"/>
        <v>0</v>
      </c>
      <c r="O2606" s="577">
        <f t="shared" si="689"/>
        <v>0</v>
      </c>
      <c r="P2606" s="578">
        <f t="shared" si="690"/>
        <v>0</v>
      </c>
      <c r="Q2606" s="765"/>
      <c r="R2606" s="576">
        <f>M2606</f>
        <v>0</v>
      </c>
      <c r="S2606" s="576">
        <f>N2606</f>
        <v>0</v>
      </c>
      <c r="T2606" s="577">
        <f t="shared" si="687"/>
        <v>0</v>
      </c>
      <c r="U2606" s="578">
        <f t="shared" si="688"/>
        <v>0</v>
      </c>
      <c r="V2606" s="579"/>
      <c r="W2606" s="566"/>
      <c r="X2606" s="586" t="str">
        <f t="shared" si="703"/>
        <v/>
      </c>
      <c r="Y2606" s="586" t="str">
        <f t="shared" si="692"/>
        <v/>
      </c>
      <c r="Z2606" s="586" t="str">
        <f t="shared" si="701"/>
        <v/>
      </c>
    </row>
    <row r="2607" spans="1:26" ht="12" hidden="1" thickBot="1" x14ac:dyDescent="0.25">
      <c r="A2607" s="567" t="s">
        <v>168</v>
      </c>
      <c r="B2607" s="644" t="s">
        <v>168</v>
      </c>
      <c r="C2607" s="645"/>
      <c r="D2607" s="451" t="s">
        <v>212</v>
      </c>
      <c r="E2607" s="423"/>
      <c r="F2607" s="424">
        <v>500</v>
      </c>
      <c r="G2607" s="425">
        <f>VLOOKUP(D2606,'[2]ENSAIOS DE ORÇAMENTO'!$C$3:$L$79,4,FALSE)</f>
        <v>0</v>
      </c>
      <c r="H2607" s="649">
        <f>IF(F2607&lt;=30,(0.78*F2607+7.82)*G2607,((0.78*30+7.82)+0.78*(F2607-30))*G2607)</f>
        <v>0</v>
      </c>
      <c r="I2607" s="420"/>
      <c r="J2607" s="420" t="str">
        <f t="shared" si="698"/>
        <v/>
      </c>
      <c r="K2607" s="421">
        <f t="shared" si="686"/>
        <v>0</v>
      </c>
      <c r="L2607" s="668" t="s">
        <v>614</v>
      </c>
      <c r="M2607" s="669"/>
      <c r="N2607" s="576">
        <f t="shared" si="696"/>
        <v>0</v>
      </c>
      <c r="O2607" s="577">
        <f t="shared" si="689"/>
        <v>0</v>
      </c>
      <c r="P2607" s="578">
        <f t="shared" si="690"/>
        <v>0</v>
      </c>
      <c r="Q2607" s="765"/>
      <c r="R2607" s="669"/>
      <c r="S2607" s="670"/>
      <c r="T2607" s="577">
        <f t="shared" si="687"/>
        <v>0</v>
      </c>
      <c r="U2607" s="578">
        <f t="shared" si="688"/>
        <v>0</v>
      </c>
      <c r="V2607" s="579"/>
      <c r="W2607" s="637" t="str">
        <f>IF(U2606&gt;0,"xx",IF(P2606&gt;0,"xy",""))</f>
        <v/>
      </c>
      <c r="X2607" s="586" t="str">
        <f t="shared" si="703"/>
        <v/>
      </c>
      <c r="Y2607" s="586" t="str">
        <f t="shared" si="692"/>
        <v/>
      </c>
      <c r="Z2607" s="586" t="str">
        <f t="shared" si="701"/>
        <v/>
      </c>
    </row>
    <row r="2608" spans="1:26" ht="12" hidden="1" thickBot="1" x14ac:dyDescent="0.25">
      <c r="A2608" s="567" t="s">
        <v>168</v>
      </c>
      <c r="B2608" s="644" t="s">
        <v>168</v>
      </c>
      <c r="C2608" s="645"/>
      <c r="D2608" s="451" t="s">
        <v>248</v>
      </c>
      <c r="E2608" s="423"/>
      <c r="F2608" s="424">
        <v>180</v>
      </c>
      <c r="G2608" s="425">
        <f>VLOOKUP(D2606,'[2]ENSAIOS DE ORÇAMENTO'!$C$3:$L$79,5,FALSE)</f>
        <v>0</v>
      </c>
      <c r="H2608" s="663">
        <f t="shared" ref="H2608:H2610" si="704">IF(F2608&lt;=30,(1.07*F2608+2.68)*G2608,((1.07*30+2.68)+1.07*(F2608-30))*G2608)</f>
        <v>0</v>
      </c>
      <c r="I2608" s="420"/>
      <c r="J2608" s="420" t="str">
        <f t="shared" si="698"/>
        <v/>
      </c>
      <c r="K2608" s="421">
        <f t="shared" si="686"/>
        <v>0</v>
      </c>
      <c r="L2608" s="668" t="s">
        <v>614</v>
      </c>
      <c r="M2608" s="669"/>
      <c r="N2608" s="576">
        <f t="shared" si="696"/>
        <v>0</v>
      </c>
      <c r="O2608" s="577">
        <f t="shared" si="689"/>
        <v>0</v>
      </c>
      <c r="P2608" s="578">
        <f t="shared" si="690"/>
        <v>0</v>
      </c>
      <c r="Q2608" s="765"/>
      <c r="R2608" s="669"/>
      <c r="S2608" s="670"/>
      <c r="T2608" s="577">
        <f t="shared" si="687"/>
        <v>0</v>
      </c>
      <c r="U2608" s="578">
        <f t="shared" si="688"/>
        <v>0</v>
      </c>
      <c r="V2608" s="579"/>
      <c r="W2608" s="637" t="str">
        <f>IF(U2606&gt;0,"xx",IF(P2606&gt;0,"xy",""))</f>
        <v/>
      </c>
      <c r="X2608" s="586" t="str">
        <f t="shared" si="703"/>
        <v/>
      </c>
      <c r="Y2608" s="586" t="str">
        <f t="shared" si="692"/>
        <v/>
      </c>
      <c r="Z2608" s="586" t="str">
        <f t="shared" si="701"/>
        <v/>
      </c>
    </row>
    <row r="2609" spans="1:26" ht="12" hidden="1" thickBot="1" x14ac:dyDescent="0.25">
      <c r="A2609" s="567" t="s">
        <v>168</v>
      </c>
      <c r="B2609" s="644" t="s">
        <v>168</v>
      </c>
      <c r="C2609" s="645"/>
      <c r="D2609" s="451" t="s">
        <v>252</v>
      </c>
      <c r="E2609" s="423"/>
      <c r="F2609" s="424">
        <v>20</v>
      </c>
      <c r="G2609" s="425">
        <f>VLOOKUP(D2606,'[2]ENSAIOS DE ORÇAMENTO'!$C$3:$L$79,6,FALSE)</f>
        <v>0</v>
      </c>
      <c r="H2609" s="663">
        <f t="shared" si="704"/>
        <v>0</v>
      </c>
      <c r="I2609" s="420"/>
      <c r="J2609" s="420" t="str">
        <f t="shared" si="698"/>
        <v/>
      </c>
      <c r="K2609" s="421">
        <f t="shared" si="686"/>
        <v>0</v>
      </c>
      <c r="L2609" s="668" t="s">
        <v>614</v>
      </c>
      <c r="M2609" s="669"/>
      <c r="N2609" s="576">
        <f t="shared" si="696"/>
        <v>0</v>
      </c>
      <c r="O2609" s="577">
        <f t="shared" si="689"/>
        <v>0</v>
      </c>
      <c r="P2609" s="578">
        <f t="shared" si="690"/>
        <v>0</v>
      </c>
      <c r="Q2609" s="765"/>
      <c r="R2609" s="669"/>
      <c r="S2609" s="670"/>
      <c r="T2609" s="577">
        <f t="shared" si="687"/>
        <v>0</v>
      </c>
      <c r="U2609" s="578">
        <f t="shared" si="688"/>
        <v>0</v>
      </c>
      <c r="V2609" s="579"/>
      <c r="W2609" s="637" t="str">
        <f>IF(U2606&gt;0,"xx",IF(P2606&gt;0,"xy",""))</f>
        <v/>
      </c>
      <c r="X2609" s="586" t="str">
        <f t="shared" si="703"/>
        <v/>
      </c>
      <c r="Y2609" s="586" t="str">
        <f t="shared" si="692"/>
        <v/>
      </c>
      <c r="Z2609" s="586" t="str">
        <f t="shared" si="701"/>
        <v/>
      </c>
    </row>
    <row r="2610" spans="1:26" ht="12" hidden="1" thickBot="1" x14ac:dyDescent="0.25">
      <c r="A2610" s="567" t="s">
        <v>168</v>
      </c>
      <c r="B2610" s="644" t="s">
        <v>168</v>
      </c>
      <c r="C2610" s="645"/>
      <c r="D2610" s="451" t="s">
        <v>400</v>
      </c>
      <c r="E2610" s="423"/>
      <c r="F2610" s="424">
        <v>30</v>
      </c>
      <c r="G2610" s="425">
        <f>VLOOKUP(D2606,'[2]ENSAIOS DE ORÇAMENTO'!$C$3:$L$79,3,FALSE)</f>
        <v>0</v>
      </c>
      <c r="H2610" s="663">
        <f t="shared" si="704"/>
        <v>0</v>
      </c>
      <c r="I2610" s="420"/>
      <c r="J2610" s="420" t="str">
        <f t="shared" si="698"/>
        <v/>
      </c>
      <c r="K2610" s="421">
        <f t="shared" si="686"/>
        <v>0</v>
      </c>
      <c r="L2610" s="668" t="s">
        <v>614</v>
      </c>
      <c r="M2610" s="669"/>
      <c r="N2610" s="576">
        <f t="shared" si="696"/>
        <v>0</v>
      </c>
      <c r="O2610" s="577">
        <f t="shared" si="689"/>
        <v>0</v>
      </c>
      <c r="P2610" s="578">
        <f t="shared" si="690"/>
        <v>0</v>
      </c>
      <c r="Q2610" s="765"/>
      <c r="R2610" s="669"/>
      <c r="S2610" s="670"/>
      <c r="T2610" s="577">
        <f t="shared" si="687"/>
        <v>0</v>
      </c>
      <c r="U2610" s="578">
        <f t="shared" si="688"/>
        <v>0</v>
      </c>
      <c r="V2610" s="579"/>
      <c r="W2610" s="637" t="str">
        <f>IF(U2606&gt;0,"xx",IF(P2606&gt;0,"xy",""))</f>
        <v/>
      </c>
      <c r="X2610" s="586" t="str">
        <f t="shared" si="703"/>
        <v/>
      </c>
      <c r="Y2610" s="586" t="str">
        <f t="shared" si="692"/>
        <v/>
      </c>
      <c r="Z2610" s="586" t="str">
        <f t="shared" si="701"/>
        <v/>
      </c>
    </row>
    <row r="2611" spans="1:26" ht="12" hidden="1" thickBot="1" x14ac:dyDescent="0.25">
      <c r="A2611" s="567" t="s">
        <v>168</v>
      </c>
      <c r="B2611" s="644" t="s">
        <v>168</v>
      </c>
      <c r="C2611" s="645"/>
      <c r="D2611" s="451" t="s">
        <v>401</v>
      </c>
      <c r="E2611" s="423"/>
      <c r="F2611" s="424">
        <v>500</v>
      </c>
      <c r="G2611" s="425">
        <f>VLOOKUP(D2606,'[2]ENSAIOS DE ORÇAMENTO'!$C$3:$L$79,10,FALSE)</f>
        <v>0</v>
      </c>
      <c r="H2611" s="649">
        <f>IF(F2611&lt;=30,(0.78*F2611+7.82)*G2611,((0.78*30+7.82)+0.78*(F2611-30))*G2611)</f>
        <v>0</v>
      </c>
      <c r="I2611" s="420"/>
      <c r="J2611" s="420" t="str">
        <f t="shared" si="698"/>
        <v/>
      </c>
      <c r="K2611" s="421">
        <f t="shared" si="686"/>
        <v>0</v>
      </c>
      <c r="L2611" s="668" t="s">
        <v>614</v>
      </c>
      <c r="M2611" s="669"/>
      <c r="N2611" s="576">
        <f t="shared" si="696"/>
        <v>0</v>
      </c>
      <c r="O2611" s="577">
        <f t="shared" si="689"/>
        <v>0</v>
      </c>
      <c r="P2611" s="578">
        <f t="shared" si="690"/>
        <v>0</v>
      </c>
      <c r="Q2611" s="765"/>
      <c r="R2611" s="669"/>
      <c r="S2611" s="670"/>
      <c r="T2611" s="577">
        <f t="shared" si="687"/>
        <v>0</v>
      </c>
      <c r="U2611" s="578">
        <f t="shared" si="688"/>
        <v>0</v>
      </c>
      <c r="V2611" s="579"/>
      <c r="W2611" s="637" t="str">
        <f>IF(U2606&gt;0,"xx",IF(P2606&gt;0,"xy",""))</f>
        <v/>
      </c>
      <c r="X2611" s="586" t="str">
        <f t="shared" si="703"/>
        <v/>
      </c>
      <c r="Y2611" s="586" t="str">
        <f t="shared" si="692"/>
        <v/>
      </c>
      <c r="Z2611" s="586" t="str">
        <f t="shared" si="701"/>
        <v/>
      </c>
    </row>
    <row r="2612" spans="1:26" ht="12" hidden="1" thickBot="1" x14ac:dyDescent="0.25">
      <c r="A2612" s="567" t="s">
        <v>435</v>
      </c>
      <c r="B2612" s="644" t="s">
        <v>435</v>
      </c>
      <c r="C2612" s="645" t="s">
        <v>206</v>
      </c>
      <c r="D2612" s="422" t="str">
        <f>'[2]ENSAIOS DE ORÇAMENTO'!C77</f>
        <v>ENSAIO DE ORÇAMENTO 8</v>
      </c>
      <c r="E2612" s="423"/>
      <c r="F2612" s="424"/>
      <c r="G2612" s="425"/>
      <c r="H2612" s="651">
        <f>SUM(H2613:H2617)</f>
        <v>0</v>
      </c>
      <c r="I2612" s="420">
        <f>VLOOKUP(D2612,'[2]ENSAIOS DE ORÇAMENTO'!$C$3:$L$79,8,FALSE)</f>
        <v>0</v>
      </c>
      <c r="J2612" s="420">
        <f t="shared" si="698"/>
        <v>0</v>
      </c>
      <c r="K2612" s="421">
        <f t="shared" si="686"/>
        <v>0</v>
      </c>
      <c r="L2612" s="647" t="s">
        <v>21</v>
      </c>
      <c r="M2612" s="576"/>
      <c r="N2612" s="576">
        <f t="shared" si="696"/>
        <v>0</v>
      </c>
      <c r="O2612" s="577">
        <f t="shared" si="689"/>
        <v>0</v>
      </c>
      <c r="P2612" s="578">
        <f t="shared" si="690"/>
        <v>0</v>
      </c>
      <c r="Q2612" s="765"/>
      <c r="R2612" s="576">
        <f t="shared" ref="R2612:S2673" si="705">M2612</f>
        <v>0</v>
      </c>
      <c r="S2612" s="576">
        <f>N2612</f>
        <v>0</v>
      </c>
      <c r="T2612" s="577">
        <f t="shared" si="687"/>
        <v>0</v>
      </c>
      <c r="U2612" s="578">
        <f t="shared" si="688"/>
        <v>0</v>
      </c>
      <c r="V2612" s="579"/>
      <c r="W2612" s="566"/>
      <c r="X2612" s="586" t="str">
        <f t="shared" si="703"/>
        <v/>
      </c>
      <c r="Y2612" s="586" t="str">
        <f t="shared" si="692"/>
        <v/>
      </c>
      <c r="Z2612" s="586" t="str">
        <f t="shared" si="701"/>
        <v/>
      </c>
    </row>
    <row r="2613" spans="1:26" ht="12" hidden="1" thickBot="1" x14ac:dyDescent="0.25">
      <c r="A2613" s="567" t="s">
        <v>168</v>
      </c>
      <c r="B2613" s="644" t="s">
        <v>168</v>
      </c>
      <c r="C2613" s="645"/>
      <c r="D2613" s="451" t="s">
        <v>212</v>
      </c>
      <c r="E2613" s="423"/>
      <c r="F2613" s="424">
        <v>500</v>
      </c>
      <c r="G2613" s="425">
        <f>VLOOKUP(D2612,'[2]ENSAIOS DE ORÇAMENTO'!$C$3:$L$79,4,FALSE)</f>
        <v>0</v>
      </c>
      <c r="H2613" s="649">
        <f>IF(F2613&lt;=30,(0.78*F2613+7.82)*G2613,((0.78*30+7.82)+0.78*(F2613-30))*G2613)</f>
        <v>0</v>
      </c>
      <c r="I2613" s="420"/>
      <c r="J2613" s="420" t="str">
        <f t="shared" si="698"/>
        <v/>
      </c>
      <c r="K2613" s="421">
        <f t="shared" si="686"/>
        <v>0</v>
      </c>
      <c r="L2613" s="668" t="s">
        <v>614</v>
      </c>
      <c r="M2613" s="669"/>
      <c r="N2613" s="576">
        <f t="shared" si="696"/>
        <v>0</v>
      </c>
      <c r="O2613" s="577">
        <f t="shared" si="689"/>
        <v>0</v>
      </c>
      <c r="P2613" s="578">
        <f t="shared" si="690"/>
        <v>0</v>
      </c>
      <c r="Q2613" s="765"/>
      <c r="R2613" s="669"/>
      <c r="S2613" s="670"/>
      <c r="T2613" s="577">
        <f t="shared" si="687"/>
        <v>0</v>
      </c>
      <c r="U2613" s="578">
        <f t="shared" si="688"/>
        <v>0</v>
      </c>
      <c r="V2613" s="579"/>
      <c r="W2613" s="637" t="str">
        <f>IF(U2612&gt;0,"xx",IF(P2612&gt;0,"xy",""))</f>
        <v/>
      </c>
      <c r="X2613" s="586" t="str">
        <f t="shared" si="703"/>
        <v/>
      </c>
      <c r="Y2613" s="586" t="str">
        <f t="shared" si="692"/>
        <v/>
      </c>
      <c r="Z2613" s="586" t="str">
        <f t="shared" si="701"/>
        <v/>
      </c>
    </row>
    <row r="2614" spans="1:26" ht="12" hidden="1" thickBot="1" x14ac:dyDescent="0.25">
      <c r="A2614" s="567" t="s">
        <v>168</v>
      </c>
      <c r="B2614" s="644" t="s">
        <v>168</v>
      </c>
      <c r="C2614" s="645"/>
      <c r="D2614" s="451" t="s">
        <v>248</v>
      </c>
      <c r="E2614" s="423"/>
      <c r="F2614" s="424">
        <v>180</v>
      </c>
      <c r="G2614" s="425">
        <f>VLOOKUP(D2612,'[2]ENSAIOS DE ORÇAMENTO'!$C$3:$L$79,5,FALSE)</f>
        <v>0</v>
      </c>
      <c r="H2614" s="663">
        <f t="shared" ref="H2614:H2616" si="706">IF(F2614&lt;=30,(1.07*F2614+2.68)*G2614,((1.07*30+2.68)+1.07*(F2614-30))*G2614)</f>
        <v>0</v>
      </c>
      <c r="I2614" s="420"/>
      <c r="J2614" s="420" t="str">
        <f t="shared" si="698"/>
        <v/>
      </c>
      <c r="K2614" s="421">
        <f t="shared" si="686"/>
        <v>0</v>
      </c>
      <c r="L2614" s="668" t="s">
        <v>614</v>
      </c>
      <c r="M2614" s="669"/>
      <c r="N2614" s="576">
        <f t="shared" si="696"/>
        <v>0</v>
      </c>
      <c r="O2614" s="577">
        <f t="shared" si="689"/>
        <v>0</v>
      </c>
      <c r="P2614" s="578">
        <f t="shared" si="690"/>
        <v>0</v>
      </c>
      <c r="Q2614" s="765"/>
      <c r="R2614" s="669"/>
      <c r="S2614" s="670"/>
      <c r="T2614" s="577">
        <f t="shared" si="687"/>
        <v>0</v>
      </c>
      <c r="U2614" s="578">
        <f t="shared" si="688"/>
        <v>0</v>
      </c>
      <c r="V2614" s="579"/>
      <c r="W2614" s="637" t="str">
        <f>IF(U2612&gt;0,"xx",IF(P2612&gt;0,"xy",""))</f>
        <v/>
      </c>
      <c r="X2614" s="586" t="str">
        <f t="shared" si="703"/>
        <v/>
      </c>
      <c r="Y2614" s="586" t="str">
        <f t="shared" si="692"/>
        <v/>
      </c>
      <c r="Z2614" s="586" t="str">
        <f t="shared" si="701"/>
        <v/>
      </c>
    </row>
    <row r="2615" spans="1:26" ht="12" hidden="1" thickBot="1" x14ac:dyDescent="0.25">
      <c r="A2615" s="567" t="s">
        <v>168</v>
      </c>
      <c r="B2615" s="644" t="s">
        <v>168</v>
      </c>
      <c r="C2615" s="645"/>
      <c r="D2615" s="451" t="s">
        <v>252</v>
      </c>
      <c r="E2615" s="423"/>
      <c r="F2615" s="424">
        <v>20</v>
      </c>
      <c r="G2615" s="425">
        <f>VLOOKUP(D2612,'[2]ENSAIOS DE ORÇAMENTO'!$C$3:$L$79,6,FALSE)</f>
        <v>0</v>
      </c>
      <c r="H2615" s="663">
        <f t="shared" si="706"/>
        <v>0</v>
      </c>
      <c r="I2615" s="420"/>
      <c r="J2615" s="420" t="str">
        <f t="shared" si="698"/>
        <v/>
      </c>
      <c r="K2615" s="421">
        <f t="shared" si="686"/>
        <v>0</v>
      </c>
      <c r="L2615" s="668" t="s">
        <v>614</v>
      </c>
      <c r="M2615" s="669"/>
      <c r="N2615" s="576">
        <f t="shared" si="696"/>
        <v>0</v>
      </c>
      <c r="O2615" s="577">
        <f t="shared" si="689"/>
        <v>0</v>
      </c>
      <c r="P2615" s="578">
        <f t="shared" si="690"/>
        <v>0</v>
      </c>
      <c r="Q2615" s="765"/>
      <c r="R2615" s="669"/>
      <c r="S2615" s="670"/>
      <c r="T2615" s="577">
        <f t="shared" si="687"/>
        <v>0</v>
      </c>
      <c r="U2615" s="578">
        <f t="shared" si="688"/>
        <v>0</v>
      </c>
      <c r="V2615" s="579"/>
      <c r="W2615" s="637" t="str">
        <f>IF(U2612&gt;0,"xx",IF(P2612&gt;0,"xy",""))</f>
        <v/>
      </c>
      <c r="X2615" s="586" t="str">
        <f t="shared" si="703"/>
        <v/>
      </c>
      <c r="Y2615" s="586" t="str">
        <f t="shared" si="692"/>
        <v/>
      </c>
      <c r="Z2615" s="586" t="str">
        <f t="shared" si="701"/>
        <v/>
      </c>
    </row>
    <row r="2616" spans="1:26" ht="12" hidden="1" thickBot="1" x14ac:dyDescent="0.25">
      <c r="A2616" s="567" t="s">
        <v>168</v>
      </c>
      <c r="B2616" s="644" t="s">
        <v>168</v>
      </c>
      <c r="C2616" s="645"/>
      <c r="D2616" s="451" t="s">
        <v>400</v>
      </c>
      <c r="E2616" s="423"/>
      <c r="F2616" s="424">
        <v>30</v>
      </c>
      <c r="G2616" s="425">
        <f>VLOOKUP(D2612,'[2]ENSAIOS DE ORÇAMENTO'!$C$3:$L$79,3,FALSE)</f>
        <v>0</v>
      </c>
      <c r="H2616" s="663">
        <f t="shared" si="706"/>
        <v>0</v>
      </c>
      <c r="I2616" s="420"/>
      <c r="J2616" s="420" t="str">
        <f t="shared" si="698"/>
        <v/>
      </c>
      <c r="K2616" s="421">
        <f t="shared" si="686"/>
        <v>0</v>
      </c>
      <c r="L2616" s="668" t="s">
        <v>614</v>
      </c>
      <c r="M2616" s="669"/>
      <c r="N2616" s="576">
        <f t="shared" si="696"/>
        <v>0</v>
      </c>
      <c r="O2616" s="577">
        <f t="shared" si="689"/>
        <v>0</v>
      </c>
      <c r="P2616" s="578">
        <f t="shared" si="690"/>
        <v>0</v>
      </c>
      <c r="Q2616" s="765"/>
      <c r="R2616" s="669"/>
      <c r="S2616" s="670"/>
      <c r="T2616" s="577">
        <f t="shared" si="687"/>
        <v>0</v>
      </c>
      <c r="U2616" s="578">
        <f t="shared" si="688"/>
        <v>0</v>
      </c>
      <c r="V2616" s="579"/>
      <c r="W2616" s="637" t="str">
        <f>IF(U2612&gt;0,"xx",IF(P2612&gt;0,"xy",""))</f>
        <v/>
      </c>
      <c r="X2616" s="586" t="str">
        <f t="shared" si="703"/>
        <v/>
      </c>
      <c r="Y2616" s="586" t="str">
        <f t="shared" si="692"/>
        <v/>
      </c>
      <c r="Z2616" s="586" t="str">
        <f t="shared" si="701"/>
        <v/>
      </c>
    </row>
    <row r="2617" spans="1:26" ht="12" hidden="1" thickBot="1" x14ac:dyDescent="0.25">
      <c r="A2617" s="567" t="s">
        <v>168</v>
      </c>
      <c r="B2617" s="644" t="s">
        <v>168</v>
      </c>
      <c r="C2617" s="645"/>
      <c r="D2617" s="451" t="s">
        <v>401</v>
      </c>
      <c r="E2617" s="423"/>
      <c r="F2617" s="424">
        <v>500</v>
      </c>
      <c r="G2617" s="425">
        <f>VLOOKUP(D2612,'[2]ENSAIOS DE ORÇAMENTO'!$C$3:$L$79,10,FALSE)</f>
        <v>0</v>
      </c>
      <c r="H2617" s="649">
        <f>IF(F2617&lt;=30,(0.78*F2617+7.82)*G2617,((0.78*30+7.82)+0.78*(F2617-30))*G2617)</f>
        <v>0</v>
      </c>
      <c r="I2617" s="420"/>
      <c r="J2617" s="420" t="str">
        <f t="shared" si="698"/>
        <v/>
      </c>
      <c r="K2617" s="421">
        <f t="shared" si="686"/>
        <v>0</v>
      </c>
      <c r="L2617" s="668" t="s">
        <v>614</v>
      </c>
      <c r="M2617" s="669"/>
      <c r="N2617" s="576">
        <f t="shared" si="696"/>
        <v>0</v>
      </c>
      <c r="O2617" s="577">
        <f t="shared" si="689"/>
        <v>0</v>
      </c>
      <c r="P2617" s="578">
        <f t="shared" si="690"/>
        <v>0</v>
      </c>
      <c r="Q2617" s="765"/>
      <c r="R2617" s="669"/>
      <c r="S2617" s="670"/>
      <c r="T2617" s="577">
        <f t="shared" si="687"/>
        <v>0</v>
      </c>
      <c r="U2617" s="578">
        <f t="shared" si="688"/>
        <v>0</v>
      </c>
      <c r="V2617" s="579"/>
      <c r="W2617" s="637" t="str">
        <f>IF(U2612&gt;0,"xx",IF(P2612&gt;0,"xy",""))</f>
        <v/>
      </c>
      <c r="X2617" s="586" t="str">
        <f t="shared" si="703"/>
        <v/>
      </c>
      <c r="Y2617" s="586" t="str">
        <f t="shared" si="692"/>
        <v/>
      </c>
      <c r="Z2617" s="586" t="str">
        <f t="shared" si="701"/>
        <v/>
      </c>
    </row>
    <row r="2618" spans="1:26" ht="12" hidden="1" thickBot="1" x14ac:dyDescent="0.25">
      <c r="A2618" s="567" t="s">
        <v>436</v>
      </c>
      <c r="B2618" s="644" t="s">
        <v>436</v>
      </c>
      <c r="C2618" s="645" t="s">
        <v>206</v>
      </c>
      <c r="D2618" s="422" t="str">
        <f>'[2]ENSAIOS DE ORÇAMENTO'!C78</f>
        <v>ENSAIO DE ORÇAMENTO 9</v>
      </c>
      <c r="E2618" s="423"/>
      <c r="F2618" s="424"/>
      <c r="G2618" s="425"/>
      <c r="H2618" s="651">
        <f>SUM(H2619:H2623)</f>
        <v>0</v>
      </c>
      <c r="I2618" s="420">
        <f>VLOOKUP(D2618,'[2]ENSAIOS DE ORÇAMENTO'!$C$3:$L$79,8,FALSE)</f>
        <v>0</v>
      </c>
      <c r="J2618" s="420">
        <f t="shared" si="698"/>
        <v>0</v>
      </c>
      <c r="K2618" s="421">
        <f t="shared" si="686"/>
        <v>0</v>
      </c>
      <c r="L2618" s="647" t="s">
        <v>21</v>
      </c>
      <c r="M2618" s="576"/>
      <c r="N2618" s="576">
        <f t="shared" si="696"/>
        <v>0</v>
      </c>
      <c r="O2618" s="577">
        <f t="shared" si="689"/>
        <v>0</v>
      </c>
      <c r="P2618" s="578">
        <f t="shared" si="690"/>
        <v>0</v>
      </c>
      <c r="Q2618" s="765"/>
      <c r="R2618" s="576">
        <f t="shared" si="705"/>
        <v>0</v>
      </c>
      <c r="S2618" s="576">
        <f>N2618</f>
        <v>0</v>
      </c>
      <c r="T2618" s="577">
        <f t="shared" si="687"/>
        <v>0</v>
      </c>
      <c r="U2618" s="578">
        <f t="shared" si="688"/>
        <v>0</v>
      </c>
      <c r="V2618" s="579"/>
      <c r="W2618" s="566"/>
      <c r="X2618" s="586" t="str">
        <f t="shared" si="703"/>
        <v/>
      </c>
      <c r="Y2618" s="586" t="str">
        <f t="shared" si="692"/>
        <v/>
      </c>
      <c r="Z2618" s="586" t="str">
        <f t="shared" si="701"/>
        <v/>
      </c>
    </row>
    <row r="2619" spans="1:26" ht="12" hidden="1" thickBot="1" x14ac:dyDescent="0.25">
      <c r="A2619" s="567" t="s">
        <v>168</v>
      </c>
      <c r="B2619" s="644" t="s">
        <v>168</v>
      </c>
      <c r="C2619" s="645"/>
      <c r="D2619" s="451" t="s">
        <v>212</v>
      </c>
      <c r="E2619" s="423"/>
      <c r="F2619" s="424">
        <v>500</v>
      </c>
      <c r="G2619" s="425">
        <f>VLOOKUP(D2618,'[2]ENSAIOS DE ORÇAMENTO'!$C$3:$L$79,4,FALSE)</f>
        <v>0</v>
      </c>
      <c r="H2619" s="649">
        <f>IF(F2619&lt;=30,(0.78*F2619+7.82)*G2619,((0.78*30+7.82)+0.78*(F2619-30))*G2619)</f>
        <v>0</v>
      </c>
      <c r="I2619" s="420"/>
      <c r="J2619" s="420" t="str">
        <f t="shared" si="698"/>
        <v/>
      </c>
      <c r="K2619" s="421">
        <f t="shared" si="686"/>
        <v>0</v>
      </c>
      <c r="L2619" s="668" t="s">
        <v>614</v>
      </c>
      <c r="M2619" s="669"/>
      <c r="N2619" s="576">
        <f t="shared" si="696"/>
        <v>0</v>
      </c>
      <c r="O2619" s="577">
        <f t="shared" si="689"/>
        <v>0</v>
      </c>
      <c r="P2619" s="578">
        <f t="shared" si="690"/>
        <v>0</v>
      </c>
      <c r="Q2619" s="765"/>
      <c r="R2619" s="669"/>
      <c r="S2619" s="670"/>
      <c r="T2619" s="577">
        <f t="shared" si="687"/>
        <v>0</v>
      </c>
      <c r="U2619" s="578">
        <f t="shared" si="688"/>
        <v>0</v>
      </c>
      <c r="V2619" s="579"/>
      <c r="W2619" s="637" t="str">
        <f>IF(U2618&gt;0,"xx",IF(P2618&gt;0,"xy",""))</f>
        <v/>
      </c>
      <c r="X2619" s="586" t="str">
        <f t="shared" si="703"/>
        <v/>
      </c>
      <c r="Y2619" s="586" t="str">
        <f t="shared" si="692"/>
        <v/>
      </c>
      <c r="Z2619" s="586" t="str">
        <f t="shared" si="701"/>
        <v/>
      </c>
    </row>
    <row r="2620" spans="1:26" ht="12" hidden="1" thickBot="1" x14ac:dyDescent="0.25">
      <c r="A2620" s="567" t="s">
        <v>168</v>
      </c>
      <c r="B2620" s="644" t="s">
        <v>168</v>
      </c>
      <c r="C2620" s="645"/>
      <c r="D2620" s="451" t="s">
        <v>248</v>
      </c>
      <c r="E2620" s="423"/>
      <c r="F2620" s="424">
        <v>180</v>
      </c>
      <c r="G2620" s="425">
        <f>VLOOKUP(D2618,'[2]ENSAIOS DE ORÇAMENTO'!$C$3:$L$79,5,FALSE)</f>
        <v>0</v>
      </c>
      <c r="H2620" s="663">
        <f t="shared" ref="H2620:H2622" si="707">IF(F2620&lt;=30,(1.07*F2620+2.68)*G2620,((1.07*30+2.68)+1.07*(F2620-30))*G2620)</f>
        <v>0</v>
      </c>
      <c r="I2620" s="420"/>
      <c r="J2620" s="420" t="str">
        <f t="shared" si="698"/>
        <v/>
      </c>
      <c r="K2620" s="421">
        <f t="shared" si="686"/>
        <v>0</v>
      </c>
      <c r="L2620" s="668" t="s">
        <v>614</v>
      </c>
      <c r="M2620" s="669"/>
      <c r="N2620" s="576">
        <f t="shared" si="696"/>
        <v>0</v>
      </c>
      <c r="O2620" s="577">
        <f t="shared" si="689"/>
        <v>0</v>
      </c>
      <c r="P2620" s="578">
        <f t="shared" si="690"/>
        <v>0</v>
      </c>
      <c r="Q2620" s="765"/>
      <c r="R2620" s="669"/>
      <c r="S2620" s="670"/>
      <c r="T2620" s="577">
        <f t="shared" si="687"/>
        <v>0</v>
      </c>
      <c r="U2620" s="578">
        <f t="shared" si="688"/>
        <v>0</v>
      </c>
      <c r="V2620" s="579"/>
      <c r="W2620" s="637" t="str">
        <f>IF(U2618&gt;0,"xx",IF(P2618&gt;0,"xy",""))</f>
        <v/>
      </c>
      <c r="X2620" s="586" t="str">
        <f t="shared" si="703"/>
        <v/>
      </c>
      <c r="Y2620" s="586" t="str">
        <f t="shared" si="692"/>
        <v/>
      </c>
      <c r="Z2620" s="586" t="str">
        <f t="shared" si="701"/>
        <v/>
      </c>
    </row>
    <row r="2621" spans="1:26" ht="12" hidden="1" thickBot="1" x14ac:dyDescent="0.25">
      <c r="A2621" s="567" t="s">
        <v>168</v>
      </c>
      <c r="B2621" s="644" t="s">
        <v>168</v>
      </c>
      <c r="C2621" s="645"/>
      <c r="D2621" s="451" t="s">
        <v>252</v>
      </c>
      <c r="E2621" s="423"/>
      <c r="F2621" s="424">
        <v>20</v>
      </c>
      <c r="G2621" s="425">
        <f>VLOOKUP(D2618,'[2]ENSAIOS DE ORÇAMENTO'!$C$3:$L$79,6,FALSE)</f>
        <v>0</v>
      </c>
      <c r="H2621" s="663">
        <f t="shared" si="707"/>
        <v>0</v>
      </c>
      <c r="I2621" s="420"/>
      <c r="J2621" s="420" t="str">
        <f t="shared" si="698"/>
        <v/>
      </c>
      <c r="K2621" s="421">
        <f t="shared" si="686"/>
        <v>0</v>
      </c>
      <c r="L2621" s="668" t="s">
        <v>614</v>
      </c>
      <c r="M2621" s="669"/>
      <c r="N2621" s="576">
        <f t="shared" si="696"/>
        <v>0</v>
      </c>
      <c r="O2621" s="577">
        <f t="shared" si="689"/>
        <v>0</v>
      </c>
      <c r="P2621" s="578">
        <f t="shared" si="690"/>
        <v>0</v>
      </c>
      <c r="Q2621" s="765"/>
      <c r="R2621" s="669"/>
      <c r="S2621" s="670"/>
      <c r="T2621" s="577">
        <f t="shared" si="687"/>
        <v>0</v>
      </c>
      <c r="U2621" s="578">
        <f t="shared" si="688"/>
        <v>0</v>
      </c>
      <c r="V2621" s="579"/>
      <c r="W2621" s="637" t="str">
        <f>IF(U2618&gt;0,"xx",IF(P2618&gt;0,"xy",""))</f>
        <v/>
      </c>
      <c r="X2621" s="586" t="str">
        <f t="shared" si="703"/>
        <v/>
      </c>
      <c r="Y2621" s="586" t="str">
        <f t="shared" si="692"/>
        <v/>
      </c>
      <c r="Z2621" s="586" t="str">
        <f t="shared" si="701"/>
        <v/>
      </c>
    </row>
    <row r="2622" spans="1:26" ht="12" hidden="1" thickBot="1" x14ac:dyDescent="0.25">
      <c r="A2622" s="567" t="s">
        <v>168</v>
      </c>
      <c r="B2622" s="644" t="s">
        <v>168</v>
      </c>
      <c r="C2622" s="645"/>
      <c r="D2622" s="451" t="s">
        <v>400</v>
      </c>
      <c r="E2622" s="423"/>
      <c r="F2622" s="424">
        <v>30</v>
      </c>
      <c r="G2622" s="425">
        <f>VLOOKUP(D2618,'[2]ENSAIOS DE ORÇAMENTO'!$C$3:$L$79,3,FALSE)</f>
        <v>0</v>
      </c>
      <c r="H2622" s="663">
        <f t="shared" si="707"/>
        <v>0</v>
      </c>
      <c r="I2622" s="420"/>
      <c r="J2622" s="420" t="str">
        <f t="shared" si="698"/>
        <v/>
      </c>
      <c r="K2622" s="421">
        <f t="shared" si="686"/>
        <v>0</v>
      </c>
      <c r="L2622" s="668" t="s">
        <v>614</v>
      </c>
      <c r="M2622" s="669"/>
      <c r="N2622" s="576">
        <f t="shared" si="696"/>
        <v>0</v>
      </c>
      <c r="O2622" s="577">
        <f t="shared" si="689"/>
        <v>0</v>
      </c>
      <c r="P2622" s="578">
        <f t="shared" si="690"/>
        <v>0</v>
      </c>
      <c r="Q2622" s="765"/>
      <c r="R2622" s="669"/>
      <c r="S2622" s="670"/>
      <c r="T2622" s="577">
        <f t="shared" si="687"/>
        <v>0</v>
      </c>
      <c r="U2622" s="578">
        <f t="shared" si="688"/>
        <v>0</v>
      </c>
      <c r="V2622" s="579"/>
      <c r="W2622" s="637" t="str">
        <f>IF(U2618&gt;0,"xx",IF(P2618&gt;0,"xy",""))</f>
        <v/>
      </c>
      <c r="X2622" s="586" t="str">
        <f t="shared" si="703"/>
        <v/>
      </c>
      <c r="Y2622" s="586" t="str">
        <f t="shared" si="692"/>
        <v/>
      </c>
      <c r="Z2622" s="586" t="str">
        <f t="shared" si="701"/>
        <v/>
      </c>
    </row>
    <row r="2623" spans="1:26" ht="12" hidden="1" thickBot="1" x14ac:dyDescent="0.25">
      <c r="A2623" s="567" t="s">
        <v>168</v>
      </c>
      <c r="B2623" s="644" t="s">
        <v>168</v>
      </c>
      <c r="C2623" s="645"/>
      <c r="D2623" s="451" t="s">
        <v>401</v>
      </c>
      <c r="E2623" s="423"/>
      <c r="F2623" s="424">
        <v>500</v>
      </c>
      <c r="G2623" s="425">
        <f>VLOOKUP(D2618,'[2]ENSAIOS DE ORÇAMENTO'!$C$3:$L$79,10,FALSE)</f>
        <v>0</v>
      </c>
      <c r="H2623" s="649">
        <f>IF(F2623&lt;=30,(0.78*F2623+7.82)*G2623,((0.78*30+7.82)+0.78*(F2623-30))*G2623)</f>
        <v>0</v>
      </c>
      <c r="I2623" s="420"/>
      <c r="J2623" s="420" t="str">
        <f t="shared" si="698"/>
        <v/>
      </c>
      <c r="K2623" s="421">
        <f t="shared" si="686"/>
        <v>0</v>
      </c>
      <c r="L2623" s="668" t="s">
        <v>614</v>
      </c>
      <c r="M2623" s="669"/>
      <c r="N2623" s="576">
        <f t="shared" si="696"/>
        <v>0</v>
      </c>
      <c r="O2623" s="577">
        <f t="shared" si="689"/>
        <v>0</v>
      </c>
      <c r="P2623" s="578">
        <f t="shared" si="690"/>
        <v>0</v>
      </c>
      <c r="Q2623" s="765"/>
      <c r="R2623" s="669"/>
      <c r="S2623" s="670"/>
      <c r="T2623" s="577">
        <f t="shared" si="687"/>
        <v>0</v>
      </c>
      <c r="U2623" s="578">
        <f t="shared" si="688"/>
        <v>0</v>
      </c>
      <c r="V2623" s="579"/>
      <c r="W2623" s="637" t="str">
        <f>IF(U2618&gt;0,"xx",IF(P2618&gt;0,"xy",""))</f>
        <v/>
      </c>
      <c r="X2623" s="586" t="str">
        <f t="shared" si="703"/>
        <v/>
      </c>
      <c r="Y2623" s="586" t="str">
        <f t="shared" si="692"/>
        <v/>
      </c>
      <c r="Z2623" s="586" t="str">
        <f t="shared" si="701"/>
        <v/>
      </c>
    </row>
    <row r="2624" spans="1:26" ht="12" hidden="1" thickBot="1" x14ac:dyDescent="0.25">
      <c r="A2624" s="567" t="s">
        <v>437</v>
      </c>
      <c r="B2624" s="644" t="s">
        <v>437</v>
      </c>
      <c r="C2624" s="645" t="s">
        <v>206</v>
      </c>
      <c r="D2624" s="422" t="str">
        <f>'[2]ENSAIOS DE ORÇAMENTO'!C79</f>
        <v>ENSAIO DE ORÇAMENTO 10</v>
      </c>
      <c r="E2624" s="423"/>
      <c r="F2624" s="424"/>
      <c r="G2624" s="425"/>
      <c r="H2624" s="651">
        <f>SUM(H2625:H2629)</f>
        <v>0</v>
      </c>
      <c r="I2624" s="420">
        <f>VLOOKUP(D2624,'[2]ENSAIOS DE ORÇAMENTO'!$C$3:$L$79,8,FALSE)</f>
        <v>0</v>
      </c>
      <c r="J2624" s="420">
        <f t="shared" si="698"/>
        <v>0</v>
      </c>
      <c r="K2624" s="421">
        <f t="shared" ref="K2624:K2629" si="708">IF(ISBLANK(I2624),0,ROUND(J2624*(1+$F$10)*(1+$F$11*E2624),2))</f>
        <v>0</v>
      </c>
      <c r="L2624" s="647" t="s">
        <v>21</v>
      </c>
      <c r="M2624" s="576"/>
      <c r="N2624" s="576">
        <f t="shared" si="696"/>
        <v>0</v>
      </c>
      <c r="O2624" s="577">
        <f t="shared" si="689"/>
        <v>0</v>
      </c>
      <c r="P2624" s="578">
        <f t="shared" si="690"/>
        <v>0</v>
      </c>
      <c r="Q2624" s="765"/>
      <c r="R2624" s="576">
        <f t="shared" si="705"/>
        <v>0</v>
      </c>
      <c r="S2624" s="576">
        <f>N2624</f>
        <v>0</v>
      </c>
      <c r="T2624" s="577">
        <f t="shared" ref="T2624:T2673" si="709">IF(ISBLANK(R2624),0,ROUND(K2624*R2624,2))</f>
        <v>0</v>
      </c>
      <c r="U2624" s="578">
        <f t="shared" ref="U2624:U2673" si="710">IF(ISBLANK(R2624),0,ROUND(R2624*S2624,2))</f>
        <v>0</v>
      </c>
      <c r="V2624" s="579"/>
      <c r="W2624" s="566"/>
      <c r="X2624" s="586" t="str">
        <f t="shared" si="703"/>
        <v/>
      </c>
      <c r="Y2624" s="586" t="str">
        <f t="shared" si="692"/>
        <v/>
      </c>
      <c r="Z2624" s="586" t="str">
        <f t="shared" si="701"/>
        <v/>
      </c>
    </row>
    <row r="2625" spans="1:26" ht="12" hidden="1" thickBot="1" x14ac:dyDescent="0.25">
      <c r="A2625" s="567" t="s">
        <v>168</v>
      </c>
      <c r="B2625" s="644" t="s">
        <v>168</v>
      </c>
      <c r="C2625" s="645"/>
      <c r="D2625" s="451" t="s">
        <v>212</v>
      </c>
      <c r="E2625" s="423"/>
      <c r="F2625" s="424">
        <v>500</v>
      </c>
      <c r="G2625" s="425">
        <f>VLOOKUP(D2624,'[2]ENSAIOS DE ORÇAMENTO'!$C$3:$L$79,4,FALSE)</f>
        <v>0</v>
      </c>
      <c r="H2625" s="649">
        <f>IF(F2625&lt;=30,(0.78*F2625+7.82)*G2625,((0.78*30+7.82)+0.78*(F2625-30))*G2625)</f>
        <v>0</v>
      </c>
      <c r="I2625" s="420"/>
      <c r="J2625" s="420" t="str">
        <f t="shared" si="698"/>
        <v/>
      </c>
      <c r="K2625" s="421">
        <f t="shared" si="708"/>
        <v>0</v>
      </c>
      <c r="L2625" s="668" t="s">
        <v>614</v>
      </c>
      <c r="M2625" s="669"/>
      <c r="N2625" s="576">
        <f t="shared" si="696"/>
        <v>0</v>
      </c>
      <c r="O2625" s="577">
        <f t="shared" ref="O2625:O2673" si="711">IF(ISBLANK(M2625),0,ROUND(K2625*M2625,2))</f>
        <v>0</v>
      </c>
      <c r="P2625" s="578">
        <f t="shared" ref="P2625:P2673" si="712">IF(ISBLANK(N2625),0,ROUND(M2625*N2625,2))</f>
        <v>0</v>
      </c>
      <c r="Q2625" s="765"/>
      <c r="R2625" s="669"/>
      <c r="S2625" s="670"/>
      <c r="T2625" s="577">
        <f t="shared" si="709"/>
        <v>0</v>
      </c>
      <c r="U2625" s="578">
        <f t="shared" si="710"/>
        <v>0</v>
      </c>
      <c r="V2625" s="579"/>
      <c r="W2625" s="637" t="str">
        <f>IF(U2624&gt;0,"xx",IF(P2624&gt;0,"xy",""))</f>
        <v/>
      </c>
      <c r="X2625" s="586" t="str">
        <f t="shared" si="703"/>
        <v/>
      </c>
      <c r="Y2625" s="586" t="str">
        <f t="shared" si="692"/>
        <v/>
      </c>
      <c r="Z2625" s="586" t="str">
        <f t="shared" si="701"/>
        <v/>
      </c>
    </row>
    <row r="2626" spans="1:26" ht="12" hidden="1" thickBot="1" x14ac:dyDescent="0.25">
      <c r="A2626" s="567" t="s">
        <v>168</v>
      </c>
      <c r="B2626" s="644" t="s">
        <v>168</v>
      </c>
      <c r="C2626" s="645"/>
      <c r="D2626" s="451" t="s">
        <v>248</v>
      </c>
      <c r="E2626" s="423"/>
      <c r="F2626" s="424">
        <v>180</v>
      </c>
      <c r="G2626" s="425">
        <f>VLOOKUP(D2624,'[2]ENSAIOS DE ORÇAMENTO'!$C$3:$L$79,5,FALSE)</f>
        <v>0</v>
      </c>
      <c r="H2626" s="663">
        <f t="shared" ref="H2626:H2628" si="713">IF(F2626&lt;=30,(1.07*F2626+2.68)*G2626,((1.07*30+2.68)+1.07*(F2626-30))*G2626)</f>
        <v>0</v>
      </c>
      <c r="I2626" s="420"/>
      <c r="J2626" s="420" t="str">
        <f t="shared" si="698"/>
        <v/>
      </c>
      <c r="K2626" s="421">
        <f t="shared" si="708"/>
        <v>0</v>
      </c>
      <c r="L2626" s="668" t="s">
        <v>614</v>
      </c>
      <c r="M2626" s="669"/>
      <c r="N2626" s="576">
        <f t="shared" si="696"/>
        <v>0</v>
      </c>
      <c r="O2626" s="577">
        <f t="shared" si="711"/>
        <v>0</v>
      </c>
      <c r="P2626" s="578">
        <f t="shared" si="712"/>
        <v>0</v>
      </c>
      <c r="Q2626" s="765"/>
      <c r="R2626" s="669"/>
      <c r="S2626" s="670"/>
      <c r="T2626" s="577">
        <f t="shared" si="709"/>
        <v>0</v>
      </c>
      <c r="U2626" s="578">
        <f t="shared" si="710"/>
        <v>0</v>
      </c>
      <c r="V2626" s="579"/>
      <c r="W2626" s="637" t="str">
        <f>IF(U2624&gt;0,"xx",IF(P2624&gt;0,"xy",""))</f>
        <v/>
      </c>
      <c r="X2626" s="586" t="str">
        <f t="shared" si="703"/>
        <v/>
      </c>
      <c r="Y2626" s="586" t="str">
        <f t="shared" si="692"/>
        <v/>
      </c>
      <c r="Z2626" s="586" t="str">
        <f t="shared" si="701"/>
        <v/>
      </c>
    </row>
    <row r="2627" spans="1:26" ht="12" hidden="1" thickBot="1" x14ac:dyDescent="0.25">
      <c r="A2627" s="567" t="s">
        <v>168</v>
      </c>
      <c r="B2627" s="644" t="s">
        <v>168</v>
      </c>
      <c r="C2627" s="645"/>
      <c r="D2627" s="451" t="s">
        <v>252</v>
      </c>
      <c r="E2627" s="423"/>
      <c r="F2627" s="424">
        <v>20</v>
      </c>
      <c r="G2627" s="425">
        <f>VLOOKUP(D2624,'[2]ENSAIOS DE ORÇAMENTO'!$C$3:$L$79,6,FALSE)</f>
        <v>0</v>
      </c>
      <c r="H2627" s="663">
        <f t="shared" si="713"/>
        <v>0</v>
      </c>
      <c r="I2627" s="420"/>
      <c r="J2627" s="420" t="str">
        <f t="shared" si="698"/>
        <v/>
      </c>
      <c r="K2627" s="421">
        <f t="shared" si="708"/>
        <v>0</v>
      </c>
      <c r="L2627" s="668" t="s">
        <v>614</v>
      </c>
      <c r="M2627" s="669"/>
      <c r="N2627" s="576">
        <f t="shared" si="696"/>
        <v>0</v>
      </c>
      <c r="O2627" s="577">
        <f t="shared" si="711"/>
        <v>0</v>
      </c>
      <c r="P2627" s="578">
        <f t="shared" si="712"/>
        <v>0</v>
      </c>
      <c r="Q2627" s="765"/>
      <c r="R2627" s="669"/>
      <c r="S2627" s="670"/>
      <c r="T2627" s="577">
        <f t="shared" si="709"/>
        <v>0</v>
      </c>
      <c r="U2627" s="578">
        <f t="shared" si="710"/>
        <v>0</v>
      </c>
      <c r="V2627" s="579"/>
      <c r="W2627" s="637" t="str">
        <f>IF(U2624&gt;0,"xx",IF(P2624&gt;0,"xy",""))</f>
        <v/>
      </c>
      <c r="X2627" s="586" t="str">
        <f t="shared" si="703"/>
        <v/>
      </c>
      <c r="Y2627" s="586" t="str">
        <f t="shared" si="692"/>
        <v/>
      </c>
      <c r="Z2627" s="586" t="str">
        <f t="shared" si="701"/>
        <v/>
      </c>
    </row>
    <row r="2628" spans="1:26" ht="12" hidden="1" thickBot="1" x14ac:dyDescent="0.25">
      <c r="A2628" s="567" t="s">
        <v>168</v>
      </c>
      <c r="B2628" s="644" t="s">
        <v>168</v>
      </c>
      <c r="C2628" s="645"/>
      <c r="D2628" s="451" t="s">
        <v>400</v>
      </c>
      <c r="E2628" s="423"/>
      <c r="F2628" s="424">
        <v>30</v>
      </c>
      <c r="G2628" s="425">
        <f>VLOOKUP(D2624,'[2]ENSAIOS DE ORÇAMENTO'!$C$3:$L$79,3,FALSE)</f>
        <v>0</v>
      </c>
      <c r="H2628" s="663">
        <f t="shared" si="713"/>
        <v>0</v>
      </c>
      <c r="I2628" s="420"/>
      <c r="J2628" s="420" t="str">
        <f t="shared" si="698"/>
        <v/>
      </c>
      <c r="K2628" s="421">
        <f t="shared" si="708"/>
        <v>0</v>
      </c>
      <c r="L2628" s="668" t="s">
        <v>614</v>
      </c>
      <c r="M2628" s="669"/>
      <c r="N2628" s="576">
        <f t="shared" si="696"/>
        <v>0</v>
      </c>
      <c r="O2628" s="577">
        <f t="shared" si="711"/>
        <v>0</v>
      </c>
      <c r="P2628" s="578">
        <f t="shared" si="712"/>
        <v>0</v>
      </c>
      <c r="Q2628" s="765"/>
      <c r="R2628" s="669"/>
      <c r="S2628" s="670"/>
      <c r="T2628" s="577">
        <f t="shared" si="709"/>
        <v>0</v>
      </c>
      <c r="U2628" s="578">
        <f t="shared" si="710"/>
        <v>0</v>
      </c>
      <c r="V2628" s="579"/>
      <c r="W2628" s="637" t="str">
        <f>IF(U2624&gt;0,"xx",IF(P2624&gt;0,"xy",""))</f>
        <v/>
      </c>
      <c r="X2628" s="586" t="str">
        <f t="shared" si="703"/>
        <v/>
      </c>
      <c r="Y2628" s="586" t="str">
        <f t="shared" si="692"/>
        <v/>
      </c>
      <c r="Z2628" s="586" t="str">
        <f t="shared" si="701"/>
        <v/>
      </c>
    </row>
    <row r="2629" spans="1:26" ht="12" hidden="1" thickBot="1" x14ac:dyDescent="0.25">
      <c r="A2629" s="567" t="s">
        <v>168</v>
      </c>
      <c r="B2629" s="644" t="s">
        <v>168</v>
      </c>
      <c r="C2629" s="645"/>
      <c r="D2629" s="451" t="s">
        <v>401</v>
      </c>
      <c r="E2629" s="423"/>
      <c r="F2629" s="424">
        <v>500</v>
      </c>
      <c r="G2629" s="425">
        <f>VLOOKUP(D2624,'[2]ENSAIOS DE ORÇAMENTO'!$C$3:$L$79,10,FALSE)</f>
        <v>0</v>
      </c>
      <c r="H2629" s="649">
        <f>IF(F2629&lt;=30,(0.78*F2629+7.82)*G2629,((0.78*30+7.82)+0.78*(F2629-30))*G2629)</f>
        <v>0</v>
      </c>
      <c r="I2629" s="420"/>
      <c r="J2629" s="420" t="str">
        <f>IF(ISBLANK(I2629),"",SUM(H2629:I2629))</f>
        <v/>
      </c>
      <c r="K2629" s="421">
        <f t="shared" si="708"/>
        <v>0</v>
      </c>
      <c r="L2629" s="668" t="s">
        <v>614</v>
      </c>
      <c r="M2629" s="669"/>
      <c r="N2629" s="576">
        <f t="shared" si="696"/>
        <v>0</v>
      </c>
      <c r="O2629" s="577">
        <f t="shared" si="711"/>
        <v>0</v>
      </c>
      <c r="P2629" s="578">
        <f t="shared" si="712"/>
        <v>0</v>
      </c>
      <c r="Q2629" s="765"/>
      <c r="R2629" s="669"/>
      <c r="S2629" s="670"/>
      <c r="T2629" s="577">
        <f t="shared" si="709"/>
        <v>0</v>
      </c>
      <c r="U2629" s="578">
        <f t="shared" si="710"/>
        <v>0</v>
      </c>
      <c r="V2629" s="579"/>
      <c r="W2629" s="637" t="str">
        <f>IF(U2624&gt;0,"xx",IF(P2624&gt;0,"xy",""))</f>
        <v/>
      </c>
      <c r="X2629" s="586" t="str">
        <f t="shared" si="703"/>
        <v/>
      </c>
      <c r="Y2629" s="586" t="str">
        <f t="shared" si="692"/>
        <v/>
      </c>
      <c r="Z2629" s="586" t="str">
        <f t="shared" si="701"/>
        <v/>
      </c>
    </row>
    <row r="2630" spans="1:26" ht="12" hidden="1" thickBot="1" x14ac:dyDescent="0.25">
      <c r="A2630" s="652" t="s">
        <v>187</v>
      </c>
      <c r="B2630" s="653" t="s">
        <v>187</v>
      </c>
      <c r="C2630" s="654"/>
      <c r="D2630" s="427" t="s">
        <v>448</v>
      </c>
      <c r="E2630" s="491"/>
      <c r="F2630" s="655"/>
      <c r="G2630" s="656"/>
      <c r="H2630" s="657"/>
      <c r="I2630" s="429"/>
      <c r="J2630" s="429"/>
      <c r="K2630" s="429"/>
      <c r="L2630" s="429" t="s">
        <v>614</v>
      </c>
      <c r="M2630" s="657"/>
      <c r="N2630" s="576">
        <f t="shared" si="696"/>
        <v>0</v>
      </c>
      <c r="O2630" s="429">
        <f t="shared" si="711"/>
        <v>0</v>
      </c>
      <c r="P2630" s="658">
        <f t="shared" si="712"/>
        <v>0</v>
      </c>
      <c r="Q2630" s="765"/>
      <c r="R2630" s="657"/>
      <c r="S2630" s="429"/>
      <c r="T2630" s="429">
        <f t="shared" si="709"/>
        <v>0</v>
      </c>
      <c r="U2630" s="658">
        <f t="shared" si="710"/>
        <v>0</v>
      </c>
      <c r="V2630" s="579"/>
      <c r="W2630" s="637" t="str">
        <f>IF(OR(SUM(P2631:P2661)&gt;0,SUM(U2631:U2661)&gt;0),"y","")</f>
        <v/>
      </c>
      <c r="X2630" s="586" t="str">
        <f t="shared" si="703"/>
        <v/>
      </c>
      <c r="Y2630" s="586" t="str">
        <f t="shared" si="692"/>
        <v/>
      </c>
      <c r="Z2630" s="586" t="str">
        <f t="shared" si="701"/>
        <v/>
      </c>
    </row>
    <row r="2631" spans="1:26" ht="12" hidden="1" thickBot="1" x14ac:dyDescent="0.25">
      <c r="A2631" s="652" t="s">
        <v>187</v>
      </c>
      <c r="B2631" s="572" t="s">
        <v>187</v>
      </c>
      <c r="C2631" s="573" t="s">
        <v>187</v>
      </c>
      <c r="D2631" s="574"/>
      <c r="E2631" s="575"/>
      <c r="F2631" s="436"/>
      <c r="G2631" s="431"/>
      <c r="H2631" s="430"/>
      <c r="I2631" s="432"/>
      <c r="J2631" s="433"/>
      <c r="K2631" s="434">
        <f t="shared" ref="K2631:K2661" si="714">IF(ISBLANK(J2631),0,ROUND(J2631*(1+$F$10)*(1+$F$11*E2631),2))</f>
        <v>0</v>
      </c>
      <c r="L2631" s="435" t="s">
        <v>614</v>
      </c>
      <c r="M2631" s="587"/>
      <c r="N2631" s="576">
        <f t="shared" si="696"/>
        <v>0</v>
      </c>
      <c r="O2631" s="577">
        <f t="shared" si="711"/>
        <v>0</v>
      </c>
      <c r="P2631" s="578">
        <f t="shared" si="712"/>
        <v>0</v>
      </c>
      <c r="Q2631" s="765"/>
      <c r="R2631" s="650">
        <f t="shared" si="705"/>
        <v>0</v>
      </c>
      <c r="S2631" s="587">
        <f t="shared" si="705"/>
        <v>0</v>
      </c>
      <c r="T2631" s="577">
        <f t="shared" si="709"/>
        <v>0</v>
      </c>
      <c r="U2631" s="578">
        <f t="shared" si="710"/>
        <v>0</v>
      </c>
      <c r="V2631" s="579"/>
      <c r="W2631" s="566"/>
      <c r="X2631" s="586" t="str">
        <f t="shared" si="703"/>
        <v/>
      </c>
      <c r="Y2631" s="586" t="str">
        <f t="shared" si="692"/>
        <v/>
      </c>
      <c r="Z2631" s="586" t="str">
        <f t="shared" si="701"/>
        <v/>
      </c>
    </row>
    <row r="2632" spans="1:26" ht="12" hidden="1" thickBot="1" x14ac:dyDescent="0.25">
      <c r="A2632" s="652" t="s">
        <v>187</v>
      </c>
      <c r="B2632" s="572" t="s">
        <v>187</v>
      </c>
      <c r="C2632" s="573" t="s">
        <v>187</v>
      </c>
      <c r="D2632" s="574"/>
      <c r="E2632" s="575"/>
      <c r="F2632" s="436"/>
      <c r="G2632" s="431"/>
      <c r="H2632" s="430"/>
      <c r="I2632" s="432"/>
      <c r="J2632" s="433"/>
      <c r="K2632" s="437">
        <f t="shared" si="714"/>
        <v>0</v>
      </c>
      <c r="L2632" s="435" t="s">
        <v>614</v>
      </c>
      <c r="M2632" s="576"/>
      <c r="N2632" s="576">
        <f t="shared" si="696"/>
        <v>0</v>
      </c>
      <c r="O2632" s="577">
        <f t="shared" si="711"/>
        <v>0</v>
      </c>
      <c r="P2632" s="578">
        <f t="shared" si="712"/>
        <v>0</v>
      </c>
      <c r="Q2632" s="765"/>
      <c r="R2632" s="576">
        <f t="shared" si="705"/>
        <v>0</v>
      </c>
      <c r="S2632" s="576">
        <f t="shared" si="705"/>
        <v>0</v>
      </c>
      <c r="T2632" s="577">
        <f t="shared" si="709"/>
        <v>0</v>
      </c>
      <c r="U2632" s="659">
        <f t="shared" si="710"/>
        <v>0</v>
      </c>
      <c r="V2632" s="579"/>
      <c r="W2632" s="566"/>
      <c r="X2632" s="586" t="str">
        <f t="shared" si="703"/>
        <v/>
      </c>
      <c r="Y2632" s="586" t="str">
        <f t="shared" ref="Y2632:Y2696" si="715">IF(W2632="X","x",IF(W2632="y","x",IF(W2632="xx","x",IF(U2632&gt;0,"x",""))))</f>
        <v/>
      </c>
      <c r="Z2632" s="586" t="str">
        <f t="shared" si="701"/>
        <v/>
      </c>
    </row>
    <row r="2633" spans="1:26" ht="12" hidden="1" thickBot="1" x14ac:dyDescent="0.25">
      <c r="A2633" s="652" t="s">
        <v>187</v>
      </c>
      <c r="B2633" s="572" t="s">
        <v>187</v>
      </c>
      <c r="C2633" s="573" t="s">
        <v>187</v>
      </c>
      <c r="D2633" s="580"/>
      <c r="E2633" s="575"/>
      <c r="F2633" s="436"/>
      <c r="G2633" s="431"/>
      <c r="H2633" s="430"/>
      <c r="I2633" s="432"/>
      <c r="J2633" s="433"/>
      <c r="K2633" s="437">
        <f t="shared" si="714"/>
        <v>0</v>
      </c>
      <c r="L2633" s="435" t="s">
        <v>614</v>
      </c>
      <c r="M2633" s="576"/>
      <c r="N2633" s="576">
        <f t="shared" si="696"/>
        <v>0</v>
      </c>
      <c r="O2633" s="577">
        <f t="shared" si="711"/>
        <v>0</v>
      </c>
      <c r="P2633" s="578">
        <f t="shared" si="712"/>
        <v>0</v>
      </c>
      <c r="Q2633" s="765"/>
      <c r="R2633" s="576">
        <f t="shared" si="705"/>
        <v>0</v>
      </c>
      <c r="S2633" s="576">
        <f t="shared" si="705"/>
        <v>0</v>
      </c>
      <c r="T2633" s="577">
        <f t="shared" si="709"/>
        <v>0</v>
      </c>
      <c r="U2633" s="578">
        <f t="shared" si="710"/>
        <v>0</v>
      </c>
      <c r="V2633" s="579"/>
      <c r="W2633" s="566"/>
      <c r="X2633" s="586" t="str">
        <f t="shared" si="703"/>
        <v/>
      </c>
      <c r="Y2633" s="586" t="str">
        <f t="shared" si="715"/>
        <v/>
      </c>
      <c r="Z2633" s="586" t="str">
        <f t="shared" si="701"/>
        <v/>
      </c>
    </row>
    <row r="2634" spans="1:26" ht="12" hidden="1" thickBot="1" x14ac:dyDescent="0.25">
      <c r="A2634" s="652" t="s">
        <v>187</v>
      </c>
      <c r="B2634" s="572" t="s">
        <v>187</v>
      </c>
      <c r="C2634" s="573" t="s">
        <v>187</v>
      </c>
      <c r="D2634" s="580"/>
      <c r="E2634" s="575"/>
      <c r="F2634" s="436"/>
      <c r="G2634" s="431"/>
      <c r="H2634" s="430"/>
      <c r="I2634" s="432"/>
      <c r="J2634" s="433"/>
      <c r="K2634" s="437">
        <f t="shared" si="714"/>
        <v>0</v>
      </c>
      <c r="L2634" s="435" t="s">
        <v>614</v>
      </c>
      <c r="M2634" s="576"/>
      <c r="N2634" s="576">
        <f t="shared" si="696"/>
        <v>0</v>
      </c>
      <c r="O2634" s="577">
        <f t="shared" si="711"/>
        <v>0</v>
      </c>
      <c r="P2634" s="578">
        <f t="shared" si="712"/>
        <v>0</v>
      </c>
      <c r="Q2634" s="765"/>
      <c r="R2634" s="576">
        <f t="shared" si="705"/>
        <v>0</v>
      </c>
      <c r="S2634" s="576">
        <f t="shared" si="705"/>
        <v>0</v>
      </c>
      <c r="T2634" s="577">
        <f t="shared" si="709"/>
        <v>0</v>
      </c>
      <c r="U2634" s="578">
        <f t="shared" si="710"/>
        <v>0</v>
      </c>
      <c r="V2634" s="579"/>
      <c r="W2634" s="566"/>
      <c r="X2634" s="586" t="str">
        <f t="shared" si="703"/>
        <v/>
      </c>
      <c r="Y2634" s="586" t="str">
        <f t="shared" si="715"/>
        <v/>
      </c>
      <c r="Z2634" s="586" t="str">
        <f t="shared" si="701"/>
        <v/>
      </c>
    </row>
    <row r="2635" spans="1:26" ht="12" hidden="1" thickBot="1" x14ac:dyDescent="0.25">
      <c r="A2635" s="652" t="s">
        <v>187</v>
      </c>
      <c r="B2635" s="572" t="s">
        <v>187</v>
      </c>
      <c r="C2635" s="573" t="s">
        <v>187</v>
      </c>
      <c r="D2635" s="580"/>
      <c r="E2635" s="575"/>
      <c r="F2635" s="436"/>
      <c r="G2635" s="431"/>
      <c r="H2635" s="430"/>
      <c r="I2635" s="432"/>
      <c r="J2635" s="433"/>
      <c r="K2635" s="437">
        <f t="shared" si="714"/>
        <v>0</v>
      </c>
      <c r="L2635" s="435" t="s">
        <v>614</v>
      </c>
      <c r="M2635" s="576"/>
      <c r="N2635" s="576">
        <f t="shared" si="696"/>
        <v>0</v>
      </c>
      <c r="O2635" s="577">
        <f t="shared" si="711"/>
        <v>0</v>
      </c>
      <c r="P2635" s="578">
        <f t="shared" si="712"/>
        <v>0</v>
      </c>
      <c r="Q2635" s="765"/>
      <c r="R2635" s="576">
        <f t="shared" si="705"/>
        <v>0</v>
      </c>
      <c r="S2635" s="576">
        <f t="shared" si="705"/>
        <v>0</v>
      </c>
      <c r="T2635" s="577">
        <f t="shared" si="709"/>
        <v>0</v>
      </c>
      <c r="U2635" s="578">
        <f t="shared" si="710"/>
        <v>0</v>
      </c>
      <c r="V2635" s="579"/>
      <c r="W2635" s="566"/>
      <c r="X2635" s="586" t="str">
        <f t="shared" si="703"/>
        <v/>
      </c>
      <c r="Y2635" s="586" t="str">
        <f t="shared" si="715"/>
        <v/>
      </c>
      <c r="Z2635" s="586" t="str">
        <f t="shared" si="701"/>
        <v/>
      </c>
    </row>
    <row r="2636" spans="1:26" ht="12" hidden="1" thickBot="1" x14ac:dyDescent="0.25">
      <c r="A2636" s="652" t="s">
        <v>187</v>
      </c>
      <c r="B2636" s="572" t="s">
        <v>187</v>
      </c>
      <c r="C2636" s="573" t="s">
        <v>187</v>
      </c>
      <c r="D2636" s="580"/>
      <c r="E2636" s="575"/>
      <c r="F2636" s="436"/>
      <c r="G2636" s="431"/>
      <c r="H2636" s="430"/>
      <c r="I2636" s="432"/>
      <c r="J2636" s="433"/>
      <c r="K2636" s="437">
        <f t="shared" si="714"/>
        <v>0</v>
      </c>
      <c r="L2636" s="435" t="s">
        <v>614</v>
      </c>
      <c r="M2636" s="576"/>
      <c r="N2636" s="576">
        <f t="shared" si="696"/>
        <v>0</v>
      </c>
      <c r="O2636" s="577">
        <f t="shared" si="711"/>
        <v>0</v>
      </c>
      <c r="P2636" s="578">
        <f t="shared" si="712"/>
        <v>0</v>
      </c>
      <c r="Q2636" s="765"/>
      <c r="R2636" s="576">
        <f t="shared" si="705"/>
        <v>0</v>
      </c>
      <c r="S2636" s="576">
        <f t="shared" si="705"/>
        <v>0</v>
      </c>
      <c r="T2636" s="577">
        <f t="shared" si="709"/>
        <v>0</v>
      </c>
      <c r="U2636" s="578">
        <f t="shared" si="710"/>
        <v>0</v>
      </c>
      <c r="V2636" s="579"/>
      <c r="W2636" s="566"/>
      <c r="X2636" s="586" t="str">
        <f t="shared" si="703"/>
        <v/>
      </c>
      <c r="Y2636" s="586" t="str">
        <f t="shared" si="715"/>
        <v/>
      </c>
      <c r="Z2636" s="586" t="str">
        <f t="shared" si="701"/>
        <v/>
      </c>
    </row>
    <row r="2637" spans="1:26" ht="12" hidden="1" thickBot="1" x14ac:dyDescent="0.25">
      <c r="A2637" s="652" t="s">
        <v>187</v>
      </c>
      <c r="B2637" s="572" t="s">
        <v>187</v>
      </c>
      <c r="C2637" s="573" t="s">
        <v>187</v>
      </c>
      <c r="D2637" s="580"/>
      <c r="E2637" s="575"/>
      <c r="F2637" s="436"/>
      <c r="G2637" s="431"/>
      <c r="H2637" s="430"/>
      <c r="I2637" s="432"/>
      <c r="J2637" s="433"/>
      <c r="K2637" s="437">
        <f t="shared" si="714"/>
        <v>0</v>
      </c>
      <c r="L2637" s="435" t="s">
        <v>614</v>
      </c>
      <c r="M2637" s="576"/>
      <c r="N2637" s="576">
        <f t="shared" si="696"/>
        <v>0</v>
      </c>
      <c r="O2637" s="577">
        <f t="shared" si="711"/>
        <v>0</v>
      </c>
      <c r="P2637" s="578">
        <f t="shared" si="712"/>
        <v>0</v>
      </c>
      <c r="Q2637" s="765"/>
      <c r="R2637" s="576">
        <f t="shared" si="705"/>
        <v>0</v>
      </c>
      <c r="S2637" s="576">
        <f t="shared" si="705"/>
        <v>0</v>
      </c>
      <c r="T2637" s="577">
        <f t="shared" si="709"/>
        <v>0</v>
      </c>
      <c r="U2637" s="578">
        <f t="shared" si="710"/>
        <v>0</v>
      </c>
      <c r="V2637" s="579"/>
      <c r="W2637" s="566"/>
      <c r="X2637" s="586" t="str">
        <f t="shared" si="703"/>
        <v/>
      </c>
      <c r="Y2637" s="586" t="str">
        <f t="shared" si="715"/>
        <v/>
      </c>
      <c r="Z2637" s="586" t="str">
        <f t="shared" si="701"/>
        <v/>
      </c>
    </row>
    <row r="2638" spans="1:26" ht="12" hidden="1" thickBot="1" x14ac:dyDescent="0.25">
      <c r="A2638" s="652" t="s">
        <v>187</v>
      </c>
      <c r="B2638" s="572" t="s">
        <v>187</v>
      </c>
      <c r="C2638" s="573" t="s">
        <v>187</v>
      </c>
      <c r="D2638" s="580"/>
      <c r="E2638" s="575"/>
      <c r="F2638" s="436"/>
      <c r="G2638" s="431"/>
      <c r="H2638" s="430"/>
      <c r="I2638" s="432"/>
      <c r="J2638" s="433"/>
      <c r="K2638" s="437">
        <f t="shared" si="714"/>
        <v>0</v>
      </c>
      <c r="L2638" s="435" t="s">
        <v>614</v>
      </c>
      <c r="M2638" s="576"/>
      <c r="N2638" s="576">
        <f t="shared" si="696"/>
        <v>0</v>
      </c>
      <c r="O2638" s="577">
        <f t="shared" si="711"/>
        <v>0</v>
      </c>
      <c r="P2638" s="578">
        <f t="shared" si="712"/>
        <v>0</v>
      </c>
      <c r="Q2638" s="765"/>
      <c r="R2638" s="576">
        <f t="shared" si="705"/>
        <v>0</v>
      </c>
      <c r="S2638" s="576">
        <f t="shared" si="705"/>
        <v>0</v>
      </c>
      <c r="T2638" s="577">
        <f t="shared" si="709"/>
        <v>0</v>
      </c>
      <c r="U2638" s="578">
        <f t="shared" si="710"/>
        <v>0</v>
      </c>
      <c r="V2638" s="579"/>
      <c r="W2638" s="566"/>
      <c r="X2638" s="586" t="str">
        <f t="shared" si="703"/>
        <v/>
      </c>
      <c r="Y2638" s="586" t="str">
        <f t="shared" si="715"/>
        <v/>
      </c>
      <c r="Z2638" s="586" t="str">
        <f t="shared" si="701"/>
        <v/>
      </c>
    </row>
    <row r="2639" spans="1:26" ht="12" hidden="1" thickBot="1" x14ac:dyDescent="0.25">
      <c r="A2639" s="652" t="s">
        <v>187</v>
      </c>
      <c r="B2639" s="572" t="s">
        <v>187</v>
      </c>
      <c r="C2639" s="573" t="s">
        <v>187</v>
      </c>
      <c r="D2639" s="580"/>
      <c r="E2639" s="575"/>
      <c r="F2639" s="436"/>
      <c r="G2639" s="431"/>
      <c r="H2639" s="430"/>
      <c r="I2639" s="432"/>
      <c r="J2639" s="433"/>
      <c r="K2639" s="437">
        <f t="shared" si="714"/>
        <v>0</v>
      </c>
      <c r="L2639" s="435" t="s">
        <v>614</v>
      </c>
      <c r="M2639" s="576"/>
      <c r="N2639" s="576">
        <f t="shared" si="696"/>
        <v>0</v>
      </c>
      <c r="O2639" s="577">
        <f t="shared" si="711"/>
        <v>0</v>
      </c>
      <c r="P2639" s="578">
        <f t="shared" si="712"/>
        <v>0</v>
      </c>
      <c r="Q2639" s="765"/>
      <c r="R2639" s="576">
        <f t="shared" si="705"/>
        <v>0</v>
      </c>
      <c r="S2639" s="576">
        <f t="shared" si="705"/>
        <v>0</v>
      </c>
      <c r="T2639" s="577">
        <f t="shared" si="709"/>
        <v>0</v>
      </c>
      <c r="U2639" s="578">
        <f t="shared" si="710"/>
        <v>0</v>
      </c>
      <c r="V2639" s="579"/>
      <c r="W2639" s="566"/>
      <c r="X2639" s="586" t="str">
        <f t="shared" si="703"/>
        <v/>
      </c>
      <c r="Y2639" s="586" t="str">
        <f t="shared" si="715"/>
        <v/>
      </c>
      <c r="Z2639" s="586" t="str">
        <f t="shared" si="701"/>
        <v/>
      </c>
    </row>
    <row r="2640" spans="1:26" ht="12" hidden="1" thickBot="1" x14ac:dyDescent="0.25">
      <c r="A2640" s="652" t="s">
        <v>187</v>
      </c>
      <c r="B2640" s="572" t="s">
        <v>187</v>
      </c>
      <c r="C2640" s="573" t="s">
        <v>187</v>
      </c>
      <c r="D2640" s="580"/>
      <c r="E2640" s="575"/>
      <c r="F2640" s="436"/>
      <c r="G2640" s="431"/>
      <c r="H2640" s="430"/>
      <c r="I2640" s="432"/>
      <c r="J2640" s="433"/>
      <c r="K2640" s="437">
        <f t="shared" si="714"/>
        <v>0</v>
      </c>
      <c r="L2640" s="435" t="s">
        <v>614</v>
      </c>
      <c r="M2640" s="576"/>
      <c r="N2640" s="576">
        <f t="shared" si="696"/>
        <v>0</v>
      </c>
      <c r="O2640" s="577">
        <f t="shared" si="711"/>
        <v>0</v>
      </c>
      <c r="P2640" s="578">
        <f t="shared" si="712"/>
        <v>0</v>
      </c>
      <c r="Q2640" s="765"/>
      <c r="R2640" s="576">
        <f t="shared" si="705"/>
        <v>0</v>
      </c>
      <c r="S2640" s="576">
        <f t="shared" si="705"/>
        <v>0</v>
      </c>
      <c r="T2640" s="577">
        <f t="shared" si="709"/>
        <v>0</v>
      </c>
      <c r="U2640" s="578">
        <f t="shared" si="710"/>
        <v>0</v>
      </c>
      <c r="V2640" s="579"/>
      <c r="W2640" s="566"/>
      <c r="X2640" s="586" t="str">
        <f t="shared" si="703"/>
        <v/>
      </c>
      <c r="Y2640" s="586" t="str">
        <f t="shared" si="715"/>
        <v/>
      </c>
      <c r="Z2640" s="586" t="str">
        <f t="shared" si="701"/>
        <v/>
      </c>
    </row>
    <row r="2641" spans="1:26" ht="12" hidden="1" thickBot="1" x14ac:dyDescent="0.25">
      <c r="A2641" s="652" t="s">
        <v>187</v>
      </c>
      <c r="B2641" s="572" t="s">
        <v>187</v>
      </c>
      <c r="C2641" s="573" t="s">
        <v>187</v>
      </c>
      <c r="D2641" s="580"/>
      <c r="E2641" s="575"/>
      <c r="F2641" s="436"/>
      <c r="G2641" s="431"/>
      <c r="H2641" s="430"/>
      <c r="I2641" s="432"/>
      <c r="J2641" s="433"/>
      <c r="K2641" s="437">
        <f t="shared" si="714"/>
        <v>0</v>
      </c>
      <c r="L2641" s="435" t="s">
        <v>614</v>
      </c>
      <c r="M2641" s="576"/>
      <c r="N2641" s="576">
        <f t="shared" si="696"/>
        <v>0</v>
      </c>
      <c r="O2641" s="577">
        <f t="shared" si="711"/>
        <v>0</v>
      </c>
      <c r="P2641" s="578">
        <f t="shared" si="712"/>
        <v>0</v>
      </c>
      <c r="Q2641" s="765"/>
      <c r="R2641" s="576">
        <f t="shared" si="705"/>
        <v>0</v>
      </c>
      <c r="S2641" s="576">
        <f t="shared" si="705"/>
        <v>0</v>
      </c>
      <c r="T2641" s="577">
        <f t="shared" si="709"/>
        <v>0</v>
      </c>
      <c r="U2641" s="578">
        <f t="shared" si="710"/>
        <v>0</v>
      </c>
      <c r="V2641" s="579"/>
      <c r="W2641" s="566"/>
      <c r="X2641" s="586" t="str">
        <f t="shared" si="703"/>
        <v/>
      </c>
      <c r="Y2641" s="586" t="str">
        <f t="shared" si="715"/>
        <v/>
      </c>
      <c r="Z2641" s="586" t="str">
        <f t="shared" si="701"/>
        <v/>
      </c>
    </row>
    <row r="2642" spans="1:26" ht="12" hidden="1" thickBot="1" x14ac:dyDescent="0.25">
      <c r="A2642" s="652" t="s">
        <v>187</v>
      </c>
      <c r="B2642" s="572" t="s">
        <v>187</v>
      </c>
      <c r="C2642" s="573" t="s">
        <v>187</v>
      </c>
      <c r="D2642" s="580"/>
      <c r="E2642" s="575"/>
      <c r="F2642" s="436"/>
      <c r="G2642" s="431"/>
      <c r="H2642" s="430"/>
      <c r="I2642" s="432"/>
      <c r="J2642" s="433"/>
      <c r="K2642" s="437">
        <f t="shared" si="714"/>
        <v>0</v>
      </c>
      <c r="L2642" s="435" t="s">
        <v>614</v>
      </c>
      <c r="M2642" s="576"/>
      <c r="N2642" s="576">
        <f t="shared" si="696"/>
        <v>0</v>
      </c>
      <c r="O2642" s="577">
        <f t="shared" si="711"/>
        <v>0</v>
      </c>
      <c r="P2642" s="578">
        <f t="shared" si="712"/>
        <v>0</v>
      </c>
      <c r="Q2642" s="765"/>
      <c r="R2642" s="576">
        <f t="shared" si="705"/>
        <v>0</v>
      </c>
      <c r="S2642" s="576">
        <f t="shared" si="705"/>
        <v>0</v>
      </c>
      <c r="T2642" s="577">
        <f t="shared" si="709"/>
        <v>0</v>
      </c>
      <c r="U2642" s="578">
        <f t="shared" si="710"/>
        <v>0</v>
      </c>
      <c r="V2642" s="579"/>
      <c r="W2642" s="566"/>
      <c r="X2642" s="586" t="str">
        <f t="shared" si="703"/>
        <v/>
      </c>
      <c r="Y2642" s="586" t="str">
        <f t="shared" si="715"/>
        <v/>
      </c>
      <c r="Z2642" s="586" t="str">
        <f t="shared" si="701"/>
        <v/>
      </c>
    </row>
    <row r="2643" spans="1:26" ht="12" hidden="1" thickBot="1" x14ac:dyDescent="0.25">
      <c r="A2643" s="652" t="s">
        <v>187</v>
      </c>
      <c r="B2643" s="572" t="s">
        <v>187</v>
      </c>
      <c r="C2643" s="573" t="s">
        <v>187</v>
      </c>
      <c r="D2643" s="580"/>
      <c r="E2643" s="575"/>
      <c r="F2643" s="436"/>
      <c r="G2643" s="431"/>
      <c r="H2643" s="430"/>
      <c r="I2643" s="432"/>
      <c r="J2643" s="433"/>
      <c r="K2643" s="437">
        <f t="shared" si="714"/>
        <v>0</v>
      </c>
      <c r="L2643" s="435" t="s">
        <v>614</v>
      </c>
      <c r="M2643" s="576"/>
      <c r="N2643" s="576">
        <f t="shared" si="696"/>
        <v>0</v>
      </c>
      <c r="O2643" s="577">
        <f t="shared" si="711"/>
        <v>0</v>
      </c>
      <c r="P2643" s="578">
        <f t="shared" si="712"/>
        <v>0</v>
      </c>
      <c r="Q2643" s="765"/>
      <c r="R2643" s="576">
        <f t="shared" si="705"/>
        <v>0</v>
      </c>
      <c r="S2643" s="576">
        <f t="shared" si="705"/>
        <v>0</v>
      </c>
      <c r="T2643" s="577">
        <f t="shared" si="709"/>
        <v>0</v>
      </c>
      <c r="U2643" s="578">
        <f t="shared" si="710"/>
        <v>0</v>
      </c>
      <c r="V2643" s="579"/>
      <c r="W2643" s="566"/>
      <c r="X2643" s="586" t="str">
        <f t="shared" si="703"/>
        <v/>
      </c>
      <c r="Y2643" s="586" t="str">
        <f t="shared" si="715"/>
        <v/>
      </c>
      <c r="Z2643" s="586" t="str">
        <f t="shared" si="701"/>
        <v/>
      </c>
    </row>
    <row r="2644" spans="1:26" ht="12" hidden="1" thickBot="1" x14ac:dyDescent="0.25">
      <c r="A2644" s="652" t="s">
        <v>187</v>
      </c>
      <c r="B2644" s="572" t="s">
        <v>187</v>
      </c>
      <c r="C2644" s="573" t="s">
        <v>187</v>
      </c>
      <c r="D2644" s="580"/>
      <c r="E2644" s="575"/>
      <c r="F2644" s="436"/>
      <c r="G2644" s="431"/>
      <c r="H2644" s="430"/>
      <c r="I2644" s="432"/>
      <c r="J2644" s="433"/>
      <c r="K2644" s="437">
        <f t="shared" si="714"/>
        <v>0</v>
      </c>
      <c r="L2644" s="435" t="s">
        <v>614</v>
      </c>
      <c r="M2644" s="576"/>
      <c r="N2644" s="576">
        <f t="shared" ref="N2644:N2707" si="716">IF(M2644=0,0,K2644)</f>
        <v>0</v>
      </c>
      <c r="O2644" s="577">
        <f t="shared" si="711"/>
        <v>0</v>
      </c>
      <c r="P2644" s="578">
        <f t="shared" si="712"/>
        <v>0</v>
      </c>
      <c r="Q2644" s="765"/>
      <c r="R2644" s="576">
        <f t="shared" si="705"/>
        <v>0</v>
      </c>
      <c r="S2644" s="576">
        <f t="shared" si="705"/>
        <v>0</v>
      </c>
      <c r="T2644" s="577">
        <f t="shared" si="709"/>
        <v>0</v>
      </c>
      <c r="U2644" s="578">
        <f t="shared" si="710"/>
        <v>0</v>
      </c>
      <c r="V2644" s="579"/>
      <c r="W2644" s="566"/>
      <c r="X2644" s="586" t="str">
        <f t="shared" si="703"/>
        <v/>
      </c>
      <c r="Y2644" s="586" t="str">
        <f t="shared" si="715"/>
        <v/>
      </c>
      <c r="Z2644" s="586" t="str">
        <f t="shared" si="701"/>
        <v/>
      </c>
    </row>
    <row r="2645" spans="1:26" ht="12" hidden="1" thickBot="1" x14ac:dyDescent="0.25">
      <c r="A2645" s="652" t="s">
        <v>187</v>
      </c>
      <c r="B2645" s="572" t="s">
        <v>187</v>
      </c>
      <c r="C2645" s="573" t="s">
        <v>187</v>
      </c>
      <c r="D2645" s="580"/>
      <c r="E2645" s="575"/>
      <c r="F2645" s="436"/>
      <c r="G2645" s="431"/>
      <c r="H2645" s="430"/>
      <c r="I2645" s="432"/>
      <c r="J2645" s="433"/>
      <c r="K2645" s="437">
        <f t="shared" si="714"/>
        <v>0</v>
      </c>
      <c r="L2645" s="435" t="s">
        <v>614</v>
      </c>
      <c r="M2645" s="576"/>
      <c r="N2645" s="576">
        <f t="shared" si="716"/>
        <v>0</v>
      </c>
      <c r="O2645" s="577">
        <f t="shared" si="711"/>
        <v>0</v>
      </c>
      <c r="P2645" s="578">
        <f t="shared" si="712"/>
        <v>0</v>
      </c>
      <c r="Q2645" s="765"/>
      <c r="R2645" s="576">
        <f t="shared" si="705"/>
        <v>0</v>
      </c>
      <c r="S2645" s="576">
        <f t="shared" si="705"/>
        <v>0</v>
      </c>
      <c r="T2645" s="577">
        <f t="shared" si="709"/>
        <v>0</v>
      </c>
      <c r="U2645" s="578">
        <f t="shared" si="710"/>
        <v>0</v>
      </c>
      <c r="V2645" s="579"/>
      <c r="W2645" s="566"/>
      <c r="X2645" s="586" t="str">
        <f t="shared" si="703"/>
        <v/>
      </c>
      <c r="Y2645" s="586" t="str">
        <f t="shared" si="715"/>
        <v/>
      </c>
      <c r="Z2645" s="586" t="str">
        <f t="shared" si="701"/>
        <v/>
      </c>
    </row>
    <row r="2646" spans="1:26" ht="12" hidden="1" thickBot="1" x14ac:dyDescent="0.25">
      <c r="A2646" s="652" t="s">
        <v>187</v>
      </c>
      <c r="B2646" s="572" t="s">
        <v>187</v>
      </c>
      <c r="C2646" s="573" t="s">
        <v>187</v>
      </c>
      <c r="D2646" s="580"/>
      <c r="E2646" s="575"/>
      <c r="F2646" s="436"/>
      <c r="G2646" s="431"/>
      <c r="H2646" s="430"/>
      <c r="I2646" s="432"/>
      <c r="J2646" s="433"/>
      <c r="K2646" s="437">
        <f t="shared" si="714"/>
        <v>0</v>
      </c>
      <c r="L2646" s="435" t="s">
        <v>614</v>
      </c>
      <c r="M2646" s="576"/>
      <c r="N2646" s="576">
        <f t="shared" si="716"/>
        <v>0</v>
      </c>
      <c r="O2646" s="577">
        <f t="shared" si="711"/>
        <v>0</v>
      </c>
      <c r="P2646" s="578">
        <f t="shared" si="712"/>
        <v>0</v>
      </c>
      <c r="Q2646" s="765"/>
      <c r="R2646" s="576">
        <f t="shared" si="705"/>
        <v>0</v>
      </c>
      <c r="S2646" s="576">
        <f t="shared" si="705"/>
        <v>0</v>
      </c>
      <c r="T2646" s="577">
        <f t="shared" si="709"/>
        <v>0</v>
      </c>
      <c r="U2646" s="578">
        <f t="shared" si="710"/>
        <v>0</v>
      </c>
      <c r="V2646" s="579"/>
      <c r="W2646" s="566"/>
      <c r="X2646" s="586" t="str">
        <f t="shared" si="703"/>
        <v/>
      </c>
      <c r="Y2646" s="586" t="str">
        <f t="shared" si="715"/>
        <v/>
      </c>
      <c r="Z2646" s="586" t="str">
        <f t="shared" si="701"/>
        <v/>
      </c>
    </row>
    <row r="2647" spans="1:26" ht="12" hidden="1" thickBot="1" x14ac:dyDescent="0.25">
      <c r="A2647" s="652" t="s">
        <v>187</v>
      </c>
      <c r="B2647" s="572" t="s">
        <v>187</v>
      </c>
      <c r="C2647" s="573" t="s">
        <v>187</v>
      </c>
      <c r="D2647" s="580"/>
      <c r="E2647" s="575"/>
      <c r="F2647" s="436"/>
      <c r="G2647" s="431"/>
      <c r="H2647" s="430"/>
      <c r="I2647" s="432"/>
      <c r="J2647" s="433"/>
      <c r="K2647" s="437">
        <f t="shared" si="714"/>
        <v>0</v>
      </c>
      <c r="L2647" s="435" t="s">
        <v>614</v>
      </c>
      <c r="M2647" s="576"/>
      <c r="N2647" s="576">
        <f t="shared" si="716"/>
        <v>0</v>
      </c>
      <c r="O2647" s="577">
        <f t="shared" si="711"/>
        <v>0</v>
      </c>
      <c r="P2647" s="578">
        <f t="shared" si="712"/>
        <v>0</v>
      </c>
      <c r="Q2647" s="765"/>
      <c r="R2647" s="576">
        <f t="shared" si="705"/>
        <v>0</v>
      </c>
      <c r="S2647" s="576">
        <f t="shared" si="705"/>
        <v>0</v>
      </c>
      <c r="T2647" s="577">
        <f t="shared" si="709"/>
        <v>0</v>
      </c>
      <c r="U2647" s="578">
        <f t="shared" si="710"/>
        <v>0</v>
      </c>
      <c r="V2647" s="579"/>
      <c r="W2647" s="566"/>
      <c r="X2647" s="586" t="str">
        <f t="shared" si="703"/>
        <v/>
      </c>
      <c r="Y2647" s="586" t="str">
        <f t="shared" si="715"/>
        <v/>
      </c>
      <c r="Z2647" s="586" t="str">
        <f t="shared" si="701"/>
        <v/>
      </c>
    </row>
    <row r="2648" spans="1:26" ht="12" hidden="1" thickBot="1" x14ac:dyDescent="0.25">
      <c r="A2648" s="652" t="s">
        <v>187</v>
      </c>
      <c r="B2648" s="572" t="s">
        <v>187</v>
      </c>
      <c r="C2648" s="573" t="s">
        <v>187</v>
      </c>
      <c r="D2648" s="580"/>
      <c r="E2648" s="575"/>
      <c r="F2648" s="436"/>
      <c r="G2648" s="431"/>
      <c r="H2648" s="430"/>
      <c r="I2648" s="432"/>
      <c r="J2648" s="433"/>
      <c r="K2648" s="437">
        <f t="shared" si="714"/>
        <v>0</v>
      </c>
      <c r="L2648" s="435" t="s">
        <v>614</v>
      </c>
      <c r="M2648" s="576"/>
      <c r="N2648" s="576">
        <f t="shared" si="716"/>
        <v>0</v>
      </c>
      <c r="O2648" s="577">
        <f t="shared" si="711"/>
        <v>0</v>
      </c>
      <c r="P2648" s="578">
        <f t="shared" si="712"/>
        <v>0</v>
      </c>
      <c r="Q2648" s="765"/>
      <c r="R2648" s="576">
        <f t="shared" si="705"/>
        <v>0</v>
      </c>
      <c r="S2648" s="576">
        <f t="shared" si="705"/>
        <v>0</v>
      </c>
      <c r="T2648" s="577">
        <f t="shared" si="709"/>
        <v>0</v>
      </c>
      <c r="U2648" s="578">
        <f t="shared" si="710"/>
        <v>0</v>
      </c>
      <c r="V2648" s="579"/>
      <c r="W2648" s="566"/>
      <c r="X2648" s="586" t="str">
        <f t="shared" si="703"/>
        <v/>
      </c>
      <c r="Y2648" s="586" t="str">
        <f t="shared" si="715"/>
        <v/>
      </c>
      <c r="Z2648" s="586" t="str">
        <f t="shared" si="701"/>
        <v/>
      </c>
    </row>
    <row r="2649" spans="1:26" ht="12" hidden="1" thickBot="1" x14ac:dyDescent="0.25">
      <c r="A2649" s="652" t="s">
        <v>187</v>
      </c>
      <c r="B2649" s="572" t="s">
        <v>187</v>
      </c>
      <c r="C2649" s="573" t="s">
        <v>187</v>
      </c>
      <c r="D2649" s="580"/>
      <c r="E2649" s="575"/>
      <c r="F2649" s="436"/>
      <c r="G2649" s="431"/>
      <c r="H2649" s="430"/>
      <c r="I2649" s="432"/>
      <c r="J2649" s="433"/>
      <c r="K2649" s="437">
        <f t="shared" si="714"/>
        <v>0</v>
      </c>
      <c r="L2649" s="435" t="s">
        <v>614</v>
      </c>
      <c r="M2649" s="576"/>
      <c r="N2649" s="576">
        <f t="shared" si="716"/>
        <v>0</v>
      </c>
      <c r="O2649" s="577">
        <f t="shared" si="711"/>
        <v>0</v>
      </c>
      <c r="P2649" s="578">
        <f t="shared" si="712"/>
        <v>0</v>
      </c>
      <c r="Q2649" s="765"/>
      <c r="R2649" s="576">
        <f t="shared" si="705"/>
        <v>0</v>
      </c>
      <c r="S2649" s="576">
        <f t="shared" si="705"/>
        <v>0</v>
      </c>
      <c r="T2649" s="577">
        <f t="shared" si="709"/>
        <v>0</v>
      </c>
      <c r="U2649" s="578">
        <f t="shared" si="710"/>
        <v>0</v>
      </c>
      <c r="V2649" s="579"/>
      <c r="W2649" s="566"/>
      <c r="X2649" s="586" t="str">
        <f t="shared" si="703"/>
        <v/>
      </c>
      <c r="Y2649" s="586" t="str">
        <f t="shared" si="715"/>
        <v/>
      </c>
      <c r="Z2649" s="586" t="str">
        <f t="shared" si="701"/>
        <v/>
      </c>
    </row>
    <row r="2650" spans="1:26" ht="12" hidden="1" thickBot="1" x14ac:dyDescent="0.25">
      <c r="A2650" s="652" t="s">
        <v>187</v>
      </c>
      <c r="B2650" s="572" t="s">
        <v>187</v>
      </c>
      <c r="C2650" s="573" t="s">
        <v>187</v>
      </c>
      <c r="D2650" s="580"/>
      <c r="E2650" s="575"/>
      <c r="F2650" s="436"/>
      <c r="G2650" s="431"/>
      <c r="H2650" s="430"/>
      <c r="I2650" s="432"/>
      <c r="J2650" s="433"/>
      <c r="K2650" s="437">
        <f t="shared" si="714"/>
        <v>0</v>
      </c>
      <c r="L2650" s="435" t="s">
        <v>614</v>
      </c>
      <c r="M2650" s="576"/>
      <c r="N2650" s="576">
        <f t="shared" si="716"/>
        <v>0</v>
      </c>
      <c r="O2650" s="577">
        <f t="shared" si="711"/>
        <v>0</v>
      </c>
      <c r="P2650" s="578">
        <f t="shared" si="712"/>
        <v>0</v>
      </c>
      <c r="Q2650" s="765"/>
      <c r="R2650" s="576">
        <f t="shared" si="705"/>
        <v>0</v>
      </c>
      <c r="S2650" s="576">
        <f t="shared" si="705"/>
        <v>0</v>
      </c>
      <c r="T2650" s="577">
        <f t="shared" si="709"/>
        <v>0</v>
      </c>
      <c r="U2650" s="578">
        <f t="shared" si="710"/>
        <v>0</v>
      </c>
      <c r="V2650" s="579"/>
      <c r="W2650" s="566"/>
      <c r="X2650" s="586" t="str">
        <f t="shared" si="703"/>
        <v/>
      </c>
      <c r="Y2650" s="586" t="str">
        <f t="shared" si="715"/>
        <v/>
      </c>
      <c r="Z2650" s="586" t="str">
        <f t="shared" si="701"/>
        <v/>
      </c>
    </row>
    <row r="2651" spans="1:26" ht="12" hidden="1" thickBot="1" x14ac:dyDescent="0.25">
      <c r="A2651" s="652" t="s">
        <v>187</v>
      </c>
      <c r="B2651" s="572" t="s">
        <v>187</v>
      </c>
      <c r="C2651" s="573" t="s">
        <v>187</v>
      </c>
      <c r="D2651" s="580"/>
      <c r="E2651" s="575"/>
      <c r="F2651" s="436"/>
      <c r="G2651" s="431"/>
      <c r="H2651" s="430"/>
      <c r="I2651" s="432"/>
      <c r="J2651" s="433"/>
      <c r="K2651" s="437">
        <f t="shared" si="714"/>
        <v>0</v>
      </c>
      <c r="L2651" s="435" t="s">
        <v>614</v>
      </c>
      <c r="M2651" s="576"/>
      <c r="N2651" s="576">
        <f t="shared" si="716"/>
        <v>0</v>
      </c>
      <c r="O2651" s="577">
        <f t="shared" si="711"/>
        <v>0</v>
      </c>
      <c r="P2651" s="578">
        <f t="shared" si="712"/>
        <v>0</v>
      </c>
      <c r="Q2651" s="765"/>
      <c r="R2651" s="576">
        <f t="shared" si="705"/>
        <v>0</v>
      </c>
      <c r="S2651" s="576">
        <f t="shared" si="705"/>
        <v>0</v>
      </c>
      <c r="T2651" s="577">
        <f t="shared" si="709"/>
        <v>0</v>
      </c>
      <c r="U2651" s="578">
        <f t="shared" si="710"/>
        <v>0</v>
      </c>
      <c r="V2651" s="579"/>
      <c r="W2651" s="566"/>
      <c r="X2651" s="586" t="str">
        <f t="shared" si="703"/>
        <v/>
      </c>
      <c r="Y2651" s="586" t="str">
        <f t="shared" si="715"/>
        <v/>
      </c>
      <c r="Z2651" s="586" t="str">
        <f t="shared" si="701"/>
        <v/>
      </c>
    </row>
    <row r="2652" spans="1:26" ht="12" hidden="1" thickBot="1" x14ac:dyDescent="0.25">
      <c r="A2652" s="652" t="s">
        <v>187</v>
      </c>
      <c r="B2652" s="572" t="s">
        <v>187</v>
      </c>
      <c r="C2652" s="573" t="s">
        <v>187</v>
      </c>
      <c r="D2652" s="580"/>
      <c r="E2652" s="575"/>
      <c r="F2652" s="436"/>
      <c r="G2652" s="431"/>
      <c r="H2652" s="430"/>
      <c r="I2652" s="432"/>
      <c r="J2652" s="433"/>
      <c r="K2652" s="437">
        <f t="shared" si="714"/>
        <v>0</v>
      </c>
      <c r="L2652" s="435" t="s">
        <v>614</v>
      </c>
      <c r="M2652" s="576"/>
      <c r="N2652" s="576">
        <f t="shared" si="716"/>
        <v>0</v>
      </c>
      <c r="O2652" s="577">
        <f t="shared" si="711"/>
        <v>0</v>
      </c>
      <c r="P2652" s="578">
        <f t="shared" si="712"/>
        <v>0</v>
      </c>
      <c r="Q2652" s="765"/>
      <c r="R2652" s="576">
        <f t="shared" si="705"/>
        <v>0</v>
      </c>
      <c r="S2652" s="576">
        <f t="shared" si="705"/>
        <v>0</v>
      </c>
      <c r="T2652" s="577">
        <f t="shared" si="709"/>
        <v>0</v>
      </c>
      <c r="U2652" s="578">
        <f t="shared" si="710"/>
        <v>0</v>
      </c>
      <c r="V2652" s="579"/>
      <c r="W2652" s="566"/>
      <c r="X2652" s="586" t="str">
        <f t="shared" si="703"/>
        <v/>
      </c>
      <c r="Y2652" s="586" t="str">
        <f t="shared" si="715"/>
        <v/>
      </c>
      <c r="Z2652" s="586" t="str">
        <f t="shared" si="701"/>
        <v/>
      </c>
    </row>
    <row r="2653" spans="1:26" ht="12" hidden="1" thickBot="1" x14ac:dyDescent="0.25">
      <c r="A2653" s="652" t="s">
        <v>187</v>
      </c>
      <c r="B2653" s="572" t="s">
        <v>187</v>
      </c>
      <c r="C2653" s="573" t="s">
        <v>187</v>
      </c>
      <c r="D2653" s="580"/>
      <c r="E2653" s="575"/>
      <c r="F2653" s="436"/>
      <c r="G2653" s="431"/>
      <c r="H2653" s="430"/>
      <c r="I2653" s="432"/>
      <c r="J2653" s="433"/>
      <c r="K2653" s="437">
        <f t="shared" si="714"/>
        <v>0</v>
      </c>
      <c r="L2653" s="435" t="s">
        <v>614</v>
      </c>
      <c r="M2653" s="576"/>
      <c r="N2653" s="576">
        <f t="shared" si="716"/>
        <v>0</v>
      </c>
      <c r="O2653" s="577">
        <f t="shared" si="711"/>
        <v>0</v>
      </c>
      <c r="P2653" s="578">
        <f t="shared" si="712"/>
        <v>0</v>
      </c>
      <c r="Q2653" s="765"/>
      <c r="R2653" s="576">
        <f t="shared" si="705"/>
        <v>0</v>
      </c>
      <c r="S2653" s="576">
        <f t="shared" si="705"/>
        <v>0</v>
      </c>
      <c r="T2653" s="577">
        <f t="shared" si="709"/>
        <v>0</v>
      </c>
      <c r="U2653" s="578">
        <f t="shared" si="710"/>
        <v>0</v>
      </c>
      <c r="V2653" s="579"/>
      <c r="W2653" s="566"/>
      <c r="X2653" s="586" t="str">
        <f t="shared" si="703"/>
        <v/>
      </c>
      <c r="Y2653" s="586" t="str">
        <f t="shared" si="715"/>
        <v/>
      </c>
      <c r="Z2653" s="586" t="str">
        <f t="shared" si="701"/>
        <v/>
      </c>
    </row>
    <row r="2654" spans="1:26" ht="12" hidden="1" thickBot="1" x14ac:dyDescent="0.25">
      <c r="A2654" s="652" t="s">
        <v>187</v>
      </c>
      <c r="B2654" s="572" t="s">
        <v>187</v>
      </c>
      <c r="C2654" s="573" t="s">
        <v>187</v>
      </c>
      <c r="D2654" s="580"/>
      <c r="E2654" s="575"/>
      <c r="F2654" s="436"/>
      <c r="G2654" s="431"/>
      <c r="H2654" s="430"/>
      <c r="I2654" s="432"/>
      <c r="J2654" s="433"/>
      <c r="K2654" s="437">
        <f t="shared" si="714"/>
        <v>0</v>
      </c>
      <c r="L2654" s="435" t="s">
        <v>614</v>
      </c>
      <c r="M2654" s="576"/>
      <c r="N2654" s="576">
        <f t="shared" si="716"/>
        <v>0</v>
      </c>
      <c r="O2654" s="577">
        <f t="shared" si="711"/>
        <v>0</v>
      </c>
      <c r="P2654" s="578">
        <f t="shared" si="712"/>
        <v>0</v>
      </c>
      <c r="Q2654" s="765"/>
      <c r="R2654" s="576">
        <f t="shared" si="705"/>
        <v>0</v>
      </c>
      <c r="S2654" s="576">
        <f t="shared" si="705"/>
        <v>0</v>
      </c>
      <c r="T2654" s="577">
        <f t="shared" si="709"/>
        <v>0</v>
      </c>
      <c r="U2654" s="578">
        <f t="shared" si="710"/>
        <v>0</v>
      </c>
      <c r="V2654" s="579"/>
      <c r="W2654" s="566"/>
      <c r="X2654" s="586" t="str">
        <f t="shared" si="703"/>
        <v/>
      </c>
      <c r="Y2654" s="586" t="str">
        <f t="shared" si="715"/>
        <v/>
      </c>
      <c r="Z2654" s="586" t="str">
        <f t="shared" si="701"/>
        <v/>
      </c>
    </row>
    <row r="2655" spans="1:26" ht="12" hidden="1" thickBot="1" x14ac:dyDescent="0.25">
      <c r="A2655" s="652" t="s">
        <v>187</v>
      </c>
      <c r="B2655" s="572" t="s">
        <v>187</v>
      </c>
      <c r="C2655" s="573" t="s">
        <v>187</v>
      </c>
      <c r="D2655" s="580"/>
      <c r="E2655" s="575"/>
      <c r="F2655" s="436"/>
      <c r="G2655" s="431"/>
      <c r="H2655" s="430"/>
      <c r="I2655" s="432"/>
      <c r="J2655" s="433"/>
      <c r="K2655" s="437">
        <f t="shared" si="714"/>
        <v>0</v>
      </c>
      <c r="L2655" s="435" t="s">
        <v>614</v>
      </c>
      <c r="M2655" s="576"/>
      <c r="N2655" s="576">
        <f t="shared" si="716"/>
        <v>0</v>
      </c>
      <c r="O2655" s="577">
        <f t="shared" si="711"/>
        <v>0</v>
      </c>
      <c r="P2655" s="578">
        <f t="shared" si="712"/>
        <v>0</v>
      </c>
      <c r="Q2655" s="765"/>
      <c r="R2655" s="576">
        <f t="shared" si="705"/>
        <v>0</v>
      </c>
      <c r="S2655" s="576">
        <f t="shared" si="705"/>
        <v>0</v>
      </c>
      <c r="T2655" s="577">
        <f t="shared" si="709"/>
        <v>0</v>
      </c>
      <c r="U2655" s="578">
        <f t="shared" si="710"/>
        <v>0</v>
      </c>
      <c r="V2655" s="579"/>
      <c r="W2655" s="566"/>
      <c r="X2655" s="586" t="str">
        <f t="shared" si="703"/>
        <v/>
      </c>
      <c r="Y2655" s="586" t="str">
        <f t="shared" si="715"/>
        <v/>
      </c>
      <c r="Z2655" s="586" t="str">
        <f t="shared" si="701"/>
        <v/>
      </c>
    </row>
    <row r="2656" spans="1:26" ht="12" hidden="1" thickBot="1" x14ac:dyDescent="0.25">
      <c r="A2656" s="652" t="s">
        <v>187</v>
      </c>
      <c r="B2656" s="572" t="s">
        <v>187</v>
      </c>
      <c r="C2656" s="573" t="s">
        <v>187</v>
      </c>
      <c r="D2656" s="580"/>
      <c r="E2656" s="575"/>
      <c r="F2656" s="436"/>
      <c r="G2656" s="431"/>
      <c r="H2656" s="430"/>
      <c r="I2656" s="432"/>
      <c r="J2656" s="433"/>
      <c r="K2656" s="437">
        <f t="shared" si="714"/>
        <v>0</v>
      </c>
      <c r="L2656" s="435" t="s">
        <v>614</v>
      </c>
      <c r="M2656" s="576"/>
      <c r="N2656" s="576">
        <f t="shared" si="716"/>
        <v>0</v>
      </c>
      <c r="O2656" s="577">
        <f t="shared" si="711"/>
        <v>0</v>
      </c>
      <c r="P2656" s="578">
        <f t="shared" si="712"/>
        <v>0</v>
      </c>
      <c r="Q2656" s="765"/>
      <c r="R2656" s="576">
        <f t="shared" si="705"/>
        <v>0</v>
      </c>
      <c r="S2656" s="576">
        <f t="shared" si="705"/>
        <v>0</v>
      </c>
      <c r="T2656" s="577">
        <f t="shared" si="709"/>
        <v>0</v>
      </c>
      <c r="U2656" s="578">
        <f t="shared" si="710"/>
        <v>0</v>
      </c>
      <c r="V2656" s="579"/>
      <c r="W2656" s="566"/>
      <c r="X2656" s="586" t="str">
        <f t="shared" si="703"/>
        <v/>
      </c>
      <c r="Y2656" s="586" t="str">
        <f t="shared" si="715"/>
        <v/>
      </c>
      <c r="Z2656" s="586" t="str">
        <f t="shared" si="701"/>
        <v/>
      </c>
    </row>
    <row r="2657" spans="1:26" ht="12" hidden="1" thickBot="1" x14ac:dyDescent="0.25">
      <c r="A2657" s="652" t="s">
        <v>187</v>
      </c>
      <c r="B2657" s="572" t="s">
        <v>187</v>
      </c>
      <c r="C2657" s="573" t="s">
        <v>187</v>
      </c>
      <c r="D2657" s="580"/>
      <c r="E2657" s="575"/>
      <c r="F2657" s="436"/>
      <c r="G2657" s="431"/>
      <c r="H2657" s="430"/>
      <c r="I2657" s="432"/>
      <c r="J2657" s="433"/>
      <c r="K2657" s="437">
        <f t="shared" si="714"/>
        <v>0</v>
      </c>
      <c r="L2657" s="435" t="s">
        <v>614</v>
      </c>
      <c r="M2657" s="576"/>
      <c r="N2657" s="576">
        <f t="shared" si="716"/>
        <v>0</v>
      </c>
      <c r="O2657" s="577">
        <f t="shared" si="711"/>
        <v>0</v>
      </c>
      <c r="P2657" s="578">
        <f t="shared" si="712"/>
        <v>0</v>
      </c>
      <c r="Q2657" s="765"/>
      <c r="R2657" s="576">
        <f t="shared" si="705"/>
        <v>0</v>
      </c>
      <c r="S2657" s="576">
        <f t="shared" si="705"/>
        <v>0</v>
      </c>
      <c r="T2657" s="577">
        <f t="shared" si="709"/>
        <v>0</v>
      </c>
      <c r="U2657" s="578">
        <f t="shared" si="710"/>
        <v>0</v>
      </c>
      <c r="V2657" s="579"/>
      <c r="W2657" s="566"/>
      <c r="X2657" s="586" t="str">
        <f t="shared" si="703"/>
        <v/>
      </c>
      <c r="Y2657" s="586" t="str">
        <f t="shared" si="715"/>
        <v/>
      </c>
      <c r="Z2657" s="586" t="str">
        <f t="shared" si="701"/>
        <v/>
      </c>
    </row>
    <row r="2658" spans="1:26" ht="12" hidden="1" thickBot="1" x14ac:dyDescent="0.25">
      <c r="A2658" s="652" t="s">
        <v>187</v>
      </c>
      <c r="B2658" s="572" t="s">
        <v>187</v>
      </c>
      <c r="C2658" s="573" t="s">
        <v>187</v>
      </c>
      <c r="D2658" s="580"/>
      <c r="E2658" s="575"/>
      <c r="F2658" s="436"/>
      <c r="G2658" s="431"/>
      <c r="H2658" s="430"/>
      <c r="I2658" s="432"/>
      <c r="J2658" s="433"/>
      <c r="K2658" s="437">
        <f t="shared" si="714"/>
        <v>0</v>
      </c>
      <c r="L2658" s="435" t="s">
        <v>614</v>
      </c>
      <c r="M2658" s="576"/>
      <c r="N2658" s="576">
        <f t="shared" si="716"/>
        <v>0</v>
      </c>
      <c r="O2658" s="577">
        <f t="shared" si="711"/>
        <v>0</v>
      </c>
      <c r="P2658" s="578">
        <f t="shared" si="712"/>
        <v>0</v>
      </c>
      <c r="Q2658" s="765"/>
      <c r="R2658" s="576">
        <f t="shared" si="705"/>
        <v>0</v>
      </c>
      <c r="S2658" s="576">
        <f t="shared" si="705"/>
        <v>0</v>
      </c>
      <c r="T2658" s="577">
        <f t="shared" si="709"/>
        <v>0</v>
      </c>
      <c r="U2658" s="578">
        <f t="shared" si="710"/>
        <v>0</v>
      </c>
      <c r="V2658" s="579"/>
      <c r="W2658" s="566"/>
      <c r="X2658" s="586" t="str">
        <f t="shared" si="703"/>
        <v/>
      </c>
      <c r="Y2658" s="586" t="str">
        <f t="shared" si="715"/>
        <v/>
      </c>
      <c r="Z2658" s="586" t="str">
        <f t="shared" si="701"/>
        <v/>
      </c>
    </row>
    <row r="2659" spans="1:26" ht="12" hidden="1" thickBot="1" x14ac:dyDescent="0.25">
      <c r="A2659" s="652" t="s">
        <v>187</v>
      </c>
      <c r="B2659" s="572" t="s">
        <v>187</v>
      </c>
      <c r="C2659" s="573" t="s">
        <v>187</v>
      </c>
      <c r="D2659" s="580"/>
      <c r="E2659" s="575"/>
      <c r="F2659" s="436"/>
      <c r="G2659" s="431"/>
      <c r="H2659" s="430"/>
      <c r="I2659" s="432"/>
      <c r="J2659" s="433"/>
      <c r="K2659" s="437">
        <f t="shared" si="714"/>
        <v>0</v>
      </c>
      <c r="L2659" s="435" t="s">
        <v>614</v>
      </c>
      <c r="M2659" s="576"/>
      <c r="N2659" s="576">
        <f t="shared" si="716"/>
        <v>0</v>
      </c>
      <c r="O2659" s="577">
        <f t="shared" si="711"/>
        <v>0</v>
      </c>
      <c r="P2659" s="578">
        <f t="shared" si="712"/>
        <v>0</v>
      </c>
      <c r="Q2659" s="765"/>
      <c r="R2659" s="576">
        <f t="shared" si="705"/>
        <v>0</v>
      </c>
      <c r="S2659" s="576">
        <f t="shared" si="705"/>
        <v>0</v>
      </c>
      <c r="T2659" s="577">
        <f t="shared" si="709"/>
        <v>0</v>
      </c>
      <c r="U2659" s="578">
        <f t="shared" si="710"/>
        <v>0</v>
      </c>
      <c r="V2659" s="579"/>
      <c r="W2659" s="566"/>
      <c r="X2659" s="586" t="str">
        <f t="shared" si="703"/>
        <v/>
      </c>
      <c r="Y2659" s="586" t="str">
        <f t="shared" si="715"/>
        <v/>
      </c>
      <c r="Z2659" s="586" t="str">
        <f t="shared" si="701"/>
        <v/>
      </c>
    </row>
    <row r="2660" spans="1:26" ht="12" hidden="1" thickBot="1" x14ac:dyDescent="0.25">
      <c r="A2660" s="652" t="s">
        <v>187</v>
      </c>
      <c r="B2660" s="572" t="s">
        <v>187</v>
      </c>
      <c r="C2660" s="573" t="s">
        <v>187</v>
      </c>
      <c r="D2660" s="580"/>
      <c r="E2660" s="575"/>
      <c r="F2660" s="436"/>
      <c r="G2660" s="431"/>
      <c r="H2660" s="430"/>
      <c r="I2660" s="432"/>
      <c r="J2660" s="433"/>
      <c r="K2660" s="437">
        <f t="shared" si="714"/>
        <v>0</v>
      </c>
      <c r="L2660" s="435" t="s">
        <v>614</v>
      </c>
      <c r="M2660" s="576"/>
      <c r="N2660" s="576">
        <f t="shared" si="716"/>
        <v>0</v>
      </c>
      <c r="O2660" s="577">
        <f t="shared" si="711"/>
        <v>0</v>
      </c>
      <c r="P2660" s="578">
        <f t="shared" si="712"/>
        <v>0</v>
      </c>
      <c r="Q2660" s="765"/>
      <c r="R2660" s="576">
        <f t="shared" si="705"/>
        <v>0</v>
      </c>
      <c r="S2660" s="576">
        <f t="shared" si="705"/>
        <v>0</v>
      </c>
      <c r="T2660" s="577">
        <f t="shared" si="709"/>
        <v>0</v>
      </c>
      <c r="U2660" s="578">
        <f t="shared" si="710"/>
        <v>0</v>
      </c>
      <c r="V2660" s="579"/>
      <c r="W2660" s="566"/>
      <c r="X2660" s="586" t="str">
        <f t="shared" si="703"/>
        <v/>
      </c>
      <c r="Y2660" s="586" t="str">
        <f t="shared" si="715"/>
        <v/>
      </c>
      <c r="Z2660" s="586" t="str">
        <f t="shared" si="701"/>
        <v/>
      </c>
    </row>
    <row r="2661" spans="1:26" ht="12" hidden="1" thickBot="1" x14ac:dyDescent="0.25">
      <c r="A2661" s="652" t="s">
        <v>187</v>
      </c>
      <c r="B2661" s="572" t="s">
        <v>187</v>
      </c>
      <c r="C2661" s="573" t="s">
        <v>187</v>
      </c>
      <c r="D2661" s="583"/>
      <c r="E2661" s="575"/>
      <c r="F2661" s="436"/>
      <c r="G2661" s="431"/>
      <c r="H2661" s="430"/>
      <c r="I2661" s="432"/>
      <c r="J2661" s="433"/>
      <c r="K2661" s="437">
        <f t="shared" si="714"/>
        <v>0</v>
      </c>
      <c r="L2661" s="435" t="s">
        <v>614</v>
      </c>
      <c r="M2661" s="576"/>
      <c r="N2661" s="576">
        <f t="shared" si="716"/>
        <v>0</v>
      </c>
      <c r="O2661" s="577">
        <f t="shared" si="711"/>
        <v>0</v>
      </c>
      <c r="P2661" s="578">
        <f t="shared" si="712"/>
        <v>0</v>
      </c>
      <c r="Q2661" s="765"/>
      <c r="R2661" s="576">
        <f t="shared" si="705"/>
        <v>0</v>
      </c>
      <c r="S2661" s="576">
        <f t="shared" si="705"/>
        <v>0</v>
      </c>
      <c r="T2661" s="577">
        <f t="shared" si="709"/>
        <v>0</v>
      </c>
      <c r="U2661" s="578">
        <f t="shared" si="710"/>
        <v>0</v>
      </c>
      <c r="V2661" s="579"/>
      <c r="W2661" s="566"/>
      <c r="X2661" s="586" t="str">
        <f t="shared" si="703"/>
        <v/>
      </c>
      <c r="Y2661" s="586" t="str">
        <f t="shared" si="715"/>
        <v/>
      </c>
      <c r="Z2661" s="586" t="str">
        <f t="shared" si="701"/>
        <v/>
      </c>
    </row>
    <row r="2662" spans="1:26" ht="45.75" thickBot="1" x14ac:dyDescent="0.25">
      <c r="A2662" s="652" t="s">
        <v>187</v>
      </c>
      <c r="B2662" s="664" t="s">
        <v>595</v>
      </c>
      <c r="C2662" s="665"/>
      <c r="D2662" s="666" t="s">
        <v>1719</v>
      </c>
      <c r="E2662" s="724"/>
      <c r="F2662" s="632"/>
      <c r="G2662" s="633"/>
      <c r="H2662" s="634"/>
      <c r="I2662" s="409"/>
      <c r="J2662" s="409"/>
      <c r="K2662" s="409"/>
      <c r="L2662" s="409" t="s">
        <v>614</v>
      </c>
      <c r="M2662" s="634"/>
      <c r="N2662" s="797"/>
      <c r="O2662" s="409">
        <f t="shared" si="711"/>
        <v>0</v>
      </c>
      <c r="P2662" s="635">
        <f t="shared" si="712"/>
        <v>0</v>
      </c>
      <c r="Q2662" s="635">
        <f>SUM(P2663:P2707)</f>
        <v>14700.060000000001</v>
      </c>
      <c r="R2662" s="634"/>
      <c r="S2662" s="409"/>
      <c r="T2662" s="409">
        <f t="shared" si="709"/>
        <v>0</v>
      </c>
      <c r="U2662" s="635">
        <f t="shared" si="710"/>
        <v>0</v>
      </c>
      <c r="V2662" s="636">
        <f>SUM(U2663:U2707)</f>
        <v>14700.060000000001</v>
      </c>
      <c r="W2662" s="637" t="str">
        <f>IF(OR(Q2662&gt;0,V2662&gt;0),"X","")</f>
        <v>X</v>
      </c>
      <c r="X2662" s="586" t="str">
        <f t="shared" si="703"/>
        <v>x</v>
      </c>
      <c r="Y2662" s="586" t="str">
        <f t="shared" si="715"/>
        <v>x</v>
      </c>
      <c r="Z2662" s="586" t="str">
        <f t="shared" si="701"/>
        <v>x</v>
      </c>
    </row>
    <row r="2663" spans="1:26" s="567" customFormat="1" hidden="1" x14ac:dyDescent="0.2">
      <c r="A2663" s="652" t="s">
        <v>187</v>
      </c>
      <c r="B2663" s="644" t="s">
        <v>641</v>
      </c>
      <c r="C2663" s="645" t="s">
        <v>612</v>
      </c>
      <c r="D2663" s="422" t="s">
        <v>596</v>
      </c>
      <c r="E2663" s="423"/>
      <c r="F2663" s="424">
        <v>0</v>
      </c>
      <c r="G2663" s="425">
        <v>0</v>
      </c>
      <c r="H2663" s="651">
        <v>0</v>
      </c>
      <c r="I2663" s="420">
        <v>116.98</v>
      </c>
      <c r="J2663" s="420">
        <f>IF(ISBLANK(I2663),"",SUM(H2663:I2663))</f>
        <v>116.98</v>
      </c>
      <c r="K2663" s="421">
        <f t="shared" ref="K2663:K2675" si="717">IF(ISBLANK(I2663),0,ROUND(J2663*(1+$F$10)*(1+$F$11*E2663),2))</f>
        <v>138.97999999999999</v>
      </c>
      <c r="L2663" s="647" t="s">
        <v>21</v>
      </c>
      <c r="M2663" s="576"/>
      <c r="N2663" s="576">
        <f t="shared" si="716"/>
        <v>0</v>
      </c>
      <c r="O2663" s="577">
        <f t="shared" si="711"/>
        <v>0</v>
      </c>
      <c r="P2663" s="578">
        <f t="shared" si="712"/>
        <v>0</v>
      </c>
      <c r="Q2663" s="765"/>
      <c r="R2663" s="576">
        <f t="shared" si="705"/>
        <v>0</v>
      </c>
      <c r="S2663" s="576">
        <f t="shared" si="705"/>
        <v>0</v>
      </c>
      <c r="T2663" s="577">
        <f t="shared" si="709"/>
        <v>0</v>
      </c>
      <c r="U2663" s="578">
        <f t="shared" si="710"/>
        <v>0</v>
      </c>
      <c r="V2663" s="579"/>
      <c r="W2663" s="566"/>
      <c r="X2663" s="586" t="str">
        <f t="shared" si="703"/>
        <v/>
      </c>
      <c r="Y2663" s="586" t="str">
        <f t="shared" si="715"/>
        <v/>
      </c>
      <c r="Z2663" s="586" t="str">
        <f t="shared" si="701"/>
        <v/>
      </c>
    </row>
    <row r="2664" spans="1:26" s="567" customFormat="1" hidden="1" x14ac:dyDescent="0.2">
      <c r="A2664" s="652" t="s">
        <v>187</v>
      </c>
      <c r="B2664" s="644" t="s">
        <v>641</v>
      </c>
      <c r="C2664" s="645" t="s">
        <v>612</v>
      </c>
      <c r="D2664" s="422" t="s">
        <v>597</v>
      </c>
      <c r="E2664" s="423"/>
      <c r="F2664" s="424">
        <v>0</v>
      </c>
      <c r="G2664" s="425">
        <v>0</v>
      </c>
      <c r="H2664" s="651">
        <v>0</v>
      </c>
      <c r="I2664" s="420">
        <v>116.98</v>
      </c>
      <c r="J2664" s="420">
        <f t="shared" ref="J2664:J2671" si="718">IF(ISBLANK(I2664),"",SUM(H2664:I2664))</f>
        <v>116.98</v>
      </c>
      <c r="K2664" s="421">
        <f t="shared" si="717"/>
        <v>138.97999999999999</v>
      </c>
      <c r="L2664" s="647" t="s">
        <v>21</v>
      </c>
      <c r="M2664" s="576"/>
      <c r="N2664" s="576">
        <f t="shared" si="716"/>
        <v>0</v>
      </c>
      <c r="O2664" s="577">
        <f t="shared" si="711"/>
        <v>0</v>
      </c>
      <c r="P2664" s="578">
        <f t="shared" si="712"/>
        <v>0</v>
      </c>
      <c r="Q2664" s="765"/>
      <c r="R2664" s="576">
        <f t="shared" si="705"/>
        <v>0</v>
      </c>
      <c r="S2664" s="576">
        <f t="shared" si="705"/>
        <v>0</v>
      </c>
      <c r="T2664" s="577">
        <f t="shared" si="709"/>
        <v>0</v>
      </c>
      <c r="U2664" s="578">
        <f t="shared" si="710"/>
        <v>0</v>
      </c>
      <c r="V2664" s="579"/>
      <c r="W2664" s="566"/>
      <c r="X2664" s="586" t="str">
        <f t="shared" si="703"/>
        <v/>
      </c>
      <c r="Y2664" s="586" t="str">
        <f t="shared" si="715"/>
        <v/>
      </c>
      <c r="Z2664" s="586" t="str">
        <f t="shared" ref="Z2664:Z2707" si="719">IF(W2664="X","x",IF(U2664&gt;0,"x",""))</f>
        <v/>
      </c>
    </row>
    <row r="2665" spans="1:26" s="567" customFormat="1" ht="22.5" hidden="1" x14ac:dyDescent="0.2">
      <c r="A2665" s="652" t="s">
        <v>187</v>
      </c>
      <c r="B2665" s="644" t="s">
        <v>641</v>
      </c>
      <c r="C2665" s="645" t="s">
        <v>612</v>
      </c>
      <c r="D2665" s="422" t="s">
        <v>598</v>
      </c>
      <c r="E2665" s="423"/>
      <c r="F2665" s="424">
        <v>0</v>
      </c>
      <c r="G2665" s="425"/>
      <c r="H2665" s="651"/>
      <c r="I2665" s="420">
        <v>116.98</v>
      </c>
      <c r="J2665" s="420">
        <f t="shared" si="718"/>
        <v>116.98</v>
      </c>
      <c r="K2665" s="421">
        <f t="shared" si="717"/>
        <v>138.97999999999999</v>
      </c>
      <c r="L2665" s="647" t="s">
        <v>21</v>
      </c>
      <c r="M2665" s="576"/>
      <c r="N2665" s="576">
        <f t="shared" si="716"/>
        <v>0</v>
      </c>
      <c r="O2665" s="577">
        <f t="shared" si="711"/>
        <v>0</v>
      </c>
      <c r="P2665" s="578">
        <f t="shared" si="712"/>
        <v>0</v>
      </c>
      <c r="Q2665" s="765"/>
      <c r="R2665" s="576">
        <f t="shared" si="705"/>
        <v>0</v>
      </c>
      <c r="S2665" s="576">
        <f t="shared" si="705"/>
        <v>0</v>
      </c>
      <c r="T2665" s="577">
        <f t="shared" si="709"/>
        <v>0</v>
      </c>
      <c r="U2665" s="578">
        <f t="shared" si="710"/>
        <v>0</v>
      </c>
      <c r="V2665" s="579"/>
      <c r="W2665" s="566"/>
      <c r="X2665" s="586" t="str">
        <f t="shared" si="703"/>
        <v/>
      </c>
      <c r="Y2665" s="586" t="str">
        <f t="shared" si="715"/>
        <v/>
      </c>
      <c r="Z2665" s="586" t="str">
        <f t="shared" si="719"/>
        <v/>
      </c>
    </row>
    <row r="2666" spans="1:26" s="567" customFormat="1" hidden="1" x14ac:dyDescent="0.2">
      <c r="A2666" s="652" t="s">
        <v>187</v>
      </c>
      <c r="B2666" s="644" t="s">
        <v>641</v>
      </c>
      <c r="C2666" s="645" t="s">
        <v>612</v>
      </c>
      <c r="D2666" s="422" t="s">
        <v>599</v>
      </c>
      <c r="E2666" s="423"/>
      <c r="F2666" s="424">
        <v>0</v>
      </c>
      <c r="G2666" s="425"/>
      <c r="H2666" s="651"/>
      <c r="I2666" s="420">
        <v>116.98</v>
      </c>
      <c r="J2666" s="420">
        <f t="shared" si="718"/>
        <v>116.98</v>
      </c>
      <c r="K2666" s="421">
        <f t="shared" si="717"/>
        <v>138.97999999999999</v>
      </c>
      <c r="L2666" s="647" t="s">
        <v>21</v>
      </c>
      <c r="M2666" s="576"/>
      <c r="N2666" s="576">
        <f t="shared" si="716"/>
        <v>0</v>
      </c>
      <c r="O2666" s="577">
        <f t="shared" si="711"/>
        <v>0</v>
      </c>
      <c r="P2666" s="578">
        <f t="shared" si="712"/>
        <v>0</v>
      </c>
      <c r="Q2666" s="765"/>
      <c r="R2666" s="576">
        <f t="shared" si="705"/>
        <v>0</v>
      </c>
      <c r="S2666" s="576">
        <f t="shared" si="705"/>
        <v>0</v>
      </c>
      <c r="T2666" s="577">
        <f t="shared" si="709"/>
        <v>0</v>
      </c>
      <c r="U2666" s="578">
        <f t="shared" si="710"/>
        <v>0</v>
      </c>
      <c r="V2666" s="579"/>
      <c r="W2666" s="566"/>
      <c r="X2666" s="586" t="str">
        <f t="shared" si="703"/>
        <v/>
      </c>
      <c r="Y2666" s="586" t="str">
        <f t="shared" si="715"/>
        <v/>
      </c>
      <c r="Z2666" s="586" t="str">
        <f t="shared" si="719"/>
        <v/>
      </c>
    </row>
    <row r="2667" spans="1:26" s="567" customFormat="1" hidden="1" x14ac:dyDescent="0.2">
      <c r="A2667" s="652" t="s">
        <v>187</v>
      </c>
      <c r="B2667" s="644" t="s">
        <v>642</v>
      </c>
      <c r="C2667" s="645" t="s">
        <v>612</v>
      </c>
      <c r="D2667" s="422" t="s">
        <v>600</v>
      </c>
      <c r="E2667" s="423"/>
      <c r="F2667" s="424"/>
      <c r="G2667" s="425"/>
      <c r="H2667" s="651"/>
      <c r="I2667" s="420">
        <v>119.27</v>
      </c>
      <c r="J2667" s="420">
        <f t="shared" si="718"/>
        <v>119.27</v>
      </c>
      <c r="K2667" s="421">
        <f t="shared" si="717"/>
        <v>141.69999999999999</v>
      </c>
      <c r="L2667" s="647" t="s">
        <v>21</v>
      </c>
      <c r="M2667" s="576"/>
      <c r="N2667" s="576">
        <f t="shared" si="716"/>
        <v>0</v>
      </c>
      <c r="O2667" s="577">
        <f t="shared" si="711"/>
        <v>0</v>
      </c>
      <c r="P2667" s="578">
        <f t="shared" si="712"/>
        <v>0</v>
      </c>
      <c r="Q2667" s="765"/>
      <c r="R2667" s="576">
        <f t="shared" si="705"/>
        <v>0</v>
      </c>
      <c r="S2667" s="576">
        <f t="shared" si="705"/>
        <v>0</v>
      </c>
      <c r="T2667" s="577">
        <f t="shared" si="709"/>
        <v>0</v>
      </c>
      <c r="U2667" s="578">
        <f t="shared" si="710"/>
        <v>0</v>
      </c>
      <c r="V2667" s="579"/>
      <c r="W2667" s="566"/>
      <c r="X2667" s="586" t="str">
        <f t="shared" ref="X2667:X2707" si="720">IF(W2667="X","x",IF(W2667="xx","x",IF(W2667="xy","x",IF(W2667="y","x",IF(OR(P2667&gt;0,U2667&gt;0),"x","")))))</f>
        <v/>
      </c>
      <c r="Y2667" s="586" t="str">
        <f t="shared" si="715"/>
        <v/>
      </c>
      <c r="Z2667" s="586" t="str">
        <f t="shared" si="719"/>
        <v/>
      </c>
    </row>
    <row r="2668" spans="1:26" s="567" customFormat="1" x14ac:dyDescent="0.2">
      <c r="A2668" s="652" t="s">
        <v>187</v>
      </c>
      <c r="B2668" s="644" t="s">
        <v>601</v>
      </c>
      <c r="C2668" s="645" t="s">
        <v>643</v>
      </c>
      <c r="D2668" s="451" t="s">
        <v>602</v>
      </c>
      <c r="E2668" s="423"/>
      <c r="F2668" s="424"/>
      <c r="G2668" s="425"/>
      <c r="H2668" s="651"/>
      <c r="I2668" s="420">
        <v>78.64</v>
      </c>
      <c r="J2668" s="420">
        <f t="shared" si="718"/>
        <v>78.64</v>
      </c>
      <c r="K2668" s="421">
        <f t="shared" si="717"/>
        <v>93.43</v>
      </c>
      <c r="L2668" s="647" t="s">
        <v>21</v>
      </c>
      <c r="M2668" s="576">
        <v>24</v>
      </c>
      <c r="N2668" s="576">
        <f t="shared" si="716"/>
        <v>93.43</v>
      </c>
      <c r="O2668" s="577">
        <f t="shared" si="711"/>
        <v>2242.3200000000002</v>
      </c>
      <c r="P2668" s="578">
        <f t="shared" si="712"/>
        <v>2242.3200000000002</v>
      </c>
      <c r="Q2668" s="765"/>
      <c r="R2668" s="576">
        <f t="shared" si="705"/>
        <v>24</v>
      </c>
      <c r="S2668" s="576">
        <f t="shared" si="705"/>
        <v>93.43</v>
      </c>
      <c r="T2668" s="577">
        <f t="shared" si="709"/>
        <v>2242.3200000000002</v>
      </c>
      <c r="U2668" s="578">
        <f t="shared" si="710"/>
        <v>2242.3200000000002</v>
      </c>
      <c r="V2668" s="579"/>
      <c r="W2668" s="566"/>
      <c r="X2668" s="586" t="str">
        <f t="shared" si="720"/>
        <v>x</v>
      </c>
      <c r="Y2668" s="586" t="str">
        <f t="shared" si="715"/>
        <v>x</v>
      </c>
      <c r="Z2668" s="586" t="str">
        <f t="shared" si="719"/>
        <v>x</v>
      </c>
    </row>
    <row r="2669" spans="1:26" s="567" customFormat="1" hidden="1" x14ac:dyDescent="0.2">
      <c r="A2669" s="652" t="s">
        <v>187</v>
      </c>
      <c r="B2669" s="644" t="s">
        <v>603</v>
      </c>
      <c r="C2669" s="645" t="s">
        <v>643</v>
      </c>
      <c r="D2669" s="451" t="s">
        <v>604</v>
      </c>
      <c r="E2669" s="423"/>
      <c r="F2669" s="424"/>
      <c r="G2669" s="425"/>
      <c r="H2669" s="651"/>
      <c r="I2669" s="420">
        <v>46.05</v>
      </c>
      <c r="J2669" s="420">
        <f t="shared" si="718"/>
        <v>46.05</v>
      </c>
      <c r="K2669" s="421">
        <f t="shared" si="717"/>
        <v>54.71</v>
      </c>
      <c r="L2669" s="647" t="s">
        <v>21</v>
      </c>
      <c r="M2669" s="576"/>
      <c r="N2669" s="576">
        <f t="shared" si="716"/>
        <v>0</v>
      </c>
      <c r="O2669" s="577">
        <f t="shared" si="711"/>
        <v>0</v>
      </c>
      <c r="P2669" s="578">
        <f t="shared" si="712"/>
        <v>0</v>
      </c>
      <c r="Q2669" s="765"/>
      <c r="R2669" s="576">
        <f t="shared" si="705"/>
        <v>0</v>
      </c>
      <c r="S2669" s="576">
        <f t="shared" si="705"/>
        <v>0</v>
      </c>
      <c r="T2669" s="577">
        <f t="shared" si="709"/>
        <v>0</v>
      </c>
      <c r="U2669" s="578">
        <f t="shared" si="710"/>
        <v>0</v>
      </c>
      <c r="V2669" s="579"/>
      <c r="W2669" s="566"/>
      <c r="X2669" s="586" t="str">
        <f t="shared" si="720"/>
        <v/>
      </c>
      <c r="Y2669" s="586" t="str">
        <f t="shared" si="715"/>
        <v/>
      </c>
      <c r="Z2669" s="586" t="str">
        <f t="shared" si="719"/>
        <v/>
      </c>
    </row>
    <row r="2670" spans="1:26" s="567" customFormat="1" x14ac:dyDescent="0.2">
      <c r="A2670" s="652" t="s">
        <v>187</v>
      </c>
      <c r="B2670" s="644" t="s">
        <v>674</v>
      </c>
      <c r="C2670" s="645" t="s">
        <v>612</v>
      </c>
      <c r="D2670" s="451" t="s">
        <v>605</v>
      </c>
      <c r="E2670" s="423"/>
      <c r="F2670" s="424"/>
      <c r="G2670" s="425"/>
      <c r="H2670" s="651"/>
      <c r="I2670" s="420">
        <v>141.66</v>
      </c>
      <c r="J2670" s="420">
        <f t="shared" si="718"/>
        <v>141.66</v>
      </c>
      <c r="K2670" s="421">
        <f t="shared" si="717"/>
        <v>168.31</v>
      </c>
      <c r="L2670" s="647" t="s">
        <v>21</v>
      </c>
      <c r="M2670" s="576">
        <v>14</v>
      </c>
      <c r="N2670" s="576">
        <f t="shared" si="716"/>
        <v>168.31</v>
      </c>
      <c r="O2670" s="577">
        <f t="shared" si="711"/>
        <v>2356.34</v>
      </c>
      <c r="P2670" s="578">
        <f t="shared" si="712"/>
        <v>2356.34</v>
      </c>
      <c r="Q2670" s="765"/>
      <c r="R2670" s="576">
        <f t="shared" si="705"/>
        <v>14</v>
      </c>
      <c r="S2670" s="576">
        <f t="shared" si="705"/>
        <v>168.31</v>
      </c>
      <c r="T2670" s="577">
        <f t="shared" si="709"/>
        <v>2356.34</v>
      </c>
      <c r="U2670" s="578">
        <f t="shared" si="710"/>
        <v>2356.34</v>
      </c>
      <c r="V2670" s="579"/>
      <c r="W2670" s="566"/>
      <c r="X2670" s="586" t="str">
        <f t="shared" si="720"/>
        <v>x</v>
      </c>
      <c r="Y2670" s="586" t="str">
        <f t="shared" si="715"/>
        <v>x</v>
      </c>
      <c r="Z2670" s="586" t="str">
        <f t="shared" si="719"/>
        <v>x</v>
      </c>
    </row>
    <row r="2671" spans="1:26" s="567" customFormat="1" x14ac:dyDescent="0.2">
      <c r="A2671" s="652" t="s">
        <v>187</v>
      </c>
      <c r="B2671" s="644" t="s">
        <v>606</v>
      </c>
      <c r="C2671" s="645" t="s">
        <v>643</v>
      </c>
      <c r="D2671" s="422" t="s">
        <v>607</v>
      </c>
      <c r="E2671" s="423"/>
      <c r="F2671" s="424"/>
      <c r="G2671" s="425"/>
      <c r="H2671" s="651"/>
      <c r="I2671" s="420">
        <v>82.87</v>
      </c>
      <c r="J2671" s="420">
        <f t="shared" si="718"/>
        <v>82.87</v>
      </c>
      <c r="K2671" s="421">
        <f t="shared" si="717"/>
        <v>98.46</v>
      </c>
      <c r="L2671" s="647" t="s">
        <v>21</v>
      </c>
      <c r="M2671" s="576">
        <v>14</v>
      </c>
      <c r="N2671" s="576">
        <f t="shared" si="716"/>
        <v>98.46</v>
      </c>
      <c r="O2671" s="577">
        <f t="shared" si="711"/>
        <v>1378.44</v>
      </c>
      <c r="P2671" s="578">
        <f t="shared" si="712"/>
        <v>1378.44</v>
      </c>
      <c r="Q2671" s="765"/>
      <c r="R2671" s="576">
        <f t="shared" si="705"/>
        <v>14</v>
      </c>
      <c r="S2671" s="576">
        <f t="shared" si="705"/>
        <v>98.46</v>
      </c>
      <c r="T2671" s="577">
        <f t="shared" si="709"/>
        <v>1378.44</v>
      </c>
      <c r="U2671" s="578">
        <f t="shared" si="710"/>
        <v>1378.44</v>
      </c>
      <c r="V2671" s="579"/>
      <c r="W2671" s="566"/>
      <c r="X2671" s="586" t="str">
        <f t="shared" si="720"/>
        <v>x</v>
      </c>
      <c r="Y2671" s="586" t="str">
        <f t="shared" si="715"/>
        <v>x</v>
      </c>
      <c r="Z2671" s="586" t="str">
        <f t="shared" si="719"/>
        <v>x</v>
      </c>
    </row>
    <row r="2672" spans="1:26" s="567" customFormat="1" x14ac:dyDescent="0.2">
      <c r="A2672" s="652" t="s">
        <v>187</v>
      </c>
      <c r="B2672" s="644" t="s">
        <v>608</v>
      </c>
      <c r="C2672" s="645" t="s">
        <v>643</v>
      </c>
      <c r="D2672" s="422" t="s">
        <v>609</v>
      </c>
      <c r="E2672" s="423"/>
      <c r="F2672" s="424"/>
      <c r="G2672" s="425"/>
      <c r="H2672" s="651"/>
      <c r="I2672" s="420">
        <v>67.53</v>
      </c>
      <c r="J2672" s="420">
        <f>IF(ISBLANK(I2672),"",SUM(H2672:I2672))</f>
        <v>67.53</v>
      </c>
      <c r="K2672" s="421">
        <f t="shared" si="717"/>
        <v>80.23</v>
      </c>
      <c r="L2672" s="647" t="s">
        <v>21</v>
      </c>
      <c r="M2672" s="576">
        <v>14</v>
      </c>
      <c r="N2672" s="576">
        <f t="shared" si="716"/>
        <v>80.23</v>
      </c>
      <c r="O2672" s="577">
        <f t="shared" si="711"/>
        <v>1123.22</v>
      </c>
      <c r="P2672" s="578">
        <f t="shared" si="712"/>
        <v>1123.22</v>
      </c>
      <c r="Q2672" s="765"/>
      <c r="R2672" s="576">
        <f t="shared" si="705"/>
        <v>14</v>
      </c>
      <c r="S2672" s="576">
        <f t="shared" si="705"/>
        <v>80.23</v>
      </c>
      <c r="T2672" s="577">
        <f t="shared" si="709"/>
        <v>1123.22</v>
      </c>
      <c r="U2672" s="578">
        <f t="shared" si="710"/>
        <v>1123.22</v>
      </c>
      <c r="V2672" s="579"/>
      <c r="W2672" s="566"/>
      <c r="X2672" s="586" t="str">
        <f>IF(W2672="X","x",IF(W2672="xx","x",IF(W2672="xy","x",IF(W2672="y","x",IF(OR(P2672&gt;0,U2672&gt;0),"x","")))))</f>
        <v>x</v>
      </c>
      <c r="Y2672" s="586" t="str">
        <f>IF(W2672="X","x",IF(W2672="y","x",IF(W2672="xx","x",IF(U2672&gt;0,"x",""))))</f>
        <v>x</v>
      </c>
      <c r="Z2672" s="586" t="str">
        <f>IF(W2672="X","x",IF(U2672&gt;0,"x",""))</f>
        <v>x</v>
      </c>
    </row>
    <row r="2673" spans="1:26" s="567" customFormat="1" hidden="1" x14ac:dyDescent="0.2">
      <c r="A2673" s="652" t="s">
        <v>187</v>
      </c>
      <c r="B2673" s="644" t="s">
        <v>1518</v>
      </c>
      <c r="C2673" s="645" t="s">
        <v>643</v>
      </c>
      <c r="D2673" s="422" t="s">
        <v>1720</v>
      </c>
      <c r="E2673" s="423"/>
      <c r="F2673" s="424"/>
      <c r="G2673" s="425"/>
      <c r="H2673" s="651"/>
      <c r="I2673" s="420">
        <v>182.39</v>
      </c>
      <c r="J2673" s="420">
        <f>IF(ISBLANK(I2673),"",SUM(H2673:I2673))</f>
        <v>182.39</v>
      </c>
      <c r="K2673" s="421">
        <f t="shared" si="717"/>
        <v>216.7</v>
      </c>
      <c r="L2673" s="647" t="s">
        <v>21</v>
      </c>
      <c r="M2673" s="576"/>
      <c r="N2673" s="576">
        <f t="shared" si="716"/>
        <v>0</v>
      </c>
      <c r="O2673" s="577">
        <f t="shared" si="711"/>
        <v>0</v>
      </c>
      <c r="P2673" s="578">
        <f t="shared" si="712"/>
        <v>0</v>
      </c>
      <c r="Q2673" s="765"/>
      <c r="R2673" s="576">
        <f t="shared" si="705"/>
        <v>0</v>
      </c>
      <c r="S2673" s="576">
        <f t="shared" si="705"/>
        <v>0</v>
      </c>
      <c r="T2673" s="577">
        <f t="shared" si="709"/>
        <v>0</v>
      </c>
      <c r="U2673" s="578">
        <f t="shared" si="710"/>
        <v>0</v>
      </c>
      <c r="V2673" s="579"/>
      <c r="W2673" s="566"/>
      <c r="X2673" s="586" t="str">
        <f t="shared" si="720"/>
        <v/>
      </c>
      <c r="Y2673" s="586" t="str">
        <f t="shared" si="715"/>
        <v/>
      </c>
      <c r="Z2673" s="586" t="str">
        <f t="shared" si="719"/>
        <v/>
      </c>
    </row>
    <row r="2674" spans="1:26" s="567" customFormat="1" x14ac:dyDescent="0.2">
      <c r="A2674" s="652" t="s">
        <v>187</v>
      </c>
      <c r="B2674" s="725" t="s">
        <v>645</v>
      </c>
      <c r="C2674" s="645" t="s">
        <v>612</v>
      </c>
      <c r="D2674" s="422" t="s">
        <v>1721</v>
      </c>
      <c r="E2674" s="423"/>
      <c r="F2674" s="424"/>
      <c r="G2674" s="425"/>
      <c r="H2674" s="651"/>
      <c r="I2674" s="420">
        <v>110.45</v>
      </c>
      <c r="J2674" s="420">
        <f>IF(ISBLANK(I2674),"",SUM(H2674:I2674))</f>
        <v>110.45</v>
      </c>
      <c r="K2674" s="421">
        <f t="shared" si="717"/>
        <v>131.22999999999999</v>
      </c>
      <c r="L2674" s="647" t="s">
        <v>21</v>
      </c>
      <c r="M2674" s="576">
        <v>14</v>
      </c>
      <c r="N2674" s="576">
        <f t="shared" si="716"/>
        <v>131.22999999999999</v>
      </c>
      <c r="O2674" s="577">
        <f>IF(ISBLANK(M2674),0,ROUND(K2674*M2674,2))</f>
        <v>1837.22</v>
      </c>
      <c r="P2674" s="578">
        <f>IF(ISBLANK(N2674),0,ROUND(M2674*N2674,2))</f>
        <v>1837.22</v>
      </c>
      <c r="Q2674" s="765"/>
      <c r="R2674" s="576">
        <f>M2674</f>
        <v>14</v>
      </c>
      <c r="S2674" s="576">
        <f t="shared" ref="S2674:S2675" si="721">N2674</f>
        <v>131.22999999999999</v>
      </c>
      <c r="T2674" s="577">
        <f>IF(ISBLANK(R2674),0,ROUND(K2674*R2674,2))</f>
        <v>1837.22</v>
      </c>
      <c r="U2674" s="578">
        <f>IF(ISBLANK(R2674),0,ROUND(R2674*S2674,2))</f>
        <v>1837.22</v>
      </c>
      <c r="V2674" s="579"/>
      <c r="W2674" s="566"/>
      <c r="X2674" s="586" t="str">
        <f t="shared" si="720"/>
        <v>x</v>
      </c>
      <c r="Y2674" s="586" t="str">
        <f t="shared" si="715"/>
        <v>x</v>
      </c>
      <c r="Z2674" s="586" t="str">
        <f t="shared" si="719"/>
        <v>x</v>
      </c>
    </row>
    <row r="2675" spans="1:26" s="567" customFormat="1" ht="12" thickBot="1" x14ac:dyDescent="0.25">
      <c r="A2675" s="652" t="s">
        <v>187</v>
      </c>
      <c r="B2675" s="644" t="s">
        <v>644</v>
      </c>
      <c r="C2675" s="645" t="s">
        <v>612</v>
      </c>
      <c r="D2675" s="422" t="s">
        <v>1722</v>
      </c>
      <c r="E2675" s="423"/>
      <c r="F2675" s="424"/>
      <c r="G2675" s="425"/>
      <c r="H2675" s="663"/>
      <c r="I2675" s="420">
        <v>4850.2</v>
      </c>
      <c r="J2675" s="420">
        <f>IF(ISBLANK(I2675),"",SUM(H2675:I2675))</f>
        <v>4850.2</v>
      </c>
      <c r="K2675" s="421">
        <f t="shared" si="717"/>
        <v>5762.52</v>
      </c>
      <c r="L2675" s="647" t="s">
        <v>611</v>
      </c>
      <c r="M2675" s="576">
        <v>1</v>
      </c>
      <c r="N2675" s="576">
        <f t="shared" si="716"/>
        <v>5762.52</v>
      </c>
      <c r="O2675" s="577">
        <f>IF(ISBLANK(M2675),0,ROUND(K2675*M2675,2))</f>
        <v>5762.52</v>
      </c>
      <c r="P2675" s="578">
        <f>IF(ISBLANK(N2675),0,ROUND(M2675*N2675,2))</f>
        <v>5762.52</v>
      </c>
      <c r="Q2675" s="765"/>
      <c r="R2675" s="576">
        <f>M2675</f>
        <v>1</v>
      </c>
      <c r="S2675" s="576">
        <f t="shared" si="721"/>
        <v>5762.52</v>
      </c>
      <c r="T2675" s="577">
        <f>IF(ISBLANK(R2675),0,ROUND(K2675*R2675,2))</f>
        <v>5762.52</v>
      </c>
      <c r="U2675" s="578">
        <f>IF(ISBLANK(R2675),0,ROUND(R2675*S2675,2))</f>
        <v>5762.52</v>
      </c>
      <c r="V2675" s="579"/>
      <c r="W2675" s="566"/>
      <c r="X2675" s="586" t="str">
        <f t="shared" si="720"/>
        <v>x</v>
      </c>
      <c r="Y2675" s="586" t="str">
        <f t="shared" si="715"/>
        <v>x</v>
      </c>
      <c r="Z2675" s="586" t="str">
        <f t="shared" si="719"/>
        <v>x</v>
      </c>
    </row>
    <row r="2676" spans="1:26" ht="12" hidden="1" thickBot="1" x14ac:dyDescent="0.25">
      <c r="A2676" s="652" t="s">
        <v>187</v>
      </c>
      <c r="B2676" s="653" t="s">
        <v>187</v>
      </c>
      <c r="C2676" s="654"/>
      <c r="D2676" s="427" t="s">
        <v>610</v>
      </c>
      <c r="E2676" s="428"/>
      <c r="F2676" s="655"/>
      <c r="G2676" s="656"/>
      <c r="H2676" s="657"/>
      <c r="I2676" s="429"/>
      <c r="J2676" s="429"/>
      <c r="K2676" s="429"/>
      <c r="L2676" s="429" t="s">
        <v>614</v>
      </c>
      <c r="M2676" s="657"/>
      <c r="N2676" s="576">
        <f t="shared" si="716"/>
        <v>0</v>
      </c>
      <c r="O2676" s="429"/>
      <c r="P2676" s="658"/>
      <c r="Q2676" s="765"/>
      <c r="R2676" s="657"/>
      <c r="S2676" s="429"/>
      <c r="T2676" s="429"/>
      <c r="U2676" s="658"/>
      <c r="V2676" s="579"/>
      <c r="W2676" s="637" t="str">
        <f>IF(OR(SUM(P2677:P2707)&gt;0,SUM(U2677:U2707)&gt;0),"y","")</f>
        <v/>
      </c>
      <c r="X2676" s="586" t="str">
        <f t="shared" si="720"/>
        <v/>
      </c>
      <c r="Y2676" s="586" t="str">
        <f t="shared" si="715"/>
        <v/>
      </c>
      <c r="Z2676" s="586" t="str">
        <f t="shared" si="719"/>
        <v/>
      </c>
    </row>
    <row r="2677" spans="1:26" ht="12" hidden="1" thickBot="1" x14ac:dyDescent="0.25">
      <c r="A2677" s="652" t="s">
        <v>187</v>
      </c>
      <c r="B2677" s="572" t="s">
        <v>187</v>
      </c>
      <c r="C2677" s="573" t="s">
        <v>187</v>
      </c>
      <c r="D2677" s="574"/>
      <c r="E2677" s="575"/>
      <c r="F2677" s="436"/>
      <c r="G2677" s="431"/>
      <c r="H2677" s="430"/>
      <c r="I2677" s="432"/>
      <c r="J2677" s="433"/>
      <c r="K2677" s="437">
        <f>IF(ISBLANK(J2677),0,ROUND(J2677*(1+$F$10)*(1+$F$11*E2677),2))</f>
        <v>0</v>
      </c>
      <c r="L2677" s="435" t="s">
        <v>614</v>
      </c>
      <c r="M2677" s="587"/>
      <c r="N2677" s="576">
        <f t="shared" si="716"/>
        <v>0</v>
      </c>
      <c r="O2677" s="577">
        <f>IF(ISBLANK(M2677),0,ROUND(K2677*M2677,2))</f>
        <v>0</v>
      </c>
      <c r="P2677" s="578">
        <f t="shared" ref="P2677:P2707" si="722">IF(ISBLANK(N2677),0,ROUND(M2677*N2677,2))</f>
        <v>0</v>
      </c>
      <c r="Q2677" s="765"/>
      <c r="R2677" s="650">
        <f t="shared" ref="R2677:S2707" si="723">M2677</f>
        <v>0</v>
      </c>
      <c r="S2677" s="587">
        <f t="shared" si="723"/>
        <v>0</v>
      </c>
      <c r="T2677" s="577">
        <f t="shared" ref="T2677:T2707" si="724">IF(ISBLANK(R2677),0,ROUND(K2677*R2677,2))</f>
        <v>0</v>
      </c>
      <c r="U2677" s="578">
        <f t="shared" ref="U2677:U2707" si="725">IF(ISBLANK(R2677),0,ROUND(R2677*S2677,2))</f>
        <v>0</v>
      </c>
      <c r="V2677" s="579"/>
      <c r="W2677" s="566"/>
      <c r="X2677" s="586" t="str">
        <f t="shared" si="720"/>
        <v/>
      </c>
      <c r="Y2677" s="586" t="str">
        <f t="shared" si="715"/>
        <v/>
      </c>
      <c r="Z2677" s="586" t="str">
        <f t="shared" si="719"/>
        <v/>
      </c>
    </row>
    <row r="2678" spans="1:26" ht="12" hidden="1" thickBot="1" x14ac:dyDescent="0.25">
      <c r="A2678" s="652" t="s">
        <v>187</v>
      </c>
      <c r="B2678" s="589"/>
      <c r="C2678" s="573"/>
      <c r="D2678" s="574"/>
      <c r="E2678" s="575"/>
      <c r="F2678" s="436"/>
      <c r="G2678" s="431"/>
      <c r="H2678" s="430"/>
      <c r="I2678" s="432"/>
      <c r="J2678" s="433"/>
      <c r="K2678" s="437">
        <f>IF(ISBLANK(J2678),0,ROUND(J2678*(1+$F$10)*(1+$F$11*E2678),2))</f>
        <v>0</v>
      </c>
      <c r="L2678" s="435" t="s">
        <v>614</v>
      </c>
      <c r="M2678" s="576"/>
      <c r="N2678" s="576">
        <f t="shared" si="716"/>
        <v>0</v>
      </c>
      <c r="O2678" s="577">
        <f>IF(ISBLANK(M2678),0,ROUND(K2678*M2678,2))</f>
        <v>0</v>
      </c>
      <c r="P2678" s="578">
        <f t="shared" si="722"/>
        <v>0</v>
      </c>
      <c r="Q2678" s="765"/>
      <c r="R2678" s="576">
        <f t="shared" si="723"/>
        <v>0</v>
      </c>
      <c r="S2678" s="576">
        <f t="shared" si="723"/>
        <v>0</v>
      </c>
      <c r="T2678" s="577">
        <f t="shared" si="724"/>
        <v>0</v>
      </c>
      <c r="U2678" s="659">
        <f t="shared" si="725"/>
        <v>0</v>
      </c>
      <c r="V2678" s="579"/>
      <c r="W2678" s="566"/>
      <c r="X2678" s="586" t="str">
        <f t="shared" si="720"/>
        <v/>
      </c>
      <c r="Y2678" s="586" t="str">
        <f t="shared" si="715"/>
        <v/>
      </c>
      <c r="Z2678" s="586" t="str">
        <f t="shared" si="719"/>
        <v/>
      </c>
    </row>
    <row r="2679" spans="1:26" ht="12" hidden="1" thickBot="1" x14ac:dyDescent="0.25">
      <c r="A2679" s="652" t="s">
        <v>187</v>
      </c>
      <c r="B2679" s="589" t="s">
        <v>187</v>
      </c>
      <c r="C2679" s="573" t="s">
        <v>187</v>
      </c>
      <c r="D2679" s="580"/>
      <c r="E2679" s="575"/>
      <c r="F2679" s="436"/>
      <c r="G2679" s="431"/>
      <c r="H2679" s="430"/>
      <c r="I2679" s="432"/>
      <c r="J2679" s="433"/>
      <c r="K2679" s="437">
        <f>IF(ISBLANK(J2679),0,ROUND(J2679*(1+$F$10)*(1+$F$11*E2679),2))</f>
        <v>0</v>
      </c>
      <c r="L2679" s="435" t="s">
        <v>614</v>
      </c>
      <c r="M2679" s="576"/>
      <c r="N2679" s="576">
        <f t="shared" si="716"/>
        <v>0</v>
      </c>
      <c r="O2679" s="577">
        <f t="shared" ref="O2679:O2707" si="726">IF(ISBLANK(M2679),0,ROUND(K2679*M2679,2))</f>
        <v>0</v>
      </c>
      <c r="P2679" s="578">
        <f t="shared" si="722"/>
        <v>0</v>
      </c>
      <c r="Q2679" s="765"/>
      <c r="R2679" s="576">
        <f t="shared" si="723"/>
        <v>0</v>
      </c>
      <c r="S2679" s="576">
        <f t="shared" si="723"/>
        <v>0</v>
      </c>
      <c r="T2679" s="577">
        <f t="shared" si="724"/>
        <v>0</v>
      </c>
      <c r="U2679" s="578">
        <f t="shared" si="725"/>
        <v>0</v>
      </c>
      <c r="V2679" s="579"/>
      <c r="W2679" s="566"/>
      <c r="X2679" s="586" t="str">
        <f t="shared" si="720"/>
        <v/>
      </c>
      <c r="Y2679" s="586" t="str">
        <f t="shared" si="715"/>
        <v/>
      </c>
      <c r="Z2679" s="586" t="str">
        <f t="shared" si="719"/>
        <v/>
      </c>
    </row>
    <row r="2680" spans="1:26" ht="12" hidden="1" thickBot="1" x14ac:dyDescent="0.25">
      <c r="A2680" s="652" t="s">
        <v>187</v>
      </c>
      <c r="B2680" s="589" t="s">
        <v>187</v>
      </c>
      <c r="C2680" s="573" t="s">
        <v>187</v>
      </c>
      <c r="D2680" s="580"/>
      <c r="E2680" s="575"/>
      <c r="F2680" s="436"/>
      <c r="G2680" s="431"/>
      <c r="H2680" s="430"/>
      <c r="I2680" s="432"/>
      <c r="J2680" s="433"/>
      <c r="K2680" s="437">
        <f t="shared" ref="K2680:K2707" si="727">IF(ISBLANK(J2680),0,ROUND(J2680*(1+$F$10)*(1+$F$11*E2680),2))</f>
        <v>0</v>
      </c>
      <c r="L2680" s="435" t="s">
        <v>614</v>
      </c>
      <c r="M2680" s="576"/>
      <c r="N2680" s="576">
        <f t="shared" si="716"/>
        <v>0</v>
      </c>
      <c r="O2680" s="577">
        <f t="shared" si="726"/>
        <v>0</v>
      </c>
      <c r="P2680" s="578">
        <f t="shared" si="722"/>
        <v>0</v>
      </c>
      <c r="Q2680" s="765"/>
      <c r="R2680" s="576">
        <f t="shared" si="723"/>
        <v>0</v>
      </c>
      <c r="S2680" s="576">
        <f t="shared" si="723"/>
        <v>0</v>
      </c>
      <c r="T2680" s="577">
        <f t="shared" si="724"/>
        <v>0</v>
      </c>
      <c r="U2680" s="578">
        <f t="shared" si="725"/>
        <v>0</v>
      </c>
      <c r="V2680" s="579"/>
      <c r="W2680" s="566"/>
      <c r="X2680" s="586" t="str">
        <f t="shared" si="720"/>
        <v/>
      </c>
      <c r="Y2680" s="586" t="str">
        <f t="shared" si="715"/>
        <v/>
      </c>
      <c r="Z2680" s="586" t="str">
        <f t="shared" si="719"/>
        <v/>
      </c>
    </row>
    <row r="2681" spans="1:26" ht="12" hidden="1" thickBot="1" x14ac:dyDescent="0.25">
      <c r="A2681" s="652" t="s">
        <v>187</v>
      </c>
      <c r="B2681" s="589" t="s">
        <v>187</v>
      </c>
      <c r="C2681" s="573" t="s">
        <v>187</v>
      </c>
      <c r="D2681" s="580"/>
      <c r="E2681" s="575"/>
      <c r="F2681" s="436"/>
      <c r="G2681" s="431"/>
      <c r="H2681" s="430"/>
      <c r="I2681" s="432"/>
      <c r="J2681" s="433"/>
      <c r="K2681" s="437">
        <f t="shared" si="727"/>
        <v>0</v>
      </c>
      <c r="L2681" s="435" t="s">
        <v>614</v>
      </c>
      <c r="M2681" s="576"/>
      <c r="N2681" s="576">
        <f t="shared" si="716"/>
        <v>0</v>
      </c>
      <c r="O2681" s="577">
        <f t="shared" si="726"/>
        <v>0</v>
      </c>
      <c r="P2681" s="578">
        <f t="shared" si="722"/>
        <v>0</v>
      </c>
      <c r="Q2681" s="765"/>
      <c r="R2681" s="576">
        <f t="shared" si="723"/>
        <v>0</v>
      </c>
      <c r="S2681" s="576">
        <f t="shared" si="723"/>
        <v>0</v>
      </c>
      <c r="T2681" s="577">
        <f t="shared" si="724"/>
        <v>0</v>
      </c>
      <c r="U2681" s="578">
        <f t="shared" si="725"/>
        <v>0</v>
      </c>
      <c r="V2681" s="579"/>
      <c r="W2681" s="566"/>
      <c r="X2681" s="586" t="str">
        <f t="shared" si="720"/>
        <v/>
      </c>
      <c r="Y2681" s="586" t="str">
        <f t="shared" si="715"/>
        <v/>
      </c>
      <c r="Z2681" s="586" t="str">
        <f t="shared" si="719"/>
        <v/>
      </c>
    </row>
    <row r="2682" spans="1:26" ht="12" hidden="1" thickBot="1" x14ac:dyDescent="0.25">
      <c r="A2682" s="652" t="s">
        <v>187</v>
      </c>
      <c r="B2682" s="589" t="s">
        <v>187</v>
      </c>
      <c r="C2682" s="573" t="s">
        <v>187</v>
      </c>
      <c r="D2682" s="580"/>
      <c r="E2682" s="575"/>
      <c r="F2682" s="436"/>
      <c r="G2682" s="431"/>
      <c r="H2682" s="430"/>
      <c r="I2682" s="432"/>
      <c r="J2682" s="433"/>
      <c r="K2682" s="437">
        <f t="shared" si="727"/>
        <v>0</v>
      </c>
      <c r="L2682" s="435" t="s">
        <v>614</v>
      </c>
      <c r="M2682" s="576"/>
      <c r="N2682" s="576">
        <f t="shared" si="716"/>
        <v>0</v>
      </c>
      <c r="O2682" s="577">
        <f t="shared" si="726"/>
        <v>0</v>
      </c>
      <c r="P2682" s="578">
        <f t="shared" si="722"/>
        <v>0</v>
      </c>
      <c r="Q2682" s="765"/>
      <c r="R2682" s="576">
        <f t="shared" si="723"/>
        <v>0</v>
      </c>
      <c r="S2682" s="576">
        <f t="shared" si="723"/>
        <v>0</v>
      </c>
      <c r="T2682" s="577">
        <f t="shared" si="724"/>
        <v>0</v>
      </c>
      <c r="U2682" s="578">
        <f t="shared" si="725"/>
        <v>0</v>
      </c>
      <c r="V2682" s="579"/>
      <c r="W2682" s="566"/>
      <c r="X2682" s="586" t="str">
        <f t="shared" si="720"/>
        <v/>
      </c>
      <c r="Y2682" s="586" t="str">
        <f t="shared" si="715"/>
        <v/>
      </c>
      <c r="Z2682" s="586" t="str">
        <f t="shared" si="719"/>
        <v/>
      </c>
    </row>
    <row r="2683" spans="1:26" ht="12" hidden="1" thickBot="1" x14ac:dyDescent="0.25">
      <c r="A2683" s="652" t="s">
        <v>187</v>
      </c>
      <c r="B2683" s="589" t="s">
        <v>187</v>
      </c>
      <c r="C2683" s="573" t="s">
        <v>187</v>
      </c>
      <c r="D2683" s="580"/>
      <c r="E2683" s="575"/>
      <c r="F2683" s="436"/>
      <c r="G2683" s="431"/>
      <c r="H2683" s="430"/>
      <c r="I2683" s="432"/>
      <c r="J2683" s="433"/>
      <c r="K2683" s="437">
        <f t="shared" si="727"/>
        <v>0</v>
      </c>
      <c r="L2683" s="435" t="s">
        <v>614</v>
      </c>
      <c r="M2683" s="576"/>
      <c r="N2683" s="576">
        <f t="shared" si="716"/>
        <v>0</v>
      </c>
      <c r="O2683" s="577">
        <f t="shared" si="726"/>
        <v>0</v>
      </c>
      <c r="P2683" s="578">
        <f t="shared" si="722"/>
        <v>0</v>
      </c>
      <c r="Q2683" s="765"/>
      <c r="R2683" s="576">
        <f t="shared" si="723"/>
        <v>0</v>
      </c>
      <c r="S2683" s="576">
        <f t="shared" si="723"/>
        <v>0</v>
      </c>
      <c r="T2683" s="577">
        <f t="shared" si="724"/>
        <v>0</v>
      </c>
      <c r="U2683" s="578">
        <f t="shared" si="725"/>
        <v>0</v>
      </c>
      <c r="V2683" s="579"/>
      <c r="W2683" s="566"/>
      <c r="X2683" s="586" t="str">
        <f t="shared" si="720"/>
        <v/>
      </c>
      <c r="Y2683" s="586" t="str">
        <f t="shared" si="715"/>
        <v/>
      </c>
      <c r="Z2683" s="586" t="str">
        <f t="shared" si="719"/>
        <v/>
      </c>
    </row>
    <row r="2684" spans="1:26" ht="12" hidden="1" thickBot="1" x14ac:dyDescent="0.25">
      <c r="A2684" s="652" t="s">
        <v>187</v>
      </c>
      <c r="B2684" s="589" t="s">
        <v>187</v>
      </c>
      <c r="C2684" s="573" t="s">
        <v>187</v>
      </c>
      <c r="D2684" s="580"/>
      <c r="E2684" s="575"/>
      <c r="F2684" s="436"/>
      <c r="G2684" s="431"/>
      <c r="H2684" s="430"/>
      <c r="I2684" s="432"/>
      <c r="J2684" s="433"/>
      <c r="K2684" s="437">
        <f t="shared" si="727"/>
        <v>0</v>
      </c>
      <c r="L2684" s="435" t="s">
        <v>614</v>
      </c>
      <c r="M2684" s="576"/>
      <c r="N2684" s="576">
        <f t="shared" si="716"/>
        <v>0</v>
      </c>
      <c r="O2684" s="577">
        <f t="shared" si="726"/>
        <v>0</v>
      </c>
      <c r="P2684" s="578">
        <f t="shared" si="722"/>
        <v>0</v>
      </c>
      <c r="Q2684" s="765"/>
      <c r="R2684" s="576">
        <f t="shared" si="723"/>
        <v>0</v>
      </c>
      <c r="S2684" s="576">
        <f t="shared" si="723"/>
        <v>0</v>
      </c>
      <c r="T2684" s="577">
        <f t="shared" si="724"/>
        <v>0</v>
      </c>
      <c r="U2684" s="578">
        <f t="shared" si="725"/>
        <v>0</v>
      </c>
      <c r="V2684" s="579"/>
      <c r="W2684" s="566"/>
      <c r="X2684" s="586" t="str">
        <f t="shared" si="720"/>
        <v/>
      </c>
      <c r="Y2684" s="586" t="str">
        <f t="shared" si="715"/>
        <v/>
      </c>
      <c r="Z2684" s="586" t="str">
        <f t="shared" si="719"/>
        <v/>
      </c>
    </row>
    <row r="2685" spans="1:26" ht="12" hidden="1" thickBot="1" x14ac:dyDescent="0.25">
      <c r="A2685" s="652" t="s">
        <v>187</v>
      </c>
      <c r="B2685" s="589" t="s">
        <v>187</v>
      </c>
      <c r="C2685" s="573" t="s">
        <v>187</v>
      </c>
      <c r="D2685" s="580"/>
      <c r="E2685" s="575"/>
      <c r="F2685" s="436"/>
      <c r="G2685" s="431"/>
      <c r="H2685" s="430"/>
      <c r="I2685" s="432"/>
      <c r="J2685" s="433"/>
      <c r="K2685" s="437">
        <f t="shared" si="727"/>
        <v>0</v>
      </c>
      <c r="L2685" s="435" t="s">
        <v>614</v>
      </c>
      <c r="M2685" s="576"/>
      <c r="N2685" s="576">
        <f t="shared" si="716"/>
        <v>0</v>
      </c>
      <c r="O2685" s="577">
        <f t="shared" si="726"/>
        <v>0</v>
      </c>
      <c r="P2685" s="578">
        <f t="shared" si="722"/>
        <v>0</v>
      </c>
      <c r="Q2685" s="765"/>
      <c r="R2685" s="576">
        <f t="shared" si="723"/>
        <v>0</v>
      </c>
      <c r="S2685" s="576">
        <f t="shared" si="723"/>
        <v>0</v>
      </c>
      <c r="T2685" s="577">
        <f t="shared" si="724"/>
        <v>0</v>
      </c>
      <c r="U2685" s="578">
        <f t="shared" si="725"/>
        <v>0</v>
      </c>
      <c r="V2685" s="579"/>
      <c r="W2685" s="566"/>
      <c r="X2685" s="586" t="str">
        <f t="shared" si="720"/>
        <v/>
      </c>
      <c r="Y2685" s="586" t="str">
        <f t="shared" si="715"/>
        <v/>
      </c>
      <c r="Z2685" s="586" t="str">
        <f t="shared" si="719"/>
        <v/>
      </c>
    </row>
    <row r="2686" spans="1:26" ht="12" hidden="1" thickBot="1" x14ac:dyDescent="0.25">
      <c r="A2686" s="652" t="s">
        <v>187</v>
      </c>
      <c r="B2686" s="589" t="s">
        <v>187</v>
      </c>
      <c r="C2686" s="573" t="s">
        <v>187</v>
      </c>
      <c r="D2686" s="580"/>
      <c r="E2686" s="575"/>
      <c r="F2686" s="436"/>
      <c r="G2686" s="431"/>
      <c r="H2686" s="430"/>
      <c r="I2686" s="432"/>
      <c r="J2686" s="433"/>
      <c r="K2686" s="437">
        <f t="shared" si="727"/>
        <v>0</v>
      </c>
      <c r="L2686" s="435" t="s">
        <v>614</v>
      </c>
      <c r="M2686" s="576"/>
      <c r="N2686" s="576">
        <f t="shared" si="716"/>
        <v>0</v>
      </c>
      <c r="O2686" s="577">
        <f t="shared" si="726"/>
        <v>0</v>
      </c>
      <c r="P2686" s="578">
        <f t="shared" si="722"/>
        <v>0</v>
      </c>
      <c r="Q2686" s="765"/>
      <c r="R2686" s="576">
        <f t="shared" si="723"/>
        <v>0</v>
      </c>
      <c r="S2686" s="576">
        <f t="shared" si="723"/>
        <v>0</v>
      </c>
      <c r="T2686" s="577">
        <f t="shared" si="724"/>
        <v>0</v>
      </c>
      <c r="U2686" s="578">
        <f t="shared" si="725"/>
        <v>0</v>
      </c>
      <c r="V2686" s="579"/>
      <c r="W2686" s="566"/>
      <c r="X2686" s="586" t="str">
        <f t="shared" si="720"/>
        <v/>
      </c>
      <c r="Y2686" s="586" t="str">
        <f t="shared" si="715"/>
        <v/>
      </c>
      <c r="Z2686" s="586" t="str">
        <f t="shared" si="719"/>
        <v/>
      </c>
    </row>
    <row r="2687" spans="1:26" ht="12" hidden="1" thickBot="1" x14ac:dyDescent="0.25">
      <c r="A2687" s="652" t="s">
        <v>187</v>
      </c>
      <c r="B2687" s="589" t="s">
        <v>187</v>
      </c>
      <c r="C2687" s="573" t="s">
        <v>187</v>
      </c>
      <c r="D2687" s="580"/>
      <c r="E2687" s="575"/>
      <c r="F2687" s="436"/>
      <c r="G2687" s="431"/>
      <c r="H2687" s="430"/>
      <c r="I2687" s="432"/>
      <c r="J2687" s="433"/>
      <c r="K2687" s="437">
        <f t="shared" si="727"/>
        <v>0</v>
      </c>
      <c r="L2687" s="435" t="s">
        <v>614</v>
      </c>
      <c r="M2687" s="576"/>
      <c r="N2687" s="576">
        <f t="shared" si="716"/>
        <v>0</v>
      </c>
      <c r="O2687" s="577">
        <f t="shared" si="726"/>
        <v>0</v>
      </c>
      <c r="P2687" s="578">
        <f t="shared" si="722"/>
        <v>0</v>
      </c>
      <c r="Q2687" s="765"/>
      <c r="R2687" s="576">
        <f t="shared" si="723"/>
        <v>0</v>
      </c>
      <c r="S2687" s="576">
        <f t="shared" si="723"/>
        <v>0</v>
      </c>
      <c r="T2687" s="577">
        <f t="shared" si="724"/>
        <v>0</v>
      </c>
      <c r="U2687" s="578">
        <f t="shared" si="725"/>
        <v>0</v>
      </c>
      <c r="V2687" s="579"/>
      <c r="W2687" s="566"/>
      <c r="X2687" s="586" t="str">
        <f t="shared" si="720"/>
        <v/>
      </c>
      <c r="Y2687" s="586" t="str">
        <f t="shared" si="715"/>
        <v/>
      </c>
      <c r="Z2687" s="586" t="str">
        <f t="shared" si="719"/>
        <v/>
      </c>
    </row>
    <row r="2688" spans="1:26" ht="12" hidden="1" thickBot="1" x14ac:dyDescent="0.25">
      <c r="A2688" s="726" t="s">
        <v>174</v>
      </c>
      <c r="B2688" s="589" t="s">
        <v>187</v>
      </c>
      <c r="C2688" s="573" t="s">
        <v>187</v>
      </c>
      <c r="D2688" s="580"/>
      <c r="E2688" s="575"/>
      <c r="F2688" s="436"/>
      <c r="G2688" s="431"/>
      <c r="H2688" s="430"/>
      <c r="I2688" s="432"/>
      <c r="J2688" s="433"/>
      <c r="K2688" s="437">
        <f t="shared" si="727"/>
        <v>0</v>
      </c>
      <c r="L2688" s="435" t="s">
        <v>614</v>
      </c>
      <c r="M2688" s="576"/>
      <c r="N2688" s="576">
        <f t="shared" si="716"/>
        <v>0</v>
      </c>
      <c r="O2688" s="577">
        <f t="shared" si="726"/>
        <v>0</v>
      </c>
      <c r="P2688" s="578">
        <f t="shared" si="722"/>
        <v>0</v>
      </c>
      <c r="Q2688" s="765"/>
      <c r="R2688" s="576">
        <f t="shared" si="723"/>
        <v>0</v>
      </c>
      <c r="S2688" s="576">
        <f t="shared" si="723"/>
        <v>0</v>
      </c>
      <c r="T2688" s="577">
        <f t="shared" si="724"/>
        <v>0</v>
      </c>
      <c r="U2688" s="578">
        <f t="shared" si="725"/>
        <v>0</v>
      </c>
      <c r="V2688" s="579"/>
      <c r="W2688" s="566"/>
      <c r="X2688" s="586" t="str">
        <f t="shared" si="720"/>
        <v/>
      </c>
      <c r="Y2688" s="586" t="str">
        <f t="shared" si="715"/>
        <v/>
      </c>
      <c r="Z2688" s="586" t="str">
        <f t="shared" si="719"/>
        <v/>
      </c>
    </row>
    <row r="2689" spans="1:26" ht="12" hidden="1" thickBot="1" x14ac:dyDescent="0.25">
      <c r="A2689" s="726" t="s">
        <v>174</v>
      </c>
      <c r="B2689" s="589" t="s">
        <v>187</v>
      </c>
      <c r="C2689" s="573" t="s">
        <v>187</v>
      </c>
      <c r="D2689" s="580"/>
      <c r="E2689" s="575"/>
      <c r="F2689" s="436"/>
      <c r="G2689" s="431"/>
      <c r="H2689" s="430"/>
      <c r="I2689" s="432"/>
      <c r="J2689" s="433"/>
      <c r="K2689" s="437">
        <f t="shared" si="727"/>
        <v>0</v>
      </c>
      <c r="L2689" s="435" t="s">
        <v>614</v>
      </c>
      <c r="M2689" s="576"/>
      <c r="N2689" s="576">
        <f t="shared" si="716"/>
        <v>0</v>
      </c>
      <c r="O2689" s="577">
        <f t="shared" si="726"/>
        <v>0</v>
      </c>
      <c r="P2689" s="578">
        <f t="shared" si="722"/>
        <v>0</v>
      </c>
      <c r="Q2689" s="765"/>
      <c r="R2689" s="576">
        <f t="shared" si="723"/>
        <v>0</v>
      </c>
      <c r="S2689" s="576">
        <f t="shared" si="723"/>
        <v>0</v>
      </c>
      <c r="T2689" s="577">
        <f t="shared" si="724"/>
        <v>0</v>
      </c>
      <c r="U2689" s="578">
        <f t="shared" si="725"/>
        <v>0</v>
      </c>
      <c r="V2689" s="579"/>
      <c r="W2689" s="566"/>
      <c r="X2689" s="586" t="str">
        <f t="shared" si="720"/>
        <v/>
      </c>
      <c r="Y2689" s="586" t="str">
        <f t="shared" si="715"/>
        <v/>
      </c>
      <c r="Z2689" s="586" t="str">
        <f t="shared" si="719"/>
        <v/>
      </c>
    </row>
    <row r="2690" spans="1:26" ht="12" hidden="1" thickBot="1" x14ac:dyDescent="0.25">
      <c r="A2690" s="726" t="s">
        <v>174</v>
      </c>
      <c r="B2690" s="589" t="s">
        <v>187</v>
      </c>
      <c r="C2690" s="573" t="s">
        <v>187</v>
      </c>
      <c r="D2690" s="580"/>
      <c r="E2690" s="575"/>
      <c r="F2690" s="436"/>
      <c r="G2690" s="431"/>
      <c r="H2690" s="430"/>
      <c r="I2690" s="432"/>
      <c r="J2690" s="433"/>
      <c r="K2690" s="437">
        <f t="shared" si="727"/>
        <v>0</v>
      </c>
      <c r="L2690" s="435" t="s">
        <v>614</v>
      </c>
      <c r="M2690" s="576"/>
      <c r="N2690" s="576">
        <f t="shared" si="716"/>
        <v>0</v>
      </c>
      <c r="O2690" s="577">
        <f t="shared" si="726"/>
        <v>0</v>
      </c>
      <c r="P2690" s="578">
        <f t="shared" si="722"/>
        <v>0</v>
      </c>
      <c r="Q2690" s="765"/>
      <c r="R2690" s="576">
        <f t="shared" si="723"/>
        <v>0</v>
      </c>
      <c r="S2690" s="576">
        <f t="shared" si="723"/>
        <v>0</v>
      </c>
      <c r="T2690" s="577">
        <f t="shared" si="724"/>
        <v>0</v>
      </c>
      <c r="U2690" s="578">
        <f t="shared" si="725"/>
        <v>0</v>
      </c>
      <c r="V2690" s="579"/>
      <c r="W2690" s="566"/>
      <c r="X2690" s="586" t="str">
        <f t="shared" si="720"/>
        <v/>
      </c>
      <c r="Y2690" s="586" t="str">
        <f t="shared" si="715"/>
        <v/>
      </c>
      <c r="Z2690" s="586" t="str">
        <f t="shared" si="719"/>
        <v/>
      </c>
    </row>
    <row r="2691" spans="1:26" ht="12" hidden="1" thickBot="1" x14ac:dyDescent="0.25">
      <c r="A2691" s="726" t="s">
        <v>174</v>
      </c>
      <c r="B2691" s="589" t="s">
        <v>187</v>
      </c>
      <c r="C2691" s="573" t="s">
        <v>187</v>
      </c>
      <c r="D2691" s="580"/>
      <c r="E2691" s="575"/>
      <c r="F2691" s="436"/>
      <c r="G2691" s="431"/>
      <c r="H2691" s="430"/>
      <c r="I2691" s="432"/>
      <c r="J2691" s="433"/>
      <c r="K2691" s="437">
        <f t="shared" si="727"/>
        <v>0</v>
      </c>
      <c r="L2691" s="435" t="s">
        <v>614</v>
      </c>
      <c r="M2691" s="576"/>
      <c r="N2691" s="576">
        <f t="shared" si="716"/>
        <v>0</v>
      </c>
      <c r="O2691" s="577">
        <f t="shared" si="726"/>
        <v>0</v>
      </c>
      <c r="P2691" s="578">
        <f t="shared" si="722"/>
        <v>0</v>
      </c>
      <c r="Q2691" s="765"/>
      <c r="R2691" s="576">
        <f t="shared" si="723"/>
        <v>0</v>
      </c>
      <c r="S2691" s="576">
        <f t="shared" si="723"/>
        <v>0</v>
      </c>
      <c r="T2691" s="577">
        <f t="shared" si="724"/>
        <v>0</v>
      </c>
      <c r="U2691" s="578">
        <f t="shared" si="725"/>
        <v>0</v>
      </c>
      <c r="V2691" s="579"/>
      <c r="W2691" s="566"/>
      <c r="X2691" s="586" t="str">
        <f t="shared" si="720"/>
        <v/>
      </c>
      <c r="Y2691" s="586" t="str">
        <f t="shared" si="715"/>
        <v/>
      </c>
      <c r="Z2691" s="586" t="str">
        <f t="shared" si="719"/>
        <v/>
      </c>
    </row>
    <row r="2692" spans="1:26" ht="12" hidden="1" thickBot="1" x14ac:dyDescent="0.25">
      <c r="A2692" s="726" t="s">
        <v>174</v>
      </c>
      <c r="B2692" s="589" t="s">
        <v>187</v>
      </c>
      <c r="C2692" s="573" t="s">
        <v>187</v>
      </c>
      <c r="D2692" s="580"/>
      <c r="E2692" s="575"/>
      <c r="F2692" s="436"/>
      <c r="G2692" s="431"/>
      <c r="H2692" s="430"/>
      <c r="I2692" s="432"/>
      <c r="J2692" s="433"/>
      <c r="K2692" s="437">
        <f t="shared" si="727"/>
        <v>0</v>
      </c>
      <c r="L2692" s="435" t="s">
        <v>614</v>
      </c>
      <c r="M2692" s="576"/>
      <c r="N2692" s="576">
        <f t="shared" si="716"/>
        <v>0</v>
      </c>
      <c r="O2692" s="577">
        <f t="shared" si="726"/>
        <v>0</v>
      </c>
      <c r="P2692" s="578">
        <f t="shared" si="722"/>
        <v>0</v>
      </c>
      <c r="Q2692" s="765"/>
      <c r="R2692" s="576">
        <f t="shared" si="723"/>
        <v>0</v>
      </c>
      <c r="S2692" s="576">
        <f t="shared" si="723"/>
        <v>0</v>
      </c>
      <c r="T2692" s="577">
        <f t="shared" si="724"/>
        <v>0</v>
      </c>
      <c r="U2692" s="578">
        <f t="shared" si="725"/>
        <v>0</v>
      </c>
      <c r="V2692" s="579"/>
      <c r="W2692" s="566"/>
      <c r="X2692" s="586" t="str">
        <f t="shared" si="720"/>
        <v/>
      </c>
      <c r="Y2692" s="586" t="str">
        <f t="shared" si="715"/>
        <v/>
      </c>
      <c r="Z2692" s="586" t="str">
        <f t="shared" si="719"/>
        <v/>
      </c>
    </row>
    <row r="2693" spans="1:26" ht="12" hidden="1" thickBot="1" x14ac:dyDescent="0.25">
      <c r="A2693" s="726" t="s">
        <v>174</v>
      </c>
      <c r="B2693" s="589" t="s">
        <v>187</v>
      </c>
      <c r="C2693" s="573" t="s">
        <v>187</v>
      </c>
      <c r="D2693" s="580"/>
      <c r="E2693" s="575"/>
      <c r="F2693" s="436"/>
      <c r="G2693" s="431"/>
      <c r="H2693" s="430"/>
      <c r="I2693" s="432"/>
      <c r="J2693" s="433"/>
      <c r="K2693" s="437">
        <f t="shared" si="727"/>
        <v>0</v>
      </c>
      <c r="L2693" s="435" t="s">
        <v>614</v>
      </c>
      <c r="M2693" s="576"/>
      <c r="N2693" s="576">
        <f t="shared" si="716"/>
        <v>0</v>
      </c>
      <c r="O2693" s="577">
        <f t="shared" si="726"/>
        <v>0</v>
      </c>
      <c r="P2693" s="578">
        <f t="shared" si="722"/>
        <v>0</v>
      </c>
      <c r="Q2693" s="765"/>
      <c r="R2693" s="576">
        <f t="shared" si="723"/>
        <v>0</v>
      </c>
      <c r="S2693" s="576">
        <f t="shared" si="723"/>
        <v>0</v>
      </c>
      <c r="T2693" s="577">
        <f t="shared" si="724"/>
        <v>0</v>
      </c>
      <c r="U2693" s="578">
        <f t="shared" si="725"/>
        <v>0</v>
      </c>
      <c r="V2693" s="579"/>
      <c r="W2693" s="566"/>
      <c r="X2693" s="586" t="str">
        <f t="shared" si="720"/>
        <v/>
      </c>
      <c r="Y2693" s="586" t="str">
        <f t="shared" si="715"/>
        <v/>
      </c>
      <c r="Z2693" s="586" t="str">
        <f t="shared" si="719"/>
        <v/>
      </c>
    </row>
    <row r="2694" spans="1:26" ht="12" hidden="1" thickBot="1" x14ac:dyDescent="0.25">
      <c r="A2694" s="726" t="s">
        <v>174</v>
      </c>
      <c r="B2694" s="589" t="s">
        <v>187</v>
      </c>
      <c r="C2694" s="573" t="s">
        <v>187</v>
      </c>
      <c r="D2694" s="580"/>
      <c r="E2694" s="575"/>
      <c r="F2694" s="436"/>
      <c r="G2694" s="431"/>
      <c r="H2694" s="430"/>
      <c r="I2694" s="432"/>
      <c r="J2694" s="433"/>
      <c r="K2694" s="437">
        <f t="shared" si="727"/>
        <v>0</v>
      </c>
      <c r="L2694" s="435" t="s">
        <v>614</v>
      </c>
      <c r="M2694" s="576"/>
      <c r="N2694" s="576">
        <f t="shared" si="716"/>
        <v>0</v>
      </c>
      <c r="O2694" s="577">
        <f t="shared" si="726"/>
        <v>0</v>
      </c>
      <c r="P2694" s="578">
        <f t="shared" si="722"/>
        <v>0</v>
      </c>
      <c r="Q2694" s="765"/>
      <c r="R2694" s="576">
        <f t="shared" si="723"/>
        <v>0</v>
      </c>
      <c r="S2694" s="576">
        <f t="shared" si="723"/>
        <v>0</v>
      </c>
      <c r="T2694" s="577">
        <f t="shared" si="724"/>
        <v>0</v>
      </c>
      <c r="U2694" s="578">
        <f t="shared" si="725"/>
        <v>0</v>
      </c>
      <c r="V2694" s="579"/>
      <c r="W2694" s="566"/>
      <c r="X2694" s="586" t="str">
        <f t="shared" si="720"/>
        <v/>
      </c>
      <c r="Y2694" s="586" t="str">
        <f t="shared" si="715"/>
        <v/>
      </c>
      <c r="Z2694" s="586" t="str">
        <f t="shared" si="719"/>
        <v/>
      </c>
    </row>
    <row r="2695" spans="1:26" ht="12" hidden="1" thickBot="1" x14ac:dyDescent="0.25">
      <c r="A2695" s="726" t="s">
        <v>174</v>
      </c>
      <c r="B2695" s="589" t="s">
        <v>187</v>
      </c>
      <c r="C2695" s="573" t="s">
        <v>187</v>
      </c>
      <c r="D2695" s="580"/>
      <c r="E2695" s="575"/>
      <c r="F2695" s="436"/>
      <c r="G2695" s="431"/>
      <c r="H2695" s="430"/>
      <c r="I2695" s="432"/>
      <c r="J2695" s="433"/>
      <c r="K2695" s="437">
        <f t="shared" si="727"/>
        <v>0</v>
      </c>
      <c r="L2695" s="435" t="s">
        <v>614</v>
      </c>
      <c r="M2695" s="576"/>
      <c r="N2695" s="576">
        <f t="shared" si="716"/>
        <v>0</v>
      </c>
      <c r="O2695" s="577">
        <f t="shared" si="726"/>
        <v>0</v>
      </c>
      <c r="P2695" s="578">
        <f t="shared" si="722"/>
        <v>0</v>
      </c>
      <c r="Q2695" s="765"/>
      <c r="R2695" s="576">
        <f t="shared" si="723"/>
        <v>0</v>
      </c>
      <c r="S2695" s="576">
        <f t="shared" si="723"/>
        <v>0</v>
      </c>
      <c r="T2695" s="577">
        <f t="shared" si="724"/>
        <v>0</v>
      </c>
      <c r="U2695" s="578">
        <f t="shared" si="725"/>
        <v>0</v>
      </c>
      <c r="V2695" s="579"/>
      <c r="W2695" s="566"/>
      <c r="X2695" s="586" t="str">
        <f t="shared" si="720"/>
        <v/>
      </c>
      <c r="Y2695" s="586" t="str">
        <f t="shared" si="715"/>
        <v/>
      </c>
      <c r="Z2695" s="586" t="str">
        <f t="shared" si="719"/>
        <v/>
      </c>
    </row>
    <row r="2696" spans="1:26" ht="12" hidden="1" thickBot="1" x14ac:dyDescent="0.25">
      <c r="A2696" s="726" t="s">
        <v>174</v>
      </c>
      <c r="B2696" s="589" t="s">
        <v>187</v>
      </c>
      <c r="C2696" s="573" t="s">
        <v>187</v>
      </c>
      <c r="D2696" s="580"/>
      <c r="E2696" s="575"/>
      <c r="F2696" s="436"/>
      <c r="G2696" s="431"/>
      <c r="H2696" s="430"/>
      <c r="I2696" s="432"/>
      <c r="J2696" s="433"/>
      <c r="K2696" s="437">
        <f t="shared" si="727"/>
        <v>0</v>
      </c>
      <c r="L2696" s="435" t="s">
        <v>614</v>
      </c>
      <c r="M2696" s="576"/>
      <c r="N2696" s="576">
        <f t="shared" si="716"/>
        <v>0</v>
      </c>
      <c r="O2696" s="577">
        <f t="shared" si="726"/>
        <v>0</v>
      </c>
      <c r="P2696" s="578">
        <f t="shared" si="722"/>
        <v>0</v>
      </c>
      <c r="Q2696" s="765"/>
      <c r="R2696" s="576">
        <f t="shared" si="723"/>
        <v>0</v>
      </c>
      <c r="S2696" s="576">
        <f t="shared" si="723"/>
        <v>0</v>
      </c>
      <c r="T2696" s="577">
        <f t="shared" si="724"/>
        <v>0</v>
      </c>
      <c r="U2696" s="578">
        <f t="shared" si="725"/>
        <v>0</v>
      </c>
      <c r="V2696" s="579"/>
      <c r="W2696" s="566"/>
      <c r="X2696" s="586" t="str">
        <f t="shared" si="720"/>
        <v/>
      </c>
      <c r="Y2696" s="586" t="str">
        <f t="shared" si="715"/>
        <v/>
      </c>
      <c r="Z2696" s="586" t="str">
        <f t="shared" si="719"/>
        <v/>
      </c>
    </row>
    <row r="2697" spans="1:26" ht="12" hidden="1" thickBot="1" x14ac:dyDescent="0.25">
      <c r="A2697" s="726" t="s">
        <v>174</v>
      </c>
      <c r="B2697" s="589" t="s">
        <v>187</v>
      </c>
      <c r="C2697" s="573" t="s">
        <v>187</v>
      </c>
      <c r="D2697" s="580"/>
      <c r="E2697" s="575"/>
      <c r="F2697" s="436"/>
      <c r="G2697" s="431"/>
      <c r="H2697" s="430"/>
      <c r="I2697" s="432"/>
      <c r="J2697" s="433"/>
      <c r="K2697" s="437">
        <f t="shared" si="727"/>
        <v>0</v>
      </c>
      <c r="L2697" s="435" t="s">
        <v>614</v>
      </c>
      <c r="M2697" s="576"/>
      <c r="N2697" s="576">
        <f t="shared" si="716"/>
        <v>0</v>
      </c>
      <c r="O2697" s="577">
        <f t="shared" si="726"/>
        <v>0</v>
      </c>
      <c r="P2697" s="578">
        <f t="shared" si="722"/>
        <v>0</v>
      </c>
      <c r="Q2697" s="765"/>
      <c r="R2697" s="576">
        <f t="shared" si="723"/>
        <v>0</v>
      </c>
      <c r="S2697" s="576">
        <f t="shared" si="723"/>
        <v>0</v>
      </c>
      <c r="T2697" s="577">
        <f t="shared" si="724"/>
        <v>0</v>
      </c>
      <c r="U2697" s="578">
        <f t="shared" si="725"/>
        <v>0</v>
      </c>
      <c r="V2697" s="579"/>
      <c r="W2697" s="566"/>
      <c r="X2697" s="586" t="str">
        <f t="shared" si="720"/>
        <v/>
      </c>
      <c r="Y2697" s="586" t="str">
        <f t="shared" ref="Y2697:Y2707" si="728">IF(W2697="X","x",IF(W2697="y","x",IF(W2697="xx","x",IF(U2697&gt;0,"x",""))))</f>
        <v/>
      </c>
      <c r="Z2697" s="586" t="str">
        <f t="shared" si="719"/>
        <v/>
      </c>
    </row>
    <row r="2698" spans="1:26" ht="12" hidden="1" thickBot="1" x14ac:dyDescent="0.25">
      <c r="A2698" s="726" t="s">
        <v>174</v>
      </c>
      <c r="B2698" s="589" t="s">
        <v>187</v>
      </c>
      <c r="C2698" s="573" t="s">
        <v>187</v>
      </c>
      <c r="D2698" s="580"/>
      <c r="E2698" s="575"/>
      <c r="F2698" s="436"/>
      <c r="G2698" s="431"/>
      <c r="H2698" s="430"/>
      <c r="I2698" s="432"/>
      <c r="J2698" s="433"/>
      <c r="K2698" s="437">
        <f t="shared" si="727"/>
        <v>0</v>
      </c>
      <c r="L2698" s="435" t="s">
        <v>614</v>
      </c>
      <c r="M2698" s="576"/>
      <c r="N2698" s="576">
        <f t="shared" si="716"/>
        <v>0</v>
      </c>
      <c r="O2698" s="577">
        <f t="shared" si="726"/>
        <v>0</v>
      </c>
      <c r="P2698" s="578">
        <f t="shared" si="722"/>
        <v>0</v>
      </c>
      <c r="Q2698" s="765"/>
      <c r="R2698" s="576">
        <f t="shared" si="723"/>
        <v>0</v>
      </c>
      <c r="S2698" s="576">
        <f t="shared" si="723"/>
        <v>0</v>
      </c>
      <c r="T2698" s="577">
        <f t="shared" si="724"/>
        <v>0</v>
      </c>
      <c r="U2698" s="578">
        <f t="shared" si="725"/>
        <v>0</v>
      </c>
      <c r="V2698" s="579"/>
      <c r="W2698" s="566"/>
      <c r="X2698" s="586" t="str">
        <f t="shared" si="720"/>
        <v/>
      </c>
      <c r="Y2698" s="586" t="str">
        <f t="shared" si="728"/>
        <v/>
      </c>
      <c r="Z2698" s="586" t="str">
        <f t="shared" si="719"/>
        <v/>
      </c>
    </row>
    <row r="2699" spans="1:26" ht="12" hidden="1" thickBot="1" x14ac:dyDescent="0.25">
      <c r="A2699" s="652" t="s">
        <v>187</v>
      </c>
      <c r="B2699" s="589" t="s">
        <v>187</v>
      </c>
      <c r="C2699" s="573" t="s">
        <v>187</v>
      </c>
      <c r="D2699" s="580"/>
      <c r="E2699" s="575"/>
      <c r="F2699" s="436"/>
      <c r="G2699" s="431"/>
      <c r="H2699" s="430"/>
      <c r="I2699" s="432"/>
      <c r="J2699" s="433"/>
      <c r="K2699" s="437">
        <f t="shared" si="727"/>
        <v>0</v>
      </c>
      <c r="L2699" s="435" t="s">
        <v>614</v>
      </c>
      <c r="M2699" s="576"/>
      <c r="N2699" s="576">
        <f t="shared" si="716"/>
        <v>0</v>
      </c>
      <c r="O2699" s="577">
        <f t="shared" si="726"/>
        <v>0</v>
      </c>
      <c r="P2699" s="578">
        <f t="shared" si="722"/>
        <v>0</v>
      </c>
      <c r="Q2699" s="765"/>
      <c r="R2699" s="576">
        <f t="shared" si="723"/>
        <v>0</v>
      </c>
      <c r="S2699" s="576">
        <f t="shared" si="723"/>
        <v>0</v>
      </c>
      <c r="T2699" s="577">
        <f t="shared" si="724"/>
        <v>0</v>
      </c>
      <c r="U2699" s="578">
        <f t="shared" si="725"/>
        <v>0</v>
      </c>
      <c r="V2699" s="579"/>
      <c r="W2699" s="566"/>
      <c r="X2699" s="586" t="str">
        <f t="shared" si="720"/>
        <v/>
      </c>
      <c r="Y2699" s="586" t="str">
        <f t="shared" si="728"/>
        <v/>
      </c>
      <c r="Z2699" s="586" t="str">
        <f t="shared" si="719"/>
        <v/>
      </c>
    </row>
    <row r="2700" spans="1:26" ht="12" hidden="1" thickBot="1" x14ac:dyDescent="0.25">
      <c r="A2700" s="652" t="s">
        <v>187</v>
      </c>
      <c r="B2700" s="589" t="s">
        <v>187</v>
      </c>
      <c r="C2700" s="573" t="s">
        <v>187</v>
      </c>
      <c r="D2700" s="580"/>
      <c r="E2700" s="575"/>
      <c r="F2700" s="436"/>
      <c r="G2700" s="431"/>
      <c r="H2700" s="430"/>
      <c r="I2700" s="432"/>
      <c r="J2700" s="433"/>
      <c r="K2700" s="437">
        <f t="shared" si="727"/>
        <v>0</v>
      </c>
      <c r="L2700" s="435" t="s">
        <v>614</v>
      </c>
      <c r="M2700" s="576"/>
      <c r="N2700" s="576">
        <f t="shared" si="716"/>
        <v>0</v>
      </c>
      <c r="O2700" s="577">
        <f t="shared" si="726"/>
        <v>0</v>
      </c>
      <c r="P2700" s="578">
        <f t="shared" si="722"/>
        <v>0</v>
      </c>
      <c r="Q2700" s="765"/>
      <c r="R2700" s="576">
        <f>M2700</f>
        <v>0</v>
      </c>
      <c r="S2700" s="576">
        <f>N2700</f>
        <v>0</v>
      </c>
      <c r="T2700" s="577">
        <f t="shared" si="724"/>
        <v>0</v>
      </c>
      <c r="U2700" s="578">
        <f t="shared" si="725"/>
        <v>0</v>
      </c>
      <c r="V2700" s="579"/>
      <c r="W2700" s="566"/>
      <c r="X2700" s="586" t="str">
        <f t="shared" si="720"/>
        <v/>
      </c>
      <c r="Y2700" s="586" t="str">
        <f t="shared" si="728"/>
        <v/>
      </c>
      <c r="Z2700" s="586" t="str">
        <f t="shared" si="719"/>
        <v/>
      </c>
    </row>
    <row r="2701" spans="1:26" ht="12" hidden="1" thickBot="1" x14ac:dyDescent="0.25">
      <c r="A2701" s="652" t="s">
        <v>187</v>
      </c>
      <c r="B2701" s="589" t="s">
        <v>187</v>
      </c>
      <c r="C2701" s="573" t="s">
        <v>187</v>
      </c>
      <c r="D2701" s="580"/>
      <c r="E2701" s="575"/>
      <c r="F2701" s="436"/>
      <c r="G2701" s="431"/>
      <c r="H2701" s="430"/>
      <c r="I2701" s="432"/>
      <c r="J2701" s="433"/>
      <c r="K2701" s="437">
        <f t="shared" si="727"/>
        <v>0</v>
      </c>
      <c r="L2701" s="435" t="s">
        <v>614</v>
      </c>
      <c r="M2701" s="576"/>
      <c r="N2701" s="576">
        <f t="shared" si="716"/>
        <v>0</v>
      </c>
      <c r="O2701" s="577">
        <f t="shared" si="726"/>
        <v>0</v>
      </c>
      <c r="P2701" s="578">
        <f t="shared" si="722"/>
        <v>0</v>
      </c>
      <c r="Q2701" s="765"/>
      <c r="R2701" s="576">
        <f>M2701</f>
        <v>0</v>
      </c>
      <c r="S2701" s="576">
        <f>N2701</f>
        <v>0</v>
      </c>
      <c r="T2701" s="577">
        <f t="shared" si="724"/>
        <v>0</v>
      </c>
      <c r="U2701" s="578">
        <f t="shared" si="725"/>
        <v>0</v>
      </c>
      <c r="V2701" s="579"/>
      <c r="W2701" s="566"/>
      <c r="X2701" s="586" t="str">
        <f t="shared" si="720"/>
        <v/>
      </c>
      <c r="Y2701" s="586" t="str">
        <f t="shared" si="728"/>
        <v/>
      </c>
      <c r="Z2701" s="586" t="str">
        <f t="shared" si="719"/>
        <v/>
      </c>
    </row>
    <row r="2702" spans="1:26" ht="12" hidden="1" thickBot="1" x14ac:dyDescent="0.25">
      <c r="A2702" s="652" t="s">
        <v>187</v>
      </c>
      <c r="B2702" s="589" t="s">
        <v>187</v>
      </c>
      <c r="C2702" s="573" t="s">
        <v>187</v>
      </c>
      <c r="D2702" s="580"/>
      <c r="E2702" s="575"/>
      <c r="F2702" s="436"/>
      <c r="G2702" s="431"/>
      <c r="H2702" s="430"/>
      <c r="I2702" s="432"/>
      <c r="J2702" s="433"/>
      <c r="K2702" s="437">
        <f t="shared" si="727"/>
        <v>0</v>
      </c>
      <c r="L2702" s="435" t="s">
        <v>614</v>
      </c>
      <c r="M2702" s="576"/>
      <c r="N2702" s="576">
        <f t="shared" si="716"/>
        <v>0</v>
      </c>
      <c r="O2702" s="577">
        <f t="shared" si="726"/>
        <v>0</v>
      </c>
      <c r="P2702" s="578">
        <f t="shared" si="722"/>
        <v>0</v>
      </c>
      <c r="Q2702" s="765"/>
      <c r="R2702" s="576">
        <f t="shared" si="723"/>
        <v>0</v>
      </c>
      <c r="S2702" s="576">
        <f t="shared" si="723"/>
        <v>0</v>
      </c>
      <c r="T2702" s="577">
        <f t="shared" si="724"/>
        <v>0</v>
      </c>
      <c r="U2702" s="578">
        <f t="shared" si="725"/>
        <v>0</v>
      </c>
      <c r="V2702" s="579"/>
      <c r="W2702" s="566"/>
      <c r="X2702" s="586" t="str">
        <f t="shared" si="720"/>
        <v/>
      </c>
      <c r="Y2702" s="586" t="str">
        <f t="shared" si="728"/>
        <v/>
      </c>
      <c r="Z2702" s="586" t="str">
        <f t="shared" si="719"/>
        <v/>
      </c>
    </row>
    <row r="2703" spans="1:26" ht="12" hidden="1" thickBot="1" x14ac:dyDescent="0.25">
      <c r="A2703" s="652" t="s">
        <v>187</v>
      </c>
      <c r="B2703" s="589" t="s">
        <v>187</v>
      </c>
      <c r="C2703" s="573" t="s">
        <v>187</v>
      </c>
      <c r="D2703" s="580"/>
      <c r="E2703" s="575"/>
      <c r="F2703" s="436"/>
      <c r="G2703" s="431"/>
      <c r="H2703" s="430"/>
      <c r="I2703" s="432"/>
      <c r="J2703" s="433"/>
      <c r="K2703" s="437">
        <f t="shared" si="727"/>
        <v>0</v>
      </c>
      <c r="L2703" s="435" t="s">
        <v>614</v>
      </c>
      <c r="M2703" s="576"/>
      <c r="N2703" s="576">
        <f t="shared" si="716"/>
        <v>0</v>
      </c>
      <c r="O2703" s="577">
        <f t="shared" si="726"/>
        <v>0</v>
      </c>
      <c r="P2703" s="578">
        <f t="shared" si="722"/>
        <v>0</v>
      </c>
      <c r="Q2703" s="765"/>
      <c r="R2703" s="576">
        <f t="shared" si="723"/>
        <v>0</v>
      </c>
      <c r="S2703" s="576">
        <f t="shared" si="723"/>
        <v>0</v>
      </c>
      <c r="T2703" s="577">
        <f t="shared" si="724"/>
        <v>0</v>
      </c>
      <c r="U2703" s="578">
        <f t="shared" si="725"/>
        <v>0</v>
      </c>
      <c r="V2703" s="579"/>
      <c r="W2703" s="566"/>
      <c r="X2703" s="586" t="str">
        <f t="shared" si="720"/>
        <v/>
      </c>
      <c r="Y2703" s="586" t="str">
        <f t="shared" si="728"/>
        <v/>
      </c>
      <c r="Z2703" s="586" t="str">
        <f t="shared" si="719"/>
        <v/>
      </c>
    </row>
    <row r="2704" spans="1:26" ht="12" hidden="1" thickBot="1" x14ac:dyDescent="0.25">
      <c r="A2704" s="652" t="s">
        <v>187</v>
      </c>
      <c r="B2704" s="589" t="s">
        <v>187</v>
      </c>
      <c r="C2704" s="573" t="s">
        <v>187</v>
      </c>
      <c r="D2704" s="580"/>
      <c r="E2704" s="575"/>
      <c r="F2704" s="436"/>
      <c r="G2704" s="431"/>
      <c r="H2704" s="430"/>
      <c r="I2704" s="432"/>
      <c r="J2704" s="433"/>
      <c r="K2704" s="437">
        <f t="shared" si="727"/>
        <v>0</v>
      </c>
      <c r="L2704" s="435" t="s">
        <v>614</v>
      </c>
      <c r="M2704" s="576"/>
      <c r="N2704" s="576">
        <f t="shared" si="716"/>
        <v>0</v>
      </c>
      <c r="O2704" s="577">
        <f t="shared" si="726"/>
        <v>0</v>
      </c>
      <c r="P2704" s="578">
        <f t="shared" si="722"/>
        <v>0</v>
      </c>
      <c r="Q2704" s="765"/>
      <c r="R2704" s="576">
        <f t="shared" si="723"/>
        <v>0</v>
      </c>
      <c r="S2704" s="576">
        <f t="shared" si="723"/>
        <v>0</v>
      </c>
      <c r="T2704" s="577">
        <f t="shared" si="724"/>
        <v>0</v>
      </c>
      <c r="U2704" s="578">
        <f t="shared" si="725"/>
        <v>0</v>
      </c>
      <c r="V2704" s="579"/>
      <c r="W2704" s="566"/>
      <c r="X2704" s="586" t="str">
        <f t="shared" si="720"/>
        <v/>
      </c>
      <c r="Y2704" s="586" t="str">
        <f t="shared" si="728"/>
        <v/>
      </c>
      <c r="Z2704" s="586" t="str">
        <f t="shared" si="719"/>
        <v/>
      </c>
    </row>
    <row r="2705" spans="1:26" ht="12" hidden="1" thickBot="1" x14ac:dyDescent="0.25">
      <c r="A2705" s="652" t="s">
        <v>187</v>
      </c>
      <c r="B2705" s="589" t="s">
        <v>187</v>
      </c>
      <c r="C2705" s="573" t="s">
        <v>187</v>
      </c>
      <c r="D2705" s="580"/>
      <c r="E2705" s="575"/>
      <c r="F2705" s="436"/>
      <c r="G2705" s="431"/>
      <c r="H2705" s="430"/>
      <c r="I2705" s="432"/>
      <c r="J2705" s="433"/>
      <c r="K2705" s="437">
        <f t="shared" si="727"/>
        <v>0</v>
      </c>
      <c r="L2705" s="435" t="s">
        <v>614</v>
      </c>
      <c r="M2705" s="576"/>
      <c r="N2705" s="576">
        <f t="shared" si="716"/>
        <v>0</v>
      </c>
      <c r="O2705" s="577">
        <f t="shared" si="726"/>
        <v>0</v>
      </c>
      <c r="P2705" s="578">
        <f t="shared" si="722"/>
        <v>0</v>
      </c>
      <c r="Q2705" s="765"/>
      <c r="R2705" s="576">
        <f t="shared" si="723"/>
        <v>0</v>
      </c>
      <c r="S2705" s="576">
        <f t="shared" si="723"/>
        <v>0</v>
      </c>
      <c r="T2705" s="577">
        <f t="shared" si="724"/>
        <v>0</v>
      </c>
      <c r="U2705" s="578">
        <f t="shared" si="725"/>
        <v>0</v>
      </c>
      <c r="V2705" s="579"/>
      <c r="W2705" s="566"/>
      <c r="X2705" s="586" t="str">
        <f t="shared" si="720"/>
        <v/>
      </c>
      <c r="Y2705" s="586" t="str">
        <f t="shared" si="728"/>
        <v/>
      </c>
      <c r="Z2705" s="586" t="str">
        <f t="shared" si="719"/>
        <v/>
      </c>
    </row>
    <row r="2706" spans="1:26" ht="12" hidden="1" thickBot="1" x14ac:dyDescent="0.25">
      <c r="A2706" s="652" t="s">
        <v>187</v>
      </c>
      <c r="B2706" s="589" t="s">
        <v>187</v>
      </c>
      <c r="C2706" s="573" t="s">
        <v>187</v>
      </c>
      <c r="D2706" s="580"/>
      <c r="E2706" s="575"/>
      <c r="F2706" s="436"/>
      <c r="G2706" s="431"/>
      <c r="H2706" s="430"/>
      <c r="I2706" s="432"/>
      <c r="J2706" s="433"/>
      <c r="K2706" s="437">
        <f t="shared" si="727"/>
        <v>0</v>
      </c>
      <c r="L2706" s="435" t="s">
        <v>614</v>
      </c>
      <c r="M2706" s="576"/>
      <c r="N2706" s="576">
        <f t="shared" si="716"/>
        <v>0</v>
      </c>
      <c r="O2706" s="577">
        <f t="shared" si="726"/>
        <v>0</v>
      </c>
      <c r="P2706" s="578">
        <f t="shared" si="722"/>
        <v>0</v>
      </c>
      <c r="Q2706" s="765"/>
      <c r="R2706" s="576">
        <f t="shared" si="723"/>
        <v>0</v>
      </c>
      <c r="S2706" s="576">
        <f t="shared" si="723"/>
        <v>0</v>
      </c>
      <c r="T2706" s="577">
        <f t="shared" si="724"/>
        <v>0</v>
      </c>
      <c r="U2706" s="578">
        <f t="shared" si="725"/>
        <v>0</v>
      </c>
      <c r="V2706" s="579"/>
      <c r="W2706" s="566"/>
      <c r="X2706" s="586" t="str">
        <f t="shared" si="720"/>
        <v/>
      </c>
      <c r="Y2706" s="586" t="str">
        <f t="shared" si="728"/>
        <v/>
      </c>
      <c r="Z2706" s="586" t="str">
        <f t="shared" si="719"/>
        <v/>
      </c>
    </row>
    <row r="2707" spans="1:26" ht="12" hidden="1" thickBot="1" x14ac:dyDescent="0.25">
      <c r="A2707" s="652" t="s">
        <v>187</v>
      </c>
      <c r="B2707" s="786" t="s">
        <v>187</v>
      </c>
      <c r="C2707" s="582" t="s">
        <v>187</v>
      </c>
      <c r="D2707" s="583"/>
      <c r="E2707" s="787"/>
      <c r="F2707" s="788"/>
      <c r="G2707" s="789"/>
      <c r="H2707" s="790"/>
      <c r="I2707" s="791"/>
      <c r="J2707" s="792"/>
      <c r="K2707" s="793">
        <f t="shared" si="727"/>
        <v>0</v>
      </c>
      <c r="L2707" s="794" t="s">
        <v>614</v>
      </c>
      <c r="M2707" s="696"/>
      <c r="N2707" s="696">
        <f t="shared" si="716"/>
        <v>0</v>
      </c>
      <c r="O2707" s="693">
        <f t="shared" si="726"/>
        <v>0</v>
      </c>
      <c r="P2707" s="694">
        <f t="shared" si="722"/>
        <v>0</v>
      </c>
      <c r="Q2707" s="765"/>
      <c r="R2707" s="576">
        <f t="shared" si="723"/>
        <v>0</v>
      </c>
      <c r="S2707" s="576">
        <f t="shared" si="723"/>
        <v>0</v>
      </c>
      <c r="T2707" s="577">
        <f t="shared" si="724"/>
        <v>0</v>
      </c>
      <c r="U2707" s="578">
        <f t="shared" si="725"/>
        <v>0</v>
      </c>
      <c r="V2707" s="579"/>
      <c r="W2707" s="566"/>
      <c r="X2707" s="586" t="str">
        <f t="shared" si="720"/>
        <v/>
      </c>
      <c r="Y2707" s="586" t="str">
        <f t="shared" si="728"/>
        <v/>
      </c>
      <c r="Z2707" s="586" t="str">
        <f t="shared" si="719"/>
        <v/>
      </c>
    </row>
    <row r="2708" spans="1:26" ht="1.35" hidden="1" customHeight="1" thickBot="1" x14ac:dyDescent="0.25">
      <c r="A2708" s="652" t="s">
        <v>187</v>
      </c>
      <c r="B2708" s="727" t="s">
        <v>174</v>
      </c>
      <c r="C2708" s="728"/>
      <c r="D2708" s="729"/>
      <c r="E2708" s="730"/>
      <c r="F2708" s="731"/>
      <c r="G2708" s="732"/>
      <c r="H2708" s="733"/>
      <c r="I2708" s="734"/>
      <c r="J2708" s="734"/>
      <c r="K2708" s="735"/>
      <c r="L2708" s="736"/>
      <c r="M2708" s="737"/>
      <c r="N2708" s="738"/>
      <c r="O2708" s="739"/>
      <c r="P2708" s="739"/>
      <c r="Q2708" s="739"/>
      <c r="R2708" s="737"/>
      <c r="S2708" s="738"/>
      <c r="T2708" s="739"/>
      <c r="U2708" s="740"/>
      <c r="V2708" s="643"/>
      <c r="W2708" s="741"/>
      <c r="X2708" s="742"/>
      <c r="Y2708" s="742"/>
      <c r="Z2708" s="742"/>
    </row>
    <row r="2709" spans="1:26" ht="5.45" hidden="1" customHeight="1" thickBot="1" x14ac:dyDescent="0.25">
      <c r="A2709" s="652" t="s">
        <v>187</v>
      </c>
      <c r="B2709" s="743" t="s">
        <v>174</v>
      </c>
      <c r="C2709" s="744"/>
      <c r="D2709" s="745"/>
      <c r="E2709" s="746"/>
      <c r="F2709" s="495"/>
      <c r="G2709" s="494"/>
      <c r="H2709" s="496"/>
      <c r="I2709" s="496"/>
      <c r="J2709" s="496"/>
      <c r="K2709" s="747"/>
      <c r="L2709" s="496"/>
      <c r="M2709" s="748"/>
      <c r="N2709" s="748"/>
      <c r="O2709" s="674"/>
      <c r="P2709" s="674"/>
      <c r="Q2709" s="674"/>
      <c r="R2709" s="748"/>
      <c r="S2709" s="748"/>
      <c r="T2709" s="674"/>
      <c r="U2709" s="674"/>
      <c r="V2709" s="749"/>
      <c r="W2709" s="741" t="s">
        <v>174</v>
      </c>
      <c r="X2709" s="742"/>
      <c r="Y2709" s="742"/>
      <c r="Z2709" s="742"/>
    </row>
    <row r="2710" spans="1:26" ht="13.35" customHeight="1" thickBot="1" x14ac:dyDescent="0.25">
      <c r="A2710" s="652" t="s">
        <v>187</v>
      </c>
      <c r="B2710" s="750" t="s">
        <v>174</v>
      </c>
      <c r="C2710" s="751"/>
      <c r="D2710" s="492" t="s">
        <v>505</v>
      </c>
      <c r="E2710" s="493"/>
      <c r="F2710" s="495"/>
      <c r="G2710" s="494"/>
      <c r="H2710" s="496"/>
      <c r="I2710" s="496"/>
      <c r="J2710" s="496" t="str">
        <f>IF(ISBLANK(I2710),"",SUM(H2710:I2710))</f>
        <v/>
      </c>
      <c r="K2710" s="496"/>
      <c r="L2710" s="496"/>
      <c r="M2710" s="752"/>
      <c r="N2710" s="753"/>
      <c r="O2710" s="635">
        <f>SUBTOTAL(9,O18:O2708)</f>
        <v>1013839.4899999998</v>
      </c>
      <c r="P2710" s="636">
        <f>SUBTOTAL(9,P18:P2708)</f>
        <v>1013839.4899999998</v>
      </c>
      <c r="Q2710" s="634">
        <f>SUBTOTAL(9,Q18:Q2708)</f>
        <v>1013839.49</v>
      </c>
      <c r="R2710" s="754"/>
      <c r="S2710" s="755"/>
      <c r="T2710" s="635">
        <f>SUBTOTAL(9,T18:T2708)</f>
        <v>1013839.4899999998</v>
      </c>
      <c r="U2710" s="636">
        <f>SUBTOTAL(9,U18:U2708)</f>
        <v>1013839.4899999998</v>
      </c>
      <c r="V2710" s="636">
        <f>SUBTOTAL(9,V18:V2708)</f>
        <v>1013839.49</v>
      </c>
      <c r="W2710" s="741" t="s">
        <v>174</v>
      </c>
      <c r="X2710" s="756" t="s">
        <v>174</v>
      </c>
      <c r="Y2710" s="756"/>
      <c r="Z2710" s="756" t="s">
        <v>174</v>
      </c>
    </row>
    <row r="2711" spans="1:26" ht="5.45" hidden="1" customHeight="1" thickBot="1" x14ac:dyDescent="0.25">
      <c r="A2711" s="652" t="s">
        <v>187</v>
      </c>
      <c r="B2711" s="750" t="s">
        <v>174</v>
      </c>
      <c r="C2711" s="751"/>
      <c r="D2711" s="757"/>
      <c r="E2711" s="746"/>
      <c r="F2711" s="495"/>
      <c r="G2711" s="494"/>
      <c r="H2711" s="496"/>
      <c r="I2711" s="496"/>
      <c r="J2711" s="496"/>
      <c r="K2711" s="747"/>
      <c r="L2711" s="496"/>
      <c r="M2711" s="748"/>
      <c r="N2711" s="748"/>
      <c r="O2711" s="674"/>
      <c r="P2711" s="674"/>
      <c r="Q2711" s="674"/>
      <c r="R2711" s="748"/>
      <c r="S2711" s="748"/>
      <c r="T2711" s="674"/>
      <c r="U2711" s="674"/>
      <c r="V2711" s="749"/>
      <c r="W2711" s="741" t="s">
        <v>174</v>
      </c>
      <c r="X2711" s="758"/>
      <c r="Y2711" s="586"/>
      <c r="Z2711" s="586"/>
    </row>
    <row r="2712" spans="1:26" ht="13.35" customHeight="1" thickBot="1" x14ac:dyDescent="0.25">
      <c r="A2712" s="652" t="s">
        <v>187</v>
      </c>
      <c r="B2712" s="750" t="s">
        <v>174</v>
      </c>
      <c r="C2712" s="751"/>
      <c r="D2712" s="492" t="s">
        <v>585</v>
      </c>
      <c r="E2712" s="759"/>
      <c r="F2712" s="495"/>
      <c r="G2712" s="494"/>
      <c r="H2712" s="496"/>
      <c r="I2712" s="496"/>
      <c r="J2712" s="496" t="str">
        <f t="shared" ref="J2712:J2717" si="729">IF(ISBLANK(I2712),"",SUM(H2712:I2712))</f>
        <v/>
      </c>
      <c r="K2712" s="496"/>
      <c r="L2712" s="496"/>
      <c r="M2712" s="752"/>
      <c r="N2712" s="753"/>
      <c r="O2712" s="760">
        <f>SUM(O18:O582)</f>
        <v>880581.09</v>
      </c>
      <c r="P2712" s="760">
        <f>SUM(P18:P582)</f>
        <v>880581.09</v>
      </c>
      <c r="Q2712" s="760">
        <f>SUM(Q18:Q582)</f>
        <v>880581.09</v>
      </c>
      <c r="R2712" s="754"/>
      <c r="S2712" s="761"/>
      <c r="T2712" s="636">
        <f>SUM(T18:T582)</f>
        <v>880581.09</v>
      </c>
      <c r="U2712" s="760">
        <f>SUM(U18:U582)</f>
        <v>880581.09</v>
      </c>
      <c r="V2712" s="760">
        <f>SUM(V18:V582)</f>
        <v>880581.09</v>
      </c>
      <c r="W2712" s="741"/>
      <c r="X2712" s="586" t="s">
        <v>174</v>
      </c>
      <c r="Y2712" s="586"/>
      <c r="Z2712" s="586"/>
    </row>
    <row r="2713" spans="1:26" ht="13.35" customHeight="1" thickBot="1" x14ac:dyDescent="0.25">
      <c r="A2713" s="652" t="s">
        <v>187</v>
      </c>
      <c r="B2713" s="750" t="s">
        <v>174</v>
      </c>
      <c r="C2713" s="751"/>
      <c r="D2713" s="492" t="s">
        <v>589</v>
      </c>
      <c r="E2713" s="759"/>
      <c r="F2713" s="495"/>
      <c r="G2713" s="494"/>
      <c r="H2713" s="496"/>
      <c r="I2713" s="496"/>
      <c r="J2713" s="496" t="str">
        <f t="shared" si="729"/>
        <v/>
      </c>
      <c r="K2713" s="496"/>
      <c r="L2713" s="496"/>
      <c r="M2713" s="752"/>
      <c r="N2713" s="753"/>
      <c r="O2713" s="635">
        <f>SUM(O583:O839)</f>
        <v>118558.34</v>
      </c>
      <c r="P2713" s="635">
        <f>SUM(P583:P839)</f>
        <v>118558.34</v>
      </c>
      <c r="Q2713" s="635">
        <f>SUM(Q583:Q839)</f>
        <v>118558.34</v>
      </c>
      <c r="R2713" s="754"/>
      <c r="S2713" s="762"/>
      <c r="T2713" s="636">
        <f>SUM(T583:T839)</f>
        <v>118558.34</v>
      </c>
      <c r="U2713" s="635">
        <f>SUM(U583:U839)</f>
        <v>118558.34</v>
      </c>
      <c r="V2713" s="635">
        <f>SUM(V583:V839)</f>
        <v>118558.34</v>
      </c>
      <c r="W2713" s="741" t="s">
        <v>174</v>
      </c>
      <c r="X2713" s="586" t="s">
        <v>174</v>
      </c>
      <c r="Y2713" s="586"/>
      <c r="Z2713" s="586"/>
    </row>
    <row r="2714" spans="1:26" ht="13.35" customHeight="1" thickBot="1" x14ac:dyDescent="0.25">
      <c r="A2714" s="652" t="s">
        <v>187</v>
      </c>
      <c r="B2714" s="750" t="s">
        <v>174</v>
      </c>
      <c r="C2714" s="751"/>
      <c r="D2714" s="492" t="s">
        <v>586</v>
      </c>
      <c r="E2714" s="759"/>
      <c r="F2714" s="495"/>
      <c r="G2714" s="494"/>
      <c r="H2714" s="496"/>
      <c r="I2714" s="496"/>
      <c r="J2714" s="496" t="str">
        <f t="shared" si="729"/>
        <v/>
      </c>
      <c r="K2714" s="496"/>
      <c r="L2714" s="496"/>
      <c r="M2714" s="752"/>
      <c r="N2714" s="753"/>
      <c r="O2714" s="635">
        <f>SUM(O840:O1689)</f>
        <v>0</v>
      </c>
      <c r="P2714" s="635">
        <f>SUM(P840:P1689)</f>
        <v>0</v>
      </c>
      <c r="Q2714" s="635">
        <f>SUM(Q840:Q1689)</f>
        <v>0</v>
      </c>
      <c r="R2714" s="754"/>
      <c r="S2714" s="762"/>
      <c r="T2714" s="636">
        <f>SUM(T840:T1689)</f>
        <v>0</v>
      </c>
      <c r="U2714" s="635">
        <f>SUM(U840:U1689)</f>
        <v>0</v>
      </c>
      <c r="V2714" s="635">
        <f>SUM(V840:V1689)</f>
        <v>0</v>
      </c>
      <c r="W2714" s="741" t="s">
        <v>174</v>
      </c>
      <c r="X2714" s="586" t="s">
        <v>174</v>
      </c>
      <c r="Y2714" s="586"/>
      <c r="Z2714" s="586"/>
    </row>
    <row r="2715" spans="1:26" ht="13.35" customHeight="1" thickBot="1" x14ac:dyDescent="0.25">
      <c r="A2715" s="652" t="s">
        <v>187</v>
      </c>
      <c r="B2715" s="750" t="s">
        <v>174</v>
      </c>
      <c r="C2715" s="751"/>
      <c r="D2715" s="492" t="s">
        <v>587</v>
      </c>
      <c r="E2715" s="759"/>
      <c r="F2715" s="495"/>
      <c r="G2715" s="494"/>
      <c r="H2715" s="496"/>
      <c r="I2715" s="496"/>
      <c r="J2715" s="496" t="str">
        <f t="shared" si="729"/>
        <v/>
      </c>
      <c r="K2715" s="496"/>
      <c r="L2715" s="496"/>
      <c r="M2715" s="752"/>
      <c r="N2715" s="753"/>
      <c r="O2715" s="635">
        <f>SUM(O1690:O1784)</f>
        <v>0</v>
      </c>
      <c r="P2715" s="635">
        <f>SUM(P1690:P1784)</f>
        <v>0</v>
      </c>
      <c r="Q2715" s="635">
        <f>SUM(Q1690:Q1784)</f>
        <v>0</v>
      </c>
      <c r="R2715" s="754"/>
      <c r="S2715" s="762"/>
      <c r="T2715" s="636">
        <f>SUM(T1690:T1784)</f>
        <v>0</v>
      </c>
      <c r="U2715" s="635">
        <f>SUM(U1690:U1784)</f>
        <v>0</v>
      </c>
      <c r="V2715" s="635">
        <f>SUM(V1690:V1784)</f>
        <v>0</v>
      </c>
      <c r="W2715" s="741" t="s">
        <v>174</v>
      </c>
      <c r="X2715" s="586" t="s">
        <v>174</v>
      </c>
      <c r="Y2715" s="586"/>
      <c r="Z2715" s="586"/>
    </row>
    <row r="2716" spans="1:26" ht="13.35" customHeight="1" thickBot="1" x14ac:dyDescent="0.25">
      <c r="A2716" s="652" t="s">
        <v>187</v>
      </c>
      <c r="B2716" s="750" t="s">
        <v>174</v>
      </c>
      <c r="C2716" s="751"/>
      <c r="D2716" s="492" t="s">
        <v>588</v>
      </c>
      <c r="E2716" s="759"/>
      <c r="F2716" s="495"/>
      <c r="G2716" s="494"/>
      <c r="H2716" s="496"/>
      <c r="I2716" s="496"/>
      <c r="J2716" s="496" t="str">
        <f t="shared" si="729"/>
        <v/>
      </c>
      <c r="K2716" s="496"/>
      <c r="L2716" s="496"/>
      <c r="M2716" s="752"/>
      <c r="N2716" s="753"/>
      <c r="O2716" s="635">
        <f>SUM(O1785:O2661)</f>
        <v>0</v>
      </c>
      <c r="P2716" s="635">
        <f>SUM(P1785:P2661)</f>
        <v>0</v>
      </c>
      <c r="Q2716" s="635">
        <f>SUM(Q1785:Q2661)</f>
        <v>0</v>
      </c>
      <c r="R2716" s="634"/>
      <c r="S2716" s="409"/>
      <c r="T2716" s="635">
        <f>SUM(T1785:T2661)</f>
        <v>0</v>
      </c>
      <c r="U2716" s="635">
        <f>SUM(U1785:U2661)</f>
        <v>0</v>
      </c>
      <c r="V2716" s="635">
        <f>SUM(V1785:V2661)</f>
        <v>0</v>
      </c>
      <c r="W2716" s="741" t="s">
        <v>174</v>
      </c>
      <c r="X2716" s="586" t="s">
        <v>174</v>
      </c>
      <c r="Y2716" s="586"/>
      <c r="Z2716" s="586"/>
    </row>
    <row r="2717" spans="1:26" ht="13.35" customHeight="1" thickBot="1" x14ac:dyDescent="0.25">
      <c r="A2717" s="652" t="s">
        <v>187</v>
      </c>
      <c r="B2717" s="750" t="s">
        <v>174</v>
      </c>
      <c r="C2717" s="751"/>
      <c r="D2717" s="492" t="s">
        <v>613</v>
      </c>
      <c r="E2717" s="759"/>
      <c r="F2717" s="495"/>
      <c r="G2717" s="494"/>
      <c r="H2717" s="496"/>
      <c r="I2717" s="496"/>
      <c r="J2717" s="496" t="str">
        <f t="shared" si="729"/>
        <v/>
      </c>
      <c r="K2717" s="496"/>
      <c r="L2717" s="496"/>
      <c r="M2717" s="752"/>
      <c r="N2717" s="753"/>
      <c r="O2717" s="635">
        <f>SUM(O2662:O2707)</f>
        <v>14700.060000000001</v>
      </c>
      <c r="P2717" s="635">
        <f>SUM(P2662:P2707)</f>
        <v>14700.060000000001</v>
      </c>
      <c r="Q2717" s="635">
        <f>SUM(Q2662:Q2707)</f>
        <v>14700.060000000001</v>
      </c>
      <c r="R2717" s="634"/>
      <c r="S2717" s="409"/>
      <c r="T2717" s="636">
        <f>SUM(T2662:T2707)</f>
        <v>14700.060000000001</v>
      </c>
      <c r="U2717" s="635">
        <f>SUM(U2662:U2707)</f>
        <v>14700.060000000001</v>
      </c>
      <c r="V2717" s="635">
        <f>SUM(V2662:V2707)</f>
        <v>14700.060000000001</v>
      </c>
      <c r="W2717" s="741" t="s">
        <v>174</v>
      </c>
      <c r="X2717" s="586" t="s">
        <v>174</v>
      </c>
      <c r="Y2717" s="586"/>
      <c r="Z2717" s="586"/>
    </row>
    <row r="2718" spans="1:26" x14ac:dyDescent="0.2">
      <c r="K2718" s="592"/>
    </row>
    <row r="2719" spans="1:26" x14ac:dyDescent="0.2">
      <c r="D2719" s="593" t="s">
        <v>187</v>
      </c>
      <c r="K2719" s="592"/>
    </row>
    <row r="2720" spans="1:26" ht="9" customHeight="1" x14ac:dyDescent="0.2"/>
    <row r="2721" spans="4:7" x14ac:dyDescent="0.2">
      <c r="D2721" s="593" t="s">
        <v>2099</v>
      </c>
    </row>
    <row r="2723" spans="4:7" x14ac:dyDescent="0.2">
      <c r="G2723" s="591" t="s">
        <v>1581</v>
      </c>
    </row>
  </sheetData>
  <sheetProtection formatCells="0" insertRows="0" sort="0" autoFilter="0"/>
  <autoFilter ref="A17:Z2717">
    <filterColumn colId="23">
      <customFilters>
        <customFilter operator="notEqual" val=" "/>
      </customFilters>
    </filterColumn>
  </autoFilter>
  <pageMargins left="1.1811023622047245" right="0.78740157480314965" top="1.1811023622047245" bottom="1.1811023622047245" header="0.31496062992125984" footer="0.51181102362204722"/>
  <pageSetup paperSize="9" scale="36" fitToHeight="0" orientation="portrait" r:id="rId1"/>
  <headerFooter alignWithMargins="0">
    <oddHeader>&amp;C&amp;"Arial,Negrito"&amp;12&amp;F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Z2723"/>
  <sheetViews>
    <sheetView showGridLines="0" showZeros="0" topLeftCell="B13" zoomScaleNormal="100" zoomScaleSheetLayoutView="50" workbookViewId="0">
      <selection activeCell="D607" sqref="D607"/>
    </sheetView>
  </sheetViews>
  <sheetFormatPr defaultColWidth="21.6640625" defaultRowHeight="11.25" x14ac:dyDescent="0.2"/>
  <cols>
    <col min="1" max="1" width="15.6640625" style="568" hidden="1" customWidth="1"/>
    <col min="2" max="2" width="13" style="590" customWidth="1"/>
    <col min="3" max="3" width="15.5" style="590" customWidth="1"/>
    <col min="4" max="4" width="93.33203125" style="568" customWidth="1"/>
    <col min="5" max="5" width="0.6640625" style="568" customWidth="1"/>
    <col min="6" max="6" width="15.1640625" style="591" customWidth="1"/>
    <col min="7" max="7" width="15.6640625" style="591" bestFit="1" customWidth="1"/>
    <col min="8" max="9" width="10.83203125" style="568" customWidth="1"/>
    <col min="10" max="11" width="14.83203125" style="568" customWidth="1"/>
    <col min="12" max="12" width="6.5" style="568" customWidth="1"/>
    <col min="13" max="14" width="14.6640625" style="568" customWidth="1"/>
    <col min="15" max="16" width="18.83203125" style="568" customWidth="1"/>
    <col min="17" max="17" width="20.6640625" style="568" customWidth="1"/>
    <col min="18" max="19" width="15.33203125" style="568" hidden="1" customWidth="1"/>
    <col min="20" max="22" width="22.5" style="568" hidden="1" customWidth="1"/>
    <col min="23" max="23" width="4.6640625" style="594" customWidth="1"/>
    <col min="24" max="26" width="4.6640625" style="568" customWidth="1"/>
    <col min="27" max="16384" width="21.6640625" style="568"/>
  </cols>
  <sheetData>
    <row r="1" spans="1:26" x14ac:dyDescent="0.2">
      <c r="A1" s="567" t="s">
        <v>2056</v>
      </c>
      <c r="B1" s="503"/>
      <c r="C1" s="504"/>
      <c r="D1" s="505"/>
      <c r="E1" s="387"/>
      <c r="F1" s="506" t="s">
        <v>2107</v>
      </c>
      <c r="G1" s="507"/>
      <c r="H1" s="391"/>
      <c r="I1" s="388"/>
      <c r="J1" s="389"/>
      <c r="K1" s="389"/>
      <c r="L1" s="390" t="s">
        <v>454</v>
      </c>
      <c r="M1" s="508"/>
      <c r="N1" s="508"/>
      <c r="O1" s="391"/>
      <c r="P1" s="509"/>
      <c r="Q1" s="509"/>
      <c r="R1" s="602" t="s">
        <v>454</v>
      </c>
      <c r="S1" s="603"/>
      <c r="T1" s="604"/>
      <c r="U1" s="605" t="s">
        <v>454</v>
      </c>
      <c r="V1" s="606"/>
      <c r="W1" s="566"/>
      <c r="X1" s="567"/>
      <c r="Y1" s="567"/>
      <c r="Z1" s="567"/>
    </row>
    <row r="2" spans="1:26" x14ac:dyDescent="0.2">
      <c r="A2" s="567" t="s">
        <v>173</v>
      </c>
      <c r="B2" s="392" t="s">
        <v>173</v>
      </c>
      <c r="C2" s="766"/>
      <c r="D2" s="510"/>
      <c r="E2" s="767"/>
      <c r="F2" s="768" t="s">
        <v>2106</v>
      </c>
      <c r="G2" s="396"/>
      <c r="H2" s="609"/>
      <c r="I2" s="769"/>
      <c r="J2" s="393"/>
      <c r="K2" s="769"/>
      <c r="L2" s="769"/>
      <c r="M2" s="769"/>
      <c r="N2" s="770"/>
      <c r="O2" s="771"/>
      <c r="P2" s="511"/>
      <c r="Q2" s="511"/>
      <c r="R2" s="607"/>
      <c r="S2" s="608"/>
      <c r="T2" s="609"/>
      <c r="U2" s="567"/>
      <c r="V2" s="610"/>
      <c r="W2" s="566"/>
      <c r="X2" s="567"/>
      <c r="Y2" s="567"/>
      <c r="Z2" s="567"/>
    </row>
    <row r="3" spans="1:26" x14ac:dyDescent="0.2">
      <c r="A3" s="567"/>
      <c r="B3" s="512"/>
      <c r="C3" s="772"/>
      <c r="D3" s="394" t="s">
        <v>455</v>
      </c>
      <c r="E3" s="773"/>
      <c r="F3" s="774" t="s">
        <v>455</v>
      </c>
      <c r="G3" s="513"/>
      <c r="H3" s="775"/>
      <c r="I3" s="776"/>
      <c r="J3" s="393"/>
      <c r="K3" s="777"/>
      <c r="L3" s="394" t="s">
        <v>455</v>
      </c>
      <c r="M3" s="777"/>
      <c r="N3" s="777"/>
      <c r="O3" s="775"/>
      <c r="P3" s="514"/>
      <c r="Q3" s="514"/>
      <c r="R3" s="394" t="s">
        <v>455</v>
      </c>
      <c r="S3" s="608"/>
      <c r="T3" s="609"/>
      <c r="U3" s="567"/>
      <c r="V3" s="610"/>
      <c r="W3" s="566"/>
      <c r="X3" s="567"/>
      <c r="Y3" s="567"/>
      <c r="Z3" s="567"/>
    </row>
    <row r="4" spans="1:26" x14ac:dyDescent="0.2">
      <c r="A4" s="567" t="s">
        <v>174</v>
      </c>
      <c r="B4" s="515" t="s">
        <v>174</v>
      </c>
      <c r="C4" s="778"/>
      <c r="D4" s="395" t="s">
        <v>175</v>
      </c>
      <c r="E4" s="779" t="s">
        <v>0</v>
      </c>
      <c r="F4" s="780"/>
      <c r="G4" s="396"/>
      <c r="H4" s="775"/>
      <c r="I4" s="776"/>
      <c r="J4" s="393"/>
      <c r="K4" s="777"/>
      <c r="L4" s="777"/>
      <c r="M4" s="777"/>
      <c r="N4" s="777"/>
      <c r="O4" s="775"/>
      <c r="P4" s="514"/>
      <c r="Q4" s="514"/>
      <c r="R4" s="611"/>
      <c r="S4" s="608"/>
      <c r="T4" s="609"/>
      <c r="U4" s="567"/>
      <c r="V4" s="610"/>
      <c r="W4" s="566"/>
      <c r="X4" s="567"/>
      <c r="Y4" s="567"/>
      <c r="Z4" s="567"/>
    </row>
    <row r="5" spans="1:26" x14ac:dyDescent="0.2">
      <c r="A5" s="567" t="s">
        <v>174</v>
      </c>
      <c r="B5" s="515" t="s">
        <v>174</v>
      </c>
      <c r="C5" s="778"/>
      <c r="D5" s="395" t="s">
        <v>1</v>
      </c>
      <c r="E5" s="779" t="s">
        <v>0</v>
      </c>
      <c r="F5" s="780" t="s">
        <v>669</v>
      </c>
      <c r="G5" s="396"/>
      <c r="H5" s="775"/>
      <c r="I5" s="776"/>
      <c r="J5" s="393"/>
      <c r="K5" s="777"/>
      <c r="L5" s="777"/>
      <c r="M5" s="777"/>
      <c r="N5" s="777"/>
      <c r="O5" s="775"/>
      <c r="P5" s="514"/>
      <c r="Q5" s="514"/>
      <c r="R5" s="611"/>
      <c r="S5" s="608"/>
      <c r="T5" s="609"/>
      <c r="U5" s="567"/>
      <c r="V5" s="610"/>
      <c r="W5" s="566"/>
      <c r="X5" s="567"/>
      <c r="Y5" s="567"/>
      <c r="Z5" s="567"/>
    </row>
    <row r="6" spans="1:26" x14ac:dyDescent="0.2">
      <c r="A6" s="567" t="s">
        <v>174</v>
      </c>
      <c r="B6" s="515" t="s">
        <v>174</v>
      </c>
      <c r="C6" s="778"/>
      <c r="D6" s="395" t="s">
        <v>2</v>
      </c>
      <c r="E6" s="779" t="s">
        <v>0</v>
      </c>
      <c r="F6" s="780"/>
      <c r="G6" s="396"/>
      <c r="H6" s="775"/>
      <c r="I6" s="776"/>
      <c r="J6" s="393"/>
      <c r="K6" s="777"/>
      <c r="L6" s="777"/>
      <c r="M6" s="777"/>
      <c r="N6" s="777"/>
      <c r="O6" s="775"/>
      <c r="P6" s="514"/>
      <c r="Q6" s="514"/>
      <c r="R6" s="611"/>
      <c r="S6" s="608"/>
      <c r="T6" s="609"/>
      <c r="U6" s="567"/>
      <c r="V6" s="610"/>
      <c r="W6" s="566"/>
      <c r="X6" s="567"/>
      <c r="Y6" s="567"/>
      <c r="Z6" s="567"/>
    </row>
    <row r="7" spans="1:26" x14ac:dyDescent="0.2">
      <c r="A7" s="567" t="s">
        <v>174</v>
      </c>
      <c r="B7" s="515" t="s">
        <v>174</v>
      </c>
      <c r="C7" s="778"/>
      <c r="D7" s="395" t="s">
        <v>3</v>
      </c>
      <c r="E7" s="779" t="s">
        <v>0</v>
      </c>
      <c r="F7" s="780"/>
      <c r="G7" s="396"/>
      <c r="H7" s="775"/>
      <c r="I7" s="776"/>
      <c r="J7" s="393"/>
      <c r="K7" s="777"/>
      <c r="L7" s="777"/>
      <c r="M7" s="777"/>
      <c r="N7" s="777"/>
      <c r="O7" s="775"/>
      <c r="P7" s="514"/>
      <c r="Q7" s="514"/>
      <c r="R7" s="611"/>
      <c r="S7" s="608"/>
      <c r="T7" s="609"/>
      <c r="U7" s="567"/>
      <c r="V7" s="610"/>
      <c r="W7" s="566"/>
      <c r="X7" s="567"/>
      <c r="Y7" s="567"/>
      <c r="Z7" s="567"/>
    </row>
    <row r="8" spans="1:26" ht="12" thickBot="1" x14ac:dyDescent="0.25">
      <c r="A8" s="567"/>
      <c r="B8" s="516"/>
      <c r="C8" s="781"/>
      <c r="D8" s="395" t="s">
        <v>4</v>
      </c>
      <c r="E8" s="779" t="s">
        <v>0</v>
      </c>
      <c r="F8" s="780"/>
      <c r="G8" s="396"/>
      <c r="H8" s="775"/>
      <c r="I8" s="776"/>
      <c r="J8" s="393"/>
      <c r="K8" s="777"/>
      <c r="L8" s="777"/>
      <c r="M8" s="777"/>
      <c r="N8" s="777"/>
      <c r="O8" s="775"/>
      <c r="P8" s="514"/>
      <c r="Q8" s="514"/>
      <c r="R8" s="611"/>
      <c r="S8" s="608"/>
      <c r="T8" s="609"/>
      <c r="U8" s="567"/>
      <c r="V8" s="610"/>
      <c r="W8" s="566"/>
      <c r="X8" s="567"/>
      <c r="Y8" s="567"/>
      <c r="Z8" s="567"/>
    </row>
    <row r="9" spans="1:26" ht="12" thickBot="1" x14ac:dyDescent="0.25">
      <c r="A9" s="567"/>
      <c r="B9" s="515"/>
      <c r="C9" s="778"/>
      <c r="D9" s="395" t="s">
        <v>2057</v>
      </c>
      <c r="E9" s="779" t="s">
        <v>0</v>
      </c>
      <c r="F9" s="397">
        <f>'BDI Pavimentação'!B17</f>
        <v>0.15279999999999999</v>
      </c>
      <c r="G9" s="396"/>
      <c r="H9" s="775"/>
      <c r="I9" s="776"/>
      <c r="J9" s="393"/>
      <c r="K9" s="777"/>
      <c r="L9" s="777"/>
      <c r="M9" s="777"/>
      <c r="N9" s="777"/>
      <c r="O9" s="775"/>
      <c r="P9" s="514"/>
      <c r="Q9" s="514"/>
      <c r="R9" s="611"/>
      <c r="S9" s="608"/>
      <c r="T9" s="609"/>
      <c r="U9" s="567"/>
      <c r="V9" s="610"/>
      <c r="W9" s="566"/>
      <c r="X9" s="567"/>
      <c r="Y9" s="567"/>
      <c r="Z9" s="567"/>
    </row>
    <row r="10" spans="1:26" ht="12" thickBot="1" x14ac:dyDescent="0.25">
      <c r="A10" s="567"/>
      <c r="B10" s="515"/>
      <c r="C10" s="778"/>
      <c r="D10" s="395" t="s">
        <v>618</v>
      </c>
      <c r="E10" s="779" t="s">
        <v>0</v>
      </c>
      <c r="F10" s="398">
        <f>'BDI Pavimentação'!B15</f>
        <v>0.18809999999999999</v>
      </c>
      <c r="G10" s="396"/>
      <c r="H10" s="775"/>
      <c r="I10" s="776"/>
      <c r="J10" s="393"/>
      <c r="K10" s="777"/>
      <c r="L10" s="777"/>
      <c r="M10" s="777"/>
      <c r="N10" s="777"/>
      <c r="O10" s="775"/>
      <c r="P10" s="514"/>
      <c r="Q10" s="514"/>
      <c r="R10" s="611"/>
      <c r="S10" s="608"/>
      <c r="T10" s="609"/>
      <c r="U10" s="567"/>
      <c r="V10" s="610"/>
      <c r="W10" s="566"/>
      <c r="X10" s="567"/>
      <c r="Y10" s="567"/>
      <c r="Z10" s="567"/>
    </row>
    <row r="11" spans="1:26" ht="12" thickBot="1" x14ac:dyDescent="0.25">
      <c r="A11" s="567"/>
      <c r="B11" s="517"/>
      <c r="C11" s="518"/>
      <c r="D11" s="399" t="s">
        <v>162</v>
      </c>
      <c r="E11" s="400" t="s">
        <v>0</v>
      </c>
      <c r="F11" s="401"/>
      <c r="G11" s="402"/>
      <c r="H11" s="406"/>
      <c r="I11" s="403"/>
      <c r="J11" s="404"/>
      <c r="K11" s="405"/>
      <c r="L11" s="405"/>
      <c r="M11" s="405"/>
      <c r="N11" s="405"/>
      <c r="O11" s="406"/>
      <c r="P11" s="519"/>
      <c r="Q11" s="519"/>
      <c r="R11" s="612"/>
      <c r="S11" s="613"/>
      <c r="T11" s="614"/>
      <c r="U11" s="615"/>
      <c r="V11" s="616"/>
      <c r="W11" s="566"/>
      <c r="X11" s="567"/>
      <c r="Y11" s="567"/>
      <c r="Z11" s="567"/>
    </row>
    <row r="12" spans="1:26" s="601" customFormat="1" ht="25.35" customHeight="1" thickBot="1" x14ac:dyDescent="0.35">
      <c r="A12" s="600"/>
      <c r="B12" s="502" t="s">
        <v>180</v>
      </c>
      <c r="C12" s="595"/>
      <c r="D12" s="596"/>
      <c r="E12" s="596"/>
      <c r="F12" s="597"/>
      <c r="G12" s="598"/>
      <c r="H12" s="596"/>
      <c r="I12" s="596"/>
      <c r="J12" s="596"/>
      <c r="K12" s="596"/>
      <c r="L12" s="596"/>
      <c r="M12" s="596"/>
      <c r="N12" s="596"/>
      <c r="O12" s="596"/>
      <c r="P12" s="763"/>
      <c r="Q12" s="596"/>
      <c r="R12" s="596"/>
      <c r="S12" s="596"/>
      <c r="T12" s="596"/>
      <c r="U12" s="596"/>
      <c r="V12" s="763"/>
      <c r="W12" s="599"/>
      <c r="X12" s="600"/>
      <c r="Y12" s="600"/>
      <c r="Z12" s="600"/>
    </row>
    <row r="13" spans="1:26" ht="14.1" customHeight="1" x14ac:dyDescent="0.2">
      <c r="A13" s="567"/>
      <c r="B13" s="520" t="s">
        <v>182</v>
      </c>
      <c r="C13" s="521"/>
      <c r="D13" s="802" t="s">
        <v>2109</v>
      </c>
      <c r="E13" s="522"/>
      <c r="F13" s="795" t="s">
        <v>183</v>
      </c>
      <c r="G13" s="523" t="s">
        <v>2110</v>
      </c>
      <c r="H13" s="524"/>
      <c r="I13" s="525"/>
      <c r="J13" s="525"/>
      <c r="K13" s="525"/>
      <c r="L13" s="526"/>
      <c r="M13" s="526"/>
      <c r="N13" s="526"/>
      <c r="O13" s="526"/>
      <c r="P13" s="782"/>
      <c r="Q13" s="526"/>
      <c r="R13" s="526"/>
      <c r="S13" s="526"/>
      <c r="T13" s="526"/>
      <c r="U13" s="617" t="s">
        <v>183</v>
      </c>
      <c r="V13" s="618"/>
      <c r="W13" s="566"/>
      <c r="X13" s="567"/>
      <c r="Y13" s="567"/>
      <c r="Z13" s="567"/>
    </row>
    <row r="14" spans="1:26" ht="14.1" customHeight="1" x14ac:dyDescent="0.2">
      <c r="A14" s="567"/>
      <c r="B14" s="527" t="s">
        <v>679</v>
      </c>
      <c r="C14" s="528"/>
      <c r="D14" s="803" t="s">
        <v>2111</v>
      </c>
      <c r="E14" s="529"/>
      <c r="F14" s="796" t="s">
        <v>185</v>
      </c>
      <c r="G14" s="530" t="s">
        <v>547</v>
      </c>
      <c r="H14" s="531"/>
      <c r="I14" s="532"/>
      <c r="J14" s="532"/>
      <c r="K14" s="532"/>
      <c r="L14" s="533"/>
      <c r="M14" s="533"/>
      <c r="N14" s="533"/>
      <c r="O14" s="533"/>
      <c r="P14" s="783"/>
      <c r="Q14" s="533"/>
      <c r="R14" s="533"/>
      <c r="S14" s="533"/>
      <c r="T14" s="533"/>
      <c r="U14" s="619" t="s">
        <v>184</v>
      </c>
      <c r="V14" s="620"/>
      <c r="W14" s="566"/>
      <c r="X14" s="567"/>
      <c r="Y14" s="567"/>
      <c r="Z14" s="567"/>
    </row>
    <row r="15" spans="1:26" ht="14.1" customHeight="1" thickBot="1" x14ac:dyDescent="0.25">
      <c r="A15" s="567"/>
      <c r="B15" s="534" t="s">
        <v>765</v>
      </c>
      <c r="C15" s="535"/>
      <c r="D15" s="804" t="s">
        <v>2116</v>
      </c>
      <c r="E15" s="536"/>
      <c r="F15" s="537"/>
      <c r="G15" s="538"/>
      <c r="H15" s="539"/>
      <c r="I15" s="540"/>
      <c r="J15" s="540"/>
      <c r="K15" s="540"/>
      <c r="L15" s="541"/>
      <c r="M15" s="541"/>
      <c r="N15" s="541"/>
      <c r="O15" s="541"/>
      <c r="P15" s="621"/>
      <c r="Q15" s="541"/>
      <c r="R15" s="541"/>
      <c r="S15" s="541"/>
      <c r="T15" s="541"/>
      <c r="U15" s="541"/>
      <c r="V15" s="621"/>
      <c r="W15" s="566"/>
      <c r="X15" s="567"/>
      <c r="Y15" s="567"/>
      <c r="Z15" s="567"/>
    </row>
    <row r="16" spans="1:26" ht="12" thickBot="1" x14ac:dyDescent="0.25">
      <c r="A16" s="567"/>
      <c r="B16" s="542" t="s">
        <v>449</v>
      </c>
      <c r="C16" s="543" t="s">
        <v>678</v>
      </c>
      <c r="D16" s="544" t="s">
        <v>176</v>
      </c>
      <c r="E16" s="545"/>
      <c r="F16" s="546" t="s">
        <v>5</v>
      </c>
      <c r="G16" s="407" t="s">
        <v>6</v>
      </c>
      <c r="H16" s="547" t="s">
        <v>7</v>
      </c>
      <c r="I16" s="548"/>
      <c r="J16" s="549"/>
      <c r="K16" s="548"/>
      <c r="L16" s="550" t="s">
        <v>179</v>
      </c>
      <c r="M16" s="551" t="s">
        <v>8</v>
      </c>
      <c r="N16" s="552"/>
      <c r="O16" s="552"/>
      <c r="P16" s="784"/>
      <c r="Q16" s="552"/>
      <c r="R16" s="622" t="s">
        <v>2058</v>
      </c>
      <c r="S16" s="623"/>
      <c r="T16" s="623"/>
      <c r="U16" s="624"/>
      <c r="V16" s="624"/>
      <c r="W16" s="569" t="s">
        <v>450</v>
      </c>
      <c r="X16" s="569"/>
      <c r="Y16" s="570"/>
      <c r="Z16" s="570"/>
    </row>
    <row r="17" spans="1:26" ht="38.25" thickBot="1" x14ac:dyDescent="0.25">
      <c r="A17" s="625" t="s">
        <v>2059</v>
      </c>
      <c r="B17" s="553" t="s">
        <v>187</v>
      </c>
      <c r="C17" s="554"/>
      <c r="D17" s="408" t="s">
        <v>2060</v>
      </c>
      <c r="E17" s="555"/>
      <c r="F17" s="556" t="s">
        <v>177</v>
      </c>
      <c r="G17" s="557" t="s">
        <v>178</v>
      </c>
      <c r="H17" s="558" t="s">
        <v>9</v>
      </c>
      <c r="I17" s="559" t="s">
        <v>10</v>
      </c>
      <c r="J17" s="559" t="s">
        <v>11</v>
      </c>
      <c r="K17" s="560" t="s">
        <v>12</v>
      </c>
      <c r="L17" s="561"/>
      <c r="M17" s="562" t="s">
        <v>13</v>
      </c>
      <c r="N17" s="563" t="s">
        <v>14</v>
      </c>
      <c r="O17" s="564" t="s">
        <v>744</v>
      </c>
      <c r="P17" s="565" t="s">
        <v>15</v>
      </c>
      <c r="Q17" s="764" t="s">
        <v>181</v>
      </c>
      <c r="R17" s="562" t="s">
        <v>13</v>
      </c>
      <c r="S17" s="626" t="s">
        <v>14</v>
      </c>
      <c r="T17" s="564" t="s">
        <v>744</v>
      </c>
      <c r="U17" s="565" t="s">
        <v>15</v>
      </c>
      <c r="V17" s="627" t="s">
        <v>181</v>
      </c>
      <c r="W17" s="571" t="s">
        <v>451</v>
      </c>
      <c r="X17" s="571" t="s">
        <v>2061</v>
      </c>
      <c r="Y17" s="571" t="s">
        <v>2062</v>
      </c>
      <c r="Z17" s="571" t="s">
        <v>453</v>
      </c>
    </row>
    <row r="18" spans="1:26" ht="12" hidden="1" thickBot="1" x14ac:dyDescent="0.25">
      <c r="A18" s="567" t="s">
        <v>547</v>
      </c>
      <c r="B18" s="628" t="s">
        <v>547</v>
      </c>
      <c r="C18" s="629"/>
      <c r="D18" s="630" t="s">
        <v>463</v>
      </c>
      <c r="E18" s="631"/>
      <c r="F18" s="632"/>
      <c r="G18" s="633"/>
      <c r="H18" s="634"/>
      <c r="I18" s="409"/>
      <c r="J18" s="409"/>
      <c r="K18" s="409"/>
      <c r="L18" s="409" t="s">
        <v>614</v>
      </c>
      <c r="M18" s="634"/>
      <c r="N18" s="409"/>
      <c r="O18" s="409"/>
      <c r="P18" s="635"/>
      <c r="Q18" s="635">
        <f>SUM(P19:P67)</f>
        <v>0</v>
      </c>
      <c r="R18" s="634"/>
      <c r="S18" s="409"/>
      <c r="T18" s="409"/>
      <c r="U18" s="635"/>
      <c r="V18" s="636">
        <f>SUM(U19:U67)</f>
        <v>0</v>
      </c>
      <c r="W18" s="637" t="str">
        <f>IF(OR(Q18&gt;0,V18&gt;0),"X","")</f>
        <v/>
      </c>
      <c r="X18" s="586" t="str">
        <f t="shared" ref="X18:X89" si="0">IF(W18="X","x",IF(W18="xx","x",IF(W18="xy","x",IF(W18="y","x",IF(OR(P18&gt;0,U18&gt;0),"x","")))))</f>
        <v/>
      </c>
      <c r="Y18" s="586" t="str">
        <f t="shared" ref="Y18:Y83" si="1">IF(W18="X","x",IF(W18="y","x",IF(W18="xx","x",IF(U18&gt;0,"x",""))))</f>
        <v/>
      </c>
      <c r="Z18" s="586" t="str">
        <f t="shared" ref="Z18:Z83" si="2">IF(W18="X","x",IF(U18&gt;0,"x",""))</f>
        <v/>
      </c>
    </row>
    <row r="19" spans="1:26" ht="12" hidden="1" thickBot="1" x14ac:dyDescent="0.25">
      <c r="A19" s="567">
        <v>831000</v>
      </c>
      <c r="B19" s="638" t="s">
        <v>1723</v>
      </c>
      <c r="C19" s="639" t="s">
        <v>206</v>
      </c>
      <c r="D19" s="410" t="s">
        <v>280</v>
      </c>
      <c r="E19" s="411"/>
      <c r="F19" s="412"/>
      <c r="G19" s="413"/>
      <c r="H19" s="640">
        <v>0</v>
      </c>
      <c r="I19" s="414">
        <v>41.120000000000005</v>
      </c>
      <c r="J19" s="414">
        <f t="shared" ref="J19:J41" si="3">IF(ISBLANK(I19),"",SUM(H19:I19))</f>
        <v>41.120000000000005</v>
      </c>
      <c r="K19" s="415">
        <f t="shared" ref="K19:K39" si="4">IF(ISBLANK(I19),0,ROUND(J19*(1+$F$10)*(1+$F$11*E19),2))</f>
        <v>48.85</v>
      </c>
      <c r="L19" s="641" t="s">
        <v>19</v>
      </c>
      <c r="M19" s="576"/>
      <c r="N19" s="576">
        <f>IF(M19=0,0,K19)</f>
        <v>0</v>
      </c>
      <c r="O19" s="642">
        <f>IF(ISBLANK(M19),0,ROUND(K19*M19,2))</f>
        <v>0</v>
      </c>
      <c r="P19" s="578">
        <f>IF(ISBLANK(N19),0,ROUND(M19*N19,2))</f>
        <v>0</v>
      </c>
      <c r="Q19" s="765"/>
      <c r="R19" s="576">
        <f>M19</f>
        <v>0</v>
      </c>
      <c r="S19" s="576">
        <f>N19</f>
        <v>0</v>
      </c>
      <c r="T19" s="577">
        <f>IF(ISBLANK(R19),0,ROUND(K19*R19,2))</f>
        <v>0</v>
      </c>
      <c r="U19" s="578">
        <f>IF(ISBLANK(R19),0,ROUND(R19*S19,2))</f>
        <v>0</v>
      </c>
      <c r="V19" s="643"/>
      <c r="W19" s="566"/>
      <c r="X19" s="586" t="str">
        <f t="shared" si="0"/>
        <v/>
      </c>
      <c r="Y19" s="586" t="str">
        <f t="shared" si="1"/>
        <v/>
      </c>
      <c r="Z19" s="586" t="str">
        <f t="shared" si="2"/>
        <v/>
      </c>
    </row>
    <row r="20" spans="1:26" ht="12" hidden="1" thickBot="1" x14ac:dyDescent="0.25">
      <c r="A20" s="567">
        <v>830000</v>
      </c>
      <c r="B20" s="644" t="s">
        <v>1724</v>
      </c>
      <c r="C20" s="645" t="s">
        <v>206</v>
      </c>
      <c r="D20" s="416" t="s">
        <v>281</v>
      </c>
      <c r="E20" s="417"/>
      <c r="F20" s="418"/>
      <c r="G20" s="419"/>
      <c r="H20" s="646">
        <v>0</v>
      </c>
      <c r="I20" s="414">
        <v>34.14</v>
      </c>
      <c r="J20" s="420">
        <f t="shared" si="3"/>
        <v>34.14</v>
      </c>
      <c r="K20" s="421">
        <f t="shared" si="4"/>
        <v>40.56</v>
      </c>
      <c r="L20" s="647" t="s">
        <v>19</v>
      </c>
      <c r="M20" s="576"/>
      <c r="N20" s="576">
        <f t="shared" ref="N20:N83" si="5">IF(M20=0,0,K20)</f>
        <v>0</v>
      </c>
      <c r="O20" s="642">
        <f t="shared" ref="O20:O87" si="6">IF(ISBLANK(M20),0,ROUND(K20*M20,2))</f>
        <v>0</v>
      </c>
      <c r="P20" s="578">
        <f t="shared" ref="P20:P87" si="7">IF(ISBLANK(N20),0,ROUND(M20*N20,2))</f>
        <v>0</v>
      </c>
      <c r="Q20" s="765"/>
      <c r="R20" s="576">
        <f t="shared" ref="R20:S87" si="8">M20</f>
        <v>0</v>
      </c>
      <c r="S20" s="576">
        <f t="shared" si="8"/>
        <v>0</v>
      </c>
      <c r="T20" s="577">
        <f t="shared" ref="T20:T87" si="9">IF(ISBLANK(R20),0,ROUND(K20*R20,2))</f>
        <v>0</v>
      </c>
      <c r="U20" s="578">
        <f t="shared" ref="U20:U87" si="10">IF(ISBLANK(R20),0,ROUND(R20*S20,2))</f>
        <v>0</v>
      </c>
      <c r="V20" s="579"/>
      <c r="W20" s="566"/>
      <c r="X20" s="586" t="str">
        <f t="shared" si="0"/>
        <v/>
      </c>
      <c r="Y20" s="586" t="str">
        <f t="shared" si="1"/>
        <v/>
      </c>
      <c r="Z20" s="586" t="str">
        <f t="shared" si="2"/>
        <v/>
      </c>
    </row>
    <row r="21" spans="1:26" ht="12" hidden="1" thickBot="1" x14ac:dyDescent="0.25">
      <c r="A21" s="648">
        <v>606600</v>
      </c>
      <c r="B21" s="644" t="s">
        <v>1725</v>
      </c>
      <c r="C21" s="645" t="s">
        <v>206</v>
      </c>
      <c r="D21" s="422" t="s">
        <v>200</v>
      </c>
      <c r="E21" s="423"/>
      <c r="F21" s="424"/>
      <c r="G21" s="419"/>
      <c r="H21" s="646"/>
      <c r="I21" s="414">
        <v>300.33999999999997</v>
      </c>
      <c r="J21" s="420">
        <f t="shared" si="3"/>
        <v>300.33999999999997</v>
      </c>
      <c r="K21" s="421">
        <f t="shared" si="4"/>
        <v>356.83</v>
      </c>
      <c r="L21" s="647" t="s">
        <v>16</v>
      </c>
      <c r="M21" s="576"/>
      <c r="N21" s="576">
        <f t="shared" si="5"/>
        <v>0</v>
      </c>
      <c r="O21" s="642">
        <f t="shared" si="6"/>
        <v>0</v>
      </c>
      <c r="P21" s="578">
        <f t="shared" si="7"/>
        <v>0</v>
      </c>
      <c r="Q21" s="765"/>
      <c r="R21" s="576">
        <f t="shared" si="8"/>
        <v>0</v>
      </c>
      <c r="S21" s="576">
        <f t="shared" si="8"/>
        <v>0</v>
      </c>
      <c r="T21" s="577">
        <f t="shared" si="9"/>
        <v>0</v>
      </c>
      <c r="U21" s="578">
        <f t="shared" si="10"/>
        <v>0</v>
      </c>
      <c r="V21" s="579"/>
      <c r="W21" s="566"/>
      <c r="X21" s="586" t="str">
        <f t="shared" si="0"/>
        <v/>
      </c>
      <c r="Y21" s="586" t="str">
        <f t="shared" si="1"/>
        <v/>
      </c>
      <c r="Z21" s="586" t="str">
        <f t="shared" si="2"/>
        <v/>
      </c>
    </row>
    <row r="22" spans="1:26" ht="12" hidden="1" thickBot="1" x14ac:dyDescent="0.25">
      <c r="A22" s="648">
        <v>606700</v>
      </c>
      <c r="B22" s="644" t="s">
        <v>1726</v>
      </c>
      <c r="C22" s="645" t="s">
        <v>206</v>
      </c>
      <c r="D22" s="422" t="s">
        <v>199</v>
      </c>
      <c r="E22" s="423"/>
      <c r="F22" s="424"/>
      <c r="G22" s="419"/>
      <c r="H22" s="646"/>
      <c r="I22" s="414">
        <v>143.94</v>
      </c>
      <c r="J22" s="420">
        <f t="shared" si="3"/>
        <v>143.94</v>
      </c>
      <c r="K22" s="421">
        <f t="shared" si="4"/>
        <v>171.02</v>
      </c>
      <c r="L22" s="647" t="s">
        <v>16</v>
      </c>
      <c r="M22" s="576"/>
      <c r="N22" s="576">
        <f t="shared" si="5"/>
        <v>0</v>
      </c>
      <c r="O22" s="577">
        <f t="shared" si="6"/>
        <v>0</v>
      </c>
      <c r="P22" s="578">
        <f t="shared" si="7"/>
        <v>0</v>
      </c>
      <c r="Q22" s="765"/>
      <c r="R22" s="576">
        <f t="shared" si="8"/>
        <v>0</v>
      </c>
      <c r="S22" s="576">
        <f t="shared" si="8"/>
        <v>0</v>
      </c>
      <c r="T22" s="577">
        <f t="shared" si="9"/>
        <v>0</v>
      </c>
      <c r="U22" s="578">
        <f t="shared" si="10"/>
        <v>0</v>
      </c>
      <c r="V22" s="579"/>
      <c r="W22" s="566"/>
      <c r="X22" s="586" t="str">
        <f t="shared" si="0"/>
        <v/>
      </c>
      <c r="Y22" s="586" t="str">
        <f t="shared" si="1"/>
        <v/>
      </c>
      <c r="Z22" s="586" t="str">
        <f t="shared" si="2"/>
        <v/>
      </c>
    </row>
    <row r="23" spans="1:26" ht="12" hidden="1" thickBot="1" x14ac:dyDescent="0.25">
      <c r="A23" s="567">
        <v>512000</v>
      </c>
      <c r="B23" s="644">
        <v>512000</v>
      </c>
      <c r="C23" s="645" t="s">
        <v>206</v>
      </c>
      <c r="D23" s="422" t="s">
        <v>201</v>
      </c>
      <c r="E23" s="423"/>
      <c r="F23" s="424">
        <v>1</v>
      </c>
      <c r="G23" s="425">
        <v>1.86</v>
      </c>
      <c r="H23" s="649">
        <f>IF(F23&lt;=30,(1.07*F23+2.68)*G23,((1.07*30+2.68)+1.07*(F23-30))*G23)</f>
        <v>6.9750000000000005</v>
      </c>
      <c r="I23" s="414">
        <v>59.38</v>
      </c>
      <c r="J23" s="420">
        <f t="shared" si="3"/>
        <v>66.355000000000004</v>
      </c>
      <c r="K23" s="421">
        <f t="shared" si="4"/>
        <v>78.84</v>
      </c>
      <c r="L23" s="647" t="s">
        <v>16</v>
      </c>
      <c r="M23" s="576"/>
      <c r="N23" s="576">
        <f t="shared" si="5"/>
        <v>0</v>
      </c>
      <c r="O23" s="577">
        <f t="shared" si="6"/>
        <v>0</v>
      </c>
      <c r="P23" s="578">
        <f t="shared" si="7"/>
        <v>0</v>
      </c>
      <c r="Q23" s="765"/>
      <c r="R23" s="576">
        <f t="shared" si="8"/>
        <v>0</v>
      </c>
      <c r="S23" s="576">
        <f t="shared" si="8"/>
        <v>0</v>
      </c>
      <c r="T23" s="577">
        <f t="shared" si="9"/>
        <v>0</v>
      </c>
      <c r="U23" s="578">
        <f t="shared" si="10"/>
        <v>0</v>
      </c>
      <c r="V23" s="579"/>
      <c r="W23" s="566"/>
      <c r="X23" s="586" t="str">
        <f t="shared" si="0"/>
        <v/>
      </c>
      <c r="Y23" s="586" t="str">
        <f t="shared" si="1"/>
        <v/>
      </c>
      <c r="Z23" s="586" t="str">
        <f t="shared" si="2"/>
        <v/>
      </c>
    </row>
    <row r="24" spans="1:26" ht="12" hidden="1" thickBot="1" x14ac:dyDescent="0.25">
      <c r="A24" s="567">
        <v>512050</v>
      </c>
      <c r="B24" s="644">
        <v>512050</v>
      </c>
      <c r="C24" s="645" t="s">
        <v>206</v>
      </c>
      <c r="D24" s="422" t="s">
        <v>592</v>
      </c>
      <c r="E24" s="423"/>
      <c r="F24" s="424">
        <v>1</v>
      </c>
      <c r="G24" s="425">
        <v>1.86</v>
      </c>
      <c r="H24" s="649">
        <f t="shared" ref="H24:H28" si="11">IF(F24&lt;=30,(1.07*F24+2.68)*G24,((1.07*30+2.68)+1.07*(F24-30))*G24)</f>
        <v>6.9750000000000005</v>
      </c>
      <c r="I24" s="414">
        <v>41.37</v>
      </c>
      <c r="J24" s="420">
        <f t="shared" si="3"/>
        <v>48.344999999999999</v>
      </c>
      <c r="K24" s="421">
        <f t="shared" si="4"/>
        <v>57.44</v>
      </c>
      <c r="L24" s="647" t="s">
        <v>16</v>
      </c>
      <c r="M24" s="576"/>
      <c r="N24" s="576">
        <f t="shared" si="5"/>
        <v>0</v>
      </c>
      <c r="O24" s="577">
        <f t="shared" si="6"/>
        <v>0</v>
      </c>
      <c r="P24" s="578">
        <f t="shared" si="7"/>
        <v>0</v>
      </c>
      <c r="Q24" s="765"/>
      <c r="R24" s="576">
        <f t="shared" si="8"/>
        <v>0</v>
      </c>
      <c r="S24" s="576">
        <f t="shared" si="8"/>
        <v>0</v>
      </c>
      <c r="T24" s="577">
        <f t="shared" si="9"/>
        <v>0</v>
      </c>
      <c r="U24" s="578">
        <f t="shared" si="10"/>
        <v>0</v>
      </c>
      <c r="V24" s="579"/>
      <c r="W24" s="566"/>
      <c r="X24" s="586" t="str">
        <f t="shared" si="0"/>
        <v/>
      </c>
      <c r="Y24" s="586" t="str">
        <f t="shared" si="1"/>
        <v/>
      </c>
      <c r="Z24" s="586" t="str">
        <f t="shared" si="2"/>
        <v/>
      </c>
    </row>
    <row r="25" spans="1:26" ht="12" hidden="1" thickBot="1" x14ac:dyDescent="0.25">
      <c r="A25" s="567">
        <v>810250</v>
      </c>
      <c r="B25" s="644" t="s">
        <v>486</v>
      </c>
      <c r="C25" s="645" t="s">
        <v>206</v>
      </c>
      <c r="D25" s="422" t="s">
        <v>488</v>
      </c>
      <c r="E25" s="423"/>
      <c r="F25" s="424">
        <v>10</v>
      </c>
      <c r="G25" s="425">
        <f>ROUND(0.017*2.34,4)</f>
        <v>3.9800000000000002E-2</v>
      </c>
      <c r="H25" s="649">
        <f t="shared" si="11"/>
        <v>0.53252400000000011</v>
      </c>
      <c r="I25" s="420">
        <v>19.262602000000001</v>
      </c>
      <c r="J25" s="420">
        <f t="shared" si="3"/>
        <v>19.795126</v>
      </c>
      <c r="K25" s="421">
        <f t="shared" si="4"/>
        <v>23.52</v>
      </c>
      <c r="L25" s="647" t="s">
        <v>19</v>
      </c>
      <c r="M25" s="576"/>
      <c r="N25" s="576">
        <f t="shared" si="5"/>
        <v>0</v>
      </c>
      <c r="O25" s="577">
        <f t="shared" si="6"/>
        <v>0</v>
      </c>
      <c r="P25" s="578">
        <f t="shared" si="7"/>
        <v>0</v>
      </c>
      <c r="Q25" s="765"/>
      <c r="R25" s="576">
        <f t="shared" si="8"/>
        <v>0</v>
      </c>
      <c r="S25" s="576">
        <f t="shared" si="8"/>
        <v>0</v>
      </c>
      <c r="T25" s="577">
        <f t="shared" si="9"/>
        <v>0</v>
      </c>
      <c r="U25" s="578">
        <f t="shared" si="10"/>
        <v>0</v>
      </c>
      <c r="V25" s="579"/>
      <c r="W25" s="566"/>
      <c r="X25" s="586" t="str">
        <f t="shared" si="0"/>
        <v/>
      </c>
      <c r="Y25" s="586" t="str">
        <f t="shared" si="1"/>
        <v/>
      </c>
      <c r="Z25" s="586" t="str">
        <f t="shared" si="2"/>
        <v/>
      </c>
    </row>
    <row r="26" spans="1:26" ht="12" hidden="1" thickBot="1" x14ac:dyDescent="0.25">
      <c r="A26" s="567">
        <v>810250</v>
      </c>
      <c r="B26" s="644" t="s">
        <v>487</v>
      </c>
      <c r="C26" s="645" t="s">
        <v>206</v>
      </c>
      <c r="D26" s="422" t="s">
        <v>616</v>
      </c>
      <c r="E26" s="423"/>
      <c r="F26" s="424">
        <v>10</v>
      </c>
      <c r="G26" s="425">
        <f>ROUND(0.01125*2.34,4)</f>
        <v>2.63E-2</v>
      </c>
      <c r="H26" s="649">
        <f t="shared" si="11"/>
        <v>0.35189400000000004</v>
      </c>
      <c r="I26" s="420">
        <v>12.672704</v>
      </c>
      <c r="J26" s="420">
        <f t="shared" si="3"/>
        <v>13.024597999999999</v>
      </c>
      <c r="K26" s="421">
        <f t="shared" si="4"/>
        <v>15.47</v>
      </c>
      <c r="L26" s="647" t="s">
        <v>19</v>
      </c>
      <c r="M26" s="576"/>
      <c r="N26" s="576">
        <f t="shared" si="5"/>
        <v>0</v>
      </c>
      <c r="O26" s="577">
        <f t="shared" si="6"/>
        <v>0</v>
      </c>
      <c r="P26" s="578">
        <f t="shared" si="7"/>
        <v>0</v>
      </c>
      <c r="Q26" s="765"/>
      <c r="R26" s="576">
        <f t="shared" si="8"/>
        <v>0</v>
      </c>
      <c r="S26" s="576">
        <f t="shared" si="8"/>
        <v>0</v>
      </c>
      <c r="T26" s="577">
        <f t="shared" si="9"/>
        <v>0</v>
      </c>
      <c r="U26" s="578">
        <f t="shared" si="10"/>
        <v>0</v>
      </c>
      <c r="V26" s="579"/>
      <c r="W26" s="566"/>
      <c r="X26" s="586" t="str">
        <f t="shared" si="0"/>
        <v/>
      </c>
      <c r="Y26" s="586" t="str">
        <f t="shared" si="1"/>
        <v/>
      </c>
      <c r="Z26" s="586" t="str">
        <f t="shared" si="2"/>
        <v/>
      </c>
    </row>
    <row r="27" spans="1:26" ht="12" hidden="1" thickBot="1" x14ac:dyDescent="0.25">
      <c r="A27" s="567">
        <v>810250</v>
      </c>
      <c r="B27" s="644" t="s">
        <v>489</v>
      </c>
      <c r="C27" s="645" t="s">
        <v>206</v>
      </c>
      <c r="D27" s="422" t="s">
        <v>490</v>
      </c>
      <c r="E27" s="423"/>
      <c r="F27" s="424">
        <v>10</v>
      </c>
      <c r="G27" s="425">
        <f>ROUND(0.014*2.34,4)</f>
        <v>3.2800000000000003E-2</v>
      </c>
      <c r="H27" s="649">
        <f t="shared" si="11"/>
        <v>0.43886400000000009</v>
      </c>
      <c r="I27" s="420">
        <v>15.770599499999998</v>
      </c>
      <c r="J27" s="420">
        <f t="shared" si="3"/>
        <v>16.209463499999998</v>
      </c>
      <c r="K27" s="421">
        <f t="shared" si="4"/>
        <v>19.260000000000002</v>
      </c>
      <c r="L27" s="647" t="s">
        <v>19</v>
      </c>
      <c r="M27" s="576"/>
      <c r="N27" s="576">
        <f t="shared" si="5"/>
        <v>0</v>
      </c>
      <c r="O27" s="577">
        <f t="shared" si="6"/>
        <v>0</v>
      </c>
      <c r="P27" s="578">
        <f t="shared" si="7"/>
        <v>0</v>
      </c>
      <c r="Q27" s="765"/>
      <c r="R27" s="576">
        <f t="shared" si="8"/>
        <v>0</v>
      </c>
      <c r="S27" s="576">
        <f t="shared" si="8"/>
        <v>0</v>
      </c>
      <c r="T27" s="577">
        <f t="shared" si="9"/>
        <v>0</v>
      </c>
      <c r="U27" s="578">
        <f t="shared" si="10"/>
        <v>0</v>
      </c>
      <c r="V27" s="579"/>
      <c r="W27" s="566"/>
      <c r="X27" s="586" t="str">
        <f t="shared" si="0"/>
        <v/>
      </c>
      <c r="Y27" s="586" t="str">
        <f t="shared" si="1"/>
        <v/>
      </c>
      <c r="Z27" s="586" t="str">
        <f t="shared" si="2"/>
        <v/>
      </c>
    </row>
    <row r="28" spans="1:26" ht="12" hidden="1" thickBot="1" x14ac:dyDescent="0.25">
      <c r="A28" s="567" t="s">
        <v>2063</v>
      </c>
      <c r="B28" s="644" t="s">
        <v>1520</v>
      </c>
      <c r="C28" s="645" t="s">
        <v>484</v>
      </c>
      <c r="D28" s="422" t="s">
        <v>491</v>
      </c>
      <c r="E28" s="423"/>
      <c r="F28" s="424">
        <v>10</v>
      </c>
      <c r="G28" s="425">
        <f>ROUND(0.012*1.8,4)</f>
        <v>2.1600000000000001E-2</v>
      </c>
      <c r="H28" s="649">
        <f t="shared" si="11"/>
        <v>0.28900800000000004</v>
      </c>
      <c r="I28" s="420">
        <v>41.73</v>
      </c>
      <c r="J28" s="420">
        <f t="shared" si="3"/>
        <v>42.019007999999999</v>
      </c>
      <c r="K28" s="421">
        <f t="shared" si="4"/>
        <v>49.92</v>
      </c>
      <c r="L28" s="647" t="s">
        <v>19</v>
      </c>
      <c r="M28" s="576"/>
      <c r="N28" s="576">
        <f t="shared" si="5"/>
        <v>0</v>
      </c>
      <c r="O28" s="577">
        <f t="shared" si="6"/>
        <v>0</v>
      </c>
      <c r="P28" s="578">
        <f t="shared" si="7"/>
        <v>0</v>
      </c>
      <c r="Q28" s="765"/>
      <c r="R28" s="576">
        <f t="shared" si="8"/>
        <v>0</v>
      </c>
      <c r="S28" s="576">
        <f t="shared" si="8"/>
        <v>0</v>
      </c>
      <c r="T28" s="577">
        <f t="shared" si="9"/>
        <v>0</v>
      </c>
      <c r="U28" s="578">
        <f t="shared" si="10"/>
        <v>0</v>
      </c>
      <c r="V28" s="579"/>
      <c r="W28" s="566"/>
      <c r="X28" s="586" t="str">
        <f t="shared" si="0"/>
        <v/>
      </c>
      <c r="Y28" s="586" t="str">
        <f t="shared" si="1"/>
        <v/>
      </c>
      <c r="Z28" s="586" t="str">
        <f t="shared" si="2"/>
        <v/>
      </c>
    </row>
    <row r="29" spans="1:26" ht="12" hidden="1" thickBot="1" x14ac:dyDescent="0.25">
      <c r="A29" s="567">
        <v>600310</v>
      </c>
      <c r="B29" s="644" t="s">
        <v>1521</v>
      </c>
      <c r="C29" s="645" t="s">
        <v>206</v>
      </c>
      <c r="D29" s="416" t="s">
        <v>474</v>
      </c>
      <c r="E29" s="417"/>
      <c r="F29" s="418"/>
      <c r="G29" s="419"/>
      <c r="H29" s="646"/>
      <c r="I29" s="420">
        <v>138.22</v>
      </c>
      <c r="J29" s="420">
        <f t="shared" si="3"/>
        <v>138.22</v>
      </c>
      <c r="K29" s="421">
        <f t="shared" si="4"/>
        <v>164.22</v>
      </c>
      <c r="L29" s="647" t="s">
        <v>21</v>
      </c>
      <c r="M29" s="576"/>
      <c r="N29" s="576">
        <f t="shared" si="5"/>
        <v>0</v>
      </c>
      <c r="O29" s="577">
        <f t="shared" si="6"/>
        <v>0</v>
      </c>
      <c r="P29" s="578">
        <f t="shared" si="7"/>
        <v>0</v>
      </c>
      <c r="Q29" s="765"/>
      <c r="R29" s="576">
        <f t="shared" si="8"/>
        <v>0</v>
      </c>
      <c r="S29" s="576">
        <f t="shared" si="8"/>
        <v>0</v>
      </c>
      <c r="T29" s="577">
        <f t="shared" si="9"/>
        <v>0</v>
      </c>
      <c r="U29" s="578">
        <f t="shared" si="10"/>
        <v>0</v>
      </c>
      <c r="V29" s="579"/>
      <c r="W29" s="566"/>
      <c r="X29" s="586" t="str">
        <f t="shared" si="0"/>
        <v/>
      </c>
      <c r="Y29" s="586" t="str">
        <f t="shared" si="1"/>
        <v/>
      </c>
      <c r="Z29" s="586" t="str">
        <f t="shared" si="2"/>
        <v/>
      </c>
    </row>
    <row r="30" spans="1:26" ht="12" hidden="1" thickBot="1" x14ac:dyDescent="0.25">
      <c r="A30" s="567">
        <v>800900</v>
      </c>
      <c r="B30" s="644" t="s">
        <v>1522</v>
      </c>
      <c r="C30" s="645" t="s">
        <v>206</v>
      </c>
      <c r="D30" s="416" t="s">
        <v>475</v>
      </c>
      <c r="E30" s="417"/>
      <c r="F30" s="418"/>
      <c r="G30" s="419"/>
      <c r="H30" s="646"/>
      <c r="I30" s="420">
        <v>13.34</v>
      </c>
      <c r="J30" s="420">
        <f t="shared" si="3"/>
        <v>13.34</v>
      </c>
      <c r="K30" s="421">
        <f t="shared" si="4"/>
        <v>15.85</v>
      </c>
      <c r="L30" s="647" t="s">
        <v>18</v>
      </c>
      <c r="M30" s="576"/>
      <c r="N30" s="576">
        <f t="shared" si="5"/>
        <v>0</v>
      </c>
      <c r="O30" s="577">
        <f t="shared" si="6"/>
        <v>0</v>
      </c>
      <c r="P30" s="578">
        <f t="shared" si="7"/>
        <v>0</v>
      </c>
      <c r="Q30" s="765"/>
      <c r="R30" s="576">
        <f t="shared" si="8"/>
        <v>0</v>
      </c>
      <c r="S30" s="576">
        <f t="shared" si="8"/>
        <v>0</v>
      </c>
      <c r="T30" s="577">
        <f t="shared" si="9"/>
        <v>0</v>
      </c>
      <c r="U30" s="578">
        <f t="shared" si="10"/>
        <v>0</v>
      </c>
      <c r="V30" s="579"/>
      <c r="W30" s="566"/>
      <c r="X30" s="586" t="str">
        <f t="shared" si="0"/>
        <v/>
      </c>
      <c r="Y30" s="586" t="str">
        <f t="shared" si="1"/>
        <v/>
      </c>
      <c r="Z30" s="586" t="str">
        <f t="shared" si="2"/>
        <v/>
      </c>
    </row>
    <row r="31" spans="1:26" ht="12" hidden="1" thickBot="1" x14ac:dyDescent="0.25">
      <c r="A31" s="567">
        <v>801100</v>
      </c>
      <c r="B31" s="644" t="s">
        <v>1523</v>
      </c>
      <c r="C31" s="645" t="s">
        <v>206</v>
      </c>
      <c r="D31" s="416" t="s">
        <v>293</v>
      </c>
      <c r="E31" s="417"/>
      <c r="F31" s="418"/>
      <c r="G31" s="419"/>
      <c r="H31" s="646"/>
      <c r="I31" s="420">
        <v>19.09</v>
      </c>
      <c r="J31" s="420">
        <f t="shared" si="3"/>
        <v>19.09</v>
      </c>
      <c r="K31" s="421">
        <f t="shared" si="4"/>
        <v>22.68</v>
      </c>
      <c r="L31" s="647" t="s">
        <v>18</v>
      </c>
      <c r="M31" s="576"/>
      <c r="N31" s="576">
        <f t="shared" si="5"/>
        <v>0</v>
      </c>
      <c r="O31" s="577">
        <f t="shared" si="6"/>
        <v>0</v>
      </c>
      <c r="P31" s="578">
        <f t="shared" si="7"/>
        <v>0</v>
      </c>
      <c r="Q31" s="765"/>
      <c r="R31" s="650">
        <f t="shared" si="8"/>
        <v>0</v>
      </c>
      <c r="S31" s="587">
        <f t="shared" si="8"/>
        <v>0</v>
      </c>
      <c r="T31" s="577">
        <f t="shared" si="9"/>
        <v>0</v>
      </c>
      <c r="U31" s="578">
        <f t="shared" si="10"/>
        <v>0</v>
      </c>
      <c r="V31" s="579"/>
      <c r="W31" s="566"/>
      <c r="X31" s="586" t="str">
        <f t="shared" si="0"/>
        <v/>
      </c>
      <c r="Y31" s="586" t="str">
        <f t="shared" si="1"/>
        <v/>
      </c>
      <c r="Z31" s="586" t="str">
        <f t="shared" si="2"/>
        <v/>
      </c>
    </row>
    <row r="32" spans="1:26" ht="12" hidden="1" thickBot="1" x14ac:dyDescent="0.25">
      <c r="A32" s="567">
        <v>600510</v>
      </c>
      <c r="B32" s="644" t="s">
        <v>1524</v>
      </c>
      <c r="C32" s="645" t="s">
        <v>206</v>
      </c>
      <c r="D32" s="416" t="s">
        <v>476</v>
      </c>
      <c r="E32" s="417"/>
      <c r="F32" s="418"/>
      <c r="G32" s="419"/>
      <c r="H32" s="646"/>
      <c r="I32" s="420">
        <v>2.39</v>
      </c>
      <c r="J32" s="420">
        <f t="shared" si="3"/>
        <v>2.39</v>
      </c>
      <c r="K32" s="421">
        <f t="shared" si="4"/>
        <v>2.84</v>
      </c>
      <c r="L32" s="647" t="s">
        <v>19</v>
      </c>
      <c r="M32" s="576"/>
      <c r="N32" s="576">
        <f t="shared" si="5"/>
        <v>0</v>
      </c>
      <c r="O32" s="577">
        <f t="shared" si="6"/>
        <v>0</v>
      </c>
      <c r="P32" s="578">
        <f t="shared" si="7"/>
        <v>0</v>
      </c>
      <c r="Q32" s="765"/>
      <c r="R32" s="650">
        <f t="shared" si="8"/>
        <v>0</v>
      </c>
      <c r="S32" s="587">
        <f t="shared" si="8"/>
        <v>0</v>
      </c>
      <c r="T32" s="577">
        <f>IF(ISBLANK(R32),0,ROUND(K32*R32,2))</f>
        <v>0</v>
      </c>
      <c r="U32" s="578">
        <f>IF(ISBLANK(R32),0,ROUND(R32*S32,2))</f>
        <v>0</v>
      </c>
      <c r="V32" s="579"/>
      <c r="W32" s="566"/>
      <c r="X32" s="586" t="str">
        <f t="shared" si="0"/>
        <v/>
      </c>
      <c r="Y32" s="586" t="str">
        <f t="shared" si="1"/>
        <v/>
      </c>
      <c r="Z32" s="586" t="str">
        <f t="shared" si="2"/>
        <v/>
      </c>
    </row>
    <row r="33" spans="1:26" ht="23.25" hidden="1" thickBot="1" x14ac:dyDescent="0.25">
      <c r="A33" s="567" t="s">
        <v>800</v>
      </c>
      <c r="B33" s="644" t="s">
        <v>800</v>
      </c>
      <c r="C33" s="645" t="s">
        <v>1525</v>
      </c>
      <c r="D33" s="422" t="s">
        <v>801</v>
      </c>
      <c r="E33" s="423"/>
      <c r="F33" s="424"/>
      <c r="G33" s="425"/>
      <c r="H33" s="651"/>
      <c r="I33" s="420">
        <v>3199.34</v>
      </c>
      <c r="J33" s="420">
        <f t="shared" si="3"/>
        <v>3199.34</v>
      </c>
      <c r="K33" s="421">
        <f>IF(ISBLANK(I33),0,ROUND(J33*(1+$F$10)*(1+$F$11*E33),2))</f>
        <v>3801.14</v>
      </c>
      <c r="L33" s="647" t="s">
        <v>21</v>
      </c>
      <c r="M33" s="576"/>
      <c r="N33" s="576">
        <f t="shared" si="5"/>
        <v>0</v>
      </c>
      <c r="O33" s="577">
        <f t="shared" si="6"/>
        <v>0</v>
      </c>
      <c r="P33" s="578">
        <f t="shared" si="7"/>
        <v>0</v>
      </c>
      <c r="Q33" s="765"/>
      <c r="R33" s="650">
        <f t="shared" si="8"/>
        <v>0</v>
      </c>
      <c r="S33" s="587">
        <f t="shared" si="8"/>
        <v>0</v>
      </c>
      <c r="T33" s="577">
        <f t="shared" si="9"/>
        <v>0</v>
      </c>
      <c r="U33" s="578">
        <f t="shared" si="10"/>
        <v>0</v>
      </c>
      <c r="V33" s="579"/>
      <c r="W33" s="637"/>
      <c r="X33" s="586" t="str">
        <f>IF(W33="X","x",IF(W33="xx","x",IF(W33="xy","x",IF(W33="y","x",IF(OR(P33&gt;0,U33&gt;0),"x","")))))</f>
        <v/>
      </c>
      <c r="Y33" s="586" t="str">
        <f>IF(W33="X","x",IF(W33="y","x",IF(W33="xx","x",IF(U33&gt;0,"x",""))))</f>
        <v/>
      </c>
      <c r="Z33" s="586" t="str">
        <f>IF(W33="X","x",IF(U33&gt;0,"x",""))</f>
        <v/>
      </c>
    </row>
    <row r="34" spans="1:26" ht="23.25" hidden="1" thickBot="1" x14ac:dyDescent="0.25">
      <c r="A34" s="567" t="s">
        <v>2064</v>
      </c>
      <c r="B34" s="644" t="s">
        <v>1592</v>
      </c>
      <c r="C34" s="645" t="s">
        <v>1525</v>
      </c>
      <c r="D34" s="422" t="s">
        <v>803</v>
      </c>
      <c r="E34" s="423"/>
      <c r="F34" s="424"/>
      <c r="G34" s="425"/>
      <c r="H34" s="651"/>
      <c r="I34" s="420">
        <v>1752.27</v>
      </c>
      <c r="J34" s="420">
        <f t="shared" si="3"/>
        <v>1752.27</v>
      </c>
      <c r="K34" s="421">
        <f>IF(ISBLANK(I34),0,ROUND(J34*(1+$F$10)*(1+$F$11*E34),2))</f>
        <v>2081.87</v>
      </c>
      <c r="L34" s="647" t="s">
        <v>21</v>
      </c>
      <c r="M34" s="576"/>
      <c r="N34" s="576">
        <f t="shared" si="5"/>
        <v>0</v>
      </c>
      <c r="O34" s="577">
        <f t="shared" si="6"/>
        <v>0</v>
      </c>
      <c r="P34" s="578">
        <f t="shared" si="7"/>
        <v>0</v>
      </c>
      <c r="Q34" s="765"/>
      <c r="R34" s="650">
        <f t="shared" si="8"/>
        <v>0</v>
      </c>
      <c r="S34" s="587">
        <f t="shared" si="8"/>
        <v>0</v>
      </c>
      <c r="T34" s="577">
        <f t="shared" si="9"/>
        <v>0</v>
      </c>
      <c r="U34" s="578">
        <f t="shared" si="10"/>
        <v>0</v>
      </c>
      <c r="V34" s="579"/>
      <c r="W34" s="637"/>
      <c r="X34" s="586" t="str">
        <f>IF(W34="X","x",IF(W34="xx","x",IF(W34="xy","x",IF(W34="y","x",IF(OR(P34&gt;0,U34&gt;0),"x","")))))</f>
        <v/>
      </c>
      <c r="Y34" s="586" t="str">
        <f>IF(W34="X","x",IF(W34="y","x",IF(W34="xx","x",IF(U34&gt;0,"x",""))))</f>
        <v/>
      </c>
      <c r="Z34" s="586" t="str">
        <f>IF(W34="X","x",IF(U34&gt;0,"x",""))</f>
        <v/>
      </c>
    </row>
    <row r="35" spans="1:26" ht="12" hidden="1" thickBot="1" x14ac:dyDescent="0.25">
      <c r="A35" s="567" t="s">
        <v>802</v>
      </c>
      <c r="B35" s="644" t="s">
        <v>802</v>
      </c>
      <c r="C35" s="645" t="s">
        <v>1525</v>
      </c>
      <c r="D35" s="422" t="s">
        <v>1526</v>
      </c>
      <c r="E35" s="423"/>
      <c r="F35" s="424"/>
      <c r="G35" s="425"/>
      <c r="H35" s="651"/>
      <c r="I35" s="420">
        <v>112.45</v>
      </c>
      <c r="J35" s="420">
        <f t="shared" si="3"/>
        <v>112.45</v>
      </c>
      <c r="K35" s="421">
        <f>IF(ISBLANK(I35),0,ROUND(J35*(1+$F$10)*(1+$F$11*E35),2))</f>
        <v>133.6</v>
      </c>
      <c r="L35" s="647" t="s">
        <v>21</v>
      </c>
      <c r="M35" s="576"/>
      <c r="N35" s="576">
        <f t="shared" si="5"/>
        <v>0</v>
      </c>
      <c r="O35" s="577">
        <f t="shared" si="6"/>
        <v>0</v>
      </c>
      <c r="P35" s="578">
        <f t="shared" si="7"/>
        <v>0</v>
      </c>
      <c r="Q35" s="765"/>
      <c r="R35" s="650">
        <f t="shared" si="8"/>
        <v>0</v>
      </c>
      <c r="S35" s="587">
        <f t="shared" si="8"/>
        <v>0</v>
      </c>
      <c r="T35" s="577">
        <f t="shared" si="9"/>
        <v>0</v>
      </c>
      <c r="U35" s="578">
        <f t="shared" si="10"/>
        <v>0</v>
      </c>
      <c r="V35" s="579"/>
      <c r="W35" s="637"/>
      <c r="X35" s="586" t="str">
        <f>IF(W35="X","x",IF(W35="xx","x",IF(W35="xy","x",IF(W35="y","x",IF(OR(P35&gt;0,U35&gt;0),"x","")))))</f>
        <v/>
      </c>
      <c r="Y35" s="586" t="str">
        <f>IF(W35="X","x",IF(W35="y","x",IF(W35="xx","x",IF(U35&gt;0,"x",""))))</f>
        <v/>
      </c>
      <c r="Z35" s="586" t="str">
        <f>IF(W35="X","x",IF(U35&gt;0,"x",""))</f>
        <v/>
      </c>
    </row>
    <row r="36" spans="1:26" ht="12" hidden="1" thickBot="1" x14ac:dyDescent="0.25">
      <c r="A36" s="567">
        <v>841000</v>
      </c>
      <c r="B36" s="644" t="s">
        <v>1527</v>
      </c>
      <c r="C36" s="645" t="s">
        <v>206</v>
      </c>
      <c r="D36" s="416" t="s">
        <v>477</v>
      </c>
      <c r="E36" s="417"/>
      <c r="F36" s="418"/>
      <c r="G36" s="419"/>
      <c r="H36" s="646"/>
      <c r="I36" s="420">
        <v>11.64</v>
      </c>
      <c r="J36" s="420">
        <f t="shared" si="3"/>
        <v>11.64</v>
      </c>
      <c r="K36" s="421">
        <f t="shared" si="4"/>
        <v>13.83</v>
      </c>
      <c r="L36" s="647" t="s">
        <v>19</v>
      </c>
      <c r="M36" s="576"/>
      <c r="N36" s="576">
        <f t="shared" si="5"/>
        <v>0</v>
      </c>
      <c r="O36" s="577">
        <f t="shared" si="6"/>
        <v>0</v>
      </c>
      <c r="P36" s="578">
        <f t="shared" si="7"/>
        <v>0</v>
      </c>
      <c r="Q36" s="765"/>
      <c r="R36" s="650">
        <f t="shared" si="8"/>
        <v>0</v>
      </c>
      <c r="S36" s="587">
        <f t="shared" si="8"/>
        <v>0</v>
      </c>
      <c r="T36" s="577">
        <f t="shared" si="9"/>
        <v>0</v>
      </c>
      <c r="U36" s="578">
        <f t="shared" si="10"/>
        <v>0</v>
      </c>
      <c r="V36" s="579"/>
      <c r="W36" s="566"/>
      <c r="X36" s="586" t="str">
        <f t="shared" si="0"/>
        <v/>
      </c>
      <c r="Y36" s="586" t="str">
        <f t="shared" si="1"/>
        <v/>
      </c>
      <c r="Z36" s="586" t="str">
        <f t="shared" si="2"/>
        <v/>
      </c>
    </row>
    <row r="37" spans="1:26" ht="12" hidden="1" thickBot="1" x14ac:dyDescent="0.25">
      <c r="A37" s="567">
        <v>840000</v>
      </c>
      <c r="B37" s="644" t="s">
        <v>1528</v>
      </c>
      <c r="C37" s="645" t="s">
        <v>206</v>
      </c>
      <c r="D37" s="416" t="s">
        <v>279</v>
      </c>
      <c r="E37" s="417"/>
      <c r="F37" s="418"/>
      <c r="G37" s="419"/>
      <c r="H37" s="646"/>
      <c r="I37" s="420">
        <v>32.15</v>
      </c>
      <c r="J37" s="420">
        <f t="shared" si="3"/>
        <v>32.15</v>
      </c>
      <c r="K37" s="421">
        <f t="shared" si="4"/>
        <v>38.200000000000003</v>
      </c>
      <c r="L37" s="647" t="s">
        <v>19</v>
      </c>
      <c r="M37" s="576"/>
      <c r="N37" s="576">
        <f t="shared" si="5"/>
        <v>0</v>
      </c>
      <c r="O37" s="577">
        <f t="shared" si="6"/>
        <v>0</v>
      </c>
      <c r="P37" s="578">
        <f t="shared" si="7"/>
        <v>0</v>
      </c>
      <c r="Q37" s="765"/>
      <c r="R37" s="650">
        <f t="shared" si="8"/>
        <v>0</v>
      </c>
      <c r="S37" s="587">
        <f t="shared" si="8"/>
        <v>0</v>
      </c>
      <c r="T37" s="577">
        <f t="shared" si="9"/>
        <v>0</v>
      </c>
      <c r="U37" s="578">
        <f t="shared" si="10"/>
        <v>0</v>
      </c>
      <c r="V37" s="579"/>
      <c r="W37" s="566"/>
      <c r="X37" s="586" t="str">
        <f t="shared" si="0"/>
        <v/>
      </c>
      <c r="Y37" s="586" t="str">
        <f t="shared" si="1"/>
        <v/>
      </c>
      <c r="Z37" s="586" t="str">
        <f t="shared" si="2"/>
        <v/>
      </c>
    </row>
    <row r="38" spans="1:26" ht="12" hidden="1" thickBot="1" x14ac:dyDescent="0.25">
      <c r="A38" s="567">
        <v>100981</v>
      </c>
      <c r="B38" s="644">
        <v>100981</v>
      </c>
      <c r="C38" s="645" t="s">
        <v>670</v>
      </c>
      <c r="D38" s="416" t="s">
        <v>590</v>
      </c>
      <c r="E38" s="417"/>
      <c r="F38" s="418"/>
      <c r="G38" s="419"/>
      <c r="H38" s="646"/>
      <c r="I38" s="420">
        <v>8.75</v>
      </c>
      <c r="J38" s="420">
        <f t="shared" si="3"/>
        <v>8.75</v>
      </c>
      <c r="K38" s="421">
        <f t="shared" si="4"/>
        <v>10.4</v>
      </c>
      <c r="L38" s="647" t="s">
        <v>16</v>
      </c>
      <c r="M38" s="576"/>
      <c r="N38" s="576">
        <f t="shared" si="5"/>
        <v>0</v>
      </c>
      <c r="O38" s="577">
        <f t="shared" si="6"/>
        <v>0</v>
      </c>
      <c r="P38" s="578">
        <f t="shared" si="7"/>
        <v>0</v>
      </c>
      <c r="Q38" s="765"/>
      <c r="R38" s="650">
        <f t="shared" si="8"/>
        <v>0</v>
      </c>
      <c r="S38" s="587">
        <f t="shared" si="8"/>
        <v>0</v>
      </c>
      <c r="T38" s="577">
        <f t="shared" si="9"/>
        <v>0</v>
      </c>
      <c r="U38" s="578">
        <f t="shared" si="10"/>
        <v>0</v>
      </c>
      <c r="V38" s="579"/>
      <c r="W38" s="566"/>
      <c r="X38" s="586" t="str">
        <f t="shared" si="0"/>
        <v/>
      </c>
      <c r="Y38" s="586" t="str">
        <f t="shared" si="1"/>
        <v/>
      </c>
      <c r="Z38" s="586" t="str">
        <f t="shared" si="2"/>
        <v/>
      </c>
    </row>
    <row r="39" spans="1:26" ht="12" hidden="1" thickBot="1" x14ac:dyDescent="0.25">
      <c r="A39" s="567">
        <v>97623</v>
      </c>
      <c r="B39" s="644" t="s">
        <v>1594</v>
      </c>
      <c r="C39" s="645" t="s">
        <v>670</v>
      </c>
      <c r="D39" s="416" t="s">
        <v>1595</v>
      </c>
      <c r="E39" s="417"/>
      <c r="F39" s="418"/>
      <c r="G39" s="419"/>
      <c r="H39" s="646"/>
      <c r="I39" s="420">
        <v>175.28</v>
      </c>
      <c r="J39" s="420">
        <f t="shared" si="3"/>
        <v>175.28</v>
      </c>
      <c r="K39" s="421">
        <f t="shared" si="4"/>
        <v>208.25</v>
      </c>
      <c r="L39" s="647" t="s">
        <v>16</v>
      </c>
      <c r="M39" s="576"/>
      <c r="N39" s="576">
        <f t="shared" si="5"/>
        <v>0</v>
      </c>
      <c r="O39" s="577">
        <f t="shared" si="6"/>
        <v>0</v>
      </c>
      <c r="P39" s="578">
        <f t="shared" si="7"/>
        <v>0</v>
      </c>
      <c r="Q39" s="765"/>
      <c r="R39" s="650">
        <f t="shared" si="8"/>
        <v>0</v>
      </c>
      <c r="S39" s="587">
        <f t="shared" si="8"/>
        <v>0</v>
      </c>
      <c r="T39" s="577">
        <f t="shared" si="9"/>
        <v>0</v>
      </c>
      <c r="U39" s="578">
        <f t="shared" si="10"/>
        <v>0</v>
      </c>
      <c r="V39" s="579"/>
      <c r="W39" s="566"/>
      <c r="X39" s="586" t="str">
        <f t="shared" si="0"/>
        <v/>
      </c>
      <c r="Y39" s="586" t="str">
        <f t="shared" si="1"/>
        <v/>
      </c>
      <c r="Z39" s="586" t="str">
        <f t="shared" si="2"/>
        <v/>
      </c>
    </row>
    <row r="40" spans="1:26" ht="12" hidden="1" thickBot="1" x14ac:dyDescent="0.25">
      <c r="A40" s="567">
        <v>97624</v>
      </c>
      <c r="B40" s="644" t="s">
        <v>1596</v>
      </c>
      <c r="C40" s="645" t="s">
        <v>670</v>
      </c>
      <c r="D40" s="416" t="s">
        <v>1597</v>
      </c>
      <c r="E40" s="417"/>
      <c r="F40" s="418"/>
      <c r="G40" s="419"/>
      <c r="H40" s="646"/>
      <c r="I40" s="420">
        <v>107.58</v>
      </c>
      <c r="J40" s="420">
        <f t="shared" si="3"/>
        <v>107.58</v>
      </c>
      <c r="K40" s="421">
        <f>IF(ISBLANK(I40),0,ROUND(J40*(1+$F$10)*(1+$F$11*E40),2))</f>
        <v>127.82</v>
      </c>
      <c r="L40" s="647" t="s">
        <v>16</v>
      </c>
      <c r="M40" s="576"/>
      <c r="N40" s="576">
        <f t="shared" si="5"/>
        <v>0</v>
      </c>
      <c r="O40" s="577">
        <f>IF(ISBLANK(M40),0,ROUND(K40*M40,2))</f>
        <v>0</v>
      </c>
      <c r="P40" s="578">
        <f>IF(ISBLANK(N40),0,ROUND(M40*N40,2))</f>
        <v>0</v>
      </c>
      <c r="Q40" s="765"/>
      <c r="R40" s="650">
        <f>M40</f>
        <v>0</v>
      </c>
      <c r="S40" s="587">
        <f t="shared" si="8"/>
        <v>0</v>
      </c>
      <c r="T40" s="577">
        <f>IF(ISBLANK(R40),0,ROUND(K40*R40,2))</f>
        <v>0</v>
      </c>
      <c r="U40" s="578">
        <f>IF(ISBLANK(R40),0,ROUND(R40*S40,2))</f>
        <v>0</v>
      </c>
      <c r="V40" s="579"/>
      <c r="W40" s="566"/>
      <c r="X40" s="586" t="str">
        <f>IF(W40="X","x",IF(W40="xx","x",IF(W40="xy","x",IF(W40="y","x",IF(OR(P40&gt;0,U40&gt;0),"x","")))))</f>
        <v/>
      </c>
      <c r="Y40" s="586" t="str">
        <f>IF(W40="X","x",IF(W40="y","x",IF(W40="xx","x",IF(U40&gt;0,"x",""))))</f>
        <v/>
      </c>
      <c r="Z40" s="586" t="str">
        <f>IF(W40="X","x",IF(U40&gt;0,"x",""))</f>
        <v/>
      </c>
    </row>
    <row r="41" spans="1:26" ht="12" hidden="1" thickBot="1" x14ac:dyDescent="0.25">
      <c r="A41" s="567">
        <v>606500</v>
      </c>
      <c r="B41" s="644" t="s">
        <v>1727</v>
      </c>
      <c r="C41" s="645" t="s">
        <v>206</v>
      </c>
      <c r="D41" s="416" t="s">
        <v>501</v>
      </c>
      <c r="E41" s="417"/>
      <c r="F41" s="418"/>
      <c r="G41" s="419"/>
      <c r="H41" s="646"/>
      <c r="I41" s="420">
        <v>169.87</v>
      </c>
      <c r="J41" s="420">
        <f t="shared" si="3"/>
        <v>169.87</v>
      </c>
      <c r="K41" s="421">
        <f>IF(ISBLANK(I41),0,ROUND(J41*(1+$F$10)*(1+$F$11*E41),2))</f>
        <v>201.82</v>
      </c>
      <c r="L41" s="647" t="s">
        <v>16</v>
      </c>
      <c r="M41" s="576"/>
      <c r="N41" s="576">
        <f t="shared" si="5"/>
        <v>0</v>
      </c>
      <c r="O41" s="577">
        <f t="shared" si="6"/>
        <v>0</v>
      </c>
      <c r="P41" s="578">
        <f t="shared" si="7"/>
        <v>0</v>
      </c>
      <c r="Q41" s="765"/>
      <c r="R41" s="650">
        <f t="shared" si="8"/>
        <v>0</v>
      </c>
      <c r="S41" s="587">
        <f t="shared" si="8"/>
        <v>0</v>
      </c>
      <c r="T41" s="577">
        <f t="shared" si="9"/>
        <v>0</v>
      </c>
      <c r="U41" s="578">
        <f t="shared" si="10"/>
        <v>0</v>
      </c>
      <c r="V41" s="579"/>
      <c r="W41" s="566"/>
      <c r="X41" s="586" t="str">
        <f t="shared" si="0"/>
        <v/>
      </c>
      <c r="Y41" s="586" t="str">
        <f t="shared" si="1"/>
        <v/>
      </c>
      <c r="Z41" s="586" t="str">
        <f t="shared" si="2"/>
        <v/>
      </c>
    </row>
    <row r="42" spans="1:26" ht="12" hidden="1" thickBot="1" x14ac:dyDescent="0.25">
      <c r="A42" s="652" t="s">
        <v>187</v>
      </c>
      <c r="B42" s="653" t="s">
        <v>187</v>
      </c>
      <c r="C42" s="654"/>
      <c r="D42" s="427" t="s">
        <v>464</v>
      </c>
      <c r="E42" s="428"/>
      <c r="F42" s="655"/>
      <c r="G42" s="656"/>
      <c r="H42" s="657"/>
      <c r="I42" s="429"/>
      <c r="J42" s="429"/>
      <c r="K42" s="429"/>
      <c r="L42" s="429" t="s">
        <v>614</v>
      </c>
      <c r="M42" s="657"/>
      <c r="N42" s="576">
        <f t="shared" si="5"/>
        <v>0</v>
      </c>
      <c r="O42" s="429">
        <f t="shared" si="6"/>
        <v>0</v>
      </c>
      <c r="P42" s="658">
        <f t="shared" si="7"/>
        <v>0</v>
      </c>
      <c r="Q42" s="765"/>
      <c r="R42" s="657"/>
      <c r="S42" s="429"/>
      <c r="T42" s="429">
        <f t="shared" si="9"/>
        <v>0</v>
      </c>
      <c r="U42" s="658">
        <f t="shared" si="10"/>
        <v>0</v>
      </c>
      <c r="V42" s="579"/>
      <c r="W42" s="637" t="str">
        <f>IF(OR(SUM(P43:P67)&gt;0,SUM(U43:U67)&gt;0),"y","")</f>
        <v/>
      </c>
      <c r="X42" s="586" t="str">
        <f t="shared" si="0"/>
        <v/>
      </c>
      <c r="Y42" s="586" t="str">
        <f t="shared" si="1"/>
        <v/>
      </c>
      <c r="Z42" s="586" t="str">
        <f t="shared" si="2"/>
        <v/>
      </c>
    </row>
    <row r="43" spans="1:26" ht="12" hidden="1" thickBot="1" x14ac:dyDescent="0.25">
      <c r="A43" s="652" t="s">
        <v>187</v>
      </c>
      <c r="B43" s="572" t="s">
        <v>187</v>
      </c>
      <c r="C43" s="573" t="s">
        <v>187</v>
      </c>
      <c r="D43" s="574"/>
      <c r="E43" s="575"/>
      <c r="F43" s="436"/>
      <c r="G43" s="431"/>
      <c r="H43" s="430"/>
      <c r="I43" s="432"/>
      <c r="J43" s="433"/>
      <c r="K43" s="434">
        <f t="shared" ref="K43:K67" si="12">IF(ISBLANK(J43),0,ROUND(J43*(1+$F$10)*(1+$F$11*E43),2))</f>
        <v>0</v>
      </c>
      <c r="L43" s="435" t="s">
        <v>614</v>
      </c>
      <c r="M43" s="576"/>
      <c r="N43" s="576">
        <f t="shared" si="5"/>
        <v>0</v>
      </c>
      <c r="O43" s="577">
        <f t="shared" si="6"/>
        <v>0</v>
      </c>
      <c r="P43" s="578">
        <f t="shared" si="7"/>
        <v>0</v>
      </c>
      <c r="Q43" s="765"/>
      <c r="R43" s="576">
        <f t="shared" si="8"/>
        <v>0</v>
      </c>
      <c r="S43" s="576">
        <f t="shared" si="8"/>
        <v>0</v>
      </c>
      <c r="T43" s="577">
        <f t="shared" si="9"/>
        <v>0</v>
      </c>
      <c r="U43" s="578">
        <f t="shared" si="10"/>
        <v>0</v>
      </c>
      <c r="V43" s="579"/>
      <c r="W43" s="566"/>
      <c r="X43" s="586" t="str">
        <f t="shared" si="0"/>
        <v/>
      </c>
      <c r="Y43" s="586" t="str">
        <f t="shared" si="1"/>
        <v/>
      </c>
      <c r="Z43" s="586" t="str">
        <f t="shared" si="2"/>
        <v/>
      </c>
    </row>
    <row r="44" spans="1:26" ht="12" hidden="1" thickBot="1" x14ac:dyDescent="0.25">
      <c r="A44" s="652" t="s">
        <v>187</v>
      </c>
      <c r="B44" s="572" t="s">
        <v>187</v>
      </c>
      <c r="C44" s="573" t="s">
        <v>187</v>
      </c>
      <c r="D44" s="580"/>
      <c r="E44" s="575"/>
      <c r="F44" s="436"/>
      <c r="G44" s="431"/>
      <c r="H44" s="430"/>
      <c r="I44" s="432"/>
      <c r="J44" s="433"/>
      <c r="K44" s="437">
        <f t="shared" si="12"/>
        <v>0</v>
      </c>
      <c r="L44" s="435" t="s">
        <v>614</v>
      </c>
      <c r="M44" s="576"/>
      <c r="N44" s="576">
        <f t="shared" si="5"/>
        <v>0</v>
      </c>
      <c r="O44" s="577">
        <f t="shared" si="6"/>
        <v>0</v>
      </c>
      <c r="P44" s="578">
        <f t="shared" si="7"/>
        <v>0</v>
      </c>
      <c r="Q44" s="765"/>
      <c r="R44" s="576">
        <f t="shared" si="8"/>
        <v>0</v>
      </c>
      <c r="S44" s="576">
        <f t="shared" si="8"/>
        <v>0</v>
      </c>
      <c r="T44" s="577">
        <f t="shared" si="9"/>
        <v>0</v>
      </c>
      <c r="U44" s="659">
        <f t="shared" si="10"/>
        <v>0</v>
      </c>
      <c r="V44" s="579"/>
      <c r="W44" s="566"/>
      <c r="X44" s="586" t="str">
        <f t="shared" si="0"/>
        <v/>
      </c>
      <c r="Y44" s="586" t="str">
        <f t="shared" si="1"/>
        <v/>
      </c>
      <c r="Z44" s="586" t="str">
        <f t="shared" si="2"/>
        <v/>
      </c>
    </row>
    <row r="45" spans="1:26" ht="12" hidden="1" thickBot="1" x14ac:dyDescent="0.25">
      <c r="A45" s="652" t="s">
        <v>187</v>
      </c>
      <c r="B45" s="572" t="s">
        <v>187</v>
      </c>
      <c r="C45" s="573" t="s">
        <v>187</v>
      </c>
      <c r="D45" s="580"/>
      <c r="E45" s="575"/>
      <c r="F45" s="436"/>
      <c r="G45" s="431"/>
      <c r="H45" s="430"/>
      <c r="I45" s="432"/>
      <c r="J45" s="433"/>
      <c r="K45" s="437">
        <f t="shared" si="12"/>
        <v>0</v>
      </c>
      <c r="L45" s="435" t="s">
        <v>614</v>
      </c>
      <c r="M45" s="576"/>
      <c r="N45" s="576">
        <f t="shared" si="5"/>
        <v>0</v>
      </c>
      <c r="O45" s="577">
        <f t="shared" si="6"/>
        <v>0</v>
      </c>
      <c r="P45" s="578">
        <f t="shared" si="7"/>
        <v>0</v>
      </c>
      <c r="Q45" s="765"/>
      <c r="R45" s="576">
        <f t="shared" si="8"/>
        <v>0</v>
      </c>
      <c r="S45" s="576">
        <f t="shared" si="8"/>
        <v>0</v>
      </c>
      <c r="T45" s="577">
        <f t="shared" si="9"/>
        <v>0</v>
      </c>
      <c r="U45" s="578">
        <f t="shared" si="10"/>
        <v>0</v>
      </c>
      <c r="V45" s="579"/>
      <c r="W45" s="566"/>
      <c r="X45" s="586" t="str">
        <f t="shared" si="0"/>
        <v/>
      </c>
      <c r="Y45" s="586" t="str">
        <f t="shared" si="1"/>
        <v/>
      </c>
      <c r="Z45" s="586" t="str">
        <f t="shared" si="2"/>
        <v/>
      </c>
    </row>
    <row r="46" spans="1:26" ht="12" hidden="1" thickBot="1" x14ac:dyDescent="0.25">
      <c r="A46" s="652" t="s">
        <v>187</v>
      </c>
      <c r="B46" s="572" t="s">
        <v>187</v>
      </c>
      <c r="C46" s="573" t="s">
        <v>187</v>
      </c>
      <c r="D46" s="580"/>
      <c r="E46" s="575"/>
      <c r="F46" s="436"/>
      <c r="G46" s="431"/>
      <c r="H46" s="430"/>
      <c r="I46" s="432"/>
      <c r="J46" s="433"/>
      <c r="K46" s="437">
        <f t="shared" si="12"/>
        <v>0</v>
      </c>
      <c r="L46" s="435" t="s">
        <v>614</v>
      </c>
      <c r="M46" s="576"/>
      <c r="N46" s="576">
        <f t="shared" si="5"/>
        <v>0</v>
      </c>
      <c r="O46" s="577">
        <f t="shared" si="6"/>
        <v>0</v>
      </c>
      <c r="P46" s="578">
        <f t="shared" si="7"/>
        <v>0</v>
      </c>
      <c r="Q46" s="765"/>
      <c r="R46" s="576">
        <f t="shared" si="8"/>
        <v>0</v>
      </c>
      <c r="S46" s="576">
        <f t="shared" si="8"/>
        <v>0</v>
      </c>
      <c r="T46" s="577">
        <f t="shared" si="9"/>
        <v>0</v>
      </c>
      <c r="U46" s="578">
        <f t="shared" si="10"/>
        <v>0</v>
      </c>
      <c r="V46" s="579"/>
      <c r="W46" s="566"/>
      <c r="X46" s="586" t="str">
        <f t="shared" si="0"/>
        <v/>
      </c>
      <c r="Y46" s="586" t="str">
        <f t="shared" si="1"/>
        <v/>
      </c>
      <c r="Z46" s="586" t="str">
        <f t="shared" si="2"/>
        <v/>
      </c>
    </row>
    <row r="47" spans="1:26" ht="12" hidden="1" thickBot="1" x14ac:dyDescent="0.25">
      <c r="A47" s="652" t="s">
        <v>187</v>
      </c>
      <c r="B47" s="572" t="s">
        <v>187</v>
      </c>
      <c r="C47" s="573" t="s">
        <v>187</v>
      </c>
      <c r="D47" s="580"/>
      <c r="E47" s="575"/>
      <c r="F47" s="436"/>
      <c r="G47" s="431"/>
      <c r="H47" s="430"/>
      <c r="I47" s="432"/>
      <c r="J47" s="433"/>
      <c r="K47" s="437">
        <f t="shared" si="12"/>
        <v>0</v>
      </c>
      <c r="L47" s="435" t="s">
        <v>614</v>
      </c>
      <c r="M47" s="576"/>
      <c r="N47" s="576">
        <f t="shared" si="5"/>
        <v>0</v>
      </c>
      <c r="O47" s="577">
        <f t="shared" si="6"/>
        <v>0</v>
      </c>
      <c r="P47" s="578">
        <f t="shared" si="7"/>
        <v>0</v>
      </c>
      <c r="Q47" s="765"/>
      <c r="R47" s="576">
        <f t="shared" si="8"/>
        <v>0</v>
      </c>
      <c r="S47" s="576">
        <f t="shared" si="8"/>
        <v>0</v>
      </c>
      <c r="T47" s="577">
        <f t="shared" si="9"/>
        <v>0</v>
      </c>
      <c r="U47" s="578">
        <f t="shared" si="10"/>
        <v>0</v>
      </c>
      <c r="V47" s="579"/>
      <c r="W47" s="566"/>
      <c r="X47" s="586" t="str">
        <f t="shared" si="0"/>
        <v/>
      </c>
      <c r="Y47" s="586" t="str">
        <f t="shared" si="1"/>
        <v/>
      </c>
      <c r="Z47" s="586" t="str">
        <f t="shared" si="2"/>
        <v/>
      </c>
    </row>
    <row r="48" spans="1:26" ht="12" hidden="1" thickBot="1" x14ac:dyDescent="0.25">
      <c r="A48" s="652" t="s">
        <v>187</v>
      </c>
      <c r="B48" s="572" t="s">
        <v>187</v>
      </c>
      <c r="C48" s="573" t="s">
        <v>187</v>
      </c>
      <c r="D48" s="580"/>
      <c r="E48" s="575"/>
      <c r="F48" s="436"/>
      <c r="G48" s="431"/>
      <c r="H48" s="430"/>
      <c r="I48" s="432"/>
      <c r="J48" s="433"/>
      <c r="K48" s="437">
        <f t="shared" si="12"/>
        <v>0</v>
      </c>
      <c r="L48" s="435" t="s">
        <v>614</v>
      </c>
      <c r="M48" s="576"/>
      <c r="N48" s="576">
        <f t="shared" si="5"/>
        <v>0</v>
      </c>
      <c r="O48" s="577">
        <f t="shared" si="6"/>
        <v>0</v>
      </c>
      <c r="P48" s="578">
        <f t="shared" si="7"/>
        <v>0</v>
      </c>
      <c r="Q48" s="765"/>
      <c r="R48" s="576">
        <f t="shared" si="8"/>
        <v>0</v>
      </c>
      <c r="S48" s="576">
        <f t="shared" si="8"/>
        <v>0</v>
      </c>
      <c r="T48" s="577">
        <f t="shared" si="9"/>
        <v>0</v>
      </c>
      <c r="U48" s="578">
        <f t="shared" si="10"/>
        <v>0</v>
      </c>
      <c r="V48" s="579"/>
      <c r="W48" s="566"/>
      <c r="X48" s="586" t="str">
        <f t="shared" si="0"/>
        <v/>
      </c>
      <c r="Y48" s="586" t="str">
        <f t="shared" si="1"/>
        <v/>
      </c>
      <c r="Z48" s="586" t="str">
        <f t="shared" si="2"/>
        <v/>
      </c>
    </row>
    <row r="49" spans="1:26" ht="12" hidden="1" thickBot="1" x14ac:dyDescent="0.25">
      <c r="A49" s="652" t="s">
        <v>187</v>
      </c>
      <c r="B49" s="572" t="s">
        <v>187</v>
      </c>
      <c r="C49" s="573" t="s">
        <v>187</v>
      </c>
      <c r="D49" s="580"/>
      <c r="E49" s="575"/>
      <c r="F49" s="436"/>
      <c r="G49" s="431"/>
      <c r="H49" s="430"/>
      <c r="I49" s="432"/>
      <c r="J49" s="433"/>
      <c r="K49" s="437">
        <f t="shared" si="12"/>
        <v>0</v>
      </c>
      <c r="L49" s="435" t="s">
        <v>614</v>
      </c>
      <c r="M49" s="576"/>
      <c r="N49" s="576">
        <f t="shared" si="5"/>
        <v>0</v>
      </c>
      <c r="O49" s="577">
        <f t="shared" si="6"/>
        <v>0</v>
      </c>
      <c r="P49" s="578">
        <f t="shared" si="7"/>
        <v>0</v>
      </c>
      <c r="Q49" s="765"/>
      <c r="R49" s="576">
        <f t="shared" si="8"/>
        <v>0</v>
      </c>
      <c r="S49" s="576">
        <f t="shared" si="8"/>
        <v>0</v>
      </c>
      <c r="T49" s="577">
        <f t="shared" si="9"/>
        <v>0</v>
      </c>
      <c r="U49" s="578">
        <f t="shared" si="10"/>
        <v>0</v>
      </c>
      <c r="V49" s="579"/>
      <c r="W49" s="566"/>
      <c r="X49" s="586" t="str">
        <f t="shared" si="0"/>
        <v/>
      </c>
      <c r="Y49" s="586" t="str">
        <f t="shared" si="1"/>
        <v/>
      </c>
      <c r="Z49" s="586" t="str">
        <f t="shared" si="2"/>
        <v/>
      </c>
    </row>
    <row r="50" spans="1:26" ht="12" hidden="1" thickBot="1" x14ac:dyDescent="0.25">
      <c r="A50" s="652" t="s">
        <v>187</v>
      </c>
      <c r="B50" s="572" t="s">
        <v>187</v>
      </c>
      <c r="C50" s="573" t="s">
        <v>187</v>
      </c>
      <c r="D50" s="580"/>
      <c r="E50" s="575"/>
      <c r="F50" s="436"/>
      <c r="G50" s="431"/>
      <c r="H50" s="430"/>
      <c r="I50" s="432"/>
      <c r="J50" s="433"/>
      <c r="K50" s="437">
        <f t="shared" si="12"/>
        <v>0</v>
      </c>
      <c r="L50" s="435" t="s">
        <v>614</v>
      </c>
      <c r="M50" s="576"/>
      <c r="N50" s="576">
        <f t="shared" si="5"/>
        <v>0</v>
      </c>
      <c r="O50" s="577">
        <f t="shared" si="6"/>
        <v>0</v>
      </c>
      <c r="P50" s="578">
        <f t="shared" si="7"/>
        <v>0</v>
      </c>
      <c r="Q50" s="765"/>
      <c r="R50" s="576">
        <f t="shared" si="8"/>
        <v>0</v>
      </c>
      <c r="S50" s="576">
        <f t="shared" si="8"/>
        <v>0</v>
      </c>
      <c r="T50" s="577">
        <f t="shared" si="9"/>
        <v>0</v>
      </c>
      <c r="U50" s="578">
        <f t="shared" si="10"/>
        <v>0</v>
      </c>
      <c r="V50" s="579"/>
      <c r="W50" s="566"/>
      <c r="X50" s="586" t="str">
        <f t="shared" si="0"/>
        <v/>
      </c>
      <c r="Y50" s="586" t="str">
        <f t="shared" si="1"/>
        <v/>
      </c>
      <c r="Z50" s="586" t="str">
        <f t="shared" si="2"/>
        <v/>
      </c>
    </row>
    <row r="51" spans="1:26" ht="12" hidden="1" thickBot="1" x14ac:dyDescent="0.25">
      <c r="A51" s="652" t="s">
        <v>187</v>
      </c>
      <c r="B51" s="572" t="s">
        <v>187</v>
      </c>
      <c r="C51" s="573" t="s">
        <v>187</v>
      </c>
      <c r="D51" s="580"/>
      <c r="E51" s="575"/>
      <c r="F51" s="436"/>
      <c r="G51" s="431"/>
      <c r="H51" s="430"/>
      <c r="I51" s="432"/>
      <c r="J51" s="433"/>
      <c r="K51" s="437">
        <f t="shared" si="12"/>
        <v>0</v>
      </c>
      <c r="L51" s="435" t="s">
        <v>614</v>
      </c>
      <c r="M51" s="576"/>
      <c r="N51" s="576">
        <f t="shared" si="5"/>
        <v>0</v>
      </c>
      <c r="O51" s="577">
        <f t="shared" si="6"/>
        <v>0</v>
      </c>
      <c r="P51" s="578">
        <f t="shared" si="7"/>
        <v>0</v>
      </c>
      <c r="Q51" s="765"/>
      <c r="R51" s="576">
        <f t="shared" si="8"/>
        <v>0</v>
      </c>
      <c r="S51" s="576">
        <f t="shared" si="8"/>
        <v>0</v>
      </c>
      <c r="T51" s="577">
        <f t="shared" si="9"/>
        <v>0</v>
      </c>
      <c r="U51" s="578">
        <f t="shared" si="10"/>
        <v>0</v>
      </c>
      <c r="V51" s="579"/>
      <c r="W51" s="566"/>
      <c r="X51" s="586" t="str">
        <f t="shared" si="0"/>
        <v/>
      </c>
      <c r="Y51" s="586" t="str">
        <f t="shared" si="1"/>
        <v/>
      </c>
      <c r="Z51" s="586" t="str">
        <f t="shared" si="2"/>
        <v/>
      </c>
    </row>
    <row r="52" spans="1:26" ht="12" hidden="1" thickBot="1" x14ac:dyDescent="0.25">
      <c r="A52" s="652" t="s">
        <v>187</v>
      </c>
      <c r="B52" s="572" t="s">
        <v>187</v>
      </c>
      <c r="C52" s="573" t="s">
        <v>187</v>
      </c>
      <c r="D52" s="580"/>
      <c r="E52" s="575"/>
      <c r="F52" s="436"/>
      <c r="G52" s="431"/>
      <c r="H52" s="430"/>
      <c r="I52" s="432"/>
      <c r="J52" s="433"/>
      <c r="K52" s="437">
        <f t="shared" si="12"/>
        <v>0</v>
      </c>
      <c r="L52" s="435" t="s">
        <v>614</v>
      </c>
      <c r="M52" s="576"/>
      <c r="N52" s="576">
        <f t="shared" si="5"/>
        <v>0</v>
      </c>
      <c r="O52" s="577">
        <f t="shared" si="6"/>
        <v>0</v>
      </c>
      <c r="P52" s="578">
        <f t="shared" si="7"/>
        <v>0</v>
      </c>
      <c r="Q52" s="765"/>
      <c r="R52" s="576">
        <f t="shared" si="8"/>
        <v>0</v>
      </c>
      <c r="S52" s="576">
        <f t="shared" si="8"/>
        <v>0</v>
      </c>
      <c r="T52" s="577">
        <f t="shared" si="9"/>
        <v>0</v>
      </c>
      <c r="U52" s="578">
        <f t="shared" si="10"/>
        <v>0</v>
      </c>
      <c r="V52" s="579"/>
      <c r="W52" s="566"/>
      <c r="X52" s="586" t="str">
        <f t="shared" si="0"/>
        <v/>
      </c>
      <c r="Y52" s="586" t="str">
        <f t="shared" si="1"/>
        <v/>
      </c>
      <c r="Z52" s="586" t="str">
        <f t="shared" si="2"/>
        <v/>
      </c>
    </row>
    <row r="53" spans="1:26" ht="12" hidden="1" thickBot="1" x14ac:dyDescent="0.25">
      <c r="A53" s="652" t="s">
        <v>187</v>
      </c>
      <c r="B53" s="572" t="s">
        <v>187</v>
      </c>
      <c r="C53" s="573" t="s">
        <v>187</v>
      </c>
      <c r="D53" s="580"/>
      <c r="E53" s="575"/>
      <c r="F53" s="436"/>
      <c r="G53" s="431"/>
      <c r="H53" s="430"/>
      <c r="I53" s="432"/>
      <c r="J53" s="433"/>
      <c r="K53" s="437">
        <f t="shared" si="12"/>
        <v>0</v>
      </c>
      <c r="L53" s="435" t="s">
        <v>614</v>
      </c>
      <c r="M53" s="576"/>
      <c r="N53" s="576">
        <f t="shared" si="5"/>
        <v>0</v>
      </c>
      <c r="O53" s="577">
        <f t="shared" si="6"/>
        <v>0</v>
      </c>
      <c r="P53" s="578">
        <f t="shared" si="7"/>
        <v>0</v>
      </c>
      <c r="Q53" s="765"/>
      <c r="R53" s="576">
        <f t="shared" si="8"/>
        <v>0</v>
      </c>
      <c r="S53" s="576">
        <f t="shared" si="8"/>
        <v>0</v>
      </c>
      <c r="T53" s="577">
        <f t="shared" si="9"/>
        <v>0</v>
      </c>
      <c r="U53" s="578">
        <f t="shared" si="10"/>
        <v>0</v>
      </c>
      <c r="V53" s="579"/>
      <c r="W53" s="566"/>
      <c r="X53" s="586" t="str">
        <f t="shared" si="0"/>
        <v/>
      </c>
      <c r="Y53" s="586" t="str">
        <f t="shared" si="1"/>
        <v/>
      </c>
      <c r="Z53" s="586" t="str">
        <f t="shared" si="2"/>
        <v/>
      </c>
    </row>
    <row r="54" spans="1:26" ht="12" hidden="1" thickBot="1" x14ac:dyDescent="0.25">
      <c r="A54" s="652" t="s">
        <v>187</v>
      </c>
      <c r="B54" s="572" t="s">
        <v>187</v>
      </c>
      <c r="C54" s="573" t="s">
        <v>187</v>
      </c>
      <c r="D54" s="580"/>
      <c r="E54" s="575"/>
      <c r="F54" s="436"/>
      <c r="G54" s="431"/>
      <c r="H54" s="430"/>
      <c r="I54" s="432"/>
      <c r="J54" s="433"/>
      <c r="K54" s="437">
        <f t="shared" si="12"/>
        <v>0</v>
      </c>
      <c r="L54" s="435" t="s">
        <v>614</v>
      </c>
      <c r="M54" s="576"/>
      <c r="N54" s="576">
        <f t="shared" si="5"/>
        <v>0</v>
      </c>
      <c r="O54" s="577">
        <f t="shared" si="6"/>
        <v>0</v>
      </c>
      <c r="P54" s="578">
        <f t="shared" si="7"/>
        <v>0</v>
      </c>
      <c r="Q54" s="765"/>
      <c r="R54" s="576">
        <f t="shared" si="8"/>
        <v>0</v>
      </c>
      <c r="S54" s="576">
        <f t="shared" si="8"/>
        <v>0</v>
      </c>
      <c r="T54" s="577">
        <f t="shared" si="9"/>
        <v>0</v>
      </c>
      <c r="U54" s="578">
        <f t="shared" si="10"/>
        <v>0</v>
      </c>
      <c r="V54" s="579"/>
      <c r="W54" s="566"/>
      <c r="X54" s="586" t="str">
        <f t="shared" si="0"/>
        <v/>
      </c>
      <c r="Y54" s="586" t="str">
        <f t="shared" si="1"/>
        <v/>
      </c>
      <c r="Z54" s="586" t="str">
        <f t="shared" si="2"/>
        <v/>
      </c>
    </row>
    <row r="55" spans="1:26" ht="12" hidden="1" thickBot="1" x14ac:dyDescent="0.25">
      <c r="A55" s="652" t="s">
        <v>187</v>
      </c>
      <c r="B55" s="572" t="s">
        <v>187</v>
      </c>
      <c r="C55" s="573" t="s">
        <v>187</v>
      </c>
      <c r="D55" s="580"/>
      <c r="E55" s="575"/>
      <c r="F55" s="436"/>
      <c r="G55" s="431"/>
      <c r="H55" s="430"/>
      <c r="I55" s="432"/>
      <c r="J55" s="433"/>
      <c r="K55" s="437">
        <f t="shared" si="12"/>
        <v>0</v>
      </c>
      <c r="L55" s="435" t="s">
        <v>614</v>
      </c>
      <c r="M55" s="576"/>
      <c r="N55" s="576">
        <f t="shared" si="5"/>
        <v>0</v>
      </c>
      <c r="O55" s="577">
        <f t="shared" si="6"/>
        <v>0</v>
      </c>
      <c r="P55" s="578">
        <f t="shared" si="7"/>
        <v>0</v>
      </c>
      <c r="Q55" s="765"/>
      <c r="R55" s="576">
        <f t="shared" si="8"/>
        <v>0</v>
      </c>
      <c r="S55" s="576">
        <f t="shared" si="8"/>
        <v>0</v>
      </c>
      <c r="T55" s="577">
        <f t="shared" si="9"/>
        <v>0</v>
      </c>
      <c r="U55" s="578">
        <f t="shared" si="10"/>
        <v>0</v>
      </c>
      <c r="V55" s="579"/>
      <c r="W55" s="566"/>
      <c r="X55" s="586" t="str">
        <f t="shared" si="0"/>
        <v/>
      </c>
      <c r="Y55" s="586" t="str">
        <f t="shared" si="1"/>
        <v/>
      </c>
      <c r="Z55" s="586" t="str">
        <f t="shared" si="2"/>
        <v/>
      </c>
    </row>
    <row r="56" spans="1:26" ht="12" hidden="1" thickBot="1" x14ac:dyDescent="0.25">
      <c r="A56" s="652" t="s">
        <v>187</v>
      </c>
      <c r="B56" s="572" t="s">
        <v>187</v>
      </c>
      <c r="C56" s="573" t="s">
        <v>187</v>
      </c>
      <c r="D56" s="580"/>
      <c r="E56" s="575"/>
      <c r="F56" s="436"/>
      <c r="G56" s="431"/>
      <c r="H56" s="430"/>
      <c r="I56" s="432"/>
      <c r="J56" s="433"/>
      <c r="K56" s="437">
        <f t="shared" si="12"/>
        <v>0</v>
      </c>
      <c r="L56" s="435" t="s">
        <v>614</v>
      </c>
      <c r="M56" s="576"/>
      <c r="N56" s="576">
        <f t="shared" si="5"/>
        <v>0</v>
      </c>
      <c r="O56" s="577">
        <f t="shared" si="6"/>
        <v>0</v>
      </c>
      <c r="P56" s="578">
        <f t="shared" si="7"/>
        <v>0</v>
      </c>
      <c r="Q56" s="765"/>
      <c r="R56" s="576">
        <f t="shared" si="8"/>
        <v>0</v>
      </c>
      <c r="S56" s="576">
        <f t="shared" si="8"/>
        <v>0</v>
      </c>
      <c r="T56" s="577">
        <f t="shared" si="9"/>
        <v>0</v>
      </c>
      <c r="U56" s="578">
        <f t="shared" si="10"/>
        <v>0</v>
      </c>
      <c r="V56" s="579"/>
      <c r="W56" s="566"/>
      <c r="X56" s="586" t="str">
        <f t="shared" si="0"/>
        <v/>
      </c>
      <c r="Y56" s="586" t="str">
        <f t="shared" si="1"/>
        <v/>
      </c>
      <c r="Z56" s="586" t="str">
        <f t="shared" si="2"/>
        <v/>
      </c>
    </row>
    <row r="57" spans="1:26" ht="12" hidden="1" thickBot="1" x14ac:dyDescent="0.25">
      <c r="A57" s="652" t="s">
        <v>187</v>
      </c>
      <c r="B57" s="572" t="s">
        <v>187</v>
      </c>
      <c r="C57" s="573" t="s">
        <v>187</v>
      </c>
      <c r="D57" s="580"/>
      <c r="E57" s="575"/>
      <c r="F57" s="436"/>
      <c r="G57" s="431"/>
      <c r="H57" s="430"/>
      <c r="I57" s="432"/>
      <c r="J57" s="433"/>
      <c r="K57" s="437">
        <f t="shared" si="12"/>
        <v>0</v>
      </c>
      <c r="L57" s="435" t="s">
        <v>614</v>
      </c>
      <c r="M57" s="576"/>
      <c r="N57" s="576">
        <f t="shared" si="5"/>
        <v>0</v>
      </c>
      <c r="O57" s="577">
        <f t="shared" si="6"/>
        <v>0</v>
      </c>
      <c r="P57" s="578">
        <f t="shared" si="7"/>
        <v>0</v>
      </c>
      <c r="Q57" s="765"/>
      <c r="R57" s="576">
        <f t="shared" si="8"/>
        <v>0</v>
      </c>
      <c r="S57" s="576">
        <f t="shared" si="8"/>
        <v>0</v>
      </c>
      <c r="T57" s="577">
        <f t="shared" si="9"/>
        <v>0</v>
      </c>
      <c r="U57" s="578">
        <f t="shared" si="10"/>
        <v>0</v>
      </c>
      <c r="V57" s="579"/>
      <c r="W57" s="566"/>
      <c r="X57" s="586" t="str">
        <f t="shared" si="0"/>
        <v/>
      </c>
      <c r="Y57" s="586" t="str">
        <f t="shared" si="1"/>
        <v/>
      </c>
      <c r="Z57" s="586" t="str">
        <f t="shared" si="2"/>
        <v/>
      </c>
    </row>
    <row r="58" spans="1:26" ht="12" hidden="1" thickBot="1" x14ac:dyDescent="0.25">
      <c r="A58" s="652" t="s">
        <v>187</v>
      </c>
      <c r="B58" s="572" t="s">
        <v>187</v>
      </c>
      <c r="C58" s="573" t="s">
        <v>187</v>
      </c>
      <c r="D58" s="580"/>
      <c r="E58" s="575"/>
      <c r="F58" s="436"/>
      <c r="G58" s="431"/>
      <c r="H58" s="430"/>
      <c r="I58" s="432"/>
      <c r="J58" s="433"/>
      <c r="K58" s="437">
        <f t="shared" si="12"/>
        <v>0</v>
      </c>
      <c r="L58" s="435" t="s">
        <v>614</v>
      </c>
      <c r="M58" s="576"/>
      <c r="N58" s="576">
        <f t="shared" si="5"/>
        <v>0</v>
      </c>
      <c r="O58" s="577">
        <f t="shared" si="6"/>
        <v>0</v>
      </c>
      <c r="P58" s="578">
        <f t="shared" si="7"/>
        <v>0</v>
      </c>
      <c r="Q58" s="765"/>
      <c r="R58" s="576">
        <f t="shared" si="8"/>
        <v>0</v>
      </c>
      <c r="S58" s="576">
        <f t="shared" si="8"/>
        <v>0</v>
      </c>
      <c r="T58" s="577">
        <f t="shared" si="9"/>
        <v>0</v>
      </c>
      <c r="U58" s="578">
        <f t="shared" si="10"/>
        <v>0</v>
      </c>
      <c r="V58" s="579"/>
      <c r="W58" s="566"/>
      <c r="X58" s="586" t="str">
        <f t="shared" si="0"/>
        <v/>
      </c>
      <c r="Y58" s="586" t="str">
        <f t="shared" si="1"/>
        <v/>
      </c>
      <c r="Z58" s="586" t="str">
        <f t="shared" si="2"/>
        <v/>
      </c>
    </row>
    <row r="59" spans="1:26" ht="12" hidden="1" thickBot="1" x14ac:dyDescent="0.25">
      <c r="A59" s="652" t="s">
        <v>187</v>
      </c>
      <c r="B59" s="572" t="s">
        <v>187</v>
      </c>
      <c r="C59" s="573" t="s">
        <v>187</v>
      </c>
      <c r="D59" s="580"/>
      <c r="E59" s="575"/>
      <c r="F59" s="436"/>
      <c r="G59" s="431"/>
      <c r="H59" s="430"/>
      <c r="I59" s="432"/>
      <c r="J59" s="433"/>
      <c r="K59" s="437">
        <f t="shared" si="12"/>
        <v>0</v>
      </c>
      <c r="L59" s="435" t="s">
        <v>614</v>
      </c>
      <c r="M59" s="576"/>
      <c r="N59" s="576">
        <f t="shared" si="5"/>
        <v>0</v>
      </c>
      <c r="O59" s="577">
        <f t="shared" si="6"/>
        <v>0</v>
      </c>
      <c r="P59" s="578">
        <f t="shared" si="7"/>
        <v>0</v>
      </c>
      <c r="Q59" s="765"/>
      <c r="R59" s="576">
        <f t="shared" si="8"/>
        <v>0</v>
      </c>
      <c r="S59" s="576">
        <f t="shared" si="8"/>
        <v>0</v>
      </c>
      <c r="T59" s="577">
        <f t="shared" si="9"/>
        <v>0</v>
      </c>
      <c r="U59" s="578">
        <f t="shared" si="10"/>
        <v>0</v>
      </c>
      <c r="V59" s="579"/>
      <c r="W59" s="566"/>
      <c r="X59" s="586" t="str">
        <f t="shared" si="0"/>
        <v/>
      </c>
      <c r="Y59" s="586" t="str">
        <f t="shared" si="1"/>
        <v/>
      </c>
      <c r="Z59" s="586" t="str">
        <f t="shared" si="2"/>
        <v/>
      </c>
    </row>
    <row r="60" spans="1:26" ht="12" hidden="1" thickBot="1" x14ac:dyDescent="0.25">
      <c r="A60" s="652" t="s">
        <v>187</v>
      </c>
      <c r="B60" s="572" t="s">
        <v>187</v>
      </c>
      <c r="C60" s="573" t="s">
        <v>187</v>
      </c>
      <c r="D60" s="580"/>
      <c r="E60" s="575"/>
      <c r="F60" s="436"/>
      <c r="G60" s="431"/>
      <c r="H60" s="430"/>
      <c r="I60" s="432"/>
      <c r="J60" s="433"/>
      <c r="K60" s="437">
        <f t="shared" si="12"/>
        <v>0</v>
      </c>
      <c r="L60" s="435" t="s">
        <v>614</v>
      </c>
      <c r="M60" s="576"/>
      <c r="N60" s="576">
        <f t="shared" si="5"/>
        <v>0</v>
      </c>
      <c r="O60" s="577">
        <f t="shared" si="6"/>
        <v>0</v>
      </c>
      <c r="P60" s="578">
        <f t="shared" si="7"/>
        <v>0</v>
      </c>
      <c r="Q60" s="765"/>
      <c r="R60" s="576">
        <f t="shared" si="8"/>
        <v>0</v>
      </c>
      <c r="S60" s="576">
        <f t="shared" si="8"/>
        <v>0</v>
      </c>
      <c r="T60" s="577">
        <f t="shared" si="9"/>
        <v>0</v>
      </c>
      <c r="U60" s="578">
        <f t="shared" si="10"/>
        <v>0</v>
      </c>
      <c r="V60" s="579"/>
      <c r="W60" s="566"/>
      <c r="X60" s="586" t="str">
        <f t="shared" si="0"/>
        <v/>
      </c>
      <c r="Y60" s="586" t="str">
        <f t="shared" si="1"/>
        <v/>
      </c>
      <c r="Z60" s="586" t="str">
        <f t="shared" si="2"/>
        <v/>
      </c>
    </row>
    <row r="61" spans="1:26" ht="12" hidden="1" thickBot="1" x14ac:dyDescent="0.25">
      <c r="A61" s="652" t="s">
        <v>187</v>
      </c>
      <c r="B61" s="572" t="s">
        <v>187</v>
      </c>
      <c r="C61" s="573" t="s">
        <v>187</v>
      </c>
      <c r="D61" s="580"/>
      <c r="E61" s="575"/>
      <c r="F61" s="436"/>
      <c r="G61" s="431"/>
      <c r="H61" s="430"/>
      <c r="I61" s="432"/>
      <c r="J61" s="433"/>
      <c r="K61" s="437">
        <f t="shared" si="12"/>
        <v>0</v>
      </c>
      <c r="L61" s="435" t="s">
        <v>614</v>
      </c>
      <c r="M61" s="576"/>
      <c r="N61" s="576">
        <f t="shared" si="5"/>
        <v>0</v>
      </c>
      <c r="O61" s="577">
        <f t="shared" si="6"/>
        <v>0</v>
      </c>
      <c r="P61" s="578">
        <f t="shared" si="7"/>
        <v>0</v>
      </c>
      <c r="Q61" s="765"/>
      <c r="R61" s="576">
        <f t="shared" si="8"/>
        <v>0</v>
      </c>
      <c r="S61" s="576">
        <f t="shared" si="8"/>
        <v>0</v>
      </c>
      <c r="T61" s="577">
        <f t="shared" si="9"/>
        <v>0</v>
      </c>
      <c r="U61" s="578">
        <f t="shared" si="10"/>
        <v>0</v>
      </c>
      <c r="V61" s="579"/>
      <c r="W61" s="566"/>
      <c r="X61" s="586" t="str">
        <f t="shared" si="0"/>
        <v/>
      </c>
      <c r="Y61" s="586" t="str">
        <f t="shared" si="1"/>
        <v/>
      </c>
      <c r="Z61" s="586" t="str">
        <f t="shared" si="2"/>
        <v/>
      </c>
    </row>
    <row r="62" spans="1:26" ht="12" hidden="1" thickBot="1" x14ac:dyDescent="0.25">
      <c r="A62" s="652" t="s">
        <v>187</v>
      </c>
      <c r="B62" s="572" t="s">
        <v>187</v>
      </c>
      <c r="C62" s="573" t="s">
        <v>187</v>
      </c>
      <c r="D62" s="580"/>
      <c r="E62" s="575"/>
      <c r="F62" s="436"/>
      <c r="G62" s="431"/>
      <c r="H62" s="430"/>
      <c r="I62" s="432"/>
      <c r="J62" s="433"/>
      <c r="K62" s="437">
        <f t="shared" si="12"/>
        <v>0</v>
      </c>
      <c r="L62" s="435" t="s">
        <v>614</v>
      </c>
      <c r="M62" s="576"/>
      <c r="N62" s="576">
        <f t="shared" si="5"/>
        <v>0</v>
      </c>
      <c r="O62" s="577">
        <f t="shared" si="6"/>
        <v>0</v>
      </c>
      <c r="P62" s="578">
        <f t="shared" si="7"/>
        <v>0</v>
      </c>
      <c r="Q62" s="765"/>
      <c r="R62" s="576">
        <f t="shared" si="8"/>
        <v>0</v>
      </c>
      <c r="S62" s="576">
        <f t="shared" si="8"/>
        <v>0</v>
      </c>
      <c r="T62" s="577">
        <f t="shared" si="9"/>
        <v>0</v>
      </c>
      <c r="U62" s="578">
        <f t="shared" si="10"/>
        <v>0</v>
      </c>
      <c r="V62" s="579"/>
      <c r="W62" s="566"/>
      <c r="X62" s="586" t="str">
        <f t="shared" si="0"/>
        <v/>
      </c>
      <c r="Y62" s="586" t="str">
        <f t="shared" si="1"/>
        <v/>
      </c>
      <c r="Z62" s="586" t="str">
        <f t="shared" si="2"/>
        <v/>
      </c>
    </row>
    <row r="63" spans="1:26" ht="12" hidden="1" thickBot="1" x14ac:dyDescent="0.25">
      <c r="A63" s="652" t="s">
        <v>187</v>
      </c>
      <c r="B63" s="572" t="s">
        <v>187</v>
      </c>
      <c r="C63" s="573" t="s">
        <v>187</v>
      </c>
      <c r="D63" s="580"/>
      <c r="E63" s="575"/>
      <c r="F63" s="436"/>
      <c r="G63" s="431"/>
      <c r="H63" s="430"/>
      <c r="I63" s="432"/>
      <c r="J63" s="433"/>
      <c r="K63" s="437">
        <f t="shared" si="12"/>
        <v>0</v>
      </c>
      <c r="L63" s="435" t="s">
        <v>614</v>
      </c>
      <c r="M63" s="576"/>
      <c r="N63" s="576">
        <f t="shared" si="5"/>
        <v>0</v>
      </c>
      <c r="O63" s="577">
        <f t="shared" si="6"/>
        <v>0</v>
      </c>
      <c r="P63" s="578">
        <f t="shared" si="7"/>
        <v>0</v>
      </c>
      <c r="Q63" s="765"/>
      <c r="R63" s="576">
        <f t="shared" si="8"/>
        <v>0</v>
      </c>
      <c r="S63" s="576">
        <f t="shared" si="8"/>
        <v>0</v>
      </c>
      <c r="T63" s="577">
        <f t="shared" si="9"/>
        <v>0</v>
      </c>
      <c r="U63" s="578">
        <f t="shared" si="10"/>
        <v>0</v>
      </c>
      <c r="V63" s="579"/>
      <c r="W63" s="566"/>
      <c r="X63" s="586" t="str">
        <f t="shared" si="0"/>
        <v/>
      </c>
      <c r="Y63" s="586" t="str">
        <f t="shared" si="1"/>
        <v/>
      </c>
      <c r="Z63" s="586" t="str">
        <f t="shared" si="2"/>
        <v/>
      </c>
    </row>
    <row r="64" spans="1:26" ht="12" hidden="1" thickBot="1" x14ac:dyDescent="0.25">
      <c r="A64" s="652" t="s">
        <v>187</v>
      </c>
      <c r="B64" s="572" t="s">
        <v>187</v>
      </c>
      <c r="C64" s="573" t="s">
        <v>187</v>
      </c>
      <c r="D64" s="580"/>
      <c r="E64" s="575"/>
      <c r="F64" s="436"/>
      <c r="G64" s="431"/>
      <c r="H64" s="430"/>
      <c r="I64" s="432"/>
      <c r="J64" s="433"/>
      <c r="K64" s="437">
        <f t="shared" si="12"/>
        <v>0</v>
      </c>
      <c r="L64" s="435" t="s">
        <v>614</v>
      </c>
      <c r="M64" s="576"/>
      <c r="N64" s="576">
        <f t="shared" si="5"/>
        <v>0</v>
      </c>
      <c r="O64" s="577">
        <f t="shared" si="6"/>
        <v>0</v>
      </c>
      <c r="P64" s="578">
        <f t="shared" si="7"/>
        <v>0</v>
      </c>
      <c r="Q64" s="765"/>
      <c r="R64" s="576">
        <f t="shared" si="8"/>
        <v>0</v>
      </c>
      <c r="S64" s="576">
        <f t="shared" si="8"/>
        <v>0</v>
      </c>
      <c r="T64" s="577">
        <f t="shared" si="9"/>
        <v>0</v>
      </c>
      <c r="U64" s="578">
        <f t="shared" si="10"/>
        <v>0</v>
      </c>
      <c r="V64" s="579"/>
      <c r="W64" s="566"/>
      <c r="X64" s="586" t="str">
        <f t="shared" si="0"/>
        <v/>
      </c>
      <c r="Y64" s="586" t="str">
        <f t="shared" si="1"/>
        <v/>
      </c>
      <c r="Z64" s="586" t="str">
        <f t="shared" si="2"/>
        <v/>
      </c>
    </row>
    <row r="65" spans="1:26" ht="12" hidden="1" thickBot="1" x14ac:dyDescent="0.25">
      <c r="A65" s="652" t="s">
        <v>187</v>
      </c>
      <c r="B65" s="572" t="s">
        <v>187</v>
      </c>
      <c r="C65" s="573" t="s">
        <v>187</v>
      </c>
      <c r="D65" s="580"/>
      <c r="E65" s="575"/>
      <c r="F65" s="436"/>
      <c r="G65" s="431"/>
      <c r="H65" s="430"/>
      <c r="I65" s="432"/>
      <c r="J65" s="433"/>
      <c r="K65" s="437">
        <f t="shared" si="12"/>
        <v>0</v>
      </c>
      <c r="L65" s="435" t="s">
        <v>614</v>
      </c>
      <c r="M65" s="576"/>
      <c r="N65" s="576">
        <f t="shared" si="5"/>
        <v>0</v>
      </c>
      <c r="O65" s="577">
        <f t="shared" si="6"/>
        <v>0</v>
      </c>
      <c r="P65" s="578">
        <f t="shared" si="7"/>
        <v>0</v>
      </c>
      <c r="Q65" s="765"/>
      <c r="R65" s="576">
        <f t="shared" si="8"/>
        <v>0</v>
      </c>
      <c r="S65" s="576">
        <f t="shared" si="8"/>
        <v>0</v>
      </c>
      <c r="T65" s="577">
        <f t="shared" si="9"/>
        <v>0</v>
      </c>
      <c r="U65" s="578">
        <f t="shared" si="10"/>
        <v>0</v>
      </c>
      <c r="V65" s="579"/>
      <c r="W65" s="566"/>
      <c r="X65" s="586" t="str">
        <f t="shared" si="0"/>
        <v/>
      </c>
      <c r="Y65" s="586" t="str">
        <f t="shared" si="1"/>
        <v/>
      </c>
      <c r="Z65" s="586" t="str">
        <f t="shared" si="2"/>
        <v/>
      </c>
    </row>
    <row r="66" spans="1:26" ht="12" hidden="1" thickBot="1" x14ac:dyDescent="0.25">
      <c r="A66" s="652" t="s">
        <v>187</v>
      </c>
      <c r="B66" s="572" t="s">
        <v>187</v>
      </c>
      <c r="C66" s="573" t="s">
        <v>187</v>
      </c>
      <c r="D66" s="580"/>
      <c r="E66" s="575"/>
      <c r="F66" s="436"/>
      <c r="G66" s="431"/>
      <c r="H66" s="430"/>
      <c r="I66" s="432"/>
      <c r="J66" s="433"/>
      <c r="K66" s="437">
        <f t="shared" si="12"/>
        <v>0</v>
      </c>
      <c r="L66" s="435" t="s">
        <v>614</v>
      </c>
      <c r="M66" s="576"/>
      <c r="N66" s="576">
        <f t="shared" si="5"/>
        <v>0</v>
      </c>
      <c r="O66" s="577">
        <f t="shared" si="6"/>
        <v>0</v>
      </c>
      <c r="P66" s="578">
        <f t="shared" si="7"/>
        <v>0</v>
      </c>
      <c r="Q66" s="765"/>
      <c r="R66" s="576">
        <f t="shared" si="8"/>
        <v>0</v>
      </c>
      <c r="S66" s="576">
        <f t="shared" si="8"/>
        <v>0</v>
      </c>
      <c r="T66" s="577">
        <f t="shared" si="9"/>
        <v>0</v>
      </c>
      <c r="U66" s="578">
        <f t="shared" si="10"/>
        <v>0</v>
      </c>
      <c r="V66" s="579"/>
      <c r="W66" s="566"/>
      <c r="X66" s="586" t="str">
        <f t="shared" si="0"/>
        <v/>
      </c>
      <c r="Y66" s="586" t="str">
        <f t="shared" si="1"/>
        <v/>
      </c>
      <c r="Z66" s="586" t="str">
        <f t="shared" si="2"/>
        <v/>
      </c>
    </row>
    <row r="67" spans="1:26" ht="12" hidden="1" thickBot="1" x14ac:dyDescent="0.25">
      <c r="A67" s="652" t="s">
        <v>187</v>
      </c>
      <c r="B67" s="581" t="s">
        <v>187</v>
      </c>
      <c r="C67" s="582" t="s">
        <v>187</v>
      </c>
      <c r="D67" s="583"/>
      <c r="E67" s="584"/>
      <c r="F67" s="438"/>
      <c r="G67" s="439"/>
      <c r="H67" s="440"/>
      <c r="I67" s="441"/>
      <c r="J67" s="442"/>
      <c r="K67" s="443">
        <f t="shared" si="12"/>
        <v>0</v>
      </c>
      <c r="L67" s="444" t="s">
        <v>614</v>
      </c>
      <c r="M67" s="576"/>
      <c r="N67" s="576">
        <f t="shared" si="5"/>
        <v>0</v>
      </c>
      <c r="O67" s="585">
        <f t="shared" si="6"/>
        <v>0</v>
      </c>
      <c r="P67" s="660">
        <f t="shared" si="7"/>
        <v>0</v>
      </c>
      <c r="Q67" s="765"/>
      <c r="R67" s="576">
        <f t="shared" si="8"/>
        <v>0</v>
      </c>
      <c r="S67" s="576">
        <f t="shared" si="8"/>
        <v>0</v>
      </c>
      <c r="T67" s="585">
        <f t="shared" si="9"/>
        <v>0</v>
      </c>
      <c r="U67" s="660">
        <f t="shared" si="10"/>
        <v>0</v>
      </c>
      <c r="V67" s="579"/>
      <c r="W67" s="566"/>
      <c r="X67" s="586" t="str">
        <f t="shared" si="0"/>
        <v/>
      </c>
      <c r="Y67" s="586" t="str">
        <f t="shared" si="1"/>
        <v/>
      </c>
      <c r="Z67" s="586" t="str">
        <f t="shared" si="2"/>
        <v/>
      </c>
    </row>
    <row r="68" spans="1:26" ht="12" hidden="1" thickBot="1" x14ac:dyDescent="0.25">
      <c r="A68" s="567" t="s">
        <v>189</v>
      </c>
      <c r="B68" s="628" t="s">
        <v>189</v>
      </c>
      <c r="C68" s="629"/>
      <c r="D68" s="630" t="s">
        <v>459</v>
      </c>
      <c r="E68" s="631"/>
      <c r="F68" s="632"/>
      <c r="G68" s="633"/>
      <c r="H68" s="634"/>
      <c r="I68" s="409"/>
      <c r="J68" s="409"/>
      <c r="K68" s="409"/>
      <c r="L68" s="409" t="s">
        <v>614</v>
      </c>
      <c r="M68" s="634"/>
      <c r="N68" s="797"/>
      <c r="O68" s="409">
        <f t="shared" si="6"/>
        <v>0</v>
      </c>
      <c r="P68" s="635">
        <f t="shared" si="7"/>
        <v>0</v>
      </c>
      <c r="Q68" s="635">
        <f>SUM(P69:P115)</f>
        <v>0</v>
      </c>
      <c r="R68" s="634"/>
      <c r="S68" s="409"/>
      <c r="T68" s="409">
        <f t="shared" si="9"/>
        <v>0</v>
      </c>
      <c r="U68" s="635">
        <f t="shared" si="10"/>
        <v>0</v>
      </c>
      <c r="V68" s="636">
        <f>SUM(U69:U115)</f>
        <v>0</v>
      </c>
      <c r="W68" s="637" t="str">
        <f>IF(OR(Q68&gt;0,V68&gt;0),"X","")</f>
        <v/>
      </c>
      <c r="X68" s="586" t="str">
        <f t="shared" si="0"/>
        <v/>
      </c>
      <c r="Y68" s="586" t="str">
        <f t="shared" si="1"/>
        <v/>
      </c>
      <c r="Z68" s="586" t="str">
        <f t="shared" si="2"/>
        <v/>
      </c>
    </row>
    <row r="69" spans="1:26" ht="12" hidden="1" thickBot="1" x14ac:dyDescent="0.25">
      <c r="A69" s="567">
        <v>400500</v>
      </c>
      <c r="B69" s="644" t="s">
        <v>1535</v>
      </c>
      <c r="C69" s="639" t="s">
        <v>206</v>
      </c>
      <c r="D69" s="445" t="s">
        <v>198</v>
      </c>
      <c r="E69" s="446"/>
      <c r="F69" s="447">
        <v>20</v>
      </c>
      <c r="G69" s="448">
        <v>1.73</v>
      </c>
      <c r="H69" s="661">
        <f>IF(F69&lt;=30,(1.07*F69+2.68)*G69,((1.07*30+2.68)+1.07*(F69-30))*G69)</f>
        <v>41.6584</v>
      </c>
      <c r="I69" s="414">
        <v>80.100000000000009</v>
      </c>
      <c r="J69" s="414">
        <f t="shared" ref="J69:J89" si="13">IF(ISBLANK(I69),"",SUM(H69:I69))</f>
        <v>121.75840000000001</v>
      </c>
      <c r="K69" s="415">
        <f t="shared" ref="K69:K89" si="14">IF(ISBLANK(I69),0,ROUND(J69*(1+$F$10)*(1+$F$11*E69),2))</f>
        <v>144.66</v>
      </c>
      <c r="L69" s="641" t="s">
        <v>16</v>
      </c>
      <c r="M69" s="576"/>
      <c r="N69" s="576">
        <f t="shared" si="5"/>
        <v>0</v>
      </c>
      <c r="O69" s="642">
        <f t="shared" si="6"/>
        <v>0</v>
      </c>
      <c r="P69" s="578">
        <f t="shared" si="7"/>
        <v>0</v>
      </c>
      <c r="Q69" s="765"/>
      <c r="R69" s="576">
        <f t="shared" si="8"/>
        <v>0</v>
      </c>
      <c r="S69" s="576">
        <f t="shared" si="8"/>
        <v>0</v>
      </c>
      <c r="T69" s="577">
        <f t="shared" si="9"/>
        <v>0</v>
      </c>
      <c r="U69" s="578">
        <f t="shared" si="10"/>
        <v>0</v>
      </c>
      <c r="V69" s="643"/>
      <c r="W69" s="566"/>
      <c r="X69" s="586" t="str">
        <f t="shared" si="0"/>
        <v/>
      </c>
      <c r="Y69" s="586" t="str">
        <f t="shared" si="1"/>
        <v/>
      </c>
      <c r="Z69" s="586" t="str">
        <f t="shared" si="2"/>
        <v/>
      </c>
    </row>
    <row r="70" spans="1:26" ht="12" hidden="1" thickBot="1" x14ac:dyDescent="0.25">
      <c r="A70" s="567">
        <v>401200</v>
      </c>
      <c r="B70" s="644">
        <v>401200</v>
      </c>
      <c r="C70" s="645" t="s">
        <v>206</v>
      </c>
      <c r="D70" s="422" t="s">
        <v>195</v>
      </c>
      <c r="E70" s="423"/>
      <c r="F70" s="424"/>
      <c r="G70" s="425"/>
      <c r="H70" s="649"/>
      <c r="I70" s="414">
        <v>1.61</v>
      </c>
      <c r="J70" s="420">
        <f t="shared" si="13"/>
        <v>1.61</v>
      </c>
      <c r="K70" s="421">
        <f t="shared" si="14"/>
        <v>1.91</v>
      </c>
      <c r="L70" s="647" t="s">
        <v>16</v>
      </c>
      <c r="M70" s="576"/>
      <c r="N70" s="576">
        <f t="shared" si="5"/>
        <v>0</v>
      </c>
      <c r="O70" s="642">
        <f t="shared" si="6"/>
        <v>0</v>
      </c>
      <c r="P70" s="578">
        <f t="shared" si="7"/>
        <v>0</v>
      </c>
      <c r="Q70" s="765"/>
      <c r="R70" s="576">
        <f t="shared" si="8"/>
        <v>0</v>
      </c>
      <c r="S70" s="576">
        <f t="shared" si="8"/>
        <v>0</v>
      </c>
      <c r="T70" s="577">
        <f t="shared" si="9"/>
        <v>0</v>
      </c>
      <c r="U70" s="578">
        <f t="shared" si="10"/>
        <v>0</v>
      </c>
      <c r="V70" s="579"/>
      <c r="W70" s="566"/>
      <c r="X70" s="586" t="str">
        <f t="shared" si="0"/>
        <v/>
      </c>
      <c r="Y70" s="586" t="str">
        <f t="shared" si="1"/>
        <v/>
      </c>
      <c r="Z70" s="586" t="str">
        <f t="shared" si="2"/>
        <v/>
      </c>
    </row>
    <row r="71" spans="1:26" ht="12" hidden="1" thickBot="1" x14ac:dyDescent="0.25">
      <c r="A71" s="567">
        <v>401000</v>
      </c>
      <c r="B71" s="644">
        <v>401000</v>
      </c>
      <c r="C71" s="645" t="s">
        <v>206</v>
      </c>
      <c r="D71" s="422" t="s">
        <v>197</v>
      </c>
      <c r="E71" s="423"/>
      <c r="F71" s="424"/>
      <c r="G71" s="425"/>
      <c r="H71" s="649"/>
      <c r="I71" s="414">
        <v>6.9</v>
      </c>
      <c r="J71" s="420">
        <f t="shared" si="13"/>
        <v>6.9</v>
      </c>
      <c r="K71" s="421">
        <f t="shared" si="14"/>
        <v>8.1999999999999993</v>
      </c>
      <c r="L71" s="647" t="s">
        <v>16</v>
      </c>
      <c r="M71" s="576"/>
      <c r="N71" s="576">
        <f t="shared" si="5"/>
        <v>0</v>
      </c>
      <c r="O71" s="642">
        <f t="shared" si="6"/>
        <v>0</v>
      </c>
      <c r="P71" s="578">
        <f t="shared" si="7"/>
        <v>0</v>
      </c>
      <c r="Q71" s="765"/>
      <c r="R71" s="576">
        <f t="shared" si="8"/>
        <v>0</v>
      </c>
      <c r="S71" s="576">
        <f t="shared" si="8"/>
        <v>0</v>
      </c>
      <c r="T71" s="577">
        <f t="shared" si="9"/>
        <v>0</v>
      </c>
      <c r="U71" s="578">
        <f t="shared" si="10"/>
        <v>0</v>
      </c>
      <c r="V71" s="579"/>
      <c r="W71" s="566"/>
      <c r="X71" s="586" t="str">
        <f t="shared" si="0"/>
        <v/>
      </c>
      <c r="Y71" s="586" t="str">
        <f t="shared" si="1"/>
        <v/>
      </c>
      <c r="Z71" s="586" t="str">
        <f t="shared" si="2"/>
        <v/>
      </c>
    </row>
    <row r="72" spans="1:26" ht="12" hidden="1" thickBot="1" x14ac:dyDescent="0.25">
      <c r="A72" s="567">
        <v>401950</v>
      </c>
      <c r="B72" s="644">
        <v>401950</v>
      </c>
      <c r="C72" s="645" t="s">
        <v>206</v>
      </c>
      <c r="D72" s="422" t="s">
        <v>196</v>
      </c>
      <c r="E72" s="423"/>
      <c r="F72" s="424"/>
      <c r="G72" s="425"/>
      <c r="H72" s="649"/>
      <c r="I72" s="414">
        <v>5.72</v>
      </c>
      <c r="J72" s="420">
        <f t="shared" si="13"/>
        <v>5.72</v>
      </c>
      <c r="K72" s="421">
        <f t="shared" si="14"/>
        <v>6.8</v>
      </c>
      <c r="L72" s="647" t="s">
        <v>16</v>
      </c>
      <c r="M72" s="576"/>
      <c r="N72" s="576">
        <f t="shared" si="5"/>
        <v>0</v>
      </c>
      <c r="O72" s="577">
        <f t="shared" si="6"/>
        <v>0</v>
      </c>
      <c r="P72" s="578">
        <f t="shared" si="7"/>
        <v>0</v>
      </c>
      <c r="Q72" s="765"/>
      <c r="R72" s="576">
        <f t="shared" si="8"/>
        <v>0</v>
      </c>
      <c r="S72" s="576">
        <f t="shared" si="8"/>
        <v>0</v>
      </c>
      <c r="T72" s="577">
        <f t="shared" si="9"/>
        <v>0</v>
      </c>
      <c r="U72" s="578">
        <f t="shared" si="10"/>
        <v>0</v>
      </c>
      <c r="V72" s="579"/>
      <c r="W72" s="566"/>
      <c r="X72" s="586" t="str">
        <f t="shared" si="0"/>
        <v/>
      </c>
      <c r="Y72" s="586" t="str">
        <f t="shared" si="1"/>
        <v/>
      </c>
      <c r="Z72" s="586" t="str">
        <f t="shared" si="2"/>
        <v/>
      </c>
    </row>
    <row r="73" spans="1:26" ht="12" hidden="1" thickBot="1" x14ac:dyDescent="0.25">
      <c r="A73" s="567">
        <v>400000</v>
      </c>
      <c r="B73" s="644">
        <v>400000</v>
      </c>
      <c r="C73" s="645" t="s">
        <v>206</v>
      </c>
      <c r="D73" s="422" t="s">
        <v>191</v>
      </c>
      <c r="E73" s="423"/>
      <c r="F73" s="424"/>
      <c r="G73" s="425"/>
      <c r="H73" s="649"/>
      <c r="I73" s="414">
        <v>1.1599999999999999</v>
      </c>
      <c r="J73" s="420">
        <f t="shared" si="13"/>
        <v>1.1599999999999999</v>
      </c>
      <c r="K73" s="421">
        <f t="shared" si="14"/>
        <v>1.38</v>
      </c>
      <c r="L73" s="647" t="s">
        <v>18</v>
      </c>
      <c r="M73" s="576"/>
      <c r="N73" s="576">
        <f t="shared" si="5"/>
        <v>0</v>
      </c>
      <c r="O73" s="577">
        <f t="shared" si="6"/>
        <v>0</v>
      </c>
      <c r="P73" s="578">
        <f t="shared" si="7"/>
        <v>0</v>
      </c>
      <c r="Q73" s="765"/>
      <c r="R73" s="576">
        <f t="shared" si="8"/>
        <v>0</v>
      </c>
      <c r="S73" s="576">
        <f t="shared" si="8"/>
        <v>0</v>
      </c>
      <c r="T73" s="577">
        <f t="shared" si="9"/>
        <v>0</v>
      </c>
      <c r="U73" s="578">
        <f t="shared" si="10"/>
        <v>0</v>
      </c>
      <c r="V73" s="579"/>
      <c r="W73" s="637"/>
      <c r="X73" s="586" t="str">
        <f t="shared" si="0"/>
        <v/>
      </c>
      <c r="Y73" s="586" t="str">
        <f t="shared" si="1"/>
        <v/>
      </c>
      <c r="Z73" s="586" t="str">
        <f t="shared" si="2"/>
        <v/>
      </c>
    </row>
    <row r="74" spans="1:26" ht="12" hidden="1" thickBot="1" x14ac:dyDescent="0.25">
      <c r="A74" s="567">
        <v>400300</v>
      </c>
      <c r="B74" s="644">
        <v>400300</v>
      </c>
      <c r="C74" s="645" t="s">
        <v>206</v>
      </c>
      <c r="D74" s="422" t="s">
        <v>192</v>
      </c>
      <c r="E74" s="423"/>
      <c r="F74" s="424"/>
      <c r="G74" s="425"/>
      <c r="H74" s="649"/>
      <c r="I74" s="414">
        <v>49.76</v>
      </c>
      <c r="J74" s="420">
        <f t="shared" si="13"/>
        <v>49.76</v>
      </c>
      <c r="K74" s="421">
        <f t="shared" si="14"/>
        <v>59.12</v>
      </c>
      <c r="L74" s="647" t="s">
        <v>21</v>
      </c>
      <c r="M74" s="576"/>
      <c r="N74" s="576">
        <f t="shared" si="5"/>
        <v>0</v>
      </c>
      <c r="O74" s="577">
        <f t="shared" si="6"/>
        <v>0</v>
      </c>
      <c r="P74" s="578">
        <f t="shared" si="7"/>
        <v>0</v>
      </c>
      <c r="Q74" s="765"/>
      <c r="R74" s="576">
        <f t="shared" si="8"/>
        <v>0</v>
      </c>
      <c r="S74" s="576">
        <f t="shared" si="8"/>
        <v>0</v>
      </c>
      <c r="T74" s="577">
        <f t="shared" si="9"/>
        <v>0</v>
      </c>
      <c r="U74" s="578">
        <f t="shared" si="10"/>
        <v>0</v>
      </c>
      <c r="V74" s="579"/>
      <c r="W74" s="637"/>
      <c r="X74" s="586" t="str">
        <f t="shared" si="0"/>
        <v/>
      </c>
      <c r="Y74" s="586" t="str">
        <f t="shared" si="1"/>
        <v/>
      </c>
      <c r="Z74" s="586" t="str">
        <f t="shared" si="2"/>
        <v/>
      </c>
    </row>
    <row r="75" spans="1:26" ht="12" hidden="1" thickBot="1" x14ac:dyDescent="0.25">
      <c r="A75" s="567">
        <v>511130</v>
      </c>
      <c r="B75" s="644" t="s">
        <v>1529</v>
      </c>
      <c r="C75" s="645" t="s">
        <v>206</v>
      </c>
      <c r="D75" s="422" t="s">
        <v>479</v>
      </c>
      <c r="E75" s="423"/>
      <c r="F75" s="424"/>
      <c r="G75" s="425"/>
      <c r="H75" s="649"/>
      <c r="I75" s="414">
        <v>1.27</v>
      </c>
      <c r="J75" s="420">
        <f t="shared" si="13"/>
        <v>1.27</v>
      </c>
      <c r="K75" s="421">
        <f t="shared" si="14"/>
        <v>1.51</v>
      </c>
      <c r="L75" s="647" t="s">
        <v>16</v>
      </c>
      <c r="M75" s="576"/>
      <c r="N75" s="576">
        <f t="shared" si="5"/>
        <v>0</v>
      </c>
      <c r="O75" s="577">
        <f t="shared" si="6"/>
        <v>0</v>
      </c>
      <c r="P75" s="578">
        <f t="shared" si="7"/>
        <v>0</v>
      </c>
      <c r="Q75" s="765"/>
      <c r="R75" s="576">
        <f t="shared" si="8"/>
        <v>0</v>
      </c>
      <c r="S75" s="576">
        <f t="shared" si="8"/>
        <v>0</v>
      </c>
      <c r="T75" s="577">
        <f t="shared" si="9"/>
        <v>0</v>
      </c>
      <c r="U75" s="578">
        <f t="shared" si="10"/>
        <v>0</v>
      </c>
      <c r="V75" s="579"/>
      <c r="W75" s="662"/>
      <c r="X75" s="586" t="str">
        <f t="shared" si="0"/>
        <v/>
      </c>
      <c r="Y75" s="586" t="str">
        <f t="shared" si="1"/>
        <v/>
      </c>
      <c r="Z75" s="586" t="str">
        <f t="shared" si="2"/>
        <v/>
      </c>
    </row>
    <row r="76" spans="1:26" ht="12" hidden="1" thickBot="1" x14ac:dyDescent="0.25">
      <c r="A76" s="567">
        <v>501000</v>
      </c>
      <c r="B76" s="644">
        <v>501000</v>
      </c>
      <c r="C76" s="645" t="s">
        <v>206</v>
      </c>
      <c r="D76" s="422" t="s">
        <v>478</v>
      </c>
      <c r="E76" s="423"/>
      <c r="F76" s="424">
        <v>2</v>
      </c>
      <c r="G76" s="425">
        <v>1.8</v>
      </c>
      <c r="H76" s="649">
        <f>IF(F76&lt;=30,(1.07*F76+2.68)*G76,((1.07*30+2.68)+1.07*(F76-30))*G76)</f>
        <v>8.6760000000000002</v>
      </c>
      <c r="I76" s="414">
        <v>6.18</v>
      </c>
      <c r="J76" s="420">
        <f t="shared" si="13"/>
        <v>14.856</v>
      </c>
      <c r="K76" s="421">
        <f t="shared" si="14"/>
        <v>17.649999999999999</v>
      </c>
      <c r="L76" s="647" t="s">
        <v>16</v>
      </c>
      <c r="M76" s="576"/>
      <c r="N76" s="576">
        <f t="shared" si="5"/>
        <v>0</v>
      </c>
      <c r="O76" s="577">
        <f t="shared" si="6"/>
        <v>0</v>
      </c>
      <c r="P76" s="578">
        <f t="shared" si="7"/>
        <v>0</v>
      </c>
      <c r="Q76" s="765"/>
      <c r="R76" s="576">
        <f t="shared" si="8"/>
        <v>0</v>
      </c>
      <c r="S76" s="576">
        <f t="shared" si="8"/>
        <v>0</v>
      </c>
      <c r="T76" s="577">
        <f t="shared" si="9"/>
        <v>0</v>
      </c>
      <c r="U76" s="578">
        <f t="shared" si="10"/>
        <v>0</v>
      </c>
      <c r="V76" s="579"/>
      <c r="W76" s="662"/>
      <c r="X76" s="586" t="str">
        <f t="shared" si="0"/>
        <v/>
      </c>
      <c r="Y76" s="586" t="str">
        <f t="shared" si="1"/>
        <v/>
      </c>
      <c r="Z76" s="586" t="str">
        <f t="shared" si="2"/>
        <v/>
      </c>
    </row>
    <row r="77" spans="1:26" ht="12" hidden="1" thickBot="1" x14ac:dyDescent="0.25">
      <c r="A77" s="567">
        <v>101114</v>
      </c>
      <c r="B77" s="644">
        <v>101114</v>
      </c>
      <c r="C77" s="645" t="s">
        <v>670</v>
      </c>
      <c r="D77" s="422" t="s">
        <v>1706</v>
      </c>
      <c r="E77" s="423"/>
      <c r="F77" s="424"/>
      <c r="G77" s="425">
        <v>0</v>
      </c>
      <c r="H77" s="649"/>
      <c r="I77" s="414">
        <v>4.12</v>
      </c>
      <c r="J77" s="420">
        <f t="shared" si="13"/>
        <v>4.12</v>
      </c>
      <c r="K77" s="421">
        <f t="shared" si="14"/>
        <v>4.8899999999999997</v>
      </c>
      <c r="L77" s="647" t="s">
        <v>16</v>
      </c>
      <c r="M77" s="576"/>
      <c r="N77" s="576">
        <f t="shared" si="5"/>
        <v>0</v>
      </c>
      <c r="O77" s="577">
        <f t="shared" si="6"/>
        <v>0</v>
      </c>
      <c r="P77" s="578">
        <f t="shared" si="7"/>
        <v>0</v>
      </c>
      <c r="Q77" s="765"/>
      <c r="R77" s="576">
        <f t="shared" si="8"/>
        <v>0</v>
      </c>
      <c r="S77" s="576">
        <f t="shared" si="8"/>
        <v>0</v>
      </c>
      <c r="T77" s="577">
        <f t="shared" si="9"/>
        <v>0</v>
      </c>
      <c r="U77" s="578">
        <f t="shared" si="10"/>
        <v>0</v>
      </c>
      <c r="V77" s="579"/>
      <c r="W77" s="566"/>
      <c r="X77" s="586" t="str">
        <f t="shared" si="0"/>
        <v/>
      </c>
      <c r="Y77" s="586" t="str">
        <f t="shared" si="1"/>
        <v/>
      </c>
      <c r="Z77" s="586" t="str">
        <f t="shared" si="2"/>
        <v/>
      </c>
    </row>
    <row r="78" spans="1:26" ht="12" hidden="1" thickBot="1" x14ac:dyDescent="0.25">
      <c r="A78" s="567">
        <v>101119</v>
      </c>
      <c r="B78" s="644">
        <v>101119</v>
      </c>
      <c r="C78" s="645" t="s">
        <v>670</v>
      </c>
      <c r="D78" s="422" t="s">
        <v>1707</v>
      </c>
      <c r="E78" s="423"/>
      <c r="F78" s="424"/>
      <c r="G78" s="425"/>
      <c r="H78" s="649"/>
      <c r="I78" s="414">
        <v>7.87</v>
      </c>
      <c r="J78" s="420">
        <f t="shared" si="13"/>
        <v>7.87</v>
      </c>
      <c r="K78" s="421">
        <f t="shared" si="14"/>
        <v>9.35</v>
      </c>
      <c r="L78" s="647" t="s">
        <v>16</v>
      </c>
      <c r="M78" s="576"/>
      <c r="N78" s="576">
        <f t="shared" si="5"/>
        <v>0</v>
      </c>
      <c r="O78" s="577">
        <f t="shared" si="6"/>
        <v>0</v>
      </c>
      <c r="P78" s="578">
        <f t="shared" si="7"/>
        <v>0</v>
      </c>
      <c r="Q78" s="765"/>
      <c r="R78" s="576">
        <f t="shared" si="8"/>
        <v>0</v>
      </c>
      <c r="S78" s="576">
        <f t="shared" si="8"/>
        <v>0</v>
      </c>
      <c r="T78" s="577">
        <f t="shared" si="9"/>
        <v>0</v>
      </c>
      <c r="U78" s="578">
        <f t="shared" si="10"/>
        <v>0</v>
      </c>
      <c r="V78" s="579"/>
      <c r="W78" s="566"/>
      <c r="X78" s="586" t="str">
        <f t="shared" si="0"/>
        <v/>
      </c>
      <c r="Y78" s="586" t="str">
        <f t="shared" si="1"/>
        <v/>
      </c>
      <c r="Z78" s="586" t="str">
        <f t="shared" si="2"/>
        <v/>
      </c>
    </row>
    <row r="79" spans="1:26" ht="12" hidden="1" thickBot="1" x14ac:dyDescent="0.25">
      <c r="A79" s="567">
        <v>430010</v>
      </c>
      <c r="B79" s="644">
        <v>430210</v>
      </c>
      <c r="C79" s="645" t="s">
        <v>206</v>
      </c>
      <c r="D79" s="422" t="s">
        <v>1708</v>
      </c>
      <c r="E79" s="423"/>
      <c r="F79" s="424"/>
      <c r="G79" s="425"/>
      <c r="H79" s="649"/>
      <c r="I79" s="414">
        <v>25.16</v>
      </c>
      <c r="J79" s="420">
        <f>IF(ISBLANK(I79),"",SUM(H79:I79))</f>
        <v>25.16</v>
      </c>
      <c r="K79" s="421">
        <f>IF(ISBLANK(I79),0,ROUND(J79*(1+$F$10)*(1+$F$11*E79),2))</f>
        <v>29.89</v>
      </c>
      <c r="L79" s="647" t="s">
        <v>16</v>
      </c>
      <c r="M79" s="576"/>
      <c r="N79" s="576">
        <f t="shared" si="5"/>
        <v>0</v>
      </c>
      <c r="O79" s="577">
        <f>IF(ISBLANK(M79),0,ROUND(K79*M79,2))</f>
        <v>0</v>
      </c>
      <c r="P79" s="578">
        <f>IF(ISBLANK(N79),0,ROUND(M79*N79,2))</f>
        <v>0</v>
      </c>
      <c r="Q79" s="765"/>
      <c r="R79" s="576">
        <f>M79</f>
        <v>0</v>
      </c>
      <c r="S79" s="576">
        <f>N79</f>
        <v>0</v>
      </c>
      <c r="T79" s="577">
        <f>IF(ISBLANK(R79),0,ROUND(K79*R79,2))</f>
        <v>0</v>
      </c>
      <c r="U79" s="578">
        <f>IF(ISBLANK(R79),0,ROUND(R79*S79,2))</f>
        <v>0</v>
      </c>
      <c r="V79" s="579"/>
      <c r="W79" s="566"/>
      <c r="X79" s="586" t="str">
        <f>IF(W79="X","x",IF(W79="xx","x",IF(W79="xy","x",IF(W79="y","x",IF(OR(P79&gt;0,U79&gt;0),"x","")))))</f>
        <v/>
      </c>
      <c r="Y79" s="586" t="str">
        <f>IF(W79="X","x",IF(W79="y","x",IF(W79="xx","x",IF(U79&gt;0,"x",""))))</f>
        <v/>
      </c>
      <c r="Z79" s="586" t="str">
        <f>IF(W79="X","x",IF(U79&gt;0,"x",""))</f>
        <v/>
      </c>
    </row>
    <row r="80" spans="1:26" ht="12" hidden="1" thickBot="1" x14ac:dyDescent="0.25">
      <c r="A80" s="567" t="s">
        <v>1709</v>
      </c>
      <c r="B80" s="644" t="s">
        <v>1709</v>
      </c>
      <c r="C80" s="645" t="s">
        <v>1705</v>
      </c>
      <c r="D80" s="422" t="s">
        <v>1710</v>
      </c>
      <c r="E80" s="423"/>
      <c r="F80" s="424"/>
      <c r="G80" s="425"/>
      <c r="H80" s="649"/>
      <c r="I80" s="420">
        <v>0.87</v>
      </c>
      <c r="J80" s="420">
        <f>IF(ISBLANK(I80),"",SUM(H80:I80))</f>
        <v>0.87</v>
      </c>
      <c r="K80" s="421">
        <f>IF(ISBLANK(I80),0,ROUND(J80*(1+$F$10)*(1+$F$11*E80),2))</f>
        <v>1.03</v>
      </c>
      <c r="L80" s="647" t="s">
        <v>2065</v>
      </c>
      <c r="M80" s="576"/>
      <c r="N80" s="576">
        <f t="shared" si="5"/>
        <v>0</v>
      </c>
      <c r="O80" s="577">
        <f>IF(ISBLANK(M80),0,ROUND(K80*M80,2))</f>
        <v>0</v>
      </c>
      <c r="P80" s="578">
        <f>IF(ISBLANK(N80),0,ROUND(M80*N80,2))</f>
        <v>0</v>
      </c>
      <c r="Q80" s="765"/>
      <c r="R80" s="576">
        <f>M80</f>
        <v>0</v>
      </c>
      <c r="S80" s="576">
        <f>N80</f>
        <v>0</v>
      </c>
      <c r="T80" s="577">
        <f>IF(ISBLANK(R80),0,ROUND(K80*R80,2))</f>
        <v>0</v>
      </c>
      <c r="U80" s="578">
        <f>IF(ISBLANK(R80),0,ROUND(R80*S80,2))</f>
        <v>0</v>
      </c>
      <c r="V80" s="579"/>
      <c r="W80" s="566"/>
      <c r="X80" s="586" t="str">
        <f>IF(W80="X","x",IF(W80="xx","x",IF(W80="xy","x",IF(W80="y","x",IF(OR(P80&gt;0,U80&gt;0),"x","")))))</f>
        <v/>
      </c>
      <c r="Y80" s="586" t="str">
        <f>IF(W80="X","x",IF(W80="y","x",IF(W80="xx","x",IF(U80&gt;0,"x",""))))</f>
        <v/>
      </c>
      <c r="Z80" s="586" t="str">
        <f>IF(W80="X","x",IF(U80&gt;0,"x",""))</f>
        <v/>
      </c>
    </row>
    <row r="81" spans="1:26" ht="12" hidden="1" thickBot="1" x14ac:dyDescent="0.25">
      <c r="A81" s="567">
        <v>520100</v>
      </c>
      <c r="B81" s="644" t="s">
        <v>1728</v>
      </c>
      <c r="C81" s="645" t="s">
        <v>206</v>
      </c>
      <c r="D81" s="422" t="s">
        <v>1711</v>
      </c>
      <c r="E81" s="423"/>
      <c r="F81" s="424"/>
      <c r="G81" s="425">
        <v>0</v>
      </c>
      <c r="H81" s="649"/>
      <c r="I81" s="414">
        <v>5.62</v>
      </c>
      <c r="J81" s="420">
        <f t="shared" si="13"/>
        <v>5.62</v>
      </c>
      <c r="K81" s="421">
        <f t="shared" si="14"/>
        <v>6.68</v>
      </c>
      <c r="L81" s="647" t="s">
        <v>16</v>
      </c>
      <c r="M81" s="576"/>
      <c r="N81" s="576">
        <f t="shared" si="5"/>
        <v>0</v>
      </c>
      <c r="O81" s="577">
        <f t="shared" si="6"/>
        <v>0</v>
      </c>
      <c r="P81" s="578">
        <f t="shared" si="7"/>
        <v>0</v>
      </c>
      <c r="Q81" s="765"/>
      <c r="R81" s="576">
        <f t="shared" si="8"/>
        <v>0</v>
      </c>
      <c r="S81" s="576">
        <f t="shared" si="8"/>
        <v>0</v>
      </c>
      <c r="T81" s="577">
        <f t="shared" si="9"/>
        <v>0</v>
      </c>
      <c r="U81" s="578">
        <f t="shared" si="10"/>
        <v>0</v>
      </c>
      <c r="V81" s="579"/>
      <c r="W81" s="566"/>
      <c r="X81" s="586" t="str">
        <f t="shared" si="0"/>
        <v/>
      </c>
      <c r="Y81" s="586" t="str">
        <f t="shared" si="1"/>
        <v/>
      </c>
      <c r="Z81" s="586" t="str">
        <f t="shared" si="2"/>
        <v/>
      </c>
    </row>
    <row r="82" spans="1:26" ht="12" hidden="1" thickBot="1" x14ac:dyDescent="0.25">
      <c r="A82" s="567">
        <v>520200</v>
      </c>
      <c r="B82" s="644" t="s">
        <v>1729</v>
      </c>
      <c r="C82" s="645" t="s">
        <v>206</v>
      </c>
      <c r="D82" s="422" t="s">
        <v>1712</v>
      </c>
      <c r="E82" s="423"/>
      <c r="F82" s="424"/>
      <c r="G82" s="425"/>
      <c r="H82" s="649"/>
      <c r="I82" s="414">
        <v>6.87</v>
      </c>
      <c r="J82" s="420">
        <f t="shared" si="13"/>
        <v>6.87</v>
      </c>
      <c r="K82" s="421">
        <f t="shared" si="14"/>
        <v>8.16</v>
      </c>
      <c r="L82" s="647" t="s">
        <v>16</v>
      </c>
      <c r="M82" s="576"/>
      <c r="N82" s="576">
        <f t="shared" si="5"/>
        <v>0</v>
      </c>
      <c r="O82" s="577">
        <f t="shared" si="6"/>
        <v>0</v>
      </c>
      <c r="P82" s="578">
        <f t="shared" si="7"/>
        <v>0</v>
      </c>
      <c r="Q82" s="765"/>
      <c r="R82" s="576">
        <f t="shared" si="8"/>
        <v>0</v>
      </c>
      <c r="S82" s="576">
        <f t="shared" si="8"/>
        <v>0</v>
      </c>
      <c r="T82" s="577">
        <f t="shared" si="9"/>
        <v>0</v>
      </c>
      <c r="U82" s="578">
        <f t="shared" si="10"/>
        <v>0</v>
      </c>
      <c r="V82" s="579"/>
      <c r="W82" s="566"/>
      <c r="X82" s="586" t="str">
        <f t="shared" si="0"/>
        <v/>
      </c>
      <c r="Y82" s="586" t="str">
        <f t="shared" si="1"/>
        <v/>
      </c>
      <c r="Z82" s="586" t="str">
        <f t="shared" si="2"/>
        <v/>
      </c>
    </row>
    <row r="83" spans="1:26" ht="12" hidden="1" thickBot="1" x14ac:dyDescent="0.25">
      <c r="A83" s="567">
        <v>431010</v>
      </c>
      <c r="B83" s="644">
        <v>431010</v>
      </c>
      <c r="C83" s="645" t="s">
        <v>206</v>
      </c>
      <c r="D83" s="422" t="s">
        <v>1713</v>
      </c>
      <c r="E83" s="423"/>
      <c r="F83" s="424"/>
      <c r="G83" s="425">
        <v>0</v>
      </c>
      <c r="H83" s="649"/>
      <c r="I83" s="414">
        <v>40.54</v>
      </c>
      <c r="J83" s="420">
        <f t="shared" si="13"/>
        <v>40.54</v>
      </c>
      <c r="K83" s="421">
        <f t="shared" si="14"/>
        <v>48.17</v>
      </c>
      <c r="L83" s="647" t="s">
        <v>16</v>
      </c>
      <c r="M83" s="576"/>
      <c r="N83" s="576">
        <f t="shared" si="5"/>
        <v>0</v>
      </c>
      <c r="O83" s="577">
        <f t="shared" si="6"/>
        <v>0</v>
      </c>
      <c r="P83" s="578">
        <f t="shared" si="7"/>
        <v>0</v>
      </c>
      <c r="Q83" s="765"/>
      <c r="R83" s="576">
        <f t="shared" si="8"/>
        <v>0</v>
      </c>
      <c r="S83" s="576">
        <f t="shared" si="8"/>
        <v>0</v>
      </c>
      <c r="T83" s="577">
        <f t="shared" si="9"/>
        <v>0</v>
      </c>
      <c r="U83" s="578">
        <f t="shared" si="10"/>
        <v>0</v>
      </c>
      <c r="V83" s="579"/>
      <c r="W83" s="566"/>
      <c r="X83" s="586" t="str">
        <f t="shared" si="0"/>
        <v/>
      </c>
      <c r="Y83" s="586" t="str">
        <f t="shared" si="1"/>
        <v/>
      </c>
      <c r="Z83" s="586" t="str">
        <f t="shared" si="2"/>
        <v/>
      </c>
    </row>
    <row r="84" spans="1:26" ht="12" hidden="1" thickBot="1" x14ac:dyDescent="0.25">
      <c r="A84" s="567">
        <v>520100</v>
      </c>
      <c r="B84" s="644" t="s">
        <v>1530</v>
      </c>
      <c r="C84" s="645" t="s">
        <v>206</v>
      </c>
      <c r="D84" s="422" t="s">
        <v>1730</v>
      </c>
      <c r="E84" s="423"/>
      <c r="F84" s="424">
        <v>2</v>
      </c>
      <c r="G84" s="425">
        <v>1.5</v>
      </c>
      <c r="H84" s="649">
        <f>IF(F84&lt;=30,(1.07*F84+2.68)*G84,((1.07*30+2.68)+1.07*(F84-30))*G84)</f>
        <v>7.23</v>
      </c>
      <c r="I84" s="414">
        <v>5.62</v>
      </c>
      <c r="J84" s="420">
        <f t="shared" si="13"/>
        <v>12.850000000000001</v>
      </c>
      <c r="K84" s="421">
        <f t="shared" si="14"/>
        <v>15.27</v>
      </c>
      <c r="L84" s="647" t="s">
        <v>16</v>
      </c>
      <c r="M84" s="576"/>
      <c r="N84" s="576">
        <f t="shared" ref="N84:N147" si="15">IF(M84=0,0,K84)</f>
        <v>0</v>
      </c>
      <c r="O84" s="577">
        <f t="shared" si="6"/>
        <v>0</v>
      </c>
      <c r="P84" s="578">
        <f t="shared" si="7"/>
        <v>0</v>
      </c>
      <c r="Q84" s="765"/>
      <c r="R84" s="576">
        <f t="shared" si="8"/>
        <v>0</v>
      </c>
      <c r="S84" s="576">
        <f t="shared" si="8"/>
        <v>0</v>
      </c>
      <c r="T84" s="577">
        <f t="shared" si="9"/>
        <v>0</v>
      </c>
      <c r="U84" s="578">
        <f t="shared" si="10"/>
        <v>0</v>
      </c>
      <c r="V84" s="579"/>
      <c r="W84" s="566"/>
      <c r="X84" s="586" t="str">
        <f t="shared" si="0"/>
        <v/>
      </c>
      <c r="Y84" s="586" t="str">
        <f t="shared" ref="Y84:Y141" si="16">IF(W84="X","x",IF(W84="y","x",IF(W84="xx","x",IF(U84&gt;0,"x",""))))</f>
        <v/>
      </c>
      <c r="Z84" s="586" t="str">
        <f t="shared" ref="Z84:Z155" si="17">IF(W84="X","x",IF(U84&gt;0,"x",""))</f>
        <v/>
      </c>
    </row>
    <row r="85" spans="1:26" ht="12" hidden="1" thickBot="1" x14ac:dyDescent="0.25">
      <c r="A85" s="567">
        <v>520200</v>
      </c>
      <c r="B85" s="644" t="s">
        <v>1531</v>
      </c>
      <c r="C85" s="645" t="s">
        <v>206</v>
      </c>
      <c r="D85" s="422" t="s">
        <v>1731</v>
      </c>
      <c r="E85" s="423"/>
      <c r="F85" s="424">
        <v>2</v>
      </c>
      <c r="G85" s="425">
        <v>1.5</v>
      </c>
      <c r="H85" s="649">
        <f>IF(F85&lt;=30,(1.07*F85+2.68)*G85,((1.07*30+2.68)+1.07*(F85-30))*G85)</f>
        <v>7.23</v>
      </c>
      <c r="I85" s="414">
        <v>6.87</v>
      </c>
      <c r="J85" s="420">
        <f t="shared" si="13"/>
        <v>14.100000000000001</v>
      </c>
      <c r="K85" s="421">
        <f t="shared" si="14"/>
        <v>16.75</v>
      </c>
      <c r="L85" s="647" t="s">
        <v>16</v>
      </c>
      <c r="M85" s="576"/>
      <c r="N85" s="576">
        <f t="shared" si="15"/>
        <v>0</v>
      </c>
      <c r="O85" s="577">
        <f t="shared" si="6"/>
        <v>0</v>
      </c>
      <c r="P85" s="578">
        <f t="shared" si="7"/>
        <v>0</v>
      </c>
      <c r="Q85" s="765"/>
      <c r="R85" s="576">
        <f t="shared" si="8"/>
        <v>0</v>
      </c>
      <c r="S85" s="576">
        <f t="shared" si="8"/>
        <v>0</v>
      </c>
      <c r="T85" s="577">
        <f t="shared" si="9"/>
        <v>0</v>
      </c>
      <c r="U85" s="578">
        <f t="shared" si="10"/>
        <v>0</v>
      </c>
      <c r="V85" s="579"/>
      <c r="W85" s="566"/>
      <c r="X85" s="586" t="str">
        <f t="shared" si="0"/>
        <v/>
      </c>
      <c r="Y85" s="586" t="str">
        <f t="shared" si="16"/>
        <v/>
      </c>
      <c r="Z85" s="586" t="str">
        <f t="shared" si="17"/>
        <v/>
      </c>
    </row>
    <row r="86" spans="1:26" ht="12" hidden="1" thickBot="1" x14ac:dyDescent="0.25">
      <c r="A86" s="567">
        <v>521300</v>
      </c>
      <c r="B86" s="644">
        <v>521300</v>
      </c>
      <c r="C86" s="645" t="s">
        <v>206</v>
      </c>
      <c r="D86" s="422" t="s">
        <v>1714</v>
      </c>
      <c r="E86" s="423"/>
      <c r="F86" s="424">
        <v>2</v>
      </c>
      <c r="G86" s="425">
        <v>1.5</v>
      </c>
      <c r="H86" s="649">
        <f>IF(F86&lt;=30,(1.07*F86+2.68)*G86,((1.07*30+2.68)+1.07*(F86-30))*G86)</f>
        <v>7.23</v>
      </c>
      <c r="I86" s="414">
        <v>42.56</v>
      </c>
      <c r="J86" s="420">
        <f>IF(ISBLANK(I86),"",SUM(H86:I86))</f>
        <v>49.790000000000006</v>
      </c>
      <c r="K86" s="421">
        <f>IF(ISBLANK(I86),0,ROUND(J86*(1+$F$10)*(1+$F$11*E86),2))</f>
        <v>59.16</v>
      </c>
      <c r="L86" s="647" t="s">
        <v>16</v>
      </c>
      <c r="M86" s="576"/>
      <c r="N86" s="576">
        <f t="shared" si="15"/>
        <v>0</v>
      </c>
      <c r="O86" s="577">
        <f>IF(ISBLANK(M86),0,ROUND(K86*M86,2))</f>
        <v>0</v>
      </c>
      <c r="P86" s="578">
        <f>IF(ISBLANK(N86),0,ROUND(M86*N86,2))</f>
        <v>0</v>
      </c>
      <c r="Q86" s="765"/>
      <c r="R86" s="576">
        <f>M86</f>
        <v>0</v>
      </c>
      <c r="S86" s="576">
        <f>N86</f>
        <v>0</v>
      </c>
      <c r="T86" s="577">
        <f>IF(ISBLANK(R86),0,ROUND(K86*R86,2))</f>
        <v>0</v>
      </c>
      <c r="U86" s="578">
        <f>IF(ISBLANK(R86),0,ROUND(R86*S86,2))</f>
        <v>0</v>
      </c>
      <c r="V86" s="579"/>
      <c r="W86" s="566"/>
      <c r="X86" s="586" t="str">
        <f>IF(W86="X","x",IF(W86="xx","x",IF(W86="xy","x",IF(W86="y","x",IF(OR(P86&gt;0,U86&gt;0),"x","")))))</f>
        <v/>
      </c>
      <c r="Y86" s="586" t="str">
        <f>IF(W86="X","x",IF(W86="y","x",IF(W86="xx","x",IF(U86&gt;0,"x",""))))</f>
        <v/>
      </c>
      <c r="Z86" s="586" t="str">
        <f>IF(W86="X","x",IF(U86&gt;0,"x",""))</f>
        <v/>
      </c>
    </row>
    <row r="87" spans="1:26" ht="12" hidden="1" thickBot="1" x14ac:dyDescent="0.25">
      <c r="A87" s="567">
        <v>411000</v>
      </c>
      <c r="B87" s="644">
        <v>411000</v>
      </c>
      <c r="C87" s="645" t="s">
        <v>206</v>
      </c>
      <c r="D87" s="422" t="s">
        <v>194</v>
      </c>
      <c r="E87" s="423"/>
      <c r="F87" s="424"/>
      <c r="G87" s="425"/>
      <c r="H87" s="649"/>
      <c r="I87" s="414">
        <v>9.8699999999999992</v>
      </c>
      <c r="J87" s="420">
        <f t="shared" si="13"/>
        <v>9.8699999999999992</v>
      </c>
      <c r="K87" s="421">
        <f t="shared" si="14"/>
        <v>11.73</v>
      </c>
      <c r="L87" s="647" t="s">
        <v>16</v>
      </c>
      <c r="M87" s="576"/>
      <c r="N87" s="576">
        <f t="shared" si="15"/>
        <v>0</v>
      </c>
      <c r="O87" s="577">
        <f t="shared" si="6"/>
        <v>0</v>
      </c>
      <c r="P87" s="578">
        <f t="shared" si="7"/>
        <v>0</v>
      </c>
      <c r="Q87" s="765"/>
      <c r="R87" s="576">
        <f t="shared" si="8"/>
        <v>0</v>
      </c>
      <c r="S87" s="576">
        <f t="shared" si="8"/>
        <v>0</v>
      </c>
      <c r="T87" s="577">
        <f t="shared" si="9"/>
        <v>0</v>
      </c>
      <c r="U87" s="578">
        <f t="shared" si="10"/>
        <v>0</v>
      </c>
      <c r="V87" s="579"/>
      <c r="W87" s="662"/>
      <c r="X87" s="586" t="str">
        <f t="shared" si="0"/>
        <v/>
      </c>
      <c r="Y87" s="586" t="str">
        <f t="shared" si="16"/>
        <v/>
      </c>
      <c r="Z87" s="586" t="str">
        <f t="shared" si="17"/>
        <v/>
      </c>
    </row>
    <row r="88" spans="1:26" ht="12" hidden="1" thickBot="1" x14ac:dyDescent="0.25">
      <c r="A88" s="567">
        <v>420200</v>
      </c>
      <c r="B88" s="644">
        <v>420200</v>
      </c>
      <c r="C88" s="645" t="s">
        <v>206</v>
      </c>
      <c r="D88" s="422" t="s">
        <v>591</v>
      </c>
      <c r="E88" s="423"/>
      <c r="F88" s="424">
        <v>2</v>
      </c>
      <c r="G88" s="425">
        <v>0.5</v>
      </c>
      <c r="H88" s="649">
        <f>IF(F88&lt;=30,(1.07*F88+2.68)*G88,((1.07*30+2.68)+1.07*(F88-30))*G88)</f>
        <v>2.41</v>
      </c>
      <c r="I88" s="414">
        <v>11.79</v>
      </c>
      <c r="J88" s="420">
        <f>IF(ISBLANK(I88),"",SUM(H88:I88))*0.9</f>
        <v>12.78</v>
      </c>
      <c r="K88" s="421">
        <f t="shared" si="14"/>
        <v>15.18</v>
      </c>
      <c r="L88" s="647" t="s">
        <v>16</v>
      </c>
      <c r="M88" s="576"/>
      <c r="N88" s="576">
        <f t="shared" si="15"/>
        <v>0</v>
      </c>
      <c r="O88" s="577">
        <f t="shared" ref="O88:O158" si="18">IF(ISBLANK(M88),0,ROUND(K88*M88,2))</f>
        <v>0</v>
      </c>
      <c r="P88" s="578">
        <f t="shared" ref="P88:P158" si="19">IF(ISBLANK(N88),0,ROUND(M88*N88,2))</f>
        <v>0</v>
      </c>
      <c r="Q88" s="765"/>
      <c r="R88" s="576">
        <f t="shared" ref="R88:S156" si="20">M88</f>
        <v>0</v>
      </c>
      <c r="S88" s="576">
        <f t="shared" si="20"/>
        <v>0</v>
      </c>
      <c r="T88" s="577">
        <f t="shared" ref="T88:T158" si="21">IF(ISBLANK(R88),0,ROUND(K88*R88,2))</f>
        <v>0</v>
      </c>
      <c r="U88" s="578">
        <f t="shared" ref="U88:U158" si="22">IF(ISBLANK(R88),0,ROUND(R88*S88,2))</f>
        <v>0</v>
      </c>
      <c r="V88" s="579"/>
      <c r="W88" s="662"/>
      <c r="X88" s="586" t="str">
        <f t="shared" si="0"/>
        <v/>
      </c>
      <c r="Y88" s="586" t="str">
        <f t="shared" si="16"/>
        <v/>
      </c>
      <c r="Z88" s="586" t="str">
        <f t="shared" si="17"/>
        <v/>
      </c>
    </row>
    <row r="89" spans="1:26" ht="12" hidden="1" thickBot="1" x14ac:dyDescent="0.25">
      <c r="A89" s="567">
        <v>404000</v>
      </c>
      <c r="B89" s="644">
        <v>404000</v>
      </c>
      <c r="C89" s="645" t="s">
        <v>206</v>
      </c>
      <c r="D89" s="422" t="s">
        <v>193</v>
      </c>
      <c r="E89" s="423"/>
      <c r="F89" s="424">
        <v>2</v>
      </c>
      <c r="G89" s="425">
        <v>1.5</v>
      </c>
      <c r="H89" s="649">
        <f>IF(F89&lt;=30,(1.07*F89+2.68)*G89,((1.07*30+2.68)+1.07*(F89-30))*G89)</f>
        <v>7.23</v>
      </c>
      <c r="I89" s="414">
        <v>11.8</v>
      </c>
      <c r="J89" s="420">
        <f t="shared" si="13"/>
        <v>19.03</v>
      </c>
      <c r="K89" s="421">
        <f t="shared" si="14"/>
        <v>22.61</v>
      </c>
      <c r="L89" s="647" t="s">
        <v>16</v>
      </c>
      <c r="M89" s="576"/>
      <c r="N89" s="576">
        <f t="shared" si="15"/>
        <v>0</v>
      </c>
      <c r="O89" s="577">
        <f t="shared" si="18"/>
        <v>0</v>
      </c>
      <c r="P89" s="578">
        <f t="shared" si="19"/>
        <v>0</v>
      </c>
      <c r="Q89" s="765"/>
      <c r="R89" s="576">
        <f t="shared" si="20"/>
        <v>0</v>
      </c>
      <c r="S89" s="576">
        <f t="shared" si="20"/>
        <v>0</v>
      </c>
      <c r="T89" s="577">
        <f t="shared" si="21"/>
        <v>0</v>
      </c>
      <c r="U89" s="578">
        <f t="shared" si="22"/>
        <v>0</v>
      </c>
      <c r="V89" s="579"/>
      <c r="W89" s="662"/>
      <c r="X89" s="586" t="str">
        <f t="shared" si="0"/>
        <v/>
      </c>
      <c r="Y89" s="586" t="str">
        <f t="shared" si="16"/>
        <v/>
      </c>
      <c r="Z89" s="586" t="str">
        <f t="shared" si="17"/>
        <v/>
      </c>
    </row>
    <row r="90" spans="1:26" ht="12" hidden="1" thickBot="1" x14ac:dyDescent="0.25">
      <c r="A90" s="652" t="s">
        <v>187</v>
      </c>
      <c r="B90" s="653" t="s">
        <v>187</v>
      </c>
      <c r="C90" s="654"/>
      <c r="D90" s="427" t="s">
        <v>186</v>
      </c>
      <c r="E90" s="428"/>
      <c r="F90" s="655"/>
      <c r="G90" s="656"/>
      <c r="H90" s="663"/>
      <c r="I90" s="429"/>
      <c r="J90" s="429"/>
      <c r="K90" s="429"/>
      <c r="L90" s="429" t="s">
        <v>614</v>
      </c>
      <c r="M90" s="657"/>
      <c r="N90" s="576">
        <f t="shared" si="15"/>
        <v>0</v>
      </c>
      <c r="O90" s="429">
        <f t="shared" si="18"/>
        <v>0</v>
      </c>
      <c r="P90" s="658">
        <f t="shared" si="19"/>
        <v>0</v>
      </c>
      <c r="Q90" s="765"/>
      <c r="R90" s="657"/>
      <c r="S90" s="429"/>
      <c r="T90" s="429">
        <f t="shared" si="21"/>
        <v>0</v>
      </c>
      <c r="U90" s="658">
        <f t="shared" si="22"/>
        <v>0</v>
      </c>
      <c r="V90" s="579"/>
      <c r="W90" s="637" t="str">
        <f>IF(OR(SUM(P91:P115)&gt;0,SUM(U91:U115)&gt;0),"y","")</f>
        <v/>
      </c>
      <c r="X90" s="586" t="str">
        <f t="shared" ref="X90:X160" si="23">IF(W90="X","x",IF(W90="xx","x",IF(W90="xy","x",IF(W90="y","x",IF(OR(P90&gt;0,U90&gt;0),"x","")))))</f>
        <v/>
      </c>
      <c r="Y90" s="586" t="str">
        <f t="shared" si="16"/>
        <v/>
      </c>
      <c r="Z90" s="586" t="str">
        <f t="shared" si="17"/>
        <v/>
      </c>
    </row>
    <row r="91" spans="1:26" ht="12" hidden="1" thickBot="1" x14ac:dyDescent="0.25">
      <c r="A91" s="652" t="s">
        <v>187</v>
      </c>
      <c r="B91" s="572" t="s">
        <v>187</v>
      </c>
      <c r="C91" s="573" t="s">
        <v>187</v>
      </c>
      <c r="D91" s="574"/>
      <c r="E91" s="575"/>
      <c r="F91" s="436"/>
      <c r="G91" s="431"/>
      <c r="H91" s="426"/>
      <c r="I91" s="432"/>
      <c r="J91" s="433"/>
      <c r="K91" s="434">
        <f t="shared" ref="K91:K115" si="24">IF(ISBLANK(J91),0,ROUND(J91*(1+$F$10)*(1+$F$11*E91),2))</f>
        <v>0</v>
      </c>
      <c r="L91" s="435" t="s">
        <v>614</v>
      </c>
      <c r="M91" s="587"/>
      <c r="N91" s="576">
        <f t="shared" si="15"/>
        <v>0</v>
      </c>
      <c r="O91" s="577">
        <f t="shared" si="18"/>
        <v>0</v>
      </c>
      <c r="P91" s="578">
        <f t="shared" si="19"/>
        <v>0</v>
      </c>
      <c r="Q91" s="765"/>
      <c r="R91" s="650">
        <f t="shared" si="20"/>
        <v>0</v>
      </c>
      <c r="S91" s="587">
        <f t="shared" si="20"/>
        <v>0</v>
      </c>
      <c r="T91" s="577">
        <f t="shared" si="21"/>
        <v>0</v>
      </c>
      <c r="U91" s="578">
        <f t="shared" si="22"/>
        <v>0</v>
      </c>
      <c r="V91" s="579"/>
      <c r="W91" s="566"/>
      <c r="X91" s="586" t="str">
        <f t="shared" si="23"/>
        <v/>
      </c>
      <c r="Y91" s="586" t="str">
        <f t="shared" si="16"/>
        <v/>
      </c>
      <c r="Z91" s="586" t="str">
        <f t="shared" si="17"/>
        <v/>
      </c>
    </row>
    <row r="92" spans="1:26" ht="12" hidden="1" thickBot="1" x14ac:dyDescent="0.25">
      <c r="A92" s="652" t="s">
        <v>187</v>
      </c>
      <c r="B92" s="572" t="s">
        <v>187</v>
      </c>
      <c r="C92" s="573" t="s">
        <v>187</v>
      </c>
      <c r="D92" s="580"/>
      <c r="E92" s="575"/>
      <c r="F92" s="436"/>
      <c r="G92" s="431"/>
      <c r="H92" s="426"/>
      <c r="I92" s="432"/>
      <c r="J92" s="433"/>
      <c r="K92" s="437">
        <f t="shared" si="24"/>
        <v>0</v>
      </c>
      <c r="L92" s="435" t="s">
        <v>614</v>
      </c>
      <c r="M92" s="576"/>
      <c r="N92" s="576">
        <f t="shared" si="15"/>
        <v>0</v>
      </c>
      <c r="O92" s="577">
        <f t="shared" si="18"/>
        <v>0</v>
      </c>
      <c r="P92" s="578">
        <f t="shared" si="19"/>
        <v>0</v>
      </c>
      <c r="Q92" s="765"/>
      <c r="R92" s="576">
        <f t="shared" si="20"/>
        <v>0</v>
      </c>
      <c r="S92" s="576">
        <f t="shared" si="20"/>
        <v>0</v>
      </c>
      <c r="T92" s="577">
        <f t="shared" si="21"/>
        <v>0</v>
      </c>
      <c r="U92" s="659">
        <f t="shared" si="22"/>
        <v>0</v>
      </c>
      <c r="V92" s="579"/>
      <c r="W92" s="566"/>
      <c r="X92" s="586" t="str">
        <f t="shared" si="23"/>
        <v/>
      </c>
      <c r="Y92" s="586" t="str">
        <f t="shared" si="16"/>
        <v/>
      </c>
      <c r="Z92" s="586" t="str">
        <f t="shared" si="17"/>
        <v/>
      </c>
    </row>
    <row r="93" spans="1:26" ht="12" hidden="1" thickBot="1" x14ac:dyDescent="0.25">
      <c r="A93" s="652" t="s">
        <v>187</v>
      </c>
      <c r="B93" s="572" t="s">
        <v>187</v>
      </c>
      <c r="C93" s="573" t="s">
        <v>187</v>
      </c>
      <c r="D93" s="580"/>
      <c r="E93" s="575"/>
      <c r="F93" s="436"/>
      <c r="G93" s="431"/>
      <c r="H93" s="426"/>
      <c r="I93" s="432"/>
      <c r="J93" s="433"/>
      <c r="K93" s="437">
        <f t="shared" si="24"/>
        <v>0</v>
      </c>
      <c r="L93" s="435" t="s">
        <v>614</v>
      </c>
      <c r="M93" s="576"/>
      <c r="N93" s="576">
        <f t="shared" si="15"/>
        <v>0</v>
      </c>
      <c r="O93" s="577">
        <f t="shared" si="18"/>
        <v>0</v>
      </c>
      <c r="P93" s="578">
        <f t="shared" si="19"/>
        <v>0</v>
      </c>
      <c r="Q93" s="765"/>
      <c r="R93" s="576">
        <f t="shared" si="20"/>
        <v>0</v>
      </c>
      <c r="S93" s="576">
        <f t="shared" si="20"/>
        <v>0</v>
      </c>
      <c r="T93" s="577">
        <f t="shared" si="21"/>
        <v>0</v>
      </c>
      <c r="U93" s="578">
        <f t="shared" si="22"/>
        <v>0</v>
      </c>
      <c r="V93" s="579"/>
      <c r="W93" s="566"/>
      <c r="X93" s="586" t="str">
        <f t="shared" si="23"/>
        <v/>
      </c>
      <c r="Y93" s="586" t="str">
        <f t="shared" si="16"/>
        <v/>
      </c>
      <c r="Z93" s="586" t="str">
        <f t="shared" si="17"/>
        <v/>
      </c>
    </row>
    <row r="94" spans="1:26" ht="12" hidden="1" thickBot="1" x14ac:dyDescent="0.25">
      <c r="A94" s="652" t="s">
        <v>187</v>
      </c>
      <c r="B94" s="572" t="s">
        <v>187</v>
      </c>
      <c r="C94" s="573" t="s">
        <v>187</v>
      </c>
      <c r="D94" s="580"/>
      <c r="E94" s="575"/>
      <c r="F94" s="436"/>
      <c r="G94" s="431"/>
      <c r="H94" s="426"/>
      <c r="I94" s="432"/>
      <c r="J94" s="433"/>
      <c r="K94" s="437">
        <f t="shared" si="24"/>
        <v>0</v>
      </c>
      <c r="L94" s="435" t="s">
        <v>614</v>
      </c>
      <c r="M94" s="576"/>
      <c r="N94" s="576">
        <f t="shared" si="15"/>
        <v>0</v>
      </c>
      <c r="O94" s="577">
        <f t="shared" si="18"/>
        <v>0</v>
      </c>
      <c r="P94" s="578">
        <f t="shared" si="19"/>
        <v>0</v>
      </c>
      <c r="Q94" s="765"/>
      <c r="R94" s="576">
        <f t="shared" si="20"/>
        <v>0</v>
      </c>
      <c r="S94" s="576">
        <f t="shared" si="20"/>
        <v>0</v>
      </c>
      <c r="T94" s="577">
        <f t="shared" si="21"/>
        <v>0</v>
      </c>
      <c r="U94" s="578">
        <f t="shared" si="22"/>
        <v>0</v>
      </c>
      <c r="V94" s="579"/>
      <c r="W94" s="566"/>
      <c r="X94" s="586" t="str">
        <f t="shared" si="23"/>
        <v/>
      </c>
      <c r="Y94" s="586" t="str">
        <f t="shared" si="16"/>
        <v/>
      </c>
      <c r="Z94" s="586" t="str">
        <f t="shared" si="17"/>
        <v/>
      </c>
    </row>
    <row r="95" spans="1:26" ht="12" hidden="1" thickBot="1" x14ac:dyDescent="0.25">
      <c r="A95" s="652" t="s">
        <v>187</v>
      </c>
      <c r="B95" s="572" t="s">
        <v>187</v>
      </c>
      <c r="C95" s="573" t="s">
        <v>187</v>
      </c>
      <c r="D95" s="580"/>
      <c r="E95" s="575"/>
      <c r="F95" s="436"/>
      <c r="G95" s="431"/>
      <c r="H95" s="426"/>
      <c r="I95" s="432"/>
      <c r="J95" s="433"/>
      <c r="K95" s="437">
        <f t="shared" si="24"/>
        <v>0</v>
      </c>
      <c r="L95" s="435" t="s">
        <v>614</v>
      </c>
      <c r="M95" s="576"/>
      <c r="N95" s="576">
        <f t="shared" si="15"/>
        <v>0</v>
      </c>
      <c r="O95" s="577">
        <f t="shared" si="18"/>
        <v>0</v>
      </c>
      <c r="P95" s="578">
        <f t="shared" si="19"/>
        <v>0</v>
      </c>
      <c r="Q95" s="765"/>
      <c r="R95" s="576">
        <f t="shared" si="20"/>
        <v>0</v>
      </c>
      <c r="S95" s="576">
        <f t="shared" si="20"/>
        <v>0</v>
      </c>
      <c r="T95" s="577">
        <f t="shared" si="21"/>
        <v>0</v>
      </c>
      <c r="U95" s="578">
        <f t="shared" si="22"/>
        <v>0</v>
      </c>
      <c r="V95" s="579"/>
      <c r="W95" s="566"/>
      <c r="X95" s="586" t="str">
        <f t="shared" si="23"/>
        <v/>
      </c>
      <c r="Y95" s="586" t="str">
        <f t="shared" si="16"/>
        <v/>
      </c>
      <c r="Z95" s="586" t="str">
        <f t="shared" si="17"/>
        <v/>
      </c>
    </row>
    <row r="96" spans="1:26" ht="12" hidden="1" thickBot="1" x14ac:dyDescent="0.25">
      <c r="A96" s="652" t="s">
        <v>187</v>
      </c>
      <c r="B96" s="572" t="s">
        <v>187</v>
      </c>
      <c r="C96" s="573" t="s">
        <v>187</v>
      </c>
      <c r="D96" s="580"/>
      <c r="E96" s="575"/>
      <c r="F96" s="436"/>
      <c r="G96" s="431"/>
      <c r="H96" s="426"/>
      <c r="I96" s="432"/>
      <c r="J96" s="433"/>
      <c r="K96" s="437">
        <f t="shared" si="24"/>
        <v>0</v>
      </c>
      <c r="L96" s="435" t="s">
        <v>614</v>
      </c>
      <c r="M96" s="576"/>
      <c r="N96" s="576">
        <f t="shared" si="15"/>
        <v>0</v>
      </c>
      <c r="O96" s="577">
        <f t="shared" si="18"/>
        <v>0</v>
      </c>
      <c r="P96" s="578">
        <f t="shared" si="19"/>
        <v>0</v>
      </c>
      <c r="Q96" s="765"/>
      <c r="R96" s="576">
        <f t="shared" si="20"/>
        <v>0</v>
      </c>
      <c r="S96" s="576">
        <f t="shared" si="20"/>
        <v>0</v>
      </c>
      <c r="T96" s="577">
        <f t="shared" si="21"/>
        <v>0</v>
      </c>
      <c r="U96" s="578">
        <f t="shared" si="22"/>
        <v>0</v>
      </c>
      <c r="V96" s="579"/>
      <c r="W96" s="566"/>
      <c r="X96" s="586" t="str">
        <f t="shared" si="23"/>
        <v/>
      </c>
      <c r="Y96" s="586" t="str">
        <f t="shared" si="16"/>
        <v/>
      </c>
      <c r="Z96" s="586" t="str">
        <f t="shared" si="17"/>
        <v/>
      </c>
    </row>
    <row r="97" spans="1:26" ht="12" hidden="1" thickBot="1" x14ac:dyDescent="0.25">
      <c r="A97" s="652" t="s">
        <v>187</v>
      </c>
      <c r="B97" s="572" t="s">
        <v>187</v>
      </c>
      <c r="C97" s="573" t="s">
        <v>187</v>
      </c>
      <c r="D97" s="580"/>
      <c r="E97" s="575"/>
      <c r="F97" s="436"/>
      <c r="G97" s="431"/>
      <c r="H97" s="426"/>
      <c r="I97" s="432"/>
      <c r="J97" s="433"/>
      <c r="K97" s="437">
        <f t="shared" si="24"/>
        <v>0</v>
      </c>
      <c r="L97" s="435" t="s">
        <v>614</v>
      </c>
      <c r="M97" s="576"/>
      <c r="N97" s="576">
        <f t="shared" si="15"/>
        <v>0</v>
      </c>
      <c r="O97" s="577">
        <f t="shared" si="18"/>
        <v>0</v>
      </c>
      <c r="P97" s="578">
        <f t="shared" si="19"/>
        <v>0</v>
      </c>
      <c r="Q97" s="765"/>
      <c r="R97" s="576">
        <f t="shared" si="20"/>
        <v>0</v>
      </c>
      <c r="S97" s="576">
        <f t="shared" si="20"/>
        <v>0</v>
      </c>
      <c r="T97" s="577">
        <f t="shared" si="21"/>
        <v>0</v>
      </c>
      <c r="U97" s="578">
        <f t="shared" si="22"/>
        <v>0</v>
      </c>
      <c r="V97" s="579"/>
      <c r="W97" s="566"/>
      <c r="X97" s="586" t="str">
        <f t="shared" si="23"/>
        <v/>
      </c>
      <c r="Y97" s="586" t="str">
        <f t="shared" si="16"/>
        <v/>
      </c>
      <c r="Z97" s="586" t="str">
        <f t="shared" si="17"/>
        <v/>
      </c>
    </row>
    <row r="98" spans="1:26" ht="12" hidden="1" thickBot="1" x14ac:dyDescent="0.25">
      <c r="A98" s="652" t="s">
        <v>187</v>
      </c>
      <c r="B98" s="572" t="s">
        <v>187</v>
      </c>
      <c r="C98" s="573" t="s">
        <v>187</v>
      </c>
      <c r="D98" s="580"/>
      <c r="E98" s="575"/>
      <c r="F98" s="436"/>
      <c r="G98" s="431"/>
      <c r="H98" s="426"/>
      <c r="I98" s="432"/>
      <c r="J98" s="433"/>
      <c r="K98" s="437">
        <f t="shared" si="24"/>
        <v>0</v>
      </c>
      <c r="L98" s="435" t="s">
        <v>614</v>
      </c>
      <c r="M98" s="576"/>
      <c r="N98" s="576">
        <f t="shared" si="15"/>
        <v>0</v>
      </c>
      <c r="O98" s="577">
        <f t="shared" si="18"/>
        <v>0</v>
      </c>
      <c r="P98" s="578">
        <f t="shared" si="19"/>
        <v>0</v>
      </c>
      <c r="Q98" s="765"/>
      <c r="R98" s="576">
        <f t="shared" si="20"/>
        <v>0</v>
      </c>
      <c r="S98" s="576">
        <f t="shared" si="20"/>
        <v>0</v>
      </c>
      <c r="T98" s="577">
        <f t="shared" si="21"/>
        <v>0</v>
      </c>
      <c r="U98" s="578">
        <f t="shared" si="22"/>
        <v>0</v>
      </c>
      <c r="V98" s="579"/>
      <c r="W98" s="566"/>
      <c r="X98" s="586" t="str">
        <f t="shared" si="23"/>
        <v/>
      </c>
      <c r="Y98" s="586" t="str">
        <f t="shared" si="16"/>
        <v/>
      </c>
      <c r="Z98" s="586" t="str">
        <f t="shared" si="17"/>
        <v/>
      </c>
    </row>
    <row r="99" spans="1:26" ht="12" hidden="1" thickBot="1" x14ac:dyDescent="0.25">
      <c r="A99" s="652" t="s">
        <v>187</v>
      </c>
      <c r="B99" s="572" t="s">
        <v>187</v>
      </c>
      <c r="C99" s="573" t="s">
        <v>187</v>
      </c>
      <c r="D99" s="580"/>
      <c r="E99" s="575"/>
      <c r="F99" s="436"/>
      <c r="G99" s="431"/>
      <c r="H99" s="426"/>
      <c r="I99" s="432"/>
      <c r="J99" s="433"/>
      <c r="K99" s="437">
        <f t="shared" si="24"/>
        <v>0</v>
      </c>
      <c r="L99" s="435" t="s">
        <v>614</v>
      </c>
      <c r="M99" s="576"/>
      <c r="N99" s="576">
        <f t="shared" si="15"/>
        <v>0</v>
      </c>
      <c r="O99" s="577">
        <f t="shared" si="18"/>
        <v>0</v>
      </c>
      <c r="P99" s="578">
        <f t="shared" si="19"/>
        <v>0</v>
      </c>
      <c r="Q99" s="765"/>
      <c r="R99" s="576">
        <f t="shared" si="20"/>
        <v>0</v>
      </c>
      <c r="S99" s="576">
        <f t="shared" si="20"/>
        <v>0</v>
      </c>
      <c r="T99" s="577">
        <f t="shared" si="21"/>
        <v>0</v>
      </c>
      <c r="U99" s="578">
        <f t="shared" si="22"/>
        <v>0</v>
      </c>
      <c r="V99" s="579"/>
      <c r="W99" s="566"/>
      <c r="X99" s="586" t="str">
        <f t="shared" si="23"/>
        <v/>
      </c>
      <c r="Y99" s="586" t="str">
        <f t="shared" si="16"/>
        <v/>
      </c>
      <c r="Z99" s="586" t="str">
        <f t="shared" si="17"/>
        <v/>
      </c>
    </row>
    <row r="100" spans="1:26" ht="12" hidden="1" thickBot="1" x14ac:dyDescent="0.25">
      <c r="A100" s="652" t="s">
        <v>187</v>
      </c>
      <c r="B100" s="572" t="s">
        <v>187</v>
      </c>
      <c r="C100" s="573" t="s">
        <v>187</v>
      </c>
      <c r="D100" s="580"/>
      <c r="E100" s="575"/>
      <c r="F100" s="436"/>
      <c r="G100" s="431"/>
      <c r="H100" s="426"/>
      <c r="I100" s="432"/>
      <c r="J100" s="433"/>
      <c r="K100" s="437">
        <f t="shared" si="24"/>
        <v>0</v>
      </c>
      <c r="L100" s="435" t="s">
        <v>614</v>
      </c>
      <c r="M100" s="576"/>
      <c r="N100" s="576">
        <f t="shared" si="15"/>
        <v>0</v>
      </c>
      <c r="O100" s="577">
        <f t="shared" si="18"/>
        <v>0</v>
      </c>
      <c r="P100" s="578">
        <f t="shared" si="19"/>
        <v>0</v>
      </c>
      <c r="Q100" s="765"/>
      <c r="R100" s="576">
        <f t="shared" si="20"/>
        <v>0</v>
      </c>
      <c r="S100" s="576">
        <f t="shared" si="20"/>
        <v>0</v>
      </c>
      <c r="T100" s="577">
        <f t="shared" si="21"/>
        <v>0</v>
      </c>
      <c r="U100" s="578">
        <f t="shared" si="22"/>
        <v>0</v>
      </c>
      <c r="V100" s="579"/>
      <c r="W100" s="566"/>
      <c r="X100" s="586" t="str">
        <f t="shared" si="23"/>
        <v/>
      </c>
      <c r="Y100" s="586" t="str">
        <f t="shared" si="16"/>
        <v/>
      </c>
      <c r="Z100" s="586" t="str">
        <f t="shared" si="17"/>
        <v/>
      </c>
    </row>
    <row r="101" spans="1:26" ht="12" hidden="1" thickBot="1" x14ac:dyDescent="0.25">
      <c r="A101" s="652" t="s">
        <v>187</v>
      </c>
      <c r="B101" s="572" t="s">
        <v>187</v>
      </c>
      <c r="C101" s="573" t="s">
        <v>187</v>
      </c>
      <c r="D101" s="580"/>
      <c r="E101" s="575"/>
      <c r="F101" s="436"/>
      <c r="G101" s="431"/>
      <c r="H101" s="426"/>
      <c r="I101" s="432"/>
      <c r="J101" s="433"/>
      <c r="K101" s="437">
        <f t="shared" si="24"/>
        <v>0</v>
      </c>
      <c r="L101" s="435" t="s">
        <v>614</v>
      </c>
      <c r="M101" s="576"/>
      <c r="N101" s="576">
        <f t="shared" si="15"/>
        <v>0</v>
      </c>
      <c r="O101" s="577">
        <f t="shared" si="18"/>
        <v>0</v>
      </c>
      <c r="P101" s="578">
        <f t="shared" si="19"/>
        <v>0</v>
      </c>
      <c r="Q101" s="765"/>
      <c r="R101" s="576">
        <f t="shared" si="20"/>
        <v>0</v>
      </c>
      <c r="S101" s="576">
        <f t="shared" si="20"/>
        <v>0</v>
      </c>
      <c r="T101" s="577">
        <f t="shared" si="21"/>
        <v>0</v>
      </c>
      <c r="U101" s="578">
        <f t="shared" si="22"/>
        <v>0</v>
      </c>
      <c r="V101" s="579"/>
      <c r="W101" s="566"/>
      <c r="X101" s="586" t="str">
        <f t="shared" si="23"/>
        <v/>
      </c>
      <c r="Y101" s="586" t="str">
        <f t="shared" si="16"/>
        <v/>
      </c>
      <c r="Z101" s="586" t="str">
        <f t="shared" si="17"/>
        <v/>
      </c>
    </row>
    <row r="102" spans="1:26" ht="12" hidden="1" thickBot="1" x14ac:dyDescent="0.25">
      <c r="A102" s="652" t="s">
        <v>187</v>
      </c>
      <c r="B102" s="572" t="s">
        <v>187</v>
      </c>
      <c r="C102" s="573" t="s">
        <v>187</v>
      </c>
      <c r="D102" s="580"/>
      <c r="E102" s="575"/>
      <c r="F102" s="436"/>
      <c r="G102" s="431"/>
      <c r="H102" s="426"/>
      <c r="I102" s="432"/>
      <c r="J102" s="433"/>
      <c r="K102" s="437">
        <f t="shared" si="24"/>
        <v>0</v>
      </c>
      <c r="L102" s="435" t="s">
        <v>614</v>
      </c>
      <c r="M102" s="576"/>
      <c r="N102" s="576">
        <f t="shared" si="15"/>
        <v>0</v>
      </c>
      <c r="O102" s="577">
        <f t="shared" si="18"/>
        <v>0</v>
      </c>
      <c r="P102" s="578">
        <f t="shared" si="19"/>
        <v>0</v>
      </c>
      <c r="Q102" s="765"/>
      <c r="R102" s="576">
        <f t="shared" si="20"/>
        <v>0</v>
      </c>
      <c r="S102" s="576">
        <f t="shared" si="20"/>
        <v>0</v>
      </c>
      <c r="T102" s="577">
        <f t="shared" si="21"/>
        <v>0</v>
      </c>
      <c r="U102" s="578">
        <f t="shared" si="22"/>
        <v>0</v>
      </c>
      <c r="V102" s="579"/>
      <c r="W102" s="566"/>
      <c r="X102" s="586" t="str">
        <f t="shared" si="23"/>
        <v/>
      </c>
      <c r="Y102" s="586" t="str">
        <f t="shared" si="16"/>
        <v/>
      </c>
      <c r="Z102" s="586" t="str">
        <f t="shared" si="17"/>
        <v/>
      </c>
    </row>
    <row r="103" spans="1:26" ht="12" hidden="1" thickBot="1" x14ac:dyDescent="0.25">
      <c r="A103" s="652" t="s">
        <v>187</v>
      </c>
      <c r="B103" s="572" t="s">
        <v>187</v>
      </c>
      <c r="C103" s="573" t="s">
        <v>187</v>
      </c>
      <c r="D103" s="580"/>
      <c r="E103" s="575"/>
      <c r="F103" s="436"/>
      <c r="G103" s="431"/>
      <c r="H103" s="426"/>
      <c r="I103" s="432"/>
      <c r="J103" s="433"/>
      <c r="K103" s="437">
        <f t="shared" si="24"/>
        <v>0</v>
      </c>
      <c r="L103" s="435" t="s">
        <v>614</v>
      </c>
      <c r="M103" s="576"/>
      <c r="N103" s="576">
        <f t="shared" si="15"/>
        <v>0</v>
      </c>
      <c r="O103" s="577">
        <f t="shared" si="18"/>
        <v>0</v>
      </c>
      <c r="P103" s="578">
        <f t="shared" si="19"/>
        <v>0</v>
      </c>
      <c r="Q103" s="765"/>
      <c r="R103" s="576">
        <f t="shared" si="20"/>
        <v>0</v>
      </c>
      <c r="S103" s="576">
        <f t="shared" si="20"/>
        <v>0</v>
      </c>
      <c r="T103" s="577">
        <f t="shared" si="21"/>
        <v>0</v>
      </c>
      <c r="U103" s="578">
        <f t="shared" si="22"/>
        <v>0</v>
      </c>
      <c r="V103" s="579"/>
      <c r="W103" s="566"/>
      <c r="X103" s="586" t="str">
        <f t="shared" si="23"/>
        <v/>
      </c>
      <c r="Y103" s="586" t="str">
        <f t="shared" si="16"/>
        <v/>
      </c>
      <c r="Z103" s="586" t="str">
        <f t="shared" si="17"/>
        <v/>
      </c>
    </row>
    <row r="104" spans="1:26" ht="12" hidden="1" thickBot="1" x14ac:dyDescent="0.25">
      <c r="A104" s="652" t="s">
        <v>187</v>
      </c>
      <c r="B104" s="572" t="s">
        <v>187</v>
      </c>
      <c r="C104" s="573" t="s">
        <v>187</v>
      </c>
      <c r="D104" s="580"/>
      <c r="E104" s="575"/>
      <c r="F104" s="436"/>
      <c r="G104" s="431"/>
      <c r="H104" s="426"/>
      <c r="I104" s="432"/>
      <c r="J104" s="433"/>
      <c r="K104" s="437">
        <f t="shared" si="24"/>
        <v>0</v>
      </c>
      <c r="L104" s="435" t="s">
        <v>614</v>
      </c>
      <c r="M104" s="576"/>
      <c r="N104" s="576">
        <f t="shared" si="15"/>
        <v>0</v>
      </c>
      <c r="O104" s="577">
        <f t="shared" si="18"/>
        <v>0</v>
      </c>
      <c r="P104" s="578">
        <f t="shared" si="19"/>
        <v>0</v>
      </c>
      <c r="Q104" s="765"/>
      <c r="R104" s="576">
        <f t="shared" si="20"/>
        <v>0</v>
      </c>
      <c r="S104" s="576">
        <f t="shared" si="20"/>
        <v>0</v>
      </c>
      <c r="T104" s="577">
        <f t="shared" si="21"/>
        <v>0</v>
      </c>
      <c r="U104" s="578">
        <f t="shared" si="22"/>
        <v>0</v>
      </c>
      <c r="V104" s="579"/>
      <c r="W104" s="566"/>
      <c r="X104" s="586" t="str">
        <f t="shared" si="23"/>
        <v/>
      </c>
      <c r="Y104" s="586" t="str">
        <f t="shared" si="16"/>
        <v/>
      </c>
      <c r="Z104" s="586" t="str">
        <f t="shared" si="17"/>
        <v/>
      </c>
    </row>
    <row r="105" spans="1:26" ht="12" hidden="1" thickBot="1" x14ac:dyDescent="0.25">
      <c r="A105" s="652" t="s">
        <v>187</v>
      </c>
      <c r="B105" s="572" t="s">
        <v>187</v>
      </c>
      <c r="C105" s="573" t="s">
        <v>187</v>
      </c>
      <c r="D105" s="580"/>
      <c r="E105" s="575"/>
      <c r="F105" s="436"/>
      <c r="G105" s="431"/>
      <c r="H105" s="426"/>
      <c r="I105" s="432"/>
      <c r="J105" s="433"/>
      <c r="K105" s="437">
        <f t="shared" si="24"/>
        <v>0</v>
      </c>
      <c r="L105" s="435" t="s">
        <v>614</v>
      </c>
      <c r="M105" s="576"/>
      <c r="N105" s="576">
        <f t="shared" si="15"/>
        <v>0</v>
      </c>
      <c r="O105" s="577">
        <f t="shared" si="18"/>
        <v>0</v>
      </c>
      <c r="P105" s="578">
        <f t="shared" si="19"/>
        <v>0</v>
      </c>
      <c r="Q105" s="765"/>
      <c r="R105" s="576">
        <f t="shared" si="20"/>
        <v>0</v>
      </c>
      <c r="S105" s="576">
        <f t="shared" si="20"/>
        <v>0</v>
      </c>
      <c r="T105" s="577">
        <f t="shared" si="21"/>
        <v>0</v>
      </c>
      <c r="U105" s="578">
        <f t="shared" si="22"/>
        <v>0</v>
      </c>
      <c r="V105" s="579"/>
      <c r="W105" s="566"/>
      <c r="X105" s="586" t="str">
        <f t="shared" si="23"/>
        <v/>
      </c>
      <c r="Y105" s="586" t="str">
        <f t="shared" si="16"/>
        <v/>
      </c>
      <c r="Z105" s="586" t="str">
        <f t="shared" si="17"/>
        <v/>
      </c>
    </row>
    <row r="106" spans="1:26" ht="12" hidden="1" thickBot="1" x14ac:dyDescent="0.25">
      <c r="A106" s="652" t="s">
        <v>187</v>
      </c>
      <c r="B106" s="572" t="s">
        <v>187</v>
      </c>
      <c r="C106" s="573" t="s">
        <v>187</v>
      </c>
      <c r="D106" s="580"/>
      <c r="E106" s="575"/>
      <c r="F106" s="436"/>
      <c r="G106" s="431"/>
      <c r="H106" s="426"/>
      <c r="I106" s="432"/>
      <c r="J106" s="433"/>
      <c r="K106" s="437">
        <f t="shared" si="24"/>
        <v>0</v>
      </c>
      <c r="L106" s="435" t="s">
        <v>614</v>
      </c>
      <c r="M106" s="576"/>
      <c r="N106" s="576">
        <f t="shared" si="15"/>
        <v>0</v>
      </c>
      <c r="O106" s="577">
        <f t="shared" si="18"/>
        <v>0</v>
      </c>
      <c r="P106" s="578">
        <f t="shared" si="19"/>
        <v>0</v>
      </c>
      <c r="Q106" s="765"/>
      <c r="R106" s="576">
        <f t="shared" si="20"/>
        <v>0</v>
      </c>
      <c r="S106" s="576">
        <f t="shared" si="20"/>
        <v>0</v>
      </c>
      <c r="T106" s="577">
        <f t="shared" si="21"/>
        <v>0</v>
      </c>
      <c r="U106" s="578">
        <f t="shared" si="22"/>
        <v>0</v>
      </c>
      <c r="V106" s="579"/>
      <c r="W106" s="566"/>
      <c r="X106" s="586" t="str">
        <f t="shared" si="23"/>
        <v/>
      </c>
      <c r="Y106" s="586" t="str">
        <f t="shared" si="16"/>
        <v/>
      </c>
      <c r="Z106" s="586" t="str">
        <f t="shared" si="17"/>
        <v/>
      </c>
    </row>
    <row r="107" spans="1:26" ht="12" hidden="1" thickBot="1" x14ac:dyDescent="0.25">
      <c r="A107" s="652" t="s">
        <v>187</v>
      </c>
      <c r="B107" s="572" t="s">
        <v>187</v>
      </c>
      <c r="C107" s="573" t="s">
        <v>187</v>
      </c>
      <c r="D107" s="580"/>
      <c r="E107" s="575"/>
      <c r="F107" s="436"/>
      <c r="G107" s="431"/>
      <c r="H107" s="426"/>
      <c r="I107" s="432"/>
      <c r="J107" s="433"/>
      <c r="K107" s="437">
        <f t="shared" si="24"/>
        <v>0</v>
      </c>
      <c r="L107" s="435" t="s">
        <v>614</v>
      </c>
      <c r="M107" s="576"/>
      <c r="N107" s="576">
        <f t="shared" si="15"/>
        <v>0</v>
      </c>
      <c r="O107" s="577">
        <f t="shared" si="18"/>
        <v>0</v>
      </c>
      <c r="P107" s="578">
        <f t="shared" si="19"/>
        <v>0</v>
      </c>
      <c r="Q107" s="765"/>
      <c r="R107" s="576">
        <f t="shared" si="20"/>
        <v>0</v>
      </c>
      <c r="S107" s="576">
        <f t="shared" si="20"/>
        <v>0</v>
      </c>
      <c r="T107" s="577">
        <f t="shared" si="21"/>
        <v>0</v>
      </c>
      <c r="U107" s="578">
        <f t="shared" si="22"/>
        <v>0</v>
      </c>
      <c r="V107" s="579"/>
      <c r="W107" s="566"/>
      <c r="X107" s="586" t="str">
        <f t="shared" si="23"/>
        <v/>
      </c>
      <c r="Y107" s="586" t="str">
        <f t="shared" si="16"/>
        <v/>
      </c>
      <c r="Z107" s="586" t="str">
        <f t="shared" si="17"/>
        <v/>
      </c>
    </row>
    <row r="108" spans="1:26" ht="12" hidden="1" thickBot="1" x14ac:dyDescent="0.25">
      <c r="A108" s="652" t="s">
        <v>187</v>
      </c>
      <c r="B108" s="572" t="s">
        <v>187</v>
      </c>
      <c r="C108" s="573" t="s">
        <v>187</v>
      </c>
      <c r="D108" s="580"/>
      <c r="E108" s="575"/>
      <c r="F108" s="436"/>
      <c r="G108" s="431"/>
      <c r="H108" s="426"/>
      <c r="I108" s="432"/>
      <c r="J108" s="433"/>
      <c r="K108" s="437">
        <f t="shared" si="24"/>
        <v>0</v>
      </c>
      <c r="L108" s="435" t="s">
        <v>614</v>
      </c>
      <c r="M108" s="576"/>
      <c r="N108" s="576">
        <f t="shared" si="15"/>
        <v>0</v>
      </c>
      <c r="O108" s="577">
        <f t="shared" si="18"/>
        <v>0</v>
      </c>
      <c r="P108" s="578">
        <f t="shared" si="19"/>
        <v>0</v>
      </c>
      <c r="Q108" s="765"/>
      <c r="R108" s="576">
        <f t="shared" si="20"/>
        <v>0</v>
      </c>
      <c r="S108" s="576">
        <f t="shared" si="20"/>
        <v>0</v>
      </c>
      <c r="T108" s="577">
        <f t="shared" si="21"/>
        <v>0</v>
      </c>
      <c r="U108" s="578">
        <f t="shared" si="22"/>
        <v>0</v>
      </c>
      <c r="V108" s="579"/>
      <c r="W108" s="566"/>
      <c r="X108" s="586" t="str">
        <f t="shared" si="23"/>
        <v/>
      </c>
      <c r="Y108" s="586" t="str">
        <f t="shared" si="16"/>
        <v/>
      </c>
      <c r="Z108" s="586" t="str">
        <f t="shared" si="17"/>
        <v/>
      </c>
    </row>
    <row r="109" spans="1:26" ht="12" hidden="1" thickBot="1" x14ac:dyDescent="0.25">
      <c r="A109" s="652" t="s">
        <v>187</v>
      </c>
      <c r="B109" s="572" t="s">
        <v>187</v>
      </c>
      <c r="C109" s="573" t="s">
        <v>187</v>
      </c>
      <c r="D109" s="580"/>
      <c r="E109" s="575"/>
      <c r="F109" s="436"/>
      <c r="G109" s="431"/>
      <c r="H109" s="426"/>
      <c r="I109" s="432"/>
      <c r="J109" s="433"/>
      <c r="K109" s="437">
        <f t="shared" si="24"/>
        <v>0</v>
      </c>
      <c r="L109" s="435" t="s">
        <v>614</v>
      </c>
      <c r="M109" s="576"/>
      <c r="N109" s="576">
        <f t="shared" si="15"/>
        <v>0</v>
      </c>
      <c r="O109" s="577">
        <f t="shared" si="18"/>
        <v>0</v>
      </c>
      <c r="P109" s="578">
        <f t="shared" si="19"/>
        <v>0</v>
      </c>
      <c r="Q109" s="765"/>
      <c r="R109" s="576">
        <f t="shared" si="20"/>
        <v>0</v>
      </c>
      <c r="S109" s="576">
        <f t="shared" si="20"/>
        <v>0</v>
      </c>
      <c r="T109" s="577">
        <f t="shared" si="21"/>
        <v>0</v>
      </c>
      <c r="U109" s="578">
        <f t="shared" si="22"/>
        <v>0</v>
      </c>
      <c r="V109" s="579"/>
      <c r="W109" s="566"/>
      <c r="X109" s="586" t="str">
        <f t="shared" si="23"/>
        <v/>
      </c>
      <c r="Y109" s="586" t="str">
        <f t="shared" si="16"/>
        <v/>
      </c>
      <c r="Z109" s="586" t="str">
        <f t="shared" si="17"/>
        <v/>
      </c>
    </row>
    <row r="110" spans="1:26" ht="12" hidden="1" thickBot="1" x14ac:dyDescent="0.25">
      <c r="A110" s="652" t="s">
        <v>187</v>
      </c>
      <c r="B110" s="572" t="s">
        <v>187</v>
      </c>
      <c r="C110" s="573" t="s">
        <v>187</v>
      </c>
      <c r="D110" s="580"/>
      <c r="E110" s="575"/>
      <c r="F110" s="436"/>
      <c r="G110" s="431"/>
      <c r="H110" s="426"/>
      <c r="I110" s="432"/>
      <c r="J110" s="433"/>
      <c r="K110" s="437">
        <f t="shared" si="24"/>
        <v>0</v>
      </c>
      <c r="L110" s="435" t="s">
        <v>614</v>
      </c>
      <c r="M110" s="576"/>
      <c r="N110" s="576">
        <f t="shared" si="15"/>
        <v>0</v>
      </c>
      <c r="O110" s="577">
        <f t="shared" si="18"/>
        <v>0</v>
      </c>
      <c r="P110" s="578">
        <f t="shared" si="19"/>
        <v>0</v>
      </c>
      <c r="Q110" s="765"/>
      <c r="R110" s="576">
        <f t="shared" si="20"/>
        <v>0</v>
      </c>
      <c r="S110" s="576">
        <f t="shared" si="20"/>
        <v>0</v>
      </c>
      <c r="T110" s="577">
        <f t="shared" si="21"/>
        <v>0</v>
      </c>
      <c r="U110" s="578">
        <f t="shared" si="22"/>
        <v>0</v>
      </c>
      <c r="V110" s="579"/>
      <c r="W110" s="566"/>
      <c r="X110" s="586" t="str">
        <f t="shared" si="23"/>
        <v/>
      </c>
      <c r="Y110" s="586" t="str">
        <f t="shared" si="16"/>
        <v/>
      </c>
      <c r="Z110" s="586" t="str">
        <f t="shared" si="17"/>
        <v/>
      </c>
    </row>
    <row r="111" spans="1:26" ht="12" hidden="1" thickBot="1" x14ac:dyDescent="0.25">
      <c r="A111" s="652" t="s">
        <v>187</v>
      </c>
      <c r="B111" s="572" t="s">
        <v>187</v>
      </c>
      <c r="C111" s="573" t="s">
        <v>187</v>
      </c>
      <c r="D111" s="580"/>
      <c r="E111" s="575"/>
      <c r="F111" s="436"/>
      <c r="G111" s="431"/>
      <c r="H111" s="426"/>
      <c r="I111" s="432"/>
      <c r="J111" s="433"/>
      <c r="K111" s="437">
        <f t="shared" si="24"/>
        <v>0</v>
      </c>
      <c r="L111" s="435" t="s">
        <v>614</v>
      </c>
      <c r="M111" s="576"/>
      <c r="N111" s="576">
        <f t="shared" si="15"/>
        <v>0</v>
      </c>
      <c r="O111" s="577">
        <f t="shared" si="18"/>
        <v>0</v>
      </c>
      <c r="P111" s="578">
        <f t="shared" si="19"/>
        <v>0</v>
      </c>
      <c r="Q111" s="765"/>
      <c r="R111" s="576">
        <f t="shared" si="20"/>
        <v>0</v>
      </c>
      <c r="S111" s="576">
        <f t="shared" si="20"/>
        <v>0</v>
      </c>
      <c r="T111" s="577">
        <f t="shared" si="21"/>
        <v>0</v>
      </c>
      <c r="U111" s="578">
        <f t="shared" si="22"/>
        <v>0</v>
      </c>
      <c r="V111" s="579"/>
      <c r="W111" s="566"/>
      <c r="X111" s="586" t="str">
        <f t="shared" si="23"/>
        <v/>
      </c>
      <c r="Y111" s="586" t="str">
        <f t="shared" si="16"/>
        <v/>
      </c>
      <c r="Z111" s="586" t="str">
        <f t="shared" si="17"/>
        <v/>
      </c>
    </row>
    <row r="112" spans="1:26" ht="12" hidden="1" thickBot="1" x14ac:dyDescent="0.25">
      <c r="A112" s="652" t="s">
        <v>187</v>
      </c>
      <c r="B112" s="572" t="s">
        <v>187</v>
      </c>
      <c r="C112" s="573" t="s">
        <v>187</v>
      </c>
      <c r="D112" s="580"/>
      <c r="E112" s="575"/>
      <c r="F112" s="436"/>
      <c r="G112" s="431"/>
      <c r="H112" s="426"/>
      <c r="I112" s="432"/>
      <c r="J112" s="433"/>
      <c r="K112" s="437">
        <f t="shared" si="24"/>
        <v>0</v>
      </c>
      <c r="L112" s="435" t="s">
        <v>614</v>
      </c>
      <c r="M112" s="576"/>
      <c r="N112" s="576">
        <f t="shared" si="15"/>
        <v>0</v>
      </c>
      <c r="O112" s="577">
        <f t="shared" si="18"/>
        <v>0</v>
      </c>
      <c r="P112" s="578">
        <f t="shared" si="19"/>
        <v>0</v>
      </c>
      <c r="Q112" s="765"/>
      <c r="R112" s="576">
        <f t="shared" si="20"/>
        <v>0</v>
      </c>
      <c r="S112" s="576">
        <f t="shared" si="20"/>
        <v>0</v>
      </c>
      <c r="T112" s="577">
        <f t="shared" si="21"/>
        <v>0</v>
      </c>
      <c r="U112" s="578">
        <f t="shared" si="22"/>
        <v>0</v>
      </c>
      <c r="V112" s="579"/>
      <c r="W112" s="566"/>
      <c r="X112" s="586" t="str">
        <f t="shared" si="23"/>
        <v/>
      </c>
      <c r="Y112" s="586" t="str">
        <f t="shared" si="16"/>
        <v/>
      </c>
      <c r="Z112" s="586" t="str">
        <f t="shared" si="17"/>
        <v/>
      </c>
    </row>
    <row r="113" spans="1:26" ht="12" hidden="1" thickBot="1" x14ac:dyDescent="0.25">
      <c r="A113" s="652" t="s">
        <v>187</v>
      </c>
      <c r="B113" s="572" t="s">
        <v>187</v>
      </c>
      <c r="C113" s="573" t="s">
        <v>187</v>
      </c>
      <c r="D113" s="580"/>
      <c r="E113" s="575"/>
      <c r="F113" s="436"/>
      <c r="G113" s="431"/>
      <c r="H113" s="426"/>
      <c r="I113" s="432"/>
      <c r="J113" s="433"/>
      <c r="K113" s="437">
        <f t="shared" si="24"/>
        <v>0</v>
      </c>
      <c r="L113" s="435" t="s">
        <v>614</v>
      </c>
      <c r="M113" s="576"/>
      <c r="N113" s="576">
        <f t="shared" si="15"/>
        <v>0</v>
      </c>
      <c r="O113" s="577">
        <f t="shared" si="18"/>
        <v>0</v>
      </c>
      <c r="P113" s="578">
        <f t="shared" si="19"/>
        <v>0</v>
      </c>
      <c r="Q113" s="765"/>
      <c r="R113" s="576">
        <f t="shared" si="20"/>
        <v>0</v>
      </c>
      <c r="S113" s="576">
        <f t="shared" si="20"/>
        <v>0</v>
      </c>
      <c r="T113" s="577">
        <f t="shared" si="21"/>
        <v>0</v>
      </c>
      <c r="U113" s="578">
        <f t="shared" si="22"/>
        <v>0</v>
      </c>
      <c r="V113" s="579"/>
      <c r="W113" s="566"/>
      <c r="X113" s="586" t="str">
        <f t="shared" si="23"/>
        <v/>
      </c>
      <c r="Y113" s="586" t="str">
        <f t="shared" si="16"/>
        <v/>
      </c>
      <c r="Z113" s="586" t="str">
        <f t="shared" si="17"/>
        <v/>
      </c>
    </row>
    <row r="114" spans="1:26" ht="12" hidden="1" thickBot="1" x14ac:dyDescent="0.25">
      <c r="A114" s="652" t="s">
        <v>187</v>
      </c>
      <c r="B114" s="572" t="s">
        <v>187</v>
      </c>
      <c r="C114" s="573" t="s">
        <v>187</v>
      </c>
      <c r="D114" s="580"/>
      <c r="E114" s="575"/>
      <c r="F114" s="436"/>
      <c r="G114" s="431"/>
      <c r="H114" s="426"/>
      <c r="I114" s="432"/>
      <c r="J114" s="433"/>
      <c r="K114" s="437">
        <f t="shared" si="24"/>
        <v>0</v>
      </c>
      <c r="L114" s="435" t="s">
        <v>614</v>
      </c>
      <c r="M114" s="576"/>
      <c r="N114" s="576">
        <f t="shared" si="15"/>
        <v>0</v>
      </c>
      <c r="O114" s="577">
        <f t="shared" si="18"/>
        <v>0</v>
      </c>
      <c r="P114" s="578">
        <f t="shared" si="19"/>
        <v>0</v>
      </c>
      <c r="Q114" s="765"/>
      <c r="R114" s="576">
        <f t="shared" si="20"/>
        <v>0</v>
      </c>
      <c r="S114" s="576">
        <f t="shared" si="20"/>
        <v>0</v>
      </c>
      <c r="T114" s="577">
        <f t="shared" si="21"/>
        <v>0</v>
      </c>
      <c r="U114" s="578">
        <f t="shared" si="22"/>
        <v>0</v>
      </c>
      <c r="V114" s="579"/>
      <c r="W114" s="566"/>
      <c r="X114" s="586" t="str">
        <f t="shared" si="23"/>
        <v/>
      </c>
      <c r="Y114" s="586" t="str">
        <f t="shared" si="16"/>
        <v/>
      </c>
      <c r="Z114" s="586" t="str">
        <f t="shared" si="17"/>
        <v/>
      </c>
    </row>
    <row r="115" spans="1:26" ht="12" hidden="1" thickBot="1" x14ac:dyDescent="0.25">
      <c r="A115" s="652" t="s">
        <v>187</v>
      </c>
      <c r="B115" s="581" t="s">
        <v>187</v>
      </c>
      <c r="C115" s="582" t="s">
        <v>187</v>
      </c>
      <c r="D115" s="583"/>
      <c r="E115" s="584"/>
      <c r="F115" s="438"/>
      <c r="G115" s="439"/>
      <c r="H115" s="426"/>
      <c r="I115" s="441"/>
      <c r="J115" s="442"/>
      <c r="K115" s="443">
        <f t="shared" si="24"/>
        <v>0</v>
      </c>
      <c r="L115" s="444" t="s">
        <v>614</v>
      </c>
      <c r="M115" s="576"/>
      <c r="N115" s="576">
        <f t="shared" si="15"/>
        <v>0</v>
      </c>
      <c r="O115" s="585">
        <f t="shared" si="18"/>
        <v>0</v>
      </c>
      <c r="P115" s="660">
        <f t="shared" si="19"/>
        <v>0</v>
      </c>
      <c r="Q115" s="765"/>
      <c r="R115" s="576">
        <f t="shared" si="20"/>
        <v>0</v>
      </c>
      <c r="S115" s="576">
        <f t="shared" si="20"/>
        <v>0</v>
      </c>
      <c r="T115" s="585">
        <f t="shared" si="21"/>
        <v>0</v>
      </c>
      <c r="U115" s="660">
        <f t="shared" si="22"/>
        <v>0</v>
      </c>
      <c r="V115" s="579"/>
      <c r="W115" s="566"/>
      <c r="X115" s="586" t="str">
        <f t="shared" si="23"/>
        <v/>
      </c>
      <c r="Y115" s="586" t="str">
        <f t="shared" si="16"/>
        <v/>
      </c>
      <c r="Z115" s="586" t="str">
        <f t="shared" si="17"/>
        <v/>
      </c>
    </row>
    <row r="116" spans="1:26" ht="12" hidden="1" thickBot="1" x14ac:dyDescent="0.25">
      <c r="A116" s="567" t="s">
        <v>207</v>
      </c>
      <c r="B116" s="664" t="s">
        <v>207</v>
      </c>
      <c r="C116" s="665"/>
      <c r="D116" s="666" t="s">
        <v>465</v>
      </c>
      <c r="E116" s="631"/>
      <c r="F116" s="632"/>
      <c r="G116" s="633"/>
      <c r="H116" s="409"/>
      <c r="I116" s="409"/>
      <c r="J116" s="409"/>
      <c r="K116" s="409"/>
      <c r="L116" s="409" t="s">
        <v>614</v>
      </c>
      <c r="M116" s="634"/>
      <c r="N116" s="797"/>
      <c r="O116" s="409">
        <f t="shared" si="18"/>
        <v>0</v>
      </c>
      <c r="P116" s="635">
        <f t="shared" si="19"/>
        <v>0</v>
      </c>
      <c r="Q116" s="635">
        <f>SUM(P117:P226)</f>
        <v>0</v>
      </c>
      <c r="R116" s="634"/>
      <c r="S116" s="409"/>
      <c r="T116" s="409">
        <f t="shared" si="21"/>
        <v>0</v>
      </c>
      <c r="U116" s="635">
        <f t="shared" si="22"/>
        <v>0</v>
      </c>
      <c r="V116" s="636">
        <f>SUM(U117:U226)</f>
        <v>0</v>
      </c>
      <c r="W116" s="637" t="str">
        <f>IF(OR(Q116&gt;0,V116&gt;0),"X","")</f>
        <v/>
      </c>
      <c r="X116" s="586" t="str">
        <f t="shared" si="23"/>
        <v/>
      </c>
      <c r="Y116" s="586" t="str">
        <f t="shared" si="16"/>
        <v/>
      </c>
      <c r="Z116" s="586" t="str">
        <f t="shared" si="17"/>
        <v/>
      </c>
    </row>
    <row r="117" spans="1:26" ht="12" hidden="1" thickBot="1" x14ac:dyDescent="0.25">
      <c r="A117" s="567">
        <v>520100</v>
      </c>
      <c r="B117" s="644" t="s">
        <v>1732</v>
      </c>
      <c r="C117" s="645" t="s">
        <v>206</v>
      </c>
      <c r="D117" s="422" t="s">
        <v>285</v>
      </c>
      <c r="E117" s="423"/>
      <c r="F117" s="418">
        <v>0.5</v>
      </c>
      <c r="G117" s="419">
        <f>1.5*1.4</f>
        <v>2.0999999999999996</v>
      </c>
      <c r="H117" s="667">
        <f>IF(F117&lt;=30,(1.07*F117+2.68)*G117,((1.07*30+2.68)+1.07*(F117-30))*G117)</f>
        <v>6.7514999999999992</v>
      </c>
      <c r="I117" s="449">
        <v>13.587999999999999</v>
      </c>
      <c r="J117" s="420">
        <f t="shared" ref="J117:J123" si="25">IF(ISBLANK(I117),"",SUM(H117:I117))</f>
        <v>20.339499999999997</v>
      </c>
      <c r="K117" s="421">
        <f t="shared" ref="K117:K180" si="26">IF(ISBLANK(I117),0,ROUND(J117*(1+$F$10)*(1+$F$11*E117),2))</f>
        <v>24.17</v>
      </c>
      <c r="L117" s="647" t="s">
        <v>16</v>
      </c>
      <c r="M117" s="576"/>
      <c r="N117" s="576">
        <f t="shared" si="15"/>
        <v>0</v>
      </c>
      <c r="O117" s="577">
        <f t="shared" si="18"/>
        <v>0</v>
      </c>
      <c r="P117" s="578">
        <f t="shared" si="19"/>
        <v>0</v>
      </c>
      <c r="Q117" s="765"/>
      <c r="R117" s="576">
        <f t="shared" si="20"/>
        <v>0</v>
      </c>
      <c r="S117" s="576">
        <f t="shared" si="20"/>
        <v>0</v>
      </c>
      <c r="T117" s="577">
        <f t="shared" si="21"/>
        <v>0</v>
      </c>
      <c r="U117" s="578">
        <f t="shared" si="22"/>
        <v>0</v>
      </c>
      <c r="V117" s="579"/>
      <c r="W117" s="566"/>
      <c r="X117" s="586" t="str">
        <f t="shared" si="23"/>
        <v/>
      </c>
      <c r="Y117" s="586" t="str">
        <f t="shared" si="16"/>
        <v/>
      </c>
      <c r="Z117" s="586" t="str">
        <f t="shared" si="17"/>
        <v/>
      </c>
    </row>
    <row r="118" spans="1:26" ht="12" hidden="1" thickBot="1" x14ac:dyDescent="0.25">
      <c r="A118" s="567">
        <v>520100</v>
      </c>
      <c r="B118" s="644" t="s">
        <v>1733</v>
      </c>
      <c r="C118" s="645" t="s">
        <v>206</v>
      </c>
      <c r="D118" s="422" t="s">
        <v>286</v>
      </c>
      <c r="E118" s="423"/>
      <c r="F118" s="418">
        <v>15</v>
      </c>
      <c r="G118" s="419">
        <f>1.5*1.4</f>
        <v>2.0999999999999996</v>
      </c>
      <c r="H118" s="667">
        <f>IF(F118&lt;=30,(1.07*F118+2.68)*G118,((1.07*30+2.68)+1.07*(F118-30))*G118)</f>
        <v>39.332999999999991</v>
      </c>
      <c r="I118" s="449">
        <v>13.587999999999999</v>
      </c>
      <c r="J118" s="420">
        <f t="shared" si="25"/>
        <v>52.920999999999992</v>
      </c>
      <c r="K118" s="421">
        <f t="shared" si="26"/>
        <v>62.88</v>
      </c>
      <c r="L118" s="647" t="s">
        <v>16</v>
      </c>
      <c r="M118" s="576"/>
      <c r="N118" s="576">
        <f t="shared" si="15"/>
        <v>0</v>
      </c>
      <c r="O118" s="577">
        <f t="shared" si="18"/>
        <v>0</v>
      </c>
      <c r="P118" s="578">
        <f t="shared" si="19"/>
        <v>0</v>
      </c>
      <c r="Q118" s="765"/>
      <c r="R118" s="576">
        <f t="shared" si="20"/>
        <v>0</v>
      </c>
      <c r="S118" s="576">
        <f t="shared" si="20"/>
        <v>0</v>
      </c>
      <c r="T118" s="577">
        <f t="shared" si="21"/>
        <v>0</v>
      </c>
      <c r="U118" s="578">
        <f t="shared" si="22"/>
        <v>0</v>
      </c>
      <c r="V118" s="579"/>
      <c r="W118" s="566"/>
      <c r="X118" s="586" t="str">
        <f t="shared" si="23"/>
        <v/>
      </c>
      <c r="Y118" s="586" t="str">
        <f t="shared" si="16"/>
        <v/>
      </c>
      <c r="Z118" s="586" t="str">
        <f t="shared" si="17"/>
        <v/>
      </c>
    </row>
    <row r="119" spans="1:26" ht="12" hidden="1" thickBot="1" x14ac:dyDescent="0.25">
      <c r="A119" s="567">
        <v>532100</v>
      </c>
      <c r="B119" s="644">
        <v>532100</v>
      </c>
      <c r="C119" s="645" t="s">
        <v>206</v>
      </c>
      <c r="D119" s="422" t="s">
        <v>204</v>
      </c>
      <c r="E119" s="423"/>
      <c r="F119" s="418">
        <v>20</v>
      </c>
      <c r="G119" s="425">
        <v>2.1</v>
      </c>
      <c r="H119" s="667">
        <f t="shared" ref="H119:H122" si="27">IF(F119&lt;=30,(1.07*F119+2.68)*G119,((1.07*30+2.68)+1.07*(F119-30))*G119)</f>
        <v>50.568000000000005</v>
      </c>
      <c r="I119" s="420">
        <v>88.86</v>
      </c>
      <c r="J119" s="420">
        <f t="shared" si="25"/>
        <v>139.428</v>
      </c>
      <c r="K119" s="421">
        <f t="shared" si="26"/>
        <v>165.65</v>
      </c>
      <c r="L119" s="647" t="s">
        <v>16</v>
      </c>
      <c r="M119" s="576"/>
      <c r="N119" s="576">
        <f t="shared" si="15"/>
        <v>0</v>
      </c>
      <c r="O119" s="577">
        <f t="shared" si="18"/>
        <v>0</v>
      </c>
      <c r="P119" s="578">
        <f t="shared" si="19"/>
        <v>0</v>
      </c>
      <c r="Q119" s="765"/>
      <c r="R119" s="576">
        <f t="shared" si="20"/>
        <v>0</v>
      </c>
      <c r="S119" s="576">
        <f t="shared" si="20"/>
        <v>0</v>
      </c>
      <c r="T119" s="577">
        <f t="shared" si="21"/>
        <v>0</v>
      </c>
      <c r="U119" s="578">
        <f t="shared" si="22"/>
        <v>0</v>
      </c>
      <c r="V119" s="579"/>
      <c r="W119" s="566"/>
      <c r="X119" s="586" t="str">
        <f t="shared" si="23"/>
        <v/>
      </c>
      <c r="Y119" s="586" t="str">
        <f t="shared" si="16"/>
        <v/>
      </c>
      <c r="Z119" s="586" t="str">
        <f t="shared" si="17"/>
        <v/>
      </c>
    </row>
    <row r="120" spans="1:26" ht="12" hidden="1" thickBot="1" x14ac:dyDescent="0.25">
      <c r="A120" s="567">
        <v>452010</v>
      </c>
      <c r="B120" s="450">
        <v>452010</v>
      </c>
      <c r="C120" s="473" t="s">
        <v>206</v>
      </c>
      <c r="D120" s="422" t="s">
        <v>210</v>
      </c>
      <c r="E120" s="423"/>
      <c r="F120" s="418">
        <v>15</v>
      </c>
      <c r="G120" s="419">
        <v>1.98</v>
      </c>
      <c r="H120" s="667">
        <f t="shared" si="27"/>
        <v>37.0854</v>
      </c>
      <c r="I120" s="420">
        <v>15.73</v>
      </c>
      <c r="J120" s="420">
        <f t="shared" si="25"/>
        <v>52.815399999999997</v>
      </c>
      <c r="K120" s="421">
        <f t="shared" si="26"/>
        <v>62.75</v>
      </c>
      <c r="L120" s="647" t="s">
        <v>16</v>
      </c>
      <c r="M120" s="576"/>
      <c r="N120" s="576">
        <f t="shared" si="15"/>
        <v>0</v>
      </c>
      <c r="O120" s="577">
        <f t="shared" si="18"/>
        <v>0</v>
      </c>
      <c r="P120" s="578">
        <f t="shared" si="19"/>
        <v>0</v>
      </c>
      <c r="Q120" s="765"/>
      <c r="R120" s="576">
        <f t="shared" si="20"/>
        <v>0</v>
      </c>
      <c r="S120" s="576">
        <f t="shared" si="20"/>
        <v>0</v>
      </c>
      <c r="T120" s="577">
        <f t="shared" si="21"/>
        <v>0</v>
      </c>
      <c r="U120" s="578">
        <f t="shared" si="22"/>
        <v>0</v>
      </c>
      <c r="V120" s="579"/>
      <c r="W120" s="566"/>
      <c r="X120" s="586" t="str">
        <f t="shared" si="23"/>
        <v/>
      </c>
      <c r="Y120" s="586" t="str">
        <f t="shared" si="16"/>
        <v/>
      </c>
      <c r="Z120" s="586" t="str">
        <f t="shared" si="17"/>
        <v/>
      </c>
    </row>
    <row r="121" spans="1:26" ht="12" hidden="1" thickBot="1" x14ac:dyDescent="0.25">
      <c r="A121" s="567">
        <v>532500</v>
      </c>
      <c r="B121" s="644" t="s">
        <v>1734</v>
      </c>
      <c r="C121" s="645" t="s">
        <v>206</v>
      </c>
      <c r="D121" s="451" t="s">
        <v>340</v>
      </c>
      <c r="E121" s="423"/>
      <c r="F121" s="424">
        <v>20</v>
      </c>
      <c r="G121" s="425">
        <v>1.7250000000000001</v>
      </c>
      <c r="H121" s="667">
        <f t="shared" si="27"/>
        <v>41.538000000000004</v>
      </c>
      <c r="I121" s="420">
        <v>97.26</v>
      </c>
      <c r="J121" s="420">
        <f t="shared" si="25"/>
        <v>138.798</v>
      </c>
      <c r="K121" s="421">
        <f t="shared" si="26"/>
        <v>164.91</v>
      </c>
      <c r="L121" s="647" t="s">
        <v>16</v>
      </c>
      <c r="M121" s="576"/>
      <c r="N121" s="576">
        <f t="shared" si="15"/>
        <v>0</v>
      </c>
      <c r="O121" s="577">
        <f t="shared" si="18"/>
        <v>0</v>
      </c>
      <c r="P121" s="578">
        <f t="shared" si="19"/>
        <v>0</v>
      </c>
      <c r="Q121" s="765"/>
      <c r="R121" s="576">
        <f t="shared" si="20"/>
        <v>0</v>
      </c>
      <c r="S121" s="576">
        <f t="shared" si="20"/>
        <v>0</v>
      </c>
      <c r="T121" s="577">
        <f t="shared" si="21"/>
        <v>0</v>
      </c>
      <c r="U121" s="578">
        <f t="shared" si="22"/>
        <v>0</v>
      </c>
      <c r="V121" s="579"/>
      <c r="W121" s="566"/>
      <c r="X121" s="586" t="str">
        <f t="shared" si="23"/>
        <v/>
      </c>
      <c r="Y121" s="586" t="str">
        <f t="shared" si="16"/>
        <v/>
      </c>
      <c r="Z121" s="586" t="str">
        <f t="shared" si="17"/>
        <v/>
      </c>
    </row>
    <row r="122" spans="1:26" ht="14.45" hidden="1" customHeight="1" x14ac:dyDescent="0.2">
      <c r="A122" s="567">
        <v>603900</v>
      </c>
      <c r="B122" s="644" t="s">
        <v>1735</v>
      </c>
      <c r="C122" s="645" t="s">
        <v>206</v>
      </c>
      <c r="D122" s="451" t="s">
        <v>341</v>
      </c>
      <c r="E122" s="423"/>
      <c r="F122" s="424">
        <v>20</v>
      </c>
      <c r="G122" s="425">
        <v>1.5</v>
      </c>
      <c r="H122" s="667">
        <f t="shared" si="27"/>
        <v>36.120000000000005</v>
      </c>
      <c r="I122" s="420">
        <v>124.3</v>
      </c>
      <c r="J122" s="420">
        <f t="shared" si="25"/>
        <v>160.42000000000002</v>
      </c>
      <c r="K122" s="421">
        <f t="shared" si="26"/>
        <v>190.6</v>
      </c>
      <c r="L122" s="647" t="s">
        <v>16</v>
      </c>
      <c r="M122" s="576"/>
      <c r="N122" s="576">
        <f t="shared" si="15"/>
        <v>0</v>
      </c>
      <c r="O122" s="577">
        <f t="shared" si="18"/>
        <v>0</v>
      </c>
      <c r="P122" s="578">
        <f t="shared" si="19"/>
        <v>0</v>
      </c>
      <c r="Q122" s="765"/>
      <c r="R122" s="576">
        <f t="shared" si="20"/>
        <v>0</v>
      </c>
      <c r="S122" s="576">
        <f t="shared" si="20"/>
        <v>0</v>
      </c>
      <c r="T122" s="577">
        <f t="shared" si="21"/>
        <v>0</v>
      </c>
      <c r="U122" s="578">
        <f t="shared" si="22"/>
        <v>0</v>
      </c>
      <c r="V122" s="579"/>
      <c r="W122" s="566"/>
      <c r="X122" s="586" t="str">
        <f t="shared" si="23"/>
        <v/>
      </c>
      <c r="Y122" s="586" t="str">
        <f t="shared" si="16"/>
        <v/>
      </c>
      <c r="Z122" s="586" t="str">
        <f t="shared" si="17"/>
        <v/>
      </c>
    </row>
    <row r="123" spans="1:26" ht="12" hidden="1" thickBot="1" x14ac:dyDescent="0.25">
      <c r="A123" s="567">
        <v>605000</v>
      </c>
      <c r="B123" s="644" t="s">
        <v>1736</v>
      </c>
      <c r="C123" s="645" t="s">
        <v>206</v>
      </c>
      <c r="D123" s="422" t="s">
        <v>274</v>
      </c>
      <c r="E123" s="423"/>
      <c r="F123" s="424"/>
      <c r="G123" s="425"/>
      <c r="H123" s="649">
        <f>SUM(H124:H126)</f>
        <v>305.33319999999998</v>
      </c>
      <c r="I123" s="420">
        <v>408.95</v>
      </c>
      <c r="J123" s="420">
        <f t="shared" si="25"/>
        <v>714.28319999999997</v>
      </c>
      <c r="K123" s="421">
        <f t="shared" si="26"/>
        <v>848.64</v>
      </c>
      <c r="L123" s="647" t="s">
        <v>16</v>
      </c>
      <c r="M123" s="576"/>
      <c r="N123" s="576">
        <f t="shared" si="15"/>
        <v>0</v>
      </c>
      <c r="O123" s="577">
        <f t="shared" si="18"/>
        <v>0</v>
      </c>
      <c r="P123" s="578">
        <f t="shared" si="19"/>
        <v>0</v>
      </c>
      <c r="Q123" s="765"/>
      <c r="R123" s="576">
        <f t="shared" si="20"/>
        <v>0</v>
      </c>
      <c r="S123" s="576">
        <f t="shared" si="20"/>
        <v>0</v>
      </c>
      <c r="T123" s="577">
        <f t="shared" si="21"/>
        <v>0</v>
      </c>
      <c r="U123" s="578">
        <f t="shared" si="22"/>
        <v>0</v>
      </c>
      <c r="V123" s="579"/>
      <c r="W123" s="566"/>
      <c r="X123" s="586" t="str">
        <f t="shared" si="23"/>
        <v/>
      </c>
      <c r="Y123" s="586" t="str">
        <f t="shared" si="16"/>
        <v/>
      </c>
      <c r="Z123" s="586" t="str">
        <f t="shared" si="17"/>
        <v/>
      </c>
    </row>
    <row r="124" spans="1:26" ht="12" hidden="1" thickBot="1" x14ac:dyDescent="0.25">
      <c r="A124" s="567" t="s">
        <v>168</v>
      </c>
      <c r="B124" s="644" t="s">
        <v>168</v>
      </c>
      <c r="C124" s="645"/>
      <c r="D124" s="451" t="s">
        <v>212</v>
      </c>
      <c r="E124" s="423"/>
      <c r="F124" s="424">
        <v>500</v>
      </c>
      <c r="G124" s="425">
        <v>0.18</v>
      </c>
      <c r="H124" s="649">
        <f>IF(F124&lt;=30,(0.78*F124+7.82)*G124,((0.78*30+7.82)+0.78*(F124-30))*G124)</f>
        <v>71.607600000000005</v>
      </c>
      <c r="I124" s="420">
        <v>0</v>
      </c>
      <c r="J124" s="420"/>
      <c r="K124" s="421">
        <f t="shared" si="26"/>
        <v>0</v>
      </c>
      <c r="L124" s="668" t="s">
        <v>614</v>
      </c>
      <c r="M124" s="669"/>
      <c r="N124" s="576">
        <f t="shared" si="15"/>
        <v>0</v>
      </c>
      <c r="O124" s="577">
        <f t="shared" si="18"/>
        <v>0</v>
      </c>
      <c r="P124" s="578">
        <f t="shared" si="19"/>
        <v>0</v>
      </c>
      <c r="Q124" s="765"/>
      <c r="R124" s="669"/>
      <c r="S124" s="670"/>
      <c r="T124" s="577">
        <f t="shared" si="21"/>
        <v>0</v>
      </c>
      <c r="U124" s="578">
        <f t="shared" si="22"/>
        <v>0</v>
      </c>
      <c r="V124" s="579"/>
      <c r="W124" s="637" t="str">
        <f>IF(U123&gt;0,"xx",IF(P123&gt;0,"xy",""))</f>
        <v/>
      </c>
      <c r="X124" s="586" t="str">
        <f t="shared" si="23"/>
        <v/>
      </c>
      <c r="Y124" s="586" t="str">
        <f t="shared" si="16"/>
        <v/>
      </c>
      <c r="Z124" s="586" t="str">
        <f t="shared" si="17"/>
        <v/>
      </c>
    </row>
    <row r="125" spans="1:26" ht="12" hidden="1" thickBot="1" x14ac:dyDescent="0.25">
      <c r="A125" s="567" t="s">
        <v>168</v>
      </c>
      <c r="B125" s="644" t="s">
        <v>168</v>
      </c>
      <c r="C125" s="645"/>
      <c r="D125" s="451" t="s">
        <v>248</v>
      </c>
      <c r="E125" s="423"/>
      <c r="F125" s="424">
        <v>180</v>
      </c>
      <c r="G125" s="425">
        <v>1.06</v>
      </c>
      <c r="H125" s="649">
        <f t="shared" ref="H125:H130" si="28">IF(F125&lt;=30,(1.07*F125+2.68)*G125,((1.07*30+2.68)+1.07*(F125-30))*G125)</f>
        <v>206.99680000000001</v>
      </c>
      <c r="I125" s="420">
        <v>0</v>
      </c>
      <c r="J125" s="420"/>
      <c r="K125" s="421">
        <f t="shared" si="26"/>
        <v>0</v>
      </c>
      <c r="L125" s="668" t="s">
        <v>614</v>
      </c>
      <c r="M125" s="669"/>
      <c r="N125" s="576">
        <f t="shared" si="15"/>
        <v>0</v>
      </c>
      <c r="O125" s="577">
        <f t="shared" si="18"/>
        <v>0</v>
      </c>
      <c r="P125" s="578">
        <f t="shared" si="19"/>
        <v>0</v>
      </c>
      <c r="Q125" s="765"/>
      <c r="R125" s="669"/>
      <c r="S125" s="670"/>
      <c r="T125" s="577">
        <f t="shared" si="21"/>
        <v>0</v>
      </c>
      <c r="U125" s="578">
        <f t="shared" si="22"/>
        <v>0</v>
      </c>
      <c r="V125" s="579"/>
      <c r="W125" s="637" t="str">
        <f>IF(U123&gt;0,"xx",IF(P123&gt;0,"xy",""))</f>
        <v/>
      </c>
      <c r="X125" s="586" t="str">
        <f t="shared" si="23"/>
        <v/>
      </c>
      <c r="Y125" s="586" t="str">
        <f t="shared" si="16"/>
        <v/>
      </c>
      <c r="Z125" s="586" t="str">
        <f t="shared" si="17"/>
        <v/>
      </c>
    </row>
    <row r="126" spans="1:26" ht="12" hidden="1" thickBot="1" x14ac:dyDescent="0.25">
      <c r="A126" s="567" t="s">
        <v>168</v>
      </c>
      <c r="B126" s="644" t="s">
        <v>168</v>
      </c>
      <c r="C126" s="645"/>
      <c r="D126" s="451" t="s">
        <v>252</v>
      </c>
      <c r="E126" s="423"/>
      <c r="F126" s="424">
        <v>20</v>
      </c>
      <c r="G126" s="425">
        <v>1.1100000000000001</v>
      </c>
      <c r="H126" s="649">
        <f t="shared" si="28"/>
        <v>26.728800000000003</v>
      </c>
      <c r="I126" s="420">
        <v>0</v>
      </c>
      <c r="J126" s="420"/>
      <c r="K126" s="421">
        <f t="shared" si="26"/>
        <v>0</v>
      </c>
      <c r="L126" s="668" t="s">
        <v>614</v>
      </c>
      <c r="M126" s="669"/>
      <c r="N126" s="576">
        <f t="shared" si="15"/>
        <v>0</v>
      </c>
      <c r="O126" s="577">
        <f t="shared" si="18"/>
        <v>0</v>
      </c>
      <c r="P126" s="578">
        <f t="shared" si="19"/>
        <v>0</v>
      </c>
      <c r="Q126" s="765"/>
      <c r="R126" s="669"/>
      <c r="S126" s="670"/>
      <c r="T126" s="577">
        <f t="shared" si="21"/>
        <v>0</v>
      </c>
      <c r="U126" s="578">
        <f t="shared" si="22"/>
        <v>0</v>
      </c>
      <c r="V126" s="579"/>
      <c r="W126" s="637" t="str">
        <f>IF(U123&gt;0,"xx",IF(P123&gt;0,"xy",""))</f>
        <v/>
      </c>
      <c r="X126" s="586" t="str">
        <f t="shared" si="23"/>
        <v/>
      </c>
      <c r="Y126" s="586" t="str">
        <f t="shared" si="16"/>
        <v/>
      </c>
      <c r="Z126" s="586" t="str">
        <f t="shared" si="17"/>
        <v/>
      </c>
    </row>
    <row r="127" spans="1:26" ht="12" hidden="1" thickBot="1" x14ac:dyDescent="0.25">
      <c r="A127" s="567">
        <v>400500</v>
      </c>
      <c r="B127" s="644" t="s">
        <v>1607</v>
      </c>
      <c r="C127" s="645" t="s">
        <v>206</v>
      </c>
      <c r="D127" s="422" t="s">
        <v>1608</v>
      </c>
      <c r="E127" s="423"/>
      <c r="F127" s="424">
        <v>20</v>
      </c>
      <c r="G127" s="425">
        <v>1.73</v>
      </c>
      <c r="H127" s="667">
        <f t="shared" si="28"/>
        <v>41.6584</v>
      </c>
      <c r="I127" s="420">
        <v>80.100000000000009</v>
      </c>
      <c r="J127" s="420">
        <f>IF(ISBLANK(I127),"",SUM(H127:I127))</f>
        <v>121.75840000000001</v>
      </c>
      <c r="K127" s="421">
        <f t="shared" si="26"/>
        <v>144.66</v>
      </c>
      <c r="L127" s="647" t="s">
        <v>16</v>
      </c>
      <c r="M127" s="576"/>
      <c r="N127" s="576">
        <f t="shared" si="15"/>
        <v>0</v>
      </c>
      <c r="O127" s="577">
        <f t="shared" si="18"/>
        <v>0</v>
      </c>
      <c r="P127" s="578">
        <f t="shared" si="19"/>
        <v>0</v>
      </c>
      <c r="Q127" s="765"/>
      <c r="R127" s="576">
        <f t="shared" si="20"/>
        <v>0</v>
      </c>
      <c r="S127" s="576">
        <f t="shared" si="20"/>
        <v>0</v>
      </c>
      <c r="T127" s="577">
        <f t="shared" si="21"/>
        <v>0</v>
      </c>
      <c r="U127" s="578">
        <f t="shared" si="22"/>
        <v>0</v>
      </c>
      <c r="V127" s="579"/>
      <c r="W127" s="566"/>
      <c r="X127" s="586" t="str">
        <f t="shared" si="23"/>
        <v/>
      </c>
      <c r="Y127" s="586" t="str">
        <f t="shared" si="16"/>
        <v/>
      </c>
      <c r="Z127" s="586" t="str">
        <f t="shared" si="17"/>
        <v/>
      </c>
    </row>
    <row r="128" spans="1:26" ht="12" hidden="1" thickBot="1" x14ac:dyDescent="0.25">
      <c r="A128" s="567">
        <v>532500</v>
      </c>
      <c r="B128" s="644" t="s">
        <v>1604</v>
      </c>
      <c r="C128" s="645" t="s">
        <v>206</v>
      </c>
      <c r="D128" s="422" t="s">
        <v>1609</v>
      </c>
      <c r="E128" s="423"/>
      <c r="F128" s="424">
        <v>20</v>
      </c>
      <c r="G128" s="425">
        <v>1.7250000000000001</v>
      </c>
      <c r="H128" s="667">
        <f t="shared" si="28"/>
        <v>41.538000000000004</v>
      </c>
      <c r="I128" s="420">
        <v>97.26</v>
      </c>
      <c r="J128" s="420">
        <f>IF(ISBLANK(I128),"",SUM(H128:I128))</f>
        <v>138.798</v>
      </c>
      <c r="K128" s="421">
        <f>IF(ISBLANK(I128),0,ROUND(J128*(1+$F$10)*(1+$F$11*E128),2))</f>
        <v>164.91</v>
      </c>
      <c r="L128" s="647" t="s">
        <v>16</v>
      </c>
      <c r="M128" s="576"/>
      <c r="N128" s="576">
        <f t="shared" si="15"/>
        <v>0</v>
      </c>
      <c r="O128" s="577">
        <f>IF(ISBLANK(M128),0,ROUND(K128*M128,2))</f>
        <v>0</v>
      </c>
      <c r="P128" s="578">
        <f>IF(ISBLANK(N128),0,ROUND(M128*N128,2))</f>
        <v>0</v>
      </c>
      <c r="Q128" s="765"/>
      <c r="R128" s="576">
        <f>M128</f>
        <v>0</v>
      </c>
      <c r="S128" s="576">
        <f>N128</f>
        <v>0</v>
      </c>
      <c r="T128" s="577">
        <f>IF(ISBLANK(R128),0,ROUND(K128*R128,2))</f>
        <v>0</v>
      </c>
      <c r="U128" s="578">
        <f>IF(ISBLANK(R128),0,ROUND(R128*S128,2))</f>
        <v>0</v>
      </c>
      <c r="V128" s="579"/>
      <c r="W128" s="566"/>
      <c r="X128" s="586" t="str">
        <f>IF(W128="X","x",IF(W128="xx","x",IF(W128="xy","x",IF(W128="y","x",IF(OR(P128&gt;0,U128&gt;0),"x","")))))</f>
        <v/>
      </c>
      <c r="Y128" s="586" t="str">
        <f>IF(W128="X","x",IF(W128="y","x",IF(W128="xx","x",IF(U128&gt;0,"x",""))))</f>
        <v/>
      </c>
      <c r="Z128" s="586" t="str">
        <f>IF(W128="X","x",IF(U128&gt;0,"x",""))</f>
        <v/>
      </c>
    </row>
    <row r="129" spans="1:26" ht="12" hidden="1" thickBot="1" x14ac:dyDescent="0.25">
      <c r="A129" s="567">
        <v>532600</v>
      </c>
      <c r="B129" s="644" t="s">
        <v>1536</v>
      </c>
      <c r="C129" s="645" t="s">
        <v>206</v>
      </c>
      <c r="D129" s="422" t="s">
        <v>1610</v>
      </c>
      <c r="E129" s="423"/>
      <c r="F129" s="418">
        <v>15</v>
      </c>
      <c r="G129" s="425">
        <f>ROUND(1.5*1.5,4)</f>
        <v>2.25</v>
      </c>
      <c r="H129" s="667">
        <f t="shared" si="28"/>
        <v>42.142499999999998</v>
      </c>
      <c r="I129" s="420">
        <v>15.533333333333335</v>
      </c>
      <c r="J129" s="420">
        <f>IF(ISBLANK(I129),"",SUM(H129:I129))</f>
        <v>57.67583333333333</v>
      </c>
      <c r="K129" s="421">
        <f t="shared" si="26"/>
        <v>68.52</v>
      </c>
      <c r="L129" s="647" t="s">
        <v>16</v>
      </c>
      <c r="M129" s="576"/>
      <c r="N129" s="576">
        <f t="shared" si="15"/>
        <v>0</v>
      </c>
      <c r="O129" s="577">
        <f t="shared" si="18"/>
        <v>0</v>
      </c>
      <c r="P129" s="578">
        <f t="shared" si="19"/>
        <v>0</v>
      </c>
      <c r="Q129" s="765"/>
      <c r="R129" s="576">
        <f t="shared" si="20"/>
        <v>0</v>
      </c>
      <c r="S129" s="576">
        <f t="shared" si="20"/>
        <v>0</v>
      </c>
      <c r="T129" s="577">
        <f t="shared" si="21"/>
        <v>0</v>
      </c>
      <c r="U129" s="578">
        <f t="shared" si="22"/>
        <v>0</v>
      </c>
      <c r="V129" s="579"/>
      <c r="W129" s="566"/>
      <c r="X129" s="586" t="str">
        <f t="shared" si="23"/>
        <v/>
      </c>
      <c r="Y129" s="586" t="str">
        <f t="shared" si="16"/>
        <v/>
      </c>
      <c r="Z129" s="586" t="str">
        <f t="shared" si="17"/>
        <v/>
      </c>
    </row>
    <row r="130" spans="1:26" ht="12" hidden="1" thickBot="1" x14ac:dyDescent="0.25">
      <c r="A130" s="567">
        <v>603900</v>
      </c>
      <c r="B130" s="644" t="s">
        <v>1606</v>
      </c>
      <c r="C130" s="645" t="s">
        <v>206</v>
      </c>
      <c r="D130" s="422" t="s">
        <v>1611</v>
      </c>
      <c r="E130" s="423"/>
      <c r="F130" s="424">
        <v>20</v>
      </c>
      <c r="G130" s="425">
        <v>1.5</v>
      </c>
      <c r="H130" s="667">
        <f t="shared" si="28"/>
        <v>36.120000000000005</v>
      </c>
      <c r="I130" s="420">
        <v>124.3</v>
      </c>
      <c r="J130" s="420">
        <f>IF(ISBLANK(I130),"",SUM(H130:I130))</f>
        <v>160.42000000000002</v>
      </c>
      <c r="K130" s="421">
        <f t="shared" si="26"/>
        <v>190.6</v>
      </c>
      <c r="L130" s="647" t="s">
        <v>16</v>
      </c>
      <c r="M130" s="576"/>
      <c r="N130" s="576">
        <f t="shared" si="15"/>
        <v>0</v>
      </c>
      <c r="O130" s="577">
        <f t="shared" si="18"/>
        <v>0</v>
      </c>
      <c r="P130" s="578">
        <f t="shared" si="19"/>
        <v>0</v>
      </c>
      <c r="Q130" s="765"/>
      <c r="R130" s="576">
        <f t="shared" si="20"/>
        <v>0</v>
      </c>
      <c r="S130" s="576">
        <f t="shared" si="20"/>
        <v>0</v>
      </c>
      <c r="T130" s="577">
        <f t="shared" si="21"/>
        <v>0</v>
      </c>
      <c r="U130" s="578">
        <f t="shared" si="22"/>
        <v>0</v>
      </c>
      <c r="V130" s="579"/>
      <c r="W130" s="566"/>
      <c r="X130" s="586" t="str">
        <f t="shared" si="23"/>
        <v/>
      </c>
      <c r="Y130" s="586" t="str">
        <f t="shared" si="16"/>
        <v/>
      </c>
      <c r="Z130" s="586" t="str">
        <f t="shared" si="17"/>
        <v/>
      </c>
    </row>
    <row r="131" spans="1:26" ht="12" hidden="1" thickBot="1" x14ac:dyDescent="0.25">
      <c r="A131" s="567">
        <v>511130</v>
      </c>
      <c r="B131" s="644" t="s">
        <v>1532</v>
      </c>
      <c r="C131" s="645" t="s">
        <v>206</v>
      </c>
      <c r="D131" s="422" t="s">
        <v>480</v>
      </c>
      <c r="E131" s="423"/>
      <c r="F131" s="424"/>
      <c r="G131" s="425"/>
      <c r="H131" s="649"/>
      <c r="I131" s="449">
        <v>1.27</v>
      </c>
      <c r="J131" s="420">
        <f t="shared" ref="J131:J140" si="29">IF(ISBLANK(I131),"",SUM(H131:I131))</f>
        <v>1.27</v>
      </c>
      <c r="K131" s="421">
        <f t="shared" si="26"/>
        <v>1.51</v>
      </c>
      <c r="L131" s="647" t="s">
        <v>16</v>
      </c>
      <c r="M131" s="576"/>
      <c r="N131" s="576">
        <f t="shared" si="15"/>
        <v>0</v>
      </c>
      <c r="O131" s="577">
        <f t="shared" si="18"/>
        <v>0</v>
      </c>
      <c r="P131" s="578">
        <f t="shared" si="19"/>
        <v>0</v>
      </c>
      <c r="Q131" s="765"/>
      <c r="R131" s="576">
        <f t="shared" si="20"/>
        <v>0</v>
      </c>
      <c r="S131" s="576">
        <f t="shared" si="20"/>
        <v>0</v>
      </c>
      <c r="T131" s="577">
        <f t="shared" si="21"/>
        <v>0</v>
      </c>
      <c r="U131" s="578">
        <f t="shared" si="22"/>
        <v>0</v>
      </c>
      <c r="V131" s="579"/>
      <c r="W131" s="662"/>
      <c r="X131" s="586" t="str">
        <f t="shared" si="23"/>
        <v/>
      </c>
      <c r="Y131" s="586" t="str">
        <f t="shared" si="16"/>
        <v/>
      </c>
      <c r="Z131" s="586" t="str">
        <f t="shared" si="17"/>
        <v/>
      </c>
    </row>
    <row r="132" spans="1:26" ht="12" hidden="1" thickBot="1" x14ac:dyDescent="0.25">
      <c r="A132" s="567">
        <v>533500</v>
      </c>
      <c r="B132" s="644" t="s">
        <v>1737</v>
      </c>
      <c r="C132" s="645" t="s">
        <v>206</v>
      </c>
      <c r="D132" s="422" t="s">
        <v>481</v>
      </c>
      <c r="E132" s="423"/>
      <c r="F132" s="418">
        <v>15</v>
      </c>
      <c r="G132" s="419">
        <v>1.95</v>
      </c>
      <c r="H132" s="667">
        <f t="shared" ref="H132:H133" si="30">IF(F132&lt;=30,(1.07*F132+2.68)*G132,((1.07*30+2.68)+1.07*(F132-30))*G132)</f>
        <v>36.523499999999999</v>
      </c>
      <c r="I132" s="420">
        <v>26.299999999999997</v>
      </c>
      <c r="J132" s="420">
        <f t="shared" si="29"/>
        <v>62.823499999999996</v>
      </c>
      <c r="K132" s="421">
        <f t="shared" si="26"/>
        <v>74.64</v>
      </c>
      <c r="L132" s="647" t="s">
        <v>16</v>
      </c>
      <c r="M132" s="576"/>
      <c r="N132" s="576">
        <f t="shared" si="15"/>
        <v>0</v>
      </c>
      <c r="O132" s="577">
        <f t="shared" si="18"/>
        <v>0</v>
      </c>
      <c r="P132" s="578">
        <f t="shared" si="19"/>
        <v>0</v>
      </c>
      <c r="Q132" s="765"/>
      <c r="R132" s="576">
        <f t="shared" si="20"/>
        <v>0</v>
      </c>
      <c r="S132" s="576">
        <f t="shared" si="20"/>
        <v>0</v>
      </c>
      <c r="T132" s="577">
        <f t="shared" si="21"/>
        <v>0</v>
      </c>
      <c r="U132" s="578">
        <f t="shared" si="22"/>
        <v>0</v>
      </c>
      <c r="V132" s="579"/>
      <c r="W132" s="566"/>
      <c r="X132" s="586" t="str">
        <f t="shared" si="23"/>
        <v/>
      </c>
      <c r="Y132" s="586" t="str">
        <f t="shared" si="16"/>
        <v/>
      </c>
      <c r="Z132" s="586" t="str">
        <f t="shared" si="17"/>
        <v/>
      </c>
    </row>
    <row r="133" spans="1:26" ht="12" hidden="1" thickBot="1" x14ac:dyDescent="0.25">
      <c r="A133" s="567">
        <v>533100</v>
      </c>
      <c r="B133" s="644" t="s">
        <v>1738</v>
      </c>
      <c r="C133" s="645" t="s">
        <v>206</v>
      </c>
      <c r="D133" s="422" t="s">
        <v>482</v>
      </c>
      <c r="E133" s="423"/>
      <c r="F133" s="418">
        <v>15</v>
      </c>
      <c r="G133" s="419">
        <v>1.98</v>
      </c>
      <c r="H133" s="667">
        <f t="shared" si="30"/>
        <v>37.0854</v>
      </c>
      <c r="I133" s="420">
        <v>31.15</v>
      </c>
      <c r="J133" s="420">
        <f t="shared" si="29"/>
        <v>68.235399999999998</v>
      </c>
      <c r="K133" s="421">
        <f t="shared" si="26"/>
        <v>81.069999999999993</v>
      </c>
      <c r="L133" s="647" t="s">
        <v>16</v>
      </c>
      <c r="M133" s="576"/>
      <c r="N133" s="576">
        <f t="shared" si="15"/>
        <v>0</v>
      </c>
      <c r="O133" s="577">
        <f t="shared" si="18"/>
        <v>0</v>
      </c>
      <c r="P133" s="578">
        <f t="shared" si="19"/>
        <v>0</v>
      </c>
      <c r="Q133" s="765"/>
      <c r="R133" s="576">
        <f t="shared" si="20"/>
        <v>0</v>
      </c>
      <c r="S133" s="576">
        <f t="shared" si="20"/>
        <v>0</v>
      </c>
      <c r="T133" s="577">
        <f t="shared" si="21"/>
        <v>0</v>
      </c>
      <c r="U133" s="578">
        <f t="shared" si="22"/>
        <v>0</v>
      </c>
      <c r="V133" s="579"/>
      <c r="W133" s="566"/>
      <c r="X133" s="586" t="str">
        <f t="shared" si="23"/>
        <v/>
      </c>
      <c r="Y133" s="586" t="str">
        <f t="shared" si="16"/>
        <v/>
      </c>
      <c r="Z133" s="586" t="str">
        <f t="shared" si="17"/>
        <v/>
      </c>
    </row>
    <row r="134" spans="1:26" ht="12" hidden="1" thickBot="1" x14ac:dyDescent="0.25">
      <c r="A134" s="567">
        <v>511100</v>
      </c>
      <c r="B134" s="644" t="s">
        <v>1538</v>
      </c>
      <c r="C134" s="645" t="s">
        <v>206</v>
      </c>
      <c r="D134" s="422" t="s">
        <v>203</v>
      </c>
      <c r="E134" s="423"/>
      <c r="F134" s="418"/>
      <c r="G134" s="425">
        <v>0</v>
      </c>
      <c r="H134" s="667">
        <v>0</v>
      </c>
      <c r="I134" s="420">
        <v>4.33</v>
      </c>
      <c r="J134" s="420">
        <f t="shared" si="29"/>
        <v>4.33</v>
      </c>
      <c r="K134" s="421">
        <f t="shared" si="26"/>
        <v>5.14</v>
      </c>
      <c r="L134" s="647" t="s">
        <v>18</v>
      </c>
      <c r="M134" s="576"/>
      <c r="N134" s="576">
        <f t="shared" si="15"/>
        <v>0</v>
      </c>
      <c r="O134" s="577">
        <f t="shared" si="18"/>
        <v>0</v>
      </c>
      <c r="P134" s="578">
        <f t="shared" si="19"/>
        <v>0</v>
      </c>
      <c r="Q134" s="765"/>
      <c r="R134" s="576">
        <f t="shared" si="20"/>
        <v>0</v>
      </c>
      <c r="S134" s="576">
        <f t="shared" si="20"/>
        <v>0</v>
      </c>
      <c r="T134" s="577">
        <f t="shared" si="21"/>
        <v>0</v>
      </c>
      <c r="U134" s="578">
        <f t="shared" si="22"/>
        <v>0</v>
      </c>
      <c r="V134" s="579"/>
      <c r="W134" s="566"/>
      <c r="X134" s="586" t="str">
        <f t="shared" si="23"/>
        <v/>
      </c>
      <c r="Y134" s="586" t="str">
        <f t="shared" si="16"/>
        <v/>
      </c>
      <c r="Z134" s="586" t="str">
        <f t="shared" si="17"/>
        <v/>
      </c>
    </row>
    <row r="135" spans="1:26" ht="12" hidden="1" thickBot="1" x14ac:dyDescent="0.25">
      <c r="A135" s="567">
        <v>511000</v>
      </c>
      <c r="B135" s="644" t="s">
        <v>1533</v>
      </c>
      <c r="C135" s="645" t="s">
        <v>206</v>
      </c>
      <c r="D135" s="422" t="s">
        <v>190</v>
      </c>
      <c r="E135" s="423"/>
      <c r="F135" s="418">
        <v>0</v>
      </c>
      <c r="G135" s="425"/>
      <c r="H135" s="667">
        <v>0</v>
      </c>
      <c r="I135" s="420">
        <v>4.95</v>
      </c>
      <c r="J135" s="420">
        <f t="shared" si="29"/>
        <v>4.95</v>
      </c>
      <c r="K135" s="421">
        <f t="shared" si="26"/>
        <v>5.88</v>
      </c>
      <c r="L135" s="647" t="s">
        <v>18</v>
      </c>
      <c r="M135" s="576"/>
      <c r="N135" s="576">
        <f t="shared" si="15"/>
        <v>0</v>
      </c>
      <c r="O135" s="577">
        <f t="shared" si="18"/>
        <v>0</v>
      </c>
      <c r="P135" s="578">
        <f t="shared" si="19"/>
        <v>0</v>
      </c>
      <c r="Q135" s="765"/>
      <c r="R135" s="576">
        <f t="shared" si="20"/>
        <v>0</v>
      </c>
      <c r="S135" s="576">
        <f t="shared" si="20"/>
        <v>0</v>
      </c>
      <c r="T135" s="577">
        <f t="shared" si="21"/>
        <v>0</v>
      </c>
      <c r="U135" s="578">
        <f t="shared" si="22"/>
        <v>0</v>
      </c>
      <c r="V135" s="579"/>
      <c r="W135" s="566"/>
      <c r="X135" s="586" t="str">
        <f t="shared" si="23"/>
        <v/>
      </c>
      <c r="Y135" s="586" t="str">
        <f t="shared" si="16"/>
        <v/>
      </c>
      <c r="Z135" s="586" t="str">
        <f t="shared" si="17"/>
        <v/>
      </c>
    </row>
    <row r="136" spans="1:26" ht="12" hidden="1" thickBot="1" x14ac:dyDescent="0.25">
      <c r="A136" s="567">
        <v>511300</v>
      </c>
      <c r="B136" s="644" t="s">
        <v>1540</v>
      </c>
      <c r="C136" s="645" t="s">
        <v>206</v>
      </c>
      <c r="D136" s="422" t="s">
        <v>202</v>
      </c>
      <c r="E136" s="423"/>
      <c r="F136" s="418">
        <v>0</v>
      </c>
      <c r="G136" s="425">
        <v>0</v>
      </c>
      <c r="H136" s="667">
        <v>0</v>
      </c>
      <c r="I136" s="420">
        <v>0.3</v>
      </c>
      <c r="J136" s="420">
        <f t="shared" si="29"/>
        <v>0.3</v>
      </c>
      <c r="K136" s="421">
        <f t="shared" si="26"/>
        <v>0.36</v>
      </c>
      <c r="L136" s="647" t="s">
        <v>18</v>
      </c>
      <c r="M136" s="576"/>
      <c r="N136" s="576">
        <f t="shared" si="15"/>
        <v>0</v>
      </c>
      <c r="O136" s="577">
        <f t="shared" si="18"/>
        <v>0</v>
      </c>
      <c r="P136" s="578">
        <f t="shared" si="19"/>
        <v>0</v>
      </c>
      <c r="Q136" s="765"/>
      <c r="R136" s="576">
        <f t="shared" si="20"/>
        <v>0</v>
      </c>
      <c r="S136" s="576">
        <f t="shared" si="20"/>
        <v>0</v>
      </c>
      <c r="T136" s="577">
        <f t="shared" si="21"/>
        <v>0</v>
      </c>
      <c r="U136" s="578">
        <f t="shared" si="22"/>
        <v>0</v>
      </c>
      <c r="V136" s="579"/>
      <c r="W136" s="566"/>
      <c r="X136" s="586" t="str">
        <f t="shared" si="23"/>
        <v/>
      </c>
      <c r="Y136" s="586" t="str">
        <f t="shared" si="16"/>
        <v/>
      </c>
      <c r="Z136" s="586" t="str">
        <f t="shared" si="17"/>
        <v/>
      </c>
    </row>
    <row r="137" spans="1:26" ht="12" hidden="1" thickBot="1" x14ac:dyDescent="0.25">
      <c r="A137" s="671">
        <v>100576</v>
      </c>
      <c r="B137" s="644" t="s">
        <v>1614</v>
      </c>
      <c r="C137" s="645" t="s">
        <v>670</v>
      </c>
      <c r="D137" s="422" t="s">
        <v>205</v>
      </c>
      <c r="E137" s="423"/>
      <c r="F137" s="418">
        <v>0</v>
      </c>
      <c r="G137" s="425"/>
      <c r="H137" s="667">
        <v>0</v>
      </c>
      <c r="I137" s="420">
        <v>2.4300000000000002</v>
      </c>
      <c r="J137" s="420">
        <f>IF(ISBLANK(I137),"",SUM(H137:I137))</f>
        <v>2.4300000000000002</v>
      </c>
      <c r="K137" s="421">
        <f t="shared" si="26"/>
        <v>2.89</v>
      </c>
      <c r="L137" s="647" t="s">
        <v>18</v>
      </c>
      <c r="M137" s="576"/>
      <c r="N137" s="576">
        <f t="shared" si="15"/>
        <v>0</v>
      </c>
      <c r="O137" s="577">
        <f t="shared" si="18"/>
        <v>0</v>
      </c>
      <c r="P137" s="578">
        <f t="shared" si="19"/>
        <v>0</v>
      </c>
      <c r="Q137" s="765"/>
      <c r="R137" s="576">
        <f t="shared" si="20"/>
        <v>0</v>
      </c>
      <c r="S137" s="576">
        <f t="shared" si="20"/>
        <v>0</v>
      </c>
      <c r="T137" s="577">
        <f t="shared" si="21"/>
        <v>0</v>
      </c>
      <c r="U137" s="578">
        <f t="shared" si="22"/>
        <v>0</v>
      </c>
      <c r="V137" s="579"/>
      <c r="W137" s="566"/>
      <c r="X137" s="586" t="str">
        <f t="shared" si="23"/>
        <v/>
      </c>
      <c r="Y137" s="586" t="str">
        <f t="shared" si="16"/>
        <v/>
      </c>
      <c r="Z137" s="586" t="str">
        <f t="shared" si="17"/>
        <v/>
      </c>
    </row>
    <row r="138" spans="1:26" ht="12" hidden="1" thickBot="1" x14ac:dyDescent="0.25">
      <c r="A138" s="567">
        <v>450000</v>
      </c>
      <c r="B138" s="450">
        <v>450000</v>
      </c>
      <c r="C138" s="473" t="s">
        <v>206</v>
      </c>
      <c r="D138" s="422" t="s">
        <v>209</v>
      </c>
      <c r="E138" s="423"/>
      <c r="F138" s="418">
        <v>15</v>
      </c>
      <c r="G138" s="419">
        <v>1.98</v>
      </c>
      <c r="H138" s="649">
        <f t="shared" ref="H138:H140" si="31">IF(F138&lt;=30,(1.07*F138+2.68)*G138,((1.07*30+2.68)+1.07*(F138-30))*G138)</f>
        <v>37.0854</v>
      </c>
      <c r="I138" s="420">
        <v>15.73</v>
      </c>
      <c r="J138" s="420">
        <f t="shared" si="29"/>
        <v>52.815399999999997</v>
      </c>
      <c r="K138" s="421">
        <f t="shared" si="26"/>
        <v>62.75</v>
      </c>
      <c r="L138" s="647" t="s">
        <v>16</v>
      </c>
      <c r="M138" s="576"/>
      <c r="N138" s="576">
        <f t="shared" si="15"/>
        <v>0</v>
      </c>
      <c r="O138" s="577">
        <f t="shared" si="18"/>
        <v>0</v>
      </c>
      <c r="P138" s="578">
        <f t="shared" si="19"/>
        <v>0</v>
      </c>
      <c r="Q138" s="765"/>
      <c r="R138" s="576">
        <f t="shared" si="20"/>
        <v>0</v>
      </c>
      <c r="S138" s="576">
        <f t="shared" si="20"/>
        <v>0</v>
      </c>
      <c r="T138" s="577">
        <f t="shared" si="21"/>
        <v>0</v>
      </c>
      <c r="U138" s="578">
        <f t="shared" si="22"/>
        <v>0</v>
      </c>
      <c r="V138" s="579"/>
      <c r="W138" s="566"/>
      <c r="X138" s="586" t="str">
        <f t="shared" si="23"/>
        <v/>
      </c>
      <c r="Y138" s="586" t="str">
        <f t="shared" si="16"/>
        <v/>
      </c>
      <c r="Z138" s="586" t="str">
        <f t="shared" si="17"/>
        <v/>
      </c>
    </row>
    <row r="139" spans="1:26" ht="12" hidden="1" thickBot="1" x14ac:dyDescent="0.25">
      <c r="A139" s="567">
        <v>541000</v>
      </c>
      <c r="B139" s="644">
        <v>541000</v>
      </c>
      <c r="C139" s="645" t="s">
        <v>206</v>
      </c>
      <c r="D139" s="422" t="s">
        <v>211</v>
      </c>
      <c r="E139" s="423"/>
      <c r="F139" s="424">
        <v>15</v>
      </c>
      <c r="G139" s="425">
        <v>2.02</v>
      </c>
      <c r="H139" s="649">
        <f t="shared" si="31"/>
        <v>37.834600000000002</v>
      </c>
      <c r="I139" s="420">
        <v>29.46</v>
      </c>
      <c r="J139" s="420">
        <f t="shared" si="29"/>
        <v>67.294600000000003</v>
      </c>
      <c r="K139" s="421">
        <f t="shared" si="26"/>
        <v>79.95</v>
      </c>
      <c r="L139" s="647" t="s">
        <v>16</v>
      </c>
      <c r="M139" s="576"/>
      <c r="N139" s="576">
        <f t="shared" si="15"/>
        <v>0</v>
      </c>
      <c r="O139" s="577">
        <f t="shared" si="18"/>
        <v>0</v>
      </c>
      <c r="P139" s="578">
        <f t="shared" si="19"/>
        <v>0</v>
      </c>
      <c r="Q139" s="765"/>
      <c r="R139" s="576">
        <f t="shared" si="20"/>
        <v>0</v>
      </c>
      <c r="S139" s="576">
        <f t="shared" si="20"/>
        <v>0</v>
      </c>
      <c r="T139" s="577">
        <f t="shared" si="21"/>
        <v>0</v>
      </c>
      <c r="U139" s="578">
        <f t="shared" si="22"/>
        <v>0</v>
      </c>
      <c r="V139" s="579"/>
      <c r="W139" s="566"/>
      <c r="X139" s="586" t="str">
        <f t="shared" si="23"/>
        <v/>
      </c>
      <c r="Y139" s="586" t="str">
        <f t="shared" si="16"/>
        <v/>
      </c>
      <c r="Z139" s="586" t="str">
        <f t="shared" si="17"/>
        <v/>
      </c>
    </row>
    <row r="140" spans="1:26" ht="12" hidden="1" thickBot="1" x14ac:dyDescent="0.25">
      <c r="A140" s="567">
        <v>533100</v>
      </c>
      <c r="B140" s="644" t="s">
        <v>1739</v>
      </c>
      <c r="C140" s="645" t="s">
        <v>206</v>
      </c>
      <c r="D140" s="422" t="s">
        <v>208</v>
      </c>
      <c r="E140" s="423"/>
      <c r="F140" s="418">
        <v>15</v>
      </c>
      <c r="G140" s="419">
        <v>2.1</v>
      </c>
      <c r="H140" s="649">
        <f t="shared" si="31"/>
        <v>39.333000000000006</v>
      </c>
      <c r="I140" s="420">
        <v>31.15</v>
      </c>
      <c r="J140" s="420">
        <f t="shared" si="29"/>
        <v>70.483000000000004</v>
      </c>
      <c r="K140" s="421">
        <f t="shared" si="26"/>
        <v>83.74</v>
      </c>
      <c r="L140" s="647" t="s">
        <v>16</v>
      </c>
      <c r="M140" s="576"/>
      <c r="N140" s="576">
        <f t="shared" si="15"/>
        <v>0</v>
      </c>
      <c r="O140" s="577">
        <f t="shared" si="18"/>
        <v>0</v>
      </c>
      <c r="P140" s="578">
        <f t="shared" si="19"/>
        <v>0</v>
      </c>
      <c r="Q140" s="765"/>
      <c r="R140" s="576">
        <f t="shared" si="20"/>
        <v>0</v>
      </c>
      <c r="S140" s="576">
        <f t="shared" si="20"/>
        <v>0</v>
      </c>
      <c r="T140" s="577">
        <f t="shared" si="21"/>
        <v>0</v>
      </c>
      <c r="U140" s="578">
        <f t="shared" si="22"/>
        <v>0</v>
      </c>
      <c r="V140" s="579"/>
      <c r="W140" s="566"/>
      <c r="X140" s="586" t="str">
        <f t="shared" si="23"/>
        <v/>
      </c>
      <c r="Y140" s="586" t="str">
        <f t="shared" si="16"/>
        <v/>
      </c>
      <c r="Z140" s="586" t="str">
        <f t="shared" si="17"/>
        <v/>
      </c>
    </row>
    <row r="141" spans="1:26" ht="12" hidden="1" thickBot="1" x14ac:dyDescent="0.25">
      <c r="A141" s="567">
        <v>542000</v>
      </c>
      <c r="B141" s="644">
        <v>542000</v>
      </c>
      <c r="C141" s="645" t="s">
        <v>206</v>
      </c>
      <c r="D141" s="422" t="s">
        <v>1900</v>
      </c>
      <c r="E141" s="423"/>
      <c r="F141" s="418"/>
      <c r="G141" s="425"/>
      <c r="H141" s="667">
        <f>SUM(H142:H143)</f>
        <v>49.613330000000005</v>
      </c>
      <c r="I141" s="420">
        <v>58.740000000000009</v>
      </c>
      <c r="J141" s="420">
        <f>IF(ISBLANK(I141),"",SUM(H141:I141))</f>
        <v>108.35333000000001</v>
      </c>
      <c r="K141" s="421">
        <f t="shared" si="26"/>
        <v>128.72999999999999</v>
      </c>
      <c r="L141" s="647" t="s">
        <v>16</v>
      </c>
      <c r="M141" s="576"/>
      <c r="N141" s="576">
        <f t="shared" si="15"/>
        <v>0</v>
      </c>
      <c r="O141" s="577">
        <f t="shared" si="18"/>
        <v>0</v>
      </c>
      <c r="P141" s="578">
        <f t="shared" si="19"/>
        <v>0</v>
      </c>
      <c r="Q141" s="765"/>
      <c r="R141" s="576">
        <f t="shared" si="20"/>
        <v>0</v>
      </c>
      <c r="S141" s="576">
        <f t="shared" si="20"/>
        <v>0</v>
      </c>
      <c r="T141" s="577">
        <f t="shared" si="21"/>
        <v>0</v>
      </c>
      <c r="U141" s="578">
        <f t="shared" si="22"/>
        <v>0</v>
      </c>
      <c r="V141" s="579"/>
      <c r="W141" s="566"/>
      <c r="X141" s="586" t="str">
        <f t="shared" si="23"/>
        <v/>
      </c>
      <c r="Y141" s="586" t="str">
        <f t="shared" si="16"/>
        <v/>
      </c>
      <c r="Z141" s="586" t="str">
        <f t="shared" si="17"/>
        <v/>
      </c>
    </row>
    <row r="142" spans="1:26" ht="12" hidden="1" thickBot="1" x14ac:dyDescent="0.25">
      <c r="A142" s="567" t="s">
        <v>168</v>
      </c>
      <c r="B142" s="644" t="s">
        <v>168</v>
      </c>
      <c r="C142" s="645"/>
      <c r="D142" s="451" t="s">
        <v>212</v>
      </c>
      <c r="E142" s="423"/>
      <c r="F142" s="424">
        <v>500</v>
      </c>
      <c r="G142" s="425">
        <v>3.6999999999999998E-2</v>
      </c>
      <c r="H142" s="649">
        <f>IF(F142&lt;=30,(0.78*F142+7.82)*G142,((0.78*30+7.82)+0.78*(F142-30))*G142)</f>
        <v>14.719340000000001</v>
      </c>
      <c r="I142" s="420">
        <v>0</v>
      </c>
      <c r="J142" s="420"/>
      <c r="K142" s="421">
        <f t="shared" si="26"/>
        <v>0</v>
      </c>
      <c r="L142" s="647" t="s">
        <v>614</v>
      </c>
      <c r="M142" s="669"/>
      <c r="N142" s="576">
        <f t="shared" si="15"/>
        <v>0</v>
      </c>
      <c r="O142" s="577">
        <f t="shared" si="18"/>
        <v>0</v>
      </c>
      <c r="P142" s="578">
        <f t="shared" si="19"/>
        <v>0</v>
      </c>
      <c r="Q142" s="765"/>
      <c r="R142" s="669"/>
      <c r="S142" s="670"/>
      <c r="T142" s="577">
        <f t="shared" si="21"/>
        <v>0</v>
      </c>
      <c r="U142" s="578">
        <f t="shared" si="22"/>
        <v>0</v>
      </c>
      <c r="V142" s="579"/>
      <c r="W142" s="637" t="str">
        <f>IF(U141&gt;0,"xx",IF(P141&gt;0,"xy",""))</f>
        <v/>
      </c>
      <c r="X142" s="586" t="str">
        <f t="shared" si="23"/>
        <v/>
      </c>
      <c r="Y142" s="586" t="str">
        <f>IF(W142="X","x",IF(W142="y","x",IF(W142="xx","x",IF(U142&gt;0,"x",""))))</f>
        <v/>
      </c>
      <c r="Z142" s="586" t="str">
        <f t="shared" si="17"/>
        <v/>
      </c>
    </row>
    <row r="143" spans="1:26" ht="12" hidden="1" thickBot="1" x14ac:dyDescent="0.25">
      <c r="A143" s="567" t="s">
        <v>168</v>
      </c>
      <c r="B143" s="644" t="s">
        <v>168</v>
      </c>
      <c r="C143" s="645"/>
      <c r="D143" s="451" t="s">
        <v>213</v>
      </c>
      <c r="E143" s="423"/>
      <c r="F143" s="418">
        <v>15</v>
      </c>
      <c r="G143" s="425">
        <v>1.863</v>
      </c>
      <c r="H143" s="649">
        <f t="shared" ref="H143" si="32">IF(F143&lt;=30,(1.07*F143+2.68)*G143,((1.07*30+2.68)+1.07*(F143-30))*G143)</f>
        <v>34.893990000000002</v>
      </c>
      <c r="I143" s="420">
        <v>0</v>
      </c>
      <c r="J143" s="420"/>
      <c r="K143" s="421">
        <f t="shared" si="26"/>
        <v>0</v>
      </c>
      <c r="L143" s="647" t="s">
        <v>614</v>
      </c>
      <c r="M143" s="669"/>
      <c r="N143" s="576">
        <f t="shared" si="15"/>
        <v>0</v>
      </c>
      <c r="O143" s="577">
        <f t="shared" si="18"/>
        <v>0</v>
      </c>
      <c r="P143" s="578">
        <f t="shared" si="19"/>
        <v>0</v>
      </c>
      <c r="Q143" s="765"/>
      <c r="R143" s="669"/>
      <c r="S143" s="670"/>
      <c r="T143" s="577">
        <f t="shared" si="21"/>
        <v>0</v>
      </c>
      <c r="U143" s="578">
        <f t="shared" si="22"/>
        <v>0</v>
      </c>
      <c r="V143" s="579"/>
      <c r="W143" s="637" t="str">
        <f>IF(U141&gt;0,"xx",IF(P141&gt;0,"xy",""))</f>
        <v/>
      </c>
      <c r="X143" s="586" t="str">
        <f t="shared" si="23"/>
        <v/>
      </c>
      <c r="Y143" s="586" t="str">
        <f t="shared" ref="Y143:Y210" si="33">IF(W143="X","x",IF(W143="y","x",IF(W143="xx","x",IF(U143&gt;0,"x",""))))</f>
        <v/>
      </c>
      <c r="Z143" s="586" t="str">
        <f t="shared" si="17"/>
        <v/>
      </c>
    </row>
    <row r="144" spans="1:26" ht="12" hidden="1" thickBot="1" x14ac:dyDescent="0.25">
      <c r="A144" s="567">
        <v>543000</v>
      </c>
      <c r="B144" s="644">
        <v>543000</v>
      </c>
      <c r="C144" s="645" t="s">
        <v>206</v>
      </c>
      <c r="D144" s="422" t="s">
        <v>1901</v>
      </c>
      <c r="E144" s="423"/>
      <c r="F144" s="418"/>
      <c r="G144" s="425"/>
      <c r="H144" s="667">
        <f>SUM(H145:H146)</f>
        <v>56.436949999999996</v>
      </c>
      <c r="I144" s="420">
        <v>72.12</v>
      </c>
      <c r="J144" s="420">
        <f>IF(ISBLANK(I144),"",SUM(H144:I144))</f>
        <v>128.55695</v>
      </c>
      <c r="K144" s="421">
        <f t="shared" si="26"/>
        <v>152.74</v>
      </c>
      <c r="L144" s="647" t="s">
        <v>16</v>
      </c>
      <c r="M144" s="576"/>
      <c r="N144" s="576">
        <f t="shared" si="15"/>
        <v>0</v>
      </c>
      <c r="O144" s="577">
        <f t="shared" si="18"/>
        <v>0</v>
      </c>
      <c r="P144" s="578">
        <f t="shared" si="19"/>
        <v>0</v>
      </c>
      <c r="Q144" s="765"/>
      <c r="R144" s="576">
        <f t="shared" si="20"/>
        <v>0</v>
      </c>
      <c r="S144" s="576">
        <f t="shared" si="20"/>
        <v>0</v>
      </c>
      <c r="T144" s="577">
        <f t="shared" si="21"/>
        <v>0</v>
      </c>
      <c r="U144" s="578">
        <f t="shared" si="22"/>
        <v>0</v>
      </c>
      <c r="V144" s="579"/>
      <c r="W144" s="566"/>
      <c r="X144" s="586" t="str">
        <f t="shared" si="23"/>
        <v/>
      </c>
      <c r="Y144" s="586" t="str">
        <f t="shared" si="33"/>
        <v/>
      </c>
      <c r="Z144" s="586" t="str">
        <f t="shared" si="17"/>
        <v/>
      </c>
    </row>
    <row r="145" spans="1:26" ht="12" hidden="1" thickBot="1" x14ac:dyDescent="0.25">
      <c r="A145" s="567" t="s">
        <v>168</v>
      </c>
      <c r="B145" s="644" t="s">
        <v>168</v>
      </c>
      <c r="C145" s="645"/>
      <c r="D145" s="451" t="s">
        <v>212</v>
      </c>
      <c r="E145" s="423"/>
      <c r="F145" s="424">
        <v>500</v>
      </c>
      <c r="G145" s="425">
        <v>5.5E-2</v>
      </c>
      <c r="H145" s="649">
        <f>IF(F145&lt;=30,(0.78*F145+7.82)*G145,((0.78*30+7.82)+0.78*(F145-30))*G145)</f>
        <v>21.880100000000002</v>
      </c>
      <c r="I145" s="420">
        <v>0</v>
      </c>
      <c r="J145" s="420"/>
      <c r="K145" s="421">
        <f t="shared" si="26"/>
        <v>0</v>
      </c>
      <c r="L145" s="647" t="s">
        <v>614</v>
      </c>
      <c r="M145" s="669"/>
      <c r="N145" s="576">
        <f t="shared" si="15"/>
        <v>0</v>
      </c>
      <c r="O145" s="577">
        <f t="shared" si="18"/>
        <v>0</v>
      </c>
      <c r="P145" s="578">
        <f t="shared" si="19"/>
        <v>0</v>
      </c>
      <c r="Q145" s="765"/>
      <c r="R145" s="669"/>
      <c r="S145" s="670"/>
      <c r="T145" s="577">
        <f t="shared" si="21"/>
        <v>0</v>
      </c>
      <c r="U145" s="578">
        <f t="shared" si="22"/>
        <v>0</v>
      </c>
      <c r="V145" s="579"/>
      <c r="W145" s="637" t="str">
        <f>IF(U144&gt;0,"xx",IF(P144&gt;0,"xy",""))</f>
        <v/>
      </c>
      <c r="X145" s="586" t="str">
        <f t="shared" si="23"/>
        <v/>
      </c>
      <c r="Y145" s="586" t="str">
        <f t="shared" si="33"/>
        <v/>
      </c>
      <c r="Z145" s="586" t="str">
        <f t="shared" si="17"/>
        <v/>
      </c>
    </row>
    <row r="146" spans="1:26" ht="12" hidden="1" thickBot="1" x14ac:dyDescent="0.25">
      <c r="A146" s="567" t="s">
        <v>168</v>
      </c>
      <c r="B146" s="644" t="s">
        <v>168</v>
      </c>
      <c r="C146" s="645"/>
      <c r="D146" s="451" t="s">
        <v>213</v>
      </c>
      <c r="E146" s="423"/>
      <c r="F146" s="418">
        <v>15</v>
      </c>
      <c r="G146" s="425">
        <v>1.845</v>
      </c>
      <c r="H146" s="649">
        <f t="shared" ref="H146" si="34">IF(F146&lt;=30,(1.07*F146+2.68)*G146,((1.07*30+2.68)+1.07*(F146-30))*G146)</f>
        <v>34.556849999999997</v>
      </c>
      <c r="I146" s="420">
        <v>0</v>
      </c>
      <c r="J146" s="420"/>
      <c r="K146" s="421">
        <f t="shared" si="26"/>
        <v>0</v>
      </c>
      <c r="L146" s="647" t="s">
        <v>614</v>
      </c>
      <c r="M146" s="669"/>
      <c r="N146" s="576">
        <f t="shared" si="15"/>
        <v>0</v>
      </c>
      <c r="O146" s="577">
        <f t="shared" si="18"/>
        <v>0</v>
      </c>
      <c r="P146" s="578">
        <f t="shared" si="19"/>
        <v>0</v>
      </c>
      <c r="Q146" s="765"/>
      <c r="R146" s="669"/>
      <c r="S146" s="670"/>
      <c r="T146" s="577">
        <f t="shared" si="21"/>
        <v>0</v>
      </c>
      <c r="U146" s="578">
        <f t="shared" si="22"/>
        <v>0</v>
      </c>
      <c r="V146" s="579"/>
      <c r="W146" s="637" t="str">
        <f>IF(U144&gt;0,"xx",IF(P144&gt;0,"xy",""))</f>
        <v/>
      </c>
      <c r="X146" s="586" t="str">
        <f t="shared" si="23"/>
        <v/>
      </c>
      <c r="Y146" s="586" t="str">
        <f t="shared" si="33"/>
        <v/>
      </c>
      <c r="Z146" s="586" t="str">
        <f t="shared" si="17"/>
        <v/>
      </c>
    </row>
    <row r="147" spans="1:26" ht="12" hidden="1" thickBot="1" x14ac:dyDescent="0.25">
      <c r="A147" s="567">
        <v>544000</v>
      </c>
      <c r="B147" s="644">
        <v>544000</v>
      </c>
      <c r="C147" s="645" t="s">
        <v>206</v>
      </c>
      <c r="D147" s="422" t="s">
        <v>1902</v>
      </c>
      <c r="E147" s="423"/>
      <c r="F147" s="418"/>
      <c r="G147" s="425"/>
      <c r="H147" s="667">
        <f>SUM(H148:H149)</f>
        <v>61.565889999999996</v>
      </c>
      <c r="I147" s="420">
        <v>76.599999999999994</v>
      </c>
      <c r="J147" s="420">
        <f>IF(ISBLANK(I147),"",SUM(H147:I147))</f>
        <v>138.16588999999999</v>
      </c>
      <c r="K147" s="421">
        <f t="shared" si="26"/>
        <v>164.15</v>
      </c>
      <c r="L147" s="647" t="s">
        <v>16</v>
      </c>
      <c r="M147" s="576"/>
      <c r="N147" s="576">
        <f t="shared" si="15"/>
        <v>0</v>
      </c>
      <c r="O147" s="577">
        <f t="shared" si="18"/>
        <v>0</v>
      </c>
      <c r="P147" s="578">
        <f t="shared" si="19"/>
        <v>0</v>
      </c>
      <c r="Q147" s="765"/>
      <c r="R147" s="576">
        <f t="shared" si="20"/>
        <v>0</v>
      </c>
      <c r="S147" s="576">
        <f t="shared" si="20"/>
        <v>0</v>
      </c>
      <c r="T147" s="577">
        <f t="shared" si="21"/>
        <v>0</v>
      </c>
      <c r="U147" s="578">
        <f t="shared" si="22"/>
        <v>0</v>
      </c>
      <c r="V147" s="579"/>
      <c r="W147" s="566"/>
      <c r="X147" s="586" t="str">
        <f t="shared" si="23"/>
        <v/>
      </c>
      <c r="Y147" s="586" t="str">
        <f t="shared" si="33"/>
        <v/>
      </c>
      <c r="Z147" s="586" t="str">
        <f t="shared" si="17"/>
        <v/>
      </c>
    </row>
    <row r="148" spans="1:26" ht="12" hidden="1" thickBot="1" x14ac:dyDescent="0.25">
      <c r="A148" s="567" t="s">
        <v>168</v>
      </c>
      <c r="B148" s="644" t="s">
        <v>168</v>
      </c>
      <c r="C148" s="645"/>
      <c r="D148" s="451" t="s">
        <v>212</v>
      </c>
      <c r="E148" s="423"/>
      <c r="F148" s="424">
        <v>500</v>
      </c>
      <c r="G148" s="425">
        <v>7.0999999999999994E-2</v>
      </c>
      <c r="H148" s="649">
        <f>IF(F148&lt;=30,(0.78*F148+7.82)*G148,((0.78*30+7.82)+0.78*(F148-30))*G148)</f>
        <v>28.24522</v>
      </c>
      <c r="I148" s="420">
        <v>0</v>
      </c>
      <c r="J148" s="420"/>
      <c r="K148" s="421">
        <f t="shared" si="26"/>
        <v>0</v>
      </c>
      <c r="L148" s="647" t="s">
        <v>614</v>
      </c>
      <c r="M148" s="669"/>
      <c r="N148" s="576">
        <f t="shared" ref="N148:N211" si="35">IF(M148=0,0,K148)</f>
        <v>0</v>
      </c>
      <c r="O148" s="577">
        <f t="shared" si="18"/>
        <v>0</v>
      </c>
      <c r="P148" s="578">
        <f t="shared" si="19"/>
        <v>0</v>
      </c>
      <c r="Q148" s="765"/>
      <c r="R148" s="669"/>
      <c r="S148" s="670"/>
      <c r="T148" s="577">
        <f t="shared" si="21"/>
        <v>0</v>
      </c>
      <c r="U148" s="578">
        <f t="shared" si="22"/>
        <v>0</v>
      </c>
      <c r="V148" s="579"/>
      <c r="W148" s="637" t="str">
        <f>IF(U147&gt;0,"xx",IF(P147&gt;0,"xy",""))</f>
        <v/>
      </c>
      <c r="X148" s="586" t="str">
        <f t="shared" si="23"/>
        <v/>
      </c>
      <c r="Y148" s="586" t="str">
        <f t="shared" si="33"/>
        <v/>
      </c>
      <c r="Z148" s="586" t="str">
        <f t="shared" si="17"/>
        <v/>
      </c>
    </row>
    <row r="149" spans="1:26" ht="12" hidden="1" thickBot="1" x14ac:dyDescent="0.25">
      <c r="A149" s="567" t="s">
        <v>168</v>
      </c>
      <c r="B149" s="644" t="s">
        <v>168</v>
      </c>
      <c r="C149" s="645"/>
      <c r="D149" s="451" t="s">
        <v>213</v>
      </c>
      <c r="E149" s="423"/>
      <c r="F149" s="418">
        <v>15</v>
      </c>
      <c r="G149" s="425">
        <v>1.7789999999999999</v>
      </c>
      <c r="H149" s="649">
        <f t="shared" ref="H149" si="36">IF(F149&lt;=30,(1.07*F149+2.68)*G149,((1.07*30+2.68)+1.07*(F149-30))*G149)</f>
        <v>33.32067</v>
      </c>
      <c r="I149" s="420">
        <v>0</v>
      </c>
      <c r="J149" s="420"/>
      <c r="K149" s="421">
        <f t="shared" si="26"/>
        <v>0</v>
      </c>
      <c r="L149" s="647" t="s">
        <v>614</v>
      </c>
      <c r="M149" s="669"/>
      <c r="N149" s="576">
        <f t="shared" si="35"/>
        <v>0</v>
      </c>
      <c r="O149" s="577">
        <f t="shared" si="18"/>
        <v>0</v>
      </c>
      <c r="P149" s="578">
        <f t="shared" si="19"/>
        <v>0</v>
      </c>
      <c r="Q149" s="765"/>
      <c r="R149" s="669"/>
      <c r="S149" s="670"/>
      <c r="T149" s="577">
        <f t="shared" si="21"/>
        <v>0</v>
      </c>
      <c r="U149" s="578">
        <f t="shared" si="22"/>
        <v>0</v>
      </c>
      <c r="V149" s="579"/>
      <c r="W149" s="637" t="str">
        <f>IF(U147&gt;0,"xx",IF(P147&gt;0,"xy",""))</f>
        <v/>
      </c>
      <c r="X149" s="586" t="str">
        <f t="shared" si="23"/>
        <v/>
      </c>
      <c r="Y149" s="586" t="str">
        <f t="shared" si="33"/>
        <v/>
      </c>
      <c r="Z149" s="586" t="str">
        <f t="shared" si="17"/>
        <v/>
      </c>
    </row>
    <row r="150" spans="1:26" ht="12" hidden="1" thickBot="1" x14ac:dyDescent="0.25">
      <c r="A150" s="567">
        <v>545000</v>
      </c>
      <c r="B150" s="644">
        <v>545000</v>
      </c>
      <c r="C150" s="645" t="s">
        <v>206</v>
      </c>
      <c r="D150" s="422" t="s">
        <v>1903</v>
      </c>
      <c r="E150" s="423"/>
      <c r="F150" s="418"/>
      <c r="G150" s="425"/>
      <c r="H150" s="667">
        <f>SUM(H151:H152)</f>
        <v>68.010420000000011</v>
      </c>
      <c r="I150" s="420">
        <v>88.69</v>
      </c>
      <c r="J150" s="420">
        <f>IF(ISBLANK(I150),"",SUM(H150:I150))</f>
        <v>156.70042000000001</v>
      </c>
      <c r="K150" s="421">
        <f t="shared" si="26"/>
        <v>186.18</v>
      </c>
      <c r="L150" s="647" t="s">
        <v>16</v>
      </c>
      <c r="M150" s="576"/>
      <c r="N150" s="576">
        <f t="shared" si="35"/>
        <v>0</v>
      </c>
      <c r="O150" s="577">
        <f t="shared" si="18"/>
        <v>0</v>
      </c>
      <c r="P150" s="578">
        <f t="shared" si="19"/>
        <v>0</v>
      </c>
      <c r="Q150" s="765"/>
      <c r="R150" s="576">
        <f t="shared" si="20"/>
        <v>0</v>
      </c>
      <c r="S150" s="576">
        <f t="shared" si="20"/>
        <v>0</v>
      </c>
      <c r="T150" s="577">
        <f t="shared" si="21"/>
        <v>0</v>
      </c>
      <c r="U150" s="578">
        <f t="shared" si="22"/>
        <v>0</v>
      </c>
      <c r="V150" s="579"/>
      <c r="W150" s="566"/>
      <c r="X150" s="586" t="str">
        <f t="shared" si="23"/>
        <v/>
      </c>
      <c r="Y150" s="586" t="str">
        <f t="shared" si="33"/>
        <v/>
      </c>
      <c r="Z150" s="586" t="str">
        <f t="shared" si="17"/>
        <v/>
      </c>
    </row>
    <row r="151" spans="1:26" ht="12" hidden="1" thickBot="1" x14ac:dyDescent="0.25">
      <c r="A151" s="567" t="s">
        <v>168</v>
      </c>
      <c r="B151" s="644" t="s">
        <v>168</v>
      </c>
      <c r="C151" s="645"/>
      <c r="D151" s="451" t="s">
        <v>212</v>
      </c>
      <c r="E151" s="423"/>
      <c r="F151" s="424">
        <v>500</v>
      </c>
      <c r="G151" s="425">
        <v>8.7999999999999995E-2</v>
      </c>
      <c r="H151" s="649">
        <f>IF(F151&lt;=30,(0.78*F151+7.82)*G151,((0.78*30+7.82)+0.78*(F151-30))*G151)</f>
        <v>35.008160000000004</v>
      </c>
      <c r="I151" s="420">
        <v>0</v>
      </c>
      <c r="J151" s="420"/>
      <c r="K151" s="421">
        <f t="shared" si="26"/>
        <v>0</v>
      </c>
      <c r="L151" s="647" t="s">
        <v>614</v>
      </c>
      <c r="M151" s="669"/>
      <c r="N151" s="576">
        <f t="shared" si="35"/>
        <v>0</v>
      </c>
      <c r="O151" s="577">
        <f t="shared" si="18"/>
        <v>0</v>
      </c>
      <c r="P151" s="578">
        <f t="shared" si="19"/>
        <v>0</v>
      </c>
      <c r="Q151" s="765"/>
      <c r="R151" s="669"/>
      <c r="S151" s="670"/>
      <c r="T151" s="577">
        <f t="shared" si="21"/>
        <v>0</v>
      </c>
      <c r="U151" s="578">
        <f t="shared" si="22"/>
        <v>0</v>
      </c>
      <c r="V151" s="579"/>
      <c r="W151" s="637" t="str">
        <f>IF(U150&gt;0,"xx",IF(P150&gt;0,"xy",""))</f>
        <v/>
      </c>
      <c r="X151" s="586" t="str">
        <f t="shared" si="23"/>
        <v/>
      </c>
      <c r="Y151" s="586" t="str">
        <f t="shared" si="33"/>
        <v/>
      </c>
      <c r="Z151" s="586" t="str">
        <f t="shared" si="17"/>
        <v/>
      </c>
    </row>
    <row r="152" spans="1:26" ht="12" hidden="1" thickBot="1" x14ac:dyDescent="0.25">
      <c r="A152" s="567" t="s">
        <v>168</v>
      </c>
      <c r="B152" s="644" t="s">
        <v>168</v>
      </c>
      <c r="C152" s="645"/>
      <c r="D152" s="451" t="s">
        <v>213</v>
      </c>
      <c r="E152" s="423"/>
      <c r="F152" s="418">
        <v>15</v>
      </c>
      <c r="G152" s="425">
        <v>1.762</v>
      </c>
      <c r="H152" s="649">
        <f t="shared" ref="H152" si="37">IF(F152&lt;=30,(1.07*F152+2.68)*G152,((1.07*30+2.68)+1.07*(F152-30))*G152)</f>
        <v>33.00226</v>
      </c>
      <c r="I152" s="420">
        <v>0</v>
      </c>
      <c r="J152" s="420"/>
      <c r="K152" s="421">
        <f t="shared" si="26"/>
        <v>0</v>
      </c>
      <c r="L152" s="647" t="s">
        <v>614</v>
      </c>
      <c r="M152" s="669"/>
      <c r="N152" s="576">
        <f t="shared" si="35"/>
        <v>0</v>
      </c>
      <c r="O152" s="577">
        <f t="shared" si="18"/>
        <v>0</v>
      </c>
      <c r="P152" s="578">
        <f t="shared" si="19"/>
        <v>0</v>
      </c>
      <c r="Q152" s="765"/>
      <c r="R152" s="669"/>
      <c r="S152" s="670"/>
      <c r="T152" s="577">
        <f t="shared" si="21"/>
        <v>0</v>
      </c>
      <c r="U152" s="578">
        <f t="shared" si="22"/>
        <v>0</v>
      </c>
      <c r="V152" s="579"/>
      <c r="W152" s="637" t="str">
        <f>IF(U150&gt;0,"xx",IF(P150&gt;0,"xy",""))</f>
        <v/>
      </c>
      <c r="X152" s="586" t="str">
        <f t="shared" si="23"/>
        <v/>
      </c>
      <c r="Y152" s="586" t="str">
        <f t="shared" si="33"/>
        <v/>
      </c>
      <c r="Z152" s="586" t="str">
        <f t="shared" si="17"/>
        <v/>
      </c>
    </row>
    <row r="153" spans="1:26" ht="12" hidden="1" thickBot="1" x14ac:dyDescent="0.25">
      <c r="A153" s="567">
        <v>546000</v>
      </c>
      <c r="B153" s="644">
        <v>546000</v>
      </c>
      <c r="C153" s="645" t="s">
        <v>206</v>
      </c>
      <c r="D153" s="422" t="s">
        <v>1904</v>
      </c>
      <c r="E153" s="423"/>
      <c r="F153" s="418"/>
      <c r="G153" s="425"/>
      <c r="H153" s="667">
        <f>SUM(H154:H155)</f>
        <v>74.454949999999997</v>
      </c>
      <c r="I153" s="420">
        <v>100.75</v>
      </c>
      <c r="J153" s="420">
        <f>IF(ISBLANK(I153),"",SUM(H153:I153))</f>
        <v>175.20495</v>
      </c>
      <c r="K153" s="421">
        <f t="shared" si="26"/>
        <v>208.16</v>
      </c>
      <c r="L153" s="647" t="s">
        <v>16</v>
      </c>
      <c r="M153" s="576"/>
      <c r="N153" s="576">
        <f t="shared" si="35"/>
        <v>0</v>
      </c>
      <c r="O153" s="577">
        <f t="shared" si="18"/>
        <v>0</v>
      </c>
      <c r="P153" s="578">
        <f t="shared" si="19"/>
        <v>0</v>
      </c>
      <c r="Q153" s="765"/>
      <c r="R153" s="576">
        <f t="shared" si="20"/>
        <v>0</v>
      </c>
      <c r="S153" s="576">
        <f t="shared" si="20"/>
        <v>0</v>
      </c>
      <c r="T153" s="577">
        <f t="shared" si="21"/>
        <v>0</v>
      </c>
      <c r="U153" s="578">
        <f t="shared" si="22"/>
        <v>0</v>
      </c>
      <c r="V153" s="579"/>
      <c r="W153" s="566"/>
      <c r="X153" s="586" t="str">
        <f t="shared" si="23"/>
        <v/>
      </c>
      <c r="Y153" s="586" t="str">
        <f t="shared" si="33"/>
        <v/>
      </c>
      <c r="Z153" s="586" t="str">
        <f t="shared" si="17"/>
        <v/>
      </c>
    </row>
    <row r="154" spans="1:26" ht="12" hidden="1" thickBot="1" x14ac:dyDescent="0.25">
      <c r="A154" s="567" t="s">
        <v>168</v>
      </c>
      <c r="B154" s="644" t="s">
        <v>168</v>
      </c>
      <c r="C154" s="645"/>
      <c r="D154" s="451" t="s">
        <v>212</v>
      </c>
      <c r="E154" s="423"/>
      <c r="F154" s="424">
        <v>500</v>
      </c>
      <c r="G154" s="425">
        <v>0.105</v>
      </c>
      <c r="H154" s="649">
        <f>IF(F154&lt;=30,(0.78*F154+7.82)*G154,((0.78*30+7.82)+0.78*(F154-30))*G154)</f>
        <v>41.771100000000004</v>
      </c>
      <c r="I154" s="420"/>
      <c r="J154" s="420"/>
      <c r="K154" s="421">
        <f t="shared" si="26"/>
        <v>0</v>
      </c>
      <c r="L154" s="647" t="s">
        <v>614</v>
      </c>
      <c r="M154" s="669"/>
      <c r="N154" s="576">
        <f t="shared" si="35"/>
        <v>0</v>
      </c>
      <c r="O154" s="577">
        <f t="shared" si="18"/>
        <v>0</v>
      </c>
      <c r="P154" s="578">
        <f t="shared" si="19"/>
        <v>0</v>
      </c>
      <c r="Q154" s="765"/>
      <c r="R154" s="669"/>
      <c r="S154" s="670"/>
      <c r="T154" s="577">
        <f t="shared" si="21"/>
        <v>0</v>
      </c>
      <c r="U154" s="578">
        <f t="shared" si="22"/>
        <v>0</v>
      </c>
      <c r="V154" s="579"/>
      <c r="W154" s="637" t="str">
        <f>IF(U153&gt;0,"xx",IF(P153&gt;0,"xy",""))</f>
        <v/>
      </c>
      <c r="X154" s="586" t="str">
        <f t="shared" si="23"/>
        <v/>
      </c>
      <c r="Y154" s="586" t="str">
        <f t="shared" si="33"/>
        <v/>
      </c>
      <c r="Z154" s="586" t="str">
        <f t="shared" si="17"/>
        <v/>
      </c>
    </row>
    <row r="155" spans="1:26" ht="12" hidden="1" thickBot="1" x14ac:dyDescent="0.25">
      <c r="A155" s="567" t="s">
        <v>168</v>
      </c>
      <c r="B155" s="644" t="s">
        <v>168</v>
      </c>
      <c r="C155" s="645"/>
      <c r="D155" s="451" t="s">
        <v>213</v>
      </c>
      <c r="E155" s="423"/>
      <c r="F155" s="418">
        <v>15</v>
      </c>
      <c r="G155" s="425">
        <v>1.7450000000000001</v>
      </c>
      <c r="H155" s="649">
        <f t="shared" ref="H155" si="38">IF(F155&lt;=30,(1.07*F155+2.68)*G155,((1.07*30+2.68)+1.07*(F155-30))*G155)</f>
        <v>32.68385</v>
      </c>
      <c r="I155" s="420"/>
      <c r="J155" s="420"/>
      <c r="K155" s="421">
        <f t="shared" si="26"/>
        <v>0</v>
      </c>
      <c r="L155" s="647" t="s">
        <v>614</v>
      </c>
      <c r="M155" s="669"/>
      <c r="N155" s="576">
        <f t="shared" si="35"/>
        <v>0</v>
      </c>
      <c r="O155" s="577">
        <f t="shared" si="18"/>
        <v>0</v>
      </c>
      <c r="P155" s="578">
        <f t="shared" si="19"/>
        <v>0</v>
      </c>
      <c r="Q155" s="765"/>
      <c r="R155" s="669"/>
      <c r="S155" s="670"/>
      <c r="T155" s="577">
        <f t="shared" si="21"/>
        <v>0</v>
      </c>
      <c r="U155" s="578">
        <f t="shared" si="22"/>
        <v>0</v>
      </c>
      <c r="V155" s="579"/>
      <c r="W155" s="637" t="str">
        <f>IF(U153&gt;0,"xx",IF(P153&gt;0,"xy",""))</f>
        <v/>
      </c>
      <c r="X155" s="586" t="str">
        <f t="shared" si="23"/>
        <v/>
      </c>
      <c r="Y155" s="586" t="str">
        <f t="shared" si="33"/>
        <v/>
      </c>
      <c r="Z155" s="586" t="str">
        <f t="shared" si="17"/>
        <v/>
      </c>
    </row>
    <row r="156" spans="1:26" ht="12" hidden="1" thickBot="1" x14ac:dyDescent="0.25">
      <c r="A156" s="567">
        <v>547000</v>
      </c>
      <c r="B156" s="644">
        <v>547000</v>
      </c>
      <c r="C156" s="645" t="s">
        <v>206</v>
      </c>
      <c r="D156" s="422" t="s">
        <v>1905</v>
      </c>
      <c r="E156" s="423"/>
      <c r="F156" s="418"/>
      <c r="G156" s="425"/>
      <c r="H156" s="667">
        <f>SUM(H157:H158)</f>
        <v>80.501660000000001</v>
      </c>
      <c r="I156" s="420">
        <v>113.74000000000001</v>
      </c>
      <c r="J156" s="420">
        <f>IF(ISBLANK(I156),"",SUM(H156:I156))</f>
        <v>194.24166000000002</v>
      </c>
      <c r="K156" s="421">
        <f t="shared" si="26"/>
        <v>230.78</v>
      </c>
      <c r="L156" s="647" t="s">
        <v>16</v>
      </c>
      <c r="M156" s="576"/>
      <c r="N156" s="576">
        <f t="shared" si="35"/>
        <v>0</v>
      </c>
      <c r="O156" s="577">
        <f t="shared" si="18"/>
        <v>0</v>
      </c>
      <c r="P156" s="578">
        <f t="shared" si="19"/>
        <v>0</v>
      </c>
      <c r="Q156" s="765"/>
      <c r="R156" s="576">
        <f t="shared" si="20"/>
        <v>0</v>
      </c>
      <c r="S156" s="576">
        <f t="shared" si="20"/>
        <v>0</v>
      </c>
      <c r="T156" s="577">
        <f t="shared" si="21"/>
        <v>0</v>
      </c>
      <c r="U156" s="578">
        <f t="shared" si="22"/>
        <v>0</v>
      </c>
      <c r="V156" s="579"/>
      <c r="W156" s="566"/>
      <c r="X156" s="586" t="str">
        <f t="shared" si="23"/>
        <v/>
      </c>
      <c r="Y156" s="586" t="str">
        <f t="shared" si="33"/>
        <v/>
      </c>
      <c r="Z156" s="586" t="str">
        <f t="shared" ref="Z156:Z220" si="39">IF(W156="X","x",IF(U156&gt;0,"x",""))</f>
        <v/>
      </c>
    </row>
    <row r="157" spans="1:26" ht="12" hidden="1" thickBot="1" x14ac:dyDescent="0.25">
      <c r="A157" s="567" t="s">
        <v>168</v>
      </c>
      <c r="B157" s="644" t="s">
        <v>168</v>
      </c>
      <c r="C157" s="645"/>
      <c r="D157" s="451" t="s">
        <v>212</v>
      </c>
      <c r="E157" s="423"/>
      <c r="F157" s="424">
        <v>500</v>
      </c>
      <c r="G157" s="425">
        <v>0.121</v>
      </c>
      <c r="H157" s="649">
        <f>IF(F157&lt;=30,(0.78*F157+7.82)*G157,((0.78*30+7.82)+0.78*(F157-30))*G157)</f>
        <v>48.136220000000002</v>
      </c>
      <c r="I157" s="420"/>
      <c r="J157" s="420"/>
      <c r="K157" s="421">
        <f t="shared" si="26"/>
        <v>0</v>
      </c>
      <c r="L157" s="647" t="s">
        <v>614</v>
      </c>
      <c r="M157" s="669"/>
      <c r="N157" s="576">
        <f t="shared" si="35"/>
        <v>0</v>
      </c>
      <c r="O157" s="577">
        <f t="shared" si="18"/>
        <v>0</v>
      </c>
      <c r="P157" s="578">
        <f t="shared" si="19"/>
        <v>0</v>
      </c>
      <c r="Q157" s="765"/>
      <c r="R157" s="669"/>
      <c r="S157" s="670"/>
      <c r="T157" s="577">
        <f t="shared" si="21"/>
        <v>0</v>
      </c>
      <c r="U157" s="578">
        <f t="shared" si="22"/>
        <v>0</v>
      </c>
      <c r="V157" s="579"/>
      <c r="W157" s="637" t="str">
        <f>IF(U156&gt;0,"xx",IF(P156&gt;0,"xy",""))</f>
        <v/>
      </c>
      <c r="X157" s="586" t="str">
        <f t="shared" si="23"/>
        <v/>
      </c>
      <c r="Y157" s="586" t="str">
        <f t="shared" si="33"/>
        <v/>
      </c>
      <c r="Z157" s="586" t="str">
        <f t="shared" si="39"/>
        <v/>
      </c>
    </row>
    <row r="158" spans="1:26" ht="12" hidden="1" thickBot="1" x14ac:dyDescent="0.25">
      <c r="A158" s="567" t="s">
        <v>168</v>
      </c>
      <c r="B158" s="644" t="s">
        <v>168</v>
      </c>
      <c r="C158" s="645"/>
      <c r="D158" s="451" t="s">
        <v>213</v>
      </c>
      <c r="E158" s="423"/>
      <c r="F158" s="418">
        <v>15</v>
      </c>
      <c r="G158" s="425">
        <v>1.728</v>
      </c>
      <c r="H158" s="649">
        <f t="shared" ref="H158" si="40">IF(F158&lt;=30,(1.07*F158+2.68)*G158,((1.07*30+2.68)+1.07*(F158-30))*G158)</f>
        <v>32.36544</v>
      </c>
      <c r="I158" s="420"/>
      <c r="J158" s="420"/>
      <c r="K158" s="421">
        <f t="shared" si="26"/>
        <v>0</v>
      </c>
      <c r="L158" s="647" t="s">
        <v>614</v>
      </c>
      <c r="M158" s="669"/>
      <c r="N158" s="576">
        <f t="shared" si="35"/>
        <v>0</v>
      </c>
      <c r="O158" s="577">
        <f t="shared" si="18"/>
        <v>0</v>
      </c>
      <c r="P158" s="578">
        <f t="shared" si="19"/>
        <v>0</v>
      </c>
      <c r="Q158" s="765"/>
      <c r="R158" s="669"/>
      <c r="S158" s="670"/>
      <c r="T158" s="577">
        <f t="shared" si="21"/>
        <v>0</v>
      </c>
      <c r="U158" s="578">
        <f t="shared" si="22"/>
        <v>0</v>
      </c>
      <c r="V158" s="579"/>
      <c r="W158" s="637" t="str">
        <f>IF(U156&gt;0,"xx",IF(P156&gt;0,"xy",""))</f>
        <v/>
      </c>
      <c r="X158" s="586" t="str">
        <f t="shared" si="23"/>
        <v/>
      </c>
      <c r="Y158" s="586" t="str">
        <f t="shared" si="33"/>
        <v/>
      </c>
      <c r="Z158" s="586" t="str">
        <f t="shared" si="39"/>
        <v/>
      </c>
    </row>
    <row r="159" spans="1:26" ht="12" hidden="1" thickBot="1" x14ac:dyDescent="0.25">
      <c r="A159" s="567">
        <v>542100</v>
      </c>
      <c r="B159" s="644">
        <v>542100</v>
      </c>
      <c r="C159" s="645" t="s">
        <v>206</v>
      </c>
      <c r="D159" s="422" t="s">
        <v>1906</v>
      </c>
      <c r="E159" s="423"/>
      <c r="F159" s="418"/>
      <c r="G159" s="425"/>
      <c r="H159" s="667">
        <f>SUM(H160:H162)</f>
        <v>55.101230000000001</v>
      </c>
      <c r="I159" s="420">
        <v>61.81</v>
      </c>
      <c r="J159" s="420">
        <f>IF(ISBLANK(I159),"",SUM(H159:I159))</f>
        <v>116.91123</v>
      </c>
      <c r="K159" s="421">
        <f t="shared" si="26"/>
        <v>138.9</v>
      </c>
      <c r="L159" s="647" t="s">
        <v>16</v>
      </c>
      <c r="M159" s="576"/>
      <c r="N159" s="576">
        <f t="shared" si="35"/>
        <v>0</v>
      </c>
      <c r="O159" s="577">
        <f t="shared" ref="O159:O223" si="41">IF(ISBLANK(M159),0,ROUND(K159*M159,2))</f>
        <v>0</v>
      </c>
      <c r="P159" s="578">
        <f t="shared" ref="P159:P223" si="42">IF(ISBLANK(N159),0,ROUND(M159*N159,2))</f>
        <v>0</v>
      </c>
      <c r="Q159" s="765"/>
      <c r="R159" s="576">
        <f t="shared" ref="R159:S223" si="43">M159</f>
        <v>0</v>
      </c>
      <c r="S159" s="576">
        <f t="shared" si="43"/>
        <v>0</v>
      </c>
      <c r="T159" s="577">
        <f t="shared" ref="T159:T223" si="44">IF(ISBLANK(R159),0,ROUND(K159*R159,2))</f>
        <v>0</v>
      </c>
      <c r="U159" s="578">
        <f t="shared" ref="U159:U223" si="45">IF(ISBLANK(R159),0,ROUND(R159*S159,2))</f>
        <v>0</v>
      </c>
      <c r="V159" s="579"/>
      <c r="W159" s="566"/>
      <c r="X159" s="586" t="str">
        <f t="shared" si="23"/>
        <v/>
      </c>
      <c r="Y159" s="586" t="str">
        <f t="shared" si="33"/>
        <v/>
      </c>
      <c r="Z159" s="586" t="str">
        <f t="shared" si="39"/>
        <v/>
      </c>
    </row>
    <row r="160" spans="1:26" ht="12" hidden="1" thickBot="1" x14ac:dyDescent="0.25">
      <c r="A160" s="567" t="s">
        <v>168</v>
      </c>
      <c r="B160" s="644" t="s">
        <v>168</v>
      </c>
      <c r="C160" s="645"/>
      <c r="D160" s="451" t="s">
        <v>212</v>
      </c>
      <c r="E160" s="423"/>
      <c r="F160" s="424">
        <v>500</v>
      </c>
      <c r="G160" s="425">
        <v>3.6999999999999998E-2</v>
      </c>
      <c r="H160" s="649">
        <f>IF(F160&lt;=30,(0.78*F160+7.82)*G160,((0.78*30+7.82)+0.78*(F160-30))*G160)</f>
        <v>14.719340000000001</v>
      </c>
      <c r="I160" s="420"/>
      <c r="J160" s="420"/>
      <c r="K160" s="421">
        <f t="shared" si="26"/>
        <v>0</v>
      </c>
      <c r="L160" s="647" t="s">
        <v>614</v>
      </c>
      <c r="M160" s="669"/>
      <c r="N160" s="576">
        <f t="shared" si="35"/>
        <v>0</v>
      </c>
      <c r="O160" s="577">
        <f t="shared" si="41"/>
        <v>0</v>
      </c>
      <c r="P160" s="578">
        <f t="shared" si="42"/>
        <v>0</v>
      </c>
      <c r="Q160" s="765"/>
      <c r="R160" s="669"/>
      <c r="S160" s="670"/>
      <c r="T160" s="577">
        <f t="shared" si="44"/>
        <v>0</v>
      </c>
      <c r="U160" s="578">
        <f t="shared" si="45"/>
        <v>0</v>
      </c>
      <c r="V160" s="579"/>
      <c r="W160" s="637" t="str">
        <f>IF(U159&gt;0,"xx",IF(P159&gt;0,"xy",""))</f>
        <v/>
      </c>
      <c r="X160" s="586" t="str">
        <f t="shared" si="23"/>
        <v/>
      </c>
      <c r="Y160" s="586" t="str">
        <f t="shared" si="33"/>
        <v/>
      </c>
      <c r="Z160" s="586" t="str">
        <f t="shared" si="39"/>
        <v/>
      </c>
    </row>
    <row r="161" spans="1:26" ht="12" hidden="1" thickBot="1" x14ac:dyDescent="0.25">
      <c r="A161" s="567" t="s">
        <v>168</v>
      </c>
      <c r="B161" s="644" t="s">
        <v>168</v>
      </c>
      <c r="C161" s="645"/>
      <c r="D161" s="451" t="s">
        <v>213</v>
      </c>
      <c r="E161" s="423"/>
      <c r="F161" s="418">
        <v>10</v>
      </c>
      <c r="G161" s="425">
        <v>1.9</v>
      </c>
      <c r="H161" s="649">
        <f t="shared" ref="H161:H162" si="46">IF(F161&lt;=30,(1.07*F161+2.68)*G161,((1.07*30+2.68)+1.07*(F161-30))*G161)</f>
        <v>25.422000000000001</v>
      </c>
      <c r="I161" s="420"/>
      <c r="J161" s="420"/>
      <c r="K161" s="421">
        <f t="shared" si="26"/>
        <v>0</v>
      </c>
      <c r="L161" s="647" t="s">
        <v>614</v>
      </c>
      <c r="M161" s="669"/>
      <c r="N161" s="576">
        <f t="shared" si="35"/>
        <v>0</v>
      </c>
      <c r="O161" s="577">
        <f t="shared" si="41"/>
        <v>0</v>
      </c>
      <c r="P161" s="578">
        <f t="shared" si="42"/>
        <v>0</v>
      </c>
      <c r="Q161" s="765"/>
      <c r="R161" s="669"/>
      <c r="S161" s="670"/>
      <c r="T161" s="577">
        <f t="shared" si="44"/>
        <v>0</v>
      </c>
      <c r="U161" s="578">
        <f t="shared" si="45"/>
        <v>0</v>
      </c>
      <c r="V161" s="579"/>
      <c r="W161" s="637" t="str">
        <f>IF(U159&gt;0,"xx",IF(P159&gt;0,"xy",""))</f>
        <v/>
      </c>
      <c r="X161" s="586" t="str">
        <f t="shared" ref="X161:X225" si="47">IF(W161="X","x",IF(W161="xx","x",IF(W161="xy","x",IF(W161="y","x",IF(OR(P161&gt;0,U161&gt;0),"x","")))))</f>
        <v/>
      </c>
      <c r="Y161" s="586" t="str">
        <f t="shared" si="33"/>
        <v/>
      </c>
      <c r="Z161" s="586" t="str">
        <f t="shared" si="39"/>
        <v/>
      </c>
    </row>
    <row r="162" spans="1:26" ht="12" hidden="1" thickBot="1" x14ac:dyDescent="0.25">
      <c r="A162" s="567" t="s">
        <v>168</v>
      </c>
      <c r="B162" s="644" t="s">
        <v>168</v>
      </c>
      <c r="C162" s="645"/>
      <c r="D162" s="451" t="s">
        <v>214</v>
      </c>
      <c r="E162" s="423"/>
      <c r="F162" s="418">
        <v>5</v>
      </c>
      <c r="G162" s="425">
        <v>1.863</v>
      </c>
      <c r="H162" s="649">
        <f t="shared" si="46"/>
        <v>14.959890000000001</v>
      </c>
      <c r="I162" s="420"/>
      <c r="J162" s="420"/>
      <c r="K162" s="421">
        <f t="shared" si="26"/>
        <v>0</v>
      </c>
      <c r="L162" s="647" t="s">
        <v>614</v>
      </c>
      <c r="M162" s="669"/>
      <c r="N162" s="576">
        <f t="shared" si="35"/>
        <v>0</v>
      </c>
      <c r="O162" s="577">
        <f t="shared" si="41"/>
        <v>0</v>
      </c>
      <c r="P162" s="578">
        <f t="shared" si="42"/>
        <v>0</v>
      </c>
      <c r="Q162" s="765"/>
      <c r="R162" s="669"/>
      <c r="S162" s="670"/>
      <c r="T162" s="577">
        <f t="shared" si="44"/>
        <v>0</v>
      </c>
      <c r="U162" s="578">
        <f t="shared" si="45"/>
        <v>0</v>
      </c>
      <c r="V162" s="579"/>
      <c r="W162" s="637" t="str">
        <f>IF($U$141&gt;0,"xx",IF($P$141&gt;0,"xy",""))</f>
        <v/>
      </c>
      <c r="X162" s="586" t="str">
        <f t="shared" si="47"/>
        <v/>
      </c>
      <c r="Y162" s="586" t="str">
        <f t="shared" si="33"/>
        <v/>
      </c>
      <c r="Z162" s="586" t="str">
        <f t="shared" si="39"/>
        <v/>
      </c>
    </row>
    <row r="163" spans="1:26" ht="12" hidden="1" thickBot="1" x14ac:dyDescent="0.25">
      <c r="A163" s="567">
        <v>543100</v>
      </c>
      <c r="B163" s="644">
        <v>543100</v>
      </c>
      <c r="C163" s="645" t="s">
        <v>206</v>
      </c>
      <c r="D163" s="422" t="s">
        <v>1907</v>
      </c>
      <c r="E163" s="423"/>
      <c r="F163" s="418"/>
      <c r="G163" s="425"/>
      <c r="H163" s="667">
        <f>SUM(H164:H166)</f>
        <v>62.117450000000005</v>
      </c>
      <c r="I163" s="420">
        <v>72.209999999999994</v>
      </c>
      <c r="J163" s="420">
        <f>IF(ISBLANK(I163),"",SUM(H163:I163))</f>
        <v>134.32745</v>
      </c>
      <c r="K163" s="421">
        <f t="shared" si="26"/>
        <v>159.59</v>
      </c>
      <c r="L163" s="647" t="s">
        <v>16</v>
      </c>
      <c r="M163" s="576"/>
      <c r="N163" s="576">
        <f t="shared" si="35"/>
        <v>0</v>
      </c>
      <c r="O163" s="577">
        <f t="shared" si="41"/>
        <v>0</v>
      </c>
      <c r="P163" s="578">
        <f t="shared" si="42"/>
        <v>0</v>
      </c>
      <c r="Q163" s="765"/>
      <c r="R163" s="576">
        <f t="shared" si="43"/>
        <v>0</v>
      </c>
      <c r="S163" s="576">
        <f t="shared" si="43"/>
        <v>0</v>
      </c>
      <c r="T163" s="577">
        <f t="shared" si="44"/>
        <v>0</v>
      </c>
      <c r="U163" s="578">
        <f t="shared" si="45"/>
        <v>0</v>
      </c>
      <c r="V163" s="579"/>
      <c r="W163" s="566"/>
      <c r="X163" s="586" t="str">
        <f t="shared" si="47"/>
        <v/>
      </c>
      <c r="Y163" s="586" t="str">
        <f t="shared" si="33"/>
        <v/>
      </c>
      <c r="Z163" s="586" t="str">
        <f t="shared" si="39"/>
        <v/>
      </c>
    </row>
    <row r="164" spans="1:26" ht="12" hidden="1" thickBot="1" x14ac:dyDescent="0.25">
      <c r="A164" s="567" t="s">
        <v>168</v>
      </c>
      <c r="B164" s="644" t="s">
        <v>168</v>
      </c>
      <c r="C164" s="645"/>
      <c r="D164" s="451" t="s">
        <v>212</v>
      </c>
      <c r="E164" s="423"/>
      <c r="F164" s="424">
        <v>500</v>
      </c>
      <c r="G164" s="425">
        <v>5.5E-2</v>
      </c>
      <c r="H164" s="649">
        <f>IF(F164&lt;=30,(0.78*F164+7.82)*G164,((0.78*30+7.82)+0.78*(F164-30))*G164)</f>
        <v>21.880100000000002</v>
      </c>
      <c r="I164" s="420"/>
      <c r="J164" s="420"/>
      <c r="K164" s="421">
        <f t="shared" si="26"/>
        <v>0</v>
      </c>
      <c r="L164" s="647" t="s">
        <v>614</v>
      </c>
      <c r="M164" s="669"/>
      <c r="N164" s="576">
        <f t="shared" si="35"/>
        <v>0</v>
      </c>
      <c r="O164" s="577">
        <f t="shared" si="41"/>
        <v>0</v>
      </c>
      <c r="P164" s="578">
        <f t="shared" si="42"/>
        <v>0</v>
      </c>
      <c r="Q164" s="765"/>
      <c r="R164" s="669"/>
      <c r="S164" s="670"/>
      <c r="T164" s="577">
        <f t="shared" si="44"/>
        <v>0</v>
      </c>
      <c r="U164" s="578">
        <f t="shared" si="45"/>
        <v>0</v>
      </c>
      <c r="V164" s="579"/>
      <c r="W164" s="637" t="str">
        <f>IF(U163&gt;0,"xx",IF(P163&gt;0,"xy",""))</f>
        <v/>
      </c>
      <c r="X164" s="586" t="str">
        <f t="shared" si="47"/>
        <v/>
      </c>
      <c r="Y164" s="586" t="str">
        <f t="shared" si="33"/>
        <v/>
      </c>
      <c r="Z164" s="586" t="str">
        <f t="shared" si="39"/>
        <v/>
      </c>
    </row>
    <row r="165" spans="1:26" ht="12" hidden="1" thickBot="1" x14ac:dyDescent="0.25">
      <c r="A165" s="567" t="s">
        <v>168</v>
      </c>
      <c r="B165" s="644" t="s">
        <v>168</v>
      </c>
      <c r="C165" s="645"/>
      <c r="D165" s="451" t="s">
        <v>213</v>
      </c>
      <c r="E165" s="423"/>
      <c r="F165" s="418">
        <v>10</v>
      </c>
      <c r="G165" s="425">
        <v>1.9</v>
      </c>
      <c r="H165" s="649">
        <f t="shared" ref="H165:H166" si="48">IF(F165&lt;=30,(1.07*F165+2.68)*G165,((1.07*30+2.68)+1.07*(F165-30))*G165)</f>
        <v>25.422000000000001</v>
      </c>
      <c r="I165" s="420"/>
      <c r="J165" s="420"/>
      <c r="K165" s="421">
        <f t="shared" si="26"/>
        <v>0</v>
      </c>
      <c r="L165" s="647" t="s">
        <v>614</v>
      </c>
      <c r="M165" s="669"/>
      <c r="N165" s="576">
        <f t="shared" si="35"/>
        <v>0</v>
      </c>
      <c r="O165" s="577">
        <f t="shared" si="41"/>
        <v>0</v>
      </c>
      <c r="P165" s="578">
        <f t="shared" si="42"/>
        <v>0</v>
      </c>
      <c r="Q165" s="765"/>
      <c r="R165" s="669"/>
      <c r="S165" s="670"/>
      <c r="T165" s="577">
        <f t="shared" si="44"/>
        <v>0</v>
      </c>
      <c r="U165" s="578">
        <f t="shared" si="45"/>
        <v>0</v>
      </c>
      <c r="V165" s="579"/>
      <c r="W165" s="637" t="str">
        <f>IF(U163&gt;0,"xx",IF(P163&gt;0,"xy",""))</f>
        <v/>
      </c>
      <c r="X165" s="586" t="str">
        <f t="shared" si="47"/>
        <v/>
      </c>
      <c r="Y165" s="586" t="str">
        <f t="shared" si="33"/>
        <v/>
      </c>
      <c r="Z165" s="586" t="str">
        <f t="shared" si="39"/>
        <v/>
      </c>
    </row>
    <row r="166" spans="1:26" ht="12" hidden="1" thickBot="1" x14ac:dyDescent="0.25">
      <c r="A166" s="567" t="s">
        <v>168</v>
      </c>
      <c r="B166" s="644" t="s">
        <v>168</v>
      </c>
      <c r="C166" s="645"/>
      <c r="D166" s="451" t="s">
        <v>214</v>
      </c>
      <c r="E166" s="423"/>
      <c r="F166" s="418">
        <v>5</v>
      </c>
      <c r="G166" s="425">
        <v>1.845</v>
      </c>
      <c r="H166" s="649">
        <f t="shared" si="48"/>
        <v>14.815350000000002</v>
      </c>
      <c r="I166" s="420"/>
      <c r="J166" s="420"/>
      <c r="K166" s="421">
        <f t="shared" si="26"/>
        <v>0</v>
      </c>
      <c r="L166" s="647" t="s">
        <v>614</v>
      </c>
      <c r="M166" s="669"/>
      <c r="N166" s="576">
        <f t="shared" si="35"/>
        <v>0</v>
      </c>
      <c r="O166" s="577">
        <f t="shared" si="41"/>
        <v>0</v>
      </c>
      <c r="P166" s="578">
        <f t="shared" si="42"/>
        <v>0</v>
      </c>
      <c r="Q166" s="765"/>
      <c r="R166" s="669"/>
      <c r="S166" s="670"/>
      <c r="T166" s="577">
        <f t="shared" si="44"/>
        <v>0</v>
      </c>
      <c r="U166" s="578">
        <f t="shared" si="45"/>
        <v>0</v>
      </c>
      <c r="V166" s="579"/>
      <c r="W166" s="637" t="str">
        <f>IF($U$141&gt;0,"xx",IF($P$141&gt;0,"xy",""))</f>
        <v/>
      </c>
      <c r="X166" s="586" t="str">
        <f t="shared" si="47"/>
        <v/>
      </c>
      <c r="Y166" s="586" t="str">
        <f t="shared" si="33"/>
        <v/>
      </c>
      <c r="Z166" s="586" t="str">
        <f t="shared" si="39"/>
        <v/>
      </c>
    </row>
    <row r="167" spans="1:26" ht="12" hidden="1" thickBot="1" x14ac:dyDescent="0.25">
      <c r="A167" s="567">
        <v>544100</v>
      </c>
      <c r="B167" s="644">
        <v>544100</v>
      </c>
      <c r="C167" s="645" t="s">
        <v>206</v>
      </c>
      <c r="D167" s="422" t="s">
        <v>1908</v>
      </c>
      <c r="E167" s="423"/>
      <c r="F167" s="418"/>
      <c r="G167" s="425"/>
      <c r="H167" s="667">
        <f>SUM(H168:H170)</f>
        <v>67.283590000000004</v>
      </c>
      <c r="I167" s="420">
        <v>74.149999999999991</v>
      </c>
      <c r="J167" s="420">
        <f>IF(ISBLANK(I167),"",SUM(H167:I167))</f>
        <v>141.43358999999998</v>
      </c>
      <c r="K167" s="421">
        <f t="shared" si="26"/>
        <v>168.04</v>
      </c>
      <c r="L167" s="647" t="s">
        <v>16</v>
      </c>
      <c r="M167" s="576"/>
      <c r="N167" s="576">
        <f t="shared" si="35"/>
        <v>0</v>
      </c>
      <c r="O167" s="577">
        <f t="shared" si="41"/>
        <v>0</v>
      </c>
      <c r="P167" s="578">
        <f t="shared" si="42"/>
        <v>0</v>
      </c>
      <c r="Q167" s="765"/>
      <c r="R167" s="576">
        <f t="shared" si="43"/>
        <v>0</v>
      </c>
      <c r="S167" s="576">
        <f t="shared" si="43"/>
        <v>0</v>
      </c>
      <c r="T167" s="577">
        <f t="shared" si="44"/>
        <v>0</v>
      </c>
      <c r="U167" s="578">
        <f t="shared" si="45"/>
        <v>0</v>
      </c>
      <c r="V167" s="579"/>
      <c r="W167" s="566"/>
      <c r="X167" s="586" t="str">
        <f t="shared" si="47"/>
        <v/>
      </c>
      <c r="Y167" s="586" t="str">
        <f t="shared" si="33"/>
        <v/>
      </c>
      <c r="Z167" s="586" t="str">
        <f t="shared" si="39"/>
        <v/>
      </c>
    </row>
    <row r="168" spans="1:26" ht="12" hidden="1" thickBot="1" x14ac:dyDescent="0.25">
      <c r="A168" s="567" t="s">
        <v>168</v>
      </c>
      <c r="B168" s="644" t="s">
        <v>168</v>
      </c>
      <c r="C168" s="645"/>
      <c r="D168" s="451" t="s">
        <v>212</v>
      </c>
      <c r="E168" s="423"/>
      <c r="F168" s="424">
        <v>500</v>
      </c>
      <c r="G168" s="425">
        <v>7.0999999999999994E-2</v>
      </c>
      <c r="H168" s="649">
        <f>IF(F168&lt;=30,(0.78*F168+7.82)*G168,((0.78*30+7.82)+0.78*(F168-30))*G168)</f>
        <v>28.24522</v>
      </c>
      <c r="I168" s="420"/>
      <c r="J168" s="420"/>
      <c r="K168" s="421">
        <f t="shared" si="26"/>
        <v>0</v>
      </c>
      <c r="L168" s="647" t="s">
        <v>614</v>
      </c>
      <c r="M168" s="669"/>
      <c r="N168" s="576">
        <f t="shared" si="35"/>
        <v>0</v>
      </c>
      <c r="O168" s="577">
        <f t="shared" si="41"/>
        <v>0</v>
      </c>
      <c r="P168" s="578">
        <f t="shared" si="42"/>
        <v>0</v>
      </c>
      <c r="Q168" s="765"/>
      <c r="R168" s="669"/>
      <c r="S168" s="670"/>
      <c r="T168" s="577">
        <f t="shared" si="44"/>
        <v>0</v>
      </c>
      <c r="U168" s="578">
        <f t="shared" si="45"/>
        <v>0</v>
      </c>
      <c r="V168" s="579"/>
      <c r="W168" s="637" t="str">
        <f>IF(U167&gt;0,"xx",IF(P167&gt;0,"xy",""))</f>
        <v/>
      </c>
      <c r="X168" s="586" t="str">
        <f t="shared" si="47"/>
        <v/>
      </c>
      <c r="Y168" s="586" t="str">
        <f t="shared" si="33"/>
        <v/>
      </c>
      <c r="Z168" s="586" t="str">
        <f t="shared" si="39"/>
        <v/>
      </c>
    </row>
    <row r="169" spans="1:26" ht="12" hidden="1" thickBot="1" x14ac:dyDescent="0.25">
      <c r="A169" s="567" t="s">
        <v>168</v>
      </c>
      <c r="B169" s="644" t="s">
        <v>168</v>
      </c>
      <c r="C169" s="645"/>
      <c r="D169" s="451" t="s">
        <v>213</v>
      </c>
      <c r="E169" s="423"/>
      <c r="F169" s="418">
        <v>10</v>
      </c>
      <c r="G169" s="425">
        <v>1.85</v>
      </c>
      <c r="H169" s="649">
        <f t="shared" ref="H169:H170" si="49">IF(F169&lt;=30,(1.07*F169+2.68)*G169,((1.07*30+2.68)+1.07*(F169-30))*G169)</f>
        <v>24.753000000000004</v>
      </c>
      <c r="I169" s="420"/>
      <c r="J169" s="420"/>
      <c r="K169" s="421">
        <f t="shared" si="26"/>
        <v>0</v>
      </c>
      <c r="L169" s="647" t="s">
        <v>614</v>
      </c>
      <c r="M169" s="669"/>
      <c r="N169" s="576">
        <f t="shared" si="35"/>
        <v>0</v>
      </c>
      <c r="O169" s="577">
        <f t="shared" si="41"/>
        <v>0</v>
      </c>
      <c r="P169" s="578">
        <f t="shared" si="42"/>
        <v>0</v>
      </c>
      <c r="Q169" s="765"/>
      <c r="R169" s="669"/>
      <c r="S169" s="670"/>
      <c r="T169" s="577">
        <f t="shared" si="44"/>
        <v>0</v>
      </c>
      <c r="U169" s="578">
        <f t="shared" si="45"/>
        <v>0</v>
      </c>
      <c r="V169" s="579"/>
      <c r="W169" s="637" t="str">
        <f>IF(U167&gt;0,"xx",IF(P167&gt;0,"xy",""))</f>
        <v/>
      </c>
      <c r="X169" s="586" t="str">
        <f t="shared" si="47"/>
        <v/>
      </c>
      <c r="Y169" s="586" t="str">
        <f t="shared" si="33"/>
        <v/>
      </c>
      <c r="Z169" s="586" t="str">
        <f t="shared" si="39"/>
        <v/>
      </c>
    </row>
    <row r="170" spans="1:26" ht="12" hidden="1" thickBot="1" x14ac:dyDescent="0.25">
      <c r="A170" s="567" t="s">
        <v>168</v>
      </c>
      <c r="B170" s="644" t="s">
        <v>168</v>
      </c>
      <c r="C170" s="645"/>
      <c r="D170" s="451" t="s">
        <v>214</v>
      </c>
      <c r="E170" s="423"/>
      <c r="F170" s="418">
        <v>5</v>
      </c>
      <c r="G170" s="425">
        <v>1.7789999999999999</v>
      </c>
      <c r="H170" s="649">
        <f t="shared" si="49"/>
        <v>14.285370000000002</v>
      </c>
      <c r="I170" s="420"/>
      <c r="J170" s="420"/>
      <c r="K170" s="421">
        <f t="shared" si="26"/>
        <v>0</v>
      </c>
      <c r="L170" s="647" t="s">
        <v>614</v>
      </c>
      <c r="M170" s="669"/>
      <c r="N170" s="576">
        <f t="shared" si="35"/>
        <v>0</v>
      </c>
      <c r="O170" s="577">
        <f t="shared" si="41"/>
        <v>0</v>
      </c>
      <c r="P170" s="578">
        <f t="shared" si="42"/>
        <v>0</v>
      </c>
      <c r="Q170" s="765"/>
      <c r="R170" s="669"/>
      <c r="S170" s="670"/>
      <c r="T170" s="577">
        <f t="shared" si="44"/>
        <v>0</v>
      </c>
      <c r="U170" s="578">
        <f t="shared" si="45"/>
        <v>0</v>
      </c>
      <c r="V170" s="579"/>
      <c r="W170" s="637" t="str">
        <f>IF($U$141&gt;0,"xx",IF($P$141&gt;0,"xy",""))</f>
        <v/>
      </c>
      <c r="X170" s="586" t="str">
        <f t="shared" si="47"/>
        <v/>
      </c>
      <c r="Y170" s="586" t="str">
        <f t="shared" si="33"/>
        <v/>
      </c>
      <c r="Z170" s="586" t="str">
        <f t="shared" si="39"/>
        <v/>
      </c>
    </row>
    <row r="171" spans="1:26" ht="12" hidden="1" thickBot="1" x14ac:dyDescent="0.25">
      <c r="A171" s="567">
        <v>545100</v>
      </c>
      <c r="B171" s="644">
        <v>545100</v>
      </c>
      <c r="C171" s="645" t="s">
        <v>206</v>
      </c>
      <c r="D171" s="422" t="s">
        <v>1909</v>
      </c>
      <c r="E171" s="423"/>
      <c r="F171" s="418"/>
      <c r="G171" s="425"/>
      <c r="H171" s="667">
        <f>SUM(H172:H174)</f>
        <v>73.910020000000003</v>
      </c>
      <c r="I171" s="420">
        <v>83.97999999999999</v>
      </c>
      <c r="J171" s="420">
        <f>IF(ISBLANK(I171),"",SUM(H171:I171))</f>
        <v>157.89001999999999</v>
      </c>
      <c r="K171" s="421">
        <f t="shared" si="26"/>
        <v>187.59</v>
      </c>
      <c r="L171" s="647" t="s">
        <v>16</v>
      </c>
      <c r="M171" s="576"/>
      <c r="N171" s="576">
        <f t="shared" si="35"/>
        <v>0</v>
      </c>
      <c r="O171" s="577">
        <f t="shared" si="41"/>
        <v>0</v>
      </c>
      <c r="P171" s="578">
        <f t="shared" si="42"/>
        <v>0</v>
      </c>
      <c r="Q171" s="765"/>
      <c r="R171" s="576">
        <f t="shared" si="43"/>
        <v>0</v>
      </c>
      <c r="S171" s="576">
        <f t="shared" si="43"/>
        <v>0</v>
      </c>
      <c r="T171" s="577">
        <f t="shared" si="44"/>
        <v>0</v>
      </c>
      <c r="U171" s="578">
        <f t="shared" si="45"/>
        <v>0</v>
      </c>
      <c r="V171" s="579"/>
      <c r="W171" s="566"/>
      <c r="X171" s="586" t="str">
        <f t="shared" si="47"/>
        <v/>
      </c>
      <c r="Y171" s="586" t="str">
        <f t="shared" si="33"/>
        <v/>
      </c>
      <c r="Z171" s="586" t="str">
        <f t="shared" si="39"/>
        <v/>
      </c>
    </row>
    <row r="172" spans="1:26" ht="12" hidden="1" thickBot="1" x14ac:dyDescent="0.25">
      <c r="A172" s="567" t="s">
        <v>168</v>
      </c>
      <c r="B172" s="644" t="s">
        <v>168</v>
      </c>
      <c r="C172" s="645"/>
      <c r="D172" s="451" t="s">
        <v>212</v>
      </c>
      <c r="E172" s="423"/>
      <c r="F172" s="424">
        <v>500</v>
      </c>
      <c r="G172" s="425">
        <v>8.7999999999999995E-2</v>
      </c>
      <c r="H172" s="649">
        <f>IF(F172&lt;=30,(0.78*F172+7.82)*G172,((0.78*30+7.82)+0.78*(F172-30))*G172)</f>
        <v>35.008160000000004</v>
      </c>
      <c r="I172" s="420">
        <v>0</v>
      </c>
      <c r="J172" s="420"/>
      <c r="K172" s="421">
        <f t="shared" si="26"/>
        <v>0</v>
      </c>
      <c r="L172" s="647" t="s">
        <v>614</v>
      </c>
      <c r="M172" s="669"/>
      <c r="N172" s="576">
        <f t="shared" si="35"/>
        <v>0</v>
      </c>
      <c r="O172" s="577">
        <f t="shared" si="41"/>
        <v>0</v>
      </c>
      <c r="P172" s="578">
        <f t="shared" si="42"/>
        <v>0</v>
      </c>
      <c r="Q172" s="765"/>
      <c r="R172" s="669"/>
      <c r="S172" s="670"/>
      <c r="T172" s="577">
        <f t="shared" si="44"/>
        <v>0</v>
      </c>
      <c r="U172" s="578">
        <f t="shared" si="45"/>
        <v>0</v>
      </c>
      <c r="V172" s="579"/>
      <c r="W172" s="637" t="str">
        <f>IF(U171&gt;0,"xx",IF(P171&gt;0,"xy",""))</f>
        <v/>
      </c>
      <c r="X172" s="586" t="str">
        <f t="shared" si="47"/>
        <v/>
      </c>
      <c r="Y172" s="586" t="str">
        <f t="shared" si="33"/>
        <v/>
      </c>
      <c r="Z172" s="586" t="str">
        <f t="shared" si="39"/>
        <v/>
      </c>
    </row>
    <row r="173" spans="1:26" ht="12" hidden="1" thickBot="1" x14ac:dyDescent="0.25">
      <c r="A173" s="567" t="s">
        <v>168</v>
      </c>
      <c r="B173" s="644" t="s">
        <v>168</v>
      </c>
      <c r="C173" s="645"/>
      <c r="D173" s="451" t="s">
        <v>213</v>
      </c>
      <c r="E173" s="423"/>
      <c r="F173" s="418">
        <v>10</v>
      </c>
      <c r="G173" s="425">
        <v>1.85</v>
      </c>
      <c r="H173" s="649">
        <f t="shared" ref="H173:H174" si="50">IF(F173&lt;=30,(1.07*F173+2.68)*G173,((1.07*30+2.68)+1.07*(F173-30))*G173)</f>
        <v>24.753000000000004</v>
      </c>
      <c r="I173" s="420">
        <v>0</v>
      </c>
      <c r="J173" s="420"/>
      <c r="K173" s="421">
        <f t="shared" si="26"/>
        <v>0</v>
      </c>
      <c r="L173" s="647" t="s">
        <v>614</v>
      </c>
      <c r="M173" s="669"/>
      <c r="N173" s="576">
        <f t="shared" si="35"/>
        <v>0</v>
      </c>
      <c r="O173" s="577">
        <f t="shared" si="41"/>
        <v>0</v>
      </c>
      <c r="P173" s="578">
        <f t="shared" si="42"/>
        <v>0</v>
      </c>
      <c r="Q173" s="765"/>
      <c r="R173" s="669"/>
      <c r="S173" s="670"/>
      <c r="T173" s="577">
        <f t="shared" si="44"/>
        <v>0</v>
      </c>
      <c r="U173" s="578">
        <f t="shared" si="45"/>
        <v>0</v>
      </c>
      <c r="V173" s="579"/>
      <c r="W173" s="637" t="str">
        <f>IF(U171&gt;0,"xx",IF(P171&gt;0,"xy",""))</f>
        <v/>
      </c>
      <c r="X173" s="586" t="str">
        <f t="shared" si="47"/>
        <v/>
      </c>
      <c r="Y173" s="586" t="str">
        <f t="shared" si="33"/>
        <v/>
      </c>
      <c r="Z173" s="586" t="str">
        <f t="shared" si="39"/>
        <v/>
      </c>
    </row>
    <row r="174" spans="1:26" ht="12" hidden="1" thickBot="1" x14ac:dyDescent="0.25">
      <c r="A174" s="567" t="s">
        <v>168</v>
      </c>
      <c r="B174" s="644" t="s">
        <v>168</v>
      </c>
      <c r="C174" s="645"/>
      <c r="D174" s="451" t="s">
        <v>214</v>
      </c>
      <c r="E174" s="423"/>
      <c r="F174" s="418">
        <v>5</v>
      </c>
      <c r="G174" s="425">
        <v>1.762</v>
      </c>
      <c r="H174" s="649">
        <f t="shared" si="50"/>
        <v>14.148860000000003</v>
      </c>
      <c r="I174" s="420">
        <v>0</v>
      </c>
      <c r="J174" s="420"/>
      <c r="K174" s="421">
        <f t="shared" si="26"/>
        <v>0</v>
      </c>
      <c r="L174" s="647" t="s">
        <v>614</v>
      </c>
      <c r="M174" s="669"/>
      <c r="N174" s="576">
        <f t="shared" si="35"/>
        <v>0</v>
      </c>
      <c r="O174" s="577">
        <f t="shared" si="41"/>
        <v>0</v>
      </c>
      <c r="P174" s="578">
        <f t="shared" si="42"/>
        <v>0</v>
      </c>
      <c r="Q174" s="765"/>
      <c r="R174" s="669"/>
      <c r="S174" s="670"/>
      <c r="T174" s="577">
        <f t="shared" si="44"/>
        <v>0</v>
      </c>
      <c r="U174" s="578">
        <f t="shared" si="45"/>
        <v>0</v>
      </c>
      <c r="V174" s="579"/>
      <c r="W174" s="637" t="str">
        <f>IF($U$141&gt;0,"xx",IF($P$141&gt;0,"xy",""))</f>
        <v/>
      </c>
      <c r="X174" s="586" t="str">
        <f t="shared" si="47"/>
        <v/>
      </c>
      <c r="Y174" s="586" t="str">
        <f t="shared" si="33"/>
        <v/>
      </c>
      <c r="Z174" s="586" t="str">
        <f t="shared" si="39"/>
        <v/>
      </c>
    </row>
    <row r="175" spans="1:26" ht="12" hidden="1" thickBot="1" x14ac:dyDescent="0.25">
      <c r="A175" s="567">
        <v>546100</v>
      </c>
      <c r="B175" s="644">
        <v>546100</v>
      </c>
      <c r="C175" s="645" t="s">
        <v>206</v>
      </c>
      <c r="D175" s="422" t="s">
        <v>1910</v>
      </c>
      <c r="E175" s="423"/>
      <c r="F175" s="418"/>
      <c r="G175" s="425"/>
      <c r="H175" s="667">
        <f>SUM(H176:H178)</f>
        <v>80.536450000000002</v>
      </c>
      <c r="I175" s="420">
        <v>93.79</v>
      </c>
      <c r="J175" s="420">
        <f>IF(ISBLANK(I175),"",SUM(H175:I175))</f>
        <v>174.32645000000002</v>
      </c>
      <c r="K175" s="421">
        <f t="shared" si="26"/>
        <v>207.12</v>
      </c>
      <c r="L175" s="647" t="s">
        <v>16</v>
      </c>
      <c r="M175" s="576"/>
      <c r="N175" s="576">
        <f t="shared" si="35"/>
        <v>0</v>
      </c>
      <c r="O175" s="577">
        <f t="shared" si="41"/>
        <v>0</v>
      </c>
      <c r="P175" s="578">
        <f t="shared" si="42"/>
        <v>0</v>
      </c>
      <c r="Q175" s="765"/>
      <c r="R175" s="576">
        <f t="shared" si="43"/>
        <v>0</v>
      </c>
      <c r="S175" s="576">
        <f t="shared" si="43"/>
        <v>0</v>
      </c>
      <c r="T175" s="577">
        <f t="shared" si="44"/>
        <v>0</v>
      </c>
      <c r="U175" s="578">
        <f t="shared" si="45"/>
        <v>0</v>
      </c>
      <c r="V175" s="579"/>
      <c r="W175" s="566"/>
      <c r="X175" s="586" t="str">
        <f t="shared" si="47"/>
        <v/>
      </c>
      <c r="Y175" s="586" t="str">
        <f t="shared" si="33"/>
        <v/>
      </c>
      <c r="Z175" s="586" t="str">
        <f t="shared" si="39"/>
        <v/>
      </c>
    </row>
    <row r="176" spans="1:26" ht="12" hidden="1" thickBot="1" x14ac:dyDescent="0.25">
      <c r="A176" s="567" t="s">
        <v>168</v>
      </c>
      <c r="B176" s="644" t="s">
        <v>168</v>
      </c>
      <c r="C176" s="645"/>
      <c r="D176" s="451" t="s">
        <v>212</v>
      </c>
      <c r="E176" s="423"/>
      <c r="F176" s="424">
        <v>500</v>
      </c>
      <c r="G176" s="425">
        <v>0.105</v>
      </c>
      <c r="H176" s="649">
        <f>IF(F176&lt;=30,(0.78*F176+7.82)*G176,((0.78*30+7.82)+0.78*(F176-30))*G176)</f>
        <v>41.771100000000004</v>
      </c>
      <c r="I176" s="420">
        <v>0</v>
      </c>
      <c r="J176" s="420"/>
      <c r="K176" s="421">
        <f t="shared" si="26"/>
        <v>0</v>
      </c>
      <c r="L176" s="647" t="s">
        <v>614</v>
      </c>
      <c r="M176" s="669"/>
      <c r="N176" s="576">
        <f t="shared" si="35"/>
        <v>0</v>
      </c>
      <c r="O176" s="577">
        <f t="shared" si="41"/>
        <v>0</v>
      </c>
      <c r="P176" s="578">
        <f t="shared" si="42"/>
        <v>0</v>
      </c>
      <c r="Q176" s="765"/>
      <c r="R176" s="669"/>
      <c r="S176" s="670"/>
      <c r="T176" s="577">
        <f t="shared" si="44"/>
        <v>0</v>
      </c>
      <c r="U176" s="578">
        <f t="shared" si="45"/>
        <v>0</v>
      </c>
      <c r="V176" s="579"/>
      <c r="W176" s="637" t="str">
        <f>IF(U175&gt;0,"xx",IF(P175&gt;0,"xy",""))</f>
        <v/>
      </c>
      <c r="X176" s="586" t="str">
        <f t="shared" si="47"/>
        <v/>
      </c>
      <c r="Y176" s="586" t="str">
        <f t="shared" si="33"/>
        <v/>
      </c>
      <c r="Z176" s="586" t="str">
        <f t="shared" si="39"/>
        <v/>
      </c>
    </row>
    <row r="177" spans="1:26" ht="12" hidden="1" thickBot="1" x14ac:dyDescent="0.25">
      <c r="A177" s="567" t="s">
        <v>168</v>
      </c>
      <c r="B177" s="644" t="s">
        <v>168</v>
      </c>
      <c r="C177" s="645"/>
      <c r="D177" s="451" t="s">
        <v>213</v>
      </c>
      <c r="E177" s="423"/>
      <c r="F177" s="418">
        <v>10</v>
      </c>
      <c r="G177" s="425">
        <v>1.85</v>
      </c>
      <c r="H177" s="649">
        <f t="shared" ref="H177:H178" si="51">IF(F177&lt;=30,(1.07*F177+2.68)*G177,((1.07*30+2.68)+1.07*(F177-30))*G177)</f>
        <v>24.753000000000004</v>
      </c>
      <c r="I177" s="420">
        <v>0</v>
      </c>
      <c r="J177" s="420"/>
      <c r="K177" s="421">
        <f t="shared" si="26"/>
        <v>0</v>
      </c>
      <c r="L177" s="647" t="s">
        <v>614</v>
      </c>
      <c r="M177" s="669"/>
      <c r="N177" s="576">
        <f t="shared" si="35"/>
        <v>0</v>
      </c>
      <c r="O177" s="577">
        <f t="shared" si="41"/>
        <v>0</v>
      </c>
      <c r="P177" s="578">
        <f t="shared" si="42"/>
        <v>0</v>
      </c>
      <c r="Q177" s="765"/>
      <c r="R177" s="669"/>
      <c r="S177" s="670"/>
      <c r="T177" s="577">
        <f t="shared" si="44"/>
        <v>0</v>
      </c>
      <c r="U177" s="578">
        <f t="shared" si="45"/>
        <v>0</v>
      </c>
      <c r="V177" s="579"/>
      <c r="W177" s="637" t="str">
        <f>IF(U175&gt;0,"xx",IF(P175&gt;0,"xy",""))</f>
        <v/>
      </c>
      <c r="X177" s="586" t="str">
        <f t="shared" si="47"/>
        <v/>
      </c>
      <c r="Y177" s="586" t="str">
        <f t="shared" si="33"/>
        <v/>
      </c>
      <c r="Z177" s="586" t="str">
        <f t="shared" si="39"/>
        <v/>
      </c>
    </row>
    <row r="178" spans="1:26" ht="12" hidden="1" thickBot="1" x14ac:dyDescent="0.25">
      <c r="A178" s="567" t="s">
        <v>168</v>
      </c>
      <c r="B178" s="644" t="s">
        <v>168</v>
      </c>
      <c r="C178" s="645"/>
      <c r="D178" s="451" t="s">
        <v>214</v>
      </c>
      <c r="E178" s="423"/>
      <c r="F178" s="418">
        <v>5</v>
      </c>
      <c r="G178" s="425">
        <v>1.7450000000000001</v>
      </c>
      <c r="H178" s="649">
        <f t="shared" si="51"/>
        <v>14.012350000000003</v>
      </c>
      <c r="I178" s="420">
        <v>0</v>
      </c>
      <c r="J178" s="420"/>
      <c r="K178" s="421">
        <f t="shared" si="26"/>
        <v>0</v>
      </c>
      <c r="L178" s="647" t="s">
        <v>614</v>
      </c>
      <c r="M178" s="669"/>
      <c r="N178" s="576">
        <f t="shared" si="35"/>
        <v>0</v>
      </c>
      <c r="O178" s="577">
        <f t="shared" si="41"/>
        <v>0</v>
      </c>
      <c r="P178" s="578">
        <f t="shared" si="42"/>
        <v>0</v>
      </c>
      <c r="Q178" s="765"/>
      <c r="R178" s="669"/>
      <c r="S178" s="670"/>
      <c r="T178" s="577">
        <f t="shared" si="44"/>
        <v>0</v>
      </c>
      <c r="U178" s="578">
        <f t="shared" si="45"/>
        <v>0</v>
      </c>
      <c r="V178" s="579"/>
      <c r="W178" s="637" t="str">
        <f>IF($U$141&gt;0,"xx",IF($P$141&gt;0,"xy",""))</f>
        <v/>
      </c>
      <c r="X178" s="586" t="str">
        <f t="shared" si="47"/>
        <v/>
      </c>
      <c r="Y178" s="586" t="str">
        <f t="shared" si="33"/>
        <v/>
      </c>
      <c r="Z178" s="586" t="str">
        <f t="shared" si="39"/>
        <v/>
      </c>
    </row>
    <row r="179" spans="1:26" ht="12" hidden="1" thickBot="1" x14ac:dyDescent="0.25">
      <c r="A179" s="567">
        <v>547100</v>
      </c>
      <c r="B179" s="644">
        <v>547100</v>
      </c>
      <c r="C179" s="645" t="s">
        <v>206</v>
      </c>
      <c r="D179" s="422" t="s">
        <v>1911</v>
      </c>
      <c r="E179" s="423"/>
      <c r="F179" s="418"/>
      <c r="G179" s="425"/>
      <c r="H179" s="667">
        <f>SUM(H180:H182)</f>
        <v>86.765060000000005</v>
      </c>
      <c r="I179" s="420">
        <v>103.03999999999999</v>
      </c>
      <c r="J179" s="420">
        <f>IF(ISBLANK(I179),"",SUM(H179:I179))</f>
        <v>189.80506</v>
      </c>
      <c r="K179" s="421">
        <f t="shared" si="26"/>
        <v>225.51</v>
      </c>
      <c r="L179" s="647" t="s">
        <v>16</v>
      </c>
      <c r="M179" s="576"/>
      <c r="N179" s="576">
        <f t="shared" si="35"/>
        <v>0</v>
      </c>
      <c r="O179" s="577">
        <f t="shared" si="41"/>
        <v>0</v>
      </c>
      <c r="P179" s="578">
        <f t="shared" si="42"/>
        <v>0</v>
      </c>
      <c r="Q179" s="765"/>
      <c r="R179" s="576">
        <f t="shared" si="43"/>
        <v>0</v>
      </c>
      <c r="S179" s="576">
        <f t="shared" si="43"/>
        <v>0</v>
      </c>
      <c r="T179" s="577">
        <f t="shared" si="44"/>
        <v>0</v>
      </c>
      <c r="U179" s="578">
        <f t="shared" si="45"/>
        <v>0</v>
      </c>
      <c r="V179" s="579"/>
      <c r="W179" s="566"/>
      <c r="X179" s="586" t="str">
        <f t="shared" si="47"/>
        <v/>
      </c>
      <c r="Y179" s="586" t="str">
        <f t="shared" si="33"/>
        <v/>
      </c>
      <c r="Z179" s="586" t="str">
        <f t="shared" si="39"/>
        <v/>
      </c>
    </row>
    <row r="180" spans="1:26" ht="12" hidden="1" thickBot="1" x14ac:dyDescent="0.25">
      <c r="A180" s="567" t="s">
        <v>168</v>
      </c>
      <c r="B180" s="644" t="s">
        <v>168</v>
      </c>
      <c r="C180" s="645"/>
      <c r="D180" s="451" t="s">
        <v>212</v>
      </c>
      <c r="E180" s="423"/>
      <c r="F180" s="424">
        <v>500</v>
      </c>
      <c r="G180" s="425">
        <v>0.121</v>
      </c>
      <c r="H180" s="649">
        <f>IF(F180&lt;=30,(0.78*F180+7.82)*G180,((0.78*30+7.82)+0.78*(F180-30))*G180)</f>
        <v>48.136220000000002</v>
      </c>
      <c r="I180" s="420">
        <v>0</v>
      </c>
      <c r="J180" s="420"/>
      <c r="K180" s="421">
        <f t="shared" si="26"/>
        <v>0</v>
      </c>
      <c r="L180" s="647" t="s">
        <v>614</v>
      </c>
      <c r="M180" s="669"/>
      <c r="N180" s="576">
        <f t="shared" si="35"/>
        <v>0</v>
      </c>
      <c r="O180" s="577">
        <f t="shared" si="41"/>
        <v>0</v>
      </c>
      <c r="P180" s="578">
        <f t="shared" si="42"/>
        <v>0</v>
      </c>
      <c r="Q180" s="765"/>
      <c r="R180" s="669"/>
      <c r="S180" s="670"/>
      <c r="T180" s="577">
        <f t="shared" si="44"/>
        <v>0</v>
      </c>
      <c r="U180" s="578">
        <f t="shared" si="45"/>
        <v>0</v>
      </c>
      <c r="V180" s="579"/>
      <c r="W180" s="637" t="str">
        <f>IF(U179&gt;0,"xx",IF(P179&gt;0,"xy",""))</f>
        <v/>
      </c>
      <c r="X180" s="586" t="str">
        <f t="shared" si="47"/>
        <v/>
      </c>
      <c r="Y180" s="586" t="str">
        <f t="shared" si="33"/>
        <v/>
      </c>
      <c r="Z180" s="586" t="str">
        <f t="shared" si="39"/>
        <v/>
      </c>
    </row>
    <row r="181" spans="1:26" ht="12" hidden="1" thickBot="1" x14ac:dyDescent="0.25">
      <c r="A181" s="567" t="s">
        <v>168</v>
      </c>
      <c r="B181" s="644" t="s">
        <v>168</v>
      </c>
      <c r="C181" s="645"/>
      <c r="D181" s="451" t="s">
        <v>213</v>
      </c>
      <c r="E181" s="423"/>
      <c r="F181" s="418">
        <v>10</v>
      </c>
      <c r="G181" s="425">
        <v>1.85</v>
      </c>
      <c r="H181" s="649">
        <f t="shared" ref="H181:H188" si="52">IF(F181&lt;=30,(1.07*F181+2.68)*G181,((1.07*30+2.68)+1.07*(F181-30))*G181)</f>
        <v>24.753000000000004</v>
      </c>
      <c r="I181" s="420">
        <v>0</v>
      </c>
      <c r="J181" s="420"/>
      <c r="K181" s="421">
        <f t="shared" ref="K181:K200" si="53">IF(ISBLANK(I181),0,ROUND(J181*(1+$F$10)*(1+$F$11*E181),2))</f>
        <v>0</v>
      </c>
      <c r="L181" s="647" t="s">
        <v>614</v>
      </c>
      <c r="M181" s="669"/>
      <c r="N181" s="576">
        <f t="shared" si="35"/>
        <v>0</v>
      </c>
      <c r="O181" s="577">
        <f t="shared" si="41"/>
        <v>0</v>
      </c>
      <c r="P181" s="578">
        <f t="shared" si="42"/>
        <v>0</v>
      </c>
      <c r="Q181" s="765"/>
      <c r="R181" s="669"/>
      <c r="S181" s="670"/>
      <c r="T181" s="577">
        <f t="shared" si="44"/>
        <v>0</v>
      </c>
      <c r="U181" s="578">
        <f t="shared" si="45"/>
        <v>0</v>
      </c>
      <c r="V181" s="579"/>
      <c r="W181" s="637" t="str">
        <f>IF(U179&gt;0,"xx",IF(P179&gt;0,"xy",""))</f>
        <v/>
      </c>
      <c r="X181" s="586" t="str">
        <f t="shared" si="47"/>
        <v/>
      </c>
      <c r="Y181" s="586" t="str">
        <f t="shared" si="33"/>
        <v/>
      </c>
      <c r="Z181" s="586" t="str">
        <f t="shared" si="39"/>
        <v/>
      </c>
    </row>
    <row r="182" spans="1:26" ht="12" hidden="1" thickBot="1" x14ac:dyDescent="0.25">
      <c r="A182" s="567" t="s">
        <v>168</v>
      </c>
      <c r="B182" s="644" t="s">
        <v>168</v>
      </c>
      <c r="C182" s="645"/>
      <c r="D182" s="451" t="s">
        <v>214</v>
      </c>
      <c r="E182" s="423"/>
      <c r="F182" s="418">
        <v>5</v>
      </c>
      <c r="G182" s="425">
        <v>1.728</v>
      </c>
      <c r="H182" s="649">
        <f t="shared" si="52"/>
        <v>13.875840000000002</v>
      </c>
      <c r="I182" s="420">
        <v>0</v>
      </c>
      <c r="J182" s="420"/>
      <c r="K182" s="421">
        <f t="shared" si="53"/>
        <v>0</v>
      </c>
      <c r="L182" s="647" t="s">
        <v>614</v>
      </c>
      <c r="M182" s="669"/>
      <c r="N182" s="576">
        <f t="shared" si="35"/>
        <v>0</v>
      </c>
      <c r="O182" s="577">
        <f t="shared" si="41"/>
        <v>0</v>
      </c>
      <c r="P182" s="578">
        <f t="shared" si="42"/>
        <v>0</v>
      </c>
      <c r="Q182" s="765"/>
      <c r="R182" s="669"/>
      <c r="S182" s="670"/>
      <c r="T182" s="577">
        <f t="shared" si="44"/>
        <v>0</v>
      </c>
      <c r="U182" s="578">
        <f t="shared" si="45"/>
        <v>0</v>
      </c>
      <c r="V182" s="579"/>
      <c r="W182" s="637" t="str">
        <f>IF($U$141&gt;0,"xx",IF($P$141&gt;0,"xy",""))</f>
        <v/>
      </c>
      <c r="X182" s="586" t="str">
        <f t="shared" si="47"/>
        <v/>
      </c>
      <c r="Y182" s="586" t="str">
        <f t="shared" si="33"/>
        <v/>
      </c>
      <c r="Z182" s="586" t="str">
        <f t="shared" si="39"/>
        <v/>
      </c>
    </row>
    <row r="183" spans="1:26" ht="12" hidden="1" thickBot="1" x14ac:dyDescent="0.25">
      <c r="A183" s="567">
        <v>530200</v>
      </c>
      <c r="B183" s="644" t="s">
        <v>1740</v>
      </c>
      <c r="C183" s="645" t="s">
        <v>206</v>
      </c>
      <c r="D183" s="422" t="s">
        <v>215</v>
      </c>
      <c r="E183" s="423"/>
      <c r="F183" s="418">
        <v>20</v>
      </c>
      <c r="G183" s="419">
        <v>2.2000000000000002</v>
      </c>
      <c r="H183" s="649">
        <f t="shared" si="52"/>
        <v>52.976000000000006</v>
      </c>
      <c r="I183" s="420">
        <v>94.56</v>
      </c>
      <c r="J183" s="420">
        <f>IF(ISBLANK(I183),"",SUM(H183:I183))</f>
        <v>147.536</v>
      </c>
      <c r="K183" s="421">
        <f t="shared" si="53"/>
        <v>175.29</v>
      </c>
      <c r="L183" s="647" t="s">
        <v>16</v>
      </c>
      <c r="M183" s="576"/>
      <c r="N183" s="576">
        <f t="shared" si="35"/>
        <v>0</v>
      </c>
      <c r="O183" s="577">
        <f t="shared" si="41"/>
        <v>0</v>
      </c>
      <c r="P183" s="578">
        <f t="shared" si="42"/>
        <v>0</v>
      </c>
      <c r="Q183" s="765"/>
      <c r="R183" s="576">
        <f t="shared" si="43"/>
        <v>0</v>
      </c>
      <c r="S183" s="576">
        <f t="shared" si="43"/>
        <v>0</v>
      </c>
      <c r="T183" s="577">
        <f t="shared" si="44"/>
        <v>0</v>
      </c>
      <c r="U183" s="578">
        <f t="shared" si="45"/>
        <v>0</v>
      </c>
      <c r="V183" s="579"/>
      <c r="W183" s="566"/>
      <c r="X183" s="586" t="str">
        <f t="shared" si="47"/>
        <v/>
      </c>
      <c r="Y183" s="586" t="str">
        <f t="shared" si="33"/>
        <v/>
      </c>
      <c r="Z183" s="586" t="str">
        <f t="shared" si="39"/>
        <v/>
      </c>
    </row>
    <row r="184" spans="1:26" ht="12" hidden="1" thickBot="1" x14ac:dyDescent="0.25">
      <c r="A184" s="567" t="s">
        <v>2066</v>
      </c>
      <c r="B184" s="644" t="s">
        <v>1569</v>
      </c>
      <c r="C184" s="645" t="s">
        <v>484</v>
      </c>
      <c r="D184" s="422" t="s">
        <v>633</v>
      </c>
      <c r="E184" s="423"/>
      <c r="F184" s="418">
        <v>10</v>
      </c>
      <c r="G184" s="419">
        <v>1.95</v>
      </c>
      <c r="H184" s="649">
        <f t="shared" si="52"/>
        <v>26.091000000000001</v>
      </c>
      <c r="I184" s="420">
        <v>72.11</v>
      </c>
      <c r="J184" s="420">
        <f>IF(ISBLANK(I184),"",SUM(H184:I184))</f>
        <v>98.200999999999993</v>
      </c>
      <c r="K184" s="421">
        <f t="shared" si="53"/>
        <v>116.67</v>
      </c>
      <c r="L184" s="647" t="s">
        <v>16</v>
      </c>
      <c r="M184" s="576"/>
      <c r="N184" s="576">
        <f t="shared" si="35"/>
        <v>0</v>
      </c>
      <c r="O184" s="577">
        <f t="shared" si="41"/>
        <v>0</v>
      </c>
      <c r="P184" s="578">
        <f t="shared" si="42"/>
        <v>0</v>
      </c>
      <c r="Q184" s="765"/>
      <c r="R184" s="576">
        <f t="shared" si="43"/>
        <v>0</v>
      </c>
      <c r="S184" s="576">
        <f t="shared" si="43"/>
        <v>0</v>
      </c>
      <c r="T184" s="577">
        <f t="shared" si="44"/>
        <v>0</v>
      </c>
      <c r="U184" s="578">
        <f t="shared" si="45"/>
        <v>0</v>
      </c>
      <c r="V184" s="579"/>
      <c r="W184" s="566"/>
      <c r="X184" s="586" t="str">
        <f t="shared" si="47"/>
        <v/>
      </c>
      <c r="Y184" s="586" t="str">
        <f t="shared" si="33"/>
        <v/>
      </c>
      <c r="Z184" s="586" t="str">
        <f t="shared" si="39"/>
        <v/>
      </c>
    </row>
    <row r="185" spans="1:26" ht="12" hidden="1" thickBot="1" x14ac:dyDescent="0.25">
      <c r="A185" s="567" t="s">
        <v>2067</v>
      </c>
      <c r="B185" s="644" t="s">
        <v>1570</v>
      </c>
      <c r="C185" s="645" t="s">
        <v>484</v>
      </c>
      <c r="D185" s="422" t="s">
        <v>634</v>
      </c>
      <c r="E185" s="423"/>
      <c r="F185" s="418">
        <v>11</v>
      </c>
      <c r="G185" s="419">
        <v>2.1</v>
      </c>
      <c r="H185" s="649">
        <f t="shared" si="52"/>
        <v>30.345000000000002</v>
      </c>
      <c r="I185" s="420">
        <v>88.65</v>
      </c>
      <c r="J185" s="420">
        <f>IF(ISBLANK(I185),"",SUM(H185:I185))</f>
        <v>118.995</v>
      </c>
      <c r="K185" s="421">
        <f t="shared" si="53"/>
        <v>141.38</v>
      </c>
      <c r="L185" s="647" t="s">
        <v>16</v>
      </c>
      <c r="M185" s="576"/>
      <c r="N185" s="576">
        <f t="shared" si="35"/>
        <v>0</v>
      </c>
      <c r="O185" s="577">
        <f t="shared" si="41"/>
        <v>0</v>
      </c>
      <c r="P185" s="578">
        <f t="shared" si="42"/>
        <v>0</v>
      </c>
      <c r="Q185" s="765"/>
      <c r="R185" s="576">
        <f t="shared" si="43"/>
        <v>0</v>
      </c>
      <c r="S185" s="576">
        <f t="shared" si="43"/>
        <v>0</v>
      </c>
      <c r="T185" s="577">
        <f t="shared" si="44"/>
        <v>0</v>
      </c>
      <c r="U185" s="578">
        <f t="shared" si="45"/>
        <v>0</v>
      </c>
      <c r="V185" s="579"/>
      <c r="W185" s="566"/>
      <c r="X185" s="586" t="str">
        <f t="shared" si="47"/>
        <v/>
      </c>
      <c r="Y185" s="586" t="str">
        <f t="shared" si="33"/>
        <v/>
      </c>
      <c r="Z185" s="586" t="str">
        <f t="shared" si="39"/>
        <v/>
      </c>
    </row>
    <row r="186" spans="1:26" ht="12" hidden="1" thickBot="1" x14ac:dyDescent="0.25">
      <c r="A186" s="567">
        <v>530200</v>
      </c>
      <c r="B186" s="644" t="s">
        <v>1741</v>
      </c>
      <c r="C186" s="645" t="s">
        <v>206</v>
      </c>
      <c r="D186" s="422" t="s">
        <v>483</v>
      </c>
      <c r="E186" s="423"/>
      <c r="F186" s="418">
        <v>20</v>
      </c>
      <c r="G186" s="419">
        <v>2.2000000000000002</v>
      </c>
      <c r="H186" s="649">
        <f t="shared" si="52"/>
        <v>52.976000000000006</v>
      </c>
      <c r="I186" s="420">
        <v>94.56</v>
      </c>
      <c r="J186" s="420">
        <f>IF(ISBLANK(I186),"",SUM(H186:I186))</f>
        <v>147.536</v>
      </c>
      <c r="K186" s="421">
        <f t="shared" si="53"/>
        <v>175.29</v>
      </c>
      <c r="L186" s="647" t="s">
        <v>16</v>
      </c>
      <c r="M186" s="576"/>
      <c r="N186" s="576">
        <f t="shared" si="35"/>
        <v>0</v>
      </c>
      <c r="O186" s="577">
        <f t="shared" si="41"/>
        <v>0</v>
      </c>
      <c r="P186" s="578">
        <f t="shared" si="42"/>
        <v>0</v>
      </c>
      <c r="Q186" s="765"/>
      <c r="R186" s="576">
        <f t="shared" si="43"/>
        <v>0</v>
      </c>
      <c r="S186" s="576">
        <f t="shared" si="43"/>
        <v>0</v>
      </c>
      <c r="T186" s="577">
        <f t="shared" si="44"/>
        <v>0</v>
      </c>
      <c r="U186" s="578">
        <f t="shared" si="45"/>
        <v>0</v>
      </c>
      <c r="V186" s="579"/>
      <c r="W186" s="566"/>
      <c r="X186" s="586" t="str">
        <f t="shared" si="47"/>
        <v/>
      </c>
      <c r="Y186" s="586" t="str">
        <f t="shared" si="33"/>
        <v/>
      </c>
      <c r="Z186" s="586" t="str">
        <f t="shared" si="39"/>
        <v/>
      </c>
    </row>
    <row r="187" spans="1:26" ht="12" hidden="1" thickBot="1" x14ac:dyDescent="0.25">
      <c r="A187" s="567">
        <v>516200</v>
      </c>
      <c r="B187" s="644">
        <v>516200</v>
      </c>
      <c r="C187" s="645" t="s">
        <v>206</v>
      </c>
      <c r="D187" s="422" t="s">
        <v>228</v>
      </c>
      <c r="E187" s="423"/>
      <c r="F187" s="418">
        <v>20</v>
      </c>
      <c r="G187" s="419">
        <v>1.95</v>
      </c>
      <c r="H187" s="649">
        <f t="shared" si="52"/>
        <v>46.956000000000003</v>
      </c>
      <c r="I187" s="420">
        <v>100.78</v>
      </c>
      <c r="J187" s="420">
        <f>IF(ISBLANK(I187),"",SUM(H187:I187))*0.85</f>
        <v>125.57559999999999</v>
      </c>
      <c r="K187" s="421">
        <f t="shared" si="53"/>
        <v>149.19999999999999</v>
      </c>
      <c r="L187" s="647" t="s">
        <v>16</v>
      </c>
      <c r="M187" s="576"/>
      <c r="N187" s="576">
        <f t="shared" si="35"/>
        <v>0</v>
      </c>
      <c r="O187" s="577">
        <f t="shared" si="41"/>
        <v>0</v>
      </c>
      <c r="P187" s="578">
        <f t="shared" si="42"/>
        <v>0</v>
      </c>
      <c r="Q187" s="765"/>
      <c r="R187" s="576">
        <f t="shared" si="43"/>
        <v>0</v>
      </c>
      <c r="S187" s="576">
        <f t="shared" si="43"/>
        <v>0</v>
      </c>
      <c r="T187" s="577">
        <f t="shared" si="44"/>
        <v>0</v>
      </c>
      <c r="U187" s="578">
        <f t="shared" si="45"/>
        <v>0</v>
      </c>
      <c r="V187" s="579"/>
      <c r="W187" s="566"/>
      <c r="X187" s="586" t="str">
        <f t="shared" si="47"/>
        <v/>
      </c>
      <c r="Y187" s="586" t="str">
        <f t="shared" si="33"/>
        <v/>
      </c>
      <c r="Z187" s="586" t="str">
        <f t="shared" si="39"/>
        <v/>
      </c>
    </row>
    <row r="188" spans="1:26" ht="12" hidden="1" thickBot="1" x14ac:dyDescent="0.25">
      <c r="A188" s="567">
        <v>531000</v>
      </c>
      <c r="B188" s="644" t="s">
        <v>1742</v>
      </c>
      <c r="C188" s="645" t="s">
        <v>206</v>
      </c>
      <c r="D188" s="422" t="s">
        <v>216</v>
      </c>
      <c r="E188" s="423"/>
      <c r="F188" s="418">
        <v>20</v>
      </c>
      <c r="G188" s="425">
        <v>2.4</v>
      </c>
      <c r="H188" s="649">
        <f t="shared" si="52"/>
        <v>57.792000000000002</v>
      </c>
      <c r="I188" s="420">
        <v>127.37</v>
      </c>
      <c r="J188" s="420">
        <f>IF(ISBLANK(I188),"",SUM(H188:I188))</f>
        <v>185.16200000000001</v>
      </c>
      <c r="K188" s="421">
        <f t="shared" si="53"/>
        <v>219.99</v>
      </c>
      <c r="L188" s="647" t="s">
        <v>16</v>
      </c>
      <c r="M188" s="576"/>
      <c r="N188" s="576">
        <f t="shared" si="35"/>
        <v>0</v>
      </c>
      <c r="O188" s="577">
        <f t="shared" si="41"/>
        <v>0</v>
      </c>
      <c r="P188" s="578">
        <f t="shared" si="42"/>
        <v>0</v>
      </c>
      <c r="Q188" s="765"/>
      <c r="R188" s="576">
        <f t="shared" si="43"/>
        <v>0</v>
      </c>
      <c r="S188" s="576">
        <f t="shared" si="43"/>
        <v>0</v>
      </c>
      <c r="T188" s="577">
        <f t="shared" si="44"/>
        <v>0</v>
      </c>
      <c r="U188" s="578">
        <f t="shared" si="45"/>
        <v>0</v>
      </c>
      <c r="V188" s="579"/>
      <c r="W188" s="566"/>
      <c r="X188" s="586" t="str">
        <f t="shared" si="47"/>
        <v/>
      </c>
      <c r="Y188" s="586" t="str">
        <f t="shared" si="33"/>
        <v/>
      </c>
      <c r="Z188" s="586" t="str">
        <f t="shared" si="39"/>
        <v/>
      </c>
    </row>
    <row r="189" spans="1:26" ht="12" hidden="1" thickBot="1" x14ac:dyDescent="0.25">
      <c r="A189" s="567">
        <v>531120</v>
      </c>
      <c r="B189" s="644">
        <v>531120</v>
      </c>
      <c r="C189" s="645" t="s">
        <v>206</v>
      </c>
      <c r="D189" s="422" t="s">
        <v>222</v>
      </c>
      <c r="E189" s="423"/>
      <c r="F189" s="418"/>
      <c r="G189" s="425"/>
      <c r="H189" s="667">
        <f>SUM(H190:H192)</f>
        <v>102.41472000000002</v>
      </c>
      <c r="I189" s="420">
        <v>183.97</v>
      </c>
      <c r="J189" s="420">
        <f>IF(ISBLANK(I189),"",SUM(H189:I189))*0.9</f>
        <v>257.74624800000004</v>
      </c>
      <c r="K189" s="421">
        <f t="shared" si="53"/>
        <v>306.23</v>
      </c>
      <c r="L189" s="647" t="s">
        <v>16</v>
      </c>
      <c r="M189" s="576"/>
      <c r="N189" s="576">
        <f t="shared" si="35"/>
        <v>0</v>
      </c>
      <c r="O189" s="577">
        <f t="shared" si="41"/>
        <v>0</v>
      </c>
      <c r="P189" s="578">
        <f t="shared" si="42"/>
        <v>0</v>
      </c>
      <c r="Q189" s="765"/>
      <c r="R189" s="576">
        <f t="shared" si="43"/>
        <v>0</v>
      </c>
      <c r="S189" s="576">
        <f t="shared" si="43"/>
        <v>0</v>
      </c>
      <c r="T189" s="577">
        <f t="shared" si="44"/>
        <v>0</v>
      </c>
      <c r="U189" s="578">
        <f t="shared" si="45"/>
        <v>0</v>
      </c>
      <c r="V189" s="579"/>
      <c r="W189" s="566"/>
      <c r="X189" s="586" t="str">
        <f t="shared" si="47"/>
        <v/>
      </c>
      <c r="Y189" s="586" t="str">
        <f t="shared" si="33"/>
        <v/>
      </c>
      <c r="Z189" s="586" t="str">
        <f t="shared" si="39"/>
        <v/>
      </c>
    </row>
    <row r="190" spans="1:26" ht="12" hidden="1" thickBot="1" x14ac:dyDescent="0.25">
      <c r="A190" s="567" t="s">
        <v>168</v>
      </c>
      <c r="B190" s="644" t="s">
        <v>168</v>
      </c>
      <c r="C190" s="645"/>
      <c r="D190" s="451" t="s">
        <v>212</v>
      </c>
      <c r="E190" s="423"/>
      <c r="F190" s="424">
        <v>500</v>
      </c>
      <c r="G190" s="425">
        <v>9.6000000000000002E-2</v>
      </c>
      <c r="H190" s="649">
        <f>IF(F190&lt;=30,(0.78*F190+7.82)*G190,((0.78*30+7.82)+0.78*(F190-30))*G190)</f>
        <v>38.190720000000006</v>
      </c>
      <c r="I190" s="420">
        <v>0</v>
      </c>
      <c r="J190" s="420"/>
      <c r="K190" s="421">
        <f t="shared" si="53"/>
        <v>0</v>
      </c>
      <c r="L190" s="647" t="s">
        <v>614</v>
      </c>
      <c r="M190" s="669"/>
      <c r="N190" s="576">
        <f t="shared" si="35"/>
        <v>0</v>
      </c>
      <c r="O190" s="577">
        <f t="shared" si="41"/>
        <v>0</v>
      </c>
      <c r="P190" s="578">
        <f t="shared" si="42"/>
        <v>0</v>
      </c>
      <c r="Q190" s="765"/>
      <c r="R190" s="669"/>
      <c r="S190" s="670"/>
      <c r="T190" s="577">
        <f t="shared" si="44"/>
        <v>0</v>
      </c>
      <c r="U190" s="578">
        <f t="shared" si="45"/>
        <v>0</v>
      </c>
      <c r="V190" s="579"/>
      <c r="W190" s="637" t="str">
        <f>IF(U189&gt;0,"xx",IF(P189&gt;0,"xy",""))</f>
        <v/>
      </c>
      <c r="X190" s="586" t="str">
        <f t="shared" si="47"/>
        <v/>
      </c>
      <c r="Y190" s="586" t="str">
        <f t="shared" si="33"/>
        <v/>
      </c>
      <c r="Z190" s="586" t="str">
        <f t="shared" si="39"/>
        <v/>
      </c>
    </row>
    <row r="191" spans="1:26" ht="12" hidden="1" thickBot="1" x14ac:dyDescent="0.25">
      <c r="A191" s="567" t="s">
        <v>168</v>
      </c>
      <c r="B191" s="644" t="s">
        <v>168</v>
      </c>
      <c r="C191" s="645"/>
      <c r="D191" s="451" t="s">
        <v>223</v>
      </c>
      <c r="E191" s="423"/>
      <c r="F191" s="418"/>
      <c r="G191" s="425">
        <v>2.4</v>
      </c>
      <c r="H191" s="649">
        <f t="shared" ref="H191:H200" si="54">IF(F191&lt;=30,(1.07*F191+2.68)*G191,((1.07*30+2.68)+1.07*(F191-30))*G191)</f>
        <v>6.4320000000000004</v>
      </c>
      <c r="I191" s="420">
        <v>0</v>
      </c>
      <c r="J191" s="420"/>
      <c r="K191" s="421">
        <f t="shared" si="53"/>
        <v>0</v>
      </c>
      <c r="L191" s="647" t="s">
        <v>614</v>
      </c>
      <c r="M191" s="669"/>
      <c r="N191" s="576">
        <f t="shared" si="35"/>
        <v>0</v>
      </c>
      <c r="O191" s="577">
        <f t="shared" si="41"/>
        <v>0</v>
      </c>
      <c r="P191" s="578">
        <f t="shared" si="42"/>
        <v>0</v>
      </c>
      <c r="Q191" s="765"/>
      <c r="R191" s="669"/>
      <c r="S191" s="670"/>
      <c r="T191" s="577">
        <f t="shared" si="44"/>
        <v>0</v>
      </c>
      <c r="U191" s="578">
        <f t="shared" si="45"/>
        <v>0</v>
      </c>
      <c r="V191" s="579"/>
      <c r="W191" s="637" t="str">
        <f>IF(U189&gt;0,"xx",IF(P189&gt;0,"xy",""))</f>
        <v/>
      </c>
      <c r="X191" s="586" t="str">
        <f t="shared" si="47"/>
        <v/>
      </c>
      <c r="Y191" s="586" t="str">
        <f t="shared" si="33"/>
        <v/>
      </c>
      <c r="Z191" s="586" t="str">
        <f t="shared" si="39"/>
        <v/>
      </c>
    </row>
    <row r="192" spans="1:26" ht="12" hidden="1" thickBot="1" x14ac:dyDescent="0.25">
      <c r="A192" s="567" t="s">
        <v>168</v>
      </c>
      <c r="B192" s="644" t="s">
        <v>168</v>
      </c>
      <c r="C192" s="645"/>
      <c r="D192" s="451" t="s">
        <v>224</v>
      </c>
      <c r="E192" s="423"/>
      <c r="F192" s="418">
        <v>20</v>
      </c>
      <c r="G192" s="425">
        <v>2.4</v>
      </c>
      <c r="H192" s="649">
        <f t="shared" si="54"/>
        <v>57.792000000000002</v>
      </c>
      <c r="I192" s="420">
        <v>0</v>
      </c>
      <c r="J192" s="420"/>
      <c r="K192" s="421">
        <f t="shared" si="53"/>
        <v>0</v>
      </c>
      <c r="L192" s="647" t="s">
        <v>614</v>
      </c>
      <c r="M192" s="669"/>
      <c r="N192" s="576">
        <f t="shared" si="35"/>
        <v>0</v>
      </c>
      <c r="O192" s="577">
        <f t="shared" si="41"/>
        <v>0</v>
      </c>
      <c r="P192" s="578">
        <f t="shared" si="42"/>
        <v>0</v>
      </c>
      <c r="Q192" s="765"/>
      <c r="R192" s="669"/>
      <c r="S192" s="670"/>
      <c r="T192" s="577">
        <f t="shared" si="44"/>
        <v>0</v>
      </c>
      <c r="U192" s="578">
        <f t="shared" si="45"/>
        <v>0</v>
      </c>
      <c r="V192" s="579"/>
      <c r="W192" s="637" t="str">
        <f>IF($U$141&gt;0,"xx",IF($P$141&gt;0,"xy",""))</f>
        <v/>
      </c>
      <c r="X192" s="586" t="str">
        <f t="shared" si="47"/>
        <v/>
      </c>
      <c r="Y192" s="586" t="str">
        <f t="shared" si="33"/>
        <v/>
      </c>
      <c r="Z192" s="586" t="str">
        <f t="shared" si="39"/>
        <v/>
      </c>
    </row>
    <row r="193" spans="1:26" ht="12" hidden="1" thickBot="1" x14ac:dyDescent="0.25">
      <c r="A193" s="567">
        <v>531350</v>
      </c>
      <c r="B193" s="644">
        <v>531350</v>
      </c>
      <c r="C193" s="645" t="s">
        <v>206</v>
      </c>
      <c r="D193" s="422" t="s">
        <v>217</v>
      </c>
      <c r="E193" s="423"/>
      <c r="F193" s="418"/>
      <c r="G193" s="419"/>
      <c r="H193" s="667">
        <f>SUM(H194:H195)</f>
        <v>48.882400000000004</v>
      </c>
      <c r="I193" s="420">
        <v>103.35</v>
      </c>
      <c r="J193" s="420">
        <f>IF(ISBLANK(I193),"",SUM(H193:I193))</f>
        <v>152.23239999999998</v>
      </c>
      <c r="K193" s="421">
        <f t="shared" si="53"/>
        <v>180.87</v>
      </c>
      <c r="L193" s="647" t="s">
        <v>16</v>
      </c>
      <c r="M193" s="576"/>
      <c r="N193" s="576">
        <f t="shared" si="35"/>
        <v>0</v>
      </c>
      <c r="O193" s="577">
        <f t="shared" si="41"/>
        <v>0</v>
      </c>
      <c r="P193" s="578">
        <f t="shared" si="42"/>
        <v>0</v>
      </c>
      <c r="Q193" s="765"/>
      <c r="R193" s="576">
        <f t="shared" si="43"/>
        <v>0</v>
      </c>
      <c r="S193" s="576">
        <f t="shared" si="43"/>
        <v>0</v>
      </c>
      <c r="T193" s="577">
        <f t="shared" si="44"/>
        <v>0</v>
      </c>
      <c r="U193" s="578">
        <f t="shared" si="45"/>
        <v>0</v>
      </c>
      <c r="V193" s="579"/>
      <c r="W193" s="566"/>
      <c r="X193" s="586" t="str">
        <f t="shared" si="47"/>
        <v/>
      </c>
      <c r="Y193" s="586" t="str">
        <f t="shared" si="33"/>
        <v/>
      </c>
      <c r="Z193" s="586" t="str">
        <f t="shared" si="39"/>
        <v/>
      </c>
    </row>
    <row r="194" spans="1:26" ht="12" hidden="1" thickBot="1" x14ac:dyDescent="0.25">
      <c r="A194" s="567" t="s">
        <v>168</v>
      </c>
      <c r="B194" s="644" t="s">
        <v>168</v>
      </c>
      <c r="C194" s="645"/>
      <c r="D194" s="451" t="s">
        <v>218</v>
      </c>
      <c r="E194" s="423"/>
      <c r="F194" s="418">
        <v>20</v>
      </c>
      <c r="G194" s="419">
        <v>1.35</v>
      </c>
      <c r="H194" s="649">
        <f t="shared" si="54"/>
        <v>32.508000000000003</v>
      </c>
      <c r="I194" s="420">
        <v>0</v>
      </c>
      <c r="J194" s="420"/>
      <c r="K194" s="421">
        <f t="shared" si="53"/>
        <v>0</v>
      </c>
      <c r="L194" s="647" t="s">
        <v>614</v>
      </c>
      <c r="M194" s="669"/>
      <c r="N194" s="576">
        <f t="shared" si="35"/>
        <v>0</v>
      </c>
      <c r="O194" s="577">
        <f t="shared" si="41"/>
        <v>0</v>
      </c>
      <c r="P194" s="578">
        <f t="shared" si="42"/>
        <v>0</v>
      </c>
      <c r="Q194" s="765"/>
      <c r="R194" s="669"/>
      <c r="S194" s="670"/>
      <c r="T194" s="577">
        <f t="shared" si="44"/>
        <v>0</v>
      </c>
      <c r="U194" s="578">
        <f t="shared" si="45"/>
        <v>0</v>
      </c>
      <c r="V194" s="579"/>
      <c r="W194" s="637" t="str">
        <f>IF(U193&gt;0,"xx",IF(P193&gt;0,"xy",""))</f>
        <v/>
      </c>
      <c r="X194" s="586" t="str">
        <f t="shared" si="47"/>
        <v/>
      </c>
      <c r="Y194" s="586" t="str">
        <f t="shared" si="33"/>
        <v/>
      </c>
      <c r="Z194" s="586" t="str">
        <f t="shared" si="39"/>
        <v/>
      </c>
    </row>
    <row r="195" spans="1:26" ht="12" hidden="1" thickBot="1" x14ac:dyDescent="0.25">
      <c r="A195" s="567" t="s">
        <v>168</v>
      </c>
      <c r="B195" s="644" t="s">
        <v>168</v>
      </c>
      <c r="C195" s="645"/>
      <c r="D195" s="451" t="s">
        <v>219</v>
      </c>
      <c r="E195" s="423"/>
      <c r="F195" s="418">
        <v>20</v>
      </c>
      <c r="G195" s="419">
        <v>0.68</v>
      </c>
      <c r="H195" s="649">
        <f t="shared" si="54"/>
        <v>16.374400000000001</v>
      </c>
      <c r="I195" s="420">
        <v>0</v>
      </c>
      <c r="J195" s="420"/>
      <c r="K195" s="421">
        <f t="shared" si="53"/>
        <v>0</v>
      </c>
      <c r="L195" s="647" t="s">
        <v>614</v>
      </c>
      <c r="M195" s="669"/>
      <c r="N195" s="576">
        <f t="shared" si="35"/>
        <v>0</v>
      </c>
      <c r="O195" s="577">
        <f t="shared" si="41"/>
        <v>0</v>
      </c>
      <c r="P195" s="578">
        <f t="shared" si="42"/>
        <v>0</v>
      </c>
      <c r="Q195" s="765"/>
      <c r="R195" s="669"/>
      <c r="S195" s="670"/>
      <c r="T195" s="577">
        <f t="shared" si="44"/>
        <v>0</v>
      </c>
      <c r="U195" s="578">
        <f t="shared" si="45"/>
        <v>0</v>
      </c>
      <c r="V195" s="579"/>
      <c r="W195" s="637" t="str">
        <f>IF(U193&gt;0,"xx",IF(P193&gt;0,"xy",""))</f>
        <v/>
      </c>
      <c r="X195" s="586" t="str">
        <f t="shared" si="47"/>
        <v/>
      </c>
      <c r="Y195" s="586" t="str">
        <f t="shared" si="33"/>
        <v/>
      </c>
      <c r="Z195" s="586" t="str">
        <f t="shared" si="39"/>
        <v/>
      </c>
    </row>
    <row r="196" spans="1:26" ht="12" hidden="1" thickBot="1" x14ac:dyDescent="0.25">
      <c r="A196" s="567">
        <v>531300</v>
      </c>
      <c r="B196" s="644">
        <v>531300</v>
      </c>
      <c r="C196" s="645" t="s">
        <v>206</v>
      </c>
      <c r="D196" s="422" t="s">
        <v>220</v>
      </c>
      <c r="E196" s="423"/>
      <c r="F196" s="418"/>
      <c r="G196" s="419"/>
      <c r="H196" s="667">
        <f>SUM(H197:H198)</f>
        <v>48.882400000000004</v>
      </c>
      <c r="I196" s="420">
        <v>106.52999999999999</v>
      </c>
      <c r="J196" s="420">
        <f>IF(ISBLANK(I196),"",SUM(H196:I196))</f>
        <v>155.41239999999999</v>
      </c>
      <c r="K196" s="421">
        <f t="shared" si="53"/>
        <v>184.65</v>
      </c>
      <c r="L196" s="647" t="s">
        <v>16</v>
      </c>
      <c r="M196" s="576"/>
      <c r="N196" s="576">
        <f t="shared" si="35"/>
        <v>0</v>
      </c>
      <c r="O196" s="577">
        <f t="shared" si="41"/>
        <v>0</v>
      </c>
      <c r="P196" s="578">
        <f t="shared" si="42"/>
        <v>0</v>
      </c>
      <c r="Q196" s="765"/>
      <c r="R196" s="576">
        <f t="shared" si="43"/>
        <v>0</v>
      </c>
      <c r="S196" s="576">
        <f t="shared" si="43"/>
        <v>0</v>
      </c>
      <c r="T196" s="577">
        <f t="shared" si="44"/>
        <v>0</v>
      </c>
      <c r="U196" s="578">
        <f t="shared" si="45"/>
        <v>0</v>
      </c>
      <c r="V196" s="579"/>
      <c r="W196" s="566"/>
      <c r="X196" s="586" t="str">
        <f t="shared" si="47"/>
        <v/>
      </c>
      <c r="Y196" s="586" t="str">
        <f t="shared" si="33"/>
        <v/>
      </c>
      <c r="Z196" s="586" t="str">
        <f t="shared" si="39"/>
        <v/>
      </c>
    </row>
    <row r="197" spans="1:26" ht="12" hidden="1" thickBot="1" x14ac:dyDescent="0.25">
      <c r="A197" s="567" t="s">
        <v>168</v>
      </c>
      <c r="B197" s="644" t="s">
        <v>168</v>
      </c>
      <c r="C197" s="645"/>
      <c r="D197" s="451" t="s">
        <v>218</v>
      </c>
      <c r="E197" s="423"/>
      <c r="F197" s="418">
        <v>20</v>
      </c>
      <c r="G197" s="419">
        <v>1.35</v>
      </c>
      <c r="H197" s="649">
        <f t="shared" si="54"/>
        <v>32.508000000000003</v>
      </c>
      <c r="I197" s="420">
        <v>0</v>
      </c>
      <c r="J197" s="420"/>
      <c r="K197" s="421">
        <f t="shared" si="53"/>
        <v>0</v>
      </c>
      <c r="L197" s="647" t="s">
        <v>614</v>
      </c>
      <c r="M197" s="669"/>
      <c r="N197" s="576">
        <f t="shared" si="35"/>
        <v>0</v>
      </c>
      <c r="O197" s="577">
        <f t="shared" si="41"/>
        <v>0</v>
      </c>
      <c r="P197" s="578">
        <f t="shared" si="42"/>
        <v>0</v>
      </c>
      <c r="Q197" s="765"/>
      <c r="R197" s="669"/>
      <c r="S197" s="670"/>
      <c r="T197" s="577">
        <f t="shared" si="44"/>
        <v>0</v>
      </c>
      <c r="U197" s="578">
        <f t="shared" si="45"/>
        <v>0</v>
      </c>
      <c r="V197" s="579"/>
      <c r="W197" s="637" t="str">
        <f>IF(U196&gt;0,"xx",IF(P196&gt;0,"xy",""))</f>
        <v/>
      </c>
      <c r="X197" s="586" t="str">
        <f t="shared" si="47"/>
        <v/>
      </c>
      <c r="Y197" s="586" t="str">
        <f t="shared" si="33"/>
        <v/>
      </c>
      <c r="Z197" s="586" t="str">
        <f t="shared" si="39"/>
        <v/>
      </c>
    </row>
    <row r="198" spans="1:26" ht="12" hidden="1" thickBot="1" x14ac:dyDescent="0.25">
      <c r="A198" s="567" t="s">
        <v>168</v>
      </c>
      <c r="B198" s="644" t="s">
        <v>168</v>
      </c>
      <c r="C198" s="645"/>
      <c r="D198" s="451" t="s">
        <v>219</v>
      </c>
      <c r="E198" s="423"/>
      <c r="F198" s="418">
        <v>20</v>
      </c>
      <c r="G198" s="419">
        <v>0.68</v>
      </c>
      <c r="H198" s="649">
        <f t="shared" si="54"/>
        <v>16.374400000000001</v>
      </c>
      <c r="I198" s="420">
        <v>0</v>
      </c>
      <c r="J198" s="420"/>
      <c r="K198" s="421">
        <f t="shared" si="53"/>
        <v>0</v>
      </c>
      <c r="L198" s="647" t="s">
        <v>614</v>
      </c>
      <c r="M198" s="669"/>
      <c r="N198" s="576">
        <f t="shared" si="35"/>
        <v>0</v>
      </c>
      <c r="O198" s="577">
        <f t="shared" si="41"/>
        <v>0</v>
      </c>
      <c r="P198" s="578">
        <f t="shared" si="42"/>
        <v>0</v>
      </c>
      <c r="Q198" s="765"/>
      <c r="R198" s="669"/>
      <c r="S198" s="670"/>
      <c r="T198" s="577">
        <f t="shared" si="44"/>
        <v>0</v>
      </c>
      <c r="U198" s="578">
        <f t="shared" si="45"/>
        <v>0</v>
      </c>
      <c r="V198" s="579"/>
      <c r="W198" s="637" t="str">
        <f>IF(U196&gt;0,"xx",IF(P196&gt;0,"xy",""))</f>
        <v/>
      </c>
      <c r="X198" s="586" t="str">
        <f t="shared" si="47"/>
        <v/>
      </c>
      <c r="Y198" s="586" t="str">
        <f t="shared" si="33"/>
        <v/>
      </c>
      <c r="Z198" s="586" t="str">
        <f t="shared" si="39"/>
        <v/>
      </c>
    </row>
    <row r="199" spans="1:26" ht="12" hidden="1" thickBot="1" x14ac:dyDescent="0.25">
      <c r="A199" s="567">
        <v>532000</v>
      </c>
      <c r="B199" s="644">
        <v>532000</v>
      </c>
      <c r="C199" s="645"/>
      <c r="D199" s="422" t="s">
        <v>221</v>
      </c>
      <c r="E199" s="423"/>
      <c r="F199" s="424">
        <v>20</v>
      </c>
      <c r="G199" s="425">
        <v>2.2000000000000002</v>
      </c>
      <c r="H199" s="649">
        <f t="shared" si="54"/>
        <v>52.976000000000006</v>
      </c>
      <c r="I199" s="420">
        <v>120.07</v>
      </c>
      <c r="J199" s="420">
        <f>IF(ISBLANK(I199),"",SUM(H199:I199))</f>
        <v>173.04599999999999</v>
      </c>
      <c r="K199" s="421">
        <f>IF(ISBLANK(I199),0,ROUND(J199*(1+$F$10)*(1+$F$11*E199),2))</f>
        <v>205.6</v>
      </c>
      <c r="L199" s="647" t="s">
        <v>16</v>
      </c>
      <c r="M199" s="587"/>
      <c r="N199" s="576">
        <f t="shared" si="35"/>
        <v>0</v>
      </c>
      <c r="O199" s="577">
        <f>IF(ISBLANK(M199),0,ROUND(K199*M199,2))</f>
        <v>0</v>
      </c>
      <c r="P199" s="578">
        <f>IF(ISBLANK(N199),0,ROUND(M199*N199,2))</f>
        <v>0</v>
      </c>
      <c r="Q199" s="765"/>
      <c r="R199" s="650">
        <f>M199</f>
        <v>0</v>
      </c>
      <c r="S199" s="587">
        <f>N199</f>
        <v>0</v>
      </c>
      <c r="T199" s="577">
        <f>IF(ISBLANK(R199),0,ROUND(K199*R199,2))</f>
        <v>0</v>
      </c>
      <c r="U199" s="578">
        <f>IF(ISBLANK(R199),0,ROUND(R199*S199,2))</f>
        <v>0</v>
      </c>
      <c r="V199" s="579"/>
      <c r="W199" s="566"/>
      <c r="X199" s="586" t="str">
        <f>IF(W199="X","x",IF(W199="xx","x",IF(W199="xy","x",IF(W199="y","x",IF(OR(P199&gt;0,U199&gt;0),"x","")))))</f>
        <v/>
      </c>
      <c r="Y199" s="586" t="str">
        <f>IF(W199="X","x",IF(W199="y","x",IF(W199="xx","x",IF(U199&gt;0,"x",""))))</f>
        <v/>
      </c>
      <c r="Z199" s="586" t="str">
        <f>IF(W199="X","x",IF(U199&gt;0,"x",""))</f>
        <v/>
      </c>
    </row>
    <row r="200" spans="1:26" ht="23.25" hidden="1" thickBot="1" x14ac:dyDescent="0.25">
      <c r="A200" s="567">
        <v>96398</v>
      </c>
      <c r="B200" s="644">
        <v>96398</v>
      </c>
      <c r="C200" s="645" t="s">
        <v>670</v>
      </c>
      <c r="D200" s="422" t="s">
        <v>1882</v>
      </c>
      <c r="E200" s="423"/>
      <c r="F200" s="424">
        <v>20</v>
      </c>
      <c r="G200" s="425">
        <v>2.4</v>
      </c>
      <c r="H200" s="649">
        <f t="shared" si="54"/>
        <v>57.792000000000002</v>
      </c>
      <c r="I200" s="420">
        <v>243.38</v>
      </c>
      <c r="J200" s="420">
        <f>IF(ISBLANK(I200),"",SUM(H200:I200))</f>
        <v>301.17200000000003</v>
      </c>
      <c r="K200" s="421">
        <f t="shared" si="53"/>
        <v>357.82</v>
      </c>
      <c r="L200" s="647" t="s">
        <v>16</v>
      </c>
      <c r="M200" s="587"/>
      <c r="N200" s="576">
        <f t="shared" si="35"/>
        <v>0</v>
      </c>
      <c r="O200" s="577">
        <f t="shared" si="41"/>
        <v>0</v>
      </c>
      <c r="P200" s="578">
        <f t="shared" si="42"/>
        <v>0</v>
      </c>
      <c r="Q200" s="765"/>
      <c r="R200" s="650">
        <f t="shared" si="43"/>
        <v>0</v>
      </c>
      <c r="S200" s="587">
        <f t="shared" si="43"/>
        <v>0</v>
      </c>
      <c r="T200" s="577">
        <f t="shared" si="44"/>
        <v>0</v>
      </c>
      <c r="U200" s="578">
        <f t="shared" si="45"/>
        <v>0</v>
      </c>
      <c r="V200" s="579"/>
      <c r="W200" s="566"/>
      <c r="X200" s="586" t="str">
        <f t="shared" si="47"/>
        <v/>
      </c>
      <c r="Y200" s="586" t="str">
        <f t="shared" si="33"/>
        <v/>
      </c>
      <c r="Z200" s="586" t="str">
        <f t="shared" si="39"/>
        <v/>
      </c>
    </row>
    <row r="201" spans="1:26" ht="12" hidden="1" thickBot="1" x14ac:dyDescent="0.25">
      <c r="A201" s="652" t="s">
        <v>187</v>
      </c>
      <c r="B201" s="653" t="s">
        <v>187</v>
      </c>
      <c r="C201" s="654"/>
      <c r="D201" s="427" t="s">
        <v>466</v>
      </c>
      <c r="E201" s="491"/>
      <c r="F201" s="655"/>
      <c r="G201" s="656"/>
      <c r="H201" s="672"/>
      <c r="I201" s="429"/>
      <c r="J201" s="429"/>
      <c r="K201" s="429"/>
      <c r="L201" s="673" t="s">
        <v>614</v>
      </c>
      <c r="M201" s="657"/>
      <c r="N201" s="576">
        <f t="shared" si="35"/>
        <v>0</v>
      </c>
      <c r="O201" s="429">
        <f t="shared" si="41"/>
        <v>0</v>
      </c>
      <c r="P201" s="658">
        <f t="shared" si="42"/>
        <v>0</v>
      </c>
      <c r="Q201" s="765"/>
      <c r="R201" s="657"/>
      <c r="S201" s="429"/>
      <c r="T201" s="429">
        <f t="shared" si="44"/>
        <v>0</v>
      </c>
      <c r="U201" s="658">
        <f t="shared" si="45"/>
        <v>0</v>
      </c>
      <c r="V201" s="579"/>
      <c r="W201" s="637" t="str">
        <f>IF(OR(SUM(P202:P226)&gt;0,SUM(U202:U226)&gt;0),"y","")</f>
        <v/>
      </c>
      <c r="X201" s="586" t="str">
        <f t="shared" si="47"/>
        <v/>
      </c>
      <c r="Y201" s="586" t="str">
        <f t="shared" si="33"/>
        <v/>
      </c>
      <c r="Z201" s="586" t="str">
        <f t="shared" si="39"/>
        <v/>
      </c>
    </row>
    <row r="202" spans="1:26" ht="12" hidden="1" thickBot="1" x14ac:dyDescent="0.25">
      <c r="A202" s="652" t="s">
        <v>187</v>
      </c>
      <c r="B202" s="572" t="s">
        <v>187</v>
      </c>
      <c r="C202" s="573" t="s">
        <v>187</v>
      </c>
      <c r="D202" s="574"/>
      <c r="E202" s="575"/>
      <c r="F202" s="436"/>
      <c r="G202" s="431"/>
      <c r="H202" s="436"/>
      <c r="I202" s="432"/>
      <c r="J202" s="433"/>
      <c r="K202" s="434">
        <f t="shared" ref="K202:K226" si="55">IF(ISBLANK(J202),0,ROUND(J202*(1+$F$10)*(1+$F$11*E202),2))</f>
        <v>0</v>
      </c>
      <c r="L202" s="452" t="s">
        <v>614</v>
      </c>
      <c r="M202" s="587"/>
      <c r="N202" s="576">
        <f t="shared" si="35"/>
        <v>0</v>
      </c>
      <c r="O202" s="577">
        <f t="shared" si="41"/>
        <v>0</v>
      </c>
      <c r="P202" s="578">
        <f t="shared" si="42"/>
        <v>0</v>
      </c>
      <c r="Q202" s="765"/>
      <c r="R202" s="650">
        <f t="shared" si="43"/>
        <v>0</v>
      </c>
      <c r="S202" s="587">
        <f t="shared" si="43"/>
        <v>0</v>
      </c>
      <c r="T202" s="577">
        <f t="shared" si="44"/>
        <v>0</v>
      </c>
      <c r="U202" s="578">
        <f t="shared" si="45"/>
        <v>0</v>
      </c>
      <c r="V202" s="579"/>
      <c r="W202" s="566"/>
      <c r="X202" s="586" t="str">
        <f t="shared" si="47"/>
        <v/>
      </c>
      <c r="Y202" s="586" t="str">
        <f t="shared" si="33"/>
        <v/>
      </c>
      <c r="Z202" s="586" t="str">
        <f t="shared" si="39"/>
        <v/>
      </c>
    </row>
    <row r="203" spans="1:26" ht="12" hidden="1" thickBot="1" x14ac:dyDescent="0.25">
      <c r="A203" s="652" t="s">
        <v>187</v>
      </c>
      <c r="B203" s="572" t="s">
        <v>187</v>
      </c>
      <c r="C203" s="573" t="s">
        <v>187</v>
      </c>
      <c r="D203" s="580"/>
      <c r="E203" s="575"/>
      <c r="F203" s="436"/>
      <c r="G203" s="431"/>
      <c r="H203" s="436"/>
      <c r="I203" s="432"/>
      <c r="J203" s="433"/>
      <c r="K203" s="437">
        <f t="shared" si="55"/>
        <v>0</v>
      </c>
      <c r="L203" s="452" t="s">
        <v>614</v>
      </c>
      <c r="M203" s="576"/>
      <c r="N203" s="576">
        <f t="shared" si="35"/>
        <v>0</v>
      </c>
      <c r="O203" s="577">
        <f t="shared" si="41"/>
        <v>0</v>
      </c>
      <c r="P203" s="578">
        <f t="shared" si="42"/>
        <v>0</v>
      </c>
      <c r="Q203" s="765"/>
      <c r="R203" s="576">
        <f t="shared" si="43"/>
        <v>0</v>
      </c>
      <c r="S203" s="576">
        <f t="shared" si="43"/>
        <v>0</v>
      </c>
      <c r="T203" s="577">
        <f t="shared" si="44"/>
        <v>0</v>
      </c>
      <c r="U203" s="659">
        <f t="shared" si="45"/>
        <v>0</v>
      </c>
      <c r="V203" s="579"/>
      <c r="W203" s="566"/>
      <c r="X203" s="586" t="str">
        <f t="shared" si="47"/>
        <v/>
      </c>
      <c r="Y203" s="586" t="str">
        <f t="shared" si="33"/>
        <v/>
      </c>
      <c r="Z203" s="586" t="str">
        <f t="shared" si="39"/>
        <v/>
      </c>
    </row>
    <row r="204" spans="1:26" ht="12" hidden="1" thickBot="1" x14ac:dyDescent="0.25">
      <c r="A204" s="652" t="s">
        <v>187</v>
      </c>
      <c r="B204" s="572" t="s">
        <v>187</v>
      </c>
      <c r="C204" s="573" t="s">
        <v>187</v>
      </c>
      <c r="D204" s="580"/>
      <c r="E204" s="575"/>
      <c r="F204" s="436"/>
      <c r="G204" s="431"/>
      <c r="H204" s="430"/>
      <c r="I204" s="432"/>
      <c r="J204" s="433"/>
      <c r="K204" s="437">
        <f t="shared" si="55"/>
        <v>0</v>
      </c>
      <c r="L204" s="452" t="s">
        <v>614</v>
      </c>
      <c r="M204" s="576"/>
      <c r="N204" s="576">
        <f t="shared" si="35"/>
        <v>0</v>
      </c>
      <c r="O204" s="577">
        <f t="shared" si="41"/>
        <v>0</v>
      </c>
      <c r="P204" s="578">
        <f t="shared" si="42"/>
        <v>0</v>
      </c>
      <c r="Q204" s="765"/>
      <c r="R204" s="576">
        <f t="shared" si="43"/>
        <v>0</v>
      </c>
      <c r="S204" s="576">
        <f t="shared" si="43"/>
        <v>0</v>
      </c>
      <c r="T204" s="577">
        <f t="shared" si="44"/>
        <v>0</v>
      </c>
      <c r="U204" s="578">
        <f t="shared" si="45"/>
        <v>0</v>
      </c>
      <c r="V204" s="579"/>
      <c r="W204" s="566"/>
      <c r="X204" s="586" t="str">
        <f t="shared" si="47"/>
        <v/>
      </c>
      <c r="Y204" s="586" t="str">
        <f t="shared" si="33"/>
        <v/>
      </c>
      <c r="Z204" s="586" t="str">
        <f t="shared" si="39"/>
        <v/>
      </c>
    </row>
    <row r="205" spans="1:26" ht="12" hidden="1" thickBot="1" x14ac:dyDescent="0.25">
      <c r="A205" s="652" t="s">
        <v>187</v>
      </c>
      <c r="B205" s="572" t="s">
        <v>187</v>
      </c>
      <c r="C205" s="573" t="s">
        <v>187</v>
      </c>
      <c r="D205" s="580"/>
      <c r="E205" s="575"/>
      <c r="F205" s="436"/>
      <c r="G205" s="431"/>
      <c r="H205" s="430"/>
      <c r="I205" s="432"/>
      <c r="J205" s="433"/>
      <c r="K205" s="437">
        <f t="shared" si="55"/>
        <v>0</v>
      </c>
      <c r="L205" s="452" t="s">
        <v>614</v>
      </c>
      <c r="M205" s="576"/>
      <c r="N205" s="576">
        <f t="shared" si="35"/>
        <v>0</v>
      </c>
      <c r="O205" s="577">
        <f t="shared" si="41"/>
        <v>0</v>
      </c>
      <c r="P205" s="578">
        <f t="shared" si="42"/>
        <v>0</v>
      </c>
      <c r="Q205" s="765"/>
      <c r="R205" s="576">
        <f t="shared" si="43"/>
        <v>0</v>
      </c>
      <c r="S205" s="576">
        <f t="shared" si="43"/>
        <v>0</v>
      </c>
      <c r="T205" s="577">
        <f t="shared" si="44"/>
        <v>0</v>
      </c>
      <c r="U205" s="578">
        <f t="shared" si="45"/>
        <v>0</v>
      </c>
      <c r="V205" s="579"/>
      <c r="W205" s="566"/>
      <c r="X205" s="586" t="str">
        <f t="shared" si="47"/>
        <v/>
      </c>
      <c r="Y205" s="586" t="str">
        <f t="shared" si="33"/>
        <v/>
      </c>
      <c r="Z205" s="586" t="str">
        <f t="shared" si="39"/>
        <v/>
      </c>
    </row>
    <row r="206" spans="1:26" ht="12" hidden="1" thickBot="1" x14ac:dyDescent="0.25">
      <c r="A206" s="652" t="s">
        <v>187</v>
      </c>
      <c r="B206" s="572" t="s">
        <v>187</v>
      </c>
      <c r="C206" s="573" t="s">
        <v>187</v>
      </c>
      <c r="D206" s="580"/>
      <c r="E206" s="575"/>
      <c r="F206" s="436"/>
      <c r="G206" s="431"/>
      <c r="H206" s="430"/>
      <c r="I206" s="432"/>
      <c r="J206" s="433"/>
      <c r="K206" s="437">
        <f t="shared" si="55"/>
        <v>0</v>
      </c>
      <c r="L206" s="452" t="s">
        <v>614</v>
      </c>
      <c r="M206" s="576"/>
      <c r="N206" s="576">
        <f t="shared" si="35"/>
        <v>0</v>
      </c>
      <c r="O206" s="577">
        <f t="shared" si="41"/>
        <v>0</v>
      </c>
      <c r="P206" s="578">
        <f t="shared" si="42"/>
        <v>0</v>
      </c>
      <c r="Q206" s="765"/>
      <c r="R206" s="576">
        <f t="shared" si="43"/>
        <v>0</v>
      </c>
      <c r="S206" s="576">
        <f t="shared" si="43"/>
        <v>0</v>
      </c>
      <c r="T206" s="577">
        <f t="shared" si="44"/>
        <v>0</v>
      </c>
      <c r="U206" s="578">
        <f t="shared" si="45"/>
        <v>0</v>
      </c>
      <c r="V206" s="579"/>
      <c r="W206" s="566"/>
      <c r="X206" s="586" t="str">
        <f t="shared" si="47"/>
        <v/>
      </c>
      <c r="Y206" s="586" t="str">
        <f t="shared" si="33"/>
        <v/>
      </c>
      <c r="Z206" s="586" t="str">
        <f t="shared" si="39"/>
        <v/>
      </c>
    </row>
    <row r="207" spans="1:26" ht="12" hidden="1" thickBot="1" x14ac:dyDescent="0.25">
      <c r="A207" s="652" t="s">
        <v>187</v>
      </c>
      <c r="B207" s="572" t="s">
        <v>187</v>
      </c>
      <c r="C207" s="573" t="s">
        <v>187</v>
      </c>
      <c r="D207" s="580"/>
      <c r="E207" s="575"/>
      <c r="F207" s="436"/>
      <c r="G207" s="431"/>
      <c r="H207" s="430"/>
      <c r="I207" s="432"/>
      <c r="J207" s="433"/>
      <c r="K207" s="437">
        <f t="shared" si="55"/>
        <v>0</v>
      </c>
      <c r="L207" s="452" t="s">
        <v>614</v>
      </c>
      <c r="M207" s="576"/>
      <c r="N207" s="576">
        <f t="shared" si="35"/>
        <v>0</v>
      </c>
      <c r="O207" s="577">
        <f t="shared" si="41"/>
        <v>0</v>
      </c>
      <c r="P207" s="578">
        <f t="shared" si="42"/>
        <v>0</v>
      </c>
      <c r="Q207" s="765"/>
      <c r="R207" s="576">
        <f t="shared" si="43"/>
        <v>0</v>
      </c>
      <c r="S207" s="576">
        <f t="shared" si="43"/>
        <v>0</v>
      </c>
      <c r="T207" s="577">
        <f t="shared" si="44"/>
        <v>0</v>
      </c>
      <c r="U207" s="578">
        <f t="shared" si="45"/>
        <v>0</v>
      </c>
      <c r="V207" s="579"/>
      <c r="W207" s="566"/>
      <c r="X207" s="586" t="str">
        <f t="shared" si="47"/>
        <v/>
      </c>
      <c r="Y207" s="586" t="str">
        <f t="shared" si="33"/>
        <v/>
      </c>
      <c r="Z207" s="586" t="str">
        <f t="shared" si="39"/>
        <v/>
      </c>
    </row>
    <row r="208" spans="1:26" ht="12" hidden="1" thickBot="1" x14ac:dyDescent="0.25">
      <c r="A208" s="652" t="s">
        <v>187</v>
      </c>
      <c r="B208" s="572" t="s">
        <v>187</v>
      </c>
      <c r="C208" s="573" t="s">
        <v>187</v>
      </c>
      <c r="D208" s="580"/>
      <c r="E208" s="575"/>
      <c r="F208" s="436"/>
      <c r="G208" s="431"/>
      <c r="H208" s="430"/>
      <c r="I208" s="432"/>
      <c r="J208" s="433"/>
      <c r="K208" s="437">
        <f t="shared" si="55"/>
        <v>0</v>
      </c>
      <c r="L208" s="452" t="s">
        <v>614</v>
      </c>
      <c r="M208" s="576"/>
      <c r="N208" s="576">
        <f t="shared" si="35"/>
        <v>0</v>
      </c>
      <c r="O208" s="577">
        <f t="shared" si="41"/>
        <v>0</v>
      </c>
      <c r="P208" s="578">
        <f t="shared" si="42"/>
        <v>0</v>
      </c>
      <c r="Q208" s="765"/>
      <c r="R208" s="576">
        <f t="shared" si="43"/>
        <v>0</v>
      </c>
      <c r="S208" s="576">
        <f t="shared" si="43"/>
        <v>0</v>
      </c>
      <c r="T208" s="577">
        <f t="shared" si="44"/>
        <v>0</v>
      </c>
      <c r="U208" s="578">
        <f t="shared" si="45"/>
        <v>0</v>
      </c>
      <c r="V208" s="579"/>
      <c r="W208" s="566"/>
      <c r="X208" s="586" t="str">
        <f t="shared" si="47"/>
        <v/>
      </c>
      <c r="Y208" s="586" t="str">
        <f t="shared" si="33"/>
        <v/>
      </c>
      <c r="Z208" s="586" t="str">
        <f t="shared" si="39"/>
        <v/>
      </c>
    </row>
    <row r="209" spans="1:26" ht="12" hidden="1" thickBot="1" x14ac:dyDescent="0.25">
      <c r="A209" s="652" t="s">
        <v>187</v>
      </c>
      <c r="B209" s="572" t="s">
        <v>187</v>
      </c>
      <c r="C209" s="573" t="s">
        <v>187</v>
      </c>
      <c r="D209" s="580"/>
      <c r="E209" s="575"/>
      <c r="F209" s="436"/>
      <c r="G209" s="431"/>
      <c r="H209" s="430"/>
      <c r="I209" s="432"/>
      <c r="J209" s="433"/>
      <c r="K209" s="437">
        <f t="shared" si="55"/>
        <v>0</v>
      </c>
      <c r="L209" s="452" t="s">
        <v>614</v>
      </c>
      <c r="M209" s="576"/>
      <c r="N209" s="576">
        <f t="shared" si="35"/>
        <v>0</v>
      </c>
      <c r="O209" s="577">
        <f t="shared" si="41"/>
        <v>0</v>
      </c>
      <c r="P209" s="578">
        <f t="shared" si="42"/>
        <v>0</v>
      </c>
      <c r="Q209" s="765"/>
      <c r="R209" s="576">
        <f t="shared" si="43"/>
        <v>0</v>
      </c>
      <c r="S209" s="576">
        <f t="shared" si="43"/>
        <v>0</v>
      </c>
      <c r="T209" s="577">
        <f t="shared" si="44"/>
        <v>0</v>
      </c>
      <c r="U209" s="578">
        <f t="shared" si="45"/>
        <v>0</v>
      </c>
      <c r="V209" s="579"/>
      <c r="W209" s="566"/>
      <c r="X209" s="586" t="str">
        <f t="shared" si="47"/>
        <v/>
      </c>
      <c r="Y209" s="586" t="str">
        <f t="shared" si="33"/>
        <v/>
      </c>
      <c r="Z209" s="586" t="str">
        <f t="shared" si="39"/>
        <v/>
      </c>
    </row>
    <row r="210" spans="1:26" ht="12" hidden="1" thickBot="1" x14ac:dyDescent="0.25">
      <c r="A210" s="652" t="s">
        <v>187</v>
      </c>
      <c r="B210" s="572" t="s">
        <v>187</v>
      </c>
      <c r="C210" s="573" t="s">
        <v>187</v>
      </c>
      <c r="D210" s="580"/>
      <c r="E210" s="575"/>
      <c r="F210" s="436"/>
      <c r="G210" s="431"/>
      <c r="H210" s="430"/>
      <c r="I210" s="432"/>
      <c r="J210" s="433"/>
      <c r="K210" s="437">
        <f t="shared" si="55"/>
        <v>0</v>
      </c>
      <c r="L210" s="452" t="s">
        <v>614</v>
      </c>
      <c r="M210" s="576"/>
      <c r="N210" s="576">
        <f t="shared" si="35"/>
        <v>0</v>
      </c>
      <c r="O210" s="577">
        <f t="shared" si="41"/>
        <v>0</v>
      </c>
      <c r="P210" s="578">
        <f t="shared" si="42"/>
        <v>0</v>
      </c>
      <c r="Q210" s="765"/>
      <c r="R210" s="576">
        <f t="shared" si="43"/>
        <v>0</v>
      </c>
      <c r="S210" s="576">
        <f t="shared" si="43"/>
        <v>0</v>
      </c>
      <c r="T210" s="577">
        <f t="shared" si="44"/>
        <v>0</v>
      </c>
      <c r="U210" s="578">
        <f t="shared" si="45"/>
        <v>0</v>
      </c>
      <c r="V210" s="579"/>
      <c r="W210" s="566"/>
      <c r="X210" s="586" t="str">
        <f t="shared" si="47"/>
        <v/>
      </c>
      <c r="Y210" s="586" t="str">
        <f t="shared" si="33"/>
        <v/>
      </c>
      <c r="Z210" s="586" t="str">
        <f t="shared" si="39"/>
        <v/>
      </c>
    </row>
    <row r="211" spans="1:26" ht="12" hidden="1" thickBot="1" x14ac:dyDescent="0.25">
      <c r="A211" s="652" t="s">
        <v>187</v>
      </c>
      <c r="B211" s="572" t="s">
        <v>187</v>
      </c>
      <c r="C211" s="573" t="s">
        <v>187</v>
      </c>
      <c r="D211" s="580"/>
      <c r="E211" s="575"/>
      <c r="F211" s="436"/>
      <c r="G211" s="431"/>
      <c r="H211" s="430"/>
      <c r="I211" s="432"/>
      <c r="J211" s="433"/>
      <c r="K211" s="437">
        <f t="shared" si="55"/>
        <v>0</v>
      </c>
      <c r="L211" s="452" t="s">
        <v>614</v>
      </c>
      <c r="M211" s="576"/>
      <c r="N211" s="576">
        <f t="shared" si="35"/>
        <v>0</v>
      </c>
      <c r="O211" s="577">
        <f t="shared" si="41"/>
        <v>0</v>
      </c>
      <c r="P211" s="578">
        <f t="shared" si="42"/>
        <v>0</v>
      </c>
      <c r="Q211" s="765"/>
      <c r="R211" s="576">
        <f t="shared" si="43"/>
        <v>0</v>
      </c>
      <c r="S211" s="576">
        <f t="shared" si="43"/>
        <v>0</v>
      </c>
      <c r="T211" s="577">
        <f t="shared" si="44"/>
        <v>0</v>
      </c>
      <c r="U211" s="578">
        <f t="shared" si="45"/>
        <v>0</v>
      </c>
      <c r="V211" s="579"/>
      <c r="W211" s="566"/>
      <c r="X211" s="586" t="str">
        <f t="shared" si="47"/>
        <v/>
      </c>
      <c r="Y211" s="586" t="str">
        <f t="shared" ref="Y211:Y274" si="56">IF(W211="X","x",IF(W211="y","x",IF(W211="xx","x",IF(U211&gt;0,"x",""))))</f>
        <v/>
      </c>
      <c r="Z211" s="586" t="str">
        <f t="shared" si="39"/>
        <v/>
      </c>
    </row>
    <row r="212" spans="1:26" ht="12" hidden="1" thickBot="1" x14ac:dyDescent="0.25">
      <c r="A212" s="652" t="s">
        <v>187</v>
      </c>
      <c r="B212" s="572" t="s">
        <v>187</v>
      </c>
      <c r="C212" s="573" t="s">
        <v>187</v>
      </c>
      <c r="D212" s="580"/>
      <c r="E212" s="575"/>
      <c r="F212" s="436"/>
      <c r="G212" s="431"/>
      <c r="H212" s="430"/>
      <c r="I212" s="432"/>
      <c r="J212" s="433"/>
      <c r="K212" s="437">
        <f t="shared" si="55"/>
        <v>0</v>
      </c>
      <c r="L212" s="452" t="s">
        <v>614</v>
      </c>
      <c r="M212" s="576"/>
      <c r="N212" s="576">
        <f t="shared" ref="N212:N275" si="57">IF(M212=0,0,K212)</f>
        <v>0</v>
      </c>
      <c r="O212" s="577">
        <f t="shared" si="41"/>
        <v>0</v>
      </c>
      <c r="P212" s="578">
        <f t="shared" si="42"/>
        <v>0</v>
      </c>
      <c r="Q212" s="765"/>
      <c r="R212" s="576">
        <f t="shared" si="43"/>
        <v>0</v>
      </c>
      <c r="S212" s="576">
        <f t="shared" si="43"/>
        <v>0</v>
      </c>
      <c r="T212" s="577">
        <f t="shared" si="44"/>
        <v>0</v>
      </c>
      <c r="U212" s="578">
        <f t="shared" si="45"/>
        <v>0</v>
      </c>
      <c r="V212" s="579"/>
      <c r="W212" s="566"/>
      <c r="X212" s="586" t="str">
        <f t="shared" si="47"/>
        <v/>
      </c>
      <c r="Y212" s="586" t="str">
        <f t="shared" si="56"/>
        <v/>
      </c>
      <c r="Z212" s="586" t="str">
        <f t="shared" si="39"/>
        <v/>
      </c>
    </row>
    <row r="213" spans="1:26" ht="12" hidden="1" thickBot="1" x14ac:dyDescent="0.25">
      <c r="A213" s="652" t="s">
        <v>187</v>
      </c>
      <c r="B213" s="572" t="s">
        <v>187</v>
      </c>
      <c r="C213" s="573" t="s">
        <v>187</v>
      </c>
      <c r="D213" s="580"/>
      <c r="E213" s="575"/>
      <c r="F213" s="436"/>
      <c r="G213" s="431"/>
      <c r="H213" s="430"/>
      <c r="I213" s="432"/>
      <c r="J213" s="433"/>
      <c r="K213" s="437">
        <f t="shared" si="55"/>
        <v>0</v>
      </c>
      <c r="L213" s="452" t="s">
        <v>614</v>
      </c>
      <c r="M213" s="576"/>
      <c r="N213" s="576">
        <f t="shared" si="57"/>
        <v>0</v>
      </c>
      <c r="O213" s="577">
        <f t="shared" si="41"/>
        <v>0</v>
      </c>
      <c r="P213" s="578">
        <f t="shared" si="42"/>
        <v>0</v>
      </c>
      <c r="Q213" s="765"/>
      <c r="R213" s="576">
        <f t="shared" si="43"/>
        <v>0</v>
      </c>
      <c r="S213" s="576">
        <f t="shared" si="43"/>
        <v>0</v>
      </c>
      <c r="T213" s="577">
        <f t="shared" si="44"/>
        <v>0</v>
      </c>
      <c r="U213" s="578">
        <f t="shared" si="45"/>
        <v>0</v>
      </c>
      <c r="V213" s="579"/>
      <c r="W213" s="566"/>
      <c r="X213" s="586" t="str">
        <f t="shared" si="47"/>
        <v/>
      </c>
      <c r="Y213" s="586" t="str">
        <f t="shared" si="56"/>
        <v/>
      </c>
      <c r="Z213" s="586" t="str">
        <f t="shared" si="39"/>
        <v/>
      </c>
    </row>
    <row r="214" spans="1:26" ht="12" hidden="1" thickBot="1" x14ac:dyDescent="0.25">
      <c r="A214" s="652" t="s">
        <v>187</v>
      </c>
      <c r="B214" s="572" t="s">
        <v>187</v>
      </c>
      <c r="C214" s="573" t="s">
        <v>187</v>
      </c>
      <c r="D214" s="580"/>
      <c r="E214" s="575"/>
      <c r="F214" s="436"/>
      <c r="G214" s="431"/>
      <c r="H214" s="430"/>
      <c r="I214" s="432"/>
      <c r="J214" s="433"/>
      <c r="K214" s="437">
        <f t="shared" si="55"/>
        <v>0</v>
      </c>
      <c r="L214" s="452" t="s">
        <v>614</v>
      </c>
      <c r="M214" s="576"/>
      <c r="N214" s="576">
        <f t="shared" si="57"/>
        <v>0</v>
      </c>
      <c r="O214" s="577">
        <f t="shared" si="41"/>
        <v>0</v>
      </c>
      <c r="P214" s="578">
        <f t="shared" si="42"/>
        <v>0</v>
      </c>
      <c r="Q214" s="765"/>
      <c r="R214" s="576">
        <f t="shared" si="43"/>
        <v>0</v>
      </c>
      <c r="S214" s="576">
        <f t="shared" si="43"/>
        <v>0</v>
      </c>
      <c r="T214" s="577">
        <f t="shared" si="44"/>
        <v>0</v>
      </c>
      <c r="U214" s="578">
        <f t="shared" si="45"/>
        <v>0</v>
      </c>
      <c r="V214" s="579"/>
      <c r="W214" s="566"/>
      <c r="X214" s="586" t="str">
        <f t="shared" si="47"/>
        <v/>
      </c>
      <c r="Y214" s="586" t="str">
        <f t="shared" si="56"/>
        <v/>
      </c>
      <c r="Z214" s="586" t="str">
        <f t="shared" si="39"/>
        <v/>
      </c>
    </row>
    <row r="215" spans="1:26" ht="12" hidden="1" thickBot="1" x14ac:dyDescent="0.25">
      <c r="A215" s="652" t="s">
        <v>187</v>
      </c>
      <c r="B215" s="572" t="s">
        <v>187</v>
      </c>
      <c r="C215" s="573" t="s">
        <v>187</v>
      </c>
      <c r="D215" s="580"/>
      <c r="E215" s="575"/>
      <c r="F215" s="436"/>
      <c r="G215" s="431"/>
      <c r="H215" s="430"/>
      <c r="I215" s="432"/>
      <c r="J215" s="433"/>
      <c r="K215" s="437">
        <f t="shared" si="55"/>
        <v>0</v>
      </c>
      <c r="L215" s="452" t="s">
        <v>614</v>
      </c>
      <c r="M215" s="576"/>
      <c r="N215" s="576">
        <f t="shared" si="57"/>
        <v>0</v>
      </c>
      <c r="O215" s="577">
        <f t="shared" si="41"/>
        <v>0</v>
      </c>
      <c r="P215" s="578">
        <f t="shared" si="42"/>
        <v>0</v>
      </c>
      <c r="Q215" s="765"/>
      <c r="R215" s="576">
        <f t="shared" si="43"/>
        <v>0</v>
      </c>
      <c r="S215" s="576">
        <f t="shared" si="43"/>
        <v>0</v>
      </c>
      <c r="T215" s="577">
        <f t="shared" si="44"/>
        <v>0</v>
      </c>
      <c r="U215" s="578">
        <f t="shared" si="45"/>
        <v>0</v>
      </c>
      <c r="V215" s="579"/>
      <c r="W215" s="566"/>
      <c r="X215" s="586" t="str">
        <f t="shared" si="47"/>
        <v/>
      </c>
      <c r="Y215" s="586" t="str">
        <f t="shared" si="56"/>
        <v/>
      </c>
      <c r="Z215" s="586" t="str">
        <f t="shared" si="39"/>
        <v/>
      </c>
    </row>
    <row r="216" spans="1:26" ht="12" hidden="1" thickBot="1" x14ac:dyDescent="0.25">
      <c r="A216" s="652" t="s">
        <v>187</v>
      </c>
      <c r="B216" s="572" t="s">
        <v>187</v>
      </c>
      <c r="C216" s="573" t="s">
        <v>187</v>
      </c>
      <c r="D216" s="580"/>
      <c r="E216" s="575"/>
      <c r="F216" s="436"/>
      <c r="G216" s="431"/>
      <c r="H216" s="430"/>
      <c r="I216" s="432"/>
      <c r="J216" s="433"/>
      <c r="K216" s="437">
        <f t="shared" si="55"/>
        <v>0</v>
      </c>
      <c r="L216" s="452" t="s">
        <v>614</v>
      </c>
      <c r="M216" s="576"/>
      <c r="N216" s="576">
        <f t="shared" si="57"/>
        <v>0</v>
      </c>
      <c r="O216" s="577">
        <f t="shared" si="41"/>
        <v>0</v>
      </c>
      <c r="P216" s="578">
        <f t="shared" si="42"/>
        <v>0</v>
      </c>
      <c r="Q216" s="765"/>
      <c r="R216" s="576">
        <f t="shared" si="43"/>
        <v>0</v>
      </c>
      <c r="S216" s="576">
        <f t="shared" si="43"/>
        <v>0</v>
      </c>
      <c r="T216" s="577">
        <f t="shared" si="44"/>
        <v>0</v>
      </c>
      <c r="U216" s="578">
        <f t="shared" si="45"/>
        <v>0</v>
      </c>
      <c r="V216" s="579"/>
      <c r="W216" s="566"/>
      <c r="X216" s="586" t="str">
        <f t="shared" si="47"/>
        <v/>
      </c>
      <c r="Y216" s="586" t="str">
        <f t="shared" si="56"/>
        <v/>
      </c>
      <c r="Z216" s="586" t="str">
        <f t="shared" si="39"/>
        <v/>
      </c>
    </row>
    <row r="217" spans="1:26" ht="12" hidden="1" thickBot="1" x14ac:dyDescent="0.25">
      <c r="A217" s="652" t="s">
        <v>187</v>
      </c>
      <c r="B217" s="572" t="s">
        <v>187</v>
      </c>
      <c r="C217" s="573" t="s">
        <v>187</v>
      </c>
      <c r="D217" s="580"/>
      <c r="E217" s="575"/>
      <c r="F217" s="436"/>
      <c r="G217" s="431"/>
      <c r="H217" s="430"/>
      <c r="I217" s="432"/>
      <c r="J217" s="433"/>
      <c r="K217" s="437">
        <f t="shared" si="55"/>
        <v>0</v>
      </c>
      <c r="L217" s="452" t="s">
        <v>614</v>
      </c>
      <c r="M217" s="576"/>
      <c r="N217" s="576">
        <f t="shared" si="57"/>
        <v>0</v>
      </c>
      <c r="O217" s="577">
        <f t="shared" si="41"/>
        <v>0</v>
      </c>
      <c r="P217" s="578">
        <f t="shared" si="42"/>
        <v>0</v>
      </c>
      <c r="Q217" s="765"/>
      <c r="R217" s="576">
        <f t="shared" si="43"/>
        <v>0</v>
      </c>
      <c r="S217" s="576">
        <f t="shared" si="43"/>
        <v>0</v>
      </c>
      <c r="T217" s="577">
        <f t="shared" si="44"/>
        <v>0</v>
      </c>
      <c r="U217" s="578">
        <f t="shared" si="45"/>
        <v>0</v>
      </c>
      <c r="V217" s="579"/>
      <c r="W217" s="566"/>
      <c r="X217" s="586" t="str">
        <f t="shared" si="47"/>
        <v/>
      </c>
      <c r="Y217" s="586" t="str">
        <f t="shared" si="56"/>
        <v/>
      </c>
      <c r="Z217" s="586" t="str">
        <f t="shared" si="39"/>
        <v/>
      </c>
    </row>
    <row r="218" spans="1:26" ht="12" hidden="1" thickBot="1" x14ac:dyDescent="0.25">
      <c r="A218" s="652" t="s">
        <v>187</v>
      </c>
      <c r="B218" s="572" t="s">
        <v>187</v>
      </c>
      <c r="C218" s="573" t="s">
        <v>187</v>
      </c>
      <c r="D218" s="580"/>
      <c r="E218" s="575"/>
      <c r="F218" s="436"/>
      <c r="G218" s="431"/>
      <c r="H218" s="430"/>
      <c r="I218" s="432"/>
      <c r="J218" s="433"/>
      <c r="K218" s="437">
        <f t="shared" si="55"/>
        <v>0</v>
      </c>
      <c r="L218" s="452" t="s">
        <v>614</v>
      </c>
      <c r="M218" s="576"/>
      <c r="N218" s="576">
        <f t="shared" si="57"/>
        <v>0</v>
      </c>
      <c r="O218" s="577">
        <f t="shared" si="41"/>
        <v>0</v>
      </c>
      <c r="P218" s="578">
        <f t="shared" si="42"/>
        <v>0</v>
      </c>
      <c r="Q218" s="765"/>
      <c r="R218" s="576">
        <f t="shared" si="43"/>
        <v>0</v>
      </c>
      <c r="S218" s="576">
        <f t="shared" si="43"/>
        <v>0</v>
      </c>
      <c r="T218" s="577">
        <f t="shared" si="44"/>
        <v>0</v>
      </c>
      <c r="U218" s="578">
        <f t="shared" si="45"/>
        <v>0</v>
      </c>
      <c r="V218" s="579"/>
      <c r="W218" s="566"/>
      <c r="X218" s="586" t="str">
        <f t="shared" si="47"/>
        <v/>
      </c>
      <c r="Y218" s="586" t="str">
        <f t="shared" si="56"/>
        <v/>
      </c>
      <c r="Z218" s="586" t="str">
        <f t="shared" si="39"/>
        <v/>
      </c>
    </row>
    <row r="219" spans="1:26" ht="12" hidden="1" thickBot="1" x14ac:dyDescent="0.25">
      <c r="A219" s="652" t="s">
        <v>187</v>
      </c>
      <c r="B219" s="572" t="s">
        <v>187</v>
      </c>
      <c r="C219" s="573" t="s">
        <v>187</v>
      </c>
      <c r="D219" s="580"/>
      <c r="E219" s="575"/>
      <c r="F219" s="436"/>
      <c r="G219" s="431"/>
      <c r="H219" s="430"/>
      <c r="I219" s="432"/>
      <c r="J219" s="433"/>
      <c r="K219" s="437">
        <f t="shared" si="55"/>
        <v>0</v>
      </c>
      <c r="L219" s="452" t="s">
        <v>614</v>
      </c>
      <c r="M219" s="576"/>
      <c r="N219" s="576">
        <f t="shared" si="57"/>
        <v>0</v>
      </c>
      <c r="O219" s="577">
        <f t="shared" si="41"/>
        <v>0</v>
      </c>
      <c r="P219" s="578">
        <f t="shared" si="42"/>
        <v>0</v>
      </c>
      <c r="Q219" s="765"/>
      <c r="R219" s="576">
        <f t="shared" si="43"/>
        <v>0</v>
      </c>
      <c r="S219" s="576">
        <f t="shared" si="43"/>
        <v>0</v>
      </c>
      <c r="T219" s="577">
        <f t="shared" si="44"/>
        <v>0</v>
      </c>
      <c r="U219" s="578">
        <f t="shared" si="45"/>
        <v>0</v>
      </c>
      <c r="V219" s="579"/>
      <c r="W219" s="566"/>
      <c r="X219" s="586" t="str">
        <f t="shared" si="47"/>
        <v/>
      </c>
      <c r="Y219" s="586" t="str">
        <f t="shared" si="56"/>
        <v/>
      </c>
      <c r="Z219" s="586" t="str">
        <f t="shared" si="39"/>
        <v/>
      </c>
    </row>
    <row r="220" spans="1:26" ht="12" hidden="1" thickBot="1" x14ac:dyDescent="0.25">
      <c r="A220" s="652" t="s">
        <v>187</v>
      </c>
      <c r="B220" s="572" t="s">
        <v>187</v>
      </c>
      <c r="C220" s="573" t="s">
        <v>187</v>
      </c>
      <c r="D220" s="580"/>
      <c r="E220" s="575"/>
      <c r="F220" s="436"/>
      <c r="G220" s="431"/>
      <c r="H220" s="430"/>
      <c r="I220" s="432"/>
      <c r="J220" s="433"/>
      <c r="K220" s="437">
        <f t="shared" si="55"/>
        <v>0</v>
      </c>
      <c r="L220" s="452" t="s">
        <v>614</v>
      </c>
      <c r="M220" s="576"/>
      <c r="N220" s="576">
        <f t="shared" si="57"/>
        <v>0</v>
      </c>
      <c r="O220" s="577">
        <f t="shared" si="41"/>
        <v>0</v>
      </c>
      <c r="P220" s="578">
        <f t="shared" si="42"/>
        <v>0</v>
      </c>
      <c r="Q220" s="765"/>
      <c r="R220" s="576">
        <f t="shared" si="43"/>
        <v>0</v>
      </c>
      <c r="S220" s="576">
        <f t="shared" si="43"/>
        <v>0</v>
      </c>
      <c r="T220" s="577">
        <f t="shared" si="44"/>
        <v>0</v>
      </c>
      <c r="U220" s="578">
        <f t="shared" si="45"/>
        <v>0</v>
      </c>
      <c r="V220" s="579"/>
      <c r="W220" s="566"/>
      <c r="X220" s="586" t="str">
        <f t="shared" si="47"/>
        <v/>
      </c>
      <c r="Y220" s="586" t="str">
        <f t="shared" si="56"/>
        <v/>
      </c>
      <c r="Z220" s="586" t="str">
        <f t="shared" si="39"/>
        <v/>
      </c>
    </row>
    <row r="221" spans="1:26" ht="12" hidden="1" thickBot="1" x14ac:dyDescent="0.25">
      <c r="A221" s="652" t="s">
        <v>187</v>
      </c>
      <c r="B221" s="572" t="s">
        <v>187</v>
      </c>
      <c r="C221" s="573" t="s">
        <v>187</v>
      </c>
      <c r="D221" s="580"/>
      <c r="E221" s="575"/>
      <c r="F221" s="436"/>
      <c r="G221" s="431"/>
      <c r="H221" s="430"/>
      <c r="I221" s="432"/>
      <c r="J221" s="433"/>
      <c r="K221" s="437">
        <f t="shared" si="55"/>
        <v>0</v>
      </c>
      <c r="L221" s="452" t="s">
        <v>614</v>
      </c>
      <c r="M221" s="576"/>
      <c r="N221" s="576">
        <f t="shared" si="57"/>
        <v>0</v>
      </c>
      <c r="O221" s="577">
        <f t="shared" si="41"/>
        <v>0</v>
      </c>
      <c r="P221" s="578">
        <f t="shared" si="42"/>
        <v>0</v>
      </c>
      <c r="Q221" s="765"/>
      <c r="R221" s="576">
        <f t="shared" si="43"/>
        <v>0</v>
      </c>
      <c r="S221" s="576">
        <f t="shared" si="43"/>
        <v>0</v>
      </c>
      <c r="T221" s="577">
        <f t="shared" si="44"/>
        <v>0</v>
      </c>
      <c r="U221" s="578">
        <f t="shared" si="45"/>
        <v>0</v>
      </c>
      <c r="V221" s="579"/>
      <c r="W221" s="566"/>
      <c r="X221" s="586" t="str">
        <f t="shared" si="47"/>
        <v/>
      </c>
      <c r="Y221" s="586" t="str">
        <f t="shared" si="56"/>
        <v/>
      </c>
      <c r="Z221" s="586" t="str">
        <f t="shared" ref="Z221:Z284" si="58">IF(W221="X","x",IF(U221&gt;0,"x",""))</f>
        <v/>
      </c>
    </row>
    <row r="222" spans="1:26" ht="12" hidden="1" thickBot="1" x14ac:dyDescent="0.25">
      <c r="A222" s="652" t="s">
        <v>187</v>
      </c>
      <c r="B222" s="572" t="s">
        <v>187</v>
      </c>
      <c r="C222" s="573" t="s">
        <v>187</v>
      </c>
      <c r="D222" s="580"/>
      <c r="E222" s="575"/>
      <c r="F222" s="436"/>
      <c r="G222" s="431"/>
      <c r="H222" s="430"/>
      <c r="I222" s="432"/>
      <c r="J222" s="433"/>
      <c r="K222" s="437">
        <f t="shared" si="55"/>
        <v>0</v>
      </c>
      <c r="L222" s="452" t="s">
        <v>614</v>
      </c>
      <c r="M222" s="576"/>
      <c r="N222" s="576">
        <f t="shared" si="57"/>
        <v>0</v>
      </c>
      <c r="O222" s="577">
        <f t="shared" si="41"/>
        <v>0</v>
      </c>
      <c r="P222" s="578">
        <f t="shared" si="42"/>
        <v>0</v>
      </c>
      <c r="Q222" s="765"/>
      <c r="R222" s="576">
        <f t="shared" si="43"/>
        <v>0</v>
      </c>
      <c r="S222" s="576">
        <f t="shared" si="43"/>
        <v>0</v>
      </c>
      <c r="T222" s="577">
        <f t="shared" si="44"/>
        <v>0</v>
      </c>
      <c r="U222" s="578">
        <f t="shared" si="45"/>
        <v>0</v>
      </c>
      <c r="V222" s="579"/>
      <c r="W222" s="566"/>
      <c r="X222" s="586" t="str">
        <f t="shared" si="47"/>
        <v/>
      </c>
      <c r="Y222" s="586" t="str">
        <f t="shared" si="56"/>
        <v/>
      </c>
      <c r="Z222" s="586" t="str">
        <f t="shared" si="58"/>
        <v/>
      </c>
    </row>
    <row r="223" spans="1:26" ht="12" hidden="1" thickBot="1" x14ac:dyDescent="0.25">
      <c r="A223" s="652" t="s">
        <v>187</v>
      </c>
      <c r="B223" s="572" t="s">
        <v>187</v>
      </c>
      <c r="C223" s="573" t="s">
        <v>187</v>
      </c>
      <c r="D223" s="580"/>
      <c r="E223" s="575"/>
      <c r="F223" s="436"/>
      <c r="G223" s="431"/>
      <c r="H223" s="430"/>
      <c r="I223" s="432"/>
      <c r="J223" s="433"/>
      <c r="K223" s="437">
        <f t="shared" si="55"/>
        <v>0</v>
      </c>
      <c r="L223" s="452" t="s">
        <v>614</v>
      </c>
      <c r="M223" s="576"/>
      <c r="N223" s="576">
        <f t="shared" si="57"/>
        <v>0</v>
      </c>
      <c r="O223" s="577">
        <f t="shared" si="41"/>
        <v>0</v>
      </c>
      <c r="P223" s="578">
        <f t="shared" si="42"/>
        <v>0</v>
      </c>
      <c r="Q223" s="765"/>
      <c r="R223" s="576">
        <f t="shared" si="43"/>
        <v>0</v>
      </c>
      <c r="S223" s="576">
        <f t="shared" si="43"/>
        <v>0</v>
      </c>
      <c r="T223" s="577">
        <f t="shared" si="44"/>
        <v>0</v>
      </c>
      <c r="U223" s="578">
        <f t="shared" si="45"/>
        <v>0</v>
      </c>
      <c r="V223" s="579"/>
      <c r="W223" s="566"/>
      <c r="X223" s="586" t="str">
        <f t="shared" si="47"/>
        <v/>
      </c>
      <c r="Y223" s="586" t="str">
        <f t="shared" si="56"/>
        <v/>
      </c>
      <c r="Z223" s="586" t="str">
        <f t="shared" si="58"/>
        <v/>
      </c>
    </row>
    <row r="224" spans="1:26" ht="12" hidden="1" thickBot="1" x14ac:dyDescent="0.25">
      <c r="A224" s="652" t="s">
        <v>187</v>
      </c>
      <c r="B224" s="572" t="s">
        <v>187</v>
      </c>
      <c r="C224" s="573" t="s">
        <v>187</v>
      </c>
      <c r="D224" s="580"/>
      <c r="E224" s="575"/>
      <c r="F224" s="436"/>
      <c r="G224" s="431"/>
      <c r="H224" s="430"/>
      <c r="I224" s="432"/>
      <c r="J224" s="433"/>
      <c r="K224" s="437">
        <f t="shared" si="55"/>
        <v>0</v>
      </c>
      <c r="L224" s="452" t="s">
        <v>614</v>
      </c>
      <c r="M224" s="576"/>
      <c r="N224" s="576">
        <f t="shared" si="57"/>
        <v>0</v>
      </c>
      <c r="O224" s="577">
        <f t="shared" ref="O224:O287" si="59">IF(ISBLANK(M224),0,ROUND(K224*M224,2))</f>
        <v>0</v>
      </c>
      <c r="P224" s="578">
        <f t="shared" ref="P224:P287" si="60">IF(ISBLANK(N224),0,ROUND(M224*N224,2))</f>
        <v>0</v>
      </c>
      <c r="Q224" s="765"/>
      <c r="R224" s="576">
        <f>M224</f>
        <v>0</v>
      </c>
      <c r="S224" s="576">
        <f t="shared" ref="S224:S284" si="61">N224</f>
        <v>0</v>
      </c>
      <c r="T224" s="577">
        <f t="shared" ref="T224:T287" si="62">IF(ISBLANK(R224),0,ROUND(K224*R224,2))</f>
        <v>0</v>
      </c>
      <c r="U224" s="578">
        <f t="shared" ref="U224:U287" si="63">IF(ISBLANK(R224),0,ROUND(R224*S224,2))</f>
        <v>0</v>
      </c>
      <c r="V224" s="579"/>
      <c r="W224" s="566"/>
      <c r="X224" s="586" t="str">
        <f t="shared" si="47"/>
        <v/>
      </c>
      <c r="Y224" s="586" t="str">
        <f t="shared" si="56"/>
        <v/>
      </c>
      <c r="Z224" s="586" t="str">
        <f t="shared" si="58"/>
        <v/>
      </c>
    </row>
    <row r="225" spans="1:26" ht="12" hidden="1" thickBot="1" x14ac:dyDescent="0.25">
      <c r="A225" s="652" t="s">
        <v>187</v>
      </c>
      <c r="B225" s="572" t="s">
        <v>187</v>
      </c>
      <c r="C225" s="573" t="s">
        <v>187</v>
      </c>
      <c r="D225" s="580"/>
      <c r="E225" s="575"/>
      <c r="F225" s="436"/>
      <c r="G225" s="431"/>
      <c r="H225" s="430"/>
      <c r="I225" s="432"/>
      <c r="J225" s="433"/>
      <c r="K225" s="437">
        <f t="shared" si="55"/>
        <v>0</v>
      </c>
      <c r="L225" s="452" t="s">
        <v>614</v>
      </c>
      <c r="M225" s="576"/>
      <c r="N225" s="576">
        <f t="shared" si="57"/>
        <v>0</v>
      </c>
      <c r="O225" s="577">
        <f t="shared" si="59"/>
        <v>0</v>
      </c>
      <c r="P225" s="578">
        <f t="shared" si="60"/>
        <v>0</v>
      </c>
      <c r="Q225" s="765"/>
      <c r="R225" s="576">
        <f>M225</f>
        <v>0</v>
      </c>
      <c r="S225" s="576">
        <f t="shared" si="61"/>
        <v>0</v>
      </c>
      <c r="T225" s="577">
        <f t="shared" si="62"/>
        <v>0</v>
      </c>
      <c r="U225" s="578">
        <f t="shared" si="63"/>
        <v>0</v>
      </c>
      <c r="V225" s="579"/>
      <c r="W225" s="566"/>
      <c r="X225" s="586" t="str">
        <f t="shared" si="47"/>
        <v/>
      </c>
      <c r="Y225" s="586" t="str">
        <f t="shared" si="56"/>
        <v/>
      </c>
      <c r="Z225" s="586" t="str">
        <f t="shared" si="58"/>
        <v/>
      </c>
    </row>
    <row r="226" spans="1:26" ht="12" hidden="1" thickBot="1" x14ac:dyDescent="0.25">
      <c r="A226" s="652" t="s">
        <v>187</v>
      </c>
      <c r="B226" s="581" t="s">
        <v>187</v>
      </c>
      <c r="C226" s="582" t="s">
        <v>187</v>
      </c>
      <c r="D226" s="583"/>
      <c r="E226" s="584"/>
      <c r="F226" s="438"/>
      <c r="G226" s="439"/>
      <c r="H226" s="440"/>
      <c r="I226" s="441"/>
      <c r="J226" s="442"/>
      <c r="K226" s="443">
        <f t="shared" si="55"/>
        <v>0</v>
      </c>
      <c r="L226" s="453" t="s">
        <v>614</v>
      </c>
      <c r="M226" s="576"/>
      <c r="N226" s="576">
        <f t="shared" si="57"/>
        <v>0</v>
      </c>
      <c r="O226" s="585">
        <f t="shared" si="59"/>
        <v>0</v>
      </c>
      <c r="P226" s="660">
        <f t="shared" si="60"/>
        <v>0</v>
      </c>
      <c r="Q226" s="765"/>
      <c r="R226" s="576">
        <f>M226</f>
        <v>0</v>
      </c>
      <c r="S226" s="576">
        <f t="shared" si="61"/>
        <v>0</v>
      </c>
      <c r="T226" s="585">
        <f t="shared" si="62"/>
        <v>0</v>
      </c>
      <c r="U226" s="660">
        <f t="shared" si="63"/>
        <v>0</v>
      </c>
      <c r="V226" s="579"/>
      <c r="W226" s="566"/>
      <c r="X226" s="586" t="str">
        <f t="shared" ref="X226:X289" si="64">IF(W226="X","x",IF(W226="xx","x",IF(W226="xy","x",IF(W226="y","x",IF(OR(P226&gt;0,U226&gt;0),"x","")))))</f>
        <v/>
      </c>
      <c r="Y226" s="586" t="str">
        <f t="shared" si="56"/>
        <v/>
      </c>
      <c r="Z226" s="586" t="str">
        <f t="shared" si="58"/>
        <v/>
      </c>
    </row>
    <row r="227" spans="1:26" ht="12" thickBot="1" x14ac:dyDescent="0.25">
      <c r="A227" s="567" t="s">
        <v>225</v>
      </c>
      <c r="B227" s="664" t="s">
        <v>225</v>
      </c>
      <c r="C227" s="665"/>
      <c r="D227" s="666" t="s">
        <v>460</v>
      </c>
      <c r="E227" s="631"/>
      <c r="F227" s="632"/>
      <c r="G227" s="633"/>
      <c r="H227" s="634"/>
      <c r="I227" s="409"/>
      <c r="J227" s="409"/>
      <c r="K227" s="409"/>
      <c r="L227" s="674" t="s">
        <v>614</v>
      </c>
      <c r="M227" s="634"/>
      <c r="N227" s="797"/>
      <c r="O227" s="409">
        <f t="shared" si="59"/>
        <v>0</v>
      </c>
      <c r="P227" s="635">
        <f t="shared" si="60"/>
        <v>0</v>
      </c>
      <c r="Q227" s="635">
        <f>SUM(P228:P527)</f>
        <v>165453.20000000001</v>
      </c>
      <c r="R227" s="634"/>
      <c r="S227" s="409"/>
      <c r="T227" s="409">
        <f t="shared" si="62"/>
        <v>0</v>
      </c>
      <c r="U227" s="635">
        <f t="shared" si="63"/>
        <v>0</v>
      </c>
      <c r="V227" s="636">
        <f>SUM(U228:U527)</f>
        <v>165453.20000000001</v>
      </c>
      <c r="W227" s="637" t="str">
        <f>IF(OR(Q227&gt;0,V227&gt;0),"X","")</f>
        <v>X</v>
      </c>
      <c r="X227" s="586" t="str">
        <f t="shared" si="64"/>
        <v>x</v>
      </c>
      <c r="Y227" s="586" t="str">
        <f t="shared" si="56"/>
        <v>x</v>
      </c>
      <c r="Z227" s="586" t="str">
        <f t="shared" si="58"/>
        <v>x</v>
      </c>
    </row>
    <row r="228" spans="1:26" ht="12" thickBot="1" x14ac:dyDescent="0.25">
      <c r="A228" s="567" t="s">
        <v>1743</v>
      </c>
      <c r="B228" s="454" t="s">
        <v>1743</v>
      </c>
      <c r="C228" s="455" t="s">
        <v>484</v>
      </c>
      <c r="D228" s="456" t="s">
        <v>237</v>
      </c>
      <c r="E228" s="457"/>
      <c r="F228" s="458"/>
      <c r="G228" s="459"/>
      <c r="H228" s="675"/>
      <c r="I228" s="460">
        <v>0.5</v>
      </c>
      <c r="J228" s="460">
        <f>IF(ISBLANK(I228),"",SUM(H228:I228))</f>
        <v>0.5</v>
      </c>
      <c r="K228" s="676">
        <f t="shared" ref="K228:K249" si="65">IF(ISBLANK(I228),0,ROUND(J228*(1+$F$10)*(1+$F$11*E228),2))</f>
        <v>0.59</v>
      </c>
      <c r="L228" s="677" t="s">
        <v>18</v>
      </c>
      <c r="M228" s="678">
        <v>1776</v>
      </c>
      <c r="N228" s="798">
        <f t="shared" si="57"/>
        <v>0.59</v>
      </c>
      <c r="O228" s="679">
        <f t="shared" si="59"/>
        <v>1047.8399999999999</v>
      </c>
      <c r="P228" s="680">
        <f t="shared" si="60"/>
        <v>1047.8399999999999</v>
      </c>
      <c r="Q228" s="765"/>
      <c r="R228" s="576">
        <f>M228</f>
        <v>1776</v>
      </c>
      <c r="S228" s="576">
        <f t="shared" si="61"/>
        <v>0.59</v>
      </c>
      <c r="T228" s="577">
        <f t="shared" si="62"/>
        <v>1047.8399999999999</v>
      </c>
      <c r="U228" s="578">
        <f t="shared" si="63"/>
        <v>1047.8399999999999</v>
      </c>
      <c r="V228" s="579"/>
      <c r="W228" s="566"/>
      <c r="X228" s="586" t="str">
        <f t="shared" si="64"/>
        <v>x</v>
      </c>
      <c r="Y228" s="586" t="str">
        <f t="shared" si="56"/>
        <v>x</v>
      </c>
      <c r="Z228" s="586" t="str">
        <f t="shared" si="58"/>
        <v>x</v>
      </c>
    </row>
    <row r="229" spans="1:26" ht="12" hidden="1" thickBot="1" x14ac:dyDescent="0.25">
      <c r="A229" s="567">
        <v>560100</v>
      </c>
      <c r="B229" s="461" t="s">
        <v>1744</v>
      </c>
      <c r="C229" s="462" t="s">
        <v>206</v>
      </c>
      <c r="D229" s="463" t="s">
        <v>1573</v>
      </c>
      <c r="E229" s="464"/>
      <c r="F229" s="465" t="s">
        <v>667</v>
      </c>
      <c r="G229" s="466">
        <v>1.1999999999999999E-3</v>
      </c>
      <c r="H229" s="681"/>
      <c r="I229" s="467">
        <v>0.5</v>
      </c>
      <c r="J229" s="467">
        <f>I229</f>
        <v>0.5</v>
      </c>
      <c r="K229" s="682">
        <f t="shared" si="65"/>
        <v>0.59</v>
      </c>
      <c r="L229" s="683" t="s">
        <v>18</v>
      </c>
      <c r="M229" s="684"/>
      <c r="N229" s="576">
        <f t="shared" si="57"/>
        <v>0</v>
      </c>
      <c r="O229" s="642">
        <f t="shared" si="59"/>
        <v>0</v>
      </c>
      <c r="P229" s="659">
        <f t="shared" si="60"/>
        <v>0</v>
      </c>
      <c r="Q229" s="765"/>
      <c r="R229" s="685">
        <f>M229</f>
        <v>0</v>
      </c>
      <c r="S229" s="686">
        <f t="shared" si="61"/>
        <v>0</v>
      </c>
      <c r="T229" s="687">
        <f t="shared" si="62"/>
        <v>0</v>
      </c>
      <c r="U229" s="688">
        <f t="shared" si="63"/>
        <v>0</v>
      </c>
      <c r="V229" s="579"/>
      <c r="W229" s="566"/>
      <c r="X229" s="586" t="str">
        <f t="shared" si="64"/>
        <v/>
      </c>
      <c r="Y229" s="586" t="str">
        <f t="shared" si="56"/>
        <v/>
      </c>
      <c r="Z229" s="586" t="str">
        <f t="shared" si="58"/>
        <v/>
      </c>
    </row>
    <row r="230" spans="1:26" ht="12" hidden="1" thickBot="1" x14ac:dyDescent="0.25">
      <c r="A230" s="567">
        <v>589420</v>
      </c>
      <c r="B230" s="468" t="s">
        <v>1745</v>
      </c>
      <c r="C230" s="689" t="s">
        <v>1746</v>
      </c>
      <c r="D230" s="469" t="s">
        <v>745</v>
      </c>
      <c r="E230" s="470"/>
      <c r="F230" s="471">
        <v>500</v>
      </c>
      <c r="G230" s="785">
        <v>1</v>
      </c>
      <c r="H230" s="663">
        <f>(0.84*F230+41.45)*G230</f>
        <v>461.45</v>
      </c>
      <c r="I230" s="472">
        <v>3820</v>
      </c>
      <c r="J230" s="472">
        <f>IF(ISBLANK(I230),"",I230*(1+$F$9)/(1+$F$10))+H230</f>
        <v>4167.952819627978</v>
      </c>
      <c r="K230" s="690">
        <f t="shared" si="65"/>
        <v>4951.9399999999996</v>
      </c>
      <c r="L230" s="691" t="s">
        <v>20</v>
      </c>
      <c r="M230" s="692">
        <f>ROUND(M229*G229,2)</f>
        <v>0</v>
      </c>
      <c r="N230" s="799">
        <f t="shared" si="57"/>
        <v>0</v>
      </c>
      <c r="O230" s="693">
        <f t="shared" si="59"/>
        <v>0</v>
      </c>
      <c r="P230" s="694">
        <f t="shared" si="60"/>
        <v>0</v>
      </c>
      <c r="Q230" s="765"/>
      <c r="R230" s="695">
        <f>ROUND(R229*G229,2)</f>
        <v>0</v>
      </c>
      <c r="S230" s="696">
        <f t="shared" si="61"/>
        <v>0</v>
      </c>
      <c r="T230" s="693">
        <f t="shared" si="62"/>
        <v>0</v>
      </c>
      <c r="U230" s="694">
        <f t="shared" si="63"/>
        <v>0</v>
      </c>
      <c r="V230" s="579"/>
      <c r="W230" s="566"/>
      <c r="X230" s="586" t="str">
        <f>IF(W230="X","x",IF(W230="xx","x",IF(W230="xy","x",IF(W230="y","x",IF(OR(P230&gt;0,U230&gt;0),"x","")))))</f>
        <v/>
      </c>
      <c r="Y230" s="586" t="str">
        <f>IF(W230="X","x",IF(W230="y","x",IF(W230="xx","x",IF(U230&gt;0,"x",""))))</f>
        <v/>
      </c>
      <c r="Z230" s="586" t="str">
        <f>IF(W230="X","x",IF(U230&gt;0,"x",""))</f>
        <v/>
      </c>
    </row>
    <row r="231" spans="1:26" ht="12" hidden="1" thickBot="1" x14ac:dyDescent="0.25">
      <c r="A231" s="567">
        <v>560100</v>
      </c>
      <c r="B231" s="461" t="s">
        <v>1747</v>
      </c>
      <c r="C231" s="462" t="s">
        <v>206</v>
      </c>
      <c r="D231" s="463" t="s">
        <v>646</v>
      </c>
      <c r="E231" s="464"/>
      <c r="F231" s="465" t="s">
        <v>667</v>
      </c>
      <c r="G231" s="466">
        <v>1.1000000000000001E-3</v>
      </c>
      <c r="H231" s="681"/>
      <c r="I231" s="467">
        <v>0.5</v>
      </c>
      <c r="J231" s="467">
        <f>IF(ISBLANK(I231),"",SUM(H231:I231))</f>
        <v>0.5</v>
      </c>
      <c r="K231" s="682">
        <f t="shared" si="65"/>
        <v>0.59</v>
      </c>
      <c r="L231" s="683" t="s">
        <v>18</v>
      </c>
      <c r="M231" s="684"/>
      <c r="N231" s="576">
        <f t="shared" si="57"/>
        <v>0</v>
      </c>
      <c r="O231" s="642">
        <f t="shared" si="59"/>
        <v>0</v>
      </c>
      <c r="P231" s="659">
        <f t="shared" si="60"/>
        <v>0</v>
      </c>
      <c r="Q231" s="765"/>
      <c r="R231" s="685">
        <f>M231</f>
        <v>0</v>
      </c>
      <c r="S231" s="686">
        <f t="shared" si="61"/>
        <v>0</v>
      </c>
      <c r="T231" s="687">
        <f t="shared" si="62"/>
        <v>0</v>
      </c>
      <c r="U231" s="688">
        <f t="shared" si="63"/>
        <v>0</v>
      </c>
      <c r="V231" s="579"/>
      <c r="W231" s="566"/>
      <c r="X231" s="586" t="str">
        <f t="shared" si="64"/>
        <v/>
      </c>
      <c r="Y231" s="586" t="str">
        <f t="shared" si="56"/>
        <v/>
      </c>
      <c r="Z231" s="586" t="str">
        <f t="shared" si="58"/>
        <v/>
      </c>
    </row>
    <row r="232" spans="1:26" ht="12" hidden="1" thickBot="1" x14ac:dyDescent="0.25">
      <c r="A232" s="567">
        <v>589190</v>
      </c>
      <c r="B232" s="468" t="s">
        <v>1748</v>
      </c>
      <c r="C232" s="689" t="s">
        <v>1746</v>
      </c>
      <c r="D232" s="469" t="s">
        <v>746</v>
      </c>
      <c r="E232" s="470"/>
      <c r="F232" s="471">
        <v>500</v>
      </c>
      <c r="G232" s="785">
        <v>1</v>
      </c>
      <c r="H232" s="663">
        <f>(0.84*F232+41.45)*G232</f>
        <v>461.45</v>
      </c>
      <c r="I232" s="472">
        <v>4040</v>
      </c>
      <c r="J232" s="472">
        <f>IF(ISBLANK(I232),"",I232*(1+$F$9)/(1+$F$10))+H232</f>
        <v>4381.4163328002696</v>
      </c>
      <c r="K232" s="690">
        <f t="shared" si="65"/>
        <v>5205.5600000000004</v>
      </c>
      <c r="L232" s="691" t="s">
        <v>20</v>
      </c>
      <c r="M232" s="692">
        <f>ROUND(M231*G231,2)</f>
        <v>0</v>
      </c>
      <c r="N232" s="799">
        <f t="shared" si="57"/>
        <v>0</v>
      </c>
      <c r="O232" s="693">
        <f t="shared" si="59"/>
        <v>0</v>
      </c>
      <c r="P232" s="694">
        <f t="shared" si="60"/>
        <v>0</v>
      </c>
      <c r="Q232" s="765"/>
      <c r="R232" s="695">
        <f>ROUND(R231*G231,2)</f>
        <v>0</v>
      </c>
      <c r="S232" s="696">
        <f t="shared" si="61"/>
        <v>0</v>
      </c>
      <c r="T232" s="693">
        <f t="shared" si="62"/>
        <v>0</v>
      </c>
      <c r="U232" s="694">
        <f t="shared" si="63"/>
        <v>0</v>
      </c>
      <c r="V232" s="579"/>
      <c r="W232" s="566"/>
      <c r="X232" s="586" t="str">
        <f t="shared" si="64"/>
        <v/>
      </c>
      <c r="Y232" s="586" t="str">
        <f t="shared" si="56"/>
        <v/>
      </c>
      <c r="Z232" s="586" t="str">
        <f t="shared" si="58"/>
        <v/>
      </c>
    </row>
    <row r="233" spans="1:26" ht="12" hidden="1" thickBot="1" x14ac:dyDescent="0.25">
      <c r="A233" s="567">
        <v>560400</v>
      </c>
      <c r="B233" s="461" t="s">
        <v>1749</v>
      </c>
      <c r="C233" s="462" t="s">
        <v>206</v>
      </c>
      <c r="D233" s="463" t="s">
        <v>647</v>
      </c>
      <c r="E233" s="464"/>
      <c r="F233" s="465" t="s">
        <v>667</v>
      </c>
      <c r="G233" s="466">
        <v>1.1999999999999999E-3</v>
      </c>
      <c r="H233" s="681"/>
      <c r="I233" s="467">
        <v>0.5</v>
      </c>
      <c r="J233" s="467">
        <f>IF(ISBLANK(I233),"",SUM(H233:I233))</f>
        <v>0.5</v>
      </c>
      <c r="K233" s="682">
        <f t="shared" si="65"/>
        <v>0.59</v>
      </c>
      <c r="L233" s="683" t="s">
        <v>18</v>
      </c>
      <c r="M233" s="684"/>
      <c r="N233" s="576">
        <f t="shared" si="57"/>
        <v>0</v>
      </c>
      <c r="O233" s="642">
        <f t="shared" si="59"/>
        <v>0</v>
      </c>
      <c r="P233" s="659">
        <f t="shared" si="60"/>
        <v>0</v>
      </c>
      <c r="Q233" s="765"/>
      <c r="R233" s="685">
        <f>M233</f>
        <v>0</v>
      </c>
      <c r="S233" s="686">
        <f t="shared" si="61"/>
        <v>0</v>
      </c>
      <c r="T233" s="687">
        <f t="shared" si="62"/>
        <v>0</v>
      </c>
      <c r="U233" s="688">
        <f t="shared" si="63"/>
        <v>0</v>
      </c>
      <c r="V233" s="579"/>
      <c r="W233" s="566"/>
      <c r="X233" s="586" t="str">
        <f t="shared" si="64"/>
        <v/>
      </c>
      <c r="Y233" s="586" t="str">
        <f t="shared" si="56"/>
        <v/>
      </c>
      <c r="Z233" s="586" t="str">
        <f t="shared" si="58"/>
        <v/>
      </c>
    </row>
    <row r="234" spans="1:26" ht="12" hidden="1" thickBot="1" x14ac:dyDescent="0.25">
      <c r="A234" s="567">
        <v>589100</v>
      </c>
      <c r="B234" s="468" t="s">
        <v>1750</v>
      </c>
      <c r="C234" s="689" t="s">
        <v>1746</v>
      </c>
      <c r="D234" s="469" t="s">
        <v>653</v>
      </c>
      <c r="E234" s="470"/>
      <c r="F234" s="471">
        <v>500</v>
      </c>
      <c r="G234" s="785">
        <v>1</v>
      </c>
      <c r="H234" s="663">
        <f>(0.84*F234+41.45)*G234</f>
        <v>461.45</v>
      </c>
      <c r="I234" s="472">
        <v>6629</v>
      </c>
      <c r="J234" s="472">
        <f>IF(ISBLANK(I234),"",I234*(1+$F$9)/(1+$F$10))+H234</f>
        <v>6893.4937673596505</v>
      </c>
      <c r="K234" s="690">
        <f t="shared" si="65"/>
        <v>8190.16</v>
      </c>
      <c r="L234" s="691" t="s">
        <v>20</v>
      </c>
      <c r="M234" s="692">
        <f>ROUND(M233*G233,2)</f>
        <v>0</v>
      </c>
      <c r="N234" s="799">
        <f t="shared" si="57"/>
        <v>0</v>
      </c>
      <c r="O234" s="693">
        <f t="shared" si="59"/>
        <v>0</v>
      </c>
      <c r="P234" s="694">
        <f t="shared" si="60"/>
        <v>0</v>
      </c>
      <c r="Q234" s="765"/>
      <c r="R234" s="695">
        <f>ROUND(R233*G233,2)</f>
        <v>0</v>
      </c>
      <c r="S234" s="696">
        <f t="shared" si="61"/>
        <v>0</v>
      </c>
      <c r="T234" s="693">
        <f t="shared" si="62"/>
        <v>0</v>
      </c>
      <c r="U234" s="694">
        <f t="shared" si="63"/>
        <v>0</v>
      </c>
      <c r="V234" s="579"/>
      <c r="W234" s="566"/>
      <c r="X234" s="586" t="str">
        <f>IF(W234="X","x",IF(W234="xx","x",IF(W234="xy","x",IF(W234="y","x",IF(OR(P234&gt;0,U234&gt;0),"x","")))))</f>
        <v/>
      </c>
      <c r="Y234" s="586" t="str">
        <f>IF(W234="X","x",IF(W234="y","x",IF(W234="xx","x",IF(U234&gt;0,"x",""))))</f>
        <v/>
      </c>
      <c r="Z234" s="586" t="str">
        <f>IF(W234="X","x",IF(U234&gt;0,"x",""))</f>
        <v/>
      </c>
    </row>
    <row r="235" spans="1:26" x14ac:dyDescent="0.2">
      <c r="A235" s="567">
        <v>561100</v>
      </c>
      <c r="B235" s="461" t="s">
        <v>1751</v>
      </c>
      <c r="C235" s="462" t="s">
        <v>206</v>
      </c>
      <c r="D235" s="463" t="s">
        <v>747</v>
      </c>
      <c r="E235" s="464"/>
      <c r="F235" s="465" t="s">
        <v>667</v>
      </c>
      <c r="G235" s="466">
        <v>5.0000000000000001E-4</v>
      </c>
      <c r="H235" s="681"/>
      <c r="I235" s="467">
        <v>0.34</v>
      </c>
      <c r="J235" s="467">
        <f>IF(ISBLANK(I235),"",SUM(H235:I235))</f>
        <v>0.34</v>
      </c>
      <c r="K235" s="682">
        <f t="shared" si="65"/>
        <v>0.4</v>
      </c>
      <c r="L235" s="683" t="s">
        <v>18</v>
      </c>
      <c r="M235" s="684">
        <v>3552</v>
      </c>
      <c r="N235" s="576">
        <f t="shared" si="57"/>
        <v>0.4</v>
      </c>
      <c r="O235" s="642">
        <f t="shared" si="59"/>
        <v>1420.8</v>
      </c>
      <c r="P235" s="659">
        <f t="shared" si="60"/>
        <v>1420.8</v>
      </c>
      <c r="Q235" s="765"/>
      <c r="R235" s="685">
        <f>M235</f>
        <v>3552</v>
      </c>
      <c r="S235" s="686">
        <f t="shared" si="61"/>
        <v>0.4</v>
      </c>
      <c r="T235" s="687">
        <f t="shared" si="62"/>
        <v>1420.8</v>
      </c>
      <c r="U235" s="688">
        <f t="shared" si="63"/>
        <v>1420.8</v>
      </c>
      <c r="V235" s="579"/>
      <c r="W235" s="566"/>
      <c r="X235" s="586" t="str">
        <f t="shared" si="64"/>
        <v>x</v>
      </c>
      <c r="Y235" s="586" t="str">
        <f t="shared" si="56"/>
        <v>x</v>
      </c>
      <c r="Z235" s="586" t="str">
        <f t="shared" si="58"/>
        <v>x</v>
      </c>
    </row>
    <row r="236" spans="1:26" ht="12" thickBot="1" x14ac:dyDescent="0.25">
      <c r="A236" s="567">
        <v>589420</v>
      </c>
      <c r="B236" s="468" t="s">
        <v>1752</v>
      </c>
      <c r="C236" s="689" t="s">
        <v>1746</v>
      </c>
      <c r="D236" s="469" t="s">
        <v>748</v>
      </c>
      <c r="E236" s="470"/>
      <c r="F236" s="807">
        <v>465</v>
      </c>
      <c r="G236" s="697">
        <v>1</v>
      </c>
      <c r="H236" s="663">
        <f>(0.84*F236+41.45)*G236</f>
        <v>432.04999999999995</v>
      </c>
      <c r="I236" s="472">
        <v>3820</v>
      </c>
      <c r="J236" s="472">
        <f>IF(ISBLANK(I236),"",I236*(1+$F$9)/(1+$F$10))+H236</f>
        <v>4138.5528196279774</v>
      </c>
      <c r="K236" s="690">
        <f t="shared" si="65"/>
        <v>4917.01</v>
      </c>
      <c r="L236" s="691" t="s">
        <v>20</v>
      </c>
      <c r="M236" s="692">
        <f>ROUND(M235*G235,2)</f>
        <v>1.78</v>
      </c>
      <c r="N236" s="799">
        <f t="shared" si="57"/>
        <v>4917.01</v>
      </c>
      <c r="O236" s="693">
        <f t="shared" si="59"/>
        <v>8752.2800000000007</v>
      </c>
      <c r="P236" s="694">
        <f t="shared" si="60"/>
        <v>8752.2800000000007</v>
      </c>
      <c r="Q236" s="765"/>
      <c r="R236" s="695">
        <f>ROUND(R235*G235,2)</f>
        <v>1.78</v>
      </c>
      <c r="S236" s="696">
        <f t="shared" si="61"/>
        <v>4917.01</v>
      </c>
      <c r="T236" s="693">
        <f t="shared" si="62"/>
        <v>8752.2800000000007</v>
      </c>
      <c r="U236" s="694">
        <f t="shared" si="63"/>
        <v>8752.2800000000007</v>
      </c>
      <c r="V236" s="579"/>
      <c r="W236" s="566"/>
      <c r="X236" s="586" t="str">
        <f>IF(W236="X","x",IF(W236="xx","x",IF(W236="xy","x",IF(W236="y","x",IF(OR(P236&gt;0,U236&gt;0),"x","")))))</f>
        <v>x</v>
      </c>
      <c r="Y236" s="586" t="str">
        <f>IF(W236="X","x",IF(W236="y","x",IF(W236="xx","x",IF(U236&gt;0,"x",""))))</f>
        <v>x</v>
      </c>
      <c r="Z236" s="586" t="str">
        <f>IF(W236="X","x",IF(U236&gt;0,"x",""))</f>
        <v>x</v>
      </c>
    </row>
    <row r="237" spans="1:26" ht="12" hidden="1" thickBot="1" x14ac:dyDescent="0.25">
      <c r="A237" s="567">
        <v>521450</v>
      </c>
      <c r="B237" s="450" t="s">
        <v>1753</v>
      </c>
      <c r="C237" s="473" t="s">
        <v>206</v>
      </c>
      <c r="D237" s="422" t="s">
        <v>238</v>
      </c>
      <c r="E237" s="423"/>
      <c r="F237" s="424">
        <v>20</v>
      </c>
      <c r="G237" s="413">
        <v>0.3</v>
      </c>
      <c r="H237" s="681">
        <f t="shared" ref="H237:H238" si="66">IF(F237&lt;=30,(1.07*F237+2.68)*G237,((1.07*30+2.68)+1.07*(F237-30))*G237)</f>
        <v>7.2240000000000002</v>
      </c>
      <c r="I237" s="420">
        <v>24.94</v>
      </c>
      <c r="J237" s="420">
        <f t="shared" ref="J237:J253" si="67">IF(ISBLANK(I237),"",SUM(H237:I237))</f>
        <v>32.164000000000001</v>
      </c>
      <c r="K237" s="421">
        <f t="shared" si="65"/>
        <v>38.21</v>
      </c>
      <c r="L237" s="647" t="s">
        <v>18</v>
      </c>
      <c r="M237" s="576"/>
      <c r="N237" s="576">
        <f t="shared" si="57"/>
        <v>0</v>
      </c>
      <c r="O237" s="577">
        <f t="shared" si="59"/>
        <v>0</v>
      </c>
      <c r="P237" s="578">
        <f t="shared" si="60"/>
        <v>0</v>
      </c>
      <c r="Q237" s="765"/>
      <c r="R237" s="576">
        <f t="shared" ref="R237:R255" si="68">M237</f>
        <v>0</v>
      </c>
      <c r="S237" s="576">
        <f t="shared" si="61"/>
        <v>0</v>
      </c>
      <c r="T237" s="577">
        <f t="shared" si="62"/>
        <v>0</v>
      </c>
      <c r="U237" s="578">
        <f t="shared" si="63"/>
        <v>0</v>
      </c>
      <c r="V237" s="579"/>
      <c r="W237" s="566"/>
      <c r="X237" s="586" t="str">
        <f t="shared" si="64"/>
        <v/>
      </c>
      <c r="Y237" s="586" t="str">
        <f t="shared" si="56"/>
        <v/>
      </c>
      <c r="Z237" s="586" t="str">
        <f t="shared" si="58"/>
        <v/>
      </c>
    </row>
    <row r="238" spans="1:26" ht="12" hidden="1" thickBot="1" x14ac:dyDescent="0.25">
      <c r="A238" s="567">
        <v>535200</v>
      </c>
      <c r="B238" s="644" t="s">
        <v>1542</v>
      </c>
      <c r="C238" s="645" t="s">
        <v>206</v>
      </c>
      <c r="D238" s="422" t="s">
        <v>239</v>
      </c>
      <c r="E238" s="423"/>
      <c r="F238" s="424">
        <v>20</v>
      </c>
      <c r="G238" s="419">
        <v>7.6999999999999999E-2</v>
      </c>
      <c r="H238" s="663">
        <f t="shared" si="66"/>
        <v>1.85416</v>
      </c>
      <c r="I238" s="420">
        <v>10.85</v>
      </c>
      <c r="J238" s="420">
        <f t="shared" si="67"/>
        <v>12.70416</v>
      </c>
      <c r="K238" s="421">
        <f t="shared" si="65"/>
        <v>15.09</v>
      </c>
      <c r="L238" s="647" t="s">
        <v>19</v>
      </c>
      <c r="M238" s="576"/>
      <c r="N238" s="576">
        <f t="shared" si="57"/>
        <v>0</v>
      </c>
      <c r="O238" s="577">
        <f t="shared" si="59"/>
        <v>0</v>
      </c>
      <c r="P238" s="578">
        <f t="shared" si="60"/>
        <v>0</v>
      </c>
      <c r="Q238" s="765"/>
      <c r="R238" s="576">
        <f t="shared" si="68"/>
        <v>0</v>
      </c>
      <c r="S238" s="576">
        <f t="shared" si="61"/>
        <v>0</v>
      </c>
      <c r="T238" s="577">
        <f t="shared" si="62"/>
        <v>0</v>
      </c>
      <c r="U238" s="578">
        <f t="shared" si="63"/>
        <v>0</v>
      </c>
      <c r="V238" s="579"/>
      <c r="W238" s="566"/>
      <c r="X238" s="586" t="str">
        <f t="shared" si="64"/>
        <v/>
      </c>
      <c r="Y238" s="586" t="str">
        <f t="shared" si="56"/>
        <v/>
      </c>
      <c r="Z238" s="586" t="str">
        <f t="shared" si="58"/>
        <v/>
      </c>
    </row>
    <row r="239" spans="1:26" ht="12" hidden="1" thickBot="1" x14ac:dyDescent="0.25">
      <c r="A239" s="567">
        <v>521450</v>
      </c>
      <c r="B239" s="644" t="s">
        <v>1543</v>
      </c>
      <c r="C239" s="645" t="s">
        <v>206</v>
      </c>
      <c r="D239" s="422" t="s">
        <v>485</v>
      </c>
      <c r="E239" s="423"/>
      <c r="F239" s="424"/>
      <c r="G239" s="419"/>
      <c r="H239" s="651"/>
      <c r="I239" s="420">
        <v>9.42</v>
      </c>
      <c r="J239" s="420">
        <f t="shared" si="67"/>
        <v>9.42</v>
      </c>
      <c r="K239" s="421">
        <f t="shared" si="65"/>
        <v>11.19</v>
      </c>
      <c r="L239" s="647" t="s">
        <v>18</v>
      </c>
      <c r="M239" s="576"/>
      <c r="N239" s="576">
        <f t="shared" si="57"/>
        <v>0</v>
      </c>
      <c r="O239" s="577">
        <f t="shared" si="59"/>
        <v>0</v>
      </c>
      <c r="P239" s="578">
        <f t="shared" si="60"/>
        <v>0</v>
      </c>
      <c r="Q239" s="765"/>
      <c r="R239" s="576">
        <f t="shared" si="68"/>
        <v>0</v>
      </c>
      <c r="S239" s="576">
        <f t="shared" si="61"/>
        <v>0</v>
      </c>
      <c r="T239" s="577">
        <f t="shared" si="62"/>
        <v>0</v>
      </c>
      <c r="U239" s="578">
        <f t="shared" si="63"/>
        <v>0</v>
      </c>
      <c r="V239" s="579"/>
      <c r="W239" s="566"/>
      <c r="X239" s="586" t="str">
        <f t="shared" si="64"/>
        <v/>
      </c>
      <c r="Y239" s="586" t="str">
        <f t="shared" si="56"/>
        <v/>
      </c>
      <c r="Z239" s="586" t="str">
        <f t="shared" si="58"/>
        <v/>
      </c>
    </row>
    <row r="240" spans="1:26" ht="12" hidden="1" thickBot="1" x14ac:dyDescent="0.25">
      <c r="A240" s="567">
        <v>521450</v>
      </c>
      <c r="B240" s="644" t="s">
        <v>1544</v>
      </c>
      <c r="C240" s="645" t="s">
        <v>206</v>
      </c>
      <c r="D240" s="422" t="s">
        <v>240</v>
      </c>
      <c r="E240" s="423"/>
      <c r="F240" s="424"/>
      <c r="G240" s="419"/>
      <c r="H240" s="651"/>
      <c r="I240" s="420">
        <v>13.188000000000001</v>
      </c>
      <c r="J240" s="420">
        <f t="shared" si="67"/>
        <v>13.188000000000001</v>
      </c>
      <c r="K240" s="421">
        <f t="shared" si="65"/>
        <v>15.67</v>
      </c>
      <c r="L240" s="647" t="s">
        <v>18</v>
      </c>
      <c r="M240" s="576"/>
      <c r="N240" s="576">
        <f t="shared" si="57"/>
        <v>0</v>
      </c>
      <c r="O240" s="577">
        <f t="shared" si="59"/>
        <v>0</v>
      </c>
      <c r="P240" s="578">
        <f t="shared" si="60"/>
        <v>0</v>
      </c>
      <c r="Q240" s="765"/>
      <c r="R240" s="576">
        <f t="shared" si="68"/>
        <v>0</v>
      </c>
      <c r="S240" s="576">
        <f t="shared" si="61"/>
        <v>0</v>
      </c>
      <c r="T240" s="577">
        <f t="shared" si="62"/>
        <v>0</v>
      </c>
      <c r="U240" s="578">
        <f t="shared" si="63"/>
        <v>0</v>
      </c>
      <c r="V240" s="579"/>
      <c r="W240" s="566"/>
      <c r="X240" s="586" t="str">
        <f t="shared" si="64"/>
        <v/>
      </c>
      <c r="Y240" s="586" t="str">
        <f t="shared" si="56"/>
        <v/>
      </c>
      <c r="Z240" s="586" t="str">
        <f t="shared" si="58"/>
        <v/>
      </c>
    </row>
    <row r="241" spans="1:26" ht="12" hidden="1" thickBot="1" x14ac:dyDescent="0.25">
      <c r="A241" s="567">
        <v>535000</v>
      </c>
      <c r="B241" s="644" t="s">
        <v>1754</v>
      </c>
      <c r="C241" s="645" t="s">
        <v>206</v>
      </c>
      <c r="D241" s="422" t="s">
        <v>241</v>
      </c>
      <c r="E241" s="423"/>
      <c r="F241" s="424">
        <v>20</v>
      </c>
      <c r="G241" s="425">
        <v>0.27200000000000002</v>
      </c>
      <c r="H241" s="663">
        <f t="shared" ref="H241:H258" si="69">IF(F241&lt;=30,(1.07*F241+2.68)*G241,((1.07*30+2.68)+1.07*(F241-30))*G241)</f>
        <v>6.5497600000000009</v>
      </c>
      <c r="I241" s="420">
        <v>105.75</v>
      </c>
      <c r="J241" s="420">
        <f t="shared" si="67"/>
        <v>112.29976000000001</v>
      </c>
      <c r="K241" s="421">
        <f t="shared" si="65"/>
        <v>133.41999999999999</v>
      </c>
      <c r="L241" s="647" t="s">
        <v>18</v>
      </c>
      <c r="M241" s="576"/>
      <c r="N241" s="576">
        <f t="shared" si="57"/>
        <v>0</v>
      </c>
      <c r="O241" s="577">
        <f t="shared" si="59"/>
        <v>0</v>
      </c>
      <c r="P241" s="578">
        <f t="shared" si="60"/>
        <v>0</v>
      </c>
      <c r="Q241" s="765"/>
      <c r="R241" s="576">
        <f t="shared" si="68"/>
        <v>0</v>
      </c>
      <c r="S241" s="576">
        <f t="shared" si="61"/>
        <v>0</v>
      </c>
      <c r="T241" s="577">
        <f t="shared" si="62"/>
        <v>0</v>
      </c>
      <c r="U241" s="578">
        <f t="shared" si="63"/>
        <v>0</v>
      </c>
      <c r="V241" s="579"/>
      <c r="W241" s="566"/>
      <c r="X241" s="586" t="str">
        <f t="shared" si="64"/>
        <v/>
      </c>
      <c r="Y241" s="586" t="str">
        <f t="shared" si="56"/>
        <v/>
      </c>
      <c r="Z241" s="586" t="str">
        <f t="shared" si="58"/>
        <v/>
      </c>
    </row>
    <row r="242" spans="1:26" ht="12" hidden="1" thickBot="1" x14ac:dyDescent="0.25">
      <c r="A242" s="567">
        <v>863000</v>
      </c>
      <c r="B242" s="644" t="s">
        <v>1549</v>
      </c>
      <c r="C242" s="645" t="s">
        <v>206</v>
      </c>
      <c r="D242" s="422" t="s">
        <v>242</v>
      </c>
      <c r="E242" s="423"/>
      <c r="F242" s="424">
        <v>20</v>
      </c>
      <c r="G242" s="425">
        <f>2*0.04</f>
        <v>0.08</v>
      </c>
      <c r="H242" s="663">
        <f t="shared" si="69"/>
        <v>1.9264000000000001</v>
      </c>
      <c r="I242" s="420">
        <v>58.207999999999998</v>
      </c>
      <c r="J242" s="420">
        <f t="shared" si="67"/>
        <v>60.134399999999999</v>
      </c>
      <c r="K242" s="421">
        <f t="shared" si="65"/>
        <v>71.45</v>
      </c>
      <c r="L242" s="647" t="s">
        <v>18</v>
      </c>
      <c r="M242" s="576"/>
      <c r="N242" s="576">
        <f t="shared" si="57"/>
        <v>0</v>
      </c>
      <c r="O242" s="577">
        <f t="shared" si="59"/>
        <v>0</v>
      </c>
      <c r="P242" s="578">
        <f t="shared" si="60"/>
        <v>0</v>
      </c>
      <c r="Q242" s="765"/>
      <c r="R242" s="576">
        <f t="shared" si="68"/>
        <v>0</v>
      </c>
      <c r="S242" s="576">
        <f t="shared" si="61"/>
        <v>0</v>
      </c>
      <c r="T242" s="577">
        <f t="shared" si="62"/>
        <v>0</v>
      </c>
      <c r="U242" s="578">
        <f t="shared" si="63"/>
        <v>0</v>
      </c>
      <c r="V242" s="579"/>
      <c r="W242" s="566"/>
      <c r="X242" s="586" t="str">
        <f t="shared" si="64"/>
        <v/>
      </c>
      <c r="Y242" s="586" t="str">
        <f t="shared" si="56"/>
        <v/>
      </c>
      <c r="Z242" s="586" t="str">
        <f t="shared" si="58"/>
        <v/>
      </c>
    </row>
    <row r="243" spans="1:26" ht="12" hidden="1" thickBot="1" x14ac:dyDescent="0.25">
      <c r="A243" s="567">
        <v>863000</v>
      </c>
      <c r="B243" s="644" t="s">
        <v>1550</v>
      </c>
      <c r="C243" s="645" t="s">
        <v>206</v>
      </c>
      <c r="D243" s="422" t="s">
        <v>243</v>
      </c>
      <c r="E243" s="423"/>
      <c r="F243" s="424">
        <v>20</v>
      </c>
      <c r="G243" s="425">
        <f>2*0.05</f>
        <v>0.1</v>
      </c>
      <c r="H243" s="663">
        <f t="shared" si="69"/>
        <v>2.4080000000000004</v>
      </c>
      <c r="I243" s="420">
        <v>65.48</v>
      </c>
      <c r="J243" s="420">
        <f t="shared" si="67"/>
        <v>67.888000000000005</v>
      </c>
      <c r="K243" s="421">
        <f t="shared" si="65"/>
        <v>80.66</v>
      </c>
      <c r="L243" s="647" t="s">
        <v>18</v>
      </c>
      <c r="M243" s="576"/>
      <c r="N243" s="576">
        <f t="shared" si="57"/>
        <v>0</v>
      </c>
      <c r="O243" s="577">
        <f t="shared" si="59"/>
        <v>0</v>
      </c>
      <c r="P243" s="578">
        <f t="shared" si="60"/>
        <v>0</v>
      </c>
      <c r="Q243" s="765"/>
      <c r="R243" s="576">
        <f t="shared" si="68"/>
        <v>0</v>
      </c>
      <c r="S243" s="576">
        <f t="shared" si="61"/>
        <v>0</v>
      </c>
      <c r="T243" s="577">
        <f t="shared" si="62"/>
        <v>0</v>
      </c>
      <c r="U243" s="578">
        <f t="shared" si="63"/>
        <v>0</v>
      </c>
      <c r="V243" s="579"/>
      <c r="W243" s="566"/>
      <c r="X243" s="586" t="str">
        <f t="shared" si="64"/>
        <v/>
      </c>
      <c r="Y243" s="586" t="str">
        <f t="shared" si="56"/>
        <v/>
      </c>
      <c r="Z243" s="586" t="str">
        <f t="shared" si="58"/>
        <v/>
      </c>
    </row>
    <row r="244" spans="1:26" ht="12" hidden="1" thickBot="1" x14ac:dyDescent="0.25">
      <c r="A244" s="567">
        <v>534906</v>
      </c>
      <c r="B244" s="644" t="s">
        <v>1551</v>
      </c>
      <c r="C244" s="645" t="s">
        <v>206</v>
      </c>
      <c r="D244" s="422" t="s">
        <v>244</v>
      </c>
      <c r="E244" s="423"/>
      <c r="F244" s="424">
        <v>20</v>
      </c>
      <c r="G244" s="425">
        <f>2*0.06</f>
        <v>0.12</v>
      </c>
      <c r="H244" s="663">
        <f t="shared" si="69"/>
        <v>2.8896000000000002</v>
      </c>
      <c r="I244" s="420">
        <v>72.759999999999991</v>
      </c>
      <c r="J244" s="420">
        <f t="shared" si="67"/>
        <v>75.649599999999992</v>
      </c>
      <c r="K244" s="421">
        <f t="shared" si="65"/>
        <v>89.88</v>
      </c>
      <c r="L244" s="647" t="s">
        <v>18</v>
      </c>
      <c r="M244" s="576"/>
      <c r="N244" s="576">
        <f t="shared" si="57"/>
        <v>0</v>
      </c>
      <c r="O244" s="577">
        <f t="shared" si="59"/>
        <v>0</v>
      </c>
      <c r="P244" s="578">
        <f t="shared" si="60"/>
        <v>0</v>
      </c>
      <c r="Q244" s="765"/>
      <c r="R244" s="576">
        <f t="shared" si="68"/>
        <v>0</v>
      </c>
      <c r="S244" s="576">
        <f t="shared" si="61"/>
        <v>0</v>
      </c>
      <c r="T244" s="577">
        <f t="shared" si="62"/>
        <v>0</v>
      </c>
      <c r="U244" s="578">
        <f t="shared" si="63"/>
        <v>0</v>
      </c>
      <c r="V244" s="579"/>
      <c r="W244" s="566"/>
      <c r="X244" s="586" t="str">
        <f t="shared" si="64"/>
        <v/>
      </c>
      <c r="Y244" s="586" t="str">
        <f t="shared" si="56"/>
        <v/>
      </c>
      <c r="Z244" s="586" t="str">
        <f t="shared" si="58"/>
        <v/>
      </c>
    </row>
    <row r="245" spans="1:26" ht="12" hidden="1" thickBot="1" x14ac:dyDescent="0.25">
      <c r="A245" s="567">
        <v>534906</v>
      </c>
      <c r="B245" s="644" t="s">
        <v>1552</v>
      </c>
      <c r="C245" s="645" t="s">
        <v>206</v>
      </c>
      <c r="D245" s="422" t="s">
        <v>245</v>
      </c>
      <c r="E245" s="423"/>
      <c r="F245" s="424">
        <v>20</v>
      </c>
      <c r="G245" s="425">
        <f>2*0.07</f>
        <v>0.14000000000000001</v>
      </c>
      <c r="H245" s="663">
        <f t="shared" si="69"/>
        <v>3.3712000000000004</v>
      </c>
      <c r="I245" s="420">
        <v>78.16</v>
      </c>
      <c r="J245" s="420">
        <f t="shared" si="67"/>
        <v>81.531199999999998</v>
      </c>
      <c r="K245" s="421">
        <f t="shared" si="65"/>
        <v>96.87</v>
      </c>
      <c r="L245" s="647" t="s">
        <v>18</v>
      </c>
      <c r="M245" s="576"/>
      <c r="N245" s="576">
        <f t="shared" si="57"/>
        <v>0</v>
      </c>
      <c r="O245" s="577">
        <f t="shared" si="59"/>
        <v>0</v>
      </c>
      <c r="P245" s="578">
        <f t="shared" si="60"/>
        <v>0</v>
      </c>
      <c r="Q245" s="765"/>
      <c r="R245" s="576">
        <f t="shared" si="68"/>
        <v>0</v>
      </c>
      <c r="S245" s="576">
        <f t="shared" si="61"/>
        <v>0</v>
      </c>
      <c r="T245" s="577">
        <f t="shared" si="62"/>
        <v>0</v>
      </c>
      <c r="U245" s="578">
        <f t="shared" si="63"/>
        <v>0</v>
      </c>
      <c r="V245" s="579"/>
      <c r="W245" s="566"/>
      <c r="X245" s="586" t="str">
        <f t="shared" si="64"/>
        <v/>
      </c>
      <c r="Y245" s="586" t="str">
        <f t="shared" si="56"/>
        <v/>
      </c>
      <c r="Z245" s="586" t="str">
        <f t="shared" si="58"/>
        <v/>
      </c>
    </row>
    <row r="246" spans="1:26" ht="12" hidden="1" thickBot="1" x14ac:dyDescent="0.25">
      <c r="A246" s="567">
        <v>534906</v>
      </c>
      <c r="B246" s="644" t="s">
        <v>172</v>
      </c>
      <c r="C246" s="645" t="s">
        <v>206</v>
      </c>
      <c r="D246" s="422" t="s">
        <v>246</v>
      </c>
      <c r="E246" s="423"/>
      <c r="F246" s="424">
        <v>20</v>
      </c>
      <c r="G246" s="425">
        <f>2*0.08</f>
        <v>0.16</v>
      </c>
      <c r="H246" s="663">
        <f t="shared" si="69"/>
        <v>3.8528000000000002</v>
      </c>
      <c r="I246" s="420">
        <v>83.56</v>
      </c>
      <c r="J246" s="420">
        <f t="shared" si="67"/>
        <v>87.412800000000004</v>
      </c>
      <c r="K246" s="421">
        <f t="shared" si="65"/>
        <v>103.86</v>
      </c>
      <c r="L246" s="647" t="s">
        <v>18</v>
      </c>
      <c r="M246" s="576"/>
      <c r="N246" s="576">
        <f t="shared" si="57"/>
        <v>0</v>
      </c>
      <c r="O246" s="577">
        <f t="shared" si="59"/>
        <v>0</v>
      </c>
      <c r="P246" s="578">
        <f t="shared" si="60"/>
        <v>0</v>
      </c>
      <c r="Q246" s="765"/>
      <c r="R246" s="576">
        <f t="shared" si="68"/>
        <v>0</v>
      </c>
      <c r="S246" s="576">
        <f t="shared" si="61"/>
        <v>0</v>
      </c>
      <c r="T246" s="577">
        <f t="shared" si="62"/>
        <v>0</v>
      </c>
      <c r="U246" s="578">
        <f t="shared" si="63"/>
        <v>0</v>
      </c>
      <c r="V246" s="579"/>
      <c r="W246" s="566"/>
      <c r="X246" s="586" t="str">
        <f t="shared" si="64"/>
        <v/>
      </c>
      <c r="Y246" s="586" t="str">
        <f t="shared" si="56"/>
        <v/>
      </c>
      <c r="Z246" s="586" t="str">
        <f t="shared" si="58"/>
        <v/>
      </c>
    </row>
    <row r="247" spans="1:26" ht="12" hidden="1" thickBot="1" x14ac:dyDescent="0.25">
      <c r="A247" s="567">
        <v>534906</v>
      </c>
      <c r="B247" s="644" t="s">
        <v>229</v>
      </c>
      <c r="C247" s="645" t="s">
        <v>206</v>
      </c>
      <c r="D247" s="422" t="s">
        <v>247</v>
      </c>
      <c r="E247" s="423"/>
      <c r="F247" s="424">
        <v>20</v>
      </c>
      <c r="G247" s="425">
        <f>2*0.1</f>
        <v>0.2</v>
      </c>
      <c r="H247" s="663">
        <f t="shared" si="69"/>
        <v>4.8160000000000007</v>
      </c>
      <c r="I247" s="420">
        <v>94.614793103448264</v>
      </c>
      <c r="J247" s="420">
        <f t="shared" si="67"/>
        <v>99.430793103448266</v>
      </c>
      <c r="K247" s="421">
        <f t="shared" si="65"/>
        <v>118.13</v>
      </c>
      <c r="L247" s="647" t="s">
        <v>18</v>
      </c>
      <c r="M247" s="576"/>
      <c r="N247" s="576">
        <f t="shared" si="57"/>
        <v>0</v>
      </c>
      <c r="O247" s="577">
        <f t="shared" si="59"/>
        <v>0</v>
      </c>
      <c r="P247" s="578">
        <f t="shared" si="60"/>
        <v>0</v>
      </c>
      <c r="Q247" s="765"/>
      <c r="R247" s="576">
        <f t="shared" si="68"/>
        <v>0</v>
      </c>
      <c r="S247" s="576">
        <f t="shared" si="61"/>
        <v>0</v>
      </c>
      <c r="T247" s="577">
        <f t="shared" si="62"/>
        <v>0</v>
      </c>
      <c r="U247" s="578">
        <f t="shared" si="63"/>
        <v>0</v>
      </c>
      <c r="V247" s="579"/>
      <c r="W247" s="566"/>
      <c r="X247" s="586" t="str">
        <f t="shared" si="64"/>
        <v/>
      </c>
      <c r="Y247" s="586" t="str">
        <f t="shared" si="56"/>
        <v/>
      </c>
      <c r="Z247" s="586" t="str">
        <f t="shared" si="58"/>
        <v/>
      </c>
    </row>
    <row r="248" spans="1:26" ht="12" hidden="1" thickBot="1" x14ac:dyDescent="0.25">
      <c r="A248" s="567">
        <v>534906</v>
      </c>
      <c r="B248" s="644" t="s">
        <v>230</v>
      </c>
      <c r="C248" s="645" t="s">
        <v>206</v>
      </c>
      <c r="D248" s="422" t="s">
        <v>805</v>
      </c>
      <c r="E248" s="423"/>
      <c r="F248" s="424">
        <v>20</v>
      </c>
      <c r="G248" s="425">
        <v>0.14000000000000001</v>
      </c>
      <c r="H248" s="663">
        <f t="shared" si="69"/>
        <v>3.3712000000000004</v>
      </c>
      <c r="I248" s="420">
        <v>72.759999999999991</v>
      </c>
      <c r="J248" s="420">
        <f t="shared" si="67"/>
        <v>76.131199999999993</v>
      </c>
      <c r="K248" s="421">
        <f t="shared" si="65"/>
        <v>90.45</v>
      </c>
      <c r="L248" s="647" t="s">
        <v>18</v>
      </c>
      <c r="M248" s="576"/>
      <c r="N248" s="576">
        <f t="shared" si="57"/>
        <v>0</v>
      </c>
      <c r="O248" s="577">
        <f t="shared" si="59"/>
        <v>0</v>
      </c>
      <c r="P248" s="578">
        <f t="shared" si="60"/>
        <v>0</v>
      </c>
      <c r="Q248" s="765"/>
      <c r="R248" s="576">
        <f t="shared" si="68"/>
        <v>0</v>
      </c>
      <c r="S248" s="576">
        <f t="shared" si="61"/>
        <v>0</v>
      </c>
      <c r="T248" s="577">
        <f t="shared" si="62"/>
        <v>0</v>
      </c>
      <c r="U248" s="578">
        <f t="shared" si="63"/>
        <v>0</v>
      </c>
      <c r="V248" s="579"/>
      <c r="W248" s="566"/>
      <c r="X248" s="586" t="str">
        <f t="shared" si="64"/>
        <v/>
      </c>
      <c r="Y248" s="586" t="str">
        <f t="shared" si="56"/>
        <v/>
      </c>
      <c r="Z248" s="586" t="str">
        <f t="shared" si="58"/>
        <v/>
      </c>
    </row>
    <row r="249" spans="1:26" ht="12" hidden="1" thickBot="1" x14ac:dyDescent="0.25">
      <c r="A249" s="567">
        <v>534906</v>
      </c>
      <c r="B249" s="644" t="s">
        <v>231</v>
      </c>
      <c r="C249" s="645" t="s">
        <v>206</v>
      </c>
      <c r="D249" s="422" t="s">
        <v>806</v>
      </c>
      <c r="E249" s="423"/>
      <c r="F249" s="424">
        <v>20</v>
      </c>
      <c r="G249" s="425">
        <v>0.14000000000000001</v>
      </c>
      <c r="H249" s="663">
        <f t="shared" si="69"/>
        <v>3.3712000000000004</v>
      </c>
      <c r="I249" s="420">
        <v>80.040000000000006</v>
      </c>
      <c r="J249" s="420">
        <f t="shared" si="67"/>
        <v>83.411200000000008</v>
      </c>
      <c r="K249" s="421">
        <f t="shared" si="65"/>
        <v>99.1</v>
      </c>
      <c r="L249" s="647" t="s">
        <v>18</v>
      </c>
      <c r="M249" s="576"/>
      <c r="N249" s="576">
        <f t="shared" si="57"/>
        <v>0</v>
      </c>
      <c r="O249" s="577">
        <f t="shared" si="59"/>
        <v>0</v>
      </c>
      <c r="P249" s="578">
        <f t="shared" si="60"/>
        <v>0</v>
      </c>
      <c r="Q249" s="765"/>
      <c r="R249" s="576">
        <f t="shared" si="68"/>
        <v>0</v>
      </c>
      <c r="S249" s="576">
        <f t="shared" si="61"/>
        <v>0</v>
      </c>
      <c r="T249" s="577">
        <f t="shared" si="62"/>
        <v>0</v>
      </c>
      <c r="U249" s="578">
        <f t="shared" si="63"/>
        <v>0</v>
      </c>
      <c r="V249" s="579"/>
      <c r="W249" s="566"/>
      <c r="X249" s="586" t="str">
        <f t="shared" si="64"/>
        <v/>
      </c>
      <c r="Y249" s="586" t="str">
        <f t="shared" si="56"/>
        <v/>
      </c>
      <c r="Z249" s="586" t="str">
        <f t="shared" si="58"/>
        <v/>
      </c>
    </row>
    <row r="250" spans="1:26" ht="12" hidden="1" thickBot="1" x14ac:dyDescent="0.25">
      <c r="A250" s="567">
        <v>534908</v>
      </c>
      <c r="B250" s="644" t="s">
        <v>169</v>
      </c>
      <c r="C250" s="645" t="s">
        <v>206</v>
      </c>
      <c r="D250" s="422" t="s">
        <v>807</v>
      </c>
      <c r="E250" s="423"/>
      <c r="F250" s="424">
        <v>20</v>
      </c>
      <c r="G250" s="425">
        <v>0.18</v>
      </c>
      <c r="H250" s="663">
        <f t="shared" si="69"/>
        <v>4.3344000000000005</v>
      </c>
      <c r="I250" s="420">
        <v>83.56</v>
      </c>
      <c r="J250" s="420">
        <f t="shared" si="67"/>
        <v>87.894400000000005</v>
      </c>
      <c r="K250" s="421">
        <f>IF(ISBLANK(I250),0,ROUNDDOWN(J250*(1+$F$10)*(1+$F$11*E250),2))</f>
        <v>104.42</v>
      </c>
      <c r="L250" s="647" t="s">
        <v>18</v>
      </c>
      <c r="M250" s="576"/>
      <c r="N250" s="576">
        <f t="shared" si="57"/>
        <v>0</v>
      </c>
      <c r="O250" s="577">
        <f t="shared" si="59"/>
        <v>0</v>
      </c>
      <c r="P250" s="578">
        <f t="shared" si="60"/>
        <v>0</v>
      </c>
      <c r="Q250" s="765"/>
      <c r="R250" s="576">
        <f t="shared" si="68"/>
        <v>0</v>
      </c>
      <c r="S250" s="576">
        <f t="shared" si="61"/>
        <v>0</v>
      </c>
      <c r="T250" s="577">
        <f t="shared" si="62"/>
        <v>0</v>
      </c>
      <c r="U250" s="578">
        <f t="shared" si="63"/>
        <v>0</v>
      </c>
      <c r="V250" s="579"/>
      <c r="W250" s="566"/>
      <c r="X250" s="586" t="str">
        <f t="shared" si="64"/>
        <v/>
      </c>
      <c r="Y250" s="586" t="str">
        <f t="shared" si="56"/>
        <v/>
      </c>
      <c r="Z250" s="586" t="str">
        <f t="shared" si="58"/>
        <v/>
      </c>
    </row>
    <row r="251" spans="1:26" ht="12" hidden="1" thickBot="1" x14ac:dyDescent="0.25">
      <c r="A251" s="567">
        <v>534908</v>
      </c>
      <c r="B251" s="644" t="s">
        <v>170</v>
      </c>
      <c r="C251" s="645" t="s">
        <v>206</v>
      </c>
      <c r="D251" s="422" t="s">
        <v>808</v>
      </c>
      <c r="E251" s="423"/>
      <c r="F251" s="424">
        <v>20</v>
      </c>
      <c r="G251" s="425">
        <v>0.18</v>
      </c>
      <c r="H251" s="663">
        <f t="shared" si="69"/>
        <v>4.3344000000000005</v>
      </c>
      <c r="I251" s="420">
        <v>91.92</v>
      </c>
      <c r="J251" s="420">
        <f t="shared" si="67"/>
        <v>96.254400000000004</v>
      </c>
      <c r="K251" s="421">
        <f t="shared" ref="K251:K314" si="70">IF(ISBLANK(I251),0,ROUND(J251*(1+$F$10)*(1+$F$11*E251),2))</f>
        <v>114.36</v>
      </c>
      <c r="L251" s="647" t="s">
        <v>18</v>
      </c>
      <c r="M251" s="576"/>
      <c r="N251" s="576">
        <f t="shared" si="57"/>
        <v>0</v>
      </c>
      <c r="O251" s="577">
        <f t="shared" si="59"/>
        <v>0</v>
      </c>
      <c r="P251" s="578">
        <f t="shared" si="60"/>
        <v>0</v>
      </c>
      <c r="Q251" s="765"/>
      <c r="R251" s="576">
        <f t="shared" si="68"/>
        <v>0</v>
      </c>
      <c r="S251" s="576">
        <f t="shared" si="61"/>
        <v>0</v>
      </c>
      <c r="T251" s="577">
        <f t="shared" si="62"/>
        <v>0</v>
      </c>
      <c r="U251" s="578">
        <f t="shared" si="63"/>
        <v>0</v>
      </c>
      <c r="V251" s="579"/>
      <c r="W251" s="566"/>
      <c r="X251" s="586" t="str">
        <f t="shared" si="64"/>
        <v/>
      </c>
      <c r="Y251" s="586" t="str">
        <f t="shared" si="56"/>
        <v/>
      </c>
      <c r="Z251" s="586" t="str">
        <f t="shared" si="58"/>
        <v/>
      </c>
    </row>
    <row r="252" spans="1:26" ht="12" hidden="1" thickBot="1" x14ac:dyDescent="0.25">
      <c r="A252" s="567">
        <v>534908</v>
      </c>
      <c r="B252" s="644" t="s">
        <v>171</v>
      </c>
      <c r="C252" s="645" t="s">
        <v>206</v>
      </c>
      <c r="D252" s="422" t="s">
        <v>809</v>
      </c>
      <c r="E252" s="423"/>
      <c r="F252" s="424">
        <v>20</v>
      </c>
      <c r="G252" s="425">
        <v>0.22</v>
      </c>
      <c r="H252" s="663">
        <f t="shared" si="69"/>
        <v>5.2976000000000001</v>
      </c>
      <c r="I252" s="420">
        <v>94.614793103448264</v>
      </c>
      <c r="J252" s="420">
        <f t="shared" si="67"/>
        <v>99.912393103448267</v>
      </c>
      <c r="K252" s="421">
        <f t="shared" si="70"/>
        <v>118.71</v>
      </c>
      <c r="L252" s="647" t="s">
        <v>18</v>
      </c>
      <c r="M252" s="576"/>
      <c r="N252" s="576">
        <f t="shared" si="57"/>
        <v>0</v>
      </c>
      <c r="O252" s="577">
        <f t="shared" si="59"/>
        <v>0</v>
      </c>
      <c r="P252" s="578">
        <f t="shared" si="60"/>
        <v>0</v>
      </c>
      <c r="Q252" s="765"/>
      <c r="R252" s="576">
        <f t="shared" si="68"/>
        <v>0</v>
      </c>
      <c r="S252" s="576">
        <f t="shared" si="61"/>
        <v>0</v>
      </c>
      <c r="T252" s="577">
        <f t="shared" si="62"/>
        <v>0</v>
      </c>
      <c r="U252" s="578">
        <f t="shared" si="63"/>
        <v>0</v>
      </c>
      <c r="V252" s="579"/>
      <c r="W252" s="566"/>
      <c r="X252" s="586" t="str">
        <f t="shared" si="64"/>
        <v/>
      </c>
      <c r="Y252" s="586" t="str">
        <f t="shared" si="56"/>
        <v/>
      </c>
      <c r="Z252" s="586" t="str">
        <f t="shared" si="58"/>
        <v/>
      </c>
    </row>
    <row r="253" spans="1:26" ht="12" hidden="1" thickBot="1" x14ac:dyDescent="0.25">
      <c r="A253" s="567">
        <v>534908</v>
      </c>
      <c r="B253" s="644" t="s">
        <v>232</v>
      </c>
      <c r="C253" s="645" t="s">
        <v>206</v>
      </c>
      <c r="D253" s="422" t="s">
        <v>810</v>
      </c>
      <c r="E253" s="423"/>
      <c r="F253" s="424">
        <v>20</v>
      </c>
      <c r="G253" s="425">
        <v>0.22</v>
      </c>
      <c r="H253" s="663">
        <f t="shared" si="69"/>
        <v>5.2976000000000001</v>
      </c>
      <c r="I253" s="420">
        <v>104.08</v>
      </c>
      <c r="J253" s="420">
        <f t="shared" si="67"/>
        <v>109.3776</v>
      </c>
      <c r="K253" s="421">
        <f t="shared" si="70"/>
        <v>129.94999999999999</v>
      </c>
      <c r="L253" s="647" t="s">
        <v>18</v>
      </c>
      <c r="M253" s="576"/>
      <c r="N253" s="576">
        <f t="shared" si="57"/>
        <v>0</v>
      </c>
      <c r="O253" s="577">
        <f t="shared" si="59"/>
        <v>0</v>
      </c>
      <c r="P253" s="578">
        <f t="shared" si="60"/>
        <v>0</v>
      </c>
      <c r="Q253" s="765"/>
      <c r="R253" s="576">
        <f t="shared" si="68"/>
        <v>0</v>
      </c>
      <c r="S253" s="576">
        <f t="shared" si="61"/>
        <v>0</v>
      </c>
      <c r="T253" s="577">
        <f t="shared" si="62"/>
        <v>0</v>
      </c>
      <c r="U253" s="578">
        <f t="shared" si="63"/>
        <v>0</v>
      </c>
      <c r="V253" s="579"/>
      <c r="W253" s="566"/>
      <c r="X253" s="586" t="str">
        <f t="shared" si="64"/>
        <v/>
      </c>
      <c r="Y253" s="586" t="str">
        <f t="shared" si="56"/>
        <v/>
      </c>
      <c r="Z253" s="586" t="str">
        <f t="shared" si="58"/>
        <v/>
      </c>
    </row>
    <row r="254" spans="1:26" ht="12" hidden="1" thickBot="1" x14ac:dyDescent="0.25">
      <c r="A254" s="671">
        <v>101090</v>
      </c>
      <c r="B254" s="698" t="s">
        <v>1553</v>
      </c>
      <c r="C254" s="699" t="s">
        <v>670</v>
      </c>
      <c r="D254" s="456" t="s">
        <v>811</v>
      </c>
      <c r="E254" s="457"/>
      <c r="F254" s="458">
        <v>20</v>
      </c>
      <c r="G254" s="474">
        <v>0.3</v>
      </c>
      <c r="H254" s="675">
        <f t="shared" si="69"/>
        <v>7.2240000000000002</v>
      </c>
      <c r="I254" s="460">
        <v>177.63</v>
      </c>
      <c r="J254" s="460">
        <f>IF(ISBLANK(I254),"",SUM(H254:I254))</f>
        <v>184.85399999999998</v>
      </c>
      <c r="K254" s="676">
        <f t="shared" si="70"/>
        <v>219.63</v>
      </c>
      <c r="L254" s="677" t="s">
        <v>18</v>
      </c>
      <c r="M254" s="700"/>
      <c r="N254" s="799">
        <f t="shared" si="57"/>
        <v>0</v>
      </c>
      <c r="O254" s="585">
        <f t="shared" si="59"/>
        <v>0</v>
      </c>
      <c r="P254" s="660">
        <f t="shared" si="60"/>
        <v>0</v>
      </c>
      <c r="Q254" s="765"/>
      <c r="R254" s="588">
        <f t="shared" si="68"/>
        <v>0</v>
      </c>
      <c r="S254" s="588">
        <f t="shared" si="61"/>
        <v>0</v>
      </c>
      <c r="T254" s="585">
        <f t="shared" si="62"/>
        <v>0</v>
      </c>
      <c r="U254" s="660">
        <f t="shared" si="63"/>
        <v>0</v>
      </c>
      <c r="V254" s="579"/>
      <c r="W254" s="566"/>
      <c r="X254" s="586" t="str">
        <f t="shared" si="64"/>
        <v/>
      </c>
      <c r="Y254" s="586" t="str">
        <f t="shared" si="56"/>
        <v/>
      </c>
      <c r="Z254" s="586" t="str">
        <f t="shared" si="58"/>
        <v/>
      </c>
    </row>
    <row r="255" spans="1:26" ht="12" hidden="1" thickBot="1" x14ac:dyDescent="0.25">
      <c r="A255" s="671">
        <v>562100</v>
      </c>
      <c r="B255" s="701" t="s">
        <v>1565</v>
      </c>
      <c r="C255" s="702" t="s">
        <v>206</v>
      </c>
      <c r="D255" s="463" t="s">
        <v>648</v>
      </c>
      <c r="E255" s="464"/>
      <c r="F255" s="465" t="s">
        <v>649</v>
      </c>
      <c r="G255" s="466">
        <v>1.5E-3</v>
      </c>
      <c r="H255" s="681">
        <f>SUM(H256:H258)</f>
        <v>0.58577400000000002</v>
      </c>
      <c r="I255" s="467">
        <v>3</v>
      </c>
      <c r="J255" s="467">
        <f>IF(ISBLANK(I255),"",SUM(H255:I255))</f>
        <v>3.5857739999999998</v>
      </c>
      <c r="K255" s="682">
        <f t="shared" si="70"/>
        <v>4.26</v>
      </c>
      <c r="L255" s="683" t="s">
        <v>18</v>
      </c>
      <c r="M255" s="685"/>
      <c r="N255" s="576">
        <f t="shared" si="57"/>
        <v>0</v>
      </c>
      <c r="O255" s="687">
        <f t="shared" si="59"/>
        <v>0</v>
      </c>
      <c r="P255" s="688">
        <f t="shared" si="60"/>
        <v>0</v>
      </c>
      <c r="Q255" s="765"/>
      <c r="R255" s="685">
        <f t="shared" si="68"/>
        <v>0</v>
      </c>
      <c r="S255" s="686">
        <f t="shared" si="61"/>
        <v>0</v>
      </c>
      <c r="T255" s="687">
        <f t="shared" si="62"/>
        <v>0</v>
      </c>
      <c r="U255" s="688">
        <f t="shared" si="63"/>
        <v>0</v>
      </c>
      <c r="V255" s="579"/>
      <c r="W255" s="566"/>
      <c r="X255" s="586" t="str">
        <f t="shared" si="64"/>
        <v/>
      </c>
      <c r="Y255" s="586" t="str">
        <f t="shared" si="56"/>
        <v/>
      </c>
      <c r="Z255" s="586" t="str">
        <f t="shared" si="58"/>
        <v/>
      </c>
    </row>
    <row r="256" spans="1:26" ht="12" hidden="1" thickBot="1" x14ac:dyDescent="0.25">
      <c r="A256" s="671" t="s">
        <v>168</v>
      </c>
      <c r="B256" s="644" t="s">
        <v>168</v>
      </c>
      <c r="C256" s="645"/>
      <c r="D256" s="475" t="s">
        <v>248</v>
      </c>
      <c r="E256" s="423"/>
      <c r="F256" s="424">
        <v>180</v>
      </c>
      <c r="G256" s="476" t="s">
        <v>86</v>
      </c>
      <c r="H256" s="663">
        <f t="shared" si="69"/>
        <v>0.48820000000000002</v>
      </c>
      <c r="I256" s="420">
        <v>0</v>
      </c>
      <c r="J256" s="420"/>
      <c r="K256" s="421">
        <f t="shared" si="70"/>
        <v>0</v>
      </c>
      <c r="L256" s="647" t="s">
        <v>614</v>
      </c>
      <c r="M256" s="703"/>
      <c r="N256" s="576">
        <f t="shared" si="57"/>
        <v>0</v>
      </c>
      <c r="O256" s="577">
        <f t="shared" si="59"/>
        <v>0</v>
      </c>
      <c r="P256" s="578">
        <f t="shared" si="60"/>
        <v>0</v>
      </c>
      <c r="Q256" s="765"/>
      <c r="R256" s="703"/>
      <c r="S256" s="670"/>
      <c r="T256" s="577">
        <f t="shared" si="62"/>
        <v>0</v>
      </c>
      <c r="U256" s="578">
        <f t="shared" si="63"/>
        <v>0</v>
      </c>
      <c r="V256" s="579"/>
      <c r="W256" s="637" t="str">
        <f>IF(U255&gt;0,"xx",IF(P255&gt;0,"xy",""))</f>
        <v/>
      </c>
      <c r="X256" s="586" t="str">
        <f t="shared" si="64"/>
        <v/>
      </c>
      <c r="Y256" s="586" t="str">
        <f t="shared" si="56"/>
        <v/>
      </c>
      <c r="Z256" s="586" t="str">
        <f t="shared" si="58"/>
        <v/>
      </c>
    </row>
    <row r="257" spans="1:26" ht="12" hidden="1" thickBot="1" x14ac:dyDescent="0.25">
      <c r="A257" s="671" t="s">
        <v>168</v>
      </c>
      <c r="B257" s="644" t="s">
        <v>168</v>
      </c>
      <c r="C257" s="645"/>
      <c r="D257" s="475" t="s">
        <v>249</v>
      </c>
      <c r="E257" s="423"/>
      <c r="F257" s="424">
        <v>500</v>
      </c>
      <c r="G257" s="476" t="s">
        <v>87</v>
      </c>
      <c r="H257" s="649">
        <f>IF(F257&lt;=30,(0.78*F257+7.82)*G257,((0.78*30+7.82)+0.78*(F257-30))*G257)</f>
        <v>3.9782000000000005E-2</v>
      </c>
      <c r="I257" s="420">
        <v>0</v>
      </c>
      <c r="J257" s="420"/>
      <c r="K257" s="421">
        <f t="shared" si="70"/>
        <v>0</v>
      </c>
      <c r="L257" s="647" t="s">
        <v>614</v>
      </c>
      <c r="M257" s="703"/>
      <c r="N257" s="576">
        <f t="shared" si="57"/>
        <v>0</v>
      </c>
      <c r="O257" s="577">
        <f t="shared" si="59"/>
        <v>0</v>
      </c>
      <c r="P257" s="578">
        <f t="shared" si="60"/>
        <v>0</v>
      </c>
      <c r="Q257" s="765"/>
      <c r="R257" s="703"/>
      <c r="S257" s="670"/>
      <c r="T257" s="577">
        <f t="shared" si="62"/>
        <v>0</v>
      </c>
      <c r="U257" s="578">
        <f t="shared" si="63"/>
        <v>0</v>
      </c>
      <c r="V257" s="579"/>
      <c r="W257" s="637" t="str">
        <f>IF(U255&gt;0,"xx",IF(P255&gt;0,"xy",""))</f>
        <v/>
      </c>
      <c r="X257" s="586" t="str">
        <f t="shared" si="64"/>
        <v/>
      </c>
      <c r="Y257" s="586" t="str">
        <f t="shared" si="56"/>
        <v/>
      </c>
      <c r="Z257" s="586" t="str">
        <f t="shared" si="58"/>
        <v/>
      </c>
    </row>
    <row r="258" spans="1:26" ht="12" hidden="1" thickBot="1" x14ac:dyDescent="0.25">
      <c r="A258" s="671" t="s">
        <v>168</v>
      </c>
      <c r="B258" s="644" t="s">
        <v>168</v>
      </c>
      <c r="C258" s="645"/>
      <c r="D258" s="475" t="s">
        <v>250</v>
      </c>
      <c r="E258" s="423"/>
      <c r="F258" s="424">
        <v>20</v>
      </c>
      <c r="G258" s="425" t="s">
        <v>88</v>
      </c>
      <c r="H258" s="663">
        <f t="shared" si="69"/>
        <v>5.7791999999999996E-2</v>
      </c>
      <c r="I258" s="420">
        <v>0</v>
      </c>
      <c r="J258" s="420"/>
      <c r="K258" s="421">
        <f t="shared" si="70"/>
        <v>0</v>
      </c>
      <c r="L258" s="647" t="s">
        <v>614</v>
      </c>
      <c r="M258" s="703"/>
      <c r="N258" s="576">
        <f t="shared" si="57"/>
        <v>0</v>
      </c>
      <c r="O258" s="577">
        <f t="shared" si="59"/>
        <v>0</v>
      </c>
      <c r="P258" s="578">
        <f t="shared" si="60"/>
        <v>0</v>
      </c>
      <c r="Q258" s="765"/>
      <c r="R258" s="703"/>
      <c r="S258" s="670"/>
      <c r="T258" s="577">
        <f t="shared" si="62"/>
        <v>0</v>
      </c>
      <c r="U258" s="578">
        <f t="shared" si="63"/>
        <v>0</v>
      </c>
      <c r="V258" s="579"/>
      <c r="W258" s="637" t="str">
        <f>IF(U255&gt;0,"xx",IF(P255&gt;0,"xy",""))</f>
        <v/>
      </c>
      <c r="X258" s="586" t="str">
        <f>IF(W258="X","x",IF(W258="xx","x",IF(W258="xy","x",IF(W258="y","x",IF(OR(P258&gt;0,U258&gt;0),"x","")))))</f>
        <v/>
      </c>
      <c r="Y258" s="586" t="str">
        <f>IF(W258="X","x",IF(W258="y","x",IF(W258="xx","x",IF(U258&gt;0,"x",""))))</f>
        <v/>
      </c>
      <c r="Z258" s="586" t="str">
        <f>IF(W258="X","x",IF(U258&gt;0,"x",""))</f>
        <v/>
      </c>
    </row>
    <row r="259" spans="1:26" ht="12" hidden="1" thickBot="1" x14ac:dyDescent="0.25">
      <c r="A259" s="671">
        <v>589170</v>
      </c>
      <c r="B259" s="704" t="s">
        <v>1755</v>
      </c>
      <c r="C259" s="689" t="s">
        <v>1746</v>
      </c>
      <c r="D259" s="469" t="s">
        <v>749</v>
      </c>
      <c r="E259" s="470"/>
      <c r="F259" s="478">
        <v>500</v>
      </c>
      <c r="G259" s="479">
        <v>1</v>
      </c>
      <c r="H259" s="663">
        <f>(0.84*F259+41.45)*G259</f>
        <v>461.45</v>
      </c>
      <c r="I259" s="472">
        <v>4205</v>
      </c>
      <c r="J259" s="472">
        <f>IF(ISBLANK(I259),"",I259*(1+$F$9)/(1+$F$10))+H259</f>
        <v>4541.5139676794888</v>
      </c>
      <c r="K259" s="690">
        <f t="shared" si="70"/>
        <v>5395.77</v>
      </c>
      <c r="L259" s="691" t="s">
        <v>20</v>
      </c>
      <c r="M259" s="692">
        <f>ROUND(M255*G255,2)</f>
        <v>0</v>
      </c>
      <c r="N259" s="799">
        <f t="shared" si="57"/>
        <v>0</v>
      </c>
      <c r="O259" s="693">
        <f t="shared" si="59"/>
        <v>0</v>
      </c>
      <c r="P259" s="694">
        <f t="shared" si="60"/>
        <v>0</v>
      </c>
      <c r="Q259" s="765"/>
      <c r="R259" s="695">
        <f>ROUND(R255*G255,2)</f>
        <v>0</v>
      </c>
      <c r="S259" s="705">
        <f t="shared" si="61"/>
        <v>0</v>
      </c>
      <c r="T259" s="693">
        <f t="shared" si="62"/>
        <v>0</v>
      </c>
      <c r="U259" s="694">
        <f t="shared" si="63"/>
        <v>0</v>
      </c>
      <c r="V259" s="579"/>
      <c r="W259" s="637" t="str">
        <f>IF(U255&gt;0,"xx",IF(P255&gt;0,"xy",""))</f>
        <v/>
      </c>
      <c r="X259" s="586" t="str">
        <f t="shared" si="64"/>
        <v/>
      </c>
      <c r="Y259" s="586" t="str">
        <f t="shared" si="56"/>
        <v/>
      </c>
      <c r="Z259" s="586" t="str">
        <f t="shared" si="58"/>
        <v/>
      </c>
    </row>
    <row r="260" spans="1:26" ht="12" hidden="1" thickBot="1" x14ac:dyDescent="0.25">
      <c r="A260" s="671">
        <v>562100</v>
      </c>
      <c r="B260" s="701" t="s">
        <v>1566</v>
      </c>
      <c r="C260" s="702" t="s">
        <v>206</v>
      </c>
      <c r="D260" s="463" t="s">
        <v>651</v>
      </c>
      <c r="E260" s="464"/>
      <c r="F260" s="465" t="s">
        <v>649</v>
      </c>
      <c r="G260" s="466">
        <v>1.8E-3</v>
      </c>
      <c r="H260" s="681">
        <f>SUM(H261:H263)</f>
        <v>0.87941999999999998</v>
      </c>
      <c r="I260" s="467">
        <v>3</v>
      </c>
      <c r="J260" s="467">
        <f>IF(ISBLANK(I260),"",SUM(H260:I260))</f>
        <v>3.8794200000000001</v>
      </c>
      <c r="K260" s="682">
        <f t="shared" si="70"/>
        <v>4.6100000000000003</v>
      </c>
      <c r="L260" s="683" t="s">
        <v>18</v>
      </c>
      <c r="M260" s="685"/>
      <c r="N260" s="576">
        <f t="shared" si="57"/>
        <v>0</v>
      </c>
      <c r="O260" s="687">
        <f t="shared" si="59"/>
        <v>0</v>
      </c>
      <c r="P260" s="688">
        <f t="shared" si="60"/>
        <v>0</v>
      </c>
      <c r="Q260" s="765"/>
      <c r="R260" s="685">
        <f>M260</f>
        <v>0</v>
      </c>
      <c r="S260" s="686">
        <f t="shared" si="61"/>
        <v>0</v>
      </c>
      <c r="T260" s="687">
        <f t="shared" si="62"/>
        <v>0</v>
      </c>
      <c r="U260" s="688">
        <f t="shared" si="63"/>
        <v>0</v>
      </c>
      <c r="V260" s="579"/>
      <c r="W260" s="566"/>
      <c r="X260" s="586" t="str">
        <f t="shared" si="64"/>
        <v/>
      </c>
      <c r="Y260" s="586" t="str">
        <f t="shared" si="56"/>
        <v/>
      </c>
      <c r="Z260" s="586" t="str">
        <f t="shared" si="58"/>
        <v/>
      </c>
    </row>
    <row r="261" spans="1:26" ht="12" hidden="1" thickBot="1" x14ac:dyDescent="0.25">
      <c r="A261" s="671" t="s">
        <v>168</v>
      </c>
      <c r="B261" s="644" t="s">
        <v>168</v>
      </c>
      <c r="C261" s="645"/>
      <c r="D261" s="475" t="s">
        <v>248</v>
      </c>
      <c r="E261" s="423"/>
      <c r="F261" s="424">
        <v>180</v>
      </c>
      <c r="G261" s="476" t="s">
        <v>89</v>
      </c>
      <c r="H261" s="663">
        <f t="shared" ref="H261:H263" si="71">IF(F261&lt;=30,(1.07*F261+2.68)*G261,((1.07*30+2.68)+1.07*(F261-30))*G261)</f>
        <v>0.74206400000000006</v>
      </c>
      <c r="I261" s="420">
        <v>0</v>
      </c>
      <c r="J261" s="420"/>
      <c r="K261" s="421">
        <f t="shared" si="70"/>
        <v>0</v>
      </c>
      <c r="L261" s="647" t="s">
        <v>614</v>
      </c>
      <c r="M261" s="703"/>
      <c r="N261" s="576">
        <f t="shared" si="57"/>
        <v>0</v>
      </c>
      <c r="O261" s="577">
        <f t="shared" si="59"/>
        <v>0</v>
      </c>
      <c r="P261" s="578">
        <f t="shared" si="60"/>
        <v>0</v>
      </c>
      <c r="Q261" s="765"/>
      <c r="R261" s="703"/>
      <c r="S261" s="670"/>
      <c r="T261" s="577">
        <f t="shared" si="62"/>
        <v>0</v>
      </c>
      <c r="U261" s="578">
        <f t="shared" si="63"/>
        <v>0</v>
      </c>
      <c r="V261" s="579"/>
      <c r="W261" s="637" t="str">
        <f>IF(U260&gt;0,"xx",IF(P260&gt;0,"xy",""))</f>
        <v/>
      </c>
      <c r="X261" s="586" t="str">
        <f t="shared" si="64"/>
        <v/>
      </c>
      <c r="Y261" s="586" t="str">
        <f t="shared" si="56"/>
        <v/>
      </c>
      <c r="Z261" s="586" t="str">
        <f t="shared" si="58"/>
        <v/>
      </c>
    </row>
    <row r="262" spans="1:26" ht="12" hidden="1" thickBot="1" x14ac:dyDescent="0.25">
      <c r="A262" s="671" t="s">
        <v>168</v>
      </c>
      <c r="B262" s="644" t="s">
        <v>168</v>
      </c>
      <c r="C262" s="645"/>
      <c r="D262" s="475" t="s">
        <v>249</v>
      </c>
      <c r="E262" s="423"/>
      <c r="F262" s="424">
        <v>500</v>
      </c>
      <c r="G262" s="476" t="s">
        <v>90</v>
      </c>
      <c r="H262" s="649">
        <f>IF(F262&lt;=30,(0.78*F262+7.82)*G262,((0.78*30+7.82)+0.78*(F262-30))*G262)</f>
        <v>7.956400000000001E-2</v>
      </c>
      <c r="I262" s="420">
        <v>0</v>
      </c>
      <c r="J262" s="420"/>
      <c r="K262" s="421">
        <f t="shared" si="70"/>
        <v>0</v>
      </c>
      <c r="L262" s="647" t="s">
        <v>614</v>
      </c>
      <c r="M262" s="703"/>
      <c r="N262" s="576">
        <f t="shared" si="57"/>
        <v>0</v>
      </c>
      <c r="O262" s="577">
        <f t="shared" si="59"/>
        <v>0</v>
      </c>
      <c r="P262" s="578">
        <f t="shared" si="60"/>
        <v>0</v>
      </c>
      <c r="Q262" s="765"/>
      <c r="R262" s="703"/>
      <c r="S262" s="670"/>
      <c r="T262" s="577">
        <f t="shared" si="62"/>
        <v>0</v>
      </c>
      <c r="U262" s="578">
        <f t="shared" si="63"/>
        <v>0</v>
      </c>
      <c r="V262" s="579"/>
      <c r="W262" s="637" t="str">
        <f>IF(U260&gt;0,"xx",IF(P260&gt;0,"xy",""))</f>
        <v/>
      </c>
      <c r="X262" s="586" t="str">
        <f t="shared" si="64"/>
        <v/>
      </c>
      <c r="Y262" s="586" t="str">
        <f t="shared" si="56"/>
        <v/>
      </c>
      <c r="Z262" s="586" t="str">
        <f t="shared" si="58"/>
        <v/>
      </c>
    </row>
    <row r="263" spans="1:26" ht="12" hidden="1" thickBot="1" x14ac:dyDescent="0.25">
      <c r="A263" s="671" t="s">
        <v>168</v>
      </c>
      <c r="B263" s="644" t="s">
        <v>168</v>
      </c>
      <c r="C263" s="645"/>
      <c r="D263" s="451" t="s">
        <v>250</v>
      </c>
      <c r="E263" s="423"/>
      <c r="F263" s="424">
        <v>20</v>
      </c>
      <c r="G263" s="425" t="s">
        <v>88</v>
      </c>
      <c r="H263" s="663">
        <f t="shared" si="71"/>
        <v>5.7791999999999996E-2</v>
      </c>
      <c r="I263" s="420">
        <v>0</v>
      </c>
      <c r="J263" s="420"/>
      <c r="K263" s="421">
        <f t="shared" si="70"/>
        <v>0</v>
      </c>
      <c r="L263" s="647" t="s">
        <v>614</v>
      </c>
      <c r="M263" s="703"/>
      <c r="N263" s="576">
        <f t="shared" si="57"/>
        <v>0</v>
      </c>
      <c r="O263" s="577">
        <f t="shared" si="59"/>
        <v>0</v>
      </c>
      <c r="P263" s="578">
        <f t="shared" si="60"/>
        <v>0</v>
      </c>
      <c r="Q263" s="765"/>
      <c r="R263" s="703"/>
      <c r="S263" s="670"/>
      <c r="T263" s="577">
        <f t="shared" si="62"/>
        <v>0</v>
      </c>
      <c r="U263" s="578">
        <f t="shared" si="63"/>
        <v>0</v>
      </c>
      <c r="V263" s="579"/>
      <c r="W263" s="637" t="str">
        <f>IF(U260&gt;0,"xx",IF(P260&gt;0,"xy",""))</f>
        <v/>
      </c>
      <c r="X263" s="586" t="str">
        <f>IF(W263="X","x",IF(W263="xx","x",IF(W263="xy","x",IF(W263="y","x",IF(OR(P263&gt;0,U263&gt;0),"x","")))))</f>
        <v/>
      </c>
      <c r="Y263" s="586" t="str">
        <f>IF(W263="X","x",IF(W263="y","x",IF(W263="xx","x",IF(U263&gt;0,"x",""))))</f>
        <v/>
      </c>
      <c r="Z263" s="586" t="str">
        <f>IF(W263="X","x",IF(U263&gt;0,"x",""))</f>
        <v/>
      </c>
    </row>
    <row r="264" spans="1:26" ht="12" hidden="1" thickBot="1" x14ac:dyDescent="0.25">
      <c r="A264" s="671">
        <v>589170</v>
      </c>
      <c r="B264" s="638" t="s">
        <v>1756</v>
      </c>
      <c r="C264" s="480" t="s">
        <v>1746</v>
      </c>
      <c r="D264" s="706" t="s">
        <v>750</v>
      </c>
      <c r="E264" s="446"/>
      <c r="F264" s="478">
        <v>500</v>
      </c>
      <c r="G264" s="479">
        <v>1</v>
      </c>
      <c r="H264" s="663">
        <f>(0.84*F264+41.45)*G264</f>
        <v>461.45</v>
      </c>
      <c r="I264" s="472">
        <v>4205</v>
      </c>
      <c r="J264" s="472">
        <f>IF(ISBLANK(I264),"",I264*(1+$F$9)/(1+$F$10))+H264</f>
        <v>4541.5139676794888</v>
      </c>
      <c r="K264" s="415">
        <f t="shared" si="70"/>
        <v>5395.77</v>
      </c>
      <c r="L264" s="691" t="s">
        <v>20</v>
      </c>
      <c r="M264" s="692">
        <f>ROUND(M260*G260,2)</f>
        <v>0</v>
      </c>
      <c r="N264" s="799">
        <f t="shared" si="57"/>
        <v>0</v>
      </c>
      <c r="O264" s="693">
        <f>IF(ISBLANK(M264),0,ROUND(K264*M264,2))</f>
        <v>0</v>
      </c>
      <c r="P264" s="694">
        <f>IF(ISBLANK(N264),0,ROUND(M264*N264,2))</f>
        <v>0</v>
      </c>
      <c r="Q264" s="765"/>
      <c r="R264" s="695">
        <f>ROUND(R260*G260,2)</f>
        <v>0</v>
      </c>
      <c r="S264" s="705">
        <f t="shared" si="61"/>
        <v>0</v>
      </c>
      <c r="T264" s="693">
        <f t="shared" si="62"/>
        <v>0</v>
      </c>
      <c r="U264" s="694">
        <f t="shared" si="63"/>
        <v>0</v>
      </c>
      <c r="V264" s="579"/>
      <c r="W264" s="637" t="str">
        <f>IF(U260&gt;0,"xx",IF(P260&gt;0,"xy",""))</f>
        <v/>
      </c>
      <c r="X264" s="586" t="str">
        <f t="shared" si="64"/>
        <v/>
      </c>
      <c r="Y264" s="586" t="str">
        <f t="shared" si="56"/>
        <v/>
      </c>
      <c r="Z264" s="586" t="str">
        <f t="shared" si="58"/>
        <v/>
      </c>
    </row>
    <row r="265" spans="1:26" ht="12" hidden="1" thickBot="1" x14ac:dyDescent="0.25">
      <c r="A265" s="671">
        <v>562200</v>
      </c>
      <c r="B265" s="701" t="s">
        <v>1567</v>
      </c>
      <c r="C265" s="702" t="s">
        <v>206</v>
      </c>
      <c r="D265" s="463" t="s">
        <v>652</v>
      </c>
      <c r="E265" s="464"/>
      <c r="F265" s="465" t="s">
        <v>649</v>
      </c>
      <c r="G265" s="466">
        <v>2E-3</v>
      </c>
      <c r="H265" s="681">
        <f>SUM(H266:H268)</f>
        <v>1.3938440000000001</v>
      </c>
      <c r="I265" s="467">
        <v>4.01</v>
      </c>
      <c r="J265" s="467">
        <f>IF(ISBLANK(I265),"",SUM(H265:I265))</f>
        <v>5.4038439999999994</v>
      </c>
      <c r="K265" s="682">
        <f t="shared" si="70"/>
        <v>6.42</v>
      </c>
      <c r="L265" s="683" t="s">
        <v>18</v>
      </c>
      <c r="M265" s="685"/>
      <c r="N265" s="576">
        <f t="shared" si="57"/>
        <v>0</v>
      </c>
      <c r="O265" s="687">
        <f t="shared" si="59"/>
        <v>0</v>
      </c>
      <c r="P265" s="688">
        <f t="shared" si="60"/>
        <v>0</v>
      </c>
      <c r="Q265" s="765"/>
      <c r="R265" s="685">
        <f>M265</f>
        <v>0</v>
      </c>
      <c r="S265" s="686">
        <f t="shared" si="61"/>
        <v>0</v>
      </c>
      <c r="T265" s="687">
        <f t="shared" si="62"/>
        <v>0</v>
      </c>
      <c r="U265" s="688">
        <f t="shared" si="63"/>
        <v>0</v>
      </c>
      <c r="V265" s="579"/>
      <c r="W265" s="566"/>
      <c r="X265" s="586" t="str">
        <f t="shared" si="64"/>
        <v/>
      </c>
      <c r="Y265" s="586" t="str">
        <f t="shared" si="56"/>
        <v/>
      </c>
      <c r="Z265" s="586" t="str">
        <f t="shared" si="58"/>
        <v/>
      </c>
    </row>
    <row r="266" spans="1:26" ht="12" hidden="1" thickBot="1" x14ac:dyDescent="0.25">
      <c r="A266" s="671" t="s">
        <v>168</v>
      </c>
      <c r="B266" s="644" t="s">
        <v>168</v>
      </c>
      <c r="C266" s="645"/>
      <c r="D266" s="475" t="s">
        <v>248</v>
      </c>
      <c r="E266" s="423"/>
      <c r="F266" s="424">
        <v>180</v>
      </c>
      <c r="G266" s="476" t="s">
        <v>91</v>
      </c>
      <c r="H266" s="663">
        <f t="shared" ref="H266:H268" si="72">IF(F266&lt;=30,(1.07*F266+2.68)*G266,((1.07*30+2.68)+1.07*(F266-30))*G266)</f>
        <v>1.210736</v>
      </c>
      <c r="I266" s="420">
        <v>0</v>
      </c>
      <c r="J266" s="420"/>
      <c r="K266" s="421">
        <f t="shared" si="70"/>
        <v>0</v>
      </c>
      <c r="L266" s="647"/>
      <c r="M266" s="703"/>
      <c r="N266" s="576">
        <f t="shared" si="57"/>
        <v>0</v>
      </c>
      <c r="O266" s="577">
        <f t="shared" si="59"/>
        <v>0</v>
      </c>
      <c r="P266" s="578">
        <f t="shared" si="60"/>
        <v>0</v>
      </c>
      <c r="Q266" s="765"/>
      <c r="R266" s="703"/>
      <c r="S266" s="670"/>
      <c r="T266" s="577">
        <f t="shared" si="62"/>
        <v>0</v>
      </c>
      <c r="U266" s="578">
        <f t="shared" si="63"/>
        <v>0</v>
      </c>
      <c r="V266" s="579"/>
      <c r="W266" s="637" t="str">
        <f>IF(U265&gt;0,"xx",IF(P265&gt;0,"xy",""))</f>
        <v/>
      </c>
      <c r="X266" s="586" t="str">
        <f t="shared" si="64"/>
        <v/>
      </c>
      <c r="Y266" s="586" t="str">
        <f t="shared" si="56"/>
        <v/>
      </c>
      <c r="Z266" s="586" t="str">
        <f t="shared" si="58"/>
        <v/>
      </c>
    </row>
    <row r="267" spans="1:26" ht="12" hidden="1" thickBot="1" x14ac:dyDescent="0.25">
      <c r="A267" s="671" t="s">
        <v>168</v>
      </c>
      <c r="B267" s="644" t="s">
        <v>168</v>
      </c>
      <c r="C267" s="645"/>
      <c r="D267" s="475" t="s">
        <v>249</v>
      </c>
      <c r="E267" s="423"/>
      <c r="F267" s="424">
        <v>500</v>
      </c>
      <c r="G267" s="476" t="s">
        <v>90</v>
      </c>
      <c r="H267" s="649">
        <f>IF(F267&lt;=30,(0.78*F267+7.82)*G267,((0.78*30+7.82)+0.78*(F267-30))*G267)</f>
        <v>7.956400000000001E-2</v>
      </c>
      <c r="I267" s="420">
        <v>0</v>
      </c>
      <c r="J267" s="420"/>
      <c r="K267" s="421">
        <f t="shared" si="70"/>
        <v>0</v>
      </c>
      <c r="L267" s="647" t="s">
        <v>614</v>
      </c>
      <c r="M267" s="703"/>
      <c r="N267" s="576">
        <f t="shared" si="57"/>
        <v>0</v>
      </c>
      <c r="O267" s="577">
        <f t="shared" si="59"/>
        <v>0</v>
      </c>
      <c r="P267" s="578"/>
      <c r="Q267" s="765"/>
      <c r="R267" s="703"/>
      <c r="S267" s="670"/>
      <c r="T267" s="577">
        <f t="shared" si="62"/>
        <v>0</v>
      </c>
      <c r="U267" s="578">
        <f t="shared" si="63"/>
        <v>0</v>
      </c>
      <c r="V267" s="579"/>
      <c r="W267" s="637" t="str">
        <f>IF(U265&gt;0,"xx",IF(P265&gt;0,"xy",""))</f>
        <v/>
      </c>
      <c r="X267" s="586" t="str">
        <f t="shared" si="64"/>
        <v/>
      </c>
      <c r="Y267" s="586" t="str">
        <f t="shared" si="56"/>
        <v/>
      </c>
      <c r="Z267" s="586" t="str">
        <f t="shared" si="58"/>
        <v/>
      </c>
    </row>
    <row r="268" spans="1:26" ht="12" hidden="1" thickBot="1" x14ac:dyDescent="0.25">
      <c r="A268" s="671" t="s">
        <v>168</v>
      </c>
      <c r="B268" s="644" t="s">
        <v>168</v>
      </c>
      <c r="C268" s="645"/>
      <c r="D268" s="451" t="s">
        <v>250</v>
      </c>
      <c r="E268" s="423"/>
      <c r="F268" s="424">
        <v>20</v>
      </c>
      <c r="G268" s="425" t="s">
        <v>92</v>
      </c>
      <c r="H268" s="663">
        <f t="shared" si="72"/>
        <v>0.10354400000000001</v>
      </c>
      <c r="I268" s="420">
        <v>0</v>
      </c>
      <c r="J268" s="420"/>
      <c r="K268" s="421">
        <f t="shared" si="70"/>
        <v>0</v>
      </c>
      <c r="L268" s="647" t="s">
        <v>614</v>
      </c>
      <c r="M268" s="703"/>
      <c r="N268" s="576">
        <f t="shared" si="57"/>
        <v>0</v>
      </c>
      <c r="O268" s="577">
        <f t="shared" si="59"/>
        <v>0</v>
      </c>
      <c r="P268" s="578">
        <f t="shared" si="60"/>
        <v>0</v>
      </c>
      <c r="Q268" s="765"/>
      <c r="R268" s="703"/>
      <c r="S268" s="670"/>
      <c r="T268" s="577">
        <f t="shared" si="62"/>
        <v>0</v>
      </c>
      <c r="U268" s="578">
        <f t="shared" si="63"/>
        <v>0</v>
      </c>
      <c r="V268" s="579"/>
      <c r="W268" s="637" t="str">
        <f>IF(U265&gt;0,"xx",IF(P265&gt;0,"xy",""))</f>
        <v/>
      </c>
      <c r="X268" s="586" t="str">
        <f>IF(W268="X","x",IF(W268="xx","x",IF(W268="xy","x",IF(W268="y","x",IF(OR(P268&gt;0,U268&gt;0),"x","")))))</f>
        <v/>
      </c>
      <c r="Y268" s="586" t="str">
        <f>IF(W268="X","x",IF(W268="y","x",IF(W268="xx","x",IF(U268&gt;0,"x",""))))</f>
        <v/>
      </c>
      <c r="Z268" s="586" t="str">
        <f>IF(W268="X","x",IF(U268&gt;0,"x",""))</f>
        <v/>
      </c>
    </row>
    <row r="269" spans="1:26" ht="12" hidden="1" thickBot="1" x14ac:dyDescent="0.25">
      <c r="A269" s="671">
        <v>589170</v>
      </c>
      <c r="B269" s="638" t="s">
        <v>1757</v>
      </c>
      <c r="C269" s="480" t="s">
        <v>1746</v>
      </c>
      <c r="D269" s="706" t="s">
        <v>751</v>
      </c>
      <c r="E269" s="446"/>
      <c r="F269" s="478">
        <v>500</v>
      </c>
      <c r="G269" s="479">
        <v>1</v>
      </c>
      <c r="H269" s="663">
        <f>(0.84*F269+41.45)*G269</f>
        <v>461.45</v>
      </c>
      <c r="I269" s="472">
        <v>4205</v>
      </c>
      <c r="J269" s="472">
        <f>IF(ISBLANK(I269),"",I269*(1+$F$9)/(1+$F$10))+H269</f>
        <v>4541.5139676794888</v>
      </c>
      <c r="K269" s="415">
        <f t="shared" si="70"/>
        <v>5395.77</v>
      </c>
      <c r="L269" s="691" t="s">
        <v>20</v>
      </c>
      <c r="M269" s="692">
        <f>ROUND(M265*G265,2)</f>
        <v>0</v>
      </c>
      <c r="N269" s="799">
        <f t="shared" si="57"/>
        <v>0</v>
      </c>
      <c r="O269" s="693">
        <f>IF(ISBLANK(M269),0,ROUND(K269*M269,2))</f>
        <v>0</v>
      </c>
      <c r="P269" s="694">
        <f>IF(ISBLANK(N269),0,ROUND(M269*N269,2))</f>
        <v>0</v>
      </c>
      <c r="Q269" s="765"/>
      <c r="R269" s="695">
        <f>ROUND(R265*G265,2)</f>
        <v>0</v>
      </c>
      <c r="S269" s="705">
        <f t="shared" si="61"/>
        <v>0</v>
      </c>
      <c r="T269" s="693">
        <f t="shared" si="62"/>
        <v>0</v>
      </c>
      <c r="U269" s="694">
        <f t="shared" si="63"/>
        <v>0</v>
      </c>
      <c r="V269" s="579"/>
      <c r="W269" s="637" t="str">
        <f>IF(U265&gt;0,"xx",IF(P265&gt;0,"xy",""))</f>
        <v/>
      </c>
      <c r="X269" s="586" t="str">
        <f t="shared" si="64"/>
        <v/>
      </c>
      <c r="Y269" s="586" t="str">
        <f t="shared" si="56"/>
        <v/>
      </c>
      <c r="Z269" s="586" t="str">
        <f t="shared" si="58"/>
        <v/>
      </c>
    </row>
    <row r="270" spans="1:26" ht="12" hidden="1" thickBot="1" x14ac:dyDescent="0.25">
      <c r="A270" s="671">
        <v>562200</v>
      </c>
      <c r="B270" s="701" t="s">
        <v>1568</v>
      </c>
      <c r="C270" s="702" t="s">
        <v>206</v>
      </c>
      <c r="D270" s="463" t="s">
        <v>650</v>
      </c>
      <c r="E270" s="464"/>
      <c r="F270" s="465" t="s">
        <v>649</v>
      </c>
      <c r="G270" s="466">
        <v>2.5999999999999999E-3</v>
      </c>
      <c r="H270" s="681">
        <f>SUM(H271:H273)</f>
        <v>2.6804160000000001</v>
      </c>
      <c r="I270" s="467">
        <v>4.01</v>
      </c>
      <c r="J270" s="467">
        <f>IF(ISBLANK(I270),"",SUM(H270:I270))</f>
        <v>6.6904159999999999</v>
      </c>
      <c r="K270" s="682">
        <f t="shared" si="70"/>
        <v>7.95</v>
      </c>
      <c r="L270" s="683" t="s">
        <v>18</v>
      </c>
      <c r="M270" s="685"/>
      <c r="N270" s="576">
        <f t="shared" si="57"/>
        <v>0</v>
      </c>
      <c r="O270" s="687">
        <f t="shared" si="59"/>
        <v>0</v>
      </c>
      <c r="P270" s="688">
        <f t="shared" si="60"/>
        <v>0</v>
      </c>
      <c r="Q270" s="765"/>
      <c r="R270" s="685">
        <f>M270</f>
        <v>0</v>
      </c>
      <c r="S270" s="686">
        <f t="shared" si="61"/>
        <v>0</v>
      </c>
      <c r="T270" s="687">
        <f t="shared" si="62"/>
        <v>0</v>
      </c>
      <c r="U270" s="688">
        <f t="shared" si="63"/>
        <v>0</v>
      </c>
      <c r="V270" s="579"/>
      <c r="W270" s="566"/>
      <c r="X270" s="586" t="str">
        <f t="shared" si="64"/>
        <v/>
      </c>
      <c r="Y270" s="586" t="str">
        <f t="shared" si="56"/>
        <v/>
      </c>
      <c r="Z270" s="586" t="str">
        <f t="shared" si="58"/>
        <v/>
      </c>
    </row>
    <row r="271" spans="1:26" ht="12" hidden="1" thickBot="1" x14ac:dyDescent="0.25">
      <c r="A271" s="671" t="s">
        <v>168</v>
      </c>
      <c r="B271" s="644" t="s">
        <v>168</v>
      </c>
      <c r="C271" s="645"/>
      <c r="D271" s="475" t="s">
        <v>248</v>
      </c>
      <c r="E271" s="423"/>
      <c r="F271" s="424">
        <v>180</v>
      </c>
      <c r="G271" s="476" t="s">
        <v>93</v>
      </c>
      <c r="H271" s="663">
        <f t="shared" ref="H271:H273" si="73">IF(F271&lt;=30,(1.07*F271+2.68)*G271,((1.07*30+2.68)+1.07*(F271-30))*G271)</f>
        <v>2.3238320000000003</v>
      </c>
      <c r="I271" s="420">
        <v>0</v>
      </c>
      <c r="J271" s="420"/>
      <c r="K271" s="421">
        <f t="shared" si="70"/>
        <v>0</v>
      </c>
      <c r="L271" s="647" t="s">
        <v>614</v>
      </c>
      <c r="M271" s="703"/>
      <c r="N271" s="576">
        <f t="shared" si="57"/>
        <v>0</v>
      </c>
      <c r="O271" s="577">
        <f t="shared" si="59"/>
        <v>0</v>
      </c>
      <c r="P271" s="578">
        <f t="shared" si="60"/>
        <v>0</v>
      </c>
      <c r="Q271" s="765"/>
      <c r="R271" s="703"/>
      <c r="S271" s="670"/>
      <c r="T271" s="577">
        <f t="shared" si="62"/>
        <v>0</v>
      </c>
      <c r="U271" s="578">
        <f t="shared" si="63"/>
        <v>0</v>
      </c>
      <c r="V271" s="579"/>
      <c r="W271" s="637" t="str">
        <f>IF(U270&gt;0,"xx",IF(P270&gt;0,"xy",""))</f>
        <v/>
      </c>
      <c r="X271" s="586" t="str">
        <f t="shared" si="64"/>
        <v/>
      </c>
      <c r="Y271" s="586" t="str">
        <f t="shared" si="56"/>
        <v/>
      </c>
      <c r="Z271" s="586" t="str">
        <f t="shared" si="58"/>
        <v/>
      </c>
    </row>
    <row r="272" spans="1:26" ht="12" hidden="1" thickBot="1" x14ac:dyDescent="0.25">
      <c r="A272" s="671" t="s">
        <v>168</v>
      </c>
      <c r="B272" s="644" t="s">
        <v>168</v>
      </c>
      <c r="C272" s="645"/>
      <c r="D272" s="475" t="s">
        <v>249</v>
      </c>
      <c r="E272" s="423"/>
      <c r="F272" s="424">
        <v>500</v>
      </c>
      <c r="G272" s="476" t="s">
        <v>94</v>
      </c>
      <c r="H272" s="649">
        <f>IF(F272&lt;=30,(0.78*F272+7.82)*G272,((0.78*30+7.82)+0.78*(F272-30))*G272)</f>
        <v>0.15912800000000002</v>
      </c>
      <c r="I272" s="420">
        <v>0</v>
      </c>
      <c r="J272" s="420"/>
      <c r="K272" s="421">
        <f t="shared" si="70"/>
        <v>0</v>
      </c>
      <c r="L272" s="647" t="s">
        <v>614</v>
      </c>
      <c r="M272" s="703"/>
      <c r="N272" s="576">
        <f t="shared" si="57"/>
        <v>0</v>
      </c>
      <c r="O272" s="577">
        <f t="shared" si="59"/>
        <v>0</v>
      </c>
      <c r="P272" s="578">
        <f t="shared" si="60"/>
        <v>0</v>
      </c>
      <c r="Q272" s="765"/>
      <c r="R272" s="703"/>
      <c r="S272" s="670"/>
      <c r="T272" s="577">
        <f t="shared" si="62"/>
        <v>0</v>
      </c>
      <c r="U272" s="578">
        <f t="shared" si="63"/>
        <v>0</v>
      </c>
      <c r="V272" s="579"/>
      <c r="W272" s="637" t="str">
        <f>IF(U270&gt;0,"xx",IF(P270&gt;0,"xy",""))</f>
        <v/>
      </c>
      <c r="X272" s="586" t="str">
        <f t="shared" si="64"/>
        <v/>
      </c>
      <c r="Y272" s="586" t="str">
        <f t="shared" si="56"/>
        <v/>
      </c>
      <c r="Z272" s="586" t="str">
        <f t="shared" si="58"/>
        <v/>
      </c>
    </row>
    <row r="273" spans="1:26" ht="12" hidden="1" thickBot="1" x14ac:dyDescent="0.25">
      <c r="A273" s="671" t="s">
        <v>168</v>
      </c>
      <c r="B273" s="644" t="s">
        <v>168</v>
      </c>
      <c r="C273" s="645"/>
      <c r="D273" s="451" t="s">
        <v>250</v>
      </c>
      <c r="E273" s="423"/>
      <c r="F273" s="424">
        <v>20</v>
      </c>
      <c r="G273" s="425" t="s">
        <v>95</v>
      </c>
      <c r="H273" s="663">
        <f t="shared" si="73"/>
        <v>0.19745600000000002</v>
      </c>
      <c r="I273" s="420">
        <v>0</v>
      </c>
      <c r="J273" s="420"/>
      <c r="K273" s="421">
        <f t="shared" si="70"/>
        <v>0</v>
      </c>
      <c r="L273" s="647" t="s">
        <v>614</v>
      </c>
      <c r="M273" s="703"/>
      <c r="N273" s="576">
        <f t="shared" si="57"/>
        <v>0</v>
      </c>
      <c r="O273" s="577">
        <f t="shared" si="59"/>
        <v>0</v>
      </c>
      <c r="P273" s="578">
        <f t="shared" si="60"/>
        <v>0</v>
      </c>
      <c r="Q273" s="765"/>
      <c r="R273" s="703"/>
      <c r="S273" s="670"/>
      <c r="T273" s="577">
        <f t="shared" si="62"/>
        <v>0</v>
      </c>
      <c r="U273" s="578">
        <f t="shared" si="63"/>
        <v>0</v>
      </c>
      <c r="V273" s="579"/>
      <c r="W273" s="637" t="str">
        <f>IF(U270&gt;0,"xx",IF(P270&gt;0,"xy",""))</f>
        <v/>
      </c>
      <c r="X273" s="586" t="str">
        <f>IF(W273="X","x",IF(W273="xx","x",IF(W273="xy","x",IF(W273="y","x",IF(OR(P273&gt;0,U273&gt;0),"x","")))))</f>
        <v/>
      </c>
      <c r="Y273" s="586" t="str">
        <f t="shared" si="56"/>
        <v/>
      </c>
      <c r="Z273" s="586" t="str">
        <f>IF(W273="X","x",IF(U273&gt;0,"x",""))</f>
        <v/>
      </c>
    </row>
    <row r="274" spans="1:26" ht="12" hidden="1" thickBot="1" x14ac:dyDescent="0.25">
      <c r="A274" s="671">
        <v>589170</v>
      </c>
      <c r="B274" s="707" t="s">
        <v>1758</v>
      </c>
      <c r="C274" s="689" t="s">
        <v>1746</v>
      </c>
      <c r="D274" s="708" t="s">
        <v>752</v>
      </c>
      <c r="E274" s="481"/>
      <c r="F274" s="478">
        <v>500</v>
      </c>
      <c r="G274" s="479">
        <v>1</v>
      </c>
      <c r="H274" s="663">
        <f>(0.84*F274+41.45)*G274</f>
        <v>461.45</v>
      </c>
      <c r="I274" s="472">
        <v>4205</v>
      </c>
      <c r="J274" s="472">
        <f>IF(ISBLANK(I274),"",I274*(1+$F$9)/(1+$F$10))+H274</f>
        <v>4541.5139676794888</v>
      </c>
      <c r="K274" s="709">
        <f t="shared" si="70"/>
        <v>5395.77</v>
      </c>
      <c r="L274" s="691" t="s">
        <v>20</v>
      </c>
      <c r="M274" s="692">
        <f>ROUND(M270*G270,2)</f>
        <v>0</v>
      </c>
      <c r="N274" s="799">
        <f t="shared" si="57"/>
        <v>0</v>
      </c>
      <c r="O274" s="693">
        <f>IF(ISBLANK(M274),0,ROUND(K274*M274,2))</f>
        <v>0</v>
      </c>
      <c r="P274" s="694">
        <f>IF(ISBLANK(N274),0,ROUND(M274*N274,2))</f>
        <v>0</v>
      </c>
      <c r="Q274" s="765"/>
      <c r="R274" s="695">
        <f>ROUND(R270*G270,2)</f>
        <v>0</v>
      </c>
      <c r="S274" s="710">
        <f t="shared" si="61"/>
        <v>0</v>
      </c>
      <c r="T274" s="693">
        <f t="shared" si="62"/>
        <v>0</v>
      </c>
      <c r="U274" s="694">
        <f t="shared" si="63"/>
        <v>0</v>
      </c>
      <c r="V274" s="579"/>
      <c r="W274" s="637" t="str">
        <f>IF(U270&gt;0,"xx",IF(P270&gt;0,"xy",""))</f>
        <v/>
      </c>
      <c r="X274" s="586" t="str">
        <f t="shared" si="64"/>
        <v/>
      </c>
      <c r="Y274" s="586" t="str">
        <f t="shared" si="56"/>
        <v/>
      </c>
      <c r="Z274" s="586" t="str">
        <f t="shared" si="58"/>
        <v/>
      </c>
    </row>
    <row r="275" spans="1:26" ht="12" hidden="1" thickBot="1" x14ac:dyDescent="0.25">
      <c r="A275" s="671">
        <v>587000</v>
      </c>
      <c r="B275" s="701">
        <v>587000</v>
      </c>
      <c r="C275" s="702" t="s">
        <v>206</v>
      </c>
      <c r="D275" s="463" t="s">
        <v>251</v>
      </c>
      <c r="E275" s="464"/>
      <c r="F275" s="465" t="s">
        <v>661</v>
      </c>
      <c r="G275" s="466">
        <v>1.5E-3</v>
      </c>
      <c r="H275" s="681">
        <f>SUM(H276:H276)</f>
        <v>0.36120000000000002</v>
      </c>
      <c r="I275" s="467">
        <v>4.46</v>
      </c>
      <c r="J275" s="467">
        <f>IF(ISBLANK(I275),"",SUM(H275:I275))</f>
        <v>4.8212000000000002</v>
      </c>
      <c r="K275" s="682">
        <f t="shared" si="70"/>
        <v>5.73</v>
      </c>
      <c r="L275" s="683" t="s">
        <v>18</v>
      </c>
      <c r="M275" s="685"/>
      <c r="N275" s="576">
        <f t="shared" si="57"/>
        <v>0</v>
      </c>
      <c r="O275" s="687">
        <f t="shared" si="59"/>
        <v>0</v>
      </c>
      <c r="P275" s="688">
        <f t="shared" si="60"/>
        <v>0</v>
      </c>
      <c r="Q275" s="765"/>
      <c r="R275" s="685">
        <f>M275</f>
        <v>0</v>
      </c>
      <c r="S275" s="686">
        <f t="shared" si="61"/>
        <v>0</v>
      </c>
      <c r="T275" s="687">
        <f t="shared" si="62"/>
        <v>0</v>
      </c>
      <c r="U275" s="688">
        <f t="shared" si="63"/>
        <v>0</v>
      </c>
      <c r="V275" s="579"/>
      <c r="W275" s="566"/>
      <c r="X275" s="586" t="str">
        <f t="shared" si="64"/>
        <v/>
      </c>
      <c r="Y275" s="586" t="str">
        <f t="shared" ref="Y275:Y338" si="74">IF(W275="X","x",IF(W275="y","x",IF(W275="xx","x",IF(U275&gt;0,"x",""))))</f>
        <v/>
      </c>
      <c r="Z275" s="586" t="str">
        <f t="shared" si="58"/>
        <v/>
      </c>
    </row>
    <row r="276" spans="1:26" ht="12" hidden="1" thickBot="1" x14ac:dyDescent="0.25">
      <c r="A276" s="671" t="s">
        <v>168</v>
      </c>
      <c r="B276" s="644" t="s">
        <v>168</v>
      </c>
      <c r="C276" s="645"/>
      <c r="D276" s="451" t="s">
        <v>252</v>
      </c>
      <c r="E276" s="423"/>
      <c r="F276" s="418">
        <v>20</v>
      </c>
      <c r="G276" s="419">
        <v>1.4999999999999999E-2</v>
      </c>
      <c r="H276" s="663">
        <f t="shared" ref="H276" si="75">IF(F276&lt;=30,(1.07*F276+2.68)*G276,((1.07*30+2.68)+1.07*(F276-30))*G276)</f>
        <v>0.36120000000000002</v>
      </c>
      <c r="I276" s="420">
        <v>0</v>
      </c>
      <c r="J276" s="420"/>
      <c r="K276" s="421">
        <f t="shared" si="70"/>
        <v>0</v>
      </c>
      <c r="L276" s="647" t="s">
        <v>614</v>
      </c>
      <c r="M276" s="703"/>
      <c r="N276" s="576">
        <f t="shared" ref="N276:N339" si="76">IF(M276=0,0,K276)</f>
        <v>0</v>
      </c>
      <c r="O276" s="577">
        <f t="shared" si="59"/>
        <v>0</v>
      </c>
      <c r="P276" s="578">
        <f t="shared" si="60"/>
        <v>0</v>
      </c>
      <c r="Q276" s="765"/>
      <c r="R276" s="703"/>
      <c r="S276" s="670"/>
      <c r="T276" s="577">
        <f t="shared" si="62"/>
        <v>0</v>
      </c>
      <c r="U276" s="578">
        <f t="shared" si="63"/>
        <v>0</v>
      </c>
      <c r="V276" s="579"/>
      <c r="W276" s="637" t="str">
        <f>IF(U275&gt;0,"xx",IF(P275&gt;0,"xy",""))</f>
        <v/>
      </c>
      <c r="X276" s="586" t="str">
        <f>IF(W276="X","x",IF(W276="xx","x",IF(W276="xy","x",IF(W276="y","x",IF(OR(P276&gt;0,U276&gt;0),"x","")))))</f>
        <v/>
      </c>
      <c r="Y276" s="586" t="str">
        <f t="shared" si="74"/>
        <v/>
      </c>
      <c r="Z276" s="586" t="str">
        <f>IF(W276="X","x",IF(U276&gt;0,"x",""))</f>
        <v/>
      </c>
    </row>
    <row r="277" spans="1:26" ht="12" hidden="1" thickBot="1" x14ac:dyDescent="0.25">
      <c r="A277" s="671">
        <v>589520</v>
      </c>
      <c r="B277" s="704" t="s">
        <v>1759</v>
      </c>
      <c r="C277" s="689" t="s">
        <v>1746</v>
      </c>
      <c r="D277" s="477" t="s">
        <v>753</v>
      </c>
      <c r="E277" s="470"/>
      <c r="F277" s="478">
        <v>500</v>
      </c>
      <c r="G277" s="479">
        <v>1</v>
      </c>
      <c r="H277" s="663">
        <f>(0.84*F277+41.45)*G277</f>
        <v>461.45</v>
      </c>
      <c r="I277" s="472">
        <v>4168</v>
      </c>
      <c r="J277" s="472">
        <f>IF(ISBLANK(I277),"",I277*(1+$F$9)/(1+$F$10))+H277</f>
        <v>4505.6132859186937</v>
      </c>
      <c r="K277" s="690">
        <f t="shared" si="70"/>
        <v>5353.12</v>
      </c>
      <c r="L277" s="691" t="s">
        <v>20</v>
      </c>
      <c r="M277" s="692">
        <f>ROUND(M275*G275,2)</f>
        <v>0</v>
      </c>
      <c r="N277" s="799">
        <f t="shared" si="76"/>
        <v>0</v>
      </c>
      <c r="O277" s="693">
        <f>IF(ISBLANK(M277),0,ROUND(K277*M277,2))</f>
        <v>0</v>
      </c>
      <c r="P277" s="694">
        <f>IF(ISBLANK(N277),0,ROUND(M277*N277,2))</f>
        <v>0</v>
      </c>
      <c r="Q277" s="765"/>
      <c r="R277" s="695">
        <f>ROUND(R275*G275,2)</f>
        <v>0</v>
      </c>
      <c r="S277" s="711">
        <f t="shared" si="61"/>
        <v>0</v>
      </c>
      <c r="T277" s="693">
        <f t="shared" si="62"/>
        <v>0</v>
      </c>
      <c r="U277" s="694">
        <f t="shared" si="63"/>
        <v>0</v>
      </c>
      <c r="V277" s="579"/>
      <c r="W277" s="637" t="str">
        <f>IF(U275&gt;0,"xx",IF(P275&gt;0,"xy",""))</f>
        <v/>
      </c>
      <c r="X277" s="586" t="str">
        <f t="shared" si="64"/>
        <v/>
      </c>
      <c r="Y277" s="586" t="str">
        <f t="shared" si="74"/>
        <v/>
      </c>
      <c r="Z277" s="586" t="str">
        <f t="shared" si="58"/>
        <v/>
      </c>
    </row>
    <row r="278" spans="1:26" ht="12" hidden="1" thickBot="1" x14ac:dyDescent="0.25">
      <c r="A278" s="671">
        <v>583100</v>
      </c>
      <c r="B278" s="701" t="s">
        <v>1615</v>
      </c>
      <c r="C278" s="702" t="s">
        <v>206</v>
      </c>
      <c r="D278" s="482" t="s">
        <v>253</v>
      </c>
      <c r="E278" s="464"/>
      <c r="F278" s="465" t="s">
        <v>661</v>
      </c>
      <c r="G278" s="466">
        <v>3.0999999999999999E-3</v>
      </c>
      <c r="H278" s="681">
        <f>SUM(H279:H279)</f>
        <v>0.63330400000000009</v>
      </c>
      <c r="I278" s="467">
        <v>6.69</v>
      </c>
      <c r="J278" s="467">
        <f>IF(ISBLANK(I278),"",SUM(H278:I278))</f>
        <v>7.3233040000000003</v>
      </c>
      <c r="K278" s="682">
        <f t="shared" si="70"/>
        <v>8.6999999999999993</v>
      </c>
      <c r="L278" s="683" t="s">
        <v>18</v>
      </c>
      <c r="M278" s="685"/>
      <c r="N278" s="576">
        <f t="shared" si="76"/>
        <v>0</v>
      </c>
      <c r="O278" s="687">
        <f t="shared" si="59"/>
        <v>0</v>
      </c>
      <c r="P278" s="688">
        <f t="shared" si="60"/>
        <v>0</v>
      </c>
      <c r="Q278" s="765"/>
      <c r="R278" s="685">
        <f>M278</f>
        <v>0</v>
      </c>
      <c r="S278" s="686">
        <f t="shared" si="61"/>
        <v>0</v>
      </c>
      <c r="T278" s="687">
        <f t="shared" si="62"/>
        <v>0</v>
      </c>
      <c r="U278" s="688">
        <f t="shared" si="63"/>
        <v>0</v>
      </c>
      <c r="V278" s="579"/>
      <c r="W278" s="566"/>
      <c r="X278" s="586" t="str">
        <f>IF(W278="X","x",IF(W278="xx","x",IF(W278="xy","x",IF(W278="y","x",IF(OR(P278&gt;0,U278&gt;0),"x","")))))</f>
        <v/>
      </c>
      <c r="Y278" s="586" t="str">
        <f t="shared" si="74"/>
        <v/>
      </c>
      <c r="Z278" s="586" t="str">
        <f t="shared" si="58"/>
        <v/>
      </c>
    </row>
    <row r="279" spans="1:26" ht="12" hidden="1" thickBot="1" x14ac:dyDescent="0.25">
      <c r="A279" s="671" t="s">
        <v>168</v>
      </c>
      <c r="B279" s="644" t="s">
        <v>168</v>
      </c>
      <c r="C279" s="645"/>
      <c r="D279" s="483" t="s">
        <v>252</v>
      </c>
      <c r="E279" s="423"/>
      <c r="F279" s="418">
        <v>20</v>
      </c>
      <c r="G279" s="425">
        <v>2.63E-2</v>
      </c>
      <c r="H279" s="663">
        <f t="shared" ref="H279" si="77">IF(F279&lt;=30,(1.07*F279+2.68)*G279,((1.07*30+2.68)+1.07*(F279-30))*G279)</f>
        <v>0.63330400000000009</v>
      </c>
      <c r="I279" s="420">
        <v>0</v>
      </c>
      <c r="J279" s="420"/>
      <c r="K279" s="421">
        <f t="shared" si="70"/>
        <v>0</v>
      </c>
      <c r="L279" s="647" t="s">
        <v>614</v>
      </c>
      <c r="M279" s="703"/>
      <c r="N279" s="576">
        <f t="shared" si="76"/>
        <v>0</v>
      </c>
      <c r="O279" s="577">
        <f t="shared" si="59"/>
        <v>0</v>
      </c>
      <c r="P279" s="578">
        <f t="shared" si="60"/>
        <v>0</v>
      </c>
      <c r="Q279" s="765"/>
      <c r="R279" s="703"/>
      <c r="S279" s="670"/>
      <c r="T279" s="577">
        <f t="shared" si="62"/>
        <v>0</v>
      </c>
      <c r="U279" s="578">
        <f t="shared" si="63"/>
        <v>0</v>
      </c>
      <c r="V279" s="579"/>
      <c r="W279" s="637" t="str">
        <f>IF(U278&gt;0,"xx",IF(P278&gt;0,"xy",""))</f>
        <v/>
      </c>
      <c r="X279" s="586" t="str">
        <f>IF(W279="X","x",IF(W279="xx","x",IF(W279="xy","x",IF(W279="y","x",IF(OR(P279&gt;0,U279&gt;0),"x","")))))</f>
        <v/>
      </c>
      <c r="Y279" s="586" t="str">
        <f t="shared" si="74"/>
        <v/>
      </c>
      <c r="Z279" s="586" t="str">
        <f t="shared" si="58"/>
        <v/>
      </c>
    </row>
    <row r="280" spans="1:26" ht="12" hidden="1" thickBot="1" x14ac:dyDescent="0.25">
      <c r="A280" s="671">
        <v>589520</v>
      </c>
      <c r="B280" s="704" t="s">
        <v>1760</v>
      </c>
      <c r="C280" s="689" t="s">
        <v>1746</v>
      </c>
      <c r="D280" s="712" t="s">
        <v>754</v>
      </c>
      <c r="E280" s="470"/>
      <c r="F280" s="478">
        <v>500</v>
      </c>
      <c r="G280" s="479">
        <v>1</v>
      </c>
      <c r="H280" s="663">
        <f>(0.84*F280+41.45)*G280</f>
        <v>461.45</v>
      </c>
      <c r="I280" s="472">
        <v>4168</v>
      </c>
      <c r="J280" s="472">
        <f>IF(ISBLANK(I280),"",I280*(1+$F$9)/(1+$F$10))+H280</f>
        <v>4505.6132859186937</v>
      </c>
      <c r="K280" s="690">
        <f t="shared" si="70"/>
        <v>5353.12</v>
      </c>
      <c r="L280" s="691" t="s">
        <v>20</v>
      </c>
      <c r="M280" s="692">
        <f>ROUND(M278*G278,2)</f>
        <v>0</v>
      </c>
      <c r="N280" s="799">
        <f t="shared" si="76"/>
        <v>0</v>
      </c>
      <c r="O280" s="693">
        <f t="shared" si="59"/>
        <v>0</v>
      </c>
      <c r="P280" s="694">
        <f t="shared" si="60"/>
        <v>0</v>
      </c>
      <c r="Q280" s="765"/>
      <c r="R280" s="695">
        <f>ROUND(R278*G278,2)</f>
        <v>0</v>
      </c>
      <c r="S280" s="711">
        <f t="shared" si="61"/>
        <v>0</v>
      </c>
      <c r="T280" s="693">
        <f t="shared" si="62"/>
        <v>0</v>
      </c>
      <c r="U280" s="694">
        <f t="shared" si="63"/>
        <v>0</v>
      </c>
      <c r="V280" s="579"/>
      <c r="W280" s="637" t="str">
        <f>IF(U278&gt;0,"xx",IF(P278&gt;0,"xy",""))</f>
        <v/>
      </c>
      <c r="X280" s="586" t="str">
        <f>IF(W280="X","x",IF(W280="xx","x",IF(W280="xy","x",IF(W280="y","x",IF(OR(P280&gt;0,U280&gt;0),"x","")))))</f>
        <v/>
      </c>
      <c r="Y280" s="586" t="str">
        <f t="shared" si="74"/>
        <v/>
      </c>
      <c r="Z280" s="586" t="str">
        <f t="shared" si="58"/>
        <v/>
      </c>
    </row>
    <row r="281" spans="1:26" ht="12" hidden="1" thickBot="1" x14ac:dyDescent="0.25">
      <c r="A281" s="671">
        <v>583100</v>
      </c>
      <c r="B281" s="701" t="s">
        <v>1616</v>
      </c>
      <c r="C281" s="702" t="s">
        <v>206</v>
      </c>
      <c r="D281" s="482" t="s">
        <v>254</v>
      </c>
      <c r="E281" s="464"/>
      <c r="F281" s="465" t="s">
        <v>661</v>
      </c>
      <c r="G281" s="466">
        <v>3.3999999999999998E-3</v>
      </c>
      <c r="H281" s="681">
        <f>SUM(H282:H282)</f>
        <v>0.73444000000000009</v>
      </c>
      <c r="I281" s="467">
        <v>6.69</v>
      </c>
      <c r="J281" s="467">
        <f>IF(ISBLANK(I281),"",SUM(H281:I281))</f>
        <v>7.4244400000000006</v>
      </c>
      <c r="K281" s="682">
        <f t="shared" si="70"/>
        <v>8.82</v>
      </c>
      <c r="L281" s="683" t="s">
        <v>18</v>
      </c>
      <c r="M281" s="685"/>
      <c r="N281" s="576">
        <f t="shared" si="76"/>
        <v>0</v>
      </c>
      <c r="O281" s="687">
        <f t="shared" si="59"/>
        <v>0</v>
      </c>
      <c r="P281" s="688">
        <f t="shared" si="60"/>
        <v>0</v>
      </c>
      <c r="Q281" s="765"/>
      <c r="R281" s="685">
        <f>M281</f>
        <v>0</v>
      </c>
      <c r="S281" s="686">
        <f t="shared" si="61"/>
        <v>0</v>
      </c>
      <c r="T281" s="687">
        <f t="shared" si="62"/>
        <v>0</v>
      </c>
      <c r="U281" s="688">
        <f t="shared" si="63"/>
        <v>0</v>
      </c>
      <c r="V281" s="579"/>
      <c r="W281" s="566"/>
      <c r="X281" s="586" t="str">
        <f t="shared" si="64"/>
        <v/>
      </c>
      <c r="Y281" s="586" t="str">
        <f t="shared" si="74"/>
        <v/>
      </c>
      <c r="Z281" s="586" t="str">
        <f t="shared" si="58"/>
        <v/>
      </c>
    </row>
    <row r="282" spans="1:26" ht="12" hidden="1" thickBot="1" x14ac:dyDescent="0.25">
      <c r="A282" s="671" t="s">
        <v>168</v>
      </c>
      <c r="B282" s="644" t="s">
        <v>168</v>
      </c>
      <c r="C282" s="645"/>
      <c r="D282" s="483" t="s">
        <v>252</v>
      </c>
      <c r="E282" s="423"/>
      <c r="F282" s="418">
        <v>20</v>
      </c>
      <c r="G282" s="425">
        <v>3.0499999999999999E-2</v>
      </c>
      <c r="H282" s="663">
        <f t="shared" ref="H282" si="78">IF(F282&lt;=30,(1.07*F282+2.68)*G282,((1.07*30+2.68)+1.07*(F282-30))*G282)</f>
        <v>0.73444000000000009</v>
      </c>
      <c r="I282" s="420">
        <v>0</v>
      </c>
      <c r="J282" s="420"/>
      <c r="K282" s="421">
        <f t="shared" si="70"/>
        <v>0</v>
      </c>
      <c r="L282" s="647" t="s">
        <v>614</v>
      </c>
      <c r="M282" s="703"/>
      <c r="N282" s="576">
        <f t="shared" si="76"/>
        <v>0</v>
      </c>
      <c r="O282" s="577">
        <f t="shared" si="59"/>
        <v>0</v>
      </c>
      <c r="P282" s="578">
        <f t="shared" si="60"/>
        <v>0</v>
      </c>
      <c r="Q282" s="765"/>
      <c r="R282" s="703"/>
      <c r="S282" s="670"/>
      <c r="T282" s="577">
        <f t="shared" si="62"/>
        <v>0</v>
      </c>
      <c r="U282" s="578">
        <f t="shared" si="63"/>
        <v>0</v>
      </c>
      <c r="V282" s="579"/>
      <c r="W282" s="637" t="str">
        <f>IF(U281&gt;0,"xx",IF(P281&gt;0,"xy",""))</f>
        <v/>
      </c>
      <c r="X282" s="586" t="str">
        <f>IF(W282="X","x",IF(W282="xx","x",IF(W282="xy","x",IF(W282="y","x",IF(OR(P282&gt;0,U282&gt;0),"x","")))))</f>
        <v/>
      </c>
      <c r="Y282" s="586" t="str">
        <f t="shared" si="74"/>
        <v/>
      </c>
      <c r="Z282" s="586" t="str">
        <f t="shared" si="58"/>
        <v/>
      </c>
    </row>
    <row r="283" spans="1:26" ht="12" hidden="1" thickBot="1" x14ac:dyDescent="0.25">
      <c r="A283" s="671">
        <v>589520</v>
      </c>
      <c r="B283" s="704" t="s">
        <v>1761</v>
      </c>
      <c r="C283" s="689" t="s">
        <v>1746</v>
      </c>
      <c r="D283" s="712" t="s">
        <v>1574</v>
      </c>
      <c r="E283" s="470"/>
      <c r="F283" s="478">
        <v>500</v>
      </c>
      <c r="G283" s="479">
        <v>1</v>
      </c>
      <c r="H283" s="663">
        <f>(0.84*F283+41.45)*G283</f>
        <v>461.45</v>
      </c>
      <c r="I283" s="472">
        <v>4168</v>
      </c>
      <c r="J283" s="472">
        <f>IF(ISBLANK(I283),"",I283*(1+$F$9)/(1+$F$10))+H283</f>
        <v>4505.6132859186937</v>
      </c>
      <c r="K283" s="690">
        <f t="shared" si="70"/>
        <v>5353.12</v>
      </c>
      <c r="L283" s="691" t="s">
        <v>20</v>
      </c>
      <c r="M283" s="692">
        <f>ROUND(M281*G281,2)</f>
        <v>0</v>
      </c>
      <c r="N283" s="588">
        <f t="shared" si="76"/>
        <v>0</v>
      </c>
      <c r="O283" s="693">
        <f t="shared" si="59"/>
        <v>0</v>
      </c>
      <c r="P283" s="694">
        <f t="shared" si="60"/>
        <v>0</v>
      </c>
      <c r="Q283" s="765"/>
      <c r="R283" s="695">
        <f>ROUND(R281*G281,2)</f>
        <v>0</v>
      </c>
      <c r="S283" s="711">
        <f t="shared" si="61"/>
        <v>0</v>
      </c>
      <c r="T283" s="693">
        <f t="shared" si="62"/>
        <v>0</v>
      </c>
      <c r="U283" s="694">
        <f t="shared" si="63"/>
        <v>0</v>
      </c>
      <c r="V283" s="579"/>
      <c r="W283" s="637" t="str">
        <f>IF(U281&gt;0,"xx",IF(P281&gt;0,"xy",""))</f>
        <v/>
      </c>
      <c r="X283" s="586" t="str">
        <f t="shared" si="64"/>
        <v/>
      </c>
      <c r="Y283" s="586" t="str">
        <f t="shared" si="74"/>
        <v/>
      </c>
      <c r="Z283" s="586" t="str">
        <f t="shared" si="58"/>
        <v/>
      </c>
    </row>
    <row r="284" spans="1:26" ht="12" hidden="1" thickBot="1" x14ac:dyDescent="0.25">
      <c r="A284" s="671">
        <v>583100</v>
      </c>
      <c r="B284" s="701" t="s">
        <v>1617</v>
      </c>
      <c r="C284" s="702" t="s">
        <v>206</v>
      </c>
      <c r="D284" s="482" t="s">
        <v>255</v>
      </c>
      <c r="E284" s="464"/>
      <c r="F284" s="465" t="s">
        <v>661</v>
      </c>
      <c r="G284" s="466">
        <v>3.8E-3</v>
      </c>
      <c r="H284" s="681">
        <f>SUM(H285:H285)</f>
        <v>0.88614400000000004</v>
      </c>
      <c r="I284" s="467">
        <v>6.69</v>
      </c>
      <c r="J284" s="467">
        <f>IF(ISBLANK(I284),"",SUM(H284:I284))</f>
        <v>7.5761440000000002</v>
      </c>
      <c r="K284" s="682">
        <f t="shared" si="70"/>
        <v>9</v>
      </c>
      <c r="L284" s="683" t="s">
        <v>18</v>
      </c>
      <c r="M284" s="685"/>
      <c r="N284" s="686">
        <f t="shared" si="76"/>
        <v>0</v>
      </c>
      <c r="O284" s="687">
        <f t="shared" si="59"/>
        <v>0</v>
      </c>
      <c r="P284" s="688">
        <f t="shared" si="60"/>
        <v>0</v>
      </c>
      <c r="Q284" s="765"/>
      <c r="R284" s="685">
        <f>M284</f>
        <v>0</v>
      </c>
      <c r="S284" s="686">
        <f t="shared" si="61"/>
        <v>0</v>
      </c>
      <c r="T284" s="687">
        <f t="shared" si="62"/>
        <v>0</v>
      </c>
      <c r="U284" s="688">
        <f t="shared" si="63"/>
        <v>0</v>
      </c>
      <c r="V284" s="579"/>
      <c r="W284" s="566"/>
      <c r="X284" s="586" t="str">
        <f t="shared" si="64"/>
        <v/>
      </c>
      <c r="Y284" s="586" t="str">
        <f t="shared" si="74"/>
        <v/>
      </c>
      <c r="Z284" s="586" t="str">
        <f t="shared" si="58"/>
        <v/>
      </c>
    </row>
    <row r="285" spans="1:26" ht="12" hidden="1" thickBot="1" x14ac:dyDescent="0.25">
      <c r="A285" s="671" t="s">
        <v>168</v>
      </c>
      <c r="B285" s="644" t="s">
        <v>168</v>
      </c>
      <c r="C285" s="645"/>
      <c r="D285" s="483" t="s">
        <v>252</v>
      </c>
      <c r="E285" s="423"/>
      <c r="F285" s="418">
        <v>20</v>
      </c>
      <c r="G285" s="425">
        <v>3.6799999999999999E-2</v>
      </c>
      <c r="H285" s="663">
        <f t="shared" ref="H285" si="79">IF(F285&lt;=30,(1.07*F285+2.68)*G285,((1.07*30+2.68)+1.07*(F285-30))*G285)</f>
        <v>0.88614400000000004</v>
      </c>
      <c r="I285" s="420">
        <v>0</v>
      </c>
      <c r="J285" s="420"/>
      <c r="K285" s="421">
        <f t="shared" si="70"/>
        <v>0</v>
      </c>
      <c r="L285" s="647" t="s">
        <v>614</v>
      </c>
      <c r="M285" s="703"/>
      <c r="N285" s="576">
        <f t="shared" si="76"/>
        <v>0</v>
      </c>
      <c r="O285" s="577">
        <f t="shared" si="59"/>
        <v>0</v>
      </c>
      <c r="P285" s="578">
        <f t="shared" si="60"/>
        <v>0</v>
      </c>
      <c r="Q285" s="765"/>
      <c r="R285" s="703"/>
      <c r="S285" s="670"/>
      <c r="T285" s="577">
        <f t="shared" si="62"/>
        <v>0</v>
      </c>
      <c r="U285" s="578">
        <f t="shared" si="63"/>
        <v>0</v>
      </c>
      <c r="V285" s="579"/>
      <c r="W285" s="637" t="str">
        <f>IF(U284&gt;0,"xx",IF(P284&gt;0,"xy",""))</f>
        <v/>
      </c>
      <c r="X285" s="586" t="str">
        <f t="shared" si="64"/>
        <v/>
      </c>
      <c r="Y285" s="586" t="str">
        <f t="shared" si="74"/>
        <v/>
      </c>
      <c r="Z285" s="586" t="str">
        <f t="shared" ref="Z285:Z348" si="80">IF(W285="X","x",IF(U285&gt;0,"x",""))</f>
        <v/>
      </c>
    </row>
    <row r="286" spans="1:26" ht="12" hidden="1" thickBot="1" x14ac:dyDescent="0.25">
      <c r="A286" s="671">
        <v>589520</v>
      </c>
      <c r="B286" s="704" t="s">
        <v>1762</v>
      </c>
      <c r="C286" s="689" t="s">
        <v>1746</v>
      </c>
      <c r="D286" s="712" t="s">
        <v>755</v>
      </c>
      <c r="E286" s="470"/>
      <c r="F286" s="478">
        <v>500</v>
      </c>
      <c r="G286" s="479">
        <v>1</v>
      </c>
      <c r="H286" s="663">
        <f>(0.84*F286+41.45)*G286</f>
        <v>461.45</v>
      </c>
      <c r="I286" s="472">
        <v>4168</v>
      </c>
      <c r="J286" s="472">
        <f>IF(ISBLANK(I286),"",I286*(1+$F$9)/(1+$F$10))+H286</f>
        <v>4505.6132859186937</v>
      </c>
      <c r="K286" s="690">
        <f t="shared" si="70"/>
        <v>5353.12</v>
      </c>
      <c r="L286" s="691" t="s">
        <v>20</v>
      </c>
      <c r="M286" s="692">
        <f>ROUND(M284*G284,2)</f>
        <v>0</v>
      </c>
      <c r="N286" s="696">
        <f t="shared" si="76"/>
        <v>0</v>
      </c>
      <c r="O286" s="693">
        <f t="shared" si="59"/>
        <v>0</v>
      </c>
      <c r="P286" s="694">
        <f t="shared" si="60"/>
        <v>0</v>
      </c>
      <c r="Q286" s="765"/>
      <c r="R286" s="695">
        <f>ROUND(R284*G284,2)</f>
        <v>0</v>
      </c>
      <c r="S286" s="711">
        <f>N286</f>
        <v>0</v>
      </c>
      <c r="T286" s="693">
        <f t="shared" si="62"/>
        <v>0</v>
      </c>
      <c r="U286" s="694">
        <f t="shared" si="63"/>
        <v>0</v>
      </c>
      <c r="V286" s="579"/>
      <c r="W286" s="637" t="str">
        <f>IF(U284&gt;0,"xx",IF(P284&gt;0,"xy",""))</f>
        <v/>
      </c>
      <c r="X286" s="586" t="str">
        <f t="shared" si="64"/>
        <v/>
      </c>
      <c r="Y286" s="586" t="str">
        <f t="shared" si="74"/>
        <v/>
      </c>
      <c r="Z286" s="586" t="str">
        <f t="shared" si="80"/>
        <v/>
      </c>
    </row>
    <row r="287" spans="1:26" ht="12" hidden="1" thickBot="1" x14ac:dyDescent="0.25">
      <c r="A287" s="671">
        <v>584200</v>
      </c>
      <c r="B287" s="701" t="s">
        <v>1618</v>
      </c>
      <c r="C287" s="702" t="s">
        <v>206</v>
      </c>
      <c r="D287" s="482" t="s">
        <v>256</v>
      </c>
      <c r="E287" s="464"/>
      <c r="F287" s="465" t="s">
        <v>661</v>
      </c>
      <c r="G287" s="466">
        <v>3.3E-3</v>
      </c>
      <c r="H287" s="681">
        <f>SUM(H288:H288)</f>
        <v>0.68387200000000015</v>
      </c>
      <c r="I287" s="467">
        <v>8.33</v>
      </c>
      <c r="J287" s="467">
        <f>IF(ISBLANK(I287),"",SUM(H287:I287))</f>
        <v>9.013872000000001</v>
      </c>
      <c r="K287" s="682">
        <f t="shared" si="70"/>
        <v>10.71</v>
      </c>
      <c r="L287" s="683" t="s">
        <v>18</v>
      </c>
      <c r="M287" s="685"/>
      <c r="N287" s="576">
        <f t="shared" si="76"/>
        <v>0</v>
      </c>
      <c r="O287" s="687">
        <f t="shared" si="59"/>
        <v>0</v>
      </c>
      <c r="P287" s="688">
        <f t="shared" si="60"/>
        <v>0</v>
      </c>
      <c r="Q287" s="765"/>
      <c r="R287" s="685">
        <f>M287</f>
        <v>0</v>
      </c>
      <c r="S287" s="686">
        <f>N287</f>
        <v>0</v>
      </c>
      <c r="T287" s="687">
        <f t="shared" si="62"/>
        <v>0</v>
      </c>
      <c r="U287" s="688">
        <f t="shared" si="63"/>
        <v>0</v>
      </c>
      <c r="V287" s="579"/>
      <c r="W287" s="566"/>
      <c r="X287" s="586" t="str">
        <f t="shared" si="64"/>
        <v/>
      </c>
      <c r="Y287" s="586" t="str">
        <f t="shared" si="74"/>
        <v/>
      </c>
      <c r="Z287" s="586" t="str">
        <f t="shared" si="80"/>
        <v/>
      </c>
    </row>
    <row r="288" spans="1:26" ht="12" hidden="1" thickBot="1" x14ac:dyDescent="0.25">
      <c r="A288" s="671" t="s">
        <v>168</v>
      </c>
      <c r="B288" s="644" t="s">
        <v>168</v>
      </c>
      <c r="C288" s="645"/>
      <c r="D288" s="483" t="s">
        <v>252</v>
      </c>
      <c r="E288" s="423"/>
      <c r="F288" s="418">
        <v>20</v>
      </c>
      <c r="G288" s="425">
        <v>2.8400000000000002E-2</v>
      </c>
      <c r="H288" s="663">
        <f t="shared" ref="H288" si="81">IF(F288&lt;=30,(1.07*F288+2.68)*G288,((1.07*30+2.68)+1.07*(F288-30))*G288)</f>
        <v>0.68387200000000015</v>
      </c>
      <c r="I288" s="420">
        <v>0</v>
      </c>
      <c r="J288" s="420"/>
      <c r="K288" s="421">
        <f t="shared" si="70"/>
        <v>0</v>
      </c>
      <c r="L288" s="647" t="s">
        <v>614</v>
      </c>
      <c r="M288" s="703"/>
      <c r="N288" s="576">
        <f t="shared" si="76"/>
        <v>0</v>
      </c>
      <c r="O288" s="577">
        <f t="shared" ref="O288:O363" si="82">IF(ISBLANK(M288),0,ROUND(K288*M288,2))</f>
        <v>0</v>
      </c>
      <c r="P288" s="578">
        <f t="shared" ref="P288:P363" si="83">IF(ISBLANK(N288),0,ROUND(M288*N288,2))</f>
        <v>0</v>
      </c>
      <c r="Q288" s="765"/>
      <c r="R288" s="703"/>
      <c r="S288" s="670"/>
      <c r="T288" s="577">
        <f t="shared" ref="T288:T363" si="84">IF(ISBLANK(R288),0,ROUND(K288*R288,2))</f>
        <v>0</v>
      </c>
      <c r="U288" s="578">
        <f t="shared" ref="U288:U363" si="85">IF(ISBLANK(R288),0,ROUND(R288*S288,2))</f>
        <v>0</v>
      </c>
      <c r="V288" s="579"/>
      <c r="W288" s="637" t="str">
        <f>IF(U287&gt;0,"xx",IF(P287&gt;0,"xy",""))</f>
        <v/>
      </c>
      <c r="X288" s="586" t="str">
        <f t="shared" si="64"/>
        <v/>
      </c>
      <c r="Y288" s="586" t="str">
        <f t="shared" si="74"/>
        <v/>
      </c>
      <c r="Z288" s="586" t="str">
        <f t="shared" si="80"/>
        <v/>
      </c>
    </row>
    <row r="289" spans="1:26" ht="12" hidden="1" thickBot="1" x14ac:dyDescent="0.25">
      <c r="A289" s="671">
        <v>589520</v>
      </c>
      <c r="B289" s="704" t="s">
        <v>1763</v>
      </c>
      <c r="C289" s="689" t="s">
        <v>1746</v>
      </c>
      <c r="D289" s="712" t="s">
        <v>756</v>
      </c>
      <c r="E289" s="470"/>
      <c r="F289" s="478">
        <v>500</v>
      </c>
      <c r="G289" s="479">
        <v>1</v>
      </c>
      <c r="H289" s="663">
        <f>(0.84*F289+41.45)*G289</f>
        <v>461.45</v>
      </c>
      <c r="I289" s="472">
        <v>4168</v>
      </c>
      <c r="J289" s="472">
        <f>IF(ISBLANK(I289),"",I289*(1+$F$9)/(1+$F$10))+H289</f>
        <v>4505.6132859186937</v>
      </c>
      <c r="K289" s="690">
        <f t="shared" si="70"/>
        <v>5353.12</v>
      </c>
      <c r="L289" s="691" t="s">
        <v>20</v>
      </c>
      <c r="M289" s="692">
        <f>ROUND(M287*G287,2)</f>
        <v>0</v>
      </c>
      <c r="N289" s="588">
        <f t="shared" si="76"/>
        <v>0</v>
      </c>
      <c r="O289" s="693">
        <f t="shared" si="82"/>
        <v>0</v>
      </c>
      <c r="P289" s="694">
        <f t="shared" si="83"/>
        <v>0</v>
      </c>
      <c r="Q289" s="765"/>
      <c r="R289" s="695">
        <f>ROUND(R287*G287,2)</f>
        <v>0</v>
      </c>
      <c r="S289" s="711">
        <f>N289</f>
        <v>0</v>
      </c>
      <c r="T289" s="693">
        <f t="shared" si="84"/>
        <v>0</v>
      </c>
      <c r="U289" s="694">
        <f t="shared" si="85"/>
        <v>0</v>
      </c>
      <c r="V289" s="579"/>
      <c r="W289" s="637" t="str">
        <f>IF(U287&gt;0,"xx",IF(P287&gt;0,"xy",""))</f>
        <v/>
      </c>
      <c r="X289" s="586" t="str">
        <f t="shared" si="64"/>
        <v/>
      </c>
      <c r="Y289" s="586" t="str">
        <f t="shared" si="74"/>
        <v/>
      </c>
      <c r="Z289" s="586" t="str">
        <f t="shared" si="80"/>
        <v/>
      </c>
    </row>
    <row r="290" spans="1:26" ht="12" hidden="1" thickBot="1" x14ac:dyDescent="0.25">
      <c r="A290" s="671">
        <v>584200</v>
      </c>
      <c r="B290" s="701" t="s">
        <v>1619</v>
      </c>
      <c r="C290" s="702" t="s">
        <v>206</v>
      </c>
      <c r="D290" s="482" t="s">
        <v>257</v>
      </c>
      <c r="E290" s="464"/>
      <c r="F290" s="465" t="s">
        <v>661</v>
      </c>
      <c r="G290" s="466">
        <v>3.8E-3</v>
      </c>
      <c r="H290" s="681">
        <f>SUM(H291:H291)</f>
        <v>0.8355760000000001</v>
      </c>
      <c r="I290" s="467">
        <v>8.33</v>
      </c>
      <c r="J290" s="467">
        <f>IF(ISBLANK(I290),"",SUM(H290:I290))</f>
        <v>9.1655759999999997</v>
      </c>
      <c r="K290" s="682">
        <f t="shared" si="70"/>
        <v>10.89</v>
      </c>
      <c r="L290" s="683" t="s">
        <v>18</v>
      </c>
      <c r="M290" s="685"/>
      <c r="N290" s="686">
        <f t="shared" si="76"/>
        <v>0</v>
      </c>
      <c r="O290" s="687">
        <f t="shared" si="82"/>
        <v>0</v>
      </c>
      <c r="P290" s="688">
        <f t="shared" si="83"/>
        <v>0</v>
      </c>
      <c r="Q290" s="765"/>
      <c r="R290" s="685">
        <f>M290</f>
        <v>0</v>
      </c>
      <c r="S290" s="686">
        <f>N290</f>
        <v>0</v>
      </c>
      <c r="T290" s="687">
        <f t="shared" si="84"/>
        <v>0</v>
      </c>
      <c r="U290" s="688">
        <f t="shared" si="85"/>
        <v>0</v>
      </c>
      <c r="V290" s="579"/>
      <c r="W290" s="566"/>
      <c r="X290" s="586" t="str">
        <f t="shared" ref="X290:X353" si="86">IF(W290="X","x",IF(W290="xx","x",IF(W290="xy","x",IF(W290="y","x",IF(OR(P290&gt;0,U290&gt;0),"x","")))))</f>
        <v/>
      </c>
      <c r="Y290" s="586" t="str">
        <f t="shared" si="74"/>
        <v/>
      </c>
      <c r="Z290" s="586" t="str">
        <f t="shared" si="80"/>
        <v/>
      </c>
    </row>
    <row r="291" spans="1:26" ht="12" hidden="1" thickBot="1" x14ac:dyDescent="0.25">
      <c r="A291" s="671" t="s">
        <v>168</v>
      </c>
      <c r="B291" s="644" t="s">
        <v>168</v>
      </c>
      <c r="C291" s="645"/>
      <c r="D291" s="483" t="s">
        <v>252</v>
      </c>
      <c r="E291" s="423"/>
      <c r="F291" s="418">
        <v>20</v>
      </c>
      <c r="G291" s="425">
        <v>3.4700000000000002E-2</v>
      </c>
      <c r="H291" s="663">
        <f t="shared" ref="H291" si="87">IF(F291&lt;=30,(1.07*F291+2.68)*G291,((1.07*30+2.68)+1.07*(F291-30))*G291)</f>
        <v>0.8355760000000001</v>
      </c>
      <c r="I291" s="420">
        <v>0</v>
      </c>
      <c r="J291" s="420"/>
      <c r="K291" s="421">
        <f t="shared" si="70"/>
        <v>0</v>
      </c>
      <c r="L291" s="647" t="s">
        <v>614</v>
      </c>
      <c r="M291" s="703"/>
      <c r="N291" s="576">
        <f t="shared" si="76"/>
        <v>0</v>
      </c>
      <c r="O291" s="577">
        <f t="shared" si="82"/>
        <v>0</v>
      </c>
      <c r="P291" s="578">
        <f t="shared" si="83"/>
        <v>0</v>
      </c>
      <c r="Q291" s="765"/>
      <c r="R291" s="703"/>
      <c r="S291" s="670"/>
      <c r="T291" s="577">
        <f t="shared" si="84"/>
        <v>0</v>
      </c>
      <c r="U291" s="578">
        <f t="shared" si="85"/>
        <v>0</v>
      </c>
      <c r="V291" s="579"/>
      <c r="W291" s="637" t="str">
        <f>IF(U290&gt;0,"xx",IF(P290&gt;0,"xy",""))</f>
        <v/>
      </c>
      <c r="X291" s="586" t="str">
        <f t="shared" si="86"/>
        <v/>
      </c>
      <c r="Y291" s="586" t="str">
        <f t="shared" si="74"/>
        <v/>
      </c>
      <c r="Z291" s="586" t="str">
        <f t="shared" si="80"/>
        <v/>
      </c>
    </row>
    <row r="292" spans="1:26" ht="12" hidden="1" thickBot="1" x14ac:dyDescent="0.25">
      <c r="A292" s="671">
        <v>589520</v>
      </c>
      <c r="B292" s="704" t="s">
        <v>1764</v>
      </c>
      <c r="C292" s="689" t="s">
        <v>1746</v>
      </c>
      <c r="D292" s="712" t="s">
        <v>654</v>
      </c>
      <c r="E292" s="470"/>
      <c r="F292" s="478">
        <v>500</v>
      </c>
      <c r="G292" s="479">
        <v>1</v>
      </c>
      <c r="H292" s="663">
        <f>(0.84*F292+41.45)*G292</f>
        <v>461.45</v>
      </c>
      <c r="I292" s="472">
        <v>4168</v>
      </c>
      <c r="J292" s="472">
        <f>IF(ISBLANK(I292),"",I292*(1+$F$9)/(1+$F$10))+H292</f>
        <v>4505.6132859186937</v>
      </c>
      <c r="K292" s="690">
        <f t="shared" si="70"/>
        <v>5353.12</v>
      </c>
      <c r="L292" s="691" t="s">
        <v>20</v>
      </c>
      <c r="M292" s="692">
        <f>ROUND(M290*G290,2)</f>
        <v>0</v>
      </c>
      <c r="N292" s="696">
        <f t="shared" si="76"/>
        <v>0</v>
      </c>
      <c r="O292" s="693">
        <f t="shared" si="82"/>
        <v>0</v>
      </c>
      <c r="P292" s="694">
        <f t="shared" si="83"/>
        <v>0</v>
      </c>
      <c r="Q292" s="765"/>
      <c r="R292" s="695">
        <f>ROUND(R290*G290,2)</f>
        <v>0</v>
      </c>
      <c r="S292" s="711">
        <f>N292</f>
        <v>0</v>
      </c>
      <c r="T292" s="693">
        <f t="shared" si="84"/>
        <v>0</v>
      </c>
      <c r="U292" s="694">
        <f t="shared" si="85"/>
        <v>0</v>
      </c>
      <c r="V292" s="579"/>
      <c r="W292" s="637" t="str">
        <f>IF(U290&gt;0,"xx",IF(P290&gt;0,"xy",""))</f>
        <v/>
      </c>
      <c r="X292" s="586" t="str">
        <f t="shared" si="86"/>
        <v/>
      </c>
      <c r="Y292" s="586" t="str">
        <f t="shared" si="74"/>
        <v/>
      </c>
      <c r="Z292" s="586" t="str">
        <f t="shared" si="80"/>
        <v/>
      </c>
    </row>
    <row r="293" spans="1:26" ht="12" hidden="1" thickBot="1" x14ac:dyDescent="0.25">
      <c r="A293" s="671">
        <v>584200</v>
      </c>
      <c r="B293" s="701" t="s">
        <v>1620</v>
      </c>
      <c r="C293" s="702" t="s">
        <v>206</v>
      </c>
      <c r="D293" s="482" t="s">
        <v>258</v>
      </c>
      <c r="E293" s="464"/>
      <c r="F293" s="465" t="s">
        <v>661</v>
      </c>
      <c r="G293" s="466">
        <v>4.0000000000000001E-3</v>
      </c>
      <c r="H293" s="681">
        <f>SUM(H294:H294)</f>
        <v>1.1558400000000002</v>
      </c>
      <c r="I293" s="467">
        <v>8.33</v>
      </c>
      <c r="J293" s="467">
        <f>IF(ISBLANK(I293),"",SUM(H293:I293))</f>
        <v>9.4858399999999996</v>
      </c>
      <c r="K293" s="682">
        <f t="shared" si="70"/>
        <v>11.27</v>
      </c>
      <c r="L293" s="683" t="s">
        <v>18</v>
      </c>
      <c r="M293" s="685"/>
      <c r="N293" s="576">
        <f t="shared" si="76"/>
        <v>0</v>
      </c>
      <c r="O293" s="687">
        <f t="shared" si="82"/>
        <v>0</v>
      </c>
      <c r="P293" s="688">
        <f t="shared" si="83"/>
        <v>0</v>
      </c>
      <c r="Q293" s="765"/>
      <c r="R293" s="685">
        <f>M293</f>
        <v>0</v>
      </c>
      <c r="S293" s="686">
        <f>N293</f>
        <v>0</v>
      </c>
      <c r="T293" s="687">
        <f t="shared" si="84"/>
        <v>0</v>
      </c>
      <c r="U293" s="688">
        <f t="shared" si="85"/>
        <v>0</v>
      </c>
      <c r="V293" s="579"/>
      <c r="W293" s="566"/>
      <c r="X293" s="586" t="str">
        <f t="shared" si="86"/>
        <v/>
      </c>
      <c r="Y293" s="586" t="str">
        <f t="shared" si="74"/>
        <v/>
      </c>
      <c r="Z293" s="586" t="str">
        <f t="shared" si="80"/>
        <v/>
      </c>
    </row>
    <row r="294" spans="1:26" ht="12" hidden="1" thickBot="1" x14ac:dyDescent="0.25">
      <c r="A294" s="671" t="s">
        <v>168</v>
      </c>
      <c r="B294" s="644" t="s">
        <v>168</v>
      </c>
      <c r="C294" s="645"/>
      <c r="D294" s="483" t="s">
        <v>252</v>
      </c>
      <c r="E294" s="423"/>
      <c r="F294" s="418">
        <v>20</v>
      </c>
      <c r="G294" s="425">
        <v>4.8000000000000001E-2</v>
      </c>
      <c r="H294" s="663">
        <f t="shared" ref="H294" si="88">IF(F294&lt;=30,(1.07*F294+2.68)*G294,((1.07*30+2.68)+1.07*(F294-30))*G294)</f>
        <v>1.1558400000000002</v>
      </c>
      <c r="I294" s="420">
        <v>0</v>
      </c>
      <c r="J294" s="420"/>
      <c r="K294" s="421">
        <f t="shared" si="70"/>
        <v>0</v>
      </c>
      <c r="L294" s="647" t="s">
        <v>614</v>
      </c>
      <c r="M294" s="703"/>
      <c r="N294" s="576">
        <f t="shared" si="76"/>
        <v>0</v>
      </c>
      <c r="O294" s="577">
        <f t="shared" si="82"/>
        <v>0</v>
      </c>
      <c r="P294" s="578">
        <f t="shared" si="83"/>
        <v>0</v>
      </c>
      <c r="Q294" s="765"/>
      <c r="R294" s="703"/>
      <c r="S294" s="670"/>
      <c r="T294" s="577">
        <f t="shared" si="84"/>
        <v>0</v>
      </c>
      <c r="U294" s="578">
        <f t="shared" si="85"/>
        <v>0</v>
      </c>
      <c r="V294" s="579"/>
      <c r="W294" s="637" t="str">
        <f>IF(U293&gt;0,"xx",IF(P293&gt;0,"xy",""))</f>
        <v/>
      </c>
      <c r="X294" s="586" t="str">
        <f t="shared" si="86"/>
        <v/>
      </c>
      <c r="Y294" s="586" t="str">
        <f t="shared" si="74"/>
        <v/>
      </c>
      <c r="Z294" s="586" t="str">
        <f t="shared" si="80"/>
        <v/>
      </c>
    </row>
    <row r="295" spans="1:26" ht="12" hidden="1" thickBot="1" x14ac:dyDescent="0.25">
      <c r="A295" s="671">
        <v>589520</v>
      </c>
      <c r="B295" s="704" t="s">
        <v>1765</v>
      </c>
      <c r="C295" s="689" t="s">
        <v>1746</v>
      </c>
      <c r="D295" s="712" t="s">
        <v>757</v>
      </c>
      <c r="E295" s="470"/>
      <c r="F295" s="478">
        <v>500</v>
      </c>
      <c r="G295" s="479">
        <v>1</v>
      </c>
      <c r="H295" s="663">
        <f>(0.84*F295+41.45)*G295</f>
        <v>461.45</v>
      </c>
      <c r="I295" s="472">
        <v>4168</v>
      </c>
      <c r="J295" s="472">
        <f>IF(ISBLANK(I295),"",I295*(1+$F$9)/(1+$F$10))+H295</f>
        <v>4505.6132859186937</v>
      </c>
      <c r="K295" s="690">
        <f t="shared" si="70"/>
        <v>5353.12</v>
      </c>
      <c r="L295" s="691" t="s">
        <v>20</v>
      </c>
      <c r="M295" s="692">
        <f>ROUND(M293*G293,2)</f>
        <v>0</v>
      </c>
      <c r="N295" s="588">
        <f t="shared" si="76"/>
        <v>0</v>
      </c>
      <c r="O295" s="693">
        <f t="shared" si="82"/>
        <v>0</v>
      </c>
      <c r="P295" s="694">
        <f t="shared" si="83"/>
        <v>0</v>
      </c>
      <c r="Q295" s="765"/>
      <c r="R295" s="695">
        <f>ROUND(R293*G293,2)</f>
        <v>0</v>
      </c>
      <c r="S295" s="711">
        <f>N295</f>
        <v>0</v>
      </c>
      <c r="T295" s="693">
        <f t="shared" si="84"/>
        <v>0</v>
      </c>
      <c r="U295" s="694">
        <f t="shared" si="85"/>
        <v>0</v>
      </c>
      <c r="V295" s="579"/>
      <c r="W295" s="637" t="str">
        <f>IF(U293&gt;0,"xx",IF(P293&gt;0,"xy",""))</f>
        <v/>
      </c>
      <c r="X295" s="586" t="str">
        <f t="shared" si="86"/>
        <v/>
      </c>
      <c r="Y295" s="586" t="str">
        <f t="shared" si="74"/>
        <v/>
      </c>
      <c r="Z295" s="586" t="str">
        <f t="shared" si="80"/>
        <v/>
      </c>
    </row>
    <row r="296" spans="1:26" ht="12" hidden="1" thickBot="1" x14ac:dyDescent="0.25">
      <c r="A296" s="671">
        <v>564000</v>
      </c>
      <c r="B296" s="701">
        <v>564000</v>
      </c>
      <c r="C296" s="702" t="s">
        <v>206</v>
      </c>
      <c r="D296" s="482" t="s">
        <v>259</v>
      </c>
      <c r="E296" s="464"/>
      <c r="F296" s="465" t="s">
        <v>661</v>
      </c>
      <c r="G296" s="466">
        <v>0.125</v>
      </c>
      <c r="H296" s="681">
        <f>SUM(H297:H297)</f>
        <v>52.976000000000006</v>
      </c>
      <c r="I296" s="467">
        <v>118.24000000000001</v>
      </c>
      <c r="J296" s="467">
        <f>IF(ISBLANK(I296),"",SUM(H296:I296))</f>
        <v>171.21600000000001</v>
      </c>
      <c r="K296" s="682">
        <f t="shared" si="70"/>
        <v>203.42</v>
      </c>
      <c r="L296" s="683" t="s">
        <v>16</v>
      </c>
      <c r="M296" s="685"/>
      <c r="N296" s="686">
        <f t="shared" si="76"/>
        <v>0</v>
      </c>
      <c r="O296" s="687">
        <f t="shared" si="82"/>
        <v>0</v>
      </c>
      <c r="P296" s="688">
        <f t="shared" si="83"/>
        <v>0</v>
      </c>
      <c r="Q296" s="765"/>
      <c r="R296" s="685">
        <f>M296</f>
        <v>0</v>
      </c>
      <c r="S296" s="686">
        <f>N296</f>
        <v>0</v>
      </c>
      <c r="T296" s="687">
        <f t="shared" si="84"/>
        <v>0</v>
      </c>
      <c r="U296" s="688">
        <f t="shared" si="85"/>
        <v>0</v>
      </c>
      <c r="V296" s="579"/>
      <c r="W296" s="566"/>
      <c r="X296" s="586" t="str">
        <f t="shared" si="86"/>
        <v/>
      </c>
      <c r="Y296" s="586" t="str">
        <f t="shared" si="74"/>
        <v/>
      </c>
      <c r="Z296" s="586" t="str">
        <f t="shared" si="80"/>
        <v/>
      </c>
    </row>
    <row r="297" spans="1:26" ht="12" hidden="1" thickBot="1" x14ac:dyDescent="0.25">
      <c r="A297" s="671" t="s">
        <v>168</v>
      </c>
      <c r="B297" s="644" t="s">
        <v>168</v>
      </c>
      <c r="C297" s="645"/>
      <c r="D297" s="483" t="s">
        <v>252</v>
      </c>
      <c r="E297" s="423"/>
      <c r="F297" s="418">
        <v>20</v>
      </c>
      <c r="G297" s="425">
        <v>2.2000000000000002</v>
      </c>
      <c r="H297" s="663">
        <f t="shared" ref="H297" si="89">IF(F297&lt;=30,(1.07*F297+2.68)*G297,((1.07*30+2.68)+1.07*(F297-30))*G297)</f>
        <v>52.976000000000006</v>
      </c>
      <c r="I297" s="420">
        <v>0</v>
      </c>
      <c r="J297" s="420"/>
      <c r="K297" s="421">
        <f t="shared" si="70"/>
        <v>0</v>
      </c>
      <c r="L297" s="647" t="s">
        <v>614</v>
      </c>
      <c r="M297" s="703"/>
      <c r="N297" s="576">
        <f t="shared" si="76"/>
        <v>0</v>
      </c>
      <c r="O297" s="577">
        <f t="shared" si="82"/>
        <v>0</v>
      </c>
      <c r="P297" s="578">
        <f t="shared" si="83"/>
        <v>0</v>
      </c>
      <c r="Q297" s="765"/>
      <c r="R297" s="703"/>
      <c r="S297" s="670"/>
      <c r="T297" s="577">
        <f t="shared" si="84"/>
        <v>0</v>
      </c>
      <c r="U297" s="578">
        <f t="shared" si="85"/>
        <v>0</v>
      </c>
      <c r="V297" s="579"/>
      <c r="W297" s="637" t="str">
        <f>IF(U296&gt;0,"xx",IF(P296&gt;0,"xy",""))</f>
        <v/>
      </c>
      <c r="X297" s="586" t="str">
        <f t="shared" si="86"/>
        <v/>
      </c>
      <c r="Y297" s="586" t="str">
        <f t="shared" si="74"/>
        <v/>
      </c>
      <c r="Z297" s="586" t="str">
        <f t="shared" si="80"/>
        <v/>
      </c>
    </row>
    <row r="298" spans="1:26" ht="12" hidden="1" thickBot="1" x14ac:dyDescent="0.25">
      <c r="A298" s="671">
        <v>589520</v>
      </c>
      <c r="B298" s="704" t="s">
        <v>1766</v>
      </c>
      <c r="C298" s="689" t="s">
        <v>1746</v>
      </c>
      <c r="D298" s="712" t="s">
        <v>758</v>
      </c>
      <c r="E298" s="470"/>
      <c r="F298" s="478">
        <v>500</v>
      </c>
      <c r="G298" s="479">
        <v>1</v>
      </c>
      <c r="H298" s="663">
        <f>(0.84*F298+41.45)*G298</f>
        <v>461.45</v>
      </c>
      <c r="I298" s="472">
        <v>4168</v>
      </c>
      <c r="J298" s="472">
        <f>IF(ISBLANK(I298),"",I298*(1+$F$9)/(1+$F$10))+H298</f>
        <v>4505.6132859186937</v>
      </c>
      <c r="K298" s="690">
        <f t="shared" si="70"/>
        <v>5353.12</v>
      </c>
      <c r="L298" s="691" t="s">
        <v>20</v>
      </c>
      <c r="M298" s="692">
        <f>ROUND(M296*G296,2)</f>
        <v>0</v>
      </c>
      <c r="N298" s="696">
        <f t="shared" si="76"/>
        <v>0</v>
      </c>
      <c r="O298" s="693">
        <f t="shared" si="82"/>
        <v>0</v>
      </c>
      <c r="P298" s="694">
        <f t="shared" si="83"/>
        <v>0</v>
      </c>
      <c r="Q298" s="765"/>
      <c r="R298" s="695">
        <f>ROUND(R296*G296,2)</f>
        <v>0</v>
      </c>
      <c r="S298" s="711">
        <f>N298</f>
        <v>0</v>
      </c>
      <c r="T298" s="693">
        <f t="shared" si="84"/>
        <v>0</v>
      </c>
      <c r="U298" s="694">
        <f t="shared" si="85"/>
        <v>0</v>
      </c>
      <c r="V298" s="579"/>
      <c r="W298" s="637" t="str">
        <f>IF(U296&gt;0,"xx",IF(P296&gt;0,"xy",""))</f>
        <v/>
      </c>
      <c r="X298" s="586" t="str">
        <f t="shared" si="86"/>
        <v/>
      </c>
      <c r="Y298" s="586" t="str">
        <f t="shared" si="74"/>
        <v/>
      </c>
      <c r="Z298" s="586" t="str">
        <f t="shared" si="80"/>
        <v/>
      </c>
    </row>
    <row r="299" spans="1:26" ht="12" hidden="1" thickBot="1" x14ac:dyDescent="0.25">
      <c r="A299" s="671">
        <v>564300</v>
      </c>
      <c r="B299" s="701">
        <v>564300</v>
      </c>
      <c r="C299" s="702" t="s">
        <v>206</v>
      </c>
      <c r="D299" s="482" t="s">
        <v>260</v>
      </c>
      <c r="E299" s="464"/>
      <c r="F299" s="465" t="s">
        <v>662</v>
      </c>
      <c r="G299" s="466">
        <v>0.1</v>
      </c>
      <c r="H299" s="681">
        <f>SUM(H300:H300)</f>
        <v>52.976000000000006</v>
      </c>
      <c r="I299" s="467">
        <v>126.49</v>
      </c>
      <c r="J299" s="467">
        <f>IF(ISBLANK(I299),"",SUM(H299:I299))</f>
        <v>179.46600000000001</v>
      </c>
      <c r="K299" s="682">
        <f t="shared" si="70"/>
        <v>213.22</v>
      </c>
      <c r="L299" s="683" t="s">
        <v>16</v>
      </c>
      <c r="M299" s="685"/>
      <c r="N299" s="576">
        <f t="shared" si="76"/>
        <v>0</v>
      </c>
      <c r="O299" s="687">
        <f t="shared" si="82"/>
        <v>0</v>
      </c>
      <c r="P299" s="688">
        <f t="shared" si="83"/>
        <v>0</v>
      </c>
      <c r="Q299" s="765"/>
      <c r="R299" s="685">
        <f>M299</f>
        <v>0</v>
      </c>
      <c r="S299" s="686">
        <f>N299</f>
        <v>0</v>
      </c>
      <c r="T299" s="687">
        <f t="shared" si="84"/>
        <v>0</v>
      </c>
      <c r="U299" s="688">
        <f t="shared" si="85"/>
        <v>0</v>
      </c>
      <c r="V299" s="579"/>
      <c r="W299" s="566"/>
      <c r="X299" s="586" t="str">
        <f t="shared" si="86"/>
        <v/>
      </c>
      <c r="Y299" s="586" t="str">
        <f t="shared" si="74"/>
        <v/>
      </c>
      <c r="Z299" s="586" t="str">
        <f t="shared" si="80"/>
        <v/>
      </c>
    </row>
    <row r="300" spans="1:26" ht="12" hidden="1" thickBot="1" x14ac:dyDescent="0.25">
      <c r="A300" s="671" t="s">
        <v>168</v>
      </c>
      <c r="B300" s="644" t="s">
        <v>168</v>
      </c>
      <c r="C300" s="645"/>
      <c r="D300" s="483" t="s">
        <v>252</v>
      </c>
      <c r="E300" s="423"/>
      <c r="F300" s="418">
        <v>20</v>
      </c>
      <c r="G300" s="425">
        <v>2.2000000000000002</v>
      </c>
      <c r="H300" s="663">
        <f t="shared" ref="H300" si="90">IF(F300&lt;=30,(1.07*F300+2.68)*G300,((1.07*30+2.68)+1.07*(F300-30))*G300)</f>
        <v>52.976000000000006</v>
      </c>
      <c r="I300" s="420">
        <v>0</v>
      </c>
      <c r="J300" s="420"/>
      <c r="K300" s="421">
        <f t="shared" si="70"/>
        <v>0</v>
      </c>
      <c r="L300" s="647" t="s">
        <v>614</v>
      </c>
      <c r="M300" s="703"/>
      <c r="N300" s="576">
        <f t="shared" si="76"/>
        <v>0</v>
      </c>
      <c r="O300" s="577">
        <f t="shared" si="82"/>
        <v>0</v>
      </c>
      <c r="P300" s="578">
        <f t="shared" si="83"/>
        <v>0</v>
      </c>
      <c r="Q300" s="765"/>
      <c r="R300" s="703"/>
      <c r="S300" s="670"/>
      <c r="T300" s="577">
        <f t="shared" si="84"/>
        <v>0</v>
      </c>
      <c r="U300" s="578">
        <f t="shared" si="85"/>
        <v>0</v>
      </c>
      <c r="V300" s="579"/>
      <c r="W300" s="637" t="str">
        <f>IF(U299&gt;0,"xx",IF(P299&gt;0,"xy",""))</f>
        <v/>
      </c>
      <c r="X300" s="586" t="str">
        <f t="shared" si="86"/>
        <v/>
      </c>
      <c r="Y300" s="586" t="str">
        <f t="shared" si="74"/>
        <v/>
      </c>
      <c r="Z300" s="586" t="str">
        <f t="shared" si="80"/>
        <v/>
      </c>
    </row>
    <row r="301" spans="1:26" ht="12" hidden="1" thickBot="1" x14ac:dyDescent="0.25">
      <c r="A301" s="671">
        <v>589000</v>
      </c>
      <c r="B301" s="704" t="s">
        <v>1767</v>
      </c>
      <c r="C301" s="689" t="s">
        <v>1746</v>
      </c>
      <c r="D301" s="712" t="s">
        <v>655</v>
      </c>
      <c r="E301" s="470"/>
      <c r="F301" s="478">
        <v>500</v>
      </c>
      <c r="G301" s="479">
        <v>1</v>
      </c>
      <c r="H301" s="663">
        <f>(0.84*F301+41.45)*G301</f>
        <v>461.45</v>
      </c>
      <c r="I301" s="472">
        <v>5725</v>
      </c>
      <c r="J301" s="472">
        <f>IF(ISBLANK(I301),"",I301*(1+$F$9)/(1+$F$10))+H301</f>
        <v>6016.3527859607784</v>
      </c>
      <c r="K301" s="690">
        <f t="shared" si="70"/>
        <v>7148.03</v>
      </c>
      <c r="L301" s="691" t="s">
        <v>20</v>
      </c>
      <c r="M301" s="692">
        <f>ROUND(M299*G299,2)</f>
        <v>0</v>
      </c>
      <c r="N301" s="588">
        <f t="shared" si="76"/>
        <v>0</v>
      </c>
      <c r="O301" s="693">
        <f t="shared" si="82"/>
        <v>0</v>
      </c>
      <c r="P301" s="694">
        <f t="shared" si="83"/>
        <v>0</v>
      </c>
      <c r="Q301" s="765"/>
      <c r="R301" s="695">
        <f>ROUND(R299*G299,2)</f>
        <v>0</v>
      </c>
      <c r="S301" s="711">
        <f>N301</f>
        <v>0</v>
      </c>
      <c r="T301" s="693">
        <f t="shared" si="84"/>
        <v>0</v>
      </c>
      <c r="U301" s="694">
        <f t="shared" si="85"/>
        <v>0</v>
      </c>
      <c r="V301" s="579"/>
      <c r="W301" s="637" t="str">
        <f>IF(U299&gt;0,"xx",IF(P299&gt;0,"xy",""))</f>
        <v/>
      </c>
      <c r="X301" s="586" t="str">
        <f t="shared" si="86"/>
        <v/>
      </c>
      <c r="Y301" s="586" t="str">
        <f t="shared" si="74"/>
        <v/>
      </c>
      <c r="Z301" s="586" t="str">
        <f t="shared" si="80"/>
        <v/>
      </c>
    </row>
    <row r="302" spans="1:26" ht="12" hidden="1" thickBot="1" x14ac:dyDescent="0.25">
      <c r="A302" s="671">
        <v>563100</v>
      </c>
      <c r="B302" s="701" t="s">
        <v>1634</v>
      </c>
      <c r="C302" s="702" t="s">
        <v>206</v>
      </c>
      <c r="D302" s="484" t="s">
        <v>261</v>
      </c>
      <c r="E302" s="464"/>
      <c r="F302" s="465" t="s">
        <v>661</v>
      </c>
      <c r="G302" s="466">
        <v>5.0000000000000001E-4</v>
      </c>
      <c r="H302" s="681">
        <f>SUM(H303:H303)</f>
        <v>0.16856000000000002</v>
      </c>
      <c r="I302" s="467">
        <v>1.25</v>
      </c>
      <c r="J302" s="467">
        <f>IF(ISBLANK(I302),"",SUM(H302:I302))</f>
        <v>1.41856</v>
      </c>
      <c r="K302" s="682">
        <f t="shared" si="70"/>
        <v>1.69</v>
      </c>
      <c r="L302" s="683" t="s">
        <v>18</v>
      </c>
      <c r="M302" s="685"/>
      <c r="N302" s="686">
        <f t="shared" si="76"/>
        <v>0</v>
      </c>
      <c r="O302" s="687">
        <f t="shared" si="82"/>
        <v>0</v>
      </c>
      <c r="P302" s="688">
        <f t="shared" si="83"/>
        <v>0</v>
      </c>
      <c r="Q302" s="765"/>
      <c r="R302" s="685">
        <f>M302</f>
        <v>0</v>
      </c>
      <c r="S302" s="686">
        <f>N302</f>
        <v>0</v>
      </c>
      <c r="T302" s="687">
        <f t="shared" si="84"/>
        <v>0</v>
      </c>
      <c r="U302" s="688">
        <f t="shared" si="85"/>
        <v>0</v>
      </c>
      <c r="V302" s="579"/>
      <c r="W302" s="566"/>
      <c r="X302" s="586" t="str">
        <f t="shared" si="86"/>
        <v/>
      </c>
      <c r="Y302" s="586" t="str">
        <f t="shared" si="74"/>
        <v/>
      </c>
      <c r="Z302" s="586" t="str">
        <f t="shared" si="80"/>
        <v/>
      </c>
    </row>
    <row r="303" spans="1:26" ht="12" hidden="1" thickBot="1" x14ac:dyDescent="0.25">
      <c r="A303" s="671" t="s">
        <v>168</v>
      </c>
      <c r="B303" s="644" t="s">
        <v>168</v>
      </c>
      <c r="C303" s="645"/>
      <c r="D303" s="713" t="s">
        <v>252</v>
      </c>
      <c r="E303" s="423"/>
      <c r="F303" s="418">
        <v>20</v>
      </c>
      <c r="G303" s="425">
        <v>7.0000000000000001E-3</v>
      </c>
      <c r="H303" s="663">
        <f t="shared" ref="H303" si="91">IF(F303&lt;=30,(1.07*F303+2.68)*G303,((1.07*30+2.68)+1.07*(F303-30))*G303)</f>
        <v>0.16856000000000002</v>
      </c>
      <c r="I303" s="420">
        <v>0</v>
      </c>
      <c r="J303" s="420"/>
      <c r="K303" s="421">
        <f t="shared" si="70"/>
        <v>0</v>
      </c>
      <c r="L303" s="647" t="s">
        <v>614</v>
      </c>
      <c r="M303" s="703"/>
      <c r="N303" s="576">
        <f t="shared" si="76"/>
        <v>0</v>
      </c>
      <c r="O303" s="577">
        <f t="shared" si="82"/>
        <v>0</v>
      </c>
      <c r="P303" s="578">
        <f t="shared" si="83"/>
        <v>0</v>
      </c>
      <c r="Q303" s="765"/>
      <c r="R303" s="703"/>
      <c r="S303" s="670"/>
      <c r="T303" s="577">
        <f t="shared" si="84"/>
        <v>0</v>
      </c>
      <c r="U303" s="578">
        <f t="shared" si="85"/>
        <v>0</v>
      </c>
      <c r="V303" s="579"/>
      <c r="W303" s="637" t="str">
        <f>IF(U302&gt;0,"xx",IF(P302&gt;0,"xy",""))</f>
        <v/>
      </c>
      <c r="X303" s="586" t="str">
        <f t="shared" si="86"/>
        <v/>
      </c>
      <c r="Y303" s="586" t="str">
        <f t="shared" si="74"/>
        <v/>
      </c>
      <c r="Z303" s="586" t="str">
        <f t="shared" si="80"/>
        <v/>
      </c>
    </row>
    <row r="304" spans="1:26" ht="12" hidden="1" thickBot="1" x14ac:dyDescent="0.25">
      <c r="A304" s="671">
        <v>589520</v>
      </c>
      <c r="B304" s="704" t="s">
        <v>1768</v>
      </c>
      <c r="C304" s="689" t="s">
        <v>1746</v>
      </c>
      <c r="D304" s="477" t="s">
        <v>656</v>
      </c>
      <c r="E304" s="470"/>
      <c r="F304" s="478">
        <v>500</v>
      </c>
      <c r="G304" s="479">
        <v>1</v>
      </c>
      <c r="H304" s="663">
        <f>(0.84*F304+41.45)*G304</f>
        <v>461.45</v>
      </c>
      <c r="I304" s="472">
        <v>4168</v>
      </c>
      <c r="J304" s="472">
        <f>IF(ISBLANK(I304),"",I304*(1+$F$9)/(1+$F$10))+H304</f>
        <v>4505.6132859186937</v>
      </c>
      <c r="K304" s="690">
        <f t="shared" si="70"/>
        <v>5353.12</v>
      </c>
      <c r="L304" s="691" t="s">
        <v>20</v>
      </c>
      <c r="M304" s="692">
        <f>ROUND(M302*G302,2)</f>
        <v>0</v>
      </c>
      <c r="N304" s="696">
        <f t="shared" si="76"/>
        <v>0</v>
      </c>
      <c r="O304" s="693">
        <f t="shared" si="82"/>
        <v>0</v>
      </c>
      <c r="P304" s="694">
        <f t="shared" si="83"/>
        <v>0</v>
      </c>
      <c r="Q304" s="765"/>
      <c r="R304" s="695">
        <f>ROUND(R302*G302,2)</f>
        <v>0</v>
      </c>
      <c r="S304" s="711">
        <f>N304</f>
        <v>0</v>
      </c>
      <c r="T304" s="693">
        <f t="shared" si="84"/>
        <v>0</v>
      </c>
      <c r="U304" s="694">
        <f t="shared" si="85"/>
        <v>0</v>
      </c>
      <c r="V304" s="579"/>
      <c r="W304" s="637" t="str">
        <f>IF(U302&gt;0,"xx",IF(P302&gt;0,"xy",""))</f>
        <v/>
      </c>
      <c r="X304" s="586" t="str">
        <f t="shared" si="86"/>
        <v/>
      </c>
      <c r="Y304" s="586" t="str">
        <f t="shared" si="74"/>
        <v/>
      </c>
      <c r="Z304" s="586" t="str">
        <f t="shared" si="80"/>
        <v/>
      </c>
    </row>
    <row r="305" spans="1:26" ht="12" hidden="1" thickBot="1" x14ac:dyDescent="0.25">
      <c r="A305" s="671">
        <v>534000</v>
      </c>
      <c r="B305" s="701" t="s">
        <v>672</v>
      </c>
      <c r="C305" s="702" t="s">
        <v>206</v>
      </c>
      <c r="D305" s="463" t="s">
        <v>1912</v>
      </c>
      <c r="E305" s="464"/>
      <c r="F305" s="465" t="s">
        <v>663</v>
      </c>
      <c r="G305" s="466">
        <v>0.08</v>
      </c>
      <c r="H305" s="681">
        <f>SUM(H306:H309)</f>
        <v>65.029280000000014</v>
      </c>
      <c r="I305" s="467">
        <v>138.26</v>
      </c>
      <c r="J305" s="467">
        <f>IF(ISBLANK(I305),"",SUM(H305:I305))</f>
        <v>203.28928000000002</v>
      </c>
      <c r="K305" s="682">
        <f t="shared" si="70"/>
        <v>241.53</v>
      </c>
      <c r="L305" s="683" t="s">
        <v>16</v>
      </c>
      <c r="M305" s="685"/>
      <c r="N305" s="576">
        <f t="shared" si="76"/>
        <v>0</v>
      </c>
      <c r="O305" s="687">
        <f t="shared" si="82"/>
        <v>0</v>
      </c>
      <c r="P305" s="688">
        <f t="shared" si="83"/>
        <v>0</v>
      </c>
      <c r="Q305" s="765"/>
      <c r="R305" s="685">
        <f>M305</f>
        <v>0</v>
      </c>
      <c r="S305" s="686">
        <f>N305</f>
        <v>0</v>
      </c>
      <c r="T305" s="687">
        <f t="shared" si="84"/>
        <v>0</v>
      </c>
      <c r="U305" s="688">
        <f t="shared" si="85"/>
        <v>0</v>
      </c>
      <c r="V305" s="579"/>
      <c r="W305" s="566"/>
      <c r="X305" s="586" t="str">
        <f t="shared" si="86"/>
        <v/>
      </c>
      <c r="Y305" s="586" t="str">
        <f t="shared" si="74"/>
        <v/>
      </c>
      <c r="Z305" s="586" t="str">
        <f t="shared" si="80"/>
        <v/>
      </c>
    </row>
    <row r="306" spans="1:26" ht="12" hidden="1" thickBot="1" x14ac:dyDescent="0.25">
      <c r="A306" s="671" t="s">
        <v>168</v>
      </c>
      <c r="B306" s="644" t="s">
        <v>168</v>
      </c>
      <c r="C306" s="645"/>
      <c r="D306" s="451" t="s">
        <v>248</v>
      </c>
      <c r="E306" s="423"/>
      <c r="F306" s="424">
        <v>180</v>
      </c>
      <c r="G306" s="425"/>
      <c r="H306" s="663">
        <f t="shared" ref="H306:H308" si="92">IF(F306&lt;=30,(1.07*F306+2.68)*G306,((1.07*30+2.68)+1.07*(F306-30))*G306)</f>
        <v>0</v>
      </c>
      <c r="I306" s="420">
        <v>0</v>
      </c>
      <c r="J306" s="420">
        <f>IF(ISBLANK(I306),"",SUM(H306:I306))</f>
        <v>0</v>
      </c>
      <c r="K306" s="421">
        <f t="shared" si="70"/>
        <v>0</v>
      </c>
      <c r="L306" s="647" t="s">
        <v>614</v>
      </c>
      <c r="M306" s="703"/>
      <c r="N306" s="576">
        <f t="shared" si="76"/>
        <v>0</v>
      </c>
      <c r="O306" s="577">
        <f t="shared" si="82"/>
        <v>0</v>
      </c>
      <c r="P306" s="578">
        <f t="shared" si="83"/>
        <v>0</v>
      </c>
      <c r="Q306" s="765"/>
      <c r="R306" s="703"/>
      <c r="S306" s="670"/>
      <c r="T306" s="577">
        <f t="shared" si="84"/>
        <v>0</v>
      </c>
      <c r="U306" s="578">
        <f t="shared" si="85"/>
        <v>0</v>
      </c>
      <c r="V306" s="579"/>
      <c r="W306" s="637" t="str">
        <f>IF(U305&gt;0,"xx",IF(P305&gt;0,"xy",""))</f>
        <v/>
      </c>
      <c r="X306" s="586" t="str">
        <f t="shared" si="86"/>
        <v/>
      </c>
      <c r="Y306" s="586" t="str">
        <f t="shared" si="74"/>
        <v/>
      </c>
      <c r="Z306" s="586" t="str">
        <f t="shared" si="80"/>
        <v/>
      </c>
    </row>
    <row r="307" spans="1:26" ht="12" hidden="1" thickBot="1" x14ac:dyDescent="0.25">
      <c r="A307" s="671" t="s">
        <v>168</v>
      </c>
      <c r="B307" s="644" t="s">
        <v>168</v>
      </c>
      <c r="C307" s="645"/>
      <c r="D307" s="451" t="s">
        <v>249</v>
      </c>
      <c r="E307" s="423"/>
      <c r="F307" s="424">
        <v>500</v>
      </c>
      <c r="G307" s="425"/>
      <c r="H307" s="649">
        <f>IF(F307&lt;=30,(0.78*F307+7.82)*G307,((0.78*30+7.82)+0.78*(F307-30))*G307)</f>
        <v>0</v>
      </c>
      <c r="I307" s="420">
        <v>0</v>
      </c>
      <c r="J307" s="420">
        <f>IF(ISBLANK(I307),"",SUM(H307:I307))</f>
        <v>0</v>
      </c>
      <c r="K307" s="421">
        <f t="shared" si="70"/>
        <v>0</v>
      </c>
      <c r="L307" s="647" t="s">
        <v>614</v>
      </c>
      <c r="M307" s="703"/>
      <c r="N307" s="576">
        <f t="shared" si="76"/>
        <v>0</v>
      </c>
      <c r="O307" s="577">
        <f t="shared" si="82"/>
        <v>0</v>
      </c>
      <c r="P307" s="578">
        <f t="shared" si="83"/>
        <v>0</v>
      </c>
      <c r="Q307" s="765"/>
      <c r="R307" s="703"/>
      <c r="S307" s="670"/>
      <c r="T307" s="577">
        <f t="shared" si="84"/>
        <v>0</v>
      </c>
      <c r="U307" s="578">
        <f t="shared" si="85"/>
        <v>0</v>
      </c>
      <c r="V307" s="579"/>
      <c r="W307" s="637" t="str">
        <f>IF(U305&gt;0,"xx",IF(P305&gt;0,"xy",""))</f>
        <v/>
      </c>
      <c r="X307" s="586" t="str">
        <f>IF(W307="X","x",IF(W307="xx","x",IF(W307="xy","x",IF(W307="y","x",IF(OR(P307&gt;0,U307&gt;0),"x","")))))</f>
        <v/>
      </c>
      <c r="Y307" s="586" t="str">
        <f>IF(W307="X","x",IF(W307="y","x",IF(W307="xx","x",IF(U307&gt;0,"x",""))))</f>
        <v/>
      </c>
      <c r="Z307" s="586" t="str">
        <f>IF(W307="X","x",IF(U307&gt;0,"x",""))</f>
        <v/>
      </c>
    </row>
    <row r="308" spans="1:26" ht="12" hidden="1" thickBot="1" x14ac:dyDescent="0.25">
      <c r="A308" s="671" t="s">
        <v>168</v>
      </c>
      <c r="B308" s="644" t="s">
        <v>168</v>
      </c>
      <c r="C308" s="645"/>
      <c r="D308" s="451" t="s">
        <v>262</v>
      </c>
      <c r="E308" s="423"/>
      <c r="F308" s="424">
        <v>0.2</v>
      </c>
      <c r="G308" s="425">
        <v>2.12</v>
      </c>
      <c r="H308" s="663">
        <f t="shared" si="92"/>
        <v>6.1352800000000007</v>
      </c>
      <c r="I308" s="420">
        <v>0</v>
      </c>
      <c r="J308" s="420"/>
      <c r="K308" s="421">
        <f t="shared" si="70"/>
        <v>0</v>
      </c>
      <c r="L308" s="647" t="s">
        <v>614</v>
      </c>
      <c r="M308" s="703"/>
      <c r="N308" s="576">
        <f t="shared" si="76"/>
        <v>0</v>
      </c>
      <c r="O308" s="577">
        <f t="shared" si="82"/>
        <v>0</v>
      </c>
      <c r="P308" s="578">
        <f t="shared" si="83"/>
        <v>0</v>
      </c>
      <c r="Q308" s="765"/>
      <c r="R308" s="703"/>
      <c r="S308" s="670"/>
      <c r="T308" s="577">
        <f t="shared" si="84"/>
        <v>0</v>
      </c>
      <c r="U308" s="578">
        <f t="shared" si="85"/>
        <v>0</v>
      </c>
      <c r="V308" s="579"/>
      <c r="W308" s="637" t="str">
        <f>IF(U305&gt;0,"xx",IF(P305&gt;0,"xy",""))</f>
        <v/>
      </c>
      <c r="X308" s="586" t="str">
        <f>IF(W308="X","x",IF(W308="xx","x",IF(W308="xy","x",IF(W308="y","x",IF(OR(P308&gt;0,U308&gt;0),"x","")))))</f>
        <v/>
      </c>
      <c r="Y308" s="586" t="str">
        <f>IF(W308="X","x",IF(W308="y","x",IF(W308="xx","x",IF(U308&gt;0,"x",""))))</f>
        <v/>
      </c>
      <c r="Z308" s="586" t="str">
        <f>IF(W308="X","x",IF(U308&gt;0,"x",""))</f>
        <v/>
      </c>
    </row>
    <row r="309" spans="1:26" ht="12" hidden="1" thickBot="1" x14ac:dyDescent="0.25">
      <c r="A309" s="671" t="s">
        <v>168</v>
      </c>
      <c r="B309" s="644" t="s">
        <v>168</v>
      </c>
      <c r="C309" s="645"/>
      <c r="D309" s="451" t="s">
        <v>263</v>
      </c>
      <c r="E309" s="423"/>
      <c r="F309" s="424">
        <v>20</v>
      </c>
      <c r="G309" s="425">
        <f>SUM(G305:G308)</f>
        <v>2.2000000000000002</v>
      </c>
      <c r="H309" s="651">
        <f>IF(F309&lt;=30,(1.07*F309+5.37)*G309,((1.07*30+5.37)+1.07*(F309-30))*G309)</f>
        <v>58.894000000000013</v>
      </c>
      <c r="I309" s="420">
        <v>0</v>
      </c>
      <c r="J309" s="420"/>
      <c r="K309" s="421">
        <f t="shared" si="70"/>
        <v>0</v>
      </c>
      <c r="L309" s="647" t="s">
        <v>614</v>
      </c>
      <c r="M309" s="703"/>
      <c r="N309" s="576">
        <f t="shared" si="76"/>
        <v>0</v>
      </c>
      <c r="O309" s="577">
        <f t="shared" si="82"/>
        <v>0</v>
      </c>
      <c r="P309" s="578">
        <f t="shared" si="83"/>
        <v>0</v>
      </c>
      <c r="Q309" s="765"/>
      <c r="R309" s="703"/>
      <c r="S309" s="670"/>
      <c r="T309" s="577">
        <f t="shared" si="84"/>
        <v>0</v>
      </c>
      <c r="U309" s="578">
        <f t="shared" si="85"/>
        <v>0</v>
      </c>
      <c r="V309" s="579"/>
      <c r="W309" s="637" t="str">
        <f>IF(U305&gt;0,"xx",IF(P305&gt;0,"xy",""))</f>
        <v/>
      </c>
      <c r="X309" s="586" t="str">
        <f t="shared" si="86"/>
        <v/>
      </c>
      <c r="Y309" s="586" t="str">
        <f t="shared" si="74"/>
        <v/>
      </c>
      <c r="Z309" s="586" t="str">
        <f t="shared" si="80"/>
        <v/>
      </c>
    </row>
    <row r="310" spans="1:26" ht="12" hidden="1" thickBot="1" x14ac:dyDescent="0.25">
      <c r="A310" s="671">
        <v>589320</v>
      </c>
      <c r="B310" s="704" t="s">
        <v>1769</v>
      </c>
      <c r="C310" s="689" t="s">
        <v>1746</v>
      </c>
      <c r="D310" s="477" t="s">
        <v>812</v>
      </c>
      <c r="E310" s="470"/>
      <c r="F310" s="478">
        <v>500</v>
      </c>
      <c r="G310" s="479">
        <v>1</v>
      </c>
      <c r="H310" s="663">
        <f>(0.84*F310+41.45)*G310</f>
        <v>461.45</v>
      </c>
      <c r="I310" s="472">
        <v>4680</v>
      </c>
      <c r="J310" s="472">
        <f>IF(ISBLANK(I310),"",I310*(1+$F$9)/(1+$F$10))+H310</f>
        <v>5002.4010983923918</v>
      </c>
      <c r="K310" s="690">
        <f t="shared" si="70"/>
        <v>5943.35</v>
      </c>
      <c r="L310" s="691" t="s">
        <v>20</v>
      </c>
      <c r="M310" s="692">
        <f>ROUND(M305*G305,2)</f>
        <v>0</v>
      </c>
      <c r="N310" s="799">
        <f t="shared" si="76"/>
        <v>0</v>
      </c>
      <c r="O310" s="693">
        <f t="shared" si="82"/>
        <v>0</v>
      </c>
      <c r="P310" s="694">
        <f t="shared" si="83"/>
        <v>0</v>
      </c>
      <c r="Q310" s="765"/>
      <c r="R310" s="695">
        <f>ROUND(R305*G305,2)</f>
        <v>0</v>
      </c>
      <c r="S310" s="711">
        <f>N310</f>
        <v>0</v>
      </c>
      <c r="T310" s="693">
        <f t="shared" si="84"/>
        <v>0</v>
      </c>
      <c r="U310" s="694">
        <f t="shared" si="85"/>
        <v>0</v>
      </c>
      <c r="V310" s="579"/>
      <c r="W310" s="637" t="str">
        <f>IF(U305&gt;0,"xx",IF(P305&gt;0,"xy",""))</f>
        <v/>
      </c>
      <c r="X310" s="586" t="str">
        <f t="shared" si="86"/>
        <v/>
      </c>
      <c r="Y310" s="586" t="str">
        <f t="shared" si="74"/>
        <v/>
      </c>
      <c r="Z310" s="586" t="str">
        <f t="shared" si="80"/>
        <v/>
      </c>
    </row>
    <row r="311" spans="1:26" ht="12" hidden="1" thickBot="1" x14ac:dyDescent="0.25">
      <c r="A311" s="671">
        <v>534000</v>
      </c>
      <c r="B311" s="701" t="s">
        <v>673</v>
      </c>
      <c r="C311" s="702" t="s">
        <v>206</v>
      </c>
      <c r="D311" s="463" t="s">
        <v>1913</v>
      </c>
      <c r="E311" s="464"/>
      <c r="F311" s="465" t="s">
        <v>663</v>
      </c>
      <c r="G311" s="466">
        <v>0.08</v>
      </c>
      <c r="H311" s="681">
        <f>SUM(H312:H315)</f>
        <v>65.029280000000014</v>
      </c>
      <c r="I311" s="467">
        <v>138.26</v>
      </c>
      <c r="J311" s="467">
        <f>IF(ISBLANK(I311),"",SUM(H311:I311))</f>
        <v>203.28928000000002</v>
      </c>
      <c r="K311" s="682">
        <f t="shared" si="70"/>
        <v>241.53</v>
      </c>
      <c r="L311" s="683" t="s">
        <v>16</v>
      </c>
      <c r="M311" s="685"/>
      <c r="N311" s="576">
        <f t="shared" si="76"/>
        <v>0</v>
      </c>
      <c r="O311" s="687">
        <f t="shared" si="82"/>
        <v>0</v>
      </c>
      <c r="P311" s="688">
        <f t="shared" si="83"/>
        <v>0</v>
      </c>
      <c r="Q311" s="765"/>
      <c r="R311" s="685">
        <f>M311</f>
        <v>0</v>
      </c>
      <c r="S311" s="686">
        <f>N311</f>
        <v>0</v>
      </c>
      <c r="T311" s="687">
        <f t="shared" si="84"/>
        <v>0</v>
      </c>
      <c r="U311" s="688">
        <f t="shared" si="85"/>
        <v>0</v>
      </c>
      <c r="V311" s="579"/>
      <c r="W311" s="566"/>
      <c r="X311" s="586" t="str">
        <f t="shared" si="86"/>
        <v/>
      </c>
      <c r="Y311" s="586" t="str">
        <f t="shared" si="74"/>
        <v/>
      </c>
      <c r="Z311" s="586" t="str">
        <f t="shared" si="80"/>
        <v/>
      </c>
    </row>
    <row r="312" spans="1:26" ht="12" hidden="1" thickBot="1" x14ac:dyDescent="0.25">
      <c r="A312" s="671" t="s">
        <v>168</v>
      </c>
      <c r="B312" s="644" t="s">
        <v>168</v>
      </c>
      <c r="C312" s="645"/>
      <c r="D312" s="451" t="s">
        <v>248</v>
      </c>
      <c r="E312" s="423"/>
      <c r="F312" s="424">
        <v>180</v>
      </c>
      <c r="G312" s="425"/>
      <c r="H312" s="663">
        <f t="shared" ref="H312:H314" si="93">IF(F312&lt;=30,(1.07*F312+2.68)*G312,((1.07*30+2.68)+1.07*(F312-30))*G312)</f>
        <v>0</v>
      </c>
      <c r="I312" s="420">
        <v>0</v>
      </c>
      <c r="J312" s="420">
        <f>IF(ISBLANK(I312),"",SUM(H312:I312))</f>
        <v>0</v>
      </c>
      <c r="K312" s="421">
        <f t="shared" si="70"/>
        <v>0</v>
      </c>
      <c r="L312" s="647" t="s">
        <v>614</v>
      </c>
      <c r="M312" s="703"/>
      <c r="N312" s="576">
        <f t="shared" si="76"/>
        <v>0</v>
      </c>
      <c r="O312" s="577">
        <f t="shared" si="82"/>
        <v>0</v>
      </c>
      <c r="P312" s="578">
        <f t="shared" si="83"/>
        <v>0</v>
      </c>
      <c r="Q312" s="765"/>
      <c r="R312" s="703"/>
      <c r="S312" s="670"/>
      <c r="T312" s="577">
        <f t="shared" si="84"/>
        <v>0</v>
      </c>
      <c r="U312" s="578">
        <f t="shared" si="85"/>
        <v>0</v>
      </c>
      <c r="V312" s="579"/>
      <c r="W312" s="637" t="str">
        <f>IF(U311&gt;0,"xx",IF(P311&gt;0,"xy",""))</f>
        <v/>
      </c>
      <c r="X312" s="586" t="str">
        <f t="shared" si="86"/>
        <v/>
      </c>
      <c r="Y312" s="586" t="str">
        <f t="shared" si="74"/>
        <v/>
      </c>
      <c r="Z312" s="586" t="str">
        <f t="shared" si="80"/>
        <v/>
      </c>
    </row>
    <row r="313" spans="1:26" ht="12" hidden="1" thickBot="1" x14ac:dyDescent="0.25">
      <c r="A313" s="671" t="s">
        <v>168</v>
      </c>
      <c r="B313" s="644" t="s">
        <v>168</v>
      </c>
      <c r="C313" s="645"/>
      <c r="D313" s="451" t="s">
        <v>249</v>
      </c>
      <c r="E313" s="423"/>
      <c r="F313" s="424">
        <v>500</v>
      </c>
      <c r="G313" s="425"/>
      <c r="H313" s="649">
        <f>IF(F313&lt;=30,(0.78*F313+7.82)*G313,((0.78*30+7.82)+0.78*(F313-30))*G313)</f>
        <v>0</v>
      </c>
      <c r="I313" s="420">
        <v>0</v>
      </c>
      <c r="J313" s="420">
        <f>IF(ISBLANK(I313),"",SUM(H313:I313))</f>
        <v>0</v>
      </c>
      <c r="K313" s="421">
        <f t="shared" si="70"/>
        <v>0</v>
      </c>
      <c r="L313" s="647" t="s">
        <v>614</v>
      </c>
      <c r="M313" s="703"/>
      <c r="N313" s="576">
        <f t="shared" si="76"/>
        <v>0</v>
      </c>
      <c r="O313" s="577">
        <f t="shared" si="82"/>
        <v>0</v>
      </c>
      <c r="P313" s="578">
        <f t="shared" si="83"/>
        <v>0</v>
      </c>
      <c r="Q313" s="765"/>
      <c r="R313" s="703"/>
      <c r="S313" s="670"/>
      <c r="T313" s="577">
        <f t="shared" si="84"/>
        <v>0</v>
      </c>
      <c r="U313" s="578">
        <f t="shared" si="85"/>
        <v>0</v>
      </c>
      <c r="V313" s="579"/>
      <c r="W313" s="637" t="str">
        <f>IF(U311&gt;0,"xx",IF(P311&gt;0,"xy",""))</f>
        <v/>
      </c>
      <c r="X313" s="586" t="str">
        <f>IF(W313="X","x",IF(W313="xx","x",IF(W313="xy","x",IF(W313="y","x",IF(OR(P313&gt;0,U313&gt;0),"x","")))))</f>
        <v/>
      </c>
      <c r="Y313" s="586" t="str">
        <f>IF(W313="X","x",IF(W313="y","x",IF(W313="xx","x",IF(U313&gt;0,"x",""))))</f>
        <v/>
      </c>
      <c r="Z313" s="586" t="str">
        <f>IF(W313="X","x",IF(U313&gt;0,"x",""))</f>
        <v/>
      </c>
    </row>
    <row r="314" spans="1:26" ht="12" hidden="1" thickBot="1" x14ac:dyDescent="0.25">
      <c r="A314" s="671" t="s">
        <v>168</v>
      </c>
      <c r="B314" s="644" t="s">
        <v>168</v>
      </c>
      <c r="C314" s="645"/>
      <c r="D314" s="451" t="s">
        <v>262</v>
      </c>
      <c r="E314" s="423"/>
      <c r="F314" s="424">
        <v>0.2</v>
      </c>
      <c r="G314" s="425">
        <v>2.12</v>
      </c>
      <c r="H314" s="663">
        <f t="shared" si="93"/>
        <v>6.1352800000000007</v>
      </c>
      <c r="I314" s="420">
        <v>0</v>
      </c>
      <c r="J314" s="420"/>
      <c r="K314" s="421">
        <f t="shared" si="70"/>
        <v>0</v>
      </c>
      <c r="L314" s="647" t="s">
        <v>614</v>
      </c>
      <c r="M314" s="703"/>
      <c r="N314" s="576">
        <f t="shared" si="76"/>
        <v>0</v>
      </c>
      <c r="O314" s="577">
        <f t="shared" si="82"/>
        <v>0</v>
      </c>
      <c r="P314" s="578">
        <f t="shared" si="83"/>
        <v>0</v>
      </c>
      <c r="Q314" s="765"/>
      <c r="R314" s="703"/>
      <c r="S314" s="670"/>
      <c r="T314" s="577">
        <f t="shared" si="84"/>
        <v>0</v>
      </c>
      <c r="U314" s="578">
        <f t="shared" si="85"/>
        <v>0</v>
      </c>
      <c r="V314" s="579"/>
      <c r="W314" s="637" t="str">
        <f>IF(U311&gt;0,"xx",IF(P311&gt;0,"xy",""))</f>
        <v/>
      </c>
      <c r="X314" s="586" t="str">
        <f>IF(W314="X","x",IF(W314="xx","x",IF(W314="xy","x",IF(W314="y","x",IF(OR(P314&gt;0,U314&gt;0),"x","")))))</f>
        <v/>
      </c>
      <c r="Y314" s="586" t="str">
        <f>IF(W314="X","x",IF(W314="y","x",IF(W314="xx","x",IF(U314&gt;0,"x",""))))</f>
        <v/>
      </c>
      <c r="Z314" s="586" t="str">
        <f>IF(W314="X","x",IF(U314&gt;0,"x",""))</f>
        <v/>
      </c>
    </row>
    <row r="315" spans="1:26" ht="12" hidden="1" thickBot="1" x14ac:dyDescent="0.25">
      <c r="A315" s="671" t="s">
        <v>168</v>
      </c>
      <c r="B315" s="644" t="s">
        <v>168</v>
      </c>
      <c r="C315" s="645"/>
      <c r="D315" s="451" t="s">
        <v>263</v>
      </c>
      <c r="E315" s="423"/>
      <c r="F315" s="424">
        <v>20</v>
      </c>
      <c r="G315" s="425">
        <f>SUM(G311:G314)</f>
        <v>2.2000000000000002</v>
      </c>
      <c r="H315" s="651">
        <f>IF(F315&lt;=30,(1.07*F315+5.37)*G315,((1.07*30+5.37)+1.07*(F315-30))*G315)</f>
        <v>58.894000000000013</v>
      </c>
      <c r="I315" s="420">
        <v>0</v>
      </c>
      <c r="J315" s="420"/>
      <c r="K315" s="421">
        <f t="shared" ref="K315:K378" si="94">IF(ISBLANK(I315),0,ROUND(J315*(1+$F$10)*(1+$F$11*E315),2))</f>
        <v>0</v>
      </c>
      <c r="L315" s="647" t="s">
        <v>614</v>
      </c>
      <c r="M315" s="703"/>
      <c r="N315" s="576">
        <f t="shared" si="76"/>
        <v>0</v>
      </c>
      <c r="O315" s="577">
        <f t="shared" si="82"/>
        <v>0</v>
      </c>
      <c r="P315" s="578">
        <f t="shared" si="83"/>
        <v>0</v>
      </c>
      <c r="Q315" s="765"/>
      <c r="R315" s="703"/>
      <c r="S315" s="670"/>
      <c r="T315" s="577">
        <f t="shared" si="84"/>
        <v>0</v>
      </c>
      <c r="U315" s="578">
        <f t="shared" si="85"/>
        <v>0</v>
      </c>
      <c r="V315" s="579"/>
      <c r="W315" s="637" t="str">
        <f>IF(U311&gt;0,"xx",IF(P311&gt;0,"xy",""))</f>
        <v/>
      </c>
      <c r="X315" s="586" t="str">
        <f t="shared" si="86"/>
        <v/>
      </c>
      <c r="Y315" s="586" t="str">
        <f t="shared" si="74"/>
        <v/>
      </c>
      <c r="Z315" s="586" t="str">
        <f t="shared" si="80"/>
        <v/>
      </c>
    </row>
    <row r="316" spans="1:26" ht="12" hidden="1" thickBot="1" x14ac:dyDescent="0.25">
      <c r="A316" s="671">
        <v>589320</v>
      </c>
      <c r="B316" s="704" t="s">
        <v>1770</v>
      </c>
      <c r="C316" s="689" t="s">
        <v>1746</v>
      </c>
      <c r="D316" s="477" t="s">
        <v>812</v>
      </c>
      <c r="E316" s="470"/>
      <c r="F316" s="478">
        <v>500</v>
      </c>
      <c r="G316" s="479">
        <v>1</v>
      </c>
      <c r="H316" s="663">
        <f>(0.84*F316+41.45)*G316</f>
        <v>461.45</v>
      </c>
      <c r="I316" s="472">
        <v>4680</v>
      </c>
      <c r="J316" s="472">
        <f>IF(ISBLANK(I316),"",I316*(1+$F$9)/(1+$F$10))+H316</f>
        <v>5002.4010983923918</v>
      </c>
      <c r="K316" s="690">
        <f t="shared" si="94"/>
        <v>5943.35</v>
      </c>
      <c r="L316" s="691" t="s">
        <v>20</v>
      </c>
      <c r="M316" s="692">
        <f>ROUND(M311*G311,2)</f>
        <v>0</v>
      </c>
      <c r="N316" s="588">
        <f t="shared" si="76"/>
        <v>0</v>
      </c>
      <c r="O316" s="693">
        <f>IF(ISBLANK(M316),0,ROUND(K316*M316,2))</f>
        <v>0</v>
      </c>
      <c r="P316" s="694">
        <f>IF(ISBLANK(N316),0,ROUND(M316*N316,2))</f>
        <v>0</v>
      </c>
      <c r="Q316" s="765"/>
      <c r="R316" s="695">
        <f>ROUND(R311*G311,2)</f>
        <v>0</v>
      </c>
      <c r="S316" s="711">
        <f>N316</f>
        <v>0</v>
      </c>
      <c r="T316" s="693">
        <f t="shared" si="84"/>
        <v>0</v>
      </c>
      <c r="U316" s="694">
        <f t="shared" si="85"/>
        <v>0</v>
      </c>
      <c r="V316" s="579"/>
      <c r="W316" s="637" t="str">
        <f>IF(U311&gt;0,"xx",IF(P311&gt;0,"xy",""))</f>
        <v/>
      </c>
      <c r="X316" s="586" t="str">
        <f t="shared" si="86"/>
        <v/>
      </c>
      <c r="Y316" s="586" t="str">
        <f t="shared" si="74"/>
        <v/>
      </c>
      <c r="Z316" s="586" t="str">
        <f t="shared" si="80"/>
        <v/>
      </c>
    </row>
    <row r="317" spans="1:26" ht="12" hidden="1" thickBot="1" x14ac:dyDescent="0.25">
      <c r="A317" s="671">
        <v>534000</v>
      </c>
      <c r="B317" s="701" t="s">
        <v>1576</v>
      </c>
      <c r="C317" s="702" t="s">
        <v>206</v>
      </c>
      <c r="D317" s="463" t="s">
        <v>1914</v>
      </c>
      <c r="E317" s="464"/>
      <c r="F317" s="465" t="s">
        <v>663</v>
      </c>
      <c r="G317" s="466">
        <v>0.08</v>
      </c>
      <c r="H317" s="681">
        <f>SUM(H318:H321)</f>
        <v>65.029280000000014</v>
      </c>
      <c r="I317" s="467">
        <v>138.26</v>
      </c>
      <c r="J317" s="467">
        <f>IF(ISBLANK(I317),"",SUM(H317:I317))</f>
        <v>203.28928000000002</v>
      </c>
      <c r="K317" s="682">
        <f t="shared" si="94"/>
        <v>241.53</v>
      </c>
      <c r="L317" s="683" t="s">
        <v>16</v>
      </c>
      <c r="M317" s="685"/>
      <c r="N317" s="686">
        <f t="shared" si="76"/>
        <v>0</v>
      </c>
      <c r="O317" s="687">
        <f t="shared" si="82"/>
        <v>0</v>
      </c>
      <c r="P317" s="688">
        <f t="shared" si="83"/>
        <v>0</v>
      </c>
      <c r="Q317" s="765"/>
      <c r="R317" s="685">
        <f>M317</f>
        <v>0</v>
      </c>
      <c r="S317" s="686">
        <f>N317</f>
        <v>0</v>
      </c>
      <c r="T317" s="687">
        <f t="shared" si="84"/>
        <v>0</v>
      </c>
      <c r="U317" s="688">
        <f t="shared" si="85"/>
        <v>0</v>
      </c>
      <c r="V317" s="579"/>
      <c r="W317" s="566"/>
      <c r="X317" s="586" t="str">
        <f t="shared" si="86"/>
        <v/>
      </c>
      <c r="Y317" s="586" t="str">
        <f t="shared" si="74"/>
        <v/>
      </c>
      <c r="Z317" s="586" t="str">
        <f t="shared" si="80"/>
        <v/>
      </c>
    </row>
    <row r="318" spans="1:26" ht="12" hidden="1" thickBot="1" x14ac:dyDescent="0.25">
      <c r="A318" s="671" t="s">
        <v>168</v>
      </c>
      <c r="B318" s="644" t="s">
        <v>168</v>
      </c>
      <c r="C318" s="645"/>
      <c r="D318" s="451" t="s">
        <v>248</v>
      </c>
      <c r="E318" s="423"/>
      <c r="F318" s="424">
        <v>180</v>
      </c>
      <c r="G318" s="425"/>
      <c r="H318" s="663">
        <f t="shared" ref="H318:H320" si="95">IF(F318&lt;=30,(1.07*F318+2.68)*G318,((1.07*30+2.68)+1.07*(F318-30))*G318)</f>
        <v>0</v>
      </c>
      <c r="I318" s="420">
        <v>0</v>
      </c>
      <c r="J318" s="420">
        <f>IF(ISBLANK(I318),"",SUM(H318:I318))</f>
        <v>0</v>
      </c>
      <c r="K318" s="421">
        <f t="shared" si="94"/>
        <v>0</v>
      </c>
      <c r="L318" s="647" t="s">
        <v>614</v>
      </c>
      <c r="M318" s="703"/>
      <c r="N318" s="576">
        <f t="shared" si="76"/>
        <v>0</v>
      </c>
      <c r="O318" s="577">
        <f t="shared" si="82"/>
        <v>0</v>
      </c>
      <c r="P318" s="578">
        <f t="shared" si="83"/>
        <v>0</v>
      </c>
      <c r="Q318" s="765"/>
      <c r="R318" s="703"/>
      <c r="S318" s="670"/>
      <c r="T318" s="577">
        <f t="shared" si="84"/>
        <v>0</v>
      </c>
      <c r="U318" s="578">
        <f t="shared" si="85"/>
        <v>0</v>
      </c>
      <c r="V318" s="579"/>
      <c r="W318" s="637" t="str">
        <f>IF(U317&gt;0,"xx",IF(P317&gt;0,"xy",""))</f>
        <v/>
      </c>
      <c r="X318" s="586" t="str">
        <f t="shared" si="86"/>
        <v/>
      </c>
      <c r="Y318" s="586" t="str">
        <f t="shared" si="74"/>
        <v/>
      </c>
      <c r="Z318" s="586" t="str">
        <f t="shared" si="80"/>
        <v/>
      </c>
    </row>
    <row r="319" spans="1:26" ht="12" hidden="1" thickBot="1" x14ac:dyDescent="0.25">
      <c r="A319" s="671" t="s">
        <v>168</v>
      </c>
      <c r="B319" s="644" t="s">
        <v>168</v>
      </c>
      <c r="C319" s="645"/>
      <c r="D319" s="451" t="s">
        <v>249</v>
      </c>
      <c r="E319" s="423"/>
      <c r="F319" s="424">
        <v>500</v>
      </c>
      <c r="G319" s="425"/>
      <c r="H319" s="649">
        <f>IF(F319&lt;=30,(0.78*F319+7.82)*G319,((0.78*30+7.82)+0.78*(F319-30))*G319)</f>
        <v>0</v>
      </c>
      <c r="I319" s="420">
        <v>0</v>
      </c>
      <c r="J319" s="420">
        <f>IF(ISBLANK(I319),"",SUM(H319:I319))</f>
        <v>0</v>
      </c>
      <c r="K319" s="421">
        <f t="shared" si="94"/>
        <v>0</v>
      </c>
      <c r="L319" s="647" t="s">
        <v>614</v>
      </c>
      <c r="M319" s="703"/>
      <c r="N319" s="576">
        <f t="shared" si="76"/>
        <v>0</v>
      </c>
      <c r="O319" s="577">
        <f t="shared" si="82"/>
        <v>0</v>
      </c>
      <c r="P319" s="578">
        <f t="shared" si="83"/>
        <v>0</v>
      </c>
      <c r="Q319" s="765"/>
      <c r="R319" s="703"/>
      <c r="S319" s="670"/>
      <c r="T319" s="577">
        <f t="shared" si="84"/>
        <v>0</v>
      </c>
      <c r="U319" s="578">
        <f t="shared" si="85"/>
        <v>0</v>
      </c>
      <c r="V319" s="579"/>
      <c r="W319" s="637" t="str">
        <f>IF(U317&gt;0,"xx",IF(P317&gt;0,"xy",""))</f>
        <v/>
      </c>
      <c r="X319" s="586" t="str">
        <f t="shared" si="86"/>
        <v/>
      </c>
      <c r="Y319" s="586" t="str">
        <f t="shared" si="74"/>
        <v/>
      </c>
      <c r="Z319" s="586" t="str">
        <f t="shared" si="80"/>
        <v/>
      </c>
    </row>
    <row r="320" spans="1:26" ht="12" hidden="1" thickBot="1" x14ac:dyDescent="0.25">
      <c r="A320" s="671" t="s">
        <v>168</v>
      </c>
      <c r="B320" s="644" t="s">
        <v>168</v>
      </c>
      <c r="C320" s="645"/>
      <c r="D320" s="451" t="s">
        <v>262</v>
      </c>
      <c r="E320" s="423"/>
      <c r="F320" s="424">
        <v>0.2</v>
      </c>
      <c r="G320" s="425">
        <v>2.12</v>
      </c>
      <c r="H320" s="663">
        <f t="shared" si="95"/>
        <v>6.1352800000000007</v>
      </c>
      <c r="I320" s="420">
        <v>0</v>
      </c>
      <c r="J320" s="420"/>
      <c r="K320" s="421">
        <f t="shared" si="94"/>
        <v>0</v>
      </c>
      <c r="L320" s="647" t="s">
        <v>614</v>
      </c>
      <c r="M320" s="703"/>
      <c r="N320" s="576">
        <f t="shared" si="76"/>
        <v>0</v>
      </c>
      <c r="O320" s="577">
        <f t="shared" si="82"/>
        <v>0</v>
      </c>
      <c r="P320" s="578">
        <f t="shared" si="83"/>
        <v>0</v>
      </c>
      <c r="Q320" s="765"/>
      <c r="R320" s="703"/>
      <c r="S320" s="670"/>
      <c r="T320" s="577">
        <f t="shared" si="84"/>
        <v>0</v>
      </c>
      <c r="U320" s="578">
        <f t="shared" si="85"/>
        <v>0</v>
      </c>
      <c r="V320" s="579"/>
      <c r="W320" s="637" t="str">
        <f>IF(U317&gt;0,"xx",IF(P317&gt;0,"xy",""))</f>
        <v/>
      </c>
      <c r="X320" s="586" t="str">
        <f t="shared" si="86"/>
        <v/>
      </c>
      <c r="Y320" s="586" t="str">
        <f t="shared" si="74"/>
        <v/>
      </c>
      <c r="Z320" s="586" t="str">
        <f t="shared" si="80"/>
        <v/>
      </c>
    </row>
    <row r="321" spans="1:26" ht="12" hidden="1" thickBot="1" x14ac:dyDescent="0.25">
      <c r="A321" s="671" t="s">
        <v>168</v>
      </c>
      <c r="B321" s="644" t="s">
        <v>168</v>
      </c>
      <c r="C321" s="645"/>
      <c r="D321" s="451" t="s">
        <v>263</v>
      </c>
      <c r="E321" s="423"/>
      <c r="F321" s="424">
        <v>20</v>
      </c>
      <c r="G321" s="425">
        <f>SUM(G317:G320)</f>
        <v>2.2000000000000002</v>
      </c>
      <c r="H321" s="651">
        <f>IF(F321&lt;=30,(1.07*F321+5.37)*G321,((1.07*30+5.37)+1.07*(F321-30))*G321)</f>
        <v>58.894000000000013</v>
      </c>
      <c r="I321" s="420">
        <v>0</v>
      </c>
      <c r="J321" s="420"/>
      <c r="K321" s="421">
        <f t="shared" si="94"/>
        <v>0</v>
      </c>
      <c r="L321" s="647" t="s">
        <v>614</v>
      </c>
      <c r="M321" s="703"/>
      <c r="N321" s="576">
        <f t="shared" si="76"/>
        <v>0</v>
      </c>
      <c r="O321" s="577">
        <f t="shared" si="82"/>
        <v>0</v>
      </c>
      <c r="P321" s="578">
        <f t="shared" si="83"/>
        <v>0</v>
      </c>
      <c r="Q321" s="765"/>
      <c r="R321" s="703"/>
      <c r="S321" s="670"/>
      <c r="T321" s="577">
        <f t="shared" si="84"/>
        <v>0</v>
      </c>
      <c r="U321" s="578">
        <f t="shared" si="85"/>
        <v>0</v>
      </c>
      <c r="V321" s="579"/>
      <c r="W321" s="637" t="str">
        <f>IF(U317&gt;0,"xx",IF(P317&gt;0,"xy",""))</f>
        <v/>
      </c>
      <c r="X321" s="586" t="str">
        <f t="shared" si="86"/>
        <v/>
      </c>
      <c r="Y321" s="586" t="str">
        <f t="shared" si="74"/>
        <v/>
      </c>
      <c r="Z321" s="586" t="str">
        <f t="shared" si="80"/>
        <v/>
      </c>
    </row>
    <row r="322" spans="1:26" ht="12" hidden="1" thickBot="1" x14ac:dyDescent="0.25">
      <c r="A322" s="671">
        <v>589320</v>
      </c>
      <c r="B322" s="704" t="s">
        <v>1771</v>
      </c>
      <c r="C322" s="689" t="s">
        <v>1746</v>
      </c>
      <c r="D322" s="477" t="s">
        <v>812</v>
      </c>
      <c r="E322" s="470"/>
      <c r="F322" s="478">
        <v>500</v>
      </c>
      <c r="G322" s="479">
        <v>1</v>
      </c>
      <c r="H322" s="663">
        <f>(0.84*F322+41.45)*G322</f>
        <v>461.45</v>
      </c>
      <c r="I322" s="472">
        <v>4680</v>
      </c>
      <c r="J322" s="472">
        <f>IF(ISBLANK(I322),"",I322*(1+$F$9)/(1+$F$10))+H322</f>
        <v>5002.4010983923918</v>
      </c>
      <c r="K322" s="690">
        <f t="shared" si="94"/>
        <v>5943.35</v>
      </c>
      <c r="L322" s="691" t="s">
        <v>20</v>
      </c>
      <c r="M322" s="692">
        <f>ROUND(M317*G317,2)</f>
        <v>0</v>
      </c>
      <c r="N322" s="696">
        <f t="shared" si="76"/>
        <v>0</v>
      </c>
      <c r="O322" s="693">
        <f>IF(ISBLANK(M322),0,ROUND(K322*M322,2))</f>
        <v>0</v>
      </c>
      <c r="P322" s="694">
        <f>IF(ISBLANK(N322),0,ROUND(M322*N322,2))</f>
        <v>0</v>
      </c>
      <c r="Q322" s="765"/>
      <c r="R322" s="695">
        <f>ROUND(R317*G317,2)</f>
        <v>0</v>
      </c>
      <c r="S322" s="711">
        <f>N322</f>
        <v>0</v>
      </c>
      <c r="T322" s="693">
        <f t="shared" si="84"/>
        <v>0</v>
      </c>
      <c r="U322" s="694">
        <f t="shared" si="85"/>
        <v>0</v>
      </c>
      <c r="V322" s="579"/>
      <c r="W322" s="637" t="str">
        <f>IF(U317&gt;0,"xx",IF(P317&gt;0,"xy",""))</f>
        <v/>
      </c>
      <c r="X322" s="586" t="str">
        <f t="shared" si="86"/>
        <v/>
      </c>
      <c r="Y322" s="586" t="str">
        <f t="shared" si="74"/>
        <v/>
      </c>
      <c r="Z322" s="586" t="str">
        <f t="shared" si="80"/>
        <v/>
      </c>
    </row>
    <row r="323" spans="1:26" ht="12" hidden="1" thickBot="1" x14ac:dyDescent="0.25">
      <c r="A323" s="671">
        <v>534300</v>
      </c>
      <c r="B323" s="701" t="s">
        <v>1621</v>
      </c>
      <c r="C323" s="702" t="s">
        <v>206</v>
      </c>
      <c r="D323" s="463" t="s">
        <v>1913</v>
      </c>
      <c r="E323" s="464"/>
      <c r="F323" s="465" t="s">
        <v>663</v>
      </c>
      <c r="G323" s="466">
        <v>0.11</v>
      </c>
      <c r="H323" s="681">
        <f>SUM(H324:H327)</f>
        <v>64.942459999999997</v>
      </c>
      <c r="I323" s="467">
        <v>136.76</v>
      </c>
      <c r="J323" s="467">
        <f>IF(ISBLANK(I323),"",SUM(H323:I323))</f>
        <v>201.70245999999997</v>
      </c>
      <c r="K323" s="682">
        <f t="shared" si="94"/>
        <v>239.64</v>
      </c>
      <c r="L323" s="683" t="s">
        <v>16</v>
      </c>
      <c r="M323" s="685"/>
      <c r="N323" s="576">
        <f t="shared" si="76"/>
        <v>0</v>
      </c>
      <c r="O323" s="687">
        <f t="shared" ref="O323:O334" si="96">IF(ISBLANK(M323),0,ROUND(K323*M323,2))</f>
        <v>0</v>
      </c>
      <c r="P323" s="688">
        <f t="shared" ref="P323:P334" si="97">IF(ISBLANK(N323),0,ROUND(M323*N323,2))</f>
        <v>0</v>
      </c>
      <c r="Q323" s="765"/>
      <c r="R323" s="685">
        <f>M323</f>
        <v>0</v>
      </c>
      <c r="S323" s="686">
        <f>N323</f>
        <v>0</v>
      </c>
      <c r="T323" s="687">
        <f t="shared" si="84"/>
        <v>0</v>
      </c>
      <c r="U323" s="688">
        <f t="shared" si="85"/>
        <v>0</v>
      </c>
      <c r="V323" s="579"/>
      <c r="W323" s="566"/>
      <c r="X323" s="586" t="str">
        <f t="shared" si="86"/>
        <v/>
      </c>
      <c r="Y323" s="586" t="str">
        <f t="shared" si="74"/>
        <v/>
      </c>
      <c r="Z323" s="586" t="str">
        <f t="shared" si="80"/>
        <v/>
      </c>
    </row>
    <row r="324" spans="1:26" ht="12" hidden="1" thickBot="1" x14ac:dyDescent="0.25">
      <c r="A324" s="671" t="s">
        <v>168</v>
      </c>
      <c r="B324" s="644" t="s">
        <v>168</v>
      </c>
      <c r="C324" s="645"/>
      <c r="D324" s="451" t="s">
        <v>248</v>
      </c>
      <c r="E324" s="423"/>
      <c r="F324" s="424">
        <v>180</v>
      </c>
      <c r="G324" s="425"/>
      <c r="H324" s="663">
        <f t="shared" ref="H324:H326" si="98">IF(F324&lt;=30,(1.07*F324+2.68)*G324,((1.07*30+2.68)+1.07*(F324-30))*G324)</f>
        <v>0</v>
      </c>
      <c r="I324" s="420">
        <v>0</v>
      </c>
      <c r="J324" s="420">
        <f>IF(ISBLANK(I324),"",SUM(H324:I324))</f>
        <v>0</v>
      </c>
      <c r="K324" s="421">
        <f t="shared" si="94"/>
        <v>0</v>
      </c>
      <c r="L324" s="647" t="s">
        <v>614</v>
      </c>
      <c r="M324" s="703"/>
      <c r="N324" s="576">
        <f t="shared" si="76"/>
        <v>0</v>
      </c>
      <c r="O324" s="577">
        <f t="shared" si="96"/>
        <v>0</v>
      </c>
      <c r="P324" s="578">
        <f t="shared" si="97"/>
        <v>0</v>
      </c>
      <c r="Q324" s="765"/>
      <c r="R324" s="703"/>
      <c r="S324" s="670"/>
      <c r="T324" s="577">
        <f t="shared" si="84"/>
        <v>0</v>
      </c>
      <c r="U324" s="578">
        <f t="shared" si="85"/>
        <v>0</v>
      </c>
      <c r="V324" s="579"/>
      <c r="W324" s="637" t="str">
        <f>IF(U323&gt;0,"xx",IF(P323&gt;0,"xy",""))</f>
        <v/>
      </c>
      <c r="X324" s="586" t="str">
        <f t="shared" si="86"/>
        <v/>
      </c>
      <c r="Y324" s="586" t="str">
        <f t="shared" si="74"/>
        <v/>
      </c>
      <c r="Z324" s="586" t="str">
        <f t="shared" si="80"/>
        <v/>
      </c>
    </row>
    <row r="325" spans="1:26" ht="12" hidden="1" thickBot="1" x14ac:dyDescent="0.25">
      <c r="A325" s="671" t="s">
        <v>168</v>
      </c>
      <c r="B325" s="644" t="s">
        <v>168</v>
      </c>
      <c r="C325" s="645"/>
      <c r="D325" s="451" t="s">
        <v>249</v>
      </c>
      <c r="E325" s="423"/>
      <c r="F325" s="424">
        <v>500</v>
      </c>
      <c r="G325" s="425"/>
      <c r="H325" s="649">
        <f>IF(F325&lt;=30,(0.78*F325+7.82)*G325,((0.78*30+7.82)+0.78*(F325-30))*G325)</f>
        <v>0</v>
      </c>
      <c r="I325" s="420">
        <v>0</v>
      </c>
      <c r="J325" s="420">
        <f>IF(ISBLANK(I325),"",SUM(H325:I325))</f>
        <v>0</v>
      </c>
      <c r="K325" s="421">
        <f t="shared" si="94"/>
        <v>0</v>
      </c>
      <c r="L325" s="647" t="s">
        <v>614</v>
      </c>
      <c r="M325" s="703"/>
      <c r="N325" s="576">
        <f t="shared" si="76"/>
        <v>0</v>
      </c>
      <c r="O325" s="577">
        <f t="shared" si="96"/>
        <v>0</v>
      </c>
      <c r="P325" s="578">
        <f t="shared" si="97"/>
        <v>0</v>
      </c>
      <c r="Q325" s="765"/>
      <c r="R325" s="703"/>
      <c r="S325" s="670"/>
      <c r="T325" s="577">
        <f t="shared" si="84"/>
        <v>0</v>
      </c>
      <c r="U325" s="578">
        <f t="shared" si="85"/>
        <v>0</v>
      </c>
      <c r="V325" s="579"/>
      <c r="W325" s="637" t="str">
        <f>IF(U323&gt;0,"xx",IF(P323&gt;0,"xy",""))</f>
        <v/>
      </c>
      <c r="X325" s="586" t="str">
        <f t="shared" si="86"/>
        <v/>
      </c>
      <c r="Y325" s="586" t="str">
        <f t="shared" si="74"/>
        <v/>
      </c>
      <c r="Z325" s="586" t="str">
        <f t="shared" si="80"/>
        <v/>
      </c>
    </row>
    <row r="326" spans="1:26" ht="12" hidden="1" thickBot="1" x14ac:dyDescent="0.25">
      <c r="A326" s="671" t="s">
        <v>168</v>
      </c>
      <c r="B326" s="644" t="s">
        <v>168</v>
      </c>
      <c r="C326" s="645"/>
      <c r="D326" s="451" t="s">
        <v>262</v>
      </c>
      <c r="E326" s="423"/>
      <c r="F326" s="424">
        <v>0.2</v>
      </c>
      <c r="G326" s="425">
        <v>2.09</v>
      </c>
      <c r="H326" s="663">
        <f t="shared" si="98"/>
        <v>6.0484599999999995</v>
      </c>
      <c r="I326" s="420">
        <v>0</v>
      </c>
      <c r="J326" s="420"/>
      <c r="K326" s="421">
        <f t="shared" si="94"/>
        <v>0</v>
      </c>
      <c r="L326" s="647" t="s">
        <v>614</v>
      </c>
      <c r="M326" s="703"/>
      <c r="N326" s="576">
        <f t="shared" si="76"/>
        <v>0</v>
      </c>
      <c r="O326" s="577">
        <f t="shared" si="96"/>
        <v>0</v>
      </c>
      <c r="P326" s="578">
        <f t="shared" si="97"/>
        <v>0</v>
      </c>
      <c r="Q326" s="765"/>
      <c r="R326" s="703"/>
      <c r="S326" s="670"/>
      <c r="T326" s="577">
        <f t="shared" si="84"/>
        <v>0</v>
      </c>
      <c r="U326" s="578">
        <f t="shared" si="85"/>
        <v>0</v>
      </c>
      <c r="V326" s="579"/>
      <c r="W326" s="637" t="str">
        <f>IF(U323&gt;0,"xx",IF(P323&gt;0,"xy",""))</f>
        <v/>
      </c>
      <c r="X326" s="586" t="str">
        <f t="shared" si="86"/>
        <v/>
      </c>
      <c r="Y326" s="586" t="str">
        <f t="shared" si="74"/>
        <v/>
      </c>
      <c r="Z326" s="586" t="str">
        <f t="shared" si="80"/>
        <v/>
      </c>
    </row>
    <row r="327" spans="1:26" ht="12" hidden="1" thickBot="1" x14ac:dyDescent="0.25">
      <c r="A327" s="671" t="s">
        <v>168</v>
      </c>
      <c r="B327" s="644" t="s">
        <v>168</v>
      </c>
      <c r="C327" s="645"/>
      <c r="D327" s="451" t="s">
        <v>263</v>
      </c>
      <c r="E327" s="423"/>
      <c r="F327" s="424">
        <v>20</v>
      </c>
      <c r="G327" s="425">
        <f>SUM(G323:G326)</f>
        <v>2.1999999999999997</v>
      </c>
      <c r="H327" s="651">
        <f>IF(F327&lt;=30,(1.07*F327+5.37)*G327,((1.07*30+5.37)+1.07*(F327-30))*G327)</f>
        <v>58.893999999999998</v>
      </c>
      <c r="I327" s="420">
        <v>0</v>
      </c>
      <c r="J327" s="420"/>
      <c r="K327" s="421">
        <f>IF(ISBLANK(I327),0,ROUND(J327*(1+$F$10)*(1+$F$11*E327),2))</f>
        <v>0</v>
      </c>
      <c r="L327" s="647" t="s">
        <v>614</v>
      </c>
      <c r="M327" s="703"/>
      <c r="N327" s="576">
        <f t="shared" si="76"/>
        <v>0</v>
      </c>
      <c r="O327" s="577">
        <f t="shared" si="96"/>
        <v>0</v>
      </c>
      <c r="P327" s="578">
        <f t="shared" si="97"/>
        <v>0</v>
      </c>
      <c r="Q327" s="765"/>
      <c r="R327" s="703"/>
      <c r="S327" s="670"/>
      <c r="T327" s="577">
        <f t="shared" si="84"/>
        <v>0</v>
      </c>
      <c r="U327" s="578">
        <f t="shared" si="85"/>
        <v>0</v>
      </c>
      <c r="V327" s="579"/>
      <c r="W327" s="637" t="str">
        <f>IF(U323&gt;0,"xx",IF(P323&gt;0,"xy",""))</f>
        <v/>
      </c>
      <c r="X327" s="586" t="str">
        <f t="shared" si="86"/>
        <v/>
      </c>
      <c r="Y327" s="586" t="str">
        <f t="shared" si="74"/>
        <v/>
      </c>
      <c r="Z327" s="586" t="str">
        <f t="shared" si="80"/>
        <v/>
      </c>
    </row>
    <row r="328" spans="1:26" ht="12" hidden="1" thickBot="1" x14ac:dyDescent="0.25">
      <c r="A328" s="671">
        <v>589320</v>
      </c>
      <c r="B328" s="704" t="s">
        <v>1772</v>
      </c>
      <c r="C328" s="689" t="s">
        <v>1746</v>
      </c>
      <c r="D328" s="477" t="s">
        <v>812</v>
      </c>
      <c r="E328" s="470"/>
      <c r="F328" s="478">
        <v>500</v>
      </c>
      <c r="G328" s="479">
        <v>1</v>
      </c>
      <c r="H328" s="663">
        <f>(0.84*F328+41.45)*G328</f>
        <v>461.45</v>
      </c>
      <c r="I328" s="472">
        <v>4680</v>
      </c>
      <c r="J328" s="472">
        <f>IF(ISBLANK(I328),"",I328*(1+$F$9)/(1+$F$10))+H328</f>
        <v>5002.4010983923918</v>
      </c>
      <c r="K328" s="690">
        <f>IF(ISBLANK(I328),0,ROUND(J328*(1+$F$10)*(1+$F$11*E328),2))</f>
        <v>5943.35</v>
      </c>
      <c r="L328" s="691" t="s">
        <v>20</v>
      </c>
      <c r="M328" s="692">
        <f>ROUND(M323*G323,2)</f>
        <v>0</v>
      </c>
      <c r="N328" s="588">
        <f t="shared" si="76"/>
        <v>0</v>
      </c>
      <c r="O328" s="693">
        <f t="shared" si="96"/>
        <v>0</v>
      </c>
      <c r="P328" s="694">
        <f t="shared" si="97"/>
        <v>0</v>
      </c>
      <c r="Q328" s="765"/>
      <c r="R328" s="695">
        <f>ROUND(R323*G323,2)</f>
        <v>0</v>
      </c>
      <c r="S328" s="711">
        <f>N328</f>
        <v>0</v>
      </c>
      <c r="T328" s="693">
        <f t="shared" si="84"/>
        <v>0</v>
      </c>
      <c r="U328" s="694">
        <f t="shared" si="85"/>
        <v>0</v>
      </c>
      <c r="V328" s="579"/>
      <c r="W328" s="637" t="str">
        <f>IF(U323&gt;0,"xx",IF(P323&gt;0,"xy",""))</f>
        <v/>
      </c>
      <c r="X328" s="586" t="str">
        <f t="shared" si="86"/>
        <v/>
      </c>
      <c r="Y328" s="586" t="str">
        <f t="shared" si="74"/>
        <v/>
      </c>
      <c r="Z328" s="586" t="str">
        <f t="shared" si="80"/>
        <v/>
      </c>
    </row>
    <row r="329" spans="1:26" ht="12" hidden="1" thickBot="1" x14ac:dyDescent="0.25">
      <c r="A329" s="671">
        <v>534300</v>
      </c>
      <c r="B329" s="701" t="s">
        <v>1622</v>
      </c>
      <c r="C329" s="702" t="s">
        <v>206</v>
      </c>
      <c r="D329" s="463" t="s">
        <v>1920</v>
      </c>
      <c r="E329" s="464"/>
      <c r="F329" s="465" t="s">
        <v>663</v>
      </c>
      <c r="G329" s="466">
        <v>0.11</v>
      </c>
      <c r="H329" s="681">
        <f>SUM(H330:H333)</f>
        <v>64.942459999999997</v>
      </c>
      <c r="I329" s="467">
        <v>136.76</v>
      </c>
      <c r="J329" s="467">
        <f>IF(ISBLANK(I329),"",SUM(H329:I329))</f>
        <v>201.70245999999997</v>
      </c>
      <c r="K329" s="682">
        <f t="shared" ref="K329:K334" si="99">IF(ISBLANK(I329),0,ROUND(J329*(1+$F$10)*(1+$F$11*E329),2))</f>
        <v>239.64</v>
      </c>
      <c r="L329" s="683" t="s">
        <v>16</v>
      </c>
      <c r="M329" s="685"/>
      <c r="N329" s="686">
        <f t="shared" si="76"/>
        <v>0</v>
      </c>
      <c r="O329" s="687">
        <f t="shared" si="96"/>
        <v>0</v>
      </c>
      <c r="P329" s="688">
        <f t="shared" si="97"/>
        <v>0</v>
      </c>
      <c r="Q329" s="765"/>
      <c r="R329" s="685">
        <f>M329</f>
        <v>0</v>
      </c>
      <c r="S329" s="686">
        <f>N329</f>
        <v>0</v>
      </c>
      <c r="T329" s="687">
        <f t="shared" si="84"/>
        <v>0</v>
      </c>
      <c r="U329" s="688">
        <f t="shared" si="85"/>
        <v>0</v>
      </c>
      <c r="V329" s="579"/>
      <c r="W329" s="566"/>
      <c r="X329" s="586" t="str">
        <f t="shared" si="86"/>
        <v/>
      </c>
      <c r="Y329" s="586" t="str">
        <f t="shared" si="74"/>
        <v/>
      </c>
      <c r="Z329" s="586" t="str">
        <f t="shared" si="80"/>
        <v/>
      </c>
    </row>
    <row r="330" spans="1:26" ht="12" hidden="1" thickBot="1" x14ac:dyDescent="0.25">
      <c r="A330" s="671" t="s">
        <v>168</v>
      </c>
      <c r="B330" s="644" t="s">
        <v>168</v>
      </c>
      <c r="C330" s="645"/>
      <c r="D330" s="451" t="s">
        <v>248</v>
      </c>
      <c r="E330" s="423"/>
      <c r="F330" s="424">
        <v>180</v>
      </c>
      <c r="G330" s="425"/>
      <c r="H330" s="663">
        <f t="shared" ref="H330:H332" si="100">IF(F330&lt;=30,(1.07*F330+2.68)*G330,((1.07*30+2.68)+1.07*(F330-30))*G330)</f>
        <v>0</v>
      </c>
      <c r="I330" s="420">
        <v>0</v>
      </c>
      <c r="J330" s="420"/>
      <c r="K330" s="421">
        <f t="shared" si="99"/>
        <v>0</v>
      </c>
      <c r="L330" s="647" t="s">
        <v>614</v>
      </c>
      <c r="M330" s="703"/>
      <c r="N330" s="576">
        <f t="shared" si="76"/>
        <v>0</v>
      </c>
      <c r="O330" s="577">
        <f t="shared" si="96"/>
        <v>0</v>
      </c>
      <c r="P330" s="578">
        <f t="shared" si="97"/>
        <v>0</v>
      </c>
      <c r="Q330" s="765"/>
      <c r="R330" s="703"/>
      <c r="S330" s="670"/>
      <c r="T330" s="577">
        <f t="shared" si="84"/>
        <v>0</v>
      </c>
      <c r="U330" s="578">
        <f t="shared" si="85"/>
        <v>0</v>
      </c>
      <c r="V330" s="579"/>
      <c r="W330" s="637" t="str">
        <f>IF(U329&gt;0,"xx",IF(P329&gt;0,"xy",""))</f>
        <v/>
      </c>
      <c r="X330" s="586" t="str">
        <f t="shared" si="86"/>
        <v/>
      </c>
      <c r="Y330" s="586" t="str">
        <f t="shared" si="74"/>
        <v/>
      </c>
      <c r="Z330" s="586" t="str">
        <f t="shared" si="80"/>
        <v/>
      </c>
    </row>
    <row r="331" spans="1:26" ht="12" hidden="1" thickBot="1" x14ac:dyDescent="0.25">
      <c r="A331" s="671" t="s">
        <v>168</v>
      </c>
      <c r="B331" s="644" t="s">
        <v>168</v>
      </c>
      <c r="C331" s="645"/>
      <c r="D331" s="451" t="s">
        <v>249</v>
      </c>
      <c r="E331" s="423"/>
      <c r="F331" s="424">
        <v>500</v>
      </c>
      <c r="G331" s="425"/>
      <c r="H331" s="649">
        <f>IF(F331&lt;=30,(0.78*F331+7.82)*G331,((0.78*30+7.82)+0.78*(F331-30))*G331)</f>
        <v>0</v>
      </c>
      <c r="I331" s="420">
        <v>0</v>
      </c>
      <c r="J331" s="420">
        <f>IF(ISBLANK(I331),"",SUM(H331:I331))</f>
        <v>0</v>
      </c>
      <c r="K331" s="421">
        <f t="shared" si="99"/>
        <v>0</v>
      </c>
      <c r="L331" s="647" t="s">
        <v>614</v>
      </c>
      <c r="M331" s="703"/>
      <c r="N331" s="576">
        <f t="shared" si="76"/>
        <v>0</v>
      </c>
      <c r="O331" s="577">
        <f t="shared" si="96"/>
        <v>0</v>
      </c>
      <c r="P331" s="578">
        <f t="shared" si="97"/>
        <v>0</v>
      </c>
      <c r="Q331" s="765"/>
      <c r="R331" s="703"/>
      <c r="S331" s="670"/>
      <c r="T331" s="577">
        <f t="shared" si="84"/>
        <v>0</v>
      </c>
      <c r="U331" s="578">
        <f t="shared" si="85"/>
        <v>0</v>
      </c>
      <c r="V331" s="579"/>
      <c r="W331" s="637" t="str">
        <f>IF(U329&gt;0,"xx",IF(P329&gt;0,"xy",""))</f>
        <v/>
      </c>
      <c r="X331" s="586" t="str">
        <f t="shared" si="86"/>
        <v/>
      </c>
      <c r="Y331" s="586" t="str">
        <f t="shared" si="74"/>
        <v/>
      </c>
      <c r="Z331" s="586" t="str">
        <f t="shared" si="80"/>
        <v/>
      </c>
    </row>
    <row r="332" spans="1:26" ht="12" hidden="1" thickBot="1" x14ac:dyDescent="0.25">
      <c r="A332" s="671" t="s">
        <v>168</v>
      </c>
      <c r="B332" s="644" t="s">
        <v>168</v>
      </c>
      <c r="C332" s="645"/>
      <c r="D332" s="451" t="s">
        <v>262</v>
      </c>
      <c r="E332" s="423"/>
      <c r="F332" s="424">
        <v>0.2</v>
      </c>
      <c r="G332" s="425">
        <v>2.09</v>
      </c>
      <c r="H332" s="663">
        <f t="shared" si="100"/>
        <v>6.0484599999999995</v>
      </c>
      <c r="I332" s="420">
        <v>0</v>
      </c>
      <c r="J332" s="420"/>
      <c r="K332" s="421">
        <f t="shared" si="99"/>
        <v>0</v>
      </c>
      <c r="L332" s="647" t="s">
        <v>614</v>
      </c>
      <c r="M332" s="703"/>
      <c r="N332" s="576">
        <f t="shared" si="76"/>
        <v>0</v>
      </c>
      <c r="O332" s="577">
        <f t="shared" si="96"/>
        <v>0</v>
      </c>
      <c r="P332" s="578">
        <f t="shared" si="97"/>
        <v>0</v>
      </c>
      <c r="Q332" s="765"/>
      <c r="R332" s="703"/>
      <c r="S332" s="670"/>
      <c r="T332" s="577">
        <f t="shared" si="84"/>
        <v>0</v>
      </c>
      <c r="U332" s="578">
        <f t="shared" si="85"/>
        <v>0</v>
      </c>
      <c r="V332" s="579"/>
      <c r="W332" s="637" t="str">
        <f>IF(U329&gt;0,"xx",IF(P329&gt;0,"xy",""))</f>
        <v/>
      </c>
      <c r="X332" s="586" t="str">
        <f t="shared" si="86"/>
        <v/>
      </c>
      <c r="Y332" s="586" t="str">
        <f t="shared" si="74"/>
        <v/>
      </c>
      <c r="Z332" s="586" t="str">
        <f t="shared" si="80"/>
        <v/>
      </c>
    </row>
    <row r="333" spans="1:26" ht="12" hidden="1" thickBot="1" x14ac:dyDescent="0.25">
      <c r="A333" s="671" t="s">
        <v>168</v>
      </c>
      <c r="B333" s="644" t="s">
        <v>168</v>
      </c>
      <c r="C333" s="645"/>
      <c r="D333" s="451" t="s">
        <v>263</v>
      </c>
      <c r="E333" s="423"/>
      <c r="F333" s="424">
        <v>20</v>
      </c>
      <c r="G333" s="425">
        <f>SUM(G329:G332)</f>
        <v>2.1999999999999997</v>
      </c>
      <c r="H333" s="651">
        <f>IF(F333&lt;=30,(1.07*F333+5.37)*G333,((1.07*30+5.37)+1.07*(F333-30))*G333)</f>
        <v>58.893999999999998</v>
      </c>
      <c r="I333" s="420">
        <v>0</v>
      </c>
      <c r="J333" s="420"/>
      <c r="K333" s="421">
        <f t="shared" si="99"/>
        <v>0</v>
      </c>
      <c r="L333" s="647" t="s">
        <v>614</v>
      </c>
      <c r="M333" s="703"/>
      <c r="N333" s="576">
        <f t="shared" si="76"/>
        <v>0</v>
      </c>
      <c r="O333" s="577">
        <f t="shared" si="96"/>
        <v>0</v>
      </c>
      <c r="P333" s="578">
        <f t="shared" si="97"/>
        <v>0</v>
      </c>
      <c r="Q333" s="765"/>
      <c r="R333" s="703"/>
      <c r="S333" s="670"/>
      <c r="T333" s="577">
        <f t="shared" si="84"/>
        <v>0</v>
      </c>
      <c r="U333" s="578">
        <f t="shared" si="85"/>
        <v>0</v>
      </c>
      <c r="V333" s="579"/>
      <c r="W333" s="637" t="str">
        <f>IF(U329&gt;0,"xx",IF(P329&gt;0,"xy",""))</f>
        <v/>
      </c>
      <c r="X333" s="586" t="str">
        <f t="shared" si="86"/>
        <v/>
      </c>
      <c r="Y333" s="586" t="str">
        <f t="shared" si="74"/>
        <v/>
      </c>
      <c r="Z333" s="586" t="str">
        <f t="shared" si="80"/>
        <v/>
      </c>
    </row>
    <row r="334" spans="1:26" ht="12" hidden="1" thickBot="1" x14ac:dyDescent="0.25">
      <c r="A334" s="671">
        <v>589320</v>
      </c>
      <c r="B334" s="704" t="s">
        <v>1773</v>
      </c>
      <c r="C334" s="689" t="s">
        <v>1746</v>
      </c>
      <c r="D334" s="477" t="s">
        <v>813</v>
      </c>
      <c r="E334" s="470"/>
      <c r="F334" s="478">
        <v>500</v>
      </c>
      <c r="G334" s="479">
        <v>1</v>
      </c>
      <c r="H334" s="663">
        <f>(0.84*F334+41.45)*G334</f>
        <v>461.45</v>
      </c>
      <c r="I334" s="472">
        <v>4680</v>
      </c>
      <c r="J334" s="472">
        <f>IF(ISBLANK(I334),"",I334*(1+$F$9)/(1+$F$10))+H334</f>
        <v>5002.4010983923918</v>
      </c>
      <c r="K334" s="690">
        <f t="shared" si="99"/>
        <v>5943.35</v>
      </c>
      <c r="L334" s="691" t="s">
        <v>20</v>
      </c>
      <c r="M334" s="692">
        <f>ROUND(M329*G329,2)</f>
        <v>0</v>
      </c>
      <c r="N334" s="696">
        <f t="shared" si="76"/>
        <v>0</v>
      </c>
      <c r="O334" s="693">
        <f t="shared" si="96"/>
        <v>0</v>
      </c>
      <c r="P334" s="694">
        <f t="shared" si="97"/>
        <v>0</v>
      </c>
      <c r="Q334" s="765"/>
      <c r="R334" s="695">
        <f>ROUND(R329*G329,2)</f>
        <v>0</v>
      </c>
      <c r="S334" s="711">
        <f>N334</f>
        <v>0</v>
      </c>
      <c r="T334" s="693">
        <f t="shared" si="84"/>
        <v>0</v>
      </c>
      <c r="U334" s="694">
        <f t="shared" si="85"/>
        <v>0</v>
      </c>
      <c r="V334" s="579"/>
      <c r="W334" s="637" t="str">
        <f>IF(U329&gt;0,"xx",IF(P329&gt;0,"xy",""))</f>
        <v/>
      </c>
      <c r="X334" s="586" t="str">
        <f t="shared" si="86"/>
        <v/>
      </c>
      <c r="Y334" s="586" t="str">
        <f t="shared" si="74"/>
        <v/>
      </c>
      <c r="Z334" s="586" t="str">
        <f t="shared" si="80"/>
        <v/>
      </c>
    </row>
    <row r="335" spans="1:26" ht="12" hidden="1" thickBot="1" x14ac:dyDescent="0.25">
      <c r="A335" s="671">
        <v>534300</v>
      </c>
      <c r="B335" s="701" t="s">
        <v>1623</v>
      </c>
      <c r="C335" s="702" t="s">
        <v>206</v>
      </c>
      <c r="D335" s="463" t="s">
        <v>1919</v>
      </c>
      <c r="E335" s="464"/>
      <c r="F335" s="465" t="s">
        <v>663</v>
      </c>
      <c r="G335" s="466">
        <v>0.14000000000000001</v>
      </c>
      <c r="H335" s="681">
        <f>SUM(H336:H339)</f>
        <v>119.76626000000002</v>
      </c>
      <c r="I335" s="467">
        <v>136.76</v>
      </c>
      <c r="J335" s="467">
        <f>IF(ISBLANK(I335),"",SUM(H335:I335))</f>
        <v>256.52625999999998</v>
      </c>
      <c r="K335" s="682">
        <f t="shared" si="94"/>
        <v>304.77999999999997</v>
      </c>
      <c r="L335" s="683" t="s">
        <v>16</v>
      </c>
      <c r="M335" s="685"/>
      <c r="N335" s="576">
        <f t="shared" si="76"/>
        <v>0</v>
      </c>
      <c r="O335" s="687">
        <f t="shared" si="82"/>
        <v>0</v>
      </c>
      <c r="P335" s="688">
        <f t="shared" si="83"/>
        <v>0</v>
      </c>
      <c r="Q335" s="765"/>
      <c r="R335" s="685">
        <f>M335</f>
        <v>0</v>
      </c>
      <c r="S335" s="686">
        <f>N335</f>
        <v>0</v>
      </c>
      <c r="T335" s="687">
        <f t="shared" si="84"/>
        <v>0</v>
      </c>
      <c r="U335" s="688">
        <f t="shared" si="85"/>
        <v>0</v>
      </c>
      <c r="V335" s="579"/>
      <c r="W335" s="566"/>
      <c r="X335" s="586" t="str">
        <f t="shared" si="86"/>
        <v/>
      </c>
      <c r="Y335" s="586" t="str">
        <f t="shared" si="74"/>
        <v/>
      </c>
      <c r="Z335" s="586" t="str">
        <f t="shared" si="80"/>
        <v/>
      </c>
    </row>
    <row r="336" spans="1:26" ht="12" hidden="1" thickBot="1" x14ac:dyDescent="0.25">
      <c r="A336" s="671" t="s">
        <v>168</v>
      </c>
      <c r="B336" s="644" t="s">
        <v>168</v>
      </c>
      <c r="C336" s="645"/>
      <c r="D336" s="451" t="s">
        <v>248</v>
      </c>
      <c r="E336" s="423"/>
      <c r="F336" s="424">
        <v>180</v>
      </c>
      <c r="G336" s="425">
        <v>0.27</v>
      </c>
      <c r="H336" s="663">
        <f t="shared" ref="H336:H338" si="101">IF(F336&lt;=30,(1.07*F336+2.68)*G336,((1.07*30+2.68)+1.07*(F336-30))*G336)</f>
        <v>52.725600000000007</v>
      </c>
      <c r="I336" s="420">
        <v>0</v>
      </c>
      <c r="J336" s="420"/>
      <c r="K336" s="421">
        <f t="shared" si="94"/>
        <v>0</v>
      </c>
      <c r="L336" s="647" t="s">
        <v>614</v>
      </c>
      <c r="M336" s="703"/>
      <c r="N336" s="576">
        <f t="shared" si="76"/>
        <v>0</v>
      </c>
      <c r="O336" s="577">
        <f t="shared" si="82"/>
        <v>0</v>
      </c>
      <c r="P336" s="578">
        <f t="shared" si="83"/>
        <v>0</v>
      </c>
      <c r="Q336" s="765"/>
      <c r="R336" s="703"/>
      <c r="S336" s="670"/>
      <c r="T336" s="577">
        <f t="shared" si="84"/>
        <v>0</v>
      </c>
      <c r="U336" s="578">
        <f t="shared" si="85"/>
        <v>0</v>
      </c>
      <c r="V336" s="579"/>
      <c r="W336" s="637" t="str">
        <f>IF(U335&gt;0,"xx",IF(P335&gt;0,"xy",""))</f>
        <v/>
      </c>
      <c r="X336" s="586" t="str">
        <f t="shared" si="86"/>
        <v/>
      </c>
      <c r="Y336" s="586" t="str">
        <f t="shared" si="74"/>
        <v/>
      </c>
      <c r="Z336" s="586" t="str">
        <f t="shared" si="80"/>
        <v/>
      </c>
    </row>
    <row r="337" spans="1:26" ht="12" hidden="1" thickBot="1" x14ac:dyDescent="0.25">
      <c r="A337" s="671" t="s">
        <v>168</v>
      </c>
      <c r="B337" s="644" t="s">
        <v>168</v>
      </c>
      <c r="C337" s="645"/>
      <c r="D337" s="451" t="s">
        <v>249</v>
      </c>
      <c r="E337" s="423"/>
      <c r="F337" s="424">
        <v>500</v>
      </c>
      <c r="G337" s="425"/>
      <c r="H337" s="649">
        <f>IF(F337&lt;=30,(0.78*F337+7.82)*G337,((0.78*30+7.82)+0.78*(F337-30))*G337)</f>
        <v>0</v>
      </c>
      <c r="I337" s="420">
        <v>0</v>
      </c>
      <c r="J337" s="420">
        <f>IF(ISBLANK(I337),"",SUM(H337:I337))</f>
        <v>0</v>
      </c>
      <c r="K337" s="421">
        <f t="shared" si="94"/>
        <v>0</v>
      </c>
      <c r="L337" s="647" t="s">
        <v>614</v>
      </c>
      <c r="M337" s="703"/>
      <c r="N337" s="576">
        <f t="shared" si="76"/>
        <v>0</v>
      </c>
      <c r="O337" s="577">
        <f t="shared" si="82"/>
        <v>0</v>
      </c>
      <c r="P337" s="578">
        <f t="shared" si="83"/>
        <v>0</v>
      </c>
      <c r="Q337" s="765"/>
      <c r="R337" s="703"/>
      <c r="S337" s="670"/>
      <c r="T337" s="577">
        <f t="shared" si="84"/>
        <v>0</v>
      </c>
      <c r="U337" s="578">
        <f t="shared" si="85"/>
        <v>0</v>
      </c>
      <c r="V337" s="579"/>
      <c r="W337" s="637" t="str">
        <f>IF(U335&gt;0,"xx",IF(P335&gt;0,"xy",""))</f>
        <v/>
      </c>
      <c r="X337" s="586" t="str">
        <f t="shared" si="86"/>
        <v/>
      </c>
      <c r="Y337" s="586" t="str">
        <f t="shared" si="74"/>
        <v/>
      </c>
      <c r="Z337" s="586" t="str">
        <f t="shared" si="80"/>
        <v/>
      </c>
    </row>
    <row r="338" spans="1:26" ht="12" hidden="1" thickBot="1" x14ac:dyDescent="0.25">
      <c r="A338" s="671" t="s">
        <v>168</v>
      </c>
      <c r="B338" s="644" t="s">
        <v>168</v>
      </c>
      <c r="C338" s="645"/>
      <c r="D338" s="451" t="s">
        <v>262</v>
      </c>
      <c r="E338" s="423"/>
      <c r="F338" s="424">
        <v>0.2</v>
      </c>
      <c r="G338" s="425">
        <v>1.89</v>
      </c>
      <c r="H338" s="663">
        <f t="shared" si="101"/>
        <v>5.4696600000000002</v>
      </c>
      <c r="I338" s="420">
        <v>0</v>
      </c>
      <c r="J338" s="420"/>
      <c r="K338" s="421">
        <f t="shared" si="94"/>
        <v>0</v>
      </c>
      <c r="L338" s="647" t="s">
        <v>614</v>
      </c>
      <c r="M338" s="703"/>
      <c r="N338" s="576">
        <f t="shared" si="76"/>
        <v>0</v>
      </c>
      <c r="O338" s="577">
        <f t="shared" si="82"/>
        <v>0</v>
      </c>
      <c r="P338" s="578">
        <f t="shared" si="83"/>
        <v>0</v>
      </c>
      <c r="Q338" s="765"/>
      <c r="R338" s="703"/>
      <c r="S338" s="670"/>
      <c r="T338" s="577">
        <f t="shared" si="84"/>
        <v>0</v>
      </c>
      <c r="U338" s="578">
        <f t="shared" si="85"/>
        <v>0</v>
      </c>
      <c r="V338" s="579"/>
      <c r="W338" s="637" t="str">
        <f>IF(U335&gt;0,"xx",IF(P335&gt;0,"xy",""))</f>
        <v/>
      </c>
      <c r="X338" s="586" t="str">
        <f t="shared" si="86"/>
        <v/>
      </c>
      <c r="Y338" s="586" t="str">
        <f t="shared" si="74"/>
        <v/>
      </c>
      <c r="Z338" s="586" t="str">
        <f t="shared" si="80"/>
        <v/>
      </c>
    </row>
    <row r="339" spans="1:26" ht="12" hidden="1" thickBot="1" x14ac:dyDescent="0.25">
      <c r="A339" s="671" t="s">
        <v>168</v>
      </c>
      <c r="B339" s="644" t="s">
        <v>168</v>
      </c>
      <c r="C339" s="645"/>
      <c r="D339" s="451" t="s">
        <v>263</v>
      </c>
      <c r="E339" s="423"/>
      <c r="F339" s="424">
        <v>20</v>
      </c>
      <c r="G339" s="425">
        <f>SUM(G335:G338)</f>
        <v>2.2999999999999998</v>
      </c>
      <c r="H339" s="651">
        <f>IF(F339&lt;=30,(1.07*F339+5.37)*G339,((1.07*30+5.37)+1.07*(F339-30))*G339)</f>
        <v>61.571000000000005</v>
      </c>
      <c r="I339" s="420">
        <v>0</v>
      </c>
      <c r="J339" s="420"/>
      <c r="K339" s="421">
        <f t="shared" si="94"/>
        <v>0</v>
      </c>
      <c r="L339" s="647" t="s">
        <v>614</v>
      </c>
      <c r="M339" s="703"/>
      <c r="N339" s="576">
        <f t="shared" si="76"/>
        <v>0</v>
      </c>
      <c r="O339" s="577">
        <f t="shared" si="82"/>
        <v>0</v>
      </c>
      <c r="P339" s="578">
        <f t="shared" si="83"/>
        <v>0</v>
      </c>
      <c r="Q339" s="765"/>
      <c r="R339" s="703"/>
      <c r="S339" s="670"/>
      <c r="T339" s="577">
        <f t="shared" si="84"/>
        <v>0</v>
      </c>
      <c r="U339" s="578">
        <f t="shared" si="85"/>
        <v>0</v>
      </c>
      <c r="V339" s="579"/>
      <c r="W339" s="637" t="str">
        <f>IF(U335&gt;0,"xx",IF(P335&gt;0,"xy",""))</f>
        <v/>
      </c>
      <c r="X339" s="586" t="str">
        <f t="shared" si="86"/>
        <v/>
      </c>
      <c r="Y339" s="586" t="str">
        <f t="shared" ref="Y339:Y402" si="102">IF(W339="X","x",IF(W339="y","x",IF(W339="xx","x",IF(U339&gt;0,"x",""))))</f>
        <v/>
      </c>
      <c r="Z339" s="586" t="str">
        <f t="shared" si="80"/>
        <v/>
      </c>
    </row>
    <row r="340" spans="1:26" ht="12" hidden="1" thickBot="1" x14ac:dyDescent="0.25">
      <c r="A340" s="671">
        <v>589320</v>
      </c>
      <c r="B340" s="704" t="s">
        <v>1774</v>
      </c>
      <c r="C340" s="689" t="s">
        <v>1746</v>
      </c>
      <c r="D340" s="477" t="s">
        <v>813</v>
      </c>
      <c r="E340" s="470"/>
      <c r="F340" s="478">
        <v>500</v>
      </c>
      <c r="G340" s="479">
        <v>1</v>
      </c>
      <c r="H340" s="663">
        <f>(0.84*F340+41.45)*G340</f>
        <v>461.45</v>
      </c>
      <c r="I340" s="472">
        <v>4680</v>
      </c>
      <c r="J340" s="472">
        <f>IF(ISBLANK(I340),"",I340*(1+$F$9)/(1+$F$10))+H340</f>
        <v>5002.4010983923918</v>
      </c>
      <c r="K340" s="690">
        <f t="shared" si="94"/>
        <v>5943.35</v>
      </c>
      <c r="L340" s="691" t="s">
        <v>20</v>
      </c>
      <c r="M340" s="692">
        <f>ROUND(M335*G335,2)</f>
        <v>0</v>
      </c>
      <c r="N340" s="588">
        <f t="shared" ref="N340:N403" si="103">IF(M340=0,0,K340)</f>
        <v>0</v>
      </c>
      <c r="O340" s="693">
        <f>IF(ISBLANK(M340),0,ROUND(K340*M340,2))</f>
        <v>0</v>
      </c>
      <c r="P340" s="694">
        <f>IF(ISBLANK(N340),0,ROUND(M340*N340,2))</f>
        <v>0</v>
      </c>
      <c r="Q340" s="765"/>
      <c r="R340" s="695">
        <f>ROUND(R335*G335,2)</f>
        <v>0</v>
      </c>
      <c r="S340" s="711">
        <f>N340</f>
        <v>0</v>
      </c>
      <c r="T340" s="693">
        <f t="shared" si="84"/>
        <v>0</v>
      </c>
      <c r="U340" s="694">
        <f t="shared" si="85"/>
        <v>0</v>
      </c>
      <c r="V340" s="579"/>
      <c r="W340" s="637" t="str">
        <f>IF(U335&gt;0,"xx",IF(P335&gt;0,"xy",""))</f>
        <v/>
      </c>
      <c r="X340" s="586" t="str">
        <f t="shared" si="86"/>
        <v/>
      </c>
      <c r="Y340" s="586" t="str">
        <f t="shared" si="102"/>
        <v/>
      </c>
      <c r="Z340" s="586" t="str">
        <f t="shared" si="80"/>
        <v/>
      </c>
    </row>
    <row r="341" spans="1:26" ht="12" hidden="1" thickBot="1" x14ac:dyDescent="0.25">
      <c r="A341" s="671">
        <v>534300</v>
      </c>
      <c r="B341" s="701" t="s">
        <v>1577</v>
      </c>
      <c r="C341" s="702" t="s">
        <v>206</v>
      </c>
      <c r="D341" s="463" t="s">
        <v>1920</v>
      </c>
      <c r="E341" s="464"/>
      <c r="F341" s="465" t="s">
        <v>663</v>
      </c>
      <c r="G341" s="466">
        <v>0.14000000000000001</v>
      </c>
      <c r="H341" s="681">
        <f>SUM(H342:H345)</f>
        <v>119.76626000000002</v>
      </c>
      <c r="I341" s="467">
        <v>136.76</v>
      </c>
      <c r="J341" s="467">
        <f>IF(ISBLANK(I341),"",SUM(H341:I341))</f>
        <v>256.52625999999998</v>
      </c>
      <c r="K341" s="682">
        <f t="shared" si="94"/>
        <v>304.77999999999997</v>
      </c>
      <c r="L341" s="683" t="s">
        <v>16</v>
      </c>
      <c r="M341" s="685"/>
      <c r="N341" s="686">
        <f t="shared" si="103"/>
        <v>0</v>
      </c>
      <c r="O341" s="687">
        <f t="shared" si="82"/>
        <v>0</v>
      </c>
      <c r="P341" s="688">
        <f t="shared" si="83"/>
        <v>0</v>
      </c>
      <c r="Q341" s="765"/>
      <c r="R341" s="685">
        <f>M341</f>
        <v>0</v>
      </c>
      <c r="S341" s="686">
        <f>N341</f>
        <v>0</v>
      </c>
      <c r="T341" s="687">
        <f t="shared" si="84"/>
        <v>0</v>
      </c>
      <c r="U341" s="688">
        <f t="shared" si="85"/>
        <v>0</v>
      </c>
      <c r="V341" s="579"/>
      <c r="W341" s="566"/>
      <c r="X341" s="586" t="str">
        <f t="shared" si="86"/>
        <v/>
      </c>
      <c r="Y341" s="586" t="str">
        <f t="shared" si="102"/>
        <v/>
      </c>
      <c r="Z341" s="586" t="str">
        <f t="shared" si="80"/>
        <v/>
      </c>
    </row>
    <row r="342" spans="1:26" ht="12" hidden="1" thickBot="1" x14ac:dyDescent="0.25">
      <c r="A342" s="671" t="s">
        <v>168</v>
      </c>
      <c r="B342" s="644" t="s">
        <v>168</v>
      </c>
      <c r="C342" s="645"/>
      <c r="D342" s="451" t="s">
        <v>248</v>
      </c>
      <c r="E342" s="423"/>
      <c r="F342" s="424">
        <v>180</v>
      </c>
      <c r="G342" s="425">
        <v>0.27</v>
      </c>
      <c r="H342" s="663">
        <f t="shared" ref="H342:H344" si="104">IF(F342&lt;=30,(1.07*F342+2.68)*G342,((1.07*30+2.68)+1.07*(F342-30))*G342)</f>
        <v>52.725600000000007</v>
      </c>
      <c r="I342" s="420">
        <v>0</v>
      </c>
      <c r="J342" s="420"/>
      <c r="K342" s="421">
        <f t="shared" si="94"/>
        <v>0</v>
      </c>
      <c r="L342" s="647" t="s">
        <v>614</v>
      </c>
      <c r="M342" s="703"/>
      <c r="N342" s="576">
        <f t="shared" si="103"/>
        <v>0</v>
      </c>
      <c r="O342" s="577">
        <f t="shared" si="82"/>
        <v>0</v>
      </c>
      <c r="P342" s="578">
        <f t="shared" si="83"/>
        <v>0</v>
      </c>
      <c r="Q342" s="765"/>
      <c r="R342" s="703"/>
      <c r="S342" s="670"/>
      <c r="T342" s="577">
        <f t="shared" si="84"/>
        <v>0</v>
      </c>
      <c r="U342" s="578">
        <f t="shared" si="85"/>
        <v>0</v>
      </c>
      <c r="V342" s="579"/>
      <c r="W342" s="637" t="str">
        <f>IF(U341&gt;0,"xx",IF(P341&gt;0,"xy",""))</f>
        <v/>
      </c>
      <c r="X342" s="586" t="str">
        <f t="shared" si="86"/>
        <v/>
      </c>
      <c r="Y342" s="586" t="str">
        <f t="shared" si="102"/>
        <v/>
      </c>
      <c r="Z342" s="586" t="str">
        <f t="shared" si="80"/>
        <v/>
      </c>
    </row>
    <row r="343" spans="1:26" ht="12" hidden="1" thickBot="1" x14ac:dyDescent="0.25">
      <c r="A343" s="671" t="s">
        <v>168</v>
      </c>
      <c r="B343" s="644" t="s">
        <v>168</v>
      </c>
      <c r="C343" s="645"/>
      <c r="D343" s="451" t="s">
        <v>249</v>
      </c>
      <c r="E343" s="423"/>
      <c r="F343" s="424">
        <v>500</v>
      </c>
      <c r="G343" s="425"/>
      <c r="H343" s="649">
        <f>IF(F343&lt;=30,(0.78*F343+7.82)*G343,((0.78*30+7.82)+0.78*(F343-30))*G343)</f>
        <v>0</v>
      </c>
      <c r="I343" s="420">
        <v>0</v>
      </c>
      <c r="J343" s="420">
        <f>IF(ISBLANK(I343),"",SUM(H343:I343))</f>
        <v>0</v>
      </c>
      <c r="K343" s="421">
        <f t="shared" si="94"/>
        <v>0</v>
      </c>
      <c r="L343" s="647" t="s">
        <v>614</v>
      </c>
      <c r="M343" s="703"/>
      <c r="N343" s="576">
        <f t="shared" si="103"/>
        <v>0</v>
      </c>
      <c r="O343" s="577">
        <f t="shared" si="82"/>
        <v>0</v>
      </c>
      <c r="P343" s="578">
        <f t="shared" si="83"/>
        <v>0</v>
      </c>
      <c r="Q343" s="765"/>
      <c r="R343" s="703"/>
      <c r="S343" s="670"/>
      <c r="T343" s="577">
        <f t="shared" si="84"/>
        <v>0</v>
      </c>
      <c r="U343" s="578">
        <f t="shared" si="85"/>
        <v>0</v>
      </c>
      <c r="V343" s="579"/>
      <c r="W343" s="637" t="str">
        <f>IF(U341&gt;0,"xx",IF(P341&gt;0,"xy",""))</f>
        <v/>
      </c>
      <c r="X343" s="586" t="str">
        <f>IF(W343="X","x",IF(W343="xx","x",IF(W343="xy","x",IF(W343="y","x",IF(OR(P343&gt;0,U343&gt;0),"x","")))))</f>
        <v/>
      </c>
      <c r="Y343" s="586" t="str">
        <f>IF(W343="X","x",IF(W343="y","x",IF(W343="xx","x",IF(U343&gt;0,"x",""))))</f>
        <v/>
      </c>
      <c r="Z343" s="586" t="str">
        <f>IF(W343="X","x",IF(U343&gt;0,"x",""))</f>
        <v/>
      </c>
    </row>
    <row r="344" spans="1:26" ht="12" hidden="1" thickBot="1" x14ac:dyDescent="0.25">
      <c r="A344" s="671" t="s">
        <v>168</v>
      </c>
      <c r="B344" s="644" t="s">
        <v>168</v>
      </c>
      <c r="C344" s="645"/>
      <c r="D344" s="451" t="s">
        <v>262</v>
      </c>
      <c r="E344" s="423"/>
      <c r="F344" s="424">
        <v>0.2</v>
      </c>
      <c r="G344" s="425">
        <v>1.89</v>
      </c>
      <c r="H344" s="663">
        <f t="shared" si="104"/>
        <v>5.4696600000000002</v>
      </c>
      <c r="I344" s="420">
        <v>0</v>
      </c>
      <c r="J344" s="420"/>
      <c r="K344" s="421">
        <f t="shared" si="94"/>
        <v>0</v>
      </c>
      <c r="L344" s="647" t="s">
        <v>614</v>
      </c>
      <c r="M344" s="703"/>
      <c r="N344" s="576">
        <f t="shared" si="103"/>
        <v>0</v>
      </c>
      <c r="O344" s="577">
        <f t="shared" si="82"/>
        <v>0</v>
      </c>
      <c r="P344" s="578">
        <f t="shared" si="83"/>
        <v>0</v>
      </c>
      <c r="Q344" s="765"/>
      <c r="R344" s="703"/>
      <c r="S344" s="670"/>
      <c r="T344" s="577">
        <f t="shared" si="84"/>
        <v>0</v>
      </c>
      <c r="U344" s="578">
        <f t="shared" si="85"/>
        <v>0</v>
      </c>
      <c r="V344" s="579"/>
      <c r="W344" s="637" t="str">
        <f>IF(U341&gt;0,"xx",IF(P341&gt;0,"xy",""))</f>
        <v/>
      </c>
      <c r="X344" s="586" t="str">
        <f>IF(W344="X","x",IF(W344="xx","x",IF(W344="xy","x",IF(W344="y","x",IF(OR(P344&gt;0,U344&gt;0),"x","")))))</f>
        <v/>
      </c>
      <c r="Y344" s="586" t="str">
        <f>IF(W344="X","x",IF(W344="y","x",IF(W344="xx","x",IF(U344&gt;0,"x",""))))</f>
        <v/>
      </c>
      <c r="Z344" s="586" t="str">
        <f>IF(W344="X","x",IF(U344&gt;0,"x",""))</f>
        <v/>
      </c>
    </row>
    <row r="345" spans="1:26" ht="12" hidden="1" thickBot="1" x14ac:dyDescent="0.25">
      <c r="A345" s="671" t="s">
        <v>168</v>
      </c>
      <c r="B345" s="644" t="s">
        <v>168</v>
      </c>
      <c r="C345" s="645"/>
      <c r="D345" s="451" t="s">
        <v>263</v>
      </c>
      <c r="E345" s="423"/>
      <c r="F345" s="424">
        <v>20</v>
      </c>
      <c r="G345" s="425">
        <f>SUM(G341:G344)</f>
        <v>2.2999999999999998</v>
      </c>
      <c r="H345" s="651">
        <f>IF(F345&lt;=30,(1.07*F345+5.37)*G345,((1.07*30+5.37)+1.07*(F345-30))*G345)</f>
        <v>61.571000000000005</v>
      </c>
      <c r="I345" s="420">
        <v>0</v>
      </c>
      <c r="J345" s="420"/>
      <c r="K345" s="421">
        <f t="shared" si="94"/>
        <v>0</v>
      </c>
      <c r="L345" s="647" t="s">
        <v>614</v>
      </c>
      <c r="M345" s="703"/>
      <c r="N345" s="576">
        <f t="shared" si="103"/>
        <v>0</v>
      </c>
      <c r="O345" s="577">
        <f t="shared" si="82"/>
        <v>0</v>
      </c>
      <c r="P345" s="578">
        <f t="shared" si="83"/>
        <v>0</v>
      </c>
      <c r="Q345" s="765"/>
      <c r="R345" s="703"/>
      <c r="S345" s="670"/>
      <c r="T345" s="577">
        <f t="shared" si="84"/>
        <v>0</v>
      </c>
      <c r="U345" s="578">
        <f t="shared" si="85"/>
        <v>0</v>
      </c>
      <c r="V345" s="579"/>
      <c r="W345" s="637" t="str">
        <f>IF(U341&gt;0,"xx",IF(P341&gt;0,"xy",""))</f>
        <v/>
      </c>
      <c r="X345" s="586" t="str">
        <f t="shared" si="86"/>
        <v/>
      </c>
      <c r="Y345" s="586" t="str">
        <f t="shared" si="102"/>
        <v/>
      </c>
      <c r="Z345" s="586" t="str">
        <f t="shared" si="80"/>
        <v/>
      </c>
    </row>
    <row r="346" spans="1:26" ht="12" hidden="1" thickBot="1" x14ac:dyDescent="0.25">
      <c r="A346" s="671">
        <v>589320</v>
      </c>
      <c r="B346" s="704" t="s">
        <v>1775</v>
      </c>
      <c r="C346" s="689" t="s">
        <v>1746</v>
      </c>
      <c r="D346" s="477" t="s">
        <v>813</v>
      </c>
      <c r="E346" s="470"/>
      <c r="F346" s="478">
        <v>500</v>
      </c>
      <c r="G346" s="479">
        <v>1</v>
      </c>
      <c r="H346" s="663">
        <f>(0.84*F346+41.45)*G346</f>
        <v>461.45</v>
      </c>
      <c r="I346" s="472">
        <v>4680</v>
      </c>
      <c r="J346" s="472">
        <f>IF(ISBLANK(I346),"",I346*(1+$F$9)/(1+$F$10))+H346</f>
        <v>5002.4010983923918</v>
      </c>
      <c r="K346" s="690">
        <f t="shared" si="94"/>
        <v>5943.35</v>
      </c>
      <c r="L346" s="691" t="s">
        <v>20</v>
      </c>
      <c r="M346" s="692">
        <f>ROUND(M341*G341,2)</f>
        <v>0</v>
      </c>
      <c r="N346" s="696">
        <f t="shared" si="103"/>
        <v>0</v>
      </c>
      <c r="O346" s="693">
        <f>IF(ISBLANK(M346),0,ROUND(K346*M346,2))</f>
        <v>0</v>
      </c>
      <c r="P346" s="694">
        <f>IF(ISBLANK(N346),0,ROUND(M346*N346,2))</f>
        <v>0</v>
      </c>
      <c r="Q346" s="765"/>
      <c r="R346" s="695">
        <f>ROUND(R341*G341,2)</f>
        <v>0</v>
      </c>
      <c r="S346" s="711">
        <f>N346</f>
        <v>0</v>
      </c>
      <c r="T346" s="693">
        <f t="shared" si="84"/>
        <v>0</v>
      </c>
      <c r="U346" s="694">
        <f t="shared" si="85"/>
        <v>0</v>
      </c>
      <c r="V346" s="579"/>
      <c r="W346" s="637" t="str">
        <f>IF(U341&gt;0,"xx",IF(P341&gt;0,"xy",""))</f>
        <v/>
      </c>
      <c r="X346" s="586" t="str">
        <f t="shared" si="86"/>
        <v/>
      </c>
      <c r="Y346" s="586" t="str">
        <f t="shared" si="102"/>
        <v/>
      </c>
      <c r="Z346" s="586" t="str">
        <f t="shared" si="80"/>
        <v/>
      </c>
    </row>
    <row r="347" spans="1:26" ht="12" hidden="1" thickBot="1" x14ac:dyDescent="0.25">
      <c r="A347" s="671">
        <v>534300</v>
      </c>
      <c r="B347" s="701" t="s">
        <v>1578</v>
      </c>
      <c r="C347" s="702" t="s">
        <v>206</v>
      </c>
      <c r="D347" s="463" t="s">
        <v>1915</v>
      </c>
      <c r="E347" s="464"/>
      <c r="F347" s="465" t="s">
        <v>663</v>
      </c>
      <c r="G347" s="466">
        <v>0.18240000000000001</v>
      </c>
      <c r="H347" s="681">
        <f>SUM(H348:H351)</f>
        <v>214.06262820000001</v>
      </c>
      <c r="I347" s="467">
        <v>136.76</v>
      </c>
      <c r="J347" s="467">
        <f>IF(ISBLANK(I347),"",SUM(H347:I347))</f>
        <v>350.8226282</v>
      </c>
      <c r="K347" s="682">
        <f t="shared" si="94"/>
        <v>416.81</v>
      </c>
      <c r="L347" s="683" t="s">
        <v>16</v>
      </c>
      <c r="M347" s="685"/>
      <c r="N347" s="576">
        <f t="shared" si="103"/>
        <v>0</v>
      </c>
      <c r="O347" s="687">
        <f t="shared" si="82"/>
        <v>0</v>
      </c>
      <c r="P347" s="688">
        <f t="shared" si="83"/>
        <v>0</v>
      </c>
      <c r="Q347" s="765"/>
      <c r="R347" s="685">
        <f>M347</f>
        <v>0</v>
      </c>
      <c r="S347" s="686">
        <f>N347</f>
        <v>0</v>
      </c>
      <c r="T347" s="687">
        <f t="shared" si="84"/>
        <v>0</v>
      </c>
      <c r="U347" s="688">
        <f t="shared" si="85"/>
        <v>0</v>
      </c>
      <c r="V347" s="579"/>
      <c r="W347" s="566"/>
      <c r="X347" s="586" t="str">
        <f t="shared" si="86"/>
        <v/>
      </c>
      <c r="Y347" s="586" t="str">
        <f t="shared" si="102"/>
        <v/>
      </c>
      <c r="Z347" s="586" t="str">
        <f t="shared" si="80"/>
        <v/>
      </c>
    </row>
    <row r="348" spans="1:26" ht="12" hidden="1" thickBot="1" x14ac:dyDescent="0.25">
      <c r="A348" s="671" t="s">
        <v>168</v>
      </c>
      <c r="B348" s="644" t="s">
        <v>168</v>
      </c>
      <c r="C348" s="645"/>
      <c r="D348" s="451" t="s">
        <v>248</v>
      </c>
      <c r="E348" s="423"/>
      <c r="F348" s="424">
        <v>180</v>
      </c>
      <c r="G348" s="425">
        <v>0.56969999999999998</v>
      </c>
      <c r="H348" s="663">
        <f t="shared" ref="H348:H350" si="105">IF(F348&lt;=30,(1.07*F348+2.68)*G348,((1.07*30+2.68)+1.07*(F348-30))*G348)</f>
        <v>111.25101599999999</v>
      </c>
      <c r="I348" s="420">
        <v>0</v>
      </c>
      <c r="J348" s="420"/>
      <c r="K348" s="421">
        <f t="shared" si="94"/>
        <v>0</v>
      </c>
      <c r="L348" s="647" t="s">
        <v>614</v>
      </c>
      <c r="M348" s="703"/>
      <c r="N348" s="576">
        <f t="shared" si="103"/>
        <v>0</v>
      </c>
      <c r="O348" s="577">
        <f t="shared" si="82"/>
        <v>0</v>
      </c>
      <c r="P348" s="578">
        <f t="shared" si="83"/>
        <v>0</v>
      </c>
      <c r="Q348" s="765"/>
      <c r="R348" s="703"/>
      <c r="S348" s="670"/>
      <c r="T348" s="577">
        <f t="shared" si="84"/>
        <v>0</v>
      </c>
      <c r="U348" s="578">
        <f t="shared" si="85"/>
        <v>0</v>
      </c>
      <c r="V348" s="579"/>
      <c r="W348" s="637" t="str">
        <f>IF(U347&gt;0,"xx",IF(P347&gt;0,"xy",""))</f>
        <v/>
      </c>
      <c r="X348" s="586" t="str">
        <f t="shared" si="86"/>
        <v/>
      </c>
      <c r="Y348" s="586" t="str">
        <f t="shared" si="102"/>
        <v/>
      </c>
      <c r="Z348" s="586" t="str">
        <f t="shared" si="80"/>
        <v/>
      </c>
    </row>
    <row r="349" spans="1:26" ht="12" hidden="1" thickBot="1" x14ac:dyDescent="0.25">
      <c r="A349" s="671" t="s">
        <v>168</v>
      </c>
      <c r="B349" s="644" t="s">
        <v>168</v>
      </c>
      <c r="C349" s="645"/>
      <c r="D349" s="451" t="s">
        <v>249</v>
      </c>
      <c r="E349" s="423"/>
      <c r="F349" s="424">
        <v>500</v>
      </c>
      <c r="G349" s="425">
        <v>8.7599999999999997E-2</v>
      </c>
      <c r="H349" s="649">
        <f>IF(F349&lt;=30,(0.78*F349+7.82)*G349,((0.78*30+7.82)+0.78*(F349-30))*G349)</f>
        <v>34.849032000000001</v>
      </c>
      <c r="I349" s="420">
        <v>0</v>
      </c>
      <c r="J349" s="420"/>
      <c r="K349" s="421">
        <f t="shared" si="94"/>
        <v>0</v>
      </c>
      <c r="L349" s="647" t="s">
        <v>614</v>
      </c>
      <c r="M349" s="703"/>
      <c r="N349" s="576">
        <f t="shared" si="103"/>
        <v>0</v>
      </c>
      <c r="O349" s="577">
        <f t="shared" si="82"/>
        <v>0</v>
      </c>
      <c r="P349" s="578">
        <f t="shared" si="83"/>
        <v>0</v>
      </c>
      <c r="Q349" s="765"/>
      <c r="R349" s="703"/>
      <c r="S349" s="670"/>
      <c r="T349" s="577">
        <f t="shared" si="84"/>
        <v>0</v>
      </c>
      <c r="U349" s="578">
        <f t="shared" si="85"/>
        <v>0</v>
      </c>
      <c r="V349" s="579"/>
      <c r="W349" s="637" t="str">
        <f>IF(U347&gt;0,"xx",IF(P347&gt;0,"xy",""))</f>
        <v/>
      </c>
      <c r="X349" s="586" t="str">
        <f t="shared" si="86"/>
        <v/>
      </c>
      <c r="Y349" s="586" t="str">
        <f t="shared" si="102"/>
        <v/>
      </c>
      <c r="Z349" s="586" t="str">
        <f t="shared" ref="Z349:Z412" si="106">IF(W349="X","x",IF(U349&gt;0,"x",""))</f>
        <v/>
      </c>
    </row>
    <row r="350" spans="1:26" ht="12" hidden="1" thickBot="1" x14ac:dyDescent="0.25">
      <c r="A350" s="671" t="s">
        <v>168</v>
      </c>
      <c r="B350" s="644" t="s">
        <v>168</v>
      </c>
      <c r="C350" s="645"/>
      <c r="D350" s="451" t="s">
        <v>262</v>
      </c>
      <c r="E350" s="423"/>
      <c r="F350" s="424">
        <v>0.2</v>
      </c>
      <c r="G350" s="425">
        <v>1.5333000000000001</v>
      </c>
      <c r="H350" s="663">
        <f t="shared" si="105"/>
        <v>4.4373702000000002</v>
      </c>
      <c r="I350" s="420">
        <v>0</v>
      </c>
      <c r="J350" s="420"/>
      <c r="K350" s="421">
        <f t="shared" si="94"/>
        <v>0</v>
      </c>
      <c r="L350" s="647" t="s">
        <v>614</v>
      </c>
      <c r="M350" s="703"/>
      <c r="N350" s="576">
        <f t="shared" si="103"/>
        <v>0</v>
      </c>
      <c r="O350" s="577">
        <f t="shared" si="82"/>
        <v>0</v>
      </c>
      <c r="P350" s="578">
        <f t="shared" si="83"/>
        <v>0</v>
      </c>
      <c r="Q350" s="765"/>
      <c r="R350" s="703"/>
      <c r="S350" s="670"/>
      <c r="T350" s="577">
        <f t="shared" si="84"/>
        <v>0</v>
      </c>
      <c r="U350" s="578">
        <f t="shared" si="85"/>
        <v>0</v>
      </c>
      <c r="V350" s="579"/>
      <c r="W350" s="637" t="str">
        <f>IF(U347&gt;0,"xx",IF(P347&gt;0,"xy",""))</f>
        <v/>
      </c>
      <c r="X350" s="586" t="str">
        <f t="shared" si="86"/>
        <v/>
      </c>
      <c r="Y350" s="586" t="str">
        <f t="shared" si="102"/>
        <v/>
      </c>
      <c r="Z350" s="586" t="str">
        <f t="shared" si="106"/>
        <v/>
      </c>
    </row>
    <row r="351" spans="1:26" ht="12" hidden="1" thickBot="1" x14ac:dyDescent="0.25">
      <c r="A351" s="671" t="s">
        <v>168</v>
      </c>
      <c r="B351" s="644" t="s">
        <v>168</v>
      </c>
      <c r="C351" s="645"/>
      <c r="D351" s="451" t="s">
        <v>263</v>
      </c>
      <c r="E351" s="423"/>
      <c r="F351" s="424">
        <v>20</v>
      </c>
      <c r="G351" s="425">
        <f>SUM(G347:G350)</f>
        <v>2.3730000000000002</v>
      </c>
      <c r="H351" s="651">
        <f>IF(F351&lt;=30,(1.07*F351+5.37)*G351,((1.07*30+5.37)+1.07*(F351-30))*G351)</f>
        <v>63.525210000000015</v>
      </c>
      <c r="I351" s="420">
        <v>0</v>
      </c>
      <c r="J351" s="420"/>
      <c r="K351" s="421">
        <f t="shared" si="94"/>
        <v>0</v>
      </c>
      <c r="L351" s="647" t="s">
        <v>614</v>
      </c>
      <c r="M351" s="703"/>
      <c r="N351" s="576">
        <f t="shared" si="103"/>
        <v>0</v>
      </c>
      <c r="O351" s="577">
        <f t="shared" si="82"/>
        <v>0</v>
      </c>
      <c r="P351" s="578">
        <f t="shared" si="83"/>
        <v>0</v>
      </c>
      <c r="Q351" s="765"/>
      <c r="R351" s="703"/>
      <c r="S351" s="670"/>
      <c r="T351" s="577">
        <f t="shared" si="84"/>
        <v>0</v>
      </c>
      <c r="U351" s="578">
        <f t="shared" si="85"/>
        <v>0</v>
      </c>
      <c r="V351" s="579"/>
      <c r="W351" s="637" t="str">
        <f>IF(U347&gt;0,"xx",IF(P347&gt;0,"xy",""))</f>
        <v/>
      </c>
      <c r="X351" s="586" t="str">
        <f t="shared" si="86"/>
        <v/>
      </c>
      <c r="Y351" s="586" t="str">
        <f t="shared" si="102"/>
        <v/>
      </c>
      <c r="Z351" s="586" t="str">
        <f t="shared" si="106"/>
        <v/>
      </c>
    </row>
    <row r="352" spans="1:26" ht="12" hidden="1" thickBot="1" x14ac:dyDescent="0.25">
      <c r="A352" s="671">
        <v>589320</v>
      </c>
      <c r="B352" s="704" t="s">
        <v>1776</v>
      </c>
      <c r="C352" s="689" t="s">
        <v>1746</v>
      </c>
      <c r="D352" s="477" t="s">
        <v>1575</v>
      </c>
      <c r="E352" s="470"/>
      <c r="F352" s="478">
        <v>500</v>
      </c>
      <c r="G352" s="479">
        <v>1</v>
      </c>
      <c r="H352" s="663">
        <f>(0.84*F352+41.45)*G352</f>
        <v>461.45</v>
      </c>
      <c r="I352" s="472">
        <v>4680</v>
      </c>
      <c r="J352" s="472">
        <f>IF(ISBLANK(I352),"",I352*(1+$F$9)/(1+$F$10))+H352</f>
        <v>5002.4010983923918</v>
      </c>
      <c r="K352" s="690">
        <f t="shared" si="94"/>
        <v>5943.35</v>
      </c>
      <c r="L352" s="691" t="s">
        <v>20</v>
      </c>
      <c r="M352" s="692">
        <f>ROUND(M347*G347,2)</f>
        <v>0</v>
      </c>
      <c r="N352" s="588">
        <f t="shared" si="103"/>
        <v>0</v>
      </c>
      <c r="O352" s="693">
        <f>IF(ISBLANK(M352),0,ROUND(K352*M352,2))</f>
        <v>0</v>
      </c>
      <c r="P352" s="694">
        <f>IF(ISBLANK(N352),0,ROUND(M352*N352,2))</f>
        <v>0</v>
      </c>
      <c r="Q352" s="765"/>
      <c r="R352" s="695">
        <f>ROUND(R347*G347,2)</f>
        <v>0</v>
      </c>
      <c r="S352" s="711">
        <f>N352</f>
        <v>0</v>
      </c>
      <c r="T352" s="693">
        <f t="shared" si="84"/>
        <v>0</v>
      </c>
      <c r="U352" s="694">
        <f t="shared" si="85"/>
        <v>0</v>
      </c>
      <c r="V352" s="579"/>
      <c r="W352" s="637" t="str">
        <f>IF(U347&gt;0,"xx",IF(P347&gt;0,"xy",""))</f>
        <v/>
      </c>
      <c r="X352" s="586" t="str">
        <f t="shared" si="86"/>
        <v/>
      </c>
      <c r="Y352" s="586" t="str">
        <f t="shared" si="102"/>
        <v/>
      </c>
      <c r="Z352" s="586" t="str">
        <f t="shared" si="106"/>
        <v/>
      </c>
    </row>
    <row r="353" spans="1:26" ht="12" hidden="1" thickBot="1" x14ac:dyDescent="0.25">
      <c r="A353" s="671">
        <v>570300</v>
      </c>
      <c r="B353" s="701" t="s">
        <v>1624</v>
      </c>
      <c r="C353" s="702" t="s">
        <v>206</v>
      </c>
      <c r="D353" s="485" t="s">
        <v>814</v>
      </c>
      <c r="E353" s="464"/>
      <c r="F353" s="465" t="s">
        <v>662</v>
      </c>
      <c r="G353" s="466">
        <v>0.04</v>
      </c>
      <c r="H353" s="681">
        <f>SUM(H354:H357)</f>
        <v>36.552130000000005</v>
      </c>
      <c r="I353" s="467">
        <v>190.4</v>
      </c>
      <c r="J353" s="467">
        <f>IF(ISBLANK(I353),"",SUM(H353:I353))</f>
        <v>226.95213000000001</v>
      </c>
      <c r="K353" s="682">
        <f t="shared" si="94"/>
        <v>269.64</v>
      </c>
      <c r="L353" s="683" t="s">
        <v>20</v>
      </c>
      <c r="M353" s="685"/>
      <c r="N353" s="686">
        <f t="shared" si="103"/>
        <v>0</v>
      </c>
      <c r="O353" s="687">
        <f t="shared" si="82"/>
        <v>0</v>
      </c>
      <c r="P353" s="688">
        <f t="shared" si="83"/>
        <v>0</v>
      </c>
      <c r="Q353" s="765"/>
      <c r="R353" s="685">
        <f>M353</f>
        <v>0</v>
      </c>
      <c r="S353" s="686">
        <f>N353</f>
        <v>0</v>
      </c>
      <c r="T353" s="687">
        <f t="shared" si="84"/>
        <v>0</v>
      </c>
      <c r="U353" s="688">
        <f t="shared" si="85"/>
        <v>0</v>
      </c>
      <c r="V353" s="579"/>
      <c r="W353" s="566"/>
      <c r="X353" s="586" t="str">
        <f t="shared" si="86"/>
        <v/>
      </c>
      <c r="Y353" s="586" t="str">
        <f t="shared" si="102"/>
        <v/>
      </c>
      <c r="Z353" s="586" t="str">
        <f t="shared" si="106"/>
        <v/>
      </c>
    </row>
    <row r="354" spans="1:26" ht="12" hidden="1" thickBot="1" x14ac:dyDescent="0.25">
      <c r="A354" s="671" t="s">
        <v>168</v>
      </c>
      <c r="B354" s="644" t="s">
        <v>168</v>
      </c>
      <c r="C354" s="645"/>
      <c r="D354" s="451" t="s">
        <v>248</v>
      </c>
      <c r="E354" s="423"/>
      <c r="F354" s="424">
        <v>180</v>
      </c>
      <c r="G354" s="425">
        <v>0</v>
      </c>
      <c r="H354" s="663">
        <f t="shared" ref="H354:H356" si="107">IF(F354&lt;=30,(1.07*F354+2.68)*G354,((1.07*30+2.68)+1.07*(F354-30))*G354)</f>
        <v>0</v>
      </c>
      <c r="I354" s="420">
        <v>0</v>
      </c>
      <c r="J354" s="420">
        <f>IF(ISBLANK(I354),"",SUM(H354:I354))</f>
        <v>0</v>
      </c>
      <c r="K354" s="421">
        <f t="shared" si="94"/>
        <v>0</v>
      </c>
      <c r="L354" s="647" t="s">
        <v>614</v>
      </c>
      <c r="M354" s="703"/>
      <c r="N354" s="576">
        <f t="shared" si="103"/>
        <v>0</v>
      </c>
      <c r="O354" s="577">
        <f t="shared" si="82"/>
        <v>0</v>
      </c>
      <c r="P354" s="578">
        <f t="shared" si="83"/>
        <v>0</v>
      </c>
      <c r="Q354" s="765"/>
      <c r="R354" s="703"/>
      <c r="S354" s="670"/>
      <c r="T354" s="577">
        <f t="shared" si="84"/>
        <v>0</v>
      </c>
      <c r="U354" s="578">
        <f t="shared" si="85"/>
        <v>0</v>
      </c>
      <c r="V354" s="579"/>
      <c r="W354" s="637" t="str">
        <f>IF(U353&gt;0,"xx",IF(P353&gt;0,"xy",""))</f>
        <v/>
      </c>
      <c r="X354" s="586" t="str">
        <f t="shared" ref="X354:X417" si="108">IF(W354="X","x",IF(W354="xx","x",IF(W354="xy","x",IF(W354="y","x",IF(OR(P354&gt;0,U354&gt;0),"x","")))))</f>
        <v/>
      </c>
      <c r="Y354" s="586" t="str">
        <f t="shared" si="102"/>
        <v/>
      </c>
      <c r="Z354" s="586" t="str">
        <f t="shared" si="106"/>
        <v/>
      </c>
    </row>
    <row r="355" spans="1:26" ht="12" hidden="1" thickBot="1" x14ac:dyDescent="0.25">
      <c r="A355" s="671" t="s">
        <v>168</v>
      </c>
      <c r="B355" s="644" t="s">
        <v>168</v>
      </c>
      <c r="C355" s="645"/>
      <c r="D355" s="451" t="s">
        <v>249</v>
      </c>
      <c r="E355" s="423"/>
      <c r="F355" s="424">
        <v>500</v>
      </c>
      <c r="G355" s="425">
        <v>1.4999999999999999E-2</v>
      </c>
      <c r="H355" s="649">
        <f>IF(F355&lt;=30,(0.78*F355+7.82)*G355,((0.78*30+7.82)+0.78*(F355-30))*G355)</f>
        <v>5.9673000000000007</v>
      </c>
      <c r="I355" s="420">
        <v>0</v>
      </c>
      <c r="J355" s="420"/>
      <c r="K355" s="421">
        <f t="shared" si="94"/>
        <v>0</v>
      </c>
      <c r="L355" s="647" t="s">
        <v>614</v>
      </c>
      <c r="M355" s="703"/>
      <c r="N355" s="576">
        <f t="shared" si="103"/>
        <v>0</v>
      </c>
      <c r="O355" s="577">
        <f t="shared" si="82"/>
        <v>0</v>
      </c>
      <c r="P355" s="578">
        <f t="shared" si="83"/>
        <v>0</v>
      </c>
      <c r="Q355" s="765"/>
      <c r="R355" s="703"/>
      <c r="S355" s="670"/>
      <c r="T355" s="577">
        <f t="shared" si="84"/>
        <v>0</v>
      </c>
      <c r="U355" s="578">
        <f t="shared" si="85"/>
        <v>0</v>
      </c>
      <c r="V355" s="579"/>
      <c r="W355" s="637" t="str">
        <f>IF(U353&gt;0,"xx",IF(P353&gt;0,"xy",""))</f>
        <v/>
      </c>
      <c r="X355" s="586" t="str">
        <f t="shared" si="108"/>
        <v/>
      </c>
      <c r="Y355" s="586" t="str">
        <f t="shared" si="102"/>
        <v/>
      </c>
      <c r="Z355" s="586" t="str">
        <f t="shared" si="106"/>
        <v/>
      </c>
    </row>
    <row r="356" spans="1:26" ht="12" hidden="1" thickBot="1" x14ac:dyDescent="0.25">
      <c r="A356" s="671" t="s">
        <v>168</v>
      </c>
      <c r="B356" s="644" t="s">
        <v>168</v>
      </c>
      <c r="C356" s="645"/>
      <c r="D356" s="451" t="s">
        <v>262</v>
      </c>
      <c r="E356" s="423"/>
      <c r="F356" s="424">
        <v>0.2</v>
      </c>
      <c r="G356" s="425">
        <v>0.94499999999999995</v>
      </c>
      <c r="H356" s="663">
        <f t="shared" si="107"/>
        <v>2.7348300000000001</v>
      </c>
      <c r="I356" s="420">
        <v>0</v>
      </c>
      <c r="J356" s="420"/>
      <c r="K356" s="421">
        <f t="shared" si="94"/>
        <v>0</v>
      </c>
      <c r="L356" s="647" t="s">
        <v>614</v>
      </c>
      <c r="M356" s="703"/>
      <c r="N356" s="576">
        <f t="shared" si="103"/>
        <v>0</v>
      </c>
      <c r="O356" s="577">
        <f t="shared" si="82"/>
        <v>0</v>
      </c>
      <c r="P356" s="578">
        <f t="shared" si="83"/>
        <v>0</v>
      </c>
      <c r="Q356" s="765"/>
      <c r="R356" s="703"/>
      <c r="S356" s="670"/>
      <c r="T356" s="577">
        <f t="shared" si="84"/>
        <v>0</v>
      </c>
      <c r="U356" s="578">
        <f t="shared" si="85"/>
        <v>0</v>
      </c>
      <c r="V356" s="579"/>
      <c r="W356" s="637" t="str">
        <f>IF(U353&gt;0,"xx",IF(P353&gt;0,"xy",""))</f>
        <v/>
      </c>
      <c r="X356" s="586" t="str">
        <f t="shared" si="108"/>
        <v/>
      </c>
      <c r="Y356" s="586" t="str">
        <f t="shared" si="102"/>
        <v/>
      </c>
      <c r="Z356" s="586" t="str">
        <f t="shared" si="106"/>
        <v/>
      </c>
    </row>
    <row r="357" spans="1:26" ht="12" hidden="1" thickBot="1" x14ac:dyDescent="0.25">
      <c r="A357" s="671" t="s">
        <v>168</v>
      </c>
      <c r="B357" s="644" t="s">
        <v>168</v>
      </c>
      <c r="C357" s="645"/>
      <c r="D357" s="451" t="s">
        <v>263</v>
      </c>
      <c r="E357" s="423"/>
      <c r="F357" s="424">
        <v>20</v>
      </c>
      <c r="G357" s="425">
        <v>1</v>
      </c>
      <c r="H357" s="651">
        <f>IF(F357&lt;=30,(1.07*F357+6.45)*G357,((1.07*30+6.45)+1.07*(F357-30))*G357)</f>
        <v>27.85</v>
      </c>
      <c r="I357" s="420">
        <v>0</v>
      </c>
      <c r="J357" s="420"/>
      <c r="K357" s="421">
        <f t="shared" si="94"/>
        <v>0</v>
      </c>
      <c r="L357" s="647" t="s">
        <v>614</v>
      </c>
      <c r="M357" s="703"/>
      <c r="N357" s="576">
        <f t="shared" si="103"/>
        <v>0</v>
      </c>
      <c r="O357" s="577">
        <f t="shared" si="82"/>
        <v>0</v>
      </c>
      <c r="P357" s="578">
        <f t="shared" si="83"/>
        <v>0</v>
      </c>
      <c r="Q357" s="765"/>
      <c r="R357" s="703"/>
      <c r="S357" s="670"/>
      <c r="T357" s="577">
        <f t="shared" si="84"/>
        <v>0</v>
      </c>
      <c r="U357" s="578">
        <f t="shared" si="85"/>
        <v>0</v>
      </c>
      <c r="V357" s="579"/>
      <c r="W357" s="637" t="str">
        <f>IF(U353&gt;0,"xx",IF(P353&gt;0,"xy",""))</f>
        <v/>
      </c>
      <c r="X357" s="586" t="str">
        <f t="shared" si="108"/>
        <v/>
      </c>
      <c r="Y357" s="586" t="str">
        <f t="shared" si="102"/>
        <v/>
      </c>
      <c r="Z357" s="586" t="str">
        <f t="shared" si="106"/>
        <v/>
      </c>
    </row>
    <row r="358" spans="1:26" ht="12" hidden="1" thickBot="1" x14ac:dyDescent="0.25">
      <c r="A358" s="671">
        <v>589000</v>
      </c>
      <c r="B358" s="707" t="s">
        <v>1777</v>
      </c>
      <c r="C358" s="554" t="s">
        <v>1746</v>
      </c>
      <c r="D358" s="477" t="s">
        <v>657</v>
      </c>
      <c r="E358" s="481"/>
      <c r="F358" s="486">
        <v>500</v>
      </c>
      <c r="G358" s="479">
        <v>1</v>
      </c>
      <c r="H358" s="663">
        <f>(0.94*F358+46.06)*G358</f>
        <v>516.05999999999995</v>
      </c>
      <c r="I358" s="472">
        <v>5725</v>
      </c>
      <c r="J358" s="472">
        <f>IF(ISBLANK(I358),"",I358*(1+$F$9)/(1+$F$10))+H358</f>
        <v>6070.962785960779</v>
      </c>
      <c r="K358" s="709">
        <f t="shared" si="94"/>
        <v>7212.91</v>
      </c>
      <c r="L358" s="561" t="s">
        <v>20</v>
      </c>
      <c r="M358" s="692">
        <f>ROUND(M353*G353,2)</f>
        <v>0</v>
      </c>
      <c r="N358" s="696">
        <f t="shared" si="103"/>
        <v>0</v>
      </c>
      <c r="O358" s="693">
        <f>IF(ISBLANK(M358),0,ROUND(K358*M358,2))</f>
        <v>0</v>
      </c>
      <c r="P358" s="694">
        <f>IF(ISBLANK(N358),0,ROUND(M358*N358,2))</f>
        <v>0</v>
      </c>
      <c r="Q358" s="765"/>
      <c r="R358" s="695">
        <f>ROUND(R353*G353,2)</f>
        <v>0</v>
      </c>
      <c r="S358" s="711">
        <f>N358</f>
        <v>0</v>
      </c>
      <c r="T358" s="693">
        <f t="shared" si="84"/>
        <v>0</v>
      </c>
      <c r="U358" s="694">
        <f t="shared" si="85"/>
        <v>0</v>
      </c>
      <c r="V358" s="579"/>
      <c r="W358" s="637" t="str">
        <f>IF(U353&gt;0,"xx",IF(P353&gt;0,"xy",""))</f>
        <v/>
      </c>
      <c r="X358" s="586" t="str">
        <f t="shared" si="108"/>
        <v/>
      </c>
      <c r="Y358" s="586" t="str">
        <f t="shared" si="102"/>
        <v/>
      </c>
      <c r="Z358" s="586" t="str">
        <f t="shared" si="106"/>
        <v/>
      </c>
    </row>
    <row r="359" spans="1:26" ht="12" hidden="1" thickBot="1" x14ac:dyDescent="0.25">
      <c r="A359" s="671">
        <v>570310</v>
      </c>
      <c r="B359" s="701" t="s">
        <v>1625</v>
      </c>
      <c r="C359" s="702" t="s">
        <v>206</v>
      </c>
      <c r="D359" s="485" t="s">
        <v>815</v>
      </c>
      <c r="E359" s="464"/>
      <c r="F359" s="465" t="s">
        <v>662</v>
      </c>
      <c r="G359" s="466">
        <v>0.04</v>
      </c>
      <c r="H359" s="681">
        <f>SUM(H360:H363)</f>
        <v>36.552130000000005</v>
      </c>
      <c r="I359" s="467">
        <v>168.63</v>
      </c>
      <c r="J359" s="467">
        <f>IF(ISBLANK(I359),"",SUM(H359:I359))</f>
        <v>205.18213</v>
      </c>
      <c r="K359" s="682">
        <f t="shared" si="94"/>
        <v>243.78</v>
      </c>
      <c r="L359" s="683" t="s">
        <v>20</v>
      </c>
      <c r="M359" s="685"/>
      <c r="N359" s="576">
        <f t="shared" si="103"/>
        <v>0</v>
      </c>
      <c r="O359" s="687">
        <f t="shared" si="82"/>
        <v>0</v>
      </c>
      <c r="P359" s="688">
        <f t="shared" si="83"/>
        <v>0</v>
      </c>
      <c r="Q359" s="765"/>
      <c r="R359" s="685">
        <f>M359</f>
        <v>0</v>
      </c>
      <c r="S359" s="686">
        <f>N359</f>
        <v>0</v>
      </c>
      <c r="T359" s="687">
        <f t="shared" si="84"/>
        <v>0</v>
      </c>
      <c r="U359" s="688">
        <f t="shared" si="85"/>
        <v>0</v>
      </c>
      <c r="V359" s="579"/>
      <c r="W359" s="566"/>
      <c r="X359" s="586" t="str">
        <f t="shared" si="108"/>
        <v/>
      </c>
      <c r="Y359" s="586" t="str">
        <f t="shared" si="102"/>
        <v/>
      </c>
      <c r="Z359" s="586" t="str">
        <f t="shared" si="106"/>
        <v/>
      </c>
    </row>
    <row r="360" spans="1:26" ht="12" hidden="1" thickBot="1" x14ac:dyDescent="0.25">
      <c r="A360" s="671" t="s">
        <v>168</v>
      </c>
      <c r="B360" s="644" t="s">
        <v>168</v>
      </c>
      <c r="C360" s="645"/>
      <c r="D360" s="451" t="s">
        <v>248</v>
      </c>
      <c r="E360" s="423"/>
      <c r="F360" s="424">
        <v>180</v>
      </c>
      <c r="G360" s="425">
        <v>0</v>
      </c>
      <c r="H360" s="663">
        <f t="shared" ref="H360:H362" si="109">IF(F360&lt;=30,(1.07*F360+2.68)*G360,((1.07*30+2.68)+1.07*(F360-30))*G360)</f>
        <v>0</v>
      </c>
      <c r="I360" s="420">
        <v>0</v>
      </c>
      <c r="J360" s="420">
        <f>IF(ISBLANK(I360),"",SUM(H360:I360))</f>
        <v>0</v>
      </c>
      <c r="K360" s="421">
        <f t="shared" si="94"/>
        <v>0</v>
      </c>
      <c r="L360" s="647" t="s">
        <v>614</v>
      </c>
      <c r="M360" s="703"/>
      <c r="N360" s="576">
        <f t="shared" si="103"/>
        <v>0</v>
      </c>
      <c r="O360" s="577">
        <f t="shared" si="82"/>
        <v>0</v>
      </c>
      <c r="P360" s="578">
        <f t="shared" si="83"/>
        <v>0</v>
      </c>
      <c r="Q360" s="765"/>
      <c r="R360" s="703"/>
      <c r="S360" s="670"/>
      <c r="T360" s="577">
        <f t="shared" si="84"/>
        <v>0</v>
      </c>
      <c r="U360" s="578">
        <f t="shared" si="85"/>
        <v>0</v>
      </c>
      <c r="V360" s="579"/>
      <c r="W360" s="637" t="str">
        <f>IF(U359&gt;0,"xx",IF(P359&gt;0,"xy",""))</f>
        <v/>
      </c>
      <c r="X360" s="586" t="str">
        <f t="shared" si="108"/>
        <v/>
      </c>
      <c r="Y360" s="586" t="str">
        <f t="shared" si="102"/>
        <v/>
      </c>
      <c r="Z360" s="586" t="str">
        <f t="shared" si="106"/>
        <v/>
      </c>
    </row>
    <row r="361" spans="1:26" ht="12" hidden="1" thickBot="1" x14ac:dyDescent="0.25">
      <c r="A361" s="671" t="s">
        <v>168</v>
      </c>
      <c r="B361" s="644" t="s">
        <v>168</v>
      </c>
      <c r="C361" s="645"/>
      <c r="D361" s="451" t="s">
        <v>249</v>
      </c>
      <c r="E361" s="423"/>
      <c r="F361" s="424">
        <v>500</v>
      </c>
      <c r="G361" s="425">
        <v>1.4999999999999999E-2</v>
      </c>
      <c r="H361" s="649">
        <f>IF(F361&lt;=30,(0.78*F361+7.82)*G361,((0.78*30+7.82)+0.78*(F361-30))*G361)</f>
        <v>5.9673000000000007</v>
      </c>
      <c r="I361" s="420">
        <v>0</v>
      </c>
      <c r="J361" s="420"/>
      <c r="K361" s="421">
        <f t="shared" si="94"/>
        <v>0</v>
      </c>
      <c r="L361" s="647" t="s">
        <v>614</v>
      </c>
      <c r="M361" s="703"/>
      <c r="N361" s="576">
        <f t="shared" si="103"/>
        <v>0</v>
      </c>
      <c r="O361" s="577">
        <f t="shared" si="82"/>
        <v>0</v>
      </c>
      <c r="P361" s="578">
        <f t="shared" si="83"/>
        <v>0</v>
      </c>
      <c r="Q361" s="765"/>
      <c r="R361" s="703"/>
      <c r="S361" s="670"/>
      <c r="T361" s="577">
        <f t="shared" si="84"/>
        <v>0</v>
      </c>
      <c r="U361" s="578">
        <f t="shared" si="85"/>
        <v>0</v>
      </c>
      <c r="V361" s="579"/>
      <c r="W361" s="637" t="str">
        <f>IF(U359&gt;0,"xx",IF(P359&gt;0,"xy",""))</f>
        <v/>
      </c>
      <c r="X361" s="586" t="str">
        <f t="shared" si="108"/>
        <v/>
      </c>
      <c r="Y361" s="586" t="str">
        <f t="shared" si="102"/>
        <v/>
      </c>
      <c r="Z361" s="586" t="str">
        <f t="shared" si="106"/>
        <v/>
      </c>
    </row>
    <row r="362" spans="1:26" ht="12" hidden="1" thickBot="1" x14ac:dyDescent="0.25">
      <c r="A362" s="671" t="s">
        <v>168</v>
      </c>
      <c r="B362" s="644" t="s">
        <v>168</v>
      </c>
      <c r="C362" s="645"/>
      <c r="D362" s="451" t="s">
        <v>262</v>
      </c>
      <c r="E362" s="423"/>
      <c r="F362" s="424">
        <v>0.2</v>
      </c>
      <c r="G362" s="425">
        <v>0.94499999999999995</v>
      </c>
      <c r="H362" s="663">
        <f t="shared" si="109"/>
        <v>2.7348300000000001</v>
      </c>
      <c r="I362" s="420">
        <v>0</v>
      </c>
      <c r="J362" s="420"/>
      <c r="K362" s="421">
        <f t="shared" si="94"/>
        <v>0</v>
      </c>
      <c r="L362" s="647" t="s">
        <v>614</v>
      </c>
      <c r="M362" s="703"/>
      <c r="N362" s="576">
        <f t="shared" si="103"/>
        <v>0</v>
      </c>
      <c r="O362" s="577">
        <f t="shared" si="82"/>
        <v>0</v>
      </c>
      <c r="P362" s="578">
        <f t="shared" si="83"/>
        <v>0</v>
      </c>
      <c r="Q362" s="765"/>
      <c r="R362" s="703"/>
      <c r="S362" s="670"/>
      <c r="T362" s="577">
        <f t="shared" si="84"/>
        <v>0</v>
      </c>
      <c r="U362" s="578">
        <f t="shared" si="85"/>
        <v>0</v>
      </c>
      <c r="V362" s="579"/>
      <c r="W362" s="637" t="str">
        <f>IF(U359&gt;0,"xx",IF(P359&gt;0,"xy",""))</f>
        <v/>
      </c>
      <c r="X362" s="586" t="str">
        <f t="shared" si="108"/>
        <v/>
      </c>
      <c r="Y362" s="586" t="str">
        <f t="shared" si="102"/>
        <v/>
      </c>
      <c r="Z362" s="586" t="str">
        <f t="shared" si="106"/>
        <v/>
      </c>
    </row>
    <row r="363" spans="1:26" ht="12" hidden="1" thickBot="1" x14ac:dyDescent="0.25">
      <c r="A363" s="671" t="s">
        <v>168</v>
      </c>
      <c r="B363" s="644" t="s">
        <v>168</v>
      </c>
      <c r="C363" s="645"/>
      <c r="D363" s="451" t="s">
        <v>263</v>
      </c>
      <c r="E363" s="423"/>
      <c r="F363" s="424">
        <v>20</v>
      </c>
      <c r="G363" s="425">
        <f>SUM(G359:G362)</f>
        <v>1</v>
      </c>
      <c r="H363" s="651">
        <f>IF(F363&lt;=30,(1.07*F363+6.45)*G363,((1.07*30+6.45)+1.07*(F363-30))*G363)</f>
        <v>27.85</v>
      </c>
      <c r="I363" s="420">
        <v>0</v>
      </c>
      <c r="J363" s="420"/>
      <c r="K363" s="421">
        <f t="shared" si="94"/>
        <v>0</v>
      </c>
      <c r="L363" s="647" t="s">
        <v>614</v>
      </c>
      <c r="M363" s="703"/>
      <c r="N363" s="576">
        <f t="shared" si="103"/>
        <v>0</v>
      </c>
      <c r="O363" s="577">
        <f t="shared" si="82"/>
        <v>0</v>
      </c>
      <c r="P363" s="578">
        <f t="shared" si="83"/>
        <v>0</v>
      </c>
      <c r="Q363" s="765"/>
      <c r="R363" s="703"/>
      <c r="S363" s="670"/>
      <c r="T363" s="577">
        <f t="shared" si="84"/>
        <v>0</v>
      </c>
      <c r="U363" s="578">
        <f t="shared" si="85"/>
        <v>0</v>
      </c>
      <c r="V363" s="579"/>
      <c r="W363" s="637" t="str">
        <f>IF(U359&gt;0,"xx",IF(P359&gt;0,"xy",""))</f>
        <v/>
      </c>
      <c r="X363" s="586" t="str">
        <f t="shared" si="108"/>
        <v/>
      </c>
      <c r="Y363" s="586" t="str">
        <f t="shared" si="102"/>
        <v/>
      </c>
      <c r="Z363" s="586" t="str">
        <f t="shared" si="106"/>
        <v/>
      </c>
    </row>
    <row r="364" spans="1:26" ht="12" hidden="1" thickBot="1" x14ac:dyDescent="0.25">
      <c r="A364" s="671">
        <v>589000</v>
      </c>
      <c r="B364" s="704" t="s">
        <v>1778</v>
      </c>
      <c r="C364" s="689" t="s">
        <v>1746</v>
      </c>
      <c r="D364" s="477" t="s">
        <v>658</v>
      </c>
      <c r="E364" s="470"/>
      <c r="F364" s="486">
        <v>500</v>
      </c>
      <c r="G364" s="479">
        <v>1</v>
      </c>
      <c r="H364" s="663">
        <f>(0.94*F364+46.06)*G364</f>
        <v>516.05999999999995</v>
      </c>
      <c r="I364" s="472">
        <v>5725</v>
      </c>
      <c r="J364" s="472">
        <f>IF(ISBLANK(I364),"",I364*(1+$F$9)/(1+$F$10))+H364</f>
        <v>6070.962785960779</v>
      </c>
      <c r="K364" s="690">
        <f t="shared" si="94"/>
        <v>7212.91</v>
      </c>
      <c r="L364" s="691" t="s">
        <v>20</v>
      </c>
      <c r="M364" s="692">
        <f>ROUND(M359*G359,2)</f>
        <v>0</v>
      </c>
      <c r="N364" s="588">
        <f t="shared" si="103"/>
        <v>0</v>
      </c>
      <c r="O364" s="693">
        <f>IF(ISBLANK(M364),0,ROUND(K364*M364,2))</f>
        <v>0</v>
      </c>
      <c r="P364" s="694">
        <f>IF(ISBLANK(N364),0,ROUND(M364*N364,2))</f>
        <v>0</v>
      </c>
      <c r="Q364" s="765"/>
      <c r="R364" s="695">
        <f>ROUND(R359*G359,2)</f>
        <v>0</v>
      </c>
      <c r="S364" s="711">
        <f>N364</f>
        <v>0</v>
      </c>
      <c r="T364" s="693">
        <f t="shared" ref="T364:T427" si="110">IF(ISBLANK(R364),0,ROUND(K364*R364,2))</f>
        <v>0</v>
      </c>
      <c r="U364" s="694">
        <f t="shared" ref="U364:U427" si="111">IF(ISBLANK(R364),0,ROUND(R364*S364,2))</f>
        <v>0</v>
      </c>
      <c r="V364" s="579"/>
      <c r="W364" s="637" t="str">
        <f>IF(U359&gt;0,"xx",IF(P359&gt;0,"xy",""))</f>
        <v/>
      </c>
      <c r="X364" s="586" t="str">
        <f t="shared" si="108"/>
        <v/>
      </c>
      <c r="Y364" s="586" t="str">
        <f t="shared" si="102"/>
        <v/>
      </c>
      <c r="Z364" s="586" t="str">
        <f t="shared" si="106"/>
        <v/>
      </c>
    </row>
    <row r="365" spans="1:26" ht="12" hidden="1" thickBot="1" x14ac:dyDescent="0.25">
      <c r="A365" s="671">
        <v>570140</v>
      </c>
      <c r="B365" s="701">
        <v>570140</v>
      </c>
      <c r="C365" s="702" t="s">
        <v>206</v>
      </c>
      <c r="D365" s="485" t="s">
        <v>671</v>
      </c>
      <c r="E365" s="464"/>
      <c r="F365" s="465" t="s">
        <v>662</v>
      </c>
      <c r="G365" s="466">
        <v>0.05</v>
      </c>
      <c r="H365" s="681">
        <f>SUM(H366:H369)</f>
        <v>55.975445399999998</v>
      </c>
      <c r="I365" s="467">
        <v>287.22000000000003</v>
      </c>
      <c r="J365" s="467">
        <f>IF(ISBLANK(I365),"",SUM(H365:I365))</f>
        <v>343.19544540000004</v>
      </c>
      <c r="K365" s="682">
        <f t="shared" si="94"/>
        <v>407.75</v>
      </c>
      <c r="L365" s="683" t="s">
        <v>20</v>
      </c>
      <c r="M365" s="685"/>
      <c r="N365" s="686">
        <f t="shared" si="103"/>
        <v>0</v>
      </c>
      <c r="O365" s="687">
        <f t="shared" ref="O365:O428" si="112">IF(ISBLANK(M365),0,ROUND(K365*M365,2))</f>
        <v>0</v>
      </c>
      <c r="P365" s="688">
        <f t="shared" ref="P365:P428" si="113">IF(ISBLANK(N365),0,ROUND(M365*N365,2))</f>
        <v>0</v>
      </c>
      <c r="Q365" s="765"/>
      <c r="R365" s="685">
        <f>M365</f>
        <v>0</v>
      </c>
      <c r="S365" s="686">
        <f>N365</f>
        <v>0</v>
      </c>
      <c r="T365" s="687">
        <f t="shared" si="110"/>
        <v>0</v>
      </c>
      <c r="U365" s="688">
        <f t="shared" si="111"/>
        <v>0</v>
      </c>
      <c r="V365" s="579"/>
      <c r="W365" s="566"/>
      <c r="X365" s="586" t="str">
        <f t="shared" si="108"/>
        <v/>
      </c>
      <c r="Y365" s="586" t="str">
        <f t="shared" si="102"/>
        <v/>
      </c>
      <c r="Z365" s="586" t="str">
        <f t="shared" si="106"/>
        <v/>
      </c>
    </row>
    <row r="366" spans="1:26" ht="12" hidden="1" thickBot="1" x14ac:dyDescent="0.25">
      <c r="A366" s="671" t="s">
        <v>168</v>
      </c>
      <c r="B366" s="644" t="s">
        <v>168</v>
      </c>
      <c r="C366" s="645"/>
      <c r="D366" s="451" t="s">
        <v>248</v>
      </c>
      <c r="E366" s="423"/>
      <c r="F366" s="424">
        <v>180</v>
      </c>
      <c r="G366" s="425">
        <v>0.1007</v>
      </c>
      <c r="H366" s="663">
        <f t="shared" ref="H366:H368" si="114">IF(F366&lt;=30,(1.07*F366+2.68)*G366,((1.07*30+2.68)+1.07*(F366-30))*G366)</f>
        <v>19.664695999999999</v>
      </c>
      <c r="I366" s="420">
        <v>0</v>
      </c>
      <c r="J366" s="420"/>
      <c r="K366" s="421">
        <f t="shared" si="94"/>
        <v>0</v>
      </c>
      <c r="L366" s="668" t="s">
        <v>614</v>
      </c>
      <c r="M366" s="703"/>
      <c r="N366" s="576">
        <f t="shared" si="103"/>
        <v>0</v>
      </c>
      <c r="O366" s="577">
        <f t="shared" si="112"/>
        <v>0</v>
      </c>
      <c r="P366" s="578">
        <f t="shared" si="113"/>
        <v>0</v>
      </c>
      <c r="Q366" s="765"/>
      <c r="R366" s="703"/>
      <c r="S366" s="670"/>
      <c r="T366" s="577">
        <f t="shared" si="110"/>
        <v>0</v>
      </c>
      <c r="U366" s="578">
        <f t="shared" si="111"/>
        <v>0</v>
      </c>
      <c r="V366" s="579"/>
      <c r="W366" s="637" t="str">
        <f>IF(U365&gt;0,"xx",IF(P365&gt;0,"xy",""))</f>
        <v/>
      </c>
      <c r="X366" s="586" t="str">
        <f t="shared" si="108"/>
        <v/>
      </c>
      <c r="Y366" s="586" t="str">
        <f t="shared" si="102"/>
        <v/>
      </c>
      <c r="Z366" s="586" t="str">
        <f t="shared" si="106"/>
        <v/>
      </c>
    </row>
    <row r="367" spans="1:26" ht="12" hidden="1" thickBot="1" x14ac:dyDescent="0.25">
      <c r="A367" s="671" t="s">
        <v>168</v>
      </c>
      <c r="B367" s="644" t="s">
        <v>168</v>
      </c>
      <c r="C367" s="645"/>
      <c r="D367" s="451" t="s">
        <v>249</v>
      </c>
      <c r="E367" s="423"/>
      <c r="F367" s="424">
        <v>500</v>
      </c>
      <c r="G367" s="425">
        <v>1.52E-2</v>
      </c>
      <c r="H367" s="649">
        <f>IF(F367&lt;=30,(0.78*F367+7.82)*G367,((0.78*30+7.82)+0.78*(F367-30))*G367)</f>
        <v>6.0468640000000011</v>
      </c>
      <c r="I367" s="420">
        <v>0</v>
      </c>
      <c r="J367" s="420"/>
      <c r="K367" s="421">
        <f t="shared" si="94"/>
        <v>0</v>
      </c>
      <c r="L367" s="668" t="s">
        <v>614</v>
      </c>
      <c r="M367" s="703"/>
      <c r="N367" s="576">
        <f t="shared" si="103"/>
        <v>0</v>
      </c>
      <c r="O367" s="577">
        <f t="shared" si="112"/>
        <v>0</v>
      </c>
      <c r="P367" s="578">
        <f t="shared" si="113"/>
        <v>0</v>
      </c>
      <c r="Q367" s="765"/>
      <c r="R367" s="703"/>
      <c r="S367" s="670"/>
      <c r="T367" s="577">
        <f t="shared" si="110"/>
        <v>0</v>
      </c>
      <c r="U367" s="578">
        <f t="shared" si="111"/>
        <v>0</v>
      </c>
      <c r="V367" s="579"/>
      <c r="W367" s="637" t="str">
        <f>IF(U365&gt;0,"xx",IF(P365&gt;0,"xy",""))</f>
        <v/>
      </c>
      <c r="X367" s="586" t="str">
        <f t="shared" si="108"/>
        <v/>
      </c>
      <c r="Y367" s="586" t="str">
        <f t="shared" si="102"/>
        <v/>
      </c>
      <c r="Z367" s="586" t="str">
        <f t="shared" si="106"/>
        <v/>
      </c>
    </row>
    <row r="368" spans="1:26" ht="12" hidden="1" thickBot="1" x14ac:dyDescent="0.25">
      <c r="A368" s="671" t="s">
        <v>168</v>
      </c>
      <c r="B368" s="644" t="s">
        <v>168</v>
      </c>
      <c r="C368" s="645"/>
      <c r="D368" s="451" t="s">
        <v>262</v>
      </c>
      <c r="E368" s="423"/>
      <c r="F368" s="424">
        <v>0.2</v>
      </c>
      <c r="G368" s="425">
        <v>0.83409999999999995</v>
      </c>
      <c r="H368" s="663">
        <f t="shared" si="114"/>
        <v>2.4138853999999998</v>
      </c>
      <c r="I368" s="420">
        <v>0</v>
      </c>
      <c r="J368" s="420"/>
      <c r="K368" s="421">
        <f t="shared" si="94"/>
        <v>0</v>
      </c>
      <c r="L368" s="668" t="s">
        <v>614</v>
      </c>
      <c r="M368" s="703"/>
      <c r="N368" s="576">
        <f t="shared" si="103"/>
        <v>0</v>
      </c>
      <c r="O368" s="577">
        <f t="shared" si="112"/>
        <v>0</v>
      </c>
      <c r="P368" s="578">
        <f t="shared" si="113"/>
        <v>0</v>
      </c>
      <c r="Q368" s="765"/>
      <c r="R368" s="703"/>
      <c r="S368" s="670"/>
      <c r="T368" s="577">
        <f t="shared" si="110"/>
        <v>0</v>
      </c>
      <c r="U368" s="578">
        <f t="shared" si="111"/>
        <v>0</v>
      </c>
      <c r="V368" s="579"/>
      <c r="W368" s="637" t="str">
        <f>IF(U365&gt;0,"xx",IF(P365&gt;0,"xy",""))</f>
        <v/>
      </c>
      <c r="X368" s="586" t="str">
        <f t="shared" si="108"/>
        <v/>
      </c>
      <c r="Y368" s="586" t="str">
        <f t="shared" si="102"/>
        <v/>
      </c>
      <c r="Z368" s="586" t="str">
        <f t="shared" si="106"/>
        <v/>
      </c>
    </row>
    <row r="369" spans="1:26" ht="12" hidden="1" thickBot="1" x14ac:dyDescent="0.25">
      <c r="A369" s="671" t="s">
        <v>168</v>
      </c>
      <c r="B369" s="644" t="s">
        <v>168</v>
      </c>
      <c r="C369" s="645"/>
      <c r="D369" s="451" t="s">
        <v>263</v>
      </c>
      <c r="E369" s="423"/>
      <c r="F369" s="424">
        <v>20</v>
      </c>
      <c r="G369" s="425">
        <f>SUM(G365:G368)</f>
        <v>1</v>
      </c>
      <c r="H369" s="651">
        <f>IF(F369&lt;=30,(1.07*F369+6.45)*G369,((1.07*30+6.45)+1.07*(F369-30))*G369)</f>
        <v>27.85</v>
      </c>
      <c r="I369" s="420">
        <v>0</v>
      </c>
      <c r="J369" s="420"/>
      <c r="K369" s="421">
        <f t="shared" si="94"/>
        <v>0</v>
      </c>
      <c r="L369" s="668" t="s">
        <v>614</v>
      </c>
      <c r="M369" s="703"/>
      <c r="N369" s="576">
        <f t="shared" si="103"/>
        <v>0</v>
      </c>
      <c r="O369" s="577">
        <f t="shared" si="112"/>
        <v>0</v>
      </c>
      <c r="P369" s="578">
        <f t="shared" si="113"/>
        <v>0</v>
      </c>
      <c r="Q369" s="765"/>
      <c r="R369" s="703"/>
      <c r="S369" s="670"/>
      <c r="T369" s="577">
        <f t="shared" si="110"/>
        <v>0</v>
      </c>
      <c r="U369" s="578">
        <f t="shared" si="111"/>
        <v>0</v>
      </c>
      <c r="V369" s="579"/>
      <c r="W369" s="637" t="str">
        <f>IF(U365&gt;0,"xx",IF(P365&gt;0,"xy",""))</f>
        <v/>
      </c>
      <c r="X369" s="586" t="str">
        <f t="shared" si="108"/>
        <v/>
      </c>
      <c r="Y369" s="586" t="str">
        <f t="shared" si="102"/>
        <v/>
      </c>
      <c r="Z369" s="586" t="str">
        <f t="shared" si="106"/>
        <v/>
      </c>
    </row>
    <row r="370" spans="1:26" ht="12" hidden="1" thickBot="1" x14ac:dyDescent="0.25">
      <c r="A370" s="671">
        <v>589000</v>
      </c>
      <c r="B370" s="704" t="s">
        <v>1779</v>
      </c>
      <c r="C370" s="689" t="s">
        <v>1746</v>
      </c>
      <c r="D370" s="477" t="s">
        <v>659</v>
      </c>
      <c r="E370" s="470"/>
      <c r="F370" s="478">
        <v>500</v>
      </c>
      <c r="G370" s="479">
        <v>1</v>
      </c>
      <c r="H370" s="663">
        <f>(0.94*F370+46.06)*G370</f>
        <v>516.05999999999995</v>
      </c>
      <c r="I370" s="472">
        <v>5725</v>
      </c>
      <c r="J370" s="472">
        <f>IF(ISBLANK(I370),"",I370*(1+$F$9)/(1+$F$10))+H370</f>
        <v>6070.962785960779</v>
      </c>
      <c r="K370" s="690">
        <f t="shared" si="94"/>
        <v>7212.91</v>
      </c>
      <c r="L370" s="691" t="s">
        <v>20</v>
      </c>
      <c r="M370" s="692">
        <f>ROUND(M365*G365,2)</f>
        <v>0</v>
      </c>
      <c r="N370" s="696">
        <f t="shared" si="103"/>
        <v>0</v>
      </c>
      <c r="O370" s="693">
        <f t="shared" si="112"/>
        <v>0</v>
      </c>
      <c r="P370" s="694">
        <f t="shared" si="113"/>
        <v>0</v>
      </c>
      <c r="Q370" s="765"/>
      <c r="R370" s="695">
        <f>ROUND(R365*G365,2)</f>
        <v>0</v>
      </c>
      <c r="S370" s="711">
        <f>N370</f>
        <v>0</v>
      </c>
      <c r="T370" s="693">
        <f t="shared" si="110"/>
        <v>0</v>
      </c>
      <c r="U370" s="694">
        <f t="shared" si="111"/>
        <v>0</v>
      </c>
      <c r="V370" s="579"/>
      <c r="W370" s="637" t="str">
        <f>IF(U365&gt;0,"xx",IF(P365&gt;0,"xy",""))</f>
        <v/>
      </c>
      <c r="X370" s="586" t="str">
        <f t="shared" si="108"/>
        <v/>
      </c>
      <c r="Y370" s="586" t="str">
        <f t="shared" si="102"/>
        <v/>
      </c>
      <c r="Z370" s="586" t="str">
        <f t="shared" si="106"/>
        <v/>
      </c>
    </row>
    <row r="371" spans="1:26" ht="12" hidden="1" thickBot="1" x14ac:dyDescent="0.25">
      <c r="A371" s="671">
        <v>570170</v>
      </c>
      <c r="B371" s="701">
        <v>570170</v>
      </c>
      <c r="C371" s="702" t="s">
        <v>206</v>
      </c>
      <c r="D371" s="485" t="s">
        <v>2068</v>
      </c>
      <c r="E371" s="464"/>
      <c r="F371" s="465" t="s">
        <v>662</v>
      </c>
      <c r="G371" s="466">
        <v>0.05</v>
      </c>
      <c r="H371" s="681">
        <f>SUM(H372:H375)</f>
        <v>55.975445399999998</v>
      </c>
      <c r="I371" s="467">
        <v>223.8</v>
      </c>
      <c r="J371" s="467">
        <f>IF(ISBLANK(I371),"",SUM(H371:I371))</f>
        <v>279.77544540000002</v>
      </c>
      <c r="K371" s="682">
        <f t="shared" si="94"/>
        <v>332.4</v>
      </c>
      <c r="L371" s="683" t="s">
        <v>20</v>
      </c>
      <c r="M371" s="685"/>
      <c r="N371" s="576">
        <f t="shared" si="103"/>
        <v>0</v>
      </c>
      <c r="O371" s="687">
        <f t="shared" si="112"/>
        <v>0</v>
      </c>
      <c r="P371" s="688">
        <f t="shared" si="113"/>
        <v>0</v>
      </c>
      <c r="Q371" s="765"/>
      <c r="R371" s="685">
        <f>M371</f>
        <v>0</v>
      </c>
      <c r="S371" s="686">
        <f>N371</f>
        <v>0</v>
      </c>
      <c r="T371" s="687">
        <f t="shared" si="110"/>
        <v>0</v>
      </c>
      <c r="U371" s="688">
        <f t="shared" si="111"/>
        <v>0</v>
      </c>
      <c r="V371" s="579"/>
      <c r="W371" s="566"/>
      <c r="X371" s="586" t="str">
        <f t="shared" si="108"/>
        <v/>
      </c>
      <c r="Y371" s="586" t="str">
        <f t="shared" si="102"/>
        <v/>
      </c>
      <c r="Z371" s="586" t="str">
        <f t="shared" si="106"/>
        <v/>
      </c>
    </row>
    <row r="372" spans="1:26" ht="12" hidden="1" thickBot="1" x14ac:dyDescent="0.25">
      <c r="A372" s="671" t="s">
        <v>168</v>
      </c>
      <c r="B372" s="644" t="s">
        <v>168</v>
      </c>
      <c r="C372" s="645"/>
      <c r="D372" s="451" t="s">
        <v>248</v>
      </c>
      <c r="E372" s="423"/>
      <c r="F372" s="424">
        <v>180</v>
      </c>
      <c r="G372" s="425">
        <v>0.1007</v>
      </c>
      <c r="H372" s="663">
        <f t="shared" ref="H372:H374" si="115">IF(F372&lt;=30,(1.07*F372+2.68)*G372,((1.07*30+2.68)+1.07*(F372-30))*G372)</f>
        <v>19.664695999999999</v>
      </c>
      <c r="I372" s="420">
        <v>0</v>
      </c>
      <c r="J372" s="420"/>
      <c r="K372" s="421">
        <f t="shared" si="94"/>
        <v>0</v>
      </c>
      <c r="L372" s="668" t="s">
        <v>614</v>
      </c>
      <c r="M372" s="703"/>
      <c r="N372" s="576">
        <f t="shared" si="103"/>
        <v>0</v>
      </c>
      <c r="O372" s="577">
        <f t="shared" si="112"/>
        <v>0</v>
      </c>
      <c r="P372" s="578">
        <f t="shared" si="113"/>
        <v>0</v>
      </c>
      <c r="Q372" s="765"/>
      <c r="R372" s="703"/>
      <c r="S372" s="670"/>
      <c r="T372" s="577">
        <f t="shared" si="110"/>
        <v>0</v>
      </c>
      <c r="U372" s="578">
        <f t="shared" si="111"/>
        <v>0</v>
      </c>
      <c r="V372" s="579"/>
      <c r="W372" s="637" t="str">
        <f>IF(U371&gt;0,"xx",IF(P371&gt;0,"xy",""))</f>
        <v/>
      </c>
      <c r="X372" s="586" t="str">
        <f t="shared" si="108"/>
        <v/>
      </c>
      <c r="Y372" s="586" t="str">
        <f t="shared" si="102"/>
        <v/>
      </c>
      <c r="Z372" s="586" t="str">
        <f t="shared" si="106"/>
        <v/>
      </c>
    </row>
    <row r="373" spans="1:26" ht="12" hidden="1" thickBot="1" x14ac:dyDescent="0.25">
      <c r="A373" s="671" t="s">
        <v>168</v>
      </c>
      <c r="B373" s="644" t="s">
        <v>168</v>
      </c>
      <c r="C373" s="645"/>
      <c r="D373" s="451" t="s">
        <v>249</v>
      </c>
      <c r="E373" s="423"/>
      <c r="F373" s="424">
        <v>500</v>
      </c>
      <c r="G373" s="425">
        <v>1.52E-2</v>
      </c>
      <c r="H373" s="649">
        <f>IF(F373&lt;=30,(0.78*F373+7.82)*G373,((0.78*30+7.82)+0.78*(F373-30))*G373)</f>
        <v>6.0468640000000011</v>
      </c>
      <c r="I373" s="420">
        <v>0</v>
      </c>
      <c r="J373" s="420"/>
      <c r="K373" s="421">
        <f t="shared" si="94"/>
        <v>0</v>
      </c>
      <c r="L373" s="668" t="s">
        <v>614</v>
      </c>
      <c r="M373" s="703"/>
      <c r="N373" s="576">
        <f t="shared" si="103"/>
        <v>0</v>
      </c>
      <c r="O373" s="577">
        <f t="shared" si="112"/>
        <v>0</v>
      </c>
      <c r="P373" s="578">
        <f t="shared" si="113"/>
        <v>0</v>
      </c>
      <c r="Q373" s="765"/>
      <c r="R373" s="703"/>
      <c r="S373" s="670"/>
      <c r="T373" s="577">
        <f t="shared" si="110"/>
        <v>0</v>
      </c>
      <c r="U373" s="578">
        <f t="shared" si="111"/>
        <v>0</v>
      </c>
      <c r="V373" s="579"/>
      <c r="W373" s="637" t="str">
        <f>IF(U371&gt;0,"xx",IF(P371&gt;0,"xy",""))</f>
        <v/>
      </c>
      <c r="X373" s="586" t="str">
        <f t="shared" si="108"/>
        <v/>
      </c>
      <c r="Y373" s="586" t="str">
        <f t="shared" si="102"/>
        <v/>
      </c>
      <c r="Z373" s="586" t="str">
        <f t="shared" si="106"/>
        <v/>
      </c>
    </row>
    <row r="374" spans="1:26" ht="12" hidden="1" thickBot="1" x14ac:dyDescent="0.25">
      <c r="A374" s="671" t="s">
        <v>168</v>
      </c>
      <c r="B374" s="644" t="s">
        <v>168</v>
      </c>
      <c r="C374" s="645"/>
      <c r="D374" s="451" t="s">
        <v>262</v>
      </c>
      <c r="E374" s="423"/>
      <c r="F374" s="424">
        <v>0.2</v>
      </c>
      <c r="G374" s="425">
        <v>0.83409999999999995</v>
      </c>
      <c r="H374" s="663">
        <f t="shared" si="115"/>
        <v>2.4138853999999998</v>
      </c>
      <c r="I374" s="420">
        <v>0</v>
      </c>
      <c r="J374" s="420"/>
      <c r="K374" s="421">
        <f t="shared" si="94"/>
        <v>0</v>
      </c>
      <c r="L374" s="668" t="s">
        <v>614</v>
      </c>
      <c r="M374" s="703"/>
      <c r="N374" s="576">
        <f t="shared" si="103"/>
        <v>0</v>
      </c>
      <c r="O374" s="577">
        <f t="shared" si="112"/>
        <v>0</v>
      </c>
      <c r="P374" s="578">
        <f t="shared" si="113"/>
        <v>0</v>
      </c>
      <c r="Q374" s="765"/>
      <c r="R374" s="703"/>
      <c r="S374" s="670"/>
      <c r="T374" s="577">
        <f t="shared" si="110"/>
        <v>0</v>
      </c>
      <c r="U374" s="578">
        <f t="shared" si="111"/>
        <v>0</v>
      </c>
      <c r="V374" s="579"/>
      <c r="W374" s="637" t="str">
        <f>IF(U371&gt;0,"xx",IF(P371&gt;0,"xy",""))</f>
        <v/>
      </c>
      <c r="X374" s="586" t="str">
        <f t="shared" si="108"/>
        <v/>
      </c>
      <c r="Y374" s="586" t="str">
        <f t="shared" si="102"/>
        <v/>
      </c>
      <c r="Z374" s="586" t="str">
        <f t="shared" si="106"/>
        <v/>
      </c>
    </row>
    <row r="375" spans="1:26" ht="12" hidden="1" thickBot="1" x14ac:dyDescent="0.25">
      <c r="A375" s="671" t="s">
        <v>168</v>
      </c>
      <c r="B375" s="644" t="s">
        <v>168</v>
      </c>
      <c r="C375" s="645"/>
      <c r="D375" s="451" t="s">
        <v>263</v>
      </c>
      <c r="E375" s="423"/>
      <c r="F375" s="424">
        <v>20</v>
      </c>
      <c r="G375" s="425">
        <f>SUM(G371:G374)</f>
        <v>1</v>
      </c>
      <c r="H375" s="651">
        <f>IF(F375&lt;=30,(1.07*F375+6.45)*G375,((1.07*30+6.45)+1.07*(F375-30))*G375)</f>
        <v>27.85</v>
      </c>
      <c r="I375" s="420">
        <v>0</v>
      </c>
      <c r="J375" s="420"/>
      <c r="K375" s="421">
        <f t="shared" si="94"/>
        <v>0</v>
      </c>
      <c r="L375" s="668" t="s">
        <v>614</v>
      </c>
      <c r="M375" s="703"/>
      <c r="N375" s="576">
        <f t="shared" si="103"/>
        <v>0</v>
      </c>
      <c r="O375" s="577">
        <f t="shared" si="112"/>
        <v>0</v>
      </c>
      <c r="P375" s="578">
        <f t="shared" si="113"/>
        <v>0</v>
      </c>
      <c r="Q375" s="765"/>
      <c r="R375" s="703"/>
      <c r="S375" s="670"/>
      <c r="T375" s="577">
        <f t="shared" si="110"/>
        <v>0</v>
      </c>
      <c r="U375" s="578">
        <f t="shared" si="111"/>
        <v>0</v>
      </c>
      <c r="V375" s="579"/>
      <c r="W375" s="637" t="str">
        <f>IF(U371&gt;0,"xx",IF(P371&gt;0,"xy",""))</f>
        <v/>
      </c>
      <c r="X375" s="586" t="str">
        <f t="shared" si="108"/>
        <v/>
      </c>
      <c r="Y375" s="586" t="str">
        <f t="shared" si="102"/>
        <v/>
      </c>
      <c r="Z375" s="586" t="str">
        <f t="shared" si="106"/>
        <v/>
      </c>
    </row>
    <row r="376" spans="1:26" ht="12" hidden="1" thickBot="1" x14ac:dyDescent="0.25">
      <c r="A376" s="671">
        <v>589000</v>
      </c>
      <c r="B376" s="704" t="s">
        <v>1780</v>
      </c>
      <c r="C376" s="689" t="s">
        <v>1746</v>
      </c>
      <c r="D376" s="477" t="s">
        <v>659</v>
      </c>
      <c r="E376" s="470"/>
      <c r="F376" s="478">
        <v>500</v>
      </c>
      <c r="G376" s="479">
        <v>1</v>
      </c>
      <c r="H376" s="663">
        <f>(0.94*F376+46.06)*G376</f>
        <v>516.05999999999995</v>
      </c>
      <c r="I376" s="472">
        <v>5725</v>
      </c>
      <c r="J376" s="472">
        <f>IF(ISBLANK(I376),"",I376*(1+$F$9)/(1+$F$10))+H376</f>
        <v>6070.962785960779</v>
      </c>
      <c r="K376" s="690">
        <f t="shared" si="94"/>
        <v>7212.91</v>
      </c>
      <c r="L376" s="691" t="s">
        <v>20</v>
      </c>
      <c r="M376" s="692">
        <f>ROUND(M371*G371,2)</f>
        <v>0</v>
      </c>
      <c r="N376" s="588">
        <f t="shared" si="103"/>
        <v>0</v>
      </c>
      <c r="O376" s="693">
        <f t="shared" si="112"/>
        <v>0</v>
      </c>
      <c r="P376" s="694">
        <f t="shared" si="113"/>
        <v>0</v>
      </c>
      <c r="Q376" s="765"/>
      <c r="R376" s="695">
        <f>ROUND(R371*G371,2)</f>
        <v>0</v>
      </c>
      <c r="S376" s="711">
        <f>N376</f>
        <v>0</v>
      </c>
      <c r="T376" s="693">
        <f t="shared" si="110"/>
        <v>0</v>
      </c>
      <c r="U376" s="694">
        <f t="shared" si="111"/>
        <v>0</v>
      </c>
      <c r="V376" s="579"/>
      <c r="W376" s="637" t="str">
        <f>IF(U371&gt;0,"xx",IF(P371&gt;0,"xy",""))</f>
        <v/>
      </c>
      <c r="X376" s="586" t="str">
        <f t="shared" si="108"/>
        <v/>
      </c>
      <c r="Y376" s="586" t="str">
        <f t="shared" si="102"/>
        <v/>
      </c>
      <c r="Z376" s="586" t="str">
        <f t="shared" si="106"/>
        <v/>
      </c>
    </row>
    <row r="377" spans="1:26" ht="12" hidden="1" thickBot="1" x14ac:dyDescent="0.25">
      <c r="A377" s="671">
        <v>570200</v>
      </c>
      <c r="B377" s="701">
        <v>570200</v>
      </c>
      <c r="C377" s="702" t="s">
        <v>206</v>
      </c>
      <c r="D377" s="463" t="s">
        <v>1916</v>
      </c>
      <c r="E377" s="464"/>
      <c r="F377" s="465" t="s">
        <v>662</v>
      </c>
      <c r="G377" s="466">
        <v>4.4999999999999998E-2</v>
      </c>
      <c r="H377" s="681">
        <f>SUM(H378:H381)</f>
        <v>33.499560000000002</v>
      </c>
      <c r="I377" s="467">
        <v>193.88</v>
      </c>
      <c r="J377" s="467">
        <f>IF(ISBLANK(I377),"",SUM(H377:I377))</f>
        <v>227.37956</v>
      </c>
      <c r="K377" s="682">
        <f t="shared" si="94"/>
        <v>270.14999999999998</v>
      </c>
      <c r="L377" s="683" t="s">
        <v>20</v>
      </c>
      <c r="M377" s="685"/>
      <c r="N377" s="686">
        <f t="shared" si="103"/>
        <v>0</v>
      </c>
      <c r="O377" s="687">
        <f t="shared" si="112"/>
        <v>0</v>
      </c>
      <c r="P377" s="688">
        <f t="shared" si="113"/>
        <v>0</v>
      </c>
      <c r="Q377" s="765"/>
      <c r="R377" s="685">
        <f>M377</f>
        <v>0</v>
      </c>
      <c r="S377" s="686">
        <f>N377</f>
        <v>0</v>
      </c>
      <c r="T377" s="687">
        <f t="shared" si="110"/>
        <v>0</v>
      </c>
      <c r="U377" s="688">
        <f t="shared" si="111"/>
        <v>0</v>
      </c>
      <c r="V377" s="579"/>
      <c r="W377" s="566"/>
      <c r="X377" s="586" t="str">
        <f t="shared" si="108"/>
        <v/>
      </c>
      <c r="Y377" s="586" t="str">
        <f t="shared" si="102"/>
        <v/>
      </c>
      <c r="Z377" s="586" t="str">
        <f t="shared" si="106"/>
        <v/>
      </c>
    </row>
    <row r="378" spans="1:26" ht="12" hidden="1" thickBot="1" x14ac:dyDescent="0.25">
      <c r="A378" s="671" t="s">
        <v>168</v>
      </c>
      <c r="B378" s="644" t="s">
        <v>168</v>
      </c>
      <c r="C378" s="645"/>
      <c r="D378" s="451" t="s">
        <v>248</v>
      </c>
      <c r="E378" s="423"/>
      <c r="F378" s="424">
        <v>180</v>
      </c>
      <c r="G378" s="425">
        <v>1.4999999999999999E-2</v>
      </c>
      <c r="H378" s="663">
        <f t="shared" ref="H378:H380" si="116">IF(F378&lt;=30,(1.07*F378+2.68)*G378,((1.07*30+2.68)+1.07*(F378-30))*G378)</f>
        <v>2.9291999999999998</v>
      </c>
      <c r="I378" s="420">
        <v>0</v>
      </c>
      <c r="J378" s="420"/>
      <c r="K378" s="421">
        <f t="shared" si="94"/>
        <v>0</v>
      </c>
      <c r="L378" s="668" t="s">
        <v>614</v>
      </c>
      <c r="M378" s="703"/>
      <c r="N378" s="576">
        <f t="shared" si="103"/>
        <v>0</v>
      </c>
      <c r="O378" s="577">
        <f t="shared" si="112"/>
        <v>0</v>
      </c>
      <c r="P378" s="578">
        <f t="shared" si="113"/>
        <v>0</v>
      </c>
      <c r="Q378" s="765"/>
      <c r="R378" s="703"/>
      <c r="S378" s="670"/>
      <c r="T378" s="577">
        <f t="shared" si="110"/>
        <v>0</v>
      </c>
      <c r="U378" s="578">
        <f t="shared" si="111"/>
        <v>0</v>
      </c>
      <c r="V378" s="579"/>
      <c r="W378" s="637" t="str">
        <f>IF(U377&gt;0,"xx",IF(P377&gt;0,"xy",""))</f>
        <v/>
      </c>
      <c r="X378" s="586" t="str">
        <f t="shared" si="108"/>
        <v/>
      </c>
      <c r="Y378" s="586" t="str">
        <f t="shared" si="102"/>
        <v/>
      </c>
      <c r="Z378" s="586" t="str">
        <f t="shared" si="106"/>
        <v/>
      </c>
    </row>
    <row r="379" spans="1:26" ht="12" hidden="1" thickBot="1" x14ac:dyDescent="0.25">
      <c r="A379" s="671" t="s">
        <v>168</v>
      </c>
      <c r="B379" s="644" t="s">
        <v>168</v>
      </c>
      <c r="C379" s="645"/>
      <c r="D379" s="451" t="s">
        <v>249</v>
      </c>
      <c r="E379" s="423"/>
      <c r="F379" s="424">
        <v>500</v>
      </c>
      <c r="G379" s="425"/>
      <c r="H379" s="649">
        <f>IF(F379&lt;=30,(0.78*F379+7.82)*G379,((0.78*30+7.82)+0.78*(F379-30))*G379)</f>
        <v>0</v>
      </c>
      <c r="I379" s="420">
        <v>0</v>
      </c>
      <c r="J379" s="420">
        <f>IF(ISBLANK(I379),"",SUM(H379:I379))</f>
        <v>0</v>
      </c>
      <c r="K379" s="421">
        <f t="shared" ref="K379:K442" si="117">IF(ISBLANK(I379),0,ROUND(J379*(1+$F$10)*(1+$F$11*E379),2))</f>
        <v>0</v>
      </c>
      <c r="L379" s="668" t="s">
        <v>614</v>
      </c>
      <c r="M379" s="703"/>
      <c r="N379" s="576">
        <f t="shared" si="103"/>
        <v>0</v>
      </c>
      <c r="O379" s="577">
        <f t="shared" si="112"/>
        <v>0</v>
      </c>
      <c r="P379" s="578">
        <f t="shared" si="113"/>
        <v>0</v>
      </c>
      <c r="Q379" s="765"/>
      <c r="R379" s="703"/>
      <c r="S379" s="670"/>
      <c r="T379" s="577">
        <f t="shared" si="110"/>
        <v>0</v>
      </c>
      <c r="U379" s="578">
        <f t="shared" si="111"/>
        <v>0</v>
      </c>
      <c r="V379" s="579"/>
      <c r="W379" s="637" t="str">
        <f>IF(U377&gt;0,"xx",IF(P377&gt;0,"xy",""))</f>
        <v/>
      </c>
      <c r="X379" s="586" t="str">
        <f t="shared" si="108"/>
        <v/>
      </c>
      <c r="Y379" s="586" t="str">
        <f t="shared" si="102"/>
        <v/>
      </c>
      <c r="Z379" s="586" t="str">
        <f t="shared" si="106"/>
        <v/>
      </c>
    </row>
    <row r="380" spans="1:26" ht="12" hidden="1" thickBot="1" x14ac:dyDescent="0.25">
      <c r="A380" s="671" t="s">
        <v>168</v>
      </c>
      <c r="B380" s="644" t="s">
        <v>168</v>
      </c>
      <c r="C380" s="645"/>
      <c r="D380" s="451" t="s">
        <v>262</v>
      </c>
      <c r="E380" s="423"/>
      <c r="F380" s="424">
        <v>0.2</v>
      </c>
      <c r="G380" s="425">
        <v>0.94</v>
      </c>
      <c r="H380" s="663">
        <f t="shared" si="116"/>
        <v>2.7203599999999999</v>
      </c>
      <c r="I380" s="420">
        <v>0</v>
      </c>
      <c r="J380" s="420"/>
      <c r="K380" s="421">
        <f t="shared" si="117"/>
        <v>0</v>
      </c>
      <c r="L380" s="668" t="s">
        <v>614</v>
      </c>
      <c r="M380" s="703"/>
      <c r="N380" s="576">
        <f t="shared" si="103"/>
        <v>0</v>
      </c>
      <c r="O380" s="577">
        <f t="shared" si="112"/>
        <v>0</v>
      </c>
      <c r="P380" s="578">
        <f t="shared" si="113"/>
        <v>0</v>
      </c>
      <c r="Q380" s="765"/>
      <c r="R380" s="703"/>
      <c r="S380" s="670"/>
      <c r="T380" s="577">
        <f t="shared" si="110"/>
        <v>0</v>
      </c>
      <c r="U380" s="578">
        <f t="shared" si="111"/>
        <v>0</v>
      </c>
      <c r="V380" s="579"/>
      <c r="W380" s="637" t="str">
        <f>IF(U377&gt;0,"xx",IF(P377&gt;0,"xy",""))</f>
        <v/>
      </c>
      <c r="X380" s="586" t="str">
        <f t="shared" si="108"/>
        <v/>
      </c>
      <c r="Y380" s="586" t="str">
        <f t="shared" si="102"/>
        <v/>
      </c>
      <c r="Z380" s="586" t="str">
        <f t="shared" si="106"/>
        <v/>
      </c>
    </row>
    <row r="381" spans="1:26" ht="12" hidden="1" thickBot="1" x14ac:dyDescent="0.25">
      <c r="A381" s="671" t="s">
        <v>168</v>
      </c>
      <c r="B381" s="644" t="s">
        <v>168</v>
      </c>
      <c r="C381" s="645"/>
      <c r="D381" s="451" t="s">
        <v>263</v>
      </c>
      <c r="E381" s="423"/>
      <c r="F381" s="424">
        <v>20</v>
      </c>
      <c r="G381" s="425">
        <f>SUM(G377:G380)</f>
        <v>1</v>
      </c>
      <c r="H381" s="651">
        <f>IF(F381&lt;=30,(1.07*F381+6.45)*G381,((1.07*30+6.45)+1.07*(F381-30))*G381)</f>
        <v>27.85</v>
      </c>
      <c r="I381" s="420">
        <v>0</v>
      </c>
      <c r="J381" s="420"/>
      <c r="K381" s="421">
        <f t="shared" si="117"/>
        <v>0</v>
      </c>
      <c r="L381" s="668" t="s">
        <v>614</v>
      </c>
      <c r="M381" s="703"/>
      <c r="N381" s="576">
        <f t="shared" si="103"/>
        <v>0</v>
      </c>
      <c r="O381" s="577">
        <f t="shared" si="112"/>
        <v>0</v>
      </c>
      <c r="P381" s="578">
        <f t="shared" si="113"/>
        <v>0</v>
      </c>
      <c r="Q381" s="765"/>
      <c r="R381" s="703"/>
      <c r="S381" s="670"/>
      <c r="T381" s="577">
        <f t="shared" si="110"/>
        <v>0</v>
      </c>
      <c r="U381" s="578">
        <f t="shared" si="111"/>
        <v>0</v>
      </c>
      <c r="V381" s="579"/>
      <c r="W381" s="637" t="str">
        <f>IF(U377&gt;0,"xx",IF(P377&gt;0,"xy",""))</f>
        <v/>
      </c>
      <c r="X381" s="586" t="str">
        <f t="shared" si="108"/>
        <v/>
      </c>
      <c r="Y381" s="586" t="str">
        <f t="shared" si="102"/>
        <v/>
      </c>
      <c r="Z381" s="586" t="str">
        <f t="shared" si="106"/>
        <v/>
      </c>
    </row>
    <row r="382" spans="1:26" ht="12" hidden="1" thickBot="1" x14ac:dyDescent="0.25">
      <c r="A382" s="671">
        <v>589000</v>
      </c>
      <c r="B382" s="704" t="s">
        <v>1781</v>
      </c>
      <c r="C382" s="689" t="s">
        <v>1746</v>
      </c>
      <c r="D382" s="477" t="s">
        <v>659</v>
      </c>
      <c r="E382" s="470"/>
      <c r="F382" s="478">
        <v>500</v>
      </c>
      <c r="G382" s="479">
        <v>1</v>
      </c>
      <c r="H382" s="663">
        <f>(0.94*F382+46.06)*G382</f>
        <v>516.05999999999995</v>
      </c>
      <c r="I382" s="472">
        <v>5725</v>
      </c>
      <c r="J382" s="472">
        <f>IF(ISBLANK(I382),"",I382*(1+$F$9)/(1+$F$10))+H382</f>
        <v>6070.962785960779</v>
      </c>
      <c r="K382" s="690">
        <f t="shared" si="117"/>
        <v>7212.91</v>
      </c>
      <c r="L382" s="691" t="s">
        <v>20</v>
      </c>
      <c r="M382" s="692">
        <f>ROUND(M377*G377,2)</f>
        <v>0</v>
      </c>
      <c r="N382" s="696">
        <f t="shared" si="103"/>
        <v>0</v>
      </c>
      <c r="O382" s="693">
        <f t="shared" si="112"/>
        <v>0</v>
      </c>
      <c r="P382" s="694">
        <f t="shared" si="113"/>
        <v>0</v>
      </c>
      <c r="Q382" s="765"/>
      <c r="R382" s="695">
        <f>ROUND(R377*G377,2)</f>
        <v>0</v>
      </c>
      <c r="S382" s="711">
        <f>N382</f>
        <v>0</v>
      </c>
      <c r="T382" s="693">
        <f t="shared" si="110"/>
        <v>0</v>
      </c>
      <c r="U382" s="694">
        <f t="shared" si="111"/>
        <v>0</v>
      </c>
      <c r="V382" s="579"/>
      <c r="W382" s="637" t="str">
        <f>IF(U377&gt;0,"xx",IF(P377&gt;0,"xy",""))</f>
        <v/>
      </c>
      <c r="X382" s="586" t="str">
        <f t="shared" si="108"/>
        <v/>
      </c>
      <c r="Y382" s="586" t="str">
        <f t="shared" si="102"/>
        <v/>
      </c>
      <c r="Z382" s="586" t="str">
        <f t="shared" si="106"/>
        <v/>
      </c>
    </row>
    <row r="383" spans="1:26" ht="12" hidden="1" thickBot="1" x14ac:dyDescent="0.25">
      <c r="A383" s="671">
        <v>570210</v>
      </c>
      <c r="B383" s="701">
        <v>570210</v>
      </c>
      <c r="C383" s="702" t="s">
        <v>206</v>
      </c>
      <c r="D383" s="463" t="s">
        <v>1917</v>
      </c>
      <c r="E383" s="464"/>
      <c r="F383" s="465" t="s">
        <v>662</v>
      </c>
      <c r="G383" s="466">
        <v>4.4999999999999998E-2</v>
      </c>
      <c r="H383" s="681">
        <f>SUM(H384:H387)</f>
        <v>33.499560000000002</v>
      </c>
      <c r="I383" s="467">
        <v>172.14</v>
      </c>
      <c r="J383" s="467">
        <f>IF(ISBLANK(I383),"",SUM(H383:I383))</f>
        <v>205.63955999999999</v>
      </c>
      <c r="K383" s="682">
        <f t="shared" si="117"/>
        <v>244.32</v>
      </c>
      <c r="L383" s="683" t="s">
        <v>20</v>
      </c>
      <c r="M383" s="685"/>
      <c r="N383" s="576">
        <f t="shared" si="103"/>
        <v>0</v>
      </c>
      <c r="O383" s="687">
        <f t="shared" si="112"/>
        <v>0</v>
      </c>
      <c r="P383" s="688">
        <f t="shared" si="113"/>
        <v>0</v>
      </c>
      <c r="Q383" s="765"/>
      <c r="R383" s="685">
        <f>M383</f>
        <v>0</v>
      </c>
      <c r="S383" s="686">
        <f>N383</f>
        <v>0</v>
      </c>
      <c r="T383" s="687">
        <f t="shared" si="110"/>
        <v>0</v>
      </c>
      <c r="U383" s="688">
        <f t="shared" si="111"/>
        <v>0</v>
      </c>
      <c r="V383" s="579"/>
      <c r="W383" s="566"/>
      <c r="X383" s="586" t="str">
        <f t="shared" si="108"/>
        <v/>
      </c>
      <c r="Y383" s="586" t="str">
        <f t="shared" si="102"/>
        <v/>
      </c>
      <c r="Z383" s="586" t="str">
        <f t="shared" si="106"/>
        <v/>
      </c>
    </row>
    <row r="384" spans="1:26" ht="12" hidden="1" thickBot="1" x14ac:dyDescent="0.25">
      <c r="A384" s="671" t="s">
        <v>168</v>
      </c>
      <c r="B384" s="644" t="s">
        <v>168</v>
      </c>
      <c r="C384" s="645"/>
      <c r="D384" s="451" t="s">
        <v>248</v>
      </c>
      <c r="E384" s="423"/>
      <c r="F384" s="424">
        <v>180</v>
      </c>
      <c r="G384" s="425">
        <v>1.4999999999999999E-2</v>
      </c>
      <c r="H384" s="663">
        <f t="shared" ref="H384:H386" si="118">IF(F384&lt;=30,(1.07*F384+2.68)*G384,((1.07*30+2.68)+1.07*(F384-30))*G384)</f>
        <v>2.9291999999999998</v>
      </c>
      <c r="I384" s="420">
        <v>0</v>
      </c>
      <c r="J384" s="420"/>
      <c r="K384" s="421">
        <f t="shared" si="117"/>
        <v>0</v>
      </c>
      <c r="L384" s="668" t="s">
        <v>614</v>
      </c>
      <c r="M384" s="703"/>
      <c r="N384" s="576">
        <f t="shared" si="103"/>
        <v>0</v>
      </c>
      <c r="O384" s="577">
        <f t="shared" si="112"/>
        <v>0</v>
      </c>
      <c r="P384" s="578">
        <f t="shared" si="113"/>
        <v>0</v>
      </c>
      <c r="Q384" s="765"/>
      <c r="R384" s="703"/>
      <c r="S384" s="670"/>
      <c r="T384" s="577">
        <f t="shared" si="110"/>
        <v>0</v>
      </c>
      <c r="U384" s="578">
        <f t="shared" si="111"/>
        <v>0</v>
      </c>
      <c r="V384" s="579"/>
      <c r="W384" s="637" t="str">
        <f>IF(U383&gt;0,"xx",IF(P383&gt;0,"xy",""))</f>
        <v/>
      </c>
      <c r="X384" s="586" t="str">
        <f t="shared" si="108"/>
        <v/>
      </c>
      <c r="Y384" s="586" t="str">
        <f t="shared" si="102"/>
        <v/>
      </c>
      <c r="Z384" s="586" t="str">
        <f t="shared" si="106"/>
        <v/>
      </c>
    </row>
    <row r="385" spans="1:26" ht="12" hidden="1" thickBot="1" x14ac:dyDescent="0.25">
      <c r="A385" s="671" t="s">
        <v>168</v>
      </c>
      <c r="B385" s="644" t="s">
        <v>168</v>
      </c>
      <c r="C385" s="645"/>
      <c r="D385" s="451" t="s">
        <v>249</v>
      </c>
      <c r="E385" s="423"/>
      <c r="F385" s="424">
        <v>500</v>
      </c>
      <c r="G385" s="425"/>
      <c r="H385" s="649">
        <f>IF(F385&lt;=30,(0.78*F385+7.82)*G385,((0.78*30+7.82)+0.78*(F385-30))*G385)</f>
        <v>0</v>
      </c>
      <c r="I385" s="420">
        <v>0</v>
      </c>
      <c r="J385" s="420">
        <f>IF(ISBLANK(I385),"",SUM(H385:I385))</f>
        <v>0</v>
      </c>
      <c r="K385" s="421">
        <f t="shared" si="117"/>
        <v>0</v>
      </c>
      <c r="L385" s="668" t="s">
        <v>614</v>
      </c>
      <c r="M385" s="703"/>
      <c r="N385" s="576">
        <f t="shared" si="103"/>
        <v>0</v>
      </c>
      <c r="O385" s="577">
        <f t="shared" si="112"/>
        <v>0</v>
      </c>
      <c r="P385" s="578">
        <f t="shared" si="113"/>
        <v>0</v>
      </c>
      <c r="Q385" s="765"/>
      <c r="R385" s="703"/>
      <c r="S385" s="670"/>
      <c r="T385" s="577">
        <f t="shared" si="110"/>
        <v>0</v>
      </c>
      <c r="U385" s="578">
        <f t="shared" si="111"/>
        <v>0</v>
      </c>
      <c r="V385" s="579"/>
      <c r="W385" s="637" t="str">
        <f>IF(U383&gt;0,"xx",IF(P383&gt;0,"xy",""))</f>
        <v/>
      </c>
      <c r="X385" s="586" t="str">
        <f t="shared" si="108"/>
        <v/>
      </c>
      <c r="Y385" s="586" t="str">
        <f t="shared" si="102"/>
        <v/>
      </c>
      <c r="Z385" s="586" t="str">
        <f t="shared" si="106"/>
        <v/>
      </c>
    </row>
    <row r="386" spans="1:26" ht="12" hidden="1" thickBot="1" x14ac:dyDescent="0.25">
      <c r="A386" s="671" t="s">
        <v>168</v>
      </c>
      <c r="B386" s="644" t="s">
        <v>168</v>
      </c>
      <c r="C386" s="645"/>
      <c r="D386" s="451" t="s">
        <v>262</v>
      </c>
      <c r="E386" s="423"/>
      <c r="F386" s="424">
        <v>0.2</v>
      </c>
      <c r="G386" s="425">
        <v>0.94</v>
      </c>
      <c r="H386" s="663">
        <f t="shared" si="118"/>
        <v>2.7203599999999999</v>
      </c>
      <c r="I386" s="420">
        <v>0</v>
      </c>
      <c r="J386" s="420"/>
      <c r="K386" s="421">
        <f t="shared" si="117"/>
        <v>0</v>
      </c>
      <c r="L386" s="668" t="s">
        <v>614</v>
      </c>
      <c r="M386" s="703"/>
      <c r="N386" s="576">
        <f t="shared" si="103"/>
        <v>0</v>
      </c>
      <c r="O386" s="577">
        <f t="shared" si="112"/>
        <v>0</v>
      </c>
      <c r="P386" s="578">
        <f t="shared" si="113"/>
        <v>0</v>
      </c>
      <c r="Q386" s="765"/>
      <c r="R386" s="703"/>
      <c r="S386" s="670"/>
      <c r="T386" s="577">
        <f t="shared" si="110"/>
        <v>0</v>
      </c>
      <c r="U386" s="578">
        <f t="shared" si="111"/>
        <v>0</v>
      </c>
      <c r="V386" s="579"/>
      <c r="W386" s="637" t="str">
        <f>IF(U383&gt;0,"xx",IF(P383&gt;0,"xy",""))</f>
        <v/>
      </c>
      <c r="X386" s="586" t="str">
        <f t="shared" si="108"/>
        <v/>
      </c>
      <c r="Y386" s="586" t="str">
        <f t="shared" si="102"/>
        <v/>
      </c>
      <c r="Z386" s="586" t="str">
        <f t="shared" si="106"/>
        <v/>
      </c>
    </row>
    <row r="387" spans="1:26" ht="12" hidden="1" thickBot="1" x14ac:dyDescent="0.25">
      <c r="A387" s="671" t="s">
        <v>168</v>
      </c>
      <c r="B387" s="644" t="s">
        <v>168</v>
      </c>
      <c r="C387" s="645"/>
      <c r="D387" s="451" t="s">
        <v>263</v>
      </c>
      <c r="E387" s="423"/>
      <c r="F387" s="424">
        <v>20</v>
      </c>
      <c r="G387" s="425">
        <f>SUM(G383:G386)</f>
        <v>1</v>
      </c>
      <c r="H387" s="651">
        <f>IF(F387&lt;=30,(1.07*F387+6.45)*G387,((1.07*30+6.45)+1.07*(F387-30))*G387)</f>
        <v>27.85</v>
      </c>
      <c r="I387" s="420">
        <v>0</v>
      </c>
      <c r="J387" s="420"/>
      <c r="K387" s="421">
        <f t="shared" si="117"/>
        <v>0</v>
      </c>
      <c r="L387" s="668" t="s">
        <v>614</v>
      </c>
      <c r="M387" s="703"/>
      <c r="N387" s="576">
        <f t="shared" si="103"/>
        <v>0</v>
      </c>
      <c r="O387" s="577">
        <f t="shared" si="112"/>
        <v>0</v>
      </c>
      <c r="P387" s="578">
        <f t="shared" si="113"/>
        <v>0</v>
      </c>
      <c r="Q387" s="765"/>
      <c r="R387" s="703"/>
      <c r="S387" s="670"/>
      <c r="T387" s="577">
        <f t="shared" si="110"/>
        <v>0</v>
      </c>
      <c r="U387" s="578">
        <f t="shared" si="111"/>
        <v>0</v>
      </c>
      <c r="V387" s="579"/>
      <c r="W387" s="637" t="str">
        <f>IF(U383&gt;0,"xx",IF(P383&gt;0,"xy",""))</f>
        <v/>
      </c>
      <c r="X387" s="586" t="str">
        <f t="shared" si="108"/>
        <v/>
      </c>
      <c r="Y387" s="586" t="str">
        <f t="shared" si="102"/>
        <v/>
      </c>
      <c r="Z387" s="586" t="str">
        <f t="shared" si="106"/>
        <v/>
      </c>
    </row>
    <row r="388" spans="1:26" ht="12" hidden="1" thickBot="1" x14ac:dyDescent="0.25">
      <c r="A388" s="671">
        <v>589000</v>
      </c>
      <c r="B388" s="704" t="s">
        <v>1782</v>
      </c>
      <c r="C388" s="689" t="s">
        <v>1746</v>
      </c>
      <c r="D388" s="477" t="s">
        <v>659</v>
      </c>
      <c r="E388" s="470"/>
      <c r="F388" s="478">
        <v>500</v>
      </c>
      <c r="G388" s="479">
        <v>1</v>
      </c>
      <c r="H388" s="663">
        <f>(0.94*F388+46.06)*G388</f>
        <v>516.05999999999995</v>
      </c>
      <c r="I388" s="472">
        <v>5725</v>
      </c>
      <c r="J388" s="472">
        <f>IF(ISBLANK(I388),"",I388*(1+$F$9)/(1+$F$10))+H388</f>
        <v>6070.962785960779</v>
      </c>
      <c r="K388" s="690">
        <f t="shared" si="117"/>
        <v>7212.91</v>
      </c>
      <c r="L388" s="691" t="s">
        <v>20</v>
      </c>
      <c r="M388" s="692">
        <f>ROUND(M383*G383,2)</f>
        <v>0</v>
      </c>
      <c r="N388" s="588">
        <f t="shared" si="103"/>
        <v>0</v>
      </c>
      <c r="O388" s="693">
        <f t="shared" si="112"/>
        <v>0</v>
      </c>
      <c r="P388" s="694">
        <f t="shared" si="113"/>
        <v>0</v>
      </c>
      <c r="Q388" s="765"/>
      <c r="R388" s="695">
        <f>ROUND(R383*G383,2)</f>
        <v>0</v>
      </c>
      <c r="S388" s="711">
        <f>N388</f>
        <v>0</v>
      </c>
      <c r="T388" s="693">
        <f t="shared" si="110"/>
        <v>0</v>
      </c>
      <c r="U388" s="694">
        <f t="shared" si="111"/>
        <v>0</v>
      </c>
      <c r="V388" s="579"/>
      <c r="W388" s="637" t="str">
        <f>IF(U383&gt;0,"xx",IF(P383&gt;0,"xy",""))</f>
        <v/>
      </c>
      <c r="X388" s="586" t="str">
        <f t="shared" si="108"/>
        <v/>
      </c>
      <c r="Y388" s="586" t="str">
        <f t="shared" si="102"/>
        <v/>
      </c>
      <c r="Z388" s="586" t="str">
        <f t="shared" si="106"/>
        <v/>
      </c>
    </row>
    <row r="389" spans="1:26" x14ac:dyDescent="0.2">
      <c r="A389" s="671">
        <v>570000</v>
      </c>
      <c r="B389" s="701" t="s">
        <v>1783</v>
      </c>
      <c r="C389" s="702" t="s">
        <v>206</v>
      </c>
      <c r="D389" s="463" t="s">
        <v>1918</v>
      </c>
      <c r="E389" s="464"/>
      <c r="F389" s="465" t="s">
        <v>662</v>
      </c>
      <c r="G389" s="466">
        <v>5.7000000000000002E-2</v>
      </c>
      <c r="H389" s="681">
        <f>SUM(H390:H393)</f>
        <v>64.300032000000002</v>
      </c>
      <c r="I389" s="467">
        <v>201.51</v>
      </c>
      <c r="J389" s="467">
        <f>IF(ISBLANK(I389),"",SUM(H389:I389))</f>
        <v>265.81003199999998</v>
      </c>
      <c r="K389" s="682">
        <f t="shared" si="117"/>
        <v>315.81</v>
      </c>
      <c r="L389" s="683" t="s">
        <v>20</v>
      </c>
      <c r="M389" s="685">
        <v>88.8</v>
      </c>
      <c r="N389" s="686">
        <f t="shared" si="103"/>
        <v>315.81</v>
      </c>
      <c r="O389" s="687">
        <f t="shared" si="112"/>
        <v>28043.93</v>
      </c>
      <c r="P389" s="688">
        <f t="shared" si="113"/>
        <v>28043.93</v>
      </c>
      <c r="Q389" s="765"/>
      <c r="R389" s="685">
        <f>M389</f>
        <v>88.8</v>
      </c>
      <c r="S389" s="686">
        <f>N389</f>
        <v>315.81</v>
      </c>
      <c r="T389" s="687">
        <f t="shared" si="110"/>
        <v>28043.93</v>
      </c>
      <c r="U389" s="688">
        <f t="shared" si="111"/>
        <v>28043.93</v>
      </c>
      <c r="V389" s="579"/>
      <c r="W389" s="566"/>
      <c r="X389" s="586" t="str">
        <f t="shared" si="108"/>
        <v>x</v>
      </c>
      <c r="Y389" s="586" t="str">
        <f t="shared" si="102"/>
        <v>x</v>
      </c>
      <c r="Z389" s="586" t="str">
        <f t="shared" si="106"/>
        <v>x</v>
      </c>
    </row>
    <row r="390" spans="1:26" x14ac:dyDescent="0.2">
      <c r="A390" s="671" t="s">
        <v>168</v>
      </c>
      <c r="B390" s="644" t="s">
        <v>168</v>
      </c>
      <c r="C390" s="645"/>
      <c r="D390" s="451" t="s">
        <v>248</v>
      </c>
      <c r="E390" s="423"/>
      <c r="F390" s="805">
        <v>260</v>
      </c>
      <c r="G390" s="425">
        <v>0.1</v>
      </c>
      <c r="H390" s="663">
        <f t="shared" ref="H390:H392" si="119">IF(F390&lt;=30,(1.07*F390+2.68)*G390,((1.07*30+2.68)+1.07*(F390-30))*G390)</f>
        <v>28.088000000000001</v>
      </c>
      <c r="I390" s="420">
        <v>0</v>
      </c>
      <c r="J390" s="420"/>
      <c r="K390" s="421">
        <f t="shared" si="117"/>
        <v>0</v>
      </c>
      <c r="L390" s="647" t="s">
        <v>614</v>
      </c>
      <c r="M390" s="703"/>
      <c r="N390" s="576">
        <f t="shared" si="103"/>
        <v>0</v>
      </c>
      <c r="O390" s="577">
        <f t="shared" si="112"/>
        <v>0</v>
      </c>
      <c r="P390" s="578">
        <f t="shared" si="113"/>
        <v>0</v>
      </c>
      <c r="Q390" s="765"/>
      <c r="R390" s="703"/>
      <c r="S390" s="670"/>
      <c r="T390" s="577">
        <f t="shared" si="110"/>
        <v>0</v>
      </c>
      <c r="U390" s="578">
        <f t="shared" si="111"/>
        <v>0</v>
      </c>
      <c r="V390" s="579"/>
      <c r="W390" s="637" t="str">
        <f>IF(U389&gt;0,"xx",IF(P389&gt;0,"xy",""))</f>
        <v>xx</v>
      </c>
      <c r="X390" s="586" t="str">
        <f t="shared" si="108"/>
        <v>x</v>
      </c>
      <c r="Y390" s="586" t="str">
        <f t="shared" si="102"/>
        <v>x</v>
      </c>
      <c r="Z390" s="586" t="str">
        <f t="shared" si="106"/>
        <v/>
      </c>
    </row>
    <row r="391" spans="1:26" x14ac:dyDescent="0.2">
      <c r="A391" s="671" t="s">
        <v>168</v>
      </c>
      <c r="B391" s="644" t="s">
        <v>168</v>
      </c>
      <c r="C391" s="645"/>
      <c r="D391" s="451" t="s">
        <v>249</v>
      </c>
      <c r="E391" s="423"/>
      <c r="F391" s="805">
        <v>445</v>
      </c>
      <c r="G391" s="425">
        <v>1.4999999999999999E-2</v>
      </c>
      <c r="H391" s="649">
        <f>IF(F391&lt;=30,(0.78*F391+7.82)*G391,((0.78*30+7.82)+0.78*(F391-30))*G391)</f>
        <v>5.3238000000000003</v>
      </c>
      <c r="I391" s="420">
        <v>0</v>
      </c>
      <c r="J391" s="420"/>
      <c r="K391" s="421">
        <f t="shared" si="117"/>
        <v>0</v>
      </c>
      <c r="L391" s="647" t="s">
        <v>614</v>
      </c>
      <c r="M391" s="703"/>
      <c r="N391" s="576">
        <f t="shared" si="103"/>
        <v>0</v>
      </c>
      <c r="O391" s="577">
        <f t="shared" si="112"/>
        <v>0</v>
      </c>
      <c r="P391" s="578">
        <f t="shared" si="113"/>
        <v>0</v>
      </c>
      <c r="Q391" s="765"/>
      <c r="R391" s="703"/>
      <c r="S391" s="670"/>
      <c r="T391" s="577">
        <f t="shared" si="110"/>
        <v>0</v>
      </c>
      <c r="U391" s="578">
        <f t="shared" si="111"/>
        <v>0</v>
      </c>
      <c r="V391" s="579"/>
      <c r="W391" s="637" t="str">
        <f>IF(U389&gt;0,"xx",IF(P389&gt;0,"xy",""))</f>
        <v>xx</v>
      </c>
      <c r="X391" s="586" t="str">
        <f t="shared" si="108"/>
        <v>x</v>
      </c>
      <c r="Y391" s="586" t="str">
        <f t="shared" si="102"/>
        <v>x</v>
      </c>
      <c r="Z391" s="586" t="str">
        <f t="shared" si="106"/>
        <v/>
      </c>
    </row>
    <row r="392" spans="1:26" x14ac:dyDescent="0.2">
      <c r="A392" s="671" t="s">
        <v>168</v>
      </c>
      <c r="B392" s="644" t="s">
        <v>168</v>
      </c>
      <c r="C392" s="645"/>
      <c r="D392" s="451" t="s">
        <v>262</v>
      </c>
      <c r="E392" s="423"/>
      <c r="F392" s="805">
        <v>0.2</v>
      </c>
      <c r="G392" s="425">
        <v>0.82799999999999996</v>
      </c>
      <c r="H392" s="663">
        <f t="shared" si="119"/>
        <v>2.3962319999999999</v>
      </c>
      <c r="I392" s="420">
        <v>0</v>
      </c>
      <c r="J392" s="420"/>
      <c r="K392" s="421">
        <f t="shared" si="117"/>
        <v>0</v>
      </c>
      <c r="L392" s="647" t="s">
        <v>614</v>
      </c>
      <c r="M392" s="703"/>
      <c r="N392" s="576">
        <f t="shared" si="103"/>
        <v>0</v>
      </c>
      <c r="O392" s="577">
        <f t="shared" si="112"/>
        <v>0</v>
      </c>
      <c r="P392" s="578">
        <f t="shared" si="113"/>
        <v>0</v>
      </c>
      <c r="Q392" s="765"/>
      <c r="R392" s="703"/>
      <c r="S392" s="670"/>
      <c r="T392" s="577">
        <f t="shared" si="110"/>
        <v>0</v>
      </c>
      <c r="U392" s="578">
        <f t="shared" si="111"/>
        <v>0</v>
      </c>
      <c r="V392" s="579"/>
      <c r="W392" s="637" t="str">
        <f>IF(U389&gt;0,"xx",IF(P389&gt;0,"xy",""))</f>
        <v>xx</v>
      </c>
      <c r="X392" s="586" t="str">
        <f t="shared" si="108"/>
        <v>x</v>
      </c>
      <c r="Y392" s="586" t="str">
        <f t="shared" si="102"/>
        <v>x</v>
      </c>
      <c r="Z392" s="586" t="str">
        <f t="shared" si="106"/>
        <v/>
      </c>
    </row>
    <row r="393" spans="1:26" x14ac:dyDescent="0.2">
      <c r="A393" s="671" t="s">
        <v>168</v>
      </c>
      <c r="B393" s="644" t="s">
        <v>168</v>
      </c>
      <c r="C393" s="645"/>
      <c r="D393" s="451" t="s">
        <v>263</v>
      </c>
      <c r="E393" s="423"/>
      <c r="F393" s="805">
        <v>20.6</v>
      </c>
      <c r="G393" s="425">
        <f>SUM(G389:G392)</f>
        <v>1</v>
      </c>
      <c r="H393" s="651">
        <f>IF(F393&lt;=30,(1.07*F393+6.45)*G393,((1.07*30+6.45)+1.07*(F393-30))*G393)</f>
        <v>28.492000000000001</v>
      </c>
      <c r="I393" s="420">
        <v>0</v>
      </c>
      <c r="J393" s="420"/>
      <c r="K393" s="421">
        <f t="shared" si="117"/>
        <v>0</v>
      </c>
      <c r="L393" s="647" t="s">
        <v>614</v>
      </c>
      <c r="M393" s="703"/>
      <c r="N393" s="576">
        <f t="shared" si="103"/>
        <v>0</v>
      </c>
      <c r="O393" s="577">
        <f t="shared" si="112"/>
        <v>0</v>
      </c>
      <c r="P393" s="578">
        <f t="shared" si="113"/>
        <v>0</v>
      </c>
      <c r="Q393" s="765"/>
      <c r="R393" s="703"/>
      <c r="S393" s="670"/>
      <c r="T393" s="577">
        <f t="shared" si="110"/>
        <v>0</v>
      </c>
      <c r="U393" s="578">
        <f t="shared" si="111"/>
        <v>0</v>
      </c>
      <c r="V393" s="579"/>
      <c r="W393" s="637" t="str">
        <f>IF(U389&gt;0,"xx",IF(P389&gt;0,"xy",""))</f>
        <v>xx</v>
      </c>
      <c r="X393" s="586" t="str">
        <f t="shared" si="108"/>
        <v>x</v>
      </c>
      <c r="Y393" s="586" t="str">
        <f t="shared" si="102"/>
        <v>x</v>
      </c>
      <c r="Z393" s="586" t="str">
        <f t="shared" si="106"/>
        <v/>
      </c>
    </row>
    <row r="394" spans="1:26" ht="12" thickBot="1" x14ac:dyDescent="0.25">
      <c r="A394" s="671">
        <v>589000</v>
      </c>
      <c r="B394" s="704" t="s">
        <v>1784</v>
      </c>
      <c r="C394" s="689" t="s">
        <v>1746</v>
      </c>
      <c r="D394" s="477" t="s">
        <v>659</v>
      </c>
      <c r="E394" s="470"/>
      <c r="F394" s="806">
        <v>465</v>
      </c>
      <c r="G394" s="479">
        <v>1</v>
      </c>
      <c r="H394" s="663">
        <f>(0.94*F394+46.06)*G394</f>
        <v>483.15999999999997</v>
      </c>
      <c r="I394" s="472">
        <v>5725</v>
      </c>
      <c r="J394" s="472">
        <f>IF(ISBLANK(I394),"",I394*(1+$F$9)/(1+$F$10))+H394</f>
        <v>6038.0627859607785</v>
      </c>
      <c r="K394" s="690">
        <f t="shared" si="117"/>
        <v>7173.82</v>
      </c>
      <c r="L394" s="691" t="s">
        <v>20</v>
      </c>
      <c r="M394" s="692">
        <f>ROUND(M389*G389,2)</f>
        <v>5.0599999999999996</v>
      </c>
      <c r="N394" s="696">
        <f t="shared" si="103"/>
        <v>7173.82</v>
      </c>
      <c r="O394" s="693">
        <f t="shared" si="112"/>
        <v>36299.53</v>
      </c>
      <c r="P394" s="694">
        <f t="shared" si="113"/>
        <v>36299.53</v>
      </c>
      <c r="Q394" s="765"/>
      <c r="R394" s="695">
        <f>ROUND(R389*G389,2)</f>
        <v>5.0599999999999996</v>
      </c>
      <c r="S394" s="711">
        <f>N394</f>
        <v>7173.82</v>
      </c>
      <c r="T394" s="693">
        <f t="shared" si="110"/>
        <v>36299.53</v>
      </c>
      <c r="U394" s="694">
        <f t="shared" si="111"/>
        <v>36299.53</v>
      </c>
      <c r="V394" s="579"/>
      <c r="W394" s="637" t="str">
        <f>IF(U389&gt;0,"xx",IF(P389&gt;0,"xy",""))</f>
        <v>xx</v>
      </c>
      <c r="X394" s="586" t="str">
        <f t="shared" si="108"/>
        <v>x</v>
      </c>
      <c r="Y394" s="586" t="str">
        <f t="shared" si="102"/>
        <v>x</v>
      </c>
      <c r="Z394" s="586" t="str">
        <f t="shared" si="106"/>
        <v>x</v>
      </c>
    </row>
    <row r="395" spans="1:26" x14ac:dyDescent="0.2">
      <c r="A395" s="671">
        <v>570000</v>
      </c>
      <c r="B395" s="701" t="s">
        <v>1785</v>
      </c>
      <c r="C395" s="702" t="s">
        <v>206</v>
      </c>
      <c r="D395" s="463" t="s">
        <v>2100</v>
      </c>
      <c r="E395" s="464"/>
      <c r="F395" s="465" t="s">
        <v>662</v>
      </c>
      <c r="G395" s="466">
        <v>0.05</v>
      </c>
      <c r="H395" s="681">
        <f>SUM(H396:H399)</f>
        <v>64.585285400000004</v>
      </c>
      <c r="I395" s="467">
        <v>201.51</v>
      </c>
      <c r="J395" s="467">
        <f>IF(ISBLANK(I395),"",SUM(H395:I395))</f>
        <v>266.09528539999997</v>
      </c>
      <c r="K395" s="682">
        <f t="shared" si="117"/>
        <v>316.14999999999998</v>
      </c>
      <c r="L395" s="683" t="s">
        <v>20</v>
      </c>
      <c r="M395" s="685">
        <v>133.19999999999999</v>
      </c>
      <c r="N395" s="576">
        <f t="shared" si="103"/>
        <v>316.14999999999998</v>
      </c>
      <c r="O395" s="687">
        <f t="shared" si="112"/>
        <v>42111.18</v>
      </c>
      <c r="P395" s="688">
        <f t="shared" si="113"/>
        <v>42111.18</v>
      </c>
      <c r="Q395" s="765"/>
      <c r="R395" s="685">
        <f>M395</f>
        <v>133.19999999999999</v>
      </c>
      <c r="S395" s="686">
        <f>N395</f>
        <v>316.14999999999998</v>
      </c>
      <c r="T395" s="687">
        <f t="shared" si="110"/>
        <v>42111.18</v>
      </c>
      <c r="U395" s="688">
        <f t="shared" si="111"/>
        <v>42111.18</v>
      </c>
      <c r="V395" s="579"/>
      <c r="W395" s="566"/>
      <c r="X395" s="586" t="str">
        <f t="shared" si="108"/>
        <v>x</v>
      </c>
      <c r="Y395" s="586" t="str">
        <f t="shared" si="102"/>
        <v>x</v>
      </c>
      <c r="Z395" s="586" t="str">
        <f t="shared" si="106"/>
        <v>x</v>
      </c>
    </row>
    <row r="396" spans="1:26" x14ac:dyDescent="0.2">
      <c r="A396" s="671" t="s">
        <v>168</v>
      </c>
      <c r="B396" s="644" t="s">
        <v>168</v>
      </c>
      <c r="C396" s="645"/>
      <c r="D396" s="451" t="s">
        <v>248</v>
      </c>
      <c r="E396" s="423"/>
      <c r="F396" s="805">
        <v>260</v>
      </c>
      <c r="G396" s="425">
        <v>0.1007</v>
      </c>
      <c r="H396" s="663">
        <f t="shared" ref="H396:H398" si="120">IF(F396&lt;=30,(1.07*F396+2.68)*G396,((1.07*30+2.68)+1.07*(F396-30))*G396)</f>
        <v>28.284616</v>
      </c>
      <c r="I396" s="420">
        <v>0</v>
      </c>
      <c r="J396" s="420"/>
      <c r="K396" s="421">
        <f t="shared" si="117"/>
        <v>0</v>
      </c>
      <c r="L396" s="647" t="s">
        <v>614</v>
      </c>
      <c r="M396" s="703"/>
      <c r="N396" s="576">
        <f t="shared" si="103"/>
        <v>0</v>
      </c>
      <c r="O396" s="577">
        <f t="shared" si="112"/>
        <v>0</v>
      </c>
      <c r="P396" s="578">
        <f t="shared" si="113"/>
        <v>0</v>
      </c>
      <c r="Q396" s="765"/>
      <c r="R396" s="703"/>
      <c r="S396" s="670"/>
      <c r="T396" s="577">
        <f t="shared" si="110"/>
        <v>0</v>
      </c>
      <c r="U396" s="578">
        <f t="shared" si="111"/>
        <v>0</v>
      </c>
      <c r="V396" s="579"/>
      <c r="W396" s="637" t="str">
        <f>IF(U395&gt;0,"xx",IF(P395&gt;0,"xy",""))</f>
        <v>xx</v>
      </c>
      <c r="X396" s="586" t="str">
        <f t="shared" si="108"/>
        <v>x</v>
      </c>
      <c r="Y396" s="586" t="str">
        <f t="shared" si="102"/>
        <v>x</v>
      </c>
      <c r="Z396" s="586" t="str">
        <f t="shared" si="106"/>
        <v/>
      </c>
    </row>
    <row r="397" spans="1:26" x14ac:dyDescent="0.2">
      <c r="A397" s="671" t="s">
        <v>168</v>
      </c>
      <c r="B397" s="644" t="s">
        <v>168</v>
      </c>
      <c r="C397" s="645"/>
      <c r="D397" s="451" t="s">
        <v>249</v>
      </c>
      <c r="E397" s="423"/>
      <c r="F397" s="805">
        <v>445</v>
      </c>
      <c r="G397" s="425">
        <v>1.52E-2</v>
      </c>
      <c r="H397" s="649">
        <f>IF(F397&lt;=30,(0.78*F397+7.82)*G397,((0.78*30+7.82)+0.78*(F397-30))*G397)</f>
        <v>5.3947840000000005</v>
      </c>
      <c r="I397" s="420">
        <v>0</v>
      </c>
      <c r="J397" s="420"/>
      <c r="K397" s="421">
        <f t="shared" si="117"/>
        <v>0</v>
      </c>
      <c r="L397" s="647" t="s">
        <v>614</v>
      </c>
      <c r="M397" s="703"/>
      <c r="N397" s="576">
        <f t="shared" si="103"/>
        <v>0</v>
      </c>
      <c r="O397" s="577">
        <f t="shared" si="112"/>
        <v>0</v>
      </c>
      <c r="P397" s="578">
        <f t="shared" si="113"/>
        <v>0</v>
      </c>
      <c r="Q397" s="765"/>
      <c r="R397" s="703"/>
      <c r="S397" s="670"/>
      <c r="T397" s="577">
        <f t="shared" si="110"/>
        <v>0</v>
      </c>
      <c r="U397" s="578">
        <f t="shared" si="111"/>
        <v>0</v>
      </c>
      <c r="V397" s="579"/>
      <c r="W397" s="637" t="str">
        <f>IF(U395&gt;0,"xx",IF(P395&gt;0,"xy",""))</f>
        <v>xx</v>
      </c>
      <c r="X397" s="586" t="str">
        <f t="shared" si="108"/>
        <v>x</v>
      </c>
      <c r="Y397" s="586" t="str">
        <f t="shared" si="102"/>
        <v>x</v>
      </c>
      <c r="Z397" s="586" t="str">
        <f t="shared" si="106"/>
        <v/>
      </c>
    </row>
    <row r="398" spans="1:26" x14ac:dyDescent="0.2">
      <c r="A398" s="671" t="s">
        <v>168</v>
      </c>
      <c r="B398" s="644" t="s">
        <v>168</v>
      </c>
      <c r="C398" s="645"/>
      <c r="D398" s="451" t="s">
        <v>262</v>
      </c>
      <c r="E398" s="423"/>
      <c r="F398" s="805">
        <v>0.2</v>
      </c>
      <c r="G398" s="425">
        <v>0.83409999999999995</v>
      </c>
      <c r="H398" s="663">
        <f t="shared" si="120"/>
        <v>2.4138853999999998</v>
      </c>
      <c r="I398" s="420">
        <v>0</v>
      </c>
      <c r="J398" s="420"/>
      <c r="K398" s="421">
        <f t="shared" si="117"/>
        <v>0</v>
      </c>
      <c r="L398" s="647" t="s">
        <v>614</v>
      </c>
      <c r="M398" s="703"/>
      <c r="N398" s="576">
        <f t="shared" si="103"/>
        <v>0</v>
      </c>
      <c r="O398" s="577">
        <f t="shared" si="112"/>
        <v>0</v>
      </c>
      <c r="P398" s="578">
        <f t="shared" si="113"/>
        <v>0</v>
      </c>
      <c r="Q398" s="765"/>
      <c r="R398" s="703"/>
      <c r="S398" s="670"/>
      <c r="T398" s="577">
        <f t="shared" si="110"/>
        <v>0</v>
      </c>
      <c r="U398" s="578">
        <f t="shared" si="111"/>
        <v>0</v>
      </c>
      <c r="V398" s="579"/>
      <c r="W398" s="637" t="str">
        <f>IF(U395&gt;0,"xx",IF(P395&gt;0,"xy",""))</f>
        <v>xx</v>
      </c>
      <c r="X398" s="586" t="str">
        <f t="shared" si="108"/>
        <v>x</v>
      </c>
      <c r="Y398" s="586" t="str">
        <f t="shared" si="102"/>
        <v>x</v>
      </c>
      <c r="Z398" s="586" t="str">
        <f t="shared" si="106"/>
        <v/>
      </c>
    </row>
    <row r="399" spans="1:26" x14ac:dyDescent="0.2">
      <c r="A399" s="671" t="s">
        <v>168</v>
      </c>
      <c r="B399" s="644" t="s">
        <v>168</v>
      </c>
      <c r="C399" s="645"/>
      <c r="D399" s="451" t="s">
        <v>263</v>
      </c>
      <c r="E399" s="423"/>
      <c r="F399" s="805">
        <v>20.6</v>
      </c>
      <c r="G399" s="425">
        <f>SUM(G395:G398)</f>
        <v>1</v>
      </c>
      <c r="H399" s="651">
        <f>IF(F399&lt;=30,(1.07*F399+6.45)*G399,((1.07*30+6.45)+1.07*(F399-30))*G399)</f>
        <v>28.492000000000001</v>
      </c>
      <c r="I399" s="420">
        <v>0</v>
      </c>
      <c r="J399" s="420"/>
      <c r="K399" s="421">
        <f t="shared" si="117"/>
        <v>0</v>
      </c>
      <c r="L399" s="647" t="s">
        <v>614</v>
      </c>
      <c r="M399" s="703"/>
      <c r="N399" s="576">
        <f t="shared" si="103"/>
        <v>0</v>
      </c>
      <c r="O399" s="577">
        <f t="shared" si="112"/>
        <v>0</v>
      </c>
      <c r="P399" s="578">
        <f t="shared" si="113"/>
        <v>0</v>
      </c>
      <c r="Q399" s="765"/>
      <c r="R399" s="703"/>
      <c r="S399" s="670"/>
      <c r="T399" s="577">
        <f t="shared" si="110"/>
        <v>0</v>
      </c>
      <c r="U399" s="578">
        <f t="shared" si="111"/>
        <v>0</v>
      </c>
      <c r="V399" s="579"/>
      <c r="W399" s="637" t="str">
        <f>IF(U395&gt;0,"xx",IF(P395&gt;0,"xy",""))</f>
        <v>xx</v>
      </c>
      <c r="X399" s="586" t="str">
        <f t="shared" si="108"/>
        <v>x</v>
      </c>
      <c r="Y399" s="586" t="str">
        <f t="shared" si="102"/>
        <v>x</v>
      </c>
      <c r="Z399" s="586" t="str">
        <f t="shared" si="106"/>
        <v/>
      </c>
    </row>
    <row r="400" spans="1:26" ht="12" thickBot="1" x14ac:dyDescent="0.25">
      <c r="A400" s="671">
        <v>589000</v>
      </c>
      <c r="B400" s="704" t="s">
        <v>1786</v>
      </c>
      <c r="C400" s="689" t="s">
        <v>1746</v>
      </c>
      <c r="D400" s="477" t="s">
        <v>659</v>
      </c>
      <c r="E400" s="470"/>
      <c r="F400" s="806">
        <v>465</v>
      </c>
      <c r="G400" s="479">
        <v>1</v>
      </c>
      <c r="H400" s="663">
        <f>(0.94*F400+46.06)*G400</f>
        <v>483.15999999999997</v>
      </c>
      <c r="I400" s="472">
        <v>5725</v>
      </c>
      <c r="J400" s="472">
        <f>IF(ISBLANK(I400),"",I400*(1+$F$9)/(1+$F$10))+H400</f>
        <v>6038.0627859607785</v>
      </c>
      <c r="K400" s="690">
        <f t="shared" si="117"/>
        <v>7173.82</v>
      </c>
      <c r="L400" s="691" t="s">
        <v>20</v>
      </c>
      <c r="M400" s="692">
        <f>ROUND(M395*G395,2)</f>
        <v>6.66</v>
      </c>
      <c r="N400" s="588">
        <f t="shared" si="103"/>
        <v>7173.82</v>
      </c>
      <c r="O400" s="693">
        <f t="shared" si="112"/>
        <v>47777.64</v>
      </c>
      <c r="P400" s="694">
        <f t="shared" si="113"/>
        <v>47777.64</v>
      </c>
      <c r="Q400" s="765"/>
      <c r="R400" s="695">
        <f>ROUND(R395*G395,2)</f>
        <v>6.66</v>
      </c>
      <c r="S400" s="711">
        <f>N400</f>
        <v>7173.82</v>
      </c>
      <c r="T400" s="693">
        <f t="shared" si="110"/>
        <v>47777.64</v>
      </c>
      <c r="U400" s="694">
        <f t="shared" si="111"/>
        <v>47777.64</v>
      </c>
      <c r="V400" s="579"/>
      <c r="W400" s="637" t="str">
        <f>IF(U395&gt;0,"xx",IF(P395&gt;0,"xy",""))</f>
        <v>xx</v>
      </c>
      <c r="X400" s="586" t="str">
        <f t="shared" si="108"/>
        <v>x</v>
      </c>
      <c r="Y400" s="586" t="str">
        <f t="shared" si="102"/>
        <v>x</v>
      </c>
      <c r="Z400" s="586" t="str">
        <f t="shared" si="106"/>
        <v>x</v>
      </c>
    </row>
    <row r="401" spans="1:26" ht="12" hidden="1" thickBot="1" x14ac:dyDescent="0.25">
      <c r="A401" s="671">
        <v>570000</v>
      </c>
      <c r="B401" s="701" t="s">
        <v>1787</v>
      </c>
      <c r="C401" s="702" t="s">
        <v>206</v>
      </c>
      <c r="D401" s="463" t="s">
        <v>2101</v>
      </c>
      <c r="E401" s="464"/>
      <c r="F401" s="465" t="s">
        <v>662</v>
      </c>
      <c r="G401" s="466">
        <v>5.5E-2</v>
      </c>
      <c r="H401" s="681">
        <f>SUM(H402:H405)</f>
        <v>55.825289800000007</v>
      </c>
      <c r="I401" s="467">
        <v>201.51</v>
      </c>
      <c r="J401" s="467">
        <f>IF(ISBLANK(I401),"",SUM(H401:I401))</f>
        <v>257.3352898</v>
      </c>
      <c r="K401" s="682">
        <f t="shared" si="117"/>
        <v>305.74</v>
      </c>
      <c r="L401" s="683" t="s">
        <v>20</v>
      </c>
      <c r="M401" s="685"/>
      <c r="N401" s="686">
        <f t="shared" si="103"/>
        <v>0</v>
      </c>
      <c r="O401" s="687">
        <f t="shared" si="112"/>
        <v>0</v>
      </c>
      <c r="P401" s="688">
        <f t="shared" si="113"/>
        <v>0</v>
      </c>
      <c r="Q401" s="765"/>
      <c r="R401" s="685">
        <f>M401</f>
        <v>0</v>
      </c>
      <c r="S401" s="686">
        <f>N401</f>
        <v>0</v>
      </c>
      <c r="T401" s="687">
        <f t="shared" si="110"/>
        <v>0</v>
      </c>
      <c r="U401" s="688">
        <f t="shared" si="111"/>
        <v>0</v>
      </c>
      <c r="V401" s="579"/>
      <c r="W401" s="566"/>
      <c r="X401" s="586" t="str">
        <f t="shared" si="108"/>
        <v/>
      </c>
      <c r="Y401" s="586" t="str">
        <f t="shared" si="102"/>
        <v/>
      </c>
      <c r="Z401" s="586" t="str">
        <f t="shared" si="106"/>
        <v/>
      </c>
    </row>
    <row r="402" spans="1:26" ht="12" hidden="1" thickBot="1" x14ac:dyDescent="0.25">
      <c r="A402" s="671" t="s">
        <v>168</v>
      </c>
      <c r="B402" s="644" t="s">
        <v>168</v>
      </c>
      <c r="C402" s="645"/>
      <c r="D402" s="451" t="s">
        <v>248</v>
      </c>
      <c r="E402" s="423"/>
      <c r="F402" s="424">
        <v>180</v>
      </c>
      <c r="G402" s="425">
        <v>0.1002</v>
      </c>
      <c r="H402" s="663">
        <f t="shared" ref="H402:H404" si="121">IF(F402&lt;=30,(1.07*F402+2.68)*G402,((1.07*30+2.68)+1.07*(F402-30))*G402)</f>
        <v>19.567056000000001</v>
      </c>
      <c r="I402" s="420">
        <v>0</v>
      </c>
      <c r="J402" s="420"/>
      <c r="K402" s="421">
        <f t="shared" si="117"/>
        <v>0</v>
      </c>
      <c r="L402" s="647" t="s">
        <v>614</v>
      </c>
      <c r="M402" s="703"/>
      <c r="N402" s="576">
        <f t="shared" si="103"/>
        <v>0</v>
      </c>
      <c r="O402" s="577">
        <f t="shared" si="112"/>
        <v>0</v>
      </c>
      <c r="P402" s="578">
        <f t="shared" si="113"/>
        <v>0</v>
      </c>
      <c r="Q402" s="765"/>
      <c r="R402" s="703"/>
      <c r="S402" s="670"/>
      <c r="T402" s="577">
        <f t="shared" si="110"/>
        <v>0</v>
      </c>
      <c r="U402" s="578">
        <f t="shared" si="111"/>
        <v>0</v>
      </c>
      <c r="V402" s="579"/>
      <c r="W402" s="637" t="str">
        <f>IF(U401&gt;0,"xx",IF(P401&gt;0,"xy",""))</f>
        <v/>
      </c>
      <c r="X402" s="586" t="str">
        <f t="shared" si="108"/>
        <v/>
      </c>
      <c r="Y402" s="586" t="str">
        <f t="shared" si="102"/>
        <v/>
      </c>
      <c r="Z402" s="586" t="str">
        <f t="shared" si="106"/>
        <v/>
      </c>
    </row>
    <row r="403" spans="1:26" ht="12" hidden="1" thickBot="1" x14ac:dyDescent="0.25">
      <c r="A403" s="671" t="s">
        <v>168</v>
      </c>
      <c r="B403" s="644" t="s">
        <v>168</v>
      </c>
      <c r="C403" s="645"/>
      <c r="D403" s="451" t="s">
        <v>249</v>
      </c>
      <c r="E403" s="423"/>
      <c r="F403" s="424">
        <v>500</v>
      </c>
      <c r="G403" s="425">
        <v>1.5100000000000001E-2</v>
      </c>
      <c r="H403" s="649">
        <f>IF(F403&lt;=30,(0.78*F403+7.82)*G403,((0.78*30+7.82)+0.78*(F403-30))*G403)</f>
        <v>6.0070820000000014</v>
      </c>
      <c r="I403" s="420">
        <v>0</v>
      </c>
      <c r="J403" s="420"/>
      <c r="K403" s="421">
        <f t="shared" si="117"/>
        <v>0</v>
      </c>
      <c r="L403" s="647" t="s">
        <v>614</v>
      </c>
      <c r="M403" s="703"/>
      <c r="N403" s="576">
        <f t="shared" si="103"/>
        <v>0</v>
      </c>
      <c r="O403" s="577">
        <f t="shared" si="112"/>
        <v>0</v>
      </c>
      <c r="P403" s="578">
        <f t="shared" si="113"/>
        <v>0</v>
      </c>
      <c r="Q403" s="765"/>
      <c r="R403" s="703"/>
      <c r="S403" s="670"/>
      <c r="T403" s="577">
        <f t="shared" si="110"/>
        <v>0</v>
      </c>
      <c r="U403" s="578">
        <f t="shared" si="111"/>
        <v>0</v>
      </c>
      <c r="V403" s="579"/>
      <c r="W403" s="637" t="str">
        <f>IF(U401&gt;0,"xx",IF(P401&gt;0,"xy",""))</f>
        <v/>
      </c>
      <c r="X403" s="586" t="str">
        <f t="shared" si="108"/>
        <v/>
      </c>
      <c r="Y403" s="586" t="str">
        <f t="shared" ref="Y403:Y466" si="122">IF(W403="X","x",IF(W403="y","x",IF(W403="xx","x",IF(U403&gt;0,"x",""))))</f>
        <v/>
      </c>
      <c r="Z403" s="586" t="str">
        <f t="shared" si="106"/>
        <v/>
      </c>
    </row>
    <row r="404" spans="1:26" ht="12" hidden="1" thickBot="1" x14ac:dyDescent="0.25">
      <c r="A404" s="671" t="s">
        <v>168</v>
      </c>
      <c r="B404" s="644" t="s">
        <v>168</v>
      </c>
      <c r="C404" s="645"/>
      <c r="D404" s="451" t="s">
        <v>262</v>
      </c>
      <c r="E404" s="423"/>
      <c r="F404" s="424">
        <v>0.2</v>
      </c>
      <c r="G404" s="425">
        <v>0.82969999999999999</v>
      </c>
      <c r="H404" s="663">
        <f t="shared" si="121"/>
        <v>2.4011518000000001</v>
      </c>
      <c r="I404" s="420">
        <v>0</v>
      </c>
      <c r="J404" s="420"/>
      <c r="K404" s="421">
        <f t="shared" si="117"/>
        <v>0</v>
      </c>
      <c r="L404" s="647" t="s">
        <v>614</v>
      </c>
      <c r="M404" s="703"/>
      <c r="N404" s="576">
        <f t="shared" ref="N404:N467" si="123">IF(M404=0,0,K404)</f>
        <v>0</v>
      </c>
      <c r="O404" s="577">
        <f t="shared" si="112"/>
        <v>0</v>
      </c>
      <c r="P404" s="578">
        <f t="shared" si="113"/>
        <v>0</v>
      </c>
      <c r="Q404" s="765"/>
      <c r="R404" s="703"/>
      <c r="S404" s="670"/>
      <c r="T404" s="577">
        <f t="shared" si="110"/>
        <v>0</v>
      </c>
      <c r="U404" s="578">
        <f t="shared" si="111"/>
        <v>0</v>
      </c>
      <c r="V404" s="579"/>
      <c r="W404" s="637" t="str">
        <f>IF(U401&gt;0,"xx",IF(P401&gt;0,"xy",""))</f>
        <v/>
      </c>
      <c r="X404" s="586" t="str">
        <f t="shared" si="108"/>
        <v/>
      </c>
      <c r="Y404" s="586" t="str">
        <f t="shared" si="122"/>
        <v/>
      </c>
      <c r="Z404" s="586" t="str">
        <f t="shared" si="106"/>
        <v/>
      </c>
    </row>
    <row r="405" spans="1:26" ht="12" hidden="1" thickBot="1" x14ac:dyDescent="0.25">
      <c r="A405" s="671" t="s">
        <v>168</v>
      </c>
      <c r="B405" s="644" t="s">
        <v>168</v>
      </c>
      <c r="C405" s="645"/>
      <c r="D405" s="451" t="s">
        <v>263</v>
      </c>
      <c r="E405" s="423"/>
      <c r="F405" s="424">
        <v>20</v>
      </c>
      <c r="G405" s="425">
        <f>SUM(G401:G404)</f>
        <v>1</v>
      </c>
      <c r="H405" s="651">
        <f>IF(F405&lt;=30,(1.07*F405+6.45)*G405,((1.07*30+6.45)+1.07*(F405-30))*G405)</f>
        <v>27.85</v>
      </c>
      <c r="I405" s="420">
        <v>0</v>
      </c>
      <c r="J405" s="420"/>
      <c r="K405" s="421">
        <f t="shared" si="117"/>
        <v>0</v>
      </c>
      <c r="L405" s="647" t="s">
        <v>614</v>
      </c>
      <c r="M405" s="703"/>
      <c r="N405" s="576">
        <f t="shared" si="123"/>
        <v>0</v>
      </c>
      <c r="O405" s="577">
        <f t="shared" si="112"/>
        <v>0</v>
      </c>
      <c r="P405" s="578">
        <f t="shared" si="113"/>
        <v>0</v>
      </c>
      <c r="Q405" s="765"/>
      <c r="R405" s="703"/>
      <c r="S405" s="670"/>
      <c r="T405" s="577">
        <f t="shared" si="110"/>
        <v>0</v>
      </c>
      <c r="U405" s="578">
        <f t="shared" si="111"/>
        <v>0</v>
      </c>
      <c r="V405" s="579"/>
      <c r="W405" s="637" t="str">
        <f>IF(U401&gt;0,"xx",IF(P401&gt;0,"xy",""))</f>
        <v/>
      </c>
      <c r="X405" s="586" t="str">
        <f t="shared" si="108"/>
        <v/>
      </c>
      <c r="Y405" s="586" t="str">
        <f t="shared" si="122"/>
        <v/>
      </c>
      <c r="Z405" s="586" t="str">
        <f t="shared" si="106"/>
        <v/>
      </c>
    </row>
    <row r="406" spans="1:26" ht="12" hidden="1" thickBot="1" x14ac:dyDescent="0.25">
      <c r="A406" s="671">
        <v>589000</v>
      </c>
      <c r="B406" s="704" t="s">
        <v>1788</v>
      </c>
      <c r="C406" s="689" t="s">
        <v>1746</v>
      </c>
      <c r="D406" s="477" t="s">
        <v>659</v>
      </c>
      <c r="E406" s="470"/>
      <c r="F406" s="478">
        <v>500</v>
      </c>
      <c r="G406" s="479">
        <v>1</v>
      </c>
      <c r="H406" s="663">
        <f>(0.94*F406+46.06)*G406</f>
        <v>516.05999999999995</v>
      </c>
      <c r="I406" s="472">
        <v>5725</v>
      </c>
      <c r="J406" s="472">
        <f>IF(ISBLANK(I406),"",I406*(1+$F$9)/(1+$F$10))+H406</f>
        <v>6070.962785960779</v>
      </c>
      <c r="K406" s="690">
        <f t="shared" si="117"/>
        <v>7212.91</v>
      </c>
      <c r="L406" s="691" t="s">
        <v>20</v>
      </c>
      <c r="M406" s="692">
        <f>ROUND(M401*G401,2)</f>
        <v>0</v>
      </c>
      <c r="N406" s="696">
        <f t="shared" si="123"/>
        <v>0</v>
      </c>
      <c r="O406" s="693">
        <f t="shared" si="112"/>
        <v>0</v>
      </c>
      <c r="P406" s="694">
        <f t="shared" si="113"/>
        <v>0</v>
      </c>
      <c r="Q406" s="765"/>
      <c r="R406" s="695">
        <f>ROUND(R401*G401,2)</f>
        <v>0</v>
      </c>
      <c r="S406" s="711">
        <f>N406</f>
        <v>0</v>
      </c>
      <c r="T406" s="693">
        <f t="shared" si="110"/>
        <v>0</v>
      </c>
      <c r="U406" s="694">
        <f t="shared" si="111"/>
        <v>0</v>
      </c>
      <c r="V406" s="579"/>
      <c r="W406" s="637" t="str">
        <f>IF(U401&gt;0,"xx",IF(P401&gt;0,"xy",""))</f>
        <v/>
      </c>
      <c r="X406" s="586" t="str">
        <f t="shared" si="108"/>
        <v/>
      </c>
      <c r="Y406" s="586" t="str">
        <f t="shared" si="122"/>
        <v/>
      </c>
      <c r="Z406" s="586" t="str">
        <f t="shared" si="106"/>
        <v/>
      </c>
    </row>
    <row r="407" spans="1:26" ht="12" hidden="1" thickBot="1" x14ac:dyDescent="0.25">
      <c r="A407" s="671">
        <v>570000</v>
      </c>
      <c r="B407" s="701" t="s">
        <v>1789</v>
      </c>
      <c r="C407" s="702" t="s">
        <v>206</v>
      </c>
      <c r="D407" s="463" t="s">
        <v>2102</v>
      </c>
      <c r="E407" s="464"/>
      <c r="F407" s="465" t="s">
        <v>662</v>
      </c>
      <c r="G407" s="466">
        <v>5.7000000000000002E-2</v>
      </c>
      <c r="H407" s="681">
        <f>SUM(H408:H411)</f>
        <v>55.741532000000007</v>
      </c>
      <c r="I407" s="467">
        <v>201.51</v>
      </c>
      <c r="J407" s="467">
        <f>IF(ISBLANK(I407),"",SUM(H407:I407))</f>
        <v>257.251532</v>
      </c>
      <c r="K407" s="682">
        <f t="shared" si="117"/>
        <v>305.64</v>
      </c>
      <c r="L407" s="683" t="s">
        <v>20</v>
      </c>
      <c r="M407" s="685"/>
      <c r="N407" s="576">
        <f t="shared" si="123"/>
        <v>0</v>
      </c>
      <c r="O407" s="687">
        <f t="shared" si="112"/>
        <v>0</v>
      </c>
      <c r="P407" s="688">
        <f t="shared" si="113"/>
        <v>0</v>
      </c>
      <c r="Q407" s="765"/>
      <c r="R407" s="685">
        <f>M407</f>
        <v>0</v>
      </c>
      <c r="S407" s="686">
        <f>N407</f>
        <v>0</v>
      </c>
      <c r="T407" s="687">
        <f t="shared" si="110"/>
        <v>0</v>
      </c>
      <c r="U407" s="688">
        <f t="shared" si="111"/>
        <v>0</v>
      </c>
      <c r="V407" s="579"/>
      <c r="W407" s="566"/>
      <c r="X407" s="586" t="str">
        <f t="shared" si="108"/>
        <v/>
      </c>
      <c r="Y407" s="586" t="str">
        <f t="shared" si="122"/>
        <v/>
      </c>
      <c r="Z407" s="586" t="str">
        <f t="shared" si="106"/>
        <v/>
      </c>
    </row>
    <row r="408" spans="1:26" ht="12" hidden="1" thickBot="1" x14ac:dyDescent="0.25">
      <c r="A408" s="671" t="s">
        <v>168</v>
      </c>
      <c r="B408" s="644" t="s">
        <v>168</v>
      </c>
      <c r="C408" s="645"/>
      <c r="D408" s="451" t="s">
        <v>248</v>
      </c>
      <c r="E408" s="423"/>
      <c r="F408" s="424">
        <v>180</v>
      </c>
      <c r="G408" s="425">
        <v>0.1</v>
      </c>
      <c r="H408" s="663">
        <f t="shared" ref="H408:H410" si="124">IF(F408&lt;=30,(1.07*F408+2.68)*G408,((1.07*30+2.68)+1.07*(F408-30))*G408)</f>
        <v>19.528000000000002</v>
      </c>
      <c r="I408" s="420">
        <v>0</v>
      </c>
      <c r="J408" s="420"/>
      <c r="K408" s="421">
        <f t="shared" si="117"/>
        <v>0</v>
      </c>
      <c r="L408" s="647" t="s">
        <v>614</v>
      </c>
      <c r="M408" s="703"/>
      <c r="N408" s="576">
        <f t="shared" si="123"/>
        <v>0</v>
      </c>
      <c r="O408" s="577">
        <f t="shared" si="112"/>
        <v>0</v>
      </c>
      <c r="P408" s="578">
        <f t="shared" si="113"/>
        <v>0</v>
      </c>
      <c r="Q408" s="765"/>
      <c r="R408" s="703"/>
      <c r="S408" s="670"/>
      <c r="T408" s="577">
        <f t="shared" si="110"/>
        <v>0</v>
      </c>
      <c r="U408" s="578">
        <f t="shared" si="111"/>
        <v>0</v>
      </c>
      <c r="V408" s="579"/>
      <c r="W408" s="637" t="str">
        <f>IF(U407&gt;0,"xx",IF(P407&gt;0,"xy",""))</f>
        <v/>
      </c>
      <c r="X408" s="586" t="str">
        <f t="shared" si="108"/>
        <v/>
      </c>
      <c r="Y408" s="586" t="str">
        <f t="shared" si="122"/>
        <v/>
      </c>
      <c r="Z408" s="586" t="str">
        <f t="shared" si="106"/>
        <v/>
      </c>
    </row>
    <row r="409" spans="1:26" ht="12" hidden="1" thickBot="1" x14ac:dyDescent="0.25">
      <c r="A409" s="671" t="s">
        <v>168</v>
      </c>
      <c r="B409" s="644" t="s">
        <v>168</v>
      </c>
      <c r="C409" s="645"/>
      <c r="D409" s="451" t="s">
        <v>249</v>
      </c>
      <c r="E409" s="423"/>
      <c r="F409" s="424">
        <v>500</v>
      </c>
      <c r="G409" s="425">
        <v>1.4999999999999999E-2</v>
      </c>
      <c r="H409" s="649">
        <f>IF(F409&lt;=30,(0.78*F409+7.82)*G409,((0.78*30+7.82)+0.78*(F409-30))*G409)</f>
        <v>5.9673000000000007</v>
      </c>
      <c r="I409" s="420">
        <v>0</v>
      </c>
      <c r="J409" s="420"/>
      <c r="K409" s="421">
        <f t="shared" si="117"/>
        <v>0</v>
      </c>
      <c r="L409" s="647" t="s">
        <v>614</v>
      </c>
      <c r="M409" s="703"/>
      <c r="N409" s="576">
        <f t="shared" si="123"/>
        <v>0</v>
      </c>
      <c r="O409" s="577">
        <f t="shared" si="112"/>
        <v>0</v>
      </c>
      <c r="P409" s="578">
        <f t="shared" si="113"/>
        <v>0</v>
      </c>
      <c r="Q409" s="765"/>
      <c r="R409" s="703"/>
      <c r="S409" s="670"/>
      <c r="T409" s="577">
        <f t="shared" si="110"/>
        <v>0</v>
      </c>
      <c r="U409" s="578">
        <f t="shared" si="111"/>
        <v>0</v>
      </c>
      <c r="V409" s="579"/>
      <c r="W409" s="637" t="str">
        <f>IF(U407&gt;0,"xx",IF(P407&gt;0,"xy",""))</f>
        <v/>
      </c>
      <c r="X409" s="586" t="str">
        <f t="shared" si="108"/>
        <v/>
      </c>
      <c r="Y409" s="586" t="str">
        <f t="shared" si="122"/>
        <v/>
      </c>
      <c r="Z409" s="586" t="str">
        <f t="shared" si="106"/>
        <v/>
      </c>
    </row>
    <row r="410" spans="1:26" ht="12" hidden="1" thickBot="1" x14ac:dyDescent="0.25">
      <c r="A410" s="671" t="s">
        <v>168</v>
      </c>
      <c r="B410" s="644" t="s">
        <v>168</v>
      </c>
      <c r="C410" s="645"/>
      <c r="D410" s="451" t="s">
        <v>262</v>
      </c>
      <c r="E410" s="423"/>
      <c r="F410" s="424">
        <v>0.2</v>
      </c>
      <c r="G410" s="425">
        <v>0.82799999999999996</v>
      </c>
      <c r="H410" s="663">
        <f t="shared" si="124"/>
        <v>2.3962319999999999</v>
      </c>
      <c r="I410" s="420">
        <v>0</v>
      </c>
      <c r="J410" s="420"/>
      <c r="K410" s="421">
        <f t="shared" si="117"/>
        <v>0</v>
      </c>
      <c r="L410" s="647" t="s">
        <v>614</v>
      </c>
      <c r="M410" s="703"/>
      <c r="N410" s="576">
        <f t="shared" si="123"/>
        <v>0</v>
      </c>
      <c r="O410" s="577">
        <f t="shared" si="112"/>
        <v>0</v>
      </c>
      <c r="P410" s="578">
        <f t="shared" si="113"/>
        <v>0</v>
      </c>
      <c r="Q410" s="765"/>
      <c r="R410" s="703"/>
      <c r="S410" s="670"/>
      <c r="T410" s="577">
        <f t="shared" si="110"/>
        <v>0</v>
      </c>
      <c r="U410" s="578">
        <f t="shared" si="111"/>
        <v>0</v>
      </c>
      <c r="V410" s="579"/>
      <c r="W410" s="637" t="str">
        <f>IF(U407&gt;0,"xx",IF(P407&gt;0,"xy",""))</f>
        <v/>
      </c>
      <c r="X410" s="586" t="str">
        <f t="shared" si="108"/>
        <v/>
      </c>
      <c r="Y410" s="586" t="str">
        <f t="shared" si="122"/>
        <v/>
      </c>
      <c r="Z410" s="586" t="str">
        <f t="shared" si="106"/>
        <v/>
      </c>
    </row>
    <row r="411" spans="1:26" ht="12" hidden="1" thickBot="1" x14ac:dyDescent="0.25">
      <c r="A411" s="671" t="s">
        <v>168</v>
      </c>
      <c r="B411" s="644" t="s">
        <v>168</v>
      </c>
      <c r="C411" s="645"/>
      <c r="D411" s="451" t="s">
        <v>263</v>
      </c>
      <c r="E411" s="423"/>
      <c r="F411" s="424">
        <v>20</v>
      </c>
      <c r="G411" s="425">
        <f>SUM(G407:G410)</f>
        <v>1</v>
      </c>
      <c r="H411" s="651">
        <f>IF(F411&lt;=30,(1.07*F411+6.45)*G411,((1.07*30+6.45)+1.07*(F411-30))*G411)</f>
        <v>27.85</v>
      </c>
      <c r="I411" s="420">
        <v>0</v>
      </c>
      <c r="J411" s="420"/>
      <c r="K411" s="421">
        <f t="shared" si="117"/>
        <v>0</v>
      </c>
      <c r="L411" s="647" t="s">
        <v>614</v>
      </c>
      <c r="M411" s="703"/>
      <c r="N411" s="576">
        <f t="shared" si="123"/>
        <v>0</v>
      </c>
      <c r="O411" s="577">
        <f t="shared" si="112"/>
        <v>0</v>
      </c>
      <c r="P411" s="578">
        <f t="shared" si="113"/>
        <v>0</v>
      </c>
      <c r="Q411" s="765"/>
      <c r="R411" s="703"/>
      <c r="S411" s="670"/>
      <c r="T411" s="577">
        <f t="shared" si="110"/>
        <v>0</v>
      </c>
      <c r="U411" s="578">
        <f t="shared" si="111"/>
        <v>0</v>
      </c>
      <c r="V411" s="579"/>
      <c r="W411" s="637" t="str">
        <f>IF(U407&gt;0,"xx",IF(P407&gt;0,"xy",""))</f>
        <v/>
      </c>
      <c r="X411" s="586" t="str">
        <f t="shared" si="108"/>
        <v/>
      </c>
      <c r="Y411" s="586" t="str">
        <f t="shared" si="122"/>
        <v/>
      </c>
      <c r="Z411" s="586" t="str">
        <f t="shared" si="106"/>
        <v/>
      </c>
    </row>
    <row r="412" spans="1:26" ht="12" hidden="1" thickBot="1" x14ac:dyDescent="0.25">
      <c r="A412" s="671">
        <v>589000</v>
      </c>
      <c r="B412" s="704" t="s">
        <v>1790</v>
      </c>
      <c r="C412" s="689" t="s">
        <v>1746</v>
      </c>
      <c r="D412" s="477" t="s">
        <v>659</v>
      </c>
      <c r="E412" s="470"/>
      <c r="F412" s="478">
        <v>500</v>
      </c>
      <c r="G412" s="479">
        <v>1</v>
      </c>
      <c r="H412" s="663">
        <f>(0.94*F412+46.06)*G412</f>
        <v>516.05999999999995</v>
      </c>
      <c r="I412" s="472">
        <v>5725</v>
      </c>
      <c r="J412" s="472">
        <f>IF(ISBLANK(I412),"",I412*(1+$F$9)/(1+$F$10))+H412</f>
        <v>6070.962785960779</v>
      </c>
      <c r="K412" s="690">
        <f t="shared" si="117"/>
        <v>7212.91</v>
      </c>
      <c r="L412" s="691" t="s">
        <v>20</v>
      </c>
      <c r="M412" s="692">
        <f>ROUND(M407*G407,2)</f>
        <v>0</v>
      </c>
      <c r="N412" s="588">
        <f t="shared" si="123"/>
        <v>0</v>
      </c>
      <c r="O412" s="693">
        <f t="shared" si="112"/>
        <v>0</v>
      </c>
      <c r="P412" s="694">
        <f t="shared" si="113"/>
        <v>0</v>
      </c>
      <c r="Q412" s="765"/>
      <c r="R412" s="695">
        <f>ROUND(R407*G407,2)</f>
        <v>0</v>
      </c>
      <c r="S412" s="711">
        <f>N412</f>
        <v>0</v>
      </c>
      <c r="T412" s="693">
        <f t="shared" si="110"/>
        <v>0</v>
      </c>
      <c r="U412" s="694">
        <f t="shared" si="111"/>
        <v>0</v>
      </c>
      <c r="V412" s="579"/>
      <c r="W412" s="637" t="str">
        <f>IF(U407&gt;0,"xx",IF(P407&gt;0,"xy",""))</f>
        <v/>
      </c>
      <c r="X412" s="586" t="str">
        <f t="shared" si="108"/>
        <v/>
      </c>
      <c r="Y412" s="586" t="str">
        <f t="shared" si="122"/>
        <v/>
      </c>
      <c r="Z412" s="586" t="str">
        <f t="shared" si="106"/>
        <v/>
      </c>
    </row>
    <row r="413" spans="1:26" ht="12" hidden="1" thickBot="1" x14ac:dyDescent="0.25">
      <c r="A413" s="671">
        <v>570400</v>
      </c>
      <c r="B413" s="701" t="s">
        <v>1791</v>
      </c>
      <c r="C413" s="702" t="s">
        <v>206</v>
      </c>
      <c r="D413" s="463" t="s">
        <v>2103</v>
      </c>
      <c r="E413" s="464"/>
      <c r="F413" s="465" t="s">
        <v>662</v>
      </c>
      <c r="G413" s="466">
        <v>0.05</v>
      </c>
      <c r="H413" s="681">
        <f>SUM(H414:H417)</f>
        <v>55.975445399999998</v>
      </c>
      <c r="I413" s="467">
        <v>180.27999999999997</v>
      </c>
      <c r="J413" s="467">
        <f>IF(ISBLANK(I413),"",SUM(H413:I413))</f>
        <v>236.25544539999999</v>
      </c>
      <c r="K413" s="682">
        <f t="shared" si="117"/>
        <v>280.7</v>
      </c>
      <c r="L413" s="683" t="s">
        <v>20</v>
      </c>
      <c r="M413" s="685"/>
      <c r="N413" s="686">
        <f t="shared" si="123"/>
        <v>0</v>
      </c>
      <c r="O413" s="687">
        <f t="shared" si="112"/>
        <v>0</v>
      </c>
      <c r="P413" s="688">
        <f t="shared" si="113"/>
        <v>0</v>
      </c>
      <c r="Q413" s="765"/>
      <c r="R413" s="685">
        <f>M413</f>
        <v>0</v>
      </c>
      <c r="S413" s="686">
        <f>N413</f>
        <v>0</v>
      </c>
      <c r="T413" s="687">
        <f t="shared" si="110"/>
        <v>0</v>
      </c>
      <c r="U413" s="688">
        <f t="shared" si="111"/>
        <v>0</v>
      </c>
      <c r="V413" s="579"/>
      <c r="W413" s="566"/>
      <c r="X413" s="586" t="str">
        <f t="shared" si="108"/>
        <v/>
      </c>
      <c r="Y413" s="586" t="str">
        <f t="shared" si="122"/>
        <v/>
      </c>
      <c r="Z413" s="586" t="str">
        <f t="shared" ref="Z413:Z476" si="125">IF(W413="X","x",IF(U413&gt;0,"x",""))</f>
        <v/>
      </c>
    </row>
    <row r="414" spans="1:26" ht="12" hidden="1" thickBot="1" x14ac:dyDescent="0.25">
      <c r="A414" s="671" t="s">
        <v>168</v>
      </c>
      <c r="B414" s="644" t="s">
        <v>168</v>
      </c>
      <c r="C414" s="645"/>
      <c r="D414" s="451" t="s">
        <v>248</v>
      </c>
      <c r="E414" s="423"/>
      <c r="F414" s="424">
        <v>180</v>
      </c>
      <c r="G414" s="425">
        <v>0.1007</v>
      </c>
      <c r="H414" s="663">
        <f t="shared" ref="H414:H416" si="126">IF(F414&lt;=30,(1.07*F414+2.68)*G414,((1.07*30+2.68)+1.07*(F414-30))*G414)</f>
        <v>19.664695999999999</v>
      </c>
      <c r="I414" s="420">
        <v>0</v>
      </c>
      <c r="J414" s="420"/>
      <c r="K414" s="421">
        <f t="shared" si="117"/>
        <v>0</v>
      </c>
      <c r="L414" s="647" t="s">
        <v>614</v>
      </c>
      <c r="M414" s="703"/>
      <c r="N414" s="576">
        <f t="shared" si="123"/>
        <v>0</v>
      </c>
      <c r="O414" s="577">
        <f t="shared" si="112"/>
        <v>0</v>
      </c>
      <c r="P414" s="578">
        <f t="shared" si="113"/>
        <v>0</v>
      </c>
      <c r="Q414" s="765"/>
      <c r="R414" s="703"/>
      <c r="S414" s="670"/>
      <c r="T414" s="577">
        <f t="shared" si="110"/>
        <v>0</v>
      </c>
      <c r="U414" s="578">
        <f t="shared" si="111"/>
        <v>0</v>
      </c>
      <c r="V414" s="579"/>
      <c r="W414" s="637" t="str">
        <f>IF(U413&gt;0,"xx",IF(P413&gt;0,"xy",""))</f>
        <v/>
      </c>
      <c r="X414" s="586" t="str">
        <f t="shared" si="108"/>
        <v/>
      </c>
      <c r="Y414" s="586" t="str">
        <f>IF(W414="X","x",IF(W414="y","x",IF(W414="xx","x",IF(U414&gt;0,"x",""))))</f>
        <v/>
      </c>
      <c r="Z414" s="586" t="str">
        <f t="shared" si="125"/>
        <v/>
      </c>
    </row>
    <row r="415" spans="1:26" ht="12" hidden="1" thickBot="1" x14ac:dyDescent="0.25">
      <c r="A415" s="671" t="s">
        <v>168</v>
      </c>
      <c r="B415" s="644" t="s">
        <v>168</v>
      </c>
      <c r="C415" s="645"/>
      <c r="D415" s="451" t="s">
        <v>249</v>
      </c>
      <c r="E415" s="423"/>
      <c r="F415" s="424">
        <v>500</v>
      </c>
      <c r="G415" s="425">
        <v>1.52E-2</v>
      </c>
      <c r="H415" s="649">
        <f>IF(F415&lt;=30,(0.78*F415+7.82)*G415,((0.78*30+7.82)+0.78*(F415-30))*G415)</f>
        <v>6.0468640000000011</v>
      </c>
      <c r="I415" s="420">
        <v>0</v>
      </c>
      <c r="J415" s="420"/>
      <c r="K415" s="421">
        <f t="shared" si="117"/>
        <v>0</v>
      </c>
      <c r="L415" s="647" t="s">
        <v>614</v>
      </c>
      <c r="M415" s="703"/>
      <c r="N415" s="576">
        <f t="shared" si="123"/>
        <v>0</v>
      </c>
      <c r="O415" s="577">
        <f t="shared" si="112"/>
        <v>0</v>
      </c>
      <c r="P415" s="578">
        <f t="shared" si="113"/>
        <v>0</v>
      </c>
      <c r="Q415" s="765"/>
      <c r="R415" s="703"/>
      <c r="S415" s="670"/>
      <c r="T415" s="577">
        <f t="shared" si="110"/>
        <v>0</v>
      </c>
      <c r="U415" s="578">
        <f t="shared" si="111"/>
        <v>0</v>
      </c>
      <c r="V415" s="579"/>
      <c r="W415" s="637" t="str">
        <f>IF(U413&gt;0,"xx",IF(P413&gt;0,"xy",""))</f>
        <v/>
      </c>
      <c r="X415" s="586" t="str">
        <f t="shared" si="108"/>
        <v/>
      </c>
      <c r="Y415" s="586" t="str">
        <f>IF(W415="X","x",IF(W415="y","x",IF(W415="xx","x",IF(U415&gt;0,"x",""))))</f>
        <v/>
      </c>
      <c r="Z415" s="586" t="str">
        <f t="shared" si="125"/>
        <v/>
      </c>
    </row>
    <row r="416" spans="1:26" ht="12" hidden="1" thickBot="1" x14ac:dyDescent="0.25">
      <c r="A416" s="671" t="s">
        <v>168</v>
      </c>
      <c r="B416" s="644" t="s">
        <v>168</v>
      </c>
      <c r="C416" s="645"/>
      <c r="D416" s="451" t="s">
        <v>262</v>
      </c>
      <c r="E416" s="423"/>
      <c r="F416" s="424">
        <v>0.2</v>
      </c>
      <c r="G416" s="425">
        <v>0.83409999999999995</v>
      </c>
      <c r="H416" s="663">
        <f t="shared" si="126"/>
        <v>2.4138853999999998</v>
      </c>
      <c r="I416" s="420">
        <v>0</v>
      </c>
      <c r="J416" s="420"/>
      <c r="K416" s="421">
        <f t="shared" si="117"/>
        <v>0</v>
      </c>
      <c r="L416" s="647" t="s">
        <v>614</v>
      </c>
      <c r="M416" s="703"/>
      <c r="N416" s="576">
        <f t="shared" si="123"/>
        <v>0</v>
      </c>
      <c r="O416" s="577">
        <f t="shared" si="112"/>
        <v>0</v>
      </c>
      <c r="P416" s="578">
        <f t="shared" si="113"/>
        <v>0</v>
      </c>
      <c r="Q416" s="765"/>
      <c r="R416" s="703"/>
      <c r="S416" s="670"/>
      <c r="T416" s="577">
        <f t="shared" si="110"/>
        <v>0</v>
      </c>
      <c r="U416" s="578">
        <f t="shared" si="111"/>
        <v>0</v>
      </c>
      <c r="V416" s="579"/>
      <c r="W416" s="637" t="str">
        <f>IF(U413&gt;0,"xx",IF(P413&gt;0,"xy",""))</f>
        <v/>
      </c>
      <c r="X416" s="586" t="str">
        <f t="shared" si="108"/>
        <v/>
      </c>
      <c r="Y416" s="586" t="str">
        <f>IF(W416="X","x",IF(W416="y","x",IF(W416="xx","x",IF(U416&gt;0,"x",""))))</f>
        <v/>
      </c>
      <c r="Z416" s="586" t="str">
        <f t="shared" si="125"/>
        <v/>
      </c>
    </row>
    <row r="417" spans="1:26" ht="12" hidden="1" thickBot="1" x14ac:dyDescent="0.25">
      <c r="A417" s="671" t="s">
        <v>168</v>
      </c>
      <c r="B417" s="644" t="s">
        <v>168</v>
      </c>
      <c r="C417" s="645"/>
      <c r="D417" s="451" t="s">
        <v>263</v>
      </c>
      <c r="E417" s="423"/>
      <c r="F417" s="424">
        <v>20</v>
      </c>
      <c r="G417" s="425">
        <f>SUM(G413:G416)</f>
        <v>1</v>
      </c>
      <c r="H417" s="651">
        <f>IF(F417&lt;=30,(1.07*F417+6.45)*G417,((1.07*30+6.45)+1.07*(F417-30))*G417)</f>
        <v>27.85</v>
      </c>
      <c r="I417" s="420">
        <v>0</v>
      </c>
      <c r="J417" s="420"/>
      <c r="K417" s="421">
        <f t="shared" si="117"/>
        <v>0</v>
      </c>
      <c r="L417" s="647" t="s">
        <v>614</v>
      </c>
      <c r="M417" s="703"/>
      <c r="N417" s="576">
        <f t="shared" si="123"/>
        <v>0</v>
      </c>
      <c r="O417" s="577">
        <f t="shared" si="112"/>
        <v>0</v>
      </c>
      <c r="P417" s="578">
        <f t="shared" si="113"/>
        <v>0</v>
      </c>
      <c r="Q417" s="765"/>
      <c r="R417" s="703"/>
      <c r="S417" s="670"/>
      <c r="T417" s="577">
        <f t="shared" si="110"/>
        <v>0</v>
      </c>
      <c r="U417" s="578">
        <f t="shared" si="111"/>
        <v>0</v>
      </c>
      <c r="V417" s="579"/>
      <c r="W417" s="637" t="str">
        <f>IF(U413&gt;0,"xx",IF(P413&gt;0,"xy",""))</f>
        <v/>
      </c>
      <c r="X417" s="586" t="str">
        <f t="shared" si="108"/>
        <v/>
      </c>
      <c r="Y417" s="586" t="str">
        <f>IF(W417="X","x",IF(W417="y","x",IF(W417="xx","x",IF(U417&gt;0,"x",""))))</f>
        <v/>
      </c>
      <c r="Z417" s="586" t="str">
        <f t="shared" si="125"/>
        <v/>
      </c>
    </row>
    <row r="418" spans="1:26" ht="12" hidden="1" thickBot="1" x14ac:dyDescent="0.25">
      <c r="A418" s="671">
        <v>589000</v>
      </c>
      <c r="B418" s="704" t="s">
        <v>1792</v>
      </c>
      <c r="C418" s="689" t="s">
        <v>1746</v>
      </c>
      <c r="D418" s="477" t="s">
        <v>660</v>
      </c>
      <c r="E418" s="470"/>
      <c r="F418" s="478">
        <v>500</v>
      </c>
      <c r="G418" s="479">
        <v>1</v>
      </c>
      <c r="H418" s="663">
        <f>(0.94*F418+46.06)*G418</f>
        <v>516.05999999999995</v>
      </c>
      <c r="I418" s="472">
        <v>5725</v>
      </c>
      <c r="J418" s="472">
        <f>IF(ISBLANK(I418),"",I418*(1+$F$9)/(1+$F$10))+H418</f>
        <v>6070.962785960779</v>
      </c>
      <c r="K418" s="690">
        <f t="shared" si="117"/>
        <v>7212.91</v>
      </c>
      <c r="L418" s="691" t="s">
        <v>20</v>
      </c>
      <c r="M418" s="692">
        <f>ROUND(M413*G413,2)</f>
        <v>0</v>
      </c>
      <c r="N418" s="696">
        <f t="shared" si="123"/>
        <v>0</v>
      </c>
      <c r="O418" s="693">
        <f t="shared" si="112"/>
        <v>0</v>
      </c>
      <c r="P418" s="694">
        <f t="shared" si="113"/>
        <v>0</v>
      </c>
      <c r="Q418" s="765"/>
      <c r="R418" s="695">
        <f>ROUND(R413*G413,2)</f>
        <v>0</v>
      </c>
      <c r="S418" s="711">
        <f>N418</f>
        <v>0</v>
      </c>
      <c r="T418" s="693">
        <f t="shared" si="110"/>
        <v>0</v>
      </c>
      <c r="U418" s="694">
        <f t="shared" si="111"/>
        <v>0</v>
      </c>
      <c r="V418" s="579"/>
      <c r="W418" s="637" t="str">
        <f>IF(U413&gt;0,"xx",IF(P413&gt;0,"xy",""))</f>
        <v/>
      </c>
      <c r="X418" s="586" t="str">
        <f t="shared" ref="X418:X481" si="127">IF(W418="X","x",IF(W418="xx","x",IF(W418="xy","x",IF(W418="y","x",IF(OR(P418&gt;0,U418&gt;0),"x","")))))</f>
        <v/>
      </c>
      <c r="Y418" s="586" t="str">
        <f t="shared" si="122"/>
        <v/>
      </c>
      <c r="Z418" s="586" t="str">
        <f t="shared" si="125"/>
        <v/>
      </c>
    </row>
    <row r="419" spans="1:26" ht="12" hidden="1" thickBot="1" x14ac:dyDescent="0.25">
      <c r="A419" s="671">
        <v>570400</v>
      </c>
      <c r="B419" s="701" t="s">
        <v>1793</v>
      </c>
      <c r="C419" s="702" t="s">
        <v>206</v>
      </c>
      <c r="D419" s="463" t="s">
        <v>2104</v>
      </c>
      <c r="E419" s="464"/>
      <c r="F419" s="465" t="s">
        <v>662</v>
      </c>
      <c r="G419" s="466">
        <v>5.5E-2</v>
      </c>
      <c r="H419" s="681">
        <f>SUM(H420:H423)</f>
        <v>55.825289800000007</v>
      </c>
      <c r="I419" s="467">
        <v>180.27999999999997</v>
      </c>
      <c r="J419" s="467">
        <f>IF(ISBLANK(I419),"",SUM(H419:I419))</f>
        <v>236.10528979999998</v>
      </c>
      <c r="K419" s="682">
        <f t="shared" si="117"/>
        <v>280.52</v>
      </c>
      <c r="L419" s="683" t="s">
        <v>20</v>
      </c>
      <c r="M419" s="685"/>
      <c r="N419" s="576">
        <f t="shared" si="123"/>
        <v>0</v>
      </c>
      <c r="O419" s="687">
        <f t="shared" si="112"/>
        <v>0</v>
      </c>
      <c r="P419" s="688">
        <f t="shared" si="113"/>
        <v>0</v>
      </c>
      <c r="Q419" s="765"/>
      <c r="R419" s="685">
        <f>M419</f>
        <v>0</v>
      </c>
      <c r="S419" s="686">
        <f>N419</f>
        <v>0</v>
      </c>
      <c r="T419" s="687">
        <f t="shared" si="110"/>
        <v>0</v>
      </c>
      <c r="U419" s="688">
        <f t="shared" si="111"/>
        <v>0</v>
      </c>
      <c r="V419" s="579"/>
      <c r="W419" s="566"/>
      <c r="X419" s="586" t="str">
        <f t="shared" si="127"/>
        <v/>
      </c>
      <c r="Y419" s="586" t="str">
        <f t="shared" si="122"/>
        <v/>
      </c>
      <c r="Z419" s="586" t="str">
        <f t="shared" si="125"/>
        <v/>
      </c>
    </row>
    <row r="420" spans="1:26" ht="12" hidden="1" thickBot="1" x14ac:dyDescent="0.25">
      <c r="A420" s="671" t="s">
        <v>168</v>
      </c>
      <c r="B420" s="644" t="s">
        <v>168</v>
      </c>
      <c r="C420" s="645"/>
      <c r="D420" s="451" t="s">
        <v>248</v>
      </c>
      <c r="E420" s="423"/>
      <c r="F420" s="424">
        <v>180</v>
      </c>
      <c r="G420" s="425">
        <v>0.1002</v>
      </c>
      <c r="H420" s="663">
        <f t="shared" ref="H420:H422" si="128">IF(F420&lt;=30,(1.07*F420+2.68)*G420,((1.07*30+2.68)+1.07*(F420-30))*G420)</f>
        <v>19.567056000000001</v>
      </c>
      <c r="I420" s="420">
        <v>0</v>
      </c>
      <c r="J420" s="420"/>
      <c r="K420" s="421">
        <f t="shared" si="117"/>
        <v>0</v>
      </c>
      <c r="L420" s="647" t="s">
        <v>614</v>
      </c>
      <c r="M420" s="703"/>
      <c r="N420" s="576">
        <f t="shared" si="123"/>
        <v>0</v>
      </c>
      <c r="O420" s="577">
        <f t="shared" si="112"/>
        <v>0</v>
      </c>
      <c r="P420" s="578">
        <f t="shared" si="113"/>
        <v>0</v>
      </c>
      <c r="Q420" s="765"/>
      <c r="R420" s="703"/>
      <c r="S420" s="670"/>
      <c r="T420" s="577">
        <f t="shared" si="110"/>
        <v>0</v>
      </c>
      <c r="U420" s="578">
        <f t="shared" si="111"/>
        <v>0</v>
      </c>
      <c r="V420" s="579"/>
      <c r="W420" s="637" t="str">
        <f>IF(U419&gt;0,"xx",IF(P419&gt;0,"xy",""))</f>
        <v/>
      </c>
      <c r="X420" s="586" t="str">
        <f t="shared" si="127"/>
        <v/>
      </c>
      <c r="Y420" s="586" t="str">
        <f t="shared" si="122"/>
        <v/>
      </c>
      <c r="Z420" s="586" t="str">
        <f t="shared" si="125"/>
        <v/>
      </c>
    </row>
    <row r="421" spans="1:26" ht="12" hidden="1" thickBot="1" x14ac:dyDescent="0.25">
      <c r="A421" s="671" t="s">
        <v>168</v>
      </c>
      <c r="B421" s="644" t="s">
        <v>168</v>
      </c>
      <c r="C421" s="645"/>
      <c r="D421" s="451" t="s">
        <v>249</v>
      </c>
      <c r="E421" s="423"/>
      <c r="F421" s="424">
        <v>500</v>
      </c>
      <c r="G421" s="425">
        <v>1.5100000000000001E-2</v>
      </c>
      <c r="H421" s="649">
        <f>IF(F421&lt;=30,(0.78*F421+7.82)*G421,((0.78*30+7.82)+0.78*(F421-30))*G421)</f>
        <v>6.0070820000000014</v>
      </c>
      <c r="I421" s="420">
        <v>0</v>
      </c>
      <c r="J421" s="420"/>
      <c r="K421" s="421">
        <f t="shared" si="117"/>
        <v>0</v>
      </c>
      <c r="L421" s="647" t="s">
        <v>614</v>
      </c>
      <c r="M421" s="703"/>
      <c r="N421" s="576">
        <f t="shared" si="123"/>
        <v>0</v>
      </c>
      <c r="O421" s="577">
        <f t="shared" si="112"/>
        <v>0</v>
      </c>
      <c r="P421" s="578">
        <f t="shared" si="113"/>
        <v>0</v>
      </c>
      <c r="Q421" s="765"/>
      <c r="R421" s="703"/>
      <c r="S421" s="670"/>
      <c r="T421" s="577">
        <f t="shared" si="110"/>
        <v>0</v>
      </c>
      <c r="U421" s="578">
        <f t="shared" si="111"/>
        <v>0</v>
      </c>
      <c r="V421" s="579"/>
      <c r="W421" s="637" t="str">
        <f>IF(U419&gt;0,"xx",IF(P419&gt;0,"xy",""))</f>
        <v/>
      </c>
      <c r="X421" s="586" t="str">
        <f t="shared" si="127"/>
        <v/>
      </c>
      <c r="Y421" s="586" t="str">
        <f t="shared" si="122"/>
        <v/>
      </c>
      <c r="Z421" s="586" t="str">
        <f t="shared" si="125"/>
        <v/>
      </c>
    </row>
    <row r="422" spans="1:26" ht="12" hidden="1" thickBot="1" x14ac:dyDescent="0.25">
      <c r="A422" s="671" t="s">
        <v>168</v>
      </c>
      <c r="B422" s="644" t="s">
        <v>168</v>
      </c>
      <c r="C422" s="645"/>
      <c r="D422" s="451" t="s">
        <v>262</v>
      </c>
      <c r="E422" s="423"/>
      <c r="F422" s="424">
        <v>0.2</v>
      </c>
      <c r="G422" s="425">
        <v>0.82969999999999999</v>
      </c>
      <c r="H422" s="663">
        <f t="shared" si="128"/>
        <v>2.4011518000000001</v>
      </c>
      <c r="I422" s="420">
        <v>0</v>
      </c>
      <c r="J422" s="420"/>
      <c r="K422" s="421">
        <f t="shared" si="117"/>
        <v>0</v>
      </c>
      <c r="L422" s="647" t="s">
        <v>614</v>
      </c>
      <c r="M422" s="703"/>
      <c r="N422" s="576">
        <f t="shared" si="123"/>
        <v>0</v>
      </c>
      <c r="O422" s="577">
        <f t="shared" si="112"/>
        <v>0</v>
      </c>
      <c r="P422" s="578">
        <f t="shared" si="113"/>
        <v>0</v>
      </c>
      <c r="Q422" s="765"/>
      <c r="R422" s="703"/>
      <c r="S422" s="670"/>
      <c r="T422" s="577">
        <f t="shared" si="110"/>
        <v>0</v>
      </c>
      <c r="U422" s="578">
        <f t="shared" si="111"/>
        <v>0</v>
      </c>
      <c r="V422" s="579"/>
      <c r="W422" s="637" t="str">
        <f>IF(U419&gt;0,"xx",IF(P419&gt;0,"xy",""))</f>
        <v/>
      </c>
      <c r="X422" s="586" t="str">
        <f t="shared" si="127"/>
        <v/>
      </c>
      <c r="Y422" s="586" t="str">
        <f t="shared" si="122"/>
        <v/>
      </c>
      <c r="Z422" s="586" t="str">
        <f t="shared" si="125"/>
        <v/>
      </c>
    </row>
    <row r="423" spans="1:26" ht="12" hidden="1" thickBot="1" x14ac:dyDescent="0.25">
      <c r="A423" s="671" t="s">
        <v>168</v>
      </c>
      <c r="B423" s="644" t="s">
        <v>168</v>
      </c>
      <c r="C423" s="645"/>
      <c r="D423" s="451" t="s">
        <v>263</v>
      </c>
      <c r="E423" s="423"/>
      <c r="F423" s="424">
        <v>20</v>
      </c>
      <c r="G423" s="425">
        <f>SUM(G419:G422)</f>
        <v>1</v>
      </c>
      <c r="H423" s="651">
        <f>IF(F423&lt;=30,(1.07*F423+6.45)*G423,((1.07*30+6.45)+1.07*(F423-30))*G423)</f>
        <v>27.85</v>
      </c>
      <c r="I423" s="420">
        <v>0</v>
      </c>
      <c r="J423" s="420"/>
      <c r="K423" s="421">
        <f t="shared" si="117"/>
        <v>0</v>
      </c>
      <c r="L423" s="647" t="s">
        <v>614</v>
      </c>
      <c r="M423" s="703"/>
      <c r="N423" s="576">
        <f t="shared" si="123"/>
        <v>0</v>
      </c>
      <c r="O423" s="577">
        <f t="shared" si="112"/>
        <v>0</v>
      </c>
      <c r="P423" s="578">
        <f t="shared" si="113"/>
        <v>0</v>
      </c>
      <c r="Q423" s="765"/>
      <c r="R423" s="703"/>
      <c r="S423" s="670"/>
      <c r="T423" s="577">
        <f t="shared" si="110"/>
        <v>0</v>
      </c>
      <c r="U423" s="578">
        <f t="shared" si="111"/>
        <v>0</v>
      </c>
      <c r="V423" s="579"/>
      <c r="W423" s="637" t="str">
        <f>IF(U419&gt;0,"xx",IF(P419&gt;0,"xy",""))</f>
        <v/>
      </c>
      <c r="X423" s="586" t="str">
        <f t="shared" si="127"/>
        <v/>
      </c>
      <c r="Y423" s="586" t="str">
        <f t="shared" si="122"/>
        <v/>
      </c>
      <c r="Z423" s="586" t="str">
        <f t="shared" si="125"/>
        <v/>
      </c>
    </row>
    <row r="424" spans="1:26" ht="12" hidden="1" thickBot="1" x14ac:dyDescent="0.25">
      <c r="A424" s="671">
        <v>589000</v>
      </c>
      <c r="B424" s="704" t="s">
        <v>1794</v>
      </c>
      <c r="C424" s="689" t="s">
        <v>1746</v>
      </c>
      <c r="D424" s="477" t="s">
        <v>660</v>
      </c>
      <c r="E424" s="470"/>
      <c r="F424" s="478">
        <v>500</v>
      </c>
      <c r="G424" s="479">
        <v>1</v>
      </c>
      <c r="H424" s="663">
        <f>(0.94*F424+46.06)*G424</f>
        <v>516.05999999999995</v>
      </c>
      <c r="I424" s="472">
        <v>5725</v>
      </c>
      <c r="J424" s="472">
        <f>IF(ISBLANK(I424),"",I424*(1+$F$9)/(1+$F$10))+H424</f>
        <v>6070.962785960779</v>
      </c>
      <c r="K424" s="690">
        <f t="shared" si="117"/>
        <v>7212.91</v>
      </c>
      <c r="L424" s="691" t="s">
        <v>20</v>
      </c>
      <c r="M424" s="692">
        <f>ROUND(M419*G419,2)</f>
        <v>0</v>
      </c>
      <c r="N424" s="588">
        <f t="shared" si="123"/>
        <v>0</v>
      </c>
      <c r="O424" s="693">
        <f t="shared" si="112"/>
        <v>0</v>
      </c>
      <c r="P424" s="694">
        <f t="shared" si="113"/>
        <v>0</v>
      </c>
      <c r="Q424" s="765"/>
      <c r="R424" s="695">
        <f>ROUND(R419*G419,2)</f>
        <v>0</v>
      </c>
      <c r="S424" s="711">
        <f>N424</f>
        <v>0</v>
      </c>
      <c r="T424" s="693">
        <f t="shared" si="110"/>
        <v>0</v>
      </c>
      <c r="U424" s="694">
        <f t="shared" si="111"/>
        <v>0</v>
      </c>
      <c r="V424" s="579"/>
      <c r="W424" s="637" t="str">
        <f>IF(U419&gt;0,"xx",IF(P419&gt;0,"xy",""))</f>
        <v/>
      </c>
      <c r="X424" s="586" t="str">
        <f t="shared" si="127"/>
        <v/>
      </c>
      <c r="Y424" s="586" t="str">
        <f t="shared" si="122"/>
        <v/>
      </c>
      <c r="Z424" s="586" t="str">
        <f t="shared" si="125"/>
        <v/>
      </c>
    </row>
    <row r="425" spans="1:26" ht="12" hidden="1" thickBot="1" x14ac:dyDescent="0.25">
      <c r="A425" s="671">
        <v>570400</v>
      </c>
      <c r="B425" s="701" t="s">
        <v>1795</v>
      </c>
      <c r="C425" s="702" t="s">
        <v>206</v>
      </c>
      <c r="D425" s="463" t="s">
        <v>2105</v>
      </c>
      <c r="E425" s="464"/>
      <c r="F425" s="465" t="s">
        <v>662</v>
      </c>
      <c r="G425" s="466">
        <v>5.7000000000000002E-2</v>
      </c>
      <c r="H425" s="681">
        <f>SUM(H426:H429)</f>
        <v>55.741532000000007</v>
      </c>
      <c r="I425" s="467">
        <v>180.27999999999997</v>
      </c>
      <c r="J425" s="467">
        <f>IF(ISBLANK(I425),"",SUM(H425:I425))</f>
        <v>236.02153199999998</v>
      </c>
      <c r="K425" s="682">
        <f t="shared" si="117"/>
        <v>280.42</v>
      </c>
      <c r="L425" s="683" t="s">
        <v>20</v>
      </c>
      <c r="M425" s="685"/>
      <c r="N425" s="686">
        <f t="shared" si="123"/>
        <v>0</v>
      </c>
      <c r="O425" s="687">
        <f t="shared" si="112"/>
        <v>0</v>
      </c>
      <c r="P425" s="688">
        <f t="shared" si="113"/>
        <v>0</v>
      </c>
      <c r="Q425" s="765"/>
      <c r="R425" s="685">
        <f>M425</f>
        <v>0</v>
      </c>
      <c r="S425" s="686">
        <f>N425</f>
        <v>0</v>
      </c>
      <c r="T425" s="687">
        <f t="shared" si="110"/>
        <v>0</v>
      </c>
      <c r="U425" s="688">
        <f t="shared" si="111"/>
        <v>0</v>
      </c>
      <c r="V425" s="579"/>
      <c r="W425" s="566"/>
      <c r="X425" s="586" t="str">
        <f t="shared" si="127"/>
        <v/>
      </c>
      <c r="Y425" s="586" t="str">
        <f t="shared" si="122"/>
        <v/>
      </c>
      <c r="Z425" s="586" t="str">
        <f t="shared" si="125"/>
        <v/>
      </c>
    </row>
    <row r="426" spans="1:26" ht="12" hidden="1" thickBot="1" x14ac:dyDescent="0.25">
      <c r="A426" s="671" t="s">
        <v>168</v>
      </c>
      <c r="B426" s="644" t="s">
        <v>168</v>
      </c>
      <c r="C426" s="645"/>
      <c r="D426" s="451" t="s">
        <v>248</v>
      </c>
      <c r="E426" s="423"/>
      <c r="F426" s="424">
        <v>180</v>
      </c>
      <c r="G426" s="425">
        <v>0.1</v>
      </c>
      <c r="H426" s="663">
        <f t="shared" ref="H426:H428" si="129">IF(F426&lt;=30,(1.07*F426+2.68)*G426,((1.07*30+2.68)+1.07*(F426-30))*G426)</f>
        <v>19.528000000000002</v>
      </c>
      <c r="I426" s="420">
        <v>0</v>
      </c>
      <c r="J426" s="420"/>
      <c r="K426" s="421">
        <f t="shared" si="117"/>
        <v>0</v>
      </c>
      <c r="L426" s="647" t="s">
        <v>614</v>
      </c>
      <c r="M426" s="703"/>
      <c r="N426" s="576">
        <f t="shared" si="123"/>
        <v>0</v>
      </c>
      <c r="O426" s="577">
        <f t="shared" si="112"/>
        <v>0</v>
      </c>
      <c r="P426" s="578">
        <f t="shared" si="113"/>
        <v>0</v>
      </c>
      <c r="Q426" s="765"/>
      <c r="R426" s="703"/>
      <c r="S426" s="670"/>
      <c r="T426" s="577">
        <f t="shared" si="110"/>
        <v>0</v>
      </c>
      <c r="U426" s="578">
        <f t="shared" si="111"/>
        <v>0</v>
      </c>
      <c r="V426" s="579"/>
      <c r="W426" s="637" t="str">
        <f>IF(U425&gt;0,"xx",IF(P425&gt;0,"xy",""))</f>
        <v/>
      </c>
      <c r="X426" s="586" t="str">
        <f t="shared" si="127"/>
        <v/>
      </c>
      <c r="Y426" s="586" t="str">
        <f t="shared" si="122"/>
        <v/>
      </c>
      <c r="Z426" s="586" t="str">
        <f t="shared" si="125"/>
        <v/>
      </c>
    </row>
    <row r="427" spans="1:26" ht="12" hidden="1" thickBot="1" x14ac:dyDescent="0.25">
      <c r="A427" s="671" t="s">
        <v>168</v>
      </c>
      <c r="B427" s="644" t="s">
        <v>168</v>
      </c>
      <c r="C427" s="645"/>
      <c r="D427" s="451" t="s">
        <v>249</v>
      </c>
      <c r="E427" s="423"/>
      <c r="F427" s="424">
        <v>500</v>
      </c>
      <c r="G427" s="425">
        <v>1.4999999999999999E-2</v>
      </c>
      <c r="H427" s="649">
        <f>IF(F427&lt;=30,(0.78*F427+7.82)*G427,((0.78*30+7.82)+0.78*(F427-30))*G427)</f>
        <v>5.9673000000000007</v>
      </c>
      <c r="I427" s="420">
        <v>0</v>
      </c>
      <c r="J427" s="420"/>
      <c r="K427" s="421">
        <f t="shared" si="117"/>
        <v>0</v>
      </c>
      <c r="L427" s="647" t="s">
        <v>614</v>
      </c>
      <c r="M427" s="703"/>
      <c r="N427" s="576">
        <f t="shared" si="123"/>
        <v>0</v>
      </c>
      <c r="O427" s="577">
        <f t="shared" si="112"/>
        <v>0</v>
      </c>
      <c r="P427" s="578">
        <f t="shared" si="113"/>
        <v>0</v>
      </c>
      <c r="Q427" s="765"/>
      <c r="R427" s="703"/>
      <c r="S427" s="670"/>
      <c r="T427" s="577">
        <f t="shared" si="110"/>
        <v>0</v>
      </c>
      <c r="U427" s="578">
        <f t="shared" si="111"/>
        <v>0</v>
      </c>
      <c r="V427" s="579"/>
      <c r="W427" s="637" t="str">
        <f>IF(U425&gt;0,"xx",IF(P425&gt;0,"xy",""))</f>
        <v/>
      </c>
      <c r="X427" s="586" t="str">
        <f t="shared" si="127"/>
        <v/>
      </c>
      <c r="Y427" s="586" t="str">
        <f t="shared" si="122"/>
        <v/>
      </c>
      <c r="Z427" s="586" t="str">
        <f t="shared" si="125"/>
        <v/>
      </c>
    </row>
    <row r="428" spans="1:26" ht="12" hidden="1" thickBot="1" x14ac:dyDescent="0.25">
      <c r="A428" s="671" t="s">
        <v>168</v>
      </c>
      <c r="B428" s="644" t="s">
        <v>168</v>
      </c>
      <c r="C428" s="645"/>
      <c r="D428" s="451" t="s">
        <v>262</v>
      </c>
      <c r="E428" s="423"/>
      <c r="F428" s="424">
        <v>0.2</v>
      </c>
      <c r="G428" s="425">
        <v>0.82799999999999996</v>
      </c>
      <c r="H428" s="663">
        <f t="shared" si="129"/>
        <v>2.3962319999999999</v>
      </c>
      <c r="I428" s="420">
        <v>0</v>
      </c>
      <c r="J428" s="420"/>
      <c r="K428" s="421">
        <f t="shared" si="117"/>
        <v>0</v>
      </c>
      <c r="L428" s="647" t="s">
        <v>614</v>
      </c>
      <c r="M428" s="703"/>
      <c r="N428" s="576">
        <f t="shared" si="123"/>
        <v>0</v>
      </c>
      <c r="O428" s="577">
        <f t="shared" si="112"/>
        <v>0</v>
      </c>
      <c r="P428" s="578">
        <f t="shared" si="113"/>
        <v>0</v>
      </c>
      <c r="Q428" s="765"/>
      <c r="R428" s="703"/>
      <c r="S428" s="670"/>
      <c r="T428" s="577">
        <f t="shared" ref="T428:T548" si="130">IF(ISBLANK(R428),0,ROUND(K428*R428,2))</f>
        <v>0</v>
      </c>
      <c r="U428" s="578">
        <f t="shared" ref="U428:U548" si="131">IF(ISBLANK(R428),0,ROUND(R428*S428,2))</f>
        <v>0</v>
      </c>
      <c r="V428" s="579"/>
      <c r="W428" s="637" t="str">
        <f>IF(U425&gt;0,"xx",IF(P425&gt;0,"xy",""))</f>
        <v/>
      </c>
      <c r="X428" s="586" t="str">
        <f t="shared" si="127"/>
        <v/>
      </c>
      <c r="Y428" s="586" t="str">
        <f t="shared" si="122"/>
        <v/>
      </c>
      <c r="Z428" s="586" t="str">
        <f t="shared" si="125"/>
        <v/>
      </c>
    </row>
    <row r="429" spans="1:26" ht="12" hidden="1" thickBot="1" x14ac:dyDescent="0.25">
      <c r="A429" s="671" t="s">
        <v>168</v>
      </c>
      <c r="B429" s="644" t="s">
        <v>168</v>
      </c>
      <c r="C429" s="645"/>
      <c r="D429" s="451" t="s">
        <v>263</v>
      </c>
      <c r="E429" s="423"/>
      <c r="F429" s="424">
        <v>20</v>
      </c>
      <c r="G429" s="425">
        <f>SUM(G425:G428)</f>
        <v>1</v>
      </c>
      <c r="H429" s="651">
        <f>IF(F429&lt;=30,(1.07*F429+6.45)*G429,((1.07*30+6.45)+1.07*(F429-30))*G429)</f>
        <v>27.85</v>
      </c>
      <c r="I429" s="420">
        <v>0</v>
      </c>
      <c r="J429" s="420"/>
      <c r="K429" s="421">
        <f t="shared" si="117"/>
        <v>0</v>
      </c>
      <c r="L429" s="647" t="s">
        <v>614</v>
      </c>
      <c r="M429" s="703"/>
      <c r="N429" s="576">
        <f t="shared" si="123"/>
        <v>0</v>
      </c>
      <c r="O429" s="577">
        <f t="shared" ref="O429:O549" si="132">IF(ISBLANK(M429),0,ROUND(K429*M429,2))</f>
        <v>0</v>
      </c>
      <c r="P429" s="578">
        <f t="shared" ref="P429:P549" si="133">IF(ISBLANK(N429),0,ROUND(M429*N429,2))</f>
        <v>0</v>
      </c>
      <c r="Q429" s="765"/>
      <c r="R429" s="703"/>
      <c r="S429" s="670"/>
      <c r="T429" s="577">
        <f t="shared" si="130"/>
        <v>0</v>
      </c>
      <c r="U429" s="578">
        <f t="shared" si="131"/>
        <v>0</v>
      </c>
      <c r="V429" s="579"/>
      <c r="W429" s="637" t="str">
        <f>IF(U425&gt;0,"xx",IF(P425&gt;0,"xy",""))</f>
        <v/>
      </c>
      <c r="X429" s="586" t="str">
        <f t="shared" si="127"/>
        <v/>
      </c>
      <c r="Y429" s="586" t="str">
        <f t="shared" si="122"/>
        <v/>
      </c>
      <c r="Z429" s="586" t="str">
        <f t="shared" si="125"/>
        <v/>
      </c>
    </row>
    <row r="430" spans="1:26" ht="12" hidden="1" thickBot="1" x14ac:dyDescent="0.25">
      <c r="A430" s="671">
        <v>589000</v>
      </c>
      <c r="B430" s="704" t="s">
        <v>1796</v>
      </c>
      <c r="C430" s="689" t="s">
        <v>1746</v>
      </c>
      <c r="D430" s="477" t="s">
        <v>660</v>
      </c>
      <c r="E430" s="470"/>
      <c r="F430" s="478">
        <v>500</v>
      </c>
      <c r="G430" s="479">
        <v>1</v>
      </c>
      <c r="H430" s="663">
        <f>(0.94*F430+46.06)*G430</f>
        <v>516.05999999999995</v>
      </c>
      <c r="I430" s="472">
        <v>5725</v>
      </c>
      <c r="J430" s="472">
        <f>IF(ISBLANK(I430),"",I430*(1+$F$9)/(1+$F$10))+H430</f>
        <v>6070.962785960779</v>
      </c>
      <c r="K430" s="690">
        <f t="shared" si="117"/>
        <v>7212.91</v>
      </c>
      <c r="L430" s="691" t="s">
        <v>20</v>
      </c>
      <c r="M430" s="692">
        <f>ROUND(M425*G425,2)</f>
        <v>0</v>
      </c>
      <c r="N430" s="696">
        <f t="shared" si="123"/>
        <v>0</v>
      </c>
      <c r="O430" s="693">
        <f t="shared" si="132"/>
        <v>0</v>
      </c>
      <c r="P430" s="694">
        <f t="shared" si="133"/>
        <v>0</v>
      </c>
      <c r="Q430" s="765"/>
      <c r="R430" s="695">
        <f>ROUND(R425*G425,2)</f>
        <v>0</v>
      </c>
      <c r="S430" s="711">
        <f>N430</f>
        <v>0</v>
      </c>
      <c r="T430" s="693">
        <f t="shared" si="130"/>
        <v>0</v>
      </c>
      <c r="U430" s="694">
        <f t="shared" si="131"/>
        <v>0</v>
      </c>
      <c r="V430" s="579"/>
      <c r="W430" s="637" t="str">
        <f>IF(U425&gt;0,"xx",IF(P425&gt;0,"xy",""))</f>
        <v/>
      </c>
      <c r="X430" s="586" t="str">
        <f t="shared" si="127"/>
        <v/>
      </c>
      <c r="Y430" s="586" t="str">
        <f t="shared" si="122"/>
        <v/>
      </c>
      <c r="Z430" s="586" t="str">
        <f t="shared" si="125"/>
        <v/>
      </c>
    </row>
    <row r="431" spans="1:26" ht="26.25" hidden="1" customHeight="1" x14ac:dyDescent="0.2">
      <c r="A431" s="671">
        <v>570360</v>
      </c>
      <c r="B431" s="701">
        <v>570360</v>
      </c>
      <c r="C431" s="702" t="s">
        <v>206</v>
      </c>
      <c r="D431" s="463" t="s">
        <v>264</v>
      </c>
      <c r="E431" s="464"/>
      <c r="F431" s="487" t="s">
        <v>664</v>
      </c>
      <c r="G431" s="466">
        <v>5.8999999999999997E-2</v>
      </c>
      <c r="H431" s="681">
        <f>SUM(H432:H435)</f>
        <v>55.735744000000004</v>
      </c>
      <c r="I431" s="467">
        <v>189.82</v>
      </c>
      <c r="J431" s="467">
        <f>IF(ISBLANK(I431),"",SUM(H431:I431))</f>
        <v>245.555744</v>
      </c>
      <c r="K431" s="682">
        <f t="shared" si="117"/>
        <v>291.74</v>
      </c>
      <c r="L431" s="683" t="s">
        <v>20</v>
      </c>
      <c r="M431" s="685"/>
      <c r="N431" s="576">
        <f t="shared" si="123"/>
        <v>0</v>
      </c>
      <c r="O431" s="687">
        <f t="shared" si="132"/>
        <v>0</v>
      </c>
      <c r="P431" s="688">
        <f t="shared" si="133"/>
        <v>0</v>
      </c>
      <c r="Q431" s="765"/>
      <c r="R431" s="685">
        <f>M431</f>
        <v>0</v>
      </c>
      <c r="S431" s="686">
        <f>N431</f>
        <v>0</v>
      </c>
      <c r="T431" s="687">
        <f t="shared" si="130"/>
        <v>0</v>
      </c>
      <c r="U431" s="688">
        <f t="shared" si="131"/>
        <v>0</v>
      </c>
      <c r="V431" s="579"/>
      <c r="W431" s="566"/>
      <c r="X431" s="586" t="str">
        <f t="shared" si="127"/>
        <v/>
      </c>
      <c r="Y431" s="586" t="str">
        <f t="shared" si="122"/>
        <v/>
      </c>
      <c r="Z431" s="586" t="str">
        <f t="shared" si="125"/>
        <v/>
      </c>
    </row>
    <row r="432" spans="1:26" ht="12" hidden="1" thickBot="1" x14ac:dyDescent="0.25">
      <c r="A432" s="671" t="s">
        <v>168</v>
      </c>
      <c r="B432" s="644" t="s">
        <v>168</v>
      </c>
      <c r="C432" s="645"/>
      <c r="D432" s="451" t="s">
        <v>248</v>
      </c>
      <c r="E432" s="423"/>
      <c r="F432" s="424">
        <v>180</v>
      </c>
      <c r="G432" s="425">
        <v>0.1</v>
      </c>
      <c r="H432" s="663">
        <f t="shared" ref="H432:H434" si="134">IF(F432&lt;=30,(1.07*F432+2.68)*G432,((1.07*30+2.68)+1.07*(F432-30))*G432)</f>
        <v>19.528000000000002</v>
      </c>
      <c r="I432" s="420">
        <v>0</v>
      </c>
      <c r="J432" s="420"/>
      <c r="K432" s="421">
        <f t="shared" si="117"/>
        <v>0</v>
      </c>
      <c r="L432" s="647" t="s">
        <v>614</v>
      </c>
      <c r="M432" s="703"/>
      <c r="N432" s="576">
        <f t="shared" si="123"/>
        <v>0</v>
      </c>
      <c r="O432" s="577">
        <f t="shared" si="132"/>
        <v>0</v>
      </c>
      <c r="P432" s="578">
        <f t="shared" si="133"/>
        <v>0</v>
      </c>
      <c r="Q432" s="765"/>
      <c r="R432" s="703"/>
      <c r="S432" s="670"/>
      <c r="T432" s="577">
        <f t="shared" si="130"/>
        <v>0</v>
      </c>
      <c r="U432" s="578">
        <f t="shared" si="131"/>
        <v>0</v>
      </c>
      <c r="V432" s="579"/>
      <c r="W432" s="637" t="str">
        <f>IF(U431&gt;0,"xx",IF(P431&gt;0,"xy",""))</f>
        <v/>
      </c>
      <c r="X432" s="586" t="str">
        <f t="shared" si="127"/>
        <v/>
      </c>
      <c r="Y432" s="586" t="str">
        <f>IF(W432="X","x",IF(W432="y","x",IF(W432="xx","x",IF(U432&gt;0,"x",""))))</f>
        <v/>
      </c>
      <c r="Z432" s="586" t="str">
        <f t="shared" si="125"/>
        <v/>
      </c>
    </row>
    <row r="433" spans="1:26" ht="12" hidden="1" thickBot="1" x14ac:dyDescent="0.25">
      <c r="A433" s="671" t="s">
        <v>168</v>
      </c>
      <c r="B433" s="644" t="s">
        <v>168</v>
      </c>
      <c r="C433" s="645"/>
      <c r="D433" s="451" t="s">
        <v>249</v>
      </c>
      <c r="E433" s="423"/>
      <c r="F433" s="424">
        <v>500</v>
      </c>
      <c r="G433" s="425">
        <v>1.4999999999999999E-2</v>
      </c>
      <c r="H433" s="649">
        <f>IF(F433&lt;=30,(0.78*F433+7.82)*G433,((0.78*30+7.82)+0.78*(F433-30))*G433)</f>
        <v>5.9673000000000007</v>
      </c>
      <c r="I433" s="420">
        <v>0</v>
      </c>
      <c r="J433" s="420"/>
      <c r="K433" s="421">
        <f t="shared" si="117"/>
        <v>0</v>
      </c>
      <c r="L433" s="647" t="s">
        <v>614</v>
      </c>
      <c r="M433" s="703"/>
      <c r="N433" s="576">
        <f t="shared" si="123"/>
        <v>0</v>
      </c>
      <c r="O433" s="577">
        <f t="shared" si="132"/>
        <v>0</v>
      </c>
      <c r="P433" s="578">
        <f t="shared" si="133"/>
        <v>0</v>
      </c>
      <c r="Q433" s="765"/>
      <c r="R433" s="703"/>
      <c r="S433" s="670"/>
      <c r="T433" s="577">
        <f t="shared" si="130"/>
        <v>0</v>
      </c>
      <c r="U433" s="578">
        <f t="shared" si="131"/>
        <v>0</v>
      </c>
      <c r="V433" s="579"/>
      <c r="W433" s="637" t="str">
        <f>IF(U431&gt;0,"xx",IF(P431&gt;0,"xy",""))</f>
        <v/>
      </c>
      <c r="X433" s="586" t="str">
        <f t="shared" si="127"/>
        <v/>
      </c>
      <c r="Y433" s="586" t="str">
        <f>IF(W433="X","x",IF(W433="y","x",IF(W433="xx","x",IF(U433&gt;0,"x",""))))</f>
        <v/>
      </c>
      <c r="Z433" s="586" t="str">
        <f t="shared" si="125"/>
        <v/>
      </c>
    </row>
    <row r="434" spans="1:26" ht="12" hidden="1" thickBot="1" x14ac:dyDescent="0.25">
      <c r="A434" s="671" t="s">
        <v>168</v>
      </c>
      <c r="B434" s="644" t="s">
        <v>168</v>
      </c>
      <c r="C434" s="645"/>
      <c r="D434" s="451" t="s">
        <v>262</v>
      </c>
      <c r="E434" s="423"/>
      <c r="F434" s="424">
        <v>0.2</v>
      </c>
      <c r="G434" s="425">
        <v>0.82599999999999996</v>
      </c>
      <c r="H434" s="663">
        <f t="shared" si="134"/>
        <v>2.390444</v>
      </c>
      <c r="I434" s="420">
        <v>0</v>
      </c>
      <c r="J434" s="420"/>
      <c r="K434" s="421">
        <f t="shared" si="117"/>
        <v>0</v>
      </c>
      <c r="L434" s="647" t="s">
        <v>614</v>
      </c>
      <c r="M434" s="703"/>
      <c r="N434" s="576">
        <f t="shared" si="123"/>
        <v>0</v>
      </c>
      <c r="O434" s="577">
        <f t="shared" si="132"/>
        <v>0</v>
      </c>
      <c r="P434" s="578">
        <f t="shared" si="133"/>
        <v>0</v>
      </c>
      <c r="Q434" s="765"/>
      <c r="R434" s="703"/>
      <c r="S434" s="670"/>
      <c r="T434" s="577">
        <f t="shared" si="130"/>
        <v>0</v>
      </c>
      <c r="U434" s="578">
        <f t="shared" si="131"/>
        <v>0</v>
      </c>
      <c r="V434" s="579"/>
      <c r="W434" s="637" t="str">
        <f>IF(U431&gt;0,"xx",IF(P431&gt;0,"xy",""))</f>
        <v/>
      </c>
      <c r="X434" s="586" t="str">
        <f t="shared" si="127"/>
        <v/>
      </c>
      <c r="Y434" s="586" t="str">
        <f>IF(W434="X","x",IF(W434="y","x",IF(W434="xx","x",IF(U434&gt;0,"x",""))))</f>
        <v/>
      </c>
      <c r="Z434" s="586" t="str">
        <f t="shared" si="125"/>
        <v/>
      </c>
    </row>
    <row r="435" spans="1:26" ht="12" hidden="1" thickBot="1" x14ac:dyDescent="0.25">
      <c r="A435" s="671" t="s">
        <v>168</v>
      </c>
      <c r="B435" s="644" t="s">
        <v>168</v>
      </c>
      <c r="C435" s="645"/>
      <c r="D435" s="451" t="s">
        <v>263</v>
      </c>
      <c r="E435" s="423"/>
      <c r="F435" s="424">
        <v>20</v>
      </c>
      <c r="G435" s="425">
        <f>SUM(G431:G434)</f>
        <v>1</v>
      </c>
      <c r="H435" s="651">
        <f>IF(F435&lt;=30,(1.07*F435+6.45)*G435,((1.07*30+6.45)+1.07*(F435-30))*G435)</f>
        <v>27.85</v>
      </c>
      <c r="I435" s="420">
        <v>0</v>
      </c>
      <c r="J435" s="420"/>
      <c r="K435" s="421">
        <f t="shared" si="117"/>
        <v>0</v>
      </c>
      <c r="L435" s="647" t="s">
        <v>614</v>
      </c>
      <c r="M435" s="703"/>
      <c r="N435" s="576">
        <f t="shared" si="123"/>
        <v>0</v>
      </c>
      <c r="O435" s="577">
        <f t="shared" si="132"/>
        <v>0</v>
      </c>
      <c r="P435" s="578">
        <f t="shared" si="133"/>
        <v>0</v>
      </c>
      <c r="Q435" s="765"/>
      <c r="R435" s="703"/>
      <c r="S435" s="670"/>
      <c r="T435" s="577">
        <f t="shared" si="130"/>
        <v>0</v>
      </c>
      <c r="U435" s="578">
        <f t="shared" si="131"/>
        <v>0</v>
      </c>
      <c r="V435" s="579"/>
      <c r="W435" s="637" t="str">
        <f>IF(U431&gt;0,"xx",IF(P431&gt;0,"xy",""))</f>
        <v/>
      </c>
      <c r="X435" s="586" t="str">
        <f t="shared" si="127"/>
        <v/>
      </c>
      <c r="Y435" s="586" t="str">
        <f>IF(W435="X","x",IF(W435="y","x",IF(W435="xx","x",IF(U435&gt;0,"x",""))))</f>
        <v/>
      </c>
      <c r="Z435" s="586" t="str">
        <f t="shared" si="125"/>
        <v/>
      </c>
    </row>
    <row r="436" spans="1:26" ht="12" hidden="1" thickBot="1" x14ac:dyDescent="0.25">
      <c r="A436" s="671">
        <v>589040</v>
      </c>
      <c r="B436" s="704">
        <v>589040</v>
      </c>
      <c r="C436" s="689" t="s">
        <v>1746</v>
      </c>
      <c r="D436" s="477" t="s">
        <v>2069</v>
      </c>
      <c r="E436" s="470"/>
      <c r="F436" s="478">
        <v>500</v>
      </c>
      <c r="G436" s="479">
        <v>1</v>
      </c>
      <c r="H436" s="663">
        <f>(0.94*F436+46.06)*G436</f>
        <v>516.05999999999995</v>
      </c>
      <c r="I436" s="472">
        <v>7130</v>
      </c>
      <c r="J436" s="472">
        <f>IF(ISBLANK(I436),"",I436*(1+$F$9)/(1+$F$10))+H436</f>
        <v>7434.2184041747332</v>
      </c>
      <c r="K436" s="690">
        <f t="shared" si="117"/>
        <v>8832.59</v>
      </c>
      <c r="L436" s="691" t="s">
        <v>20</v>
      </c>
      <c r="M436" s="692">
        <f>ROUND(M431*G431,2)</f>
        <v>0</v>
      </c>
      <c r="N436" s="588">
        <f t="shared" si="123"/>
        <v>0</v>
      </c>
      <c r="O436" s="693">
        <f t="shared" si="132"/>
        <v>0</v>
      </c>
      <c r="P436" s="694">
        <f t="shared" si="133"/>
        <v>0</v>
      </c>
      <c r="Q436" s="765"/>
      <c r="R436" s="695">
        <f>ROUND(R431*G431,2)</f>
        <v>0</v>
      </c>
      <c r="S436" s="711">
        <f>N436</f>
        <v>0</v>
      </c>
      <c r="T436" s="693">
        <f t="shared" si="130"/>
        <v>0</v>
      </c>
      <c r="U436" s="694">
        <f t="shared" si="131"/>
        <v>0</v>
      </c>
      <c r="V436" s="579"/>
      <c r="W436" s="637" t="str">
        <f>IF(U431&gt;0,"xx",IF(P431&gt;0,"xy",""))</f>
        <v/>
      </c>
      <c r="X436" s="586" t="str">
        <f t="shared" si="127"/>
        <v/>
      </c>
      <c r="Y436" s="586" t="str">
        <f t="shared" si="122"/>
        <v/>
      </c>
      <c r="Z436" s="586" t="str">
        <f t="shared" si="125"/>
        <v/>
      </c>
    </row>
    <row r="437" spans="1:26" ht="23.25" hidden="1" thickBot="1" x14ac:dyDescent="0.25">
      <c r="A437" s="567">
        <v>570350</v>
      </c>
      <c r="B437" s="701">
        <v>570350</v>
      </c>
      <c r="C437" s="702" t="s">
        <v>206</v>
      </c>
      <c r="D437" s="463" t="s">
        <v>1704</v>
      </c>
      <c r="E437" s="464"/>
      <c r="F437" s="487" t="s">
        <v>665</v>
      </c>
      <c r="G437" s="466">
        <v>0.06</v>
      </c>
      <c r="H437" s="681">
        <f>SUM(H438:H441)</f>
        <v>55.732850000000006</v>
      </c>
      <c r="I437" s="467">
        <v>200.61</v>
      </c>
      <c r="J437" s="467">
        <f>IF(ISBLANK(I437),"",SUM(H437:I437))</f>
        <v>256.34285</v>
      </c>
      <c r="K437" s="682">
        <f t="shared" si="117"/>
        <v>304.56</v>
      </c>
      <c r="L437" s="683" t="s">
        <v>666</v>
      </c>
      <c r="M437" s="685"/>
      <c r="N437" s="686">
        <f t="shared" si="123"/>
        <v>0</v>
      </c>
      <c r="O437" s="687">
        <f t="shared" si="132"/>
        <v>0</v>
      </c>
      <c r="P437" s="688">
        <f t="shared" si="133"/>
        <v>0</v>
      </c>
      <c r="Q437" s="765"/>
      <c r="R437" s="685">
        <f>M437</f>
        <v>0</v>
      </c>
      <c r="S437" s="686">
        <f>N437</f>
        <v>0</v>
      </c>
      <c r="T437" s="687">
        <f t="shared" si="130"/>
        <v>0</v>
      </c>
      <c r="U437" s="688">
        <f t="shared" si="131"/>
        <v>0</v>
      </c>
      <c r="V437" s="579"/>
      <c r="W437" s="566"/>
      <c r="X437" s="586" t="str">
        <f t="shared" si="127"/>
        <v/>
      </c>
      <c r="Y437" s="586" t="str">
        <f t="shared" si="122"/>
        <v/>
      </c>
      <c r="Z437" s="586" t="str">
        <f t="shared" si="125"/>
        <v/>
      </c>
    </row>
    <row r="438" spans="1:26" ht="12" hidden="1" thickBot="1" x14ac:dyDescent="0.25">
      <c r="A438" s="567" t="s">
        <v>168</v>
      </c>
      <c r="B438" s="644" t="s">
        <v>168</v>
      </c>
      <c r="C438" s="645"/>
      <c r="D438" s="451" t="s">
        <v>248</v>
      </c>
      <c r="E438" s="423"/>
      <c r="F438" s="424">
        <v>180</v>
      </c>
      <c r="G438" s="425">
        <v>0.1</v>
      </c>
      <c r="H438" s="663">
        <f t="shared" ref="H438:H440" si="135">IF(F438&lt;=30,(1.07*F438+2.68)*G438,((1.07*30+2.68)+1.07*(F438-30))*G438)</f>
        <v>19.528000000000002</v>
      </c>
      <c r="I438" s="420">
        <v>0</v>
      </c>
      <c r="J438" s="420"/>
      <c r="K438" s="421">
        <f t="shared" si="117"/>
        <v>0</v>
      </c>
      <c r="L438" s="647" t="s">
        <v>614</v>
      </c>
      <c r="M438" s="703"/>
      <c r="N438" s="576">
        <f t="shared" si="123"/>
        <v>0</v>
      </c>
      <c r="O438" s="577">
        <f t="shared" si="132"/>
        <v>0</v>
      </c>
      <c r="P438" s="578">
        <f t="shared" si="133"/>
        <v>0</v>
      </c>
      <c r="Q438" s="765"/>
      <c r="R438" s="703"/>
      <c r="S438" s="670"/>
      <c r="T438" s="577">
        <f t="shared" si="130"/>
        <v>0</v>
      </c>
      <c r="U438" s="578">
        <f t="shared" si="131"/>
        <v>0</v>
      </c>
      <c r="V438" s="579"/>
      <c r="W438" s="637" t="str">
        <f>IF(U437&gt;0,"xx",IF(P437&gt;0,"xy",""))</f>
        <v/>
      </c>
      <c r="X438" s="586" t="str">
        <f t="shared" si="127"/>
        <v/>
      </c>
      <c r="Y438" s="586" t="str">
        <f t="shared" si="122"/>
        <v/>
      </c>
      <c r="Z438" s="586" t="str">
        <f t="shared" si="125"/>
        <v/>
      </c>
    </row>
    <row r="439" spans="1:26" ht="12" hidden="1" thickBot="1" x14ac:dyDescent="0.25">
      <c r="A439" s="567" t="s">
        <v>168</v>
      </c>
      <c r="B439" s="644" t="s">
        <v>168</v>
      </c>
      <c r="C439" s="645"/>
      <c r="D439" s="451" t="s">
        <v>249</v>
      </c>
      <c r="E439" s="423"/>
      <c r="F439" s="424">
        <v>500</v>
      </c>
      <c r="G439" s="425">
        <v>1.4999999999999999E-2</v>
      </c>
      <c r="H439" s="649">
        <f>IF(F439&lt;=30,(0.78*F439+7.82)*G439,((0.78*30+7.82)+0.78*(F439-30))*G439)</f>
        <v>5.9673000000000007</v>
      </c>
      <c r="I439" s="420">
        <v>0</v>
      </c>
      <c r="J439" s="420"/>
      <c r="K439" s="421">
        <f t="shared" si="117"/>
        <v>0</v>
      </c>
      <c r="L439" s="647" t="s">
        <v>614</v>
      </c>
      <c r="M439" s="703"/>
      <c r="N439" s="576">
        <f t="shared" si="123"/>
        <v>0</v>
      </c>
      <c r="O439" s="577">
        <f t="shared" si="132"/>
        <v>0</v>
      </c>
      <c r="P439" s="578">
        <f t="shared" si="133"/>
        <v>0</v>
      </c>
      <c r="Q439" s="765"/>
      <c r="R439" s="703"/>
      <c r="S439" s="670"/>
      <c r="T439" s="577">
        <f t="shared" si="130"/>
        <v>0</v>
      </c>
      <c r="U439" s="578">
        <f t="shared" si="131"/>
        <v>0</v>
      </c>
      <c r="V439" s="579"/>
      <c r="W439" s="637" t="str">
        <f>IF(U437&gt;0,"xx",IF(P437&gt;0,"xy",""))</f>
        <v/>
      </c>
      <c r="X439" s="586" t="str">
        <f t="shared" si="127"/>
        <v/>
      </c>
      <c r="Y439" s="586" t="str">
        <f t="shared" si="122"/>
        <v/>
      </c>
      <c r="Z439" s="586" t="str">
        <f t="shared" si="125"/>
        <v/>
      </c>
    </row>
    <row r="440" spans="1:26" ht="12" hidden="1" thickBot="1" x14ac:dyDescent="0.25">
      <c r="A440" s="567" t="s">
        <v>168</v>
      </c>
      <c r="B440" s="644" t="s">
        <v>168</v>
      </c>
      <c r="C440" s="645"/>
      <c r="D440" s="451" t="s">
        <v>262</v>
      </c>
      <c r="E440" s="423"/>
      <c r="F440" s="424">
        <v>0.2</v>
      </c>
      <c r="G440" s="425">
        <v>0.82499999999999996</v>
      </c>
      <c r="H440" s="663">
        <f t="shared" si="135"/>
        <v>2.3875500000000001</v>
      </c>
      <c r="I440" s="420">
        <v>0</v>
      </c>
      <c r="J440" s="420"/>
      <c r="K440" s="421">
        <f t="shared" si="117"/>
        <v>0</v>
      </c>
      <c r="L440" s="647" t="s">
        <v>614</v>
      </c>
      <c r="M440" s="703"/>
      <c r="N440" s="576">
        <f t="shared" si="123"/>
        <v>0</v>
      </c>
      <c r="O440" s="577">
        <f t="shared" si="132"/>
        <v>0</v>
      </c>
      <c r="P440" s="578">
        <f t="shared" si="133"/>
        <v>0</v>
      </c>
      <c r="Q440" s="765"/>
      <c r="R440" s="703"/>
      <c r="S440" s="670"/>
      <c r="T440" s="577">
        <f t="shared" si="130"/>
        <v>0</v>
      </c>
      <c r="U440" s="578">
        <f t="shared" si="131"/>
        <v>0</v>
      </c>
      <c r="V440" s="579"/>
      <c r="W440" s="637" t="str">
        <f>IF(U437&gt;0,"xx",IF(P437&gt;0,"xy",""))</f>
        <v/>
      </c>
      <c r="X440" s="586" t="str">
        <f t="shared" si="127"/>
        <v/>
      </c>
      <c r="Y440" s="586" t="str">
        <f t="shared" si="122"/>
        <v/>
      </c>
      <c r="Z440" s="586" t="str">
        <f t="shared" si="125"/>
        <v/>
      </c>
    </row>
    <row r="441" spans="1:26" ht="12" hidden="1" thickBot="1" x14ac:dyDescent="0.25">
      <c r="A441" s="567" t="s">
        <v>168</v>
      </c>
      <c r="B441" s="644" t="s">
        <v>168</v>
      </c>
      <c r="C441" s="645"/>
      <c r="D441" s="451" t="s">
        <v>263</v>
      </c>
      <c r="E441" s="423"/>
      <c r="F441" s="424">
        <v>20</v>
      </c>
      <c r="G441" s="425">
        <f>SUM(G437:G440)</f>
        <v>1</v>
      </c>
      <c r="H441" s="651">
        <f>IF(F441&lt;=30,(1.07*F441+6.45)*G441,((1.07*30+6.45)+1.07*(F441-30))*G441)</f>
        <v>27.85</v>
      </c>
      <c r="I441" s="420">
        <v>0</v>
      </c>
      <c r="J441" s="420"/>
      <c r="K441" s="421">
        <f t="shared" si="117"/>
        <v>0</v>
      </c>
      <c r="L441" s="647" t="s">
        <v>614</v>
      </c>
      <c r="M441" s="703"/>
      <c r="N441" s="576">
        <f t="shared" si="123"/>
        <v>0</v>
      </c>
      <c r="O441" s="577">
        <f t="shared" si="132"/>
        <v>0</v>
      </c>
      <c r="P441" s="578">
        <f t="shared" si="133"/>
        <v>0</v>
      </c>
      <c r="Q441" s="765"/>
      <c r="R441" s="703"/>
      <c r="S441" s="670"/>
      <c r="T441" s="577">
        <f t="shared" si="130"/>
        <v>0</v>
      </c>
      <c r="U441" s="578">
        <f t="shared" si="131"/>
        <v>0</v>
      </c>
      <c r="V441" s="579"/>
      <c r="W441" s="637" t="str">
        <f>IF(U437&gt;0,"xx",IF(P437&gt;0,"xy",""))</f>
        <v/>
      </c>
      <c r="X441" s="586" t="str">
        <f t="shared" si="127"/>
        <v/>
      </c>
      <c r="Y441" s="586" t="str">
        <f t="shared" si="122"/>
        <v/>
      </c>
      <c r="Z441" s="586" t="str">
        <f t="shared" si="125"/>
        <v/>
      </c>
    </row>
    <row r="442" spans="1:26" ht="12" hidden="1" thickBot="1" x14ac:dyDescent="0.25">
      <c r="A442" s="567">
        <v>589050</v>
      </c>
      <c r="B442" s="704">
        <v>589050</v>
      </c>
      <c r="C442" s="689" t="s">
        <v>1746</v>
      </c>
      <c r="D442" s="477" t="s">
        <v>1797</v>
      </c>
      <c r="E442" s="470"/>
      <c r="F442" s="478">
        <v>500</v>
      </c>
      <c r="G442" s="479">
        <v>1</v>
      </c>
      <c r="H442" s="663">
        <f>(0.94*F442+46.06)*G442</f>
        <v>516.05999999999995</v>
      </c>
      <c r="I442" s="472">
        <v>5662</v>
      </c>
      <c r="J442" s="472">
        <f>IF(ISBLANK(I442),"",I442*(1+$F$9)/(1+$F$10))+H442</f>
        <v>6009.8345980978047</v>
      </c>
      <c r="K442" s="690">
        <f t="shared" si="117"/>
        <v>7140.28</v>
      </c>
      <c r="L442" s="691" t="s">
        <v>20</v>
      </c>
      <c r="M442" s="692">
        <f>ROUND(M437*G437,2)</f>
        <v>0</v>
      </c>
      <c r="N442" s="696">
        <f t="shared" si="123"/>
        <v>0</v>
      </c>
      <c r="O442" s="693">
        <f t="shared" si="132"/>
        <v>0</v>
      </c>
      <c r="P442" s="694">
        <f t="shared" si="133"/>
        <v>0</v>
      </c>
      <c r="Q442" s="765"/>
      <c r="R442" s="695">
        <f>ROUND(R437*G437,2)</f>
        <v>0</v>
      </c>
      <c r="S442" s="711">
        <f>N442</f>
        <v>0</v>
      </c>
      <c r="T442" s="693">
        <f t="shared" si="130"/>
        <v>0</v>
      </c>
      <c r="U442" s="694">
        <f t="shared" si="131"/>
        <v>0</v>
      </c>
      <c r="V442" s="579"/>
      <c r="W442" s="637" t="str">
        <f>IF(U437&gt;0,"xx",IF(P437&gt;0,"xy",""))</f>
        <v/>
      </c>
      <c r="X442" s="586" t="str">
        <f t="shared" si="127"/>
        <v/>
      </c>
      <c r="Y442" s="586" t="str">
        <f t="shared" si="122"/>
        <v/>
      </c>
      <c r="Z442" s="586" t="str">
        <f t="shared" si="125"/>
        <v/>
      </c>
    </row>
    <row r="443" spans="1:26" ht="12" hidden="1" thickBot="1" x14ac:dyDescent="0.25">
      <c r="A443" s="671">
        <v>502615</v>
      </c>
      <c r="B443" s="701">
        <v>502615</v>
      </c>
      <c r="C443" s="702" t="s">
        <v>206</v>
      </c>
      <c r="D443" s="463" t="s">
        <v>2070</v>
      </c>
      <c r="E443" s="464"/>
      <c r="F443" s="465"/>
      <c r="G443" s="466"/>
      <c r="H443" s="681">
        <f>SUM(H444:H447)</f>
        <v>394.23356000000001</v>
      </c>
      <c r="I443" s="467">
        <v>304.24</v>
      </c>
      <c r="J443" s="467">
        <f t="shared" ref="J443:J477" si="136">IF(ISBLANK(I443),"",SUM(H443:I443))</f>
        <v>698.47356000000002</v>
      </c>
      <c r="K443" s="682">
        <f t="shared" ref="K443:K501" si="137">IF(ISBLANK(I443),0,ROUND(J443*(1+$F$10)*(1+$F$11*E443),2))</f>
        <v>829.86</v>
      </c>
      <c r="L443" s="683" t="s">
        <v>16</v>
      </c>
      <c r="M443" s="686"/>
      <c r="N443" s="576">
        <f t="shared" si="123"/>
        <v>0</v>
      </c>
      <c r="O443" s="687">
        <f t="shared" si="132"/>
        <v>0</v>
      </c>
      <c r="P443" s="688">
        <f t="shared" si="133"/>
        <v>0</v>
      </c>
      <c r="Q443" s="765"/>
      <c r="R443" s="685">
        <f t="shared" ref="R443:S477" si="138">M443</f>
        <v>0</v>
      </c>
      <c r="S443" s="686">
        <f>N443</f>
        <v>0</v>
      </c>
      <c r="T443" s="687">
        <f t="shared" si="130"/>
        <v>0</v>
      </c>
      <c r="U443" s="688">
        <f t="shared" si="131"/>
        <v>0</v>
      </c>
      <c r="V443" s="579"/>
      <c r="W443" s="566"/>
      <c r="X443" s="586" t="str">
        <f t="shared" si="127"/>
        <v/>
      </c>
      <c r="Y443" s="586" t="str">
        <f t="shared" si="122"/>
        <v/>
      </c>
      <c r="Z443" s="586" t="str">
        <f t="shared" si="125"/>
        <v/>
      </c>
    </row>
    <row r="444" spans="1:26" ht="12" hidden="1" thickBot="1" x14ac:dyDescent="0.25">
      <c r="A444" s="567" t="s">
        <v>168</v>
      </c>
      <c r="B444" s="644" t="s">
        <v>168</v>
      </c>
      <c r="C444" s="645"/>
      <c r="D444" s="451" t="s">
        <v>212</v>
      </c>
      <c r="E444" s="423"/>
      <c r="F444" s="424">
        <v>500</v>
      </c>
      <c r="G444" s="425">
        <v>0.33</v>
      </c>
      <c r="H444" s="649">
        <f>IF(F444&lt;=30,(0.78*F444+7.82)*G444,((0.78*30+7.82)+0.78*(F444-30))*G444)</f>
        <v>131.28060000000002</v>
      </c>
      <c r="I444" s="420">
        <v>0</v>
      </c>
      <c r="J444" s="420"/>
      <c r="K444" s="421">
        <f t="shared" si="137"/>
        <v>0</v>
      </c>
      <c r="L444" s="668" t="s">
        <v>614</v>
      </c>
      <c r="M444" s="669"/>
      <c r="N444" s="576">
        <f t="shared" si="123"/>
        <v>0</v>
      </c>
      <c r="O444" s="577">
        <f>IF(ISBLANK(M444),0,ROUND(K444*M444,2))</f>
        <v>0</v>
      </c>
      <c r="P444" s="578">
        <f>IF(ISBLANK(N444),0,ROUND(M444*N444,2))</f>
        <v>0</v>
      </c>
      <c r="Q444" s="765"/>
      <c r="R444" s="669"/>
      <c r="S444" s="670"/>
      <c r="T444" s="577">
        <f>IF(ISBLANK(R444),0,ROUND(K444*R444,2))</f>
        <v>0</v>
      </c>
      <c r="U444" s="578">
        <f>IF(ISBLANK(R444),0,ROUND(R444*S444,2))</f>
        <v>0</v>
      </c>
      <c r="V444" s="579"/>
      <c r="W444" s="637" t="str">
        <f>IF(U443&gt;0,"xx",IF(P443&gt;0,"xy",""))</f>
        <v/>
      </c>
      <c r="X444" s="586" t="str">
        <f t="shared" si="127"/>
        <v/>
      </c>
      <c r="Y444" s="586" t="str">
        <f>IF(W444="X","x",IF(W444="y","x",IF(W444="xx","x",IF(U444&gt;0,"x",""))))</f>
        <v/>
      </c>
      <c r="Z444" s="586" t="str">
        <f>IF(W444="X","x",IF(U444&gt;0,"x",""))</f>
        <v/>
      </c>
    </row>
    <row r="445" spans="1:26" ht="12" hidden="1" thickBot="1" x14ac:dyDescent="0.25">
      <c r="A445" s="567" t="s">
        <v>168</v>
      </c>
      <c r="B445" s="644" t="s">
        <v>168</v>
      </c>
      <c r="C445" s="645"/>
      <c r="D445" s="451" t="s">
        <v>248</v>
      </c>
      <c r="E445" s="423"/>
      <c r="F445" s="424">
        <v>180</v>
      </c>
      <c r="G445" s="425">
        <v>0.92100000000000004</v>
      </c>
      <c r="H445" s="663">
        <f t="shared" ref="H445:H447" si="139">IF(F445&lt;=30,(1.07*F445+2.68)*G445,((1.07*30+2.68)+1.07*(F445-30))*G445)</f>
        <v>179.85288</v>
      </c>
      <c r="I445" s="420">
        <v>0</v>
      </c>
      <c r="J445" s="420"/>
      <c r="K445" s="421">
        <f t="shared" si="137"/>
        <v>0</v>
      </c>
      <c r="L445" s="668" t="s">
        <v>614</v>
      </c>
      <c r="M445" s="669"/>
      <c r="N445" s="576">
        <f t="shared" si="123"/>
        <v>0</v>
      </c>
      <c r="O445" s="577">
        <f>IF(ISBLANK(M445),0,ROUND(K445*M445,2))</f>
        <v>0</v>
      </c>
      <c r="P445" s="578">
        <f>IF(ISBLANK(N445),0,ROUND(M445*N445,2))</f>
        <v>0</v>
      </c>
      <c r="Q445" s="765"/>
      <c r="R445" s="669"/>
      <c r="S445" s="670"/>
      <c r="T445" s="577">
        <f>IF(ISBLANK(R445),0,ROUND(K445*R445,2))</f>
        <v>0</v>
      </c>
      <c r="U445" s="578">
        <f>IF(ISBLANK(R445),0,ROUND(R445*S445,2))</f>
        <v>0</v>
      </c>
      <c r="V445" s="579"/>
      <c r="W445" s="637" t="str">
        <f>IF(U443&gt;0,"xx",IF(P443&gt;0,"xy",""))</f>
        <v/>
      </c>
      <c r="X445" s="586" t="str">
        <f t="shared" si="127"/>
        <v/>
      </c>
      <c r="Y445" s="586" t="str">
        <f>IF(W445="X","x",IF(W445="y","x",IF(W445="xx","x",IF(U445&gt;0,"x",""))))</f>
        <v/>
      </c>
      <c r="Z445" s="586" t="str">
        <f>IF(W445="X","x",IF(U445&gt;0,"x",""))</f>
        <v/>
      </c>
    </row>
    <row r="446" spans="1:26" ht="12" hidden="1" thickBot="1" x14ac:dyDescent="0.25">
      <c r="A446" s="567" t="s">
        <v>168</v>
      </c>
      <c r="B446" s="644" t="s">
        <v>168</v>
      </c>
      <c r="C446" s="645"/>
      <c r="D446" s="451" t="s">
        <v>252</v>
      </c>
      <c r="E446" s="423"/>
      <c r="F446" s="424">
        <v>20</v>
      </c>
      <c r="G446" s="425">
        <v>1.1000000000000001</v>
      </c>
      <c r="H446" s="663">
        <f t="shared" si="139"/>
        <v>26.488000000000003</v>
      </c>
      <c r="I446" s="420">
        <v>0</v>
      </c>
      <c r="J446" s="420"/>
      <c r="K446" s="421">
        <f t="shared" si="137"/>
        <v>0</v>
      </c>
      <c r="L446" s="668" t="s">
        <v>614</v>
      </c>
      <c r="M446" s="669"/>
      <c r="N446" s="576">
        <f t="shared" si="123"/>
        <v>0</v>
      </c>
      <c r="O446" s="577">
        <f>IF(ISBLANK(M446),0,ROUND(K446*M446,2))</f>
        <v>0</v>
      </c>
      <c r="P446" s="578">
        <f>IF(ISBLANK(N446),0,ROUND(M446*N446,2))</f>
        <v>0</v>
      </c>
      <c r="Q446" s="765"/>
      <c r="R446" s="669"/>
      <c r="S446" s="670"/>
      <c r="T446" s="577">
        <f>IF(ISBLANK(R446),0,ROUND(K446*R446,2))</f>
        <v>0</v>
      </c>
      <c r="U446" s="578">
        <f>IF(ISBLANK(R446),0,ROUND(R446*S446,2))</f>
        <v>0</v>
      </c>
      <c r="V446" s="579"/>
      <c r="W446" s="637" t="str">
        <f>IF(U443&gt;0,"xx",IF(P443&gt;0,"xy",""))</f>
        <v/>
      </c>
      <c r="X446" s="586" t="str">
        <f t="shared" si="127"/>
        <v/>
      </c>
      <c r="Y446" s="586" t="str">
        <f>IF(W446="X","x",IF(W446="y","x",IF(W446="xx","x",IF(U446&gt;0,"x",""))))</f>
        <v/>
      </c>
      <c r="Z446" s="586" t="str">
        <f>IF(W446="X","x",IF(U446&gt;0,"x",""))</f>
        <v/>
      </c>
    </row>
    <row r="447" spans="1:26" ht="12" hidden="1" thickBot="1" x14ac:dyDescent="0.25">
      <c r="A447" s="567" t="s">
        <v>168</v>
      </c>
      <c r="B447" s="644" t="s">
        <v>168</v>
      </c>
      <c r="C447" s="645"/>
      <c r="D447" s="451" t="s">
        <v>263</v>
      </c>
      <c r="E447" s="423"/>
      <c r="F447" s="424">
        <v>20</v>
      </c>
      <c r="G447" s="425">
        <f>SUM(G443:G446)</f>
        <v>2.351</v>
      </c>
      <c r="H447" s="651">
        <f t="shared" si="139"/>
        <v>56.612080000000006</v>
      </c>
      <c r="I447" s="420">
        <v>0</v>
      </c>
      <c r="J447" s="420"/>
      <c r="K447" s="421">
        <f>IF(ISBLANK(I447),0,ROUND(J447*(1+$F$10)*(1+$F$11*E447),2))</f>
        <v>0</v>
      </c>
      <c r="L447" s="647" t="s">
        <v>614</v>
      </c>
      <c r="M447" s="703"/>
      <c r="N447" s="576">
        <f t="shared" si="123"/>
        <v>0</v>
      </c>
      <c r="O447" s="577">
        <f>IF(ISBLANK(M447),0,ROUND(K447*M447,2))</f>
        <v>0</v>
      </c>
      <c r="P447" s="578">
        <f>IF(ISBLANK(N447),0,ROUND(M447*N447,2))</f>
        <v>0</v>
      </c>
      <c r="Q447" s="765"/>
      <c r="R447" s="703"/>
      <c r="S447" s="670"/>
      <c r="T447" s="577">
        <f>IF(ISBLANK(R447),0,ROUND(K447*R447,2))</f>
        <v>0</v>
      </c>
      <c r="U447" s="578">
        <f>IF(ISBLANK(R447),0,ROUND(R447*S447,2))</f>
        <v>0</v>
      </c>
      <c r="V447" s="579"/>
      <c r="W447" s="637" t="str">
        <f>IF(U443&gt;0,"xx",IF(P443&gt;0,"xy",""))</f>
        <v/>
      </c>
      <c r="X447" s="586" t="str">
        <f t="shared" si="127"/>
        <v/>
      </c>
      <c r="Y447" s="586" t="str">
        <f>IF(W447="X","x",IF(W447="y","x",IF(W447="xx","x",IF(U447&gt;0,"x",""))))</f>
        <v/>
      </c>
      <c r="Z447" s="586" t="str">
        <f>IF(W447="X","x",IF(U447&gt;0,"x",""))</f>
        <v/>
      </c>
    </row>
    <row r="448" spans="1:26" ht="12" hidden="1" thickBot="1" x14ac:dyDescent="0.25">
      <c r="A448" s="671">
        <v>502605</v>
      </c>
      <c r="B448" s="644">
        <v>502605</v>
      </c>
      <c r="C448" s="645" t="s">
        <v>206</v>
      </c>
      <c r="D448" s="422" t="s">
        <v>2071</v>
      </c>
      <c r="E448" s="423"/>
      <c r="F448" s="424"/>
      <c r="G448" s="425"/>
      <c r="H448" s="663">
        <f>SUM(H449:H452)</f>
        <v>294.44720000000001</v>
      </c>
      <c r="I448" s="420">
        <v>179.75</v>
      </c>
      <c r="J448" s="420">
        <f t="shared" si="136"/>
        <v>474.19720000000001</v>
      </c>
      <c r="K448" s="421">
        <f t="shared" si="137"/>
        <v>563.39</v>
      </c>
      <c r="L448" s="647" t="s">
        <v>16</v>
      </c>
      <c r="M448" s="587"/>
      <c r="N448" s="576">
        <f t="shared" si="123"/>
        <v>0</v>
      </c>
      <c r="O448" s="577">
        <f t="shared" si="132"/>
        <v>0</v>
      </c>
      <c r="P448" s="578">
        <f t="shared" si="133"/>
        <v>0</v>
      </c>
      <c r="Q448" s="765"/>
      <c r="R448" s="650">
        <f t="shared" si="138"/>
        <v>0</v>
      </c>
      <c r="S448" s="587">
        <f>N448</f>
        <v>0</v>
      </c>
      <c r="T448" s="577">
        <f t="shared" si="130"/>
        <v>0</v>
      </c>
      <c r="U448" s="578">
        <f t="shared" si="131"/>
        <v>0</v>
      </c>
      <c r="V448" s="579"/>
      <c r="W448" s="566"/>
      <c r="X448" s="586" t="str">
        <f t="shared" si="127"/>
        <v/>
      </c>
      <c r="Y448" s="586" t="str">
        <f t="shared" si="122"/>
        <v/>
      </c>
      <c r="Z448" s="586" t="str">
        <f t="shared" si="125"/>
        <v/>
      </c>
    </row>
    <row r="449" spans="1:26" ht="12" hidden="1" thickBot="1" x14ac:dyDescent="0.25">
      <c r="A449" s="567" t="s">
        <v>168</v>
      </c>
      <c r="B449" s="644" t="s">
        <v>168</v>
      </c>
      <c r="C449" s="645"/>
      <c r="D449" s="451" t="s">
        <v>212</v>
      </c>
      <c r="E449" s="423"/>
      <c r="F449" s="424">
        <v>500</v>
      </c>
      <c r="G449" s="425">
        <v>0.12</v>
      </c>
      <c r="H449" s="649">
        <f>IF(F449&lt;=30,(0.78*F449+7.82)*G449,((0.78*30+7.82)+0.78*(F449-30))*G449)</f>
        <v>47.738400000000006</v>
      </c>
      <c r="I449" s="420">
        <v>0</v>
      </c>
      <c r="J449" s="420"/>
      <c r="K449" s="421">
        <f>IF(ISBLANK(I449),0,ROUND(J449*(1+$F$10)*(1+$F$11*E449),2))</f>
        <v>0</v>
      </c>
      <c r="L449" s="668" t="s">
        <v>614</v>
      </c>
      <c r="M449" s="669"/>
      <c r="N449" s="576">
        <f t="shared" si="123"/>
        <v>0</v>
      </c>
      <c r="O449" s="577">
        <f t="shared" si="132"/>
        <v>0</v>
      </c>
      <c r="P449" s="578">
        <f t="shared" si="133"/>
        <v>0</v>
      </c>
      <c r="Q449" s="765"/>
      <c r="R449" s="669"/>
      <c r="S449" s="670"/>
      <c r="T449" s="577">
        <f t="shared" si="130"/>
        <v>0</v>
      </c>
      <c r="U449" s="578">
        <f t="shared" si="131"/>
        <v>0</v>
      </c>
      <c r="V449" s="579"/>
      <c r="W449" s="637" t="str">
        <f>IF(U448&gt;0,"xx",IF(P448&gt;0,"xy",""))</f>
        <v/>
      </c>
      <c r="X449" s="586" t="str">
        <f>IF(W449="X","x",IF(W449="xx","x",IF(W449="xy","x",IF(W449="y","x",IF(OR(P449&gt;0,U449&gt;0),"x","")))))</f>
        <v/>
      </c>
      <c r="Y449" s="586" t="str">
        <f t="shared" si="122"/>
        <v/>
      </c>
      <c r="Z449" s="586" t="str">
        <f t="shared" si="125"/>
        <v/>
      </c>
    </row>
    <row r="450" spans="1:26" ht="12" hidden="1" thickBot="1" x14ac:dyDescent="0.25">
      <c r="A450" s="567" t="s">
        <v>168</v>
      </c>
      <c r="B450" s="644" t="s">
        <v>168</v>
      </c>
      <c r="C450" s="645"/>
      <c r="D450" s="451" t="s">
        <v>248</v>
      </c>
      <c r="E450" s="423"/>
      <c r="F450" s="424">
        <v>180</v>
      </c>
      <c r="G450" s="425">
        <v>0.87</v>
      </c>
      <c r="H450" s="663">
        <f t="shared" ref="H450:H452" si="140">IF(F450&lt;=30,(1.07*F450+2.68)*G450,((1.07*30+2.68)+1.07*(F450-30))*G450)</f>
        <v>169.89359999999999</v>
      </c>
      <c r="I450" s="420">
        <v>0</v>
      </c>
      <c r="J450" s="420"/>
      <c r="K450" s="421">
        <f>IF(ISBLANK(I450),0,ROUND(J450*(1+$F$10)*(1+$F$11*E450),2))</f>
        <v>0</v>
      </c>
      <c r="L450" s="668" t="s">
        <v>614</v>
      </c>
      <c r="M450" s="669"/>
      <c r="N450" s="576">
        <f t="shared" si="123"/>
        <v>0</v>
      </c>
      <c r="O450" s="577">
        <f t="shared" si="132"/>
        <v>0</v>
      </c>
      <c r="P450" s="578">
        <f t="shared" si="133"/>
        <v>0</v>
      </c>
      <c r="Q450" s="765"/>
      <c r="R450" s="669"/>
      <c r="S450" s="670"/>
      <c r="T450" s="577">
        <f t="shared" si="130"/>
        <v>0</v>
      </c>
      <c r="U450" s="578">
        <f t="shared" si="131"/>
        <v>0</v>
      </c>
      <c r="V450" s="579"/>
      <c r="W450" s="637" t="str">
        <f>IF(U448&gt;0,"xx",IF(P448&gt;0,"xy",""))</f>
        <v/>
      </c>
      <c r="X450" s="586" t="str">
        <f>IF(W450="X","x",IF(W450="xx","x",IF(W450="xy","x",IF(W450="y","x",IF(OR(P450&gt;0,U450&gt;0),"x","")))))</f>
        <v/>
      </c>
      <c r="Y450" s="586" t="str">
        <f t="shared" si="122"/>
        <v/>
      </c>
      <c r="Z450" s="586" t="str">
        <f t="shared" si="125"/>
        <v/>
      </c>
    </row>
    <row r="451" spans="1:26" ht="12" hidden="1" thickBot="1" x14ac:dyDescent="0.25">
      <c r="A451" s="567" t="s">
        <v>168</v>
      </c>
      <c r="B451" s="644" t="s">
        <v>168</v>
      </c>
      <c r="C451" s="645"/>
      <c r="D451" s="451" t="s">
        <v>252</v>
      </c>
      <c r="E451" s="423"/>
      <c r="F451" s="424">
        <v>20</v>
      </c>
      <c r="G451" s="425">
        <v>1.1000000000000001</v>
      </c>
      <c r="H451" s="663">
        <f t="shared" si="140"/>
        <v>26.488000000000003</v>
      </c>
      <c r="I451" s="420">
        <v>0</v>
      </c>
      <c r="J451" s="420"/>
      <c r="K451" s="421">
        <f>IF(ISBLANK(I451),0,ROUND(J451*(1+$F$10)*(1+$F$11*E451),2))</f>
        <v>0</v>
      </c>
      <c r="L451" s="668" t="s">
        <v>614</v>
      </c>
      <c r="M451" s="669"/>
      <c r="N451" s="576">
        <f t="shared" si="123"/>
        <v>0</v>
      </c>
      <c r="O451" s="577">
        <f t="shared" si="132"/>
        <v>0</v>
      </c>
      <c r="P451" s="578">
        <f t="shared" si="133"/>
        <v>0</v>
      </c>
      <c r="Q451" s="765"/>
      <c r="R451" s="669"/>
      <c r="S451" s="670"/>
      <c r="T451" s="577">
        <f t="shared" si="130"/>
        <v>0</v>
      </c>
      <c r="U451" s="578">
        <f t="shared" si="131"/>
        <v>0</v>
      </c>
      <c r="V451" s="579"/>
      <c r="W451" s="637" t="str">
        <f>IF(U448&gt;0,"xx",IF(P448&gt;0,"xy",""))</f>
        <v/>
      </c>
      <c r="X451" s="586" t="str">
        <f>IF(W451="X","x",IF(W451="xx","x",IF(W451="xy","x",IF(W451="y","x",IF(OR(P451&gt;0,U451&gt;0),"x","")))))</f>
        <v/>
      </c>
      <c r="Y451" s="586" t="str">
        <f t="shared" si="122"/>
        <v/>
      </c>
      <c r="Z451" s="586" t="str">
        <f t="shared" si="125"/>
        <v/>
      </c>
    </row>
    <row r="452" spans="1:26" ht="12" hidden="1" thickBot="1" x14ac:dyDescent="0.25">
      <c r="A452" s="567" t="s">
        <v>168</v>
      </c>
      <c r="B452" s="644" t="s">
        <v>168</v>
      </c>
      <c r="C452" s="645"/>
      <c r="D452" s="451" t="s">
        <v>263</v>
      </c>
      <c r="E452" s="423"/>
      <c r="F452" s="424">
        <v>20</v>
      </c>
      <c r="G452" s="425">
        <f>SUM(G448:G451)</f>
        <v>2.09</v>
      </c>
      <c r="H452" s="651">
        <f t="shared" si="140"/>
        <v>50.327199999999998</v>
      </c>
      <c r="I452" s="420">
        <v>0</v>
      </c>
      <c r="J452" s="420"/>
      <c r="K452" s="421">
        <f>IF(ISBLANK(I452),0,ROUND(J452*(1+$F$10)*(1+$F$11*E452),2))</f>
        <v>0</v>
      </c>
      <c r="L452" s="647" t="s">
        <v>614</v>
      </c>
      <c r="M452" s="703"/>
      <c r="N452" s="576">
        <f t="shared" si="123"/>
        <v>0</v>
      </c>
      <c r="O452" s="577">
        <f t="shared" si="132"/>
        <v>0</v>
      </c>
      <c r="P452" s="578">
        <f t="shared" si="133"/>
        <v>0</v>
      </c>
      <c r="Q452" s="765"/>
      <c r="R452" s="703"/>
      <c r="S452" s="670"/>
      <c r="T452" s="577">
        <f t="shared" si="130"/>
        <v>0</v>
      </c>
      <c r="U452" s="578">
        <f t="shared" si="131"/>
        <v>0</v>
      </c>
      <c r="V452" s="579"/>
      <c r="W452" s="637" t="str">
        <f>IF(U448&gt;0,"xx",IF(P448&gt;0,"xy",""))</f>
        <v/>
      </c>
      <c r="X452" s="586" t="str">
        <f>IF(W452="X","x",IF(W452="xx","x",IF(W452="xy","x",IF(W452="y","x",IF(OR(P452&gt;0,U452&gt;0),"x","")))))</f>
        <v/>
      </c>
      <c r="Y452" s="586" t="str">
        <f t="shared" si="122"/>
        <v/>
      </c>
      <c r="Z452" s="586" t="str">
        <f t="shared" si="125"/>
        <v/>
      </c>
    </row>
    <row r="453" spans="1:26" ht="12" hidden="1" thickBot="1" x14ac:dyDescent="0.25">
      <c r="A453" s="671">
        <v>505185</v>
      </c>
      <c r="B453" s="644">
        <v>505185</v>
      </c>
      <c r="C453" s="645" t="s">
        <v>206</v>
      </c>
      <c r="D453" s="422" t="s">
        <v>2072</v>
      </c>
      <c r="E453" s="423"/>
      <c r="F453" s="424"/>
      <c r="G453" s="425"/>
      <c r="H453" s="663">
        <f>SUM(H454:H457)</f>
        <v>361.9212</v>
      </c>
      <c r="I453" s="420">
        <v>233.15</v>
      </c>
      <c r="J453" s="420">
        <f t="shared" si="136"/>
        <v>595.07119999999998</v>
      </c>
      <c r="K453" s="421">
        <f t="shared" si="137"/>
        <v>707</v>
      </c>
      <c r="L453" s="647" t="s">
        <v>16</v>
      </c>
      <c r="M453" s="587"/>
      <c r="N453" s="576">
        <f t="shared" si="123"/>
        <v>0</v>
      </c>
      <c r="O453" s="577">
        <f t="shared" si="132"/>
        <v>0</v>
      </c>
      <c r="P453" s="578">
        <f t="shared" si="133"/>
        <v>0</v>
      </c>
      <c r="Q453" s="765"/>
      <c r="R453" s="650">
        <f t="shared" si="138"/>
        <v>0</v>
      </c>
      <c r="S453" s="587">
        <f>N453</f>
        <v>0</v>
      </c>
      <c r="T453" s="577">
        <f t="shared" si="130"/>
        <v>0</v>
      </c>
      <c r="U453" s="578">
        <f t="shared" si="131"/>
        <v>0</v>
      </c>
      <c r="V453" s="579"/>
      <c r="W453" s="566"/>
      <c r="X453" s="586" t="str">
        <f t="shared" si="127"/>
        <v/>
      </c>
      <c r="Y453" s="586" t="str">
        <f t="shared" si="122"/>
        <v/>
      </c>
      <c r="Z453" s="586" t="str">
        <f t="shared" si="125"/>
        <v/>
      </c>
    </row>
    <row r="454" spans="1:26" ht="12" hidden="1" thickBot="1" x14ac:dyDescent="0.25">
      <c r="A454" s="567" t="s">
        <v>168</v>
      </c>
      <c r="B454" s="644" t="s">
        <v>168</v>
      </c>
      <c r="C454" s="645"/>
      <c r="D454" s="451" t="s">
        <v>212</v>
      </c>
      <c r="E454" s="423"/>
      <c r="F454" s="424">
        <v>500</v>
      </c>
      <c r="G454" s="425">
        <v>0.18</v>
      </c>
      <c r="H454" s="649">
        <f>IF(F454&lt;=30,(0.78*F454+7.82)*G454,((0.78*30+7.82)+0.78*(F454-30))*G454)</f>
        <v>71.607600000000005</v>
      </c>
      <c r="I454" s="420">
        <v>0</v>
      </c>
      <c r="J454" s="420"/>
      <c r="K454" s="421">
        <f t="shared" si="137"/>
        <v>0</v>
      </c>
      <c r="L454" s="668" t="s">
        <v>614</v>
      </c>
      <c r="M454" s="669"/>
      <c r="N454" s="576">
        <f t="shared" si="123"/>
        <v>0</v>
      </c>
      <c r="O454" s="577">
        <f>IF(ISBLANK(M454),0,ROUND(K454*M454,2))</f>
        <v>0</v>
      </c>
      <c r="P454" s="578">
        <f>IF(ISBLANK(N454),0,ROUND(M454*N454,2))</f>
        <v>0</v>
      </c>
      <c r="Q454" s="765"/>
      <c r="R454" s="669"/>
      <c r="S454" s="670"/>
      <c r="T454" s="577">
        <f>IF(ISBLANK(R454),0,ROUND(K454*R454,2))</f>
        <v>0</v>
      </c>
      <c r="U454" s="578">
        <f>IF(ISBLANK(R454),0,ROUND(R454*S454,2))</f>
        <v>0</v>
      </c>
      <c r="V454" s="579"/>
      <c r="W454" s="637" t="str">
        <f>IF(U453&gt;0,"xx",IF(P453&gt;0,"xy",""))</f>
        <v/>
      </c>
      <c r="X454" s="586" t="str">
        <f t="shared" si="127"/>
        <v/>
      </c>
      <c r="Y454" s="586" t="str">
        <f>IF(W454="X","x",IF(W454="y","x",IF(W454="xx","x",IF(U454&gt;0,"x",""))))</f>
        <v/>
      </c>
      <c r="Z454" s="586" t="str">
        <f>IF(W454="X","x",IF(U454&gt;0,"x",""))</f>
        <v/>
      </c>
    </row>
    <row r="455" spans="1:26" ht="12" hidden="1" thickBot="1" x14ac:dyDescent="0.25">
      <c r="A455" s="567" t="s">
        <v>168</v>
      </c>
      <c r="B455" s="644" t="s">
        <v>168</v>
      </c>
      <c r="C455" s="645"/>
      <c r="D455" s="451" t="s">
        <v>248</v>
      </c>
      <c r="E455" s="423"/>
      <c r="F455" s="424">
        <v>180</v>
      </c>
      <c r="G455" s="425">
        <v>1.06</v>
      </c>
      <c r="H455" s="663">
        <f t="shared" ref="H455:H457" si="141">IF(F455&lt;=30,(1.07*F455+2.68)*G455,((1.07*30+2.68)+1.07*(F455-30))*G455)</f>
        <v>206.99680000000001</v>
      </c>
      <c r="I455" s="420">
        <v>0</v>
      </c>
      <c r="J455" s="420"/>
      <c r="K455" s="421">
        <f t="shared" si="137"/>
        <v>0</v>
      </c>
      <c r="L455" s="668" t="s">
        <v>614</v>
      </c>
      <c r="M455" s="669"/>
      <c r="N455" s="576">
        <f t="shared" si="123"/>
        <v>0</v>
      </c>
      <c r="O455" s="577">
        <f>IF(ISBLANK(M455),0,ROUND(K455*M455,2))</f>
        <v>0</v>
      </c>
      <c r="P455" s="578">
        <f>IF(ISBLANK(N455),0,ROUND(M455*N455,2))</f>
        <v>0</v>
      </c>
      <c r="Q455" s="765"/>
      <c r="R455" s="669"/>
      <c r="S455" s="670"/>
      <c r="T455" s="577">
        <f>IF(ISBLANK(R455),0,ROUND(K455*R455,2))</f>
        <v>0</v>
      </c>
      <c r="U455" s="578">
        <f>IF(ISBLANK(R455),0,ROUND(R455*S455,2))</f>
        <v>0</v>
      </c>
      <c r="V455" s="579"/>
      <c r="W455" s="637" t="str">
        <f>IF(U453&gt;0,"xx",IF(P453&gt;0,"xy",""))</f>
        <v/>
      </c>
      <c r="X455" s="586" t="str">
        <f t="shared" si="127"/>
        <v/>
      </c>
      <c r="Y455" s="586" t="str">
        <f>IF(W455="X","x",IF(W455="y","x",IF(W455="xx","x",IF(U455&gt;0,"x",""))))</f>
        <v/>
      </c>
      <c r="Z455" s="586" t="str">
        <f>IF(W455="X","x",IF(U455&gt;0,"x",""))</f>
        <v/>
      </c>
    </row>
    <row r="456" spans="1:26" ht="12" hidden="1" thickBot="1" x14ac:dyDescent="0.25">
      <c r="A456" s="567" t="s">
        <v>168</v>
      </c>
      <c r="B456" s="644" t="s">
        <v>168</v>
      </c>
      <c r="C456" s="645"/>
      <c r="D456" s="451" t="s">
        <v>252</v>
      </c>
      <c r="E456" s="423"/>
      <c r="F456" s="424">
        <v>20</v>
      </c>
      <c r="G456" s="425">
        <v>1.1100000000000001</v>
      </c>
      <c r="H456" s="663">
        <f t="shared" si="141"/>
        <v>26.728800000000003</v>
      </c>
      <c r="I456" s="420">
        <v>0</v>
      </c>
      <c r="J456" s="420"/>
      <c r="K456" s="421">
        <f t="shared" si="137"/>
        <v>0</v>
      </c>
      <c r="L456" s="668" t="s">
        <v>614</v>
      </c>
      <c r="M456" s="669"/>
      <c r="N456" s="576">
        <f t="shared" si="123"/>
        <v>0</v>
      </c>
      <c r="O456" s="577">
        <f>IF(ISBLANK(M456),0,ROUND(K456*M456,2))</f>
        <v>0</v>
      </c>
      <c r="P456" s="578">
        <f>IF(ISBLANK(N456),0,ROUND(M456*N456,2))</f>
        <v>0</v>
      </c>
      <c r="Q456" s="765"/>
      <c r="R456" s="669"/>
      <c r="S456" s="670"/>
      <c r="T456" s="577">
        <f>IF(ISBLANK(R456),0,ROUND(K456*R456,2))</f>
        <v>0</v>
      </c>
      <c r="U456" s="578">
        <f>IF(ISBLANK(R456),0,ROUND(R456*S456,2))</f>
        <v>0</v>
      </c>
      <c r="V456" s="579"/>
      <c r="W456" s="637" t="str">
        <f>IF(U453&gt;0,"xx",IF(P453&gt;0,"xy",""))</f>
        <v/>
      </c>
      <c r="X456" s="586" t="str">
        <f t="shared" si="127"/>
        <v/>
      </c>
      <c r="Y456" s="586" t="str">
        <f>IF(W456="X","x",IF(W456="y","x",IF(W456="xx","x",IF(U456&gt;0,"x",""))))</f>
        <v/>
      </c>
      <c r="Z456" s="586" t="str">
        <f>IF(W456="X","x",IF(U456&gt;0,"x",""))</f>
        <v/>
      </c>
    </row>
    <row r="457" spans="1:26" ht="12" hidden="1" thickBot="1" x14ac:dyDescent="0.25">
      <c r="A457" s="567" t="s">
        <v>168</v>
      </c>
      <c r="B457" s="644" t="s">
        <v>168</v>
      </c>
      <c r="C457" s="645"/>
      <c r="D457" s="451" t="s">
        <v>263</v>
      </c>
      <c r="E457" s="423"/>
      <c r="F457" s="424">
        <v>20</v>
      </c>
      <c r="G457" s="425">
        <f>SUM(G453:G456)</f>
        <v>2.35</v>
      </c>
      <c r="H457" s="663">
        <f t="shared" si="141"/>
        <v>56.588000000000008</v>
      </c>
      <c r="I457" s="420">
        <v>0</v>
      </c>
      <c r="J457" s="420"/>
      <c r="K457" s="421">
        <f t="shared" si="137"/>
        <v>0</v>
      </c>
      <c r="L457" s="647" t="s">
        <v>614</v>
      </c>
      <c r="M457" s="703"/>
      <c r="N457" s="576">
        <f t="shared" si="123"/>
        <v>0</v>
      </c>
      <c r="O457" s="577">
        <f>IF(ISBLANK(M457),0,ROUND(K457*M457,2))</f>
        <v>0</v>
      </c>
      <c r="P457" s="578">
        <f>IF(ISBLANK(N457),0,ROUND(M457*N457,2))</f>
        <v>0</v>
      </c>
      <c r="Q457" s="765"/>
      <c r="R457" s="703"/>
      <c r="S457" s="670"/>
      <c r="T457" s="577">
        <f>IF(ISBLANK(R457),0,ROUND(K457*R457,2))</f>
        <v>0</v>
      </c>
      <c r="U457" s="578">
        <f>IF(ISBLANK(R457),0,ROUND(R457*S457,2))</f>
        <v>0</v>
      </c>
      <c r="V457" s="579"/>
      <c r="W457" s="637" t="str">
        <f>IF(U453&gt;0,"xx",IF(P453&gt;0,"xy",""))</f>
        <v/>
      </c>
      <c r="X457" s="586" t="str">
        <f t="shared" si="127"/>
        <v/>
      </c>
      <c r="Y457" s="586" t="str">
        <f>IF(W457="X","x",IF(W457="y","x",IF(W457="xx","x",IF(U457&gt;0,"x",""))))</f>
        <v/>
      </c>
      <c r="Z457" s="586" t="str">
        <f>IF(W457="X","x",IF(U457&gt;0,"x",""))</f>
        <v/>
      </c>
    </row>
    <row r="458" spans="1:26" ht="12" hidden="1" thickBot="1" x14ac:dyDescent="0.25">
      <c r="A458" s="671">
        <v>505415</v>
      </c>
      <c r="B458" s="644">
        <v>505415</v>
      </c>
      <c r="C458" s="645" t="s">
        <v>206</v>
      </c>
      <c r="D458" s="422" t="s">
        <v>2073</v>
      </c>
      <c r="E458" s="423"/>
      <c r="F458" s="424"/>
      <c r="G458" s="425"/>
      <c r="H458" s="663">
        <f t="shared" ref="H458:H467" si="142">IF(F458&lt;=30,(0.87*F458+2.18)*G458,((0.87*30+2.18)+0.87*(F458-30))*G458)</f>
        <v>0</v>
      </c>
      <c r="I458" s="420">
        <v>7.83</v>
      </c>
      <c r="J458" s="420">
        <f t="shared" si="136"/>
        <v>7.83</v>
      </c>
      <c r="K458" s="421">
        <f t="shared" si="137"/>
        <v>9.3000000000000007</v>
      </c>
      <c r="L458" s="647" t="s">
        <v>18</v>
      </c>
      <c r="M458" s="587"/>
      <c r="N458" s="576">
        <f t="shared" si="123"/>
        <v>0</v>
      </c>
      <c r="O458" s="577">
        <f t="shared" si="132"/>
        <v>0</v>
      </c>
      <c r="P458" s="578">
        <f t="shared" si="133"/>
        <v>0</v>
      </c>
      <c r="Q458" s="765"/>
      <c r="R458" s="650">
        <f t="shared" si="138"/>
        <v>0</v>
      </c>
      <c r="S458" s="587">
        <f t="shared" si="138"/>
        <v>0</v>
      </c>
      <c r="T458" s="577">
        <f t="shared" si="130"/>
        <v>0</v>
      </c>
      <c r="U458" s="578">
        <f t="shared" si="131"/>
        <v>0</v>
      </c>
      <c r="V458" s="579"/>
      <c r="W458" s="566"/>
      <c r="X458" s="586" t="str">
        <f t="shared" si="127"/>
        <v/>
      </c>
      <c r="Y458" s="586" t="str">
        <f t="shared" si="122"/>
        <v/>
      </c>
      <c r="Z458" s="586" t="str">
        <f t="shared" si="125"/>
        <v/>
      </c>
    </row>
    <row r="459" spans="1:26" ht="12" hidden="1" thickBot="1" x14ac:dyDescent="0.25">
      <c r="A459" s="671">
        <v>505416</v>
      </c>
      <c r="B459" s="644">
        <v>505416</v>
      </c>
      <c r="C459" s="645" t="s">
        <v>206</v>
      </c>
      <c r="D459" s="422" t="s">
        <v>2074</v>
      </c>
      <c r="E459" s="423"/>
      <c r="F459" s="424"/>
      <c r="G459" s="425"/>
      <c r="H459" s="663">
        <f t="shared" si="142"/>
        <v>0</v>
      </c>
      <c r="I459" s="420">
        <v>10.27</v>
      </c>
      <c r="J459" s="420">
        <f t="shared" si="136"/>
        <v>10.27</v>
      </c>
      <c r="K459" s="421">
        <f t="shared" si="137"/>
        <v>12.2</v>
      </c>
      <c r="L459" s="647" t="s">
        <v>18</v>
      </c>
      <c r="M459" s="587"/>
      <c r="N459" s="576">
        <f t="shared" si="123"/>
        <v>0</v>
      </c>
      <c r="O459" s="577">
        <f t="shared" si="132"/>
        <v>0</v>
      </c>
      <c r="P459" s="578">
        <f t="shared" si="133"/>
        <v>0</v>
      </c>
      <c r="Q459" s="765"/>
      <c r="R459" s="650">
        <f t="shared" si="138"/>
        <v>0</v>
      </c>
      <c r="S459" s="587">
        <f t="shared" si="138"/>
        <v>0</v>
      </c>
      <c r="T459" s="577">
        <f t="shared" si="130"/>
        <v>0</v>
      </c>
      <c r="U459" s="578">
        <f t="shared" si="131"/>
        <v>0</v>
      </c>
      <c r="V459" s="579"/>
      <c r="W459" s="566"/>
      <c r="X459" s="586" t="str">
        <f t="shared" si="127"/>
        <v/>
      </c>
      <c r="Y459" s="586" t="str">
        <f t="shared" si="122"/>
        <v/>
      </c>
      <c r="Z459" s="586" t="str">
        <f t="shared" si="125"/>
        <v/>
      </c>
    </row>
    <row r="460" spans="1:26" ht="12" hidden="1" thickBot="1" x14ac:dyDescent="0.25">
      <c r="A460" s="671">
        <v>5111000</v>
      </c>
      <c r="B460" s="644">
        <v>5111000</v>
      </c>
      <c r="C460" s="645" t="s">
        <v>206</v>
      </c>
      <c r="D460" s="422" t="s">
        <v>2075</v>
      </c>
      <c r="E460" s="423"/>
      <c r="F460" s="424"/>
      <c r="G460" s="425"/>
      <c r="H460" s="663">
        <f t="shared" si="142"/>
        <v>0</v>
      </c>
      <c r="I460" s="420">
        <v>3.75</v>
      </c>
      <c r="J460" s="420">
        <f t="shared" si="136"/>
        <v>3.75</v>
      </c>
      <c r="K460" s="421">
        <f t="shared" si="137"/>
        <v>4.46</v>
      </c>
      <c r="L460" s="647" t="s">
        <v>18</v>
      </c>
      <c r="M460" s="587"/>
      <c r="N460" s="576">
        <f t="shared" si="123"/>
        <v>0</v>
      </c>
      <c r="O460" s="577">
        <f t="shared" si="132"/>
        <v>0</v>
      </c>
      <c r="P460" s="578">
        <f t="shared" si="133"/>
        <v>0</v>
      </c>
      <c r="Q460" s="765"/>
      <c r="R460" s="650">
        <f t="shared" si="138"/>
        <v>0</v>
      </c>
      <c r="S460" s="587">
        <f t="shared" si="138"/>
        <v>0</v>
      </c>
      <c r="T460" s="577">
        <f t="shared" si="130"/>
        <v>0</v>
      </c>
      <c r="U460" s="578">
        <f t="shared" si="131"/>
        <v>0</v>
      </c>
      <c r="V460" s="579"/>
      <c r="W460" s="566"/>
      <c r="X460" s="586" t="str">
        <f t="shared" si="127"/>
        <v/>
      </c>
      <c r="Y460" s="586" t="str">
        <f t="shared" si="122"/>
        <v/>
      </c>
      <c r="Z460" s="586" t="str">
        <f t="shared" si="125"/>
        <v/>
      </c>
    </row>
    <row r="461" spans="1:26" ht="12" hidden="1" thickBot="1" x14ac:dyDescent="0.25">
      <c r="A461" s="671">
        <v>504840</v>
      </c>
      <c r="B461" s="644">
        <v>504840</v>
      </c>
      <c r="C461" s="645" t="s">
        <v>206</v>
      </c>
      <c r="D461" s="422" t="s">
        <v>2076</v>
      </c>
      <c r="E461" s="423"/>
      <c r="F461" s="424"/>
      <c r="G461" s="425"/>
      <c r="H461" s="663">
        <f t="shared" si="142"/>
        <v>0</v>
      </c>
      <c r="I461" s="420">
        <v>40.18</v>
      </c>
      <c r="J461" s="420">
        <f t="shared" si="136"/>
        <v>40.18</v>
      </c>
      <c r="K461" s="421">
        <f t="shared" si="137"/>
        <v>47.74</v>
      </c>
      <c r="L461" s="647" t="s">
        <v>23</v>
      </c>
      <c r="M461" s="587"/>
      <c r="N461" s="576">
        <f t="shared" si="123"/>
        <v>0</v>
      </c>
      <c r="O461" s="577">
        <f t="shared" si="132"/>
        <v>0</v>
      </c>
      <c r="P461" s="578">
        <f t="shared" si="133"/>
        <v>0</v>
      </c>
      <c r="Q461" s="765"/>
      <c r="R461" s="650">
        <f t="shared" si="138"/>
        <v>0</v>
      </c>
      <c r="S461" s="587">
        <f t="shared" si="138"/>
        <v>0</v>
      </c>
      <c r="T461" s="577">
        <f t="shared" si="130"/>
        <v>0</v>
      </c>
      <c r="U461" s="578">
        <f t="shared" si="131"/>
        <v>0</v>
      </c>
      <c r="V461" s="579"/>
      <c r="W461" s="566"/>
      <c r="X461" s="586" t="str">
        <f t="shared" si="127"/>
        <v/>
      </c>
      <c r="Y461" s="586" t="str">
        <f t="shared" si="122"/>
        <v/>
      </c>
      <c r="Z461" s="586" t="str">
        <f t="shared" si="125"/>
        <v/>
      </c>
    </row>
    <row r="462" spans="1:26" ht="12" hidden="1" thickBot="1" x14ac:dyDescent="0.25">
      <c r="A462" s="671">
        <v>503110</v>
      </c>
      <c r="B462" s="644">
        <v>503110</v>
      </c>
      <c r="C462" s="645" t="s">
        <v>206</v>
      </c>
      <c r="D462" s="422" t="s">
        <v>2077</v>
      </c>
      <c r="E462" s="423"/>
      <c r="F462" s="424"/>
      <c r="G462" s="425"/>
      <c r="H462" s="663">
        <f t="shared" si="142"/>
        <v>0</v>
      </c>
      <c r="I462" s="420">
        <v>2.54</v>
      </c>
      <c r="J462" s="420">
        <f t="shared" si="136"/>
        <v>2.54</v>
      </c>
      <c r="K462" s="421">
        <f t="shared" si="137"/>
        <v>3.02</v>
      </c>
      <c r="L462" s="647" t="s">
        <v>18</v>
      </c>
      <c r="M462" s="587"/>
      <c r="N462" s="576">
        <f t="shared" si="123"/>
        <v>0</v>
      </c>
      <c r="O462" s="577">
        <f t="shared" si="132"/>
        <v>0</v>
      </c>
      <c r="P462" s="578">
        <f t="shared" si="133"/>
        <v>0</v>
      </c>
      <c r="Q462" s="765"/>
      <c r="R462" s="650">
        <f t="shared" si="138"/>
        <v>0</v>
      </c>
      <c r="S462" s="587">
        <f t="shared" si="138"/>
        <v>0</v>
      </c>
      <c r="T462" s="577">
        <f t="shared" si="130"/>
        <v>0</v>
      </c>
      <c r="U462" s="578">
        <f t="shared" si="131"/>
        <v>0</v>
      </c>
      <c r="V462" s="579"/>
      <c r="W462" s="566"/>
      <c r="X462" s="586" t="str">
        <f t="shared" si="127"/>
        <v/>
      </c>
      <c r="Y462" s="586" t="str">
        <f t="shared" si="122"/>
        <v/>
      </c>
      <c r="Z462" s="586" t="str">
        <f t="shared" si="125"/>
        <v/>
      </c>
    </row>
    <row r="463" spans="1:26" ht="12" hidden="1" thickBot="1" x14ac:dyDescent="0.25">
      <c r="A463" s="671">
        <v>507215</v>
      </c>
      <c r="B463" s="644">
        <v>507215</v>
      </c>
      <c r="C463" s="645" t="s">
        <v>206</v>
      </c>
      <c r="D463" s="422" t="s">
        <v>2078</v>
      </c>
      <c r="E463" s="423"/>
      <c r="F463" s="424"/>
      <c r="G463" s="425"/>
      <c r="H463" s="663">
        <f t="shared" si="142"/>
        <v>0</v>
      </c>
      <c r="I463" s="420">
        <v>8.5</v>
      </c>
      <c r="J463" s="420">
        <f t="shared" si="136"/>
        <v>8.5</v>
      </c>
      <c r="K463" s="421">
        <f t="shared" si="137"/>
        <v>10.1</v>
      </c>
      <c r="L463" s="647" t="s">
        <v>23</v>
      </c>
      <c r="M463" s="587"/>
      <c r="N463" s="576">
        <f t="shared" si="123"/>
        <v>0</v>
      </c>
      <c r="O463" s="577">
        <f t="shared" si="132"/>
        <v>0</v>
      </c>
      <c r="P463" s="578">
        <f t="shared" si="133"/>
        <v>0</v>
      </c>
      <c r="Q463" s="765"/>
      <c r="R463" s="650">
        <f t="shared" si="138"/>
        <v>0</v>
      </c>
      <c r="S463" s="587">
        <f t="shared" si="138"/>
        <v>0</v>
      </c>
      <c r="T463" s="577">
        <f t="shared" si="130"/>
        <v>0</v>
      </c>
      <c r="U463" s="578">
        <f t="shared" si="131"/>
        <v>0</v>
      </c>
      <c r="V463" s="579"/>
      <c r="W463" s="566"/>
      <c r="X463" s="586" t="str">
        <f t="shared" si="127"/>
        <v/>
      </c>
      <c r="Y463" s="586" t="str">
        <f t="shared" si="122"/>
        <v/>
      </c>
      <c r="Z463" s="586" t="str">
        <f t="shared" si="125"/>
        <v/>
      </c>
    </row>
    <row r="464" spans="1:26" ht="12" hidden="1" thickBot="1" x14ac:dyDescent="0.25">
      <c r="A464" s="671">
        <v>507210</v>
      </c>
      <c r="B464" s="644">
        <v>507210</v>
      </c>
      <c r="C464" s="645" t="s">
        <v>206</v>
      </c>
      <c r="D464" s="422" t="s">
        <v>2079</v>
      </c>
      <c r="E464" s="423"/>
      <c r="F464" s="424"/>
      <c r="G464" s="425"/>
      <c r="H464" s="663">
        <f t="shared" si="142"/>
        <v>0</v>
      </c>
      <c r="I464" s="420">
        <v>8.59</v>
      </c>
      <c r="J464" s="420">
        <f t="shared" si="136"/>
        <v>8.59</v>
      </c>
      <c r="K464" s="421">
        <f t="shared" si="137"/>
        <v>10.210000000000001</v>
      </c>
      <c r="L464" s="647" t="s">
        <v>23</v>
      </c>
      <c r="M464" s="587"/>
      <c r="N464" s="576">
        <f t="shared" si="123"/>
        <v>0</v>
      </c>
      <c r="O464" s="577">
        <f t="shared" si="132"/>
        <v>0</v>
      </c>
      <c r="P464" s="578">
        <f t="shared" si="133"/>
        <v>0</v>
      </c>
      <c r="Q464" s="765"/>
      <c r="R464" s="650">
        <f t="shared" si="138"/>
        <v>0</v>
      </c>
      <c r="S464" s="587">
        <f t="shared" si="138"/>
        <v>0</v>
      </c>
      <c r="T464" s="577">
        <f t="shared" si="130"/>
        <v>0</v>
      </c>
      <c r="U464" s="578">
        <f t="shared" si="131"/>
        <v>0</v>
      </c>
      <c r="V464" s="579"/>
      <c r="W464" s="566"/>
      <c r="X464" s="586" t="str">
        <f t="shared" si="127"/>
        <v/>
      </c>
      <c r="Y464" s="586" t="str">
        <f t="shared" si="122"/>
        <v/>
      </c>
      <c r="Z464" s="586" t="str">
        <f t="shared" si="125"/>
        <v/>
      </c>
    </row>
    <row r="465" spans="1:26" ht="12" hidden="1" thickBot="1" x14ac:dyDescent="0.25">
      <c r="A465" s="671">
        <v>507220</v>
      </c>
      <c r="B465" s="644">
        <v>507220</v>
      </c>
      <c r="C465" s="645" t="s">
        <v>206</v>
      </c>
      <c r="D465" s="422" t="s">
        <v>2080</v>
      </c>
      <c r="E465" s="423"/>
      <c r="F465" s="424"/>
      <c r="G465" s="425"/>
      <c r="H465" s="663">
        <f t="shared" si="142"/>
        <v>0</v>
      </c>
      <c r="I465" s="420">
        <v>13.020000000000001</v>
      </c>
      <c r="J465" s="420">
        <f t="shared" si="136"/>
        <v>13.020000000000001</v>
      </c>
      <c r="K465" s="421">
        <f t="shared" si="137"/>
        <v>15.47</v>
      </c>
      <c r="L465" s="647" t="s">
        <v>23</v>
      </c>
      <c r="M465" s="587"/>
      <c r="N465" s="576">
        <f t="shared" si="123"/>
        <v>0</v>
      </c>
      <c r="O465" s="577">
        <f t="shared" si="132"/>
        <v>0</v>
      </c>
      <c r="P465" s="578">
        <f t="shared" si="133"/>
        <v>0</v>
      </c>
      <c r="Q465" s="765"/>
      <c r="R465" s="650">
        <f t="shared" si="138"/>
        <v>0</v>
      </c>
      <c r="S465" s="587">
        <f t="shared" si="138"/>
        <v>0</v>
      </c>
      <c r="T465" s="577">
        <f t="shared" si="130"/>
        <v>0</v>
      </c>
      <c r="U465" s="578">
        <f t="shared" si="131"/>
        <v>0</v>
      </c>
      <c r="V465" s="579"/>
      <c r="W465" s="566"/>
      <c r="X465" s="586" t="str">
        <f t="shared" si="127"/>
        <v/>
      </c>
      <c r="Y465" s="586" t="str">
        <f t="shared" si="122"/>
        <v/>
      </c>
      <c r="Z465" s="586" t="str">
        <f t="shared" si="125"/>
        <v/>
      </c>
    </row>
    <row r="466" spans="1:26" ht="12" hidden="1" thickBot="1" x14ac:dyDescent="0.25">
      <c r="A466" s="671">
        <v>507225</v>
      </c>
      <c r="B466" s="644">
        <v>507225</v>
      </c>
      <c r="C466" s="645" t="s">
        <v>206</v>
      </c>
      <c r="D466" s="422" t="s">
        <v>2081</v>
      </c>
      <c r="E466" s="423"/>
      <c r="F466" s="424"/>
      <c r="G466" s="425"/>
      <c r="H466" s="663">
        <f t="shared" si="142"/>
        <v>0</v>
      </c>
      <c r="I466" s="420">
        <v>14.93</v>
      </c>
      <c r="J466" s="420">
        <f t="shared" si="136"/>
        <v>14.93</v>
      </c>
      <c r="K466" s="421">
        <f t="shared" si="137"/>
        <v>17.739999999999998</v>
      </c>
      <c r="L466" s="647" t="s">
        <v>23</v>
      </c>
      <c r="M466" s="587"/>
      <c r="N466" s="576">
        <f t="shared" si="123"/>
        <v>0</v>
      </c>
      <c r="O466" s="577">
        <f t="shared" si="132"/>
        <v>0</v>
      </c>
      <c r="P466" s="578">
        <f t="shared" si="133"/>
        <v>0</v>
      </c>
      <c r="Q466" s="765"/>
      <c r="R466" s="650">
        <f t="shared" si="138"/>
        <v>0</v>
      </c>
      <c r="S466" s="587">
        <f t="shared" si="138"/>
        <v>0</v>
      </c>
      <c r="T466" s="577">
        <f t="shared" si="130"/>
        <v>0</v>
      </c>
      <c r="U466" s="578">
        <f t="shared" si="131"/>
        <v>0</v>
      </c>
      <c r="V466" s="579"/>
      <c r="W466" s="566"/>
      <c r="X466" s="586" t="str">
        <f t="shared" si="127"/>
        <v/>
      </c>
      <c r="Y466" s="586" t="str">
        <f t="shared" si="122"/>
        <v/>
      </c>
      <c r="Z466" s="586" t="str">
        <f t="shared" si="125"/>
        <v/>
      </c>
    </row>
    <row r="467" spans="1:26" ht="12" hidden="1" thickBot="1" x14ac:dyDescent="0.25">
      <c r="A467" s="671">
        <v>507232</v>
      </c>
      <c r="B467" s="644">
        <v>507232</v>
      </c>
      <c r="C467" s="645" t="s">
        <v>206</v>
      </c>
      <c r="D467" s="422" t="s">
        <v>2082</v>
      </c>
      <c r="E467" s="423"/>
      <c r="F467" s="424"/>
      <c r="G467" s="425"/>
      <c r="H467" s="663">
        <f t="shared" si="142"/>
        <v>0</v>
      </c>
      <c r="I467" s="420">
        <v>16.63</v>
      </c>
      <c r="J467" s="420">
        <f t="shared" si="136"/>
        <v>16.63</v>
      </c>
      <c r="K467" s="421">
        <f t="shared" si="137"/>
        <v>19.760000000000002</v>
      </c>
      <c r="L467" s="647" t="s">
        <v>23</v>
      </c>
      <c r="M467" s="587"/>
      <c r="N467" s="576">
        <f t="shared" si="123"/>
        <v>0</v>
      </c>
      <c r="O467" s="577">
        <f t="shared" si="132"/>
        <v>0</v>
      </c>
      <c r="P467" s="578">
        <f t="shared" si="133"/>
        <v>0</v>
      </c>
      <c r="Q467" s="765"/>
      <c r="R467" s="650">
        <f t="shared" si="138"/>
        <v>0</v>
      </c>
      <c r="S467" s="587">
        <f t="shared" si="138"/>
        <v>0</v>
      </c>
      <c r="T467" s="577">
        <f t="shared" si="130"/>
        <v>0</v>
      </c>
      <c r="U467" s="578">
        <f t="shared" si="131"/>
        <v>0</v>
      </c>
      <c r="V467" s="579"/>
      <c r="W467" s="566"/>
      <c r="X467" s="586" t="str">
        <f t="shared" si="127"/>
        <v/>
      </c>
      <c r="Y467" s="586" t="str">
        <f t="shared" ref="Y467:Y599" si="143">IF(W467="X","x",IF(W467="y","x",IF(W467="xx","x",IF(U467&gt;0,"x",""))))</f>
        <v/>
      </c>
      <c r="Z467" s="586" t="str">
        <f t="shared" si="125"/>
        <v/>
      </c>
    </row>
    <row r="468" spans="1:26" ht="12" hidden="1" thickBot="1" x14ac:dyDescent="0.25">
      <c r="A468" s="671">
        <v>504920</v>
      </c>
      <c r="B468" s="644">
        <v>504920</v>
      </c>
      <c r="C468" s="645" t="s">
        <v>206</v>
      </c>
      <c r="D468" s="422" t="s">
        <v>2083</v>
      </c>
      <c r="E468" s="423"/>
      <c r="F468" s="424">
        <v>20</v>
      </c>
      <c r="G468" s="425">
        <v>1.1000000000000001E-3</v>
      </c>
      <c r="H468" s="649">
        <f>IF(F468&lt;=30,(0.78*F468+7.82)*G468,((0.78*30+7.82)+0.78*(F468-30))*G468)</f>
        <v>2.5762000000000004E-2</v>
      </c>
      <c r="I468" s="420">
        <v>12.120000000000001</v>
      </c>
      <c r="J468" s="420">
        <f t="shared" si="136"/>
        <v>12.145762000000001</v>
      </c>
      <c r="K468" s="421">
        <f t="shared" si="137"/>
        <v>14.43</v>
      </c>
      <c r="L468" s="647" t="s">
        <v>23</v>
      </c>
      <c r="M468" s="587"/>
      <c r="N468" s="576">
        <f t="shared" ref="N468:N531" si="144">IF(M468=0,0,K468)</f>
        <v>0</v>
      </c>
      <c r="O468" s="577">
        <f t="shared" si="132"/>
        <v>0</v>
      </c>
      <c r="P468" s="578">
        <f t="shared" si="133"/>
        <v>0</v>
      </c>
      <c r="Q468" s="765"/>
      <c r="R468" s="650">
        <f t="shared" si="138"/>
        <v>0</v>
      </c>
      <c r="S468" s="587">
        <f t="shared" si="138"/>
        <v>0</v>
      </c>
      <c r="T468" s="577">
        <f t="shared" si="130"/>
        <v>0</v>
      </c>
      <c r="U468" s="578">
        <f t="shared" si="131"/>
        <v>0</v>
      </c>
      <c r="V468" s="579"/>
      <c r="W468" s="566"/>
      <c r="X468" s="586" t="str">
        <f t="shared" si="127"/>
        <v/>
      </c>
      <c r="Y468" s="586" t="str">
        <f t="shared" si="143"/>
        <v/>
      </c>
      <c r="Z468" s="586" t="str">
        <f t="shared" si="125"/>
        <v/>
      </c>
    </row>
    <row r="469" spans="1:26" ht="12" hidden="1" thickBot="1" x14ac:dyDescent="0.25">
      <c r="A469" s="671">
        <v>502660</v>
      </c>
      <c r="B469" s="644">
        <v>502660</v>
      </c>
      <c r="C469" s="645" t="s">
        <v>206</v>
      </c>
      <c r="D469" s="422" t="s">
        <v>2084</v>
      </c>
      <c r="E469" s="423"/>
      <c r="F469" s="424"/>
      <c r="G469" s="425"/>
      <c r="H469" s="663">
        <f t="shared" ref="H469:H471" si="145">IF(F469&lt;=30,(1.07*F469+2.68)*G469,((1.07*30+2.68)+1.07*(F469-30))*G469)</f>
        <v>0</v>
      </c>
      <c r="I469" s="420">
        <v>14.75</v>
      </c>
      <c r="J469" s="420">
        <f t="shared" si="136"/>
        <v>14.75</v>
      </c>
      <c r="K469" s="421">
        <f t="shared" si="137"/>
        <v>17.52</v>
      </c>
      <c r="L469" s="647" t="s">
        <v>19</v>
      </c>
      <c r="M469" s="587"/>
      <c r="N469" s="576">
        <f t="shared" si="144"/>
        <v>0</v>
      </c>
      <c r="O469" s="577">
        <f t="shared" si="132"/>
        <v>0</v>
      </c>
      <c r="P469" s="578">
        <f t="shared" si="133"/>
        <v>0</v>
      </c>
      <c r="Q469" s="765"/>
      <c r="R469" s="650">
        <f t="shared" si="138"/>
        <v>0</v>
      </c>
      <c r="S469" s="587">
        <f t="shared" si="138"/>
        <v>0</v>
      </c>
      <c r="T469" s="577">
        <f t="shared" si="130"/>
        <v>0</v>
      </c>
      <c r="U469" s="578">
        <f t="shared" si="131"/>
        <v>0</v>
      </c>
      <c r="V469" s="579"/>
      <c r="W469" s="566"/>
      <c r="X469" s="586" t="str">
        <f t="shared" si="127"/>
        <v/>
      </c>
      <c r="Y469" s="586" t="str">
        <f t="shared" si="143"/>
        <v/>
      </c>
      <c r="Z469" s="586" t="str">
        <f t="shared" si="125"/>
        <v/>
      </c>
    </row>
    <row r="470" spans="1:26" ht="12" hidden="1" thickBot="1" x14ac:dyDescent="0.25">
      <c r="A470" s="671">
        <v>502680</v>
      </c>
      <c r="B470" s="644">
        <v>502680</v>
      </c>
      <c r="C470" s="645" t="s">
        <v>206</v>
      </c>
      <c r="D470" s="422" t="s">
        <v>2085</v>
      </c>
      <c r="E470" s="423"/>
      <c r="F470" s="424"/>
      <c r="G470" s="425"/>
      <c r="H470" s="663">
        <f t="shared" si="145"/>
        <v>0</v>
      </c>
      <c r="I470" s="420">
        <v>13.29</v>
      </c>
      <c r="J470" s="420">
        <f t="shared" si="136"/>
        <v>13.29</v>
      </c>
      <c r="K470" s="421">
        <f t="shared" si="137"/>
        <v>15.79</v>
      </c>
      <c r="L470" s="647" t="s">
        <v>19</v>
      </c>
      <c r="M470" s="587"/>
      <c r="N470" s="576">
        <f t="shared" si="144"/>
        <v>0</v>
      </c>
      <c r="O470" s="577">
        <f t="shared" si="132"/>
        <v>0</v>
      </c>
      <c r="P470" s="578">
        <f t="shared" si="133"/>
        <v>0</v>
      </c>
      <c r="Q470" s="765"/>
      <c r="R470" s="650">
        <f t="shared" si="138"/>
        <v>0</v>
      </c>
      <c r="S470" s="587">
        <f t="shared" si="138"/>
        <v>0</v>
      </c>
      <c r="T470" s="577">
        <f t="shared" si="130"/>
        <v>0</v>
      </c>
      <c r="U470" s="578">
        <f t="shared" si="131"/>
        <v>0</v>
      </c>
      <c r="V470" s="579"/>
      <c r="W470" s="566"/>
      <c r="X470" s="586" t="str">
        <f t="shared" si="127"/>
        <v/>
      </c>
      <c r="Y470" s="586" t="str">
        <f t="shared" si="143"/>
        <v/>
      </c>
      <c r="Z470" s="586" t="str">
        <f t="shared" si="125"/>
        <v/>
      </c>
    </row>
    <row r="471" spans="1:26" ht="12" hidden="1" thickBot="1" x14ac:dyDescent="0.25">
      <c r="A471" s="671">
        <v>502670</v>
      </c>
      <c r="B471" s="644">
        <v>502670</v>
      </c>
      <c r="C471" s="645" t="s">
        <v>206</v>
      </c>
      <c r="D471" s="422" t="s">
        <v>2086</v>
      </c>
      <c r="E471" s="423"/>
      <c r="F471" s="424"/>
      <c r="G471" s="425"/>
      <c r="H471" s="651">
        <f t="shared" si="145"/>
        <v>0</v>
      </c>
      <c r="I471" s="420">
        <v>17.82</v>
      </c>
      <c r="J471" s="420">
        <f t="shared" si="136"/>
        <v>17.82</v>
      </c>
      <c r="K471" s="421">
        <f t="shared" si="137"/>
        <v>21.17</v>
      </c>
      <c r="L471" s="647" t="s">
        <v>19</v>
      </c>
      <c r="M471" s="587"/>
      <c r="N471" s="576">
        <f t="shared" si="144"/>
        <v>0</v>
      </c>
      <c r="O471" s="577">
        <f t="shared" si="132"/>
        <v>0</v>
      </c>
      <c r="P471" s="578">
        <f t="shared" si="133"/>
        <v>0</v>
      </c>
      <c r="Q471" s="765"/>
      <c r="R471" s="650">
        <f t="shared" si="138"/>
        <v>0</v>
      </c>
      <c r="S471" s="587">
        <f t="shared" si="138"/>
        <v>0</v>
      </c>
      <c r="T471" s="577">
        <f t="shared" si="130"/>
        <v>0</v>
      </c>
      <c r="U471" s="578">
        <f t="shared" si="131"/>
        <v>0</v>
      </c>
      <c r="V471" s="579"/>
      <c r="W471" s="566"/>
      <c r="X471" s="586" t="str">
        <f t="shared" si="127"/>
        <v/>
      </c>
      <c r="Y471" s="586" t="str">
        <f t="shared" si="143"/>
        <v/>
      </c>
      <c r="Z471" s="586" t="str">
        <f t="shared" si="125"/>
        <v/>
      </c>
    </row>
    <row r="472" spans="1:26" ht="12" hidden="1" thickBot="1" x14ac:dyDescent="0.25">
      <c r="A472" s="671">
        <v>502645</v>
      </c>
      <c r="B472" s="644">
        <v>502645</v>
      </c>
      <c r="C472" s="645" t="s">
        <v>206</v>
      </c>
      <c r="D472" s="422" t="s">
        <v>2087</v>
      </c>
      <c r="E472" s="423"/>
      <c r="F472" s="424"/>
      <c r="G472" s="425"/>
      <c r="H472" s="663">
        <f>SUM(H473:H476)</f>
        <v>367.73024000000004</v>
      </c>
      <c r="I472" s="420">
        <v>317.57000000000005</v>
      </c>
      <c r="J472" s="420">
        <f t="shared" si="136"/>
        <v>685.30024000000003</v>
      </c>
      <c r="K472" s="421">
        <f t="shared" si="137"/>
        <v>814.21</v>
      </c>
      <c r="L472" s="647" t="s">
        <v>16</v>
      </c>
      <c r="M472" s="587"/>
      <c r="N472" s="576">
        <f t="shared" si="144"/>
        <v>0</v>
      </c>
      <c r="O472" s="577">
        <f t="shared" si="132"/>
        <v>0</v>
      </c>
      <c r="P472" s="578">
        <f t="shared" si="133"/>
        <v>0</v>
      </c>
      <c r="Q472" s="765"/>
      <c r="R472" s="650">
        <f t="shared" si="138"/>
        <v>0</v>
      </c>
      <c r="S472" s="587">
        <f t="shared" si="138"/>
        <v>0</v>
      </c>
      <c r="T472" s="577">
        <f t="shared" si="130"/>
        <v>0</v>
      </c>
      <c r="U472" s="578">
        <f t="shared" si="131"/>
        <v>0</v>
      </c>
      <c r="V472" s="579"/>
      <c r="W472" s="566"/>
      <c r="X472" s="586" t="str">
        <f t="shared" si="127"/>
        <v/>
      </c>
      <c r="Y472" s="586" t="str">
        <f t="shared" si="143"/>
        <v/>
      </c>
      <c r="Z472" s="586" t="str">
        <f t="shared" si="125"/>
        <v/>
      </c>
    </row>
    <row r="473" spans="1:26" ht="12" hidden="1" thickBot="1" x14ac:dyDescent="0.25">
      <c r="A473" s="567" t="s">
        <v>168</v>
      </c>
      <c r="B473" s="644" t="s">
        <v>168</v>
      </c>
      <c r="C473" s="645"/>
      <c r="D473" s="451" t="s">
        <v>212</v>
      </c>
      <c r="E473" s="423"/>
      <c r="F473" s="424">
        <v>500</v>
      </c>
      <c r="G473" s="425">
        <v>0.38</v>
      </c>
      <c r="H473" s="649">
        <f>IF(F473&lt;=30,(0.78*F473+7.82)*G473,((0.78*30+7.82)+0.78*(F473-30))*G473)</f>
        <v>151.17160000000001</v>
      </c>
      <c r="I473" s="420">
        <v>0</v>
      </c>
      <c r="J473" s="420"/>
      <c r="K473" s="421">
        <f>IF(ISBLANK(I473),0,ROUND(J473*(1+$F$10)*(1+$F$11*E473),2))</f>
        <v>0</v>
      </c>
      <c r="L473" s="668"/>
      <c r="M473" s="669"/>
      <c r="N473" s="576">
        <f t="shared" si="144"/>
        <v>0</v>
      </c>
      <c r="O473" s="577">
        <f t="shared" si="132"/>
        <v>0</v>
      </c>
      <c r="P473" s="578">
        <f t="shared" si="133"/>
        <v>0</v>
      </c>
      <c r="Q473" s="765"/>
      <c r="R473" s="669"/>
      <c r="S473" s="670"/>
      <c r="T473" s="577">
        <f t="shared" si="130"/>
        <v>0</v>
      </c>
      <c r="U473" s="578">
        <f t="shared" si="131"/>
        <v>0</v>
      </c>
      <c r="V473" s="579"/>
      <c r="W473" s="637" t="str">
        <f>IF(U472&gt;0,"xx",IF(P472&gt;0,"xy",""))</f>
        <v/>
      </c>
      <c r="X473" s="586" t="str">
        <f>IF(W473="X","x",IF(W473="xx","x",IF(W473="xy","x",IF(W473="y","x",IF(OR(P473&gt;0,U473&gt;0),"x","")))))</f>
        <v/>
      </c>
      <c r="Y473" s="586" t="str">
        <f t="shared" si="143"/>
        <v/>
      </c>
      <c r="Z473" s="586" t="str">
        <f t="shared" si="125"/>
        <v/>
      </c>
    </row>
    <row r="474" spans="1:26" ht="12" hidden="1" thickBot="1" x14ac:dyDescent="0.25">
      <c r="A474" s="567" t="s">
        <v>168</v>
      </c>
      <c r="B474" s="644" t="s">
        <v>168</v>
      </c>
      <c r="C474" s="645"/>
      <c r="D474" s="451" t="s">
        <v>248</v>
      </c>
      <c r="E474" s="423"/>
      <c r="F474" s="424">
        <v>180</v>
      </c>
      <c r="G474" s="425">
        <v>0.70050000000000001</v>
      </c>
      <c r="H474" s="663">
        <f t="shared" ref="H474:H476" si="146">IF(F474&lt;=30,(1.07*F474+2.68)*G474,((1.07*30+2.68)+1.07*(F474-30))*G474)</f>
        <v>136.79364000000001</v>
      </c>
      <c r="I474" s="420">
        <v>0</v>
      </c>
      <c r="J474" s="420"/>
      <c r="K474" s="421">
        <f>IF(ISBLANK(I474),0,ROUND(J474*(1+$F$10)*(1+$F$11*E474),2))</f>
        <v>0</v>
      </c>
      <c r="L474" s="668" t="s">
        <v>614</v>
      </c>
      <c r="M474" s="669"/>
      <c r="N474" s="576">
        <f t="shared" si="144"/>
        <v>0</v>
      </c>
      <c r="O474" s="577">
        <f t="shared" si="132"/>
        <v>0</v>
      </c>
      <c r="P474" s="578">
        <f t="shared" si="133"/>
        <v>0</v>
      </c>
      <c r="Q474" s="765"/>
      <c r="R474" s="669"/>
      <c r="S474" s="670"/>
      <c r="T474" s="577">
        <f t="shared" si="130"/>
        <v>0</v>
      </c>
      <c r="U474" s="578">
        <f t="shared" si="131"/>
        <v>0</v>
      </c>
      <c r="V474" s="579"/>
      <c r="W474" s="637" t="str">
        <f>IF(U472&gt;0,"xx",IF(P472&gt;0,"xy",""))</f>
        <v/>
      </c>
      <c r="X474" s="586" t="str">
        <f>IF(W474="X","x",IF(W474="xx","x",IF(W474="xy","x",IF(W474="y","x",IF(OR(P474&gt;0,U474&gt;0),"x","")))))</f>
        <v/>
      </c>
      <c r="Y474" s="586" t="str">
        <f t="shared" si="143"/>
        <v/>
      </c>
      <c r="Z474" s="586" t="str">
        <f t="shared" si="125"/>
        <v/>
      </c>
    </row>
    <row r="475" spans="1:26" ht="12" hidden="1" thickBot="1" x14ac:dyDescent="0.25">
      <c r="A475" s="567" t="s">
        <v>168</v>
      </c>
      <c r="B475" s="644" t="s">
        <v>168</v>
      </c>
      <c r="C475" s="645"/>
      <c r="D475" s="451" t="s">
        <v>252</v>
      </c>
      <c r="E475" s="423"/>
      <c r="F475" s="424">
        <v>20</v>
      </c>
      <c r="G475" s="425">
        <v>1.1160000000000001</v>
      </c>
      <c r="H475" s="663">
        <f t="shared" si="146"/>
        <v>26.873280000000005</v>
      </c>
      <c r="I475" s="420">
        <v>0</v>
      </c>
      <c r="J475" s="420"/>
      <c r="K475" s="421">
        <f>IF(ISBLANK(I475),0,ROUND(J475*(1+$F$10)*(1+$F$11*E475),2))</f>
        <v>0</v>
      </c>
      <c r="L475" s="668" t="s">
        <v>614</v>
      </c>
      <c r="M475" s="669"/>
      <c r="N475" s="576">
        <f t="shared" si="144"/>
        <v>0</v>
      </c>
      <c r="O475" s="577">
        <f t="shared" si="132"/>
        <v>0</v>
      </c>
      <c r="P475" s="578">
        <f t="shared" si="133"/>
        <v>0</v>
      </c>
      <c r="Q475" s="765"/>
      <c r="R475" s="669"/>
      <c r="S475" s="670"/>
      <c r="T475" s="577">
        <f t="shared" si="130"/>
        <v>0</v>
      </c>
      <c r="U475" s="578">
        <f t="shared" si="131"/>
        <v>0</v>
      </c>
      <c r="V475" s="579"/>
      <c r="W475" s="637" t="str">
        <f>IF(U472&gt;0,"xx",IF(P472&gt;0,"xy",""))</f>
        <v/>
      </c>
      <c r="X475" s="586" t="str">
        <f>IF(W475="X","x",IF(W475="xx","x",IF(W475="xy","x",IF(W475="y","x",IF(OR(P475&gt;0,U475&gt;0),"x","")))))</f>
        <v/>
      </c>
      <c r="Y475" s="586" t="str">
        <f t="shared" si="143"/>
        <v/>
      </c>
      <c r="Z475" s="586" t="str">
        <f t="shared" si="125"/>
        <v/>
      </c>
    </row>
    <row r="476" spans="1:26" ht="12" hidden="1" thickBot="1" x14ac:dyDescent="0.25">
      <c r="A476" s="567" t="s">
        <v>168</v>
      </c>
      <c r="B476" s="644" t="s">
        <v>168</v>
      </c>
      <c r="C476" s="645"/>
      <c r="D476" s="451" t="s">
        <v>263</v>
      </c>
      <c r="E476" s="423"/>
      <c r="F476" s="424">
        <v>20</v>
      </c>
      <c r="G476" s="425">
        <f>SUM(G472:G475)</f>
        <v>2.1965000000000003</v>
      </c>
      <c r="H476" s="651">
        <f t="shared" si="146"/>
        <v>52.891720000000014</v>
      </c>
      <c r="I476" s="420">
        <v>0</v>
      </c>
      <c r="J476" s="420"/>
      <c r="K476" s="421">
        <f>IF(ISBLANK(I476),0,ROUND(J476*(1+$F$10)*(1+$F$11*E476),2))</f>
        <v>0</v>
      </c>
      <c r="L476" s="647" t="s">
        <v>614</v>
      </c>
      <c r="M476" s="703"/>
      <c r="N476" s="576">
        <f t="shared" si="144"/>
        <v>0</v>
      </c>
      <c r="O476" s="577">
        <f t="shared" si="132"/>
        <v>0</v>
      </c>
      <c r="P476" s="578">
        <f t="shared" si="133"/>
        <v>0</v>
      </c>
      <c r="Q476" s="765"/>
      <c r="R476" s="703"/>
      <c r="S476" s="670"/>
      <c r="T476" s="577">
        <f t="shared" si="130"/>
        <v>0</v>
      </c>
      <c r="U476" s="578">
        <f t="shared" si="131"/>
        <v>0</v>
      </c>
      <c r="V476" s="579"/>
      <c r="W476" s="637" t="str">
        <f>IF(U472&gt;0,"xx",IF(P472&gt;0,"xy",""))</f>
        <v/>
      </c>
      <c r="X476" s="586" t="str">
        <f>IF(W476="X","x",IF(W476="xx","x",IF(W476="xy","x",IF(W476="y","x",IF(OR(P476&gt;0,U476&gt;0),"x","")))))</f>
        <v/>
      </c>
      <c r="Y476" s="586" t="str">
        <f t="shared" si="143"/>
        <v/>
      </c>
      <c r="Z476" s="586" t="str">
        <f t="shared" si="125"/>
        <v/>
      </c>
    </row>
    <row r="477" spans="1:26" ht="12" hidden="1" thickBot="1" x14ac:dyDescent="0.25">
      <c r="A477" s="671">
        <v>502646</v>
      </c>
      <c r="B477" s="644">
        <v>502646</v>
      </c>
      <c r="C477" s="645" t="s">
        <v>206</v>
      </c>
      <c r="D477" s="422" t="s">
        <v>2088</v>
      </c>
      <c r="E477" s="423"/>
      <c r="F477" s="424"/>
      <c r="G477" s="425"/>
      <c r="H477" s="663">
        <f>SUM(H478:H481)</f>
        <v>367.73024000000004</v>
      </c>
      <c r="I477" s="420">
        <v>370.74</v>
      </c>
      <c r="J477" s="420">
        <f t="shared" si="136"/>
        <v>738.4702400000001</v>
      </c>
      <c r="K477" s="421">
        <f t="shared" si="137"/>
        <v>877.38</v>
      </c>
      <c r="L477" s="647" t="s">
        <v>16</v>
      </c>
      <c r="M477" s="587"/>
      <c r="N477" s="576">
        <f t="shared" si="144"/>
        <v>0</v>
      </c>
      <c r="O477" s="577">
        <f t="shared" si="132"/>
        <v>0</v>
      </c>
      <c r="P477" s="578">
        <f t="shared" si="133"/>
        <v>0</v>
      </c>
      <c r="Q477" s="765"/>
      <c r="R477" s="650">
        <f t="shared" si="138"/>
        <v>0</v>
      </c>
      <c r="S477" s="587">
        <f>N477</f>
        <v>0</v>
      </c>
      <c r="T477" s="577">
        <f t="shared" si="130"/>
        <v>0</v>
      </c>
      <c r="U477" s="578">
        <f t="shared" si="131"/>
        <v>0</v>
      </c>
      <c r="V477" s="579"/>
      <c r="W477" s="566"/>
      <c r="X477" s="586" t="str">
        <f t="shared" si="127"/>
        <v/>
      </c>
      <c r="Y477" s="586" t="str">
        <f t="shared" si="143"/>
        <v/>
      </c>
      <c r="Z477" s="586" t="str">
        <f t="shared" ref="Z477:Z589" si="147">IF(W477="X","x",IF(U477&gt;0,"x",""))</f>
        <v/>
      </c>
    </row>
    <row r="478" spans="1:26" ht="12" hidden="1" thickBot="1" x14ac:dyDescent="0.25">
      <c r="A478" s="567" t="s">
        <v>168</v>
      </c>
      <c r="B478" s="644" t="s">
        <v>168</v>
      </c>
      <c r="C478" s="645"/>
      <c r="D478" s="451" t="s">
        <v>212</v>
      </c>
      <c r="E478" s="423"/>
      <c r="F478" s="424">
        <v>500</v>
      </c>
      <c r="G478" s="425">
        <v>0.38</v>
      </c>
      <c r="H478" s="649">
        <f>IF(F478&lt;=30,(0.78*F478+7.82)*G478,((0.78*30+7.82)+0.78*(F478-30))*G478)</f>
        <v>151.17160000000001</v>
      </c>
      <c r="I478" s="420">
        <v>0</v>
      </c>
      <c r="J478" s="420"/>
      <c r="K478" s="421">
        <f t="shared" si="137"/>
        <v>0</v>
      </c>
      <c r="L478" s="668" t="s">
        <v>614</v>
      </c>
      <c r="M478" s="669"/>
      <c r="N478" s="576">
        <f t="shared" si="144"/>
        <v>0</v>
      </c>
      <c r="O478" s="577">
        <f>IF(ISBLANK(M478),0,ROUND(K478*M478,2))</f>
        <v>0</v>
      </c>
      <c r="P478" s="578">
        <f>IF(ISBLANK(N478),0,ROUND(M478*N478,2))</f>
        <v>0</v>
      </c>
      <c r="Q478" s="765"/>
      <c r="R478" s="669"/>
      <c r="S478" s="670"/>
      <c r="T478" s="577">
        <f>IF(ISBLANK(R478),0,ROUND(K478*R478,2))</f>
        <v>0</v>
      </c>
      <c r="U478" s="578">
        <f>IF(ISBLANK(R478),0,ROUND(R478*S478,2))</f>
        <v>0</v>
      </c>
      <c r="V478" s="579"/>
      <c r="W478" s="637" t="str">
        <f>IF(U477&gt;0,"xx",IF(P477&gt;0,"xy",""))</f>
        <v/>
      </c>
      <c r="X478" s="586" t="str">
        <f t="shared" si="127"/>
        <v/>
      </c>
      <c r="Y478" s="586" t="str">
        <f>IF(W478="X","x",IF(W478="y","x",IF(W478="xx","x",IF(U478&gt;0,"x",""))))</f>
        <v/>
      </c>
      <c r="Z478" s="586" t="str">
        <f>IF(W478="X","x",IF(U478&gt;0,"x",""))</f>
        <v/>
      </c>
    </row>
    <row r="479" spans="1:26" ht="12" hidden="1" thickBot="1" x14ac:dyDescent="0.25">
      <c r="A479" s="567" t="s">
        <v>168</v>
      </c>
      <c r="B479" s="644" t="s">
        <v>168</v>
      </c>
      <c r="C479" s="645"/>
      <c r="D479" s="451" t="s">
        <v>248</v>
      </c>
      <c r="E479" s="423"/>
      <c r="F479" s="424">
        <v>180</v>
      </c>
      <c r="G479" s="425">
        <v>0.70050000000000001</v>
      </c>
      <c r="H479" s="663">
        <f t="shared" ref="H479:H490" si="148">IF(F479&lt;=30,(1.07*F479+2.68)*G479,((1.07*30+2.68)+1.07*(F479-30))*G479)</f>
        <v>136.79364000000001</v>
      </c>
      <c r="I479" s="420">
        <v>0</v>
      </c>
      <c r="J479" s="420"/>
      <c r="K479" s="421">
        <f t="shared" si="137"/>
        <v>0</v>
      </c>
      <c r="L479" s="668" t="s">
        <v>614</v>
      </c>
      <c r="M479" s="669"/>
      <c r="N479" s="576">
        <f t="shared" si="144"/>
        <v>0</v>
      </c>
      <c r="O479" s="577">
        <f>IF(ISBLANK(M479),0,ROUND(K479*M479,2))</f>
        <v>0</v>
      </c>
      <c r="P479" s="578">
        <f>IF(ISBLANK(N479),0,ROUND(M479*N479,2))</f>
        <v>0</v>
      </c>
      <c r="Q479" s="765"/>
      <c r="R479" s="669"/>
      <c r="S479" s="670"/>
      <c r="T479" s="577">
        <f>IF(ISBLANK(R479),0,ROUND(K479*R479,2))</f>
        <v>0</v>
      </c>
      <c r="U479" s="578">
        <f>IF(ISBLANK(R479),0,ROUND(R479*S479,2))</f>
        <v>0</v>
      </c>
      <c r="V479" s="579"/>
      <c r="W479" s="637" t="str">
        <f>IF(U477&gt;0,"xx",IF(P477&gt;0,"xy",""))</f>
        <v/>
      </c>
      <c r="X479" s="586" t="str">
        <f t="shared" si="127"/>
        <v/>
      </c>
      <c r="Y479" s="586" t="str">
        <f>IF(W479="X","x",IF(W479="y","x",IF(W479="xx","x",IF(U479&gt;0,"x",""))))</f>
        <v/>
      </c>
      <c r="Z479" s="586" t="str">
        <f>IF(W479="X","x",IF(U479&gt;0,"x",""))</f>
        <v/>
      </c>
    </row>
    <row r="480" spans="1:26" ht="12" hidden="1" thickBot="1" x14ac:dyDescent="0.25">
      <c r="A480" s="567" t="s">
        <v>168</v>
      </c>
      <c r="B480" s="644" t="s">
        <v>168</v>
      </c>
      <c r="C480" s="645"/>
      <c r="D480" s="451" t="s">
        <v>252</v>
      </c>
      <c r="E480" s="423"/>
      <c r="F480" s="424">
        <v>20</v>
      </c>
      <c r="G480" s="425">
        <v>1.1160000000000001</v>
      </c>
      <c r="H480" s="663">
        <f t="shared" si="148"/>
        <v>26.873280000000005</v>
      </c>
      <c r="I480" s="420">
        <v>0</v>
      </c>
      <c r="J480" s="420"/>
      <c r="K480" s="421">
        <f t="shared" si="137"/>
        <v>0</v>
      </c>
      <c r="L480" s="647" t="s">
        <v>614</v>
      </c>
      <c r="M480" s="703"/>
      <c r="N480" s="576">
        <f t="shared" si="144"/>
        <v>0</v>
      </c>
      <c r="O480" s="577">
        <f>IF(ISBLANK(M480),0,ROUND(K480*M480,2))</f>
        <v>0</v>
      </c>
      <c r="P480" s="578">
        <f>IF(ISBLANK(N480),0,ROUND(M480*N480,2))</f>
        <v>0</v>
      </c>
      <c r="Q480" s="765"/>
      <c r="R480" s="703"/>
      <c r="S480" s="670"/>
      <c r="T480" s="577">
        <f>IF(ISBLANK(R480),0,ROUND(K480*R480,2))</f>
        <v>0</v>
      </c>
      <c r="U480" s="578">
        <f>IF(ISBLANK(R480),0,ROUND(R480*S480,2))</f>
        <v>0</v>
      </c>
      <c r="V480" s="579"/>
      <c r="W480" s="637" t="str">
        <f>IF(U476&gt;0,"xx",IF(P476&gt;0,"xy",""))</f>
        <v/>
      </c>
      <c r="X480" s="586" t="str">
        <f t="shared" si="127"/>
        <v/>
      </c>
      <c r="Y480" s="586" t="str">
        <f>IF(W480="X","x",IF(W480="y","x",IF(W480="xx","x",IF(U480&gt;0,"x",""))))</f>
        <v/>
      </c>
      <c r="Z480" s="586" t="str">
        <f>IF(W480="X","x",IF(U480&gt;0,"x",""))</f>
        <v/>
      </c>
    </row>
    <row r="481" spans="1:26" ht="12" hidden="1" thickBot="1" x14ac:dyDescent="0.25">
      <c r="A481" s="567" t="s">
        <v>168</v>
      </c>
      <c r="B481" s="704" t="s">
        <v>168</v>
      </c>
      <c r="C481" s="689"/>
      <c r="D481" s="477" t="s">
        <v>263</v>
      </c>
      <c r="E481" s="470"/>
      <c r="F481" s="478">
        <v>20</v>
      </c>
      <c r="G481" s="479">
        <f>SUM(G477:G480)</f>
        <v>2.1965000000000003</v>
      </c>
      <c r="H481" s="714">
        <f t="shared" si="148"/>
        <v>52.891720000000014</v>
      </c>
      <c r="I481" s="472">
        <v>0</v>
      </c>
      <c r="J481" s="472"/>
      <c r="K481" s="690">
        <f t="shared" si="137"/>
        <v>0</v>
      </c>
      <c r="L481" s="715" t="s">
        <v>614</v>
      </c>
      <c r="M481" s="716"/>
      <c r="N481" s="799">
        <f t="shared" si="144"/>
        <v>0</v>
      </c>
      <c r="O481" s="693">
        <f>IF(ISBLANK(M481),0,ROUND(K481*M481,2))</f>
        <v>0</v>
      </c>
      <c r="P481" s="694">
        <f>IF(ISBLANK(N481),0,ROUND(M481*N481,2))</f>
        <v>0</v>
      </c>
      <c r="Q481" s="765"/>
      <c r="R481" s="717"/>
      <c r="S481" s="711"/>
      <c r="T481" s="693">
        <f>IF(ISBLANK(R481),0,ROUND(K481*R481,2))</f>
        <v>0</v>
      </c>
      <c r="U481" s="694">
        <f>IF(ISBLANK(R481),0,ROUND(R481*S481,2))</f>
        <v>0</v>
      </c>
      <c r="V481" s="579"/>
      <c r="W481" s="637" t="str">
        <f>IF(U477&gt;0,"xx",IF(P477&gt;0,"xy",""))</f>
        <v/>
      </c>
      <c r="X481" s="586" t="str">
        <f t="shared" si="127"/>
        <v/>
      </c>
      <c r="Y481" s="586" t="str">
        <f>IF(W481="X","x",IF(W481="y","x",IF(W481="xx","x",IF(U481&gt;0,"x",""))))</f>
        <v/>
      </c>
      <c r="Z481" s="586" t="str">
        <f>IF(W481="X","x",IF(U481&gt;0,"x",""))</f>
        <v/>
      </c>
    </row>
    <row r="482" spans="1:26" ht="45.75" hidden="1" thickBot="1" x14ac:dyDescent="0.25">
      <c r="A482" s="671">
        <v>97104</v>
      </c>
      <c r="B482" s="638">
        <v>97104</v>
      </c>
      <c r="C482" s="639" t="s">
        <v>670</v>
      </c>
      <c r="D482" s="445" t="s">
        <v>1883</v>
      </c>
      <c r="E482" s="446"/>
      <c r="F482" s="447">
        <v>20</v>
      </c>
      <c r="G482" s="448">
        <f>2.4*0.15</f>
        <v>0.36</v>
      </c>
      <c r="H482" s="663">
        <f t="shared" si="148"/>
        <v>8.6688000000000009</v>
      </c>
      <c r="I482" s="414">
        <v>112.49</v>
      </c>
      <c r="J482" s="414">
        <f t="shared" ref="J482:J499" si="149">IF(ISBLANK(I482),"",SUM(H482:I482))</f>
        <v>121.1588</v>
      </c>
      <c r="K482" s="415">
        <f t="shared" si="137"/>
        <v>143.94999999999999</v>
      </c>
      <c r="L482" s="641" t="s">
        <v>18</v>
      </c>
      <c r="M482" s="576"/>
      <c r="N482" s="576">
        <f t="shared" si="144"/>
        <v>0</v>
      </c>
      <c r="O482" s="642">
        <f t="shared" ref="O482:O499" si="150">IF(ISBLANK(M482),0,ROUND(K482*M482,2))</f>
        <v>0</v>
      </c>
      <c r="P482" s="659">
        <f t="shared" ref="P482:P499" si="151">IF(ISBLANK(N482),0,ROUND(M482*N482,2))</f>
        <v>0</v>
      </c>
      <c r="Q482" s="765"/>
      <c r="R482" s="684">
        <f t="shared" ref="R482:S499" si="152">M482</f>
        <v>0</v>
      </c>
      <c r="S482" s="576">
        <f t="shared" si="152"/>
        <v>0</v>
      </c>
      <c r="T482" s="642">
        <f t="shared" ref="T482:T499" si="153">IF(ISBLANK(R482),0,ROUND(K482*R482,2))</f>
        <v>0</v>
      </c>
      <c r="U482" s="659">
        <f t="shared" ref="U482:U499" si="154">IF(ISBLANK(R482),0,ROUND(R482*S482,2))</f>
        <v>0</v>
      </c>
      <c r="V482" s="579"/>
      <c r="W482" s="566"/>
      <c r="X482" s="586" t="str">
        <f t="shared" ref="X482:X545" si="155">IF(W482="X","x",IF(W482="xx","x",IF(W482="xy","x",IF(W482="y","x",IF(OR(P482&gt;0,U482&gt;0),"x","")))))</f>
        <v/>
      </c>
      <c r="Y482" s="586" t="str">
        <f t="shared" ref="Y482:Y499" si="156">IF(W482="X","x",IF(W482="y","x",IF(W482="xx","x",IF(U482&gt;0,"x",""))))</f>
        <v/>
      </c>
      <c r="Z482" s="586" t="str">
        <f t="shared" ref="Z482:Z499" si="157">IF(W482="X","x",IF(U482&gt;0,"x",""))</f>
        <v/>
      </c>
    </row>
    <row r="483" spans="1:26" ht="45.75" hidden="1" thickBot="1" x14ac:dyDescent="0.25">
      <c r="A483" s="671">
        <v>97105</v>
      </c>
      <c r="B483" s="644">
        <v>97105</v>
      </c>
      <c r="C483" s="645" t="s">
        <v>670</v>
      </c>
      <c r="D483" s="422" t="s">
        <v>1884</v>
      </c>
      <c r="E483" s="423"/>
      <c r="F483" s="424">
        <v>20</v>
      </c>
      <c r="G483" s="425">
        <f>2.4*0.175</f>
        <v>0.42</v>
      </c>
      <c r="H483" s="663">
        <f t="shared" si="148"/>
        <v>10.1136</v>
      </c>
      <c r="I483" s="420">
        <v>126.29</v>
      </c>
      <c r="J483" s="420">
        <f t="shared" si="149"/>
        <v>136.40360000000001</v>
      </c>
      <c r="K483" s="421">
        <f t="shared" si="137"/>
        <v>162.06</v>
      </c>
      <c r="L483" s="647" t="s">
        <v>18</v>
      </c>
      <c r="M483" s="587"/>
      <c r="N483" s="576">
        <f t="shared" si="144"/>
        <v>0</v>
      </c>
      <c r="O483" s="577">
        <f t="shared" si="150"/>
        <v>0</v>
      </c>
      <c r="P483" s="578">
        <f t="shared" si="151"/>
        <v>0</v>
      </c>
      <c r="Q483" s="765"/>
      <c r="R483" s="650">
        <f t="shared" si="152"/>
        <v>0</v>
      </c>
      <c r="S483" s="587">
        <f t="shared" si="152"/>
        <v>0</v>
      </c>
      <c r="T483" s="577">
        <f t="shared" si="153"/>
        <v>0</v>
      </c>
      <c r="U483" s="578">
        <f t="shared" si="154"/>
        <v>0</v>
      </c>
      <c r="V483" s="579"/>
      <c r="W483" s="566"/>
      <c r="X483" s="586" t="str">
        <f t="shared" si="155"/>
        <v/>
      </c>
      <c r="Y483" s="586" t="str">
        <f t="shared" si="156"/>
        <v/>
      </c>
      <c r="Z483" s="586" t="str">
        <f t="shared" si="157"/>
        <v/>
      </c>
    </row>
    <row r="484" spans="1:26" ht="45.75" hidden="1" thickBot="1" x14ac:dyDescent="0.25">
      <c r="A484" s="671">
        <v>97106</v>
      </c>
      <c r="B484" s="644">
        <v>97106</v>
      </c>
      <c r="C484" s="645" t="s">
        <v>670</v>
      </c>
      <c r="D484" s="422" t="s">
        <v>1885</v>
      </c>
      <c r="E484" s="423"/>
      <c r="F484" s="424">
        <v>20</v>
      </c>
      <c r="G484" s="425">
        <f>2.4*0.2</f>
        <v>0.48</v>
      </c>
      <c r="H484" s="663">
        <f t="shared" si="148"/>
        <v>11.558400000000001</v>
      </c>
      <c r="I484" s="420">
        <v>139.05000000000001</v>
      </c>
      <c r="J484" s="420">
        <f t="shared" si="149"/>
        <v>150.60840000000002</v>
      </c>
      <c r="K484" s="421">
        <f t="shared" si="137"/>
        <v>178.94</v>
      </c>
      <c r="L484" s="647" t="s">
        <v>18</v>
      </c>
      <c r="M484" s="587"/>
      <c r="N484" s="576">
        <f t="shared" si="144"/>
        <v>0</v>
      </c>
      <c r="O484" s="577">
        <f t="shared" si="150"/>
        <v>0</v>
      </c>
      <c r="P484" s="578">
        <f t="shared" si="151"/>
        <v>0</v>
      </c>
      <c r="Q484" s="765"/>
      <c r="R484" s="650">
        <f t="shared" si="152"/>
        <v>0</v>
      </c>
      <c r="S484" s="587">
        <f t="shared" si="152"/>
        <v>0</v>
      </c>
      <c r="T484" s="577">
        <f t="shared" si="153"/>
        <v>0</v>
      </c>
      <c r="U484" s="578">
        <f t="shared" si="154"/>
        <v>0</v>
      </c>
      <c r="V484" s="579"/>
      <c r="W484" s="566"/>
      <c r="X484" s="586" t="str">
        <f t="shared" si="155"/>
        <v/>
      </c>
      <c r="Y484" s="586" t="str">
        <f t="shared" si="156"/>
        <v/>
      </c>
      <c r="Z484" s="586" t="str">
        <f t="shared" si="157"/>
        <v/>
      </c>
    </row>
    <row r="485" spans="1:26" ht="45.75" hidden="1" thickBot="1" x14ac:dyDescent="0.25">
      <c r="A485" s="671">
        <v>97107</v>
      </c>
      <c r="B485" s="644">
        <v>97107</v>
      </c>
      <c r="C485" s="645" t="s">
        <v>670</v>
      </c>
      <c r="D485" s="422" t="s">
        <v>1886</v>
      </c>
      <c r="E485" s="423"/>
      <c r="F485" s="424">
        <v>20</v>
      </c>
      <c r="G485" s="425">
        <f>2.4*0.225</f>
        <v>0.54</v>
      </c>
      <c r="H485" s="663">
        <f t="shared" si="148"/>
        <v>13.003200000000001</v>
      </c>
      <c r="I485" s="420">
        <v>159.53</v>
      </c>
      <c r="J485" s="420">
        <f t="shared" si="149"/>
        <v>172.53319999999999</v>
      </c>
      <c r="K485" s="421">
        <f t="shared" si="137"/>
        <v>204.99</v>
      </c>
      <c r="L485" s="647" t="s">
        <v>18</v>
      </c>
      <c r="M485" s="587"/>
      <c r="N485" s="576">
        <f t="shared" si="144"/>
        <v>0</v>
      </c>
      <c r="O485" s="577">
        <f t="shared" si="150"/>
        <v>0</v>
      </c>
      <c r="P485" s="578">
        <f t="shared" si="151"/>
        <v>0</v>
      </c>
      <c r="Q485" s="765"/>
      <c r="R485" s="650">
        <f t="shared" si="152"/>
        <v>0</v>
      </c>
      <c r="S485" s="587">
        <f t="shared" si="152"/>
        <v>0</v>
      </c>
      <c r="T485" s="577">
        <f t="shared" si="153"/>
        <v>0</v>
      </c>
      <c r="U485" s="578">
        <f t="shared" si="154"/>
        <v>0</v>
      </c>
      <c r="V485" s="579"/>
      <c r="W485" s="566"/>
      <c r="X485" s="586" t="str">
        <f t="shared" si="155"/>
        <v/>
      </c>
      <c r="Y485" s="586" t="str">
        <f t="shared" si="156"/>
        <v/>
      </c>
      <c r="Z485" s="586" t="str">
        <f t="shared" si="157"/>
        <v/>
      </c>
    </row>
    <row r="486" spans="1:26" ht="45.75" hidden="1" thickBot="1" x14ac:dyDescent="0.25">
      <c r="A486" s="671">
        <v>97108</v>
      </c>
      <c r="B486" s="644">
        <v>97108</v>
      </c>
      <c r="C486" s="645" t="s">
        <v>670</v>
      </c>
      <c r="D486" s="422" t="s">
        <v>1887</v>
      </c>
      <c r="E486" s="423"/>
      <c r="F486" s="424">
        <v>20</v>
      </c>
      <c r="G486" s="425">
        <f>2.4*0.25</f>
        <v>0.6</v>
      </c>
      <c r="H486" s="663">
        <f t="shared" si="148"/>
        <v>14.448</v>
      </c>
      <c r="I486" s="420">
        <v>183.65</v>
      </c>
      <c r="J486" s="420">
        <f t="shared" si="149"/>
        <v>198.09800000000001</v>
      </c>
      <c r="K486" s="421">
        <f t="shared" si="137"/>
        <v>235.36</v>
      </c>
      <c r="L486" s="647" t="s">
        <v>18</v>
      </c>
      <c r="M486" s="587"/>
      <c r="N486" s="576">
        <f t="shared" si="144"/>
        <v>0</v>
      </c>
      <c r="O486" s="577">
        <f t="shared" si="150"/>
        <v>0</v>
      </c>
      <c r="P486" s="578">
        <f t="shared" si="151"/>
        <v>0</v>
      </c>
      <c r="Q486" s="765"/>
      <c r="R486" s="650">
        <f t="shared" si="152"/>
        <v>0</v>
      </c>
      <c r="S486" s="587">
        <f t="shared" si="152"/>
        <v>0</v>
      </c>
      <c r="T486" s="577">
        <f t="shared" si="153"/>
        <v>0</v>
      </c>
      <c r="U486" s="578">
        <f t="shared" si="154"/>
        <v>0</v>
      </c>
      <c r="V486" s="579"/>
      <c r="W486" s="566"/>
      <c r="X486" s="586" t="str">
        <f t="shared" si="155"/>
        <v/>
      </c>
      <c r="Y486" s="586" t="str">
        <f t="shared" si="156"/>
        <v/>
      </c>
      <c r="Z486" s="586" t="str">
        <f t="shared" si="157"/>
        <v/>
      </c>
    </row>
    <row r="487" spans="1:26" ht="45.75" hidden="1" thickBot="1" x14ac:dyDescent="0.25">
      <c r="A487" s="671">
        <v>97109</v>
      </c>
      <c r="B487" s="644">
        <v>97109</v>
      </c>
      <c r="C487" s="645" t="s">
        <v>670</v>
      </c>
      <c r="D487" s="422" t="s">
        <v>1888</v>
      </c>
      <c r="E487" s="423"/>
      <c r="F487" s="424">
        <v>20</v>
      </c>
      <c r="G487" s="425">
        <f>2.4*0.275</f>
        <v>0.66</v>
      </c>
      <c r="H487" s="663">
        <f t="shared" si="148"/>
        <v>15.892800000000001</v>
      </c>
      <c r="I487" s="420">
        <v>203.4</v>
      </c>
      <c r="J487" s="420">
        <f t="shared" si="149"/>
        <v>219.2928</v>
      </c>
      <c r="K487" s="421">
        <f t="shared" si="137"/>
        <v>260.54000000000002</v>
      </c>
      <c r="L487" s="647" t="s">
        <v>18</v>
      </c>
      <c r="M487" s="587"/>
      <c r="N487" s="576">
        <f t="shared" si="144"/>
        <v>0</v>
      </c>
      <c r="O487" s="577">
        <f t="shared" si="150"/>
        <v>0</v>
      </c>
      <c r="P487" s="578">
        <f t="shared" si="151"/>
        <v>0</v>
      </c>
      <c r="Q487" s="765"/>
      <c r="R487" s="650">
        <f t="shared" si="152"/>
        <v>0</v>
      </c>
      <c r="S487" s="587">
        <f t="shared" si="152"/>
        <v>0</v>
      </c>
      <c r="T487" s="577">
        <f t="shared" si="153"/>
        <v>0</v>
      </c>
      <c r="U487" s="578">
        <f t="shared" si="154"/>
        <v>0</v>
      </c>
      <c r="V487" s="579"/>
      <c r="W487" s="566"/>
      <c r="X487" s="586" t="str">
        <f t="shared" si="155"/>
        <v/>
      </c>
      <c r="Y487" s="586" t="str">
        <f t="shared" si="156"/>
        <v/>
      </c>
      <c r="Z487" s="586" t="str">
        <f t="shared" si="157"/>
        <v/>
      </c>
    </row>
    <row r="488" spans="1:26" ht="23.25" hidden="1" thickBot="1" x14ac:dyDescent="0.25">
      <c r="A488" s="671">
        <v>97111</v>
      </c>
      <c r="B488" s="644">
        <v>97111</v>
      </c>
      <c r="C488" s="645" t="s">
        <v>670</v>
      </c>
      <c r="D488" s="422" t="s">
        <v>2089</v>
      </c>
      <c r="E488" s="423"/>
      <c r="F488" s="424">
        <v>20</v>
      </c>
      <c r="G488" s="425">
        <f>2.4*0.125</f>
        <v>0.3</v>
      </c>
      <c r="H488" s="663">
        <f t="shared" si="148"/>
        <v>7.2240000000000002</v>
      </c>
      <c r="I488" s="420">
        <v>294.31</v>
      </c>
      <c r="J488" s="420">
        <f t="shared" si="149"/>
        <v>301.53399999999999</v>
      </c>
      <c r="K488" s="421">
        <f t="shared" si="137"/>
        <v>358.25</v>
      </c>
      <c r="L488" s="647" t="s">
        <v>18</v>
      </c>
      <c r="M488" s="587"/>
      <c r="N488" s="576">
        <f t="shared" si="144"/>
        <v>0</v>
      </c>
      <c r="O488" s="577">
        <f t="shared" si="150"/>
        <v>0</v>
      </c>
      <c r="P488" s="578">
        <f t="shared" si="151"/>
        <v>0</v>
      </c>
      <c r="Q488" s="765"/>
      <c r="R488" s="650">
        <f t="shared" si="152"/>
        <v>0</v>
      </c>
      <c r="S488" s="587">
        <f t="shared" si="152"/>
        <v>0</v>
      </c>
      <c r="T488" s="577">
        <f t="shared" si="153"/>
        <v>0</v>
      </c>
      <c r="U488" s="578">
        <f t="shared" si="154"/>
        <v>0</v>
      </c>
      <c r="V488" s="579"/>
      <c r="W488" s="566"/>
      <c r="X488" s="586" t="str">
        <f t="shared" si="155"/>
        <v/>
      </c>
      <c r="Y488" s="586" t="str">
        <f t="shared" si="156"/>
        <v/>
      </c>
      <c r="Z488" s="586" t="str">
        <f t="shared" si="157"/>
        <v/>
      </c>
    </row>
    <row r="489" spans="1:26" ht="23.25" hidden="1" thickBot="1" x14ac:dyDescent="0.25">
      <c r="A489" s="671">
        <v>97112</v>
      </c>
      <c r="B489" s="644">
        <v>97112</v>
      </c>
      <c r="C489" s="645" t="s">
        <v>670</v>
      </c>
      <c r="D489" s="422" t="s">
        <v>2090</v>
      </c>
      <c r="E489" s="423"/>
      <c r="F489" s="424">
        <v>20</v>
      </c>
      <c r="G489" s="425">
        <f>2.4*0.15</f>
        <v>0.36</v>
      </c>
      <c r="H489" s="663">
        <f t="shared" si="148"/>
        <v>8.6688000000000009</v>
      </c>
      <c r="I489" s="420">
        <v>239.41</v>
      </c>
      <c r="J489" s="420">
        <f t="shared" si="149"/>
        <v>248.0788</v>
      </c>
      <c r="K489" s="421">
        <f t="shared" si="137"/>
        <v>294.74</v>
      </c>
      <c r="L489" s="647" t="s">
        <v>18</v>
      </c>
      <c r="M489" s="587"/>
      <c r="N489" s="576">
        <f t="shared" si="144"/>
        <v>0</v>
      </c>
      <c r="O489" s="577">
        <f t="shared" si="150"/>
        <v>0</v>
      </c>
      <c r="P489" s="578">
        <f t="shared" si="151"/>
        <v>0</v>
      </c>
      <c r="Q489" s="765"/>
      <c r="R489" s="650">
        <f t="shared" si="152"/>
        <v>0</v>
      </c>
      <c r="S489" s="587">
        <f t="shared" si="152"/>
        <v>0</v>
      </c>
      <c r="T489" s="577">
        <f t="shared" si="153"/>
        <v>0</v>
      </c>
      <c r="U489" s="578">
        <f t="shared" si="154"/>
        <v>0</v>
      </c>
      <c r="V489" s="579"/>
      <c r="W489" s="566"/>
      <c r="X489" s="586" t="str">
        <f t="shared" si="155"/>
        <v/>
      </c>
      <c r="Y489" s="586" t="str">
        <f t="shared" si="156"/>
        <v/>
      </c>
      <c r="Z489" s="586" t="str">
        <f t="shared" si="157"/>
        <v/>
      </c>
    </row>
    <row r="490" spans="1:26" ht="23.25" hidden="1" thickBot="1" x14ac:dyDescent="0.25">
      <c r="A490" s="671">
        <v>97112</v>
      </c>
      <c r="B490" s="644">
        <v>97112</v>
      </c>
      <c r="C490" s="645" t="s">
        <v>670</v>
      </c>
      <c r="D490" s="422" t="s">
        <v>2090</v>
      </c>
      <c r="E490" s="423"/>
      <c r="F490" s="424">
        <v>20</v>
      </c>
      <c r="G490" s="425">
        <f>2.4*0.175</f>
        <v>0.42</v>
      </c>
      <c r="H490" s="663">
        <f t="shared" si="148"/>
        <v>10.1136</v>
      </c>
      <c r="I490" s="420">
        <v>239.41</v>
      </c>
      <c r="J490" s="420">
        <f t="shared" si="149"/>
        <v>249.52359999999999</v>
      </c>
      <c r="K490" s="421">
        <f t="shared" si="137"/>
        <v>296.45999999999998</v>
      </c>
      <c r="L490" s="647" t="s">
        <v>18</v>
      </c>
      <c r="M490" s="587"/>
      <c r="N490" s="576">
        <f t="shared" si="144"/>
        <v>0</v>
      </c>
      <c r="O490" s="577">
        <f t="shared" si="150"/>
        <v>0</v>
      </c>
      <c r="P490" s="578">
        <f t="shared" si="151"/>
        <v>0</v>
      </c>
      <c r="Q490" s="765"/>
      <c r="R490" s="650">
        <f t="shared" si="152"/>
        <v>0</v>
      </c>
      <c r="S490" s="587">
        <f t="shared" si="152"/>
        <v>0</v>
      </c>
      <c r="T490" s="577">
        <f t="shared" si="153"/>
        <v>0</v>
      </c>
      <c r="U490" s="578">
        <f t="shared" si="154"/>
        <v>0</v>
      </c>
      <c r="V490" s="579"/>
      <c r="W490" s="566"/>
      <c r="X490" s="586" t="str">
        <f t="shared" si="155"/>
        <v/>
      </c>
      <c r="Y490" s="586" t="str">
        <f t="shared" si="156"/>
        <v/>
      </c>
      <c r="Z490" s="586" t="str">
        <f t="shared" si="157"/>
        <v/>
      </c>
    </row>
    <row r="491" spans="1:26" ht="34.5" hidden="1" thickBot="1" x14ac:dyDescent="0.25">
      <c r="A491" s="671">
        <v>97113</v>
      </c>
      <c r="B491" s="644">
        <v>97113</v>
      </c>
      <c r="C491" s="645" t="s">
        <v>670</v>
      </c>
      <c r="D491" s="422" t="s">
        <v>1889</v>
      </c>
      <c r="E491" s="423"/>
      <c r="F491" s="424"/>
      <c r="G491" s="425"/>
      <c r="H491" s="663">
        <f t="shared" ref="H491:H499" si="158">IF(F491&lt;=30,(0.87*F491+2.18)*G491,((0.87*30+2.18)+0.87*(F491-30))*G491)</f>
        <v>0</v>
      </c>
      <c r="I491" s="420">
        <v>2.65</v>
      </c>
      <c r="J491" s="420">
        <f t="shared" si="149"/>
        <v>2.65</v>
      </c>
      <c r="K491" s="421">
        <f t="shared" si="137"/>
        <v>3.15</v>
      </c>
      <c r="L491" s="647" t="s">
        <v>18</v>
      </c>
      <c r="M491" s="587"/>
      <c r="N491" s="576">
        <f t="shared" si="144"/>
        <v>0</v>
      </c>
      <c r="O491" s="577">
        <f t="shared" si="150"/>
        <v>0</v>
      </c>
      <c r="P491" s="578">
        <f t="shared" si="151"/>
        <v>0</v>
      </c>
      <c r="Q491" s="765"/>
      <c r="R491" s="650">
        <f t="shared" si="152"/>
        <v>0</v>
      </c>
      <c r="S491" s="587">
        <f t="shared" si="152"/>
        <v>0</v>
      </c>
      <c r="T491" s="577">
        <f t="shared" si="153"/>
        <v>0</v>
      </c>
      <c r="U491" s="578">
        <f t="shared" si="154"/>
        <v>0</v>
      </c>
      <c r="V491" s="579"/>
      <c r="W491" s="566"/>
      <c r="X491" s="586" t="str">
        <f t="shared" si="155"/>
        <v/>
      </c>
      <c r="Y491" s="586" t="str">
        <f t="shared" si="156"/>
        <v/>
      </c>
      <c r="Z491" s="586" t="str">
        <f t="shared" si="157"/>
        <v/>
      </c>
    </row>
    <row r="492" spans="1:26" ht="12" hidden="1" thickBot="1" x14ac:dyDescent="0.25">
      <c r="A492" s="671">
        <v>97114</v>
      </c>
      <c r="B492" s="644">
        <v>97114</v>
      </c>
      <c r="C492" s="645" t="s">
        <v>670</v>
      </c>
      <c r="D492" s="422" t="s">
        <v>1890</v>
      </c>
      <c r="E492" s="423"/>
      <c r="F492" s="424"/>
      <c r="G492" s="425"/>
      <c r="H492" s="663">
        <f t="shared" si="158"/>
        <v>0</v>
      </c>
      <c r="I492" s="420">
        <v>0.39</v>
      </c>
      <c r="J492" s="420">
        <f t="shared" si="149"/>
        <v>0.39</v>
      </c>
      <c r="K492" s="421">
        <f t="shared" si="137"/>
        <v>0.46</v>
      </c>
      <c r="L492" s="647" t="s">
        <v>19</v>
      </c>
      <c r="M492" s="587"/>
      <c r="N492" s="576">
        <f t="shared" si="144"/>
        <v>0</v>
      </c>
      <c r="O492" s="577">
        <f t="shared" si="150"/>
        <v>0</v>
      </c>
      <c r="P492" s="578">
        <f t="shared" si="151"/>
        <v>0</v>
      </c>
      <c r="Q492" s="765"/>
      <c r="R492" s="650">
        <f t="shared" si="152"/>
        <v>0</v>
      </c>
      <c r="S492" s="587">
        <f t="shared" si="152"/>
        <v>0</v>
      </c>
      <c r="T492" s="577">
        <f t="shared" si="153"/>
        <v>0</v>
      </c>
      <c r="U492" s="578">
        <f t="shared" si="154"/>
        <v>0</v>
      </c>
      <c r="V492" s="579"/>
      <c r="W492" s="566"/>
      <c r="X492" s="586" t="str">
        <f t="shared" si="155"/>
        <v/>
      </c>
      <c r="Y492" s="586" t="str">
        <f t="shared" si="156"/>
        <v/>
      </c>
      <c r="Z492" s="586" t="str">
        <f t="shared" si="157"/>
        <v/>
      </c>
    </row>
    <row r="493" spans="1:26" ht="23.25" hidden="1" thickBot="1" x14ac:dyDescent="0.25">
      <c r="A493" s="671">
        <v>97115</v>
      </c>
      <c r="B493" s="644">
        <v>97115</v>
      </c>
      <c r="C493" s="645" t="s">
        <v>670</v>
      </c>
      <c r="D493" s="422" t="s">
        <v>1891</v>
      </c>
      <c r="E493" s="423"/>
      <c r="F493" s="424"/>
      <c r="G493" s="425"/>
      <c r="H493" s="663">
        <f t="shared" si="158"/>
        <v>0</v>
      </c>
      <c r="I493" s="420">
        <v>50.55</v>
      </c>
      <c r="J493" s="420">
        <f t="shared" si="149"/>
        <v>50.55</v>
      </c>
      <c r="K493" s="421">
        <f t="shared" si="137"/>
        <v>60.06</v>
      </c>
      <c r="L493" s="647" t="s">
        <v>23</v>
      </c>
      <c r="M493" s="587"/>
      <c r="N493" s="576">
        <f t="shared" si="144"/>
        <v>0</v>
      </c>
      <c r="O493" s="577">
        <f t="shared" si="150"/>
        <v>0</v>
      </c>
      <c r="P493" s="578">
        <f t="shared" si="151"/>
        <v>0</v>
      </c>
      <c r="Q493" s="765"/>
      <c r="R493" s="650">
        <f t="shared" si="152"/>
        <v>0</v>
      </c>
      <c r="S493" s="587">
        <f t="shared" si="152"/>
        <v>0</v>
      </c>
      <c r="T493" s="577">
        <f t="shared" si="153"/>
        <v>0</v>
      </c>
      <c r="U493" s="578">
        <f t="shared" si="154"/>
        <v>0</v>
      </c>
      <c r="V493" s="579"/>
      <c r="W493" s="566"/>
      <c r="X493" s="586" t="str">
        <f t="shared" si="155"/>
        <v/>
      </c>
      <c r="Y493" s="586" t="str">
        <f t="shared" si="156"/>
        <v/>
      </c>
      <c r="Z493" s="586" t="str">
        <f t="shared" si="157"/>
        <v/>
      </c>
    </row>
    <row r="494" spans="1:26" ht="23.25" hidden="1" thickBot="1" x14ac:dyDescent="0.25">
      <c r="A494" s="671">
        <v>97116</v>
      </c>
      <c r="B494" s="644">
        <v>97116</v>
      </c>
      <c r="C494" s="645" t="s">
        <v>670</v>
      </c>
      <c r="D494" s="422" t="s">
        <v>1892</v>
      </c>
      <c r="E494" s="423"/>
      <c r="F494" s="424"/>
      <c r="G494" s="425"/>
      <c r="H494" s="663">
        <f t="shared" si="158"/>
        <v>0</v>
      </c>
      <c r="I494" s="420">
        <v>26.8</v>
      </c>
      <c r="J494" s="420">
        <f t="shared" si="149"/>
        <v>26.8</v>
      </c>
      <c r="K494" s="421">
        <f t="shared" si="137"/>
        <v>31.84</v>
      </c>
      <c r="L494" s="647" t="s">
        <v>23</v>
      </c>
      <c r="M494" s="587"/>
      <c r="N494" s="576">
        <f t="shared" si="144"/>
        <v>0</v>
      </c>
      <c r="O494" s="577">
        <f t="shared" si="150"/>
        <v>0</v>
      </c>
      <c r="P494" s="578">
        <f t="shared" si="151"/>
        <v>0</v>
      </c>
      <c r="Q494" s="765"/>
      <c r="R494" s="650">
        <f t="shared" si="152"/>
        <v>0</v>
      </c>
      <c r="S494" s="587">
        <f t="shared" si="152"/>
        <v>0</v>
      </c>
      <c r="T494" s="577">
        <f t="shared" si="153"/>
        <v>0</v>
      </c>
      <c r="U494" s="578">
        <f t="shared" si="154"/>
        <v>0</v>
      </c>
      <c r="V494" s="579"/>
      <c r="W494" s="566"/>
      <c r="X494" s="586" t="str">
        <f t="shared" si="155"/>
        <v/>
      </c>
      <c r="Y494" s="586" t="str">
        <f t="shared" si="156"/>
        <v/>
      </c>
      <c r="Z494" s="586" t="str">
        <f t="shared" si="157"/>
        <v/>
      </c>
    </row>
    <row r="495" spans="1:26" ht="23.25" hidden="1" thickBot="1" x14ac:dyDescent="0.25">
      <c r="A495" s="671">
        <v>97117</v>
      </c>
      <c r="B495" s="644">
        <v>97117</v>
      </c>
      <c r="C495" s="645" t="s">
        <v>670</v>
      </c>
      <c r="D495" s="422" t="s">
        <v>1893</v>
      </c>
      <c r="E495" s="423"/>
      <c r="F495" s="424"/>
      <c r="G495" s="425"/>
      <c r="H495" s="663">
        <f t="shared" si="158"/>
        <v>0</v>
      </c>
      <c r="I495" s="420">
        <v>23.38</v>
      </c>
      <c r="J495" s="420">
        <f t="shared" si="149"/>
        <v>23.38</v>
      </c>
      <c r="K495" s="421">
        <f t="shared" si="137"/>
        <v>27.78</v>
      </c>
      <c r="L495" s="647" t="s">
        <v>23</v>
      </c>
      <c r="M495" s="587"/>
      <c r="N495" s="576">
        <f t="shared" si="144"/>
        <v>0</v>
      </c>
      <c r="O495" s="577">
        <f t="shared" si="150"/>
        <v>0</v>
      </c>
      <c r="P495" s="578">
        <f t="shared" si="151"/>
        <v>0</v>
      </c>
      <c r="Q495" s="765"/>
      <c r="R495" s="650">
        <f t="shared" si="152"/>
        <v>0</v>
      </c>
      <c r="S495" s="587">
        <f t="shared" si="152"/>
        <v>0</v>
      </c>
      <c r="T495" s="577">
        <f t="shared" si="153"/>
        <v>0</v>
      </c>
      <c r="U495" s="578">
        <f t="shared" si="154"/>
        <v>0</v>
      </c>
      <c r="V495" s="579"/>
      <c r="W495" s="566"/>
      <c r="X495" s="586" t="str">
        <f t="shared" si="155"/>
        <v/>
      </c>
      <c r="Y495" s="586" t="str">
        <f t="shared" si="156"/>
        <v/>
      </c>
      <c r="Z495" s="586" t="str">
        <f t="shared" si="157"/>
        <v/>
      </c>
    </row>
    <row r="496" spans="1:26" ht="23.25" hidden="1" thickBot="1" x14ac:dyDescent="0.25">
      <c r="A496" s="671">
        <v>97118</v>
      </c>
      <c r="B496" s="644">
        <v>97118</v>
      </c>
      <c r="C496" s="645" t="s">
        <v>670</v>
      </c>
      <c r="D496" s="422" t="s">
        <v>1894</v>
      </c>
      <c r="E496" s="423"/>
      <c r="F496" s="424"/>
      <c r="G496" s="425"/>
      <c r="H496" s="663">
        <f t="shared" si="158"/>
        <v>0</v>
      </c>
      <c r="I496" s="420">
        <v>19.36</v>
      </c>
      <c r="J496" s="420">
        <f t="shared" si="149"/>
        <v>19.36</v>
      </c>
      <c r="K496" s="421">
        <f t="shared" si="137"/>
        <v>23</v>
      </c>
      <c r="L496" s="647" t="s">
        <v>23</v>
      </c>
      <c r="M496" s="587"/>
      <c r="N496" s="576">
        <f t="shared" si="144"/>
        <v>0</v>
      </c>
      <c r="O496" s="577">
        <f t="shared" si="150"/>
        <v>0</v>
      </c>
      <c r="P496" s="578">
        <f t="shared" si="151"/>
        <v>0</v>
      </c>
      <c r="Q496" s="765"/>
      <c r="R496" s="650">
        <f t="shared" si="152"/>
        <v>0</v>
      </c>
      <c r="S496" s="587">
        <f t="shared" si="152"/>
        <v>0</v>
      </c>
      <c r="T496" s="577">
        <f t="shared" si="153"/>
        <v>0</v>
      </c>
      <c r="U496" s="578">
        <f t="shared" si="154"/>
        <v>0</v>
      </c>
      <c r="V496" s="579"/>
      <c r="W496" s="566"/>
      <c r="X496" s="586" t="str">
        <f t="shared" si="155"/>
        <v/>
      </c>
      <c r="Y496" s="586" t="str">
        <f t="shared" si="156"/>
        <v/>
      </c>
      <c r="Z496" s="586" t="str">
        <f t="shared" si="157"/>
        <v/>
      </c>
    </row>
    <row r="497" spans="1:26" ht="23.25" hidden="1" thickBot="1" x14ac:dyDescent="0.25">
      <c r="A497" s="671">
        <v>97119</v>
      </c>
      <c r="B497" s="644">
        <v>97119</v>
      </c>
      <c r="C497" s="645" t="s">
        <v>670</v>
      </c>
      <c r="D497" s="422" t="s">
        <v>1895</v>
      </c>
      <c r="E497" s="423"/>
      <c r="F497" s="424"/>
      <c r="G497" s="425"/>
      <c r="H497" s="663">
        <f t="shared" si="158"/>
        <v>0</v>
      </c>
      <c r="I497" s="420">
        <v>17.440000000000001</v>
      </c>
      <c r="J497" s="420">
        <f t="shared" si="149"/>
        <v>17.440000000000001</v>
      </c>
      <c r="K497" s="421">
        <f t="shared" si="137"/>
        <v>20.72</v>
      </c>
      <c r="L497" s="647" t="s">
        <v>23</v>
      </c>
      <c r="M497" s="587"/>
      <c r="N497" s="576">
        <f t="shared" si="144"/>
        <v>0</v>
      </c>
      <c r="O497" s="577">
        <f t="shared" si="150"/>
        <v>0</v>
      </c>
      <c r="P497" s="578">
        <f t="shared" si="151"/>
        <v>0</v>
      </c>
      <c r="Q497" s="765"/>
      <c r="R497" s="650">
        <f t="shared" si="152"/>
        <v>0</v>
      </c>
      <c r="S497" s="587">
        <f t="shared" si="152"/>
        <v>0</v>
      </c>
      <c r="T497" s="577">
        <f t="shared" si="153"/>
        <v>0</v>
      </c>
      <c r="U497" s="578">
        <f t="shared" si="154"/>
        <v>0</v>
      </c>
      <c r="V497" s="579"/>
      <c r="W497" s="566"/>
      <c r="X497" s="586" t="str">
        <f t="shared" si="155"/>
        <v/>
      </c>
      <c r="Y497" s="586" t="str">
        <f t="shared" si="156"/>
        <v/>
      </c>
      <c r="Z497" s="586" t="str">
        <f t="shared" si="157"/>
        <v/>
      </c>
    </row>
    <row r="498" spans="1:26" ht="23.25" hidden="1" thickBot="1" x14ac:dyDescent="0.25">
      <c r="A498" s="671">
        <v>97120</v>
      </c>
      <c r="B498" s="644">
        <v>97120</v>
      </c>
      <c r="C498" s="645" t="s">
        <v>670</v>
      </c>
      <c r="D498" s="422" t="s">
        <v>1896</v>
      </c>
      <c r="E498" s="423"/>
      <c r="F498" s="424"/>
      <c r="G498" s="425"/>
      <c r="H498" s="663">
        <f t="shared" si="158"/>
        <v>0</v>
      </c>
      <c r="I498" s="420">
        <v>11.08</v>
      </c>
      <c r="J498" s="420">
        <f t="shared" si="149"/>
        <v>11.08</v>
      </c>
      <c r="K498" s="421">
        <f t="shared" si="137"/>
        <v>13.16</v>
      </c>
      <c r="L498" s="647" t="s">
        <v>23</v>
      </c>
      <c r="M498" s="587"/>
      <c r="N498" s="576">
        <f t="shared" si="144"/>
        <v>0</v>
      </c>
      <c r="O498" s="577">
        <f t="shared" si="150"/>
        <v>0</v>
      </c>
      <c r="P498" s="578">
        <f t="shared" si="151"/>
        <v>0</v>
      </c>
      <c r="Q498" s="765"/>
      <c r="R498" s="650">
        <f t="shared" si="152"/>
        <v>0</v>
      </c>
      <c r="S498" s="587">
        <f t="shared" si="152"/>
        <v>0</v>
      </c>
      <c r="T498" s="577">
        <f t="shared" si="153"/>
        <v>0</v>
      </c>
      <c r="U498" s="578">
        <f t="shared" si="154"/>
        <v>0</v>
      </c>
      <c r="V498" s="579"/>
      <c r="W498" s="566"/>
      <c r="X498" s="586" t="str">
        <f t="shared" si="155"/>
        <v/>
      </c>
      <c r="Y498" s="586" t="str">
        <f t="shared" si="156"/>
        <v/>
      </c>
      <c r="Z498" s="586" t="str">
        <f t="shared" si="157"/>
        <v/>
      </c>
    </row>
    <row r="499" spans="1:26" ht="12" hidden="1" thickBot="1" x14ac:dyDescent="0.25">
      <c r="A499" s="671">
        <v>96395</v>
      </c>
      <c r="B499" s="644">
        <v>96395</v>
      </c>
      <c r="C499" s="645" t="s">
        <v>670</v>
      </c>
      <c r="D499" s="422" t="s">
        <v>1897</v>
      </c>
      <c r="E499" s="423"/>
      <c r="F499" s="424"/>
      <c r="G499" s="425"/>
      <c r="H499" s="651">
        <f t="shared" si="158"/>
        <v>0</v>
      </c>
      <c r="I499" s="420">
        <v>230.49</v>
      </c>
      <c r="J499" s="420">
        <f t="shared" si="149"/>
        <v>230.49</v>
      </c>
      <c r="K499" s="421">
        <f t="shared" si="137"/>
        <v>273.85000000000002</v>
      </c>
      <c r="L499" s="647" t="s">
        <v>16</v>
      </c>
      <c r="M499" s="587"/>
      <c r="N499" s="576">
        <f t="shared" si="144"/>
        <v>0</v>
      </c>
      <c r="O499" s="577">
        <f t="shared" si="150"/>
        <v>0</v>
      </c>
      <c r="P499" s="578">
        <f t="shared" si="151"/>
        <v>0</v>
      </c>
      <c r="Q499" s="765"/>
      <c r="R499" s="650">
        <f t="shared" si="152"/>
        <v>0</v>
      </c>
      <c r="S499" s="587">
        <f t="shared" si="152"/>
        <v>0</v>
      </c>
      <c r="T499" s="577">
        <f t="shared" si="153"/>
        <v>0</v>
      </c>
      <c r="U499" s="578">
        <f t="shared" si="154"/>
        <v>0</v>
      </c>
      <c r="V499" s="579"/>
      <c r="W499" s="566"/>
      <c r="X499" s="586" t="str">
        <f t="shared" si="155"/>
        <v/>
      </c>
      <c r="Y499" s="586" t="str">
        <f t="shared" si="156"/>
        <v/>
      </c>
      <c r="Z499" s="586" t="str">
        <f t="shared" si="157"/>
        <v/>
      </c>
    </row>
    <row r="500" spans="1:26" ht="12" hidden="1" thickBot="1" x14ac:dyDescent="0.25">
      <c r="A500" s="671">
        <v>505000</v>
      </c>
      <c r="B500" s="638">
        <v>505000</v>
      </c>
      <c r="C500" s="639" t="s">
        <v>206</v>
      </c>
      <c r="D500" s="445" t="s">
        <v>265</v>
      </c>
      <c r="E500" s="446"/>
      <c r="F500" s="800">
        <v>20</v>
      </c>
      <c r="G500" s="448">
        <v>2.4</v>
      </c>
      <c r="H500" s="663">
        <f t="shared" ref="H500:H501" si="159">IF(F500&lt;=30,(1.07*F500+2.68)*G500,((1.07*30+2.68)+1.07*(F500-30))*G500)</f>
        <v>57.792000000000002</v>
      </c>
      <c r="I500" s="414">
        <v>225.74</v>
      </c>
      <c r="J500" s="414">
        <f>IF(ISBLANK(I500),"",SUM(H500:I500))</f>
        <v>283.53200000000004</v>
      </c>
      <c r="K500" s="415">
        <f t="shared" si="137"/>
        <v>336.86</v>
      </c>
      <c r="L500" s="641" t="s">
        <v>16</v>
      </c>
      <c r="M500" s="576"/>
      <c r="N500" s="576">
        <f t="shared" si="144"/>
        <v>0</v>
      </c>
      <c r="O500" s="642">
        <f t="shared" si="132"/>
        <v>0</v>
      </c>
      <c r="P500" s="659">
        <f t="shared" si="133"/>
        <v>0</v>
      </c>
      <c r="Q500" s="765"/>
      <c r="R500" s="576">
        <f>M500</f>
        <v>0</v>
      </c>
      <c r="S500" s="576">
        <f>N500</f>
        <v>0</v>
      </c>
      <c r="T500" s="642">
        <f t="shared" si="130"/>
        <v>0</v>
      </c>
      <c r="U500" s="659">
        <f t="shared" si="131"/>
        <v>0</v>
      </c>
      <c r="V500" s="579"/>
      <c r="W500" s="566"/>
      <c r="X500" s="586" t="str">
        <f t="shared" si="155"/>
        <v/>
      </c>
      <c r="Y500" s="586" t="str">
        <f t="shared" si="143"/>
        <v/>
      </c>
      <c r="Z500" s="586" t="str">
        <f t="shared" si="147"/>
        <v/>
      </c>
    </row>
    <row r="501" spans="1:26" ht="12" hidden="1" thickBot="1" x14ac:dyDescent="0.25">
      <c r="A501" s="671">
        <v>505100</v>
      </c>
      <c r="B501" s="644">
        <v>505100</v>
      </c>
      <c r="C501" s="645" t="s">
        <v>206</v>
      </c>
      <c r="D501" s="422" t="s">
        <v>266</v>
      </c>
      <c r="E501" s="423"/>
      <c r="F501" s="424">
        <v>20</v>
      </c>
      <c r="G501" s="425">
        <v>2.4</v>
      </c>
      <c r="H501" s="663">
        <f t="shared" si="159"/>
        <v>57.792000000000002</v>
      </c>
      <c r="I501" s="420">
        <v>289.12</v>
      </c>
      <c r="J501" s="420">
        <f>IF(ISBLANK(I501),"",SUM(H501:I501))</f>
        <v>346.91200000000003</v>
      </c>
      <c r="K501" s="421">
        <f t="shared" si="137"/>
        <v>412.17</v>
      </c>
      <c r="L501" s="647" t="s">
        <v>16</v>
      </c>
      <c r="M501" s="587"/>
      <c r="N501" s="576">
        <f t="shared" si="144"/>
        <v>0</v>
      </c>
      <c r="O501" s="577">
        <f t="shared" si="132"/>
        <v>0</v>
      </c>
      <c r="P501" s="578">
        <f t="shared" si="133"/>
        <v>0</v>
      </c>
      <c r="Q501" s="765"/>
      <c r="R501" s="650">
        <f>M501</f>
        <v>0</v>
      </c>
      <c r="S501" s="587">
        <f>N501</f>
        <v>0</v>
      </c>
      <c r="T501" s="577">
        <f t="shared" si="130"/>
        <v>0</v>
      </c>
      <c r="U501" s="578">
        <f t="shared" si="131"/>
        <v>0</v>
      </c>
      <c r="V501" s="579"/>
      <c r="W501" s="566"/>
      <c r="X501" s="586" t="str">
        <f t="shared" si="155"/>
        <v/>
      </c>
      <c r="Y501" s="586" t="str">
        <f t="shared" si="143"/>
        <v/>
      </c>
      <c r="Z501" s="586" t="str">
        <f t="shared" si="147"/>
        <v/>
      </c>
    </row>
    <row r="502" spans="1:26" ht="12" hidden="1" thickBot="1" x14ac:dyDescent="0.25">
      <c r="A502" s="671" t="s">
        <v>187</v>
      </c>
      <c r="B502" s="653" t="s">
        <v>187</v>
      </c>
      <c r="C502" s="654"/>
      <c r="D502" s="427" t="s">
        <v>226</v>
      </c>
      <c r="E502" s="491"/>
      <c r="F502" s="655"/>
      <c r="G502" s="656"/>
      <c r="H502" s="657"/>
      <c r="I502" s="429"/>
      <c r="J502" s="429"/>
      <c r="K502" s="429"/>
      <c r="L502" s="429" t="s">
        <v>614</v>
      </c>
      <c r="M502" s="657"/>
      <c r="N502" s="576">
        <f t="shared" si="144"/>
        <v>0</v>
      </c>
      <c r="O502" s="429">
        <f t="shared" si="132"/>
        <v>0</v>
      </c>
      <c r="P502" s="658">
        <f t="shared" si="133"/>
        <v>0</v>
      </c>
      <c r="Q502" s="765"/>
      <c r="R502" s="657"/>
      <c r="S502" s="429"/>
      <c r="T502" s="429">
        <f t="shared" si="130"/>
        <v>0</v>
      </c>
      <c r="U502" s="658">
        <f t="shared" si="131"/>
        <v>0</v>
      </c>
      <c r="V502" s="579"/>
      <c r="W502" s="637" t="str">
        <f>IF(OR(SUM(P503:P527)&gt;0,SUM(U503:U527)&gt;0),"y","")</f>
        <v/>
      </c>
      <c r="X502" s="586" t="str">
        <f t="shared" si="155"/>
        <v/>
      </c>
      <c r="Y502" s="586" t="str">
        <f t="shared" si="143"/>
        <v/>
      </c>
      <c r="Z502" s="586" t="str">
        <f t="shared" si="147"/>
        <v/>
      </c>
    </row>
    <row r="503" spans="1:26" ht="12" hidden="1" thickBot="1" x14ac:dyDescent="0.25">
      <c r="A503" s="671" t="s">
        <v>187</v>
      </c>
      <c r="B503" s="572" t="s">
        <v>187</v>
      </c>
      <c r="C503" s="573" t="s">
        <v>187</v>
      </c>
      <c r="D503" s="574"/>
      <c r="E503" s="575"/>
      <c r="F503" s="436"/>
      <c r="G503" s="431"/>
      <c r="H503" s="430"/>
      <c r="I503" s="432"/>
      <c r="J503" s="433"/>
      <c r="K503" s="434">
        <f t="shared" ref="K503:K527" si="160">IF(ISBLANK(J503),0,ROUND(J503*(1+$F$10)*(1+$F$11*E503),2))</f>
        <v>0</v>
      </c>
      <c r="L503" s="435" t="s">
        <v>614</v>
      </c>
      <c r="M503" s="587"/>
      <c r="N503" s="576">
        <f t="shared" si="144"/>
        <v>0</v>
      </c>
      <c r="O503" s="577">
        <f t="shared" si="132"/>
        <v>0</v>
      </c>
      <c r="P503" s="578">
        <f t="shared" si="133"/>
        <v>0</v>
      </c>
      <c r="Q503" s="765"/>
      <c r="R503" s="650">
        <f t="shared" ref="R503:S527" si="161">M503</f>
        <v>0</v>
      </c>
      <c r="S503" s="587">
        <f t="shared" si="161"/>
        <v>0</v>
      </c>
      <c r="T503" s="577">
        <f t="shared" si="130"/>
        <v>0</v>
      </c>
      <c r="U503" s="578">
        <f t="shared" si="131"/>
        <v>0</v>
      </c>
      <c r="V503" s="579"/>
      <c r="W503" s="566"/>
      <c r="X503" s="586" t="str">
        <f t="shared" si="155"/>
        <v/>
      </c>
      <c r="Y503" s="586" t="str">
        <f t="shared" si="143"/>
        <v/>
      </c>
      <c r="Z503" s="586" t="str">
        <f t="shared" si="147"/>
        <v/>
      </c>
    </row>
    <row r="504" spans="1:26" ht="12" hidden="1" thickBot="1" x14ac:dyDescent="0.25">
      <c r="A504" s="671" t="s">
        <v>187</v>
      </c>
      <c r="B504" s="572" t="s">
        <v>187</v>
      </c>
      <c r="C504" s="573" t="s">
        <v>187</v>
      </c>
      <c r="D504" s="580"/>
      <c r="E504" s="575"/>
      <c r="F504" s="436"/>
      <c r="G504" s="431"/>
      <c r="H504" s="430"/>
      <c r="I504" s="432"/>
      <c r="J504" s="433"/>
      <c r="K504" s="437">
        <f t="shared" si="160"/>
        <v>0</v>
      </c>
      <c r="L504" s="435" t="s">
        <v>614</v>
      </c>
      <c r="M504" s="576"/>
      <c r="N504" s="576">
        <f t="shared" si="144"/>
        <v>0</v>
      </c>
      <c r="O504" s="577">
        <f t="shared" si="132"/>
        <v>0</v>
      </c>
      <c r="P504" s="578">
        <f t="shared" si="133"/>
        <v>0</v>
      </c>
      <c r="Q504" s="765"/>
      <c r="R504" s="576">
        <f t="shared" si="161"/>
        <v>0</v>
      </c>
      <c r="S504" s="576">
        <f t="shared" si="161"/>
        <v>0</v>
      </c>
      <c r="T504" s="577">
        <f t="shared" si="130"/>
        <v>0</v>
      </c>
      <c r="U504" s="659">
        <f t="shared" si="131"/>
        <v>0</v>
      </c>
      <c r="V504" s="579"/>
      <c r="W504" s="566"/>
      <c r="X504" s="586" t="str">
        <f t="shared" si="155"/>
        <v/>
      </c>
      <c r="Y504" s="586" t="str">
        <f t="shared" si="143"/>
        <v/>
      </c>
      <c r="Z504" s="586" t="str">
        <f t="shared" si="147"/>
        <v/>
      </c>
    </row>
    <row r="505" spans="1:26" ht="12" hidden="1" thickBot="1" x14ac:dyDescent="0.25">
      <c r="A505" s="671" t="s">
        <v>187</v>
      </c>
      <c r="B505" s="572" t="s">
        <v>187</v>
      </c>
      <c r="C505" s="573" t="s">
        <v>187</v>
      </c>
      <c r="D505" s="580"/>
      <c r="E505" s="575"/>
      <c r="F505" s="436"/>
      <c r="G505" s="431"/>
      <c r="H505" s="430"/>
      <c r="I505" s="432"/>
      <c r="J505" s="433"/>
      <c r="K505" s="437">
        <f t="shared" si="160"/>
        <v>0</v>
      </c>
      <c r="L505" s="435" t="s">
        <v>614</v>
      </c>
      <c r="M505" s="576"/>
      <c r="N505" s="576">
        <f t="shared" si="144"/>
        <v>0</v>
      </c>
      <c r="O505" s="577">
        <f t="shared" si="132"/>
        <v>0</v>
      </c>
      <c r="P505" s="578">
        <f t="shared" si="133"/>
        <v>0</v>
      </c>
      <c r="Q505" s="765"/>
      <c r="R505" s="576">
        <f t="shared" si="161"/>
        <v>0</v>
      </c>
      <c r="S505" s="576">
        <f t="shared" si="161"/>
        <v>0</v>
      </c>
      <c r="T505" s="577">
        <f t="shared" si="130"/>
        <v>0</v>
      </c>
      <c r="U505" s="578">
        <f t="shared" si="131"/>
        <v>0</v>
      </c>
      <c r="V505" s="579"/>
      <c r="W505" s="566"/>
      <c r="X505" s="586" t="str">
        <f t="shared" si="155"/>
        <v/>
      </c>
      <c r="Y505" s="586" t="str">
        <f t="shared" si="143"/>
        <v/>
      </c>
      <c r="Z505" s="586" t="str">
        <f t="shared" si="147"/>
        <v/>
      </c>
    </row>
    <row r="506" spans="1:26" ht="12" hidden="1" thickBot="1" x14ac:dyDescent="0.25">
      <c r="A506" s="671" t="s">
        <v>187</v>
      </c>
      <c r="B506" s="572" t="s">
        <v>187</v>
      </c>
      <c r="C506" s="573" t="s">
        <v>187</v>
      </c>
      <c r="D506" s="580"/>
      <c r="E506" s="575"/>
      <c r="F506" s="436"/>
      <c r="G506" s="431"/>
      <c r="H506" s="430"/>
      <c r="I506" s="432"/>
      <c r="J506" s="433"/>
      <c r="K506" s="437">
        <f t="shared" si="160"/>
        <v>0</v>
      </c>
      <c r="L506" s="435" t="s">
        <v>614</v>
      </c>
      <c r="M506" s="576"/>
      <c r="N506" s="576">
        <f t="shared" si="144"/>
        <v>0</v>
      </c>
      <c r="O506" s="577">
        <f t="shared" si="132"/>
        <v>0</v>
      </c>
      <c r="P506" s="578">
        <f t="shared" si="133"/>
        <v>0</v>
      </c>
      <c r="Q506" s="765"/>
      <c r="R506" s="576">
        <f t="shared" si="161"/>
        <v>0</v>
      </c>
      <c r="S506" s="576">
        <f t="shared" si="161"/>
        <v>0</v>
      </c>
      <c r="T506" s="577">
        <f t="shared" si="130"/>
        <v>0</v>
      </c>
      <c r="U506" s="578">
        <f t="shared" si="131"/>
        <v>0</v>
      </c>
      <c r="V506" s="579"/>
      <c r="W506" s="566"/>
      <c r="X506" s="586" t="str">
        <f t="shared" si="155"/>
        <v/>
      </c>
      <c r="Y506" s="586" t="str">
        <f t="shared" si="143"/>
        <v/>
      </c>
      <c r="Z506" s="586" t="str">
        <f t="shared" si="147"/>
        <v/>
      </c>
    </row>
    <row r="507" spans="1:26" ht="12" hidden="1" thickBot="1" x14ac:dyDescent="0.25">
      <c r="A507" s="671" t="s">
        <v>187</v>
      </c>
      <c r="B507" s="572" t="s">
        <v>187</v>
      </c>
      <c r="C507" s="573" t="s">
        <v>187</v>
      </c>
      <c r="D507" s="580"/>
      <c r="E507" s="575"/>
      <c r="F507" s="436"/>
      <c r="G507" s="431"/>
      <c r="H507" s="430"/>
      <c r="I507" s="432"/>
      <c r="J507" s="433"/>
      <c r="K507" s="437">
        <f t="shared" si="160"/>
        <v>0</v>
      </c>
      <c r="L507" s="435" t="s">
        <v>614</v>
      </c>
      <c r="M507" s="576"/>
      <c r="N507" s="576">
        <f t="shared" si="144"/>
        <v>0</v>
      </c>
      <c r="O507" s="577">
        <f t="shared" si="132"/>
        <v>0</v>
      </c>
      <c r="P507" s="578">
        <f t="shared" si="133"/>
        <v>0</v>
      </c>
      <c r="Q507" s="765"/>
      <c r="R507" s="576">
        <f t="shared" si="161"/>
        <v>0</v>
      </c>
      <c r="S507" s="576">
        <f t="shared" si="161"/>
        <v>0</v>
      </c>
      <c r="T507" s="577">
        <f t="shared" si="130"/>
        <v>0</v>
      </c>
      <c r="U507" s="578">
        <f t="shared" si="131"/>
        <v>0</v>
      </c>
      <c r="V507" s="579"/>
      <c r="W507" s="566"/>
      <c r="X507" s="586" t="str">
        <f t="shared" si="155"/>
        <v/>
      </c>
      <c r="Y507" s="586" t="str">
        <f t="shared" si="143"/>
        <v/>
      </c>
      <c r="Z507" s="586" t="str">
        <f t="shared" si="147"/>
        <v/>
      </c>
    </row>
    <row r="508" spans="1:26" ht="12" hidden="1" thickBot="1" x14ac:dyDescent="0.25">
      <c r="A508" s="671" t="s">
        <v>187</v>
      </c>
      <c r="B508" s="572" t="s">
        <v>187</v>
      </c>
      <c r="C508" s="573" t="s">
        <v>187</v>
      </c>
      <c r="D508" s="580"/>
      <c r="E508" s="575"/>
      <c r="F508" s="436"/>
      <c r="G508" s="431"/>
      <c r="H508" s="430"/>
      <c r="I508" s="432"/>
      <c r="J508" s="433"/>
      <c r="K508" s="437">
        <f t="shared" si="160"/>
        <v>0</v>
      </c>
      <c r="L508" s="435" t="s">
        <v>614</v>
      </c>
      <c r="M508" s="576"/>
      <c r="N508" s="576">
        <f t="shared" si="144"/>
        <v>0</v>
      </c>
      <c r="O508" s="577">
        <f t="shared" si="132"/>
        <v>0</v>
      </c>
      <c r="P508" s="578">
        <f t="shared" si="133"/>
        <v>0</v>
      </c>
      <c r="Q508" s="765"/>
      <c r="R508" s="576">
        <f t="shared" si="161"/>
        <v>0</v>
      </c>
      <c r="S508" s="576">
        <f t="shared" si="161"/>
        <v>0</v>
      </c>
      <c r="T508" s="577">
        <f t="shared" si="130"/>
        <v>0</v>
      </c>
      <c r="U508" s="578">
        <f t="shared" si="131"/>
        <v>0</v>
      </c>
      <c r="V508" s="579"/>
      <c r="W508" s="566"/>
      <c r="X508" s="586" t="str">
        <f t="shared" si="155"/>
        <v/>
      </c>
      <c r="Y508" s="586" t="str">
        <f t="shared" si="143"/>
        <v/>
      </c>
      <c r="Z508" s="586" t="str">
        <f t="shared" si="147"/>
        <v/>
      </c>
    </row>
    <row r="509" spans="1:26" ht="12" hidden="1" thickBot="1" x14ac:dyDescent="0.25">
      <c r="A509" s="671" t="s">
        <v>187</v>
      </c>
      <c r="B509" s="572" t="s">
        <v>187</v>
      </c>
      <c r="C509" s="573" t="s">
        <v>187</v>
      </c>
      <c r="D509" s="580"/>
      <c r="E509" s="575"/>
      <c r="F509" s="436"/>
      <c r="G509" s="431"/>
      <c r="H509" s="430"/>
      <c r="I509" s="432"/>
      <c r="J509" s="433"/>
      <c r="K509" s="437">
        <f t="shared" si="160"/>
        <v>0</v>
      </c>
      <c r="L509" s="435" t="s">
        <v>614</v>
      </c>
      <c r="M509" s="576"/>
      <c r="N509" s="576">
        <f t="shared" si="144"/>
        <v>0</v>
      </c>
      <c r="O509" s="577">
        <f t="shared" si="132"/>
        <v>0</v>
      </c>
      <c r="P509" s="578">
        <f t="shared" si="133"/>
        <v>0</v>
      </c>
      <c r="Q509" s="765"/>
      <c r="R509" s="576">
        <f t="shared" si="161"/>
        <v>0</v>
      </c>
      <c r="S509" s="576">
        <f t="shared" si="161"/>
        <v>0</v>
      </c>
      <c r="T509" s="577">
        <f t="shared" si="130"/>
        <v>0</v>
      </c>
      <c r="U509" s="578">
        <f t="shared" si="131"/>
        <v>0</v>
      </c>
      <c r="V509" s="579"/>
      <c r="W509" s="566"/>
      <c r="X509" s="586" t="str">
        <f t="shared" si="155"/>
        <v/>
      </c>
      <c r="Y509" s="586" t="str">
        <f t="shared" si="143"/>
        <v/>
      </c>
      <c r="Z509" s="586" t="str">
        <f t="shared" si="147"/>
        <v/>
      </c>
    </row>
    <row r="510" spans="1:26" ht="12" hidden="1" thickBot="1" x14ac:dyDescent="0.25">
      <c r="A510" s="671" t="s">
        <v>187</v>
      </c>
      <c r="B510" s="572" t="s">
        <v>187</v>
      </c>
      <c r="C510" s="573" t="s">
        <v>187</v>
      </c>
      <c r="D510" s="580"/>
      <c r="E510" s="575"/>
      <c r="F510" s="436"/>
      <c r="G510" s="431"/>
      <c r="H510" s="430"/>
      <c r="I510" s="432"/>
      <c r="J510" s="433"/>
      <c r="K510" s="437">
        <f t="shared" si="160"/>
        <v>0</v>
      </c>
      <c r="L510" s="435" t="s">
        <v>614</v>
      </c>
      <c r="M510" s="576"/>
      <c r="N510" s="576">
        <f t="shared" si="144"/>
        <v>0</v>
      </c>
      <c r="O510" s="577">
        <f t="shared" si="132"/>
        <v>0</v>
      </c>
      <c r="P510" s="578">
        <f t="shared" si="133"/>
        <v>0</v>
      </c>
      <c r="Q510" s="765"/>
      <c r="R510" s="576">
        <f t="shared" si="161"/>
        <v>0</v>
      </c>
      <c r="S510" s="576">
        <f t="shared" si="161"/>
        <v>0</v>
      </c>
      <c r="T510" s="577">
        <f t="shared" si="130"/>
        <v>0</v>
      </c>
      <c r="U510" s="578">
        <f t="shared" si="131"/>
        <v>0</v>
      </c>
      <c r="V510" s="579"/>
      <c r="W510" s="566"/>
      <c r="X510" s="586" t="str">
        <f t="shared" si="155"/>
        <v/>
      </c>
      <c r="Y510" s="586" t="str">
        <f t="shared" si="143"/>
        <v/>
      </c>
      <c r="Z510" s="586" t="str">
        <f t="shared" si="147"/>
        <v/>
      </c>
    </row>
    <row r="511" spans="1:26" ht="12" hidden="1" thickBot="1" x14ac:dyDescent="0.25">
      <c r="A511" s="671" t="s">
        <v>187</v>
      </c>
      <c r="B511" s="572" t="s">
        <v>187</v>
      </c>
      <c r="C511" s="573" t="s">
        <v>187</v>
      </c>
      <c r="D511" s="580"/>
      <c r="E511" s="575"/>
      <c r="F511" s="436"/>
      <c r="G511" s="431"/>
      <c r="H511" s="430"/>
      <c r="I511" s="432"/>
      <c r="J511" s="433"/>
      <c r="K511" s="437">
        <f t="shared" si="160"/>
        <v>0</v>
      </c>
      <c r="L511" s="435" t="s">
        <v>614</v>
      </c>
      <c r="M511" s="576"/>
      <c r="N511" s="576">
        <f t="shared" si="144"/>
        <v>0</v>
      </c>
      <c r="O511" s="577">
        <f t="shared" si="132"/>
        <v>0</v>
      </c>
      <c r="P511" s="578">
        <f t="shared" si="133"/>
        <v>0</v>
      </c>
      <c r="Q511" s="765"/>
      <c r="R511" s="576">
        <f t="shared" si="161"/>
        <v>0</v>
      </c>
      <c r="S511" s="576">
        <f t="shared" si="161"/>
        <v>0</v>
      </c>
      <c r="T511" s="577">
        <f t="shared" si="130"/>
        <v>0</v>
      </c>
      <c r="U511" s="578">
        <f t="shared" si="131"/>
        <v>0</v>
      </c>
      <c r="V511" s="579"/>
      <c r="W511" s="566"/>
      <c r="X511" s="586" t="str">
        <f t="shared" si="155"/>
        <v/>
      </c>
      <c r="Y511" s="586" t="str">
        <f t="shared" si="143"/>
        <v/>
      </c>
      <c r="Z511" s="586" t="str">
        <f t="shared" si="147"/>
        <v/>
      </c>
    </row>
    <row r="512" spans="1:26" ht="12" hidden="1" thickBot="1" x14ac:dyDescent="0.25">
      <c r="A512" s="671" t="s">
        <v>187</v>
      </c>
      <c r="B512" s="572" t="s">
        <v>187</v>
      </c>
      <c r="C512" s="573" t="s">
        <v>187</v>
      </c>
      <c r="D512" s="580"/>
      <c r="E512" s="575"/>
      <c r="F512" s="436"/>
      <c r="G512" s="431"/>
      <c r="H512" s="430"/>
      <c r="I512" s="432"/>
      <c r="J512" s="433"/>
      <c r="K512" s="437">
        <f t="shared" si="160"/>
        <v>0</v>
      </c>
      <c r="L512" s="435" t="s">
        <v>614</v>
      </c>
      <c r="M512" s="576"/>
      <c r="N512" s="576">
        <f t="shared" si="144"/>
        <v>0</v>
      </c>
      <c r="O512" s="577">
        <f t="shared" si="132"/>
        <v>0</v>
      </c>
      <c r="P512" s="578">
        <f t="shared" si="133"/>
        <v>0</v>
      </c>
      <c r="Q512" s="765"/>
      <c r="R512" s="576">
        <f t="shared" si="161"/>
        <v>0</v>
      </c>
      <c r="S512" s="576">
        <f t="shared" si="161"/>
        <v>0</v>
      </c>
      <c r="T512" s="577">
        <f t="shared" si="130"/>
        <v>0</v>
      </c>
      <c r="U512" s="578">
        <f t="shared" si="131"/>
        <v>0</v>
      </c>
      <c r="V512" s="579"/>
      <c r="W512" s="566"/>
      <c r="X512" s="586" t="str">
        <f t="shared" si="155"/>
        <v/>
      </c>
      <c r="Y512" s="586" t="str">
        <f t="shared" si="143"/>
        <v/>
      </c>
      <c r="Z512" s="586" t="str">
        <f t="shared" si="147"/>
        <v/>
      </c>
    </row>
    <row r="513" spans="1:26" ht="12" hidden="1" thickBot="1" x14ac:dyDescent="0.25">
      <c r="A513" s="671" t="s">
        <v>187</v>
      </c>
      <c r="B513" s="572" t="s">
        <v>187</v>
      </c>
      <c r="C513" s="573" t="s">
        <v>187</v>
      </c>
      <c r="D513" s="580"/>
      <c r="E513" s="575"/>
      <c r="F513" s="436"/>
      <c r="G513" s="431"/>
      <c r="H513" s="430"/>
      <c r="I513" s="432"/>
      <c r="J513" s="433"/>
      <c r="K513" s="437">
        <f t="shared" si="160"/>
        <v>0</v>
      </c>
      <c r="L513" s="435" t="s">
        <v>614</v>
      </c>
      <c r="M513" s="576"/>
      <c r="N513" s="576">
        <f t="shared" si="144"/>
        <v>0</v>
      </c>
      <c r="O513" s="577">
        <f t="shared" si="132"/>
        <v>0</v>
      </c>
      <c r="P513" s="578">
        <f t="shared" si="133"/>
        <v>0</v>
      </c>
      <c r="Q513" s="765"/>
      <c r="R513" s="576">
        <f t="shared" si="161"/>
        <v>0</v>
      </c>
      <c r="S513" s="576">
        <f t="shared" si="161"/>
        <v>0</v>
      </c>
      <c r="T513" s="577">
        <f t="shared" si="130"/>
        <v>0</v>
      </c>
      <c r="U513" s="578">
        <f t="shared" si="131"/>
        <v>0</v>
      </c>
      <c r="V513" s="579"/>
      <c r="W513" s="566"/>
      <c r="X513" s="586" t="str">
        <f t="shared" si="155"/>
        <v/>
      </c>
      <c r="Y513" s="586" t="str">
        <f t="shared" si="143"/>
        <v/>
      </c>
      <c r="Z513" s="586" t="str">
        <f t="shared" si="147"/>
        <v/>
      </c>
    </row>
    <row r="514" spans="1:26" ht="12" hidden="1" thickBot="1" x14ac:dyDescent="0.25">
      <c r="A514" s="671" t="s">
        <v>187</v>
      </c>
      <c r="B514" s="572" t="s">
        <v>187</v>
      </c>
      <c r="C514" s="573" t="s">
        <v>187</v>
      </c>
      <c r="D514" s="580"/>
      <c r="E514" s="575"/>
      <c r="F514" s="436"/>
      <c r="G514" s="431"/>
      <c r="H514" s="430"/>
      <c r="I514" s="432"/>
      <c r="J514" s="433"/>
      <c r="K514" s="437">
        <f t="shared" si="160"/>
        <v>0</v>
      </c>
      <c r="L514" s="435" t="s">
        <v>614</v>
      </c>
      <c r="M514" s="576"/>
      <c r="N514" s="576">
        <f t="shared" si="144"/>
        <v>0</v>
      </c>
      <c r="O514" s="577">
        <f t="shared" si="132"/>
        <v>0</v>
      </c>
      <c r="P514" s="578">
        <f t="shared" si="133"/>
        <v>0</v>
      </c>
      <c r="Q514" s="765"/>
      <c r="R514" s="576">
        <f t="shared" si="161"/>
        <v>0</v>
      </c>
      <c r="S514" s="576">
        <f t="shared" si="161"/>
        <v>0</v>
      </c>
      <c r="T514" s="577">
        <f t="shared" si="130"/>
        <v>0</v>
      </c>
      <c r="U514" s="578">
        <f t="shared" si="131"/>
        <v>0</v>
      </c>
      <c r="V514" s="579"/>
      <c r="W514" s="566"/>
      <c r="X514" s="586" t="str">
        <f t="shared" si="155"/>
        <v/>
      </c>
      <c r="Y514" s="586" t="str">
        <f t="shared" si="143"/>
        <v/>
      </c>
      <c r="Z514" s="586" t="str">
        <f t="shared" si="147"/>
        <v/>
      </c>
    </row>
    <row r="515" spans="1:26" ht="12" hidden="1" thickBot="1" x14ac:dyDescent="0.25">
      <c r="A515" s="671" t="s">
        <v>187</v>
      </c>
      <c r="B515" s="572" t="s">
        <v>187</v>
      </c>
      <c r="C515" s="573" t="s">
        <v>187</v>
      </c>
      <c r="D515" s="580"/>
      <c r="E515" s="575"/>
      <c r="F515" s="436"/>
      <c r="G515" s="431"/>
      <c r="H515" s="430"/>
      <c r="I515" s="432"/>
      <c r="J515" s="433"/>
      <c r="K515" s="437">
        <f t="shared" si="160"/>
        <v>0</v>
      </c>
      <c r="L515" s="435" t="s">
        <v>614</v>
      </c>
      <c r="M515" s="576"/>
      <c r="N515" s="576">
        <f t="shared" si="144"/>
        <v>0</v>
      </c>
      <c r="O515" s="577">
        <f t="shared" si="132"/>
        <v>0</v>
      </c>
      <c r="P515" s="578">
        <f t="shared" si="133"/>
        <v>0</v>
      </c>
      <c r="Q515" s="765"/>
      <c r="R515" s="576">
        <f t="shared" si="161"/>
        <v>0</v>
      </c>
      <c r="S515" s="576">
        <f t="shared" si="161"/>
        <v>0</v>
      </c>
      <c r="T515" s="577">
        <f t="shared" si="130"/>
        <v>0</v>
      </c>
      <c r="U515" s="578">
        <f t="shared" si="131"/>
        <v>0</v>
      </c>
      <c r="V515" s="579"/>
      <c r="W515" s="566"/>
      <c r="X515" s="586" t="str">
        <f t="shared" si="155"/>
        <v/>
      </c>
      <c r="Y515" s="586" t="str">
        <f t="shared" si="143"/>
        <v/>
      </c>
      <c r="Z515" s="586" t="str">
        <f t="shared" si="147"/>
        <v/>
      </c>
    </row>
    <row r="516" spans="1:26" ht="12" hidden="1" thickBot="1" x14ac:dyDescent="0.25">
      <c r="A516" s="671" t="s">
        <v>187</v>
      </c>
      <c r="B516" s="572" t="s">
        <v>187</v>
      </c>
      <c r="C516" s="573" t="s">
        <v>187</v>
      </c>
      <c r="D516" s="580"/>
      <c r="E516" s="575"/>
      <c r="F516" s="436"/>
      <c r="G516" s="431"/>
      <c r="H516" s="430"/>
      <c r="I516" s="432"/>
      <c r="J516" s="433"/>
      <c r="K516" s="437">
        <f t="shared" si="160"/>
        <v>0</v>
      </c>
      <c r="L516" s="435" t="s">
        <v>614</v>
      </c>
      <c r="M516" s="576"/>
      <c r="N516" s="576">
        <f t="shared" si="144"/>
        <v>0</v>
      </c>
      <c r="O516" s="577">
        <f t="shared" si="132"/>
        <v>0</v>
      </c>
      <c r="P516" s="578">
        <f t="shared" si="133"/>
        <v>0</v>
      </c>
      <c r="Q516" s="765"/>
      <c r="R516" s="576">
        <f t="shared" si="161"/>
        <v>0</v>
      </c>
      <c r="S516" s="576">
        <f t="shared" si="161"/>
        <v>0</v>
      </c>
      <c r="T516" s="577">
        <f t="shared" si="130"/>
        <v>0</v>
      </c>
      <c r="U516" s="578">
        <f t="shared" si="131"/>
        <v>0</v>
      </c>
      <c r="V516" s="579"/>
      <c r="W516" s="566"/>
      <c r="X516" s="586" t="str">
        <f t="shared" si="155"/>
        <v/>
      </c>
      <c r="Y516" s="586" t="str">
        <f t="shared" si="143"/>
        <v/>
      </c>
      <c r="Z516" s="586" t="str">
        <f t="shared" si="147"/>
        <v/>
      </c>
    </row>
    <row r="517" spans="1:26" ht="12" hidden="1" thickBot="1" x14ac:dyDescent="0.25">
      <c r="A517" s="671" t="s">
        <v>187</v>
      </c>
      <c r="B517" s="572" t="s">
        <v>187</v>
      </c>
      <c r="C517" s="573" t="s">
        <v>187</v>
      </c>
      <c r="D517" s="580"/>
      <c r="E517" s="575"/>
      <c r="F517" s="436"/>
      <c r="G517" s="431"/>
      <c r="H517" s="430"/>
      <c r="I517" s="432"/>
      <c r="J517" s="433"/>
      <c r="K517" s="437">
        <f t="shared" si="160"/>
        <v>0</v>
      </c>
      <c r="L517" s="435" t="s">
        <v>614</v>
      </c>
      <c r="M517" s="576"/>
      <c r="N517" s="576">
        <f t="shared" si="144"/>
        <v>0</v>
      </c>
      <c r="O517" s="577">
        <f t="shared" si="132"/>
        <v>0</v>
      </c>
      <c r="P517" s="578">
        <f t="shared" si="133"/>
        <v>0</v>
      </c>
      <c r="Q517" s="765"/>
      <c r="R517" s="576">
        <f t="shared" si="161"/>
        <v>0</v>
      </c>
      <c r="S517" s="576">
        <f t="shared" si="161"/>
        <v>0</v>
      </c>
      <c r="T517" s="577">
        <f t="shared" si="130"/>
        <v>0</v>
      </c>
      <c r="U517" s="578">
        <f t="shared" si="131"/>
        <v>0</v>
      </c>
      <c r="V517" s="579"/>
      <c r="W517" s="566"/>
      <c r="X517" s="586" t="str">
        <f t="shared" si="155"/>
        <v/>
      </c>
      <c r="Y517" s="586" t="str">
        <f t="shared" si="143"/>
        <v/>
      </c>
      <c r="Z517" s="586" t="str">
        <f t="shared" si="147"/>
        <v/>
      </c>
    </row>
    <row r="518" spans="1:26" ht="12" hidden="1" thickBot="1" x14ac:dyDescent="0.25">
      <c r="A518" s="671" t="s">
        <v>187</v>
      </c>
      <c r="B518" s="572" t="s">
        <v>187</v>
      </c>
      <c r="C518" s="573" t="s">
        <v>187</v>
      </c>
      <c r="D518" s="580"/>
      <c r="E518" s="575"/>
      <c r="F518" s="436"/>
      <c r="G518" s="431"/>
      <c r="H518" s="430"/>
      <c r="I518" s="432"/>
      <c r="J518" s="433"/>
      <c r="K518" s="437">
        <f t="shared" si="160"/>
        <v>0</v>
      </c>
      <c r="L518" s="435" t="s">
        <v>614</v>
      </c>
      <c r="M518" s="576"/>
      <c r="N518" s="576">
        <f t="shared" si="144"/>
        <v>0</v>
      </c>
      <c r="O518" s="577">
        <f t="shared" si="132"/>
        <v>0</v>
      </c>
      <c r="P518" s="578">
        <f t="shared" si="133"/>
        <v>0</v>
      </c>
      <c r="Q518" s="765"/>
      <c r="R518" s="576">
        <f t="shared" si="161"/>
        <v>0</v>
      </c>
      <c r="S518" s="576">
        <f t="shared" si="161"/>
        <v>0</v>
      </c>
      <c r="T518" s="577">
        <f t="shared" si="130"/>
        <v>0</v>
      </c>
      <c r="U518" s="578">
        <f t="shared" si="131"/>
        <v>0</v>
      </c>
      <c r="V518" s="579"/>
      <c r="W518" s="566"/>
      <c r="X518" s="586" t="str">
        <f t="shared" si="155"/>
        <v/>
      </c>
      <c r="Y518" s="586" t="str">
        <f t="shared" si="143"/>
        <v/>
      </c>
      <c r="Z518" s="586" t="str">
        <f t="shared" si="147"/>
        <v/>
      </c>
    </row>
    <row r="519" spans="1:26" ht="12" hidden="1" thickBot="1" x14ac:dyDescent="0.25">
      <c r="A519" s="671" t="s">
        <v>187</v>
      </c>
      <c r="B519" s="572" t="s">
        <v>187</v>
      </c>
      <c r="C519" s="573" t="s">
        <v>187</v>
      </c>
      <c r="D519" s="580"/>
      <c r="E519" s="575"/>
      <c r="F519" s="436"/>
      <c r="G519" s="431"/>
      <c r="H519" s="430"/>
      <c r="I519" s="432"/>
      <c r="J519" s="433"/>
      <c r="K519" s="437">
        <f t="shared" si="160"/>
        <v>0</v>
      </c>
      <c r="L519" s="435" t="s">
        <v>614</v>
      </c>
      <c r="M519" s="576"/>
      <c r="N519" s="576">
        <f t="shared" si="144"/>
        <v>0</v>
      </c>
      <c r="O519" s="577">
        <f t="shared" si="132"/>
        <v>0</v>
      </c>
      <c r="P519" s="578">
        <f t="shared" si="133"/>
        <v>0</v>
      </c>
      <c r="Q519" s="765"/>
      <c r="R519" s="576">
        <f t="shared" si="161"/>
        <v>0</v>
      </c>
      <c r="S519" s="576">
        <f t="shared" si="161"/>
        <v>0</v>
      </c>
      <c r="T519" s="577">
        <f t="shared" si="130"/>
        <v>0</v>
      </c>
      <c r="U519" s="578">
        <f t="shared" si="131"/>
        <v>0</v>
      </c>
      <c r="V519" s="579"/>
      <c r="W519" s="566"/>
      <c r="X519" s="586" t="str">
        <f t="shared" si="155"/>
        <v/>
      </c>
      <c r="Y519" s="586" t="str">
        <f t="shared" si="143"/>
        <v/>
      </c>
      <c r="Z519" s="586" t="str">
        <f t="shared" si="147"/>
        <v/>
      </c>
    </row>
    <row r="520" spans="1:26" ht="12" hidden="1" thickBot="1" x14ac:dyDescent="0.25">
      <c r="A520" s="671" t="s">
        <v>187</v>
      </c>
      <c r="B520" s="572" t="s">
        <v>187</v>
      </c>
      <c r="C520" s="573" t="s">
        <v>187</v>
      </c>
      <c r="D520" s="580"/>
      <c r="E520" s="575"/>
      <c r="F520" s="436"/>
      <c r="G520" s="431"/>
      <c r="H520" s="430"/>
      <c r="I520" s="432"/>
      <c r="J520" s="433"/>
      <c r="K520" s="437">
        <f t="shared" si="160"/>
        <v>0</v>
      </c>
      <c r="L520" s="435" t="s">
        <v>614</v>
      </c>
      <c r="M520" s="576"/>
      <c r="N520" s="576">
        <f t="shared" si="144"/>
        <v>0</v>
      </c>
      <c r="O520" s="577">
        <f t="shared" si="132"/>
        <v>0</v>
      </c>
      <c r="P520" s="578">
        <f t="shared" si="133"/>
        <v>0</v>
      </c>
      <c r="Q520" s="765"/>
      <c r="R520" s="576">
        <f t="shared" si="161"/>
        <v>0</v>
      </c>
      <c r="S520" s="576">
        <f t="shared" si="161"/>
        <v>0</v>
      </c>
      <c r="T520" s="577">
        <f t="shared" si="130"/>
        <v>0</v>
      </c>
      <c r="U520" s="578">
        <f t="shared" si="131"/>
        <v>0</v>
      </c>
      <c r="V520" s="579"/>
      <c r="W520" s="566"/>
      <c r="X520" s="586" t="str">
        <f t="shared" si="155"/>
        <v/>
      </c>
      <c r="Y520" s="586" t="str">
        <f t="shared" si="143"/>
        <v/>
      </c>
      <c r="Z520" s="586" t="str">
        <f t="shared" si="147"/>
        <v/>
      </c>
    </row>
    <row r="521" spans="1:26" ht="12" hidden="1" thickBot="1" x14ac:dyDescent="0.25">
      <c r="A521" s="671" t="s">
        <v>187</v>
      </c>
      <c r="B521" s="572" t="s">
        <v>187</v>
      </c>
      <c r="C521" s="573" t="s">
        <v>187</v>
      </c>
      <c r="D521" s="580"/>
      <c r="E521" s="575"/>
      <c r="F521" s="436"/>
      <c r="G521" s="431"/>
      <c r="H521" s="430"/>
      <c r="I521" s="432"/>
      <c r="J521" s="433"/>
      <c r="K521" s="437">
        <f t="shared" si="160"/>
        <v>0</v>
      </c>
      <c r="L521" s="435" t="s">
        <v>614</v>
      </c>
      <c r="M521" s="576"/>
      <c r="N521" s="576">
        <f t="shared" si="144"/>
        <v>0</v>
      </c>
      <c r="O521" s="577">
        <f t="shared" si="132"/>
        <v>0</v>
      </c>
      <c r="P521" s="578">
        <f t="shared" si="133"/>
        <v>0</v>
      </c>
      <c r="Q521" s="765"/>
      <c r="R521" s="576">
        <f t="shared" si="161"/>
        <v>0</v>
      </c>
      <c r="S521" s="576">
        <f t="shared" si="161"/>
        <v>0</v>
      </c>
      <c r="T521" s="577">
        <f t="shared" si="130"/>
        <v>0</v>
      </c>
      <c r="U521" s="578">
        <f t="shared" si="131"/>
        <v>0</v>
      </c>
      <c r="V521" s="579"/>
      <c r="W521" s="566"/>
      <c r="X521" s="586" t="str">
        <f t="shared" si="155"/>
        <v/>
      </c>
      <c r="Y521" s="586" t="str">
        <f t="shared" si="143"/>
        <v/>
      </c>
      <c r="Z521" s="586" t="str">
        <f t="shared" si="147"/>
        <v/>
      </c>
    </row>
    <row r="522" spans="1:26" ht="12" hidden="1" thickBot="1" x14ac:dyDescent="0.25">
      <c r="A522" s="671" t="s">
        <v>187</v>
      </c>
      <c r="B522" s="572" t="s">
        <v>187</v>
      </c>
      <c r="C522" s="573" t="s">
        <v>187</v>
      </c>
      <c r="D522" s="580"/>
      <c r="E522" s="575"/>
      <c r="F522" s="436"/>
      <c r="G522" s="431"/>
      <c r="H522" s="430"/>
      <c r="I522" s="432"/>
      <c r="J522" s="433"/>
      <c r="K522" s="437">
        <f t="shared" si="160"/>
        <v>0</v>
      </c>
      <c r="L522" s="435" t="s">
        <v>614</v>
      </c>
      <c r="M522" s="576"/>
      <c r="N522" s="576">
        <f t="shared" si="144"/>
        <v>0</v>
      </c>
      <c r="O522" s="577">
        <f t="shared" si="132"/>
        <v>0</v>
      </c>
      <c r="P522" s="578">
        <f t="shared" si="133"/>
        <v>0</v>
      </c>
      <c r="Q522" s="765"/>
      <c r="R522" s="576">
        <f t="shared" si="161"/>
        <v>0</v>
      </c>
      <c r="S522" s="576">
        <f t="shared" si="161"/>
        <v>0</v>
      </c>
      <c r="T522" s="577">
        <f t="shared" si="130"/>
        <v>0</v>
      </c>
      <c r="U522" s="578">
        <f t="shared" si="131"/>
        <v>0</v>
      </c>
      <c r="V522" s="579"/>
      <c r="W522" s="566"/>
      <c r="X522" s="586" t="str">
        <f t="shared" si="155"/>
        <v/>
      </c>
      <c r="Y522" s="586" t="str">
        <f t="shared" si="143"/>
        <v/>
      </c>
      <c r="Z522" s="586" t="str">
        <f t="shared" si="147"/>
        <v/>
      </c>
    </row>
    <row r="523" spans="1:26" ht="12" hidden="1" thickBot="1" x14ac:dyDescent="0.25">
      <c r="A523" s="671" t="s">
        <v>187</v>
      </c>
      <c r="B523" s="572" t="s">
        <v>187</v>
      </c>
      <c r="C523" s="573" t="s">
        <v>187</v>
      </c>
      <c r="D523" s="580"/>
      <c r="E523" s="575"/>
      <c r="F523" s="436"/>
      <c r="G523" s="431"/>
      <c r="H523" s="430"/>
      <c r="I523" s="432"/>
      <c r="J523" s="433"/>
      <c r="K523" s="437">
        <f t="shared" si="160"/>
        <v>0</v>
      </c>
      <c r="L523" s="435" t="s">
        <v>614</v>
      </c>
      <c r="M523" s="576"/>
      <c r="N523" s="576">
        <f t="shared" si="144"/>
        <v>0</v>
      </c>
      <c r="O523" s="577">
        <f t="shared" si="132"/>
        <v>0</v>
      </c>
      <c r="P523" s="578">
        <f t="shared" si="133"/>
        <v>0</v>
      </c>
      <c r="Q523" s="765"/>
      <c r="R523" s="576">
        <f t="shared" si="161"/>
        <v>0</v>
      </c>
      <c r="S523" s="576">
        <f t="shared" si="161"/>
        <v>0</v>
      </c>
      <c r="T523" s="577">
        <f t="shared" si="130"/>
        <v>0</v>
      </c>
      <c r="U523" s="578">
        <f t="shared" si="131"/>
        <v>0</v>
      </c>
      <c r="V523" s="579"/>
      <c r="W523" s="566"/>
      <c r="X523" s="586" t="str">
        <f t="shared" si="155"/>
        <v/>
      </c>
      <c r="Y523" s="586" t="str">
        <f t="shared" si="143"/>
        <v/>
      </c>
      <c r="Z523" s="586" t="str">
        <f t="shared" si="147"/>
        <v/>
      </c>
    </row>
    <row r="524" spans="1:26" ht="12" hidden="1" thickBot="1" x14ac:dyDescent="0.25">
      <c r="A524" s="671" t="s">
        <v>187</v>
      </c>
      <c r="B524" s="572" t="s">
        <v>187</v>
      </c>
      <c r="C524" s="573" t="s">
        <v>187</v>
      </c>
      <c r="D524" s="580"/>
      <c r="E524" s="575"/>
      <c r="F524" s="436"/>
      <c r="G524" s="431"/>
      <c r="H524" s="430"/>
      <c r="I524" s="432"/>
      <c r="J524" s="433"/>
      <c r="K524" s="437">
        <f t="shared" si="160"/>
        <v>0</v>
      </c>
      <c r="L524" s="435" t="s">
        <v>614</v>
      </c>
      <c r="M524" s="576"/>
      <c r="N524" s="576">
        <f t="shared" si="144"/>
        <v>0</v>
      </c>
      <c r="O524" s="577">
        <f t="shared" si="132"/>
        <v>0</v>
      </c>
      <c r="P524" s="578">
        <f t="shared" si="133"/>
        <v>0</v>
      </c>
      <c r="Q524" s="765"/>
      <c r="R524" s="576">
        <f t="shared" si="161"/>
        <v>0</v>
      </c>
      <c r="S524" s="576">
        <f t="shared" si="161"/>
        <v>0</v>
      </c>
      <c r="T524" s="577">
        <f t="shared" si="130"/>
        <v>0</v>
      </c>
      <c r="U524" s="578">
        <f t="shared" si="131"/>
        <v>0</v>
      </c>
      <c r="V524" s="579"/>
      <c r="W524" s="566"/>
      <c r="X524" s="586" t="str">
        <f t="shared" si="155"/>
        <v/>
      </c>
      <c r="Y524" s="586" t="str">
        <f t="shared" si="143"/>
        <v/>
      </c>
      <c r="Z524" s="586" t="str">
        <f t="shared" si="147"/>
        <v/>
      </c>
    </row>
    <row r="525" spans="1:26" ht="12" hidden="1" thickBot="1" x14ac:dyDescent="0.25">
      <c r="A525" s="671" t="s">
        <v>187</v>
      </c>
      <c r="B525" s="572" t="s">
        <v>187</v>
      </c>
      <c r="C525" s="573" t="s">
        <v>187</v>
      </c>
      <c r="D525" s="580"/>
      <c r="E525" s="575"/>
      <c r="F525" s="436"/>
      <c r="G525" s="431"/>
      <c r="H525" s="430"/>
      <c r="I525" s="432"/>
      <c r="J525" s="433"/>
      <c r="K525" s="437">
        <f t="shared" si="160"/>
        <v>0</v>
      </c>
      <c r="L525" s="435" t="s">
        <v>614</v>
      </c>
      <c r="M525" s="576"/>
      <c r="N525" s="576">
        <f t="shared" si="144"/>
        <v>0</v>
      </c>
      <c r="O525" s="577">
        <f t="shared" si="132"/>
        <v>0</v>
      </c>
      <c r="P525" s="578">
        <f t="shared" si="133"/>
        <v>0</v>
      </c>
      <c r="Q525" s="765"/>
      <c r="R525" s="576">
        <f t="shared" si="161"/>
        <v>0</v>
      </c>
      <c r="S525" s="576">
        <f t="shared" si="161"/>
        <v>0</v>
      </c>
      <c r="T525" s="577">
        <f t="shared" si="130"/>
        <v>0</v>
      </c>
      <c r="U525" s="578">
        <f t="shared" si="131"/>
        <v>0</v>
      </c>
      <c r="V525" s="579"/>
      <c r="W525" s="566"/>
      <c r="X525" s="586" t="str">
        <f t="shared" si="155"/>
        <v/>
      </c>
      <c r="Y525" s="586" t="str">
        <f t="shared" si="143"/>
        <v/>
      </c>
      <c r="Z525" s="586" t="str">
        <f t="shared" si="147"/>
        <v/>
      </c>
    </row>
    <row r="526" spans="1:26" ht="12" hidden="1" thickBot="1" x14ac:dyDescent="0.25">
      <c r="A526" s="671" t="s">
        <v>187</v>
      </c>
      <c r="B526" s="572" t="s">
        <v>187</v>
      </c>
      <c r="C526" s="573" t="s">
        <v>187</v>
      </c>
      <c r="D526" s="580"/>
      <c r="E526" s="575"/>
      <c r="F526" s="436"/>
      <c r="G526" s="431"/>
      <c r="H526" s="430"/>
      <c r="I526" s="432"/>
      <c r="J526" s="433"/>
      <c r="K526" s="437">
        <f t="shared" si="160"/>
        <v>0</v>
      </c>
      <c r="L526" s="435" t="s">
        <v>614</v>
      </c>
      <c r="M526" s="576"/>
      <c r="N526" s="576">
        <f t="shared" si="144"/>
        <v>0</v>
      </c>
      <c r="O526" s="577">
        <f t="shared" si="132"/>
        <v>0</v>
      </c>
      <c r="P526" s="578">
        <f t="shared" si="133"/>
        <v>0</v>
      </c>
      <c r="Q526" s="765"/>
      <c r="R526" s="576">
        <f t="shared" si="161"/>
        <v>0</v>
      </c>
      <c r="S526" s="576">
        <f t="shared" si="161"/>
        <v>0</v>
      </c>
      <c r="T526" s="577">
        <f t="shared" si="130"/>
        <v>0</v>
      </c>
      <c r="U526" s="578">
        <f t="shared" si="131"/>
        <v>0</v>
      </c>
      <c r="V526" s="579"/>
      <c r="W526" s="566"/>
      <c r="X526" s="586" t="str">
        <f t="shared" si="155"/>
        <v/>
      </c>
      <c r="Y526" s="586" t="str">
        <f t="shared" si="143"/>
        <v/>
      </c>
      <c r="Z526" s="586" t="str">
        <f t="shared" si="147"/>
        <v/>
      </c>
    </row>
    <row r="527" spans="1:26" ht="12" hidden="1" thickBot="1" x14ac:dyDescent="0.25">
      <c r="A527" s="671" t="s">
        <v>187</v>
      </c>
      <c r="B527" s="581" t="s">
        <v>187</v>
      </c>
      <c r="C527" s="582" t="s">
        <v>187</v>
      </c>
      <c r="D527" s="583"/>
      <c r="E527" s="584"/>
      <c r="F527" s="438"/>
      <c r="G527" s="439"/>
      <c r="H527" s="440"/>
      <c r="I527" s="441"/>
      <c r="J527" s="442"/>
      <c r="K527" s="443">
        <f t="shared" si="160"/>
        <v>0</v>
      </c>
      <c r="L527" s="444" t="s">
        <v>614</v>
      </c>
      <c r="M527" s="576"/>
      <c r="N527" s="576">
        <f t="shared" si="144"/>
        <v>0</v>
      </c>
      <c r="O527" s="585">
        <f t="shared" si="132"/>
        <v>0</v>
      </c>
      <c r="P527" s="660">
        <f t="shared" si="133"/>
        <v>0</v>
      </c>
      <c r="Q527" s="765"/>
      <c r="R527" s="576">
        <f t="shared" si="161"/>
        <v>0</v>
      </c>
      <c r="S527" s="576">
        <f t="shared" si="161"/>
        <v>0</v>
      </c>
      <c r="T527" s="585">
        <f t="shared" si="130"/>
        <v>0</v>
      </c>
      <c r="U527" s="660">
        <f t="shared" si="131"/>
        <v>0</v>
      </c>
      <c r="V527" s="579"/>
      <c r="W527" s="566"/>
      <c r="X527" s="586" t="str">
        <f t="shared" si="155"/>
        <v/>
      </c>
      <c r="Y527" s="586" t="str">
        <f t="shared" si="143"/>
        <v/>
      </c>
      <c r="Z527" s="586" t="str">
        <f t="shared" si="147"/>
        <v/>
      </c>
    </row>
    <row r="528" spans="1:26" ht="12" hidden="1" thickBot="1" x14ac:dyDescent="0.25">
      <c r="A528" s="671" t="s">
        <v>188</v>
      </c>
      <c r="B528" s="664" t="s">
        <v>188</v>
      </c>
      <c r="C528" s="665"/>
      <c r="D528" s="666" t="s">
        <v>461</v>
      </c>
      <c r="E528" s="631"/>
      <c r="F528" s="632"/>
      <c r="G528" s="633"/>
      <c r="H528" s="634"/>
      <c r="I528" s="409"/>
      <c r="J528" s="409"/>
      <c r="K528" s="409"/>
      <c r="L528" s="409" t="s">
        <v>614</v>
      </c>
      <c r="M528" s="634"/>
      <c r="N528" s="797"/>
      <c r="O528" s="409">
        <f t="shared" si="132"/>
        <v>0</v>
      </c>
      <c r="P528" s="635">
        <f t="shared" si="133"/>
        <v>0</v>
      </c>
      <c r="Q528" s="635">
        <f>SUM(P529:P582)</f>
        <v>0</v>
      </c>
      <c r="R528" s="634"/>
      <c r="S528" s="409"/>
      <c r="T528" s="409">
        <f t="shared" si="130"/>
        <v>0</v>
      </c>
      <c r="U528" s="635">
        <f t="shared" si="131"/>
        <v>0</v>
      </c>
      <c r="V528" s="636">
        <f>SUM(U529:U582)</f>
        <v>0</v>
      </c>
      <c r="W528" s="637" t="str">
        <f>IF(OR(Q528&gt;0,V528&gt;0),"X","")</f>
        <v/>
      </c>
      <c r="X528" s="586" t="str">
        <f t="shared" si="155"/>
        <v/>
      </c>
      <c r="Y528" s="586" t="str">
        <f t="shared" si="143"/>
        <v/>
      </c>
      <c r="Z528" s="586" t="str">
        <f t="shared" si="147"/>
        <v/>
      </c>
    </row>
    <row r="529" spans="1:26" ht="12" hidden="1" thickBot="1" x14ac:dyDescent="0.25">
      <c r="A529" s="567" t="s">
        <v>816</v>
      </c>
      <c r="B529" s="454" t="s">
        <v>816</v>
      </c>
      <c r="C529" s="645" t="s">
        <v>484</v>
      </c>
      <c r="D529" s="422" t="s">
        <v>817</v>
      </c>
      <c r="E529" s="423"/>
      <c r="F529" s="424"/>
      <c r="G529" s="425"/>
      <c r="H529" s="651"/>
      <c r="I529" s="420">
        <v>12.4</v>
      </c>
      <c r="J529" s="420">
        <f>IF(ISBLANK(I529),"",SUM(H529:I529))</f>
        <v>12.4</v>
      </c>
      <c r="K529" s="421">
        <f t="shared" ref="K529:K556" si="162">IF(ISBLANK(I529),0,ROUND(J529*(1+$F$10)*(1+$F$11*E529),2))</f>
        <v>14.73</v>
      </c>
      <c r="L529" s="647" t="s">
        <v>19</v>
      </c>
      <c r="M529" s="576"/>
      <c r="N529" s="576">
        <f t="shared" si="144"/>
        <v>0</v>
      </c>
      <c r="O529" s="577">
        <f t="shared" si="132"/>
        <v>0</v>
      </c>
      <c r="P529" s="578">
        <f t="shared" si="133"/>
        <v>0</v>
      </c>
      <c r="Q529" s="765"/>
      <c r="R529" s="576">
        <f t="shared" ref="R529:S532" si="163">M529</f>
        <v>0</v>
      </c>
      <c r="S529" s="576">
        <f t="shared" si="163"/>
        <v>0</v>
      </c>
      <c r="T529" s="577">
        <f t="shared" si="130"/>
        <v>0</v>
      </c>
      <c r="U529" s="578">
        <f t="shared" si="131"/>
        <v>0</v>
      </c>
      <c r="V529" s="579"/>
      <c r="W529" s="566"/>
      <c r="X529" s="586" t="str">
        <f t="shared" si="155"/>
        <v/>
      </c>
      <c r="Y529" s="586" t="str">
        <f t="shared" si="143"/>
        <v/>
      </c>
      <c r="Z529" s="586" t="str">
        <f t="shared" si="147"/>
        <v/>
      </c>
    </row>
    <row r="530" spans="1:26" ht="12" hidden="1" thickBot="1" x14ac:dyDescent="0.25">
      <c r="A530" s="567" t="s">
        <v>818</v>
      </c>
      <c r="B530" s="454" t="s">
        <v>818</v>
      </c>
      <c r="C530" s="645" t="s">
        <v>484</v>
      </c>
      <c r="D530" s="416" t="s">
        <v>819</v>
      </c>
      <c r="E530" s="417"/>
      <c r="F530" s="418"/>
      <c r="G530" s="419"/>
      <c r="H530" s="646"/>
      <c r="I530" s="420">
        <v>37.18</v>
      </c>
      <c r="J530" s="420">
        <f>IF(ISBLANK(I530),"",SUM(H530:I530))</f>
        <v>37.18</v>
      </c>
      <c r="K530" s="421">
        <f t="shared" si="162"/>
        <v>44.17</v>
      </c>
      <c r="L530" s="647" t="s">
        <v>19</v>
      </c>
      <c r="M530" s="576"/>
      <c r="N530" s="576">
        <f t="shared" si="144"/>
        <v>0</v>
      </c>
      <c r="O530" s="577">
        <f t="shared" si="132"/>
        <v>0</v>
      </c>
      <c r="P530" s="578">
        <f t="shared" si="133"/>
        <v>0</v>
      </c>
      <c r="Q530" s="765"/>
      <c r="R530" s="650">
        <f t="shared" si="163"/>
        <v>0</v>
      </c>
      <c r="S530" s="587">
        <f t="shared" si="163"/>
        <v>0</v>
      </c>
      <c r="T530" s="577">
        <f t="shared" si="130"/>
        <v>0</v>
      </c>
      <c r="U530" s="578">
        <f t="shared" si="131"/>
        <v>0</v>
      </c>
      <c r="V530" s="579"/>
      <c r="W530" s="566"/>
      <c r="X530" s="586" t="str">
        <f t="shared" si="155"/>
        <v/>
      </c>
      <c r="Y530" s="586" t="str">
        <f t="shared" si="143"/>
        <v/>
      </c>
      <c r="Z530" s="586" t="str">
        <f t="shared" si="147"/>
        <v/>
      </c>
    </row>
    <row r="531" spans="1:26" ht="12" hidden="1" thickBot="1" x14ac:dyDescent="0.25">
      <c r="A531" s="567">
        <v>535200</v>
      </c>
      <c r="B531" s="644" t="s">
        <v>1798</v>
      </c>
      <c r="C531" s="645" t="s">
        <v>206</v>
      </c>
      <c r="D531" s="422" t="s">
        <v>239</v>
      </c>
      <c r="E531" s="423"/>
      <c r="F531" s="424">
        <v>20</v>
      </c>
      <c r="G531" s="419">
        <v>7.6999999999999999E-2</v>
      </c>
      <c r="H531" s="663">
        <f t="shared" ref="H531" si="164">IF(F531&lt;=30,(1.07*F531+2.68)*G531,((1.07*30+2.68)+1.07*(F531-30))*G531)</f>
        <v>1.85416</v>
      </c>
      <c r="I531" s="420">
        <v>10.85</v>
      </c>
      <c r="J531" s="420">
        <f>IF(ISBLANK(I531),"",SUM(H531:I531))</f>
        <v>12.70416</v>
      </c>
      <c r="K531" s="421">
        <f t="shared" si="162"/>
        <v>15.09</v>
      </c>
      <c r="L531" s="647" t="s">
        <v>19</v>
      </c>
      <c r="M531" s="576"/>
      <c r="N531" s="576">
        <f t="shared" si="144"/>
        <v>0</v>
      </c>
      <c r="O531" s="577">
        <f t="shared" si="132"/>
        <v>0</v>
      </c>
      <c r="P531" s="578">
        <f t="shared" si="133"/>
        <v>0</v>
      </c>
      <c r="Q531" s="765"/>
      <c r="R531" s="576">
        <f t="shared" si="163"/>
        <v>0</v>
      </c>
      <c r="S531" s="576">
        <f t="shared" si="163"/>
        <v>0</v>
      </c>
      <c r="T531" s="577">
        <f t="shared" si="130"/>
        <v>0</v>
      </c>
      <c r="U531" s="578">
        <f t="shared" si="131"/>
        <v>0</v>
      </c>
      <c r="V531" s="579"/>
      <c r="W531" s="566"/>
      <c r="X531" s="586" t="str">
        <f t="shared" si="155"/>
        <v/>
      </c>
      <c r="Y531" s="586" t="str">
        <f t="shared" si="143"/>
        <v/>
      </c>
      <c r="Z531" s="586" t="str">
        <f t="shared" si="147"/>
        <v/>
      </c>
    </row>
    <row r="532" spans="1:26" ht="12" hidden="1" thickBot="1" x14ac:dyDescent="0.25">
      <c r="A532" s="567">
        <v>810100</v>
      </c>
      <c r="B532" s="644">
        <v>810100</v>
      </c>
      <c r="C532" s="645" t="s">
        <v>206</v>
      </c>
      <c r="D532" s="422" t="s">
        <v>267</v>
      </c>
      <c r="E532" s="423"/>
      <c r="F532" s="424"/>
      <c r="G532" s="425"/>
      <c r="H532" s="651">
        <f>SUM(H533:H535)</f>
        <v>33.124932000000001</v>
      </c>
      <c r="I532" s="420">
        <v>63.339999999999996</v>
      </c>
      <c r="J532" s="420">
        <f>IF(ISBLANK(I532),"",SUM(H532:I532))</f>
        <v>96.464932000000005</v>
      </c>
      <c r="K532" s="421">
        <f t="shared" si="162"/>
        <v>114.61</v>
      </c>
      <c r="L532" s="647" t="s">
        <v>19</v>
      </c>
      <c r="M532" s="576"/>
      <c r="N532" s="576">
        <f t="shared" ref="N532:N595" si="165">IF(M532=0,0,K532)</f>
        <v>0</v>
      </c>
      <c r="O532" s="577">
        <f t="shared" si="132"/>
        <v>0</v>
      </c>
      <c r="P532" s="578">
        <f t="shared" si="133"/>
        <v>0</v>
      </c>
      <c r="Q532" s="765"/>
      <c r="R532" s="576">
        <f t="shared" si="163"/>
        <v>0</v>
      </c>
      <c r="S532" s="576">
        <f t="shared" si="163"/>
        <v>0</v>
      </c>
      <c r="T532" s="577">
        <f t="shared" si="130"/>
        <v>0</v>
      </c>
      <c r="U532" s="578">
        <f t="shared" si="131"/>
        <v>0</v>
      </c>
      <c r="V532" s="579"/>
      <c r="W532" s="566"/>
      <c r="X532" s="586" t="str">
        <f t="shared" si="155"/>
        <v/>
      </c>
      <c r="Y532" s="586" t="str">
        <f t="shared" si="143"/>
        <v/>
      </c>
      <c r="Z532" s="586" t="str">
        <f t="shared" si="147"/>
        <v/>
      </c>
    </row>
    <row r="533" spans="1:26" ht="12" hidden="1" thickBot="1" x14ac:dyDescent="0.25">
      <c r="A533" s="567" t="s">
        <v>168</v>
      </c>
      <c r="B533" s="644" t="s">
        <v>168</v>
      </c>
      <c r="C533" s="645"/>
      <c r="D533" s="451" t="s">
        <v>212</v>
      </c>
      <c r="E533" s="423"/>
      <c r="F533" s="424">
        <v>500</v>
      </c>
      <c r="G533" s="425">
        <f>ROUND(0.103*0.27,4)</f>
        <v>2.7799999999999998E-2</v>
      </c>
      <c r="H533" s="649">
        <f>IF(F533&lt;=30,(0.78*F533+7.82)*G533,((0.78*30+7.82)+0.78*(F533-30))*G533)</f>
        <v>11.059396000000001</v>
      </c>
      <c r="I533" s="420">
        <v>0</v>
      </c>
      <c r="J533" s="420"/>
      <c r="K533" s="421">
        <f t="shared" si="162"/>
        <v>0</v>
      </c>
      <c r="L533" s="668" t="s">
        <v>614</v>
      </c>
      <c r="M533" s="669"/>
      <c r="N533" s="576">
        <f t="shared" si="165"/>
        <v>0</v>
      </c>
      <c r="O533" s="577">
        <f t="shared" si="132"/>
        <v>0</v>
      </c>
      <c r="P533" s="578">
        <f t="shared" si="133"/>
        <v>0</v>
      </c>
      <c r="Q533" s="765"/>
      <c r="R533" s="669"/>
      <c r="S533" s="670"/>
      <c r="T533" s="577">
        <f t="shared" si="130"/>
        <v>0</v>
      </c>
      <c r="U533" s="578">
        <f t="shared" si="131"/>
        <v>0</v>
      </c>
      <c r="V533" s="579"/>
      <c r="W533" s="637" t="str">
        <f>IF(U532&gt;0,"xx",IF(P532&gt;0,"xy",""))</f>
        <v/>
      </c>
      <c r="X533" s="586" t="str">
        <f t="shared" si="155"/>
        <v/>
      </c>
      <c r="Y533" s="586" t="str">
        <f t="shared" si="143"/>
        <v/>
      </c>
      <c r="Z533" s="586" t="str">
        <f t="shared" si="147"/>
        <v/>
      </c>
    </row>
    <row r="534" spans="1:26" ht="12" hidden="1" thickBot="1" x14ac:dyDescent="0.25">
      <c r="A534" s="567" t="s">
        <v>168</v>
      </c>
      <c r="B534" s="644" t="s">
        <v>168</v>
      </c>
      <c r="C534" s="645"/>
      <c r="D534" s="451" t="s">
        <v>248</v>
      </c>
      <c r="E534" s="423"/>
      <c r="F534" s="424">
        <v>180</v>
      </c>
      <c r="G534" s="425">
        <f>ROUND(0.103*0.96,4)</f>
        <v>9.8900000000000002E-2</v>
      </c>
      <c r="H534" s="663">
        <f t="shared" ref="H534:H536" si="166">IF(F534&lt;=30,(1.07*F534+2.68)*G534,((1.07*30+2.68)+1.07*(F534-30))*G534)</f>
        <v>19.313192000000001</v>
      </c>
      <c r="I534" s="420">
        <v>0</v>
      </c>
      <c r="J534" s="420"/>
      <c r="K534" s="421">
        <f t="shared" si="162"/>
        <v>0</v>
      </c>
      <c r="L534" s="668" t="s">
        <v>614</v>
      </c>
      <c r="M534" s="669"/>
      <c r="N534" s="576">
        <f t="shared" si="165"/>
        <v>0</v>
      </c>
      <c r="O534" s="577">
        <f t="shared" si="132"/>
        <v>0</v>
      </c>
      <c r="P534" s="578">
        <f t="shared" si="133"/>
        <v>0</v>
      </c>
      <c r="Q534" s="765"/>
      <c r="R534" s="669"/>
      <c r="S534" s="670"/>
      <c r="T534" s="577">
        <f t="shared" si="130"/>
        <v>0</v>
      </c>
      <c r="U534" s="578">
        <f t="shared" si="131"/>
        <v>0</v>
      </c>
      <c r="V534" s="579"/>
      <c r="W534" s="637" t="str">
        <f>IF(U532&gt;0,"xx",IF(P532&gt;0,"xy",""))</f>
        <v/>
      </c>
      <c r="X534" s="586" t="str">
        <f t="shared" si="155"/>
        <v/>
      </c>
      <c r="Y534" s="586" t="str">
        <f t="shared" si="143"/>
        <v/>
      </c>
      <c r="Z534" s="586" t="str">
        <f t="shared" si="147"/>
        <v/>
      </c>
    </row>
    <row r="535" spans="1:26" ht="12" hidden="1" thickBot="1" x14ac:dyDescent="0.25">
      <c r="A535" s="567" t="s">
        <v>168</v>
      </c>
      <c r="B535" s="644" t="s">
        <v>168</v>
      </c>
      <c r="C535" s="645"/>
      <c r="D535" s="451" t="s">
        <v>252</v>
      </c>
      <c r="E535" s="423"/>
      <c r="F535" s="424">
        <v>20</v>
      </c>
      <c r="G535" s="425">
        <f>ROUND(0.103*1.11,4)</f>
        <v>0.1143</v>
      </c>
      <c r="H535" s="663">
        <f t="shared" si="166"/>
        <v>2.7523440000000003</v>
      </c>
      <c r="I535" s="420">
        <v>0</v>
      </c>
      <c r="J535" s="420"/>
      <c r="K535" s="421">
        <f t="shared" si="162"/>
        <v>0</v>
      </c>
      <c r="L535" s="668" t="s">
        <v>614</v>
      </c>
      <c r="M535" s="669"/>
      <c r="N535" s="576">
        <f t="shared" si="165"/>
        <v>0</v>
      </c>
      <c r="O535" s="577">
        <f t="shared" si="132"/>
        <v>0</v>
      </c>
      <c r="P535" s="578">
        <f t="shared" si="133"/>
        <v>0</v>
      </c>
      <c r="Q535" s="765"/>
      <c r="R535" s="669"/>
      <c r="S535" s="670"/>
      <c r="T535" s="577">
        <f t="shared" si="130"/>
        <v>0</v>
      </c>
      <c r="U535" s="578">
        <f t="shared" si="131"/>
        <v>0</v>
      </c>
      <c r="V535" s="579"/>
      <c r="W535" s="637" t="str">
        <f>IF(U532&gt;0,"xx",IF(P532&gt;0,"xy",""))</f>
        <v/>
      </c>
      <c r="X535" s="586" t="str">
        <f t="shared" si="155"/>
        <v/>
      </c>
      <c r="Y535" s="586" t="str">
        <f t="shared" si="143"/>
        <v/>
      </c>
      <c r="Z535" s="586" t="str">
        <f t="shared" si="147"/>
        <v/>
      </c>
    </row>
    <row r="536" spans="1:26" ht="12" hidden="1" thickBot="1" x14ac:dyDescent="0.25">
      <c r="A536" s="567">
        <v>810050</v>
      </c>
      <c r="B536" s="644">
        <v>810050</v>
      </c>
      <c r="C536" s="645" t="s">
        <v>206</v>
      </c>
      <c r="D536" s="422" t="s">
        <v>268</v>
      </c>
      <c r="E536" s="423"/>
      <c r="F536" s="424">
        <v>10</v>
      </c>
      <c r="G536" s="425">
        <f>0.0278+0.0988+0.1143</f>
        <v>0.2409</v>
      </c>
      <c r="H536" s="663">
        <f t="shared" si="166"/>
        <v>3.2232420000000004</v>
      </c>
      <c r="I536" s="420">
        <v>100.00999999999999</v>
      </c>
      <c r="J536" s="420">
        <f>IF(ISBLANK(I536),"",SUM(H536:I536))</f>
        <v>103.23324199999999</v>
      </c>
      <c r="K536" s="421">
        <f t="shared" si="162"/>
        <v>122.65</v>
      </c>
      <c r="L536" s="647" t="s">
        <v>19</v>
      </c>
      <c r="M536" s="576"/>
      <c r="N536" s="576">
        <f t="shared" si="165"/>
        <v>0</v>
      </c>
      <c r="O536" s="577">
        <f t="shared" si="132"/>
        <v>0</v>
      </c>
      <c r="P536" s="578">
        <f t="shared" si="133"/>
        <v>0</v>
      </c>
      <c r="Q536" s="765"/>
      <c r="R536" s="576">
        <f>M536</f>
        <v>0</v>
      </c>
      <c r="S536" s="576">
        <f t="shared" ref="S536:S593" si="167">N536</f>
        <v>0</v>
      </c>
      <c r="T536" s="577">
        <f t="shared" si="130"/>
        <v>0</v>
      </c>
      <c r="U536" s="578">
        <f t="shared" si="131"/>
        <v>0</v>
      </c>
      <c r="V536" s="579"/>
      <c r="W536" s="637"/>
      <c r="X536" s="586" t="str">
        <f t="shared" si="155"/>
        <v/>
      </c>
      <c r="Y536" s="586" t="str">
        <f t="shared" si="143"/>
        <v/>
      </c>
      <c r="Z536" s="586" t="str">
        <f t="shared" si="147"/>
        <v/>
      </c>
    </row>
    <row r="537" spans="1:26" ht="12" hidden="1" thickBot="1" x14ac:dyDescent="0.25">
      <c r="A537" s="567">
        <v>810200</v>
      </c>
      <c r="B537" s="644">
        <v>810200</v>
      </c>
      <c r="C537" s="645" t="s">
        <v>206</v>
      </c>
      <c r="D537" s="422" t="s">
        <v>269</v>
      </c>
      <c r="E537" s="423"/>
      <c r="F537" s="424"/>
      <c r="G537" s="425"/>
      <c r="H537" s="651">
        <f>SUM(H538:H540)</f>
        <v>13.487278</v>
      </c>
      <c r="I537" s="420">
        <v>27.46</v>
      </c>
      <c r="J537" s="420">
        <f>IF(ISBLANK(I537),"",SUM(H537:I537))</f>
        <v>40.947277999999997</v>
      </c>
      <c r="K537" s="421">
        <f t="shared" si="162"/>
        <v>48.65</v>
      </c>
      <c r="L537" s="647" t="s">
        <v>19</v>
      </c>
      <c r="M537" s="576"/>
      <c r="N537" s="576">
        <f t="shared" si="165"/>
        <v>0</v>
      </c>
      <c r="O537" s="577">
        <f t="shared" si="132"/>
        <v>0</v>
      </c>
      <c r="P537" s="578">
        <f t="shared" si="133"/>
        <v>0</v>
      </c>
      <c r="Q537" s="765"/>
      <c r="R537" s="576">
        <f>M537</f>
        <v>0</v>
      </c>
      <c r="S537" s="576">
        <f t="shared" si="167"/>
        <v>0</v>
      </c>
      <c r="T537" s="577">
        <f t="shared" si="130"/>
        <v>0</v>
      </c>
      <c r="U537" s="578">
        <f t="shared" si="131"/>
        <v>0</v>
      </c>
      <c r="V537" s="579"/>
      <c r="W537" s="637"/>
      <c r="X537" s="586" t="str">
        <f t="shared" si="155"/>
        <v/>
      </c>
      <c r="Y537" s="586" t="str">
        <f t="shared" si="143"/>
        <v/>
      </c>
      <c r="Z537" s="586" t="str">
        <f t="shared" si="147"/>
        <v/>
      </c>
    </row>
    <row r="538" spans="1:26" ht="12" hidden="1" thickBot="1" x14ac:dyDescent="0.25">
      <c r="A538" s="567" t="s">
        <v>168</v>
      </c>
      <c r="B538" s="644" t="s">
        <v>168</v>
      </c>
      <c r="C538" s="645"/>
      <c r="D538" s="451" t="s">
        <v>212</v>
      </c>
      <c r="E538" s="423"/>
      <c r="F538" s="424">
        <v>500</v>
      </c>
      <c r="G538" s="425">
        <f>ROUND(0.042*0.27,4)</f>
        <v>1.1299999999999999E-2</v>
      </c>
      <c r="H538" s="649">
        <f>IF(F538&lt;=30,(0.78*F538+7.82)*G538,((0.78*30+7.82)+0.78*(F538-30))*G538)</f>
        <v>4.4953660000000006</v>
      </c>
      <c r="I538" s="420">
        <v>0</v>
      </c>
      <c r="J538" s="420"/>
      <c r="K538" s="421">
        <f t="shared" si="162"/>
        <v>0</v>
      </c>
      <c r="L538" s="668" t="s">
        <v>614</v>
      </c>
      <c r="M538" s="669"/>
      <c r="N538" s="576">
        <f t="shared" si="165"/>
        <v>0</v>
      </c>
      <c r="O538" s="577">
        <f t="shared" si="132"/>
        <v>0</v>
      </c>
      <c r="P538" s="578">
        <f t="shared" si="133"/>
        <v>0</v>
      </c>
      <c r="Q538" s="765"/>
      <c r="R538" s="669"/>
      <c r="S538" s="670"/>
      <c r="T538" s="577">
        <f t="shared" si="130"/>
        <v>0</v>
      </c>
      <c r="U538" s="578">
        <f t="shared" si="131"/>
        <v>0</v>
      </c>
      <c r="V538" s="579"/>
      <c r="W538" s="637" t="str">
        <f>IF(U537&gt;0,"xx",IF(P537&gt;0,"xy",""))</f>
        <v/>
      </c>
      <c r="X538" s="586" t="str">
        <f t="shared" si="155"/>
        <v/>
      </c>
      <c r="Y538" s="586" t="str">
        <f t="shared" si="143"/>
        <v/>
      </c>
      <c r="Z538" s="586" t="str">
        <f t="shared" si="147"/>
        <v/>
      </c>
    </row>
    <row r="539" spans="1:26" ht="12" hidden="1" thickBot="1" x14ac:dyDescent="0.25">
      <c r="A539" s="567" t="s">
        <v>168</v>
      </c>
      <c r="B539" s="644" t="s">
        <v>168</v>
      </c>
      <c r="C539" s="645"/>
      <c r="D539" s="451" t="s">
        <v>248</v>
      </c>
      <c r="E539" s="423"/>
      <c r="F539" s="424">
        <v>180</v>
      </c>
      <c r="G539" s="425">
        <f>ROUND(0.042*0.96,4)</f>
        <v>4.0300000000000002E-2</v>
      </c>
      <c r="H539" s="663">
        <f t="shared" ref="H539:H541" si="168">IF(F539&lt;=30,(1.07*F539+2.68)*G539,((1.07*30+2.68)+1.07*(F539-30))*G539)</f>
        <v>7.8697840000000001</v>
      </c>
      <c r="I539" s="420">
        <v>0</v>
      </c>
      <c r="J539" s="420"/>
      <c r="K539" s="421">
        <f t="shared" si="162"/>
        <v>0</v>
      </c>
      <c r="L539" s="668" t="s">
        <v>614</v>
      </c>
      <c r="M539" s="669"/>
      <c r="N539" s="576">
        <f t="shared" si="165"/>
        <v>0</v>
      </c>
      <c r="O539" s="577">
        <f t="shared" si="132"/>
        <v>0</v>
      </c>
      <c r="P539" s="578">
        <f t="shared" si="133"/>
        <v>0</v>
      </c>
      <c r="Q539" s="765"/>
      <c r="R539" s="669"/>
      <c r="S539" s="670"/>
      <c r="T539" s="577">
        <f t="shared" si="130"/>
        <v>0</v>
      </c>
      <c r="U539" s="578">
        <f t="shared" si="131"/>
        <v>0</v>
      </c>
      <c r="V539" s="579"/>
      <c r="W539" s="637" t="str">
        <f>IF(U537&gt;0,"xx",IF(P537&gt;0,"xy",""))</f>
        <v/>
      </c>
      <c r="X539" s="586" t="str">
        <f t="shared" si="155"/>
        <v/>
      </c>
      <c r="Y539" s="586" t="str">
        <f t="shared" si="143"/>
        <v/>
      </c>
      <c r="Z539" s="586" t="str">
        <f t="shared" si="147"/>
        <v/>
      </c>
    </row>
    <row r="540" spans="1:26" ht="12" hidden="1" thickBot="1" x14ac:dyDescent="0.25">
      <c r="A540" s="567" t="s">
        <v>168</v>
      </c>
      <c r="B540" s="644" t="s">
        <v>168</v>
      </c>
      <c r="C540" s="645"/>
      <c r="D540" s="451" t="s">
        <v>252</v>
      </c>
      <c r="E540" s="423"/>
      <c r="F540" s="424">
        <v>20</v>
      </c>
      <c r="G540" s="425">
        <f>ROUND(0.042*1.11,4)</f>
        <v>4.6600000000000003E-2</v>
      </c>
      <c r="H540" s="663">
        <f t="shared" si="168"/>
        <v>1.1221280000000002</v>
      </c>
      <c r="I540" s="420">
        <v>0</v>
      </c>
      <c r="J540" s="420"/>
      <c r="K540" s="421">
        <f t="shared" si="162"/>
        <v>0</v>
      </c>
      <c r="L540" s="668" t="s">
        <v>614</v>
      </c>
      <c r="M540" s="669"/>
      <c r="N540" s="576">
        <f t="shared" si="165"/>
        <v>0</v>
      </c>
      <c r="O540" s="577">
        <f t="shared" si="132"/>
        <v>0</v>
      </c>
      <c r="P540" s="578">
        <f t="shared" si="133"/>
        <v>0</v>
      </c>
      <c r="Q540" s="765"/>
      <c r="R540" s="669"/>
      <c r="S540" s="670"/>
      <c r="T540" s="577">
        <f t="shared" si="130"/>
        <v>0</v>
      </c>
      <c r="U540" s="578">
        <f t="shared" si="131"/>
        <v>0</v>
      </c>
      <c r="V540" s="579"/>
      <c r="W540" s="637" t="str">
        <f>IF(U537&gt;0,"xx",IF(P537&gt;0,"xy",""))</f>
        <v/>
      </c>
      <c r="X540" s="586" t="str">
        <f t="shared" si="155"/>
        <v/>
      </c>
      <c r="Y540" s="586" t="str">
        <f t="shared" si="143"/>
        <v/>
      </c>
      <c r="Z540" s="586" t="str">
        <f t="shared" si="147"/>
        <v/>
      </c>
    </row>
    <row r="541" spans="1:26" ht="12" hidden="1" thickBot="1" x14ac:dyDescent="0.25">
      <c r="A541" s="567">
        <v>810150</v>
      </c>
      <c r="B541" s="644">
        <v>810150</v>
      </c>
      <c r="C541" s="645" t="s">
        <v>206</v>
      </c>
      <c r="D541" s="422" t="s">
        <v>270</v>
      </c>
      <c r="E541" s="423"/>
      <c r="F541" s="424">
        <v>10</v>
      </c>
      <c r="G541" s="425">
        <v>9.8199999999999996E-2</v>
      </c>
      <c r="H541" s="663">
        <f t="shared" si="168"/>
        <v>1.3139160000000001</v>
      </c>
      <c r="I541" s="420">
        <v>46.42</v>
      </c>
      <c r="J541" s="420">
        <f>IF(ISBLANK(I541),"",SUM(H541:I541))</f>
        <v>47.733916000000001</v>
      </c>
      <c r="K541" s="421">
        <f t="shared" si="162"/>
        <v>56.71</v>
      </c>
      <c r="L541" s="647" t="s">
        <v>19</v>
      </c>
      <c r="M541" s="576"/>
      <c r="N541" s="576">
        <f t="shared" si="165"/>
        <v>0</v>
      </c>
      <c r="O541" s="577">
        <f t="shared" si="132"/>
        <v>0</v>
      </c>
      <c r="P541" s="578">
        <f t="shared" si="133"/>
        <v>0</v>
      </c>
      <c r="Q541" s="765"/>
      <c r="R541" s="576">
        <f>M541</f>
        <v>0</v>
      </c>
      <c r="S541" s="576">
        <f t="shared" si="167"/>
        <v>0</v>
      </c>
      <c r="T541" s="577">
        <f t="shared" si="130"/>
        <v>0</v>
      </c>
      <c r="U541" s="578">
        <f t="shared" si="131"/>
        <v>0</v>
      </c>
      <c r="V541" s="579"/>
      <c r="W541" s="566"/>
      <c r="X541" s="586" t="str">
        <f t="shared" si="155"/>
        <v/>
      </c>
      <c r="Y541" s="586" t="str">
        <f t="shared" si="143"/>
        <v/>
      </c>
      <c r="Z541" s="586" t="str">
        <f t="shared" si="147"/>
        <v/>
      </c>
    </row>
    <row r="542" spans="1:26" ht="12" hidden="1" thickBot="1" x14ac:dyDescent="0.25">
      <c r="A542" s="567">
        <v>810700</v>
      </c>
      <c r="B542" s="644">
        <v>810700</v>
      </c>
      <c r="C542" s="645" t="s">
        <v>206</v>
      </c>
      <c r="D542" s="422" t="s">
        <v>271</v>
      </c>
      <c r="E542" s="423"/>
      <c r="F542" s="424"/>
      <c r="G542" s="425"/>
      <c r="H542" s="651">
        <f>SUM(H543:H545)</f>
        <v>9.9893840000000012</v>
      </c>
      <c r="I542" s="420">
        <v>22.45</v>
      </c>
      <c r="J542" s="420">
        <f>IF(ISBLANK(I542),"",SUM(H542:I542))</f>
        <v>32.439384000000004</v>
      </c>
      <c r="K542" s="421">
        <f t="shared" si="162"/>
        <v>38.54</v>
      </c>
      <c r="L542" s="647" t="s">
        <v>19</v>
      </c>
      <c r="M542" s="576"/>
      <c r="N542" s="576">
        <f t="shared" si="165"/>
        <v>0</v>
      </c>
      <c r="O542" s="577">
        <f t="shared" si="132"/>
        <v>0</v>
      </c>
      <c r="P542" s="578">
        <f t="shared" si="133"/>
        <v>0</v>
      </c>
      <c r="Q542" s="765"/>
      <c r="R542" s="576">
        <f>M542</f>
        <v>0</v>
      </c>
      <c r="S542" s="576">
        <f t="shared" si="167"/>
        <v>0</v>
      </c>
      <c r="T542" s="577">
        <f t="shared" si="130"/>
        <v>0</v>
      </c>
      <c r="U542" s="578">
        <f t="shared" si="131"/>
        <v>0</v>
      </c>
      <c r="V542" s="579"/>
      <c r="W542" s="566"/>
      <c r="X542" s="586" t="str">
        <f t="shared" si="155"/>
        <v/>
      </c>
      <c r="Y542" s="586" t="str">
        <f t="shared" si="143"/>
        <v/>
      </c>
      <c r="Z542" s="586" t="str">
        <f t="shared" si="147"/>
        <v/>
      </c>
    </row>
    <row r="543" spans="1:26" ht="12" hidden="1" thickBot="1" x14ac:dyDescent="0.25">
      <c r="A543" s="567" t="s">
        <v>168</v>
      </c>
      <c r="B543" s="644" t="s">
        <v>168</v>
      </c>
      <c r="C543" s="645"/>
      <c r="D543" s="451" t="s">
        <v>212</v>
      </c>
      <c r="E543" s="423"/>
      <c r="F543" s="424">
        <v>500</v>
      </c>
      <c r="G543" s="425">
        <f>ROUND(0.031*0.27,4)</f>
        <v>8.3999999999999995E-3</v>
      </c>
      <c r="H543" s="649">
        <f>IF(F543&lt;=30,(0.78*F543+7.82)*G543,((0.78*30+7.82)+0.78*(F543-30))*G543)</f>
        <v>3.3416880000000004</v>
      </c>
      <c r="I543" s="420">
        <v>0</v>
      </c>
      <c r="J543" s="420"/>
      <c r="K543" s="421">
        <f t="shared" si="162"/>
        <v>0</v>
      </c>
      <c r="L543" s="668" t="s">
        <v>614</v>
      </c>
      <c r="M543" s="669"/>
      <c r="N543" s="576">
        <f t="shared" si="165"/>
        <v>0</v>
      </c>
      <c r="O543" s="577">
        <f t="shared" si="132"/>
        <v>0</v>
      </c>
      <c r="P543" s="578">
        <f t="shared" si="133"/>
        <v>0</v>
      </c>
      <c r="Q543" s="765"/>
      <c r="R543" s="669"/>
      <c r="S543" s="670"/>
      <c r="T543" s="577">
        <f t="shared" si="130"/>
        <v>0</v>
      </c>
      <c r="U543" s="578">
        <f t="shared" si="131"/>
        <v>0</v>
      </c>
      <c r="V543" s="579"/>
      <c r="W543" s="637" t="str">
        <f>IF(U542&gt;0,"xx",IF(P542&gt;0,"xy",""))</f>
        <v/>
      </c>
      <c r="X543" s="586" t="str">
        <f t="shared" si="155"/>
        <v/>
      </c>
      <c r="Y543" s="586" t="str">
        <f t="shared" si="143"/>
        <v/>
      </c>
      <c r="Z543" s="586" t="str">
        <f t="shared" si="147"/>
        <v/>
      </c>
    </row>
    <row r="544" spans="1:26" ht="12" hidden="1" thickBot="1" x14ac:dyDescent="0.25">
      <c r="A544" s="567" t="s">
        <v>168</v>
      </c>
      <c r="B544" s="644" t="s">
        <v>168</v>
      </c>
      <c r="C544" s="645"/>
      <c r="D544" s="451" t="s">
        <v>248</v>
      </c>
      <c r="E544" s="423"/>
      <c r="F544" s="424">
        <v>180</v>
      </c>
      <c r="G544" s="425">
        <f>ROUND(0.031*0.96,4)</f>
        <v>2.98E-2</v>
      </c>
      <c r="H544" s="663">
        <f t="shared" ref="H544:H546" si="169">IF(F544&lt;=30,(1.07*F544+2.68)*G544,((1.07*30+2.68)+1.07*(F544-30))*G544)</f>
        <v>5.8193440000000001</v>
      </c>
      <c r="I544" s="420">
        <v>0</v>
      </c>
      <c r="J544" s="420"/>
      <c r="K544" s="421">
        <f t="shared" si="162"/>
        <v>0</v>
      </c>
      <c r="L544" s="668" t="s">
        <v>614</v>
      </c>
      <c r="M544" s="669"/>
      <c r="N544" s="576">
        <f t="shared" si="165"/>
        <v>0</v>
      </c>
      <c r="O544" s="577">
        <f t="shared" si="132"/>
        <v>0</v>
      </c>
      <c r="P544" s="578">
        <f t="shared" si="133"/>
        <v>0</v>
      </c>
      <c r="Q544" s="765"/>
      <c r="R544" s="669"/>
      <c r="S544" s="670"/>
      <c r="T544" s="577">
        <f t="shared" si="130"/>
        <v>0</v>
      </c>
      <c r="U544" s="578">
        <f t="shared" si="131"/>
        <v>0</v>
      </c>
      <c r="V544" s="579"/>
      <c r="W544" s="637" t="str">
        <f>IF(U542&gt;0,"xx",IF(P542&gt;0,"xy",""))</f>
        <v/>
      </c>
      <c r="X544" s="586" t="str">
        <f t="shared" si="155"/>
        <v/>
      </c>
      <c r="Y544" s="586" t="str">
        <f t="shared" si="143"/>
        <v/>
      </c>
      <c r="Z544" s="586" t="str">
        <f t="shared" si="147"/>
        <v/>
      </c>
    </row>
    <row r="545" spans="1:26" ht="12" hidden="1" thickBot="1" x14ac:dyDescent="0.25">
      <c r="A545" s="567" t="s">
        <v>168</v>
      </c>
      <c r="B545" s="644" t="s">
        <v>168</v>
      </c>
      <c r="C545" s="645"/>
      <c r="D545" s="451" t="s">
        <v>252</v>
      </c>
      <c r="E545" s="423"/>
      <c r="F545" s="424">
        <v>20</v>
      </c>
      <c r="G545" s="425">
        <f>ROUND(0.031*1.11,4)</f>
        <v>3.44E-2</v>
      </c>
      <c r="H545" s="663">
        <f t="shared" si="169"/>
        <v>0.82835200000000009</v>
      </c>
      <c r="I545" s="420">
        <v>0</v>
      </c>
      <c r="J545" s="420"/>
      <c r="K545" s="421">
        <f t="shared" si="162"/>
        <v>0</v>
      </c>
      <c r="L545" s="668" t="s">
        <v>614</v>
      </c>
      <c r="M545" s="669"/>
      <c r="N545" s="576">
        <f t="shared" si="165"/>
        <v>0</v>
      </c>
      <c r="O545" s="577">
        <f t="shared" si="132"/>
        <v>0</v>
      </c>
      <c r="P545" s="578">
        <f t="shared" si="133"/>
        <v>0</v>
      </c>
      <c r="Q545" s="765"/>
      <c r="R545" s="669"/>
      <c r="S545" s="670"/>
      <c r="T545" s="577">
        <f t="shared" si="130"/>
        <v>0</v>
      </c>
      <c r="U545" s="578">
        <f t="shared" si="131"/>
        <v>0</v>
      </c>
      <c r="V545" s="579"/>
      <c r="W545" s="637" t="str">
        <f>IF(U542&gt;0,"xx",IF(P542&gt;0,"xy",""))</f>
        <v/>
      </c>
      <c r="X545" s="586" t="str">
        <f t="shared" si="155"/>
        <v/>
      </c>
      <c r="Y545" s="586" t="str">
        <f t="shared" si="143"/>
        <v/>
      </c>
      <c r="Z545" s="586" t="str">
        <f t="shared" si="147"/>
        <v/>
      </c>
    </row>
    <row r="546" spans="1:26" ht="12" hidden="1" thickBot="1" x14ac:dyDescent="0.25">
      <c r="A546" s="567">
        <v>810650</v>
      </c>
      <c r="B546" s="644">
        <v>810650</v>
      </c>
      <c r="C546" s="645" t="s">
        <v>206</v>
      </c>
      <c r="D546" s="422" t="s">
        <v>1799</v>
      </c>
      <c r="E546" s="423"/>
      <c r="F546" s="424">
        <v>10</v>
      </c>
      <c r="G546" s="425">
        <v>7.2599999999999998E-2</v>
      </c>
      <c r="H546" s="663">
        <f t="shared" si="169"/>
        <v>0.97138800000000003</v>
      </c>
      <c r="I546" s="420">
        <v>39.090000000000003</v>
      </c>
      <c r="J546" s="420">
        <f>IF(ISBLANK(I546),"",SUM(H546:I546))</f>
        <v>40.061388000000001</v>
      </c>
      <c r="K546" s="421">
        <f t="shared" si="162"/>
        <v>47.6</v>
      </c>
      <c r="L546" s="647" t="s">
        <v>19</v>
      </c>
      <c r="M546" s="576"/>
      <c r="N546" s="576">
        <f t="shared" si="165"/>
        <v>0</v>
      </c>
      <c r="O546" s="577">
        <f t="shared" si="132"/>
        <v>0</v>
      </c>
      <c r="P546" s="578">
        <f t="shared" si="133"/>
        <v>0</v>
      </c>
      <c r="Q546" s="765"/>
      <c r="R546" s="576">
        <f>M546</f>
        <v>0</v>
      </c>
      <c r="S546" s="576">
        <f t="shared" si="167"/>
        <v>0</v>
      </c>
      <c r="T546" s="577">
        <f t="shared" si="130"/>
        <v>0</v>
      </c>
      <c r="U546" s="578">
        <f t="shared" si="131"/>
        <v>0</v>
      </c>
      <c r="V546" s="579"/>
      <c r="W546" s="566"/>
      <c r="X546" s="586" t="str">
        <f t="shared" ref="X546:X609" si="170">IF(W546="X","x",IF(W546="xx","x",IF(W546="xy","x",IF(W546="y","x",IF(OR(P546&gt;0,U546&gt;0),"x","")))))</f>
        <v/>
      </c>
      <c r="Y546" s="586" t="str">
        <f t="shared" si="143"/>
        <v/>
      </c>
      <c r="Z546" s="586" t="str">
        <f t="shared" si="147"/>
        <v/>
      </c>
    </row>
    <row r="547" spans="1:26" ht="12" hidden="1" thickBot="1" x14ac:dyDescent="0.25">
      <c r="A547" s="567">
        <v>810300</v>
      </c>
      <c r="B547" s="644">
        <v>810300</v>
      </c>
      <c r="C547" s="645" t="s">
        <v>206</v>
      </c>
      <c r="D547" s="422" t="s">
        <v>272</v>
      </c>
      <c r="E547" s="423"/>
      <c r="F547" s="424"/>
      <c r="G547" s="425"/>
      <c r="H547" s="651">
        <f>SUM(H548:H550)</f>
        <v>10.933888</v>
      </c>
      <c r="I547" s="420">
        <v>21.66</v>
      </c>
      <c r="J547" s="420">
        <f>IF(ISBLANK(I547),"",SUM(H547:I547))</f>
        <v>32.593888</v>
      </c>
      <c r="K547" s="421">
        <f t="shared" si="162"/>
        <v>38.72</v>
      </c>
      <c r="L547" s="647" t="s">
        <v>19</v>
      </c>
      <c r="M547" s="576"/>
      <c r="N547" s="576">
        <f t="shared" si="165"/>
        <v>0</v>
      </c>
      <c r="O547" s="577">
        <f t="shared" si="132"/>
        <v>0</v>
      </c>
      <c r="P547" s="578">
        <f t="shared" si="133"/>
        <v>0</v>
      </c>
      <c r="Q547" s="765"/>
      <c r="R547" s="576">
        <f>M547</f>
        <v>0</v>
      </c>
      <c r="S547" s="576">
        <f t="shared" si="167"/>
        <v>0</v>
      </c>
      <c r="T547" s="577">
        <f t="shared" si="130"/>
        <v>0</v>
      </c>
      <c r="U547" s="578">
        <f t="shared" si="131"/>
        <v>0</v>
      </c>
      <c r="V547" s="579"/>
      <c r="W547" s="566"/>
      <c r="X547" s="586" t="str">
        <f t="shared" si="170"/>
        <v/>
      </c>
      <c r="Y547" s="586" t="str">
        <f t="shared" si="143"/>
        <v/>
      </c>
      <c r="Z547" s="586" t="str">
        <f t="shared" si="147"/>
        <v/>
      </c>
    </row>
    <row r="548" spans="1:26" ht="12" hidden="1" thickBot="1" x14ac:dyDescent="0.25">
      <c r="A548" s="567" t="s">
        <v>168</v>
      </c>
      <c r="B548" s="644" t="s">
        <v>168</v>
      </c>
      <c r="C548" s="645"/>
      <c r="D548" s="451" t="s">
        <v>212</v>
      </c>
      <c r="E548" s="423"/>
      <c r="F548" s="424">
        <v>500</v>
      </c>
      <c r="G548" s="425">
        <f>ROUND(0.034*0.27,4)</f>
        <v>9.1999999999999998E-3</v>
      </c>
      <c r="H548" s="649">
        <f>IF(F548&lt;=30,(0.78*F548+7.82)*G548,((0.78*30+7.82)+0.78*(F548-30))*G548)</f>
        <v>3.6599440000000003</v>
      </c>
      <c r="I548" s="420">
        <v>0</v>
      </c>
      <c r="J548" s="420"/>
      <c r="K548" s="421">
        <f t="shared" si="162"/>
        <v>0</v>
      </c>
      <c r="L548" s="668" t="s">
        <v>614</v>
      </c>
      <c r="M548" s="669"/>
      <c r="N548" s="576">
        <f t="shared" si="165"/>
        <v>0</v>
      </c>
      <c r="O548" s="577">
        <f t="shared" si="132"/>
        <v>0</v>
      </c>
      <c r="P548" s="578">
        <f t="shared" si="133"/>
        <v>0</v>
      </c>
      <c r="Q548" s="765"/>
      <c r="R548" s="669"/>
      <c r="S548" s="670"/>
      <c r="T548" s="577">
        <f t="shared" si="130"/>
        <v>0</v>
      </c>
      <c r="U548" s="578">
        <f t="shared" si="131"/>
        <v>0</v>
      </c>
      <c r="V548" s="579"/>
      <c r="W548" s="637" t="str">
        <f>IF(U547&gt;0,"xx",IF(P547&gt;0,"xy",""))</f>
        <v/>
      </c>
      <c r="X548" s="586" t="str">
        <f t="shared" si="170"/>
        <v/>
      </c>
      <c r="Y548" s="586" t="str">
        <f t="shared" si="143"/>
        <v/>
      </c>
      <c r="Z548" s="586" t="str">
        <f t="shared" si="147"/>
        <v/>
      </c>
    </row>
    <row r="549" spans="1:26" ht="12" hidden="1" thickBot="1" x14ac:dyDescent="0.25">
      <c r="A549" s="567" t="s">
        <v>168</v>
      </c>
      <c r="B549" s="644" t="s">
        <v>168</v>
      </c>
      <c r="C549" s="645"/>
      <c r="D549" s="451" t="s">
        <v>248</v>
      </c>
      <c r="E549" s="423"/>
      <c r="F549" s="424">
        <v>180</v>
      </c>
      <c r="G549" s="425">
        <f>ROUND(0.034*0.96,4)</f>
        <v>3.2599999999999997E-2</v>
      </c>
      <c r="H549" s="663">
        <f t="shared" ref="H549:H551" si="171">IF(F549&lt;=30,(1.07*F549+2.68)*G549,((1.07*30+2.68)+1.07*(F549-30))*G549)</f>
        <v>6.3661279999999998</v>
      </c>
      <c r="I549" s="420">
        <v>0</v>
      </c>
      <c r="J549" s="420"/>
      <c r="K549" s="421">
        <f t="shared" si="162"/>
        <v>0</v>
      </c>
      <c r="L549" s="668" t="s">
        <v>614</v>
      </c>
      <c r="M549" s="669"/>
      <c r="N549" s="576">
        <f t="shared" si="165"/>
        <v>0</v>
      </c>
      <c r="O549" s="577">
        <f t="shared" si="132"/>
        <v>0</v>
      </c>
      <c r="P549" s="578">
        <f t="shared" si="133"/>
        <v>0</v>
      </c>
      <c r="Q549" s="765"/>
      <c r="R549" s="669"/>
      <c r="S549" s="670"/>
      <c r="T549" s="577">
        <f t="shared" ref="T549:T615" si="172">IF(ISBLANK(R549),0,ROUND(K549*R549,2))</f>
        <v>0</v>
      </c>
      <c r="U549" s="578">
        <f t="shared" ref="U549:U615" si="173">IF(ISBLANK(R549),0,ROUND(R549*S549,2))</f>
        <v>0</v>
      </c>
      <c r="V549" s="579"/>
      <c r="W549" s="637" t="str">
        <f>IF(U547&gt;0,"xx",IF(P547&gt;0,"xy",""))</f>
        <v/>
      </c>
      <c r="X549" s="586" t="str">
        <f t="shared" si="170"/>
        <v/>
      </c>
      <c r="Y549" s="586" t="str">
        <f t="shared" si="143"/>
        <v/>
      </c>
      <c r="Z549" s="586" t="str">
        <f t="shared" si="147"/>
        <v/>
      </c>
    </row>
    <row r="550" spans="1:26" ht="12" hidden="1" thickBot="1" x14ac:dyDescent="0.25">
      <c r="A550" s="567" t="s">
        <v>168</v>
      </c>
      <c r="B550" s="644" t="s">
        <v>168</v>
      </c>
      <c r="C550" s="645"/>
      <c r="D550" s="451" t="s">
        <v>252</v>
      </c>
      <c r="E550" s="423"/>
      <c r="F550" s="424">
        <v>20</v>
      </c>
      <c r="G550" s="425">
        <f>ROUND(0.034*1.11,4)</f>
        <v>3.7699999999999997E-2</v>
      </c>
      <c r="H550" s="663">
        <f t="shared" si="171"/>
        <v>0.90781599999999996</v>
      </c>
      <c r="I550" s="420">
        <v>0</v>
      </c>
      <c r="J550" s="420"/>
      <c r="K550" s="421">
        <f t="shared" si="162"/>
        <v>0</v>
      </c>
      <c r="L550" s="668" t="s">
        <v>614</v>
      </c>
      <c r="M550" s="669"/>
      <c r="N550" s="576">
        <f t="shared" si="165"/>
        <v>0</v>
      </c>
      <c r="O550" s="577">
        <f t="shared" ref="O550:O616" si="174">IF(ISBLANK(M550),0,ROUND(K550*M550,2))</f>
        <v>0</v>
      </c>
      <c r="P550" s="578">
        <f t="shared" ref="P550:P616" si="175">IF(ISBLANK(N550),0,ROUND(M550*N550,2))</f>
        <v>0</v>
      </c>
      <c r="Q550" s="765"/>
      <c r="R550" s="669"/>
      <c r="S550" s="670"/>
      <c r="T550" s="577">
        <f t="shared" si="172"/>
        <v>0</v>
      </c>
      <c r="U550" s="578">
        <f t="shared" si="173"/>
        <v>0</v>
      </c>
      <c r="V550" s="579"/>
      <c r="W550" s="637" t="str">
        <f>IF(U547&gt;0,"xx",IF(P547&gt;0,"xy",""))</f>
        <v/>
      </c>
      <c r="X550" s="586" t="str">
        <f t="shared" si="170"/>
        <v/>
      </c>
      <c r="Y550" s="586" t="str">
        <f t="shared" si="143"/>
        <v/>
      </c>
      <c r="Z550" s="586" t="str">
        <f t="shared" si="147"/>
        <v/>
      </c>
    </row>
    <row r="551" spans="1:26" ht="12" hidden="1" thickBot="1" x14ac:dyDescent="0.25">
      <c r="A551" s="567">
        <v>810250</v>
      </c>
      <c r="B551" s="644" t="s">
        <v>1800</v>
      </c>
      <c r="C551" s="645" t="s">
        <v>206</v>
      </c>
      <c r="D551" s="422" t="s">
        <v>1801</v>
      </c>
      <c r="E551" s="423"/>
      <c r="F551" s="424">
        <v>10</v>
      </c>
      <c r="G551" s="425">
        <v>7.9500000000000001E-2</v>
      </c>
      <c r="H551" s="663">
        <f t="shared" si="171"/>
        <v>1.0637100000000002</v>
      </c>
      <c r="I551" s="420">
        <v>38.299999999999997</v>
      </c>
      <c r="J551" s="420">
        <f>IF(ISBLANK(I551),"",SUM(H551:I551))</f>
        <v>39.363709999999998</v>
      </c>
      <c r="K551" s="421">
        <f t="shared" si="162"/>
        <v>46.77</v>
      </c>
      <c r="L551" s="647" t="s">
        <v>19</v>
      </c>
      <c r="M551" s="576"/>
      <c r="N551" s="576">
        <f t="shared" si="165"/>
        <v>0</v>
      </c>
      <c r="O551" s="577">
        <f t="shared" si="174"/>
        <v>0</v>
      </c>
      <c r="P551" s="578">
        <f t="shared" si="175"/>
        <v>0</v>
      </c>
      <c r="Q551" s="765"/>
      <c r="R551" s="576">
        <f t="shared" ref="R551:S613" si="176">M551</f>
        <v>0</v>
      </c>
      <c r="S551" s="576">
        <f t="shared" si="167"/>
        <v>0</v>
      </c>
      <c r="T551" s="577">
        <f t="shared" si="172"/>
        <v>0</v>
      </c>
      <c r="U551" s="578">
        <f t="shared" si="173"/>
        <v>0</v>
      </c>
      <c r="V551" s="579"/>
      <c r="W551" s="566"/>
      <c r="X551" s="586" t="str">
        <f t="shared" si="170"/>
        <v/>
      </c>
      <c r="Y551" s="586" t="str">
        <f t="shared" si="143"/>
        <v/>
      </c>
      <c r="Z551" s="586" t="str">
        <f t="shared" si="147"/>
        <v/>
      </c>
    </row>
    <row r="552" spans="1:26" ht="12" hidden="1" thickBot="1" x14ac:dyDescent="0.25">
      <c r="A552" s="567">
        <v>810400</v>
      </c>
      <c r="B552" s="644">
        <v>810400</v>
      </c>
      <c r="C552" s="645" t="s">
        <v>206</v>
      </c>
      <c r="D552" s="422" t="s">
        <v>1802</v>
      </c>
      <c r="E552" s="423"/>
      <c r="F552" s="424"/>
      <c r="G552" s="425"/>
      <c r="H552" s="651">
        <f>SUM(H553:H555)</f>
        <v>23.135548</v>
      </c>
      <c r="I552" s="420">
        <v>40.36</v>
      </c>
      <c r="J552" s="420">
        <f>IF(ISBLANK(I552),"",SUM(H552:I552))</f>
        <v>63.495547999999999</v>
      </c>
      <c r="K552" s="421">
        <f t="shared" si="162"/>
        <v>75.44</v>
      </c>
      <c r="L552" s="647" t="s">
        <v>19</v>
      </c>
      <c r="M552" s="576"/>
      <c r="N552" s="576">
        <f t="shared" si="165"/>
        <v>0</v>
      </c>
      <c r="O552" s="577">
        <f t="shared" si="174"/>
        <v>0</v>
      </c>
      <c r="P552" s="578">
        <f t="shared" si="175"/>
        <v>0</v>
      </c>
      <c r="Q552" s="765"/>
      <c r="R552" s="576">
        <f t="shared" si="176"/>
        <v>0</v>
      </c>
      <c r="S552" s="576">
        <f t="shared" si="167"/>
        <v>0</v>
      </c>
      <c r="T552" s="577">
        <f t="shared" si="172"/>
        <v>0</v>
      </c>
      <c r="U552" s="578">
        <f t="shared" si="173"/>
        <v>0</v>
      </c>
      <c r="V552" s="579"/>
      <c r="W552" s="566"/>
      <c r="X552" s="586" t="str">
        <f t="shared" si="170"/>
        <v/>
      </c>
      <c r="Y552" s="586" t="str">
        <f t="shared" si="143"/>
        <v/>
      </c>
      <c r="Z552" s="586" t="str">
        <f t="shared" si="147"/>
        <v/>
      </c>
    </row>
    <row r="553" spans="1:26" ht="12" hidden="1" thickBot="1" x14ac:dyDescent="0.25">
      <c r="A553" s="567" t="s">
        <v>168</v>
      </c>
      <c r="B553" s="644" t="s">
        <v>168</v>
      </c>
      <c r="C553" s="645"/>
      <c r="D553" s="451" t="s">
        <v>212</v>
      </c>
      <c r="E553" s="423"/>
      <c r="F553" s="424">
        <v>500</v>
      </c>
      <c r="G553" s="425">
        <f>ROUND(0.072*0.27,4)</f>
        <v>1.9400000000000001E-2</v>
      </c>
      <c r="H553" s="649">
        <f>IF(F553&lt;=30,(0.78*F553+7.82)*G553,((0.78*30+7.82)+0.78*(F553-30))*G553)</f>
        <v>7.7177080000000009</v>
      </c>
      <c r="I553" s="420">
        <v>0</v>
      </c>
      <c r="J553" s="420"/>
      <c r="K553" s="421">
        <f t="shared" si="162"/>
        <v>0</v>
      </c>
      <c r="L553" s="668" t="s">
        <v>614</v>
      </c>
      <c r="M553" s="669"/>
      <c r="N553" s="576">
        <f t="shared" si="165"/>
        <v>0</v>
      </c>
      <c r="O553" s="577">
        <f t="shared" si="174"/>
        <v>0</v>
      </c>
      <c r="P553" s="578">
        <f t="shared" si="175"/>
        <v>0</v>
      </c>
      <c r="Q553" s="765"/>
      <c r="R553" s="669"/>
      <c r="S553" s="670"/>
      <c r="T553" s="577">
        <f t="shared" si="172"/>
        <v>0</v>
      </c>
      <c r="U553" s="578">
        <f t="shared" si="173"/>
        <v>0</v>
      </c>
      <c r="V553" s="579"/>
      <c r="W553" s="637" t="str">
        <f>IF(U552&gt;0,"xx",IF(P552&gt;0,"xy",""))</f>
        <v/>
      </c>
      <c r="X553" s="586" t="str">
        <f t="shared" si="170"/>
        <v/>
      </c>
      <c r="Y553" s="586" t="str">
        <f t="shared" si="143"/>
        <v/>
      </c>
      <c r="Z553" s="586" t="str">
        <f t="shared" si="147"/>
        <v/>
      </c>
    </row>
    <row r="554" spans="1:26" ht="12" hidden="1" thickBot="1" x14ac:dyDescent="0.25">
      <c r="A554" s="567" t="s">
        <v>168</v>
      </c>
      <c r="B554" s="644" t="s">
        <v>168</v>
      </c>
      <c r="C554" s="645"/>
      <c r="D554" s="451" t="s">
        <v>248</v>
      </c>
      <c r="E554" s="423"/>
      <c r="F554" s="424">
        <v>180</v>
      </c>
      <c r="G554" s="425">
        <f>ROUND(0.072*0.96,4)</f>
        <v>6.9099999999999995E-2</v>
      </c>
      <c r="H554" s="663">
        <f t="shared" ref="H554:H556" si="177">IF(F554&lt;=30,(1.07*F554+2.68)*G554,((1.07*30+2.68)+1.07*(F554-30))*G554)</f>
        <v>13.493848</v>
      </c>
      <c r="I554" s="420">
        <v>0</v>
      </c>
      <c r="J554" s="420"/>
      <c r="K554" s="421">
        <f t="shared" si="162"/>
        <v>0</v>
      </c>
      <c r="L554" s="668" t="s">
        <v>614</v>
      </c>
      <c r="M554" s="669"/>
      <c r="N554" s="576">
        <f t="shared" si="165"/>
        <v>0</v>
      </c>
      <c r="O554" s="577">
        <f t="shared" si="174"/>
        <v>0</v>
      </c>
      <c r="P554" s="578">
        <f t="shared" si="175"/>
        <v>0</v>
      </c>
      <c r="Q554" s="765"/>
      <c r="R554" s="669"/>
      <c r="S554" s="670"/>
      <c r="T554" s="577">
        <f t="shared" si="172"/>
        <v>0</v>
      </c>
      <c r="U554" s="578">
        <f t="shared" si="173"/>
        <v>0</v>
      </c>
      <c r="V554" s="579"/>
      <c r="W554" s="637" t="str">
        <f>IF(U552&gt;0,"xx",IF(P552&gt;0,"xy",""))</f>
        <v/>
      </c>
      <c r="X554" s="586" t="str">
        <f t="shared" si="170"/>
        <v/>
      </c>
      <c r="Y554" s="586" t="str">
        <f t="shared" si="143"/>
        <v/>
      </c>
      <c r="Z554" s="586" t="str">
        <f t="shared" si="147"/>
        <v/>
      </c>
    </row>
    <row r="555" spans="1:26" ht="12" hidden="1" thickBot="1" x14ac:dyDescent="0.25">
      <c r="A555" s="567" t="s">
        <v>168</v>
      </c>
      <c r="B555" s="644" t="s">
        <v>168</v>
      </c>
      <c r="C555" s="645"/>
      <c r="D555" s="451" t="s">
        <v>252</v>
      </c>
      <c r="E555" s="423"/>
      <c r="F555" s="424">
        <v>20</v>
      </c>
      <c r="G555" s="425">
        <f>ROUND(0.072*1.11,4)</f>
        <v>7.9899999999999999E-2</v>
      </c>
      <c r="H555" s="663">
        <f t="shared" si="177"/>
        <v>1.9239920000000001</v>
      </c>
      <c r="I555" s="420">
        <v>0</v>
      </c>
      <c r="J555" s="420"/>
      <c r="K555" s="421">
        <f t="shared" si="162"/>
        <v>0</v>
      </c>
      <c r="L555" s="668" t="s">
        <v>614</v>
      </c>
      <c r="M555" s="669"/>
      <c r="N555" s="576">
        <f t="shared" si="165"/>
        <v>0</v>
      </c>
      <c r="O555" s="577">
        <f t="shared" si="174"/>
        <v>0</v>
      </c>
      <c r="P555" s="578">
        <f t="shared" si="175"/>
        <v>0</v>
      </c>
      <c r="Q555" s="765"/>
      <c r="R555" s="669"/>
      <c r="S555" s="670"/>
      <c r="T555" s="577">
        <f t="shared" si="172"/>
        <v>0</v>
      </c>
      <c r="U555" s="578">
        <f t="shared" si="173"/>
        <v>0</v>
      </c>
      <c r="V555" s="579"/>
      <c r="W555" s="637" t="str">
        <f>IF(U552&gt;0,"xx",IF(P552&gt;0,"xy",""))</f>
        <v/>
      </c>
      <c r="X555" s="586" t="str">
        <f t="shared" si="170"/>
        <v/>
      </c>
      <c r="Y555" s="586" t="str">
        <f t="shared" si="143"/>
        <v/>
      </c>
      <c r="Z555" s="586" t="str">
        <f t="shared" si="147"/>
        <v/>
      </c>
    </row>
    <row r="556" spans="1:26" ht="12" hidden="1" thickBot="1" x14ac:dyDescent="0.25">
      <c r="A556" s="567">
        <v>810350</v>
      </c>
      <c r="B556" s="644">
        <v>810350</v>
      </c>
      <c r="C556" s="645" t="s">
        <v>206</v>
      </c>
      <c r="D556" s="422" t="s">
        <v>1803</v>
      </c>
      <c r="E556" s="423"/>
      <c r="F556" s="424">
        <v>10</v>
      </c>
      <c r="G556" s="425">
        <v>0.16839999999999999</v>
      </c>
      <c r="H556" s="663">
        <f t="shared" si="177"/>
        <v>2.2531919999999999</v>
      </c>
      <c r="I556" s="420">
        <v>61.83</v>
      </c>
      <c r="J556" s="420">
        <f>IF(ISBLANK(I556),"",SUM(H556:I556))</f>
        <v>64.083191999999997</v>
      </c>
      <c r="K556" s="421">
        <f t="shared" si="162"/>
        <v>76.14</v>
      </c>
      <c r="L556" s="647" t="s">
        <v>19</v>
      </c>
      <c r="M556" s="587"/>
      <c r="N556" s="576">
        <f t="shared" si="165"/>
        <v>0</v>
      </c>
      <c r="O556" s="577">
        <f t="shared" si="174"/>
        <v>0</v>
      </c>
      <c r="P556" s="578">
        <f t="shared" si="175"/>
        <v>0</v>
      </c>
      <c r="Q556" s="765"/>
      <c r="R556" s="650">
        <f t="shared" si="176"/>
        <v>0</v>
      </c>
      <c r="S556" s="587">
        <f t="shared" si="167"/>
        <v>0</v>
      </c>
      <c r="T556" s="577">
        <f t="shared" si="172"/>
        <v>0</v>
      </c>
      <c r="U556" s="578">
        <f t="shared" si="173"/>
        <v>0</v>
      </c>
      <c r="V556" s="579"/>
      <c r="W556" s="566"/>
      <c r="X556" s="586" t="str">
        <f t="shared" si="170"/>
        <v/>
      </c>
      <c r="Y556" s="586" t="str">
        <f t="shared" si="143"/>
        <v/>
      </c>
      <c r="Z556" s="586" t="str">
        <f t="shared" si="147"/>
        <v/>
      </c>
    </row>
    <row r="557" spans="1:26" ht="12" hidden="1" thickBot="1" x14ac:dyDescent="0.25">
      <c r="A557" s="652" t="s">
        <v>187</v>
      </c>
      <c r="B557" s="653" t="s">
        <v>187</v>
      </c>
      <c r="C557" s="654"/>
      <c r="D557" s="427" t="s">
        <v>235</v>
      </c>
      <c r="E557" s="428"/>
      <c r="F557" s="655"/>
      <c r="G557" s="656"/>
      <c r="H557" s="657"/>
      <c r="I557" s="429"/>
      <c r="J557" s="429"/>
      <c r="K557" s="429"/>
      <c r="L557" s="429" t="s">
        <v>614</v>
      </c>
      <c r="M557" s="657"/>
      <c r="N557" s="576">
        <f t="shared" si="165"/>
        <v>0</v>
      </c>
      <c r="O557" s="429">
        <f t="shared" si="174"/>
        <v>0</v>
      </c>
      <c r="P557" s="658">
        <f t="shared" si="175"/>
        <v>0</v>
      </c>
      <c r="Q557" s="765"/>
      <c r="R557" s="657"/>
      <c r="S557" s="429"/>
      <c r="T557" s="429">
        <f t="shared" si="172"/>
        <v>0</v>
      </c>
      <c r="U557" s="658">
        <f t="shared" si="173"/>
        <v>0</v>
      </c>
      <c r="V557" s="579"/>
      <c r="W557" s="637" t="str">
        <f>IF(OR(SUM(P558:P582)&gt;0,SUM(U558:U582)&gt;0),"y","")</f>
        <v/>
      </c>
      <c r="X557" s="586" t="str">
        <f t="shared" si="170"/>
        <v/>
      </c>
      <c r="Y557" s="586" t="str">
        <f t="shared" si="143"/>
        <v/>
      </c>
      <c r="Z557" s="586" t="str">
        <f t="shared" si="147"/>
        <v/>
      </c>
    </row>
    <row r="558" spans="1:26" ht="12" hidden="1" thickBot="1" x14ac:dyDescent="0.25">
      <c r="A558" s="652" t="s">
        <v>187</v>
      </c>
      <c r="B558" s="572" t="s">
        <v>187</v>
      </c>
      <c r="C558" s="573" t="s">
        <v>187</v>
      </c>
      <c r="D558" s="574"/>
      <c r="E558" s="575"/>
      <c r="F558" s="436"/>
      <c r="G558" s="431"/>
      <c r="H558" s="430"/>
      <c r="I558" s="432"/>
      <c r="J558" s="433"/>
      <c r="K558" s="434">
        <f t="shared" ref="K558:K582" si="178">IF(ISBLANK(J558),0,ROUND(J558*(1+$F$10)*(1+$F$11*E558),2))</f>
        <v>0</v>
      </c>
      <c r="L558" s="435" t="s">
        <v>614</v>
      </c>
      <c r="M558" s="587"/>
      <c r="N558" s="576">
        <f t="shared" si="165"/>
        <v>0</v>
      </c>
      <c r="O558" s="577">
        <f t="shared" si="174"/>
        <v>0</v>
      </c>
      <c r="P558" s="578">
        <f t="shared" si="175"/>
        <v>0</v>
      </c>
      <c r="Q558" s="765"/>
      <c r="R558" s="650">
        <f t="shared" si="176"/>
        <v>0</v>
      </c>
      <c r="S558" s="587">
        <f t="shared" si="167"/>
        <v>0</v>
      </c>
      <c r="T558" s="577">
        <f t="shared" si="172"/>
        <v>0</v>
      </c>
      <c r="U558" s="578">
        <f t="shared" si="173"/>
        <v>0</v>
      </c>
      <c r="V558" s="579"/>
      <c r="W558" s="566"/>
      <c r="X558" s="586" t="str">
        <f t="shared" si="170"/>
        <v/>
      </c>
      <c r="Y558" s="586" t="str">
        <f t="shared" si="143"/>
        <v/>
      </c>
      <c r="Z558" s="586" t="str">
        <f t="shared" si="147"/>
        <v/>
      </c>
    </row>
    <row r="559" spans="1:26" ht="12" hidden="1" thickBot="1" x14ac:dyDescent="0.25">
      <c r="A559" s="652" t="s">
        <v>187</v>
      </c>
      <c r="B559" s="572" t="s">
        <v>187</v>
      </c>
      <c r="C559" s="573" t="s">
        <v>187</v>
      </c>
      <c r="D559" s="580"/>
      <c r="E559" s="575"/>
      <c r="F559" s="436"/>
      <c r="G559" s="431"/>
      <c r="H559" s="430"/>
      <c r="I559" s="432"/>
      <c r="J559" s="433"/>
      <c r="K559" s="437">
        <f t="shared" si="178"/>
        <v>0</v>
      </c>
      <c r="L559" s="435" t="s">
        <v>614</v>
      </c>
      <c r="M559" s="576"/>
      <c r="N559" s="576">
        <f t="shared" si="165"/>
        <v>0</v>
      </c>
      <c r="O559" s="577">
        <f t="shared" si="174"/>
        <v>0</v>
      </c>
      <c r="P559" s="578">
        <f t="shared" si="175"/>
        <v>0</v>
      </c>
      <c r="Q559" s="765"/>
      <c r="R559" s="576">
        <f t="shared" si="176"/>
        <v>0</v>
      </c>
      <c r="S559" s="576">
        <f t="shared" si="167"/>
        <v>0</v>
      </c>
      <c r="T559" s="577">
        <f t="shared" si="172"/>
        <v>0</v>
      </c>
      <c r="U559" s="659">
        <f t="shared" si="173"/>
        <v>0</v>
      </c>
      <c r="V559" s="579"/>
      <c r="W559" s="566"/>
      <c r="X559" s="586" t="str">
        <f t="shared" si="170"/>
        <v/>
      </c>
      <c r="Y559" s="586" t="str">
        <f t="shared" si="143"/>
        <v/>
      </c>
      <c r="Z559" s="586" t="str">
        <f t="shared" si="147"/>
        <v/>
      </c>
    </row>
    <row r="560" spans="1:26" ht="12" hidden="1" thickBot="1" x14ac:dyDescent="0.25">
      <c r="A560" s="652" t="s">
        <v>187</v>
      </c>
      <c r="B560" s="572" t="s">
        <v>187</v>
      </c>
      <c r="C560" s="573" t="s">
        <v>187</v>
      </c>
      <c r="D560" s="580"/>
      <c r="E560" s="575"/>
      <c r="F560" s="436"/>
      <c r="G560" s="431"/>
      <c r="H560" s="430"/>
      <c r="I560" s="432"/>
      <c r="J560" s="433"/>
      <c r="K560" s="437">
        <f t="shared" si="178"/>
        <v>0</v>
      </c>
      <c r="L560" s="435" t="s">
        <v>614</v>
      </c>
      <c r="M560" s="576"/>
      <c r="N560" s="576">
        <f t="shared" si="165"/>
        <v>0</v>
      </c>
      <c r="O560" s="577">
        <f t="shared" si="174"/>
        <v>0</v>
      </c>
      <c r="P560" s="578">
        <f t="shared" si="175"/>
        <v>0</v>
      </c>
      <c r="Q560" s="765"/>
      <c r="R560" s="576">
        <f t="shared" si="176"/>
        <v>0</v>
      </c>
      <c r="S560" s="576">
        <f t="shared" si="167"/>
        <v>0</v>
      </c>
      <c r="T560" s="577">
        <f t="shared" si="172"/>
        <v>0</v>
      </c>
      <c r="U560" s="578">
        <f t="shared" si="173"/>
        <v>0</v>
      </c>
      <c r="V560" s="579"/>
      <c r="W560" s="566"/>
      <c r="X560" s="586" t="str">
        <f t="shared" si="170"/>
        <v/>
      </c>
      <c r="Y560" s="586" t="str">
        <f t="shared" si="143"/>
        <v/>
      </c>
      <c r="Z560" s="586" t="str">
        <f t="shared" si="147"/>
        <v/>
      </c>
    </row>
    <row r="561" spans="1:26" ht="12" hidden="1" thickBot="1" x14ac:dyDescent="0.25">
      <c r="A561" s="652" t="s">
        <v>187</v>
      </c>
      <c r="B561" s="572" t="s">
        <v>187</v>
      </c>
      <c r="C561" s="573" t="s">
        <v>187</v>
      </c>
      <c r="D561" s="580"/>
      <c r="E561" s="575"/>
      <c r="F561" s="436"/>
      <c r="G561" s="431"/>
      <c r="H561" s="430"/>
      <c r="I561" s="432"/>
      <c r="J561" s="433"/>
      <c r="K561" s="437">
        <f t="shared" si="178"/>
        <v>0</v>
      </c>
      <c r="L561" s="435" t="s">
        <v>614</v>
      </c>
      <c r="M561" s="576"/>
      <c r="N561" s="576">
        <f t="shared" si="165"/>
        <v>0</v>
      </c>
      <c r="O561" s="577">
        <f t="shared" si="174"/>
        <v>0</v>
      </c>
      <c r="P561" s="578">
        <f t="shared" si="175"/>
        <v>0</v>
      </c>
      <c r="Q561" s="765"/>
      <c r="R561" s="576">
        <f t="shared" si="176"/>
        <v>0</v>
      </c>
      <c r="S561" s="576">
        <f t="shared" si="167"/>
        <v>0</v>
      </c>
      <c r="T561" s="577">
        <f t="shared" si="172"/>
        <v>0</v>
      </c>
      <c r="U561" s="578">
        <f t="shared" si="173"/>
        <v>0</v>
      </c>
      <c r="V561" s="579"/>
      <c r="W561" s="566"/>
      <c r="X561" s="586" t="str">
        <f t="shared" si="170"/>
        <v/>
      </c>
      <c r="Y561" s="586" t="str">
        <f t="shared" si="143"/>
        <v/>
      </c>
      <c r="Z561" s="586" t="str">
        <f t="shared" si="147"/>
        <v/>
      </c>
    </row>
    <row r="562" spans="1:26" ht="12" hidden="1" thickBot="1" x14ac:dyDescent="0.25">
      <c r="A562" s="652" t="s">
        <v>187</v>
      </c>
      <c r="B562" s="572" t="s">
        <v>187</v>
      </c>
      <c r="C562" s="573" t="s">
        <v>187</v>
      </c>
      <c r="D562" s="580"/>
      <c r="E562" s="575"/>
      <c r="F562" s="436"/>
      <c r="G562" s="431"/>
      <c r="H562" s="430"/>
      <c r="I562" s="432"/>
      <c r="J562" s="433"/>
      <c r="K562" s="437">
        <f t="shared" si="178"/>
        <v>0</v>
      </c>
      <c r="L562" s="435" t="s">
        <v>614</v>
      </c>
      <c r="M562" s="576"/>
      <c r="N562" s="576">
        <f t="shared" si="165"/>
        <v>0</v>
      </c>
      <c r="O562" s="577">
        <f t="shared" si="174"/>
        <v>0</v>
      </c>
      <c r="P562" s="578">
        <f t="shared" si="175"/>
        <v>0</v>
      </c>
      <c r="Q562" s="765"/>
      <c r="R562" s="576">
        <f t="shared" si="176"/>
        <v>0</v>
      </c>
      <c r="S562" s="576">
        <f t="shared" si="167"/>
        <v>0</v>
      </c>
      <c r="T562" s="577">
        <f t="shared" si="172"/>
        <v>0</v>
      </c>
      <c r="U562" s="578">
        <f t="shared" si="173"/>
        <v>0</v>
      </c>
      <c r="V562" s="579"/>
      <c r="W562" s="566"/>
      <c r="X562" s="586" t="str">
        <f t="shared" si="170"/>
        <v/>
      </c>
      <c r="Y562" s="586" t="str">
        <f t="shared" si="143"/>
        <v/>
      </c>
      <c r="Z562" s="586" t="str">
        <f t="shared" si="147"/>
        <v/>
      </c>
    </row>
    <row r="563" spans="1:26" ht="12" hidden="1" thickBot="1" x14ac:dyDescent="0.25">
      <c r="A563" s="652" t="s">
        <v>187</v>
      </c>
      <c r="B563" s="572" t="s">
        <v>187</v>
      </c>
      <c r="C563" s="573" t="s">
        <v>187</v>
      </c>
      <c r="D563" s="580"/>
      <c r="E563" s="575"/>
      <c r="F563" s="436"/>
      <c r="G563" s="431"/>
      <c r="H563" s="430"/>
      <c r="I563" s="432"/>
      <c r="J563" s="433"/>
      <c r="K563" s="437">
        <f t="shared" si="178"/>
        <v>0</v>
      </c>
      <c r="L563" s="435" t="s">
        <v>614</v>
      </c>
      <c r="M563" s="576"/>
      <c r="N563" s="576">
        <f t="shared" si="165"/>
        <v>0</v>
      </c>
      <c r="O563" s="577">
        <f t="shared" si="174"/>
        <v>0</v>
      </c>
      <c r="P563" s="578">
        <f t="shared" si="175"/>
        <v>0</v>
      </c>
      <c r="Q563" s="765"/>
      <c r="R563" s="576">
        <f t="shared" si="176"/>
        <v>0</v>
      </c>
      <c r="S563" s="576">
        <f t="shared" si="167"/>
        <v>0</v>
      </c>
      <c r="T563" s="577">
        <f t="shared" si="172"/>
        <v>0</v>
      </c>
      <c r="U563" s="578">
        <f t="shared" si="173"/>
        <v>0</v>
      </c>
      <c r="V563" s="579"/>
      <c r="W563" s="566"/>
      <c r="X563" s="586" t="str">
        <f t="shared" si="170"/>
        <v/>
      </c>
      <c r="Y563" s="586" t="str">
        <f t="shared" si="143"/>
        <v/>
      </c>
      <c r="Z563" s="586" t="str">
        <f t="shared" si="147"/>
        <v/>
      </c>
    </row>
    <row r="564" spans="1:26" ht="12" hidden="1" thickBot="1" x14ac:dyDescent="0.25">
      <c r="A564" s="652" t="s">
        <v>187</v>
      </c>
      <c r="B564" s="572" t="s">
        <v>187</v>
      </c>
      <c r="C564" s="573" t="s">
        <v>187</v>
      </c>
      <c r="D564" s="580"/>
      <c r="E564" s="575"/>
      <c r="F564" s="436"/>
      <c r="G564" s="431"/>
      <c r="H564" s="430"/>
      <c r="I564" s="432"/>
      <c r="J564" s="433"/>
      <c r="K564" s="437">
        <f t="shared" si="178"/>
        <v>0</v>
      </c>
      <c r="L564" s="435" t="s">
        <v>614</v>
      </c>
      <c r="M564" s="576"/>
      <c r="N564" s="576">
        <f t="shared" si="165"/>
        <v>0</v>
      </c>
      <c r="O564" s="577">
        <f t="shared" si="174"/>
        <v>0</v>
      </c>
      <c r="P564" s="578">
        <f t="shared" si="175"/>
        <v>0</v>
      </c>
      <c r="Q564" s="765"/>
      <c r="R564" s="576">
        <f t="shared" si="176"/>
        <v>0</v>
      </c>
      <c r="S564" s="576">
        <f t="shared" si="167"/>
        <v>0</v>
      </c>
      <c r="T564" s="577">
        <f t="shared" si="172"/>
        <v>0</v>
      </c>
      <c r="U564" s="578">
        <f t="shared" si="173"/>
        <v>0</v>
      </c>
      <c r="V564" s="579"/>
      <c r="W564" s="566"/>
      <c r="X564" s="586" t="str">
        <f t="shared" si="170"/>
        <v/>
      </c>
      <c r="Y564" s="586" t="str">
        <f t="shared" si="143"/>
        <v/>
      </c>
      <c r="Z564" s="586" t="str">
        <f t="shared" si="147"/>
        <v/>
      </c>
    </row>
    <row r="565" spans="1:26" ht="12" hidden="1" thickBot="1" x14ac:dyDescent="0.25">
      <c r="A565" s="652" t="s">
        <v>187</v>
      </c>
      <c r="B565" s="572" t="s">
        <v>187</v>
      </c>
      <c r="C565" s="573" t="s">
        <v>187</v>
      </c>
      <c r="D565" s="580"/>
      <c r="E565" s="575"/>
      <c r="F565" s="436"/>
      <c r="G565" s="431"/>
      <c r="H565" s="430"/>
      <c r="I565" s="432"/>
      <c r="J565" s="433"/>
      <c r="K565" s="437">
        <f t="shared" si="178"/>
        <v>0</v>
      </c>
      <c r="L565" s="435" t="s">
        <v>614</v>
      </c>
      <c r="M565" s="576"/>
      <c r="N565" s="576">
        <f t="shared" si="165"/>
        <v>0</v>
      </c>
      <c r="O565" s="577">
        <f t="shared" si="174"/>
        <v>0</v>
      </c>
      <c r="P565" s="578">
        <f t="shared" si="175"/>
        <v>0</v>
      </c>
      <c r="Q565" s="765"/>
      <c r="R565" s="576">
        <f t="shared" si="176"/>
        <v>0</v>
      </c>
      <c r="S565" s="576">
        <f t="shared" si="167"/>
        <v>0</v>
      </c>
      <c r="T565" s="577">
        <f t="shared" si="172"/>
        <v>0</v>
      </c>
      <c r="U565" s="578">
        <f t="shared" si="173"/>
        <v>0</v>
      </c>
      <c r="V565" s="579"/>
      <c r="W565" s="566"/>
      <c r="X565" s="586" t="str">
        <f t="shared" si="170"/>
        <v/>
      </c>
      <c r="Y565" s="586" t="str">
        <f t="shared" si="143"/>
        <v/>
      </c>
      <c r="Z565" s="586" t="str">
        <f t="shared" si="147"/>
        <v/>
      </c>
    </row>
    <row r="566" spans="1:26" ht="12" hidden="1" thickBot="1" x14ac:dyDescent="0.25">
      <c r="A566" s="652" t="s">
        <v>187</v>
      </c>
      <c r="B566" s="572" t="s">
        <v>187</v>
      </c>
      <c r="C566" s="573" t="s">
        <v>187</v>
      </c>
      <c r="D566" s="580"/>
      <c r="E566" s="575"/>
      <c r="F566" s="436"/>
      <c r="G566" s="431"/>
      <c r="H566" s="430"/>
      <c r="I566" s="432"/>
      <c r="J566" s="433"/>
      <c r="K566" s="437">
        <f t="shared" si="178"/>
        <v>0</v>
      </c>
      <c r="L566" s="435" t="s">
        <v>614</v>
      </c>
      <c r="M566" s="576"/>
      <c r="N566" s="576">
        <f t="shared" si="165"/>
        <v>0</v>
      </c>
      <c r="O566" s="577">
        <f t="shared" si="174"/>
        <v>0</v>
      </c>
      <c r="P566" s="578">
        <f t="shared" si="175"/>
        <v>0</v>
      </c>
      <c r="Q566" s="765"/>
      <c r="R566" s="576">
        <f t="shared" si="176"/>
        <v>0</v>
      </c>
      <c r="S566" s="576">
        <f t="shared" si="167"/>
        <v>0</v>
      </c>
      <c r="T566" s="577">
        <f t="shared" si="172"/>
        <v>0</v>
      </c>
      <c r="U566" s="578">
        <f t="shared" si="173"/>
        <v>0</v>
      </c>
      <c r="V566" s="579"/>
      <c r="W566" s="566"/>
      <c r="X566" s="586" t="str">
        <f t="shared" si="170"/>
        <v/>
      </c>
      <c r="Y566" s="586" t="str">
        <f t="shared" si="143"/>
        <v/>
      </c>
      <c r="Z566" s="586" t="str">
        <f t="shared" si="147"/>
        <v/>
      </c>
    </row>
    <row r="567" spans="1:26" ht="12" hidden="1" thickBot="1" x14ac:dyDescent="0.25">
      <c r="A567" s="652" t="s">
        <v>187</v>
      </c>
      <c r="B567" s="572" t="s">
        <v>187</v>
      </c>
      <c r="C567" s="573" t="s">
        <v>187</v>
      </c>
      <c r="D567" s="580"/>
      <c r="E567" s="575"/>
      <c r="F567" s="436"/>
      <c r="G567" s="431"/>
      <c r="H567" s="430"/>
      <c r="I567" s="432"/>
      <c r="J567" s="433"/>
      <c r="K567" s="437">
        <f t="shared" si="178"/>
        <v>0</v>
      </c>
      <c r="L567" s="435" t="s">
        <v>614</v>
      </c>
      <c r="M567" s="576"/>
      <c r="N567" s="576">
        <f t="shared" si="165"/>
        <v>0</v>
      </c>
      <c r="O567" s="577">
        <f t="shared" si="174"/>
        <v>0</v>
      </c>
      <c r="P567" s="578">
        <f t="shared" si="175"/>
        <v>0</v>
      </c>
      <c r="Q567" s="765"/>
      <c r="R567" s="576">
        <f t="shared" si="176"/>
        <v>0</v>
      </c>
      <c r="S567" s="576">
        <f t="shared" si="167"/>
        <v>0</v>
      </c>
      <c r="T567" s="577">
        <f t="shared" si="172"/>
        <v>0</v>
      </c>
      <c r="U567" s="578">
        <f t="shared" si="173"/>
        <v>0</v>
      </c>
      <c r="V567" s="579"/>
      <c r="W567" s="566"/>
      <c r="X567" s="586" t="str">
        <f t="shared" si="170"/>
        <v/>
      </c>
      <c r="Y567" s="586" t="str">
        <f t="shared" si="143"/>
        <v/>
      </c>
      <c r="Z567" s="586" t="str">
        <f t="shared" si="147"/>
        <v/>
      </c>
    </row>
    <row r="568" spans="1:26" ht="12" hidden="1" thickBot="1" x14ac:dyDescent="0.25">
      <c r="A568" s="652" t="s">
        <v>187</v>
      </c>
      <c r="B568" s="572" t="s">
        <v>187</v>
      </c>
      <c r="C568" s="573" t="s">
        <v>187</v>
      </c>
      <c r="D568" s="580"/>
      <c r="E568" s="575"/>
      <c r="F568" s="436"/>
      <c r="G568" s="431"/>
      <c r="H568" s="430"/>
      <c r="I568" s="432"/>
      <c r="J568" s="433"/>
      <c r="K568" s="437">
        <f t="shared" si="178"/>
        <v>0</v>
      </c>
      <c r="L568" s="435" t="s">
        <v>614</v>
      </c>
      <c r="M568" s="576"/>
      <c r="N568" s="576">
        <f t="shared" si="165"/>
        <v>0</v>
      </c>
      <c r="O568" s="577">
        <f t="shared" si="174"/>
        <v>0</v>
      </c>
      <c r="P568" s="578">
        <f t="shared" si="175"/>
        <v>0</v>
      </c>
      <c r="Q568" s="765"/>
      <c r="R568" s="576">
        <f t="shared" si="176"/>
        <v>0</v>
      </c>
      <c r="S568" s="576">
        <f t="shared" si="167"/>
        <v>0</v>
      </c>
      <c r="T568" s="577">
        <f t="shared" si="172"/>
        <v>0</v>
      </c>
      <c r="U568" s="578">
        <f t="shared" si="173"/>
        <v>0</v>
      </c>
      <c r="V568" s="579"/>
      <c r="W568" s="566"/>
      <c r="X568" s="586" t="str">
        <f t="shared" si="170"/>
        <v/>
      </c>
      <c r="Y568" s="586" t="str">
        <f t="shared" si="143"/>
        <v/>
      </c>
      <c r="Z568" s="586" t="str">
        <f t="shared" si="147"/>
        <v/>
      </c>
    </row>
    <row r="569" spans="1:26" ht="12" hidden="1" thickBot="1" x14ac:dyDescent="0.25">
      <c r="A569" s="652" t="s">
        <v>187</v>
      </c>
      <c r="B569" s="572" t="s">
        <v>187</v>
      </c>
      <c r="C569" s="573" t="s">
        <v>187</v>
      </c>
      <c r="D569" s="580"/>
      <c r="E569" s="575"/>
      <c r="F569" s="436"/>
      <c r="G569" s="431"/>
      <c r="H569" s="430"/>
      <c r="I569" s="432"/>
      <c r="J569" s="433"/>
      <c r="K569" s="437">
        <f t="shared" si="178"/>
        <v>0</v>
      </c>
      <c r="L569" s="435" t="s">
        <v>614</v>
      </c>
      <c r="M569" s="576"/>
      <c r="N569" s="576">
        <f t="shared" si="165"/>
        <v>0</v>
      </c>
      <c r="O569" s="577">
        <f t="shared" si="174"/>
        <v>0</v>
      </c>
      <c r="P569" s="578">
        <f t="shared" si="175"/>
        <v>0</v>
      </c>
      <c r="Q569" s="765"/>
      <c r="R569" s="576">
        <f t="shared" si="176"/>
        <v>0</v>
      </c>
      <c r="S569" s="576">
        <f t="shared" si="167"/>
        <v>0</v>
      </c>
      <c r="T569" s="577">
        <f t="shared" si="172"/>
        <v>0</v>
      </c>
      <c r="U569" s="578">
        <f t="shared" si="173"/>
        <v>0</v>
      </c>
      <c r="V569" s="579"/>
      <c r="W569" s="566"/>
      <c r="X569" s="586" t="str">
        <f t="shared" si="170"/>
        <v/>
      </c>
      <c r="Y569" s="586" t="str">
        <f t="shared" si="143"/>
        <v/>
      </c>
      <c r="Z569" s="586" t="str">
        <f t="shared" si="147"/>
        <v/>
      </c>
    </row>
    <row r="570" spans="1:26" ht="12" hidden="1" thickBot="1" x14ac:dyDescent="0.25">
      <c r="A570" s="652" t="s">
        <v>187</v>
      </c>
      <c r="B570" s="572" t="s">
        <v>187</v>
      </c>
      <c r="C570" s="573" t="s">
        <v>187</v>
      </c>
      <c r="D570" s="580"/>
      <c r="E570" s="575"/>
      <c r="F570" s="436"/>
      <c r="G570" s="431"/>
      <c r="H570" s="430"/>
      <c r="I570" s="432"/>
      <c r="J570" s="433"/>
      <c r="K570" s="437">
        <f t="shared" si="178"/>
        <v>0</v>
      </c>
      <c r="L570" s="435" t="s">
        <v>614</v>
      </c>
      <c r="M570" s="576"/>
      <c r="N570" s="576">
        <f t="shared" si="165"/>
        <v>0</v>
      </c>
      <c r="O570" s="577">
        <f t="shared" si="174"/>
        <v>0</v>
      </c>
      <c r="P570" s="578">
        <f t="shared" si="175"/>
        <v>0</v>
      </c>
      <c r="Q570" s="765"/>
      <c r="R570" s="576">
        <f t="shared" si="176"/>
        <v>0</v>
      </c>
      <c r="S570" s="576">
        <f t="shared" si="167"/>
        <v>0</v>
      </c>
      <c r="T570" s="577">
        <f t="shared" si="172"/>
        <v>0</v>
      </c>
      <c r="U570" s="578">
        <f t="shared" si="173"/>
        <v>0</v>
      </c>
      <c r="V570" s="579"/>
      <c r="W570" s="566"/>
      <c r="X570" s="586" t="str">
        <f t="shared" si="170"/>
        <v/>
      </c>
      <c r="Y570" s="586" t="str">
        <f t="shared" si="143"/>
        <v/>
      </c>
      <c r="Z570" s="586" t="str">
        <f t="shared" si="147"/>
        <v/>
      </c>
    </row>
    <row r="571" spans="1:26" ht="12" hidden="1" thickBot="1" x14ac:dyDescent="0.25">
      <c r="A571" s="652" t="s">
        <v>187</v>
      </c>
      <c r="B571" s="572" t="s">
        <v>187</v>
      </c>
      <c r="C571" s="573" t="s">
        <v>187</v>
      </c>
      <c r="D571" s="580"/>
      <c r="E571" s="575"/>
      <c r="F571" s="436"/>
      <c r="G571" s="431"/>
      <c r="H571" s="430"/>
      <c r="I571" s="432"/>
      <c r="J571" s="433"/>
      <c r="K571" s="437">
        <f t="shared" si="178"/>
        <v>0</v>
      </c>
      <c r="L571" s="435" t="s">
        <v>614</v>
      </c>
      <c r="M571" s="576"/>
      <c r="N571" s="576">
        <f t="shared" si="165"/>
        <v>0</v>
      </c>
      <c r="O571" s="577">
        <f t="shared" si="174"/>
        <v>0</v>
      </c>
      <c r="P571" s="578">
        <f t="shared" si="175"/>
        <v>0</v>
      </c>
      <c r="Q571" s="765"/>
      <c r="R571" s="576">
        <f t="shared" si="176"/>
        <v>0</v>
      </c>
      <c r="S571" s="576">
        <f t="shared" si="167"/>
        <v>0</v>
      </c>
      <c r="T571" s="577">
        <f t="shared" si="172"/>
        <v>0</v>
      </c>
      <c r="U571" s="578">
        <f t="shared" si="173"/>
        <v>0</v>
      </c>
      <c r="V571" s="579"/>
      <c r="W571" s="566"/>
      <c r="X571" s="586" t="str">
        <f t="shared" si="170"/>
        <v/>
      </c>
      <c r="Y571" s="586" t="str">
        <f t="shared" si="143"/>
        <v/>
      </c>
      <c r="Z571" s="586" t="str">
        <f t="shared" si="147"/>
        <v/>
      </c>
    </row>
    <row r="572" spans="1:26" ht="12" hidden="1" thickBot="1" x14ac:dyDescent="0.25">
      <c r="A572" s="652" t="s">
        <v>187</v>
      </c>
      <c r="B572" s="572" t="s">
        <v>187</v>
      </c>
      <c r="C572" s="573" t="s">
        <v>187</v>
      </c>
      <c r="D572" s="580"/>
      <c r="E572" s="575"/>
      <c r="F572" s="436"/>
      <c r="G572" s="431"/>
      <c r="H572" s="430"/>
      <c r="I572" s="432"/>
      <c r="J572" s="433"/>
      <c r="K572" s="437">
        <f t="shared" si="178"/>
        <v>0</v>
      </c>
      <c r="L572" s="435" t="s">
        <v>614</v>
      </c>
      <c r="M572" s="576"/>
      <c r="N572" s="576">
        <f t="shared" si="165"/>
        <v>0</v>
      </c>
      <c r="O572" s="577">
        <f t="shared" si="174"/>
        <v>0</v>
      </c>
      <c r="P572" s="578">
        <f t="shared" si="175"/>
        <v>0</v>
      </c>
      <c r="Q572" s="765"/>
      <c r="R572" s="576">
        <f t="shared" si="176"/>
        <v>0</v>
      </c>
      <c r="S572" s="576">
        <f t="shared" si="167"/>
        <v>0</v>
      </c>
      <c r="T572" s="577">
        <f t="shared" si="172"/>
        <v>0</v>
      </c>
      <c r="U572" s="578">
        <f t="shared" si="173"/>
        <v>0</v>
      </c>
      <c r="V572" s="579"/>
      <c r="W572" s="566"/>
      <c r="X572" s="586" t="str">
        <f t="shared" si="170"/>
        <v/>
      </c>
      <c r="Y572" s="586" t="str">
        <f t="shared" si="143"/>
        <v/>
      </c>
      <c r="Z572" s="586" t="str">
        <f t="shared" si="147"/>
        <v/>
      </c>
    </row>
    <row r="573" spans="1:26" ht="12" hidden="1" thickBot="1" x14ac:dyDescent="0.25">
      <c r="A573" s="652" t="s">
        <v>187</v>
      </c>
      <c r="B573" s="572" t="s">
        <v>187</v>
      </c>
      <c r="C573" s="573" t="s">
        <v>187</v>
      </c>
      <c r="D573" s="580"/>
      <c r="E573" s="575"/>
      <c r="F573" s="436"/>
      <c r="G573" s="431"/>
      <c r="H573" s="430"/>
      <c r="I573" s="432"/>
      <c r="J573" s="433"/>
      <c r="K573" s="437">
        <f t="shared" si="178"/>
        <v>0</v>
      </c>
      <c r="L573" s="435" t="s">
        <v>614</v>
      </c>
      <c r="M573" s="576"/>
      <c r="N573" s="576">
        <f t="shared" si="165"/>
        <v>0</v>
      </c>
      <c r="O573" s="577">
        <f t="shared" si="174"/>
        <v>0</v>
      </c>
      <c r="P573" s="578">
        <f t="shared" si="175"/>
        <v>0</v>
      </c>
      <c r="Q573" s="765"/>
      <c r="R573" s="576">
        <f t="shared" si="176"/>
        <v>0</v>
      </c>
      <c r="S573" s="576">
        <f t="shared" si="167"/>
        <v>0</v>
      </c>
      <c r="T573" s="577">
        <f t="shared" si="172"/>
        <v>0</v>
      </c>
      <c r="U573" s="578">
        <f t="shared" si="173"/>
        <v>0</v>
      </c>
      <c r="V573" s="579"/>
      <c r="W573" s="566"/>
      <c r="X573" s="586" t="str">
        <f t="shared" si="170"/>
        <v/>
      </c>
      <c r="Y573" s="586" t="str">
        <f t="shared" si="143"/>
        <v/>
      </c>
      <c r="Z573" s="586" t="str">
        <f t="shared" si="147"/>
        <v/>
      </c>
    </row>
    <row r="574" spans="1:26" ht="12" hidden="1" thickBot="1" x14ac:dyDescent="0.25">
      <c r="A574" s="652" t="s">
        <v>187</v>
      </c>
      <c r="B574" s="572" t="s">
        <v>187</v>
      </c>
      <c r="C574" s="573" t="s">
        <v>187</v>
      </c>
      <c r="D574" s="580"/>
      <c r="E574" s="575"/>
      <c r="F574" s="436"/>
      <c r="G574" s="431"/>
      <c r="H574" s="430"/>
      <c r="I574" s="432"/>
      <c r="J574" s="433"/>
      <c r="K574" s="437">
        <f t="shared" si="178"/>
        <v>0</v>
      </c>
      <c r="L574" s="435" t="s">
        <v>614</v>
      </c>
      <c r="M574" s="576"/>
      <c r="N574" s="576">
        <f t="shared" si="165"/>
        <v>0</v>
      </c>
      <c r="O574" s="577">
        <f t="shared" si="174"/>
        <v>0</v>
      </c>
      <c r="P574" s="578">
        <f t="shared" si="175"/>
        <v>0</v>
      </c>
      <c r="Q574" s="765"/>
      <c r="R574" s="576">
        <f t="shared" si="176"/>
        <v>0</v>
      </c>
      <c r="S574" s="576">
        <f t="shared" si="167"/>
        <v>0</v>
      </c>
      <c r="T574" s="577">
        <f t="shared" si="172"/>
        <v>0</v>
      </c>
      <c r="U574" s="578">
        <f t="shared" si="173"/>
        <v>0</v>
      </c>
      <c r="V574" s="579"/>
      <c r="W574" s="566"/>
      <c r="X574" s="586" t="str">
        <f t="shared" si="170"/>
        <v/>
      </c>
      <c r="Y574" s="586" t="str">
        <f t="shared" si="143"/>
        <v/>
      </c>
      <c r="Z574" s="586" t="str">
        <f t="shared" si="147"/>
        <v/>
      </c>
    </row>
    <row r="575" spans="1:26" ht="12" hidden="1" thickBot="1" x14ac:dyDescent="0.25">
      <c r="A575" s="652" t="s">
        <v>187</v>
      </c>
      <c r="B575" s="572" t="s">
        <v>187</v>
      </c>
      <c r="C575" s="573" t="s">
        <v>187</v>
      </c>
      <c r="D575" s="580"/>
      <c r="E575" s="575"/>
      <c r="F575" s="436"/>
      <c r="G575" s="431"/>
      <c r="H575" s="430"/>
      <c r="I575" s="432"/>
      <c r="J575" s="433"/>
      <c r="K575" s="437">
        <f t="shared" si="178"/>
        <v>0</v>
      </c>
      <c r="L575" s="435" t="s">
        <v>614</v>
      </c>
      <c r="M575" s="576"/>
      <c r="N575" s="576">
        <f t="shared" si="165"/>
        <v>0</v>
      </c>
      <c r="O575" s="577">
        <f t="shared" si="174"/>
        <v>0</v>
      </c>
      <c r="P575" s="578">
        <f t="shared" si="175"/>
        <v>0</v>
      </c>
      <c r="Q575" s="765"/>
      <c r="R575" s="576">
        <f t="shared" si="176"/>
        <v>0</v>
      </c>
      <c r="S575" s="576">
        <f t="shared" si="167"/>
        <v>0</v>
      </c>
      <c r="T575" s="577">
        <f t="shared" si="172"/>
        <v>0</v>
      </c>
      <c r="U575" s="578">
        <f t="shared" si="173"/>
        <v>0</v>
      </c>
      <c r="V575" s="579"/>
      <c r="W575" s="566"/>
      <c r="X575" s="586" t="str">
        <f t="shared" si="170"/>
        <v/>
      </c>
      <c r="Y575" s="586" t="str">
        <f t="shared" si="143"/>
        <v/>
      </c>
      <c r="Z575" s="586" t="str">
        <f t="shared" si="147"/>
        <v/>
      </c>
    </row>
    <row r="576" spans="1:26" ht="12" hidden="1" thickBot="1" x14ac:dyDescent="0.25">
      <c r="A576" s="652" t="s">
        <v>187</v>
      </c>
      <c r="B576" s="572" t="s">
        <v>187</v>
      </c>
      <c r="C576" s="573" t="s">
        <v>187</v>
      </c>
      <c r="D576" s="580"/>
      <c r="E576" s="575"/>
      <c r="F576" s="436"/>
      <c r="G576" s="431"/>
      <c r="H576" s="430"/>
      <c r="I576" s="432"/>
      <c r="J576" s="433"/>
      <c r="K576" s="437">
        <f t="shared" si="178"/>
        <v>0</v>
      </c>
      <c r="L576" s="435" t="s">
        <v>614</v>
      </c>
      <c r="M576" s="576"/>
      <c r="N576" s="576">
        <f t="shared" si="165"/>
        <v>0</v>
      </c>
      <c r="O576" s="577">
        <f t="shared" si="174"/>
        <v>0</v>
      </c>
      <c r="P576" s="578">
        <f t="shared" si="175"/>
        <v>0</v>
      </c>
      <c r="Q576" s="765"/>
      <c r="R576" s="576">
        <f t="shared" si="176"/>
        <v>0</v>
      </c>
      <c r="S576" s="576">
        <f t="shared" si="167"/>
        <v>0</v>
      </c>
      <c r="T576" s="577">
        <f t="shared" si="172"/>
        <v>0</v>
      </c>
      <c r="U576" s="578">
        <f t="shared" si="173"/>
        <v>0</v>
      </c>
      <c r="V576" s="579"/>
      <c r="W576" s="566"/>
      <c r="X576" s="586" t="str">
        <f t="shared" si="170"/>
        <v/>
      </c>
      <c r="Y576" s="586" t="str">
        <f t="shared" si="143"/>
        <v/>
      </c>
      <c r="Z576" s="586" t="str">
        <f t="shared" si="147"/>
        <v/>
      </c>
    </row>
    <row r="577" spans="1:26" ht="12" hidden="1" thickBot="1" x14ac:dyDescent="0.25">
      <c r="A577" s="652" t="s">
        <v>187</v>
      </c>
      <c r="B577" s="572" t="s">
        <v>187</v>
      </c>
      <c r="C577" s="573" t="s">
        <v>187</v>
      </c>
      <c r="D577" s="580"/>
      <c r="E577" s="575"/>
      <c r="F577" s="436"/>
      <c r="G577" s="431"/>
      <c r="H577" s="430"/>
      <c r="I577" s="432"/>
      <c r="J577" s="433"/>
      <c r="K577" s="437">
        <f t="shared" si="178"/>
        <v>0</v>
      </c>
      <c r="L577" s="435" t="s">
        <v>614</v>
      </c>
      <c r="M577" s="576"/>
      <c r="N577" s="576">
        <f t="shared" si="165"/>
        <v>0</v>
      </c>
      <c r="O577" s="577">
        <f t="shared" si="174"/>
        <v>0</v>
      </c>
      <c r="P577" s="578">
        <f t="shared" si="175"/>
        <v>0</v>
      </c>
      <c r="Q577" s="765"/>
      <c r="R577" s="576">
        <f t="shared" si="176"/>
        <v>0</v>
      </c>
      <c r="S577" s="576">
        <f t="shared" si="167"/>
        <v>0</v>
      </c>
      <c r="T577" s="577">
        <f t="shared" si="172"/>
        <v>0</v>
      </c>
      <c r="U577" s="578">
        <f t="shared" si="173"/>
        <v>0</v>
      </c>
      <c r="V577" s="579"/>
      <c r="W577" s="566"/>
      <c r="X577" s="586" t="str">
        <f t="shared" si="170"/>
        <v/>
      </c>
      <c r="Y577" s="586" t="str">
        <f t="shared" si="143"/>
        <v/>
      </c>
      <c r="Z577" s="586" t="str">
        <f t="shared" si="147"/>
        <v/>
      </c>
    </row>
    <row r="578" spans="1:26" ht="12" hidden="1" thickBot="1" x14ac:dyDescent="0.25">
      <c r="A578" s="652" t="s">
        <v>187</v>
      </c>
      <c r="B578" s="572" t="s">
        <v>187</v>
      </c>
      <c r="C578" s="573" t="s">
        <v>187</v>
      </c>
      <c r="D578" s="580"/>
      <c r="E578" s="575"/>
      <c r="F578" s="436"/>
      <c r="G578" s="431"/>
      <c r="H578" s="430"/>
      <c r="I578" s="432"/>
      <c r="J578" s="433"/>
      <c r="K578" s="437">
        <f t="shared" si="178"/>
        <v>0</v>
      </c>
      <c r="L578" s="435" t="s">
        <v>614</v>
      </c>
      <c r="M578" s="576"/>
      <c r="N578" s="576">
        <f t="shared" si="165"/>
        <v>0</v>
      </c>
      <c r="O578" s="577">
        <f t="shared" si="174"/>
        <v>0</v>
      </c>
      <c r="P578" s="578">
        <f t="shared" si="175"/>
        <v>0</v>
      </c>
      <c r="Q578" s="765"/>
      <c r="R578" s="576">
        <f t="shared" si="176"/>
        <v>0</v>
      </c>
      <c r="S578" s="576">
        <f t="shared" si="167"/>
        <v>0</v>
      </c>
      <c r="T578" s="577">
        <f t="shared" si="172"/>
        <v>0</v>
      </c>
      <c r="U578" s="578">
        <f t="shared" si="173"/>
        <v>0</v>
      </c>
      <c r="V578" s="579"/>
      <c r="W578" s="566"/>
      <c r="X578" s="586" t="str">
        <f t="shared" si="170"/>
        <v/>
      </c>
      <c r="Y578" s="586" t="str">
        <f t="shared" si="143"/>
        <v/>
      </c>
      <c r="Z578" s="586" t="str">
        <f t="shared" si="147"/>
        <v/>
      </c>
    </row>
    <row r="579" spans="1:26" ht="12" hidden="1" thickBot="1" x14ac:dyDescent="0.25">
      <c r="A579" s="652" t="s">
        <v>187</v>
      </c>
      <c r="B579" s="572" t="s">
        <v>187</v>
      </c>
      <c r="C579" s="573" t="s">
        <v>187</v>
      </c>
      <c r="D579" s="580"/>
      <c r="E579" s="575"/>
      <c r="F579" s="436"/>
      <c r="G579" s="431"/>
      <c r="H579" s="430"/>
      <c r="I579" s="432"/>
      <c r="J579" s="433"/>
      <c r="K579" s="437">
        <f t="shared" si="178"/>
        <v>0</v>
      </c>
      <c r="L579" s="435" t="s">
        <v>614</v>
      </c>
      <c r="M579" s="576"/>
      <c r="N579" s="576">
        <f t="shared" si="165"/>
        <v>0</v>
      </c>
      <c r="O579" s="577">
        <f t="shared" si="174"/>
        <v>0</v>
      </c>
      <c r="P579" s="578">
        <f t="shared" si="175"/>
        <v>0</v>
      </c>
      <c r="Q579" s="765"/>
      <c r="R579" s="576">
        <f t="shared" si="176"/>
        <v>0</v>
      </c>
      <c r="S579" s="576">
        <f t="shared" si="167"/>
        <v>0</v>
      </c>
      <c r="T579" s="577">
        <f t="shared" si="172"/>
        <v>0</v>
      </c>
      <c r="U579" s="578">
        <f t="shared" si="173"/>
        <v>0</v>
      </c>
      <c r="V579" s="579"/>
      <c r="W579" s="566"/>
      <c r="X579" s="586" t="str">
        <f t="shared" si="170"/>
        <v/>
      </c>
      <c r="Y579" s="586" t="str">
        <f t="shared" si="143"/>
        <v/>
      </c>
      <c r="Z579" s="586" t="str">
        <f t="shared" si="147"/>
        <v/>
      </c>
    </row>
    <row r="580" spans="1:26" ht="12" hidden="1" thickBot="1" x14ac:dyDescent="0.25">
      <c r="A580" s="652" t="s">
        <v>187</v>
      </c>
      <c r="B580" s="572" t="s">
        <v>187</v>
      </c>
      <c r="C580" s="573" t="s">
        <v>187</v>
      </c>
      <c r="D580" s="580"/>
      <c r="E580" s="575"/>
      <c r="F580" s="436"/>
      <c r="G580" s="431"/>
      <c r="H580" s="430"/>
      <c r="I580" s="432"/>
      <c r="J580" s="433"/>
      <c r="K580" s="437">
        <f t="shared" si="178"/>
        <v>0</v>
      </c>
      <c r="L580" s="435" t="s">
        <v>614</v>
      </c>
      <c r="M580" s="576"/>
      <c r="N580" s="576">
        <f t="shared" si="165"/>
        <v>0</v>
      </c>
      <c r="O580" s="577">
        <f t="shared" si="174"/>
        <v>0</v>
      </c>
      <c r="P580" s="578">
        <f t="shared" si="175"/>
        <v>0</v>
      </c>
      <c r="Q580" s="765"/>
      <c r="R580" s="576">
        <f t="shared" si="176"/>
        <v>0</v>
      </c>
      <c r="S580" s="576">
        <f t="shared" si="167"/>
        <v>0</v>
      </c>
      <c r="T580" s="577">
        <f t="shared" si="172"/>
        <v>0</v>
      </c>
      <c r="U580" s="578">
        <f t="shared" si="173"/>
        <v>0</v>
      </c>
      <c r="V580" s="579"/>
      <c r="W580" s="566"/>
      <c r="X580" s="586" t="str">
        <f t="shared" si="170"/>
        <v/>
      </c>
      <c r="Y580" s="586" t="str">
        <f t="shared" si="143"/>
        <v/>
      </c>
      <c r="Z580" s="586" t="str">
        <f t="shared" si="147"/>
        <v/>
      </c>
    </row>
    <row r="581" spans="1:26" ht="12" hidden="1" thickBot="1" x14ac:dyDescent="0.25">
      <c r="A581" s="652" t="s">
        <v>187</v>
      </c>
      <c r="B581" s="572" t="s">
        <v>187</v>
      </c>
      <c r="C581" s="573" t="s">
        <v>187</v>
      </c>
      <c r="D581" s="580"/>
      <c r="E581" s="575"/>
      <c r="F581" s="436"/>
      <c r="G581" s="431"/>
      <c r="H581" s="430"/>
      <c r="I581" s="432"/>
      <c r="J581" s="433"/>
      <c r="K581" s="437">
        <f t="shared" si="178"/>
        <v>0</v>
      </c>
      <c r="L581" s="435" t="s">
        <v>614</v>
      </c>
      <c r="M581" s="576"/>
      <c r="N581" s="576">
        <f t="shared" si="165"/>
        <v>0</v>
      </c>
      <c r="O581" s="577">
        <f t="shared" si="174"/>
        <v>0</v>
      </c>
      <c r="P581" s="578">
        <f t="shared" si="175"/>
        <v>0</v>
      </c>
      <c r="Q581" s="765"/>
      <c r="R581" s="576">
        <f t="shared" si="176"/>
        <v>0</v>
      </c>
      <c r="S581" s="576">
        <f t="shared" si="167"/>
        <v>0</v>
      </c>
      <c r="T581" s="577">
        <f t="shared" si="172"/>
        <v>0</v>
      </c>
      <c r="U581" s="578">
        <f t="shared" si="173"/>
        <v>0</v>
      </c>
      <c r="V581" s="579"/>
      <c r="W581" s="566"/>
      <c r="X581" s="586" t="str">
        <f t="shared" si="170"/>
        <v/>
      </c>
      <c r="Y581" s="586" t="str">
        <f t="shared" si="143"/>
        <v/>
      </c>
      <c r="Z581" s="586" t="str">
        <f t="shared" si="147"/>
        <v/>
      </c>
    </row>
    <row r="582" spans="1:26" ht="12" hidden="1" thickBot="1" x14ac:dyDescent="0.25">
      <c r="A582" s="652" t="s">
        <v>187</v>
      </c>
      <c r="B582" s="581" t="s">
        <v>187</v>
      </c>
      <c r="C582" s="582" t="s">
        <v>187</v>
      </c>
      <c r="D582" s="583"/>
      <c r="E582" s="584"/>
      <c r="F582" s="438"/>
      <c r="G582" s="439"/>
      <c r="H582" s="440"/>
      <c r="I582" s="441"/>
      <c r="J582" s="442"/>
      <c r="K582" s="443">
        <f t="shared" si="178"/>
        <v>0</v>
      </c>
      <c r="L582" s="444" t="s">
        <v>614</v>
      </c>
      <c r="M582" s="588"/>
      <c r="N582" s="576">
        <f t="shared" si="165"/>
        <v>0</v>
      </c>
      <c r="O582" s="585">
        <f t="shared" si="174"/>
        <v>0</v>
      </c>
      <c r="P582" s="660">
        <f t="shared" si="175"/>
        <v>0</v>
      </c>
      <c r="Q582" s="765"/>
      <c r="R582" s="576">
        <f t="shared" si="176"/>
        <v>0</v>
      </c>
      <c r="S582" s="576">
        <f t="shared" si="167"/>
        <v>0</v>
      </c>
      <c r="T582" s="585">
        <f t="shared" si="172"/>
        <v>0</v>
      </c>
      <c r="U582" s="660">
        <f t="shared" si="173"/>
        <v>0</v>
      </c>
      <c r="V582" s="579"/>
      <c r="W582" s="566"/>
      <c r="X582" s="586" t="str">
        <f t="shared" si="170"/>
        <v/>
      </c>
      <c r="Y582" s="586" t="str">
        <f t="shared" si="143"/>
        <v/>
      </c>
      <c r="Z582" s="586" t="str">
        <f t="shared" si="147"/>
        <v/>
      </c>
    </row>
    <row r="583" spans="1:26" ht="12" thickBot="1" x14ac:dyDescent="0.25">
      <c r="A583" s="567" t="s">
        <v>227</v>
      </c>
      <c r="B583" s="664" t="s">
        <v>227</v>
      </c>
      <c r="C583" s="665"/>
      <c r="D583" s="666" t="s">
        <v>668</v>
      </c>
      <c r="E583" s="631"/>
      <c r="F583" s="632"/>
      <c r="G583" s="633"/>
      <c r="H583" s="634"/>
      <c r="I583" s="409"/>
      <c r="J583" s="409"/>
      <c r="K583" s="409"/>
      <c r="L583" s="409" t="s">
        <v>614</v>
      </c>
      <c r="M583" s="634"/>
      <c r="N583" s="797"/>
      <c r="O583" s="409">
        <f t="shared" si="174"/>
        <v>0</v>
      </c>
      <c r="P583" s="635">
        <f t="shared" si="175"/>
        <v>0</v>
      </c>
      <c r="Q583" s="635">
        <f>SUM(P584:P779)</f>
        <v>27800.14</v>
      </c>
      <c r="R583" s="634"/>
      <c r="S583" s="409"/>
      <c r="T583" s="409">
        <f t="shared" si="172"/>
        <v>0</v>
      </c>
      <c r="U583" s="635">
        <f t="shared" si="173"/>
        <v>0</v>
      </c>
      <c r="V583" s="636">
        <f>SUM(U584:U779)</f>
        <v>27800.14</v>
      </c>
      <c r="W583" s="637" t="str">
        <f>IF(OR(Q583&gt;0,V583&gt;0),"X","")</f>
        <v>X</v>
      </c>
      <c r="X583" s="586" t="str">
        <f t="shared" si="170"/>
        <v>x</v>
      </c>
      <c r="Y583" s="586" t="str">
        <f t="shared" si="143"/>
        <v>x</v>
      </c>
      <c r="Z583" s="586" t="str">
        <f t="shared" si="147"/>
        <v>x</v>
      </c>
    </row>
    <row r="584" spans="1:26" hidden="1" x14ac:dyDescent="0.2">
      <c r="A584" s="567">
        <v>810250</v>
      </c>
      <c r="B584" s="644" t="s">
        <v>1584</v>
      </c>
      <c r="C584" s="645" t="s">
        <v>206</v>
      </c>
      <c r="D584" s="422" t="s">
        <v>488</v>
      </c>
      <c r="E584" s="423"/>
      <c r="F584" s="424">
        <v>10</v>
      </c>
      <c r="G584" s="425">
        <f>ROUND(0.017*2.34,4)</f>
        <v>3.9800000000000002E-2</v>
      </c>
      <c r="H584" s="663">
        <f t="shared" ref="H584:H587" si="179">IF(F584&lt;=30,(1.07*F584+2.68)*G584,((1.07*30+2.68)+1.07*(F584-30))*G584)</f>
        <v>0.53252400000000011</v>
      </c>
      <c r="I584" s="420">
        <v>19.262602000000001</v>
      </c>
      <c r="J584" s="420">
        <f t="shared" ref="J584:J593" si="180">IF(ISBLANK(I584),"",SUM(H584:I584))</f>
        <v>19.795126</v>
      </c>
      <c r="K584" s="421">
        <f t="shared" ref="K584:K647" si="181">IF(ISBLANK(I584),0,ROUND(J584*(1+$F$10)*(1+$F$11*E584),2))</f>
        <v>23.52</v>
      </c>
      <c r="L584" s="647" t="s">
        <v>19</v>
      </c>
      <c r="M584" s="576"/>
      <c r="N584" s="576">
        <f t="shared" si="165"/>
        <v>0</v>
      </c>
      <c r="O584" s="642">
        <f t="shared" si="174"/>
        <v>0</v>
      </c>
      <c r="P584" s="659">
        <f t="shared" si="175"/>
        <v>0</v>
      </c>
      <c r="Q584" s="765"/>
      <c r="R584" s="576">
        <f t="shared" si="176"/>
        <v>0</v>
      </c>
      <c r="S584" s="576">
        <f t="shared" si="167"/>
        <v>0</v>
      </c>
      <c r="T584" s="577">
        <f t="shared" si="172"/>
        <v>0</v>
      </c>
      <c r="U584" s="578">
        <f t="shared" si="173"/>
        <v>0</v>
      </c>
      <c r="V584" s="579"/>
      <c r="W584" s="566"/>
      <c r="X584" s="586" t="str">
        <f t="shared" si="170"/>
        <v/>
      </c>
      <c r="Y584" s="586" t="str">
        <f t="shared" si="143"/>
        <v/>
      </c>
      <c r="Z584" s="586" t="str">
        <f t="shared" si="147"/>
        <v/>
      </c>
    </row>
    <row r="585" spans="1:26" hidden="1" x14ac:dyDescent="0.2">
      <c r="A585" s="567">
        <v>810250</v>
      </c>
      <c r="B585" s="644" t="s">
        <v>1585</v>
      </c>
      <c r="C585" s="645" t="s">
        <v>206</v>
      </c>
      <c r="D585" s="422" t="s">
        <v>616</v>
      </c>
      <c r="E585" s="423"/>
      <c r="F585" s="424">
        <v>10</v>
      </c>
      <c r="G585" s="425">
        <f>ROUND(0.01125*2.34,4)</f>
        <v>2.63E-2</v>
      </c>
      <c r="H585" s="663">
        <f t="shared" si="179"/>
        <v>0.35189400000000004</v>
      </c>
      <c r="I585" s="420">
        <v>12.672704</v>
      </c>
      <c r="J585" s="420">
        <f t="shared" si="180"/>
        <v>13.024597999999999</v>
      </c>
      <c r="K585" s="421">
        <f t="shared" si="181"/>
        <v>15.47</v>
      </c>
      <c r="L585" s="647" t="s">
        <v>19</v>
      </c>
      <c r="M585" s="576"/>
      <c r="N585" s="576">
        <f t="shared" si="165"/>
        <v>0</v>
      </c>
      <c r="O585" s="577">
        <f t="shared" si="174"/>
        <v>0</v>
      </c>
      <c r="P585" s="578">
        <f t="shared" si="175"/>
        <v>0</v>
      </c>
      <c r="Q585" s="765"/>
      <c r="R585" s="576">
        <f t="shared" si="176"/>
        <v>0</v>
      </c>
      <c r="S585" s="576">
        <f t="shared" si="167"/>
        <v>0</v>
      </c>
      <c r="T585" s="577">
        <f t="shared" si="172"/>
        <v>0</v>
      </c>
      <c r="U585" s="578">
        <f t="shared" si="173"/>
        <v>0</v>
      </c>
      <c r="V585" s="579"/>
      <c r="W585" s="566"/>
      <c r="X585" s="586" t="str">
        <f t="shared" si="170"/>
        <v/>
      </c>
      <c r="Y585" s="586" t="str">
        <f t="shared" si="143"/>
        <v/>
      </c>
      <c r="Z585" s="586" t="str">
        <f t="shared" si="147"/>
        <v/>
      </c>
    </row>
    <row r="586" spans="1:26" hidden="1" x14ac:dyDescent="0.2">
      <c r="A586" s="567">
        <v>810250</v>
      </c>
      <c r="B586" s="644" t="s">
        <v>1586</v>
      </c>
      <c r="C586" s="645" t="s">
        <v>206</v>
      </c>
      <c r="D586" s="422" t="s">
        <v>490</v>
      </c>
      <c r="E586" s="423"/>
      <c r="F586" s="424">
        <v>10</v>
      </c>
      <c r="G586" s="425">
        <f>ROUND(0.014*2.34,4)</f>
        <v>3.2800000000000003E-2</v>
      </c>
      <c r="H586" s="663">
        <f t="shared" si="179"/>
        <v>0.43886400000000009</v>
      </c>
      <c r="I586" s="420">
        <v>15.770599499999998</v>
      </c>
      <c r="J586" s="420">
        <f t="shared" si="180"/>
        <v>16.209463499999998</v>
      </c>
      <c r="K586" s="421">
        <f t="shared" si="181"/>
        <v>19.260000000000002</v>
      </c>
      <c r="L586" s="647" t="s">
        <v>19</v>
      </c>
      <c r="M586" s="576"/>
      <c r="N586" s="576">
        <f t="shared" si="165"/>
        <v>0</v>
      </c>
      <c r="O586" s="577">
        <f t="shared" si="174"/>
        <v>0</v>
      </c>
      <c r="P586" s="578">
        <f t="shared" si="175"/>
        <v>0</v>
      </c>
      <c r="Q586" s="765"/>
      <c r="R586" s="576">
        <f t="shared" si="176"/>
        <v>0</v>
      </c>
      <c r="S586" s="576">
        <f t="shared" si="167"/>
        <v>0</v>
      </c>
      <c r="T586" s="577">
        <f t="shared" si="172"/>
        <v>0</v>
      </c>
      <c r="U586" s="578">
        <f t="shared" si="173"/>
        <v>0</v>
      </c>
      <c r="V586" s="579"/>
      <c r="W586" s="566"/>
      <c r="X586" s="586" t="str">
        <f t="shared" si="170"/>
        <v/>
      </c>
      <c r="Y586" s="586" t="str">
        <f t="shared" si="143"/>
        <v/>
      </c>
      <c r="Z586" s="586" t="str">
        <f t="shared" si="147"/>
        <v/>
      </c>
    </row>
    <row r="587" spans="1:26" hidden="1" x14ac:dyDescent="0.2">
      <c r="A587" s="567" t="s">
        <v>2063</v>
      </c>
      <c r="B587" s="644" t="s">
        <v>1587</v>
      </c>
      <c r="C587" s="645" t="s">
        <v>484</v>
      </c>
      <c r="D587" s="422" t="s">
        <v>491</v>
      </c>
      <c r="E587" s="423"/>
      <c r="F587" s="424">
        <v>10</v>
      </c>
      <c r="G587" s="425">
        <f>ROUND(0.012*1.8,4)</f>
        <v>2.1600000000000001E-2</v>
      </c>
      <c r="H587" s="663">
        <f t="shared" si="179"/>
        <v>0.28900800000000004</v>
      </c>
      <c r="I587" s="420">
        <v>41.73</v>
      </c>
      <c r="J587" s="420">
        <f t="shared" si="180"/>
        <v>42.019007999999999</v>
      </c>
      <c r="K587" s="421">
        <f t="shared" si="181"/>
        <v>49.92</v>
      </c>
      <c r="L587" s="647" t="s">
        <v>19</v>
      </c>
      <c r="M587" s="576"/>
      <c r="N587" s="576">
        <f t="shared" si="165"/>
        <v>0</v>
      </c>
      <c r="O587" s="577">
        <f t="shared" si="174"/>
        <v>0</v>
      </c>
      <c r="P587" s="578">
        <f t="shared" si="175"/>
        <v>0</v>
      </c>
      <c r="Q587" s="765"/>
      <c r="R587" s="576">
        <f t="shared" si="176"/>
        <v>0</v>
      </c>
      <c r="S587" s="576">
        <f t="shared" si="167"/>
        <v>0</v>
      </c>
      <c r="T587" s="577">
        <f t="shared" si="172"/>
        <v>0</v>
      </c>
      <c r="U587" s="578">
        <f t="shared" si="173"/>
        <v>0</v>
      </c>
      <c r="V587" s="579"/>
      <c r="W587" s="566"/>
      <c r="X587" s="586" t="str">
        <f t="shared" si="170"/>
        <v/>
      </c>
      <c r="Y587" s="586" t="str">
        <f t="shared" si="143"/>
        <v/>
      </c>
      <c r="Z587" s="586" t="str">
        <f t="shared" si="147"/>
        <v/>
      </c>
    </row>
    <row r="588" spans="1:26" hidden="1" x14ac:dyDescent="0.2">
      <c r="A588" s="567">
        <v>606700</v>
      </c>
      <c r="B588" s="644" t="s">
        <v>1804</v>
      </c>
      <c r="C588" s="645" t="s">
        <v>206</v>
      </c>
      <c r="D588" s="422" t="s">
        <v>273</v>
      </c>
      <c r="E588" s="423"/>
      <c r="F588" s="424">
        <v>0</v>
      </c>
      <c r="G588" s="425"/>
      <c r="H588" s="651">
        <f t="shared" ref="H588:H589" si="182">IF(F588&lt;=30,(0.87*F588+2.18)*G588,((0.87*30+2.18)+0.87*(F588-30))*G588)</f>
        <v>0</v>
      </c>
      <c r="I588" s="420">
        <v>143.94</v>
      </c>
      <c r="J588" s="420">
        <f t="shared" si="180"/>
        <v>143.94</v>
      </c>
      <c r="K588" s="421">
        <f t="shared" si="181"/>
        <v>171.02</v>
      </c>
      <c r="L588" s="647" t="s">
        <v>16</v>
      </c>
      <c r="M588" s="576"/>
      <c r="N588" s="576">
        <f t="shared" si="165"/>
        <v>0</v>
      </c>
      <c r="O588" s="577">
        <f t="shared" si="174"/>
        <v>0</v>
      </c>
      <c r="P588" s="578">
        <f t="shared" si="175"/>
        <v>0</v>
      </c>
      <c r="Q588" s="765"/>
      <c r="R588" s="576">
        <f t="shared" si="176"/>
        <v>0</v>
      </c>
      <c r="S588" s="576">
        <f t="shared" si="167"/>
        <v>0</v>
      </c>
      <c r="T588" s="577">
        <f t="shared" si="172"/>
        <v>0</v>
      </c>
      <c r="U588" s="578">
        <f t="shared" si="173"/>
        <v>0</v>
      </c>
      <c r="V588" s="579"/>
      <c r="W588" s="566"/>
      <c r="X588" s="586" t="str">
        <f t="shared" si="170"/>
        <v/>
      </c>
      <c r="Y588" s="586" t="str">
        <f t="shared" si="143"/>
        <v/>
      </c>
      <c r="Z588" s="586" t="str">
        <f t="shared" si="147"/>
        <v/>
      </c>
    </row>
    <row r="589" spans="1:26" hidden="1" x14ac:dyDescent="0.2">
      <c r="A589" s="567">
        <v>606600</v>
      </c>
      <c r="B589" s="644" t="s">
        <v>1805</v>
      </c>
      <c r="C589" s="645" t="s">
        <v>206</v>
      </c>
      <c r="D589" s="422" t="s">
        <v>820</v>
      </c>
      <c r="E589" s="423"/>
      <c r="F589" s="424">
        <v>0</v>
      </c>
      <c r="G589" s="425"/>
      <c r="H589" s="651">
        <f t="shared" si="182"/>
        <v>0</v>
      </c>
      <c r="I589" s="420">
        <v>300.33999999999997</v>
      </c>
      <c r="J589" s="420">
        <f t="shared" si="180"/>
        <v>300.33999999999997</v>
      </c>
      <c r="K589" s="421">
        <f t="shared" si="181"/>
        <v>356.83</v>
      </c>
      <c r="L589" s="647" t="s">
        <v>16</v>
      </c>
      <c r="M589" s="576"/>
      <c r="N589" s="576">
        <f t="shared" si="165"/>
        <v>0</v>
      </c>
      <c r="O589" s="577">
        <f t="shared" si="174"/>
        <v>0</v>
      </c>
      <c r="P589" s="578">
        <f t="shared" si="175"/>
        <v>0</v>
      </c>
      <c r="Q589" s="765"/>
      <c r="R589" s="576">
        <f t="shared" si="176"/>
        <v>0</v>
      </c>
      <c r="S589" s="576">
        <f t="shared" si="167"/>
        <v>0</v>
      </c>
      <c r="T589" s="577">
        <f t="shared" si="172"/>
        <v>0</v>
      </c>
      <c r="U589" s="578">
        <f t="shared" si="173"/>
        <v>0</v>
      </c>
      <c r="V589" s="579"/>
      <c r="W589" s="566"/>
      <c r="X589" s="586" t="str">
        <f t="shared" si="170"/>
        <v/>
      </c>
      <c r="Y589" s="586" t="str">
        <f t="shared" si="143"/>
        <v/>
      </c>
      <c r="Z589" s="586" t="str">
        <f t="shared" si="147"/>
        <v/>
      </c>
    </row>
    <row r="590" spans="1:26" x14ac:dyDescent="0.2">
      <c r="A590" s="671">
        <v>100576</v>
      </c>
      <c r="B590" s="644" t="s">
        <v>1806</v>
      </c>
      <c r="C590" s="645" t="s">
        <v>670</v>
      </c>
      <c r="D590" s="422" t="s">
        <v>205</v>
      </c>
      <c r="E590" s="423"/>
      <c r="F590" s="418">
        <v>0</v>
      </c>
      <c r="G590" s="425"/>
      <c r="H590" s="651">
        <f>IF(F590&lt;=30,(0.62*F590+6.29)*G590,((0.62*30+6.29)+0.62*(F590-30))*G590)</f>
        <v>0</v>
      </c>
      <c r="I590" s="420">
        <v>2.4300000000000002</v>
      </c>
      <c r="J590" s="420">
        <f t="shared" si="180"/>
        <v>2.4300000000000002</v>
      </c>
      <c r="K590" s="421">
        <f t="shared" si="181"/>
        <v>2.89</v>
      </c>
      <c r="L590" s="647" t="s">
        <v>18</v>
      </c>
      <c r="M590" s="576">
        <v>444</v>
      </c>
      <c r="N590" s="576">
        <f t="shared" si="165"/>
        <v>2.89</v>
      </c>
      <c r="O590" s="577">
        <f t="shared" si="174"/>
        <v>1283.1600000000001</v>
      </c>
      <c r="P590" s="578">
        <f t="shared" si="175"/>
        <v>1283.1600000000001</v>
      </c>
      <c r="Q590" s="765"/>
      <c r="R590" s="576">
        <f t="shared" si="176"/>
        <v>444</v>
      </c>
      <c r="S590" s="576">
        <f t="shared" si="167"/>
        <v>2.89</v>
      </c>
      <c r="T590" s="577">
        <f t="shared" si="172"/>
        <v>1283.1600000000001</v>
      </c>
      <c r="U590" s="578">
        <f t="shared" si="173"/>
        <v>1283.1600000000001</v>
      </c>
      <c r="V590" s="579"/>
      <c r="W590" s="566"/>
      <c r="X590" s="586" t="str">
        <f t="shared" si="170"/>
        <v>x</v>
      </c>
      <c r="Y590" s="586" t="str">
        <f t="shared" si="143"/>
        <v>x</v>
      </c>
      <c r="Z590" s="586" t="str">
        <f t="shared" ref="Z590:Z656" si="183">IF(W590="X","x",IF(U590&gt;0,"x",""))</f>
        <v>x</v>
      </c>
    </row>
    <row r="591" spans="1:26" hidden="1" x14ac:dyDescent="0.2">
      <c r="A591" s="567">
        <v>532500</v>
      </c>
      <c r="B591" s="644" t="s">
        <v>1807</v>
      </c>
      <c r="C591" s="645" t="s">
        <v>206</v>
      </c>
      <c r="D591" s="451" t="s">
        <v>340</v>
      </c>
      <c r="E591" s="423"/>
      <c r="F591" s="424">
        <v>20</v>
      </c>
      <c r="G591" s="425">
        <v>1.7250000000000001</v>
      </c>
      <c r="H591" s="663">
        <f t="shared" ref="H591:H592" si="184">IF(F591&lt;=30,(1.07*F591+2.68)*G591,((1.07*30+2.68)+1.07*(F591-30))*G591)</f>
        <v>41.538000000000004</v>
      </c>
      <c r="I591" s="420">
        <v>97.26</v>
      </c>
      <c r="J591" s="420">
        <f t="shared" si="180"/>
        <v>138.798</v>
      </c>
      <c r="K591" s="421">
        <f t="shared" si="181"/>
        <v>164.91</v>
      </c>
      <c r="L591" s="647" t="s">
        <v>16</v>
      </c>
      <c r="M591" s="576"/>
      <c r="N591" s="576">
        <f t="shared" si="165"/>
        <v>0</v>
      </c>
      <c r="O591" s="577">
        <f t="shared" si="174"/>
        <v>0</v>
      </c>
      <c r="P591" s="578">
        <f t="shared" si="175"/>
        <v>0</v>
      </c>
      <c r="Q591" s="765"/>
      <c r="R591" s="576">
        <f t="shared" si="176"/>
        <v>0</v>
      </c>
      <c r="S591" s="576">
        <f t="shared" si="167"/>
        <v>0</v>
      </c>
      <c r="T591" s="577">
        <f t="shared" si="172"/>
        <v>0</v>
      </c>
      <c r="U591" s="578">
        <f t="shared" si="173"/>
        <v>0</v>
      </c>
      <c r="V591" s="579"/>
      <c r="W591" s="566"/>
      <c r="X591" s="586" t="str">
        <f t="shared" si="170"/>
        <v/>
      </c>
      <c r="Y591" s="586" t="str">
        <f t="shared" si="143"/>
        <v/>
      </c>
      <c r="Z591" s="586" t="str">
        <f t="shared" si="183"/>
        <v/>
      </c>
    </row>
    <row r="592" spans="1:26" ht="14.45" customHeight="1" x14ac:dyDescent="0.2">
      <c r="A592" s="567">
        <v>603900</v>
      </c>
      <c r="B592" s="644" t="s">
        <v>1808</v>
      </c>
      <c r="C592" s="645" t="s">
        <v>206</v>
      </c>
      <c r="D592" s="451" t="s">
        <v>341</v>
      </c>
      <c r="E592" s="423"/>
      <c r="F592" s="805">
        <v>20</v>
      </c>
      <c r="G592" s="425">
        <v>1.5</v>
      </c>
      <c r="H592" s="663">
        <f t="shared" si="184"/>
        <v>36.120000000000005</v>
      </c>
      <c r="I592" s="420">
        <v>124.3</v>
      </c>
      <c r="J592" s="420">
        <f t="shared" si="180"/>
        <v>160.42000000000002</v>
      </c>
      <c r="K592" s="421">
        <f t="shared" si="181"/>
        <v>190.6</v>
      </c>
      <c r="L592" s="647" t="s">
        <v>16</v>
      </c>
      <c r="M592" s="576">
        <f>M590*0.03</f>
        <v>13.32</v>
      </c>
      <c r="N592" s="576">
        <f t="shared" si="165"/>
        <v>190.6</v>
      </c>
      <c r="O592" s="577">
        <f t="shared" si="174"/>
        <v>2538.79</v>
      </c>
      <c r="P592" s="578">
        <f t="shared" si="175"/>
        <v>2538.79</v>
      </c>
      <c r="Q592" s="765"/>
      <c r="R592" s="576">
        <f t="shared" si="176"/>
        <v>13.32</v>
      </c>
      <c r="S592" s="576">
        <f t="shared" si="167"/>
        <v>190.6</v>
      </c>
      <c r="T592" s="577">
        <f t="shared" si="172"/>
        <v>2538.79</v>
      </c>
      <c r="U592" s="578">
        <f t="shared" si="173"/>
        <v>2538.79</v>
      </c>
      <c r="V592" s="579"/>
      <c r="W592" s="566"/>
      <c r="X592" s="586" t="str">
        <f t="shared" si="170"/>
        <v>x</v>
      </c>
      <c r="Y592" s="586" t="str">
        <f t="shared" si="143"/>
        <v>x</v>
      </c>
      <c r="Z592" s="586" t="str">
        <f t="shared" si="183"/>
        <v>x</v>
      </c>
    </row>
    <row r="593" spans="1:26" hidden="1" x14ac:dyDescent="0.2">
      <c r="A593" s="567">
        <v>605000</v>
      </c>
      <c r="B593" s="644" t="s">
        <v>1809</v>
      </c>
      <c r="C593" s="645" t="s">
        <v>206</v>
      </c>
      <c r="D593" s="422" t="s">
        <v>274</v>
      </c>
      <c r="E593" s="423"/>
      <c r="F593" s="424"/>
      <c r="G593" s="425"/>
      <c r="H593" s="651">
        <f>SUM(H594:H596)</f>
        <v>305.33319999999998</v>
      </c>
      <c r="I593" s="420">
        <v>408.95</v>
      </c>
      <c r="J593" s="420">
        <f t="shared" si="180"/>
        <v>714.28319999999997</v>
      </c>
      <c r="K593" s="421">
        <f t="shared" si="181"/>
        <v>848.64</v>
      </c>
      <c r="L593" s="647" t="s">
        <v>16</v>
      </c>
      <c r="M593" s="576"/>
      <c r="N593" s="576">
        <f t="shared" si="165"/>
        <v>0</v>
      </c>
      <c r="O593" s="577">
        <f t="shared" si="174"/>
        <v>0</v>
      </c>
      <c r="P593" s="578">
        <f t="shared" si="175"/>
        <v>0</v>
      </c>
      <c r="Q593" s="765"/>
      <c r="R593" s="576">
        <f t="shared" si="176"/>
        <v>0</v>
      </c>
      <c r="S593" s="576">
        <f t="shared" si="167"/>
        <v>0</v>
      </c>
      <c r="T593" s="577">
        <f t="shared" si="172"/>
        <v>0</v>
      </c>
      <c r="U593" s="578">
        <f t="shared" si="173"/>
        <v>0</v>
      </c>
      <c r="V593" s="579"/>
      <c r="W593" s="566"/>
      <c r="X593" s="586" t="str">
        <f t="shared" si="170"/>
        <v/>
      </c>
      <c r="Y593" s="586" t="str">
        <f t="shared" si="143"/>
        <v/>
      </c>
      <c r="Z593" s="586" t="str">
        <f t="shared" si="183"/>
        <v/>
      </c>
    </row>
    <row r="594" spans="1:26" hidden="1" x14ac:dyDescent="0.2">
      <c r="A594" s="567" t="s">
        <v>168</v>
      </c>
      <c r="B594" s="644" t="s">
        <v>168</v>
      </c>
      <c r="C594" s="645"/>
      <c r="D594" s="451" t="s">
        <v>212</v>
      </c>
      <c r="E594" s="423"/>
      <c r="F594" s="424">
        <v>500</v>
      </c>
      <c r="G594" s="425">
        <v>0.18</v>
      </c>
      <c r="H594" s="649">
        <f>IF(F594&lt;=30,(0.78*F594+7.82)*G594,((0.78*30+7.82)+0.78*(F594-30))*G594)</f>
        <v>71.607600000000005</v>
      </c>
      <c r="I594" s="420">
        <v>0</v>
      </c>
      <c r="J594" s="420"/>
      <c r="K594" s="421">
        <f t="shared" si="181"/>
        <v>0</v>
      </c>
      <c r="L594" s="668" t="s">
        <v>614</v>
      </c>
      <c r="M594" s="669"/>
      <c r="N594" s="576">
        <f t="shared" si="165"/>
        <v>0</v>
      </c>
      <c r="O594" s="577">
        <f t="shared" si="174"/>
        <v>0</v>
      </c>
      <c r="P594" s="578">
        <f t="shared" si="175"/>
        <v>0</v>
      </c>
      <c r="Q594" s="765"/>
      <c r="R594" s="669"/>
      <c r="S594" s="670"/>
      <c r="T594" s="577">
        <f t="shared" si="172"/>
        <v>0</v>
      </c>
      <c r="U594" s="578">
        <f t="shared" si="173"/>
        <v>0</v>
      </c>
      <c r="V594" s="579"/>
      <c r="W594" s="637" t="str">
        <f>IF(U593&gt;0,"xx",IF(P593&gt;0,"xy",""))</f>
        <v/>
      </c>
      <c r="X594" s="586" t="str">
        <f t="shared" si="170"/>
        <v/>
      </c>
      <c r="Y594" s="586" t="str">
        <f t="shared" si="143"/>
        <v/>
      </c>
      <c r="Z594" s="586" t="str">
        <f t="shared" si="183"/>
        <v/>
      </c>
    </row>
    <row r="595" spans="1:26" hidden="1" x14ac:dyDescent="0.2">
      <c r="A595" s="567" t="s">
        <v>168</v>
      </c>
      <c r="B595" s="644" t="s">
        <v>168</v>
      </c>
      <c r="C595" s="645"/>
      <c r="D595" s="451" t="s">
        <v>248</v>
      </c>
      <c r="E595" s="423"/>
      <c r="F595" s="424">
        <v>180</v>
      </c>
      <c r="G595" s="425">
        <v>1.06</v>
      </c>
      <c r="H595" s="663">
        <f t="shared" ref="H595:H600" si="185">IF(F595&lt;=30,(1.07*F595+2.68)*G595,((1.07*30+2.68)+1.07*(F595-30))*G595)</f>
        <v>206.99680000000001</v>
      </c>
      <c r="I595" s="420">
        <v>0</v>
      </c>
      <c r="J595" s="420"/>
      <c r="K595" s="421">
        <f t="shared" si="181"/>
        <v>0</v>
      </c>
      <c r="L595" s="668" t="s">
        <v>614</v>
      </c>
      <c r="M595" s="669"/>
      <c r="N595" s="576">
        <f t="shared" si="165"/>
        <v>0</v>
      </c>
      <c r="O595" s="577">
        <f t="shared" si="174"/>
        <v>0</v>
      </c>
      <c r="P595" s="578">
        <f t="shared" si="175"/>
        <v>0</v>
      </c>
      <c r="Q595" s="765"/>
      <c r="R595" s="669"/>
      <c r="S595" s="670"/>
      <c r="T595" s="577">
        <f t="shared" si="172"/>
        <v>0</v>
      </c>
      <c r="U595" s="578">
        <f t="shared" si="173"/>
        <v>0</v>
      </c>
      <c r="V595" s="579"/>
      <c r="W595" s="637" t="str">
        <f>IF(U593&gt;0,"xx",IF(P593&gt;0,"xy",""))</f>
        <v/>
      </c>
      <c r="X595" s="586" t="str">
        <f t="shared" si="170"/>
        <v/>
      </c>
      <c r="Y595" s="586" t="str">
        <f t="shared" si="143"/>
        <v/>
      </c>
      <c r="Z595" s="586" t="str">
        <f t="shared" si="183"/>
        <v/>
      </c>
    </row>
    <row r="596" spans="1:26" hidden="1" x14ac:dyDescent="0.2">
      <c r="A596" s="567" t="s">
        <v>168</v>
      </c>
      <c r="B596" s="644" t="s">
        <v>168</v>
      </c>
      <c r="C596" s="645"/>
      <c r="D596" s="451" t="s">
        <v>252</v>
      </c>
      <c r="E596" s="423"/>
      <c r="F596" s="424">
        <v>20</v>
      </c>
      <c r="G596" s="425">
        <v>1.1100000000000001</v>
      </c>
      <c r="H596" s="663">
        <f t="shared" si="185"/>
        <v>26.728800000000003</v>
      </c>
      <c r="I596" s="420">
        <v>0</v>
      </c>
      <c r="J596" s="420"/>
      <c r="K596" s="421">
        <f t="shared" si="181"/>
        <v>0</v>
      </c>
      <c r="L596" s="668" t="s">
        <v>614</v>
      </c>
      <c r="M596" s="669"/>
      <c r="N596" s="576">
        <f t="shared" ref="N596:N659" si="186">IF(M596=0,0,K596)</f>
        <v>0</v>
      </c>
      <c r="O596" s="577">
        <f t="shared" si="174"/>
        <v>0</v>
      </c>
      <c r="P596" s="578">
        <f t="shared" si="175"/>
        <v>0</v>
      </c>
      <c r="Q596" s="765"/>
      <c r="R596" s="669"/>
      <c r="S596" s="670"/>
      <c r="T596" s="577">
        <f t="shared" si="172"/>
        <v>0</v>
      </c>
      <c r="U596" s="578">
        <f t="shared" si="173"/>
        <v>0</v>
      </c>
      <c r="V596" s="579"/>
      <c r="W596" s="637" t="str">
        <f>IF(U593&gt;0,"xx",IF(P593&gt;0,"xy",""))</f>
        <v/>
      </c>
      <c r="X596" s="586" t="str">
        <f t="shared" si="170"/>
        <v/>
      </c>
      <c r="Y596" s="586" t="str">
        <f t="shared" si="143"/>
        <v/>
      </c>
      <c r="Z596" s="586" t="str">
        <f t="shared" si="183"/>
        <v/>
      </c>
    </row>
    <row r="597" spans="1:26" hidden="1" x14ac:dyDescent="0.2">
      <c r="A597" s="567">
        <v>400500</v>
      </c>
      <c r="B597" s="644" t="s">
        <v>1612</v>
      </c>
      <c r="C597" s="645" t="s">
        <v>206</v>
      </c>
      <c r="D597" s="422" t="s">
        <v>1608</v>
      </c>
      <c r="E597" s="423"/>
      <c r="F597" s="424">
        <v>20</v>
      </c>
      <c r="G597" s="425">
        <v>1.73</v>
      </c>
      <c r="H597" s="663">
        <f t="shared" si="185"/>
        <v>41.6584</v>
      </c>
      <c r="I597" s="420">
        <v>80.100000000000009</v>
      </c>
      <c r="J597" s="420">
        <f t="shared" ref="J597:J617" si="187">IF(ISBLANK(I597),"",SUM(H597:I597))</f>
        <v>121.75840000000001</v>
      </c>
      <c r="K597" s="421">
        <f t="shared" si="181"/>
        <v>144.66</v>
      </c>
      <c r="L597" s="647" t="s">
        <v>16</v>
      </c>
      <c r="M597" s="576"/>
      <c r="N597" s="576">
        <f t="shared" si="186"/>
        <v>0</v>
      </c>
      <c r="O597" s="577">
        <f t="shared" si="174"/>
        <v>0</v>
      </c>
      <c r="P597" s="578">
        <f t="shared" si="175"/>
        <v>0</v>
      </c>
      <c r="Q597" s="765"/>
      <c r="R597" s="576">
        <f t="shared" ref="R597:S609" si="188">M597</f>
        <v>0</v>
      </c>
      <c r="S597" s="576">
        <f t="shared" si="188"/>
        <v>0</v>
      </c>
      <c r="T597" s="577">
        <f t="shared" si="172"/>
        <v>0</v>
      </c>
      <c r="U597" s="578">
        <f t="shared" si="173"/>
        <v>0</v>
      </c>
      <c r="V597" s="579"/>
      <c r="W597" s="566"/>
      <c r="X597" s="586" t="str">
        <f t="shared" si="170"/>
        <v/>
      </c>
      <c r="Y597" s="586" t="str">
        <f t="shared" si="143"/>
        <v/>
      </c>
      <c r="Z597" s="586" t="str">
        <f t="shared" si="183"/>
        <v/>
      </c>
    </row>
    <row r="598" spans="1:26" hidden="1" x14ac:dyDescent="0.2">
      <c r="A598" s="567">
        <v>532500</v>
      </c>
      <c r="B598" s="644" t="s">
        <v>1605</v>
      </c>
      <c r="C598" s="645" t="s">
        <v>206</v>
      </c>
      <c r="D598" s="422" t="s">
        <v>1609</v>
      </c>
      <c r="E598" s="423"/>
      <c r="F598" s="424">
        <v>20</v>
      </c>
      <c r="G598" s="425">
        <v>1.7250000000000001</v>
      </c>
      <c r="H598" s="663">
        <f t="shared" si="185"/>
        <v>41.538000000000004</v>
      </c>
      <c r="I598" s="420">
        <v>97.26</v>
      </c>
      <c r="J598" s="420">
        <f t="shared" si="187"/>
        <v>138.798</v>
      </c>
      <c r="K598" s="421">
        <f t="shared" si="181"/>
        <v>164.91</v>
      </c>
      <c r="L598" s="647" t="s">
        <v>16</v>
      </c>
      <c r="M598" s="576"/>
      <c r="N598" s="576">
        <f t="shared" si="186"/>
        <v>0</v>
      </c>
      <c r="O598" s="577">
        <f t="shared" si="174"/>
        <v>0</v>
      </c>
      <c r="P598" s="578">
        <f t="shared" si="175"/>
        <v>0</v>
      </c>
      <c r="Q598" s="765"/>
      <c r="R598" s="576">
        <f t="shared" si="188"/>
        <v>0</v>
      </c>
      <c r="S598" s="576">
        <f t="shared" si="188"/>
        <v>0</v>
      </c>
      <c r="T598" s="577">
        <f t="shared" si="172"/>
        <v>0</v>
      </c>
      <c r="U598" s="578">
        <f t="shared" si="173"/>
        <v>0</v>
      </c>
      <c r="V598" s="579"/>
      <c r="W598" s="566"/>
      <c r="X598" s="586" t="str">
        <f t="shared" si="170"/>
        <v/>
      </c>
      <c r="Y598" s="586" t="str">
        <f t="shared" si="143"/>
        <v/>
      </c>
      <c r="Z598" s="586" t="str">
        <f t="shared" si="183"/>
        <v/>
      </c>
    </row>
    <row r="599" spans="1:26" hidden="1" x14ac:dyDescent="0.2">
      <c r="A599" s="567">
        <v>532600</v>
      </c>
      <c r="B599" s="644" t="s">
        <v>1537</v>
      </c>
      <c r="C599" s="645" t="s">
        <v>206</v>
      </c>
      <c r="D599" s="422" t="s">
        <v>1610</v>
      </c>
      <c r="E599" s="423"/>
      <c r="F599" s="418">
        <v>15</v>
      </c>
      <c r="G599" s="425">
        <f>ROUND(1.5*1.5,4)</f>
        <v>2.25</v>
      </c>
      <c r="H599" s="663">
        <f t="shared" si="185"/>
        <v>42.142499999999998</v>
      </c>
      <c r="I599" s="420">
        <v>15.533333333333335</v>
      </c>
      <c r="J599" s="420">
        <f t="shared" si="187"/>
        <v>57.67583333333333</v>
      </c>
      <c r="K599" s="421">
        <f t="shared" si="181"/>
        <v>68.52</v>
      </c>
      <c r="L599" s="647" t="s">
        <v>16</v>
      </c>
      <c r="M599" s="576"/>
      <c r="N599" s="576">
        <f t="shared" si="186"/>
        <v>0</v>
      </c>
      <c r="O599" s="577">
        <f t="shared" si="174"/>
        <v>0</v>
      </c>
      <c r="P599" s="578">
        <f t="shared" si="175"/>
        <v>0</v>
      </c>
      <c r="Q599" s="765"/>
      <c r="R599" s="576">
        <f t="shared" si="188"/>
        <v>0</v>
      </c>
      <c r="S599" s="576">
        <f t="shared" si="188"/>
        <v>0</v>
      </c>
      <c r="T599" s="577">
        <f t="shared" si="172"/>
        <v>0</v>
      </c>
      <c r="U599" s="578">
        <f t="shared" si="173"/>
        <v>0</v>
      </c>
      <c r="V599" s="579"/>
      <c r="W599" s="566"/>
      <c r="X599" s="586" t="str">
        <f t="shared" si="170"/>
        <v/>
      </c>
      <c r="Y599" s="586" t="str">
        <f t="shared" si="143"/>
        <v/>
      </c>
      <c r="Z599" s="586" t="str">
        <f t="shared" si="183"/>
        <v/>
      </c>
    </row>
    <row r="600" spans="1:26" hidden="1" x14ac:dyDescent="0.2">
      <c r="A600" s="567">
        <v>603900</v>
      </c>
      <c r="B600" s="644" t="s">
        <v>1613</v>
      </c>
      <c r="C600" s="645" t="s">
        <v>206</v>
      </c>
      <c r="D600" s="422" t="s">
        <v>1611</v>
      </c>
      <c r="E600" s="423"/>
      <c r="F600" s="424">
        <v>20</v>
      </c>
      <c r="G600" s="425">
        <v>1.5</v>
      </c>
      <c r="H600" s="663">
        <f t="shared" si="185"/>
        <v>36.120000000000005</v>
      </c>
      <c r="I600" s="420">
        <v>124.3</v>
      </c>
      <c r="J600" s="420">
        <f t="shared" si="187"/>
        <v>160.42000000000002</v>
      </c>
      <c r="K600" s="421">
        <f t="shared" si="181"/>
        <v>190.6</v>
      </c>
      <c r="L600" s="647" t="s">
        <v>16</v>
      </c>
      <c r="M600" s="576"/>
      <c r="N600" s="576">
        <f t="shared" si="186"/>
        <v>0</v>
      </c>
      <c r="O600" s="577">
        <f t="shared" si="174"/>
        <v>0</v>
      </c>
      <c r="P600" s="578">
        <f t="shared" si="175"/>
        <v>0</v>
      </c>
      <c r="Q600" s="765"/>
      <c r="R600" s="576">
        <f t="shared" si="188"/>
        <v>0</v>
      </c>
      <c r="S600" s="576">
        <f t="shared" si="188"/>
        <v>0</v>
      </c>
      <c r="T600" s="577">
        <f t="shared" si="172"/>
        <v>0</v>
      </c>
      <c r="U600" s="578">
        <f t="shared" si="173"/>
        <v>0</v>
      </c>
      <c r="V600" s="579"/>
      <c r="W600" s="566"/>
      <c r="X600" s="586" t="str">
        <f t="shared" si="170"/>
        <v/>
      </c>
      <c r="Y600" s="586" t="str">
        <f t="shared" ref="Y600:Y866" si="189">IF(W600="X","x",IF(W600="y","x",IF(W600="xx","x",IF(U600&gt;0,"x",""))))</f>
        <v/>
      </c>
      <c r="Z600" s="586" t="str">
        <f t="shared" si="183"/>
        <v/>
      </c>
    </row>
    <row r="601" spans="1:26" hidden="1" x14ac:dyDescent="0.2">
      <c r="A601" s="567">
        <v>601100</v>
      </c>
      <c r="B601" s="644" t="s">
        <v>1626</v>
      </c>
      <c r="C601" s="645" t="s">
        <v>206</v>
      </c>
      <c r="D601" s="422" t="s">
        <v>275</v>
      </c>
      <c r="E601" s="423"/>
      <c r="F601" s="424"/>
      <c r="G601" s="425"/>
      <c r="H601" s="651">
        <f>IF(F601&lt;=30,(0.62*F601+6.29)*G601,((0.62*30+6.29)+0.62*(F601-30))*G601)</f>
        <v>0</v>
      </c>
      <c r="I601" s="420">
        <v>50.31</v>
      </c>
      <c r="J601" s="420">
        <f t="shared" si="187"/>
        <v>50.31</v>
      </c>
      <c r="K601" s="421">
        <f t="shared" si="181"/>
        <v>59.77</v>
      </c>
      <c r="L601" s="647" t="s">
        <v>16</v>
      </c>
      <c r="M601" s="576"/>
      <c r="N601" s="576">
        <f t="shared" si="186"/>
        <v>0</v>
      </c>
      <c r="O601" s="577">
        <f t="shared" si="174"/>
        <v>0</v>
      </c>
      <c r="P601" s="578">
        <f t="shared" si="175"/>
        <v>0</v>
      </c>
      <c r="Q601" s="765"/>
      <c r="R601" s="576">
        <f t="shared" si="176"/>
        <v>0</v>
      </c>
      <c r="S601" s="576">
        <f t="shared" si="188"/>
        <v>0</v>
      </c>
      <c r="T601" s="577">
        <f t="shared" si="172"/>
        <v>0</v>
      </c>
      <c r="U601" s="578">
        <f t="shared" si="173"/>
        <v>0</v>
      </c>
      <c r="V601" s="579"/>
      <c r="W601" s="566"/>
      <c r="X601" s="586" t="str">
        <f t="shared" si="170"/>
        <v/>
      </c>
      <c r="Y601" s="586" t="str">
        <f t="shared" si="189"/>
        <v/>
      </c>
      <c r="Z601" s="586" t="str">
        <f t="shared" si="183"/>
        <v/>
      </c>
    </row>
    <row r="602" spans="1:26" hidden="1" x14ac:dyDescent="0.2">
      <c r="A602" s="567">
        <v>602000</v>
      </c>
      <c r="B602" s="644" t="s">
        <v>2091</v>
      </c>
      <c r="C602" s="645" t="s">
        <v>206</v>
      </c>
      <c r="D602" s="422" t="s">
        <v>2092</v>
      </c>
      <c r="E602" s="423"/>
      <c r="F602" s="424"/>
      <c r="G602" s="425"/>
      <c r="H602" s="651">
        <f>IF(F602&lt;=30,(0.62*F602+6.29)*G602,((0.62*30+6.29)+0.62*(F602-30))*G602)</f>
        <v>0</v>
      </c>
      <c r="I602" s="420">
        <v>58.84</v>
      </c>
      <c r="J602" s="420">
        <f t="shared" si="187"/>
        <v>58.84</v>
      </c>
      <c r="K602" s="421">
        <f t="shared" si="181"/>
        <v>69.91</v>
      </c>
      <c r="L602" s="647" t="s">
        <v>18</v>
      </c>
      <c r="M602" s="576"/>
      <c r="N602" s="576">
        <f t="shared" si="186"/>
        <v>0</v>
      </c>
      <c r="O602" s="577">
        <f t="shared" si="174"/>
        <v>0</v>
      </c>
      <c r="P602" s="578">
        <f t="shared" si="175"/>
        <v>0</v>
      </c>
      <c r="Q602" s="765"/>
      <c r="R602" s="576">
        <f t="shared" si="176"/>
        <v>0</v>
      </c>
      <c r="S602" s="576">
        <f t="shared" si="188"/>
        <v>0</v>
      </c>
      <c r="T602" s="577">
        <f t="shared" si="172"/>
        <v>0</v>
      </c>
      <c r="U602" s="578">
        <f t="shared" si="173"/>
        <v>0</v>
      </c>
      <c r="V602" s="579"/>
      <c r="W602" s="566"/>
      <c r="X602" s="586" t="str">
        <f t="shared" si="170"/>
        <v/>
      </c>
      <c r="Y602" s="586" t="str">
        <f t="shared" si="189"/>
        <v/>
      </c>
      <c r="Z602" s="586" t="str">
        <f t="shared" si="183"/>
        <v/>
      </c>
    </row>
    <row r="603" spans="1:26" hidden="1" x14ac:dyDescent="0.2">
      <c r="A603" s="567">
        <v>603000</v>
      </c>
      <c r="B603" s="644" t="s">
        <v>1810</v>
      </c>
      <c r="C603" s="645" t="s">
        <v>206</v>
      </c>
      <c r="D603" s="422" t="s">
        <v>276</v>
      </c>
      <c r="E603" s="423"/>
      <c r="F603" s="424"/>
      <c r="G603" s="425"/>
      <c r="H603" s="651">
        <f>IF(F603&lt;=30,(0.62*F603+6.29)*G603,((0.62*30+6.29)+0.62*(F603-30))*G603)</f>
        <v>0</v>
      </c>
      <c r="I603" s="420">
        <v>17.84</v>
      </c>
      <c r="J603" s="420">
        <f t="shared" si="187"/>
        <v>17.84</v>
      </c>
      <c r="K603" s="421">
        <f t="shared" si="181"/>
        <v>21.2</v>
      </c>
      <c r="L603" s="647" t="s">
        <v>23</v>
      </c>
      <c r="M603" s="576"/>
      <c r="N603" s="576">
        <f t="shared" si="186"/>
        <v>0</v>
      </c>
      <c r="O603" s="577">
        <f t="shared" si="174"/>
        <v>0</v>
      </c>
      <c r="P603" s="578">
        <f t="shared" si="175"/>
        <v>0</v>
      </c>
      <c r="Q603" s="765"/>
      <c r="R603" s="576">
        <f t="shared" si="176"/>
        <v>0</v>
      </c>
      <c r="S603" s="576">
        <f t="shared" si="188"/>
        <v>0</v>
      </c>
      <c r="T603" s="577">
        <f t="shared" si="172"/>
        <v>0</v>
      </c>
      <c r="U603" s="578">
        <f t="shared" si="173"/>
        <v>0</v>
      </c>
      <c r="V603" s="579"/>
      <c r="W603" s="566"/>
      <c r="X603" s="586" t="str">
        <f t="shared" si="170"/>
        <v/>
      </c>
      <c r="Y603" s="586" t="str">
        <f t="shared" si="189"/>
        <v/>
      </c>
      <c r="Z603" s="586" t="str">
        <f t="shared" si="183"/>
        <v/>
      </c>
    </row>
    <row r="604" spans="1:26" hidden="1" x14ac:dyDescent="0.2">
      <c r="A604" s="567">
        <v>603300</v>
      </c>
      <c r="B604" s="644" t="s">
        <v>1811</v>
      </c>
      <c r="C604" s="645" t="s">
        <v>206</v>
      </c>
      <c r="D604" s="422" t="s">
        <v>277</v>
      </c>
      <c r="E604" s="423"/>
      <c r="F604" s="424"/>
      <c r="G604" s="425"/>
      <c r="H604" s="651">
        <f>IF(F604&lt;=30,(0.62*F604+6.29)*G604,((0.62*30+6.29)+0.62*(F604-30))*G604)</f>
        <v>0</v>
      </c>
      <c r="I604" s="420">
        <v>19.490000000000002</v>
      </c>
      <c r="J604" s="420">
        <f t="shared" si="187"/>
        <v>19.490000000000002</v>
      </c>
      <c r="K604" s="421">
        <f t="shared" si="181"/>
        <v>23.16</v>
      </c>
      <c r="L604" s="647" t="s">
        <v>23</v>
      </c>
      <c r="M604" s="576"/>
      <c r="N604" s="576">
        <f t="shared" si="186"/>
        <v>0</v>
      </c>
      <c r="O604" s="577">
        <f t="shared" si="174"/>
        <v>0</v>
      </c>
      <c r="P604" s="578">
        <f t="shared" si="175"/>
        <v>0</v>
      </c>
      <c r="Q604" s="765"/>
      <c r="R604" s="576">
        <f t="shared" si="176"/>
        <v>0</v>
      </c>
      <c r="S604" s="576">
        <f t="shared" si="188"/>
        <v>0</v>
      </c>
      <c r="T604" s="577">
        <f t="shared" si="172"/>
        <v>0</v>
      </c>
      <c r="U604" s="578">
        <f t="shared" si="173"/>
        <v>0</v>
      </c>
      <c r="V604" s="579"/>
      <c r="W604" s="566"/>
      <c r="X604" s="586" t="str">
        <f t="shared" si="170"/>
        <v/>
      </c>
      <c r="Y604" s="586" t="str">
        <f t="shared" si="189"/>
        <v/>
      </c>
      <c r="Z604" s="586" t="str">
        <f t="shared" si="183"/>
        <v/>
      </c>
    </row>
    <row r="605" spans="1:26" x14ac:dyDescent="0.2">
      <c r="A605" s="567">
        <v>605000</v>
      </c>
      <c r="B605" s="644" t="s">
        <v>1812</v>
      </c>
      <c r="C605" s="645" t="s">
        <v>206</v>
      </c>
      <c r="D605" s="422" t="s">
        <v>278</v>
      </c>
      <c r="E605" s="423"/>
      <c r="F605" s="424"/>
      <c r="G605" s="425"/>
      <c r="H605" s="651">
        <f>SUM(H606:H608)*0.05</f>
        <v>0.91282350000000001</v>
      </c>
      <c r="I605" s="420">
        <v>25.819500000000001</v>
      </c>
      <c r="J605" s="420">
        <f t="shared" si="187"/>
        <v>26.7323235</v>
      </c>
      <c r="K605" s="421">
        <f t="shared" si="181"/>
        <v>31.76</v>
      </c>
      <c r="L605" s="647" t="s">
        <v>18</v>
      </c>
      <c r="M605" s="576">
        <f>ROUND(M590-M748-(M742*5.94),2)</f>
        <v>334.36</v>
      </c>
      <c r="N605" s="576">
        <f t="shared" si="186"/>
        <v>31.76</v>
      </c>
      <c r="O605" s="577">
        <f t="shared" si="174"/>
        <v>10619.27</v>
      </c>
      <c r="P605" s="578">
        <f t="shared" si="175"/>
        <v>10619.27</v>
      </c>
      <c r="Q605" s="765"/>
      <c r="R605" s="576">
        <f t="shared" si="176"/>
        <v>334.36</v>
      </c>
      <c r="S605" s="576">
        <f t="shared" si="188"/>
        <v>31.76</v>
      </c>
      <c r="T605" s="577">
        <f t="shared" si="172"/>
        <v>10619.27</v>
      </c>
      <c r="U605" s="578">
        <f t="shared" si="173"/>
        <v>10619.27</v>
      </c>
      <c r="V605" s="579"/>
      <c r="W605" s="566"/>
      <c r="X605" s="586" t="str">
        <f t="shared" si="170"/>
        <v>x</v>
      </c>
      <c r="Y605" s="586" t="str">
        <f t="shared" si="189"/>
        <v>x</v>
      </c>
      <c r="Z605" s="586" t="str">
        <f t="shared" si="183"/>
        <v>x</v>
      </c>
    </row>
    <row r="606" spans="1:26" x14ac:dyDescent="0.2">
      <c r="A606" s="567" t="s">
        <v>168</v>
      </c>
      <c r="B606" s="644" t="s">
        <v>168</v>
      </c>
      <c r="C606" s="645"/>
      <c r="D606" s="451" t="s">
        <v>212</v>
      </c>
      <c r="E606" s="423"/>
      <c r="F606" s="805">
        <v>414</v>
      </c>
      <c r="G606" s="425">
        <f>ROUND(0.27*0.05,4)</f>
        <v>1.35E-2</v>
      </c>
      <c r="H606" s="649">
        <f>IF(F606&lt;=30,(0.78*F606+7.82)*G606,((0.78*30+7.82)+0.78*(F606-30))*G606)</f>
        <v>4.4649900000000002</v>
      </c>
      <c r="I606" s="420"/>
      <c r="J606" s="420" t="str">
        <f t="shared" si="187"/>
        <v/>
      </c>
      <c r="K606" s="421">
        <f t="shared" si="181"/>
        <v>0</v>
      </c>
      <c r="L606" s="668" t="s">
        <v>614</v>
      </c>
      <c r="M606" s="669"/>
      <c r="N606" s="576">
        <f t="shared" si="186"/>
        <v>0</v>
      </c>
      <c r="O606" s="577">
        <f t="shared" si="174"/>
        <v>0</v>
      </c>
      <c r="P606" s="578">
        <f t="shared" si="175"/>
        <v>0</v>
      </c>
      <c r="Q606" s="765"/>
      <c r="R606" s="669"/>
      <c r="S606" s="670"/>
      <c r="T606" s="577">
        <f t="shared" si="172"/>
        <v>0</v>
      </c>
      <c r="U606" s="578">
        <f t="shared" si="173"/>
        <v>0</v>
      </c>
      <c r="V606" s="579"/>
      <c r="W606" s="637" t="str">
        <f>IF(U605&gt;0,"xx",IF(P605&gt;0,"xy",""))</f>
        <v>xx</v>
      </c>
      <c r="X606" s="586" t="str">
        <f t="shared" si="170"/>
        <v>x</v>
      </c>
      <c r="Y606" s="586" t="str">
        <f t="shared" si="189"/>
        <v>x</v>
      </c>
      <c r="Z606" s="586" t="str">
        <f t="shared" si="183"/>
        <v/>
      </c>
    </row>
    <row r="607" spans="1:26" x14ac:dyDescent="0.2">
      <c r="A607" s="567" t="s">
        <v>168</v>
      </c>
      <c r="B607" s="644" t="s">
        <v>168</v>
      </c>
      <c r="C607" s="645"/>
      <c r="D607" s="451" t="s">
        <v>248</v>
      </c>
      <c r="E607" s="423"/>
      <c r="F607" s="805">
        <v>240</v>
      </c>
      <c r="G607" s="425">
        <f>ROUND(0.96*0.05,4)</f>
        <v>4.8000000000000001E-2</v>
      </c>
      <c r="H607" s="663">
        <f t="shared" ref="H607:H608" si="190">IF(F607&lt;=30,(1.07*F607+2.68)*G607,((1.07*30+2.68)+1.07*(F607-30))*G607)</f>
        <v>12.45504</v>
      </c>
      <c r="I607" s="420"/>
      <c r="J607" s="420" t="str">
        <f t="shared" si="187"/>
        <v/>
      </c>
      <c r="K607" s="421">
        <f t="shared" si="181"/>
        <v>0</v>
      </c>
      <c r="L607" s="668" t="s">
        <v>614</v>
      </c>
      <c r="M607" s="669"/>
      <c r="N607" s="576">
        <f t="shared" si="186"/>
        <v>0</v>
      </c>
      <c r="O607" s="577">
        <f t="shared" si="174"/>
        <v>0</v>
      </c>
      <c r="P607" s="578">
        <f t="shared" si="175"/>
        <v>0</v>
      </c>
      <c r="Q607" s="765"/>
      <c r="R607" s="669"/>
      <c r="S607" s="670"/>
      <c r="T607" s="577">
        <f t="shared" si="172"/>
        <v>0</v>
      </c>
      <c r="U607" s="578">
        <f t="shared" si="173"/>
        <v>0</v>
      </c>
      <c r="V607" s="579"/>
      <c r="W607" s="637" t="str">
        <f>IF(U605&gt;0,"xx",IF(P605&gt;0,"xy",""))</f>
        <v>xx</v>
      </c>
      <c r="X607" s="586" t="str">
        <f t="shared" si="170"/>
        <v>x</v>
      </c>
      <c r="Y607" s="586" t="str">
        <f t="shared" si="189"/>
        <v>x</v>
      </c>
      <c r="Z607" s="586" t="str">
        <f t="shared" si="183"/>
        <v/>
      </c>
    </row>
    <row r="608" spans="1:26" x14ac:dyDescent="0.2">
      <c r="A608" s="567" t="s">
        <v>168</v>
      </c>
      <c r="B608" s="644" t="s">
        <v>168</v>
      </c>
      <c r="C608" s="645"/>
      <c r="D608" s="451" t="s">
        <v>252</v>
      </c>
      <c r="E608" s="423"/>
      <c r="F608" s="805">
        <v>20</v>
      </c>
      <c r="G608" s="425">
        <f>ROUND(1.11*0.05,4)</f>
        <v>5.5500000000000001E-2</v>
      </c>
      <c r="H608" s="663">
        <f t="shared" si="190"/>
        <v>1.3364400000000001</v>
      </c>
      <c r="I608" s="420"/>
      <c r="J608" s="420" t="str">
        <f t="shared" si="187"/>
        <v/>
      </c>
      <c r="K608" s="421">
        <f t="shared" si="181"/>
        <v>0</v>
      </c>
      <c r="L608" s="668" t="s">
        <v>614</v>
      </c>
      <c r="M608" s="669"/>
      <c r="N608" s="576">
        <f t="shared" si="186"/>
        <v>0</v>
      </c>
      <c r="O608" s="577">
        <f t="shared" si="174"/>
        <v>0</v>
      </c>
      <c r="P608" s="578">
        <f t="shared" si="175"/>
        <v>0</v>
      </c>
      <c r="Q608" s="765"/>
      <c r="R608" s="669"/>
      <c r="S608" s="670"/>
      <c r="T608" s="577">
        <f t="shared" si="172"/>
        <v>0</v>
      </c>
      <c r="U608" s="578">
        <f t="shared" si="173"/>
        <v>0</v>
      </c>
      <c r="V608" s="579"/>
      <c r="W608" s="637" t="str">
        <f>IF(U605&gt;0,"xx",IF(P605&gt;0,"xy",""))</f>
        <v>xx</v>
      </c>
      <c r="X608" s="586" t="str">
        <f t="shared" si="170"/>
        <v>x</v>
      </c>
      <c r="Y608" s="586" t="str">
        <f t="shared" si="189"/>
        <v>x</v>
      </c>
      <c r="Z608" s="586" t="str">
        <f t="shared" si="183"/>
        <v/>
      </c>
    </row>
    <row r="609" spans="1:26" hidden="1" x14ac:dyDescent="0.2">
      <c r="A609" s="567">
        <v>605000</v>
      </c>
      <c r="B609" s="644" t="s">
        <v>1813</v>
      </c>
      <c r="C609" s="645" t="s">
        <v>206</v>
      </c>
      <c r="D609" s="422" t="s">
        <v>621</v>
      </c>
      <c r="E609" s="423"/>
      <c r="F609" s="424"/>
      <c r="G609" s="425"/>
      <c r="H609" s="651">
        <f>SUM(H610:H612)*0.05</f>
        <v>0.9648270000000001</v>
      </c>
      <c r="I609" s="420">
        <v>30.497399999999999</v>
      </c>
      <c r="J609" s="420">
        <f t="shared" si="187"/>
        <v>31.462226999999999</v>
      </c>
      <c r="K609" s="421">
        <f t="shared" si="181"/>
        <v>37.380000000000003</v>
      </c>
      <c r="L609" s="647" t="s">
        <v>18</v>
      </c>
      <c r="M609" s="576"/>
      <c r="N609" s="576">
        <f t="shared" si="186"/>
        <v>0</v>
      </c>
      <c r="O609" s="577">
        <f t="shared" si="174"/>
        <v>0</v>
      </c>
      <c r="P609" s="578">
        <f t="shared" si="175"/>
        <v>0</v>
      </c>
      <c r="Q609" s="765"/>
      <c r="R609" s="576">
        <f t="shared" si="176"/>
        <v>0</v>
      </c>
      <c r="S609" s="576">
        <f t="shared" si="188"/>
        <v>0</v>
      </c>
      <c r="T609" s="577">
        <f t="shared" si="172"/>
        <v>0</v>
      </c>
      <c r="U609" s="578">
        <f t="shared" si="173"/>
        <v>0</v>
      </c>
      <c r="V609" s="579"/>
      <c r="W609" s="566"/>
      <c r="X609" s="586" t="str">
        <f t="shared" si="170"/>
        <v/>
      </c>
      <c r="Y609" s="586" t="str">
        <f t="shared" si="189"/>
        <v/>
      </c>
      <c r="Z609" s="586" t="str">
        <f t="shared" si="183"/>
        <v/>
      </c>
    </row>
    <row r="610" spans="1:26" hidden="1" x14ac:dyDescent="0.2">
      <c r="A610" s="567" t="s">
        <v>168</v>
      </c>
      <c r="B610" s="644" t="s">
        <v>168</v>
      </c>
      <c r="C610" s="645"/>
      <c r="D610" s="451" t="s">
        <v>212</v>
      </c>
      <c r="E610" s="423"/>
      <c r="F610" s="424">
        <v>500</v>
      </c>
      <c r="G610" s="425">
        <f>ROUND(0.27*0.06,4)</f>
        <v>1.6199999999999999E-2</v>
      </c>
      <c r="H610" s="649">
        <f>IF(F610&lt;=30,(0.78*F610+7.82)*G610,((0.78*30+7.82)+0.78*(F610-30))*G610)</f>
        <v>6.4446840000000005</v>
      </c>
      <c r="I610" s="420"/>
      <c r="J610" s="420" t="str">
        <f t="shared" si="187"/>
        <v/>
      </c>
      <c r="K610" s="421">
        <f t="shared" si="181"/>
        <v>0</v>
      </c>
      <c r="L610" s="668" t="s">
        <v>614</v>
      </c>
      <c r="M610" s="669"/>
      <c r="N610" s="576">
        <f t="shared" si="186"/>
        <v>0</v>
      </c>
      <c r="O610" s="577">
        <f t="shared" si="174"/>
        <v>0</v>
      </c>
      <c r="P610" s="578">
        <f t="shared" si="175"/>
        <v>0</v>
      </c>
      <c r="Q610" s="765"/>
      <c r="R610" s="669"/>
      <c r="S610" s="670"/>
      <c r="T610" s="577">
        <f t="shared" si="172"/>
        <v>0</v>
      </c>
      <c r="U610" s="578">
        <f t="shared" si="173"/>
        <v>0</v>
      </c>
      <c r="V610" s="579"/>
      <c r="W610" s="637" t="str">
        <f>IF(U609&gt;0,"xx",IF(P609&gt;0,"xy",""))</f>
        <v/>
      </c>
      <c r="X610" s="586" t="str">
        <f t="shared" ref="X610:X763" si="191">IF(W610="X","x",IF(W610="xx","x",IF(W610="xy","x",IF(W610="y","x",IF(OR(P610&gt;0,U610&gt;0),"x","")))))</f>
        <v/>
      </c>
      <c r="Y610" s="586" t="str">
        <f t="shared" si="189"/>
        <v/>
      </c>
      <c r="Z610" s="586" t="str">
        <f t="shared" si="183"/>
        <v/>
      </c>
    </row>
    <row r="611" spans="1:26" hidden="1" x14ac:dyDescent="0.2">
      <c r="A611" s="567" t="s">
        <v>168</v>
      </c>
      <c r="B611" s="644" t="s">
        <v>168</v>
      </c>
      <c r="C611" s="645"/>
      <c r="D611" s="451" t="s">
        <v>248</v>
      </c>
      <c r="E611" s="423"/>
      <c r="F611" s="424">
        <v>180</v>
      </c>
      <c r="G611" s="425">
        <f>ROUND(0.96*0.06,4)</f>
        <v>5.7599999999999998E-2</v>
      </c>
      <c r="H611" s="663">
        <f t="shared" ref="H611:H612" si="192">IF(F611&lt;=30,(1.07*F611+2.68)*G611,((1.07*30+2.68)+1.07*(F611-30))*G611)</f>
        <v>11.248127999999999</v>
      </c>
      <c r="I611" s="420"/>
      <c r="J611" s="420" t="str">
        <f t="shared" si="187"/>
        <v/>
      </c>
      <c r="K611" s="421">
        <f t="shared" si="181"/>
        <v>0</v>
      </c>
      <c r="L611" s="668" t="s">
        <v>614</v>
      </c>
      <c r="M611" s="669"/>
      <c r="N611" s="576">
        <f t="shared" si="186"/>
        <v>0</v>
      </c>
      <c r="O611" s="577">
        <f t="shared" si="174"/>
        <v>0</v>
      </c>
      <c r="P611" s="578">
        <f t="shared" si="175"/>
        <v>0</v>
      </c>
      <c r="Q611" s="765"/>
      <c r="R611" s="669"/>
      <c r="S611" s="670"/>
      <c r="T611" s="577">
        <f t="shared" si="172"/>
        <v>0</v>
      </c>
      <c r="U611" s="578">
        <f t="shared" si="173"/>
        <v>0</v>
      </c>
      <c r="V611" s="579"/>
      <c r="W611" s="637" t="str">
        <f>IF(U609&gt;0,"xx",IF(P609&gt;0,"xy",""))</f>
        <v/>
      </c>
      <c r="X611" s="586" t="str">
        <f t="shared" si="191"/>
        <v/>
      </c>
      <c r="Y611" s="586" t="str">
        <f t="shared" si="189"/>
        <v/>
      </c>
      <c r="Z611" s="586" t="str">
        <f t="shared" si="183"/>
        <v/>
      </c>
    </row>
    <row r="612" spans="1:26" hidden="1" x14ac:dyDescent="0.2">
      <c r="A612" s="567" t="s">
        <v>168</v>
      </c>
      <c r="B612" s="644" t="s">
        <v>168</v>
      </c>
      <c r="C612" s="645"/>
      <c r="D612" s="451" t="s">
        <v>252</v>
      </c>
      <c r="E612" s="423"/>
      <c r="F612" s="424">
        <v>20</v>
      </c>
      <c r="G612" s="425">
        <f>ROUND(1.11*0.06,4)</f>
        <v>6.6600000000000006E-2</v>
      </c>
      <c r="H612" s="663">
        <f t="shared" si="192"/>
        <v>1.6037280000000003</v>
      </c>
      <c r="I612" s="420"/>
      <c r="J612" s="420" t="str">
        <f t="shared" si="187"/>
        <v/>
      </c>
      <c r="K612" s="421">
        <f t="shared" si="181"/>
        <v>0</v>
      </c>
      <c r="L612" s="668" t="s">
        <v>614</v>
      </c>
      <c r="M612" s="669"/>
      <c r="N612" s="576">
        <f t="shared" si="186"/>
        <v>0</v>
      </c>
      <c r="O612" s="577">
        <f t="shared" si="174"/>
        <v>0</v>
      </c>
      <c r="P612" s="578">
        <f t="shared" si="175"/>
        <v>0</v>
      </c>
      <c r="Q612" s="765"/>
      <c r="R612" s="669"/>
      <c r="S612" s="670"/>
      <c r="T612" s="577">
        <f t="shared" si="172"/>
        <v>0</v>
      </c>
      <c r="U612" s="578">
        <f t="shared" si="173"/>
        <v>0</v>
      </c>
      <c r="V612" s="579"/>
      <c r="W612" s="637" t="str">
        <f>IF(U609&gt;0,"xx",IF(P609&gt;0,"xy",""))</f>
        <v/>
      </c>
      <c r="X612" s="586" t="str">
        <f t="shared" si="191"/>
        <v/>
      </c>
      <c r="Y612" s="586" t="str">
        <f t="shared" si="189"/>
        <v/>
      </c>
      <c r="Z612" s="586" t="str">
        <f t="shared" si="183"/>
        <v/>
      </c>
    </row>
    <row r="613" spans="1:26" hidden="1" x14ac:dyDescent="0.2">
      <c r="A613" s="567">
        <v>605000</v>
      </c>
      <c r="B613" s="644" t="s">
        <v>1814</v>
      </c>
      <c r="C613" s="645" t="s">
        <v>206</v>
      </c>
      <c r="D613" s="422" t="s">
        <v>622</v>
      </c>
      <c r="E613" s="423"/>
      <c r="F613" s="424"/>
      <c r="G613" s="425"/>
      <c r="H613" s="651">
        <f>SUM(H614:H616)*0.05</f>
        <v>1.1256315000000001</v>
      </c>
      <c r="I613" s="420">
        <v>35.1753</v>
      </c>
      <c r="J613" s="420">
        <f t="shared" si="187"/>
        <v>36.300931499999997</v>
      </c>
      <c r="K613" s="421">
        <f t="shared" si="181"/>
        <v>43.13</v>
      </c>
      <c r="L613" s="647" t="s">
        <v>18</v>
      </c>
      <c r="M613" s="576"/>
      <c r="N613" s="576">
        <f t="shared" si="186"/>
        <v>0</v>
      </c>
      <c r="O613" s="577">
        <f t="shared" si="174"/>
        <v>0</v>
      </c>
      <c r="P613" s="578">
        <f t="shared" si="175"/>
        <v>0</v>
      </c>
      <c r="Q613" s="765"/>
      <c r="R613" s="576">
        <f t="shared" si="176"/>
        <v>0</v>
      </c>
      <c r="S613" s="576">
        <f t="shared" si="176"/>
        <v>0</v>
      </c>
      <c r="T613" s="577">
        <f t="shared" si="172"/>
        <v>0</v>
      </c>
      <c r="U613" s="578">
        <f t="shared" si="173"/>
        <v>0</v>
      </c>
      <c r="V613" s="579"/>
      <c r="W613" s="566"/>
      <c r="X613" s="586" t="str">
        <f t="shared" si="191"/>
        <v/>
      </c>
      <c r="Y613" s="586" t="str">
        <f t="shared" si="189"/>
        <v/>
      </c>
      <c r="Z613" s="586" t="str">
        <f t="shared" si="183"/>
        <v/>
      </c>
    </row>
    <row r="614" spans="1:26" hidden="1" x14ac:dyDescent="0.2">
      <c r="A614" s="567" t="s">
        <v>168</v>
      </c>
      <c r="B614" s="644" t="s">
        <v>168</v>
      </c>
      <c r="C614" s="645"/>
      <c r="D614" s="451" t="s">
        <v>212</v>
      </c>
      <c r="E614" s="423"/>
      <c r="F614" s="424">
        <v>500</v>
      </c>
      <c r="G614" s="425">
        <f>ROUND(0.27*0.07,4)</f>
        <v>1.89E-2</v>
      </c>
      <c r="H614" s="649">
        <f>IF(F614&lt;=30,(0.78*F614+7.82)*G614,((0.78*30+7.82)+0.78*(F614-30))*G614)</f>
        <v>7.5187980000000012</v>
      </c>
      <c r="I614" s="420"/>
      <c r="J614" s="420" t="str">
        <f t="shared" si="187"/>
        <v/>
      </c>
      <c r="K614" s="421">
        <f t="shared" si="181"/>
        <v>0</v>
      </c>
      <c r="L614" s="668" t="s">
        <v>614</v>
      </c>
      <c r="M614" s="669"/>
      <c r="N614" s="576">
        <f t="shared" si="186"/>
        <v>0</v>
      </c>
      <c r="O614" s="577">
        <f t="shared" si="174"/>
        <v>0</v>
      </c>
      <c r="P614" s="578">
        <f t="shared" si="175"/>
        <v>0</v>
      </c>
      <c r="Q614" s="765"/>
      <c r="R614" s="669"/>
      <c r="S614" s="670"/>
      <c r="T614" s="577">
        <f t="shared" si="172"/>
        <v>0</v>
      </c>
      <c r="U614" s="578">
        <f t="shared" si="173"/>
        <v>0</v>
      </c>
      <c r="V614" s="579"/>
      <c r="W614" s="637" t="str">
        <f>IF(U613&gt;0,"xx",IF(P613&gt;0,"xy",""))</f>
        <v/>
      </c>
      <c r="X614" s="586" t="str">
        <f t="shared" si="191"/>
        <v/>
      </c>
      <c r="Y614" s="586" t="str">
        <f t="shared" si="189"/>
        <v/>
      </c>
      <c r="Z614" s="586" t="str">
        <f t="shared" si="183"/>
        <v/>
      </c>
    </row>
    <row r="615" spans="1:26" hidden="1" x14ac:dyDescent="0.2">
      <c r="A615" s="567" t="s">
        <v>168</v>
      </c>
      <c r="B615" s="644" t="s">
        <v>168</v>
      </c>
      <c r="C615" s="645"/>
      <c r="D615" s="451" t="s">
        <v>248</v>
      </c>
      <c r="E615" s="423"/>
      <c r="F615" s="424">
        <v>180</v>
      </c>
      <c r="G615" s="425">
        <f>ROUND(0.96*0.07,4)</f>
        <v>6.7199999999999996E-2</v>
      </c>
      <c r="H615" s="663">
        <f t="shared" ref="H615:H616" si="193">IF(F615&lt;=30,(1.07*F615+2.68)*G615,((1.07*30+2.68)+1.07*(F615-30))*G615)</f>
        <v>13.122815999999998</v>
      </c>
      <c r="I615" s="420"/>
      <c r="J615" s="420" t="str">
        <f t="shared" si="187"/>
        <v/>
      </c>
      <c r="K615" s="421">
        <f t="shared" si="181"/>
        <v>0</v>
      </c>
      <c r="L615" s="668" t="s">
        <v>614</v>
      </c>
      <c r="M615" s="669"/>
      <c r="N615" s="576">
        <f t="shared" si="186"/>
        <v>0</v>
      </c>
      <c r="O615" s="577">
        <f t="shared" si="174"/>
        <v>0</v>
      </c>
      <c r="P615" s="578">
        <f t="shared" si="175"/>
        <v>0</v>
      </c>
      <c r="Q615" s="765"/>
      <c r="R615" s="669"/>
      <c r="S615" s="670"/>
      <c r="T615" s="577">
        <f t="shared" si="172"/>
        <v>0</v>
      </c>
      <c r="U615" s="578">
        <f t="shared" si="173"/>
        <v>0</v>
      </c>
      <c r="V615" s="579"/>
      <c r="W615" s="637" t="str">
        <f>IF(U613&gt;0,"xx",IF(P613&gt;0,"xy",""))</f>
        <v/>
      </c>
      <c r="X615" s="586" t="str">
        <f t="shared" si="191"/>
        <v/>
      </c>
      <c r="Y615" s="586" t="str">
        <f t="shared" si="189"/>
        <v/>
      </c>
      <c r="Z615" s="586" t="str">
        <f t="shared" si="183"/>
        <v/>
      </c>
    </row>
    <row r="616" spans="1:26" hidden="1" x14ac:dyDescent="0.2">
      <c r="A616" s="567" t="s">
        <v>168</v>
      </c>
      <c r="B616" s="644" t="s">
        <v>168</v>
      </c>
      <c r="C616" s="645"/>
      <c r="D616" s="451" t="s">
        <v>252</v>
      </c>
      <c r="E616" s="423"/>
      <c r="F616" s="424">
        <v>20</v>
      </c>
      <c r="G616" s="425">
        <f>ROUND(1.11*0.07,4)</f>
        <v>7.7700000000000005E-2</v>
      </c>
      <c r="H616" s="663">
        <f t="shared" si="193"/>
        <v>1.8710160000000002</v>
      </c>
      <c r="I616" s="420"/>
      <c r="J616" s="420" t="str">
        <f t="shared" si="187"/>
        <v/>
      </c>
      <c r="K616" s="421">
        <f t="shared" si="181"/>
        <v>0</v>
      </c>
      <c r="L616" s="668" t="s">
        <v>614</v>
      </c>
      <c r="M616" s="669"/>
      <c r="N616" s="576">
        <f t="shared" si="186"/>
        <v>0</v>
      </c>
      <c r="O616" s="577">
        <f t="shared" si="174"/>
        <v>0</v>
      </c>
      <c r="P616" s="578">
        <f t="shared" si="175"/>
        <v>0</v>
      </c>
      <c r="Q616" s="765"/>
      <c r="R616" s="669"/>
      <c r="S616" s="670"/>
      <c r="T616" s="577">
        <f t="shared" ref="T616:T691" si="194">IF(ISBLANK(R616),0,ROUND(K616*R616,2))</f>
        <v>0</v>
      </c>
      <c r="U616" s="578">
        <f t="shared" ref="U616:U691" si="195">IF(ISBLANK(R616),0,ROUND(R616*S616,2))</f>
        <v>0</v>
      </c>
      <c r="V616" s="579"/>
      <c r="W616" s="637" t="str">
        <f>IF(U613&gt;0,"xx",IF(P613&gt;0,"xy",""))</f>
        <v/>
      </c>
      <c r="X616" s="586" t="str">
        <f t="shared" si="191"/>
        <v/>
      </c>
      <c r="Y616" s="586" t="str">
        <f t="shared" si="189"/>
        <v/>
      </c>
      <c r="Z616" s="586" t="str">
        <f t="shared" si="183"/>
        <v/>
      </c>
    </row>
    <row r="617" spans="1:26" hidden="1" x14ac:dyDescent="0.2">
      <c r="A617" s="567">
        <v>605000</v>
      </c>
      <c r="B617" s="644" t="s">
        <v>1815</v>
      </c>
      <c r="C617" s="645" t="s">
        <v>206</v>
      </c>
      <c r="D617" s="422" t="s">
        <v>631</v>
      </c>
      <c r="E617" s="423"/>
      <c r="F617" s="424"/>
      <c r="G617" s="425"/>
      <c r="H617" s="651">
        <f>SUM(H618:H620)*0.05</f>
        <v>1.2864360000000001</v>
      </c>
      <c r="I617" s="420">
        <v>39.853200000000001</v>
      </c>
      <c r="J617" s="420">
        <f t="shared" si="187"/>
        <v>41.139636000000003</v>
      </c>
      <c r="K617" s="421">
        <f t="shared" si="181"/>
        <v>48.88</v>
      </c>
      <c r="L617" s="647" t="s">
        <v>18</v>
      </c>
      <c r="M617" s="576"/>
      <c r="N617" s="576">
        <f t="shared" si="186"/>
        <v>0</v>
      </c>
      <c r="O617" s="577">
        <f t="shared" ref="O617:O692" si="196">IF(ISBLANK(M617),0,ROUND(K617*M617,2))</f>
        <v>0</v>
      </c>
      <c r="P617" s="578">
        <f t="shared" ref="P617:P692" si="197">IF(ISBLANK(N617),0,ROUND(M617*N617,2))</f>
        <v>0</v>
      </c>
      <c r="Q617" s="765"/>
      <c r="R617" s="576">
        <f>M617</f>
        <v>0</v>
      </c>
      <c r="S617" s="576">
        <f t="shared" ref="S617:S662" si="198">N617</f>
        <v>0</v>
      </c>
      <c r="T617" s="577">
        <f t="shared" si="194"/>
        <v>0</v>
      </c>
      <c r="U617" s="578">
        <f t="shared" si="195"/>
        <v>0</v>
      </c>
      <c r="V617" s="579"/>
      <c r="W617" s="566"/>
      <c r="X617" s="586" t="str">
        <f t="shared" si="191"/>
        <v/>
      </c>
      <c r="Y617" s="586" t="str">
        <f t="shared" si="189"/>
        <v/>
      </c>
      <c r="Z617" s="586" t="str">
        <f t="shared" si="183"/>
        <v/>
      </c>
    </row>
    <row r="618" spans="1:26" hidden="1" x14ac:dyDescent="0.2">
      <c r="A618" s="567" t="s">
        <v>168</v>
      </c>
      <c r="B618" s="644" t="s">
        <v>168</v>
      </c>
      <c r="C618" s="645"/>
      <c r="D618" s="451" t="s">
        <v>212</v>
      </c>
      <c r="E618" s="423"/>
      <c r="F618" s="424">
        <v>500</v>
      </c>
      <c r="G618" s="425">
        <f>ROUND(0.27*0.08,4)</f>
        <v>2.1600000000000001E-2</v>
      </c>
      <c r="H618" s="649">
        <f>IF(F618&lt;=30,(0.78*F618+7.82)*G618,((0.78*30+7.82)+0.78*(F618-30))*G618)</f>
        <v>8.5929120000000019</v>
      </c>
      <c r="I618" s="420">
        <v>0</v>
      </c>
      <c r="J618" s="420"/>
      <c r="K618" s="421">
        <f t="shared" si="181"/>
        <v>0</v>
      </c>
      <c r="L618" s="668" t="s">
        <v>614</v>
      </c>
      <c r="M618" s="669"/>
      <c r="N618" s="576">
        <f t="shared" si="186"/>
        <v>0</v>
      </c>
      <c r="O618" s="577">
        <f t="shared" si="196"/>
        <v>0</v>
      </c>
      <c r="P618" s="578">
        <f t="shared" si="197"/>
        <v>0</v>
      </c>
      <c r="Q618" s="765"/>
      <c r="R618" s="669"/>
      <c r="S618" s="670"/>
      <c r="T618" s="577">
        <f t="shared" si="194"/>
        <v>0</v>
      </c>
      <c r="U618" s="578">
        <f t="shared" si="195"/>
        <v>0</v>
      </c>
      <c r="V618" s="579"/>
      <c r="W618" s="637" t="str">
        <f>IF(U617&gt;0,"xx",IF(P617&gt;0,"xy",""))</f>
        <v/>
      </c>
      <c r="X618" s="586" t="str">
        <f t="shared" si="191"/>
        <v/>
      </c>
      <c r="Y618" s="586" t="str">
        <f t="shared" si="189"/>
        <v/>
      </c>
      <c r="Z618" s="586" t="str">
        <f t="shared" si="183"/>
        <v/>
      </c>
    </row>
    <row r="619" spans="1:26" hidden="1" x14ac:dyDescent="0.2">
      <c r="A619" s="567" t="s">
        <v>168</v>
      </c>
      <c r="B619" s="644" t="s">
        <v>168</v>
      </c>
      <c r="C619" s="645"/>
      <c r="D619" s="451" t="s">
        <v>248</v>
      </c>
      <c r="E619" s="423"/>
      <c r="F619" s="424">
        <v>180</v>
      </c>
      <c r="G619" s="425">
        <f>ROUND(0.96*0.08,4)</f>
        <v>7.6799999999999993E-2</v>
      </c>
      <c r="H619" s="663">
        <f t="shared" ref="H619:H620" si="199">IF(F619&lt;=30,(1.07*F619+2.68)*G619,((1.07*30+2.68)+1.07*(F619-30))*G619)</f>
        <v>14.997503999999999</v>
      </c>
      <c r="I619" s="420">
        <v>0</v>
      </c>
      <c r="J619" s="420"/>
      <c r="K619" s="421">
        <f t="shared" si="181"/>
        <v>0</v>
      </c>
      <c r="L619" s="668" t="s">
        <v>614</v>
      </c>
      <c r="M619" s="669"/>
      <c r="N619" s="576">
        <f t="shared" si="186"/>
        <v>0</v>
      </c>
      <c r="O619" s="577">
        <f t="shared" si="196"/>
        <v>0</v>
      </c>
      <c r="P619" s="578">
        <f t="shared" si="197"/>
        <v>0</v>
      </c>
      <c r="Q619" s="765"/>
      <c r="R619" s="669"/>
      <c r="S619" s="670"/>
      <c r="T619" s="577">
        <f t="shared" si="194"/>
        <v>0</v>
      </c>
      <c r="U619" s="578">
        <f t="shared" si="195"/>
        <v>0</v>
      </c>
      <c r="V619" s="579"/>
      <c r="W619" s="637" t="str">
        <f>IF(U617&gt;0,"xx",IF(P617&gt;0,"xy",""))</f>
        <v/>
      </c>
      <c r="X619" s="586" t="str">
        <f t="shared" si="191"/>
        <v/>
      </c>
      <c r="Y619" s="586" t="str">
        <f t="shared" si="189"/>
        <v/>
      </c>
      <c r="Z619" s="586" t="str">
        <f t="shared" si="183"/>
        <v/>
      </c>
    </row>
    <row r="620" spans="1:26" hidden="1" x14ac:dyDescent="0.2">
      <c r="A620" s="567" t="s">
        <v>168</v>
      </c>
      <c r="B620" s="644" t="s">
        <v>168</v>
      </c>
      <c r="C620" s="645"/>
      <c r="D620" s="451" t="s">
        <v>252</v>
      </c>
      <c r="E620" s="423"/>
      <c r="F620" s="424">
        <v>20</v>
      </c>
      <c r="G620" s="425">
        <f>ROUND(1.11*0.08,4)</f>
        <v>8.8800000000000004E-2</v>
      </c>
      <c r="H620" s="663">
        <f t="shared" si="199"/>
        <v>2.1383040000000002</v>
      </c>
      <c r="I620" s="420">
        <v>0</v>
      </c>
      <c r="J620" s="420"/>
      <c r="K620" s="421">
        <f t="shared" si="181"/>
        <v>0</v>
      </c>
      <c r="L620" s="668" t="s">
        <v>614</v>
      </c>
      <c r="M620" s="669"/>
      <c r="N620" s="576">
        <f t="shared" si="186"/>
        <v>0</v>
      </c>
      <c r="O620" s="577">
        <f t="shared" si="196"/>
        <v>0</v>
      </c>
      <c r="P620" s="578">
        <f t="shared" si="197"/>
        <v>0</v>
      </c>
      <c r="Q620" s="765"/>
      <c r="R620" s="669"/>
      <c r="S620" s="670"/>
      <c r="T620" s="577">
        <f t="shared" si="194"/>
        <v>0</v>
      </c>
      <c r="U620" s="578">
        <f t="shared" si="195"/>
        <v>0</v>
      </c>
      <c r="V620" s="579"/>
      <c r="W620" s="637" t="str">
        <f>IF(U617&gt;0,"xx",IF(P617&gt;0,"xy",""))</f>
        <v/>
      </c>
      <c r="X620" s="586" t="str">
        <f t="shared" si="191"/>
        <v/>
      </c>
      <c r="Y620" s="586" t="str">
        <f t="shared" si="189"/>
        <v/>
      </c>
      <c r="Z620" s="586" t="str">
        <f t="shared" si="183"/>
        <v/>
      </c>
    </row>
    <row r="621" spans="1:26" hidden="1" x14ac:dyDescent="0.2">
      <c r="A621" s="567">
        <v>511000</v>
      </c>
      <c r="B621" s="644" t="s">
        <v>1534</v>
      </c>
      <c r="C621" s="645" t="s">
        <v>206</v>
      </c>
      <c r="D621" s="422" t="s">
        <v>283</v>
      </c>
      <c r="E621" s="423"/>
      <c r="F621" s="424">
        <v>0</v>
      </c>
      <c r="G621" s="425"/>
      <c r="H621" s="651">
        <f>IF(F621&lt;=30,(0.62*F621+6.29)*G621,((0.62*30+6.29)+0.62*(F621-30))*G621)</f>
        <v>0</v>
      </c>
      <c r="I621" s="420">
        <v>4.95</v>
      </c>
      <c r="J621" s="420">
        <f t="shared" ref="J621:J626" si="200">IF(ISBLANK(I621),"",SUM(H621:I621))</f>
        <v>4.95</v>
      </c>
      <c r="K621" s="421">
        <f t="shared" si="181"/>
        <v>5.88</v>
      </c>
      <c r="L621" s="647" t="s">
        <v>18</v>
      </c>
      <c r="M621" s="576"/>
      <c r="N621" s="576">
        <f t="shared" si="186"/>
        <v>0</v>
      </c>
      <c r="O621" s="577">
        <f t="shared" si="196"/>
        <v>0</v>
      </c>
      <c r="P621" s="578">
        <f t="shared" si="197"/>
        <v>0</v>
      </c>
      <c r="Q621" s="765"/>
      <c r="R621" s="576">
        <f t="shared" ref="R621:R633" si="201">M621</f>
        <v>0</v>
      </c>
      <c r="S621" s="576">
        <f t="shared" si="198"/>
        <v>0</v>
      </c>
      <c r="T621" s="577">
        <f t="shared" si="194"/>
        <v>0</v>
      </c>
      <c r="U621" s="578">
        <f t="shared" si="195"/>
        <v>0</v>
      </c>
      <c r="V621" s="579"/>
      <c r="W621" s="566"/>
      <c r="X621" s="586" t="str">
        <f t="shared" si="191"/>
        <v/>
      </c>
      <c r="Y621" s="586" t="str">
        <f t="shared" si="189"/>
        <v/>
      </c>
      <c r="Z621" s="586" t="str">
        <f t="shared" si="183"/>
        <v/>
      </c>
    </row>
    <row r="622" spans="1:26" hidden="1" x14ac:dyDescent="0.2">
      <c r="A622" s="567">
        <v>511100</v>
      </c>
      <c r="B622" s="644" t="s">
        <v>1539</v>
      </c>
      <c r="C622" s="645" t="s">
        <v>206</v>
      </c>
      <c r="D622" s="422" t="s">
        <v>284</v>
      </c>
      <c r="E622" s="423"/>
      <c r="F622" s="424">
        <v>0</v>
      </c>
      <c r="G622" s="425">
        <v>0</v>
      </c>
      <c r="H622" s="651">
        <f>IF(F622&lt;=30,(0.62*F622+6.29)*G622,((0.62*30+6.29)+0.62*(F622-30))*G622)</f>
        <v>0</v>
      </c>
      <c r="I622" s="420">
        <v>4.33</v>
      </c>
      <c r="J622" s="420">
        <f t="shared" si="200"/>
        <v>4.33</v>
      </c>
      <c r="K622" s="421">
        <f t="shared" si="181"/>
        <v>5.14</v>
      </c>
      <c r="L622" s="647" t="s">
        <v>18</v>
      </c>
      <c r="M622" s="576"/>
      <c r="N622" s="576">
        <f t="shared" si="186"/>
        <v>0</v>
      </c>
      <c r="O622" s="577">
        <f t="shared" si="196"/>
        <v>0</v>
      </c>
      <c r="P622" s="578">
        <f t="shared" si="197"/>
        <v>0</v>
      </c>
      <c r="Q622" s="765"/>
      <c r="R622" s="576">
        <f t="shared" si="201"/>
        <v>0</v>
      </c>
      <c r="S622" s="576">
        <f t="shared" si="198"/>
        <v>0</v>
      </c>
      <c r="T622" s="577">
        <f t="shared" si="194"/>
        <v>0</v>
      </c>
      <c r="U622" s="578">
        <f t="shared" si="195"/>
        <v>0</v>
      </c>
      <c r="V622" s="579"/>
      <c r="W622" s="566"/>
      <c r="X622" s="586" t="str">
        <f t="shared" si="191"/>
        <v/>
      </c>
      <c r="Y622" s="586" t="str">
        <f t="shared" si="189"/>
        <v/>
      </c>
      <c r="Z622" s="586" t="str">
        <f t="shared" si="183"/>
        <v/>
      </c>
    </row>
    <row r="623" spans="1:26" hidden="1" x14ac:dyDescent="0.2">
      <c r="A623" s="567">
        <v>520100</v>
      </c>
      <c r="B623" s="644" t="s">
        <v>1816</v>
      </c>
      <c r="C623" s="645" t="s">
        <v>206</v>
      </c>
      <c r="D623" s="422" t="s">
        <v>285</v>
      </c>
      <c r="E623" s="423"/>
      <c r="F623" s="418">
        <v>0.5</v>
      </c>
      <c r="G623" s="419">
        <f>1.5*1.4</f>
        <v>2.0999999999999996</v>
      </c>
      <c r="H623" s="663">
        <f t="shared" ref="H623:H632" si="202">IF(F623&lt;=30,(1.07*F623+2.68)*G623,((1.07*30+2.68)+1.07*(F623-30))*G623)</f>
        <v>6.7514999999999992</v>
      </c>
      <c r="I623" s="449">
        <v>13.587999999999999</v>
      </c>
      <c r="J623" s="420">
        <f t="shared" si="200"/>
        <v>20.339499999999997</v>
      </c>
      <c r="K623" s="421">
        <f t="shared" si="181"/>
        <v>24.17</v>
      </c>
      <c r="L623" s="647" t="s">
        <v>16</v>
      </c>
      <c r="M623" s="576"/>
      <c r="N623" s="576">
        <f t="shared" si="186"/>
        <v>0</v>
      </c>
      <c r="O623" s="577">
        <f t="shared" si="196"/>
        <v>0</v>
      </c>
      <c r="P623" s="578">
        <f t="shared" si="197"/>
        <v>0</v>
      </c>
      <c r="Q623" s="765"/>
      <c r="R623" s="576">
        <f t="shared" si="201"/>
        <v>0</v>
      </c>
      <c r="S623" s="576">
        <f t="shared" si="198"/>
        <v>0</v>
      </c>
      <c r="T623" s="577">
        <f t="shared" si="194"/>
        <v>0</v>
      </c>
      <c r="U623" s="578">
        <f t="shared" si="195"/>
        <v>0</v>
      </c>
      <c r="V623" s="579"/>
      <c r="W623" s="566"/>
      <c r="X623" s="586" t="str">
        <f t="shared" si="191"/>
        <v/>
      </c>
      <c r="Y623" s="586" t="str">
        <f t="shared" si="189"/>
        <v/>
      </c>
      <c r="Z623" s="586" t="str">
        <f t="shared" si="183"/>
        <v/>
      </c>
    </row>
    <row r="624" spans="1:26" hidden="1" x14ac:dyDescent="0.2">
      <c r="A624" s="567">
        <v>520100</v>
      </c>
      <c r="B624" s="644" t="s">
        <v>1817</v>
      </c>
      <c r="C624" s="645" t="s">
        <v>206</v>
      </c>
      <c r="D624" s="422" t="s">
        <v>286</v>
      </c>
      <c r="E624" s="423"/>
      <c r="F624" s="418">
        <v>15</v>
      </c>
      <c r="G624" s="419">
        <f>1.5*1.4</f>
        <v>2.0999999999999996</v>
      </c>
      <c r="H624" s="663">
        <f t="shared" si="202"/>
        <v>39.332999999999991</v>
      </c>
      <c r="I624" s="449">
        <v>13.587999999999999</v>
      </c>
      <c r="J624" s="420">
        <f t="shared" si="200"/>
        <v>52.920999999999992</v>
      </c>
      <c r="K624" s="421">
        <f t="shared" si="181"/>
        <v>62.88</v>
      </c>
      <c r="L624" s="647" t="s">
        <v>16</v>
      </c>
      <c r="M624" s="576"/>
      <c r="N624" s="576">
        <f t="shared" si="186"/>
        <v>0</v>
      </c>
      <c r="O624" s="577">
        <f t="shared" si="196"/>
        <v>0</v>
      </c>
      <c r="P624" s="578">
        <f t="shared" si="197"/>
        <v>0</v>
      </c>
      <c r="Q624" s="765"/>
      <c r="R624" s="576">
        <f t="shared" si="201"/>
        <v>0</v>
      </c>
      <c r="S624" s="576">
        <f t="shared" si="198"/>
        <v>0</v>
      </c>
      <c r="T624" s="577">
        <f t="shared" si="194"/>
        <v>0</v>
      </c>
      <c r="U624" s="578">
        <f t="shared" si="195"/>
        <v>0</v>
      </c>
      <c r="V624" s="579"/>
      <c r="W624" s="566"/>
      <c r="X624" s="586" t="str">
        <f t="shared" si="191"/>
        <v/>
      </c>
      <c r="Y624" s="586" t="str">
        <f t="shared" si="189"/>
        <v/>
      </c>
      <c r="Z624" s="586" t="str">
        <f t="shared" si="183"/>
        <v/>
      </c>
    </row>
    <row r="625" spans="1:26" hidden="1" x14ac:dyDescent="0.2">
      <c r="A625" s="567">
        <v>533500</v>
      </c>
      <c r="B625" s="644" t="s">
        <v>1818</v>
      </c>
      <c r="C625" s="645" t="s">
        <v>206</v>
      </c>
      <c r="D625" s="422" t="s">
        <v>481</v>
      </c>
      <c r="E625" s="423"/>
      <c r="F625" s="418">
        <v>15</v>
      </c>
      <c r="G625" s="419">
        <v>1.95</v>
      </c>
      <c r="H625" s="663">
        <f t="shared" si="202"/>
        <v>36.523499999999999</v>
      </c>
      <c r="I625" s="420">
        <v>26.299999999999997</v>
      </c>
      <c r="J625" s="420">
        <f t="shared" si="200"/>
        <v>62.823499999999996</v>
      </c>
      <c r="K625" s="421">
        <f t="shared" si="181"/>
        <v>74.64</v>
      </c>
      <c r="L625" s="647" t="s">
        <v>16</v>
      </c>
      <c r="M625" s="576"/>
      <c r="N625" s="576">
        <f t="shared" si="186"/>
        <v>0</v>
      </c>
      <c r="O625" s="577">
        <f t="shared" si="196"/>
        <v>0</v>
      </c>
      <c r="P625" s="578">
        <f t="shared" si="197"/>
        <v>0</v>
      </c>
      <c r="Q625" s="765"/>
      <c r="R625" s="576">
        <f t="shared" si="201"/>
        <v>0</v>
      </c>
      <c r="S625" s="576">
        <f t="shared" si="198"/>
        <v>0</v>
      </c>
      <c r="T625" s="577">
        <f t="shared" si="194"/>
        <v>0</v>
      </c>
      <c r="U625" s="578">
        <f t="shared" si="195"/>
        <v>0</v>
      </c>
      <c r="V625" s="579"/>
      <c r="W625" s="566"/>
      <c r="X625" s="586" t="str">
        <f t="shared" si="191"/>
        <v/>
      </c>
      <c r="Y625" s="586" t="str">
        <f t="shared" si="189"/>
        <v/>
      </c>
      <c r="Z625" s="586" t="str">
        <f t="shared" si="183"/>
        <v/>
      </c>
    </row>
    <row r="626" spans="1:26" hidden="1" x14ac:dyDescent="0.2">
      <c r="A626" s="567">
        <v>533100</v>
      </c>
      <c r="B626" s="644" t="s">
        <v>1819</v>
      </c>
      <c r="C626" s="645" t="s">
        <v>206</v>
      </c>
      <c r="D626" s="422" t="s">
        <v>492</v>
      </c>
      <c r="E626" s="423"/>
      <c r="F626" s="418">
        <v>15</v>
      </c>
      <c r="G626" s="419">
        <v>1.98</v>
      </c>
      <c r="H626" s="663">
        <f t="shared" si="202"/>
        <v>37.0854</v>
      </c>
      <c r="I626" s="420">
        <v>31.15</v>
      </c>
      <c r="J626" s="420">
        <f t="shared" si="200"/>
        <v>68.235399999999998</v>
      </c>
      <c r="K626" s="421">
        <f t="shared" si="181"/>
        <v>81.069999999999993</v>
      </c>
      <c r="L626" s="647" t="s">
        <v>16</v>
      </c>
      <c r="M626" s="576"/>
      <c r="N626" s="576">
        <f t="shared" si="186"/>
        <v>0</v>
      </c>
      <c r="O626" s="577">
        <f t="shared" si="196"/>
        <v>0</v>
      </c>
      <c r="P626" s="578">
        <f t="shared" si="197"/>
        <v>0</v>
      </c>
      <c r="Q626" s="765"/>
      <c r="R626" s="576">
        <f t="shared" si="201"/>
        <v>0</v>
      </c>
      <c r="S626" s="576">
        <f t="shared" si="198"/>
        <v>0</v>
      </c>
      <c r="T626" s="577">
        <f t="shared" si="194"/>
        <v>0</v>
      </c>
      <c r="U626" s="578">
        <f t="shared" si="195"/>
        <v>0</v>
      </c>
      <c r="V626" s="579"/>
      <c r="W626" s="566"/>
      <c r="X626" s="586" t="str">
        <f t="shared" si="191"/>
        <v/>
      </c>
      <c r="Y626" s="586" t="str">
        <f t="shared" si="189"/>
        <v/>
      </c>
      <c r="Z626" s="586" t="str">
        <f t="shared" si="183"/>
        <v/>
      </c>
    </row>
    <row r="627" spans="1:26" hidden="1" x14ac:dyDescent="0.2">
      <c r="A627" s="567">
        <v>533100</v>
      </c>
      <c r="B627" s="644" t="s">
        <v>1820</v>
      </c>
      <c r="C627" s="645" t="s">
        <v>206</v>
      </c>
      <c r="D627" s="422" t="s">
        <v>287</v>
      </c>
      <c r="E627" s="423"/>
      <c r="F627" s="418">
        <v>15</v>
      </c>
      <c r="G627" s="419">
        <v>2.1</v>
      </c>
      <c r="H627" s="663">
        <f t="shared" si="202"/>
        <v>39.333000000000006</v>
      </c>
      <c r="I627" s="420">
        <v>31.15</v>
      </c>
      <c r="J627" s="420">
        <f t="shared" ref="J627:J632" si="203">IF(ISBLANK(I627),"",SUM(H627:I627))</f>
        <v>70.483000000000004</v>
      </c>
      <c r="K627" s="421">
        <f t="shared" si="181"/>
        <v>83.74</v>
      </c>
      <c r="L627" s="647" t="s">
        <v>16</v>
      </c>
      <c r="M627" s="576"/>
      <c r="N627" s="576">
        <f t="shared" si="186"/>
        <v>0</v>
      </c>
      <c r="O627" s="577">
        <f t="shared" si="196"/>
        <v>0</v>
      </c>
      <c r="P627" s="578">
        <f t="shared" si="197"/>
        <v>0</v>
      </c>
      <c r="Q627" s="765"/>
      <c r="R627" s="576">
        <f t="shared" si="201"/>
        <v>0</v>
      </c>
      <c r="S627" s="576">
        <f t="shared" si="198"/>
        <v>0</v>
      </c>
      <c r="T627" s="577">
        <f t="shared" si="194"/>
        <v>0</v>
      </c>
      <c r="U627" s="578">
        <f t="shared" si="195"/>
        <v>0</v>
      </c>
      <c r="V627" s="579"/>
      <c r="W627" s="566"/>
      <c r="X627" s="586" t="str">
        <f t="shared" si="191"/>
        <v/>
      </c>
      <c r="Y627" s="586" t="str">
        <f t="shared" si="189"/>
        <v/>
      </c>
      <c r="Z627" s="586" t="str">
        <f t="shared" si="183"/>
        <v/>
      </c>
    </row>
    <row r="628" spans="1:26" hidden="1" x14ac:dyDescent="0.2">
      <c r="A628" s="567">
        <v>530200</v>
      </c>
      <c r="B628" s="644" t="s">
        <v>1821</v>
      </c>
      <c r="C628" s="645" t="s">
        <v>206</v>
      </c>
      <c r="D628" s="422" t="s">
        <v>236</v>
      </c>
      <c r="E628" s="423"/>
      <c r="F628" s="418">
        <v>20</v>
      </c>
      <c r="G628" s="419">
        <v>2.2000000000000002</v>
      </c>
      <c r="H628" s="663">
        <f t="shared" si="202"/>
        <v>52.976000000000006</v>
      </c>
      <c r="I628" s="420">
        <v>94.56</v>
      </c>
      <c r="J628" s="420">
        <f t="shared" si="203"/>
        <v>147.536</v>
      </c>
      <c r="K628" s="421">
        <f t="shared" si="181"/>
        <v>175.29</v>
      </c>
      <c r="L628" s="647" t="s">
        <v>16</v>
      </c>
      <c r="M628" s="576"/>
      <c r="N628" s="576">
        <f t="shared" si="186"/>
        <v>0</v>
      </c>
      <c r="O628" s="577">
        <f t="shared" si="196"/>
        <v>0</v>
      </c>
      <c r="P628" s="578">
        <f t="shared" si="197"/>
        <v>0</v>
      </c>
      <c r="Q628" s="765"/>
      <c r="R628" s="576">
        <f t="shared" si="201"/>
        <v>0</v>
      </c>
      <c r="S628" s="576">
        <f t="shared" si="198"/>
        <v>0</v>
      </c>
      <c r="T628" s="577">
        <f t="shared" si="194"/>
        <v>0</v>
      </c>
      <c r="U628" s="578">
        <f t="shared" si="195"/>
        <v>0</v>
      </c>
      <c r="V628" s="579"/>
      <c r="W628" s="566"/>
      <c r="X628" s="586" t="str">
        <f t="shared" si="191"/>
        <v/>
      </c>
      <c r="Y628" s="586" t="str">
        <f t="shared" si="189"/>
        <v/>
      </c>
      <c r="Z628" s="586" t="str">
        <f t="shared" si="183"/>
        <v/>
      </c>
    </row>
    <row r="629" spans="1:26" hidden="1" x14ac:dyDescent="0.2">
      <c r="A629" s="567" t="s">
        <v>2066</v>
      </c>
      <c r="B629" s="644" t="s">
        <v>1571</v>
      </c>
      <c r="C629" s="645" t="s">
        <v>484</v>
      </c>
      <c r="D629" s="422" t="s">
        <v>633</v>
      </c>
      <c r="E629" s="423"/>
      <c r="F629" s="418">
        <v>10</v>
      </c>
      <c r="G629" s="419">
        <v>1.95</v>
      </c>
      <c r="H629" s="663">
        <f t="shared" si="202"/>
        <v>26.091000000000001</v>
      </c>
      <c r="I629" s="420">
        <v>72.11</v>
      </c>
      <c r="J629" s="420">
        <f t="shared" si="203"/>
        <v>98.200999999999993</v>
      </c>
      <c r="K629" s="421">
        <f t="shared" si="181"/>
        <v>116.67</v>
      </c>
      <c r="L629" s="647" t="s">
        <v>16</v>
      </c>
      <c r="M629" s="576"/>
      <c r="N629" s="576">
        <f t="shared" si="186"/>
        <v>0</v>
      </c>
      <c r="O629" s="577">
        <f t="shared" si="196"/>
        <v>0</v>
      </c>
      <c r="P629" s="578">
        <f t="shared" si="197"/>
        <v>0</v>
      </c>
      <c r="Q629" s="765"/>
      <c r="R629" s="576">
        <f t="shared" si="201"/>
        <v>0</v>
      </c>
      <c r="S629" s="576">
        <f t="shared" si="198"/>
        <v>0</v>
      </c>
      <c r="T629" s="577">
        <f t="shared" si="194"/>
        <v>0</v>
      </c>
      <c r="U629" s="578">
        <f t="shared" si="195"/>
        <v>0</v>
      </c>
      <c r="V629" s="579"/>
      <c r="W629" s="566"/>
      <c r="X629" s="586" t="str">
        <f t="shared" si="191"/>
        <v/>
      </c>
      <c r="Y629" s="586" t="str">
        <f t="shared" si="189"/>
        <v/>
      </c>
      <c r="Z629" s="586" t="str">
        <f t="shared" si="183"/>
        <v/>
      </c>
    </row>
    <row r="630" spans="1:26" hidden="1" x14ac:dyDescent="0.2">
      <c r="A630" s="567" t="s">
        <v>2067</v>
      </c>
      <c r="B630" s="644" t="s">
        <v>1572</v>
      </c>
      <c r="C630" s="645" t="s">
        <v>484</v>
      </c>
      <c r="D630" s="422" t="s">
        <v>634</v>
      </c>
      <c r="E630" s="423"/>
      <c r="F630" s="418">
        <v>11</v>
      </c>
      <c r="G630" s="419">
        <v>2.1</v>
      </c>
      <c r="H630" s="663">
        <f t="shared" si="202"/>
        <v>30.345000000000002</v>
      </c>
      <c r="I630" s="420">
        <v>88.65</v>
      </c>
      <c r="J630" s="420">
        <f t="shared" si="203"/>
        <v>118.995</v>
      </c>
      <c r="K630" s="421">
        <f t="shared" si="181"/>
        <v>141.38</v>
      </c>
      <c r="L630" s="647" t="s">
        <v>16</v>
      </c>
      <c r="M630" s="576"/>
      <c r="N630" s="576">
        <f t="shared" si="186"/>
        <v>0</v>
      </c>
      <c r="O630" s="577">
        <f t="shared" si="196"/>
        <v>0</v>
      </c>
      <c r="P630" s="578">
        <f t="shared" si="197"/>
        <v>0</v>
      </c>
      <c r="Q630" s="765"/>
      <c r="R630" s="576">
        <f t="shared" si="201"/>
        <v>0</v>
      </c>
      <c r="S630" s="576">
        <f t="shared" si="198"/>
        <v>0</v>
      </c>
      <c r="T630" s="577">
        <f t="shared" si="194"/>
        <v>0</v>
      </c>
      <c r="U630" s="578">
        <f t="shared" si="195"/>
        <v>0</v>
      </c>
      <c r="V630" s="579"/>
      <c r="W630" s="566"/>
      <c r="X630" s="586" t="str">
        <f t="shared" si="191"/>
        <v/>
      </c>
      <c r="Y630" s="586" t="str">
        <f t="shared" si="189"/>
        <v/>
      </c>
      <c r="Z630" s="586" t="str">
        <f t="shared" si="183"/>
        <v/>
      </c>
    </row>
    <row r="631" spans="1:26" hidden="1" x14ac:dyDescent="0.2">
      <c r="A631" s="567">
        <v>530200</v>
      </c>
      <c r="B631" s="644" t="s">
        <v>1822</v>
      </c>
      <c r="C631" s="645" t="s">
        <v>206</v>
      </c>
      <c r="D631" s="422" t="s">
        <v>493</v>
      </c>
      <c r="E631" s="423"/>
      <c r="F631" s="418">
        <v>20</v>
      </c>
      <c r="G631" s="419">
        <v>2.2000000000000002</v>
      </c>
      <c r="H631" s="663">
        <f t="shared" si="202"/>
        <v>52.976000000000006</v>
      </c>
      <c r="I631" s="420">
        <v>94.56</v>
      </c>
      <c r="J631" s="420">
        <f t="shared" si="203"/>
        <v>147.536</v>
      </c>
      <c r="K631" s="421">
        <f t="shared" si="181"/>
        <v>175.29</v>
      </c>
      <c r="L631" s="647" t="s">
        <v>16</v>
      </c>
      <c r="M631" s="576"/>
      <c r="N631" s="576">
        <f t="shared" si="186"/>
        <v>0</v>
      </c>
      <c r="O631" s="577">
        <f t="shared" si="196"/>
        <v>0</v>
      </c>
      <c r="P631" s="578">
        <f t="shared" si="197"/>
        <v>0</v>
      </c>
      <c r="Q631" s="765"/>
      <c r="R631" s="576">
        <f t="shared" si="201"/>
        <v>0</v>
      </c>
      <c r="S631" s="576">
        <f t="shared" si="198"/>
        <v>0</v>
      </c>
      <c r="T631" s="577">
        <f t="shared" si="194"/>
        <v>0</v>
      </c>
      <c r="U631" s="578">
        <f t="shared" si="195"/>
        <v>0</v>
      </c>
      <c r="V631" s="579"/>
      <c r="W631" s="566"/>
      <c r="X631" s="586" t="str">
        <f t="shared" si="191"/>
        <v/>
      </c>
      <c r="Y631" s="586" t="str">
        <f t="shared" si="189"/>
        <v/>
      </c>
      <c r="Z631" s="586" t="str">
        <f t="shared" si="183"/>
        <v/>
      </c>
    </row>
    <row r="632" spans="1:26" hidden="1" x14ac:dyDescent="0.2">
      <c r="A632" s="567">
        <v>531000</v>
      </c>
      <c r="B632" s="644" t="s">
        <v>1823</v>
      </c>
      <c r="C632" s="645" t="s">
        <v>206</v>
      </c>
      <c r="D632" s="422" t="s">
        <v>288</v>
      </c>
      <c r="E632" s="423"/>
      <c r="F632" s="424">
        <v>20</v>
      </c>
      <c r="G632" s="425">
        <v>2.4</v>
      </c>
      <c r="H632" s="651">
        <f t="shared" si="202"/>
        <v>57.792000000000002</v>
      </c>
      <c r="I632" s="420">
        <v>127.37</v>
      </c>
      <c r="J632" s="420">
        <f t="shared" si="203"/>
        <v>185.16200000000001</v>
      </c>
      <c r="K632" s="421">
        <f t="shared" si="181"/>
        <v>219.99</v>
      </c>
      <c r="L632" s="647" t="s">
        <v>16</v>
      </c>
      <c r="M632" s="700"/>
      <c r="N632" s="588">
        <f t="shared" si="186"/>
        <v>0</v>
      </c>
      <c r="O632" s="585">
        <f t="shared" si="196"/>
        <v>0</v>
      </c>
      <c r="P632" s="660">
        <f t="shared" si="197"/>
        <v>0</v>
      </c>
      <c r="Q632" s="765"/>
      <c r="R632" s="576">
        <f t="shared" si="201"/>
        <v>0</v>
      </c>
      <c r="S632" s="576">
        <f t="shared" si="198"/>
        <v>0</v>
      </c>
      <c r="T632" s="577">
        <f t="shared" si="194"/>
        <v>0</v>
      </c>
      <c r="U632" s="578">
        <f t="shared" si="195"/>
        <v>0</v>
      </c>
      <c r="V632" s="579"/>
      <c r="W632" s="566"/>
      <c r="X632" s="586" t="str">
        <f t="shared" si="191"/>
        <v/>
      </c>
      <c r="Y632" s="586" t="str">
        <f t="shared" si="189"/>
        <v/>
      </c>
      <c r="Z632" s="586" t="str">
        <f t="shared" si="183"/>
        <v/>
      </c>
    </row>
    <row r="633" spans="1:26" hidden="1" x14ac:dyDescent="0.2">
      <c r="A633" s="567">
        <v>560100</v>
      </c>
      <c r="B633" s="461" t="s">
        <v>1824</v>
      </c>
      <c r="C633" s="462" t="s">
        <v>206</v>
      </c>
      <c r="D633" s="463" t="s">
        <v>1573</v>
      </c>
      <c r="E633" s="464"/>
      <c r="F633" s="465" t="s">
        <v>667</v>
      </c>
      <c r="G633" s="466">
        <v>1.1999999999999999E-3</v>
      </c>
      <c r="H633" s="681"/>
      <c r="I633" s="467">
        <v>0.5</v>
      </c>
      <c r="J633" s="467">
        <f>I633</f>
        <v>0.5</v>
      </c>
      <c r="K633" s="682">
        <f t="shared" si="181"/>
        <v>0.59</v>
      </c>
      <c r="L633" s="683" t="s">
        <v>18</v>
      </c>
      <c r="M633" s="685"/>
      <c r="N633" s="686">
        <f t="shared" si="186"/>
        <v>0</v>
      </c>
      <c r="O633" s="687">
        <f t="shared" si="196"/>
        <v>0</v>
      </c>
      <c r="P633" s="688">
        <f t="shared" si="197"/>
        <v>0</v>
      </c>
      <c r="Q633" s="765"/>
      <c r="R633" s="685">
        <f t="shared" si="201"/>
        <v>0</v>
      </c>
      <c r="S633" s="686">
        <f t="shared" si="198"/>
        <v>0</v>
      </c>
      <c r="T633" s="687">
        <f t="shared" si="194"/>
        <v>0</v>
      </c>
      <c r="U633" s="688">
        <f t="shared" si="195"/>
        <v>0</v>
      </c>
      <c r="V633" s="579"/>
      <c r="W633" s="566"/>
      <c r="X633" s="586" t="str">
        <f t="shared" si="191"/>
        <v/>
      </c>
      <c r="Y633" s="586" t="str">
        <f t="shared" si="189"/>
        <v/>
      </c>
      <c r="Z633" s="586" t="str">
        <f t="shared" si="183"/>
        <v/>
      </c>
    </row>
    <row r="634" spans="1:26" ht="12" hidden="1" thickBot="1" x14ac:dyDescent="0.25">
      <c r="A634" s="567">
        <v>589420</v>
      </c>
      <c r="B634" s="468" t="s">
        <v>1825</v>
      </c>
      <c r="C634" s="488" t="s">
        <v>1746</v>
      </c>
      <c r="D634" s="469" t="s">
        <v>745</v>
      </c>
      <c r="E634" s="470"/>
      <c r="F634" s="471">
        <v>500</v>
      </c>
      <c r="G634" s="785">
        <v>1</v>
      </c>
      <c r="H634" s="663">
        <f>(0.84*F634+41.45)*G634</f>
        <v>461.45</v>
      </c>
      <c r="I634" s="472">
        <v>3820</v>
      </c>
      <c r="J634" s="472">
        <f>IF(ISBLANK(I634),"",I634*(1+$F$9)/(1+$F$10))+H634</f>
        <v>4167.952819627978</v>
      </c>
      <c r="K634" s="690">
        <f t="shared" si="181"/>
        <v>4951.9399999999996</v>
      </c>
      <c r="L634" s="691" t="s">
        <v>20</v>
      </c>
      <c r="M634" s="692">
        <f>ROUND(M633*G633,2)</f>
        <v>0</v>
      </c>
      <c r="N634" s="696">
        <f t="shared" si="186"/>
        <v>0</v>
      </c>
      <c r="O634" s="693">
        <f t="shared" si="196"/>
        <v>0</v>
      </c>
      <c r="P634" s="694">
        <f t="shared" si="197"/>
        <v>0</v>
      </c>
      <c r="Q634" s="765"/>
      <c r="R634" s="695">
        <f>ROUND(R633*G633,2)</f>
        <v>0</v>
      </c>
      <c r="S634" s="696">
        <f t="shared" si="198"/>
        <v>0</v>
      </c>
      <c r="T634" s="693">
        <f t="shared" si="194"/>
        <v>0</v>
      </c>
      <c r="U634" s="694">
        <f t="shared" si="195"/>
        <v>0</v>
      </c>
      <c r="V634" s="579"/>
      <c r="W634" s="566"/>
      <c r="X634" s="586" t="str">
        <f t="shared" si="191"/>
        <v/>
      </c>
      <c r="Y634" s="586" t="str">
        <f t="shared" si="189"/>
        <v/>
      </c>
      <c r="Z634" s="586" t="str">
        <f t="shared" si="183"/>
        <v/>
      </c>
    </row>
    <row r="635" spans="1:26" hidden="1" x14ac:dyDescent="0.2">
      <c r="A635" s="567">
        <v>560100</v>
      </c>
      <c r="B635" s="461" t="s">
        <v>1826</v>
      </c>
      <c r="C635" s="462" t="s">
        <v>206</v>
      </c>
      <c r="D635" s="463" t="s">
        <v>646</v>
      </c>
      <c r="E635" s="464"/>
      <c r="F635" s="465" t="s">
        <v>667</v>
      </c>
      <c r="G635" s="466">
        <v>1.1000000000000001E-3</v>
      </c>
      <c r="H635" s="681"/>
      <c r="I635" s="467">
        <v>0.5</v>
      </c>
      <c r="J635" s="467">
        <f>IF(ISBLANK(I635),"",SUM(H635:I635))</f>
        <v>0.5</v>
      </c>
      <c r="K635" s="682">
        <f t="shared" si="181"/>
        <v>0.59</v>
      </c>
      <c r="L635" s="683" t="s">
        <v>18</v>
      </c>
      <c r="M635" s="685"/>
      <c r="N635" s="576">
        <f t="shared" si="186"/>
        <v>0</v>
      </c>
      <c r="O635" s="687">
        <f t="shared" si="196"/>
        <v>0</v>
      </c>
      <c r="P635" s="688">
        <f t="shared" si="197"/>
        <v>0</v>
      </c>
      <c r="Q635" s="765"/>
      <c r="R635" s="685">
        <f>M635</f>
        <v>0</v>
      </c>
      <c r="S635" s="686">
        <f t="shared" si="198"/>
        <v>0</v>
      </c>
      <c r="T635" s="687">
        <f t="shared" si="194"/>
        <v>0</v>
      </c>
      <c r="U635" s="688">
        <f t="shared" si="195"/>
        <v>0</v>
      </c>
      <c r="V635" s="579"/>
      <c r="W635" s="566"/>
      <c r="X635" s="586" t="str">
        <f t="shared" si="191"/>
        <v/>
      </c>
      <c r="Y635" s="586" t="str">
        <f t="shared" si="189"/>
        <v/>
      </c>
      <c r="Z635" s="586" t="str">
        <f t="shared" si="183"/>
        <v/>
      </c>
    </row>
    <row r="636" spans="1:26" ht="12" hidden="1" thickBot="1" x14ac:dyDescent="0.25">
      <c r="A636" s="567">
        <v>589190</v>
      </c>
      <c r="B636" s="468" t="s">
        <v>1827</v>
      </c>
      <c r="C636" s="488" t="s">
        <v>1746</v>
      </c>
      <c r="D636" s="469" t="s">
        <v>746</v>
      </c>
      <c r="E636" s="470"/>
      <c r="F636" s="471">
        <v>500</v>
      </c>
      <c r="G636" s="785">
        <v>1</v>
      </c>
      <c r="H636" s="663">
        <f>(0.84*F636+41.45)*G636</f>
        <v>461.45</v>
      </c>
      <c r="I636" s="472">
        <v>4040</v>
      </c>
      <c r="J636" s="472">
        <f>IF(ISBLANK(I636),"",I636*(1+$F$9)/(1+$F$10))+H636</f>
        <v>4381.4163328002696</v>
      </c>
      <c r="K636" s="690">
        <f t="shared" si="181"/>
        <v>5205.5600000000004</v>
      </c>
      <c r="L636" s="691" t="s">
        <v>20</v>
      </c>
      <c r="M636" s="692">
        <f>ROUND(M635*G635,2)</f>
        <v>0</v>
      </c>
      <c r="N636" s="588">
        <f t="shared" si="186"/>
        <v>0</v>
      </c>
      <c r="O636" s="693">
        <f t="shared" si="196"/>
        <v>0</v>
      </c>
      <c r="P636" s="694">
        <f t="shared" si="197"/>
        <v>0</v>
      </c>
      <c r="Q636" s="765"/>
      <c r="R636" s="695">
        <f>ROUND(R635*G635,2)</f>
        <v>0</v>
      </c>
      <c r="S636" s="696">
        <f t="shared" si="198"/>
        <v>0</v>
      </c>
      <c r="T636" s="693">
        <f t="shared" si="194"/>
        <v>0</v>
      </c>
      <c r="U636" s="694">
        <f t="shared" si="195"/>
        <v>0</v>
      </c>
      <c r="V636" s="579"/>
      <c r="W636" s="566"/>
      <c r="X636" s="586" t="str">
        <f t="shared" si="191"/>
        <v/>
      </c>
      <c r="Y636" s="586" t="str">
        <f t="shared" si="189"/>
        <v/>
      </c>
      <c r="Z636" s="586" t="str">
        <f t="shared" si="183"/>
        <v/>
      </c>
    </row>
    <row r="637" spans="1:26" hidden="1" x14ac:dyDescent="0.2">
      <c r="A637" s="567">
        <v>560400</v>
      </c>
      <c r="B637" s="461" t="s">
        <v>1828</v>
      </c>
      <c r="C637" s="462" t="s">
        <v>206</v>
      </c>
      <c r="D637" s="463" t="s">
        <v>647</v>
      </c>
      <c r="E637" s="464"/>
      <c r="F637" s="465" t="s">
        <v>667</v>
      </c>
      <c r="G637" s="466">
        <v>1.1999999999999999E-3</v>
      </c>
      <c r="H637" s="681"/>
      <c r="I637" s="467">
        <v>0.5</v>
      </c>
      <c r="J637" s="467">
        <f>IF(ISBLANK(I637),"",SUM(H637:I637))</f>
        <v>0.5</v>
      </c>
      <c r="K637" s="682">
        <f t="shared" si="181"/>
        <v>0.59</v>
      </c>
      <c r="L637" s="683" t="s">
        <v>18</v>
      </c>
      <c r="M637" s="685"/>
      <c r="N637" s="686">
        <f t="shared" si="186"/>
        <v>0</v>
      </c>
      <c r="O637" s="687">
        <f t="shared" si="196"/>
        <v>0</v>
      </c>
      <c r="P637" s="688">
        <f t="shared" si="197"/>
        <v>0</v>
      </c>
      <c r="Q637" s="765"/>
      <c r="R637" s="685">
        <f>M637</f>
        <v>0</v>
      </c>
      <c r="S637" s="686">
        <f t="shared" si="198"/>
        <v>0</v>
      </c>
      <c r="T637" s="687">
        <f t="shared" si="194"/>
        <v>0</v>
      </c>
      <c r="U637" s="688">
        <f t="shared" si="195"/>
        <v>0</v>
      </c>
      <c r="V637" s="579"/>
      <c r="W637" s="566"/>
      <c r="X637" s="586" t="str">
        <f t="shared" si="191"/>
        <v/>
      </c>
      <c r="Y637" s="586" t="str">
        <f t="shared" si="189"/>
        <v/>
      </c>
      <c r="Z637" s="586" t="str">
        <f t="shared" si="183"/>
        <v/>
      </c>
    </row>
    <row r="638" spans="1:26" ht="12" hidden="1" thickBot="1" x14ac:dyDescent="0.25">
      <c r="A638" s="567">
        <v>589100</v>
      </c>
      <c r="B638" s="468" t="s">
        <v>1829</v>
      </c>
      <c r="C638" s="488" t="s">
        <v>1746</v>
      </c>
      <c r="D638" s="469" t="s">
        <v>653</v>
      </c>
      <c r="E638" s="470"/>
      <c r="F638" s="471">
        <v>500</v>
      </c>
      <c r="G638" s="785">
        <v>1</v>
      </c>
      <c r="H638" s="663">
        <f>(0.84*F638+41.45)*G638</f>
        <v>461.45</v>
      </c>
      <c r="I638" s="472">
        <v>6629</v>
      </c>
      <c r="J638" s="472">
        <f>IF(ISBLANK(I638),"",I638*(1+$F$9)/(1+$F$10))+H638</f>
        <v>6893.4937673596505</v>
      </c>
      <c r="K638" s="690">
        <f t="shared" si="181"/>
        <v>8190.16</v>
      </c>
      <c r="L638" s="691" t="s">
        <v>20</v>
      </c>
      <c r="M638" s="692">
        <f>ROUND(M637*G637,2)</f>
        <v>0</v>
      </c>
      <c r="N638" s="696">
        <f t="shared" si="186"/>
        <v>0</v>
      </c>
      <c r="O638" s="693">
        <f t="shared" si="196"/>
        <v>0</v>
      </c>
      <c r="P638" s="694">
        <f t="shared" si="197"/>
        <v>0</v>
      </c>
      <c r="Q638" s="765"/>
      <c r="R638" s="695">
        <f>ROUND(R637*G637,2)</f>
        <v>0</v>
      </c>
      <c r="S638" s="696">
        <f t="shared" si="198"/>
        <v>0</v>
      </c>
      <c r="T638" s="693">
        <f t="shared" si="194"/>
        <v>0</v>
      </c>
      <c r="U638" s="694">
        <f t="shared" si="195"/>
        <v>0</v>
      </c>
      <c r="V638" s="579"/>
      <c r="W638" s="566"/>
      <c r="X638" s="586" t="str">
        <f t="shared" si="191"/>
        <v/>
      </c>
      <c r="Y638" s="586" t="str">
        <f t="shared" si="189"/>
        <v/>
      </c>
      <c r="Z638" s="586" t="str">
        <f t="shared" si="183"/>
        <v/>
      </c>
    </row>
    <row r="639" spans="1:26" hidden="1" x14ac:dyDescent="0.2">
      <c r="A639" s="567">
        <v>561100</v>
      </c>
      <c r="B639" s="461" t="s">
        <v>1830</v>
      </c>
      <c r="C639" s="462" t="s">
        <v>206</v>
      </c>
      <c r="D639" s="463" t="s">
        <v>747</v>
      </c>
      <c r="E639" s="464"/>
      <c r="F639" s="465" t="s">
        <v>667</v>
      </c>
      <c r="G639" s="466">
        <v>5.0000000000000001E-4</v>
      </c>
      <c r="H639" s="681"/>
      <c r="I639" s="467">
        <v>0.34</v>
      </c>
      <c r="J639" s="467">
        <f>IF(ISBLANK(I639),"",SUM(H639:I639))</f>
        <v>0.34</v>
      </c>
      <c r="K639" s="682">
        <f t="shared" si="181"/>
        <v>0.4</v>
      </c>
      <c r="L639" s="683" t="s">
        <v>18</v>
      </c>
      <c r="M639" s="685"/>
      <c r="N639" s="576">
        <f t="shared" si="186"/>
        <v>0</v>
      </c>
      <c r="O639" s="687">
        <f t="shared" si="196"/>
        <v>0</v>
      </c>
      <c r="P639" s="688">
        <f t="shared" si="197"/>
        <v>0</v>
      </c>
      <c r="Q639" s="765"/>
      <c r="R639" s="685">
        <f>M639</f>
        <v>0</v>
      </c>
      <c r="S639" s="686">
        <f t="shared" si="198"/>
        <v>0</v>
      </c>
      <c r="T639" s="687">
        <f t="shared" si="194"/>
        <v>0</v>
      </c>
      <c r="U639" s="688">
        <f t="shared" si="195"/>
        <v>0</v>
      </c>
      <c r="V639" s="579"/>
      <c r="W639" s="566"/>
      <c r="X639" s="586" t="str">
        <f t="shared" si="191"/>
        <v/>
      </c>
      <c r="Y639" s="586" t="str">
        <f t="shared" si="189"/>
        <v/>
      </c>
      <c r="Z639" s="586" t="str">
        <f t="shared" si="183"/>
        <v/>
      </c>
    </row>
    <row r="640" spans="1:26" ht="12" hidden="1" thickBot="1" x14ac:dyDescent="0.25">
      <c r="A640" s="567">
        <v>589420</v>
      </c>
      <c r="B640" s="468" t="s">
        <v>1831</v>
      </c>
      <c r="C640" s="488" t="s">
        <v>1746</v>
      </c>
      <c r="D640" s="469" t="s">
        <v>821</v>
      </c>
      <c r="E640" s="470"/>
      <c r="F640" s="471">
        <v>500</v>
      </c>
      <c r="G640" s="697">
        <v>1</v>
      </c>
      <c r="H640" s="663">
        <f>(0.84*F640+41.45)*G640</f>
        <v>461.45</v>
      </c>
      <c r="I640" s="472">
        <v>3820</v>
      </c>
      <c r="J640" s="472">
        <f>IF(ISBLANK(I640),"",I640*(1+$F$9)/(1+$F$10))+H640</f>
        <v>4167.952819627978</v>
      </c>
      <c r="K640" s="690">
        <f t="shared" si="181"/>
        <v>4951.9399999999996</v>
      </c>
      <c r="L640" s="691" t="s">
        <v>20</v>
      </c>
      <c r="M640" s="692">
        <f>ROUND(M639*G639,2)</f>
        <v>0</v>
      </c>
      <c r="N640" s="588">
        <f t="shared" si="186"/>
        <v>0</v>
      </c>
      <c r="O640" s="693">
        <f t="shared" si="196"/>
        <v>0</v>
      </c>
      <c r="P640" s="694">
        <f t="shared" si="197"/>
        <v>0</v>
      </c>
      <c r="Q640" s="765"/>
      <c r="R640" s="695">
        <f>ROUND(R639*G639,2)</f>
        <v>0</v>
      </c>
      <c r="S640" s="696">
        <f t="shared" si="198"/>
        <v>0</v>
      </c>
      <c r="T640" s="693">
        <f t="shared" si="194"/>
        <v>0</v>
      </c>
      <c r="U640" s="694">
        <f t="shared" si="195"/>
        <v>0</v>
      </c>
      <c r="V640" s="579"/>
      <c r="W640" s="566"/>
      <c r="X640" s="586" t="str">
        <f t="shared" si="191"/>
        <v/>
      </c>
      <c r="Y640" s="586" t="str">
        <f t="shared" si="189"/>
        <v/>
      </c>
      <c r="Z640" s="586" t="str">
        <f t="shared" si="183"/>
        <v/>
      </c>
    </row>
    <row r="641" spans="1:26" hidden="1" x14ac:dyDescent="0.2">
      <c r="A641" s="567">
        <v>563100</v>
      </c>
      <c r="B641" s="701" t="s">
        <v>1832</v>
      </c>
      <c r="C641" s="702" t="s">
        <v>206</v>
      </c>
      <c r="D641" s="463" t="s">
        <v>261</v>
      </c>
      <c r="E641" s="464"/>
      <c r="F641" s="465" t="s">
        <v>661</v>
      </c>
      <c r="G641" s="466">
        <v>5.0000000000000001E-4</v>
      </c>
      <c r="H641" s="681">
        <f>SUM(H642)</f>
        <v>0.13705999999999999</v>
      </c>
      <c r="I641" s="467">
        <v>1.25</v>
      </c>
      <c r="J641" s="467">
        <f>IF(ISBLANK(I641),"",SUM(H641:I641))</f>
        <v>1.38706</v>
      </c>
      <c r="K641" s="682">
        <f t="shared" si="181"/>
        <v>1.65</v>
      </c>
      <c r="L641" s="683" t="s">
        <v>18</v>
      </c>
      <c r="M641" s="685"/>
      <c r="N641" s="686">
        <f t="shared" si="186"/>
        <v>0</v>
      </c>
      <c r="O641" s="687">
        <f t="shared" si="196"/>
        <v>0</v>
      </c>
      <c r="P641" s="688">
        <f t="shared" si="197"/>
        <v>0</v>
      </c>
      <c r="Q641" s="765"/>
      <c r="R641" s="685">
        <f>M641</f>
        <v>0</v>
      </c>
      <c r="S641" s="686">
        <f t="shared" si="198"/>
        <v>0</v>
      </c>
      <c r="T641" s="687">
        <f t="shared" si="194"/>
        <v>0</v>
      </c>
      <c r="U641" s="688">
        <f t="shared" si="195"/>
        <v>0</v>
      </c>
      <c r="V641" s="579"/>
      <c r="W641" s="566"/>
      <c r="X641" s="586" t="str">
        <f t="shared" si="191"/>
        <v/>
      </c>
      <c r="Y641" s="586" t="str">
        <f t="shared" si="189"/>
        <v/>
      </c>
      <c r="Z641" s="586" t="str">
        <f t="shared" si="183"/>
        <v/>
      </c>
    </row>
    <row r="642" spans="1:26" hidden="1" x14ac:dyDescent="0.2">
      <c r="A642" s="567" t="s">
        <v>168</v>
      </c>
      <c r="B642" s="644" t="s">
        <v>168</v>
      </c>
      <c r="C642" s="645"/>
      <c r="D642" s="451" t="s">
        <v>252</v>
      </c>
      <c r="E642" s="423"/>
      <c r="F642" s="418">
        <v>20</v>
      </c>
      <c r="G642" s="425">
        <v>7.0000000000000001E-3</v>
      </c>
      <c r="H642" s="663">
        <f>IF(F642&lt;=30,(0.87*F642+2.18)*G642,((0.87*30+2.18)+0.87*(F642-30))*G642)</f>
        <v>0.13705999999999999</v>
      </c>
      <c r="I642" s="420">
        <v>0</v>
      </c>
      <c r="J642" s="420"/>
      <c r="K642" s="421">
        <f t="shared" si="181"/>
        <v>0</v>
      </c>
      <c r="L642" s="668" t="s">
        <v>614</v>
      </c>
      <c r="M642" s="703"/>
      <c r="N642" s="576">
        <f t="shared" si="186"/>
        <v>0</v>
      </c>
      <c r="O642" s="577">
        <f t="shared" si="196"/>
        <v>0</v>
      </c>
      <c r="P642" s="578">
        <f t="shared" si="197"/>
        <v>0</v>
      </c>
      <c r="Q642" s="765"/>
      <c r="R642" s="703"/>
      <c r="S642" s="670"/>
      <c r="T642" s="577">
        <f t="shared" si="194"/>
        <v>0</v>
      </c>
      <c r="U642" s="578">
        <f t="shared" si="195"/>
        <v>0</v>
      </c>
      <c r="V642" s="579"/>
      <c r="W642" s="637" t="str">
        <f>IF(U641&gt;0,"xx",IF(P641&gt;0,"xy",""))</f>
        <v/>
      </c>
      <c r="X642" s="586" t="str">
        <f t="shared" si="191"/>
        <v/>
      </c>
      <c r="Y642" s="586" t="str">
        <f t="shared" si="189"/>
        <v/>
      </c>
      <c r="Z642" s="586" t="str">
        <f t="shared" si="183"/>
        <v/>
      </c>
    </row>
    <row r="643" spans="1:26" ht="12" hidden="1" thickBot="1" x14ac:dyDescent="0.25">
      <c r="A643" s="567">
        <v>589520</v>
      </c>
      <c r="B643" s="704" t="s">
        <v>1833</v>
      </c>
      <c r="C643" s="689" t="s">
        <v>1746</v>
      </c>
      <c r="D643" s="477" t="s">
        <v>656</v>
      </c>
      <c r="E643" s="470"/>
      <c r="F643" s="478">
        <v>500</v>
      </c>
      <c r="G643" s="479">
        <v>1</v>
      </c>
      <c r="H643" s="663">
        <f>(0.84*F643+41.45)*G643</f>
        <v>461.45</v>
      </c>
      <c r="I643" s="472">
        <v>4680</v>
      </c>
      <c r="J643" s="472">
        <f>IF(ISBLANK(I643),"",I643*(1+$F$9)/(1+$F$10))+H643</f>
        <v>5002.4010983923918</v>
      </c>
      <c r="K643" s="690">
        <f t="shared" si="181"/>
        <v>5943.35</v>
      </c>
      <c r="L643" s="691" t="s">
        <v>20</v>
      </c>
      <c r="M643" s="692">
        <f>ROUND(M641*G641,2)</f>
        <v>0</v>
      </c>
      <c r="N643" s="696">
        <f t="shared" si="186"/>
        <v>0</v>
      </c>
      <c r="O643" s="693">
        <f>IF(ISBLANK(M643),0,ROUND(K643*M643,2))</f>
        <v>0</v>
      </c>
      <c r="P643" s="694">
        <f>IF(ISBLANK(N643),0,ROUND(M643*N643,2))</f>
        <v>0</v>
      </c>
      <c r="Q643" s="765"/>
      <c r="R643" s="695">
        <f>ROUND(R641*G641,2)</f>
        <v>0</v>
      </c>
      <c r="S643" s="718">
        <f t="shared" si="198"/>
        <v>0</v>
      </c>
      <c r="T643" s="693">
        <f t="shared" si="194"/>
        <v>0</v>
      </c>
      <c r="U643" s="694">
        <f t="shared" si="195"/>
        <v>0</v>
      </c>
      <c r="V643" s="579"/>
      <c r="W643" s="637" t="str">
        <f>IF(U641&gt;0,"xx",IF(P641&gt;0,"xy",""))</f>
        <v/>
      </c>
      <c r="X643" s="586" t="str">
        <f t="shared" si="191"/>
        <v/>
      </c>
      <c r="Y643" s="586" t="str">
        <f t="shared" si="189"/>
        <v/>
      </c>
      <c r="Z643" s="586" t="str">
        <f t="shared" si="183"/>
        <v/>
      </c>
    </row>
    <row r="644" spans="1:26" hidden="1" x14ac:dyDescent="0.2">
      <c r="A644" s="567">
        <v>534000</v>
      </c>
      <c r="B644" s="701" t="s">
        <v>1834</v>
      </c>
      <c r="C644" s="702" t="s">
        <v>206</v>
      </c>
      <c r="D644" s="463" t="s">
        <v>1912</v>
      </c>
      <c r="E644" s="464"/>
      <c r="F644" s="465" t="s">
        <v>663</v>
      </c>
      <c r="G644" s="466">
        <v>0.08</v>
      </c>
      <c r="H644" s="681">
        <f>SUM(H645:H648)</f>
        <v>59.111280000000008</v>
      </c>
      <c r="I644" s="467">
        <v>138.26</v>
      </c>
      <c r="J644" s="467">
        <f>IF(ISBLANK(I644),"",SUM(H644:I644))</f>
        <v>197.37128000000001</v>
      </c>
      <c r="K644" s="682">
        <f t="shared" si="181"/>
        <v>234.5</v>
      </c>
      <c r="L644" s="683" t="s">
        <v>16</v>
      </c>
      <c r="M644" s="685"/>
      <c r="N644" s="576">
        <f t="shared" si="186"/>
        <v>0</v>
      </c>
      <c r="O644" s="687">
        <f t="shared" si="196"/>
        <v>0</v>
      </c>
      <c r="P644" s="688">
        <f t="shared" si="197"/>
        <v>0</v>
      </c>
      <c r="Q644" s="765"/>
      <c r="R644" s="685">
        <f>M644</f>
        <v>0</v>
      </c>
      <c r="S644" s="686">
        <f t="shared" si="198"/>
        <v>0</v>
      </c>
      <c r="T644" s="687">
        <f t="shared" si="194"/>
        <v>0</v>
      </c>
      <c r="U644" s="688">
        <f t="shared" si="195"/>
        <v>0</v>
      </c>
      <c r="V644" s="579"/>
      <c r="W644" s="566"/>
      <c r="X644" s="586" t="str">
        <f t="shared" si="191"/>
        <v/>
      </c>
      <c r="Y644" s="586" t="str">
        <f t="shared" si="189"/>
        <v/>
      </c>
      <c r="Z644" s="586" t="str">
        <f t="shared" si="183"/>
        <v/>
      </c>
    </row>
    <row r="645" spans="1:26" hidden="1" x14ac:dyDescent="0.2">
      <c r="A645" s="567" t="s">
        <v>168</v>
      </c>
      <c r="B645" s="644" t="s">
        <v>168</v>
      </c>
      <c r="C645" s="645"/>
      <c r="D645" s="451" t="s">
        <v>248</v>
      </c>
      <c r="E645" s="423"/>
      <c r="F645" s="424">
        <v>180</v>
      </c>
      <c r="G645" s="425"/>
      <c r="H645" s="651">
        <f t="shared" ref="H645:H648" si="204">IF(F645&lt;=30,(1.07*F645+2.68)*G645,((1.07*30+2.68)+1.07*(F645-30))*G645)</f>
        <v>0</v>
      </c>
      <c r="I645" s="420">
        <v>0</v>
      </c>
      <c r="J645" s="420">
        <f>IF(ISBLANK(I645),"",SUM(H645:I645))</f>
        <v>0</v>
      </c>
      <c r="K645" s="421">
        <f t="shared" si="181"/>
        <v>0</v>
      </c>
      <c r="L645" s="647" t="s">
        <v>614</v>
      </c>
      <c r="M645" s="703"/>
      <c r="N645" s="576">
        <f t="shared" si="186"/>
        <v>0</v>
      </c>
      <c r="O645" s="577">
        <f t="shared" si="196"/>
        <v>0</v>
      </c>
      <c r="P645" s="578">
        <f t="shared" si="197"/>
        <v>0</v>
      </c>
      <c r="Q645" s="765"/>
      <c r="R645" s="703"/>
      <c r="S645" s="670"/>
      <c r="T645" s="577">
        <f t="shared" si="194"/>
        <v>0</v>
      </c>
      <c r="U645" s="578">
        <f t="shared" si="195"/>
        <v>0</v>
      </c>
      <c r="V645" s="579"/>
      <c r="W645" s="637" t="str">
        <f>IF(U644&gt;0,"xx",IF(P644&gt;0,"xy",""))</f>
        <v/>
      </c>
      <c r="X645" s="586" t="str">
        <f t="shared" si="191"/>
        <v/>
      </c>
      <c r="Y645" s="586" t="str">
        <f t="shared" si="189"/>
        <v/>
      </c>
      <c r="Z645" s="586" t="str">
        <f t="shared" si="183"/>
        <v/>
      </c>
    </row>
    <row r="646" spans="1:26" hidden="1" x14ac:dyDescent="0.2">
      <c r="A646" s="567" t="s">
        <v>168</v>
      </c>
      <c r="B646" s="644" t="s">
        <v>168</v>
      </c>
      <c r="C646" s="645"/>
      <c r="D646" s="451" t="s">
        <v>249</v>
      </c>
      <c r="E646" s="423"/>
      <c r="F646" s="424">
        <v>500</v>
      </c>
      <c r="G646" s="425"/>
      <c r="H646" s="649">
        <f>IF(F646&lt;=30,(0.78*F646+7.82)*G646,((0.78*30+7.82)+0.78*(F646-30))*G646)</f>
        <v>0</v>
      </c>
      <c r="I646" s="420">
        <v>0</v>
      </c>
      <c r="J646" s="420">
        <f>IF(ISBLANK(I646),"",SUM(H646:I646))</f>
        <v>0</v>
      </c>
      <c r="K646" s="421">
        <f t="shared" si="181"/>
        <v>0</v>
      </c>
      <c r="L646" s="647" t="s">
        <v>614</v>
      </c>
      <c r="M646" s="703"/>
      <c r="N646" s="576">
        <f t="shared" si="186"/>
        <v>0</v>
      </c>
      <c r="O646" s="577">
        <f t="shared" si="196"/>
        <v>0</v>
      </c>
      <c r="P646" s="578">
        <f t="shared" si="197"/>
        <v>0</v>
      </c>
      <c r="Q646" s="765"/>
      <c r="R646" s="703"/>
      <c r="S646" s="670"/>
      <c r="T646" s="577">
        <f t="shared" si="194"/>
        <v>0</v>
      </c>
      <c r="U646" s="578">
        <f t="shared" si="195"/>
        <v>0</v>
      </c>
      <c r="V646" s="579"/>
      <c r="W646" s="637" t="str">
        <f>IF(U644&gt;0,"xx",IF(P644&gt;0,"xy",""))</f>
        <v/>
      </c>
      <c r="X646" s="586" t="str">
        <f>IF(W646="X","x",IF(W646="xx","x",IF(W646="xy","x",IF(W646="y","x",IF(OR(P646&gt;0,U646&gt;0),"x","")))))</f>
        <v/>
      </c>
      <c r="Y646" s="586" t="str">
        <f>IF(W646="X","x",IF(W646="y","x",IF(W646="xx","x",IF(U646&gt;0,"x",""))))</f>
        <v/>
      </c>
      <c r="Z646" s="586" t="str">
        <f>IF(W646="X","x",IF(U646&gt;0,"x",""))</f>
        <v/>
      </c>
    </row>
    <row r="647" spans="1:26" hidden="1" x14ac:dyDescent="0.2">
      <c r="A647" s="567" t="s">
        <v>168</v>
      </c>
      <c r="B647" s="644" t="s">
        <v>168</v>
      </c>
      <c r="C647" s="645"/>
      <c r="D647" s="451" t="s">
        <v>262</v>
      </c>
      <c r="E647" s="423"/>
      <c r="F647" s="424">
        <v>0.2</v>
      </c>
      <c r="G647" s="425">
        <v>2.12</v>
      </c>
      <c r="H647" s="651">
        <f t="shared" si="204"/>
        <v>6.1352800000000007</v>
      </c>
      <c r="I647" s="420">
        <v>0</v>
      </c>
      <c r="J647" s="420"/>
      <c r="K647" s="421">
        <f t="shared" si="181"/>
        <v>0</v>
      </c>
      <c r="L647" s="647" t="s">
        <v>614</v>
      </c>
      <c r="M647" s="703"/>
      <c r="N647" s="576">
        <f t="shared" si="186"/>
        <v>0</v>
      </c>
      <c r="O647" s="577">
        <f t="shared" si="196"/>
        <v>0</v>
      </c>
      <c r="P647" s="578">
        <f t="shared" si="197"/>
        <v>0</v>
      </c>
      <c r="Q647" s="765"/>
      <c r="R647" s="703"/>
      <c r="S647" s="670"/>
      <c r="T647" s="577">
        <f t="shared" si="194"/>
        <v>0</v>
      </c>
      <c r="U647" s="578">
        <f t="shared" si="195"/>
        <v>0</v>
      </c>
      <c r="V647" s="579"/>
      <c r="W647" s="637" t="str">
        <f>IF(U644&gt;0,"xx",IF(P644&gt;0,"xy",""))</f>
        <v/>
      </c>
      <c r="X647" s="586" t="str">
        <f>IF(W647="X","x",IF(W647="xx","x",IF(W647="xy","x",IF(W647="y","x",IF(OR(P647&gt;0,U647&gt;0),"x","")))))</f>
        <v/>
      </c>
      <c r="Y647" s="586" t="str">
        <f>IF(W647="X","x",IF(W647="y","x",IF(W647="xx","x",IF(U647&gt;0,"x",""))))</f>
        <v/>
      </c>
      <c r="Z647" s="586" t="str">
        <f>IF(W647="X","x",IF(U647&gt;0,"x",""))</f>
        <v/>
      </c>
    </row>
    <row r="648" spans="1:26" hidden="1" x14ac:dyDescent="0.2">
      <c r="A648" s="567" t="s">
        <v>168</v>
      </c>
      <c r="B648" s="644" t="s">
        <v>168</v>
      </c>
      <c r="C648" s="645"/>
      <c r="D648" s="451" t="s">
        <v>263</v>
      </c>
      <c r="E648" s="423"/>
      <c r="F648" s="424">
        <v>20</v>
      </c>
      <c r="G648" s="425">
        <f>SUM(G644:G647)</f>
        <v>2.2000000000000002</v>
      </c>
      <c r="H648" s="651">
        <f t="shared" si="204"/>
        <v>52.976000000000006</v>
      </c>
      <c r="I648" s="420">
        <v>0</v>
      </c>
      <c r="J648" s="420"/>
      <c r="K648" s="421">
        <f t="shared" ref="K648:K711" si="205">IF(ISBLANK(I648),0,ROUND(J648*(1+$F$10)*(1+$F$11*E648),2))</f>
        <v>0</v>
      </c>
      <c r="L648" s="647" t="s">
        <v>614</v>
      </c>
      <c r="M648" s="703"/>
      <c r="N648" s="576">
        <f t="shared" si="186"/>
        <v>0</v>
      </c>
      <c r="O648" s="577">
        <f t="shared" si="196"/>
        <v>0</v>
      </c>
      <c r="P648" s="578">
        <f t="shared" si="197"/>
        <v>0</v>
      </c>
      <c r="Q648" s="765"/>
      <c r="R648" s="703"/>
      <c r="S648" s="670"/>
      <c r="T648" s="577">
        <f t="shared" si="194"/>
        <v>0</v>
      </c>
      <c r="U648" s="578">
        <f t="shared" si="195"/>
        <v>0</v>
      </c>
      <c r="V648" s="579"/>
      <c r="W648" s="637" t="str">
        <f>IF(U644&gt;0,"xx",IF(P644&gt;0,"xy",""))</f>
        <v/>
      </c>
      <c r="X648" s="586" t="str">
        <f t="shared" si="191"/>
        <v/>
      </c>
      <c r="Y648" s="586" t="str">
        <f t="shared" si="189"/>
        <v/>
      </c>
      <c r="Z648" s="586" t="str">
        <f t="shared" si="183"/>
        <v/>
      </c>
    </row>
    <row r="649" spans="1:26" ht="12" hidden="1" thickBot="1" x14ac:dyDescent="0.25">
      <c r="A649" s="567">
        <v>589320</v>
      </c>
      <c r="B649" s="704" t="s">
        <v>1835</v>
      </c>
      <c r="C649" s="689" t="s">
        <v>1746</v>
      </c>
      <c r="D649" s="477" t="s">
        <v>812</v>
      </c>
      <c r="E649" s="470"/>
      <c r="F649" s="478">
        <v>500</v>
      </c>
      <c r="G649" s="479">
        <v>1</v>
      </c>
      <c r="H649" s="663">
        <f>(0.84*F649+41.45)*G649</f>
        <v>461.45</v>
      </c>
      <c r="I649" s="472">
        <v>4680</v>
      </c>
      <c r="J649" s="472">
        <f>IF(ISBLANK(I649),"",I649*(1+$F$9)/(1+$F$10))+H649</f>
        <v>5002.4010983923918</v>
      </c>
      <c r="K649" s="690">
        <f t="shared" si="205"/>
        <v>5943.35</v>
      </c>
      <c r="L649" s="691" t="s">
        <v>20</v>
      </c>
      <c r="M649" s="692">
        <f>ROUND(M644*G644,2)</f>
        <v>0</v>
      </c>
      <c r="N649" s="588">
        <f t="shared" si="186"/>
        <v>0</v>
      </c>
      <c r="O649" s="693">
        <f t="shared" si="196"/>
        <v>0</v>
      </c>
      <c r="P649" s="694">
        <f t="shared" si="197"/>
        <v>0</v>
      </c>
      <c r="Q649" s="765"/>
      <c r="R649" s="719">
        <f>ROUND(R644*G644,2)</f>
        <v>0</v>
      </c>
      <c r="S649" s="720">
        <f>N649</f>
        <v>0</v>
      </c>
      <c r="T649" s="693">
        <f t="shared" si="194"/>
        <v>0</v>
      </c>
      <c r="U649" s="694">
        <f t="shared" si="195"/>
        <v>0</v>
      </c>
      <c r="V649" s="579"/>
      <c r="W649" s="637" t="str">
        <f>IF(U644&gt;0,"xx",IF(P644&gt;0,"xy",""))</f>
        <v/>
      </c>
      <c r="X649" s="586" t="str">
        <f t="shared" si="191"/>
        <v/>
      </c>
      <c r="Y649" s="586" t="str">
        <f t="shared" si="189"/>
        <v/>
      </c>
      <c r="Z649" s="586" t="str">
        <f t="shared" si="183"/>
        <v/>
      </c>
    </row>
    <row r="650" spans="1:26" hidden="1" x14ac:dyDescent="0.2">
      <c r="A650" s="567">
        <v>534000</v>
      </c>
      <c r="B650" s="701" t="s">
        <v>1836</v>
      </c>
      <c r="C650" s="702" t="s">
        <v>206</v>
      </c>
      <c r="D650" s="463" t="s">
        <v>1913</v>
      </c>
      <c r="E650" s="464"/>
      <c r="F650" s="465" t="s">
        <v>663</v>
      </c>
      <c r="G650" s="466">
        <v>0.08</v>
      </c>
      <c r="H650" s="681">
        <f>SUM(H651:H654)</f>
        <v>59.111280000000008</v>
      </c>
      <c r="I650" s="467">
        <v>138.26</v>
      </c>
      <c r="J650" s="467">
        <f>IF(ISBLANK(I650),"",SUM(H650:I650))</f>
        <v>197.37128000000001</v>
      </c>
      <c r="K650" s="682">
        <f t="shared" si="205"/>
        <v>234.5</v>
      </c>
      <c r="L650" s="683" t="s">
        <v>16</v>
      </c>
      <c r="M650" s="685"/>
      <c r="N650" s="686">
        <f t="shared" si="186"/>
        <v>0</v>
      </c>
      <c r="O650" s="687">
        <f t="shared" si="196"/>
        <v>0</v>
      </c>
      <c r="P650" s="688">
        <f t="shared" si="197"/>
        <v>0</v>
      </c>
      <c r="Q650" s="765"/>
      <c r="R650" s="685">
        <f>M650</f>
        <v>0</v>
      </c>
      <c r="S650" s="686">
        <f t="shared" si="198"/>
        <v>0</v>
      </c>
      <c r="T650" s="687">
        <f t="shared" si="194"/>
        <v>0</v>
      </c>
      <c r="U650" s="688">
        <f t="shared" si="195"/>
        <v>0</v>
      </c>
      <c r="V650" s="579"/>
      <c r="W650" s="566"/>
      <c r="X650" s="586" t="str">
        <f t="shared" si="191"/>
        <v/>
      </c>
      <c r="Y650" s="586" t="str">
        <f t="shared" si="189"/>
        <v/>
      </c>
      <c r="Z650" s="586" t="str">
        <f t="shared" si="183"/>
        <v/>
      </c>
    </row>
    <row r="651" spans="1:26" hidden="1" x14ac:dyDescent="0.2">
      <c r="A651" s="567" t="s">
        <v>168</v>
      </c>
      <c r="B651" s="644" t="s">
        <v>168</v>
      </c>
      <c r="C651" s="645"/>
      <c r="D651" s="451" t="s">
        <v>248</v>
      </c>
      <c r="E651" s="423"/>
      <c r="F651" s="424">
        <v>180</v>
      </c>
      <c r="G651" s="425"/>
      <c r="H651" s="651">
        <f t="shared" ref="H651:H654" si="206">IF(F651&lt;=30,(1.07*F651+2.68)*G651,((1.07*30+2.68)+1.07*(F651-30))*G651)</f>
        <v>0</v>
      </c>
      <c r="I651" s="420">
        <v>0</v>
      </c>
      <c r="J651" s="420">
        <f>IF(ISBLANK(I651),"",SUM(H651:I651))</f>
        <v>0</v>
      </c>
      <c r="K651" s="421">
        <f t="shared" si="205"/>
        <v>0</v>
      </c>
      <c r="L651" s="647" t="s">
        <v>614</v>
      </c>
      <c r="M651" s="703"/>
      <c r="N651" s="576">
        <f t="shared" si="186"/>
        <v>0</v>
      </c>
      <c r="O651" s="577">
        <f t="shared" si="196"/>
        <v>0</v>
      </c>
      <c r="P651" s="578">
        <f t="shared" si="197"/>
        <v>0</v>
      </c>
      <c r="Q651" s="765"/>
      <c r="R651" s="703"/>
      <c r="S651" s="670"/>
      <c r="T651" s="577">
        <f t="shared" si="194"/>
        <v>0</v>
      </c>
      <c r="U651" s="578">
        <f t="shared" si="195"/>
        <v>0</v>
      </c>
      <c r="V651" s="579"/>
      <c r="W651" s="637" t="str">
        <f>IF(U650&gt;0,"xx",IF(P650&gt;0,"xy",""))</f>
        <v/>
      </c>
      <c r="X651" s="586" t="str">
        <f t="shared" si="191"/>
        <v/>
      </c>
      <c r="Y651" s="586" t="str">
        <f t="shared" si="189"/>
        <v/>
      </c>
      <c r="Z651" s="586" t="str">
        <f t="shared" si="183"/>
        <v/>
      </c>
    </row>
    <row r="652" spans="1:26" hidden="1" x14ac:dyDescent="0.2">
      <c r="A652" s="567" t="s">
        <v>168</v>
      </c>
      <c r="B652" s="644" t="s">
        <v>168</v>
      </c>
      <c r="C652" s="645"/>
      <c r="D652" s="451" t="s">
        <v>249</v>
      </c>
      <c r="E652" s="423"/>
      <c r="F652" s="424">
        <v>500</v>
      </c>
      <c r="G652" s="425"/>
      <c r="H652" s="649">
        <f>IF(F652&lt;=30,(0.78*F652+7.82)*G652,((0.78*30+7.82)+0.78*(F652-30))*G652)</f>
        <v>0</v>
      </c>
      <c r="I652" s="420">
        <v>0</v>
      </c>
      <c r="J652" s="420">
        <f>IF(ISBLANK(I652),"",SUM(H652:I652))</f>
        <v>0</v>
      </c>
      <c r="K652" s="421">
        <f t="shared" si="205"/>
        <v>0</v>
      </c>
      <c r="L652" s="647" t="s">
        <v>614</v>
      </c>
      <c r="M652" s="703"/>
      <c r="N652" s="576">
        <f t="shared" si="186"/>
        <v>0</v>
      </c>
      <c r="O652" s="577">
        <f t="shared" si="196"/>
        <v>0</v>
      </c>
      <c r="P652" s="578">
        <f t="shared" si="197"/>
        <v>0</v>
      </c>
      <c r="Q652" s="765"/>
      <c r="R652" s="703"/>
      <c r="S652" s="670"/>
      <c r="T652" s="577">
        <f t="shared" si="194"/>
        <v>0</v>
      </c>
      <c r="U652" s="578">
        <f t="shared" si="195"/>
        <v>0</v>
      </c>
      <c r="V652" s="579"/>
      <c r="W652" s="637" t="str">
        <f>IF(U650&gt;0,"xx",IF(P650&gt;0,"xy",""))</f>
        <v/>
      </c>
      <c r="X652" s="586" t="str">
        <f>IF(W652="X","x",IF(W652="xx","x",IF(W652="xy","x",IF(W652="y","x",IF(OR(P652&gt;0,U652&gt;0),"x","")))))</f>
        <v/>
      </c>
      <c r="Y652" s="586" t="str">
        <f>IF(W652="X","x",IF(W652="y","x",IF(W652="xx","x",IF(U652&gt;0,"x",""))))</f>
        <v/>
      </c>
      <c r="Z652" s="586" t="str">
        <f>IF(W652="X","x",IF(U652&gt;0,"x",""))</f>
        <v/>
      </c>
    </row>
    <row r="653" spans="1:26" hidden="1" x14ac:dyDescent="0.2">
      <c r="A653" s="567" t="s">
        <v>168</v>
      </c>
      <c r="B653" s="644" t="s">
        <v>168</v>
      </c>
      <c r="C653" s="645"/>
      <c r="D653" s="451" t="s">
        <v>262</v>
      </c>
      <c r="E653" s="423"/>
      <c r="F653" s="424">
        <v>0.2</v>
      </c>
      <c r="G653" s="425">
        <v>2.12</v>
      </c>
      <c r="H653" s="651">
        <f t="shared" si="206"/>
        <v>6.1352800000000007</v>
      </c>
      <c r="I653" s="420">
        <v>0</v>
      </c>
      <c r="J653" s="420"/>
      <c r="K653" s="421">
        <f t="shared" si="205"/>
        <v>0</v>
      </c>
      <c r="L653" s="647" t="s">
        <v>614</v>
      </c>
      <c r="M653" s="703"/>
      <c r="N653" s="576">
        <f t="shared" si="186"/>
        <v>0</v>
      </c>
      <c r="O653" s="577">
        <f t="shared" si="196"/>
        <v>0</v>
      </c>
      <c r="P653" s="578">
        <f t="shared" si="197"/>
        <v>0</v>
      </c>
      <c r="Q653" s="765"/>
      <c r="R653" s="703"/>
      <c r="S653" s="670"/>
      <c r="T653" s="577">
        <f t="shared" si="194"/>
        <v>0</v>
      </c>
      <c r="U653" s="578">
        <f t="shared" si="195"/>
        <v>0</v>
      </c>
      <c r="V653" s="579"/>
      <c r="W653" s="637" t="str">
        <f>IF(U650&gt;0,"xx",IF(P650&gt;0,"xy",""))</f>
        <v/>
      </c>
      <c r="X653" s="586" t="str">
        <f>IF(W653="X","x",IF(W653="xx","x",IF(W653="xy","x",IF(W653="y","x",IF(OR(P653&gt;0,U653&gt;0),"x","")))))</f>
        <v/>
      </c>
      <c r="Y653" s="586" t="str">
        <f>IF(W653="X","x",IF(W653="y","x",IF(W653="xx","x",IF(U653&gt;0,"x",""))))</f>
        <v/>
      </c>
      <c r="Z653" s="586" t="str">
        <f>IF(W653="X","x",IF(U653&gt;0,"x",""))</f>
        <v/>
      </c>
    </row>
    <row r="654" spans="1:26" hidden="1" x14ac:dyDescent="0.2">
      <c r="A654" s="567" t="s">
        <v>168</v>
      </c>
      <c r="B654" s="644" t="s">
        <v>168</v>
      </c>
      <c r="C654" s="645"/>
      <c r="D654" s="451" t="s">
        <v>263</v>
      </c>
      <c r="E654" s="423"/>
      <c r="F654" s="424">
        <v>20</v>
      </c>
      <c r="G654" s="425">
        <f>SUM(G650:G653)</f>
        <v>2.2000000000000002</v>
      </c>
      <c r="H654" s="651">
        <f t="shared" si="206"/>
        <v>52.976000000000006</v>
      </c>
      <c r="I654" s="420">
        <v>0</v>
      </c>
      <c r="J654" s="420"/>
      <c r="K654" s="421">
        <f t="shared" si="205"/>
        <v>0</v>
      </c>
      <c r="L654" s="647" t="s">
        <v>614</v>
      </c>
      <c r="M654" s="703"/>
      <c r="N654" s="576">
        <f t="shared" si="186"/>
        <v>0</v>
      </c>
      <c r="O654" s="577">
        <f t="shared" si="196"/>
        <v>0</v>
      </c>
      <c r="P654" s="578">
        <f t="shared" si="197"/>
        <v>0</v>
      </c>
      <c r="Q654" s="765"/>
      <c r="R654" s="703"/>
      <c r="S654" s="670"/>
      <c r="T654" s="577">
        <f t="shared" si="194"/>
        <v>0</v>
      </c>
      <c r="U654" s="578">
        <f t="shared" si="195"/>
        <v>0</v>
      </c>
      <c r="V654" s="579"/>
      <c r="W654" s="637" t="str">
        <f>IF(U650&gt;0,"xx",IF(P650&gt;0,"xy",""))</f>
        <v/>
      </c>
      <c r="X654" s="586" t="str">
        <f t="shared" si="191"/>
        <v/>
      </c>
      <c r="Y654" s="586" t="str">
        <f t="shared" si="189"/>
        <v/>
      </c>
      <c r="Z654" s="586" t="str">
        <f t="shared" si="183"/>
        <v/>
      </c>
    </row>
    <row r="655" spans="1:26" ht="12" hidden="1" thickBot="1" x14ac:dyDescent="0.25">
      <c r="A655" s="567">
        <v>589320</v>
      </c>
      <c r="B655" s="704" t="s">
        <v>1837</v>
      </c>
      <c r="C655" s="689" t="s">
        <v>1746</v>
      </c>
      <c r="D655" s="477" t="s">
        <v>812</v>
      </c>
      <c r="E655" s="470"/>
      <c r="F655" s="478">
        <v>500</v>
      </c>
      <c r="G655" s="479">
        <v>1</v>
      </c>
      <c r="H655" s="663">
        <f>(0.84*F655+41.45)*G655</f>
        <v>461.45</v>
      </c>
      <c r="I655" s="472">
        <v>4680</v>
      </c>
      <c r="J655" s="472">
        <f>IF(ISBLANK(I655),"",I655*(1+$F$9)/(1+$F$10))+H655</f>
        <v>5002.4010983923918</v>
      </c>
      <c r="K655" s="690">
        <f t="shared" si="205"/>
        <v>5943.35</v>
      </c>
      <c r="L655" s="691" t="s">
        <v>20</v>
      </c>
      <c r="M655" s="692">
        <f>ROUND(M650*G650,2)</f>
        <v>0</v>
      </c>
      <c r="N655" s="696">
        <f t="shared" si="186"/>
        <v>0</v>
      </c>
      <c r="O655" s="693">
        <f t="shared" si="196"/>
        <v>0</v>
      </c>
      <c r="P655" s="694">
        <f t="shared" si="197"/>
        <v>0</v>
      </c>
      <c r="Q655" s="765"/>
      <c r="R655" s="719">
        <f>ROUND(R650*G650,2)</f>
        <v>0</v>
      </c>
      <c r="S655" s="720">
        <f>N655</f>
        <v>0</v>
      </c>
      <c r="T655" s="693">
        <f t="shared" si="194"/>
        <v>0</v>
      </c>
      <c r="U655" s="694">
        <f t="shared" si="195"/>
        <v>0</v>
      </c>
      <c r="V655" s="579"/>
      <c r="W655" s="637" t="str">
        <f>IF(U650&gt;0,"xx",IF(P650&gt;0,"xy",""))</f>
        <v/>
      </c>
      <c r="X655" s="586" t="str">
        <f t="shared" si="191"/>
        <v/>
      </c>
      <c r="Y655" s="586" t="str">
        <f t="shared" si="189"/>
        <v/>
      </c>
      <c r="Z655" s="586" t="str">
        <f t="shared" si="183"/>
        <v/>
      </c>
    </row>
    <row r="656" spans="1:26" hidden="1" x14ac:dyDescent="0.2">
      <c r="A656" s="567">
        <v>534000</v>
      </c>
      <c r="B656" s="701" t="s">
        <v>1838</v>
      </c>
      <c r="C656" s="702" t="s">
        <v>206</v>
      </c>
      <c r="D656" s="463" t="s">
        <v>1914</v>
      </c>
      <c r="E656" s="464"/>
      <c r="F656" s="465" t="s">
        <v>663</v>
      </c>
      <c r="G656" s="466">
        <v>0.08</v>
      </c>
      <c r="H656" s="681">
        <f>SUM(H657:H660)</f>
        <v>59.111280000000008</v>
      </c>
      <c r="I656" s="467">
        <v>138.26</v>
      </c>
      <c r="J656" s="467">
        <f>IF(ISBLANK(I656),"",SUM(H656:I656))</f>
        <v>197.37128000000001</v>
      </c>
      <c r="K656" s="682">
        <f t="shared" si="205"/>
        <v>234.5</v>
      </c>
      <c r="L656" s="683" t="s">
        <v>16</v>
      </c>
      <c r="M656" s="685"/>
      <c r="N656" s="576">
        <f t="shared" si="186"/>
        <v>0</v>
      </c>
      <c r="O656" s="687">
        <f t="shared" si="196"/>
        <v>0</v>
      </c>
      <c r="P656" s="688">
        <f t="shared" si="197"/>
        <v>0</v>
      </c>
      <c r="Q656" s="765"/>
      <c r="R656" s="685">
        <f>M656</f>
        <v>0</v>
      </c>
      <c r="S656" s="686">
        <f t="shared" si="198"/>
        <v>0</v>
      </c>
      <c r="T656" s="687">
        <f t="shared" si="194"/>
        <v>0</v>
      </c>
      <c r="U656" s="688">
        <f t="shared" si="195"/>
        <v>0</v>
      </c>
      <c r="V656" s="579"/>
      <c r="W656" s="566"/>
      <c r="X656" s="586" t="str">
        <f t="shared" si="191"/>
        <v/>
      </c>
      <c r="Y656" s="586" t="str">
        <f t="shared" si="189"/>
        <v/>
      </c>
      <c r="Z656" s="586" t="str">
        <f t="shared" si="183"/>
        <v/>
      </c>
    </row>
    <row r="657" spans="1:26" hidden="1" x14ac:dyDescent="0.2">
      <c r="A657" s="567" t="s">
        <v>168</v>
      </c>
      <c r="B657" s="644" t="s">
        <v>168</v>
      </c>
      <c r="C657" s="645"/>
      <c r="D657" s="451" t="s">
        <v>248</v>
      </c>
      <c r="E657" s="423"/>
      <c r="F657" s="424">
        <v>180</v>
      </c>
      <c r="G657" s="425"/>
      <c r="H657" s="651">
        <f t="shared" ref="H657:H660" si="207">IF(F657&lt;=30,(1.07*F657+2.68)*G657,((1.07*30+2.68)+1.07*(F657-30))*G657)</f>
        <v>0</v>
      </c>
      <c r="I657" s="420">
        <v>0</v>
      </c>
      <c r="J657" s="420">
        <f>IF(ISBLANK(I657),"",SUM(H657:I657))</f>
        <v>0</v>
      </c>
      <c r="K657" s="421">
        <f t="shared" si="205"/>
        <v>0</v>
      </c>
      <c r="L657" s="647" t="s">
        <v>614</v>
      </c>
      <c r="M657" s="703"/>
      <c r="N657" s="576">
        <f t="shared" si="186"/>
        <v>0</v>
      </c>
      <c r="O657" s="577">
        <f t="shared" si="196"/>
        <v>0</v>
      </c>
      <c r="P657" s="578">
        <f t="shared" si="197"/>
        <v>0</v>
      </c>
      <c r="Q657" s="765"/>
      <c r="R657" s="703"/>
      <c r="S657" s="670"/>
      <c r="T657" s="577">
        <f t="shared" si="194"/>
        <v>0</v>
      </c>
      <c r="U657" s="578">
        <f t="shared" si="195"/>
        <v>0</v>
      </c>
      <c r="V657" s="579"/>
      <c r="W657" s="637" t="str">
        <f>IF(U656&gt;0,"xx",IF(P656&gt;0,"xy",""))</f>
        <v/>
      </c>
      <c r="X657" s="586" t="str">
        <f t="shared" si="191"/>
        <v/>
      </c>
      <c r="Y657" s="586" t="str">
        <f t="shared" si="189"/>
        <v/>
      </c>
      <c r="Z657" s="586" t="str">
        <f t="shared" ref="Z657:Z765" si="208">IF(W657="X","x",IF(U657&gt;0,"x",""))</f>
        <v/>
      </c>
    </row>
    <row r="658" spans="1:26" hidden="1" x14ac:dyDescent="0.2">
      <c r="A658" s="567" t="s">
        <v>168</v>
      </c>
      <c r="B658" s="644" t="s">
        <v>168</v>
      </c>
      <c r="C658" s="645"/>
      <c r="D658" s="451" t="s">
        <v>249</v>
      </c>
      <c r="E658" s="423"/>
      <c r="F658" s="424">
        <v>500</v>
      </c>
      <c r="G658" s="425"/>
      <c r="H658" s="649">
        <f>IF(F658&lt;=30,(0.78*F658+7.82)*G658,((0.78*30+7.82)+0.78*(F658-30))*G658)</f>
        <v>0</v>
      </c>
      <c r="I658" s="420">
        <v>0</v>
      </c>
      <c r="J658" s="420">
        <f>IF(ISBLANK(I658),"",SUM(H658:I658))</f>
        <v>0</v>
      </c>
      <c r="K658" s="421">
        <f t="shared" si="205"/>
        <v>0</v>
      </c>
      <c r="L658" s="647" t="s">
        <v>614</v>
      </c>
      <c r="M658" s="703"/>
      <c r="N658" s="576">
        <f t="shared" si="186"/>
        <v>0</v>
      </c>
      <c r="O658" s="577">
        <f t="shared" si="196"/>
        <v>0</v>
      </c>
      <c r="P658" s="578">
        <f t="shared" si="197"/>
        <v>0</v>
      </c>
      <c r="Q658" s="765"/>
      <c r="R658" s="703"/>
      <c r="S658" s="670"/>
      <c r="T658" s="577">
        <f t="shared" si="194"/>
        <v>0</v>
      </c>
      <c r="U658" s="578">
        <f t="shared" si="195"/>
        <v>0</v>
      </c>
      <c r="V658" s="579"/>
      <c r="W658" s="637" t="str">
        <f>IF(U656&gt;0,"xx",IF(P656&gt;0,"xy",""))</f>
        <v/>
      </c>
      <c r="X658" s="586" t="str">
        <f>IF(W658="X","x",IF(W658="xx","x",IF(W658="xy","x",IF(W658="y","x",IF(OR(P658&gt;0,U658&gt;0),"x","")))))</f>
        <v/>
      </c>
      <c r="Y658" s="586" t="str">
        <f>IF(W658="X","x",IF(W658="y","x",IF(W658="xx","x",IF(U658&gt;0,"x",""))))</f>
        <v/>
      </c>
      <c r="Z658" s="586" t="str">
        <f>IF(W658="X","x",IF(U658&gt;0,"x",""))</f>
        <v/>
      </c>
    </row>
    <row r="659" spans="1:26" hidden="1" x14ac:dyDescent="0.2">
      <c r="A659" s="567" t="s">
        <v>168</v>
      </c>
      <c r="B659" s="644" t="s">
        <v>168</v>
      </c>
      <c r="C659" s="645"/>
      <c r="D659" s="451" t="s">
        <v>262</v>
      </c>
      <c r="E659" s="423"/>
      <c r="F659" s="424">
        <v>0.2</v>
      </c>
      <c r="G659" s="425">
        <v>2.12</v>
      </c>
      <c r="H659" s="651">
        <f t="shared" si="207"/>
        <v>6.1352800000000007</v>
      </c>
      <c r="I659" s="420">
        <v>0</v>
      </c>
      <c r="J659" s="420"/>
      <c r="K659" s="421">
        <f t="shared" si="205"/>
        <v>0</v>
      </c>
      <c r="L659" s="647" t="s">
        <v>614</v>
      </c>
      <c r="M659" s="703"/>
      <c r="N659" s="576">
        <f t="shared" si="186"/>
        <v>0</v>
      </c>
      <c r="O659" s="577">
        <f t="shared" si="196"/>
        <v>0</v>
      </c>
      <c r="P659" s="578">
        <f t="shared" si="197"/>
        <v>0</v>
      </c>
      <c r="Q659" s="765"/>
      <c r="R659" s="703"/>
      <c r="S659" s="670"/>
      <c r="T659" s="577">
        <f t="shared" si="194"/>
        <v>0</v>
      </c>
      <c r="U659" s="578">
        <f t="shared" si="195"/>
        <v>0</v>
      </c>
      <c r="V659" s="579"/>
      <c r="W659" s="637" t="str">
        <f>IF(U656&gt;0,"xx",IF(P656&gt;0,"xy",""))</f>
        <v/>
      </c>
      <c r="X659" s="586" t="str">
        <f>IF(W659="X","x",IF(W659="xx","x",IF(W659="xy","x",IF(W659="y","x",IF(OR(P659&gt;0,U659&gt;0),"x","")))))</f>
        <v/>
      </c>
      <c r="Y659" s="586" t="str">
        <f>IF(W659="X","x",IF(W659="y","x",IF(W659="xx","x",IF(U659&gt;0,"x",""))))</f>
        <v/>
      </c>
      <c r="Z659" s="586" t="str">
        <f>IF(W659="X","x",IF(U659&gt;0,"x",""))</f>
        <v/>
      </c>
    </row>
    <row r="660" spans="1:26" hidden="1" x14ac:dyDescent="0.2">
      <c r="A660" s="567" t="s">
        <v>168</v>
      </c>
      <c r="B660" s="644" t="s">
        <v>168</v>
      </c>
      <c r="C660" s="645"/>
      <c r="D660" s="451" t="s">
        <v>263</v>
      </c>
      <c r="E660" s="423"/>
      <c r="F660" s="424">
        <v>20</v>
      </c>
      <c r="G660" s="425">
        <f>SUM(G656:G659)</f>
        <v>2.2000000000000002</v>
      </c>
      <c r="H660" s="651">
        <f t="shared" si="207"/>
        <v>52.976000000000006</v>
      </c>
      <c r="I660" s="420">
        <v>0</v>
      </c>
      <c r="J660" s="420"/>
      <c r="K660" s="421">
        <f t="shared" si="205"/>
        <v>0</v>
      </c>
      <c r="L660" s="647" t="s">
        <v>614</v>
      </c>
      <c r="M660" s="703"/>
      <c r="N660" s="576">
        <f t="shared" ref="N660:N723" si="209">IF(M660=0,0,K660)</f>
        <v>0</v>
      </c>
      <c r="O660" s="577">
        <f t="shared" si="196"/>
        <v>0</v>
      </c>
      <c r="P660" s="578">
        <f t="shared" si="197"/>
        <v>0</v>
      </c>
      <c r="Q660" s="765"/>
      <c r="R660" s="703"/>
      <c r="S660" s="670"/>
      <c r="T660" s="577">
        <f t="shared" si="194"/>
        <v>0</v>
      </c>
      <c r="U660" s="578">
        <f t="shared" si="195"/>
        <v>0</v>
      </c>
      <c r="V660" s="579"/>
      <c r="W660" s="637" t="str">
        <f>IF(U656&gt;0,"xx",IF(P656&gt;0,"xy",""))</f>
        <v/>
      </c>
      <c r="X660" s="586" t="str">
        <f t="shared" si="191"/>
        <v/>
      </c>
      <c r="Y660" s="586" t="str">
        <f t="shared" si="189"/>
        <v/>
      </c>
      <c r="Z660" s="586" t="str">
        <f t="shared" si="208"/>
        <v/>
      </c>
    </row>
    <row r="661" spans="1:26" ht="12" hidden="1" thickBot="1" x14ac:dyDescent="0.25">
      <c r="A661" s="567">
        <v>589320</v>
      </c>
      <c r="B661" s="704" t="s">
        <v>1839</v>
      </c>
      <c r="C661" s="689" t="s">
        <v>1746</v>
      </c>
      <c r="D661" s="477" t="s">
        <v>812</v>
      </c>
      <c r="E661" s="470"/>
      <c r="F661" s="478">
        <v>500</v>
      </c>
      <c r="G661" s="479">
        <v>1</v>
      </c>
      <c r="H661" s="663">
        <f>(0.84*F661+41.45)*G661</f>
        <v>461.45</v>
      </c>
      <c r="I661" s="472">
        <v>4680</v>
      </c>
      <c r="J661" s="472">
        <f>IF(ISBLANK(I661),"",I661*(1+$F$9)/(1+$F$10))+H661</f>
        <v>5002.4010983923918</v>
      </c>
      <c r="K661" s="690">
        <f t="shared" si="205"/>
        <v>5943.35</v>
      </c>
      <c r="L661" s="691" t="s">
        <v>20</v>
      </c>
      <c r="M661" s="692">
        <f>ROUND(M656*G656,2)</f>
        <v>0</v>
      </c>
      <c r="N661" s="588">
        <f t="shared" si="209"/>
        <v>0</v>
      </c>
      <c r="O661" s="693">
        <f t="shared" si="196"/>
        <v>0</v>
      </c>
      <c r="P661" s="694">
        <f t="shared" si="197"/>
        <v>0</v>
      </c>
      <c r="Q661" s="765"/>
      <c r="R661" s="719">
        <f>ROUND(R656*G656,2)</f>
        <v>0</v>
      </c>
      <c r="S661" s="720">
        <f>N661</f>
        <v>0</v>
      </c>
      <c r="T661" s="693">
        <f t="shared" si="194"/>
        <v>0</v>
      </c>
      <c r="U661" s="694">
        <f t="shared" si="195"/>
        <v>0</v>
      </c>
      <c r="V661" s="579"/>
      <c r="W661" s="637" t="str">
        <f>IF(U656&gt;0,"xx",IF(P656&gt;0,"xy",""))</f>
        <v/>
      </c>
      <c r="X661" s="586" t="str">
        <f t="shared" si="191"/>
        <v/>
      </c>
      <c r="Y661" s="586" t="str">
        <f t="shared" si="189"/>
        <v/>
      </c>
      <c r="Z661" s="586" t="str">
        <f t="shared" si="208"/>
        <v/>
      </c>
    </row>
    <row r="662" spans="1:26" hidden="1" x14ac:dyDescent="0.2">
      <c r="A662" s="671">
        <v>534300</v>
      </c>
      <c r="B662" s="701" t="s">
        <v>1840</v>
      </c>
      <c r="C662" s="702" t="s">
        <v>206</v>
      </c>
      <c r="D662" s="463" t="s">
        <v>1919</v>
      </c>
      <c r="E662" s="464"/>
      <c r="F662" s="465" t="s">
        <v>663</v>
      </c>
      <c r="G662" s="466">
        <v>0.11</v>
      </c>
      <c r="H662" s="681">
        <f>SUM(H663:H666)</f>
        <v>59.024459999999998</v>
      </c>
      <c r="I662" s="467">
        <v>136.76</v>
      </c>
      <c r="J662" s="467">
        <f>IF(ISBLANK(I662),"",SUM(H662:I662))</f>
        <v>195.78446</v>
      </c>
      <c r="K662" s="682">
        <f t="shared" si="205"/>
        <v>232.61</v>
      </c>
      <c r="L662" s="683" t="s">
        <v>16</v>
      </c>
      <c r="M662" s="685"/>
      <c r="N662" s="686">
        <f t="shared" si="209"/>
        <v>0</v>
      </c>
      <c r="O662" s="687">
        <f t="shared" si="196"/>
        <v>0</v>
      </c>
      <c r="P662" s="688">
        <f t="shared" si="197"/>
        <v>0</v>
      </c>
      <c r="Q662" s="765"/>
      <c r="R662" s="685">
        <f>M662</f>
        <v>0</v>
      </c>
      <c r="S662" s="686">
        <f t="shared" si="198"/>
        <v>0</v>
      </c>
      <c r="T662" s="687">
        <f t="shared" si="194"/>
        <v>0</v>
      </c>
      <c r="U662" s="688">
        <f t="shared" si="195"/>
        <v>0</v>
      </c>
      <c r="V662" s="579"/>
      <c r="W662" s="566"/>
      <c r="X662" s="586" t="str">
        <f t="shared" si="191"/>
        <v/>
      </c>
      <c r="Y662" s="586" t="str">
        <f t="shared" si="189"/>
        <v/>
      </c>
      <c r="Z662" s="586" t="str">
        <f t="shared" si="208"/>
        <v/>
      </c>
    </row>
    <row r="663" spans="1:26" hidden="1" x14ac:dyDescent="0.2">
      <c r="A663" s="671" t="s">
        <v>168</v>
      </c>
      <c r="B663" s="644" t="s">
        <v>168</v>
      </c>
      <c r="C663" s="645"/>
      <c r="D663" s="451" t="s">
        <v>248</v>
      </c>
      <c r="E663" s="423"/>
      <c r="F663" s="424">
        <v>180</v>
      </c>
      <c r="G663" s="425"/>
      <c r="H663" s="651">
        <f t="shared" ref="H663:H666" si="210">IF(F663&lt;=30,(1.07*F663+2.68)*G663,((1.07*30+2.68)+1.07*(F663-30))*G663)</f>
        <v>0</v>
      </c>
      <c r="I663" s="420">
        <v>0</v>
      </c>
      <c r="J663" s="420"/>
      <c r="K663" s="421">
        <f t="shared" si="205"/>
        <v>0</v>
      </c>
      <c r="L663" s="647" t="s">
        <v>614</v>
      </c>
      <c r="M663" s="703"/>
      <c r="N663" s="576">
        <f t="shared" si="209"/>
        <v>0</v>
      </c>
      <c r="O663" s="577">
        <f t="shared" si="196"/>
        <v>0</v>
      </c>
      <c r="P663" s="578">
        <f t="shared" si="197"/>
        <v>0</v>
      </c>
      <c r="Q663" s="765"/>
      <c r="R663" s="703"/>
      <c r="S663" s="670"/>
      <c r="T663" s="577">
        <f t="shared" si="194"/>
        <v>0</v>
      </c>
      <c r="U663" s="578">
        <f t="shared" si="195"/>
        <v>0</v>
      </c>
      <c r="V663" s="579"/>
      <c r="W663" s="637" t="str">
        <f>IF(U662&gt;0,"xx",IF(P662&gt;0,"xy",""))</f>
        <v/>
      </c>
      <c r="X663" s="586" t="str">
        <f t="shared" si="191"/>
        <v/>
      </c>
      <c r="Y663" s="586" t="str">
        <f t="shared" si="189"/>
        <v/>
      </c>
      <c r="Z663" s="586" t="str">
        <f t="shared" si="208"/>
        <v/>
      </c>
    </row>
    <row r="664" spans="1:26" hidden="1" x14ac:dyDescent="0.2">
      <c r="A664" s="671" t="s">
        <v>168</v>
      </c>
      <c r="B664" s="644" t="s">
        <v>168</v>
      </c>
      <c r="C664" s="645"/>
      <c r="D664" s="451" t="s">
        <v>249</v>
      </c>
      <c r="E664" s="423"/>
      <c r="F664" s="424">
        <v>500</v>
      </c>
      <c r="G664" s="425"/>
      <c r="H664" s="649">
        <f>IF(F664&lt;=30,(0.78*F664+7.82)*G664,((0.78*30+7.82)+0.78*(F664-30))*G664)</f>
        <v>0</v>
      </c>
      <c r="I664" s="420">
        <v>0</v>
      </c>
      <c r="J664" s="420">
        <f>IF(ISBLANK(I664),"",SUM(H664:I664))</f>
        <v>0</v>
      </c>
      <c r="K664" s="421">
        <f t="shared" si="205"/>
        <v>0</v>
      </c>
      <c r="L664" s="647" t="s">
        <v>614</v>
      </c>
      <c r="M664" s="703"/>
      <c r="N664" s="576">
        <f t="shared" si="209"/>
        <v>0</v>
      </c>
      <c r="O664" s="577">
        <f t="shared" si="196"/>
        <v>0</v>
      </c>
      <c r="P664" s="578">
        <f t="shared" si="197"/>
        <v>0</v>
      </c>
      <c r="Q664" s="765"/>
      <c r="R664" s="703"/>
      <c r="S664" s="670"/>
      <c r="T664" s="577">
        <f t="shared" si="194"/>
        <v>0</v>
      </c>
      <c r="U664" s="578">
        <f t="shared" si="195"/>
        <v>0</v>
      </c>
      <c r="V664" s="579"/>
      <c r="W664" s="637" t="str">
        <f>IF(U662&gt;0,"xx",IF(P662&gt;0,"xy",""))</f>
        <v/>
      </c>
      <c r="X664" s="586" t="str">
        <f t="shared" si="191"/>
        <v/>
      </c>
      <c r="Y664" s="586" t="str">
        <f t="shared" si="189"/>
        <v/>
      </c>
      <c r="Z664" s="586" t="str">
        <f t="shared" si="208"/>
        <v/>
      </c>
    </row>
    <row r="665" spans="1:26" hidden="1" x14ac:dyDescent="0.2">
      <c r="A665" s="671" t="s">
        <v>168</v>
      </c>
      <c r="B665" s="644" t="s">
        <v>168</v>
      </c>
      <c r="C665" s="645"/>
      <c r="D665" s="451" t="s">
        <v>262</v>
      </c>
      <c r="E665" s="423"/>
      <c r="F665" s="424">
        <v>0.2</v>
      </c>
      <c r="G665" s="425">
        <v>2.09</v>
      </c>
      <c r="H665" s="651">
        <f t="shared" si="210"/>
        <v>6.0484599999999995</v>
      </c>
      <c r="I665" s="420">
        <v>0</v>
      </c>
      <c r="J665" s="420"/>
      <c r="K665" s="421">
        <f t="shared" si="205"/>
        <v>0</v>
      </c>
      <c r="L665" s="647" t="s">
        <v>614</v>
      </c>
      <c r="M665" s="703"/>
      <c r="N665" s="576">
        <f t="shared" si="209"/>
        <v>0</v>
      </c>
      <c r="O665" s="577">
        <f t="shared" si="196"/>
        <v>0</v>
      </c>
      <c r="P665" s="578">
        <f t="shared" si="197"/>
        <v>0</v>
      </c>
      <c r="Q665" s="765"/>
      <c r="R665" s="703"/>
      <c r="S665" s="670"/>
      <c r="T665" s="577">
        <f t="shared" si="194"/>
        <v>0</v>
      </c>
      <c r="U665" s="578">
        <f t="shared" si="195"/>
        <v>0</v>
      </c>
      <c r="V665" s="579"/>
      <c r="W665" s="637" t="str">
        <f>IF(U662&gt;0,"xx",IF(P662&gt;0,"xy",""))</f>
        <v/>
      </c>
      <c r="X665" s="586" t="str">
        <f t="shared" si="191"/>
        <v/>
      </c>
      <c r="Y665" s="586" t="str">
        <f t="shared" si="189"/>
        <v/>
      </c>
      <c r="Z665" s="586" t="str">
        <f t="shared" si="208"/>
        <v/>
      </c>
    </row>
    <row r="666" spans="1:26" hidden="1" x14ac:dyDescent="0.2">
      <c r="A666" s="671" t="s">
        <v>168</v>
      </c>
      <c r="B666" s="644" t="s">
        <v>168</v>
      </c>
      <c r="C666" s="645"/>
      <c r="D666" s="451" t="s">
        <v>263</v>
      </c>
      <c r="E666" s="423"/>
      <c r="F666" s="424">
        <v>20</v>
      </c>
      <c r="G666" s="425">
        <f>SUM(G662:G665)</f>
        <v>2.1999999999999997</v>
      </c>
      <c r="H666" s="651">
        <f t="shared" si="210"/>
        <v>52.975999999999999</v>
      </c>
      <c r="I666" s="420">
        <v>0</v>
      </c>
      <c r="J666" s="420"/>
      <c r="K666" s="421">
        <f t="shared" si="205"/>
        <v>0</v>
      </c>
      <c r="L666" s="647" t="s">
        <v>614</v>
      </c>
      <c r="M666" s="703"/>
      <c r="N666" s="576">
        <f t="shared" si="209"/>
        <v>0</v>
      </c>
      <c r="O666" s="577">
        <f t="shared" si="196"/>
        <v>0</v>
      </c>
      <c r="P666" s="578">
        <f t="shared" si="197"/>
        <v>0</v>
      </c>
      <c r="Q666" s="765"/>
      <c r="R666" s="703"/>
      <c r="S666" s="670"/>
      <c r="T666" s="577">
        <f t="shared" si="194"/>
        <v>0</v>
      </c>
      <c r="U666" s="578">
        <f t="shared" si="195"/>
        <v>0</v>
      </c>
      <c r="V666" s="579"/>
      <c r="W666" s="637" t="str">
        <f>IF(U662&gt;0,"xx",IF(P662&gt;0,"xy",""))</f>
        <v/>
      </c>
      <c r="X666" s="586" t="str">
        <f t="shared" si="191"/>
        <v/>
      </c>
      <c r="Y666" s="586" t="str">
        <f t="shared" si="189"/>
        <v/>
      </c>
      <c r="Z666" s="586" t="str">
        <f t="shared" si="208"/>
        <v/>
      </c>
    </row>
    <row r="667" spans="1:26" ht="12" hidden="1" thickBot="1" x14ac:dyDescent="0.25">
      <c r="A667" s="671">
        <v>589320</v>
      </c>
      <c r="B667" s="704" t="s">
        <v>1841</v>
      </c>
      <c r="C667" s="689" t="s">
        <v>1746</v>
      </c>
      <c r="D667" s="477" t="s">
        <v>813</v>
      </c>
      <c r="E667" s="470"/>
      <c r="F667" s="478">
        <v>500</v>
      </c>
      <c r="G667" s="479">
        <v>1</v>
      </c>
      <c r="H667" s="663">
        <f>(0.84*F667+41.45)*G667</f>
        <v>461.45</v>
      </c>
      <c r="I667" s="472">
        <v>4680</v>
      </c>
      <c r="J667" s="472">
        <f>IF(ISBLANK(I667),"",I667*(1+$F$9)/(1+$F$10))+H667</f>
        <v>5002.4010983923918</v>
      </c>
      <c r="K667" s="690">
        <f t="shared" si="205"/>
        <v>5943.35</v>
      </c>
      <c r="L667" s="691" t="s">
        <v>20</v>
      </c>
      <c r="M667" s="692">
        <f>ROUND(M662*G662,2)</f>
        <v>0</v>
      </c>
      <c r="N667" s="696">
        <f t="shared" si="209"/>
        <v>0</v>
      </c>
      <c r="O667" s="693">
        <f t="shared" si="196"/>
        <v>0</v>
      </c>
      <c r="P667" s="694">
        <f t="shared" si="197"/>
        <v>0</v>
      </c>
      <c r="Q667" s="765"/>
      <c r="R667" s="719">
        <f>ROUND(R662*G662,2)</f>
        <v>0</v>
      </c>
      <c r="S667" s="720">
        <f>N667</f>
        <v>0</v>
      </c>
      <c r="T667" s="693">
        <f t="shared" si="194"/>
        <v>0</v>
      </c>
      <c r="U667" s="694">
        <f t="shared" si="195"/>
        <v>0</v>
      </c>
      <c r="V667" s="579"/>
      <c r="W667" s="637" t="str">
        <f>IF(U662&gt;0,"xx",IF(P662&gt;0,"xy",""))</f>
        <v/>
      </c>
      <c r="X667" s="586" t="str">
        <f t="shared" si="191"/>
        <v/>
      </c>
      <c r="Y667" s="586" t="str">
        <f t="shared" si="189"/>
        <v/>
      </c>
      <c r="Z667" s="586" t="str">
        <f t="shared" si="208"/>
        <v/>
      </c>
    </row>
    <row r="668" spans="1:26" hidden="1" x14ac:dyDescent="0.2">
      <c r="A668" s="671">
        <v>534300</v>
      </c>
      <c r="B668" s="701" t="s">
        <v>1842</v>
      </c>
      <c r="C668" s="702" t="s">
        <v>206</v>
      </c>
      <c r="D668" s="463" t="s">
        <v>1920</v>
      </c>
      <c r="E668" s="464"/>
      <c r="F668" s="465" t="s">
        <v>663</v>
      </c>
      <c r="G668" s="466">
        <v>0.11</v>
      </c>
      <c r="H668" s="681">
        <f>SUM(H669:H672)</f>
        <v>59.024459999999998</v>
      </c>
      <c r="I668" s="467">
        <v>136.76</v>
      </c>
      <c r="J668" s="467">
        <f>IF(ISBLANK(I668),"",SUM(H668:I668))</f>
        <v>195.78446</v>
      </c>
      <c r="K668" s="682">
        <f t="shared" si="205"/>
        <v>232.61</v>
      </c>
      <c r="L668" s="683" t="s">
        <v>16</v>
      </c>
      <c r="M668" s="685"/>
      <c r="N668" s="576">
        <f t="shared" si="209"/>
        <v>0</v>
      </c>
      <c r="O668" s="687">
        <f t="shared" si="196"/>
        <v>0</v>
      </c>
      <c r="P668" s="688">
        <f t="shared" si="197"/>
        <v>0</v>
      </c>
      <c r="Q668" s="765"/>
      <c r="R668" s="685">
        <f>M668</f>
        <v>0</v>
      </c>
      <c r="S668" s="686">
        <f>N668</f>
        <v>0</v>
      </c>
      <c r="T668" s="687">
        <f t="shared" si="194"/>
        <v>0</v>
      </c>
      <c r="U668" s="688">
        <f t="shared" si="195"/>
        <v>0</v>
      </c>
      <c r="V668" s="579"/>
      <c r="W668" s="566"/>
      <c r="X668" s="586" t="str">
        <f t="shared" si="191"/>
        <v/>
      </c>
      <c r="Y668" s="586" t="str">
        <f t="shared" si="189"/>
        <v/>
      </c>
      <c r="Z668" s="586" t="str">
        <f t="shared" si="208"/>
        <v/>
      </c>
    </row>
    <row r="669" spans="1:26" hidden="1" x14ac:dyDescent="0.2">
      <c r="A669" s="671" t="s">
        <v>168</v>
      </c>
      <c r="B669" s="644" t="s">
        <v>168</v>
      </c>
      <c r="C669" s="645"/>
      <c r="D669" s="451" t="s">
        <v>248</v>
      </c>
      <c r="E669" s="423"/>
      <c r="F669" s="424">
        <v>180</v>
      </c>
      <c r="G669" s="425"/>
      <c r="H669" s="651">
        <f t="shared" ref="H669:H672" si="211">IF(F669&lt;=30,(1.07*F669+2.68)*G669,((1.07*30+2.68)+1.07*(F669-30))*G669)</f>
        <v>0</v>
      </c>
      <c r="I669" s="420">
        <v>0</v>
      </c>
      <c r="J669" s="420"/>
      <c r="K669" s="421">
        <f t="shared" si="205"/>
        <v>0</v>
      </c>
      <c r="L669" s="647" t="s">
        <v>614</v>
      </c>
      <c r="M669" s="703"/>
      <c r="N669" s="576">
        <f t="shared" si="209"/>
        <v>0</v>
      </c>
      <c r="O669" s="577">
        <f t="shared" si="196"/>
        <v>0</v>
      </c>
      <c r="P669" s="578">
        <f t="shared" si="197"/>
        <v>0</v>
      </c>
      <c r="Q669" s="765"/>
      <c r="R669" s="703"/>
      <c r="S669" s="670"/>
      <c r="T669" s="577">
        <f t="shared" si="194"/>
        <v>0</v>
      </c>
      <c r="U669" s="578">
        <f t="shared" si="195"/>
        <v>0</v>
      </c>
      <c r="V669" s="579"/>
      <c r="W669" s="637" t="str">
        <f>IF(U668&gt;0,"xx",IF(P668&gt;0,"xy",""))</f>
        <v/>
      </c>
      <c r="X669" s="586" t="str">
        <f t="shared" si="191"/>
        <v/>
      </c>
      <c r="Y669" s="586" t="str">
        <f t="shared" si="189"/>
        <v/>
      </c>
      <c r="Z669" s="586" t="str">
        <f t="shared" si="208"/>
        <v/>
      </c>
    </row>
    <row r="670" spans="1:26" hidden="1" x14ac:dyDescent="0.2">
      <c r="A670" s="671" t="s">
        <v>168</v>
      </c>
      <c r="B670" s="644" t="s">
        <v>168</v>
      </c>
      <c r="C670" s="645"/>
      <c r="D670" s="451" t="s">
        <v>249</v>
      </c>
      <c r="E670" s="423"/>
      <c r="F670" s="424">
        <v>500</v>
      </c>
      <c r="G670" s="425"/>
      <c r="H670" s="649">
        <f>IF(F670&lt;=30,(0.78*F670+7.82)*G670,((0.78*30+7.82)+0.78*(F670-30))*G670)</f>
        <v>0</v>
      </c>
      <c r="I670" s="420">
        <v>0</v>
      </c>
      <c r="J670" s="420">
        <f>IF(ISBLANK(I670),"",SUM(H670:I670))</f>
        <v>0</v>
      </c>
      <c r="K670" s="421">
        <f t="shared" si="205"/>
        <v>0</v>
      </c>
      <c r="L670" s="647" t="s">
        <v>614</v>
      </c>
      <c r="M670" s="703"/>
      <c r="N670" s="576">
        <f t="shared" si="209"/>
        <v>0</v>
      </c>
      <c r="O670" s="577">
        <f t="shared" si="196"/>
        <v>0</v>
      </c>
      <c r="P670" s="578">
        <f t="shared" si="197"/>
        <v>0</v>
      </c>
      <c r="Q670" s="765"/>
      <c r="R670" s="703"/>
      <c r="S670" s="670"/>
      <c r="T670" s="577">
        <f t="shared" si="194"/>
        <v>0</v>
      </c>
      <c r="U670" s="578">
        <f t="shared" si="195"/>
        <v>0</v>
      </c>
      <c r="V670" s="579"/>
      <c r="W670" s="637" t="str">
        <f>IF(U668&gt;0,"xx",IF(P668&gt;0,"xy",""))</f>
        <v/>
      </c>
      <c r="X670" s="586" t="str">
        <f t="shared" si="191"/>
        <v/>
      </c>
      <c r="Y670" s="586" t="str">
        <f t="shared" si="189"/>
        <v/>
      </c>
      <c r="Z670" s="586" t="str">
        <f t="shared" si="208"/>
        <v/>
      </c>
    </row>
    <row r="671" spans="1:26" hidden="1" x14ac:dyDescent="0.2">
      <c r="A671" s="671" t="s">
        <v>168</v>
      </c>
      <c r="B671" s="644" t="s">
        <v>168</v>
      </c>
      <c r="C671" s="645"/>
      <c r="D671" s="451" t="s">
        <v>262</v>
      </c>
      <c r="E671" s="423"/>
      <c r="F671" s="424">
        <v>0.2</v>
      </c>
      <c r="G671" s="425">
        <v>2.09</v>
      </c>
      <c r="H671" s="651">
        <f t="shared" si="211"/>
        <v>6.0484599999999995</v>
      </c>
      <c r="I671" s="420">
        <v>0</v>
      </c>
      <c r="J671" s="420"/>
      <c r="K671" s="421">
        <f t="shared" si="205"/>
        <v>0</v>
      </c>
      <c r="L671" s="647" t="s">
        <v>614</v>
      </c>
      <c r="M671" s="703"/>
      <c r="N671" s="576">
        <f t="shared" si="209"/>
        <v>0</v>
      </c>
      <c r="O671" s="577">
        <f t="shared" si="196"/>
        <v>0</v>
      </c>
      <c r="P671" s="578">
        <f t="shared" si="197"/>
        <v>0</v>
      </c>
      <c r="Q671" s="765"/>
      <c r="R671" s="703"/>
      <c r="S671" s="670"/>
      <c r="T671" s="577">
        <f t="shared" si="194"/>
        <v>0</v>
      </c>
      <c r="U671" s="578">
        <f t="shared" si="195"/>
        <v>0</v>
      </c>
      <c r="V671" s="579"/>
      <c r="W671" s="637" t="str">
        <f>IF(U668&gt;0,"xx",IF(P668&gt;0,"xy",""))</f>
        <v/>
      </c>
      <c r="X671" s="586" t="str">
        <f t="shared" si="191"/>
        <v/>
      </c>
      <c r="Y671" s="586" t="str">
        <f t="shared" si="189"/>
        <v/>
      </c>
      <c r="Z671" s="586" t="str">
        <f t="shared" si="208"/>
        <v/>
      </c>
    </row>
    <row r="672" spans="1:26" hidden="1" x14ac:dyDescent="0.2">
      <c r="A672" s="671" t="s">
        <v>168</v>
      </c>
      <c r="B672" s="644" t="s">
        <v>168</v>
      </c>
      <c r="C672" s="645"/>
      <c r="D672" s="451" t="s">
        <v>263</v>
      </c>
      <c r="E672" s="423"/>
      <c r="F672" s="424">
        <v>20</v>
      </c>
      <c r="G672" s="425">
        <f>SUM(G668:G671)</f>
        <v>2.1999999999999997</v>
      </c>
      <c r="H672" s="651">
        <f t="shared" si="211"/>
        <v>52.975999999999999</v>
      </c>
      <c r="I672" s="420">
        <v>0</v>
      </c>
      <c r="J672" s="420"/>
      <c r="K672" s="421">
        <f t="shared" si="205"/>
        <v>0</v>
      </c>
      <c r="L672" s="647" t="s">
        <v>614</v>
      </c>
      <c r="M672" s="703"/>
      <c r="N672" s="576">
        <f t="shared" si="209"/>
        <v>0</v>
      </c>
      <c r="O672" s="577">
        <f t="shared" si="196"/>
        <v>0</v>
      </c>
      <c r="P672" s="578">
        <f t="shared" si="197"/>
        <v>0</v>
      </c>
      <c r="Q672" s="765"/>
      <c r="R672" s="703"/>
      <c r="S672" s="670"/>
      <c r="T672" s="577">
        <f t="shared" si="194"/>
        <v>0</v>
      </c>
      <c r="U672" s="578">
        <f t="shared" si="195"/>
        <v>0</v>
      </c>
      <c r="V672" s="579"/>
      <c r="W672" s="637" t="str">
        <f>IF(U668&gt;0,"xx",IF(P668&gt;0,"xy",""))</f>
        <v/>
      </c>
      <c r="X672" s="586" t="str">
        <f t="shared" si="191"/>
        <v/>
      </c>
      <c r="Y672" s="586" t="str">
        <f t="shared" si="189"/>
        <v/>
      </c>
      <c r="Z672" s="586" t="str">
        <f t="shared" si="208"/>
        <v/>
      </c>
    </row>
    <row r="673" spans="1:26" ht="12" hidden="1" thickBot="1" x14ac:dyDescent="0.25">
      <c r="A673" s="671">
        <v>589320</v>
      </c>
      <c r="B673" s="704" t="s">
        <v>1843</v>
      </c>
      <c r="C673" s="689" t="s">
        <v>1746</v>
      </c>
      <c r="D673" s="477" t="s">
        <v>813</v>
      </c>
      <c r="E673" s="470"/>
      <c r="F673" s="478">
        <v>500</v>
      </c>
      <c r="G673" s="479">
        <v>1</v>
      </c>
      <c r="H673" s="663">
        <f>(0.84*F673+41.45)*G673</f>
        <v>461.45</v>
      </c>
      <c r="I673" s="472">
        <v>4680</v>
      </c>
      <c r="J673" s="472">
        <f>IF(ISBLANK(I673),"",I673*(1+$F$9)/(1+$F$10))+H673</f>
        <v>5002.4010983923918</v>
      </c>
      <c r="K673" s="690">
        <f t="shared" si="205"/>
        <v>5943.35</v>
      </c>
      <c r="L673" s="691" t="s">
        <v>20</v>
      </c>
      <c r="M673" s="692">
        <f>ROUND(M668*G668,2)</f>
        <v>0</v>
      </c>
      <c r="N673" s="588">
        <f t="shared" si="209"/>
        <v>0</v>
      </c>
      <c r="O673" s="693">
        <f t="shared" si="196"/>
        <v>0</v>
      </c>
      <c r="P673" s="694">
        <f t="shared" si="197"/>
        <v>0</v>
      </c>
      <c r="Q673" s="765"/>
      <c r="R673" s="719">
        <f>ROUND(R668*G668,2)</f>
        <v>0</v>
      </c>
      <c r="S673" s="720">
        <f>N673</f>
        <v>0</v>
      </c>
      <c r="T673" s="693">
        <f t="shared" si="194"/>
        <v>0</v>
      </c>
      <c r="U673" s="694">
        <f t="shared" si="195"/>
        <v>0</v>
      </c>
      <c r="V673" s="579"/>
      <c r="W673" s="637" t="str">
        <f>IF(U668&gt;0,"xx",IF(P668&gt;0,"xy",""))</f>
        <v/>
      </c>
      <c r="X673" s="586" t="str">
        <f t="shared" si="191"/>
        <v/>
      </c>
      <c r="Y673" s="586" t="str">
        <f t="shared" si="189"/>
        <v/>
      </c>
      <c r="Z673" s="586" t="str">
        <f t="shared" si="208"/>
        <v/>
      </c>
    </row>
    <row r="674" spans="1:26" hidden="1" x14ac:dyDescent="0.2">
      <c r="A674" s="567">
        <v>534300</v>
      </c>
      <c r="B674" s="701" t="s">
        <v>1844</v>
      </c>
      <c r="C674" s="702" t="s">
        <v>206</v>
      </c>
      <c r="D674" s="463" t="s">
        <v>1919</v>
      </c>
      <c r="E674" s="464"/>
      <c r="F674" s="465" t="s">
        <v>663</v>
      </c>
      <c r="G674" s="466">
        <v>0.14000000000000001</v>
      </c>
      <c r="H674" s="681">
        <f>SUM(H675:H678)</f>
        <v>113.57926</v>
      </c>
      <c r="I674" s="467">
        <v>136.76</v>
      </c>
      <c r="J674" s="467">
        <f>IF(ISBLANK(I674),"",SUM(H674:I674))</f>
        <v>250.33926</v>
      </c>
      <c r="K674" s="682">
        <f t="shared" si="205"/>
        <v>297.43</v>
      </c>
      <c r="L674" s="683" t="s">
        <v>16</v>
      </c>
      <c r="M674" s="685"/>
      <c r="N674" s="686">
        <f t="shared" si="209"/>
        <v>0</v>
      </c>
      <c r="O674" s="687">
        <f t="shared" si="196"/>
        <v>0</v>
      </c>
      <c r="P674" s="688">
        <f t="shared" si="197"/>
        <v>0</v>
      </c>
      <c r="Q674" s="765"/>
      <c r="R674" s="685">
        <f>M674</f>
        <v>0</v>
      </c>
      <c r="S674" s="686">
        <f>N674</f>
        <v>0</v>
      </c>
      <c r="T674" s="687">
        <f t="shared" si="194"/>
        <v>0</v>
      </c>
      <c r="U674" s="688">
        <f t="shared" si="195"/>
        <v>0</v>
      </c>
      <c r="V674" s="579"/>
      <c r="W674" s="566"/>
      <c r="X674" s="586" t="str">
        <f t="shared" si="191"/>
        <v/>
      </c>
      <c r="Y674" s="586" t="str">
        <f t="shared" si="189"/>
        <v/>
      </c>
      <c r="Z674" s="586" t="str">
        <f t="shared" si="208"/>
        <v/>
      </c>
    </row>
    <row r="675" spans="1:26" hidden="1" x14ac:dyDescent="0.2">
      <c r="A675" s="567" t="s">
        <v>168</v>
      </c>
      <c r="B675" s="644" t="s">
        <v>168</v>
      </c>
      <c r="C675" s="645"/>
      <c r="D675" s="451" t="s">
        <v>248</v>
      </c>
      <c r="E675" s="423"/>
      <c r="F675" s="424">
        <v>180</v>
      </c>
      <c r="G675" s="425">
        <v>0.27</v>
      </c>
      <c r="H675" s="651">
        <f t="shared" ref="H675:H678" si="212">IF(F675&lt;=30,(1.07*F675+2.68)*G675,((1.07*30+2.68)+1.07*(F675-30))*G675)</f>
        <v>52.725600000000007</v>
      </c>
      <c r="I675" s="420">
        <v>0</v>
      </c>
      <c r="J675" s="420"/>
      <c r="K675" s="421">
        <f t="shared" si="205"/>
        <v>0</v>
      </c>
      <c r="L675" s="647" t="s">
        <v>614</v>
      </c>
      <c r="M675" s="703"/>
      <c r="N675" s="576">
        <f t="shared" si="209"/>
        <v>0</v>
      </c>
      <c r="O675" s="577">
        <f t="shared" si="196"/>
        <v>0</v>
      </c>
      <c r="P675" s="578">
        <f t="shared" si="197"/>
        <v>0</v>
      </c>
      <c r="Q675" s="765"/>
      <c r="R675" s="703"/>
      <c r="S675" s="670"/>
      <c r="T675" s="577">
        <f t="shared" si="194"/>
        <v>0</v>
      </c>
      <c r="U675" s="578">
        <f t="shared" si="195"/>
        <v>0</v>
      </c>
      <c r="V675" s="579"/>
      <c r="W675" s="637" t="str">
        <f>IF(U674&gt;0,"xx",IF(P674&gt;0,"xy",""))</f>
        <v/>
      </c>
      <c r="X675" s="586" t="str">
        <f t="shared" si="191"/>
        <v/>
      </c>
      <c r="Y675" s="586" t="str">
        <f t="shared" si="189"/>
        <v/>
      </c>
      <c r="Z675" s="586" t="str">
        <f t="shared" si="208"/>
        <v/>
      </c>
    </row>
    <row r="676" spans="1:26" hidden="1" x14ac:dyDescent="0.2">
      <c r="A676" s="567" t="s">
        <v>168</v>
      </c>
      <c r="B676" s="644" t="s">
        <v>168</v>
      </c>
      <c r="C676" s="645"/>
      <c r="D676" s="451" t="s">
        <v>249</v>
      </c>
      <c r="E676" s="423"/>
      <c r="F676" s="424">
        <v>500</v>
      </c>
      <c r="G676" s="425"/>
      <c r="H676" s="649">
        <f>IF(F676&lt;=30,(0.78*F676+7.82)*G676,((0.78*30+7.82)+0.78*(F676-30))*G676)</f>
        <v>0</v>
      </c>
      <c r="I676" s="420">
        <v>0</v>
      </c>
      <c r="J676" s="420">
        <f>IF(ISBLANK(I676),"",SUM(H676:I676))</f>
        <v>0</v>
      </c>
      <c r="K676" s="421">
        <f t="shared" si="205"/>
        <v>0</v>
      </c>
      <c r="L676" s="647" t="s">
        <v>614</v>
      </c>
      <c r="M676" s="703"/>
      <c r="N676" s="576">
        <f t="shared" si="209"/>
        <v>0</v>
      </c>
      <c r="O676" s="577">
        <f t="shared" si="196"/>
        <v>0</v>
      </c>
      <c r="P676" s="578">
        <f t="shared" si="197"/>
        <v>0</v>
      </c>
      <c r="Q676" s="765"/>
      <c r="R676" s="703"/>
      <c r="S676" s="670"/>
      <c r="T676" s="577">
        <f t="shared" si="194"/>
        <v>0</v>
      </c>
      <c r="U676" s="578">
        <f t="shared" si="195"/>
        <v>0</v>
      </c>
      <c r="V676" s="579"/>
      <c r="W676" s="637" t="str">
        <f>IF(U674&gt;0,"xx",IF(P674&gt;0,"xy",""))</f>
        <v/>
      </c>
      <c r="X676" s="586" t="str">
        <f>IF(W676="X","x",IF(W676="xx","x",IF(W676="xy","x",IF(W676="y","x",IF(OR(P676&gt;0,U676&gt;0),"x","")))))</f>
        <v/>
      </c>
      <c r="Y676" s="586" t="str">
        <f>IF(W676="X","x",IF(W676="y","x",IF(W676="xx","x",IF(U676&gt;0,"x",""))))</f>
        <v/>
      </c>
      <c r="Z676" s="586" t="str">
        <f>IF(W676="X","x",IF(U676&gt;0,"x",""))</f>
        <v/>
      </c>
    </row>
    <row r="677" spans="1:26" hidden="1" x14ac:dyDescent="0.2">
      <c r="A677" s="567" t="s">
        <v>168</v>
      </c>
      <c r="B677" s="644" t="s">
        <v>168</v>
      </c>
      <c r="C677" s="645"/>
      <c r="D677" s="451" t="s">
        <v>262</v>
      </c>
      <c r="E677" s="423"/>
      <c r="F677" s="424">
        <v>0.2</v>
      </c>
      <c r="G677" s="425">
        <v>1.89</v>
      </c>
      <c r="H677" s="651">
        <f t="shared" si="212"/>
        <v>5.4696600000000002</v>
      </c>
      <c r="I677" s="420">
        <v>0</v>
      </c>
      <c r="J677" s="420"/>
      <c r="K677" s="421">
        <f t="shared" si="205"/>
        <v>0</v>
      </c>
      <c r="L677" s="647" t="s">
        <v>614</v>
      </c>
      <c r="M677" s="703"/>
      <c r="N677" s="576">
        <f t="shared" si="209"/>
        <v>0</v>
      </c>
      <c r="O677" s="577">
        <f t="shared" si="196"/>
        <v>0</v>
      </c>
      <c r="P677" s="578">
        <f t="shared" si="197"/>
        <v>0</v>
      </c>
      <c r="Q677" s="765"/>
      <c r="R677" s="703"/>
      <c r="S677" s="670"/>
      <c r="T677" s="577">
        <f t="shared" si="194"/>
        <v>0</v>
      </c>
      <c r="U677" s="578">
        <f t="shared" si="195"/>
        <v>0</v>
      </c>
      <c r="V677" s="579"/>
      <c r="W677" s="637" t="str">
        <f>IF(U674&gt;0,"xx",IF(P674&gt;0,"xy",""))</f>
        <v/>
      </c>
      <c r="X677" s="586" t="str">
        <f>IF(W677="X","x",IF(W677="xx","x",IF(W677="xy","x",IF(W677="y","x",IF(OR(P677&gt;0,U677&gt;0),"x","")))))</f>
        <v/>
      </c>
      <c r="Y677" s="586" t="str">
        <f>IF(W677="X","x",IF(W677="y","x",IF(W677="xx","x",IF(U677&gt;0,"x",""))))</f>
        <v/>
      </c>
      <c r="Z677" s="586" t="str">
        <f>IF(W677="X","x",IF(U677&gt;0,"x",""))</f>
        <v/>
      </c>
    </row>
    <row r="678" spans="1:26" hidden="1" x14ac:dyDescent="0.2">
      <c r="A678" s="567" t="s">
        <v>168</v>
      </c>
      <c r="B678" s="644" t="s">
        <v>168</v>
      </c>
      <c r="C678" s="645"/>
      <c r="D678" s="451" t="s">
        <v>263</v>
      </c>
      <c r="E678" s="423"/>
      <c r="F678" s="424">
        <v>20</v>
      </c>
      <c r="G678" s="425">
        <f>SUM(G674:G677)</f>
        <v>2.2999999999999998</v>
      </c>
      <c r="H678" s="651">
        <f t="shared" si="212"/>
        <v>55.384</v>
      </c>
      <c r="I678" s="420">
        <v>0</v>
      </c>
      <c r="J678" s="420"/>
      <c r="K678" s="421">
        <f t="shared" si="205"/>
        <v>0</v>
      </c>
      <c r="L678" s="647" t="s">
        <v>614</v>
      </c>
      <c r="M678" s="703"/>
      <c r="N678" s="576">
        <f t="shared" si="209"/>
        <v>0</v>
      </c>
      <c r="O678" s="577">
        <f>IF(ISBLANK(M678),0,ROUND(K678*M678,2))</f>
        <v>0</v>
      </c>
      <c r="P678" s="578">
        <f>IF(ISBLANK(N678),0,ROUND(M678*N678,2))</f>
        <v>0</v>
      </c>
      <c r="Q678" s="765"/>
      <c r="R678" s="703"/>
      <c r="S678" s="670"/>
      <c r="T678" s="577">
        <f t="shared" si="194"/>
        <v>0</v>
      </c>
      <c r="U678" s="578">
        <f t="shared" si="195"/>
        <v>0</v>
      </c>
      <c r="V678" s="579"/>
      <c r="W678" s="637" t="str">
        <f>IF(U674&gt;0,"xx",IF(P674&gt;0,"xy",""))</f>
        <v/>
      </c>
      <c r="X678" s="586" t="str">
        <f t="shared" si="191"/>
        <v/>
      </c>
      <c r="Y678" s="586" t="str">
        <f t="shared" si="189"/>
        <v/>
      </c>
      <c r="Z678" s="586" t="str">
        <f t="shared" si="208"/>
        <v/>
      </c>
    </row>
    <row r="679" spans="1:26" ht="12" hidden="1" thickBot="1" x14ac:dyDescent="0.25">
      <c r="A679" s="567">
        <v>589320</v>
      </c>
      <c r="B679" s="704" t="s">
        <v>1845</v>
      </c>
      <c r="C679" s="689" t="s">
        <v>1746</v>
      </c>
      <c r="D679" s="477" t="s">
        <v>813</v>
      </c>
      <c r="E679" s="470"/>
      <c r="F679" s="478">
        <v>500</v>
      </c>
      <c r="G679" s="479">
        <v>1</v>
      </c>
      <c r="H679" s="663">
        <f>(0.84*F679+41.45)*G679</f>
        <v>461.45</v>
      </c>
      <c r="I679" s="472">
        <v>4680</v>
      </c>
      <c r="J679" s="472">
        <f>IF(ISBLANK(I679),"",I679*(1+$F$9)/(1+$F$10))+H679</f>
        <v>5002.4010983923918</v>
      </c>
      <c r="K679" s="690">
        <f t="shared" si="205"/>
        <v>5943.35</v>
      </c>
      <c r="L679" s="691" t="s">
        <v>20</v>
      </c>
      <c r="M679" s="692">
        <f>ROUND(M674*G674,2)</f>
        <v>0</v>
      </c>
      <c r="N679" s="696">
        <f t="shared" si="209"/>
        <v>0</v>
      </c>
      <c r="O679" s="693">
        <f>IF(ISBLANK(M679),0,ROUND(K679*M679,2))</f>
        <v>0</v>
      </c>
      <c r="P679" s="694">
        <f>IF(ISBLANK(N679),0,ROUND(M679*N679,2))</f>
        <v>0</v>
      </c>
      <c r="Q679" s="765"/>
      <c r="R679" s="719">
        <f>ROUND(R674*G674,2)</f>
        <v>0</v>
      </c>
      <c r="S679" s="720">
        <f>N679</f>
        <v>0</v>
      </c>
      <c r="T679" s="693">
        <f t="shared" si="194"/>
        <v>0</v>
      </c>
      <c r="U679" s="694">
        <f t="shared" si="195"/>
        <v>0</v>
      </c>
      <c r="V679" s="579"/>
      <c r="W679" s="637" t="str">
        <f>IF(U674&gt;0,"xx",IF(P674&gt;0,"xy",""))</f>
        <v/>
      </c>
      <c r="X679" s="586" t="str">
        <f t="shared" si="191"/>
        <v/>
      </c>
      <c r="Y679" s="586" t="str">
        <f t="shared" si="189"/>
        <v/>
      </c>
      <c r="Z679" s="586" t="str">
        <f t="shared" si="208"/>
        <v/>
      </c>
    </row>
    <row r="680" spans="1:26" hidden="1" x14ac:dyDescent="0.2">
      <c r="A680" s="567">
        <v>534300</v>
      </c>
      <c r="B680" s="701" t="s">
        <v>1846</v>
      </c>
      <c r="C680" s="702" t="s">
        <v>206</v>
      </c>
      <c r="D680" s="463" t="s">
        <v>1920</v>
      </c>
      <c r="E680" s="464"/>
      <c r="F680" s="465" t="s">
        <v>663</v>
      </c>
      <c r="G680" s="466">
        <v>0.14000000000000001</v>
      </c>
      <c r="H680" s="681">
        <f>SUM(H681:H684)</f>
        <v>113.57926</v>
      </c>
      <c r="I680" s="467">
        <v>136.76</v>
      </c>
      <c r="J680" s="467">
        <f>IF(ISBLANK(I680),"",SUM(H680:I680))</f>
        <v>250.33926</v>
      </c>
      <c r="K680" s="682">
        <f t="shared" si="205"/>
        <v>297.43</v>
      </c>
      <c r="L680" s="683" t="s">
        <v>16</v>
      </c>
      <c r="M680" s="685"/>
      <c r="N680" s="686">
        <f t="shared" si="209"/>
        <v>0</v>
      </c>
      <c r="O680" s="687">
        <f t="shared" si="196"/>
        <v>0</v>
      </c>
      <c r="P680" s="688">
        <f t="shared" si="197"/>
        <v>0</v>
      </c>
      <c r="Q680" s="765"/>
      <c r="R680" s="685">
        <f>M680</f>
        <v>0</v>
      </c>
      <c r="S680" s="686">
        <f>N680</f>
        <v>0</v>
      </c>
      <c r="T680" s="687">
        <f t="shared" si="194"/>
        <v>0</v>
      </c>
      <c r="U680" s="688">
        <f t="shared" si="195"/>
        <v>0</v>
      </c>
      <c r="V680" s="579"/>
      <c r="W680" s="566"/>
      <c r="X680" s="586" t="str">
        <f t="shared" si="191"/>
        <v/>
      </c>
      <c r="Y680" s="586" t="str">
        <f t="shared" si="189"/>
        <v/>
      </c>
      <c r="Z680" s="586" t="str">
        <f t="shared" si="208"/>
        <v/>
      </c>
    </row>
    <row r="681" spans="1:26" hidden="1" x14ac:dyDescent="0.2">
      <c r="A681" s="567" t="s">
        <v>168</v>
      </c>
      <c r="B681" s="644" t="s">
        <v>168</v>
      </c>
      <c r="C681" s="645"/>
      <c r="D681" s="451" t="s">
        <v>248</v>
      </c>
      <c r="E681" s="423"/>
      <c r="F681" s="424">
        <v>180</v>
      </c>
      <c r="G681" s="425">
        <v>0.27</v>
      </c>
      <c r="H681" s="651">
        <f t="shared" ref="H681:H684" si="213">IF(F681&lt;=30,(1.07*F681+2.68)*G681,((1.07*30+2.68)+1.07*(F681-30))*G681)</f>
        <v>52.725600000000007</v>
      </c>
      <c r="I681" s="420">
        <v>0</v>
      </c>
      <c r="J681" s="420"/>
      <c r="K681" s="421">
        <f t="shared" si="205"/>
        <v>0</v>
      </c>
      <c r="L681" s="647" t="s">
        <v>614</v>
      </c>
      <c r="M681" s="801"/>
      <c r="N681" s="576">
        <f t="shared" si="209"/>
        <v>0</v>
      </c>
      <c r="O681" s="642">
        <f t="shared" si="196"/>
        <v>0</v>
      </c>
      <c r="P681" s="659">
        <f t="shared" si="197"/>
        <v>0</v>
      </c>
      <c r="Q681" s="765"/>
      <c r="R681" s="703"/>
      <c r="S681" s="670"/>
      <c r="T681" s="577">
        <f t="shared" si="194"/>
        <v>0</v>
      </c>
      <c r="U681" s="578">
        <f t="shared" si="195"/>
        <v>0</v>
      </c>
      <c r="V681" s="579"/>
      <c r="W681" s="637" t="str">
        <f>IF(U680&gt;0,"xx",IF(P680&gt;0,"xy",""))</f>
        <v/>
      </c>
      <c r="X681" s="586" t="str">
        <f t="shared" si="191"/>
        <v/>
      </c>
      <c r="Y681" s="586" t="str">
        <f t="shared" si="189"/>
        <v/>
      </c>
      <c r="Z681" s="586" t="str">
        <f t="shared" si="208"/>
        <v/>
      </c>
    </row>
    <row r="682" spans="1:26" hidden="1" x14ac:dyDescent="0.2">
      <c r="A682" s="567" t="s">
        <v>168</v>
      </c>
      <c r="B682" s="644" t="s">
        <v>168</v>
      </c>
      <c r="C682" s="645"/>
      <c r="D682" s="451" t="s">
        <v>249</v>
      </c>
      <c r="E682" s="423"/>
      <c r="F682" s="424">
        <v>500</v>
      </c>
      <c r="G682" s="425"/>
      <c r="H682" s="649">
        <f>IF(F682&lt;=30,(0.78*F682+7.82)*G682,((0.78*30+7.82)+0.78*(F682-30))*G682)</f>
        <v>0</v>
      </c>
      <c r="I682" s="420">
        <v>0</v>
      </c>
      <c r="J682" s="420">
        <f>IF(ISBLANK(I682),"",SUM(H682:I682))</f>
        <v>0</v>
      </c>
      <c r="K682" s="421">
        <f t="shared" si="205"/>
        <v>0</v>
      </c>
      <c r="L682" s="647" t="s">
        <v>614</v>
      </c>
      <c r="M682" s="703"/>
      <c r="N682" s="576">
        <f t="shared" si="209"/>
        <v>0</v>
      </c>
      <c r="O682" s="577">
        <f t="shared" si="196"/>
        <v>0</v>
      </c>
      <c r="P682" s="578">
        <f t="shared" si="197"/>
        <v>0</v>
      </c>
      <c r="Q682" s="765"/>
      <c r="R682" s="703"/>
      <c r="S682" s="670"/>
      <c r="T682" s="577">
        <f t="shared" si="194"/>
        <v>0</v>
      </c>
      <c r="U682" s="578">
        <f t="shared" si="195"/>
        <v>0</v>
      </c>
      <c r="V682" s="579"/>
      <c r="W682" s="637" t="str">
        <f>IF(U680&gt;0,"xx",IF(P680&gt;0,"xy",""))</f>
        <v/>
      </c>
      <c r="X682" s="586" t="str">
        <f>IF(W682="X","x",IF(W682="xx","x",IF(W682="xy","x",IF(W682="y","x",IF(OR(P682&gt;0,U682&gt;0),"x","")))))</f>
        <v/>
      </c>
      <c r="Y682" s="586" t="str">
        <f>IF(W682="X","x",IF(W682="y","x",IF(W682="xx","x",IF(U682&gt;0,"x",""))))</f>
        <v/>
      </c>
      <c r="Z682" s="586" t="str">
        <f>IF(W682="X","x",IF(U682&gt;0,"x",""))</f>
        <v/>
      </c>
    </row>
    <row r="683" spans="1:26" hidden="1" x14ac:dyDescent="0.2">
      <c r="A683" s="567" t="s">
        <v>168</v>
      </c>
      <c r="B683" s="644" t="s">
        <v>168</v>
      </c>
      <c r="C683" s="645"/>
      <c r="D683" s="451" t="s">
        <v>262</v>
      </c>
      <c r="E683" s="423"/>
      <c r="F683" s="424">
        <v>0.2</v>
      </c>
      <c r="G683" s="425">
        <v>1.89</v>
      </c>
      <c r="H683" s="651">
        <f t="shared" si="213"/>
        <v>5.4696600000000002</v>
      </c>
      <c r="I683" s="420">
        <v>0</v>
      </c>
      <c r="J683" s="420"/>
      <c r="K683" s="421">
        <f t="shared" si="205"/>
        <v>0</v>
      </c>
      <c r="L683" s="647" t="s">
        <v>614</v>
      </c>
      <c r="M683" s="703"/>
      <c r="N683" s="576">
        <f t="shared" si="209"/>
        <v>0</v>
      </c>
      <c r="O683" s="577">
        <f t="shared" si="196"/>
        <v>0</v>
      </c>
      <c r="P683" s="578">
        <f t="shared" si="197"/>
        <v>0</v>
      </c>
      <c r="Q683" s="765"/>
      <c r="R683" s="703"/>
      <c r="S683" s="670"/>
      <c r="T683" s="577">
        <f t="shared" si="194"/>
        <v>0</v>
      </c>
      <c r="U683" s="578">
        <f t="shared" si="195"/>
        <v>0</v>
      </c>
      <c r="V683" s="579"/>
      <c r="W683" s="637" t="str">
        <f>IF(U680&gt;0,"xx",IF(P680&gt;0,"xy",""))</f>
        <v/>
      </c>
      <c r="X683" s="586" t="str">
        <f>IF(W683="X","x",IF(W683="xx","x",IF(W683="xy","x",IF(W683="y","x",IF(OR(P683&gt;0,U683&gt;0),"x","")))))</f>
        <v/>
      </c>
      <c r="Y683" s="586" t="str">
        <f>IF(W683="X","x",IF(W683="y","x",IF(W683="xx","x",IF(U683&gt;0,"x",""))))</f>
        <v/>
      </c>
      <c r="Z683" s="586" t="str">
        <f>IF(W683="X","x",IF(U683&gt;0,"x",""))</f>
        <v/>
      </c>
    </row>
    <row r="684" spans="1:26" hidden="1" x14ac:dyDescent="0.2">
      <c r="A684" s="567" t="s">
        <v>168</v>
      </c>
      <c r="B684" s="644" t="s">
        <v>168</v>
      </c>
      <c r="C684" s="645"/>
      <c r="D684" s="451" t="s">
        <v>263</v>
      </c>
      <c r="E684" s="423"/>
      <c r="F684" s="424">
        <v>20</v>
      </c>
      <c r="G684" s="425">
        <f>SUM(G680:G683)</f>
        <v>2.2999999999999998</v>
      </c>
      <c r="H684" s="651">
        <f t="shared" si="213"/>
        <v>55.384</v>
      </c>
      <c r="I684" s="420">
        <v>0</v>
      </c>
      <c r="J684" s="420"/>
      <c r="K684" s="421">
        <f t="shared" si="205"/>
        <v>0</v>
      </c>
      <c r="L684" s="647" t="s">
        <v>614</v>
      </c>
      <c r="M684" s="703"/>
      <c r="N684" s="576">
        <f t="shared" si="209"/>
        <v>0</v>
      </c>
      <c r="O684" s="577">
        <f t="shared" si="196"/>
        <v>0</v>
      </c>
      <c r="P684" s="578">
        <f t="shared" si="197"/>
        <v>0</v>
      </c>
      <c r="Q684" s="765"/>
      <c r="R684" s="703"/>
      <c r="S684" s="670"/>
      <c r="T684" s="577">
        <f t="shared" si="194"/>
        <v>0</v>
      </c>
      <c r="U684" s="578">
        <f t="shared" si="195"/>
        <v>0</v>
      </c>
      <c r="V684" s="579"/>
      <c r="W684" s="637" t="str">
        <f>IF(U680&gt;0,"xx",IF(P680&gt;0,"xy",""))</f>
        <v/>
      </c>
      <c r="X684" s="586" t="str">
        <f t="shared" si="191"/>
        <v/>
      </c>
      <c r="Y684" s="586" t="str">
        <f t="shared" si="189"/>
        <v/>
      </c>
      <c r="Z684" s="586" t="str">
        <f t="shared" si="208"/>
        <v/>
      </c>
    </row>
    <row r="685" spans="1:26" ht="12" hidden="1" thickBot="1" x14ac:dyDescent="0.25">
      <c r="A685" s="567">
        <v>589320</v>
      </c>
      <c r="B685" s="704" t="s">
        <v>1847</v>
      </c>
      <c r="C685" s="689" t="s">
        <v>1746</v>
      </c>
      <c r="D685" s="477" t="s">
        <v>813</v>
      </c>
      <c r="E685" s="470"/>
      <c r="F685" s="478">
        <v>500</v>
      </c>
      <c r="G685" s="479">
        <v>1</v>
      </c>
      <c r="H685" s="663">
        <f>(0.84*F685+41.45)*G685</f>
        <v>461.45</v>
      </c>
      <c r="I685" s="472">
        <v>4680</v>
      </c>
      <c r="J685" s="472">
        <f>IF(ISBLANK(I685),"",I685*(1+$F$9)/(1+$F$10))+H685</f>
        <v>5002.4010983923918</v>
      </c>
      <c r="K685" s="690">
        <f t="shared" si="205"/>
        <v>5943.35</v>
      </c>
      <c r="L685" s="691" t="s">
        <v>20</v>
      </c>
      <c r="M685" s="692">
        <f>ROUND(M680*G680,2)</f>
        <v>0</v>
      </c>
      <c r="N685" s="588">
        <f t="shared" si="209"/>
        <v>0</v>
      </c>
      <c r="O685" s="693">
        <f t="shared" si="196"/>
        <v>0</v>
      </c>
      <c r="P685" s="694">
        <f t="shared" si="197"/>
        <v>0</v>
      </c>
      <c r="Q685" s="765"/>
      <c r="R685" s="719">
        <f>ROUND(R680*G680,2)</f>
        <v>0</v>
      </c>
      <c r="S685" s="720">
        <f>N685</f>
        <v>0</v>
      </c>
      <c r="T685" s="693">
        <f t="shared" si="194"/>
        <v>0</v>
      </c>
      <c r="U685" s="694">
        <f t="shared" si="195"/>
        <v>0</v>
      </c>
      <c r="V685" s="579"/>
      <c r="W685" s="637" t="str">
        <f>IF(U680&gt;0,"xx",IF(P680&gt;0,"xy",""))</f>
        <v/>
      </c>
      <c r="X685" s="586" t="str">
        <f t="shared" si="191"/>
        <v/>
      </c>
      <c r="Y685" s="586" t="str">
        <f t="shared" si="189"/>
        <v/>
      </c>
      <c r="Z685" s="586" t="str">
        <f t="shared" si="208"/>
        <v/>
      </c>
    </row>
    <row r="686" spans="1:26" hidden="1" x14ac:dyDescent="0.2">
      <c r="A686" s="671">
        <v>534300</v>
      </c>
      <c r="B686" s="701" t="s">
        <v>1848</v>
      </c>
      <c r="C686" s="702" t="s">
        <v>206</v>
      </c>
      <c r="D686" s="463" t="s">
        <v>1915</v>
      </c>
      <c r="E686" s="464"/>
      <c r="F686" s="465" t="s">
        <v>663</v>
      </c>
      <c r="G686" s="466">
        <v>0.18240000000000001</v>
      </c>
      <c r="H686" s="681">
        <f>SUM(H687:H690)</f>
        <v>207.67925819999999</v>
      </c>
      <c r="I686" s="467">
        <v>136.76</v>
      </c>
      <c r="J686" s="467">
        <f>IF(ISBLANK(I686),"",SUM(H686:I686))</f>
        <v>344.43925819999998</v>
      </c>
      <c r="K686" s="682">
        <f t="shared" si="205"/>
        <v>409.23</v>
      </c>
      <c r="L686" s="683" t="s">
        <v>16</v>
      </c>
      <c r="M686" s="685"/>
      <c r="N686" s="686">
        <f t="shared" si="209"/>
        <v>0</v>
      </c>
      <c r="O686" s="687">
        <f t="shared" si="196"/>
        <v>0</v>
      </c>
      <c r="P686" s="688">
        <f t="shared" si="197"/>
        <v>0</v>
      </c>
      <c r="Q686" s="765"/>
      <c r="R686" s="685">
        <f>M686</f>
        <v>0</v>
      </c>
      <c r="S686" s="686">
        <f>N686</f>
        <v>0</v>
      </c>
      <c r="T686" s="687">
        <f t="shared" si="194"/>
        <v>0</v>
      </c>
      <c r="U686" s="688">
        <f t="shared" si="195"/>
        <v>0</v>
      </c>
      <c r="V686" s="579"/>
      <c r="W686" s="566"/>
      <c r="X686" s="586" t="str">
        <f t="shared" si="191"/>
        <v/>
      </c>
      <c r="Y686" s="586" t="str">
        <f t="shared" si="189"/>
        <v/>
      </c>
      <c r="Z686" s="586" t="str">
        <f t="shared" si="208"/>
        <v/>
      </c>
    </row>
    <row r="687" spans="1:26" hidden="1" x14ac:dyDescent="0.2">
      <c r="A687" s="671" t="s">
        <v>168</v>
      </c>
      <c r="B687" s="644" t="s">
        <v>168</v>
      </c>
      <c r="C687" s="645"/>
      <c r="D687" s="451" t="s">
        <v>248</v>
      </c>
      <c r="E687" s="423"/>
      <c r="F687" s="424">
        <v>180</v>
      </c>
      <c r="G687" s="425">
        <v>0.56969999999999998</v>
      </c>
      <c r="H687" s="651">
        <f t="shared" ref="H687:H690" si="214">IF(F687&lt;=30,(1.07*F687+2.68)*G687,((1.07*30+2.68)+1.07*(F687-30))*G687)</f>
        <v>111.25101599999999</v>
      </c>
      <c r="I687" s="420">
        <v>0</v>
      </c>
      <c r="J687" s="420"/>
      <c r="K687" s="421">
        <f t="shared" si="205"/>
        <v>0</v>
      </c>
      <c r="L687" s="647" t="s">
        <v>614</v>
      </c>
      <c r="M687" s="703"/>
      <c r="N687" s="576">
        <f t="shared" si="209"/>
        <v>0</v>
      </c>
      <c r="O687" s="577">
        <f t="shared" si="196"/>
        <v>0</v>
      </c>
      <c r="P687" s="578">
        <f t="shared" si="197"/>
        <v>0</v>
      </c>
      <c r="Q687" s="765"/>
      <c r="R687" s="703"/>
      <c r="S687" s="670"/>
      <c r="T687" s="577">
        <f t="shared" si="194"/>
        <v>0</v>
      </c>
      <c r="U687" s="578">
        <f t="shared" si="195"/>
        <v>0</v>
      </c>
      <c r="V687" s="579"/>
      <c r="W687" s="637" t="str">
        <f>IF(U686&gt;0,"xx",IF(P686&gt;0,"xy",""))</f>
        <v/>
      </c>
      <c r="X687" s="586" t="str">
        <f t="shared" si="191"/>
        <v/>
      </c>
      <c r="Y687" s="586" t="str">
        <f t="shared" si="189"/>
        <v/>
      </c>
      <c r="Z687" s="586" t="str">
        <f t="shared" si="208"/>
        <v/>
      </c>
    </row>
    <row r="688" spans="1:26" hidden="1" x14ac:dyDescent="0.2">
      <c r="A688" s="671" t="s">
        <v>168</v>
      </c>
      <c r="B688" s="644" t="s">
        <v>168</v>
      </c>
      <c r="C688" s="645"/>
      <c r="D688" s="451" t="s">
        <v>249</v>
      </c>
      <c r="E688" s="423"/>
      <c r="F688" s="424">
        <v>500</v>
      </c>
      <c r="G688" s="425">
        <v>8.7599999999999997E-2</v>
      </c>
      <c r="H688" s="649">
        <f>IF(F688&lt;=30,(0.78*F688+7.82)*G688,((0.78*30+7.82)+0.78*(F688-30))*G688)</f>
        <v>34.849032000000001</v>
      </c>
      <c r="I688" s="420">
        <v>0</v>
      </c>
      <c r="J688" s="420"/>
      <c r="K688" s="421">
        <f t="shared" si="205"/>
        <v>0</v>
      </c>
      <c r="L688" s="647" t="s">
        <v>614</v>
      </c>
      <c r="M688" s="703"/>
      <c r="N688" s="576">
        <f t="shared" si="209"/>
        <v>0</v>
      </c>
      <c r="O688" s="577">
        <f t="shared" si="196"/>
        <v>0</v>
      </c>
      <c r="P688" s="578">
        <f t="shared" si="197"/>
        <v>0</v>
      </c>
      <c r="Q688" s="765"/>
      <c r="R688" s="703"/>
      <c r="S688" s="670"/>
      <c r="T688" s="577">
        <f t="shared" si="194"/>
        <v>0</v>
      </c>
      <c r="U688" s="578">
        <f t="shared" si="195"/>
        <v>0</v>
      </c>
      <c r="V688" s="579"/>
      <c r="W688" s="637" t="str">
        <f>IF(U686&gt;0,"xx",IF(P686&gt;0,"xy",""))</f>
        <v/>
      </c>
      <c r="X688" s="586" t="str">
        <f t="shared" si="191"/>
        <v/>
      </c>
      <c r="Y688" s="586" t="str">
        <f t="shared" si="189"/>
        <v/>
      </c>
      <c r="Z688" s="586" t="str">
        <f t="shared" si="208"/>
        <v/>
      </c>
    </row>
    <row r="689" spans="1:26" hidden="1" x14ac:dyDescent="0.2">
      <c r="A689" s="671" t="s">
        <v>168</v>
      </c>
      <c r="B689" s="644" t="s">
        <v>168</v>
      </c>
      <c r="C689" s="645"/>
      <c r="D689" s="451" t="s">
        <v>262</v>
      </c>
      <c r="E689" s="423"/>
      <c r="F689" s="424">
        <v>0.2</v>
      </c>
      <c r="G689" s="425">
        <v>1.5333000000000001</v>
      </c>
      <c r="H689" s="651">
        <f t="shared" si="214"/>
        <v>4.4373702000000002</v>
      </c>
      <c r="I689" s="420">
        <v>0</v>
      </c>
      <c r="J689" s="420"/>
      <c r="K689" s="421">
        <f t="shared" si="205"/>
        <v>0</v>
      </c>
      <c r="L689" s="647" t="s">
        <v>614</v>
      </c>
      <c r="M689" s="703"/>
      <c r="N689" s="576">
        <f t="shared" si="209"/>
        <v>0</v>
      </c>
      <c r="O689" s="577">
        <f t="shared" si="196"/>
        <v>0</v>
      </c>
      <c r="P689" s="578">
        <f t="shared" si="197"/>
        <v>0</v>
      </c>
      <c r="Q689" s="765"/>
      <c r="R689" s="703"/>
      <c r="S689" s="670"/>
      <c r="T689" s="577">
        <f t="shared" si="194"/>
        <v>0</v>
      </c>
      <c r="U689" s="578">
        <f t="shared" si="195"/>
        <v>0</v>
      </c>
      <c r="V689" s="579"/>
      <c r="W689" s="637" t="str">
        <f>IF(U686&gt;0,"xx",IF(P686&gt;0,"xy",""))</f>
        <v/>
      </c>
      <c r="X689" s="586" t="str">
        <f t="shared" si="191"/>
        <v/>
      </c>
      <c r="Y689" s="586" t="str">
        <f t="shared" si="189"/>
        <v/>
      </c>
      <c r="Z689" s="586" t="str">
        <f t="shared" si="208"/>
        <v/>
      </c>
    </row>
    <row r="690" spans="1:26" hidden="1" x14ac:dyDescent="0.2">
      <c r="A690" s="671" t="s">
        <v>168</v>
      </c>
      <c r="B690" s="644" t="s">
        <v>168</v>
      </c>
      <c r="C690" s="645"/>
      <c r="D690" s="451" t="s">
        <v>263</v>
      </c>
      <c r="E690" s="423"/>
      <c r="F690" s="424">
        <v>20</v>
      </c>
      <c r="G690" s="425">
        <f>SUM(G686:G689)</f>
        <v>2.3730000000000002</v>
      </c>
      <c r="H690" s="651">
        <f t="shared" si="214"/>
        <v>57.141840000000009</v>
      </c>
      <c r="I690" s="420">
        <v>0</v>
      </c>
      <c r="J690" s="420"/>
      <c r="K690" s="421">
        <f t="shared" si="205"/>
        <v>0</v>
      </c>
      <c r="L690" s="647" t="s">
        <v>614</v>
      </c>
      <c r="M690" s="703"/>
      <c r="N690" s="576">
        <f t="shared" si="209"/>
        <v>0</v>
      </c>
      <c r="O690" s="577">
        <f t="shared" si="196"/>
        <v>0</v>
      </c>
      <c r="P690" s="578">
        <f t="shared" si="197"/>
        <v>0</v>
      </c>
      <c r="Q690" s="765"/>
      <c r="R690" s="703"/>
      <c r="S690" s="670"/>
      <c r="T690" s="577">
        <f t="shared" si="194"/>
        <v>0</v>
      </c>
      <c r="U690" s="578">
        <f t="shared" si="195"/>
        <v>0</v>
      </c>
      <c r="V690" s="579"/>
      <c r="W690" s="637" t="str">
        <f>IF(U686&gt;0,"xx",IF(P686&gt;0,"xy",""))</f>
        <v/>
      </c>
      <c r="X690" s="586" t="str">
        <f t="shared" si="191"/>
        <v/>
      </c>
      <c r="Y690" s="586" t="str">
        <f t="shared" si="189"/>
        <v/>
      </c>
      <c r="Z690" s="586" t="str">
        <f t="shared" si="208"/>
        <v/>
      </c>
    </row>
    <row r="691" spans="1:26" ht="12" hidden="1" thickBot="1" x14ac:dyDescent="0.25">
      <c r="A691" s="671">
        <v>589320</v>
      </c>
      <c r="B691" s="704" t="s">
        <v>1849</v>
      </c>
      <c r="C691" s="689" t="s">
        <v>1746</v>
      </c>
      <c r="D691" s="477" t="s">
        <v>1575</v>
      </c>
      <c r="E691" s="470"/>
      <c r="F691" s="478">
        <v>500</v>
      </c>
      <c r="G691" s="479">
        <v>1</v>
      </c>
      <c r="H691" s="663">
        <f>(0.84*F691+41.45)*G691</f>
        <v>461.45</v>
      </c>
      <c r="I691" s="472">
        <v>4680</v>
      </c>
      <c r="J691" s="472">
        <f>IF(ISBLANK(I691),"",I691*(1+$F$9)/(1+$F$10))+H691</f>
        <v>5002.4010983923918</v>
      </c>
      <c r="K691" s="690">
        <f t="shared" si="205"/>
        <v>5943.35</v>
      </c>
      <c r="L691" s="691" t="s">
        <v>20</v>
      </c>
      <c r="M691" s="692">
        <f>ROUND(M686*G686,2)</f>
        <v>0</v>
      </c>
      <c r="N691" s="696">
        <f t="shared" si="209"/>
        <v>0</v>
      </c>
      <c r="O691" s="693">
        <f t="shared" si="196"/>
        <v>0</v>
      </c>
      <c r="P691" s="694">
        <f t="shared" si="197"/>
        <v>0</v>
      </c>
      <c r="Q691" s="765"/>
      <c r="R691" s="719">
        <f>ROUND(R686*G686,2)</f>
        <v>0</v>
      </c>
      <c r="S691" s="720">
        <f>N691</f>
        <v>0</v>
      </c>
      <c r="T691" s="693">
        <f t="shared" si="194"/>
        <v>0</v>
      </c>
      <c r="U691" s="694">
        <f t="shared" si="195"/>
        <v>0</v>
      </c>
      <c r="V691" s="579"/>
      <c r="W691" s="637" t="str">
        <f>IF(U686&gt;0,"xx",IF(P686&gt;0,"xy",""))</f>
        <v/>
      </c>
      <c r="X691" s="586" t="str">
        <f t="shared" si="191"/>
        <v/>
      </c>
      <c r="Y691" s="586" t="str">
        <f t="shared" si="189"/>
        <v/>
      </c>
      <c r="Z691" s="586" t="str">
        <f t="shared" si="208"/>
        <v/>
      </c>
    </row>
    <row r="692" spans="1:26" hidden="1" x14ac:dyDescent="0.2">
      <c r="A692" s="671">
        <v>570300</v>
      </c>
      <c r="B692" s="701" t="s">
        <v>1850</v>
      </c>
      <c r="C692" s="702" t="s">
        <v>206</v>
      </c>
      <c r="D692" s="485" t="s">
        <v>814</v>
      </c>
      <c r="E692" s="464"/>
      <c r="F692" s="465" t="s">
        <v>662</v>
      </c>
      <c r="G692" s="466">
        <v>0.04</v>
      </c>
      <c r="H692" s="681">
        <f>SUM(H693:H696)</f>
        <v>36.552130000000005</v>
      </c>
      <c r="I692" s="467">
        <v>190.4</v>
      </c>
      <c r="J692" s="467">
        <f>IF(ISBLANK(I692),"",SUM(H692:I692))</f>
        <v>226.95213000000001</v>
      </c>
      <c r="K692" s="682">
        <f t="shared" si="205"/>
        <v>269.64</v>
      </c>
      <c r="L692" s="683" t="s">
        <v>20</v>
      </c>
      <c r="M692" s="685"/>
      <c r="N692" s="576">
        <f t="shared" si="209"/>
        <v>0</v>
      </c>
      <c r="O692" s="687">
        <f t="shared" si="196"/>
        <v>0</v>
      </c>
      <c r="P692" s="688">
        <f t="shared" si="197"/>
        <v>0</v>
      </c>
      <c r="Q692" s="765"/>
      <c r="R692" s="685">
        <f t="shared" ref="R692:R755" si="215">M692</f>
        <v>0</v>
      </c>
      <c r="S692" s="686">
        <f>N692</f>
        <v>0</v>
      </c>
      <c r="T692" s="687">
        <f t="shared" ref="T692:T755" si="216">IF(ISBLANK(R692),0,ROUND(K692*R692,2))</f>
        <v>0</v>
      </c>
      <c r="U692" s="688">
        <f t="shared" ref="U692:U755" si="217">IF(ISBLANK(R692),0,ROUND(R692*S692,2))</f>
        <v>0</v>
      </c>
      <c r="V692" s="579"/>
      <c r="W692" s="566"/>
      <c r="X692" s="586" t="str">
        <f t="shared" si="191"/>
        <v/>
      </c>
      <c r="Y692" s="586" t="str">
        <f t="shared" si="189"/>
        <v/>
      </c>
      <c r="Z692" s="586" t="str">
        <f t="shared" si="208"/>
        <v/>
      </c>
    </row>
    <row r="693" spans="1:26" hidden="1" x14ac:dyDescent="0.2">
      <c r="A693" s="671" t="s">
        <v>168</v>
      </c>
      <c r="B693" s="644" t="s">
        <v>168</v>
      </c>
      <c r="C693" s="645"/>
      <c r="D693" s="451" t="s">
        <v>248</v>
      </c>
      <c r="E693" s="423"/>
      <c r="F693" s="424">
        <v>180</v>
      </c>
      <c r="G693" s="425">
        <v>0</v>
      </c>
      <c r="H693" s="663">
        <f t="shared" ref="H693:H695" si="218">IF(F693&lt;=30,(1.07*F693+2.68)*G693,((1.07*30+2.68)+1.07*(F693-30))*G693)</f>
        <v>0</v>
      </c>
      <c r="I693" s="420">
        <v>0</v>
      </c>
      <c r="J693" s="420">
        <f>IF(ISBLANK(I693),"",SUM(H693:I693))</f>
        <v>0</v>
      </c>
      <c r="K693" s="421">
        <f t="shared" si="205"/>
        <v>0</v>
      </c>
      <c r="L693" s="647" t="s">
        <v>614</v>
      </c>
      <c r="M693" s="703"/>
      <c r="N693" s="576">
        <f t="shared" si="209"/>
        <v>0</v>
      </c>
      <c r="O693" s="577">
        <f t="shared" ref="O693:O756" si="219">IF(ISBLANK(M693),0,ROUND(K693*M693,2))</f>
        <v>0</v>
      </c>
      <c r="P693" s="578">
        <f t="shared" ref="P693:P756" si="220">IF(ISBLANK(N693),0,ROUND(M693*N693,2))</f>
        <v>0</v>
      </c>
      <c r="Q693" s="765"/>
      <c r="R693" s="703"/>
      <c r="S693" s="670"/>
      <c r="T693" s="577">
        <f t="shared" si="216"/>
        <v>0</v>
      </c>
      <c r="U693" s="578">
        <f t="shared" si="217"/>
        <v>0</v>
      </c>
      <c r="V693" s="579"/>
      <c r="W693" s="637" t="str">
        <f>IF(U692&gt;0,"xx",IF(P692&gt;0,"xy",""))</f>
        <v/>
      </c>
      <c r="X693" s="586" t="str">
        <f t="shared" si="191"/>
        <v/>
      </c>
      <c r="Y693" s="586" t="str">
        <f t="shared" si="189"/>
        <v/>
      </c>
      <c r="Z693" s="586" t="str">
        <f t="shared" si="208"/>
        <v/>
      </c>
    </row>
    <row r="694" spans="1:26" hidden="1" x14ac:dyDescent="0.2">
      <c r="A694" s="671" t="s">
        <v>168</v>
      </c>
      <c r="B694" s="644" t="s">
        <v>168</v>
      </c>
      <c r="C694" s="645"/>
      <c r="D694" s="451" t="s">
        <v>249</v>
      </c>
      <c r="E694" s="423"/>
      <c r="F694" s="424">
        <v>500</v>
      </c>
      <c r="G694" s="425">
        <v>1.4999999999999999E-2</v>
      </c>
      <c r="H694" s="649">
        <f>IF(F694&lt;=30,(0.78*F694+7.82)*G694,((0.78*30+7.82)+0.78*(F694-30))*G694)</f>
        <v>5.9673000000000007</v>
      </c>
      <c r="I694" s="420">
        <v>0</v>
      </c>
      <c r="J694" s="420"/>
      <c r="K694" s="421">
        <f t="shared" si="205"/>
        <v>0</v>
      </c>
      <c r="L694" s="647" t="s">
        <v>614</v>
      </c>
      <c r="M694" s="703"/>
      <c r="N694" s="576">
        <f t="shared" si="209"/>
        <v>0</v>
      </c>
      <c r="O694" s="577">
        <f t="shared" si="219"/>
        <v>0</v>
      </c>
      <c r="P694" s="578">
        <f t="shared" si="220"/>
        <v>0</v>
      </c>
      <c r="Q694" s="765"/>
      <c r="R694" s="703"/>
      <c r="S694" s="670"/>
      <c r="T694" s="577">
        <f t="shared" si="216"/>
        <v>0</v>
      </c>
      <c r="U694" s="578">
        <f t="shared" si="217"/>
        <v>0</v>
      </c>
      <c r="V694" s="579"/>
      <c r="W694" s="637" t="str">
        <f>IF(U692&gt;0,"xx",IF(P692&gt;0,"xy",""))</f>
        <v/>
      </c>
      <c r="X694" s="586" t="str">
        <f t="shared" si="191"/>
        <v/>
      </c>
      <c r="Y694" s="586" t="str">
        <f t="shared" si="189"/>
        <v/>
      </c>
      <c r="Z694" s="586" t="str">
        <f t="shared" si="208"/>
        <v/>
      </c>
    </row>
    <row r="695" spans="1:26" hidden="1" x14ac:dyDescent="0.2">
      <c r="A695" s="671" t="s">
        <v>168</v>
      </c>
      <c r="B695" s="644" t="s">
        <v>168</v>
      </c>
      <c r="C695" s="645"/>
      <c r="D695" s="451" t="s">
        <v>262</v>
      </c>
      <c r="E695" s="423"/>
      <c r="F695" s="424">
        <v>0.2</v>
      </c>
      <c r="G695" s="425">
        <v>0.94499999999999995</v>
      </c>
      <c r="H695" s="663">
        <f t="shared" si="218"/>
        <v>2.7348300000000001</v>
      </c>
      <c r="I695" s="420">
        <v>0</v>
      </c>
      <c r="J695" s="420"/>
      <c r="K695" s="421">
        <f t="shared" si="205"/>
        <v>0</v>
      </c>
      <c r="L695" s="647" t="s">
        <v>614</v>
      </c>
      <c r="M695" s="703"/>
      <c r="N695" s="576">
        <f t="shared" si="209"/>
        <v>0</v>
      </c>
      <c r="O695" s="577">
        <f t="shared" si="219"/>
        <v>0</v>
      </c>
      <c r="P695" s="578">
        <f t="shared" si="220"/>
        <v>0</v>
      </c>
      <c r="Q695" s="765"/>
      <c r="R695" s="703"/>
      <c r="S695" s="670"/>
      <c r="T695" s="577">
        <f t="shared" si="216"/>
        <v>0</v>
      </c>
      <c r="U695" s="578">
        <f t="shared" si="217"/>
        <v>0</v>
      </c>
      <c r="V695" s="579"/>
      <c r="W695" s="637" t="str">
        <f>IF(U692&gt;0,"xx",IF(P692&gt;0,"xy",""))</f>
        <v/>
      </c>
      <c r="X695" s="586" t="str">
        <f t="shared" si="191"/>
        <v/>
      </c>
      <c r="Y695" s="586" t="str">
        <f t="shared" si="189"/>
        <v/>
      </c>
      <c r="Z695" s="586" t="str">
        <f t="shared" si="208"/>
        <v/>
      </c>
    </row>
    <row r="696" spans="1:26" hidden="1" x14ac:dyDescent="0.2">
      <c r="A696" s="671" t="s">
        <v>168</v>
      </c>
      <c r="B696" s="644" t="s">
        <v>168</v>
      </c>
      <c r="C696" s="645"/>
      <c r="D696" s="451" t="s">
        <v>263</v>
      </c>
      <c r="E696" s="423"/>
      <c r="F696" s="424">
        <v>20</v>
      </c>
      <c r="G696" s="425">
        <v>1</v>
      </c>
      <c r="H696" s="651">
        <f>IF(F696&lt;=30,(1.07*F696+6.45)*G696,((1.07*30+6.45)+1.07*(F696-30))*G696)</f>
        <v>27.85</v>
      </c>
      <c r="I696" s="420">
        <v>0</v>
      </c>
      <c r="J696" s="420"/>
      <c r="K696" s="421">
        <f t="shared" si="205"/>
        <v>0</v>
      </c>
      <c r="L696" s="647" t="s">
        <v>614</v>
      </c>
      <c r="M696" s="703"/>
      <c r="N696" s="576">
        <f t="shared" si="209"/>
        <v>0</v>
      </c>
      <c r="O696" s="577">
        <f t="shared" si="219"/>
        <v>0</v>
      </c>
      <c r="P696" s="578">
        <f t="shared" si="220"/>
        <v>0</v>
      </c>
      <c r="Q696" s="765"/>
      <c r="R696" s="703"/>
      <c r="S696" s="670"/>
      <c r="T696" s="577">
        <f t="shared" si="216"/>
        <v>0</v>
      </c>
      <c r="U696" s="578">
        <f t="shared" si="217"/>
        <v>0</v>
      </c>
      <c r="V696" s="579"/>
      <c r="W696" s="637" t="str">
        <f>IF(U692&gt;0,"xx",IF(P692&gt;0,"xy",""))</f>
        <v/>
      </c>
      <c r="X696" s="586" t="str">
        <f t="shared" si="191"/>
        <v/>
      </c>
      <c r="Y696" s="586" t="str">
        <f t="shared" si="189"/>
        <v/>
      </c>
      <c r="Z696" s="586" t="str">
        <f t="shared" si="208"/>
        <v/>
      </c>
    </row>
    <row r="697" spans="1:26" ht="12" hidden="1" thickBot="1" x14ac:dyDescent="0.25">
      <c r="A697" s="671">
        <v>589000</v>
      </c>
      <c r="B697" s="707" t="s">
        <v>1851</v>
      </c>
      <c r="C697" s="554" t="s">
        <v>1746</v>
      </c>
      <c r="D697" s="477" t="s">
        <v>657</v>
      </c>
      <c r="E697" s="481"/>
      <c r="F697" s="486">
        <v>500</v>
      </c>
      <c r="G697" s="479">
        <v>1</v>
      </c>
      <c r="H697" s="663">
        <f>(0.94*F697+46.06)*G697</f>
        <v>516.05999999999995</v>
      </c>
      <c r="I697" s="472">
        <v>5725</v>
      </c>
      <c r="J697" s="472">
        <f>IF(ISBLANK(I697),"",I697*(1+$F$9)/(1+$F$10))+H697</f>
        <v>6070.962785960779</v>
      </c>
      <c r="K697" s="709">
        <f t="shared" si="205"/>
        <v>7212.91</v>
      </c>
      <c r="L697" s="561" t="s">
        <v>20</v>
      </c>
      <c r="M697" s="692">
        <f>ROUND(M692*G692,2)</f>
        <v>0</v>
      </c>
      <c r="N697" s="588">
        <f t="shared" si="209"/>
        <v>0</v>
      </c>
      <c r="O697" s="693">
        <f>IF(ISBLANK(M697),0,ROUND(K697*M697,2))</f>
        <v>0</v>
      </c>
      <c r="P697" s="694">
        <f>IF(ISBLANK(N697),0,ROUND(M697*N697,2))</f>
        <v>0</v>
      </c>
      <c r="Q697" s="765"/>
      <c r="R697" s="719">
        <f>ROUND(R692*G692,2)</f>
        <v>0</v>
      </c>
      <c r="S697" s="720">
        <f>N697</f>
        <v>0</v>
      </c>
      <c r="T697" s="693">
        <f t="shared" si="216"/>
        <v>0</v>
      </c>
      <c r="U697" s="694">
        <f t="shared" si="217"/>
        <v>0</v>
      </c>
      <c r="V697" s="579"/>
      <c r="W697" s="637" t="str">
        <f>IF(U692&gt;0,"xx",IF(P692&gt;0,"xy",""))</f>
        <v/>
      </c>
      <c r="X697" s="586" t="str">
        <f t="shared" si="191"/>
        <v/>
      </c>
      <c r="Y697" s="586" t="str">
        <f t="shared" si="189"/>
        <v/>
      </c>
      <c r="Z697" s="586" t="str">
        <f t="shared" si="208"/>
        <v/>
      </c>
    </row>
    <row r="698" spans="1:26" hidden="1" x14ac:dyDescent="0.2">
      <c r="A698" s="671">
        <v>570310</v>
      </c>
      <c r="B698" s="701" t="s">
        <v>1852</v>
      </c>
      <c r="C698" s="702" t="s">
        <v>206</v>
      </c>
      <c r="D698" s="485" t="s">
        <v>815</v>
      </c>
      <c r="E698" s="464"/>
      <c r="F698" s="465" t="s">
        <v>662</v>
      </c>
      <c r="G698" s="466">
        <v>0.04</v>
      </c>
      <c r="H698" s="681">
        <f>SUM(H699:H702)</f>
        <v>36.552130000000005</v>
      </c>
      <c r="I698" s="467">
        <v>168.63</v>
      </c>
      <c r="J698" s="467">
        <f>IF(ISBLANK(I698),"",SUM(H698:I698))</f>
        <v>205.18213</v>
      </c>
      <c r="K698" s="682">
        <f t="shared" si="205"/>
        <v>243.78</v>
      </c>
      <c r="L698" s="683" t="s">
        <v>20</v>
      </c>
      <c r="M698" s="685"/>
      <c r="N698" s="686">
        <f t="shared" si="209"/>
        <v>0</v>
      </c>
      <c r="O698" s="687">
        <f t="shared" si="219"/>
        <v>0</v>
      </c>
      <c r="P698" s="688">
        <f t="shared" si="220"/>
        <v>0</v>
      </c>
      <c r="Q698" s="765"/>
      <c r="R698" s="685">
        <f t="shared" si="215"/>
        <v>0</v>
      </c>
      <c r="S698" s="686">
        <f>N698</f>
        <v>0</v>
      </c>
      <c r="T698" s="687">
        <f t="shared" si="216"/>
        <v>0</v>
      </c>
      <c r="U698" s="688">
        <f t="shared" si="217"/>
        <v>0</v>
      </c>
      <c r="V698" s="579"/>
      <c r="W698" s="566"/>
      <c r="X698" s="586" t="str">
        <f t="shared" si="191"/>
        <v/>
      </c>
      <c r="Y698" s="586" t="str">
        <f t="shared" si="189"/>
        <v/>
      </c>
      <c r="Z698" s="586" t="str">
        <f t="shared" si="208"/>
        <v/>
      </c>
    </row>
    <row r="699" spans="1:26" hidden="1" x14ac:dyDescent="0.2">
      <c r="A699" s="671" t="s">
        <v>168</v>
      </c>
      <c r="B699" s="644" t="s">
        <v>168</v>
      </c>
      <c r="C699" s="645"/>
      <c r="D699" s="451" t="s">
        <v>248</v>
      </c>
      <c r="E699" s="423"/>
      <c r="F699" s="424">
        <v>180</v>
      </c>
      <c r="G699" s="425">
        <v>0</v>
      </c>
      <c r="H699" s="663">
        <f t="shared" ref="H699:H701" si="221">IF(F699&lt;=30,(1.07*F699+2.68)*G699,((1.07*30+2.68)+1.07*(F699-30))*G699)</f>
        <v>0</v>
      </c>
      <c r="I699" s="420">
        <v>0</v>
      </c>
      <c r="J699" s="420">
        <f>IF(ISBLANK(I699),"",SUM(H699:I699))</f>
        <v>0</v>
      </c>
      <c r="K699" s="421">
        <f t="shared" si="205"/>
        <v>0</v>
      </c>
      <c r="L699" s="647" t="s">
        <v>614</v>
      </c>
      <c r="M699" s="703"/>
      <c r="N699" s="576">
        <f t="shared" si="209"/>
        <v>0</v>
      </c>
      <c r="O699" s="577">
        <f t="shared" si="219"/>
        <v>0</v>
      </c>
      <c r="P699" s="578">
        <f t="shared" si="220"/>
        <v>0</v>
      </c>
      <c r="Q699" s="765"/>
      <c r="R699" s="703"/>
      <c r="S699" s="670"/>
      <c r="T699" s="577">
        <f t="shared" si="216"/>
        <v>0</v>
      </c>
      <c r="U699" s="578">
        <f t="shared" si="217"/>
        <v>0</v>
      </c>
      <c r="V699" s="579"/>
      <c r="W699" s="637" t="str">
        <f>IF(U698&gt;0,"xx",IF(P698&gt;0,"xy",""))</f>
        <v/>
      </c>
      <c r="X699" s="586" t="str">
        <f t="shared" si="191"/>
        <v/>
      </c>
      <c r="Y699" s="586" t="str">
        <f t="shared" si="189"/>
        <v/>
      </c>
      <c r="Z699" s="586" t="str">
        <f t="shared" si="208"/>
        <v/>
      </c>
    </row>
    <row r="700" spans="1:26" hidden="1" x14ac:dyDescent="0.2">
      <c r="A700" s="671" t="s">
        <v>168</v>
      </c>
      <c r="B700" s="644" t="s">
        <v>168</v>
      </c>
      <c r="C700" s="645"/>
      <c r="D700" s="451" t="s">
        <v>249</v>
      </c>
      <c r="E700" s="423"/>
      <c r="F700" s="424">
        <v>500</v>
      </c>
      <c r="G700" s="425">
        <v>1.4999999999999999E-2</v>
      </c>
      <c r="H700" s="649">
        <f>IF(F700&lt;=30,(0.78*F700+7.82)*G700,((0.78*30+7.82)+0.78*(F700-30))*G700)</f>
        <v>5.9673000000000007</v>
      </c>
      <c r="I700" s="420">
        <v>0</v>
      </c>
      <c r="J700" s="420"/>
      <c r="K700" s="421">
        <f t="shared" si="205"/>
        <v>0</v>
      </c>
      <c r="L700" s="647" t="s">
        <v>614</v>
      </c>
      <c r="M700" s="703"/>
      <c r="N700" s="576">
        <f t="shared" si="209"/>
        <v>0</v>
      </c>
      <c r="O700" s="577">
        <f t="shared" si="219"/>
        <v>0</v>
      </c>
      <c r="P700" s="578">
        <f t="shared" si="220"/>
        <v>0</v>
      </c>
      <c r="Q700" s="765"/>
      <c r="R700" s="703"/>
      <c r="S700" s="670"/>
      <c r="T700" s="577">
        <f t="shared" si="216"/>
        <v>0</v>
      </c>
      <c r="U700" s="578">
        <f t="shared" si="217"/>
        <v>0</v>
      </c>
      <c r="V700" s="579"/>
      <c r="W700" s="637" t="str">
        <f>IF(U698&gt;0,"xx",IF(P698&gt;0,"xy",""))</f>
        <v/>
      </c>
      <c r="X700" s="586" t="str">
        <f t="shared" si="191"/>
        <v/>
      </c>
      <c r="Y700" s="586" t="str">
        <f t="shared" si="189"/>
        <v/>
      </c>
      <c r="Z700" s="586" t="str">
        <f t="shared" si="208"/>
        <v/>
      </c>
    </row>
    <row r="701" spans="1:26" hidden="1" x14ac:dyDescent="0.2">
      <c r="A701" s="671" t="s">
        <v>168</v>
      </c>
      <c r="B701" s="644" t="s">
        <v>168</v>
      </c>
      <c r="C701" s="645"/>
      <c r="D701" s="451" t="s">
        <v>262</v>
      </c>
      <c r="E701" s="423"/>
      <c r="F701" s="424">
        <v>0.2</v>
      </c>
      <c r="G701" s="425">
        <v>0.94499999999999995</v>
      </c>
      <c r="H701" s="663">
        <f t="shared" si="221"/>
        <v>2.7348300000000001</v>
      </c>
      <c r="I701" s="420">
        <v>0</v>
      </c>
      <c r="J701" s="420"/>
      <c r="K701" s="421">
        <f t="shared" si="205"/>
        <v>0</v>
      </c>
      <c r="L701" s="647" t="s">
        <v>614</v>
      </c>
      <c r="M701" s="703"/>
      <c r="N701" s="576">
        <f t="shared" si="209"/>
        <v>0</v>
      </c>
      <c r="O701" s="577">
        <f t="shared" si="219"/>
        <v>0</v>
      </c>
      <c r="P701" s="578">
        <f t="shared" si="220"/>
        <v>0</v>
      </c>
      <c r="Q701" s="765"/>
      <c r="R701" s="703"/>
      <c r="S701" s="670"/>
      <c r="T701" s="577">
        <f t="shared" si="216"/>
        <v>0</v>
      </c>
      <c r="U701" s="578">
        <f t="shared" si="217"/>
        <v>0</v>
      </c>
      <c r="V701" s="579"/>
      <c r="W701" s="637" t="str">
        <f>IF(U698&gt;0,"xx",IF(P698&gt;0,"xy",""))</f>
        <v/>
      </c>
      <c r="X701" s="586" t="str">
        <f t="shared" si="191"/>
        <v/>
      </c>
      <c r="Y701" s="586" t="str">
        <f t="shared" si="189"/>
        <v/>
      </c>
      <c r="Z701" s="586" t="str">
        <f t="shared" si="208"/>
        <v/>
      </c>
    </row>
    <row r="702" spans="1:26" hidden="1" x14ac:dyDescent="0.2">
      <c r="A702" s="671" t="s">
        <v>168</v>
      </c>
      <c r="B702" s="644" t="s">
        <v>168</v>
      </c>
      <c r="C702" s="645"/>
      <c r="D702" s="451" t="s">
        <v>263</v>
      </c>
      <c r="E702" s="423"/>
      <c r="F702" s="424">
        <v>20</v>
      </c>
      <c r="G702" s="425">
        <f>SUM(G698:G701)</f>
        <v>1</v>
      </c>
      <c r="H702" s="651">
        <f>IF(F702&lt;=30,(1.07*F702+6.45)*G702,((1.07*30+6.45)+1.07*(F702-30))*G702)</f>
        <v>27.85</v>
      </c>
      <c r="I702" s="420">
        <v>0</v>
      </c>
      <c r="J702" s="420"/>
      <c r="K702" s="421">
        <f t="shared" si="205"/>
        <v>0</v>
      </c>
      <c r="L702" s="647" t="s">
        <v>614</v>
      </c>
      <c r="M702" s="703"/>
      <c r="N702" s="576">
        <f t="shared" si="209"/>
        <v>0</v>
      </c>
      <c r="O702" s="577">
        <f t="shared" si="219"/>
        <v>0</v>
      </c>
      <c r="P702" s="578">
        <f t="shared" si="220"/>
        <v>0</v>
      </c>
      <c r="Q702" s="765"/>
      <c r="R702" s="703"/>
      <c r="S702" s="670"/>
      <c r="T702" s="577">
        <f t="shared" si="216"/>
        <v>0</v>
      </c>
      <c r="U702" s="578">
        <f t="shared" si="217"/>
        <v>0</v>
      </c>
      <c r="V702" s="579"/>
      <c r="W702" s="637" t="str">
        <f>IF(U698&gt;0,"xx",IF(P698&gt;0,"xy",""))</f>
        <v/>
      </c>
      <c r="X702" s="586" t="str">
        <f t="shared" si="191"/>
        <v/>
      </c>
      <c r="Y702" s="586" t="str">
        <f t="shared" si="189"/>
        <v/>
      </c>
      <c r="Z702" s="586" t="str">
        <f t="shared" si="208"/>
        <v/>
      </c>
    </row>
    <row r="703" spans="1:26" ht="12" hidden="1" thickBot="1" x14ac:dyDescent="0.25">
      <c r="A703" s="671">
        <v>589000</v>
      </c>
      <c r="B703" s="704" t="s">
        <v>1853</v>
      </c>
      <c r="C703" s="689" t="s">
        <v>1746</v>
      </c>
      <c r="D703" s="477" t="s">
        <v>658</v>
      </c>
      <c r="E703" s="470"/>
      <c r="F703" s="486">
        <v>500</v>
      </c>
      <c r="G703" s="479">
        <v>1</v>
      </c>
      <c r="H703" s="663">
        <f>(0.94*F703+46.06)*G703</f>
        <v>516.05999999999995</v>
      </c>
      <c r="I703" s="472">
        <v>5725</v>
      </c>
      <c r="J703" s="472">
        <f>IF(ISBLANK(I703),"",I703*(1+$F$9)/(1+$F$10))+H703</f>
        <v>6070.962785960779</v>
      </c>
      <c r="K703" s="690">
        <f t="shared" si="205"/>
        <v>7212.91</v>
      </c>
      <c r="L703" s="691" t="s">
        <v>20</v>
      </c>
      <c r="M703" s="692">
        <f>ROUND(M698*G698,2)</f>
        <v>0</v>
      </c>
      <c r="N703" s="696">
        <f t="shared" si="209"/>
        <v>0</v>
      </c>
      <c r="O703" s="693">
        <f>IF(ISBLANK(M703),0,ROUND(K703*M703,2))</f>
        <v>0</v>
      </c>
      <c r="P703" s="694">
        <f>IF(ISBLANK(N703),0,ROUND(M703*N703,2))</f>
        <v>0</v>
      </c>
      <c r="Q703" s="765"/>
      <c r="R703" s="719">
        <f>ROUND(R698*G698,2)</f>
        <v>0</v>
      </c>
      <c r="S703" s="720">
        <f>N703</f>
        <v>0</v>
      </c>
      <c r="T703" s="693">
        <f t="shared" si="216"/>
        <v>0</v>
      </c>
      <c r="U703" s="694">
        <f t="shared" si="217"/>
        <v>0</v>
      </c>
      <c r="V703" s="579"/>
      <c r="W703" s="637" t="str">
        <f>IF(U698&gt;0,"xx",IF(P698&gt;0,"xy",""))</f>
        <v/>
      </c>
      <c r="X703" s="586" t="str">
        <f t="shared" si="191"/>
        <v/>
      </c>
      <c r="Y703" s="586" t="str">
        <f t="shared" si="189"/>
        <v/>
      </c>
      <c r="Z703" s="586" t="str">
        <f t="shared" si="208"/>
        <v/>
      </c>
    </row>
    <row r="704" spans="1:26" hidden="1" x14ac:dyDescent="0.2">
      <c r="A704" s="567">
        <v>570000</v>
      </c>
      <c r="B704" s="701" t="s">
        <v>1854</v>
      </c>
      <c r="C704" s="702" t="s">
        <v>206</v>
      </c>
      <c r="D704" s="463" t="s">
        <v>1921</v>
      </c>
      <c r="E704" s="464"/>
      <c r="F704" s="465" t="s">
        <v>662</v>
      </c>
      <c r="G704" s="466">
        <v>5.7000000000000002E-2</v>
      </c>
      <c r="H704" s="681">
        <f>SUM(H705:H708)</f>
        <v>55.741532000000007</v>
      </c>
      <c r="I704" s="467">
        <v>201.51</v>
      </c>
      <c r="J704" s="467">
        <f>IF(ISBLANK(I704),"",SUM(H704:I704))</f>
        <v>257.251532</v>
      </c>
      <c r="K704" s="682">
        <f t="shared" si="205"/>
        <v>305.64</v>
      </c>
      <c r="L704" s="683" t="s">
        <v>20</v>
      </c>
      <c r="M704" s="685"/>
      <c r="N704" s="576">
        <f t="shared" si="209"/>
        <v>0</v>
      </c>
      <c r="O704" s="687">
        <f t="shared" si="219"/>
        <v>0</v>
      </c>
      <c r="P704" s="688">
        <f t="shared" si="220"/>
        <v>0</v>
      </c>
      <c r="Q704" s="765"/>
      <c r="R704" s="685">
        <f t="shared" si="215"/>
        <v>0</v>
      </c>
      <c r="S704" s="686">
        <f>N704</f>
        <v>0</v>
      </c>
      <c r="T704" s="687">
        <f t="shared" si="216"/>
        <v>0</v>
      </c>
      <c r="U704" s="688">
        <f t="shared" si="217"/>
        <v>0</v>
      </c>
      <c r="V704" s="579"/>
      <c r="W704" s="566"/>
      <c r="X704" s="586" t="str">
        <f t="shared" si="191"/>
        <v/>
      </c>
      <c r="Y704" s="586" t="str">
        <f t="shared" si="189"/>
        <v/>
      </c>
      <c r="Z704" s="586" t="str">
        <f t="shared" si="208"/>
        <v/>
      </c>
    </row>
    <row r="705" spans="1:26" hidden="1" x14ac:dyDescent="0.2">
      <c r="A705" s="567" t="s">
        <v>168</v>
      </c>
      <c r="B705" s="644" t="s">
        <v>168</v>
      </c>
      <c r="C705" s="645"/>
      <c r="D705" s="451" t="s">
        <v>248</v>
      </c>
      <c r="E705" s="423"/>
      <c r="F705" s="424">
        <v>180</v>
      </c>
      <c r="G705" s="425">
        <v>0.1</v>
      </c>
      <c r="H705" s="663">
        <f t="shared" ref="H705:H707" si="222">IF(F705&lt;=30,(1.07*F705+2.68)*G705,((1.07*30+2.68)+1.07*(F705-30))*G705)</f>
        <v>19.528000000000002</v>
      </c>
      <c r="I705" s="420">
        <v>0</v>
      </c>
      <c r="J705" s="420"/>
      <c r="K705" s="421">
        <f t="shared" si="205"/>
        <v>0</v>
      </c>
      <c r="L705" s="647" t="s">
        <v>614</v>
      </c>
      <c r="M705" s="703"/>
      <c r="N705" s="576">
        <f t="shared" si="209"/>
        <v>0</v>
      </c>
      <c r="O705" s="577">
        <f t="shared" si="219"/>
        <v>0</v>
      </c>
      <c r="P705" s="578">
        <f t="shared" si="220"/>
        <v>0</v>
      </c>
      <c r="Q705" s="765"/>
      <c r="R705" s="703"/>
      <c r="S705" s="670"/>
      <c r="T705" s="577">
        <f t="shared" si="216"/>
        <v>0</v>
      </c>
      <c r="U705" s="578">
        <f t="shared" si="217"/>
        <v>0</v>
      </c>
      <c r="V705" s="579"/>
      <c r="W705" s="637" t="str">
        <f>IF(U704&gt;0,"xx",IF(P704&gt;0,"xy",""))</f>
        <v/>
      </c>
      <c r="X705" s="586" t="str">
        <f t="shared" si="191"/>
        <v/>
      </c>
      <c r="Y705" s="586" t="str">
        <f t="shared" si="189"/>
        <v/>
      </c>
      <c r="Z705" s="586" t="str">
        <f t="shared" si="208"/>
        <v/>
      </c>
    </row>
    <row r="706" spans="1:26" hidden="1" x14ac:dyDescent="0.2">
      <c r="A706" s="567" t="s">
        <v>168</v>
      </c>
      <c r="B706" s="644" t="s">
        <v>168</v>
      </c>
      <c r="C706" s="645"/>
      <c r="D706" s="451" t="s">
        <v>249</v>
      </c>
      <c r="E706" s="423"/>
      <c r="F706" s="424">
        <v>500</v>
      </c>
      <c r="G706" s="425">
        <v>1.4999999999999999E-2</v>
      </c>
      <c r="H706" s="649">
        <f>IF(F706&lt;=30,(0.78*F706+7.82)*G706,((0.78*30+7.82)+0.78*(F706-30))*G706)</f>
        <v>5.9673000000000007</v>
      </c>
      <c r="I706" s="420">
        <v>0</v>
      </c>
      <c r="J706" s="420"/>
      <c r="K706" s="421">
        <f t="shared" si="205"/>
        <v>0</v>
      </c>
      <c r="L706" s="647" t="s">
        <v>614</v>
      </c>
      <c r="M706" s="703"/>
      <c r="N706" s="576">
        <f t="shared" si="209"/>
        <v>0</v>
      </c>
      <c r="O706" s="577">
        <f t="shared" si="219"/>
        <v>0</v>
      </c>
      <c r="P706" s="578">
        <f t="shared" si="220"/>
        <v>0</v>
      </c>
      <c r="Q706" s="765"/>
      <c r="R706" s="703"/>
      <c r="S706" s="670"/>
      <c r="T706" s="577">
        <f t="shared" si="216"/>
        <v>0</v>
      </c>
      <c r="U706" s="578">
        <f t="shared" si="217"/>
        <v>0</v>
      </c>
      <c r="V706" s="579"/>
      <c r="W706" s="637" t="str">
        <f>IF(U704&gt;0,"xx",IF(P704&gt;0,"xy",""))</f>
        <v/>
      </c>
      <c r="X706" s="586" t="str">
        <f t="shared" si="191"/>
        <v/>
      </c>
      <c r="Y706" s="586" t="str">
        <f t="shared" si="189"/>
        <v/>
      </c>
      <c r="Z706" s="586" t="str">
        <f t="shared" si="208"/>
        <v/>
      </c>
    </row>
    <row r="707" spans="1:26" hidden="1" x14ac:dyDescent="0.2">
      <c r="A707" s="567" t="s">
        <v>168</v>
      </c>
      <c r="B707" s="644" t="s">
        <v>168</v>
      </c>
      <c r="C707" s="645"/>
      <c r="D707" s="451" t="s">
        <v>262</v>
      </c>
      <c r="E707" s="423"/>
      <c r="F707" s="424">
        <v>0.2</v>
      </c>
      <c r="G707" s="425">
        <v>0.82799999999999996</v>
      </c>
      <c r="H707" s="663">
        <f t="shared" si="222"/>
        <v>2.3962319999999999</v>
      </c>
      <c r="I707" s="420">
        <v>0</v>
      </c>
      <c r="J707" s="420"/>
      <c r="K707" s="421">
        <f t="shared" si="205"/>
        <v>0</v>
      </c>
      <c r="L707" s="647" t="s">
        <v>614</v>
      </c>
      <c r="M707" s="703"/>
      <c r="N707" s="576">
        <f t="shared" si="209"/>
        <v>0</v>
      </c>
      <c r="O707" s="577">
        <f t="shared" si="219"/>
        <v>0</v>
      </c>
      <c r="P707" s="578">
        <f t="shared" si="220"/>
        <v>0</v>
      </c>
      <c r="Q707" s="765"/>
      <c r="R707" s="703"/>
      <c r="S707" s="670"/>
      <c r="T707" s="577">
        <f t="shared" si="216"/>
        <v>0</v>
      </c>
      <c r="U707" s="578">
        <f t="shared" si="217"/>
        <v>0</v>
      </c>
      <c r="V707" s="579"/>
      <c r="W707" s="637" t="str">
        <f>IF(U704&gt;0,"xx",IF(P704&gt;0,"xy",""))</f>
        <v/>
      </c>
      <c r="X707" s="586" t="str">
        <f t="shared" si="191"/>
        <v/>
      </c>
      <c r="Y707" s="586" t="str">
        <f t="shared" si="189"/>
        <v/>
      </c>
      <c r="Z707" s="586" t="str">
        <f t="shared" si="208"/>
        <v/>
      </c>
    </row>
    <row r="708" spans="1:26" hidden="1" x14ac:dyDescent="0.2">
      <c r="A708" s="567" t="s">
        <v>168</v>
      </c>
      <c r="B708" s="644" t="s">
        <v>168</v>
      </c>
      <c r="C708" s="645"/>
      <c r="D708" s="451" t="s">
        <v>263</v>
      </c>
      <c r="E708" s="423"/>
      <c r="F708" s="424">
        <v>20</v>
      </c>
      <c r="G708" s="425">
        <f>SUM(G704:G707)</f>
        <v>1</v>
      </c>
      <c r="H708" s="651">
        <f>IF(F708&lt;=30,(1.07*F708+6.45)*G708,((1.07*30+6.45)+1.07*(F708-30))*G708)</f>
        <v>27.85</v>
      </c>
      <c r="I708" s="420">
        <v>0</v>
      </c>
      <c r="J708" s="420"/>
      <c r="K708" s="421">
        <f t="shared" si="205"/>
        <v>0</v>
      </c>
      <c r="L708" s="647" t="s">
        <v>614</v>
      </c>
      <c r="M708" s="703"/>
      <c r="N708" s="576">
        <f t="shared" si="209"/>
        <v>0</v>
      </c>
      <c r="O708" s="577">
        <f t="shared" si="219"/>
        <v>0</v>
      </c>
      <c r="P708" s="578">
        <f t="shared" si="220"/>
        <v>0</v>
      </c>
      <c r="Q708" s="765"/>
      <c r="R708" s="703"/>
      <c r="S708" s="670"/>
      <c r="T708" s="577">
        <f t="shared" si="216"/>
        <v>0</v>
      </c>
      <c r="U708" s="578">
        <f t="shared" si="217"/>
        <v>0</v>
      </c>
      <c r="V708" s="579"/>
      <c r="W708" s="637" t="str">
        <f>IF(U704&gt;0,"xx",IF(P704&gt;0,"xy",""))</f>
        <v/>
      </c>
      <c r="X708" s="586" t="str">
        <f t="shared" si="191"/>
        <v/>
      </c>
      <c r="Y708" s="586" t="str">
        <f t="shared" si="189"/>
        <v/>
      </c>
      <c r="Z708" s="586" t="str">
        <f t="shared" si="208"/>
        <v/>
      </c>
    </row>
    <row r="709" spans="1:26" ht="12" hidden="1" thickBot="1" x14ac:dyDescent="0.25">
      <c r="A709" s="567">
        <v>589000</v>
      </c>
      <c r="B709" s="704" t="s">
        <v>1855</v>
      </c>
      <c r="C709" s="689" t="s">
        <v>1746</v>
      </c>
      <c r="D709" s="477" t="s">
        <v>659</v>
      </c>
      <c r="E709" s="470"/>
      <c r="F709" s="478">
        <v>500</v>
      </c>
      <c r="G709" s="479">
        <v>1</v>
      </c>
      <c r="H709" s="663">
        <f>(0.94*F709+46.06)*G709</f>
        <v>516.05999999999995</v>
      </c>
      <c r="I709" s="472">
        <v>5725</v>
      </c>
      <c r="J709" s="472">
        <f>IF(ISBLANK(I709),"",I709*(1+$F$9)/(1+$F$10))+H709</f>
        <v>6070.962785960779</v>
      </c>
      <c r="K709" s="690">
        <f t="shared" si="205"/>
        <v>7212.91</v>
      </c>
      <c r="L709" s="691" t="s">
        <v>20</v>
      </c>
      <c r="M709" s="692">
        <f>ROUND(M704*G704,2)</f>
        <v>0</v>
      </c>
      <c r="N709" s="588">
        <f t="shared" si="209"/>
        <v>0</v>
      </c>
      <c r="O709" s="693">
        <f>IF(ISBLANK(M709),0,ROUND(K709*M709,2))</f>
        <v>0</v>
      </c>
      <c r="P709" s="694">
        <f>IF(ISBLANK(N709),0,ROUND(M709*N709,2))</f>
        <v>0</v>
      </c>
      <c r="Q709" s="765"/>
      <c r="R709" s="719">
        <f>ROUND(R704*G704,2)</f>
        <v>0</v>
      </c>
      <c r="S709" s="720">
        <f>N709</f>
        <v>0</v>
      </c>
      <c r="T709" s="693">
        <f t="shared" si="216"/>
        <v>0</v>
      </c>
      <c r="U709" s="694">
        <f t="shared" si="217"/>
        <v>0</v>
      </c>
      <c r="V709" s="579"/>
      <c r="W709" s="637" t="str">
        <f>IF(U704&gt;0,"xx",IF(P704&gt;0,"xy",""))</f>
        <v/>
      </c>
      <c r="X709" s="586" t="str">
        <f t="shared" si="191"/>
        <v/>
      </c>
      <c r="Y709" s="586" t="str">
        <f t="shared" si="189"/>
        <v/>
      </c>
      <c r="Z709" s="586" t="str">
        <f t="shared" si="208"/>
        <v/>
      </c>
    </row>
    <row r="710" spans="1:26" hidden="1" x14ac:dyDescent="0.2">
      <c r="A710" s="567">
        <v>570400</v>
      </c>
      <c r="B710" s="701" t="s">
        <v>1856</v>
      </c>
      <c r="C710" s="702" t="s">
        <v>206</v>
      </c>
      <c r="D710" s="463" t="s">
        <v>1922</v>
      </c>
      <c r="E710" s="464"/>
      <c r="F710" s="465" t="s">
        <v>662</v>
      </c>
      <c r="G710" s="466">
        <v>5.7000000000000002E-2</v>
      </c>
      <c r="H710" s="681">
        <f>SUM(H711:H714)</f>
        <v>55.741532000000007</v>
      </c>
      <c r="I710" s="467">
        <v>180.27999999999997</v>
      </c>
      <c r="J710" s="467">
        <f>IF(ISBLANK(I710),"",SUM(H710:I710))</f>
        <v>236.02153199999998</v>
      </c>
      <c r="K710" s="682">
        <f t="shared" si="205"/>
        <v>280.42</v>
      </c>
      <c r="L710" s="683" t="s">
        <v>20</v>
      </c>
      <c r="M710" s="685"/>
      <c r="N710" s="686">
        <f t="shared" si="209"/>
        <v>0</v>
      </c>
      <c r="O710" s="687">
        <f t="shared" si="219"/>
        <v>0</v>
      </c>
      <c r="P710" s="688">
        <f t="shared" si="220"/>
        <v>0</v>
      </c>
      <c r="Q710" s="765"/>
      <c r="R710" s="685">
        <f t="shared" si="215"/>
        <v>0</v>
      </c>
      <c r="S710" s="686">
        <f>N710</f>
        <v>0</v>
      </c>
      <c r="T710" s="687">
        <f t="shared" si="216"/>
        <v>0</v>
      </c>
      <c r="U710" s="688">
        <f t="shared" si="217"/>
        <v>0</v>
      </c>
      <c r="V710" s="579"/>
      <c r="W710" s="566"/>
      <c r="X710" s="586" t="str">
        <f t="shared" si="191"/>
        <v/>
      </c>
      <c r="Y710" s="586" t="str">
        <f t="shared" si="189"/>
        <v/>
      </c>
      <c r="Z710" s="586" t="str">
        <f t="shared" si="208"/>
        <v/>
      </c>
    </row>
    <row r="711" spans="1:26" hidden="1" x14ac:dyDescent="0.2">
      <c r="A711" s="567" t="s">
        <v>168</v>
      </c>
      <c r="B711" s="644" t="s">
        <v>168</v>
      </c>
      <c r="C711" s="645"/>
      <c r="D711" s="451" t="s">
        <v>248</v>
      </c>
      <c r="E711" s="423"/>
      <c r="F711" s="424">
        <v>180</v>
      </c>
      <c r="G711" s="425">
        <v>0.1</v>
      </c>
      <c r="H711" s="663">
        <f t="shared" ref="H711:H713" si="223">IF(F711&lt;=30,(1.07*F711+2.68)*G711,((1.07*30+2.68)+1.07*(F711-30))*G711)</f>
        <v>19.528000000000002</v>
      </c>
      <c r="I711" s="420">
        <v>0</v>
      </c>
      <c r="J711" s="420"/>
      <c r="K711" s="421">
        <f t="shared" si="205"/>
        <v>0</v>
      </c>
      <c r="L711" s="647" t="s">
        <v>614</v>
      </c>
      <c r="M711" s="703"/>
      <c r="N711" s="576">
        <f t="shared" si="209"/>
        <v>0</v>
      </c>
      <c r="O711" s="577">
        <f t="shared" si="219"/>
        <v>0</v>
      </c>
      <c r="P711" s="578">
        <f t="shared" si="220"/>
        <v>0</v>
      </c>
      <c r="Q711" s="765"/>
      <c r="R711" s="703"/>
      <c r="S711" s="670"/>
      <c r="T711" s="577">
        <f t="shared" si="216"/>
        <v>0</v>
      </c>
      <c r="U711" s="578">
        <f t="shared" si="217"/>
        <v>0</v>
      </c>
      <c r="V711" s="579"/>
      <c r="W711" s="637" t="str">
        <f>IF(U710&gt;0,"xx",IF(P710&gt;0,"xy",""))</f>
        <v/>
      </c>
      <c r="X711" s="586" t="str">
        <f t="shared" si="191"/>
        <v/>
      </c>
      <c r="Y711" s="586" t="str">
        <f t="shared" si="189"/>
        <v/>
      </c>
      <c r="Z711" s="586" t="str">
        <f t="shared" si="208"/>
        <v/>
      </c>
    </row>
    <row r="712" spans="1:26" hidden="1" x14ac:dyDescent="0.2">
      <c r="A712" s="567" t="s">
        <v>168</v>
      </c>
      <c r="B712" s="644" t="s">
        <v>168</v>
      </c>
      <c r="C712" s="645"/>
      <c r="D712" s="451" t="s">
        <v>249</v>
      </c>
      <c r="E712" s="423"/>
      <c r="F712" s="424">
        <v>500</v>
      </c>
      <c r="G712" s="425">
        <v>1.4999999999999999E-2</v>
      </c>
      <c r="H712" s="649">
        <f>IF(F712&lt;=30,(0.78*F712+7.82)*G712,((0.78*30+7.82)+0.78*(F712-30))*G712)</f>
        <v>5.9673000000000007</v>
      </c>
      <c r="I712" s="420">
        <v>0</v>
      </c>
      <c r="J712" s="420"/>
      <c r="K712" s="421">
        <f t="shared" ref="K712:K746" si="224">IF(ISBLANK(I712),0,ROUND(J712*(1+$F$10)*(1+$F$11*E712),2))</f>
        <v>0</v>
      </c>
      <c r="L712" s="647" t="s">
        <v>614</v>
      </c>
      <c r="M712" s="703"/>
      <c r="N712" s="576">
        <f t="shared" si="209"/>
        <v>0</v>
      </c>
      <c r="O712" s="577">
        <f t="shared" si="219"/>
        <v>0</v>
      </c>
      <c r="P712" s="578">
        <f t="shared" si="220"/>
        <v>0</v>
      </c>
      <c r="Q712" s="765"/>
      <c r="R712" s="703"/>
      <c r="S712" s="670"/>
      <c r="T712" s="577">
        <f t="shared" si="216"/>
        <v>0</v>
      </c>
      <c r="U712" s="578">
        <f t="shared" si="217"/>
        <v>0</v>
      </c>
      <c r="V712" s="579"/>
      <c r="W712" s="637" t="str">
        <f>IF(U710&gt;0,"xx",IF(P710&gt;0,"xy",""))</f>
        <v/>
      </c>
      <c r="X712" s="586" t="str">
        <f t="shared" si="191"/>
        <v/>
      </c>
      <c r="Y712" s="586" t="str">
        <f t="shared" si="189"/>
        <v/>
      </c>
      <c r="Z712" s="586" t="str">
        <f t="shared" si="208"/>
        <v/>
      </c>
    </row>
    <row r="713" spans="1:26" hidden="1" x14ac:dyDescent="0.2">
      <c r="A713" s="567" t="s">
        <v>168</v>
      </c>
      <c r="B713" s="644" t="s">
        <v>168</v>
      </c>
      <c r="C713" s="645"/>
      <c r="D713" s="451" t="s">
        <v>262</v>
      </c>
      <c r="E713" s="423"/>
      <c r="F713" s="424">
        <v>0.2</v>
      </c>
      <c r="G713" s="425">
        <v>0.82799999999999996</v>
      </c>
      <c r="H713" s="663">
        <f t="shared" si="223"/>
        <v>2.3962319999999999</v>
      </c>
      <c r="I713" s="420">
        <v>0</v>
      </c>
      <c r="J713" s="420"/>
      <c r="K713" s="421">
        <f t="shared" si="224"/>
        <v>0</v>
      </c>
      <c r="L713" s="647" t="s">
        <v>614</v>
      </c>
      <c r="M713" s="703"/>
      <c r="N713" s="576">
        <f t="shared" si="209"/>
        <v>0</v>
      </c>
      <c r="O713" s="577">
        <f t="shared" si="219"/>
        <v>0</v>
      </c>
      <c r="P713" s="578">
        <f t="shared" si="220"/>
        <v>0</v>
      </c>
      <c r="Q713" s="765"/>
      <c r="R713" s="703"/>
      <c r="S713" s="670"/>
      <c r="T713" s="577">
        <f t="shared" si="216"/>
        <v>0</v>
      </c>
      <c r="U713" s="578">
        <f t="shared" si="217"/>
        <v>0</v>
      </c>
      <c r="V713" s="579"/>
      <c r="W713" s="637" t="str">
        <f>IF(U710&gt;0,"xx",IF(P710&gt;0,"xy",""))</f>
        <v/>
      </c>
      <c r="X713" s="586" t="str">
        <f t="shared" si="191"/>
        <v/>
      </c>
      <c r="Y713" s="586" t="str">
        <f t="shared" si="189"/>
        <v/>
      </c>
      <c r="Z713" s="586" t="str">
        <f t="shared" si="208"/>
        <v/>
      </c>
    </row>
    <row r="714" spans="1:26" hidden="1" x14ac:dyDescent="0.2">
      <c r="A714" s="567" t="s">
        <v>168</v>
      </c>
      <c r="B714" s="644" t="s">
        <v>168</v>
      </c>
      <c r="C714" s="645"/>
      <c r="D714" s="451" t="s">
        <v>263</v>
      </c>
      <c r="E714" s="423"/>
      <c r="F714" s="424">
        <v>20</v>
      </c>
      <c r="G714" s="425">
        <f>SUM(G710:G713)</f>
        <v>1</v>
      </c>
      <c r="H714" s="651">
        <f>IF(F714&lt;=30,(1.07*F714+6.45)*G714,((1.07*30+6.45)+1.07*(F714-30))*G714)</f>
        <v>27.85</v>
      </c>
      <c r="I714" s="420">
        <v>0</v>
      </c>
      <c r="J714" s="420"/>
      <c r="K714" s="421">
        <f t="shared" si="224"/>
        <v>0</v>
      </c>
      <c r="L714" s="647" t="s">
        <v>614</v>
      </c>
      <c r="M714" s="703"/>
      <c r="N714" s="576">
        <f t="shared" si="209"/>
        <v>0</v>
      </c>
      <c r="O714" s="577">
        <f t="shared" si="219"/>
        <v>0</v>
      </c>
      <c r="P714" s="578">
        <f t="shared" si="220"/>
        <v>0</v>
      </c>
      <c r="Q714" s="765"/>
      <c r="R714" s="703"/>
      <c r="S714" s="670"/>
      <c r="T714" s="577">
        <f t="shared" si="216"/>
        <v>0</v>
      </c>
      <c r="U714" s="578">
        <f t="shared" si="217"/>
        <v>0</v>
      </c>
      <c r="V714" s="579"/>
      <c r="W714" s="637" t="str">
        <f>IF(U710&gt;0,"xx",IF(P710&gt;0,"xy",""))</f>
        <v/>
      </c>
      <c r="X714" s="586" t="str">
        <f t="shared" si="191"/>
        <v/>
      </c>
      <c r="Y714" s="586" t="str">
        <f t="shared" si="189"/>
        <v/>
      </c>
      <c r="Z714" s="586" t="str">
        <f t="shared" si="208"/>
        <v/>
      </c>
    </row>
    <row r="715" spans="1:26" ht="12" hidden="1" thickBot="1" x14ac:dyDescent="0.25">
      <c r="A715" s="567">
        <v>589000</v>
      </c>
      <c r="B715" s="704" t="s">
        <v>1857</v>
      </c>
      <c r="C715" s="689" t="s">
        <v>1746</v>
      </c>
      <c r="D715" s="477" t="s">
        <v>660</v>
      </c>
      <c r="E715" s="470"/>
      <c r="F715" s="478">
        <v>500</v>
      </c>
      <c r="G715" s="479">
        <v>1</v>
      </c>
      <c r="H715" s="663">
        <f>(0.94*F715+46.06)*G715</f>
        <v>516.05999999999995</v>
      </c>
      <c r="I715" s="472">
        <v>5725</v>
      </c>
      <c r="J715" s="472">
        <f>IF(ISBLANK(I715),"",I715*(1+$F$9)/(1+$F$10))+H715</f>
        <v>6070.962785960779</v>
      </c>
      <c r="K715" s="690">
        <f t="shared" si="224"/>
        <v>7212.91</v>
      </c>
      <c r="L715" s="691" t="s">
        <v>20</v>
      </c>
      <c r="M715" s="692">
        <f>ROUND(M710*G710,2)</f>
        <v>0</v>
      </c>
      <c r="N715" s="696">
        <f t="shared" si="209"/>
        <v>0</v>
      </c>
      <c r="O715" s="693">
        <f t="shared" si="219"/>
        <v>0</v>
      </c>
      <c r="P715" s="694">
        <f t="shared" si="220"/>
        <v>0</v>
      </c>
      <c r="Q715" s="765"/>
      <c r="R715" s="719">
        <f>ROUND(R710*G710,2)</f>
        <v>0</v>
      </c>
      <c r="S715" s="720">
        <f t="shared" ref="S715:S778" si="225">N715</f>
        <v>0</v>
      </c>
      <c r="T715" s="693">
        <f t="shared" si="216"/>
        <v>0</v>
      </c>
      <c r="U715" s="694">
        <f t="shared" si="217"/>
        <v>0</v>
      </c>
      <c r="V715" s="579"/>
      <c r="W715" s="637" t="str">
        <f>IF(U710&gt;0,"xx",IF(P710&gt;0,"xy",""))</f>
        <v/>
      </c>
      <c r="X715" s="586" t="str">
        <f t="shared" si="191"/>
        <v/>
      </c>
      <c r="Y715" s="586" t="str">
        <f t="shared" si="189"/>
        <v/>
      </c>
      <c r="Z715" s="586" t="str">
        <f t="shared" si="208"/>
        <v/>
      </c>
    </row>
    <row r="716" spans="1:26" hidden="1" x14ac:dyDescent="0.2">
      <c r="A716" s="567">
        <v>521450</v>
      </c>
      <c r="B716" s="450" t="s">
        <v>1858</v>
      </c>
      <c r="C716" s="473" t="s">
        <v>206</v>
      </c>
      <c r="D716" s="422" t="s">
        <v>289</v>
      </c>
      <c r="E716" s="423"/>
      <c r="F716" s="424">
        <v>20</v>
      </c>
      <c r="G716" s="419">
        <v>0.3</v>
      </c>
      <c r="H716" s="663">
        <f t="shared" ref="H716:H717" si="226">IF(F716&lt;=30,(1.07*F716+2.68)*G716,((1.07*30+2.68)+1.07*(F716-30))*G716)</f>
        <v>7.2240000000000002</v>
      </c>
      <c r="I716" s="420">
        <v>24.94</v>
      </c>
      <c r="J716" s="420">
        <f t="shared" ref="J716:J732" si="227">IF(ISBLANK(I716),"",SUM(H716:I716))</f>
        <v>32.164000000000001</v>
      </c>
      <c r="K716" s="421">
        <f t="shared" si="224"/>
        <v>38.21</v>
      </c>
      <c r="L716" s="647" t="s">
        <v>18</v>
      </c>
      <c r="M716" s="576"/>
      <c r="N716" s="576">
        <f t="shared" si="209"/>
        <v>0</v>
      </c>
      <c r="O716" s="642">
        <f t="shared" si="219"/>
        <v>0</v>
      </c>
      <c r="P716" s="659">
        <f t="shared" si="220"/>
        <v>0</v>
      </c>
      <c r="Q716" s="765"/>
      <c r="R716" s="576">
        <f t="shared" si="215"/>
        <v>0</v>
      </c>
      <c r="S716" s="576">
        <f t="shared" si="225"/>
        <v>0</v>
      </c>
      <c r="T716" s="577">
        <f t="shared" si="216"/>
        <v>0</v>
      </c>
      <c r="U716" s="578">
        <f t="shared" si="217"/>
        <v>0</v>
      </c>
      <c r="V716" s="579"/>
      <c r="W716" s="566"/>
      <c r="X716" s="586" t="str">
        <f t="shared" si="191"/>
        <v/>
      </c>
      <c r="Y716" s="586" t="str">
        <f t="shared" si="189"/>
        <v/>
      </c>
      <c r="Z716" s="586" t="str">
        <f t="shared" si="208"/>
        <v/>
      </c>
    </row>
    <row r="717" spans="1:26" hidden="1" x14ac:dyDescent="0.2">
      <c r="A717" s="567">
        <v>535200</v>
      </c>
      <c r="B717" s="644" t="s">
        <v>1859</v>
      </c>
      <c r="C717" s="645" t="s">
        <v>206</v>
      </c>
      <c r="D717" s="422" t="s">
        <v>290</v>
      </c>
      <c r="E717" s="423"/>
      <c r="F717" s="424">
        <v>20</v>
      </c>
      <c r="G717" s="419">
        <v>7.6999999999999999E-2</v>
      </c>
      <c r="H717" s="663">
        <f t="shared" si="226"/>
        <v>1.85416</v>
      </c>
      <c r="I717" s="420">
        <v>10.85</v>
      </c>
      <c r="J717" s="420">
        <f t="shared" si="227"/>
        <v>12.70416</v>
      </c>
      <c r="K717" s="421">
        <f t="shared" si="224"/>
        <v>15.09</v>
      </c>
      <c r="L717" s="647" t="s">
        <v>19</v>
      </c>
      <c r="M717" s="576"/>
      <c r="N717" s="576">
        <f t="shared" si="209"/>
        <v>0</v>
      </c>
      <c r="O717" s="577">
        <f t="shared" si="219"/>
        <v>0</v>
      </c>
      <c r="P717" s="578">
        <f t="shared" si="220"/>
        <v>0</v>
      </c>
      <c r="Q717" s="765"/>
      <c r="R717" s="576">
        <f t="shared" si="215"/>
        <v>0</v>
      </c>
      <c r="S717" s="576">
        <f t="shared" si="225"/>
        <v>0</v>
      </c>
      <c r="T717" s="577">
        <f t="shared" si="216"/>
        <v>0</v>
      </c>
      <c r="U717" s="578">
        <f t="shared" si="217"/>
        <v>0</v>
      </c>
      <c r="V717" s="579"/>
      <c r="W717" s="566"/>
      <c r="X717" s="586" t="str">
        <f t="shared" si="191"/>
        <v/>
      </c>
      <c r="Y717" s="586" t="str">
        <f t="shared" si="189"/>
        <v/>
      </c>
      <c r="Z717" s="586" t="str">
        <f t="shared" si="208"/>
        <v/>
      </c>
    </row>
    <row r="718" spans="1:26" hidden="1" x14ac:dyDescent="0.2">
      <c r="A718" s="567">
        <v>521450</v>
      </c>
      <c r="B718" s="644" t="s">
        <v>1545</v>
      </c>
      <c r="C718" s="645" t="s">
        <v>206</v>
      </c>
      <c r="D718" s="422" t="s">
        <v>291</v>
      </c>
      <c r="E718" s="423"/>
      <c r="F718" s="424"/>
      <c r="G718" s="419"/>
      <c r="H718" s="651">
        <f t="shared" ref="H718:H719" si="228">IF(F718&lt;=30,(0.62*F718+6.29)*G718,((0.62*30+6.29)+0.62*(F718-30))*G718)</f>
        <v>0</v>
      </c>
      <c r="I718" s="420">
        <v>9.42</v>
      </c>
      <c r="J718" s="420">
        <f t="shared" si="227"/>
        <v>9.42</v>
      </c>
      <c r="K718" s="421">
        <f t="shared" si="224"/>
        <v>11.19</v>
      </c>
      <c r="L718" s="647" t="s">
        <v>18</v>
      </c>
      <c r="M718" s="576"/>
      <c r="N718" s="576">
        <f t="shared" si="209"/>
        <v>0</v>
      </c>
      <c r="O718" s="577">
        <f t="shared" si="219"/>
        <v>0</v>
      </c>
      <c r="P718" s="578">
        <f t="shared" si="220"/>
        <v>0</v>
      </c>
      <c r="Q718" s="765"/>
      <c r="R718" s="576">
        <f t="shared" si="215"/>
        <v>0</v>
      </c>
      <c r="S718" s="576">
        <f t="shared" si="225"/>
        <v>0</v>
      </c>
      <c r="T718" s="577">
        <f t="shared" si="216"/>
        <v>0</v>
      </c>
      <c r="U718" s="578">
        <f t="shared" si="217"/>
        <v>0</v>
      </c>
      <c r="V718" s="579"/>
      <c r="W718" s="566"/>
      <c r="X718" s="586" t="str">
        <f t="shared" si="191"/>
        <v/>
      </c>
      <c r="Y718" s="586" t="str">
        <f t="shared" si="189"/>
        <v/>
      </c>
      <c r="Z718" s="586" t="str">
        <f t="shared" si="208"/>
        <v/>
      </c>
    </row>
    <row r="719" spans="1:26" hidden="1" x14ac:dyDescent="0.2">
      <c r="A719" s="567">
        <v>521450</v>
      </c>
      <c r="B719" s="644" t="s">
        <v>1546</v>
      </c>
      <c r="C719" s="645" t="s">
        <v>206</v>
      </c>
      <c r="D719" s="422" t="s">
        <v>292</v>
      </c>
      <c r="E719" s="423"/>
      <c r="F719" s="424"/>
      <c r="G719" s="419"/>
      <c r="H719" s="651">
        <f t="shared" si="228"/>
        <v>0</v>
      </c>
      <c r="I719" s="420">
        <v>13.188000000000001</v>
      </c>
      <c r="J719" s="420">
        <f t="shared" si="227"/>
        <v>13.188000000000001</v>
      </c>
      <c r="K719" s="421">
        <f t="shared" si="224"/>
        <v>15.67</v>
      </c>
      <c r="L719" s="647" t="s">
        <v>18</v>
      </c>
      <c r="M719" s="576"/>
      <c r="N719" s="576">
        <f t="shared" si="209"/>
        <v>0</v>
      </c>
      <c r="O719" s="577">
        <f t="shared" si="219"/>
        <v>0</v>
      </c>
      <c r="P719" s="578">
        <f t="shared" si="220"/>
        <v>0</v>
      </c>
      <c r="Q719" s="765"/>
      <c r="R719" s="576">
        <f t="shared" si="215"/>
        <v>0</v>
      </c>
      <c r="S719" s="576">
        <f t="shared" si="225"/>
        <v>0</v>
      </c>
      <c r="T719" s="577">
        <f t="shared" si="216"/>
        <v>0</v>
      </c>
      <c r="U719" s="578">
        <f t="shared" si="217"/>
        <v>0</v>
      </c>
      <c r="V719" s="579"/>
      <c r="W719" s="566"/>
      <c r="X719" s="586" t="str">
        <f t="shared" si="191"/>
        <v/>
      </c>
      <c r="Y719" s="586" t="str">
        <f t="shared" si="189"/>
        <v/>
      </c>
      <c r="Z719" s="586" t="str">
        <f t="shared" si="208"/>
        <v/>
      </c>
    </row>
    <row r="720" spans="1:26" hidden="1" x14ac:dyDescent="0.2">
      <c r="A720" s="567">
        <v>535000</v>
      </c>
      <c r="B720" s="644" t="s">
        <v>1860</v>
      </c>
      <c r="C720" s="645" t="s">
        <v>206</v>
      </c>
      <c r="D720" s="422" t="s">
        <v>241</v>
      </c>
      <c r="E720" s="423"/>
      <c r="F720" s="424">
        <v>20</v>
      </c>
      <c r="G720" s="425">
        <v>0.27200000000000002</v>
      </c>
      <c r="H720" s="663">
        <f t="shared" ref="H720:H733" si="229">IF(F720&lt;=30,(1.07*F720+2.68)*G720,((1.07*30+2.68)+1.07*(F720-30))*G720)</f>
        <v>6.5497600000000009</v>
      </c>
      <c r="I720" s="420">
        <v>105.75</v>
      </c>
      <c r="J720" s="420">
        <f t="shared" si="227"/>
        <v>112.29976000000001</v>
      </c>
      <c r="K720" s="421">
        <f t="shared" si="224"/>
        <v>133.41999999999999</v>
      </c>
      <c r="L720" s="647" t="s">
        <v>18</v>
      </c>
      <c r="M720" s="576"/>
      <c r="N720" s="576">
        <f t="shared" si="209"/>
        <v>0</v>
      </c>
      <c r="O720" s="577">
        <f t="shared" si="219"/>
        <v>0</v>
      </c>
      <c r="P720" s="578">
        <f t="shared" si="220"/>
        <v>0</v>
      </c>
      <c r="Q720" s="765"/>
      <c r="R720" s="576">
        <f t="shared" si="215"/>
        <v>0</v>
      </c>
      <c r="S720" s="576">
        <f t="shared" si="225"/>
        <v>0</v>
      </c>
      <c r="T720" s="577">
        <f t="shared" si="216"/>
        <v>0</v>
      </c>
      <c r="U720" s="578">
        <f t="shared" si="217"/>
        <v>0</v>
      </c>
      <c r="V720" s="579"/>
      <c r="W720" s="566"/>
      <c r="X720" s="586" t="str">
        <f t="shared" si="191"/>
        <v/>
      </c>
      <c r="Y720" s="586" t="str">
        <f t="shared" si="189"/>
        <v/>
      </c>
      <c r="Z720" s="586" t="str">
        <f t="shared" si="208"/>
        <v/>
      </c>
    </row>
    <row r="721" spans="1:26" hidden="1" x14ac:dyDescent="0.2">
      <c r="A721" s="567">
        <v>863000</v>
      </c>
      <c r="B721" s="644" t="s">
        <v>1554</v>
      </c>
      <c r="C721" s="645" t="s">
        <v>206</v>
      </c>
      <c r="D721" s="422" t="s">
        <v>242</v>
      </c>
      <c r="E721" s="423"/>
      <c r="F721" s="424">
        <v>20</v>
      </c>
      <c r="G721" s="425">
        <f>2*0.04</f>
        <v>0.08</v>
      </c>
      <c r="H721" s="663">
        <f t="shared" si="229"/>
        <v>1.9264000000000001</v>
      </c>
      <c r="I721" s="420">
        <v>58.207999999999998</v>
      </c>
      <c r="J721" s="420">
        <f t="shared" si="227"/>
        <v>60.134399999999999</v>
      </c>
      <c r="K721" s="421">
        <f t="shared" si="224"/>
        <v>71.45</v>
      </c>
      <c r="L721" s="647" t="s">
        <v>18</v>
      </c>
      <c r="M721" s="576"/>
      <c r="N721" s="576">
        <f t="shared" si="209"/>
        <v>0</v>
      </c>
      <c r="O721" s="577">
        <f t="shared" si="219"/>
        <v>0</v>
      </c>
      <c r="P721" s="578">
        <f t="shared" si="220"/>
        <v>0</v>
      </c>
      <c r="Q721" s="765"/>
      <c r="R721" s="576">
        <f t="shared" si="215"/>
        <v>0</v>
      </c>
      <c r="S721" s="576">
        <f t="shared" si="225"/>
        <v>0</v>
      </c>
      <c r="T721" s="577">
        <f t="shared" si="216"/>
        <v>0</v>
      </c>
      <c r="U721" s="578">
        <f t="shared" si="217"/>
        <v>0</v>
      </c>
      <c r="V721" s="579"/>
      <c r="W721" s="566"/>
      <c r="X721" s="586" t="str">
        <f t="shared" si="191"/>
        <v/>
      </c>
      <c r="Y721" s="586" t="str">
        <f t="shared" si="189"/>
        <v/>
      </c>
      <c r="Z721" s="586" t="str">
        <f t="shared" si="208"/>
        <v/>
      </c>
    </row>
    <row r="722" spans="1:26" hidden="1" x14ac:dyDescent="0.2">
      <c r="A722" s="567">
        <v>863000</v>
      </c>
      <c r="B722" s="644" t="s">
        <v>1555</v>
      </c>
      <c r="C722" s="645" t="s">
        <v>206</v>
      </c>
      <c r="D722" s="422" t="s">
        <v>243</v>
      </c>
      <c r="E722" s="423"/>
      <c r="F722" s="424">
        <v>20</v>
      </c>
      <c r="G722" s="425">
        <f>2*0.05</f>
        <v>0.1</v>
      </c>
      <c r="H722" s="663">
        <f t="shared" si="229"/>
        <v>2.4080000000000004</v>
      </c>
      <c r="I722" s="420">
        <v>65.48</v>
      </c>
      <c r="J722" s="420">
        <f t="shared" si="227"/>
        <v>67.888000000000005</v>
      </c>
      <c r="K722" s="421">
        <f t="shared" si="224"/>
        <v>80.66</v>
      </c>
      <c r="L722" s="647" t="s">
        <v>18</v>
      </c>
      <c r="M722" s="576"/>
      <c r="N722" s="576">
        <f t="shared" si="209"/>
        <v>0</v>
      </c>
      <c r="O722" s="577">
        <f t="shared" si="219"/>
        <v>0</v>
      </c>
      <c r="P722" s="578">
        <f t="shared" si="220"/>
        <v>0</v>
      </c>
      <c r="Q722" s="765"/>
      <c r="R722" s="576">
        <f t="shared" si="215"/>
        <v>0</v>
      </c>
      <c r="S722" s="576">
        <f t="shared" si="225"/>
        <v>0</v>
      </c>
      <c r="T722" s="577">
        <f t="shared" si="216"/>
        <v>0</v>
      </c>
      <c r="U722" s="578">
        <f t="shared" si="217"/>
        <v>0</v>
      </c>
      <c r="V722" s="579"/>
      <c r="W722" s="566"/>
      <c r="X722" s="586" t="str">
        <f t="shared" si="191"/>
        <v/>
      </c>
      <c r="Y722" s="586" t="str">
        <f t="shared" si="189"/>
        <v/>
      </c>
      <c r="Z722" s="586" t="str">
        <f t="shared" si="208"/>
        <v/>
      </c>
    </row>
    <row r="723" spans="1:26" hidden="1" x14ac:dyDescent="0.2">
      <c r="A723" s="567">
        <v>534906</v>
      </c>
      <c r="B723" s="644" t="s">
        <v>1556</v>
      </c>
      <c r="C723" s="645" t="s">
        <v>206</v>
      </c>
      <c r="D723" s="422" t="s">
        <v>244</v>
      </c>
      <c r="E723" s="423"/>
      <c r="F723" s="424">
        <v>20</v>
      </c>
      <c r="G723" s="425">
        <f>2*0.06</f>
        <v>0.12</v>
      </c>
      <c r="H723" s="663">
        <f t="shared" si="229"/>
        <v>2.8896000000000002</v>
      </c>
      <c r="I723" s="420">
        <v>72.759999999999991</v>
      </c>
      <c r="J723" s="420">
        <f t="shared" si="227"/>
        <v>75.649599999999992</v>
      </c>
      <c r="K723" s="421">
        <f t="shared" si="224"/>
        <v>89.88</v>
      </c>
      <c r="L723" s="647" t="s">
        <v>18</v>
      </c>
      <c r="M723" s="576"/>
      <c r="N723" s="576">
        <f t="shared" si="209"/>
        <v>0</v>
      </c>
      <c r="O723" s="577">
        <f t="shared" si="219"/>
        <v>0</v>
      </c>
      <c r="P723" s="578">
        <f t="shared" si="220"/>
        <v>0</v>
      </c>
      <c r="Q723" s="765"/>
      <c r="R723" s="576">
        <f t="shared" si="215"/>
        <v>0</v>
      </c>
      <c r="S723" s="576">
        <f t="shared" si="225"/>
        <v>0</v>
      </c>
      <c r="T723" s="577">
        <f t="shared" si="216"/>
        <v>0</v>
      </c>
      <c r="U723" s="578">
        <f t="shared" si="217"/>
        <v>0</v>
      </c>
      <c r="V723" s="579"/>
      <c r="W723" s="566"/>
      <c r="X723" s="586" t="str">
        <f t="shared" si="191"/>
        <v/>
      </c>
      <c r="Y723" s="586" t="str">
        <f t="shared" si="189"/>
        <v/>
      </c>
      <c r="Z723" s="586" t="str">
        <f t="shared" si="208"/>
        <v/>
      </c>
    </row>
    <row r="724" spans="1:26" hidden="1" x14ac:dyDescent="0.2">
      <c r="A724" s="567">
        <v>534906</v>
      </c>
      <c r="B724" s="644" t="s">
        <v>1557</v>
      </c>
      <c r="C724" s="645" t="s">
        <v>206</v>
      </c>
      <c r="D724" s="422" t="s">
        <v>245</v>
      </c>
      <c r="E724" s="423"/>
      <c r="F724" s="424">
        <v>20</v>
      </c>
      <c r="G724" s="425">
        <f>2*0.07</f>
        <v>0.14000000000000001</v>
      </c>
      <c r="H724" s="663">
        <f t="shared" si="229"/>
        <v>3.3712000000000004</v>
      </c>
      <c r="I724" s="420">
        <v>78.16</v>
      </c>
      <c r="J724" s="420">
        <f t="shared" si="227"/>
        <v>81.531199999999998</v>
      </c>
      <c r="K724" s="421">
        <f t="shared" si="224"/>
        <v>96.87</v>
      </c>
      <c r="L724" s="647" t="s">
        <v>18</v>
      </c>
      <c r="M724" s="576"/>
      <c r="N724" s="576">
        <f t="shared" ref="N724:N787" si="230">IF(M724=0,0,K724)</f>
        <v>0</v>
      </c>
      <c r="O724" s="577">
        <f t="shared" si="219"/>
        <v>0</v>
      </c>
      <c r="P724" s="578">
        <f t="shared" si="220"/>
        <v>0</v>
      </c>
      <c r="Q724" s="765"/>
      <c r="R724" s="576">
        <f t="shared" si="215"/>
        <v>0</v>
      </c>
      <c r="S724" s="576">
        <f t="shared" si="225"/>
        <v>0</v>
      </c>
      <c r="T724" s="577">
        <f t="shared" si="216"/>
        <v>0</v>
      </c>
      <c r="U724" s="578">
        <f t="shared" si="217"/>
        <v>0</v>
      </c>
      <c r="V724" s="579"/>
      <c r="W724" s="566"/>
      <c r="X724" s="586" t="str">
        <f t="shared" si="191"/>
        <v/>
      </c>
      <c r="Y724" s="586" t="str">
        <f t="shared" si="189"/>
        <v/>
      </c>
      <c r="Z724" s="586" t="str">
        <f t="shared" si="208"/>
        <v/>
      </c>
    </row>
    <row r="725" spans="1:26" hidden="1" x14ac:dyDescent="0.2">
      <c r="A725" s="567">
        <v>534906</v>
      </c>
      <c r="B725" s="644" t="s">
        <v>1558</v>
      </c>
      <c r="C725" s="645" t="s">
        <v>206</v>
      </c>
      <c r="D725" s="422" t="s">
        <v>246</v>
      </c>
      <c r="E725" s="423"/>
      <c r="F725" s="424">
        <v>20</v>
      </c>
      <c r="G725" s="425">
        <f>2*0.08</f>
        <v>0.16</v>
      </c>
      <c r="H725" s="663">
        <f t="shared" si="229"/>
        <v>3.8528000000000002</v>
      </c>
      <c r="I725" s="420">
        <v>83.56</v>
      </c>
      <c r="J725" s="420">
        <f t="shared" si="227"/>
        <v>87.412800000000004</v>
      </c>
      <c r="K725" s="421">
        <f t="shared" si="224"/>
        <v>103.86</v>
      </c>
      <c r="L725" s="647" t="s">
        <v>18</v>
      </c>
      <c r="M725" s="576"/>
      <c r="N725" s="576">
        <f t="shared" si="230"/>
        <v>0</v>
      </c>
      <c r="O725" s="577">
        <f t="shared" si="219"/>
        <v>0</v>
      </c>
      <c r="P725" s="578">
        <f t="shared" si="220"/>
        <v>0</v>
      </c>
      <c r="Q725" s="765"/>
      <c r="R725" s="576">
        <f t="shared" si="215"/>
        <v>0</v>
      </c>
      <c r="S725" s="576">
        <f t="shared" si="225"/>
        <v>0</v>
      </c>
      <c r="T725" s="577">
        <f t="shared" si="216"/>
        <v>0</v>
      </c>
      <c r="U725" s="578">
        <f t="shared" si="217"/>
        <v>0</v>
      </c>
      <c r="V725" s="579"/>
      <c r="W725" s="566"/>
      <c r="X725" s="586" t="str">
        <f t="shared" si="191"/>
        <v/>
      </c>
      <c r="Y725" s="586" t="str">
        <f t="shared" si="189"/>
        <v/>
      </c>
      <c r="Z725" s="586" t="str">
        <f t="shared" si="208"/>
        <v/>
      </c>
    </row>
    <row r="726" spans="1:26" hidden="1" x14ac:dyDescent="0.2">
      <c r="A726" s="567">
        <v>534906</v>
      </c>
      <c r="B726" s="644" t="s">
        <v>1559</v>
      </c>
      <c r="C726" s="645" t="s">
        <v>206</v>
      </c>
      <c r="D726" s="422" t="s">
        <v>247</v>
      </c>
      <c r="E726" s="423"/>
      <c r="F726" s="424">
        <v>20</v>
      </c>
      <c r="G726" s="425">
        <f>2*0.1</f>
        <v>0.2</v>
      </c>
      <c r="H726" s="663">
        <f t="shared" si="229"/>
        <v>4.8160000000000007</v>
      </c>
      <c r="I726" s="420">
        <v>94.614793103448264</v>
      </c>
      <c r="J726" s="420">
        <f t="shared" si="227"/>
        <v>99.430793103448266</v>
      </c>
      <c r="K726" s="421">
        <f t="shared" si="224"/>
        <v>118.13</v>
      </c>
      <c r="L726" s="647" t="s">
        <v>18</v>
      </c>
      <c r="M726" s="576"/>
      <c r="N726" s="576">
        <f t="shared" si="230"/>
        <v>0</v>
      </c>
      <c r="O726" s="577">
        <f t="shared" si="219"/>
        <v>0</v>
      </c>
      <c r="P726" s="578">
        <f t="shared" si="220"/>
        <v>0</v>
      </c>
      <c r="Q726" s="765"/>
      <c r="R726" s="576">
        <f t="shared" si="215"/>
        <v>0</v>
      </c>
      <c r="S726" s="576">
        <f t="shared" si="225"/>
        <v>0</v>
      </c>
      <c r="T726" s="577">
        <f t="shared" si="216"/>
        <v>0</v>
      </c>
      <c r="U726" s="578">
        <f t="shared" si="217"/>
        <v>0</v>
      </c>
      <c r="V726" s="579"/>
      <c r="W726" s="566"/>
      <c r="X726" s="586" t="str">
        <f t="shared" si="191"/>
        <v/>
      </c>
      <c r="Y726" s="586" t="str">
        <f t="shared" si="189"/>
        <v/>
      </c>
      <c r="Z726" s="586" t="str">
        <f t="shared" si="208"/>
        <v/>
      </c>
    </row>
    <row r="727" spans="1:26" hidden="1" x14ac:dyDescent="0.2">
      <c r="A727" s="567">
        <v>534906</v>
      </c>
      <c r="B727" s="644" t="s">
        <v>1560</v>
      </c>
      <c r="C727" s="645" t="s">
        <v>206</v>
      </c>
      <c r="D727" s="422" t="s">
        <v>805</v>
      </c>
      <c r="E727" s="423"/>
      <c r="F727" s="424">
        <v>20</v>
      </c>
      <c r="G727" s="425">
        <v>0.14000000000000001</v>
      </c>
      <c r="H727" s="663">
        <f t="shared" si="229"/>
        <v>3.3712000000000004</v>
      </c>
      <c r="I727" s="420">
        <v>72.759999999999991</v>
      </c>
      <c r="J727" s="420">
        <f t="shared" si="227"/>
        <v>76.131199999999993</v>
      </c>
      <c r="K727" s="421">
        <f t="shared" si="224"/>
        <v>90.45</v>
      </c>
      <c r="L727" s="647" t="s">
        <v>18</v>
      </c>
      <c r="M727" s="576"/>
      <c r="N727" s="576">
        <f t="shared" si="230"/>
        <v>0</v>
      </c>
      <c r="O727" s="577">
        <f t="shared" si="219"/>
        <v>0</v>
      </c>
      <c r="P727" s="578">
        <f t="shared" si="220"/>
        <v>0</v>
      </c>
      <c r="Q727" s="765"/>
      <c r="R727" s="576">
        <f t="shared" si="215"/>
        <v>0</v>
      </c>
      <c r="S727" s="576">
        <f t="shared" si="225"/>
        <v>0</v>
      </c>
      <c r="T727" s="577">
        <f t="shared" si="216"/>
        <v>0</v>
      </c>
      <c r="U727" s="578">
        <f t="shared" si="217"/>
        <v>0</v>
      </c>
      <c r="V727" s="579"/>
      <c r="W727" s="566"/>
      <c r="X727" s="586" t="str">
        <f t="shared" si="191"/>
        <v/>
      </c>
      <c r="Y727" s="586" t="str">
        <f t="shared" si="189"/>
        <v/>
      </c>
      <c r="Z727" s="586" t="str">
        <f t="shared" si="208"/>
        <v/>
      </c>
    </row>
    <row r="728" spans="1:26" hidden="1" x14ac:dyDescent="0.2">
      <c r="A728" s="567">
        <v>534906</v>
      </c>
      <c r="B728" s="644" t="s">
        <v>1561</v>
      </c>
      <c r="C728" s="645" t="s">
        <v>206</v>
      </c>
      <c r="D728" s="422" t="s">
        <v>806</v>
      </c>
      <c r="E728" s="423"/>
      <c r="F728" s="424">
        <v>20</v>
      </c>
      <c r="G728" s="425">
        <v>0.14000000000000001</v>
      </c>
      <c r="H728" s="663">
        <f t="shared" si="229"/>
        <v>3.3712000000000004</v>
      </c>
      <c r="I728" s="420">
        <v>80.040000000000006</v>
      </c>
      <c r="J728" s="420">
        <f t="shared" si="227"/>
        <v>83.411200000000008</v>
      </c>
      <c r="K728" s="421">
        <f t="shared" si="224"/>
        <v>99.1</v>
      </c>
      <c r="L728" s="647" t="s">
        <v>18</v>
      </c>
      <c r="M728" s="576"/>
      <c r="N728" s="576">
        <f t="shared" si="230"/>
        <v>0</v>
      </c>
      <c r="O728" s="577">
        <f t="shared" si="219"/>
        <v>0</v>
      </c>
      <c r="P728" s="578">
        <f t="shared" si="220"/>
        <v>0</v>
      </c>
      <c r="Q728" s="765"/>
      <c r="R728" s="576">
        <f t="shared" si="215"/>
        <v>0</v>
      </c>
      <c r="S728" s="576">
        <f t="shared" si="225"/>
        <v>0</v>
      </c>
      <c r="T728" s="577">
        <f t="shared" si="216"/>
        <v>0</v>
      </c>
      <c r="U728" s="578">
        <f t="shared" si="217"/>
        <v>0</v>
      </c>
      <c r="V728" s="579"/>
      <c r="W728" s="566"/>
      <c r="X728" s="586" t="str">
        <f t="shared" si="191"/>
        <v/>
      </c>
      <c r="Y728" s="586" t="str">
        <f t="shared" si="189"/>
        <v/>
      </c>
      <c r="Z728" s="586" t="str">
        <f t="shared" si="208"/>
        <v/>
      </c>
    </row>
    <row r="729" spans="1:26" hidden="1" x14ac:dyDescent="0.2">
      <c r="A729" s="567">
        <v>534908</v>
      </c>
      <c r="B729" s="644" t="s">
        <v>233</v>
      </c>
      <c r="C729" s="645" t="s">
        <v>206</v>
      </c>
      <c r="D729" s="422" t="s">
        <v>807</v>
      </c>
      <c r="E729" s="423"/>
      <c r="F729" s="424">
        <v>20</v>
      </c>
      <c r="G729" s="425">
        <v>0.18</v>
      </c>
      <c r="H729" s="663">
        <f t="shared" si="229"/>
        <v>4.3344000000000005</v>
      </c>
      <c r="I729" s="420">
        <v>83.56</v>
      </c>
      <c r="J729" s="420">
        <f t="shared" si="227"/>
        <v>87.894400000000005</v>
      </c>
      <c r="K729" s="421">
        <f t="shared" si="224"/>
        <v>104.43</v>
      </c>
      <c r="L729" s="647" t="s">
        <v>18</v>
      </c>
      <c r="M729" s="576"/>
      <c r="N729" s="576">
        <f t="shared" si="230"/>
        <v>0</v>
      </c>
      <c r="O729" s="577">
        <f t="shared" si="219"/>
        <v>0</v>
      </c>
      <c r="P729" s="578">
        <f t="shared" si="220"/>
        <v>0</v>
      </c>
      <c r="Q729" s="765"/>
      <c r="R729" s="576">
        <f t="shared" si="215"/>
        <v>0</v>
      </c>
      <c r="S729" s="576">
        <f t="shared" si="225"/>
        <v>0</v>
      </c>
      <c r="T729" s="577">
        <f t="shared" si="216"/>
        <v>0</v>
      </c>
      <c r="U729" s="578">
        <f t="shared" si="217"/>
        <v>0</v>
      </c>
      <c r="V729" s="579"/>
      <c r="W729" s="566"/>
      <c r="X729" s="586" t="str">
        <f t="shared" si="191"/>
        <v/>
      </c>
      <c r="Y729" s="586" t="str">
        <f t="shared" si="189"/>
        <v/>
      </c>
      <c r="Z729" s="586" t="str">
        <f t="shared" si="208"/>
        <v/>
      </c>
    </row>
    <row r="730" spans="1:26" hidden="1" x14ac:dyDescent="0.2">
      <c r="A730" s="567">
        <v>534908</v>
      </c>
      <c r="B730" s="644" t="s">
        <v>234</v>
      </c>
      <c r="C730" s="645" t="s">
        <v>206</v>
      </c>
      <c r="D730" s="422" t="s">
        <v>808</v>
      </c>
      <c r="E730" s="423"/>
      <c r="F730" s="424">
        <v>20</v>
      </c>
      <c r="G730" s="425">
        <v>0.18</v>
      </c>
      <c r="H730" s="663">
        <f t="shared" si="229"/>
        <v>4.3344000000000005</v>
      </c>
      <c r="I730" s="420">
        <v>91.92</v>
      </c>
      <c r="J730" s="420">
        <f t="shared" si="227"/>
        <v>96.254400000000004</v>
      </c>
      <c r="K730" s="421">
        <f t="shared" si="224"/>
        <v>114.36</v>
      </c>
      <c r="L730" s="647" t="s">
        <v>18</v>
      </c>
      <c r="M730" s="576"/>
      <c r="N730" s="576">
        <f t="shared" si="230"/>
        <v>0</v>
      </c>
      <c r="O730" s="577">
        <f t="shared" si="219"/>
        <v>0</v>
      </c>
      <c r="P730" s="578">
        <f t="shared" si="220"/>
        <v>0</v>
      </c>
      <c r="Q730" s="765"/>
      <c r="R730" s="576">
        <f t="shared" si="215"/>
        <v>0</v>
      </c>
      <c r="S730" s="576">
        <f t="shared" si="225"/>
        <v>0</v>
      </c>
      <c r="T730" s="577">
        <f t="shared" si="216"/>
        <v>0</v>
      </c>
      <c r="U730" s="578">
        <f t="shared" si="217"/>
        <v>0</v>
      </c>
      <c r="V730" s="579"/>
      <c r="W730" s="566"/>
      <c r="X730" s="586" t="str">
        <f t="shared" si="191"/>
        <v/>
      </c>
      <c r="Y730" s="586" t="str">
        <f t="shared" si="189"/>
        <v/>
      </c>
      <c r="Z730" s="586" t="str">
        <f t="shared" si="208"/>
        <v/>
      </c>
    </row>
    <row r="731" spans="1:26" hidden="1" x14ac:dyDescent="0.2">
      <c r="A731" s="567">
        <v>534908</v>
      </c>
      <c r="B731" s="644" t="s">
        <v>1562</v>
      </c>
      <c r="C731" s="645" t="s">
        <v>206</v>
      </c>
      <c r="D731" s="422" t="s">
        <v>809</v>
      </c>
      <c r="E731" s="423"/>
      <c r="F731" s="424">
        <v>20</v>
      </c>
      <c r="G731" s="425">
        <v>0.22</v>
      </c>
      <c r="H731" s="663">
        <f t="shared" si="229"/>
        <v>5.2976000000000001</v>
      </c>
      <c r="I731" s="420">
        <v>94.614793103448264</v>
      </c>
      <c r="J731" s="420">
        <f t="shared" si="227"/>
        <v>99.912393103448267</v>
      </c>
      <c r="K731" s="421">
        <f t="shared" si="224"/>
        <v>118.71</v>
      </c>
      <c r="L731" s="647" t="s">
        <v>18</v>
      </c>
      <c r="M731" s="576"/>
      <c r="N731" s="576">
        <f t="shared" si="230"/>
        <v>0</v>
      </c>
      <c r="O731" s="577">
        <f t="shared" si="219"/>
        <v>0</v>
      </c>
      <c r="P731" s="578">
        <f t="shared" si="220"/>
        <v>0</v>
      </c>
      <c r="Q731" s="765"/>
      <c r="R731" s="576">
        <f t="shared" si="215"/>
        <v>0</v>
      </c>
      <c r="S731" s="576">
        <f t="shared" si="225"/>
        <v>0</v>
      </c>
      <c r="T731" s="577">
        <f t="shared" si="216"/>
        <v>0</v>
      </c>
      <c r="U731" s="578">
        <f t="shared" si="217"/>
        <v>0</v>
      </c>
      <c r="V731" s="579"/>
      <c r="W731" s="566"/>
      <c r="X731" s="586" t="str">
        <f t="shared" si="191"/>
        <v/>
      </c>
      <c r="Y731" s="586" t="str">
        <f t="shared" si="189"/>
        <v/>
      </c>
      <c r="Z731" s="586" t="str">
        <f t="shared" si="208"/>
        <v/>
      </c>
    </row>
    <row r="732" spans="1:26" hidden="1" x14ac:dyDescent="0.2">
      <c r="A732" s="567">
        <v>534908</v>
      </c>
      <c r="B732" s="644" t="s">
        <v>1563</v>
      </c>
      <c r="C732" s="645" t="s">
        <v>206</v>
      </c>
      <c r="D732" s="422" t="s">
        <v>810</v>
      </c>
      <c r="E732" s="423"/>
      <c r="F732" s="424">
        <v>20</v>
      </c>
      <c r="G732" s="425">
        <v>0.22</v>
      </c>
      <c r="H732" s="663">
        <f t="shared" si="229"/>
        <v>5.2976000000000001</v>
      </c>
      <c r="I732" s="420">
        <v>104.08</v>
      </c>
      <c r="J732" s="420">
        <f t="shared" si="227"/>
        <v>109.3776</v>
      </c>
      <c r="K732" s="421">
        <f t="shared" si="224"/>
        <v>129.94999999999999</v>
      </c>
      <c r="L732" s="647" t="s">
        <v>18</v>
      </c>
      <c r="M732" s="576"/>
      <c r="N732" s="576">
        <f t="shared" si="230"/>
        <v>0</v>
      </c>
      <c r="O732" s="577">
        <f t="shared" si="219"/>
        <v>0</v>
      </c>
      <c r="P732" s="578">
        <f t="shared" si="220"/>
        <v>0</v>
      </c>
      <c r="Q732" s="765"/>
      <c r="R732" s="576">
        <f t="shared" si="215"/>
        <v>0</v>
      </c>
      <c r="S732" s="576">
        <f t="shared" si="225"/>
        <v>0</v>
      </c>
      <c r="T732" s="577">
        <f t="shared" si="216"/>
        <v>0</v>
      </c>
      <c r="U732" s="578">
        <f t="shared" si="217"/>
        <v>0</v>
      </c>
      <c r="V732" s="579"/>
      <c r="W732" s="566"/>
      <c r="X732" s="586" t="str">
        <f t="shared" si="191"/>
        <v/>
      </c>
      <c r="Y732" s="586" t="str">
        <f t="shared" si="189"/>
        <v/>
      </c>
      <c r="Z732" s="586" t="str">
        <f t="shared" si="208"/>
        <v/>
      </c>
    </row>
    <row r="733" spans="1:26" hidden="1" x14ac:dyDescent="0.2">
      <c r="A733" s="671">
        <v>101090</v>
      </c>
      <c r="B733" s="644" t="s">
        <v>1564</v>
      </c>
      <c r="C733" s="645" t="s">
        <v>670</v>
      </c>
      <c r="D733" s="422" t="s">
        <v>811</v>
      </c>
      <c r="E733" s="423"/>
      <c r="F733" s="424">
        <v>20</v>
      </c>
      <c r="G733" s="425">
        <v>0.3</v>
      </c>
      <c r="H733" s="663">
        <f t="shared" si="229"/>
        <v>7.2240000000000002</v>
      </c>
      <c r="I733" s="420">
        <v>177.63</v>
      </c>
      <c r="J733" s="420">
        <f>IF(ISBLANK(I733),"",SUM(H733:I733))</f>
        <v>184.85399999999998</v>
      </c>
      <c r="K733" s="421">
        <f t="shared" si="224"/>
        <v>219.63</v>
      </c>
      <c r="L733" s="647" t="s">
        <v>18</v>
      </c>
      <c r="M733" s="650"/>
      <c r="N733" s="576">
        <f t="shared" si="230"/>
        <v>0</v>
      </c>
      <c r="O733" s="577">
        <f t="shared" si="219"/>
        <v>0</v>
      </c>
      <c r="P733" s="578">
        <f t="shared" si="220"/>
        <v>0</v>
      </c>
      <c r="Q733" s="765"/>
      <c r="R733" s="650">
        <f t="shared" si="215"/>
        <v>0</v>
      </c>
      <c r="S733" s="587">
        <f t="shared" si="225"/>
        <v>0</v>
      </c>
      <c r="T733" s="577">
        <f t="shared" si="216"/>
        <v>0</v>
      </c>
      <c r="U733" s="578">
        <f t="shared" si="217"/>
        <v>0</v>
      </c>
      <c r="V733" s="579"/>
      <c r="W733" s="566"/>
      <c r="X733" s="586" t="str">
        <f t="shared" si="191"/>
        <v/>
      </c>
      <c r="Y733" s="586" t="str">
        <f t="shared" si="189"/>
        <v/>
      </c>
      <c r="Z733" s="586" t="str">
        <f t="shared" si="208"/>
        <v/>
      </c>
    </row>
    <row r="734" spans="1:26" hidden="1" x14ac:dyDescent="0.2">
      <c r="A734" s="671">
        <v>98509</v>
      </c>
      <c r="B734" s="644">
        <v>98509</v>
      </c>
      <c r="C734" s="645" t="s">
        <v>670</v>
      </c>
      <c r="D734" s="422" t="s">
        <v>822</v>
      </c>
      <c r="E734" s="423"/>
      <c r="F734" s="424"/>
      <c r="G734" s="425"/>
      <c r="H734" s="651">
        <v>0</v>
      </c>
      <c r="I734" s="420">
        <v>28.98</v>
      </c>
      <c r="J734" s="420">
        <f t="shared" ref="J734:J746" si="231">IF(ISBLANK(I734),"",SUM(H734:I734))</f>
        <v>28.98</v>
      </c>
      <c r="K734" s="421">
        <f t="shared" si="224"/>
        <v>34.43</v>
      </c>
      <c r="L734" s="647" t="s">
        <v>21</v>
      </c>
      <c r="M734" s="576"/>
      <c r="N734" s="576">
        <f t="shared" si="230"/>
        <v>0</v>
      </c>
      <c r="O734" s="577">
        <f t="shared" si="219"/>
        <v>0</v>
      </c>
      <c r="P734" s="578">
        <f t="shared" si="220"/>
        <v>0</v>
      </c>
      <c r="Q734" s="765"/>
      <c r="R734" s="576">
        <f t="shared" si="215"/>
        <v>0</v>
      </c>
      <c r="S734" s="576">
        <f t="shared" si="225"/>
        <v>0</v>
      </c>
      <c r="T734" s="577">
        <f t="shared" si="216"/>
        <v>0</v>
      </c>
      <c r="U734" s="578">
        <f t="shared" si="217"/>
        <v>0</v>
      </c>
      <c r="V734" s="579"/>
      <c r="W734" s="566"/>
      <c r="X734" s="586" t="str">
        <f t="shared" si="191"/>
        <v/>
      </c>
      <c r="Y734" s="586" t="str">
        <f t="shared" si="189"/>
        <v/>
      </c>
      <c r="Z734" s="586" t="str">
        <f t="shared" si="208"/>
        <v/>
      </c>
    </row>
    <row r="735" spans="1:26" hidden="1" x14ac:dyDescent="0.2">
      <c r="A735" s="671">
        <v>98510</v>
      </c>
      <c r="B735" s="644">
        <v>98510</v>
      </c>
      <c r="C735" s="645" t="s">
        <v>670</v>
      </c>
      <c r="D735" s="422" t="s">
        <v>823</v>
      </c>
      <c r="E735" s="423"/>
      <c r="F735" s="424"/>
      <c r="G735" s="425"/>
      <c r="H735" s="651">
        <v>0</v>
      </c>
      <c r="I735" s="420">
        <v>51.29</v>
      </c>
      <c r="J735" s="420">
        <f>IF(ISBLANK(I735),"",SUM(H735:I735))</f>
        <v>51.29</v>
      </c>
      <c r="K735" s="421">
        <f>IF(ISBLANK(I735),0,ROUND(J735*(1+$F$10)*(1+$F$11*E735),2))</f>
        <v>60.94</v>
      </c>
      <c r="L735" s="647" t="s">
        <v>21</v>
      </c>
      <c r="M735" s="576"/>
      <c r="N735" s="576">
        <f t="shared" si="230"/>
        <v>0</v>
      </c>
      <c r="O735" s="577">
        <f t="shared" si="219"/>
        <v>0</v>
      </c>
      <c r="P735" s="578">
        <f t="shared" si="220"/>
        <v>0</v>
      </c>
      <c r="Q735" s="765"/>
      <c r="R735" s="576">
        <f t="shared" si="215"/>
        <v>0</v>
      </c>
      <c r="S735" s="576">
        <f t="shared" si="225"/>
        <v>0</v>
      </c>
      <c r="T735" s="577">
        <f t="shared" si="216"/>
        <v>0</v>
      </c>
      <c r="U735" s="578">
        <f t="shared" si="217"/>
        <v>0</v>
      </c>
      <c r="V735" s="579"/>
      <c r="W735" s="566"/>
      <c r="X735" s="586" t="str">
        <f>IF(W735="X","x",IF(W735="xx","x",IF(W735="xy","x",IF(W735="y","x",IF(OR(P735&gt;0,U735&gt;0),"x","")))))</f>
        <v/>
      </c>
      <c r="Y735" s="586" t="str">
        <f>IF(W735="X","x",IF(W735="y","x",IF(W735="xx","x",IF(U735&gt;0,"x",""))))</f>
        <v/>
      </c>
      <c r="Z735" s="586" t="str">
        <f>IF(W735="X","x",IF(U735&gt;0,"x",""))</f>
        <v/>
      </c>
    </row>
    <row r="736" spans="1:26" hidden="1" x14ac:dyDescent="0.2">
      <c r="A736" s="567">
        <v>98511</v>
      </c>
      <c r="B736" s="644">
        <v>98511</v>
      </c>
      <c r="C736" s="645" t="s">
        <v>670</v>
      </c>
      <c r="D736" s="422" t="s">
        <v>824</v>
      </c>
      <c r="E736" s="423"/>
      <c r="F736" s="424"/>
      <c r="G736" s="425"/>
      <c r="H736" s="651">
        <v>0</v>
      </c>
      <c r="I736" s="420">
        <v>92.87</v>
      </c>
      <c r="J736" s="420">
        <f>IF(ISBLANK(I736),"",SUM(H736:I736))</f>
        <v>92.87</v>
      </c>
      <c r="K736" s="421">
        <f t="shared" si="224"/>
        <v>110.34</v>
      </c>
      <c r="L736" s="647" t="s">
        <v>21</v>
      </c>
      <c r="M736" s="576"/>
      <c r="N736" s="576">
        <f t="shared" si="230"/>
        <v>0</v>
      </c>
      <c r="O736" s="577">
        <f t="shared" si="219"/>
        <v>0</v>
      </c>
      <c r="P736" s="578">
        <f t="shared" si="220"/>
        <v>0</v>
      </c>
      <c r="Q736" s="765"/>
      <c r="R736" s="576">
        <f t="shared" si="215"/>
        <v>0</v>
      </c>
      <c r="S736" s="576">
        <f t="shared" si="225"/>
        <v>0</v>
      </c>
      <c r="T736" s="577">
        <f t="shared" si="216"/>
        <v>0</v>
      </c>
      <c r="U736" s="578">
        <f t="shared" si="217"/>
        <v>0</v>
      </c>
      <c r="V736" s="579"/>
      <c r="W736" s="566"/>
      <c r="X736" s="586" t="str">
        <f t="shared" si="191"/>
        <v/>
      </c>
      <c r="Y736" s="586" t="str">
        <f t="shared" si="189"/>
        <v/>
      </c>
      <c r="Z736" s="586" t="str">
        <f t="shared" si="208"/>
        <v/>
      </c>
    </row>
    <row r="737" spans="1:26" hidden="1" x14ac:dyDescent="0.2">
      <c r="A737" s="567">
        <v>98516</v>
      </c>
      <c r="B737" s="644">
        <v>98516</v>
      </c>
      <c r="C737" s="645" t="s">
        <v>670</v>
      </c>
      <c r="D737" s="422" t="s">
        <v>825</v>
      </c>
      <c r="E737" s="423"/>
      <c r="F737" s="424"/>
      <c r="G737" s="425"/>
      <c r="H737" s="651">
        <v>0</v>
      </c>
      <c r="I737" s="420">
        <v>315.36</v>
      </c>
      <c r="J737" s="420">
        <f>IF(ISBLANK(I737),"",SUM(H737:I737))</f>
        <v>315.36</v>
      </c>
      <c r="K737" s="421">
        <f t="shared" si="224"/>
        <v>374.68</v>
      </c>
      <c r="L737" s="647" t="s">
        <v>21</v>
      </c>
      <c r="M737" s="576"/>
      <c r="N737" s="576">
        <f t="shared" si="230"/>
        <v>0</v>
      </c>
      <c r="O737" s="577">
        <f t="shared" si="219"/>
        <v>0</v>
      </c>
      <c r="P737" s="578">
        <f t="shared" si="220"/>
        <v>0</v>
      </c>
      <c r="Q737" s="765"/>
      <c r="R737" s="576">
        <f t="shared" si="215"/>
        <v>0</v>
      </c>
      <c r="S737" s="576">
        <f t="shared" si="225"/>
        <v>0</v>
      </c>
      <c r="T737" s="577">
        <f t="shared" si="216"/>
        <v>0</v>
      </c>
      <c r="U737" s="578">
        <f t="shared" si="217"/>
        <v>0</v>
      </c>
      <c r="V737" s="579"/>
      <c r="W737" s="566"/>
      <c r="X737" s="586" t="str">
        <f t="shared" si="191"/>
        <v/>
      </c>
      <c r="Y737" s="586" t="str">
        <f t="shared" si="189"/>
        <v/>
      </c>
      <c r="Z737" s="586" t="str">
        <f t="shared" si="208"/>
        <v/>
      </c>
    </row>
    <row r="738" spans="1:26" hidden="1" x14ac:dyDescent="0.2">
      <c r="A738" s="567">
        <v>98504</v>
      </c>
      <c r="B738" s="644">
        <v>98504</v>
      </c>
      <c r="C738" s="645" t="s">
        <v>670</v>
      </c>
      <c r="D738" s="422" t="s">
        <v>494</v>
      </c>
      <c r="E738" s="423"/>
      <c r="F738" s="424"/>
      <c r="G738" s="425"/>
      <c r="H738" s="651">
        <v>0</v>
      </c>
      <c r="I738" s="420">
        <v>10.55</v>
      </c>
      <c r="J738" s="420">
        <f t="shared" si="231"/>
        <v>10.55</v>
      </c>
      <c r="K738" s="421">
        <f t="shared" si="224"/>
        <v>12.53</v>
      </c>
      <c r="L738" s="647" t="s">
        <v>18</v>
      </c>
      <c r="M738" s="576"/>
      <c r="N738" s="576">
        <f t="shared" si="230"/>
        <v>0</v>
      </c>
      <c r="O738" s="577">
        <f t="shared" si="219"/>
        <v>0</v>
      </c>
      <c r="P738" s="578">
        <f t="shared" si="220"/>
        <v>0</v>
      </c>
      <c r="Q738" s="765"/>
      <c r="R738" s="576">
        <f t="shared" si="215"/>
        <v>0</v>
      </c>
      <c r="S738" s="576">
        <f t="shared" si="225"/>
        <v>0</v>
      </c>
      <c r="T738" s="577">
        <f t="shared" si="216"/>
        <v>0</v>
      </c>
      <c r="U738" s="578">
        <f t="shared" si="217"/>
        <v>0</v>
      </c>
      <c r="V738" s="579"/>
      <c r="W738" s="566"/>
      <c r="X738" s="586" t="str">
        <f t="shared" si="191"/>
        <v/>
      </c>
      <c r="Y738" s="586" t="str">
        <f t="shared" si="189"/>
        <v/>
      </c>
      <c r="Z738" s="586" t="str">
        <f t="shared" si="208"/>
        <v/>
      </c>
    </row>
    <row r="739" spans="1:26" hidden="1" x14ac:dyDescent="0.2">
      <c r="A739" s="671">
        <v>98505</v>
      </c>
      <c r="B739" s="644">
        <v>98505</v>
      </c>
      <c r="C739" s="645" t="s">
        <v>670</v>
      </c>
      <c r="D739" s="422" t="s">
        <v>826</v>
      </c>
      <c r="E739" s="423"/>
      <c r="F739" s="424"/>
      <c r="G739" s="425"/>
      <c r="H739" s="651">
        <v>0</v>
      </c>
      <c r="I739" s="420">
        <v>42.56</v>
      </c>
      <c r="J739" s="420">
        <f t="shared" si="231"/>
        <v>42.56</v>
      </c>
      <c r="K739" s="421">
        <f t="shared" si="224"/>
        <v>50.57</v>
      </c>
      <c r="L739" s="647" t="s">
        <v>18</v>
      </c>
      <c r="M739" s="576"/>
      <c r="N739" s="576">
        <f t="shared" si="230"/>
        <v>0</v>
      </c>
      <c r="O739" s="577">
        <f t="shared" si="219"/>
        <v>0</v>
      </c>
      <c r="P739" s="578">
        <f t="shared" si="220"/>
        <v>0</v>
      </c>
      <c r="Q739" s="765"/>
      <c r="R739" s="576">
        <f t="shared" si="215"/>
        <v>0</v>
      </c>
      <c r="S739" s="576">
        <f t="shared" si="225"/>
        <v>0</v>
      </c>
      <c r="T739" s="577">
        <f t="shared" si="216"/>
        <v>0</v>
      </c>
      <c r="U739" s="578">
        <f t="shared" si="217"/>
        <v>0</v>
      </c>
      <c r="V739" s="579"/>
      <c r="W739" s="566"/>
      <c r="X739" s="586" t="str">
        <f t="shared" si="191"/>
        <v/>
      </c>
      <c r="Y739" s="586" t="str">
        <f t="shared" si="189"/>
        <v/>
      </c>
      <c r="Z739" s="586" t="str">
        <f t="shared" si="208"/>
        <v/>
      </c>
    </row>
    <row r="740" spans="1:26" hidden="1" x14ac:dyDescent="0.2">
      <c r="A740" s="567">
        <v>800000</v>
      </c>
      <c r="B740" s="644">
        <v>800000</v>
      </c>
      <c r="C740" s="645" t="s">
        <v>206</v>
      </c>
      <c r="D740" s="422" t="s">
        <v>495</v>
      </c>
      <c r="E740" s="423"/>
      <c r="F740" s="424"/>
      <c r="G740" s="425"/>
      <c r="H740" s="651">
        <v>0</v>
      </c>
      <c r="I740" s="420">
        <v>12.27</v>
      </c>
      <c r="J740" s="420">
        <f>IF(ISBLANK(I740),"",SUM(H740:I740))</f>
        <v>12.27</v>
      </c>
      <c r="K740" s="421">
        <f t="shared" si="224"/>
        <v>14.58</v>
      </c>
      <c r="L740" s="647" t="s">
        <v>18</v>
      </c>
      <c r="M740" s="576"/>
      <c r="N740" s="576">
        <f t="shared" si="230"/>
        <v>0</v>
      </c>
      <c r="O740" s="577">
        <f t="shared" si="219"/>
        <v>0</v>
      </c>
      <c r="P740" s="578">
        <f t="shared" si="220"/>
        <v>0</v>
      </c>
      <c r="Q740" s="765"/>
      <c r="R740" s="576">
        <f t="shared" si="215"/>
        <v>0</v>
      </c>
      <c r="S740" s="576">
        <f t="shared" si="225"/>
        <v>0</v>
      </c>
      <c r="T740" s="577">
        <f t="shared" si="216"/>
        <v>0</v>
      </c>
      <c r="U740" s="578">
        <f t="shared" si="217"/>
        <v>0</v>
      </c>
      <c r="V740" s="579"/>
      <c r="W740" s="566"/>
      <c r="X740" s="586" t="str">
        <f t="shared" si="191"/>
        <v/>
      </c>
      <c r="Y740" s="586" t="str">
        <f t="shared" si="189"/>
        <v/>
      </c>
      <c r="Z740" s="586" t="str">
        <f t="shared" si="208"/>
        <v/>
      </c>
    </row>
    <row r="741" spans="1:26" hidden="1" x14ac:dyDescent="0.2">
      <c r="A741" s="567" t="s">
        <v>312</v>
      </c>
      <c r="B741" s="644" t="s">
        <v>312</v>
      </c>
      <c r="C741" s="645" t="s">
        <v>206</v>
      </c>
      <c r="D741" s="422" t="s">
        <v>295</v>
      </c>
      <c r="E741" s="423"/>
      <c r="F741" s="424"/>
      <c r="G741" s="425"/>
      <c r="H741" s="651"/>
      <c r="I741" s="420">
        <v>0</v>
      </c>
      <c r="J741" s="420">
        <f t="shared" si="231"/>
        <v>0</v>
      </c>
      <c r="K741" s="421">
        <f t="shared" si="224"/>
        <v>0</v>
      </c>
      <c r="L741" s="647" t="s">
        <v>16</v>
      </c>
      <c r="M741" s="576"/>
      <c r="N741" s="576">
        <f t="shared" si="230"/>
        <v>0</v>
      </c>
      <c r="O741" s="577">
        <f t="shared" si="219"/>
        <v>0</v>
      </c>
      <c r="P741" s="578">
        <f t="shared" si="220"/>
        <v>0</v>
      </c>
      <c r="Q741" s="765"/>
      <c r="R741" s="576">
        <f t="shared" si="215"/>
        <v>0</v>
      </c>
      <c r="S741" s="576">
        <f t="shared" si="225"/>
        <v>0</v>
      </c>
      <c r="T741" s="577">
        <f t="shared" si="216"/>
        <v>0</v>
      </c>
      <c r="U741" s="578">
        <f t="shared" si="217"/>
        <v>0</v>
      </c>
      <c r="V741" s="579"/>
      <c r="W741" s="566"/>
      <c r="X741" s="586" t="str">
        <f t="shared" si="191"/>
        <v/>
      </c>
      <c r="Y741" s="586" t="str">
        <f t="shared" si="189"/>
        <v/>
      </c>
      <c r="Z741" s="586" t="str">
        <f t="shared" si="208"/>
        <v/>
      </c>
    </row>
    <row r="742" spans="1:26" x14ac:dyDescent="0.2">
      <c r="A742" s="567">
        <v>605000</v>
      </c>
      <c r="B742" s="644" t="s">
        <v>1628</v>
      </c>
      <c r="C742" s="645" t="s">
        <v>206</v>
      </c>
      <c r="D742" s="422" t="s">
        <v>296</v>
      </c>
      <c r="E742" s="423"/>
      <c r="F742" s="424"/>
      <c r="G742" s="425"/>
      <c r="H742" s="651"/>
      <c r="I742" s="420">
        <v>463.04557915407855</v>
      </c>
      <c r="J742" s="420">
        <f t="shared" si="231"/>
        <v>463.04557915407855</v>
      </c>
      <c r="K742" s="421">
        <f t="shared" si="224"/>
        <v>550.14</v>
      </c>
      <c r="L742" s="647" t="s">
        <v>21</v>
      </c>
      <c r="M742" s="576">
        <v>6</v>
      </c>
      <c r="N742" s="576">
        <f t="shared" si="230"/>
        <v>550.14</v>
      </c>
      <c r="O742" s="577">
        <f t="shared" si="219"/>
        <v>3300.84</v>
      </c>
      <c r="P742" s="578">
        <f t="shared" si="220"/>
        <v>3300.84</v>
      </c>
      <c r="Q742" s="765"/>
      <c r="R742" s="576">
        <f t="shared" si="215"/>
        <v>6</v>
      </c>
      <c r="S742" s="576">
        <f t="shared" si="225"/>
        <v>550.14</v>
      </c>
      <c r="T742" s="577">
        <f t="shared" si="216"/>
        <v>3300.84</v>
      </c>
      <c r="U742" s="578">
        <f t="shared" si="217"/>
        <v>3300.84</v>
      </c>
      <c r="V742" s="579"/>
      <c r="W742" s="566"/>
      <c r="X742" s="586" t="str">
        <f t="shared" si="191"/>
        <v>x</v>
      </c>
      <c r="Y742" s="586" t="str">
        <f t="shared" si="189"/>
        <v>x</v>
      </c>
      <c r="Z742" s="586" t="str">
        <f t="shared" si="208"/>
        <v>x</v>
      </c>
    </row>
    <row r="743" spans="1:26" hidden="1" x14ac:dyDescent="0.2">
      <c r="A743" s="567">
        <v>605000</v>
      </c>
      <c r="B743" s="644" t="s">
        <v>1629</v>
      </c>
      <c r="C743" s="645" t="s">
        <v>206</v>
      </c>
      <c r="D743" s="422" t="s">
        <v>297</v>
      </c>
      <c r="E743" s="423"/>
      <c r="F743" s="424"/>
      <c r="G743" s="425"/>
      <c r="H743" s="651"/>
      <c r="I743" s="420">
        <v>463.04557915407855</v>
      </c>
      <c r="J743" s="420">
        <f t="shared" si="231"/>
        <v>463.04557915407855</v>
      </c>
      <c r="K743" s="421">
        <f t="shared" si="224"/>
        <v>550.14</v>
      </c>
      <c r="L743" s="647" t="s">
        <v>21</v>
      </c>
      <c r="M743" s="576"/>
      <c r="N743" s="576">
        <f t="shared" si="230"/>
        <v>0</v>
      </c>
      <c r="O743" s="577">
        <f t="shared" si="219"/>
        <v>0</v>
      </c>
      <c r="P743" s="578">
        <f t="shared" si="220"/>
        <v>0</v>
      </c>
      <c r="Q743" s="765"/>
      <c r="R743" s="576">
        <f t="shared" si="215"/>
        <v>0</v>
      </c>
      <c r="S743" s="576">
        <f t="shared" si="225"/>
        <v>0</v>
      </c>
      <c r="T743" s="577">
        <f t="shared" si="216"/>
        <v>0</v>
      </c>
      <c r="U743" s="578">
        <f t="shared" si="217"/>
        <v>0</v>
      </c>
      <c r="V743" s="579"/>
      <c r="W743" s="566"/>
      <c r="X743" s="586" t="str">
        <f t="shared" si="191"/>
        <v/>
      </c>
      <c r="Y743" s="586" t="str">
        <f t="shared" si="189"/>
        <v/>
      </c>
      <c r="Z743" s="586" t="str">
        <f t="shared" si="208"/>
        <v/>
      </c>
    </row>
    <row r="744" spans="1:26" hidden="1" x14ac:dyDescent="0.2">
      <c r="A744" s="567">
        <v>605000</v>
      </c>
      <c r="B744" s="644" t="s">
        <v>1630</v>
      </c>
      <c r="C744" s="645" t="s">
        <v>206</v>
      </c>
      <c r="D744" s="422" t="s">
        <v>298</v>
      </c>
      <c r="E744" s="423"/>
      <c r="F744" s="424"/>
      <c r="G744" s="425"/>
      <c r="H744" s="651"/>
      <c r="I744" s="420">
        <v>463.04557915407855</v>
      </c>
      <c r="J744" s="420">
        <f t="shared" si="231"/>
        <v>463.04557915407855</v>
      </c>
      <c r="K744" s="421">
        <f t="shared" si="224"/>
        <v>550.14</v>
      </c>
      <c r="L744" s="647" t="s">
        <v>21</v>
      </c>
      <c r="M744" s="576"/>
      <c r="N744" s="576">
        <f t="shared" si="230"/>
        <v>0</v>
      </c>
      <c r="O744" s="577">
        <f t="shared" si="219"/>
        <v>0</v>
      </c>
      <c r="P744" s="578">
        <f t="shared" si="220"/>
        <v>0</v>
      </c>
      <c r="Q744" s="765"/>
      <c r="R744" s="576">
        <f t="shared" si="215"/>
        <v>0</v>
      </c>
      <c r="S744" s="576">
        <f t="shared" si="225"/>
        <v>0</v>
      </c>
      <c r="T744" s="577">
        <f t="shared" si="216"/>
        <v>0</v>
      </c>
      <c r="U744" s="578">
        <f t="shared" si="217"/>
        <v>0</v>
      </c>
      <c r="V744" s="579"/>
      <c r="W744" s="566"/>
      <c r="X744" s="586" t="str">
        <f t="shared" si="191"/>
        <v/>
      </c>
      <c r="Y744" s="586" t="str">
        <f t="shared" si="189"/>
        <v/>
      </c>
      <c r="Z744" s="586" t="str">
        <f t="shared" si="208"/>
        <v/>
      </c>
    </row>
    <row r="745" spans="1:26" hidden="1" x14ac:dyDescent="0.2">
      <c r="A745" s="567">
        <v>605000</v>
      </c>
      <c r="B745" s="644" t="s">
        <v>1631</v>
      </c>
      <c r="C745" s="645" t="s">
        <v>206</v>
      </c>
      <c r="D745" s="422" t="s">
        <v>299</v>
      </c>
      <c r="E745" s="423"/>
      <c r="F745" s="424"/>
      <c r="G745" s="425"/>
      <c r="H745" s="651"/>
      <c r="I745" s="420">
        <v>629.22808401812688</v>
      </c>
      <c r="J745" s="420">
        <f t="shared" si="231"/>
        <v>629.22808401812688</v>
      </c>
      <c r="K745" s="421">
        <f t="shared" si="224"/>
        <v>747.59</v>
      </c>
      <c r="L745" s="647" t="s">
        <v>21</v>
      </c>
      <c r="M745" s="576"/>
      <c r="N745" s="576">
        <f t="shared" si="230"/>
        <v>0</v>
      </c>
      <c r="O745" s="577">
        <f t="shared" si="219"/>
        <v>0</v>
      </c>
      <c r="P745" s="578">
        <f t="shared" si="220"/>
        <v>0</v>
      </c>
      <c r="Q745" s="765"/>
      <c r="R745" s="576">
        <f t="shared" si="215"/>
        <v>0</v>
      </c>
      <c r="S745" s="576">
        <f t="shared" si="225"/>
        <v>0</v>
      </c>
      <c r="T745" s="577">
        <f t="shared" si="216"/>
        <v>0</v>
      </c>
      <c r="U745" s="578">
        <f t="shared" si="217"/>
        <v>0</v>
      </c>
      <c r="V745" s="579"/>
      <c r="W745" s="566"/>
      <c r="X745" s="586" t="str">
        <f t="shared" si="191"/>
        <v/>
      </c>
      <c r="Y745" s="586" t="str">
        <f t="shared" si="189"/>
        <v/>
      </c>
      <c r="Z745" s="586" t="str">
        <f t="shared" si="208"/>
        <v/>
      </c>
    </row>
    <row r="746" spans="1:26" hidden="1" x14ac:dyDescent="0.2">
      <c r="A746" s="567">
        <v>605000</v>
      </c>
      <c r="B746" s="644" t="s">
        <v>1632</v>
      </c>
      <c r="C746" s="645" t="s">
        <v>206</v>
      </c>
      <c r="D746" s="422" t="s">
        <v>300</v>
      </c>
      <c r="E746" s="423"/>
      <c r="F746" s="424"/>
      <c r="G746" s="425"/>
      <c r="H746" s="651"/>
      <c r="I746" s="420">
        <v>551.37877287009064</v>
      </c>
      <c r="J746" s="420">
        <f t="shared" si="231"/>
        <v>551.37877287009064</v>
      </c>
      <c r="K746" s="421">
        <f t="shared" si="224"/>
        <v>655.09</v>
      </c>
      <c r="L746" s="647" t="s">
        <v>21</v>
      </c>
      <c r="M746" s="576"/>
      <c r="N746" s="576">
        <f t="shared" si="230"/>
        <v>0</v>
      </c>
      <c r="O746" s="577">
        <f t="shared" si="219"/>
        <v>0</v>
      </c>
      <c r="P746" s="578">
        <f t="shared" si="220"/>
        <v>0</v>
      </c>
      <c r="Q746" s="765"/>
      <c r="R746" s="576">
        <f t="shared" si="215"/>
        <v>0</v>
      </c>
      <c r="S746" s="576">
        <f t="shared" si="225"/>
        <v>0</v>
      </c>
      <c r="T746" s="577">
        <f t="shared" si="216"/>
        <v>0</v>
      </c>
      <c r="U746" s="578">
        <f t="shared" si="217"/>
        <v>0</v>
      </c>
      <c r="V746" s="579"/>
      <c r="W746" s="566"/>
      <c r="X746" s="586" t="str">
        <f t="shared" si="191"/>
        <v/>
      </c>
      <c r="Y746" s="586" t="str">
        <f t="shared" si="189"/>
        <v/>
      </c>
      <c r="Z746" s="586" t="str">
        <f t="shared" si="208"/>
        <v/>
      </c>
    </row>
    <row r="747" spans="1:26" x14ac:dyDescent="0.2">
      <c r="A747" s="652" t="s">
        <v>187</v>
      </c>
      <c r="B747" s="653" t="s">
        <v>187</v>
      </c>
      <c r="C747" s="654"/>
      <c r="D747" s="427" t="s">
        <v>2093</v>
      </c>
      <c r="E747" s="491"/>
      <c r="F747" s="655"/>
      <c r="G747" s="656"/>
      <c r="H747" s="657"/>
      <c r="I747" s="429"/>
      <c r="J747" s="429"/>
      <c r="K747" s="429"/>
      <c r="L747" s="429" t="s">
        <v>614</v>
      </c>
      <c r="M747" s="657"/>
      <c r="N747" s="576">
        <f t="shared" si="230"/>
        <v>0</v>
      </c>
      <c r="O747" s="429">
        <f t="shared" si="219"/>
        <v>0</v>
      </c>
      <c r="P747" s="658">
        <f t="shared" si="220"/>
        <v>0</v>
      </c>
      <c r="Q747" s="765"/>
      <c r="R747" s="657"/>
      <c r="S747" s="429"/>
      <c r="T747" s="429">
        <f t="shared" si="216"/>
        <v>0</v>
      </c>
      <c r="U747" s="658">
        <f t="shared" si="217"/>
        <v>0</v>
      </c>
      <c r="V747" s="579"/>
      <c r="W747" s="637" t="str">
        <f>IF(OR(SUM(P748:P779)&gt;0,SUM(U748:U779)&gt;0),"y","")</f>
        <v>y</v>
      </c>
      <c r="X747" s="586" t="str">
        <f t="shared" si="191"/>
        <v>x</v>
      </c>
      <c r="Y747" s="586" t="str">
        <f t="shared" si="189"/>
        <v>x</v>
      </c>
      <c r="Z747" s="586" t="str">
        <f t="shared" si="208"/>
        <v/>
      </c>
    </row>
    <row r="748" spans="1:26" ht="12" thickBot="1" x14ac:dyDescent="0.25">
      <c r="A748" s="652" t="s">
        <v>187</v>
      </c>
      <c r="B748" s="572" t="s">
        <v>2114</v>
      </c>
      <c r="C748" s="573" t="s">
        <v>206</v>
      </c>
      <c r="D748" s="574" t="s">
        <v>2113</v>
      </c>
      <c r="E748" s="575"/>
      <c r="F748" s="436"/>
      <c r="G748" s="431"/>
      <c r="H748" s="430"/>
      <c r="I748" s="432"/>
      <c r="J748" s="433">
        <v>114.4</v>
      </c>
      <c r="K748" s="434">
        <f t="shared" ref="K748:K779" si="232">IF(ISBLANK(J748),0,ROUND(J748*(1+$F$10)*(1+$F$11*E748),2))</f>
        <v>135.91999999999999</v>
      </c>
      <c r="L748" s="435" t="s">
        <v>18</v>
      </c>
      <c r="M748" s="587">
        <v>74</v>
      </c>
      <c r="N748" s="576">
        <f t="shared" si="230"/>
        <v>135.91999999999999</v>
      </c>
      <c r="O748" s="577">
        <f t="shared" si="219"/>
        <v>10058.08</v>
      </c>
      <c r="P748" s="578">
        <f t="shared" si="220"/>
        <v>10058.08</v>
      </c>
      <c r="Q748" s="765"/>
      <c r="R748" s="650">
        <f t="shared" si="215"/>
        <v>74</v>
      </c>
      <c r="S748" s="587">
        <f t="shared" si="225"/>
        <v>135.91999999999999</v>
      </c>
      <c r="T748" s="577">
        <f t="shared" si="216"/>
        <v>10058.08</v>
      </c>
      <c r="U748" s="578">
        <f t="shared" si="217"/>
        <v>10058.08</v>
      </c>
      <c r="V748" s="579"/>
      <c r="W748" s="566"/>
      <c r="X748" s="586" t="str">
        <f t="shared" si="191"/>
        <v>x</v>
      </c>
      <c r="Y748" s="586" t="str">
        <f t="shared" si="189"/>
        <v>x</v>
      </c>
      <c r="Z748" s="586" t="str">
        <f t="shared" si="208"/>
        <v>x</v>
      </c>
    </row>
    <row r="749" spans="1:26" ht="12" hidden="1" thickBot="1" x14ac:dyDescent="0.25">
      <c r="A749" s="652" t="s">
        <v>187</v>
      </c>
      <c r="B749" s="572" t="s">
        <v>187</v>
      </c>
      <c r="C749" s="573" t="s">
        <v>187</v>
      </c>
      <c r="D749" s="580"/>
      <c r="E749" s="575"/>
      <c r="F749" s="436"/>
      <c r="G749" s="431"/>
      <c r="H749" s="430"/>
      <c r="I749" s="432"/>
      <c r="J749" s="433"/>
      <c r="K749" s="437">
        <f t="shared" si="232"/>
        <v>0</v>
      </c>
      <c r="L749" s="435" t="s">
        <v>614</v>
      </c>
      <c r="M749" s="576"/>
      <c r="N749" s="576">
        <f t="shared" si="230"/>
        <v>0</v>
      </c>
      <c r="O749" s="577">
        <f t="shared" si="219"/>
        <v>0</v>
      </c>
      <c r="P749" s="578">
        <f t="shared" si="220"/>
        <v>0</v>
      </c>
      <c r="Q749" s="765"/>
      <c r="R749" s="576">
        <f t="shared" si="215"/>
        <v>0</v>
      </c>
      <c r="S749" s="576">
        <f t="shared" si="225"/>
        <v>0</v>
      </c>
      <c r="T749" s="577">
        <f t="shared" si="216"/>
        <v>0</v>
      </c>
      <c r="U749" s="659">
        <f t="shared" si="217"/>
        <v>0</v>
      </c>
      <c r="V749" s="579"/>
      <c r="W749" s="566"/>
      <c r="X749" s="586" t="str">
        <f t="shared" si="191"/>
        <v/>
      </c>
      <c r="Y749" s="586" t="str">
        <f t="shared" si="189"/>
        <v/>
      </c>
      <c r="Z749" s="586" t="str">
        <f t="shared" si="208"/>
        <v/>
      </c>
    </row>
    <row r="750" spans="1:26" ht="12" hidden="1" thickBot="1" x14ac:dyDescent="0.25">
      <c r="A750" s="652" t="s">
        <v>187</v>
      </c>
      <c r="B750" s="572" t="s">
        <v>187</v>
      </c>
      <c r="C750" s="573" t="s">
        <v>187</v>
      </c>
      <c r="D750" s="580"/>
      <c r="E750" s="575"/>
      <c r="F750" s="436"/>
      <c r="G750" s="431"/>
      <c r="H750" s="430"/>
      <c r="I750" s="432"/>
      <c r="J750" s="433"/>
      <c r="K750" s="437">
        <f t="shared" si="232"/>
        <v>0</v>
      </c>
      <c r="L750" s="435" t="s">
        <v>614</v>
      </c>
      <c r="M750" s="576"/>
      <c r="N750" s="576">
        <f t="shared" si="230"/>
        <v>0</v>
      </c>
      <c r="O750" s="577">
        <f t="shared" si="219"/>
        <v>0</v>
      </c>
      <c r="P750" s="578">
        <f t="shared" si="220"/>
        <v>0</v>
      </c>
      <c r="Q750" s="765"/>
      <c r="R750" s="576">
        <f t="shared" si="215"/>
        <v>0</v>
      </c>
      <c r="S750" s="576">
        <f t="shared" si="225"/>
        <v>0</v>
      </c>
      <c r="T750" s="577">
        <f t="shared" si="216"/>
        <v>0</v>
      </c>
      <c r="U750" s="578">
        <f t="shared" si="217"/>
        <v>0</v>
      </c>
      <c r="V750" s="579"/>
      <c r="W750" s="566"/>
      <c r="X750" s="586" t="str">
        <f t="shared" si="191"/>
        <v/>
      </c>
      <c r="Y750" s="586" t="str">
        <f t="shared" si="189"/>
        <v/>
      </c>
      <c r="Z750" s="586" t="str">
        <f t="shared" si="208"/>
        <v/>
      </c>
    </row>
    <row r="751" spans="1:26" ht="12" hidden="1" thickBot="1" x14ac:dyDescent="0.25">
      <c r="A751" s="652" t="s">
        <v>187</v>
      </c>
      <c r="B751" s="572" t="s">
        <v>187</v>
      </c>
      <c r="C751" s="573" t="s">
        <v>187</v>
      </c>
      <c r="D751" s="580"/>
      <c r="E751" s="575"/>
      <c r="F751" s="436"/>
      <c r="G751" s="431"/>
      <c r="H751" s="430"/>
      <c r="I751" s="432"/>
      <c r="J751" s="433"/>
      <c r="K751" s="437">
        <f t="shared" si="232"/>
        <v>0</v>
      </c>
      <c r="L751" s="435" t="s">
        <v>614</v>
      </c>
      <c r="M751" s="576"/>
      <c r="N751" s="576">
        <f t="shared" si="230"/>
        <v>0</v>
      </c>
      <c r="O751" s="577">
        <f t="shared" si="219"/>
        <v>0</v>
      </c>
      <c r="P751" s="578">
        <f t="shared" si="220"/>
        <v>0</v>
      </c>
      <c r="Q751" s="765"/>
      <c r="R751" s="576">
        <f t="shared" si="215"/>
        <v>0</v>
      </c>
      <c r="S751" s="576">
        <f t="shared" si="225"/>
        <v>0</v>
      </c>
      <c r="T751" s="577">
        <f t="shared" si="216"/>
        <v>0</v>
      </c>
      <c r="U751" s="578">
        <f t="shared" si="217"/>
        <v>0</v>
      </c>
      <c r="V751" s="579"/>
      <c r="W751" s="566"/>
      <c r="X751" s="586" t="str">
        <f t="shared" si="191"/>
        <v/>
      </c>
      <c r="Y751" s="586" t="str">
        <f t="shared" si="189"/>
        <v/>
      </c>
      <c r="Z751" s="586" t="str">
        <f t="shared" si="208"/>
        <v/>
      </c>
    </row>
    <row r="752" spans="1:26" ht="12" hidden="1" thickBot="1" x14ac:dyDescent="0.25">
      <c r="A752" s="652" t="s">
        <v>187</v>
      </c>
      <c r="B752" s="572" t="s">
        <v>187</v>
      </c>
      <c r="C752" s="573" t="s">
        <v>187</v>
      </c>
      <c r="D752" s="580"/>
      <c r="E752" s="575"/>
      <c r="F752" s="436"/>
      <c r="G752" s="431"/>
      <c r="H752" s="430"/>
      <c r="I752" s="432"/>
      <c r="J752" s="433"/>
      <c r="K752" s="437">
        <f t="shared" si="232"/>
        <v>0</v>
      </c>
      <c r="L752" s="435" t="s">
        <v>614</v>
      </c>
      <c r="M752" s="576"/>
      <c r="N752" s="576">
        <f t="shared" si="230"/>
        <v>0</v>
      </c>
      <c r="O752" s="577">
        <f t="shared" si="219"/>
        <v>0</v>
      </c>
      <c r="P752" s="578">
        <f t="shared" si="220"/>
        <v>0</v>
      </c>
      <c r="Q752" s="765"/>
      <c r="R752" s="576">
        <f t="shared" si="215"/>
        <v>0</v>
      </c>
      <c r="S752" s="576">
        <f t="shared" si="225"/>
        <v>0</v>
      </c>
      <c r="T752" s="577">
        <f t="shared" si="216"/>
        <v>0</v>
      </c>
      <c r="U752" s="578">
        <f t="shared" si="217"/>
        <v>0</v>
      </c>
      <c r="V752" s="579"/>
      <c r="W752" s="566"/>
      <c r="X752" s="586" t="str">
        <f t="shared" si="191"/>
        <v/>
      </c>
      <c r="Y752" s="586" t="str">
        <f t="shared" si="189"/>
        <v/>
      </c>
      <c r="Z752" s="586" t="str">
        <f t="shared" si="208"/>
        <v/>
      </c>
    </row>
    <row r="753" spans="1:26" ht="12" hidden="1" thickBot="1" x14ac:dyDescent="0.25">
      <c r="A753" s="652" t="s">
        <v>187</v>
      </c>
      <c r="B753" s="572" t="s">
        <v>187</v>
      </c>
      <c r="C753" s="573" t="s">
        <v>187</v>
      </c>
      <c r="D753" s="580"/>
      <c r="E753" s="575"/>
      <c r="F753" s="436"/>
      <c r="G753" s="431"/>
      <c r="H753" s="430"/>
      <c r="I753" s="432"/>
      <c r="J753" s="433"/>
      <c r="K753" s="437">
        <f t="shared" si="232"/>
        <v>0</v>
      </c>
      <c r="L753" s="435" t="s">
        <v>614</v>
      </c>
      <c r="M753" s="576"/>
      <c r="N753" s="576">
        <f t="shared" si="230"/>
        <v>0</v>
      </c>
      <c r="O753" s="577">
        <f t="shared" si="219"/>
        <v>0</v>
      </c>
      <c r="P753" s="578">
        <f t="shared" si="220"/>
        <v>0</v>
      </c>
      <c r="Q753" s="765"/>
      <c r="R753" s="576">
        <f t="shared" si="215"/>
        <v>0</v>
      </c>
      <c r="S753" s="576">
        <f t="shared" si="225"/>
        <v>0</v>
      </c>
      <c r="T753" s="577">
        <f t="shared" si="216"/>
        <v>0</v>
      </c>
      <c r="U753" s="578">
        <f t="shared" si="217"/>
        <v>0</v>
      </c>
      <c r="V753" s="579"/>
      <c r="W753" s="566"/>
      <c r="X753" s="586" t="str">
        <f t="shared" si="191"/>
        <v/>
      </c>
      <c r="Y753" s="586" t="str">
        <f t="shared" si="189"/>
        <v/>
      </c>
      <c r="Z753" s="586" t="str">
        <f t="shared" si="208"/>
        <v/>
      </c>
    </row>
    <row r="754" spans="1:26" ht="12" hidden="1" thickBot="1" x14ac:dyDescent="0.25">
      <c r="A754" s="652" t="s">
        <v>187</v>
      </c>
      <c r="B754" s="572" t="s">
        <v>187</v>
      </c>
      <c r="C754" s="573" t="s">
        <v>187</v>
      </c>
      <c r="D754" s="580"/>
      <c r="E754" s="575"/>
      <c r="F754" s="436"/>
      <c r="G754" s="431"/>
      <c r="H754" s="430"/>
      <c r="I754" s="432"/>
      <c r="J754" s="433"/>
      <c r="K754" s="437">
        <f t="shared" si="232"/>
        <v>0</v>
      </c>
      <c r="L754" s="435" t="s">
        <v>614</v>
      </c>
      <c r="M754" s="576"/>
      <c r="N754" s="576">
        <f t="shared" si="230"/>
        <v>0</v>
      </c>
      <c r="O754" s="577">
        <f t="shared" si="219"/>
        <v>0</v>
      </c>
      <c r="P754" s="578">
        <f t="shared" si="220"/>
        <v>0</v>
      </c>
      <c r="Q754" s="765"/>
      <c r="R754" s="576">
        <f t="shared" si="215"/>
        <v>0</v>
      </c>
      <c r="S754" s="576">
        <f t="shared" si="225"/>
        <v>0</v>
      </c>
      <c r="T754" s="577">
        <f t="shared" si="216"/>
        <v>0</v>
      </c>
      <c r="U754" s="578">
        <f t="shared" si="217"/>
        <v>0</v>
      </c>
      <c r="V754" s="579"/>
      <c r="W754" s="566"/>
      <c r="X754" s="586" t="str">
        <f t="shared" si="191"/>
        <v/>
      </c>
      <c r="Y754" s="586" t="str">
        <f t="shared" si="189"/>
        <v/>
      </c>
      <c r="Z754" s="586" t="str">
        <f t="shared" si="208"/>
        <v/>
      </c>
    </row>
    <row r="755" spans="1:26" ht="12" hidden="1" thickBot="1" x14ac:dyDescent="0.25">
      <c r="A755" s="652" t="s">
        <v>187</v>
      </c>
      <c r="B755" s="572" t="s">
        <v>187</v>
      </c>
      <c r="C755" s="573" t="s">
        <v>187</v>
      </c>
      <c r="D755" s="580"/>
      <c r="E755" s="575"/>
      <c r="F755" s="436"/>
      <c r="G755" s="431"/>
      <c r="H755" s="430"/>
      <c r="I755" s="432"/>
      <c r="J755" s="433"/>
      <c r="K755" s="437">
        <f t="shared" si="232"/>
        <v>0</v>
      </c>
      <c r="L755" s="435" t="s">
        <v>614</v>
      </c>
      <c r="M755" s="576"/>
      <c r="N755" s="576">
        <f t="shared" si="230"/>
        <v>0</v>
      </c>
      <c r="O755" s="577">
        <f t="shared" si="219"/>
        <v>0</v>
      </c>
      <c r="P755" s="578">
        <f t="shared" si="220"/>
        <v>0</v>
      </c>
      <c r="Q755" s="765"/>
      <c r="R755" s="576">
        <f t="shared" si="215"/>
        <v>0</v>
      </c>
      <c r="S755" s="576">
        <f t="shared" si="225"/>
        <v>0</v>
      </c>
      <c r="T755" s="577">
        <f t="shared" si="216"/>
        <v>0</v>
      </c>
      <c r="U755" s="578">
        <f t="shared" si="217"/>
        <v>0</v>
      </c>
      <c r="V755" s="579"/>
      <c r="W755" s="566"/>
      <c r="X755" s="586" t="str">
        <f t="shared" si="191"/>
        <v/>
      </c>
      <c r="Y755" s="586" t="str">
        <f t="shared" si="189"/>
        <v/>
      </c>
      <c r="Z755" s="586" t="str">
        <f t="shared" si="208"/>
        <v/>
      </c>
    </row>
    <row r="756" spans="1:26" ht="12" hidden="1" thickBot="1" x14ac:dyDescent="0.25">
      <c r="A756" s="652" t="s">
        <v>187</v>
      </c>
      <c r="B756" s="572" t="s">
        <v>187</v>
      </c>
      <c r="C756" s="573" t="s">
        <v>187</v>
      </c>
      <c r="D756" s="580"/>
      <c r="E756" s="575"/>
      <c r="F756" s="436"/>
      <c r="G756" s="431"/>
      <c r="H756" s="430"/>
      <c r="I756" s="432"/>
      <c r="J756" s="433"/>
      <c r="K756" s="437">
        <f t="shared" si="232"/>
        <v>0</v>
      </c>
      <c r="L756" s="435" t="s">
        <v>614</v>
      </c>
      <c r="M756" s="576"/>
      <c r="N756" s="576">
        <f t="shared" si="230"/>
        <v>0</v>
      </c>
      <c r="O756" s="577">
        <f t="shared" si="219"/>
        <v>0</v>
      </c>
      <c r="P756" s="578">
        <f t="shared" si="220"/>
        <v>0</v>
      </c>
      <c r="Q756" s="765"/>
      <c r="R756" s="576">
        <f t="shared" ref="R756:S819" si="233">M756</f>
        <v>0</v>
      </c>
      <c r="S756" s="576">
        <f t="shared" si="225"/>
        <v>0</v>
      </c>
      <c r="T756" s="577">
        <f t="shared" ref="T756:T819" si="234">IF(ISBLANK(R756),0,ROUND(K756*R756,2))</f>
        <v>0</v>
      </c>
      <c r="U756" s="578">
        <f t="shared" ref="U756:U819" si="235">IF(ISBLANK(R756),0,ROUND(R756*S756,2))</f>
        <v>0</v>
      </c>
      <c r="V756" s="579"/>
      <c r="W756" s="566"/>
      <c r="X756" s="586" t="str">
        <f t="shared" si="191"/>
        <v/>
      </c>
      <c r="Y756" s="586" t="str">
        <f t="shared" si="189"/>
        <v/>
      </c>
      <c r="Z756" s="586" t="str">
        <f t="shared" si="208"/>
        <v/>
      </c>
    </row>
    <row r="757" spans="1:26" ht="12" hidden="1" thickBot="1" x14ac:dyDescent="0.25">
      <c r="A757" s="652" t="s">
        <v>187</v>
      </c>
      <c r="B757" s="572" t="s">
        <v>187</v>
      </c>
      <c r="C757" s="573" t="s">
        <v>187</v>
      </c>
      <c r="D757" s="580"/>
      <c r="E757" s="575"/>
      <c r="F757" s="436"/>
      <c r="G757" s="431"/>
      <c r="H757" s="430"/>
      <c r="I757" s="432"/>
      <c r="J757" s="433"/>
      <c r="K757" s="437">
        <f t="shared" si="232"/>
        <v>0</v>
      </c>
      <c r="L757" s="435" t="s">
        <v>614</v>
      </c>
      <c r="M757" s="576"/>
      <c r="N757" s="576">
        <f t="shared" si="230"/>
        <v>0</v>
      </c>
      <c r="O757" s="577">
        <f t="shared" ref="O757:O820" si="236">IF(ISBLANK(M757),0,ROUND(K757*M757,2))</f>
        <v>0</v>
      </c>
      <c r="P757" s="578">
        <f t="shared" ref="P757:P820" si="237">IF(ISBLANK(N757),0,ROUND(M757*N757,2))</f>
        <v>0</v>
      </c>
      <c r="Q757" s="765"/>
      <c r="R757" s="576">
        <f t="shared" si="233"/>
        <v>0</v>
      </c>
      <c r="S757" s="576">
        <f t="shared" si="225"/>
        <v>0</v>
      </c>
      <c r="T757" s="577">
        <f t="shared" si="234"/>
        <v>0</v>
      </c>
      <c r="U757" s="578">
        <f t="shared" si="235"/>
        <v>0</v>
      </c>
      <c r="V757" s="579"/>
      <c r="W757" s="566"/>
      <c r="X757" s="586" t="str">
        <f t="shared" si="191"/>
        <v/>
      </c>
      <c r="Y757" s="586" t="str">
        <f t="shared" si="189"/>
        <v/>
      </c>
      <c r="Z757" s="586" t="str">
        <f t="shared" si="208"/>
        <v/>
      </c>
    </row>
    <row r="758" spans="1:26" ht="12" hidden="1" thickBot="1" x14ac:dyDescent="0.25">
      <c r="A758" s="652" t="s">
        <v>187</v>
      </c>
      <c r="B758" s="572" t="s">
        <v>187</v>
      </c>
      <c r="C758" s="573" t="s">
        <v>187</v>
      </c>
      <c r="D758" s="580"/>
      <c r="E758" s="575"/>
      <c r="F758" s="436"/>
      <c r="G758" s="431"/>
      <c r="H758" s="430"/>
      <c r="I758" s="432"/>
      <c r="J758" s="433"/>
      <c r="K758" s="437">
        <f t="shared" si="232"/>
        <v>0</v>
      </c>
      <c r="L758" s="435" t="s">
        <v>614</v>
      </c>
      <c r="M758" s="576"/>
      <c r="N758" s="576">
        <f t="shared" si="230"/>
        <v>0</v>
      </c>
      <c r="O758" s="577">
        <f t="shared" si="236"/>
        <v>0</v>
      </c>
      <c r="P758" s="578">
        <f t="shared" si="237"/>
        <v>0</v>
      </c>
      <c r="Q758" s="765"/>
      <c r="R758" s="576">
        <f t="shared" si="233"/>
        <v>0</v>
      </c>
      <c r="S758" s="576">
        <f t="shared" si="225"/>
        <v>0</v>
      </c>
      <c r="T758" s="577">
        <f t="shared" si="234"/>
        <v>0</v>
      </c>
      <c r="U758" s="578">
        <f t="shared" si="235"/>
        <v>0</v>
      </c>
      <c r="V758" s="579"/>
      <c r="W758" s="566"/>
      <c r="X758" s="586" t="str">
        <f t="shared" si="191"/>
        <v/>
      </c>
      <c r="Y758" s="586" t="str">
        <f t="shared" si="189"/>
        <v/>
      </c>
      <c r="Z758" s="586" t="str">
        <f t="shared" si="208"/>
        <v/>
      </c>
    </row>
    <row r="759" spans="1:26" ht="12" hidden="1" thickBot="1" x14ac:dyDescent="0.25">
      <c r="A759" s="652" t="s">
        <v>187</v>
      </c>
      <c r="B759" s="572" t="s">
        <v>187</v>
      </c>
      <c r="C759" s="573" t="s">
        <v>187</v>
      </c>
      <c r="D759" s="580"/>
      <c r="E759" s="575"/>
      <c r="F759" s="436"/>
      <c r="G759" s="431"/>
      <c r="H759" s="430"/>
      <c r="I759" s="432"/>
      <c r="J759" s="433"/>
      <c r="K759" s="437">
        <f t="shared" si="232"/>
        <v>0</v>
      </c>
      <c r="L759" s="435" t="s">
        <v>614</v>
      </c>
      <c r="M759" s="576"/>
      <c r="N759" s="576">
        <f t="shared" si="230"/>
        <v>0</v>
      </c>
      <c r="O759" s="577">
        <f t="shared" si="236"/>
        <v>0</v>
      </c>
      <c r="P759" s="578">
        <f t="shared" si="237"/>
        <v>0</v>
      </c>
      <c r="Q759" s="765"/>
      <c r="R759" s="576">
        <f t="shared" si="233"/>
        <v>0</v>
      </c>
      <c r="S759" s="576">
        <f t="shared" si="225"/>
        <v>0</v>
      </c>
      <c r="T759" s="577">
        <f t="shared" si="234"/>
        <v>0</v>
      </c>
      <c r="U759" s="578">
        <f t="shared" si="235"/>
        <v>0</v>
      </c>
      <c r="V759" s="579"/>
      <c r="W759" s="566"/>
      <c r="X759" s="586" t="str">
        <f t="shared" si="191"/>
        <v/>
      </c>
      <c r="Y759" s="586" t="str">
        <f t="shared" si="189"/>
        <v/>
      </c>
      <c r="Z759" s="586" t="str">
        <f t="shared" si="208"/>
        <v/>
      </c>
    </row>
    <row r="760" spans="1:26" ht="12" hidden="1" thickBot="1" x14ac:dyDescent="0.25">
      <c r="A760" s="652" t="s">
        <v>187</v>
      </c>
      <c r="B760" s="572" t="s">
        <v>187</v>
      </c>
      <c r="C760" s="573" t="s">
        <v>187</v>
      </c>
      <c r="D760" s="580"/>
      <c r="E760" s="575"/>
      <c r="F760" s="436"/>
      <c r="G760" s="431"/>
      <c r="H760" s="430"/>
      <c r="I760" s="432"/>
      <c r="J760" s="433"/>
      <c r="K760" s="437">
        <f t="shared" si="232"/>
        <v>0</v>
      </c>
      <c r="L760" s="435" t="s">
        <v>614</v>
      </c>
      <c r="M760" s="576"/>
      <c r="N760" s="576">
        <f t="shared" si="230"/>
        <v>0</v>
      </c>
      <c r="O760" s="577">
        <f t="shared" si="236"/>
        <v>0</v>
      </c>
      <c r="P760" s="578">
        <f t="shared" si="237"/>
        <v>0</v>
      </c>
      <c r="Q760" s="765"/>
      <c r="R760" s="576">
        <f t="shared" si="233"/>
        <v>0</v>
      </c>
      <c r="S760" s="576">
        <f t="shared" si="225"/>
        <v>0</v>
      </c>
      <c r="T760" s="577">
        <f t="shared" si="234"/>
        <v>0</v>
      </c>
      <c r="U760" s="578">
        <f t="shared" si="235"/>
        <v>0</v>
      </c>
      <c r="V760" s="579"/>
      <c r="W760" s="566"/>
      <c r="X760" s="586" t="str">
        <f t="shared" si="191"/>
        <v/>
      </c>
      <c r="Y760" s="586" t="str">
        <f t="shared" si="189"/>
        <v/>
      </c>
      <c r="Z760" s="586" t="str">
        <f t="shared" si="208"/>
        <v/>
      </c>
    </row>
    <row r="761" spans="1:26" ht="12" hidden="1" thickBot="1" x14ac:dyDescent="0.25">
      <c r="A761" s="652" t="s">
        <v>187</v>
      </c>
      <c r="B761" s="572" t="s">
        <v>187</v>
      </c>
      <c r="C761" s="573" t="s">
        <v>187</v>
      </c>
      <c r="D761" s="580"/>
      <c r="E761" s="575"/>
      <c r="F761" s="436"/>
      <c r="G761" s="431"/>
      <c r="H761" s="430"/>
      <c r="I761" s="432"/>
      <c r="J761" s="433"/>
      <c r="K761" s="437">
        <f t="shared" si="232"/>
        <v>0</v>
      </c>
      <c r="L761" s="435" t="s">
        <v>614</v>
      </c>
      <c r="M761" s="576"/>
      <c r="N761" s="576">
        <f t="shared" si="230"/>
        <v>0</v>
      </c>
      <c r="O761" s="577">
        <f t="shared" si="236"/>
        <v>0</v>
      </c>
      <c r="P761" s="578">
        <f t="shared" si="237"/>
        <v>0</v>
      </c>
      <c r="Q761" s="765"/>
      <c r="R761" s="576">
        <f t="shared" si="233"/>
        <v>0</v>
      </c>
      <c r="S761" s="576">
        <f t="shared" si="225"/>
        <v>0</v>
      </c>
      <c r="T761" s="577">
        <f t="shared" si="234"/>
        <v>0</v>
      </c>
      <c r="U761" s="578">
        <f t="shared" si="235"/>
        <v>0</v>
      </c>
      <c r="V761" s="579"/>
      <c r="W761" s="566"/>
      <c r="X761" s="586" t="str">
        <f t="shared" si="191"/>
        <v/>
      </c>
      <c r="Y761" s="586" t="str">
        <f t="shared" si="189"/>
        <v/>
      </c>
      <c r="Z761" s="586" t="str">
        <f t="shared" si="208"/>
        <v/>
      </c>
    </row>
    <row r="762" spans="1:26" ht="12" hidden="1" thickBot="1" x14ac:dyDescent="0.25">
      <c r="A762" s="652" t="s">
        <v>187</v>
      </c>
      <c r="B762" s="572" t="s">
        <v>187</v>
      </c>
      <c r="C762" s="573" t="s">
        <v>187</v>
      </c>
      <c r="D762" s="580"/>
      <c r="E762" s="575"/>
      <c r="F762" s="436"/>
      <c r="G762" s="431"/>
      <c r="H762" s="430"/>
      <c r="I762" s="432"/>
      <c r="J762" s="433"/>
      <c r="K762" s="437">
        <f t="shared" si="232"/>
        <v>0</v>
      </c>
      <c r="L762" s="435" t="s">
        <v>614</v>
      </c>
      <c r="M762" s="576"/>
      <c r="N762" s="576">
        <f t="shared" si="230"/>
        <v>0</v>
      </c>
      <c r="O762" s="577">
        <f t="shared" si="236"/>
        <v>0</v>
      </c>
      <c r="P762" s="578">
        <f t="shared" si="237"/>
        <v>0</v>
      </c>
      <c r="Q762" s="765"/>
      <c r="R762" s="576">
        <f t="shared" si="233"/>
        <v>0</v>
      </c>
      <c r="S762" s="576">
        <f t="shared" si="225"/>
        <v>0</v>
      </c>
      <c r="T762" s="577">
        <f t="shared" si="234"/>
        <v>0</v>
      </c>
      <c r="U762" s="578">
        <f t="shared" si="235"/>
        <v>0</v>
      </c>
      <c r="V762" s="579"/>
      <c r="W762" s="566"/>
      <c r="X762" s="586" t="str">
        <f t="shared" si="191"/>
        <v/>
      </c>
      <c r="Y762" s="586" t="str">
        <f t="shared" si="189"/>
        <v/>
      </c>
      <c r="Z762" s="586" t="str">
        <f t="shared" si="208"/>
        <v/>
      </c>
    </row>
    <row r="763" spans="1:26" ht="12" hidden="1" thickBot="1" x14ac:dyDescent="0.25">
      <c r="A763" s="652" t="s">
        <v>187</v>
      </c>
      <c r="B763" s="572" t="s">
        <v>187</v>
      </c>
      <c r="C763" s="573" t="s">
        <v>187</v>
      </c>
      <c r="D763" s="580"/>
      <c r="E763" s="575"/>
      <c r="F763" s="436"/>
      <c r="G763" s="431"/>
      <c r="H763" s="430"/>
      <c r="I763" s="432"/>
      <c r="J763" s="433"/>
      <c r="K763" s="437">
        <f t="shared" si="232"/>
        <v>0</v>
      </c>
      <c r="L763" s="435" t="s">
        <v>614</v>
      </c>
      <c r="M763" s="576"/>
      <c r="N763" s="576">
        <f t="shared" si="230"/>
        <v>0</v>
      </c>
      <c r="O763" s="577">
        <f t="shared" si="236"/>
        <v>0</v>
      </c>
      <c r="P763" s="578">
        <f t="shared" si="237"/>
        <v>0</v>
      </c>
      <c r="Q763" s="765"/>
      <c r="R763" s="576">
        <f t="shared" si="233"/>
        <v>0</v>
      </c>
      <c r="S763" s="576">
        <f t="shared" si="225"/>
        <v>0</v>
      </c>
      <c r="T763" s="577">
        <f t="shared" si="234"/>
        <v>0</v>
      </c>
      <c r="U763" s="578">
        <f t="shared" si="235"/>
        <v>0</v>
      </c>
      <c r="V763" s="579"/>
      <c r="W763" s="566"/>
      <c r="X763" s="586" t="str">
        <f t="shared" si="191"/>
        <v/>
      </c>
      <c r="Y763" s="586" t="str">
        <f t="shared" si="189"/>
        <v/>
      </c>
      <c r="Z763" s="586" t="str">
        <f t="shared" si="208"/>
        <v/>
      </c>
    </row>
    <row r="764" spans="1:26" ht="12" hidden="1" thickBot="1" x14ac:dyDescent="0.25">
      <c r="A764" s="652" t="s">
        <v>187</v>
      </c>
      <c r="B764" s="572" t="s">
        <v>187</v>
      </c>
      <c r="C764" s="573" t="s">
        <v>187</v>
      </c>
      <c r="D764" s="580"/>
      <c r="E764" s="575"/>
      <c r="F764" s="436"/>
      <c r="G764" s="431"/>
      <c r="H764" s="430"/>
      <c r="I764" s="432"/>
      <c r="J764" s="433"/>
      <c r="K764" s="437">
        <f t="shared" si="232"/>
        <v>0</v>
      </c>
      <c r="L764" s="435" t="s">
        <v>614</v>
      </c>
      <c r="M764" s="576"/>
      <c r="N764" s="576">
        <f t="shared" si="230"/>
        <v>0</v>
      </c>
      <c r="O764" s="577">
        <f t="shared" si="236"/>
        <v>0</v>
      </c>
      <c r="P764" s="578">
        <f t="shared" si="237"/>
        <v>0</v>
      </c>
      <c r="Q764" s="765"/>
      <c r="R764" s="576">
        <f t="shared" si="233"/>
        <v>0</v>
      </c>
      <c r="S764" s="576">
        <f t="shared" si="225"/>
        <v>0</v>
      </c>
      <c r="T764" s="577">
        <f t="shared" si="234"/>
        <v>0</v>
      </c>
      <c r="U764" s="578">
        <f t="shared" si="235"/>
        <v>0</v>
      </c>
      <c r="V764" s="579"/>
      <c r="W764" s="566"/>
      <c r="X764" s="586" t="str">
        <f t="shared" ref="X764:X828" si="238">IF(W764="X","x",IF(W764="xx","x",IF(W764="xy","x",IF(W764="y","x",IF(OR(P764&gt;0,U764&gt;0),"x","")))))</f>
        <v/>
      </c>
      <c r="Y764" s="586" t="str">
        <f t="shared" si="189"/>
        <v/>
      </c>
      <c r="Z764" s="586" t="str">
        <f t="shared" si="208"/>
        <v/>
      </c>
    </row>
    <row r="765" spans="1:26" ht="12" hidden="1" thickBot="1" x14ac:dyDescent="0.25">
      <c r="A765" s="652" t="s">
        <v>187</v>
      </c>
      <c r="B765" s="572" t="s">
        <v>187</v>
      </c>
      <c r="C765" s="573" t="s">
        <v>187</v>
      </c>
      <c r="D765" s="580"/>
      <c r="E765" s="575"/>
      <c r="F765" s="436"/>
      <c r="G765" s="431"/>
      <c r="H765" s="430"/>
      <c r="I765" s="432"/>
      <c r="J765" s="433"/>
      <c r="K765" s="437">
        <f t="shared" si="232"/>
        <v>0</v>
      </c>
      <c r="L765" s="435" t="s">
        <v>614</v>
      </c>
      <c r="M765" s="576"/>
      <c r="N765" s="576">
        <f t="shared" si="230"/>
        <v>0</v>
      </c>
      <c r="O765" s="577">
        <f t="shared" si="236"/>
        <v>0</v>
      </c>
      <c r="P765" s="578">
        <f t="shared" si="237"/>
        <v>0</v>
      </c>
      <c r="Q765" s="765"/>
      <c r="R765" s="576">
        <f t="shared" si="233"/>
        <v>0</v>
      </c>
      <c r="S765" s="576">
        <f t="shared" si="225"/>
        <v>0</v>
      </c>
      <c r="T765" s="577">
        <f t="shared" si="234"/>
        <v>0</v>
      </c>
      <c r="U765" s="578">
        <f t="shared" si="235"/>
        <v>0</v>
      </c>
      <c r="V765" s="579"/>
      <c r="W765" s="566"/>
      <c r="X765" s="586" t="str">
        <f t="shared" si="238"/>
        <v/>
      </c>
      <c r="Y765" s="586" t="str">
        <f t="shared" si="189"/>
        <v/>
      </c>
      <c r="Z765" s="586" t="str">
        <f t="shared" si="208"/>
        <v/>
      </c>
    </row>
    <row r="766" spans="1:26" ht="12" hidden="1" thickBot="1" x14ac:dyDescent="0.25">
      <c r="A766" s="652" t="s">
        <v>187</v>
      </c>
      <c r="B766" s="572" t="s">
        <v>187</v>
      </c>
      <c r="C766" s="573" t="s">
        <v>187</v>
      </c>
      <c r="D766" s="580"/>
      <c r="E766" s="575"/>
      <c r="F766" s="436"/>
      <c r="G766" s="431"/>
      <c r="H766" s="430"/>
      <c r="I766" s="432"/>
      <c r="J766" s="433"/>
      <c r="K766" s="437">
        <f t="shared" si="232"/>
        <v>0</v>
      </c>
      <c r="L766" s="435" t="s">
        <v>614</v>
      </c>
      <c r="M766" s="576"/>
      <c r="N766" s="576">
        <f t="shared" si="230"/>
        <v>0</v>
      </c>
      <c r="O766" s="577">
        <f t="shared" si="236"/>
        <v>0</v>
      </c>
      <c r="P766" s="578">
        <f t="shared" si="237"/>
        <v>0</v>
      </c>
      <c r="Q766" s="765"/>
      <c r="R766" s="576">
        <f t="shared" si="233"/>
        <v>0</v>
      </c>
      <c r="S766" s="576">
        <f t="shared" si="225"/>
        <v>0</v>
      </c>
      <c r="T766" s="577">
        <f t="shared" si="234"/>
        <v>0</v>
      </c>
      <c r="U766" s="578">
        <f t="shared" si="235"/>
        <v>0</v>
      </c>
      <c r="V766" s="579"/>
      <c r="W766" s="566"/>
      <c r="X766" s="586" t="str">
        <f t="shared" si="238"/>
        <v/>
      </c>
      <c r="Y766" s="586" t="str">
        <f t="shared" si="189"/>
        <v/>
      </c>
      <c r="Z766" s="586" t="str">
        <f t="shared" ref="Z766:Z914" si="239">IF(W766="X","x",IF(U766&gt;0,"x",""))</f>
        <v/>
      </c>
    </row>
    <row r="767" spans="1:26" ht="12" hidden="1" thickBot="1" x14ac:dyDescent="0.25">
      <c r="A767" s="652" t="s">
        <v>187</v>
      </c>
      <c r="B767" s="572" t="s">
        <v>187</v>
      </c>
      <c r="C767" s="573" t="s">
        <v>187</v>
      </c>
      <c r="D767" s="580"/>
      <c r="E767" s="575"/>
      <c r="F767" s="436"/>
      <c r="G767" s="431"/>
      <c r="H767" s="430"/>
      <c r="I767" s="432"/>
      <c r="J767" s="433"/>
      <c r="K767" s="437">
        <f t="shared" si="232"/>
        <v>0</v>
      </c>
      <c r="L767" s="435" t="s">
        <v>614</v>
      </c>
      <c r="M767" s="576"/>
      <c r="N767" s="576">
        <f t="shared" si="230"/>
        <v>0</v>
      </c>
      <c r="O767" s="577">
        <f t="shared" si="236"/>
        <v>0</v>
      </c>
      <c r="P767" s="578">
        <f t="shared" si="237"/>
        <v>0</v>
      </c>
      <c r="Q767" s="765"/>
      <c r="R767" s="576">
        <f t="shared" si="233"/>
        <v>0</v>
      </c>
      <c r="S767" s="576">
        <f t="shared" si="225"/>
        <v>0</v>
      </c>
      <c r="T767" s="577">
        <f t="shared" si="234"/>
        <v>0</v>
      </c>
      <c r="U767" s="578">
        <f t="shared" si="235"/>
        <v>0</v>
      </c>
      <c r="V767" s="579"/>
      <c r="W767" s="566"/>
      <c r="X767" s="586" t="str">
        <f t="shared" si="238"/>
        <v/>
      </c>
      <c r="Y767" s="586" t="str">
        <f t="shared" si="189"/>
        <v/>
      </c>
      <c r="Z767" s="586" t="str">
        <f t="shared" si="239"/>
        <v/>
      </c>
    </row>
    <row r="768" spans="1:26" ht="12" hidden="1" thickBot="1" x14ac:dyDescent="0.25">
      <c r="A768" s="652" t="s">
        <v>187</v>
      </c>
      <c r="B768" s="572" t="s">
        <v>187</v>
      </c>
      <c r="C768" s="573" t="s">
        <v>187</v>
      </c>
      <c r="D768" s="580"/>
      <c r="E768" s="575"/>
      <c r="F768" s="436"/>
      <c r="G768" s="431"/>
      <c r="H768" s="430"/>
      <c r="I768" s="432"/>
      <c r="J768" s="433"/>
      <c r="K768" s="437">
        <f t="shared" si="232"/>
        <v>0</v>
      </c>
      <c r="L768" s="435" t="s">
        <v>614</v>
      </c>
      <c r="M768" s="576"/>
      <c r="N768" s="576">
        <f t="shared" si="230"/>
        <v>0</v>
      </c>
      <c r="O768" s="577">
        <f t="shared" si="236"/>
        <v>0</v>
      </c>
      <c r="P768" s="578">
        <f t="shared" si="237"/>
        <v>0</v>
      </c>
      <c r="Q768" s="765"/>
      <c r="R768" s="576">
        <f t="shared" si="233"/>
        <v>0</v>
      </c>
      <c r="S768" s="576">
        <f t="shared" si="225"/>
        <v>0</v>
      </c>
      <c r="T768" s="577">
        <f t="shared" si="234"/>
        <v>0</v>
      </c>
      <c r="U768" s="578">
        <f t="shared" si="235"/>
        <v>0</v>
      </c>
      <c r="V768" s="579"/>
      <c r="W768" s="566"/>
      <c r="X768" s="586" t="str">
        <f t="shared" si="238"/>
        <v/>
      </c>
      <c r="Y768" s="586" t="str">
        <f t="shared" si="189"/>
        <v/>
      </c>
      <c r="Z768" s="586" t="str">
        <f t="shared" si="239"/>
        <v/>
      </c>
    </row>
    <row r="769" spans="1:26" ht="12" hidden="1" thickBot="1" x14ac:dyDescent="0.25">
      <c r="A769" s="652" t="s">
        <v>187</v>
      </c>
      <c r="B769" s="572" t="s">
        <v>187</v>
      </c>
      <c r="C769" s="573" t="s">
        <v>187</v>
      </c>
      <c r="D769" s="580"/>
      <c r="E769" s="575"/>
      <c r="F769" s="436"/>
      <c r="G769" s="431"/>
      <c r="H769" s="430"/>
      <c r="I769" s="432"/>
      <c r="J769" s="433"/>
      <c r="K769" s="437">
        <f t="shared" si="232"/>
        <v>0</v>
      </c>
      <c r="L769" s="435" t="s">
        <v>614</v>
      </c>
      <c r="M769" s="576"/>
      <c r="N769" s="576">
        <f t="shared" si="230"/>
        <v>0</v>
      </c>
      <c r="O769" s="577">
        <f t="shared" si="236"/>
        <v>0</v>
      </c>
      <c r="P769" s="578">
        <f t="shared" si="237"/>
        <v>0</v>
      </c>
      <c r="Q769" s="765"/>
      <c r="R769" s="576">
        <f t="shared" si="233"/>
        <v>0</v>
      </c>
      <c r="S769" s="576">
        <f t="shared" si="225"/>
        <v>0</v>
      </c>
      <c r="T769" s="577">
        <f t="shared" si="234"/>
        <v>0</v>
      </c>
      <c r="U769" s="578">
        <f t="shared" si="235"/>
        <v>0</v>
      </c>
      <c r="V769" s="579"/>
      <c r="W769" s="566"/>
      <c r="X769" s="586" t="str">
        <f t="shared" si="238"/>
        <v/>
      </c>
      <c r="Y769" s="586" t="str">
        <f t="shared" si="189"/>
        <v/>
      </c>
      <c r="Z769" s="586" t="str">
        <f t="shared" si="239"/>
        <v/>
      </c>
    </row>
    <row r="770" spans="1:26" ht="12" hidden="1" thickBot="1" x14ac:dyDescent="0.25">
      <c r="A770" s="652" t="s">
        <v>187</v>
      </c>
      <c r="B770" s="572" t="s">
        <v>187</v>
      </c>
      <c r="C770" s="573" t="s">
        <v>187</v>
      </c>
      <c r="D770" s="580"/>
      <c r="E770" s="575"/>
      <c r="F770" s="436"/>
      <c r="G770" s="431"/>
      <c r="H770" s="430"/>
      <c r="I770" s="432"/>
      <c r="J770" s="433"/>
      <c r="K770" s="437">
        <f t="shared" si="232"/>
        <v>0</v>
      </c>
      <c r="L770" s="435" t="s">
        <v>614</v>
      </c>
      <c r="M770" s="576"/>
      <c r="N770" s="576">
        <f t="shared" si="230"/>
        <v>0</v>
      </c>
      <c r="O770" s="577">
        <f t="shared" si="236"/>
        <v>0</v>
      </c>
      <c r="P770" s="578">
        <f t="shared" si="237"/>
        <v>0</v>
      </c>
      <c r="Q770" s="765"/>
      <c r="R770" s="576">
        <f t="shared" si="233"/>
        <v>0</v>
      </c>
      <c r="S770" s="576">
        <f t="shared" si="225"/>
        <v>0</v>
      </c>
      <c r="T770" s="577">
        <f t="shared" si="234"/>
        <v>0</v>
      </c>
      <c r="U770" s="578">
        <f t="shared" si="235"/>
        <v>0</v>
      </c>
      <c r="V770" s="579"/>
      <c r="W770" s="566"/>
      <c r="X770" s="586" t="str">
        <f t="shared" si="238"/>
        <v/>
      </c>
      <c r="Y770" s="586" t="str">
        <f t="shared" si="189"/>
        <v/>
      </c>
      <c r="Z770" s="586" t="str">
        <f t="shared" si="239"/>
        <v/>
      </c>
    </row>
    <row r="771" spans="1:26" ht="12" hidden="1" thickBot="1" x14ac:dyDescent="0.25">
      <c r="A771" s="652" t="s">
        <v>187</v>
      </c>
      <c r="B771" s="572" t="s">
        <v>187</v>
      </c>
      <c r="C771" s="573" t="s">
        <v>187</v>
      </c>
      <c r="D771" s="580"/>
      <c r="E771" s="575"/>
      <c r="F771" s="436"/>
      <c r="G771" s="431"/>
      <c r="H771" s="430"/>
      <c r="I771" s="432"/>
      <c r="J771" s="433"/>
      <c r="K771" s="437">
        <f t="shared" si="232"/>
        <v>0</v>
      </c>
      <c r="L771" s="435" t="s">
        <v>614</v>
      </c>
      <c r="M771" s="576"/>
      <c r="N771" s="576">
        <f t="shared" si="230"/>
        <v>0</v>
      </c>
      <c r="O771" s="577">
        <f t="shared" si="236"/>
        <v>0</v>
      </c>
      <c r="P771" s="578">
        <f t="shared" si="237"/>
        <v>0</v>
      </c>
      <c r="Q771" s="765"/>
      <c r="R771" s="576">
        <f t="shared" si="233"/>
        <v>0</v>
      </c>
      <c r="S771" s="576">
        <f t="shared" si="225"/>
        <v>0</v>
      </c>
      <c r="T771" s="577">
        <f t="shared" si="234"/>
        <v>0</v>
      </c>
      <c r="U771" s="578">
        <f t="shared" si="235"/>
        <v>0</v>
      </c>
      <c r="V771" s="579"/>
      <c r="W771" s="566"/>
      <c r="X771" s="586" t="str">
        <f t="shared" si="238"/>
        <v/>
      </c>
      <c r="Y771" s="586" t="str">
        <f t="shared" si="189"/>
        <v/>
      </c>
      <c r="Z771" s="586" t="str">
        <f t="shared" si="239"/>
        <v/>
      </c>
    </row>
    <row r="772" spans="1:26" ht="12" hidden="1" thickBot="1" x14ac:dyDescent="0.25">
      <c r="A772" s="652" t="s">
        <v>187</v>
      </c>
      <c r="B772" s="572" t="s">
        <v>187</v>
      </c>
      <c r="C772" s="573" t="s">
        <v>187</v>
      </c>
      <c r="D772" s="580"/>
      <c r="E772" s="575"/>
      <c r="F772" s="436"/>
      <c r="G772" s="431"/>
      <c r="H772" s="430"/>
      <c r="I772" s="432"/>
      <c r="J772" s="433"/>
      <c r="K772" s="437">
        <f t="shared" si="232"/>
        <v>0</v>
      </c>
      <c r="L772" s="435" t="s">
        <v>614</v>
      </c>
      <c r="M772" s="576"/>
      <c r="N772" s="576">
        <f t="shared" si="230"/>
        <v>0</v>
      </c>
      <c r="O772" s="577">
        <f t="shared" si="236"/>
        <v>0</v>
      </c>
      <c r="P772" s="578">
        <f t="shared" si="237"/>
        <v>0</v>
      </c>
      <c r="Q772" s="765"/>
      <c r="R772" s="576">
        <f t="shared" si="233"/>
        <v>0</v>
      </c>
      <c r="S772" s="576">
        <f t="shared" si="225"/>
        <v>0</v>
      </c>
      <c r="T772" s="577">
        <f t="shared" si="234"/>
        <v>0</v>
      </c>
      <c r="U772" s="578">
        <f t="shared" si="235"/>
        <v>0</v>
      </c>
      <c r="V772" s="579"/>
      <c r="W772" s="566"/>
      <c r="X772" s="586" t="str">
        <f t="shared" si="238"/>
        <v/>
      </c>
      <c r="Y772" s="586" t="str">
        <f t="shared" si="189"/>
        <v/>
      </c>
      <c r="Z772" s="586" t="str">
        <f t="shared" si="239"/>
        <v/>
      </c>
    </row>
    <row r="773" spans="1:26" ht="12" hidden="1" thickBot="1" x14ac:dyDescent="0.25">
      <c r="A773" s="652" t="s">
        <v>187</v>
      </c>
      <c r="B773" s="572" t="s">
        <v>187</v>
      </c>
      <c r="C773" s="573" t="s">
        <v>187</v>
      </c>
      <c r="D773" s="580"/>
      <c r="E773" s="575"/>
      <c r="F773" s="436"/>
      <c r="G773" s="431"/>
      <c r="H773" s="430"/>
      <c r="I773" s="432"/>
      <c r="J773" s="433"/>
      <c r="K773" s="437">
        <f t="shared" si="232"/>
        <v>0</v>
      </c>
      <c r="L773" s="435" t="s">
        <v>614</v>
      </c>
      <c r="M773" s="576"/>
      <c r="N773" s="576">
        <f t="shared" si="230"/>
        <v>0</v>
      </c>
      <c r="O773" s="577">
        <f t="shared" si="236"/>
        <v>0</v>
      </c>
      <c r="P773" s="578">
        <f t="shared" si="237"/>
        <v>0</v>
      </c>
      <c r="Q773" s="765"/>
      <c r="R773" s="576">
        <f t="shared" si="233"/>
        <v>0</v>
      </c>
      <c r="S773" s="576">
        <f t="shared" si="225"/>
        <v>0</v>
      </c>
      <c r="T773" s="577">
        <f t="shared" si="234"/>
        <v>0</v>
      </c>
      <c r="U773" s="578">
        <f t="shared" si="235"/>
        <v>0</v>
      </c>
      <c r="V773" s="579"/>
      <c r="W773" s="566"/>
      <c r="X773" s="586" t="str">
        <f t="shared" si="238"/>
        <v/>
      </c>
      <c r="Y773" s="586" t="str">
        <f t="shared" si="189"/>
        <v/>
      </c>
      <c r="Z773" s="586" t="str">
        <f t="shared" si="239"/>
        <v/>
      </c>
    </row>
    <row r="774" spans="1:26" ht="12" hidden="1" thickBot="1" x14ac:dyDescent="0.25">
      <c r="A774" s="652" t="s">
        <v>187</v>
      </c>
      <c r="B774" s="572" t="s">
        <v>187</v>
      </c>
      <c r="C774" s="573" t="s">
        <v>187</v>
      </c>
      <c r="D774" s="580"/>
      <c r="E774" s="575"/>
      <c r="F774" s="436"/>
      <c r="G774" s="431"/>
      <c r="H774" s="430"/>
      <c r="I774" s="432"/>
      <c r="J774" s="433"/>
      <c r="K774" s="437">
        <f t="shared" si="232"/>
        <v>0</v>
      </c>
      <c r="L774" s="435" t="s">
        <v>614</v>
      </c>
      <c r="M774" s="576"/>
      <c r="N774" s="576">
        <f t="shared" si="230"/>
        <v>0</v>
      </c>
      <c r="O774" s="577">
        <f t="shared" si="236"/>
        <v>0</v>
      </c>
      <c r="P774" s="578">
        <f t="shared" si="237"/>
        <v>0</v>
      </c>
      <c r="Q774" s="765"/>
      <c r="R774" s="576">
        <f t="shared" si="233"/>
        <v>0</v>
      </c>
      <c r="S774" s="576">
        <f t="shared" si="225"/>
        <v>0</v>
      </c>
      <c r="T774" s="577">
        <f t="shared" si="234"/>
        <v>0</v>
      </c>
      <c r="U774" s="578">
        <f t="shared" si="235"/>
        <v>0</v>
      </c>
      <c r="V774" s="579"/>
      <c r="W774" s="566"/>
      <c r="X774" s="586" t="str">
        <f t="shared" si="238"/>
        <v/>
      </c>
      <c r="Y774" s="586" t="str">
        <f t="shared" si="189"/>
        <v/>
      </c>
      <c r="Z774" s="586" t="str">
        <f t="shared" si="239"/>
        <v/>
      </c>
    </row>
    <row r="775" spans="1:26" ht="12" hidden="1" thickBot="1" x14ac:dyDescent="0.25">
      <c r="A775" s="652" t="s">
        <v>187</v>
      </c>
      <c r="B775" s="572" t="s">
        <v>187</v>
      </c>
      <c r="C775" s="573" t="s">
        <v>187</v>
      </c>
      <c r="D775" s="580"/>
      <c r="E775" s="575"/>
      <c r="F775" s="436"/>
      <c r="G775" s="431"/>
      <c r="H775" s="430"/>
      <c r="I775" s="432"/>
      <c r="J775" s="433"/>
      <c r="K775" s="437">
        <f t="shared" si="232"/>
        <v>0</v>
      </c>
      <c r="L775" s="435" t="s">
        <v>614</v>
      </c>
      <c r="M775" s="576"/>
      <c r="N775" s="576">
        <f t="shared" si="230"/>
        <v>0</v>
      </c>
      <c r="O775" s="577">
        <f t="shared" si="236"/>
        <v>0</v>
      </c>
      <c r="P775" s="578">
        <f t="shared" si="237"/>
        <v>0</v>
      </c>
      <c r="Q775" s="765"/>
      <c r="R775" s="576">
        <f t="shared" si="233"/>
        <v>0</v>
      </c>
      <c r="S775" s="576">
        <f t="shared" si="225"/>
        <v>0</v>
      </c>
      <c r="T775" s="577">
        <f t="shared" si="234"/>
        <v>0</v>
      </c>
      <c r="U775" s="578">
        <f t="shared" si="235"/>
        <v>0</v>
      </c>
      <c r="V775" s="579"/>
      <c r="W775" s="566"/>
      <c r="X775" s="586" t="str">
        <f t="shared" si="238"/>
        <v/>
      </c>
      <c r="Y775" s="586" t="str">
        <f t="shared" si="189"/>
        <v/>
      </c>
      <c r="Z775" s="586" t="str">
        <f t="shared" si="239"/>
        <v/>
      </c>
    </row>
    <row r="776" spans="1:26" ht="12" hidden="1" thickBot="1" x14ac:dyDescent="0.25">
      <c r="A776" s="652" t="s">
        <v>187</v>
      </c>
      <c r="B776" s="572" t="s">
        <v>187</v>
      </c>
      <c r="C776" s="573" t="s">
        <v>187</v>
      </c>
      <c r="D776" s="580"/>
      <c r="E776" s="575"/>
      <c r="F776" s="436"/>
      <c r="G776" s="431"/>
      <c r="H776" s="430"/>
      <c r="I776" s="432"/>
      <c r="J776" s="433"/>
      <c r="K776" s="437">
        <f t="shared" si="232"/>
        <v>0</v>
      </c>
      <c r="L776" s="435" t="s">
        <v>614</v>
      </c>
      <c r="M776" s="576"/>
      <c r="N776" s="576">
        <f t="shared" si="230"/>
        <v>0</v>
      </c>
      <c r="O776" s="577">
        <f t="shared" si="236"/>
        <v>0</v>
      </c>
      <c r="P776" s="578">
        <f t="shared" si="237"/>
        <v>0</v>
      </c>
      <c r="Q776" s="765"/>
      <c r="R776" s="576">
        <f t="shared" si="233"/>
        <v>0</v>
      </c>
      <c r="S776" s="576">
        <f t="shared" si="225"/>
        <v>0</v>
      </c>
      <c r="T776" s="577">
        <f t="shared" si="234"/>
        <v>0</v>
      </c>
      <c r="U776" s="578">
        <f t="shared" si="235"/>
        <v>0</v>
      </c>
      <c r="V776" s="579"/>
      <c r="W776" s="566"/>
      <c r="X776" s="586" t="str">
        <f t="shared" si="238"/>
        <v/>
      </c>
      <c r="Y776" s="586" t="str">
        <f t="shared" si="189"/>
        <v/>
      </c>
      <c r="Z776" s="586" t="str">
        <f t="shared" si="239"/>
        <v/>
      </c>
    </row>
    <row r="777" spans="1:26" ht="12" hidden="1" thickBot="1" x14ac:dyDescent="0.25">
      <c r="A777" s="652" t="s">
        <v>187</v>
      </c>
      <c r="B777" s="572" t="s">
        <v>187</v>
      </c>
      <c r="C777" s="573" t="s">
        <v>187</v>
      </c>
      <c r="D777" s="580"/>
      <c r="E777" s="575"/>
      <c r="F777" s="436"/>
      <c r="G777" s="431"/>
      <c r="H777" s="430"/>
      <c r="I777" s="432"/>
      <c r="J777" s="433"/>
      <c r="K777" s="437">
        <f t="shared" si="232"/>
        <v>0</v>
      </c>
      <c r="L777" s="435" t="s">
        <v>614</v>
      </c>
      <c r="M777" s="576"/>
      <c r="N777" s="576">
        <f t="shared" si="230"/>
        <v>0</v>
      </c>
      <c r="O777" s="577">
        <f t="shared" si="236"/>
        <v>0</v>
      </c>
      <c r="P777" s="578">
        <f t="shared" si="237"/>
        <v>0</v>
      </c>
      <c r="Q777" s="765"/>
      <c r="R777" s="576">
        <f t="shared" si="233"/>
        <v>0</v>
      </c>
      <c r="S777" s="576">
        <f t="shared" si="225"/>
        <v>0</v>
      </c>
      <c r="T777" s="577">
        <f t="shared" si="234"/>
        <v>0</v>
      </c>
      <c r="U777" s="578">
        <f t="shared" si="235"/>
        <v>0</v>
      </c>
      <c r="V777" s="579"/>
      <c r="W777" s="566"/>
      <c r="X777" s="586" t="str">
        <f t="shared" si="238"/>
        <v/>
      </c>
      <c r="Y777" s="586" t="str">
        <f t="shared" si="189"/>
        <v/>
      </c>
      <c r="Z777" s="586" t="str">
        <f t="shared" si="239"/>
        <v/>
      </c>
    </row>
    <row r="778" spans="1:26" ht="12" hidden="1" thickBot="1" x14ac:dyDescent="0.25">
      <c r="A778" s="652" t="s">
        <v>187</v>
      </c>
      <c r="B778" s="572" t="s">
        <v>187</v>
      </c>
      <c r="C778" s="573" t="s">
        <v>187</v>
      </c>
      <c r="D778" s="580"/>
      <c r="E778" s="575"/>
      <c r="F778" s="436"/>
      <c r="G778" s="431"/>
      <c r="H778" s="430"/>
      <c r="I778" s="432"/>
      <c r="J778" s="433"/>
      <c r="K778" s="437">
        <f t="shared" si="232"/>
        <v>0</v>
      </c>
      <c r="L778" s="435" t="s">
        <v>614</v>
      </c>
      <c r="M778" s="576"/>
      <c r="N778" s="576">
        <f t="shared" si="230"/>
        <v>0</v>
      </c>
      <c r="O778" s="577">
        <f t="shared" si="236"/>
        <v>0</v>
      </c>
      <c r="P778" s="578">
        <f t="shared" si="237"/>
        <v>0</v>
      </c>
      <c r="Q778" s="765"/>
      <c r="R778" s="576">
        <f t="shared" si="233"/>
        <v>0</v>
      </c>
      <c r="S778" s="576">
        <f t="shared" si="225"/>
        <v>0</v>
      </c>
      <c r="T778" s="577">
        <f t="shared" si="234"/>
        <v>0</v>
      </c>
      <c r="U778" s="578">
        <f t="shared" si="235"/>
        <v>0</v>
      </c>
      <c r="V778" s="579"/>
      <c r="W778" s="566"/>
      <c r="X778" s="586" t="str">
        <f t="shared" si="238"/>
        <v/>
      </c>
      <c r="Y778" s="586" t="str">
        <f t="shared" si="189"/>
        <v/>
      </c>
      <c r="Z778" s="586" t="str">
        <f t="shared" si="239"/>
        <v/>
      </c>
    </row>
    <row r="779" spans="1:26" ht="12" hidden="1" thickBot="1" x14ac:dyDescent="0.25">
      <c r="A779" s="652" t="s">
        <v>187</v>
      </c>
      <c r="B779" s="581" t="s">
        <v>187</v>
      </c>
      <c r="C779" s="582" t="s">
        <v>187</v>
      </c>
      <c r="D779" s="583"/>
      <c r="E779" s="584"/>
      <c r="F779" s="438"/>
      <c r="G779" s="439"/>
      <c r="H779" s="440"/>
      <c r="I779" s="441"/>
      <c r="J779" s="442"/>
      <c r="K779" s="443">
        <f t="shared" si="232"/>
        <v>0</v>
      </c>
      <c r="L779" s="444" t="s">
        <v>614</v>
      </c>
      <c r="M779" s="576"/>
      <c r="N779" s="576">
        <f t="shared" si="230"/>
        <v>0</v>
      </c>
      <c r="O779" s="585">
        <f t="shared" si="236"/>
        <v>0</v>
      </c>
      <c r="P779" s="660">
        <f t="shared" si="237"/>
        <v>0</v>
      </c>
      <c r="Q779" s="765"/>
      <c r="R779" s="576">
        <f t="shared" si="233"/>
        <v>0</v>
      </c>
      <c r="S779" s="576">
        <f t="shared" si="233"/>
        <v>0</v>
      </c>
      <c r="T779" s="585">
        <f t="shared" si="234"/>
        <v>0</v>
      </c>
      <c r="U779" s="660">
        <f t="shared" si="235"/>
        <v>0</v>
      </c>
      <c r="V779" s="579"/>
      <c r="W779" s="566"/>
      <c r="X779" s="586" t="str">
        <f t="shared" si="238"/>
        <v/>
      </c>
      <c r="Y779" s="586" t="str">
        <f t="shared" si="189"/>
        <v/>
      </c>
      <c r="Z779" s="586" t="str">
        <f t="shared" si="239"/>
        <v/>
      </c>
    </row>
    <row r="780" spans="1:26" ht="12" thickBot="1" x14ac:dyDescent="0.25">
      <c r="A780" s="567" t="s">
        <v>452</v>
      </c>
      <c r="B780" s="664" t="s">
        <v>452</v>
      </c>
      <c r="C780" s="665"/>
      <c r="D780" s="666" t="s">
        <v>468</v>
      </c>
      <c r="E780" s="631"/>
      <c r="F780" s="632"/>
      <c r="G780" s="633"/>
      <c r="H780" s="634"/>
      <c r="I780" s="409"/>
      <c r="J780" s="409"/>
      <c r="K780" s="409"/>
      <c r="L780" s="409" t="s">
        <v>614</v>
      </c>
      <c r="M780" s="634"/>
      <c r="N780" s="797"/>
      <c r="O780" s="409">
        <f t="shared" si="236"/>
        <v>0</v>
      </c>
      <c r="P780" s="635">
        <f t="shared" si="237"/>
        <v>0</v>
      </c>
      <c r="Q780" s="635">
        <f>SUM(P781:P839)</f>
        <v>4350.1000000000004</v>
      </c>
      <c r="R780" s="634"/>
      <c r="S780" s="409"/>
      <c r="T780" s="409">
        <f t="shared" si="234"/>
        <v>0</v>
      </c>
      <c r="U780" s="635">
        <f t="shared" si="235"/>
        <v>0</v>
      </c>
      <c r="V780" s="636">
        <f>SUM(U781:U839)</f>
        <v>4350.1000000000004</v>
      </c>
      <c r="W780" s="637" t="str">
        <f>IF(OR(Q780&gt;0,V780&gt;0),"X","")</f>
        <v>X</v>
      </c>
      <c r="X780" s="586" t="str">
        <f t="shared" si="238"/>
        <v>x</v>
      </c>
      <c r="Y780" s="586" t="str">
        <f t="shared" si="189"/>
        <v>x</v>
      </c>
      <c r="Z780" s="586" t="str">
        <f t="shared" si="239"/>
        <v>x</v>
      </c>
    </row>
    <row r="781" spans="1:26" hidden="1" x14ac:dyDescent="0.2">
      <c r="A781" s="567">
        <v>813000</v>
      </c>
      <c r="B781" s="644">
        <v>813000</v>
      </c>
      <c r="C781" s="645" t="s">
        <v>206</v>
      </c>
      <c r="D781" s="422" t="s">
        <v>639</v>
      </c>
      <c r="E781" s="423"/>
      <c r="F781" s="424"/>
      <c r="G781" s="425"/>
      <c r="H781" s="651">
        <f>SUM(H782:H784)</f>
        <v>24.342776000000001</v>
      </c>
      <c r="I781" s="420">
        <v>99.13</v>
      </c>
      <c r="J781" s="420">
        <f>IF(ISBLANK(I781),"",SUM(H781:I781))</f>
        <v>123.472776</v>
      </c>
      <c r="K781" s="421">
        <f t="shared" ref="K781:K788" si="240">IF(ISBLANK(J781),0,ROUND(J781*(1+$F$10)*(1+$F$11*E781),2))</f>
        <v>146.69999999999999</v>
      </c>
      <c r="L781" s="647" t="s">
        <v>19</v>
      </c>
      <c r="M781" s="576"/>
      <c r="N781" s="576">
        <f t="shared" si="230"/>
        <v>0</v>
      </c>
      <c r="O781" s="577">
        <f t="shared" si="236"/>
        <v>0</v>
      </c>
      <c r="P781" s="578">
        <f t="shared" si="237"/>
        <v>0</v>
      </c>
      <c r="Q781" s="765"/>
      <c r="R781" s="576">
        <f t="shared" si="233"/>
        <v>0</v>
      </c>
      <c r="S781" s="576">
        <f t="shared" si="233"/>
        <v>0</v>
      </c>
      <c r="T781" s="577">
        <f t="shared" si="234"/>
        <v>0</v>
      </c>
      <c r="U781" s="578">
        <f t="shared" si="235"/>
        <v>0</v>
      </c>
      <c r="V781" s="579"/>
      <c r="W781" s="566"/>
      <c r="X781" s="586" t="str">
        <f t="shared" si="238"/>
        <v/>
      </c>
      <c r="Y781" s="586" t="str">
        <f t="shared" si="189"/>
        <v/>
      </c>
      <c r="Z781" s="586" t="str">
        <f t="shared" si="239"/>
        <v/>
      </c>
    </row>
    <row r="782" spans="1:26" hidden="1" x14ac:dyDescent="0.2">
      <c r="A782" s="567" t="s">
        <v>168</v>
      </c>
      <c r="B782" s="644" t="s">
        <v>168</v>
      </c>
      <c r="C782" s="645"/>
      <c r="D782" s="451" t="s">
        <v>212</v>
      </c>
      <c r="E782" s="423"/>
      <c r="F782" s="424">
        <v>500</v>
      </c>
      <c r="G782" s="425">
        <v>1.7600000000000001E-2</v>
      </c>
      <c r="H782" s="649">
        <f>IF(F782&lt;=30,(0.78*F782+7.82)*G782,((0.78*30+7.82)+0.78*(F782-30))*G782)</f>
        <v>7.0016320000000016</v>
      </c>
      <c r="I782" s="420">
        <v>0</v>
      </c>
      <c r="J782" s="420"/>
      <c r="K782" s="421">
        <f t="shared" si="240"/>
        <v>0</v>
      </c>
      <c r="L782" s="668" t="s">
        <v>614</v>
      </c>
      <c r="M782" s="669"/>
      <c r="N782" s="576">
        <f t="shared" si="230"/>
        <v>0</v>
      </c>
      <c r="O782" s="577">
        <f t="shared" si="236"/>
        <v>0</v>
      </c>
      <c r="P782" s="578">
        <f t="shared" si="237"/>
        <v>0</v>
      </c>
      <c r="Q782" s="765"/>
      <c r="R782" s="669"/>
      <c r="S782" s="670"/>
      <c r="T782" s="577">
        <f t="shared" si="234"/>
        <v>0</v>
      </c>
      <c r="U782" s="578">
        <f t="shared" si="235"/>
        <v>0</v>
      </c>
      <c r="V782" s="579"/>
      <c r="W782" s="637" t="str">
        <f>IF(U781&gt;0,"xx",IF(P781&gt;0,"xy",""))</f>
        <v/>
      </c>
      <c r="X782" s="586" t="str">
        <f t="shared" si="238"/>
        <v/>
      </c>
      <c r="Y782" s="586" t="str">
        <f t="shared" si="189"/>
        <v/>
      </c>
      <c r="Z782" s="586" t="str">
        <f t="shared" si="239"/>
        <v/>
      </c>
    </row>
    <row r="783" spans="1:26" hidden="1" x14ac:dyDescent="0.2">
      <c r="A783" s="567" t="s">
        <v>168</v>
      </c>
      <c r="B783" s="644" t="s">
        <v>168</v>
      </c>
      <c r="C783" s="645"/>
      <c r="D783" s="451" t="s">
        <v>248</v>
      </c>
      <c r="E783" s="423"/>
      <c r="F783" s="424">
        <v>180</v>
      </c>
      <c r="G783" s="425">
        <v>7.3400000000000007E-2</v>
      </c>
      <c r="H783" s="663">
        <f t="shared" ref="H783:H784" si="241">IF(F783&lt;=30,(1.07*F783+2.68)*G783,((1.07*30+2.68)+1.07*(F783-30))*G783)</f>
        <v>14.333552000000001</v>
      </c>
      <c r="I783" s="420">
        <v>0</v>
      </c>
      <c r="J783" s="420"/>
      <c r="K783" s="421">
        <f t="shared" si="240"/>
        <v>0</v>
      </c>
      <c r="L783" s="668" t="s">
        <v>614</v>
      </c>
      <c r="M783" s="669"/>
      <c r="N783" s="576">
        <f t="shared" si="230"/>
        <v>0</v>
      </c>
      <c r="O783" s="577">
        <f t="shared" si="236"/>
        <v>0</v>
      </c>
      <c r="P783" s="578">
        <f t="shared" si="237"/>
        <v>0</v>
      </c>
      <c r="Q783" s="765"/>
      <c r="R783" s="669"/>
      <c r="S783" s="670"/>
      <c r="T783" s="577">
        <f t="shared" si="234"/>
        <v>0</v>
      </c>
      <c r="U783" s="578">
        <f t="shared" si="235"/>
        <v>0</v>
      </c>
      <c r="V783" s="579"/>
      <c r="W783" s="637" t="str">
        <f>IF(U781&gt;0,"xx",IF(P781&gt;0,"xy",""))</f>
        <v/>
      </c>
      <c r="X783" s="586" t="str">
        <f t="shared" si="238"/>
        <v/>
      </c>
      <c r="Y783" s="586" t="str">
        <f t="shared" si="189"/>
        <v/>
      </c>
      <c r="Z783" s="586" t="str">
        <f t="shared" si="239"/>
        <v/>
      </c>
    </row>
    <row r="784" spans="1:26" hidden="1" x14ac:dyDescent="0.2">
      <c r="A784" s="567" t="s">
        <v>168</v>
      </c>
      <c r="B784" s="644" t="s">
        <v>168</v>
      </c>
      <c r="C784" s="645"/>
      <c r="D784" s="451" t="s">
        <v>252</v>
      </c>
      <c r="E784" s="423"/>
      <c r="F784" s="424">
        <v>20</v>
      </c>
      <c r="G784" s="425">
        <v>0.1249</v>
      </c>
      <c r="H784" s="663">
        <f t="shared" si="241"/>
        <v>3.0075920000000003</v>
      </c>
      <c r="I784" s="420">
        <v>0</v>
      </c>
      <c r="J784" s="420"/>
      <c r="K784" s="421">
        <f t="shared" si="240"/>
        <v>0</v>
      </c>
      <c r="L784" s="668" t="s">
        <v>614</v>
      </c>
      <c r="M784" s="669"/>
      <c r="N784" s="576">
        <f t="shared" si="230"/>
        <v>0</v>
      </c>
      <c r="O784" s="577">
        <f t="shared" si="236"/>
        <v>0</v>
      </c>
      <c r="P784" s="578">
        <f t="shared" si="237"/>
        <v>0</v>
      </c>
      <c r="Q784" s="765"/>
      <c r="R784" s="669"/>
      <c r="S784" s="670"/>
      <c r="T784" s="577">
        <f t="shared" si="234"/>
        <v>0</v>
      </c>
      <c r="U784" s="578">
        <f t="shared" si="235"/>
        <v>0</v>
      </c>
      <c r="V784" s="579"/>
      <c r="W784" s="637" t="str">
        <f>IF(U781&gt;0,"xx",IF(P781&gt;0,"xy",""))</f>
        <v/>
      </c>
      <c r="X784" s="586" t="str">
        <f t="shared" si="238"/>
        <v/>
      </c>
      <c r="Y784" s="586" t="str">
        <f t="shared" si="189"/>
        <v/>
      </c>
      <c r="Z784" s="586" t="str">
        <f t="shared" si="239"/>
        <v/>
      </c>
    </row>
    <row r="785" spans="1:26" hidden="1" x14ac:dyDescent="0.2">
      <c r="A785" s="567">
        <v>814000</v>
      </c>
      <c r="B785" s="644">
        <v>814000</v>
      </c>
      <c r="C785" s="645" t="s">
        <v>206</v>
      </c>
      <c r="D785" s="422" t="s">
        <v>640</v>
      </c>
      <c r="E785" s="423"/>
      <c r="F785" s="424"/>
      <c r="G785" s="425"/>
      <c r="H785" s="651">
        <f>SUM(H786:H788)</f>
        <v>24.342776000000001</v>
      </c>
      <c r="I785" s="420">
        <v>97.89</v>
      </c>
      <c r="J785" s="420">
        <f>IF(ISBLANK(I785),"",SUM(H785:I785))</f>
        <v>122.232776</v>
      </c>
      <c r="K785" s="421">
        <f t="shared" si="240"/>
        <v>145.22</v>
      </c>
      <c r="L785" s="647" t="s">
        <v>19</v>
      </c>
      <c r="M785" s="576"/>
      <c r="N785" s="576">
        <f t="shared" si="230"/>
        <v>0</v>
      </c>
      <c r="O785" s="577">
        <f t="shared" si="236"/>
        <v>0</v>
      </c>
      <c r="P785" s="578">
        <f t="shared" si="237"/>
        <v>0</v>
      </c>
      <c r="Q785" s="765"/>
      <c r="R785" s="576">
        <f t="shared" si="233"/>
        <v>0</v>
      </c>
      <c r="S785" s="576">
        <f t="shared" si="233"/>
        <v>0</v>
      </c>
      <c r="T785" s="577">
        <f t="shared" si="234"/>
        <v>0</v>
      </c>
      <c r="U785" s="578">
        <f t="shared" si="235"/>
        <v>0</v>
      </c>
      <c r="V785" s="579"/>
      <c r="W785" s="566"/>
      <c r="X785" s="586" t="str">
        <f t="shared" si="238"/>
        <v/>
      </c>
      <c r="Y785" s="586" t="str">
        <f t="shared" si="189"/>
        <v/>
      </c>
      <c r="Z785" s="586" t="str">
        <f t="shared" si="239"/>
        <v/>
      </c>
    </row>
    <row r="786" spans="1:26" hidden="1" x14ac:dyDescent="0.2">
      <c r="A786" s="567" t="s">
        <v>168</v>
      </c>
      <c r="B786" s="644" t="s">
        <v>168</v>
      </c>
      <c r="C786" s="645"/>
      <c r="D786" s="451" t="s">
        <v>212</v>
      </c>
      <c r="E786" s="423"/>
      <c r="F786" s="424">
        <v>500</v>
      </c>
      <c r="G786" s="425">
        <v>1.7600000000000001E-2</v>
      </c>
      <c r="H786" s="649">
        <f>IF(F786&lt;=30,(0.78*F786+7.82)*G786,((0.78*30+7.82)+0.78*(F786-30))*G786)</f>
        <v>7.0016320000000016</v>
      </c>
      <c r="I786" s="420">
        <v>0</v>
      </c>
      <c r="J786" s="420"/>
      <c r="K786" s="421">
        <f t="shared" si="240"/>
        <v>0</v>
      </c>
      <c r="L786" s="668" t="s">
        <v>614</v>
      </c>
      <c r="M786" s="669"/>
      <c r="N786" s="576">
        <f t="shared" si="230"/>
        <v>0</v>
      </c>
      <c r="O786" s="577">
        <f t="shared" si="236"/>
        <v>0</v>
      </c>
      <c r="P786" s="578">
        <f t="shared" si="237"/>
        <v>0</v>
      </c>
      <c r="Q786" s="765"/>
      <c r="R786" s="669"/>
      <c r="S786" s="670"/>
      <c r="T786" s="577">
        <f t="shared" si="234"/>
        <v>0</v>
      </c>
      <c r="U786" s="578">
        <f t="shared" si="235"/>
        <v>0</v>
      </c>
      <c r="V786" s="579"/>
      <c r="W786" s="637" t="str">
        <f>IF(U785&gt;0,"xx",IF(P785&gt;0,"xy",""))</f>
        <v/>
      </c>
      <c r="X786" s="586" t="str">
        <f t="shared" si="238"/>
        <v/>
      </c>
      <c r="Y786" s="586" t="str">
        <f t="shared" si="189"/>
        <v/>
      </c>
      <c r="Z786" s="586" t="str">
        <f t="shared" si="239"/>
        <v/>
      </c>
    </row>
    <row r="787" spans="1:26" hidden="1" x14ac:dyDescent="0.2">
      <c r="A787" s="567" t="s">
        <v>168</v>
      </c>
      <c r="B787" s="644" t="s">
        <v>168</v>
      </c>
      <c r="C787" s="645"/>
      <c r="D787" s="451" t="s">
        <v>248</v>
      </c>
      <c r="E787" s="423"/>
      <c r="F787" s="424">
        <v>180</v>
      </c>
      <c r="G787" s="425">
        <v>7.3400000000000007E-2</v>
      </c>
      <c r="H787" s="663">
        <f t="shared" ref="H787:H788" si="242">IF(F787&lt;=30,(1.07*F787+2.68)*G787,((1.07*30+2.68)+1.07*(F787-30))*G787)</f>
        <v>14.333552000000001</v>
      </c>
      <c r="I787" s="420">
        <v>0</v>
      </c>
      <c r="J787" s="420"/>
      <c r="K787" s="421">
        <f t="shared" si="240"/>
        <v>0</v>
      </c>
      <c r="L787" s="668" t="s">
        <v>614</v>
      </c>
      <c r="M787" s="669"/>
      <c r="N787" s="576">
        <f t="shared" si="230"/>
        <v>0</v>
      </c>
      <c r="O787" s="577">
        <f t="shared" si="236"/>
        <v>0</v>
      </c>
      <c r="P787" s="578">
        <f t="shared" si="237"/>
        <v>0</v>
      </c>
      <c r="Q787" s="765"/>
      <c r="R787" s="669"/>
      <c r="S787" s="670"/>
      <c r="T787" s="577">
        <f t="shared" si="234"/>
        <v>0</v>
      </c>
      <c r="U787" s="578">
        <f t="shared" si="235"/>
        <v>0</v>
      </c>
      <c r="V787" s="579"/>
      <c r="W787" s="637" t="str">
        <f>IF(U785&gt;0,"xx",IF(P785&gt;0,"xy",""))</f>
        <v/>
      </c>
      <c r="X787" s="586" t="str">
        <f t="shared" si="238"/>
        <v/>
      </c>
      <c r="Y787" s="586" t="str">
        <f t="shared" si="189"/>
        <v/>
      </c>
      <c r="Z787" s="586" t="str">
        <f t="shared" si="239"/>
        <v/>
      </c>
    </row>
    <row r="788" spans="1:26" hidden="1" x14ac:dyDescent="0.2">
      <c r="A788" s="567" t="s">
        <v>168</v>
      </c>
      <c r="B788" s="644" t="s">
        <v>168</v>
      </c>
      <c r="C788" s="645"/>
      <c r="D788" s="451" t="s">
        <v>252</v>
      </c>
      <c r="E788" s="423"/>
      <c r="F788" s="424">
        <v>20</v>
      </c>
      <c r="G788" s="425">
        <v>0.1249</v>
      </c>
      <c r="H788" s="663">
        <f t="shared" si="242"/>
        <v>3.0075920000000003</v>
      </c>
      <c r="I788" s="420">
        <v>0</v>
      </c>
      <c r="J788" s="420"/>
      <c r="K788" s="421">
        <f t="shared" si="240"/>
        <v>0</v>
      </c>
      <c r="L788" s="668" t="s">
        <v>614</v>
      </c>
      <c r="M788" s="669"/>
      <c r="N788" s="576">
        <f t="shared" ref="N788:N851" si="243">IF(M788=0,0,K788)</f>
        <v>0</v>
      </c>
      <c r="O788" s="577">
        <f t="shared" si="236"/>
        <v>0</v>
      </c>
      <c r="P788" s="578">
        <f t="shared" si="237"/>
        <v>0</v>
      </c>
      <c r="Q788" s="765"/>
      <c r="R788" s="669"/>
      <c r="S788" s="670"/>
      <c r="T788" s="577">
        <f t="shared" si="234"/>
        <v>0</v>
      </c>
      <c r="U788" s="578">
        <f t="shared" si="235"/>
        <v>0</v>
      </c>
      <c r="V788" s="579"/>
      <c r="W788" s="637" t="str">
        <f>IF(U785&gt;0,"xx",IF(P785&gt;0,"xy",""))</f>
        <v/>
      </c>
      <c r="X788" s="586" t="str">
        <f t="shared" si="238"/>
        <v/>
      </c>
      <c r="Y788" s="586" t="str">
        <f t="shared" si="189"/>
        <v/>
      </c>
      <c r="Z788" s="586" t="str">
        <f t="shared" si="239"/>
        <v/>
      </c>
    </row>
    <row r="789" spans="1:26" hidden="1" x14ac:dyDescent="0.2">
      <c r="A789" s="567">
        <v>823000</v>
      </c>
      <c r="B789" s="644" t="s">
        <v>1635</v>
      </c>
      <c r="C789" s="645" t="s">
        <v>206</v>
      </c>
      <c r="D789" s="422" t="s">
        <v>282</v>
      </c>
      <c r="E789" s="423"/>
      <c r="F789" s="424">
        <v>0</v>
      </c>
      <c r="G789" s="425"/>
      <c r="H789" s="651">
        <v>0</v>
      </c>
      <c r="I789" s="420">
        <v>486.65</v>
      </c>
      <c r="J789" s="420">
        <f t="shared" ref="J789:J797" si="244">IF(ISBLANK(I789),"",SUM(H789:I789))</f>
        <v>486.65</v>
      </c>
      <c r="K789" s="421">
        <f t="shared" ref="K789:K806" si="245">IF(ISBLANK(I789),0,ROUND(J789*(1+$F$10)*(1+$F$11*E789),2))</f>
        <v>578.19000000000005</v>
      </c>
      <c r="L789" s="647" t="s">
        <v>19</v>
      </c>
      <c r="M789" s="576"/>
      <c r="N789" s="576">
        <f t="shared" si="243"/>
        <v>0</v>
      </c>
      <c r="O789" s="577">
        <f t="shared" si="236"/>
        <v>0</v>
      </c>
      <c r="P789" s="578">
        <f t="shared" si="237"/>
        <v>0</v>
      </c>
      <c r="Q789" s="765"/>
      <c r="R789" s="576">
        <f t="shared" si="233"/>
        <v>0</v>
      </c>
      <c r="S789" s="576">
        <f t="shared" si="233"/>
        <v>0</v>
      </c>
      <c r="T789" s="577">
        <f t="shared" si="234"/>
        <v>0</v>
      </c>
      <c r="U789" s="578">
        <f t="shared" si="235"/>
        <v>0</v>
      </c>
      <c r="V789" s="579"/>
      <c r="W789" s="566"/>
      <c r="X789" s="586" t="str">
        <f t="shared" si="238"/>
        <v/>
      </c>
      <c r="Y789" s="586" t="str">
        <f t="shared" si="189"/>
        <v/>
      </c>
      <c r="Z789" s="586" t="str">
        <f t="shared" si="239"/>
        <v/>
      </c>
    </row>
    <row r="790" spans="1:26" hidden="1" x14ac:dyDescent="0.2">
      <c r="A790" s="567">
        <v>871000</v>
      </c>
      <c r="B790" s="644">
        <v>871000</v>
      </c>
      <c r="C790" s="645" t="s">
        <v>206</v>
      </c>
      <c r="D790" s="422" t="s">
        <v>497</v>
      </c>
      <c r="E790" s="423"/>
      <c r="F790" s="424"/>
      <c r="G790" s="425"/>
      <c r="H790" s="651"/>
      <c r="I790" s="420">
        <v>15.67</v>
      </c>
      <c r="J790" s="420">
        <f t="shared" si="244"/>
        <v>15.67</v>
      </c>
      <c r="K790" s="421">
        <f t="shared" si="245"/>
        <v>18.62</v>
      </c>
      <c r="L790" s="647" t="s">
        <v>21</v>
      </c>
      <c r="M790" s="576"/>
      <c r="N790" s="576">
        <f t="shared" si="243"/>
        <v>0</v>
      </c>
      <c r="O790" s="577">
        <f t="shared" si="236"/>
        <v>0</v>
      </c>
      <c r="P790" s="578">
        <f t="shared" si="237"/>
        <v>0</v>
      </c>
      <c r="Q790" s="765"/>
      <c r="R790" s="576">
        <f t="shared" si="233"/>
        <v>0</v>
      </c>
      <c r="S790" s="576">
        <f t="shared" si="233"/>
        <v>0</v>
      </c>
      <c r="T790" s="577">
        <f t="shared" si="234"/>
        <v>0</v>
      </c>
      <c r="U790" s="578">
        <f t="shared" si="235"/>
        <v>0</v>
      </c>
      <c r="V790" s="579"/>
      <c r="W790" s="566"/>
      <c r="X790" s="586" t="str">
        <f t="shared" si="238"/>
        <v/>
      </c>
      <c r="Y790" s="586" t="str">
        <f t="shared" si="189"/>
        <v/>
      </c>
      <c r="Z790" s="586" t="str">
        <f t="shared" si="239"/>
        <v/>
      </c>
    </row>
    <row r="791" spans="1:26" hidden="1" x14ac:dyDescent="0.2">
      <c r="A791" s="567">
        <v>870000</v>
      </c>
      <c r="B791" s="644">
        <v>870000</v>
      </c>
      <c r="C791" s="645" t="s">
        <v>206</v>
      </c>
      <c r="D791" s="422" t="s">
        <v>498</v>
      </c>
      <c r="E791" s="423"/>
      <c r="F791" s="424"/>
      <c r="G791" s="425"/>
      <c r="H791" s="651"/>
      <c r="I791" s="420">
        <v>14.9</v>
      </c>
      <c r="J791" s="420">
        <f t="shared" si="244"/>
        <v>14.9</v>
      </c>
      <c r="K791" s="421">
        <f t="shared" si="245"/>
        <v>17.7</v>
      </c>
      <c r="L791" s="647" t="s">
        <v>21</v>
      </c>
      <c r="M791" s="576"/>
      <c r="N791" s="576">
        <f t="shared" si="243"/>
        <v>0</v>
      </c>
      <c r="O791" s="577">
        <f t="shared" si="236"/>
        <v>0</v>
      </c>
      <c r="P791" s="578">
        <f t="shared" si="237"/>
        <v>0</v>
      </c>
      <c r="Q791" s="765"/>
      <c r="R791" s="576">
        <f t="shared" si="233"/>
        <v>0</v>
      </c>
      <c r="S791" s="576">
        <f t="shared" si="233"/>
        <v>0</v>
      </c>
      <c r="T791" s="577">
        <f t="shared" si="234"/>
        <v>0</v>
      </c>
      <c r="U791" s="578">
        <f t="shared" si="235"/>
        <v>0</v>
      </c>
      <c r="V791" s="579"/>
      <c r="W791" s="566"/>
      <c r="X791" s="586" t="str">
        <f t="shared" si="238"/>
        <v/>
      </c>
      <c r="Y791" s="586" t="str">
        <f t="shared" si="189"/>
        <v/>
      </c>
      <c r="Z791" s="586" t="str">
        <f t="shared" si="239"/>
        <v/>
      </c>
    </row>
    <row r="792" spans="1:26" hidden="1" x14ac:dyDescent="0.2">
      <c r="A792" s="567">
        <v>873000</v>
      </c>
      <c r="B792" s="644">
        <v>873000</v>
      </c>
      <c r="C792" s="645" t="s">
        <v>206</v>
      </c>
      <c r="D792" s="422" t="s">
        <v>499</v>
      </c>
      <c r="E792" s="423"/>
      <c r="F792" s="424"/>
      <c r="G792" s="425"/>
      <c r="H792" s="651"/>
      <c r="I792" s="420">
        <v>30.03</v>
      </c>
      <c r="J792" s="420">
        <f t="shared" si="244"/>
        <v>30.03</v>
      </c>
      <c r="K792" s="421">
        <f t="shared" si="245"/>
        <v>35.68</v>
      </c>
      <c r="L792" s="647" t="s">
        <v>21</v>
      </c>
      <c r="M792" s="576"/>
      <c r="N792" s="576">
        <f t="shared" si="243"/>
        <v>0</v>
      </c>
      <c r="O792" s="577">
        <f t="shared" si="236"/>
        <v>0</v>
      </c>
      <c r="P792" s="578">
        <f t="shared" si="237"/>
        <v>0</v>
      </c>
      <c r="Q792" s="765"/>
      <c r="R792" s="576">
        <f t="shared" si="233"/>
        <v>0</v>
      </c>
      <c r="S792" s="576">
        <f t="shared" si="233"/>
        <v>0</v>
      </c>
      <c r="T792" s="577">
        <f t="shared" si="234"/>
        <v>0</v>
      </c>
      <c r="U792" s="578">
        <f t="shared" si="235"/>
        <v>0</v>
      </c>
      <c r="V792" s="579"/>
      <c r="W792" s="566"/>
      <c r="X792" s="586" t="str">
        <f t="shared" si="238"/>
        <v/>
      </c>
      <c r="Y792" s="586" t="str">
        <f t="shared" si="189"/>
        <v/>
      </c>
      <c r="Z792" s="586" t="str">
        <f t="shared" si="239"/>
        <v/>
      </c>
    </row>
    <row r="793" spans="1:26" hidden="1" x14ac:dyDescent="0.2">
      <c r="A793" s="567">
        <v>872000</v>
      </c>
      <c r="B793" s="644">
        <v>872000</v>
      </c>
      <c r="C793" s="645" t="s">
        <v>206</v>
      </c>
      <c r="D793" s="422" t="s">
        <v>500</v>
      </c>
      <c r="E793" s="423"/>
      <c r="F793" s="424"/>
      <c r="G793" s="425"/>
      <c r="H793" s="651"/>
      <c r="I793" s="420">
        <v>28.92</v>
      </c>
      <c r="J793" s="420">
        <f t="shared" si="244"/>
        <v>28.92</v>
      </c>
      <c r="K793" s="421">
        <f t="shared" si="245"/>
        <v>34.36</v>
      </c>
      <c r="L793" s="647" t="s">
        <v>21</v>
      </c>
      <c r="M793" s="576"/>
      <c r="N793" s="576">
        <f t="shared" si="243"/>
        <v>0</v>
      </c>
      <c r="O793" s="577">
        <f t="shared" si="236"/>
        <v>0</v>
      </c>
      <c r="P793" s="578">
        <f t="shared" si="237"/>
        <v>0</v>
      </c>
      <c r="Q793" s="765"/>
      <c r="R793" s="576">
        <f t="shared" si="233"/>
        <v>0</v>
      </c>
      <c r="S793" s="576">
        <f t="shared" si="233"/>
        <v>0</v>
      </c>
      <c r="T793" s="577">
        <f t="shared" si="234"/>
        <v>0</v>
      </c>
      <c r="U793" s="578">
        <f t="shared" si="235"/>
        <v>0</v>
      </c>
      <c r="V793" s="579"/>
      <c r="W793" s="566"/>
      <c r="X793" s="586" t="str">
        <f t="shared" si="238"/>
        <v/>
      </c>
      <c r="Y793" s="586" t="str">
        <f t="shared" si="189"/>
        <v/>
      </c>
      <c r="Z793" s="586" t="str">
        <f t="shared" si="239"/>
        <v/>
      </c>
    </row>
    <row r="794" spans="1:26" ht="12" thickBot="1" x14ac:dyDescent="0.25">
      <c r="A794" s="567">
        <v>822000</v>
      </c>
      <c r="B794" s="644">
        <v>822000</v>
      </c>
      <c r="C794" s="645" t="s">
        <v>206</v>
      </c>
      <c r="D794" s="422" t="s">
        <v>496</v>
      </c>
      <c r="E794" s="423"/>
      <c r="F794" s="424"/>
      <c r="G794" s="425"/>
      <c r="H794" s="651"/>
      <c r="I794" s="420">
        <v>34.510000000000005</v>
      </c>
      <c r="J794" s="420">
        <f t="shared" si="244"/>
        <v>34.510000000000005</v>
      </c>
      <c r="K794" s="421">
        <f t="shared" si="245"/>
        <v>41</v>
      </c>
      <c r="L794" s="647" t="s">
        <v>18</v>
      </c>
      <c r="M794" s="576">
        <f>87.6+18.5</f>
        <v>106.1</v>
      </c>
      <c r="N794" s="576">
        <f t="shared" si="243"/>
        <v>41</v>
      </c>
      <c r="O794" s="577">
        <f t="shared" si="236"/>
        <v>4350.1000000000004</v>
      </c>
      <c r="P794" s="578">
        <f t="shared" si="237"/>
        <v>4350.1000000000004</v>
      </c>
      <c r="Q794" s="765"/>
      <c r="R794" s="576">
        <f t="shared" si="233"/>
        <v>106.1</v>
      </c>
      <c r="S794" s="576">
        <f t="shared" si="233"/>
        <v>41</v>
      </c>
      <c r="T794" s="577">
        <f t="shared" si="234"/>
        <v>4350.1000000000004</v>
      </c>
      <c r="U794" s="578">
        <f t="shared" si="235"/>
        <v>4350.1000000000004</v>
      </c>
      <c r="V794" s="579"/>
      <c r="W794" s="566"/>
      <c r="X794" s="586" t="str">
        <f t="shared" si="238"/>
        <v>x</v>
      </c>
      <c r="Y794" s="586" t="str">
        <f t="shared" si="189"/>
        <v>x</v>
      </c>
      <c r="Z794" s="586" t="str">
        <f t="shared" si="239"/>
        <v>x</v>
      </c>
    </row>
    <row r="795" spans="1:26" ht="12" hidden="1" thickBot="1" x14ac:dyDescent="0.25">
      <c r="A795" s="567">
        <v>820000</v>
      </c>
      <c r="B795" s="644" t="s">
        <v>313</v>
      </c>
      <c r="C795" s="645" t="s">
        <v>206</v>
      </c>
      <c r="D795" s="422" t="s">
        <v>301</v>
      </c>
      <c r="E795" s="423"/>
      <c r="F795" s="424"/>
      <c r="G795" s="425"/>
      <c r="H795" s="651"/>
      <c r="I795" s="420">
        <v>667.42000000000007</v>
      </c>
      <c r="J795" s="420">
        <f t="shared" si="244"/>
        <v>667.42000000000007</v>
      </c>
      <c r="K795" s="421">
        <f t="shared" si="245"/>
        <v>792.96</v>
      </c>
      <c r="L795" s="647" t="s">
        <v>18</v>
      </c>
      <c r="M795" s="576"/>
      <c r="N795" s="576">
        <f t="shared" si="243"/>
        <v>0</v>
      </c>
      <c r="O795" s="577">
        <f t="shared" si="236"/>
        <v>0</v>
      </c>
      <c r="P795" s="578">
        <f t="shared" si="237"/>
        <v>0</v>
      </c>
      <c r="Q795" s="765"/>
      <c r="R795" s="576">
        <f t="shared" si="233"/>
        <v>0</v>
      </c>
      <c r="S795" s="576">
        <f t="shared" si="233"/>
        <v>0</v>
      </c>
      <c r="T795" s="577">
        <f t="shared" si="234"/>
        <v>0</v>
      </c>
      <c r="U795" s="578">
        <f t="shared" si="235"/>
        <v>0</v>
      </c>
      <c r="V795" s="579"/>
      <c r="W795" s="566"/>
      <c r="X795" s="586" t="str">
        <f t="shared" si="238"/>
        <v/>
      </c>
      <c r="Y795" s="586" t="str">
        <f t="shared" si="189"/>
        <v/>
      </c>
      <c r="Z795" s="586" t="str">
        <f t="shared" si="239"/>
        <v/>
      </c>
    </row>
    <row r="796" spans="1:26" ht="12" hidden="1" thickBot="1" x14ac:dyDescent="0.25">
      <c r="A796" s="567">
        <v>821000</v>
      </c>
      <c r="B796" s="644">
        <v>821000</v>
      </c>
      <c r="C796" s="645" t="s">
        <v>206</v>
      </c>
      <c r="D796" s="422" t="s">
        <v>302</v>
      </c>
      <c r="E796" s="423"/>
      <c r="F796" s="424"/>
      <c r="G796" s="425"/>
      <c r="H796" s="651"/>
      <c r="I796" s="420">
        <v>181.85000000000002</v>
      </c>
      <c r="J796" s="420">
        <f t="shared" si="244"/>
        <v>181.85000000000002</v>
      </c>
      <c r="K796" s="421">
        <f t="shared" si="245"/>
        <v>216.06</v>
      </c>
      <c r="L796" s="647" t="s">
        <v>21</v>
      </c>
      <c r="M796" s="576"/>
      <c r="N796" s="576">
        <f t="shared" si="243"/>
        <v>0</v>
      </c>
      <c r="O796" s="577">
        <f t="shared" si="236"/>
        <v>0</v>
      </c>
      <c r="P796" s="578">
        <f t="shared" si="237"/>
        <v>0</v>
      </c>
      <c r="Q796" s="765"/>
      <c r="R796" s="576">
        <f t="shared" si="233"/>
        <v>0</v>
      </c>
      <c r="S796" s="576">
        <f t="shared" si="233"/>
        <v>0</v>
      </c>
      <c r="T796" s="577">
        <f t="shared" si="234"/>
        <v>0</v>
      </c>
      <c r="U796" s="578">
        <f t="shared" si="235"/>
        <v>0</v>
      </c>
      <c r="V796" s="579"/>
      <c r="W796" s="566"/>
      <c r="X796" s="586" t="str">
        <f t="shared" si="238"/>
        <v/>
      </c>
      <c r="Y796" s="586" t="str">
        <f t="shared" si="189"/>
        <v/>
      </c>
      <c r="Z796" s="586" t="str">
        <f t="shared" si="239"/>
        <v/>
      </c>
    </row>
    <row r="797" spans="1:26" ht="12" hidden="1" thickBot="1" x14ac:dyDescent="0.25">
      <c r="A797" s="567">
        <v>821300</v>
      </c>
      <c r="B797" s="644">
        <v>821300</v>
      </c>
      <c r="C797" s="645" t="s">
        <v>206</v>
      </c>
      <c r="D797" s="422" t="s">
        <v>303</v>
      </c>
      <c r="E797" s="423"/>
      <c r="F797" s="424"/>
      <c r="G797" s="425"/>
      <c r="H797" s="651"/>
      <c r="I797" s="420">
        <v>412.65</v>
      </c>
      <c r="J797" s="420">
        <f t="shared" si="244"/>
        <v>412.65</v>
      </c>
      <c r="K797" s="421">
        <f t="shared" si="245"/>
        <v>490.27</v>
      </c>
      <c r="L797" s="647" t="s">
        <v>21</v>
      </c>
      <c r="M797" s="576"/>
      <c r="N797" s="576">
        <f t="shared" si="243"/>
        <v>0</v>
      </c>
      <c r="O797" s="577">
        <f t="shared" si="236"/>
        <v>0</v>
      </c>
      <c r="P797" s="578">
        <f t="shared" si="237"/>
        <v>0</v>
      </c>
      <c r="Q797" s="765"/>
      <c r="R797" s="576">
        <f t="shared" si="233"/>
        <v>0</v>
      </c>
      <c r="S797" s="576">
        <f t="shared" si="233"/>
        <v>0</v>
      </c>
      <c r="T797" s="577">
        <f t="shared" si="234"/>
        <v>0</v>
      </c>
      <c r="U797" s="578">
        <f t="shared" si="235"/>
        <v>0</v>
      </c>
      <c r="V797" s="579"/>
      <c r="W797" s="566"/>
      <c r="X797" s="586" t="str">
        <f t="shared" si="238"/>
        <v/>
      </c>
      <c r="Y797" s="586" t="str">
        <f t="shared" si="189"/>
        <v/>
      </c>
      <c r="Z797" s="586" t="str">
        <f t="shared" si="239"/>
        <v/>
      </c>
    </row>
    <row r="798" spans="1:26" ht="12" hidden="1" thickBot="1" x14ac:dyDescent="0.25">
      <c r="A798" s="567">
        <v>820000</v>
      </c>
      <c r="B798" s="644" t="s">
        <v>314</v>
      </c>
      <c r="C798" s="645" t="s">
        <v>206</v>
      </c>
      <c r="D798" s="422" t="s">
        <v>304</v>
      </c>
      <c r="E798" s="423"/>
      <c r="F798" s="424"/>
      <c r="G798" s="425"/>
      <c r="H798" s="651"/>
      <c r="I798" s="420">
        <f>667.42*0.1964+181.85</f>
        <v>312.931288</v>
      </c>
      <c r="J798" s="420">
        <f>IF(ISBLANK(I798),"",SUM(H798:I798))*0.85</f>
        <v>265.99159479999997</v>
      </c>
      <c r="K798" s="421">
        <f t="shared" si="245"/>
        <v>316.02</v>
      </c>
      <c r="L798" s="647" t="s">
        <v>21</v>
      </c>
      <c r="M798" s="576"/>
      <c r="N798" s="576">
        <f t="shared" si="243"/>
        <v>0</v>
      </c>
      <c r="O798" s="577">
        <f t="shared" si="236"/>
        <v>0</v>
      </c>
      <c r="P798" s="578">
        <f t="shared" si="237"/>
        <v>0</v>
      </c>
      <c r="Q798" s="765"/>
      <c r="R798" s="576">
        <f t="shared" si="233"/>
        <v>0</v>
      </c>
      <c r="S798" s="576">
        <f t="shared" si="233"/>
        <v>0</v>
      </c>
      <c r="T798" s="577">
        <f t="shared" si="234"/>
        <v>0</v>
      </c>
      <c r="U798" s="578">
        <f t="shared" si="235"/>
        <v>0</v>
      </c>
      <c r="V798" s="579"/>
      <c r="W798" s="566"/>
      <c r="X798" s="586" t="str">
        <f t="shared" si="238"/>
        <v/>
      </c>
      <c r="Y798" s="586" t="str">
        <f t="shared" si="189"/>
        <v/>
      </c>
      <c r="Z798" s="586" t="str">
        <f t="shared" si="239"/>
        <v/>
      </c>
    </row>
    <row r="799" spans="1:26" ht="12" hidden="1" thickBot="1" x14ac:dyDescent="0.25">
      <c r="A799" s="567">
        <v>820000</v>
      </c>
      <c r="B799" s="644" t="s">
        <v>315</v>
      </c>
      <c r="C799" s="645" t="s">
        <v>206</v>
      </c>
      <c r="D799" s="422" t="s">
        <v>305</v>
      </c>
      <c r="E799" s="423"/>
      <c r="F799" s="424"/>
      <c r="G799" s="425"/>
      <c r="H799" s="651"/>
      <c r="I799" s="420">
        <f>667.42*0.1219+181.85</f>
        <v>263.20849799999996</v>
      </c>
      <c r="J799" s="420">
        <f>IF(ISBLANK(I799),"",SUM(H799:I799))*0.85</f>
        <v>223.72722329999996</v>
      </c>
      <c r="K799" s="421">
        <f t="shared" si="245"/>
        <v>265.81</v>
      </c>
      <c r="L799" s="647" t="s">
        <v>21</v>
      </c>
      <c r="M799" s="576"/>
      <c r="N799" s="576">
        <f t="shared" si="243"/>
        <v>0</v>
      </c>
      <c r="O799" s="577">
        <f t="shared" si="236"/>
        <v>0</v>
      </c>
      <c r="P799" s="578">
        <f t="shared" si="237"/>
        <v>0</v>
      </c>
      <c r="Q799" s="765"/>
      <c r="R799" s="576">
        <f t="shared" si="233"/>
        <v>0</v>
      </c>
      <c r="S799" s="576">
        <f t="shared" si="233"/>
        <v>0</v>
      </c>
      <c r="T799" s="577">
        <f t="shared" si="234"/>
        <v>0</v>
      </c>
      <c r="U799" s="578">
        <f t="shared" si="235"/>
        <v>0</v>
      </c>
      <c r="V799" s="579"/>
      <c r="W799" s="566"/>
      <c r="X799" s="586" t="str">
        <f t="shared" si="238"/>
        <v/>
      </c>
      <c r="Y799" s="586" t="str">
        <f t="shared" si="189"/>
        <v/>
      </c>
      <c r="Z799" s="586" t="str">
        <f t="shared" si="239"/>
        <v/>
      </c>
    </row>
    <row r="800" spans="1:26" ht="12" hidden="1" thickBot="1" x14ac:dyDescent="0.25">
      <c r="A800" s="567">
        <v>820000</v>
      </c>
      <c r="B800" s="644" t="s">
        <v>316</v>
      </c>
      <c r="C800" s="645" t="s">
        <v>206</v>
      </c>
      <c r="D800" s="422" t="s">
        <v>306</v>
      </c>
      <c r="E800" s="423"/>
      <c r="F800" s="424"/>
      <c r="G800" s="425"/>
      <c r="H800" s="651"/>
      <c r="I800" s="420">
        <f>667.42*0.216+181.85</f>
        <v>326.01271999999994</v>
      </c>
      <c r="J800" s="420">
        <f>IF(ISBLANK(I800),"",SUM(H800:I800))*0.85</f>
        <v>277.11081199999995</v>
      </c>
      <c r="K800" s="421">
        <f t="shared" si="245"/>
        <v>329.24</v>
      </c>
      <c r="L800" s="647" t="s">
        <v>21</v>
      </c>
      <c r="M800" s="576"/>
      <c r="N800" s="576">
        <f t="shared" si="243"/>
        <v>0</v>
      </c>
      <c r="O800" s="577">
        <f t="shared" si="236"/>
        <v>0</v>
      </c>
      <c r="P800" s="578">
        <f t="shared" si="237"/>
        <v>0</v>
      </c>
      <c r="Q800" s="765"/>
      <c r="R800" s="576">
        <f t="shared" si="233"/>
        <v>0</v>
      </c>
      <c r="S800" s="576">
        <f t="shared" si="233"/>
        <v>0</v>
      </c>
      <c r="T800" s="577">
        <f t="shared" si="234"/>
        <v>0</v>
      </c>
      <c r="U800" s="578">
        <f t="shared" si="235"/>
        <v>0</v>
      </c>
      <c r="V800" s="579"/>
      <c r="W800" s="566"/>
      <c r="X800" s="586" t="str">
        <f t="shared" si="238"/>
        <v/>
      </c>
      <c r="Y800" s="586" t="str">
        <f t="shared" si="189"/>
        <v/>
      </c>
      <c r="Z800" s="586" t="str">
        <f t="shared" si="239"/>
        <v/>
      </c>
    </row>
    <row r="801" spans="1:26" ht="12" hidden="1" thickBot="1" x14ac:dyDescent="0.25">
      <c r="A801" s="567">
        <v>820000</v>
      </c>
      <c r="B801" s="644" t="s">
        <v>317</v>
      </c>
      <c r="C801" s="645" t="s">
        <v>206</v>
      </c>
      <c r="D801" s="422" t="s">
        <v>307</v>
      </c>
      <c r="E801" s="423"/>
      <c r="F801" s="424"/>
      <c r="G801" s="425"/>
      <c r="H801" s="651"/>
      <c r="I801" s="420">
        <f>667.42*0.2025+181.85</f>
        <v>317.00254999999999</v>
      </c>
      <c r="J801" s="420">
        <f>IF(ISBLANK(I801),"",SUM(H801:I801))*0.85</f>
        <v>269.45216749999997</v>
      </c>
      <c r="K801" s="421">
        <f t="shared" si="245"/>
        <v>320.14</v>
      </c>
      <c r="L801" s="647" t="s">
        <v>21</v>
      </c>
      <c r="M801" s="576"/>
      <c r="N801" s="576">
        <f t="shared" si="243"/>
        <v>0</v>
      </c>
      <c r="O801" s="577">
        <f t="shared" si="236"/>
        <v>0</v>
      </c>
      <c r="P801" s="578">
        <f t="shared" si="237"/>
        <v>0</v>
      </c>
      <c r="Q801" s="765"/>
      <c r="R801" s="576">
        <f t="shared" si="233"/>
        <v>0</v>
      </c>
      <c r="S801" s="576">
        <f t="shared" si="233"/>
        <v>0</v>
      </c>
      <c r="T801" s="577">
        <f t="shared" si="234"/>
        <v>0</v>
      </c>
      <c r="U801" s="578">
        <f t="shared" si="235"/>
        <v>0</v>
      </c>
      <c r="V801" s="579"/>
      <c r="W801" s="566"/>
      <c r="X801" s="586" t="str">
        <f t="shared" si="238"/>
        <v/>
      </c>
      <c r="Y801" s="586" t="str">
        <f t="shared" si="189"/>
        <v/>
      </c>
      <c r="Z801" s="586" t="str">
        <f t="shared" si="239"/>
        <v/>
      </c>
    </row>
    <row r="802" spans="1:26" ht="12" hidden="1" thickBot="1" x14ac:dyDescent="0.25">
      <c r="A802" s="567">
        <v>820000</v>
      </c>
      <c r="B802" s="644" t="s">
        <v>318</v>
      </c>
      <c r="C802" s="645" t="s">
        <v>206</v>
      </c>
      <c r="D802" s="422" t="s">
        <v>308</v>
      </c>
      <c r="E802" s="423"/>
      <c r="F802" s="424"/>
      <c r="G802" s="425"/>
      <c r="H802" s="651"/>
      <c r="I802" s="420">
        <f>667.42*0.1964+412.65</f>
        <v>543.73128799999995</v>
      </c>
      <c r="J802" s="420">
        <f>IF(ISBLANK(I802),"",SUM(H802:I802))</f>
        <v>543.73128799999995</v>
      </c>
      <c r="K802" s="421">
        <f t="shared" si="245"/>
        <v>646.01</v>
      </c>
      <c r="L802" s="647" t="s">
        <v>21</v>
      </c>
      <c r="M802" s="576"/>
      <c r="N802" s="576">
        <f t="shared" si="243"/>
        <v>0</v>
      </c>
      <c r="O802" s="577">
        <f t="shared" si="236"/>
        <v>0</v>
      </c>
      <c r="P802" s="578">
        <f t="shared" si="237"/>
        <v>0</v>
      </c>
      <c r="Q802" s="765"/>
      <c r="R802" s="576">
        <f t="shared" si="233"/>
        <v>0</v>
      </c>
      <c r="S802" s="576">
        <f t="shared" si="233"/>
        <v>0</v>
      </c>
      <c r="T802" s="577">
        <f t="shared" si="234"/>
        <v>0</v>
      </c>
      <c r="U802" s="578">
        <f t="shared" si="235"/>
        <v>0</v>
      </c>
      <c r="V802" s="579"/>
      <c r="W802" s="566"/>
      <c r="X802" s="586" t="str">
        <f t="shared" si="238"/>
        <v/>
      </c>
      <c r="Y802" s="586" t="str">
        <f t="shared" si="189"/>
        <v/>
      </c>
      <c r="Z802" s="586" t="str">
        <f t="shared" si="239"/>
        <v/>
      </c>
    </row>
    <row r="803" spans="1:26" ht="12" hidden="1" thickBot="1" x14ac:dyDescent="0.25">
      <c r="A803" s="567">
        <v>820000</v>
      </c>
      <c r="B803" s="644" t="s">
        <v>319</v>
      </c>
      <c r="C803" s="645" t="s">
        <v>206</v>
      </c>
      <c r="D803" s="422" t="s">
        <v>309</v>
      </c>
      <c r="E803" s="423"/>
      <c r="F803" s="424"/>
      <c r="G803" s="425"/>
      <c r="H803" s="651"/>
      <c r="I803" s="420">
        <f>667.42*0.12194+412.65</f>
        <v>494.0351948</v>
      </c>
      <c r="J803" s="420">
        <f>IF(ISBLANK(I803),"",SUM(H803:I803))</f>
        <v>494.0351948</v>
      </c>
      <c r="K803" s="421">
        <f t="shared" si="245"/>
        <v>586.96</v>
      </c>
      <c r="L803" s="647" t="s">
        <v>21</v>
      </c>
      <c r="M803" s="576"/>
      <c r="N803" s="576">
        <f t="shared" si="243"/>
        <v>0</v>
      </c>
      <c r="O803" s="577">
        <f t="shared" si="236"/>
        <v>0</v>
      </c>
      <c r="P803" s="578">
        <f t="shared" si="237"/>
        <v>0</v>
      </c>
      <c r="Q803" s="765"/>
      <c r="R803" s="576">
        <f t="shared" si="233"/>
        <v>0</v>
      </c>
      <c r="S803" s="576">
        <f t="shared" si="233"/>
        <v>0</v>
      </c>
      <c r="T803" s="577">
        <f t="shared" si="234"/>
        <v>0</v>
      </c>
      <c r="U803" s="578">
        <f t="shared" si="235"/>
        <v>0</v>
      </c>
      <c r="V803" s="579"/>
      <c r="W803" s="566"/>
      <c r="X803" s="586" t="str">
        <f t="shared" si="238"/>
        <v/>
      </c>
      <c r="Y803" s="586" t="str">
        <f t="shared" si="189"/>
        <v/>
      </c>
      <c r="Z803" s="586" t="str">
        <f t="shared" si="239"/>
        <v/>
      </c>
    </row>
    <row r="804" spans="1:26" ht="12" hidden="1" thickBot="1" x14ac:dyDescent="0.25">
      <c r="A804" s="567">
        <v>820000</v>
      </c>
      <c r="B804" s="644" t="s">
        <v>320</v>
      </c>
      <c r="C804" s="645" t="s">
        <v>206</v>
      </c>
      <c r="D804" s="422" t="s">
        <v>310</v>
      </c>
      <c r="E804" s="423"/>
      <c r="F804" s="424"/>
      <c r="G804" s="425"/>
      <c r="H804" s="651"/>
      <c r="I804" s="420">
        <f>667.42*0.216+412.65</f>
        <v>556.8127199999999</v>
      </c>
      <c r="J804" s="420">
        <f>IF(ISBLANK(I804),"",SUM(H804:I804))</f>
        <v>556.8127199999999</v>
      </c>
      <c r="K804" s="421">
        <f t="shared" si="245"/>
        <v>661.55</v>
      </c>
      <c r="L804" s="647" t="s">
        <v>21</v>
      </c>
      <c r="M804" s="576"/>
      <c r="N804" s="576">
        <f t="shared" si="243"/>
        <v>0</v>
      </c>
      <c r="O804" s="577">
        <f t="shared" si="236"/>
        <v>0</v>
      </c>
      <c r="P804" s="578">
        <f t="shared" si="237"/>
        <v>0</v>
      </c>
      <c r="Q804" s="765"/>
      <c r="R804" s="576">
        <f t="shared" si="233"/>
        <v>0</v>
      </c>
      <c r="S804" s="576">
        <f t="shared" si="233"/>
        <v>0</v>
      </c>
      <c r="T804" s="577">
        <f t="shared" si="234"/>
        <v>0</v>
      </c>
      <c r="U804" s="578">
        <f t="shared" si="235"/>
        <v>0</v>
      </c>
      <c r="V804" s="579"/>
      <c r="W804" s="566"/>
      <c r="X804" s="586" t="str">
        <f t="shared" si="238"/>
        <v/>
      </c>
      <c r="Y804" s="586" t="str">
        <f t="shared" si="189"/>
        <v/>
      </c>
      <c r="Z804" s="586" t="str">
        <f t="shared" si="239"/>
        <v/>
      </c>
    </row>
    <row r="805" spans="1:26" ht="12" hidden="1" thickBot="1" x14ac:dyDescent="0.25">
      <c r="A805" s="567">
        <v>820000</v>
      </c>
      <c r="B805" s="644" t="s">
        <v>617</v>
      </c>
      <c r="C805" s="645" t="s">
        <v>206</v>
      </c>
      <c r="D805" s="422" t="s">
        <v>311</v>
      </c>
      <c r="E805" s="423"/>
      <c r="F805" s="424"/>
      <c r="G805" s="425"/>
      <c r="H805" s="651"/>
      <c r="I805" s="420">
        <f>667.42*0.2025+412.65</f>
        <v>547.80255</v>
      </c>
      <c r="J805" s="420">
        <f>IF(ISBLANK(I805),"",SUM(H805:I805))</f>
        <v>547.80255</v>
      </c>
      <c r="K805" s="421">
        <f t="shared" si="245"/>
        <v>650.84</v>
      </c>
      <c r="L805" s="647" t="s">
        <v>21</v>
      </c>
      <c r="M805" s="587"/>
      <c r="N805" s="576">
        <f t="shared" si="243"/>
        <v>0</v>
      </c>
      <c r="O805" s="577">
        <f t="shared" si="236"/>
        <v>0</v>
      </c>
      <c r="P805" s="578">
        <f t="shared" si="237"/>
        <v>0</v>
      </c>
      <c r="Q805" s="765"/>
      <c r="R805" s="650">
        <f t="shared" si="233"/>
        <v>0</v>
      </c>
      <c r="S805" s="587">
        <f t="shared" si="233"/>
        <v>0</v>
      </c>
      <c r="T805" s="577">
        <f t="shared" si="234"/>
        <v>0</v>
      </c>
      <c r="U805" s="578">
        <f t="shared" si="235"/>
        <v>0</v>
      </c>
      <c r="V805" s="579"/>
      <c r="W805" s="566"/>
      <c r="X805" s="586" t="str">
        <f t="shared" si="238"/>
        <v/>
      </c>
      <c r="Y805" s="586" t="str">
        <f t="shared" si="189"/>
        <v/>
      </c>
      <c r="Z805" s="586" t="str">
        <f t="shared" si="239"/>
        <v/>
      </c>
    </row>
    <row r="806" spans="1:26" ht="12" hidden="1" thickBot="1" x14ac:dyDescent="0.25">
      <c r="A806" s="567">
        <v>820000</v>
      </c>
      <c r="B806" s="644" t="s">
        <v>1637</v>
      </c>
      <c r="C806" s="645" t="s">
        <v>206</v>
      </c>
      <c r="D806" s="422" t="s">
        <v>635</v>
      </c>
      <c r="E806" s="423"/>
      <c r="F806" s="424"/>
      <c r="G806" s="425"/>
      <c r="H806" s="651"/>
      <c r="I806" s="420">
        <f>667.42*0.224+412.65</f>
        <v>562.15207999999996</v>
      </c>
      <c r="J806" s="420">
        <f>IF(ISBLANK(I806),"",SUM(H806:I806))</f>
        <v>562.15207999999996</v>
      </c>
      <c r="K806" s="421">
        <f t="shared" si="245"/>
        <v>667.89</v>
      </c>
      <c r="L806" s="647" t="s">
        <v>21</v>
      </c>
      <c r="M806" s="587"/>
      <c r="N806" s="576">
        <f t="shared" si="243"/>
        <v>0</v>
      </c>
      <c r="O806" s="577">
        <f t="shared" si="236"/>
        <v>0</v>
      </c>
      <c r="P806" s="578">
        <f t="shared" si="237"/>
        <v>0</v>
      </c>
      <c r="Q806" s="765"/>
      <c r="R806" s="650">
        <f t="shared" si="233"/>
        <v>0</v>
      </c>
      <c r="S806" s="587">
        <f t="shared" si="233"/>
        <v>0</v>
      </c>
      <c r="T806" s="577">
        <f t="shared" si="234"/>
        <v>0</v>
      </c>
      <c r="U806" s="578">
        <f t="shared" si="235"/>
        <v>0</v>
      </c>
      <c r="V806" s="579"/>
      <c r="W806" s="566"/>
      <c r="X806" s="586" t="str">
        <f t="shared" si="238"/>
        <v/>
      </c>
      <c r="Y806" s="586" t="str">
        <f t="shared" si="189"/>
        <v/>
      </c>
      <c r="Z806" s="586" t="str">
        <f t="shared" si="239"/>
        <v/>
      </c>
    </row>
    <row r="807" spans="1:26" ht="12" hidden="1" thickBot="1" x14ac:dyDescent="0.25">
      <c r="A807" s="567"/>
      <c r="B807" s="721" t="s">
        <v>187</v>
      </c>
      <c r="C807" s="654"/>
      <c r="D807" s="427" t="s">
        <v>469</v>
      </c>
      <c r="E807" s="491"/>
      <c r="F807" s="655"/>
      <c r="G807" s="656"/>
      <c r="H807" s="657"/>
      <c r="I807" s="429"/>
      <c r="J807" s="429"/>
      <c r="K807" s="429"/>
      <c r="L807" s="429" t="s">
        <v>614</v>
      </c>
      <c r="M807" s="657"/>
      <c r="N807" s="576">
        <f t="shared" si="243"/>
        <v>0</v>
      </c>
      <c r="O807" s="429">
        <f t="shared" si="236"/>
        <v>0</v>
      </c>
      <c r="P807" s="658">
        <f t="shared" si="237"/>
        <v>0</v>
      </c>
      <c r="Q807" s="765"/>
      <c r="R807" s="657"/>
      <c r="S807" s="429"/>
      <c r="T807" s="429">
        <f t="shared" si="234"/>
        <v>0</v>
      </c>
      <c r="U807" s="658">
        <f t="shared" si="235"/>
        <v>0</v>
      </c>
      <c r="V807" s="579"/>
      <c r="W807" s="637" t="str">
        <f>IF(OR(SUM(P808:P839)&gt;0,SUM(U808:U839)&gt;0),"y","")</f>
        <v/>
      </c>
      <c r="X807" s="586" t="str">
        <f t="shared" si="238"/>
        <v/>
      </c>
      <c r="Y807" s="586" t="str">
        <f t="shared" si="189"/>
        <v/>
      </c>
      <c r="Z807" s="586" t="str">
        <f t="shared" si="239"/>
        <v/>
      </c>
    </row>
    <row r="808" spans="1:26" ht="12" hidden="1" thickBot="1" x14ac:dyDescent="0.25">
      <c r="A808" s="567"/>
      <c r="B808" s="572" t="s">
        <v>187</v>
      </c>
      <c r="C808" s="573" t="s">
        <v>187</v>
      </c>
      <c r="D808" s="580"/>
      <c r="E808" s="575"/>
      <c r="F808" s="436"/>
      <c r="G808" s="431"/>
      <c r="H808" s="430"/>
      <c r="I808" s="432"/>
      <c r="J808" s="489"/>
      <c r="K808" s="490">
        <f>IF(ISBLANK(I808),0,ROUND(J808*(1+$F$10)*(1+$F$11*E808),2))</f>
        <v>0</v>
      </c>
      <c r="L808" s="435" t="s">
        <v>614</v>
      </c>
      <c r="M808" s="576"/>
      <c r="N808" s="576">
        <f t="shared" si="243"/>
        <v>0</v>
      </c>
      <c r="O808" s="577">
        <f t="shared" si="236"/>
        <v>0</v>
      </c>
      <c r="P808" s="578">
        <f t="shared" si="237"/>
        <v>0</v>
      </c>
      <c r="Q808" s="765"/>
      <c r="R808" s="576">
        <f t="shared" si="233"/>
        <v>0</v>
      </c>
      <c r="S808" s="576">
        <f t="shared" si="233"/>
        <v>0</v>
      </c>
      <c r="T808" s="577">
        <f t="shared" si="234"/>
        <v>0</v>
      </c>
      <c r="U808" s="659">
        <f t="shared" si="235"/>
        <v>0</v>
      </c>
      <c r="V808" s="579"/>
      <c r="W808" s="566"/>
      <c r="X808" s="586" t="str">
        <f t="shared" si="238"/>
        <v/>
      </c>
      <c r="Y808" s="586" t="str">
        <f t="shared" si="189"/>
        <v/>
      </c>
      <c r="Z808" s="586" t="str">
        <f t="shared" si="239"/>
        <v/>
      </c>
    </row>
    <row r="809" spans="1:26" ht="12" hidden="1" thickBot="1" x14ac:dyDescent="0.25">
      <c r="A809" s="652" t="s">
        <v>187</v>
      </c>
      <c r="B809" s="572" t="s">
        <v>187</v>
      </c>
      <c r="C809" s="573" t="s">
        <v>187</v>
      </c>
      <c r="D809" s="580"/>
      <c r="E809" s="575"/>
      <c r="F809" s="436"/>
      <c r="G809" s="431"/>
      <c r="H809" s="430"/>
      <c r="I809" s="432"/>
      <c r="J809" s="433"/>
      <c r="K809" s="437">
        <f t="shared" ref="K809:K839" si="246">IF(ISBLANK(J809),0,ROUND(J809*(1+$F$10)*(1+$F$11*E809),2))</f>
        <v>0</v>
      </c>
      <c r="L809" s="435" t="s">
        <v>614</v>
      </c>
      <c r="M809" s="576"/>
      <c r="N809" s="576">
        <f t="shared" si="243"/>
        <v>0</v>
      </c>
      <c r="O809" s="577">
        <f t="shared" si="236"/>
        <v>0</v>
      </c>
      <c r="P809" s="578">
        <f t="shared" si="237"/>
        <v>0</v>
      </c>
      <c r="Q809" s="765"/>
      <c r="R809" s="576">
        <f t="shared" si="233"/>
        <v>0</v>
      </c>
      <c r="S809" s="576">
        <f t="shared" si="233"/>
        <v>0</v>
      </c>
      <c r="T809" s="577">
        <f t="shared" si="234"/>
        <v>0</v>
      </c>
      <c r="U809" s="659">
        <f t="shared" si="235"/>
        <v>0</v>
      </c>
      <c r="V809" s="579"/>
      <c r="W809" s="566"/>
      <c r="X809" s="586" t="str">
        <f t="shared" si="238"/>
        <v/>
      </c>
      <c r="Y809" s="586" t="str">
        <f t="shared" si="189"/>
        <v/>
      </c>
      <c r="Z809" s="586" t="str">
        <f t="shared" si="239"/>
        <v/>
      </c>
    </row>
    <row r="810" spans="1:26" ht="12" hidden="1" thickBot="1" x14ac:dyDescent="0.25">
      <c r="A810" s="652" t="s">
        <v>187</v>
      </c>
      <c r="B810" s="572" t="s">
        <v>187</v>
      </c>
      <c r="C810" s="573" t="s">
        <v>187</v>
      </c>
      <c r="D810" s="580"/>
      <c r="E810" s="575"/>
      <c r="F810" s="436"/>
      <c r="G810" s="431"/>
      <c r="H810" s="430"/>
      <c r="I810" s="432"/>
      <c r="J810" s="433"/>
      <c r="K810" s="437">
        <f t="shared" si="246"/>
        <v>0</v>
      </c>
      <c r="L810" s="435" t="s">
        <v>614</v>
      </c>
      <c r="M810" s="576"/>
      <c r="N810" s="576">
        <f t="shared" si="243"/>
        <v>0</v>
      </c>
      <c r="O810" s="577">
        <f t="shared" si="236"/>
        <v>0</v>
      </c>
      <c r="P810" s="578">
        <f t="shared" si="237"/>
        <v>0</v>
      </c>
      <c r="Q810" s="765"/>
      <c r="R810" s="576">
        <f t="shared" si="233"/>
        <v>0</v>
      </c>
      <c r="S810" s="576">
        <f t="shared" si="233"/>
        <v>0</v>
      </c>
      <c r="T810" s="577">
        <f t="shared" si="234"/>
        <v>0</v>
      </c>
      <c r="U810" s="578">
        <f t="shared" si="235"/>
        <v>0</v>
      </c>
      <c r="V810" s="579"/>
      <c r="W810" s="566"/>
      <c r="X810" s="586" t="str">
        <f t="shared" si="238"/>
        <v/>
      </c>
      <c r="Y810" s="586" t="str">
        <f t="shared" si="189"/>
        <v/>
      </c>
      <c r="Z810" s="586" t="str">
        <f t="shared" si="239"/>
        <v/>
      </c>
    </row>
    <row r="811" spans="1:26" ht="12" hidden="1" thickBot="1" x14ac:dyDescent="0.25">
      <c r="A811" s="652" t="s">
        <v>187</v>
      </c>
      <c r="B811" s="572" t="s">
        <v>187</v>
      </c>
      <c r="C811" s="573" t="s">
        <v>187</v>
      </c>
      <c r="D811" s="580"/>
      <c r="E811" s="575"/>
      <c r="F811" s="436"/>
      <c r="G811" s="431"/>
      <c r="H811" s="430"/>
      <c r="I811" s="432"/>
      <c r="J811" s="433"/>
      <c r="K811" s="437">
        <f t="shared" si="246"/>
        <v>0</v>
      </c>
      <c r="L811" s="435" t="s">
        <v>614</v>
      </c>
      <c r="M811" s="576"/>
      <c r="N811" s="576">
        <f t="shared" si="243"/>
        <v>0</v>
      </c>
      <c r="O811" s="577">
        <f t="shared" si="236"/>
        <v>0</v>
      </c>
      <c r="P811" s="578">
        <f t="shared" si="237"/>
        <v>0</v>
      </c>
      <c r="Q811" s="765"/>
      <c r="R811" s="576">
        <f t="shared" si="233"/>
        <v>0</v>
      </c>
      <c r="S811" s="576">
        <f t="shared" si="233"/>
        <v>0</v>
      </c>
      <c r="T811" s="577">
        <f t="shared" si="234"/>
        <v>0</v>
      </c>
      <c r="U811" s="578">
        <f t="shared" si="235"/>
        <v>0</v>
      </c>
      <c r="V811" s="579"/>
      <c r="W811" s="566"/>
      <c r="X811" s="586" t="str">
        <f t="shared" si="238"/>
        <v/>
      </c>
      <c r="Y811" s="586" t="str">
        <f t="shared" si="189"/>
        <v/>
      </c>
      <c r="Z811" s="586" t="str">
        <f t="shared" si="239"/>
        <v/>
      </c>
    </row>
    <row r="812" spans="1:26" ht="12" hidden="1" thickBot="1" x14ac:dyDescent="0.25">
      <c r="A812" s="652" t="s">
        <v>187</v>
      </c>
      <c r="B812" s="572" t="s">
        <v>187</v>
      </c>
      <c r="C812" s="573" t="s">
        <v>187</v>
      </c>
      <c r="D812" s="580"/>
      <c r="E812" s="575"/>
      <c r="F812" s="436"/>
      <c r="G812" s="431"/>
      <c r="H812" s="430"/>
      <c r="I812" s="432"/>
      <c r="J812" s="433"/>
      <c r="K812" s="437">
        <f t="shared" si="246"/>
        <v>0</v>
      </c>
      <c r="L812" s="435" t="s">
        <v>614</v>
      </c>
      <c r="M812" s="576"/>
      <c r="N812" s="576">
        <f t="shared" si="243"/>
        <v>0</v>
      </c>
      <c r="O812" s="577">
        <f t="shared" si="236"/>
        <v>0</v>
      </c>
      <c r="P812" s="578">
        <f t="shared" si="237"/>
        <v>0</v>
      </c>
      <c r="Q812" s="765"/>
      <c r="R812" s="576">
        <f t="shared" si="233"/>
        <v>0</v>
      </c>
      <c r="S812" s="576">
        <f t="shared" si="233"/>
        <v>0</v>
      </c>
      <c r="T812" s="577">
        <f t="shared" si="234"/>
        <v>0</v>
      </c>
      <c r="U812" s="578">
        <f t="shared" si="235"/>
        <v>0</v>
      </c>
      <c r="V812" s="579"/>
      <c r="W812" s="566"/>
      <c r="X812" s="586" t="str">
        <f t="shared" si="238"/>
        <v/>
      </c>
      <c r="Y812" s="586" t="str">
        <f t="shared" si="189"/>
        <v/>
      </c>
      <c r="Z812" s="586" t="str">
        <f t="shared" si="239"/>
        <v/>
      </c>
    </row>
    <row r="813" spans="1:26" ht="12" hidden="1" thickBot="1" x14ac:dyDescent="0.25">
      <c r="A813" s="652" t="s">
        <v>187</v>
      </c>
      <c r="B813" s="572" t="s">
        <v>187</v>
      </c>
      <c r="C813" s="573" t="s">
        <v>187</v>
      </c>
      <c r="D813" s="580"/>
      <c r="E813" s="575"/>
      <c r="F813" s="436"/>
      <c r="G813" s="431"/>
      <c r="H813" s="430"/>
      <c r="I813" s="432"/>
      <c r="J813" s="433"/>
      <c r="K813" s="437">
        <f t="shared" si="246"/>
        <v>0</v>
      </c>
      <c r="L813" s="435" t="s">
        <v>614</v>
      </c>
      <c r="M813" s="576"/>
      <c r="N813" s="576">
        <f t="shared" si="243"/>
        <v>0</v>
      </c>
      <c r="O813" s="577">
        <f t="shared" si="236"/>
        <v>0</v>
      </c>
      <c r="P813" s="578">
        <f t="shared" si="237"/>
        <v>0</v>
      </c>
      <c r="Q813" s="765"/>
      <c r="R813" s="576">
        <f t="shared" si="233"/>
        <v>0</v>
      </c>
      <c r="S813" s="576">
        <f t="shared" si="233"/>
        <v>0</v>
      </c>
      <c r="T813" s="577">
        <f t="shared" si="234"/>
        <v>0</v>
      </c>
      <c r="U813" s="578">
        <f t="shared" si="235"/>
        <v>0</v>
      </c>
      <c r="V813" s="579"/>
      <c r="W813" s="566"/>
      <c r="X813" s="586" t="str">
        <f t="shared" si="238"/>
        <v/>
      </c>
      <c r="Y813" s="586" t="str">
        <f t="shared" si="189"/>
        <v/>
      </c>
      <c r="Z813" s="586" t="str">
        <f t="shared" si="239"/>
        <v/>
      </c>
    </row>
    <row r="814" spans="1:26" ht="12" hidden="1" thickBot="1" x14ac:dyDescent="0.25">
      <c r="A814" s="652" t="s">
        <v>187</v>
      </c>
      <c r="B814" s="572" t="s">
        <v>187</v>
      </c>
      <c r="C814" s="573" t="s">
        <v>187</v>
      </c>
      <c r="D814" s="580"/>
      <c r="E814" s="575"/>
      <c r="F814" s="436"/>
      <c r="G814" s="431"/>
      <c r="H814" s="430"/>
      <c r="I814" s="432"/>
      <c r="J814" s="433"/>
      <c r="K814" s="437">
        <f t="shared" si="246"/>
        <v>0</v>
      </c>
      <c r="L814" s="435" t="s">
        <v>614</v>
      </c>
      <c r="M814" s="576"/>
      <c r="N814" s="576">
        <f t="shared" si="243"/>
        <v>0</v>
      </c>
      <c r="O814" s="577">
        <f t="shared" si="236"/>
        <v>0</v>
      </c>
      <c r="P814" s="578">
        <f t="shared" si="237"/>
        <v>0</v>
      </c>
      <c r="Q814" s="765"/>
      <c r="R814" s="576">
        <f t="shared" si="233"/>
        <v>0</v>
      </c>
      <c r="S814" s="576">
        <f t="shared" si="233"/>
        <v>0</v>
      </c>
      <c r="T814" s="577">
        <f t="shared" si="234"/>
        <v>0</v>
      </c>
      <c r="U814" s="578">
        <f t="shared" si="235"/>
        <v>0</v>
      </c>
      <c r="V814" s="579"/>
      <c r="W814" s="566"/>
      <c r="X814" s="586" t="str">
        <f t="shared" si="238"/>
        <v/>
      </c>
      <c r="Y814" s="586" t="str">
        <f t="shared" si="189"/>
        <v/>
      </c>
      <c r="Z814" s="586" t="str">
        <f t="shared" si="239"/>
        <v/>
      </c>
    </row>
    <row r="815" spans="1:26" ht="12" hidden="1" thickBot="1" x14ac:dyDescent="0.25">
      <c r="A815" s="652" t="s">
        <v>187</v>
      </c>
      <c r="B815" s="572" t="s">
        <v>187</v>
      </c>
      <c r="C815" s="573" t="s">
        <v>187</v>
      </c>
      <c r="D815" s="580"/>
      <c r="E815" s="575"/>
      <c r="F815" s="436"/>
      <c r="G815" s="431"/>
      <c r="H815" s="430"/>
      <c r="I815" s="432"/>
      <c r="J815" s="433"/>
      <c r="K815" s="437">
        <f t="shared" si="246"/>
        <v>0</v>
      </c>
      <c r="L815" s="435" t="s">
        <v>614</v>
      </c>
      <c r="M815" s="576"/>
      <c r="N815" s="576">
        <f t="shared" si="243"/>
        <v>0</v>
      </c>
      <c r="O815" s="577">
        <f t="shared" si="236"/>
        <v>0</v>
      </c>
      <c r="P815" s="578">
        <f t="shared" si="237"/>
        <v>0</v>
      </c>
      <c r="Q815" s="765"/>
      <c r="R815" s="576">
        <f t="shared" si="233"/>
        <v>0</v>
      </c>
      <c r="S815" s="576">
        <f t="shared" si="233"/>
        <v>0</v>
      </c>
      <c r="T815" s="577">
        <f t="shared" si="234"/>
        <v>0</v>
      </c>
      <c r="U815" s="578">
        <f t="shared" si="235"/>
        <v>0</v>
      </c>
      <c r="V815" s="579"/>
      <c r="W815" s="566"/>
      <c r="X815" s="586" t="str">
        <f t="shared" si="238"/>
        <v/>
      </c>
      <c r="Y815" s="586" t="str">
        <f t="shared" si="189"/>
        <v/>
      </c>
      <c r="Z815" s="586" t="str">
        <f t="shared" si="239"/>
        <v/>
      </c>
    </row>
    <row r="816" spans="1:26" ht="12" hidden="1" thickBot="1" x14ac:dyDescent="0.25">
      <c r="A816" s="652" t="s">
        <v>187</v>
      </c>
      <c r="B816" s="572" t="s">
        <v>187</v>
      </c>
      <c r="C816" s="573" t="s">
        <v>187</v>
      </c>
      <c r="D816" s="580"/>
      <c r="E816" s="575"/>
      <c r="F816" s="436"/>
      <c r="G816" s="431"/>
      <c r="H816" s="430"/>
      <c r="I816" s="432"/>
      <c r="J816" s="433"/>
      <c r="K816" s="437">
        <f t="shared" si="246"/>
        <v>0</v>
      </c>
      <c r="L816" s="435" t="s">
        <v>614</v>
      </c>
      <c r="M816" s="576"/>
      <c r="N816" s="576">
        <f t="shared" si="243"/>
        <v>0</v>
      </c>
      <c r="O816" s="577">
        <f t="shared" si="236"/>
        <v>0</v>
      </c>
      <c r="P816" s="578">
        <f t="shared" si="237"/>
        <v>0</v>
      </c>
      <c r="Q816" s="765"/>
      <c r="R816" s="576">
        <f t="shared" si="233"/>
        <v>0</v>
      </c>
      <c r="S816" s="576">
        <f t="shared" si="233"/>
        <v>0</v>
      </c>
      <c r="T816" s="577">
        <f t="shared" si="234"/>
        <v>0</v>
      </c>
      <c r="U816" s="578">
        <f t="shared" si="235"/>
        <v>0</v>
      </c>
      <c r="V816" s="579"/>
      <c r="W816" s="566"/>
      <c r="X816" s="586" t="str">
        <f t="shared" si="238"/>
        <v/>
      </c>
      <c r="Y816" s="586" t="str">
        <f t="shared" si="189"/>
        <v/>
      </c>
      <c r="Z816" s="586" t="str">
        <f t="shared" si="239"/>
        <v/>
      </c>
    </row>
    <row r="817" spans="1:26" ht="12" hidden="1" thickBot="1" x14ac:dyDescent="0.25">
      <c r="A817" s="652" t="s">
        <v>187</v>
      </c>
      <c r="B817" s="572" t="s">
        <v>187</v>
      </c>
      <c r="C817" s="573" t="s">
        <v>187</v>
      </c>
      <c r="D817" s="580"/>
      <c r="E817" s="575"/>
      <c r="F817" s="436"/>
      <c r="G817" s="431"/>
      <c r="H817" s="430"/>
      <c r="I817" s="432"/>
      <c r="J817" s="433"/>
      <c r="K817" s="437">
        <f t="shared" si="246"/>
        <v>0</v>
      </c>
      <c r="L817" s="435" t="s">
        <v>614</v>
      </c>
      <c r="M817" s="576"/>
      <c r="N817" s="576">
        <f t="shared" si="243"/>
        <v>0</v>
      </c>
      <c r="O817" s="577">
        <f t="shared" si="236"/>
        <v>0</v>
      </c>
      <c r="P817" s="578">
        <f t="shared" si="237"/>
        <v>0</v>
      </c>
      <c r="Q817" s="765"/>
      <c r="R817" s="576">
        <f t="shared" si="233"/>
        <v>0</v>
      </c>
      <c r="S817" s="576">
        <f t="shared" si="233"/>
        <v>0</v>
      </c>
      <c r="T817" s="577">
        <f t="shared" si="234"/>
        <v>0</v>
      </c>
      <c r="U817" s="578">
        <f t="shared" si="235"/>
        <v>0</v>
      </c>
      <c r="V817" s="579"/>
      <c r="W817" s="566"/>
      <c r="X817" s="586" t="str">
        <f t="shared" si="238"/>
        <v/>
      </c>
      <c r="Y817" s="586" t="str">
        <f t="shared" si="189"/>
        <v/>
      </c>
      <c r="Z817" s="586" t="str">
        <f t="shared" si="239"/>
        <v/>
      </c>
    </row>
    <row r="818" spans="1:26" ht="12" hidden="1" thickBot="1" x14ac:dyDescent="0.25">
      <c r="A818" s="652" t="s">
        <v>187</v>
      </c>
      <c r="B818" s="572" t="s">
        <v>187</v>
      </c>
      <c r="C818" s="573" t="s">
        <v>187</v>
      </c>
      <c r="D818" s="580"/>
      <c r="E818" s="575"/>
      <c r="F818" s="436"/>
      <c r="G818" s="431"/>
      <c r="H818" s="430"/>
      <c r="I818" s="432"/>
      <c r="J818" s="433"/>
      <c r="K818" s="437">
        <f t="shared" si="246"/>
        <v>0</v>
      </c>
      <c r="L818" s="435" t="s">
        <v>614</v>
      </c>
      <c r="M818" s="576"/>
      <c r="N818" s="576">
        <f t="shared" si="243"/>
        <v>0</v>
      </c>
      <c r="O818" s="577">
        <f t="shared" si="236"/>
        <v>0</v>
      </c>
      <c r="P818" s="578">
        <f t="shared" si="237"/>
        <v>0</v>
      </c>
      <c r="Q818" s="765"/>
      <c r="R818" s="576">
        <f t="shared" si="233"/>
        <v>0</v>
      </c>
      <c r="S818" s="576">
        <f t="shared" si="233"/>
        <v>0</v>
      </c>
      <c r="T818" s="577">
        <f t="shared" si="234"/>
        <v>0</v>
      </c>
      <c r="U818" s="578">
        <f t="shared" si="235"/>
        <v>0</v>
      </c>
      <c r="V818" s="579"/>
      <c r="W818" s="566"/>
      <c r="X818" s="586" t="str">
        <f t="shared" si="238"/>
        <v/>
      </c>
      <c r="Y818" s="586" t="str">
        <f t="shared" si="189"/>
        <v/>
      </c>
      <c r="Z818" s="586" t="str">
        <f t="shared" si="239"/>
        <v/>
      </c>
    </row>
    <row r="819" spans="1:26" ht="12" hidden="1" thickBot="1" x14ac:dyDescent="0.25">
      <c r="A819" s="652" t="s">
        <v>187</v>
      </c>
      <c r="B819" s="572" t="s">
        <v>187</v>
      </c>
      <c r="C819" s="573" t="s">
        <v>187</v>
      </c>
      <c r="D819" s="580"/>
      <c r="E819" s="575"/>
      <c r="F819" s="436"/>
      <c r="G819" s="431"/>
      <c r="H819" s="430"/>
      <c r="I819" s="432"/>
      <c r="J819" s="433"/>
      <c r="K819" s="437">
        <f t="shared" si="246"/>
        <v>0</v>
      </c>
      <c r="L819" s="435" t="s">
        <v>614</v>
      </c>
      <c r="M819" s="576"/>
      <c r="N819" s="576">
        <f t="shared" si="243"/>
        <v>0</v>
      </c>
      <c r="O819" s="577">
        <f t="shared" si="236"/>
        <v>0</v>
      </c>
      <c r="P819" s="578">
        <f t="shared" si="237"/>
        <v>0</v>
      </c>
      <c r="Q819" s="765"/>
      <c r="R819" s="576">
        <f t="shared" si="233"/>
        <v>0</v>
      </c>
      <c r="S819" s="576">
        <f t="shared" si="233"/>
        <v>0</v>
      </c>
      <c r="T819" s="577">
        <f t="shared" si="234"/>
        <v>0</v>
      </c>
      <c r="U819" s="578">
        <f t="shared" si="235"/>
        <v>0</v>
      </c>
      <c r="V819" s="579"/>
      <c r="W819" s="566"/>
      <c r="X819" s="586" t="str">
        <f t="shared" si="238"/>
        <v/>
      </c>
      <c r="Y819" s="586" t="str">
        <f t="shared" si="189"/>
        <v/>
      </c>
      <c r="Z819" s="586" t="str">
        <f t="shared" si="239"/>
        <v/>
      </c>
    </row>
    <row r="820" spans="1:26" ht="12" hidden="1" thickBot="1" x14ac:dyDescent="0.25">
      <c r="A820" s="652" t="s">
        <v>187</v>
      </c>
      <c r="B820" s="572" t="s">
        <v>187</v>
      </c>
      <c r="C820" s="573" t="s">
        <v>187</v>
      </c>
      <c r="D820" s="580"/>
      <c r="E820" s="575"/>
      <c r="F820" s="436"/>
      <c r="G820" s="431"/>
      <c r="H820" s="430"/>
      <c r="I820" s="432"/>
      <c r="J820" s="433"/>
      <c r="K820" s="437">
        <f t="shared" si="246"/>
        <v>0</v>
      </c>
      <c r="L820" s="435" t="s">
        <v>614</v>
      </c>
      <c r="M820" s="576"/>
      <c r="N820" s="576">
        <f t="shared" si="243"/>
        <v>0</v>
      </c>
      <c r="O820" s="577">
        <f t="shared" si="236"/>
        <v>0</v>
      </c>
      <c r="P820" s="578">
        <f t="shared" si="237"/>
        <v>0</v>
      </c>
      <c r="Q820" s="765"/>
      <c r="R820" s="576">
        <f t="shared" ref="R820:S883" si="247">M820</f>
        <v>0</v>
      </c>
      <c r="S820" s="576">
        <f t="shared" si="247"/>
        <v>0</v>
      </c>
      <c r="T820" s="577">
        <f t="shared" ref="T820:T883" si="248">IF(ISBLANK(R820),0,ROUND(K820*R820,2))</f>
        <v>0</v>
      </c>
      <c r="U820" s="578">
        <f t="shared" ref="U820:U883" si="249">IF(ISBLANK(R820),0,ROUND(R820*S820,2))</f>
        <v>0</v>
      </c>
      <c r="V820" s="579"/>
      <c r="W820" s="566"/>
      <c r="X820" s="586" t="str">
        <f t="shared" si="238"/>
        <v/>
      </c>
      <c r="Y820" s="586" t="str">
        <f t="shared" si="189"/>
        <v/>
      </c>
      <c r="Z820" s="586" t="str">
        <f t="shared" si="239"/>
        <v/>
      </c>
    </row>
    <row r="821" spans="1:26" ht="12" hidden="1" thickBot="1" x14ac:dyDescent="0.25">
      <c r="A821" s="652" t="s">
        <v>187</v>
      </c>
      <c r="B821" s="572" t="s">
        <v>187</v>
      </c>
      <c r="C821" s="573" t="s">
        <v>187</v>
      </c>
      <c r="D821" s="580"/>
      <c r="E821" s="575"/>
      <c r="F821" s="436"/>
      <c r="G821" s="431"/>
      <c r="H821" s="430"/>
      <c r="I821" s="432"/>
      <c r="J821" s="433"/>
      <c r="K821" s="437">
        <f t="shared" si="246"/>
        <v>0</v>
      </c>
      <c r="L821" s="435" t="s">
        <v>614</v>
      </c>
      <c r="M821" s="576"/>
      <c r="N821" s="576">
        <f t="shared" si="243"/>
        <v>0</v>
      </c>
      <c r="O821" s="577">
        <f t="shared" ref="O821:O884" si="250">IF(ISBLANK(M821),0,ROUND(K821*M821,2))</f>
        <v>0</v>
      </c>
      <c r="P821" s="578">
        <f t="shared" ref="P821:P884" si="251">IF(ISBLANK(N821),0,ROUND(M821*N821,2))</f>
        <v>0</v>
      </c>
      <c r="Q821" s="765"/>
      <c r="R821" s="576">
        <f t="shared" si="247"/>
        <v>0</v>
      </c>
      <c r="S821" s="576">
        <f t="shared" si="247"/>
        <v>0</v>
      </c>
      <c r="T821" s="577">
        <f t="shared" si="248"/>
        <v>0</v>
      </c>
      <c r="U821" s="578">
        <f t="shared" si="249"/>
        <v>0</v>
      </c>
      <c r="V821" s="579"/>
      <c r="W821" s="566"/>
      <c r="X821" s="586" t="str">
        <f t="shared" si="238"/>
        <v/>
      </c>
      <c r="Y821" s="586" t="str">
        <f t="shared" si="189"/>
        <v/>
      </c>
      <c r="Z821" s="586" t="str">
        <f t="shared" si="239"/>
        <v/>
      </c>
    </row>
    <row r="822" spans="1:26" ht="12" hidden="1" thickBot="1" x14ac:dyDescent="0.25">
      <c r="A822" s="652" t="s">
        <v>187</v>
      </c>
      <c r="B822" s="572" t="s">
        <v>187</v>
      </c>
      <c r="C822" s="573" t="s">
        <v>187</v>
      </c>
      <c r="D822" s="580"/>
      <c r="E822" s="575"/>
      <c r="F822" s="436"/>
      <c r="G822" s="431"/>
      <c r="H822" s="430"/>
      <c r="I822" s="432"/>
      <c r="J822" s="433"/>
      <c r="K822" s="437">
        <f t="shared" si="246"/>
        <v>0</v>
      </c>
      <c r="L822" s="435" t="s">
        <v>614</v>
      </c>
      <c r="M822" s="576"/>
      <c r="N822" s="576">
        <f t="shared" si="243"/>
        <v>0</v>
      </c>
      <c r="O822" s="577">
        <f t="shared" si="250"/>
        <v>0</v>
      </c>
      <c r="P822" s="578">
        <f t="shared" si="251"/>
        <v>0</v>
      </c>
      <c r="Q822" s="765"/>
      <c r="R822" s="576">
        <f t="shared" si="247"/>
        <v>0</v>
      </c>
      <c r="S822" s="576">
        <f t="shared" si="247"/>
        <v>0</v>
      </c>
      <c r="T822" s="577">
        <f t="shared" si="248"/>
        <v>0</v>
      </c>
      <c r="U822" s="578">
        <f t="shared" si="249"/>
        <v>0</v>
      </c>
      <c r="V822" s="579"/>
      <c r="W822" s="566"/>
      <c r="X822" s="586" t="str">
        <f t="shared" si="238"/>
        <v/>
      </c>
      <c r="Y822" s="586" t="str">
        <f t="shared" si="189"/>
        <v/>
      </c>
      <c r="Z822" s="586" t="str">
        <f t="shared" si="239"/>
        <v/>
      </c>
    </row>
    <row r="823" spans="1:26" ht="12" hidden="1" thickBot="1" x14ac:dyDescent="0.25">
      <c r="A823" s="652" t="s">
        <v>187</v>
      </c>
      <c r="B823" s="572" t="s">
        <v>187</v>
      </c>
      <c r="C823" s="573" t="s">
        <v>187</v>
      </c>
      <c r="D823" s="580"/>
      <c r="E823" s="575"/>
      <c r="F823" s="436"/>
      <c r="G823" s="431"/>
      <c r="H823" s="430"/>
      <c r="I823" s="432"/>
      <c r="J823" s="433"/>
      <c r="K823" s="437">
        <f t="shared" si="246"/>
        <v>0</v>
      </c>
      <c r="L823" s="435" t="s">
        <v>614</v>
      </c>
      <c r="M823" s="576"/>
      <c r="N823" s="576">
        <f t="shared" si="243"/>
        <v>0</v>
      </c>
      <c r="O823" s="577">
        <f t="shared" si="250"/>
        <v>0</v>
      </c>
      <c r="P823" s="578">
        <f t="shared" si="251"/>
        <v>0</v>
      </c>
      <c r="Q823" s="765"/>
      <c r="R823" s="576">
        <f t="shared" si="247"/>
        <v>0</v>
      </c>
      <c r="S823" s="576">
        <f t="shared" si="247"/>
        <v>0</v>
      </c>
      <c r="T823" s="577">
        <f t="shared" si="248"/>
        <v>0</v>
      </c>
      <c r="U823" s="578">
        <f t="shared" si="249"/>
        <v>0</v>
      </c>
      <c r="V823" s="579"/>
      <c r="W823" s="566"/>
      <c r="X823" s="586" t="str">
        <f t="shared" si="238"/>
        <v/>
      </c>
      <c r="Y823" s="586" t="str">
        <f t="shared" si="189"/>
        <v/>
      </c>
      <c r="Z823" s="586" t="str">
        <f t="shared" si="239"/>
        <v/>
      </c>
    </row>
    <row r="824" spans="1:26" ht="12" hidden="1" thickBot="1" x14ac:dyDescent="0.25">
      <c r="A824" s="652" t="s">
        <v>187</v>
      </c>
      <c r="B824" s="572" t="s">
        <v>187</v>
      </c>
      <c r="C824" s="573" t="s">
        <v>187</v>
      </c>
      <c r="D824" s="580"/>
      <c r="E824" s="575"/>
      <c r="F824" s="436"/>
      <c r="G824" s="431"/>
      <c r="H824" s="430"/>
      <c r="I824" s="432"/>
      <c r="J824" s="433"/>
      <c r="K824" s="437">
        <f t="shared" si="246"/>
        <v>0</v>
      </c>
      <c r="L824" s="435" t="s">
        <v>614</v>
      </c>
      <c r="M824" s="576"/>
      <c r="N824" s="576">
        <f t="shared" si="243"/>
        <v>0</v>
      </c>
      <c r="O824" s="577">
        <f t="shared" si="250"/>
        <v>0</v>
      </c>
      <c r="P824" s="578">
        <f t="shared" si="251"/>
        <v>0</v>
      </c>
      <c r="Q824" s="765"/>
      <c r="R824" s="576">
        <f t="shared" si="247"/>
        <v>0</v>
      </c>
      <c r="S824" s="576">
        <f t="shared" si="247"/>
        <v>0</v>
      </c>
      <c r="T824" s="577">
        <f t="shared" si="248"/>
        <v>0</v>
      </c>
      <c r="U824" s="578">
        <f t="shared" si="249"/>
        <v>0</v>
      </c>
      <c r="V824" s="579"/>
      <c r="W824" s="566"/>
      <c r="X824" s="586" t="str">
        <f t="shared" si="238"/>
        <v/>
      </c>
      <c r="Y824" s="586" t="str">
        <f t="shared" si="189"/>
        <v/>
      </c>
      <c r="Z824" s="586" t="str">
        <f t="shared" si="239"/>
        <v/>
      </c>
    </row>
    <row r="825" spans="1:26" ht="12" hidden="1" thickBot="1" x14ac:dyDescent="0.25">
      <c r="A825" s="652" t="s">
        <v>187</v>
      </c>
      <c r="B825" s="572" t="s">
        <v>187</v>
      </c>
      <c r="C825" s="573" t="s">
        <v>187</v>
      </c>
      <c r="D825" s="580"/>
      <c r="E825" s="575"/>
      <c r="F825" s="436"/>
      <c r="G825" s="431"/>
      <c r="H825" s="430"/>
      <c r="I825" s="432"/>
      <c r="J825" s="433"/>
      <c r="K825" s="437">
        <f t="shared" si="246"/>
        <v>0</v>
      </c>
      <c r="L825" s="435" t="s">
        <v>614</v>
      </c>
      <c r="M825" s="576"/>
      <c r="N825" s="576">
        <f t="shared" si="243"/>
        <v>0</v>
      </c>
      <c r="O825" s="577">
        <f t="shared" si="250"/>
        <v>0</v>
      </c>
      <c r="P825" s="578">
        <f t="shared" si="251"/>
        <v>0</v>
      </c>
      <c r="Q825" s="765"/>
      <c r="R825" s="576">
        <f t="shared" si="247"/>
        <v>0</v>
      </c>
      <c r="S825" s="576">
        <f t="shared" si="247"/>
        <v>0</v>
      </c>
      <c r="T825" s="577">
        <f t="shared" si="248"/>
        <v>0</v>
      </c>
      <c r="U825" s="578">
        <f t="shared" si="249"/>
        <v>0</v>
      </c>
      <c r="V825" s="579"/>
      <c r="W825" s="566"/>
      <c r="X825" s="586" t="str">
        <f t="shared" si="238"/>
        <v/>
      </c>
      <c r="Y825" s="586" t="str">
        <f t="shared" si="189"/>
        <v/>
      </c>
      <c r="Z825" s="586" t="str">
        <f t="shared" si="239"/>
        <v/>
      </c>
    </row>
    <row r="826" spans="1:26" ht="12" hidden="1" thickBot="1" x14ac:dyDescent="0.25">
      <c r="A826" s="652" t="s">
        <v>187</v>
      </c>
      <c r="B826" s="572" t="s">
        <v>187</v>
      </c>
      <c r="C826" s="573" t="s">
        <v>187</v>
      </c>
      <c r="D826" s="580"/>
      <c r="E826" s="575"/>
      <c r="F826" s="436"/>
      <c r="G826" s="431"/>
      <c r="H826" s="430"/>
      <c r="I826" s="432"/>
      <c r="J826" s="433"/>
      <c r="K826" s="437">
        <f t="shared" si="246"/>
        <v>0</v>
      </c>
      <c r="L826" s="435" t="s">
        <v>614</v>
      </c>
      <c r="M826" s="576"/>
      <c r="N826" s="576">
        <f t="shared" si="243"/>
        <v>0</v>
      </c>
      <c r="O826" s="577">
        <f t="shared" si="250"/>
        <v>0</v>
      </c>
      <c r="P826" s="578">
        <f t="shared" si="251"/>
        <v>0</v>
      </c>
      <c r="Q826" s="765"/>
      <c r="R826" s="576">
        <f t="shared" si="247"/>
        <v>0</v>
      </c>
      <c r="S826" s="576">
        <f t="shared" si="247"/>
        <v>0</v>
      </c>
      <c r="T826" s="577">
        <f t="shared" si="248"/>
        <v>0</v>
      </c>
      <c r="U826" s="578">
        <f t="shared" si="249"/>
        <v>0</v>
      </c>
      <c r="V826" s="579"/>
      <c r="W826" s="566"/>
      <c r="X826" s="586" t="str">
        <f t="shared" si="238"/>
        <v/>
      </c>
      <c r="Y826" s="586" t="str">
        <f t="shared" si="189"/>
        <v/>
      </c>
      <c r="Z826" s="586" t="str">
        <f t="shared" si="239"/>
        <v/>
      </c>
    </row>
    <row r="827" spans="1:26" ht="12" hidden="1" thickBot="1" x14ac:dyDescent="0.25">
      <c r="A827" s="652" t="s">
        <v>187</v>
      </c>
      <c r="B827" s="572" t="s">
        <v>187</v>
      </c>
      <c r="C827" s="573" t="s">
        <v>187</v>
      </c>
      <c r="D827" s="580"/>
      <c r="E827" s="575"/>
      <c r="F827" s="436"/>
      <c r="G827" s="431"/>
      <c r="H827" s="430"/>
      <c r="I827" s="432"/>
      <c r="J827" s="433"/>
      <c r="K827" s="437">
        <f t="shared" si="246"/>
        <v>0</v>
      </c>
      <c r="L827" s="435" t="s">
        <v>614</v>
      </c>
      <c r="M827" s="576"/>
      <c r="N827" s="576">
        <f t="shared" si="243"/>
        <v>0</v>
      </c>
      <c r="O827" s="577">
        <f t="shared" si="250"/>
        <v>0</v>
      </c>
      <c r="P827" s="578">
        <f t="shared" si="251"/>
        <v>0</v>
      </c>
      <c r="Q827" s="765"/>
      <c r="R827" s="576">
        <f t="shared" si="247"/>
        <v>0</v>
      </c>
      <c r="S827" s="576">
        <f t="shared" si="247"/>
        <v>0</v>
      </c>
      <c r="T827" s="577">
        <f t="shared" si="248"/>
        <v>0</v>
      </c>
      <c r="U827" s="578">
        <f t="shared" si="249"/>
        <v>0</v>
      </c>
      <c r="V827" s="579"/>
      <c r="W827" s="566"/>
      <c r="X827" s="586" t="str">
        <f t="shared" si="238"/>
        <v/>
      </c>
      <c r="Y827" s="586" t="str">
        <f t="shared" si="189"/>
        <v/>
      </c>
      <c r="Z827" s="586" t="str">
        <f t="shared" si="239"/>
        <v/>
      </c>
    </row>
    <row r="828" spans="1:26" ht="12" hidden="1" thickBot="1" x14ac:dyDescent="0.25">
      <c r="A828" s="652" t="s">
        <v>187</v>
      </c>
      <c r="B828" s="572" t="s">
        <v>187</v>
      </c>
      <c r="C828" s="573" t="s">
        <v>187</v>
      </c>
      <c r="D828" s="580"/>
      <c r="E828" s="575"/>
      <c r="F828" s="436"/>
      <c r="G828" s="431"/>
      <c r="H828" s="430"/>
      <c r="I828" s="432"/>
      <c r="J828" s="433"/>
      <c r="K828" s="437">
        <f t="shared" si="246"/>
        <v>0</v>
      </c>
      <c r="L828" s="435" t="s">
        <v>614</v>
      </c>
      <c r="M828" s="576"/>
      <c r="N828" s="576">
        <f t="shared" si="243"/>
        <v>0</v>
      </c>
      <c r="O828" s="577">
        <f t="shared" si="250"/>
        <v>0</v>
      </c>
      <c r="P828" s="578">
        <f t="shared" si="251"/>
        <v>0</v>
      </c>
      <c r="Q828" s="765"/>
      <c r="R828" s="576">
        <f t="shared" si="247"/>
        <v>0</v>
      </c>
      <c r="S828" s="576">
        <f t="shared" si="247"/>
        <v>0</v>
      </c>
      <c r="T828" s="577">
        <f t="shared" si="248"/>
        <v>0</v>
      </c>
      <c r="U828" s="578">
        <f t="shared" si="249"/>
        <v>0</v>
      </c>
      <c r="V828" s="579"/>
      <c r="W828" s="566"/>
      <c r="X828" s="586" t="str">
        <f t="shared" si="238"/>
        <v/>
      </c>
      <c r="Y828" s="586" t="str">
        <f t="shared" si="189"/>
        <v/>
      </c>
      <c r="Z828" s="586" t="str">
        <f t="shared" si="239"/>
        <v/>
      </c>
    </row>
    <row r="829" spans="1:26" ht="12" hidden="1" thickBot="1" x14ac:dyDescent="0.25">
      <c r="A829" s="652" t="s">
        <v>187</v>
      </c>
      <c r="B829" s="572" t="s">
        <v>187</v>
      </c>
      <c r="C829" s="573" t="s">
        <v>187</v>
      </c>
      <c r="D829" s="580"/>
      <c r="E829" s="575"/>
      <c r="F829" s="436"/>
      <c r="G829" s="431"/>
      <c r="H829" s="430"/>
      <c r="I829" s="432"/>
      <c r="J829" s="433"/>
      <c r="K829" s="437">
        <f t="shared" si="246"/>
        <v>0</v>
      </c>
      <c r="L829" s="435" t="s">
        <v>614</v>
      </c>
      <c r="M829" s="576"/>
      <c r="N829" s="576">
        <f t="shared" si="243"/>
        <v>0</v>
      </c>
      <c r="O829" s="577">
        <f t="shared" si="250"/>
        <v>0</v>
      </c>
      <c r="P829" s="578">
        <f t="shared" si="251"/>
        <v>0</v>
      </c>
      <c r="Q829" s="765"/>
      <c r="R829" s="576">
        <f t="shared" si="247"/>
        <v>0</v>
      </c>
      <c r="S829" s="576">
        <f t="shared" si="247"/>
        <v>0</v>
      </c>
      <c r="T829" s="577">
        <f t="shared" si="248"/>
        <v>0</v>
      </c>
      <c r="U829" s="578">
        <f t="shared" si="249"/>
        <v>0</v>
      </c>
      <c r="V829" s="579"/>
      <c r="W829" s="566"/>
      <c r="X829" s="586" t="str">
        <f t="shared" ref="X829:X892" si="252">IF(W829="X","x",IF(W829="xx","x",IF(W829="xy","x",IF(W829="y","x",IF(OR(P829&gt;0,U829&gt;0),"x","")))))</f>
        <v/>
      </c>
      <c r="Y829" s="586" t="str">
        <f t="shared" si="189"/>
        <v/>
      </c>
      <c r="Z829" s="586" t="str">
        <f t="shared" si="239"/>
        <v/>
      </c>
    </row>
    <row r="830" spans="1:26" ht="12" hidden="1" thickBot="1" x14ac:dyDescent="0.25">
      <c r="A830" s="652" t="s">
        <v>187</v>
      </c>
      <c r="B830" s="572" t="s">
        <v>187</v>
      </c>
      <c r="C830" s="573" t="s">
        <v>187</v>
      </c>
      <c r="D830" s="580"/>
      <c r="E830" s="575"/>
      <c r="F830" s="436"/>
      <c r="G830" s="431"/>
      <c r="H830" s="430"/>
      <c r="I830" s="432"/>
      <c r="J830" s="433"/>
      <c r="K830" s="437">
        <f t="shared" si="246"/>
        <v>0</v>
      </c>
      <c r="L830" s="435" t="s">
        <v>614</v>
      </c>
      <c r="M830" s="576"/>
      <c r="N830" s="576">
        <f t="shared" si="243"/>
        <v>0</v>
      </c>
      <c r="O830" s="577">
        <f t="shared" si="250"/>
        <v>0</v>
      </c>
      <c r="P830" s="578">
        <f t="shared" si="251"/>
        <v>0</v>
      </c>
      <c r="Q830" s="765"/>
      <c r="R830" s="576">
        <f t="shared" si="247"/>
        <v>0</v>
      </c>
      <c r="S830" s="576">
        <f t="shared" si="247"/>
        <v>0</v>
      </c>
      <c r="T830" s="577">
        <f t="shared" si="248"/>
        <v>0</v>
      </c>
      <c r="U830" s="578">
        <f t="shared" si="249"/>
        <v>0</v>
      </c>
      <c r="V830" s="579"/>
      <c r="W830" s="566"/>
      <c r="X830" s="586" t="str">
        <f t="shared" si="252"/>
        <v/>
      </c>
      <c r="Y830" s="586" t="str">
        <f t="shared" si="189"/>
        <v/>
      </c>
      <c r="Z830" s="586" t="str">
        <f t="shared" si="239"/>
        <v/>
      </c>
    </row>
    <row r="831" spans="1:26" ht="12" hidden="1" thickBot="1" x14ac:dyDescent="0.25">
      <c r="A831" s="652" t="s">
        <v>187</v>
      </c>
      <c r="B831" s="572" t="s">
        <v>187</v>
      </c>
      <c r="C831" s="573" t="s">
        <v>187</v>
      </c>
      <c r="D831" s="580"/>
      <c r="E831" s="575"/>
      <c r="F831" s="436"/>
      <c r="G831" s="431"/>
      <c r="H831" s="430"/>
      <c r="I831" s="432"/>
      <c r="J831" s="433"/>
      <c r="K831" s="437">
        <f t="shared" si="246"/>
        <v>0</v>
      </c>
      <c r="L831" s="435" t="s">
        <v>614</v>
      </c>
      <c r="M831" s="576"/>
      <c r="N831" s="576">
        <f t="shared" si="243"/>
        <v>0</v>
      </c>
      <c r="O831" s="577">
        <f t="shared" si="250"/>
        <v>0</v>
      </c>
      <c r="P831" s="578">
        <f t="shared" si="251"/>
        <v>0</v>
      </c>
      <c r="Q831" s="765"/>
      <c r="R831" s="576">
        <f t="shared" si="247"/>
        <v>0</v>
      </c>
      <c r="S831" s="576">
        <f t="shared" si="247"/>
        <v>0</v>
      </c>
      <c r="T831" s="577">
        <f t="shared" si="248"/>
        <v>0</v>
      </c>
      <c r="U831" s="578">
        <f t="shared" si="249"/>
        <v>0</v>
      </c>
      <c r="V831" s="579"/>
      <c r="W831" s="566"/>
      <c r="X831" s="586" t="str">
        <f t="shared" si="252"/>
        <v/>
      </c>
      <c r="Y831" s="586" t="str">
        <f t="shared" si="189"/>
        <v/>
      </c>
      <c r="Z831" s="586" t="str">
        <f t="shared" si="239"/>
        <v/>
      </c>
    </row>
    <row r="832" spans="1:26" ht="43.35" hidden="1" customHeight="1" x14ac:dyDescent="0.2">
      <c r="A832" s="652" t="s">
        <v>187</v>
      </c>
      <c r="B832" s="572" t="s">
        <v>187</v>
      </c>
      <c r="C832" s="573" t="s">
        <v>187</v>
      </c>
      <c r="D832" s="580"/>
      <c r="E832" s="575"/>
      <c r="F832" s="436"/>
      <c r="G832" s="431"/>
      <c r="H832" s="430"/>
      <c r="I832" s="432"/>
      <c r="J832" s="433"/>
      <c r="K832" s="437">
        <f t="shared" si="246"/>
        <v>0</v>
      </c>
      <c r="L832" s="435" t="s">
        <v>614</v>
      </c>
      <c r="M832" s="576"/>
      <c r="N832" s="576">
        <f t="shared" si="243"/>
        <v>0</v>
      </c>
      <c r="O832" s="577">
        <f t="shared" si="250"/>
        <v>0</v>
      </c>
      <c r="P832" s="578">
        <f t="shared" si="251"/>
        <v>0</v>
      </c>
      <c r="Q832" s="765"/>
      <c r="R832" s="576">
        <f t="shared" si="247"/>
        <v>0</v>
      </c>
      <c r="S832" s="576">
        <f t="shared" si="247"/>
        <v>0</v>
      </c>
      <c r="T832" s="577">
        <f t="shared" si="248"/>
        <v>0</v>
      </c>
      <c r="U832" s="578">
        <f t="shared" si="249"/>
        <v>0</v>
      </c>
      <c r="V832" s="579"/>
      <c r="W832" s="566"/>
      <c r="X832" s="586" t="str">
        <f t="shared" si="252"/>
        <v/>
      </c>
      <c r="Y832" s="586" t="str">
        <f t="shared" si="189"/>
        <v/>
      </c>
      <c r="Z832" s="586" t="str">
        <f t="shared" si="239"/>
        <v/>
      </c>
    </row>
    <row r="833" spans="1:26" ht="12" hidden="1" thickBot="1" x14ac:dyDescent="0.25">
      <c r="A833" s="652" t="s">
        <v>187</v>
      </c>
      <c r="B833" s="572" t="s">
        <v>187</v>
      </c>
      <c r="C833" s="573" t="s">
        <v>187</v>
      </c>
      <c r="D833" s="580"/>
      <c r="E833" s="575"/>
      <c r="F833" s="436"/>
      <c r="G833" s="431"/>
      <c r="H833" s="430"/>
      <c r="I833" s="432"/>
      <c r="J833" s="433"/>
      <c r="K833" s="437">
        <f t="shared" si="246"/>
        <v>0</v>
      </c>
      <c r="L833" s="435" t="s">
        <v>614</v>
      </c>
      <c r="M833" s="576"/>
      <c r="N833" s="576">
        <f t="shared" si="243"/>
        <v>0</v>
      </c>
      <c r="O833" s="577">
        <f t="shared" si="250"/>
        <v>0</v>
      </c>
      <c r="P833" s="578">
        <f t="shared" si="251"/>
        <v>0</v>
      </c>
      <c r="Q833" s="765"/>
      <c r="R833" s="576">
        <f t="shared" si="247"/>
        <v>0</v>
      </c>
      <c r="S833" s="576">
        <f t="shared" si="247"/>
        <v>0</v>
      </c>
      <c r="T833" s="577">
        <f t="shared" si="248"/>
        <v>0</v>
      </c>
      <c r="U833" s="578">
        <f t="shared" si="249"/>
        <v>0</v>
      </c>
      <c r="V833" s="579"/>
      <c r="W833" s="566"/>
      <c r="X833" s="586" t="str">
        <f t="shared" si="252"/>
        <v/>
      </c>
      <c r="Y833" s="586" t="str">
        <f t="shared" si="189"/>
        <v/>
      </c>
      <c r="Z833" s="586" t="str">
        <f t="shared" si="239"/>
        <v/>
      </c>
    </row>
    <row r="834" spans="1:26" ht="12" hidden="1" thickBot="1" x14ac:dyDescent="0.25">
      <c r="A834" s="652" t="s">
        <v>187</v>
      </c>
      <c r="B834" s="572" t="s">
        <v>187</v>
      </c>
      <c r="C834" s="573" t="s">
        <v>187</v>
      </c>
      <c r="D834" s="580"/>
      <c r="E834" s="575"/>
      <c r="F834" s="436"/>
      <c r="G834" s="431"/>
      <c r="H834" s="430"/>
      <c r="I834" s="432"/>
      <c r="J834" s="433"/>
      <c r="K834" s="437">
        <f t="shared" si="246"/>
        <v>0</v>
      </c>
      <c r="L834" s="435" t="s">
        <v>614</v>
      </c>
      <c r="M834" s="576"/>
      <c r="N834" s="576">
        <f t="shared" si="243"/>
        <v>0</v>
      </c>
      <c r="O834" s="577">
        <f t="shared" si="250"/>
        <v>0</v>
      </c>
      <c r="P834" s="578">
        <f t="shared" si="251"/>
        <v>0</v>
      </c>
      <c r="Q834" s="765"/>
      <c r="R834" s="576">
        <f t="shared" si="247"/>
        <v>0</v>
      </c>
      <c r="S834" s="576">
        <f t="shared" si="247"/>
        <v>0</v>
      </c>
      <c r="T834" s="577">
        <f t="shared" si="248"/>
        <v>0</v>
      </c>
      <c r="U834" s="578">
        <f t="shared" si="249"/>
        <v>0</v>
      </c>
      <c r="V834" s="579"/>
      <c r="W834" s="566"/>
      <c r="X834" s="586" t="str">
        <f t="shared" si="252"/>
        <v/>
      </c>
      <c r="Y834" s="586"/>
      <c r="Z834" s="586"/>
    </row>
    <row r="835" spans="1:26" ht="12" hidden="1" thickBot="1" x14ac:dyDescent="0.25">
      <c r="A835" s="652" t="s">
        <v>187</v>
      </c>
      <c r="B835" s="572" t="s">
        <v>187</v>
      </c>
      <c r="C835" s="573" t="s">
        <v>187</v>
      </c>
      <c r="D835" s="580"/>
      <c r="E835" s="575"/>
      <c r="F835" s="436"/>
      <c r="G835" s="431"/>
      <c r="H835" s="430"/>
      <c r="I835" s="432"/>
      <c r="J835" s="433"/>
      <c r="K835" s="437">
        <f t="shared" si="246"/>
        <v>0</v>
      </c>
      <c r="L835" s="435" t="s">
        <v>614</v>
      </c>
      <c r="M835" s="576"/>
      <c r="N835" s="576">
        <f t="shared" si="243"/>
        <v>0</v>
      </c>
      <c r="O835" s="577">
        <f t="shared" si="250"/>
        <v>0</v>
      </c>
      <c r="P835" s="578">
        <f t="shared" si="251"/>
        <v>0</v>
      </c>
      <c r="Q835" s="765"/>
      <c r="R835" s="576">
        <f t="shared" si="247"/>
        <v>0</v>
      </c>
      <c r="S835" s="576">
        <f t="shared" si="247"/>
        <v>0</v>
      </c>
      <c r="T835" s="577">
        <f t="shared" si="248"/>
        <v>0</v>
      </c>
      <c r="U835" s="578">
        <f t="shared" si="249"/>
        <v>0</v>
      </c>
      <c r="V835" s="579"/>
      <c r="W835" s="566"/>
      <c r="X835" s="586" t="str">
        <f t="shared" si="252"/>
        <v/>
      </c>
      <c r="Y835" s="586" t="str">
        <f t="shared" si="189"/>
        <v/>
      </c>
      <c r="Z835" s="586" t="str">
        <f t="shared" si="239"/>
        <v/>
      </c>
    </row>
    <row r="836" spans="1:26" ht="12" hidden="1" thickBot="1" x14ac:dyDescent="0.25">
      <c r="A836" s="652" t="s">
        <v>187</v>
      </c>
      <c r="B836" s="572" t="s">
        <v>187</v>
      </c>
      <c r="C836" s="573" t="s">
        <v>187</v>
      </c>
      <c r="D836" s="580"/>
      <c r="E836" s="575"/>
      <c r="F836" s="436"/>
      <c r="G836" s="431"/>
      <c r="H836" s="430"/>
      <c r="I836" s="432"/>
      <c r="J836" s="433"/>
      <c r="K836" s="437">
        <f t="shared" si="246"/>
        <v>0</v>
      </c>
      <c r="L836" s="435" t="s">
        <v>614</v>
      </c>
      <c r="M836" s="576"/>
      <c r="N836" s="576">
        <f t="shared" si="243"/>
        <v>0</v>
      </c>
      <c r="O836" s="577">
        <f t="shared" si="250"/>
        <v>0</v>
      </c>
      <c r="P836" s="578">
        <f t="shared" si="251"/>
        <v>0</v>
      </c>
      <c r="Q836" s="765"/>
      <c r="R836" s="576">
        <f t="shared" si="247"/>
        <v>0</v>
      </c>
      <c r="S836" s="576">
        <f t="shared" si="247"/>
        <v>0</v>
      </c>
      <c r="T836" s="577">
        <f t="shared" si="248"/>
        <v>0</v>
      </c>
      <c r="U836" s="578">
        <f t="shared" si="249"/>
        <v>0</v>
      </c>
      <c r="V836" s="579"/>
      <c r="W836" s="566"/>
      <c r="X836" s="586" t="str">
        <f t="shared" si="252"/>
        <v/>
      </c>
      <c r="Y836" s="586" t="str">
        <f t="shared" si="189"/>
        <v/>
      </c>
      <c r="Z836" s="586" t="str">
        <f t="shared" si="239"/>
        <v/>
      </c>
    </row>
    <row r="837" spans="1:26" ht="12" hidden="1" thickBot="1" x14ac:dyDescent="0.25">
      <c r="A837" s="652" t="s">
        <v>187</v>
      </c>
      <c r="B837" s="572" t="s">
        <v>187</v>
      </c>
      <c r="C837" s="573" t="s">
        <v>187</v>
      </c>
      <c r="D837" s="580"/>
      <c r="E837" s="575"/>
      <c r="F837" s="436"/>
      <c r="G837" s="431"/>
      <c r="H837" s="430"/>
      <c r="I837" s="432"/>
      <c r="J837" s="433"/>
      <c r="K837" s="437">
        <f t="shared" si="246"/>
        <v>0</v>
      </c>
      <c r="L837" s="435" t="s">
        <v>614</v>
      </c>
      <c r="M837" s="576"/>
      <c r="N837" s="576">
        <f t="shared" si="243"/>
        <v>0</v>
      </c>
      <c r="O837" s="577">
        <f t="shared" si="250"/>
        <v>0</v>
      </c>
      <c r="P837" s="578">
        <f t="shared" si="251"/>
        <v>0</v>
      </c>
      <c r="Q837" s="765"/>
      <c r="R837" s="576">
        <f t="shared" si="247"/>
        <v>0</v>
      </c>
      <c r="S837" s="576">
        <f t="shared" si="247"/>
        <v>0</v>
      </c>
      <c r="T837" s="577">
        <f t="shared" si="248"/>
        <v>0</v>
      </c>
      <c r="U837" s="578">
        <f t="shared" si="249"/>
        <v>0</v>
      </c>
      <c r="V837" s="579"/>
      <c r="W837" s="566"/>
      <c r="X837" s="586" t="str">
        <f t="shared" si="252"/>
        <v/>
      </c>
      <c r="Y837" s="586" t="str">
        <f t="shared" si="189"/>
        <v/>
      </c>
      <c r="Z837" s="586" t="str">
        <f t="shared" si="239"/>
        <v/>
      </c>
    </row>
    <row r="838" spans="1:26" ht="12" hidden="1" thickBot="1" x14ac:dyDescent="0.25">
      <c r="A838" s="652" t="s">
        <v>187</v>
      </c>
      <c r="B838" s="572" t="s">
        <v>187</v>
      </c>
      <c r="C838" s="573" t="s">
        <v>187</v>
      </c>
      <c r="D838" s="580"/>
      <c r="E838" s="575"/>
      <c r="F838" s="436"/>
      <c r="G838" s="431"/>
      <c r="H838" s="430"/>
      <c r="I838" s="432"/>
      <c r="J838" s="433"/>
      <c r="K838" s="437">
        <f t="shared" si="246"/>
        <v>0</v>
      </c>
      <c r="L838" s="435" t="s">
        <v>614</v>
      </c>
      <c r="M838" s="576"/>
      <c r="N838" s="576">
        <f t="shared" si="243"/>
        <v>0</v>
      </c>
      <c r="O838" s="577">
        <f t="shared" si="250"/>
        <v>0</v>
      </c>
      <c r="P838" s="578">
        <f t="shared" si="251"/>
        <v>0</v>
      </c>
      <c r="Q838" s="765"/>
      <c r="R838" s="576">
        <f t="shared" si="247"/>
        <v>0</v>
      </c>
      <c r="S838" s="576">
        <f t="shared" si="247"/>
        <v>0</v>
      </c>
      <c r="T838" s="577">
        <f t="shared" si="248"/>
        <v>0</v>
      </c>
      <c r="U838" s="578">
        <f t="shared" si="249"/>
        <v>0</v>
      </c>
      <c r="V838" s="579"/>
      <c r="W838" s="566"/>
      <c r="X838" s="586" t="str">
        <f t="shared" si="252"/>
        <v/>
      </c>
      <c r="Y838" s="586" t="str">
        <f t="shared" si="189"/>
        <v/>
      </c>
      <c r="Z838" s="586" t="str">
        <f t="shared" si="239"/>
        <v/>
      </c>
    </row>
    <row r="839" spans="1:26" ht="12" hidden="1" thickBot="1" x14ac:dyDescent="0.25">
      <c r="A839" s="652" t="s">
        <v>187</v>
      </c>
      <c r="B839" s="581" t="s">
        <v>187</v>
      </c>
      <c r="C839" s="582" t="s">
        <v>187</v>
      </c>
      <c r="D839" s="583"/>
      <c r="E839" s="584"/>
      <c r="F839" s="438"/>
      <c r="G839" s="439"/>
      <c r="H839" s="440"/>
      <c r="I839" s="441"/>
      <c r="J839" s="442"/>
      <c r="K839" s="443">
        <f t="shared" si="246"/>
        <v>0</v>
      </c>
      <c r="L839" s="444" t="s">
        <v>614</v>
      </c>
      <c r="M839" s="576"/>
      <c r="N839" s="576">
        <f t="shared" si="243"/>
        <v>0</v>
      </c>
      <c r="O839" s="585">
        <f t="shared" si="250"/>
        <v>0</v>
      </c>
      <c r="P839" s="660">
        <f t="shared" si="251"/>
        <v>0</v>
      </c>
      <c r="Q839" s="765"/>
      <c r="R839" s="576">
        <f t="shared" si="247"/>
        <v>0</v>
      </c>
      <c r="S839" s="576">
        <f t="shared" si="247"/>
        <v>0</v>
      </c>
      <c r="T839" s="585">
        <f t="shared" si="248"/>
        <v>0</v>
      </c>
      <c r="U839" s="660">
        <f t="shared" si="249"/>
        <v>0</v>
      </c>
      <c r="V839" s="579"/>
      <c r="W839" s="566"/>
      <c r="X839" s="586" t="str">
        <f t="shared" si="252"/>
        <v/>
      </c>
      <c r="Y839" s="586" t="str">
        <f t="shared" si="189"/>
        <v/>
      </c>
      <c r="Z839" s="586" t="str">
        <f t="shared" si="239"/>
        <v/>
      </c>
    </row>
    <row r="840" spans="1:26" ht="12" hidden="1" thickBot="1" x14ac:dyDescent="0.25">
      <c r="A840" s="567" t="s">
        <v>321</v>
      </c>
      <c r="B840" s="664" t="s">
        <v>321</v>
      </c>
      <c r="C840" s="665"/>
      <c r="D840" s="666" t="s">
        <v>470</v>
      </c>
      <c r="E840" s="631"/>
      <c r="F840" s="632"/>
      <c r="G840" s="633"/>
      <c r="H840" s="409"/>
      <c r="I840" s="409"/>
      <c r="J840" s="409"/>
      <c r="K840" s="409"/>
      <c r="L840" s="409" t="s">
        <v>614</v>
      </c>
      <c r="M840" s="634"/>
      <c r="N840" s="797"/>
      <c r="O840" s="409">
        <f t="shared" si="250"/>
        <v>0</v>
      </c>
      <c r="P840" s="635">
        <f t="shared" si="251"/>
        <v>0</v>
      </c>
      <c r="Q840" s="635">
        <f>SUM(P841:P1689)</f>
        <v>0</v>
      </c>
      <c r="R840" s="634"/>
      <c r="S840" s="409"/>
      <c r="T840" s="409">
        <f t="shared" si="248"/>
        <v>0</v>
      </c>
      <c r="U840" s="635">
        <f t="shared" si="249"/>
        <v>0</v>
      </c>
      <c r="V840" s="636">
        <f>SUM(U841:U1689)</f>
        <v>0</v>
      </c>
      <c r="W840" s="637" t="str">
        <f>IF(OR(Q840&gt;0,V840&gt;0),"X","")</f>
        <v/>
      </c>
      <c r="X840" s="586" t="str">
        <f t="shared" si="252"/>
        <v/>
      </c>
      <c r="Y840" s="586" t="str">
        <f t="shared" si="189"/>
        <v/>
      </c>
      <c r="Z840" s="586" t="str">
        <f t="shared" si="239"/>
        <v/>
      </c>
    </row>
    <row r="841" spans="1:26" ht="12" hidden="1" thickBot="1" x14ac:dyDescent="0.25">
      <c r="A841" s="567">
        <v>702</v>
      </c>
      <c r="B841" s="644">
        <v>702</v>
      </c>
      <c r="C841" s="645" t="s">
        <v>458</v>
      </c>
      <c r="D841" s="422" t="s">
        <v>510</v>
      </c>
      <c r="E841" s="423"/>
      <c r="F841" s="424">
        <v>0</v>
      </c>
      <c r="G841" s="425"/>
      <c r="H841" s="651">
        <v>0</v>
      </c>
      <c r="I841" s="420">
        <v>456.36</v>
      </c>
      <c r="J841" s="420">
        <f t="shared" ref="J841:J846" si="253">IF(ISBLANK(I841),"",SUM(H841:I841))</f>
        <v>456.36</v>
      </c>
      <c r="K841" s="421">
        <f t="shared" ref="K841:K904" si="254">IF(ISBLANK(I841),0,ROUND(J841*(1+$F$10)*(1+$F$11*E841),2))</f>
        <v>542.20000000000005</v>
      </c>
      <c r="L841" s="647" t="s">
        <v>177</v>
      </c>
      <c r="M841" s="576"/>
      <c r="N841" s="576">
        <f t="shared" si="243"/>
        <v>0</v>
      </c>
      <c r="O841" s="577">
        <f t="shared" si="250"/>
        <v>0</v>
      </c>
      <c r="P841" s="578">
        <f t="shared" si="251"/>
        <v>0</v>
      </c>
      <c r="Q841" s="765"/>
      <c r="R841" s="576">
        <f t="shared" si="247"/>
        <v>0</v>
      </c>
      <c r="S841" s="576">
        <f t="shared" si="247"/>
        <v>0</v>
      </c>
      <c r="T841" s="577">
        <f t="shared" si="248"/>
        <v>0</v>
      </c>
      <c r="U841" s="578">
        <f t="shared" si="249"/>
        <v>0</v>
      </c>
      <c r="V841" s="579"/>
      <c r="W841" s="566"/>
      <c r="X841" s="586" t="str">
        <f t="shared" si="252"/>
        <v/>
      </c>
      <c r="Y841" s="586" t="str">
        <f t="shared" si="189"/>
        <v/>
      </c>
      <c r="Z841" s="586" t="str">
        <f t="shared" si="239"/>
        <v/>
      </c>
    </row>
    <row r="842" spans="1:26" ht="12" hidden="1" thickBot="1" x14ac:dyDescent="0.25">
      <c r="A842" s="567">
        <v>703</v>
      </c>
      <c r="B842" s="644">
        <v>703</v>
      </c>
      <c r="C842" s="645" t="s">
        <v>458</v>
      </c>
      <c r="D842" s="422" t="s">
        <v>511</v>
      </c>
      <c r="E842" s="423"/>
      <c r="F842" s="424">
        <v>0</v>
      </c>
      <c r="G842" s="425"/>
      <c r="H842" s="651">
        <v>0</v>
      </c>
      <c r="I842" s="420">
        <v>57.9</v>
      </c>
      <c r="J842" s="420">
        <f t="shared" si="253"/>
        <v>57.9</v>
      </c>
      <c r="K842" s="421">
        <f t="shared" si="254"/>
        <v>68.790000000000006</v>
      </c>
      <c r="L842" s="647" t="s">
        <v>21</v>
      </c>
      <c r="M842" s="576"/>
      <c r="N842" s="576">
        <f t="shared" si="243"/>
        <v>0</v>
      </c>
      <c r="O842" s="577">
        <f t="shared" si="250"/>
        <v>0</v>
      </c>
      <c r="P842" s="578">
        <f t="shared" si="251"/>
        <v>0</v>
      </c>
      <c r="Q842" s="765"/>
      <c r="R842" s="576">
        <f t="shared" si="247"/>
        <v>0</v>
      </c>
      <c r="S842" s="576">
        <f t="shared" si="247"/>
        <v>0</v>
      </c>
      <c r="T842" s="577">
        <f t="shared" si="248"/>
        <v>0</v>
      </c>
      <c r="U842" s="578">
        <f t="shared" si="249"/>
        <v>0</v>
      </c>
      <c r="V842" s="579"/>
      <c r="W842" s="566"/>
      <c r="X842" s="586" t="str">
        <f t="shared" si="252"/>
        <v/>
      </c>
      <c r="Y842" s="586" t="str">
        <f t="shared" si="189"/>
        <v/>
      </c>
      <c r="Z842" s="586" t="str">
        <f t="shared" si="239"/>
        <v/>
      </c>
    </row>
    <row r="843" spans="1:26" ht="12" hidden="1" thickBot="1" x14ac:dyDescent="0.25">
      <c r="A843" s="567">
        <v>704</v>
      </c>
      <c r="B843" s="644">
        <v>704</v>
      </c>
      <c r="C843" s="645" t="s">
        <v>458</v>
      </c>
      <c r="D843" s="422" t="s">
        <v>512</v>
      </c>
      <c r="E843" s="423"/>
      <c r="F843" s="424">
        <v>0</v>
      </c>
      <c r="G843" s="425"/>
      <c r="H843" s="651">
        <v>0</v>
      </c>
      <c r="I843" s="420">
        <v>44.54</v>
      </c>
      <c r="J843" s="420">
        <f t="shared" si="253"/>
        <v>44.54</v>
      </c>
      <c r="K843" s="421">
        <f t="shared" si="254"/>
        <v>52.92</v>
      </c>
      <c r="L843" s="647" t="s">
        <v>21</v>
      </c>
      <c r="M843" s="576"/>
      <c r="N843" s="576">
        <f t="shared" si="243"/>
        <v>0</v>
      </c>
      <c r="O843" s="577">
        <f t="shared" si="250"/>
        <v>0</v>
      </c>
      <c r="P843" s="578">
        <f t="shared" si="251"/>
        <v>0</v>
      </c>
      <c r="Q843" s="765"/>
      <c r="R843" s="576">
        <f t="shared" si="247"/>
        <v>0</v>
      </c>
      <c r="S843" s="576">
        <f t="shared" si="247"/>
        <v>0</v>
      </c>
      <c r="T843" s="577">
        <f t="shared" si="248"/>
        <v>0</v>
      </c>
      <c r="U843" s="578">
        <f t="shared" si="249"/>
        <v>0</v>
      </c>
      <c r="V843" s="579"/>
      <c r="W843" s="566"/>
      <c r="X843" s="586" t="str">
        <f t="shared" si="252"/>
        <v/>
      </c>
      <c r="Y843" s="586" t="str">
        <f t="shared" si="189"/>
        <v/>
      </c>
      <c r="Z843" s="586" t="str">
        <f t="shared" si="239"/>
        <v/>
      </c>
    </row>
    <row r="844" spans="1:26" ht="12" hidden="1" thickBot="1" x14ac:dyDescent="0.25">
      <c r="A844" s="567">
        <v>740</v>
      </c>
      <c r="B844" s="644">
        <v>740</v>
      </c>
      <c r="C844" s="645" t="s">
        <v>458</v>
      </c>
      <c r="D844" s="422" t="s">
        <v>1923</v>
      </c>
      <c r="E844" s="423"/>
      <c r="F844" s="424">
        <v>0</v>
      </c>
      <c r="G844" s="425"/>
      <c r="H844" s="651">
        <v>0</v>
      </c>
      <c r="I844" s="420">
        <v>54.82</v>
      </c>
      <c r="J844" s="420">
        <f t="shared" si="253"/>
        <v>54.82</v>
      </c>
      <c r="K844" s="421">
        <f t="shared" si="254"/>
        <v>65.13</v>
      </c>
      <c r="L844" s="647" t="s">
        <v>21</v>
      </c>
      <c r="M844" s="576"/>
      <c r="N844" s="576">
        <f t="shared" si="243"/>
        <v>0</v>
      </c>
      <c r="O844" s="577">
        <f t="shared" si="250"/>
        <v>0</v>
      </c>
      <c r="P844" s="578">
        <f t="shared" si="251"/>
        <v>0</v>
      </c>
      <c r="Q844" s="765"/>
      <c r="R844" s="576">
        <f t="shared" si="247"/>
        <v>0</v>
      </c>
      <c r="S844" s="576">
        <f t="shared" si="247"/>
        <v>0</v>
      </c>
      <c r="T844" s="577">
        <f t="shared" si="248"/>
        <v>0</v>
      </c>
      <c r="U844" s="578">
        <f t="shared" si="249"/>
        <v>0</v>
      </c>
      <c r="V844" s="579"/>
      <c r="W844" s="566"/>
      <c r="X844" s="586" t="str">
        <f t="shared" si="252"/>
        <v/>
      </c>
      <c r="Y844" s="586" t="str">
        <f t="shared" si="189"/>
        <v/>
      </c>
      <c r="Z844" s="586" t="str">
        <f t="shared" si="239"/>
        <v/>
      </c>
    </row>
    <row r="845" spans="1:26" ht="12" hidden="1" thickBot="1" x14ac:dyDescent="0.25">
      <c r="A845" s="567">
        <v>741</v>
      </c>
      <c r="B845" s="644">
        <v>741</v>
      </c>
      <c r="C845" s="645" t="s">
        <v>458</v>
      </c>
      <c r="D845" s="422" t="s">
        <v>1924</v>
      </c>
      <c r="E845" s="423"/>
      <c r="F845" s="424"/>
      <c r="G845" s="425"/>
      <c r="H845" s="651"/>
      <c r="I845" s="420">
        <v>149.38</v>
      </c>
      <c r="J845" s="420">
        <f t="shared" si="253"/>
        <v>149.38</v>
      </c>
      <c r="K845" s="421">
        <f t="shared" si="254"/>
        <v>177.48</v>
      </c>
      <c r="L845" s="647" t="s">
        <v>21</v>
      </c>
      <c r="M845" s="576"/>
      <c r="N845" s="576">
        <f t="shared" si="243"/>
        <v>0</v>
      </c>
      <c r="O845" s="577">
        <f t="shared" si="250"/>
        <v>0</v>
      </c>
      <c r="P845" s="578">
        <f t="shared" si="251"/>
        <v>0</v>
      </c>
      <c r="Q845" s="765"/>
      <c r="R845" s="576">
        <f t="shared" si="247"/>
        <v>0</v>
      </c>
      <c r="S845" s="576">
        <f t="shared" si="247"/>
        <v>0</v>
      </c>
      <c r="T845" s="577">
        <f t="shared" si="248"/>
        <v>0</v>
      </c>
      <c r="U845" s="578">
        <f t="shared" si="249"/>
        <v>0</v>
      </c>
      <c r="V845" s="579"/>
      <c r="W845" s="566"/>
      <c r="X845" s="586" t="str">
        <f t="shared" si="252"/>
        <v/>
      </c>
      <c r="Y845" s="586" t="str">
        <f t="shared" si="189"/>
        <v/>
      </c>
      <c r="Z845" s="586" t="str">
        <f t="shared" si="239"/>
        <v/>
      </c>
    </row>
    <row r="846" spans="1:26" ht="12" hidden="1" thickBot="1" x14ac:dyDescent="0.25">
      <c r="A846" s="567">
        <v>742</v>
      </c>
      <c r="B846" s="644">
        <v>742</v>
      </c>
      <c r="C846" s="645" t="s">
        <v>458</v>
      </c>
      <c r="D846" s="422" t="s">
        <v>1925</v>
      </c>
      <c r="E846" s="423"/>
      <c r="F846" s="424"/>
      <c r="G846" s="425"/>
      <c r="H846" s="651"/>
      <c r="I846" s="420">
        <v>45.23</v>
      </c>
      <c r="J846" s="420">
        <f t="shared" si="253"/>
        <v>45.23</v>
      </c>
      <c r="K846" s="421">
        <f t="shared" si="254"/>
        <v>53.74</v>
      </c>
      <c r="L846" s="647" t="s">
        <v>21</v>
      </c>
      <c r="M846" s="576"/>
      <c r="N846" s="576">
        <f t="shared" si="243"/>
        <v>0</v>
      </c>
      <c r="O846" s="577">
        <f t="shared" si="250"/>
        <v>0</v>
      </c>
      <c r="P846" s="578">
        <f t="shared" si="251"/>
        <v>0</v>
      </c>
      <c r="Q846" s="765"/>
      <c r="R846" s="576">
        <f t="shared" si="247"/>
        <v>0</v>
      </c>
      <c r="S846" s="576">
        <f t="shared" si="247"/>
        <v>0</v>
      </c>
      <c r="T846" s="577">
        <f t="shared" si="248"/>
        <v>0</v>
      </c>
      <c r="U846" s="578">
        <f t="shared" si="249"/>
        <v>0</v>
      </c>
      <c r="V846" s="579"/>
      <c r="W846" s="566"/>
      <c r="X846" s="586" t="str">
        <f t="shared" si="252"/>
        <v/>
      </c>
      <c r="Y846" s="586" t="str">
        <f t="shared" si="189"/>
        <v/>
      </c>
      <c r="Z846" s="586" t="str">
        <f t="shared" si="239"/>
        <v/>
      </c>
    </row>
    <row r="847" spans="1:26" ht="12" hidden="1" thickBot="1" x14ac:dyDescent="0.25">
      <c r="A847" s="567" t="s">
        <v>513</v>
      </c>
      <c r="B847" s="644" t="s">
        <v>513</v>
      </c>
      <c r="C847" s="645" t="s">
        <v>458</v>
      </c>
      <c r="D847" s="422" t="s">
        <v>1926</v>
      </c>
      <c r="E847" s="423"/>
      <c r="F847" s="424"/>
      <c r="G847" s="425"/>
      <c r="H847" s="651"/>
      <c r="I847" s="420">
        <v>18.16</v>
      </c>
      <c r="J847" s="420">
        <f t="shared" ref="J847:J861" si="255">IF(ISBLANK(I847),"",SUM(H847:I847))</f>
        <v>18.16</v>
      </c>
      <c r="K847" s="421">
        <f t="shared" si="254"/>
        <v>21.58</v>
      </c>
      <c r="L847" s="647" t="s">
        <v>21</v>
      </c>
      <c r="M847" s="576"/>
      <c r="N847" s="576">
        <f t="shared" si="243"/>
        <v>0</v>
      </c>
      <c r="O847" s="577">
        <f t="shared" si="250"/>
        <v>0</v>
      </c>
      <c r="P847" s="578">
        <f t="shared" si="251"/>
        <v>0</v>
      </c>
      <c r="Q847" s="765"/>
      <c r="R847" s="576">
        <f t="shared" si="247"/>
        <v>0</v>
      </c>
      <c r="S847" s="576">
        <f t="shared" si="247"/>
        <v>0</v>
      </c>
      <c r="T847" s="577">
        <f t="shared" si="248"/>
        <v>0</v>
      </c>
      <c r="U847" s="578">
        <f t="shared" si="249"/>
        <v>0</v>
      </c>
      <c r="V847" s="579"/>
      <c r="W847" s="566"/>
      <c r="X847" s="586" t="str">
        <f t="shared" si="252"/>
        <v/>
      </c>
      <c r="Y847" s="586" t="str">
        <f t="shared" si="189"/>
        <v/>
      </c>
      <c r="Z847" s="586" t="str">
        <f t="shared" si="239"/>
        <v/>
      </c>
    </row>
    <row r="848" spans="1:26" ht="12" hidden="1" thickBot="1" x14ac:dyDescent="0.25">
      <c r="A848" s="567">
        <v>743</v>
      </c>
      <c r="B848" s="644">
        <v>743</v>
      </c>
      <c r="C848" s="645" t="s">
        <v>458</v>
      </c>
      <c r="D848" s="422" t="s">
        <v>1927</v>
      </c>
      <c r="E848" s="423"/>
      <c r="F848" s="424"/>
      <c r="G848" s="425"/>
      <c r="H848" s="651"/>
      <c r="I848" s="420">
        <v>222.01</v>
      </c>
      <c r="J848" s="420">
        <f t="shared" si="255"/>
        <v>222.01</v>
      </c>
      <c r="K848" s="421">
        <f t="shared" si="254"/>
        <v>263.77</v>
      </c>
      <c r="L848" s="647" t="s">
        <v>21</v>
      </c>
      <c r="M848" s="576"/>
      <c r="N848" s="576">
        <f t="shared" si="243"/>
        <v>0</v>
      </c>
      <c r="O848" s="577">
        <f t="shared" si="250"/>
        <v>0</v>
      </c>
      <c r="P848" s="578">
        <f t="shared" si="251"/>
        <v>0</v>
      </c>
      <c r="Q848" s="765"/>
      <c r="R848" s="576">
        <f t="shared" si="247"/>
        <v>0</v>
      </c>
      <c r="S848" s="576">
        <f t="shared" si="247"/>
        <v>0</v>
      </c>
      <c r="T848" s="577">
        <f t="shared" si="248"/>
        <v>0</v>
      </c>
      <c r="U848" s="578">
        <f t="shared" si="249"/>
        <v>0</v>
      </c>
      <c r="V848" s="579"/>
      <c r="W848" s="566"/>
      <c r="X848" s="586" t="str">
        <f t="shared" si="252"/>
        <v/>
      </c>
      <c r="Y848" s="586" t="str">
        <f t="shared" si="189"/>
        <v/>
      </c>
      <c r="Z848" s="586" t="str">
        <f t="shared" si="239"/>
        <v/>
      </c>
    </row>
    <row r="849" spans="1:26" ht="12" hidden="1" thickBot="1" x14ac:dyDescent="0.25">
      <c r="A849" s="567" t="s">
        <v>514</v>
      </c>
      <c r="B849" s="644" t="s">
        <v>514</v>
      </c>
      <c r="C849" s="645" t="s">
        <v>458</v>
      </c>
      <c r="D849" s="422" t="s">
        <v>1928</v>
      </c>
      <c r="E849" s="423"/>
      <c r="F849" s="424"/>
      <c r="G849" s="425"/>
      <c r="H849" s="651"/>
      <c r="I849" s="420">
        <v>88.74</v>
      </c>
      <c r="J849" s="420">
        <f t="shared" si="255"/>
        <v>88.74</v>
      </c>
      <c r="K849" s="421">
        <f t="shared" si="254"/>
        <v>105.43</v>
      </c>
      <c r="L849" s="647" t="s">
        <v>21</v>
      </c>
      <c r="M849" s="576"/>
      <c r="N849" s="576">
        <f t="shared" si="243"/>
        <v>0</v>
      </c>
      <c r="O849" s="577">
        <f t="shared" si="250"/>
        <v>0</v>
      </c>
      <c r="P849" s="578">
        <f t="shared" si="251"/>
        <v>0</v>
      </c>
      <c r="Q849" s="765"/>
      <c r="R849" s="576">
        <f t="shared" si="247"/>
        <v>0</v>
      </c>
      <c r="S849" s="576">
        <f t="shared" si="247"/>
        <v>0</v>
      </c>
      <c r="T849" s="577">
        <f t="shared" si="248"/>
        <v>0</v>
      </c>
      <c r="U849" s="578">
        <f t="shared" si="249"/>
        <v>0</v>
      </c>
      <c r="V849" s="579"/>
      <c r="W849" s="566"/>
      <c r="X849" s="586" t="str">
        <f t="shared" si="252"/>
        <v/>
      </c>
      <c r="Y849" s="586" t="str">
        <f t="shared" si="189"/>
        <v/>
      </c>
      <c r="Z849" s="586" t="str">
        <f t="shared" si="239"/>
        <v/>
      </c>
    </row>
    <row r="850" spans="1:26" ht="12" hidden="1" thickBot="1" x14ac:dyDescent="0.25">
      <c r="A850" s="567">
        <v>744</v>
      </c>
      <c r="B850" s="644">
        <v>744</v>
      </c>
      <c r="C850" s="645" t="s">
        <v>458</v>
      </c>
      <c r="D850" s="422" t="s">
        <v>1929</v>
      </c>
      <c r="E850" s="423"/>
      <c r="F850" s="424"/>
      <c r="G850" s="425"/>
      <c r="H850" s="651"/>
      <c r="I850" s="420">
        <v>421.76</v>
      </c>
      <c r="J850" s="420">
        <f t="shared" si="255"/>
        <v>421.76</v>
      </c>
      <c r="K850" s="421">
        <f t="shared" si="254"/>
        <v>501.09</v>
      </c>
      <c r="L850" s="647" t="s">
        <v>21</v>
      </c>
      <c r="M850" s="576"/>
      <c r="N850" s="576">
        <f t="shared" si="243"/>
        <v>0</v>
      </c>
      <c r="O850" s="577">
        <f t="shared" si="250"/>
        <v>0</v>
      </c>
      <c r="P850" s="578">
        <f t="shared" si="251"/>
        <v>0</v>
      </c>
      <c r="Q850" s="765"/>
      <c r="R850" s="576">
        <f t="shared" si="247"/>
        <v>0</v>
      </c>
      <c r="S850" s="576">
        <f t="shared" si="247"/>
        <v>0</v>
      </c>
      <c r="T850" s="577">
        <f t="shared" si="248"/>
        <v>0</v>
      </c>
      <c r="U850" s="578">
        <f t="shared" si="249"/>
        <v>0</v>
      </c>
      <c r="V850" s="579"/>
      <c r="W850" s="566"/>
      <c r="X850" s="586" t="str">
        <f t="shared" si="252"/>
        <v/>
      </c>
      <c r="Y850" s="586" t="str">
        <f t="shared" si="189"/>
        <v/>
      </c>
      <c r="Z850" s="586" t="str">
        <f t="shared" si="239"/>
        <v/>
      </c>
    </row>
    <row r="851" spans="1:26" ht="23.25" hidden="1" thickBot="1" x14ac:dyDescent="0.25">
      <c r="A851" s="567" t="s">
        <v>515</v>
      </c>
      <c r="B851" s="644" t="s">
        <v>515</v>
      </c>
      <c r="C851" s="645" t="s">
        <v>458</v>
      </c>
      <c r="D851" s="422" t="s">
        <v>1930</v>
      </c>
      <c r="E851" s="423"/>
      <c r="F851" s="424"/>
      <c r="G851" s="425"/>
      <c r="H851" s="651"/>
      <c r="I851" s="420">
        <v>168.57</v>
      </c>
      <c r="J851" s="420">
        <f t="shared" si="255"/>
        <v>168.57</v>
      </c>
      <c r="K851" s="421">
        <f t="shared" si="254"/>
        <v>200.28</v>
      </c>
      <c r="L851" s="647" t="s">
        <v>21</v>
      </c>
      <c r="M851" s="576"/>
      <c r="N851" s="576">
        <f t="shared" si="243"/>
        <v>0</v>
      </c>
      <c r="O851" s="577">
        <f t="shared" si="250"/>
        <v>0</v>
      </c>
      <c r="P851" s="578">
        <f t="shared" si="251"/>
        <v>0</v>
      </c>
      <c r="Q851" s="765"/>
      <c r="R851" s="576">
        <f t="shared" si="247"/>
        <v>0</v>
      </c>
      <c r="S851" s="576">
        <f t="shared" si="247"/>
        <v>0</v>
      </c>
      <c r="T851" s="577">
        <f t="shared" si="248"/>
        <v>0</v>
      </c>
      <c r="U851" s="578">
        <f t="shared" si="249"/>
        <v>0</v>
      </c>
      <c r="V851" s="579"/>
      <c r="W851" s="566"/>
      <c r="X851" s="586" t="str">
        <f t="shared" si="252"/>
        <v/>
      </c>
      <c r="Y851" s="586" t="str">
        <f t="shared" si="189"/>
        <v/>
      </c>
      <c r="Z851" s="586" t="str">
        <f t="shared" si="239"/>
        <v/>
      </c>
    </row>
    <row r="852" spans="1:26" ht="12" hidden="1" thickBot="1" x14ac:dyDescent="0.25">
      <c r="A852" s="567">
        <v>745</v>
      </c>
      <c r="B852" s="644">
        <v>745</v>
      </c>
      <c r="C852" s="645" t="s">
        <v>458</v>
      </c>
      <c r="D852" s="422" t="s">
        <v>1931</v>
      </c>
      <c r="E852" s="423"/>
      <c r="F852" s="424"/>
      <c r="G852" s="425"/>
      <c r="H852" s="651"/>
      <c r="I852" s="420">
        <v>481.03</v>
      </c>
      <c r="J852" s="420">
        <f t="shared" si="255"/>
        <v>481.03</v>
      </c>
      <c r="K852" s="421">
        <f t="shared" si="254"/>
        <v>571.51</v>
      </c>
      <c r="L852" s="647" t="s">
        <v>21</v>
      </c>
      <c r="M852" s="576"/>
      <c r="N852" s="576">
        <f t="shared" ref="N852:N915" si="256">IF(M852=0,0,K852)</f>
        <v>0</v>
      </c>
      <c r="O852" s="577">
        <f t="shared" si="250"/>
        <v>0</v>
      </c>
      <c r="P852" s="578">
        <f t="shared" si="251"/>
        <v>0</v>
      </c>
      <c r="Q852" s="765"/>
      <c r="R852" s="576">
        <f t="shared" si="247"/>
        <v>0</v>
      </c>
      <c r="S852" s="576">
        <f t="shared" si="247"/>
        <v>0</v>
      </c>
      <c r="T852" s="577">
        <f t="shared" si="248"/>
        <v>0</v>
      </c>
      <c r="U852" s="578">
        <f t="shared" si="249"/>
        <v>0</v>
      </c>
      <c r="V852" s="579"/>
      <c r="W852" s="566"/>
      <c r="X852" s="586" t="str">
        <f t="shared" si="252"/>
        <v/>
      </c>
      <c r="Y852" s="586" t="str">
        <f t="shared" si="189"/>
        <v/>
      </c>
      <c r="Z852" s="586" t="str">
        <f t="shared" si="239"/>
        <v/>
      </c>
    </row>
    <row r="853" spans="1:26" ht="12" hidden="1" thickBot="1" x14ac:dyDescent="0.25">
      <c r="A853" s="567" t="s">
        <v>516</v>
      </c>
      <c r="B853" s="644" t="s">
        <v>516</v>
      </c>
      <c r="C853" s="645" t="s">
        <v>458</v>
      </c>
      <c r="D853" s="422" t="s">
        <v>1932</v>
      </c>
      <c r="E853" s="423"/>
      <c r="F853" s="424"/>
      <c r="G853" s="425"/>
      <c r="H853" s="651"/>
      <c r="I853" s="420">
        <v>192.55</v>
      </c>
      <c r="J853" s="420">
        <f t="shared" si="255"/>
        <v>192.55</v>
      </c>
      <c r="K853" s="421">
        <f t="shared" si="254"/>
        <v>228.77</v>
      </c>
      <c r="L853" s="647" t="s">
        <v>21</v>
      </c>
      <c r="M853" s="576"/>
      <c r="N853" s="576">
        <f t="shared" si="256"/>
        <v>0</v>
      </c>
      <c r="O853" s="577">
        <f t="shared" si="250"/>
        <v>0</v>
      </c>
      <c r="P853" s="578">
        <f t="shared" si="251"/>
        <v>0</v>
      </c>
      <c r="Q853" s="765"/>
      <c r="R853" s="576">
        <f t="shared" si="247"/>
        <v>0</v>
      </c>
      <c r="S853" s="576">
        <f t="shared" si="247"/>
        <v>0</v>
      </c>
      <c r="T853" s="577">
        <f t="shared" si="248"/>
        <v>0</v>
      </c>
      <c r="U853" s="578">
        <f t="shared" si="249"/>
        <v>0</v>
      </c>
      <c r="V853" s="579"/>
      <c r="W853" s="566"/>
      <c r="X853" s="586" t="str">
        <f t="shared" si="252"/>
        <v/>
      </c>
      <c r="Y853" s="586" t="str">
        <f t="shared" si="189"/>
        <v/>
      </c>
      <c r="Z853" s="586" t="str">
        <f t="shared" si="239"/>
        <v/>
      </c>
    </row>
    <row r="854" spans="1:26" ht="12" hidden="1" thickBot="1" x14ac:dyDescent="0.25">
      <c r="A854" s="567">
        <v>746</v>
      </c>
      <c r="B854" s="644">
        <v>746</v>
      </c>
      <c r="C854" s="645" t="s">
        <v>458</v>
      </c>
      <c r="D854" s="422" t="s">
        <v>1933</v>
      </c>
      <c r="E854" s="423"/>
      <c r="F854" s="424"/>
      <c r="G854" s="425"/>
      <c r="H854" s="651"/>
      <c r="I854" s="420">
        <v>577.30999999999995</v>
      </c>
      <c r="J854" s="420">
        <f t="shared" si="255"/>
        <v>577.30999999999995</v>
      </c>
      <c r="K854" s="421">
        <f t="shared" si="254"/>
        <v>685.9</v>
      </c>
      <c r="L854" s="647" t="s">
        <v>21</v>
      </c>
      <c r="M854" s="576"/>
      <c r="N854" s="576">
        <f t="shared" si="256"/>
        <v>0</v>
      </c>
      <c r="O854" s="577">
        <f t="shared" si="250"/>
        <v>0</v>
      </c>
      <c r="P854" s="578">
        <f t="shared" si="251"/>
        <v>0</v>
      </c>
      <c r="Q854" s="765"/>
      <c r="R854" s="576">
        <f t="shared" si="247"/>
        <v>0</v>
      </c>
      <c r="S854" s="576">
        <f t="shared" si="247"/>
        <v>0</v>
      </c>
      <c r="T854" s="577">
        <f t="shared" si="248"/>
        <v>0</v>
      </c>
      <c r="U854" s="578">
        <f t="shared" si="249"/>
        <v>0</v>
      </c>
      <c r="V854" s="579"/>
      <c r="W854" s="566"/>
      <c r="X854" s="586" t="str">
        <f t="shared" si="252"/>
        <v/>
      </c>
      <c r="Y854" s="586" t="str">
        <f t="shared" si="189"/>
        <v/>
      </c>
      <c r="Z854" s="586" t="str">
        <f t="shared" si="239"/>
        <v/>
      </c>
    </row>
    <row r="855" spans="1:26" ht="12" hidden="1" thickBot="1" x14ac:dyDescent="0.25">
      <c r="A855" s="567" t="s">
        <v>517</v>
      </c>
      <c r="B855" s="644" t="s">
        <v>517</v>
      </c>
      <c r="C855" s="645" t="s">
        <v>458</v>
      </c>
      <c r="D855" s="422" t="s">
        <v>1934</v>
      </c>
      <c r="E855" s="423"/>
      <c r="F855" s="424"/>
      <c r="G855" s="425"/>
      <c r="H855" s="651"/>
      <c r="I855" s="420">
        <v>230.92</v>
      </c>
      <c r="J855" s="420">
        <f t="shared" si="255"/>
        <v>230.92</v>
      </c>
      <c r="K855" s="421">
        <f t="shared" si="254"/>
        <v>274.36</v>
      </c>
      <c r="L855" s="647" t="s">
        <v>21</v>
      </c>
      <c r="M855" s="576"/>
      <c r="N855" s="576">
        <f t="shared" si="256"/>
        <v>0</v>
      </c>
      <c r="O855" s="577">
        <f t="shared" si="250"/>
        <v>0</v>
      </c>
      <c r="P855" s="578">
        <f t="shared" si="251"/>
        <v>0</v>
      </c>
      <c r="Q855" s="765"/>
      <c r="R855" s="576">
        <f t="shared" si="247"/>
        <v>0</v>
      </c>
      <c r="S855" s="576">
        <f t="shared" si="247"/>
        <v>0</v>
      </c>
      <c r="T855" s="577">
        <f t="shared" si="248"/>
        <v>0</v>
      </c>
      <c r="U855" s="578">
        <f t="shared" si="249"/>
        <v>0</v>
      </c>
      <c r="V855" s="579"/>
      <c r="W855" s="566"/>
      <c r="X855" s="586" t="str">
        <f t="shared" si="252"/>
        <v/>
      </c>
      <c r="Y855" s="586" t="str">
        <f t="shared" si="189"/>
        <v/>
      </c>
      <c r="Z855" s="586" t="str">
        <f t="shared" si="239"/>
        <v/>
      </c>
    </row>
    <row r="856" spans="1:26" ht="12" hidden="1" thickBot="1" x14ac:dyDescent="0.25">
      <c r="A856" s="567">
        <v>747</v>
      </c>
      <c r="B856" s="644">
        <v>747</v>
      </c>
      <c r="C856" s="645" t="s">
        <v>458</v>
      </c>
      <c r="D856" s="422" t="s">
        <v>1935</v>
      </c>
      <c r="E856" s="423"/>
      <c r="F856" s="424"/>
      <c r="G856" s="425"/>
      <c r="H856" s="651"/>
      <c r="I856" s="420">
        <v>867.84</v>
      </c>
      <c r="J856" s="420">
        <f t="shared" si="255"/>
        <v>867.84</v>
      </c>
      <c r="K856" s="421">
        <f t="shared" si="254"/>
        <v>1031.08</v>
      </c>
      <c r="L856" s="647" t="s">
        <v>21</v>
      </c>
      <c r="M856" s="576"/>
      <c r="N856" s="576">
        <f t="shared" si="256"/>
        <v>0</v>
      </c>
      <c r="O856" s="577">
        <f t="shared" si="250"/>
        <v>0</v>
      </c>
      <c r="P856" s="578">
        <f t="shared" si="251"/>
        <v>0</v>
      </c>
      <c r="Q856" s="765"/>
      <c r="R856" s="576">
        <f t="shared" si="247"/>
        <v>0</v>
      </c>
      <c r="S856" s="576">
        <f t="shared" si="247"/>
        <v>0</v>
      </c>
      <c r="T856" s="577">
        <f t="shared" si="248"/>
        <v>0</v>
      </c>
      <c r="U856" s="578">
        <f t="shared" si="249"/>
        <v>0</v>
      </c>
      <c r="V856" s="579"/>
      <c r="W856" s="566"/>
      <c r="X856" s="586" t="str">
        <f t="shared" si="252"/>
        <v/>
      </c>
      <c r="Y856" s="586" t="str">
        <f t="shared" si="189"/>
        <v/>
      </c>
      <c r="Z856" s="586" t="str">
        <f t="shared" si="239"/>
        <v/>
      </c>
    </row>
    <row r="857" spans="1:26" ht="12" hidden="1" thickBot="1" x14ac:dyDescent="0.25">
      <c r="A857" s="567" t="s">
        <v>518</v>
      </c>
      <c r="B857" s="644" t="s">
        <v>518</v>
      </c>
      <c r="C857" s="645" t="s">
        <v>458</v>
      </c>
      <c r="D857" s="422" t="s">
        <v>1936</v>
      </c>
      <c r="E857" s="423"/>
      <c r="F857" s="424"/>
      <c r="G857" s="425"/>
      <c r="H857" s="651"/>
      <c r="I857" s="420">
        <v>347.07</v>
      </c>
      <c r="J857" s="420">
        <f t="shared" si="255"/>
        <v>347.07</v>
      </c>
      <c r="K857" s="421">
        <f t="shared" si="254"/>
        <v>412.35</v>
      </c>
      <c r="L857" s="647" t="s">
        <v>21</v>
      </c>
      <c r="M857" s="576"/>
      <c r="N857" s="576">
        <f t="shared" si="256"/>
        <v>0</v>
      </c>
      <c r="O857" s="577">
        <f t="shared" si="250"/>
        <v>0</v>
      </c>
      <c r="P857" s="578">
        <f t="shared" si="251"/>
        <v>0</v>
      </c>
      <c r="Q857" s="765"/>
      <c r="R857" s="576">
        <f t="shared" si="247"/>
        <v>0</v>
      </c>
      <c r="S857" s="576">
        <f t="shared" si="247"/>
        <v>0</v>
      </c>
      <c r="T857" s="577">
        <f t="shared" si="248"/>
        <v>0</v>
      </c>
      <c r="U857" s="578">
        <f t="shared" si="249"/>
        <v>0</v>
      </c>
      <c r="V857" s="579"/>
      <c r="W857" s="566"/>
      <c r="X857" s="586" t="str">
        <f t="shared" si="252"/>
        <v/>
      </c>
      <c r="Y857" s="586" t="str">
        <f t="shared" si="189"/>
        <v/>
      </c>
      <c r="Z857" s="586" t="str">
        <f t="shared" si="239"/>
        <v/>
      </c>
    </row>
    <row r="858" spans="1:26" ht="12" hidden="1" thickBot="1" x14ac:dyDescent="0.25">
      <c r="A858" s="567">
        <v>748</v>
      </c>
      <c r="B858" s="644">
        <v>748</v>
      </c>
      <c r="C858" s="645" t="s">
        <v>458</v>
      </c>
      <c r="D858" s="422" t="s">
        <v>1937</v>
      </c>
      <c r="E858" s="423"/>
      <c r="F858" s="424"/>
      <c r="G858" s="425"/>
      <c r="H858" s="651"/>
      <c r="I858" s="420">
        <v>69.89</v>
      </c>
      <c r="J858" s="420">
        <f t="shared" si="255"/>
        <v>69.89</v>
      </c>
      <c r="K858" s="421">
        <f t="shared" si="254"/>
        <v>83.04</v>
      </c>
      <c r="L858" s="647" t="s">
        <v>21</v>
      </c>
      <c r="M858" s="576"/>
      <c r="N858" s="576">
        <f t="shared" si="256"/>
        <v>0</v>
      </c>
      <c r="O858" s="577">
        <f t="shared" si="250"/>
        <v>0</v>
      </c>
      <c r="P858" s="578">
        <f t="shared" si="251"/>
        <v>0</v>
      </c>
      <c r="Q858" s="765"/>
      <c r="R858" s="576">
        <f t="shared" si="247"/>
        <v>0</v>
      </c>
      <c r="S858" s="576">
        <f t="shared" si="247"/>
        <v>0</v>
      </c>
      <c r="T858" s="577">
        <f t="shared" si="248"/>
        <v>0</v>
      </c>
      <c r="U858" s="578">
        <f t="shared" si="249"/>
        <v>0</v>
      </c>
      <c r="V858" s="579"/>
      <c r="W858" s="566"/>
      <c r="X858" s="586" t="str">
        <f t="shared" si="252"/>
        <v/>
      </c>
      <c r="Y858" s="586" t="str">
        <f t="shared" si="189"/>
        <v/>
      </c>
      <c r="Z858" s="586" t="str">
        <f t="shared" si="239"/>
        <v/>
      </c>
    </row>
    <row r="859" spans="1:26" ht="12" hidden="1" thickBot="1" x14ac:dyDescent="0.25">
      <c r="A859" s="567" t="s">
        <v>519</v>
      </c>
      <c r="B859" s="644" t="s">
        <v>519</v>
      </c>
      <c r="C859" s="645" t="s">
        <v>458</v>
      </c>
      <c r="D859" s="422" t="s">
        <v>1938</v>
      </c>
      <c r="E859" s="423"/>
      <c r="F859" s="424"/>
      <c r="G859" s="425"/>
      <c r="H859" s="651"/>
      <c r="I859" s="420">
        <v>28.09</v>
      </c>
      <c r="J859" s="420">
        <f t="shared" si="255"/>
        <v>28.09</v>
      </c>
      <c r="K859" s="421">
        <f t="shared" si="254"/>
        <v>33.369999999999997</v>
      </c>
      <c r="L859" s="647" t="s">
        <v>21</v>
      </c>
      <c r="M859" s="576"/>
      <c r="N859" s="576">
        <f t="shared" si="256"/>
        <v>0</v>
      </c>
      <c r="O859" s="577">
        <f t="shared" si="250"/>
        <v>0</v>
      </c>
      <c r="P859" s="578">
        <f t="shared" si="251"/>
        <v>0</v>
      </c>
      <c r="Q859" s="765"/>
      <c r="R859" s="576">
        <f t="shared" si="247"/>
        <v>0</v>
      </c>
      <c r="S859" s="576">
        <f t="shared" si="247"/>
        <v>0</v>
      </c>
      <c r="T859" s="577">
        <f t="shared" si="248"/>
        <v>0</v>
      </c>
      <c r="U859" s="578">
        <f t="shared" si="249"/>
        <v>0</v>
      </c>
      <c r="V859" s="579"/>
      <c r="W859" s="566"/>
      <c r="X859" s="586" t="str">
        <f t="shared" si="252"/>
        <v/>
      </c>
      <c r="Y859" s="586" t="str">
        <f t="shared" si="189"/>
        <v/>
      </c>
      <c r="Z859" s="586" t="str">
        <f t="shared" si="239"/>
        <v/>
      </c>
    </row>
    <row r="860" spans="1:26" ht="12" hidden="1" thickBot="1" x14ac:dyDescent="0.25">
      <c r="A860" s="567">
        <v>759</v>
      </c>
      <c r="B860" s="644">
        <v>759</v>
      </c>
      <c r="C860" s="645" t="s">
        <v>458</v>
      </c>
      <c r="D860" s="422" t="s">
        <v>1939</v>
      </c>
      <c r="E860" s="423"/>
      <c r="F860" s="424"/>
      <c r="G860" s="425"/>
      <c r="H860" s="651"/>
      <c r="I860" s="420">
        <v>536.12</v>
      </c>
      <c r="J860" s="420">
        <f t="shared" si="255"/>
        <v>536.12</v>
      </c>
      <c r="K860" s="421">
        <f t="shared" si="254"/>
        <v>636.96</v>
      </c>
      <c r="L860" s="647" t="s">
        <v>21</v>
      </c>
      <c r="M860" s="576"/>
      <c r="N860" s="576">
        <f t="shared" si="256"/>
        <v>0</v>
      </c>
      <c r="O860" s="577">
        <f t="shared" si="250"/>
        <v>0</v>
      </c>
      <c r="P860" s="578">
        <f t="shared" si="251"/>
        <v>0</v>
      </c>
      <c r="Q860" s="765"/>
      <c r="R860" s="576">
        <f t="shared" si="247"/>
        <v>0</v>
      </c>
      <c r="S860" s="576">
        <f t="shared" si="247"/>
        <v>0</v>
      </c>
      <c r="T860" s="577">
        <f t="shared" si="248"/>
        <v>0</v>
      </c>
      <c r="U860" s="578">
        <f t="shared" si="249"/>
        <v>0</v>
      </c>
      <c r="V860" s="579"/>
      <c r="W860" s="566"/>
      <c r="X860" s="586" t="str">
        <f t="shared" si="252"/>
        <v/>
      </c>
      <c r="Y860" s="586" t="str">
        <f t="shared" si="189"/>
        <v/>
      </c>
      <c r="Z860" s="586" t="str">
        <f t="shared" si="239"/>
        <v/>
      </c>
    </row>
    <row r="861" spans="1:26" ht="12" hidden="1" thickBot="1" x14ac:dyDescent="0.25">
      <c r="A861" s="567" t="s">
        <v>520</v>
      </c>
      <c r="B861" s="644" t="s">
        <v>520</v>
      </c>
      <c r="C861" s="645" t="s">
        <v>458</v>
      </c>
      <c r="D861" s="422" t="s">
        <v>1940</v>
      </c>
      <c r="E861" s="423"/>
      <c r="F861" s="424"/>
      <c r="G861" s="425"/>
      <c r="H861" s="651"/>
      <c r="I861" s="420">
        <v>70.239999999999995</v>
      </c>
      <c r="J861" s="420">
        <f t="shared" si="255"/>
        <v>70.239999999999995</v>
      </c>
      <c r="K861" s="421">
        <f t="shared" si="254"/>
        <v>83.45</v>
      </c>
      <c r="L861" s="647" t="s">
        <v>21</v>
      </c>
      <c r="M861" s="576"/>
      <c r="N861" s="576">
        <f t="shared" si="256"/>
        <v>0</v>
      </c>
      <c r="O861" s="577">
        <f t="shared" si="250"/>
        <v>0</v>
      </c>
      <c r="P861" s="578">
        <f t="shared" si="251"/>
        <v>0</v>
      </c>
      <c r="Q861" s="765"/>
      <c r="R861" s="576">
        <f t="shared" si="247"/>
        <v>0</v>
      </c>
      <c r="S861" s="576">
        <f t="shared" si="247"/>
        <v>0</v>
      </c>
      <c r="T861" s="577">
        <f t="shared" si="248"/>
        <v>0</v>
      </c>
      <c r="U861" s="578">
        <f t="shared" si="249"/>
        <v>0</v>
      </c>
      <c r="V861" s="579"/>
      <c r="W861" s="566"/>
      <c r="X861" s="586" t="str">
        <f t="shared" si="252"/>
        <v/>
      </c>
      <c r="Y861" s="586" t="str">
        <f t="shared" si="189"/>
        <v/>
      </c>
      <c r="Z861" s="586" t="str">
        <f t="shared" si="239"/>
        <v/>
      </c>
    </row>
    <row r="862" spans="1:26" ht="12" hidden="1" thickBot="1" x14ac:dyDescent="0.25">
      <c r="A862" s="567">
        <v>751</v>
      </c>
      <c r="B862" s="644">
        <v>751</v>
      </c>
      <c r="C862" s="645" t="s">
        <v>458</v>
      </c>
      <c r="D862" s="422" t="s">
        <v>1941</v>
      </c>
      <c r="E862" s="423"/>
      <c r="F862" s="424"/>
      <c r="G862" s="425"/>
      <c r="H862" s="651"/>
      <c r="I862" s="420">
        <v>11.31</v>
      </c>
      <c r="J862" s="420">
        <f t="shared" ref="J862:J888" si="257">IF(ISBLANK(I862),"",SUM(H862:I862))</f>
        <v>11.31</v>
      </c>
      <c r="K862" s="421">
        <f t="shared" si="254"/>
        <v>13.44</v>
      </c>
      <c r="L862" s="647" t="s">
        <v>21</v>
      </c>
      <c r="M862" s="576"/>
      <c r="N862" s="576">
        <f t="shared" si="256"/>
        <v>0</v>
      </c>
      <c r="O862" s="577">
        <f t="shared" si="250"/>
        <v>0</v>
      </c>
      <c r="P862" s="578">
        <f t="shared" si="251"/>
        <v>0</v>
      </c>
      <c r="Q862" s="765"/>
      <c r="R862" s="576">
        <f t="shared" si="247"/>
        <v>0</v>
      </c>
      <c r="S862" s="576">
        <f t="shared" si="247"/>
        <v>0</v>
      </c>
      <c r="T862" s="577">
        <f t="shared" si="248"/>
        <v>0</v>
      </c>
      <c r="U862" s="578">
        <f t="shared" si="249"/>
        <v>0</v>
      </c>
      <c r="V862" s="579"/>
      <c r="W862" s="566"/>
      <c r="X862" s="586" t="str">
        <f t="shared" si="252"/>
        <v/>
      </c>
      <c r="Y862" s="586" t="str">
        <f t="shared" si="189"/>
        <v/>
      </c>
      <c r="Z862" s="586" t="str">
        <f t="shared" si="239"/>
        <v/>
      </c>
    </row>
    <row r="863" spans="1:26" ht="12" hidden="1" thickBot="1" x14ac:dyDescent="0.25">
      <c r="A863" s="567" t="s">
        <v>521</v>
      </c>
      <c r="B863" s="644" t="s">
        <v>521</v>
      </c>
      <c r="C863" s="645" t="s">
        <v>458</v>
      </c>
      <c r="D863" s="422" t="s">
        <v>1942</v>
      </c>
      <c r="E863" s="423"/>
      <c r="F863" s="424"/>
      <c r="G863" s="425"/>
      <c r="H863" s="651"/>
      <c r="I863" s="420">
        <v>4.45</v>
      </c>
      <c r="J863" s="420">
        <f t="shared" si="257"/>
        <v>4.45</v>
      </c>
      <c r="K863" s="421">
        <f t="shared" si="254"/>
        <v>5.29</v>
      </c>
      <c r="L863" s="647" t="s">
        <v>21</v>
      </c>
      <c r="M863" s="576"/>
      <c r="N863" s="576">
        <f t="shared" si="256"/>
        <v>0</v>
      </c>
      <c r="O863" s="577">
        <f t="shared" si="250"/>
        <v>0</v>
      </c>
      <c r="P863" s="578">
        <f t="shared" si="251"/>
        <v>0</v>
      </c>
      <c r="Q863" s="765"/>
      <c r="R863" s="576">
        <f t="shared" si="247"/>
        <v>0</v>
      </c>
      <c r="S863" s="576">
        <f t="shared" si="247"/>
        <v>0</v>
      </c>
      <c r="T863" s="577">
        <f t="shared" si="248"/>
        <v>0</v>
      </c>
      <c r="U863" s="578">
        <f t="shared" si="249"/>
        <v>0</v>
      </c>
      <c r="V863" s="579"/>
      <c r="W863" s="566"/>
      <c r="X863" s="586" t="str">
        <f t="shared" si="252"/>
        <v/>
      </c>
      <c r="Y863" s="586" t="str">
        <f t="shared" si="189"/>
        <v/>
      </c>
      <c r="Z863" s="586" t="str">
        <f t="shared" si="239"/>
        <v/>
      </c>
    </row>
    <row r="864" spans="1:26" ht="12" hidden="1" thickBot="1" x14ac:dyDescent="0.25">
      <c r="A864" s="567">
        <v>752</v>
      </c>
      <c r="B864" s="644">
        <v>752</v>
      </c>
      <c r="C864" s="645" t="s">
        <v>458</v>
      </c>
      <c r="D864" s="422" t="s">
        <v>1943</v>
      </c>
      <c r="E864" s="423"/>
      <c r="F864" s="424"/>
      <c r="G864" s="425"/>
      <c r="H864" s="651"/>
      <c r="I864" s="420">
        <v>28.78</v>
      </c>
      <c r="J864" s="420">
        <f t="shared" si="257"/>
        <v>28.78</v>
      </c>
      <c r="K864" s="421">
        <f t="shared" si="254"/>
        <v>34.19</v>
      </c>
      <c r="L864" s="647" t="s">
        <v>21</v>
      </c>
      <c r="M864" s="576"/>
      <c r="N864" s="576">
        <f t="shared" si="256"/>
        <v>0</v>
      </c>
      <c r="O864" s="577">
        <f t="shared" si="250"/>
        <v>0</v>
      </c>
      <c r="P864" s="578">
        <f t="shared" si="251"/>
        <v>0</v>
      </c>
      <c r="Q864" s="765"/>
      <c r="R864" s="576">
        <f t="shared" si="247"/>
        <v>0</v>
      </c>
      <c r="S864" s="576">
        <f t="shared" si="247"/>
        <v>0</v>
      </c>
      <c r="T864" s="577">
        <f t="shared" si="248"/>
        <v>0</v>
      </c>
      <c r="U864" s="578">
        <f t="shared" si="249"/>
        <v>0</v>
      </c>
      <c r="V864" s="579"/>
      <c r="W864" s="566"/>
      <c r="X864" s="586" t="str">
        <f t="shared" si="252"/>
        <v/>
      </c>
      <c r="Y864" s="586" t="str">
        <f t="shared" si="189"/>
        <v/>
      </c>
      <c r="Z864" s="586" t="str">
        <f t="shared" si="239"/>
        <v/>
      </c>
    </row>
    <row r="865" spans="1:26" ht="12" hidden="1" thickBot="1" x14ac:dyDescent="0.25">
      <c r="A865" s="567" t="s">
        <v>522</v>
      </c>
      <c r="B865" s="644" t="s">
        <v>522</v>
      </c>
      <c r="C865" s="645" t="s">
        <v>458</v>
      </c>
      <c r="D865" s="422" t="s">
        <v>1944</v>
      </c>
      <c r="E865" s="423"/>
      <c r="F865" s="424"/>
      <c r="G865" s="425"/>
      <c r="H865" s="651"/>
      <c r="I865" s="420">
        <v>28.78</v>
      </c>
      <c r="J865" s="420">
        <f t="shared" si="257"/>
        <v>28.78</v>
      </c>
      <c r="K865" s="421">
        <f t="shared" si="254"/>
        <v>34.19</v>
      </c>
      <c r="L865" s="647" t="s">
        <v>21</v>
      </c>
      <c r="M865" s="576"/>
      <c r="N865" s="576">
        <f t="shared" si="256"/>
        <v>0</v>
      </c>
      <c r="O865" s="577">
        <f t="shared" si="250"/>
        <v>0</v>
      </c>
      <c r="P865" s="578">
        <f t="shared" si="251"/>
        <v>0</v>
      </c>
      <c r="Q865" s="765"/>
      <c r="R865" s="576">
        <f t="shared" si="247"/>
        <v>0</v>
      </c>
      <c r="S865" s="576">
        <f t="shared" si="247"/>
        <v>0</v>
      </c>
      <c r="T865" s="577">
        <f t="shared" si="248"/>
        <v>0</v>
      </c>
      <c r="U865" s="578">
        <f t="shared" si="249"/>
        <v>0</v>
      </c>
      <c r="V865" s="579"/>
      <c r="W865" s="566"/>
      <c r="X865" s="586" t="str">
        <f t="shared" si="252"/>
        <v/>
      </c>
      <c r="Y865" s="586" t="str">
        <f t="shared" si="189"/>
        <v/>
      </c>
      <c r="Z865" s="586" t="str">
        <f t="shared" si="239"/>
        <v/>
      </c>
    </row>
    <row r="866" spans="1:26" ht="12" hidden="1" thickBot="1" x14ac:dyDescent="0.25">
      <c r="A866" s="567">
        <v>753</v>
      </c>
      <c r="B866" s="644">
        <v>753</v>
      </c>
      <c r="C866" s="645" t="s">
        <v>458</v>
      </c>
      <c r="D866" s="422" t="s">
        <v>1945</v>
      </c>
      <c r="E866" s="423"/>
      <c r="F866" s="424"/>
      <c r="G866" s="425"/>
      <c r="H866" s="651"/>
      <c r="I866" s="420">
        <v>62.7</v>
      </c>
      <c r="J866" s="420">
        <f t="shared" si="257"/>
        <v>62.7</v>
      </c>
      <c r="K866" s="421">
        <f t="shared" si="254"/>
        <v>74.489999999999995</v>
      </c>
      <c r="L866" s="647" t="s">
        <v>21</v>
      </c>
      <c r="M866" s="576"/>
      <c r="N866" s="576">
        <f t="shared" si="256"/>
        <v>0</v>
      </c>
      <c r="O866" s="577">
        <f t="shared" si="250"/>
        <v>0</v>
      </c>
      <c r="P866" s="578">
        <f t="shared" si="251"/>
        <v>0</v>
      </c>
      <c r="Q866" s="765"/>
      <c r="R866" s="576">
        <f t="shared" si="247"/>
        <v>0</v>
      </c>
      <c r="S866" s="576">
        <f t="shared" si="247"/>
        <v>0</v>
      </c>
      <c r="T866" s="577">
        <f t="shared" si="248"/>
        <v>0</v>
      </c>
      <c r="U866" s="578">
        <f t="shared" si="249"/>
        <v>0</v>
      </c>
      <c r="V866" s="579"/>
      <c r="W866" s="566"/>
      <c r="X866" s="586" t="str">
        <f t="shared" si="252"/>
        <v/>
      </c>
      <c r="Y866" s="586" t="str">
        <f t="shared" si="189"/>
        <v/>
      </c>
      <c r="Z866" s="586" t="str">
        <f t="shared" si="239"/>
        <v/>
      </c>
    </row>
    <row r="867" spans="1:26" ht="12" hidden="1" thickBot="1" x14ac:dyDescent="0.25">
      <c r="A867" s="567" t="s">
        <v>523</v>
      </c>
      <c r="B867" s="644" t="s">
        <v>523</v>
      </c>
      <c r="C867" s="645" t="s">
        <v>458</v>
      </c>
      <c r="D867" s="422" t="s">
        <v>1946</v>
      </c>
      <c r="E867" s="423"/>
      <c r="F867" s="424"/>
      <c r="G867" s="425"/>
      <c r="H867" s="651"/>
      <c r="I867" s="420">
        <v>62.7</v>
      </c>
      <c r="J867" s="420">
        <f t="shared" si="257"/>
        <v>62.7</v>
      </c>
      <c r="K867" s="421">
        <f t="shared" si="254"/>
        <v>74.489999999999995</v>
      </c>
      <c r="L867" s="647" t="s">
        <v>21</v>
      </c>
      <c r="M867" s="576"/>
      <c r="N867" s="576">
        <f t="shared" si="256"/>
        <v>0</v>
      </c>
      <c r="O867" s="577">
        <f t="shared" si="250"/>
        <v>0</v>
      </c>
      <c r="P867" s="578">
        <f t="shared" si="251"/>
        <v>0</v>
      </c>
      <c r="Q867" s="765"/>
      <c r="R867" s="576">
        <f t="shared" si="247"/>
        <v>0</v>
      </c>
      <c r="S867" s="576">
        <f t="shared" si="247"/>
        <v>0</v>
      </c>
      <c r="T867" s="577">
        <f t="shared" si="248"/>
        <v>0</v>
      </c>
      <c r="U867" s="578">
        <f t="shared" si="249"/>
        <v>0</v>
      </c>
      <c r="V867" s="579"/>
      <c r="W867" s="566"/>
      <c r="X867" s="586" t="str">
        <f t="shared" si="252"/>
        <v/>
      </c>
      <c r="Y867" s="586" t="str">
        <f t="shared" ref="Y867:Y930" si="258">IF(W867="X","x",IF(W867="y","x",IF(W867="xx","x",IF(U867&gt;0,"x",""))))</f>
        <v/>
      </c>
      <c r="Z867" s="586" t="str">
        <f t="shared" si="239"/>
        <v/>
      </c>
    </row>
    <row r="868" spans="1:26" ht="12" hidden="1" thickBot="1" x14ac:dyDescent="0.25">
      <c r="A868" s="567">
        <v>754</v>
      </c>
      <c r="B868" s="644">
        <v>754</v>
      </c>
      <c r="C868" s="645" t="s">
        <v>458</v>
      </c>
      <c r="D868" s="422" t="s">
        <v>1947</v>
      </c>
      <c r="E868" s="423"/>
      <c r="F868" s="424"/>
      <c r="G868" s="425"/>
      <c r="H868" s="651"/>
      <c r="I868" s="420">
        <v>71.95</v>
      </c>
      <c r="J868" s="420">
        <f t="shared" si="257"/>
        <v>71.95</v>
      </c>
      <c r="K868" s="421">
        <f t="shared" si="254"/>
        <v>85.48</v>
      </c>
      <c r="L868" s="647" t="s">
        <v>21</v>
      </c>
      <c r="M868" s="576"/>
      <c r="N868" s="576">
        <f t="shared" si="256"/>
        <v>0</v>
      </c>
      <c r="O868" s="577">
        <f t="shared" si="250"/>
        <v>0</v>
      </c>
      <c r="P868" s="578">
        <f t="shared" si="251"/>
        <v>0</v>
      </c>
      <c r="Q868" s="765"/>
      <c r="R868" s="576">
        <f t="shared" si="247"/>
        <v>0</v>
      </c>
      <c r="S868" s="576">
        <f t="shared" si="247"/>
        <v>0</v>
      </c>
      <c r="T868" s="577">
        <f t="shared" si="248"/>
        <v>0</v>
      </c>
      <c r="U868" s="578">
        <f t="shared" si="249"/>
        <v>0</v>
      </c>
      <c r="V868" s="579"/>
      <c r="W868" s="566"/>
      <c r="X868" s="586" t="str">
        <f t="shared" si="252"/>
        <v/>
      </c>
      <c r="Y868" s="586" t="str">
        <f t="shared" si="258"/>
        <v/>
      </c>
      <c r="Z868" s="586" t="str">
        <f t="shared" si="239"/>
        <v/>
      </c>
    </row>
    <row r="869" spans="1:26" ht="12" hidden="1" thickBot="1" x14ac:dyDescent="0.25">
      <c r="A869" s="567">
        <v>755</v>
      </c>
      <c r="B869" s="644">
        <v>755</v>
      </c>
      <c r="C869" s="645" t="s">
        <v>458</v>
      </c>
      <c r="D869" s="422" t="s">
        <v>1948</v>
      </c>
      <c r="E869" s="423"/>
      <c r="F869" s="424"/>
      <c r="G869" s="425"/>
      <c r="H869" s="651"/>
      <c r="I869" s="420">
        <v>15.08</v>
      </c>
      <c r="J869" s="420">
        <f t="shared" si="257"/>
        <v>15.08</v>
      </c>
      <c r="K869" s="421">
        <f t="shared" si="254"/>
        <v>17.920000000000002</v>
      </c>
      <c r="L869" s="647" t="s">
        <v>21</v>
      </c>
      <c r="M869" s="576"/>
      <c r="N869" s="576">
        <f t="shared" si="256"/>
        <v>0</v>
      </c>
      <c r="O869" s="577">
        <f t="shared" si="250"/>
        <v>0</v>
      </c>
      <c r="P869" s="578">
        <f t="shared" si="251"/>
        <v>0</v>
      </c>
      <c r="Q869" s="765"/>
      <c r="R869" s="576">
        <f t="shared" si="247"/>
        <v>0</v>
      </c>
      <c r="S869" s="576">
        <f t="shared" si="247"/>
        <v>0</v>
      </c>
      <c r="T869" s="577">
        <f t="shared" si="248"/>
        <v>0</v>
      </c>
      <c r="U869" s="578">
        <f t="shared" si="249"/>
        <v>0</v>
      </c>
      <c r="V869" s="579"/>
      <c r="W869" s="566"/>
      <c r="X869" s="586" t="str">
        <f t="shared" si="252"/>
        <v/>
      </c>
      <c r="Y869" s="586" t="str">
        <f t="shared" si="258"/>
        <v/>
      </c>
      <c r="Z869" s="586" t="str">
        <f t="shared" si="239"/>
        <v/>
      </c>
    </row>
    <row r="870" spans="1:26" ht="12" hidden="1" thickBot="1" x14ac:dyDescent="0.25">
      <c r="A870" s="567" t="s">
        <v>524</v>
      </c>
      <c r="B870" s="644" t="s">
        <v>524</v>
      </c>
      <c r="C870" s="645" t="s">
        <v>458</v>
      </c>
      <c r="D870" s="422" t="s">
        <v>1949</v>
      </c>
      <c r="E870" s="423"/>
      <c r="F870" s="424"/>
      <c r="G870" s="425"/>
      <c r="H870" s="651"/>
      <c r="I870" s="420">
        <v>6.17</v>
      </c>
      <c r="J870" s="420">
        <f t="shared" si="257"/>
        <v>6.17</v>
      </c>
      <c r="K870" s="421">
        <f t="shared" si="254"/>
        <v>7.33</v>
      </c>
      <c r="L870" s="647" t="s">
        <v>21</v>
      </c>
      <c r="M870" s="576"/>
      <c r="N870" s="576">
        <f t="shared" si="256"/>
        <v>0</v>
      </c>
      <c r="O870" s="577">
        <f t="shared" si="250"/>
        <v>0</v>
      </c>
      <c r="P870" s="578">
        <f t="shared" si="251"/>
        <v>0</v>
      </c>
      <c r="Q870" s="765"/>
      <c r="R870" s="576">
        <f t="shared" si="247"/>
        <v>0</v>
      </c>
      <c r="S870" s="576">
        <f t="shared" si="247"/>
        <v>0</v>
      </c>
      <c r="T870" s="577">
        <f t="shared" si="248"/>
        <v>0</v>
      </c>
      <c r="U870" s="578">
        <f t="shared" si="249"/>
        <v>0</v>
      </c>
      <c r="V870" s="579"/>
      <c r="W870" s="566"/>
      <c r="X870" s="586" t="str">
        <f t="shared" si="252"/>
        <v/>
      </c>
      <c r="Y870" s="586" t="str">
        <f t="shared" si="258"/>
        <v/>
      </c>
      <c r="Z870" s="586" t="str">
        <f t="shared" si="239"/>
        <v/>
      </c>
    </row>
    <row r="871" spans="1:26" ht="12" hidden="1" thickBot="1" x14ac:dyDescent="0.25">
      <c r="A871" s="567">
        <v>756</v>
      </c>
      <c r="B871" s="644">
        <v>756</v>
      </c>
      <c r="C871" s="645" t="s">
        <v>458</v>
      </c>
      <c r="D871" s="422" t="s">
        <v>1950</v>
      </c>
      <c r="E871" s="423"/>
      <c r="F871" s="424"/>
      <c r="G871" s="425"/>
      <c r="H871" s="651"/>
      <c r="I871" s="420">
        <v>24.67</v>
      </c>
      <c r="J871" s="420">
        <f t="shared" si="257"/>
        <v>24.67</v>
      </c>
      <c r="K871" s="421">
        <f t="shared" si="254"/>
        <v>29.31</v>
      </c>
      <c r="L871" s="647" t="s">
        <v>21</v>
      </c>
      <c r="M871" s="576"/>
      <c r="N871" s="576">
        <f t="shared" si="256"/>
        <v>0</v>
      </c>
      <c r="O871" s="577">
        <f t="shared" si="250"/>
        <v>0</v>
      </c>
      <c r="P871" s="578">
        <f t="shared" si="251"/>
        <v>0</v>
      </c>
      <c r="Q871" s="765"/>
      <c r="R871" s="576">
        <f t="shared" si="247"/>
        <v>0</v>
      </c>
      <c r="S871" s="576">
        <f t="shared" si="247"/>
        <v>0</v>
      </c>
      <c r="T871" s="577">
        <f t="shared" si="248"/>
        <v>0</v>
      </c>
      <c r="U871" s="578">
        <f t="shared" si="249"/>
        <v>0</v>
      </c>
      <c r="V871" s="579"/>
      <c r="W871" s="566"/>
      <c r="X871" s="586" t="str">
        <f t="shared" si="252"/>
        <v/>
      </c>
      <c r="Y871" s="586" t="str">
        <f t="shared" si="258"/>
        <v/>
      </c>
      <c r="Z871" s="586" t="str">
        <f t="shared" si="239"/>
        <v/>
      </c>
    </row>
    <row r="872" spans="1:26" ht="12" hidden="1" thickBot="1" x14ac:dyDescent="0.25">
      <c r="A872" s="567" t="s">
        <v>525</v>
      </c>
      <c r="B872" s="644" t="s">
        <v>525</v>
      </c>
      <c r="C872" s="645" t="s">
        <v>458</v>
      </c>
      <c r="D872" s="422" t="s">
        <v>1951</v>
      </c>
      <c r="E872" s="423"/>
      <c r="F872" s="424"/>
      <c r="G872" s="425"/>
      <c r="H872" s="651"/>
      <c r="I872" s="420">
        <v>9.94</v>
      </c>
      <c r="J872" s="420">
        <f t="shared" si="257"/>
        <v>9.94</v>
      </c>
      <c r="K872" s="421">
        <f t="shared" si="254"/>
        <v>11.81</v>
      </c>
      <c r="L872" s="647" t="s">
        <v>21</v>
      </c>
      <c r="M872" s="576"/>
      <c r="N872" s="576">
        <f t="shared" si="256"/>
        <v>0</v>
      </c>
      <c r="O872" s="577">
        <f t="shared" si="250"/>
        <v>0</v>
      </c>
      <c r="P872" s="578">
        <f t="shared" si="251"/>
        <v>0</v>
      </c>
      <c r="Q872" s="765"/>
      <c r="R872" s="576">
        <f t="shared" si="247"/>
        <v>0</v>
      </c>
      <c r="S872" s="576">
        <f t="shared" si="247"/>
        <v>0</v>
      </c>
      <c r="T872" s="577">
        <f t="shared" si="248"/>
        <v>0</v>
      </c>
      <c r="U872" s="578">
        <f t="shared" si="249"/>
        <v>0</v>
      </c>
      <c r="V872" s="579"/>
      <c r="W872" s="566"/>
      <c r="X872" s="586" t="str">
        <f t="shared" si="252"/>
        <v/>
      </c>
      <c r="Y872" s="586" t="str">
        <f t="shared" si="258"/>
        <v/>
      </c>
      <c r="Z872" s="586" t="str">
        <f t="shared" si="239"/>
        <v/>
      </c>
    </row>
    <row r="873" spans="1:26" ht="12" hidden="1" thickBot="1" x14ac:dyDescent="0.25">
      <c r="A873" s="567">
        <v>757</v>
      </c>
      <c r="B873" s="644">
        <v>757</v>
      </c>
      <c r="C873" s="645" t="s">
        <v>458</v>
      </c>
      <c r="D873" s="422" t="s">
        <v>1952</v>
      </c>
      <c r="E873" s="423"/>
      <c r="F873" s="424"/>
      <c r="G873" s="425"/>
      <c r="H873" s="651"/>
      <c r="I873" s="420">
        <v>15.42</v>
      </c>
      <c r="J873" s="420">
        <f t="shared" si="257"/>
        <v>15.42</v>
      </c>
      <c r="K873" s="421">
        <f t="shared" si="254"/>
        <v>18.32</v>
      </c>
      <c r="L873" s="647" t="s">
        <v>21</v>
      </c>
      <c r="M873" s="576"/>
      <c r="N873" s="576">
        <f t="shared" si="256"/>
        <v>0</v>
      </c>
      <c r="O873" s="577">
        <f t="shared" si="250"/>
        <v>0</v>
      </c>
      <c r="P873" s="578">
        <f t="shared" si="251"/>
        <v>0</v>
      </c>
      <c r="Q873" s="765"/>
      <c r="R873" s="576">
        <f t="shared" si="247"/>
        <v>0</v>
      </c>
      <c r="S873" s="576">
        <f t="shared" si="247"/>
        <v>0</v>
      </c>
      <c r="T873" s="577">
        <f t="shared" si="248"/>
        <v>0</v>
      </c>
      <c r="U873" s="578">
        <f t="shared" si="249"/>
        <v>0</v>
      </c>
      <c r="V873" s="579"/>
      <c r="W873" s="566"/>
      <c r="X873" s="586" t="str">
        <f t="shared" si="252"/>
        <v/>
      </c>
      <c r="Y873" s="586" t="str">
        <f t="shared" si="258"/>
        <v/>
      </c>
      <c r="Z873" s="586" t="str">
        <f t="shared" si="239"/>
        <v/>
      </c>
    </row>
    <row r="874" spans="1:26" ht="12" hidden="1" thickBot="1" x14ac:dyDescent="0.25">
      <c r="A874" s="567" t="s">
        <v>526</v>
      </c>
      <c r="B874" s="644" t="s">
        <v>526</v>
      </c>
      <c r="C874" s="645" t="s">
        <v>458</v>
      </c>
      <c r="D874" s="422" t="s">
        <v>1953</v>
      </c>
      <c r="E874" s="423"/>
      <c r="F874" s="424"/>
      <c r="G874" s="425"/>
      <c r="H874" s="651"/>
      <c r="I874" s="420">
        <v>6.17</v>
      </c>
      <c r="J874" s="420">
        <f t="shared" si="257"/>
        <v>6.17</v>
      </c>
      <c r="K874" s="421">
        <f t="shared" si="254"/>
        <v>7.33</v>
      </c>
      <c r="L874" s="647" t="s">
        <v>21</v>
      </c>
      <c r="M874" s="576"/>
      <c r="N874" s="576">
        <f t="shared" si="256"/>
        <v>0</v>
      </c>
      <c r="O874" s="577">
        <f t="shared" si="250"/>
        <v>0</v>
      </c>
      <c r="P874" s="578">
        <f t="shared" si="251"/>
        <v>0</v>
      </c>
      <c r="Q874" s="765"/>
      <c r="R874" s="576">
        <f t="shared" si="247"/>
        <v>0</v>
      </c>
      <c r="S874" s="576">
        <f t="shared" si="247"/>
        <v>0</v>
      </c>
      <c r="T874" s="577">
        <f t="shared" si="248"/>
        <v>0</v>
      </c>
      <c r="U874" s="578">
        <f t="shared" si="249"/>
        <v>0</v>
      </c>
      <c r="V874" s="579"/>
      <c r="W874" s="566"/>
      <c r="X874" s="586" t="str">
        <f t="shared" si="252"/>
        <v/>
      </c>
      <c r="Y874" s="586" t="str">
        <f t="shared" si="258"/>
        <v/>
      </c>
      <c r="Z874" s="586" t="str">
        <f t="shared" si="239"/>
        <v/>
      </c>
    </row>
    <row r="875" spans="1:26" ht="12" hidden="1" thickBot="1" x14ac:dyDescent="0.25">
      <c r="A875" s="567">
        <v>947</v>
      </c>
      <c r="B875" s="644">
        <v>947</v>
      </c>
      <c r="C875" s="645" t="s">
        <v>458</v>
      </c>
      <c r="D875" s="422" t="s">
        <v>1954</v>
      </c>
      <c r="E875" s="423"/>
      <c r="F875" s="424"/>
      <c r="G875" s="425"/>
      <c r="H875" s="651"/>
      <c r="I875" s="420">
        <v>34.26</v>
      </c>
      <c r="J875" s="420">
        <f t="shared" si="257"/>
        <v>34.26</v>
      </c>
      <c r="K875" s="421">
        <f t="shared" si="254"/>
        <v>40.700000000000003</v>
      </c>
      <c r="L875" s="647" t="s">
        <v>21</v>
      </c>
      <c r="M875" s="576"/>
      <c r="N875" s="576">
        <f t="shared" si="256"/>
        <v>0</v>
      </c>
      <c r="O875" s="577">
        <f t="shared" si="250"/>
        <v>0</v>
      </c>
      <c r="P875" s="578">
        <f t="shared" si="251"/>
        <v>0</v>
      </c>
      <c r="Q875" s="765"/>
      <c r="R875" s="576">
        <f t="shared" si="247"/>
        <v>0</v>
      </c>
      <c r="S875" s="576">
        <f t="shared" si="247"/>
        <v>0</v>
      </c>
      <c r="T875" s="577">
        <f t="shared" si="248"/>
        <v>0</v>
      </c>
      <c r="U875" s="578">
        <f t="shared" si="249"/>
        <v>0</v>
      </c>
      <c r="V875" s="579"/>
      <c r="W875" s="566"/>
      <c r="X875" s="586" t="str">
        <f t="shared" si="252"/>
        <v/>
      </c>
      <c r="Y875" s="586" t="str">
        <f t="shared" si="258"/>
        <v/>
      </c>
      <c r="Z875" s="586" t="str">
        <f t="shared" si="239"/>
        <v/>
      </c>
    </row>
    <row r="876" spans="1:26" ht="12" hidden="1" thickBot="1" x14ac:dyDescent="0.25">
      <c r="A876" s="567" t="s">
        <v>534</v>
      </c>
      <c r="B876" s="644" t="s">
        <v>534</v>
      </c>
      <c r="C876" s="645" t="s">
        <v>458</v>
      </c>
      <c r="D876" s="422" t="s">
        <v>1955</v>
      </c>
      <c r="E876" s="423"/>
      <c r="F876" s="424"/>
      <c r="G876" s="425"/>
      <c r="H876" s="651"/>
      <c r="I876" s="420">
        <v>34.26</v>
      </c>
      <c r="J876" s="420">
        <f t="shared" si="257"/>
        <v>34.26</v>
      </c>
      <c r="K876" s="421">
        <f t="shared" si="254"/>
        <v>40.700000000000003</v>
      </c>
      <c r="L876" s="647" t="s">
        <v>21</v>
      </c>
      <c r="M876" s="576"/>
      <c r="N876" s="576">
        <f t="shared" si="256"/>
        <v>0</v>
      </c>
      <c r="O876" s="577">
        <f t="shared" si="250"/>
        <v>0</v>
      </c>
      <c r="P876" s="578">
        <f t="shared" si="251"/>
        <v>0</v>
      </c>
      <c r="Q876" s="765"/>
      <c r="R876" s="576">
        <f t="shared" si="247"/>
        <v>0</v>
      </c>
      <c r="S876" s="576">
        <f t="shared" si="247"/>
        <v>0</v>
      </c>
      <c r="T876" s="577">
        <f t="shared" si="248"/>
        <v>0</v>
      </c>
      <c r="U876" s="578">
        <f t="shared" si="249"/>
        <v>0</v>
      </c>
      <c r="V876" s="579"/>
      <c r="W876" s="566"/>
      <c r="X876" s="586" t="str">
        <f t="shared" si="252"/>
        <v/>
      </c>
      <c r="Y876" s="586" t="str">
        <f t="shared" si="258"/>
        <v/>
      </c>
      <c r="Z876" s="586" t="str">
        <f t="shared" si="239"/>
        <v/>
      </c>
    </row>
    <row r="877" spans="1:26" ht="12" hidden="1" thickBot="1" x14ac:dyDescent="0.25">
      <c r="A877" s="567">
        <v>760</v>
      </c>
      <c r="B877" s="644">
        <v>760</v>
      </c>
      <c r="C877" s="645" t="s">
        <v>458</v>
      </c>
      <c r="D877" s="422" t="s">
        <v>1956</v>
      </c>
      <c r="E877" s="423"/>
      <c r="F877" s="424"/>
      <c r="G877" s="425"/>
      <c r="H877" s="651"/>
      <c r="I877" s="420">
        <v>17.47</v>
      </c>
      <c r="J877" s="420">
        <f t="shared" si="257"/>
        <v>17.47</v>
      </c>
      <c r="K877" s="421">
        <f t="shared" si="254"/>
        <v>20.76</v>
      </c>
      <c r="L877" s="647" t="s">
        <v>21</v>
      </c>
      <c r="M877" s="576"/>
      <c r="N877" s="576">
        <f t="shared" si="256"/>
        <v>0</v>
      </c>
      <c r="O877" s="577">
        <f t="shared" si="250"/>
        <v>0</v>
      </c>
      <c r="P877" s="578">
        <f t="shared" si="251"/>
        <v>0</v>
      </c>
      <c r="Q877" s="765"/>
      <c r="R877" s="576">
        <f t="shared" si="247"/>
        <v>0</v>
      </c>
      <c r="S877" s="576">
        <f t="shared" si="247"/>
        <v>0</v>
      </c>
      <c r="T877" s="577">
        <f t="shared" si="248"/>
        <v>0</v>
      </c>
      <c r="U877" s="578">
        <f t="shared" si="249"/>
        <v>0</v>
      </c>
      <c r="V877" s="579"/>
      <c r="W877" s="566"/>
      <c r="X877" s="586" t="str">
        <f t="shared" si="252"/>
        <v/>
      </c>
      <c r="Y877" s="586" t="str">
        <f t="shared" si="258"/>
        <v/>
      </c>
      <c r="Z877" s="586" t="str">
        <f t="shared" si="239"/>
        <v/>
      </c>
    </row>
    <row r="878" spans="1:26" ht="12" hidden="1" thickBot="1" x14ac:dyDescent="0.25">
      <c r="A878" s="567" t="s">
        <v>535</v>
      </c>
      <c r="B878" s="644" t="s">
        <v>535</v>
      </c>
      <c r="C878" s="645" t="s">
        <v>458</v>
      </c>
      <c r="D878" s="422" t="s">
        <v>1957</v>
      </c>
      <c r="E878" s="423"/>
      <c r="F878" s="424"/>
      <c r="G878" s="425"/>
      <c r="H878" s="651"/>
      <c r="I878" s="420">
        <v>6.85</v>
      </c>
      <c r="J878" s="420">
        <f t="shared" si="257"/>
        <v>6.85</v>
      </c>
      <c r="K878" s="421">
        <f t="shared" si="254"/>
        <v>8.14</v>
      </c>
      <c r="L878" s="647" t="s">
        <v>21</v>
      </c>
      <c r="M878" s="576"/>
      <c r="N878" s="576">
        <f t="shared" si="256"/>
        <v>0</v>
      </c>
      <c r="O878" s="577">
        <f t="shared" si="250"/>
        <v>0</v>
      </c>
      <c r="P878" s="578">
        <f t="shared" si="251"/>
        <v>0</v>
      </c>
      <c r="Q878" s="765"/>
      <c r="R878" s="576">
        <f t="shared" si="247"/>
        <v>0</v>
      </c>
      <c r="S878" s="576">
        <f t="shared" si="247"/>
        <v>0</v>
      </c>
      <c r="T878" s="577">
        <f t="shared" si="248"/>
        <v>0</v>
      </c>
      <c r="U878" s="578">
        <f t="shared" si="249"/>
        <v>0</v>
      </c>
      <c r="V878" s="579"/>
      <c r="W878" s="566"/>
      <c r="X878" s="586" t="str">
        <f t="shared" si="252"/>
        <v/>
      </c>
      <c r="Y878" s="586" t="str">
        <f t="shared" si="258"/>
        <v/>
      </c>
      <c r="Z878" s="586" t="str">
        <f t="shared" si="239"/>
        <v/>
      </c>
    </row>
    <row r="879" spans="1:26" ht="12" hidden="1" thickBot="1" x14ac:dyDescent="0.25">
      <c r="A879" s="567">
        <v>761</v>
      </c>
      <c r="B879" s="644">
        <v>761</v>
      </c>
      <c r="C879" s="645" t="s">
        <v>458</v>
      </c>
      <c r="D879" s="422" t="s">
        <v>1958</v>
      </c>
      <c r="E879" s="423"/>
      <c r="F879" s="424"/>
      <c r="G879" s="425"/>
      <c r="H879" s="651"/>
      <c r="I879" s="420">
        <v>13.36</v>
      </c>
      <c r="J879" s="420">
        <f t="shared" si="257"/>
        <v>13.36</v>
      </c>
      <c r="K879" s="421">
        <f t="shared" si="254"/>
        <v>15.87</v>
      </c>
      <c r="L879" s="647" t="s">
        <v>21</v>
      </c>
      <c r="M879" s="576"/>
      <c r="N879" s="576">
        <f t="shared" si="256"/>
        <v>0</v>
      </c>
      <c r="O879" s="577">
        <f t="shared" si="250"/>
        <v>0</v>
      </c>
      <c r="P879" s="578">
        <f t="shared" si="251"/>
        <v>0</v>
      </c>
      <c r="Q879" s="765"/>
      <c r="R879" s="576">
        <f t="shared" si="247"/>
        <v>0</v>
      </c>
      <c r="S879" s="576">
        <f t="shared" si="247"/>
        <v>0</v>
      </c>
      <c r="T879" s="577">
        <f t="shared" si="248"/>
        <v>0</v>
      </c>
      <c r="U879" s="578">
        <f t="shared" si="249"/>
        <v>0</v>
      </c>
      <c r="V879" s="579"/>
      <c r="W879" s="566"/>
      <c r="X879" s="586" t="str">
        <f t="shared" si="252"/>
        <v/>
      </c>
      <c r="Y879" s="586" t="str">
        <f t="shared" si="258"/>
        <v/>
      </c>
      <c r="Z879" s="586" t="str">
        <f t="shared" si="239"/>
        <v/>
      </c>
    </row>
    <row r="880" spans="1:26" ht="12" hidden="1" thickBot="1" x14ac:dyDescent="0.25">
      <c r="A880" s="567" t="s">
        <v>536</v>
      </c>
      <c r="B880" s="644" t="s">
        <v>536</v>
      </c>
      <c r="C880" s="645" t="s">
        <v>458</v>
      </c>
      <c r="D880" s="422" t="s">
        <v>1959</v>
      </c>
      <c r="E880" s="423"/>
      <c r="F880" s="424"/>
      <c r="G880" s="425"/>
      <c r="H880" s="651"/>
      <c r="I880" s="420">
        <v>5.48</v>
      </c>
      <c r="J880" s="420">
        <f t="shared" si="257"/>
        <v>5.48</v>
      </c>
      <c r="K880" s="421">
        <f t="shared" si="254"/>
        <v>6.51</v>
      </c>
      <c r="L880" s="647" t="s">
        <v>21</v>
      </c>
      <c r="M880" s="576"/>
      <c r="N880" s="576">
        <f t="shared" si="256"/>
        <v>0</v>
      </c>
      <c r="O880" s="577">
        <f t="shared" si="250"/>
        <v>0</v>
      </c>
      <c r="P880" s="578">
        <f t="shared" si="251"/>
        <v>0</v>
      </c>
      <c r="Q880" s="765"/>
      <c r="R880" s="576">
        <f t="shared" si="247"/>
        <v>0</v>
      </c>
      <c r="S880" s="576">
        <f t="shared" si="247"/>
        <v>0</v>
      </c>
      <c r="T880" s="577">
        <f t="shared" si="248"/>
        <v>0</v>
      </c>
      <c r="U880" s="578">
        <f t="shared" si="249"/>
        <v>0</v>
      </c>
      <c r="V880" s="579"/>
      <c r="W880" s="566"/>
      <c r="X880" s="586" t="str">
        <f t="shared" si="252"/>
        <v/>
      </c>
      <c r="Y880" s="586" t="str">
        <f t="shared" si="258"/>
        <v/>
      </c>
      <c r="Z880" s="586" t="str">
        <f t="shared" si="239"/>
        <v/>
      </c>
    </row>
    <row r="881" spans="1:26" ht="12" hidden="1" thickBot="1" x14ac:dyDescent="0.25">
      <c r="A881" s="567">
        <v>762</v>
      </c>
      <c r="B881" s="644">
        <v>762</v>
      </c>
      <c r="C881" s="645" t="s">
        <v>458</v>
      </c>
      <c r="D881" s="422" t="s">
        <v>1960</v>
      </c>
      <c r="E881" s="423"/>
      <c r="F881" s="424"/>
      <c r="G881" s="425"/>
      <c r="H881" s="651"/>
      <c r="I881" s="420">
        <v>21.58</v>
      </c>
      <c r="J881" s="420">
        <f t="shared" si="257"/>
        <v>21.58</v>
      </c>
      <c r="K881" s="421">
        <f t="shared" si="254"/>
        <v>25.64</v>
      </c>
      <c r="L881" s="647" t="s">
        <v>21</v>
      </c>
      <c r="M881" s="576"/>
      <c r="N881" s="576">
        <f t="shared" si="256"/>
        <v>0</v>
      </c>
      <c r="O881" s="577">
        <f t="shared" si="250"/>
        <v>0</v>
      </c>
      <c r="P881" s="578">
        <f t="shared" si="251"/>
        <v>0</v>
      </c>
      <c r="Q881" s="765"/>
      <c r="R881" s="576">
        <f t="shared" si="247"/>
        <v>0</v>
      </c>
      <c r="S881" s="576">
        <f t="shared" si="247"/>
        <v>0</v>
      </c>
      <c r="T881" s="577">
        <f t="shared" si="248"/>
        <v>0</v>
      </c>
      <c r="U881" s="578">
        <f t="shared" si="249"/>
        <v>0</v>
      </c>
      <c r="V881" s="579"/>
      <c r="W881" s="566"/>
      <c r="X881" s="586" t="str">
        <f t="shared" si="252"/>
        <v/>
      </c>
      <c r="Y881" s="586" t="str">
        <f t="shared" si="258"/>
        <v/>
      </c>
      <c r="Z881" s="586" t="str">
        <f t="shared" si="239"/>
        <v/>
      </c>
    </row>
    <row r="882" spans="1:26" ht="12" hidden="1" thickBot="1" x14ac:dyDescent="0.25">
      <c r="A882" s="567" t="s">
        <v>537</v>
      </c>
      <c r="B882" s="644" t="s">
        <v>537</v>
      </c>
      <c r="C882" s="645" t="s">
        <v>458</v>
      </c>
      <c r="D882" s="422" t="s">
        <v>1961</v>
      </c>
      <c r="E882" s="423"/>
      <c r="F882" s="424"/>
      <c r="G882" s="425"/>
      <c r="H882" s="651"/>
      <c r="I882" s="420">
        <v>8.57</v>
      </c>
      <c r="J882" s="420">
        <f t="shared" si="257"/>
        <v>8.57</v>
      </c>
      <c r="K882" s="421">
        <f t="shared" si="254"/>
        <v>10.18</v>
      </c>
      <c r="L882" s="647" t="s">
        <v>21</v>
      </c>
      <c r="M882" s="576"/>
      <c r="N882" s="576">
        <f t="shared" si="256"/>
        <v>0</v>
      </c>
      <c r="O882" s="577">
        <f t="shared" si="250"/>
        <v>0</v>
      </c>
      <c r="P882" s="578">
        <f t="shared" si="251"/>
        <v>0</v>
      </c>
      <c r="Q882" s="765"/>
      <c r="R882" s="576">
        <f t="shared" si="247"/>
        <v>0</v>
      </c>
      <c r="S882" s="576">
        <f t="shared" si="247"/>
        <v>0</v>
      </c>
      <c r="T882" s="577">
        <f t="shared" si="248"/>
        <v>0</v>
      </c>
      <c r="U882" s="578">
        <f t="shared" si="249"/>
        <v>0</v>
      </c>
      <c r="V882" s="579"/>
      <c r="W882" s="566"/>
      <c r="X882" s="586" t="str">
        <f t="shared" si="252"/>
        <v/>
      </c>
      <c r="Y882" s="586" t="str">
        <f t="shared" si="258"/>
        <v/>
      </c>
      <c r="Z882" s="586" t="str">
        <f t="shared" si="239"/>
        <v/>
      </c>
    </row>
    <row r="883" spans="1:26" ht="23.25" hidden="1" thickBot="1" x14ac:dyDescent="0.25">
      <c r="A883" s="567">
        <v>763</v>
      </c>
      <c r="B883" s="644">
        <v>763</v>
      </c>
      <c r="C883" s="645" t="s">
        <v>458</v>
      </c>
      <c r="D883" s="422" t="s">
        <v>1962</v>
      </c>
      <c r="E883" s="423"/>
      <c r="F883" s="424"/>
      <c r="G883" s="425"/>
      <c r="H883" s="651"/>
      <c r="I883" s="420">
        <v>23.3</v>
      </c>
      <c r="J883" s="420">
        <f t="shared" si="257"/>
        <v>23.3</v>
      </c>
      <c r="K883" s="421">
        <f t="shared" si="254"/>
        <v>27.68</v>
      </c>
      <c r="L883" s="647" t="s">
        <v>21</v>
      </c>
      <c r="M883" s="576"/>
      <c r="N883" s="576">
        <f t="shared" si="256"/>
        <v>0</v>
      </c>
      <c r="O883" s="577">
        <f t="shared" si="250"/>
        <v>0</v>
      </c>
      <c r="P883" s="578">
        <f t="shared" si="251"/>
        <v>0</v>
      </c>
      <c r="Q883" s="765"/>
      <c r="R883" s="576">
        <f t="shared" si="247"/>
        <v>0</v>
      </c>
      <c r="S883" s="576">
        <f t="shared" si="247"/>
        <v>0</v>
      </c>
      <c r="T883" s="577">
        <f t="shared" si="248"/>
        <v>0</v>
      </c>
      <c r="U883" s="578">
        <f t="shared" si="249"/>
        <v>0</v>
      </c>
      <c r="V883" s="579"/>
      <c r="W883" s="566"/>
      <c r="X883" s="586" t="str">
        <f t="shared" si="252"/>
        <v/>
      </c>
      <c r="Y883" s="586" t="str">
        <f t="shared" si="258"/>
        <v/>
      </c>
      <c r="Z883" s="586" t="str">
        <f t="shared" si="239"/>
        <v/>
      </c>
    </row>
    <row r="884" spans="1:26" ht="12" hidden="1" thickBot="1" x14ac:dyDescent="0.25">
      <c r="A884" s="567">
        <v>767</v>
      </c>
      <c r="B884" s="644">
        <v>767</v>
      </c>
      <c r="C884" s="645" t="s">
        <v>458</v>
      </c>
      <c r="D884" s="422" t="s">
        <v>1963</v>
      </c>
      <c r="E884" s="423"/>
      <c r="F884" s="424">
        <v>0</v>
      </c>
      <c r="G884" s="425"/>
      <c r="H884" s="651">
        <v>0</v>
      </c>
      <c r="I884" s="420">
        <v>19.53</v>
      </c>
      <c r="J884" s="420">
        <f t="shared" si="257"/>
        <v>19.53</v>
      </c>
      <c r="K884" s="421">
        <f t="shared" si="254"/>
        <v>23.2</v>
      </c>
      <c r="L884" s="647" t="s">
        <v>21</v>
      </c>
      <c r="M884" s="576"/>
      <c r="N884" s="576">
        <f t="shared" si="256"/>
        <v>0</v>
      </c>
      <c r="O884" s="577">
        <f t="shared" si="250"/>
        <v>0</v>
      </c>
      <c r="P884" s="578">
        <f t="shared" si="251"/>
        <v>0</v>
      </c>
      <c r="Q884" s="765"/>
      <c r="R884" s="576">
        <f t="shared" ref="R884:S947" si="259">M884</f>
        <v>0</v>
      </c>
      <c r="S884" s="576">
        <f t="shared" si="259"/>
        <v>0</v>
      </c>
      <c r="T884" s="577">
        <f t="shared" ref="T884:T947" si="260">IF(ISBLANK(R884),0,ROUND(K884*R884,2))</f>
        <v>0</v>
      </c>
      <c r="U884" s="578">
        <f t="shared" ref="U884:U947" si="261">IF(ISBLANK(R884),0,ROUND(R884*S884,2))</f>
        <v>0</v>
      </c>
      <c r="V884" s="579"/>
      <c r="W884" s="566"/>
      <c r="X884" s="586" t="str">
        <f t="shared" si="252"/>
        <v/>
      </c>
      <c r="Y884" s="586" t="str">
        <f t="shared" si="258"/>
        <v/>
      </c>
      <c r="Z884" s="586" t="str">
        <f t="shared" si="239"/>
        <v/>
      </c>
    </row>
    <row r="885" spans="1:26" ht="12" hidden="1" thickBot="1" x14ac:dyDescent="0.25">
      <c r="A885" s="567">
        <v>768</v>
      </c>
      <c r="B885" s="644">
        <v>768</v>
      </c>
      <c r="C885" s="645" t="s">
        <v>458</v>
      </c>
      <c r="D885" s="422" t="s">
        <v>1964</v>
      </c>
      <c r="E885" s="423"/>
      <c r="F885" s="424">
        <v>0</v>
      </c>
      <c r="G885" s="425"/>
      <c r="H885" s="651">
        <v>0</v>
      </c>
      <c r="I885" s="420">
        <v>44.54</v>
      </c>
      <c r="J885" s="420">
        <f t="shared" si="257"/>
        <v>44.54</v>
      </c>
      <c r="K885" s="421">
        <f t="shared" si="254"/>
        <v>52.92</v>
      </c>
      <c r="L885" s="647" t="s">
        <v>21</v>
      </c>
      <c r="M885" s="576"/>
      <c r="N885" s="576">
        <f t="shared" si="256"/>
        <v>0</v>
      </c>
      <c r="O885" s="577">
        <f t="shared" ref="O885:O948" si="262">IF(ISBLANK(M885),0,ROUND(K885*M885,2))</f>
        <v>0</v>
      </c>
      <c r="P885" s="578">
        <f t="shared" ref="P885:P948" si="263">IF(ISBLANK(N885),0,ROUND(M885*N885,2))</f>
        <v>0</v>
      </c>
      <c r="Q885" s="765"/>
      <c r="R885" s="576">
        <f t="shared" si="259"/>
        <v>0</v>
      </c>
      <c r="S885" s="576">
        <f t="shared" si="259"/>
        <v>0</v>
      </c>
      <c r="T885" s="577">
        <f t="shared" si="260"/>
        <v>0</v>
      </c>
      <c r="U885" s="578">
        <f t="shared" si="261"/>
        <v>0</v>
      </c>
      <c r="V885" s="579"/>
      <c r="W885" s="566"/>
      <c r="X885" s="586" t="str">
        <f t="shared" si="252"/>
        <v/>
      </c>
      <c r="Y885" s="586" t="str">
        <f t="shared" si="258"/>
        <v/>
      </c>
      <c r="Z885" s="586" t="str">
        <f t="shared" si="239"/>
        <v/>
      </c>
    </row>
    <row r="886" spans="1:26" ht="12" hidden="1" thickBot="1" x14ac:dyDescent="0.25">
      <c r="A886" s="567">
        <v>769</v>
      </c>
      <c r="B886" s="644">
        <v>769</v>
      </c>
      <c r="C886" s="645" t="s">
        <v>458</v>
      </c>
      <c r="D886" s="422" t="s">
        <v>1965</v>
      </c>
      <c r="E886" s="423"/>
      <c r="F886" s="424">
        <v>0</v>
      </c>
      <c r="G886" s="425"/>
      <c r="H886" s="651">
        <v>0</v>
      </c>
      <c r="I886" s="420">
        <v>163.77000000000001</v>
      </c>
      <c r="J886" s="420">
        <f t="shared" si="257"/>
        <v>163.77000000000001</v>
      </c>
      <c r="K886" s="421">
        <f t="shared" si="254"/>
        <v>194.58</v>
      </c>
      <c r="L886" s="647" t="s">
        <v>21</v>
      </c>
      <c r="M886" s="576"/>
      <c r="N886" s="576">
        <f t="shared" si="256"/>
        <v>0</v>
      </c>
      <c r="O886" s="577">
        <f t="shared" si="262"/>
        <v>0</v>
      </c>
      <c r="P886" s="578">
        <f t="shared" si="263"/>
        <v>0</v>
      </c>
      <c r="Q886" s="765"/>
      <c r="R886" s="576">
        <f t="shared" si="259"/>
        <v>0</v>
      </c>
      <c r="S886" s="576">
        <f t="shared" si="259"/>
        <v>0</v>
      </c>
      <c r="T886" s="577">
        <f t="shared" si="260"/>
        <v>0</v>
      </c>
      <c r="U886" s="578">
        <f t="shared" si="261"/>
        <v>0</v>
      </c>
      <c r="V886" s="579"/>
      <c r="W886" s="566"/>
      <c r="X886" s="586" t="str">
        <f t="shared" si="252"/>
        <v/>
      </c>
      <c r="Y886" s="586" t="str">
        <f t="shared" si="258"/>
        <v/>
      </c>
      <c r="Z886" s="586" t="str">
        <f t="shared" si="239"/>
        <v/>
      </c>
    </row>
    <row r="887" spans="1:26" ht="12" hidden="1" thickBot="1" x14ac:dyDescent="0.25">
      <c r="A887" s="567">
        <v>770</v>
      </c>
      <c r="B887" s="644">
        <v>770</v>
      </c>
      <c r="C887" s="645" t="s">
        <v>458</v>
      </c>
      <c r="D887" s="422" t="s">
        <v>1966</v>
      </c>
      <c r="E887" s="423"/>
      <c r="F887" s="424"/>
      <c r="G887" s="425"/>
      <c r="H887" s="651"/>
      <c r="I887" s="420">
        <v>56.53</v>
      </c>
      <c r="J887" s="420">
        <f t="shared" si="257"/>
        <v>56.53</v>
      </c>
      <c r="K887" s="421">
        <f t="shared" si="254"/>
        <v>67.16</v>
      </c>
      <c r="L887" s="647" t="s">
        <v>21</v>
      </c>
      <c r="M887" s="576"/>
      <c r="N887" s="576">
        <f t="shared" si="256"/>
        <v>0</v>
      </c>
      <c r="O887" s="577">
        <f t="shared" si="262"/>
        <v>0</v>
      </c>
      <c r="P887" s="578">
        <f t="shared" si="263"/>
        <v>0</v>
      </c>
      <c r="Q887" s="765"/>
      <c r="R887" s="576">
        <f t="shared" si="259"/>
        <v>0</v>
      </c>
      <c r="S887" s="576">
        <f t="shared" si="259"/>
        <v>0</v>
      </c>
      <c r="T887" s="577">
        <f t="shared" si="260"/>
        <v>0</v>
      </c>
      <c r="U887" s="578">
        <f t="shared" si="261"/>
        <v>0</v>
      </c>
      <c r="V887" s="579"/>
      <c r="W887" s="566"/>
      <c r="X887" s="586" t="str">
        <f t="shared" si="252"/>
        <v/>
      </c>
      <c r="Y887" s="586" t="str">
        <f t="shared" si="258"/>
        <v/>
      </c>
      <c r="Z887" s="586" t="str">
        <f t="shared" si="239"/>
        <v/>
      </c>
    </row>
    <row r="888" spans="1:26" ht="12" hidden="1" thickBot="1" x14ac:dyDescent="0.25">
      <c r="A888" s="567" t="s">
        <v>527</v>
      </c>
      <c r="B888" s="644" t="s">
        <v>527</v>
      </c>
      <c r="C888" s="645" t="s">
        <v>458</v>
      </c>
      <c r="D888" s="422" t="s">
        <v>1967</v>
      </c>
      <c r="E888" s="423"/>
      <c r="F888" s="424"/>
      <c r="G888" s="425"/>
      <c r="H888" s="651"/>
      <c r="I888" s="420">
        <v>22.61</v>
      </c>
      <c r="J888" s="420">
        <f t="shared" si="257"/>
        <v>22.61</v>
      </c>
      <c r="K888" s="421">
        <f t="shared" si="254"/>
        <v>26.86</v>
      </c>
      <c r="L888" s="647" t="s">
        <v>21</v>
      </c>
      <c r="M888" s="576"/>
      <c r="N888" s="576">
        <f t="shared" si="256"/>
        <v>0</v>
      </c>
      <c r="O888" s="577">
        <f t="shared" si="262"/>
        <v>0</v>
      </c>
      <c r="P888" s="578">
        <f t="shared" si="263"/>
        <v>0</v>
      </c>
      <c r="Q888" s="765"/>
      <c r="R888" s="576">
        <f t="shared" si="259"/>
        <v>0</v>
      </c>
      <c r="S888" s="576">
        <f t="shared" si="259"/>
        <v>0</v>
      </c>
      <c r="T888" s="577">
        <f t="shared" si="260"/>
        <v>0</v>
      </c>
      <c r="U888" s="578">
        <f t="shared" si="261"/>
        <v>0</v>
      </c>
      <c r="V888" s="579"/>
      <c r="W888" s="566"/>
      <c r="X888" s="586" t="str">
        <f t="shared" si="252"/>
        <v/>
      </c>
      <c r="Y888" s="586" t="str">
        <f t="shared" si="258"/>
        <v/>
      </c>
      <c r="Z888" s="586" t="str">
        <f t="shared" si="239"/>
        <v/>
      </c>
    </row>
    <row r="889" spans="1:26" ht="12" hidden="1" thickBot="1" x14ac:dyDescent="0.25">
      <c r="A889" s="567">
        <v>771</v>
      </c>
      <c r="B889" s="644">
        <v>771</v>
      </c>
      <c r="C889" s="645" t="s">
        <v>458</v>
      </c>
      <c r="D889" s="422" t="s">
        <v>1968</v>
      </c>
      <c r="E889" s="423"/>
      <c r="F889" s="424"/>
      <c r="G889" s="425"/>
      <c r="H889" s="651"/>
      <c r="I889" s="420">
        <v>81.2</v>
      </c>
      <c r="J889" s="420">
        <f t="shared" ref="J889:J895" si="264">IF(ISBLANK(I889),"",SUM(H889:I889))</f>
        <v>81.2</v>
      </c>
      <c r="K889" s="421">
        <f t="shared" si="254"/>
        <v>96.47</v>
      </c>
      <c r="L889" s="647" t="s">
        <v>21</v>
      </c>
      <c r="M889" s="576"/>
      <c r="N889" s="576">
        <f t="shared" si="256"/>
        <v>0</v>
      </c>
      <c r="O889" s="577">
        <f t="shared" si="262"/>
        <v>0</v>
      </c>
      <c r="P889" s="578">
        <f t="shared" si="263"/>
        <v>0</v>
      </c>
      <c r="Q889" s="765"/>
      <c r="R889" s="576">
        <f t="shared" si="259"/>
        <v>0</v>
      </c>
      <c r="S889" s="576">
        <f t="shared" si="259"/>
        <v>0</v>
      </c>
      <c r="T889" s="577">
        <f t="shared" si="260"/>
        <v>0</v>
      </c>
      <c r="U889" s="578">
        <f t="shared" si="261"/>
        <v>0</v>
      </c>
      <c r="V889" s="579"/>
      <c r="W889" s="566"/>
      <c r="X889" s="586" t="str">
        <f t="shared" si="252"/>
        <v/>
      </c>
      <c r="Y889" s="586" t="str">
        <f t="shared" si="258"/>
        <v/>
      </c>
      <c r="Z889" s="586" t="str">
        <f t="shared" si="239"/>
        <v/>
      </c>
    </row>
    <row r="890" spans="1:26" ht="12" hidden="1" thickBot="1" x14ac:dyDescent="0.25">
      <c r="A890" s="567" t="s">
        <v>528</v>
      </c>
      <c r="B890" s="644" t="s">
        <v>528</v>
      </c>
      <c r="C890" s="645" t="s">
        <v>458</v>
      </c>
      <c r="D890" s="422" t="s">
        <v>1969</v>
      </c>
      <c r="E890" s="423"/>
      <c r="F890" s="424"/>
      <c r="G890" s="425"/>
      <c r="H890" s="651"/>
      <c r="I890" s="420">
        <v>32.549999999999997</v>
      </c>
      <c r="J890" s="420">
        <f t="shared" si="264"/>
        <v>32.549999999999997</v>
      </c>
      <c r="K890" s="421">
        <f t="shared" si="254"/>
        <v>38.67</v>
      </c>
      <c r="L890" s="647" t="s">
        <v>21</v>
      </c>
      <c r="M890" s="576"/>
      <c r="N890" s="576">
        <f t="shared" si="256"/>
        <v>0</v>
      </c>
      <c r="O890" s="577">
        <f t="shared" si="262"/>
        <v>0</v>
      </c>
      <c r="P890" s="578">
        <f t="shared" si="263"/>
        <v>0</v>
      </c>
      <c r="Q890" s="765"/>
      <c r="R890" s="576">
        <f t="shared" si="259"/>
        <v>0</v>
      </c>
      <c r="S890" s="576">
        <f t="shared" si="259"/>
        <v>0</v>
      </c>
      <c r="T890" s="577">
        <f t="shared" si="260"/>
        <v>0</v>
      </c>
      <c r="U890" s="578">
        <f t="shared" si="261"/>
        <v>0</v>
      </c>
      <c r="V890" s="579"/>
      <c r="W890" s="566"/>
      <c r="X890" s="586" t="str">
        <f t="shared" si="252"/>
        <v/>
      </c>
      <c r="Y890" s="586" t="str">
        <f t="shared" si="258"/>
        <v/>
      </c>
      <c r="Z890" s="586" t="str">
        <f t="shared" si="239"/>
        <v/>
      </c>
    </row>
    <row r="891" spans="1:26" ht="12" hidden="1" thickBot="1" x14ac:dyDescent="0.25">
      <c r="A891" s="567">
        <v>772</v>
      </c>
      <c r="B891" s="644">
        <v>772</v>
      </c>
      <c r="C891" s="645" t="s">
        <v>458</v>
      </c>
      <c r="D891" s="422" t="s">
        <v>1970</v>
      </c>
      <c r="E891" s="423"/>
      <c r="F891" s="424"/>
      <c r="G891" s="425"/>
      <c r="H891" s="651"/>
      <c r="I891" s="420">
        <v>26.72</v>
      </c>
      <c r="J891" s="420">
        <f t="shared" si="264"/>
        <v>26.72</v>
      </c>
      <c r="K891" s="421">
        <f t="shared" si="254"/>
        <v>31.75</v>
      </c>
      <c r="L891" s="647" t="s">
        <v>21</v>
      </c>
      <c r="M891" s="576"/>
      <c r="N891" s="576">
        <f t="shared" si="256"/>
        <v>0</v>
      </c>
      <c r="O891" s="577">
        <f t="shared" si="262"/>
        <v>0</v>
      </c>
      <c r="P891" s="578">
        <f t="shared" si="263"/>
        <v>0</v>
      </c>
      <c r="Q891" s="765"/>
      <c r="R891" s="576">
        <f t="shared" si="259"/>
        <v>0</v>
      </c>
      <c r="S891" s="576">
        <f t="shared" si="259"/>
        <v>0</v>
      </c>
      <c r="T891" s="577">
        <f t="shared" si="260"/>
        <v>0</v>
      </c>
      <c r="U891" s="578">
        <f t="shared" si="261"/>
        <v>0</v>
      </c>
      <c r="V891" s="579"/>
      <c r="W891" s="566"/>
      <c r="X891" s="586" t="str">
        <f t="shared" si="252"/>
        <v/>
      </c>
      <c r="Y891" s="586" t="str">
        <f t="shared" si="258"/>
        <v/>
      </c>
      <c r="Z891" s="586" t="str">
        <f t="shared" si="239"/>
        <v/>
      </c>
    </row>
    <row r="892" spans="1:26" ht="12" hidden="1" thickBot="1" x14ac:dyDescent="0.25">
      <c r="A892" s="567" t="s">
        <v>529</v>
      </c>
      <c r="B892" s="644" t="s">
        <v>529</v>
      </c>
      <c r="C892" s="645" t="s">
        <v>458</v>
      </c>
      <c r="D892" s="422" t="s">
        <v>1971</v>
      </c>
      <c r="E892" s="423"/>
      <c r="F892" s="424"/>
      <c r="G892" s="425"/>
      <c r="H892" s="651"/>
      <c r="I892" s="420">
        <v>10.62</v>
      </c>
      <c r="J892" s="420">
        <f t="shared" si="264"/>
        <v>10.62</v>
      </c>
      <c r="K892" s="421">
        <f t="shared" si="254"/>
        <v>12.62</v>
      </c>
      <c r="L892" s="647" t="s">
        <v>21</v>
      </c>
      <c r="M892" s="576"/>
      <c r="N892" s="576">
        <f t="shared" si="256"/>
        <v>0</v>
      </c>
      <c r="O892" s="577">
        <f t="shared" si="262"/>
        <v>0</v>
      </c>
      <c r="P892" s="578">
        <f t="shared" si="263"/>
        <v>0</v>
      </c>
      <c r="Q892" s="765"/>
      <c r="R892" s="576">
        <f t="shared" si="259"/>
        <v>0</v>
      </c>
      <c r="S892" s="576">
        <f t="shared" si="259"/>
        <v>0</v>
      </c>
      <c r="T892" s="577">
        <f t="shared" si="260"/>
        <v>0</v>
      </c>
      <c r="U892" s="578">
        <f t="shared" si="261"/>
        <v>0</v>
      </c>
      <c r="V892" s="579"/>
      <c r="W892" s="566"/>
      <c r="X892" s="586" t="str">
        <f t="shared" si="252"/>
        <v/>
      </c>
      <c r="Y892" s="586" t="str">
        <f t="shared" si="258"/>
        <v/>
      </c>
      <c r="Z892" s="586" t="str">
        <f t="shared" si="239"/>
        <v/>
      </c>
    </row>
    <row r="893" spans="1:26" ht="12" hidden="1" thickBot="1" x14ac:dyDescent="0.25">
      <c r="A893" s="567">
        <v>773</v>
      </c>
      <c r="B893" s="644">
        <v>773</v>
      </c>
      <c r="C893" s="645" t="s">
        <v>458</v>
      </c>
      <c r="D893" s="422" t="s">
        <v>1972</v>
      </c>
      <c r="E893" s="423"/>
      <c r="F893" s="424"/>
      <c r="G893" s="425"/>
      <c r="H893" s="651"/>
      <c r="I893" s="420">
        <v>88.39</v>
      </c>
      <c r="J893" s="420">
        <f t="shared" si="264"/>
        <v>88.39</v>
      </c>
      <c r="K893" s="421">
        <f t="shared" si="254"/>
        <v>105.02</v>
      </c>
      <c r="L893" s="647" t="s">
        <v>21</v>
      </c>
      <c r="M893" s="576"/>
      <c r="N893" s="576">
        <f t="shared" si="256"/>
        <v>0</v>
      </c>
      <c r="O893" s="577">
        <f t="shared" si="262"/>
        <v>0</v>
      </c>
      <c r="P893" s="578">
        <f t="shared" si="263"/>
        <v>0</v>
      </c>
      <c r="Q893" s="765"/>
      <c r="R893" s="576">
        <f t="shared" si="259"/>
        <v>0</v>
      </c>
      <c r="S893" s="576">
        <f t="shared" si="259"/>
        <v>0</v>
      </c>
      <c r="T893" s="577">
        <f t="shared" si="260"/>
        <v>0</v>
      </c>
      <c r="U893" s="578">
        <f t="shared" si="261"/>
        <v>0</v>
      </c>
      <c r="V893" s="579"/>
      <c r="W893" s="566"/>
      <c r="X893" s="586" t="str">
        <f t="shared" ref="X893:X956" si="265">IF(W893="X","x",IF(W893="xx","x",IF(W893="xy","x",IF(W893="y","x",IF(OR(P893&gt;0,U893&gt;0),"x","")))))</f>
        <v/>
      </c>
      <c r="Y893" s="586" t="str">
        <f t="shared" si="258"/>
        <v/>
      </c>
      <c r="Z893" s="586" t="str">
        <f t="shared" si="239"/>
        <v/>
      </c>
    </row>
    <row r="894" spans="1:26" ht="12" hidden="1" thickBot="1" x14ac:dyDescent="0.25">
      <c r="A894" s="567">
        <v>774</v>
      </c>
      <c r="B894" s="644">
        <v>774</v>
      </c>
      <c r="C894" s="645" t="s">
        <v>458</v>
      </c>
      <c r="D894" s="422" t="s">
        <v>1973</v>
      </c>
      <c r="E894" s="423"/>
      <c r="F894" s="424"/>
      <c r="G894" s="425"/>
      <c r="H894" s="651"/>
      <c r="I894" s="420">
        <v>119.92</v>
      </c>
      <c r="J894" s="420">
        <f t="shared" si="264"/>
        <v>119.92</v>
      </c>
      <c r="K894" s="421">
        <f t="shared" si="254"/>
        <v>142.47999999999999</v>
      </c>
      <c r="L894" s="647" t="s">
        <v>21</v>
      </c>
      <c r="M894" s="576"/>
      <c r="N894" s="576">
        <f t="shared" si="256"/>
        <v>0</v>
      </c>
      <c r="O894" s="577">
        <f t="shared" si="262"/>
        <v>0</v>
      </c>
      <c r="P894" s="578">
        <f t="shared" si="263"/>
        <v>0</v>
      </c>
      <c r="Q894" s="765"/>
      <c r="R894" s="576">
        <f t="shared" si="259"/>
        <v>0</v>
      </c>
      <c r="S894" s="576">
        <f t="shared" si="259"/>
        <v>0</v>
      </c>
      <c r="T894" s="577">
        <f t="shared" si="260"/>
        <v>0</v>
      </c>
      <c r="U894" s="578">
        <f t="shared" si="261"/>
        <v>0</v>
      </c>
      <c r="V894" s="579"/>
      <c r="W894" s="566"/>
      <c r="X894" s="586" t="str">
        <f t="shared" si="265"/>
        <v/>
      </c>
      <c r="Y894" s="586" t="str">
        <f t="shared" si="258"/>
        <v/>
      </c>
      <c r="Z894" s="586" t="str">
        <f t="shared" si="239"/>
        <v/>
      </c>
    </row>
    <row r="895" spans="1:26" ht="12" hidden="1" thickBot="1" x14ac:dyDescent="0.25">
      <c r="A895" s="567" t="s">
        <v>530</v>
      </c>
      <c r="B895" s="644" t="s">
        <v>530</v>
      </c>
      <c r="C895" s="645" t="s">
        <v>458</v>
      </c>
      <c r="D895" s="422" t="s">
        <v>1974</v>
      </c>
      <c r="E895" s="423"/>
      <c r="F895" s="424"/>
      <c r="G895" s="425"/>
      <c r="H895" s="651"/>
      <c r="I895" s="420">
        <v>17.13</v>
      </c>
      <c r="J895" s="420">
        <f t="shared" si="264"/>
        <v>17.13</v>
      </c>
      <c r="K895" s="421">
        <f t="shared" si="254"/>
        <v>20.350000000000001</v>
      </c>
      <c r="L895" s="647" t="s">
        <v>21</v>
      </c>
      <c r="M895" s="576"/>
      <c r="N895" s="576">
        <f t="shared" si="256"/>
        <v>0</v>
      </c>
      <c r="O895" s="577">
        <f t="shared" si="262"/>
        <v>0</v>
      </c>
      <c r="P895" s="578">
        <f t="shared" si="263"/>
        <v>0</v>
      </c>
      <c r="Q895" s="765"/>
      <c r="R895" s="576">
        <f t="shared" si="259"/>
        <v>0</v>
      </c>
      <c r="S895" s="576">
        <f t="shared" si="259"/>
        <v>0</v>
      </c>
      <c r="T895" s="577">
        <f t="shared" si="260"/>
        <v>0</v>
      </c>
      <c r="U895" s="578">
        <f t="shared" si="261"/>
        <v>0</v>
      </c>
      <c r="V895" s="579"/>
      <c r="W895" s="566"/>
      <c r="X895" s="586" t="str">
        <f t="shared" si="265"/>
        <v/>
      </c>
      <c r="Y895" s="586" t="str">
        <f t="shared" si="258"/>
        <v/>
      </c>
      <c r="Z895" s="586" t="str">
        <f t="shared" si="239"/>
        <v/>
      </c>
    </row>
    <row r="896" spans="1:26" ht="23.25" hidden="1" thickBot="1" x14ac:dyDescent="0.25">
      <c r="A896" s="567">
        <v>775</v>
      </c>
      <c r="B896" s="644">
        <v>775</v>
      </c>
      <c r="C896" s="645" t="s">
        <v>458</v>
      </c>
      <c r="D896" s="422" t="s">
        <v>1975</v>
      </c>
      <c r="E896" s="423"/>
      <c r="F896" s="424"/>
      <c r="G896" s="425"/>
      <c r="H896" s="651"/>
      <c r="I896" s="420">
        <v>14.05</v>
      </c>
      <c r="J896" s="420">
        <f t="shared" ref="J896:J920" si="266">IF(ISBLANK(I896),"",SUM(H896:I896))</f>
        <v>14.05</v>
      </c>
      <c r="K896" s="421">
        <f t="shared" si="254"/>
        <v>16.690000000000001</v>
      </c>
      <c r="L896" s="647" t="s">
        <v>21</v>
      </c>
      <c r="M896" s="576"/>
      <c r="N896" s="576">
        <f t="shared" si="256"/>
        <v>0</v>
      </c>
      <c r="O896" s="577">
        <f t="shared" si="262"/>
        <v>0</v>
      </c>
      <c r="P896" s="578">
        <f t="shared" si="263"/>
        <v>0</v>
      </c>
      <c r="Q896" s="765"/>
      <c r="R896" s="576">
        <f t="shared" si="259"/>
        <v>0</v>
      </c>
      <c r="S896" s="576">
        <f t="shared" si="259"/>
        <v>0</v>
      </c>
      <c r="T896" s="577">
        <f t="shared" si="260"/>
        <v>0</v>
      </c>
      <c r="U896" s="578">
        <f t="shared" si="261"/>
        <v>0</v>
      </c>
      <c r="V896" s="579"/>
      <c r="W896" s="566"/>
      <c r="X896" s="586" t="str">
        <f t="shared" si="265"/>
        <v/>
      </c>
      <c r="Y896" s="586" t="str">
        <f t="shared" si="258"/>
        <v/>
      </c>
      <c r="Z896" s="586" t="str">
        <f t="shared" si="239"/>
        <v/>
      </c>
    </row>
    <row r="897" spans="1:26" ht="12" hidden="1" thickBot="1" x14ac:dyDescent="0.25">
      <c r="A897" s="567">
        <v>776</v>
      </c>
      <c r="B897" s="644">
        <v>776</v>
      </c>
      <c r="C897" s="645" t="s">
        <v>458</v>
      </c>
      <c r="D897" s="422" t="s">
        <v>1976</v>
      </c>
      <c r="E897" s="423"/>
      <c r="F897" s="424"/>
      <c r="G897" s="425"/>
      <c r="H897" s="651"/>
      <c r="I897" s="420">
        <v>17.47</v>
      </c>
      <c r="J897" s="420">
        <f t="shared" si="266"/>
        <v>17.47</v>
      </c>
      <c r="K897" s="421">
        <f t="shared" si="254"/>
        <v>20.76</v>
      </c>
      <c r="L897" s="647" t="s">
        <v>21</v>
      </c>
      <c r="M897" s="576"/>
      <c r="N897" s="576">
        <f t="shared" si="256"/>
        <v>0</v>
      </c>
      <c r="O897" s="577">
        <f t="shared" si="262"/>
        <v>0</v>
      </c>
      <c r="P897" s="578">
        <f t="shared" si="263"/>
        <v>0</v>
      </c>
      <c r="Q897" s="765"/>
      <c r="R897" s="576">
        <f t="shared" si="259"/>
        <v>0</v>
      </c>
      <c r="S897" s="576">
        <f t="shared" si="259"/>
        <v>0</v>
      </c>
      <c r="T897" s="577">
        <f t="shared" si="260"/>
        <v>0</v>
      </c>
      <c r="U897" s="578">
        <f t="shared" si="261"/>
        <v>0</v>
      </c>
      <c r="V897" s="579"/>
      <c r="W897" s="566"/>
      <c r="X897" s="586" t="str">
        <f t="shared" si="265"/>
        <v/>
      </c>
      <c r="Y897" s="586" t="str">
        <f t="shared" si="258"/>
        <v/>
      </c>
      <c r="Z897" s="586" t="str">
        <f t="shared" si="239"/>
        <v/>
      </c>
    </row>
    <row r="898" spans="1:26" ht="12" hidden="1" thickBot="1" x14ac:dyDescent="0.25">
      <c r="A898" s="567" t="s">
        <v>531</v>
      </c>
      <c r="B898" s="644" t="s">
        <v>531</v>
      </c>
      <c r="C898" s="645" t="s">
        <v>458</v>
      </c>
      <c r="D898" s="422" t="s">
        <v>1977</v>
      </c>
      <c r="E898" s="423"/>
      <c r="F898" s="424"/>
      <c r="G898" s="425"/>
      <c r="H898" s="651"/>
      <c r="I898" s="420">
        <v>6.85</v>
      </c>
      <c r="J898" s="420">
        <f t="shared" si="266"/>
        <v>6.85</v>
      </c>
      <c r="K898" s="421">
        <f t="shared" si="254"/>
        <v>8.14</v>
      </c>
      <c r="L898" s="647" t="s">
        <v>21</v>
      </c>
      <c r="M898" s="576"/>
      <c r="N898" s="576">
        <f t="shared" si="256"/>
        <v>0</v>
      </c>
      <c r="O898" s="577">
        <f t="shared" si="262"/>
        <v>0</v>
      </c>
      <c r="P898" s="578">
        <f t="shared" si="263"/>
        <v>0</v>
      </c>
      <c r="Q898" s="765"/>
      <c r="R898" s="576">
        <f t="shared" si="259"/>
        <v>0</v>
      </c>
      <c r="S898" s="576">
        <f t="shared" si="259"/>
        <v>0</v>
      </c>
      <c r="T898" s="577">
        <f t="shared" si="260"/>
        <v>0</v>
      </c>
      <c r="U898" s="578">
        <f t="shared" si="261"/>
        <v>0</v>
      </c>
      <c r="V898" s="579"/>
      <c r="W898" s="566"/>
      <c r="X898" s="586" t="str">
        <f t="shared" si="265"/>
        <v/>
      </c>
      <c r="Y898" s="586" t="str">
        <f t="shared" si="258"/>
        <v/>
      </c>
      <c r="Z898" s="586" t="str">
        <f t="shared" si="239"/>
        <v/>
      </c>
    </row>
    <row r="899" spans="1:26" ht="12" hidden="1" thickBot="1" x14ac:dyDescent="0.25">
      <c r="A899" s="567">
        <v>862</v>
      </c>
      <c r="B899" s="644">
        <v>862</v>
      </c>
      <c r="C899" s="645" t="s">
        <v>458</v>
      </c>
      <c r="D899" s="427" t="s">
        <v>1978</v>
      </c>
      <c r="E899" s="423"/>
      <c r="F899" s="424"/>
      <c r="G899" s="425"/>
      <c r="H899" s="651"/>
      <c r="I899" s="420">
        <v>425.19</v>
      </c>
      <c r="J899" s="420">
        <f t="shared" si="266"/>
        <v>425.19</v>
      </c>
      <c r="K899" s="421">
        <f t="shared" si="254"/>
        <v>505.17</v>
      </c>
      <c r="L899" s="647" t="s">
        <v>16</v>
      </c>
      <c r="M899" s="576"/>
      <c r="N899" s="576">
        <f t="shared" si="256"/>
        <v>0</v>
      </c>
      <c r="O899" s="577">
        <f t="shared" si="262"/>
        <v>0</v>
      </c>
      <c r="P899" s="578">
        <f t="shared" si="263"/>
        <v>0</v>
      </c>
      <c r="Q899" s="765"/>
      <c r="R899" s="576">
        <f t="shared" si="259"/>
        <v>0</v>
      </c>
      <c r="S899" s="576">
        <f t="shared" si="259"/>
        <v>0</v>
      </c>
      <c r="T899" s="577">
        <f t="shared" si="260"/>
        <v>0</v>
      </c>
      <c r="U899" s="578">
        <f t="shared" si="261"/>
        <v>0</v>
      </c>
      <c r="V899" s="579"/>
      <c r="W899" s="566"/>
      <c r="X899" s="586" t="str">
        <f t="shared" si="265"/>
        <v/>
      </c>
      <c r="Y899" s="586" t="str">
        <f t="shared" si="258"/>
        <v/>
      </c>
      <c r="Z899" s="586" t="str">
        <f t="shared" si="239"/>
        <v/>
      </c>
    </row>
    <row r="900" spans="1:26" ht="12" hidden="1" thickBot="1" x14ac:dyDescent="0.25">
      <c r="A900" s="567" t="s">
        <v>532</v>
      </c>
      <c r="B900" s="644" t="s">
        <v>532</v>
      </c>
      <c r="C900" s="645" t="s">
        <v>458</v>
      </c>
      <c r="D900" s="422" t="s">
        <v>1979</v>
      </c>
      <c r="E900" s="423"/>
      <c r="F900" s="424"/>
      <c r="G900" s="425"/>
      <c r="H900" s="651"/>
      <c r="I900" s="420">
        <v>297.73</v>
      </c>
      <c r="J900" s="420">
        <f t="shared" si="266"/>
        <v>297.73</v>
      </c>
      <c r="K900" s="421">
        <f t="shared" si="254"/>
        <v>353.73</v>
      </c>
      <c r="L900" s="647" t="s">
        <v>16</v>
      </c>
      <c r="M900" s="576"/>
      <c r="N900" s="576">
        <f t="shared" si="256"/>
        <v>0</v>
      </c>
      <c r="O900" s="577">
        <f t="shared" si="262"/>
        <v>0</v>
      </c>
      <c r="P900" s="578">
        <f t="shared" si="263"/>
        <v>0</v>
      </c>
      <c r="Q900" s="765"/>
      <c r="R900" s="576">
        <f t="shared" si="259"/>
        <v>0</v>
      </c>
      <c r="S900" s="576">
        <f t="shared" si="259"/>
        <v>0</v>
      </c>
      <c r="T900" s="577">
        <f t="shared" si="260"/>
        <v>0</v>
      </c>
      <c r="U900" s="578">
        <f t="shared" si="261"/>
        <v>0</v>
      </c>
      <c r="V900" s="579"/>
      <c r="W900" s="566"/>
      <c r="X900" s="586" t="str">
        <f t="shared" si="265"/>
        <v/>
      </c>
      <c r="Y900" s="586" t="str">
        <f t="shared" si="258"/>
        <v/>
      </c>
      <c r="Z900" s="586" t="str">
        <f t="shared" si="239"/>
        <v/>
      </c>
    </row>
    <row r="901" spans="1:26" ht="12" hidden="1" thickBot="1" x14ac:dyDescent="0.25">
      <c r="A901" s="567">
        <v>875</v>
      </c>
      <c r="B901" s="644">
        <v>875</v>
      </c>
      <c r="C901" s="645" t="s">
        <v>458</v>
      </c>
      <c r="D901" s="427" t="s">
        <v>1980</v>
      </c>
      <c r="E901" s="423"/>
      <c r="F901" s="424"/>
      <c r="G901" s="425"/>
      <c r="H901" s="651"/>
      <c r="I901" s="420">
        <v>7.19</v>
      </c>
      <c r="J901" s="420">
        <f t="shared" si="266"/>
        <v>7.19</v>
      </c>
      <c r="K901" s="421">
        <f t="shared" si="254"/>
        <v>8.5399999999999991</v>
      </c>
      <c r="L901" s="647" t="s">
        <v>21</v>
      </c>
      <c r="M901" s="576"/>
      <c r="N901" s="576">
        <f t="shared" si="256"/>
        <v>0</v>
      </c>
      <c r="O901" s="577">
        <f t="shared" si="262"/>
        <v>0</v>
      </c>
      <c r="P901" s="578">
        <f t="shared" si="263"/>
        <v>0</v>
      </c>
      <c r="Q901" s="765"/>
      <c r="R901" s="576">
        <f t="shared" si="259"/>
        <v>0</v>
      </c>
      <c r="S901" s="576">
        <f t="shared" si="259"/>
        <v>0</v>
      </c>
      <c r="T901" s="577">
        <f t="shared" si="260"/>
        <v>0</v>
      </c>
      <c r="U901" s="578">
        <f t="shared" si="261"/>
        <v>0</v>
      </c>
      <c r="V901" s="579"/>
      <c r="W901" s="566"/>
      <c r="X901" s="586" t="str">
        <f t="shared" si="265"/>
        <v/>
      </c>
      <c r="Y901" s="586" t="str">
        <f t="shared" si="258"/>
        <v/>
      </c>
      <c r="Z901" s="586" t="str">
        <f t="shared" si="239"/>
        <v/>
      </c>
    </row>
    <row r="902" spans="1:26" ht="12" hidden="1" thickBot="1" x14ac:dyDescent="0.25">
      <c r="A902" s="567" t="s">
        <v>533</v>
      </c>
      <c r="B902" s="644" t="s">
        <v>533</v>
      </c>
      <c r="C902" s="645" t="s">
        <v>458</v>
      </c>
      <c r="D902" s="427" t="s">
        <v>1981</v>
      </c>
      <c r="E902" s="423"/>
      <c r="F902" s="424"/>
      <c r="G902" s="425"/>
      <c r="H902" s="651"/>
      <c r="I902" s="420">
        <v>2.74</v>
      </c>
      <c r="J902" s="420">
        <f t="shared" si="266"/>
        <v>2.74</v>
      </c>
      <c r="K902" s="421">
        <f t="shared" si="254"/>
        <v>3.26</v>
      </c>
      <c r="L902" s="647" t="s">
        <v>21</v>
      </c>
      <c r="M902" s="576"/>
      <c r="N902" s="576">
        <f t="shared" si="256"/>
        <v>0</v>
      </c>
      <c r="O902" s="577">
        <f t="shared" si="262"/>
        <v>0</v>
      </c>
      <c r="P902" s="578">
        <f t="shared" si="263"/>
        <v>0</v>
      </c>
      <c r="Q902" s="765"/>
      <c r="R902" s="576">
        <f t="shared" si="259"/>
        <v>0</v>
      </c>
      <c r="S902" s="576">
        <f t="shared" si="259"/>
        <v>0</v>
      </c>
      <c r="T902" s="577">
        <f t="shared" si="260"/>
        <v>0</v>
      </c>
      <c r="U902" s="578">
        <f t="shared" si="261"/>
        <v>0</v>
      </c>
      <c r="V902" s="579"/>
      <c r="W902" s="566"/>
      <c r="X902" s="586" t="str">
        <f t="shared" si="265"/>
        <v/>
      </c>
      <c r="Y902" s="586" t="str">
        <f t="shared" si="258"/>
        <v/>
      </c>
      <c r="Z902" s="586" t="str">
        <f t="shared" si="239"/>
        <v/>
      </c>
    </row>
    <row r="903" spans="1:26" ht="12" hidden="1" thickBot="1" x14ac:dyDescent="0.25">
      <c r="A903" s="567">
        <v>780</v>
      </c>
      <c r="B903" s="644">
        <v>780</v>
      </c>
      <c r="C903" s="645" t="s">
        <v>458</v>
      </c>
      <c r="D903" s="422" t="s">
        <v>1982</v>
      </c>
      <c r="E903" s="423"/>
      <c r="F903" s="424"/>
      <c r="G903" s="425"/>
      <c r="H903" s="651"/>
      <c r="I903" s="420">
        <v>528.30999999999995</v>
      </c>
      <c r="J903" s="420">
        <f t="shared" si="266"/>
        <v>528.30999999999995</v>
      </c>
      <c r="K903" s="421">
        <f t="shared" si="254"/>
        <v>627.69000000000005</v>
      </c>
      <c r="L903" s="647" t="s">
        <v>177</v>
      </c>
      <c r="M903" s="576"/>
      <c r="N903" s="576">
        <f t="shared" si="256"/>
        <v>0</v>
      </c>
      <c r="O903" s="577">
        <f t="shared" si="262"/>
        <v>0</v>
      </c>
      <c r="P903" s="578">
        <f t="shared" si="263"/>
        <v>0</v>
      </c>
      <c r="Q903" s="765"/>
      <c r="R903" s="576">
        <f t="shared" si="259"/>
        <v>0</v>
      </c>
      <c r="S903" s="576">
        <f t="shared" si="259"/>
        <v>0</v>
      </c>
      <c r="T903" s="577">
        <f t="shared" si="260"/>
        <v>0</v>
      </c>
      <c r="U903" s="578">
        <f t="shared" si="261"/>
        <v>0</v>
      </c>
      <c r="V903" s="579"/>
      <c r="W903" s="566"/>
      <c r="X903" s="586" t="str">
        <f t="shared" si="265"/>
        <v/>
      </c>
      <c r="Y903" s="586" t="str">
        <f t="shared" si="258"/>
        <v/>
      </c>
      <c r="Z903" s="586" t="str">
        <f t="shared" si="239"/>
        <v/>
      </c>
    </row>
    <row r="904" spans="1:26" ht="12" hidden="1" thickBot="1" x14ac:dyDescent="0.25">
      <c r="A904" s="567" t="s">
        <v>538</v>
      </c>
      <c r="B904" s="644" t="s">
        <v>538</v>
      </c>
      <c r="C904" s="645" t="s">
        <v>458</v>
      </c>
      <c r="D904" s="422" t="s">
        <v>1983</v>
      </c>
      <c r="E904" s="423"/>
      <c r="F904" s="424"/>
      <c r="G904" s="425"/>
      <c r="H904" s="651"/>
      <c r="I904" s="420">
        <v>211.39</v>
      </c>
      <c r="J904" s="420">
        <f t="shared" si="266"/>
        <v>211.39</v>
      </c>
      <c r="K904" s="421">
        <f t="shared" si="254"/>
        <v>251.15</v>
      </c>
      <c r="L904" s="647" t="s">
        <v>177</v>
      </c>
      <c r="M904" s="576"/>
      <c r="N904" s="576">
        <f t="shared" si="256"/>
        <v>0</v>
      </c>
      <c r="O904" s="577">
        <f t="shared" si="262"/>
        <v>0</v>
      </c>
      <c r="P904" s="578">
        <f t="shared" si="263"/>
        <v>0</v>
      </c>
      <c r="Q904" s="765"/>
      <c r="R904" s="576">
        <f t="shared" si="259"/>
        <v>0</v>
      </c>
      <c r="S904" s="576">
        <f t="shared" si="259"/>
        <v>0</v>
      </c>
      <c r="T904" s="577">
        <f t="shared" si="260"/>
        <v>0</v>
      </c>
      <c r="U904" s="578">
        <f t="shared" si="261"/>
        <v>0</v>
      </c>
      <c r="V904" s="579"/>
      <c r="W904" s="566"/>
      <c r="X904" s="586" t="str">
        <f t="shared" si="265"/>
        <v/>
      </c>
      <c r="Y904" s="586" t="str">
        <f t="shared" si="258"/>
        <v/>
      </c>
      <c r="Z904" s="586" t="str">
        <f t="shared" si="239"/>
        <v/>
      </c>
    </row>
    <row r="905" spans="1:26" ht="23.25" hidden="1" thickBot="1" x14ac:dyDescent="0.25">
      <c r="A905" s="567">
        <v>781</v>
      </c>
      <c r="B905" s="644">
        <v>781</v>
      </c>
      <c r="C905" s="645" t="s">
        <v>458</v>
      </c>
      <c r="D905" s="422" t="s">
        <v>1984</v>
      </c>
      <c r="E905" s="423"/>
      <c r="F905" s="424"/>
      <c r="G905" s="425"/>
      <c r="H905" s="651"/>
      <c r="I905" s="420">
        <v>879.15</v>
      </c>
      <c r="J905" s="420">
        <f t="shared" si="266"/>
        <v>879.15</v>
      </c>
      <c r="K905" s="421">
        <f t="shared" ref="K905:K968" si="267">IF(ISBLANK(I905),0,ROUND(J905*(1+$F$10)*(1+$F$11*E905),2))</f>
        <v>1044.52</v>
      </c>
      <c r="L905" s="647" t="s">
        <v>177</v>
      </c>
      <c r="M905" s="576"/>
      <c r="N905" s="576">
        <f t="shared" si="256"/>
        <v>0</v>
      </c>
      <c r="O905" s="577">
        <f t="shared" si="262"/>
        <v>0</v>
      </c>
      <c r="P905" s="578">
        <f t="shared" si="263"/>
        <v>0</v>
      </c>
      <c r="Q905" s="765"/>
      <c r="R905" s="576">
        <f t="shared" si="259"/>
        <v>0</v>
      </c>
      <c r="S905" s="576">
        <f t="shared" si="259"/>
        <v>0</v>
      </c>
      <c r="T905" s="577">
        <f t="shared" si="260"/>
        <v>0</v>
      </c>
      <c r="U905" s="578">
        <f t="shared" si="261"/>
        <v>0</v>
      </c>
      <c r="V905" s="579"/>
      <c r="W905" s="566"/>
      <c r="X905" s="586" t="str">
        <f t="shared" si="265"/>
        <v/>
      </c>
      <c r="Y905" s="586" t="str">
        <f t="shared" si="258"/>
        <v/>
      </c>
      <c r="Z905" s="586" t="str">
        <f t="shared" si="239"/>
        <v/>
      </c>
    </row>
    <row r="906" spans="1:26" ht="12" hidden="1" thickBot="1" x14ac:dyDescent="0.25">
      <c r="A906" s="567" t="s">
        <v>539</v>
      </c>
      <c r="B906" s="644" t="s">
        <v>539</v>
      </c>
      <c r="C906" s="645" t="s">
        <v>458</v>
      </c>
      <c r="D906" s="422" t="s">
        <v>1985</v>
      </c>
      <c r="E906" s="423"/>
      <c r="F906" s="424"/>
      <c r="G906" s="425"/>
      <c r="H906" s="651"/>
      <c r="I906" s="420">
        <v>351.52</v>
      </c>
      <c r="J906" s="420">
        <f t="shared" si="266"/>
        <v>351.52</v>
      </c>
      <c r="K906" s="421">
        <f t="shared" si="267"/>
        <v>417.64</v>
      </c>
      <c r="L906" s="647" t="s">
        <v>177</v>
      </c>
      <c r="M906" s="576"/>
      <c r="N906" s="576">
        <f t="shared" si="256"/>
        <v>0</v>
      </c>
      <c r="O906" s="577">
        <f t="shared" si="262"/>
        <v>0</v>
      </c>
      <c r="P906" s="578">
        <f t="shared" si="263"/>
        <v>0</v>
      </c>
      <c r="Q906" s="765"/>
      <c r="R906" s="576">
        <f t="shared" si="259"/>
        <v>0</v>
      </c>
      <c r="S906" s="576">
        <f t="shared" si="259"/>
        <v>0</v>
      </c>
      <c r="T906" s="577">
        <f t="shared" si="260"/>
        <v>0</v>
      </c>
      <c r="U906" s="578">
        <f t="shared" si="261"/>
        <v>0</v>
      </c>
      <c r="V906" s="579"/>
      <c r="W906" s="566"/>
      <c r="X906" s="586" t="str">
        <f t="shared" si="265"/>
        <v/>
      </c>
      <c r="Y906" s="586" t="str">
        <f t="shared" si="258"/>
        <v/>
      </c>
      <c r="Z906" s="586" t="str">
        <f t="shared" si="239"/>
        <v/>
      </c>
    </row>
    <row r="907" spans="1:26" ht="23.25" hidden="1" thickBot="1" x14ac:dyDescent="0.25">
      <c r="A907" s="567">
        <v>782</v>
      </c>
      <c r="B907" s="644">
        <v>782</v>
      </c>
      <c r="C907" s="645" t="s">
        <v>458</v>
      </c>
      <c r="D907" s="422" t="s">
        <v>1986</v>
      </c>
      <c r="E907" s="423"/>
      <c r="F907" s="424"/>
      <c r="G907" s="425"/>
      <c r="H907" s="651"/>
      <c r="I907" s="420">
        <v>1465.37</v>
      </c>
      <c r="J907" s="420">
        <f t="shared" si="266"/>
        <v>1465.37</v>
      </c>
      <c r="K907" s="421">
        <f t="shared" si="267"/>
        <v>1741.01</v>
      </c>
      <c r="L907" s="647" t="s">
        <v>177</v>
      </c>
      <c r="M907" s="576"/>
      <c r="N907" s="576">
        <f t="shared" si="256"/>
        <v>0</v>
      </c>
      <c r="O907" s="577">
        <f t="shared" si="262"/>
        <v>0</v>
      </c>
      <c r="P907" s="578">
        <f t="shared" si="263"/>
        <v>0</v>
      </c>
      <c r="Q907" s="765"/>
      <c r="R907" s="576">
        <f t="shared" si="259"/>
        <v>0</v>
      </c>
      <c r="S907" s="576">
        <f t="shared" si="259"/>
        <v>0</v>
      </c>
      <c r="T907" s="577">
        <f t="shared" si="260"/>
        <v>0</v>
      </c>
      <c r="U907" s="578">
        <f t="shared" si="261"/>
        <v>0</v>
      </c>
      <c r="V907" s="579"/>
      <c r="W907" s="566"/>
      <c r="X907" s="586" t="str">
        <f t="shared" si="265"/>
        <v/>
      </c>
      <c r="Y907" s="586" t="str">
        <f t="shared" si="258"/>
        <v/>
      </c>
      <c r="Z907" s="586" t="str">
        <f t="shared" si="239"/>
        <v/>
      </c>
    </row>
    <row r="908" spans="1:26" ht="23.25" hidden="1" thickBot="1" x14ac:dyDescent="0.25">
      <c r="A908" s="567" t="s">
        <v>540</v>
      </c>
      <c r="B908" s="644" t="s">
        <v>540</v>
      </c>
      <c r="C908" s="645" t="s">
        <v>458</v>
      </c>
      <c r="D908" s="422" t="s">
        <v>1987</v>
      </c>
      <c r="E908" s="423"/>
      <c r="F908" s="424"/>
      <c r="G908" s="425"/>
      <c r="H908" s="651"/>
      <c r="I908" s="420">
        <v>586.21</v>
      </c>
      <c r="J908" s="420">
        <f t="shared" si="266"/>
        <v>586.21</v>
      </c>
      <c r="K908" s="421">
        <f t="shared" si="267"/>
        <v>696.48</v>
      </c>
      <c r="L908" s="647" t="s">
        <v>177</v>
      </c>
      <c r="M908" s="576"/>
      <c r="N908" s="576">
        <f t="shared" si="256"/>
        <v>0</v>
      </c>
      <c r="O908" s="577">
        <f t="shared" si="262"/>
        <v>0</v>
      </c>
      <c r="P908" s="578">
        <f t="shared" si="263"/>
        <v>0</v>
      </c>
      <c r="Q908" s="765"/>
      <c r="R908" s="576">
        <f t="shared" si="259"/>
        <v>0</v>
      </c>
      <c r="S908" s="576">
        <f t="shared" si="259"/>
        <v>0</v>
      </c>
      <c r="T908" s="577">
        <f t="shared" si="260"/>
        <v>0</v>
      </c>
      <c r="U908" s="578">
        <f t="shared" si="261"/>
        <v>0</v>
      </c>
      <c r="V908" s="579"/>
      <c r="W908" s="566"/>
      <c r="X908" s="586" t="str">
        <f t="shared" si="265"/>
        <v/>
      </c>
      <c r="Y908" s="586" t="str">
        <f t="shared" si="258"/>
        <v/>
      </c>
      <c r="Z908" s="586" t="str">
        <f t="shared" si="239"/>
        <v/>
      </c>
    </row>
    <row r="909" spans="1:26" ht="12" hidden="1" thickBot="1" x14ac:dyDescent="0.25">
      <c r="A909" s="567">
        <v>783</v>
      </c>
      <c r="B909" s="644">
        <v>783</v>
      </c>
      <c r="C909" s="645" t="s">
        <v>458</v>
      </c>
      <c r="D909" s="422" t="s">
        <v>1988</v>
      </c>
      <c r="E909" s="423"/>
      <c r="F909" s="424"/>
      <c r="G909" s="425"/>
      <c r="H909" s="651"/>
      <c r="I909" s="420">
        <v>1721.98</v>
      </c>
      <c r="J909" s="420">
        <f t="shared" si="266"/>
        <v>1721.98</v>
      </c>
      <c r="K909" s="421">
        <f t="shared" si="267"/>
        <v>2045.88</v>
      </c>
      <c r="L909" s="647" t="s">
        <v>177</v>
      </c>
      <c r="M909" s="576"/>
      <c r="N909" s="576">
        <f t="shared" si="256"/>
        <v>0</v>
      </c>
      <c r="O909" s="577">
        <f t="shared" si="262"/>
        <v>0</v>
      </c>
      <c r="P909" s="578">
        <f t="shared" si="263"/>
        <v>0</v>
      </c>
      <c r="Q909" s="765"/>
      <c r="R909" s="576">
        <f t="shared" si="259"/>
        <v>0</v>
      </c>
      <c r="S909" s="576">
        <f t="shared" si="259"/>
        <v>0</v>
      </c>
      <c r="T909" s="577">
        <f t="shared" si="260"/>
        <v>0</v>
      </c>
      <c r="U909" s="578">
        <f t="shared" si="261"/>
        <v>0</v>
      </c>
      <c r="V909" s="579"/>
      <c r="W909" s="566"/>
      <c r="X909" s="586" t="str">
        <f t="shared" si="265"/>
        <v/>
      </c>
      <c r="Y909" s="586" t="str">
        <f t="shared" si="258"/>
        <v/>
      </c>
      <c r="Z909" s="586" t="str">
        <f t="shared" si="239"/>
        <v/>
      </c>
    </row>
    <row r="910" spans="1:26" ht="12" hidden="1" thickBot="1" x14ac:dyDescent="0.25">
      <c r="A910" s="567" t="s">
        <v>541</v>
      </c>
      <c r="B910" s="644" t="s">
        <v>541</v>
      </c>
      <c r="C910" s="645" t="s">
        <v>458</v>
      </c>
      <c r="D910" s="422" t="s">
        <v>1989</v>
      </c>
      <c r="E910" s="423"/>
      <c r="F910" s="424"/>
      <c r="G910" s="425"/>
      <c r="H910" s="651"/>
      <c r="I910" s="420">
        <v>688.66</v>
      </c>
      <c r="J910" s="420">
        <f t="shared" si="266"/>
        <v>688.66</v>
      </c>
      <c r="K910" s="421">
        <f t="shared" si="267"/>
        <v>818.2</v>
      </c>
      <c r="L910" s="647" t="s">
        <v>177</v>
      </c>
      <c r="M910" s="576"/>
      <c r="N910" s="576">
        <f t="shared" si="256"/>
        <v>0</v>
      </c>
      <c r="O910" s="577">
        <f t="shared" si="262"/>
        <v>0</v>
      </c>
      <c r="P910" s="578">
        <f t="shared" si="263"/>
        <v>0</v>
      </c>
      <c r="Q910" s="765"/>
      <c r="R910" s="576">
        <f t="shared" si="259"/>
        <v>0</v>
      </c>
      <c r="S910" s="576">
        <f t="shared" si="259"/>
        <v>0</v>
      </c>
      <c r="T910" s="577">
        <f t="shared" si="260"/>
        <v>0</v>
      </c>
      <c r="U910" s="578">
        <f t="shared" si="261"/>
        <v>0</v>
      </c>
      <c r="V910" s="579"/>
      <c r="W910" s="566"/>
      <c r="X910" s="586" t="str">
        <f t="shared" si="265"/>
        <v/>
      </c>
      <c r="Y910" s="586" t="str">
        <f t="shared" si="258"/>
        <v/>
      </c>
      <c r="Z910" s="586" t="str">
        <f t="shared" si="239"/>
        <v/>
      </c>
    </row>
    <row r="911" spans="1:26" ht="12" hidden="1" thickBot="1" x14ac:dyDescent="0.25">
      <c r="A911" s="567">
        <v>784</v>
      </c>
      <c r="B911" s="644">
        <v>784</v>
      </c>
      <c r="C911" s="645" t="s">
        <v>458</v>
      </c>
      <c r="D911" s="422" t="s">
        <v>1990</v>
      </c>
      <c r="E911" s="423"/>
      <c r="F911" s="424"/>
      <c r="G911" s="425"/>
      <c r="H911" s="651"/>
      <c r="I911" s="420">
        <v>642.75</v>
      </c>
      <c r="J911" s="420">
        <f t="shared" si="266"/>
        <v>642.75</v>
      </c>
      <c r="K911" s="421">
        <f t="shared" si="267"/>
        <v>763.65</v>
      </c>
      <c r="L911" s="647" t="s">
        <v>177</v>
      </c>
      <c r="M911" s="576"/>
      <c r="N911" s="576">
        <f t="shared" si="256"/>
        <v>0</v>
      </c>
      <c r="O911" s="577">
        <f t="shared" si="262"/>
        <v>0</v>
      </c>
      <c r="P911" s="578">
        <f t="shared" si="263"/>
        <v>0</v>
      </c>
      <c r="Q911" s="765"/>
      <c r="R911" s="576">
        <f t="shared" si="259"/>
        <v>0</v>
      </c>
      <c r="S911" s="576">
        <f t="shared" si="259"/>
        <v>0</v>
      </c>
      <c r="T911" s="577">
        <f t="shared" si="260"/>
        <v>0</v>
      </c>
      <c r="U911" s="578">
        <f t="shared" si="261"/>
        <v>0</v>
      </c>
      <c r="V911" s="579"/>
      <c r="W911" s="566"/>
      <c r="X911" s="586" t="str">
        <f t="shared" si="265"/>
        <v/>
      </c>
      <c r="Y911" s="586" t="str">
        <f t="shared" si="258"/>
        <v/>
      </c>
      <c r="Z911" s="586" t="str">
        <f t="shared" si="239"/>
        <v/>
      </c>
    </row>
    <row r="912" spans="1:26" ht="12" hidden="1" thickBot="1" x14ac:dyDescent="0.25">
      <c r="A912" s="567" t="s">
        <v>542</v>
      </c>
      <c r="B912" s="644" t="s">
        <v>542</v>
      </c>
      <c r="C912" s="645" t="s">
        <v>458</v>
      </c>
      <c r="D912" s="422" t="s">
        <v>1991</v>
      </c>
      <c r="E912" s="423"/>
      <c r="F912" s="424"/>
      <c r="G912" s="425"/>
      <c r="H912" s="651"/>
      <c r="I912" s="420">
        <v>256.95999999999998</v>
      </c>
      <c r="J912" s="420">
        <f t="shared" si="266"/>
        <v>256.95999999999998</v>
      </c>
      <c r="K912" s="421">
        <f t="shared" si="267"/>
        <v>305.29000000000002</v>
      </c>
      <c r="L912" s="647" t="s">
        <v>177</v>
      </c>
      <c r="M912" s="576"/>
      <c r="N912" s="576">
        <f t="shared" si="256"/>
        <v>0</v>
      </c>
      <c r="O912" s="577">
        <f t="shared" si="262"/>
        <v>0</v>
      </c>
      <c r="P912" s="578">
        <f t="shared" si="263"/>
        <v>0</v>
      </c>
      <c r="Q912" s="765"/>
      <c r="R912" s="576">
        <f t="shared" si="259"/>
        <v>0</v>
      </c>
      <c r="S912" s="576">
        <f t="shared" si="259"/>
        <v>0</v>
      </c>
      <c r="T912" s="577">
        <f t="shared" si="260"/>
        <v>0</v>
      </c>
      <c r="U912" s="578">
        <f t="shared" si="261"/>
        <v>0</v>
      </c>
      <c r="V912" s="579"/>
      <c r="W912" s="566"/>
      <c r="X912" s="586" t="str">
        <f t="shared" si="265"/>
        <v/>
      </c>
      <c r="Y912" s="586" t="str">
        <f t="shared" si="258"/>
        <v/>
      </c>
      <c r="Z912" s="586" t="str">
        <f t="shared" si="239"/>
        <v/>
      </c>
    </row>
    <row r="913" spans="1:26" ht="12" hidden="1" thickBot="1" x14ac:dyDescent="0.25">
      <c r="A913" s="567">
        <v>785</v>
      </c>
      <c r="B913" s="644">
        <v>785</v>
      </c>
      <c r="C913" s="645" t="s">
        <v>458</v>
      </c>
      <c r="D913" s="422" t="s">
        <v>1992</v>
      </c>
      <c r="E913" s="423"/>
      <c r="F913" s="424"/>
      <c r="G913" s="425"/>
      <c r="H913" s="651"/>
      <c r="I913" s="420">
        <v>1706.57</v>
      </c>
      <c r="J913" s="420">
        <f t="shared" si="266"/>
        <v>1706.57</v>
      </c>
      <c r="K913" s="421">
        <f t="shared" si="267"/>
        <v>2027.58</v>
      </c>
      <c r="L913" s="647" t="s">
        <v>177</v>
      </c>
      <c r="M913" s="576"/>
      <c r="N913" s="576">
        <f t="shared" si="256"/>
        <v>0</v>
      </c>
      <c r="O913" s="577">
        <f t="shared" si="262"/>
        <v>0</v>
      </c>
      <c r="P913" s="578">
        <f t="shared" si="263"/>
        <v>0</v>
      </c>
      <c r="Q913" s="765"/>
      <c r="R913" s="576">
        <f t="shared" si="259"/>
        <v>0</v>
      </c>
      <c r="S913" s="576">
        <f t="shared" si="259"/>
        <v>0</v>
      </c>
      <c r="T913" s="577">
        <f t="shared" si="260"/>
        <v>0</v>
      </c>
      <c r="U913" s="578">
        <f t="shared" si="261"/>
        <v>0</v>
      </c>
      <c r="V913" s="579"/>
      <c r="W913" s="566"/>
      <c r="X913" s="586" t="str">
        <f t="shared" si="265"/>
        <v/>
      </c>
      <c r="Y913" s="586" t="str">
        <f t="shared" si="258"/>
        <v/>
      </c>
      <c r="Z913" s="586" t="str">
        <f t="shared" si="239"/>
        <v/>
      </c>
    </row>
    <row r="914" spans="1:26" ht="12" hidden="1" thickBot="1" x14ac:dyDescent="0.25">
      <c r="A914" s="567" t="s">
        <v>543</v>
      </c>
      <c r="B914" s="644" t="s">
        <v>543</v>
      </c>
      <c r="C914" s="645" t="s">
        <v>458</v>
      </c>
      <c r="D914" s="422" t="s">
        <v>1993</v>
      </c>
      <c r="E914" s="423"/>
      <c r="F914" s="424"/>
      <c r="G914" s="425"/>
      <c r="H914" s="651"/>
      <c r="I914" s="420">
        <v>659.19</v>
      </c>
      <c r="J914" s="420">
        <f t="shared" si="266"/>
        <v>659.19</v>
      </c>
      <c r="K914" s="421">
        <f t="shared" si="267"/>
        <v>783.18</v>
      </c>
      <c r="L914" s="647" t="s">
        <v>177</v>
      </c>
      <c r="M914" s="576"/>
      <c r="N914" s="576">
        <f t="shared" si="256"/>
        <v>0</v>
      </c>
      <c r="O914" s="577">
        <f t="shared" si="262"/>
        <v>0</v>
      </c>
      <c r="P914" s="578">
        <f t="shared" si="263"/>
        <v>0</v>
      </c>
      <c r="Q914" s="765"/>
      <c r="R914" s="576">
        <f t="shared" si="259"/>
        <v>0</v>
      </c>
      <c r="S914" s="576">
        <f t="shared" si="259"/>
        <v>0</v>
      </c>
      <c r="T914" s="577">
        <f t="shared" si="260"/>
        <v>0</v>
      </c>
      <c r="U914" s="578">
        <f t="shared" si="261"/>
        <v>0</v>
      </c>
      <c r="V914" s="579"/>
      <c r="W914" s="566"/>
      <c r="X914" s="586" t="str">
        <f t="shared" si="265"/>
        <v/>
      </c>
      <c r="Y914" s="586" t="str">
        <f t="shared" si="258"/>
        <v/>
      </c>
      <c r="Z914" s="586" t="str">
        <f t="shared" si="239"/>
        <v/>
      </c>
    </row>
    <row r="915" spans="1:26" ht="12" hidden="1" thickBot="1" x14ac:dyDescent="0.25">
      <c r="A915" s="567">
        <v>786</v>
      </c>
      <c r="B915" s="644">
        <v>786</v>
      </c>
      <c r="C915" s="645" t="s">
        <v>458</v>
      </c>
      <c r="D915" s="422" t="s">
        <v>1994</v>
      </c>
      <c r="E915" s="423"/>
      <c r="F915" s="424"/>
      <c r="G915" s="425"/>
      <c r="H915" s="651"/>
      <c r="I915" s="420">
        <v>535.51</v>
      </c>
      <c r="J915" s="420">
        <f t="shared" si="266"/>
        <v>535.51</v>
      </c>
      <c r="K915" s="421">
        <f t="shared" si="267"/>
        <v>636.24</v>
      </c>
      <c r="L915" s="647" t="s">
        <v>177</v>
      </c>
      <c r="M915" s="576"/>
      <c r="N915" s="576">
        <f t="shared" si="256"/>
        <v>0</v>
      </c>
      <c r="O915" s="577">
        <f t="shared" si="262"/>
        <v>0</v>
      </c>
      <c r="P915" s="578">
        <f t="shared" si="263"/>
        <v>0</v>
      </c>
      <c r="Q915" s="765"/>
      <c r="R915" s="576">
        <f t="shared" si="259"/>
        <v>0</v>
      </c>
      <c r="S915" s="576">
        <f t="shared" si="259"/>
        <v>0</v>
      </c>
      <c r="T915" s="577">
        <f t="shared" si="260"/>
        <v>0</v>
      </c>
      <c r="U915" s="578">
        <f t="shared" si="261"/>
        <v>0</v>
      </c>
      <c r="V915" s="579"/>
      <c r="W915" s="566"/>
      <c r="X915" s="586" t="str">
        <f t="shared" si="265"/>
        <v/>
      </c>
      <c r="Y915" s="586" t="str">
        <f t="shared" si="258"/>
        <v/>
      </c>
      <c r="Z915" s="586" t="str">
        <f t="shared" ref="Z915:Z978" si="268">IF(W915="X","x",IF(U915&gt;0,"x",""))</f>
        <v/>
      </c>
    </row>
    <row r="916" spans="1:26" ht="12" hidden="1" thickBot="1" x14ac:dyDescent="0.25">
      <c r="A916" s="567" t="s">
        <v>544</v>
      </c>
      <c r="B916" s="644" t="s">
        <v>544</v>
      </c>
      <c r="C916" s="645" t="s">
        <v>458</v>
      </c>
      <c r="D916" s="422" t="s">
        <v>1995</v>
      </c>
      <c r="E916" s="423"/>
      <c r="F916" s="424"/>
      <c r="G916" s="425"/>
      <c r="H916" s="651"/>
      <c r="I916" s="420">
        <v>214.13</v>
      </c>
      <c r="J916" s="420">
        <f t="shared" si="266"/>
        <v>214.13</v>
      </c>
      <c r="K916" s="421">
        <f t="shared" si="267"/>
        <v>254.41</v>
      </c>
      <c r="L916" s="647" t="s">
        <v>177</v>
      </c>
      <c r="M916" s="576"/>
      <c r="N916" s="576">
        <f t="shared" ref="N916:N979" si="269">IF(M916=0,0,K916)</f>
        <v>0</v>
      </c>
      <c r="O916" s="577">
        <f t="shared" si="262"/>
        <v>0</v>
      </c>
      <c r="P916" s="578">
        <f t="shared" si="263"/>
        <v>0</v>
      </c>
      <c r="Q916" s="765"/>
      <c r="R916" s="576">
        <f t="shared" si="259"/>
        <v>0</v>
      </c>
      <c r="S916" s="576">
        <f t="shared" si="259"/>
        <v>0</v>
      </c>
      <c r="T916" s="577">
        <f t="shared" si="260"/>
        <v>0</v>
      </c>
      <c r="U916" s="578">
        <f t="shared" si="261"/>
        <v>0</v>
      </c>
      <c r="V916" s="579"/>
      <c r="W916" s="566"/>
      <c r="X916" s="586" t="str">
        <f t="shared" si="265"/>
        <v/>
      </c>
      <c r="Y916" s="586" t="str">
        <f t="shared" si="258"/>
        <v/>
      </c>
      <c r="Z916" s="586" t="str">
        <f t="shared" si="268"/>
        <v/>
      </c>
    </row>
    <row r="917" spans="1:26" ht="12" hidden="1" thickBot="1" x14ac:dyDescent="0.25">
      <c r="A917" s="567">
        <v>787</v>
      </c>
      <c r="B917" s="644">
        <v>787</v>
      </c>
      <c r="C917" s="645" t="s">
        <v>458</v>
      </c>
      <c r="D917" s="422" t="s">
        <v>1996</v>
      </c>
      <c r="E917" s="423"/>
      <c r="F917" s="424"/>
      <c r="G917" s="425"/>
      <c r="H917" s="651"/>
      <c r="I917" s="420">
        <v>484.12</v>
      </c>
      <c r="J917" s="420">
        <f t="shared" si="266"/>
        <v>484.12</v>
      </c>
      <c r="K917" s="421">
        <f t="shared" si="267"/>
        <v>575.17999999999995</v>
      </c>
      <c r="L917" s="647" t="s">
        <v>177</v>
      </c>
      <c r="M917" s="576"/>
      <c r="N917" s="576">
        <f t="shared" si="269"/>
        <v>0</v>
      </c>
      <c r="O917" s="577">
        <f t="shared" si="262"/>
        <v>0</v>
      </c>
      <c r="P917" s="578">
        <f t="shared" si="263"/>
        <v>0</v>
      </c>
      <c r="Q917" s="765"/>
      <c r="R917" s="576">
        <f t="shared" si="259"/>
        <v>0</v>
      </c>
      <c r="S917" s="576">
        <f t="shared" si="259"/>
        <v>0</v>
      </c>
      <c r="T917" s="577">
        <f t="shared" si="260"/>
        <v>0</v>
      </c>
      <c r="U917" s="578">
        <f t="shared" si="261"/>
        <v>0</v>
      </c>
      <c r="V917" s="579"/>
      <c r="W917" s="566"/>
      <c r="X917" s="586" t="str">
        <f t="shared" si="265"/>
        <v/>
      </c>
      <c r="Y917" s="586" t="str">
        <f t="shared" si="258"/>
        <v/>
      </c>
      <c r="Z917" s="586" t="str">
        <f t="shared" si="268"/>
        <v/>
      </c>
    </row>
    <row r="918" spans="1:26" ht="12" hidden="1" thickBot="1" x14ac:dyDescent="0.25">
      <c r="A918" s="567" t="s">
        <v>545</v>
      </c>
      <c r="B918" s="644" t="s">
        <v>545</v>
      </c>
      <c r="C918" s="645" t="s">
        <v>458</v>
      </c>
      <c r="D918" s="422" t="s">
        <v>1997</v>
      </c>
      <c r="E918" s="423"/>
      <c r="F918" s="424"/>
      <c r="G918" s="425"/>
      <c r="H918" s="651"/>
      <c r="I918" s="420">
        <v>193.58</v>
      </c>
      <c r="J918" s="420">
        <f t="shared" si="266"/>
        <v>193.58</v>
      </c>
      <c r="K918" s="421">
        <f t="shared" si="267"/>
        <v>229.99</v>
      </c>
      <c r="L918" s="647" t="s">
        <v>177</v>
      </c>
      <c r="M918" s="576"/>
      <c r="N918" s="576">
        <f t="shared" si="269"/>
        <v>0</v>
      </c>
      <c r="O918" s="577">
        <f t="shared" si="262"/>
        <v>0</v>
      </c>
      <c r="P918" s="578">
        <f t="shared" si="263"/>
        <v>0</v>
      </c>
      <c r="Q918" s="765"/>
      <c r="R918" s="576">
        <f t="shared" si="259"/>
        <v>0</v>
      </c>
      <c r="S918" s="576">
        <f t="shared" si="259"/>
        <v>0</v>
      </c>
      <c r="T918" s="577">
        <f t="shared" si="260"/>
        <v>0</v>
      </c>
      <c r="U918" s="578">
        <f t="shared" si="261"/>
        <v>0</v>
      </c>
      <c r="V918" s="579"/>
      <c r="W918" s="566"/>
      <c r="X918" s="586" t="str">
        <f t="shared" si="265"/>
        <v/>
      </c>
      <c r="Y918" s="586" t="str">
        <f t="shared" si="258"/>
        <v/>
      </c>
      <c r="Z918" s="586" t="str">
        <f t="shared" si="268"/>
        <v/>
      </c>
    </row>
    <row r="919" spans="1:26" ht="12" hidden="1" thickBot="1" x14ac:dyDescent="0.25">
      <c r="A919" s="567">
        <v>790</v>
      </c>
      <c r="B919" s="644">
        <v>790</v>
      </c>
      <c r="C919" s="645" t="s">
        <v>458</v>
      </c>
      <c r="D919" s="422" t="s">
        <v>1998</v>
      </c>
      <c r="E919" s="423"/>
      <c r="F919" s="424"/>
      <c r="G919" s="425"/>
      <c r="H919" s="651"/>
      <c r="I919" s="420">
        <v>12.68</v>
      </c>
      <c r="J919" s="420">
        <f t="shared" si="266"/>
        <v>12.68</v>
      </c>
      <c r="K919" s="421">
        <f t="shared" si="267"/>
        <v>15.07</v>
      </c>
      <c r="L919" s="647" t="s">
        <v>19</v>
      </c>
      <c r="M919" s="576"/>
      <c r="N919" s="576">
        <f t="shared" si="269"/>
        <v>0</v>
      </c>
      <c r="O919" s="577">
        <f t="shared" si="262"/>
        <v>0</v>
      </c>
      <c r="P919" s="578">
        <f t="shared" si="263"/>
        <v>0</v>
      </c>
      <c r="Q919" s="765"/>
      <c r="R919" s="576">
        <f t="shared" si="259"/>
        <v>0</v>
      </c>
      <c r="S919" s="576">
        <f t="shared" si="259"/>
        <v>0</v>
      </c>
      <c r="T919" s="577">
        <f t="shared" si="260"/>
        <v>0</v>
      </c>
      <c r="U919" s="578">
        <f t="shared" si="261"/>
        <v>0</v>
      </c>
      <c r="V919" s="579"/>
      <c r="W919" s="566"/>
      <c r="X919" s="586" t="str">
        <f t="shared" si="265"/>
        <v/>
      </c>
      <c r="Y919" s="586" t="str">
        <f t="shared" si="258"/>
        <v/>
      </c>
      <c r="Z919" s="586" t="str">
        <f t="shared" si="268"/>
        <v/>
      </c>
    </row>
    <row r="920" spans="1:26" ht="12" hidden="1" thickBot="1" x14ac:dyDescent="0.25">
      <c r="A920" s="567" t="s">
        <v>546</v>
      </c>
      <c r="B920" s="644" t="s">
        <v>546</v>
      </c>
      <c r="C920" s="645" t="s">
        <v>458</v>
      </c>
      <c r="D920" s="422" t="s">
        <v>1999</v>
      </c>
      <c r="E920" s="423"/>
      <c r="F920" s="424"/>
      <c r="G920" s="425"/>
      <c r="H920" s="651"/>
      <c r="I920" s="420">
        <v>5.14</v>
      </c>
      <c r="J920" s="420">
        <f t="shared" si="266"/>
        <v>5.14</v>
      </c>
      <c r="K920" s="421">
        <f t="shared" si="267"/>
        <v>6.11</v>
      </c>
      <c r="L920" s="647" t="s">
        <v>19</v>
      </c>
      <c r="M920" s="576"/>
      <c r="N920" s="576">
        <f t="shared" si="269"/>
        <v>0</v>
      </c>
      <c r="O920" s="577">
        <f t="shared" si="262"/>
        <v>0</v>
      </c>
      <c r="P920" s="578">
        <f t="shared" si="263"/>
        <v>0</v>
      </c>
      <c r="Q920" s="765"/>
      <c r="R920" s="576">
        <f t="shared" si="259"/>
        <v>0</v>
      </c>
      <c r="S920" s="576">
        <f t="shared" si="259"/>
        <v>0</v>
      </c>
      <c r="T920" s="577">
        <f t="shared" si="260"/>
        <v>0</v>
      </c>
      <c r="U920" s="578">
        <f t="shared" si="261"/>
        <v>0</v>
      </c>
      <c r="V920" s="579"/>
      <c r="W920" s="566"/>
      <c r="X920" s="586" t="str">
        <f t="shared" si="265"/>
        <v/>
      </c>
      <c r="Y920" s="586" t="str">
        <f t="shared" si="258"/>
        <v/>
      </c>
      <c r="Z920" s="586" t="str">
        <f t="shared" si="268"/>
        <v/>
      </c>
    </row>
    <row r="921" spans="1:26" ht="12" hidden="1" thickBot="1" x14ac:dyDescent="0.25">
      <c r="A921" s="567">
        <v>800</v>
      </c>
      <c r="B921" s="644">
        <v>800</v>
      </c>
      <c r="C921" s="645" t="s">
        <v>458</v>
      </c>
      <c r="D921" s="422" t="s">
        <v>2000</v>
      </c>
      <c r="E921" s="423"/>
      <c r="F921" s="424"/>
      <c r="G921" s="425"/>
      <c r="H921" s="651"/>
      <c r="I921" s="420">
        <v>15.08</v>
      </c>
      <c r="J921" s="420">
        <f>IF(ISBLANK(I921),"",SUM(H921:I921))</f>
        <v>15.08</v>
      </c>
      <c r="K921" s="421">
        <f t="shared" si="267"/>
        <v>17.920000000000002</v>
      </c>
      <c r="L921" s="647" t="s">
        <v>21</v>
      </c>
      <c r="M921" s="576"/>
      <c r="N921" s="576">
        <f t="shared" si="269"/>
        <v>0</v>
      </c>
      <c r="O921" s="577">
        <f t="shared" si="262"/>
        <v>0</v>
      </c>
      <c r="P921" s="578">
        <f t="shared" si="263"/>
        <v>0</v>
      </c>
      <c r="Q921" s="765"/>
      <c r="R921" s="576">
        <f t="shared" si="259"/>
        <v>0</v>
      </c>
      <c r="S921" s="576">
        <f t="shared" si="259"/>
        <v>0</v>
      </c>
      <c r="T921" s="577">
        <f t="shared" si="260"/>
        <v>0</v>
      </c>
      <c r="U921" s="578">
        <f t="shared" si="261"/>
        <v>0</v>
      </c>
      <c r="V921" s="579"/>
      <c r="W921" s="566"/>
      <c r="X921" s="586" t="str">
        <f t="shared" si="265"/>
        <v/>
      </c>
      <c r="Y921" s="586" t="str">
        <f t="shared" si="258"/>
        <v/>
      </c>
      <c r="Z921" s="586" t="str">
        <f t="shared" si="268"/>
        <v/>
      </c>
    </row>
    <row r="922" spans="1:26" ht="12" hidden="1" thickBot="1" x14ac:dyDescent="0.25">
      <c r="A922" s="567">
        <v>860</v>
      </c>
      <c r="B922" s="644">
        <v>860</v>
      </c>
      <c r="C922" s="645" t="s">
        <v>458</v>
      </c>
      <c r="D922" s="422" t="s">
        <v>2001</v>
      </c>
      <c r="E922" s="423"/>
      <c r="F922" s="424"/>
      <c r="G922" s="425"/>
      <c r="H922" s="651"/>
      <c r="I922" s="420">
        <v>560.17999999999995</v>
      </c>
      <c r="J922" s="420">
        <f t="shared" ref="J922:J940" si="270">IF(ISBLANK(I922),"",SUM(H922:I922))</f>
        <v>560.17999999999995</v>
      </c>
      <c r="K922" s="421">
        <f t="shared" si="267"/>
        <v>665.55</v>
      </c>
      <c r="L922" s="647" t="s">
        <v>177</v>
      </c>
      <c r="M922" s="576"/>
      <c r="N922" s="576">
        <f t="shared" si="269"/>
        <v>0</v>
      </c>
      <c r="O922" s="577">
        <f t="shared" si="262"/>
        <v>0</v>
      </c>
      <c r="P922" s="578">
        <f t="shared" si="263"/>
        <v>0</v>
      </c>
      <c r="Q922" s="765"/>
      <c r="R922" s="576">
        <f t="shared" si="259"/>
        <v>0</v>
      </c>
      <c r="S922" s="576">
        <f t="shared" si="259"/>
        <v>0</v>
      </c>
      <c r="T922" s="577">
        <f t="shared" si="260"/>
        <v>0</v>
      </c>
      <c r="U922" s="578">
        <f t="shared" si="261"/>
        <v>0</v>
      </c>
      <c r="V922" s="579"/>
      <c r="W922" s="566"/>
      <c r="X922" s="586" t="str">
        <f t="shared" si="265"/>
        <v/>
      </c>
      <c r="Y922" s="586" t="str">
        <f t="shared" si="258"/>
        <v/>
      </c>
      <c r="Z922" s="586" t="str">
        <f t="shared" si="268"/>
        <v/>
      </c>
    </row>
    <row r="923" spans="1:26" ht="12" hidden="1" thickBot="1" x14ac:dyDescent="0.25">
      <c r="A923" s="567" t="s">
        <v>548</v>
      </c>
      <c r="B923" s="644" t="s">
        <v>548</v>
      </c>
      <c r="C923" s="645" t="s">
        <v>458</v>
      </c>
      <c r="D923" s="422" t="s">
        <v>2002</v>
      </c>
      <c r="E923" s="423"/>
      <c r="F923" s="424"/>
      <c r="G923" s="425"/>
      <c r="H923" s="651"/>
      <c r="I923" s="420">
        <v>224.07</v>
      </c>
      <c r="J923" s="420">
        <f t="shared" si="270"/>
        <v>224.07</v>
      </c>
      <c r="K923" s="421">
        <f t="shared" si="267"/>
        <v>266.22000000000003</v>
      </c>
      <c r="L923" s="647" t="s">
        <v>177</v>
      </c>
      <c r="M923" s="576"/>
      <c r="N923" s="576">
        <f t="shared" si="269"/>
        <v>0</v>
      </c>
      <c r="O923" s="577">
        <f t="shared" si="262"/>
        <v>0</v>
      </c>
      <c r="P923" s="578">
        <f t="shared" si="263"/>
        <v>0</v>
      </c>
      <c r="Q923" s="765"/>
      <c r="R923" s="576">
        <f t="shared" si="259"/>
        <v>0</v>
      </c>
      <c r="S923" s="576">
        <f t="shared" si="259"/>
        <v>0</v>
      </c>
      <c r="T923" s="577">
        <f t="shared" si="260"/>
        <v>0</v>
      </c>
      <c r="U923" s="578">
        <f t="shared" si="261"/>
        <v>0</v>
      </c>
      <c r="V923" s="579"/>
      <c r="W923" s="566"/>
      <c r="X923" s="586" t="str">
        <f t="shared" si="265"/>
        <v/>
      </c>
      <c r="Y923" s="586" t="str">
        <f t="shared" si="258"/>
        <v/>
      </c>
      <c r="Z923" s="586" t="str">
        <f t="shared" si="268"/>
        <v/>
      </c>
    </row>
    <row r="924" spans="1:26" ht="12" hidden="1" thickBot="1" x14ac:dyDescent="0.25">
      <c r="A924" s="567">
        <v>864</v>
      </c>
      <c r="B924" s="644">
        <v>864</v>
      </c>
      <c r="C924" s="645" t="s">
        <v>458</v>
      </c>
      <c r="D924" s="422" t="s">
        <v>2003</v>
      </c>
      <c r="E924" s="423"/>
      <c r="F924" s="424"/>
      <c r="G924" s="425"/>
      <c r="H924" s="651"/>
      <c r="I924" s="420">
        <v>6.85</v>
      </c>
      <c r="J924" s="420">
        <f t="shared" si="270"/>
        <v>6.85</v>
      </c>
      <c r="K924" s="421">
        <f t="shared" si="267"/>
        <v>8.14</v>
      </c>
      <c r="L924" s="647" t="s">
        <v>19</v>
      </c>
      <c r="M924" s="576"/>
      <c r="N924" s="576">
        <f t="shared" si="269"/>
        <v>0</v>
      </c>
      <c r="O924" s="577">
        <f t="shared" si="262"/>
        <v>0</v>
      </c>
      <c r="P924" s="578">
        <f t="shared" si="263"/>
        <v>0</v>
      </c>
      <c r="Q924" s="765"/>
      <c r="R924" s="576">
        <f t="shared" si="259"/>
        <v>0</v>
      </c>
      <c r="S924" s="576">
        <f t="shared" si="259"/>
        <v>0</v>
      </c>
      <c r="T924" s="577">
        <f t="shared" si="260"/>
        <v>0</v>
      </c>
      <c r="U924" s="578">
        <f t="shared" si="261"/>
        <v>0</v>
      </c>
      <c r="V924" s="579"/>
      <c r="W924" s="566"/>
      <c r="X924" s="586" t="str">
        <f t="shared" si="265"/>
        <v/>
      </c>
      <c r="Y924" s="586" t="str">
        <f t="shared" si="258"/>
        <v/>
      </c>
      <c r="Z924" s="586" t="str">
        <f t="shared" si="268"/>
        <v/>
      </c>
    </row>
    <row r="925" spans="1:26" ht="12" hidden="1" thickBot="1" x14ac:dyDescent="0.25">
      <c r="A925" s="567" t="s">
        <v>549</v>
      </c>
      <c r="B925" s="644" t="s">
        <v>549</v>
      </c>
      <c r="C925" s="645" t="s">
        <v>458</v>
      </c>
      <c r="D925" s="422" t="s">
        <v>2004</v>
      </c>
      <c r="E925" s="423"/>
      <c r="F925" s="424"/>
      <c r="G925" s="425"/>
      <c r="H925" s="651"/>
      <c r="I925" s="420">
        <v>5.14</v>
      </c>
      <c r="J925" s="420">
        <f t="shared" si="270"/>
        <v>5.14</v>
      </c>
      <c r="K925" s="421">
        <f t="shared" si="267"/>
        <v>6.11</v>
      </c>
      <c r="L925" s="647" t="s">
        <v>19</v>
      </c>
      <c r="M925" s="576"/>
      <c r="N925" s="576">
        <f t="shared" si="269"/>
        <v>0</v>
      </c>
      <c r="O925" s="577">
        <f t="shared" si="262"/>
        <v>0</v>
      </c>
      <c r="P925" s="578">
        <f t="shared" si="263"/>
        <v>0</v>
      </c>
      <c r="Q925" s="765"/>
      <c r="R925" s="576">
        <f t="shared" si="259"/>
        <v>0</v>
      </c>
      <c r="S925" s="576">
        <f t="shared" si="259"/>
        <v>0</v>
      </c>
      <c r="T925" s="577">
        <f t="shared" si="260"/>
        <v>0</v>
      </c>
      <c r="U925" s="578">
        <f t="shared" si="261"/>
        <v>0</v>
      </c>
      <c r="V925" s="579"/>
      <c r="W925" s="566"/>
      <c r="X925" s="586" t="str">
        <f t="shared" si="265"/>
        <v/>
      </c>
      <c r="Y925" s="586" t="str">
        <f t="shared" si="258"/>
        <v/>
      </c>
      <c r="Z925" s="586" t="str">
        <f t="shared" si="268"/>
        <v/>
      </c>
    </row>
    <row r="926" spans="1:26" ht="12" hidden="1" thickBot="1" x14ac:dyDescent="0.25">
      <c r="A926" s="567">
        <v>866</v>
      </c>
      <c r="B926" s="644">
        <v>866</v>
      </c>
      <c r="C926" s="645" t="s">
        <v>458</v>
      </c>
      <c r="D926" s="422" t="s">
        <v>2005</v>
      </c>
      <c r="E926" s="423"/>
      <c r="F926" s="424"/>
      <c r="G926" s="425"/>
      <c r="H926" s="651"/>
      <c r="I926" s="420">
        <v>33.92</v>
      </c>
      <c r="J926" s="420">
        <f t="shared" si="270"/>
        <v>33.92</v>
      </c>
      <c r="K926" s="421">
        <f t="shared" si="267"/>
        <v>40.299999999999997</v>
      </c>
      <c r="L926" s="647" t="s">
        <v>21</v>
      </c>
      <c r="M926" s="576"/>
      <c r="N926" s="576">
        <f t="shared" si="269"/>
        <v>0</v>
      </c>
      <c r="O926" s="577">
        <f t="shared" si="262"/>
        <v>0</v>
      </c>
      <c r="P926" s="578">
        <f t="shared" si="263"/>
        <v>0</v>
      </c>
      <c r="Q926" s="765"/>
      <c r="R926" s="576">
        <f t="shared" si="259"/>
        <v>0</v>
      </c>
      <c r="S926" s="576">
        <f t="shared" si="259"/>
        <v>0</v>
      </c>
      <c r="T926" s="577">
        <f t="shared" si="260"/>
        <v>0</v>
      </c>
      <c r="U926" s="578">
        <f t="shared" si="261"/>
        <v>0</v>
      </c>
      <c r="V926" s="579"/>
      <c r="W926" s="566"/>
      <c r="X926" s="586" t="str">
        <f t="shared" si="265"/>
        <v/>
      </c>
      <c r="Y926" s="586" t="str">
        <f t="shared" si="258"/>
        <v/>
      </c>
      <c r="Z926" s="586" t="str">
        <f t="shared" si="268"/>
        <v/>
      </c>
    </row>
    <row r="927" spans="1:26" ht="12" hidden="1" thickBot="1" x14ac:dyDescent="0.25">
      <c r="A927" s="567" t="s">
        <v>550</v>
      </c>
      <c r="B927" s="644" t="s">
        <v>550</v>
      </c>
      <c r="C927" s="645" t="s">
        <v>458</v>
      </c>
      <c r="D927" s="422" t="s">
        <v>2006</v>
      </c>
      <c r="E927" s="423"/>
      <c r="F927" s="424"/>
      <c r="G927" s="425"/>
      <c r="H927" s="651"/>
      <c r="I927" s="420">
        <v>13.7</v>
      </c>
      <c r="J927" s="420">
        <f t="shared" si="270"/>
        <v>13.7</v>
      </c>
      <c r="K927" s="421">
        <f t="shared" si="267"/>
        <v>16.28</v>
      </c>
      <c r="L927" s="647" t="s">
        <v>21</v>
      </c>
      <c r="M927" s="576"/>
      <c r="N927" s="576">
        <f t="shared" si="269"/>
        <v>0</v>
      </c>
      <c r="O927" s="577">
        <f t="shared" si="262"/>
        <v>0</v>
      </c>
      <c r="P927" s="578">
        <f t="shared" si="263"/>
        <v>0</v>
      </c>
      <c r="Q927" s="765"/>
      <c r="R927" s="576">
        <f t="shared" si="259"/>
        <v>0</v>
      </c>
      <c r="S927" s="576">
        <f t="shared" si="259"/>
        <v>0</v>
      </c>
      <c r="T927" s="577">
        <f t="shared" si="260"/>
        <v>0</v>
      </c>
      <c r="U927" s="578">
        <f t="shared" si="261"/>
        <v>0</v>
      </c>
      <c r="V927" s="579"/>
      <c r="W927" s="566"/>
      <c r="X927" s="586" t="str">
        <f t="shared" si="265"/>
        <v/>
      </c>
      <c r="Y927" s="586" t="str">
        <f t="shared" si="258"/>
        <v/>
      </c>
      <c r="Z927" s="586" t="str">
        <f t="shared" si="268"/>
        <v/>
      </c>
    </row>
    <row r="928" spans="1:26" ht="12" hidden="1" thickBot="1" x14ac:dyDescent="0.25">
      <c r="A928" s="567">
        <v>792</v>
      </c>
      <c r="B928" s="644">
        <v>792</v>
      </c>
      <c r="C928" s="645" t="s">
        <v>458</v>
      </c>
      <c r="D928" s="422" t="s">
        <v>2007</v>
      </c>
      <c r="E928" s="423"/>
      <c r="F928" s="424"/>
      <c r="G928" s="425"/>
      <c r="H928" s="651"/>
      <c r="I928" s="420">
        <v>395.04</v>
      </c>
      <c r="J928" s="420">
        <f t="shared" si="270"/>
        <v>395.04</v>
      </c>
      <c r="K928" s="421">
        <f t="shared" si="267"/>
        <v>469.35</v>
      </c>
      <c r="L928" s="647" t="s">
        <v>177</v>
      </c>
      <c r="M928" s="576"/>
      <c r="N928" s="576">
        <f t="shared" si="269"/>
        <v>0</v>
      </c>
      <c r="O928" s="577">
        <f t="shared" si="262"/>
        <v>0</v>
      </c>
      <c r="P928" s="578">
        <f t="shared" si="263"/>
        <v>0</v>
      </c>
      <c r="Q928" s="765"/>
      <c r="R928" s="576">
        <f t="shared" si="259"/>
        <v>0</v>
      </c>
      <c r="S928" s="576">
        <f t="shared" si="259"/>
        <v>0</v>
      </c>
      <c r="T928" s="577">
        <f t="shared" si="260"/>
        <v>0</v>
      </c>
      <c r="U928" s="578">
        <f t="shared" si="261"/>
        <v>0</v>
      </c>
      <c r="V928" s="579"/>
      <c r="W928" s="566"/>
      <c r="X928" s="586" t="str">
        <f t="shared" si="265"/>
        <v/>
      </c>
      <c r="Y928" s="586" t="str">
        <f t="shared" si="258"/>
        <v/>
      </c>
      <c r="Z928" s="586" t="str">
        <f t="shared" si="268"/>
        <v/>
      </c>
    </row>
    <row r="929" spans="1:26" ht="12" hidden="1" thickBot="1" x14ac:dyDescent="0.25">
      <c r="A929" s="567" t="s">
        <v>553</v>
      </c>
      <c r="B929" s="644" t="s">
        <v>553</v>
      </c>
      <c r="C929" s="645" t="s">
        <v>458</v>
      </c>
      <c r="D929" s="422" t="s">
        <v>2008</v>
      </c>
      <c r="E929" s="423"/>
      <c r="F929" s="424"/>
      <c r="G929" s="425"/>
      <c r="H929" s="651"/>
      <c r="I929" s="420">
        <v>157.94999999999999</v>
      </c>
      <c r="J929" s="420">
        <f t="shared" si="270"/>
        <v>157.94999999999999</v>
      </c>
      <c r="K929" s="421">
        <f t="shared" si="267"/>
        <v>187.66</v>
      </c>
      <c r="L929" s="647" t="s">
        <v>177</v>
      </c>
      <c r="M929" s="576"/>
      <c r="N929" s="576">
        <f t="shared" si="269"/>
        <v>0</v>
      </c>
      <c r="O929" s="577">
        <f t="shared" si="262"/>
        <v>0</v>
      </c>
      <c r="P929" s="578">
        <f t="shared" si="263"/>
        <v>0</v>
      </c>
      <c r="Q929" s="765"/>
      <c r="R929" s="576">
        <f t="shared" si="259"/>
        <v>0</v>
      </c>
      <c r="S929" s="576">
        <f t="shared" si="259"/>
        <v>0</v>
      </c>
      <c r="T929" s="577">
        <f t="shared" si="260"/>
        <v>0</v>
      </c>
      <c r="U929" s="578">
        <f t="shared" si="261"/>
        <v>0</v>
      </c>
      <c r="V929" s="579"/>
      <c r="W929" s="566"/>
      <c r="X929" s="586" t="str">
        <f t="shared" si="265"/>
        <v/>
      </c>
      <c r="Y929" s="586" t="str">
        <f t="shared" si="258"/>
        <v/>
      </c>
      <c r="Z929" s="586" t="str">
        <f t="shared" si="268"/>
        <v/>
      </c>
    </row>
    <row r="930" spans="1:26" ht="12" hidden="1" thickBot="1" x14ac:dyDescent="0.25">
      <c r="A930" s="567">
        <v>793</v>
      </c>
      <c r="B930" s="644">
        <v>793</v>
      </c>
      <c r="C930" s="645" t="s">
        <v>458</v>
      </c>
      <c r="D930" s="422" t="s">
        <v>2009</v>
      </c>
      <c r="E930" s="423"/>
      <c r="F930" s="424"/>
      <c r="G930" s="425"/>
      <c r="H930" s="651"/>
      <c r="I930" s="420">
        <v>504.33</v>
      </c>
      <c r="J930" s="420">
        <f t="shared" si="270"/>
        <v>504.33</v>
      </c>
      <c r="K930" s="421">
        <f t="shared" si="267"/>
        <v>599.19000000000005</v>
      </c>
      <c r="L930" s="647" t="s">
        <v>177</v>
      </c>
      <c r="M930" s="576"/>
      <c r="N930" s="576">
        <f t="shared" si="269"/>
        <v>0</v>
      </c>
      <c r="O930" s="577">
        <f t="shared" si="262"/>
        <v>0</v>
      </c>
      <c r="P930" s="578">
        <f t="shared" si="263"/>
        <v>0</v>
      </c>
      <c r="Q930" s="765"/>
      <c r="R930" s="576">
        <f t="shared" si="259"/>
        <v>0</v>
      </c>
      <c r="S930" s="576">
        <f t="shared" si="259"/>
        <v>0</v>
      </c>
      <c r="T930" s="577">
        <f t="shared" si="260"/>
        <v>0</v>
      </c>
      <c r="U930" s="578">
        <f t="shared" si="261"/>
        <v>0</v>
      </c>
      <c r="V930" s="579"/>
      <c r="W930" s="566"/>
      <c r="X930" s="586" t="str">
        <f t="shared" si="265"/>
        <v/>
      </c>
      <c r="Y930" s="586" t="str">
        <f t="shared" si="258"/>
        <v/>
      </c>
      <c r="Z930" s="586" t="str">
        <f t="shared" si="268"/>
        <v/>
      </c>
    </row>
    <row r="931" spans="1:26" ht="12" hidden="1" thickBot="1" x14ac:dyDescent="0.25">
      <c r="A931" s="567" t="s">
        <v>564</v>
      </c>
      <c r="B931" s="644" t="s">
        <v>564</v>
      </c>
      <c r="C931" s="645" t="s">
        <v>458</v>
      </c>
      <c r="D931" s="422" t="s">
        <v>2010</v>
      </c>
      <c r="E931" s="423"/>
      <c r="F931" s="424"/>
      <c r="G931" s="425"/>
      <c r="H931" s="651"/>
      <c r="I931" s="420">
        <v>202.14</v>
      </c>
      <c r="J931" s="420">
        <f t="shared" si="270"/>
        <v>202.14</v>
      </c>
      <c r="K931" s="421">
        <f t="shared" si="267"/>
        <v>240.16</v>
      </c>
      <c r="L931" s="647" t="s">
        <v>177</v>
      </c>
      <c r="M931" s="576"/>
      <c r="N931" s="576">
        <f t="shared" si="269"/>
        <v>0</v>
      </c>
      <c r="O931" s="577">
        <f t="shared" si="262"/>
        <v>0</v>
      </c>
      <c r="P931" s="578">
        <f t="shared" si="263"/>
        <v>0</v>
      </c>
      <c r="Q931" s="765"/>
      <c r="R931" s="576">
        <f t="shared" si="259"/>
        <v>0</v>
      </c>
      <c r="S931" s="576">
        <f t="shared" si="259"/>
        <v>0</v>
      </c>
      <c r="T931" s="577">
        <f t="shared" si="260"/>
        <v>0</v>
      </c>
      <c r="U931" s="578">
        <f t="shared" si="261"/>
        <v>0</v>
      </c>
      <c r="V931" s="579"/>
      <c r="W931" s="566"/>
      <c r="X931" s="586" t="str">
        <f t="shared" si="265"/>
        <v/>
      </c>
      <c r="Y931" s="586" t="str">
        <f t="shared" ref="Y931:Y994" si="271">IF(W931="X","x",IF(W931="y","x",IF(W931="xx","x",IF(U931&gt;0,"x",""))))</f>
        <v/>
      </c>
      <c r="Z931" s="586" t="str">
        <f t="shared" si="268"/>
        <v/>
      </c>
    </row>
    <row r="932" spans="1:26" ht="12" hidden="1" thickBot="1" x14ac:dyDescent="0.25">
      <c r="A932" s="567">
        <v>794</v>
      </c>
      <c r="B932" s="644">
        <v>794</v>
      </c>
      <c r="C932" s="645" t="s">
        <v>458</v>
      </c>
      <c r="D932" s="422" t="s">
        <v>2011</v>
      </c>
      <c r="E932" s="423"/>
      <c r="F932" s="424"/>
      <c r="G932" s="425"/>
      <c r="H932" s="651"/>
      <c r="I932" s="420">
        <v>516.32000000000005</v>
      </c>
      <c r="J932" s="420">
        <f t="shared" si="270"/>
        <v>516.32000000000005</v>
      </c>
      <c r="K932" s="421">
        <f t="shared" si="267"/>
        <v>613.44000000000005</v>
      </c>
      <c r="L932" s="647" t="s">
        <v>177</v>
      </c>
      <c r="M932" s="576"/>
      <c r="N932" s="576">
        <f t="shared" si="269"/>
        <v>0</v>
      </c>
      <c r="O932" s="577">
        <f t="shared" si="262"/>
        <v>0</v>
      </c>
      <c r="P932" s="578">
        <f t="shared" si="263"/>
        <v>0</v>
      </c>
      <c r="Q932" s="765"/>
      <c r="R932" s="576">
        <f t="shared" si="259"/>
        <v>0</v>
      </c>
      <c r="S932" s="576">
        <f t="shared" si="259"/>
        <v>0</v>
      </c>
      <c r="T932" s="577">
        <f t="shared" si="260"/>
        <v>0</v>
      </c>
      <c r="U932" s="578">
        <f t="shared" si="261"/>
        <v>0</v>
      </c>
      <c r="V932" s="579"/>
      <c r="W932" s="566"/>
      <c r="X932" s="586" t="str">
        <f t="shared" si="265"/>
        <v/>
      </c>
      <c r="Y932" s="586" t="str">
        <f t="shared" si="271"/>
        <v/>
      </c>
      <c r="Z932" s="586" t="str">
        <f t="shared" si="268"/>
        <v/>
      </c>
    </row>
    <row r="933" spans="1:26" ht="12" hidden="1" thickBot="1" x14ac:dyDescent="0.25">
      <c r="A933" s="567" t="s">
        <v>551</v>
      </c>
      <c r="B933" s="644" t="s">
        <v>551</v>
      </c>
      <c r="C933" s="645" t="s">
        <v>458</v>
      </c>
      <c r="D933" s="422" t="s">
        <v>556</v>
      </c>
      <c r="E933" s="423"/>
      <c r="F933" s="424"/>
      <c r="G933" s="425"/>
      <c r="H933" s="651"/>
      <c r="I933" s="420">
        <v>206.6</v>
      </c>
      <c r="J933" s="420">
        <f t="shared" si="270"/>
        <v>206.6</v>
      </c>
      <c r="K933" s="421">
        <f t="shared" si="267"/>
        <v>245.46</v>
      </c>
      <c r="L933" s="647" t="s">
        <v>177</v>
      </c>
      <c r="M933" s="576"/>
      <c r="N933" s="576">
        <f t="shared" si="269"/>
        <v>0</v>
      </c>
      <c r="O933" s="577">
        <f t="shared" si="262"/>
        <v>0</v>
      </c>
      <c r="P933" s="578">
        <f t="shared" si="263"/>
        <v>0</v>
      </c>
      <c r="Q933" s="765"/>
      <c r="R933" s="576">
        <f t="shared" si="259"/>
        <v>0</v>
      </c>
      <c r="S933" s="576">
        <f t="shared" si="259"/>
        <v>0</v>
      </c>
      <c r="T933" s="577">
        <f t="shared" si="260"/>
        <v>0</v>
      </c>
      <c r="U933" s="578">
        <f t="shared" si="261"/>
        <v>0</v>
      </c>
      <c r="V933" s="579"/>
      <c r="W933" s="566"/>
      <c r="X933" s="586" t="str">
        <f t="shared" si="265"/>
        <v/>
      </c>
      <c r="Y933" s="586" t="str">
        <f t="shared" si="271"/>
        <v/>
      </c>
      <c r="Z933" s="586" t="str">
        <f t="shared" si="268"/>
        <v/>
      </c>
    </row>
    <row r="934" spans="1:26" ht="12" hidden="1" thickBot="1" x14ac:dyDescent="0.25">
      <c r="A934" s="567">
        <v>795</v>
      </c>
      <c r="B934" s="644">
        <v>795</v>
      </c>
      <c r="C934" s="645" t="s">
        <v>458</v>
      </c>
      <c r="D934" s="422" t="s">
        <v>2012</v>
      </c>
      <c r="E934" s="423"/>
      <c r="F934" s="424"/>
      <c r="G934" s="425"/>
      <c r="H934" s="651"/>
      <c r="I934" s="420">
        <v>1527.72</v>
      </c>
      <c r="J934" s="420">
        <f t="shared" si="270"/>
        <v>1527.72</v>
      </c>
      <c r="K934" s="421">
        <f t="shared" si="267"/>
        <v>1815.08</v>
      </c>
      <c r="L934" s="647" t="s">
        <v>177</v>
      </c>
      <c r="M934" s="576"/>
      <c r="N934" s="576">
        <f t="shared" si="269"/>
        <v>0</v>
      </c>
      <c r="O934" s="577">
        <f t="shared" si="262"/>
        <v>0</v>
      </c>
      <c r="P934" s="578">
        <f t="shared" si="263"/>
        <v>0</v>
      </c>
      <c r="Q934" s="765"/>
      <c r="R934" s="576">
        <f t="shared" si="259"/>
        <v>0</v>
      </c>
      <c r="S934" s="576">
        <f t="shared" si="259"/>
        <v>0</v>
      </c>
      <c r="T934" s="577">
        <f t="shared" si="260"/>
        <v>0</v>
      </c>
      <c r="U934" s="578">
        <f t="shared" si="261"/>
        <v>0</v>
      </c>
      <c r="V934" s="579"/>
      <c r="W934" s="566"/>
      <c r="X934" s="586" t="str">
        <f t="shared" si="265"/>
        <v/>
      </c>
      <c r="Y934" s="586" t="str">
        <f t="shared" si="271"/>
        <v/>
      </c>
      <c r="Z934" s="586" t="str">
        <f t="shared" si="268"/>
        <v/>
      </c>
    </row>
    <row r="935" spans="1:26" ht="12" hidden="1" thickBot="1" x14ac:dyDescent="0.25">
      <c r="A935" s="567" t="s">
        <v>552</v>
      </c>
      <c r="B935" s="644" t="s">
        <v>552</v>
      </c>
      <c r="C935" s="645" t="s">
        <v>458</v>
      </c>
      <c r="D935" s="422" t="s">
        <v>557</v>
      </c>
      <c r="E935" s="423"/>
      <c r="F935" s="424"/>
      <c r="G935" s="425"/>
      <c r="H935" s="651"/>
      <c r="I935" s="420">
        <v>611.23</v>
      </c>
      <c r="J935" s="420">
        <f t="shared" si="270"/>
        <v>611.23</v>
      </c>
      <c r="K935" s="421">
        <f t="shared" si="267"/>
        <v>726.2</v>
      </c>
      <c r="L935" s="647" t="s">
        <v>177</v>
      </c>
      <c r="M935" s="576"/>
      <c r="N935" s="576">
        <f t="shared" si="269"/>
        <v>0</v>
      </c>
      <c r="O935" s="577">
        <f t="shared" si="262"/>
        <v>0</v>
      </c>
      <c r="P935" s="578">
        <f t="shared" si="263"/>
        <v>0</v>
      </c>
      <c r="Q935" s="765"/>
      <c r="R935" s="576">
        <f t="shared" si="259"/>
        <v>0</v>
      </c>
      <c r="S935" s="576">
        <f t="shared" si="259"/>
        <v>0</v>
      </c>
      <c r="T935" s="577">
        <f t="shared" si="260"/>
        <v>0</v>
      </c>
      <c r="U935" s="578">
        <f t="shared" si="261"/>
        <v>0</v>
      </c>
      <c r="V935" s="579"/>
      <c r="W935" s="566"/>
      <c r="X935" s="586" t="str">
        <f t="shared" si="265"/>
        <v/>
      </c>
      <c r="Y935" s="586" t="str">
        <f t="shared" si="271"/>
        <v/>
      </c>
      <c r="Z935" s="586" t="str">
        <f t="shared" si="268"/>
        <v/>
      </c>
    </row>
    <row r="936" spans="1:26" ht="12" hidden="1" thickBot="1" x14ac:dyDescent="0.25">
      <c r="A936" s="567">
        <v>796</v>
      </c>
      <c r="B936" s="644">
        <v>796</v>
      </c>
      <c r="C936" s="645" t="s">
        <v>458</v>
      </c>
      <c r="D936" s="422" t="s">
        <v>2013</v>
      </c>
      <c r="E936" s="423"/>
      <c r="F936" s="424"/>
      <c r="G936" s="425"/>
      <c r="H936" s="651"/>
      <c r="I936" s="420">
        <v>8.57</v>
      </c>
      <c r="J936" s="420">
        <f t="shared" si="270"/>
        <v>8.57</v>
      </c>
      <c r="K936" s="421">
        <f t="shared" si="267"/>
        <v>10.18</v>
      </c>
      <c r="L936" s="647" t="s">
        <v>19</v>
      </c>
      <c r="M936" s="576"/>
      <c r="N936" s="576">
        <f t="shared" si="269"/>
        <v>0</v>
      </c>
      <c r="O936" s="577">
        <f t="shared" si="262"/>
        <v>0</v>
      </c>
      <c r="P936" s="578">
        <f t="shared" si="263"/>
        <v>0</v>
      </c>
      <c r="Q936" s="765"/>
      <c r="R936" s="576">
        <f t="shared" si="259"/>
        <v>0</v>
      </c>
      <c r="S936" s="576">
        <f t="shared" si="259"/>
        <v>0</v>
      </c>
      <c r="T936" s="577">
        <f t="shared" si="260"/>
        <v>0</v>
      </c>
      <c r="U936" s="578">
        <f t="shared" si="261"/>
        <v>0</v>
      </c>
      <c r="V936" s="579"/>
      <c r="W936" s="566"/>
      <c r="X936" s="586" t="str">
        <f t="shared" si="265"/>
        <v/>
      </c>
      <c r="Y936" s="586" t="str">
        <f t="shared" si="271"/>
        <v/>
      </c>
      <c r="Z936" s="586" t="str">
        <f t="shared" si="268"/>
        <v/>
      </c>
    </row>
    <row r="937" spans="1:26" ht="12" hidden="1" thickBot="1" x14ac:dyDescent="0.25">
      <c r="A937" s="567" t="s">
        <v>554</v>
      </c>
      <c r="B937" s="644" t="s">
        <v>554</v>
      </c>
      <c r="C937" s="645" t="s">
        <v>458</v>
      </c>
      <c r="D937" s="422" t="s">
        <v>558</v>
      </c>
      <c r="E937" s="423"/>
      <c r="F937" s="424"/>
      <c r="G937" s="425"/>
      <c r="H937" s="651"/>
      <c r="I937" s="420">
        <v>3.43</v>
      </c>
      <c r="J937" s="420">
        <f t="shared" si="270"/>
        <v>3.43</v>
      </c>
      <c r="K937" s="421">
        <f t="shared" si="267"/>
        <v>4.08</v>
      </c>
      <c r="L937" s="647" t="s">
        <v>19</v>
      </c>
      <c r="M937" s="576"/>
      <c r="N937" s="576">
        <f t="shared" si="269"/>
        <v>0</v>
      </c>
      <c r="O937" s="577">
        <f t="shared" si="262"/>
        <v>0</v>
      </c>
      <c r="P937" s="578">
        <f t="shared" si="263"/>
        <v>0</v>
      </c>
      <c r="Q937" s="765"/>
      <c r="R937" s="576">
        <f t="shared" si="259"/>
        <v>0</v>
      </c>
      <c r="S937" s="576">
        <f t="shared" si="259"/>
        <v>0</v>
      </c>
      <c r="T937" s="577">
        <f t="shared" si="260"/>
        <v>0</v>
      </c>
      <c r="U937" s="578">
        <f t="shared" si="261"/>
        <v>0</v>
      </c>
      <c r="V937" s="579"/>
      <c r="W937" s="566"/>
      <c r="X937" s="586" t="str">
        <f t="shared" si="265"/>
        <v/>
      </c>
      <c r="Y937" s="586" t="str">
        <f t="shared" si="271"/>
        <v/>
      </c>
      <c r="Z937" s="586" t="str">
        <f t="shared" si="268"/>
        <v/>
      </c>
    </row>
    <row r="938" spans="1:26" ht="12" hidden="1" thickBot="1" x14ac:dyDescent="0.25">
      <c r="A938" s="567">
        <v>867</v>
      </c>
      <c r="B938" s="644">
        <v>867</v>
      </c>
      <c r="C938" s="645" t="s">
        <v>458</v>
      </c>
      <c r="D938" s="422" t="s">
        <v>2014</v>
      </c>
      <c r="E938" s="423"/>
      <c r="F938" s="424"/>
      <c r="G938" s="425"/>
      <c r="H938" s="651"/>
      <c r="I938" s="420">
        <v>11.99</v>
      </c>
      <c r="J938" s="420">
        <f t="shared" si="270"/>
        <v>11.99</v>
      </c>
      <c r="K938" s="421">
        <f t="shared" si="267"/>
        <v>14.25</v>
      </c>
      <c r="L938" s="647" t="s">
        <v>21</v>
      </c>
      <c r="M938" s="576"/>
      <c r="N938" s="576">
        <f t="shared" si="269"/>
        <v>0</v>
      </c>
      <c r="O938" s="577">
        <f t="shared" si="262"/>
        <v>0</v>
      </c>
      <c r="P938" s="578">
        <f t="shared" si="263"/>
        <v>0</v>
      </c>
      <c r="Q938" s="765"/>
      <c r="R938" s="576">
        <f t="shared" si="259"/>
        <v>0</v>
      </c>
      <c r="S938" s="576">
        <f t="shared" si="259"/>
        <v>0</v>
      </c>
      <c r="T938" s="577">
        <f t="shared" si="260"/>
        <v>0</v>
      </c>
      <c r="U938" s="578">
        <f t="shared" si="261"/>
        <v>0</v>
      </c>
      <c r="V938" s="579"/>
      <c r="W938" s="566"/>
      <c r="X938" s="586" t="str">
        <f t="shared" si="265"/>
        <v/>
      </c>
      <c r="Y938" s="586" t="str">
        <f t="shared" si="271"/>
        <v/>
      </c>
      <c r="Z938" s="586" t="str">
        <f t="shared" si="268"/>
        <v/>
      </c>
    </row>
    <row r="939" spans="1:26" ht="12" hidden="1" thickBot="1" x14ac:dyDescent="0.25">
      <c r="A939" s="567" t="s">
        <v>555</v>
      </c>
      <c r="B939" s="644" t="s">
        <v>555</v>
      </c>
      <c r="C939" s="645" t="s">
        <v>458</v>
      </c>
      <c r="D939" s="422" t="s">
        <v>559</v>
      </c>
      <c r="E939" s="423"/>
      <c r="F939" s="424"/>
      <c r="G939" s="425"/>
      <c r="H939" s="651"/>
      <c r="I939" s="420">
        <v>4.8</v>
      </c>
      <c r="J939" s="420">
        <f t="shared" si="270"/>
        <v>4.8</v>
      </c>
      <c r="K939" s="421">
        <f t="shared" si="267"/>
        <v>5.7</v>
      </c>
      <c r="L939" s="647" t="s">
        <v>21</v>
      </c>
      <c r="M939" s="576"/>
      <c r="N939" s="576">
        <f t="shared" si="269"/>
        <v>0</v>
      </c>
      <c r="O939" s="577">
        <f t="shared" si="262"/>
        <v>0</v>
      </c>
      <c r="P939" s="578">
        <f t="shared" si="263"/>
        <v>0</v>
      </c>
      <c r="Q939" s="765"/>
      <c r="R939" s="576">
        <f t="shared" si="259"/>
        <v>0</v>
      </c>
      <c r="S939" s="576">
        <f t="shared" si="259"/>
        <v>0</v>
      </c>
      <c r="T939" s="577">
        <f t="shared" si="260"/>
        <v>0</v>
      </c>
      <c r="U939" s="578">
        <f t="shared" si="261"/>
        <v>0</v>
      </c>
      <c r="V939" s="579"/>
      <c r="W939" s="566"/>
      <c r="X939" s="586" t="str">
        <f t="shared" si="265"/>
        <v/>
      </c>
      <c r="Y939" s="586" t="str">
        <f t="shared" si="271"/>
        <v/>
      </c>
      <c r="Z939" s="586" t="str">
        <f t="shared" si="268"/>
        <v/>
      </c>
    </row>
    <row r="940" spans="1:26" ht="12" hidden="1" thickBot="1" x14ac:dyDescent="0.25">
      <c r="A940" s="567">
        <v>801</v>
      </c>
      <c r="B940" s="644">
        <v>801</v>
      </c>
      <c r="C940" s="645" t="s">
        <v>458</v>
      </c>
      <c r="D940" s="422" t="s">
        <v>2015</v>
      </c>
      <c r="E940" s="423"/>
      <c r="F940" s="424"/>
      <c r="G940" s="425"/>
      <c r="H940" s="651"/>
      <c r="I940" s="420">
        <v>12.68</v>
      </c>
      <c r="J940" s="420">
        <f t="shared" si="270"/>
        <v>12.68</v>
      </c>
      <c r="K940" s="421">
        <f t="shared" si="267"/>
        <v>15.07</v>
      </c>
      <c r="L940" s="647" t="s">
        <v>21</v>
      </c>
      <c r="M940" s="576"/>
      <c r="N940" s="576">
        <f t="shared" si="269"/>
        <v>0</v>
      </c>
      <c r="O940" s="577">
        <f t="shared" si="262"/>
        <v>0</v>
      </c>
      <c r="P940" s="578">
        <f t="shared" si="263"/>
        <v>0</v>
      </c>
      <c r="Q940" s="765"/>
      <c r="R940" s="576">
        <f t="shared" si="259"/>
        <v>0</v>
      </c>
      <c r="S940" s="576">
        <f t="shared" si="259"/>
        <v>0</v>
      </c>
      <c r="T940" s="577">
        <f t="shared" si="260"/>
        <v>0</v>
      </c>
      <c r="U940" s="578">
        <f t="shared" si="261"/>
        <v>0</v>
      </c>
      <c r="V940" s="579"/>
      <c r="W940" s="566"/>
      <c r="X940" s="586" t="str">
        <f t="shared" si="265"/>
        <v/>
      </c>
      <c r="Y940" s="586" t="str">
        <f t="shared" si="271"/>
        <v/>
      </c>
      <c r="Z940" s="586" t="str">
        <f t="shared" si="268"/>
        <v/>
      </c>
    </row>
    <row r="941" spans="1:26" ht="12" hidden="1" thickBot="1" x14ac:dyDescent="0.25">
      <c r="A941" s="567">
        <v>813</v>
      </c>
      <c r="B941" s="644">
        <v>813</v>
      </c>
      <c r="C941" s="645" t="s">
        <v>458</v>
      </c>
      <c r="D941" s="422" t="s">
        <v>2016</v>
      </c>
      <c r="E941" s="423"/>
      <c r="F941" s="424"/>
      <c r="G941" s="425"/>
      <c r="H941" s="651"/>
      <c r="I941" s="420">
        <v>26.72</v>
      </c>
      <c r="J941" s="420">
        <f>IF(ISBLANK(I941),"",SUM(H941:I941))</f>
        <v>26.72</v>
      </c>
      <c r="K941" s="421">
        <f t="shared" si="267"/>
        <v>31.75</v>
      </c>
      <c r="L941" s="647" t="s">
        <v>21</v>
      </c>
      <c r="M941" s="576"/>
      <c r="N941" s="576">
        <f t="shared" si="269"/>
        <v>0</v>
      </c>
      <c r="O941" s="577">
        <f t="shared" si="262"/>
        <v>0</v>
      </c>
      <c r="P941" s="578">
        <f t="shared" si="263"/>
        <v>0</v>
      </c>
      <c r="Q941" s="765"/>
      <c r="R941" s="576">
        <f t="shared" si="259"/>
        <v>0</v>
      </c>
      <c r="S941" s="576">
        <f t="shared" si="259"/>
        <v>0</v>
      </c>
      <c r="T941" s="577">
        <f t="shared" si="260"/>
        <v>0</v>
      </c>
      <c r="U941" s="578">
        <f t="shared" si="261"/>
        <v>0</v>
      </c>
      <c r="V941" s="579"/>
      <c r="W941" s="566"/>
      <c r="X941" s="586" t="str">
        <f t="shared" si="265"/>
        <v/>
      </c>
      <c r="Y941" s="586" t="str">
        <f t="shared" si="271"/>
        <v/>
      </c>
      <c r="Z941" s="586" t="str">
        <f t="shared" si="268"/>
        <v/>
      </c>
    </row>
    <row r="942" spans="1:26" ht="12" hidden="1" thickBot="1" x14ac:dyDescent="0.25">
      <c r="A942" s="567" t="s">
        <v>560</v>
      </c>
      <c r="B942" s="644" t="s">
        <v>560</v>
      </c>
      <c r="C942" s="645" t="s">
        <v>458</v>
      </c>
      <c r="D942" s="422" t="s">
        <v>2017</v>
      </c>
      <c r="E942" s="423"/>
      <c r="F942" s="424"/>
      <c r="G942" s="425"/>
      <c r="H942" s="651"/>
      <c r="I942" s="420">
        <v>10.62</v>
      </c>
      <c r="J942" s="420">
        <f>IF(ISBLANK(I942),"",SUM(H942:I942))</f>
        <v>10.62</v>
      </c>
      <c r="K942" s="421">
        <f t="shared" si="267"/>
        <v>12.62</v>
      </c>
      <c r="L942" s="647" t="s">
        <v>21</v>
      </c>
      <c r="M942" s="576"/>
      <c r="N942" s="576">
        <f t="shared" si="269"/>
        <v>0</v>
      </c>
      <c r="O942" s="577">
        <f t="shared" si="262"/>
        <v>0</v>
      </c>
      <c r="P942" s="578">
        <f t="shared" si="263"/>
        <v>0</v>
      </c>
      <c r="Q942" s="765"/>
      <c r="R942" s="576">
        <f t="shared" si="259"/>
        <v>0</v>
      </c>
      <c r="S942" s="576">
        <f t="shared" si="259"/>
        <v>0</v>
      </c>
      <c r="T942" s="577">
        <f t="shared" si="260"/>
        <v>0</v>
      </c>
      <c r="U942" s="578">
        <f t="shared" si="261"/>
        <v>0</v>
      </c>
      <c r="V942" s="579"/>
      <c r="W942" s="566"/>
      <c r="X942" s="586" t="str">
        <f t="shared" si="265"/>
        <v/>
      </c>
      <c r="Y942" s="586" t="str">
        <f t="shared" si="271"/>
        <v/>
      </c>
      <c r="Z942" s="586" t="str">
        <f t="shared" si="268"/>
        <v/>
      </c>
    </row>
    <row r="943" spans="1:26" ht="12" hidden="1" thickBot="1" x14ac:dyDescent="0.25">
      <c r="A943" s="567">
        <v>811</v>
      </c>
      <c r="B943" s="644">
        <v>811</v>
      </c>
      <c r="C943" s="645" t="s">
        <v>458</v>
      </c>
      <c r="D943" s="422" t="s">
        <v>2018</v>
      </c>
      <c r="E943" s="423"/>
      <c r="F943" s="424"/>
      <c r="G943" s="425"/>
      <c r="H943" s="651"/>
      <c r="I943" s="420">
        <v>13.02</v>
      </c>
      <c r="J943" s="420">
        <f t="shared" ref="J943:J966" si="272">IF(ISBLANK(I943),"",SUM(H943:I943))</f>
        <v>13.02</v>
      </c>
      <c r="K943" s="421">
        <f t="shared" si="267"/>
        <v>15.47</v>
      </c>
      <c r="L943" s="647" t="s">
        <v>21</v>
      </c>
      <c r="M943" s="576"/>
      <c r="N943" s="576">
        <f t="shared" si="269"/>
        <v>0</v>
      </c>
      <c r="O943" s="577">
        <f t="shared" si="262"/>
        <v>0</v>
      </c>
      <c r="P943" s="578">
        <f t="shared" si="263"/>
        <v>0</v>
      </c>
      <c r="Q943" s="765"/>
      <c r="R943" s="576">
        <f t="shared" si="259"/>
        <v>0</v>
      </c>
      <c r="S943" s="576">
        <f t="shared" si="259"/>
        <v>0</v>
      </c>
      <c r="T943" s="577">
        <f t="shared" si="260"/>
        <v>0</v>
      </c>
      <c r="U943" s="578">
        <f t="shared" si="261"/>
        <v>0</v>
      </c>
      <c r="V943" s="579"/>
      <c r="W943" s="566"/>
      <c r="X943" s="586" t="str">
        <f t="shared" si="265"/>
        <v/>
      </c>
      <c r="Y943" s="586" t="str">
        <f t="shared" si="271"/>
        <v/>
      </c>
      <c r="Z943" s="586" t="str">
        <f t="shared" si="268"/>
        <v/>
      </c>
    </row>
    <row r="944" spans="1:26" ht="12" hidden="1" thickBot="1" x14ac:dyDescent="0.25">
      <c r="A944" s="567">
        <v>814</v>
      </c>
      <c r="B944" s="644">
        <v>814</v>
      </c>
      <c r="C944" s="645" t="s">
        <v>458</v>
      </c>
      <c r="D944" s="422" t="s">
        <v>2019</v>
      </c>
      <c r="E944" s="423"/>
      <c r="F944" s="424"/>
      <c r="G944" s="425"/>
      <c r="H944" s="651"/>
      <c r="I944" s="420">
        <v>34.6</v>
      </c>
      <c r="J944" s="420">
        <f t="shared" si="272"/>
        <v>34.6</v>
      </c>
      <c r="K944" s="421">
        <f t="shared" si="267"/>
        <v>41.11</v>
      </c>
      <c r="L944" s="647" t="s">
        <v>21</v>
      </c>
      <c r="M944" s="576"/>
      <c r="N944" s="576">
        <f t="shared" si="269"/>
        <v>0</v>
      </c>
      <c r="O944" s="577">
        <f t="shared" si="262"/>
        <v>0</v>
      </c>
      <c r="P944" s="578">
        <f t="shared" si="263"/>
        <v>0</v>
      </c>
      <c r="Q944" s="765"/>
      <c r="R944" s="576">
        <f t="shared" si="259"/>
        <v>0</v>
      </c>
      <c r="S944" s="576">
        <f t="shared" si="259"/>
        <v>0</v>
      </c>
      <c r="T944" s="577">
        <f t="shared" si="260"/>
        <v>0</v>
      </c>
      <c r="U944" s="578">
        <f t="shared" si="261"/>
        <v>0</v>
      </c>
      <c r="V944" s="579"/>
      <c r="W944" s="566"/>
      <c r="X944" s="586" t="str">
        <f t="shared" si="265"/>
        <v/>
      </c>
      <c r="Y944" s="586" t="str">
        <f t="shared" si="271"/>
        <v/>
      </c>
      <c r="Z944" s="586" t="str">
        <f t="shared" si="268"/>
        <v/>
      </c>
    </row>
    <row r="945" spans="1:26" ht="12" hidden="1" thickBot="1" x14ac:dyDescent="0.25">
      <c r="A945" s="567">
        <v>815</v>
      </c>
      <c r="B945" s="644">
        <v>815</v>
      </c>
      <c r="C945" s="645" t="s">
        <v>458</v>
      </c>
      <c r="D945" s="422" t="s">
        <v>2020</v>
      </c>
      <c r="E945" s="423"/>
      <c r="F945" s="424"/>
      <c r="G945" s="425"/>
      <c r="H945" s="651"/>
      <c r="I945" s="420">
        <v>60.64</v>
      </c>
      <c r="J945" s="420">
        <f t="shared" si="272"/>
        <v>60.64</v>
      </c>
      <c r="K945" s="421">
        <f t="shared" si="267"/>
        <v>72.05</v>
      </c>
      <c r="L945" s="647" t="s">
        <v>21</v>
      </c>
      <c r="M945" s="576"/>
      <c r="N945" s="576">
        <f t="shared" si="269"/>
        <v>0</v>
      </c>
      <c r="O945" s="577">
        <f t="shared" si="262"/>
        <v>0</v>
      </c>
      <c r="P945" s="578">
        <f t="shared" si="263"/>
        <v>0</v>
      </c>
      <c r="Q945" s="765"/>
      <c r="R945" s="576">
        <f t="shared" si="259"/>
        <v>0</v>
      </c>
      <c r="S945" s="576">
        <f t="shared" si="259"/>
        <v>0</v>
      </c>
      <c r="T945" s="577">
        <f t="shared" si="260"/>
        <v>0</v>
      </c>
      <c r="U945" s="578">
        <f t="shared" si="261"/>
        <v>0</v>
      </c>
      <c r="V945" s="579"/>
      <c r="W945" s="566"/>
      <c r="X945" s="586" t="str">
        <f t="shared" si="265"/>
        <v/>
      </c>
      <c r="Y945" s="586" t="str">
        <f t="shared" si="271"/>
        <v/>
      </c>
      <c r="Z945" s="586" t="str">
        <f t="shared" si="268"/>
        <v/>
      </c>
    </row>
    <row r="946" spans="1:26" ht="12" hidden="1" thickBot="1" x14ac:dyDescent="0.25">
      <c r="A946" s="567">
        <v>816</v>
      </c>
      <c r="B946" s="644">
        <v>816</v>
      </c>
      <c r="C946" s="645" t="s">
        <v>458</v>
      </c>
      <c r="D946" s="422" t="s">
        <v>2021</v>
      </c>
      <c r="E946" s="423"/>
      <c r="F946" s="424"/>
      <c r="G946" s="425"/>
      <c r="H946" s="651"/>
      <c r="I946" s="420">
        <v>28.78</v>
      </c>
      <c r="J946" s="420">
        <f t="shared" si="272"/>
        <v>28.78</v>
      </c>
      <c r="K946" s="421">
        <f t="shared" si="267"/>
        <v>34.19</v>
      </c>
      <c r="L946" s="647" t="s">
        <v>21</v>
      </c>
      <c r="M946" s="576"/>
      <c r="N946" s="576">
        <f t="shared" si="269"/>
        <v>0</v>
      </c>
      <c r="O946" s="577">
        <f t="shared" si="262"/>
        <v>0</v>
      </c>
      <c r="P946" s="578">
        <f t="shared" si="263"/>
        <v>0</v>
      </c>
      <c r="Q946" s="765"/>
      <c r="R946" s="576">
        <f t="shared" si="259"/>
        <v>0</v>
      </c>
      <c r="S946" s="576">
        <f t="shared" si="259"/>
        <v>0</v>
      </c>
      <c r="T946" s="577">
        <f t="shared" si="260"/>
        <v>0</v>
      </c>
      <c r="U946" s="578">
        <f t="shared" si="261"/>
        <v>0</v>
      </c>
      <c r="V946" s="579"/>
      <c r="W946" s="566"/>
      <c r="X946" s="586" t="str">
        <f t="shared" si="265"/>
        <v/>
      </c>
      <c r="Y946" s="586" t="str">
        <f t="shared" si="271"/>
        <v/>
      </c>
      <c r="Z946" s="586" t="str">
        <f t="shared" si="268"/>
        <v/>
      </c>
    </row>
    <row r="947" spans="1:26" ht="12" hidden="1" thickBot="1" x14ac:dyDescent="0.25">
      <c r="A947" s="567">
        <v>817</v>
      </c>
      <c r="B947" s="644">
        <v>817</v>
      </c>
      <c r="C947" s="645" t="s">
        <v>458</v>
      </c>
      <c r="D947" s="422" t="s">
        <v>2022</v>
      </c>
      <c r="E947" s="423"/>
      <c r="F947" s="424"/>
      <c r="G947" s="425"/>
      <c r="H947" s="651"/>
      <c r="I947" s="420">
        <v>41.46</v>
      </c>
      <c r="J947" s="420">
        <f t="shared" si="272"/>
        <v>41.46</v>
      </c>
      <c r="K947" s="421">
        <f t="shared" si="267"/>
        <v>49.26</v>
      </c>
      <c r="L947" s="647" t="s">
        <v>21</v>
      </c>
      <c r="M947" s="576"/>
      <c r="N947" s="576">
        <f t="shared" si="269"/>
        <v>0</v>
      </c>
      <c r="O947" s="577">
        <f t="shared" si="262"/>
        <v>0</v>
      </c>
      <c r="P947" s="578">
        <f t="shared" si="263"/>
        <v>0</v>
      </c>
      <c r="Q947" s="765"/>
      <c r="R947" s="576">
        <f t="shared" si="259"/>
        <v>0</v>
      </c>
      <c r="S947" s="576">
        <f t="shared" si="259"/>
        <v>0</v>
      </c>
      <c r="T947" s="577">
        <f t="shared" si="260"/>
        <v>0</v>
      </c>
      <c r="U947" s="578">
        <f t="shared" si="261"/>
        <v>0</v>
      </c>
      <c r="V947" s="579"/>
      <c r="W947" s="566"/>
      <c r="X947" s="586" t="str">
        <f t="shared" si="265"/>
        <v/>
      </c>
      <c r="Y947" s="586" t="str">
        <f t="shared" si="271"/>
        <v/>
      </c>
      <c r="Z947" s="586" t="str">
        <f t="shared" si="268"/>
        <v/>
      </c>
    </row>
    <row r="948" spans="1:26" ht="12" hidden="1" thickBot="1" x14ac:dyDescent="0.25">
      <c r="A948" s="567">
        <v>818</v>
      </c>
      <c r="B948" s="644">
        <v>818</v>
      </c>
      <c r="C948" s="645" t="s">
        <v>458</v>
      </c>
      <c r="D948" s="422" t="s">
        <v>2023</v>
      </c>
      <c r="E948" s="423"/>
      <c r="F948" s="424"/>
      <c r="G948" s="425"/>
      <c r="H948" s="651"/>
      <c r="I948" s="420">
        <v>15.42</v>
      </c>
      <c r="J948" s="420">
        <f t="shared" si="272"/>
        <v>15.42</v>
      </c>
      <c r="K948" s="421">
        <f t="shared" si="267"/>
        <v>18.32</v>
      </c>
      <c r="L948" s="647" t="s">
        <v>21</v>
      </c>
      <c r="M948" s="576"/>
      <c r="N948" s="576">
        <f t="shared" si="269"/>
        <v>0</v>
      </c>
      <c r="O948" s="577">
        <f t="shared" si="262"/>
        <v>0</v>
      </c>
      <c r="P948" s="578">
        <f t="shared" si="263"/>
        <v>0</v>
      </c>
      <c r="Q948" s="765"/>
      <c r="R948" s="576">
        <f t="shared" ref="R948:S1011" si="273">M948</f>
        <v>0</v>
      </c>
      <c r="S948" s="576">
        <f t="shared" si="273"/>
        <v>0</v>
      </c>
      <c r="T948" s="577">
        <f t="shared" ref="T948:T1011" si="274">IF(ISBLANK(R948),0,ROUND(K948*R948,2))</f>
        <v>0</v>
      </c>
      <c r="U948" s="578">
        <f t="shared" ref="U948:U1011" si="275">IF(ISBLANK(R948),0,ROUND(R948*S948,2))</f>
        <v>0</v>
      </c>
      <c r="V948" s="579"/>
      <c r="W948" s="566"/>
      <c r="X948" s="586" t="str">
        <f t="shared" si="265"/>
        <v/>
      </c>
      <c r="Y948" s="586" t="str">
        <f t="shared" si="271"/>
        <v/>
      </c>
      <c r="Z948" s="586" t="str">
        <f t="shared" si="268"/>
        <v/>
      </c>
    </row>
    <row r="949" spans="1:26" ht="12" hidden="1" thickBot="1" x14ac:dyDescent="0.25">
      <c r="A949" s="567">
        <v>819</v>
      </c>
      <c r="B949" s="644">
        <v>819</v>
      </c>
      <c r="C949" s="645" t="s">
        <v>458</v>
      </c>
      <c r="D949" s="422" t="s">
        <v>2024</v>
      </c>
      <c r="E949" s="423"/>
      <c r="F949" s="424"/>
      <c r="G949" s="425"/>
      <c r="H949" s="651"/>
      <c r="I949" s="420">
        <v>23.3</v>
      </c>
      <c r="J949" s="420">
        <f t="shared" si="272"/>
        <v>23.3</v>
      </c>
      <c r="K949" s="421">
        <f t="shared" si="267"/>
        <v>27.68</v>
      </c>
      <c r="L949" s="647" t="s">
        <v>19</v>
      </c>
      <c r="M949" s="576"/>
      <c r="N949" s="576">
        <f t="shared" si="269"/>
        <v>0</v>
      </c>
      <c r="O949" s="577">
        <f t="shared" ref="O949:O1012" si="276">IF(ISBLANK(M949),0,ROUND(K949*M949,2))</f>
        <v>0</v>
      </c>
      <c r="P949" s="578">
        <f t="shared" ref="P949:P1012" si="277">IF(ISBLANK(N949),0,ROUND(M949*N949,2))</f>
        <v>0</v>
      </c>
      <c r="Q949" s="765"/>
      <c r="R949" s="576">
        <f t="shared" si="273"/>
        <v>0</v>
      </c>
      <c r="S949" s="576">
        <f t="shared" si="273"/>
        <v>0</v>
      </c>
      <c r="T949" s="577">
        <f t="shared" si="274"/>
        <v>0</v>
      </c>
      <c r="U949" s="578">
        <f t="shared" si="275"/>
        <v>0</v>
      </c>
      <c r="V949" s="579"/>
      <c r="W949" s="566"/>
      <c r="X949" s="586" t="str">
        <f t="shared" si="265"/>
        <v/>
      </c>
      <c r="Y949" s="586" t="str">
        <f t="shared" si="271"/>
        <v/>
      </c>
      <c r="Z949" s="586" t="str">
        <f t="shared" si="268"/>
        <v/>
      </c>
    </row>
    <row r="950" spans="1:26" ht="12" hidden="1" thickBot="1" x14ac:dyDescent="0.25">
      <c r="A950" s="567">
        <v>820</v>
      </c>
      <c r="B950" s="644">
        <v>820</v>
      </c>
      <c r="C950" s="645" t="s">
        <v>458</v>
      </c>
      <c r="D950" s="422" t="s">
        <v>2025</v>
      </c>
      <c r="E950" s="423"/>
      <c r="F950" s="424"/>
      <c r="G950" s="425"/>
      <c r="H950" s="651"/>
      <c r="I950" s="420">
        <v>14.08</v>
      </c>
      <c r="J950" s="420">
        <f t="shared" si="272"/>
        <v>14.08</v>
      </c>
      <c r="K950" s="421">
        <f t="shared" si="267"/>
        <v>16.73</v>
      </c>
      <c r="L950" s="647" t="s">
        <v>21</v>
      </c>
      <c r="M950" s="576"/>
      <c r="N950" s="576">
        <f t="shared" si="269"/>
        <v>0</v>
      </c>
      <c r="O950" s="577">
        <f t="shared" si="276"/>
        <v>0</v>
      </c>
      <c r="P950" s="578">
        <f t="shared" si="277"/>
        <v>0</v>
      </c>
      <c r="Q950" s="765"/>
      <c r="R950" s="576">
        <f t="shared" si="273"/>
        <v>0</v>
      </c>
      <c r="S950" s="576">
        <f t="shared" si="273"/>
        <v>0</v>
      </c>
      <c r="T950" s="577">
        <f t="shared" si="274"/>
        <v>0</v>
      </c>
      <c r="U950" s="578">
        <f t="shared" si="275"/>
        <v>0</v>
      </c>
      <c r="V950" s="579"/>
      <c r="W950" s="566"/>
      <c r="X950" s="586" t="str">
        <f t="shared" si="265"/>
        <v/>
      </c>
      <c r="Y950" s="586" t="str">
        <f t="shared" si="271"/>
        <v/>
      </c>
      <c r="Z950" s="586" t="str">
        <f t="shared" si="268"/>
        <v/>
      </c>
    </row>
    <row r="951" spans="1:26" ht="12" hidden="1" thickBot="1" x14ac:dyDescent="0.25">
      <c r="A951" s="567">
        <v>821</v>
      </c>
      <c r="B951" s="644">
        <v>821</v>
      </c>
      <c r="C951" s="645" t="s">
        <v>458</v>
      </c>
      <c r="D951" s="422" t="s">
        <v>2026</v>
      </c>
      <c r="E951" s="423"/>
      <c r="F951" s="424"/>
      <c r="G951" s="425"/>
      <c r="H951" s="651"/>
      <c r="I951" s="420">
        <v>22.96</v>
      </c>
      <c r="J951" s="420">
        <f t="shared" si="272"/>
        <v>22.96</v>
      </c>
      <c r="K951" s="421">
        <f t="shared" si="267"/>
        <v>27.28</v>
      </c>
      <c r="L951" s="647" t="s">
        <v>21</v>
      </c>
      <c r="M951" s="576"/>
      <c r="N951" s="576">
        <f t="shared" si="269"/>
        <v>0</v>
      </c>
      <c r="O951" s="577">
        <f t="shared" si="276"/>
        <v>0</v>
      </c>
      <c r="P951" s="578">
        <f t="shared" si="277"/>
        <v>0</v>
      </c>
      <c r="Q951" s="765"/>
      <c r="R951" s="576">
        <f t="shared" si="273"/>
        <v>0</v>
      </c>
      <c r="S951" s="576">
        <f t="shared" si="273"/>
        <v>0</v>
      </c>
      <c r="T951" s="577">
        <f t="shared" si="274"/>
        <v>0</v>
      </c>
      <c r="U951" s="578">
        <f t="shared" si="275"/>
        <v>0</v>
      </c>
      <c r="V951" s="579"/>
      <c r="W951" s="566"/>
      <c r="X951" s="586" t="str">
        <f t="shared" si="265"/>
        <v/>
      </c>
      <c r="Y951" s="586" t="str">
        <f t="shared" si="271"/>
        <v/>
      </c>
      <c r="Z951" s="586" t="str">
        <f t="shared" si="268"/>
        <v/>
      </c>
    </row>
    <row r="952" spans="1:26" ht="12" hidden="1" thickBot="1" x14ac:dyDescent="0.25">
      <c r="A952" s="567">
        <v>871</v>
      </c>
      <c r="B952" s="644">
        <v>871</v>
      </c>
      <c r="C952" s="645" t="s">
        <v>458</v>
      </c>
      <c r="D952" s="422" t="s">
        <v>2027</v>
      </c>
      <c r="E952" s="423"/>
      <c r="F952" s="424"/>
      <c r="G952" s="425"/>
      <c r="H952" s="651"/>
      <c r="I952" s="420">
        <v>11.31</v>
      </c>
      <c r="J952" s="420">
        <f t="shared" si="272"/>
        <v>11.31</v>
      </c>
      <c r="K952" s="421">
        <f t="shared" si="267"/>
        <v>13.44</v>
      </c>
      <c r="L952" s="647" t="s">
        <v>21</v>
      </c>
      <c r="M952" s="576"/>
      <c r="N952" s="576">
        <f t="shared" si="269"/>
        <v>0</v>
      </c>
      <c r="O952" s="577">
        <f t="shared" si="276"/>
        <v>0</v>
      </c>
      <c r="P952" s="578">
        <f t="shared" si="277"/>
        <v>0</v>
      </c>
      <c r="Q952" s="765"/>
      <c r="R952" s="576">
        <f t="shared" si="273"/>
        <v>0</v>
      </c>
      <c r="S952" s="576">
        <f t="shared" si="273"/>
        <v>0</v>
      </c>
      <c r="T952" s="577">
        <f t="shared" si="274"/>
        <v>0</v>
      </c>
      <c r="U952" s="578">
        <f t="shared" si="275"/>
        <v>0</v>
      </c>
      <c r="V952" s="579"/>
      <c r="W952" s="566"/>
      <c r="X952" s="586" t="str">
        <f t="shared" si="265"/>
        <v/>
      </c>
      <c r="Y952" s="586" t="str">
        <f t="shared" si="271"/>
        <v/>
      </c>
      <c r="Z952" s="586" t="str">
        <f t="shared" si="268"/>
        <v/>
      </c>
    </row>
    <row r="953" spans="1:26" ht="12" hidden="1" thickBot="1" x14ac:dyDescent="0.25">
      <c r="A953" s="567" t="s">
        <v>561</v>
      </c>
      <c r="B953" s="644" t="s">
        <v>561</v>
      </c>
      <c r="C953" s="645" t="s">
        <v>458</v>
      </c>
      <c r="D953" s="422" t="s">
        <v>2028</v>
      </c>
      <c r="E953" s="423"/>
      <c r="F953" s="424"/>
      <c r="G953" s="425"/>
      <c r="H953" s="651"/>
      <c r="I953" s="420">
        <v>4.45</v>
      </c>
      <c r="J953" s="420">
        <f t="shared" si="272"/>
        <v>4.45</v>
      </c>
      <c r="K953" s="421">
        <f t="shared" si="267"/>
        <v>5.29</v>
      </c>
      <c r="L953" s="647" t="s">
        <v>21</v>
      </c>
      <c r="M953" s="576"/>
      <c r="N953" s="576">
        <f t="shared" si="269"/>
        <v>0</v>
      </c>
      <c r="O953" s="577">
        <f t="shared" si="276"/>
        <v>0</v>
      </c>
      <c r="P953" s="578">
        <f t="shared" si="277"/>
        <v>0</v>
      </c>
      <c r="Q953" s="765"/>
      <c r="R953" s="576">
        <f t="shared" si="273"/>
        <v>0</v>
      </c>
      <c r="S953" s="576">
        <f t="shared" si="273"/>
        <v>0</v>
      </c>
      <c r="T953" s="577">
        <f t="shared" si="274"/>
        <v>0</v>
      </c>
      <c r="U953" s="578">
        <f t="shared" si="275"/>
        <v>0</v>
      </c>
      <c r="V953" s="579"/>
      <c r="W953" s="566"/>
      <c r="X953" s="586" t="str">
        <f t="shared" si="265"/>
        <v/>
      </c>
      <c r="Y953" s="586" t="str">
        <f t="shared" si="271"/>
        <v/>
      </c>
      <c r="Z953" s="586" t="str">
        <f t="shared" si="268"/>
        <v/>
      </c>
    </row>
    <row r="954" spans="1:26" ht="12" hidden="1" thickBot="1" x14ac:dyDescent="0.25">
      <c r="A954" s="567">
        <v>834</v>
      </c>
      <c r="B954" s="644">
        <v>834</v>
      </c>
      <c r="C954" s="645" t="s">
        <v>458</v>
      </c>
      <c r="D954" s="422" t="s">
        <v>2029</v>
      </c>
      <c r="E954" s="423"/>
      <c r="F954" s="424"/>
      <c r="G954" s="425"/>
      <c r="H954" s="651"/>
      <c r="I954" s="420">
        <v>11.99</v>
      </c>
      <c r="J954" s="420">
        <f t="shared" si="272"/>
        <v>11.99</v>
      </c>
      <c r="K954" s="421">
        <f t="shared" si="267"/>
        <v>14.25</v>
      </c>
      <c r="L954" s="647" t="s">
        <v>21</v>
      </c>
      <c r="M954" s="576"/>
      <c r="N954" s="576">
        <f t="shared" si="269"/>
        <v>0</v>
      </c>
      <c r="O954" s="577">
        <f t="shared" si="276"/>
        <v>0</v>
      </c>
      <c r="P954" s="578">
        <f t="shared" si="277"/>
        <v>0</v>
      </c>
      <c r="Q954" s="765"/>
      <c r="R954" s="576">
        <f t="shared" si="273"/>
        <v>0</v>
      </c>
      <c r="S954" s="576">
        <f t="shared" si="273"/>
        <v>0</v>
      </c>
      <c r="T954" s="577">
        <f t="shared" si="274"/>
        <v>0</v>
      </c>
      <c r="U954" s="578">
        <f t="shared" si="275"/>
        <v>0</v>
      </c>
      <c r="V954" s="579"/>
      <c r="W954" s="566"/>
      <c r="X954" s="586" t="str">
        <f t="shared" si="265"/>
        <v/>
      </c>
      <c r="Y954" s="586" t="str">
        <f t="shared" si="271"/>
        <v/>
      </c>
      <c r="Z954" s="586" t="str">
        <f t="shared" si="268"/>
        <v/>
      </c>
    </row>
    <row r="955" spans="1:26" ht="12" hidden="1" thickBot="1" x14ac:dyDescent="0.25">
      <c r="A955" s="567" t="s">
        <v>562</v>
      </c>
      <c r="B955" s="644" t="s">
        <v>562</v>
      </c>
      <c r="C955" s="645" t="s">
        <v>458</v>
      </c>
      <c r="D955" s="422" t="s">
        <v>2030</v>
      </c>
      <c r="E955" s="423"/>
      <c r="F955" s="424"/>
      <c r="G955" s="425"/>
      <c r="H955" s="651"/>
      <c r="I955" s="420">
        <v>4.8</v>
      </c>
      <c r="J955" s="420">
        <f t="shared" si="272"/>
        <v>4.8</v>
      </c>
      <c r="K955" s="421">
        <f t="shared" si="267"/>
        <v>5.7</v>
      </c>
      <c r="L955" s="647" t="s">
        <v>21</v>
      </c>
      <c r="M955" s="576"/>
      <c r="N955" s="576">
        <f t="shared" si="269"/>
        <v>0</v>
      </c>
      <c r="O955" s="577">
        <f t="shared" si="276"/>
        <v>0</v>
      </c>
      <c r="P955" s="578">
        <f t="shared" si="277"/>
        <v>0</v>
      </c>
      <c r="Q955" s="765"/>
      <c r="R955" s="576">
        <f t="shared" si="273"/>
        <v>0</v>
      </c>
      <c r="S955" s="576">
        <f t="shared" si="273"/>
        <v>0</v>
      </c>
      <c r="T955" s="577">
        <f t="shared" si="274"/>
        <v>0</v>
      </c>
      <c r="U955" s="578">
        <f t="shared" si="275"/>
        <v>0</v>
      </c>
      <c r="V955" s="579"/>
      <c r="W955" s="566"/>
      <c r="X955" s="586" t="str">
        <f t="shared" si="265"/>
        <v/>
      </c>
      <c r="Y955" s="586" t="str">
        <f t="shared" si="271"/>
        <v/>
      </c>
      <c r="Z955" s="586" t="str">
        <f t="shared" si="268"/>
        <v/>
      </c>
    </row>
    <row r="956" spans="1:26" ht="23.25" hidden="1" thickBot="1" x14ac:dyDescent="0.25">
      <c r="A956" s="567">
        <v>835</v>
      </c>
      <c r="B956" s="644">
        <v>835</v>
      </c>
      <c r="C956" s="645" t="s">
        <v>458</v>
      </c>
      <c r="D956" s="422" t="s">
        <v>2031</v>
      </c>
      <c r="E956" s="423"/>
      <c r="F956" s="424"/>
      <c r="G956" s="425"/>
      <c r="H956" s="651"/>
      <c r="I956" s="420">
        <v>43.85</v>
      </c>
      <c r="J956" s="420">
        <f t="shared" si="272"/>
        <v>43.85</v>
      </c>
      <c r="K956" s="421">
        <f t="shared" si="267"/>
        <v>52.1</v>
      </c>
      <c r="L956" s="647" t="s">
        <v>21</v>
      </c>
      <c r="M956" s="576"/>
      <c r="N956" s="576">
        <f t="shared" si="269"/>
        <v>0</v>
      </c>
      <c r="O956" s="577">
        <f t="shared" si="276"/>
        <v>0</v>
      </c>
      <c r="P956" s="578">
        <f t="shared" si="277"/>
        <v>0</v>
      </c>
      <c r="Q956" s="765"/>
      <c r="R956" s="576">
        <f t="shared" si="273"/>
        <v>0</v>
      </c>
      <c r="S956" s="576">
        <f t="shared" si="273"/>
        <v>0</v>
      </c>
      <c r="T956" s="577">
        <f t="shared" si="274"/>
        <v>0</v>
      </c>
      <c r="U956" s="578">
        <f t="shared" si="275"/>
        <v>0</v>
      </c>
      <c r="V956" s="579"/>
      <c r="W956" s="566"/>
      <c r="X956" s="586" t="str">
        <f t="shared" si="265"/>
        <v/>
      </c>
      <c r="Y956" s="586" t="str">
        <f t="shared" si="271"/>
        <v/>
      </c>
      <c r="Z956" s="586" t="str">
        <f t="shared" si="268"/>
        <v/>
      </c>
    </row>
    <row r="957" spans="1:26" ht="23.25" hidden="1" thickBot="1" x14ac:dyDescent="0.25">
      <c r="A957" s="567" t="s">
        <v>565</v>
      </c>
      <c r="B957" s="644" t="s">
        <v>565</v>
      </c>
      <c r="C957" s="645" t="s">
        <v>458</v>
      </c>
      <c r="D957" s="422" t="s">
        <v>2032</v>
      </c>
      <c r="E957" s="423"/>
      <c r="F957" s="424"/>
      <c r="G957" s="425"/>
      <c r="H957" s="651"/>
      <c r="I957" s="420">
        <v>17.47</v>
      </c>
      <c r="J957" s="420">
        <f t="shared" si="272"/>
        <v>17.47</v>
      </c>
      <c r="K957" s="421">
        <f t="shared" si="267"/>
        <v>20.76</v>
      </c>
      <c r="L957" s="647" t="s">
        <v>21</v>
      </c>
      <c r="M957" s="576"/>
      <c r="N957" s="576">
        <f t="shared" si="269"/>
        <v>0</v>
      </c>
      <c r="O957" s="577">
        <f t="shared" si="276"/>
        <v>0</v>
      </c>
      <c r="P957" s="578">
        <f t="shared" si="277"/>
        <v>0</v>
      </c>
      <c r="Q957" s="765"/>
      <c r="R957" s="576">
        <f t="shared" si="273"/>
        <v>0</v>
      </c>
      <c r="S957" s="576">
        <f t="shared" si="273"/>
        <v>0</v>
      </c>
      <c r="T957" s="577">
        <f t="shared" si="274"/>
        <v>0</v>
      </c>
      <c r="U957" s="578">
        <f t="shared" si="275"/>
        <v>0</v>
      </c>
      <c r="V957" s="579"/>
      <c r="W957" s="566"/>
      <c r="X957" s="586" t="str">
        <f t="shared" ref="X957:X1020" si="278">IF(W957="X","x",IF(W957="xx","x",IF(W957="xy","x",IF(W957="y","x",IF(OR(P957&gt;0,U957&gt;0),"x","")))))</f>
        <v/>
      </c>
      <c r="Y957" s="586" t="str">
        <f t="shared" si="271"/>
        <v/>
      </c>
      <c r="Z957" s="586" t="str">
        <f t="shared" si="268"/>
        <v/>
      </c>
    </row>
    <row r="958" spans="1:26" ht="23.25" hidden="1" thickBot="1" x14ac:dyDescent="0.25">
      <c r="A958" s="567">
        <v>836</v>
      </c>
      <c r="B958" s="644">
        <v>836</v>
      </c>
      <c r="C958" s="645" t="s">
        <v>458</v>
      </c>
      <c r="D958" s="422" t="s">
        <v>2033</v>
      </c>
      <c r="E958" s="423"/>
      <c r="F958" s="424"/>
      <c r="G958" s="425"/>
      <c r="H958" s="651"/>
      <c r="I958" s="420">
        <v>114.78</v>
      </c>
      <c r="J958" s="420">
        <f t="shared" si="272"/>
        <v>114.78</v>
      </c>
      <c r="K958" s="421">
        <f t="shared" si="267"/>
        <v>136.37</v>
      </c>
      <c r="L958" s="647" t="s">
        <v>21</v>
      </c>
      <c r="M958" s="576"/>
      <c r="N958" s="576">
        <f t="shared" si="269"/>
        <v>0</v>
      </c>
      <c r="O958" s="577">
        <f t="shared" si="276"/>
        <v>0</v>
      </c>
      <c r="P958" s="578">
        <f t="shared" si="277"/>
        <v>0</v>
      </c>
      <c r="Q958" s="765"/>
      <c r="R958" s="576">
        <f t="shared" si="273"/>
        <v>0</v>
      </c>
      <c r="S958" s="576">
        <f t="shared" si="273"/>
        <v>0</v>
      </c>
      <c r="T958" s="577">
        <f t="shared" si="274"/>
        <v>0</v>
      </c>
      <c r="U958" s="578">
        <f t="shared" si="275"/>
        <v>0</v>
      </c>
      <c r="V958" s="579"/>
      <c r="W958" s="566"/>
      <c r="X958" s="586" t="str">
        <f t="shared" si="278"/>
        <v/>
      </c>
      <c r="Y958" s="586" t="str">
        <f t="shared" si="271"/>
        <v/>
      </c>
      <c r="Z958" s="586" t="str">
        <f t="shared" si="268"/>
        <v/>
      </c>
    </row>
    <row r="959" spans="1:26" ht="23.25" hidden="1" thickBot="1" x14ac:dyDescent="0.25">
      <c r="A959" s="567" t="s">
        <v>563</v>
      </c>
      <c r="B959" s="644" t="s">
        <v>563</v>
      </c>
      <c r="C959" s="645" t="s">
        <v>458</v>
      </c>
      <c r="D959" s="422" t="s">
        <v>2034</v>
      </c>
      <c r="E959" s="423"/>
      <c r="F959" s="424"/>
      <c r="G959" s="425"/>
      <c r="H959" s="651"/>
      <c r="I959" s="420">
        <v>57.56</v>
      </c>
      <c r="J959" s="420">
        <f t="shared" si="272"/>
        <v>57.56</v>
      </c>
      <c r="K959" s="421">
        <f t="shared" si="267"/>
        <v>68.39</v>
      </c>
      <c r="L959" s="647" t="s">
        <v>21</v>
      </c>
      <c r="M959" s="576"/>
      <c r="N959" s="576">
        <f t="shared" si="269"/>
        <v>0</v>
      </c>
      <c r="O959" s="577">
        <f t="shared" si="276"/>
        <v>0</v>
      </c>
      <c r="P959" s="578">
        <f t="shared" si="277"/>
        <v>0</v>
      </c>
      <c r="Q959" s="765"/>
      <c r="R959" s="576">
        <f t="shared" si="273"/>
        <v>0</v>
      </c>
      <c r="S959" s="576">
        <f t="shared" si="273"/>
        <v>0</v>
      </c>
      <c r="T959" s="577">
        <f t="shared" si="274"/>
        <v>0</v>
      </c>
      <c r="U959" s="578">
        <f t="shared" si="275"/>
        <v>0</v>
      </c>
      <c r="V959" s="579"/>
      <c r="W959" s="566"/>
      <c r="X959" s="586" t="str">
        <f t="shared" si="278"/>
        <v/>
      </c>
      <c r="Y959" s="586" t="str">
        <f t="shared" si="271"/>
        <v/>
      </c>
      <c r="Z959" s="586" t="str">
        <f t="shared" si="268"/>
        <v/>
      </c>
    </row>
    <row r="960" spans="1:26" ht="12" hidden="1" thickBot="1" x14ac:dyDescent="0.25">
      <c r="A960" s="567">
        <v>837</v>
      </c>
      <c r="B960" s="644">
        <v>837</v>
      </c>
      <c r="C960" s="645" t="s">
        <v>458</v>
      </c>
      <c r="D960" s="422" t="s">
        <v>2035</v>
      </c>
      <c r="E960" s="423"/>
      <c r="F960" s="424"/>
      <c r="G960" s="425"/>
      <c r="H960" s="651"/>
      <c r="I960" s="420">
        <v>20.9</v>
      </c>
      <c r="J960" s="420">
        <f t="shared" si="272"/>
        <v>20.9</v>
      </c>
      <c r="K960" s="421">
        <f t="shared" si="267"/>
        <v>24.83</v>
      </c>
      <c r="L960" s="647" t="s">
        <v>21</v>
      </c>
      <c r="M960" s="576"/>
      <c r="N960" s="576">
        <f t="shared" si="269"/>
        <v>0</v>
      </c>
      <c r="O960" s="577">
        <f t="shared" si="276"/>
        <v>0</v>
      </c>
      <c r="P960" s="578">
        <f t="shared" si="277"/>
        <v>0</v>
      </c>
      <c r="Q960" s="765"/>
      <c r="R960" s="576">
        <f t="shared" si="273"/>
        <v>0</v>
      </c>
      <c r="S960" s="576">
        <f t="shared" si="273"/>
        <v>0</v>
      </c>
      <c r="T960" s="577">
        <f t="shared" si="274"/>
        <v>0</v>
      </c>
      <c r="U960" s="578">
        <f t="shared" si="275"/>
        <v>0</v>
      </c>
      <c r="V960" s="579"/>
      <c r="W960" s="566"/>
      <c r="X960" s="586" t="str">
        <f t="shared" si="278"/>
        <v/>
      </c>
      <c r="Y960" s="586" t="str">
        <f t="shared" si="271"/>
        <v/>
      </c>
      <c r="Z960" s="586" t="str">
        <f t="shared" si="268"/>
        <v/>
      </c>
    </row>
    <row r="961" spans="1:26" ht="12" hidden="1" thickBot="1" x14ac:dyDescent="0.25">
      <c r="A961" s="567">
        <v>838</v>
      </c>
      <c r="B961" s="644">
        <v>838</v>
      </c>
      <c r="C961" s="645" t="s">
        <v>458</v>
      </c>
      <c r="D961" s="422" t="s">
        <v>2036</v>
      </c>
      <c r="E961" s="423"/>
      <c r="F961" s="424"/>
      <c r="G961" s="425"/>
      <c r="H961" s="651"/>
      <c r="I961" s="420">
        <v>53.11</v>
      </c>
      <c r="J961" s="420">
        <f t="shared" si="272"/>
        <v>53.11</v>
      </c>
      <c r="K961" s="421">
        <f t="shared" si="267"/>
        <v>63.1</v>
      </c>
      <c r="L961" s="647" t="s">
        <v>21</v>
      </c>
      <c r="M961" s="576"/>
      <c r="N961" s="576">
        <f t="shared" si="269"/>
        <v>0</v>
      </c>
      <c r="O961" s="577">
        <f t="shared" si="276"/>
        <v>0</v>
      </c>
      <c r="P961" s="578">
        <f t="shared" si="277"/>
        <v>0</v>
      </c>
      <c r="Q961" s="765"/>
      <c r="R961" s="576">
        <f t="shared" si="273"/>
        <v>0</v>
      </c>
      <c r="S961" s="576">
        <f t="shared" si="273"/>
        <v>0</v>
      </c>
      <c r="T961" s="577">
        <f t="shared" si="274"/>
        <v>0</v>
      </c>
      <c r="U961" s="578">
        <f t="shared" si="275"/>
        <v>0</v>
      </c>
      <c r="V961" s="579"/>
      <c r="W961" s="566"/>
      <c r="X961" s="586" t="str">
        <f t="shared" si="278"/>
        <v/>
      </c>
      <c r="Y961" s="586" t="str">
        <f t="shared" si="271"/>
        <v/>
      </c>
      <c r="Z961" s="586" t="str">
        <f t="shared" si="268"/>
        <v/>
      </c>
    </row>
    <row r="962" spans="1:26" ht="12" hidden="1" thickBot="1" x14ac:dyDescent="0.25">
      <c r="A962" s="567" t="s">
        <v>566</v>
      </c>
      <c r="B962" s="644" t="s">
        <v>566</v>
      </c>
      <c r="C962" s="645" t="s">
        <v>458</v>
      </c>
      <c r="D962" s="422" t="s">
        <v>574</v>
      </c>
      <c r="E962" s="423"/>
      <c r="F962" s="424"/>
      <c r="G962" s="425"/>
      <c r="H962" s="651"/>
      <c r="I962" s="420">
        <v>21.24</v>
      </c>
      <c r="J962" s="420">
        <f t="shared" si="272"/>
        <v>21.24</v>
      </c>
      <c r="K962" s="421">
        <f t="shared" si="267"/>
        <v>25.24</v>
      </c>
      <c r="L962" s="647" t="s">
        <v>21</v>
      </c>
      <c r="M962" s="576"/>
      <c r="N962" s="576">
        <f t="shared" si="269"/>
        <v>0</v>
      </c>
      <c r="O962" s="577">
        <f t="shared" si="276"/>
        <v>0</v>
      </c>
      <c r="P962" s="578">
        <f t="shared" si="277"/>
        <v>0</v>
      </c>
      <c r="Q962" s="765"/>
      <c r="R962" s="576">
        <f t="shared" si="273"/>
        <v>0</v>
      </c>
      <c r="S962" s="576">
        <f t="shared" si="273"/>
        <v>0</v>
      </c>
      <c r="T962" s="577">
        <f t="shared" si="274"/>
        <v>0</v>
      </c>
      <c r="U962" s="578">
        <f t="shared" si="275"/>
        <v>0</v>
      </c>
      <c r="V962" s="579"/>
      <c r="W962" s="566"/>
      <c r="X962" s="586" t="str">
        <f t="shared" si="278"/>
        <v/>
      </c>
      <c r="Y962" s="586" t="str">
        <f t="shared" si="271"/>
        <v/>
      </c>
      <c r="Z962" s="586" t="str">
        <f t="shared" si="268"/>
        <v/>
      </c>
    </row>
    <row r="963" spans="1:26" ht="12" hidden="1" thickBot="1" x14ac:dyDescent="0.25">
      <c r="A963" s="567">
        <v>839</v>
      </c>
      <c r="B963" s="644">
        <v>839</v>
      </c>
      <c r="C963" s="645" t="s">
        <v>458</v>
      </c>
      <c r="D963" s="422" t="s">
        <v>2037</v>
      </c>
      <c r="E963" s="423"/>
      <c r="F963" s="424"/>
      <c r="G963" s="425"/>
      <c r="H963" s="651"/>
      <c r="I963" s="420">
        <v>171.99</v>
      </c>
      <c r="J963" s="420">
        <f t="shared" si="272"/>
        <v>171.99</v>
      </c>
      <c r="K963" s="421">
        <f t="shared" si="267"/>
        <v>204.34</v>
      </c>
      <c r="L963" s="647" t="s">
        <v>21</v>
      </c>
      <c r="M963" s="576"/>
      <c r="N963" s="576">
        <f t="shared" si="269"/>
        <v>0</v>
      </c>
      <c r="O963" s="577">
        <f t="shared" si="276"/>
        <v>0</v>
      </c>
      <c r="P963" s="578">
        <f t="shared" si="277"/>
        <v>0</v>
      </c>
      <c r="Q963" s="765"/>
      <c r="R963" s="576">
        <f t="shared" si="273"/>
        <v>0</v>
      </c>
      <c r="S963" s="576">
        <f t="shared" si="273"/>
        <v>0</v>
      </c>
      <c r="T963" s="577">
        <f t="shared" si="274"/>
        <v>0</v>
      </c>
      <c r="U963" s="578">
        <f t="shared" si="275"/>
        <v>0</v>
      </c>
      <c r="V963" s="579"/>
      <c r="W963" s="566"/>
      <c r="X963" s="586" t="str">
        <f t="shared" si="278"/>
        <v/>
      </c>
      <c r="Y963" s="586" t="str">
        <f t="shared" si="271"/>
        <v/>
      </c>
      <c r="Z963" s="586" t="str">
        <f t="shared" si="268"/>
        <v/>
      </c>
    </row>
    <row r="964" spans="1:26" ht="12" hidden="1" thickBot="1" x14ac:dyDescent="0.25">
      <c r="A964" s="567" t="s">
        <v>567</v>
      </c>
      <c r="B964" s="644" t="s">
        <v>567</v>
      </c>
      <c r="C964" s="645" t="s">
        <v>458</v>
      </c>
      <c r="D964" s="422" t="s">
        <v>2038</v>
      </c>
      <c r="E964" s="423"/>
      <c r="F964" s="424"/>
      <c r="G964" s="425"/>
      <c r="H964" s="651"/>
      <c r="I964" s="420">
        <v>120.26</v>
      </c>
      <c r="J964" s="420">
        <f t="shared" si="272"/>
        <v>120.26</v>
      </c>
      <c r="K964" s="421">
        <f t="shared" si="267"/>
        <v>142.88</v>
      </c>
      <c r="L964" s="647" t="s">
        <v>21</v>
      </c>
      <c r="M964" s="576"/>
      <c r="N964" s="576">
        <f t="shared" si="269"/>
        <v>0</v>
      </c>
      <c r="O964" s="577">
        <f t="shared" si="276"/>
        <v>0</v>
      </c>
      <c r="P964" s="578">
        <f t="shared" si="277"/>
        <v>0</v>
      </c>
      <c r="Q964" s="765"/>
      <c r="R964" s="576">
        <f t="shared" si="273"/>
        <v>0</v>
      </c>
      <c r="S964" s="576">
        <f t="shared" si="273"/>
        <v>0</v>
      </c>
      <c r="T964" s="577">
        <f t="shared" si="274"/>
        <v>0</v>
      </c>
      <c r="U964" s="578">
        <f t="shared" si="275"/>
        <v>0</v>
      </c>
      <c r="V964" s="579"/>
      <c r="W964" s="566"/>
      <c r="X964" s="586" t="str">
        <f t="shared" si="278"/>
        <v/>
      </c>
      <c r="Y964" s="586" t="str">
        <f t="shared" si="271"/>
        <v/>
      </c>
      <c r="Z964" s="586" t="str">
        <f t="shared" si="268"/>
        <v/>
      </c>
    </row>
    <row r="965" spans="1:26" ht="12" hidden="1" thickBot="1" x14ac:dyDescent="0.25">
      <c r="A965" s="567">
        <v>840</v>
      </c>
      <c r="B965" s="644">
        <v>840</v>
      </c>
      <c r="C965" s="645" t="s">
        <v>458</v>
      </c>
      <c r="D965" s="422" t="s">
        <v>2039</v>
      </c>
      <c r="E965" s="423"/>
      <c r="F965" s="424"/>
      <c r="G965" s="425"/>
      <c r="H965" s="651"/>
      <c r="I965" s="420">
        <v>402.57</v>
      </c>
      <c r="J965" s="420">
        <f t="shared" si="272"/>
        <v>402.57</v>
      </c>
      <c r="K965" s="421">
        <f t="shared" si="267"/>
        <v>478.29</v>
      </c>
      <c r="L965" s="647" t="s">
        <v>21</v>
      </c>
      <c r="M965" s="576"/>
      <c r="N965" s="576">
        <f t="shared" si="269"/>
        <v>0</v>
      </c>
      <c r="O965" s="577">
        <f t="shared" si="276"/>
        <v>0</v>
      </c>
      <c r="P965" s="578">
        <f t="shared" si="277"/>
        <v>0</v>
      </c>
      <c r="Q965" s="765"/>
      <c r="R965" s="576">
        <f t="shared" si="273"/>
        <v>0</v>
      </c>
      <c r="S965" s="576">
        <f t="shared" si="273"/>
        <v>0</v>
      </c>
      <c r="T965" s="577">
        <f t="shared" si="274"/>
        <v>0</v>
      </c>
      <c r="U965" s="578">
        <f t="shared" si="275"/>
        <v>0</v>
      </c>
      <c r="V965" s="579"/>
      <c r="W965" s="566"/>
      <c r="X965" s="586" t="str">
        <f t="shared" si="278"/>
        <v/>
      </c>
      <c r="Y965" s="586" t="str">
        <f t="shared" si="271"/>
        <v/>
      </c>
      <c r="Z965" s="586" t="str">
        <f t="shared" si="268"/>
        <v/>
      </c>
    </row>
    <row r="966" spans="1:26" ht="12" hidden="1" thickBot="1" x14ac:dyDescent="0.25">
      <c r="A966" s="567" t="s">
        <v>568</v>
      </c>
      <c r="B966" s="644" t="s">
        <v>568</v>
      </c>
      <c r="C966" s="645" t="s">
        <v>458</v>
      </c>
      <c r="D966" s="422" t="s">
        <v>2040</v>
      </c>
      <c r="E966" s="423"/>
      <c r="F966" s="424"/>
      <c r="G966" s="425"/>
      <c r="H966" s="651"/>
      <c r="I966" s="420">
        <v>161.03</v>
      </c>
      <c r="J966" s="420">
        <f t="shared" si="272"/>
        <v>161.03</v>
      </c>
      <c r="K966" s="421">
        <f t="shared" si="267"/>
        <v>191.32</v>
      </c>
      <c r="L966" s="647" t="s">
        <v>21</v>
      </c>
      <c r="M966" s="576"/>
      <c r="N966" s="576">
        <f t="shared" si="269"/>
        <v>0</v>
      </c>
      <c r="O966" s="577">
        <f t="shared" si="276"/>
        <v>0</v>
      </c>
      <c r="P966" s="578">
        <f t="shared" si="277"/>
        <v>0</v>
      </c>
      <c r="Q966" s="765"/>
      <c r="R966" s="576">
        <f t="shared" si="273"/>
        <v>0</v>
      </c>
      <c r="S966" s="576">
        <f t="shared" si="273"/>
        <v>0</v>
      </c>
      <c r="T966" s="577">
        <f t="shared" si="274"/>
        <v>0</v>
      </c>
      <c r="U966" s="578">
        <f t="shared" si="275"/>
        <v>0</v>
      </c>
      <c r="V966" s="579"/>
      <c r="W966" s="566"/>
      <c r="X966" s="586" t="str">
        <f t="shared" si="278"/>
        <v/>
      </c>
      <c r="Y966" s="586" t="str">
        <f t="shared" si="271"/>
        <v/>
      </c>
      <c r="Z966" s="586" t="str">
        <f t="shared" si="268"/>
        <v/>
      </c>
    </row>
    <row r="967" spans="1:26" ht="12" hidden="1" thickBot="1" x14ac:dyDescent="0.25">
      <c r="A967" s="567">
        <v>841</v>
      </c>
      <c r="B967" s="644">
        <v>841</v>
      </c>
      <c r="C967" s="645" t="s">
        <v>458</v>
      </c>
      <c r="D967" s="422" t="s">
        <v>2041</v>
      </c>
      <c r="E967" s="423"/>
      <c r="F967" s="424"/>
      <c r="G967" s="425"/>
      <c r="H967" s="651"/>
      <c r="I967" s="420">
        <v>191.86</v>
      </c>
      <c r="J967" s="420">
        <f t="shared" ref="J967:J972" si="279">IF(ISBLANK(I967),"",SUM(H967:I967))</f>
        <v>191.86</v>
      </c>
      <c r="K967" s="421">
        <f t="shared" si="267"/>
        <v>227.95</v>
      </c>
      <c r="L967" s="647" t="s">
        <v>21</v>
      </c>
      <c r="M967" s="576"/>
      <c r="N967" s="576">
        <f t="shared" si="269"/>
        <v>0</v>
      </c>
      <c r="O967" s="577">
        <f t="shared" si="276"/>
        <v>0</v>
      </c>
      <c r="P967" s="578">
        <f t="shared" si="277"/>
        <v>0</v>
      </c>
      <c r="Q967" s="765"/>
      <c r="R967" s="576">
        <f t="shared" si="273"/>
        <v>0</v>
      </c>
      <c r="S967" s="576">
        <f t="shared" si="273"/>
        <v>0</v>
      </c>
      <c r="T967" s="577">
        <f t="shared" si="274"/>
        <v>0</v>
      </c>
      <c r="U967" s="578">
        <f t="shared" si="275"/>
        <v>0</v>
      </c>
      <c r="V967" s="579"/>
      <c r="W967" s="566"/>
      <c r="X967" s="586" t="str">
        <f t="shared" si="278"/>
        <v/>
      </c>
      <c r="Y967" s="586" t="str">
        <f t="shared" si="271"/>
        <v/>
      </c>
      <c r="Z967" s="586" t="str">
        <f t="shared" si="268"/>
        <v/>
      </c>
    </row>
    <row r="968" spans="1:26" ht="12" hidden="1" thickBot="1" x14ac:dyDescent="0.25">
      <c r="A968" s="567" t="s">
        <v>569</v>
      </c>
      <c r="B968" s="644" t="s">
        <v>569</v>
      </c>
      <c r="C968" s="645" t="s">
        <v>458</v>
      </c>
      <c r="D968" s="422" t="s">
        <v>2042</v>
      </c>
      <c r="E968" s="423"/>
      <c r="F968" s="424"/>
      <c r="G968" s="425"/>
      <c r="H968" s="651"/>
      <c r="I968" s="420">
        <v>76.75</v>
      </c>
      <c r="J968" s="420">
        <f t="shared" si="279"/>
        <v>76.75</v>
      </c>
      <c r="K968" s="421">
        <f t="shared" si="267"/>
        <v>91.19</v>
      </c>
      <c r="L968" s="647" t="s">
        <v>21</v>
      </c>
      <c r="M968" s="576"/>
      <c r="N968" s="576">
        <f t="shared" si="269"/>
        <v>0</v>
      </c>
      <c r="O968" s="577">
        <f t="shared" si="276"/>
        <v>0</v>
      </c>
      <c r="P968" s="578">
        <f t="shared" si="277"/>
        <v>0</v>
      </c>
      <c r="Q968" s="765"/>
      <c r="R968" s="576">
        <f t="shared" si="273"/>
        <v>0</v>
      </c>
      <c r="S968" s="576">
        <f t="shared" si="273"/>
        <v>0</v>
      </c>
      <c r="T968" s="577">
        <f t="shared" si="274"/>
        <v>0</v>
      </c>
      <c r="U968" s="578">
        <f t="shared" si="275"/>
        <v>0</v>
      </c>
      <c r="V968" s="579"/>
      <c r="W968" s="566"/>
      <c r="X968" s="586" t="str">
        <f t="shared" si="278"/>
        <v/>
      </c>
      <c r="Y968" s="586" t="str">
        <f t="shared" si="271"/>
        <v/>
      </c>
      <c r="Z968" s="586" t="str">
        <f t="shared" si="268"/>
        <v/>
      </c>
    </row>
    <row r="969" spans="1:26" ht="12" hidden="1" thickBot="1" x14ac:dyDescent="0.25">
      <c r="A969" s="567">
        <v>842</v>
      </c>
      <c r="B969" s="644">
        <v>842</v>
      </c>
      <c r="C969" s="645" t="s">
        <v>458</v>
      </c>
      <c r="D969" s="422" t="s">
        <v>2043</v>
      </c>
      <c r="E969" s="423"/>
      <c r="F969" s="424"/>
      <c r="G969" s="425"/>
      <c r="H969" s="651"/>
      <c r="I969" s="420">
        <v>11.99</v>
      </c>
      <c r="J969" s="420">
        <f t="shared" si="279"/>
        <v>11.99</v>
      </c>
      <c r="K969" s="421">
        <f t="shared" ref="K969:K1032" si="280">IF(ISBLANK(I969),0,ROUND(J969*(1+$F$10)*(1+$F$11*E969),2))</f>
        <v>14.25</v>
      </c>
      <c r="L969" s="647" t="s">
        <v>21</v>
      </c>
      <c r="M969" s="576"/>
      <c r="N969" s="576">
        <f t="shared" si="269"/>
        <v>0</v>
      </c>
      <c r="O969" s="577">
        <f t="shared" si="276"/>
        <v>0</v>
      </c>
      <c r="P969" s="578">
        <f t="shared" si="277"/>
        <v>0</v>
      </c>
      <c r="Q969" s="765"/>
      <c r="R969" s="576">
        <f t="shared" si="273"/>
        <v>0</v>
      </c>
      <c r="S969" s="576">
        <f t="shared" si="273"/>
        <v>0</v>
      </c>
      <c r="T969" s="577">
        <f t="shared" si="274"/>
        <v>0</v>
      </c>
      <c r="U969" s="578">
        <f t="shared" si="275"/>
        <v>0</v>
      </c>
      <c r="V969" s="579"/>
      <c r="W969" s="566"/>
      <c r="X969" s="586" t="str">
        <f t="shared" si="278"/>
        <v/>
      </c>
      <c r="Y969" s="586" t="str">
        <f t="shared" si="271"/>
        <v/>
      </c>
      <c r="Z969" s="586" t="str">
        <f t="shared" si="268"/>
        <v/>
      </c>
    </row>
    <row r="970" spans="1:26" ht="12" hidden="1" thickBot="1" x14ac:dyDescent="0.25">
      <c r="A970" s="567" t="s">
        <v>570</v>
      </c>
      <c r="B970" s="644" t="s">
        <v>570</v>
      </c>
      <c r="C970" s="645" t="s">
        <v>458</v>
      </c>
      <c r="D970" s="422" t="s">
        <v>2044</v>
      </c>
      <c r="E970" s="423"/>
      <c r="F970" s="424"/>
      <c r="G970" s="425"/>
      <c r="H970" s="651"/>
      <c r="I970" s="420">
        <v>4.8</v>
      </c>
      <c r="J970" s="420">
        <f t="shared" si="279"/>
        <v>4.8</v>
      </c>
      <c r="K970" s="421">
        <f t="shared" si="280"/>
        <v>5.7</v>
      </c>
      <c r="L970" s="647" t="s">
        <v>21</v>
      </c>
      <c r="M970" s="576"/>
      <c r="N970" s="576">
        <f t="shared" si="269"/>
        <v>0</v>
      </c>
      <c r="O970" s="577">
        <f t="shared" si="276"/>
        <v>0</v>
      </c>
      <c r="P970" s="578">
        <f t="shared" si="277"/>
        <v>0</v>
      </c>
      <c r="Q970" s="765"/>
      <c r="R970" s="576">
        <f t="shared" si="273"/>
        <v>0</v>
      </c>
      <c r="S970" s="576">
        <f t="shared" si="273"/>
        <v>0</v>
      </c>
      <c r="T970" s="577">
        <f t="shared" si="274"/>
        <v>0</v>
      </c>
      <c r="U970" s="578">
        <f t="shared" si="275"/>
        <v>0</v>
      </c>
      <c r="V970" s="579"/>
      <c r="W970" s="566"/>
      <c r="X970" s="586" t="str">
        <f t="shared" si="278"/>
        <v/>
      </c>
      <c r="Y970" s="586" t="str">
        <f t="shared" si="271"/>
        <v/>
      </c>
      <c r="Z970" s="586" t="str">
        <f t="shared" si="268"/>
        <v/>
      </c>
    </row>
    <row r="971" spans="1:26" ht="23.25" hidden="1" thickBot="1" x14ac:dyDescent="0.25">
      <c r="A971" s="567">
        <v>843</v>
      </c>
      <c r="B971" s="644">
        <v>843</v>
      </c>
      <c r="C971" s="645" t="s">
        <v>458</v>
      </c>
      <c r="D971" s="422" t="s">
        <v>2045</v>
      </c>
      <c r="E971" s="423"/>
      <c r="F971" s="424"/>
      <c r="G971" s="425"/>
      <c r="H971" s="651"/>
      <c r="I971" s="420">
        <v>133.28</v>
      </c>
      <c r="J971" s="420">
        <f t="shared" si="279"/>
        <v>133.28</v>
      </c>
      <c r="K971" s="421">
        <f t="shared" si="280"/>
        <v>158.35</v>
      </c>
      <c r="L971" s="647" t="s">
        <v>21</v>
      </c>
      <c r="M971" s="576"/>
      <c r="N971" s="576">
        <f t="shared" si="269"/>
        <v>0</v>
      </c>
      <c r="O971" s="577">
        <f t="shared" si="276"/>
        <v>0</v>
      </c>
      <c r="P971" s="578">
        <f t="shared" si="277"/>
        <v>0</v>
      </c>
      <c r="Q971" s="765"/>
      <c r="R971" s="576">
        <f t="shared" si="273"/>
        <v>0</v>
      </c>
      <c r="S971" s="576">
        <f t="shared" si="273"/>
        <v>0</v>
      </c>
      <c r="T971" s="577">
        <f t="shared" si="274"/>
        <v>0</v>
      </c>
      <c r="U971" s="578">
        <f t="shared" si="275"/>
        <v>0</v>
      </c>
      <c r="V971" s="579"/>
      <c r="W971" s="566"/>
      <c r="X971" s="586" t="str">
        <f t="shared" si="278"/>
        <v/>
      </c>
      <c r="Y971" s="586" t="str">
        <f t="shared" si="271"/>
        <v/>
      </c>
      <c r="Z971" s="586" t="str">
        <f t="shared" si="268"/>
        <v/>
      </c>
    </row>
    <row r="972" spans="1:26" ht="23.25" hidden="1" thickBot="1" x14ac:dyDescent="0.25">
      <c r="A972" s="567" t="s">
        <v>572</v>
      </c>
      <c r="B972" s="644" t="s">
        <v>572</v>
      </c>
      <c r="C972" s="645" t="s">
        <v>458</v>
      </c>
      <c r="D972" s="422" t="s">
        <v>2046</v>
      </c>
      <c r="E972" s="423"/>
      <c r="F972" s="424"/>
      <c r="G972" s="425"/>
      <c r="H972" s="651"/>
      <c r="I972" s="420">
        <v>53.45</v>
      </c>
      <c r="J972" s="420">
        <f t="shared" si="279"/>
        <v>53.45</v>
      </c>
      <c r="K972" s="421">
        <f t="shared" si="280"/>
        <v>63.5</v>
      </c>
      <c r="L972" s="647" t="s">
        <v>21</v>
      </c>
      <c r="M972" s="576"/>
      <c r="N972" s="576">
        <f t="shared" si="269"/>
        <v>0</v>
      </c>
      <c r="O972" s="577">
        <f t="shared" si="276"/>
        <v>0</v>
      </c>
      <c r="P972" s="578">
        <f t="shared" si="277"/>
        <v>0</v>
      </c>
      <c r="Q972" s="765"/>
      <c r="R972" s="576">
        <f t="shared" si="273"/>
        <v>0</v>
      </c>
      <c r="S972" s="576">
        <f t="shared" si="273"/>
        <v>0</v>
      </c>
      <c r="T972" s="577">
        <f t="shared" si="274"/>
        <v>0</v>
      </c>
      <c r="U972" s="578">
        <f t="shared" si="275"/>
        <v>0</v>
      </c>
      <c r="V972" s="579"/>
      <c r="W972" s="566"/>
      <c r="X972" s="586" t="str">
        <f t="shared" si="278"/>
        <v/>
      </c>
      <c r="Y972" s="586" t="str">
        <f t="shared" si="271"/>
        <v/>
      </c>
      <c r="Z972" s="586" t="str">
        <f t="shared" si="268"/>
        <v/>
      </c>
    </row>
    <row r="973" spans="1:26" ht="12" hidden="1" thickBot="1" x14ac:dyDescent="0.25">
      <c r="A973" s="567">
        <v>844</v>
      </c>
      <c r="B973" s="644">
        <v>844</v>
      </c>
      <c r="C973" s="645" t="s">
        <v>458</v>
      </c>
      <c r="D973" s="422" t="s">
        <v>2047</v>
      </c>
      <c r="E973" s="423"/>
      <c r="F973" s="424"/>
      <c r="G973" s="425"/>
      <c r="H973" s="651"/>
      <c r="I973" s="420">
        <v>45.23</v>
      </c>
      <c r="J973" s="420">
        <f t="shared" ref="J973:J979" si="281">IF(ISBLANK(I973),"",SUM(H973:I973))</f>
        <v>45.23</v>
      </c>
      <c r="K973" s="421">
        <f t="shared" si="280"/>
        <v>53.74</v>
      </c>
      <c r="L973" s="647" t="s">
        <v>21</v>
      </c>
      <c r="M973" s="576"/>
      <c r="N973" s="576">
        <f t="shared" si="269"/>
        <v>0</v>
      </c>
      <c r="O973" s="577">
        <f t="shared" si="276"/>
        <v>0</v>
      </c>
      <c r="P973" s="578">
        <f t="shared" si="277"/>
        <v>0</v>
      </c>
      <c r="Q973" s="765"/>
      <c r="R973" s="576">
        <f t="shared" si="273"/>
        <v>0</v>
      </c>
      <c r="S973" s="576">
        <f t="shared" si="273"/>
        <v>0</v>
      </c>
      <c r="T973" s="577">
        <f t="shared" si="274"/>
        <v>0</v>
      </c>
      <c r="U973" s="578">
        <f t="shared" si="275"/>
        <v>0</v>
      </c>
      <c r="V973" s="579"/>
      <c r="W973" s="566"/>
      <c r="X973" s="586" t="str">
        <f t="shared" si="278"/>
        <v/>
      </c>
      <c r="Y973" s="586" t="str">
        <f t="shared" si="271"/>
        <v/>
      </c>
      <c r="Z973" s="586" t="str">
        <f t="shared" si="268"/>
        <v/>
      </c>
    </row>
    <row r="974" spans="1:26" ht="12" hidden="1" thickBot="1" x14ac:dyDescent="0.25">
      <c r="A974" s="567">
        <v>845</v>
      </c>
      <c r="B974" s="644">
        <v>845</v>
      </c>
      <c r="C974" s="645" t="s">
        <v>458</v>
      </c>
      <c r="D974" s="422" t="s">
        <v>2048</v>
      </c>
      <c r="E974" s="423"/>
      <c r="F974" s="424"/>
      <c r="G974" s="425"/>
      <c r="H974" s="651"/>
      <c r="I974" s="420">
        <v>6.85</v>
      </c>
      <c r="J974" s="420">
        <f t="shared" si="281"/>
        <v>6.85</v>
      </c>
      <c r="K974" s="421">
        <f t="shared" si="280"/>
        <v>8.14</v>
      </c>
      <c r="L974" s="647" t="s">
        <v>21</v>
      </c>
      <c r="M974" s="576"/>
      <c r="N974" s="576">
        <f t="shared" si="269"/>
        <v>0</v>
      </c>
      <c r="O974" s="577">
        <f t="shared" si="276"/>
        <v>0</v>
      </c>
      <c r="P974" s="578">
        <f t="shared" si="277"/>
        <v>0</v>
      </c>
      <c r="Q974" s="765"/>
      <c r="R974" s="576">
        <f t="shared" si="273"/>
        <v>0</v>
      </c>
      <c r="S974" s="576">
        <f t="shared" si="273"/>
        <v>0</v>
      </c>
      <c r="T974" s="577">
        <f t="shared" si="274"/>
        <v>0</v>
      </c>
      <c r="U974" s="578">
        <f t="shared" si="275"/>
        <v>0</v>
      </c>
      <c r="V974" s="579"/>
      <c r="W974" s="566"/>
      <c r="X974" s="586" t="str">
        <f t="shared" si="278"/>
        <v/>
      </c>
      <c r="Y974" s="586" t="str">
        <f t="shared" si="271"/>
        <v/>
      </c>
      <c r="Z974" s="586" t="str">
        <f t="shared" si="268"/>
        <v/>
      </c>
    </row>
    <row r="975" spans="1:26" ht="12" hidden="1" thickBot="1" x14ac:dyDescent="0.25">
      <c r="A975" s="567" t="s">
        <v>571</v>
      </c>
      <c r="B975" s="644" t="s">
        <v>571</v>
      </c>
      <c r="C975" s="645" t="s">
        <v>458</v>
      </c>
      <c r="D975" s="422" t="s">
        <v>2049</v>
      </c>
      <c r="E975" s="423"/>
      <c r="F975" s="424"/>
      <c r="G975" s="425"/>
      <c r="H975" s="651"/>
      <c r="I975" s="420">
        <v>2.74</v>
      </c>
      <c r="J975" s="420">
        <f t="shared" si="281"/>
        <v>2.74</v>
      </c>
      <c r="K975" s="421">
        <f t="shared" si="280"/>
        <v>3.26</v>
      </c>
      <c r="L975" s="647" t="s">
        <v>21</v>
      </c>
      <c r="M975" s="576"/>
      <c r="N975" s="576">
        <f t="shared" si="269"/>
        <v>0</v>
      </c>
      <c r="O975" s="577">
        <f t="shared" si="276"/>
        <v>0</v>
      </c>
      <c r="P975" s="578">
        <f t="shared" si="277"/>
        <v>0</v>
      </c>
      <c r="Q975" s="765"/>
      <c r="R975" s="576">
        <f t="shared" si="273"/>
        <v>0</v>
      </c>
      <c r="S975" s="576">
        <f t="shared" si="273"/>
        <v>0</v>
      </c>
      <c r="T975" s="577">
        <f t="shared" si="274"/>
        <v>0</v>
      </c>
      <c r="U975" s="578">
        <f t="shared" si="275"/>
        <v>0</v>
      </c>
      <c r="V975" s="579"/>
      <c r="W975" s="566"/>
      <c r="X975" s="586" t="str">
        <f t="shared" si="278"/>
        <v/>
      </c>
      <c r="Y975" s="586" t="str">
        <f t="shared" si="271"/>
        <v/>
      </c>
      <c r="Z975" s="586" t="str">
        <f t="shared" si="268"/>
        <v/>
      </c>
    </row>
    <row r="976" spans="1:26" ht="12" hidden="1" thickBot="1" x14ac:dyDescent="0.25">
      <c r="A976" s="567">
        <v>846</v>
      </c>
      <c r="B976" s="644">
        <v>846</v>
      </c>
      <c r="C976" s="645" t="s">
        <v>458</v>
      </c>
      <c r="D976" s="422" t="s">
        <v>2050</v>
      </c>
      <c r="E976" s="423"/>
      <c r="F976" s="424"/>
      <c r="G976" s="425"/>
      <c r="H976" s="651"/>
      <c r="I976" s="420">
        <v>6.85</v>
      </c>
      <c r="J976" s="420">
        <f t="shared" si="281"/>
        <v>6.85</v>
      </c>
      <c r="K976" s="421">
        <f t="shared" si="280"/>
        <v>8.14</v>
      </c>
      <c r="L976" s="647" t="s">
        <v>21</v>
      </c>
      <c r="M976" s="576"/>
      <c r="N976" s="576">
        <f t="shared" si="269"/>
        <v>0</v>
      </c>
      <c r="O976" s="577">
        <f t="shared" si="276"/>
        <v>0</v>
      </c>
      <c r="P976" s="578">
        <f t="shared" si="277"/>
        <v>0</v>
      </c>
      <c r="Q976" s="765"/>
      <c r="R976" s="576">
        <f t="shared" si="273"/>
        <v>0</v>
      </c>
      <c r="S976" s="576">
        <f t="shared" si="273"/>
        <v>0</v>
      </c>
      <c r="T976" s="577">
        <f t="shared" si="274"/>
        <v>0</v>
      </c>
      <c r="U976" s="578">
        <f t="shared" si="275"/>
        <v>0</v>
      </c>
      <c r="V976" s="579"/>
      <c r="W976" s="566"/>
      <c r="X976" s="586" t="str">
        <f t="shared" si="278"/>
        <v/>
      </c>
      <c r="Y976" s="586" t="str">
        <f t="shared" si="271"/>
        <v/>
      </c>
      <c r="Z976" s="586" t="str">
        <f t="shared" si="268"/>
        <v/>
      </c>
    </row>
    <row r="977" spans="1:26" ht="12" hidden="1" thickBot="1" x14ac:dyDescent="0.25">
      <c r="A977" s="567">
        <v>859</v>
      </c>
      <c r="B977" s="644">
        <v>859</v>
      </c>
      <c r="C977" s="645" t="s">
        <v>458</v>
      </c>
      <c r="D977" s="422" t="s">
        <v>2051</v>
      </c>
      <c r="E977" s="423"/>
      <c r="F977" s="424"/>
      <c r="G977" s="425"/>
      <c r="H977" s="651"/>
      <c r="I977" s="420">
        <v>148.69999999999999</v>
      </c>
      <c r="J977" s="420">
        <f t="shared" si="281"/>
        <v>148.69999999999999</v>
      </c>
      <c r="K977" s="421">
        <f t="shared" si="280"/>
        <v>176.67</v>
      </c>
      <c r="L977" s="647" t="s">
        <v>21</v>
      </c>
      <c r="M977" s="576"/>
      <c r="N977" s="576">
        <f t="shared" si="269"/>
        <v>0</v>
      </c>
      <c r="O977" s="577">
        <f t="shared" si="276"/>
        <v>0</v>
      </c>
      <c r="P977" s="578">
        <f t="shared" si="277"/>
        <v>0</v>
      </c>
      <c r="Q977" s="765"/>
      <c r="R977" s="576">
        <f t="shared" si="273"/>
        <v>0</v>
      </c>
      <c r="S977" s="576">
        <f t="shared" si="273"/>
        <v>0</v>
      </c>
      <c r="T977" s="577">
        <f t="shared" si="274"/>
        <v>0</v>
      </c>
      <c r="U977" s="578">
        <f t="shared" si="275"/>
        <v>0</v>
      </c>
      <c r="V977" s="579"/>
      <c r="W977" s="566"/>
      <c r="X977" s="586" t="str">
        <f t="shared" si="278"/>
        <v/>
      </c>
      <c r="Y977" s="586" t="str">
        <f t="shared" si="271"/>
        <v/>
      </c>
      <c r="Z977" s="586" t="str">
        <f t="shared" si="268"/>
        <v/>
      </c>
    </row>
    <row r="978" spans="1:26" ht="12" hidden="1" thickBot="1" x14ac:dyDescent="0.25">
      <c r="A978" s="567" t="s">
        <v>573</v>
      </c>
      <c r="B978" s="644" t="s">
        <v>573</v>
      </c>
      <c r="C978" s="645" t="s">
        <v>458</v>
      </c>
      <c r="D978" s="422" t="s">
        <v>2052</v>
      </c>
      <c r="E978" s="423"/>
      <c r="F978" s="424"/>
      <c r="G978" s="425"/>
      <c r="H978" s="651"/>
      <c r="I978" s="420">
        <v>59.62</v>
      </c>
      <c r="J978" s="420">
        <f t="shared" si="281"/>
        <v>59.62</v>
      </c>
      <c r="K978" s="421">
        <f t="shared" si="280"/>
        <v>70.83</v>
      </c>
      <c r="L978" s="647" t="s">
        <v>21</v>
      </c>
      <c r="M978" s="576"/>
      <c r="N978" s="576">
        <f t="shared" si="269"/>
        <v>0</v>
      </c>
      <c r="O978" s="577">
        <f t="shared" si="276"/>
        <v>0</v>
      </c>
      <c r="P978" s="578">
        <f t="shared" si="277"/>
        <v>0</v>
      </c>
      <c r="Q978" s="765"/>
      <c r="R978" s="576">
        <f t="shared" si="273"/>
        <v>0</v>
      </c>
      <c r="S978" s="576">
        <f t="shared" si="273"/>
        <v>0</v>
      </c>
      <c r="T978" s="577">
        <f t="shared" si="274"/>
        <v>0</v>
      </c>
      <c r="U978" s="578">
        <f t="shared" si="275"/>
        <v>0</v>
      </c>
      <c r="V978" s="579"/>
      <c r="W978" s="566"/>
      <c r="X978" s="586" t="str">
        <f t="shared" si="278"/>
        <v/>
      </c>
      <c r="Y978" s="586" t="str">
        <f t="shared" si="271"/>
        <v/>
      </c>
      <c r="Z978" s="586" t="str">
        <f t="shared" si="268"/>
        <v/>
      </c>
    </row>
    <row r="979" spans="1:26" ht="23.25" hidden="1" thickBot="1" x14ac:dyDescent="0.25">
      <c r="A979" s="567">
        <v>102102</v>
      </c>
      <c r="B979" s="644">
        <v>102102</v>
      </c>
      <c r="C979" s="645" t="s">
        <v>670</v>
      </c>
      <c r="D979" s="422" t="s">
        <v>827</v>
      </c>
      <c r="E979" s="423"/>
      <c r="F979" s="424"/>
      <c r="G979" s="425"/>
      <c r="H979" s="651"/>
      <c r="I979" s="420">
        <v>9891.84</v>
      </c>
      <c r="J979" s="420">
        <f t="shared" si="281"/>
        <v>9891.84</v>
      </c>
      <c r="K979" s="421">
        <f t="shared" si="280"/>
        <v>11752.5</v>
      </c>
      <c r="L979" s="647" t="s">
        <v>2065</v>
      </c>
      <c r="M979" s="576"/>
      <c r="N979" s="576">
        <f t="shared" si="269"/>
        <v>0</v>
      </c>
      <c r="O979" s="577">
        <f t="shared" si="276"/>
        <v>0</v>
      </c>
      <c r="P979" s="578">
        <f t="shared" si="277"/>
        <v>0</v>
      </c>
      <c r="Q979" s="765"/>
      <c r="R979" s="576">
        <f t="shared" si="273"/>
        <v>0</v>
      </c>
      <c r="S979" s="576">
        <f t="shared" si="273"/>
        <v>0</v>
      </c>
      <c r="T979" s="577">
        <f t="shared" si="274"/>
        <v>0</v>
      </c>
      <c r="U979" s="578">
        <f t="shared" si="275"/>
        <v>0</v>
      </c>
      <c r="V979" s="579"/>
      <c r="W979" s="566"/>
      <c r="X979" s="586" t="str">
        <f t="shared" si="278"/>
        <v/>
      </c>
      <c r="Y979" s="586" t="str">
        <f t="shared" si="271"/>
        <v/>
      </c>
      <c r="Z979" s="586" t="str">
        <f t="shared" ref="Z979:Z1042" si="282">IF(W979="X","x",IF(U979&gt;0,"x",""))</f>
        <v/>
      </c>
    </row>
    <row r="980" spans="1:26" ht="23.25" hidden="1" thickBot="1" x14ac:dyDescent="0.25">
      <c r="A980" s="567">
        <v>102103</v>
      </c>
      <c r="B980" s="644">
        <v>102103</v>
      </c>
      <c r="C980" s="645" t="s">
        <v>670</v>
      </c>
      <c r="D980" s="422" t="s">
        <v>828</v>
      </c>
      <c r="E980" s="423"/>
      <c r="F980" s="424"/>
      <c r="G980" s="425"/>
      <c r="H980" s="651"/>
      <c r="I980" s="420">
        <v>11004</v>
      </c>
      <c r="J980" s="420">
        <f t="shared" ref="J980:J1042" si="283">IF(ISBLANK(I980),"",SUM(H980:I980))</f>
        <v>11004</v>
      </c>
      <c r="K980" s="421">
        <f t="shared" si="280"/>
        <v>13073.85</v>
      </c>
      <c r="L980" s="647" t="s">
        <v>2065</v>
      </c>
      <c r="M980" s="576"/>
      <c r="N980" s="576">
        <f t="shared" ref="N980:N1043" si="284">IF(M980=0,0,K980)</f>
        <v>0</v>
      </c>
      <c r="O980" s="577">
        <f t="shared" si="276"/>
        <v>0</v>
      </c>
      <c r="P980" s="578">
        <f t="shared" si="277"/>
        <v>0</v>
      </c>
      <c r="Q980" s="765"/>
      <c r="R980" s="576">
        <f t="shared" si="273"/>
        <v>0</v>
      </c>
      <c r="S980" s="576">
        <f t="shared" si="273"/>
        <v>0</v>
      </c>
      <c r="T980" s="577">
        <f t="shared" si="274"/>
        <v>0</v>
      </c>
      <c r="U980" s="578">
        <f t="shared" si="275"/>
        <v>0</v>
      </c>
      <c r="V980" s="579"/>
      <c r="W980" s="566"/>
      <c r="X980" s="586" t="str">
        <f t="shared" si="278"/>
        <v/>
      </c>
      <c r="Y980" s="586" t="str">
        <f t="shared" si="271"/>
        <v/>
      </c>
      <c r="Z980" s="586" t="str">
        <f t="shared" si="282"/>
        <v/>
      </c>
    </row>
    <row r="981" spans="1:26" ht="23.25" hidden="1" thickBot="1" x14ac:dyDescent="0.25">
      <c r="A981" s="567">
        <v>102104</v>
      </c>
      <c r="B981" s="644">
        <v>102104</v>
      </c>
      <c r="C981" s="645" t="s">
        <v>670</v>
      </c>
      <c r="D981" s="422" t="s">
        <v>829</v>
      </c>
      <c r="E981" s="423"/>
      <c r="F981" s="424"/>
      <c r="G981" s="425"/>
      <c r="H981" s="651"/>
      <c r="I981" s="420">
        <v>14103.55</v>
      </c>
      <c r="J981" s="420">
        <f t="shared" si="283"/>
        <v>14103.55</v>
      </c>
      <c r="K981" s="421">
        <f t="shared" si="280"/>
        <v>16756.43</v>
      </c>
      <c r="L981" s="647" t="s">
        <v>2065</v>
      </c>
      <c r="M981" s="576"/>
      <c r="N981" s="576">
        <f t="shared" si="284"/>
        <v>0</v>
      </c>
      <c r="O981" s="577">
        <f t="shared" si="276"/>
        <v>0</v>
      </c>
      <c r="P981" s="578">
        <f t="shared" si="277"/>
        <v>0</v>
      </c>
      <c r="Q981" s="765"/>
      <c r="R981" s="576">
        <f t="shared" si="273"/>
        <v>0</v>
      </c>
      <c r="S981" s="576">
        <f t="shared" si="273"/>
        <v>0</v>
      </c>
      <c r="T981" s="577">
        <f t="shared" si="274"/>
        <v>0</v>
      </c>
      <c r="U981" s="578">
        <f t="shared" si="275"/>
        <v>0</v>
      </c>
      <c r="V981" s="579"/>
      <c r="W981" s="566"/>
      <c r="X981" s="586" t="str">
        <f t="shared" si="278"/>
        <v/>
      </c>
      <c r="Y981" s="586" t="str">
        <f t="shared" si="271"/>
        <v/>
      </c>
      <c r="Z981" s="586" t="str">
        <f t="shared" si="282"/>
        <v/>
      </c>
    </row>
    <row r="982" spans="1:26" ht="23.25" hidden="1" thickBot="1" x14ac:dyDescent="0.25">
      <c r="A982" s="567">
        <v>102105</v>
      </c>
      <c r="B982" s="644">
        <v>102105</v>
      </c>
      <c r="C982" s="645" t="s">
        <v>670</v>
      </c>
      <c r="D982" s="422" t="s">
        <v>830</v>
      </c>
      <c r="E982" s="423"/>
      <c r="F982" s="424"/>
      <c r="G982" s="425"/>
      <c r="H982" s="651"/>
      <c r="I982" s="420">
        <v>17324</v>
      </c>
      <c r="J982" s="420">
        <f t="shared" si="283"/>
        <v>17324</v>
      </c>
      <c r="K982" s="421">
        <f t="shared" si="280"/>
        <v>20582.64</v>
      </c>
      <c r="L982" s="647" t="s">
        <v>2065</v>
      </c>
      <c r="M982" s="576"/>
      <c r="N982" s="576">
        <f t="shared" si="284"/>
        <v>0</v>
      </c>
      <c r="O982" s="577">
        <f t="shared" si="276"/>
        <v>0</v>
      </c>
      <c r="P982" s="578">
        <f t="shared" si="277"/>
        <v>0</v>
      </c>
      <c r="Q982" s="765"/>
      <c r="R982" s="576">
        <f t="shared" si="273"/>
        <v>0</v>
      </c>
      <c r="S982" s="576">
        <f t="shared" si="273"/>
        <v>0</v>
      </c>
      <c r="T982" s="577">
        <f t="shared" si="274"/>
        <v>0</v>
      </c>
      <c r="U982" s="578">
        <f t="shared" si="275"/>
        <v>0</v>
      </c>
      <c r="V982" s="579"/>
      <c r="W982" s="566"/>
      <c r="X982" s="586" t="str">
        <f t="shared" si="278"/>
        <v/>
      </c>
      <c r="Y982" s="586" t="str">
        <f t="shared" si="271"/>
        <v/>
      </c>
      <c r="Z982" s="586" t="str">
        <f t="shared" si="282"/>
        <v/>
      </c>
    </row>
    <row r="983" spans="1:26" ht="23.25" hidden="1" thickBot="1" x14ac:dyDescent="0.25">
      <c r="A983" s="567">
        <v>102106</v>
      </c>
      <c r="B983" s="644">
        <v>102106</v>
      </c>
      <c r="C983" s="645" t="s">
        <v>670</v>
      </c>
      <c r="D983" s="422" t="s">
        <v>831</v>
      </c>
      <c r="E983" s="423"/>
      <c r="F983" s="424"/>
      <c r="G983" s="425"/>
      <c r="H983" s="651"/>
      <c r="I983" s="420">
        <v>21717.759999999998</v>
      </c>
      <c r="J983" s="420">
        <f t="shared" si="283"/>
        <v>21717.759999999998</v>
      </c>
      <c r="K983" s="421">
        <f t="shared" si="280"/>
        <v>25802.87</v>
      </c>
      <c r="L983" s="647" t="s">
        <v>2065</v>
      </c>
      <c r="M983" s="576"/>
      <c r="N983" s="576">
        <f t="shared" si="284"/>
        <v>0</v>
      </c>
      <c r="O983" s="577">
        <f t="shared" si="276"/>
        <v>0</v>
      </c>
      <c r="P983" s="578">
        <f t="shared" si="277"/>
        <v>0</v>
      </c>
      <c r="Q983" s="765"/>
      <c r="R983" s="576">
        <f t="shared" si="273"/>
        <v>0</v>
      </c>
      <c r="S983" s="576">
        <f t="shared" si="273"/>
        <v>0</v>
      </c>
      <c r="T983" s="577">
        <f t="shared" si="274"/>
        <v>0</v>
      </c>
      <c r="U983" s="578">
        <f t="shared" si="275"/>
        <v>0</v>
      </c>
      <c r="V983" s="579"/>
      <c r="W983" s="566"/>
      <c r="X983" s="586" t="str">
        <f t="shared" si="278"/>
        <v/>
      </c>
      <c r="Y983" s="586" t="str">
        <f t="shared" si="271"/>
        <v/>
      </c>
      <c r="Z983" s="586" t="str">
        <f t="shared" si="282"/>
        <v/>
      </c>
    </row>
    <row r="984" spans="1:26" ht="23.25" hidden="1" thickBot="1" x14ac:dyDescent="0.25">
      <c r="A984" s="567">
        <v>102107</v>
      </c>
      <c r="B984" s="644">
        <v>102107</v>
      </c>
      <c r="C984" s="645" t="s">
        <v>670</v>
      </c>
      <c r="D984" s="422" t="s">
        <v>832</v>
      </c>
      <c r="E984" s="423"/>
      <c r="F984" s="424"/>
      <c r="G984" s="425"/>
      <c r="H984" s="651"/>
      <c r="I984" s="420">
        <v>30286.99</v>
      </c>
      <c r="J984" s="420">
        <f t="shared" si="283"/>
        <v>30286.99</v>
      </c>
      <c r="K984" s="421">
        <f t="shared" si="280"/>
        <v>35983.97</v>
      </c>
      <c r="L984" s="647" t="s">
        <v>2065</v>
      </c>
      <c r="M984" s="576"/>
      <c r="N984" s="576">
        <f t="shared" si="284"/>
        <v>0</v>
      </c>
      <c r="O984" s="577">
        <f t="shared" si="276"/>
        <v>0</v>
      </c>
      <c r="P984" s="578">
        <f t="shared" si="277"/>
        <v>0</v>
      </c>
      <c r="Q984" s="765"/>
      <c r="R984" s="576">
        <f t="shared" si="273"/>
        <v>0</v>
      </c>
      <c r="S984" s="576">
        <f t="shared" si="273"/>
        <v>0</v>
      </c>
      <c r="T984" s="577">
        <f t="shared" si="274"/>
        <v>0</v>
      </c>
      <c r="U984" s="578">
        <f t="shared" si="275"/>
        <v>0</v>
      </c>
      <c r="V984" s="579"/>
      <c r="W984" s="566"/>
      <c r="X984" s="586" t="str">
        <f t="shared" si="278"/>
        <v/>
      </c>
      <c r="Y984" s="586" t="str">
        <f t="shared" si="271"/>
        <v/>
      </c>
      <c r="Z984" s="586" t="str">
        <f t="shared" si="282"/>
        <v/>
      </c>
    </row>
    <row r="985" spans="1:26" ht="23.25" hidden="1" thickBot="1" x14ac:dyDescent="0.25">
      <c r="A985" s="567">
        <v>102108</v>
      </c>
      <c r="B985" s="644">
        <v>102108</v>
      </c>
      <c r="C985" s="645" t="s">
        <v>670</v>
      </c>
      <c r="D985" s="422" t="s">
        <v>833</v>
      </c>
      <c r="E985" s="423"/>
      <c r="F985" s="424"/>
      <c r="G985" s="425"/>
      <c r="H985" s="651"/>
      <c r="I985" s="420">
        <v>35262.17</v>
      </c>
      <c r="J985" s="420">
        <f t="shared" si="283"/>
        <v>35262.17</v>
      </c>
      <c r="K985" s="421">
        <f t="shared" si="280"/>
        <v>41894.980000000003</v>
      </c>
      <c r="L985" s="647" t="s">
        <v>2065</v>
      </c>
      <c r="M985" s="576"/>
      <c r="N985" s="576">
        <f t="shared" si="284"/>
        <v>0</v>
      </c>
      <c r="O985" s="577">
        <f t="shared" si="276"/>
        <v>0</v>
      </c>
      <c r="P985" s="578">
        <f t="shared" si="277"/>
        <v>0</v>
      </c>
      <c r="Q985" s="765"/>
      <c r="R985" s="576">
        <f t="shared" si="273"/>
        <v>0</v>
      </c>
      <c r="S985" s="576">
        <f t="shared" si="273"/>
        <v>0</v>
      </c>
      <c r="T985" s="577">
        <f t="shared" si="274"/>
        <v>0</v>
      </c>
      <c r="U985" s="578">
        <f t="shared" si="275"/>
        <v>0</v>
      </c>
      <c r="V985" s="579"/>
      <c r="W985" s="566"/>
      <c r="X985" s="586" t="str">
        <f t="shared" si="278"/>
        <v/>
      </c>
      <c r="Y985" s="586" t="str">
        <f t="shared" si="271"/>
        <v/>
      </c>
      <c r="Z985" s="586" t="str">
        <f t="shared" si="282"/>
        <v/>
      </c>
    </row>
    <row r="986" spans="1:26" ht="23.25" hidden="1" thickBot="1" x14ac:dyDescent="0.25">
      <c r="A986" s="567">
        <v>102109</v>
      </c>
      <c r="B986" s="644">
        <v>102109</v>
      </c>
      <c r="C986" s="645" t="s">
        <v>670</v>
      </c>
      <c r="D986" s="422" t="s">
        <v>834</v>
      </c>
      <c r="E986" s="423"/>
      <c r="F986" s="424"/>
      <c r="G986" s="425"/>
      <c r="H986" s="651"/>
      <c r="I986" s="420">
        <v>46.36</v>
      </c>
      <c r="J986" s="420">
        <f t="shared" si="283"/>
        <v>46.36</v>
      </c>
      <c r="K986" s="421">
        <f t="shared" si="280"/>
        <v>55.08</v>
      </c>
      <c r="L986" s="647" t="s">
        <v>2065</v>
      </c>
      <c r="M986" s="576"/>
      <c r="N986" s="576">
        <f t="shared" si="284"/>
        <v>0</v>
      </c>
      <c r="O986" s="577">
        <f t="shared" si="276"/>
        <v>0</v>
      </c>
      <c r="P986" s="578">
        <f t="shared" si="277"/>
        <v>0</v>
      </c>
      <c r="Q986" s="765"/>
      <c r="R986" s="576">
        <f t="shared" si="273"/>
        <v>0</v>
      </c>
      <c r="S986" s="576">
        <f t="shared" si="273"/>
        <v>0</v>
      </c>
      <c r="T986" s="577">
        <f t="shared" si="274"/>
        <v>0</v>
      </c>
      <c r="U986" s="578">
        <f t="shared" si="275"/>
        <v>0</v>
      </c>
      <c r="V986" s="579"/>
      <c r="W986" s="566"/>
      <c r="X986" s="586" t="str">
        <f t="shared" si="278"/>
        <v/>
      </c>
      <c r="Y986" s="586" t="str">
        <f t="shared" si="271"/>
        <v/>
      </c>
      <c r="Z986" s="586" t="str">
        <f t="shared" si="282"/>
        <v/>
      </c>
    </row>
    <row r="987" spans="1:26" ht="23.25" hidden="1" thickBot="1" x14ac:dyDescent="0.25">
      <c r="A987" s="567">
        <v>102110</v>
      </c>
      <c r="B987" s="644">
        <v>102110</v>
      </c>
      <c r="C987" s="645" t="s">
        <v>670</v>
      </c>
      <c r="D987" s="422" t="s">
        <v>835</v>
      </c>
      <c r="E987" s="423"/>
      <c r="F987" s="424"/>
      <c r="G987" s="425"/>
      <c r="H987" s="651"/>
      <c r="I987" s="420">
        <v>124.4</v>
      </c>
      <c r="J987" s="420">
        <f t="shared" si="283"/>
        <v>124.4</v>
      </c>
      <c r="K987" s="421">
        <f t="shared" si="280"/>
        <v>147.80000000000001</v>
      </c>
      <c r="L987" s="647" t="s">
        <v>2065</v>
      </c>
      <c r="M987" s="576"/>
      <c r="N987" s="576">
        <f t="shared" si="284"/>
        <v>0</v>
      </c>
      <c r="O987" s="577">
        <f t="shared" si="276"/>
        <v>0</v>
      </c>
      <c r="P987" s="578">
        <f t="shared" si="277"/>
        <v>0</v>
      </c>
      <c r="Q987" s="765"/>
      <c r="R987" s="576">
        <f t="shared" si="273"/>
        <v>0</v>
      </c>
      <c r="S987" s="576">
        <f t="shared" si="273"/>
        <v>0</v>
      </c>
      <c r="T987" s="577">
        <f t="shared" si="274"/>
        <v>0</v>
      </c>
      <c r="U987" s="578">
        <f t="shared" si="275"/>
        <v>0</v>
      </c>
      <c r="V987" s="579"/>
      <c r="W987" s="566"/>
      <c r="X987" s="586" t="str">
        <f t="shared" si="278"/>
        <v/>
      </c>
      <c r="Y987" s="586" t="str">
        <f t="shared" si="271"/>
        <v/>
      </c>
      <c r="Z987" s="586" t="str">
        <f t="shared" si="282"/>
        <v/>
      </c>
    </row>
    <row r="988" spans="1:26" ht="23.25" hidden="1" thickBot="1" x14ac:dyDescent="0.25">
      <c r="A988" s="567">
        <v>100619</v>
      </c>
      <c r="B988" s="644">
        <v>100619</v>
      </c>
      <c r="C988" s="645" t="s">
        <v>670</v>
      </c>
      <c r="D988" s="422" t="s">
        <v>836</v>
      </c>
      <c r="E988" s="423"/>
      <c r="F988" s="424"/>
      <c r="G988" s="425"/>
      <c r="H988" s="651"/>
      <c r="I988" s="420">
        <v>636.61</v>
      </c>
      <c r="J988" s="420">
        <f t="shared" si="283"/>
        <v>636.61</v>
      </c>
      <c r="K988" s="421">
        <f t="shared" si="280"/>
        <v>756.36</v>
      </c>
      <c r="L988" s="647" t="s">
        <v>2065</v>
      </c>
      <c r="M988" s="576"/>
      <c r="N988" s="576">
        <f t="shared" si="284"/>
        <v>0</v>
      </c>
      <c r="O988" s="577">
        <f t="shared" si="276"/>
        <v>0</v>
      </c>
      <c r="P988" s="578">
        <f t="shared" si="277"/>
        <v>0</v>
      </c>
      <c r="Q988" s="765"/>
      <c r="R988" s="576">
        <f t="shared" si="273"/>
        <v>0</v>
      </c>
      <c r="S988" s="576">
        <f t="shared" si="273"/>
        <v>0</v>
      </c>
      <c r="T988" s="577">
        <f t="shared" si="274"/>
        <v>0</v>
      </c>
      <c r="U988" s="578">
        <f t="shared" si="275"/>
        <v>0</v>
      </c>
      <c r="V988" s="579"/>
      <c r="W988" s="566"/>
      <c r="X988" s="586" t="str">
        <f t="shared" si="278"/>
        <v/>
      </c>
      <c r="Y988" s="586" t="str">
        <f t="shared" si="271"/>
        <v/>
      </c>
      <c r="Z988" s="586" t="str">
        <f t="shared" si="282"/>
        <v/>
      </c>
    </row>
    <row r="989" spans="1:26" ht="23.25" hidden="1" thickBot="1" x14ac:dyDescent="0.25">
      <c r="A989" s="567">
        <v>100620</v>
      </c>
      <c r="B989" s="644">
        <v>100620</v>
      </c>
      <c r="C989" s="645" t="s">
        <v>670</v>
      </c>
      <c r="D989" s="422" t="s">
        <v>837</v>
      </c>
      <c r="E989" s="423"/>
      <c r="F989" s="424"/>
      <c r="G989" s="425"/>
      <c r="H989" s="651"/>
      <c r="I989" s="420">
        <v>3872.57</v>
      </c>
      <c r="J989" s="420">
        <f t="shared" si="283"/>
        <v>3872.57</v>
      </c>
      <c r="K989" s="421">
        <f t="shared" si="280"/>
        <v>4601</v>
      </c>
      <c r="L989" s="647" t="s">
        <v>2065</v>
      </c>
      <c r="M989" s="576"/>
      <c r="N989" s="576">
        <f t="shared" si="284"/>
        <v>0</v>
      </c>
      <c r="O989" s="577">
        <f t="shared" si="276"/>
        <v>0</v>
      </c>
      <c r="P989" s="578">
        <f t="shared" si="277"/>
        <v>0</v>
      </c>
      <c r="Q989" s="765"/>
      <c r="R989" s="576">
        <f t="shared" si="273"/>
        <v>0</v>
      </c>
      <c r="S989" s="576">
        <f t="shared" si="273"/>
        <v>0</v>
      </c>
      <c r="T989" s="577">
        <f t="shared" si="274"/>
        <v>0</v>
      </c>
      <c r="U989" s="578">
        <f t="shared" si="275"/>
        <v>0</v>
      </c>
      <c r="V989" s="579"/>
      <c r="W989" s="566"/>
      <c r="X989" s="586" t="str">
        <f t="shared" si="278"/>
        <v/>
      </c>
      <c r="Y989" s="586" t="str">
        <f t="shared" si="271"/>
        <v/>
      </c>
      <c r="Z989" s="586" t="str">
        <f t="shared" si="282"/>
        <v/>
      </c>
    </row>
    <row r="990" spans="1:26" ht="23.25" hidden="1" thickBot="1" x14ac:dyDescent="0.25">
      <c r="A990" s="567">
        <v>100621</v>
      </c>
      <c r="B990" s="644">
        <v>100621</v>
      </c>
      <c r="C990" s="645" t="s">
        <v>670</v>
      </c>
      <c r="D990" s="422" t="s">
        <v>838</v>
      </c>
      <c r="E990" s="423"/>
      <c r="F990" s="424"/>
      <c r="G990" s="425"/>
      <c r="H990" s="651"/>
      <c r="I990" s="420">
        <v>4438.99</v>
      </c>
      <c r="J990" s="420">
        <f t="shared" si="283"/>
        <v>4438.99</v>
      </c>
      <c r="K990" s="421">
        <f t="shared" si="280"/>
        <v>5273.96</v>
      </c>
      <c r="L990" s="647" t="s">
        <v>2065</v>
      </c>
      <c r="M990" s="576"/>
      <c r="N990" s="576">
        <f t="shared" si="284"/>
        <v>0</v>
      </c>
      <c r="O990" s="577">
        <f t="shared" si="276"/>
        <v>0</v>
      </c>
      <c r="P990" s="578">
        <f t="shared" si="277"/>
        <v>0</v>
      </c>
      <c r="Q990" s="765"/>
      <c r="R990" s="576">
        <f t="shared" si="273"/>
        <v>0</v>
      </c>
      <c r="S990" s="576">
        <f t="shared" si="273"/>
        <v>0</v>
      </c>
      <c r="T990" s="577">
        <f t="shared" si="274"/>
        <v>0</v>
      </c>
      <c r="U990" s="578">
        <f t="shared" si="275"/>
        <v>0</v>
      </c>
      <c r="V990" s="579"/>
      <c r="W990" s="566"/>
      <c r="X990" s="586" t="str">
        <f t="shared" si="278"/>
        <v/>
      </c>
      <c r="Y990" s="586" t="str">
        <f t="shared" si="271"/>
        <v/>
      </c>
      <c r="Z990" s="586" t="str">
        <f t="shared" si="282"/>
        <v/>
      </c>
    </row>
    <row r="991" spans="1:26" ht="23.25" hidden="1" thickBot="1" x14ac:dyDescent="0.25">
      <c r="A991" s="567">
        <v>100622</v>
      </c>
      <c r="B991" s="644">
        <v>100622</v>
      </c>
      <c r="C991" s="645" t="s">
        <v>670</v>
      </c>
      <c r="D991" s="422" t="s">
        <v>839</v>
      </c>
      <c r="E991" s="423"/>
      <c r="F991" s="424"/>
      <c r="G991" s="425"/>
      <c r="H991" s="651"/>
      <c r="I991" s="420">
        <v>2912.84</v>
      </c>
      <c r="J991" s="420">
        <f t="shared" si="283"/>
        <v>2912.84</v>
      </c>
      <c r="K991" s="421">
        <f t="shared" si="280"/>
        <v>3460.75</v>
      </c>
      <c r="L991" s="647" t="s">
        <v>2065</v>
      </c>
      <c r="M991" s="576"/>
      <c r="N991" s="576">
        <f t="shared" si="284"/>
        <v>0</v>
      </c>
      <c r="O991" s="577">
        <f t="shared" si="276"/>
        <v>0</v>
      </c>
      <c r="P991" s="578">
        <f t="shared" si="277"/>
        <v>0</v>
      </c>
      <c r="Q991" s="765"/>
      <c r="R991" s="576">
        <f t="shared" si="273"/>
        <v>0</v>
      </c>
      <c r="S991" s="576">
        <f t="shared" si="273"/>
        <v>0</v>
      </c>
      <c r="T991" s="577">
        <f t="shared" si="274"/>
        <v>0</v>
      </c>
      <c r="U991" s="578">
        <f t="shared" si="275"/>
        <v>0</v>
      </c>
      <c r="V991" s="579"/>
      <c r="W991" s="566"/>
      <c r="X991" s="586" t="str">
        <f t="shared" si="278"/>
        <v/>
      </c>
      <c r="Y991" s="586" t="str">
        <f t="shared" si="271"/>
        <v/>
      </c>
      <c r="Z991" s="586" t="str">
        <f t="shared" si="282"/>
        <v/>
      </c>
    </row>
    <row r="992" spans="1:26" ht="23.25" hidden="1" thickBot="1" x14ac:dyDescent="0.25">
      <c r="A992" s="567">
        <v>100623</v>
      </c>
      <c r="B992" s="644">
        <v>100623</v>
      </c>
      <c r="C992" s="645" t="s">
        <v>670</v>
      </c>
      <c r="D992" s="422" t="s">
        <v>840</v>
      </c>
      <c r="E992" s="423"/>
      <c r="F992" s="424"/>
      <c r="G992" s="425"/>
      <c r="H992" s="651"/>
      <c r="I992" s="420">
        <v>3153.04</v>
      </c>
      <c r="J992" s="420">
        <f t="shared" si="283"/>
        <v>3153.04</v>
      </c>
      <c r="K992" s="421">
        <f t="shared" si="280"/>
        <v>3746.13</v>
      </c>
      <c r="L992" s="647" t="s">
        <v>2065</v>
      </c>
      <c r="M992" s="576"/>
      <c r="N992" s="576">
        <f t="shared" si="284"/>
        <v>0</v>
      </c>
      <c r="O992" s="577">
        <f t="shared" si="276"/>
        <v>0</v>
      </c>
      <c r="P992" s="578">
        <f t="shared" si="277"/>
        <v>0</v>
      </c>
      <c r="Q992" s="765"/>
      <c r="R992" s="576">
        <f t="shared" si="273"/>
        <v>0</v>
      </c>
      <c r="S992" s="576">
        <f t="shared" si="273"/>
        <v>0</v>
      </c>
      <c r="T992" s="577">
        <f t="shared" si="274"/>
        <v>0</v>
      </c>
      <c r="U992" s="578">
        <f t="shared" si="275"/>
        <v>0</v>
      </c>
      <c r="V992" s="579"/>
      <c r="W992" s="566"/>
      <c r="X992" s="586" t="str">
        <f t="shared" si="278"/>
        <v/>
      </c>
      <c r="Y992" s="586" t="str">
        <f t="shared" si="271"/>
        <v/>
      </c>
      <c r="Z992" s="586" t="str">
        <f t="shared" si="282"/>
        <v/>
      </c>
    </row>
    <row r="993" spans="1:26" ht="34.5" hidden="1" thickBot="1" x14ac:dyDescent="0.25">
      <c r="A993" s="567">
        <v>100578</v>
      </c>
      <c r="B993" s="644">
        <v>100578</v>
      </c>
      <c r="C993" s="645" t="s">
        <v>670</v>
      </c>
      <c r="D993" s="422" t="s">
        <v>841</v>
      </c>
      <c r="E993" s="423"/>
      <c r="F993" s="424"/>
      <c r="G993" s="425"/>
      <c r="H993" s="651"/>
      <c r="I993" s="420">
        <v>503.67</v>
      </c>
      <c r="J993" s="420">
        <f t="shared" si="283"/>
        <v>503.67</v>
      </c>
      <c r="K993" s="421">
        <f t="shared" si="280"/>
        <v>598.41</v>
      </c>
      <c r="L993" s="647" t="s">
        <v>2065</v>
      </c>
      <c r="M993" s="576"/>
      <c r="N993" s="576">
        <f t="shared" si="284"/>
        <v>0</v>
      </c>
      <c r="O993" s="577">
        <f t="shared" si="276"/>
        <v>0</v>
      </c>
      <c r="P993" s="578">
        <f t="shared" si="277"/>
        <v>0</v>
      </c>
      <c r="Q993" s="765"/>
      <c r="R993" s="576">
        <f t="shared" si="273"/>
        <v>0</v>
      </c>
      <c r="S993" s="576">
        <f t="shared" si="273"/>
        <v>0</v>
      </c>
      <c r="T993" s="577">
        <f t="shared" si="274"/>
        <v>0</v>
      </c>
      <c r="U993" s="578">
        <f t="shared" si="275"/>
        <v>0</v>
      </c>
      <c r="V993" s="579"/>
      <c r="W993" s="566"/>
      <c r="X993" s="586" t="str">
        <f t="shared" si="278"/>
        <v/>
      </c>
      <c r="Y993" s="586" t="str">
        <f t="shared" si="271"/>
        <v/>
      </c>
      <c r="Z993" s="586" t="str">
        <f t="shared" si="282"/>
        <v/>
      </c>
    </row>
    <row r="994" spans="1:26" ht="34.5" hidden="1" thickBot="1" x14ac:dyDescent="0.25">
      <c r="A994" s="567">
        <v>100579</v>
      </c>
      <c r="B994" s="644">
        <v>100579</v>
      </c>
      <c r="C994" s="645" t="s">
        <v>670</v>
      </c>
      <c r="D994" s="422" t="s">
        <v>842</v>
      </c>
      <c r="E994" s="423"/>
      <c r="F994" s="424"/>
      <c r="G994" s="425"/>
      <c r="H994" s="651"/>
      <c r="I994" s="420">
        <v>552.51</v>
      </c>
      <c r="J994" s="420">
        <f t="shared" si="283"/>
        <v>552.51</v>
      </c>
      <c r="K994" s="421">
        <f t="shared" si="280"/>
        <v>656.44</v>
      </c>
      <c r="L994" s="647" t="s">
        <v>2065</v>
      </c>
      <c r="M994" s="576"/>
      <c r="N994" s="576">
        <f t="shared" si="284"/>
        <v>0</v>
      </c>
      <c r="O994" s="577">
        <f t="shared" si="276"/>
        <v>0</v>
      </c>
      <c r="P994" s="578">
        <f t="shared" si="277"/>
        <v>0</v>
      </c>
      <c r="Q994" s="765"/>
      <c r="R994" s="576">
        <f t="shared" si="273"/>
        <v>0</v>
      </c>
      <c r="S994" s="576">
        <f t="shared" si="273"/>
        <v>0</v>
      </c>
      <c r="T994" s="577">
        <f t="shared" si="274"/>
        <v>0</v>
      </c>
      <c r="U994" s="578">
        <f t="shared" si="275"/>
        <v>0</v>
      </c>
      <c r="V994" s="579"/>
      <c r="W994" s="566"/>
      <c r="X994" s="586" t="str">
        <f t="shared" si="278"/>
        <v/>
      </c>
      <c r="Y994" s="586" t="str">
        <f t="shared" si="271"/>
        <v/>
      </c>
      <c r="Z994" s="586" t="str">
        <f t="shared" si="282"/>
        <v/>
      </c>
    </row>
    <row r="995" spans="1:26" ht="23.25" hidden="1" thickBot="1" x14ac:dyDescent="0.25">
      <c r="A995" s="567">
        <v>100580</v>
      </c>
      <c r="B995" s="644">
        <v>100580</v>
      </c>
      <c r="C995" s="645" t="s">
        <v>670</v>
      </c>
      <c r="D995" s="422" t="s">
        <v>843</v>
      </c>
      <c r="E995" s="423"/>
      <c r="F995" s="424"/>
      <c r="G995" s="425"/>
      <c r="H995" s="651"/>
      <c r="I995" s="420">
        <v>602.62</v>
      </c>
      <c r="J995" s="420">
        <f t="shared" si="283"/>
        <v>602.62</v>
      </c>
      <c r="K995" s="421">
        <f t="shared" si="280"/>
        <v>715.97</v>
      </c>
      <c r="L995" s="647" t="s">
        <v>2065</v>
      </c>
      <c r="M995" s="576"/>
      <c r="N995" s="576">
        <f t="shared" si="284"/>
        <v>0</v>
      </c>
      <c r="O995" s="577">
        <f t="shared" si="276"/>
        <v>0</v>
      </c>
      <c r="P995" s="578">
        <f t="shared" si="277"/>
        <v>0</v>
      </c>
      <c r="Q995" s="765"/>
      <c r="R995" s="576">
        <f t="shared" si="273"/>
        <v>0</v>
      </c>
      <c r="S995" s="576">
        <f t="shared" si="273"/>
        <v>0</v>
      </c>
      <c r="T995" s="577">
        <f t="shared" si="274"/>
        <v>0</v>
      </c>
      <c r="U995" s="578">
        <f t="shared" si="275"/>
        <v>0</v>
      </c>
      <c r="V995" s="579"/>
      <c r="W995" s="566"/>
      <c r="X995" s="586" t="str">
        <f t="shared" si="278"/>
        <v/>
      </c>
      <c r="Y995" s="586" t="str">
        <f t="shared" ref="Y995:Y1058" si="285">IF(W995="X","x",IF(W995="y","x",IF(W995="xx","x",IF(U995&gt;0,"x",""))))</f>
        <v/>
      </c>
      <c r="Z995" s="586" t="str">
        <f t="shared" si="282"/>
        <v/>
      </c>
    </row>
    <row r="996" spans="1:26" ht="34.5" hidden="1" thickBot="1" x14ac:dyDescent="0.25">
      <c r="A996" s="567">
        <v>100581</v>
      </c>
      <c r="B996" s="644">
        <v>100581</v>
      </c>
      <c r="C996" s="645" t="s">
        <v>670</v>
      </c>
      <c r="D996" s="422" t="s">
        <v>844</v>
      </c>
      <c r="E996" s="423"/>
      <c r="F996" s="424"/>
      <c r="G996" s="425"/>
      <c r="H996" s="651"/>
      <c r="I996" s="420">
        <v>576.72</v>
      </c>
      <c r="J996" s="420">
        <f t="shared" si="283"/>
        <v>576.72</v>
      </c>
      <c r="K996" s="421">
        <f t="shared" si="280"/>
        <v>685.2</v>
      </c>
      <c r="L996" s="647" t="s">
        <v>2065</v>
      </c>
      <c r="M996" s="576"/>
      <c r="N996" s="576">
        <f t="shared" si="284"/>
        <v>0</v>
      </c>
      <c r="O996" s="577">
        <f t="shared" si="276"/>
        <v>0</v>
      </c>
      <c r="P996" s="578">
        <f t="shared" si="277"/>
        <v>0</v>
      </c>
      <c r="Q996" s="765"/>
      <c r="R996" s="576">
        <f t="shared" si="273"/>
        <v>0</v>
      </c>
      <c r="S996" s="576">
        <f t="shared" si="273"/>
        <v>0</v>
      </c>
      <c r="T996" s="577">
        <f t="shared" si="274"/>
        <v>0</v>
      </c>
      <c r="U996" s="578">
        <f t="shared" si="275"/>
        <v>0</v>
      </c>
      <c r="V996" s="579"/>
      <c r="W996" s="566"/>
      <c r="X996" s="586" t="str">
        <f t="shared" si="278"/>
        <v/>
      </c>
      <c r="Y996" s="586" t="str">
        <f t="shared" si="285"/>
        <v/>
      </c>
      <c r="Z996" s="586" t="str">
        <f t="shared" si="282"/>
        <v/>
      </c>
    </row>
    <row r="997" spans="1:26" ht="34.5" hidden="1" thickBot="1" x14ac:dyDescent="0.25">
      <c r="A997" s="567">
        <v>100582</v>
      </c>
      <c r="B997" s="644">
        <v>100582</v>
      </c>
      <c r="C997" s="645" t="s">
        <v>670</v>
      </c>
      <c r="D997" s="422" t="s">
        <v>845</v>
      </c>
      <c r="E997" s="423"/>
      <c r="F997" s="424"/>
      <c r="G997" s="425"/>
      <c r="H997" s="651"/>
      <c r="I997" s="420">
        <v>666.99</v>
      </c>
      <c r="J997" s="420">
        <f t="shared" si="283"/>
        <v>666.99</v>
      </c>
      <c r="K997" s="421">
        <f t="shared" si="280"/>
        <v>792.45</v>
      </c>
      <c r="L997" s="647" t="s">
        <v>2065</v>
      </c>
      <c r="M997" s="576"/>
      <c r="N997" s="576">
        <f t="shared" si="284"/>
        <v>0</v>
      </c>
      <c r="O997" s="577">
        <f t="shared" si="276"/>
        <v>0</v>
      </c>
      <c r="P997" s="578">
        <f t="shared" si="277"/>
        <v>0</v>
      </c>
      <c r="Q997" s="765"/>
      <c r="R997" s="576">
        <f t="shared" si="273"/>
        <v>0</v>
      </c>
      <c r="S997" s="576">
        <f t="shared" si="273"/>
        <v>0</v>
      </c>
      <c r="T997" s="577">
        <f t="shared" si="274"/>
        <v>0</v>
      </c>
      <c r="U997" s="578">
        <f t="shared" si="275"/>
        <v>0</v>
      </c>
      <c r="V997" s="579"/>
      <c r="W997" s="566"/>
      <c r="X997" s="586" t="str">
        <f t="shared" si="278"/>
        <v/>
      </c>
      <c r="Y997" s="586" t="str">
        <f t="shared" si="285"/>
        <v/>
      </c>
      <c r="Z997" s="586" t="str">
        <f t="shared" si="282"/>
        <v/>
      </c>
    </row>
    <row r="998" spans="1:26" ht="34.5" hidden="1" thickBot="1" x14ac:dyDescent="0.25">
      <c r="A998" s="567">
        <v>100583</v>
      </c>
      <c r="B998" s="644">
        <v>100583</v>
      </c>
      <c r="C998" s="645" t="s">
        <v>670</v>
      </c>
      <c r="D998" s="422" t="s">
        <v>846</v>
      </c>
      <c r="E998" s="423"/>
      <c r="F998" s="424"/>
      <c r="G998" s="425"/>
      <c r="H998" s="651"/>
      <c r="I998" s="420">
        <v>602.57000000000005</v>
      </c>
      <c r="J998" s="420">
        <f t="shared" si="283"/>
        <v>602.57000000000005</v>
      </c>
      <c r="K998" s="421">
        <f t="shared" si="280"/>
        <v>715.91</v>
      </c>
      <c r="L998" s="647" t="s">
        <v>2065</v>
      </c>
      <c r="M998" s="576"/>
      <c r="N998" s="576">
        <f t="shared" si="284"/>
        <v>0</v>
      </c>
      <c r="O998" s="577">
        <f t="shared" si="276"/>
        <v>0</v>
      </c>
      <c r="P998" s="578">
        <f t="shared" si="277"/>
        <v>0</v>
      </c>
      <c r="Q998" s="765"/>
      <c r="R998" s="576">
        <f t="shared" si="273"/>
        <v>0</v>
      </c>
      <c r="S998" s="576">
        <f t="shared" si="273"/>
        <v>0</v>
      </c>
      <c r="T998" s="577">
        <f t="shared" si="274"/>
        <v>0</v>
      </c>
      <c r="U998" s="578">
        <f t="shared" si="275"/>
        <v>0</v>
      </c>
      <c r="V998" s="579"/>
      <c r="W998" s="566"/>
      <c r="X998" s="586" t="str">
        <f t="shared" si="278"/>
        <v/>
      </c>
      <c r="Y998" s="586" t="str">
        <f t="shared" si="285"/>
        <v/>
      </c>
      <c r="Z998" s="586" t="str">
        <f t="shared" si="282"/>
        <v/>
      </c>
    </row>
    <row r="999" spans="1:26" ht="23.25" hidden="1" thickBot="1" x14ac:dyDescent="0.25">
      <c r="A999" s="567">
        <v>100584</v>
      </c>
      <c r="B999" s="644">
        <v>100584</v>
      </c>
      <c r="C999" s="645" t="s">
        <v>670</v>
      </c>
      <c r="D999" s="422" t="s">
        <v>847</v>
      </c>
      <c r="E999" s="423"/>
      <c r="F999" s="424"/>
      <c r="G999" s="425"/>
      <c r="H999" s="651"/>
      <c r="I999" s="420">
        <v>656.87</v>
      </c>
      <c r="J999" s="420">
        <f t="shared" si="283"/>
        <v>656.87</v>
      </c>
      <c r="K999" s="421">
        <f t="shared" si="280"/>
        <v>780.43</v>
      </c>
      <c r="L999" s="647" t="s">
        <v>2065</v>
      </c>
      <c r="M999" s="576"/>
      <c r="N999" s="576">
        <f t="shared" si="284"/>
        <v>0</v>
      </c>
      <c r="O999" s="577">
        <f t="shared" si="276"/>
        <v>0</v>
      </c>
      <c r="P999" s="578">
        <f t="shared" si="277"/>
        <v>0</v>
      </c>
      <c r="Q999" s="765"/>
      <c r="R999" s="576">
        <f t="shared" si="273"/>
        <v>0</v>
      </c>
      <c r="S999" s="576">
        <f t="shared" si="273"/>
        <v>0</v>
      </c>
      <c r="T999" s="577">
        <f t="shared" si="274"/>
        <v>0</v>
      </c>
      <c r="U999" s="578">
        <f t="shared" si="275"/>
        <v>0</v>
      </c>
      <c r="V999" s="579"/>
      <c r="W999" s="566"/>
      <c r="X999" s="586" t="str">
        <f t="shared" si="278"/>
        <v/>
      </c>
      <c r="Y999" s="586" t="str">
        <f t="shared" si="285"/>
        <v/>
      </c>
      <c r="Z999" s="586" t="str">
        <f t="shared" si="282"/>
        <v/>
      </c>
    </row>
    <row r="1000" spans="1:26" ht="34.5" hidden="1" thickBot="1" x14ac:dyDescent="0.25">
      <c r="A1000" s="567">
        <v>100585</v>
      </c>
      <c r="B1000" s="644">
        <v>100585</v>
      </c>
      <c r="C1000" s="645" t="s">
        <v>670</v>
      </c>
      <c r="D1000" s="422" t="s">
        <v>848</v>
      </c>
      <c r="E1000" s="423"/>
      <c r="F1000" s="424"/>
      <c r="G1000" s="425"/>
      <c r="H1000" s="651"/>
      <c r="I1000" s="420">
        <v>652.87</v>
      </c>
      <c r="J1000" s="420">
        <f t="shared" si="283"/>
        <v>652.87</v>
      </c>
      <c r="K1000" s="421">
        <f t="shared" si="280"/>
        <v>775.67</v>
      </c>
      <c r="L1000" s="647" t="s">
        <v>2065</v>
      </c>
      <c r="M1000" s="576"/>
      <c r="N1000" s="576">
        <f t="shared" si="284"/>
        <v>0</v>
      </c>
      <c r="O1000" s="577">
        <f t="shared" si="276"/>
        <v>0</v>
      </c>
      <c r="P1000" s="578">
        <f t="shared" si="277"/>
        <v>0</v>
      </c>
      <c r="Q1000" s="765"/>
      <c r="R1000" s="576">
        <f t="shared" si="273"/>
        <v>0</v>
      </c>
      <c r="S1000" s="576">
        <f t="shared" si="273"/>
        <v>0</v>
      </c>
      <c r="T1000" s="577">
        <f t="shared" si="274"/>
        <v>0</v>
      </c>
      <c r="U1000" s="578">
        <f t="shared" si="275"/>
        <v>0</v>
      </c>
      <c r="V1000" s="579"/>
      <c r="W1000" s="566"/>
      <c r="X1000" s="586" t="str">
        <f t="shared" si="278"/>
        <v/>
      </c>
      <c r="Y1000" s="586" t="str">
        <f t="shared" si="285"/>
        <v/>
      </c>
      <c r="Z1000" s="586" t="str">
        <f t="shared" si="282"/>
        <v/>
      </c>
    </row>
    <row r="1001" spans="1:26" ht="23.25" hidden="1" thickBot="1" x14ac:dyDescent="0.25">
      <c r="A1001" s="567">
        <v>100586</v>
      </c>
      <c r="B1001" s="644">
        <v>100586</v>
      </c>
      <c r="C1001" s="645" t="s">
        <v>670</v>
      </c>
      <c r="D1001" s="422" t="s">
        <v>849</v>
      </c>
      <c r="E1001" s="423"/>
      <c r="F1001" s="424"/>
      <c r="G1001" s="425"/>
      <c r="H1001" s="651"/>
      <c r="I1001" s="420">
        <v>739.43</v>
      </c>
      <c r="J1001" s="420">
        <f t="shared" si="283"/>
        <v>739.43</v>
      </c>
      <c r="K1001" s="421">
        <f t="shared" si="280"/>
        <v>878.52</v>
      </c>
      <c r="L1001" s="647" t="s">
        <v>2065</v>
      </c>
      <c r="M1001" s="576"/>
      <c r="N1001" s="576">
        <f t="shared" si="284"/>
        <v>0</v>
      </c>
      <c r="O1001" s="577">
        <f t="shared" si="276"/>
        <v>0</v>
      </c>
      <c r="P1001" s="578">
        <f t="shared" si="277"/>
        <v>0</v>
      </c>
      <c r="Q1001" s="765"/>
      <c r="R1001" s="576">
        <f t="shared" si="273"/>
        <v>0</v>
      </c>
      <c r="S1001" s="576">
        <f t="shared" si="273"/>
        <v>0</v>
      </c>
      <c r="T1001" s="577">
        <f t="shared" si="274"/>
        <v>0</v>
      </c>
      <c r="U1001" s="578">
        <f t="shared" si="275"/>
        <v>0</v>
      </c>
      <c r="V1001" s="579"/>
      <c r="W1001" s="566"/>
      <c r="X1001" s="586" t="str">
        <f t="shared" si="278"/>
        <v/>
      </c>
      <c r="Y1001" s="586" t="str">
        <f t="shared" si="285"/>
        <v/>
      </c>
      <c r="Z1001" s="586" t="str">
        <f t="shared" si="282"/>
        <v/>
      </c>
    </row>
    <row r="1002" spans="1:26" ht="34.5" hidden="1" thickBot="1" x14ac:dyDescent="0.25">
      <c r="A1002" s="567">
        <v>100587</v>
      </c>
      <c r="B1002" s="644">
        <v>100587</v>
      </c>
      <c r="C1002" s="645" t="s">
        <v>670</v>
      </c>
      <c r="D1002" s="422" t="s">
        <v>850</v>
      </c>
      <c r="E1002" s="423"/>
      <c r="F1002" s="424"/>
      <c r="G1002" s="425"/>
      <c r="H1002" s="651"/>
      <c r="I1002" s="420">
        <v>704.86</v>
      </c>
      <c r="J1002" s="420">
        <f t="shared" si="283"/>
        <v>704.86</v>
      </c>
      <c r="K1002" s="421">
        <f t="shared" si="280"/>
        <v>837.44</v>
      </c>
      <c r="L1002" s="647" t="s">
        <v>2065</v>
      </c>
      <c r="M1002" s="576"/>
      <c r="N1002" s="576">
        <f t="shared" si="284"/>
        <v>0</v>
      </c>
      <c r="O1002" s="577">
        <f t="shared" si="276"/>
        <v>0</v>
      </c>
      <c r="P1002" s="578">
        <f t="shared" si="277"/>
        <v>0</v>
      </c>
      <c r="Q1002" s="765"/>
      <c r="R1002" s="576">
        <f t="shared" si="273"/>
        <v>0</v>
      </c>
      <c r="S1002" s="576">
        <f t="shared" si="273"/>
        <v>0</v>
      </c>
      <c r="T1002" s="577">
        <f t="shared" si="274"/>
        <v>0</v>
      </c>
      <c r="U1002" s="578">
        <f t="shared" si="275"/>
        <v>0</v>
      </c>
      <c r="V1002" s="579"/>
      <c r="W1002" s="566"/>
      <c r="X1002" s="586" t="str">
        <f t="shared" si="278"/>
        <v/>
      </c>
      <c r="Y1002" s="586" t="str">
        <f t="shared" si="285"/>
        <v/>
      </c>
      <c r="Z1002" s="586" t="str">
        <f t="shared" si="282"/>
        <v/>
      </c>
    </row>
    <row r="1003" spans="1:26" ht="23.25" hidden="1" thickBot="1" x14ac:dyDescent="0.25">
      <c r="A1003" s="567">
        <v>100588</v>
      </c>
      <c r="B1003" s="644">
        <v>100588</v>
      </c>
      <c r="C1003" s="645" t="s">
        <v>670</v>
      </c>
      <c r="D1003" s="422" t="s">
        <v>851</v>
      </c>
      <c r="E1003" s="423"/>
      <c r="F1003" s="424"/>
      <c r="G1003" s="425"/>
      <c r="H1003" s="651"/>
      <c r="I1003" s="420">
        <v>772.15</v>
      </c>
      <c r="J1003" s="420">
        <f t="shared" si="283"/>
        <v>772.15</v>
      </c>
      <c r="K1003" s="421">
        <f t="shared" si="280"/>
        <v>917.39</v>
      </c>
      <c r="L1003" s="647" t="s">
        <v>2065</v>
      </c>
      <c r="M1003" s="576"/>
      <c r="N1003" s="576">
        <f t="shared" si="284"/>
        <v>0</v>
      </c>
      <c r="O1003" s="577">
        <f t="shared" si="276"/>
        <v>0</v>
      </c>
      <c r="P1003" s="578">
        <f t="shared" si="277"/>
        <v>0</v>
      </c>
      <c r="Q1003" s="765"/>
      <c r="R1003" s="576">
        <f t="shared" si="273"/>
        <v>0</v>
      </c>
      <c r="S1003" s="576">
        <f t="shared" si="273"/>
        <v>0</v>
      </c>
      <c r="T1003" s="577">
        <f t="shared" si="274"/>
        <v>0</v>
      </c>
      <c r="U1003" s="578">
        <f t="shared" si="275"/>
        <v>0</v>
      </c>
      <c r="V1003" s="579"/>
      <c r="W1003" s="566"/>
      <c r="X1003" s="586" t="str">
        <f t="shared" si="278"/>
        <v/>
      </c>
      <c r="Y1003" s="586" t="str">
        <f t="shared" si="285"/>
        <v/>
      </c>
      <c r="Z1003" s="586" t="str">
        <f t="shared" si="282"/>
        <v/>
      </c>
    </row>
    <row r="1004" spans="1:26" ht="34.5" hidden="1" thickBot="1" x14ac:dyDescent="0.25">
      <c r="A1004" s="567">
        <v>100589</v>
      </c>
      <c r="B1004" s="644">
        <v>100589</v>
      </c>
      <c r="C1004" s="645" t="s">
        <v>670</v>
      </c>
      <c r="D1004" s="422" t="s">
        <v>852</v>
      </c>
      <c r="E1004" s="423"/>
      <c r="F1004" s="424"/>
      <c r="G1004" s="425"/>
      <c r="H1004" s="651"/>
      <c r="I1004" s="420">
        <v>777.45</v>
      </c>
      <c r="J1004" s="420">
        <f t="shared" si="283"/>
        <v>777.45</v>
      </c>
      <c r="K1004" s="421">
        <f t="shared" si="280"/>
        <v>923.69</v>
      </c>
      <c r="L1004" s="647" t="s">
        <v>2065</v>
      </c>
      <c r="M1004" s="576"/>
      <c r="N1004" s="576">
        <f t="shared" si="284"/>
        <v>0</v>
      </c>
      <c r="O1004" s="577">
        <f t="shared" si="276"/>
        <v>0</v>
      </c>
      <c r="P1004" s="578">
        <f t="shared" si="277"/>
        <v>0</v>
      </c>
      <c r="Q1004" s="765"/>
      <c r="R1004" s="576">
        <f t="shared" si="273"/>
        <v>0</v>
      </c>
      <c r="S1004" s="576">
        <f t="shared" si="273"/>
        <v>0</v>
      </c>
      <c r="T1004" s="577">
        <f t="shared" si="274"/>
        <v>0</v>
      </c>
      <c r="U1004" s="578">
        <f t="shared" si="275"/>
        <v>0</v>
      </c>
      <c r="V1004" s="579"/>
      <c r="W1004" s="566"/>
      <c r="X1004" s="586" t="str">
        <f t="shared" si="278"/>
        <v/>
      </c>
      <c r="Y1004" s="586" t="str">
        <f t="shared" si="285"/>
        <v/>
      </c>
      <c r="Z1004" s="586" t="str">
        <f t="shared" si="282"/>
        <v/>
      </c>
    </row>
    <row r="1005" spans="1:26" ht="34.5" hidden="1" thickBot="1" x14ac:dyDescent="0.25">
      <c r="A1005" s="567">
        <v>100590</v>
      </c>
      <c r="B1005" s="644">
        <v>100590</v>
      </c>
      <c r="C1005" s="645" t="s">
        <v>670</v>
      </c>
      <c r="D1005" s="422" t="s">
        <v>853</v>
      </c>
      <c r="E1005" s="423"/>
      <c r="F1005" s="424"/>
      <c r="G1005" s="425"/>
      <c r="H1005" s="651"/>
      <c r="I1005" s="420">
        <v>843.89</v>
      </c>
      <c r="J1005" s="420">
        <f t="shared" si="283"/>
        <v>843.89</v>
      </c>
      <c r="K1005" s="421">
        <f t="shared" si="280"/>
        <v>1002.63</v>
      </c>
      <c r="L1005" s="647" t="s">
        <v>2065</v>
      </c>
      <c r="M1005" s="576"/>
      <c r="N1005" s="576">
        <f t="shared" si="284"/>
        <v>0</v>
      </c>
      <c r="O1005" s="577">
        <f t="shared" si="276"/>
        <v>0</v>
      </c>
      <c r="P1005" s="578">
        <f t="shared" si="277"/>
        <v>0</v>
      </c>
      <c r="Q1005" s="765"/>
      <c r="R1005" s="576">
        <f t="shared" si="273"/>
        <v>0</v>
      </c>
      <c r="S1005" s="576">
        <f t="shared" si="273"/>
        <v>0</v>
      </c>
      <c r="T1005" s="577">
        <f t="shared" si="274"/>
        <v>0</v>
      </c>
      <c r="U1005" s="578">
        <f t="shared" si="275"/>
        <v>0</v>
      </c>
      <c r="V1005" s="579"/>
      <c r="W1005" s="566"/>
      <c r="X1005" s="586" t="str">
        <f t="shared" si="278"/>
        <v/>
      </c>
      <c r="Y1005" s="586" t="str">
        <f t="shared" si="285"/>
        <v/>
      </c>
      <c r="Z1005" s="586" t="str">
        <f t="shared" si="282"/>
        <v/>
      </c>
    </row>
    <row r="1006" spans="1:26" ht="34.5" hidden="1" thickBot="1" x14ac:dyDescent="0.25">
      <c r="A1006" s="567">
        <v>100591</v>
      </c>
      <c r="B1006" s="644">
        <v>100591</v>
      </c>
      <c r="C1006" s="645" t="s">
        <v>670</v>
      </c>
      <c r="D1006" s="422" t="s">
        <v>854</v>
      </c>
      <c r="E1006" s="423"/>
      <c r="F1006" s="424"/>
      <c r="G1006" s="425"/>
      <c r="H1006" s="651"/>
      <c r="I1006" s="420">
        <v>774.55</v>
      </c>
      <c r="J1006" s="420">
        <f t="shared" si="283"/>
        <v>774.55</v>
      </c>
      <c r="K1006" s="421">
        <f t="shared" si="280"/>
        <v>920.24</v>
      </c>
      <c r="L1006" s="647" t="s">
        <v>2065</v>
      </c>
      <c r="M1006" s="576"/>
      <c r="N1006" s="576">
        <f t="shared" si="284"/>
        <v>0</v>
      </c>
      <c r="O1006" s="577">
        <f t="shared" si="276"/>
        <v>0</v>
      </c>
      <c r="P1006" s="578">
        <f t="shared" si="277"/>
        <v>0</v>
      </c>
      <c r="Q1006" s="765"/>
      <c r="R1006" s="576">
        <f t="shared" si="273"/>
        <v>0</v>
      </c>
      <c r="S1006" s="576">
        <f t="shared" si="273"/>
        <v>0</v>
      </c>
      <c r="T1006" s="577">
        <f t="shared" si="274"/>
        <v>0</v>
      </c>
      <c r="U1006" s="578">
        <f t="shared" si="275"/>
        <v>0</v>
      </c>
      <c r="V1006" s="579"/>
      <c r="W1006" s="566"/>
      <c r="X1006" s="586" t="str">
        <f t="shared" si="278"/>
        <v/>
      </c>
      <c r="Y1006" s="586" t="str">
        <f t="shared" si="285"/>
        <v/>
      </c>
      <c r="Z1006" s="586" t="str">
        <f t="shared" si="282"/>
        <v/>
      </c>
    </row>
    <row r="1007" spans="1:26" ht="23.25" hidden="1" thickBot="1" x14ac:dyDescent="0.25">
      <c r="A1007" s="567">
        <v>100592</v>
      </c>
      <c r="B1007" s="644">
        <v>100592</v>
      </c>
      <c r="C1007" s="645" t="s">
        <v>670</v>
      </c>
      <c r="D1007" s="422" t="s">
        <v>855</v>
      </c>
      <c r="E1007" s="423"/>
      <c r="F1007" s="424"/>
      <c r="G1007" s="425"/>
      <c r="H1007" s="651"/>
      <c r="I1007" s="420">
        <v>829.61</v>
      </c>
      <c r="J1007" s="420">
        <f t="shared" si="283"/>
        <v>829.61</v>
      </c>
      <c r="K1007" s="421">
        <f t="shared" si="280"/>
        <v>985.66</v>
      </c>
      <c r="L1007" s="647" t="s">
        <v>2065</v>
      </c>
      <c r="M1007" s="576"/>
      <c r="N1007" s="576">
        <f t="shared" si="284"/>
        <v>0</v>
      </c>
      <c r="O1007" s="577">
        <f t="shared" si="276"/>
        <v>0</v>
      </c>
      <c r="P1007" s="578">
        <f t="shared" si="277"/>
        <v>0</v>
      </c>
      <c r="Q1007" s="765"/>
      <c r="R1007" s="576">
        <f t="shared" si="273"/>
        <v>0</v>
      </c>
      <c r="S1007" s="576">
        <f t="shared" si="273"/>
        <v>0</v>
      </c>
      <c r="T1007" s="577">
        <f t="shared" si="274"/>
        <v>0</v>
      </c>
      <c r="U1007" s="578">
        <f t="shared" si="275"/>
        <v>0</v>
      </c>
      <c r="V1007" s="579"/>
      <c r="W1007" s="566"/>
      <c r="X1007" s="586" t="str">
        <f t="shared" si="278"/>
        <v/>
      </c>
      <c r="Y1007" s="586" t="str">
        <f t="shared" si="285"/>
        <v/>
      </c>
      <c r="Z1007" s="586" t="str">
        <f t="shared" si="282"/>
        <v/>
      </c>
    </row>
    <row r="1008" spans="1:26" ht="34.5" hidden="1" thickBot="1" x14ac:dyDescent="0.25">
      <c r="A1008" s="567">
        <v>100593</v>
      </c>
      <c r="B1008" s="644">
        <v>100593</v>
      </c>
      <c r="C1008" s="645" t="s">
        <v>670</v>
      </c>
      <c r="D1008" s="422" t="s">
        <v>856</v>
      </c>
      <c r="E1008" s="423"/>
      <c r="F1008" s="424"/>
      <c r="G1008" s="425"/>
      <c r="H1008" s="651"/>
      <c r="I1008" s="420">
        <v>829.57</v>
      </c>
      <c r="J1008" s="420">
        <f t="shared" si="283"/>
        <v>829.57</v>
      </c>
      <c r="K1008" s="421">
        <f t="shared" si="280"/>
        <v>985.61</v>
      </c>
      <c r="L1008" s="647" t="s">
        <v>2065</v>
      </c>
      <c r="M1008" s="576"/>
      <c r="N1008" s="576">
        <f t="shared" si="284"/>
        <v>0</v>
      </c>
      <c r="O1008" s="577">
        <f t="shared" si="276"/>
        <v>0</v>
      </c>
      <c r="P1008" s="578">
        <f t="shared" si="277"/>
        <v>0</v>
      </c>
      <c r="Q1008" s="765"/>
      <c r="R1008" s="576">
        <f t="shared" si="273"/>
        <v>0</v>
      </c>
      <c r="S1008" s="576">
        <f t="shared" si="273"/>
        <v>0</v>
      </c>
      <c r="T1008" s="577">
        <f t="shared" si="274"/>
        <v>0</v>
      </c>
      <c r="U1008" s="578">
        <f t="shared" si="275"/>
        <v>0</v>
      </c>
      <c r="V1008" s="579"/>
      <c r="W1008" s="566"/>
      <c r="X1008" s="586" t="str">
        <f t="shared" si="278"/>
        <v/>
      </c>
      <c r="Y1008" s="586" t="str">
        <f t="shared" si="285"/>
        <v/>
      </c>
      <c r="Z1008" s="586" t="str">
        <f t="shared" si="282"/>
        <v/>
      </c>
    </row>
    <row r="1009" spans="1:26" ht="23.25" hidden="1" thickBot="1" x14ac:dyDescent="0.25">
      <c r="A1009" s="567">
        <v>100594</v>
      </c>
      <c r="B1009" s="644">
        <v>100594</v>
      </c>
      <c r="C1009" s="645" t="s">
        <v>670</v>
      </c>
      <c r="D1009" s="422" t="s">
        <v>857</v>
      </c>
      <c r="E1009" s="423"/>
      <c r="F1009" s="424"/>
      <c r="G1009" s="425"/>
      <c r="H1009" s="651"/>
      <c r="I1009" s="420">
        <v>922.98</v>
      </c>
      <c r="J1009" s="420">
        <f t="shared" si="283"/>
        <v>922.98</v>
      </c>
      <c r="K1009" s="421">
        <f t="shared" si="280"/>
        <v>1096.5899999999999</v>
      </c>
      <c r="L1009" s="647" t="s">
        <v>2065</v>
      </c>
      <c r="M1009" s="576"/>
      <c r="N1009" s="576">
        <f t="shared" si="284"/>
        <v>0</v>
      </c>
      <c r="O1009" s="577">
        <f t="shared" si="276"/>
        <v>0</v>
      </c>
      <c r="P1009" s="578">
        <f t="shared" si="277"/>
        <v>0</v>
      </c>
      <c r="Q1009" s="765"/>
      <c r="R1009" s="576">
        <f t="shared" si="273"/>
        <v>0</v>
      </c>
      <c r="S1009" s="576">
        <f t="shared" si="273"/>
        <v>0</v>
      </c>
      <c r="T1009" s="577">
        <f t="shared" si="274"/>
        <v>0</v>
      </c>
      <c r="U1009" s="578">
        <f t="shared" si="275"/>
        <v>0</v>
      </c>
      <c r="V1009" s="579"/>
      <c r="W1009" s="566"/>
      <c r="X1009" s="586" t="str">
        <f t="shared" si="278"/>
        <v/>
      </c>
      <c r="Y1009" s="586" t="str">
        <f t="shared" si="285"/>
        <v/>
      </c>
      <c r="Z1009" s="586" t="str">
        <f t="shared" si="282"/>
        <v/>
      </c>
    </row>
    <row r="1010" spans="1:26" ht="34.5" hidden="1" thickBot="1" x14ac:dyDescent="0.25">
      <c r="A1010" s="567">
        <v>100595</v>
      </c>
      <c r="B1010" s="644">
        <v>100595</v>
      </c>
      <c r="C1010" s="645" t="s">
        <v>670</v>
      </c>
      <c r="D1010" s="422" t="s">
        <v>858</v>
      </c>
      <c r="E1010" s="423"/>
      <c r="F1010" s="424"/>
      <c r="G1010" s="425"/>
      <c r="H1010" s="651"/>
      <c r="I1010" s="420">
        <v>994.6</v>
      </c>
      <c r="J1010" s="420">
        <f t="shared" si="283"/>
        <v>994.6</v>
      </c>
      <c r="K1010" s="421">
        <f t="shared" si="280"/>
        <v>1181.68</v>
      </c>
      <c r="L1010" s="647" t="s">
        <v>2065</v>
      </c>
      <c r="M1010" s="576"/>
      <c r="N1010" s="576">
        <f t="shared" si="284"/>
        <v>0</v>
      </c>
      <c r="O1010" s="577">
        <f t="shared" si="276"/>
        <v>0</v>
      </c>
      <c r="P1010" s="578">
        <f t="shared" si="277"/>
        <v>0</v>
      </c>
      <c r="Q1010" s="765"/>
      <c r="R1010" s="576">
        <f t="shared" si="273"/>
        <v>0</v>
      </c>
      <c r="S1010" s="576">
        <f t="shared" si="273"/>
        <v>0</v>
      </c>
      <c r="T1010" s="577">
        <f t="shared" si="274"/>
        <v>0</v>
      </c>
      <c r="U1010" s="578">
        <f t="shared" si="275"/>
        <v>0</v>
      </c>
      <c r="V1010" s="579"/>
      <c r="W1010" s="566"/>
      <c r="X1010" s="586" t="str">
        <f t="shared" si="278"/>
        <v/>
      </c>
      <c r="Y1010" s="586" t="str">
        <f t="shared" si="285"/>
        <v/>
      </c>
      <c r="Z1010" s="586" t="str">
        <f t="shared" si="282"/>
        <v/>
      </c>
    </row>
    <row r="1011" spans="1:26" ht="23.25" hidden="1" thickBot="1" x14ac:dyDescent="0.25">
      <c r="A1011" s="567">
        <v>100596</v>
      </c>
      <c r="B1011" s="644">
        <v>100596</v>
      </c>
      <c r="C1011" s="645" t="s">
        <v>670</v>
      </c>
      <c r="D1011" s="422" t="s">
        <v>859</v>
      </c>
      <c r="E1011" s="423"/>
      <c r="F1011" s="424"/>
      <c r="G1011" s="425"/>
      <c r="H1011" s="651"/>
      <c r="I1011" s="420">
        <v>1120.68</v>
      </c>
      <c r="J1011" s="420">
        <f t="shared" si="283"/>
        <v>1120.68</v>
      </c>
      <c r="K1011" s="421">
        <f t="shared" si="280"/>
        <v>1331.48</v>
      </c>
      <c r="L1011" s="647" t="s">
        <v>2065</v>
      </c>
      <c r="M1011" s="576"/>
      <c r="N1011" s="576">
        <f t="shared" si="284"/>
        <v>0</v>
      </c>
      <c r="O1011" s="577">
        <f t="shared" si="276"/>
        <v>0</v>
      </c>
      <c r="P1011" s="578">
        <f t="shared" si="277"/>
        <v>0</v>
      </c>
      <c r="Q1011" s="765"/>
      <c r="R1011" s="576">
        <f t="shared" si="273"/>
        <v>0</v>
      </c>
      <c r="S1011" s="576">
        <f t="shared" si="273"/>
        <v>0</v>
      </c>
      <c r="T1011" s="577">
        <f t="shared" si="274"/>
        <v>0</v>
      </c>
      <c r="U1011" s="578">
        <f t="shared" si="275"/>
        <v>0</v>
      </c>
      <c r="V1011" s="579"/>
      <c r="W1011" s="566"/>
      <c r="X1011" s="586" t="str">
        <f t="shared" si="278"/>
        <v/>
      </c>
      <c r="Y1011" s="586" t="str">
        <f t="shared" si="285"/>
        <v/>
      </c>
      <c r="Z1011" s="586" t="str">
        <f t="shared" si="282"/>
        <v/>
      </c>
    </row>
    <row r="1012" spans="1:26" ht="34.5" hidden="1" thickBot="1" x14ac:dyDescent="0.25">
      <c r="A1012" s="567">
        <v>100597</v>
      </c>
      <c r="B1012" s="644">
        <v>100597</v>
      </c>
      <c r="C1012" s="645" t="s">
        <v>670</v>
      </c>
      <c r="D1012" s="422" t="s">
        <v>860</v>
      </c>
      <c r="E1012" s="423"/>
      <c r="F1012" s="424"/>
      <c r="G1012" s="425"/>
      <c r="H1012" s="651"/>
      <c r="I1012" s="420">
        <v>1147.5</v>
      </c>
      <c r="J1012" s="420">
        <f t="shared" si="283"/>
        <v>1147.5</v>
      </c>
      <c r="K1012" s="421">
        <f t="shared" si="280"/>
        <v>1363.34</v>
      </c>
      <c r="L1012" s="647" t="s">
        <v>2065</v>
      </c>
      <c r="M1012" s="576"/>
      <c r="N1012" s="576">
        <f t="shared" si="284"/>
        <v>0</v>
      </c>
      <c r="O1012" s="577">
        <f t="shared" si="276"/>
        <v>0</v>
      </c>
      <c r="P1012" s="578">
        <f t="shared" si="277"/>
        <v>0</v>
      </c>
      <c r="Q1012" s="765"/>
      <c r="R1012" s="576">
        <f t="shared" ref="R1012:S1075" si="286">M1012</f>
        <v>0</v>
      </c>
      <c r="S1012" s="576">
        <f t="shared" si="286"/>
        <v>0</v>
      </c>
      <c r="T1012" s="577">
        <f t="shared" ref="T1012:T1075" si="287">IF(ISBLANK(R1012),0,ROUND(K1012*R1012,2))</f>
        <v>0</v>
      </c>
      <c r="U1012" s="578">
        <f t="shared" ref="U1012:U1075" si="288">IF(ISBLANK(R1012),0,ROUND(R1012*S1012,2))</f>
        <v>0</v>
      </c>
      <c r="V1012" s="579"/>
      <c r="W1012" s="566"/>
      <c r="X1012" s="586" t="str">
        <f t="shared" si="278"/>
        <v/>
      </c>
      <c r="Y1012" s="586" t="str">
        <f t="shared" si="285"/>
        <v/>
      </c>
      <c r="Z1012" s="586" t="str">
        <f t="shared" si="282"/>
        <v/>
      </c>
    </row>
    <row r="1013" spans="1:26" ht="23.25" hidden="1" thickBot="1" x14ac:dyDescent="0.25">
      <c r="A1013" s="567">
        <v>100598</v>
      </c>
      <c r="B1013" s="644">
        <v>100598</v>
      </c>
      <c r="C1013" s="645" t="s">
        <v>670</v>
      </c>
      <c r="D1013" s="422" t="s">
        <v>861</v>
      </c>
      <c r="E1013" s="423"/>
      <c r="F1013" s="424"/>
      <c r="G1013" s="425"/>
      <c r="H1013" s="651"/>
      <c r="I1013" s="420">
        <v>1251.46</v>
      </c>
      <c r="J1013" s="420">
        <f t="shared" si="283"/>
        <v>1251.46</v>
      </c>
      <c r="K1013" s="421">
        <f t="shared" si="280"/>
        <v>1486.86</v>
      </c>
      <c r="L1013" s="647" t="s">
        <v>2065</v>
      </c>
      <c r="M1013" s="576"/>
      <c r="N1013" s="576">
        <f t="shared" si="284"/>
        <v>0</v>
      </c>
      <c r="O1013" s="577">
        <f t="shared" ref="O1013:O1076" si="289">IF(ISBLANK(M1013),0,ROUND(K1013*M1013,2))</f>
        <v>0</v>
      </c>
      <c r="P1013" s="578">
        <f t="shared" ref="P1013:P1076" si="290">IF(ISBLANK(N1013),0,ROUND(M1013*N1013,2))</f>
        <v>0</v>
      </c>
      <c r="Q1013" s="765"/>
      <c r="R1013" s="576">
        <f t="shared" si="286"/>
        <v>0</v>
      </c>
      <c r="S1013" s="576">
        <f t="shared" si="286"/>
        <v>0</v>
      </c>
      <c r="T1013" s="577">
        <f t="shared" si="287"/>
        <v>0</v>
      </c>
      <c r="U1013" s="578">
        <f t="shared" si="288"/>
        <v>0</v>
      </c>
      <c r="V1013" s="579"/>
      <c r="W1013" s="566"/>
      <c r="X1013" s="586" t="str">
        <f t="shared" si="278"/>
        <v/>
      </c>
      <c r="Y1013" s="586" t="str">
        <f t="shared" si="285"/>
        <v/>
      </c>
      <c r="Z1013" s="586" t="str">
        <f t="shared" si="282"/>
        <v/>
      </c>
    </row>
    <row r="1014" spans="1:26" ht="34.5" hidden="1" thickBot="1" x14ac:dyDescent="0.25">
      <c r="A1014" s="567">
        <v>100599</v>
      </c>
      <c r="B1014" s="644">
        <v>100599</v>
      </c>
      <c r="C1014" s="645" t="s">
        <v>670</v>
      </c>
      <c r="D1014" s="422" t="s">
        <v>862</v>
      </c>
      <c r="E1014" s="423"/>
      <c r="F1014" s="424"/>
      <c r="G1014" s="425"/>
      <c r="H1014" s="651"/>
      <c r="I1014" s="420">
        <v>514.44000000000005</v>
      </c>
      <c r="J1014" s="420">
        <f t="shared" si="283"/>
        <v>514.44000000000005</v>
      </c>
      <c r="K1014" s="421">
        <f t="shared" si="280"/>
        <v>611.21</v>
      </c>
      <c r="L1014" s="647" t="s">
        <v>2065</v>
      </c>
      <c r="M1014" s="576"/>
      <c r="N1014" s="576">
        <f t="shared" si="284"/>
        <v>0</v>
      </c>
      <c r="O1014" s="577">
        <f t="shared" si="289"/>
        <v>0</v>
      </c>
      <c r="P1014" s="578">
        <f t="shared" si="290"/>
        <v>0</v>
      </c>
      <c r="Q1014" s="765"/>
      <c r="R1014" s="576">
        <f t="shared" si="286"/>
        <v>0</v>
      </c>
      <c r="S1014" s="576">
        <f t="shared" si="286"/>
        <v>0</v>
      </c>
      <c r="T1014" s="577">
        <f t="shared" si="287"/>
        <v>0</v>
      </c>
      <c r="U1014" s="578">
        <f t="shared" si="288"/>
        <v>0</v>
      </c>
      <c r="V1014" s="579"/>
      <c r="W1014" s="566"/>
      <c r="X1014" s="586" t="str">
        <f t="shared" si="278"/>
        <v/>
      </c>
      <c r="Y1014" s="586" t="str">
        <f t="shared" si="285"/>
        <v/>
      </c>
      <c r="Z1014" s="586" t="str">
        <f t="shared" si="282"/>
        <v/>
      </c>
    </row>
    <row r="1015" spans="1:26" ht="34.5" hidden="1" thickBot="1" x14ac:dyDescent="0.25">
      <c r="A1015" s="567">
        <v>100600</v>
      </c>
      <c r="B1015" s="644">
        <v>100600</v>
      </c>
      <c r="C1015" s="645" t="s">
        <v>670</v>
      </c>
      <c r="D1015" s="422" t="s">
        <v>863</v>
      </c>
      <c r="E1015" s="423"/>
      <c r="F1015" s="424"/>
      <c r="G1015" s="425"/>
      <c r="H1015" s="651"/>
      <c r="I1015" s="420">
        <v>601.97</v>
      </c>
      <c r="J1015" s="420">
        <f t="shared" si="283"/>
        <v>601.97</v>
      </c>
      <c r="K1015" s="421">
        <f t="shared" si="280"/>
        <v>715.2</v>
      </c>
      <c r="L1015" s="647" t="s">
        <v>2065</v>
      </c>
      <c r="M1015" s="576"/>
      <c r="N1015" s="576">
        <f t="shared" si="284"/>
        <v>0</v>
      </c>
      <c r="O1015" s="577">
        <f t="shared" si="289"/>
        <v>0</v>
      </c>
      <c r="P1015" s="578">
        <f t="shared" si="290"/>
        <v>0</v>
      </c>
      <c r="Q1015" s="765"/>
      <c r="R1015" s="576">
        <f t="shared" si="286"/>
        <v>0</v>
      </c>
      <c r="S1015" s="576">
        <f t="shared" si="286"/>
        <v>0</v>
      </c>
      <c r="T1015" s="577">
        <f t="shared" si="287"/>
        <v>0</v>
      </c>
      <c r="U1015" s="578">
        <f t="shared" si="288"/>
        <v>0</v>
      </c>
      <c r="V1015" s="579"/>
      <c r="W1015" s="566"/>
      <c r="X1015" s="586" t="str">
        <f t="shared" si="278"/>
        <v/>
      </c>
      <c r="Y1015" s="586" t="str">
        <f t="shared" si="285"/>
        <v/>
      </c>
      <c r="Z1015" s="586" t="str">
        <f t="shared" si="282"/>
        <v/>
      </c>
    </row>
    <row r="1016" spans="1:26" ht="34.5" hidden="1" thickBot="1" x14ac:dyDescent="0.25">
      <c r="A1016" s="567">
        <v>100601</v>
      </c>
      <c r="B1016" s="644">
        <v>100601</v>
      </c>
      <c r="C1016" s="645" t="s">
        <v>670</v>
      </c>
      <c r="D1016" s="422" t="s">
        <v>864</v>
      </c>
      <c r="E1016" s="423"/>
      <c r="F1016" s="424"/>
      <c r="G1016" s="425"/>
      <c r="H1016" s="651"/>
      <c r="I1016" s="420">
        <v>748.11</v>
      </c>
      <c r="J1016" s="420">
        <f t="shared" si="283"/>
        <v>748.11</v>
      </c>
      <c r="K1016" s="421">
        <f t="shared" si="280"/>
        <v>888.83</v>
      </c>
      <c r="L1016" s="647" t="s">
        <v>2065</v>
      </c>
      <c r="M1016" s="576"/>
      <c r="N1016" s="576">
        <f t="shared" si="284"/>
        <v>0</v>
      </c>
      <c r="O1016" s="577">
        <f t="shared" si="289"/>
        <v>0</v>
      </c>
      <c r="P1016" s="578">
        <f t="shared" si="290"/>
        <v>0</v>
      </c>
      <c r="Q1016" s="765"/>
      <c r="R1016" s="576">
        <f t="shared" si="286"/>
        <v>0</v>
      </c>
      <c r="S1016" s="576">
        <f t="shared" si="286"/>
        <v>0</v>
      </c>
      <c r="T1016" s="577">
        <f t="shared" si="287"/>
        <v>0</v>
      </c>
      <c r="U1016" s="578">
        <f t="shared" si="288"/>
        <v>0</v>
      </c>
      <c r="V1016" s="579"/>
      <c r="W1016" s="566"/>
      <c r="X1016" s="586" t="str">
        <f t="shared" si="278"/>
        <v/>
      </c>
      <c r="Y1016" s="586" t="str">
        <f t="shared" si="285"/>
        <v/>
      </c>
      <c r="Z1016" s="586" t="str">
        <f t="shared" si="282"/>
        <v/>
      </c>
    </row>
    <row r="1017" spans="1:26" ht="34.5" hidden="1" thickBot="1" x14ac:dyDescent="0.25">
      <c r="A1017" s="567">
        <v>100602</v>
      </c>
      <c r="B1017" s="644">
        <v>100602</v>
      </c>
      <c r="C1017" s="645" t="s">
        <v>670</v>
      </c>
      <c r="D1017" s="422" t="s">
        <v>865</v>
      </c>
      <c r="E1017" s="423"/>
      <c r="F1017" s="424"/>
      <c r="G1017" s="425"/>
      <c r="H1017" s="651"/>
      <c r="I1017" s="420">
        <v>930.41</v>
      </c>
      <c r="J1017" s="420">
        <f t="shared" si="283"/>
        <v>930.41</v>
      </c>
      <c r="K1017" s="421">
        <f t="shared" si="280"/>
        <v>1105.42</v>
      </c>
      <c r="L1017" s="647" t="s">
        <v>2065</v>
      </c>
      <c r="M1017" s="576"/>
      <c r="N1017" s="576">
        <f t="shared" si="284"/>
        <v>0</v>
      </c>
      <c r="O1017" s="577">
        <f t="shared" si="289"/>
        <v>0</v>
      </c>
      <c r="P1017" s="578">
        <f t="shared" si="290"/>
        <v>0</v>
      </c>
      <c r="Q1017" s="765"/>
      <c r="R1017" s="576">
        <f t="shared" si="286"/>
        <v>0</v>
      </c>
      <c r="S1017" s="576">
        <f t="shared" si="286"/>
        <v>0</v>
      </c>
      <c r="T1017" s="577">
        <f t="shared" si="287"/>
        <v>0</v>
      </c>
      <c r="U1017" s="578">
        <f t="shared" si="288"/>
        <v>0</v>
      </c>
      <c r="V1017" s="579"/>
      <c r="W1017" s="566"/>
      <c r="X1017" s="586" t="str">
        <f t="shared" si="278"/>
        <v/>
      </c>
      <c r="Y1017" s="586" t="str">
        <f t="shared" si="285"/>
        <v/>
      </c>
      <c r="Z1017" s="586" t="str">
        <f t="shared" si="282"/>
        <v/>
      </c>
    </row>
    <row r="1018" spans="1:26" ht="34.5" hidden="1" thickBot="1" x14ac:dyDescent="0.25">
      <c r="A1018" s="567">
        <v>100603</v>
      </c>
      <c r="B1018" s="644">
        <v>100603</v>
      </c>
      <c r="C1018" s="645" t="s">
        <v>670</v>
      </c>
      <c r="D1018" s="422" t="s">
        <v>866</v>
      </c>
      <c r="E1018" s="423"/>
      <c r="F1018" s="424"/>
      <c r="G1018" s="425"/>
      <c r="H1018" s="651"/>
      <c r="I1018" s="420">
        <v>1400.05</v>
      </c>
      <c r="J1018" s="420">
        <f t="shared" si="283"/>
        <v>1400.05</v>
      </c>
      <c r="K1018" s="421">
        <f t="shared" si="280"/>
        <v>1663.4</v>
      </c>
      <c r="L1018" s="647" t="s">
        <v>2065</v>
      </c>
      <c r="M1018" s="576"/>
      <c r="N1018" s="576">
        <f t="shared" si="284"/>
        <v>0</v>
      </c>
      <c r="O1018" s="577">
        <f t="shared" si="289"/>
        <v>0</v>
      </c>
      <c r="P1018" s="578">
        <f t="shared" si="290"/>
        <v>0</v>
      </c>
      <c r="Q1018" s="765"/>
      <c r="R1018" s="576">
        <f t="shared" si="286"/>
        <v>0</v>
      </c>
      <c r="S1018" s="576">
        <f t="shared" si="286"/>
        <v>0</v>
      </c>
      <c r="T1018" s="577">
        <f t="shared" si="287"/>
        <v>0</v>
      </c>
      <c r="U1018" s="578">
        <f t="shared" si="288"/>
        <v>0</v>
      </c>
      <c r="V1018" s="579"/>
      <c r="W1018" s="566"/>
      <c r="X1018" s="586" t="str">
        <f t="shared" si="278"/>
        <v/>
      </c>
      <c r="Y1018" s="586" t="str">
        <f t="shared" si="285"/>
        <v/>
      </c>
      <c r="Z1018" s="586" t="str">
        <f t="shared" si="282"/>
        <v/>
      </c>
    </row>
    <row r="1019" spans="1:26" ht="34.5" hidden="1" thickBot="1" x14ac:dyDescent="0.25">
      <c r="A1019" s="567">
        <v>100604</v>
      </c>
      <c r="B1019" s="644">
        <v>100604</v>
      </c>
      <c r="C1019" s="645" t="s">
        <v>670</v>
      </c>
      <c r="D1019" s="422" t="s">
        <v>867</v>
      </c>
      <c r="E1019" s="423"/>
      <c r="F1019" s="424"/>
      <c r="G1019" s="425"/>
      <c r="H1019" s="651"/>
      <c r="I1019" s="420">
        <v>642.01</v>
      </c>
      <c r="J1019" s="420">
        <f t="shared" si="283"/>
        <v>642.01</v>
      </c>
      <c r="K1019" s="421">
        <f t="shared" si="280"/>
        <v>762.77</v>
      </c>
      <c r="L1019" s="647" t="s">
        <v>2065</v>
      </c>
      <c r="M1019" s="576"/>
      <c r="N1019" s="576">
        <f t="shared" si="284"/>
        <v>0</v>
      </c>
      <c r="O1019" s="577">
        <f t="shared" si="289"/>
        <v>0</v>
      </c>
      <c r="P1019" s="578">
        <f t="shared" si="290"/>
        <v>0</v>
      </c>
      <c r="Q1019" s="765"/>
      <c r="R1019" s="576">
        <f t="shared" si="286"/>
        <v>0</v>
      </c>
      <c r="S1019" s="576">
        <f t="shared" si="286"/>
        <v>0</v>
      </c>
      <c r="T1019" s="577">
        <f t="shared" si="287"/>
        <v>0</v>
      </c>
      <c r="U1019" s="578">
        <f t="shared" si="288"/>
        <v>0</v>
      </c>
      <c r="V1019" s="579"/>
      <c r="W1019" s="566"/>
      <c r="X1019" s="586" t="str">
        <f t="shared" si="278"/>
        <v/>
      </c>
      <c r="Y1019" s="586" t="str">
        <f t="shared" si="285"/>
        <v/>
      </c>
      <c r="Z1019" s="586" t="str">
        <f t="shared" si="282"/>
        <v/>
      </c>
    </row>
    <row r="1020" spans="1:26" ht="34.5" hidden="1" thickBot="1" x14ac:dyDescent="0.25">
      <c r="A1020" s="567">
        <v>100605</v>
      </c>
      <c r="B1020" s="644">
        <v>100605</v>
      </c>
      <c r="C1020" s="645" t="s">
        <v>670</v>
      </c>
      <c r="D1020" s="422" t="s">
        <v>868</v>
      </c>
      <c r="E1020" s="423"/>
      <c r="F1020" s="424"/>
      <c r="G1020" s="425"/>
      <c r="H1020" s="651"/>
      <c r="I1020" s="420">
        <v>979.6</v>
      </c>
      <c r="J1020" s="420">
        <f t="shared" si="283"/>
        <v>979.6</v>
      </c>
      <c r="K1020" s="421">
        <f t="shared" si="280"/>
        <v>1163.8599999999999</v>
      </c>
      <c r="L1020" s="647" t="s">
        <v>2065</v>
      </c>
      <c r="M1020" s="576"/>
      <c r="N1020" s="576">
        <f t="shared" si="284"/>
        <v>0</v>
      </c>
      <c r="O1020" s="577">
        <f t="shared" si="289"/>
        <v>0</v>
      </c>
      <c r="P1020" s="578">
        <f t="shared" si="290"/>
        <v>0</v>
      </c>
      <c r="Q1020" s="765"/>
      <c r="R1020" s="576">
        <f t="shared" si="286"/>
        <v>0</v>
      </c>
      <c r="S1020" s="576">
        <f t="shared" si="286"/>
        <v>0</v>
      </c>
      <c r="T1020" s="577">
        <f t="shared" si="287"/>
        <v>0</v>
      </c>
      <c r="U1020" s="578">
        <f t="shared" si="288"/>
        <v>0</v>
      </c>
      <c r="V1020" s="579"/>
      <c r="W1020" s="566"/>
      <c r="X1020" s="586" t="str">
        <f t="shared" si="278"/>
        <v/>
      </c>
      <c r="Y1020" s="586" t="str">
        <f t="shared" si="285"/>
        <v/>
      </c>
      <c r="Z1020" s="586" t="str">
        <f t="shared" si="282"/>
        <v/>
      </c>
    </row>
    <row r="1021" spans="1:26" ht="34.5" hidden="1" thickBot="1" x14ac:dyDescent="0.25">
      <c r="A1021" s="567">
        <v>100606</v>
      </c>
      <c r="B1021" s="644">
        <v>100606</v>
      </c>
      <c r="C1021" s="645" t="s">
        <v>670</v>
      </c>
      <c r="D1021" s="422" t="s">
        <v>869</v>
      </c>
      <c r="E1021" s="423"/>
      <c r="F1021" s="424"/>
      <c r="G1021" s="425"/>
      <c r="H1021" s="651"/>
      <c r="I1021" s="420">
        <v>1461.07</v>
      </c>
      <c r="J1021" s="420">
        <f t="shared" si="283"/>
        <v>1461.07</v>
      </c>
      <c r="K1021" s="421">
        <f t="shared" si="280"/>
        <v>1735.9</v>
      </c>
      <c r="L1021" s="647" t="s">
        <v>2065</v>
      </c>
      <c r="M1021" s="576"/>
      <c r="N1021" s="576">
        <f t="shared" si="284"/>
        <v>0</v>
      </c>
      <c r="O1021" s="577">
        <f t="shared" si="289"/>
        <v>0</v>
      </c>
      <c r="P1021" s="578">
        <f t="shared" si="290"/>
        <v>0</v>
      </c>
      <c r="Q1021" s="765"/>
      <c r="R1021" s="576">
        <f t="shared" si="286"/>
        <v>0</v>
      </c>
      <c r="S1021" s="576">
        <f t="shared" si="286"/>
        <v>0</v>
      </c>
      <c r="T1021" s="577">
        <f t="shared" si="287"/>
        <v>0</v>
      </c>
      <c r="U1021" s="578">
        <f t="shared" si="288"/>
        <v>0</v>
      </c>
      <c r="V1021" s="579"/>
      <c r="W1021" s="566"/>
      <c r="X1021" s="586" t="str">
        <f t="shared" ref="X1021:X1084" si="291">IF(W1021="X","x",IF(W1021="xx","x",IF(W1021="xy","x",IF(W1021="y","x",IF(OR(P1021&gt;0,U1021&gt;0),"x","")))))</f>
        <v/>
      </c>
      <c r="Y1021" s="586" t="str">
        <f t="shared" si="285"/>
        <v/>
      </c>
      <c r="Z1021" s="586" t="str">
        <f t="shared" si="282"/>
        <v/>
      </c>
    </row>
    <row r="1022" spans="1:26" ht="34.5" hidden="1" thickBot="1" x14ac:dyDescent="0.25">
      <c r="A1022" s="567">
        <v>100607</v>
      </c>
      <c r="B1022" s="644">
        <v>100607</v>
      </c>
      <c r="C1022" s="645" t="s">
        <v>670</v>
      </c>
      <c r="D1022" s="422" t="s">
        <v>870</v>
      </c>
      <c r="E1022" s="423"/>
      <c r="F1022" s="424"/>
      <c r="G1022" s="425"/>
      <c r="H1022" s="651"/>
      <c r="I1022" s="420">
        <v>661.2</v>
      </c>
      <c r="J1022" s="420">
        <f t="shared" si="283"/>
        <v>661.2</v>
      </c>
      <c r="K1022" s="421">
        <f t="shared" si="280"/>
        <v>785.57</v>
      </c>
      <c r="L1022" s="647" t="s">
        <v>2065</v>
      </c>
      <c r="M1022" s="576"/>
      <c r="N1022" s="576">
        <f t="shared" si="284"/>
        <v>0</v>
      </c>
      <c r="O1022" s="577">
        <f t="shared" si="289"/>
        <v>0</v>
      </c>
      <c r="P1022" s="578">
        <f t="shared" si="290"/>
        <v>0</v>
      </c>
      <c r="Q1022" s="765"/>
      <c r="R1022" s="576">
        <f t="shared" si="286"/>
        <v>0</v>
      </c>
      <c r="S1022" s="576">
        <f t="shared" si="286"/>
        <v>0</v>
      </c>
      <c r="T1022" s="577">
        <f t="shared" si="287"/>
        <v>0</v>
      </c>
      <c r="U1022" s="578">
        <f t="shared" si="288"/>
        <v>0</v>
      </c>
      <c r="V1022" s="579"/>
      <c r="W1022" s="566"/>
      <c r="X1022" s="586" t="str">
        <f t="shared" si="291"/>
        <v/>
      </c>
      <c r="Y1022" s="586" t="str">
        <f t="shared" si="285"/>
        <v/>
      </c>
      <c r="Z1022" s="586" t="str">
        <f t="shared" si="282"/>
        <v/>
      </c>
    </row>
    <row r="1023" spans="1:26" ht="34.5" hidden="1" thickBot="1" x14ac:dyDescent="0.25">
      <c r="A1023" s="567">
        <v>100608</v>
      </c>
      <c r="B1023" s="644">
        <v>100608</v>
      </c>
      <c r="C1023" s="645" t="s">
        <v>670</v>
      </c>
      <c r="D1023" s="422" t="s">
        <v>871</v>
      </c>
      <c r="E1023" s="423"/>
      <c r="F1023" s="424"/>
      <c r="G1023" s="425"/>
      <c r="H1023" s="651"/>
      <c r="I1023" s="420">
        <v>1003.86</v>
      </c>
      <c r="J1023" s="420">
        <f t="shared" si="283"/>
        <v>1003.86</v>
      </c>
      <c r="K1023" s="421">
        <f t="shared" si="280"/>
        <v>1192.69</v>
      </c>
      <c r="L1023" s="647" t="s">
        <v>2065</v>
      </c>
      <c r="M1023" s="576"/>
      <c r="N1023" s="576">
        <f t="shared" si="284"/>
        <v>0</v>
      </c>
      <c r="O1023" s="577">
        <f t="shared" si="289"/>
        <v>0</v>
      </c>
      <c r="P1023" s="578">
        <f t="shared" si="290"/>
        <v>0</v>
      </c>
      <c r="Q1023" s="765"/>
      <c r="R1023" s="576">
        <f t="shared" si="286"/>
        <v>0</v>
      </c>
      <c r="S1023" s="576">
        <f t="shared" si="286"/>
        <v>0</v>
      </c>
      <c r="T1023" s="577">
        <f t="shared" si="287"/>
        <v>0</v>
      </c>
      <c r="U1023" s="578">
        <f t="shared" si="288"/>
        <v>0</v>
      </c>
      <c r="V1023" s="579"/>
      <c r="W1023" s="566"/>
      <c r="X1023" s="586" t="str">
        <f t="shared" si="291"/>
        <v/>
      </c>
      <c r="Y1023" s="586" t="str">
        <f t="shared" si="285"/>
        <v/>
      </c>
      <c r="Z1023" s="586" t="str">
        <f t="shared" si="282"/>
        <v/>
      </c>
    </row>
    <row r="1024" spans="1:26" ht="34.5" hidden="1" thickBot="1" x14ac:dyDescent="0.25">
      <c r="A1024" s="567">
        <v>100609</v>
      </c>
      <c r="B1024" s="644">
        <v>100609</v>
      </c>
      <c r="C1024" s="645" t="s">
        <v>670</v>
      </c>
      <c r="D1024" s="422" t="s">
        <v>872</v>
      </c>
      <c r="E1024" s="423"/>
      <c r="F1024" s="424"/>
      <c r="G1024" s="425"/>
      <c r="H1024" s="651"/>
      <c r="I1024" s="420">
        <v>1493.6</v>
      </c>
      <c r="J1024" s="420">
        <f t="shared" si="283"/>
        <v>1493.6</v>
      </c>
      <c r="K1024" s="421">
        <f t="shared" si="280"/>
        <v>1774.55</v>
      </c>
      <c r="L1024" s="647" t="s">
        <v>2065</v>
      </c>
      <c r="M1024" s="576"/>
      <c r="N1024" s="576">
        <f t="shared" si="284"/>
        <v>0</v>
      </c>
      <c r="O1024" s="577">
        <f t="shared" si="289"/>
        <v>0</v>
      </c>
      <c r="P1024" s="578">
        <f t="shared" si="290"/>
        <v>0</v>
      </c>
      <c r="Q1024" s="765"/>
      <c r="R1024" s="576">
        <f t="shared" si="286"/>
        <v>0</v>
      </c>
      <c r="S1024" s="576">
        <f t="shared" si="286"/>
        <v>0</v>
      </c>
      <c r="T1024" s="577">
        <f t="shared" si="287"/>
        <v>0</v>
      </c>
      <c r="U1024" s="578">
        <f t="shared" si="288"/>
        <v>0</v>
      </c>
      <c r="V1024" s="579"/>
      <c r="W1024" s="566"/>
      <c r="X1024" s="586" t="str">
        <f t="shared" si="291"/>
        <v/>
      </c>
      <c r="Y1024" s="586" t="str">
        <f t="shared" si="285"/>
        <v/>
      </c>
      <c r="Z1024" s="586" t="str">
        <f t="shared" si="282"/>
        <v/>
      </c>
    </row>
    <row r="1025" spans="1:26" ht="34.5" hidden="1" thickBot="1" x14ac:dyDescent="0.25">
      <c r="A1025" s="567">
        <v>100610</v>
      </c>
      <c r="B1025" s="644">
        <v>100610</v>
      </c>
      <c r="C1025" s="645" t="s">
        <v>670</v>
      </c>
      <c r="D1025" s="422" t="s">
        <v>873</v>
      </c>
      <c r="E1025" s="423"/>
      <c r="F1025" s="424"/>
      <c r="G1025" s="425"/>
      <c r="H1025" s="651"/>
      <c r="I1025" s="420">
        <v>680.33</v>
      </c>
      <c r="J1025" s="420">
        <f t="shared" si="283"/>
        <v>680.33</v>
      </c>
      <c r="K1025" s="421">
        <f t="shared" si="280"/>
        <v>808.3</v>
      </c>
      <c r="L1025" s="647" t="s">
        <v>2065</v>
      </c>
      <c r="M1025" s="576"/>
      <c r="N1025" s="576">
        <f t="shared" si="284"/>
        <v>0</v>
      </c>
      <c r="O1025" s="577">
        <f t="shared" si="289"/>
        <v>0</v>
      </c>
      <c r="P1025" s="578">
        <f t="shared" si="290"/>
        <v>0</v>
      </c>
      <c r="Q1025" s="765"/>
      <c r="R1025" s="576">
        <f t="shared" si="286"/>
        <v>0</v>
      </c>
      <c r="S1025" s="576">
        <f t="shared" si="286"/>
        <v>0</v>
      </c>
      <c r="T1025" s="577">
        <f t="shared" si="287"/>
        <v>0</v>
      </c>
      <c r="U1025" s="578">
        <f t="shared" si="288"/>
        <v>0</v>
      </c>
      <c r="V1025" s="579"/>
      <c r="W1025" s="566"/>
      <c r="X1025" s="586" t="str">
        <f t="shared" si="291"/>
        <v/>
      </c>
      <c r="Y1025" s="586" t="str">
        <f t="shared" si="285"/>
        <v/>
      </c>
      <c r="Z1025" s="586" t="str">
        <f t="shared" si="282"/>
        <v/>
      </c>
    </row>
    <row r="1026" spans="1:26" ht="34.5" hidden="1" thickBot="1" x14ac:dyDescent="0.25">
      <c r="A1026" s="567">
        <v>100611</v>
      </c>
      <c r="B1026" s="644">
        <v>100611</v>
      </c>
      <c r="C1026" s="645" t="s">
        <v>670</v>
      </c>
      <c r="D1026" s="422" t="s">
        <v>874</v>
      </c>
      <c r="E1026" s="423"/>
      <c r="F1026" s="424"/>
      <c r="G1026" s="425"/>
      <c r="H1026" s="651"/>
      <c r="I1026" s="420">
        <v>834.56</v>
      </c>
      <c r="J1026" s="420">
        <f t="shared" si="283"/>
        <v>834.56</v>
      </c>
      <c r="K1026" s="421">
        <f t="shared" si="280"/>
        <v>991.54</v>
      </c>
      <c r="L1026" s="647" t="s">
        <v>2065</v>
      </c>
      <c r="M1026" s="576"/>
      <c r="N1026" s="576">
        <f t="shared" si="284"/>
        <v>0</v>
      </c>
      <c r="O1026" s="577">
        <f t="shared" si="289"/>
        <v>0</v>
      </c>
      <c r="P1026" s="578">
        <f t="shared" si="290"/>
        <v>0</v>
      </c>
      <c r="Q1026" s="765"/>
      <c r="R1026" s="576">
        <f t="shared" si="286"/>
        <v>0</v>
      </c>
      <c r="S1026" s="576">
        <f t="shared" si="286"/>
        <v>0</v>
      </c>
      <c r="T1026" s="577">
        <f t="shared" si="287"/>
        <v>0</v>
      </c>
      <c r="U1026" s="578">
        <f t="shared" si="288"/>
        <v>0</v>
      </c>
      <c r="V1026" s="579"/>
      <c r="W1026" s="566"/>
      <c r="X1026" s="586" t="str">
        <f t="shared" si="291"/>
        <v/>
      </c>
      <c r="Y1026" s="586" t="str">
        <f t="shared" si="285"/>
        <v/>
      </c>
      <c r="Z1026" s="586" t="str">
        <f t="shared" si="282"/>
        <v/>
      </c>
    </row>
    <row r="1027" spans="1:26" ht="34.5" hidden="1" thickBot="1" x14ac:dyDescent="0.25">
      <c r="A1027" s="567">
        <v>100612</v>
      </c>
      <c r="B1027" s="644">
        <v>100612</v>
      </c>
      <c r="C1027" s="645" t="s">
        <v>670</v>
      </c>
      <c r="D1027" s="422" t="s">
        <v>875</v>
      </c>
      <c r="E1027" s="423"/>
      <c r="F1027" s="424"/>
      <c r="G1027" s="425"/>
      <c r="H1027" s="651"/>
      <c r="I1027" s="420">
        <v>1027.78</v>
      </c>
      <c r="J1027" s="420">
        <f t="shared" si="283"/>
        <v>1027.78</v>
      </c>
      <c r="K1027" s="421">
        <f t="shared" si="280"/>
        <v>1221.1099999999999</v>
      </c>
      <c r="L1027" s="647" t="s">
        <v>2065</v>
      </c>
      <c r="M1027" s="576"/>
      <c r="N1027" s="576">
        <f t="shared" si="284"/>
        <v>0</v>
      </c>
      <c r="O1027" s="577">
        <f t="shared" si="289"/>
        <v>0</v>
      </c>
      <c r="P1027" s="578">
        <f t="shared" si="290"/>
        <v>0</v>
      </c>
      <c r="Q1027" s="765"/>
      <c r="R1027" s="576">
        <f t="shared" si="286"/>
        <v>0</v>
      </c>
      <c r="S1027" s="576">
        <f t="shared" si="286"/>
        <v>0</v>
      </c>
      <c r="T1027" s="577">
        <f t="shared" si="287"/>
        <v>0</v>
      </c>
      <c r="U1027" s="578">
        <f t="shared" si="288"/>
        <v>0</v>
      </c>
      <c r="V1027" s="579"/>
      <c r="W1027" s="566"/>
      <c r="X1027" s="586" t="str">
        <f t="shared" si="291"/>
        <v/>
      </c>
      <c r="Y1027" s="586" t="str">
        <f t="shared" si="285"/>
        <v/>
      </c>
      <c r="Z1027" s="586" t="str">
        <f t="shared" si="282"/>
        <v/>
      </c>
    </row>
    <row r="1028" spans="1:26" ht="34.5" hidden="1" thickBot="1" x14ac:dyDescent="0.25">
      <c r="A1028" s="567">
        <v>100613</v>
      </c>
      <c r="B1028" s="644">
        <v>100613</v>
      </c>
      <c r="C1028" s="645" t="s">
        <v>670</v>
      </c>
      <c r="D1028" s="422" t="s">
        <v>876</v>
      </c>
      <c r="E1028" s="423"/>
      <c r="F1028" s="424"/>
      <c r="G1028" s="425"/>
      <c r="H1028" s="651"/>
      <c r="I1028" s="420">
        <v>1525.46</v>
      </c>
      <c r="J1028" s="420">
        <f t="shared" si="283"/>
        <v>1525.46</v>
      </c>
      <c r="K1028" s="421">
        <f t="shared" si="280"/>
        <v>1812.4</v>
      </c>
      <c r="L1028" s="647" t="s">
        <v>2065</v>
      </c>
      <c r="M1028" s="576"/>
      <c r="N1028" s="576">
        <f t="shared" si="284"/>
        <v>0</v>
      </c>
      <c r="O1028" s="577">
        <f t="shared" si="289"/>
        <v>0</v>
      </c>
      <c r="P1028" s="578">
        <f t="shared" si="290"/>
        <v>0</v>
      </c>
      <c r="Q1028" s="765"/>
      <c r="R1028" s="576">
        <f t="shared" si="286"/>
        <v>0</v>
      </c>
      <c r="S1028" s="576">
        <f t="shared" si="286"/>
        <v>0</v>
      </c>
      <c r="T1028" s="577">
        <f t="shared" si="287"/>
        <v>0</v>
      </c>
      <c r="U1028" s="578">
        <f t="shared" si="288"/>
        <v>0</v>
      </c>
      <c r="V1028" s="579"/>
      <c r="W1028" s="566"/>
      <c r="X1028" s="586" t="str">
        <f t="shared" si="291"/>
        <v/>
      </c>
      <c r="Y1028" s="586" t="str">
        <f t="shared" si="285"/>
        <v/>
      </c>
      <c r="Z1028" s="586" t="str">
        <f t="shared" si="282"/>
        <v/>
      </c>
    </row>
    <row r="1029" spans="1:26" ht="34.5" hidden="1" thickBot="1" x14ac:dyDescent="0.25">
      <c r="A1029" s="567">
        <v>100614</v>
      </c>
      <c r="B1029" s="644">
        <v>100614</v>
      </c>
      <c r="C1029" s="645" t="s">
        <v>670</v>
      </c>
      <c r="D1029" s="422" t="s">
        <v>877</v>
      </c>
      <c r="E1029" s="423"/>
      <c r="F1029" s="424"/>
      <c r="G1029" s="425"/>
      <c r="H1029" s="651"/>
      <c r="I1029" s="420">
        <v>877.14</v>
      </c>
      <c r="J1029" s="420">
        <f t="shared" si="283"/>
        <v>877.14</v>
      </c>
      <c r="K1029" s="421">
        <f t="shared" si="280"/>
        <v>1042.1300000000001</v>
      </c>
      <c r="L1029" s="647" t="s">
        <v>2065</v>
      </c>
      <c r="M1029" s="576"/>
      <c r="N1029" s="576">
        <f t="shared" si="284"/>
        <v>0</v>
      </c>
      <c r="O1029" s="577">
        <f t="shared" si="289"/>
        <v>0</v>
      </c>
      <c r="P1029" s="578">
        <f t="shared" si="290"/>
        <v>0</v>
      </c>
      <c r="Q1029" s="765"/>
      <c r="R1029" s="576">
        <f t="shared" si="286"/>
        <v>0</v>
      </c>
      <c r="S1029" s="576">
        <f t="shared" si="286"/>
        <v>0</v>
      </c>
      <c r="T1029" s="577">
        <f t="shared" si="287"/>
        <v>0</v>
      </c>
      <c r="U1029" s="578">
        <f t="shared" si="288"/>
        <v>0</v>
      </c>
      <c r="V1029" s="579"/>
      <c r="W1029" s="566"/>
      <c r="X1029" s="586" t="str">
        <f t="shared" si="291"/>
        <v/>
      </c>
      <c r="Y1029" s="586" t="str">
        <f t="shared" si="285"/>
        <v/>
      </c>
      <c r="Z1029" s="586" t="str">
        <f t="shared" si="282"/>
        <v/>
      </c>
    </row>
    <row r="1030" spans="1:26" ht="34.5" hidden="1" thickBot="1" x14ac:dyDescent="0.25">
      <c r="A1030" s="567">
        <v>100615</v>
      </c>
      <c r="B1030" s="644">
        <v>100615</v>
      </c>
      <c r="C1030" s="645" t="s">
        <v>670</v>
      </c>
      <c r="D1030" s="422" t="s">
        <v>878</v>
      </c>
      <c r="E1030" s="423"/>
      <c r="F1030" s="424"/>
      <c r="G1030" s="425"/>
      <c r="H1030" s="651"/>
      <c r="I1030" s="420">
        <v>1075.3</v>
      </c>
      <c r="J1030" s="420">
        <f t="shared" si="283"/>
        <v>1075.3</v>
      </c>
      <c r="K1030" s="421">
        <f t="shared" si="280"/>
        <v>1277.56</v>
      </c>
      <c r="L1030" s="647" t="s">
        <v>2065</v>
      </c>
      <c r="M1030" s="576"/>
      <c r="N1030" s="576">
        <f t="shared" si="284"/>
        <v>0</v>
      </c>
      <c r="O1030" s="577">
        <f t="shared" si="289"/>
        <v>0</v>
      </c>
      <c r="P1030" s="578">
        <f t="shared" si="290"/>
        <v>0</v>
      </c>
      <c r="Q1030" s="765"/>
      <c r="R1030" s="576">
        <f t="shared" si="286"/>
        <v>0</v>
      </c>
      <c r="S1030" s="576">
        <f t="shared" si="286"/>
        <v>0</v>
      </c>
      <c r="T1030" s="577">
        <f t="shared" si="287"/>
        <v>0</v>
      </c>
      <c r="U1030" s="578">
        <f t="shared" si="288"/>
        <v>0</v>
      </c>
      <c r="V1030" s="579"/>
      <c r="W1030" s="566"/>
      <c r="X1030" s="586" t="str">
        <f t="shared" si="291"/>
        <v/>
      </c>
      <c r="Y1030" s="586" t="str">
        <f t="shared" si="285"/>
        <v/>
      </c>
      <c r="Z1030" s="586" t="str">
        <f t="shared" si="282"/>
        <v/>
      </c>
    </row>
    <row r="1031" spans="1:26" ht="34.5" hidden="1" thickBot="1" x14ac:dyDescent="0.25">
      <c r="A1031" s="567">
        <v>100616</v>
      </c>
      <c r="B1031" s="644">
        <v>100616</v>
      </c>
      <c r="C1031" s="645" t="s">
        <v>670</v>
      </c>
      <c r="D1031" s="422" t="s">
        <v>879</v>
      </c>
      <c r="E1031" s="423"/>
      <c r="F1031" s="424"/>
      <c r="G1031" s="425"/>
      <c r="H1031" s="651"/>
      <c r="I1031" s="420">
        <v>1592.3</v>
      </c>
      <c r="J1031" s="420">
        <f t="shared" si="283"/>
        <v>1592.3</v>
      </c>
      <c r="K1031" s="421">
        <f t="shared" si="280"/>
        <v>1891.81</v>
      </c>
      <c r="L1031" s="647" t="s">
        <v>2065</v>
      </c>
      <c r="M1031" s="576"/>
      <c r="N1031" s="576">
        <f t="shared" si="284"/>
        <v>0</v>
      </c>
      <c r="O1031" s="577">
        <f t="shared" si="289"/>
        <v>0</v>
      </c>
      <c r="P1031" s="578">
        <f t="shared" si="290"/>
        <v>0</v>
      </c>
      <c r="Q1031" s="765"/>
      <c r="R1031" s="576">
        <f t="shared" si="286"/>
        <v>0</v>
      </c>
      <c r="S1031" s="576">
        <f t="shared" si="286"/>
        <v>0</v>
      </c>
      <c r="T1031" s="577">
        <f t="shared" si="287"/>
        <v>0</v>
      </c>
      <c r="U1031" s="578">
        <f t="shared" si="288"/>
        <v>0</v>
      </c>
      <c r="V1031" s="579"/>
      <c r="W1031" s="566"/>
      <c r="X1031" s="586" t="str">
        <f t="shared" si="291"/>
        <v/>
      </c>
      <c r="Y1031" s="586" t="str">
        <f t="shared" si="285"/>
        <v/>
      </c>
      <c r="Z1031" s="586" t="str">
        <f t="shared" si="282"/>
        <v/>
      </c>
    </row>
    <row r="1032" spans="1:26" ht="34.5" hidden="1" thickBot="1" x14ac:dyDescent="0.25">
      <c r="A1032" s="567">
        <v>100617</v>
      </c>
      <c r="B1032" s="644">
        <v>100617</v>
      </c>
      <c r="C1032" s="645" t="s">
        <v>670</v>
      </c>
      <c r="D1032" s="422" t="s">
        <v>880</v>
      </c>
      <c r="E1032" s="423"/>
      <c r="F1032" s="424"/>
      <c r="G1032" s="425"/>
      <c r="H1032" s="651"/>
      <c r="I1032" s="420">
        <v>1122.68</v>
      </c>
      <c r="J1032" s="420">
        <f t="shared" si="283"/>
        <v>1122.68</v>
      </c>
      <c r="K1032" s="421">
        <f t="shared" si="280"/>
        <v>1333.86</v>
      </c>
      <c r="L1032" s="647" t="s">
        <v>2065</v>
      </c>
      <c r="M1032" s="576"/>
      <c r="N1032" s="576">
        <f t="shared" si="284"/>
        <v>0</v>
      </c>
      <c r="O1032" s="577">
        <f t="shared" si="289"/>
        <v>0</v>
      </c>
      <c r="P1032" s="578">
        <f t="shared" si="290"/>
        <v>0</v>
      </c>
      <c r="Q1032" s="765"/>
      <c r="R1032" s="576">
        <f t="shared" si="286"/>
        <v>0</v>
      </c>
      <c r="S1032" s="576">
        <f t="shared" si="286"/>
        <v>0</v>
      </c>
      <c r="T1032" s="577">
        <f t="shared" si="287"/>
        <v>0</v>
      </c>
      <c r="U1032" s="578">
        <f t="shared" si="288"/>
        <v>0</v>
      </c>
      <c r="V1032" s="579"/>
      <c r="W1032" s="566"/>
      <c r="X1032" s="586" t="str">
        <f t="shared" si="291"/>
        <v/>
      </c>
      <c r="Y1032" s="586" t="str">
        <f t="shared" si="285"/>
        <v/>
      </c>
      <c r="Z1032" s="586" t="str">
        <f t="shared" si="282"/>
        <v/>
      </c>
    </row>
    <row r="1033" spans="1:26" ht="34.5" hidden="1" thickBot="1" x14ac:dyDescent="0.25">
      <c r="A1033" s="567">
        <v>100618</v>
      </c>
      <c r="B1033" s="644">
        <v>100618</v>
      </c>
      <c r="C1033" s="645" t="s">
        <v>670</v>
      </c>
      <c r="D1033" s="422" t="s">
        <v>881</v>
      </c>
      <c r="E1033" s="423"/>
      <c r="F1033" s="424"/>
      <c r="G1033" s="425"/>
      <c r="H1033" s="651"/>
      <c r="I1033" s="420">
        <v>1662.73</v>
      </c>
      <c r="J1033" s="420">
        <f t="shared" si="283"/>
        <v>1662.73</v>
      </c>
      <c r="K1033" s="421">
        <f t="shared" ref="K1033:K1096" si="292">IF(ISBLANK(I1033),0,ROUND(J1033*(1+$F$10)*(1+$F$11*E1033),2))</f>
        <v>1975.49</v>
      </c>
      <c r="L1033" s="647" t="s">
        <v>2065</v>
      </c>
      <c r="M1033" s="576"/>
      <c r="N1033" s="576">
        <f t="shared" si="284"/>
        <v>0</v>
      </c>
      <c r="O1033" s="577">
        <f t="shared" si="289"/>
        <v>0</v>
      </c>
      <c r="P1033" s="578">
        <f t="shared" si="290"/>
        <v>0</v>
      </c>
      <c r="Q1033" s="765"/>
      <c r="R1033" s="576">
        <f t="shared" si="286"/>
        <v>0</v>
      </c>
      <c r="S1033" s="576">
        <f t="shared" si="286"/>
        <v>0</v>
      </c>
      <c r="T1033" s="577">
        <f t="shared" si="287"/>
        <v>0</v>
      </c>
      <c r="U1033" s="578">
        <f t="shared" si="288"/>
        <v>0</v>
      </c>
      <c r="V1033" s="579"/>
      <c r="W1033" s="566"/>
      <c r="X1033" s="586" t="str">
        <f t="shared" si="291"/>
        <v/>
      </c>
      <c r="Y1033" s="586" t="str">
        <f t="shared" si="285"/>
        <v/>
      </c>
      <c r="Z1033" s="586" t="str">
        <f t="shared" si="282"/>
        <v/>
      </c>
    </row>
    <row r="1034" spans="1:26" ht="23.25" hidden="1" thickBot="1" x14ac:dyDescent="0.25">
      <c r="A1034" s="567">
        <v>97660</v>
      </c>
      <c r="B1034" s="644">
        <v>97660</v>
      </c>
      <c r="C1034" s="645" t="s">
        <v>670</v>
      </c>
      <c r="D1034" s="422" t="s">
        <v>882</v>
      </c>
      <c r="E1034" s="423"/>
      <c r="F1034" s="424"/>
      <c r="G1034" s="425"/>
      <c r="H1034" s="651"/>
      <c r="I1034" s="420">
        <v>0.67</v>
      </c>
      <c r="J1034" s="420">
        <f t="shared" si="283"/>
        <v>0.67</v>
      </c>
      <c r="K1034" s="421">
        <f t="shared" si="292"/>
        <v>0.8</v>
      </c>
      <c r="L1034" s="647" t="s">
        <v>2065</v>
      </c>
      <c r="M1034" s="576"/>
      <c r="N1034" s="576">
        <f t="shared" si="284"/>
        <v>0</v>
      </c>
      <c r="O1034" s="577">
        <f t="shared" si="289"/>
        <v>0</v>
      </c>
      <c r="P1034" s="578">
        <f t="shared" si="290"/>
        <v>0</v>
      </c>
      <c r="Q1034" s="765"/>
      <c r="R1034" s="576">
        <f t="shared" si="286"/>
        <v>0</v>
      </c>
      <c r="S1034" s="576">
        <f t="shared" si="286"/>
        <v>0</v>
      </c>
      <c r="T1034" s="577">
        <f t="shared" si="287"/>
        <v>0</v>
      </c>
      <c r="U1034" s="578">
        <f t="shared" si="288"/>
        <v>0</v>
      </c>
      <c r="V1034" s="579"/>
      <c r="W1034" s="566"/>
      <c r="X1034" s="586" t="str">
        <f t="shared" si="291"/>
        <v/>
      </c>
      <c r="Y1034" s="586" t="str">
        <f t="shared" si="285"/>
        <v/>
      </c>
      <c r="Z1034" s="586" t="str">
        <f t="shared" si="282"/>
        <v/>
      </c>
    </row>
    <row r="1035" spans="1:26" ht="12" hidden="1" thickBot="1" x14ac:dyDescent="0.25">
      <c r="A1035" s="567">
        <v>90447</v>
      </c>
      <c r="B1035" s="644">
        <v>90447</v>
      </c>
      <c r="C1035" s="645" t="s">
        <v>670</v>
      </c>
      <c r="D1035" s="422" t="s">
        <v>883</v>
      </c>
      <c r="E1035" s="423"/>
      <c r="F1035" s="424"/>
      <c r="G1035" s="425"/>
      <c r="H1035" s="651"/>
      <c r="I1035" s="420">
        <v>6.98</v>
      </c>
      <c r="J1035" s="420">
        <f t="shared" si="283"/>
        <v>6.98</v>
      </c>
      <c r="K1035" s="421">
        <f t="shared" si="292"/>
        <v>8.2899999999999991</v>
      </c>
      <c r="L1035" s="647" t="s">
        <v>79</v>
      </c>
      <c r="M1035" s="576"/>
      <c r="N1035" s="576">
        <f t="shared" si="284"/>
        <v>0</v>
      </c>
      <c r="O1035" s="577">
        <f t="shared" si="289"/>
        <v>0</v>
      </c>
      <c r="P1035" s="578">
        <f t="shared" si="290"/>
        <v>0</v>
      </c>
      <c r="Q1035" s="765"/>
      <c r="R1035" s="576">
        <f t="shared" si="286"/>
        <v>0</v>
      </c>
      <c r="S1035" s="576">
        <f t="shared" si="286"/>
        <v>0</v>
      </c>
      <c r="T1035" s="577">
        <f t="shared" si="287"/>
        <v>0</v>
      </c>
      <c r="U1035" s="578">
        <f t="shared" si="288"/>
        <v>0</v>
      </c>
      <c r="V1035" s="579"/>
      <c r="W1035" s="566"/>
      <c r="X1035" s="586" t="str">
        <f t="shared" si="291"/>
        <v/>
      </c>
      <c r="Y1035" s="586" t="str">
        <f t="shared" si="285"/>
        <v/>
      </c>
      <c r="Z1035" s="586" t="str">
        <f t="shared" si="282"/>
        <v/>
      </c>
    </row>
    <row r="1036" spans="1:26" ht="12" hidden="1" thickBot="1" x14ac:dyDescent="0.25">
      <c r="A1036" s="567">
        <v>90456</v>
      </c>
      <c r="B1036" s="644">
        <v>90456</v>
      </c>
      <c r="C1036" s="645" t="s">
        <v>670</v>
      </c>
      <c r="D1036" s="422" t="s">
        <v>884</v>
      </c>
      <c r="E1036" s="423"/>
      <c r="F1036" s="424"/>
      <c r="G1036" s="425"/>
      <c r="H1036" s="651"/>
      <c r="I1036" s="420">
        <v>4.51</v>
      </c>
      <c r="J1036" s="420">
        <f t="shared" si="283"/>
        <v>4.51</v>
      </c>
      <c r="K1036" s="421">
        <f t="shared" si="292"/>
        <v>5.36</v>
      </c>
      <c r="L1036" s="647" t="s">
        <v>2065</v>
      </c>
      <c r="M1036" s="576"/>
      <c r="N1036" s="576">
        <f t="shared" si="284"/>
        <v>0</v>
      </c>
      <c r="O1036" s="577">
        <f t="shared" si="289"/>
        <v>0</v>
      </c>
      <c r="P1036" s="578">
        <f t="shared" si="290"/>
        <v>0</v>
      </c>
      <c r="Q1036" s="765"/>
      <c r="R1036" s="576">
        <f t="shared" si="286"/>
        <v>0</v>
      </c>
      <c r="S1036" s="576">
        <f t="shared" si="286"/>
        <v>0</v>
      </c>
      <c r="T1036" s="577">
        <f t="shared" si="287"/>
        <v>0</v>
      </c>
      <c r="U1036" s="578">
        <f t="shared" si="288"/>
        <v>0</v>
      </c>
      <c r="V1036" s="579"/>
      <c r="W1036" s="566"/>
      <c r="X1036" s="586" t="str">
        <f t="shared" si="291"/>
        <v/>
      </c>
      <c r="Y1036" s="586" t="str">
        <f t="shared" si="285"/>
        <v/>
      </c>
      <c r="Z1036" s="586" t="str">
        <f t="shared" si="282"/>
        <v/>
      </c>
    </row>
    <row r="1037" spans="1:26" ht="23.25" hidden="1" thickBot="1" x14ac:dyDescent="0.25">
      <c r="A1037" s="567">
        <v>90457</v>
      </c>
      <c r="B1037" s="644">
        <v>90457</v>
      </c>
      <c r="C1037" s="645" t="s">
        <v>670</v>
      </c>
      <c r="D1037" s="422" t="s">
        <v>885</v>
      </c>
      <c r="E1037" s="423"/>
      <c r="F1037" s="424"/>
      <c r="G1037" s="425"/>
      <c r="H1037" s="651"/>
      <c r="I1037" s="420">
        <v>10.28</v>
      </c>
      <c r="J1037" s="420">
        <f t="shared" si="283"/>
        <v>10.28</v>
      </c>
      <c r="K1037" s="421">
        <f t="shared" si="292"/>
        <v>12.21</v>
      </c>
      <c r="L1037" s="647" t="s">
        <v>2065</v>
      </c>
      <c r="M1037" s="576"/>
      <c r="N1037" s="576">
        <f t="shared" si="284"/>
        <v>0</v>
      </c>
      <c r="O1037" s="577">
        <f t="shared" si="289"/>
        <v>0</v>
      </c>
      <c r="P1037" s="578">
        <f t="shared" si="290"/>
        <v>0</v>
      </c>
      <c r="Q1037" s="765"/>
      <c r="R1037" s="576">
        <f t="shared" si="286"/>
        <v>0</v>
      </c>
      <c r="S1037" s="576">
        <f t="shared" si="286"/>
        <v>0</v>
      </c>
      <c r="T1037" s="577">
        <f t="shared" si="287"/>
        <v>0</v>
      </c>
      <c r="U1037" s="578">
        <f t="shared" si="288"/>
        <v>0</v>
      </c>
      <c r="V1037" s="579"/>
      <c r="W1037" s="566"/>
      <c r="X1037" s="586" t="str">
        <f t="shared" si="291"/>
        <v/>
      </c>
      <c r="Y1037" s="586" t="str">
        <f t="shared" si="285"/>
        <v/>
      </c>
      <c r="Z1037" s="586" t="str">
        <f t="shared" si="282"/>
        <v/>
      </c>
    </row>
    <row r="1038" spans="1:26" ht="12" hidden="1" thickBot="1" x14ac:dyDescent="0.25">
      <c r="A1038" s="567">
        <v>90458</v>
      </c>
      <c r="B1038" s="644">
        <v>90458</v>
      </c>
      <c r="C1038" s="645" t="s">
        <v>670</v>
      </c>
      <c r="D1038" s="422" t="s">
        <v>886</v>
      </c>
      <c r="E1038" s="423"/>
      <c r="F1038" s="424"/>
      <c r="G1038" s="425"/>
      <c r="H1038" s="651"/>
      <c r="I1038" s="420">
        <v>29.17</v>
      </c>
      <c r="J1038" s="420">
        <f t="shared" si="283"/>
        <v>29.17</v>
      </c>
      <c r="K1038" s="421">
        <f t="shared" si="292"/>
        <v>34.659999999999997</v>
      </c>
      <c r="L1038" s="647" t="s">
        <v>2065</v>
      </c>
      <c r="M1038" s="576"/>
      <c r="N1038" s="576">
        <f t="shared" si="284"/>
        <v>0</v>
      </c>
      <c r="O1038" s="577">
        <f t="shared" si="289"/>
        <v>0</v>
      </c>
      <c r="P1038" s="578">
        <f t="shared" si="290"/>
        <v>0</v>
      </c>
      <c r="Q1038" s="765"/>
      <c r="R1038" s="576">
        <f t="shared" si="286"/>
        <v>0</v>
      </c>
      <c r="S1038" s="576">
        <f t="shared" si="286"/>
        <v>0</v>
      </c>
      <c r="T1038" s="577">
        <f t="shared" si="287"/>
        <v>0</v>
      </c>
      <c r="U1038" s="578">
        <f t="shared" si="288"/>
        <v>0</v>
      </c>
      <c r="V1038" s="579"/>
      <c r="W1038" s="566"/>
      <c r="X1038" s="586" t="str">
        <f t="shared" si="291"/>
        <v/>
      </c>
      <c r="Y1038" s="586" t="str">
        <f t="shared" si="285"/>
        <v/>
      </c>
      <c r="Z1038" s="586" t="str">
        <f t="shared" si="282"/>
        <v/>
      </c>
    </row>
    <row r="1039" spans="1:26" ht="23.25" hidden="1" thickBot="1" x14ac:dyDescent="0.25">
      <c r="A1039" s="567">
        <v>101938</v>
      </c>
      <c r="B1039" s="644">
        <v>101938</v>
      </c>
      <c r="C1039" s="645" t="s">
        <v>670</v>
      </c>
      <c r="D1039" s="422" t="s">
        <v>887</v>
      </c>
      <c r="E1039" s="423"/>
      <c r="F1039" s="424"/>
      <c r="G1039" s="425"/>
      <c r="H1039" s="651"/>
      <c r="I1039" s="420">
        <v>118.7</v>
      </c>
      <c r="J1039" s="420">
        <f t="shared" si="283"/>
        <v>118.7</v>
      </c>
      <c r="K1039" s="421">
        <f t="shared" si="292"/>
        <v>141.03</v>
      </c>
      <c r="L1039" s="647" t="s">
        <v>2065</v>
      </c>
      <c r="M1039" s="576"/>
      <c r="N1039" s="576">
        <f t="shared" si="284"/>
        <v>0</v>
      </c>
      <c r="O1039" s="577">
        <f t="shared" si="289"/>
        <v>0</v>
      </c>
      <c r="P1039" s="578">
        <f t="shared" si="290"/>
        <v>0</v>
      </c>
      <c r="Q1039" s="765"/>
      <c r="R1039" s="576">
        <f t="shared" si="286"/>
        <v>0</v>
      </c>
      <c r="S1039" s="576">
        <f t="shared" si="286"/>
        <v>0</v>
      </c>
      <c r="T1039" s="577">
        <f t="shared" si="287"/>
        <v>0</v>
      </c>
      <c r="U1039" s="578">
        <f t="shared" si="288"/>
        <v>0</v>
      </c>
      <c r="V1039" s="579"/>
      <c r="W1039" s="566"/>
      <c r="X1039" s="586" t="str">
        <f t="shared" si="291"/>
        <v/>
      </c>
      <c r="Y1039" s="586" t="str">
        <f t="shared" si="285"/>
        <v/>
      </c>
      <c r="Z1039" s="586" t="str">
        <f t="shared" si="282"/>
        <v/>
      </c>
    </row>
    <row r="1040" spans="1:26" ht="23.25" hidden="1" thickBot="1" x14ac:dyDescent="0.25">
      <c r="A1040" s="567">
        <v>101489</v>
      </c>
      <c r="B1040" s="644">
        <v>101489</v>
      </c>
      <c r="C1040" s="645" t="s">
        <v>670</v>
      </c>
      <c r="D1040" s="422" t="s">
        <v>888</v>
      </c>
      <c r="E1040" s="423"/>
      <c r="F1040" s="424"/>
      <c r="G1040" s="425"/>
      <c r="H1040" s="651"/>
      <c r="I1040" s="420">
        <v>1458.09</v>
      </c>
      <c r="J1040" s="420">
        <f t="shared" si="283"/>
        <v>1458.09</v>
      </c>
      <c r="K1040" s="421">
        <f t="shared" si="292"/>
        <v>1732.36</v>
      </c>
      <c r="L1040" s="647" t="s">
        <v>2065</v>
      </c>
      <c r="M1040" s="576"/>
      <c r="N1040" s="576">
        <f t="shared" si="284"/>
        <v>0</v>
      </c>
      <c r="O1040" s="577">
        <f t="shared" si="289"/>
        <v>0</v>
      </c>
      <c r="P1040" s="578">
        <f t="shared" si="290"/>
        <v>0</v>
      </c>
      <c r="Q1040" s="765"/>
      <c r="R1040" s="576">
        <f t="shared" si="286"/>
        <v>0</v>
      </c>
      <c r="S1040" s="576">
        <f t="shared" si="286"/>
        <v>0</v>
      </c>
      <c r="T1040" s="577">
        <f t="shared" si="287"/>
        <v>0</v>
      </c>
      <c r="U1040" s="578">
        <f t="shared" si="288"/>
        <v>0</v>
      </c>
      <c r="V1040" s="579"/>
      <c r="W1040" s="566"/>
      <c r="X1040" s="586" t="str">
        <f t="shared" si="291"/>
        <v/>
      </c>
      <c r="Y1040" s="586" t="str">
        <f t="shared" si="285"/>
        <v/>
      </c>
      <c r="Z1040" s="586" t="str">
        <f t="shared" si="282"/>
        <v/>
      </c>
    </row>
    <row r="1041" spans="1:26" ht="23.25" hidden="1" thickBot="1" x14ac:dyDescent="0.25">
      <c r="A1041" s="567">
        <v>101490</v>
      </c>
      <c r="B1041" s="644">
        <v>101490</v>
      </c>
      <c r="C1041" s="645" t="s">
        <v>670</v>
      </c>
      <c r="D1041" s="422" t="s">
        <v>889</v>
      </c>
      <c r="E1041" s="423"/>
      <c r="F1041" s="424"/>
      <c r="G1041" s="425"/>
      <c r="H1041" s="651"/>
      <c r="I1041" s="420">
        <v>1550.71</v>
      </c>
      <c r="J1041" s="420">
        <f t="shared" si="283"/>
        <v>1550.71</v>
      </c>
      <c r="K1041" s="421">
        <f t="shared" si="292"/>
        <v>1842.4</v>
      </c>
      <c r="L1041" s="647" t="s">
        <v>2065</v>
      </c>
      <c r="M1041" s="576"/>
      <c r="N1041" s="576">
        <f t="shared" si="284"/>
        <v>0</v>
      </c>
      <c r="O1041" s="577">
        <f t="shared" si="289"/>
        <v>0</v>
      </c>
      <c r="P1041" s="578">
        <f t="shared" si="290"/>
        <v>0</v>
      </c>
      <c r="Q1041" s="765"/>
      <c r="R1041" s="576">
        <f t="shared" si="286"/>
        <v>0</v>
      </c>
      <c r="S1041" s="576">
        <f t="shared" si="286"/>
        <v>0</v>
      </c>
      <c r="T1041" s="577">
        <f t="shared" si="287"/>
        <v>0</v>
      </c>
      <c r="U1041" s="578">
        <f t="shared" si="288"/>
        <v>0</v>
      </c>
      <c r="V1041" s="579"/>
      <c r="W1041" s="566"/>
      <c r="X1041" s="586" t="str">
        <f t="shared" si="291"/>
        <v/>
      </c>
      <c r="Y1041" s="586" t="str">
        <f t="shared" si="285"/>
        <v/>
      </c>
      <c r="Z1041" s="586" t="str">
        <f t="shared" si="282"/>
        <v/>
      </c>
    </row>
    <row r="1042" spans="1:26" ht="23.25" hidden="1" thickBot="1" x14ac:dyDescent="0.25">
      <c r="A1042" s="567">
        <v>101491</v>
      </c>
      <c r="B1042" s="644">
        <v>101491</v>
      </c>
      <c r="C1042" s="645" t="s">
        <v>670</v>
      </c>
      <c r="D1042" s="422" t="s">
        <v>890</v>
      </c>
      <c r="E1042" s="423"/>
      <c r="F1042" s="424"/>
      <c r="G1042" s="425"/>
      <c r="H1042" s="651"/>
      <c r="I1042" s="420">
        <v>1580.41</v>
      </c>
      <c r="J1042" s="420">
        <f t="shared" si="283"/>
        <v>1580.41</v>
      </c>
      <c r="K1042" s="421">
        <f t="shared" si="292"/>
        <v>1877.69</v>
      </c>
      <c r="L1042" s="647" t="s">
        <v>2065</v>
      </c>
      <c r="M1042" s="576"/>
      <c r="N1042" s="576">
        <f t="shared" si="284"/>
        <v>0</v>
      </c>
      <c r="O1042" s="577">
        <f t="shared" si="289"/>
        <v>0</v>
      </c>
      <c r="P1042" s="578">
        <f t="shared" si="290"/>
        <v>0</v>
      </c>
      <c r="Q1042" s="765"/>
      <c r="R1042" s="576">
        <f t="shared" si="286"/>
        <v>0</v>
      </c>
      <c r="S1042" s="576">
        <f t="shared" si="286"/>
        <v>0</v>
      </c>
      <c r="T1042" s="577">
        <f t="shared" si="287"/>
        <v>0</v>
      </c>
      <c r="U1042" s="578">
        <f t="shared" si="288"/>
        <v>0</v>
      </c>
      <c r="V1042" s="579"/>
      <c r="W1042" s="566"/>
      <c r="X1042" s="586" t="str">
        <f t="shared" si="291"/>
        <v/>
      </c>
      <c r="Y1042" s="586" t="str">
        <f t="shared" si="285"/>
        <v/>
      </c>
      <c r="Z1042" s="586" t="str">
        <f t="shared" si="282"/>
        <v/>
      </c>
    </row>
    <row r="1043" spans="1:26" ht="23.25" hidden="1" thickBot="1" x14ac:dyDescent="0.25">
      <c r="A1043" s="567">
        <v>101492</v>
      </c>
      <c r="B1043" s="644">
        <v>101492</v>
      </c>
      <c r="C1043" s="645" t="s">
        <v>670</v>
      </c>
      <c r="D1043" s="422" t="s">
        <v>891</v>
      </c>
      <c r="E1043" s="423"/>
      <c r="F1043" s="424"/>
      <c r="G1043" s="425"/>
      <c r="H1043" s="651"/>
      <c r="I1043" s="420">
        <v>1720.47</v>
      </c>
      <c r="J1043" s="420">
        <f t="shared" ref="J1043:J1106" si="293">IF(ISBLANK(I1043),"",SUM(H1043:I1043))</f>
        <v>1720.47</v>
      </c>
      <c r="K1043" s="421">
        <f t="shared" si="292"/>
        <v>2044.09</v>
      </c>
      <c r="L1043" s="647" t="s">
        <v>2065</v>
      </c>
      <c r="M1043" s="576"/>
      <c r="N1043" s="576">
        <f t="shared" si="284"/>
        <v>0</v>
      </c>
      <c r="O1043" s="577">
        <f t="shared" si="289"/>
        <v>0</v>
      </c>
      <c r="P1043" s="578">
        <f t="shared" si="290"/>
        <v>0</v>
      </c>
      <c r="Q1043" s="765"/>
      <c r="R1043" s="576">
        <f t="shared" si="286"/>
        <v>0</v>
      </c>
      <c r="S1043" s="576">
        <f t="shared" si="286"/>
        <v>0</v>
      </c>
      <c r="T1043" s="577">
        <f t="shared" si="287"/>
        <v>0</v>
      </c>
      <c r="U1043" s="578">
        <f t="shared" si="288"/>
        <v>0</v>
      </c>
      <c r="V1043" s="579"/>
      <c r="W1043" s="566"/>
      <c r="X1043" s="586" t="str">
        <f t="shared" si="291"/>
        <v/>
      </c>
      <c r="Y1043" s="586" t="str">
        <f t="shared" si="285"/>
        <v/>
      </c>
      <c r="Z1043" s="586" t="str">
        <f t="shared" ref="Z1043:Z1106" si="294">IF(W1043="X","x",IF(U1043&gt;0,"x",""))</f>
        <v/>
      </c>
    </row>
    <row r="1044" spans="1:26" ht="23.25" hidden="1" thickBot="1" x14ac:dyDescent="0.25">
      <c r="A1044" s="567">
        <v>101493</v>
      </c>
      <c r="B1044" s="644">
        <v>101493</v>
      </c>
      <c r="C1044" s="645" t="s">
        <v>670</v>
      </c>
      <c r="D1044" s="422" t="s">
        <v>892</v>
      </c>
      <c r="E1044" s="423"/>
      <c r="F1044" s="424"/>
      <c r="G1044" s="425"/>
      <c r="H1044" s="651"/>
      <c r="I1044" s="420">
        <v>1441.18</v>
      </c>
      <c r="J1044" s="420">
        <f t="shared" si="293"/>
        <v>1441.18</v>
      </c>
      <c r="K1044" s="421">
        <f t="shared" si="292"/>
        <v>1712.27</v>
      </c>
      <c r="L1044" s="647" t="s">
        <v>2065</v>
      </c>
      <c r="M1044" s="576"/>
      <c r="N1044" s="576">
        <f t="shared" ref="N1044:N1107" si="295">IF(M1044=0,0,K1044)</f>
        <v>0</v>
      </c>
      <c r="O1044" s="577">
        <f t="shared" si="289"/>
        <v>0</v>
      </c>
      <c r="P1044" s="578">
        <f t="shared" si="290"/>
        <v>0</v>
      </c>
      <c r="Q1044" s="765"/>
      <c r="R1044" s="576">
        <f t="shared" si="286"/>
        <v>0</v>
      </c>
      <c r="S1044" s="576">
        <f t="shared" si="286"/>
        <v>0</v>
      </c>
      <c r="T1044" s="577">
        <f t="shared" si="287"/>
        <v>0</v>
      </c>
      <c r="U1044" s="578">
        <f t="shared" si="288"/>
        <v>0</v>
      </c>
      <c r="V1044" s="579"/>
      <c r="W1044" s="566"/>
      <c r="X1044" s="586" t="str">
        <f t="shared" si="291"/>
        <v/>
      </c>
      <c r="Y1044" s="586" t="str">
        <f t="shared" si="285"/>
        <v/>
      </c>
      <c r="Z1044" s="586" t="str">
        <f t="shared" si="294"/>
        <v/>
      </c>
    </row>
    <row r="1045" spans="1:26" ht="23.25" hidden="1" thickBot="1" x14ac:dyDescent="0.25">
      <c r="A1045" s="567">
        <v>101494</v>
      </c>
      <c r="B1045" s="644">
        <v>101494</v>
      </c>
      <c r="C1045" s="645" t="s">
        <v>670</v>
      </c>
      <c r="D1045" s="422" t="s">
        <v>893</v>
      </c>
      <c r="E1045" s="423"/>
      <c r="F1045" s="424"/>
      <c r="G1045" s="425"/>
      <c r="H1045" s="651"/>
      <c r="I1045" s="420">
        <v>1533.8</v>
      </c>
      <c r="J1045" s="420">
        <f t="shared" si="293"/>
        <v>1533.8</v>
      </c>
      <c r="K1045" s="421">
        <f t="shared" si="292"/>
        <v>1822.31</v>
      </c>
      <c r="L1045" s="647" t="s">
        <v>2065</v>
      </c>
      <c r="M1045" s="576"/>
      <c r="N1045" s="576">
        <f t="shared" si="295"/>
        <v>0</v>
      </c>
      <c r="O1045" s="577">
        <f t="shared" si="289"/>
        <v>0</v>
      </c>
      <c r="P1045" s="578">
        <f t="shared" si="290"/>
        <v>0</v>
      </c>
      <c r="Q1045" s="765"/>
      <c r="R1045" s="576">
        <f t="shared" si="286"/>
        <v>0</v>
      </c>
      <c r="S1045" s="576">
        <f t="shared" si="286"/>
        <v>0</v>
      </c>
      <c r="T1045" s="577">
        <f t="shared" si="287"/>
        <v>0</v>
      </c>
      <c r="U1045" s="578">
        <f t="shared" si="288"/>
        <v>0</v>
      </c>
      <c r="V1045" s="579"/>
      <c r="W1045" s="566"/>
      <c r="X1045" s="586" t="str">
        <f t="shared" si="291"/>
        <v/>
      </c>
      <c r="Y1045" s="586" t="str">
        <f t="shared" si="285"/>
        <v/>
      </c>
      <c r="Z1045" s="586" t="str">
        <f t="shared" si="294"/>
        <v/>
      </c>
    </row>
    <row r="1046" spans="1:26" ht="23.25" hidden="1" thickBot="1" x14ac:dyDescent="0.25">
      <c r="A1046" s="567">
        <v>101495</v>
      </c>
      <c r="B1046" s="644">
        <v>101495</v>
      </c>
      <c r="C1046" s="645" t="s">
        <v>670</v>
      </c>
      <c r="D1046" s="422" t="s">
        <v>894</v>
      </c>
      <c r="E1046" s="423"/>
      <c r="F1046" s="424"/>
      <c r="G1046" s="425"/>
      <c r="H1046" s="651"/>
      <c r="I1046" s="420">
        <v>1563.5</v>
      </c>
      <c r="J1046" s="420">
        <f t="shared" si="293"/>
        <v>1563.5</v>
      </c>
      <c r="K1046" s="421">
        <f t="shared" si="292"/>
        <v>1857.59</v>
      </c>
      <c r="L1046" s="647" t="s">
        <v>2065</v>
      </c>
      <c r="M1046" s="576"/>
      <c r="N1046" s="576">
        <f t="shared" si="295"/>
        <v>0</v>
      </c>
      <c r="O1046" s="577">
        <f t="shared" si="289"/>
        <v>0</v>
      </c>
      <c r="P1046" s="578">
        <f t="shared" si="290"/>
        <v>0</v>
      </c>
      <c r="Q1046" s="765"/>
      <c r="R1046" s="576">
        <f t="shared" si="286"/>
        <v>0</v>
      </c>
      <c r="S1046" s="576">
        <f t="shared" si="286"/>
        <v>0</v>
      </c>
      <c r="T1046" s="577">
        <f t="shared" si="287"/>
        <v>0</v>
      </c>
      <c r="U1046" s="578">
        <f t="shared" si="288"/>
        <v>0</v>
      </c>
      <c r="V1046" s="579"/>
      <c r="W1046" s="566"/>
      <c r="X1046" s="586" t="str">
        <f t="shared" si="291"/>
        <v/>
      </c>
      <c r="Y1046" s="586" t="str">
        <f t="shared" si="285"/>
        <v/>
      </c>
      <c r="Z1046" s="586" t="str">
        <f t="shared" si="294"/>
        <v/>
      </c>
    </row>
    <row r="1047" spans="1:26" ht="23.25" hidden="1" thickBot="1" x14ac:dyDescent="0.25">
      <c r="A1047" s="567">
        <v>101496</v>
      </c>
      <c r="B1047" s="644">
        <v>101496</v>
      </c>
      <c r="C1047" s="645" t="s">
        <v>670</v>
      </c>
      <c r="D1047" s="422" t="s">
        <v>895</v>
      </c>
      <c r="E1047" s="423"/>
      <c r="F1047" s="424"/>
      <c r="G1047" s="425"/>
      <c r="H1047" s="651"/>
      <c r="I1047" s="420">
        <v>1703.56</v>
      </c>
      <c r="J1047" s="420">
        <f t="shared" si="293"/>
        <v>1703.56</v>
      </c>
      <c r="K1047" s="421">
        <f t="shared" si="292"/>
        <v>2024</v>
      </c>
      <c r="L1047" s="647" t="s">
        <v>2065</v>
      </c>
      <c r="M1047" s="576"/>
      <c r="N1047" s="576">
        <f t="shared" si="295"/>
        <v>0</v>
      </c>
      <c r="O1047" s="577">
        <f t="shared" si="289"/>
        <v>0</v>
      </c>
      <c r="P1047" s="578">
        <f t="shared" si="290"/>
        <v>0</v>
      </c>
      <c r="Q1047" s="765"/>
      <c r="R1047" s="576">
        <f t="shared" si="286"/>
        <v>0</v>
      </c>
      <c r="S1047" s="576">
        <f t="shared" si="286"/>
        <v>0</v>
      </c>
      <c r="T1047" s="577">
        <f t="shared" si="287"/>
        <v>0</v>
      </c>
      <c r="U1047" s="578">
        <f t="shared" si="288"/>
        <v>0</v>
      </c>
      <c r="V1047" s="579"/>
      <c r="W1047" s="566"/>
      <c r="X1047" s="586" t="str">
        <f t="shared" si="291"/>
        <v/>
      </c>
      <c r="Y1047" s="586" t="str">
        <f t="shared" si="285"/>
        <v/>
      </c>
      <c r="Z1047" s="586" t="str">
        <f t="shared" si="294"/>
        <v/>
      </c>
    </row>
    <row r="1048" spans="1:26" ht="23.25" hidden="1" thickBot="1" x14ac:dyDescent="0.25">
      <c r="A1048" s="567">
        <v>101497</v>
      </c>
      <c r="B1048" s="644">
        <v>101497</v>
      </c>
      <c r="C1048" s="645" t="s">
        <v>670</v>
      </c>
      <c r="D1048" s="422" t="s">
        <v>896</v>
      </c>
      <c r="E1048" s="423"/>
      <c r="F1048" s="424"/>
      <c r="G1048" s="425"/>
      <c r="H1048" s="651"/>
      <c r="I1048" s="420">
        <v>1733.98</v>
      </c>
      <c r="J1048" s="420">
        <f t="shared" si="293"/>
        <v>1733.98</v>
      </c>
      <c r="K1048" s="421">
        <f t="shared" si="292"/>
        <v>2060.14</v>
      </c>
      <c r="L1048" s="647" t="s">
        <v>2065</v>
      </c>
      <c r="M1048" s="576"/>
      <c r="N1048" s="576">
        <f t="shared" si="295"/>
        <v>0</v>
      </c>
      <c r="O1048" s="577">
        <f t="shared" si="289"/>
        <v>0</v>
      </c>
      <c r="P1048" s="578">
        <f t="shared" si="290"/>
        <v>0</v>
      </c>
      <c r="Q1048" s="765"/>
      <c r="R1048" s="576">
        <f t="shared" si="286"/>
        <v>0</v>
      </c>
      <c r="S1048" s="576">
        <f t="shared" si="286"/>
        <v>0</v>
      </c>
      <c r="T1048" s="577">
        <f t="shared" si="287"/>
        <v>0</v>
      </c>
      <c r="U1048" s="578">
        <f t="shared" si="288"/>
        <v>0</v>
      </c>
      <c r="V1048" s="579"/>
      <c r="W1048" s="566"/>
      <c r="X1048" s="586" t="str">
        <f t="shared" si="291"/>
        <v/>
      </c>
      <c r="Y1048" s="586" t="str">
        <f t="shared" si="285"/>
        <v/>
      </c>
      <c r="Z1048" s="586" t="str">
        <f t="shared" si="294"/>
        <v/>
      </c>
    </row>
    <row r="1049" spans="1:26" ht="23.25" hidden="1" thickBot="1" x14ac:dyDescent="0.25">
      <c r="A1049" s="567">
        <v>101498</v>
      </c>
      <c r="B1049" s="644">
        <v>101498</v>
      </c>
      <c r="C1049" s="645" t="s">
        <v>670</v>
      </c>
      <c r="D1049" s="422" t="s">
        <v>897</v>
      </c>
      <c r="E1049" s="423"/>
      <c r="F1049" s="424"/>
      <c r="G1049" s="425"/>
      <c r="H1049" s="651"/>
      <c r="I1049" s="420">
        <v>1874.17</v>
      </c>
      <c r="J1049" s="420">
        <f t="shared" si="293"/>
        <v>1874.17</v>
      </c>
      <c r="K1049" s="421">
        <f t="shared" si="292"/>
        <v>2226.6999999999998</v>
      </c>
      <c r="L1049" s="647" t="s">
        <v>2065</v>
      </c>
      <c r="M1049" s="576"/>
      <c r="N1049" s="576">
        <f t="shared" si="295"/>
        <v>0</v>
      </c>
      <c r="O1049" s="577">
        <f t="shared" si="289"/>
        <v>0</v>
      </c>
      <c r="P1049" s="578">
        <f t="shared" si="290"/>
        <v>0</v>
      </c>
      <c r="Q1049" s="765"/>
      <c r="R1049" s="576">
        <f t="shared" si="286"/>
        <v>0</v>
      </c>
      <c r="S1049" s="576">
        <f t="shared" si="286"/>
        <v>0</v>
      </c>
      <c r="T1049" s="577">
        <f t="shared" si="287"/>
        <v>0</v>
      </c>
      <c r="U1049" s="578">
        <f t="shared" si="288"/>
        <v>0</v>
      </c>
      <c r="V1049" s="579"/>
      <c r="W1049" s="566"/>
      <c r="X1049" s="586" t="str">
        <f t="shared" si="291"/>
        <v/>
      </c>
      <c r="Y1049" s="586" t="str">
        <f t="shared" si="285"/>
        <v/>
      </c>
      <c r="Z1049" s="586" t="str">
        <f t="shared" si="294"/>
        <v/>
      </c>
    </row>
    <row r="1050" spans="1:26" ht="23.25" hidden="1" thickBot="1" x14ac:dyDescent="0.25">
      <c r="A1050" s="567">
        <v>101499</v>
      </c>
      <c r="B1050" s="644">
        <v>101499</v>
      </c>
      <c r="C1050" s="645" t="s">
        <v>670</v>
      </c>
      <c r="D1050" s="422" t="s">
        <v>898</v>
      </c>
      <c r="E1050" s="423"/>
      <c r="F1050" s="424"/>
      <c r="G1050" s="425"/>
      <c r="H1050" s="651"/>
      <c r="I1050" s="420">
        <v>1919.13</v>
      </c>
      <c r="J1050" s="420">
        <f t="shared" si="293"/>
        <v>1919.13</v>
      </c>
      <c r="K1050" s="421">
        <f t="shared" si="292"/>
        <v>2280.12</v>
      </c>
      <c r="L1050" s="647" t="s">
        <v>2065</v>
      </c>
      <c r="M1050" s="576"/>
      <c r="N1050" s="576">
        <f t="shared" si="295"/>
        <v>0</v>
      </c>
      <c r="O1050" s="577">
        <f t="shared" si="289"/>
        <v>0</v>
      </c>
      <c r="P1050" s="578">
        <f t="shared" si="290"/>
        <v>0</v>
      </c>
      <c r="Q1050" s="765"/>
      <c r="R1050" s="576">
        <f t="shared" si="286"/>
        <v>0</v>
      </c>
      <c r="S1050" s="576">
        <f t="shared" si="286"/>
        <v>0</v>
      </c>
      <c r="T1050" s="577">
        <f t="shared" si="287"/>
        <v>0</v>
      </c>
      <c r="U1050" s="578">
        <f t="shared" si="288"/>
        <v>0</v>
      </c>
      <c r="V1050" s="579"/>
      <c r="W1050" s="566"/>
      <c r="X1050" s="586" t="str">
        <f t="shared" si="291"/>
        <v/>
      </c>
      <c r="Y1050" s="586" t="str">
        <f t="shared" si="285"/>
        <v/>
      </c>
      <c r="Z1050" s="586" t="str">
        <f t="shared" si="294"/>
        <v/>
      </c>
    </row>
    <row r="1051" spans="1:26" ht="23.25" hidden="1" thickBot="1" x14ac:dyDescent="0.25">
      <c r="A1051" s="567">
        <v>101500</v>
      </c>
      <c r="B1051" s="644">
        <v>101500</v>
      </c>
      <c r="C1051" s="645" t="s">
        <v>670</v>
      </c>
      <c r="D1051" s="422" t="s">
        <v>899</v>
      </c>
      <c r="E1051" s="423"/>
      <c r="F1051" s="424"/>
      <c r="G1051" s="425"/>
      <c r="H1051" s="651"/>
      <c r="I1051" s="420">
        <v>2113.15</v>
      </c>
      <c r="J1051" s="420">
        <f t="shared" si="293"/>
        <v>2113.15</v>
      </c>
      <c r="K1051" s="421">
        <f t="shared" si="292"/>
        <v>2510.63</v>
      </c>
      <c r="L1051" s="647" t="s">
        <v>2065</v>
      </c>
      <c r="M1051" s="576"/>
      <c r="N1051" s="576">
        <f t="shared" si="295"/>
        <v>0</v>
      </c>
      <c r="O1051" s="577">
        <f t="shared" si="289"/>
        <v>0</v>
      </c>
      <c r="P1051" s="578">
        <f t="shared" si="290"/>
        <v>0</v>
      </c>
      <c r="Q1051" s="765"/>
      <c r="R1051" s="576">
        <f t="shared" si="286"/>
        <v>0</v>
      </c>
      <c r="S1051" s="576">
        <f t="shared" si="286"/>
        <v>0</v>
      </c>
      <c r="T1051" s="577">
        <f t="shared" si="287"/>
        <v>0</v>
      </c>
      <c r="U1051" s="578">
        <f t="shared" si="288"/>
        <v>0</v>
      </c>
      <c r="V1051" s="579"/>
      <c r="W1051" s="566"/>
      <c r="X1051" s="586" t="str">
        <f t="shared" si="291"/>
        <v/>
      </c>
      <c r="Y1051" s="586" t="str">
        <f t="shared" si="285"/>
        <v/>
      </c>
      <c r="Z1051" s="586" t="str">
        <f t="shared" si="294"/>
        <v/>
      </c>
    </row>
    <row r="1052" spans="1:26" ht="23.25" hidden="1" thickBot="1" x14ac:dyDescent="0.25">
      <c r="A1052" s="567">
        <v>101501</v>
      </c>
      <c r="B1052" s="644">
        <v>101501</v>
      </c>
      <c r="C1052" s="645" t="s">
        <v>670</v>
      </c>
      <c r="D1052" s="422" t="s">
        <v>900</v>
      </c>
      <c r="E1052" s="423"/>
      <c r="F1052" s="424"/>
      <c r="G1052" s="425"/>
      <c r="H1052" s="651"/>
      <c r="I1052" s="420">
        <v>1724.18</v>
      </c>
      <c r="J1052" s="420">
        <f t="shared" si="293"/>
        <v>1724.18</v>
      </c>
      <c r="K1052" s="421">
        <f t="shared" si="292"/>
        <v>2048.5</v>
      </c>
      <c r="L1052" s="647" t="s">
        <v>2065</v>
      </c>
      <c r="M1052" s="576"/>
      <c r="N1052" s="576">
        <f t="shared" si="295"/>
        <v>0</v>
      </c>
      <c r="O1052" s="577">
        <f t="shared" si="289"/>
        <v>0</v>
      </c>
      <c r="P1052" s="578">
        <f t="shared" si="290"/>
        <v>0</v>
      </c>
      <c r="Q1052" s="765"/>
      <c r="R1052" s="576">
        <f t="shared" si="286"/>
        <v>0</v>
      </c>
      <c r="S1052" s="576">
        <f t="shared" si="286"/>
        <v>0</v>
      </c>
      <c r="T1052" s="577">
        <f t="shared" si="287"/>
        <v>0</v>
      </c>
      <c r="U1052" s="578">
        <f t="shared" si="288"/>
        <v>0</v>
      </c>
      <c r="V1052" s="579"/>
      <c r="W1052" s="566"/>
      <c r="X1052" s="586" t="str">
        <f t="shared" si="291"/>
        <v/>
      </c>
      <c r="Y1052" s="586" t="str">
        <f t="shared" si="285"/>
        <v/>
      </c>
      <c r="Z1052" s="586" t="str">
        <f t="shared" si="294"/>
        <v/>
      </c>
    </row>
    <row r="1053" spans="1:26" ht="23.25" hidden="1" thickBot="1" x14ac:dyDescent="0.25">
      <c r="A1053" s="567">
        <v>101502</v>
      </c>
      <c r="B1053" s="644">
        <v>101502</v>
      </c>
      <c r="C1053" s="645" t="s">
        <v>670</v>
      </c>
      <c r="D1053" s="422" t="s">
        <v>901</v>
      </c>
      <c r="E1053" s="423"/>
      <c r="F1053" s="424"/>
      <c r="G1053" s="425"/>
      <c r="H1053" s="651"/>
      <c r="I1053" s="420">
        <v>1864.37</v>
      </c>
      <c r="J1053" s="420">
        <f t="shared" si="293"/>
        <v>1864.37</v>
      </c>
      <c r="K1053" s="421">
        <f t="shared" si="292"/>
        <v>2215.06</v>
      </c>
      <c r="L1053" s="647" t="s">
        <v>2065</v>
      </c>
      <c r="M1053" s="576"/>
      <c r="N1053" s="576">
        <f t="shared" si="295"/>
        <v>0</v>
      </c>
      <c r="O1053" s="577">
        <f t="shared" si="289"/>
        <v>0</v>
      </c>
      <c r="P1053" s="578">
        <f t="shared" si="290"/>
        <v>0</v>
      </c>
      <c r="Q1053" s="765"/>
      <c r="R1053" s="576">
        <f t="shared" si="286"/>
        <v>0</v>
      </c>
      <c r="S1053" s="576">
        <f t="shared" si="286"/>
        <v>0</v>
      </c>
      <c r="T1053" s="577">
        <f t="shared" si="287"/>
        <v>0</v>
      </c>
      <c r="U1053" s="578">
        <f t="shared" si="288"/>
        <v>0</v>
      </c>
      <c r="V1053" s="579"/>
      <c r="W1053" s="566"/>
      <c r="X1053" s="586" t="str">
        <f t="shared" si="291"/>
        <v/>
      </c>
      <c r="Y1053" s="586" t="str">
        <f t="shared" si="285"/>
        <v/>
      </c>
      <c r="Z1053" s="586" t="str">
        <f t="shared" si="294"/>
        <v/>
      </c>
    </row>
    <row r="1054" spans="1:26" ht="23.25" hidden="1" thickBot="1" x14ac:dyDescent="0.25">
      <c r="A1054" s="567">
        <v>101503</v>
      </c>
      <c r="B1054" s="644">
        <v>101503</v>
      </c>
      <c r="C1054" s="645" t="s">
        <v>670</v>
      </c>
      <c r="D1054" s="422" t="s">
        <v>902</v>
      </c>
      <c r="E1054" s="423"/>
      <c r="F1054" s="424"/>
      <c r="G1054" s="425"/>
      <c r="H1054" s="651"/>
      <c r="I1054" s="420">
        <v>1909.33</v>
      </c>
      <c r="J1054" s="420">
        <f t="shared" si="293"/>
        <v>1909.33</v>
      </c>
      <c r="K1054" s="421">
        <f t="shared" si="292"/>
        <v>2268.4699999999998</v>
      </c>
      <c r="L1054" s="647" t="s">
        <v>2065</v>
      </c>
      <c r="M1054" s="576"/>
      <c r="N1054" s="576">
        <f t="shared" si="295"/>
        <v>0</v>
      </c>
      <c r="O1054" s="577">
        <f t="shared" si="289"/>
        <v>0</v>
      </c>
      <c r="P1054" s="578">
        <f t="shared" si="290"/>
        <v>0</v>
      </c>
      <c r="Q1054" s="765"/>
      <c r="R1054" s="576">
        <f t="shared" si="286"/>
        <v>0</v>
      </c>
      <c r="S1054" s="576">
        <f t="shared" si="286"/>
        <v>0</v>
      </c>
      <c r="T1054" s="577">
        <f t="shared" si="287"/>
        <v>0</v>
      </c>
      <c r="U1054" s="578">
        <f t="shared" si="288"/>
        <v>0</v>
      </c>
      <c r="V1054" s="579"/>
      <c r="W1054" s="566"/>
      <c r="X1054" s="586" t="str">
        <f t="shared" si="291"/>
        <v/>
      </c>
      <c r="Y1054" s="586" t="str">
        <f t="shared" si="285"/>
        <v/>
      </c>
      <c r="Z1054" s="586" t="str">
        <f t="shared" si="294"/>
        <v/>
      </c>
    </row>
    <row r="1055" spans="1:26" ht="23.25" hidden="1" thickBot="1" x14ac:dyDescent="0.25">
      <c r="A1055" s="567">
        <v>101504</v>
      </c>
      <c r="B1055" s="644">
        <v>101504</v>
      </c>
      <c r="C1055" s="645" t="s">
        <v>670</v>
      </c>
      <c r="D1055" s="422" t="s">
        <v>903</v>
      </c>
      <c r="E1055" s="423"/>
      <c r="F1055" s="424"/>
      <c r="G1055" s="425"/>
      <c r="H1055" s="651"/>
      <c r="I1055" s="420">
        <v>2103.35</v>
      </c>
      <c r="J1055" s="420">
        <f t="shared" si="293"/>
        <v>2103.35</v>
      </c>
      <c r="K1055" s="421">
        <f t="shared" si="292"/>
        <v>2498.9899999999998</v>
      </c>
      <c r="L1055" s="647" t="s">
        <v>2065</v>
      </c>
      <c r="M1055" s="576"/>
      <c r="N1055" s="576">
        <f t="shared" si="295"/>
        <v>0</v>
      </c>
      <c r="O1055" s="577">
        <f t="shared" si="289"/>
        <v>0</v>
      </c>
      <c r="P1055" s="578">
        <f t="shared" si="290"/>
        <v>0</v>
      </c>
      <c r="Q1055" s="765"/>
      <c r="R1055" s="576">
        <f t="shared" si="286"/>
        <v>0</v>
      </c>
      <c r="S1055" s="576">
        <f t="shared" si="286"/>
        <v>0</v>
      </c>
      <c r="T1055" s="577">
        <f t="shared" si="287"/>
        <v>0</v>
      </c>
      <c r="U1055" s="578">
        <f t="shared" si="288"/>
        <v>0</v>
      </c>
      <c r="V1055" s="579"/>
      <c r="W1055" s="566"/>
      <c r="X1055" s="586" t="str">
        <f t="shared" si="291"/>
        <v/>
      </c>
      <c r="Y1055" s="586" t="str">
        <f t="shared" si="285"/>
        <v/>
      </c>
      <c r="Z1055" s="586" t="str">
        <f t="shared" si="294"/>
        <v/>
      </c>
    </row>
    <row r="1056" spans="1:26" ht="23.25" hidden="1" thickBot="1" x14ac:dyDescent="0.25">
      <c r="A1056" s="567">
        <v>101505</v>
      </c>
      <c r="B1056" s="644">
        <v>101505</v>
      </c>
      <c r="C1056" s="645" t="s">
        <v>670</v>
      </c>
      <c r="D1056" s="422" t="s">
        <v>904</v>
      </c>
      <c r="E1056" s="423"/>
      <c r="F1056" s="424"/>
      <c r="G1056" s="425"/>
      <c r="H1056" s="651"/>
      <c r="I1056" s="420">
        <v>1850.2</v>
      </c>
      <c r="J1056" s="420">
        <f t="shared" si="293"/>
        <v>1850.2</v>
      </c>
      <c r="K1056" s="421">
        <f t="shared" si="292"/>
        <v>2198.2199999999998</v>
      </c>
      <c r="L1056" s="647" t="s">
        <v>2065</v>
      </c>
      <c r="M1056" s="576"/>
      <c r="N1056" s="576">
        <f t="shared" si="295"/>
        <v>0</v>
      </c>
      <c r="O1056" s="577">
        <f t="shared" si="289"/>
        <v>0</v>
      </c>
      <c r="P1056" s="578">
        <f t="shared" si="290"/>
        <v>0</v>
      </c>
      <c r="Q1056" s="765"/>
      <c r="R1056" s="576">
        <f t="shared" si="286"/>
        <v>0</v>
      </c>
      <c r="S1056" s="576">
        <f t="shared" si="286"/>
        <v>0</v>
      </c>
      <c r="T1056" s="577">
        <f t="shared" si="287"/>
        <v>0</v>
      </c>
      <c r="U1056" s="578">
        <f t="shared" si="288"/>
        <v>0</v>
      </c>
      <c r="V1056" s="579"/>
      <c r="W1056" s="566"/>
      <c r="X1056" s="586" t="str">
        <f t="shared" si="291"/>
        <v/>
      </c>
      <c r="Y1056" s="586" t="str">
        <f t="shared" si="285"/>
        <v/>
      </c>
      <c r="Z1056" s="586" t="str">
        <f t="shared" si="294"/>
        <v/>
      </c>
    </row>
    <row r="1057" spans="1:26" ht="23.25" hidden="1" thickBot="1" x14ac:dyDescent="0.25">
      <c r="A1057" s="567">
        <v>101506</v>
      </c>
      <c r="B1057" s="644">
        <v>101506</v>
      </c>
      <c r="C1057" s="645" t="s">
        <v>670</v>
      </c>
      <c r="D1057" s="422" t="s">
        <v>905</v>
      </c>
      <c r="E1057" s="423"/>
      <c r="F1057" s="424"/>
      <c r="G1057" s="425"/>
      <c r="H1057" s="651"/>
      <c r="I1057" s="420">
        <v>2037.13</v>
      </c>
      <c r="J1057" s="420">
        <f t="shared" si="293"/>
        <v>2037.13</v>
      </c>
      <c r="K1057" s="421">
        <f t="shared" si="292"/>
        <v>2420.31</v>
      </c>
      <c r="L1057" s="647" t="s">
        <v>2065</v>
      </c>
      <c r="M1057" s="576"/>
      <c r="N1057" s="576">
        <f t="shared" si="295"/>
        <v>0</v>
      </c>
      <c r="O1057" s="577">
        <f t="shared" si="289"/>
        <v>0</v>
      </c>
      <c r="P1057" s="578">
        <f t="shared" si="290"/>
        <v>0</v>
      </c>
      <c r="Q1057" s="765"/>
      <c r="R1057" s="576">
        <f t="shared" si="286"/>
        <v>0</v>
      </c>
      <c r="S1057" s="576">
        <f t="shared" si="286"/>
        <v>0</v>
      </c>
      <c r="T1057" s="577">
        <f t="shared" si="287"/>
        <v>0</v>
      </c>
      <c r="U1057" s="578">
        <f t="shared" si="288"/>
        <v>0</v>
      </c>
      <c r="V1057" s="579"/>
      <c r="W1057" s="566"/>
      <c r="X1057" s="586" t="str">
        <f t="shared" si="291"/>
        <v/>
      </c>
      <c r="Y1057" s="586" t="str">
        <f t="shared" si="285"/>
        <v/>
      </c>
      <c r="Z1057" s="586" t="str">
        <f t="shared" si="294"/>
        <v/>
      </c>
    </row>
    <row r="1058" spans="1:26" ht="23.25" hidden="1" thickBot="1" x14ac:dyDescent="0.25">
      <c r="A1058" s="567">
        <v>101507</v>
      </c>
      <c r="B1058" s="644">
        <v>101507</v>
      </c>
      <c r="C1058" s="645" t="s">
        <v>670</v>
      </c>
      <c r="D1058" s="422" t="s">
        <v>906</v>
      </c>
      <c r="E1058" s="423"/>
      <c r="F1058" s="424"/>
      <c r="G1058" s="425"/>
      <c r="H1058" s="651"/>
      <c r="I1058" s="420">
        <v>2097.0700000000002</v>
      </c>
      <c r="J1058" s="420">
        <f t="shared" si="293"/>
        <v>2097.0700000000002</v>
      </c>
      <c r="K1058" s="421">
        <f t="shared" si="292"/>
        <v>2491.5300000000002</v>
      </c>
      <c r="L1058" s="647" t="s">
        <v>2065</v>
      </c>
      <c r="M1058" s="576"/>
      <c r="N1058" s="576">
        <f t="shared" si="295"/>
        <v>0</v>
      </c>
      <c r="O1058" s="577">
        <f t="shared" si="289"/>
        <v>0</v>
      </c>
      <c r="P1058" s="578">
        <f t="shared" si="290"/>
        <v>0</v>
      </c>
      <c r="Q1058" s="765"/>
      <c r="R1058" s="576">
        <f t="shared" si="286"/>
        <v>0</v>
      </c>
      <c r="S1058" s="576">
        <f t="shared" si="286"/>
        <v>0</v>
      </c>
      <c r="T1058" s="577">
        <f t="shared" si="287"/>
        <v>0</v>
      </c>
      <c r="U1058" s="578">
        <f t="shared" si="288"/>
        <v>0</v>
      </c>
      <c r="V1058" s="579"/>
      <c r="W1058" s="566"/>
      <c r="X1058" s="586" t="str">
        <f t="shared" si="291"/>
        <v/>
      </c>
      <c r="Y1058" s="586" t="str">
        <f t="shared" si="285"/>
        <v/>
      </c>
      <c r="Z1058" s="586" t="str">
        <f t="shared" si="294"/>
        <v/>
      </c>
    </row>
    <row r="1059" spans="1:26" ht="23.25" hidden="1" thickBot="1" x14ac:dyDescent="0.25">
      <c r="A1059" s="567">
        <v>101508</v>
      </c>
      <c r="B1059" s="644">
        <v>101508</v>
      </c>
      <c r="C1059" s="645" t="s">
        <v>670</v>
      </c>
      <c r="D1059" s="422" t="s">
        <v>907</v>
      </c>
      <c r="E1059" s="423"/>
      <c r="F1059" s="424"/>
      <c r="G1059" s="425"/>
      <c r="H1059" s="651"/>
      <c r="I1059" s="420">
        <v>2344.09</v>
      </c>
      <c r="J1059" s="420">
        <f t="shared" si="293"/>
        <v>2344.09</v>
      </c>
      <c r="K1059" s="421">
        <f t="shared" si="292"/>
        <v>2785.01</v>
      </c>
      <c r="L1059" s="647" t="s">
        <v>2065</v>
      </c>
      <c r="M1059" s="576"/>
      <c r="N1059" s="576">
        <f t="shared" si="295"/>
        <v>0</v>
      </c>
      <c r="O1059" s="577">
        <f t="shared" si="289"/>
        <v>0</v>
      </c>
      <c r="P1059" s="578">
        <f t="shared" si="290"/>
        <v>0</v>
      </c>
      <c r="Q1059" s="765"/>
      <c r="R1059" s="576">
        <f t="shared" si="286"/>
        <v>0</v>
      </c>
      <c r="S1059" s="576">
        <f t="shared" si="286"/>
        <v>0</v>
      </c>
      <c r="T1059" s="577">
        <f t="shared" si="287"/>
        <v>0</v>
      </c>
      <c r="U1059" s="578">
        <f t="shared" si="288"/>
        <v>0</v>
      </c>
      <c r="V1059" s="579"/>
      <c r="W1059" s="566"/>
      <c r="X1059" s="586" t="str">
        <f t="shared" si="291"/>
        <v/>
      </c>
      <c r="Y1059" s="586" t="str">
        <f t="shared" ref="Y1059:Y1122" si="296">IF(W1059="X","x",IF(W1059="y","x",IF(W1059="xx","x",IF(U1059&gt;0,"x",""))))</f>
        <v/>
      </c>
      <c r="Z1059" s="586" t="str">
        <f t="shared" si="294"/>
        <v/>
      </c>
    </row>
    <row r="1060" spans="1:26" ht="23.25" hidden="1" thickBot="1" x14ac:dyDescent="0.25">
      <c r="A1060" s="567">
        <v>101509</v>
      </c>
      <c r="B1060" s="644">
        <v>101509</v>
      </c>
      <c r="C1060" s="645" t="s">
        <v>670</v>
      </c>
      <c r="D1060" s="422" t="s">
        <v>908</v>
      </c>
      <c r="E1060" s="423"/>
      <c r="F1060" s="424"/>
      <c r="G1060" s="425"/>
      <c r="H1060" s="651"/>
      <c r="I1060" s="420">
        <v>2006.91</v>
      </c>
      <c r="J1060" s="420">
        <f t="shared" si="293"/>
        <v>2006.91</v>
      </c>
      <c r="K1060" s="421">
        <f t="shared" si="292"/>
        <v>2384.41</v>
      </c>
      <c r="L1060" s="647" t="s">
        <v>2065</v>
      </c>
      <c r="M1060" s="576"/>
      <c r="N1060" s="576">
        <f t="shared" si="295"/>
        <v>0</v>
      </c>
      <c r="O1060" s="577">
        <f t="shared" si="289"/>
        <v>0</v>
      </c>
      <c r="P1060" s="578">
        <f t="shared" si="290"/>
        <v>0</v>
      </c>
      <c r="Q1060" s="765"/>
      <c r="R1060" s="576">
        <f t="shared" si="286"/>
        <v>0</v>
      </c>
      <c r="S1060" s="576">
        <f t="shared" si="286"/>
        <v>0</v>
      </c>
      <c r="T1060" s="577">
        <f t="shared" si="287"/>
        <v>0</v>
      </c>
      <c r="U1060" s="578">
        <f t="shared" si="288"/>
        <v>0</v>
      </c>
      <c r="V1060" s="579"/>
      <c r="W1060" s="566"/>
      <c r="X1060" s="586" t="str">
        <f t="shared" si="291"/>
        <v/>
      </c>
      <c r="Y1060" s="586" t="str">
        <f t="shared" si="296"/>
        <v/>
      </c>
      <c r="Z1060" s="586" t="str">
        <f t="shared" si="294"/>
        <v/>
      </c>
    </row>
    <row r="1061" spans="1:26" ht="23.25" hidden="1" thickBot="1" x14ac:dyDescent="0.25">
      <c r="A1061" s="567">
        <v>101510</v>
      </c>
      <c r="B1061" s="644">
        <v>101510</v>
      </c>
      <c r="C1061" s="645" t="s">
        <v>670</v>
      </c>
      <c r="D1061" s="422" t="s">
        <v>909</v>
      </c>
      <c r="E1061" s="423"/>
      <c r="F1061" s="424"/>
      <c r="G1061" s="425"/>
      <c r="H1061" s="651"/>
      <c r="I1061" s="420">
        <v>2193.84</v>
      </c>
      <c r="J1061" s="420">
        <f t="shared" si="293"/>
        <v>2193.84</v>
      </c>
      <c r="K1061" s="421">
        <f t="shared" si="292"/>
        <v>2606.5</v>
      </c>
      <c r="L1061" s="647" t="s">
        <v>2065</v>
      </c>
      <c r="M1061" s="576"/>
      <c r="N1061" s="576">
        <f t="shared" si="295"/>
        <v>0</v>
      </c>
      <c r="O1061" s="577">
        <f t="shared" si="289"/>
        <v>0</v>
      </c>
      <c r="P1061" s="578">
        <f t="shared" si="290"/>
        <v>0</v>
      </c>
      <c r="Q1061" s="765"/>
      <c r="R1061" s="576">
        <f t="shared" si="286"/>
        <v>0</v>
      </c>
      <c r="S1061" s="576">
        <f t="shared" si="286"/>
        <v>0</v>
      </c>
      <c r="T1061" s="577">
        <f t="shared" si="287"/>
        <v>0</v>
      </c>
      <c r="U1061" s="578">
        <f t="shared" si="288"/>
        <v>0</v>
      </c>
      <c r="V1061" s="579"/>
      <c r="W1061" s="566"/>
      <c r="X1061" s="586" t="str">
        <f t="shared" si="291"/>
        <v/>
      </c>
      <c r="Y1061" s="586" t="str">
        <f t="shared" si="296"/>
        <v/>
      </c>
      <c r="Z1061" s="586" t="str">
        <f t="shared" si="294"/>
        <v/>
      </c>
    </row>
    <row r="1062" spans="1:26" ht="23.25" hidden="1" thickBot="1" x14ac:dyDescent="0.25">
      <c r="A1062" s="567">
        <v>101511</v>
      </c>
      <c r="B1062" s="644">
        <v>101511</v>
      </c>
      <c r="C1062" s="645" t="s">
        <v>670</v>
      </c>
      <c r="D1062" s="422" t="s">
        <v>910</v>
      </c>
      <c r="E1062" s="423"/>
      <c r="F1062" s="424"/>
      <c r="G1062" s="425"/>
      <c r="H1062" s="651"/>
      <c r="I1062" s="420">
        <v>2253.7800000000002</v>
      </c>
      <c r="J1062" s="420">
        <f t="shared" si="293"/>
        <v>2253.7800000000002</v>
      </c>
      <c r="K1062" s="421">
        <f t="shared" si="292"/>
        <v>2677.72</v>
      </c>
      <c r="L1062" s="647" t="s">
        <v>2065</v>
      </c>
      <c r="M1062" s="576"/>
      <c r="N1062" s="576">
        <f t="shared" si="295"/>
        <v>0</v>
      </c>
      <c r="O1062" s="577">
        <f t="shared" si="289"/>
        <v>0</v>
      </c>
      <c r="P1062" s="578">
        <f t="shared" si="290"/>
        <v>0</v>
      </c>
      <c r="Q1062" s="765"/>
      <c r="R1062" s="576">
        <f t="shared" si="286"/>
        <v>0</v>
      </c>
      <c r="S1062" s="576">
        <f t="shared" si="286"/>
        <v>0</v>
      </c>
      <c r="T1062" s="577">
        <f t="shared" si="287"/>
        <v>0</v>
      </c>
      <c r="U1062" s="578">
        <f t="shared" si="288"/>
        <v>0</v>
      </c>
      <c r="V1062" s="579"/>
      <c r="W1062" s="566"/>
      <c r="X1062" s="586" t="str">
        <f t="shared" si="291"/>
        <v/>
      </c>
      <c r="Y1062" s="586" t="str">
        <f t="shared" si="296"/>
        <v/>
      </c>
      <c r="Z1062" s="586" t="str">
        <f t="shared" si="294"/>
        <v/>
      </c>
    </row>
    <row r="1063" spans="1:26" ht="23.25" hidden="1" thickBot="1" x14ac:dyDescent="0.25">
      <c r="A1063" s="567">
        <v>101512</v>
      </c>
      <c r="B1063" s="644">
        <v>101512</v>
      </c>
      <c r="C1063" s="645" t="s">
        <v>670</v>
      </c>
      <c r="D1063" s="422" t="s">
        <v>911</v>
      </c>
      <c r="E1063" s="423"/>
      <c r="F1063" s="424"/>
      <c r="G1063" s="425"/>
      <c r="H1063" s="651"/>
      <c r="I1063" s="420">
        <v>2500.8000000000002</v>
      </c>
      <c r="J1063" s="420">
        <f t="shared" si="293"/>
        <v>2500.8000000000002</v>
      </c>
      <c r="K1063" s="421">
        <f t="shared" si="292"/>
        <v>2971.2</v>
      </c>
      <c r="L1063" s="647" t="s">
        <v>2065</v>
      </c>
      <c r="M1063" s="576"/>
      <c r="N1063" s="576">
        <f t="shared" si="295"/>
        <v>0</v>
      </c>
      <c r="O1063" s="577">
        <f t="shared" si="289"/>
        <v>0</v>
      </c>
      <c r="P1063" s="578">
        <f t="shared" si="290"/>
        <v>0</v>
      </c>
      <c r="Q1063" s="765"/>
      <c r="R1063" s="576">
        <f t="shared" si="286"/>
        <v>0</v>
      </c>
      <c r="S1063" s="576">
        <f t="shared" si="286"/>
        <v>0</v>
      </c>
      <c r="T1063" s="577">
        <f t="shared" si="287"/>
        <v>0</v>
      </c>
      <c r="U1063" s="578">
        <f t="shared" si="288"/>
        <v>0</v>
      </c>
      <c r="V1063" s="579"/>
      <c r="W1063" s="566"/>
      <c r="X1063" s="586" t="str">
        <f t="shared" si="291"/>
        <v/>
      </c>
      <c r="Y1063" s="586" t="str">
        <f t="shared" si="296"/>
        <v/>
      </c>
      <c r="Z1063" s="586" t="str">
        <f t="shared" si="294"/>
        <v/>
      </c>
    </row>
    <row r="1064" spans="1:26" ht="23.25" hidden="1" thickBot="1" x14ac:dyDescent="0.25">
      <c r="A1064" s="567">
        <v>101513</v>
      </c>
      <c r="B1064" s="644">
        <v>101513</v>
      </c>
      <c r="C1064" s="645" t="s">
        <v>670</v>
      </c>
      <c r="D1064" s="422" t="s">
        <v>912</v>
      </c>
      <c r="E1064" s="423"/>
      <c r="F1064" s="424"/>
      <c r="G1064" s="425"/>
      <c r="H1064" s="651"/>
      <c r="I1064" s="420">
        <v>810.41</v>
      </c>
      <c r="J1064" s="420">
        <f t="shared" si="293"/>
        <v>810.41</v>
      </c>
      <c r="K1064" s="421">
        <f t="shared" si="292"/>
        <v>962.85</v>
      </c>
      <c r="L1064" s="647" t="s">
        <v>2065</v>
      </c>
      <c r="M1064" s="576"/>
      <c r="N1064" s="576">
        <f t="shared" si="295"/>
        <v>0</v>
      </c>
      <c r="O1064" s="577">
        <f t="shared" si="289"/>
        <v>0</v>
      </c>
      <c r="P1064" s="578">
        <f t="shared" si="290"/>
        <v>0</v>
      </c>
      <c r="Q1064" s="765"/>
      <c r="R1064" s="576">
        <f t="shared" si="286"/>
        <v>0</v>
      </c>
      <c r="S1064" s="576">
        <f t="shared" si="286"/>
        <v>0</v>
      </c>
      <c r="T1064" s="577">
        <f t="shared" si="287"/>
        <v>0</v>
      </c>
      <c r="U1064" s="578">
        <f t="shared" si="288"/>
        <v>0</v>
      </c>
      <c r="V1064" s="579"/>
      <c r="W1064" s="566"/>
      <c r="X1064" s="586" t="str">
        <f t="shared" si="291"/>
        <v/>
      </c>
      <c r="Y1064" s="586" t="str">
        <f t="shared" si="296"/>
        <v/>
      </c>
      <c r="Z1064" s="586" t="str">
        <f t="shared" si="294"/>
        <v/>
      </c>
    </row>
    <row r="1065" spans="1:26" ht="23.25" hidden="1" thickBot="1" x14ac:dyDescent="0.25">
      <c r="A1065" s="567">
        <v>101514</v>
      </c>
      <c r="B1065" s="644">
        <v>101514</v>
      </c>
      <c r="C1065" s="645" t="s">
        <v>670</v>
      </c>
      <c r="D1065" s="422" t="s">
        <v>913</v>
      </c>
      <c r="E1065" s="423"/>
      <c r="F1065" s="424"/>
      <c r="G1065" s="425"/>
      <c r="H1065" s="651"/>
      <c r="I1065" s="420">
        <v>921.56</v>
      </c>
      <c r="J1065" s="420">
        <f t="shared" si="293"/>
        <v>921.56</v>
      </c>
      <c r="K1065" s="421">
        <f t="shared" si="292"/>
        <v>1094.9100000000001</v>
      </c>
      <c r="L1065" s="647" t="s">
        <v>2065</v>
      </c>
      <c r="M1065" s="576"/>
      <c r="N1065" s="576">
        <f t="shared" si="295"/>
        <v>0</v>
      </c>
      <c r="O1065" s="577">
        <f t="shared" si="289"/>
        <v>0</v>
      </c>
      <c r="P1065" s="578">
        <f t="shared" si="290"/>
        <v>0</v>
      </c>
      <c r="Q1065" s="765"/>
      <c r="R1065" s="576">
        <f t="shared" si="286"/>
        <v>0</v>
      </c>
      <c r="S1065" s="576">
        <f t="shared" si="286"/>
        <v>0</v>
      </c>
      <c r="T1065" s="577">
        <f t="shared" si="287"/>
        <v>0</v>
      </c>
      <c r="U1065" s="578">
        <f t="shared" si="288"/>
        <v>0</v>
      </c>
      <c r="V1065" s="579"/>
      <c r="W1065" s="566"/>
      <c r="X1065" s="586" t="str">
        <f t="shared" si="291"/>
        <v/>
      </c>
      <c r="Y1065" s="586" t="str">
        <f t="shared" si="296"/>
        <v/>
      </c>
      <c r="Z1065" s="586" t="str">
        <f t="shared" si="294"/>
        <v/>
      </c>
    </row>
    <row r="1066" spans="1:26" ht="23.25" hidden="1" thickBot="1" x14ac:dyDescent="0.25">
      <c r="A1066" s="567">
        <v>101515</v>
      </c>
      <c r="B1066" s="644">
        <v>101515</v>
      </c>
      <c r="C1066" s="645" t="s">
        <v>670</v>
      </c>
      <c r="D1066" s="422" t="s">
        <v>914</v>
      </c>
      <c r="E1066" s="423"/>
      <c r="F1066" s="424"/>
      <c r="G1066" s="425"/>
      <c r="H1066" s="651"/>
      <c r="I1066" s="420">
        <v>957.2</v>
      </c>
      <c r="J1066" s="420">
        <f t="shared" si="293"/>
        <v>957.2</v>
      </c>
      <c r="K1066" s="421">
        <f t="shared" si="292"/>
        <v>1137.25</v>
      </c>
      <c r="L1066" s="647" t="s">
        <v>2065</v>
      </c>
      <c r="M1066" s="576"/>
      <c r="N1066" s="576">
        <f t="shared" si="295"/>
        <v>0</v>
      </c>
      <c r="O1066" s="577">
        <f t="shared" si="289"/>
        <v>0</v>
      </c>
      <c r="P1066" s="578">
        <f t="shared" si="290"/>
        <v>0</v>
      </c>
      <c r="Q1066" s="765"/>
      <c r="R1066" s="576">
        <f t="shared" si="286"/>
        <v>0</v>
      </c>
      <c r="S1066" s="576">
        <f t="shared" si="286"/>
        <v>0</v>
      </c>
      <c r="T1066" s="577">
        <f t="shared" si="287"/>
        <v>0</v>
      </c>
      <c r="U1066" s="578">
        <f t="shared" si="288"/>
        <v>0</v>
      </c>
      <c r="V1066" s="579"/>
      <c r="W1066" s="566"/>
      <c r="X1066" s="586" t="str">
        <f t="shared" si="291"/>
        <v/>
      </c>
      <c r="Y1066" s="586" t="str">
        <f t="shared" si="296"/>
        <v/>
      </c>
      <c r="Z1066" s="586" t="str">
        <f t="shared" si="294"/>
        <v/>
      </c>
    </row>
    <row r="1067" spans="1:26" ht="23.25" hidden="1" thickBot="1" x14ac:dyDescent="0.25">
      <c r="A1067" s="567">
        <v>101516</v>
      </c>
      <c r="B1067" s="644">
        <v>101516</v>
      </c>
      <c r="C1067" s="645" t="s">
        <v>670</v>
      </c>
      <c r="D1067" s="422" t="s">
        <v>915</v>
      </c>
      <c r="E1067" s="423"/>
      <c r="F1067" s="424"/>
      <c r="G1067" s="425"/>
      <c r="H1067" s="651"/>
      <c r="I1067" s="420">
        <v>1083.26</v>
      </c>
      <c r="J1067" s="420">
        <f t="shared" si="293"/>
        <v>1083.26</v>
      </c>
      <c r="K1067" s="421">
        <f t="shared" si="292"/>
        <v>1287.02</v>
      </c>
      <c r="L1067" s="647" t="s">
        <v>2065</v>
      </c>
      <c r="M1067" s="576"/>
      <c r="N1067" s="576">
        <f t="shared" si="295"/>
        <v>0</v>
      </c>
      <c r="O1067" s="577">
        <f t="shared" si="289"/>
        <v>0</v>
      </c>
      <c r="P1067" s="578">
        <f t="shared" si="290"/>
        <v>0</v>
      </c>
      <c r="Q1067" s="765"/>
      <c r="R1067" s="576">
        <f t="shared" si="286"/>
        <v>0</v>
      </c>
      <c r="S1067" s="576">
        <f t="shared" si="286"/>
        <v>0</v>
      </c>
      <c r="T1067" s="577">
        <f t="shared" si="287"/>
        <v>0</v>
      </c>
      <c r="U1067" s="578">
        <f t="shared" si="288"/>
        <v>0</v>
      </c>
      <c r="V1067" s="579"/>
      <c r="W1067" s="566"/>
      <c r="X1067" s="586" t="str">
        <f t="shared" si="291"/>
        <v/>
      </c>
      <c r="Y1067" s="586" t="str">
        <f t="shared" si="296"/>
        <v/>
      </c>
      <c r="Z1067" s="586" t="str">
        <f t="shared" si="294"/>
        <v/>
      </c>
    </row>
    <row r="1068" spans="1:26" ht="23.25" hidden="1" thickBot="1" x14ac:dyDescent="0.25">
      <c r="A1068" s="567">
        <v>101517</v>
      </c>
      <c r="B1068" s="644">
        <v>101517</v>
      </c>
      <c r="C1068" s="645" t="s">
        <v>670</v>
      </c>
      <c r="D1068" s="422" t="s">
        <v>916</v>
      </c>
      <c r="E1068" s="423"/>
      <c r="F1068" s="424"/>
      <c r="G1068" s="425"/>
      <c r="H1068" s="651"/>
      <c r="I1068" s="420">
        <v>793.49</v>
      </c>
      <c r="J1068" s="420">
        <f t="shared" si="293"/>
        <v>793.49</v>
      </c>
      <c r="K1068" s="421">
        <f t="shared" si="292"/>
        <v>942.75</v>
      </c>
      <c r="L1068" s="647" t="s">
        <v>2065</v>
      </c>
      <c r="M1068" s="576"/>
      <c r="N1068" s="576">
        <f t="shared" si="295"/>
        <v>0</v>
      </c>
      <c r="O1068" s="577">
        <f t="shared" si="289"/>
        <v>0</v>
      </c>
      <c r="P1068" s="578">
        <f t="shared" si="290"/>
        <v>0</v>
      </c>
      <c r="Q1068" s="765"/>
      <c r="R1068" s="576">
        <f t="shared" si="286"/>
        <v>0</v>
      </c>
      <c r="S1068" s="576">
        <f t="shared" si="286"/>
        <v>0</v>
      </c>
      <c r="T1068" s="577">
        <f t="shared" si="287"/>
        <v>0</v>
      </c>
      <c r="U1068" s="578">
        <f t="shared" si="288"/>
        <v>0</v>
      </c>
      <c r="V1068" s="579"/>
      <c r="W1068" s="566"/>
      <c r="X1068" s="586" t="str">
        <f t="shared" si="291"/>
        <v/>
      </c>
      <c r="Y1068" s="586" t="str">
        <f t="shared" si="296"/>
        <v/>
      </c>
      <c r="Z1068" s="586" t="str">
        <f t="shared" si="294"/>
        <v/>
      </c>
    </row>
    <row r="1069" spans="1:26" ht="23.25" hidden="1" thickBot="1" x14ac:dyDescent="0.25">
      <c r="A1069" s="567">
        <v>101518</v>
      </c>
      <c r="B1069" s="644">
        <v>101518</v>
      </c>
      <c r="C1069" s="645" t="s">
        <v>670</v>
      </c>
      <c r="D1069" s="422" t="s">
        <v>917</v>
      </c>
      <c r="E1069" s="423"/>
      <c r="F1069" s="424"/>
      <c r="G1069" s="425"/>
      <c r="H1069" s="651"/>
      <c r="I1069" s="420">
        <v>904.64</v>
      </c>
      <c r="J1069" s="420">
        <f t="shared" si="293"/>
        <v>904.64</v>
      </c>
      <c r="K1069" s="421">
        <f t="shared" si="292"/>
        <v>1074.8</v>
      </c>
      <c r="L1069" s="647" t="s">
        <v>2065</v>
      </c>
      <c r="M1069" s="576"/>
      <c r="N1069" s="576">
        <f t="shared" si="295"/>
        <v>0</v>
      </c>
      <c r="O1069" s="577">
        <f t="shared" si="289"/>
        <v>0</v>
      </c>
      <c r="P1069" s="578">
        <f t="shared" si="290"/>
        <v>0</v>
      </c>
      <c r="Q1069" s="765"/>
      <c r="R1069" s="576">
        <f t="shared" si="286"/>
        <v>0</v>
      </c>
      <c r="S1069" s="576">
        <f t="shared" si="286"/>
        <v>0</v>
      </c>
      <c r="T1069" s="577">
        <f t="shared" si="287"/>
        <v>0</v>
      </c>
      <c r="U1069" s="578">
        <f t="shared" si="288"/>
        <v>0</v>
      </c>
      <c r="V1069" s="579"/>
      <c r="W1069" s="566"/>
      <c r="X1069" s="586" t="str">
        <f t="shared" si="291"/>
        <v/>
      </c>
      <c r="Y1069" s="586" t="str">
        <f t="shared" si="296"/>
        <v/>
      </c>
      <c r="Z1069" s="586" t="str">
        <f t="shared" si="294"/>
        <v/>
      </c>
    </row>
    <row r="1070" spans="1:26" ht="23.25" hidden="1" thickBot="1" x14ac:dyDescent="0.25">
      <c r="A1070" s="567">
        <v>101519</v>
      </c>
      <c r="B1070" s="644">
        <v>101519</v>
      </c>
      <c r="C1070" s="645" t="s">
        <v>670</v>
      </c>
      <c r="D1070" s="422" t="s">
        <v>918</v>
      </c>
      <c r="E1070" s="423"/>
      <c r="F1070" s="424"/>
      <c r="G1070" s="425"/>
      <c r="H1070" s="651"/>
      <c r="I1070" s="420">
        <v>940.28</v>
      </c>
      <c r="J1070" s="420">
        <f t="shared" si="293"/>
        <v>940.28</v>
      </c>
      <c r="K1070" s="421">
        <f t="shared" si="292"/>
        <v>1117.1500000000001</v>
      </c>
      <c r="L1070" s="647" t="s">
        <v>2065</v>
      </c>
      <c r="M1070" s="576"/>
      <c r="N1070" s="576">
        <f t="shared" si="295"/>
        <v>0</v>
      </c>
      <c r="O1070" s="577">
        <f t="shared" si="289"/>
        <v>0</v>
      </c>
      <c r="P1070" s="578">
        <f t="shared" si="290"/>
        <v>0</v>
      </c>
      <c r="Q1070" s="765"/>
      <c r="R1070" s="576">
        <f t="shared" si="286"/>
        <v>0</v>
      </c>
      <c r="S1070" s="576">
        <f t="shared" si="286"/>
        <v>0</v>
      </c>
      <c r="T1070" s="577">
        <f t="shared" si="287"/>
        <v>0</v>
      </c>
      <c r="U1070" s="578">
        <f t="shared" si="288"/>
        <v>0</v>
      </c>
      <c r="V1070" s="579"/>
      <c r="W1070" s="566"/>
      <c r="X1070" s="586" t="str">
        <f t="shared" si="291"/>
        <v/>
      </c>
      <c r="Y1070" s="586" t="str">
        <f t="shared" si="296"/>
        <v/>
      </c>
      <c r="Z1070" s="586" t="str">
        <f t="shared" si="294"/>
        <v/>
      </c>
    </row>
    <row r="1071" spans="1:26" ht="23.25" hidden="1" thickBot="1" x14ac:dyDescent="0.25">
      <c r="A1071" s="567">
        <v>101520</v>
      </c>
      <c r="B1071" s="644">
        <v>101520</v>
      </c>
      <c r="C1071" s="645" t="s">
        <v>670</v>
      </c>
      <c r="D1071" s="422" t="s">
        <v>919</v>
      </c>
      <c r="E1071" s="423"/>
      <c r="F1071" s="424"/>
      <c r="G1071" s="425"/>
      <c r="H1071" s="651"/>
      <c r="I1071" s="420">
        <v>1066.3399999999999</v>
      </c>
      <c r="J1071" s="420">
        <f t="shared" si="293"/>
        <v>1066.3399999999999</v>
      </c>
      <c r="K1071" s="421">
        <f t="shared" si="292"/>
        <v>1266.92</v>
      </c>
      <c r="L1071" s="647" t="s">
        <v>2065</v>
      </c>
      <c r="M1071" s="576"/>
      <c r="N1071" s="576">
        <f t="shared" si="295"/>
        <v>0</v>
      </c>
      <c r="O1071" s="577">
        <f t="shared" si="289"/>
        <v>0</v>
      </c>
      <c r="P1071" s="578">
        <f t="shared" si="290"/>
        <v>0</v>
      </c>
      <c r="Q1071" s="765"/>
      <c r="R1071" s="576">
        <f t="shared" si="286"/>
        <v>0</v>
      </c>
      <c r="S1071" s="576">
        <f t="shared" si="286"/>
        <v>0</v>
      </c>
      <c r="T1071" s="577">
        <f t="shared" si="287"/>
        <v>0</v>
      </c>
      <c r="U1071" s="578">
        <f t="shared" si="288"/>
        <v>0</v>
      </c>
      <c r="V1071" s="579"/>
      <c r="W1071" s="566"/>
      <c r="X1071" s="586" t="str">
        <f t="shared" si="291"/>
        <v/>
      </c>
      <c r="Y1071" s="586" t="str">
        <f t="shared" si="296"/>
        <v/>
      </c>
      <c r="Z1071" s="586" t="str">
        <f t="shared" si="294"/>
        <v/>
      </c>
    </row>
    <row r="1072" spans="1:26" ht="23.25" hidden="1" thickBot="1" x14ac:dyDescent="0.25">
      <c r="A1072" s="567">
        <v>101521</v>
      </c>
      <c r="B1072" s="644">
        <v>101521</v>
      </c>
      <c r="C1072" s="645" t="s">
        <v>670</v>
      </c>
      <c r="D1072" s="422" t="s">
        <v>920</v>
      </c>
      <c r="E1072" s="423"/>
      <c r="F1072" s="424"/>
      <c r="G1072" s="425"/>
      <c r="H1072" s="651"/>
      <c r="I1072" s="420">
        <v>1101.6300000000001</v>
      </c>
      <c r="J1072" s="420">
        <f t="shared" si="293"/>
        <v>1101.6300000000001</v>
      </c>
      <c r="K1072" s="421">
        <f t="shared" si="292"/>
        <v>1308.8499999999999</v>
      </c>
      <c r="L1072" s="647" t="s">
        <v>2065</v>
      </c>
      <c r="M1072" s="576"/>
      <c r="N1072" s="576">
        <f t="shared" si="295"/>
        <v>0</v>
      </c>
      <c r="O1072" s="577">
        <f t="shared" si="289"/>
        <v>0</v>
      </c>
      <c r="P1072" s="578">
        <f t="shared" si="290"/>
        <v>0</v>
      </c>
      <c r="Q1072" s="765"/>
      <c r="R1072" s="576">
        <f t="shared" si="286"/>
        <v>0</v>
      </c>
      <c r="S1072" s="576">
        <f t="shared" si="286"/>
        <v>0</v>
      </c>
      <c r="T1072" s="577">
        <f t="shared" si="287"/>
        <v>0</v>
      </c>
      <c r="U1072" s="578">
        <f t="shared" si="288"/>
        <v>0</v>
      </c>
      <c r="V1072" s="579"/>
      <c r="W1072" s="566"/>
      <c r="X1072" s="586" t="str">
        <f t="shared" si="291"/>
        <v/>
      </c>
      <c r="Y1072" s="586" t="str">
        <f t="shared" si="296"/>
        <v/>
      </c>
      <c r="Z1072" s="586" t="str">
        <f t="shared" si="294"/>
        <v/>
      </c>
    </row>
    <row r="1073" spans="1:26" ht="23.25" hidden="1" thickBot="1" x14ac:dyDescent="0.25">
      <c r="A1073" s="567">
        <v>101522</v>
      </c>
      <c r="B1073" s="644">
        <v>101522</v>
      </c>
      <c r="C1073" s="645" t="s">
        <v>670</v>
      </c>
      <c r="D1073" s="422" t="s">
        <v>921</v>
      </c>
      <c r="E1073" s="423"/>
      <c r="F1073" s="424"/>
      <c r="G1073" s="425"/>
      <c r="H1073" s="651"/>
      <c r="I1073" s="420">
        <v>1268.3499999999999</v>
      </c>
      <c r="J1073" s="420">
        <f t="shared" si="293"/>
        <v>1268.3499999999999</v>
      </c>
      <c r="K1073" s="421">
        <f t="shared" si="292"/>
        <v>1506.93</v>
      </c>
      <c r="L1073" s="647" t="s">
        <v>2065</v>
      </c>
      <c r="M1073" s="576"/>
      <c r="N1073" s="576">
        <f t="shared" si="295"/>
        <v>0</v>
      </c>
      <c r="O1073" s="577">
        <f t="shared" si="289"/>
        <v>0</v>
      </c>
      <c r="P1073" s="578">
        <f t="shared" si="290"/>
        <v>0</v>
      </c>
      <c r="Q1073" s="765"/>
      <c r="R1073" s="576">
        <f t="shared" si="286"/>
        <v>0</v>
      </c>
      <c r="S1073" s="576">
        <f t="shared" si="286"/>
        <v>0</v>
      </c>
      <c r="T1073" s="577">
        <f t="shared" si="287"/>
        <v>0</v>
      </c>
      <c r="U1073" s="578">
        <f t="shared" si="288"/>
        <v>0</v>
      </c>
      <c r="V1073" s="579"/>
      <c r="W1073" s="566"/>
      <c r="X1073" s="586" t="str">
        <f t="shared" si="291"/>
        <v/>
      </c>
      <c r="Y1073" s="586" t="str">
        <f t="shared" si="296"/>
        <v/>
      </c>
      <c r="Z1073" s="586" t="str">
        <f t="shared" si="294"/>
        <v/>
      </c>
    </row>
    <row r="1074" spans="1:26" ht="23.25" hidden="1" thickBot="1" x14ac:dyDescent="0.25">
      <c r="A1074" s="567">
        <v>101523</v>
      </c>
      <c r="B1074" s="644">
        <v>101523</v>
      </c>
      <c r="C1074" s="645" t="s">
        <v>670</v>
      </c>
      <c r="D1074" s="422" t="s">
        <v>922</v>
      </c>
      <c r="E1074" s="423"/>
      <c r="F1074" s="424"/>
      <c r="G1074" s="425"/>
      <c r="H1074" s="651"/>
      <c r="I1074" s="420">
        <v>1321.81</v>
      </c>
      <c r="J1074" s="420">
        <f t="shared" si="293"/>
        <v>1321.81</v>
      </c>
      <c r="K1074" s="421">
        <f t="shared" si="292"/>
        <v>1570.44</v>
      </c>
      <c r="L1074" s="647" t="s">
        <v>2065</v>
      </c>
      <c r="M1074" s="576"/>
      <c r="N1074" s="576">
        <f t="shared" si="295"/>
        <v>0</v>
      </c>
      <c r="O1074" s="577">
        <f t="shared" si="289"/>
        <v>0</v>
      </c>
      <c r="P1074" s="578">
        <f t="shared" si="290"/>
        <v>0</v>
      </c>
      <c r="Q1074" s="765"/>
      <c r="R1074" s="576">
        <f t="shared" si="286"/>
        <v>0</v>
      </c>
      <c r="S1074" s="576">
        <f t="shared" si="286"/>
        <v>0</v>
      </c>
      <c r="T1074" s="577">
        <f t="shared" si="287"/>
        <v>0</v>
      </c>
      <c r="U1074" s="578">
        <f t="shared" si="288"/>
        <v>0</v>
      </c>
      <c r="V1074" s="579"/>
      <c r="W1074" s="566"/>
      <c r="X1074" s="586" t="str">
        <f t="shared" si="291"/>
        <v/>
      </c>
      <c r="Y1074" s="586" t="str">
        <f t="shared" si="296"/>
        <v/>
      </c>
      <c r="Z1074" s="586" t="str">
        <f t="shared" si="294"/>
        <v/>
      </c>
    </row>
    <row r="1075" spans="1:26" ht="23.25" hidden="1" thickBot="1" x14ac:dyDescent="0.25">
      <c r="A1075" s="567">
        <v>101524</v>
      </c>
      <c r="B1075" s="644">
        <v>101524</v>
      </c>
      <c r="C1075" s="645" t="s">
        <v>670</v>
      </c>
      <c r="D1075" s="422" t="s">
        <v>923</v>
      </c>
      <c r="E1075" s="423"/>
      <c r="F1075" s="424"/>
      <c r="G1075" s="425"/>
      <c r="H1075" s="651"/>
      <c r="I1075" s="420">
        <v>1510.9</v>
      </c>
      <c r="J1075" s="420">
        <f t="shared" si="293"/>
        <v>1510.9</v>
      </c>
      <c r="K1075" s="421">
        <f t="shared" si="292"/>
        <v>1795.1</v>
      </c>
      <c r="L1075" s="647" t="s">
        <v>2065</v>
      </c>
      <c r="M1075" s="576"/>
      <c r="N1075" s="576">
        <f t="shared" si="295"/>
        <v>0</v>
      </c>
      <c r="O1075" s="577">
        <f t="shared" si="289"/>
        <v>0</v>
      </c>
      <c r="P1075" s="578">
        <f t="shared" si="290"/>
        <v>0</v>
      </c>
      <c r="Q1075" s="765"/>
      <c r="R1075" s="576">
        <f t="shared" si="286"/>
        <v>0</v>
      </c>
      <c r="S1075" s="576">
        <f t="shared" si="286"/>
        <v>0</v>
      </c>
      <c r="T1075" s="577">
        <f t="shared" si="287"/>
        <v>0</v>
      </c>
      <c r="U1075" s="578">
        <f t="shared" si="288"/>
        <v>0</v>
      </c>
      <c r="V1075" s="579"/>
      <c r="W1075" s="566"/>
      <c r="X1075" s="586" t="str">
        <f t="shared" si="291"/>
        <v/>
      </c>
      <c r="Y1075" s="586" t="str">
        <f t="shared" si="296"/>
        <v/>
      </c>
      <c r="Z1075" s="586" t="str">
        <f t="shared" si="294"/>
        <v/>
      </c>
    </row>
    <row r="1076" spans="1:26" ht="23.25" hidden="1" thickBot="1" x14ac:dyDescent="0.25">
      <c r="A1076" s="567">
        <v>101525</v>
      </c>
      <c r="B1076" s="644">
        <v>101525</v>
      </c>
      <c r="C1076" s="645" t="s">
        <v>670</v>
      </c>
      <c r="D1076" s="422" t="s">
        <v>924</v>
      </c>
      <c r="E1076" s="423"/>
      <c r="F1076" s="424"/>
      <c r="G1076" s="425"/>
      <c r="H1076" s="651"/>
      <c r="I1076" s="420">
        <v>1091.83</v>
      </c>
      <c r="J1076" s="420">
        <f t="shared" si="293"/>
        <v>1091.83</v>
      </c>
      <c r="K1076" s="421">
        <f t="shared" si="292"/>
        <v>1297.2</v>
      </c>
      <c r="L1076" s="647" t="s">
        <v>2065</v>
      </c>
      <c r="M1076" s="576"/>
      <c r="N1076" s="576">
        <f t="shared" si="295"/>
        <v>0</v>
      </c>
      <c r="O1076" s="577">
        <f t="shared" si="289"/>
        <v>0</v>
      </c>
      <c r="P1076" s="578">
        <f t="shared" si="290"/>
        <v>0</v>
      </c>
      <c r="Q1076" s="765"/>
      <c r="R1076" s="576">
        <f t="shared" ref="R1076:S1139" si="297">M1076</f>
        <v>0</v>
      </c>
      <c r="S1076" s="576">
        <f t="shared" si="297"/>
        <v>0</v>
      </c>
      <c r="T1076" s="577">
        <f t="shared" ref="T1076:T1139" si="298">IF(ISBLANK(R1076),0,ROUND(K1076*R1076,2))</f>
        <v>0</v>
      </c>
      <c r="U1076" s="578">
        <f t="shared" ref="U1076:U1139" si="299">IF(ISBLANK(R1076),0,ROUND(R1076*S1076,2))</f>
        <v>0</v>
      </c>
      <c r="V1076" s="579"/>
      <c r="W1076" s="566"/>
      <c r="X1076" s="586" t="str">
        <f t="shared" si="291"/>
        <v/>
      </c>
      <c r="Y1076" s="586" t="str">
        <f t="shared" si="296"/>
        <v/>
      </c>
      <c r="Z1076" s="586" t="str">
        <f t="shared" si="294"/>
        <v/>
      </c>
    </row>
    <row r="1077" spans="1:26" ht="23.25" hidden="1" thickBot="1" x14ac:dyDescent="0.25">
      <c r="A1077" s="567">
        <v>101526</v>
      </c>
      <c r="B1077" s="644">
        <v>101526</v>
      </c>
      <c r="C1077" s="645" t="s">
        <v>670</v>
      </c>
      <c r="D1077" s="422" t="s">
        <v>925</v>
      </c>
      <c r="E1077" s="423"/>
      <c r="F1077" s="424"/>
      <c r="G1077" s="425"/>
      <c r="H1077" s="651"/>
      <c r="I1077" s="420">
        <v>1258.55</v>
      </c>
      <c r="J1077" s="420">
        <f t="shared" si="293"/>
        <v>1258.55</v>
      </c>
      <c r="K1077" s="421">
        <f t="shared" si="292"/>
        <v>1495.28</v>
      </c>
      <c r="L1077" s="647" t="s">
        <v>2065</v>
      </c>
      <c r="M1077" s="576"/>
      <c r="N1077" s="576">
        <f t="shared" si="295"/>
        <v>0</v>
      </c>
      <c r="O1077" s="577">
        <f t="shared" ref="O1077:O1140" si="300">IF(ISBLANK(M1077),0,ROUND(K1077*M1077,2))</f>
        <v>0</v>
      </c>
      <c r="P1077" s="578">
        <f t="shared" ref="P1077:P1140" si="301">IF(ISBLANK(N1077),0,ROUND(M1077*N1077,2))</f>
        <v>0</v>
      </c>
      <c r="Q1077" s="765"/>
      <c r="R1077" s="576">
        <f t="shared" si="297"/>
        <v>0</v>
      </c>
      <c r="S1077" s="576">
        <f t="shared" si="297"/>
        <v>0</v>
      </c>
      <c r="T1077" s="577">
        <f t="shared" si="298"/>
        <v>0</v>
      </c>
      <c r="U1077" s="578">
        <f t="shared" si="299"/>
        <v>0</v>
      </c>
      <c r="V1077" s="579"/>
      <c r="W1077" s="566"/>
      <c r="X1077" s="586" t="str">
        <f t="shared" si="291"/>
        <v/>
      </c>
      <c r="Y1077" s="586" t="str">
        <f t="shared" si="296"/>
        <v/>
      </c>
      <c r="Z1077" s="586" t="str">
        <f t="shared" si="294"/>
        <v/>
      </c>
    </row>
    <row r="1078" spans="1:26" ht="23.25" hidden="1" thickBot="1" x14ac:dyDescent="0.25">
      <c r="A1078" s="567">
        <v>101527</v>
      </c>
      <c r="B1078" s="644">
        <v>101527</v>
      </c>
      <c r="C1078" s="645" t="s">
        <v>670</v>
      </c>
      <c r="D1078" s="422" t="s">
        <v>926</v>
      </c>
      <c r="E1078" s="423"/>
      <c r="F1078" s="424"/>
      <c r="G1078" s="425"/>
      <c r="H1078" s="651"/>
      <c r="I1078" s="420">
        <v>1312.01</v>
      </c>
      <c r="J1078" s="420">
        <f t="shared" si="293"/>
        <v>1312.01</v>
      </c>
      <c r="K1078" s="421">
        <f t="shared" si="292"/>
        <v>1558.8</v>
      </c>
      <c r="L1078" s="647" t="s">
        <v>2065</v>
      </c>
      <c r="M1078" s="576"/>
      <c r="N1078" s="576">
        <f t="shared" si="295"/>
        <v>0</v>
      </c>
      <c r="O1078" s="577">
        <f t="shared" si="300"/>
        <v>0</v>
      </c>
      <c r="P1078" s="578">
        <f t="shared" si="301"/>
        <v>0</v>
      </c>
      <c r="Q1078" s="765"/>
      <c r="R1078" s="576">
        <f t="shared" si="297"/>
        <v>0</v>
      </c>
      <c r="S1078" s="576">
        <f t="shared" si="297"/>
        <v>0</v>
      </c>
      <c r="T1078" s="577">
        <f t="shared" si="298"/>
        <v>0</v>
      </c>
      <c r="U1078" s="578">
        <f t="shared" si="299"/>
        <v>0</v>
      </c>
      <c r="V1078" s="579"/>
      <c r="W1078" s="566"/>
      <c r="X1078" s="586" t="str">
        <f t="shared" si="291"/>
        <v/>
      </c>
      <c r="Y1078" s="586" t="str">
        <f t="shared" si="296"/>
        <v/>
      </c>
      <c r="Z1078" s="586" t="str">
        <f t="shared" si="294"/>
        <v/>
      </c>
    </row>
    <row r="1079" spans="1:26" ht="23.25" hidden="1" thickBot="1" x14ac:dyDescent="0.25">
      <c r="A1079" s="567">
        <v>101528</v>
      </c>
      <c r="B1079" s="644">
        <v>101528</v>
      </c>
      <c r="C1079" s="645" t="s">
        <v>670</v>
      </c>
      <c r="D1079" s="422" t="s">
        <v>927</v>
      </c>
      <c r="E1079" s="423"/>
      <c r="F1079" s="424"/>
      <c r="G1079" s="425"/>
      <c r="H1079" s="651"/>
      <c r="I1079" s="420">
        <v>1501.1</v>
      </c>
      <c r="J1079" s="420">
        <f t="shared" si="293"/>
        <v>1501.1</v>
      </c>
      <c r="K1079" s="421">
        <f t="shared" si="292"/>
        <v>1783.46</v>
      </c>
      <c r="L1079" s="647" t="s">
        <v>2065</v>
      </c>
      <c r="M1079" s="576"/>
      <c r="N1079" s="576">
        <f t="shared" si="295"/>
        <v>0</v>
      </c>
      <c r="O1079" s="577">
        <f t="shared" si="300"/>
        <v>0</v>
      </c>
      <c r="P1079" s="578">
        <f t="shared" si="301"/>
        <v>0</v>
      </c>
      <c r="Q1079" s="765"/>
      <c r="R1079" s="576">
        <f t="shared" si="297"/>
        <v>0</v>
      </c>
      <c r="S1079" s="576">
        <f t="shared" si="297"/>
        <v>0</v>
      </c>
      <c r="T1079" s="577">
        <f t="shared" si="298"/>
        <v>0</v>
      </c>
      <c r="U1079" s="578">
        <f t="shared" si="299"/>
        <v>0</v>
      </c>
      <c r="V1079" s="579"/>
      <c r="W1079" s="566"/>
      <c r="X1079" s="586" t="str">
        <f t="shared" si="291"/>
        <v/>
      </c>
      <c r="Y1079" s="586" t="str">
        <f t="shared" si="296"/>
        <v/>
      </c>
      <c r="Z1079" s="586" t="str">
        <f t="shared" si="294"/>
        <v/>
      </c>
    </row>
    <row r="1080" spans="1:26" ht="23.25" hidden="1" thickBot="1" x14ac:dyDescent="0.25">
      <c r="A1080" s="567">
        <v>101529</v>
      </c>
      <c r="B1080" s="644">
        <v>101529</v>
      </c>
      <c r="C1080" s="645" t="s">
        <v>670</v>
      </c>
      <c r="D1080" s="422" t="s">
        <v>928</v>
      </c>
      <c r="E1080" s="423"/>
      <c r="F1080" s="424"/>
      <c r="G1080" s="425"/>
      <c r="H1080" s="651"/>
      <c r="I1080" s="420">
        <v>1234.79</v>
      </c>
      <c r="J1080" s="420">
        <f t="shared" si="293"/>
        <v>1234.79</v>
      </c>
      <c r="K1080" s="421">
        <f t="shared" si="292"/>
        <v>1467.05</v>
      </c>
      <c r="L1080" s="647" t="s">
        <v>2065</v>
      </c>
      <c r="M1080" s="576"/>
      <c r="N1080" s="576">
        <f t="shared" si="295"/>
        <v>0</v>
      </c>
      <c r="O1080" s="577">
        <f t="shared" si="300"/>
        <v>0</v>
      </c>
      <c r="P1080" s="578">
        <f t="shared" si="301"/>
        <v>0</v>
      </c>
      <c r="Q1080" s="765"/>
      <c r="R1080" s="576">
        <f t="shared" si="297"/>
        <v>0</v>
      </c>
      <c r="S1080" s="576">
        <f t="shared" si="297"/>
        <v>0</v>
      </c>
      <c r="T1080" s="577">
        <f t="shared" si="298"/>
        <v>0</v>
      </c>
      <c r="U1080" s="578">
        <f t="shared" si="299"/>
        <v>0</v>
      </c>
      <c r="V1080" s="579"/>
      <c r="W1080" s="566"/>
      <c r="X1080" s="586" t="str">
        <f t="shared" si="291"/>
        <v/>
      </c>
      <c r="Y1080" s="586" t="str">
        <f t="shared" si="296"/>
        <v/>
      </c>
      <c r="Z1080" s="586" t="str">
        <f t="shared" si="294"/>
        <v/>
      </c>
    </row>
    <row r="1081" spans="1:26" ht="23.25" hidden="1" thickBot="1" x14ac:dyDescent="0.25">
      <c r="A1081" s="567">
        <v>101530</v>
      </c>
      <c r="B1081" s="644">
        <v>101530</v>
      </c>
      <c r="C1081" s="645" t="s">
        <v>670</v>
      </c>
      <c r="D1081" s="422" t="s">
        <v>929</v>
      </c>
      <c r="E1081" s="423"/>
      <c r="F1081" s="424"/>
      <c r="G1081" s="425"/>
      <c r="H1081" s="651"/>
      <c r="I1081" s="420">
        <v>1457.08</v>
      </c>
      <c r="J1081" s="420">
        <f t="shared" si="293"/>
        <v>1457.08</v>
      </c>
      <c r="K1081" s="421">
        <f t="shared" si="292"/>
        <v>1731.16</v>
      </c>
      <c r="L1081" s="647" t="s">
        <v>2065</v>
      </c>
      <c r="M1081" s="576"/>
      <c r="N1081" s="576">
        <f t="shared" si="295"/>
        <v>0</v>
      </c>
      <c r="O1081" s="577">
        <f t="shared" si="300"/>
        <v>0</v>
      </c>
      <c r="P1081" s="578">
        <f t="shared" si="301"/>
        <v>0</v>
      </c>
      <c r="Q1081" s="765"/>
      <c r="R1081" s="576">
        <f t="shared" si="297"/>
        <v>0</v>
      </c>
      <c r="S1081" s="576">
        <f t="shared" si="297"/>
        <v>0</v>
      </c>
      <c r="T1081" s="577">
        <f t="shared" si="298"/>
        <v>0</v>
      </c>
      <c r="U1081" s="578">
        <f t="shared" si="299"/>
        <v>0</v>
      </c>
      <c r="V1081" s="579"/>
      <c r="W1081" s="566"/>
      <c r="X1081" s="586" t="str">
        <f t="shared" si="291"/>
        <v/>
      </c>
      <c r="Y1081" s="586" t="str">
        <f t="shared" si="296"/>
        <v/>
      </c>
      <c r="Z1081" s="586" t="str">
        <f t="shared" si="294"/>
        <v/>
      </c>
    </row>
    <row r="1082" spans="1:26" ht="23.25" hidden="1" thickBot="1" x14ac:dyDescent="0.25">
      <c r="A1082" s="567">
        <v>101531</v>
      </c>
      <c r="B1082" s="644">
        <v>101531</v>
      </c>
      <c r="C1082" s="645" t="s">
        <v>670</v>
      </c>
      <c r="D1082" s="422" t="s">
        <v>930</v>
      </c>
      <c r="E1082" s="423"/>
      <c r="F1082" s="424"/>
      <c r="G1082" s="425"/>
      <c r="H1082" s="651"/>
      <c r="I1082" s="420">
        <v>1528.36</v>
      </c>
      <c r="J1082" s="420">
        <f t="shared" si="293"/>
        <v>1528.36</v>
      </c>
      <c r="K1082" s="421">
        <f t="shared" si="292"/>
        <v>1815.84</v>
      </c>
      <c r="L1082" s="647" t="s">
        <v>2065</v>
      </c>
      <c r="M1082" s="576"/>
      <c r="N1082" s="576">
        <f t="shared" si="295"/>
        <v>0</v>
      </c>
      <c r="O1082" s="577">
        <f t="shared" si="300"/>
        <v>0</v>
      </c>
      <c r="P1082" s="578">
        <f t="shared" si="301"/>
        <v>0</v>
      </c>
      <c r="Q1082" s="765"/>
      <c r="R1082" s="576">
        <f t="shared" si="297"/>
        <v>0</v>
      </c>
      <c r="S1082" s="576">
        <f t="shared" si="297"/>
        <v>0</v>
      </c>
      <c r="T1082" s="577">
        <f t="shared" si="298"/>
        <v>0</v>
      </c>
      <c r="U1082" s="578">
        <f t="shared" si="299"/>
        <v>0</v>
      </c>
      <c r="V1082" s="579"/>
      <c r="W1082" s="566"/>
      <c r="X1082" s="586" t="str">
        <f t="shared" si="291"/>
        <v/>
      </c>
      <c r="Y1082" s="586" t="str">
        <f t="shared" si="296"/>
        <v/>
      </c>
      <c r="Z1082" s="586" t="str">
        <f t="shared" si="294"/>
        <v/>
      </c>
    </row>
    <row r="1083" spans="1:26" ht="23.25" hidden="1" thickBot="1" x14ac:dyDescent="0.25">
      <c r="A1083" s="567">
        <v>101532</v>
      </c>
      <c r="B1083" s="644">
        <v>101532</v>
      </c>
      <c r="C1083" s="645" t="s">
        <v>670</v>
      </c>
      <c r="D1083" s="422" t="s">
        <v>931</v>
      </c>
      <c r="E1083" s="423"/>
      <c r="F1083" s="424"/>
      <c r="G1083" s="425"/>
      <c r="H1083" s="651"/>
      <c r="I1083" s="420">
        <v>1780.48</v>
      </c>
      <c r="J1083" s="420">
        <f t="shared" si="293"/>
        <v>1780.48</v>
      </c>
      <c r="K1083" s="421">
        <f t="shared" si="292"/>
        <v>2115.39</v>
      </c>
      <c r="L1083" s="647" t="s">
        <v>2065</v>
      </c>
      <c r="M1083" s="576"/>
      <c r="N1083" s="576">
        <f t="shared" si="295"/>
        <v>0</v>
      </c>
      <c r="O1083" s="577">
        <f t="shared" si="300"/>
        <v>0</v>
      </c>
      <c r="P1083" s="578">
        <f t="shared" si="301"/>
        <v>0</v>
      </c>
      <c r="Q1083" s="765"/>
      <c r="R1083" s="576">
        <f t="shared" si="297"/>
        <v>0</v>
      </c>
      <c r="S1083" s="576">
        <f t="shared" si="297"/>
        <v>0</v>
      </c>
      <c r="T1083" s="577">
        <f t="shared" si="298"/>
        <v>0</v>
      </c>
      <c r="U1083" s="578">
        <f t="shared" si="299"/>
        <v>0</v>
      </c>
      <c r="V1083" s="579"/>
      <c r="W1083" s="566"/>
      <c r="X1083" s="586" t="str">
        <f t="shared" si="291"/>
        <v/>
      </c>
      <c r="Y1083" s="586" t="str">
        <f t="shared" si="296"/>
        <v/>
      </c>
      <c r="Z1083" s="586" t="str">
        <f t="shared" si="294"/>
        <v/>
      </c>
    </row>
    <row r="1084" spans="1:26" ht="23.25" hidden="1" thickBot="1" x14ac:dyDescent="0.25">
      <c r="A1084" s="567">
        <v>101533</v>
      </c>
      <c r="B1084" s="644">
        <v>101533</v>
      </c>
      <c r="C1084" s="645" t="s">
        <v>670</v>
      </c>
      <c r="D1084" s="422" t="s">
        <v>932</v>
      </c>
      <c r="E1084" s="423"/>
      <c r="F1084" s="424"/>
      <c r="G1084" s="425"/>
      <c r="H1084" s="651"/>
      <c r="I1084" s="420">
        <v>1391.5</v>
      </c>
      <c r="J1084" s="420">
        <f t="shared" si="293"/>
        <v>1391.5</v>
      </c>
      <c r="K1084" s="421">
        <f t="shared" si="292"/>
        <v>1653.24</v>
      </c>
      <c r="L1084" s="647" t="s">
        <v>2065</v>
      </c>
      <c r="M1084" s="576"/>
      <c r="N1084" s="576">
        <f t="shared" si="295"/>
        <v>0</v>
      </c>
      <c r="O1084" s="577">
        <f t="shared" si="300"/>
        <v>0</v>
      </c>
      <c r="P1084" s="578">
        <f t="shared" si="301"/>
        <v>0</v>
      </c>
      <c r="Q1084" s="765"/>
      <c r="R1084" s="576">
        <f t="shared" si="297"/>
        <v>0</v>
      </c>
      <c r="S1084" s="576">
        <f t="shared" si="297"/>
        <v>0</v>
      </c>
      <c r="T1084" s="577">
        <f t="shared" si="298"/>
        <v>0</v>
      </c>
      <c r="U1084" s="578">
        <f t="shared" si="299"/>
        <v>0</v>
      </c>
      <c r="V1084" s="579"/>
      <c r="W1084" s="566"/>
      <c r="X1084" s="586" t="str">
        <f t="shared" si="291"/>
        <v/>
      </c>
      <c r="Y1084" s="586" t="str">
        <f t="shared" si="296"/>
        <v/>
      </c>
      <c r="Z1084" s="586" t="str">
        <f t="shared" si="294"/>
        <v/>
      </c>
    </row>
    <row r="1085" spans="1:26" ht="23.25" hidden="1" thickBot="1" x14ac:dyDescent="0.25">
      <c r="A1085" s="567">
        <v>101534</v>
      </c>
      <c r="B1085" s="644">
        <v>101534</v>
      </c>
      <c r="C1085" s="645" t="s">
        <v>670</v>
      </c>
      <c r="D1085" s="422" t="s">
        <v>933</v>
      </c>
      <c r="E1085" s="423"/>
      <c r="F1085" s="424"/>
      <c r="G1085" s="425"/>
      <c r="H1085" s="651"/>
      <c r="I1085" s="420">
        <v>1613.79</v>
      </c>
      <c r="J1085" s="420">
        <f t="shared" si="293"/>
        <v>1613.79</v>
      </c>
      <c r="K1085" s="421">
        <f t="shared" si="292"/>
        <v>1917.34</v>
      </c>
      <c r="L1085" s="647" t="s">
        <v>2065</v>
      </c>
      <c r="M1085" s="576"/>
      <c r="N1085" s="576">
        <f t="shared" si="295"/>
        <v>0</v>
      </c>
      <c r="O1085" s="577">
        <f t="shared" si="300"/>
        <v>0</v>
      </c>
      <c r="P1085" s="578">
        <f t="shared" si="301"/>
        <v>0</v>
      </c>
      <c r="Q1085" s="765"/>
      <c r="R1085" s="576">
        <f t="shared" si="297"/>
        <v>0</v>
      </c>
      <c r="S1085" s="576">
        <f t="shared" si="297"/>
        <v>0</v>
      </c>
      <c r="T1085" s="577">
        <f t="shared" si="298"/>
        <v>0</v>
      </c>
      <c r="U1085" s="578">
        <f t="shared" si="299"/>
        <v>0</v>
      </c>
      <c r="V1085" s="579"/>
      <c r="W1085" s="566"/>
      <c r="X1085" s="586" t="str">
        <f t="shared" ref="X1085:X1148" si="302">IF(W1085="X","x",IF(W1085="xx","x",IF(W1085="xy","x",IF(W1085="y","x",IF(OR(P1085&gt;0,U1085&gt;0),"x","")))))</f>
        <v/>
      </c>
      <c r="Y1085" s="586" t="str">
        <f t="shared" si="296"/>
        <v/>
      </c>
      <c r="Z1085" s="586" t="str">
        <f t="shared" si="294"/>
        <v/>
      </c>
    </row>
    <row r="1086" spans="1:26" ht="23.25" hidden="1" thickBot="1" x14ac:dyDescent="0.25">
      <c r="A1086" s="567">
        <v>101535</v>
      </c>
      <c r="B1086" s="644">
        <v>101535</v>
      </c>
      <c r="C1086" s="645" t="s">
        <v>670</v>
      </c>
      <c r="D1086" s="422" t="s">
        <v>934</v>
      </c>
      <c r="E1086" s="423"/>
      <c r="F1086" s="424"/>
      <c r="G1086" s="425"/>
      <c r="H1086" s="651"/>
      <c r="I1086" s="420">
        <v>1685.07</v>
      </c>
      <c r="J1086" s="420">
        <f t="shared" si="293"/>
        <v>1685.07</v>
      </c>
      <c r="K1086" s="421">
        <f t="shared" si="292"/>
        <v>2002.03</v>
      </c>
      <c r="L1086" s="647" t="s">
        <v>2065</v>
      </c>
      <c r="M1086" s="576"/>
      <c r="N1086" s="576">
        <f t="shared" si="295"/>
        <v>0</v>
      </c>
      <c r="O1086" s="577">
        <f t="shared" si="300"/>
        <v>0</v>
      </c>
      <c r="P1086" s="578">
        <f t="shared" si="301"/>
        <v>0</v>
      </c>
      <c r="Q1086" s="765"/>
      <c r="R1086" s="576">
        <f t="shared" si="297"/>
        <v>0</v>
      </c>
      <c r="S1086" s="576">
        <f t="shared" si="297"/>
        <v>0</v>
      </c>
      <c r="T1086" s="577">
        <f t="shared" si="298"/>
        <v>0</v>
      </c>
      <c r="U1086" s="578">
        <f t="shared" si="299"/>
        <v>0</v>
      </c>
      <c r="V1086" s="579"/>
      <c r="W1086" s="566"/>
      <c r="X1086" s="586" t="str">
        <f t="shared" si="302"/>
        <v/>
      </c>
      <c r="Y1086" s="586" t="str">
        <f t="shared" si="296"/>
        <v/>
      </c>
      <c r="Z1086" s="586" t="str">
        <f t="shared" si="294"/>
        <v/>
      </c>
    </row>
    <row r="1087" spans="1:26" ht="23.25" hidden="1" thickBot="1" x14ac:dyDescent="0.25">
      <c r="A1087" s="567">
        <v>101536</v>
      </c>
      <c r="B1087" s="644">
        <v>101536</v>
      </c>
      <c r="C1087" s="645" t="s">
        <v>670</v>
      </c>
      <c r="D1087" s="422" t="s">
        <v>935</v>
      </c>
      <c r="E1087" s="423"/>
      <c r="F1087" s="424"/>
      <c r="G1087" s="425"/>
      <c r="H1087" s="651"/>
      <c r="I1087" s="420">
        <v>1937.19</v>
      </c>
      <c r="J1087" s="420">
        <f t="shared" si="293"/>
        <v>1937.19</v>
      </c>
      <c r="K1087" s="421">
        <f t="shared" si="292"/>
        <v>2301.58</v>
      </c>
      <c r="L1087" s="647" t="s">
        <v>2065</v>
      </c>
      <c r="M1087" s="576"/>
      <c r="N1087" s="576">
        <f t="shared" si="295"/>
        <v>0</v>
      </c>
      <c r="O1087" s="577">
        <f t="shared" si="300"/>
        <v>0</v>
      </c>
      <c r="P1087" s="578">
        <f t="shared" si="301"/>
        <v>0</v>
      </c>
      <c r="Q1087" s="765"/>
      <c r="R1087" s="576">
        <f t="shared" si="297"/>
        <v>0</v>
      </c>
      <c r="S1087" s="576">
        <f t="shared" si="297"/>
        <v>0</v>
      </c>
      <c r="T1087" s="577">
        <f t="shared" si="298"/>
        <v>0</v>
      </c>
      <c r="U1087" s="578">
        <f t="shared" si="299"/>
        <v>0</v>
      </c>
      <c r="V1087" s="579"/>
      <c r="W1087" s="566"/>
      <c r="X1087" s="586" t="str">
        <f t="shared" si="302"/>
        <v/>
      </c>
      <c r="Y1087" s="586" t="str">
        <f t="shared" si="296"/>
        <v/>
      </c>
      <c r="Z1087" s="586" t="str">
        <f t="shared" si="294"/>
        <v/>
      </c>
    </row>
    <row r="1088" spans="1:26" ht="23.25" hidden="1" thickBot="1" x14ac:dyDescent="0.25">
      <c r="A1088" s="567" t="s">
        <v>936</v>
      </c>
      <c r="B1088" s="644" t="s">
        <v>936</v>
      </c>
      <c r="C1088" s="645" t="s">
        <v>2094</v>
      </c>
      <c r="D1088" s="422" t="s">
        <v>933</v>
      </c>
      <c r="E1088" s="423"/>
      <c r="F1088" s="424"/>
      <c r="G1088" s="425"/>
      <c r="H1088" s="651"/>
      <c r="I1088" s="420">
        <v>1724.04</v>
      </c>
      <c r="J1088" s="420">
        <f t="shared" si="293"/>
        <v>1724.04</v>
      </c>
      <c r="K1088" s="421">
        <f t="shared" si="292"/>
        <v>2048.33</v>
      </c>
      <c r="L1088" s="647" t="s">
        <v>2065</v>
      </c>
      <c r="M1088" s="576"/>
      <c r="N1088" s="576">
        <f t="shared" si="295"/>
        <v>0</v>
      </c>
      <c r="O1088" s="577">
        <f t="shared" si="300"/>
        <v>0</v>
      </c>
      <c r="P1088" s="578">
        <f t="shared" si="301"/>
        <v>0</v>
      </c>
      <c r="Q1088" s="765"/>
      <c r="R1088" s="576">
        <f t="shared" si="297"/>
        <v>0</v>
      </c>
      <c r="S1088" s="576">
        <f t="shared" si="297"/>
        <v>0</v>
      </c>
      <c r="T1088" s="577">
        <f t="shared" si="298"/>
        <v>0</v>
      </c>
      <c r="U1088" s="578">
        <f t="shared" si="299"/>
        <v>0</v>
      </c>
      <c r="V1088" s="579"/>
      <c r="W1088" s="566"/>
      <c r="X1088" s="586" t="str">
        <f t="shared" si="302"/>
        <v/>
      </c>
      <c r="Y1088" s="586" t="str">
        <f t="shared" si="296"/>
        <v/>
      </c>
      <c r="Z1088" s="586" t="str">
        <f t="shared" si="294"/>
        <v/>
      </c>
    </row>
    <row r="1089" spans="1:26" ht="23.25" hidden="1" thickBot="1" x14ac:dyDescent="0.25">
      <c r="A1089" s="567" t="s">
        <v>937</v>
      </c>
      <c r="B1089" s="644" t="s">
        <v>937</v>
      </c>
      <c r="C1089" s="645" t="s">
        <v>2094</v>
      </c>
      <c r="D1089" s="422" t="s">
        <v>934</v>
      </c>
      <c r="E1089" s="423"/>
      <c r="F1089" s="424"/>
      <c r="G1089" s="425"/>
      <c r="H1089" s="651"/>
      <c r="I1089" s="420">
        <v>1885.63</v>
      </c>
      <c r="J1089" s="420">
        <f t="shared" si="293"/>
        <v>1885.63</v>
      </c>
      <c r="K1089" s="421">
        <f t="shared" si="292"/>
        <v>2240.3200000000002</v>
      </c>
      <c r="L1089" s="647" t="s">
        <v>2065</v>
      </c>
      <c r="M1089" s="576"/>
      <c r="N1089" s="576">
        <f t="shared" si="295"/>
        <v>0</v>
      </c>
      <c r="O1089" s="577">
        <f t="shared" si="300"/>
        <v>0</v>
      </c>
      <c r="P1089" s="578">
        <f t="shared" si="301"/>
        <v>0</v>
      </c>
      <c r="Q1089" s="765"/>
      <c r="R1089" s="576">
        <f t="shared" si="297"/>
        <v>0</v>
      </c>
      <c r="S1089" s="576">
        <f t="shared" si="297"/>
        <v>0</v>
      </c>
      <c r="T1089" s="577">
        <f t="shared" si="298"/>
        <v>0</v>
      </c>
      <c r="U1089" s="578">
        <f t="shared" si="299"/>
        <v>0</v>
      </c>
      <c r="V1089" s="579"/>
      <c r="W1089" s="566"/>
      <c r="X1089" s="586" t="str">
        <f t="shared" si="302"/>
        <v/>
      </c>
      <c r="Y1089" s="586" t="str">
        <f t="shared" si="296"/>
        <v/>
      </c>
      <c r="Z1089" s="586" t="str">
        <f t="shared" si="294"/>
        <v/>
      </c>
    </row>
    <row r="1090" spans="1:26" ht="23.25" hidden="1" thickBot="1" x14ac:dyDescent="0.25">
      <c r="A1090" s="567" t="s">
        <v>938</v>
      </c>
      <c r="B1090" s="644" t="s">
        <v>938</v>
      </c>
      <c r="C1090" s="645" t="s">
        <v>2094</v>
      </c>
      <c r="D1090" s="422" t="s">
        <v>935</v>
      </c>
      <c r="E1090" s="423"/>
      <c r="F1090" s="424"/>
      <c r="G1090" s="425"/>
      <c r="H1090" s="651"/>
      <c r="I1090" s="420">
        <v>2193.96</v>
      </c>
      <c r="J1090" s="420">
        <f t="shared" si="293"/>
        <v>2193.96</v>
      </c>
      <c r="K1090" s="421">
        <f t="shared" si="292"/>
        <v>2606.64</v>
      </c>
      <c r="L1090" s="647" t="s">
        <v>2065</v>
      </c>
      <c r="M1090" s="576"/>
      <c r="N1090" s="576">
        <f t="shared" si="295"/>
        <v>0</v>
      </c>
      <c r="O1090" s="577">
        <f t="shared" si="300"/>
        <v>0</v>
      </c>
      <c r="P1090" s="578">
        <f t="shared" si="301"/>
        <v>0</v>
      </c>
      <c r="Q1090" s="765"/>
      <c r="R1090" s="576">
        <f t="shared" si="297"/>
        <v>0</v>
      </c>
      <c r="S1090" s="576">
        <f t="shared" si="297"/>
        <v>0</v>
      </c>
      <c r="T1090" s="577">
        <f t="shared" si="298"/>
        <v>0</v>
      </c>
      <c r="U1090" s="578">
        <f t="shared" si="299"/>
        <v>0</v>
      </c>
      <c r="V1090" s="579"/>
      <c r="W1090" s="566"/>
      <c r="X1090" s="586" t="str">
        <f t="shared" si="302"/>
        <v/>
      </c>
      <c r="Y1090" s="586" t="str">
        <f t="shared" si="296"/>
        <v/>
      </c>
      <c r="Z1090" s="586" t="str">
        <f t="shared" si="294"/>
        <v/>
      </c>
    </row>
    <row r="1091" spans="1:26" ht="12" hidden="1" thickBot="1" x14ac:dyDescent="0.25">
      <c r="A1091" s="567" t="s">
        <v>939</v>
      </c>
      <c r="B1091" s="644" t="s">
        <v>939</v>
      </c>
      <c r="C1091" s="645" t="s">
        <v>2094</v>
      </c>
      <c r="D1091" s="422" t="s">
        <v>940</v>
      </c>
      <c r="E1091" s="423"/>
      <c r="F1091" s="424"/>
      <c r="G1091" s="425"/>
      <c r="H1091" s="651"/>
      <c r="I1091" s="420">
        <v>2469.5</v>
      </c>
      <c r="J1091" s="420">
        <f t="shared" si="293"/>
        <v>2469.5</v>
      </c>
      <c r="K1091" s="421">
        <f t="shared" si="292"/>
        <v>2934.01</v>
      </c>
      <c r="L1091" s="647" t="s">
        <v>2065</v>
      </c>
      <c r="M1091" s="576"/>
      <c r="N1091" s="576">
        <f t="shared" si="295"/>
        <v>0</v>
      </c>
      <c r="O1091" s="577">
        <f t="shared" si="300"/>
        <v>0</v>
      </c>
      <c r="P1091" s="578">
        <f t="shared" si="301"/>
        <v>0</v>
      </c>
      <c r="Q1091" s="765"/>
      <c r="R1091" s="576">
        <f t="shared" si="297"/>
        <v>0</v>
      </c>
      <c r="S1091" s="576">
        <f t="shared" si="297"/>
        <v>0</v>
      </c>
      <c r="T1091" s="577">
        <f t="shared" si="298"/>
        <v>0</v>
      </c>
      <c r="U1091" s="578">
        <f t="shared" si="299"/>
        <v>0</v>
      </c>
      <c r="V1091" s="579"/>
      <c r="W1091" s="566"/>
      <c r="X1091" s="586" t="str">
        <f t="shared" si="302"/>
        <v/>
      </c>
      <c r="Y1091" s="586" t="str">
        <f t="shared" si="296"/>
        <v/>
      </c>
      <c r="Z1091" s="586" t="str">
        <f t="shared" si="294"/>
        <v/>
      </c>
    </row>
    <row r="1092" spans="1:26" ht="12" hidden="1" thickBot="1" x14ac:dyDescent="0.25">
      <c r="A1092" s="567" t="s">
        <v>941</v>
      </c>
      <c r="B1092" s="644" t="s">
        <v>941</v>
      </c>
      <c r="C1092" s="645" t="s">
        <v>2094</v>
      </c>
      <c r="D1092" s="422" t="s">
        <v>942</v>
      </c>
      <c r="E1092" s="423"/>
      <c r="F1092" s="424"/>
      <c r="G1092" s="425"/>
      <c r="H1092" s="651"/>
      <c r="I1092" s="420">
        <v>3665.37</v>
      </c>
      <c r="J1092" s="420">
        <f t="shared" si="293"/>
        <v>3665.37</v>
      </c>
      <c r="K1092" s="421">
        <f t="shared" si="292"/>
        <v>4354.83</v>
      </c>
      <c r="L1092" s="647" t="s">
        <v>2065</v>
      </c>
      <c r="M1092" s="576"/>
      <c r="N1092" s="576">
        <f t="shared" si="295"/>
        <v>0</v>
      </c>
      <c r="O1092" s="577">
        <f t="shared" si="300"/>
        <v>0</v>
      </c>
      <c r="P1092" s="578">
        <f t="shared" si="301"/>
        <v>0</v>
      </c>
      <c r="Q1092" s="765"/>
      <c r="R1092" s="576">
        <f t="shared" si="297"/>
        <v>0</v>
      </c>
      <c r="S1092" s="576">
        <f t="shared" si="297"/>
        <v>0</v>
      </c>
      <c r="T1092" s="577">
        <f t="shared" si="298"/>
        <v>0</v>
      </c>
      <c r="U1092" s="578">
        <f t="shared" si="299"/>
        <v>0</v>
      </c>
      <c r="V1092" s="579"/>
      <c r="W1092" s="566"/>
      <c r="X1092" s="586" t="str">
        <f t="shared" si="302"/>
        <v/>
      </c>
      <c r="Y1092" s="586" t="str">
        <f t="shared" si="296"/>
        <v/>
      </c>
      <c r="Z1092" s="586" t="str">
        <f t="shared" si="294"/>
        <v/>
      </c>
    </row>
    <row r="1093" spans="1:26" ht="12" hidden="1" thickBot="1" x14ac:dyDescent="0.25">
      <c r="A1093" s="567" t="s">
        <v>943</v>
      </c>
      <c r="B1093" s="644" t="s">
        <v>943</v>
      </c>
      <c r="C1093" s="645" t="s">
        <v>2094</v>
      </c>
      <c r="D1093" s="422" t="s">
        <v>944</v>
      </c>
      <c r="E1093" s="423"/>
      <c r="F1093" s="424"/>
      <c r="G1093" s="425"/>
      <c r="H1093" s="651"/>
      <c r="I1093" s="420">
        <v>4606.5</v>
      </c>
      <c r="J1093" s="420">
        <f t="shared" si="293"/>
        <v>4606.5</v>
      </c>
      <c r="K1093" s="421">
        <f t="shared" si="292"/>
        <v>5472.98</v>
      </c>
      <c r="L1093" s="647" t="s">
        <v>2065</v>
      </c>
      <c r="M1093" s="576"/>
      <c r="N1093" s="576">
        <f t="shared" si="295"/>
        <v>0</v>
      </c>
      <c r="O1093" s="577">
        <f t="shared" si="300"/>
        <v>0</v>
      </c>
      <c r="P1093" s="578">
        <f t="shared" si="301"/>
        <v>0</v>
      </c>
      <c r="Q1093" s="765"/>
      <c r="R1093" s="576">
        <f t="shared" si="297"/>
        <v>0</v>
      </c>
      <c r="S1093" s="576">
        <f t="shared" si="297"/>
        <v>0</v>
      </c>
      <c r="T1093" s="577">
        <f t="shared" si="298"/>
        <v>0</v>
      </c>
      <c r="U1093" s="578">
        <f t="shared" si="299"/>
        <v>0</v>
      </c>
      <c r="V1093" s="579"/>
      <c r="W1093" s="566"/>
      <c r="X1093" s="586" t="str">
        <f t="shared" si="302"/>
        <v/>
      </c>
      <c r="Y1093" s="586" t="str">
        <f t="shared" si="296"/>
        <v/>
      </c>
      <c r="Z1093" s="586" t="str">
        <f t="shared" si="294"/>
        <v/>
      </c>
    </row>
    <row r="1094" spans="1:26" ht="12" hidden="1" thickBot="1" x14ac:dyDescent="0.25">
      <c r="A1094" s="567">
        <v>96984</v>
      </c>
      <c r="B1094" s="644">
        <v>96984</v>
      </c>
      <c r="C1094" s="645" t="s">
        <v>670</v>
      </c>
      <c r="D1094" s="422" t="s">
        <v>945</v>
      </c>
      <c r="E1094" s="423"/>
      <c r="F1094" s="424"/>
      <c r="G1094" s="425"/>
      <c r="H1094" s="651"/>
      <c r="I1094" s="420">
        <v>65.59</v>
      </c>
      <c r="J1094" s="420">
        <f t="shared" si="293"/>
        <v>65.59</v>
      </c>
      <c r="K1094" s="421">
        <f t="shared" si="292"/>
        <v>77.930000000000007</v>
      </c>
      <c r="L1094" s="647" t="s">
        <v>2065</v>
      </c>
      <c r="M1094" s="576"/>
      <c r="N1094" s="576">
        <f t="shared" si="295"/>
        <v>0</v>
      </c>
      <c r="O1094" s="577">
        <f t="shared" si="300"/>
        <v>0</v>
      </c>
      <c r="P1094" s="578">
        <f t="shared" si="301"/>
        <v>0</v>
      </c>
      <c r="Q1094" s="765"/>
      <c r="R1094" s="576">
        <f t="shared" si="297"/>
        <v>0</v>
      </c>
      <c r="S1094" s="576">
        <f t="shared" si="297"/>
        <v>0</v>
      </c>
      <c r="T1094" s="577">
        <f t="shared" si="298"/>
        <v>0</v>
      </c>
      <c r="U1094" s="578">
        <f t="shared" si="299"/>
        <v>0</v>
      </c>
      <c r="V1094" s="579"/>
      <c r="W1094" s="566"/>
      <c r="X1094" s="586" t="str">
        <f t="shared" si="302"/>
        <v/>
      </c>
      <c r="Y1094" s="586" t="str">
        <f t="shared" si="296"/>
        <v/>
      </c>
      <c r="Z1094" s="586" t="str">
        <f t="shared" si="294"/>
        <v/>
      </c>
    </row>
    <row r="1095" spans="1:26" ht="23.25" hidden="1" thickBot="1" x14ac:dyDescent="0.25">
      <c r="A1095" s="567">
        <v>91831</v>
      </c>
      <c r="B1095" s="644">
        <v>91831</v>
      </c>
      <c r="C1095" s="645" t="s">
        <v>670</v>
      </c>
      <c r="D1095" s="422" t="s">
        <v>946</v>
      </c>
      <c r="E1095" s="423"/>
      <c r="F1095" s="424"/>
      <c r="G1095" s="425"/>
      <c r="H1095" s="651"/>
      <c r="I1095" s="420">
        <v>9.01</v>
      </c>
      <c r="J1095" s="420">
        <f t="shared" si="293"/>
        <v>9.01</v>
      </c>
      <c r="K1095" s="421">
        <f t="shared" si="292"/>
        <v>10.7</v>
      </c>
      <c r="L1095" s="647" t="s">
        <v>79</v>
      </c>
      <c r="M1095" s="576"/>
      <c r="N1095" s="576">
        <f t="shared" si="295"/>
        <v>0</v>
      </c>
      <c r="O1095" s="577">
        <f t="shared" si="300"/>
        <v>0</v>
      </c>
      <c r="P1095" s="578">
        <f t="shared" si="301"/>
        <v>0</v>
      </c>
      <c r="Q1095" s="765"/>
      <c r="R1095" s="576">
        <f t="shared" si="297"/>
        <v>0</v>
      </c>
      <c r="S1095" s="576">
        <f t="shared" si="297"/>
        <v>0</v>
      </c>
      <c r="T1095" s="577">
        <f t="shared" si="298"/>
        <v>0</v>
      </c>
      <c r="U1095" s="578">
        <f t="shared" si="299"/>
        <v>0</v>
      </c>
      <c r="V1095" s="579"/>
      <c r="W1095" s="566"/>
      <c r="X1095" s="586" t="str">
        <f t="shared" si="302"/>
        <v/>
      </c>
      <c r="Y1095" s="586" t="str">
        <f t="shared" si="296"/>
        <v/>
      </c>
      <c r="Z1095" s="586" t="str">
        <f t="shared" si="294"/>
        <v/>
      </c>
    </row>
    <row r="1096" spans="1:26" ht="23.25" hidden="1" thickBot="1" x14ac:dyDescent="0.25">
      <c r="A1096" s="567">
        <v>91834</v>
      </c>
      <c r="B1096" s="644">
        <v>91834</v>
      </c>
      <c r="C1096" s="645" t="s">
        <v>670</v>
      </c>
      <c r="D1096" s="422" t="s">
        <v>947</v>
      </c>
      <c r="E1096" s="423"/>
      <c r="F1096" s="424"/>
      <c r="G1096" s="425"/>
      <c r="H1096" s="651"/>
      <c r="I1096" s="420">
        <v>10.050000000000001</v>
      </c>
      <c r="J1096" s="420">
        <f t="shared" si="293"/>
        <v>10.050000000000001</v>
      </c>
      <c r="K1096" s="421">
        <f t="shared" si="292"/>
        <v>11.94</v>
      </c>
      <c r="L1096" s="647" t="s">
        <v>79</v>
      </c>
      <c r="M1096" s="576"/>
      <c r="N1096" s="576">
        <f t="shared" si="295"/>
        <v>0</v>
      </c>
      <c r="O1096" s="577">
        <f t="shared" si="300"/>
        <v>0</v>
      </c>
      <c r="P1096" s="578">
        <f t="shared" si="301"/>
        <v>0</v>
      </c>
      <c r="Q1096" s="765"/>
      <c r="R1096" s="576">
        <f t="shared" si="297"/>
        <v>0</v>
      </c>
      <c r="S1096" s="576">
        <f t="shared" si="297"/>
        <v>0</v>
      </c>
      <c r="T1096" s="577">
        <f t="shared" si="298"/>
        <v>0</v>
      </c>
      <c r="U1096" s="578">
        <f t="shared" si="299"/>
        <v>0</v>
      </c>
      <c r="V1096" s="579"/>
      <c r="W1096" s="566"/>
      <c r="X1096" s="586" t="str">
        <f t="shared" si="302"/>
        <v/>
      </c>
      <c r="Y1096" s="586" t="str">
        <f t="shared" si="296"/>
        <v/>
      </c>
      <c r="Z1096" s="586" t="str">
        <f t="shared" si="294"/>
        <v/>
      </c>
    </row>
    <row r="1097" spans="1:26" ht="23.25" hidden="1" thickBot="1" x14ac:dyDescent="0.25">
      <c r="A1097" s="567">
        <v>91836</v>
      </c>
      <c r="B1097" s="644">
        <v>91836</v>
      </c>
      <c r="C1097" s="645" t="s">
        <v>670</v>
      </c>
      <c r="D1097" s="422" t="s">
        <v>948</v>
      </c>
      <c r="E1097" s="423"/>
      <c r="F1097" s="424"/>
      <c r="G1097" s="425"/>
      <c r="H1097" s="651"/>
      <c r="I1097" s="420">
        <v>13.39</v>
      </c>
      <c r="J1097" s="420">
        <f t="shared" si="293"/>
        <v>13.39</v>
      </c>
      <c r="K1097" s="421">
        <f t="shared" ref="K1097:K1160" si="303">IF(ISBLANK(I1097),0,ROUND(J1097*(1+$F$10)*(1+$F$11*E1097),2))</f>
        <v>15.91</v>
      </c>
      <c r="L1097" s="647" t="s">
        <v>79</v>
      </c>
      <c r="M1097" s="576"/>
      <c r="N1097" s="576">
        <f t="shared" si="295"/>
        <v>0</v>
      </c>
      <c r="O1097" s="577">
        <f t="shared" si="300"/>
        <v>0</v>
      </c>
      <c r="P1097" s="578">
        <f t="shared" si="301"/>
        <v>0</v>
      </c>
      <c r="Q1097" s="765"/>
      <c r="R1097" s="576">
        <f t="shared" si="297"/>
        <v>0</v>
      </c>
      <c r="S1097" s="576">
        <f t="shared" si="297"/>
        <v>0</v>
      </c>
      <c r="T1097" s="577">
        <f t="shared" si="298"/>
        <v>0</v>
      </c>
      <c r="U1097" s="578">
        <f t="shared" si="299"/>
        <v>0</v>
      </c>
      <c r="V1097" s="579"/>
      <c r="W1097" s="566"/>
      <c r="X1097" s="586" t="str">
        <f t="shared" si="302"/>
        <v/>
      </c>
      <c r="Y1097" s="586" t="str">
        <f t="shared" si="296"/>
        <v/>
      </c>
      <c r="Z1097" s="586" t="str">
        <f t="shared" si="294"/>
        <v/>
      </c>
    </row>
    <row r="1098" spans="1:26" ht="23.25" hidden="1" thickBot="1" x14ac:dyDescent="0.25">
      <c r="A1098" s="567">
        <v>91842</v>
      </c>
      <c r="B1098" s="644">
        <v>91842</v>
      </c>
      <c r="C1098" s="645" t="s">
        <v>670</v>
      </c>
      <c r="D1098" s="422" t="s">
        <v>949</v>
      </c>
      <c r="E1098" s="423"/>
      <c r="F1098" s="424"/>
      <c r="G1098" s="425"/>
      <c r="H1098" s="651"/>
      <c r="I1098" s="420">
        <v>6.74</v>
      </c>
      <c r="J1098" s="420">
        <f t="shared" si="293"/>
        <v>6.74</v>
      </c>
      <c r="K1098" s="421">
        <f t="shared" si="303"/>
        <v>8.01</v>
      </c>
      <c r="L1098" s="647" t="s">
        <v>79</v>
      </c>
      <c r="M1098" s="576"/>
      <c r="N1098" s="576">
        <f t="shared" si="295"/>
        <v>0</v>
      </c>
      <c r="O1098" s="577">
        <f t="shared" si="300"/>
        <v>0</v>
      </c>
      <c r="P1098" s="578">
        <f t="shared" si="301"/>
        <v>0</v>
      </c>
      <c r="Q1098" s="765"/>
      <c r="R1098" s="576">
        <f t="shared" si="297"/>
        <v>0</v>
      </c>
      <c r="S1098" s="576">
        <f t="shared" si="297"/>
        <v>0</v>
      </c>
      <c r="T1098" s="577">
        <f t="shared" si="298"/>
        <v>0</v>
      </c>
      <c r="U1098" s="578">
        <f t="shared" si="299"/>
        <v>0</v>
      </c>
      <c r="V1098" s="579"/>
      <c r="W1098" s="566"/>
      <c r="X1098" s="586" t="str">
        <f t="shared" si="302"/>
        <v/>
      </c>
      <c r="Y1098" s="586" t="str">
        <f t="shared" si="296"/>
        <v/>
      </c>
      <c r="Z1098" s="586" t="str">
        <f t="shared" si="294"/>
        <v/>
      </c>
    </row>
    <row r="1099" spans="1:26" ht="23.25" hidden="1" thickBot="1" x14ac:dyDescent="0.25">
      <c r="A1099" s="567">
        <v>91844</v>
      </c>
      <c r="B1099" s="644">
        <v>91844</v>
      </c>
      <c r="C1099" s="645" t="s">
        <v>670</v>
      </c>
      <c r="D1099" s="422" t="s">
        <v>950</v>
      </c>
      <c r="E1099" s="423"/>
      <c r="F1099" s="424"/>
      <c r="G1099" s="425"/>
      <c r="H1099" s="651"/>
      <c r="I1099" s="420">
        <v>7.79</v>
      </c>
      <c r="J1099" s="420">
        <f t="shared" si="293"/>
        <v>7.79</v>
      </c>
      <c r="K1099" s="421">
        <f t="shared" si="303"/>
        <v>9.26</v>
      </c>
      <c r="L1099" s="647" t="s">
        <v>79</v>
      </c>
      <c r="M1099" s="576"/>
      <c r="N1099" s="576">
        <f t="shared" si="295"/>
        <v>0</v>
      </c>
      <c r="O1099" s="577">
        <f t="shared" si="300"/>
        <v>0</v>
      </c>
      <c r="P1099" s="578">
        <f t="shared" si="301"/>
        <v>0</v>
      </c>
      <c r="Q1099" s="765"/>
      <c r="R1099" s="576">
        <f t="shared" si="297"/>
        <v>0</v>
      </c>
      <c r="S1099" s="576">
        <f t="shared" si="297"/>
        <v>0</v>
      </c>
      <c r="T1099" s="577">
        <f t="shared" si="298"/>
        <v>0</v>
      </c>
      <c r="U1099" s="578">
        <f t="shared" si="299"/>
        <v>0</v>
      </c>
      <c r="V1099" s="579"/>
      <c r="W1099" s="566"/>
      <c r="X1099" s="586" t="str">
        <f t="shared" si="302"/>
        <v/>
      </c>
      <c r="Y1099" s="586" t="str">
        <f t="shared" si="296"/>
        <v/>
      </c>
      <c r="Z1099" s="586" t="str">
        <f t="shared" si="294"/>
        <v/>
      </c>
    </row>
    <row r="1100" spans="1:26" ht="23.25" hidden="1" thickBot="1" x14ac:dyDescent="0.25">
      <c r="A1100" s="567">
        <v>91846</v>
      </c>
      <c r="B1100" s="644">
        <v>91846</v>
      </c>
      <c r="C1100" s="645" t="s">
        <v>670</v>
      </c>
      <c r="D1100" s="422" t="s">
        <v>951</v>
      </c>
      <c r="E1100" s="423"/>
      <c r="F1100" s="424"/>
      <c r="G1100" s="425"/>
      <c r="H1100" s="651"/>
      <c r="I1100" s="420">
        <v>11.12</v>
      </c>
      <c r="J1100" s="420">
        <f t="shared" si="293"/>
        <v>11.12</v>
      </c>
      <c r="K1100" s="421">
        <f t="shared" si="303"/>
        <v>13.21</v>
      </c>
      <c r="L1100" s="647" t="s">
        <v>79</v>
      </c>
      <c r="M1100" s="576"/>
      <c r="N1100" s="576">
        <f t="shared" si="295"/>
        <v>0</v>
      </c>
      <c r="O1100" s="577">
        <f t="shared" si="300"/>
        <v>0</v>
      </c>
      <c r="P1100" s="578">
        <f t="shared" si="301"/>
        <v>0</v>
      </c>
      <c r="Q1100" s="765"/>
      <c r="R1100" s="576">
        <f t="shared" si="297"/>
        <v>0</v>
      </c>
      <c r="S1100" s="576">
        <f t="shared" si="297"/>
        <v>0</v>
      </c>
      <c r="T1100" s="577">
        <f t="shared" si="298"/>
        <v>0</v>
      </c>
      <c r="U1100" s="578">
        <f t="shared" si="299"/>
        <v>0</v>
      </c>
      <c r="V1100" s="579"/>
      <c r="W1100" s="566"/>
      <c r="X1100" s="586" t="str">
        <f t="shared" si="302"/>
        <v/>
      </c>
      <c r="Y1100" s="586" t="str">
        <f t="shared" si="296"/>
        <v/>
      </c>
      <c r="Z1100" s="586" t="str">
        <f t="shared" si="294"/>
        <v/>
      </c>
    </row>
    <row r="1101" spans="1:26" ht="23.25" hidden="1" thickBot="1" x14ac:dyDescent="0.25">
      <c r="A1101" s="567">
        <v>91852</v>
      </c>
      <c r="B1101" s="644">
        <v>91852</v>
      </c>
      <c r="C1101" s="645" t="s">
        <v>670</v>
      </c>
      <c r="D1101" s="422" t="s">
        <v>952</v>
      </c>
      <c r="E1101" s="423"/>
      <c r="F1101" s="424"/>
      <c r="G1101" s="425"/>
      <c r="H1101" s="651"/>
      <c r="I1101" s="420">
        <v>9.4499999999999993</v>
      </c>
      <c r="J1101" s="420">
        <f t="shared" si="293"/>
        <v>9.4499999999999993</v>
      </c>
      <c r="K1101" s="421">
        <f t="shared" si="303"/>
        <v>11.23</v>
      </c>
      <c r="L1101" s="647" t="s">
        <v>79</v>
      </c>
      <c r="M1101" s="576"/>
      <c r="N1101" s="576">
        <f t="shared" si="295"/>
        <v>0</v>
      </c>
      <c r="O1101" s="577">
        <f t="shared" si="300"/>
        <v>0</v>
      </c>
      <c r="P1101" s="578">
        <f t="shared" si="301"/>
        <v>0</v>
      </c>
      <c r="Q1101" s="765"/>
      <c r="R1101" s="576">
        <f t="shared" si="297"/>
        <v>0</v>
      </c>
      <c r="S1101" s="576">
        <f t="shared" si="297"/>
        <v>0</v>
      </c>
      <c r="T1101" s="577">
        <f t="shared" si="298"/>
        <v>0</v>
      </c>
      <c r="U1101" s="578">
        <f t="shared" si="299"/>
        <v>0</v>
      </c>
      <c r="V1101" s="579"/>
      <c r="W1101" s="566"/>
      <c r="X1101" s="586" t="str">
        <f t="shared" si="302"/>
        <v/>
      </c>
      <c r="Y1101" s="586" t="str">
        <f t="shared" si="296"/>
        <v/>
      </c>
      <c r="Z1101" s="586" t="str">
        <f t="shared" si="294"/>
        <v/>
      </c>
    </row>
    <row r="1102" spans="1:26" ht="23.25" hidden="1" thickBot="1" x14ac:dyDescent="0.25">
      <c r="A1102" s="567">
        <v>91854</v>
      </c>
      <c r="B1102" s="644">
        <v>91854</v>
      </c>
      <c r="C1102" s="645" t="s">
        <v>670</v>
      </c>
      <c r="D1102" s="422" t="s">
        <v>953</v>
      </c>
      <c r="E1102" s="423"/>
      <c r="F1102" s="424"/>
      <c r="G1102" s="425"/>
      <c r="H1102" s="651"/>
      <c r="I1102" s="420">
        <v>10.46</v>
      </c>
      <c r="J1102" s="420">
        <f t="shared" si="293"/>
        <v>10.46</v>
      </c>
      <c r="K1102" s="421">
        <f t="shared" si="303"/>
        <v>12.43</v>
      </c>
      <c r="L1102" s="647" t="s">
        <v>79</v>
      </c>
      <c r="M1102" s="576"/>
      <c r="N1102" s="576">
        <f t="shared" si="295"/>
        <v>0</v>
      </c>
      <c r="O1102" s="577">
        <f t="shared" si="300"/>
        <v>0</v>
      </c>
      <c r="P1102" s="578">
        <f t="shared" si="301"/>
        <v>0</v>
      </c>
      <c r="Q1102" s="765"/>
      <c r="R1102" s="576">
        <f t="shared" si="297"/>
        <v>0</v>
      </c>
      <c r="S1102" s="576">
        <f t="shared" si="297"/>
        <v>0</v>
      </c>
      <c r="T1102" s="577">
        <f t="shared" si="298"/>
        <v>0</v>
      </c>
      <c r="U1102" s="578">
        <f t="shared" si="299"/>
        <v>0</v>
      </c>
      <c r="V1102" s="579"/>
      <c r="W1102" s="566"/>
      <c r="X1102" s="586" t="str">
        <f t="shared" si="302"/>
        <v/>
      </c>
      <c r="Y1102" s="586" t="str">
        <f t="shared" si="296"/>
        <v/>
      </c>
      <c r="Z1102" s="586" t="str">
        <f t="shared" si="294"/>
        <v/>
      </c>
    </row>
    <row r="1103" spans="1:26" ht="23.25" hidden="1" thickBot="1" x14ac:dyDescent="0.25">
      <c r="A1103" s="567">
        <v>91856</v>
      </c>
      <c r="B1103" s="644">
        <v>91856</v>
      </c>
      <c r="C1103" s="645" t="s">
        <v>670</v>
      </c>
      <c r="D1103" s="422" t="s">
        <v>954</v>
      </c>
      <c r="E1103" s="423"/>
      <c r="F1103" s="424"/>
      <c r="G1103" s="425"/>
      <c r="H1103" s="651"/>
      <c r="I1103" s="420">
        <v>13.63</v>
      </c>
      <c r="J1103" s="420">
        <f t="shared" si="293"/>
        <v>13.63</v>
      </c>
      <c r="K1103" s="421">
        <f t="shared" si="303"/>
        <v>16.190000000000001</v>
      </c>
      <c r="L1103" s="647" t="s">
        <v>79</v>
      </c>
      <c r="M1103" s="576"/>
      <c r="N1103" s="576">
        <f t="shared" si="295"/>
        <v>0</v>
      </c>
      <c r="O1103" s="577">
        <f t="shared" si="300"/>
        <v>0</v>
      </c>
      <c r="P1103" s="578">
        <f t="shared" si="301"/>
        <v>0</v>
      </c>
      <c r="Q1103" s="765"/>
      <c r="R1103" s="576">
        <f t="shared" si="297"/>
        <v>0</v>
      </c>
      <c r="S1103" s="576">
        <f t="shared" si="297"/>
        <v>0</v>
      </c>
      <c r="T1103" s="577">
        <f t="shared" si="298"/>
        <v>0</v>
      </c>
      <c r="U1103" s="578">
        <f t="shared" si="299"/>
        <v>0</v>
      </c>
      <c r="V1103" s="579"/>
      <c r="W1103" s="566"/>
      <c r="X1103" s="586" t="str">
        <f t="shared" si="302"/>
        <v/>
      </c>
      <c r="Y1103" s="586" t="str">
        <f t="shared" si="296"/>
        <v/>
      </c>
      <c r="Z1103" s="586" t="str">
        <f t="shared" si="294"/>
        <v/>
      </c>
    </row>
    <row r="1104" spans="1:26" ht="23.25" hidden="1" thickBot="1" x14ac:dyDescent="0.25">
      <c r="A1104" s="567">
        <v>91833</v>
      </c>
      <c r="B1104" s="644">
        <v>91833</v>
      </c>
      <c r="C1104" s="645" t="s">
        <v>670</v>
      </c>
      <c r="D1104" s="422" t="s">
        <v>955</v>
      </c>
      <c r="E1104" s="423"/>
      <c r="F1104" s="424"/>
      <c r="G1104" s="425"/>
      <c r="H1104" s="651"/>
      <c r="I1104" s="420">
        <v>9.67</v>
      </c>
      <c r="J1104" s="420">
        <f t="shared" si="293"/>
        <v>9.67</v>
      </c>
      <c r="K1104" s="421">
        <f t="shared" si="303"/>
        <v>11.49</v>
      </c>
      <c r="L1104" s="647" t="s">
        <v>79</v>
      </c>
      <c r="M1104" s="576"/>
      <c r="N1104" s="576">
        <f t="shared" si="295"/>
        <v>0</v>
      </c>
      <c r="O1104" s="577">
        <f t="shared" si="300"/>
        <v>0</v>
      </c>
      <c r="P1104" s="578">
        <f t="shared" si="301"/>
        <v>0</v>
      </c>
      <c r="Q1104" s="765"/>
      <c r="R1104" s="576">
        <f t="shared" si="297"/>
        <v>0</v>
      </c>
      <c r="S1104" s="576">
        <f t="shared" si="297"/>
        <v>0</v>
      </c>
      <c r="T1104" s="577">
        <f t="shared" si="298"/>
        <v>0</v>
      </c>
      <c r="U1104" s="578">
        <f t="shared" si="299"/>
        <v>0</v>
      </c>
      <c r="V1104" s="579"/>
      <c r="W1104" s="566"/>
      <c r="X1104" s="586" t="str">
        <f t="shared" si="302"/>
        <v/>
      </c>
      <c r="Y1104" s="586" t="str">
        <f t="shared" si="296"/>
        <v/>
      </c>
      <c r="Z1104" s="586" t="str">
        <f t="shared" si="294"/>
        <v/>
      </c>
    </row>
    <row r="1105" spans="1:26" ht="23.25" hidden="1" thickBot="1" x14ac:dyDescent="0.25">
      <c r="A1105" s="567">
        <v>91835</v>
      </c>
      <c r="B1105" s="644">
        <v>91835</v>
      </c>
      <c r="C1105" s="645" t="s">
        <v>670</v>
      </c>
      <c r="D1105" s="422" t="s">
        <v>956</v>
      </c>
      <c r="E1105" s="423"/>
      <c r="F1105" s="424"/>
      <c r="G1105" s="425"/>
      <c r="H1105" s="651"/>
      <c r="I1105" s="420">
        <v>11.73</v>
      </c>
      <c r="J1105" s="420">
        <f t="shared" si="293"/>
        <v>11.73</v>
      </c>
      <c r="K1105" s="421">
        <f t="shared" si="303"/>
        <v>13.94</v>
      </c>
      <c r="L1105" s="647" t="s">
        <v>79</v>
      </c>
      <c r="M1105" s="576"/>
      <c r="N1105" s="576">
        <f t="shared" si="295"/>
        <v>0</v>
      </c>
      <c r="O1105" s="577">
        <f t="shared" si="300"/>
        <v>0</v>
      </c>
      <c r="P1105" s="578">
        <f t="shared" si="301"/>
        <v>0</v>
      </c>
      <c r="Q1105" s="765"/>
      <c r="R1105" s="576">
        <f t="shared" si="297"/>
        <v>0</v>
      </c>
      <c r="S1105" s="576">
        <f t="shared" si="297"/>
        <v>0</v>
      </c>
      <c r="T1105" s="577">
        <f t="shared" si="298"/>
        <v>0</v>
      </c>
      <c r="U1105" s="578">
        <f t="shared" si="299"/>
        <v>0</v>
      </c>
      <c r="V1105" s="579"/>
      <c r="W1105" s="566"/>
      <c r="X1105" s="586" t="str">
        <f t="shared" si="302"/>
        <v/>
      </c>
      <c r="Y1105" s="586" t="str">
        <f t="shared" si="296"/>
        <v/>
      </c>
      <c r="Z1105" s="586" t="str">
        <f t="shared" si="294"/>
        <v/>
      </c>
    </row>
    <row r="1106" spans="1:26" ht="23.25" hidden="1" thickBot="1" x14ac:dyDescent="0.25">
      <c r="A1106" s="567">
        <v>91837</v>
      </c>
      <c r="B1106" s="644">
        <v>91837</v>
      </c>
      <c r="C1106" s="645" t="s">
        <v>670</v>
      </c>
      <c r="D1106" s="422" t="s">
        <v>957</v>
      </c>
      <c r="E1106" s="423"/>
      <c r="F1106" s="424"/>
      <c r="G1106" s="425"/>
      <c r="H1106" s="651"/>
      <c r="I1106" s="420">
        <v>17.3</v>
      </c>
      <c r="J1106" s="420">
        <f t="shared" si="293"/>
        <v>17.3</v>
      </c>
      <c r="K1106" s="421">
        <f t="shared" si="303"/>
        <v>20.55</v>
      </c>
      <c r="L1106" s="647" t="s">
        <v>79</v>
      </c>
      <c r="M1106" s="576"/>
      <c r="N1106" s="576">
        <f t="shared" si="295"/>
        <v>0</v>
      </c>
      <c r="O1106" s="577">
        <f t="shared" si="300"/>
        <v>0</v>
      </c>
      <c r="P1106" s="578">
        <f t="shared" si="301"/>
        <v>0</v>
      </c>
      <c r="Q1106" s="765"/>
      <c r="R1106" s="576">
        <f t="shared" si="297"/>
        <v>0</v>
      </c>
      <c r="S1106" s="576">
        <f t="shared" si="297"/>
        <v>0</v>
      </c>
      <c r="T1106" s="577">
        <f t="shared" si="298"/>
        <v>0</v>
      </c>
      <c r="U1106" s="578">
        <f t="shared" si="299"/>
        <v>0</v>
      </c>
      <c r="V1106" s="579"/>
      <c r="W1106" s="566"/>
      <c r="X1106" s="586" t="str">
        <f t="shared" si="302"/>
        <v/>
      </c>
      <c r="Y1106" s="586" t="str">
        <f t="shared" si="296"/>
        <v/>
      </c>
      <c r="Z1106" s="586" t="str">
        <f t="shared" si="294"/>
        <v/>
      </c>
    </row>
    <row r="1107" spans="1:26" ht="23.25" hidden="1" thickBot="1" x14ac:dyDescent="0.25">
      <c r="A1107" s="567">
        <v>91843</v>
      </c>
      <c r="B1107" s="644">
        <v>91843</v>
      </c>
      <c r="C1107" s="645" t="s">
        <v>670</v>
      </c>
      <c r="D1107" s="422" t="s">
        <v>958</v>
      </c>
      <c r="E1107" s="423"/>
      <c r="F1107" s="424"/>
      <c r="G1107" s="425"/>
      <c r="H1107" s="651"/>
      <c r="I1107" s="420">
        <v>7.4</v>
      </c>
      <c r="J1107" s="420">
        <f t="shared" ref="J1107:J1170" si="304">IF(ISBLANK(I1107),"",SUM(H1107:I1107))</f>
        <v>7.4</v>
      </c>
      <c r="K1107" s="421">
        <f t="shared" si="303"/>
        <v>8.7899999999999991</v>
      </c>
      <c r="L1107" s="647" t="s">
        <v>79</v>
      </c>
      <c r="M1107" s="576"/>
      <c r="N1107" s="576">
        <f t="shared" si="295"/>
        <v>0</v>
      </c>
      <c r="O1107" s="577">
        <f t="shared" si="300"/>
        <v>0</v>
      </c>
      <c r="P1107" s="578">
        <f t="shared" si="301"/>
        <v>0</v>
      </c>
      <c r="Q1107" s="765"/>
      <c r="R1107" s="576">
        <f t="shared" si="297"/>
        <v>0</v>
      </c>
      <c r="S1107" s="576">
        <f t="shared" si="297"/>
        <v>0</v>
      </c>
      <c r="T1107" s="577">
        <f t="shared" si="298"/>
        <v>0</v>
      </c>
      <c r="U1107" s="578">
        <f t="shared" si="299"/>
        <v>0</v>
      </c>
      <c r="V1107" s="579"/>
      <c r="W1107" s="566"/>
      <c r="X1107" s="586" t="str">
        <f t="shared" si="302"/>
        <v/>
      </c>
      <c r="Y1107" s="586" t="str">
        <f t="shared" si="296"/>
        <v/>
      </c>
      <c r="Z1107" s="586" t="str">
        <f t="shared" ref="Z1107:Z1170" si="305">IF(W1107="X","x",IF(U1107&gt;0,"x",""))</f>
        <v/>
      </c>
    </row>
    <row r="1108" spans="1:26" ht="23.25" hidden="1" thickBot="1" x14ac:dyDescent="0.25">
      <c r="A1108" s="567">
        <v>91845</v>
      </c>
      <c r="B1108" s="644">
        <v>91845</v>
      </c>
      <c r="C1108" s="645" t="s">
        <v>670</v>
      </c>
      <c r="D1108" s="422" t="s">
        <v>959</v>
      </c>
      <c r="E1108" s="423"/>
      <c r="F1108" s="424"/>
      <c r="G1108" s="425"/>
      <c r="H1108" s="651"/>
      <c r="I1108" s="420">
        <v>9.4700000000000006</v>
      </c>
      <c r="J1108" s="420">
        <f t="shared" si="304"/>
        <v>9.4700000000000006</v>
      </c>
      <c r="K1108" s="421">
        <f t="shared" si="303"/>
        <v>11.25</v>
      </c>
      <c r="L1108" s="647" t="s">
        <v>79</v>
      </c>
      <c r="M1108" s="576"/>
      <c r="N1108" s="576">
        <f t="shared" ref="N1108:N1171" si="306">IF(M1108=0,0,K1108)</f>
        <v>0</v>
      </c>
      <c r="O1108" s="577">
        <f t="shared" si="300"/>
        <v>0</v>
      </c>
      <c r="P1108" s="578">
        <f t="shared" si="301"/>
        <v>0</v>
      </c>
      <c r="Q1108" s="765"/>
      <c r="R1108" s="576">
        <f t="shared" si="297"/>
        <v>0</v>
      </c>
      <c r="S1108" s="576">
        <f t="shared" si="297"/>
        <v>0</v>
      </c>
      <c r="T1108" s="577">
        <f t="shared" si="298"/>
        <v>0</v>
      </c>
      <c r="U1108" s="578">
        <f t="shared" si="299"/>
        <v>0</v>
      </c>
      <c r="V1108" s="579"/>
      <c r="W1108" s="566"/>
      <c r="X1108" s="586" t="str">
        <f t="shared" si="302"/>
        <v/>
      </c>
      <c r="Y1108" s="586" t="str">
        <f t="shared" si="296"/>
        <v/>
      </c>
      <c r="Z1108" s="586" t="str">
        <f t="shared" si="305"/>
        <v/>
      </c>
    </row>
    <row r="1109" spans="1:26" ht="23.25" hidden="1" thickBot="1" x14ac:dyDescent="0.25">
      <c r="A1109" s="567">
        <v>91847</v>
      </c>
      <c r="B1109" s="644">
        <v>91847</v>
      </c>
      <c r="C1109" s="645" t="s">
        <v>670</v>
      </c>
      <c r="D1109" s="422" t="s">
        <v>960</v>
      </c>
      <c r="E1109" s="423"/>
      <c r="F1109" s="424"/>
      <c r="G1109" s="425"/>
      <c r="H1109" s="651"/>
      <c r="I1109" s="420">
        <v>15.03</v>
      </c>
      <c r="J1109" s="420">
        <f t="shared" si="304"/>
        <v>15.03</v>
      </c>
      <c r="K1109" s="421">
        <f t="shared" si="303"/>
        <v>17.86</v>
      </c>
      <c r="L1109" s="647" t="s">
        <v>79</v>
      </c>
      <c r="M1109" s="576"/>
      <c r="N1109" s="576">
        <f t="shared" si="306"/>
        <v>0</v>
      </c>
      <c r="O1109" s="577">
        <f t="shared" si="300"/>
        <v>0</v>
      </c>
      <c r="P1109" s="578">
        <f t="shared" si="301"/>
        <v>0</v>
      </c>
      <c r="Q1109" s="765"/>
      <c r="R1109" s="576">
        <f t="shared" si="297"/>
        <v>0</v>
      </c>
      <c r="S1109" s="576">
        <f t="shared" si="297"/>
        <v>0</v>
      </c>
      <c r="T1109" s="577">
        <f t="shared" si="298"/>
        <v>0</v>
      </c>
      <c r="U1109" s="578">
        <f t="shared" si="299"/>
        <v>0</v>
      </c>
      <c r="V1109" s="579"/>
      <c r="W1109" s="566"/>
      <c r="X1109" s="586" t="str">
        <f t="shared" si="302"/>
        <v/>
      </c>
      <c r="Y1109" s="586" t="str">
        <f t="shared" si="296"/>
        <v/>
      </c>
      <c r="Z1109" s="586" t="str">
        <f t="shared" si="305"/>
        <v/>
      </c>
    </row>
    <row r="1110" spans="1:26" ht="23.25" hidden="1" thickBot="1" x14ac:dyDescent="0.25">
      <c r="A1110" s="567">
        <v>91853</v>
      </c>
      <c r="B1110" s="644">
        <v>91853</v>
      </c>
      <c r="C1110" s="645" t="s">
        <v>670</v>
      </c>
      <c r="D1110" s="422" t="s">
        <v>961</v>
      </c>
      <c r="E1110" s="423"/>
      <c r="F1110" s="424"/>
      <c r="G1110" s="425"/>
      <c r="H1110" s="651"/>
      <c r="I1110" s="420">
        <v>10.06</v>
      </c>
      <c r="J1110" s="420">
        <f t="shared" si="304"/>
        <v>10.06</v>
      </c>
      <c r="K1110" s="421">
        <f t="shared" si="303"/>
        <v>11.95</v>
      </c>
      <c r="L1110" s="647" t="s">
        <v>79</v>
      </c>
      <c r="M1110" s="576"/>
      <c r="N1110" s="576">
        <f t="shared" si="306"/>
        <v>0</v>
      </c>
      <c r="O1110" s="577">
        <f t="shared" si="300"/>
        <v>0</v>
      </c>
      <c r="P1110" s="578">
        <f t="shared" si="301"/>
        <v>0</v>
      </c>
      <c r="Q1110" s="765"/>
      <c r="R1110" s="576">
        <f t="shared" si="297"/>
        <v>0</v>
      </c>
      <c r="S1110" s="576">
        <f t="shared" si="297"/>
        <v>0</v>
      </c>
      <c r="T1110" s="577">
        <f t="shared" si="298"/>
        <v>0</v>
      </c>
      <c r="U1110" s="578">
        <f t="shared" si="299"/>
        <v>0</v>
      </c>
      <c r="V1110" s="579"/>
      <c r="W1110" s="566"/>
      <c r="X1110" s="586" t="str">
        <f t="shared" si="302"/>
        <v/>
      </c>
      <c r="Y1110" s="586" t="str">
        <f t="shared" si="296"/>
        <v/>
      </c>
      <c r="Z1110" s="586" t="str">
        <f t="shared" si="305"/>
        <v/>
      </c>
    </row>
    <row r="1111" spans="1:26" ht="23.25" hidden="1" thickBot="1" x14ac:dyDescent="0.25">
      <c r="A1111" s="567">
        <v>91855</v>
      </c>
      <c r="B1111" s="644">
        <v>91855</v>
      </c>
      <c r="C1111" s="645" t="s">
        <v>670</v>
      </c>
      <c r="D1111" s="422" t="s">
        <v>962</v>
      </c>
      <c r="E1111" s="423"/>
      <c r="F1111" s="424"/>
      <c r="G1111" s="425"/>
      <c r="H1111" s="651"/>
      <c r="I1111" s="420">
        <v>12.02</v>
      </c>
      <c r="J1111" s="420">
        <f t="shared" si="304"/>
        <v>12.02</v>
      </c>
      <c r="K1111" s="421">
        <f t="shared" si="303"/>
        <v>14.28</v>
      </c>
      <c r="L1111" s="647" t="s">
        <v>79</v>
      </c>
      <c r="M1111" s="576"/>
      <c r="N1111" s="576">
        <f t="shared" si="306"/>
        <v>0</v>
      </c>
      <c r="O1111" s="577">
        <f t="shared" si="300"/>
        <v>0</v>
      </c>
      <c r="P1111" s="578">
        <f t="shared" si="301"/>
        <v>0</v>
      </c>
      <c r="Q1111" s="765"/>
      <c r="R1111" s="576">
        <f t="shared" si="297"/>
        <v>0</v>
      </c>
      <c r="S1111" s="576">
        <f t="shared" si="297"/>
        <v>0</v>
      </c>
      <c r="T1111" s="577">
        <f t="shared" si="298"/>
        <v>0</v>
      </c>
      <c r="U1111" s="578">
        <f t="shared" si="299"/>
        <v>0</v>
      </c>
      <c r="V1111" s="579"/>
      <c r="W1111" s="566"/>
      <c r="X1111" s="586" t="str">
        <f t="shared" si="302"/>
        <v/>
      </c>
      <c r="Y1111" s="586" t="str">
        <f t="shared" si="296"/>
        <v/>
      </c>
      <c r="Z1111" s="586" t="str">
        <f t="shared" si="305"/>
        <v/>
      </c>
    </row>
    <row r="1112" spans="1:26" ht="23.25" hidden="1" thickBot="1" x14ac:dyDescent="0.25">
      <c r="A1112" s="567">
        <v>91857</v>
      </c>
      <c r="B1112" s="644">
        <v>91857</v>
      </c>
      <c r="C1112" s="645" t="s">
        <v>670</v>
      </c>
      <c r="D1112" s="422" t="s">
        <v>963</v>
      </c>
      <c r="E1112" s="423"/>
      <c r="F1112" s="424"/>
      <c r="G1112" s="425"/>
      <c r="H1112" s="651"/>
      <c r="I1112" s="420">
        <v>17.25</v>
      </c>
      <c r="J1112" s="420">
        <f t="shared" si="304"/>
        <v>17.25</v>
      </c>
      <c r="K1112" s="421">
        <f t="shared" si="303"/>
        <v>20.49</v>
      </c>
      <c r="L1112" s="647" t="s">
        <v>79</v>
      </c>
      <c r="M1112" s="576"/>
      <c r="N1112" s="576">
        <f t="shared" si="306"/>
        <v>0</v>
      </c>
      <c r="O1112" s="577">
        <f t="shared" si="300"/>
        <v>0</v>
      </c>
      <c r="P1112" s="578">
        <f t="shared" si="301"/>
        <v>0</v>
      </c>
      <c r="Q1112" s="765"/>
      <c r="R1112" s="576">
        <f t="shared" si="297"/>
        <v>0</v>
      </c>
      <c r="S1112" s="576">
        <f t="shared" si="297"/>
        <v>0</v>
      </c>
      <c r="T1112" s="577">
        <f t="shared" si="298"/>
        <v>0</v>
      </c>
      <c r="U1112" s="578">
        <f t="shared" si="299"/>
        <v>0</v>
      </c>
      <c r="V1112" s="579"/>
      <c r="W1112" s="566"/>
      <c r="X1112" s="586" t="str">
        <f t="shared" si="302"/>
        <v/>
      </c>
      <c r="Y1112" s="586" t="str">
        <f t="shared" si="296"/>
        <v/>
      </c>
      <c r="Z1112" s="586" t="str">
        <f t="shared" si="305"/>
        <v/>
      </c>
    </row>
    <row r="1113" spans="1:26" ht="23.25" hidden="1" thickBot="1" x14ac:dyDescent="0.25">
      <c r="A1113" s="567">
        <v>91874</v>
      </c>
      <c r="B1113" s="644">
        <v>91874</v>
      </c>
      <c r="C1113" s="645" t="s">
        <v>670</v>
      </c>
      <c r="D1113" s="422" t="s">
        <v>964</v>
      </c>
      <c r="E1113" s="423"/>
      <c r="F1113" s="424"/>
      <c r="G1113" s="425"/>
      <c r="H1113" s="651"/>
      <c r="I1113" s="420">
        <v>5.63</v>
      </c>
      <c r="J1113" s="420">
        <f t="shared" si="304"/>
        <v>5.63</v>
      </c>
      <c r="K1113" s="421">
        <f t="shared" si="303"/>
        <v>6.69</v>
      </c>
      <c r="L1113" s="647" t="s">
        <v>2065</v>
      </c>
      <c r="M1113" s="576"/>
      <c r="N1113" s="576">
        <f t="shared" si="306"/>
        <v>0</v>
      </c>
      <c r="O1113" s="577">
        <f t="shared" si="300"/>
        <v>0</v>
      </c>
      <c r="P1113" s="578">
        <f t="shared" si="301"/>
        <v>0</v>
      </c>
      <c r="Q1113" s="765"/>
      <c r="R1113" s="576">
        <f t="shared" si="297"/>
        <v>0</v>
      </c>
      <c r="S1113" s="576">
        <f t="shared" si="297"/>
        <v>0</v>
      </c>
      <c r="T1113" s="577">
        <f t="shared" si="298"/>
        <v>0</v>
      </c>
      <c r="U1113" s="578">
        <f t="shared" si="299"/>
        <v>0</v>
      </c>
      <c r="V1113" s="579"/>
      <c r="W1113" s="566"/>
      <c r="X1113" s="586" t="str">
        <f t="shared" si="302"/>
        <v/>
      </c>
      <c r="Y1113" s="586" t="str">
        <f t="shared" si="296"/>
        <v/>
      </c>
      <c r="Z1113" s="586" t="str">
        <f t="shared" si="305"/>
        <v/>
      </c>
    </row>
    <row r="1114" spans="1:26" ht="23.25" hidden="1" thickBot="1" x14ac:dyDescent="0.25">
      <c r="A1114" s="567">
        <v>91875</v>
      </c>
      <c r="B1114" s="644">
        <v>91875</v>
      </c>
      <c r="C1114" s="645" t="s">
        <v>670</v>
      </c>
      <c r="D1114" s="422" t="s">
        <v>965</v>
      </c>
      <c r="E1114" s="423"/>
      <c r="F1114" s="424"/>
      <c r="G1114" s="425"/>
      <c r="H1114" s="651"/>
      <c r="I1114" s="420">
        <v>7.49</v>
      </c>
      <c r="J1114" s="420">
        <f t="shared" si="304"/>
        <v>7.49</v>
      </c>
      <c r="K1114" s="421">
        <f t="shared" si="303"/>
        <v>8.9</v>
      </c>
      <c r="L1114" s="647" t="s">
        <v>2065</v>
      </c>
      <c r="M1114" s="576"/>
      <c r="N1114" s="576">
        <f t="shared" si="306"/>
        <v>0</v>
      </c>
      <c r="O1114" s="577">
        <f t="shared" si="300"/>
        <v>0</v>
      </c>
      <c r="P1114" s="578">
        <f t="shared" si="301"/>
        <v>0</v>
      </c>
      <c r="Q1114" s="765"/>
      <c r="R1114" s="576">
        <f t="shared" si="297"/>
        <v>0</v>
      </c>
      <c r="S1114" s="576">
        <f t="shared" si="297"/>
        <v>0</v>
      </c>
      <c r="T1114" s="577">
        <f t="shared" si="298"/>
        <v>0</v>
      </c>
      <c r="U1114" s="578">
        <f t="shared" si="299"/>
        <v>0</v>
      </c>
      <c r="V1114" s="579"/>
      <c r="W1114" s="566"/>
      <c r="X1114" s="586" t="str">
        <f t="shared" si="302"/>
        <v/>
      </c>
      <c r="Y1114" s="586" t="str">
        <f t="shared" si="296"/>
        <v/>
      </c>
      <c r="Z1114" s="586" t="str">
        <f t="shared" si="305"/>
        <v/>
      </c>
    </row>
    <row r="1115" spans="1:26" ht="23.25" hidden="1" thickBot="1" x14ac:dyDescent="0.25">
      <c r="A1115" s="567">
        <v>91876</v>
      </c>
      <c r="B1115" s="644">
        <v>91876</v>
      </c>
      <c r="C1115" s="645" t="s">
        <v>670</v>
      </c>
      <c r="D1115" s="422" t="s">
        <v>966</v>
      </c>
      <c r="E1115" s="423"/>
      <c r="F1115" s="424"/>
      <c r="G1115" s="425"/>
      <c r="H1115" s="651"/>
      <c r="I1115" s="420">
        <v>9.92</v>
      </c>
      <c r="J1115" s="420">
        <f t="shared" si="304"/>
        <v>9.92</v>
      </c>
      <c r="K1115" s="421">
        <f t="shared" si="303"/>
        <v>11.79</v>
      </c>
      <c r="L1115" s="647" t="s">
        <v>2065</v>
      </c>
      <c r="M1115" s="576"/>
      <c r="N1115" s="576">
        <f t="shared" si="306"/>
        <v>0</v>
      </c>
      <c r="O1115" s="577">
        <f t="shared" si="300"/>
        <v>0</v>
      </c>
      <c r="P1115" s="578">
        <f t="shared" si="301"/>
        <v>0</v>
      </c>
      <c r="Q1115" s="765"/>
      <c r="R1115" s="576">
        <f t="shared" si="297"/>
        <v>0</v>
      </c>
      <c r="S1115" s="576">
        <f t="shared" si="297"/>
        <v>0</v>
      </c>
      <c r="T1115" s="577">
        <f t="shared" si="298"/>
        <v>0</v>
      </c>
      <c r="U1115" s="578">
        <f t="shared" si="299"/>
        <v>0</v>
      </c>
      <c r="V1115" s="579"/>
      <c r="W1115" s="566"/>
      <c r="X1115" s="586" t="str">
        <f t="shared" si="302"/>
        <v/>
      </c>
      <c r="Y1115" s="586" t="str">
        <f t="shared" si="296"/>
        <v/>
      </c>
      <c r="Z1115" s="586" t="str">
        <f t="shared" si="305"/>
        <v/>
      </c>
    </row>
    <row r="1116" spans="1:26" ht="23.25" hidden="1" thickBot="1" x14ac:dyDescent="0.25">
      <c r="A1116" s="567">
        <v>91877</v>
      </c>
      <c r="B1116" s="644">
        <v>91877</v>
      </c>
      <c r="C1116" s="645" t="s">
        <v>670</v>
      </c>
      <c r="D1116" s="422" t="s">
        <v>967</v>
      </c>
      <c r="E1116" s="423"/>
      <c r="F1116" s="424"/>
      <c r="G1116" s="425"/>
      <c r="H1116" s="651"/>
      <c r="I1116" s="420">
        <v>13.33</v>
      </c>
      <c r="J1116" s="420">
        <f t="shared" si="304"/>
        <v>13.33</v>
      </c>
      <c r="K1116" s="421">
        <f t="shared" si="303"/>
        <v>15.84</v>
      </c>
      <c r="L1116" s="647" t="s">
        <v>2065</v>
      </c>
      <c r="M1116" s="576"/>
      <c r="N1116" s="576">
        <f t="shared" si="306"/>
        <v>0</v>
      </c>
      <c r="O1116" s="577">
        <f t="shared" si="300"/>
        <v>0</v>
      </c>
      <c r="P1116" s="578">
        <f t="shared" si="301"/>
        <v>0</v>
      </c>
      <c r="Q1116" s="765"/>
      <c r="R1116" s="576">
        <f t="shared" si="297"/>
        <v>0</v>
      </c>
      <c r="S1116" s="576">
        <f t="shared" si="297"/>
        <v>0</v>
      </c>
      <c r="T1116" s="577">
        <f t="shared" si="298"/>
        <v>0</v>
      </c>
      <c r="U1116" s="578">
        <f t="shared" si="299"/>
        <v>0</v>
      </c>
      <c r="V1116" s="579"/>
      <c r="W1116" s="566"/>
      <c r="X1116" s="586" t="str">
        <f t="shared" si="302"/>
        <v/>
      </c>
      <c r="Y1116" s="586" t="str">
        <f t="shared" si="296"/>
        <v/>
      </c>
      <c r="Z1116" s="586" t="str">
        <f t="shared" si="305"/>
        <v/>
      </c>
    </row>
    <row r="1117" spans="1:26" ht="23.25" hidden="1" thickBot="1" x14ac:dyDescent="0.25">
      <c r="A1117" s="567">
        <v>91878</v>
      </c>
      <c r="B1117" s="644">
        <v>91878</v>
      </c>
      <c r="C1117" s="645" t="s">
        <v>670</v>
      </c>
      <c r="D1117" s="422" t="s">
        <v>968</v>
      </c>
      <c r="E1117" s="423"/>
      <c r="F1117" s="424"/>
      <c r="G1117" s="425"/>
      <c r="H1117" s="651"/>
      <c r="I1117" s="420">
        <v>7.14</v>
      </c>
      <c r="J1117" s="420">
        <f t="shared" si="304"/>
        <v>7.14</v>
      </c>
      <c r="K1117" s="421">
        <f t="shared" si="303"/>
        <v>8.48</v>
      </c>
      <c r="L1117" s="647" t="s">
        <v>2065</v>
      </c>
      <c r="M1117" s="576"/>
      <c r="N1117" s="576">
        <f t="shared" si="306"/>
        <v>0</v>
      </c>
      <c r="O1117" s="577">
        <f t="shared" si="300"/>
        <v>0</v>
      </c>
      <c r="P1117" s="578">
        <f t="shared" si="301"/>
        <v>0</v>
      </c>
      <c r="Q1117" s="765"/>
      <c r="R1117" s="576">
        <f t="shared" si="297"/>
        <v>0</v>
      </c>
      <c r="S1117" s="576">
        <f t="shared" si="297"/>
        <v>0</v>
      </c>
      <c r="T1117" s="577">
        <f t="shared" si="298"/>
        <v>0</v>
      </c>
      <c r="U1117" s="578">
        <f t="shared" si="299"/>
        <v>0</v>
      </c>
      <c r="V1117" s="579"/>
      <c r="W1117" s="566"/>
      <c r="X1117" s="586" t="str">
        <f t="shared" si="302"/>
        <v/>
      </c>
      <c r="Y1117" s="586" t="str">
        <f t="shared" si="296"/>
        <v/>
      </c>
      <c r="Z1117" s="586" t="str">
        <f t="shared" si="305"/>
        <v/>
      </c>
    </row>
    <row r="1118" spans="1:26" ht="23.25" hidden="1" thickBot="1" x14ac:dyDescent="0.25">
      <c r="A1118" s="567">
        <v>91879</v>
      </c>
      <c r="B1118" s="644">
        <v>91879</v>
      </c>
      <c r="C1118" s="645" t="s">
        <v>670</v>
      </c>
      <c r="D1118" s="422" t="s">
        <v>969</v>
      </c>
      <c r="E1118" s="423"/>
      <c r="F1118" s="424"/>
      <c r="G1118" s="425"/>
      <c r="H1118" s="651"/>
      <c r="I1118" s="420">
        <v>8.9600000000000009</v>
      </c>
      <c r="J1118" s="420">
        <f t="shared" si="304"/>
        <v>8.9600000000000009</v>
      </c>
      <c r="K1118" s="421">
        <f t="shared" si="303"/>
        <v>10.65</v>
      </c>
      <c r="L1118" s="647" t="s">
        <v>2065</v>
      </c>
      <c r="M1118" s="576"/>
      <c r="N1118" s="576">
        <f t="shared" si="306"/>
        <v>0</v>
      </c>
      <c r="O1118" s="577">
        <f t="shared" si="300"/>
        <v>0</v>
      </c>
      <c r="P1118" s="578">
        <f t="shared" si="301"/>
        <v>0</v>
      </c>
      <c r="Q1118" s="765"/>
      <c r="R1118" s="576">
        <f t="shared" si="297"/>
        <v>0</v>
      </c>
      <c r="S1118" s="576">
        <f t="shared" si="297"/>
        <v>0</v>
      </c>
      <c r="T1118" s="577">
        <f t="shared" si="298"/>
        <v>0</v>
      </c>
      <c r="U1118" s="578">
        <f t="shared" si="299"/>
        <v>0</v>
      </c>
      <c r="V1118" s="579"/>
      <c r="W1118" s="566"/>
      <c r="X1118" s="586" t="str">
        <f t="shared" si="302"/>
        <v/>
      </c>
      <c r="Y1118" s="586" t="str">
        <f t="shared" si="296"/>
        <v/>
      </c>
      <c r="Z1118" s="586" t="str">
        <f t="shared" si="305"/>
        <v/>
      </c>
    </row>
    <row r="1119" spans="1:26" ht="23.25" hidden="1" thickBot="1" x14ac:dyDescent="0.25">
      <c r="A1119" s="567">
        <v>91880</v>
      </c>
      <c r="B1119" s="644">
        <v>91880</v>
      </c>
      <c r="C1119" s="645" t="s">
        <v>670</v>
      </c>
      <c r="D1119" s="422" t="s">
        <v>970</v>
      </c>
      <c r="E1119" s="423"/>
      <c r="F1119" s="424"/>
      <c r="G1119" s="425"/>
      <c r="H1119" s="651"/>
      <c r="I1119" s="420">
        <v>11.43</v>
      </c>
      <c r="J1119" s="420">
        <f t="shared" si="304"/>
        <v>11.43</v>
      </c>
      <c r="K1119" s="421">
        <f t="shared" si="303"/>
        <v>13.58</v>
      </c>
      <c r="L1119" s="647" t="s">
        <v>2065</v>
      </c>
      <c r="M1119" s="576"/>
      <c r="N1119" s="576">
        <f t="shared" si="306"/>
        <v>0</v>
      </c>
      <c r="O1119" s="577">
        <f t="shared" si="300"/>
        <v>0</v>
      </c>
      <c r="P1119" s="578">
        <f t="shared" si="301"/>
        <v>0</v>
      </c>
      <c r="Q1119" s="765"/>
      <c r="R1119" s="576">
        <f t="shared" si="297"/>
        <v>0</v>
      </c>
      <c r="S1119" s="576">
        <f t="shared" si="297"/>
        <v>0</v>
      </c>
      <c r="T1119" s="577">
        <f t="shared" si="298"/>
        <v>0</v>
      </c>
      <c r="U1119" s="578">
        <f t="shared" si="299"/>
        <v>0</v>
      </c>
      <c r="V1119" s="579"/>
      <c r="W1119" s="566"/>
      <c r="X1119" s="586" t="str">
        <f t="shared" si="302"/>
        <v/>
      </c>
      <c r="Y1119" s="586" t="str">
        <f t="shared" si="296"/>
        <v/>
      </c>
      <c r="Z1119" s="586" t="str">
        <f t="shared" si="305"/>
        <v/>
      </c>
    </row>
    <row r="1120" spans="1:26" ht="23.25" hidden="1" thickBot="1" x14ac:dyDescent="0.25">
      <c r="A1120" s="567">
        <v>91881</v>
      </c>
      <c r="B1120" s="644">
        <v>91881</v>
      </c>
      <c r="C1120" s="645" t="s">
        <v>670</v>
      </c>
      <c r="D1120" s="422" t="s">
        <v>971</v>
      </c>
      <c r="E1120" s="423"/>
      <c r="F1120" s="424"/>
      <c r="G1120" s="425"/>
      <c r="H1120" s="651"/>
      <c r="I1120" s="420">
        <v>14.84</v>
      </c>
      <c r="J1120" s="420">
        <f t="shared" si="304"/>
        <v>14.84</v>
      </c>
      <c r="K1120" s="421">
        <f t="shared" si="303"/>
        <v>17.63</v>
      </c>
      <c r="L1120" s="647" t="s">
        <v>2065</v>
      </c>
      <c r="M1120" s="576"/>
      <c r="N1120" s="576">
        <f t="shared" si="306"/>
        <v>0</v>
      </c>
      <c r="O1120" s="577">
        <f t="shared" si="300"/>
        <v>0</v>
      </c>
      <c r="P1120" s="578">
        <f t="shared" si="301"/>
        <v>0</v>
      </c>
      <c r="Q1120" s="765"/>
      <c r="R1120" s="576">
        <f t="shared" si="297"/>
        <v>0</v>
      </c>
      <c r="S1120" s="576">
        <f t="shared" si="297"/>
        <v>0</v>
      </c>
      <c r="T1120" s="577">
        <f t="shared" si="298"/>
        <v>0</v>
      </c>
      <c r="U1120" s="578">
        <f t="shared" si="299"/>
        <v>0</v>
      </c>
      <c r="V1120" s="579"/>
      <c r="W1120" s="566"/>
      <c r="X1120" s="586" t="str">
        <f t="shared" si="302"/>
        <v/>
      </c>
      <c r="Y1120" s="586" t="str">
        <f t="shared" si="296"/>
        <v/>
      </c>
      <c r="Z1120" s="586" t="str">
        <f t="shared" si="305"/>
        <v/>
      </c>
    </row>
    <row r="1121" spans="1:26" ht="23.25" hidden="1" thickBot="1" x14ac:dyDescent="0.25">
      <c r="A1121" s="567">
        <v>91882</v>
      </c>
      <c r="B1121" s="644">
        <v>91882</v>
      </c>
      <c r="C1121" s="645" t="s">
        <v>670</v>
      </c>
      <c r="D1121" s="422" t="s">
        <v>972</v>
      </c>
      <c r="E1121" s="423"/>
      <c r="F1121" s="424"/>
      <c r="G1121" s="425"/>
      <c r="H1121" s="651"/>
      <c r="I1121" s="420">
        <v>8.76</v>
      </c>
      <c r="J1121" s="420">
        <f t="shared" si="304"/>
        <v>8.76</v>
      </c>
      <c r="K1121" s="421">
        <f t="shared" si="303"/>
        <v>10.41</v>
      </c>
      <c r="L1121" s="647" t="s">
        <v>2065</v>
      </c>
      <c r="M1121" s="576"/>
      <c r="N1121" s="576">
        <f t="shared" si="306"/>
        <v>0</v>
      </c>
      <c r="O1121" s="577">
        <f t="shared" si="300"/>
        <v>0</v>
      </c>
      <c r="P1121" s="578">
        <f t="shared" si="301"/>
        <v>0</v>
      </c>
      <c r="Q1121" s="765"/>
      <c r="R1121" s="576">
        <f t="shared" si="297"/>
        <v>0</v>
      </c>
      <c r="S1121" s="576">
        <f t="shared" si="297"/>
        <v>0</v>
      </c>
      <c r="T1121" s="577">
        <f t="shared" si="298"/>
        <v>0</v>
      </c>
      <c r="U1121" s="578">
        <f t="shared" si="299"/>
        <v>0</v>
      </c>
      <c r="V1121" s="579"/>
      <c r="W1121" s="566"/>
      <c r="X1121" s="586" t="str">
        <f t="shared" si="302"/>
        <v/>
      </c>
      <c r="Y1121" s="586" t="str">
        <f t="shared" si="296"/>
        <v/>
      </c>
      <c r="Z1121" s="586" t="str">
        <f t="shared" si="305"/>
        <v/>
      </c>
    </row>
    <row r="1122" spans="1:26" ht="23.25" hidden="1" thickBot="1" x14ac:dyDescent="0.25">
      <c r="A1122" s="567">
        <v>91884</v>
      </c>
      <c r="B1122" s="644">
        <v>91884</v>
      </c>
      <c r="C1122" s="645" t="s">
        <v>670</v>
      </c>
      <c r="D1122" s="422" t="s">
        <v>973</v>
      </c>
      <c r="E1122" s="423"/>
      <c r="F1122" s="424"/>
      <c r="G1122" s="425"/>
      <c r="H1122" s="651"/>
      <c r="I1122" s="420">
        <v>10.210000000000001</v>
      </c>
      <c r="J1122" s="420">
        <f t="shared" si="304"/>
        <v>10.210000000000001</v>
      </c>
      <c r="K1122" s="421">
        <f t="shared" si="303"/>
        <v>12.13</v>
      </c>
      <c r="L1122" s="647" t="s">
        <v>2065</v>
      </c>
      <c r="M1122" s="576"/>
      <c r="N1122" s="576">
        <f t="shared" si="306"/>
        <v>0</v>
      </c>
      <c r="O1122" s="577">
        <f t="shared" si="300"/>
        <v>0</v>
      </c>
      <c r="P1122" s="578">
        <f t="shared" si="301"/>
        <v>0</v>
      </c>
      <c r="Q1122" s="765"/>
      <c r="R1122" s="576">
        <f t="shared" si="297"/>
        <v>0</v>
      </c>
      <c r="S1122" s="576">
        <f t="shared" si="297"/>
        <v>0</v>
      </c>
      <c r="T1122" s="577">
        <f t="shared" si="298"/>
        <v>0</v>
      </c>
      <c r="U1122" s="578">
        <f t="shared" si="299"/>
        <v>0</v>
      </c>
      <c r="V1122" s="579"/>
      <c r="W1122" s="566"/>
      <c r="X1122" s="586" t="str">
        <f t="shared" si="302"/>
        <v/>
      </c>
      <c r="Y1122" s="586" t="str">
        <f t="shared" si="296"/>
        <v/>
      </c>
      <c r="Z1122" s="586" t="str">
        <f t="shared" si="305"/>
        <v/>
      </c>
    </row>
    <row r="1123" spans="1:26" ht="23.25" hidden="1" thickBot="1" x14ac:dyDescent="0.25">
      <c r="A1123" s="567">
        <v>91885</v>
      </c>
      <c r="B1123" s="644">
        <v>91885</v>
      </c>
      <c r="C1123" s="645" t="s">
        <v>670</v>
      </c>
      <c r="D1123" s="422" t="s">
        <v>974</v>
      </c>
      <c r="E1123" s="423"/>
      <c r="F1123" s="424"/>
      <c r="G1123" s="425"/>
      <c r="H1123" s="651"/>
      <c r="I1123" s="420">
        <v>12.16</v>
      </c>
      <c r="J1123" s="420">
        <f t="shared" si="304"/>
        <v>12.16</v>
      </c>
      <c r="K1123" s="421">
        <f t="shared" si="303"/>
        <v>14.45</v>
      </c>
      <c r="L1123" s="647" t="s">
        <v>2065</v>
      </c>
      <c r="M1123" s="576"/>
      <c r="N1123" s="576">
        <f t="shared" si="306"/>
        <v>0</v>
      </c>
      <c r="O1123" s="577">
        <f t="shared" si="300"/>
        <v>0</v>
      </c>
      <c r="P1123" s="578">
        <f t="shared" si="301"/>
        <v>0</v>
      </c>
      <c r="Q1123" s="765"/>
      <c r="R1123" s="576">
        <f t="shared" si="297"/>
        <v>0</v>
      </c>
      <c r="S1123" s="576">
        <f t="shared" si="297"/>
        <v>0</v>
      </c>
      <c r="T1123" s="577">
        <f t="shared" si="298"/>
        <v>0</v>
      </c>
      <c r="U1123" s="578">
        <f t="shared" si="299"/>
        <v>0</v>
      </c>
      <c r="V1123" s="579"/>
      <c r="W1123" s="566"/>
      <c r="X1123" s="586" t="str">
        <f t="shared" si="302"/>
        <v/>
      </c>
      <c r="Y1123" s="586" t="str">
        <f t="shared" ref="Y1123:Y1186" si="307">IF(W1123="X","x",IF(W1123="y","x",IF(W1123="xx","x",IF(U1123&gt;0,"x",""))))</f>
        <v/>
      </c>
      <c r="Z1123" s="586" t="str">
        <f t="shared" si="305"/>
        <v/>
      </c>
    </row>
    <row r="1124" spans="1:26" ht="23.25" hidden="1" thickBot="1" x14ac:dyDescent="0.25">
      <c r="A1124" s="567">
        <v>91886</v>
      </c>
      <c r="B1124" s="644">
        <v>91886</v>
      </c>
      <c r="C1124" s="645" t="s">
        <v>670</v>
      </c>
      <c r="D1124" s="422" t="s">
        <v>975</v>
      </c>
      <c r="E1124" s="423"/>
      <c r="F1124" s="424"/>
      <c r="G1124" s="425"/>
      <c r="H1124" s="651"/>
      <c r="I1124" s="420">
        <v>15.01</v>
      </c>
      <c r="J1124" s="420">
        <f t="shared" si="304"/>
        <v>15.01</v>
      </c>
      <c r="K1124" s="421">
        <f t="shared" si="303"/>
        <v>17.829999999999998</v>
      </c>
      <c r="L1124" s="647" t="s">
        <v>2065</v>
      </c>
      <c r="M1124" s="576"/>
      <c r="N1124" s="576">
        <f t="shared" si="306"/>
        <v>0</v>
      </c>
      <c r="O1124" s="577">
        <f t="shared" si="300"/>
        <v>0</v>
      </c>
      <c r="P1124" s="578">
        <f t="shared" si="301"/>
        <v>0</v>
      </c>
      <c r="Q1124" s="765"/>
      <c r="R1124" s="576">
        <f t="shared" si="297"/>
        <v>0</v>
      </c>
      <c r="S1124" s="576">
        <f t="shared" si="297"/>
        <v>0</v>
      </c>
      <c r="T1124" s="577">
        <f t="shared" si="298"/>
        <v>0</v>
      </c>
      <c r="U1124" s="578">
        <f t="shared" si="299"/>
        <v>0</v>
      </c>
      <c r="V1124" s="579"/>
      <c r="W1124" s="566"/>
      <c r="X1124" s="586" t="str">
        <f t="shared" si="302"/>
        <v/>
      </c>
      <c r="Y1124" s="586" t="str">
        <f t="shared" si="307"/>
        <v/>
      </c>
      <c r="Z1124" s="586" t="str">
        <f t="shared" si="305"/>
        <v/>
      </c>
    </row>
    <row r="1125" spans="1:26" ht="23.25" hidden="1" thickBot="1" x14ac:dyDescent="0.25">
      <c r="A1125" s="567">
        <v>91887</v>
      </c>
      <c r="B1125" s="644">
        <v>91887</v>
      </c>
      <c r="C1125" s="645" t="s">
        <v>670</v>
      </c>
      <c r="D1125" s="422" t="s">
        <v>976</v>
      </c>
      <c r="E1125" s="423"/>
      <c r="F1125" s="424"/>
      <c r="G1125" s="425"/>
      <c r="H1125" s="651"/>
      <c r="I1125" s="420">
        <v>10.88</v>
      </c>
      <c r="J1125" s="420">
        <f t="shared" si="304"/>
        <v>10.88</v>
      </c>
      <c r="K1125" s="421">
        <f t="shared" si="303"/>
        <v>12.93</v>
      </c>
      <c r="L1125" s="647" t="s">
        <v>2065</v>
      </c>
      <c r="M1125" s="576"/>
      <c r="N1125" s="576">
        <f t="shared" si="306"/>
        <v>0</v>
      </c>
      <c r="O1125" s="577">
        <f t="shared" si="300"/>
        <v>0</v>
      </c>
      <c r="P1125" s="578">
        <f t="shared" si="301"/>
        <v>0</v>
      </c>
      <c r="Q1125" s="765"/>
      <c r="R1125" s="576">
        <f t="shared" si="297"/>
        <v>0</v>
      </c>
      <c r="S1125" s="576">
        <f t="shared" si="297"/>
        <v>0</v>
      </c>
      <c r="T1125" s="577">
        <f t="shared" si="298"/>
        <v>0</v>
      </c>
      <c r="U1125" s="578">
        <f t="shared" si="299"/>
        <v>0</v>
      </c>
      <c r="V1125" s="579"/>
      <c r="W1125" s="566"/>
      <c r="X1125" s="586" t="str">
        <f t="shared" si="302"/>
        <v/>
      </c>
      <c r="Y1125" s="586" t="str">
        <f t="shared" si="307"/>
        <v/>
      </c>
      <c r="Z1125" s="586" t="str">
        <f t="shared" si="305"/>
        <v/>
      </c>
    </row>
    <row r="1126" spans="1:26" ht="23.25" hidden="1" thickBot="1" x14ac:dyDescent="0.25">
      <c r="A1126" s="567">
        <v>91889</v>
      </c>
      <c r="B1126" s="644">
        <v>91889</v>
      </c>
      <c r="C1126" s="645" t="s">
        <v>670</v>
      </c>
      <c r="D1126" s="422" t="s">
        <v>977</v>
      </c>
      <c r="E1126" s="423"/>
      <c r="F1126" s="424"/>
      <c r="G1126" s="425"/>
      <c r="H1126" s="651"/>
      <c r="I1126" s="420">
        <v>10.41</v>
      </c>
      <c r="J1126" s="420">
        <f t="shared" si="304"/>
        <v>10.41</v>
      </c>
      <c r="K1126" s="421">
        <f t="shared" si="303"/>
        <v>12.37</v>
      </c>
      <c r="L1126" s="647" t="s">
        <v>2065</v>
      </c>
      <c r="M1126" s="576"/>
      <c r="N1126" s="576">
        <f t="shared" si="306"/>
        <v>0</v>
      </c>
      <c r="O1126" s="577">
        <f t="shared" si="300"/>
        <v>0</v>
      </c>
      <c r="P1126" s="578">
        <f t="shared" si="301"/>
        <v>0</v>
      </c>
      <c r="Q1126" s="765"/>
      <c r="R1126" s="576">
        <f t="shared" si="297"/>
        <v>0</v>
      </c>
      <c r="S1126" s="576">
        <f t="shared" si="297"/>
        <v>0</v>
      </c>
      <c r="T1126" s="577">
        <f t="shared" si="298"/>
        <v>0</v>
      </c>
      <c r="U1126" s="578">
        <f t="shared" si="299"/>
        <v>0</v>
      </c>
      <c r="V1126" s="579"/>
      <c r="W1126" s="566"/>
      <c r="X1126" s="586" t="str">
        <f t="shared" si="302"/>
        <v/>
      </c>
      <c r="Y1126" s="586" t="str">
        <f t="shared" si="307"/>
        <v/>
      </c>
      <c r="Z1126" s="586" t="str">
        <f t="shared" si="305"/>
        <v/>
      </c>
    </row>
    <row r="1127" spans="1:26" ht="23.25" hidden="1" thickBot="1" x14ac:dyDescent="0.25">
      <c r="A1127" s="567">
        <v>91890</v>
      </c>
      <c r="B1127" s="644">
        <v>91890</v>
      </c>
      <c r="C1127" s="645" t="s">
        <v>670</v>
      </c>
      <c r="D1127" s="422" t="s">
        <v>978</v>
      </c>
      <c r="E1127" s="423"/>
      <c r="F1127" s="424"/>
      <c r="G1127" s="425"/>
      <c r="H1127" s="651"/>
      <c r="I1127" s="420">
        <v>12.77</v>
      </c>
      <c r="J1127" s="420">
        <f t="shared" si="304"/>
        <v>12.77</v>
      </c>
      <c r="K1127" s="421">
        <f t="shared" si="303"/>
        <v>15.17</v>
      </c>
      <c r="L1127" s="647" t="s">
        <v>2065</v>
      </c>
      <c r="M1127" s="576"/>
      <c r="N1127" s="576">
        <f t="shared" si="306"/>
        <v>0</v>
      </c>
      <c r="O1127" s="577">
        <f t="shared" si="300"/>
        <v>0</v>
      </c>
      <c r="P1127" s="578">
        <f t="shared" si="301"/>
        <v>0</v>
      </c>
      <c r="Q1127" s="765"/>
      <c r="R1127" s="576">
        <f t="shared" si="297"/>
        <v>0</v>
      </c>
      <c r="S1127" s="576">
        <f t="shared" si="297"/>
        <v>0</v>
      </c>
      <c r="T1127" s="577">
        <f t="shared" si="298"/>
        <v>0</v>
      </c>
      <c r="U1127" s="578">
        <f t="shared" si="299"/>
        <v>0</v>
      </c>
      <c r="V1127" s="579"/>
      <c r="W1127" s="566"/>
      <c r="X1127" s="586" t="str">
        <f t="shared" si="302"/>
        <v/>
      </c>
      <c r="Y1127" s="586" t="str">
        <f t="shared" si="307"/>
        <v/>
      </c>
      <c r="Z1127" s="586" t="str">
        <f t="shared" si="305"/>
        <v/>
      </c>
    </row>
    <row r="1128" spans="1:26" ht="23.25" hidden="1" thickBot="1" x14ac:dyDescent="0.25">
      <c r="A1128" s="567">
        <v>91892</v>
      </c>
      <c r="B1128" s="644">
        <v>91892</v>
      </c>
      <c r="C1128" s="645" t="s">
        <v>670</v>
      </c>
      <c r="D1128" s="422" t="s">
        <v>979</v>
      </c>
      <c r="E1128" s="423"/>
      <c r="F1128" s="424"/>
      <c r="G1128" s="425"/>
      <c r="H1128" s="651"/>
      <c r="I1128" s="420">
        <v>15.93</v>
      </c>
      <c r="J1128" s="420">
        <f t="shared" si="304"/>
        <v>15.93</v>
      </c>
      <c r="K1128" s="421">
        <f t="shared" si="303"/>
        <v>18.93</v>
      </c>
      <c r="L1128" s="647" t="s">
        <v>2065</v>
      </c>
      <c r="M1128" s="576"/>
      <c r="N1128" s="576">
        <f t="shared" si="306"/>
        <v>0</v>
      </c>
      <c r="O1128" s="577">
        <f t="shared" si="300"/>
        <v>0</v>
      </c>
      <c r="P1128" s="578">
        <f t="shared" si="301"/>
        <v>0</v>
      </c>
      <c r="Q1128" s="765"/>
      <c r="R1128" s="576">
        <f t="shared" si="297"/>
        <v>0</v>
      </c>
      <c r="S1128" s="576">
        <f t="shared" si="297"/>
        <v>0</v>
      </c>
      <c r="T1128" s="577">
        <f t="shared" si="298"/>
        <v>0</v>
      </c>
      <c r="U1128" s="578">
        <f t="shared" si="299"/>
        <v>0</v>
      </c>
      <c r="V1128" s="579"/>
      <c r="W1128" s="566"/>
      <c r="X1128" s="586" t="str">
        <f t="shared" si="302"/>
        <v/>
      </c>
      <c r="Y1128" s="586" t="str">
        <f t="shared" si="307"/>
        <v/>
      </c>
      <c r="Z1128" s="586" t="str">
        <f t="shared" si="305"/>
        <v/>
      </c>
    </row>
    <row r="1129" spans="1:26" ht="23.25" hidden="1" thickBot="1" x14ac:dyDescent="0.25">
      <c r="A1129" s="567">
        <v>91893</v>
      </c>
      <c r="B1129" s="644">
        <v>91893</v>
      </c>
      <c r="C1129" s="645" t="s">
        <v>670</v>
      </c>
      <c r="D1129" s="422" t="s">
        <v>980</v>
      </c>
      <c r="E1129" s="423"/>
      <c r="F1129" s="424"/>
      <c r="G1129" s="425"/>
      <c r="H1129" s="651"/>
      <c r="I1129" s="420">
        <v>17.61</v>
      </c>
      <c r="J1129" s="420">
        <f t="shared" si="304"/>
        <v>17.61</v>
      </c>
      <c r="K1129" s="421">
        <f t="shared" si="303"/>
        <v>20.92</v>
      </c>
      <c r="L1129" s="647" t="s">
        <v>2065</v>
      </c>
      <c r="M1129" s="576"/>
      <c r="N1129" s="576">
        <f t="shared" si="306"/>
        <v>0</v>
      </c>
      <c r="O1129" s="577">
        <f t="shared" si="300"/>
        <v>0</v>
      </c>
      <c r="P1129" s="578">
        <f t="shared" si="301"/>
        <v>0</v>
      </c>
      <c r="Q1129" s="765"/>
      <c r="R1129" s="576">
        <f t="shared" si="297"/>
        <v>0</v>
      </c>
      <c r="S1129" s="576">
        <f t="shared" si="297"/>
        <v>0</v>
      </c>
      <c r="T1129" s="577">
        <f t="shared" si="298"/>
        <v>0</v>
      </c>
      <c r="U1129" s="578">
        <f t="shared" si="299"/>
        <v>0</v>
      </c>
      <c r="V1129" s="579"/>
      <c r="W1129" s="566"/>
      <c r="X1129" s="586" t="str">
        <f t="shared" si="302"/>
        <v/>
      </c>
      <c r="Y1129" s="586" t="str">
        <f t="shared" si="307"/>
        <v/>
      </c>
      <c r="Z1129" s="586" t="str">
        <f t="shared" si="305"/>
        <v/>
      </c>
    </row>
    <row r="1130" spans="1:26" ht="23.25" hidden="1" thickBot="1" x14ac:dyDescent="0.25">
      <c r="A1130" s="567">
        <v>91896</v>
      </c>
      <c r="B1130" s="644">
        <v>91896</v>
      </c>
      <c r="C1130" s="645" t="s">
        <v>670</v>
      </c>
      <c r="D1130" s="422" t="s">
        <v>981</v>
      </c>
      <c r="E1130" s="423"/>
      <c r="F1130" s="424"/>
      <c r="G1130" s="425"/>
      <c r="H1130" s="651"/>
      <c r="I1130" s="420">
        <v>21.34</v>
      </c>
      <c r="J1130" s="420">
        <f t="shared" si="304"/>
        <v>21.34</v>
      </c>
      <c r="K1130" s="421">
        <f t="shared" si="303"/>
        <v>25.35</v>
      </c>
      <c r="L1130" s="647" t="s">
        <v>2065</v>
      </c>
      <c r="M1130" s="576"/>
      <c r="N1130" s="576">
        <f t="shared" si="306"/>
        <v>0</v>
      </c>
      <c r="O1130" s="577">
        <f t="shared" si="300"/>
        <v>0</v>
      </c>
      <c r="P1130" s="578">
        <f t="shared" si="301"/>
        <v>0</v>
      </c>
      <c r="Q1130" s="765"/>
      <c r="R1130" s="576">
        <f t="shared" si="297"/>
        <v>0</v>
      </c>
      <c r="S1130" s="576">
        <f t="shared" si="297"/>
        <v>0</v>
      </c>
      <c r="T1130" s="577">
        <f t="shared" si="298"/>
        <v>0</v>
      </c>
      <c r="U1130" s="578">
        <f t="shared" si="299"/>
        <v>0</v>
      </c>
      <c r="V1130" s="579"/>
      <c r="W1130" s="566"/>
      <c r="X1130" s="586" t="str">
        <f t="shared" si="302"/>
        <v/>
      </c>
      <c r="Y1130" s="586" t="str">
        <f t="shared" si="307"/>
        <v/>
      </c>
      <c r="Z1130" s="586" t="str">
        <f t="shared" si="305"/>
        <v/>
      </c>
    </row>
    <row r="1131" spans="1:26" ht="23.25" hidden="1" thickBot="1" x14ac:dyDescent="0.25">
      <c r="A1131" s="567">
        <v>91898</v>
      </c>
      <c r="B1131" s="644">
        <v>91898</v>
      </c>
      <c r="C1131" s="645" t="s">
        <v>670</v>
      </c>
      <c r="D1131" s="422" t="s">
        <v>982</v>
      </c>
      <c r="E1131" s="423"/>
      <c r="F1131" s="424"/>
      <c r="G1131" s="425"/>
      <c r="H1131" s="651"/>
      <c r="I1131" s="420">
        <v>24.78</v>
      </c>
      <c r="J1131" s="420">
        <f t="shared" si="304"/>
        <v>24.78</v>
      </c>
      <c r="K1131" s="421">
        <f t="shared" si="303"/>
        <v>29.44</v>
      </c>
      <c r="L1131" s="647" t="s">
        <v>2065</v>
      </c>
      <c r="M1131" s="576"/>
      <c r="N1131" s="576">
        <f t="shared" si="306"/>
        <v>0</v>
      </c>
      <c r="O1131" s="577">
        <f t="shared" si="300"/>
        <v>0</v>
      </c>
      <c r="P1131" s="578">
        <f t="shared" si="301"/>
        <v>0</v>
      </c>
      <c r="Q1131" s="765"/>
      <c r="R1131" s="576">
        <f t="shared" si="297"/>
        <v>0</v>
      </c>
      <c r="S1131" s="576">
        <f t="shared" si="297"/>
        <v>0</v>
      </c>
      <c r="T1131" s="577">
        <f t="shared" si="298"/>
        <v>0</v>
      </c>
      <c r="U1131" s="578">
        <f t="shared" si="299"/>
        <v>0</v>
      </c>
      <c r="V1131" s="579"/>
      <c r="W1131" s="566"/>
      <c r="X1131" s="586" t="str">
        <f t="shared" si="302"/>
        <v/>
      </c>
      <c r="Y1131" s="586" t="str">
        <f t="shared" si="307"/>
        <v/>
      </c>
      <c r="Z1131" s="586" t="str">
        <f t="shared" si="305"/>
        <v/>
      </c>
    </row>
    <row r="1132" spans="1:26" ht="23.25" hidden="1" thickBot="1" x14ac:dyDescent="0.25">
      <c r="A1132" s="567">
        <v>91899</v>
      </c>
      <c r="B1132" s="644">
        <v>91899</v>
      </c>
      <c r="C1132" s="645" t="s">
        <v>670</v>
      </c>
      <c r="D1132" s="422" t="s">
        <v>983</v>
      </c>
      <c r="E1132" s="423"/>
      <c r="F1132" s="424"/>
      <c r="G1132" s="425"/>
      <c r="H1132" s="651"/>
      <c r="I1132" s="420">
        <v>13.07</v>
      </c>
      <c r="J1132" s="420">
        <f t="shared" si="304"/>
        <v>13.07</v>
      </c>
      <c r="K1132" s="421">
        <f t="shared" si="303"/>
        <v>15.53</v>
      </c>
      <c r="L1132" s="647" t="s">
        <v>2065</v>
      </c>
      <c r="M1132" s="576"/>
      <c r="N1132" s="576">
        <f t="shared" si="306"/>
        <v>0</v>
      </c>
      <c r="O1132" s="577">
        <f t="shared" si="300"/>
        <v>0</v>
      </c>
      <c r="P1132" s="578">
        <f t="shared" si="301"/>
        <v>0</v>
      </c>
      <c r="Q1132" s="765"/>
      <c r="R1132" s="576">
        <f t="shared" si="297"/>
        <v>0</v>
      </c>
      <c r="S1132" s="576">
        <f t="shared" si="297"/>
        <v>0</v>
      </c>
      <c r="T1132" s="577">
        <f t="shared" si="298"/>
        <v>0</v>
      </c>
      <c r="U1132" s="578">
        <f t="shared" si="299"/>
        <v>0</v>
      </c>
      <c r="V1132" s="579"/>
      <c r="W1132" s="566"/>
      <c r="X1132" s="586" t="str">
        <f t="shared" si="302"/>
        <v/>
      </c>
      <c r="Y1132" s="586" t="str">
        <f t="shared" si="307"/>
        <v/>
      </c>
      <c r="Z1132" s="586" t="str">
        <f t="shared" si="305"/>
        <v/>
      </c>
    </row>
    <row r="1133" spans="1:26" ht="23.25" hidden="1" thickBot="1" x14ac:dyDescent="0.25">
      <c r="A1133" s="567">
        <v>91901</v>
      </c>
      <c r="B1133" s="644">
        <v>91901</v>
      </c>
      <c r="C1133" s="645" t="s">
        <v>670</v>
      </c>
      <c r="D1133" s="422" t="s">
        <v>984</v>
      </c>
      <c r="E1133" s="423"/>
      <c r="F1133" s="424"/>
      <c r="G1133" s="425"/>
      <c r="H1133" s="651"/>
      <c r="I1133" s="420">
        <v>12.6</v>
      </c>
      <c r="J1133" s="420">
        <f t="shared" si="304"/>
        <v>12.6</v>
      </c>
      <c r="K1133" s="421">
        <f t="shared" si="303"/>
        <v>14.97</v>
      </c>
      <c r="L1133" s="647" t="s">
        <v>2065</v>
      </c>
      <c r="M1133" s="576"/>
      <c r="N1133" s="576">
        <f t="shared" si="306"/>
        <v>0</v>
      </c>
      <c r="O1133" s="577">
        <f t="shared" si="300"/>
        <v>0</v>
      </c>
      <c r="P1133" s="578">
        <f t="shared" si="301"/>
        <v>0</v>
      </c>
      <c r="Q1133" s="765"/>
      <c r="R1133" s="576">
        <f t="shared" si="297"/>
        <v>0</v>
      </c>
      <c r="S1133" s="576">
        <f t="shared" si="297"/>
        <v>0</v>
      </c>
      <c r="T1133" s="577">
        <f t="shared" si="298"/>
        <v>0</v>
      </c>
      <c r="U1133" s="578">
        <f t="shared" si="299"/>
        <v>0</v>
      </c>
      <c r="V1133" s="579"/>
      <c r="W1133" s="566"/>
      <c r="X1133" s="586" t="str">
        <f t="shared" si="302"/>
        <v/>
      </c>
      <c r="Y1133" s="586" t="str">
        <f t="shared" si="307"/>
        <v/>
      </c>
      <c r="Z1133" s="586" t="str">
        <f t="shared" si="305"/>
        <v/>
      </c>
    </row>
    <row r="1134" spans="1:26" ht="23.25" hidden="1" thickBot="1" x14ac:dyDescent="0.25">
      <c r="A1134" s="567">
        <v>91902</v>
      </c>
      <c r="B1134" s="644">
        <v>91902</v>
      </c>
      <c r="C1134" s="645" t="s">
        <v>670</v>
      </c>
      <c r="D1134" s="422" t="s">
        <v>985</v>
      </c>
      <c r="E1134" s="423"/>
      <c r="F1134" s="424"/>
      <c r="G1134" s="425"/>
      <c r="H1134" s="651"/>
      <c r="I1134" s="420">
        <v>14.96</v>
      </c>
      <c r="J1134" s="420">
        <f t="shared" si="304"/>
        <v>14.96</v>
      </c>
      <c r="K1134" s="421">
        <f t="shared" si="303"/>
        <v>17.77</v>
      </c>
      <c r="L1134" s="647" t="s">
        <v>2065</v>
      </c>
      <c r="M1134" s="576"/>
      <c r="N1134" s="576">
        <f t="shared" si="306"/>
        <v>0</v>
      </c>
      <c r="O1134" s="577">
        <f t="shared" si="300"/>
        <v>0</v>
      </c>
      <c r="P1134" s="578">
        <f t="shared" si="301"/>
        <v>0</v>
      </c>
      <c r="Q1134" s="765"/>
      <c r="R1134" s="576">
        <f t="shared" si="297"/>
        <v>0</v>
      </c>
      <c r="S1134" s="576">
        <f t="shared" si="297"/>
        <v>0</v>
      </c>
      <c r="T1134" s="577">
        <f t="shared" si="298"/>
        <v>0</v>
      </c>
      <c r="U1134" s="578">
        <f t="shared" si="299"/>
        <v>0</v>
      </c>
      <c r="V1134" s="579"/>
      <c r="W1134" s="566"/>
      <c r="X1134" s="586" t="str">
        <f t="shared" si="302"/>
        <v/>
      </c>
      <c r="Y1134" s="586" t="str">
        <f t="shared" si="307"/>
        <v/>
      </c>
      <c r="Z1134" s="586" t="str">
        <f t="shared" si="305"/>
        <v/>
      </c>
    </row>
    <row r="1135" spans="1:26" ht="23.25" hidden="1" thickBot="1" x14ac:dyDescent="0.25">
      <c r="A1135" s="567">
        <v>91895</v>
      </c>
      <c r="B1135" s="644">
        <v>91895</v>
      </c>
      <c r="C1135" s="645" t="s">
        <v>670</v>
      </c>
      <c r="D1135" s="422" t="s">
        <v>986</v>
      </c>
      <c r="E1135" s="423"/>
      <c r="F1135" s="424"/>
      <c r="G1135" s="425"/>
      <c r="H1135" s="651"/>
      <c r="I1135" s="420">
        <v>20.83</v>
      </c>
      <c r="J1135" s="420">
        <f t="shared" si="304"/>
        <v>20.83</v>
      </c>
      <c r="K1135" s="421">
        <f t="shared" si="303"/>
        <v>24.75</v>
      </c>
      <c r="L1135" s="647" t="s">
        <v>2065</v>
      </c>
      <c r="M1135" s="576"/>
      <c r="N1135" s="576">
        <f t="shared" si="306"/>
        <v>0</v>
      </c>
      <c r="O1135" s="577">
        <f t="shared" si="300"/>
        <v>0</v>
      </c>
      <c r="P1135" s="578">
        <f t="shared" si="301"/>
        <v>0</v>
      </c>
      <c r="Q1135" s="765"/>
      <c r="R1135" s="576">
        <f t="shared" si="297"/>
        <v>0</v>
      </c>
      <c r="S1135" s="576">
        <f t="shared" si="297"/>
        <v>0</v>
      </c>
      <c r="T1135" s="577">
        <f t="shared" si="298"/>
        <v>0</v>
      </c>
      <c r="U1135" s="578">
        <f t="shared" si="299"/>
        <v>0</v>
      </c>
      <c r="V1135" s="579"/>
      <c r="W1135" s="566"/>
      <c r="X1135" s="586" t="str">
        <f t="shared" si="302"/>
        <v/>
      </c>
      <c r="Y1135" s="586" t="str">
        <f t="shared" si="307"/>
        <v/>
      </c>
      <c r="Z1135" s="586" t="str">
        <f t="shared" si="305"/>
        <v/>
      </c>
    </row>
    <row r="1136" spans="1:26" ht="23.25" hidden="1" thickBot="1" x14ac:dyDescent="0.25">
      <c r="A1136" s="567">
        <v>91907</v>
      </c>
      <c r="B1136" s="644">
        <v>91907</v>
      </c>
      <c r="C1136" s="645" t="s">
        <v>670</v>
      </c>
      <c r="D1136" s="422" t="s">
        <v>987</v>
      </c>
      <c r="E1136" s="423"/>
      <c r="F1136" s="424"/>
      <c r="G1136" s="425"/>
      <c r="H1136" s="651"/>
      <c r="I1136" s="420">
        <v>23.02</v>
      </c>
      <c r="J1136" s="420">
        <f t="shared" si="304"/>
        <v>23.02</v>
      </c>
      <c r="K1136" s="421">
        <f t="shared" si="303"/>
        <v>27.35</v>
      </c>
      <c r="L1136" s="647" t="s">
        <v>2065</v>
      </c>
      <c r="M1136" s="576"/>
      <c r="N1136" s="576">
        <f t="shared" si="306"/>
        <v>0</v>
      </c>
      <c r="O1136" s="577">
        <f t="shared" si="300"/>
        <v>0</v>
      </c>
      <c r="P1136" s="578">
        <f t="shared" si="301"/>
        <v>0</v>
      </c>
      <c r="Q1136" s="765"/>
      <c r="R1136" s="576">
        <f t="shared" si="297"/>
        <v>0</v>
      </c>
      <c r="S1136" s="576">
        <f t="shared" si="297"/>
        <v>0</v>
      </c>
      <c r="T1136" s="577">
        <f t="shared" si="298"/>
        <v>0</v>
      </c>
      <c r="U1136" s="578">
        <f t="shared" si="299"/>
        <v>0</v>
      </c>
      <c r="V1136" s="579"/>
      <c r="W1136" s="566"/>
      <c r="X1136" s="586" t="str">
        <f t="shared" si="302"/>
        <v/>
      </c>
      <c r="Y1136" s="586" t="str">
        <f t="shared" si="307"/>
        <v/>
      </c>
      <c r="Z1136" s="586" t="str">
        <f t="shared" si="305"/>
        <v/>
      </c>
    </row>
    <row r="1137" spans="1:26" ht="23.25" hidden="1" thickBot="1" x14ac:dyDescent="0.25">
      <c r="A1137" s="567">
        <v>91919</v>
      </c>
      <c r="B1137" s="644">
        <v>91919</v>
      </c>
      <c r="C1137" s="645" t="s">
        <v>670</v>
      </c>
      <c r="D1137" s="422" t="s">
        <v>988</v>
      </c>
      <c r="E1137" s="423"/>
      <c r="F1137" s="424"/>
      <c r="G1137" s="425"/>
      <c r="H1137" s="651"/>
      <c r="I1137" s="420">
        <v>24.16</v>
      </c>
      <c r="J1137" s="420">
        <f t="shared" si="304"/>
        <v>24.16</v>
      </c>
      <c r="K1137" s="421">
        <f t="shared" si="303"/>
        <v>28.7</v>
      </c>
      <c r="L1137" s="647" t="s">
        <v>2065</v>
      </c>
      <c r="M1137" s="576"/>
      <c r="N1137" s="576">
        <f t="shared" si="306"/>
        <v>0</v>
      </c>
      <c r="O1137" s="577">
        <f t="shared" si="300"/>
        <v>0</v>
      </c>
      <c r="P1137" s="578">
        <f t="shared" si="301"/>
        <v>0</v>
      </c>
      <c r="Q1137" s="765"/>
      <c r="R1137" s="576">
        <f t="shared" si="297"/>
        <v>0</v>
      </c>
      <c r="S1137" s="576">
        <f t="shared" si="297"/>
        <v>0</v>
      </c>
      <c r="T1137" s="577">
        <f t="shared" si="298"/>
        <v>0</v>
      </c>
      <c r="U1137" s="578">
        <f t="shared" si="299"/>
        <v>0</v>
      </c>
      <c r="V1137" s="579"/>
      <c r="W1137" s="566"/>
      <c r="X1137" s="586" t="str">
        <f t="shared" si="302"/>
        <v/>
      </c>
      <c r="Y1137" s="586" t="str">
        <f t="shared" si="307"/>
        <v/>
      </c>
      <c r="Z1137" s="586" t="str">
        <f t="shared" si="305"/>
        <v/>
      </c>
    </row>
    <row r="1138" spans="1:26" ht="23.25" hidden="1" thickBot="1" x14ac:dyDescent="0.25">
      <c r="A1138" s="567">
        <v>91904</v>
      </c>
      <c r="B1138" s="644">
        <v>91904</v>
      </c>
      <c r="C1138" s="645" t="s">
        <v>670</v>
      </c>
      <c r="D1138" s="422" t="s">
        <v>989</v>
      </c>
      <c r="E1138" s="423"/>
      <c r="F1138" s="424"/>
      <c r="G1138" s="425"/>
      <c r="H1138" s="651"/>
      <c r="I1138" s="420">
        <v>18.12</v>
      </c>
      <c r="J1138" s="420">
        <f t="shared" si="304"/>
        <v>18.12</v>
      </c>
      <c r="K1138" s="421">
        <f t="shared" si="303"/>
        <v>21.53</v>
      </c>
      <c r="L1138" s="647" t="s">
        <v>2065</v>
      </c>
      <c r="M1138" s="576"/>
      <c r="N1138" s="576">
        <f t="shared" si="306"/>
        <v>0</v>
      </c>
      <c r="O1138" s="577">
        <f t="shared" si="300"/>
        <v>0</v>
      </c>
      <c r="P1138" s="578">
        <f t="shared" si="301"/>
        <v>0</v>
      </c>
      <c r="Q1138" s="765"/>
      <c r="R1138" s="576">
        <f t="shared" si="297"/>
        <v>0</v>
      </c>
      <c r="S1138" s="576">
        <f t="shared" si="297"/>
        <v>0</v>
      </c>
      <c r="T1138" s="577">
        <f t="shared" si="298"/>
        <v>0</v>
      </c>
      <c r="U1138" s="578">
        <f t="shared" si="299"/>
        <v>0</v>
      </c>
      <c r="V1138" s="579"/>
      <c r="W1138" s="566"/>
      <c r="X1138" s="586" t="str">
        <f t="shared" si="302"/>
        <v/>
      </c>
      <c r="Y1138" s="586" t="str">
        <f t="shared" si="307"/>
        <v/>
      </c>
      <c r="Z1138" s="586" t="str">
        <f t="shared" si="305"/>
        <v/>
      </c>
    </row>
    <row r="1139" spans="1:26" ht="23.25" hidden="1" thickBot="1" x14ac:dyDescent="0.25">
      <c r="A1139" s="567">
        <v>91905</v>
      </c>
      <c r="B1139" s="644">
        <v>91905</v>
      </c>
      <c r="C1139" s="645" t="s">
        <v>670</v>
      </c>
      <c r="D1139" s="422" t="s">
        <v>990</v>
      </c>
      <c r="E1139" s="423"/>
      <c r="F1139" s="424"/>
      <c r="G1139" s="425"/>
      <c r="H1139" s="651"/>
      <c r="I1139" s="420">
        <v>19.8</v>
      </c>
      <c r="J1139" s="420">
        <f t="shared" si="304"/>
        <v>19.8</v>
      </c>
      <c r="K1139" s="421">
        <f t="shared" si="303"/>
        <v>23.52</v>
      </c>
      <c r="L1139" s="647" t="s">
        <v>2065</v>
      </c>
      <c r="M1139" s="576"/>
      <c r="N1139" s="576">
        <f t="shared" si="306"/>
        <v>0</v>
      </c>
      <c r="O1139" s="577">
        <f t="shared" si="300"/>
        <v>0</v>
      </c>
      <c r="P1139" s="578">
        <f t="shared" si="301"/>
        <v>0</v>
      </c>
      <c r="Q1139" s="765"/>
      <c r="R1139" s="576">
        <f t="shared" si="297"/>
        <v>0</v>
      </c>
      <c r="S1139" s="576">
        <f t="shared" si="297"/>
        <v>0</v>
      </c>
      <c r="T1139" s="577">
        <f t="shared" si="298"/>
        <v>0</v>
      </c>
      <c r="U1139" s="578">
        <f t="shared" si="299"/>
        <v>0</v>
      </c>
      <c r="V1139" s="579"/>
      <c r="W1139" s="566"/>
      <c r="X1139" s="586" t="str">
        <f t="shared" si="302"/>
        <v/>
      </c>
      <c r="Y1139" s="586" t="str">
        <f t="shared" si="307"/>
        <v/>
      </c>
      <c r="Z1139" s="586" t="str">
        <f t="shared" si="305"/>
        <v/>
      </c>
    </row>
    <row r="1140" spans="1:26" ht="23.25" hidden="1" thickBot="1" x14ac:dyDescent="0.25">
      <c r="A1140" s="567">
        <v>91908</v>
      </c>
      <c r="B1140" s="644">
        <v>91908</v>
      </c>
      <c r="C1140" s="645" t="s">
        <v>670</v>
      </c>
      <c r="D1140" s="422" t="s">
        <v>991</v>
      </c>
      <c r="E1140" s="423"/>
      <c r="F1140" s="424"/>
      <c r="G1140" s="425"/>
      <c r="H1140" s="651"/>
      <c r="I1140" s="420">
        <v>23.58</v>
      </c>
      <c r="J1140" s="420">
        <f t="shared" si="304"/>
        <v>23.58</v>
      </c>
      <c r="K1140" s="421">
        <f t="shared" si="303"/>
        <v>28.02</v>
      </c>
      <c r="L1140" s="647" t="s">
        <v>2065</v>
      </c>
      <c r="M1140" s="576"/>
      <c r="N1140" s="576">
        <f t="shared" si="306"/>
        <v>0</v>
      </c>
      <c r="O1140" s="577">
        <f t="shared" si="300"/>
        <v>0</v>
      </c>
      <c r="P1140" s="578">
        <f t="shared" si="301"/>
        <v>0</v>
      </c>
      <c r="Q1140" s="765"/>
      <c r="R1140" s="576">
        <f t="shared" ref="R1140:S1203" si="308">M1140</f>
        <v>0</v>
      </c>
      <c r="S1140" s="576">
        <f t="shared" si="308"/>
        <v>0</v>
      </c>
      <c r="T1140" s="577">
        <f t="shared" ref="T1140:T1203" si="309">IF(ISBLANK(R1140),0,ROUND(K1140*R1140,2))</f>
        <v>0</v>
      </c>
      <c r="U1140" s="578">
        <f t="shared" ref="U1140:U1203" si="310">IF(ISBLANK(R1140),0,ROUND(R1140*S1140,2))</f>
        <v>0</v>
      </c>
      <c r="V1140" s="579"/>
      <c r="W1140" s="566"/>
      <c r="X1140" s="586" t="str">
        <f t="shared" si="302"/>
        <v/>
      </c>
      <c r="Y1140" s="586" t="str">
        <f t="shared" si="307"/>
        <v/>
      </c>
      <c r="Z1140" s="586" t="str">
        <f t="shared" si="305"/>
        <v/>
      </c>
    </row>
    <row r="1141" spans="1:26" ht="23.25" hidden="1" thickBot="1" x14ac:dyDescent="0.25">
      <c r="A1141" s="567">
        <v>91910</v>
      </c>
      <c r="B1141" s="644">
        <v>91910</v>
      </c>
      <c r="C1141" s="645" t="s">
        <v>670</v>
      </c>
      <c r="D1141" s="422" t="s">
        <v>992</v>
      </c>
      <c r="E1141" s="423"/>
      <c r="F1141" s="424"/>
      <c r="G1141" s="425"/>
      <c r="H1141" s="651"/>
      <c r="I1141" s="420">
        <v>27.02</v>
      </c>
      <c r="J1141" s="420">
        <f t="shared" si="304"/>
        <v>27.02</v>
      </c>
      <c r="K1141" s="421">
        <f t="shared" si="303"/>
        <v>32.1</v>
      </c>
      <c r="L1141" s="647" t="s">
        <v>2065</v>
      </c>
      <c r="M1141" s="576"/>
      <c r="N1141" s="576">
        <f t="shared" si="306"/>
        <v>0</v>
      </c>
      <c r="O1141" s="577">
        <f t="shared" ref="O1141:O1204" si="311">IF(ISBLANK(M1141),0,ROUND(K1141*M1141,2))</f>
        <v>0</v>
      </c>
      <c r="P1141" s="578">
        <f t="shared" ref="P1141:P1204" si="312">IF(ISBLANK(N1141),0,ROUND(M1141*N1141,2))</f>
        <v>0</v>
      </c>
      <c r="Q1141" s="765"/>
      <c r="R1141" s="576">
        <f t="shared" si="308"/>
        <v>0</v>
      </c>
      <c r="S1141" s="576">
        <f t="shared" si="308"/>
        <v>0</v>
      </c>
      <c r="T1141" s="577">
        <f t="shared" si="309"/>
        <v>0</v>
      </c>
      <c r="U1141" s="578">
        <f t="shared" si="310"/>
        <v>0</v>
      </c>
      <c r="V1141" s="579"/>
      <c r="W1141" s="566"/>
      <c r="X1141" s="586" t="str">
        <f t="shared" si="302"/>
        <v/>
      </c>
      <c r="Y1141" s="586" t="str">
        <f t="shared" si="307"/>
        <v/>
      </c>
      <c r="Z1141" s="586" t="str">
        <f t="shared" si="305"/>
        <v/>
      </c>
    </row>
    <row r="1142" spans="1:26" ht="23.25" hidden="1" thickBot="1" x14ac:dyDescent="0.25">
      <c r="A1142" s="567">
        <v>91911</v>
      </c>
      <c r="B1142" s="644">
        <v>91911</v>
      </c>
      <c r="C1142" s="645" t="s">
        <v>670</v>
      </c>
      <c r="D1142" s="422" t="s">
        <v>993</v>
      </c>
      <c r="E1142" s="423"/>
      <c r="F1142" s="424"/>
      <c r="G1142" s="425"/>
      <c r="H1142" s="651"/>
      <c r="I1142" s="420">
        <v>15.58</v>
      </c>
      <c r="J1142" s="420">
        <f t="shared" si="304"/>
        <v>15.58</v>
      </c>
      <c r="K1142" s="421">
        <f t="shared" si="303"/>
        <v>18.510000000000002</v>
      </c>
      <c r="L1142" s="647" t="s">
        <v>2065</v>
      </c>
      <c r="M1142" s="576"/>
      <c r="N1142" s="576">
        <f t="shared" si="306"/>
        <v>0</v>
      </c>
      <c r="O1142" s="577">
        <f t="shared" si="311"/>
        <v>0</v>
      </c>
      <c r="P1142" s="578">
        <f t="shared" si="312"/>
        <v>0</v>
      </c>
      <c r="Q1142" s="765"/>
      <c r="R1142" s="576">
        <f t="shared" si="308"/>
        <v>0</v>
      </c>
      <c r="S1142" s="576">
        <f t="shared" si="308"/>
        <v>0</v>
      </c>
      <c r="T1142" s="577">
        <f t="shared" si="309"/>
        <v>0</v>
      </c>
      <c r="U1142" s="578">
        <f t="shared" si="310"/>
        <v>0</v>
      </c>
      <c r="V1142" s="579"/>
      <c r="W1142" s="566"/>
      <c r="X1142" s="586" t="str">
        <f t="shared" si="302"/>
        <v/>
      </c>
      <c r="Y1142" s="586" t="str">
        <f t="shared" si="307"/>
        <v/>
      </c>
      <c r="Z1142" s="586" t="str">
        <f t="shared" si="305"/>
        <v/>
      </c>
    </row>
    <row r="1143" spans="1:26" ht="23.25" hidden="1" thickBot="1" x14ac:dyDescent="0.25">
      <c r="A1143" s="567">
        <v>91913</v>
      </c>
      <c r="B1143" s="644">
        <v>91913</v>
      </c>
      <c r="C1143" s="645" t="s">
        <v>670</v>
      </c>
      <c r="D1143" s="422" t="s">
        <v>994</v>
      </c>
      <c r="E1143" s="423"/>
      <c r="F1143" s="424"/>
      <c r="G1143" s="425"/>
      <c r="H1143" s="651"/>
      <c r="I1143" s="420">
        <v>15.11</v>
      </c>
      <c r="J1143" s="420">
        <f t="shared" si="304"/>
        <v>15.11</v>
      </c>
      <c r="K1143" s="421">
        <f t="shared" si="303"/>
        <v>17.95</v>
      </c>
      <c r="L1143" s="647" t="s">
        <v>2065</v>
      </c>
      <c r="M1143" s="576"/>
      <c r="N1143" s="576">
        <f t="shared" si="306"/>
        <v>0</v>
      </c>
      <c r="O1143" s="577">
        <f t="shared" si="311"/>
        <v>0</v>
      </c>
      <c r="P1143" s="578">
        <f t="shared" si="312"/>
        <v>0</v>
      </c>
      <c r="Q1143" s="765"/>
      <c r="R1143" s="576">
        <f t="shared" si="308"/>
        <v>0</v>
      </c>
      <c r="S1143" s="576">
        <f t="shared" si="308"/>
        <v>0</v>
      </c>
      <c r="T1143" s="577">
        <f t="shared" si="309"/>
        <v>0</v>
      </c>
      <c r="U1143" s="578">
        <f t="shared" si="310"/>
        <v>0</v>
      </c>
      <c r="V1143" s="579"/>
      <c r="W1143" s="566"/>
      <c r="X1143" s="586" t="str">
        <f t="shared" si="302"/>
        <v/>
      </c>
      <c r="Y1143" s="586" t="str">
        <f t="shared" si="307"/>
        <v/>
      </c>
      <c r="Z1143" s="586" t="str">
        <f t="shared" si="305"/>
        <v/>
      </c>
    </row>
    <row r="1144" spans="1:26" ht="23.25" hidden="1" thickBot="1" x14ac:dyDescent="0.25">
      <c r="A1144" s="567">
        <v>91914</v>
      </c>
      <c r="B1144" s="644">
        <v>91914</v>
      </c>
      <c r="C1144" s="645" t="s">
        <v>670</v>
      </c>
      <c r="D1144" s="422" t="s">
        <v>995</v>
      </c>
      <c r="E1144" s="423"/>
      <c r="F1144" s="424"/>
      <c r="G1144" s="425"/>
      <c r="H1144" s="651"/>
      <c r="I1144" s="420">
        <v>16.89</v>
      </c>
      <c r="J1144" s="420">
        <f t="shared" si="304"/>
        <v>16.89</v>
      </c>
      <c r="K1144" s="421">
        <f t="shared" si="303"/>
        <v>20.07</v>
      </c>
      <c r="L1144" s="647" t="s">
        <v>2065</v>
      </c>
      <c r="M1144" s="576"/>
      <c r="N1144" s="576">
        <f t="shared" si="306"/>
        <v>0</v>
      </c>
      <c r="O1144" s="577">
        <f t="shared" si="311"/>
        <v>0</v>
      </c>
      <c r="P1144" s="578">
        <f t="shared" si="312"/>
        <v>0</v>
      </c>
      <c r="Q1144" s="765"/>
      <c r="R1144" s="576">
        <f t="shared" si="308"/>
        <v>0</v>
      </c>
      <c r="S1144" s="576">
        <f t="shared" si="308"/>
        <v>0</v>
      </c>
      <c r="T1144" s="577">
        <f t="shared" si="309"/>
        <v>0</v>
      </c>
      <c r="U1144" s="578">
        <f t="shared" si="310"/>
        <v>0</v>
      </c>
      <c r="V1144" s="579"/>
      <c r="W1144" s="566"/>
      <c r="X1144" s="586" t="str">
        <f t="shared" si="302"/>
        <v/>
      </c>
      <c r="Y1144" s="586" t="str">
        <f t="shared" si="307"/>
        <v/>
      </c>
      <c r="Z1144" s="586" t="str">
        <f t="shared" si="305"/>
        <v/>
      </c>
    </row>
    <row r="1145" spans="1:26" ht="23.25" hidden="1" thickBot="1" x14ac:dyDescent="0.25">
      <c r="A1145" s="567">
        <v>91916</v>
      </c>
      <c r="B1145" s="644">
        <v>91916</v>
      </c>
      <c r="C1145" s="645" t="s">
        <v>670</v>
      </c>
      <c r="D1145" s="422" t="s">
        <v>996</v>
      </c>
      <c r="E1145" s="423"/>
      <c r="F1145" s="424"/>
      <c r="G1145" s="425"/>
      <c r="H1145" s="651"/>
      <c r="I1145" s="420">
        <v>20.05</v>
      </c>
      <c r="J1145" s="420">
        <f t="shared" si="304"/>
        <v>20.05</v>
      </c>
      <c r="K1145" s="421">
        <f t="shared" si="303"/>
        <v>23.82</v>
      </c>
      <c r="L1145" s="647" t="s">
        <v>2065</v>
      </c>
      <c r="M1145" s="576"/>
      <c r="N1145" s="576">
        <f t="shared" si="306"/>
        <v>0</v>
      </c>
      <c r="O1145" s="577">
        <f t="shared" si="311"/>
        <v>0</v>
      </c>
      <c r="P1145" s="578">
        <f t="shared" si="312"/>
        <v>0</v>
      </c>
      <c r="Q1145" s="765"/>
      <c r="R1145" s="576">
        <f t="shared" si="308"/>
        <v>0</v>
      </c>
      <c r="S1145" s="576">
        <f t="shared" si="308"/>
        <v>0</v>
      </c>
      <c r="T1145" s="577">
        <f t="shared" si="309"/>
        <v>0</v>
      </c>
      <c r="U1145" s="578">
        <f t="shared" si="310"/>
        <v>0</v>
      </c>
      <c r="V1145" s="579"/>
      <c r="W1145" s="566"/>
      <c r="X1145" s="586" t="str">
        <f t="shared" si="302"/>
        <v/>
      </c>
      <c r="Y1145" s="586" t="str">
        <f t="shared" si="307"/>
        <v/>
      </c>
      <c r="Z1145" s="586" t="str">
        <f t="shared" si="305"/>
        <v/>
      </c>
    </row>
    <row r="1146" spans="1:26" ht="23.25" hidden="1" thickBot="1" x14ac:dyDescent="0.25">
      <c r="A1146" s="567">
        <v>91917</v>
      </c>
      <c r="B1146" s="644">
        <v>91917</v>
      </c>
      <c r="C1146" s="645" t="s">
        <v>670</v>
      </c>
      <c r="D1146" s="422" t="s">
        <v>997</v>
      </c>
      <c r="E1146" s="423"/>
      <c r="F1146" s="424"/>
      <c r="G1146" s="425"/>
      <c r="H1146" s="651"/>
      <c r="I1146" s="420">
        <v>20.94</v>
      </c>
      <c r="J1146" s="420">
        <f t="shared" si="304"/>
        <v>20.94</v>
      </c>
      <c r="K1146" s="421">
        <f t="shared" si="303"/>
        <v>24.88</v>
      </c>
      <c r="L1146" s="647" t="s">
        <v>2065</v>
      </c>
      <c r="M1146" s="576"/>
      <c r="N1146" s="576">
        <f t="shared" si="306"/>
        <v>0</v>
      </c>
      <c r="O1146" s="577">
        <f t="shared" si="311"/>
        <v>0</v>
      </c>
      <c r="P1146" s="578">
        <f t="shared" si="312"/>
        <v>0</v>
      </c>
      <c r="Q1146" s="765"/>
      <c r="R1146" s="576">
        <f t="shared" si="308"/>
        <v>0</v>
      </c>
      <c r="S1146" s="576">
        <f t="shared" si="308"/>
        <v>0</v>
      </c>
      <c r="T1146" s="577">
        <f t="shared" si="309"/>
        <v>0</v>
      </c>
      <c r="U1146" s="578">
        <f t="shared" si="310"/>
        <v>0</v>
      </c>
      <c r="V1146" s="579"/>
      <c r="W1146" s="566"/>
      <c r="X1146" s="586" t="str">
        <f t="shared" si="302"/>
        <v/>
      </c>
      <c r="Y1146" s="586" t="str">
        <f t="shared" si="307"/>
        <v/>
      </c>
      <c r="Z1146" s="586" t="str">
        <f t="shared" si="305"/>
        <v/>
      </c>
    </row>
    <row r="1147" spans="1:26" ht="23.25" hidden="1" thickBot="1" x14ac:dyDescent="0.25">
      <c r="A1147" s="567">
        <v>91920</v>
      </c>
      <c r="B1147" s="644">
        <v>91920</v>
      </c>
      <c r="C1147" s="645" t="s">
        <v>670</v>
      </c>
      <c r="D1147" s="422" t="s">
        <v>998</v>
      </c>
      <c r="E1147" s="423"/>
      <c r="F1147" s="424"/>
      <c r="G1147" s="425"/>
      <c r="H1147" s="651"/>
      <c r="I1147" s="420">
        <v>23.84</v>
      </c>
      <c r="J1147" s="420">
        <f t="shared" si="304"/>
        <v>23.84</v>
      </c>
      <c r="K1147" s="421">
        <f t="shared" si="303"/>
        <v>28.32</v>
      </c>
      <c r="L1147" s="647" t="s">
        <v>2065</v>
      </c>
      <c r="M1147" s="576"/>
      <c r="N1147" s="576">
        <f t="shared" si="306"/>
        <v>0</v>
      </c>
      <c r="O1147" s="577">
        <f t="shared" si="311"/>
        <v>0</v>
      </c>
      <c r="P1147" s="578">
        <f t="shared" si="312"/>
        <v>0</v>
      </c>
      <c r="Q1147" s="765"/>
      <c r="R1147" s="576">
        <f t="shared" si="308"/>
        <v>0</v>
      </c>
      <c r="S1147" s="576">
        <f t="shared" si="308"/>
        <v>0</v>
      </c>
      <c r="T1147" s="577">
        <f t="shared" si="309"/>
        <v>0</v>
      </c>
      <c r="U1147" s="578">
        <f t="shared" si="310"/>
        <v>0</v>
      </c>
      <c r="V1147" s="579"/>
      <c r="W1147" s="566"/>
      <c r="X1147" s="586" t="str">
        <f t="shared" si="302"/>
        <v/>
      </c>
      <c r="Y1147" s="586" t="str">
        <f t="shared" si="307"/>
        <v/>
      </c>
      <c r="Z1147" s="586" t="str">
        <f t="shared" si="305"/>
        <v/>
      </c>
    </row>
    <row r="1148" spans="1:26" ht="23.25" hidden="1" thickBot="1" x14ac:dyDescent="0.25">
      <c r="A1148" s="567">
        <v>91922</v>
      </c>
      <c r="B1148" s="644">
        <v>91922</v>
      </c>
      <c r="C1148" s="645" t="s">
        <v>670</v>
      </c>
      <c r="D1148" s="422" t="s">
        <v>999</v>
      </c>
      <c r="E1148" s="423"/>
      <c r="F1148" s="424"/>
      <c r="G1148" s="425"/>
      <c r="H1148" s="651"/>
      <c r="I1148" s="420">
        <v>27.28</v>
      </c>
      <c r="J1148" s="420">
        <f t="shared" si="304"/>
        <v>27.28</v>
      </c>
      <c r="K1148" s="421">
        <f t="shared" si="303"/>
        <v>32.409999999999997</v>
      </c>
      <c r="L1148" s="647" t="s">
        <v>2065</v>
      </c>
      <c r="M1148" s="576"/>
      <c r="N1148" s="576">
        <f t="shared" si="306"/>
        <v>0</v>
      </c>
      <c r="O1148" s="577">
        <f t="shared" si="311"/>
        <v>0</v>
      </c>
      <c r="P1148" s="578">
        <f t="shared" si="312"/>
        <v>0</v>
      </c>
      <c r="Q1148" s="765"/>
      <c r="R1148" s="576">
        <f t="shared" si="308"/>
        <v>0</v>
      </c>
      <c r="S1148" s="576">
        <f t="shared" si="308"/>
        <v>0</v>
      </c>
      <c r="T1148" s="577">
        <f t="shared" si="309"/>
        <v>0</v>
      </c>
      <c r="U1148" s="578">
        <f t="shared" si="310"/>
        <v>0</v>
      </c>
      <c r="V1148" s="579"/>
      <c r="W1148" s="566"/>
      <c r="X1148" s="586" t="str">
        <f t="shared" si="302"/>
        <v/>
      </c>
      <c r="Y1148" s="586" t="str">
        <f t="shared" si="307"/>
        <v/>
      </c>
      <c r="Z1148" s="586" t="str">
        <f t="shared" si="305"/>
        <v/>
      </c>
    </row>
    <row r="1149" spans="1:26" ht="23.25" hidden="1" thickBot="1" x14ac:dyDescent="0.25">
      <c r="A1149" s="567">
        <v>93013</v>
      </c>
      <c r="B1149" s="644">
        <v>93013</v>
      </c>
      <c r="C1149" s="645" t="s">
        <v>670</v>
      </c>
      <c r="D1149" s="422" t="s">
        <v>1000</v>
      </c>
      <c r="E1149" s="423"/>
      <c r="F1149" s="424"/>
      <c r="G1149" s="425"/>
      <c r="H1149" s="651"/>
      <c r="I1149" s="420">
        <v>17.420000000000002</v>
      </c>
      <c r="J1149" s="420">
        <f t="shared" si="304"/>
        <v>17.420000000000002</v>
      </c>
      <c r="K1149" s="421">
        <f t="shared" si="303"/>
        <v>20.7</v>
      </c>
      <c r="L1149" s="647" t="s">
        <v>2065</v>
      </c>
      <c r="M1149" s="576"/>
      <c r="N1149" s="576">
        <f t="shared" si="306"/>
        <v>0</v>
      </c>
      <c r="O1149" s="577">
        <f t="shared" si="311"/>
        <v>0</v>
      </c>
      <c r="P1149" s="578">
        <f t="shared" si="312"/>
        <v>0</v>
      </c>
      <c r="Q1149" s="765"/>
      <c r="R1149" s="576">
        <f t="shared" si="308"/>
        <v>0</v>
      </c>
      <c r="S1149" s="576">
        <f t="shared" si="308"/>
        <v>0</v>
      </c>
      <c r="T1149" s="577">
        <f t="shared" si="309"/>
        <v>0</v>
      </c>
      <c r="U1149" s="578">
        <f t="shared" si="310"/>
        <v>0</v>
      </c>
      <c r="V1149" s="579"/>
      <c r="W1149" s="566"/>
      <c r="X1149" s="586" t="str">
        <f t="shared" ref="X1149:X1212" si="313">IF(W1149="X","x",IF(W1149="xx","x",IF(W1149="xy","x",IF(W1149="y","x",IF(OR(P1149&gt;0,U1149&gt;0),"x","")))))</f>
        <v/>
      </c>
      <c r="Y1149" s="586" t="str">
        <f t="shared" si="307"/>
        <v/>
      </c>
      <c r="Z1149" s="586" t="str">
        <f t="shared" si="305"/>
        <v/>
      </c>
    </row>
    <row r="1150" spans="1:26" ht="12" hidden="1" thickBot="1" x14ac:dyDescent="0.25">
      <c r="A1150" s="567">
        <v>93014</v>
      </c>
      <c r="B1150" s="644">
        <v>93014</v>
      </c>
      <c r="C1150" s="645" t="s">
        <v>670</v>
      </c>
      <c r="D1150" s="422" t="s">
        <v>1001</v>
      </c>
      <c r="E1150" s="423"/>
      <c r="F1150" s="424"/>
      <c r="G1150" s="425"/>
      <c r="H1150" s="651"/>
      <c r="I1150" s="420">
        <v>21.73</v>
      </c>
      <c r="J1150" s="420">
        <f t="shared" si="304"/>
        <v>21.73</v>
      </c>
      <c r="K1150" s="421">
        <f t="shared" si="303"/>
        <v>25.82</v>
      </c>
      <c r="L1150" s="647" t="s">
        <v>2065</v>
      </c>
      <c r="M1150" s="576"/>
      <c r="N1150" s="576">
        <f t="shared" si="306"/>
        <v>0</v>
      </c>
      <c r="O1150" s="577">
        <f t="shared" si="311"/>
        <v>0</v>
      </c>
      <c r="P1150" s="578">
        <f t="shared" si="312"/>
        <v>0</v>
      </c>
      <c r="Q1150" s="765"/>
      <c r="R1150" s="576">
        <f t="shared" si="308"/>
        <v>0</v>
      </c>
      <c r="S1150" s="576">
        <f t="shared" si="308"/>
        <v>0</v>
      </c>
      <c r="T1150" s="577">
        <f t="shared" si="309"/>
        <v>0</v>
      </c>
      <c r="U1150" s="578">
        <f t="shared" si="310"/>
        <v>0</v>
      </c>
      <c r="V1150" s="579"/>
      <c r="W1150" s="566"/>
      <c r="X1150" s="586" t="str">
        <f t="shared" si="313"/>
        <v/>
      </c>
      <c r="Y1150" s="586" t="str">
        <f t="shared" si="307"/>
        <v/>
      </c>
      <c r="Z1150" s="586" t="str">
        <f t="shared" si="305"/>
        <v/>
      </c>
    </row>
    <row r="1151" spans="1:26" ht="23.25" hidden="1" thickBot="1" x14ac:dyDescent="0.25">
      <c r="A1151" s="567">
        <v>93015</v>
      </c>
      <c r="B1151" s="644">
        <v>93015</v>
      </c>
      <c r="C1151" s="645" t="s">
        <v>670</v>
      </c>
      <c r="D1151" s="422" t="s">
        <v>1002</v>
      </c>
      <c r="E1151" s="423"/>
      <c r="F1151" s="424"/>
      <c r="G1151" s="425"/>
      <c r="H1151" s="651"/>
      <c r="I1151" s="420">
        <v>34.5</v>
      </c>
      <c r="J1151" s="420">
        <f t="shared" si="304"/>
        <v>34.5</v>
      </c>
      <c r="K1151" s="421">
        <f t="shared" si="303"/>
        <v>40.99</v>
      </c>
      <c r="L1151" s="647" t="s">
        <v>2065</v>
      </c>
      <c r="M1151" s="576"/>
      <c r="N1151" s="576">
        <f t="shared" si="306"/>
        <v>0</v>
      </c>
      <c r="O1151" s="577">
        <f t="shared" si="311"/>
        <v>0</v>
      </c>
      <c r="P1151" s="578">
        <f t="shared" si="312"/>
        <v>0</v>
      </c>
      <c r="Q1151" s="765"/>
      <c r="R1151" s="576">
        <f t="shared" si="308"/>
        <v>0</v>
      </c>
      <c r="S1151" s="576">
        <f t="shared" si="308"/>
        <v>0</v>
      </c>
      <c r="T1151" s="577">
        <f t="shared" si="309"/>
        <v>0</v>
      </c>
      <c r="U1151" s="578">
        <f t="shared" si="310"/>
        <v>0</v>
      </c>
      <c r="V1151" s="579"/>
      <c r="W1151" s="566"/>
      <c r="X1151" s="586" t="str">
        <f t="shared" si="313"/>
        <v/>
      </c>
      <c r="Y1151" s="586" t="str">
        <f t="shared" si="307"/>
        <v/>
      </c>
      <c r="Z1151" s="586" t="str">
        <f t="shared" si="305"/>
        <v/>
      </c>
    </row>
    <row r="1152" spans="1:26" ht="12" hidden="1" thickBot="1" x14ac:dyDescent="0.25">
      <c r="A1152" s="567">
        <v>93016</v>
      </c>
      <c r="B1152" s="644">
        <v>93016</v>
      </c>
      <c r="C1152" s="645" t="s">
        <v>670</v>
      </c>
      <c r="D1152" s="422" t="s">
        <v>1003</v>
      </c>
      <c r="E1152" s="423"/>
      <c r="F1152" s="424"/>
      <c r="G1152" s="425"/>
      <c r="H1152" s="651"/>
      <c r="I1152" s="420">
        <v>42.56</v>
      </c>
      <c r="J1152" s="420">
        <f t="shared" si="304"/>
        <v>42.56</v>
      </c>
      <c r="K1152" s="421">
        <f t="shared" si="303"/>
        <v>50.57</v>
      </c>
      <c r="L1152" s="647" t="s">
        <v>2065</v>
      </c>
      <c r="M1152" s="576"/>
      <c r="N1152" s="576">
        <f t="shared" si="306"/>
        <v>0</v>
      </c>
      <c r="O1152" s="577">
        <f t="shared" si="311"/>
        <v>0</v>
      </c>
      <c r="P1152" s="578">
        <f t="shared" si="312"/>
        <v>0</v>
      </c>
      <c r="Q1152" s="765"/>
      <c r="R1152" s="576">
        <f t="shared" si="308"/>
        <v>0</v>
      </c>
      <c r="S1152" s="576">
        <f t="shared" si="308"/>
        <v>0</v>
      </c>
      <c r="T1152" s="577">
        <f t="shared" si="309"/>
        <v>0</v>
      </c>
      <c r="U1152" s="578">
        <f t="shared" si="310"/>
        <v>0</v>
      </c>
      <c r="V1152" s="579"/>
      <c r="W1152" s="566"/>
      <c r="X1152" s="586" t="str">
        <f t="shared" si="313"/>
        <v/>
      </c>
      <c r="Y1152" s="586" t="str">
        <f t="shared" si="307"/>
        <v/>
      </c>
      <c r="Z1152" s="586" t="str">
        <f t="shared" si="305"/>
        <v/>
      </c>
    </row>
    <row r="1153" spans="1:26" ht="23.25" hidden="1" thickBot="1" x14ac:dyDescent="0.25">
      <c r="A1153" s="567">
        <v>93017</v>
      </c>
      <c r="B1153" s="644">
        <v>93017</v>
      </c>
      <c r="C1153" s="645" t="s">
        <v>670</v>
      </c>
      <c r="D1153" s="422" t="s">
        <v>1004</v>
      </c>
      <c r="E1153" s="423"/>
      <c r="F1153" s="424"/>
      <c r="G1153" s="425"/>
      <c r="H1153" s="651"/>
      <c r="I1153" s="420">
        <v>65.66</v>
      </c>
      <c r="J1153" s="420">
        <f t="shared" si="304"/>
        <v>65.66</v>
      </c>
      <c r="K1153" s="421">
        <f t="shared" si="303"/>
        <v>78.010000000000005</v>
      </c>
      <c r="L1153" s="647" t="s">
        <v>2065</v>
      </c>
      <c r="M1153" s="576"/>
      <c r="N1153" s="576">
        <f t="shared" si="306"/>
        <v>0</v>
      </c>
      <c r="O1153" s="577">
        <f t="shared" si="311"/>
        <v>0</v>
      </c>
      <c r="P1153" s="578">
        <f t="shared" si="312"/>
        <v>0</v>
      </c>
      <c r="Q1153" s="765"/>
      <c r="R1153" s="576">
        <f t="shared" si="308"/>
        <v>0</v>
      </c>
      <c r="S1153" s="576">
        <f t="shared" si="308"/>
        <v>0</v>
      </c>
      <c r="T1153" s="577">
        <f t="shared" si="309"/>
        <v>0</v>
      </c>
      <c r="U1153" s="578">
        <f t="shared" si="310"/>
        <v>0</v>
      </c>
      <c r="V1153" s="579"/>
      <c r="W1153" s="566"/>
      <c r="X1153" s="586" t="str">
        <f t="shared" si="313"/>
        <v/>
      </c>
      <c r="Y1153" s="586" t="str">
        <f t="shared" si="307"/>
        <v/>
      </c>
      <c r="Z1153" s="586" t="str">
        <f t="shared" si="305"/>
        <v/>
      </c>
    </row>
    <row r="1154" spans="1:26" ht="23.25" hidden="1" thickBot="1" x14ac:dyDescent="0.25">
      <c r="A1154" s="567">
        <v>93018</v>
      </c>
      <c r="B1154" s="644">
        <v>93018</v>
      </c>
      <c r="C1154" s="645" t="s">
        <v>670</v>
      </c>
      <c r="D1154" s="422" t="s">
        <v>1005</v>
      </c>
      <c r="E1154" s="423"/>
      <c r="F1154" s="424"/>
      <c r="G1154" s="425"/>
      <c r="H1154" s="651"/>
      <c r="I1154" s="420">
        <v>26.73</v>
      </c>
      <c r="J1154" s="420">
        <f t="shared" si="304"/>
        <v>26.73</v>
      </c>
      <c r="K1154" s="421">
        <f t="shared" si="303"/>
        <v>31.76</v>
      </c>
      <c r="L1154" s="647" t="s">
        <v>2065</v>
      </c>
      <c r="M1154" s="576"/>
      <c r="N1154" s="576">
        <f t="shared" si="306"/>
        <v>0</v>
      </c>
      <c r="O1154" s="577">
        <f t="shared" si="311"/>
        <v>0</v>
      </c>
      <c r="P1154" s="578">
        <f t="shared" si="312"/>
        <v>0</v>
      </c>
      <c r="Q1154" s="765"/>
      <c r="R1154" s="576">
        <f t="shared" si="308"/>
        <v>0</v>
      </c>
      <c r="S1154" s="576">
        <f t="shared" si="308"/>
        <v>0</v>
      </c>
      <c r="T1154" s="577">
        <f t="shared" si="309"/>
        <v>0</v>
      </c>
      <c r="U1154" s="578">
        <f t="shared" si="310"/>
        <v>0</v>
      </c>
      <c r="V1154" s="579"/>
      <c r="W1154" s="566"/>
      <c r="X1154" s="586" t="str">
        <f t="shared" si="313"/>
        <v/>
      </c>
      <c r="Y1154" s="586" t="str">
        <f t="shared" si="307"/>
        <v/>
      </c>
      <c r="Z1154" s="586" t="str">
        <f t="shared" si="305"/>
        <v/>
      </c>
    </row>
    <row r="1155" spans="1:26" ht="23.25" hidden="1" thickBot="1" x14ac:dyDescent="0.25">
      <c r="A1155" s="567">
        <v>93020</v>
      </c>
      <c r="B1155" s="644">
        <v>93020</v>
      </c>
      <c r="C1155" s="645" t="s">
        <v>670</v>
      </c>
      <c r="D1155" s="422" t="s">
        <v>1006</v>
      </c>
      <c r="E1155" s="423"/>
      <c r="F1155" s="424"/>
      <c r="G1155" s="425"/>
      <c r="H1155" s="651"/>
      <c r="I1155" s="420">
        <v>35.07</v>
      </c>
      <c r="J1155" s="420">
        <f t="shared" si="304"/>
        <v>35.07</v>
      </c>
      <c r="K1155" s="421">
        <f t="shared" si="303"/>
        <v>41.67</v>
      </c>
      <c r="L1155" s="647" t="s">
        <v>2065</v>
      </c>
      <c r="M1155" s="576"/>
      <c r="N1155" s="576">
        <f t="shared" si="306"/>
        <v>0</v>
      </c>
      <c r="O1155" s="577">
        <f t="shared" si="311"/>
        <v>0</v>
      </c>
      <c r="P1155" s="578">
        <f t="shared" si="312"/>
        <v>0</v>
      </c>
      <c r="Q1155" s="765"/>
      <c r="R1155" s="576">
        <f t="shared" si="308"/>
        <v>0</v>
      </c>
      <c r="S1155" s="576">
        <f t="shared" si="308"/>
        <v>0</v>
      </c>
      <c r="T1155" s="577">
        <f t="shared" si="309"/>
        <v>0</v>
      </c>
      <c r="U1155" s="578">
        <f t="shared" si="310"/>
        <v>0</v>
      </c>
      <c r="V1155" s="579"/>
      <c r="W1155" s="566"/>
      <c r="X1155" s="586" t="str">
        <f t="shared" si="313"/>
        <v/>
      </c>
      <c r="Y1155" s="586" t="str">
        <f t="shared" si="307"/>
        <v/>
      </c>
      <c r="Z1155" s="586" t="str">
        <f t="shared" si="305"/>
        <v/>
      </c>
    </row>
    <row r="1156" spans="1:26" ht="23.25" hidden="1" thickBot="1" x14ac:dyDescent="0.25">
      <c r="A1156" s="567">
        <v>93022</v>
      </c>
      <c r="B1156" s="644">
        <v>93022</v>
      </c>
      <c r="C1156" s="645" t="s">
        <v>670</v>
      </c>
      <c r="D1156" s="422" t="s">
        <v>1007</v>
      </c>
      <c r="E1156" s="423"/>
      <c r="F1156" s="424"/>
      <c r="G1156" s="425"/>
      <c r="H1156" s="651"/>
      <c r="I1156" s="420">
        <v>62.13</v>
      </c>
      <c r="J1156" s="420">
        <f t="shared" si="304"/>
        <v>62.13</v>
      </c>
      <c r="K1156" s="421">
        <f t="shared" si="303"/>
        <v>73.819999999999993</v>
      </c>
      <c r="L1156" s="647" t="s">
        <v>2065</v>
      </c>
      <c r="M1156" s="576"/>
      <c r="N1156" s="576">
        <f t="shared" si="306"/>
        <v>0</v>
      </c>
      <c r="O1156" s="577">
        <f t="shared" si="311"/>
        <v>0</v>
      </c>
      <c r="P1156" s="578">
        <f t="shared" si="312"/>
        <v>0</v>
      </c>
      <c r="Q1156" s="765"/>
      <c r="R1156" s="576">
        <f t="shared" si="308"/>
        <v>0</v>
      </c>
      <c r="S1156" s="576">
        <f t="shared" si="308"/>
        <v>0</v>
      </c>
      <c r="T1156" s="577">
        <f t="shared" si="309"/>
        <v>0</v>
      </c>
      <c r="U1156" s="578">
        <f t="shared" si="310"/>
        <v>0</v>
      </c>
      <c r="V1156" s="579"/>
      <c r="W1156" s="566"/>
      <c r="X1156" s="586" t="str">
        <f t="shared" si="313"/>
        <v/>
      </c>
      <c r="Y1156" s="586" t="str">
        <f t="shared" si="307"/>
        <v/>
      </c>
      <c r="Z1156" s="586" t="str">
        <f t="shared" si="305"/>
        <v/>
      </c>
    </row>
    <row r="1157" spans="1:26" ht="23.25" hidden="1" thickBot="1" x14ac:dyDescent="0.25">
      <c r="A1157" s="567">
        <v>93024</v>
      </c>
      <c r="B1157" s="644">
        <v>93024</v>
      </c>
      <c r="C1157" s="645" t="s">
        <v>670</v>
      </c>
      <c r="D1157" s="422" t="s">
        <v>1008</v>
      </c>
      <c r="E1157" s="423"/>
      <c r="F1157" s="424"/>
      <c r="G1157" s="425"/>
      <c r="H1157" s="651"/>
      <c r="I1157" s="420">
        <v>64.819999999999993</v>
      </c>
      <c r="J1157" s="420">
        <f t="shared" si="304"/>
        <v>64.819999999999993</v>
      </c>
      <c r="K1157" s="421">
        <f t="shared" si="303"/>
        <v>77.010000000000005</v>
      </c>
      <c r="L1157" s="647" t="s">
        <v>2065</v>
      </c>
      <c r="M1157" s="576"/>
      <c r="N1157" s="576">
        <f t="shared" si="306"/>
        <v>0</v>
      </c>
      <c r="O1157" s="577">
        <f t="shared" si="311"/>
        <v>0</v>
      </c>
      <c r="P1157" s="578">
        <f t="shared" si="312"/>
        <v>0</v>
      </c>
      <c r="Q1157" s="765"/>
      <c r="R1157" s="576">
        <f t="shared" si="308"/>
        <v>0</v>
      </c>
      <c r="S1157" s="576">
        <f t="shared" si="308"/>
        <v>0</v>
      </c>
      <c r="T1157" s="577">
        <f t="shared" si="309"/>
        <v>0</v>
      </c>
      <c r="U1157" s="578">
        <f t="shared" si="310"/>
        <v>0</v>
      </c>
      <c r="V1157" s="579"/>
      <c r="W1157" s="566"/>
      <c r="X1157" s="586" t="str">
        <f t="shared" si="313"/>
        <v/>
      </c>
      <c r="Y1157" s="586" t="str">
        <f t="shared" si="307"/>
        <v/>
      </c>
      <c r="Z1157" s="586" t="str">
        <f t="shared" si="305"/>
        <v/>
      </c>
    </row>
    <row r="1158" spans="1:26" ht="23.25" hidden="1" thickBot="1" x14ac:dyDescent="0.25">
      <c r="A1158" s="567">
        <v>93026</v>
      </c>
      <c r="B1158" s="644">
        <v>93026</v>
      </c>
      <c r="C1158" s="645" t="s">
        <v>670</v>
      </c>
      <c r="D1158" s="422" t="s">
        <v>1009</v>
      </c>
      <c r="E1158" s="423"/>
      <c r="F1158" s="424"/>
      <c r="G1158" s="425"/>
      <c r="H1158" s="651"/>
      <c r="I1158" s="420">
        <v>109.78</v>
      </c>
      <c r="J1158" s="420">
        <f t="shared" si="304"/>
        <v>109.78</v>
      </c>
      <c r="K1158" s="421">
        <f t="shared" si="303"/>
        <v>130.43</v>
      </c>
      <c r="L1158" s="647" t="s">
        <v>2065</v>
      </c>
      <c r="M1158" s="576"/>
      <c r="N1158" s="576">
        <f t="shared" si="306"/>
        <v>0</v>
      </c>
      <c r="O1158" s="577">
        <f t="shared" si="311"/>
        <v>0</v>
      </c>
      <c r="P1158" s="578">
        <f t="shared" si="312"/>
        <v>0</v>
      </c>
      <c r="Q1158" s="765"/>
      <c r="R1158" s="576">
        <f t="shared" si="308"/>
        <v>0</v>
      </c>
      <c r="S1158" s="576">
        <f t="shared" si="308"/>
        <v>0</v>
      </c>
      <c r="T1158" s="577">
        <f t="shared" si="309"/>
        <v>0</v>
      </c>
      <c r="U1158" s="578">
        <f t="shared" si="310"/>
        <v>0</v>
      </c>
      <c r="V1158" s="579"/>
      <c r="W1158" s="566"/>
      <c r="X1158" s="586" t="str">
        <f t="shared" si="313"/>
        <v/>
      </c>
      <c r="Y1158" s="586" t="str">
        <f t="shared" si="307"/>
        <v/>
      </c>
      <c r="Z1158" s="586" t="str">
        <f t="shared" si="305"/>
        <v/>
      </c>
    </row>
    <row r="1159" spans="1:26" ht="23.25" hidden="1" thickBot="1" x14ac:dyDescent="0.25">
      <c r="A1159" s="567">
        <v>97559</v>
      </c>
      <c r="B1159" s="644">
        <v>97559</v>
      </c>
      <c r="C1159" s="645" t="s">
        <v>670</v>
      </c>
      <c r="D1159" s="422" t="s">
        <v>1010</v>
      </c>
      <c r="E1159" s="423"/>
      <c r="F1159" s="424"/>
      <c r="G1159" s="425"/>
      <c r="H1159" s="651"/>
      <c r="I1159" s="420">
        <v>12.41</v>
      </c>
      <c r="J1159" s="420">
        <f t="shared" si="304"/>
        <v>12.41</v>
      </c>
      <c r="K1159" s="421">
        <f t="shared" si="303"/>
        <v>14.74</v>
      </c>
      <c r="L1159" s="647" t="s">
        <v>2065</v>
      </c>
      <c r="M1159" s="576"/>
      <c r="N1159" s="576">
        <f t="shared" si="306"/>
        <v>0</v>
      </c>
      <c r="O1159" s="577">
        <f t="shared" si="311"/>
        <v>0</v>
      </c>
      <c r="P1159" s="578">
        <f t="shared" si="312"/>
        <v>0</v>
      </c>
      <c r="Q1159" s="765"/>
      <c r="R1159" s="576">
        <f t="shared" si="308"/>
        <v>0</v>
      </c>
      <c r="S1159" s="576">
        <f t="shared" si="308"/>
        <v>0</v>
      </c>
      <c r="T1159" s="577">
        <f t="shared" si="309"/>
        <v>0</v>
      </c>
      <c r="U1159" s="578">
        <f t="shared" si="310"/>
        <v>0</v>
      </c>
      <c r="V1159" s="579"/>
      <c r="W1159" s="566"/>
      <c r="X1159" s="586" t="str">
        <f t="shared" si="313"/>
        <v/>
      </c>
      <c r="Y1159" s="586" t="str">
        <f t="shared" si="307"/>
        <v/>
      </c>
      <c r="Z1159" s="586" t="str">
        <f t="shared" si="305"/>
        <v/>
      </c>
    </row>
    <row r="1160" spans="1:26" ht="23.25" hidden="1" thickBot="1" x14ac:dyDescent="0.25">
      <c r="A1160" s="567">
        <v>97562</v>
      </c>
      <c r="B1160" s="644">
        <v>97562</v>
      </c>
      <c r="C1160" s="645" t="s">
        <v>670</v>
      </c>
      <c r="D1160" s="422" t="s">
        <v>1011</v>
      </c>
      <c r="E1160" s="423"/>
      <c r="F1160" s="424"/>
      <c r="G1160" s="425"/>
      <c r="H1160" s="651"/>
      <c r="I1160" s="420">
        <v>14.6</v>
      </c>
      <c r="J1160" s="420">
        <f t="shared" si="304"/>
        <v>14.6</v>
      </c>
      <c r="K1160" s="421">
        <f t="shared" si="303"/>
        <v>17.350000000000001</v>
      </c>
      <c r="L1160" s="647" t="s">
        <v>2065</v>
      </c>
      <c r="M1160" s="576"/>
      <c r="N1160" s="576">
        <f t="shared" si="306"/>
        <v>0</v>
      </c>
      <c r="O1160" s="577">
        <f t="shared" si="311"/>
        <v>0</v>
      </c>
      <c r="P1160" s="578">
        <f t="shared" si="312"/>
        <v>0</v>
      </c>
      <c r="Q1160" s="765"/>
      <c r="R1160" s="576">
        <f t="shared" si="308"/>
        <v>0</v>
      </c>
      <c r="S1160" s="576">
        <f t="shared" si="308"/>
        <v>0</v>
      </c>
      <c r="T1160" s="577">
        <f t="shared" si="309"/>
        <v>0</v>
      </c>
      <c r="U1160" s="578">
        <f t="shared" si="310"/>
        <v>0</v>
      </c>
      <c r="V1160" s="579"/>
      <c r="W1160" s="566"/>
      <c r="X1160" s="586" t="str">
        <f t="shared" si="313"/>
        <v/>
      </c>
      <c r="Y1160" s="586" t="str">
        <f t="shared" si="307"/>
        <v/>
      </c>
      <c r="Z1160" s="586" t="str">
        <f t="shared" si="305"/>
        <v/>
      </c>
    </row>
    <row r="1161" spans="1:26" ht="23.25" hidden="1" thickBot="1" x14ac:dyDescent="0.25">
      <c r="A1161" s="567">
        <v>97564</v>
      </c>
      <c r="B1161" s="644">
        <v>97564</v>
      </c>
      <c r="C1161" s="645" t="s">
        <v>670</v>
      </c>
      <c r="D1161" s="422" t="s">
        <v>1012</v>
      </c>
      <c r="E1161" s="423"/>
      <c r="F1161" s="424"/>
      <c r="G1161" s="425"/>
      <c r="H1161" s="651"/>
      <c r="I1161" s="420">
        <v>16.53</v>
      </c>
      <c r="J1161" s="420">
        <f t="shared" si="304"/>
        <v>16.53</v>
      </c>
      <c r="K1161" s="421">
        <f t="shared" ref="K1161:K1224" si="314">IF(ISBLANK(I1161),0,ROUND(J1161*(1+$F$10)*(1+$F$11*E1161),2))</f>
        <v>19.64</v>
      </c>
      <c r="L1161" s="647" t="s">
        <v>2065</v>
      </c>
      <c r="M1161" s="576"/>
      <c r="N1161" s="576">
        <f t="shared" si="306"/>
        <v>0</v>
      </c>
      <c r="O1161" s="577">
        <f t="shared" si="311"/>
        <v>0</v>
      </c>
      <c r="P1161" s="578">
        <f t="shared" si="312"/>
        <v>0</v>
      </c>
      <c r="Q1161" s="765"/>
      <c r="R1161" s="576">
        <f t="shared" si="308"/>
        <v>0</v>
      </c>
      <c r="S1161" s="576">
        <f t="shared" si="308"/>
        <v>0</v>
      </c>
      <c r="T1161" s="577">
        <f t="shared" si="309"/>
        <v>0</v>
      </c>
      <c r="U1161" s="578">
        <f t="shared" si="310"/>
        <v>0</v>
      </c>
      <c r="V1161" s="579"/>
      <c r="W1161" s="566"/>
      <c r="X1161" s="586" t="str">
        <f t="shared" si="313"/>
        <v/>
      </c>
      <c r="Y1161" s="586" t="str">
        <f t="shared" si="307"/>
        <v/>
      </c>
      <c r="Z1161" s="586" t="str">
        <f t="shared" si="305"/>
        <v/>
      </c>
    </row>
    <row r="1162" spans="1:26" ht="23.25" hidden="1" thickBot="1" x14ac:dyDescent="0.25">
      <c r="A1162" s="567">
        <v>91862</v>
      </c>
      <c r="B1162" s="644">
        <v>91862</v>
      </c>
      <c r="C1162" s="645" t="s">
        <v>670</v>
      </c>
      <c r="D1162" s="422" t="s">
        <v>1013</v>
      </c>
      <c r="E1162" s="423"/>
      <c r="F1162" s="424"/>
      <c r="G1162" s="425"/>
      <c r="H1162" s="651"/>
      <c r="I1162" s="420">
        <v>11.11</v>
      </c>
      <c r="J1162" s="420">
        <f t="shared" si="304"/>
        <v>11.11</v>
      </c>
      <c r="K1162" s="421">
        <f t="shared" si="314"/>
        <v>13.2</v>
      </c>
      <c r="L1162" s="647" t="s">
        <v>79</v>
      </c>
      <c r="M1162" s="576"/>
      <c r="N1162" s="576">
        <f t="shared" si="306"/>
        <v>0</v>
      </c>
      <c r="O1162" s="577">
        <f t="shared" si="311"/>
        <v>0</v>
      </c>
      <c r="P1162" s="578">
        <f t="shared" si="312"/>
        <v>0</v>
      </c>
      <c r="Q1162" s="765"/>
      <c r="R1162" s="576">
        <f t="shared" si="308"/>
        <v>0</v>
      </c>
      <c r="S1162" s="576">
        <f t="shared" si="308"/>
        <v>0</v>
      </c>
      <c r="T1162" s="577">
        <f t="shared" si="309"/>
        <v>0</v>
      </c>
      <c r="U1162" s="578">
        <f t="shared" si="310"/>
        <v>0</v>
      </c>
      <c r="V1162" s="579"/>
      <c r="W1162" s="566"/>
      <c r="X1162" s="586" t="str">
        <f t="shared" si="313"/>
        <v/>
      </c>
      <c r="Y1162" s="586" t="str">
        <f t="shared" si="307"/>
        <v/>
      </c>
      <c r="Z1162" s="586" t="str">
        <f t="shared" si="305"/>
        <v/>
      </c>
    </row>
    <row r="1163" spans="1:26" ht="23.25" hidden="1" thickBot="1" x14ac:dyDescent="0.25">
      <c r="A1163" s="567">
        <v>91863</v>
      </c>
      <c r="B1163" s="644">
        <v>91863</v>
      </c>
      <c r="C1163" s="645" t="s">
        <v>670</v>
      </c>
      <c r="D1163" s="422" t="s">
        <v>1014</v>
      </c>
      <c r="E1163" s="423"/>
      <c r="F1163" s="424"/>
      <c r="G1163" s="425"/>
      <c r="H1163" s="651"/>
      <c r="I1163" s="420">
        <v>13.11</v>
      </c>
      <c r="J1163" s="420">
        <f t="shared" si="304"/>
        <v>13.11</v>
      </c>
      <c r="K1163" s="421">
        <f t="shared" si="314"/>
        <v>15.58</v>
      </c>
      <c r="L1163" s="647" t="s">
        <v>79</v>
      </c>
      <c r="M1163" s="576"/>
      <c r="N1163" s="576">
        <f t="shared" si="306"/>
        <v>0</v>
      </c>
      <c r="O1163" s="577">
        <f t="shared" si="311"/>
        <v>0</v>
      </c>
      <c r="P1163" s="578">
        <f t="shared" si="312"/>
        <v>0</v>
      </c>
      <c r="Q1163" s="765"/>
      <c r="R1163" s="576">
        <f t="shared" si="308"/>
        <v>0</v>
      </c>
      <c r="S1163" s="576">
        <f t="shared" si="308"/>
        <v>0</v>
      </c>
      <c r="T1163" s="577">
        <f t="shared" si="309"/>
        <v>0</v>
      </c>
      <c r="U1163" s="578">
        <f t="shared" si="310"/>
        <v>0</v>
      </c>
      <c r="V1163" s="579"/>
      <c r="W1163" s="566"/>
      <c r="X1163" s="586" t="str">
        <f t="shared" si="313"/>
        <v/>
      </c>
      <c r="Y1163" s="586" t="str">
        <f t="shared" si="307"/>
        <v/>
      </c>
      <c r="Z1163" s="586" t="str">
        <f t="shared" si="305"/>
        <v/>
      </c>
    </row>
    <row r="1164" spans="1:26" ht="23.25" hidden="1" thickBot="1" x14ac:dyDescent="0.25">
      <c r="A1164" s="567">
        <v>91864</v>
      </c>
      <c r="B1164" s="644">
        <v>91864</v>
      </c>
      <c r="C1164" s="645" t="s">
        <v>670</v>
      </c>
      <c r="D1164" s="422" t="s">
        <v>1015</v>
      </c>
      <c r="E1164" s="423"/>
      <c r="F1164" s="424"/>
      <c r="G1164" s="425"/>
      <c r="H1164" s="651"/>
      <c r="I1164" s="420">
        <v>17.55</v>
      </c>
      <c r="J1164" s="420">
        <f t="shared" si="304"/>
        <v>17.55</v>
      </c>
      <c r="K1164" s="421">
        <f t="shared" si="314"/>
        <v>20.85</v>
      </c>
      <c r="L1164" s="647" t="s">
        <v>79</v>
      </c>
      <c r="M1164" s="576"/>
      <c r="N1164" s="576">
        <f t="shared" si="306"/>
        <v>0</v>
      </c>
      <c r="O1164" s="577">
        <f t="shared" si="311"/>
        <v>0</v>
      </c>
      <c r="P1164" s="578">
        <f t="shared" si="312"/>
        <v>0</v>
      </c>
      <c r="Q1164" s="765"/>
      <c r="R1164" s="576">
        <f t="shared" si="308"/>
        <v>0</v>
      </c>
      <c r="S1164" s="576">
        <f t="shared" si="308"/>
        <v>0</v>
      </c>
      <c r="T1164" s="577">
        <f t="shared" si="309"/>
        <v>0</v>
      </c>
      <c r="U1164" s="578">
        <f t="shared" si="310"/>
        <v>0</v>
      </c>
      <c r="V1164" s="579"/>
      <c r="W1164" s="566"/>
      <c r="X1164" s="586" t="str">
        <f t="shared" si="313"/>
        <v/>
      </c>
      <c r="Y1164" s="586" t="str">
        <f t="shared" si="307"/>
        <v/>
      </c>
      <c r="Z1164" s="586" t="str">
        <f t="shared" si="305"/>
        <v/>
      </c>
    </row>
    <row r="1165" spans="1:26" ht="23.25" hidden="1" thickBot="1" x14ac:dyDescent="0.25">
      <c r="A1165" s="567">
        <v>91865</v>
      </c>
      <c r="B1165" s="644">
        <v>91865</v>
      </c>
      <c r="C1165" s="645" t="s">
        <v>670</v>
      </c>
      <c r="D1165" s="422" t="s">
        <v>1016</v>
      </c>
      <c r="E1165" s="423"/>
      <c r="F1165" s="424"/>
      <c r="G1165" s="425"/>
      <c r="H1165" s="651"/>
      <c r="I1165" s="420">
        <v>21.93</v>
      </c>
      <c r="J1165" s="420">
        <f t="shared" si="304"/>
        <v>21.93</v>
      </c>
      <c r="K1165" s="421">
        <f t="shared" si="314"/>
        <v>26.06</v>
      </c>
      <c r="L1165" s="647" t="s">
        <v>79</v>
      </c>
      <c r="M1165" s="576"/>
      <c r="N1165" s="576">
        <f t="shared" si="306"/>
        <v>0</v>
      </c>
      <c r="O1165" s="577">
        <f t="shared" si="311"/>
        <v>0</v>
      </c>
      <c r="P1165" s="578">
        <f t="shared" si="312"/>
        <v>0</v>
      </c>
      <c r="Q1165" s="765"/>
      <c r="R1165" s="576">
        <f t="shared" si="308"/>
        <v>0</v>
      </c>
      <c r="S1165" s="576">
        <f t="shared" si="308"/>
        <v>0</v>
      </c>
      <c r="T1165" s="577">
        <f t="shared" si="309"/>
        <v>0</v>
      </c>
      <c r="U1165" s="578">
        <f t="shared" si="310"/>
        <v>0</v>
      </c>
      <c r="V1165" s="579"/>
      <c r="W1165" s="566"/>
      <c r="X1165" s="586" t="str">
        <f t="shared" si="313"/>
        <v/>
      </c>
      <c r="Y1165" s="586" t="str">
        <f t="shared" si="307"/>
        <v/>
      </c>
      <c r="Z1165" s="586" t="str">
        <f t="shared" si="305"/>
        <v/>
      </c>
    </row>
    <row r="1166" spans="1:26" ht="23.25" hidden="1" thickBot="1" x14ac:dyDescent="0.25">
      <c r="A1166" s="567">
        <v>91866</v>
      </c>
      <c r="B1166" s="644">
        <v>91866</v>
      </c>
      <c r="C1166" s="645" t="s">
        <v>670</v>
      </c>
      <c r="D1166" s="422" t="s">
        <v>1017</v>
      </c>
      <c r="E1166" s="423"/>
      <c r="F1166" s="424"/>
      <c r="G1166" s="425"/>
      <c r="H1166" s="651"/>
      <c r="I1166" s="420">
        <v>8.99</v>
      </c>
      <c r="J1166" s="420">
        <f t="shared" si="304"/>
        <v>8.99</v>
      </c>
      <c r="K1166" s="421">
        <f t="shared" si="314"/>
        <v>10.68</v>
      </c>
      <c r="L1166" s="647" t="s">
        <v>79</v>
      </c>
      <c r="M1166" s="576"/>
      <c r="N1166" s="576">
        <f t="shared" si="306"/>
        <v>0</v>
      </c>
      <c r="O1166" s="577">
        <f t="shared" si="311"/>
        <v>0</v>
      </c>
      <c r="P1166" s="578">
        <f t="shared" si="312"/>
        <v>0</v>
      </c>
      <c r="Q1166" s="765"/>
      <c r="R1166" s="576">
        <f t="shared" si="308"/>
        <v>0</v>
      </c>
      <c r="S1166" s="576">
        <f t="shared" si="308"/>
        <v>0</v>
      </c>
      <c r="T1166" s="577">
        <f t="shared" si="309"/>
        <v>0</v>
      </c>
      <c r="U1166" s="578">
        <f t="shared" si="310"/>
        <v>0</v>
      </c>
      <c r="V1166" s="579"/>
      <c r="W1166" s="566"/>
      <c r="X1166" s="586" t="str">
        <f t="shared" si="313"/>
        <v/>
      </c>
      <c r="Y1166" s="586" t="str">
        <f t="shared" si="307"/>
        <v/>
      </c>
      <c r="Z1166" s="586" t="str">
        <f t="shared" si="305"/>
        <v/>
      </c>
    </row>
    <row r="1167" spans="1:26" ht="23.25" hidden="1" thickBot="1" x14ac:dyDescent="0.25">
      <c r="A1167" s="567">
        <v>91867</v>
      </c>
      <c r="B1167" s="644">
        <v>91867</v>
      </c>
      <c r="C1167" s="645" t="s">
        <v>670</v>
      </c>
      <c r="D1167" s="422" t="s">
        <v>1018</v>
      </c>
      <c r="E1167" s="423"/>
      <c r="F1167" s="424"/>
      <c r="G1167" s="425"/>
      <c r="H1167" s="651"/>
      <c r="I1167" s="420">
        <v>11</v>
      </c>
      <c r="J1167" s="420">
        <f t="shared" si="304"/>
        <v>11</v>
      </c>
      <c r="K1167" s="421">
        <f t="shared" si="314"/>
        <v>13.07</v>
      </c>
      <c r="L1167" s="647" t="s">
        <v>79</v>
      </c>
      <c r="M1167" s="576"/>
      <c r="N1167" s="576">
        <f t="shared" si="306"/>
        <v>0</v>
      </c>
      <c r="O1167" s="577">
        <f t="shared" si="311"/>
        <v>0</v>
      </c>
      <c r="P1167" s="578">
        <f t="shared" si="312"/>
        <v>0</v>
      </c>
      <c r="Q1167" s="765"/>
      <c r="R1167" s="576">
        <f t="shared" si="308"/>
        <v>0</v>
      </c>
      <c r="S1167" s="576">
        <f t="shared" si="308"/>
        <v>0</v>
      </c>
      <c r="T1167" s="577">
        <f t="shared" si="309"/>
        <v>0</v>
      </c>
      <c r="U1167" s="578">
        <f t="shared" si="310"/>
        <v>0</v>
      </c>
      <c r="V1167" s="579"/>
      <c r="W1167" s="566"/>
      <c r="X1167" s="586" t="str">
        <f t="shared" si="313"/>
        <v/>
      </c>
      <c r="Y1167" s="586" t="str">
        <f t="shared" si="307"/>
        <v/>
      </c>
      <c r="Z1167" s="586" t="str">
        <f t="shared" si="305"/>
        <v/>
      </c>
    </row>
    <row r="1168" spans="1:26" ht="23.25" hidden="1" thickBot="1" x14ac:dyDescent="0.25">
      <c r="A1168" s="567">
        <v>91868</v>
      </c>
      <c r="B1168" s="644">
        <v>91868</v>
      </c>
      <c r="C1168" s="645" t="s">
        <v>670</v>
      </c>
      <c r="D1168" s="422" t="s">
        <v>1019</v>
      </c>
      <c r="E1168" s="423"/>
      <c r="F1168" s="424"/>
      <c r="G1168" s="425"/>
      <c r="H1168" s="651"/>
      <c r="I1168" s="420">
        <v>15.44</v>
      </c>
      <c r="J1168" s="420">
        <f t="shared" si="304"/>
        <v>15.44</v>
      </c>
      <c r="K1168" s="421">
        <f t="shared" si="314"/>
        <v>18.34</v>
      </c>
      <c r="L1168" s="647" t="s">
        <v>79</v>
      </c>
      <c r="M1168" s="576"/>
      <c r="N1168" s="576">
        <f t="shared" si="306"/>
        <v>0</v>
      </c>
      <c r="O1168" s="577">
        <f t="shared" si="311"/>
        <v>0</v>
      </c>
      <c r="P1168" s="578">
        <f t="shared" si="312"/>
        <v>0</v>
      </c>
      <c r="Q1168" s="765"/>
      <c r="R1168" s="576">
        <f t="shared" si="308"/>
        <v>0</v>
      </c>
      <c r="S1168" s="576">
        <f t="shared" si="308"/>
        <v>0</v>
      </c>
      <c r="T1168" s="577">
        <f t="shared" si="309"/>
        <v>0</v>
      </c>
      <c r="U1168" s="578">
        <f t="shared" si="310"/>
        <v>0</v>
      </c>
      <c r="V1168" s="579"/>
      <c r="W1168" s="566"/>
      <c r="X1168" s="586" t="str">
        <f t="shared" si="313"/>
        <v/>
      </c>
      <c r="Y1168" s="586" t="str">
        <f t="shared" si="307"/>
        <v/>
      </c>
      <c r="Z1168" s="586" t="str">
        <f t="shared" si="305"/>
        <v/>
      </c>
    </row>
    <row r="1169" spans="1:26" ht="23.25" hidden="1" thickBot="1" x14ac:dyDescent="0.25">
      <c r="A1169" s="567">
        <v>91869</v>
      </c>
      <c r="B1169" s="644">
        <v>91869</v>
      </c>
      <c r="C1169" s="645" t="s">
        <v>670</v>
      </c>
      <c r="D1169" s="422" t="s">
        <v>1020</v>
      </c>
      <c r="E1169" s="423"/>
      <c r="F1169" s="424"/>
      <c r="G1169" s="425"/>
      <c r="H1169" s="651"/>
      <c r="I1169" s="420">
        <v>19.829999999999998</v>
      </c>
      <c r="J1169" s="420">
        <f t="shared" si="304"/>
        <v>19.829999999999998</v>
      </c>
      <c r="K1169" s="421">
        <f t="shared" si="314"/>
        <v>23.56</v>
      </c>
      <c r="L1169" s="647" t="s">
        <v>79</v>
      </c>
      <c r="M1169" s="576"/>
      <c r="N1169" s="576">
        <f t="shared" si="306"/>
        <v>0</v>
      </c>
      <c r="O1169" s="577">
        <f t="shared" si="311"/>
        <v>0</v>
      </c>
      <c r="P1169" s="578">
        <f t="shared" si="312"/>
        <v>0</v>
      </c>
      <c r="Q1169" s="765"/>
      <c r="R1169" s="576">
        <f t="shared" si="308"/>
        <v>0</v>
      </c>
      <c r="S1169" s="576">
        <f t="shared" si="308"/>
        <v>0</v>
      </c>
      <c r="T1169" s="577">
        <f t="shared" si="309"/>
        <v>0</v>
      </c>
      <c r="U1169" s="578">
        <f t="shared" si="310"/>
        <v>0</v>
      </c>
      <c r="V1169" s="579"/>
      <c r="W1169" s="566"/>
      <c r="X1169" s="586" t="str">
        <f t="shared" si="313"/>
        <v/>
      </c>
      <c r="Y1169" s="586" t="str">
        <f t="shared" si="307"/>
        <v/>
      </c>
      <c r="Z1169" s="586" t="str">
        <f t="shared" si="305"/>
        <v/>
      </c>
    </row>
    <row r="1170" spans="1:26" ht="23.25" hidden="1" thickBot="1" x14ac:dyDescent="0.25">
      <c r="A1170" s="567">
        <v>91870</v>
      </c>
      <c r="B1170" s="644">
        <v>91870</v>
      </c>
      <c r="C1170" s="645" t="s">
        <v>670</v>
      </c>
      <c r="D1170" s="422" t="s">
        <v>1021</v>
      </c>
      <c r="E1170" s="423"/>
      <c r="F1170" s="424"/>
      <c r="G1170" s="425"/>
      <c r="H1170" s="651"/>
      <c r="I1170" s="420">
        <v>12.45</v>
      </c>
      <c r="J1170" s="420">
        <f t="shared" si="304"/>
        <v>12.45</v>
      </c>
      <c r="K1170" s="421">
        <f t="shared" si="314"/>
        <v>14.79</v>
      </c>
      <c r="L1170" s="647" t="s">
        <v>79</v>
      </c>
      <c r="M1170" s="576"/>
      <c r="N1170" s="576">
        <f t="shared" si="306"/>
        <v>0</v>
      </c>
      <c r="O1170" s="577">
        <f t="shared" si="311"/>
        <v>0</v>
      </c>
      <c r="P1170" s="578">
        <f t="shared" si="312"/>
        <v>0</v>
      </c>
      <c r="Q1170" s="765"/>
      <c r="R1170" s="576">
        <f t="shared" si="308"/>
        <v>0</v>
      </c>
      <c r="S1170" s="576">
        <f t="shared" si="308"/>
        <v>0</v>
      </c>
      <c r="T1170" s="577">
        <f t="shared" si="309"/>
        <v>0</v>
      </c>
      <c r="U1170" s="578">
        <f t="shared" si="310"/>
        <v>0</v>
      </c>
      <c r="V1170" s="579"/>
      <c r="W1170" s="566"/>
      <c r="X1170" s="586" t="str">
        <f t="shared" si="313"/>
        <v/>
      </c>
      <c r="Y1170" s="586" t="str">
        <f t="shared" si="307"/>
        <v/>
      </c>
      <c r="Z1170" s="586" t="str">
        <f t="shared" si="305"/>
        <v/>
      </c>
    </row>
    <row r="1171" spans="1:26" ht="23.25" hidden="1" thickBot="1" x14ac:dyDescent="0.25">
      <c r="A1171" s="567">
        <v>91871</v>
      </c>
      <c r="B1171" s="644">
        <v>91871</v>
      </c>
      <c r="C1171" s="645" t="s">
        <v>670</v>
      </c>
      <c r="D1171" s="422" t="s">
        <v>1022</v>
      </c>
      <c r="E1171" s="423"/>
      <c r="F1171" s="424"/>
      <c r="G1171" s="425"/>
      <c r="H1171" s="651"/>
      <c r="I1171" s="420">
        <v>14.5</v>
      </c>
      <c r="J1171" s="420">
        <f t="shared" ref="J1171:J1234" si="315">IF(ISBLANK(I1171),"",SUM(H1171:I1171))</f>
        <v>14.5</v>
      </c>
      <c r="K1171" s="421">
        <f t="shared" si="314"/>
        <v>17.23</v>
      </c>
      <c r="L1171" s="647" t="s">
        <v>79</v>
      </c>
      <c r="M1171" s="576"/>
      <c r="N1171" s="576">
        <f t="shared" si="306"/>
        <v>0</v>
      </c>
      <c r="O1171" s="577">
        <f t="shared" si="311"/>
        <v>0</v>
      </c>
      <c r="P1171" s="578">
        <f t="shared" si="312"/>
        <v>0</v>
      </c>
      <c r="Q1171" s="765"/>
      <c r="R1171" s="576">
        <f t="shared" si="308"/>
        <v>0</v>
      </c>
      <c r="S1171" s="576">
        <f t="shared" si="308"/>
        <v>0</v>
      </c>
      <c r="T1171" s="577">
        <f t="shared" si="309"/>
        <v>0</v>
      </c>
      <c r="U1171" s="578">
        <f t="shared" si="310"/>
        <v>0</v>
      </c>
      <c r="V1171" s="579"/>
      <c r="W1171" s="566"/>
      <c r="X1171" s="586" t="str">
        <f t="shared" si="313"/>
        <v/>
      </c>
      <c r="Y1171" s="586" t="str">
        <f t="shared" si="307"/>
        <v/>
      </c>
      <c r="Z1171" s="586" t="str">
        <f t="shared" ref="Z1171:Z1234" si="316">IF(W1171="X","x",IF(U1171&gt;0,"x",""))</f>
        <v/>
      </c>
    </row>
    <row r="1172" spans="1:26" ht="23.25" hidden="1" thickBot="1" x14ac:dyDescent="0.25">
      <c r="A1172" s="567">
        <v>91872</v>
      </c>
      <c r="B1172" s="644">
        <v>91872</v>
      </c>
      <c r="C1172" s="645" t="s">
        <v>670</v>
      </c>
      <c r="D1172" s="422" t="s">
        <v>1023</v>
      </c>
      <c r="E1172" s="423"/>
      <c r="F1172" s="424"/>
      <c r="G1172" s="425"/>
      <c r="H1172" s="651"/>
      <c r="I1172" s="420">
        <v>18.940000000000001</v>
      </c>
      <c r="J1172" s="420">
        <f t="shared" si="315"/>
        <v>18.940000000000001</v>
      </c>
      <c r="K1172" s="421">
        <f t="shared" si="314"/>
        <v>22.5</v>
      </c>
      <c r="L1172" s="647" t="s">
        <v>79</v>
      </c>
      <c r="M1172" s="576"/>
      <c r="N1172" s="576">
        <f t="shared" ref="N1172:N1235" si="317">IF(M1172=0,0,K1172)</f>
        <v>0</v>
      </c>
      <c r="O1172" s="577">
        <f t="shared" si="311"/>
        <v>0</v>
      </c>
      <c r="P1172" s="578">
        <f t="shared" si="312"/>
        <v>0</v>
      </c>
      <c r="Q1172" s="765"/>
      <c r="R1172" s="576">
        <f t="shared" si="308"/>
        <v>0</v>
      </c>
      <c r="S1172" s="576">
        <f t="shared" si="308"/>
        <v>0</v>
      </c>
      <c r="T1172" s="577">
        <f t="shared" si="309"/>
        <v>0</v>
      </c>
      <c r="U1172" s="578">
        <f t="shared" si="310"/>
        <v>0</v>
      </c>
      <c r="V1172" s="579"/>
      <c r="W1172" s="566"/>
      <c r="X1172" s="586" t="str">
        <f t="shared" si="313"/>
        <v/>
      </c>
      <c r="Y1172" s="586" t="str">
        <f t="shared" si="307"/>
        <v/>
      </c>
      <c r="Z1172" s="586" t="str">
        <f t="shared" si="316"/>
        <v/>
      </c>
    </row>
    <row r="1173" spans="1:26" ht="23.25" hidden="1" thickBot="1" x14ac:dyDescent="0.25">
      <c r="A1173" s="567">
        <v>91873</v>
      </c>
      <c r="B1173" s="644">
        <v>91873</v>
      </c>
      <c r="C1173" s="645" t="s">
        <v>670</v>
      </c>
      <c r="D1173" s="422" t="s">
        <v>1024</v>
      </c>
      <c r="E1173" s="423"/>
      <c r="F1173" s="424"/>
      <c r="G1173" s="425"/>
      <c r="H1173" s="651"/>
      <c r="I1173" s="420">
        <v>23.26</v>
      </c>
      <c r="J1173" s="420">
        <f t="shared" si="315"/>
        <v>23.26</v>
      </c>
      <c r="K1173" s="421">
        <f t="shared" si="314"/>
        <v>27.64</v>
      </c>
      <c r="L1173" s="647" t="s">
        <v>79</v>
      </c>
      <c r="M1173" s="576"/>
      <c r="N1173" s="576">
        <f t="shared" si="317"/>
        <v>0</v>
      </c>
      <c r="O1173" s="577">
        <f t="shared" si="311"/>
        <v>0</v>
      </c>
      <c r="P1173" s="578">
        <f t="shared" si="312"/>
        <v>0</v>
      </c>
      <c r="Q1173" s="765"/>
      <c r="R1173" s="576">
        <f t="shared" si="308"/>
        <v>0</v>
      </c>
      <c r="S1173" s="576">
        <f t="shared" si="308"/>
        <v>0</v>
      </c>
      <c r="T1173" s="577">
        <f t="shared" si="309"/>
        <v>0</v>
      </c>
      <c r="U1173" s="578">
        <f t="shared" si="310"/>
        <v>0</v>
      </c>
      <c r="V1173" s="579"/>
      <c r="W1173" s="566"/>
      <c r="X1173" s="586" t="str">
        <f t="shared" si="313"/>
        <v/>
      </c>
      <c r="Y1173" s="586" t="str">
        <f t="shared" si="307"/>
        <v/>
      </c>
      <c r="Z1173" s="586" t="str">
        <f t="shared" si="316"/>
        <v/>
      </c>
    </row>
    <row r="1174" spans="1:26" ht="12" hidden="1" thickBot="1" x14ac:dyDescent="0.25">
      <c r="A1174" s="567">
        <v>93008</v>
      </c>
      <c r="B1174" s="644">
        <v>93008</v>
      </c>
      <c r="C1174" s="645" t="s">
        <v>670</v>
      </c>
      <c r="D1174" s="422" t="s">
        <v>1025</v>
      </c>
      <c r="E1174" s="423"/>
      <c r="F1174" s="424"/>
      <c r="G1174" s="425"/>
      <c r="H1174" s="651"/>
      <c r="I1174" s="420">
        <v>19.809999999999999</v>
      </c>
      <c r="J1174" s="420">
        <f t="shared" si="315"/>
        <v>19.809999999999999</v>
      </c>
      <c r="K1174" s="421">
        <f t="shared" si="314"/>
        <v>23.54</v>
      </c>
      <c r="L1174" s="647" t="s">
        <v>79</v>
      </c>
      <c r="M1174" s="576"/>
      <c r="N1174" s="576">
        <f t="shared" si="317"/>
        <v>0</v>
      </c>
      <c r="O1174" s="577">
        <f t="shared" si="311"/>
        <v>0</v>
      </c>
      <c r="P1174" s="578">
        <f t="shared" si="312"/>
        <v>0</v>
      </c>
      <c r="Q1174" s="765"/>
      <c r="R1174" s="576">
        <f t="shared" si="308"/>
        <v>0</v>
      </c>
      <c r="S1174" s="576">
        <f t="shared" si="308"/>
        <v>0</v>
      </c>
      <c r="T1174" s="577">
        <f t="shared" si="309"/>
        <v>0</v>
      </c>
      <c r="U1174" s="578">
        <f t="shared" si="310"/>
        <v>0</v>
      </c>
      <c r="V1174" s="579"/>
      <c r="W1174" s="566"/>
      <c r="X1174" s="586" t="str">
        <f t="shared" si="313"/>
        <v/>
      </c>
      <c r="Y1174" s="586" t="str">
        <f t="shared" si="307"/>
        <v/>
      </c>
      <c r="Z1174" s="586" t="str">
        <f t="shared" si="316"/>
        <v/>
      </c>
    </row>
    <row r="1175" spans="1:26" ht="12" hidden="1" thickBot="1" x14ac:dyDescent="0.25">
      <c r="A1175" s="567">
        <v>93009</v>
      </c>
      <c r="B1175" s="644">
        <v>93009</v>
      </c>
      <c r="C1175" s="645" t="s">
        <v>670</v>
      </c>
      <c r="D1175" s="422" t="s">
        <v>1026</v>
      </c>
      <c r="E1175" s="423"/>
      <c r="F1175" s="424"/>
      <c r="G1175" s="425"/>
      <c r="H1175" s="651"/>
      <c r="I1175" s="420">
        <v>29.54</v>
      </c>
      <c r="J1175" s="420">
        <f t="shared" si="315"/>
        <v>29.54</v>
      </c>
      <c r="K1175" s="421">
        <f t="shared" si="314"/>
        <v>35.1</v>
      </c>
      <c r="L1175" s="647" t="s">
        <v>79</v>
      </c>
      <c r="M1175" s="576"/>
      <c r="N1175" s="576">
        <f t="shared" si="317"/>
        <v>0</v>
      </c>
      <c r="O1175" s="577">
        <f t="shared" si="311"/>
        <v>0</v>
      </c>
      <c r="P1175" s="578">
        <f t="shared" si="312"/>
        <v>0</v>
      </c>
      <c r="Q1175" s="765"/>
      <c r="R1175" s="576">
        <f t="shared" si="308"/>
        <v>0</v>
      </c>
      <c r="S1175" s="576">
        <f t="shared" si="308"/>
        <v>0</v>
      </c>
      <c r="T1175" s="577">
        <f t="shared" si="309"/>
        <v>0</v>
      </c>
      <c r="U1175" s="578">
        <f t="shared" si="310"/>
        <v>0</v>
      </c>
      <c r="V1175" s="579"/>
      <c r="W1175" s="566"/>
      <c r="X1175" s="586" t="str">
        <f t="shared" si="313"/>
        <v/>
      </c>
      <c r="Y1175" s="586" t="str">
        <f t="shared" si="307"/>
        <v/>
      </c>
      <c r="Z1175" s="586" t="str">
        <f t="shared" si="316"/>
        <v/>
      </c>
    </row>
    <row r="1176" spans="1:26" ht="12" hidden="1" thickBot="1" x14ac:dyDescent="0.25">
      <c r="A1176" s="567">
        <v>93010</v>
      </c>
      <c r="B1176" s="644">
        <v>93010</v>
      </c>
      <c r="C1176" s="645" t="s">
        <v>670</v>
      </c>
      <c r="D1176" s="422" t="s">
        <v>1027</v>
      </c>
      <c r="E1176" s="423"/>
      <c r="F1176" s="424"/>
      <c r="G1176" s="425"/>
      <c r="H1176" s="651"/>
      <c r="I1176" s="420">
        <v>41.34</v>
      </c>
      <c r="J1176" s="420">
        <f t="shared" si="315"/>
        <v>41.34</v>
      </c>
      <c r="K1176" s="421">
        <f t="shared" si="314"/>
        <v>49.12</v>
      </c>
      <c r="L1176" s="647" t="s">
        <v>79</v>
      </c>
      <c r="M1176" s="576"/>
      <c r="N1176" s="576">
        <f t="shared" si="317"/>
        <v>0</v>
      </c>
      <c r="O1176" s="577">
        <f t="shared" si="311"/>
        <v>0</v>
      </c>
      <c r="P1176" s="578">
        <f t="shared" si="312"/>
        <v>0</v>
      </c>
      <c r="Q1176" s="765"/>
      <c r="R1176" s="576">
        <f t="shared" si="308"/>
        <v>0</v>
      </c>
      <c r="S1176" s="576">
        <f t="shared" si="308"/>
        <v>0</v>
      </c>
      <c r="T1176" s="577">
        <f t="shared" si="309"/>
        <v>0</v>
      </c>
      <c r="U1176" s="578">
        <f t="shared" si="310"/>
        <v>0</v>
      </c>
      <c r="V1176" s="579"/>
      <c r="W1176" s="566"/>
      <c r="X1176" s="586" t="str">
        <f t="shared" si="313"/>
        <v/>
      </c>
      <c r="Y1176" s="586" t="str">
        <f t="shared" si="307"/>
        <v/>
      </c>
      <c r="Z1176" s="586" t="str">
        <f t="shared" si="316"/>
        <v/>
      </c>
    </row>
    <row r="1177" spans="1:26" ht="12" hidden="1" thickBot="1" x14ac:dyDescent="0.25">
      <c r="A1177" s="567">
        <v>93011</v>
      </c>
      <c r="B1177" s="644">
        <v>93011</v>
      </c>
      <c r="C1177" s="645" t="s">
        <v>670</v>
      </c>
      <c r="D1177" s="422" t="s">
        <v>1028</v>
      </c>
      <c r="E1177" s="423"/>
      <c r="F1177" s="424"/>
      <c r="G1177" s="425"/>
      <c r="H1177" s="651"/>
      <c r="I1177" s="420">
        <v>50.68</v>
      </c>
      <c r="J1177" s="420">
        <f t="shared" si="315"/>
        <v>50.68</v>
      </c>
      <c r="K1177" s="421">
        <f t="shared" si="314"/>
        <v>60.21</v>
      </c>
      <c r="L1177" s="647" t="s">
        <v>79</v>
      </c>
      <c r="M1177" s="576"/>
      <c r="N1177" s="576">
        <f t="shared" si="317"/>
        <v>0</v>
      </c>
      <c r="O1177" s="577">
        <f t="shared" si="311"/>
        <v>0</v>
      </c>
      <c r="P1177" s="578">
        <f t="shared" si="312"/>
        <v>0</v>
      </c>
      <c r="Q1177" s="765"/>
      <c r="R1177" s="576">
        <f t="shared" si="308"/>
        <v>0</v>
      </c>
      <c r="S1177" s="576">
        <f t="shared" si="308"/>
        <v>0</v>
      </c>
      <c r="T1177" s="577">
        <f t="shared" si="309"/>
        <v>0</v>
      </c>
      <c r="U1177" s="578">
        <f t="shared" si="310"/>
        <v>0</v>
      </c>
      <c r="V1177" s="579"/>
      <c r="W1177" s="566"/>
      <c r="X1177" s="586" t="str">
        <f t="shared" si="313"/>
        <v/>
      </c>
      <c r="Y1177" s="586" t="str">
        <f t="shared" si="307"/>
        <v/>
      </c>
      <c r="Z1177" s="586" t="str">
        <f t="shared" si="316"/>
        <v/>
      </c>
    </row>
    <row r="1178" spans="1:26" ht="12" hidden="1" thickBot="1" x14ac:dyDescent="0.25">
      <c r="A1178" s="567">
        <v>93012</v>
      </c>
      <c r="B1178" s="644">
        <v>93012</v>
      </c>
      <c r="C1178" s="645" t="s">
        <v>670</v>
      </c>
      <c r="D1178" s="422" t="s">
        <v>1029</v>
      </c>
      <c r="E1178" s="423"/>
      <c r="F1178" s="424"/>
      <c r="G1178" s="425"/>
      <c r="H1178" s="651"/>
      <c r="I1178" s="420">
        <v>76.91</v>
      </c>
      <c r="J1178" s="420">
        <f t="shared" si="315"/>
        <v>76.91</v>
      </c>
      <c r="K1178" s="421">
        <f t="shared" si="314"/>
        <v>91.38</v>
      </c>
      <c r="L1178" s="647" t="s">
        <v>79</v>
      </c>
      <c r="M1178" s="576"/>
      <c r="N1178" s="576">
        <f t="shared" si="317"/>
        <v>0</v>
      </c>
      <c r="O1178" s="577">
        <f t="shared" si="311"/>
        <v>0</v>
      </c>
      <c r="P1178" s="578">
        <f t="shared" si="312"/>
        <v>0</v>
      </c>
      <c r="Q1178" s="765"/>
      <c r="R1178" s="576">
        <f t="shared" si="308"/>
        <v>0</v>
      </c>
      <c r="S1178" s="576">
        <f t="shared" si="308"/>
        <v>0</v>
      </c>
      <c r="T1178" s="577">
        <f t="shared" si="309"/>
        <v>0</v>
      </c>
      <c r="U1178" s="578">
        <f t="shared" si="310"/>
        <v>0</v>
      </c>
      <c r="V1178" s="579"/>
      <c r="W1178" s="566"/>
      <c r="X1178" s="586" t="str">
        <f t="shared" si="313"/>
        <v/>
      </c>
      <c r="Y1178" s="586" t="str">
        <f t="shared" si="307"/>
        <v/>
      </c>
      <c r="Z1178" s="586" t="str">
        <f t="shared" si="316"/>
        <v/>
      </c>
    </row>
    <row r="1179" spans="1:26" ht="23.25" hidden="1" thickBot="1" x14ac:dyDescent="0.25">
      <c r="A1179" s="567">
        <v>95726</v>
      </c>
      <c r="B1179" s="644">
        <v>95726</v>
      </c>
      <c r="C1179" s="645" t="s">
        <v>670</v>
      </c>
      <c r="D1179" s="422" t="s">
        <v>1030</v>
      </c>
      <c r="E1179" s="423"/>
      <c r="F1179" s="424"/>
      <c r="G1179" s="425"/>
      <c r="H1179" s="651"/>
      <c r="I1179" s="420">
        <v>7.51</v>
      </c>
      <c r="J1179" s="420">
        <f t="shared" si="315"/>
        <v>7.51</v>
      </c>
      <c r="K1179" s="421">
        <f t="shared" si="314"/>
        <v>8.92</v>
      </c>
      <c r="L1179" s="647" t="s">
        <v>79</v>
      </c>
      <c r="M1179" s="576"/>
      <c r="N1179" s="576">
        <f t="shared" si="317"/>
        <v>0</v>
      </c>
      <c r="O1179" s="577">
        <f t="shared" si="311"/>
        <v>0</v>
      </c>
      <c r="P1179" s="578">
        <f t="shared" si="312"/>
        <v>0</v>
      </c>
      <c r="Q1179" s="765"/>
      <c r="R1179" s="576">
        <f t="shared" si="308"/>
        <v>0</v>
      </c>
      <c r="S1179" s="576">
        <f t="shared" si="308"/>
        <v>0</v>
      </c>
      <c r="T1179" s="577">
        <f t="shared" si="309"/>
        <v>0</v>
      </c>
      <c r="U1179" s="578">
        <f t="shared" si="310"/>
        <v>0</v>
      </c>
      <c r="V1179" s="579"/>
      <c r="W1179" s="566"/>
      <c r="X1179" s="586" t="str">
        <f t="shared" si="313"/>
        <v/>
      </c>
      <c r="Y1179" s="586" t="str">
        <f t="shared" si="307"/>
        <v/>
      </c>
      <c r="Z1179" s="586" t="str">
        <f t="shared" si="316"/>
        <v/>
      </c>
    </row>
    <row r="1180" spans="1:26" ht="23.25" hidden="1" thickBot="1" x14ac:dyDescent="0.25">
      <c r="A1180" s="567">
        <v>95727</v>
      </c>
      <c r="B1180" s="644">
        <v>95727</v>
      </c>
      <c r="C1180" s="645" t="s">
        <v>670</v>
      </c>
      <c r="D1180" s="422" t="s">
        <v>1031</v>
      </c>
      <c r="E1180" s="423"/>
      <c r="F1180" s="424"/>
      <c r="G1180" s="425"/>
      <c r="H1180" s="651"/>
      <c r="I1180" s="420">
        <v>8.6300000000000008</v>
      </c>
      <c r="J1180" s="420">
        <f t="shared" si="315"/>
        <v>8.6300000000000008</v>
      </c>
      <c r="K1180" s="421">
        <f t="shared" si="314"/>
        <v>10.25</v>
      </c>
      <c r="L1180" s="647" t="s">
        <v>79</v>
      </c>
      <c r="M1180" s="576"/>
      <c r="N1180" s="576">
        <f t="shared" si="317"/>
        <v>0</v>
      </c>
      <c r="O1180" s="577">
        <f t="shared" si="311"/>
        <v>0</v>
      </c>
      <c r="P1180" s="578">
        <f t="shared" si="312"/>
        <v>0</v>
      </c>
      <c r="Q1180" s="765"/>
      <c r="R1180" s="576">
        <f t="shared" si="308"/>
        <v>0</v>
      </c>
      <c r="S1180" s="576">
        <f t="shared" si="308"/>
        <v>0</v>
      </c>
      <c r="T1180" s="577">
        <f t="shared" si="309"/>
        <v>0</v>
      </c>
      <c r="U1180" s="578">
        <f t="shared" si="310"/>
        <v>0</v>
      </c>
      <c r="V1180" s="579"/>
      <c r="W1180" s="566"/>
      <c r="X1180" s="586" t="str">
        <f t="shared" si="313"/>
        <v/>
      </c>
      <c r="Y1180" s="586" t="str">
        <f t="shared" si="307"/>
        <v/>
      </c>
      <c r="Z1180" s="586" t="str">
        <f t="shared" si="316"/>
        <v/>
      </c>
    </row>
    <row r="1181" spans="1:26" ht="23.25" hidden="1" thickBot="1" x14ac:dyDescent="0.25">
      <c r="A1181" s="567">
        <v>95728</v>
      </c>
      <c r="B1181" s="644">
        <v>95728</v>
      </c>
      <c r="C1181" s="645" t="s">
        <v>670</v>
      </c>
      <c r="D1181" s="422" t="s">
        <v>1032</v>
      </c>
      <c r="E1181" s="423"/>
      <c r="F1181" s="424"/>
      <c r="G1181" s="425"/>
      <c r="H1181" s="651"/>
      <c r="I1181" s="420">
        <v>11.08</v>
      </c>
      <c r="J1181" s="420">
        <f t="shared" si="315"/>
        <v>11.08</v>
      </c>
      <c r="K1181" s="421">
        <f t="shared" si="314"/>
        <v>13.16</v>
      </c>
      <c r="L1181" s="647" t="s">
        <v>79</v>
      </c>
      <c r="M1181" s="576"/>
      <c r="N1181" s="576">
        <f t="shared" si="317"/>
        <v>0</v>
      </c>
      <c r="O1181" s="577">
        <f t="shared" si="311"/>
        <v>0</v>
      </c>
      <c r="P1181" s="578">
        <f t="shared" si="312"/>
        <v>0</v>
      </c>
      <c r="Q1181" s="765"/>
      <c r="R1181" s="576">
        <f t="shared" si="308"/>
        <v>0</v>
      </c>
      <c r="S1181" s="576">
        <f t="shared" si="308"/>
        <v>0</v>
      </c>
      <c r="T1181" s="577">
        <f t="shared" si="309"/>
        <v>0</v>
      </c>
      <c r="U1181" s="578">
        <f t="shared" si="310"/>
        <v>0</v>
      </c>
      <c r="V1181" s="579"/>
      <c r="W1181" s="566"/>
      <c r="X1181" s="586" t="str">
        <f t="shared" si="313"/>
        <v/>
      </c>
      <c r="Y1181" s="586" t="str">
        <f t="shared" si="307"/>
        <v/>
      </c>
      <c r="Z1181" s="586" t="str">
        <f t="shared" si="316"/>
        <v/>
      </c>
    </row>
    <row r="1182" spans="1:26" ht="23.25" hidden="1" thickBot="1" x14ac:dyDescent="0.25">
      <c r="A1182" s="567">
        <v>95729</v>
      </c>
      <c r="B1182" s="644">
        <v>95729</v>
      </c>
      <c r="C1182" s="645" t="s">
        <v>670</v>
      </c>
      <c r="D1182" s="422" t="s">
        <v>1033</v>
      </c>
      <c r="E1182" s="423"/>
      <c r="F1182" s="424"/>
      <c r="G1182" s="425"/>
      <c r="H1182" s="651"/>
      <c r="I1182" s="420">
        <v>9.75</v>
      </c>
      <c r="J1182" s="420">
        <f t="shared" si="315"/>
        <v>9.75</v>
      </c>
      <c r="K1182" s="421">
        <f t="shared" si="314"/>
        <v>11.58</v>
      </c>
      <c r="L1182" s="647" t="s">
        <v>79</v>
      </c>
      <c r="M1182" s="576"/>
      <c r="N1182" s="576">
        <f t="shared" si="317"/>
        <v>0</v>
      </c>
      <c r="O1182" s="577">
        <f t="shared" si="311"/>
        <v>0</v>
      </c>
      <c r="P1182" s="578">
        <f t="shared" si="312"/>
        <v>0</v>
      </c>
      <c r="Q1182" s="765"/>
      <c r="R1182" s="576">
        <f t="shared" si="308"/>
        <v>0</v>
      </c>
      <c r="S1182" s="576">
        <f t="shared" si="308"/>
        <v>0</v>
      </c>
      <c r="T1182" s="577">
        <f t="shared" si="309"/>
        <v>0</v>
      </c>
      <c r="U1182" s="578">
        <f t="shared" si="310"/>
        <v>0</v>
      </c>
      <c r="V1182" s="579"/>
      <c r="W1182" s="566"/>
      <c r="X1182" s="586" t="str">
        <f t="shared" si="313"/>
        <v/>
      </c>
      <c r="Y1182" s="586" t="str">
        <f t="shared" si="307"/>
        <v/>
      </c>
      <c r="Z1182" s="586" t="str">
        <f t="shared" si="316"/>
        <v/>
      </c>
    </row>
    <row r="1183" spans="1:26" ht="23.25" hidden="1" thickBot="1" x14ac:dyDescent="0.25">
      <c r="A1183" s="567">
        <v>95730</v>
      </c>
      <c r="B1183" s="644">
        <v>95730</v>
      </c>
      <c r="C1183" s="645" t="s">
        <v>670</v>
      </c>
      <c r="D1183" s="422" t="s">
        <v>1034</v>
      </c>
      <c r="E1183" s="423"/>
      <c r="F1183" s="424"/>
      <c r="G1183" s="425"/>
      <c r="H1183" s="651"/>
      <c r="I1183" s="420">
        <v>10.86</v>
      </c>
      <c r="J1183" s="420">
        <f t="shared" si="315"/>
        <v>10.86</v>
      </c>
      <c r="K1183" s="421">
        <f t="shared" si="314"/>
        <v>12.9</v>
      </c>
      <c r="L1183" s="647" t="s">
        <v>79</v>
      </c>
      <c r="M1183" s="576"/>
      <c r="N1183" s="576">
        <f t="shared" si="317"/>
        <v>0</v>
      </c>
      <c r="O1183" s="577">
        <f t="shared" si="311"/>
        <v>0</v>
      </c>
      <c r="P1183" s="578">
        <f t="shared" si="312"/>
        <v>0</v>
      </c>
      <c r="Q1183" s="765"/>
      <c r="R1183" s="576">
        <f t="shared" si="308"/>
        <v>0</v>
      </c>
      <c r="S1183" s="576">
        <f t="shared" si="308"/>
        <v>0</v>
      </c>
      <c r="T1183" s="577">
        <f t="shared" si="309"/>
        <v>0</v>
      </c>
      <c r="U1183" s="578">
        <f t="shared" si="310"/>
        <v>0</v>
      </c>
      <c r="V1183" s="579"/>
      <c r="W1183" s="566"/>
      <c r="X1183" s="586" t="str">
        <f t="shared" si="313"/>
        <v/>
      </c>
      <c r="Y1183" s="586" t="str">
        <f t="shared" si="307"/>
        <v/>
      </c>
      <c r="Z1183" s="586" t="str">
        <f t="shared" si="316"/>
        <v/>
      </c>
    </row>
    <row r="1184" spans="1:26" ht="23.25" hidden="1" thickBot="1" x14ac:dyDescent="0.25">
      <c r="A1184" s="567">
        <v>95731</v>
      </c>
      <c r="B1184" s="644">
        <v>95731</v>
      </c>
      <c r="C1184" s="645" t="s">
        <v>670</v>
      </c>
      <c r="D1184" s="422" t="s">
        <v>1035</v>
      </c>
      <c r="E1184" s="423"/>
      <c r="F1184" s="424"/>
      <c r="G1184" s="425"/>
      <c r="H1184" s="651"/>
      <c r="I1184" s="420">
        <v>13.31</v>
      </c>
      <c r="J1184" s="420">
        <f t="shared" si="315"/>
        <v>13.31</v>
      </c>
      <c r="K1184" s="421">
        <f t="shared" si="314"/>
        <v>15.81</v>
      </c>
      <c r="L1184" s="647" t="s">
        <v>79</v>
      </c>
      <c r="M1184" s="576"/>
      <c r="N1184" s="576">
        <f t="shared" si="317"/>
        <v>0</v>
      </c>
      <c r="O1184" s="577">
        <f t="shared" si="311"/>
        <v>0</v>
      </c>
      <c r="P1184" s="578">
        <f t="shared" si="312"/>
        <v>0</v>
      </c>
      <c r="Q1184" s="765"/>
      <c r="R1184" s="576">
        <f t="shared" si="308"/>
        <v>0</v>
      </c>
      <c r="S1184" s="576">
        <f t="shared" si="308"/>
        <v>0</v>
      </c>
      <c r="T1184" s="577">
        <f t="shared" si="309"/>
        <v>0</v>
      </c>
      <c r="U1184" s="578">
        <f t="shared" si="310"/>
        <v>0</v>
      </c>
      <c r="V1184" s="579"/>
      <c r="W1184" s="566"/>
      <c r="X1184" s="586" t="str">
        <f t="shared" si="313"/>
        <v/>
      </c>
      <c r="Y1184" s="586" t="str">
        <f t="shared" si="307"/>
        <v/>
      </c>
      <c r="Z1184" s="586" t="str">
        <f t="shared" si="316"/>
        <v/>
      </c>
    </row>
    <row r="1185" spans="1:26" ht="23.25" hidden="1" thickBot="1" x14ac:dyDescent="0.25">
      <c r="A1185" s="567">
        <v>95733</v>
      </c>
      <c r="B1185" s="644">
        <v>95733</v>
      </c>
      <c r="C1185" s="645" t="s">
        <v>670</v>
      </c>
      <c r="D1185" s="422" t="s">
        <v>1036</v>
      </c>
      <c r="E1185" s="423"/>
      <c r="F1185" s="424"/>
      <c r="G1185" s="425"/>
      <c r="H1185" s="651"/>
      <c r="I1185" s="420">
        <v>6.83</v>
      </c>
      <c r="J1185" s="420">
        <f t="shared" si="315"/>
        <v>6.83</v>
      </c>
      <c r="K1185" s="421">
        <f t="shared" si="314"/>
        <v>8.11</v>
      </c>
      <c r="L1185" s="647" t="s">
        <v>2065</v>
      </c>
      <c r="M1185" s="576"/>
      <c r="N1185" s="576">
        <f t="shared" si="317"/>
        <v>0</v>
      </c>
      <c r="O1185" s="577">
        <f t="shared" si="311"/>
        <v>0</v>
      </c>
      <c r="P1185" s="578">
        <f t="shared" si="312"/>
        <v>0</v>
      </c>
      <c r="Q1185" s="765"/>
      <c r="R1185" s="576">
        <f t="shared" si="308"/>
        <v>0</v>
      </c>
      <c r="S1185" s="576">
        <f t="shared" si="308"/>
        <v>0</v>
      </c>
      <c r="T1185" s="577">
        <f t="shared" si="309"/>
        <v>0</v>
      </c>
      <c r="U1185" s="578">
        <f t="shared" si="310"/>
        <v>0</v>
      </c>
      <c r="V1185" s="579"/>
      <c r="W1185" s="566"/>
      <c r="X1185" s="586" t="str">
        <f t="shared" si="313"/>
        <v/>
      </c>
      <c r="Y1185" s="586" t="str">
        <f t="shared" si="307"/>
        <v/>
      </c>
      <c r="Z1185" s="586" t="str">
        <f t="shared" si="316"/>
        <v/>
      </c>
    </row>
    <row r="1186" spans="1:26" ht="23.25" hidden="1" thickBot="1" x14ac:dyDescent="0.25">
      <c r="A1186" s="567">
        <v>95734</v>
      </c>
      <c r="B1186" s="644">
        <v>95734</v>
      </c>
      <c r="C1186" s="645" t="s">
        <v>670</v>
      </c>
      <c r="D1186" s="422" t="s">
        <v>1037</v>
      </c>
      <c r="E1186" s="423"/>
      <c r="F1186" s="424"/>
      <c r="G1186" s="425"/>
      <c r="H1186" s="651"/>
      <c r="I1186" s="420">
        <v>9.11</v>
      </c>
      <c r="J1186" s="420">
        <f t="shared" si="315"/>
        <v>9.11</v>
      </c>
      <c r="K1186" s="421">
        <f t="shared" si="314"/>
        <v>10.82</v>
      </c>
      <c r="L1186" s="647" t="s">
        <v>2065</v>
      </c>
      <c r="M1186" s="576"/>
      <c r="N1186" s="576">
        <f t="shared" si="317"/>
        <v>0</v>
      </c>
      <c r="O1186" s="577">
        <f t="shared" si="311"/>
        <v>0</v>
      </c>
      <c r="P1186" s="578">
        <f t="shared" si="312"/>
        <v>0</v>
      </c>
      <c r="Q1186" s="765"/>
      <c r="R1186" s="576">
        <f t="shared" si="308"/>
        <v>0</v>
      </c>
      <c r="S1186" s="576">
        <f t="shared" si="308"/>
        <v>0</v>
      </c>
      <c r="T1186" s="577">
        <f t="shared" si="309"/>
        <v>0</v>
      </c>
      <c r="U1186" s="578">
        <f t="shared" si="310"/>
        <v>0</v>
      </c>
      <c r="V1186" s="579"/>
      <c r="W1186" s="566"/>
      <c r="X1186" s="586" t="str">
        <f t="shared" si="313"/>
        <v/>
      </c>
      <c r="Y1186" s="586" t="str">
        <f t="shared" si="307"/>
        <v/>
      </c>
      <c r="Z1186" s="586" t="str">
        <f t="shared" si="316"/>
        <v/>
      </c>
    </row>
    <row r="1187" spans="1:26" ht="23.25" hidden="1" thickBot="1" x14ac:dyDescent="0.25">
      <c r="A1187" s="567">
        <v>95735</v>
      </c>
      <c r="B1187" s="644">
        <v>95735</v>
      </c>
      <c r="C1187" s="645" t="s">
        <v>670</v>
      </c>
      <c r="D1187" s="422" t="s">
        <v>1038</v>
      </c>
      <c r="E1187" s="423"/>
      <c r="F1187" s="424"/>
      <c r="G1187" s="425"/>
      <c r="H1187" s="651"/>
      <c r="I1187" s="420">
        <v>7.49</v>
      </c>
      <c r="J1187" s="420">
        <f t="shared" si="315"/>
        <v>7.49</v>
      </c>
      <c r="K1187" s="421">
        <f t="shared" si="314"/>
        <v>8.9</v>
      </c>
      <c r="L1187" s="647" t="s">
        <v>2065</v>
      </c>
      <c r="M1187" s="576"/>
      <c r="N1187" s="576">
        <f t="shared" si="317"/>
        <v>0</v>
      </c>
      <c r="O1187" s="577">
        <f t="shared" si="311"/>
        <v>0</v>
      </c>
      <c r="P1187" s="578">
        <f t="shared" si="312"/>
        <v>0</v>
      </c>
      <c r="Q1187" s="765"/>
      <c r="R1187" s="576">
        <f t="shared" si="308"/>
        <v>0</v>
      </c>
      <c r="S1187" s="576">
        <f t="shared" si="308"/>
        <v>0</v>
      </c>
      <c r="T1187" s="577">
        <f t="shared" si="309"/>
        <v>0</v>
      </c>
      <c r="U1187" s="578">
        <f t="shared" si="310"/>
        <v>0</v>
      </c>
      <c r="V1187" s="579"/>
      <c r="W1187" s="566"/>
      <c r="X1187" s="586" t="str">
        <f t="shared" si="313"/>
        <v/>
      </c>
      <c r="Y1187" s="586" t="str">
        <f t="shared" ref="Y1187:Y1250" si="318">IF(W1187="X","x",IF(W1187="y","x",IF(W1187="xx","x",IF(U1187&gt;0,"x",""))))</f>
        <v/>
      </c>
      <c r="Z1187" s="586" t="str">
        <f t="shared" si="316"/>
        <v/>
      </c>
    </row>
    <row r="1188" spans="1:26" ht="23.25" hidden="1" thickBot="1" x14ac:dyDescent="0.25">
      <c r="A1188" s="567">
        <v>95736</v>
      </c>
      <c r="B1188" s="644">
        <v>95736</v>
      </c>
      <c r="C1188" s="645" t="s">
        <v>670</v>
      </c>
      <c r="D1188" s="422" t="s">
        <v>1039</v>
      </c>
      <c r="E1188" s="423"/>
      <c r="F1188" s="424"/>
      <c r="G1188" s="425"/>
      <c r="H1188" s="651"/>
      <c r="I1188" s="420">
        <v>8.8699999999999992</v>
      </c>
      <c r="J1188" s="420">
        <f t="shared" si="315"/>
        <v>8.8699999999999992</v>
      </c>
      <c r="K1188" s="421">
        <f t="shared" si="314"/>
        <v>10.54</v>
      </c>
      <c r="L1188" s="647" t="s">
        <v>2065</v>
      </c>
      <c r="M1188" s="576"/>
      <c r="N1188" s="576">
        <f t="shared" si="317"/>
        <v>0</v>
      </c>
      <c r="O1188" s="577">
        <f t="shared" si="311"/>
        <v>0</v>
      </c>
      <c r="P1188" s="578">
        <f t="shared" si="312"/>
        <v>0</v>
      </c>
      <c r="Q1188" s="765"/>
      <c r="R1188" s="576">
        <f t="shared" si="308"/>
        <v>0</v>
      </c>
      <c r="S1188" s="576">
        <f t="shared" si="308"/>
        <v>0</v>
      </c>
      <c r="T1188" s="577">
        <f t="shared" si="309"/>
        <v>0</v>
      </c>
      <c r="U1188" s="578">
        <f t="shared" si="310"/>
        <v>0</v>
      </c>
      <c r="V1188" s="579"/>
      <c r="W1188" s="566"/>
      <c r="X1188" s="586" t="str">
        <f t="shared" si="313"/>
        <v/>
      </c>
      <c r="Y1188" s="586" t="str">
        <f t="shared" si="318"/>
        <v/>
      </c>
      <c r="Z1188" s="586" t="str">
        <f t="shared" si="316"/>
        <v/>
      </c>
    </row>
    <row r="1189" spans="1:26" ht="23.25" hidden="1" thickBot="1" x14ac:dyDescent="0.25">
      <c r="A1189" s="567">
        <v>95738</v>
      </c>
      <c r="B1189" s="644">
        <v>95738</v>
      </c>
      <c r="C1189" s="645" t="s">
        <v>670</v>
      </c>
      <c r="D1189" s="422" t="s">
        <v>1040</v>
      </c>
      <c r="E1189" s="423"/>
      <c r="F1189" s="424"/>
      <c r="G1189" s="425"/>
      <c r="H1189" s="651"/>
      <c r="I1189" s="420">
        <v>10.78</v>
      </c>
      <c r="J1189" s="420">
        <f t="shared" si="315"/>
        <v>10.78</v>
      </c>
      <c r="K1189" s="421">
        <f t="shared" si="314"/>
        <v>12.81</v>
      </c>
      <c r="L1189" s="647" t="s">
        <v>2065</v>
      </c>
      <c r="M1189" s="576"/>
      <c r="N1189" s="576">
        <f t="shared" si="317"/>
        <v>0</v>
      </c>
      <c r="O1189" s="577">
        <f t="shared" si="311"/>
        <v>0</v>
      </c>
      <c r="P1189" s="578">
        <f t="shared" si="312"/>
        <v>0</v>
      </c>
      <c r="Q1189" s="765"/>
      <c r="R1189" s="576">
        <f t="shared" si="308"/>
        <v>0</v>
      </c>
      <c r="S1189" s="576">
        <f t="shared" si="308"/>
        <v>0</v>
      </c>
      <c r="T1189" s="577">
        <f t="shared" si="309"/>
        <v>0</v>
      </c>
      <c r="U1189" s="578">
        <f t="shared" si="310"/>
        <v>0</v>
      </c>
      <c r="V1189" s="579"/>
      <c r="W1189" s="566"/>
      <c r="X1189" s="586" t="str">
        <f t="shared" si="313"/>
        <v/>
      </c>
      <c r="Y1189" s="586" t="str">
        <f t="shared" si="318"/>
        <v/>
      </c>
      <c r="Z1189" s="586" t="str">
        <f t="shared" si="316"/>
        <v/>
      </c>
    </row>
    <row r="1190" spans="1:26" ht="23.25" hidden="1" thickBot="1" x14ac:dyDescent="0.25">
      <c r="A1190" s="567">
        <v>95732</v>
      </c>
      <c r="B1190" s="644">
        <v>95732</v>
      </c>
      <c r="C1190" s="645" t="s">
        <v>670</v>
      </c>
      <c r="D1190" s="422" t="s">
        <v>1041</v>
      </c>
      <c r="E1190" s="423"/>
      <c r="F1190" s="424"/>
      <c r="G1190" s="425"/>
      <c r="H1190" s="651"/>
      <c r="I1190" s="420">
        <v>5.17</v>
      </c>
      <c r="J1190" s="420">
        <f t="shared" si="315"/>
        <v>5.17</v>
      </c>
      <c r="K1190" s="421">
        <f t="shared" si="314"/>
        <v>6.14</v>
      </c>
      <c r="L1190" s="647" t="s">
        <v>2065</v>
      </c>
      <c r="M1190" s="576"/>
      <c r="N1190" s="576">
        <f t="shared" si="317"/>
        <v>0</v>
      </c>
      <c r="O1190" s="577">
        <f t="shared" si="311"/>
        <v>0</v>
      </c>
      <c r="P1190" s="578">
        <f t="shared" si="312"/>
        <v>0</v>
      </c>
      <c r="Q1190" s="765"/>
      <c r="R1190" s="576">
        <f t="shared" si="308"/>
        <v>0</v>
      </c>
      <c r="S1190" s="576">
        <f t="shared" si="308"/>
        <v>0</v>
      </c>
      <c r="T1190" s="577">
        <f t="shared" si="309"/>
        <v>0</v>
      </c>
      <c r="U1190" s="578">
        <f t="shared" si="310"/>
        <v>0</v>
      </c>
      <c r="V1190" s="579"/>
      <c r="W1190" s="566"/>
      <c r="X1190" s="586" t="str">
        <f t="shared" si="313"/>
        <v/>
      </c>
      <c r="Y1190" s="586" t="str">
        <f t="shared" si="318"/>
        <v/>
      </c>
      <c r="Z1190" s="586" t="str">
        <f t="shared" si="316"/>
        <v/>
      </c>
    </row>
    <row r="1191" spans="1:26" ht="23.25" hidden="1" thickBot="1" x14ac:dyDescent="0.25">
      <c r="A1191" s="567">
        <v>95745</v>
      </c>
      <c r="B1191" s="644">
        <v>95745</v>
      </c>
      <c r="C1191" s="645" t="s">
        <v>670</v>
      </c>
      <c r="D1191" s="422" t="s">
        <v>1042</v>
      </c>
      <c r="E1191" s="423"/>
      <c r="F1191" s="424"/>
      <c r="G1191" s="425"/>
      <c r="H1191" s="651"/>
      <c r="I1191" s="420">
        <v>24.76</v>
      </c>
      <c r="J1191" s="420">
        <f t="shared" si="315"/>
        <v>24.76</v>
      </c>
      <c r="K1191" s="421">
        <f t="shared" si="314"/>
        <v>29.42</v>
      </c>
      <c r="L1191" s="647" t="s">
        <v>79</v>
      </c>
      <c r="M1191" s="576"/>
      <c r="N1191" s="576">
        <f t="shared" si="317"/>
        <v>0</v>
      </c>
      <c r="O1191" s="577">
        <f t="shared" si="311"/>
        <v>0</v>
      </c>
      <c r="P1191" s="578">
        <f t="shared" si="312"/>
        <v>0</v>
      </c>
      <c r="Q1191" s="765"/>
      <c r="R1191" s="576">
        <f t="shared" si="308"/>
        <v>0</v>
      </c>
      <c r="S1191" s="576">
        <f t="shared" si="308"/>
        <v>0</v>
      </c>
      <c r="T1191" s="577">
        <f t="shared" si="309"/>
        <v>0</v>
      </c>
      <c r="U1191" s="578">
        <f t="shared" si="310"/>
        <v>0</v>
      </c>
      <c r="V1191" s="579"/>
      <c r="W1191" s="566"/>
      <c r="X1191" s="586" t="str">
        <f t="shared" si="313"/>
        <v/>
      </c>
      <c r="Y1191" s="586" t="str">
        <f t="shared" si="318"/>
        <v/>
      </c>
      <c r="Z1191" s="586" t="str">
        <f t="shared" si="316"/>
        <v/>
      </c>
    </row>
    <row r="1192" spans="1:26" ht="23.25" hidden="1" thickBot="1" x14ac:dyDescent="0.25">
      <c r="A1192" s="567">
        <v>95746</v>
      </c>
      <c r="B1192" s="644">
        <v>95746</v>
      </c>
      <c r="C1192" s="645" t="s">
        <v>670</v>
      </c>
      <c r="D1192" s="422" t="s">
        <v>1043</v>
      </c>
      <c r="E1192" s="423"/>
      <c r="F1192" s="424"/>
      <c r="G1192" s="425"/>
      <c r="H1192" s="651"/>
      <c r="I1192" s="420">
        <v>30.83</v>
      </c>
      <c r="J1192" s="420">
        <f t="shared" si="315"/>
        <v>30.83</v>
      </c>
      <c r="K1192" s="421">
        <f t="shared" si="314"/>
        <v>36.630000000000003</v>
      </c>
      <c r="L1192" s="647" t="s">
        <v>79</v>
      </c>
      <c r="M1192" s="576"/>
      <c r="N1192" s="576">
        <f t="shared" si="317"/>
        <v>0</v>
      </c>
      <c r="O1192" s="577">
        <f t="shared" si="311"/>
        <v>0</v>
      </c>
      <c r="P1192" s="578">
        <f t="shared" si="312"/>
        <v>0</v>
      </c>
      <c r="Q1192" s="765"/>
      <c r="R1192" s="576">
        <f t="shared" si="308"/>
        <v>0</v>
      </c>
      <c r="S1192" s="576">
        <f t="shared" si="308"/>
        <v>0</v>
      </c>
      <c r="T1192" s="577">
        <f t="shared" si="309"/>
        <v>0</v>
      </c>
      <c r="U1192" s="578">
        <f t="shared" si="310"/>
        <v>0</v>
      </c>
      <c r="V1192" s="579"/>
      <c r="W1192" s="566"/>
      <c r="X1192" s="586" t="str">
        <f t="shared" si="313"/>
        <v/>
      </c>
      <c r="Y1192" s="586" t="str">
        <f t="shared" si="318"/>
        <v/>
      </c>
      <c r="Z1192" s="586" t="str">
        <f t="shared" si="316"/>
        <v/>
      </c>
    </row>
    <row r="1193" spans="1:26" ht="23.25" hidden="1" thickBot="1" x14ac:dyDescent="0.25">
      <c r="A1193" s="567">
        <v>95747</v>
      </c>
      <c r="B1193" s="644">
        <v>95747</v>
      </c>
      <c r="C1193" s="645" t="s">
        <v>670</v>
      </c>
      <c r="D1193" s="422" t="s">
        <v>1044</v>
      </c>
      <c r="E1193" s="423"/>
      <c r="F1193" s="424"/>
      <c r="G1193" s="425"/>
      <c r="H1193" s="651"/>
      <c r="I1193" s="420">
        <v>51.35</v>
      </c>
      <c r="J1193" s="420">
        <f t="shared" si="315"/>
        <v>51.35</v>
      </c>
      <c r="K1193" s="421">
        <f t="shared" si="314"/>
        <v>61.01</v>
      </c>
      <c r="L1193" s="647" t="s">
        <v>79</v>
      </c>
      <c r="M1193" s="576"/>
      <c r="N1193" s="576">
        <f t="shared" si="317"/>
        <v>0</v>
      </c>
      <c r="O1193" s="577">
        <f t="shared" si="311"/>
        <v>0</v>
      </c>
      <c r="P1193" s="578">
        <f t="shared" si="312"/>
        <v>0</v>
      </c>
      <c r="Q1193" s="765"/>
      <c r="R1193" s="576">
        <f t="shared" si="308"/>
        <v>0</v>
      </c>
      <c r="S1193" s="576">
        <f t="shared" si="308"/>
        <v>0</v>
      </c>
      <c r="T1193" s="577">
        <f t="shared" si="309"/>
        <v>0</v>
      </c>
      <c r="U1193" s="578">
        <f t="shared" si="310"/>
        <v>0</v>
      </c>
      <c r="V1193" s="579"/>
      <c r="W1193" s="566"/>
      <c r="X1193" s="586" t="str">
        <f t="shared" si="313"/>
        <v/>
      </c>
      <c r="Y1193" s="586" t="str">
        <f t="shared" si="318"/>
        <v/>
      </c>
      <c r="Z1193" s="586" t="str">
        <f t="shared" si="316"/>
        <v/>
      </c>
    </row>
    <row r="1194" spans="1:26" ht="23.25" hidden="1" thickBot="1" x14ac:dyDescent="0.25">
      <c r="A1194" s="567">
        <v>95748</v>
      </c>
      <c r="B1194" s="644">
        <v>95748</v>
      </c>
      <c r="C1194" s="645" t="s">
        <v>670</v>
      </c>
      <c r="D1194" s="422" t="s">
        <v>1045</v>
      </c>
      <c r="E1194" s="423"/>
      <c r="F1194" s="424"/>
      <c r="G1194" s="425"/>
      <c r="H1194" s="651"/>
      <c r="I1194" s="420">
        <v>55.37</v>
      </c>
      <c r="J1194" s="420">
        <f t="shared" si="315"/>
        <v>55.37</v>
      </c>
      <c r="K1194" s="421">
        <f t="shared" si="314"/>
        <v>65.790000000000006</v>
      </c>
      <c r="L1194" s="647" t="s">
        <v>79</v>
      </c>
      <c r="M1194" s="576"/>
      <c r="N1194" s="576">
        <f t="shared" si="317"/>
        <v>0</v>
      </c>
      <c r="O1194" s="577">
        <f t="shared" si="311"/>
        <v>0</v>
      </c>
      <c r="P1194" s="578">
        <f t="shared" si="312"/>
        <v>0</v>
      </c>
      <c r="Q1194" s="765"/>
      <c r="R1194" s="576">
        <f t="shared" si="308"/>
        <v>0</v>
      </c>
      <c r="S1194" s="576">
        <f t="shared" si="308"/>
        <v>0</v>
      </c>
      <c r="T1194" s="577">
        <f t="shared" si="309"/>
        <v>0</v>
      </c>
      <c r="U1194" s="578">
        <f t="shared" si="310"/>
        <v>0</v>
      </c>
      <c r="V1194" s="579"/>
      <c r="W1194" s="566"/>
      <c r="X1194" s="586" t="str">
        <f t="shared" si="313"/>
        <v/>
      </c>
      <c r="Y1194" s="586" t="str">
        <f t="shared" si="318"/>
        <v/>
      </c>
      <c r="Z1194" s="586" t="str">
        <f t="shared" si="316"/>
        <v/>
      </c>
    </row>
    <row r="1195" spans="1:26" ht="23.25" hidden="1" thickBot="1" x14ac:dyDescent="0.25">
      <c r="A1195" s="567">
        <v>95749</v>
      </c>
      <c r="B1195" s="644">
        <v>95749</v>
      </c>
      <c r="C1195" s="645" t="s">
        <v>670</v>
      </c>
      <c r="D1195" s="422" t="s">
        <v>1046</v>
      </c>
      <c r="E1195" s="423"/>
      <c r="F1195" s="424"/>
      <c r="G1195" s="425"/>
      <c r="H1195" s="651"/>
      <c r="I1195" s="420">
        <v>31.99</v>
      </c>
      <c r="J1195" s="420">
        <f t="shared" si="315"/>
        <v>31.99</v>
      </c>
      <c r="K1195" s="421">
        <f t="shared" si="314"/>
        <v>38.01</v>
      </c>
      <c r="L1195" s="647" t="s">
        <v>79</v>
      </c>
      <c r="M1195" s="576"/>
      <c r="N1195" s="576">
        <f t="shared" si="317"/>
        <v>0</v>
      </c>
      <c r="O1195" s="577">
        <f t="shared" si="311"/>
        <v>0</v>
      </c>
      <c r="P1195" s="578">
        <f t="shared" si="312"/>
        <v>0</v>
      </c>
      <c r="Q1195" s="765"/>
      <c r="R1195" s="576">
        <f t="shared" si="308"/>
        <v>0</v>
      </c>
      <c r="S1195" s="576">
        <f t="shared" si="308"/>
        <v>0</v>
      </c>
      <c r="T1195" s="577">
        <f t="shared" si="309"/>
        <v>0</v>
      </c>
      <c r="U1195" s="578">
        <f t="shared" si="310"/>
        <v>0</v>
      </c>
      <c r="V1195" s="579"/>
      <c r="W1195" s="566"/>
      <c r="X1195" s="586" t="str">
        <f t="shared" si="313"/>
        <v/>
      </c>
      <c r="Y1195" s="586" t="str">
        <f t="shared" si="318"/>
        <v/>
      </c>
      <c r="Z1195" s="586" t="str">
        <f t="shared" si="316"/>
        <v/>
      </c>
    </row>
    <row r="1196" spans="1:26" ht="23.25" hidden="1" thickBot="1" x14ac:dyDescent="0.25">
      <c r="A1196" s="567">
        <v>95750</v>
      </c>
      <c r="B1196" s="644">
        <v>95750</v>
      </c>
      <c r="C1196" s="645" t="s">
        <v>670</v>
      </c>
      <c r="D1196" s="422" t="s">
        <v>1047</v>
      </c>
      <c r="E1196" s="423"/>
      <c r="F1196" s="424"/>
      <c r="G1196" s="425"/>
      <c r="H1196" s="651"/>
      <c r="I1196" s="420">
        <v>37.89</v>
      </c>
      <c r="J1196" s="420">
        <f t="shared" si="315"/>
        <v>37.89</v>
      </c>
      <c r="K1196" s="421">
        <f t="shared" si="314"/>
        <v>45.02</v>
      </c>
      <c r="L1196" s="647" t="s">
        <v>79</v>
      </c>
      <c r="M1196" s="576"/>
      <c r="N1196" s="576">
        <f t="shared" si="317"/>
        <v>0</v>
      </c>
      <c r="O1196" s="577">
        <f t="shared" si="311"/>
        <v>0</v>
      </c>
      <c r="P1196" s="578">
        <f t="shared" si="312"/>
        <v>0</v>
      </c>
      <c r="Q1196" s="765"/>
      <c r="R1196" s="576">
        <f t="shared" si="308"/>
        <v>0</v>
      </c>
      <c r="S1196" s="576">
        <f t="shared" si="308"/>
        <v>0</v>
      </c>
      <c r="T1196" s="577">
        <f t="shared" si="309"/>
        <v>0</v>
      </c>
      <c r="U1196" s="578">
        <f t="shared" si="310"/>
        <v>0</v>
      </c>
      <c r="V1196" s="579"/>
      <c r="W1196" s="566"/>
      <c r="X1196" s="586" t="str">
        <f t="shared" si="313"/>
        <v/>
      </c>
      <c r="Y1196" s="586" t="str">
        <f t="shared" si="318"/>
        <v/>
      </c>
      <c r="Z1196" s="586" t="str">
        <f t="shared" si="316"/>
        <v/>
      </c>
    </row>
    <row r="1197" spans="1:26" ht="23.25" hidden="1" thickBot="1" x14ac:dyDescent="0.25">
      <c r="A1197" s="567">
        <v>95751</v>
      </c>
      <c r="B1197" s="644">
        <v>95751</v>
      </c>
      <c r="C1197" s="645" t="s">
        <v>670</v>
      </c>
      <c r="D1197" s="422" t="s">
        <v>1048</v>
      </c>
      <c r="E1197" s="423"/>
      <c r="F1197" s="424"/>
      <c r="G1197" s="425"/>
      <c r="H1197" s="651"/>
      <c r="I1197" s="420">
        <v>58.19</v>
      </c>
      <c r="J1197" s="420">
        <f t="shared" si="315"/>
        <v>58.19</v>
      </c>
      <c r="K1197" s="421">
        <f t="shared" si="314"/>
        <v>69.14</v>
      </c>
      <c r="L1197" s="647" t="s">
        <v>79</v>
      </c>
      <c r="M1197" s="576"/>
      <c r="N1197" s="576">
        <f t="shared" si="317"/>
        <v>0</v>
      </c>
      <c r="O1197" s="577">
        <f t="shared" si="311"/>
        <v>0</v>
      </c>
      <c r="P1197" s="578">
        <f t="shared" si="312"/>
        <v>0</v>
      </c>
      <c r="Q1197" s="765"/>
      <c r="R1197" s="576">
        <f t="shared" si="308"/>
        <v>0</v>
      </c>
      <c r="S1197" s="576">
        <f t="shared" si="308"/>
        <v>0</v>
      </c>
      <c r="T1197" s="577">
        <f t="shared" si="309"/>
        <v>0</v>
      </c>
      <c r="U1197" s="578">
        <f t="shared" si="310"/>
        <v>0</v>
      </c>
      <c r="V1197" s="579"/>
      <c r="W1197" s="566"/>
      <c r="X1197" s="586" t="str">
        <f t="shared" si="313"/>
        <v/>
      </c>
      <c r="Y1197" s="586" t="str">
        <f t="shared" si="318"/>
        <v/>
      </c>
      <c r="Z1197" s="586" t="str">
        <f t="shared" si="316"/>
        <v/>
      </c>
    </row>
    <row r="1198" spans="1:26" ht="23.25" hidden="1" thickBot="1" x14ac:dyDescent="0.25">
      <c r="A1198" s="567">
        <v>95752</v>
      </c>
      <c r="B1198" s="644">
        <v>95752</v>
      </c>
      <c r="C1198" s="645" t="s">
        <v>670</v>
      </c>
      <c r="D1198" s="422" t="s">
        <v>1049</v>
      </c>
      <c r="E1198" s="423"/>
      <c r="F1198" s="424"/>
      <c r="G1198" s="425"/>
      <c r="H1198" s="651"/>
      <c r="I1198" s="420">
        <v>61.97</v>
      </c>
      <c r="J1198" s="420">
        <f t="shared" si="315"/>
        <v>61.97</v>
      </c>
      <c r="K1198" s="421">
        <f t="shared" si="314"/>
        <v>73.63</v>
      </c>
      <c r="L1198" s="647" t="s">
        <v>79</v>
      </c>
      <c r="M1198" s="576"/>
      <c r="N1198" s="576">
        <f t="shared" si="317"/>
        <v>0</v>
      </c>
      <c r="O1198" s="577">
        <f t="shared" si="311"/>
        <v>0</v>
      </c>
      <c r="P1198" s="578">
        <f t="shared" si="312"/>
        <v>0</v>
      </c>
      <c r="Q1198" s="765"/>
      <c r="R1198" s="576">
        <f t="shared" si="308"/>
        <v>0</v>
      </c>
      <c r="S1198" s="576">
        <f t="shared" si="308"/>
        <v>0</v>
      </c>
      <c r="T1198" s="577">
        <f t="shared" si="309"/>
        <v>0</v>
      </c>
      <c r="U1198" s="578">
        <f t="shared" si="310"/>
        <v>0</v>
      </c>
      <c r="V1198" s="579"/>
      <c r="W1198" s="566"/>
      <c r="X1198" s="586" t="str">
        <f t="shared" si="313"/>
        <v/>
      </c>
      <c r="Y1198" s="586" t="str">
        <f t="shared" si="318"/>
        <v/>
      </c>
      <c r="Z1198" s="586" t="str">
        <f t="shared" si="316"/>
        <v/>
      </c>
    </row>
    <row r="1199" spans="1:26" ht="23.25" hidden="1" thickBot="1" x14ac:dyDescent="0.25">
      <c r="A1199" s="567">
        <v>95753</v>
      </c>
      <c r="B1199" s="644">
        <v>95753</v>
      </c>
      <c r="C1199" s="645" t="s">
        <v>670</v>
      </c>
      <c r="D1199" s="422" t="s">
        <v>1050</v>
      </c>
      <c r="E1199" s="423"/>
      <c r="F1199" s="424"/>
      <c r="G1199" s="425"/>
      <c r="H1199" s="651"/>
      <c r="I1199" s="420">
        <v>8.07</v>
      </c>
      <c r="J1199" s="420">
        <f t="shared" si="315"/>
        <v>8.07</v>
      </c>
      <c r="K1199" s="421">
        <f t="shared" si="314"/>
        <v>9.59</v>
      </c>
      <c r="L1199" s="647" t="s">
        <v>2065</v>
      </c>
      <c r="M1199" s="576"/>
      <c r="N1199" s="576">
        <f t="shared" si="317"/>
        <v>0</v>
      </c>
      <c r="O1199" s="577">
        <f t="shared" si="311"/>
        <v>0</v>
      </c>
      <c r="P1199" s="578">
        <f t="shared" si="312"/>
        <v>0</v>
      </c>
      <c r="Q1199" s="765"/>
      <c r="R1199" s="576">
        <f t="shared" si="308"/>
        <v>0</v>
      </c>
      <c r="S1199" s="576">
        <f t="shared" si="308"/>
        <v>0</v>
      </c>
      <c r="T1199" s="577">
        <f t="shared" si="309"/>
        <v>0</v>
      </c>
      <c r="U1199" s="578">
        <f t="shared" si="310"/>
        <v>0</v>
      </c>
      <c r="V1199" s="579"/>
      <c r="W1199" s="566"/>
      <c r="X1199" s="586" t="str">
        <f t="shared" si="313"/>
        <v/>
      </c>
      <c r="Y1199" s="586" t="str">
        <f t="shared" si="318"/>
        <v/>
      </c>
      <c r="Z1199" s="586" t="str">
        <f t="shared" si="316"/>
        <v/>
      </c>
    </row>
    <row r="1200" spans="1:26" ht="23.25" hidden="1" thickBot="1" x14ac:dyDescent="0.25">
      <c r="A1200" s="567">
        <v>95754</v>
      </c>
      <c r="B1200" s="644">
        <v>95754</v>
      </c>
      <c r="C1200" s="645" t="s">
        <v>670</v>
      </c>
      <c r="D1200" s="422" t="s">
        <v>1051</v>
      </c>
      <c r="E1200" s="423"/>
      <c r="F1200" s="424"/>
      <c r="G1200" s="425"/>
      <c r="H1200" s="651"/>
      <c r="I1200" s="420">
        <v>10.039999999999999</v>
      </c>
      <c r="J1200" s="420">
        <f t="shared" si="315"/>
        <v>10.039999999999999</v>
      </c>
      <c r="K1200" s="421">
        <f t="shared" si="314"/>
        <v>11.93</v>
      </c>
      <c r="L1200" s="647" t="s">
        <v>2065</v>
      </c>
      <c r="M1200" s="576"/>
      <c r="N1200" s="576">
        <f t="shared" si="317"/>
        <v>0</v>
      </c>
      <c r="O1200" s="577">
        <f t="shared" si="311"/>
        <v>0</v>
      </c>
      <c r="P1200" s="578">
        <f t="shared" si="312"/>
        <v>0</v>
      </c>
      <c r="Q1200" s="765"/>
      <c r="R1200" s="576">
        <f t="shared" si="308"/>
        <v>0</v>
      </c>
      <c r="S1200" s="576">
        <f t="shared" si="308"/>
        <v>0</v>
      </c>
      <c r="T1200" s="577">
        <f t="shared" si="309"/>
        <v>0</v>
      </c>
      <c r="U1200" s="578">
        <f t="shared" si="310"/>
        <v>0</v>
      </c>
      <c r="V1200" s="579"/>
      <c r="W1200" s="566"/>
      <c r="X1200" s="586" t="str">
        <f t="shared" si="313"/>
        <v/>
      </c>
      <c r="Y1200" s="586" t="str">
        <f t="shared" si="318"/>
        <v/>
      </c>
      <c r="Z1200" s="586" t="str">
        <f t="shared" si="316"/>
        <v/>
      </c>
    </row>
    <row r="1201" spans="1:26" ht="23.25" hidden="1" thickBot="1" x14ac:dyDescent="0.25">
      <c r="A1201" s="567">
        <v>95755</v>
      </c>
      <c r="B1201" s="644">
        <v>95755</v>
      </c>
      <c r="C1201" s="645" t="s">
        <v>670</v>
      </c>
      <c r="D1201" s="422" t="s">
        <v>1052</v>
      </c>
      <c r="E1201" s="423"/>
      <c r="F1201" s="424"/>
      <c r="G1201" s="425"/>
      <c r="H1201" s="651"/>
      <c r="I1201" s="420">
        <v>14.51</v>
      </c>
      <c r="J1201" s="420">
        <f t="shared" si="315"/>
        <v>14.51</v>
      </c>
      <c r="K1201" s="421">
        <f t="shared" si="314"/>
        <v>17.239999999999998</v>
      </c>
      <c r="L1201" s="647" t="s">
        <v>2065</v>
      </c>
      <c r="M1201" s="576"/>
      <c r="N1201" s="576">
        <f t="shared" si="317"/>
        <v>0</v>
      </c>
      <c r="O1201" s="577">
        <f t="shared" si="311"/>
        <v>0</v>
      </c>
      <c r="P1201" s="578">
        <f t="shared" si="312"/>
        <v>0</v>
      </c>
      <c r="Q1201" s="765"/>
      <c r="R1201" s="576">
        <f t="shared" si="308"/>
        <v>0</v>
      </c>
      <c r="S1201" s="576">
        <f t="shared" si="308"/>
        <v>0</v>
      </c>
      <c r="T1201" s="577">
        <f t="shared" si="309"/>
        <v>0</v>
      </c>
      <c r="U1201" s="578">
        <f t="shared" si="310"/>
        <v>0</v>
      </c>
      <c r="V1201" s="579"/>
      <c r="W1201" s="566"/>
      <c r="X1201" s="586" t="str">
        <f t="shared" si="313"/>
        <v/>
      </c>
      <c r="Y1201" s="586" t="str">
        <f t="shared" si="318"/>
        <v/>
      </c>
      <c r="Z1201" s="586" t="str">
        <f t="shared" si="316"/>
        <v/>
      </c>
    </row>
    <row r="1202" spans="1:26" ht="23.25" hidden="1" thickBot="1" x14ac:dyDescent="0.25">
      <c r="A1202" s="567">
        <v>95756</v>
      </c>
      <c r="B1202" s="644">
        <v>95756</v>
      </c>
      <c r="C1202" s="645" t="s">
        <v>670</v>
      </c>
      <c r="D1202" s="422" t="s">
        <v>1053</v>
      </c>
      <c r="E1202" s="423"/>
      <c r="F1202" s="424"/>
      <c r="G1202" s="425"/>
      <c r="H1202" s="651"/>
      <c r="I1202" s="420">
        <v>19.36</v>
      </c>
      <c r="J1202" s="420">
        <f t="shared" si="315"/>
        <v>19.36</v>
      </c>
      <c r="K1202" s="421">
        <f t="shared" si="314"/>
        <v>23</v>
      </c>
      <c r="L1202" s="647" t="s">
        <v>2065</v>
      </c>
      <c r="M1202" s="576"/>
      <c r="N1202" s="576">
        <f t="shared" si="317"/>
        <v>0</v>
      </c>
      <c r="O1202" s="577">
        <f t="shared" si="311"/>
        <v>0</v>
      </c>
      <c r="P1202" s="578">
        <f t="shared" si="312"/>
        <v>0</v>
      </c>
      <c r="Q1202" s="765"/>
      <c r="R1202" s="576">
        <f t="shared" si="308"/>
        <v>0</v>
      </c>
      <c r="S1202" s="576">
        <f t="shared" si="308"/>
        <v>0</v>
      </c>
      <c r="T1202" s="577">
        <f t="shared" si="309"/>
        <v>0</v>
      </c>
      <c r="U1202" s="578">
        <f t="shared" si="310"/>
        <v>0</v>
      </c>
      <c r="V1202" s="579"/>
      <c r="W1202" s="566"/>
      <c r="X1202" s="586" t="str">
        <f t="shared" si="313"/>
        <v/>
      </c>
      <c r="Y1202" s="586" t="str">
        <f t="shared" si="318"/>
        <v/>
      </c>
      <c r="Z1202" s="586" t="str">
        <f t="shared" si="316"/>
        <v/>
      </c>
    </row>
    <row r="1203" spans="1:26" ht="23.25" hidden="1" thickBot="1" x14ac:dyDescent="0.25">
      <c r="A1203" s="567">
        <v>95757</v>
      </c>
      <c r="B1203" s="644">
        <v>95757</v>
      </c>
      <c r="C1203" s="645" t="s">
        <v>670</v>
      </c>
      <c r="D1203" s="422" t="s">
        <v>1054</v>
      </c>
      <c r="E1203" s="423"/>
      <c r="F1203" s="424"/>
      <c r="G1203" s="425"/>
      <c r="H1203" s="651"/>
      <c r="I1203" s="420">
        <v>12.08</v>
      </c>
      <c r="J1203" s="420">
        <f t="shared" si="315"/>
        <v>12.08</v>
      </c>
      <c r="K1203" s="421">
        <f t="shared" si="314"/>
        <v>14.35</v>
      </c>
      <c r="L1203" s="647" t="s">
        <v>2065</v>
      </c>
      <c r="M1203" s="576"/>
      <c r="N1203" s="576">
        <f t="shared" si="317"/>
        <v>0</v>
      </c>
      <c r="O1203" s="577">
        <f t="shared" si="311"/>
        <v>0</v>
      </c>
      <c r="P1203" s="578">
        <f t="shared" si="312"/>
        <v>0</v>
      </c>
      <c r="Q1203" s="765"/>
      <c r="R1203" s="576">
        <f t="shared" si="308"/>
        <v>0</v>
      </c>
      <c r="S1203" s="576">
        <f t="shared" si="308"/>
        <v>0</v>
      </c>
      <c r="T1203" s="577">
        <f t="shared" si="309"/>
        <v>0</v>
      </c>
      <c r="U1203" s="578">
        <f t="shared" si="310"/>
        <v>0</v>
      </c>
      <c r="V1203" s="579"/>
      <c r="W1203" s="566"/>
      <c r="X1203" s="586" t="str">
        <f t="shared" si="313"/>
        <v/>
      </c>
      <c r="Y1203" s="586" t="str">
        <f t="shared" si="318"/>
        <v/>
      </c>
      <c r="Z1203" s="586" t="str">
        <f t="shared" si="316"/>
        <v/>
      </c>
    </row>
    <row r="1204" spans="1:26" ht="23.25" hidden="1" thickBot="1" x14ac:dyDescent="0.25">
      <c r="A1204" s="567">
        <v>95758</v>
      </c>
      <c r="B1204" s="644">
        <v>95758</v>
      </c>
      <c r="C1204" s="645" t="s">
        <v>670</v>
      </c>
      <c r="D1204" s="422" t="s">
        <v>1055</v>
      </c>
      <c r="E1204" s="423"/>
      <c r="F1204" s="424"/>
      <c r="G1204" s="425"/>
      <c r="H1204" s="651"/>
      <c r="I1204" s="420">
        <v>13.58</v>
      </c>
      <c r="J1204" s="420">
        <f t="shared" si="315"/>
        <v>13.58</v>
      </c>
      <c r="K1204" s="421">
        <f t="shared" si="314"/>
        <v>16.13</v>
      </c>
      <c r="L1204" s="647" t="s">
        <v>2065</v>
      </c>
      <c r="M1204" s="576"/>
      <c r="N1204" s="576">
        <f t="shared" si="317"/>
        <v>0</v>
      </c>
      <c r="O1204" s="577">
        <f t="shared" si="311"/>
        <v>0</v>
      </c>
      <c r="P1204" s="578">
        <f t="shared" si="312"/>
        <v>0</v>
      </c>
      <c r="Q1204" s="765"/>
      <c r="R1204" s="576">
        <f t="shared" ref="R1204:S1257" si="319">M1204</f>
        <v>0</v>
      </c>
      <c r="S1204" s="576">
        <f t="shared" si="319"/>
        <v>0</v>
      </c>
      <c r="T1204" s="577">
        <f t="shared" ref="T1204:T1267" si="320">IF(ISBLANK(R1204),0,ROUND(K1204*R1204,2))</f>
        <v>0</v>
      </c>
      <c r="U1204" s="578">
        <f t="shared" ref="U1204:U1267" si="321">IF(ISBLANK(R1204),0,ROUND(R1204*S1204,2))</f>
        <v>0</v>
      </c>
      <c r="V1204" s="579"/>
      <c r="W1204" s="566"/>
      <c r="X1204" s="586" t="str">
        <f t="shared" si="313"/>
        <v/>
      </c>
      <c r="Y1204" s="586" t="str">
        <f t="shared" si="318"/>
        <v/>
      </c>
      <c r="Z1204" s="586" t="str">
        <f t="shared" si="316"/>
        <v/>
      </c>
    </row>
    <row r="1205" spans="1:26" ht="23.25" hidden="1" thickBot="1" x14ac:dyDescent="0.25">
      <c r="A1205" s="567">
        <v>95759</v>
      </c>
      <c r="B1205" s="644">
        <v>95759</v>
      </c>
      <c r="C1205" s="645" t="s">
        <v>670</v>
      </c>
      <c r="D1205" s="422" t="s">
        <v>1056</v>
      </c>
      <c r="E1205" s="423"/>
      <c r="F1205" s="424"/>
      <c r="G1205" s="425"/>
      <c r="H1205" s="651"/>
      <c r="I1205" s="420">
        <v>17.38</v>
      </c>
      <c r="J1205" s="420">
        <f t="shared" si="315"/>
        <v>17.38</v>
      </c>
      <c r="K1205" s="421">
        <f t="shared" si="314"/>
        <v>20.65</v>
      </c>
      <c r="L1205" s="647" t="s">
        <v>2065</v>
      </c>
      <c r="M1205" s="576"/>
      <c r="N1205" s="576">
        <f t="shared" si="317"/>
        <v>0</v>
      </c>
      <c r="O1205" s="577">
        <f t="shared" ref="O1205:O1268" si="322">IF(ISBLANK(M1205),0,ROUND(K1205*M1205,2))</f>
        <v>0</v>
      </c>
      <c r="P1205" s="578">
        <f t="shared" ref="P1205:P1268" si="323">IF(ISBLANK(N1205),0,ROUND(M1205*N1205,2))</f>
        <v>0</v>
      </c>
      <c r="Q1205" s="765"/>
      <c r="R1205" s="576">
        <f t="shared" si="319"/>
        <v>0</v>
      </c>
      <c r="S1205" s="576">
        <f t="shared" si="319"/>
        <v>0</v>
      </c>
      <c r="T1205" s="577">
        <f t="shared" si="320"/>
        <v>0</v>
      </c>
      <c r="U1205" s="578">
        <f t="shared" si="321"/>
        <v>0</v>
      </c>
      <c r="V1205" s="579"/>
      <c r="W1205" s="566"/>
      <c r="X1205" s="586" t="str">
        <f t="shared" si="313"/>
        <v/>
      </c>
      <c r="Y1205" s="586" t="str">
        <f t="shared" si="318"/>
        <v/>
      </c>
      <c r="Z1205" s="586" t="str">
        <f t="shared" si="316"/>
        <v/>
      </c>
    </row>
    <row r="1206" spans="1:26" ht="23.25" hidden="1" thickBot="1" x14ac:dyDescent="0.25">
      <c r="A1206" s="567">
        <v>95760</v>
      </c>
      <c r="B1206" s="644">
        <v>95760</v>
      </c>
      <c r="C1206" s="645" t="s">
        <v>670</v>
      </c>
      <c r="D1206" s="422" t="s">
        <v>1057</v>
      </c>
      <c r="E1206" s="423"/>
      <c r="F1206" s="424"/>
      <c r="G1206" s="425"/>
      <c r="H1206" s="651"/>
      <c r="I1206" s="420">
        <v>21.47</v>
      </c>
      <c r="J1206" s="420">
        <f t="shared" si="315"/>
        <v>21.47</v>
      </c>
      <c r="K1206" s="421">
        <f t="shared" si="314"/>
        <v>25.51</v>
      </c>
      <c r="L1206" s="647" t="s">
        <v>2065</v>
      </c>
      <c r="M1206" s="576"/>
      <c r="N1206" s="576">
        <f t="shared" si="317"/>
        <v>0</v>
      </c>
      <c r="O1206" s="577">
        <f t="shared" si="322"/>
        <v>0</v>
      </c>
      <c r="P1206" s="578">
        <f t="shared" si="323"/>
        <v>0</v>
      </c>
      <c r="Q1206" s="765"/>
      <c r="R1206" s="576">
        <f t="shared" si="319"/>
        <v>0</v>
      </c>
      <c r="S1206" s="576">
        <f t="shared" si="319"/>
        <v>0</v>
      </c>
      <c r="T1206" s="577">
        <f t="shared" si="320"/>
        <v>0</v>
      </c>
      <c r="U1206" s="578">
        <f t="shared" si="321"/>
        <v>0</v>
      </c>
      <c r="V1206" s="579"/>
      <c r="W1206" s="566"/>
      <c r="X1206" s="586" t="str">
        <f t="shared" si="313"/>
        <v/>
      </c>
      <c r="Y1206" s="586" t="str">
        <f t="shared" si="318"/>
        <v/>
      </c>
      <c r="Z1206" s="586" t="str">
        <f t="shared" si="316"/>
        <v/>
      </c>
    </row>
    <row r="1207" spans="1:26" ht="23.25" hidden="1" thickBot="1" x14ac:dyDescent="0.25">
      <c r="A1207" s="567">
        <v>91839</v>
      </c>
      <c r="B1207" s="644">
        <v>91839</v>
      </c>
      <c r="C1207" s="645" t="s">
        <v>670</v>
      </c>
      <c r="D1207" s="422" t="s">
        <v>1058</v>
      </c>
      <c r="E1207" s="423"/>
      <c r="F1207" s="424"/>
      <c r="G1207" s="425"/>
      <c r="H1207" s="651"/>
      <c r="I1207" s="420">
        <v>10.48</v>
      </c>
      <c r="J1207" s="420">
        <f t="shared" si="315"/>
        <v>10.48</v>
      </c>
      <c r="K1207" s="421">
        <f t="shared" si="314"/>
        <v>12.45</v>
      </c>
      <c r="L1207" s="647" t="s">
        <v>79</v>
      </c>
      <c r="M1207" s="576"/>
      <c r="N1207" s="576">
        <f t="shared" si="317"/>
        <v>0</v>
      </c>
      <c r="O1207" s="577">
        <f t="shared" si="322"/>
        <v>0</v>
      </c>
      <c r="P1207" s="578">
        <f t="shared" si="323"/>
        <v>0</v>
      </c>
      <c r="Q1207" s="765"/>
      <c r="R1207" s="576">
        <f t="shared" si="319"/>
        <v>0</v>
      </c>
      <c r="S1207" s="576">
        <f t="shared" si="319"/>
        <v>0</v>
      </c>
      <c r="T1207" s="577">
        <f t="shared" si="320"/>
        <v>0</v>
      </c>
      <c r="U1207" s="578">
        <f t="shared" si="321"/>
        <v>0</v>
      </c>
      <c r="V1207" s="579"/>
      <c r="W1207" s="566"/>
      <c r="X1207" s="586" t="str">
        <f t="shared" si="313"/>
        <v/>
      </c>
      <c r="Y1207" s="586" t="str">
        <f t="shared" si="318"/>
        <v/>
      </c>
      <c r="Z1207" s="586" t="str">
        <f t="shared" si="316"/>
        <v/>
      </c>
    </row>
    <row r="1208" spans="1:26" ht="23.25" hidden="1" thickBot="1" x14ac:dyDescent="0.25">
      <c r="A1208" s="567">
        <v>91840</v>
      </c>
      <c r="B1208" s="644">
        <v>91840</v>
      </c>
      <c r="C1208" s="645" t="s">
        <v>670</v>
      </c>
      <c r="D1208" s="422" t="s">
        <v>1059</v>
      </c>
      <c r="E1208" s="423"/>
      <c r="F1208" s="424"/>
      <c r="G1208" s="425"/>
      <c r="H1208" s="651"/>
      <c r="I1208" s="420">
        <v>13.02</v>
      </c>
      <c r="J1208" s="420">
        <f t="shared" si="315"/>
        <v>13.02</v>
      </c>
      <c r="K1208" s="421">
        <f t="shared" si="314"/>
        <v>15.47</v>
      </c>
      <c r="L1208" s="647" t="s">
        <v>79</v>
      </c>
      <c r="M1208" s="576"/>
      <c r="N1208" s="576">
        <f t="shared" si="317"/>
        <v>0</v>
      </c>
      <c r="O1208" s="577">
        <f t="shared" si="322"/>
        <v>0</v>
      </c>
      <c r="P1208" s="578">
        <f t="shared" si="323"/>
        <v>0</v>
      </c>
      <c r="Q1208" s="765"/>
      <c r="R1208" s="576">
        <f t="shared" si="319"/>
        <v>0</v>
      </c>
      <c r="S1208" s="576">
        <f t="shared" si="319"/>
        <v>0</v>
      </c>
      <c r="T1208" s="577">
        <f t="shared" si="320"/>
        <v>0</v>
      </c>
      <c r="U1208" s="578">
        <f t="shared" si="321"/>
        <v>0</v>
      </c>
      <c r="V1208" s="579"/>
      <c r="W1208" s="566"/>
      <c r="X1208" s="586" t="str">
        <f t="shared" si="313"/>
        <v/>
      </c>
      <c r="Y1208" s="586" t="str">
        <f t="shared" si="318"/>
        <v/>
      </c>
      <c r="Z1208" s="586" t="str">
        <f t="shared" si="316"/>
        <v/>
      </c>
    </row>
    <row r="1209" spans="1:26" ht="23.25" hidden="1" thickBot="1" x14ac:dyDescent="0.25">
      <c r="A1209" s="567">
        <v>91841</v>
      </c>
      <c r="B1209" s="644">
        <v>91841</v>
      </c>
      <c r="C1209" s="645" t="s">
        <v>670</v>
      </c>
      <c r="D1209" s="422" t="s">
        <v>1060</v>
      </c>
      <c r="E1209" s="423"/>
      <c r="F1209" s="424"/>
      <c r="G1209" s="425"/>
      <c r="H1209" s="651"/>
      <c r="I1209" s="420">
        <v>12.42</v>
      </c>
      <c r="J1209" s="420">
        <f t="shared" si="315"/>
        <v>12.42</v>
      </c>
      <c r="K1209" s="421">
        <f t="shared" si="314"/>
        <v>14.76</v>
      </c>
      <c r="L1209" s="647" t="s">
        <v>79</v>
      </c>
      <c r="M1209" s="576"/>
      <c r="N1209" s="576">
        <f t="shared" si="317"/>
        <v>0</v>
      </c>
      <c r="O1209" s="577">
        <f t="shared" si="322"/>
        <v>0</v>
      </c>
      <c r="P1209" s="578">
        <f t="shared" si="323"/>
        <v>0</v>
      </c>
      <c r="Q1209" s="765"/>
      <c r="R1209" s="576">
        <f t="shared" si="319"/>
        <v>0</v>
      </c>
      <c r="S1209" s="576">
        <f t="shared" si="319"/>
        <v>0</v>
      </c>
      <c r="T1209" s="577">
        <f t="shared" si="320"/>
        <v>0</v>
      </c>
      <c r="U1209" s="578">
        <f t="shared" si="321"/>
        <v>0</v>
      </c>
      <c r="V1209" s="579"/>
      <c r="W1209" s="566"/>
      <c r="X1209" s="586" t="str">
        <f t="shared" si="313"/>
        <v/>
      </c>
      <c r="Y1209" s="586" t="str">
        <f t="shared" si="318"/>
        <v/>
      </c>
      <c r="Z1209" s="586" t="str">
        <f t="shared" si="316"/>
        <v/>
      </c>
    </row>
    <row r="1210" spans="1:26" ht="23.25" hidden="1" thickBot="1" x14ac:dyDescent="0.25">
      <c r="A1210" s="567">
        <v>91849</v>
      </c>
      <c r="B1210" s="644">
        <v>91849</v>
      </c>
      <c r="C1210" s="645" t="s">
        <v>670</v>
      </c>
      <c r="D1210" s="422" t="s">
        <v>1061</v>
      </c>
      <c r="E1210" s="423"/>
      <c r="F1210" s="424"/>
      <c r="G1210" s="425"/>
      <c r="H1210" s="651"/>
      <c r="I1210" s="420">
        <v>8.2100000000000009</v>
      </c>
      <c r="J1210" s="420">
        <f t="shared" si="315"/>
        <v>8.2100000000000009</v>
      </c>
      <c r="K1210" s="421">
        <f t="shared" si="314"/>
        <v>9.75</v>
      </c>
      <c r="L1210" s="647" t="s">
        <v>79</v>
      </c>
      <c r="M1210" s="576"/>
      <c r="N1210" s="576">
        <f t="shared" si="317"/>
        <v>0</v>
      </c>
      <c r="O1210" s="577">
        <f t="shared" si="322"/>
        <v>0</v>
      </c>
      <c r="P1210" s="578">
        <f t="shared" si="323"/>
        <v>0</v>
      </c>
      <c r="Q1210" s="765"/>
      <c r="R1210" s="576">
        <f t="shared" si="319"/>
        <v>0</v>
      </c>
      <c r="S1210" s="576">
        <f t="shared" si="319"/>
        <v>0</v>
      </c>
      <c r="T1210" s="577">
        <f t="shared" si="320"/>
        <v>0</v>
      </c>
      <c r="U1210" s="578">
        <f t="shared" si="321"/>
        <v>0</v>
      </c>
      <c r="V1210" s="579"/>
      <c r="W1210" s="566"/>
      <c r="X1210" s="586" t="str">
        <f t="shared" si="313"/>
        <v/>
      </c>
      <c r="Y1210" s="586" t="str">
        <f t="shared" si="318"/>
        <v/>
      </c>
      <c r="Z1210" s="586" t="str">
        <f t="shared" si="316"/>
        <v/>
      </c>
    </row>
    <row r="1211" spans="1:26" ht="23.25" hidden="1" thickBot="1" x14ac:dyDescent="0.25">
      <c r="A1211" s="567">
        <v>91850</v>
      </c>
      <c r="B1211" s="644">
        <v>91850</v>
      </c>
      <c r="C1211" s="645" t="s">
        <v>670</v>
      </c>
      <c r="D1211" s="422" t="s">
        <v>1062</v>
      </c>
      <c r="E1211" s="423"/>
      <c r="F1211" s="424"/>
      <c r="G1211" s="425"/>
      <c r="H1211" s="651"/>
      <c r="I1211" s="420">
        <v>10.81</v>
      </c>
      <c r="J1211" s="420">
        <f t="shared" si="315"/>
        <v>10.81</v>
      </c>
      <c r="K1211" s="421">
        <f t="shared" si="314"/>
        <v>12.84</v>
      </c>
      <c r="L1211" s="647" t="s">
        <v>79</v>
      </c>
      <c r="M1211" s="576"/>
      <c r="N1211" s="576">
        <f t="shared" si="317"/>
        <v>0</v>
      </c>
      <c r="O1211" s="577">
        <f t="shared" si="322"/>
        <v>0</v>
      </c>
      <c r="P1211" s="578">
        <f t="shared" si="323"/>
        <v>0</v>
      </c>
      <c r="Q1211" s="765"/>
      <c r="R1211" s="576">
        <f t="shared" si="319"/>
        <v>0</v>
      </c>
      <c r="S1211" s="576">
        <f t="shared" si="319"/>
        <v>0</v>
      </c>
      <c r="T1211" s="577">
        <f t="shared" si="320"/>
        <v>0</v>
      </c>
      <c r="U1211" s="578">
        <f t="shared" si="321"/>
        <v>0</v>
      </c>
      <c r="V1211" s="579"/>
      <c r="W1211" s="566"/>
      <c r="X1211" s="586" t="str">
        <f t="shared" si="313"/>
        <v/>
      </c>
      <c r="Y1211" s="586" t="str">
        <f t="shared" si="318"/>
        <v/>
      </c>
      <c r="Z1211" s="586" t="str">
        <f t="shared" si="316"/>
        <v/>
      </c>
    </row>
    <row r="1212" spans="1:26" ht="23.25" hidden="1" thickBot="1" x14ac:dyDescent="0.25">
      <c r="A1212" s="567">
        <v>91851</v>
      </c>
      <c r="B1212" s="644">
        <v>91851</v>
      </c>
      <c r="C1212" s="645" t="s">
        <v>670</v>
      </c>
      <c r="D1212" s="422" t="s">
        <v>1063</v>
      </c>
      <c r="E1212" s="423"/>
      <c r="F1212" s="424"/>
      <c r="G1212" s="425"/>
      <c r="H1212" s="651"/>
      <c r="I1212" s="420">
        <v>10.210000000000001</v>
      </c>
      <c r="J1212" s="420">
        <f t="shared" si="315"/>
        <v>10.210000000000001</v>
      </c>
      <c r="K1212" s="421">
        <f t="shared" si="314"/>
        <v>12.13</v>
      </c>
      <c r="L1212" s="647" t="s">
        <v>79</v>
      </c>
      <c r="M1212" s="576"/>
      <c r="N1212" s="576">
        <f t="shared" si="317"/>
        <v>0</v>
      </c>
      <c r="O1212" s="577">
        <f t="shared" si="322"/>
        <v>0</v>
      </c>
      <c r="P1212" s="578">
        <f t="shared" si="323"/>
        <v>0</v>
      </c>
      <c r="Q1212" s="765"/>
      <c r="R1212" s="576">
        <f t="shared" si="319"/>
        <v>0</v>
      </c>
      <c r="S1212" s="576">
        <f t="shared" si="319"/>
        <v>0</v>
      </c>
      <c r="T1212" s="577">
        <f t="shared" si="320"/>
        <v>0</v>
      </c>
      <c r="U1212" s="578">
        <f t="shared" si="321"/>
        <v>0</v>
      </c>
      <c r="V1212" s="579"/>
      <c r="W1212" s="566"/>
      <c r="X1212" s="586" t="str">
        <f t="shared" si="313"/>
        <v/>
      </c>
      <c r="Y1212" s="586" t="str">
        <f t="shared" si="318"/>
        <v/>
      </c>
      <c r="Z1212" s="586" t="str">
        <f t="shared" si="316"/>
        <v/>
      </c>
    </row>
    <row r="1213" spans="1:26" ht="23.25" hidden="1" thickBot="1" x14ac:dyDescent="0.25">
      <c r="A1213" s="567">
        <v>91859</v>
      </c>
      <c r="B1213" s="644">
        <v>91859</v>
      </c>
      <c r="C1213" s="645" t="s">
        <v>670</v>
      </c>
      <c r="D1213" s="422" t="s">
        <v>1064</v>
      </c>
      <c r="E1213" s="423"/>
      <c r="F1213" s="424"/>
      <c r="G1213" s="425"/>
      <c r="H1213" s="651"/>
      <c r="I1213" s="420">
        <v>10.95</v>
      </c>
      <c r="J1213" s="420">
        <f t="shared" si="315"/>
        <v>10.95</v>
      </c>
      <c r="K1213" s="421">
        <f t="shared" si="314"/>
        <v>13.01</v>
      </c>
      <c r="L1213" s="647" t="s">
        <v>79</v>
      </c>
      <c r="M1213" s="576"/>
      <c r="N1213" s="576">
        <f t="shared" si="317"/>
        <v>0</v>
      </c>
      <c r="O1213" s="577">
        <f t="shared" si="322"/>
        <v>0</v>
      </c>
      <c r="P1213" s="578">
        <f t="shared" si="323"/>
        <v>0</v>
      </c>
      <c r="Q1213" s="765"/>
      <c r="R1213" s="576">
        <f t="shared" si="319"/>
        <v>0</v>
      </c>
      <c r="S1213" s="576">
        <f t="shared" si="319"/>
        <v>0</v>
      </c>
      <c r="T1213" s="577">
        <f t="shared" si="320"/>
        <v>0</v>
      </c>
      <c r="U1213" s="578">
        <f t="shared" si="321"/>
        <v>0</v>
      </c>
      <c r="V1213" s="579"/>
      <c r="W1213" s="566"/>
      <c r="X1213" s="586" t="str">
        <f t="shared" ref="X1213:X1276" si="324">IF(W1213="X","x",IF(W1213="xx","x",IF(W1213="xy","x",IF(W1213="y","x",IF(OR(P1213&gt;0,U1213&gt;0),"x","")))))</f>
        <v/>
      </c>
      <c r="Y1213" s="586" t="str">
        <f t="shared" si="318"/>
        <v/>
      </c>
      <c r="Z1213" s="586" t="str">
        <f t="shared" si="316"/>
        <v/>
      </c>
    </row>
    <row r="1214" spans="1:26" ht="23.25" hidden="1" thickBot="1" x14ac:dyDescent="0.25">
      <c r="A1214" s="567">
        <v>91860</v>
      </c>
      <c r="B1214" s="644">
        <v>91860</v>
      </c>
      <c r="C1214" s="645" t="s">
        <v>670</v>
      </c>
      <c r="D1214" s="422" t="s">
        <v>1065</v>
      </c>
      <c r="E1214" s="423"/>
      <c r="F1214" s="424"/>
      <c r="G1214" s="425"/>
      <c r="H1214" s="651"/>
      <c r="I1214" s="420">
        <v>13.44</v>
      </c>
      <c r="J1214" s="420">
        <f t="shared" si="315"/>
        <v>13.44</v>
      </c>
      <c r="K1214" s="421">
        <f t="shared" si="314"/>
        <v>15.97</v>
      </c>
      <c r="L1214" s="647" t="s">
        <v>79</v>
      </c>
      <c r="M1214" s="576"/>
      <c r="N1214" s="576">
        <f t="shared" si="317"/>
        <v>0</v>
      </c>
      <c r="O1214" s="577">
        <f t="shared" si="322"/>
        <v>0</v>
      </c>
      <c r="P1214" s="578">
        <f t="shared" si="323"/>
        <v>0</v>
      </c>
      <c r="Q1214" s="765"/>
      <c r="R1214" s="576">
        <f t="shared" si="319"/>
        <v>0</v>
      </c>
      <c r="S1214" s="576">
        <f t="shared" si="319"/>
        <v>0</v>
      </c>
      <c r="T1214" s="577">
        <f t="shared" si="320"/>
        <v>0</v>
      </c>
      <c r="U1214" s="578">
        <f t="shared" si="321"/>
        <v>0</v>
      </c>
      <c r="V1214" s="579"/>
      <c r="W1214" s="566"/>
      <c r="X1214" s="586" t="str">
        <f t="shared" si="324"/>
        <v/>
      </c>
      <c r="Y1214" s="586" t="str">
        <f t="shared" si="318"/>
        <v/>
      </c>
      <c r="Z1214" s="586" t="str">
        <f t="shared" si="316"/>
        <v/>
      </c>
    </row>
    <row r="1215" spans="1:26" ht="23.25" hidden="1" thickBot="1" x14ac:dyDescent="0.25">
      <c r="A1215" s="567">
        <v>91861</v>
      </c>
      <c r="B1215" s="644">
        <v>91861</v>
      </c>
      <c r="C1215" s="645" t="s">
        <v>670</v>
      </c>
      <c r="D1215" s="422" t="s">
        <v>1066</v>
      </c>
      <c r="E1215" s="423"/>
      <c r="F1215" s="424"/>
      <c r="G1215" s="425"/>
      <c r="H1215" s="651"/>
      <c r="I1215" s="420">
        <v>12.88</v>
      </c>
      <c r="J1215" s="420">
        <f t="shared" si="315"/>
        <v>12.88</v>
      </c>
      <c r="K1215" s="421">
        <f t="shared" si="314"/>
        <v>15.3</v>
      </c>
      <c r="L1215" s="647" t="s">
        <v>79</v>
      </c>
      <c r="M1215" s="576"/>
      <c r="N1215" s="576">
        <f t="shared" si="317"/>
        <v>0</v>
      </c>
      <c r="O1215" s="577">
        <f t="shared" si="322"/>
        <v>0</v>
      </c>
      <c r="P1215" s="578">
        <f t="shared" si="323"/>
        <v>0</v>
      </c>
      <c r="Q1215" s="765"/>
      <c r="R1215" s="576">
        <f t="shared" si="319"/>
        <v>0</v>
      </c>
      <c r="S1215" s="576">
        <f t="shared" si="319"/>
        <v>0</v>
      </c>
      <c r="T1215" s="577">
        <f t="shared" si="320"/>
        <v>0</v>
      </c>
      <c r="U1215" s="578">
        <f t="shared" si="321"/>
        <v>0</v>
      </c>
      <c r="V1215" s="579"/>
      <c r="W1215" s="566"/>
      <c r="X1215" s="586" t="str">
        <f t="shared" si="324"/>
        <v/>
      </c>
      <c r="Y1215" s="586" t="str">
        <f t="shared" si="318"/>
        <v/>
      </c>
      <c r="Z1215" s="586" t="str">
        <f t="shared" si="316"/>
        <v/>
      </c>
    </row>
    <row r="1216" spans="1:26" ht="12" hidden="1" thickBot="1" x14ac:dyDescent="0.25">
      <c r="A1216" s="567">
        <v>97667</v>
      </c>
      <c r="B1216" s="644">
        <v>97667</v>
      </c>
      <c r="C1216" s="645" t="s">
        <v>670</v>
      </c>
      <c r="D1216" s="422" t="s">
        <v>1067</v>
      </c>
      <c r="E1216" s="423"/>
      <c r="F1216" s="424"/>
      <c r="G1216" s="425"/>
      <c r="H1216" s="651"/>
      <c r="I1216" s="420">
        <v>8.01</v>
      </c>
      <c r="J1216" s="420">
        <f t="shared" si="315"/>
        <v>8.01</v>
      </c>
      <c r="K1216" s="421">
        <f t="shared" si="314"/>
        <v>9.52</v>
      </c>
      <c r="L1216" s="647" t="s">
        <v>79</v>
      </c>
      <c r="M1216" s="576"/>
      <c r="N1216" s="576">
        <f t="shared" si="317"/>
        <v>0</v>
      </c>
      <c r="O1216" s="577">
        <f t="shared" si="322"/>
        <v>0</v>
      </c>
      <c r="P1216" s="578">
        <f t="shared" si="323"/>
        <v>0</v>
      </c>
      <c r="Q1216" s="765"/>
      <c r="R1216" s="576">
        <f t="shared" si="319"/>
        <v>0</v>
      </c>
      <c r="S1216" s="576">
        <f t="shared" si="319"/>
        <v>0</v>
      </c>
      <c r="T1216" s="577">
        <f t="shared" si="320"/>
        <v>0</v>
      </c>
      <c r="U1216" s="578">
        <f t="shared" si="321"/>
        <v>0</v>
      </c>
      <c r="V1216" s="579"/>
      <c r="W1216" s="566"/>
      <c r="X1216" s="586" t="str">
        <f t="shared" si="324"/>
        <v/>
      </c>
      <c r="Y1216" s="586" t="str">
        <f t="shared" si="318"/>
        <v/>
      </c>
      <c r="Z1216" s="586" t="str">
        <f t="shared" si="316"/>
        <v/>
      </c>
    </row>
    <row r="1217" spans="1:26" ht="12" hidden="1" thickBot="1" x14ac:dyDescent="0.25">
      <c r="A1217" s="567">
        <v>97668</v>
      </c>
      <c r="B1217" s="644">
        <v>97668</v>
      </c>
      <c r="C1217" s="645" t="s">
        <v>670</v>
      </c>
      <c r="D1217" s="422" t="s">
        <v>1068</v>
      </c>
      <c r="E1217" s="423"/>
      <c r="F1217" s="424"/>
      <c r="G1217" s="425"/>
      <c r="H1217" s="651"/>
      <c r="I1217" s="420">
        <v>11.42</v>
      </c>
      <c r="J1217" s="420">
        <f t="shared" si="315"/>
        <v>11.42</v>
      </c>
      <c r="K1217" s="421">
        <f t="shared" si="314"/>
        <v>13.57</v>
      </c>
      <c r="L1217" s="647" t="s">
        <v>79</v>
      </c>
      <c r="M1217" s="576"/>
      <c r="N1217" s="576">
        <f t="shared" si="317"/>
        <v>0</v>
      </c>
      <c r="O1217" s="577">
        <f t="shared" si="322"/>
        <v>0</v>
      </c>
      <c r="P1217" s="578">
        <f t="shared" si="323"/>
        <v>0</v>
      </c>
      <c r="Q1217" s="765"/>
      <c r="R1217" s="576">
        <f t="shared" si="319"/>
        <v>0</v>
      </c>
      <c r="S1217" s="576">
        <f t="shared" si="319"/>
        <v>0</v>
      </c>
      <c r="T1217" s="577">
        <f t="shared" si="320"/>
        <v>0</v>
      </c>
      <c r="U1217" s="578">
        <f t="shared" si="321"/>
        <v>0</v>
      </c>
      <c r="V1217" s="579"/>
      <c r="W1217" s="566"/>
      <c r="X1217" s="586" t="str">
        <f t="shared" si="324"/>
        <v/>
      </c>
      <c r="Y1217" s="586" t="str">
        <f t="shared" si="318"/>
        <v/>
      </c>
      <c r="Z1217" s="586" t="str">
        <f t="shared" si="316"/>
        <v/>
      </c>
    </row>
    <row r="1218" spans="1:26" ht="12" hidden="1" thickBot="1" x14ac:dyDescent="0.25">
      <c r="A1218" s="567">
        <v>97669</v>
      </c>
      <c r="B1218" s="644">
        <v>97669</v>
      </c>
      <c r="C1218" s="645" t="s">
        <v>670</v>
      </c>
      <c r="D1218" s="422" t="s">
        <v>1069</v>
      </c>
      <c r="E1218" s="423"/>
      <c r="F1218" s="424"/>
      <c r="G1218" s="425"/>
      <c r="H1218" s="651"/>
      <c r="I1218" s="420">
        <v>16.96</v>
      </c>
      <c r="J1218" s="420">
        <f t="shared" si="315"/>
        <v>16.96</v>
      </c>
      <c r="K1218" s="421">
        <f t="shared" si="314"/>
        <v>20.149999999999999</v>
      </c>
      <c r="L1218" s="647" t="s">
        <v>79</v>
      </c>
      <c r="M1218" s="576"/>
      <c r="N1218" s="576">
        <f t="shared" si="317"/>
        <v>0</v>
      </c>
      <c r="O1218" s="577">
        <f t="shared" si="322"/>
        <v>0</v>
      </c>
      <c r="P1218" s="578">
        <f t="shared" si="323"/>
        <v>0</v>
      </c>
      <c r="Q1218" s="765"/>
      <c r="R1218" s="576">
        <f t="shared" si="319"/>
        <v>0</v>
      </c>
      <c r="S1218" s="576">
        <f t="shared" si="319"/>
        <v>0</v>
      </c>
      <c r="T1218" s="577">
        <f t="shared" si="320"/>
        <v>0</v>
      </c>
      <c r="U1218" s="578">
        <f t="shared" si="321"/>
        <v>0</v>
      </c>
      <c r="V1218" s="579"/>
      <c r="W1218" s="566"/>
      <c r="X1218" s="586" t="str">
        <f t="shared" si="324"/>
        <v/>
      </c>
      <c r="Y1218" s="586" t="str">
        <f t="shared" si="318"/>
        <v/>
      </c>
      <c r="Z1218" s="586" t="str">
        <f t="shared" si="316"/>
        <v/>
      </c>
    </row>
    <row r="1219" spans="1:26" ht="12" hidden="1" thickBot="1" x14ac:dyDescent="0.25">
      <c r="A1219" s="567">
        <v>97670</v>
      </c>
      <c r="B1219" s="644">
        <v>97670</v>
      </c>
      <c r="C1219" s="645" t="s">
        <v>670</v>
      </c>
      <c r="D1219" s="422" t="s">
        <v>1070</v>
      </c>
      <c r="E1219" s="423"/>
      <c r="F1219" s="424"/>
      <c r="G1219" s="425"/>
      <c r="H1219" s="651"/>
      <c r="I1219" s="420">
        <v>21.64</v>
      </c>
      <c r="J1219" s="420">
        <f t="shared" si="315"/>
        <v>21.64</v>
      </c>
      <c r="K1219" s="421">
        <f t="shared" si="314"/>
        <v>25.71</v>
      </c>
      <c r="L1219" s="647" t="s">
        <v>79</v>
      </c>
      <c r="M1219" s="576"/>
      <c r="N1219" s="576">
        <f t="shared" si="317"/>
        <v>0</v>
      </c>
      <c r="O1219" s="577">
        <f t="shared" si="322"/>
        <v>0</v>
      </c>
      <c r="P1219" s="578">
        <f t="shared" si="323"/>
        <v>0</v>
      </c>
      <c r="Q1219" s="765"/>
      <c r="R1219" s="576">
        <f t="shared" si="319"/>
        <v>0</v>
      </c>
      <c r="S1219" s="576">
        <f t="shared" si="319"/>
        <v>0</v>
      </c>
      <c r="T1219" s="577">
        <f t="shared" si="320"/>
        <v>0</v>
      </c>
      <c r="U1219" s="578">
        <f t="shared" si="321"/>
        <v>0</v>
      </c>
      <c r="V1219" s="579"/>
      <c r="W1219" s="566"/>
      <c r="X1219" s="586" t="str">
        <f t="shared" si="324"/>
        <v/>
      </c>
      <c r="Y1219" s="586" t="str">
        <f t="shared" si="318"/>
        <v/>
      </c>
      <c r="Z1219" s="586" t="str">
        <f t="shared" si="316"/>
        <v/>
      </c>
    </row>
    <row r="1220" spans="1:26" ht="23.25" hidden="1" thickBot="1" x14ac:dyDescent="0.25">
      <c r="A1220" s="567">
        <v>91924</v>
      </c>
      <c r="B1220" s="644">
        <v>91924</v>
      </c>
      <c r="C1220" s="645" t="s">
        <v>670</v>
      </c>
      <c r="D1220" s="422" t="s">
        <v>1071</v>
      </c>
      <c r="E1220" s="423"/>
      <c r="F1220" s="424"/>
      <c r="G1220" s="425"/>
      <c r="H1220" s="651"/>
      <c r="I1220" s="420">
        <v>2.91</v>
      </c>
      <c r="J1220" s="420">
        <f t="shared" si="315"/>
        <v>2.91</v>
      </c>
      <c r="K1220" s="421">
        <f t="shared" si="314"/>
        <v>3.46</v>
      </c>
      <c r="L1220" s="647" t="s">
        <v>79</v>
      </c>
      <c r="M1220" s="576"/>
      <c r="N1220" s="576">
        <f t="shared" si="317"/>
        <v>0</v>
      </c>
      <c r="O1220" s="577">
        <f t="shared" si="322"/>
        <v>0</v>
      </c>
      <c r="P1220" s="578">
        <f t="shared" si="323"/>
        <v>0</v>
      </c>
      <c r="Q1220" s="765"/>
      <c r="R1220" s="576">
        <f t="shared" si="319"/>
        <v>0</v>
      </c>
      <c r="S1220" s="576">
        <f t="shared" si="319"/>
        <v>0</v>
      </c>
      <c r="T1220" s="577">
        <f t="shared" si="320"/>
        <v>0</v>
      </c>
      <c r="U1220" s="578">
        <f t="shared" si="321"/>
        <v>0</v>
      </c>
      <c r="V1220" s="579"/>
      <c r="W1220" s="566"/>
      <c r="X1220" s="586" t="str">
        <f t="shared" si="324"/>
        <v/>
      </c>
      <c r="Y1220" s="586" t="str">
        <f t="shared" si="318"/>
        <v/>
      </c>
      <c r="Z1220" s="586" t="str">
        <f t="shared" si="316"/>
        <v/>
      </c>
    </row>
    <row r="1221" spans="1:26" ht="23.25" hidden="1" thickBot="1" x14ac:dyDescent="0.25">
      <c r="A1221" s="567">
        <v>91926</v>
      </c>
      <c r="B1221" s="644">
        <v>91926</v>
      </c>
      <c r="C1221" s="645" t="s">
        <v>670</v>
      </c>
      <c r="D1221" s="422" t="s">
        <v>1072</v>
      </c>
      <c r="E1221" s="423"/>
      <c r="F1221" s="424"/>
      <c r="G1221" s="425"/>
      <c r="H1221" s="651"/>
      <c r="I1221" s="420">
        <v>4.2</v>
      </c>
      <c r="J1221" s="420">
        <f t="shared" si="315"/>
        <v>4.2</v>
      </c>
      <c r="K1221" s="421">
        <f t="shared" si="314"/>
        <v>4.99</v>
      </c>
      <c r="L1221" s="647" t="s">
        <v>79</v>
      </c>
      <c r="M1221" s="576"/>
      <c r="N1221" s="576">
        <f t="shared" si="317"/>
        <v>0</v>
      </c>
      <c r="O1221" s="577">
        <f t="shared" si="322"/>
        <v>0</v>
      </c>
      <c r="P1221" s="578">
        <f t="shared" si="323"/>
        <v>0</v>
      </c>
      <c r="Q1221" s="765"/>
      <c r="R1221" s="576">
        <f t="shared" si="319"/>
        <v>0</v>
      </c>
      <c r="S1221" s="576">
        <f t="shared" si="319"/>
        <v>0</v>
      </c>
      <c r="T1221" s="577">
        <f t="shared" si="320"/>
        <v>0</v>
      </c>
      <c r="U1221" s="578">
        <f t="shared" si="321"/>
        <v>0</v>
      </c>
      <c r="V1221" s="579"/>
      <c r="W1221" s="566"/>
      <c r="X1221" s="586" t="str">
        <f t="shared" si="324"/>
        <v/>
      </c>
      <c r="Y1221" s="586" t="str">
        <f t="shared" si="318"/>
        <v/>
      </c>
      <c r="Z1221" s="586" t="str">
        <f t="shared" si="316"/>
        <v/>
      </c>
    </row>
    <row r="1222" spans="1:26" ht="23.25" hidden="1" thickBot="1" x14ac:dyDescent="0.25">
      <c r="A1222" s="567">
        <v>91928</v>
      </c>
      <c r="B1222" s="644">
        <v>91928</v>
      </c>
      <c r="C1222" s="645" t="s">
        <v>670</v>
      </c>
      <c r="D1222" s="422" t="s">
        <v>1073</v>
      </c>
      <c r="E1222" s="423"/>
      <c r="F1222" s="424"/>
      <c r="G1222" s="425"/>
      <c r="H1222" s="651"/>
      <c r="I1222" s="420">
        <v>6.76</v>
      </c>
      <c r="J1222" s="420">
        <f t="shared" si="315"/>
        <v>6.76</v>
      </c>
      <c r="K1222" s="421">
        <f t="shared" si="314"/>
        <v>8.0299999999999994</v>
      </c>
      <c r="L1222" s="647" t="s">
        <v>79</v>
      </c>
      <c r="M1222" s="576"/>
      <c r="N1222" s="576">
        <f t="shared" si="317"/>
        <v>0</v>
      </c>
      <c r="O1222" s="577">
        <f t="shared" si="322"/>
        <v>0</v>
      </c>
      <c r="P1222" s="578">
        <f t="shared" si="323"/>
        <v>0</v>
      </c>
      <c r="Q1222" s="765"/>
      <c r="R1222" s="576">
        <f t="shared" si="319"/>
        <v>0</v>
      </c>
      <c r="S1222" s="576">
        <f t="shared" si="319"/>
        <v>0</v>
      </c>
      <c r="T1222" s="577">
        <f t="shared" si="320"/>
        <v>0</v>
      </c>
      <c r="U1222" s="578">
        <f t="shared" si="321"/>
        <v>0</v>
      </c>
      <c r="V1222" s="579"/>
      <c r="W1222" s="566"/>
      <c r="X1222" s="586" t="str">
        <f t="shared" si="324"/>
        <v/>
      </c>
      <c r="Y1222" s="586" t="str">
        <f t="shared" si="318"/>
        <v/>
      </c>
      <c r="Z1222" s="586" t="str">
        <f t="shared" si="316"/>
        <v/>
      </c>
    </row>
    <row r="1223" spans="1:26" ht="23.25" hidden="1" thickBot="1" x14ac:dyDescent="0.25">
      <c r="A1223" s="567">
        <v>91930</v>
      </c>
      <c r="B1223" s="644">
        <v>91930</v>
      </c>
      <c r="C1223" s="645" t="s">
        <v>670</v>
      </c>
      <c r="D1223" s="422" t="s">
        <v>1074</v>
      </c>
      <c r="E1223" s="423"/>
      <c r="F1223" s="424"/>
      <c r="G1223" s="425"/>
      <c r="H1223" s="651"/>
      <c r="I1223" s="420">
        <v>9.24</v>
      </c>
      <c r="J1223" s="420">
        <f t="shared" si="315"/>
        <v>9.24</v>
      </c>
      <c r="K1223" s="421">
        <f t="shared" si="314"/>
        <v>10.98</v>
      </c>
      <c r="L1223" s="647" t="s">
        <v>79</v>
      </c>
      <c r="M1223" s="576"/>
      <c r="N1223" s="576">
        <f t="shared" si="317"/>
        <v>0</v>
      </c>
      <c r="O1223" s="577">
        <f t="shared" si="322"/>
        <v>0</v>
      </c>
      <c r="P1223" s="578">
        <f t="shared" si="323"/>
        <v>0</v>
      </c>
      <c r="Q1223" s="765"/>
      <c r="R1223" s="576">
        <f t="shared" si="319"/>
        <v>0</v>
      </c>
      <c r="S1223" s="576">
        <f t="shared" si="319"/>
        <v>0</v>
      </c>
      <c r="T1223" s="577">
        <f t="shared" si="320"/>
        <v>0</v>
      </c>
      <c r="U1223" s="578">
        <f t="shared" si="321"/>
        <v>0</v>
      </c>
      <c r="V1223" s="579"/>
      <c r="W1223" s="566"/>
      <c r="X1223" s="586" t="str">
        <f t="shared" si="324"/>
        <v/>
      </c>
      <c r="Y1223" s="586" t="str">
        <f t="shared" si="318"/>
        <v/>
      </c>
      <c r="Z1223" s="586" t="str">
        <f t="shared" si="316"/>
        <v/>
      </c>
    </row>
    <row r="1224" spans="1:26" ht="23.25" hidden="1" thickBot="1" x14ac:dyDescent="0.25">
      <c r="A1224" s="567">
        <v>91932</v>
      </c>
      <c r="B1224" s="644">
        <v>91932</v>
      </c>
      <c r="C1224" s="645" t="s">
        <v>670</v>
      </c>
      <c r="D1224" s="422" t="s">
        <v>1075</v>
      </c>
      <c r="E1224" s="423"/>
      <c r="F1224" s="424"/>
      <c r="G1224" s="425"/>
      <c r="H1224" s="651"/>
      <c r="I1224" s="420">
        <v>15.13</v>
      </c>
      <c r="J1224" s="420">
        <f t="shared" si="315"/>
        <v>15.13</v>
      </c>
      <c r="K1224" s="421">
        <f t="shared" si="314"/>
        <v>17.98</v>
      </c>
      <c r="L1224" s="647" t="s">
        <v>79</v>
      </c>
      <c r="M1224" s="576"/>
      <c r="N1224" s="576">
        <f t="shared" si="317"/>
        <v>0</v>
      </c>
      <c r="O1224" s="577">
        <f t="shared" si="322"/>
        <v>0</v>
      </c>
      <c r="P1224" s="578">
        <f t="shared" si="323"/>
        <v>0</v>
      </c>
      <c r="Q1224" s="765"/>
      <c r="R1224" s="576">
        <f t="shared" si="319"/>
        <v>0</v>
      </c>
      <c r="S1224" s="576">
        <f t="shared" si="319"/>
        <v>0</v>
      </c>
      <c r="T1224" s="577">
        <f t="shared" si="320"/>
        <v>0</v>
      </c>
      <c r="U1224" s="578">
        <f t="shared" si="321"/>
        <v>0</v>
      </c>
      <c r="V1224" s="579"/>
      <c r="W1224" s="566"/>
      <c r="X1224" s="586" t="str">
        <f t="shared" si="324"/>
        <v/>
      </c>
      <c r="Y1224" s="586" t="str">
        <f t="shared" si="318"/>
        <v/>
      </c>
      <c r="Z1224" s="586" t="str">
        <f t="shared" si="316"/>
        <v/>
      </c>
    </row>
    <row r="1225" spans="1:26" ht="23.25" hidden="1" thickBot="1" x14ac:dyDescent="0.25">
      <c r="A1225" s="567">
        <v>91934</v>
      </c>
      <c r="B1225" s="644">
        <v>91934</v>
      </c>
      <c r="C1225" s="645" t="s">
        <v>670</v>
      </c>
      <c r="D1225" s="422" t="s">
        <v>1076</v>
      </c>
      <c r="E1225" s="423"/>
      <c r="F1225" s="424"/>
      <c r="G1225" s="425"/>
      <c r="H1225" s="651"/>
      <c r="I1225" s="420">
        <v>23.1</v>
      </c>
      <c r="J1225" s="420">
        <f t="shared" si="315"/>
        <v>23.1</v>
      </c>
      <c r="K1225" s="421">
        <f t="shared" ref="K1225:K1288" si="325">IF(ISBLANK(I1225),0,ROUND(J1225*(1+$F$10)*(1+$F$11*E1225),2))</f>
        <v>27.45</v>
      </c>
      <c r="L1225" s="647" t="s">
        <v>79</v>
      </c>
      <c r="M1225" s="576"/>
      <c r="N1225" s="576">
        <f t="shared" si="317"/>
        <v>0</v>
      </c>
      <c r="O1225" s="577">
        <f t="shared" si="322"/>
        <v>0</v>
      </c>
      <c r="P1225" s="578">
        <f t="shared" si="323"/>
        <v>0</v>
      </c>
      <c r="Q1225" s="765"/>
      <c r="R1225" s="576">
        <f t="shared" si="319"/>
        <v>0</v>
      </c>
      <c r="S1225" s="576">
        <f t="shared" si="319"/>
        <v>0</v>
      </c>
      <c r="T1225" s="577">
        <f t="shared" si="320"/>
        <v>0</v>
      </c>
      <c r="U1225" s="578">
        <f t="shared" si="321"/>
        <v>0</v>
      </c>
      <c r="V1225" s="579"/>
      <c r="W1225" s="566"/>
      <c r="X1225" s="586" t="str">
        <f t="shared" si="324"/>
        <v/>
      </c>
      <c r="Y1225" s="586" t="str">
        <f t="shared" si="318"/>
        <v/>
      </c>
      <c r="Z1225" s="586" t="str">
        <f t="shared" si="316"/>
        <v/>
      </c>
    </row>
    <row r="1226" spans="1:26" ht="23.25" hidden="1" thickBot="1" x14ac:dyDescent="0.25">
      <c r="A1226" s="567">
        <v>92979</v>
      </c>
      <c r="B1226" s="644">
        <v>92979</v>
      </c>
      <c r="C1226" s="645" t="s">
        <v>670</v>
      </c>
      <c r="D1226" s="422" t="s">
        <v>1077</v>
      </c>
      <c r="E1226" s="423"/>
      <c r="F1226" s="424"/>
      <c r="G1226" s="425"/>
      <c r="H1226" s="651"/>
      <c r="I1226" s="420">
        <v>10.07</v>
      </c>
      <c r="J1226" s="420">
        <f t="shared" si="315"/>
        <v>10.07</v>
      </c>
      <c r="K1226" s="421">
        <f t="shared" si="325"/>
        <v>11.96</v>
      </c>
      <c r="L1226" s="647" t="s">
        <v>79</v>
      </c>
      <c r="M1226" s="576"/>
      <c r="N1226" s="576">
        <f t="shared" si="317"/>
        <v>0</v>
      </c>
      <c r="O1226" s="577">
        <f t="shared" si="322"/>
        <v>0</v>
      </c>
      <c r="P1226" s="578">
        <f t="shared" si="323"/>
        <v>0</v>
      </c>
      <c r="Q1226" s="765"/>
      <c r="R1226" s="576">
        <f t="shared" si="319"/>
        <v>0</v>
      </c>
      <c r="S1226" s="576">
        <f t="shared" si="319"/>
        <v>0</v>
      </c>
      <c r="T1226" s="577">
        <f t="shared" si="320"/>
        <v>0</v>
      </c>
      <c r="U1226" s="578">
        <f t="shared" si="321"/>
        <v>0</v>
      </c>
      <c r="V1226" s="579"/>
      <c r="W1226" s="566"/>
      <c r="X1226" s="586" t="str">
        <f t="shared" si="324"/>
        <v/>
      </c>
      <c r="Y1226" s="586" t="str">
        <f t="shared" si="318"/>
        <v/>
      </c>
      <c r="Z1226" s="586" t="str">
        <f t="shared" si="316"/>
        <v/>
      </c>
    </row>
    <row r="1227" spans="1:26" ht="23.25" hidden="1" thickBot="1" x14ac:dyDescent="0.25">
      <c r="A1227" s="567">
        <v>92981</v>
      </c>
      <c r="B1227" s="644">
        <v>92981</v>
      </c>
      <c r="C1227" s="645" t="s">
        <v>670</v>
      </c>
      <c r="D1227" s="422" t="s">
        <v>1078</v>
      </c>
      <c r="E1227" s="423"/>
      <c r="F1227" s="424"/>
      <c r="G1227" s="425"/>
      <c r="H1227" s="651"/>
      <c r="I1227" s="420">
        <v>15.44</v>
      </c>
      <c r="J1227" s="420">
        <f t="shared" si="315"/>
        <v>15.44</v>
      </c>
      <c r="K1227" s="421">
        <f t="shared" si="325"/>
        <v>18.34</v>
      </c>
      <c r="L1227" s="647" t="s">
        <v>79</v>
      </c>
      <c r="M1227" s="576"/>
      <c r="N1227" s="576">
        <f t="shared" si="317"/>
        <v>0</v>
      </c>
      <c r="O1227" s="577">
        <f t="shared" si="322"/>
        <v>0</v>
      </c>
      <c r="P1227" s="578">
        <f t="shared" si="323"/>
        <v>0</v>
      </c>
      <c r="Q1227" s="765"/>
      <c r="R1227" s="576">
        <f t="shared" si="319"/>
        <v>0</v>
      </c>
      <c r="S1227" s="576">
        <f t="shared" si="319"/>
        <v>0</v>
      </c>
      <c r="T1227" s="577">
        <f t="shared" si="320"/>
        <v>0</v>
      </c>
      <c r="U1227" s="578">
        <f t="shared" si="321"/>
        <v>0</v>
      </c>
      <c r="V1227" s="579"/>
      <c r="W1227" s="566"/>
      <c r="X1227" s="586" t="str">
        <f t="shared" si="324"/>
        <v/>
      </c>
      <c r="Y1227" s="586" t="str">
        <f t="shared" si="318"/>
        <v/>
      </c>
      <c r="Z1227" s="586" t="str">
        <f t="shared" si="316"/>
        <v/>
      </c>
    </row>
    <row r="1228" spans="1:26" ht="23.25" hidden="1" thickBot="1" x14ac:dyDescent="0.25">
      <c r="A1228" s="567">
        <v>91925</v>
      </c>
      <c r="B1228" s="644">
        <v>91925</v>
      </c>
      <c r="C1228" s="645" t="s">
        <v>670</v>
      </c>
      <c r="D1228" s="422" t="s">
        <v>1079</v>
      </c>
      <c r="E1228" s="423"/>
      <c r="F1228" s="424"/>
      <c r="G1228" s="425"/>
      <c r="H1228" s="651"/>
      <c r="I1228" s="420">
        <v>4.07</v>
      </c>
      <c r="J1228" s="420">
        <f t="shared" si="315"/>
        <v>4.07</v>
      </c>
      <c r="K1228" s="421">
        <f t="shared" si="325"/>
        <v>4.84</v>
      </c>
      <c r="L1228" s="647" t="s">
        <v>79</v>
      </c>
      <c r="M1228" s="576"/>
      <c r="N1228" s="576">
        <f t="shared" si="317"/>
        <v>0</v>
      </c>
      <c r="O1228" s="577">
        <f t="shared" si="322"/>
        <v>0</v>
      </c>
      <c r="P1228" s="578">
        <f t="shared" si="323"/>
        <v>0</v>
      </c>
      <c r="Q1228" s="765"/>
      <c r="R1228" s="576">
        <f t="shared" si="319"/>
        <v>0</v>
      </c>
      <c r="S1228" s="576">
        <f t="shared" si="319"/>
        <v>0</v>
      </c>
      <c r="T1228" s="577">
        <f t="shared" si="320"/>
        <v>0</v>
      </c>
      <c r="U1228" s="578">
        <f t="shared" si="321"/>
        <v>0</v>
      </c>
      <c r="V1228" s="579"/>
      <c r="W1228" s="566"/>
      <c r="X1228" s="586" t="str">
        <f t="shared" si="324"/>
        <v/>
      </c>
      <c r="Y1228" s="586" t="str">
        <f t="shared" si="318"/>
        <v/>
      </c>
      <c r="Z1228" s="586" t="str">
        <f t="shared" si="316"/>
        <v/>
      </c>
    </row>
    <row r="1229" spans="1:26" ht="23.25" hidden="1" thickBot="1" x14ac:dyDescent="0.25">
      <c r="A1229" s="567">
        <v>91927</v>
      </c>
      <c r="B1229" s="644">
        <v>91927</v>
      </c>
      <c r="C1229" s="645" t="s">
        <v>670</v>
      </c>
      <c r="D1229" s="422" t="s">
        <v>1080</v>
      </c>
      <c r="E1229" s="423"/>
      <c r="F1229" s="424"/>
      <c r="G1229" s="425"/>
      <c r="H1229" s="651"/>
      <c r="I1229" s="420">
        <v>5.46</v>
      </c>
      <c r="J1229" s="420">
        <f t="shared" si="315"/>
        <v>5.46</v>
      </c>
      <c r="K1229" s="421">
        <f t="shared" si="325"/>
        <v>6.49</v>
      </c>
      <c r="L1229" s="647" t="s">
        <v>79</v>
      </c>
      <c r="M1229" s="576"/>
      <c r="N1229" s="576">
        <f t="shared" si="317"/>
        <v>0</v>
      </c>
      <c r="O1229" s="577">
        <f t="shared" si="322"/>
        <v>0</v>
      </c>
      <c r="P1229" s="578">
        <f t="shared" si="323"/>
        <v>0</v>
      </c>
      <c r="Q1229" s="765"/>
      <c r="R1229" s="576">
        <f t="shared" si="319"/>
        <v>0</v>
      </c>
      <c r="S1229" s="576">
        <f t="shared" si="319"/>
        <v>0</v>
      </c>
      <c r="T1229" s="577">
        <f t="shared" si="320"/>
        <v>0</v>
      </c>
      <c r="U1229" s="578">
        <f t="shared" si="321"/>
        <v>0</v>
      </c>
      <c r="V1229" s="579"/>
      <c r="W1229" s="566"/>
      <c r="X1229" s="586" t="str">
        <f t="shared" si="324"/>
        <v/>
      </c>
      <c r="Y1229" s="586" t="str">
        <f t="shared" si="318"/>
        <v/>
      </c>
      <c r="Z1229" s="586" t="str">
        <f t="shared" si="316"/>
        <v/>
      </c>
    </row>
    <row r="1230" spans="1:26" ht="23.25" hidden="1" thickBot="1" x14ac:dyDescent="0.25">
      <c r="A1230" s="567">
        <v>91929</v>
      </c>
      <c r="B1230" s="644">
        <v>91929</v>
      </c>
      <c r="C1230" s="645" t="s">
        <v>670</v>
      </c>
      <c r="D1230" s="422" t="s">
        <v>1081</v>
      </c>
      <c r="E1230" s="423"/>
      <c r="F1230" s="424"/>
      <c r="G1230" s="425"/>
      <c r="H1230" s="651"/>
      <c r="I1230" s="420">
        <v>7.64</v>
      </c>
      <c r="J1230" s="420">
        <f t="shared" si="315"/>
        <v>7.64</v>
      </c>
      <c r="K1230" s="421">
        <f t="shared" si="325"/>
        <v>9.08</v>
      </c>
      <c r="L1230" s="647" t="s">
        <v>79</v>
      </c>
      <c r="M1230" s="576"/>
      <c r="N1230" s="576">
        <f t="shared" si="317"/>
        <v>0</v>
      </c>
      <c r="O1230" s="577">
        <f t="shared" si="322"/>
        <v>0</v>
      </c>
      <c r="P1230" s="578">
        <f t="shared" si="323"/>
        <v>0</v>
      </c>
      <c r="Q1230" s="765"/>
      <c r="R1230" s="576">
        <f t="shared" si="319"/>
        <v>0</v>
      </c>
      <c r="S1230" s="576">
        <f t="shared" si="319"/>
        <v>0</v>
      </c>
      <c r="T1230" s="577">
        <f t="shared" si="320"/>
        <v>0</v>
      </c>
      <c r="U1230" s="578">
        <f t="shared" si="321"/>
        <v>0</v>
      </c>
      <c r="V1230" s="579"/>
      <c r="W1230" s="566"/>
      <c r="X1230" s="586" t="str">
        <f t="shared" si="324"/>
        <v/>
      </c>
      <c r="Y1230" s="586" t="str">
        <f t="shared" si="318"/>
        <v/>
      </c>
      <c r="Z1230" s="586" t="str">
        <f t="shared" si="316"/>
        <v/>
      </c>
    </row>
    <row r="1231" spans="1:26" ht="23.25" hidden="1" thickBot="1" x14ac:dyDescent="0.25">
      <c r="A1231" s="567">
        <v>91931</v>
      </c>
      <c r="B1231" s="644">
        <v>91931</v>
      </c>
      <c r="C1231" s="645" t="s">
        <v>670</v>
      </c>
      <c r="D1231" s="422" t="s">
        <v>1082</v>
      </c>
      <c r="E1231" s="423"/>
      <c r="F1231" s="424"/>
      <c r="G1231" s="425"/>
      <c r="H1231" s="651"/>
      <c r="I1231" s="420">
        <v>10.3</v>
      </c>
      <c r="J1231" s="420">
        <f t="shared" si="315"/>
        <v>10.3</v>
      </c>
      <c r="K1231" s="421">
        <f t="shared" si="325"/>
        <v>12.24</v>
      </c>
      <c r="L1231" s="647" t="s">
        <v>79</v>
      </c>
      <c r="M1231" s="576"/>
      <c r="N1231" s="576">
        <f t="shared" si="317"/>
        <v>0</v>
      </c>
      <c r="O1231" s="577">
        <f t="shared" si="322"/>
        <v>0</v>
      </c>
      <c r="P1231" s="578">
        <f t="shared" si="323"/>
        <v>0</v>
      </c>
      <c r="Q1231" s="765"/>
      <c r="R1231" s="576">
        <f t="shared" si="319"/>
        <v>0</v>
      </c>
      <c r="S1231" s="576">
        <f t="shared" si="319"/>
        <v>0</v>
      </c>
      <c r="T1231" s="577">
        <f t="shared" si="320"/>
        <v>0</v>
      </c>
      <c r="U1231" s="578">
        <f t="shared" si="321"/>
        <v>0</v>
      </c>
      <c r="V1231" s="579"/>
      <c r="W1231" s="566"/>
      <c r="X1231" s="586" t="str">
        <f t="shared" si="324"/>
        <v/>
      </c>
      <c r="Y1231" s="586" t="str">
        <f t="shared" si="318"/>
        <v/>
      </c>
      <c r="Z1231" s="586" t="str">
        <f t="shared" si="316"/>
        <v/>
      </c>
    </row>
    <row r="1232" spans="1:26" ht="23.25" hidden="1" thickBot="1" x14ac:dyDescent="0.25">
      <c r="A1232" s="567">
        <v>91933</v>
      </c>
      <c r="B1232" s="644">
        <v>91933</v>
      </c>
      <c r="C1232" s="645" t="s">
        <v>670</v>
      </c>
      <c r="D1232" s="422" t="s">
        <v>1083</v>
      </c>
      <c r="E1232" s="423"/>
      <c r="F1232" s="424"/>
      <c r="G1232" s="425"/>
      <c r="H1232" s="651"/>
      <c r="I1232" s="420">
        <v>16.13</v>
      </c>
      <c r="J1232" s="420">
        <f t="shared" si="315"/>
        <v>16.13</v>
      </c>
      <c r="K1232" s="421">
        <f t="shared" si="325"/>
        <v>19.16</v>
      </c>
      <c r="L1232" s="647" t="s">
        <v>79</v>
      </c>
      <c r="M1232" s="576"/>
      <c r="N1232" s="576">
        <f t="shared" si="317"/>
        <v>0</v>
      </c>
      <c r="O1232" s="577">
        <f t="shared" si="322"/>
        <v>0</v>
      </c>
      <c r="P1232" s="578">
        <f t="shared" si="323"/>
        <v>0</v>
      </c>
      <c r="Q1232" s="765"/>
      <c r="R1232" s="576">
        <f t="shared" si="319"/>
        <v>0</v>
      </c>
      <c r="S1232" s="576">
        <f t="shared" si="319"/>
        <v>0</v>
      </c>
      <c r="T1232" s="577">
        <f t="shared" si="320"/>
        <v>0</v>
      </c>
      <c r="U1232" s="578">
        <f t="shared" si="321"/>
        <v>0</v>
      </c>
      <c r="V1232" s="579"/>
      <c r="W1232" s="566"/>
      <c r="X1232" s="586" t="str">
        <f t="shared" si="324"/>
        <v/>
      </c>
      <c r="Y1232" s="586" t="str">
        <f t="shared" si="318"/>
        <v/>
      </c>
      <c r="Z1232" s="586" t="str">
        <f t="shared" si="316"/>
        <v/>
      </c>
    </row>
    <row r="1233" spans="1:26" ht="23.25" hidden="1" thickBot="1" x14ac:dyDescent="0.25">
      <c r="A1233" s="567">
        <v>91935</v>
      </c>
      <c r="B1233" s="644">
        <v>91935</v>
      </c>
      <c r="C1233" s="645" t="s">
        <v>670</v>
      </c>
      <c r="D1233" s="422" t="s">
        <v>1084</v>
      </c>
      <c r="E1233" s="423"/>
      <c r="F1233" s="424"/>
      <c r="G1233" s="425"/>
      <c r="H1233" s="651"/>
      <c r="I1233" s="420">
        <v>24.55</v>
      </c>
      <c r="J1233" s="420">
        <f t="shared" si="315"/>
        <v>24.55</v>
      </c>
      <c r="K1233" s="421">
        <f t="shared" si="325"/>
        <v>29.17</v>
      </c>
      <c r="L1233" s="647" t="s">
        <v>79</v>
      </c>
      <c r="M1233" s="576"/>
      <c r="N1233" s="576">
        <f t="shared" si="317"/>
        <v>0</v>
      </c>
      <c r="O1233" s="577">
        <f t="shared" si="322"/>
        <v>0</v>
      </c>
      <c r="P1233" s="578">
        <f t="shared" si="323"/>
        <v>0</v>
      </c>
      <c r="Q1233" s="765"/>
      <c r="R1233" s="576">
        <f t="shared" si="319"/>
        <v>0</v>
      </c>
      <c r="S1233" s="576">
        <f t="shared" si="319"/>
        <v>0</v>
      </c>
      <c r="T1233" s="577">
        <f t="shared" si="320"/>
        <v>0</v>
      </c>
      <c r="U1233" s="578">
        <f t="shared" si="321"/>
        <v>0</v>
      </c>
      <c r="V1233" s="579"/>
      <c r="W1233" s="566"/>
      <c r="X1233" s="586" t="str">
        <f t="shared" si="324"/>
        <v/>
      </c>
      <c r="Y1233" s="586" t="str">
        <f t="shared" si="318"/>
        <v/>
      </c>
      <c r="Z1233" s="586" t="str">
        <f t="shared" si="316"/>
        <v/>
      </c>
    </row>
    <row r="1234" spans="1:26" ht="23.25" hidden="1" thickBot="1" x14ac:dyDescent="0.25">
      <c r="A1234" s="567">
        <v>92980</v>
      </c>
      <c r="B1234" s="644">
        <v>92980</v>
      </c>
      <c r="C1234" s="645" t="s">
        <v>670</v>
      </c>
      <c r="D1234" s="422" t="s">
        <v>1085</v>
      </c>
      <c r="E1234" s="423"/>
      <c r="F1234" s="424"/>
      <c r="G1234" s="425"/>
      <c r="H1234" s="651"/>
      <c r="I1234" s="420">
        <v>10.93</v>
      </c>
      <c r="J1234" s="420">
        <f t="shared" si="315"/>
        <v>10.93</v>
      </c>
      <c r="K1234" s="421">
        <f t="shared" si="325"/>
        <v>12.99</v>
      </c>
      <c r="L1234" s="647" t="s">
        <v>79</v>
      </c>
      <c r="M1234" s="576"/>
      <c r="N1234" s="576">
        <f t="shared" si="317"/>
        <v>0</v>
      </c>
      <c r="O1234" s="577">
        <f t="shared" si="322"/>
        <v>0</v>
      </c>
      <c r="P1234" s="578">
        <f t="shared" si="323"/>
        <v>0</v>
      </c>
      <c r="Q1234" s="765"/>
      <c r="R1234" s="576">
        <f t="shared" si="319"/>
        <v>0</v>
      </c>
      <c r="S1234" s="576">
        <f t="shared" si="319"/>
        <v>0</v>
      </c>
      <c r="T1234" s="577">
        <f t="shared" si="320"/>
        <v>0</v>
      </c>
      <c r="U1234" s="578">
        <f t="shared" si="321"/>
        <v>0</v>
      </c>
      <c r="V1234" s="579"/>
      <c r="W1234" s="566"/>
      <c r="X1234" s="586" t="str">
        <f t="shared" si="324"/>
        <v/>
      </c>
      <c r="Y1234" s="586" t="str">
        <f t="shared" si="318"/>
        <v/>
      </c>
      <c r="Z1234" s="586" t="str">
        <f t="shared" si="316"/>
        <v/>
      </c>
    </row>
    <row r="1235" spans="1:26" ht="23.25" hidden="1" thickBot="1" x14ac:dyDescent="0.25">
      <c r="A1235" s="567">
        <v>92982</v>
      </c>
      <c r="B1235" s="644">
        <v>92982</v>
      </c>
      <c r="C1235" s="645" t="s">
        <v>670</v>
      </c>
      <c r="D1235" s="422" t="s">
        <v>1086</v>
      </c>
      <c r="E1235" s="423"/>
      <c r="F1235" s="424"/>
      <c r="G1235" s="425"/>
      <c r="H1235" s="651"/>
      <c r="I1235" s="420">
        <v>16.690000000000001</v>
      </c>
      <c r="J1235" s="420">
        <f t="shared" ref="J1235:J1298" si="326">IF(ISBLANK(I1235),"",SUM(H1235:I1235))</f>
        <v>16.690000000000001</v>
      </c>
      <c r="K1235" s="421">
        <f t="shared" si="325"/>
        <v>19.829999999999998</v>
      </c>
      <c r="L1235" s="647" t="s">
        <v>79</v>
      </c>
      <c r="M1235" s="576"/>
      <c r="N1235" s="576">
        <f t="shared" si="317"/>
        <v>0</v>
      </c>
      <c r="O1235" s="577">
        <f t="shared" si="322"/>
        <v>0</v>
      </c>
      <c r="P1235" s="578">
        <f t="shared" si="323"/>
        <v>0</v>
      </c>
      <c r="Q1235" s="765"/>
      <c r="R1235" s="576">
        <f t="shared" si="319"/>
        <v>0</v>
      </c>
      <c r="S1235" s="576">
        <f t="shared" si="319"/>
        <v>0</v>
      </c>
      <c r="T1235" s="577">
        <f t="shared" si="320"/>
        <v>0</v>
      </c>
      <c r="U1235" s="578">
        <f t="shared" si="321"/>
        <v>0</v>
      </c>
      <c r="V1235" s="579"/>
      <c r="W1235" s="566"/>
      <c r="X1235" s="586" t="str">
        <f t="shared" si="324"/>
        <v/>
      </c>
      <c r="Y1235" s="586" t="str">
        <f t="shared" si="318"/>
        <v/>
      </c>
      <c r="Z1235" s="586" t="str">
        <f t="shared" ref="Z1235:Z1298" si="327">IF(W1235="X","x",IF(U1235&gt;0,"x",""))</f>
        <v/>
      </c>
    </row>
    <row r="1236" spans="1:26" ht="23.25" hidden="1" thickBot="1" x14ac:dyDescent="0.25">
      <c r="A1236" s="567">
        <v>92984</v>
      </c>
      <c r="B1236" s="644">
        <v>92984</v>
      </c>
      <c r="C1236" s="645" t="s">
        <v>670</v>
      </c>
      <c r="D1236" s="422" t="s">
        <v>1087</v>
      </c>
      <c r="E1236" s="423"/>
      <c r="F1236" s="424"/>
      <c r="G1236" s="425"/>
      <c r="H1236" s="651"/>
      <c r="I1236" s="420">
        <v>27.25</v>
      </c>
      <c r="J1236" s="420">
        <f t="shared" si="326"/>
        <v>27.25</v>
      </c>
      <c r="K1236" s="421">
        <f t="shared" si="325"/>
        <v>32.380000000000003</v>
      </c>
      <c r="L1236" s="647" t="s">
        <v>79</v>
      </c>
      <c r="M1236" s="576"/>
      <c r="N1236" s="576">
        <f t="shared" ref="N1236:N1299" si="328">IF(M1236=0,0,K1236)</f>
        <v>0</v>
      </c>
      <c r="O1236" s="577">
        <f t="shared" si="322"/>
        <v>0</v>
      </c>
      <c r="P1236" s="578">
        <f t="shared" si="323"/>
        <v>0</v>
      </c>
      <c r="Q1236" s="765"/>
      <c r="R1236" s="576">
        <f t="shared" si="319"/>
        <v>0</v>
      </c>
      <c r="S1236" s="576">
        <f t="shared" si="319"/>
        <v>0</v>
      </c>
      <c r="T1236" s="577">
        <f t="shared" si="320"/>
        <v>0</v>
      </c>
      <c r="U1236" s="578">
        <f t="shared" si="321"/>
        <v>0</v>
      </c>
      <c r="V1236" s="579"/>
      <c r="W1236" s="566"/>
      <c r="X1236" s="586" t="str">
        <f t="shared" si="324"/>
        <v/>
      </c>
      <c r="Y1236" s="586" t="str">
        <f t="shared" si="318"/>
        <v/>
      </c>
      <c r="Z1236" s="586" t="str">
        <f t="shared" si="327"/>
        <v/>
      </c>
    </row>
    <row r="1237" spans="1:26" ht="23.25" hidden="1" thickBot="1" x14ac:dyDescent="0.25">
      <c r="A1237" s="567">
        <v>92986</v>
      </c>
      <c r="B1237" s="644">
        <v>92986</v>
      </c>
      <c r="C1237" s="645" t="s">
        <v>670</v>
      </c>
      <c r="D1237" s="422" t="s">
        <v>1088</v>
      </c>
      <c r="E1237" s="423"/>
      <c r="F1237" s="424"/>
      <c r="G1237" s="425"/>
      <c r="H1237" s="651"/>
      <c r="I1237" s="420">
        <v>36.799999999999997</v>
      </c>
      <c r="J1237" s="420">
        <f t="shared" si="326"/>
        <v>36.799999999999997</v>
      </c>
      <c r="K1237" s="421">
        <f t="shared" si="325"/>
        <v>43.72</v>
      </c>
      <c r="L1237" s="647" t="s">
        <v>79</v>
      </c>
      <c r="M1237" s="576"/>
      <c r="N1237" s="576">
        <f t="shared" si="328"/>
        <v>0</v>
      </c>
      <c r="O1237" s="577">
        <f t="shared" si="322"/>
        <v>0</v>
      </c>
      <c r="P1237" s="578">
        <f t="shared" si="323"/>
        <v>0</v>
      </c>
      <c r="Q1237" s="765"/>
      <c r="R1237" s="576">
        <f t="shared" si="319"/>
        <v>0</v>
      </c>
      <c r="S1237" s="576">
        <f t="shared" si="319"/>
        <v>0</v>
      </c>
      <c r="T1237" s="577">
        <f t="shared" si="320"/>
        <v>0</v>
      </c>
      <c r="U1237" s="578">
        <f t="shared" si="321"/>
        <v>0</v>
      </c>
      <c r="V1237" s="579"/>
      <c r="W1237" s="566"/>
      <c r="X1237" s="586" t="str">
        <f t="shared" si="324"/>
        <v/>
      </c>
      <c r="Y1237" s="586" t="str">
        <f t="shared" si="318"/>
        <v/>
      </c>
      <c r="Z1237" s="586" t="str">
        <f t="shared" si="327"/>
        <v/>
      </c>
    </row>
    <row r="1238" spans="1:26" ht="23.25" hidden="1" thickBot="1" x14ac:dyDescent="0.25">
      <c r="A1238" s="567">
        <v>92988</v>
      </c>
      <c r="B1238" s="644">
        <v>92988</v>
      </c>
      <c r="C1238" s="645" t="s">
        <v>670</v>
      </c>
      <c r="D1238" s="422" t="s">
        <v>1089</v>
      </c>
      <c r="E1238" s="423"/>
      <c r="F1238" s="424"/>
      <c r="G1238" s="425"/>
      <c r="H1238" s="651"/>
      <c r="I1238" s="420">
        <v>51.6</v>
      </c>
      <c r="J1238" s="420">
        <f t="shared" si="326"/>
        <v>51.6</v>
      </c>
      <c r="K1238" s="421">
        <f t="shared" si="325"/>
        <v>61.31</v>
      </c>
      <c r="L1238" s="647" t="s">
        <v>79</v>
      </c>
      <c r="M1238" s="576"/>
      <c r="N1238" s="576">
        <f t="shared" si="328"/>
        <v>0</v>
      </c>
      <c r="O1238" s="577">
        <f t="shared" si="322"/>
        <v>0</v>
      </c>
      <c r="P1238" s="578">
        <f t="shared" si="323"/>
        <v>0</v>
      </c>
      <c r="Q1238" s="765"/>
      <c r="R1238" s="576">
        <f t="shared" si="319"/>
        <v>0</v>
      </c>
      <c r="S1238" s="576">
        <f t="shared" si="319"/>
        <v>0</v>
      </c>
      <c r="T1238" s="577">
        <f t="shared" si="320"/>
        <v>0</v>
      </c>
      <c r="U1238" s="578">
        <f t="shared" si="321"/>
        <v>0</v>
      </c>
      <c r="V1238" s="579"/>
      <c r="W1238" s="566"/>
      <c r="X1238" s="586" t="str">
        <f t="shared" si="324"/>
        <v/>
      </c>
      <c r="Y1238" s="586" t="str">
        <f t="shared" si="318"/>
        <v/>
      </c>
      <c r="Z1238" s="586" t="str">
        <f t="shared" si="327"/>
        <v/>
      </c>
    </row>
    <row r="1239" spans="1:26" ht="23.25" hidden="1" thickBot="1" x14ac:dyDescent="0.25">
      <c r="A1239" s="567">
        <v>92990</v>
      </c>
      <c r="B1239" s="644">
        <v>92990</v>
      </c>
      <c r="C1239" s="645" t="s">
        <v>670</v>
      </c>
      <c r="D1239" s="422" t="s">
        <v>1090</v>
      </c>
      <c r="E1239" s="423"/>
      <c r="F1239" s="424"/>
      <c r="G1239" s="425"/>
      <c r="H1239" s="651"/>
      <c r="I1239" s="420">
        <v>70.7</v>
      </c>
      <c r="J1239" s="420">
        <f t="shared" si="326"/>
        <v>70.7</v>
      </c>
      <c r="K1239" s="421">
        <f t="shared" si="325"/>
        <v>84</v>
      </c>
      <c r="L1239" s="647" t="s">
        <v>79</v>
      </c>
      <c r="M1239" s="576"/>
      <c r="N1239" s="576">
        <f t="shared" si="328"/>
        <v>0</v>
      </c>
      <c r="O1239" s="577">
        <f t="shared" si="322"/>
        <v>0</v>
      </c>
      <c r="P1239" s="578">
        <f t="shared" si="323"/>
        <v>0</v>
      </c>
      <c r="Q1239" s="765"/>
      <c r="R1239" s="576">
        <f t="shared" si="319"/>
        <v>0</v>
      </c>
      <c r="S1239" s="576">
        <f t="shared" si="319"/>
        <v>0</v>
      </c>
      <c r="T1239" s="577">
        <f t="shared" si="320"/>
        <v>0</v>
      </c>
      <c r="U1239" s="578">
        <f t="shared" si="321"/>
        <v>0</v>
      </c>
      <c r="V1239" s="579"/>
      <c r="W1239" s="566"/>
      <c r="X1239" s="586" t="str">
        <f t="shared" si="324"/>
        <v/>
      </c>
      <c r="Y1239" s="586" t="str">
        <f t="shared" si="318"/>
        <v/>
      </c>
      <c r="Z1239" s="586" t="str">
        <f t="shared" si="327"/>
        <v/>
      </c>
    </row>
    <row r="1240" spans="1:26" ht="23.25" hidden="1" thickBot="1" x14ac:dyDescent="0.25">
      <c r="A1240" s="567">
        <v>92992</v>
      </c>
      <c r="B1240" s="644">
        <v>92992</v>
      </c>
      <c r="C1240" s="645" t="s">
        <v>670</v>
      </c>
      <c r="D1240" s="422" t="s">
        <v>1091</v>
      </c>
      <c r="E1240" s="423"/>
      <c r="F1240" s="424"/>
      <c r="G1240" s="425"/>
      <c r="H1240" s="651"/>
      <c r="I1240" s="420">
        <v>93.34</v>
      </c>
      <c r="J1240" s="420">
        <f t="shared" si="326"/>
        <v>93.34</v>
      </c>
      <c r="K1240" s="421">
        <f t="shared" si="325"/>
        <v>110.9</v>
      </c>
      <c r="L1240" s="647" t="s">
        <v>79</v>
      </c>
      <c r="M1240" s="576"/>
      <c r="N1240" s="576">
        <f t="shared" si="328"/>
        <v>0</v>
      </c>
      <c r="O1240" s="577">
        <f t="shared" si="322"/>
        <v>0</v>
      </c>
      <c r="P1240" s="578">
        <f t="shared" si="323"/>
        <v>0</v>
      </c>
      <c r="Q1240" s="765"/>
      <c r="R1240" s="576">
        <f t="shared" si="319"/>
        <v>0</v>
      </c>
      <c r="S1240" s="576">
        <f t="shared" si="319"/>
        <v>0</v>
      </c>
      <c r="T1240" s="577">
        <f t="shared" si="320"/>
        <v>0</v>
      </c>
      <c r="U1240" s="578">
        <f t="shared" si="321"/>
        <v>0</v>
      </c>
      <c r="V1240" s="579"/>
      <c r="W1240" s="566"/>
      <c r="X1240" s="586" t="str">
        <f t="shared" si="324"/>
        <v/>
      </c>
      <c r="Y1240" s="586" t="str">
        <f t="shared" si="318"/>
        <v/>
      </c>
      <c r="Z1240" s="586" t="str">
        <f t="shared" si="327"/>
        <v/>
      </c>
    </row>
    <row r="1241" spans="1:26" ht="23.25" hidden="1" thickBot="1" x14ac:dyDescent="0.25">
      <c r="A1241" s="567">
        <v>92994</v>
      </c>
      <c r="B1241" s="644">
        <v>92994</v>
      </c>
      <c r="C1241" s="645" t="s">
        <v>670</v>
      </c>
      <c r="D1241" s="422" t="s">
        <v>1092</v>
      </c>
      <c r="E1241" s="423"/>
      <c r="F1241" s="424"/>
      <c r="G1241" s="425"/>
      <c r="H1241" s="651"/>
      <c r="I1241" s="420">
        <v>120.71</v>
      </c>
      <c r="J1241" s="420">
        <f t="shared" si="326"/>
        <v>120.71</v>
      </c>
      <c r="K1241" s="421">
        <f t="shared" si="325"/>
        <v>143.41999999999999</v>
      </c>
      <c r="L1241" s="647" t="s">
        <v>79</v>
      </c>
      <c r="M1241" s="576"/>
      <c r="N1241" s="576">
        <f t="shared" si="328"/>
        <v>0</v>
      </c>
      <c r="O1241" s="577">
        <f t="shared" si="322"/>
        <v>0</v>
      </c>
      <c r="P1241" s="578">
        <f t="shared" si="323"/>
        <v>0</v>
      </c>
      <c r="Q1241" s="765"/>
      <c r="R1241" s="576">
        <f t="shared" si="319"/>
        <v>0</v>
      </c>
      <c r="S1241" s="576">
        <f t="shared" si="319"/>
        <v>0</v>
      </c>
      <c r="T1241" s="577">
        <f t="shared" si="320"/>
        <v>0</v>
      </c>
      <c r="U1241" s="578">
        <f t="shared" si="321"/>
        <v>0</v>
      </c>
      <c r="V1241" s="579"/>
      <c r="W1241" s="566"/>
      <c r="X1241" s="586" t="str">
        <f t="shared" si="324"/>
        <v/>
      </c>
      <c r="Y1241" s="586" t="str">
        <f t="shared" si="318"/>
        <v/>
      </c>
      <c r="Z1241" s="586" t="str">
        <f t="shared" si="327"/>
        <v/>
      </c>
    </row>
    <row r="1242" spans="1:26" ht="23.25" hidden="1" thickBot="1" x14ac:dyDescent="0.25">
      <c r="A1242" s="567">
        <v>92996</v>
      </c>
      <c r="B1242" s="644">
        <v>92996</v>
      </c>
      <c r="C1242" s="645" t="s">
        <v>670</v>
      </c>
      <c r="D1242" s="422" t="s">
        <v>1093</v>
      </c>
      <c r="E1242" s="423"/>
      <c r="F1242" s="424"/>
      <c r="G1242" s="425"/>
      <c r="H1242" s="651"/>
      <c r="I1242" s="420">
        <v>149.13999999999999</v>
      </c>
      <c r="J1242" s="420">
        <f t="shared" si="326"/>
        <v>149.13999999999999</v>
      </c>
      <c r="K1242" s="421">
        <f t="shared" si="325"/>
        <v>177.19</v>
      </c>
      <c r="L1242" s="647" t="s">
        <v>79</v>
      </c>
      <c r="M1242" s="576"/>
      <c r="N1242" s="576">
        <f t="shared" si="328"/>
        <v>0</v>
      </c>
      <c r="O1242" s="577">
        <f t="shared" si="322"/>
        <v>0</v>
      </c>
      <c r="P1242" s="578">
        <f t="shared" si="323"/>
        <v>0</v>
      </c>
      <c r="Q1242" s="765"/>
      <c r="R1242" s="576">
        <f t="shared" si="319"/>
        <v>0</v>
      </c>
      <c r="S1242" s="576">
        <f t="shared" si="319"/>
        <v>0</v>
      </c>
      <c r="T1242" s="577">
        <f t="shared" si="320"/>
        <v>0</v>
      </c>
      <c r="U1242" s="578">
        <f t="shared" si="321"/>
        <v>0</v>
      </c>
      <c r="V1242" s="579"/>
      <c r="W1242" s="566"/>
      <c r="X1242" s="586" t="str">
        <f t="shared" si="324"/>
        <v/>
      </c>
      <c r="Y1242" s="586" t="str">
        <f t="shared" si="318"/>
        <v/>
      </c>
      <c r="Z1242" s="586" t="str">
        <f t="shared" si="327"/>
        <v/>
      </c>
    </row>
    <row r="1243" spans="1:26" ht="23.25" hidden="1" thickBot="1" x14ac:dyDescent="0.25">
      <c r="A1243" s="567">
        <v>92998</v>
      </c>
      <c r="B1243" s="644">
        <v>92998</v>
      </c>
      <c r="C1243" s="645" t="s">
        <v>670</v>
      </c>
      <c r="D1243" s="422" t="s">
        <v>1094</v>
      </c>
      <c r="E1243" s="423"/>
      <c r="F1243" s="424"/>
      <c r="G1243" s="425"/>
      <c r="H1243" s="651"/>
      <c r="I1243" s="420">
        <v>182.4</v>
      </c>
      <c r="J1243" s="420">
        <f t="shared" si="326"/>
        <v>182.4</v>
      </c>
      <c r="K1243" s="421">
        <f t="shared" si="325"/>
        <v>216.71</v>
      </c>
      <c r="L1243" s="647" t="s">
        <v>79</v>
      </c>
      <c r="M1243" s="576"/>
      <c r="N1243" s="576">
        <f t="shared" si="328"/>
        <v>0</v>
      </c>
      <c r="O1243" s="577">
        <f t="shared" si="322"/>
        <v>0</v>
      </c>
      <c r="P1243" s="578">
        <f t="shared" si="323"/>
        <v>0</v>
      </c>
      <c r="Q1243" s="765"/>
      <c r="R1243" s="576">
        <f t="shared" si="319"/>
        <v>0</v>
      </c>
      <c r="S1243" s="576">
        <f t="shared" si="319"/>
        <v>0</v>
      </c>
      <c r="T1243" s="577">
        <f t="shared" si="320"/>
        <v>0</v>
      </c>
      <c r="U1243" s="578">
        <f t="shared" si="321"/>
        <v>0</v>
      </c>
      <c r="V1243" s="579"/>
      <c r="W1243" s="566"/>
      <c r="X1243" s="586" t="str">
        <f t="shared" si="324"/>
        <v/>
      </c>
      <c r="Y1243" s="586" t="str">
        <f t="shared" si="318"/>
        <v/>
      </c>
      <c r="Z1243" s="586" t="str">
        <f t="shared" si="327"/>
        <v/>
      </c>
    </row>
    <row r="1244" spans="1:26" ht="23.25" hidden="1" thickBot="1" x14ac:dyDescent="0.25">
      <c r="A1244" s="567">
        <v>93000</v>
      </c>
      <c r="B1244" s="644">
        <v>93000</v>
      </c>
      <c r="C1244" s="645" t="s">
        <v>670</v>
      </c>
      <c r="D1244" s="422" t="s">
        <v>1095</v>
      </c>
      <c r="E1244" s="423"/>
      <c r="F1244" s="424"/>
      <c r="G1244" s="425"/>
      <c r="H1244" s="651"/>
      <c r="I1244" s="420">
        <v>239.37</v>
      </c>
      <c r="J1244" s="420">
        <f t="shared" si="326"/>
        <v>239.37</v>
      </c>
      <c r="K1244" s="421">
        <f t="shared" si="325"/>
        <v>284.39999999999998</v>
      </c>
      <c r="L1244" s="647" t="s">
        <v>79</v>
      </c>
      <c r="M1244" s="576"/>
      <c r="N1244" s="576">
        <f t="shared" si="328"/>
        <v>0</v>
      </c>
      <c r="O1244" s="577">
        <f t="shared" si="322"/>
        <v>0</v>
      </c>
      <c r="P1244" s="578">
        <f t="shared" si="323"/>
        <v>0</v>
      </c>
      <c r="Q1244" s="765"/>
      <c r="R1244" s="576">
        <f t="shared" si="319"/>
        <v>0</v>
      </c>
      <c r="S1244" s="576">
        <f t="shared" si="319"/>
        <v>0</v>
      </c>
      <c r="T1244" s="577">
        <f t="shared" si="320"/>
        <v>0</v>
      </c>
      <c r="U1244" s="578">
        <f t="shared" si="321"/>
        <v>0</v>
      </c>
      <c r="V1244" s="579"/>
      <c r="W1244" s="566"/>
      <c r="X1244" s="586" t="str">
        <f t="shared" si="324"/>
        <v/>
      </c>
      <c r="Y1244" s="586" t="str">
        <f t="shared" si="318"/>
        <v/>
      </c>
      <c r="Z1244" s="586" t="str">
        <f t="shared" si="327"/>
        <v/>
      </c>
    </row>
    <row r="1245" spans="1:26" ht="23.25" hidden="1" thickBot="1" x14ac:dyDescent="0.25">
      <c r="A1245" s="567">
        <v>93002</v>
      </c>
      <c r="B1245" s="644">
        <v>93002</v>
      </c>
      <c r="C1245" s="645" t="s">
        <v>670</v>
      </c>
      <c r="D1245" s="422" t="s">
        <v>1096</v>
      </c>
      <c r="E1245" s="423"/>
      <c r="F1245" s="424"/>
      <c r="G1245" s="425"/>
      <c r="H1245" s="651"/>
      <c r="I1245" s="420">
        <v>299.02999999999997</v>
      </c>
      <c r="J1245" s="420">
        <f t="shared" si="326"/>
        <v>299.02999999999997</v>
      </c>
      <c r="K1245" s="421">
        <f t="shared" si="325"/>
        <v>355.28</v>
      </c>
      <c r="L1245" s="647" t="s">
        <v>79</v>
      </c>
      <c r="M1245" s="576"/>
      <c r="N1245" s="576">
        <f t="shared" si="328"/>
        <v>0</v>
      </c>
      <c r="O1245" s="577">
        <f t="shared" si="322"/>
        <v>0</v>
      </c>
      <c r="P1245" s="578">
        <f t="shared" si="323"/>
        <v>0</v>
      </c>
      <c r="Q1245" s="765"/>
      <c r="R1245" s="576">
        <f t="shared" si="319"/>
        <v>0</v>
      </c>
      <c r="S1245" s="576">
        <f t="shared" si="319"/>
        <v>0</v>
      </c>
      <c r="T1245" s="577">
        <f t="shared" si="320"/>
        <v>0</v>
      </c>
      <c r="U1245" s="578">
        <f t="shared" si="321"/>
        <v>0</v>
      </c>
      <c r="V1245" s="579"/>
      <c r="W1245" s="566"/>
      <c r="X1245" s="586" t="str">
        <f t="shared" si="324"/>
        <v/>
      </c>
      <c r="Y1245" s="586" t="str">
        <f t="shared" si="318"/>
        <v/>
      </c>
      <c r="Z1245" s="586" t="str">
        <f t="shared" si="327"/>
        <v/>
      </c>
    </row>
    <row r="1246" spans="1:26" ht="23.25" hidden="1" thickBot="1" x14ac:dyDescent="0.25">
      <c r="A1246" s="567">
        <v>101884</v>
      </c>
      <c r="B1246" s="644">
        <v>101884</v>
      </c>
      <c r="C1246" s="645" t="s">
        <v>670</v>
      </c>
      <c r="D1246" s="422" t="s">
        <v>1097</v>
      </c>
      <c r="E1246" s="423"/>
      <c r="F1246" s="424"/>
      <c r="G1246" s="425"/>
      <c r="H1246" s="651"/>
      <c r="I1246" s="420">
        <v>9.7899999999999991</v>
      </c>
      <c r="J1246" s="420">
        <f t="shared" si="326"/>
        <v>9.7899999999999991</v>
      </c>
      <c r="K1246" s="421">
        <f t="shared" si="325"/>
        <v>11.63</v>
      </c>
      <c r="L1246" s="647" t="s">
        <v>79</v>
      </c>
      <c r="M1246" s="576"/>
      <c r="N1246" s="576">
        <f t="shared" si="328"/>
        <v>0</v>
      </c>
      <c r="O1246" s="577">
        <f t="shared" si="322"/>
        <v>0</v>
      </c>
      <c r="P1246" s="578">
        <f t="shared" si="323"/>
        <v>0</v>
      </c>
      <c r="Q1246" s="765"/>
      <c r="R1246" s="576">
        <f t="shared" si="319"/>
        <v>0</v>
      </c>
      <c r="S1246" s="576">
        <f t="shared" si="319"/>
        <v>0</v>
      </c>
      <c r="T1246" s="577">
        <f t="shared" si="320"/>
        <v>0</v>
      </c>
      <c r="U1246" s="578">
        <f t="shared" si="321"/>
        <v>0</v>
      </c>
      <c r="V1246" s="579"/>
      <c r="W1246" s="566"/>
      <c r="X1246" s="586" t="str">
        <f t="shared" si="324"/>
        <v/>
      </c>
      <c r="Y1246" s="586" t="str">
        <f t="shared" si="318"/>
        <v/>
      </c>
      <c r="Z1246" s="586" t="str">
        <f t="shared" si="327"/>
        <v/>
      </c>
    </row>
    <row r="1247" spans="1:26" ht="23.25" hidden="1" thickBot="1" x14ac:dyDescent="0.25">
      <c r="A1247" s="567">
        <v>101885</v>
      </c>
      <c r="B1247" s="644">
        <v>101885</v>
      </c>
      <c r="C1247" s="645" t="s">
        <v>670</v>
      </c>
      <c r="D1247" s="422" t="s">
        <v>1098</v>
      </c>
      <c r="E1247" s="423"/>
      <c r="F1247" s="424"/>
      <c r="G1247" s="425"/>
      <c r="H1247" s="651"/>
      <c r="I1247" s="420">
        <v>10.65</v>
      </c>
      <c r="J1247" s="420">
        <f t="shared" si="326"/>
        <v>10.65</v>
      </c>
      <c r="K1247" s="421">
        <f t="shared" si="325"/>
        <v>12.65</v>
      </c>
      <c r="L1247" s="647" t="s">
        <v>79</v>
      </c>
      <c r="M1247" s="576"/>
      <c r="N1247" s="576">
        <f t="shared" si="328"/>
        <v>0</v>
      </c>
      <c r="O1247" s="577">
        <f t="shared" si="322"/>
        <v>0</v>
      </c>
      <c r="P1247" s="578">
        <f t="shared" si="323"/>
        <v>0</v>
      </c>
      <c r="Q1247" s="765"/>
      <c r="R1247" s="576">
        <f t="shared" si="319"/>
        <v>0</v>
      </c>
      <c r="S1247" s="576">
        <f t="shared" si="319"/>
        <v>0</v>
      </c>
      <c r="T1247" s="577">
        <f t="shared" si="320"/>
        <v>0</v>
      </c>
      <c r="U1247" s="578">
        <f t="shared" si="321"/>
        <v>0</v>
      </c>
      <c r="V1247" s="579"/>
      <c r="W1247" s="566"/>
      <c r="X1247" s="586" t="str">
        <f t="shared" si="324"/>
        <v/>
      </c>
      <c r="Y1247" s="586" t="str">
        <f t="shared" si="318"/>
        <v/>
      </c>
      <c r="Z1247" s="586" t="str">
        <f t="shared" si="327"/>
        <v/>
      </c>
    </row>
    <row r="1248" spans="1:26" ht="23.25" hidden="1" thickBot="1" x14ac:dyDescent="0.25">
      <c r="A1248" s="567">
        <v>101886</v>
      </c>
      <c r="B1248" s="644">
        <v>101886</v>
      </c>
      <c r="C1248" s="645" t="s">
        <v>670</v>
      </c>
      <c r="D1248" s="422" t="s">
        <v>1099</v>
      </c>
      <c r="E1248" s="423"/>
      <c r="F1248" s="424"/>
      <c r="G1248" s="425"/>
      <c r="H1248" s="651"/>
      <c r="I1248" s="420">
        <v>15.13</v>
      </c>
      <c r="J1248" s="420">
        <f t="shared" si="326"/>
        <v>15.13</v>
      </c>
      <c r="K1248" s="421">
        <f t="shared" si="325"/>
        <v>17.98</v>
      </c>
      <c r="L1248" s="647" t="s">
        <v>79</v>
      </c>
      <c r="M1248" s="576"/>
      <c r="N1248" s="576">
        <f t="shared" si="328"/>
        <v>0</v>
      </c>
      <c r="O1248" s="577">
        <f t="shared" si="322"/>
        <v>0</v>
      </c>
      <c r="P1248" s="578">
        <f t="shared" si="323"/>
        <v>0</v>
      </c>
      <c r="Q1248" s="765"/>
      <c r="R1248" s="576">
        <f t="shared" si="319"/>
        <v>0</v>
      </c>
      <c r="S1248" s="576">
        <f t="shared" si="319"/>
        <v>0</v>
      </c>
      <c r="T1248" s="577">
        <f t="shared" si="320"/>
        <v>0</v>
      </c>
      <c r="U1248" s="578">
        <f t="shared" si="321"/>
        <v>0</v>
      </c>
      <c r="V1248" s="579"/>
      <c r="W1248" s="566"/>
      <c r="X1248" s="586" t="str">
        <f t="shared" si="324"/>
        <v/>
      </c>
      <c r="Y1248" s="586" t="str">
        <f t="shared" si="318"/>
        <v/>
      </c>
      <c r="Z1248" s="586" t="str">
        <f t="shared" si="327"/>
        <v/>
      </c>
    </row>
    <row r="1249" spans="1:26" ht="23.25" hidden="1" thickBot="1" x14ac:dyDescent="0.25">
      <c r="A1249" s="567">
        <v>101887</v>
      </c>
      <c r="B1249" s="644">
        <v>101887</v>
      </c>
      <c r="C1249" s="645" t="s">
        <v>670</v>
      </c>
      <c r="D1249" s="422" t="s">
        <v>1100</v>
      </c>
      <c r="E1249" s="423"/>
      <c r="F1249" s="424"/>
      <c r="G1249" s="425"/>
      <c r="H1249" s="651"/>
      <c r="I1249" s="420">
        <v>16.38</v>
      </c>
      <c r="J1249" s="420">
        <f t="shared" si="326"/>
        <v>16.38</v>
      </c>
      <c r="K1249" s="421">
        <f t="shared" si="325"/>
        <v>19.46</v>
      </c>
      <c r="L1249" s="647" t="s">
        <v>79</v>
      </c>
      <c r="M1249" s="576"/>
      <c r="N1249" s="576">
        <f t="shared" si="328"/>
        <v>0</v>
      </c>
      <c r="O1249" s="577">
        <f t="shared" si="322"/>
        <v>0</v>
      </c>
      <c r="P1249" s="578">
        <f t="shared" si="323"/>
        <v>0</v>
      </c>
      <c r="Q1249" s="765"/>
      <c r="R1249" s="576">
        <f t="shared" si="319"/>
        <v>0</v>
      </c>
      <c r="S1249" s="576">
        <f t="shared" si="319"/>
        <v>0</v>
      </c>
      <c r="T1249" s="577">
        <f t="shared" si="320"/>
        <v>0</v>
      </c>
      <c r="U1249" s="578">
        <f t="shared" si="321"/>
        <v>0</v>
      </c>
      <c r="V1249" s="579"/>
      <c r="W1249" s="566"/>
      <c r="X1249" s="586" t="str">
        <f t="shared" si="324"/>
        <v/>
      </c>
      <c r="Y1249" s="586" t="str">
        <f t="shared" si="318"/>
        <v/>
      </c>
      <c r="Z1249" s="586" t="str">
        <f t="shared" si="327"/>
        <v/>
      </c>
    </row>
    <row r="1250" spans="1:26" ht="23.25" hidden="1" thickBot="1" x14ac:dyDescent="0.25">
      <c r="A1250" s="567">
        <v>101888</v>
      </c>
      <c r="B1250" s="644">
        <v>101888</v>
      </c>
      <c r="C1250" s="645" t="s">
        <v>670</v>
      </c>
      <c r="D1250" s="422" t="s">
        <v>1101</v>
      </c>
      <c r="E1250" s="423"/>
      <c r="F1250" s="424"/>
      <c r="G1250" s="425"/>
      <c r="H1250" s="651"/>
      <c r="I1250" s="420">
        <v>24.28</v>
      </c>
      <c r="J1250" s="420">
        <f t="shared" si="326"/>
        <v>24.28</v>
      </c>
      <c r="K1250" s="421">
        <f t="shared" si="325"/>
        <v>28.85</v>
      </c>
      <c r="L1250" s="647" t="s">
        <v>79</v>
      </c>
      <c r="M1250" s="576"/>
      <c r="N1250" s="576">
        <f t="shared" si="328"/>
        <v>0</v>
      </c>
      <c r="O1250" s="577">
        <f t="shared" si="322"/>
        <v>0</v>
      </c>
      <c r="P1250" s="578">
        <f t="shared" si="323"/>
        <v>0</v>
      </c>
      <c r="Q1250" s="765"/>
      <c r="R1250" s="576">
        <f t="shared" si="319"/>
        <v>0</v>
      </c>
      <c r="S1250" s="576">
        <f t="shared" si="319"/>
        <v>0</v>
      </c>
      <c r="T1250" s="577">
        <f t="shared" si="320"/>
        <v>0</v>
      </c>
      <c r="U1250" s="578">
        <f t="shared" si="321"/>
        <v>0</v>
      </c>
      <c r="V1250" s="579"/>
      <c r="W1250" s="566"/>
      <c r="X1250" s="586" t="str">
        <f t="shared" si="324"/>
        <v/>
      </c>
      <c r="Y1250" s="586" t="str">
        <f t="shared" si="318"/>
        <v/>
      </c>
      <c r="Z1250" s="586" t="str">
        <f t="shared" si="327"/>
        <v/>
      </c>
    </row>
    <row r="1251" spans="1:26" ht="23.25" hidden="1" thickBot="1" x14ac:dyDescent="0.25">
      <c r="A1251" s="567">
        <v>101889</v>
      </c>
      <c r="B1251" s="644">
        <v>101889</v>
      </c>
      <c r="C1251" s="645" t="s">
        <v>670</v>
      </c>
      <c r="D1251" s="422" t="s">
        <v>1102</v>
      </c>
      <c r="E1251" s="423"/>
      <c r="F1251" s="424"/>
      <c r="G1251" s="425"/>
      <c r="H1251" s="651"/>
      <c r="I1251" s="420">
        <v>24.98</v>
      </c>
      <c r="J1251" s="420">
        <f t="shared" si="326"/>
        <v>24.98</v>
      </c>
      <c r="K1251" s="421">
        <f t="shared" si="325"/>
        <v>29.68</v>
      </c>
      <c r="L1251" s="647" t="s">
        <v>79</v>
      </c>
      <c r="M1251" s="576"/>
      <c r="N1251" s="576">
        <f t="shared" si="328"/>
        <v>0</v>
      </c>
      <c r="O1251" s="577">
        <f t="shared" si="322"/>
        <v>0</v>
      </c>
      <c r="P1251" s="578">
        <f t="shared" si="323"/>
        <v>0</v>
      </c>
      <c r="Q1251" s="765"/>
      <c r="R1251" s="576">
        <f t="shared" si="319"/>
        <v>0</v>
      </c>
      <c r="S1251" s="576">
        <f t="shared" si="319"/>
        <v>0</v>
      </c>
      <c r="T1251" s="577">
        <f t="shared" si="320"/>
        <v>0</v>
      </c>
      <c r="U1251" s="578">
        <f t="shared" si="321"/>
        <v>0</v>
      </c>
      <c r="V1251" s="579"/>
      <c r="W1251" s="566"/>
      <c r="X1251" s="586" t="str">
        <f t="shared" si="324"/>
        <v/>
      </c>
      <c r="Y1251" s="586" t="str">
        <f t="shared" ref="Y1251:Y1314" si="329">IF(W1251="X","x",IF(W1251="y","x",IF(W1251="xx","x",IF(U1251&gt;0,"x",""))))</f>
        <v/>
      </c>
      <c r="Z1251" s="586" t="str">
        <f t="shared" si="327"/>
        <v/>
      </c>
    </row>
    <row r="1252" spans="1:26" ht="23.25" hidden="1" thickBot="1" x14ac:dyDescent="0.25">
      <c r="A1252" s="567">
        <v>101560</v>
      </c>
      <c r="B1252" s="644">
        <v>101560</v>
      </c>
      <c r="C1252" s="645" t="s">
        <v>670</v>
      </c>
      <c r="D1252" s="422" t="s">
        <v>1103</v>
      </c>
      <c r="E1252" s="423"/>
      <c r="F1252" s="424"/>
      <c r="G1252" s="425"/>
      <c r="H1252" s="651"/>
      <c r="I1252" s="420">
        <v>10.62</v>
      </c>
      <c r="J1252" s="420">
        <f t="shared" si="326"/>
        <v>10.62</v>
      </c>
      <c r="K1252" s="421">
        <f t="shared" si="325"/>
        <v>12.62</v>
      </c>
      <c r="L1252" s="647" t="s">
        <v>79</v>
      </c>
      <c r="M1252" s="576"/>
      <c r="N1252" s="576">
        <f t="shared" si="328"/>
        <v>0</v>
      </c>
      <c r="O1252" s="577">
        <f t="shared" si="322"/>
        <v>0</v>
      </c>
      <c r="P1252" s="578">
        <f t="shared" si="323"/>
        <v>0</v>
      </c>
      <c r="Q1252" s="765"/>
      <c r="R1252" s="576">
        <f t="shared" si="319"/>
        <v>0</v>
      </c>
      <c r="S1252" s="576">
        <f t="shared" si="319"/>
        <v>0</v>
      </c>
      <c r="T1252" s="577">
        <f t="shared" si="320"/>
        <v>0</v>
      </c>
      <c r="U1252" s="578">
        <f t="shared" si="321"/>
        <v>0</v>
      </c>
      <c r="V1252" s="579"/>
      <c r="W1252" s="566"/>
      <c r="X1252" s="586" t="str">
        <f t="shared" si="324"/>
        <v/>
      </c>
      <c r="Y1252" s="586" t="str">
        <f t="shared" si="329"/>
        <v/>
      </c>
      <c r="Z1252" s="586" t="str">
        <f t="shared" si="327"/>
        <v/>
      </c>
    </row>
    <row r="1253" spans="1:26" ht="23.25" hidden="1" thickBot="1" x14ac:dyDescent="0.25">
      <c r="A1253" s="567">
        <v>101561</v>
      </c>
      <c r="B1253" s="644">
        <v>101561</v>
      </c>
      <c r="C1253" s="645" t="s">
        <v>670</v>
      </c>
      <c r="D1253" s="422" t="s">
        <v>1104</v>
      </c>
      <c r="E1253" s="423"/>
      <c r="F1253" s="424"/>
      <c r="G1253" s="425"/>
      <c r="H1253" s="651"/>
      <c r="I1253" s="420">
        <v>16.25</v>
      </c>
      <c r="J1253" s="420">
        <f t="shared" si="326"/>
        <v>16.25</v>
      </c>
      <c r="K1253" s="421">
        <f t="shared" si="325"/>
        <v>19.309999999999999</v>
      </c>
      <c r="L1253" s="647" t="s">
        <v>79</v>
      </c>
      <c r="M1253" s="576"/>
      <c r="N1253" s="576">
        <f t="shared" si="328"/>
        <v>0</v>
      </c>
      <c r="O1253" s="577">
        <f t="shared" si="322"/>
        <v>0</v>
      </c>
      <c r="P1253" s="578">
        <f t="shared" si="323"/>
        <v>0</v>
      </c>
      <c r="Q1253" s="765"/>
      <c r="R1253" s="576">
        <f t="shared" si="319"/>
        <v>0</v>
      </c>
      <c r="S1253" s="576">
        <f t="shared" si="319"/>
        <v>0</v>
      </c>
      <c r="T1253" s="577">
        <f t="shared" si="320"/>
        <v>0</v>
      </c>
      <c r="U1253" s="578">
        <f t="shared" si="321"/>
        <v>0</v>
      </c>
      <c r="V1253" s="579"/>
      <c r="W1253" s="566"/>
      <c r="X1253" s="586" t="str">
        <f t="shared" si="324"/>
        <v/>
      </c>
      <c r="Y1253" s="586" t="str">
        <f t="shared" si="329"/>
        <v/>
      </c>
      <c r="Z1253" s="586" t="str">
        <f t="shared" si="327"/>
        <v/>
      </c>
    </row>
    <row r="1254" spans="1:26" ht="23.25" hidden="1" thickBot="1" x14ac:dyDescent="0.25">
      <c r="A1254" s="567">
        <v>101562</v>
      </c>
      <c r="B1254" s="644">
        <v>101562</v>
      </c>
      <c r="C1254" s="645" t="s">
        <v>670</v>
      </c>
      <c r="D1254" s="422" t="s">
        <v>1105</v>
      </c>
      <c r="E1254" s="423"/>
      <c r="F1254" s="424"/>
      <c r="G1254" s="425"/>
      <c r="H1254" s="651"/>
      <c r="I1254" s="420">
        <v>24.7</v>
      </c>
      <c r="J1254" s="420">
        <f t="shared" si="326"/>
        <v>24.7</v>
      </c>
      <c r="K1254" s="421">
        <f t="shared" si="325"/>
        <v>29.35</v>
      </c>
      <c r="L1254" s="647" t="s">
        <v>79</v>
      </c>
      <c r="M1254" s="576"/>
      <c r="N1254" s="576">
        <f t="shared" si="328"/>
        <v>0</v>
      </c>
      <c r="O1254" s="577">
        <f t="shared" si="322"/>
        <v>0</v>
      </c>
      <c r="P1254" s="578">
        <f t="shared" si="323"/>
        <v>0</v>
      </c>
      <c r="Q1254" s="765"/>
      <c r="R1254" s="576">
        <f t="shared" si="319"/>
        <v>0</v>
      </c>
      <c r="S1254" s="576">
        <f t="shared" si="319"/>
        <v>0</v>
      </c>
      <c r="T1254" s="577">
        <f t="shared" si="320"/>
        <v>0</v>
      </c>
      <c r="U1254" s="578">
        <f t="shared" si="321"/>
        <v>0</v>
      </c>
      <c r="V1254" s="579"/>
      <c r="W1254" s="566"/>
      <c r="X1254" s="586" t="str">
        <f t="shared" si="324"/>
        <v/>
      </c>
      <c r="Y1254" s="586" t="str">
        <f t="shared" si="329"/>
        <v/>
      </c>
      <c r="Z1254" s="586" t="str">
        <f t="shared" si="327"/>
        <v/>
      </c>
    </row>
    <row r="1255" spans="1:26" ht="23.25" hidden="1" thickBot="1" x14ac:dyDescent="0.25">
      <c r="A1255" s="567">
        <v>101563</v>
      </c>
      <c r="B1255" s="644">
        <v>101563</v>
      </c>
      <c r="C1255" s="645" t="s">
        <v>670</v>
      </c>
      <c r="D1255" s="422" t="s">
        <v>1106</v>
      </c>
      <c r="E1255" s="423"/>
      <c r="F1255" s="424"/>
      <c r="G1255" s="425"/>
      <c r="H1255" s="651"/>
      <c r="I1255" s="420">
        <v>34.020000000000003</v>
      </c>
      <c r="J1255" s="420">
        <f t="shared" si="326"/>
        <v>34.020000000000003</v>
      </c>
      <c r="K1255" s="421">
        <f t="shared" si="325"/>
        <v>40.42</v>
      </c>
      <c r="L1255" s="647" t="s">
        <v>79</v>
      </c>
      <c r="M1255" s="576"/>
      <c r="N1255" s="576">
        <f t="shared" si="328"/>
        <v>0</v>
      </c>
      <c r="O1255" s="577">
        <f t="shared" si="322"/>
        <v>0</v>
      </c>
      <c r="P1255" s="578">
        <f t="shared" si="323"/>
        <v>0</v>
      </c>
      <c r="Q1255" s="765"/>
      <c r="R1255" s="576">
        <f t="shared" si="319"/>
        <v>0</v>
      </c>
      <c r="S1255" s="576">
        <f t="shared" si="319"/>
        <v>0</v>
      </c>
      <c r="T1255" s="577">
        <f t="shared" si="320"/>
        <v>0</v>
      </c>
      <c r="U1255" s="578">
        <f t="shared" si="321"/>
        <v>0</v>
      </c>
      <c r="V1255" s="579"/>
      <c r="W1255" s="566"/>
      <c r="X1255" s="586" t="str">
        <f t="shared" si="324"/>
        <v/>
      </c>
      <c r="Y1255" s="586" t="str">
        <f t="shared" si="329"/>
        <v/>
      </c>
      <c r="Z1255" s="586" t="str">
        <f t="shared" si="327"/>
        <v/>
      </c>
    </row>
    <row r="1256" spans="1:26" ht="23.25" hidden="1" thickBot="1" x14ac:dyDescent="0.25">
      <c r="A1256" s="567">
        <v>101564</v>
      </c>
      <c r="B1256" s="644">
        <v>101564</v>
      </c>
      <c r="C1256" s="645" t="s">
        <v>670</v>
      </c>
      <c r="D1256" s="422" t="s">
        <v>1107</v>
      </c>
      <c r="E1256" s="423"/>
      <c r="F1256" s="424"/>
      <c r="G1256" s="425"/>
      <c r="H1256" s="651"/>
      <c r="I1256" s="420">
        <v>48.46</v>
      </c>
      <c r="J1256" s="420">
        <f t="shared" si="326"/>
        <v>48.46</v>
      </c>
      <c r="K1256" s="421">
        <f t="shared" si="325"/>
        <v>57.58</v>
      </c>
      <c r="L1256" s="647" t="s">
        <v>79</v>
      </c>
      <c r="M1256" s="576"/>
      <c r="N1256" s="576">
        <f t="shared" si="328"/>
        <v>0</v>
      </c>
      <c r="O1256" s="577">
        <f t="shared" si="322"/>
        <v>0</v>
      </c>
      <c r="P1256" s="578">
        <f t="shared" si="323"/>
        <v>0</v>
      </c>
      <c r="Q1256" s="765"/>
      <c r="R1256" s="576">
        <f t="shared" si="319"/>
        <v>0</v>
      </c>
      <c r="S1256" s="576">
        <f t="shared" si="319"/>
        <v>0</v>
      </c>
      <c r="T1256" s="577">
        <f t="shared" si="320"/>
        <v>0</v>
      </c>
      <c r="U1256" s="578">
        <f t="shared" si="321"/>
        <v>0</v>
      </c>
      <c r="V1256" s="579"/>
      <c r="W1256" s="566"/>
      <c r="X1256" s="586" t="str">
        <f t="shared" si="324"/>
        <v/>
      </c>
      <c r="Y1256" s="586" t="str">
        <f t="shared" si="329"/>
        <v/>
      </c>
      <c r="Z1256" s="586" t="str">
        <f t="shared" si="327"/>
        <v/>
      </c>
    </row>
    <row r="1257" spans="1:26" ht="23.25" hidden="1" thickBot="1" x14ac:dyDescent="0.25">
      <c r="A1257" s="567">
        <v>101565</v>
      </c>
      <c r="B1257" s="644">
        <v>101565</v>
      </c>
      <c r="C1257" s="645" t="s">
        <v>670</v>
      </c>
      <c r="D1257" s="422" t="s">
        <v>1108</v>
      </c>
      <c r="E1257" s="423"/>
      <c r="F1257" s="424"/>
      <c r="G1257" s="425"/>
      <c r="H1257" s="651"/>
      <c r="I1257" s="420">
        <v>67.099999999999994</v>
      </c>
      <c r="J1257" s="420">
        <f t="shared" si="326"/>
        <v>67.099999999999994</v>
      </c>
      <c r="K1257" s="421">
        <f t="shared" si="325"/>
        <v>79.72</v>
      </c>
      <c r="L1257" s="647" t="s">
        <v>79</v>
      </c>
      <c r="M1257" s="576"/>
      <c r="N1257" s="576">
        <f t="shared" si="328"/>
        <v>0</v>
      </c>
      <c r="O1257" s="577">
        <f t="shared" si="322"/>
        <v>0</v>
      </c>
      <c r="P1257" s="578">
        <f t="shared" si="323"/>
        <v>0</v>
      </c>
      <c r="Q1257" s="765"/>
      <c r="R1257" s="576">
        <f t="shared" si="319"/>
        <v>0</v>
      </c>
      <c r="S1257" s="576">
        <f t="shared" si="319"/>
        <v>0</v>
      </c>
      <c r="T1257" s="577">
        <f t="shared" si="320"/>
        <v>0</v>
      </c>
      <c r="U1257" s="578">
        <f t="shared" si="321"/>
        <v>0</v>
      </c>
      <c r="V1257" s="579"/>
      <c r="W1257" s="566"/>
      <c r="X1257" s="586" t="str">
        <f t="shared" si="324"/>
        <v/>
      </c>
      <c r="Y1257" s="586" t="str">
        <f t="shared" si="329"/>
        <v/>
      </c>
      <c r="Z1257" s="586" t="str">
        <f t="shared" si="327"/>
        <v/>
      </c>
    </row>
    <row r="1258" spans="1:26" ht="23.25" hidden="1" thickBot="1" x14ac:dyDescent="0.25">
      <c r="A1258" s="567">
        <v>101567</v>
      </c>
      <c r="B1258" s="644">
        <v>101567</v>
      </c>
      <c r="C1258" s="645" t="s">
        <v>670</v>
      </c>
      <c r="D1258" s="422" t="s">
        <v>1109</v>
      </c>
      <c r="E1258" s="423"/>
      <c r="F1258" s="424"/>
      <c r="G1258" s="425"/>
      <c r="H1258" s="651"/>
      <c r="I1258" s="420">
        <v>89.12</v>
      </c>
      <c r="J1258" s="420">
        <f t="shared" si="326"/>
        <v>89.12</v>
      </c>
      <c r="K1258" s="421">
        <f t="shared" si="325"/>
        <v>105.88</v>
      </c>
      <c r="L1258" s="647" t="s">
        <v>79</v>
      </c>
      <c r="M1258" s="576"/>
      <c r="N1258" s="576">
        <f t="shared" si="328"/>
        <v>0</v>
      </c>
      <c r="O1258" s="577">
        <f t="shared" si="322"/>
        <v>0</v>
      </c>
      <c r="P1258" s="578">
        <f t="shared" si="323"/>
        <v>0</v>
      </c>
      <c r="Q1258" s="765"/>
      <c r="R1258" s="576">
        <f t="shared" ref="R1258:S1321" si="330">M1258</f>
        <v>0</v>
      </c>
      <c r="S1258" s="576">
        <f t="shared" si="330"/>
        <v>0</v>
      </c>
      <c r="T1258" s="577">
        <f t="shared" si="320"/>
        <v>0</v>
      </c>
      <c r="U1258" s="578">
        <f t="shared" si="321"/>
        <v>0</v>
      </c>
      <c r="V1258" s="579"/>
      <c r="W1258" s="566"/>
      <c r="X1258" s="586" t="str">
        <f t="shared" si="324"/>
        <v/>
      </c>
      <c r="Y1258" s="586" t="str">
        <f t="shared" si="329"/>
        <v/>
      </c>
      <c r="Z1258" s="586" t="str">
        <f t="shared" si="327"/>
        <v/>
      </c>
    </row>
    <row r="1259" spans="1:26" ht="23.25" hidden="1" thickBot="1" x14ac:dyDescent="0.25">
      <c r="A1259" s="567">
        <v>101568</v>
      </c>
      <c r="B1259" s="644">
        <v>101568</v>
      </c>
      <c r="C1259" s="645" t="s">
        <v>670</v>
      </c>
      <c r="D1259" s="422" t="s">
        <v>1110</v>
      </c>
      <c r="E1259" s="423"/>
      <c r="F1259" s="424"/>
      <c r="G1259" s="425"/>
      <c r="H1259" s="651"/>
      <c r="I1259" s="420">
        <v>115.98</v>
      </c>
      <c r="J1259" s="420">
        <f t="shared" si="326"/>
        <v>115.98</v>
      </c>
      <c r="K1259" s="421">
        <f t="shared" si="325"/>
        <v>137.80000000000001</v>
      </c>
      <c r="L1259" s="647" t="s">
        <v>79</v>
      </c>
      <c r="M1259" s="576"/>
      <c r="N1259" s="576">
        <f t="shared" si="328"/>
        <v>0</v>
      </c>
      <c r="O1259" s="577">
        <f t="shared" si="322"/>
        <v>0</v>
      </c>
      <c r="P1259" s="578">
        <f t="shared" si="323"/>
        <v>0</v>
      </c>
      <c r="Q1259" s="765"/>
      <c r="R1259" s="576">
        <f t="shared" si="330"/>
        <v>0</v>
      </c>
      <c r="S1259" s="576">
        <f t="shared" si="330"/>
        <v>0</v>
      </c>
      <c r="T1259" s="577">
        <f t="shared" si="320"/>
        <v>0</v>
      </c>
      <c r="U1259" s="578">
        <f t="shared" si="321"/>
        <v>0</v>
      </c>
      <c r="V1259" s="579"/>
      <c r="W1259" s="566"/>
      <c r="X1259" s="586" t="str">
        <f t="shared" si="324"/>
        <v/>
      </c>
      <c r="Y1259" s="586" t="str">
        <f t="shared" si="329"/>
        <v/>
      </c>
      <c r="Z1259" s="586" t="str">
        <f t="shared" si="327"/>
        <v/>
      </c>
    </row>
    <row r="1260" spans="1:26" ht="23.25" hidden="1" thickBot="1" x14ac:dyDescent="0.25">
      <c r="A1260" s="567">
        <v>95777</v>
      </c>
      <c r="B1260" s="644">
        <v>95777</v>
      </c>
      <c r="C1260" s="645" t="s">
        <v>670</v>
      </c>
      <c r="D1260" s="422" t="s">
        <v>1111</v>
      </c>
      <c r="E1260" s="423"/>
      <c r="F1260" s="424"/>
      <c r="G1260" s="425"/>
      <c r="H1260" s="651"/>
      <c r="I1260" s="420">
        <v>31.07</v>
      </c>
      <c r="J1260" s="420">
        <f t="shared" si="326"/>
        <v>31.07</v>
      </c>
      <c r="K1260" s="421">
        <f t="shared" si="325"/>
        <v>36.909999999999997</v>
      </c>
      <c r="L1260" s="647" t="s">
        <v>2065</v>
      </c>
      <c r="M1260" s="576"/>
      <c r="N1260" s="576">
        <f t="shared" si="328"/>
        <v>0</v>
      </c>
      <c r="O1260" s="577">
        <f t="shared" si="322"/>
        <v>0</v>
      </c>
      <c r="P1260" s="578">
        <f t="shared" si="323"/>
        <v>0</v>
      </c>
      <c r="Q1260" s="765"/>
      <c r="R1260" s="576">
        <f t="shared" si="330"/>
        <v>0</v>
      </c>
      <c r="S1260" s="576">
        <f t="shared" si="330"/>
        <v>0</v>
      </c>
      <c r="T1260" s="577">
        <f t="shared" si="320"/>
        <v>0</v>
      </c>
      <c r="U1260" s="578">
        <f t="shared" si="321"/>
        <v>0</v>
      </c>
      <c r="V1260" s="579"/>
      <c r="W1260" s="566"/>
      <c r="X1260" s="586" t="str">
        <f t="shared" si="324"/>
        <v/>
      </c>
      <c r="Y1260" s="586" t="str">
        <f t="shared" si="329"/>
        <v/>
      </c>
      <c r="Z1260" s="586" t="str">
        <f t="shared" si="327"/>
        <v/>
      </c>
    </row>
    <row r="1261" spans="1:26" ht="23.25" hidden="1" thickBot="1" x14ac:dyDescent="0.25">
      <c r="A1261" s="567">
        <v>95778</v>
      </c>
      <c r="B1261" s="644">
        <v>95778</v>
      </c>
      <c r="C1261" s="645" t="s">
        <v>670</v>
      </c>
      <c r="D1261" s="422" t="s">
        <v>1112</v>
      </c>
      <c r="E1261" s="423"/>
      <c r="F1261" s="424"/>
      <c r="G1261" s="425"/>
      <c r="H1261" s="651"/>
      <c r="I1261" s="420">
        <v>31.83</v>
      </c>
      <c r="J1261" s="420">
        <f t="shared" si="326"/>
        <v>31.83</v>
      </c>
      <c r="K1261" s="421">
        <f t="shared" si="325"/>
        <v>37.82</v>
      </c>
      <c r="L1261" s="647" t="s">
        <v>2065</v>
      </c>
      <c r="M1261" s="576"/>
      <c r="N1261" s="576">
        <f t="shared" si="328"/>
        <v>0</v>
      </c>
      <c r="O1261" s="577">
        <f t="shared" si="322"/>
        <v>0</v>
      </c>
      <c r="P1261" s="578">
        <f t="shared" si="323"/>
        <v>0</v>
      </c>
      <c r="Q1261" s="765"/>
      <c r="R1261" s="576">
        <f t="shared" si="330"/>
        <v>0</v>
      </c>
      <c r="S1261" s="576">
        <f t="shared" si="330"/>
        <v>0</v>
      </c>
      <c r="T1261" s="577">
        <f t="shared" si="320"/>
        <v>0</v>
      </c>
      <c r="U1261" s="578">
        <f t="shared" si="321"/>
        <v>0</v>
      </c>
      <c r="V1261" s="579"/>
      <c r="W1261" s="566"/>
      <c r="X1261" s="586" t="str">
        <f t="shared" si="324"/>
        <v/>
      </c>
      <c r="Y1261" s="586" t="str">
        <f t="shared" si="329"/>
        <v/>
      </c>
      <c r="Z1261" s="586" t="str">
        <f t="shared" si="327"/>
        <v/>
      </c>
    </row>
    <row r="1262" spans="1:26" ht="23.25" hidden="1" thickBot="1" x14ac:dyDescent="0.25">
      <c r="A1262" s="567">
        <v>95779</v>
      </c>
      <c r="B1262" s="644">
        <v>95779</v>
      </c>
      <c r="C1262" s="645" t="s">
        <v>670</v>
      </c>
      <c r="D1262" s="422" t="s">
        <v>1113</v>
      </c>
      <c r="E1262" s="423"/>
      <c r="F1262" s="424"/>
      <c r="G1262" s="425"/>
      <c r="H1262" s="651"/>
      <c r="I1262" s="420">
        <v>29.28</v>
      </c>
      <c r="J1262" s="420">
        <f t="shared" si="326"/>
        <v>29.28</v>
      </c>
      <c r="K1262" s="421">
        <f t="shared" si="325"/>
        <v>34.79</v>
      </c>
      <c r="L1262" s="647" t="s">
        <v>2065</v>
      </c>
      <c r="M1262" s="576"/>
      <c r="N1262" s="576">
        <f t="shared" si="328"/>
        <v>0</v>
      </c>
      <c r="O1262" s="577">
        <f t="shared" si="322"/>
        <v>0</v>
      </c>
      <c r="P1262" s="578">
        <f t="shared" si="323"/>
        <v>0</v>
      </c>
      <c r="Q1262" s="765"/>
      <c r="R1262" s="576">
        <f t="shared" si="330"/>
        <v>0</v>
      </c>
      <c r="S1262" s="576">
        <f t="shared" si="330"/>
        <v>0</v>
      </c>
      <c r="T1262" s="577">
        <f t="shared" si="320"/>
        <v>0</v>
      </c>
      <c r="U1262" s="578">
        <f t="shared" si="321"/>
        <v>0</v>
      </c>
      <c r="V1262" s="579"/>
      <c r="W1262" s="566"/>
      <c r="X1262" s="586" t="str">
        <f t="shared" si="324"/>
        <v/>
      </c>
      <c r="Y1262" s="586" t="str">
        <f t="shared" si="329"/>
        <v/>
      </c>
      <c r="Z1262" s="586" t="str">
        <f t="shared" si="327"/>
        <v/>
      </c>
    </row>
    <row r="1263" spans="1:26" ht="23.25" hidden="1" thickBot="1" x14ac:dyDescent="0.25">
      <c r="A1263" s="567">
        <v>95780</v>
      </c>
      <c r="B1263" s="644">
        <v>95780</v>
      </c>
      <c r="C1263" s="645" t="s">
        <v>670</v>
      </c>
      <c r="D1263" s="422" t="s">
        <v>1114</v>
      </c>
      <c r="E1263" s="423"/>
      <c r="F1263" s="424"/>
      <c r="G1263" s="425"/>
      <c r="H1263" s="651"/>
      <c r="I1263" s="420">
        <v>35.340000000000003</v>
      </c>
      <c r="J1263" s="420">
        <f t="shared" si="326"/>
        <v>35.340000000000003</v>
      </c>
      <c r="K1263" s="421">
        <f t="shared" si="325"/>
        <v>41.99</v>
      </c>
      <c r="L1263" s="647" t="s">
        <v>2065</v>
      </c>
      <c r="M1263" s="576"/>
      <c r="N1263" s="576">
        <f t="shared" si="328"/>
        <v>0</v>
      </c>
      <c r="O1263" s="577">
        <f t="shared" si="322"/>
        <v>0</v>
      </c>
      <c r="P1263" s="578">
        <f t="shared" si="323"/>
        <v>0</v>
      </c>
      <c r="Q1263" s="765"/>
      <c r="R1263" s="576">
        <f t="shared" si="330"/>
        <v>0</v>
      </c>
      <c r="S1263" s="576">
        <f t="shared" si="330"/>
        <v>0</v>
      </c>
      <c r="T1263" s="577">
        <f t="shared" si="320"/>
        <v>0</v>
      </c>
      <c r="U1263" s="578">
        <f t="shared" si="321"/>
        <v>0</v>
      </c>
      <c r="V1263" s="579"/>
      <c r="W1263" s="566"/>
      <c r="X1263" s="586" t="str">
        <f t="shared" si="324"/>
        <v/>
      </c>
      <c r="Y1263" s="586" t="str">
        <f t="shared" si="329"/>
        <v/>
      </c>
      <c r="Z1263" s="586" t="str">
        <f t="shared" si="327"/>
        <v/>
      </c>
    </row>
    <row r="1264" spans="1:26" ht="23.25" hidden="1" thickBot="1" x14ac:dyDescent="0.25">
      <c r="A1264" s="567">
        <v>95781</v>
      </c>
      <c r="B1264" s="644">
        <v>95781</v>
      </c>
      <c r="C1264" s="645" t="s">
        <v>670</v>
      </c>
      <c r="D1264" s="422" t="s">
        <v>1115</v>
      </c>
      <c r="E1264" s="423"/>
      <c r="F1264" s="424"/>
      <c r="G1264" s="425"/>
      <c r="H1264" s="651"/>
      <c r="I1264" s="420">
        <v>35.9</v>
      </c>
      <c r="J1264" s="420">
        <f t="shared" si="326"/>
        <v>35.9</v>
      </c>
      <c r="K1264" s="421">
        <f t="shared" si="325"/>
        <v>42.65</v>
      </c>
      <c r="L1264" s="647" t="s">
        <v>2065</v>
      </c>
      <c r="M1264" s="576"/>
      <c r="N1264" s="576">
        <f t="shared" si="328"/>
        <v>0</v>
      </c>
      <c r="O1264" s="577">
        <f t="shared" si="322"/>
        <v>0</v>
      </c>
      <c r="P1264" s="578">
        <f t="shared" si="323"/>
        <v>0</v>
      </c>
      <c r="Q1264" s="765"/>
      <c r="R1264" s="576">
        <f t="shared" si="330"/>
        <v>0</v>
      </c>
      <c r="S1264" s="576">
        <f t="shared" si="330"/>
        <v>0</v>
      </c>
      <c r="T1264" s="577">
        <f t="shared" si="320"/>
        <v>0</v>
      </c>
      <c r="U1264" s="578">
        <f t="shared" si="321"/>
        <v>0</v>
      </c>
      <c r="V1264" s="579"/>
      <c r="W1264" s="566"/>
      <c r="X1264" s="586" t="str">
        <f t="shared" si="324"/>
        <v/>
      </c>
      <c r="Y1264" s="586" t="str">
        <f t="shared" si="329"/>
        <v/>
      </c>
      <c r="Z1264" s="586" t="str">
        <f t="shared" si="327"/>
        <v/>
      </c>
    </row>
    <row r="1265" spans="1:26" ht="23.25" hidden="1" thickBot="1" x14ac:dyDescent="0.25">
      <c r="A1265" s="567">
        <v>95782</v>
      </c>
      <c r="B1265" s="644">
        <v>95782</v>
      </c>
      <c r="C1265" s="645" t="s">
        <v>670</v>
      </c>
      <c r="D1265" s="422" t="s">
        <v>1116</v>
      </c>
      <c r="E1265" s="423"/>
      <c r="F1265" s="424"/>
      <c r="G1265" s="425"/>
      <c r="H1265" s="651"/>
      <c r="I1265" s="420">
        <v>37.39</v>
      </c>
      <c r="J1265" s="420">
        <f t="shared" si="326"/>
        <v>37.39</v>
      </c>
      <c r="K1265" s="421">
        <f t="shared" si="325"/>
        <v>44.42</v>
      </c>
      <c r="L1265" s="647" t="s">
        <v>2065</v>
      </c>
      <c r="M1265" s="576"/>
      <c r="N1265" s="576">
        <f t="shared" si="328"/>
        <v>0</v>
      </c>
      <c r="O1265" s="577">
        <f t="shared" si="322"/>
        <v>0</v>
      </c>
      <c r="P1265" s="578">
        <f t="shared" si="323"/>
        <v>0</v>
      </c>
      <c r="Q1265" s="765"/>
      <c r="R1265" s="576">
        <f t="shared" si="330"/>
        <v>0</v>
      </c>
      <c r="S1265" s="576">
        <f t="shared" si="330"/>
        <v>0</v>
      </c>
      <c r="T1265" s="577">
        <f t="shared" si="320"/>
        <v>0</v>
      </c>
      <c r="U1265" s="578">
        <f t="shared" si="321"/>
        <v>0</v>
      </c>
      <c r="V1265" s="579"/>
      <c r="W1265" s="566"/>
      <c r="X1265" s="586" t="str">
        <f t="shared" si="324"/>
        <v/>
      </c>
      <c r="Y1265" s="586" t="str">
        <f t="shared" si="329"/>
        <v/>
      </c>
      <c r="Z1265" s="586" t="str">
        <f t="shared" si="327"/>
        <v/>
      </c>
    </row>
    <row r="1266" spans="1:26" ht="23.25" hidden="1" thickBot="1" x14ac:dyDescent="0.25">
      <c r="A1266" s="567">
        <v>95785</v>
      </c>
      <c r="B1266" s="644">
        <v>95785</v>
      </c>
      <c r="C1266" s="645" t="s">
        <v>670</v>
      </c>
      <c r="D1266" s="422" t="s">
        <v>1117</v>
      </c>
      <c r="E1266" s="423"/>
      <c r="F1266" s="424"/>
      <c r="G1266" s="425"/>
      <c r="H1266" s="651"/>
      <c r="I1266" s="420">
        <v>42.52</v>
      </c>
      <c r="J1266" s="420">
        <f t="shared" si="326"/>
        <v>42.52</v>
      </c>
      <c r="K1266" s="421">
        <f t="shared" si="325"/>
        <v>50.52</v>
      </c>
      <c r="L1266" s="647" t="s">
        <v>2065</v>
      </c>
      <c r="M1266" s="576"/>
      <c r="N1266" s="576">
        <f t="shared" si="328"/>
        <v>0</v>
      </c>
      <c r="O1266" s="577">
        <f t="shared" si="322"/>
        <v>0</v>
      </c>
      <c r="P1266" s="578">
        <f t="shared" si="323"/>
        <v>0</v>
      </c>
      <c r="Q1266" s="765"/>
      <c r="R1266" s="576">
        <f t="shared" si="330"/>
        <v>0</v>
      </c>
      <c r="S1266" s="576">
        <f t="shared" si="330"/>
        <v>0</v>
      </c>
      <c r="T1266" s="577">
        <f t="shared" si="320"/>
        <v>0</v>
      </c>
      <c r="U1266" s="578">
        <f t="shared" si="321"/>
        <v>0</v>
      </c>
      <c r="V1266" s="579"/>
      <c r="W1266" s="566"/>
      <c r="X1266" s="586" t="str">
        <f t="shared" si="324"/>
        <v/>
      </c>
      <c r="Y1266" s="586" t="str">
        <f t="shared" si="329"/>
        <v/>
      </c>
      <c r="Z1266" s="586" t="str">
        <f t="shared" si="327"/>
        <v/>
      </c>
    </row>
    <row r="1267" spans="1:26" ht="23.25" hidden="1" thickBot="1" x14ac:dyDescent="0.25">
      <c r="A1267" s="567">
        <v>95787</v>
      </c>
      <c r="B1267" s="644">
        <v>95787</v>
      </c>
      <c r="C1267" s="645" t="s">
        <v>670</v>
      </c>
      <c r="D1267" s="422" t="s">
        <v>1118</v>
      </c>
      <c r="E1267" s="423"/>
      <c r="F1267" s="424"/>
      <c r="G1267" s="425"/>
      <c r="H1267" s="651"/>
      <c r="I1267" s="420">
        <v>31.39</v>
      </c>
      <c r="J1267" s="420">
        <f t="shared" si="326"/>
        <v>31.39</v>
      </c>
      <c r="K1267" s="421">
        <f t="shared" si="325"/>
        <v>37.29</v>
      </c>
      <c r="L1267" s="647" t="s">
        <v>2065</v>
      </c>
      <c r="M1267" s="576"/>
      <c r="N1267" s="576">
        <f t="shared" si="328"/>
        <v>0</v>
      </c>
      <c r="O1267" s="577">
        <f t="shared" si="322"/>
        <v>0</v>
      </c>
      <c r="P1267" s="578">
        <f t="shared" si="323"/>
        <v>0</v>
      </c>
      <c r="Q1267" s="765"/>
      <c r="R1267" s="576">
        <f t="shared" si="330"/>
        <v>0</v>
      </c>
      <c r="S1267" s="576">
        <f t="shared" si="330"/>
        <v>0</v>
      </c>
      <c r="T1267" s="577">
        <f t="shared" si="320"/>
        <v>0</v>
      </c>
      <c r="U1267" s="578">
        <f t="shared" si="321"/>
        <v>0</v>
      </c>
      <c r="V1267" s="579"/>
      <c r="W1267" s="566"/>
      <c r="X1267" s="586" t="str">
        <f t="shared" si="324"/>
        <v/>
      </c>
      <c r="Y1267" s="586" t="str">
        <f t="shared" si="329"/>
        <v/>
      </c>
      <c r="Z1267" s="586" t="str">
        <f t="shared" si="327"/>
        <v/>
      </c>
    </row>
    <row r="1268" spans="1:26" ht="23.25" hidden="1" thickBot="1" x14ac:dyDescent="0.25">
      <c r="A1268" s="567">
        <v>95789</v>
      </c>
      <c r="B1268" s="644">
        <v>95789</v>
      </c>
      <c r="C1268" s="645" t="s">
        <v>670</v>
      </c>
      <c r="D1268" s="422" t="s">
        <v>1119</v>
      </c>
      <c r="E1268" s="423"/>
      <c r="F1268" s="424"/>
      <c r="G1268" s="425"/>
      <c r="H1268" s="651"/>
      <c r="I1268" s="420">
        <v>38.909999999999997</v>
      </c>
      <c r="J1268" s="420">
        <f t="shared" si="326"/>
        <v>38.909999999999997</v>
      </c>
      <c r="K1268" s="421">
        <f t="shared" si="325"/>
        <v>46.23</v>
      </c>
      <c r="L1268" s="647" t="s">
        <v>2065</v>
      </c>
      <c r="M1268" s="576"/>
      <c r="N1268" s="576">
        <f t="shared" si="328"/>
        <v>0</v>
      </c>
      <c r="O1268" s="577">
        <f t="shared" si="322"/>
        <v>0</v>
      </c>
      <c r="P1268" s="578">
        <f t="shared" si="323"/>
        <v>0</v>
      </c>
      <c r="Q1268" s="765"/>
      <c r="R1268" s="576">
        <f t="shared" si="330"/>
        <v>0</v>
      </c>
      <c r="S1268" s="576">
        <f t="shared" si="330"/>
        <v>0</v>
      </c>
      <c r="T1268" s="577">
        <f t="shared" ref="T1268:T1331" si="331">IF(ISBLANK(R1268),0,ROUND(K1268*R1268,2))</f>
        <v>0</v>
      </c>
      <c r="U1268" s="578">
        <f t="shared" ref="U1268:U1331" si="332">IF(ISBLANK(R1268),0,ROUND(R1268*S1268,2))</f>
        <v>0</v>
      </c>
      <c r="V1268" s="579"/>
      <c r="W1268" s="566"/>
      <c r="X1268" s="586" t="str">
        <f t="shared" si="324"/>
        <v/>
      </c>
      <c r="Y1268" s="586" t="str">
        <f t="shared" si="329"/>
        <v/>
      </c>
      <c r="Z1268" s="586" t="str">
        <f t="shared" si="327"/>
        <v/>
      </c>
    </row>
    <row r="1269" spans="1:26" ht="23.25" hidden="1" thickBot="1" x14ac:dyDescent="0.25">
      <c r="A1269" s="567">
        <v>95791</v>
      </c>
      <c r="B1269" s="644">
        <v>95791</v>
      </c>
      <c r="C1269" s="645" t="s">
        <v>670</v>
      </c>
      <c r="D1269" s="422" t="s">
        <v>1120</v>
      </c>
      <c r="E1269" s="423"/>
      <c r="F1269" s="424"/>
      <c r="G1269" s="425"/>
      <c r="H1269" s="651"/>
      <c r="I1269" s="420">
        <v>50.14</v>
      </c>
      <c r="J1269" s="420">
        <f t="shared" si="326"/>
        <v>50.14</v>
      </c>
      <c r="K1269" s="421">
        <f t="shared" si="325"/>
        <v>59.57</v>
      </c>
      <c r="L1269" s="647" t="s">
        <v>2065</v>
      </c>
      <c r="M1269" s="576"/>
      <c r="N1269" s="576">
        <f t="shared" si="328"/>
        <v>0</v>
      </c>
      <c r="O1269" s="577">
        <f t="shared" ref="O1269:O1332" si="333">IF(ISBLANK(M1269),0,ROUND(K1269*M1269,2))</f>
        <v>0</v>
      </c>
      <c r="P1269" s="578">
        <f t="shared" ref="P1269:P1332" si="334">IF(ISBLANK(N1269),0,ROUND(M1269*N1269,2))</f>
        <v>0</v>
      </c>
      <c r="Q1269" s="765"/>
      <c r="R1269" s="576">
        <f t="shared" si="330"/>
        <v>0</v>
      </c>
      <c r="S1269" s="576">
        <f t="shared" si="330"/>
        <v>0</v>
      </c>
      <c r="T1269" s="577">
        <f t="shared" si="331"/>
        <v>0</v>
      </c>
      <c r="U1269" s="578">
        <f t="shared" si="332"/>
        <v>0</v>
      </c>
      <c r="V1269" s="579"/>
      <c r="W1269" s="566"/>
      <c r="X1269" s="586" t="str">
        <f t="shared" si="324"/>
        <v/>
      </c>
      <c r="Y1269" s="586" t="str">
        <f t="shared" si="329"/>
        <v/>
      </c>
      <c r="Z1269" s="586" t="str">
        <f t="shared" si="327"/>
        <v/>
      </c>
    </row>
    <row r="1270" spans="1:26" ht="23.25" hidden="1" thickBot="1" x14ac:dyDescent="0.25">
      <c r="A1270" s="567">
        <v>95795</v>
      </c>
      <c r="B1270" s="644">
        <v>95795</v>
      </c>
      <c r="C1270" s="645" t="s">
        <v>670</v>
      </c>
      <c r="D1270" s="422" t="s">
        <v>1121</v>
      </c>
      <c r="E1270" s="423"/>
      <c r="F1270" s="424"/>
      <c r="G1270" s="425"/>
      <c r="H1270" s="651"/>
      <c r="I1270" s="420">
        <v>36.229999999999997</v>
      </c>
      <c r="J1270" s="420">
        <f t="shared" si="326"/>
        <v>36.229999999999997</v>
      </c>
      <c r="K1270" s="421">
        <f t="shared" si="325"/>
        <v>43.04</v>
      </c>
      <c r="L1270" s="647" t="s">
        <v>2065</v>
      </c>
      <c r="M1270" s="576"/>
      <c r="N1270" s="576">
        <f t="shared" si="328"/>
        <v>0</v>
      </c>
      <c r="O1270" s="577">
        <f t="shared" si="333"/>
        <v>0</v>
      </c>
      <c r="P1270" s="578">
        <f t="shared" si="334"/>
        <v>0</v>
      </c>
      <c r="Q1270" s="765"/>
      <c r="R1270" s="576">
        <f t="shared" si="330"/>
        <v>0</v>
      </c>
      <c r="S1270" s="576">
        <f t="shared" si="330"/>
        <v>0</v>
      </c>
      <c r="T1270" s="577">
        <f t="shared" si="331"/>
        <v>0</v>
      </c>
      <c r="U1270" s="578">
        <f t="shared" si="332"/>
        <v>0</v>
      </c>
      <c r="V1270" s="579"/>
      <c r="W1270" s="566"/>
      <c r="X1270" s="586" t="str">
        <f t="shared" si="324"/>
        <v/>
      </c>
      <c r="Y1270" s="586" t="str">
        <f t="shared" si="329"/>
        <v/>
      </c>
      <c r="Z1270" s="586" t="str">
        <f t="shared" si="327"/>
        <v/>
      </c>
    </row>
    <row r="1271" spans="1:26" ht="23.25" hidden="1" thickBot="1" x14ac:dyDescent="0.25">
      <c r="A1271" s="567">
        <v>95796</v>
      </c>
      <c r="B1271" s="644">
        <v>95796</v>
      </c>
      <c r="C1271" s="645" t="s">
        <v>670</v>
      </c>
      <c r="D1271" s="422" t="s">
        <v>1122</v>
      </c>
      <c r="E1271" s="423"/>
      <c r="F1271" s="424"/>
      <c r="G1271" s="425"/>
      <c r="H1271" s="651"/>
      <c r="I1271" s="420">
        <v>45.79</v>
      </c>
      <c r="J1271" s="420">
        <f t="shared" si="326"/>
        <v>45.79</v>
      </c>
      <c r="K1271" s="421">
        <f t="shared" si="325"/>
        <v>54.4</v>
      </c>
      <c r="L1271" s="647" t="s">
        <v>2065</v>
      </c>
      <c r="M1271" s="576"/>
      <c r="N1271" s="576">
        <f t="shared" si="328"/>
        <v>0</v>
      </c>
      <c r="O1271" s="577">
        <f t="shared" si="333"/>
        <v>0</v>
      </c>
      <c r="P1271" s="578">
        <f t="shared" si="334"/>
        <v>0</v>
      </c>
      <c r="Q1271" s="765"/>
      <c r="R1271" s="576">
        <f t="shared" si="330"/>
        <v>0</v>
      </c>
      <c r="S1271" s="576">
        <f t="shared" si="330"/>
        <v>0</v>
      </c>
      <c r="T1271" s="577">
        <f t="shared" si="331"/>
        <v>0</v>
      </c>
      <c r="U1271" s="578">
        <f t="shared" si="332"/>
        <v>0</v>
      </c>
      <c r="V1271" s="579"/>
      <c r="W1271" s="566"/>
      <c r="X1271" s="586" t="str">
        <f t="shared" si="324"/>
        <v/>
      </c>
      <c r="Y1271" s="586" t="str">
        <f t="shared" si="329"/>
        <v/>
      </c>
      <c r="Z1271" s="586" t="str">
        <f t="shared" si="327"/>
        <v/>
      </c>
    </row>
    <row r="1272" spans="1:26" ht="23.25" hidden="1" thickBot="1" x14ac:dyDescent="0.25">
      <c r="A1272" s="567">
        <v>95797</v>
      </c>
      <c r="B1272" s="644">
        <v>95797</v>
      </c>
      <c r="C1272" s="645" t="s">
        <v>670</v>
      </c>
      <c r="D1272" s="422" t="s">
        <v>1123</v>
      </c>
      <c r="E1272" s="423"/>
      <c r="F1272" s="424"/>
      <c r="G1272" s="425"/>
      <c r="H1272" s="651"/>
      <c r="I1272" s="420">
        <v>58.23</v>
      </c>
      <c r="J1272" s="420">
        <f t="shared" si="326"/>
        <v>58.23</v>
      </c>
      <c r="K1272" s="421">
        <f t="shared" si="325"/>
        <v>69.180000000000007</v>
      </c>
      <c r="L1272" s="647" t="s">
        <v>2065</v>
      </c>
      <c r="M1272" s="576"/>
      <c r="N1272" s="576">
        <f t="shared" si="328"/>
        <v>0</v>
      </c>
      <c r="O1272" s="577">
        <f t="shared" si="333"/>
        <v>0</v>
      </c>
      <c r="P1272" s="578">
        <f t="shared" si="334"/>
        <v>0</v>
      </c>
      <c r="Q1272" s="765"/>
      <c r="R1272" s="576">
        <f t="shared" si="330"/>
        <v>0</v>
      </c>
      <c r="S1272" s="576">
        <f t="shared" si="330"/>
        <v>0</v>
      </c>
      <c r="T1272" s="577">
        <f t="shared" si="331"/>
        <v>0</v>
      </c>
      <c r="U1272" s="578">
        <f t="shared" si="332"/>
        <v>0</v>
      </c>
      <c r="V1272" s="579"/>
      <c r="W1272" s="566"/>
      <c r="X1272" s="586" t="str">
        <f t="shared" si="324"/>
        <v/>
      </c>
      <c r="Y1272" s="586" t="str">
        <f t="shared" si="329"/>
        <v/>
      </c>
      <c r="Z1272" s="586" t="str">
        <f t="shared" si="327"/>
        <v/>
      </c>
    </row>
    <row r="1273" spans="1:26" ht="23.25" hidden="1" thickBot="1" x14ac:dyDescent="0.25">
      <c r="A1273" s="567">
        <v>95801</v>
      </c>
      <c r="B1273" s="644">
        <v>95801</v>
      </c>
      <c r="C1273" s="645" t="s">
        <v>670</v>
      </c>
      <c r="D1273" s="422" t="s">
        <v>1124</v>
      </c>
      <c r="E1273" s="423"/>
      <c r="F1273" s="424"/>
      <c r="G1273" s="425"/>
      <c r="H1273" s="651"/>
      <c r="I1273" s="420">
        <v>43.52</v>
      </c>
      <c r="J1273" s="420">
        <f t="shared" si="326"/>
        <v>43.52</v>
      </c>
      <c r="K1273" s="421">
        <f t="shared" si="325"/>
        <v>51.71</v>
      </c>
      <c r="L1273" s="647" t="s">
        <v>2065</v>
      </c>
      <c r="M1273" s="576"/>
      <c r="N1273" s="576">
        <f t="shared" si="328"/>
        <v>0</v>
      </c>
      <c r="O1273" s="577">
        <f t="shared" si="333"/>
        <v>0</v>
      </c>
      <c r="P1273" s="578">
        <f t="shared" si="334"/>
        <v>0</v>
      </c>
      <c r="Q1273" s="765"/>
      <c r="R1273" s="576">
        <f t="shared" si="330"/>
        <v>0</v>
      </c>
      <c r="S1273" s="576">
        <f t="shared" si="330"/>
        <v>0</v>
      </c>
      <c r="T1273" s="577">
        <f t="shared" si="331"/>
        <v>0</v>
      </c>
      <c r="U1273" s="578">
        <f t="shared" si="332"/>
        <v>0</v>
      </c>
      <c r="V1273" s="579"/>
      <c r="W1273" s="566"/>
      <c r="X1273" s="586" t="str">
        <f t="shared" si="324"/>
        <v/>
      </c>
      <c r="Y1273" s="586" t="str">
        <f t="shared" si="329"/>
        <v/>
      </c>
      <c r="Z1273" s="586" t="str">
        <f t="shared" si="327"/>
        <v/>
      </c>
    </row>
    <row r="1274" spans="1:26" ht="23.25" hidden="1" thickBot="1" x14ac:dyDescent="0.25">
      <c r="A1274" s="567">
        <v>95802</v>
      </c>
      <c r="B1274" s="644">
        <v>95802</v>
      </c>
      <c r="C1274" s="645" t="s">
        <v>670</v>
      </c>
      <c r="D1274" s="422" t="s">
        <v>1125</v>
      </c>
      <c r="E1274" s="423"/>
      <c r="F1274" s="424"/>
      <c r="G1274" s="425"/>
      <c r="H1274" s="651"/>
      <c r="I1274" s="420">
        <v>48.57</v>
      </c>
      <c r="J1274" s="420">
        <f t="shared" si="326"/>
        <v>48.57</v>
      </c>
      <c r="K1274" s="421">
        <f t="shared" si="325"/>
        <v>57.71</v>
      </c>
      <c r="L1274" s="647" t="s">
        <v>2065</v>
      </c>
      <c r="M1274" s="576"/>
      <c r="N1274" s="576">
        <f t="shared" si="328"/>
        <v>0</v>
      </c>
      <c r="O1274" s="577">
        <f t="shared" si="333"/>
        <v>0</v>
      </c>
      <c r="P1274" s="578">
        <f t="shared" si="334"/>
        <v>0</v>
      </c>
      <c r="Q1274" s="765"/>
      <c r="R1274" s="576">
        <f t="shared" si="330"/>
        <v>0</v>
      </c>
      <c r="S1274" s="576">
        <f t="shared" si="330"/>
        <v>0</v>
      </c>
      <c r="T1274" s="577">
        <f t="shared" si="331"/>
        <v>0</v>
      </c>
      <c r="U1274" s="578">
        <f t="shared" si="332"/>
        <v>0</v>
      </c>
      <c r="V1274" s="579"/>
      <c r="W1274" s="566"/>
      <c r="X1274" s="586" t="str">
        <f t="shared" si="324"/>
        <v/>
      </c>
      <c r="Y1274" s="586" t="str">
        <f t="shared" si="329"/>
        <v/>
      </c>
      <c r="Z1274" s="586" t="str">
        <f t="shared" si="327"/>
        <v/>
      </c>
    </row>
    <row r="1275" spans="1:26" ht="23.25" hidden="1" thickBot="1" x14ac:dyDescent="0.25">
      <c r="A1275" s="567">
        <v>95803</v>
      </c>
      <c r="B1275" s="644">
        <v>95803</v>
      </c>
      <c r="C1275" s="645" t="s">
        <v>670</v>
      </c>
      <c r="D1275" s="422" t="s">
        <v>1126</v>
      </c>
      <c r="E1275" s="423"/>
      <c r="F1275" s="424"/>
      <c r="G1275" s="425"/>
      <c r="H1275" s="651"/>
      <c r="I1275" s="420">
        <v>64.45</v>
      </c>
      <c r="J1275" s="420">
        <f t="shared" si="326"/>
        <v>64.45</v>
      </c>
      <c r="K1275" s="421">
        <f t="shared" si="325"/>
        <v>76.569999999999993</v>
      </c>
      <c r="L1275" s="647" t="s">
        <v>2065</v>
      </c>
      <c r="M1275" s="576"/>
      <c r="N1275" s="576">
        <f t="shared" si="328"/>
        <v>0</v>
      </c>
      <c r="O1275" s="577">
        <f t="shared" si="333"/>
        <v>0</v>
      </c>
      <c r="P1275" s="578">
        <f t="shared" si="334"/>
        <v>0</v>
      </c>
      <c r="Q1275" s="765"/>
      <c r="R1275" s="576">
        <f t="shared" si="330"/>
        <v>0</v>
      </c>
      <c r="S1275" s="576">
        <f t="shared" si="330"/>
        <v>0</v>
      </c>
      <c r="T1275" s="577">
        <f t="shared" si="331"/>
        <v>0</v>
      </c>
      <c r="U1275" s="578">
        <f t="shared" si="332"/>
        <v>0</v>
      </c>
      <c r="V1275" s="579"/>
      <c r="W1275" s="566"/>
      <c r="X1275" s="586" t="str">
        <f t="shared" si="324"/>
        <v/>
      </c>
      <c r="Y1275" s="586" t="str">
        <f t="shared" si="329"/>
        <v/>
      </c>
      <c r="Z1275" s="586" t="str">
        <f t="shared" si="327"/>
        <v/>
      </c>
    </row>
    <row r="1276" spans="1:26" ht="23.25" hidden="1" thickBot="1" x14ac:dyDescent="0.25">
      <c r="A1276" s="567">
        <v>95804</v>
      </c>
      <c r="B1276" s="644">
        <v>95804</v>
      </c>
      <c r="C1276" s="645" t="s">
        <v>670</v>
      </c>
      <c r="D1276" s="422" t="s">
        <v>1127</v>
      </c>
      <c r="E1276" s="423"/>
      <c r="F1276" s="424"/>
      <c r="G1276" s="425"/>
      <c r="H1276" s="651"/>
      <c r="I1276" s="420">
        <v>31.37</v>
      </c>
      <c r="J1276" s="420">
        <f t="shared" si="326"/>
        <v>31.37</v>
      </c>
      <c r="K1276" s="421">
        <f t="shared" si="325"/>
        <v>37.270000000000003</v>
      </c>
      <c r="L1276" s="647" t="s">
        <v>2065</v>
      </c>
      <c r="M1276" s="576"/>
      <c r="N1276" s="576">
        <f t="shared" si="328"/>
        <v>0</v>
      </c>
      <c r="O1276" s="577">
        <f t="shared" si="333"/>
        <v>0</v>
      </c>
      <c r="P1276" s="578">
        <f t="shared" si="334"/>
        <v>0</v>
      </c>
      <c r="Q1276" s="765"/>
      <c r="R1276" s="576">
        <f t="shared" si="330"/>
        <v>0</v>
      </c>
      <c r="S1276" s="576">
        <f t="shared" si="330"/>
        <v>0</v>
      </c>
      <c r="T1276" s="577">
        <f t="shared" si="331"/>
        <v>0</v>
      </c>
      <c r="U1276" s="578">
        <f t="shared" si="332"/>
        <v>0</v>
      </c>
      <c r="V1276" s="579"/>
      <c r="W1276" s="566"/>
      <c r="X1276" s="586" t="str">
        <f t="shared" si="324"/>
        <v/>
      </c>
      <c r="Y1276" s="586" t="str">
        <f t="shared" si="329"/>
        <v/>
      </c>
      <c r="Z1276" s="586" t="str">
        <f t="shared" si="327"/>
        <v/>
      </c>
    </row>
    <row r="1277" spans="1:26" ht="23.25" hidden="1" thickBot="1" x14ac:dyDescent="0.25">
      <c r="A1277" s="567">
        <v>95805</v>
      </c>
      <c r="B1277" s="644">
        <v>95805</v>
      </c>
      <c r="C1277" s="645" t="s">
        <v>670</v>
      </c>
      <c r="D1277" s="422" t="s">
        <v>1128</v>
      </c>
      <c r="E1277" s="423"/>
      <c r="F1277" s="424"/>
      <c r="G1277" s="425"/>
      <c r="H1277" s="651"/>
      <c r="I1277" s="420">
        <v>31.61</v>
      </c>
      <c r="J1277" s="420">
        <f t="shared" si="326"/>
        <v>31.61</v>
      </c>
      <c r="K1277" s="421">
        <f t="shared" si="325"/>
        <v>37.56</v>
      </c>
      <c r="L1277" s="647" t="s">
        <v>2065</v>
      </c>
      <c r="M1277" s="576"/>
      <c r="N1277" s="576">
        <f t="shared" si="328"/>
        <v>0</v>
      </c>
      <c r="O1277" s="577">
        <f t="shared" si="333"/>
        <v>0</v>
      </c>
      <c r="P1277" s="578">
        <f t="shared" si="334"/>
        <v>0</v>
      </c>
      <c r="Q1277" s="765"/>
      <c r="R1277" s="576">
        <f t="shared" si="330"/>
        <v>0</v>
      </c>
      <c r="S1277" s="576">
        <f t="shared" si="330"/>
        <v>0</v>
      </c>
      <c r="T1277" s="577">
        <f t="shared" si="331"/>
        <v>0</v>
      </c>
      <c r="U1277" s="578">
        <f t="shared" si="332"/>
        <v>0</v>
      </c>
      <c r="V1277" s="579"/>
      <c r="W1277" s="566"/>
      <c r="X1277" s="586" t="str">
        <f t="shared" ref="X1277:X1340" si="335">IF(W1277="X","x",IF(W1277="xx","x",IF(W1277="xy","x",IF(W1277="y","x",IF(OR(P1277&gt;0,U1277&gt;0),"x","")))))</f>
        <v/>
      </c>
      <c r="Y1277" s="586" t="str">
        <f t="shared" si="329"/>
        <v/>
      </c>
      <c r="Z1277" s="586" t="str">
        <f t="shared" si="327"/>
        <v/>
      </c>
    </row>
    <row r="1278" spans="1:26" ht="23.25" hidden="1" thickBot="1" x14ac:dyDescent="0.25">
      <c r="A1278" s="567">
        <v>95806</v>
      </c>
      <c r="B1278" s="644">
        <v>95806</v>
      </c>
      <c r="C1278" s="645" t="s">
        <v>670</v>
      </c>
      <c r="D1278" s="422" t="s">
        <v>1129</v>
      </c>
      <c r="E1278" s="423"/>
      <c r="F1278" s="424"/>
      <c r="G1278" s="425"/>
      <c r="H1278" s="651"/>
      <c r="I1278" s="420">
        <v>32.68</v>
      </c>
      <c r="J1278" s="420">
        <f t="shared" si="326"/>
        <v>32.68</v>
      </c>
      <c r="K1278" s="421">
        <f t="shared" si="325"/>
        <v>38.83</v>
      </c>
      <c r="L1278" s="647" t="s">
        <v>2065</v>
      </c>
      <c r="M1278" s="576"/>
      <c r="N1278" s="576">
        <f t="shared" si="328"/>
        <v>0</v>
      </c>
      <c r="O1278" s="577">
        <f t="shared" si="333"/>
        <v>0</v>
      </c>
      <c r="P1278" s="578">
        <f t="shared" si="334"/>
        <v>0</v>
      </c>
      <c r="Q1278" s="765"/>
      <c r="R1278" s="576">
        <f t="shared" si="330"/>
        <v>0</v>
      </c>
      <c r="S1278" s="576">
        <f t="shared" si="330"/>
        <v>0</v>
      </c>
      <c r="T1278" s="577">
        <f t="shared" si="331"/>
        <v>0</v>
      </c>
      <c r="U1278" s="578">
        <f t="shared" si="332"/>
        <v>0</v>
      </c>
      <c r="V1278" s="579"/>
      <c r="W1278" s="566"/>
      <c r="X1278" s="586" t="str">
        <f t="shared" si="335"/>
        <v/>
      </c>
      <c r="Y1278" s="586" t="str">
        <f t="shared" si="329"/>
        <v/>
      </c>
      <c r="Z1278" s="586" t="str">
        <f t="shared" si="327"/>
        <v/>
      </c>
    </row>
    <row r="1279" spans="1:26" ht="23.25" hidden="1" thickBot="1" x14ac:dyDescent="0.25">
      <c r="A1279" s="567">
        <v>95807</v>
      </c>
      <c r="B1279" s="644">
        <v>95807</v>
      </c>
      <c r="C1279" s="645" t="s">
        <v>670</v>
      </c>
      <c r="D1279" s="422" t="s">
        <v>1130</v>
      </c>
      <c r="E1279" s="423"/>
      <c r="F1279" s="424"/>
      <c r="G1279" s="425"/>
      <c r="H1279" s="651"/>
      <c r="I1279" s="420">
        <v>35.81</v>
      </c>
      <c r="J1279" s="420">
        <f t="shared" si="326"/>
        <v>35.81</v>
      </c>
      <c r="K1279" s="421">
        <f t="shared" si="325"/>
        <v>42.55</v>
      </c>
      <c r="L1279" s="647" t="s">
        <v>2065</v>
      </c>
      <c r="M1279" s="576"/>
      <c r="N1279" s="576">
        <f t="shared" si="328"/>
        <v>0</v>
      </c>
      <c r="O1279" s="577">
        <f t="shared" si="333"/>
        <v>0</v>
      </c>
      <c r="P1279" s="578">
        <f t="shared" si="334"/>
        <v>0</v>
      </c>
      <c r="Q1279" s="765"/>
      <c r="R1279" s="576">
        <f t="shared" si="330"/>
        <v>0</v>
      </c>
      <c r="S1279" s="576">
        <f t="shared" si="330"/>
        <v>0</v>
      </c>
      <c r="T1279" s="577">
        <f t="shared" si="331"/>
        <v>0</v>
      </c>
      <c r="U1279" s="578">
        <f t="shared" si="332"/>
        <v>0</v>
      </c>
      <c r="V1279" s="579"/>
      <c r="W1279" s="566"/>
      <c r="X1279" s="586" t="str">
        <f t="shared" si="335"/>
        <v/>
      </c>
      <c r="Y1279" s="586" t="str">
        <f t="shared" si="329"/>
        <v/>
      </c>
      <c r="Z1279" s="586" t="str">
        <f t="shared" si="327"/>
        <v/>
      </c>
    </row>
    <row r="1280" spans="1:26" ht="23.25" hidden="1" thickBot="1" x14ac:dyDescent="0.25">
      <c r="A1280" s="567">
        <v>95808</v>
      </c>
      <c r="B1280" s="644">
        <v>95808</v>
      </c>
      <c r="C1280" s="645" t="s">
        <v>670</v>
      </c>
      <c r="D1280" s="422" t="s">
        <v>1131</v>
      </c>
      <c r="E1280" s="423"/>
      <c r="F1280" s="424"/>
      <c r="G1280" s="425"/>
      <c r="H1280" s="651"/>
      <c r="I1280" s="420">
        <v>36.549999999999997</v>
      </c>
      <c r="J1280" s="420">
        <f t="shared" si="326"/>
        <v>36.549999999999997</v>
      </c>
      <c r="K1280" s="421">
        <f t="shared" si="325"/>
        <v>43.43</v>
      </c>
      <c r="L1280" s="647" t="s">
        <v>2065</v>
      </c>
      <c r="M1280" s="576"/>
      <c r="N1280" s="576">
        <f t="shared" si="328"/>
        <v>0</v>
      </c>
      <c r="O1280" s="577">
        <f t="shared" si="333"/>
        <v>0</v>
      </c>
      <c r="P1280" s="578">
        <f t="shared" si="334"/>
        <v>0</v>
      </c>
      <c r="Q1280" s="765"/>
      <c r="R1280" s="576">
        <f t="shared" si="330"/>
        <v>0</v>
      </c>
      <c r="S1280" s="576">
        <f t="shared" si="330"/>
        <v>0</v>
      </c>
      <c r="T1280" s="577">
        <f t="shared" si="331"/>
        <v>0</v>
      </c>
      <c r="U1280" s="578">
        <f t="shared" si="332"/>
        <v>0</v>
      </c>
      <c r="V1280" s="579"/>
      <c r="W1280" s="566"/>
      <c r="X1280" s="586" t="str">
        <f t="shared" si="335"/>
        <v/>
      </c>
      <c r="Y1280" s="586" t="str">
        <f t="shared" si="329"/>
        <v/>
      </c>
      <c r="Z1280" s="586" t="str">
        <f t="shared" si="327"/>
        <v/>
      </c>
    </row>
    <row r="1281" spans="1:26" ht="23.25" hidden="1" thickBot="1" x14ac:dyDescent="0.25">
      <c r="A1281" s="567">
        <v>95809</v>
      </c>
      <c r="B1281" s="644">
        <v>95809</v>
      </c>
      <c r="C1281" s="645" t="s">
        <v>670</v>
      </c>
      <c r="D1281" s="422" t="s">
        <v>1132</v>
      </c>
      <c r="E1281" s="423"/>
      <c r="F1281" s="424"/>
      <c r="G1281" s="425"/>
      <c r="H1281" s="651"/>
      <c r="I1281" s="420">
        <v>40.49</v>
      </c>
      <c r="J1281" s="420">
        <f t="shared" si="326"/>
        <v>40.49</v>
      </c>
      <c r="K1281" s="421">
        <f t="shared" si="325"/>
        <v>48.11</v>
      </c>
      <c r="L1281" s="647" t="s">
        <v>2065</v>
      </c>
      <c r="M1281" s="576"/>
      <c r="N1281" s="576">
        <f t="shared" si="328"/>
        <v>0</v>
      </c>
      <c r="O1281" s="577">
        <f t="shared" si="333"/>
        <v>0</v>
      </c>
      <c r="P1281" s="578">
        <f t="shared" si="334"/>
        <v>0</v>
      </c>
      <c r="Q1281" s="765"/>
      <c r="R1281" s="576">
        <f t="shared" si="330"/>
        <v>0</v>
      </c>
      <c r="S1281" s="576">
        <f t="shared" si="330"/>
        <v>0</v>
      </c>
      <c r="T1281" s="577">
        <f t="shared" si="331"/>
        <v>0</v>
      </c>
      <c r="U1281" s="578">
        <f t="shared" si="332"/>
        <v>0</v>
      </c>
      <c r="V1281" s="579"/>
      <c r="W1281" s="566"/>
      <c r="X1281" s="586" t="str">
        <f t="shared" si="335"/>
        <v/>
      </c>
      <c r="Y1281" s="586" t="str">
        <f t="shared" si="329"/>
        <v/>
      </c>
      <c r="Z1281" s="586" t="str">
        <f t="shared" si="327"/>
        <v/>
      </c>
    </row>
    <row r="1282" spans="1:26" ht="23.25" hidden="1" thickBot="1" x14ac:dyDescent="0.25">
      <c r="A1282" s="567">
        <v>95810</v>
      </c>
      <c r="B1282" s="644">
        <v>95810</v>
      </c>
      <c r="C1282" s="645" t="s">
        <v>670</v>
      </c>
      <c r="D1282" s="422" t="s">
        <v>1133</v>
      </c>
      <c r="E1282" s="423"/>
      <c r="F1282" s="424"/>
      <c r="G1282" s="425"/>
      <c r="H1282" s="651"/>
      <c r="I1282" s="420">
        <v>21.91</v>
      </c>
      <c r="J1282" s="420">
        <f t="shared" si="326"/>
        <v>21.91</v>
      </c>
      <c r="K1282" s="421">
        <f t="shared" si="325"/>
        <v>26.03</v>
      </c>
      <c r="L1282" s="647" t="s">
        <v>2065</v>
      </c>
      <c r="M1282" s="576"/>
      <c r="N1282" s="576">
        <f t="shared" si="328"/>
        <v>0</v>
      </c>
      <c r="O1282" s="577">
        <f t="shared" si="333"/>
        <v>0</v>
      </c>
      <c r="P1282" s="578">
        <f t="shared" si="334"/>
        <v>0</v>
      </c>
      <c r="Q1282" s="765"/>
      <c r="R1282" s="576">
        <f t="shared" si="330"/>
        <v>0</v>
      </c>
      <c r="S1282" s="576">
        <f t="shared" si="330"/>
        <v>0</v>
      </c>
      <c r="T1282" s="577">
        <f t="shared" si="331"/>
        <v>0</v>
      </c>
      <c r="U1282" s="578">
        <f t="shared" si="332"/>
        <v>0</v>
      </c>
      <c r="V1282" s="579"/>
      <c r="W1282" s="566"/>
      <c r="X1282" s="586" t="str">
        <f t="shared" si="335"/>
        <v/>
      </c>
      <c r="Y1282" s="586" t="str">
        <f t="shared" si="329"/>
        <v/>
      </c>
      <c r="Z1282" s="586" t="str">
        <f t="shared" si="327"/>
        <v/>
      </c>
    </row>
    <row r="1283" spans="1:26" ht="23.25" hidden="1" thickBot="1" x14ac:dyDescent="0.25">
      <c r="A1283" s="567">
        <v>95811</v>
      </c>
      <c r="B1283" s="644">
        <v>95811</v>
      </c>
      <c r="C1283" s="645" t="s">
        <v>670</v>
      </c>
      <c r="D1283" s="422" t="s">
        <v>1134</v>
      </c>
      <c r="E1283" s="423"/>
      <c r="F1283" s="424"/>
      <c r="G1283" s="425"/>
      <c r="H1283" s="651"/>
      <c r="I1283" s="420">
        <v>22.65</v>
      </c>
      <c r="J1283" s="420">
        <f t="shared" si="326"/>
        <v>22.65</v>
      </c>
      <c r="K1283" s="421">
        <f t="shared" si="325"/>
        <v>26.91</v>
      </c>
      <c r="L1283" s="647" t="s">
        <v>2065</v>
      </c>
      <c r="M1283" s="576"/>
      <c r="N1283" s="576">
        <f t="shared" si="328"/>
        <v>0</v>
      </c>
      <c r="O1283" s="577">
        <f t="shared" si="333"/>
        <v>0</v>
      </c>
      <c r="P1283" s="578">
        <f t="shared" si="334"/>
        <v>0</v>
      </c>
      <c r="Q1283" s="765"/>
      <c r="R1283" s="576">
        <f t="shared" si="330"/>
        <v>0</v>
      </c>
      <c r="S1283" s="576">
        <f t="shared" si="330"/>
        <v>0</v>
      </c>
      <c r="T1283" s="577">
        <f t="shared" si="331"/>
        <v>0</v>
      </c>
      <c r="U1283" s="578">
        <f t="shared" si="332"/>
        <v>0</v>
      </c>
      <c r="V1283" s="579"/>
      <c r="W1283" s="566"/>
      <c r="X1283" s="586" t="str">
        <f t="shared" si="335"/>
        <v/>
      </c>
      <c r="Y1283" s="586" t="str">
        <f t="shared" si="329"/>
        <v/>
      </c>
      <c r="Z1283" s="586" t="str">
        <f t="shared" si="327"/>
        <v/>
      </c>
    </row>
    <row r="1284" spans="1:26" ht="23.25" hidden="1" thickBot="1" x14ac:dyDescent="0.25">
      <c r="A1284" s="567">
        <v>95812</v>
      </c>
      <c r="B1284" s="644">
        <v>95812</v>
      </c>
      <c r="C1284" s="645" t="s">
        <v>670</v>
      </c>
      <c r="D1284" s="422" t="s">
        <v>1135</v>
      </c>
      <c r="E1284" s="423"/>
      <c r="F1284" s="424"/>
      <c r="G1284" s="425"/>
      <c r="H1284" s="651"/>
      <c r="I1284" s="420">
        <v>26.58</v>
      </c>
      <c r="J1284" s="420">
        <f t="shared" si="326"/>
        <v>26.58</v>
      </c>
      <c r="K1284" s="421">
        <f t="shared" si="325"/>
        <v>31.58</v>
      </c>
      <c r="L1284" s="647" t="s">
        <v>2065</v>
      </c>
      <c r="M1284" s="576"/>
      <c r="N1284" s="576">
        <f t="shared" si="328"/>
        <v>0</v>
      </c>
      <c r="O1284" s="577">
        <f t="shared" si="333"/>
        <v>0</v>
      </c>
      <c r="P1284" s="578">
        <f t="shared" si="334"/>
        <v>0</v>
      </c>
      <c r="Q1284" s="765"/>
      <c r="R1284" s="576">
        <f t="shared" si="330"/>
        <v>0</v>
      </c>
      <c r="S1284" s="576">
        <f t="shared" si="330"/>
        <v>0</v>
      </c>
      <c r="T1284" s="577">
        <f t="shared" si="331"/>
        <v>0</v>
      </c>
      <c r="U1284" s="578">
        <f t="shared" si="332"/>
        <v>0</v>
      </c>
      <c r="V1284" s="579"/>
      <c r="W1284" s="566"/>
      <c r="X1284" s="586" t="str">
        <f t="shared" si="335"/>
        <v/>
      </c>
      <c r="Y1284" s="586" t="str">
        <f t="shared" si="329"/>
        <v/>
      </c>
      <c r="Z1284" s="586" t="str">
        <f t="shared" si="327"/>
        <v/>
      </c>
    </row>
    <row r="1285" spans="1:26" ht="23.25" hidden="1" thickBot="1" x14ac:dyDescent="0.25">
      <c r="A1285" s="567">
        <v>95813</v>
      </c>
      <c r="B1285" s="644">
        <v>95813</v>
      </c>
      <c r="C1285" s="645" t="s">
        <v>670</v>
      </c>
      <c r="D1285" s="422" t="s">
        <v>1136</v>
      </c>
      <c r="E1285" s="423"/>
      <c r="F1285" s="424"/>
      <c r="G1285" s="425"/>
      <c r="H1285" s="651"/>
      <c r="I1285" s="420">
        <v>25.84</v>
      </c>
      <c r="J1285" s="420">
        <f t="shared" si="326"/>
        <v>25.84</v>
      </c>
      <c r="K1285" s="421">
        <f t="shared" si="325"/>
        <v>30.7</v>
      </c>
      <c r="L1285" s="647" t="s">
        <v>2065</v>
      </c>
      <c r="M1285" s="576"/>
      <c r="N1285" s="576">
        <f t="shared" si="328"/>
        <v>0</v>
      </c>
      <c r="O1285" s="577">
        <f t="shared" si="333"/>
        <v>0</v>
      </c>
      <c r="P1285" s="578">
        <f t="shared" si="334"/>
        <v>0</v>
      </c>
      <c r="Q1285" s="765"/>
      <c r="R1285" s="576">
        <f t="shared" si="330"/>
        <v>0</v>
      </c>
      <c r="S1285" s="576">
        <f t="shared" si="330"/>
        <v>0</v>
      </c>
      <c r="T1285" s="577">
        <f t="shared" si="331"/>
        <v>0</v>
      </c>
      <c r="U1285" s="578">
        <f t="shared" si="332"/>
        <v>0</v>
      </c>
      <c r="V1285" s="579"/>
      <c r="W1285" s="566"/>
      <c r="X1285" s="586" t="str">
        <f t="shared" si="335"/>
        <v/>
      </c>
      <c r="Y1285" s="586" t="str">
        <f t="shared" si="329"/>
        <v/>
      </c>
      <c r="Z1285" s="586" t="str">
        <f t="shared" si="327"/>
        <v/>
      </c>
    </row>
    <row r="1286" spans="1:26" ht="23.25" hidden="1" thickBot="1" x14ac:dyDescent="0.25">
      <c r="A1286" s="567">
        <v>95814</v>
      </c>
      <c r="B1286" s="644">
        <v>95814</v>
      </c>
      <c r="C1286" s="645" t="s">
        <v>670</v>
      </c>
      <c r="D1286" s="422" t="s">
        <v>1137</v>
      </c>
      <c r="E1286" s="423"/>
      <c r="F1286" s="424"/>
      <c r="G1286" s="425"/>
      <c r="H1286" s="651"/>
      <c r="I1286" s="420">
        <v>26.95</v>
      </c>
      <c r="J1286" s="420">
        <f t="shared" si="326"/>
        <v>26.95</v>
      </c>
      <c r="K1286" s="421">
        <f t="shared" si="325"/>
        <v>32.020000000000003</v>
      </c>
      <c r="L1286" s="647" t="s">
        <v>2065</v>
      </c>
      <c r="M1286" s="576"/>
      <c r="N1286" s="576">
        <f t="shared" si="328"/>
        <v>0</v>
      </c>
      <c r="O1286" s="577">
        <f t="shared" si="333"/>
        <v>0</v>
      </c>
      <c r="P1286" s="578">
        <f t="shared" si="334"/>
        <v>0</v>
      </c>
      <c r="Q1286" s="765"/>
      <c r="R1286" s="576">
        <f t="shared" si="330"/>
        <v>0</v>
      </c>
      <c r="S1286" s="576">
        <f t="shared" si="330"/>
        <v>0</v>
      </c>
      <c r="T1286" s="577">
        <f t="shared" si="331"/>
        <v>0</v>
      </c>
      <c r="U1286" s="578">
        <f t="shared" si="332"/>
        <v>0</v>
      </c>
      <c r="V1286" s="579"/>
      <c r="W1286" s="566"/>
      <c r="X1286" s="586" t="str">
        <f t="shared" si="335"/>
        <v/>
      </c>
      <c r="Y1286" s="586" t="str">
        <f t="shared" si="329"/>
        <v/>
      </c>
      <c r="Z1286" s="586" t="str">
        <f t="shared" si="327"/>
        <v/>
      </c>
    </row>
    <row r="1287" spans="1:26" ht="23.25" hidden="1" thickBot="1" x14ac:dyDescent="0.25">
      <c r="A1287" s="567">
        <v>95815</v>
      </c>
      <c r="B1287" s="644">
        <v>95815</v>
      </c>
      <c r="C1287" s="645" t="s">
        <v>670</v>
      </c>
      <c r="D1287" s="422" t="s">
        <v>1138</v>
      </c>
      <c r="E1287" s="423"/>
      <c r="F1287" s="424"/>
      <c r="G1287" s="425"/>
      <c r="H1287" s="651"/>
      <c r="I1287" s="420">
        <v>34.72</v>
      </c>
      <c r="J1287" s="420">
        <f t="shared" si="326"/>
        <v>34.72</v>
      </c>
      <c r="K1287" s="421">
        <f t="shared" si="325"/>
        <v>41.25</v>
      </c>
      <c r="L1287" s="647" t="s">
        <v>2065</v>
      </c>
      <c r="M1287" s="576"/>
      <c r="N1287" s="576">
        <f t="shared" si="328"/>
        <v>0</v>
      </c>
      <c r="O1287" s="577">
        <f t="shared" si="333"/>
        <v>0</v>
      </c>
      <c r="P1287" s="578">
        <f t="shared" si="334"/>
        <v>0</v>
      </c>
      <c r="Q1287" s="765"/>
      <c r="R1287" s="576">
        <f t="shared" si="330"/>
        <v>0</v>
      </c>
      <c r="S1287" s="576">
        <f t="shared" si="330"/>
        <v>0</v>
      </c>
      <c r="T1287" s="577">
        <f t="shared" si="331"/>
        <v>0</v>
      </c>
      <c r="U1287" s="578">
        <f t="shared" si="332"/>
        <v>0</v>
      </c>
      <c r="V1287" s="579"/>
      <c r="W1287" s="566"/>
      <c r="X1287" s="586" t="str">
        <f t="shared" si="335"/>
        <v/>
      </c>
      <c r="Y1287" s="586" t="str">
        <f t="shared" si="329"/>
        <v/>
      </c>
      <c r="Z1287" s="586" t="str">
        <f t="shared" si="327"/>
        <v/>
      </c>
    </row>
    <row r="1288" spans="1:26" ht="23.25" hidden="1" thickBot="1" x14ac:dyDescent="0.25">
      <c r="A1288" s="567">
        <v>95816</v>
      </c>
      <c r="B1288" s="644">
        <v>95816</v>
      </c>
      <c r="C1288" s="645" t="s">
        <v>670</v>
      </c>
      <c r="D1288" s="422" t="s">
        <v>1139</v>
      </c>
      <c r="E1288" s="423"/>
      <c r="F1288" s="424"/>
      <c r="G1288" s="425"/>
      <c r="H1288" s="651"/>
      <c r="I1288" s="420">
        <v>44.08</v>
      </c>
      <c r="J1288" s="420">
        <f t="shared" si="326"/>
        <v>44.08</v>
      </c>
      <c r="K1288" s="421">
        <f t="shared" si="325"/>
        <v>52.37</v>
      </c>
      <c r="L1288" s="647" t="s">
        <v>2065</v>
      </c>
      <c r="M1288" s="576"/>
      <c r="N1288" s="576">
        <f t="shared" si="328"/>
        <v>0</v>
      </c>
      <c r="O1288" s="577">
        <f t="shared" si="333"/>
        <v>0</v>
      </c>
      <c r="P1288" s="578">
        <f t="shared" si="334"/>
        <v>0</v>
      </c>
      <c r="Q1288" s="765"/>
      <c r="R1288" s="576">
        <f t="shared" si="330"/>
        <v>0</v>
      </c>
      <c r="S1288" s="576">
        <f t="shared" si="330"/>
        <v>0</v>
      </c>
      <c r="T1288" s="577">
        <f t="shared" si="331"/>
        <v>0</v>
      </c>
      <c r="U1288" s="578">
        <f t="shared" si="332"/>
        <v>0</v>
      </c>
      <c r="V1288" s="579"/>
      <c r="W1288" s="566"/>
      <c r="X1288" s="586" t="str">
        <f t="shared" si="335"/>
        <v/>
      </c>
      <c r="Y1288" s="586" t="str">
        <f t="shared" si="329"/>
        <v/>
      </c>
      <c r="Z1288" s="586" t="str">
        <f t="shared" si="327"/>
        <v/>
      </c>
    </row>
    <row r="1289" spans="1:26" ht="23.25" hidden="1" thickBot="1" x14ac:dyDescent="0.25">
      <c r="A1289" s="567">
        <v>95817</v>
      </c>
      <c r="B1289" s="644">
        <v>95817</v>
      </c>
      <c r="C1289" s="645" t="s">
        <v>670</v>
      </c>
      <c r="D1289" s="422" t="s">
        <v>1140</v>
      </c>
      <c r="E1289" s="423"/>
      <c r="F1289" s="424"/>
      <c r="G1289" s="425"/>
      <c r="H1289" s="651"/>
      <c r="I1289" s="420">
        <v>44.84</v>
      </c>
      <c r="J1289" s="420">
        <f t="shared" si="326"/>
        <v>44.84</v>
      </c>
      <c r="K1289" s="421">
        <f t="shared" ref="K1289:K1352" si="336">IF(ISBLANK(I1289),0,ROUND(J1289*(1+$F$10)*(1+$F$11*E1289),2))</f>
        <v>53.27</v>
      </c>
      <c r="L1289" s="647" t="s">
        <v>2065</v>
      </c>
      <c r="M1289" s="576"/>
      <c r="N1289" s="576">
        <f t="shared" si="328"/>
        <v>0</v>
      </c>
      <c r="O1289" s="577">
        <f t="shared" si="333"/>
        <v>0</v>
      </c>
      <c r="P1289" s="578">
        <f t="shared" si="334"/>
        <v>0</v>
      </c>
      <c r="Q1289" s="765"/>
      <c r="R1289" s="576">
        <f t="shared" si="330"/>
        <v>0</v>
      </c>
      <c r="S1289" s="576">
        <f t="shared" si="330"/>
        <v>0</v>
      </c>
      <c r="T1289" s="577">
        <f t="shared" si="331"/>
        <v>0</v>
      </c>
      <c r="U1289" s="578">
        <f t="shared" si="332"/>
        <v>0</v>
      </c>
      <c r="V1289" s="579"/>
      <c r="W1289" s="566"/>
      <c r="X1289" s="586" t="str">
        <f t="shared" si="335"/>
        <v/>
      </c>
      <c r="Y1289" s="586" t="str">
        <f t="shared" si="329"/>
        <v/>
      </c>
      <c r="Z1289" s="586" t="str">
        <f t="shared" si="327"/>
        <v/>
      </c>
    </row>
    <row r="1290" spans="1:26" ht="23.25" hidden="1" thickBot="1" x14ac:dyDescent="0.25">
      <c r="A1290" s="567">
        <v>95818</v>
      </c>
      <c r="B1290" s="644">
        <v>95818</v>
      </c>
      <c r="C1290" s="645" t="s">
        <v>670</v>
      </c>
      <c r="D1290" s="422" t="s">
        <v>1141</v>
      </c>
      <c r="E1290" s="423"/>
      <c r="F1290" s="424"/>
      <c r="G1290" s="425"/>
      <c r="H1290" s="651"/>
      <c r="I1290" s="420">
        <v>55.31</v>
      </c>
      <c r="J1290" s="420">
        <f t="shared" si="326"/>
        <v>55.31</v>
      </c>
      <c r="K1290" s="421">
        <f t="shared" si="336"/>
        <v>65.709999999999994</v>
      </c>
      <c r="L1290" s="647" t="s">
        <v>2065</v>
      </c>
      <c r="M1290" s="576"/>
      <c r="N1290" s="576">
        <f t="shared" si="328"/>
        <v>0</v>
      </c>
      <c r="O1290" s="577">
        <f t="shared" si="333"/>
        <v>0</v>
      </c>
      <c r="P1290" s="578">
        <f t="shared" si="334"/>
        <v>0</v>
      </c>
      <c r="Q1290" s="765"/>
      <c r="R1290" s="576">
        <f t="shared" si="330"/>
        <v>0</v>
      </c>
      <c r="S1290" s="576">
        <f t="shared" si="330"/>
        <v>0</v>
      </c>
      <c r="T1290" s="577">
        <f t="shared" si="331"/>
        <v>0</v>
      </c>
      <c r="U1290" s="578">
        <f t="shared" si="332"/>
        <v>0</v>
      </c>
      <c r="V1290" s="579"/>
      <c r="W1290" s="566"/>
      <c r="X1290" s="586" t="str">
        <f t="shared" si="335"/>
        <v/>
      </c>
      <c r="Y1290" s="586" t="str">
        <f t="shared" si="329"/>
        <v/>
      </c>
      <c r="Z1290" s="586" t="str">
        <f t="shared" si="327"/>
        <v/>
      </c>
    </row>
    <row r="1291" spans="1:26" ht="12" hidden="1" thickBot="1" x14ac:dyDescent="0.25">
      <c r="A1291" s="567">
        <v>91936</v>
      </c>
      <c r="B1291" s="644">
        <v>91936</v>
      </c>
      <c r="C1291" s="645" t="s">
        <v>670</v>
      </c>
      <c r="D1291" s="422" t="s">
        <v>1142</v>
      </c>
      <c r="E1291" s="423"/>
      <c r="F1291" s="424"/>
      <c r="G1291" s="425"/>
      <c r="H1291" s="651"/>
      <c r="I1291" s="420">
        <v>17.34</v>
      </c>
      <c r="J1291" s="420">
        <f t="shared" si="326"/>
        <v>17.34</v>
      </c>
      <c r="K1291" s="421">
        <f t="shared" si="336"/>
        <v>20.6</v>
      </c>
      <c r="L1291" s="647" t="s">
        <v>2065</v>
      </c>
      <c r="M1291" s="576"/>
      <c r="N1291" s="576">
        <f t="shared" si="328"/>
        <v>0</v>
      </c>
      <c r="O1291" s="577">
        <f t="shared" si="333"/>
        <v>0</v>
      </c>
      <c r="P1291" s="578">
        <f t="shared" si="334"/>
        <v>0</v>
      </c>
      <c r="Q1291" s="765"/>
      <c r="R1291" s="576">
        <f t="shared" si="330"/>
        <v>0</v>
      </c>
      <c r="S1291" s="576">
        <f t="shared" si="330"/>
        <v>0</v>
      </c>
      <c r="T1291" s="577">
        <f t="shared" si="331"/>
        <v>0</v>
      </c>
      <c r="U1291" s="578">
        <f t="shared" si="332"/>
        <v>0</v>
      </c>
      <c r="V1291" s="579"/>
      <c r="W1291" s="566"/>
      <c r="X1291" s="586" t="str">
        <f t="shared" si="335"/>
        <v/>
      </c>
      <c r="Y1291" s="586" t="str">
        <f t="shared" si="329"/>
        <v/>
      </c>
      <c r="Z1291" s="586" t="str">
        <f t="shared" si="327"/>
        <v/>
      </c>
    </row>
    <row r="1292" spans="1:26" ht="12" hidden="1" thickBot="1" x14ac:dyDescent="0.25">
      <c r="A1292" s="567">
        <v>91937</v>
      </c>
      <c r="B1292" s="644">
        <v>91937</v>
      </c>
      <c r="C1292" s="645" t="s">
        <v>670</v>
      </c>
      <c r="D1292" s="422" t="s">
        <v>1143</v>
      </c>
      <c r="E1292" s="423"/>
      <c r="F1292" s="424"/>
      <c r="G1292" s="425"/>
      <c r="H1292" s="651"/>
      <c r="I1292" s="420">
        <v>14.3</v>
      </c>
      <c r="J1292" s="420">
        <f t="shared" si="326"/>
        <v>14.3</v>
      </c>
      <c r="K1292" s="421">
        <f t="shared" si="336"/>
        <v>16.989999999999998</v>
      </c>
      <c r="L1292" s="647" t="s">
        <v>2065</v>
      </c>
      <c r="M1292" s="576"/>
      <c r="N1292" s="576">
        <f t="shared" si="328"/>
        <v>0</v>
      </c>
      <c r="O1292" s="577">
        <f t="shared" si="333"/>
        <v>0</v>
      </c>
      <c r="P1292" s="578">
        <f t="shared" si="334"/>
        <v>0</v>
      </c>
      <c r="Q1292" s="765"/>
      <c r="R1292" s="576">
        <f t="shared" si="330"/>
        <v>0</v>
      </c>
      <c r="S1292" s="576">
        <f t="shared" si="330"/>
        <v>0</v>
      </c>
      <c r="T1292" s="577">
        <f t="shared" si="331"/>
        <v>0</v>
      </c>
      <c r="U1292" s="578">
        <f t="shared" si="332"/>
        <v>0</v>
      </c>
      <c r="V1292" s="579"/>
      <c r="W1292" s="566"/>
      <c r="X1292" s="586" t="str">
        <f t="shared" si="335"/>
        <v/>
      </c>
      <c r="Y1292" s="586" t="str">
        <f t="shared" si="329"/>
        <v/>
      </c>
      <c r="Z1292" s="586" t="str">
        <f t="shared" si="327"/>
        <v/>
      </c>
    </row>
    <row r="1293" spans="1:26" ht="23.25" hidden="1" thickBot="1" x14ac:dyDescent="0.25">
      <c r="A1293" s="567">
        <v>91939</v>
      </c>
      <c r="B1293" s="644">
        <v>91939</v>
      </c>
      <c r="C1293" s="645" t="s">
        <v>670</v>
      </c>
      <c r="D1293" s="422" t="s">
        <v>1144</v>
      </c>
      <c r="E1293" s="423"/>
      <c r="F1293" s="424"/>
      <c r="G1293" s="425"/>
      <c r="H1293" s="651"/>
      <c r="I1293" s="420">
        <v>31.44</v>
      </c>
      <c r="J1293" s="420">
        <f t="shared" si="326"/>
        <v>31.44</v>
      </c>
      <c r="K1293" s="421">
        <f t="shared" si="336"/>
        <v>37.35</v>
      </c>
      <c r="L1293" s="647" t="s">
        <v>2065</v>
      </c>
      <c r="M1293" s="576"/>
      <c r="N1293" s="576">
        <f t="shared" si="328"/>
        <v>0</v>
      </c>
      <c r="O1293" s="577">
        <f t="shared" si="333"/>
        <v>0</v>
      </c>
      <c r="P1293" s="578">
        <f t="shared" si="334"/>
        <v>0</v>
      </c>
      <c r="Q1293" s="765"/>
      <c r="R1293" s="576">
        <f t="shared" si="330"/>
        <v>0</v>
      </c>
      <c r="S1293" s="576">
        <f t="shared" si="330"/>
        <v>0</v>
      </c>
      <c r="T1293" s="577">
        <f t="shared" si="331"/>
        <v>0</v>
      </c>
      <c r="U1293" s="578">
        <f t="shared" si="332"/>
        <v>0</v>
      </c>
      <c r="V1293" s="579"/>
      <c r="W1293" s="566"/>
      <c r="X1293" s="586" t="str">
        <f t="shared" si="335"/>
        <v/>
      </c>
      <c r="Y1293" s="586" t="str">
        <f t="shared" si="329"/>
        <v/>
      </c>
      <c r="Z1293" s="586" t="str">
        <f t="shared" si="327"/>
        <v/>
      </c>
    </row>
    <row r="1294" spans="1:26" ht="23.25" hidden="1" thickBot="1" x14ac:dyDescent="0.25">
      <c r="A1294" s="567">
        <v>91940</v>
      </c>
      <c r="B1294" s="644">
        <v>91940</v>
      </c>
      <c r="C1294" s="645" t="s">
        <v>670</v>
      </c>
      <c r="D1294" s="422" t="s">
        <v>1145</v>
      </c>
      <c r="E1294" s="423"/>
      <c r="F1294" s="424"/>
      <c r="G1294" s="425"/>
      <c r="H1294" s="651"/>
      <c r="I1294" s="420">
        <v>17.239999999999998</v>
      </c>
      <c r="J1294" s="420">
        <f t="shared" si="326"/>
        <v>17.239999999999998</v>
      </c>
      <c r="K1294" s="421">
        <f t="shared" si="336"/>
        <v>20.48</v>
      </c>
      <c r="L1294" s="647" t="s">
        <v>2065</v>
      </c>
      <c r="M1294" s="576"/>
      <c r="N1294" s="576">
        <f t="shared" si="328"/>
        <v>0</v>
      </c>
      <c r="O1294" s="577">
        <f t="shared" si="333"/>
        <v>0</v>
      </c>
      <c r="P1294" s="578">
        <f t="shared" si="334"/>
        <v>0</v>
      </c>
      <c r="Q1294" s="765"/>
      <c r="R1294" s="576">
        <f t="shared" si="330"/>
        <v>0</v>
      </c>
      <c r="S1294" s="576">
        <f t="shared" si="330"/>
        <v>0</v>
      </c>
      <c r="T1294" s="577">
        <f t="shared" si="331"/>
        <v>0</v>
      </c>
      <c r="U1294" s="578">
        <f t="shared" si="332"/>
        <v>0</v>
      </c>
      <c r="V1294" s="579"/>
      <c r="W1294" s="566"/>
      <c r="X1294" s="586" t="str">
        <f t="shared" si="335"/>
        <v/>
      </c>
      <c r="Y1294" s="586" t="str">
        <f t="shared" si="329"/>
        <v/>
      </c>
      <c r="Z1294" s="586" t="str">
        <f t="shared" si="327"/>
        <v/>
      </c>
    </row>
    <row r="1295" spans="1:26" ht="23.25" hidden="1" thickBot="1" x14ac:dyDescent="0.25">
      <c r="A1295" s="567">
        <v>91941</v>
      </c>
      <c r="B1295" s="644">
        <v>91941</v>
      </c>
      <c r="C1295" s="645" t="s">
        <v>670</v>
      </c>
      <c r="D1295" s="422" t="s">
        <v>1146</v>
      </c>
      <c r="E1295" s="423"/>
      <c r="F1295" s="424"/>
      <c r="G1295" s="425"/>
      <c r="H1295" s="651"/>
      <c r="I1295" s="420">
        <v>11.91</v>
      </c>
      <c r="J1295" s="420">
        <f t="shared" si="326"/>
        <v>11.91</v>
      </c>
      <c r="K1295" s="421">
        <f t="shared" si="336"/>
        <v>14.15</v>
      </c>
      <c r="L1295" s="647" t="s">
        <v>2065</v>
      </c>
      <c r="M1295" s="576"/>
      <c r="N1295" s="576">
        <f t="shared" si="328"/>
        <v>0</v>
      </c>
      <c r="O1295" s="577">
        <f t="shared" si="333"/>
        <v>0</v>
      </c>
      <c r="P1295" s="578">
        <f t="shared" si="334"/>
        <v>0</v>
      </c>
      <c r="Q1295" s="765"/>
      <c r="R1295" s="576">
        <f t="shared" si="330"/>
        <v>0</v>
      </c>
      <c r="S1295" s="576">
        <f t="shared" si="330"/>
        <v>0</v>
      </c>
      <c r="T1295" s="577">
        <f t="shared" si="331"/>
        <v>0</v>
      </c>
      <c r="U1295" s="578">
        <f t="shared" si="332"/>
        <v>0</v>
      </c>
      <c r="V1295" s="579"/>
      <c r="W1295" s="566"/>
      <c r="X1295" s="586" t="str">
        <f t="shared" si="335"/>
        <v/>
      </c>
      <c r="Y1295" s="586" t="str">
        <f t="shared" si="329"/>
        <v/>
      </c>
      <c r="Z1295" s="586" t="str">
        <f t="shared" si="327"/>
        <v/>
      </c>
    </row>
    <row r="1296" spans="1:26" ht="23.25" hidden="1" thickBot="1" x14ac:dyDescent="0.25">
      <c r="A1296" s="567">
        <v>91942</v>
      </c>
      <c r="B1296" s="644">
        <v>91942</v>
      </c>
      <c r="C1296" s="645" t="s">
        <v>670</v>
      </c>
      <c r="D1296" s="422" t="s">
        <v>1147</v>
      </c>
      <c r="E1296" s="423"/>
      <c r="F1296" s="424"/>
      <c r="G1296" s="425"/>
      <c r="H1296" s="651"/>
      <c r="I1296" s="420">
        <v>39.409999999999997</v>
      </c>
      <c r="J1296" s="420">
        <f t="shared" si="326"/>
        <v>39.409999999999997</v>
      </c>
      <c r="K1296" s="421">
        <f t="shared" si="336"/>
        <v>46.82</v>
      </c>
      <c r="L1296" s="647" t="s">
        <v>2065</v>
      </c>
      <c r="M1296" s="576"/>
      <c r="N1296" s="576">
        <f t="shared" si="328"/>
        <v>0</v>
      </c>
      <c r="O1296" s="577">
        <f t="shared" si="333"/>
        <v>0</v>
      </c>
      <c r="P1296" s="578">
        <f t="shared" si="334"/>
        <v>0</v>
      </c>
      <c r="Q1296" s="765"/>
      <c r="R1296" s="576">
        <f t="shared" si="330"/>
        <v>0</v>
      </c>
      <c r="S1296" s="576">
        <f t="shared" si="330"/>
        <v>0</v>
      </c>
      <c r="T1296" s="577">
        <f t="shared" si="331"/>
        <v>0</v>
      </c>
      <c r="U1296" s="578">
        <f t="shared" si="332"/>
        <v>0</v>
      </c>
      <c r="V1296" s="579"/>
      <c r="W1296" s="566"/>
      <c r="X1296" s="586" t="str">
        <f t="shared" si="335"/>
        <v/>
      </c>
      <c r="Y1296" s="586" t="str">
        <f t="shared" si="329"/>
        <v/>
      </c>
      <c r="Z1296" s="586" t="str">
        <f t="shared" si="327"/>
        <v/>
      </c>
    </row>
    <row r="1297" spans="1:26" ht="23.25" hidden="1" thickBot="1" x14ac:dyDescent="0.25">
      <c r="A1297" s="567">
        <v>91943</v>
      </c>
      <c r="B1297" s="644">
        <v>91943</v>
      </c>
      <c r="C1297" s="645" t="s">
        <v>670</v>
      </c>
      <c r="D1297" s="422" t="s">
        <v>1148</v>
      </c>
      <c r="E1297" s="423"/>
      <c r="F1297" s="424"/>
      <c r="G1297" s="425"/>
      <c r="H1297" s="651"/>
      <c r="I1297" s="420">
        <v>23.07</v>
      </c>
      <c r="J1297" s="420">
        <f t="shared" si="326"/>
        <v>23.07</v>
      </c>
      <c r="K1297" s="421">
        <f t="shared" si="336"/>
        <v>27.41</v>
      </c>
      <c r="L1297" s="647" t="s">
        <v>2065</v>
      </c>
      <c r="M1297" s="576"/>
      <c r="N1297" s="576">
        <f t="shared" si="328"/>
        <v>0</v>
      </c>
      <c r="O1297" s="577">
        <f t="shared" si="333"/>
        <v>0</v>
      </c>
      <c r="P1297" s="578">
        <f t="shared" si="334"/>
        <v>0</v>
      </c>
      <c r="Q1297" s="765"/>
      <c r="R1297" s="576">
        <f t="shared" si="330"/>
        <v>0</v>
      </c>
      <c r="S1297" s="576">
        <f t="shared" si="330"/>
        <v>0</v>
      </c>
      <c r="T1297" s="577">
        <f t="shared" si="331"/>
        <v>0</v>
      </c>
      <c r="U1297" s="578">
        <f t="shared" si="332"/>
        <v>0</v>
      </c>
      <c r="V1297" s="579"/>
      <c r="W1297" s="566"/>
      <c r="X1297" s="586" t="str">
        <f t="shared" si="335"/>
        <v/>
      </c>
      <c r="Y1297" s="586" t="str">
        <f t="shared" si="329"/>
        <v/>
      </c>
      <c r="Z1297" s="586" t="str">
        <f t="shared" si="327"/>
        <v/>
      </c>
    </row>
    <row r="1298" spans="1:26" ht="23.25" hidden="1" thickBot="1" x14ac:dyDescent="0.25">
      <c r="A1298" s="567">
        <v>91944</v>
      </c>
      <c r="B1298" s="644">
        <v>91944</v>
      </c>
      <c r="C1298" s="645" t="s">
        <v>670</v>
      </c>
      <c r="D1298" s="422" t="s">
        <v>1149</v>
      </c>
      <c r="E1298" s="423"/>
      <c r="F1298" s="424"/>
      <c r="G1298" s="425"/>
      <c r="H1298" s="651"/>
      <c r="I1298" s="420">
        <v>16.97</v>
      </c>
      <c r="J1298" s="420">
        <f t="shared" si="326"/>
        <v>16.97</v>
      </c>
      <c r="K1298" s="421">
        <f t="shared" si="336"/>
        <v>20.16</v>
      </c>
      <c r="L1298" s="647" t="s">
        <v>2065</v>
      </c>
      <c r="M1298" s="576"/>
      <c r="N1298" s="576">
        <f t="shared" si="328"/>
        <v>0</v>
      </c>
      <c r="O1298" s="577">
        <f t="shared" si="333"/>
        <v>0</v>
      </c>
      <c r="P1298" s="578">
        <f t="shared" si="334"/>
        <v>0</v>
      </c>
      <c r="Q1298" s="765"/>
      <c r="R1298" s="576">
        <f t="shared" si="330"/>
        <v>0</v>
      </c>
      <c r="S1298" s="576">
        <f t="shared" si="330"/>
        <v>0</v>
      </c>
      <c r="T1298" s="577">
        <f t="shared" si="331"/>
        <v>0</v>
      </c>
      <c r="U1298" s="578">
        <f t="shared" si="332"/>
        <v>0</v>
      </c>
      <c r="V1298" s="579"/>
      <c r="W1298" s="566"/>
      <c r="X1298" s="586" t="str">
        <f t="shared" si="335"/>
        <v/>
      </c>
      <c r="Y1298" s="586" t="str">
        <f t="shared" si="329"/>
        <v/>
      </c>
      <c r="Z1298" s="586" t="str">
        <f t="shared" si="327"/>
        <v/>
      </c>
    </row>
    <row r="1299" spans="1:26" ht="23.25" hidden="1" thickBot="1" x14ac:dyDescent="0.25">
      <c r="A1299" s="567">
        <v>92865</v>
      </c>
      <c r="B1299" s="644">
        <v>92865</v>
      </c>
      <c r="C1299" s="645" t="s">
        <v>670</v>
      </c>
      <c r="D1299" s="422" t="s">
        <v>1150</v>
      </c>
      <c r="E1299" s="423"/>
      <c r="F1299" s="424"/>
      <c r="G1299" s="425"/>
      <c r="H1299" s="651"/>
      <c r="I1299" s="420">
        <v>12.27</v>
      </c>
      <c r="J1299" s="420">
        <f t="shared" ref="J1299:J1362" si="337">IF(ISBLANK(I1299),"",SUM(H1299:I1299))</f>
        <v>12.27</v>
      </c>
      <c r="K1299" s="421">
        <f t="shared" si="336"/>
        <v>14.58</v>
      </c>
      <c r="L1299" s="647" t="s">
        <v>2065</v>
      </c>
      <c r="M1299" s="576"/>
      <c r="N1299" s="576">
        <f t="shared" si="328"/>
        <v>0</v>
      </c>
      <c r="O1299" s="577">
        <f t="shared" si="333"/>
        <v>0</v>
      </c>
      <c r="P1299" s="578">
        <f t="shared" si="334"/>
        <v>0</v>
      </c>
      <c r="Q1299" s="765"/>
      <c r="R1299" s="576">
        <f t="shared" si="330"/>
        <v>0</v>
      </c>
      <c r="S1299" s="576">
        <f t="shared" si="330"/>
        <v>0</v>
      </c>
      <c r="T1299" s="577">
        <f t="shared" si="331"/>
        <v>0</v>
      </c>
      <c r="U1299" s="578">
        <f t="shared" si="332"/>
        <v>0</v>
      </c>
      <c r="V1299" s="579"/>
      <c r="W1299" s="566"/>
      <c r="X1299" s="586" t="str">
        <f t="shared" si="335"/>
        <v/>
      </c>
      <c r="Y1299" s="586" t="str">
        <f t="shared" si="329"/>
        <v/>
      </c>
      <c r="Z1299" s="586" t="str">
        <f t="shared" ref="Z1299:Z1362" si="338">IF(W1299="X","x",IF(U1299&gt;0,"x",""))</f>
        <v/>
      </c>
    </row>
    <row r="1300" spans="1:26" ht="23.25" hidden="1" thickBot="1" x14ac:dyDescent="0.25">
      <c r="A1300" s="567">
        <v>92866</v>
      </c>
      <c r="B1300" s="644">
        <v>92866</v>
      </c>
      <c r="C1300" s="645" t="s">
        <v>670</v>
      </c>
      <c r="D1300" s="422" t="s">
        <v>1151</v>
      </c>
      <c r="E1300" s="423"/>
      <c r="F1300" s="424"/>
      <c r="G1300" s="425"/>
      <c r="H1300" s="651"/>
      <c r="I1300" s="420">
        <v>9.66</v>
      </c>
      <c r="J1300" s="420">
        <f t="shared" si="337"/>
        <v>9.66</v>
      </c>
      <c r="K1300" s="421">
        <f t="shared" si="336"/>
        <v>11.48</v>
      </c>
      <c r="L1300" s="647" t="s">
        <v>2065</v>
      </c>
      <c r="M1300" s="576"/>
      <c r="N1300" s="576">
        <f t="shared" ref="N1300:N1363" si="339">IF(M1300=0,0,K1300)</f>
        <v>0</v>
      </c>
      <c r="O1300" s="577">
        <f t="shared" si="333"/>
        <v>0</v>
      </c>
      <c r="P1300" s="578">
        <f t="shared" si="334"/>
        <v>0</v>
      </c>
      <c r="Q1300" s="765"/>
      <c r="R1300" s="576">
        <f t="shared" si="330"/>
        <v>0</v>
      </c>
      <c r="S1300" s="576">
        <f t="shared" si="330"/>
        <v>0</v>
      </c>
      <c r="T1300" s="577">
        <f t="shared" si="331"/>
        <v>0</v>
      </c>
      <c r="U1300" s="578">
        <f t="shared" si="332"/>
        <v>0</v>
      </c>
      <c r="V1300" s="579"/>
      <c r="W1300" s="566"/>
      <c r="X1300" s="586" t="str">
        <f t="shared" si="335"/>
        <v/>
      </c>
      <c r="Y1300" s="586" t="str">
        <f t="shared" si="329"/>
        <v/>
      </c>
      <c r="Z1300" s="586" t="str">
        <f t="shared" si="338"/>
        <v/>
      </c>
    </row>
    <row r="1301" spans="1:26" ht="23.25" hidden="1" thickBot="1" x14ac:dyDescent="0.25">
      <c r="A1301" s="567">
        <v>92867</v>
      </c>
      <c r="B1301" s="644">
        <v>92867</v>
      </c>
      <c r="C1301" s="645" t="s">
        <v>670</v>
      </c>
      <c r="D1301" s="422" t="s">
        <v>1152</v>
      </c>
      <c r="E1301" s="423"/>
      <c r="F1301" s="424"/>
      <c r="G1301" s="425"/>
      <c r="H1301" s="651"/>
      <c r="I1301" s="420">
        <v>29.89</v>
      </c>
      <c r="J1301" s="420">
        <f t="shared" si="337"/>
        <v>29.89</v>
      </c>
      <c r="K1301" s="421">
        <f t="shared" si="336"/>
        <v>35.51</v>
      </c>
      <c r="L1301" s="647" t="s">
        <v>2065</v>
      </c>
      <c r="M1301" s="576"/>
      <c r="N1301" s="576">
        <f t="shared" si="339"/>
        <v>0</v>
      </c>
      <c r="O1301" s="577">
        <f t="shared" si="333"/>
        <v>0</v>
      </c>
      <c r="P1301" s="578">
        <f t="shared" si="334"/>
        <v>0</v>
      </c>
      <c r="Q1301" s="765"/>
      <c r="R1301" s="576">
        <f t="shared" si="330"/>
        <v>0</v>
      </c>
      <c r="S1301" s="576">
        <f t="shared" si="330"/>
        <v>0</v>
      </c>
      <c r="T1301" s="577">
        <f t="shared" si="331"/>
        <v>0</v>
      </c>
      <c r="U1301" s="578">
        <f t="shared" si="332"/>
        <v>0</v>
      </c>
      <c r="V1301" s="579"/>
      <c r="W1301" s="566"/>
      <c r="X1301" s="586" t="str">
        <f t="shared" si="335"/>
        <v/>
      </c>
      <c r="Y1301" s="586" t="str">
        <f t="shared" si="329"/>
        <v/>
      </c>
      <c r="Z1301" s="586" t="str">
        <f t="shared" si="338"/>
        <v/>
      </c>
    </row>
    <row r="1302" spans="1:26" ht="23.25" hidden="1" thickBot="1" x14ac:dyDescent="0.25">
      <c r="A1302" s="567">
        <v>92868</v>
      </c>
      <c r="B1302" s="644">
        <v>92868</v>
      </c>
      <c r="C1302" s="645" t="s">
        <v>670</v>
      </c>
      <c r="D1302" s="422" t="s">
        <v>1153</v>
      </c>
      <c r="E1302" s="423"/>
      <c r="F1302" s="424"/>
      <c r="G1302" s="425"/>
      <c r="H1302" s="651"/>
      <c r="I1302" s="420">
        <v>15.69</v>
      </c>
      <c r="J1302" s="420">
        <f t="shared" si="337"/>
        <v>15.69</v>
      </c>
      <c r="K1302" s="421">
        <f t="shared" si="336"/>
        <v>18.64</v>
      </c>
      <c r="L1302" s="647" t="s">
        <v>2065</v>
      </c>
      <c r="M1302" s="576"/>
      <c r="N1302" s="576">
        <f t="shared" si="339"/>
        <v>0</v>
      </c>
      <c r="O1302" s="577">
        <f t="shared" si="333"/>
        <v>0</v>
      </c>
      <c r="P1302" s="578">
        <f t="shared" si="334"/>
        <v>0</v>
      </c>
      <c r="Q1302" s="765"/>
      <c r="R1302" s="576">
        <f t="shared" si="330"/>
        <v>0</v>
      </c>
      <c r="S1302" s="576">
        <f t="shared" si="330"/>
        <v>0</v>
      </c>
      <c r="T1302" s="577">
        <f t="shared" si="331"/>
        <v>0</v>
      </c>
      <c r="U1302" s="578">
        <f t="shared" si="332"/>
        <v>0</v>
      </c>
      <c r="V1302" s="579"/>
      <c r="W1302" s="566"/>
      <c r="X1302" s="586" t="str">
        <f t="shared" si="335"/>
        <v/>
      </c>
      <c r="Y1302" s="586" t="str">
        <f t="shared" si="329"/>
        <v/>
      </c>
      <c r="Z1302" s="586" t="str">
        <f t="shared" si="338"/>
        <v/>
      </c>
    </row>
    <row r="1303" spans="1:26" ht="23.25" hidden="1" thickBot="1" x14ac:dyDescent="0.25">
      <c r="A1303" s="567">
        <v>92869</v>
      </c>
      <c r="B1303" s="644">
        <v>92869</v>
      </c>
      <c r="C1303" s="645" t="s">
        <v>670</v>
      </c>
      <c r="D1303" s="422" t="s">
        <v>1154</v>
      </c>
      <c r="E1303" s="423"/>
      <c r="F1303" s="424"/>
      <c r="G1303" s="425"/>
      <c r="H1303" s="651"/>
      <c r="I1303" s="420">
        <v>10.36</v>
      </c>
      <c r="J1303" s="420">
        <f t="shared" si="337"/>
        <v>10.36</v>
      </c>
      <c r="K1303" s="421">
        <f t="shared" si="336"/>
        <v>12.31</v>
      </c>
      <c r="L1303" s="647" t="s">
        <v>2065</v>
      </c>
      <c r="M1303" s="576"/>
      <c r="N1303" s="576">
        <f t="shared" si="339"/>
        <v>0</v>
      </c>
      <c r="O1303" s="577">
        <f t="shared" si="333"/>
        <v>0</v>
      </c>
      <c r="P1303" s="578">
        <f t="shared" si="334"/>
        <v>0</v>
      </c>
      <c r="Q1303" s="765"/>
      <c r="R1303" s="576">
        <f t="shared" si="330"/>
        <v>0</v>
      </c>
      <c r="S1303" s="576">
        <f t="shared" si="330"/>
        <v>0</v>
      </c>
      <c r="T1303" s="577">
        <f t="shared" si="331"/>
        <v>0</v>
      </c>
      <c r="U1303" s="578">
        <f t="shared" si="332"/>
        <v>0</v>
      </c>
      <c r="V1303" s="579"/>
      <c r="W1303" s="566"/>
      <c r="X1303" s="586" t="str">
        <f t="shared" si="335"/>
        <v/>
      </c>
      <c r="Y1303" s="586" t="str">
        <f t="shared" si="329"/>
        <v/>
      </c>
      <c r="Z1303" s="586" t="str">
        <f t="shared" si="338"/>
        <v/>
      </c>
    </row>
    <row r="1304" spans="1:26" ht="23.25" hidden="1" thickBot="1" x14ac:dyDescent="0.25">
      <c r="A1304" s="567">
        <v>92870</v>
      </c>
      <c r="B1304" s="644">
        <v>92870</v>
      </c>
      <c r="C1304" s="645" t="s">
        <v>670</v>
      </c>
      <c r="D1304" s="422" t="s">
        <v>1155</v>
      </c>
      <c r="E1304" s="423"/>
      <c r="F1304" s="424"/>
      <c r="G1304" s="425"/>
      <c r="H1304" s="651"/>
      <c r="I1304" s="420">
        <v>36.630000000000003</v>
      </c>
      <c r="J1304" s="420">
        <f t="shared" si="337"/>
        <v>36.630000000000003</v>
      </c>
      <c r="K1304" s="421">
        <f t="shared" si="336"/>
        <v>43.52</v>
      </c>
      <c r="L1304" s="647" t="s">
        <v>2065</v>
      </c>
      <c r="M1304" s="576"/>
      <c r="N1304" s="576">
        <f t="shared" si="339"/>
        <v>0</v>
      </c>
      <c r="O1304" s="577">
        <f t="shared" si="333"/>
        <v>0</v>
      </c>
      <c r="P1304" s="578">
        <f t="shared" si="334"/>
        <v>0</v>
      </c>
      <c r="Q1304" s="765"/>
      <c r="R1304" s="576">
        <f t="shared" si="330"/>
        <v>0</v>
      </c>
      <c r="S1304" s="576">
        <f t="shared" si="330"/>
        <v>0</v>
      </c>
      <c r="T1304" s="577">
        <f t="shared" si="331"/>
        <v>0</v>
      </c>
      <c r="U1304" s="578">
        <f t="shared" si="332"/>
        <v>0</v>
      </c>
      <c r="V1304" s="579"/>
      <c r="W1304" s="566"/>
      <c r="X1304" s="586" t="str">
        <f t="shared" si="335"/>
        <v/>
      </c>
      <c r="Y1304" s="586" t="str">
        <f t="shared" si="329"/>
        <v/>
      </c>
      <c r="Z1304" s="586" t="str">
        <f t="shared" si="338"/>
        <v/>
      </c>
    </row>
    <row r="1305" spans="1:26" ht="23.25" hidden="1" thickBot="1" x14ac:dyDescent="0.25">
      <c r="A1305" s="567">
        <v>92871</v>
      </c>
      <c r="B1305" s="644">
        <v>92871</v>
      </c>
      <c r="C1305" s="645" t="s">
        <v>670</v>
      </c>
      <c r="D1305" s="422" t="s">
        <v>1156</v>
      </c>
      <c r="E1305" s="423"/>
      <c r="F1305" s="424"/>
      <c r="G1305" s="425"/>
      <c r="H1305" s="651"/>
      <c r="I1305" s="420">
        <v>20.29</v>
      </c>
      <c r="J1305" s="420">
        <f t="shared" si="337"/>
        <v>20.29</v>
      </c>
      <c r="K1305" s="421">
        <f t="shared" si="336"/>
        <v>24.11</v>
      </c>
      <c r="L1305" s="647" t="s">
        <v>2065</v>
      </c>
      <c r="M1305" s="576"/>
      <c r="N1305" s="576">
        <f t="shared" si="339"/>
        <v>0</v>
      </c>
      <c r="O1305" s="577">
        <f t="shared" si="333"/>
        <v>0</v>
      </c>
      <c r="P1305" s="578">
        <f t="shared" si="334"/>
        <v>0</v>
      </c>
      <c r="Q1305" s="765"/>
      <c r="R1305" s="576">
        <f t="shared" si="330"/>
        <v>0</v>
      </c>
      <c r="S1305" s="576">
        <f t="shared" si="330"/>
        <v>0</v>
      </c>
      <c r="T1305" s="577">
        <f t="shared" si="331"/>
        <v>0</v>
      </c>
      <c r="U1305" s="578">
        <f t="shared" si="332"/>
        <v>0</v>
      </c>
      <c r="V1305" s="579"/>
      <c r="W1305" s="566"/>
      <c r="X1305" s="586" t="str">
        <f t="shared" si="335"/>
        <v/>
      </c>
      <c r="Y1305" s="586" t="str">
        <f t="shared" si="329"/>
        <v/>
      </c>
      <c r="Z1305" s="586" t="str">
        <f t="shared" si="338"/>
        <v/>
      </c>
    </row>
    <row r="1306" spans="1:26" ht="23.25" hidden="1" thickBot="1" x14ac:dyDescent="0.25">
      <c r="A1306" s="567">
        <v>92872</v>
      </c>
      <c r="B1306" s="644">
        <v>92872</v>
      </c>
      <c r="C1306" s="645" t="s">
        <v>670</v>
      </c>
      <c r="D1306" s="422" t="s">
        <v>1157</v>
      </c>
      <c r="E1306" s="423"/>
      <c r="F1306" s="424"/>
      <c r="G1306" s="425"/>
      <c r="H1306" s="651"/>
      <c r="I1306" s="420">
        <v>14.19</v>
      </c>
      <c r="J1306" s="420">
        <f t="shared" si="337"/>
        <v>14.19</v>
      </c>
      <c r="K1306" s="421">
        <f t="shared" si="336"/>
        <v>16.86</v>
      </c>
      <c r="L1306" s="647" t="s">
        <v>2065</v>
      </c>
      <c r="M1306" s="576"/>
      <c r="N1306" s="576">
        <f t="shared" si="339"/>
        <v>0</v>
      </c>
      <c r="O1306" s="577">
        <f t="shared" si="333"/>
        <v>0</v>
      </c>
      <c r="P1306" s="578">
        <f t="shared" si="334"/>
        <v>0</v>
      </c>
      <c r="Q1306" s="765"/>
      <c r="R1306" s="576">
        <f t="shared" si="330"/>
        <v>0</v>
      </c>
      <c r="S1306" s="576">
        <f t="shared" si="330"/>
        <v>0</v>
      </c>
      <c r="T1306" s="577">
        <f t="shared" si="331"/>
        <v>0</v>
      </c>
      <c r="U1306" s="578">
        <f t="shared" si="332"/>
        <v>0</v>
      </c>
      <c r="V1306" s="579"/>
      <c r="W1306" s="566"/>
      <c r="X1306" s="586" t="str">
        <f t="shared" si="335"/>
        <v/>
      </c>
      <c r="Y1306" s="586" t="str">
        <f t="shared" si="329"/>
        <v/>
      </c>
      <c r="Z1306" s="586" t="str">
        <f t="shared" si="338"/>
        <v/>
      </c>
    </row>
    <row r="1307" spans="1:26" ht="23.25" hidden="1" thickBot="1" x14ac:dyDescent="0.25">
      <c r="A1307" s="567">
        <v>97886</v>
      </c>
      <c r="B1307" s="644">
        <v>97886</v>
      </c>
      <c r="C1307" s="645" t="s">
        <v>670</v>
      </c>
      <c r="D1307" s="422" t="s">
        <v>1158</v>
      </c>
      <c r="E1307" s="423"/>
      <c r="F1307" s="424"/>
      <c r="G1307" s="425"/>
      <c r="H1307" s="651"/>
      <c r="I1307" s="420">
        <v>164.67</v>
      </c>
      <c r="J1307" s="420">
        <f t="shared" si="337"/>
        <v>164.67</v>
      </c>
      <c r="K1307" s="421">
        <f t="shared" si="336"/>
        <v>195.64</v>
      </c>
      <c r="L1307" s="647" t="s">
        <v>2065</v>
      </c>
      <c r="M1307" s="576"/>
      <c r="N1307" s="576">
        <f t="shared" si="339"/>
        <v>0</v>
      </c>
      <c r="O1307" s="577">
        <f t="shared" si="333"/>
        <v>0</v>
      </c>
      <c r="P1307" s="578">
        <f t="shared" si="334"/>
        <v>0</v>
      </c>
      <c r="Q1307" s="765"/>
      <c r="R1307" s="576">
        <f t="shared" si="330"/>
        <v>0</v>
      </c>
      <c r="S1307" s="576">
        <f t="shared" si="330"/>
        <v>0</v>
      </c>
      <c r="T1307" s="577">
        <f t="shared" si="331"/>
        <v>0</v>
      </c>
      <c r="U1307" s="578">
        <f t="shared" si="332"/>
        <v>0</v>
      </c>
      <c r="V1307" s="579"/>
      <c r="W1307" s="566"/>
      <c r="X1307" s="586" t="str">
        <f t="shared" si="335"/>
        <v/>
      </c>
      <c r="Y1307" s="586" t="str">
        <f t="shared" si="329"/>
        <v/>
      </c>
      <c r="Z1307" s="586" t="str">
        <f t="shared" si="338"/>
        <v/>
      </c>
    </row>
    <row r="1308" spans="1:26" ht="23.25" hidden="1" thickBot="1" x14ac:dyDescent="0.25">
      <c r="A1308" s="567">
        <v>97887</v>
      </c>
      <c r="B1308" s="644">
        <v>97887</v>
      </c>
      <c r="C1308" s="645" t="s">
        <v>670</v>
      </c>
      <c r="D1308" s="422" t="s">
        <v>1159</v>
      </c>
      <c r="E1308" s="423"/>
      <c r="F1308" s="424"/>
      <c r="G1308" s="425"/>
      <c r="H1308" s="651"/>
      <c r="I1308" s="420">
        <v>259.82</v>
      </c>
      <c r="J1308" s="420">
        <f t="shared" si="337"/>
        <v>259.82</v>
      </c>
      <c r="K1308" s="421">
        <f t="shared" si="336"/>
        <v>308.69</v>
      </c>
      <c r="L1308" s="647" t="s">
        <v>2065</v>
      </c>
      <c r="M1308" s="576"/>
      <c r="N1308" s="576">
        <f t="shared" si="339"/>
        <v>0</v>
      </c>
      <c r="O1308" s="577">
        <f t="shared" si="333"/>
        <v>0</v>
      </c>
      <c r="P1308" s="578">
        <f t="shared" si="334"/>
        <v>0</v>
      </c>
      <c r="Q1308" s="765"/>
      <c r="R1308" s="576">
        <f t="shared" si="330"/>
        <v>0</v>
      </c>
      <c r="S1308" s="576">
        <f t="shared" si="330"/>
        <v>0</v>
      </c>
      <c r="T1308" s="577">
        <f t="shared" si="331"/>
        <v>0</v>
      </c>
      <c r="U1308" s="578">
        <f t="shared" si="332"/>
        <v>0</v>
      </c>
      <c r="V1308" s="579"/>
      <c r="W1308" s="566"/>
      <c r="X1308" s="586" t="str">
        <f t="shared" si="335"/>
        <v/>
      </c>
      <c r="Y1308" s="586" t="str">
        <f t="shared" si="329"/>
        <v/>
      </c>
      <c r="Z1308" s="586" t="str">
        <f t="shared" si="338"/>
        <v/>
      </c>
    </row>
    <row r="1309" spans="1:26" ht="23.25" hidden="1" thickBot="1" x14ac:dyDescent="0.25">
      <c r="A1309" s="567">
        <v>97888</v>
      </c>
      <c r="B1309" s="644">
        <v>97888</v>
      </c>
      <c r="C1309" s="645" t="s">
        <v>670</v>
      </c>
      <c r="D1309" s="422" t="s">
        <v>1160</v>
      </c>
      <c r="E1309" s="423"/>
      <c r="F1309" s="424"/>
      <c r="G1309" s="425"/>
      <c r="H1309" s="651"/>
      <c r="I1309" s="420">
        <v>502.57</v>
      </c>
      <c r="J1309" s="420">
        <f t="shared" si="337"/>
        <v>502.57</v>
      </c>
      <c r="K1309" s="421">
        <f t="shared" si="336"/>
        <v>597.1</v>
      </c>
      <c r="L1309" s="647" t="s">
        <v>2065</v>
      </c>
      <c r="M1309" s="576"/>
      <c r="N1309" s="576">
        <f t="shared" si="339"/>
        <v>0</v>
      </c>
      <c r="O1309" s="577">
        <f t="shared" si="333"/>
        <v>0</v>
      </c>
      <c r="P1309" s="578">
        <f t="shared" si="334"/>
        <v>0</v>
      </c>
      <c r="Q1309" s="765"/>
      <c r="R1309" s="576">
        <f t="shared" si="330"/>
        <v>0</v>
      </c>
      <c r="S1309" s="576">
        <f t="shared" si="330"/>
        <v>0</v>
      </c>
      <c r="T1309" s="577">
        <f t="shared" si="331"/>
        <v>0</v>
      </c>
      <c r="U1309" s="578">
        <f t="shared" si="332"/>
        <v>0</v>
      </c>
      <c r="V1309" s="579"/>
      <c r="W1309" s="566"/>
      <c r="X1309" s="586" t="str">
        <f t="shared" si="335"/>
        <v/>
      </c>
      <c r="Y1309" s="586" t="str">
        <f t="shared" si="329"/>
        <v/>
      </c>
      <c r="Z1309" s="586" t="str">
        <f t="shared" si="338"/>
        <v/>
      </c>
    </row>
    <row r="1310" spans="1:26" ht="23.25" hidden="1" thickBot="1" x14ac:dyDescent="0.25">
      <c r="A1310" s="567">
        <v>97889</v>
      </c>
      <c r="B1310" s="644">
        <v>97889</v>
      </c>
      <c r="C1310" s="645" t="s">
        <v>670</v>
      </c>
      <c r="D1310" s="422" t="s">
        <v>1161</v>
      </c>
      <c r="E1310" s="423"/>
      <c r="F1310" s="424"/>
      <c r="G1310" s="425"/>
      <c r="H1310" s="651"/>
      <c r="I1310" s="420">
        <v>680.75</v>
      </c>
      <c r="J1310" s="420">
        <f t="shared" si="337"/>
        <v>680.75</v>
      </c>
      <c r="K1310" s="421">
        <f t="shared" si="336"/>
        <v>808.8</v>
      </c>
      <c r="L1310" s="647" t="s">
        <v>2065</v>
      </c>
      <c r="M1310" s="576"/>
      <c r="N1310" s="576">
        <f t="shared" si="339"/>
        <v>0</v>
      </c>
      <c r="O1310" s="577">
        <f t="shared" si="333"/>
        <v>0</v>
      </c>
      <c r="P1310" s="578">
        <f t="shared" si="334"/>
        <v>0</v>
      </c>
      <c r="Q1310" s="765"/>
      <c r="R1310" s="576">
        <f t="shared" si="330"/>
        <v>0</v>
      </c>
      <c r="S1310" s="576">
        <f t="shared" si="330"/>
        <v>0</v>
      </c>
      <c r="T1310" s="577">
        <f t="shared" si="331"/>
        <v>0</v>
      </c>
      <c r="U1310" s="578">
        <f t="shared" si="332"/>
        <v>0</v>
      </c>
      <c r="V1310" s="579"/>
      <c r="W1310" s="566"/>
      <c r="X1310" s="586" t="str">
        <f t="shared" si="335"/>
        <v/>
      </c>
      <c r="Y1310" s="586" t="str">
        <f t="shared" si="329"/>
        <v/>
      </c>
      <c r="Z1310" s="586" t="str">
        <f t="shared" si="338"/>
        <v/>
      </c>
    </row>
    <row r="1311" spans="1:26" ht="23.25" hidden="1" thickBot="1" x14ac:dyDescent="0.25">
      <c r="A1311" s="567">
        <v>97890</v>
      </c>
      <c r="B1311" s="644">
        <v>97890</v>
      </c>
      <c r="C1311" s="645" t="s">
        <v>670</v>
      </c>
      <c r="D1311" s="422" t="s">
        <v>1162</v>
      </c>
      <c r="E1311" s="423"/>
      <c r="F1311" s="424"/>
      <c r="G1311" s="425"/>
      <c r="H1311" s="651"/>
      <c r="I1311" s="420">
        <v>769.51</v>
      </c>
      <c r="J1311" s="420">
        <f t="shared" si="337"/>
        <v>769.51</v>
      </c>
      <c r="K1311" s="421">
        <f t="shared" si="336"/>
        <v>914.25</v>
      </c>
      <c r="L1311" s="647" t="s">
        <v>2065</v>
      </c>
      <c r="M1311" s="576"/>
      <c r="N1311" s="576">
        <f t="shared" si="339"/>
        <v>0</v>
      </c>
      <c r="O1311" s="577">
        <f t="shared" si="333"/>
        <v>0</v>
      </c>
      <c r="P1311" s="578">
        <f t="shared" si="334"/>
        <v>0</v>
      </c>
      <c r="Q1311" s="765"/>
      <c r="R1311" s="576">
        <f t="shared" si="330"/>
        <v>0</v>
      </c>
      <c r="S1311" s="576">
        <f t="shared" si="330"/>
        <v>0</v>
      </c>
      <c r="T1311" s="577">
        <f t="shared" si="331"/>
        <v>0</v>
      </c>
      <c r="U1311" s="578">
        <f t="shared" si="332"/>
        <v>0</v>
      </c>
      <c r="V1311" s="579"/>
      <c r="W1311" s="566"/>
      <c r="X1311" s="586" t="str">
        <f t="shared" si="335"/>
        <v/>
      </c>
      <c r="Y1311" s="586" t="str">
        <f t="shared" si="329"/>
        <v/>
      </c>
      <c r="Z1311" s="586" t="str">
        <f t="shared" si="338"/>
        <v/>
      </c>
    </row>
    <row r="1312" spans="1:26" ht="23.25" hidden="1" thickBot="1" x14ac:dyDescent="0.25">
      <c r="A1312" s="567">
        <v>97933</v>
      </c>
      <c r="B1312" s="644">
        <v>97933</v>
      </c>
      <c r="C1312" s="645" t="s">
        <v>670</v>
      </c>
      <c r="D1312" s="422" t="s">
        <v>1163</v>
      </c>
      <c r="E1312" s="423"/>
      <c r="F1312" s="424"/>
      <c r="G1312" s="425"/>
      <c r="H1312" s="651"/>
      <c r="I1312" s="420">
        <v>656.21</v>
      </c>
      <c r="J1312" s="420">
        <f t="shared" si="337"/>
        <v>656.21</v>
      </c>
      <c r="K1312" s="421">
        <f t="shared" si="336"/>
        <v>779.64</v>
      </c>
      <c r="L1312" s="647" t="s">
        <v>2065</v>
      </c>
      <c r="M1312" s="576"/>
      <c r="N1312" s="576">
        <f t="shared" si="339"/>
        <v>0</v>
      </c>
      <c r="O1312" s="577">
        <f t="shared" si="333"/>
        <v>0</v>
      </c>
      <c r="P1312" s="578">
        <f t="shared" si="334"/>
        <v>0</v>
      </c>
      <c r="Q1312" s="765"/>
      <c r="R1312" s="576">
        <f t="shared" si="330"/>
        <v>0</v>
      </c>
      <c r="S1312" s="576">
        <f t="shared" si="330"/>
        <v>0</v>
      </c>
      <c r="T1312" s="577">
        <f t="shared" si="331"/>
        <v>0</v>
      </c>
      <c r="U1312" s="578">
        <f t="shared" si="332"/>
        <v>0</v>
      </c>
      <c r="V1312" s="579"/>
      <c r="W1312" s="566"/>
      <c r="X1312" s="586" t="str">
        <f t="shared" si="335"/>
        <v/>
      </c>
      <c r="Y1312" s="586" t="str">
        <f t="shared" si="329"/>
        <v/>
      </c>
      <c r="Z1312" s="586" t="str">
        <f t="shared" si="338"/>
        <v/>
      </c>
    </row>
    <row r="1313" spans="1:26" ht="23.25" hidden="1" thickBot="1" x14ac:dyDescent="0.25">
      <c r="A1313" s="567">
        <v>97947</v>
      </c>
      <c r="B1313" s="644">
        <v>97947</v>
      </c>
      <c r="C1313" s="645" t="s">
        <v>670</v>
      </c>
      <c r="D1313" s="422" t="s">
        <v>1164</v>
      </c>
      <c r="E1313" s="423"/>
      <c r="F1313" s="424"/>
      <c r="G1313" s="425"/>
      <c r="H1313" s="651"/>
      <c r="I1313" s="420">
        <v>1610.54</v>
      </c>
      <c r="J1313" s="420">
        <f t="shared" si="337"/>
        <v>1610.54</v>
      </c>
      <c r="K1313" s="421">
        <f t="shared" si="336"/>
        <v>1913.48</v>
      </c>
      <c r="L1313" s="647" t="s">
        <v>2065</v>
      </c>
      <c r="M1313" s="576"/>
      <c r="N1313" s="576">
        <f t="shared" si="339"/>
        <v>0</v>
      </c>
      <c r="O1313" s="577">
        <f t="shared" si="333"/>
        <v>0</v>
      </c>
      <c r="P1313" s="578">
        <f t="shared" si="334"/>
        <v>0</v>
      </c>
      <c r="Q1313" s="765"/>
      <c r="R1313" s="576">
        <f t="shared" si="330"/>
        <v>0</v>
      </c>
      <c r="S1313" s="576">
        <f t="shared" si="330"/>
        <v>0</v>
      </c>
      <c r="T1313" s="577">
        <f t="shared" si="331"/>
        <v>0</v>
      </c>
      <c r="U1313" s="578">
        <f t="shared" si="332"/>
        <v>0</v>
      </c>
      <c r="V1313" s="579"/>
      <c r="W1313" s="566"/>
      <c r="X1313" s="586" t="str">
        <f t="shared" si="335"/>
        <v/>
      </c>
      <c r="Y1313" s="586" t="str">
        <f t="shared" si="329"/>
        <v/>
      </c>
      <c r="Z1313" s="586" t="str">
        <f t="shared" si="338"/>
        <v/>
      </c>
    </row>
    <row r="1314" spans="1:26" ht="23.25" hidden="1" thickBot="1" x14ac:dyDescent="0.25">
      <c r="A1314" s="567">
        <v>97948</v>
      </c>
      <c r="B1314" s="644">
        <v>97948</v>
      </c>
      <c r="C1314" s="645" t="s">
        <v>670</v>
      </c>
      <c r="D1314" s="422" t="s">
        <v>1165</v>
      </c>
      <c r="E1314" s="423"/>
      <c r="F1314" s="424"/>
      <c r="G1314" s="425"/>
      <c r="H1314" s="651"/>
      <c r="I1314" s="420">
        <v>2935.97</v>
      </c>
      <c r="J1314" s="420">
        <f t="shared" si="337"/>
        <v>2935.97</v>
      </c>
      <c r="K1314" s="421">
        <f t="shared" si="336"/>
        <v>3488.23</v>
      </c>
      <c r="L1314" s="647" t="s">
        <v>2065</v>
      </c>
      <c r="M1314" s="576"/>
      <c r="N1314" s="576">
        <f t="shared" si="339"/>
        <v>0</v>
      </c>
      <c r="O1314" s="577">
        <f t="shared" si="333"/>
        <v>0</v>
      </c>
      <c r="P1314" s="578">
        <f t="shared" si="334"/>
        <v>0</v>
      </c>
      <c r="Q1314" s="765"/>
      <c r="R1314" s="576">
        <f t="shared" si="330"/>
        <v>0</v>
      </c>
      <c r="S1314" s="576">
        <f t="shared" si="330"/>
        <v>0</v>
      </c>
      <c r="T1314" s="577">
        <f t="shared" si="331"/>
        <v>0</v>
      </c>
      <c r="U1314" s="578">
        <f t="shared" si="332"/>
        <v>0</v>
      </c>
      <c r="V1314" s="579"/>
      <c r="W1314" s="566"/>
      <c r="X1314" s="586" t="str">
        <f t="shared" si="335"/>
        <v/>
      </c>
      <c r="Y1314" s="586" t="str">
        <f t="shared" si="329"/>
        <v/>
      </c>
      <c r="Z1314" s="586" t="str">
        <f t="shared" si="338"/>
        <v/>
      </c>
    </row>
    <row r="1315" spans="1:26" ht="23.25" hidden="1" thickBot="1" x14ac:dyDescent="0.25">
      <c r="A1315" s="567">
        <v>97953</v>
      </c>
      <c r="B1315" s="644">
        <v>97953</v>
      </c>
      <c r="C1315" s="645" t="s">
        <v>670</v>
      </c>
      <c r="D1315" s="422" t="s">
        <v>1166</v>
      </c>
      <c r="E1315" s="423"/>
      <c r="F1315" s="424"/>
      <c r="G1315" s="425"/>
      <c r="H1315" s="651"/>
      <c r="I1315" s="420">
        <v>1084.21</v>
      </c>
      <c r="J1315" s="420">
        <f t="shared" si="337"/>
        <v>1084.21</v>
      </c>
      <c r="K1315" s="421">
        <f t="shared" si="336"/>
        <v>1288.1500000000001</v>
      </c>
      <c r="L1315" s="647" t="s">
        <v>2065</v>
      </c>
      <c r="M1315" s="576"/>
      <c r="N1315" s="576">
        <f t="shared" si="339"/>
        <v>0</v>
      </c>
      <c r="O1315" s="577">
        <f t="shared" si="333"/>
        <v>0</v>
      </c>
      <c r="P1315" s="578">
        <f t="shared" si="334"/>
        <v>0</v>
      </c>
      <c r="Q1315" s="765"/>
      <c r="R1315" s="576">
        <f t="shared" si="330"/>
        <v>0</v>
      </c>
      <c r="S1315" s="576">
        <f t="shared" si="330"/>
        <v>0</v>
      </c>
      <c r="T1315" s="577">
        <f t="shared" si="331"/>
        <v>0</v>
      </c>
      <c r="U1315" s="578">
        <f t="shared" si="332"/>
        <v>0</v>
      </c>
      <c r="V1315" s="579"/>
      <c r="W1315" s="566"/>
      <c r="X1315" s="586" t="str">
        <f t="shared" si="335"/>
        <v/>
      </c>
      <c r="Y1315" s="586" t="str">
        <f t="shared" ref="Y1315:Y1378" si="340">IF(W1315="X","x",IF(W1315="y","x",IF(W1315="xx","x",IF(U1315&gt;0,"x",""))))</f>
        <v/>
      </c>
      <c r="Z1315" s="586" t="str">
        <f t="shared" si="338"/>
        <v/>
      </c>
    </row>
    <row r="1316" spans="1:26" ht="23.25" hidden="1" thickBot="1" x14ac:dyDescent="0.25">
      <c r="A1316" s="567">
        <v>97955</v>
      </c>
      <c r="B1316" s="644">
        <v>97955</v>
      </c>
      <c r="C1316" s="645" t="s">
        <v>670</v>
      </c>
      <c r="D1316" s="422" t="s">
        <v>1167</v>
      </c>
      <c r="E1316" s="423"/>
      <c r="F1316" s="424"/>
      <c r="G1316" s="425"/>
      <c r="H1316" s="651"/>
      <c r="I1316" s="420">
        <v>2394.4699999999998</v>
      </c>
      <c r="J1316" s="420">
        <f t="shared" si="337"/>
        <v>2394.4699999999998</v>
      </c>
      <c r="K1316" s="421">
        <f t="shared" si="336"/>
        <v>2844.87</v>
      </c>
      <c r="L1316" s="647" t="s">
        <v>2065</v>
      </c>
      <c r="M1316" s="576"/>
      <c r="N1316" s="576">
        <f t="shared" si="339"/>
        <v>0</v>
      </c>
      <c r="O1316" s="577">
        <f t="shared" si="333"/>
        <v>0</v>
      </c>
      <c r="P1316" s="578">
        <f t="shared" si="334"/>
        <v>0</v>
      </c>
      <c r="Q1316" s="765"/>
      <c r="R1316" s="576">
        <f t="shared" si="330"/>
        <v>0</v>
      </c>
      <c r="S1316" s="576">
        <f t="shared" si="330"/>
        <v>0</v>
      </c>
      <c r="T1316" s="577">
        <f t="shared" si="331"/>
        <v>0</v>
      </c>
      <c r="U1316" s="578">
        <f t="shared" si="332"/>
        <v>0</v>
      </c>
      <c r="V1316" s="579"/>
      <c r="W1316" s="566"/>
      <c r="X1316" s="586" t="str">
        <f t="shared" si="335"/>
        <v/>
      </c>
      <c r="Y1316" s="586" t="str">
        <f t="shared" si="340"/>
        <v/>
      </c>
      <c r="Z1316" s="586" t="str">
        <f t="shared" si="338"/>
        <v/>
      </c>
    </row>
    <row r="1317" spans="1:26" ht="23.25" hidden="1" thickBot="1" x14ac:dyDescent="0.25">
      <c r="A1317" s="567">
        <v>97891</v>
      </c>
      <c r="B1317" s="644">
        <v>97891</v>
      </c>
      <c r="C1317" s="645" t="s">
        <v>670</v>
      </c>
      <c r="D1317" s="422" t="s">
        <v>1168</v>
      </c>
      <c r="E1317" s="423"/>
      <c r="F1317" s="424"/>
      <c r="G1317" s="425"/>
      <c r="H1317" s="651"/>
      <c r="I1317" s="420">
        <v>189.1</v>
      </c>
      <c r="J1317" s="420">
        <f t="shared" si="337"/>
        <v>189.1</v>
      </c>
      <c r="K1317" s="421">
        <f t="shared" si="336"/>
        <v>224.67</v>
      </c>
      <c r="L1317" s="647" t="s">
        <v>2065</v>
      </c>
      <c r="M1317" s="576"/>
      <c r="N1317" s="576">
        <f t="shared" si="339"/>
        <v>0</v>
      </c>
      <c r="O1317" s="577">
        <f t="shared" si="333"/>
        <v>0</v>
      </c>
      <c r="P1317" s="578">
        <f t="shared" si="334"/>
        <v>0</v>
      </c>
      <c r="Q1317" s="765"/>
      <c r="R1317" s="576">
        <f t="shared" si="330"/>
        <v>0</v>
      </c>
      <c r="S1317" s="576">
        <f t="shared" si="330"/>
        <v>0</v>
      </c>
      <c r="T1317" s="577">
        <f t="shared" si="331"/>
        <v>0</v>
      </c>
      <c r="U1317" s="578">
        <f t="shared" si="332"/>
        <v>0</v>
      </c>
      <c r="V1317" s="579"/>
      <c r="W1317" s="566"/>
      <c r="X1317" s="586" t="str">
        <f t="shared" si="335"/>
        <v/>
      </c>
      <c r="Y1317" s="586" t="str">
        <f t="shared" si="340"/>
        <v/>
      </c>
      <c r="Z1317" s="586" t="str">
        <f t="shared" si="338"/>
        <v/>
      </c>
    </row>
    <row r="1318" spans="1:26" ht="23.25" hidden="1" thickBot="1" x14ac:dyDescent="0.25">
      <c r="A1318" s="567">
        <v>97892</v>
      </c>
      <c r="B1318" s="644">
        <v>97892</v>
      </c>
      <c r="C1318" s="645" t="s">
        <v>670</v>
      </c>
      <c r="D1318" s="422" t="s">
        <v>1169</v>
      </c>
      <c r="E1318" s="423"/>
      <c r="F1318" s="424"/>
      <c r="G1318" s="425"/>
      <c r="H1318" s="651"/>
      <c r="I1318" s="420">
        <v>353.05</v>
      </c>
      <c r="J1318" s="420">
        <f t="shared" si="337"/>
        <v>353.05</v>
      </c>
      <c r="K1318" s="421">
        <f t="shared" si="336"/>
        <v>419.46</v>
      </c>
      <c r="L1318" s="647" t="s">
        <v>2065</v>
      </c>
      <c r="M1318" s="576"/>
      <c r="N1318" s="576">
        <f t="shared" si="339"/>
        <v>0</v>
      </c>
      <c r="O1318" s="577">
        <f t="shared" si="333"/>
        <v>0</v>
      </c>
      <c r="P1318" s="578">
        <f t="shared" si="334"/>
        <v>0</v>
      </c>
      <c r="Q1318" s="765"/>
      <c r="R1318" s="576">
        <f t="shared" si="330"/>
        <v>0</v>
      </c>
      <c r="S1318" s="576">
        <f t="shared" si="330"/>
        <v>0</v>
      </c>
      <c r="T1318" s="577">
        <f t="shared" si="331"/>
        <v>0</v>
      </c>
      <c r="U1318" s="578">
        <f t="shared" si="332"/>
        <v>0</v>
      </c>
      <c r="V1318" s="579"/>
      <c r="W1318" s="566"/>
      <c r="X1318" s="586" t="str">
        <f t="shared" si="335"/>
        <v/>
      </c>
      <c r="Y1318" s="586" t="str">
        <f t="shared" si="340"/>
        <v/>
      </c>
      <c r="Z1318" s="586" t="str">
        <f t="shared" si="338"/>
        <v/>
      </c>
    </row>
    <row r="1319" spans="1:26" ht="23.25" hidden="1" thickBot="1" x14ac:dyDescent="0.25">
      <c r="A1319" s="567">
        <v>97893</v>
      </c>
      <c r="B1319" s="644">
        <v>97893</v>
      </c>
      <c r="C1319" s="645" t="s">
        <v>670</v>
      </c>
      <c r="D1319" s="422" t="s">
        <v>1170</v>
      </c>
      <c r="E1319" s="423"/>
      <c r="F1319" s="424"/>
      <c r="G1319" s="425"/>
      <c r="H1319" s="651"/>
      <c r="I1319" s="420">
        <v>490.04</v>
      </c>
      <c r="J1319" s="420">
        <f t="shared" si="337"/>
        <v>490.04</v>
      </c>
      <c r="K1319" s="421">
        <f t="shared" si="336"/>
        <v>582.22</v>
      </c>
      <c r="L1319" s="647" t="s">
        <v>2065</v>
      </c>
      <c r="M1319" s="576"/>
      <c r="N1319" s="576">
        <f t="shared" si="339"/>
        <v>0</v>
      </c>
      <c r="O1319" s="577">
        <f t="shared" si="333"/>
        <v>0</v>
      </c>
      <c r="P1319" s="578">
        <f t="shared" si="334"/>
        <v>0</v>
      </c>
      <c r="Q1319" s="765"/>
      <c r="R1319" s="576">
        <f t="shared" si="330"/>
        <v>0</v>
      </c>
      <c r="S1319" s="576">
        <f t="shared" si="330"/>
        <v>0</v>
      </c>
      <c r="T1319" s="577">
        <f t="shared" si="331"/>
        <v>0</v>
      </c>
      <c r="U1319" s="578">
        <f t="shared" si="332"/>
        <v>0</v>
      </c>
      <c r="V1319" s="579"/>
      <c r="W1319" s="566"/>
      <c r="X1319" s="586" t="str">
        <f t="shared" si="335"/>
        <v/>
      </c>
      <c r="Y1319" s="586" t="str">
        <f t="shared" si="340"/>
        <v/>
      </c>
      <c r="Z1319" s="586" t="str">
        <f t="shared" si="338"/>
        <v/>
      </c>
    </row>
    <row r="1320" spans="1:26" ht="23.25" hidden="1" thickBot="1" x14ac:dyDescent="0.25">
      <c r="A1320" s="567">
        <v>97894</v>
      </c>
      <c r="B1320" s="644">
        <v>97894</v>
      </c>
      <c r="C1320" s="645" t="s">
        <v>670</v>
      </c>
      <c r="D1320" s="422" t="s">
        <v>1171</v>
      </c>
      <c r="E1320" s="423"/>
      <c r="F1320" s="424"/>
      <c r="G1320" s="425"/>
      <c r="H1320" s="651"/>
      <c r="I1320" s="420">
        <v>538.41999999999996</v>
      </c>
      <c r="J1320" s="420">
        <f t="shared" si="337"/>
        <v>538.41999999999996</v>
      </c>
      <c r="K1320" s="421">
        <f t="shared" si="336"/>
        <v>639.70000000000005</v>
      </c>
      <c r="L1320" s="647" t="s">
        <v>2065</v>
      </c>
      <c r="M1320" s="576"/>
      <c r="N1320" s="576">
        <f t="shared" si="339"/>
        <v>0</v>
      </c>
      <c r="O1320" s="577">
        <f t="shared" si="333"/>
        <v>0</v>
      </c>
      <c r="P1320" s="578">
        <f t="shared" si="334"/>
        <v>0</v>
      </c>
      <c r="Q1320" s="765"/>
      <c r="R1320" s="576">
        <f t="shared" si="330"/>
        <v>0</v>
      </c>
      <c r="S1320" s="576">
        <f t="shared" si="330"/>
        <v>0</v>
      </c>
      <c r="T1320" s="577">
        <f t="shared" si="331"/>
        <v>0</v>
      </c>
      <c r="U1320" s="578">
        <f t="shared" si="332"/>
        <v>0</v>
      </c>
      <c r="V1320" s="579"/>
      <c r="W1320" s="566"/>
      <c r="X1320" s="586" t="str">
        <f t="shared" si="335"/>
        <v/>
      </c>
      <c r="Y1320" s="586" t="str">
        <f t="shared" si="340"/>
        <v/>
      </c>
      <c r="Z1320" s="586" t="str">
        <f t="shared" si="338"/>
        <v/>
      </c>
    </row>
    <row r="1321" spans="1:26" ht="23.25" hidden="1" thickBot="1" x14ac:dyDescent="0.25">
      <c r="A1321" s="567">
        <v>97881</v>
      </c>
      <c r="B1321" s="644">
        <v>97881</v>
      </c>
      <c r="C1321" s="645" t="s">
        <v>670</v>
      </c>
      <c r="D1321" s="422" t="s">
        <v>1172</v>
      </c>
      <c r="E1321" s="423"/>
      <c r="F1321" s="424"/>
      <c r="G1321" s="425"/>
      <c r="H1321" s="651"/>
      <c r="I1321" s="420">
        <v>94.27</v>
      </c>
      <c r="J1321" s="420">
        <f t="shared" si="337"/>
        <v>94.27</v>
      </c>
      <c r="K1321" s="421">
        <f t="shared" si="336"/>
        <v>112</v>
      </c>
      <c r="L1321" s="647" t="s">
        <v>2065</v>
      </c>
      <c r="M1321" s="576"/>
      <c r="N1321" s="576">
        <f t="shared" si="339"/>
        <v>0</v>
      </c>
      <c r="O1321" s="577">
        <f t="shared" si="333"/>
        <v>0</v>
      </c>
      <c r="P1321" s="578">
        <f t="shared" si="334"/>
        <v>0</v>
      </c>
      <c r="Q1321" s="765"/>
      <c r="R1321" s="576">
        <f t="shared" si="330"/>
        <v>0</v>
      </c>
      <c r="S1321" s="576">
        <f t="shared" si="330"/>
        <v>0</v>
      </c>
      <c r="T1321" s="577">
        <f t="shared" si="331"/>
        <v>0</v>
      </c>
      <c r="U1321" s="578">
        <f t="shared" si="332"/>
        <v>0</v>
      </c>
      <c r="V1321" s="579"/>
      <c r="W1321" s="566"/>
      <c r="X1321" s="586" t="str">
        <f t="shared" si="335"/>
        <v/>
      </c>
      <c r="Y1321" s="586" t="str">
        <f t="shared" si="340"/>
        <v/>
      </c>
      <c r="Z1321" s="586" t="str">
        <f t="shared" si="338"/>
        <v/>
      </c>
    </row>
    <row r="1322" spans="1:26" ht="23.25" hidden="1" thickBot="1" x14ac:dyDescent="0.25">
      <c r="A1322" s="567">
        <v>97882</v>
      </c>
      <c r="B1322" s="644">
        <v>97882</v>
      </c>
      <c r="C1322" s="645" t="s">
        <v>670</v>
      </c>
      <c r="D1322" s="422" t="s">
        <v>1173</v>
      </c>
      <c r="E1322" s="423"/>
      <c r="F1322" s="424"/>
      <c r="G1322" s="425"/>
      <c r="H1322" s="651"/>
      <c r="I1322" s="420">
        <v>145.55000000000001</v>
      </c>
      <c r="J1322" s="420">
        <f t="shared" si="337"/>
        <v>145.55000000000001</v>
      </c>
      <c r="K1322" s="421">
        <f t="shared" si="336"/>
        <v>172.93</v>
      </c>
      <c r="L1322" s="647" t="s">
        <v>2065</v>
      </c>
      <c r="M1322" s="576"/>
      <c r="N1322" s="576">
        <f t="shared" si="339"/>
        <v>0</v>
      </c>
      <c r="O1322" s="577">
        <f t="shared" si="333"/>
        <v>0</v>
      </c>
      <c r="P1322" s="578">
        <f t="shared" si="334"/>
        <v>0</v>
      </c>
      <c r="Q1322" s="765"/>
      <c r="R1322" s="576">
        <f t="shared" ref="R1322:S1385" si="341">M1322</f>
        <v>0</v>
      </c>
      <c r="S1322" s="576">
        <f t="shared" si="341"/>
        <v>0</v>
      </c>
      <c r="T1322" s="577">
        <f t="shared" si="331"/>
        <v>0</v>
      </c>
      <c r="U1322" s="578">
        <f t="shared" si="332"/>
        <v>0</v>
      </c>
      <c r="V1322" s="579"/>
      <c r="W1322" s="566"/>
      <c r="X1322" s="586" t="str">
        <f t="shared" si="335"/>
        <v/>
      </c>
      <c r="Y1322" s="586" t="str">
        <f t="shared" si="340"/>
        <v/>
      </c>
      <c r="Z1322" s="586" t="str">
        <f t="shared" si="338"/>
        <v/>
      </c>
    </row>
    <row r="1323" spans="1:26" ht="23.25" hidden="1" thickBot="1" x14ac:dyDescent="0.25">
      <c r="A1323" s="567">
        <v>97883</v>
      </c>
      <c r="B1323" s="644">
        <v>97883</v>
      </c>
      <c r="C1323" s="645" t="s">
        <v>670</v>
      </c>
      <c r="D1323" s="422" t="s">
        <v>1174</v>
      </c>
      <c r="E1323" s="423"/>
      <c r="F1323" s="424"/>
      <c r="G1323" s="425"/>
      <c r="H1323" s="651"/>
      <c r="I1323" s="420">
        <v>282.02</v>
      </c>
      <c r="J1323" s="420">
        <f t="shared" si="337"/>
        <v>282.02</v>
      </c>
      <c r="K1323" s="421">
        <f t="shared" si="336"/>
        <v>335.07</v>
      </c>
      <c r="L1323" s="647" t="s">
        <v>2065</v>
      </c>
      <c r="M1323" s="576"/>
      <c r="N1323" s="576">
        <f t="shared" si="339"/>
        <v>0</v>
      </c>
      <c r="O1323" s="577">
        <f t="shared" si="333"/>
        <v>0</v>
      </c>
      <c r="P1323" s="578">
        <f t="shared" si="334"/>
        <v>0</v>
      </c>
      <c r="Q1323" s="765"/>
      <c r="R1323" s="576">
        <f t="shared" si="341"/>
        <v>0</v>
      </c>
      <c r="S1323" s="576">
        <f t="shared" si="341"/>
        <v>0</v>
      </c>
      <c r="T1323" s="577">
        <f t="shared" si="331"/>
        <v>0</v>
      </c>
      <c r="U1323" s="578">
        <f t="shared" si="332"/>
        <v>0</v>
      </c>
      <c r="V1323" s="579"/>
      <c r="W1323" s="566"/>
      <c r="X1323" s="586" t="str">
        <f t="shared" si="335"/>
        <v/>
      </c>
      <c r="Y1323" s="586" t="str">
        <f t="shared" si="340"/>
        <v/>
      </c>
      <c r="Z1323" s="586" t="str">
        <f t="shared" si="338"/>
        <v/>
      </c>
    </row>
    <row r="1324" spans="1:26" ht="23.25" hidden="1" thickBot="1" x14ac:dyDescent="0.25">
      <c r="A1324" s="567">
        <v>97884</v>
      </c>
      <c r="B1324" s="644">
        <v>97884</v>
      </c>
      <c r="C1324" s="645" t="s">
        <v>670</v>
      </c>
      <c r="D1324" s="422" t="s">
        <v>1175</v>
      </c>
      <c r="E1324" s="423"/>
      <c r="F1324" s="424"/>
      <c r="G1324" s="425"/>
      <c r="H1324" s="651"/>
      <c r="I1324" s="420">
        <v>541.54999999999995</v>
      </c>
      <c r="J1324" s="420">
        <f t="shared" si="337"/>
        <v>541.54999999999995</v>
      </c>
      <c r="K1324" s="421">
        <f t="shared" si="336"/>
        <v>643.41999999999996</v>
      </c>
      <c r="L1324" s="647" t="s">
        <v>2065</v>
      </c>
      <c r="M1324" s="576"/>
      <c r="N1324" s="576">
        <f t="shared" si="339"/>
        <v>0</v>
      </c>
      <c r="O1324" s="577">
        <f t="shared" si="333"/>
        <v>0</v>
      </c>
      <c r="P1324" s="578">
        <f t="shared" si="334"/>
        <v>0</v>
      </c>
      <c r="Q1324" s="765"/>
      <c r="R1324" s="576">
        <f t="shared" si="341"/>
        <v>0</v>
      </c>
      <c r="S1324" s="576">
        <f t="shared" si="341"/>
        <v>0</v>
      </c>
      <c r="T1324" s="577">
        <f t="shared" si="331"/>
        <v>0</v>
      </c>
      <c r="U1324" s="578">
        <f t="shared" si="332"/>
        <v>0</v>
      </c>
      <c r="V1324" s="579"/>
      <c r="W1324" s="566"/>
      <c r="X1324" s="586" t="str">
        <f t="shared" si="335"/>
        <v/>
      </c>
      <c r="Y1324" s="586" t="str">
        <f t="shared" si="340"/>
        <v/>
      </c>
      <c r="Z1324" s="586" t="str">
        <f t="shared" si="338"/>
        <v/>
      </c>
    </row>
    <row r="1325" spans="1:26" ht="23.25" hidden="1" thickBot="1" x14ac:dyDescent="0.25">
      <c r="A1325" s="567">
        <v>97885</v>
      </c>
      <c r="B1325" s="644">
        <v>97885</v>
      </c>
      <c r="C1325" s="645" t="s">
        <v>670</v>
      </c>
      <c r="D1325" s="422" t="s">
        <v>1176</v>
      </c>
      <c r="E1325" s="423"/>
      <c r="F1325" s="424"/>
      <c r="G1325" s="425"/>
      <c r="H1325" s="651"/>
      <c r="I1325" s="420">
        <v>825.06</v>
      </c>
      <c r="J1325" s="420">
        <f t="shared" si="337"/>
        <v>825.06</v>
      </c>
      <c r="K1325" s="421">
        <f t="shared" si="336"/>
        <v>980.25</v>
      </c>
      <c r="L1325" s="647" t="s">
        <v>2065</v>
      </c>
      <c r="M1325" s="576"/>
      <c r="N1325" s="576">
        <f t="shared" si="339"/>
        <v>0</v>
      </c>
      <c r="O1325" s="577">
        <f t="shared" si="333"/>
        <v>0</v>
      </c>
      <c r="P1325" s="578">
        <f t="shared" si="334"/>
        <v>0</v>
      </c>
      <c r="Q1325" s="765"/>
      <c r="R1325" s="576">
        <f t="shared" si="341"/>
        <v>0</v>
      </c>
      <c r="S1325" s="576">
        <f t="shared" si="341"/>
        <v>0</v>
      </c>
      <c r="T1325" s="577">
        <f t="shared" si="331"/>
        <v>0</v>
      </c>
      <c r="U1325" s="578">
        <f t="shared" si="332"/>
        <v>0</v>
      </c>
      <c r="V1325" s="579"/>
      <c r="W1325" s="566"/>
      <c r="X1325" s="586" t="str">
        <f t="shared" si="335"/>
        <v/>
      </c>
      <c r="Y1325" s="586" t="str">
        <f t="shared" si="340"/>
        <v/>
      </c>
      <c r="Z1325" s="586" t="str">
        <f t="shared" si="338"/>
        <v/>
      </c>
    </row>
    <row r="1326" spans="1:26" ht="23.25" hidden="1" thickBot="1" x14ac:dyDescent="0.25">
      <c r="A1326" s="567">
        <v>91945</v>
      </c>
      <c r="B1326" s="644">
        <v>91945</v>
      </c>
      <c r="C1326" s="645" t="s">
        <v>670</v>
      </c>
      <c r="D1326" s="422" t="s">
        <v>1177</v>
      </c>
      <c r="E1326" s="423"/>
      <c r="F1326" s="424"/>
      <c r="G1326" s="425"/>
      <c r="H1326" s="651"/>
      <c r="I1326" s="420">
        <v>11.39</v>
      </c>
      <c r="J1326" s="420">
        <f t="shared" si="337"/>
        <v>11.39</v>
      </c>
      <c r="K1326" s="421">
        <f t="shared" si="336"/>
        <v>13.53</v>
      </c>
      <c r="L1326" s="647" t="s">
        <v>2065</v>
      </c>
      <c r="M1326" s="576"/>
      <c r="N1326" s="576">
        <f t="shared" si="339"/>
        <v>0</v>
      </c>
      <c r="O1326" s="577">
        <f t="shared" si="333"/>
        <v>0</v>
      </c>
      <c r="P1326" s="578">
        <f t="shared" si="334"/>
        <v>0</v>
      </c>
      <c r="Q1326" s="765"/>
      <c r="R1326" s="576">
        <f t="shared" si="341"/>
        <v>0</v>
      </c>
      <c r="S1326" s="576">
        <f t="shared" si="341"/>
        <v>0</v>
      </c>
      <c r="T1326" s="577">
        <f t="shared" si="331"/>
        <v>0</v>
      </c>
      <c r="U1326" s="578">
        <f t="shared" si="332"/>
        <v>0</v>
      </c>
      <c r="V1326" s="579"/>
      <c r="W1326" s="566"/>
      <c r="X1326" s="586" t="str">
        <f t="shared" si="335"/>
        <v/>
      </c>
      <c r="Y1326" s="586" t="str">
        <f t="shared" si="340"/>
        <v/>
      </c>
      <c r="Z1326" s="586" t="str">
        <f t="shared" si="338"/>
        <v/>
      </c>
    </row>
    <row r="1327" spans="1:26" ht="23.25" hidden="1" thickBot="1" x14ac:dyDescent="0.25">
      <c r="A1327" s="567">
        <v>91946</v>
      </c>
      <c r="B1327" s="644">
        <v>91946</v>
      </c>
      <c r="C1327" s="645" t="s">
        <v>670</v>
      </c>
      <c r="D1327" s="422" t="s">
        <v>1178</v>
      </c>
      <c r="E1327" s="423"/>
      <c r="F1327" s="424"/>
      <c r="G1327" s="425"/>
      <c r="H1327" s="651"/>
      <c r="I1327" s="420">
        <v>9.73</v>
      </c>
      <c r="J1327" s="420">
        <f t="shared" si="337"/>
        <v>9.73</v>
      </c>
      <c r="K1327" s="421">
        <f t="shared" si="336"/>
        <v>11.56</v>
      </c>
      <c r="L1327" s="647" t="s">
        <v>2065</v>
      </c>
      <c r="M1327" s="576"/>
      <c r="N1327" s="576">
        <f t="shared" si="339"/>
        <v>0</v>
      </c>
      <c r="O1327" s="577">
        <f t="shared" si="333"/>
        <v>0</v>
      </c>
      <c r="P1327" s="578">
        <f t="shared" si="334"/>
        <v>0</v>
      </c>
      <c r="Q1327" s="765"/>
      <c r="R1327" s="576">
        <f t="shared" si="341"/>
        <v>0</v>
      </c>
      <c r="S1327" s="576">
        <f t="shared" si="341"/>
        <v>0</v>
      </c>
      <c r="T1327" s="577">
        <f t="shared" si="331"/>
        <v>0</v>
      </c>
      <c r="U1327" s="578">
        <f t="shared" si="332"/>
        <v>0</v>
      </c>
      <c r="V1327" s="579"/>
      <c r="W1327" s="566"/>
      <c r="X1327" s="586" t="str">
        <f t="shared" si="335"/>
        <v/>
      </c>
      <c r="Y1327" s="586" t="str">
        <f t="shared" si="340"/>
        <v/>
      </c>
      <c r="Z1327" s="586" t="str">
        <f t="shared" si="338"/>
        <v/>
      </c>
    </row>
    <row r="1328" spans="1:26" ht="23.25" hidden="1" thickBot="1" x14ac:dyDescent="0.25">
      <c r="A1328" s="567">
        <v>91947</v>
      </c>
      <c r="B1328" s="644">
        <v>91947</v>
      </c>
      <c r="C1328" s="645" t="s">
        <v>670</v>
      </c>
      <c r="D1328" s="422" t="s">
        <v>1179</v>
      </c>
      <c r="E1328" s="423"/>
      <c r="F1328" s="424"/>
      <c r="G1328" s="425"/>
      <c r="H1328" s="651"/>
      <c r="I1328" s="420">
        <v>8.6999999999999993</v>
      </c>
      <c r="J1328" s="420">
        <f t="shared" si="337"/>
        <v>8.6999999999999993</v>
      </c>
      <c r="K1328" s="421">
        <f t="shared" si="336"/>
        <v>10.34</v>
      </c>
      <c r="L1328" s="647" t="s">
        <v>2065</v>
      </c>
      <c r="M1328" s="576"/>
      <c r="N1328" s="576">
        <f t="shared" si="339"/>
        <v>0</v>
      </c>
      <c r="O1328" s="577">
        <f t="shared" si="333"/>
        <v>0</v>
      </c>
      <c r="P1328" s="578">
        <f t="shared" si="334"/>
        <v>0</v>
      </c>
      <c r="Q1328" s="765"/>
      <c r="R1328" s="576">
        <f t="shared" si="341"/>
        <v>0</v>
      </c>
      <c r="S1328" s="576">
        <f t="shared" si="341"/>
        <v>0</v>
      </c>
      <c r="T1328" s="577">
        <f t="shared" si="331"/>
        <v>0</v>
      </c>
      <c r="U1328" s="578">
        <f t="shared" si="332"/>
        <v>0</v>
      </c>
      <c r="V1328" s="579"/>
      <c r="W1328" s="566"/>
      <c r="X1328" s="586" t="str">
        <f t="shared" si="335"/>
        <v/>
      </c>
      <c r="Y1328" s="586" t="str">
        <f t="shared" si="340"/>
        <v/>
      </c>
      <c r="Z1328" s="586" t="str">
        <f t="shared" si="338"/>
        <v/>
      </c>
    </row>
    <row r="1329" spans="1:26" ht="23.25" hidden="1" thickBot="1" x14ac:dyDescent="0.25">
      <c r="A1329" s="567">
        <v>91949</v>
      </c>
      <c r="B1329" s="644">
        <v>91949</v>
      </c>
      <c r="C1329" s="645" t="s">
        <v>670</v>
      </c>
      <c r="D1329" s="422" t="s">
        <v>1180</v>
      </c>
      <c r="E1329" s="423"/>
      <c r="F1329" s="424"/>
      <c r="G1329" s="425"/>
      <c r="H1329" s="651"/>
      <c r="I1329" s="420">
        <v>17.899999999999999</v>
      </c>
      <c r="J1329" s="420">
        <f t="shared" si="337"/>
        <v>17.899999999999999</v>
      </c>
      <c r="K1329" s="421">
        <f t="shared" si="336"/>
        <v>21.27</v>
      </c>
      <c r="L1329" s="647" t="s">
        <v>2065</v>
      </c>
      <c r="M1329" s="576"/>
      <c r="N1329" s="576">
        <f t="shared" si="339"/>
        <v>0</v>
      </c>
      <c r="O1329" s="577">
        <f t="shared" si="333"/>
        <v>0</v>
      </c>
      <c r="P1329" s="578">
        <f t="shared" si="334"/>
        <v>0</v>
      </c>
      <c r="Q1329" s="765"/>
      <c r="R1329" s="576">
        <f t="shared" si="341"/>
        <v>0</v>
      </c>
      <c r="S1329" s="576">
        <f t="shared" si="341"/>
        <v>0</v>
      </c>
      <c r="T1329" s="577">
        <f t="shared" si="331"/>
        <v>0</v>
      </c>
      <c r="U1329" s="578">
        <f t="shared" si="332"/>
        <v>0</v>
      </c>
      <c r="V1329" s="579"/>
      <c r="W1329" s="566"/>
      <c r="X1329" s="586" t="str">
        <f t="shared" si="335"/>
        <v/>
      </c>
      <c r="Y1329" s="586" t="str">
        <f t="shared" si="340"/>
        <v/>
      </c>
      <c r="Z1329" s="586" t="str">
        <f t="shared" si="338"/>
        <v/>
      </c>
    </row>
    <row r="1330" spans="1:26" ht="23.25" hidden="1" thickBot="1" x14ac:dyDescent="0.25">
      <c r="A1330" s="567">
        <v>91950</v>
      </c>
      <c r="B1330" s="644">
        <v>91950</v>
      </c>
      <c r="C1330" s="645" t="s">
        <v>670</v>
      </c>
      <c r="D1330" s="422" t="s">
        <v>1181</v>
      </c>
      <c r="E1330" s="423"/>
      <c r="F1330" s="424"/>
      <c r="G1330" s="425"/>
      <c r="H1330" s="651"/>
      <c r="I1330" s="420">
        <v>15.89</v>
      </c>
      <c r="J1330" s="420">
        <f t="shared" si="337"/>
        <v>15.89</v>
      </c>
      <c r="K1330" s="421">
        <f t="shared" si="336"/>
        <v>18.88</v>
      </c>
      <c r="L1330" s="647" t="s">
        <v>2065</v>
      </c>
      <c r="M1330" s="576"/>
      <c r="N1330" s="576">
        <f t="shared" si="339"/>
        <v>0</v>
      </c>
      <c r="O1330" s="577">
        <f t="shared" si="333"/>
        <v>0</v>
      </c>
      <c r="P1330" s="578">
        <f t="shared" si="334"/>
        <v>0</v>
      </c>
      <c r="Q1330" s="765"/>
      <c r="R1330" s="576">
        <f t="shared" si="341"/>
        <v>0</v>
      </c>
      <c r="S1330" s="576">
        <f t="shared" si="341"/>
        <v>0</v>
      </c>
      <c r="T1330" s="577">
        <f t="shared" si="331"/>
        <v>0</v>
      </c>
      <c r="U1330" s="578">
        <f t="shared" si="332"/>
        <v>0</v>
      </c>
      <c r="V1330" s="579"/>
      <c r="W1330" s="566"/>
      <c r="X1330" s="586" t="str">
        <f t="shared" si="335"/>
        <v/>
      </c>
      <c r="Y1330" s="586" t="str">
        <f t="shared" si="340"/>
        <v/>
      </c>
      <c r="Z1330" s="586" t="str">
        <f t="shared" si="338"/>
        <v/>
      </c>
    </row>
    <row r="1331" spans="1:26" ht="23.25" hidden="1" thickBot="1" x14ac:dyDescent="0.25">
      <c r="A1331" s="567">
        <v>91951</v>
      </c>
      <c r="B1331" s="644">
        <v>91951</v>
      </c>
      <c r="C1331" s="645" t="s">
        <v>670</v>
      </c>
      <c r="D1331" s="422" t="s">
        <v>1182</v>
      </c>
      <c r="E1331" s="423"/>
      <c r="F1331" s="424"/>
      <c r="G1331" s="425"/>
      <c r="H1331" s="651"/>
      <c r="I1331" s="420">
        <v>14.69</v>
      </c>
      <c r="J1331" s="420">
        <f t="shared" si="337"/>
        <v>14.69</v>
      </c>
      <c r="K1331" s="421">
        <f t="shared" si="336"/>
        <v>17.45</v>
      </c>
      <c r="L1331" s="647" t="s">
        <v>2065</v>
      </c>
      <c r="M1331" s="576"/>
      <c r="N1331" s="576">
        <f t="shared" si="339"/>
        <v>0</v>
      </c>
      <c r="O1331" s="577">
        <f t="shared" si="333"/>
        <v>0</v>
      </c>
      <c r="P1331" s="578">
        <f t="shared" si="334"/>
        <v>0</v>
      </c>
      <c r="Q1331" s="765"/>
      <c r="R1331" s="576">
        <f t="shared" si="341"/>
        <v>0</v>
      </c>
      <c r="S1331" s="576">
        <f t="shared" si="341"/>
        <v>0</v>
      </c>
      <c r="T1331" s="577">
        <f t="shared" si="331"/>
        <v>0</v>
      </c>
      <c r="U1331" s="578">
        <f t="shared" si="332"/>
        <v>0</v>
      </c>
      <c r="V1331" s="579"/>
      <c r="W1331" s="566"/>
      <c r="X1331" s="586" t="str">
        <f t="shared" si="335"/>
        <v/>
      </c>
      <c r="Y1331" s="586" t="str">
        <f t="shared" si="340"/>
        <v/>
      </c>
      <c r="Z1331" s="586" t="str">
        <f t="shared" si="338"/>
        <v/>
      </c>
    </row>
    <row r="1332" spans="1:26" ht="23.25" hidden="1" thickBot="1" x14ac:dyDescent="0.25">
      <c r="A1332" s="567">
        <v>101946</v>
      </c>
      <c r="B1332" s="644">
        <v>101946</v>
      </c>
      <c r="C1332" s="645" t="s">
        <v>670</v>
      </c>
      <c r="D1332" s="422" t="s">
        <v>1183</v>
      </c>
      <c r="E1332" s="423"/>
      <c r="F1332" s="424"/>
      <c r="G1332" s="425"/>
      <c r="H1332" s="651"/>
      <c r="I1332" s="420">
        <v>173.46</v>
      </c>
      <c r="J1332" s="420">
        <f t="shared" si="337"/>
        <v>173.46</v>
      </c>
      <c r="K1332" s="421">
        <f t="shared" si="336"/>
        <v>206.09</v>
      </c>
      <c r="L1332" s="647" t="s">
        <v>2065</v>
      </c>
      <c r="M1332" s="576"/>
      <c r="N1332" s="576">
        <f t="shared" si="339"/>
        <v>0</v>
      </c>
      <c r="O1332" s="577">
        <f t="shared" si="333"/>
        <v>0</v>
      </c>
      <c r="P1332" s="578">
        <f t="shared" si="334"/>
        <v>0</v>
      </c>
      <c r="Q1332" s="765"/>
      <c r="R1332" s="576">
        <f t="shared" si="341"/>
        <v>0</v>
      </c>
      <c r="S1332" s="576">
        <f t="shared" si="341"/>
        <v>0</v>
      </c>
      <c r="T1332" s="577">
        <f t="shared" ref="T1332:T1395" si="342">IF(ISBLANK(R1332),0,ROUND(K1332*R1332,2))</f>
        <v>0</v>
      </c>
      <c r="U1332" s="578">
        <f t="shared" ref="U1332:U1395" si="343">IF(ISBLANK(R1332),0,ROUND(R1332*S1332,2))</f>
        <v>0</v>
      </c>
      <c r="V1332" s="579"/>
      <c r="W1332" s="566"/>
      <c r="X1332" s="586" t="str">
        <f t="shared" si="335"/>
        <v/>
      </c>
      <c r="Y1332" s="586" t="str">
        <f t="shared" si="340"/>
        <v/>
      </c>
      <c r="Z1332" s="586" t="str">
        <f t="shared" si="338"/>
        <v/>
      </c>
    </row>
    <row r="1333" spans="1:26" ht="23.25" hidden="1" thickBot="1" x14ac:dyDescent="0.25">
      <c r="A1333" s="567">
        <v>97362</v>
      </c>
      <c r="B1333" s="644">
        <v>97362</v>
      </c>
      <c r="C1333" s="645" t="s">
        <v>670</v>
      </c>
      <c r="D1333" s="422" t="s">
        <v>1184</v>
      </c>
      <c r="E1333" s="423"/>
      <c r="F1333" s="424"/>
      <c r="G1333" s="425"/>
      <c r="H1333" s="651"/>
      <c r="I1333" s="420">
        <v>2586.6799999999998</v>
      </c>
      <c r="J1333" s="420">
        <f t="shared" si="337"/>
        <v>2586.6799999999998</v>
      </c>
      <c r="K1333" s="421">
        <f t="shared" si="336"/>
        <v>3073.23</v>
      </c>
      <c r="L1333" s="647" t="s">
        <v>2065</v>
      </c>
      <c r="M1333" s="576"/>
      <c r="N1333" s="576">
        <f t="shared" si="339"/>
        <v>0</v>
      </c>
      <c r="O1333" s="577">
        <f t="shared" ref="O1333:O1396" si="344">IF(ISBLANK(M1333),0,ROUND(K1333*M1333,2))</f>
        <v>0</v>
      </c>
      <c r="P1333" s="578">
        <f t="shared" ref="P1333:P1396" si="345">IF(ISBLANK(N1333),0,ROUND(M1333*N1333,2))</f>
        <v>0</v>
      </c>
      <c r="Q1333" s="765"/>
      <c r="R1333" s="576">
        <f t="shared" si="341"/>
        <v>0</v>
      </c>
      <c r="S1333" s="576">
        <f t="shared" si="341"/>
        <v>0</v>
      </c>
      <c r="T1333" s="577">
        <f t="shared" si="342"/>
        <v>0</v>
      </c>
      <c r="U1333" s="578">
        <f t="shared" si="343"/>
        <v>0</v>
      </c>
      <c r="V1333" s="579"/>
      <c r="W1333" s="566"/>
      <c r="X1333" s="586" t="str">
        <f t="shared" si="335"/>
        <v/>
      </c>
      <c r="Y1333" s="586" t="str">
        <f t="shared" si="340"/>
        <v/>
      </c>
      <c r="Z1333" s="586" t="str">
        <f t="shared" si="338"/>
        <v/>
      </c>
    </row>
    <row r="1334" spans="1:26" ht="23.25" hidden="1" thickBot="1" x14ac:dyDescent="0.25">
      <c r="A1334" s="567">
        <v>97359</v>
      </c>
      <c r="B1334" s="644">
        <v>97359</v>
      </c>
      <c r="C1334" s="645" t="s">
        <v>670</v>
      </c>
      <c r="D1334" s="422" t="s">
        <v>1185</v>
      </c>
      <c r="E1334" s="423"/>
      <c r="F1334" s="424"/>
      <c r="G1334" s="425"/>
      <c r="H1334" s="651"/>
      <c r="I1334" s="420">
        <v>4007.03</v>
      </c>
      <c r="J1334" s="420">
        <f t="shared" si="337"/>
        <v>4007.03</v>
      </c>
      <c r="K1334" s="421">
        <f t="shared" si="336"/>
        <v>4760.75</v>
      </c>
      <c r="L1334" s="647" t="s">
        <v>2065</v>
      </c>
      <c r="M1334" s="576"/>
      <c r="N1334" s="576">
        <f t="shared" si="339"/>
        <v>0</v>
      </c>
      <c r="O1334" s="577">
        <f t="shared" si="344"/>
        <v>0</v>
      </c>
      <c r="P1334" s="578">
        <f t="shared" si="345"/>
        <v>0</v>
      </c>
      <c r="Q1334" s="765"/>
      <c r="R1334" s="576">
        <f t="shared" si="341"/>
        <v>0</v>
      </c>
      <c r="S1334" s="576">
        <f t="shared" si="341"/>
        <v>0</v>
      </c>
      <c r="T1334" s="577">
        <f t="shared" si="342"/>
        <v>0</v>
      </c>
      <c r="U1334" s="578">
        <f t="shared" si="343"/>
        <v>0</v>
      </c>
      <c r="V1334" s="579"/>
      <c r="W1334" s="566"/>
      <c r="X1334" s="586" t="str">
        <f t="shared" si="335"/>
        <v/>
      </c>
      <c r="Y1334" s="586" t="str">
        <f t="shared" si="340"/>
        <v/>
      </c>
      <c r="Z1334" s="586" t="str">
        <f t="shared" si="338"/>
        <v/>
      </c>
    </row>
    <row r="1335" spans="1:26" ht="23.25" hidden="1" thickBot="1" x14ac:dyDescent="0.25">
      <c r="A1335" s="567">
        <v>97360</v>
      </c>
      <c r="B1335" s="644">
        <v>97360</v>
      </c>
      <c r="C1335" s="645" t="s">
        <v>670</v>
      </c>
      <c r="D1335" s="422" t="s">
        <v>1186</v>
      </c>
      <c r="E1335" s="423"/>
      <c r="F1335" s="424"/>
      <c r="G1335" s="425"/>
      <c r="H1335" s="651"/>
      <c r="I1335" s="420">
        <v>7727.75</v>
      </c>
      <c r="J1335" s="420">
        <f t="shared" si="337"/>
        <v>7727.75</v>
      </c>
      <c r="K1335" s="421">
        <f t="shared" si="336"/>
        <v>9181.34</v>
      </c>
      <c r="L1335" s="647" t="s">
        <v>2065</v>
      </c>
      <c r="M1335" s="576"/>
      <c r="N1335" s="576">
        <f t="shared" si="339"/>
        <v>0</v>
      </c>
      <c r="O1335" s="577">
        <f t="shared" si="344"/>
        <v>0</v>
      </c>
      <c r="P1335" s="578">
        <f t="shared" si="345"/>
        <v>0</v>
      </c>
      <c r="Q1335" s="765"/>
      <c r="R1335" s="576">
        <f t="shared" si="341"/>
        <v>0</v>
      </c>
      <c r="S1335" s="576">
        <f t="shared" si="341"/>
        <v>0</v>
      </c>
      <c r="T1335" s="577">
        <f t="shared" si="342"/>
        <v>0</v>
      </c>
      <c r="U1335" s="578">
        <f t="shared" si="343"/>
        <v>0</v>
      </c>
      <c r="V1335" s="579"/>
      <c r="W1335" s="566"/>
      <c r="X1335" s="586" t="str">
        <f t="shared" si="335"/>
        <v/>
      </c>
      <c r="Y1335" s="586" t="str">
        <f t="shared" si="340"/>
        <v/>
      </c>
      <c r="Z1335" s="586" t="str">
        <f t="shared" si="338"/>
        <v/>
      </c>
    </row>
    <row r="1336" spans="1:26" ht="23.25" hidden="1" thickBot="1" x14ac:dyDescent="0.25">
      <c r="A1336" s="567">
        <v>97361</v>
      </c>
      <c r="B1336" s="644">
        <v>97361</v>
      </c>
      <c r="C1336" s="645" t="s">
        <v>670</v>
      </c>
      <c r="D1336" s="422" t="s">
        <v>1187</v>
      </c>
      <c r="E1336" s="423"/>
      <c r="F1336" s="424"/>
      <c r="G1336" s="425"/>
      <c r="H1336" s="651"/>
      <c r="I1336" s="420">
        <v>10303.67</v>
      </c>
      <c r="J1336" s="420">
        <f t="shared" si="337"/>
        <v>10303.67</v>
      </c>
      <c r="K1336" s="421">
        <f t="shared" si="336"/>
        <v>12241.79</v>
      </c>
      <c r="L1336" s="647" t="s">
        <v>2065</v>
      </c>
      <c r="M1336" s="576"/>
      <c r="N1336" s="576">
        <f t="shared" si="339"/>
        <v>0</v>
      </c>
      <c r="O1336" s="577">
        <f t="shared" si="344"/>
        <v>0</v>
      </c>
      <c r="P1336" s="578">
        <f t="shared" si="345"/>
        <v>0</v>
      </c>
      <c r="Q1336" s="765"/>
      <c r="R1336" s="576">
        <f t="shared" si="341"/>
        <v>0</v>
      </c>
      <c r="S1336" s="576">
        <f t="shared" si="341"/>
        <v>0</v>
      </c>
      <c r="T1336" s="577">
        <f t="shared" si="342"/>
        <v>0</v>
      </c>
      <c r="U1336" s="578">
        <f t="shared" si="343"/>
        <v>0</v>
      </c>
      <c r="V1336" s="579"/>
      <c r="W1336" s="566"/>
      <c r="X1336" s="586" t="str">
        <f t="shared" si="335"/>
        <v/>
      </c>
      <c r="Y1336" s="586" t="str">
        <f t="shared" si="340"/>
        <v/>
      </c>
      <c r="Z1336" s="586" t="str">
        <f t="shared" si="338"/>
        <v/>
      </c>
    </row>
    <row r="1337" spans="1:26" ht="23.25" hidden="1" thickBot="1" x14ac:dyDescent="0.25">
      <c r="A1337" s="567">
        <v>101875</v>
      </c>
      <c r="B1337" s="644">
        <v>101875</v>
      </c>
      <c r="C1337" s="645" t="s">
        <v>670</v>
      </c>
      <c r="D1337" s="422" t="s">
        <v>1188</v>
      </c>
      <c r="E1337" s="423"/>
      <c r="F1337" s="424"/>
      <c r="G1337" s="425"/>
      <c r="H1337" s="651"/>
      <c r="I1337" s="420">
        <v>547.15</v>
      </c>
      <c r="J1337" s="420">
        <f t="shared" si="337"/>
        <v>547.15</v>
      </c>
      <c r="K1337" s="421">
        <f t="shared" si="336"/>
        <v>650.07000000000005</v>
      </c>
      <c r="L1337" s="647" t="s">
        <v>2065</v>
      </c>
      <c r="M1337" s="576"/>
      <c r="N1337" s="576">
        <f t="shared" si="339"/>
        <v>0</v>
      </c>
      <c r="O1337" s="577">
        <f t="shared" si="344"/>
        <v>0</v>
      </c>
      <c r="P1337" s="578">
        <f t="shared" si="345"/>
        <v>0</v>
      </c>
      <c r="Q1337" s="765"/>
      <c r="R1337" s="576">
        <f t="shared" si="341"/>
        <v>0</v>
      </c>
      <c r="S1337" s="576">
        <f t="shared" si="341"/>
        <v>0</v>
      </c>
      <c r="T1337" s="577">
        <f t="shared" si="342"/>
        <v>0</v>
      </c>
      <c r="U1337" s="578">
        <f t="shared" si="343"/>
        <v>0</v>
      </c>
      <c r="V1337" s="579"/>
      <c r="W1337" s="566"/>
      <c r="X1337" s="586" t="str">
        <f t="shared" si="335"/>
        <v/>
      </c>
      <c r="Y1337" s="586" t="str">
        <f t="shared" si="340"/>
        <v/>
      </c>
      <c r="Z1337" s="586" t="str">
        <f t="shared" si="338"/>
        <v/>
      </c>
    </row>
    <row r="1338" spans="1:26" ht="23.25" hidden="1" thickBot="1" x14ac:dyDescent="0.25">
      <c r="A1338" s="567">
        <v>101876</v>
      </c>
      <c r="B1338" s="644">
        <v>101876</v>
      </c>
      <c r="C1338" s="645" t="s">
        <v>670</v>
      </c>
      <c r="D1338" s="422" t="s">
        <v>1189</v>
      </c>
      <c r="E1338" s="423"/>
      <c r="F1338" s="424"/>
      <c r="G1338" s="425"/>
      <c r="H1338" s="651"/>
      <c r="I1338" s="420">
        <v>88.65</v>
      </c>
      <c r="J1338" s="420">
        <f t="shared" si="337"/>
        <v>88.65</v>
      </c>
      <c r="K1338" s="421">
        <f t="shared" si="336"/>
        <v>105.33</v>
      </c>
      <c r="L1338" s="647" t="s">
        <v>2065</v>
      </c>
      <c r="M1338" s="576"/>
      <c r="N1338" s="576">
        <f t="shared" si="339"/>
        <v>0</v>
      </c>
      <c r="O1338" s="577">
        <f t="shared" si="344"/>
        <v>0</v>
      </c>
      <c r="P1338" s="578">
        <f t="shared" si="345"/>
        <v>0</v>
      </c>
      <c r="Q1338" s="765"/>
      <c r="R1338" s="576">
        <f t="shared" si="341"/>
        <v>0</v>
      </c>
      <c r="S1338" s="576">
        <f t="shared" si="341"/>
        <v>0</v>
      </c>
      <c r="T1338" s="577">
        <f t="shared" si="342"/>
        <v>0</v>
      </c>
      <c r="U1338" s="578">
        <f t="shared" si="343"/>
        <v>0</v>
      </c>
      <c r="V1338" s="579"/>
      <c r="W1338" s="566"/>
      <c r="X1338" s="586" t="str">
        <f t="shared" si="335"/>
        <v/>
      </c>
      <c r="Y1338" s="586" t="str">
        <f t="shared" si="340"/>
        <v/>
      </c>
      <c r="Z1338" s="586" t="str">
        <f t="shared" si="338"/>
        <v/>
      </c>
    </row>
    <row r="1339" spans="1:26" ht="23.25" hidden="1" thickBot="1" x14ac:dyDescent="0.25">
      <c r="A1339" s="567">
        <v>101877</v>
      </c>
      <c r="B1339" s="644">
        <v>101877</v>
      </c>
      <c r="C1339" s="645" t="s">
        <v>670</v>
      </c>
      <c r="D1339" s="422" t="s">
        <v>1190</v>
      </c>
      <c r="E1339" s="423"/>
      <c r="F1339" s="424"/>
      <c r="G1339" s="425"/>
      <c r="H1339" s="651"/>
      <c r="I1339" s="420">
        <v>60.92</v>
      </c>
      <c r="J1339" s="420">
        <f t="shared" si="337"/>
        <v>60.92</v>
      </c>
      <c r="K1339" s="421">
        <f t="shared" si="336"/>
        <v>72.38</v>
      </c>
      <c r="L1339" s="647" t="s">
        <v>2065</v>
      </c>
      <c r="M1339" s="576"/>
      <c r="N1339" s="576">
        <f t="shared" si="339"/>
        <v>0</v>
      </c>
      <c r="O1339" s="577">
        <f t="shared" si="344"/>
        <v>0</v>
      </c>
      <c r="P1339" s="578">
        <f t="shared" si="345"/>
        <v>0</v>
      </c>
      <c r="Q1339" s="765"/>
      <c r="R1339" s="576">
        <f t="shared" si="341"/>
        <v>0</v>
      </c>
      <c r="S1339" s="576">
        <f t="shared" si="341"/>
        <v>0</v>
      </c>
      <c r="T1339" s="577">
        <f t="shared" si="342"/>
        <v>0</v>
      </c>
      <c r="U1339" s="578">
        <f t="shared" si="343"/>
        <v>0</v>
      </c>
      <c r="V1339" s="579"/>
      <c r="W1339" s="566"/>
      <c r="X1339" s="586" t="str">
        <f t="shared" si="335"/>
        <v/>
      </c>
      <c r="Y1339" s="586" t="str">
        <f t="shared" si="340"/>
        <v/>
      </c>
      <c r="Z1339" s="586" t="str">
        <f t="shared" si="338"/>
        <v/>
      </c>
    </row>
    <row r="1340" spans="1:26" ht="23.25" hidden="1" thickBot="1" x14ac:dyDescent="0.25">
      <c r="A1340" s="567">
        <v>101878</v>
      </c>
      <c r="B1340" s="644">
        <v>101878</v>
      </c>
      <c r="C1340" s="645" t="s">
        <v>670</v>
      </c>
      <c r="D1340" s="422" t="s">
        <v>1191</v>
      </c>
      <c r="E1340" s="423"/>
      <c r="F1340" s="424"/>
      <c r="G1340" s="425"/>
      <c r="H1340" s="651"/>
      <c r="I1340" s="420">
        <v>747.59</v>
      </c>
      <c r="J1340" s="420">
        <f t="shared" si="337"/>
        <v>747.59</v>
      </c>
      <c r="K1340" s="421">
        <f t="shared" si="336"/>
        <v>888.21</v>
      </c>
      <c r="L1340" s="647" t="s">
        <v>2065</v>
      </c>
      <c r="M1340" s="576"/>
      <c r="N1340" s="576">
        <f t="shared" si="339"/>
        <v>0</v>
      </c>
      <c r="O1340" s="577">
        <f t="shared" si="344"/>
        <v>0</v>
      </c>
      <c r="P1340" s="578">
        <f t="shared" si="345"/>
        <v>0</v>
      </c>
      <c r="Q1340" s="765"/>
      <c r="R1340" s="576">
        <f t="shared" si="341"/>
        <v>0</v>
      </c>
      <c r="S1340" s="576">
        <f t="shared" si="341"/>
        <v>0</v>
      </c>
      <c r="T1340" s="577">
        <f t="shared" si="342"/>
        <v>0</v>
      </c>
      <c r="U1340" s="578">
        <f t="shared" si="343"/>
        <v>0</v>
      </c>
      <c r="V1340" s="579"/>
      <c r="W1340" s="566"/>
      <c r="X1340" s="586" t="str">
        <f t="shared" si="335"/>
        <v/>
      </c>
      <c r="Y1340" s="586" t="str">
        <f t="shared" si="340"/>
        <v/>
      </c>
      <c r="Z1340" s="586" t="str">
        <f t="shared" si="338"/>
        <v/>
      </c>
    </row>
    <row r="1341" spans="1:26" ht="23.25" hidden="1" thickBot="1" x14ac:dyDescent="0.25">
      <c r="A1341" s="567">
        <v>101879</v>
      </c>
      <c r="B1341" s="644">
        <v>101879</v>
      </c>
      <c r="C1341" s="645" t="s">
        <v>670</v>
      </c>
      <c r="D1341" s="422" t="s">
        <v>1192</v>
      </c>
      <c r="E1341" s="423"/>
      <c r="F1341" s="424"/>
      <c r="G1341" s="425"/>
      <c r="H1341" s="651"/>
      <c r="I1341" s="420">
        <v>795.05</v>
      </c>
      <c r="J1341" s="420">
        <f t="shared" si="337"/>
        <v>795.05</v>
      </c>
      <c r="K1341" s="421">
        <f t="shared" si="336"/>
        <v>944.6</v>
      </c>
      <c r="L1341" s="647" t="s">
        <v>2065</v>
      </c>
      <c r="M1341" s="576"/>
      <c r="N1341" s="576">
        <f t="shared" si="339"/>
        <v>0</v>
      </c>
      <c r="O1341" s="577">
        <f t="shared" si="344"/>
        <v>0</v>
      </c>
      <c r="P1341" s="578">
        <f t="shared" si="345"/>
        <v>0</v>
      </c>
      <c r="Q1341" s="765"/>
      <c r="R1341" s="576">
        <f t="shared" si="341"/>
        <v>0</v>
      </c>
      <c r="S1341" s="576">
        <f t="shared" si="341"/>
        <v>0</v>
      </c>
      <c r="T1341" s="577">
        <f t="shared" si="342"/>
        <v>0</v>
      </c>
      <c r="U1341" s="578">
        <f t="shared" si="343"/>
        <v>0</v>
      </c>
      <c r="V1341" s="579"/>
      <c r="W1341" s="566"/>
      <c r="X1341" s="586" t="str">
        <f t="shared" ref="X1341:X1404" si="346">IF(W1341="X","x",IF(W1341="xx","x",IF(W1341="xy","x",IF(W1341="y","x",IF(OR(P1341&gt;0,U1341&gt;0),"x","")))))</f>
        <v/>
      </c>
      <c r="Y1341" s="586" t="str">
        <f t="shared" si="340"/>
        <v/>
      </c>
      <c r="Z1341" s="586" t="str">
        <f t="shared" si="338"/>
        <v/>
      </c>
    </row>
    <row r="1342" spans="1:26" ht="23.25" hidden="1" thickBot="1" x14ac:dyDescent="0.25">
      <c r="A1342" s="567">
        <v>101880</v>
      </c>
      <c r="B1342" s="644">
        <v>101880</v>
      </c>
      <c r="C1342" s="645" t="s">
        <v>670</v>
      </c>
      <c r="D1342" s="422" t="s">
        <v>1193</v>
      </c>
      <c r="E1342" s="423"/>
      <c r="F1342" s="424"/>
      <c r="G1342" s="425"/>
      <c r="H1342" s="651"/>
      <c r="I1342" s="420">
        <v>914.44</v>
      </c>
      <c r="J1342" s="420">
        <f t="shared" si="337"/>
        <v>914.44</v>
      </c>
      <c r="K1342" s="421">
        <f t="shared" si="336"/>
        <v>1086.45</v>
      </c>
      <c r="L1342" s="647" t="s">
        <v>2065</v>
      </c>
      <c r="M1342" s="576"/>
      <c r="N1342" s="576">
        <f t="shared" si="339"/>
        <v>0</v>
      </c>
      <c r="O1342" s="577">
        <f t="shared" si="344"/>
        <v>0</v>
      </c>
      <c r="P1342" s="578">
        <f t="shared" si="345"/>
        <v>0</v>
      </c>
      <c r="Q1342" s="765"/>
      <c r="R1342" s="576">
        <f t="shared" si="341"/>
        <v>0</v>
      </c>
      <c r="S1342" s="576">
        <f t="shared" si="341"/>
        <v>0</v>
      </c>
      <c r="T1342" s="577">
        <f t="shared" si="342"/>
        <v>0</v>
      </c>
      <c r="U1342" s="578">
        <f t="shared" si="343"/>
        <v>0</v>
      </c>
      <c r="V1342" s="579"/>
      <c r="W1342" s="566"/>
      <c r="X1342" s="586" t="str">
        <f t="shared" si="346"/>
        <v/>
      </c>
      <c r="Y1342" s="586" t="str">
        <f t="shared" si="340"/>
        <v/>
      </c>
      <c r="Z1342" s="586" t="str">
        <f t="shared" si="338"/>
        <v/>
      </c>
    </row>
    <row r="1343" spans="1:26" ht="23.25" hidden="1" thickBot="1" x14ac:dyDescent="0.25">
      <c r="A1343" s="567">
        <v>101881</v>
      </c>
      <c r="B1343" s="644">
        <v>101881</v>
      </c>
      <c r="C1343" s="645" t="s">
        <v>670</v>
      </c>
      <c r="D1343" s="422" t="s">
        <v>1194</v>
      </c>
      <c r="E1343" s="423"/>
      <c r="F1343" s="424"/>
      <c r="G1343" s="425"/>
      <c r="H1343" s="651"/>
      <c r="I1343" s="420">
        <v>1321.07</v>
      </c>
      <c r="J1343" s="420">
        <f t="shared" si="337"/>
        <v>1321.07</v>
      </c>
      <c r="K1343" s="421">
        <f t="shared" si="336"/>
        <v>1569.56</v>
      </c>
      <c r="L1343" s="647" t="s">
        <v>2065</v>
      </c>
      <c r="M1343" s="576"/>
      <c r="N1343" s="576">
        <f t="shared" si="339"/>
        <v>0</v>
      </c>
      <c r="O1343" s="577">
        <f t="shared" si="344"/>
        <v>0</v>
      </c>
      <c r="P1343" s="578">
        <f t="shared" si="345"/>
        <v>0</v>
      </c>
      <c r="Q1343" s="765"/>
      <c r="R1343" s="576">
        <f t="shared" si="341"/>
        <v>0</v>
      </c>
      <c r="S1343" s="576">
        <f t="shared" si="341"/>
        <v>0</v>
      </c>
      <c r="T1343" s="577">
        <f t="shared" si="342"/>
        <v>0</v>
      </c>
      <c r="U1343" s="578">
        <f t="shared" si="343"/>
        <v>0</v>
      </c>
      <c r="V1343" s="579"/>
      <c r="W1343" s="566"/>
      <c r="X1343" s="586" t="str">
        <f t="shared" si="346"/>
        <v/>
      </c>
      <c r="Y1343" s="586" t="str">
        <f t="shared" si="340"/>
        <v/>
      </c>
      <c r="Z1343" s="586" t="str">
        <f t="shared" si="338"/>
        <v/>
      </c>
    </row>
    <row r="1344" spans="1:26" ht="23.25" hidden="1" thickBot="1" x14ac:dyDescent="0.25">
      <c r="A1344" s="567">
        <v>101882</v>
      </c>
      <c r="B1344" s="644">
        <v>101882</v>
      </c>
      <c r="C1344" s="645" t="s">
        <v>670</v>
      </c>
      <c r="D1344" s="422" t="s">
        <v>1195</v>
      </c>
      <c r="E1344" s="423"/>
      <c r="F1344" s="424"/>
      <c r="G1344" s="425"/>
      <c r="H1344" s="651"/>
      <c r="I1344" s="420">
        <v>1881.42</v>
      </c>
      <c r="J1344" s="420">
        <f t="shared" si="337"/>
        <v>1881.42</v>
      </c>
      <c r="K1344" s="421">
        <f t="shared" si="336"/>
        <v>2235.3200000000002</v>
      </c>
      <c r="L1344" s="647" t="s">
        <v>2065</v>
      </c>
      <c r="M1344" s="576"/>
      <c r="N1344" s="576">
        <f t="shared" si="339"/>
        <v>0</v>
      </c>
      <c r="O1344" s="577">
        <f t="shared" si="344"/>
        <v>0</v>
      </c>
      <c r="P1344" s="578">
        <f t="shared" si="345"/>
        <v>0</v>
      </c>
      <c r="Q1344" s="765"/>
      <c r="R1344" s="576">
        <f t="shared" si="341"/>
        <v>0</v>
      </c>
      <c r="S1344" s="576">
        <f t="shared" si="341"/>
        <v>0</v>
      </c>
      <c r="T1344" s="577">
        <f t="shared" si="342"/>
        <v>0</v>
      </c>
      <c r="U1344" s="578">
        <f t="shared" si="343"/>
        <v>0</v>
      </c>
      <c r="V1344" s="579"/>
      <c r="W1344" s="566"/>
      <c r="X1344" s="586" t="str">
        <f t="shared" si="346"/>
        <v/>
      </c>
      <c r="Y1344" s="586" t="str">
        <f t="shared" si="340"/>
        <v/>
      </c>
      <c r="Z1344" s="586" t="str">
        <f t="shared" si="338"/>
        <v/>
      </c>
    </row>
    <row r="1345" spans="1:26" ht="23.25" hidden="1" thickBot="1" x14ac:dyDescent="0.25">
      <c r="A1345" s="567">
        <v>101883</v>
      </c>
      <c r="B1345" s="644">
        <v>101883</v>
      </c>
      <c r="C1345" s="645" t="s">
        <v>670</v>
      </c>
      <c r="D1345" s="422" t="s">
        <v>1196</v>
      </c>
      <c r="E1345" s="423"/>
      <c r="F1345" s="424"/>
      <c r="G1345" s="425"/>
      <c r="H1345" s="651"/>
      <c r="I1345" s="420">
        <v>757.66</v>
      </c>
      <c r="J1345" s="420">
        <f t="shared" si="337"/>
        <v>757.66</v>
      </c>
      <c r="K1345" s="421">
        <f t="shared" si="336"/>
        <v>900.18</v>
      </c>
      <c r="L1345" s="647" t="s">
        <v>2065</v>
      </c>
      <c r="M1345" s="576"/>
      <c r="N1345" s="576">
        <f t="shared" si="339"/>
        <v>0</v>
      </c>
      <c r="O1345" s="577">
        <f t="shared" si="344"/>
        <v>0</v>
      </c>
      <c r="P1345" s="578">
        <f t="shared" si="345"/>
        <v>0</v>
      </c>
      <c r="Q1345" s="765"/>
      <c r="R1345" s="576">
        <f t="shared" si="341"/>
        <v>0</v>
      </c>
      <c r="S1345" s="576">
        <f t="shared" si="341"/>
        <v>0</v>
      </c>
      <c r="T1345" s="577">
        <f t="shared" si="342"/>
        <v>0</v>
      </c>
      <c r="U1345" s="578">
        <f t="shared" si="343"/>
        <v>0</v>
      </c>
      <c r="V1345" s="579"/>
      <c r="W1345" s="566"/>
      <c r="X1345" s="586" t="str">
        <f t="shared" si="346"/>
        <v/>
      </c>
      <c r="Y1345" s="586" t="str">
        <f t="shared" si="340"/>
        <v/>
      </c>
      <c r="Z1345" s="586" t="str">
        <f t="shared" si="338"/>
        <v/>
      </c>
    </row>
    <row r="1346" spans="1:26" ht="12" hidden="1" thickBot="1" x14ac:dyDescent="0.25">
      <c r="A1346" s="567">
        <v>101901</v>
      </c>
      <c r="B1346" s="644">
        <v>101901</v>
      </c>
      <c r="C1346" s="645" t="s">
        <v>670</v>
      </c>
      <c r="D1346" s="422" t="s">
        <v>1197</v>
      </c>
      <c r="E1346" s="423"/>
      <c r="F1346" s="424"/>
      <c r="G1346" s="425"/>
      <c r="H1346" s="651"/>
      <c r="I1346" s="420">
        <v>130.36000000000001</v>
      </c>
      <c r="J1346" s="420">
        <f t="shared" si="337"/>
        <v>130.36000000000001</v>
      </c>
      <c r="K1346" s="421">
        <f t="shared" si="336"/>
        <v>154.88</v>
      </c>
      <c r="L1346" s="647" t="s">
        <v>2065</v>
      </c>
      <c r="M1346" s="576"/>
      <c r="N1346" s="576">
        <f t="shared" si="339"/>
        <v>0</v>
      </c>
      <c r="O1346" s="577">
        <f t="shared" si="344"/>
        <v>0</v>
      </c>
      <c r="P1346" s="578">
        <f t="shared" si="345"/>
        <v>0</v>
      </c>
      <c r="Q1346" s="765"/>
      <c r="R1346" s="576">
        <f t="shared" si="341"/>
        <v>0</v>
      </c>
      <c r="S1346" s="576">
        <f t="shared" si="341"/>
        <v>0</v>
      </c>
      <c r="T1346" s="577">
        <f t="shared" si="342"/>
        <v>0</v>
      </c>
      <c r="U1346" s="578">
        <f t="shared" si="343"/>
        <v>0</v>
      </c>
      <c r="V1346" s="579"/>
      <c r="W1346" s="566"/>
      <c r="X1346" s="586" t="str">
        <f t="shared" si="346"/>
        <v/>
      </c>
      <c r="Y1346" s="586" t="str">
        <f t="shared" si="340"/>
        <v/>
      </c>
      <c r="Z1346" s="586" t="str">
        <f t="shared" si="338"/>
        <v/>
      </c>
    </row>
    <row r="1347" spans="1:26" ht="12" hidden="1" thickBot="1" x14ac:dyDescent="0.25">
      <c r="A1347" s="567">
        <v>101902</v>
      </c>
      <c r="B1347" s="644">
        <v>101902</v>
      </c>
      <c r="C1347" s="645" t="s">
        <v>670</v>
      </c>
      <c r="D1347" s="422" t="s">
        <v>1198</v>
      </c>
      <c r="E1347" s="423"/>
      <c r="F1347" s="424"/>
      <c r="G1347" s="425"/>
      <c r="H1347" s="651"/>
      <c r="I1347" s="420">
        <v>161.28</v>
      </c>
      <c r="J1347" s="420">
        <f t="shared" si="337"/>
        <v>161.28</v>
      </c>
      <c r="K1347" s="421">
        <f t="shared" si="336"/>
        <v>191.62</v>
      </c>
      <c r="L1347" s="647" t="s">
        <v>2065</v>
      </c>
      <c r="M1347" s="576"/>
      <c r="N1347" s="576">
        <f t="shared" si="339"/>
        <v>0</v>
      </c>
      <c r="O1347" s="577">
        <f t="shared" si="344"/>
        <v>0</v>
      </c>
      <c r="P1347" s="578">
        <f t="shared" si="345"/>
        <v>0</v>
      </c>
      <c r="Q1347" s="765"/>
      <c r="R1347" s="576">
        <f t="shared" si="341"/>
        <v>0</v>
      </c>
      <c r="S1347" s="576">
        <f t="shared" si="341"/>
        <v>0</v>
      </c>
      <c r="T1347" s="577">
        <f t="shared" si="342"/>
        <v>0</v>
      </c>
      <c r="U1347" s="578">
        <f t="shared" si="343"/>
        <v>0</v>
      </c>
      <c r="V1347" s="579"/>
      <c r="W1347" s="566"/>
      <c r="X1347" s="586" t="str">
        <f t="shared" si="346"/>
        <v/>
      </c>
      <c r="Y1347" s="586" t="str">
        <f t="shared" si="340"/>
        <v/>
      </c>
      <c r="Z1347" s="586" t="str">
        <f t="shared" si="338"/>
        <v/>
      </c>
    </row>
    <row r="1348" spans="1:26" ht="12" hidden="1" thickBot="1" x14ac:dyDescent="0.25">
      <c r="A1348" s="567">
        <v>101903</v>
      </c>
      <c r="B1348" s="644">
        <v>101903</v>
      </c>
      <c r="C1348" s="645" t="s">
        <v>670</v>
      </c>
      <c r="D1348" s="422" t="s">
        <v>1199</v>
      </c>
      <c r="E1348" s="423"/>
      <c r="F1348" s="424"/>
      <c r="G1348" s="425"/>
      <c r="H1348" s="651"/>
      <c r="I1348" s="420">
        <v>336.27</v>
      </c>
      <c r="J1348" s="420">
        <f t="shared" si="337"/>
        <v>336.27</v>
      </c>
      <c r="K1348" s="421">
        <f t="shared" si="336"/>
        <v>399.52</v>
      </c>
      <c r="L1348" s="647" t="s">
        <v>2065</v>
      </c>
      <c r="M1348" s="576"/>
      <c r="N1348" s="576">
        <f t="shared" si="339"/>
        <v>0</v>
      </c>
      <c r="O1348" s="577">
        <f t="shared" si="344"/>
        <v>0</v>
      </c>
      <c r="P1348" s="578">
        <f t="shared" si="345"/>
        <v>0</v>
      </c>
      <c r="Q1348" s="765"/>
      <c r="R1348" s="576">
        <f t="shared" si="341"/>
        <v>0</v>
      </c>
      <c r="S1348" s="576">
        <f t="shared" si="341"/>
        <v>0</v>
      </c>
      <c r="T1348" s="577">
        <f t="shared" si="342"/>
        <v>0</v>
      </c>
      <c r="U1348" s="578">
        <f t="shared" si="343"/>
        <v>0</v>
      </c>
      <c r="V1348" s="579"/>
      <c r="W1348" s="566"/>
      <c r="X1348" s="586" t="str">
        <f t="shared" si="346"/>
        <v/>
      </c>
      <c r="Y1348" s="586" t="str">
        <f t="shared" si="340"/>
        <v/>
      </c>
      <c r="Z1348" s="586" t="str">
        <f t="shared" si="338"/>
        <v/>
      </c>
    </row>
    <row r="1349" spans="1:26" ht="12" hidden="1" thickBot="1" x14ac:dyDescent="0.25">
      <c r="A1349" s="567">
        <v>101904</v>
      </c>
      <c r="B1349" s="644">
        <v>101904</v>
      </c>
      <c r="C1349" s="645" t="s">
        <v>670</v>
      </c>
      <c r="D1349" s="422" t="s">
        <v>1200</v>
      </c>
      <c r="E1349" s="423"/>
      <c r="F1349" s="424"/>
      <c r="G1349" s="425"/>
      <c r="H1349" s="651"/>
      <c r="I1349" s="420">
        <v>1230.0999999999999</v>
      </c>
      <c r="J1349" s="420">
        <f t="shared" si="337"/>
        <v>1230.0999999999999</v>
      </c>
      <c r="K1349" s="421">
        <f t="shared" si="336"/>
        <v>1461.48</v>
      </c>
      <c r="L1349" s="647" t="s">
        <v>2065</v>
      </c>
      <c r="M1349" s="576"/>
      <c r="N1349" s="576">
        <f t="shared" si="339"/>
        <v>0</v>
      </c>
      <c r="O1349" s="577">
        <f t="shared" si="344"/>
        <v>0</v>
      </c>
      <c r="P1349" s="578">
        <f t="shared" si="345"/>
        <v>0</v>
      </c>
      <c r="Q1349" s="765"/>
      <c r="R1349" s="576">
        <f t="shared" si="341"/>
        <v>0</v>
      </c>
      <c r="S1349" s="576">
        <f t="shared" si="341"/>
        <v>0</v>
      </c>
      <c r="T1349" s="577">
        <f t="shared" si="342"/>
        <v>0</v>
      </c>
      <c r="U1349" s="578">
        <f t="shared" si="343"/>
        <v>0</v>
      </c>
      <c r="V1349" s="579"/>
      <c r="W1349" s="566"/>
      <c r="X1349" s="586" t="str">
        <f t="shared" si="346"/>
        <v/>
      </c>
      <c r="Y1349" s="586" t="str">
        <f t="shared" si="340"/>
        <v/>
      </c>
      <c r="Z1349" s="586" t="str">
        <f t="shared" si="338"/>
        <v/>
      </c>
    </row>
    <row r="1350" spans="1:26" ht="23.25" hidden="1" thickBot="1" x14ac:dyDescent="0.25">
      <c r="A1350" s="567">
        <v>93653</v>
      </c>
      <c r="B1350" s="644">
        <v>93653</v>
      </c>
      <c r="C1350" s="645" t="s">
        <v>670</v>
      </c>
      <c r="D1350" s="422" t="s">
        <v>1201</v>
      </c>
      <c r="E1350" s="423"/>
      <c r="F1350" s="424"/>
      <c r="G1350" s="425"/>
      <c r="H1350" s="651"/>
      <c r="I1350" s="420">
        <v>13.64</v>
      </c>
      <c r="J1350" s="420">
        <f t="shared" si="337"/>
        <v>13.64</v>
      </c>
      <c r="K1350" s="421">
        <f t="shared" si="336"/>
        <v>16.21</v>
      </c>
      <c r="L1350" s="647" t="s">
        <v>2065</v>
      </c>
      <c r="M1350" s="576"/>
      <c r="N1350" s="576">
        <f t="shared" si="339"/>
        <v>0</v>
      </c>
      <c r="O1350" s="577">
        <f t="shared" si="344"/>
        <v>0</v>
      </c>
      <c r="P1350" s="578">
        <f t="shared" si="345"/>
        <v>0</v>
      </c>
      <c r="Q1350" s="765"/>
      <c r="R1350" s="576">
        <f t="shared" si="341"/>
        <v>0</v>
      </c>
      <c r="S1350" s="576">
        <f t="shared" si="341"/>
        <v>0</v>
      </c>
      <c r="T1350" s="577">
        <f t="shared" si="342"/>
        <v>0</v>
      </c>
      <c r="U1350" s="578">
        <f t="shared" si="343"/>
        <v>0</v>
      </c>
      <c r="V1350" s="579"/>
      <c r="W1350" s="566"/>
      <c r="X1350" s="586" t="str">
        <f t="shared" si="346"/>
        <v/>
      </c>
      <c r="Y1350" s="586" t="str">
        <f t="shared" si="340"/>
        <v/>
      </c>
      <c r="Z1350" s="586" t="str">
        <f t="shared" si="338"/>
        <v/>
      </c>
    </row>
    <row r="1351" spans="1:26" ht="23.25" hidden="1" thickBot="1" x14ac:dyDescent="0.25">
      <c r="A1351" s="567">
        <v>93654</v>
      </c>
      <c r="B1351" s="644">
        <v>93654</v>
      </c>
      <c r="C1351" s="645" t="s">
        <v>670</v>
      </c>
      <c r="D1351" s="422" t="s">
        <v>1202</v>
      </c>
      <c r="E1351" s="423"/>
      <c r="F1351" s="424"/>
      <c r="G1351" s="425"/>
      <c r="H1351" s="651"/>
      <c r="I1351" s="420">
        <v>14.29</v>
      </c>
      <c r="J1351" s="420">
        <f t="shared" si="337"/>
        <v>14.29</v>
      </c>
      <c r="K1351" s="421">
        <f t="shared" si="336"/>
        <v>16.98</v>
      </c>
      <c r="L1351" s="647" t="s">
        <v>2065</v>
      </c>
      <c r="M1351" s="576"/>
      <c r="N1351" s="576">
        <f t="shared" si="339"/>
        <v>0</v>
      </c>
      <c r="O1351" s="577">
        <f t="shared" si="344"/>
        <v>0</v>
      </c>
      <c r="P1351" s="578">
        <f t="shared" si="345"/>
        <v>0</v>
      </c>
      <c r="Q1351" s="765"/>
      <c r="R1351" s="576">
        <f t="shared" si="341"/>
        <v>0</v>
      </c>
      <c r="S1351" s="576">
        <f t="shared" si="341"/>
        <v>0</v>
      </c>
      <c r="T1351" s="577">
        <f t="shared" si="342"/>
        <v>0</v>
      </c>
      <c r="U1351" s="578">
        <f t="shared" si="343"/>
        <v>0</v>
      </c>
      <c r="V1351" s="579"/>
      <c r="W1351" s="566"/>
      <c r="X1351" s="586" t="str">
        <f t="shared" si="346"/>
        <v/>
      </c>
      <c r="Y1351" s="586" t="str">
        <f t="shared" si="340"/>
        <v/>
      </c>
      <c r="Z1351" s="586" t="str">
        <f t="shared" si="338"/>
        <v/>
      </c>
    </row>
    <row r="1352" spans="1:26" ht="23.25" hidden="1" thickBot="1" x14ac:dyDescent="0.25">
      <c r="A1352" s="567">
        <v>93655</v>
      </c>
      <c r="B1352" s="644">
        <v>93655</v>
      </c>
      <c r="C1352" s="645" t="s">
        <v>670</v>
      </c>
      <c r="D1352" s="422" t="s">
        <v>1203</v>
      </c>
      <c r="E1352" s="423"/>
      <c r="F1352" s="424"/>
      <c r="G1352" s="425"/>
      <c r="H1352" s="651"/>
      <c r="I1352" s="420">
        <v>15.53</v>
      </c>
      <c r="J1352" s="420">
        <f t="shared" si="337"/>
        <v>15.53</v>
      </c>
      <c r="K1352" s="421">
        <f t="shared" si="336"/>
        <v>18.45</v>
      </c>
      <c r="L1352" s="647" t="s">
        <v>2065</v>
      </c>
      <c r="M1352" s="576"/>
      <c r="N1352" s="576">
        <f t="shared" si="339"/>
        <v>0</v>
      </c>
      <c r="O1352" s="577">
        <f t="shared" si="344"/>
        <v>0</v>
      </c>
      <c r="P1352" s="578">
        <f t="shared" si="345"/>
        <v>0</v>
      </c>
      <c r="Q1352" s="765"/>
      <c r="R1352" s="576">
        <f t="shared" si="341"/>
        <v>0</v>
      </c>
      <c r="S1352" s="576">
        <f t="shared" si="341"/>
        <v>0</v>
      </c>
      <c r="T1352" s="577">
        <f t="shared" si="342"/>
        <v>0</v>
      </c>
      <c r="U1352" s="578">
        <f t="shared" si="343"/>
        <v>0</v>
      </c>
      <c r="V1352" s="579"/>
      <c r="W1352" s="566"/>
      <c r="X1352" s="586" t="str">
        <f t="shared" si="346"/>
        <v/>
      </c>
      <c r="Y1352" s="586" t="str">
        <f t="shared" si="340"/>
        <v/>
      </c>
      <c r="Z1352" s="586" t="str">
        <f t="shared" si="338"/>
        <v/>
      </c>
    </row>
    <row r="1353" spans="1:26" ht="23.25" hidden="1" thickBot="1" x14ac:dyDescent="0.25">
      <c r="A1353" s="567">
        <v>93656</v>
      </c>
      <c r="B1353" s="644">
        <v>93656</v>
      </c>
      <c r="C1353" s="645" t="s">
        <v>670</v>
      </c>
      <c r="D1353" s="422" t="s">
        <v>1204</v>
      </c>
      <c r="E1353" s="423"/>
      <c r="F1353" s="424"/>
      <c r="G1353" s="425"/>
      <c r="H1353" s="651"/>
      <c r="I1353" s="420">
        <v>15.53</v>
      </c>
      <c r="J1353" s="420">
        <f t="shared" si="337"/>
        <v>15.53</v>
      </c>
      <c r="K1353" s="421">
        <f t="shared" ref="K1353:K1416" si="347">IF(ISBLANK(I1353),0,ROUND(J1353*(1+$F$10)*(1+$F$11*E1353),2))</f>
        <v>18.45</v>
      </c>
      <c r="L1353" s="647" t="s">
        <v>2065</v>
      </c>
      <c r="M1353" s="576"/>
      <c r="N1353" s="576">
        <f t="shared" si="339"/>
        <v>0</v>
      </c>
      <c r="O1353" s="577">
        <f t="shared" si="344"/>
        <v>0</v>
      </c>
      <c r="P1353" s="578">
        <f t="shared" si="345"/>
        <v>0</v>
      </c>
      <c r="Q1353" s="765"/>
      <c r="R1353" s="576">
        <f t="shared" si="341"/>
        <v>0</v>
      </c>
      <c r="S1353" s="576">
        <f t="shared" si="341"/>
        <v>0</v>
      </c>
      <c r="T1353" s="577">
        <f t="shared" si="342"/>
        <v>0</v>
      </c>
      <c r="U1353" s="578">
        <f t="shared" si="343"/>
        <v>0</v>
      </c>
      <c r="V1353" s="579"/>
      <c r="W1353" s="566"/>
      <c r="X1353" s="586" t="str">
        <f t="shared" si="346"/>
        <v/>
      </c>
      <c r="Y1353" s="586" t="str">
        <f t="shared" si="340"/>
        <v/>
      </c>
      <c r="Z1353" s="586" t="str">
        <f t="shared" si="338"/>
        <v/>
      </c>
    </row>
    <row r="1354" spans="1:26" ht="23.25" hidden="1" thickBot="1" x14ac:dyDescent="0.25">
      <c r="A1354" s="567">
        <v>93657</v>
      </c>
      <c r="B1354" s="644">
        <v>93657</v>
      </c>
      <c r="C1354" s="645" t="s">
        <v>670</v>
      </c>
      <c r="D1354" s="422" t="s">
        <v>1205</v>
      </c>
      <c r="E1354" s="423"/>
      <c r="F1354" s="424"/>
      <c r="G1354" s="425"/>
      <c r="H1354" s="651"/>
      <c r="I1354" s="420">
        <v>17.04</v>
      </c>
      <c r="J1354" s="420">
        <f t="shared" si="337"/>
        <v>17.04</v>
      </c>
      <c r="K1354" s="421">
        <f t="shared" si="347"/>
        <v>20.25</v>
      </c>
      <c r="L1354" s="647" t="s">
        <v>2065</v>
      </c>
      <c r="M1354" s="576"/>
      <c r="N1354" s="576">
        <f t="shared" si="339"/>
        <v>0</v>
      </c>
      <c r="O1354" s="577">
        <f t="shared" si="344"/>
        <v>0</v>
      </c>
      <c r="P1354" s="578">
        <f t="shared" si="345"/>
        <v>0</v>
      </c>
      <c r="Q1354" s="765"/>
      <c r="R1354" s="576">
        <f t="shared" si="341"/>
        <v>0</v>
      </c>
      <c r="S1354" s="576">
        <f t="shared" si="341"/>
        <v>0</v>
      </c>
      <c r="T1354" s="577">
        <f t="shared" si="342"/>
        <v>0</v>
      </c>
      <c r="U1354" s="578">
        <f t="shared" si="343"/>
        <v>0</v>
      </c>
      <c r="V1354" s="579"/>
      <c r="W1354" s="566"/>
      <c r="X1354" s="586" t="str">
        <f t="shared" si="346"/>
        <v/>
      </c>
      <c r="Y1354" s="586" t="str">
        <f t="shared" si="340"/>
        <v/>
      </c>
      <c r="Z1354" s="586" t="str">
        <f t="shared" si="338"/>
        <v/>
      </c>
    </row>
    <row r="1355" spans="1:26" ht="23.25" hidden="1" thickBot="1" x14ac:dyDescent="0.25">
      <c r="A1355" s="567">
        <v>93658</v>
      </c>
      <c r="B1355" s="644">
        <v>93658</v>
      </c>
      <c r="C1355" s="645" t="s">
        <v>670</v>
      </c>
      <c r="D1355" s="422" t="s">
        <v>1206</v>
      </c>
      <c r="E1355" s="423"/>
      <c r="F1355" s="424"/>
      <c r="G1355" s="425"/>
      <c r="H1355" s="651"/>
      <c r="I1355" s="420">
        <v>24.72</v>
      </c>
      <c r="J1355" s="420">
        <f t="shared" si="337"/>
        <v>24.72</v>
      </c>
      <c r="K1355" s="421">
        <f t="shared" si="347"/>
        <v>29.37</v>
      </c>
      <c r="L1355" s="647" t="s">
        <v>2065</v>
      </c>
      <c r="M1355" s="576"/>
      <c r="N1355" s="576">
        <f t="shared" si="339"/>
        <v>0</v>
      </c>
      <c r="O1355" s="577">
        <f t="shared" si="344"/>
        <v>0</v>
      </c>
      <c r="P1355" s="578">
        <f t="shared" si="345"/>
        <v>0</v>
      </c>
      <c r="Q1355" s="765"/>
      <c r="R1355" s="576">
        <f t="shared" si="341"/>
        <v>0</v>
      </c>
      <c r="S1355" s="576">
        <f t="shared" si="341"/>
        <v>0</v>
      </c>
      <c r="T1355" s="577">
        <f t="shared" si="342"/>
        <v>0</v>
      </c>
      <c r="U1355" s="578">
        <f t="shared" si="343"/>
        <v>0</v>
      </c>
      <c r="V1355" s="579"/>
      <c r="W1355" s="566"/>
      <c r="X1355" s="586" t="str">
        <f t="shared" si="346"/>
        <v/>
      </c>
      <c r="Y1355" s="586" t="str">
        <f t="shared" si="340"/>
        <v/>
      </c>
      <c r="Z1355" s="586" t="str">
        <f t="shared" si="338"/>
        <v/>
      </c>
    </row>
    <row r="1356" spans="1:26" ht="23.25" hidden="1" thickBot="1" x14ac:dyDescent="0.25">
      <c r="A1356" s="567">
        <v>93659</v>
      </c>
      <c r="B1356" s="644">
        <v>93659</v>
      </c>
      <c r="C1356" s="645" t="s">
        <v>670</v>
      </c>
      <c r="D1356" s="422" t="s">
        <v>1207</v>
      </c>
      <c r="E1356" s="423"/>
      <c r="F1356" s="424"/>
      <c r="G1356" s="425"/>
      <c r="H1356" s="651"/>
      <c r="I1356" s="420">
        <v>27.81</v>
      </c>
      <c r="J1356" s="420">
        <f t="shared" si="337"/>
        <v>27.81</v>
      </c>
      <c r="K1356" s="421">
        <f t="shared" si="347"/>
        <v>33.04</v>
      </c>
      <c r="L1356" s="647" t="s">
        <v>2065</v>
      </c>
      <c r="M1356" s="576"/>
      <c r="N1356" s="576">
        <f t="shared" si="339"/>
        <v>0</v>
      </c>
      <c r="O1356" s="577">
        <f t="shared" si="344"/>
        <v>0</v>
      </c>
      <c r="P1356" s="578">
        <f t="shared" si="345"/>
        <v>0</v>
      </c>
      <c r="Q1356" s="765"/>
      <c r="R1356" s="576">
        <f t="shared" si="341"/>
        <v>0</v>
      </c>
      <c r="S1356" s="576">
        <f t="shared" si="341"/>
        <v>0</v>
      </c>
      <c r="T1356" s="577">
        <f t="shared" si="342"/>
        <v>0</v>
      </c>
      <c r="U1356" s="578">
        <f t="shared" si="343"/>
        <v>0</v>
      </c>
      <c r="V1356" s="579"/>
      <c r="W1356" s="566"/>
      <c r="X1356" s="586" t="str">
        <f t="shared" si="346"/>
        <v/>
      </c>
      <c r="Y1356" s="586" t="str">
        <f t="shared" si="340"/>
        <v/>
      </c>
      <c r="Z1356" s="586" t="str">
        <f t="shared" si="338"/>
        <v/>
      </c>
    </row>
    <row r="1357" spans="1:26" ht="23.25" hidden="1" thickBot="1" x14ac:dyDescent="0.25">
      <c r="A1357" s="567">
        <v>101890</v>
      </c>
      <c r="B1357" s="644">
        <v>101890</v>
      </c>
      <c r="C1357" s="645" t="s">
        <v>670</v>
      </c>
      <c r="D1357" s="422" t="s">
        <v>1208</v>
      </c>
      <c r="E1357" s="423"/>
      <c r="F1357" s="424"/>
      <c r="G1357" s="425"/>
      <c r="H1357" s="651"/>
      <c r="I1357" s="420">
        <v>18.760000000000002</v>
      </c>
      <c r="J1357" s="420">
        <f t="shared" si="337"/>
        <v>18.760000000000002</v>
      </c>
      <c r="K1357" s="421">
        <f t="shared" si="347"/>
        <v>22.29</v>
      </c>
      <c r="L1357" s="647" t="s">
        <v>2065</v>
      </c>
      <c r="M1357" s="576"/>
      <c r="N1357" s="576">
        <f t="shared" si="339"/>
        <v>0</v>
      </c>
      <c r="O1357" s="577">
        <f t="shared" si="344"/>
        <v>0</v>
      </c>
      <c r="P1357" s="578">
        <f t="shared" si="345"/>
        <v>0</v>
      </c>
      <c r="Q1357" s="765"/>
      <c r="R1357" s="576">
        <f t="shared" si="341"/>
        <v>0</v>
      </c>
      <c r="S1357" s="576">
        <f t="shared" si="341"/>
        <v>0</v>
      </c>
      <c r="T1357" s="577">
        <f t="shared" si="342"/>
        <v>0</v>
      </c>
      <c r="U1357" s="578">
        <f t="shared" si="343"/>
        <v>0</v>
      </c>
      <c r="V1357" s="579"/>
      <c r="W1357" s="566"/>
      <c r="X1357" s="586" t="str">
        <f t="shared" si="346"/>
        <v/>
      </c>
      <c r="Y1357" s="586" t="str">
        <f t="shared" si="340"/>
        <v/>
      </c>
      <c r="Z1357" s="586" t="str">
        <f t="shared" si="338"/>
        <v/>
      </c>
    </row>
    <row r="1358" spans="1:26" ht="23.25" hidden="1" thickBot="1" x14ac:dyDescent="0.25">
      <c r="A1358" s="567">
        <v>101891</v>
      </c>
      <c r="B1358" s="644">
        <v>101891</v>
      </c>
      <c r="C1358" s="645" t="s">
        <v>670</v>
      </c>
      <c r="D1358" s="422" t="s">
        <v>1209</v>
      </c>
      <c r="E1358" s="423"/>
      <c r="F1358" s="424"/>
      <c r="G1358" s="425"/>
      <c r="H1358" s="651"/>
      <c r="I1358" s="420">
        <v>32.28</v>
      </c>
      <c r="J1358" s="420">
        <f t="shared" si="337"/>
        <v>32.28</v>
      </c>
      <c r="K1358" s="421">
        <f t="shared" si="347"/>
        <v>38.35</v>
      </c>
      <c r="L1358" s="647" t="s">
        <v>2065</v>
      </c>
      <c r="M1358" s="576"/>
      <c r="N1358" s="576">
        <f t="shared" si="339"/>
        <v>0</v>
      </c>
      <c r="O1358" s="577">
        <f t="shared" si="344"/>
        <v>0</v>
      </c>
      <c r="P1358" s="578">
        <f t="shared" si="345"/>
        <v>0</v>
      </c>
      <c r="Q1358" s="765"/>
      <c r="R1358" s="576">
        <f t="shared" si="341"/>
        <v>0</v>
      </c>
      <c r="S1358" s="576">
        <f t="shared" si="341"/>
        <v>0</v>
      </c>
      <c r="T1358" s="577">
        <f t="shared" si="342"/>
        <v>0</v>
      </c>
      <c r="U1358" s="578">
        <f t="shared" si="343"/>
        <v>0</v>
      </c>
      <c r="V1358" s="579"/>
      <c r="W1358" s="566"/>
      <c r="X1358" s="586" t="str">
        <f t="shared" si="346"/>
        <v/>
      </c>
      <c r="Y1358" s="586" t="str">
        <f t="shared" si="340"/>
        <v/>
      </c>
      <c r="Z1358" s="586" t="str">
        <f t="shared" si="338"/>
        <v/>
      </c>
    </row>
    <row r="1359" spans="1:26" ht="12" hidden="1" thickBot="1" x14ac:dyDescent="0.25">
      <c r="A1359" s="567">
        <v>93660</v>
      </c>
      <c r="B1359" s="644">
        <v>93660</v>
      </c>
      <c r="C1359" s="645" t="s">
        <v>670</v>
      </c>
      <c r="D1359" s="422" t="s">
        <v>1210</v>
      </c>
      <c r="E1359" s="423"/>
      <c r="F1359" s="424"/>
      <c r="G1359" s="425"/>
      <c r="H1359" s="651"/>
      <c r="I1359" s="420">
        <v>68.16</v>
      </c>
      <c r="J1359" s="420">
        <f t="shared" si="337"/>
        <v>68.16</v>
      </c>
      <c r="K1359" s="421">
        <f t="shared" si="347"/>
        <v>80.98</v>
      </c>
      <c r="L1359" s="647" t="s">
        <v>2065</v>
      </c>
      <c r="M1359" s="576"/>
      <c r="N1359" s="576">
        <f t="shared" si="339"/>
        <v>0</v>
      </c>
      <c r="O1359" s="577">
        <f t="shared" si="344"/>
        <v>0</v>
      </c>
      <c r="P1359" s="578">
        <f t="shared" si="345"/>
        <v>0</v>
      </c>
      <c r="Q1359" s="765"/>
      <c r="R1359" s="576">
        <f t="shared" si="341"/>
        <v>0</v>
      </c>
      <c r="S1359" s="576">
        <f t="shared" si="341"/>
        <v>0</v>
      </c>
      <c r="T1359" s="577">
        <f t="shared" si="342"/>
        <v>0</v>
      </c>
      <c r="U1359" s="578">
        <f t="shared" si="343"/>
        <v>0</v>
      </c>
      <c r="V1359" s="579"/>
      <c r="W1359" s="566"/>
      <c r="X1359" s="586" t="str">
        <f t="shared" si="346"/>
        <v/>
      </c>
      <c r="Y1359" s="586" t="str">
        <f t="shared" si="340"/>
        <v/>
      </c>
      <c r="Z1359" s="586" t="str">
        <f t="shared" si="338"/>
        <v/>
      </c>
    </row>
    <row r="1360" spans="1:26" ht="12" hidden="1" thickBot="1" x14ac:dyDescent="0.25">
      <c r="A1360" s="567">
        <v>93661</v>
      </c>
      <c r="B1360" s="644">
        <v>93661</v>
      </c>
      <c r="C1360" s="645" t="s">
        <v>670</v>
      </c>
      <c r="D1360" s="422" t="s">
        <v>1211</v>
      </c>
      <c r="E1360" s="423"/>
      <c r="F1360" s="424"/>
      <c r="G1360" s="425"/>
      <c r="H1360" s="651"/>
      <c r="I1360" s="420">
        <v>69.459999999999994</v>
      </c>
      <c r="J1360" s="420">
        <f t="shared" si="337"/>
        <v>69.459999999999994</v>
      </c>
      <c r="K1360" s="421">
        <f t="shared" si="347"/>
        <v>82.53</v>
      </c>
      <c r="L1360" s="647" t="s">
        <v>2065</v>
      </c>
      <c r="M1360" s="576"/>
      <c r="N1360" s="576">
        <f t="shared" si="339"/>
        <v>0</v>
      </c>
      <c r="O1360" s="577">
        <f t="shared" si="344"/>
        <v>0</v>
      </c>
      <c r="P1360" s="578">
        <f t="shared" si="345"/>
        <v>0</v>
      </c>
      <c r="Q1360" s="765"/>
      <c r="R1360" s="576">
        <f t="shared" si="341"/>
        <v>0</v>
      </c>
      <c r="S1360" s="576">
        <f t="shared" si="341"/>
        <v>0</v>
      </c>
      <c r="T1360" s="577">
        <f t="shared" si="342"/>
        <v>0</v>
      </c>
      <c r="U1360" s="578">
        <f t="shared" si="343"/>
        <v>0</v>
      </c>
      <c r="V1360" s="579"/>
      <c r="W1360" s="566"/>
      <c r="X1360" s="586" t="str">
        <f t="shared" si="346"/>
        <v/>
      </c>
      <c r="Y1360" s="586" t="str">
        <f t="shared" si="340"/>
        <v/>
      </c>
      <c r="Z1360" s="586" t="str">
        <f t="shared" si="338"/>
        <v/>
      </c>
    </row>
    <row r="1361" spans="1:26" ht="12" hidden="1" thickBot="1" x14ac:dyDescent="0.25">
      <c r="A1361" s="567">
        <v>93662</v>
      </c>
      <c r="B1361" s="644">
        <v>93662</v>
      </c>
      <c r="C1361" s="645" t="s">
        <v>670</v>
      </c>
      <c r="D1361" s="422" t="s">
        <v>1212</v>
      </c>
      <c r="E1361" s="423"/>
      <c r="F1361" s="424"/>
      <c r="G1361" s="425"/>
      <c r="H1361" s="651"/>
      <c r="I1361" s="420">
        <v>71.930000000000007</v>
      </c>
      <c r="J1361" s="420">
        <f t="shared" si="337"/>
        <v>71.930000000000007</v>
      </c>
      <c r="K1361" s="421">
        <f t="shared" si="347"/>
        <v>85.46</v>
      </c>
      <c r="L1361" s="647" t="s">
        <v>2065</v>
      </c>
      <c r="M1361" s="576"/>
      <c r="N1361" s="576">
        <f t="shared" si="339"/>
        <v>0</v>
      </c>
      <c r="O1361" s="577">
        <f t="shared" si="344"/>
        <v>0</v>
      </c>
      <c r="P1361" s="578">
        <f t="shared" si="345"/>
        <v>0</v>
      </c>
      <c r="Q1361" s="765"/>
      <c r="R1361" s="576">
        <f t="shared" si="341"/>
        <v>0</v>
      </c>
      <c r="S1361" s="576">
        <f t="shared" si="341"/>
        <v>0</v>
      </c>
      <c r="T1361" s="577">
        <f t="shared" si="342"/>
        <v>0</v>
      </c>
      <c r="U1361" s="578">
        <f t="shared" si="343"/>
        <v>0</v>
      </c>
      <c r="V1361" s="579"/>
      <c r="W1361" s="566"/>
      <c r="X1361" s="586" t="str">
        <f t="shared" si="346"/>
        <v/>
      </c>
      <c r="Y1361" s="586" t="str">
        <f t="shared" si="340"/>
        <v/>
      </c>
      <c r="Z1361" s="586" t="str">
        <f t="shared" si="338"/>
        <v/>
      </c>
    </row>
    <row r="1362" spans="1:26" ht="12" hidden="1" thickBot="1" x14ac:dyDescent="0.25">
      <c r="A1362" s="567">
        <v>93663</v>
      </c>
      <c r="B1362" s="644">
        <v>93663</v>
      </c>
      <c r="C1362" s="645" t="s">
        <v>670</v>
      </c>
      <c r="D1362" s="422" t="s">
        <v>1213</v>
      </c>
      <c r="E1362" s="423"/>
      <c r="F1362" s="424"/>
      <c r="G1362" s="425"/>
      <c r="H1362" s="651"/>
      <c r="I1362" s="420">
        <v>71.930000000000007</v>
      </c>
      <c r="J1362" s="420">
        <f t="shared" si="337"/>
        <v>71.930000000000007</v>
      </c>
      <c r="K1362" s="421">
        <f t="shared" si="347"/>
        <v>85.46</v>
      </c>
      <c r="L1362" s="647" t="s">
        <v>2065</v>
      </c>
      <c r="M1362" s="576"/>
      <c r="N1362" s="576">
        <f t="shared" si="339"/>
        <v>0</v>
      </c>
      <c r="O1362" s="577">
        <f t="shared" si="344"/>
        <v>0</v>
      </c>
      <c r="P1362" s="578">
        <f t="shared" si="345"/>
        <v>0</v>
      </c>
      <c r="Q1362" s="765"/>
      <c r="R1362" s="576">
        <f t="shared" si="341"/>
        <v>0</v>
      </c>
      <c r="S1362" s="576">
        <f t="shared" si="341"/>
        <v>0</v>
      </c>
      <c r="T1362" s="577">
        <f t="shared" si="342"/>
        <v>0</v>
      </c>
      <c r="U1362" s="578">
        <f t="shared" si="343"/>
        <v>0</v>
      </c>
      <c r="V1362" s="579"/>
      <c r="W1362" s="566"/>
      <c r="X1362" s="586" t="str">
        <f t="shared" si="346"/>
        <v/>
      </c>
      <c r="Y1362" s="586" t="str">
        <f t="shared" si="340"/>
        <v/>
      </c>
      <c r="Z1362" s="586" t="str">
        <f t="shared" si="338"/>
        <v/>
      </c>
    </row>
    <row r="1363" spans="1:26" ht="12" hidden="1" thickBot="1" x14ac:dyDescent="0.25">
      <c r="A1363" s="567">
        <v>93664</v>
      </c>
      <c r="B1363" s="644">
        <v>93664</v>
      </c>
      <c r="C1363" s="645" t="s">
        <v>670</v>
      </c>
      <c r="D1363" s="422" t="s">
        <v>1214</v>
      </c>
      <c r="E1363" s="423"/>
      <c r="F1363" s="424"/>
      <c r="G1363" s="425"/>
      <c r="H1363" s="651"/>
      <c r="I1363" s="420">
        <v>74.94</v>
      </c>
      <c r="J1363" s="420">
        <f t="shared" ref="J1363:J1426" si="348">IF(ISBLANK(I1363),"",SUM(H1363:I1363))</f>
        <v>74.94</v>
      </c>
      <c r="K1363" s="421">
        <f t="shared" si="347"/>
        <v>89.04</v>
      </c>
      <c r="L1363" s="647" t="s">
        <v>2065</v>
      </c>
      <c r="M1363" s="576"/>
      <c r="N1363" s="576">
        <f t="shared" si="339"/>
        <v>0</v>
      </c>
      <c r="O1363" s="577">
        <f t="shared" si="344"/>
        <v>0</v>
      </c>
      <c r="P1363" s="578">
        <f t="shared" si="345"/>
        <v>0</v>
      </c>
      <c r="Q1363" s="765"/>
      <c r="R1363" s="576">
        <f t="shared" si="341"/>
        <v>0</v>
      </c>
      <c r="S1363" s="576">
        <f t="shared" si="341"/>
        <v>0</v>
      </c>
      <c r="T1363" s="577">
        <f t="shared" si="342"/>
        <v>0</v>
      </c>
      <c r="U1363" s="578">
        <f t="shared" si="343"/>
        <v>0</v>
      </c>
      <c r="V1363" s="579"/>
      <c r="W1363" s="566"/>
      <c r="X1363" s="586" t="str">
        <f t="shared" si="346"/>
        <v/>
      </c>
      <c r="Y1363" s="586" t="str">
        <f t="shared" si="340"/>
        <v/>
      </c>
      <c r="Z1363" s="586" t="str">
        <f t="shared" ref="Z1363:Z1426" si="349">IF(W1363="X","x",IF(U1363&gt;0,"x",""))</f>
        <v/>
      </c>
    </row>
    <row r="1364" spans="1:26" ht="12" hidden="1" thickBot="1" x14ac:dyDescent="0.25">
      <c r="A1364" s="567">
        <v>93665</v>
      </c>
      <c r="B1364" s="644">
        <v>93665</v>
      </c>
      <c r="C1364" s="645" t="s">
        <v>670</v>
      </c>
      <c r="D1364" s="422" t="s">
        <v>1215</v>
      </c>
      <c r="E1364" s="423"/>
      <c r="F1364" s="424"/>
      <c r="G1364" s="425"/>
      <c r="H1364" s="651"/>
      <c r="I1364" s="420">
        <v>78.790000000000006</v>
      </c>
      <c r="J1364" s="420">
        <f t="shared" si="348"/>
        <v>78.790000000000006</v>
      </c>
      <c r="K1364" s="421">
        <f t="shared" si="347"/>
        <v>93.61</v>
      </c>
      <c r="L1364" s="647" t="s">
        <v>2065</v>
      </c>
      <c r="M1364" s="576"/>
      <c r="N1364" s="576">
        <f t="shared" ref="N1364:N1427" si="350">IF(M1364=0,0,K1364)</f>
        <v>0</v>
      </c>
      <c r="O1364" s="577">
        <f t="shared" si="344"/>
        <v>0</v>
      </c>
      <c r="P1364" s="578">
        <f t="shared" si="345"/>
        <v>0</v>
      </c>
      <c r="Q1364" s="765"/>
      <c r="R1364" s="576">
        <f t="shared" si="341"/>
        <v>0</v>
      </c>
      <c r="S1364" s="576">
        <f t="shared" si="341"/>
        <v>0</v>
      </c>
      <c r="T1364" s="577">
        <f t="shared" si="342"/>
        <v>0</v>
      </c>
      <c r="U1364" s="578">
        <f t="shared" si="343"/>
        <v>0</v>
      </c>
      <c r="V1364" s="579"/>
      <c r="W1364" s="566"/>
      <c r="X1364" s="586" t="str">
        <f t="shared" si="346"/>
        <v/>
      </c>
      <c r="Y1364" s="586" t="str">
        <f t="shared" si="340"/>
        <v/>
      </c>
      <c r="Z1364" s="586" t="str">
        <f t="shared" si="349"/>
        <v/>
      </c>
    </row>
    <row r="1365" spans="1:26" ht="12" hidden="1" thickBot="1" x14ac:dyDescent="0.25">
      <c r="A1365" s="567">
        <v>93666</v>
      </c>
      <c r="B1365" s="644">
        <v>93666</v>
      </c>
      <c r="C1365" s="645" t="s">
        <v>670</v>
      </c>
      <c r="D1365" s="422" t="s">
        <v>1216</v>
      </c>
      <c r="E1365" s="423"/>
      <c r="F1365" s="424"/>
      <c r="G1365" s="425"/>
      <c r="H1365" s="651"/>
      <c r="I1365" s="420">
        <v>84.97</v>
      </c>
      <c r="J1365" s="420">
        <f t="shared" si="348"/>
        <v>84.97</v>
      </c>
      <c r="K1365" s="421">
        <f t="shared" si="347"/>
        <v>100.95</v>
      </c>
      <c r="L1365" s="647" t="s">
        <v>2065</v>
      </c>
      <c r="M1365" s="576"/>
      <c r="N1365" s="576">
        <f t="shared" si="350"/>
        <v>0</v>
      </c>
      <c r="O1365" s="577">
        <f t="shared" si="344"/>
        <v>0</v>
      </c>
      <c r="P1365" s="578">
        <f t="shared" si="345"/>
        <v>0</v>
      </c>
      <c r="Q1365" s="765"/>
      <c r="R1365" s="576">
        <f t="shared" si="341"/>
        <v>0</v>
      </c>
      <c r="S1365" s="576">
        <f t="shared" si="341"/>
        <v>0</v>
      </c>
      <c r="T1365" s="577">
        <f t="shared" si="342"/>
        <v>0</v>
      </c>
      <c r="U1365" s="578">
        <f t="shared" si="343"/>
        <v>0</v>
      </c>
      <c r="V1365" s="579"/>
      <c r="W1365" s="566"/>
      <c r="X1365" s="586" t="str">
        <f t="shared" si="346"/>
        <v/>
      </c>
      <c r="Y1365" s="586" t="str">
        <f t="shared" si="340"/>
        <v/>
      </c>
      <c r="Z1365" s="586" t="str">
        <f t="shared" si="349"/>
        <v/>
      </c>
    </row>
    <row r="1366" spans="1:26" ht="23.25" hidden="1" thickBot="1" x14ac:dyDescent="0.25">
      <c r="A1366" s="567">
        <v>101892</v>
      </c>
      <c r="B1366" s="644">
        <v>101892</v>
      </c>
      <c r="C1366" s="645" t="s">
        <v>670</v>
      </c>
      <c r="D1366" s="422" t="s">
        <v>1217</v>
      </c>
      <c r="E1366" s="423"/>
      <c r="F1366" s="424"/>
      <c r="G1366" s="425"/>
      <c r="H1366" s="651"/>
      <c r="I1366" s="420">
        <v>85.48</v>
      </c>
      <c r="J1366" s="420">
        <f t="shared" si="348"/>
        <v>85.48</v>
      </c>
      <c r="K1366" s="421">
        <f t="shared" si="347"/>
        <v>101.56</v>
      </c>
      <c r="L1366" s="647" t="s">
        <v>2065</v>
      </c>
      <c r="M1366" s="576"/>
      <c r="N1366" s="576">
        <f t="shared" si="350"/>
        <v>0</v>
      </c>
      <c r="O1366" s="577">
        <f t="shared" si="344"/>
        <v>0</v>
      </c>
      <c r="P1366" s="578">
        <f t="shared" si="345"/>
        <v>0</v>
      </c>
      <c r="Q1366" s="765"/>
      <c r="R1366" s="576">
        <f t="shared" si="341"/>
        <v>0</v>
      </c>
      <c r="S1366" s="576">
        <f t="shared" si="341"/>
        <v>0</v>
      </c>
      <c r="T1366" s="577">
        <f t="shared" si="342"/>
        <v>0</v>
      </c>
      <c r="U1366" s="578">
        <f t="shared" si="343"/>
        <v>0</v>
      </c>
      <c r="V1366" s="579"/>
      <c r="W1366" s="566"/>
      <c r="X1366" s="586" t="str">
        <f t="shared" si="346"/>
        <v/>
      </c>
      <c r="Y1366" s="586" t="str">
        <f t="shared" si="340"/>
        <v/>
      </c>
      <c r="Z1366" s="586" t="str">
        <f t="shared" si="349"/>
        <v/>
      </c>
    </row>
    <row r="1367" spans="1:26" ht="12" hidden="1" thickBot="1" x14ac:dyDescent="0.25">
      <c r="A1367" s="567">
        <v>93667</v>
      </c>
      <c r="B1367" s="644">
        <v>93667</v>
      </c>
      <c r="C1367" s="645" t="s">
        <v>670</v>
      </c>
      <c r="D1367" s="422" t="s">
        <v>1218</v>
      </c>
      <c r="E1367" s="423"/>
      <c r="F1367" s="424"/>
      <c r="G1367" s="425"/>
      <c r="H1367" s="651"/>
      <c r="I1367" s="420">
        <v>85</v>
      </c>
      <c r="J1367" s="420">
        <f t="shared" si="348"/>
        <v>85</v>
      </c>
      <c r="K1367" s="421">
        <f t="shared" si="347"/>
        <v>100.99</v>
      </c>
      <c r="L1367" s="647" t="s">
        <v>2065</v>
      </c>
      <c r="M1367" s="576"/>
      <c r="N1367" s="576">
        <f t="shared" si="350"/>
        <v>0</v>
      </c>
      <c r="O1367" s="577">
        <f t="shared" si="344"/>
        <v>0</v>
      </c>
      <c r="P1367" s="578">
        <f t="shared" si="345"/>
        <v>0</v>
      </c>
      <c r="Q1367" s="765"/>
      <c r="R1367" s="576">
        <f t="shared" si="341"/>
        <v>0</v>
      </c>
      <c r="S1367" s="576">
        <f t="shared" si="341"/>
        <v>0</v>
      </c>
      <c r="T1367" s="577">
        <f t="shared" si="342"/>
        <v>0</v>
      </c>
      <c r="U1367" s="578">
        <f t="shared" si="343"/>
        <v>0</v>
      </c>
      <c r="V1367" s="579"/>
      <c r="W1367" s="566"/>
      <c r="X1367" s="586" t="str">
        <f t="shared" si="346"/>
        <v/>
      </c>
      <c r="Y1367" s="586" t="str">
        <f t="shared" si="340"/>
        <v/>
      </c>
      <c r="Z1367" s="586" t="str">
        <f t="shared" si="349"/>
        <v/>
      </c>
    </row>
    <row r="1368" spans="1:26" ht="12" hidden="1" thickBot="1" x14ac:dyDescent="0.25">
      <c r="A1368" s="567">
        <v>93668</v>
      </c>
      <c r="B1368" s="644">
        <v>93668</v>
      </c>
      <c r="C1368" s="645" t="s">
        <v>670</v>
      </c>
      <c r="D1368" s="422" t="s">
        <v>1219</v>
      </c>
      <c r="E1368" s="423"/>
      <c r="F1368" s="424"/>
      <c r="G1368" s="425"/>
      <c r="H1368" s="651"/>
      <c r="I1368" s="420">
        <v>86.94</v>
      </c>
      <c r="J1368" s="420">
        <f t="shared" si="348"/>
        <v>86.94</v>
      </c>
      <c r="K1368" s="421">
        <f t="shared" si="347"/>
        <v>103.29</v>
      </c>
      <c r="L1368" s="647" t="s">
        <v>2065</v>
      </c>
      <c r="M1368" s="576"/>
      <c r="N1368" s="576">
        <f t="shared" si="350"/>
        <v>0</v>
      </c>
      <c r="O1368" s="577">
        <f t="shared" si="344"/>
        <v>0</v>
      </c>
      <c r="P1368" s="578">
        <f t="shared" si="345"/>
        <v>0</v>
      </c>
      <c r="Q1368" s="765"/>
      <c r="R1368" s="576">
        <f t="shared" si="341"/>
        <v>0</v>
      </c>
      <c r="S1368" s="576">
        <f t="shared" si="341"/>
        <v>0</v>
      </c>
      <c r="T1368" s="577">
        <f t="shared" si="342"/>
        <v>0</v>
      </c>
      <c r="U1368" s="578">
        <f t="shared" si="343"/>
        <v>0</v>
      </c>
      <c r="V1368" s="579"/>
      <c r="W1368" s="566"/>
      <c r="X1368" s="586" t="str">
        <f t="shared" si="346"/>
        <v/>
      </c>
      <c r="Y1368" s="586" t="str">
        <f t="shared" si="340"/>
        <v/>
      </c>
      <c r="Z1368" s="586" t="str">
        <f t="shared" si="349"/>
        <v/>
      </c>
    </row>
    <row r="1369" spans="1:26" ht="12" hidden="1" thickBot="1" x14ac:dyDescent="0.25">
      <c r="A1369" s="567">
        <v>93669</v>
      </c>
      <c r="B1369" s="644">
        <v>93669</v>
      </c>
      <c r="C1369" s="645" t="s">
        <v>670</v>
      </c>
      <c r="D1369" s="422" t="s">
        <v>1220</v>
      </c>
      <c r="E1369" s="423"/>
      <c r="F1369" s="424"/>
      <c r="G1369" s="425"/>
      <c r="H1369" s="651"/>
      <c r="I1369" s="420">
        <v>90.65</v>
      </c>
      <c r="J1369" s="420">
        <f t="shared" si="348"/>
        <v>90.65</v>
      </c>
      <c r="K1369" s="421">
        <f t="shared" si="347"/>
        <v>107.7</v>
      </c>
      <c r="L1369" s="647" t="s">
        <v>2065</v>
      </c>
      <c r="M1369" s="576"/>
      <c r="N1369" s="576">
        <f t="shared" si="350"/>
        <v>0</v>
      </c>
      <c r="O1369" s="577">
        <f t="shared" si="344"/>
        <v>0</v>
      </c>
      <c r="P1369" s="578">
        <f t="shared" si="345"/>
        <v>0</v>
      </c>
      <c r="Q1369" s="765"/>
      <c r="R1369" s="576">
        <f t="shared" si="341"/>
        <v>0</v>
      </c>
      <c r="S1369" s="576">
        <f t="shared" si="341"/>
        <v>0</v>
      </c>
      <c r="T1369" s="577">
        <f t="shared" si="342"/>
        <v>0</v>
      </c>
      <c r="U1369" s="578">
        <f t="shared" si="343"/>
        <v>0</v>
      </c>
      <c r="V1369" s="579"/>
      <c r="W1369" s="566"/>
      <c r="X1369" s="586" t="str">
        <f t="shared" si="346"/>
        <v/>
      </c>
      <c r="Y1369" s="586" t="str">
        <f t="shared" si="340"/>
        <v/>
      </c>
      <c r="Z1369" s="586" t="str">
        <f t="shared" si="349"/>
        <v/>
      </c>
    </row>
    <row r="1370" spans="1:26" ht="12" hidden="1" thickBot="1" x14ac:dyDescent="0.25">
      <c r="A1370" s="567">
        <v>93670</v>
      </c>
      <c r="B1370" s="644">
        <v>93670</v>
      </c>
      <c r="C1370" s="645" t="s">
        <v>670</v>
      </c>
      <c r="D1370" s="422" t="s">
        <v>1221</v>
      </c>
      <c r="E1370" s="423"/>
      <c r="F1370" s="424"/>
      <c r="G1370" s="425"/>
      <c r="H1370" s="651"/>
      <c r="I1370" s="420">
        <v>90.65</v>
      </c>
      <c r="J1370" s="420">
        <f t="shared" si="348"/>
        <v>90.65</v>
      </c>
      <c r="K1370" s="421">
        <f t="shared" si="347"/>
        <v>107.7</v>
      </c>
      <c r="L1370" s="647" t="s">
        <v>2065</v>
      </c>
      <c r="M1370" s="576"/>
      <c r="N1370" s="576">
        <f t="shared" si="350"/>
        <v>0</v>
      </c>
      <c r="O1370" s="577">
        <f t="shared" si="344"/>
        <v>0</v>
      </c>
      <c r="P1370" s="578">
        <f t="shared" si="345"/>
        <v>0</v>
      </c>
      <c r="Q1370" s="765"/>
      <c r="R1370" s="576">
        <f t="shared" si="341"/>
        <v>0</v>
      </c>
      <c r="S1370" s="576">
        <f t="shared" si="341"/>
        <v>0</v>
      </c>
      <c r="T1370" s="577">
        <f t="shared" si="342"/>
        <v>0</v>
      </c>
      <c r="U1370" s="578">
        <f t="shared" si="343"/>
        <v>0</v>
      </c>
      <c r="V1370" s="579"/>
      <c r="W1370" s="566"/>
      <c r="X1370" s="586" t="str">
        <f t="shared" si="346"/>
        <v/>
      </c>
      <c r="Y1370" s="586" t="str">
        <f t="shared" si="340"/>
        <v/>
      </c>
      <c r="Z1370" s="586" t="str">
        <f t="shared" si="349"/>
        <v/>
      </c>
    </row>
    <row r="1371" spans="1:26" ht="12" hidden="1" thickBot="1" x14ac:dyDescent="0.25">
      <c r="A1371" s="567">
        <v>93671</v>
      </c>
      <c r="B1371" s="644">
        <v>93671</v>
      </c>
      <c r="C1371" s="645" t="s">
        <v>670</v>
      </c>
      <c r="D1371" s="422" t="s">
        <v>1222</v>
      </c>
      <c r="E1371" s="423"/>
      <c r="F1371" s="424"/>
      <c r="G1371" s="425"/>
      <c r="H1371" s="651"/>
      <c r="I1371" s="420">
        <v>95.17</v>
      </c>
      <c r="J1371" s="420">
        <f t="shared" si="348"/>
        <v>95.17</v>
      </c>
      <c r="K1371" s="421">
        <f t="shared" si="347"/>
        <v>113.07</v>
      </c>
      <c r="L1371" s="647" t="s">
        <v>2065</v>
      </c>
      <c r="M1371" s="576"/>
      <c r="N1371" s="576">
        <f t="shared" si="350"/>
        <v>0</v>
      </c>
      <c r="O1371" s="577">
        <f t="shared" si="344"/>
        <v>0</v>
      </c>
      <c r="P1371" s="578">
        <f t="shared" si="345"/>
        <v>0</v>
      </c>
      <c r="Q1371" s="765"/>
      <c r="R1371" s="576">
        <f t="shared" si="341"/>
        <v>0</v>
      </c>
      <c r="S1371" s="576">
        <f t="shared" si="341"/>
        <v>0</v>
      </c>
      <c r="T1371" s="577">
        <f t="shared" si="342"/>
        <v>0</v>
      </c>
      <c r="U1371" s="578">
        <f t="shared" si="343"/>
        <v>0</v>
      </c>
      <c r="V1371" s="579"/>
      <c r="W1371" s="566"/>
      <c r="X1371" s="586" t="str">
        <f t="shared" si="346"/>
        <v/>
      </c>
      <c r="Y1371" s="586" t="str">
        <f t="shared" si="340"/>
        <v/>
      </c>
      <c r="Z1371" s="586" t="str">
        <f t="shared" si="349"/>
        <v/>
      </c>
    </row>
    <row r="1372" spans="1:26" ht="12" hidden="1" thickBot="1" x14ac:dyDescent="0.25">
      <c r="A1372" s="567">
        <v>93672</v>
      </c>
      <c r="B1372" s="644">
        <v>93672</v>
      </c>
      <c r="C1372" s="645" t="s">
        <v>670</v>
      </c>
      <c r="D1372" s="422" t="s">
        <v>1223</v>
      </c>
      <c r="E1372" s="423"/>
      <c r="F1372" s="424"/>
      <c r="G1372" s="425"/>
      <c r="H1372" s="651"/>
      <c r="I1372" s="420">
        <v>102.4</v>
      </c>
      <c r="J1372" s="420">
        <f t="shared" si="348"/>
        <v>102.4</v>
      </c>
      <c r="K1372" s="421">
        <f t="shared" si="347"/>
        <v>121.66</v>
      </c>
      <c r="L1372" s="647" t="s">
        <v>2065</v>
      </c>
      <c r="M1372" s="576"/>
      <c r="N1372" s="576">
        <f t="shared" si="350"/>
        <v>0</v>
      </c>
      <c r="O1372" s="577">
        <f t="shared" si="344"/>
        <v>0</v>
      </c>
      <c r="P1372" s="578">
        <f t="shared" si="345"/>
        <v>0</v>
      </c>
      <c r="Q1372" s="765"/>
      <c r="R1372" s="576">
        <f t="shared" si="341"/>
        <v>0</v>
      </c>
      <c r="S1372" s="576">
        <f t="shared" si="341"/>
        <v>0</v>
      </c>
      <c r="T1372" s="577">
        <f t="shared" si="342"/>
        <v>0</v>
      </c>
      <c r="U1372" s="578">
        <f t="shared" si="343"/>
        <v>0</v>
      </c>
      <c r="V1372" s="579"/>
      <c r="W1372" s="566"/>
      <c r="X1372" s="586" t="str">
        <f t="shared" si="346"/>
        <v/>
      </c>
      <c r="Y1372" s="586" t="str">
        <f t="shared" si="340"/>
        <v/>
      </c>
      <c r="Z1372" s="586" t="str">
        <f t="shared" si="349"/>
        <v/>
      </c>
    </row>
    <row r="1373" spans="1:26" ht="12" hidden="1" thickBot="1" x14ac:dyDescent="0.25">
      <c r="A1373" s="567">
        <v>93673</v>
      </c>
      <c r="B1373" s="644">
        <v>93673</v>
      </c>
      <c r="C1373" s="645" t="s">
        <v>670</v>
      </c>
      <c r="D1373" s="422" t="s">
        <v>1224</v>
      </c>
      <c r="E1373" s="423"/>
      <c r="F1373" s="424"/>
      <c r="G1373" s="425"/>
      <c r="H1373" s="651"/>
      <c r="I1373" s="420">
        <v>111.67</v>
      </c>
      <c r="J1373" s="420">
        <f t="shared" si="348"/>
        <v>111.67</v>
      </c>
      <c r="K1373" s="421">
        <f t="shared" si="347"/>
        <v>132.68</v>
      </c>
      <c r="L1373" s="647" t="s">
        <v>2065</v>
      </c>
      <c r="M1373" s="576"/>
      <c r="N1373" s="576">
        <f t="shared" si="350"/>
        <v>0</v>
      </c>
      <c r="O1373" s="577">
        <f t="shared" si="344"/>
        <v>0</v>
      </c>
      <c r="P1373" s="578">
        <f t="shared" si="345"/>
        <v>0</v>
      </c>
      <c r="Q1373" s="765"/>
      <c r="R1373" s="576">
        <f t="shared" si="341"/>
        <v>0</v>
      </c>
      <c r="S1373" s="576">
        <f t="shared" si="341"/>
        <v>0</v>
      </c>
      <c r="T1373" s="577">
        <f t="shared" si="342"/>
        <v>0</v>
      </c>
      <c r="U1373" s="578">
        <f t="shared" si="343"/>
        <v>0</v>
      </c>
      <c r="V1373" s="579"/>
      <c r="W1373" s="566"/>
      <c r="X1373" s="586" t="str">
        <f t="shared" si="346"/>
        <v/>
      </c>
      <c r="Y1373" s="586" t="str">
        <f t="shared" si="340"/>
        <v/>
      </c>
      <c r="Z1373" s="586" t="str">
        <f t="shared" si="349"/>
        <v/>
      </c>
    </row>
    <row r="1374" spans="1:26" ht="23.25" hidden="1" thickBot="1" x14ac:dyDescent="0.25">
      <c r="A1374" s="567">
        <v>101893</v>
      </c>
      <c r="B1374" s="644">
        <v>101893</v>
      </c>
      <c r="C1374" s="645" t="s">
        <v>670</v>
      </c>
      <c r="D1374" s="422" t="s">
        <v>1225</v>
      </c>
      <c r="E1374" s="423"/>
      <c r="F1374" s="424"/>
      <c r="G1374" s="425"/>
      <c r="H1374" s="651"/>
      <c r="I1374" s="420">
        <v>108.95</v>
      </c>
      <c r="J1374" s="420">
        <f t="shared" si="348"/>
        <v>108.95</v>
      </c>
      <c r="K1374" s="421">
        <f t="shared" si="347"/>
        <v>129.44</v>
      </c>
      <c r="L1374" s="647" t="s">
        <v>2065</v>
      </c>
      <c r="M1374" s="576"/>
      <c r="N1374" s="576">
        <f t="shared" si="350"/>
        <v>0</v>
      </c>
      <c r="O1374" s="577">
        <f t="shared" si="344"/>
        <v>0</v>
      </c>
      <c r="P1374" s="578">
        <f t="shared" si="345"/>
        <v>0</v>
      </c>
      <c r="Q1374" s="765"/>
      <c r="R1374" s="576">
        <f t="shared" si="341"/>
        <v>0</v>
      </c>
      <c r="S1374" s="576">
        <f t="shared" si="341"/>
        <v>0</v>
      </c>
      <c r="T1374" s="577">
        <f t="shared" si="342"/>
        <v>0</v>
      </c>
      <c r="U1374" s="578">
        <f t="shared" si="343"/>
        <v>0</v>
      </c>
      <c r="V1374" s="579"/>
      <c r="W1374" s="566"/>
      <c r="X1374" s="586" t="str">
        <f t="shared" si="346"/>
        <v/>
      </c>
      <c r="Y1374" s="586" t="str">
        <f t="shared" si="340"/>
        <v/>
      </c>
      <c r="Z1374" s="586" t="str">
        <f t="shared" si="349"/>
        <v/>
      </c>
    </row>
    <row r="1375" spans="1:26" ht="23.25" hidden="1" thickBot="1" x14ac:dyDescent="0.25">
      <c r="A1375" s="567">
        <v>101894</v>
      </c>
      <c r="B1375" s="644">
        <v>101894</v>
      </c>
      <c r="C1375" s="645" t="s">
        <v>670</v>
      </c>
      <c r="D1375" s="422" t="s">
        <v>1226</v>
      </c>
      <c r="E1375" s="423"/>
      <c r="F1375" s="424"/>
      <c r="G1375" s="425"/>
      <c r="H1375" s="651"/>
      <c r="I1375" s="420">
        <v>182.13</v>
      </c>
      <c r="J1375" s="420">
        <f t="shared" si="348"/>
        <v>182.13</v>
      </c>
      <c r="K1375" s="421">
        <f t="shared" si="347"/>
        <v>216.39</v>
      </c>
      <c r="L1375" s="647" t="s">
        <v>2065</v>
      </c>
      <c r="M1375" s="576"/>
      <c r="N1375" s="576">
        <f t="shared" si="350"/>
        <v>0</v>
      </c>
      <c r="O1375" s="577">
        <f t="shared" si="344"/>
        <v>0</v>
      </c>
      <c r="P1375" s="578">
        <f t="shared" si="345"/>
        <v>0</v>
      </c>
      <c r="Q1375" s="765"/>
      <c r="R1375" s="576">
        <f t="shared" si="341"/>
        <v>0</v>
      </c>
      <c r="S1375" s="576">
        <f t="shared" si="341"/>
        <v>0</v>
      </c>
      <c r="T1375" s="577">
        <f t="shared" si="342"/>
        <v>0</v>
      </c>
      <c r="U1375" s="578">
        <f t="shared" si="343"/>
        <v>0</v>
      </c>
      <c r="V1375" s="579"/>
      <c r="W1375" s="566"/>
      <c r="X1375" s="586" t="str">
        <f t="shared" si="346"/>
        <v/>
      </c>
      <c r="Y1375" s="586" t="str">
        <f t="shared" si="340"/>
        <v/>
      </c>
      <c r="Z1375" s="586" t="str">
        <f t="shared" si="349"/>
        <v/>
      </c>
    </row>
    <row r="1376" spans="1:26" ht="23.25" hidden="1" thickBot="1" x14ac:dyDescent="0.25">
      <c r="A1376" s="567">
        <v>101663</v>
      </c>
      <c r="B1376" s="644">
        <v>101663</v>
      </c>
      <c r="C1376" s="645" t="s">
        <v>670</v>
      </c>
      <c r="D1376" s="422" t="s">
        <v>1227</v>
      </c>
      <c r="E1376" s="423"/>
      <c r="F1376" s="424"/>
      <c r="G1376" s="425"/>
      <c r="H1376" s="651"/>
      <c r="I1376" s="420">
        <v>26.57</v>
      </c>
      <c r="J1376" s="420">
        <f t="shared" si="348"/>
        <v>26.57</v>
      </c>
      <c r="K1376" s="421">
        <f t="shared" si="347"/>
        <v>31.57</v>
      </c>
      <c r="L1376" s="647" t="s">
        <v>2065</v>
      </c>
      <c r="M1376" s="576"/>
      <c r="N1376" s="576">
        <f t="shared" si="350"/>
        <v>0</v>
      </c>
      <c r="O1376" s="577">
        <f t="shared" si="344"/>
        <v>0</v>
      </c>
      <c r="P1376" s="578">
        <f t="shared" si="345"/>
        <v>0</v>
      </c>
      <c r="Q1376" s="765"/>
      <c r="R1376" s="576">
        <f t="shared" si="341"/>
        <v>0</v>
      </c>
      <c r="S1376" s="576">
        <f t="shared" si="341"/>
        <v>0</v>
      </c>
      <c r="T1376" s="577">
        <f t="shared" si="342"/>
        <v>0</v>
      </c>
      <c r="U1376" s="578">
        <f t="shared" si="343"/>
        <v>0</v>
      </c>
      <c r="V1376" s="579"/>
      <c r="W1376" s="566"/>
      <c r="X1376" s="586" t="str">
        <f t="shared" si="346"/>
        <v/>
      </c>
      <c r="Y1376" s="586" t="str">
        <f t="shared" si="340"/>
        <v/>
      </c>
      <c r="Z1376" s="586" t="str">
        <f t="shared" si="349"/>
        <v/>
      </c>
    </row>
    <row r="1377" spans="1:26" ht="23.25" hidden="1" thickBot="1" x14ac:dyDescent="0.25">
      <c r="A1377" s="567">
        <v>101664</v>
      </c>
      <c r="B1377" s="644">
        <v>101664</v>
      </c>
      <c r="C1377" s="645" t="s">
        <v>670</v>
      </c>
      <c r="D1377" s="422" t="s">
        <v>1228</v>
      </c>
      <c r="E1377" s="423"/>
      <c r="F1377" s="424"/>
      <c r="G1377" s="425"/>
      <c r="H1377" s="651"/>
      <c r="I1377" s="420">
        <v>27.65</v>
      </c>
      <c r="J1377" s="420">
        <f t="shared" si="348"/>
        <v>27.65</v>
      </c>
      <c r="K1377" s="421">
        <f t="shared" si="347"/>
        <v>32.85</v>
      </c>
      <c r="L1377" s="647" t="s">
        <v>2065</v>
      </c>
      <c r="M1377" s="576"/>
      <c r="N1377" s="576">
        <f t="shared" si="350"/>
        <v>0</v>
      </c>
      <c r="O1377" s="577">
        <f t="shared" si="344"/>
        <v>0</v>
      </c>
      <c r="P1377" s="578">
        <f t="shared" si="345"/>
        <v>0</v>
      </c>
      <c r="Q1377" s="765"/>
      <c r="R1377" s="576">
        <f t="shared" si="341"/>
        <v>0</v>
      </c>
      <c r="S1377" s="576">
        <f t="shared" si="341"/>
        <v>0</v>
      </c>
      <c r="T1377" s="577">
        <f t="shared" si="342"/>
        <v>0</v>
      </c>
      <c r="U1377" s="578">
        <f t="shared" si="343"/>
        <v>0</v>
      </c>
      <c r="V1377" s="579"/>
      <c r="W1377" s="566"/>
      <c r="X1377" s="586" t="str">
        <f t="shared" si="346"/>
        <v/>
      </c>
      <c r="Y1377" s="586" t="str">
        <f t="shared" si="340"/>
        <v/>
      </c>
      <c r="Z1377" s="586" t="str">
        <f t="shared" si="349"/>
        <v/>
      </c>
    </row>
    <row r="1378" spans="1:26" ht="23.25" hidden="1" thickBot="1" x14ac:dyDescent="0.25">
      <c r="A1378" s="567">
        <v>101665</v>
      </c>
      <c r="B1378" s="644">
        <v>101665</v>
      </c>
      <c r="C1378" s="645" t="s">
        <v>670</v>
      </c>
      <c r="D1378" s="422" t="s">
        <v>1229</v>
      </c>
      <c r="E1378" s="423"/>
      <c r="F1378" s="424"/>
      <c r="G1378" s="425"/>
      <c r="H1378" s="651"/>
      <c r="I1378" s="420">
        <v>32.299999999999997</v>
      </c>
      <c r="J1378" s="420">
        <f t="shared" si="348"/>
        <v>32.299999999999997</v>
      </c>
      <c r="K1378" s="421">
        <f t="shared" si="347"/>
        <v>38.380000000000003</v>
      </c>
      <c r="L1378" s="647" t="s">
        <v>2065</v>
      </c>
      <c r="M1378" s="576"/>
      <c r="N1378" s="576">
        <f t="shared" si="350"/>
        <v>0</v>
      </c>
      <c r="O1378" s="577">
        <f t="shared" si="344"/>
        <v>0</v>
      </c>
      <c r="P1378" s="578">
        <f t="shared" si="345"/>
        <v>0</v>
      </c>
      <c r="Q1378" s="765"/>
      <c r="R1378" s="576">
        <f t="shared" si="341"/>
        <v>0</v>
      </c>
      <c r="S1378" s="576">
        <f t="shared" si="341"/>
        <v>0</v>
      </c>
      <c r="T1378" s="577">
        <f t="shared" si="342"/>
        <v>0</v>
      </c>
      <c r="U1378" s="578">
        <f t="shared" si="343"/>
        <v>0</v>
      </c>
      <c r="V1378" s="579"/>
      <c r="W1378" s="566"/>
      <c r="X1378" s="586" t="str">
        <f t="shared" si="346"/>
        <v/>
      </c>
      <c r="Y1378" s="586" t="str">
        <f t="shared" si="340"/>
        <v/>
      </c>
      <c r="Z1378" s="586" t="str">
        <f t="shared" si="349"/>
        <v/>
      </c>
    </row>
    <row r="1379" spans="1:26" ht="23.25" hidden="1" thickBot="1" x14ac:dyDescent="0.25">
      <c r="A1379" s="567">
        <v>101895</v>
      </c>
      <c r="B1379" s="644">
        <v>101895</v>
      </c>
      <c r="C1379" s="645" t="s">
        <v>670</v>
      </c>
      <c r="D1379" s="422" t="s">
        <v>1230</v>
      </c>
      <c r="E1379" s="423"/>
      <c r="F1379" s="424"/>
      <c r="G1379" s="425"/>
      <c r="H1379" s="651"/>
      <c r="I1379" s="420">
        <v>502.46</v>
      </c>
      <c r="J1379" s="420">
        <f t="shared" si="348"/>
        <v>502.46</v>
      </c>
      <c r="K1379" s="421">
        <f t="shared" si="347"/>
        <v>596.97</v>
      </c>
      <c r="L1379" s="647" t="s">
        <v>2065</v>
      </c>
      <c r="M1379" s="576"/>
      <c r="N1379" s="576">
        <f t="shared" si="350"/>
        <v>0</v>
      </c>
      <c r="O1379" s="577">
        <f t="shared" si="344"/>
        <v>0</v>
      </c>
      <c r="P1379" s="578">
        <f t="shared" si="345"/>
        <v>0</v>
      </c>
      <c r="Q1379" s="765"/>
      <c r="R1379" s="576">
        <f t="shared" si="341"/>
        <v>0</v>
      </c>
      <c r="S1379" s="576">
        <f t="shared" si="341"/>
        <v>0</v>
      </c>
      <c r="T1379" s="577">
        <f t="shared" si="342"/>
        <v>0</v>
      </c>
      <c r="U1379" s="578">
        <f t="shared" si="343"/>
        <v>0</v>
      </c>
      <c r="V1379" s="579"/>
      <c r="W1379" s="566"/>
      <c r="X1379" s="586" t="str">
        <f t="shared" si="346"/>
        <v/>
      </c>
      <c r="Y1379" s="586" t="str">
        <f t="shared" ref="Y1379:Y1442" si="351">IF(W1379="X","x",IF(W1379="y","x",IF(W1379="xx","x",IF(U1379&gt;0,"x",""))))</f>
        <v/>
      </c>
      <c r="Z1379" s="586" t="str">
        <f t="shared" si="349"/>
        <v/>
      </c>
    </row>
    <row r="1380" spans="1:26" ht="23.25" hidden="1" thickBot="1" x14ac:dyDescent="0.25">
      <c r="A1380" s="567">
        <v>101896</v>
      </c>
      <c r="B1380" s="644">
        <v>101896</v>
      </c>
      <c r="C1380" s="645" t="s">
        <v>670</v>
      </c>
      <c r="D1380" s="422" t="s">
        <v>1231</v>
      </c>
      <c r="E1380" s="423"/>
      <c r="F1380" s="424"/>
      <c r="G1380" s="425"/>
      <c r="H1380" s="651"/>
      <c r="I1380" s="420">
        <v>758.3</v>
      </c>
      <c r="J1380" s="420">
        <f t="shared" si="348"/>
        <v>758.3</v>
      </c>
      <c r="K1380" s="421">
        <f t="shared" si="347"/>
        <v>900.94</v>
      </c>
      <c r="L1380" s="647" t="s">
        <v>2065</v>
      </c>
      <c r="M1380" s="576"/>
      <c r="N1380" s="576">
        <f t="shared" si="350"/>
        <v>0</v>
      </c>
      <c r="O1380" s="577">
        <f t="shared" si="344"/>
        <v>0</v>
      </c>
      <c r="P1380" s="578">
        <f t="shared" si="345"/>
        <v>0</v>
      </c>
      <c r="Q1380" s="765"/>
      <c r="R1380" s="576">
        <f t="shared" si="341"/>
        <v>0</v>
      </c>
      <c r="S1380" s="576">
        <f t="shared" si="341"/>
        <v>0</v>
      </c>
      <c r="T1380" s="577">
        <f t="shared" si="342"/>
        <v>0</v>
      </c>
      <c r="U1380" s="578">
        <f t="shared" si="343"/>
        <v>0</v>
      </c>
      <c r="V1380" s="579"/>
      <c r="W1380" s="566"/>
      <c r="X1380" s="586" t="str">
        <f t="shared" si="346"/>
        <v/>
      </c>
      <c r="Y1380" s="586" t="str">
        <f t="shared" si="351"/>
        <v/>
      </c>
      <c r="Z1380" s="586" t="str">
        <f t="shared" si="349"/>
        <v/>
      </c>
    </row>
    <row r="1381" spans="1:26" ht="23.25" hidden="1" thickBot="1" x14ac:dyDescent="0.25">
      <c r="A1381" s="567">
        <v>101897</v>
      </c>
      <c r="B1381" s="644">
        <v>101897</v>
      </c>
      <c r="C1381" s="645" t="s">
        <v>670</v>
      </c>
      <c r="D1381" s="422" t="s">
        <v>1232</v>
      </c>
      <c r="E1381" s="423"/>
      <c r="F1381" s="424"/>
      <c r="G1381" s="425"/>
      <c r="H1381" s="651"/>
      <c r="I1381" s="420">
        <v>1217.54</v>
      </c>
      <c r="J1381" s="420">
        <f t="shared" si="348"/>
        <v>1217.54</v>
      </c>
      <c r="K1381" s="421">
        <f t="shared" si="347"/>
        <v>1446.56</v>
      </c>
      <c r="L1381" s="647" t="s">
        <v>2065</v>
      </c>
      <c r="M1381" s="576"/>
      <c r="N1381" s="576">
        <f t="shared" si="350"/>
        <v>0</v>
      </c>
      <c r="O1381" s="577">
        <f t="shared" si="344"/>
        <v>0</v>
      </c>
      <c r="P1381" s="578">
        <f t="shared" si="345"/>
        <v>0</v>
      </c>
      <c r="Q1381" s="765"/>
      <c r="R1381" s="576">
        <f t="shared" si="341"/>
        <v>0</v>
      </c>
      <c r="S1381" s="576">
        <f t="shared" si="341"/>
        <v>0</v>
      </c>
      <c r="T1381" s="577">
        <f t="shared" si="342"/>
        <v>0</v>
      </c>
      <c r="U1381" s="578">
        <f t="shared" si="343"/>
        <v>0</v>
      </c>
      <c r="V1381" s="579"/>
      <c r="W1381" s="566"/>
      <c r="X1381" s="586" t="str">
        <f t="shared" si="346"/>
        <v/>
      </c>
      <c r="Y1381" s="586" t="str">
        <f t="shared" si="351"/>
        <v/>
      </c>
      <c r="Z1381" s="586" t="str">
        <f t="shared" si="349"/>
        <v/>
      </c>
    </row>
    <row r="1382" spans="1:26" ht="23.25" hidden="1" thickBot="1" x14ac:dyDescent="0.25">
      <c r="A1382" s="567">
        <v>101898</v>
      </c>
      <c r="B1382" s="644">
        <v>101898</v>
      </c>
      <c r="C1382" s="645" t="s">
        <v>670</v>
      </c>
      <c r="D1382" s="422" t="s">
        <v>1233</v>
      </c>
      <c r="E1382" s="423"/>
      <c r="F1382" s="424"/>
      <c r="G1382" s="425"/>
      <c r="H1382" s="651"/>
      <c r="I1382" s="420">
        <v>1635.35</v>
      </c>
      <c r="J1382" s="420">
        <f t="shared" si="348"/>
        <v>1635.35</v>
      </c>
      <c r="K1382" s="421">
        <f t="shared" si="347"/>
        <v>1942.96</v>
      </c>
      <c r="L1382" s="647" t="s">
        <v>2065</v>
      </c>
      <c r="M1382" s="576"/>
      <c r="N1382" s="576">
        <f t="shared" si="350"/>
        <v>0</v>
      </c>
      <c r="O1382" s="577">
        <f t="shared" si="344"/>
        <v>0</v>
      </c>
      <c r="P1382" s="578">
        <f t="shared" si="345"/>
        <v>0</v>
      </c>
      <c r="Q1382" s="765"/>
      <c r="R1382" s="576">
        <f t="shared" si="341"/>
        <v>0</v>
      </c>
      <c r="S1382" s="576">
        <f t="shared" si="341"/>
        <v>0</v>
      </c>
      <c r="T1382" s="577">
        <f t="shared" si="342"/>
        <v>0</v>
      </c>
      <c r="U1382" s="578">
        <f t="shared" si="343"/>
        <v>0</v>
      </c>
      <c r="V1382" s="579"/>
      <c r="W1382" s="566"/>
      <c r="X1382" s="586" t="str">
        <f t="shared" si="346"/>
        <v/>
      </c>
      <c r="Y1382" s="586" t="str">
        <f t="shared" si="351"/>
        <v/>
      </c>
      <c r="Z1382" s="586" t="str">
        <f t="shared" si="349"/>
        <v/>
      </c>
    </row>
    <row r="1383" spans="1:26" ht="23.25" hidden="1" thickBot="1" x14ac:dyDescent="0.25">
      <c r="A1383" s="567">
        <v>101899</v>
      </c>
      <c r="B1383" s="644">
        <v>101899</v>
      </c>
      <c r="C1383" s="645" t="s">
        <v>670</v>
      </c>
      <c r="D1383" s="422" t="s">
        <v>1234</v>
      </c>
      <c r="E1383" s="423"/>
      <c r="F1383" s="424"/>
      <c r="G1383" s="425"/>
      <c r="H1383" s="651"/>
      <c r="I1383" s="420">
        <v>2629.16</v>
      </c>
      <c r="J1383" s="420">
        <f t="shared" si="348"/>
        <v>2629.16</v>
      </c>
      <c r="K1383" s="421">
        <f t="shared" si="347"/>
        <v>3123.7</v>
      </c>
      <c r="L1383" s="647" t="s">
        <v>2065</v>
      </c>
      <c r="M1383" s="576"/>
      <c r="N1383" s="576">
        <f t="shared" si="350"/>
        <v>0</v>
      </c>
      <c r="O1383" s="577">
        <f t="shared" si="344"/>
        <v>0</v>
      </c>
      <c r="P1383" s="578">
        <f t="shared" si="345"/>
        <v>0</v>
      </c>
      <c r="Q1383" s="765"/>
      <c r="R1383" s="576">
        <f t="shared" si="341"/>
        <v>0</v>
      </c>
      <c r="S1383" s="576">
        <f t="shared" si="341"/>
        <v>0</v>
      </c>
      <c r="T1383" s="577">
        <f t="shared" si="342"/>
        <v>0</v>
      </c>
      <c r="U1383" s="578">
        <f t="shared" si="343"/>
        <v>0</v>
      </c>
      <c r="V1383" s="579"/>
      <c r="W1383" s="566"/>
      <c r="X1383" s="586" t="str">
        <f t="shared" si="346"/>
        <v/>
      </c>
      <c r="Y1383" s="586" t="str">
        <f t="shared" si="351"/>
        <v/>
      </c>
      <c r="Z1383" s="586" t="str">
        <f t="shared" si="349"/>
        <v/>
      </c>
    </row>
    <row r="1384" spans="1:26" ht="12" hidden="1" thickBot="1" x14ac:dyDescent="0.25">
      <c r="A1384" s="567">
        <v>101900</v>
      </c>
      <c r="B1384" s="644">
        <v>101900</v>
      </c>
      <c r="C1384" s="645" t="s">
        <v>670</v>
      </c>
      <c r="D1384" s="422" t="s">
        <v>1235</v>
      </c>
      <c r="E1384" s="423"/>
      <c r="F1384" s="424"/>
      <c r="G1384" s="425"/>
      <c r="H1384" s="651"/>
      <c r="I1384" s="420">
        <v>5507.67</v>
      </c>
      <c r="J1384" s="420">
        <f t="shared" si="348"/>
        <v>5507.67</v>
      </c>
      <c r="K1384" s="421">
        <f t="shared" si="347"/>
        <v>6543.66</v>
      </c>
      <c r="L1384" s="647" t="s">
        <v>2065</v>
      </c>
      <c r="M1384" s="576"/>
      <c r="N1384" s="576">
        <f t="shared" si="350"/>
        <v>0</v>
      </c>
      <c r="O1384" s="577">
        <f t="shared" si="344"/>
        <v>0</v>
      </c>
      <c r="P1384" s="578">
        <f t="shared" si="345"/>
        <v>0</v>
      </c>
      <c r="Q1384" s="765"/>
      <c r="R1384" s="576">
        <f t="shared" si="341"/>
        <v>0</v>
      </c>
      <c r="S1384" s="576">
        <f t="shared" si="341"/>
        <v>0</v>
      </c>
      <c r="T1384" s="577">
        <f t="shared" si="342"/>
        <v>0</v>
      </c>
      <c r="U1384" s="578">
        <f t="shared" si="343"/>
        <v>0</v>
      </c>
      <c r="V1384" s="579"/>
      <c r="W1384" s="566"/>
      <c r="X1384" s="586" t="str">
        <f t="shared" si="346"/>
        <v/>
      </c>
      <c r="Y1384" s="586" t="str">
        <f t="shared" si="351"/>
        <v/>
      </c>
      <c r="Z1384" s="586" t="str">
        <f t="shared" si="349"/>
        <v/>
      </c>
    </row>
    <row r="1385" spans="1:26" ht="23.25" hidden="1" thickBot="1" x14ac:dyDescent="0.25">
      <c r="A1385" s="567">
        <v>91952</v>
      </c>
      <c r="B1385" s="644">
        <v>91952</v>
      </c>
      <c r="C1385" s="645" t="s">
        <v>670</v>
      </c>
      <c r="D1385" s="422" t="s">
        <v>1236</v>
      </c>
      <c r="E1385" s="423"/>
      <c r="F1385" s="424"/>
      <c r="G1385" s="425"/>
      <c r="H1385" s="651"/>
      <c r="I1385" s="420">
        <v>21.32</v>
      </c>
      <c r="J1385" s="420">
        <f t="shared" si="348"/>
        <v>21.32</v>
      </c>
      <c r="K1385" s="421">
        <f t="shared" si="347"/>
        <v>25.33</v>
      </c>
      <c r="L1385" s="647" t="s">
        <v>2065</v>
      </c>
      <c r="M1385" s="576"/>
      <c r="N1385" s="576">
        <f t="shared" si="350"/>
        <v>0</v>
      </c>
      <c r="O1385" s="577">
        <f t="shared" si="344"/>
        <v>0</v>
      </c>
      <c r="P1385" s="578">
        <f t="shared" si="345"/>
        <v>0</v>
      </c>
      <c r="Q1385" s="765"/>
      <c r="R1385" s="576">
        <f t="shared" si="341"/>
        <v>0</v>
      </c>
      <c r="S1385" s="576">
        <f t="shared" si="341"/>
        <v>0</v>
      </c>
      <c r="T1385" s="577">
        <f t="shared" si="342"/>
        <v>0</v>
      </c>
      <c r="U1385" s="578">
        <f t="shared" si="343"/>
        <v>0</v>
      </c>
      <c r="V1385" s="579"/>
      <c r="W1385" s="566"/>
      <c r="X1385" s="586" t="str">
        <f t="shared" si="346"/>
        <v/>
      </c>
      <c r="Y1385" s="586" t="str">
        <f t="shared" si="351"/>
        <v/>
      </c>
      <c r="Z1385" s="586" t="str">
        <f t="shared" si="349"/>
        <v/>
      </c>
    </row>
    <row r="1386" spans="1:26" ht="23.25" hidden="1" thickBot="1" x14ac:dyDescent="0.25">
      <c r="A1386" s="567">
        <v>91953</v>
      </c>
      <c r="B1386" s="644">
        <v>91953</v>
      </c>
      <c r="C1386" s="645" t="s">
        <v>670</v>
      </c>
      <c r="D1386" s="422" t="s">
        <v>1237</v>
      </c>
      <c r="E1386" s="423"/>
      <c r="F1386" s="424"/>
      <c r="G1386" s="425"/>
      <c r="H1386" s="651"/>
      <c r="I1386" s="420">
        <v>31.05</v>
      </c>
      <c r="J1386" s="420">
        <f t="shared" si="348"/>
        <v>31.05</v>
      </c>
      <c r="K1386" s="421">
        <f t="shared" si="347"/>
        <v>36.89</v>
      </c>
      <c r="L1386" s="647" t="s">
        <v>2065</v>
      </c>
      <c r="M1386" s="576"/>
      <c r="N1386" s="576">
        <f t="shared" si="350"/>
        <v>0</v>
      </c>
      <c r="O1386" s="577">
        <f t="shared" si="344"/>
        <v>0</v>
      </c>
      <c r="P1386" s="578">
        <f t="shared" si="345"/>
        <v>0</v>
      </c>
      <c r="Q1386" s="765"/>
      <c r="R1386" s="576">
        <f t="shared" ref="R1386:S1449" si="352">M1386</f>
        <v>0</v>
      </c>
      <c r="S1386" s="576">
        <f t="shared" si="352"/>
        <v>0</v>
      </c>
      <c r="T1386" s="577">
        <f t="shared" si="342"/>
        <v>0</v>
      </c>
      <c r="U1386" s="578">
        <f t="shared" si="343"/>
        <v>0</v>
      </c>
      <c r="V1386" s="579"/>
      <c r="W1386" s="566"/>
      <c r="X1386" s="586" t="str">
        <f t="shared" si="346"/>
        <v/>
      </c>
      <c r="Y1386" s="586" t="str">
        <f t="shared" si="351"/>
        <v/>
      </c>
      <c r="Z1386" s="586" t="str">
        <f t="shared" si="349"/>
        <v/>
      </c>
    </row>
    <row r="1387" spans="1:26" ht="23.25" hidden="1" thickBot="1" x14ac:dyDescent="0.25">
      <c r="A1387" s="567">
        <v>91956</v>
      </c>
      <c r="B1387" s="644">
        <v>91956</v>
      </c>
      <c r="C1387" s="645" t="s">
        <v>670</v>
      </c>
      <c r="D1387" s="422" t="s">
        <v>1238</v>
      </c>
      <c r="E1387" s="423"/>
      <c r="F1387" s="424"/>
      <c r="G1387" s="425"/>
      <c r="H1387" s="651"/>
      <c r="I1387" s="420">
        <v>46.71</v>
      </c>
      <c r="J1387" s="420">
        <f t="shared" si="348"/>
        <v>46.71</v>
      </c>
      <c r="K1387" s="421">
        <f t="shared" si="347"/>
        <v>55.5</v>
      </c>
      <c r="L1387" s="647" t="s">
        <v>2065</v>
      </c>
      <c r="M1387" s="576"/>
      <c r="N1387" s="576">
        <f t="shared" si="350"/>
        <v>0</v>
      </c>
      <c r="O1387" s="577">
        <f t="shared" si="344"/>
        <v>0</v>
      </c>
      <c r="P1387" s="578">
        <f t="shared" si="345"/>
        <v>0</v>
      </c>
      <c r="Q1387" s="765"/>
      <c r="R1387" s="576">
        <f t="shared" si="352"/>
        <v>0</v>
      </c>
      <c r="S1387" s="576">
        <f t="shared" si="352"/>
        <v>0</v>
      </c>
      <c r="T1387" s="577">
        <f t="shared" si="342"/>
        <v>0</v>
      </c>
      <c r="U1387" s="578">
        <f t="shared" si="343"/>
        <v>0</v>
      </c>
      <c r="V1387" s="579"/>
      <c r="W1387" s="566"/>
      <c r="X1387" s="586" t="str">
        <f t="shared" si="346"/>
        <v/>
      </c>
      <c r="Y1387" s="586" t="str">
        <f t="shared" si="351"/>
        <v/>
      </c>
      <c r="Z1387" s="586" t="str">
        <f t="shared" si="349"/>
        <v/>
      </c>
    </row>
    <row r="1388" spans="1:26" ht="23.25" hidden="1" thickBot="1" x14ac:dyDescent="0.25">
      <c r="A1388" s="567">
        <v>91957</v>
      </c>
      <c r="B1388" s="644">
        <v>91957</v>
      </c>
      <c r="C1388" s="645" t="s">
        <v>670</v>
      </c>
      <c r="D1388" s="422" t="s">
        <v>1239</v>
      </c>
      <c r="E1388" s="423"/>
      <c r="F1388" s="424"/>
      <c r="G1388" s="425"/>
      <c r="H1388" s="651"/>
      <c r="I1388" s="420">
        <v>56.44</v>
      </c>
      <c r="J1388" s="420">
        <f t="shared" si="348"/>
        <v>56.44</v>
      </c>
      <c r="K1388" s="421">
        <f t="shared" si="347"/>
        <v>67.06</v>
      </c>
      <c r="L1388" s="647" t="s">
        <v>2065</v>
      </c>
      <c r="M1388" s="576"/>
      <c r="N1388" s="576">
        <f t="shared" si="350"/>
        <v>0</v>
      </c>
      <c r="O1388" s="577">
        <f t="shared" si="344"/>
        <v>0</v>
      </c>
      <c r="P1388" s="578">
        <f t="shared" si="345"/>
        <v>0</v>
      </c>
      <c r="Q1388" s="765"/>
      <c r="R1388" s="576">
        <f t="shared" si="352"/>
        <v>0</v>
      </c>
      <c r="S1388" s="576">
        <f t="shared" si="352"/>
        <v>0</v>
      </c>
      <c r="T1388" s="577">
        <f t="shared" si="342"/>
        <v>0</v>
      </c>
      <c r="U1388" s="578">
        <f t="shared" si="343"/>
        <v>0</v>
      </c>
      <c r="V1388" s="579"/>
      <c r="W1388" s="566"/>
      <c r="X1388" s="586" t="str">
        <f t="shared" si="346"/>
        <v/>
      </c>
      <c r="Y1388" s="586" t="str">
        <f t="shared" si="351"/>
        <v/>
      </c>
      <c r="Z1388" s="586" t="str">
        <f t="shared" si="349"/>
        <v/>
      </c>
    </row>
    <row r="1389" spans="1:26" ht="23.25" hidden="1" thickBot="1" x14ac:dyDescent="0.25">
      <c r="A1389" s="567">
        <v>91958</v>
      </c>
      <c r="B1389" s="644">
        <v>91958</v>
      </c>
      <c r="C1389" s="645" t="s">
        <v>670</v>
      </c>
      <c r="D1389" s="422" t="s">
        <v>1240</v>
      </c>
      <c r="E1389" s="423"/>
      <c r="F1389" s="424"/>
      <c r="G1389" s="425"/>
      <c r="H1389" s="651"/>
      <c r="I1389" s="420">
        <v>39.520000000000003</v>
      </c>
      <c r="J1389" s="420">
        <f t="shared" si="348"/>
        <v>39.520000000000003</v>
      </c>
      <c r="K1389" s="421">
        <f t="shared" si="347"/>
        <v>46.95</v>
      </c>
      <c r="L1389" s="647" t="s">
        <v>2065</v>
      </c>
      <c r="M1389" s="576"/>
      <c r="N1389" s="576">
        <f t="shared" si="350"/>
        <v>0</v>
      </c>
      <c r="O1389" s="577">
        <f t="shared" si="344"/>
        <v>0</v>
      </c>
      <c r="P1389" s="578">
        <f t="shared" si="345"/>
        <v>0</v>
      </c>
      <c r="Q1389" s="765"/>
      <c r="R1389" s="576">
        <f t="shared" si="352"/>
        <v>0</v>
      </c>
      <c r="S1389" s="576">
        <f t="shared" si="352"/>
        <v>0</v>
      </c>
      <c r="T1389" s="577">
        <f t="shared" si="342"/>
        <v>0</v>
      </c>
      <c r="U1389" s="578">
        <f t="shared" si="343"/>
        <v>0</v>
      </c>
      <c r="V1389" s="579"/>
      <c r="W1389" s="566"/>
      <c r="X1389" s="586" t="str">
        <f t="shared" si="346"/>
        <v/>
      </c>
      <c r="Y1389" s="586" t="str">
        <f t="shared" si="351"/>
        <v/>
      </c>
      <c r="Z1389" s="586" t="str">
        <f t="shared" si="349"/>
        <v/>
      </c>
    </row>
    <row r="1390" spans="1:26" ht="23.25" hidden="1" thickBot="1" x14ac:dyDescent="0.25">
      <c r="A1390" s="567">
        <v>91959</v>
      </c>
      <c r="B1390" s="644">
        <v>91959</v>
      </c>
      <c r="C1390" s="645" t="s">
        <v>670</v>
      </c>
      <c r="D1390" s="422" t="s">
        <v>1241</v>
      </c>
      <c r="E1390" s="423"/>
      <c r="F1390" s="424"/>
      <c r="G1390" s="425"/>
      <c r="H1390" s="651"/>
      <c r="I1390" s="420">
        <v>49.25</v>
      </c>
      <c r="J1390" s="420">
        <f t="shared" si="348"/>
        <v>49.25</v>
      </c>
      <c r="K1390" s="421">
        <f t="shared" si="347"/>
        <v>58.51</v>
      </c>
      <c r="L1390" s="647" t="s">
        <v>2065</v>
      </c>
      <c r="M1390" s="576"/>
      <c r="N1390" s="576">
        <f t="shared" si="350"/>
        <v>0</v>
      </c>
      <c r="O1390" s="577">
        <f t="shared" si="344"/>
        <v>0</v>
      </c>
      <c r="P1390" s="578">
        <f t="shared" si="345"/>
        <v>0</v>
      </c>
      <c r="Q1390" s="765"/>
      <c r="R1390" s="576">
        <f t="shared" si="352"/>
        <v>0</v>
      </c>
      <c r="S1390" s="576">
        <f t="shared" si="352"/>
        <v>0</v>
      </c>
      <c r="T1390" s="577">
        <f t="shared" si="342"/>
        <v>0</v>
      </c>
      <c r="U1390" s="578">
        <f t="shared" si="343"/>
        <v>0</v>
      </c>
      <c r="V1390" s="579"/>
      <c r="W1390" s="566"/>
      <c r="X1390" s="586" t="str">
        <f t="shared" si="346"/>
        <v/>
      </c>
      <c r="Y1390" s="586" t="str">
        <f t="shared" si="351"/>
        <v/>
      </c>
      <c r="Z1390" s="586" t="str">
        <f t="shared" si="349"/>
        <v/>
      </c>
    </row>
    <row r="1391" spans="1:26" ht="23.25" hidden="1" thickBot="1" x14ac:dyDescent="0.25">
      <c r="A1391" s="567">
        <v>91962</v>
      </c>
      <c r="B1391" s="644">
        <v>91962</v>
      </c>
      <c r="C1391" s="645" t="s">
        <v>670</v>
      </c>
      <c r="D1391" s="422" t="s">
        <v>1242</v>
      </c>
      <c r="E1391" s="423"/>
      <c r="F1391" s="424"/>
      <c r="G1391" s="425"/>
      <c r="H1391" s="651"/>
      <c r="I1391" s="420">
        <v>72.150000000000006</v>
      </c>
      <c r="J1391" s="420">
        <f t="shared" si="348"/>
        <v>72.150000000000006</v>
      </c>
      <c r="K1391" s="421">
        <f t="shared" si="347"/>
        <v>85.72</v>
      </c>
      <c r="L1391" s="647" t="s">
        <v>2065</v>
      </c>
      <c r="M1391" s="576"/>
      <c r="N1391" s="576">
        <f t="shared" si="350"/>
        <v>0</v>
      </c>
      <c r="O1391" s="577">
        <f t="shared" si="344"/>
        <v>0</v>
      </c>
      <c r="P1391" s="578">
        <f t="shared" si="345"/>
        <v>0</v>
      </c>
      <c r="Q1391" s="765"/>
      <c r="R1391" s="576">
        <f t="shared" si="352"/>
        <v>0</v>
      </c>
      <c r="S1391" s="576">
        <f t="shared" si="352"/>
        <v>0</v>
      </c>
      <c r="T1391" s="577">
        <f t="shared" si="342"/>
        <v>0</v>
      </c>
      <c r="U1391" s="578">
        <f t="shared" si="343"/>
        <v>0</v>
      </c>
      <c r="V1391" s="579"/>
      <c r="W1391" s="566"/>
      <c r="X1391" s="586" t="str">
        <f t="shared" si="346"/>
        <v/>
      </c>
      <c r="Y1391" s="586" t="str">
        <f t="shared" si="351"/>
        <v/>
      </c>
      <c r="Z1391" s="586" t="str">
        <f t="shared" si="349"/>
        <v/>
      </c>
    </row>
    <row r="1392" spans="1:26" ht="23.25" hidden="1" thickBot="1" x14ac:dyDescent="0.25">
      <c r="A1392" s="567">
        <v>91963</v>
      </c>
      <c r="B1392" s="644">
        <v>91963</v>
      </c>
      <c r="C1392" s="645" t="s">
        <v>670</v>
      </c>
      <c r="D1392" s="422" t="s">
        <v>1243</v>
      </c>
      <c r="E1392" s="423"/>
      <c r="F1392" s="424"/>
      <c r="G1392" s="425"/>
      <c r="H1392" s="651"/>
      <c r="I1392" s="420">
        <v>81.88</v>
      </c>
      <c r="J1392" s="420">
        <f t="shared" si="348"/>
        <v>81.88</v>
      </c>
      <c r="K1392" s="421">
        <f t="shared" si="347"/>
        <v>97.28</v>
      </c>
      <c r="L1392" s="647" t="s">
        <v>2065</v>
      </c>
      <c r="M1392" s="576"/>
      <c r="N1392" s="576">
        <f t="shared" si="350"/>
        <v>0</v>
      </c>
      <c r="O1392" s="577">
        <f t="shared" si="344"/>
        <v>0</v>
      </c>
      <c r="P1392" s="578">
        <f t="shared" si="345"/>
        <v>0</v>
      </c>
      <c r="Q1392" s="765"/>
      <c r="R1392" s="576">
        <f t="shared" si="352"/>
        <v>0</v>
      </c>
      <c r="S1392" s="576">
        <f t="shared" si="352"/>
        <v>0</v>
      </c>
      <c r="T1392" s="577">
        <f t="shared" si="342"/>
        <v>0</v>
      </c>
      <c r="U1392" s="578">
        <f t="shared" si="343"/>
        <v>0</v>
      </c>
      <c r="V1392" s="579"/>
      <c r="W1392" s="566"/>
      <c r="X1392" s="586" t="str">
        <f t="shared" si="346"/>
        <v/>
      </c>
      <c r="Y1392" s="586" t="str">
        <f t="shared" si="351"/>
        <v/>
      </c>
      <c r="Z1392" s="586" t="str">
        <f t="shared" si="349"/>
        <v/>
      </c>
    </row>
    <row r="1393" spans="1:26" ht="23.25" hidden="1" thickBot="1" x14ac:dyDescent="0.25">
      <c r="A1393" s="567">
        <v>91964</v>
      </c>
      <c r="B1393" s="644">
        <v>91964</v>
      </c>
      <c r="C1393" s="645" t="s">
        <v>670</v>
      </c>
      <c r="D1393" s="422" t="s">
        <v>1244</v>
      </c>
      <c r="E1393" s="423"/>
      <c r="F1393" s="424"/>
      <c r="G1393" s="425"/>
      <c r="H1393" s="651"/>
      <c r="I1393" s="420">
        <v>64.91</v>
      </c>
      <c r="J1393" s="420">
        <f t="shared" si="348"/>
        <v>64.91</v>
      </c>
      <c r="K1393" s="421">
        <f t="shared" si="347"/>
        <v>77.12</v>
      </c>
      <c r="L1393" s="647" t="s">
        <v>2065</v>
      </c>
      <c r="M1393" s="576"/>
      <c r="N1393" s="576">
        <f t="shared" si="350"/>
        <v>0</v>
      </c>
      <c r="O1393" s="577">
        <f t="shared" si="344"/>
        <v>0</v>
      </c>
      <c r="P1393" s="578">
        <f t="shared" si="345"/>
        <v>0</v>
      </c>
      <c r="Q1393" s="765"/>
      <c r="R1393" s="576">
        <f t="shared" si="352"/>
        <v>0</v>
      </c>
      <c r="S1393" s="576">
        <f t="shared" si="352"/>
        <v>0</v>
      </c>
      <c r="T1393" s="577">
        <f t="shared" si="342"/>
        <v>0</v>
      </c>
      <c r="U1393" s="578">
        <f t="shared" si="343"/>
        <v>0</v>
      </c>
      <c r="V1393" s="579"/>
      <c r="W1393" s="566"/>
      <c r="X1393" s="586" t="str">
        <f t="shared" si="346"/>
        <v/>
      </c>
      <c r="Y1393" s="586" t="str">
        <f t="shared" si="351"/>
        <v/>
      </c>
      <c r="Z1393" s="586" t="str">
        <f t="shared" si="349"/>
        <v/>
      </c>
    </row>
    <row r="1394" spans="1:26" ht="23.25" hidden="1" thickBot="1" x14ac:dyDescent="0.25">
      <c r="A1394" s="567">
        <v>91965</v>
      </c>
      <c r="B1394" s="644">
        <v>91965</v>
      </c>
      <c r="C1394" s="645" t="s">
        <v>670</v>
      </c>
      <c r="D1394" s="422" t="s">
        <v>1245</v>
      </c>
      <c r="E1394" s="423"/>
      <c r="F1394" s="424"/>
      <c r="G1394" s="425"/>
      <c r="H1394" s="651"/>
      <c r="I1394" s="420">
        <v>74.64</v>
      </c>
      <c r="J1394" s="420">
        <f t="shared" si="348"/>
        <v>74.64</v>
      </c>
      <c r="K1394" s="421">
        <f t="shared" si="347"/>
        <v>88.68</v>
      </c>
      <c r="L1394" s="647" t="s">
        <v>2065</v>
      </c>
      <c r="M1394" s="576"/>
      <c r="N1394" s="576">
        <f t="shared" si="350"/>
        <v>0</v>
      </c>
      <c r="O1394" s="577">
        <f t="shared" si="344"/>
        <v>0</v>
      </c>
      <c r="P1394" s="578">
        <f t="shared" si="345"/>
        <v>0</v>
      </c>
      <c r="Q1394" s="765"/>
      <c r="R1394" s="576">
        <f t="shared" si="352"/>
        <v>0</v>
      </c>
      <c r="S1394" s="576">
        <f t="shared" si="352"/>
        <v>0</v>
      </c>
      <c r="T1394" s="577">
        <f t="shared" si="342"/>
        <v>0</v>
      </c>
      <c r="U1394" s="578">
        <f t="shared" si="343"/>
        <v>0</v>
      </c>
      <c r="V1394" s="579"/>
      <c r="W1394" s="566"/>
      <c r="X1394" s="586" t="str">
        <f t="shared" si="346"/>
        <v/>
      </c>
      <c r="Y1394" s="586" t="str">
        <f t="shared" si="351"/>
        <v/>
      </c>
      <c r="Z1394" s="586" t="str">
        <f t="shared" si="349"/>
        <v/>
      </c>
    </row>
    <row r="1395" spans="1:26" ht="23.25" hidden="1" thickBot="1" x14ac:dyDescent="0.25">
      <c r="A1395" s="567">
        <v>91966</v>
      </c>
      <c r="B1395" s="644">
        <v>91966</v>
      </c>
      <c r="C1395" s="645" t="s">
        <v>670</v>
      </c>
      <c r="D1395" s="422" t="s">
        <v>1246</v>
      </c>
      <c r="E1395" s="423"/>
      <c r="F1395" s="424"/>
      <c r="G1395" s="425"/>
      <c r="H1395" s="651"/>
      <c r="I1395" s="420">
        <v>57.72</v>
      </c>
      <c r="J1395" s="420">
        <f t="shared" si="348"/>
        <v>57.72</v>
      </c>
      <c r="K1395" s="421">
        <f t="shared" si="347"/>
        <v>68.58</v>
      </c>
      <c r="L1395" s="647" t="s">
        <v>2065</v>
      </c>
      <c r="M1395" s="576"/>
      <c r="N1395" s="576">
        <f t="shared" si="350"/>
        <v>0</v>
      </c>
      <c r="O1395" s="577">
        <f t="shared" si="344"/>
        <v>0</v>
      </c>
      <c r="P1395" s="578">
        <f t="shared" si="345"/>
        <v>0</v>
      </c>
      <c r="Q1395" s="765"/>
      <c r="R1395" s="576">
        <f t="shared" si="352"/>
        <v>0</v>
      </c>
      <c r="S1395" s="576">
        <f t="shared" si="352"/>
        <v>0</v>
      </c>
      <c r="T1395" s="577">
        <f t="shared" si="342"/>
        <v>0</v>
      </c>
      <c r="U1395" s="578">
        <f t="shared" si="343"/>
        <v>0</v>
      </c>
      <c r="V1395" s="579"/>
      <c r="W1395" s="566"/>
      <c r="X1395" s="586" t="str">
        <f t="shared" si="346"/>
        <v/>
      </c>
      <c r="Y1395" s="586" t="str">
        <f t="shared" si="351"/>
        <v/>
      </c>
      <c r="Z1395" s="586" t="str">
        <f t="shared" si="349"/>
        <v/>
      </c>
    </row>
    <row r="1396" spans="1:26" ht="23.25" hidden="1" thickBot="1" x14ac:dyDescent="0.25">
      <c r="A1396" s="567">
        <v>91967</v>
      </c>
      <c r="B1396" s="644">
        <v>91967</v>
      </c>
      <c r="C1396" s="645" t="s">
        <v>670</v>
      </c>
      <c r="D1396" s="422" t="s">
        <v>1247</v>
      </c>
      <c r="E1396" s="423"/>
      <c r="F1396" s="424"/>
      <c r="G1396" s="425"/>
      <c r="H1396" s="651"/>
      <c r="I1396" s="420">
        <v>67.45</v>
      </c>
      <c r="J1396" s="420">
        <f t="shared" si="348"/>
        <v>67.45</v>
      </c>
      <c r="K1396" s="421">
        <f t="shared" si="347"/>
        <v>80.14</v>
      </c>
      <c r="L1396" s="647" t="s">
        <v>2065</v>
      </c>
      <c r="M1396" s="576"/>
      <c r="N1396" s="576">
        <f t="shared" si="350"/>
        <v>0</v>
      </c>
      <c r="O1396" s="577">
        <f t="shared" si="344"/>
        <v>0</v>
      </c>
      <c r="P1396" s="578">
        <f t="shared" si="345"/>
        <v>0</v>
      </c>
      <c r="Q1396" s="765"/>
      <c r="R1396" s="576">
        <f t="shared" si="352"/>
        <v>0</v>
      </c>
      <c r="S1396" s="576">
        <f t="shared" si="352"/>
        <v>0</v>
      </c>
      <c r="T1396" s="577">
        <f t="shared" ref="T1396:T1459" si="353">IF(ISBLANK(R1396),0,ROUND(K1396*R1396,2))</f>
        <v>0</v>
      </c>
      <c r="U1396" s="578">
        <f t="shared" ref="U1396:U1459" si="354">IF(ISBLANK(R1396),0,ROUND(R1396*S1396,2))</f>
        <v>0</v>
      </c>
      <c r="V1396" s="579"/>
      <c r="W1396" s="566"/>
      <c r="X1396" s="586" t="str">
        <f t="shared" si="346"/>
        <v/>
      </c>
      <c r="Y1396" s="586" t="str">
        <f t="shared" si="351"/>
        <v/>
      </c>
      <c r="Z1396" s="586" t="str">
        <f t="shared" si="349"/>
        <v/>
      </c>
    </row>
    <row r="1397" spans="1:26" ht="23.25" hidden="1" thickBot="1" x14ac:dyDescent="0.25">
      <c r="A1397" s="567">
        <v>91970</v>
      </c>
      <c r="B1397" s="644">
        <v>91970</v>
      </c>
      <c r="C1397" s="645" t="s">
        <v>670</v>
      </c>
      <c r="D1397" s="422" t="s">
        <v>1248</v>
      </c>
      <c r="E1397" s="423"/>
      <c r="F1397" s="424"/>
      <c r="G1397" s="425"/>
      <c r="H1397" s="651"/>
      <c r="I1397" s="420">
        <v>83.48</v>
      </c>
      <c r="J1397" s="420">
        <f t="shared" si="348"/>
        <v>83.48</v>
      </c>
      <c r="K1397" s="421">
        <f t="shared" si="347"/>
        <v>99.18</v>
      </c>
      <c r="L1397" s="647" t="s">
        <v>2065</v>
      </c>
      <c r="M1397" s="576"/>
      <c r="N1397" s="576">
        <f t="shared" si="350"/>
        <v>0</v>
      </c>
      <c r="O1397" s="577">
        <f t="shared" ref="O1397:O1460" si="355">IF(ISBLANK(M1397),0,ROUND(K1397*M1397,2))</f>
        <v>0</v>
      </c>
      <c r="P1397" s="578">
        <f t="shared" ref="P1397:P1460" si="356">IF(ISBLANK(N1397),0,ROUND(M1397*N1397,2))</f>
        <v>0</v>
      </c>
      <c r="Q1397" s="765"/>
      <c r="R1397" s="576">
        <f t="shared" si="352"/>
        <v>0</v>
      </c>
      <c r="S1397" s="576">
        <f t="shared" si="352"/>
        <v>0</v>
      </c>
      <c r="T1397" s="577">
        <f t="shared" si="353"/>
        <v>0</v>
      </c>
      <c r="U1397" s="578">
        <f t="shared" si="354"/>
        <v>0</v>
      </c>
      <c r="V1397" s="579"/>
      <c r="W1397" s="566"/>
      <c r="X1397" s="586" t="str">
        <f t="shared" si="346"/>
        <v/>
      </c>
      <c r="Y1397" s="586" t="str">
        <f t="shared" si="351"/>
        <v/>
      </c>
      <c r="Z1397" s="586" t="str">
        <f t="shared" si="349"/>
        <v/>
      </c>
    </row>
    <row r="1398" spans="1:26" ht="23.25" hidden="1" thickBot="1" x14ac:dyDescent="0.25">
      <c r="A1398" s="567">
        <v>91971</v>
      </c>
      <c r="B1398" s="644">
        <v>91971</v>
      </c>
      <c r="C1398" s="645" t="s">
        <v>670</v>
      </c>
      <c r="D1398" s="422" t="s">
        <v>1249</v>
      </c>
      <c r="E1398" s="423"/>
      <c r="F1398" s="424"/>
      <c r="G1398" s="425"/>
      <c r="H1398" s="651"/>
      <c r="I1398" s="420">
        <v>99.37</v>
      </c>
      <c r="J1398" s="420">
        <f t="shared" si="348"/>
        <v>99.37</v>
      </c>
      <c r="K1398" s="421">
        <f t="shared" si="347"/>
        <v>118.06</v>
      </c>
      <c r="L1398" s="647" t="s">
        <v>2065</v>
      </c>
      <c r="M1398" s="576"/>
      <c r="N1398" s="576">
        <f t="shared" si="350"/>
        <v>0</v>
      </c>
      <c r="O1398" s="577">
        <f t="shared" si="355"/>
        <v>0</v>
      </c>
      <c r="P1398" s="578">
        <f t="shared" si="356"/>
        <v>0</v>
      </c>
      <c r="Q1398" s="765"/>
      <c r="R1398" s="576">
        <f t="shared" si="352"/>
        <v>0</v>
      </c>
      <c r="S1398" s="576">
        <f t="shared" si="352"/>
        <v>0</v>
      </c>
      <c r="T1398" s="577">
        <f t="shared" si="353"/>
        <v>0</v>
      </c>
      <c r="U1398" s="578">
        <f t="shared" si="354"/>
        <v>0</v>
      </c>
      <c r="V1398" s="579"/>
      <c r="W1398" s="566"/>
      <c r="X1398" s="586" t="str">
        <f t="shared" si="346"/>
        <v/>
      </c>
      <c r="Y1398" s="586" t="str">
        <f t="shared" si="351"/>
        <v/>
      </c>
      <c r="Z1398" s="586" t="str">
        <f t="shared" si="349"/>
        <v/>
      </c>
    </row>
    <row r="1399" spans="1:26" ht="23.25" hidden="1" thickBot="1" x14ac:dyDescent="0.25">
      <c r="A1399" s="567">
        <v>91972</v>
      </c>
      <c r="B1399" s="644">
        <v>91972</v>
      </c>
      <c r="C1399" s="645" t="s">
        <v>670</v>
      </c>
      <c r="D1399" s="422" t="s">
        <v>1250</v>
      </c>
      <c r="E1399" s="423"/>
      <c r="F1399" s="424"/>
      <c r="G1399" s="425"/>
      <c r="H1399" s="651"/>
      <c r="I1399" s="420">
        <v>90.73</v>
      </c>
      <c r="J1399" s="420">
        <f t="shared" si="348"/>
        <v>90.73</v>
      </c>
      <c r="K1399" s="421">
        <f t="shared" si="347"/>
        <v>107.8</v>
      </c>
      <c r="L1399" s="647" t="s">
        <v>2065</v>
      </c>
      <c r="M1399" s="576"/>
      <c r="N1399" s="576">
        <f t="shared" si="350"/>
        <v>0</v>
      </c>
      <c r="O1399" s="577">
        <f t="shared" si="355"/>
        <v>0</v>
      </c>
      <c r="P1399" s="578">
        <f t="shared" si="356"/>
        <v>0</v>
      </c>
      <c r="Q1399" s="765"/>
      <c r="R1399" s="576">
        <f t="shared" si="352"/>
        <v>0</v>
      </c>
      <c r="S1399" s="576">
        <f t="shared" si="352"/>
        <v>0</v>
      </c>
      <c r="T1399" s="577">
        <f t="shared" si="353"/>
        <v>0</v>
      </c>
      <c r="U1399" s="578">
        <f t="shared" si="354"/>
        <v>0</v>
      </c>
      <c r="V1399" s="579"/>
      <c r="W1399" s="566"/>
      <c r="X1399" s="586" t="str">
        <f t="shared" si="346"/>
        <v/>
      </c>
      <c r="Y1399" s="586" t="str">
        <f t="shared" si="351"/>
        <v/>
      </c>
      <c r="Z1399" s="586" t="str">
        <f t="shared" si="349"/>
        <v/>
      </c>
    </row>
    <row r="1400" spans="1:26" ht="23.25" hidden="1" thickBot="1" x14ac:dyDescent="0.25">
      <c r="A1400" s="567">
        <v>91973</v>
      </c>
      <c r="B1400" s="644">
        <v>91973</v>
      </c>
      <c r="C1400" s="645" t="s">
        <v>670</v>
      </c>
      <c r="D1400" s="422" t="s">
        <v>1251</v>
      </c>
      <c r="E1400" s="423"/>
      <c r="F1400" s="424"/>
      <c r="G1400" s="425"/>
      <c r="H1400" s="651"/>
      <c r="I1400" s="420">
        <v>106.62</v>
      </c>
      <c r="J1400" s="420">
        <f t="shared" si="348"/>
        <v>106.62</v>
      </c>
      <c r="K1400" s="421">
        <f t="shared" si="347"/>
        <v>126.68</v>
      </c>
      <c r="L1400" s="647" t="s">
        <v>2065</v>
      </c>
      <c r="M1400" s="576"/>
      <c r="N1400" s="576">
        <f t="shared" si="350"/>
        <v>0</v>
      </c>
      <c r="O1400" s="577">
        <f t="shared" si="355"/>
        <v>0</v>
      </c>
      <c r="P1400" s="578">
        <f t="shared" si="356"/>
        <v>0</v>
      </c>
      <c r="Q1400" s="765"/>
      <c r="R1400" s="576">
        <f t="shared" si="352"/>
        <v>0</v>
      </c>
      <c r="S1400" s="576">
        <f t="shared" si="352"/>
        <v>0</v>
      </c>
      <c r="T1400" s="577">
        <f t="shared" si="353"/>
        <v>0</v>
      </c>
      <c r="U1400" s="578">
        <f t="shared" si="354"/>
        <v>0</v>
      </c>
      <c r="V1400" s="579"/>
      <c r="W1400" s="566"/>
      <c r="X1400" s="586" t="str">
        <f t="shared" si="346"/>
        <v/>
      </c>
      <c r="Y1400" s="586" t="str">
        <f t="shared" si="351"/>
        <v/>
      </c>
      <c r="Z1400" s="586" t="str">
        <f t="shared" si="349"/>
        <v/>
      </c>
    </row>
    <row r="1401" spans="1:26" ht="23.25" hidden="1" thickBot="1" x14ac:dyDescent="0.25">
      <c r="A1401" s="567">
        <v>91974</v>
      </c>
      <c r="B1401" s="644">
        <v>91974</v>
      </c>
      <c r="C1401" s="645" t="s">
        <v>670</v>
      </c>
      <c r="D1401" s="422" t="s">
        <v>1252</v>
      </c>
      <c r="E1401" s="423"/>
      <c r="F1401" s="424"/>
      <c r="G1401" s="425"/>
      <c r="H1401" s="651"/>
      <c r="I1401" s="420">
        <v>76.239999999999995</v>
      </c>
      <c r="J1401" s="420">
        <f t="shared" si="348"/>
        <v>76.239999999999995</v>
      </c>
      <c r="K1401" s="421">
        <f t="shared" si="347"/>
        <v>90.58</v>
      </c>
      <c r="L1401" s="647" t="s">
        <v>2065</v>
      </c>
      <c r="M1401" s="576"/>
      <c r="N1401" s="576">
        <f t="shared" si="350"/>
        <v>0</v>
      </c>
      <c r="O1401" s="577">
        <f t="shared" si="355"/>
        <v>0</v>
      </c>
      <c r="P1401" s="578">
        <f t="shared" si="356"/>
        <v>0</v>
      </c>
      <c r="Q1401" s="765"/>
      <c r="R1401" s="576">
        <f t="shared" si="352"/>
        <v>0</v>
      </c>
      <c r="S1401" s="576">
        <f t="shared" si="352"/>
        <v>0</v>
      </c>
      <c r="T1401" s="577">
        <f t="shared" si="353"/>
        <v>0</v>
      </c>
      <c r="U1401" s="578">
        <f t="shared" si="354"/>
        <v>0</v>
      </c>
      <c r="V1401" s="579"/>
      <c r="W1401" s="566"/>
      <c r="X1401" s="586" t="str">
        <f t="shared" si="346"/>
        <v/>
      </c>
      <c r="Y1401" s="586" t="str">
        <f t="shared" si="351"/>
        <v/>
      </c>
      <c r="Z1401" s="586" t="str">
        <f t="shared" si="349"/>
        <v/>
      </c>
    </row>
    <row r="1402" spans="1:26" ht="23.25" hidden="1" thickBot="1" x14ac:dyDescent="0.25">
      <c r="A1402" s="567">
        <v>91975</v>
      </c>
      <c r="B1402" s="644">
        <v>91975</v>
      </c>
      <c r="C1402" s="645" t="s">
        <v>670</v>
      </c>
      <c r="D1402" s="422" t="s">
        <v>1253</v>
      </c>
      <c r="E1402" s="423"/>
      <c r="F1402" s="424"/>
      <c r="G1402" s="425"/>
      <c r="H1402" s="651"/>
      <c r="I1402" s="420">
        <v>92.13</v>
      </c>
      <c r="J1402" s="420">
        <f t="shared" si="348"/>
        <v>92.13</v>
      </c>
      <c r="K1402" s="421">
        <f t="shared" si="347"/>
        <v>109.46</v>
      </c>
      <c r="L1402" s="647" t="s">
        <v>2065</v>
      </c>
      <c r="M1402" s="576"/>
      <c r="N1402" s="576">
        <f t="shared" si="350"/>
        <v>0</v>
      </c>
      <c r="O1402" s="577">
        <f t="shared" si="355"/>
        <v>0</v>
      </c>
      <c r="P1402" s="578">
        <f t="shared" si="356"/>
        <v>0</v>
      </c>
      <c r="Q1402" s="765"/>
      <c r="R1402" s="576">
        <f t="shared" si="352"/>
        <v>0</v>
      </c>
      <c r="S1402" s="576">
        <f t="shared" si="352"/>
        <v>0</v>
      </c>
      <c r="T1402" s="577">
        <f t="shared" si="353"/>
        <v>0</v>
      </c>
      <c r="U1402" s="578">
        <f t="shared" si="354"/>
        <v>0</v>
      </c>
      <c r="V1402" s="579"/>
      <c r="W1402" s="566"/>
      <c r="X1402" s="586" t="str">
        <f t="shared" si="346"/>
        <v/>
      </c>
      <c r="Y1402" s="586" t="str">
        <f t="shared" si="351"/>
        <v/>
      </c>
      <c r="Z1402" s="586" t="str">
        <f t="shared" si="349"/>
        <v/>
      </c>
    </row>
    <row r="1403" spans="1:26" ht="23.25" hidden="1" thickBot="1" x14ac:dyDescent="0.25">
      <c r="A1403" s="567">
        <v>91976</v>
      </c>
      <c r="B1403" s="644">
        <v>91976</v>
      </c>
      <c r="C1403" s="645" t="s">
        <v>670</v>
      </c>
      <c r="D1403" s="422" t="s">
        <v>1254</v>
      </c>
      <c r="E1403" s="423"/>
      <c r="F1403" s="424"/>
      <c r="G1403" s="425"/>
      <c r="H1403" s="651"/>
      <c r="I1403" s="420">
        <v>112.75</v>
      </c>
      <c r="J1403" s="420">
        <f t="shared" si="348"/>
        <v>112.75</v>
      </c>
      <c r="K1403" s="421">
        <f t="shared" si="347"/>
        <v>133.96</v>
      </c>
      <c r="L1403" s="647" t="s">
        <v>2065</v>
      </c>
      <c r="M1403" s="576"/>
      <c r="N1403" s="576">
        <f t="shared" si="350"/>
        <v>0</v>
      </c>
      <c r="O1403" s="577">
        <f t="shared" si="355"/>
        <v>0</v>
      </c>
      <c r="P1403" s="578">
        <f t="shared" si="356"/>
        <v>0</v>
      </c>
      <c r="Q1403" s="765"/>
      <c r="R1403" s="576">
        <f t="shared" si="352"/>
        <v>0</v>
      </c>
      <c r="S1403" s="576">
        <f t="shared" si="352"/>
        <v>0</v>
      </c>
      <c r="T1403" s="577">
        <f t="shared" si="353"/>
        <v>0</v>
      </c>
      <c r="U1403" s="578">
        <f t="shared" si="354"/>
        <v>0</v>
      </c>
      <c r="V1403" s="579"/>
      <c r="W1403" s="566"/>
      <c r="X1403" s="586" t="str">
        <f t="shared" si="346"/>
        <v/>
      </c>
      <c r="Y1403" s="586" t="str">
        <f t="shared" si="351"/>
        <v/>
      </c>
      <c r="Z1403" s="586" t="str">
        <f t="shared" si="349"/>
        <v/>
      </c>
    </row>
    <row r="1404" spans="1:26" ht="23.25" hidden="1" thickBot="1" x14ac:dyDescent="0.25">
      <c r="A1404" s="567">
        <v>91977</v>
      </c>
      <c r="B1404" s="644">
        <v>91977</v>
      </c>
      <c r="C1404" s="645" t="s">
        <v>670</v>
      </c>
      <c r="D1404" s="422" t="s">
        <v>1255</v>
      </c>
      <c r="E1404" s="423"/>
      <c r="F1404" s="424"/>
      <c r="G1404" s="425"/>
      <c r="H1404" s="651"/>
      <c r="I1404" s="420">
        <v>128.63999999999999</v>
      </c>
      <c r="J1404" s="420">
        <f t="shared" si="348"/>
        <v>128.63999999999999</v>
      </c>
      <c r="K1404" s="421">
        <f t="shared" si="347"/>
        <v>152.84</v>
      </c>
      <c r="L1404" s="647" t="s">
        <v>2065</v>
      </c>
      <c r="M1404" s="576"/>
      <c r="N1404" s="576">
        <f t="shared" si="350"/>
        <v>0</v>
      </c>
      <c r="O1404" s="577">
        <f t="shared" si="355"/>
        <v>0</v>
      </c>
      <c r="P1404" s="578">
        <f t="shared" si="356"/>
        <v>0</v>
      </c>
      <c r="Q1404" s="765"/>
      <c r="R1404" s="576">
        <f t="shared" si="352"/>
        <v>0</v>
      </c>
      <c r="S1404" s="576">
        <f t="shared" si="352"/>
        <v>0</v>
      </c>
      <c r="T1404" s="577">
        <f t="shared" si="353"/>
        <v>0</v>
      </c>
      <c r="U1404" s="578">
        <f t="shared" si="354"/>
        <v>0</v>
      </c>
      <c r="V1404" s="579"/>
      <c r="W1404" s="566"/>
      <c r="X1404" s="586" t="str">
        <f t="shared" si="346"/>
        <v/>
      </c>
      <c r="Y1404" s="586" t="str">
        <f t="shared" si="351"/>
        <v/>
      </c>
      <c r="Z1404" s="586" t="str">
        <f t="shared" si="349"/>
        <v/>
      </c>
    </row>
    <row r="1405" spans="1:26" ht="23.25" hidden="1" thickBot="1" x14ac:dyDescent="0.25">
      <c r="A1405" s="567">
        <v>92022</v>
      </c>
      <c r="B1405" s="644">
        <v>92022</v>
      </c>
      <c r="C1405" s="645" t="s">
        <v>670</v>
      </c>
      <c r="D1405" s="422" t="s">
        <v>1256</v>
      </c>
      <c r="E1405" s="423"/>
      <c r="F1405" s="424"/>
      <c r="G1405" s="425"/>
      <c r="H1405" s="651"/>
      <c r="I1405" s="420">
        <v>45.13</v>
      </c>
      <c r="J1405" s="420">
        <f t="shared" si="348"/>
        <v>45.13</v>
      </c>
      <c r="K1405" s="421">
        <f t="shared" si="347"/>
        <v>53.62</v>
      </c>
      <c r="L1405" s="647" t="s">
        <v>2065</v>
      </c>
      <c r="M1405" s="576"/>
      <c r="N1405" s="576">
        <f t="shared" si="350"/>
        <v>0</v>
      </c>
      <c r="O1405" s="577">
        <f t="shared" si="355"/>
        <v>0</v>
      </c>
      <c r="P1405" s="578">
        <f t="shared" si="356"/>
        <v>0</v>
      </c>
      <c r="Q1405" s="765"/>
      <c r="R1405" s="576">
        <f t="shared" si="352"/>
        <v>0</v>
      </c>
      <c r="S1405" s="576">
        <f t="shared" si="352"/>
        <v>0</v>
      </c>
      <c r="T1405" s="577">
        <f t="shared" si="353"/>
        <v>0</v>
      </c>
      <c r="U1405" s="578">
        <f t="shared" si="354"/>
        <v>0</v>
      </c>
      <c r="V1405" s="579"/>
      <c r="W1405" s="566"/>
      <c r="X1405" s="586" t="str">
        <f t="shared" ref="X1405:X1468" si="357">IF(W1405="X","x",IF(W1405="xx","x",IF(W1405="xy","x",IF(W1405="y","x",IF(OR(P1405&gt;0,U1405&gt;0),"x","")))))</f>
        <v/>
      </c>
      <c r="Y1405" s="586" t="str">
        <f t="shared" si="351"/>
        <v/>
      </c>
      <c r="Z1405" s="586" t="str">
        <f t="shared" si="349"/>
        <v/>
      </c>
    </row>
    <row r="1406" spans="1:26" ht="23.25" hidden="1" thickBot="1" x14ac:dyDescent="0.25">
      <c r="A1406" s="567">
        <v>92023</v>
      </c>
      <c r="B1406" s="644">
        <v>92023</v>
      </c>
      <c r="C1406" s="645" t="s">
        <v>670</v>
      </c>
      <c r="D1406" s="422" t="s">
        <v>1257</v>
      </c>
      <c r="E1406" s="423"/>
      <c r="F1406" s="424"/>
      <c r="G1406" s="425"/>
      <c r="H1406" s="651"/>
      <c r="I1406" s="420">
        <v>54.86</v>
      </c>
      <c r="J1406" s="420">
        <f t="shared" si="348"/>
        <v>54.86</v>
      </c>
      <c r="K1406" s="421">
        <f t="shared" si="347"/>
        <v>65.180000000000007</v>
      </c>
      <c r="L1406" s="647" t="s">
        <v>2065</v>
      </c>
      <c r="M1406" s="576"/>
      <c r="N1406" s="576">
        <f t="shared" si="350"/>
        <v>0</v>
      </c>
      <c r="O1406" s="577">
        <f t="shared" si="355"/>
        <v>0</v>
      </c>
      <c r="P1406" s="578">
        <f t="shared" si="356"/>
        <v>0</v>
      </c>
      <c r="Q1406" s="765"/>
      <c r="R1406" s="576">
        <f t="shared" si="352"/>
        <v>0</v>
      </c>
      <c r="S1406" s="576">
        <f t="shared" si="352"/>
        <v>0</v>
      </c>
      <c r="T1406" s="577">
        <f t="shared" si="353"/>
        <v>0</v>
      </c>
      <c r="U1406" s="578">
        <f t="shared" si="354"/>
        <v>0</v>
      </c>
      <c r="V1406" s="579"/>
      <c r="W1406" s="566"/>
      <c r="X1406" s="586" t="str">
        <f t="shared" si="357"/>
        <v/>
      </c>
      <c r="Y1406" s="586" t="str">
        <f t="shared" si="351"/>
        <v/>
      </c>
      <c r="Z1406" s="586" t="str">
        <f t="shared" si="349"/>
        <v/>
      </c>
    </row>
    <row r="1407" spans="1:26" ht="23.25" hidden="1" thickBot="1" x14ac:dyDescent="0.25">
      <c r="A1407" s="567">
        <v>92024</v>
      </c>
      <c r="B1407" s="644">
        <v>92024</v>
      </c>
      <c r="C1407" s="645" t="s">
        <v>670</v>
      </c>
      <c r="D1407" s="422" t="s">
        <v>1258</v>
      </c>
      <c r="E1407" s="423"/>
      <c r="F1407" s="424"/>
      <c r="G1407" s="425"/>
      <c r="H1407" s="651"/>
      <c r="I1407" s="420">
        <v>68.989999999999995</v>
      </c>
      <c r="J1407" s="420">
        <f t="shared" si="348"/>
        <v>68.989999999999995</v>
      </c>
      <c r="K1407" s="421">
        <f t="shared" si="347"/>
        <v>81.97</v>
      </c>
      <c r="L1407" s="647" t="s">
        <v>2065</v>
      </c>
      <c r="M1407" s="576"/>
      <c r="N1407" s="576">
        <f t="shared" si="350"/>
        <v>0</v>
      </c>
      <c r="O1407" s="577">
        <f t="shared" si="355"/>
        <v>0</v>
      </c>
      <c r="P1407" s="578">
        <f t="shared" si="356"/>
        <v>0</v>
      </c>
      <c r="Q1407" s="765"/>
      <c r="R1407" s="576">
        <f t="shared" si="352"/>
        <v>0</v>
      </c>
      <c r="S1407" s="576">
        <f t="shared" si="352"/>
        <v>0</v>
      </c>
      <c r="T1407" s="577">
        <f t="shared" si="353"/>
        <v>0</v>
      </c>
      <c r="U1407" s="578">
        <f t="shared" si="354"/>
        <v>0</v>
      </c>
      <c r="V1407" s="579"/>
      <c r="W1407" s="566"/>
      <c r="X1407" s="586" t="str">
        <f t="shared" si="357"/>
        <v/>
      </c>
      <c r="Y1407" s="586" t="str">
        <f t="shared" si="351"/>
        <v/>
      </c>
      <c r="Z1407" s="586" t="str">
        <f t="shared" si="349"/>
        <v/>
      </c>
    </row>
    <row r="1408" spans="1:26" ht="23.25" hidden="1" thickBot="1" x14ac:dyDescent="0.25">
      <c r="A1408" s="567">
        <v>92025</v>
      </c>
      <c r="B1408" s="644">
        <v>92025</v>
      </c>
      <c r="C1408" s="645" t="s">
        <v>670</v>
      </c>
      <c r="D1408" s="422" t="s">
        <v>1259</v>
      </c>
      <c r="E1408" s="423"/>
      <c r="F1408" s="424"/>
      <c r="G1408" s="425"/>
      <c r="H1408" s="651"/>
      <c r="I1408" s="420">
        <v>78.72</v>
      </c>
      <c r="J1408" s="420">
        <f t="shared" si="348"/>
        <v>78.72</v>
      </c>
      <c r="K1408" s="421">
        <f t="shared" si="347"/>
        <v>93.53</v>
      </c>
      <c r="L1408" s="647" t="s">
        <v>2065</v>
      </c>
      <c r="M1408" s="576"/>
      <c r="N1408" s="576">
        <f t="shared" si="350"/>
        <v>0</v>
      </c>
      <c r="O1408" s="577">
        <f t="shared" si="355"/>
        <v>0</v>
      </c>
      <c r="P1408" s="578">
        <f t="shared" si="356"/>
        <v>0</v>
      </c>
      <c r="Q1408" s="765"/>
      <c r="R1408" s="576">
        <f t="shared" si="352"/>
        <v>0</v>
      </c>
      <c r="S1408" s="576">
        <f t="shared" si="352"/>
        <v>0</v>
      </c>
      <c r="T1408" s="577">
        <f t="shared" si="353"/>
        <v>0</v>
      </c>
      <c r="U1408" s="578">
        <f t="shared" si="354"/>
        <v>0</v>
      </c>
      <c r="V1408" s="579"/>
      <c r="W1408" s="566"/>
      <c r="X1408" s="586" t="str">
        <f t="shared" si="357"/>
        <v/>
      </c>
      <c r="Y1408" s="586" t="str">
        <f t="shared" si="351"/>
        <v/>
      </c>
      <c r="Z1408" s="586" t="str">
        <f t="shared" si="349"/>
        <v/>
      </c>
    </row>
    <row r="1409" spans="1:26" ht="23.25" hidden="1" thickBot="1" x14ac:dyDescent="0.25">
      <c r="A1409" s="567">
        <v>92026</v>
      </c>
      <c r="B1409" s="644">
        <v>92026</v>
      </c>
      <c r="C1409" s="645" t="s">
        <v>670</v>
      </c>
      <c r="D1409" s="422" t="s">
        <v>1260</v>
      </c>
      <c r="E1409" s="423"/>
      <c r="F1409" s="424"/>
      <c r="G1409" s="425"/>
      <c r="H1409" s="651"/>
      <c r="I1409" s="420">
        <v>63.33</v>
      </c>
      <c r="J1409" s="420">
        <f t="shared" si="348"/>
        <v>63.33</v>
      </c>
      <c r="K1409" s="421">
        <f t="shared" si="347"/>
        <v>75.239999999999995</v>
      </c>
      <c r="L1409" s="647" t="s">
        <v>2065</v>
      </c>
      <c r="M1409" s="576"/>
      <c r="N1409" s="576">
        <f t="shared" si="350"/>
        <v>0</v>
      </c>
      <c r="O1409" s="577">
        <f t="shared" si="355"/>
        <v>0</v>
      </c>
      <c r="P1409" s="578">
        <f t="shared" si="356"/>
        <v>0</v>
      </c>
      <c r="Q1409" s="765"/>
      <c r="R1409" s="576">
        <f t="shared" si="352"/>
        <v>0</v>
      </c>
      <c r="S1409" s="576">
        <f t="shared" si="352"/>
        <v>0</v>
      </c>
      <c r="T1409" s="577">
        <f t="shared" si="353"/>
        <v>0</v>
      </c>
      <c r="U1409" s="578">
        <f t="shared" si="354"/>
        <v>0</v>
      </c>
      <c r="V1409" s="579"/>
      <c r="W1409" s="566"/>
      <c r="X1409" s="586" t="str">
        <f t="shared" si="357"/>
        <v/>
      </c>
      <c r="Y1409" s="586" t="str">
        <f t="shared" si="351"/>
        <v/>
      </c>
      <c r="Z1409" s="586" t="str">
        <f t="shared" si="349"/>
        <v/>
      </c>
    </row>
    <row r="1410" spans="1:26" ht="23.25" hidden="1" thickBot="1" x14ac:dyDescent="0.25">
      <c r="A1410" s="567">
        <v>92027</v>
      </c>
      <c r="B1410" s="644">
        <v>92027</v>
      </c>
      <c r="C1410" s="645" t="s">
        <v>670</v>
      </c>
      <c r="D1410" s="422" t="s">
        <v>1261</v>
      </c>
      <c r="E1410" s="423"/>
      <c r="F1410" s="424"/>
      <c r="G1410" s="425"/>
      <c r="H1410" s="651"/>
      <c r="I1410" s="420">
        <v>73.06</v>
      </c>
      <c r="J1410" s="420">
        <f t="shared" si="348"/>
        <v>73.06</v>
      </c>
      <c r="K1410" s="421">
        <f t="shared" si="347"/>
        <v>86.8</v>
      </c>
      <c r="L1410" s="647" t="s">
        <v>2065</v>
      </c>
      <c r="M1410" s="576"/>
      <c r="N1410" s="576">
        <f t="shared" si="350"/>
        <v>0</v>
      </c>
      <c r="O1410" s="577">
        <f t="shared" si="355"/>
        <v>0</v>
      </c>
      <c r="P1410" s="578">
        <f t="shared" si="356"/>
        <v>0</v>
      </c>
      <c r="Q1410" s="765"/>
      <c r="R1410" s="576">
        <f t="shared" si="352"/>
        <v>0</v>
      </c>
      <c r="S1410" s="576">
        <f t="shared" si="352"/>
        <v>0</v>
      </c>
      <c r="T1410" s="577">
        <f t="shared" si="353"/>
        <v>0</v>
      </c>
      <c r="U1410" s="578">
        <f t="shared" si="354"/>
        <v>0</v>
      </c>
      <c r="V1410" s="579"/>
      <c r="W1410" s="566"/>
      <c r="X1410" s="586" t="str">
        <f t="shared" si="357"/>
        <v/>
      </c>
      <c r="Y1410" s="586" t="str">
        <f t="shared" si="351"/>
        <v/>
      </c>
      <c r="Z1410" s="586" t="str">
        <f t="shared" si="349"/>
        <v/>
      </c>
    </row>
    <row r="1411" spans="1:26" ht="23.25" hidden="1" thickBot="1" x14ac:dyDescent="0.25">
      <c r="A1411" s="567">
        <v>92034</v>
      </c>
      <c r="B1411" s="644">
        <v>92034</v>
      </c>
      <c r="C1411" s="645" t="s">
        <v>670</v>
      </c>
      <c r="D1411" s="422" t="s">
        <v>1262</v>
      </c>
      <c r="E1411" s="423"/>
      <c r="F1411" s="424"/>
      <c r="G1411" s="425"/>
      <c r="H1411" s="651"/>
      <c r="I1411" s="420">
        <v>70.569999999999993</v>
      </c>
      <c r="J1411" s="420">
        <f t="shared" si="348"/>
        <v>70.569999999999993</v>
      </c>
      <c r="K1411" s="421">
        <f t="shared" si="347"/>
        <v>83.84</v>
      </c>
      <c r="L1411" s="647" t="s">
        <v>2065</v>
      </c>
      <c r="M1411" s="576"/>
      <c r="N1411" s="576">
        <f t="shared" si="350"/>
        <v>0</v>
      </c>
      <c r="O1411" s="577">
        <f t="shared" si="355"/>
        <v>0</v>
      </c>
      <c r="P1411" s="578">
        <f t="shared" si="356"/>
        <v>0</v>
      </c>
      <c r="Q1411" s="765"/>
      <c r="R1411" s="576">
        <f t="shared" si="352"/>
        <v>0</v>
      </c>
      <c r="S1411" s="576">
        <f t="shared" si="352"/>
        <v>0</v>
      </c>
      <c r="T1411" s="577">
        <f t="shared" si="353"/>
        <v>0</v>
      </c>
      <c r="U1411" s="578">
        <f t="shared" si="354"/>
        <v>0</v>
      </c>
      <c r="V1411" s="579"/>
      <c r="W1411" s="566"/>
      <c r="X1411" s="586" t="str">
        <f t="shared" si="357"/>
        <v/>
      </c>
      <c r="Y1411" s="586" t="str">
        <f t="shared" si="351"/>
        <v/>
      </c>
      <c r="Z1411" s="586" t="str">
        <f t="shared" si="349"/>
        <v/>
      </c>
    </row>
    <row r="1412" spans="1:26" ht="23.25" hidden="1" thickBot="1" x14ac:dyDescent="0.25">
      <c r="A1412" s="567">
        <v>92035</v>
      </c>
      <c r="B1412" s="644">
        <v>92035</v>
      </c>
      <c r="C1412" s="645" t="s">
        <v>670</v>
      </c>
      <c r="D1412" s="422" t="s">
        <v>1263</v>
      </c>
      <c r="E1412" s="423"/>
      <c r="F1412" s="424"/>
      <c r="G1412" s="425"/>
      <c r="H1412" s="651"/>
      <c r="I1412" s="420">
        <v>80.3</v>
      </c>
      <c r="J1412" s="420">
        <f t="shared" si="348"/>
        <v>80.3</v>
      </c>
      <c r="K1412" s="421">
        <f t="shared" si="347"/>
        <v>95.4</v>
      </c>
      <c r="L1412" s="647" t="s">
        <v>2065</v>
      </c>
      <c r="M1412" s="576"/>
      <c r="N1412" s="576">
        <f t="shared" si="350"/>
        <v>0</v>
      </c>
      <c r="O1412" s="577">
        <f t="shared" si="355"/>
        <v>0</v>
      </c>
      <c r="P1412" s="578">
        <f t="shared" si="356"/>
        <v>0</v>
      </c>
      <c r="Q1412" s="765"/>
      <c r="R1412" s="576">
        <f t="shared" si="352"/>
        <v>0</v>
      </c>
      <c r="S1412" s="576">
        <f t="shared" si="352"/>
        <v>0</v>
      </c>
      <c r="T1412" s="577">
        <f t="shared" si="353"/>
        <v>0</v>
      </c>
      <c r="U1412" s="578">
        <f t="shared" si="354"/>
        <v>0</v>
      </c>
      <c r="V1412" s="579"/>
      <c r="W1412" s="566"/>
      <c r="X1412" s="586" t="str">
        <f t="shared" si="357"/>
        <v/>
      </c>
      <c r="Y1412" s="586" t="str">
        <f t="shared" si="351"/>
        <v/>
      </c>
      <c r="Z1412" s="586" t="str">
        <f t="shared" si="349"/>
        <v/>
      </c>
    </row>
    <row r="1413" spans="1:26" ht="23.25" hidden="1" thickBot="1" x14ac:dyDescent="0.25">
      <c r="A1413" s="567">
        <v>91954</v>
      </c>
      <c r="B1413" s="644">
        <v>91954</v>
      </c>
      <c r="C1413" s="645" t="s">
        <v>670</v>
      </c>
      <c r="D1413" s="422" t="s">
        <v>1264</v>
      </c>
      <c r="E1413" s="423"/>
      <c r="F1413" s="424"/>
      <c r="G1413" s="425"/>
      <c r="H1413" s="651"/>
      <c r="I1413" s="420">
        <v>28.57</v>
      </c>
      <c r="J1413" s="420">
        <f t="shared" si="348"/>
        <v>28.57</v>
      </c>
      <c r="K1413" s="421">
        <f t="shared" si="347"/>
        <v>33.94</v>
      </c>
      <c r="L1413" s="647" t="s">
        <v>2065</v>
      </c>
      <c r="M1413" s="576"/>
      <c r="N1413" s="576">
        <f t="shared" si="350"/>
        <v>0</v>
      </c>
      <c r="O1413" s="577">
        <f t="shared" si="355"/>
        <v>0</v>
      </c>
      <c r="P1413" s="578">
        <f t="shared" si="356"/>
        <v>0</v>
      </c>
      <c r="Q1413" s="765"/>
      <c r="R1413" s="576">
        <f t="shared" si="352"/>
        <v>0</v>
      </c>
      <c r="S1413" s="576">
        <f t="shared" si="352"/>
        <v>0</v>
      </c>
      <c r="T1413" s="577">
        <f t="shared" si="353"/>
        <v>0</v>
      </c>
      <c r="U1413" s="578">
        <f t="shared" si="354"/>
        <v>0</v>
      </c>
      <c r="V1413" s="579"/>
      <c r="W1413" s="566"/>
      <c r="X1413" s="586" t="str">
        <f t="shared" si="357"/>
        <v/>
      </c>
      <c r="Y1413" s="586" t="str">
        <f t="shared" si="351"/>
        <v/>
      </c>
      <c r="Z1413" s="586" t="str">
        <f t="shared" si="349"/>
        <v/>
      </c>
    </row>
    <row r="1414" spans="1:26" ht="23.25" hidden="1" thickBot="1" x14ac:dyDescent="0.25">
      <c r="A1414" s="567">
        <v>91955</v>
      </c>
      <c r="B1414" s="644">
        <v>91955</v>
      </c>
      <c r="C1414" s="645" t="s">
        <v>670</v>
      </c>
      <c r="D1414" s="422" t="s">
        <v>1265</v>
      </c>
      <c r="E1414" s="423"/>
      <c r="F1414" s="424"/>
      <c r="G1414" s="425"/>
      <c r="H1414" s="651"/>
      <c r="I1414" s="420">
        <v>38.299999999999997</v>
      </c>
      <c r="J1414" s="420">
        <f t="shared" si="348"/>
        <v>38.299999999999997</v>
      </c>
      <c r="K1414" s="421">
        <f t="shared" si="347"/>
        <v>45.5</v>
      </c>
      <c r="L1414" s="647" t="s">
        <v>2065</v>
      </c>
      <c r="M1414" s="576"/>
      <c r="N1414" s="576">
        <f t="shared" si="350"/>
        <v>0</v>
      </c>
      <c r="O1414" s="577">
        <f t="shared" si="355"/>
        <v>0</v>
      </c>
      <c r="P1414" s="578">
        <f t="shared" si="356"/>
        <v>0</v>
      </c>
      <c r="Q1414" s="765"/>
      <c r="R1414" s="576">
        <f t="shared" si="352"/>
        <v>0</v>
      </c>
      <c r="S1414" s="576">
        <f t="shared" si="352"/>
        <v>0</v>
      </c>
      <c r="T1414" s="577">
        <f t="shared" si="353"/>
        <v>0</v>
      </c>
      <c r="U1414" s="578">
        <f t="shared" si="354"/>
        <v>0</v>
      </c>
      <c r="V1414" s="579"/>
      <c r="W1414" s="566"/>
      <c r="X1414" s="586" t="str">
        <f t="shared" si="357"/>
        <v/>
      </c>
      <c r="Y1414" s="586" t="str">
        <f t="shared" si="351"/>
        <v/>
      </c>
      <c r="Z1414" s="586" t="str">
        <f t="shared" si="349"/>
        <v/>
      </c>
    </row>
    <row r="1415" spans="1:26" ht="23.25" hidden="1" thickBot="1" x14ac:dyDescent="0.25">
      <c r="A1415" s="567">
        <v>91960</v>
      </c>
      <c r="B1415" s="644">
        <v>91960</v>
      </c>
      <c r="C1415" s="645" t="s">
        <v>670</v>
      </c>
      <c r="D1415" s="422" t="s">
        <v>1266</v>
      </c>
      <c r="E1415" s="423"/>
      <c r="F1415" s="424"/>
      <c r="G1415" s="425"/>
      <c r="H1415" s="651"/>
      <c r="I1415" s="420">
        <v>53.95</v>
      </c>
      <c r="J1415" s="420">
        <f t="shared" si="348"/>
        <v>53.95</v>
      </c>
      <c r="K1415" s="421">
        <f t="shared" si="347"/>
        <v>64.099999999999994</v>
      </c>
      <c r="L1415" s="647" t="s">
        <v>2065</v>
      </c>
      <c r="M1415" s="576"/>
      <c r="N1415" s="576">
        <f t="shared" si="350"/>
        <v>0</v>
      </c>
      <c r="O1415" s="577">
        <f t="shared" si="355"/>
        <v>0</v>
      </c>
      <c r="P1415" s="578">
        <f t="shared" si="356"/>
        <v>0</v>
      </c>
      <c r="Q1415" s="765"/>
      <c r="R1415" s="576">
        <f t="shared" si="352"/>
        <v>0</v>
      </c>
      <c r="S1415" s="576">
        <f t="shared" si="352"/>
        <v>0</v>
      </c>
      <c r="T1415" s="577">
        <f t="shared" si="353"/>
        <v>0</v>
      </c>
      <c r="U1415" s="578">
        <f t="shared" si="354"/>
        <v>0</v>
      </c>
      <c r="V1415" s="579"/>
      <c r="W1415" s="566"/>
      <c r="X1415" s="586" t="str">
        <f t="shared" si="357"/>
        <v/>
      </c>
      <c r="Y1415" s="586" t="str">
        <f t="shared" si="351"/>
        <v/>
      </c>
      <c r="Z1415" s="586" t="str">
        <f t="shared" si="349"/>
        <v/>
      </c>
    </row>
    <row r="1416" spans="1:26" ht="23.25" hidden="1" thickBot="1" x14ac:dyDescent="0.25">
      <c r="A1416" s="567">
        <v>91961</v>
      </c>
      <c r="B1416" s="644">
        <v>91961</v>
      </c>
      <c r="C1416" s="645" t="s">
        <v>670</v>
      </c>
      <c r="D1416" s="422" t="s">
        <v>1267</v>
      </c>
      <c r="E1416" s="423"/>
      <c r="F1416" s="424"/>
      <c r="G1416" s="425"/>
      <c r="H1416" s="651"/>
      <c r="I1416" s="420">
        <v>63.68</v>
      </c>
      <c r="J1416" s="420">
        <f t="shared" si="348"/>
        <v>63.68</v>
      </c>
      <c r="K1416" s="421">
        <f t="shared" si="347"/>
        <v>75.66</v>
      </c>
      <c r="L1416" s="647" t="s">
        <v>2065</v>
      </c>
      <c r="M1416" s="576"/>
      <c r="N1416" s="576">
        <f t="shared" si="350"/>
        <v>0</v>
      </c>
      <c r="O1416" s="577">
        <f t="shared" si="355"/>
        <v>0</v>
      </c>
      <c r="P1416" s="578">
        <f t="shared" si="356"/>
        <v>0</v>
      </c>
      <c r="Q1416" s="765"/>
      <c r="R1416" s="576">
        <f t="shared" si="352"/>
        <v>0</v>
      </c>
      <c r="S1416" s="576">
        <f t="shared" si="352"/>
        <v>0</v>
      </c>
      <c r="T1416" s="577">
        <f t="shared" si="353"/>
        <v>0</v>
      </c>
      <c r="U1416" s="578">
        <f t="shared" si="354"/>
        <v>0</v>
      </c>
      <c r="V1416" s="579"/>
      <c r="W1416" s="566"/>
      <c r="X1416" s="586" t="str">
        <f t="shared" si="357"/>
        <v/>
      </c>
      <c r="Y1416" s="586" t="str">
        <f t="shared" si="351"/>
        <v/>
      </c>
      <c r="Z1416" s="586" t="str">
        <f t="shared" si="349"/>
        <v/>
      </c>
    </row>
    <row r="1417" spans="1:26" ht="23.25" hidden="1" thickBot="1" x14ac:dyDescent="0.25">
      <c r="A1417" s="567">
        <v>91968</v>
      </c>
      <c r="B1417" s="644">
        <v>91968</v>
      </c>
      <c r="C1417" s="645" t="s">
        <v>670</v>
      </c>
      <c r="D1417" s="422" t="s">
        <v>1268</v>
      </c>
      <c r="E1417" s="423"/>
      <c r="F1417" s="424"/>
      <c r="G1417" s="425"/>
      <c r="H1417" s="651"/>
      <c r="I1417" s="420">
        <v>79.349999999999994</v>
      </c>
      <c r="J1417" s="420">
        <f t="shared" si="348"/>
        <v>79.349999999999994</v>
      </c>
      <c r="K1417" s="421">
        <f t="shared" ref="K1417:K1480" si="358">IF(ISBLANK(I1417),0,ROUND(J1417*(1+$F$10)*(1+$F$11*E1417),2))</f>
        <v>94.28</v>
      </c>
      <c r="L1417" s="647" t="s">
        <v>2065</v>
      </c>
      <c r="M1417" s="576"/>
      <c r="N1417" s="576">
        <f t="shared" si="350"/>
        <v>0</v>
      </c>
      <c r="O1417" s="577">
        <f t="shared" si="355"/>
        <v>0</v>
      </c>
      <c r="P1417" s="578">
        <f t="shared" si="356"/>
        <v>0</v>
      </c>
      <c r="Q1417" s="765"/>
      <c r="R1417" s="576">
        <f t="shared" si="352"/>
        <v>0</v>
      </c>
      <c r="S1417" s="576">
        <f t="shared" si="352"/>
        <v>0</v>
      </c>
      <c r="T1417" s="577">
        <f t="shared" si="353"/>
        <v>0</v>
      </c>
      <c r="U1417" s="578">
        <f t="shared" si="354"/>
        <v>0</v>
      </c>
      <c r="V1417" s="579"/>
      <c r="W1417" s="566"/>
      <c r="X1417" s="586" t="str">
        <f t="shared" si="357"/>
        <v/>
      </c>
      <c r="Y1417" s="586" t="str">
        <f t="shared" si="351"/>
        <v/>
      </c>
      <c r="Z1417" s="586" t="str">
        <f t="shared" si="349"/>
        <v/>
      </c>
    </row>
    <row r="1418" spans="1:26" ht="23.25" hidden="1" thickBot="1" x14ac:dyDescent="0.25">
      <c r="A1418" s="567">
        <v>91969</v>
      </c>
      <c r="B1418" s="644">
        <v>91969</v>
      </c>
      <c r="C1418" s="645" t="s">
        <v>670</v>
      </c>
      <c r="D1418" s="422" t="s">
        <v>1269</v>
      </c>
      <c r="E1418" s="423"/>
      <c r="F1418" s="424"/>
      <c r="G1418" s="425"/>
      <c r="H1418" s="651"/>
      <c r="I1418" s="420">
        <v>89.08</v>
      </c>
      <c r="J1418" s="420">
        <f t="shared" si="348"/>
        <v>89.08</v>
      </c>
      <c r="K1418" s="421">
        <f t="shared" si="358"/>
        <v>105.84</v>
      </c>
      <c r="L1418" s="647" t="s">
        <v>2065</v>
      </c>
      <c r="M1418" s="576"/>
      <c r="N1418" s="576">
        <f t="shared" si="350"/>
        <v>0</v>
      </c>
      <c r="O1418" s="577">
        <f t="shared" si="355"/>
        <v>0</v>
      </c>
      <c r="P1418" s="578">
        <f t="shared" si="356"/>
        <v>0</v>
      </c>
      <c r="Q1418" s="765"/>
      <c r="R1418" s="576">
        <f t="shared" si="352"/>
        <v>0</v>
      </c>
      <c r="S1418" s="576">
        <f t="shared" si="352"/>
        <v>0</v>
      </c>
      <c r="T1418" s="577">
        <f t="shared" si="353"/>
        <v>0</v>
      </c>
      <c r="U1418" s="578">
        <f t="shared" si="354"/>
        <v>0</v>
      </c>
      <c r="V1418" s="579"/>
      <c r="W1418" s="566"/>
      <c r="X1418" s="586" t="str">
        <f t="shared" si="357"/>
        <v/>
      </c>
      <c r="Y1418" s="586" t="str">
        <f t="shared" si="351"/>
        <v/>
      </c>
      <c r="Z1418" s="586" t="str">
        <f t="shared" si="349"/>
        <v/>
      </c>
    </row>
    <row r="1419" spans="1:26" ht="23.25" hidden="1" thickBot="1" x14ac:dyDescent="0.25">
      <c r="A1419" s="567">
        <v>92028</v>
      </c>
      <c r="B1419" s="644">
        <v>92028</v>
      </c>
      <c r="C1419" s="645" t="s">
        <v>670</v>
      </c>
      <c r="D1419" s="422" t="s">
        <v>1270</v>
      </c>
      <c r="E1419" s="423"/>
      <c r="F1419" s="424"/>
      <c r="G1419" s="425"/>
      <c r="H1419" s="651"/>
      <c r="I1419" s="420">
        <v>52.37</v>
      </c>
      <c r="J1419" s="420">
        <f t="shared" si="348"/>
        <v>52.37</v>
      </c>
      <c r="K1419" s="421">
        <f t="shared" si="358"/>
        <v>62.22</v>
      </c>
      <c r="L1419" s="647" t="s">
        <v>2065</v>
      </c>
      <c r="M1419" s="576"/>
      <c r="N1419" s="576">
        <f t="shared" si="350"/>
        <v>0</v>
      </c>
      <c r="O1419" s="577">
        <f t="shared" si="355"/>
        <v>0</v>
      </c>
      <c r="P1419" s="578">
        <f t="shared" si="356"/>
        <v>0</v>
      </c>
      <c r="Q1419" s="765"/>
      <c r="R1419" s="576">
        <f t="shared" si="352"/>
        <v>0</v>
      </c>
      <c r="S1419" s="576">
        <f t="shared" si="352"/>
        <v>0</v>
      </c>
      <c r="T1419" s="577">
        <f t="shared" si="353"/>
        <v>0</v>
      </c>
      <c r="U1419" s="578">
        <f t="shared" si="354"/>
        <v>0</v>
      </c>
      <c r="V1419" s="579"/>
      <c r="W1419" s="566"/>
      <c r="X1419" s="586" t="str">
        <f t="shared" si="357"/>
        <v/>
      </c>
      <c r="Y1419" s="586" t="str">
        <f t="shared" si="351"/>
        <v/>
      </c>
      <c r="Z1419" s="586" t="str">
        <f t="shared" si="349"/>
        <v/>
      </c>
    </row>
    <row r="1420" spans="1:26" ht="23.25" hidden="1" thickBot="1" x14ac:dyDescent="0.25">
      <c r="A1420" s="567">
        <v>92029</v>
      </c>
      <c r="B1420" s="644">
        <v>92029</v>
      </c>
      <c r="C1420" s="645" t="s">
        <v>670</v>
      </c>
      <c r="D1420" s="422" t="s">
        <v>1271</v>
      </c>
      <c r="E1420" s="423"/>
      <c r="F1420" s="424"/>
      <c r="G1420" s="425"/>
      <c r="H1420" s="651"/>
      <c r="I1420" s="420">
        <v>62.1</v>
      </c>
      <c r="J1420" s="420">
        <f t="shared" si="348"/>
        <v>62.1</v>
      </c>
      <c r="K1420" s="421">
        <f t="shared" si="358"/>
        <v>73.78</v>
      </c>
      <c r="L1420" s="647" t="s">
        <v>2065</v>
      </c>
      <c r="M1420" s="576"/>
      <c r="N1420" s="576">
        <f t="shared" si="350"/>
        <v>0</v>
      </c>
      <c r="O1420" s="577">
        <f t="shared" si="355"/>
        <v>0</v>
      </c>
      <c r="P1420" s="578">
        <f t="shared" si="356"/>
        <v>0</v>
      </c>
      <c r="Q1420" s="765"/>
      <c r="R1420" s="576">
        <f t="shared" si="352"/>
        <v>0</v>
      </c>
      <c r="S1420" s="576">
        <f t="shared" si="352"/>
        <v>0</v>
      </c>
      <c r="T1420" s="577">
        <f t="shared" si="353"/>
        <v>0</v>
      </c>
      <c r="U1420" s="578">
        <f t="shared" si="354"/>
        <v>0</v>
      </c>
      <c r="V1420" s="579"/>
      <c r="W1420" s="566"/>
      <c r="X1420" s="586" t="str">
        <f t="shared" si="357"/>
        <v/>
      </c>
      <c r="Y1420" s="586" t="str">
        <f t="shared" si="351"/>
        <v/>
      </c>
      <c r="Z1420" s="586" t="str">
        <f t="shared" si="349"/>
        <v/>
      </c>
    </row>
    <row r="1421" spans="1:26" ht="23.25" hidden="1" thickBot="1" x14ac:dyDescent="0.25">
      <c r="A1421" s="567">
        <v>92030</v>
      </c>
      <c r="B1421" s="644">
        <v>92030</v>
      </c>
      <c r="C1421" s="645" t="s">
        <v>670</v>
      </c>
      <c r="D1421" s="422" t="s">
        <v>1272</v>
      </c>
      <c r="E1421" s="423"/>
      <c r="F1421" s="424"/>
      <c r="G1421" s="425"/>
      <c r="H1421" s="651"/>
      <c r="I1421" s="420">
        <v>76.19</v>
      </c>
      <c r="J1421" s="420">
        <f t="shared" si="348"/>
        <v>76.19</v>
      </c>
      <c r="K1421" s="421">
        <f t="shared" si="358"/>
        <v>90.52</v>
      </c>
      <c r="L1421" s="647" t="s">
        <v>2065</v>
      </c>
      <c r="M1421" s="576"/>
      <c r="N1421" s="576">
        <f t="shared" si="350"/>
        <v>0</v>
      </c>
      <c r="O1421" s="577">
        <f t="shared" si="355"/>
        <v>0</v>
      </c>
      <c r="P1421" s="578">
        <f t="shared" si="356"/>
        <v>0</v>
      </c>
      <c r="Q1421" s="765"/>
      <c r="R1421" s="576">
        <f t="shared" si="352"/>
        <v>0</v>
      </c>
      <c r="S1421" s="576">
        <f t="shared" si="352"/>
        <v>0</v>
      </c>
      <c r="T1421" s="577">
        <f t="shared" si="353"/>
        <v>0</v>
      </c>
      <c r="U1421" s="578">
        <f t="shared" si="354"/>
        <v>0</v>
      </c>
      <c r="V1421" s="579"/>
      <c r="W1421" s="566"/>
      <c r="X1421" s="586" t="str">
        <f t="shared" si="357"/>
        <v/>
      </c>
      <c r="Y1421" s="586" t="str">
        <f t="shared" si="351"/>
        <v/>
      </c>
      <c r="Z1421" s="586" t="str">
        <f t="shared" si="349"/>
        <v/>
      </c>
    </row>
    <row r="1422" spans="1:26" ht="23.25" hidden="1" thickBot="1" x14ac:dyDescent="0.25">
      <c r="A1422" s="567">
        <v>92031</v>
      </c>
      <c r="B1422" s="644">
        <v>92031</v>
      </c>
      <c r="C1422" s="645" t="s">
        <v>670</v>
      </c>
      <c r="D1422" s="422" t="s">
        <v>1273</v>
      </c>
      <c r="E1422" s="423"/>
      <c r="F1422" s="424"/>
      <c r="G1422" s="425"/>
      <c r="H1422" s="651"/>
      <c r="I1422" s="420">
        <v>85.92</v>
      </c>
      <c r="J1422" s="420">
        <f t="shared" si="348"/>
        <v>85.92</v>
      </c>
      <c r="K1422" s="421">
        <f t="shared" si="358"/>
        <v>102.08</v>
      </c>
      <c r="L1422" s="647" t="s">
        <v>2065</v>
      </c>
      <c r="M1422" s="576"/>
      <c r="N1422" s="576">
        <f t="shared" si="350"/>
        <v>0</v>
      </c>
      <c r="O1422" s="577">
        <f t="shared" si="355"/>
        <v>0</v>
      </c>
      <c r="P1422" s="578">
        <f t="shared" si="356"/>
        <v>0</v>
      </c>
      <c r="Q1422" s="765"/>
      <c r="R1422" s="576">
        <f t="shared" si="352"/>
        <v>0</v>
      </c>
      <c r="S1422" s="576">
        <f t="shared" si="352"/>
        <v>0</v>
      </c>
      <c r="T1422" s="577">
        <f t="shared" si="353"/>
        <v>0</v>
      </c>
      <c r="U1422" s="578">
        <f t="shared" si="354"/>
        <v>0</v>
      </c>
      <c r="V1422" s="579"/>
      <c r="W1422" s="566"/>
      <c r="X1422" s="586" t="str">
        <f t="shared" si="357"/>
        <v/>
      </c>
      <c r="Y1422" s="586" t="str">
        <f t="shared" si="351"/>
        <v/>
      </c>
      <c r="Z1422" s="586" t="str">
        <f t="shared" si="349"/>
        <v/>
      </c>
    </row>
    <row r="1423" spans="1:26" ht="23.25" hidden="1" thickBot="1" x14ac:dyDescent="0.25">
      <c r="A1423" s="567">
        <v>92032</v>
      </c>
      <c r="B1423" s="644">
        <v>92032</v>
      </c>
      <c r="C1423" s="645" t="s">
        <v>670</v>
      </c>
      <c r="D1423" s="422" t="s">
        <v>1274</v>
      </c>
      <c r="E1423" s="423"/>
      <c r="F1423" s="424"/>
      <c r="G1423" s="425"/>
      <c r="H1423" s="651"/>
      <c r="I1423" s="420">
        <v>77.77</v>
      </c>
      <c r="J1423" s="420">
        <f t="shared" si="348"/>
        <v>77.77</v>
      </c>
      <c r="K1423" s="421">
        <f t="shared" si="358"/>
        <v>92.4</v>
      </c>
      <c r="L1423" s="647" t="s">
        <v>2065</v>
      </c>
      <c r="M1423" s="576"/>
      <c r="N1423" s="576">
        <f t="shared" si="350"/>
        <v>0</v>
      </c>
      <c r="O1423" s="577">
        <f t="shared" si="355"/>
        <v>0</v>
      </c>
      <c r="P1423" s="578">
        <f t="shared" si="356"/>
        <v>0</v>
      </c>
      <c r="Q1423" s="765"/>
      <c r="R1423" s="576">
        <f t="shared" si="352"/>
        <v>0</v>
      </c>
      <c r="S1423" s="576">
        <f t="shared" si="352"/>
        <v>0</v>
      </c>
      <c r="T1423" s="577">
        <f t="shared" si="353"/>
        <v>0</v>
      </c>
      <c r="U1423" s="578">
        <f t="shared" si="354"/>
        <v>0</v>
      </c>
      <c r="V1423" s="579"/>
      <c r="W1423" s="566"/>
      <c r="X1423" s="586" t="str">
        <f t="shared" si="357"/>
        <v/>
      </c>
      <c r="Y1423" s="586" t="str">
        <f t="shared" si="351"/>
        <v/>
      </c>
      <c r="Z1423" s="586" t="str">
        <f t="shared" si="349"/>
        <v/>
      </c>
    </row>
    <row r="1424" spans="1:26" ht="23.25" hidden="1" thickBot="1" x14ac:dyDescent="0.25">
      <c r="A1424" s="567">
        <v>92033</v>
      </c>
      <c r="B1424" s="644">
        <v>92033</v>
      </c>
      <c r="C1424" s="645" t="s">
        <v>670</v>
      </c>
      <c r="D1424" s="422" t="s">
        <v>1275</v>
      </c>
      <c r="E1424" s="423"/>
      <c r="F1424" s="424"/>
      <c r="G1424" s="425"/>
      <c r="H1424" s="651"/>
      <c r="I1424" s="420">
        <v>87.5</v>
      </c>
      <c r="J1424" s="420">
        <f t="shared" si="348"/>
        <v>87.5</v>
      </c>
      <c r="K1424" s="421">
        <f t="shared" si="358"/>
        <v>103.96</v>
      </c>
      <c r="L1424" s="647" t="s">
        <v>2065</v>
      </c>
      <c r="M1424" s="576"/>
      <c r="N1424" s="576">
        <f t="shared" si="350"/>
        <v>0</v>
      </c>
      <c r="O1424" s="577">
        <f t="shared" si="355"/>
        <v>0</v>
      </c>
      <c r="P1424" s="578">
        <f t="shared" si="356"/>
        <v>0</v>
      </c>
      <c r="Q1424" s="765"/>
      <c r="R1424" s="576">
        <f t="shared" si="352"/>
        <v>0</v>
      </c>
      <c r="S1424" s="576">
        <f t="shared" si="352"/>
        <v>0</v>
      </c>
      <c r="T1424" s="577">
        <f t="shared" si="353"/>
        <v>0</v>
      </c>
      <c r="U1424" s="578">
        <f t="shared" si="354"/>
        <v>0</v>
      </c>
      <c r="V1424" s="579"/>
      <c r="W1424" s="566"/>
      <c r="X1424" s="586" t="str">
        <f t="shared" si="357"/>
        <v/>
      </c>
      <c r="Y1424" s="586" t="str">
        <f t="shared" si="351"/>
        <v/>
      </c>
      <c r="Z1424" s="586" t="str">
        <f t="shared" si="349"/>
        <v/>
      </c>
    </row>
    <row r="1425" spans="1:26" ht="23.25" hidden="1" thickBot="1" x14ac:dyDescent="0.25">
      <c r="A1425" s="567">
        <v>91978</v>
      </c>
      <c r="B1425" s="644">
        <v>91978</v>
      </c>
      <c r="C1425" s="645" t="s">
        <v>670</v>
      </c>
      <c r="D1425" s="422" t="s">
        <v>1276</v>
      </c>
      <c r="E1425" s="423"/>
      <c r="F1425" s="424"/>
      <c r="G1425" s="425"/>
      <c r="H1425" s="651"/>
      <c r="I1425" s="420">
        <v>46.88</v>
      </c>
      <c r="J1425" s="420">
        <f t="shared" si="348"/>
        <v>46.88</v>
      </c>
      <c r="K1425" s="421">
        <f t="shared" si="358"/>
        <v>55.7</v>
      </c>
      <c r="L1425" s="647" t="s">
        <v>2065</v>
      </c>
      <c r="M1425" s="576"/>
      <c r="N1425" s="576">
        <f t="shared" si="350"/>
        <v>0</v>
      </c>
      <c r="O1425" s="577">
        <f t="shared" si="355"/>
        <v>0</v>
      </c>
      <c r="P1425" s="578">
        <f t="shared" si="356"/>
        <v>0</v>
      </c>
      <c r="Q1425" s="765"/>
      <c r="R1425" s="576">
        <f t="shared" si="352"/>
        <v>0</v>
      </c>
      <c r="S1425" s="576">
        <f t="shared" si="352"/>
        <v>0</v>
      </c>
      <c r="T1425" s="577">
        <f t="shared" si="353"/>
        <v>0</v>
      </c>
      <c r="U1425" s="578">
        <f t="shared" si="354"/>
        <v>0</v>
      </c>
      <c r="V1425" s="579"/>
      <c r="W1425" s="566"/>
      <c r="X1425" s="586" t="str">
        <f t="shared" si="357"/>
        <v/>
      </c>
      <c r="Y1425" s="586" t="str">
        <f t="shared" si="351"/>
        <v/>
      </c>
      <c r="Z1425" s="586" t="str">
        <f t="shared" si="349"/>
        <v/>
      </c>
    </row>
    <row r="1426" spans="1:26" ht="23.25" hidden="1" thickBot="1" x14ac:dyDescent="0.25">
      <c r="A1426" s="567">
        <v>91979</v>
      </c>
      <c r="B1426" s="644">
        <v>91979</v>
      </c>
      <c r="C1426" s="645" t="s">
        <v>670</v>
      </c>
      <c r="D1426" s="422" t="s">
        <v>1277</v>
      </c>
      <c r="E1426" s="423"/>
      <c r="F1426" s="424"/>
      <c r="G1426" s="425"/>
      <c r="H1426" s="651"/>
      <c r="I1426" s="420">
        <v>56.61</v>
      </c>
      <c r="J1426" s="420">
        <f t="shared" si="348"/>
        <v>56.61</v>
      </c>
      <c r="K1426" s="421">
        <f t="shared" si="358"/>
        <v>67.260000000000005</v>
      </c>
      <c r="L1426" s="647" t="s">
        <v>2065</v>
      </c>
      <c r="M1426" s="576"/>
      <c r="N1426" s="576">
        <f t="shared" si="350"/>
        <v>0</v>
      </c>
      <c r="O1426" s="577">
        <f t="shared" si="355"/>
        <v>0</v>
      </c>
      <c r="P1426" s="578">
        <f t="shared" si="356"/>
        <v>0</v>
      </c>
      <c r="Q1426" s="765"/>
      <c r="R1426" s="576">
        <f t="shared" si="352"/>
        <v>0</v>
      </c>
      <c r="S1426" s="576">
        <f t="shared" si="352"/>
        <v>0</v>
      </c>
      <c r="T1426" s="577">
        <f t="shared" si="353"/>
        <v>0</v>
      </c>
      <c r="U1426" s="578">
        <f t="shared" si="354"/>
        <v>0</v>
      </c>
      <c r="V1426" s="579"/>
      <c r="W1426" s="566"/>
      <c r="X1426" s="586" t="str">
        <f t="shared" si="357"/>
        <v/>
      </c>
      <c r="Y1426" s="586" t="str">
        <f t="shared" si="351"/>
        <v/>
      </c>
      <c r="Z1426" s="586" t="str">
        <f t="shared" si="349"/>
        <v/>
      </c>
    </row>
    <row r="1427" spans="1:26" ht="23.25" hidden="1" thickBot="1" x14ac:dyDescent="0.25">
      <c r="A1427" s="567">
        <v>91980</v>
      </c>
      <c r="B1427" s="644">
        <v>91980</v>
      </c>
      <c r="C1427" s="645" t="s">
        <v>670</v>
      </c>
      <c r="D1427" s="422" t="s">
        <v>1278</v>
      </c>
      <c r="E1427" s="423"/>
      <c r="F1427" s="424"/>
      <c r="G1427" s="425"/>
      <c r="H1427" s="651"/>
      <c r="I1427" s="420">
        <v>45.2</v>
      </c>
      <c r="J1427" s="420">
        <f t="shared" ref="J1427:J1490" si="359">IF(ISBLANK(I1427),"",SUM(H1427:I1427))</f>
        <v>45.2</v>
      </c>
      <c r="K1427" s="421">
        <f t="shared" si="358"/>
        <v>53.7</v>
      </c>
      <c r="L1427" s="647" t="s">
        <v>2065</v>
      </c>
      <c r="M1427" s="576"/>
      <c r="N1427" s="576">
        <f t="shared" si="350"/>
        <v>0</v>
      </c>
      <c r="O1427" s="577">
        <f t="shared" si="355"/>
        <v>0</v>
      </c>
      <c r="P1427" s="578">
        <f t="shared" si="356"/>
        <v>0</v>
      </c>
      <c r="Q1427" s="765"/>
      <c r="R1427" s="576">
        <f t="shared" si="352"/>
        <v>0</v>
      </c>
      <c r="S1427" s="576">
        <f t="shared" si="352"/>
        <v>0</v>
      </c>
      <c r="T1427" s="577">
        <f t="shared" si="353"/>
        <v>0</v>
      </c>
      <c r="U1427" s="578">
        <f t="shared" si="354"/>
        <v>0</v>
      </c>
      <c r="V1427" s="579"/>
      <c r="W1427" s="566"/>
      <c r="X1427" s="586" t="str">
        <f t="shared" si="357"/>
        <v/>
      </c>
      <c r="Y1427" s="586" t="str">
        <f t="shared" si="351"/>
        <v/>
      </c>
      <c r="Z1427" s="586" t="str">
        <f t="shared" ref="Z1427:Z1490" si="360">IF(W1427="X","x",IF(U1427&gt;0,"x",""))</f>
        <v/>
      </c>
    </row>
    <row r="1428" spans="1:26" ht="23.25" hidden="1" thickBot="1" x14ac:dyDescent="0.25">
      <c r="A1428" s="567">
        <v>91981</v>
      </c>
      <c r="B1428" s="644">
        <v>91981</v>
      </c>
      <c r="C1428" s="645" t="s">
        <v>670</v>
      </c>
      <c r="D1428" s="422" t="s">
        <v>1279</v>
      </c>
      <c r="E1428" s="423"/>
      <c r="F1428" s="424"/>
      <c r="G1428" s="425"/>
      <c r="H1428" s="651"/>
      <c r="I1428" s="420">
        <v>54.93</v>
      </c>
      <c r="J1428" s="420">
        <f t="shared" si="359"/>
        <v>54.93</v>
      </c>
      <c r="K1428" s="421">
        <f t="shared" si="358"/>
        <v>65.260000000000005</v>
      </c>
      <c r="L1428" s="647" t="s">
        <v>2065</v>
      </c>
      <c r="M1428" s="576"/>
      <c r="N1428" s="576">
        <f t="shared" ref="N1428:N1491" si="361">IF(M1428=0,0,K1428)</f>
        <v>0</v>
      </c>
      <c r="O1428" s="577">
        <f t="shared" si="355"/>
        <v>0</v>
      </c>
      <c r="P1428" s="578">
        <f t="shared" si="356"/>
        <v>0</v>
      </c>
      <c r="Q1428" s="765"/>
      <c r="R1428" s="576">
        <f t="shared" si="352"/>
        <v>0</v>
      </c>
      <c r="S1428" s="576">
        <f t="shared" si="352"/>
        <v>0</v>
      </c>
      <c r="T1428" s="577">
        <f t="shared" si="353"/>
        <v>0</v>
      </c>
      <c r="U1428" s="578">
        <f t="shared" si="354"/>
        <v>0</v>
      </c>
      <c r="V1428" s="579"/>
      <c r="W1428" s="566"/>
      <c r="X1428" s="586" t="str">
        <f t="shared" si="357"/>
        <v/>
      </c>
      <c r="Y1428" s="586" t="str">
        <f t="shared" si="351"/>
        <v/>
      </c>
      <c r="Z1428" s="586" t="str">
        <f t="shared" si="360"/>
        <v/>
      </c>
    </row>
    <row r="1429" spans="1:26" ht="23.25" hidden="1" thickBot="1" x14ac:dyDescent="0.25">
      <c r="A1429" s="567">
        <v>91978</v>
      </c>
      <c r="B1429" s="644">
        <v>91978</v>
      </c>
      <c r="C1429" s="645" t="s">
        <v>670</v>
      </c>
      <c r="D1429" s="422" t="s">
        <v>1276</v>
      </c>
      <c r="E1429" s="423"/>
      <c r="F1429" s="424"/>
      <c r="G1429" s="425"/>
      <c r="H1429" s="651"/>
      <c r="I1429" s="420">
        <v>46.88</v>
      </c>
      <c r="J1429" s="420">
        <f t="shared" si="359"/>
        <v>46.88</v>
      </c>
      <c r="K1429" s="421">
        <f t="shared" si="358"/>
        <v>55.7</v>
      </c>
      <c r="L1429" s="647" t="s">
        <v>2065</v>
      </c>
      <c r="M1429" s="576"/>
      <c r="N1429" s="576">
        <f t="shared" si="361"/>
        <v>0</v>
      </c>
      <c r="O1429" s="577">
        <f t="shared" si="355"/>
        <v>0</v>
      </c>
      <c r="P1429" s="578">
        <f t="shared" si="356"/>
        <v>0</v>
      </c>
      <c r="Q1429" s="765"/>
      <c r="R1429" s="576">
        <f t="shared" si="352"/>
        <v>0</v>
      </c>
      <c r="S1429" s="576">
        <f t="shared" si="352"/>
        <v>0</v>
      </c>
      <c r="T1429" s="577">
        <f t="shared" si="353"/>
        <v>0</v>
      </c>
      <c r="U1429" s="578">
        <f t="shared" si="354"/>
        <v>0</v>
      </c>
      <c r="V1429" s="579"/>
      <c r="W1429" s="566"/>
      <c r="X1429" s="586" t="str">
        <f t="shared" si="357"/>
        <v/>
      </c>
      <c r="Y1429" s="586" t="str">
        <f t="shared" si="351"/>
        <v/>
      </c>
      <c r="Z1429" s="586" t="str">
        <f t="shared" si="360"/>
        <v/>
      </c>
    </row>
    <row r="1430" spans="1:26" ht="23.25" hidden="1" thickBot="1" x14ac:dyDescent="0.25">
      <c r="A1430" s="567">
        <v>91979</v>
      </c>
      <c r="B1430" s="644">
        <v>91979</v>
      </c>
      <c r="C1430" s="645" t="s">
        <v>670</v>
      </c>
      <c r="D1430" s="422" t="s">
        <v>1277</v>
      </c>
      <c r="E1430" s="423"/>
      <c r="F1430" s="424"/>
      <c r="G1430" s="425"/>
      <c r="H1430" s="651"/>
      <c r="I1430" s="420">
        <v>56.61</v>
      </c>
      <c r="J1430" s="420">
        <f t="shared" si="359"/>
        <v>56.61</v>
      </c>
      <c r="K1430" s="421">
        <f t="shared" si="358"/>
        <v>67.260000000000005</v>
      </c>
      <c r="L1430" s="647" t="s">
        <v>2065</v>
      </c>
      <c r="M1430" s="576"/>
      <c r="N1430" s="576">
        <f t="shared" si="361"/>
        <v>0</v>
      </c>
      <c r="O1430" s="577">
        <f t="shared" si="355"/>
        <v>0</v>
      </c>
      <c r="P1430" s="578">
        <f t="shared" si="356"/>
        <v>0</v>
      </c>
      <c r="Q1430" s="765"/>
      <c r="R1430" s="576">
        <f t="shared" si="352"/>
        <v>0</v>
      </c>
      <c r="S1430" s="576">
        <f t="shared" si="352"/>
        <v>0</v>
      </c>
      <c r="T1430" s="577">
        <f t="shared" si="353"/>
        <v>0</v>
      </c>
      <c r="U1430" s="578">
        <f t="shared" si="354"/>
        <v>0</v>
      </c>
      <c r="V1430" s="579"/>
      <c r="W1430" s="566"/>
      <c r="X1430" s="586" t="str">
        <f t="shared" si="357"/>
        <v/>
      </c>
      <c r="Y1430" s="586" t="str">
        <f t="shared" si="351"/>
        <v/>
      </c>
      <c r="Z1430" s="586" t="str">
        <f t="shared" si="360"/>
        <v/>
      </c>
    </row>
    <row r="1431" spans="1:26" ht="23.25" hidden="1" thickBot="1" x14ac:dyDescent="0.25">
      <c r="A1431" s="567">
        <v>91980</v>
      </c>
      <c r="B1431" s="644">
        <v>91980</v>
      </c>
      <c r="C1431" s="645" t="s">
        <v>670</v>
      </c>
      <c r="D1431" s="422" t="s">
        <v>1278</v>
      </c>
      <c r="E1431" s="423"/>
      <c r="F1431" s="424"/>
      <c r="G1431" s="425"/>
      <c r="H1431" s="651"/>
      <c r="I1431" s="420">
        <v>45.2</v>
      </c>
      <c r="J1431" s="420">
        <f t="shared" si="359"/>
        <v>45.2</v>
      </c>
      <c r="K1431" s="421">
        <f t="shared" si="358"/>
        <v>53.7</v>
      </c>
      <c r="L1431" s="647" t="s">
        <v>2065</v>
      </c>
      <c r="M1431" s="576"/>
      <c r="N1431" s="576">
        <f t="shared" si="361"/>
        <v>0</v>
      </c>
      <c r="O1431" s="577">
        <f t="shared" si="355"/>
        <v>0</v>
      </c>
      <c r="P1431" s="578">
        <f t="shared" si="356"/>
        <v>0</v>
      </c>
      <c r="Q1431" s="765"/>
      <c r="R1431" s="576">
        <f t="shared" si="352"/>
        <v>0</v>
      </c>
      <c r="S1431" s="576">
        <f t="shared" si="352"/>
        <v>0</v>
      </c>
      <c r="T1431" s="577">
        <f t="shared" si="353"/>
        <v>0</v>
      </c>
      <c r="U1431" s="578">
        <f t="shared" si="354"/>
        <v>0</v>
      </c>
      <c r="V1431" s="579"/>
      <c r="W1431" s="566"/>
      <c r="X1431" s="586" t="str">
        <f t="shared" si="357"/>
        <v/>
      </c>
      <c r="Y1431" s="586" t="str">
        <f t="shared" si="351"/>
        <v/>
      </c>
      <c r="Z1431" s="586" t="str">
        <f t="shared" si="360"/>
        <v/>
      </c>
    </row>
    <row r="1432" spans="1:26" ht="23.25" hidden="1" thickBot="1" x14ac:dyDescent="0.25">
      <c r="A1432" s="567">
        <v>91981</v>
      </c>
      <c r="B1432" s="644">
        <v>91981</v>
      </c>
      <c r="C1432" s="645" t="s">
        <v>670</v>
      </c>
      <c r="D1432" s="422" t="s">
        <v>1279</v>
      </c>
      <c r="E1432" s="423"/>
      <c r="F1432" s="424"/>
      <c r="G1432" s="425"/>
      <c r="H1432" s="651"/>
      <c r="I1432" s="420">
        <v>54.93</v>
      </c>
      <c r="J1432" s="420">
        <f t="shared" si="359"/>
        <v>54.93</v>
      </c>
      <c r="K1432" s="421">
        <f t="shared" si="358"/>
        <v>65.260000000000005</v>
      </c>
      <c r="L1432" s="647" t="s">
        <v>2065</v>
      </c>
      <c r="M1432" s="576"/>
      <c r="N1432" s="576">
        <f t="shared" si="361"/>
        <v>0</v>
      </c>
      <c r="O1432" s="577">
        <f t="shared" si="355"/>
        <v>0</v>
      </c>
      <c r="P1432" s="578">
        <f t="shared" si="356"/>
        <v>0</v>
      </c>
      <c r="Q1432" s="765"/>
      <c r="R1432" s="576">
        <f t="shared" si="352"/>
        <v>0</v>
      </c>
      <c r="S1432" s="576">
        <f t="shared" si="352"/>
        <v>0</v>
      </c>
      <c r="T1432" s="577">
        <f t="shared" si="353"/>
        <v>0</v>
      </c>
      <c r="U1432" s="578">
        <f t="shared" si="354"/>
        <v>0</v>
      </c>
      <c r="V1432" s="579"/>
      <c r="W1432" s="566"/>
      <c r="X1432" s="586" t="str">
        <f t="shared" si="357"/>
        <v/>
      </c>
      <c r="Y1432" s="586" t="str">
        <f t="shared" si="351"/>
        <v/>
      </c>
      <c r="Z1432" s="586" t="str">
        <f t="shared" si="360"/>
        <v/>
      </c>
    </row>
    <row r="1433" spans="1:26" ht="23.25" hidden="1" thickBot="1" x14ac:dyDescent="0.25">
      <c r="A1433" s="567">
        <v>91982</v>
      </c>
      <c r="B1433" s="644">
        <v>91982</v>
      </c>
      <c r="C1433" s="645" t="s">
        <v>670</v>
      </c>
      <c r="D1433" s="422" t="s">
        <v>1280</v>
      </c>
      <c r="E1433" s="423"/>
      <c r="F1433" s="424"/>
      <c r="G1433" s="425"/>
      <c r="H1433" s="651"/>
      <c r="I1433" s="420">
        <v>118.52</v>
      </c>
      <c r="J1433" s="420">
        <f t="shared" si="359"/>
        <v>118.52</v>
      </c>
      <c r="K1433" s="421">
        <f t="shared" si="358"/>
        <v>140.81</v>
      </c>
      <c r="L1433" s="647" t="s">
        <v>2065</v>
      </c>
      <c r="M1433" s="576"/>
      <c r="N1433" s="576">
        <f t="shared" si="361"/>
        <v>0</v>
      </c>
      <c r="O1433" s="577">
        <f t="shared" si="355"/>
        <v>0</v>
      </c>
      <c r="P1433" s="578">
        <f t="shared" si="356"/>
        <v>0</v>
      </c>
      <c r="Q1433" s="765"/>
      <c r="R1433" s="576">
        <f t="shared" si="352"/>
        <v>0</v>
      </c>
      <c r="S1433" s="576">
        <f t="shared" si="352"/>
        <v>0</v>
      </c>
      <c r="T1433" s="577">
        <f t="shared" si="353"/>
        <v>0</v>
      </c>
      <c r="U1433" s="578">
        <f t="shared" si="354"/>
        <v>0</v>
      </c>
      <c r="V1433" s="579"/>
      <c r="W1433" s="566"/>
      <c r="X1433" s="586" t="str">
        <f t="shared" si="357"/>
        <v/>
      </c>
      <c r="Y1433" s="586" t="str">
        <f t="shared" si="351"/>
        <v/>
      </c>
      <c r="Z1433" s="586" t="str">
        <f t="shared" si="360"/>
        <v/>
      </c>
    </row>
    <row r="1434" spans="1:26" ht="23.25" hidden="1" thickBot="1" x14ac:dyDescent="0.25">
      <c r="A1434" s="567">
        <v>91983</v>
      </c>
      <c r="B1434" s="644">
        <v>91983</v>
      </c>
      <c r="C1434" s="645" t="s">
        <v>670</v>
      </c>
      <c r="D1434" s="422" t="s">
        <v>1281</v>
      </c>
      <c r="E1434" s="423"/>
      <c r="F1434" s="424"/>
      <c r="G1434" s="425"/>
      <c r="H1434" s="651"/>
      <c r="I1434" s="420">
        <v>128.25</v>
      </c>
      <c r="J1434" s="420">
        <f t="shared" si="359"/>
        <v>128.25</v>
      </c>
      <c r="K1434" s="421">
        <f t="shared" si="358"/>
        <v>152.37</v>
      </c>
      <c r="L1434" s="647" t="s">
        <v>2065</v>
      </c>
      <c r="M1434" s="576"/>
      <c r="N1434" s="576">
        <f t="shared" si="361"/>
        <v>0</v>
      </c>
      <c r="O1434" s="577">
        <f t="shared" si="355"/>
        <v>0</v>
      </c>
      <c r="P1434" s="578">
        <f t="shared" si="356"/>
        <v>0</v>
      </c>
      <c r="Q1434" s="765"/>
      <c r="R1434" s="576">
        <f t="shared" si="352"/>
        <v>0</v>
      </c>
      <c r="S1434" s="576">
        <f t="shared" si="352"/>
        <v>0</v>
      </c>
      <c r="T1434" s="577">
        <f t="shared" si="353"/>
        <v>0</v>
      </c>
      <c r="U1434" s="578">
        <f t="shared" si="354"/>
        <v>0</v>
      </c>
      <c r="V1434" s="579"/>
      <c r="W1434" s="566"/>
      <c r="X1434" s="586" t="str">
        <f t="shared" si="357"/>
        <v/>
      </c>
      <c r="Y1434" s="586" t="str">
        <f t="shared" si="351"/>
        <v/>
      </c>
      <c r="Z1434" s="586" t="str">
        <f t="shared" si="360"/>
        <v/>
      </c>
    </row>
    <row r="1435" spans="1:26" ht="23.25" hidden="1" thickBot="1" x14ac:dyDescent="0.25">
      <c r="A1435" s="567">
        <v>91984</v>
      </c>
      <c r="B1435" s="644">
        <v>91984</v>
      </c>
      <c r="C1435" s="645" t="s">
        <v>670</v>
      </c>
      <c r="D1435" s="422" t="s">
        <v>1282</v>
      </c>
      <c r="E1435" s="423"/>
      <c r="F1435" s="424"/>
      <c r="G1435" s="425"/>
      <c r="H1435" s="651"/>
      <c r="I1435" s="420">
        <v>19.77</v>
      </c>
      <c r="J1435" s="420">
        <f t="shared" si="359"/>
        <v>19.77</v>
      </c>
      <c r="K1435" s="421">
        <f t="shared" si="358"/>
        <v>23.49</v>
      </c>
      <c r="L1435" s="647" t="s">
        <v>2065</v>
      </c>
      <c r="M1435" s="576"/>
      <c r="N1435" s="576">
        <f t="shared" si="361"/>
        <v>0</v>
      </c>
      <c r="O1435" s="577">
        <f t="shared" si="355"/>
        <v>0</v>
      </c>
      <c r="P1435" s="578">
        <f t="shared" si="356"/>
        <v>0</v>
      </c>
      <c r="Q1435" s="765"/>
      <c r="R1435" s="576">
        <f t="shared" si="352"/>
        <v>0</v>
      </c>
      <c r="S1435" s="576">
        <f t="shared" si="352"/>
        <v>0</v>
      </c>
      <c r="T1435" s="577">
        <f t="shared" si="353"/>
        <v>0</v>
      </c>
      <c r="U1435" s="578">
        <f t="shared" si="354"/>
        <v>0</v>
      </c>
      <c r="V1435" s="579"/>
      <c r="W1435" s="566"/>
      <c r="X1435" s="586" t="str">
        <f t="shared" si="357"/>
        <v/>
      </c>
      <c r="Y1435" s="586" t="str">
        <f t="shared" si="351"/>
        <v/>
      </c>
      <c r="Z1435" s="586" t="str">
        <f t="shared" si="360"/>
        <v/>
      </c>
    </row>
    <row r="1436" spans="1:26" ht="23.25" hidden="1" thickBot="1" x14ac:dyDescent="0.25">
      <c r="A1436" s="567">
        <v>91985</v>
      </c>
      <c r="B1436" s="644">
        <v>91985</v>
      </c>
      <c r="C1436" s="645" t="s">
        <v>670</v>
      </c>
      <c r="D1436" s="422" t="s">
        <v>1283</v>
      </c>
      <c r="E1436" s="423"/>
      <c r="F1436" s="424"/>
      <c r="G1436" s="425"/>
      <c r="H1436" s="651"/>
      <c r="I1436" s="420">
        <v>29.5</v>
      </c>
      <c r="J1436" s="420">
        <f t="shared" si="359"/>
        <v>29.5</v>
      </c>
      <c r="K1436" s="421">
        <f t="shared" si="358"/>
        <v>35.049999999999997</v>
      </c>
      <c r="L1436" s="647" t="s">
        <v>2065</v>
      </c>
      <c r="M1436" s="576"/>
      <c r="N1436" s="576">
        <f t="shared" si="361"/>
        <v>0</v>
      </c>
      <c r="O1436" s="577">
        <f t="shared" si="355"/>
        <v>0</v>
      </c>
      <c r="P1436" s="578">
        <f t="shared" si="356"/>
        <v>0</v>
      </c>
      <c r="Q1436" s="765"/>
      <c r="R1436" s="576">
        <f t="shared" si="352"/>
        <v>0</v>
      </c>
      <c r="S1436" s="576">
        <f t="shared" si="352"/>
        <v>0</v>
      </c>
      <c r="T1436" s="577">
        <f t="shared" si="353"/>
        <v>0</v>
      </c>
      <c r="U1436" s="578">
        <f t="shared" si="354"/>
        <v>0</v>
      </c>
      <c r="V1436" s="579"/>
      <c r="W1436" s="566"/>
      <c r="X1436" s="586" t="str">
        <f t="shared" si="357"/>
        <v/>
      </c>
      <c r="Y1436" s="586" t="str">
        <f t="shared" si="351"/>
        <v/>
      </c>
      <c r="Z1436" s="586" t="str">
        <f t="shared" si="360"/>
        <v/>
      </c>
    </row>
    <row r="1437" spans="1:26" ht="23.25" hidden="1" thickBot="1" x14ac:dyDescent="0.25">
      <c r="A1437" s="567">
        <v>91986</v>
      </c>
      <c r="B1437" s="644">
        <v>91986</v>
      </c>
      <c r="C1437" s="645" t="s">
        <v>670</v>
      </c>
      <c r="D1437" s="422" t="s">
        <v>1284</v>
      </c>
      <c r="E1437" s="423"/>
      <c r="F1437" s="424"/>
      <c r="G1437" s="425"/>
      <c r="H1437" s="651"/>
      <c r="I1437" s="420">
        <v>44.02</v>
      </c>
      <c r="J1437" s="420">
        <f t="shared" si="359"/>
        <v>44.02</v>
      </c>
      <c r="K1437" s="421">
        <f t="shared" si="358"/>
        <v>52.3</v>
      </c>
      <c r="L1437" s="647" t="s">
        <v>2065</v>
      </c>
      <c r="M1437" s="576"/>
      <c r="N1437" s="576">
        <f t="shared" si="361"/>
        <v>0</v>
      </c>
      <c r="O1437" s="577">
        <f t="shared" si="355"/>
        <v>0</v>
      </c>
      <c r="P1437" s="578">
        <f t="shared" si="356"/>
        <v>0</v>
      </c>
      <c r="Q1437" s="765"/>
      <c r="R1437" s="576">
        <f t="shared" si="352"/>
        <v>0</v>
      </c>
      <c r="S1437" s="576">
        <f t="shared" si="352"/>
        <v>0</v>
      </c>
      <c r="T1437" s="577">
        <f t="shared" si="353"/>
        <v>0</v>
      </c>
      <c r="U1437" s="578">
        <f t="shared" si="354"/>
        <v>0</v>
      </c>
      <c r="V1437" s="579"/>
      <c r="W1437" s="566"/>
      <c r="X1437" s="586" t="str">
        <f t="shared" si="357"/>
        <v/>
      </c>
      <c r="Y1437" s="586" t="str">
        <f t="shared" si="351"/>
        <v/>
      </c>
      <c r="Z1437" s="586" t="str">
        <f t="shared" si="360"/>
        <v/>
      </c>
    </row>
    <row r="1438" spans="1:26" ht="23.25" hidden="1" thickBot="1" x14ac:dyDescent="0.25">
      <c r="A1438" s="567">
        <v>91987</v>
      </c>
      <c r="B1438" s="644">
        <v>91987</v>
      </c>
      <c r="C1438" s="645" t="s">
        <v>670</v>
      </c>
      <c r="D1438" s="422" t="s">
        <v>1285</v>
      </c>
      <c r="E1438" s="423"/>
      <c r="F1438" s="424"/>
      <c r="G1438" s="425"/>
      <c r="H1438" s="651"/>
      <c r="I1438" s="420">
        <v>53.75</v>
      </c>
      <c r="J1438" s="420">
        <f t="shared" si="359"/>
        <v>53.75</v>
      </c>
      <c r="K1438" s="421">
        <f t="shared" si="358"/>
        <v>63.86</v>
      </c>
      <c r="L1438" s="647" t="s">
        <v>2065</v>
      </c>
      <c r="M1438" s="576"/>
      <c r="N1438" s="576">
        <f t="shared" si="361"/>
        <v>0</v>
      </c>
      <c r="O1438" s="577">
        <f t="shared" si="355"/>
        <v>0</v>
      </c>
      <c r="P1438" s="578">
        <f t="shared" si="356"/>
        <v>0</v>
      </c>
      <c r="Q1438" s="765"/>
      <c r="R1438" s="576">
        <f t="shared" si="352"/>
        <v>0</v>
      </c>
      <c r="S1438" s="576">
        <f t="shared" si="352"/>
        <v>0</v>
      </c>
      <c r="T1438" s="577">
        <f t="shared" si="353"/>
        <v>0</v>
      </c>
      <c r="U1438" s="578">
        <f t="shared" si="354"/>
        <v>0</v>
      </c>
      <c r="V1438" s="579"/>
      <c r="W1438" s="566"/>
      <c r="X1438" s="586" t="str">
        <f t="shared" si="357"/>
        <v/>
      </c>
      <c r="Y1438" s="586" t="str">
        <f t="shared" si="351"/>
        <v/>
      </c>
      <c r="Z1438" s="586" t="str">
        <f t="shared" si="360"/>
        <v/>
      </c>
    </row>
    <row r="1439" spans="1:26" ht="23.25" hidden="1" thickBot="1" x14ac:dyDescent="0.25">
      <c r="A1439" s="567">
        <v>91988</v>
      </c>
      <c r="B1439" s="644">
        <v>91988</v>
      </c>
      <c r="C1439" s="645" t="s">
        <v>670</v>
      </c>
      <c r="D1439" s="422" t="s">
        <v>1286</v>
      </c>
      <c r="E1439" s="423"/>
      <c r="F1439" s="424"/>
      <c r="G1439" s="425"/>
      <c r="H1439" s="651"/>
      <c r="I1439" s="420">
        <v>25.42</v>
      </c>
      <c r="J1439" s="420">
        <f t="shared" si="359"/>
        <v>25.42</v>
      </c>
      <c r="K1439" s="421">
        <f t="shared" si="358"/>
        <v>30.2</v>
      </c>
      <c r="L1439" s="647" t="s">
        <v>2065</v>
      </c>
      <c r="M1439" s="576"/>
      <c r="N1439" s="576">
        <f t="shared" si="361"/>
        <v>0</v>
      </c>
      <c r="O1439" s="577">
        <f t="shared" si="355"/>
        <v>0</v>
      </c>
      <c r="P1439" s="578">
        <f t="shared" si="356"/>
        <v>0</v>
      </c>
      <c r="Q1439" s="765"/>
      <c r="R1439" s="576">
        <f t="shared" si="352"/>
        <v>0</v>
      </c>
      <c r="S1439" s="576">
        <f t="shared" si="352"/>
        <v>0</v>
      </c>
      <c r="T1439" s="577">
        <f t="shared" si="353"/>
        <v>0</v>
      </c>
      <c r="U1439" s="578">
        <f t="shared" si="354"/>
        <v>0</v>
      </c>
      <c r="V1439" s="579"/>
      <c r="W1439" s="566"/>
      <c r="X1439" s="586" t="str">
        <f t="shared" si="357"/>
        <v/>
      </c>
      <c r="Y1439" s="586" t="str">
        <f t="shared" si="351"/>
        <v/>
      </c>
      <c r="Z1439" s="586" t="str">
        <f t="shared" si="360"/>
        <v/>
      </c>
    </row>
    <row r="1440" spans="1:26" ht="23.25" hidden="1" thickBot="1" x14ac:dyDescent="0.25">
      <c r="A1440" s="567">
        <v>91989</v>
      </c>
      <c r="B1440" s="644">
        <v>91989</v>
      </c>
      <c r="C1440" s="645" t="s">
        <v>670</v>
      </c>
      <c r="D1440" s="422" t="s">
        <v>1287</v>
      </c>
      <c r="E1440" s="423"/>
      <c r="F1440" s="424"/>
      <c r="G1440" s="425"/>
      <c r="H1440" s="651"/>
      <c r="I1440" s="420">
        <v>35.15</v>
      </c>
      <c r="J1440" s="420">
        <f t="shared" si="359"/>
        <v>35.15</v>
      </c>
      <c r="K1440" s="421">
        <f t="shared" si="358"/>
        <v>41.76</v>
      </c>
      <c r="L1440" s="647" t="s">
        <v>2065</v>
      </c>
      <c r="M1440" s="576"/>
      <c r="N1440" s="576">
        <f t="shared" si="361"/>
        <v>0</v>
      </c>
      <c r="O1440" s="577">
        <f t="shared" si="355"/>
        <v>0</v>
      </c>
      <c r="P1440" s="578">
        <f t="shared" si="356"/>
        <v>0</v>
      </c>
      <c r="Q1440" s="765"/>
      <c r="R1440" s="576">
        <f t="shared" si="352"/>
        <v>0</v>
      </c>
      <c r="S1440" s="576">
        <f t="shared" si="352"/>
        <v>0</v>
      </c>
      <c r="T1440" s="577">
        <f t="shared" si="353"/>
        <v>0</v>
      </c>
      <c r="U1440" s="578">
        <f t="shared" si="354"/>
        <v>0</v>
      </c>
      <c r="V1440" s="579"/>
      <c r="W1440" s="566"/>
      <c r="X1440" s="586" t="str">
        <f t="shared" si="357"/>
        <v/>
      </c>
      <c r="Y1440" s="586" t="str">
        <f t="shared" si="351"/>
        <v/>
      </c>
      <c r="Z1440" s="586" t="str">
        <f t="shared" si="360"/>
        <v/>
      </c>
    </row>
    <row r="1441" spans="1:26" ht="23.25" hidden="1" thickBot="1" x14ac:dyDescent="0.25">
      <c r="A1441" s="567">
        <v>91990</v>
      </c>
      <c r="B1441" s="644">
        <v>91990</v>
      </c>
      <c r="C1441" s="645" t="s">
        <v>670</v>
      </c>
      <c r="D1441" s="422" t="s">
        <v>1288</v>
      </c>
      <c r="E1441" s="423"/>
      <c r="F1441" s="424"/>
      <c r="G1441" s="425"/>
      <c r="H1441" s="651"/>
      <c r="I1441" s="420">
        <v>36.799999999999997</v>
      </c>
      <c r="J1441" s="420">
        <f t="shared" si="359"/>
        <v>36.799999999999997</v>
      </c>
      <c r="K1441" s="421">
        <f t="shared" si="358"/>
        <v>43.72</v>
      </c>
      <c r="L1441" s="647" t="s">
        <v>2065</v>
      </c>
      <c r="M1441" s="576"/>
      <c r="N1441" s="576">
        <f t="shared" si="361"/>
        <v>0</v>
      </c>
      <c r="O1441" s="577">
        <f t="shared" si="355"/>
        <v>0</v>
      </c>
      <c r="P1441" s="578">
        <f t="shared" si="356"/>
        <v>0</v>
      </c>
      <c r="Q1441" s="765"/>
      <c r="R1441" s="576">
        <f t="shared" si="352"/>
        <v>0</v>
      </c>
      <c r="S1441" s="576">
        <f t="shared" si="352"/>
        <v>0</v>
      </c>
      <c r="T1441" s="577">
        <f t="shared" si="353"/>
        <v>0</v>
      </c>
      <c r="U1441" s="578">
        <f t="shared" si="354"/>
        <v>0</v>
      </c>
      <c r="V1441" s="579"/>
      <c r="W1441" s="566"/>
      <c r="X1441" s="586" t="str">
        <f t="shared" si="357"/>
        <v/>
      </c>
      <c r="Y1441" s="586" t="str">
        <f t="shared" si="351"/>
        <v/>
      </c>
      <c r="Z1441" s="586" t="str">
        <f t="shared" si="360"/>
        <v/>
      </c>
    </row>
    <row r="1442" spans="1:26" ht="23.25" hidden="1" thickBot="1" x14ac:dyDescent="0.25">
      <c r="A1442" s="567">
        <v>91991</v>
      </c>
      <c r="B1442" s="644">
        <v>91991</v>
      </c>
      <c r="C1442" s="645" t="s">
        <v>670</v>
      </c>
      <c r="D1442" s="422" t="s">
        <v>1289</v>
      </c>
      <c r="E1442" s="423"/>
      <c r="F1442" s="424"/>
      <c r="G1442" s="425"/>
      <c r="H1442" s="651"/>
      <c r="I1442" s="420">
        <v>39.85</v>
      </c>
      <c r="J1442" s="420">
        <f t="shared" si="359"/>
        <v>39.85</v>
      </c>
      <c r="K1442" s="421">
        <f t="shared" si="358"/>
        <v>47.35</v>
      </c>
      <c r="L1442" s="647" t="s">
        <v>2065</v>
      </c>
      <c r="M1442" s="576"/>
      <c r="N1442" s="576">
        <f t="shared" si="361"/>
        <v>0</v>
      </c>
      <c r="O1442" s="577">
        <f t="shared" si="355"/>
        <v>0</v>
      </c>
      <c r="P1442" s="578">
        <f t="shared" si="356"/>
        <v>0</v>
      </c>
      <c r="Q1442" s="765"/>
      <c r="R1442" s="576">
        <f t="shared" si="352"/>
        <v>0</v>
      </c>
      <c r="S1442" s="576">
        <f t="shared" si="352"/>
        <v>0</v>
      </c>
      <c r="T1442" s="577">
        <f t="shared" si="353"/>
        <v>0</v>
      </c>
      <c r="U1442" s="578">
        <f t="shared" si="354"/>
        <v>0</v>
      </c>
      <c r="V1442" s="579"/>
      <c r="W1442" s="566"/>
      <c r="X1442" s="586" t="str">
        <f t="shared" si="357"/>
        <v/>
      </c>
      <c r="Y1442" s="586" t="str">
        <f t="shared" si="351"/>
        <v/>
      </c>
      <c r="Z1442" s="586" t="str">
        <f t="shared" si="360"/>
        <v/>
      </c>
    </row>
    <row r="1443" spans="1:26" ht="23.25" hidden="1" thickBot="1" x14ac:dyDescent="0.25">
      <c r="A1443" s="567">
        <v>91992</v>
      </c>
      <c r="B1443" s="644">
        <v>91992</v>
      </c>
      <c r="C1443" s="645" t="s">
        <v>670</v>
      </c>
      <c r="D1443" s="422" t="s">
        <v>1290</v>
      </c>
      <c r="E1443" s="423"/>
      <c r="F1443" s="424"/>
      <c r="G1443" s="425"/>
      <c r="H1443" s="651"/>
      <c r="I1443" s="420">
        <v>46.53</v>
      </c>
      <c r="J1443" s="420">
        <f t="shared" si="359"/>
        <v>46.53</v>
      </c>
      <c r="K1443" s="421">
        <f t="shared" si="358"/>
        <v>55.28</v>
      </c>
      <c r="L1443" s="647" t="s">
        <v>2065</v>
      </c>
      <c r="M1443" s="576"/>
      <c r="N1443" s="576">
        <f t="shared" si="361"/>
        <v>0</v>
      </c>
      <c r="O1443" s="577">
        <f t="shared" si="355"/>
        <v>0</v>
      </c>
      <c r="P1443" s="578">
        <f t="shared" si="356"/>
        <v>0</v>
      </c>
      <c r="Q1443" s="765"/>
      <c r="R1443" s="576">
        <f t="shared" si="352"/>
        <v>0</v>
      </c>
      <c r="S1443" s="576">
        <f t="shared" si="352"/>
        <v>0</v>
      </c>
      <c r="T1443" s="577">
        <f t="shared" si="353"/>
        <v>0</v>
      </c>
      <c r="U1443" s="578">
        <f t="shared" si="354"/>
        <v>0</v>
      </c>
      <c r="V1443" s="579"/>
      <c r="W1443" s="566"/>
      <c r="X1443" s="586" t="str">
        <f t="shared" si="357"/>
        <v/>
      </c>
      <c r="Y1443" s="586" t="str">
        <f t="shared" ref="Y1443:Y1506" si="362">IF(W1443="X","x",IF(W1443="y","x",IF(W1443="xx","x",IF(U1443&gt;0,"x",""))))</f>
        <v/>
      </c>
      <c r="Z1443" s="586" t="str">
        <f t="shared" si="360"/>
        <v/>
      </c>
    </row>
    <row r="1444" spans="1:26" ht="23.25" hidden="1" thickBot="1" x14ac:dyDescent="0.25">
      <c r="A1444" s="567">
        <v>91993</v>
      </c>
      <c r="B1444" s="644">
        <v>91993</v>
      </c>
      <c r="C1444" s="645" t="s">
        <v>670</v>
      </c>
      <c r="D1444" s="422" t="s">
        <v>1291</v>
      </c>
      <c r="E1444" s="423"/>
      <c r="F1444" s="424"/>
      <c r="G1444" s="425"/>
      <c r="H1444" s="651"/>
      <c r="I1444" s="420">
        <v>49.58</v>
      </c>
      <c r="J1444" s="420">
        <f t="shared" si="359"/>
        <v>49.58</v>
      </c>
      <c r="K1444" s="421">
        <f t="shared" si="358"/>
        <v>58.91</v>
      </c>
      <c r="L1444" s="647" t="s">
        <v>2065</v>
      </c>
      <c r="M1444" s="576"/>
      <c r="N1444" s="576">
        <f t="shared" si="361"/>
        <v>0</v>
      </c>
      <c r="O1444" s="577">
        <f t="shared" si="355"/>
        <v>0</v>
      </c>
      <c r="P1444" s="578">
        <f t="shared" si="356"/>
        <v>0</v>
      </c>
      <c r="Q1444" s="765"/>
      <c r="R1444" s="576">
        <f t="shared" si="352"/>
        <v>0</v>
      </c>
      <c r="S1444" s="576">
        <f t="shared" si="352"/>
        <v>0</v>
      </c>
      <c r="T1444" s="577">
        <f t="shared" si="353"/>
        <v>0</v>
      </c>
      <c r="U1444" s="578">
        <f t="shared" si="354"/>
        <v>0</v>
      </c>
      <c r="V1444" s="579"/>
      <c r="W1444" s="566"/>
      <c r="X1444" s="586" t="str">
        <f t="shared" si="357"/>
        <v/>
      </c>
      <c r="Y1444" s="586" t="str">
        <f t="shared" si="362"/>
        <v/>
      </c>
      <c r="Z1444" s="586" t="str">
        <f t="shared" si="360"/>
        <v/>
      </c>
    </row>
    <row r="1445" spans="1:26" ht="23.25" hidden="1" thickBot="1" x14ac:dyDescent="0.25">
      <c r="A1445" s="567">
        <v>91994</v>
      </c>
      <c r="B1445" s="644">
        <v>91994</v>
      </c>
      <c r="C1445" s="645" t="s">
        <v>670</v>
      </c>
      <c r="D1445" s="422" t="s">
        <v>1292</v>
      </c>
      <c r="E1445" s="423"/>
      <c r="F1445" s="424"/>
      <c r="G1445" s="425"/>
      <c r="H1445" s="651"/>
      <c r="I1445" s="420">
        <v>26.99</v>
      </c>
      <c r="J1445" s="420">
        <f t="shared" si="359"/>
        <v>26.99</v>
      </c>
      <c r="K1445" s="421">
        <f t="shared" si="358"/>
        <v>32.07</v>
      </c>
      <c r="L1445" s="647" t="s">
        <v>2065</v>
      </c>
      <c r="M1445" s="576"/>
      <c r="N1445" s="576">
        <f t="shared" si="361"/>
        <v>0</v>
      </c>
      <c r="O1445" s="577">
        <f t="shared" si="355"/>
        <v>0</v>
      </c>
      <c r="P1445" s="578">
        <f t="shared" si="356"/>
        <v>0</v>
      </c>
      <c r="Q1445" s="765"/>
      <c r="R1445" s="576">
        <f t="shared" si="352"/>
        <v>0</v>
      </c>
      <c r="S1445" s="576">
        <f t="shared" si="352"/>
        <v>0</v>
      </c>
      <c r="T1445" s="577">
        <f t="shared" si="353"/>
        <v>0</v>
      </c>
      <c r="U1445" s="578">
        <f t="shared" si="354"/>
        <v>0</v>
      </c>
      <c r="V1445" s="579"/>
      <c r="W1445" s="566"/>
      <c r="X1445" s="586" t="str">
        <f t="shared" si="357"/>
        <v/>
      </c>
      <c r="Y1445" s="586" t="str">
        <f t="shared" si="362"/>
        <v/>
      </c>
      <c r="Z1445" s="586" t="str">
        <f t="shared" si="360"/>
        <v/>
      </c>
    </row>
    <row r="1446" spans="1:26" ht="23.25" hidden="1" thickBot="1" x14ac:dyDescent="0.25">
      <c r="A1446" s="567">
        <v>91995</v>
      </c>
      <c r="B1446" s="644">
        <v>91995</v>
      </c>
      <c r="C1446" s="645" t="s">
        <v>670</v>
      </c>
      <c r="D1446" s="422" t="s">
        <v>1293</v>
      </c>
      <c r="E1446" s="423"/>
      <c r="F1446" s="424"/>
      <c r="G1446" s="425"/>
      <c r="H1446" s="651"/>
      <c r="I1446" s="420">
        <v>30.04</v>
      </c>
      <c r="J1446" s="420">
        <f t="shared" si="359"/>
        <v>30.04</v>
      </c>
      <c r="K1446" s="421">
        <f t="shared" si="358"/>
        <v>35.69</v>
      </c>
      <c r="L1446" s="647" t="s">
        <v>2065</v>
      </c>
      <c r="M1446" s="576"/>
      <c r="N1446" s="576">
        <f t="shared" si="361"/>
        <v>0</v>
      </c>
      <c r="O1446" s="577">
        <f t="shared" si="355"/>
        <v>0</v>
      </c>
      <c r="P1446" s="578">
        <f t="shared" si="356"/>
        <v>0</v>
      </c>
      <c r="Q1446" s="765"/>
      <c r="R1446" s="576">
        <f t="shared" si="352"/>
        <v>0</v>
      </c>
      <c r="S1446" s="576">
        <f t="shared" si="352"/>
        <v>0</v>
      </c>
      <c r="T1446" s="577">
        <f t="shared" si="353"/>
        <v>0</v>
      </c>
      <c r="U1446" s="578">
        <f t="shared" si="354"/>
        <v>0</v>
      </c>
      <c r="V1446" s="579"/>
      <c r="W1446" s="566"/>
      <c r="X1446" s="586" t="str">
        <f t="shared" si="357"/>
        <v/>
      </c>
      <c r="Y1446" s="586" t="str">
        <f t="shared" si="362"/>
        <v/>
      </c>
      <c r="Z1446" s="586" t="str">
        <f t="shared" si="360"/>
        <v/>
      </c>
    </row>
    <row r="1447" spans="1:26" ht="23.25" hidden="1" thickBot="1" x14ac:dyDescent="0.25">
      <c r="A1447" s="567">
        <v>91996</v>
      </c>
      <c r="B1447" s="644">
        <v>91996</v>
      </c>
      <c r="C1447" s="645" t="s">
        <v>670</v>
      </c>
      <c r="D1447" s="422" t="s">
        <v>1294</v>
      </c>
      <c r="E1447" s="423"/>
      <c r="F1447" s="424"/>
      <c r="G1447" s="425"/>
      <c r="H1447" s="651"/>
      <c r="I1447" s="420">
        <v>36.72</v>
      </c>
      <c r="J1447" s="420">
        <f t="shared" si="359"/>
        <v>36.72</v>
      </c>
      <c r="K1447" s="421">
        <f t="shared" si="358"/>
        <v>43.63</v>
      </c>
      <c r="L1447" s="647" t="s">
        <v>2065</v>
      </c>
      <c r="M1447" s="576"/>
      <c r="N1447" s="576">
        <f t="shared" si="361"/>
        <v>0</v>
      </c>
      <c r="O1447" s="577">
        <f t="shared" si="355"/>
        <v>0</v>
      </c>
      <c r="P1447" s="578">
        <f t="shared" si="356"/>
        <v>0</v>
      </c>
      <c r="Q1447" s="765"/>
      <c r="R1447" s="576">
        <f t="shared" si="352"/>
        <v>0</v>
      </c>
      <c r="S1447" s="576">
        <f t="shared" si="352"/>
        <v>0</v>
      </c>
      <c r="T1447" s="577">
        <f t="shared" si="353"/>
        <v>0</v>
      </c>
      <c r="U1447" s="578">
        <f t="shared" si="354"/>
        <v>0</v>
      </c>
      <c r="V1447" s="579"/>
      <c r="W1447" s="566"/>
      <c r="X1447" s="586" t="str">
        <f t="shared" si="357"/>
        <v/>
      </c>
      <c r="Y1447" s="586" t="str">
        <f t="shared" si="362"/>
        <v/>
      </c>
      <c r="Z1447" s="586" t="str">
        <f t="shared" si="360"/>
        <v/>
      </c>
    </row>
    <row r="1448" spans="1:26" ht="23.25" hidden="1" thickBot="1" x14ac:dyDescent="0.25">
      <c r="A1448" s="567">
        <v>91997</v>
      </c>
      <c r="B1448" s="644">
        <v>91997</v>
      </c>
      <c r="C1448" s="645" t="s">
        <v>670</v>
      </c>
      <c r="D1448" s="422" t="s">
        <v>1295</v>
      </c>
      <c r="E1448" s="423"/>
      <c r="F1448" s="424"/>
      <c r="G1448" s="425"/>
      <c r="H1448" s="651"/>
      <c r="I1448" s="420">
        <v>39.770000000000003</v>
      </c>
      <c r="J1448" s="420">
        <f t="shared" si="359"/>
        <v>39.770000000000003</v>
      </c>
      <c r="K1448" s="421">
        <f t="shared" si="358"/>
        <v>47.25</v>
      </c>
      <c r="L1448" s="647" t="s">
        <v>2065</v>
      </c>
      <c r="M1448" s="576"/>
      <c r="N1448" s="576">
        <f t="shared" si="361"/>
        <v>0</v>
      </c>
      <c r="O1448" s="577">
        <f t="shared" si="355"/>
        <v>0</v>
      </c>
      <c r="P1448" s="578">
        <f t="shared" si="356"/>
        <v>0</v>
      </c>
      <c r="Q1448" s="765"/>
      <c r="R1448" s="576">
        <f t="shared" si="352"/>
        <v>0</v>
      </c>
      <c r="S1448" s="576">
        <f t="shared" si="352"/>
        <v>0</v>
      </c>
      <c r="T1448" s="577">
        <f t="shared" si="353"/>
        <v>0</v>
      </c>
      <c r="U1448" s="578">
        <f t="shared" si="354"/>
        <v>0</v>
      </c>
      <c r="V1448" s="579"/>
      <c r="W1448" s="566"/>
      <c r="X1448" s="586" t="str">
        <f t="shared" si="357"/>
        <v/>
      </c>
      <c r="Y1448" s="586" t="str">
        <f t="shared" si="362"/>
        <v/>
      </c>
      <c r="Z1448" s="586" t="str">
        <f t="shared" si="360"/>
        <v/>
      </c>
    </row>
    <row r="1449" spans="1:26" ht="23.25" hidden="1" thickBot="1" x14ac:dyDescent="0.25">
      <c r="A1449" s="567">
        <v>91998</v>
      </c>
      <c r="B1449" s="644">
        <v>91998</v>
      </c>
      <c r="C1449" s="645" t="s">
        <v>670</v>
      </c>
      <c r="D1449" s="422" t="s">
        <v>1296</v>
      </c>
      <c r="E1449" s="423"/>
      <c r="F1449" s="424"/>
      <c r="G1449" s="425"/>
      <c r="H1449" s="651"/>
      <c r="I1449" s="420">
        <v>23.17</v>
      </c>
      <c r="J1449" s="420">
        <f t="shared" si="359"/>
        <v>23.17</v>
      </c>
      <c r="K1449" s="421">
        <f t="shared" si="358"/>
        <v>27.53</v>
      </c>
      <c r="L1449" s="647" t="s">
        <v>2065</v>
      </c>
      <c r="M1449" s="576"/>
      <c r="N1449" s="576">
        <f t="shared" si="361"/>
        <v>0</v>
      </c>
      <c r="O1449" s="577">
        <f t="shared" si="355"/>
        <v>0</v>
      </c>
      <c r="P1449" s="578">
        <f t="shared" si="356"/>
        <v>0</v>
      </c>
      <c r="Q1449" s="765"/>
      <c r="R1449" s="576">
        <f t="shared" si="352"/>
        <v>0</v>
      </c>
      <c r="S1449" s="576">
        <f t="shared" si="352"/>
        <v>0</v>
      </c>
      <c r="T1449" s="577">
        <f t="shared" si="353"/>
        <v>0</v>
      </c>
      <c r="U1449" s="578">
        <f t="shared" si="354"/>
        <v>0</v>
      </c>
      <c r="V1449" s="579"/>
      <c r="W1449" s="566"/>
      <c r="X1449" s="586" t="str">
        <f t="shared" si="357"/>
        <v/>
      </c>
      <c r="Y1449" s="586" t="str">
        <f t="shared" si="362"/>
        <v/>
      </c>
      <c r="Z1449" s="586" t="str">
        <f t="shared" si="360"/>
        <v/>
      </c>
    </row>
    <row r="1450" spans="1:26" ht="23.25" hidden="1" thickBot="1" x14ac:dyDescent="0.25">
      <c r="A1450" s="567">
        <v>91999</v>
      </c>
      <c r="B1450" s="644">
        <v>91999</v>
      </c>
      <c r="C1450" s="645" t="s">
        <v>670</v>
      </c>
      <c r="D1450" s="422" t="s">
        <v>1297</v>
      </c>
      <c r="E1450" s="423"/>
      <c r="F1450" s="424"/>
      <c r="G1450" s="425"/>
      <c r="H1450" s="651"/>
      <c r="I1450" s="420">
        <v>26.22</v>
      </c>
      <c r="J1450" s="420">
        <f t="shared" si="359"/>
        <v>26.22</v>
      </c>
      <c r="K1450" s="421">
        <f t="shared" si="358"/>
        <v>31.15</v>
      </c>
      <c r="L1450" s="647" t="s">
        <v>2065</v>
      </c>
      <c r="M1450" s="576"/>
      <c r="N1450" s="576">
        <f t="shared" si="361"/>
        <v>0</v>
      </c>
      <c r="O1450" s="577">
        <f t="shared" si="355"/>
        <v>0</v>
      </c>
      <c r="P1450" s="578">
        <f t="shared" si="356"/>
        <v>0</v>
      </c>
      <c r="Q1450" s="765"/>
      <c r="R1450" s="576">
        <f t="shared" ref="R1450:S1513" si="363">M1450</f>
        <v>0</v>
      </c>
      <c r="S1450" s="576">
        <f t="shared" si="363"/>
        <v>0</v>
      </c>
      <c r="T1450" s="577">
        <f t="shared" si="353"/>
        <v>0</v>
      </c>
      <c r="U1450" s="578">
        <f t="shared" si="354"/>
        <v>0</v>
      </c>
      <c r="V1450" s="579"/>
      <c r="W1450" s="566"/>
      <c r="X1450" s="586" t="str">
        <f t="shared" si="357"/>
        <v/>
      </c>
      <c r="Y1450" s="586" t="str">
        <f t="shared" si="362"/>
        <v/>
      </c>
      <c r="Z1450" s="586" t="str">
        <f t="shared" si="360"/>
        <v/>
      </c>
    </row>
    <row r="1451" spans="1:26" ht="23.25" hidden="1" thickBot="1" x14ac:dyDescent="0.25">
      <c r="A1451" s="567">
        <v>92000</v>
      </c>
      <c r="B1451" s="644">
        <v>92000</v>
      </c>
      <c r="C1451" s="645" t="s">
        <v>670</v>
      </c>
      <c r="D1451" s="422" t="s">
        <v>1298</v>
      </c>
      <c r="E1451" s="423"/>
      <c r="F1451" s="424"/>
      <c r="G1451" s="425"/>
      <c r="H1451" s="651"/>
      <c r="I1451" s="420">
        <v>32.9</v>
      </c>
      <c r="J1451" s="420">
        <f t="shared" si="359"/>
        <v>32.9</v>
      </c>
      <c r="K1451" s="421">
        <f t="shared" si="358"/>
        <v>39.090000000000003</v>
      </c>
      <c r="L1451" s="647" t="s">
        <v>2065</v>
      </c>
      <c r="M1451" s="576"/>
      <c r="N1451" s="576">
        <f t="shared" si="361"/>
        <v>0</v>
      </c>
      <c r="O1451" s="577">
        <f t="shared" si="355"/>
        <v>0</v>
      </c>
      <c r="P1451" s="578">
        <f t="shared" si="356"/>
        <v>0</v>
      </c>
      <c r="Q1451" s="765"/>
      <c r="R1451" s="576">
        <f t="shared" si="363"/>
        <v>0</v>
      </c>
      <c r="S1451" s="576">
        <f t="shared" si="363"/>
        <v>0</v>
      </c>
      <c r="T1451" s="577">
        <f t="shared" si="353"/>
        <v>0</v>
      </c>
      <c r="U1451" s="578">
        <f t="shared" si="354"/>
        <v>0</v>
      </c>
      <c r="V1451" s="579"/>
      <c r="W1451" s="566"/>
      <c r="X1451" s="586" t="str">
        <f t="shared" si="357"/>
        <v/>
      </c>
      <c r="Y1451" s="586" t="str">
        <f t="shared" si="362"/>
        <v/>
      </c>
      <c r="Z1451" s="586" t="str">
        <f t="shared" si="360"/>
        <v/>
      </c>
    </row>
    <row r="1452" spans="1:26" ht="23.25" hidden="1" thickBot="1" x14ac:dyDescent="0.25">
      <c r="A1452" s="567">
        <v>92001</v>
      </c>
      <c r="B1452" s="644">
        <v>92001</v>
      </c>
      <c r="C1452" s="645" t="s">
        <v>670</v>
      </c>
      <c r="D1452" s="422" t="s">
        <v>1299</v>
      </c>
      <c r="E1452" s="423"/>
      <c r="F1452" s="424"/>
      <c r="G1452" s="425"/>
      <c r="H1452" s="651"/>
      <c r="I1452" s="420">
        <v>35.950000000000003</v>
      </c>
      <c r="J1452" s="420">
        <f t="shared" si="359"/>
        <v>35.950000000000003</v>
      </c>
      <c r="K1452" s="421">
        <f t="shared" si="358"/>
        <v>42.71</v>
      </c>
      <c r="L1452" s="647" t="s">
        <v>2065</v>
      </c>
      <c r="M1452" s="576"/>
      <c r="N1452" s="576">
        <f t="shared" si="361"/>
        <v>0</v>
      </c>
      <c r="O1452" s="577">
        <f t="shared" si="355"/>
        <v>0</v>
      </c>
      <c r="P1452" s="578">
        <f t="shared" si="356"/>
        <v>0</v>
      </c>
      <c r="Q1452" s="765"/>
      <c r="R1452" s="576">
        <f t="shared" si="363"/>
        <v>0</v>
      </c>
      <c r="S1452" s="576">
        <f t="shared" si="363"/>
        <v>0</v>
      </c>
      <c r="T1452" s="577">
        <f t="shared" si="353"/>
        <v>0</v>
      </c>
      <c r="U1452" s="578">
        <f t="shared" si="354"/>
        <v>0</v>
      </c>
      <c r="V1452" s="579"/>
      <c r="W1452" s="566"/>
      <c r="X1452" s="586" t="str">
        <f t="shared" si="357"/>
        <v/>
      </c>
      <c r="Y1452" s="586" t="str">
        <f t="shared" si="362"/>
        <v/>
      </c>
      <c r="Z1452" s="586" t="str">
        <f t="shared" si="360"/>
        <v/>
      </c>
    </row>
    <row r="1453" spans="1:26" ht="23.25" hidden="1" thickBot="1" x14ac:dyDescent="0.25">
      <c r="A1453" s="567">
        <v>92002</v>
      </c>
      <c r="B1453" s="644">
        <v>92002</v>
      </c>
      <c r="C1453" s="645" t="s">
        <v>670</v>
      </c>
      <c r="D1453" s="422" t="s">
        <v>1300</v>
      </c>
      <c r="E1453" s="423"/>
      <c r="F1453" s="424"/>
      <c r="G1453" s="425"/>
      <c r="H1453" s="651"/>
      <c r="I1453" s="420">
        <v>50.79</v>
      </c>
      <c r="J1453" s="420">
        <f t="shared" si="359"/>
        <v>50.79</v>
      </c>
      <c r="K1453" s="421">
        <f t="shared" si="358"/>
        <v>60.34</v>
      </c>
      <c r="L1453" s="647" t="s">
        <v>2065</v>
      </c>
      <c r="M1453" s="576"/>
      <c r="N1453" s="576">
        <f t="shared" si="361"/>
        <v>0</v>
      </c>
      <c r="O1453" s="577">
        <f t="shared" si="355"/>
        <v>0</v>
      </c>
      <c r="P1453" s="578">
        <f t="shared" si="356"/>
        <v>0</v>
      </c>
      <c r="Q1453" s="765"/>
      <c r="R1453" s="576">
        <f t="shared" si="363"/>
        <v>0</v>
      </c>
      <c r="S1453" s="576">
        <f t="shared" si="363"/>
        <v>0</v>
      </c>
      <c r="T1453" s="577">
        <f t="shared" si="353"/>
        <v>0</v>
      </c>
      <c r="U1453" s="578">
        <f t="shared" si="354"/>
        <v>0</v>
      </c>
      <c r="V1453" s="579"/>
      <c r="W1453" s="566"/>
      <c r="X1453" s="586" t="str">
        <f t="shared" si="357"/>
        <v/>
      </c>
      <c r="Y1453" s="586" t="str">
        <f t="shared" si="362"/>
        <v/>
      </c>
      <c r="Z1453" s="586" t="str">
        <f t="shared" si="360"/>
        <v/>
      </c>
    </row>
    <row r="1454" spans="1:26" ht="23.25" hidden="1" thickBot="1" x14ac:dyDescent="0.25">
      <c r="A1454" s="567">
        <v>92003</v>
      </c>
      <c r="B1454" s="644">
        <v>92003</v>
      </c>
      <c r="C1454" s="645" t="s">
        <v>670</v>
      </c>
      <c r="D1454" s="422" t="s">
        <v>1301</v>
      </c>
      <c r="E1454" s="423"/>
      <c r="F1454" s="424"/>
      <c r="G1454" s="425"/>
      <c r="H1454" s="651"/>
      <c r="I1454" s="420">
        <v>56.89</v>
      </c>
      <c r="J1454" s="420">
        <f t="shared" si="359"/>
        <v>56.89</v>
      </c>
      <c r="K1454" s="421">
        <f t="shared" si="358"/>
        <v>67.59</v>
      </c>
      <c r="L1454" s="647" t="s">
        <v>2065</v>
      </c>
      <c r="M1454" s="576"/>
      <c r="N1454" s="576">
        <f t="shared" si="361"/>
        <v>0</v>
      </c>
      <c r="O1454" s="577">
        <f t="shared" si="355"/>
        <v>0</v>
      </c>
      <c r="P1454" s="578">
        <f t="shared" si="356"/>
        <v>0</v>
      </c>
      <c r="Q1454" s="765"/>
      <c r="R1454" s="576">
        <f t="shared" si="363"/>
        <v>0</v>
      </c>
      <c r="S1454" s="576">
        <f t="shared" si="363"/>
        <v>0</v>
      </c>
      <c r="T1454" s="577">
        <f t="shared" si="353"/>
        <v>0</v>
      </c>
      <c r="U1454" s="578">
        <f t="shared" si="354"/>
        <v>0</v>
      </c>
      <c r="V1454" s="579"/>
      <c r="W1454" s="566"/>
      <c r="X1454" s="586" t="str">
        <f t="shared" si="357"/>
        <v/>
      </c>
      <c r="Y1454" s="586" t="str">
        <f t="shared" si="362"/>
        <v/>
      </c>
      <c r="Z1454" s="586" t="str">
        <f t="shared" si="360"/>
        <v/>
      </c>
    </row>
    <row r="1455" spans="1:26" ht="23.25" hidden="1" thickBot="1" x14ac:dyDescent="0.25">
      <c r="A1455" s="567">
        <v>92004</v>
      </c>
      <c r="B1455" s="644">
        <v>92004</v>
      </c>
      <c r="C1455" s="645" t="s">
        <v>670</v>
      </c>
      <c r="D1455" s="422" t="s">
        <v>1302</v>
      </c>
      <c r="E1455" s="423"/>
      <c r="F1455" s="424"/>
      <c r="G1455" s="425"/>
      <c r="H1455" s="651"/>
      <c r="I1455" s="420">
        <v>60.52</v>
      </c>
      <c r="J1455" s="420">
        <f t="shared" si="359"/>
        <v>60.52</v>
      </c>
      <c r="K1455" s="421">
        <f t="shared" si="358"/>
        <v>71.900000000000006</v>
      </c>
      <c r="L1455" s="647" t="s">
        <v>2065</v>
      </c>
      <c r="M1455" s="576"/>
      <c r="N1455" s="576">
        <f t="shared" si="361"/>
        <v>0</v>
      </c>
      <c r="O1455" s="577">
        <f t="shared" si="355"/>
        <v>0</v>
      </c>
      <c r="P1455" s="578">
        <f t="shared" si="356"/>
        <v>0</v>
      </c>
      <c r="Q1455" s="765"/>
      <c r="R1455" s="576">
        <f t="shared" si="363"/>
        <v>0</v>
      </c>
      <c r="S1455" s="576">
        <f t="shared" si="363"/>
        <v>0</v>
      </c>
      <c r="T1455" s="577">
        <f t="shared" si="353"/>
        <v>0</v>
      </c>
      <c r="U1455" s="578">
        <f t="shared" si="354"/>
        <v>0</v>
      </c>
      <c r="V1455" s="579"/>
      <c r="W1455" s="566"/>
      <c r="X1455" s="586" t="str">
        <f t="shared" si="357"/>
        <v/>
      </c>
      <c r="Y1455" s="586" t="str">
        <f t="shared" si="362"/>
        <v/>
      </c>
      <c r="Z1455" s="586" t="str">
        <f t="shared" si="360"/>
        <v/>
      </c>
    </row>
    <row r="1456" spans="1:26" ht="23.25" hidden="1" thickBot="1" x14ac:dyDescent="0.25">
      <c r="A1456" s="567">
        <v>92005</v>
      </c>
      <c r="B1456" s="644">
        <v>92005</v>
      </c>
      <c r="C1456" s="645" t="s">
        <v>670</v>
      </c>
      <c r="D1456" s="422" t="s">
        <v>1303</v>
      </c>
      <c r="E1456" s="423"/>
      <c r="F1456" s="424"/>
      <c r="G1456" s="425"/>
      <c r="H1456" s="651"/>
      <c r="I1456" s="420">
        <v>66.62</v>
      </c>
      <c r="J1456" s="420">
        <f t="shared" si="359"/>
        <v>66.62</v>
      </c>
      <c r="K1456" s="421">
        <f t="shared" si="358"/>
        <v>79.150000000000006</v>
      </c>
      <c r="L1456" s="647" t="s">
        <v>2065</v>
      </c>
      <c r="M1456" s="576"/>
      <c r="N1456" s="576">
        <f t="shared" si="361"/>
        <v>0</v>
      </c>
      <c r="O1456" s="577">
        <f t="shared" si="355"/>
        <v>0</v>
      </c>
      <c r="P1456" s="578">
        <f t="shared" si="356"/>
        <v>0</v>
      </c>
      <c r="Q1456" s="765"/>
      <c r="R1456" s="576">
        <f t="shared" si="363"/>
        <v>0</v>
      </c>
      <c r="S1456" s="576">
        <f t="shared" si="363"/>
        <v>0</v>
      </c>
      <c r="T1456" s="577">
        <f t="shared" si="353"/>
        <v>0</v>
      </c>
      <c r="U1456" s="578">
        <f t="shared" si="354"/>
        <v>0</v>
      </c>
      <c r="V1456" s="579"/>
      <c r="W1456" s="566"/>
      <c r="X1456" s="586" t="str">
        <f t="shared" si="357"/>
        <v/>
      </c>
      <c r="Y1456" s="586" t="str">
        <f t="shared" si="362"/>
        <v/>
      </c>
      <c r="Z1456" s="586" t="str">
        <f t="shared" si="360"/>
        <v/>
      </c>
    </row>
    <row r="1457" spans="1:26" ht="23.25" hidden="1" thickBot="1" x14ac:dyDescent="0.25">
      <c r="A1457" s="567">
        <v>92006</v>
      </c>
      <c r="B1457" s="644">
        <v>92006</v>
      </c>
      <c r="C1457" s="645" t="s">
        <v>670</v>
      </c>
      <c r="D1457" s="422" t="s">
        <v>1304</v>
      </c>
      <c r="E1457" s="423"/>
      <c r="F1457" s="424"/>
      <c r="G1457" s="425"/>
      <c r="H1457" s="651"/>
      <c r="I1457" s="420">
        <v>43.18</v>
      </c>
      <c r="J1457" s="420">
        <f t="shared" si="359"/>
        <v>43.18</v>
      </c>
      <c r="K1457" s="421">
        <f t="shared" si="358"/>
        <v>51.3</v>
      </c>
      <c r="L1457" s="647" t="s">
        <v>2065</v>
      </c>
      <c r="M1457" s="576"/>
      <c r="N1457" s="576">
        <f t="shared" si="361"/>
        <v>0</v>
      </c>
      <c r="O1457" s="577">
        <f t="shared" si="355"/>
        <v>0</v>
      </c>
      <c r="P1457" s="578">
        <f t="shared" si="356"/>
        <v>0</v>
      </c>
      <c r="Q1457" s="765"/>
      <c r="R1457" s="576">
        <f t="shared" si="363"/>
        <v>0</v>
      </c>
      <c r="S1457" s="576">
        <f t="shared" si="363"/>
        <v>0</v>
      </c>
      <c r="T1457" s="577">
        <f t="shared" si="353"/>
        <v>0</v>
      </c>
      <c r="U1457" s="578">
        <f t="shared" si="354"/>
        <v>0</v>
      </c>
      <c r="V1457" s="579"/>
      <c r="W1457" s="566"/>
      <c r="X1457" s="586" t="str">
        <f t="shared" si="357"/>
        <v/>
      </c>
      <c r="Y1457" s="586" t="str">
        <f t="shared" si="362"/>
        <v/>
      </c>
      <c r="Z1457" s="586" t="str">
        <f t="shared" si="360"/>
        <v/>
      </c>
    </row>
    <row r="1458" spans="1:26" ht="23.25" hidden="1" thickBot="1" x14ac:dyDescent="0.25">
      <c r="A1458" s="567">
        <v>92007</v>
      </c>
      <c r="B1458" s="644">
        <v>92007</v>
      </c>
      <c r="C1458" s="645" t="s">
        <v>670</v>
      </c>
      <c r="D1458" s="422" t="s">
        <v>1305</v>
      </c>
      <c r="E1458" s="423"/>
      <c r="F1458" s="424"/>
      <c r="G1458" s="425"/>
      <c r="H1458" s="651"/>
      <c r="I1458" s="420">
        <v>49.28</v>
      </c>
      <c r="J1458" s="420">
        <f t="shared" si="359"/>
        <v>49.28</v>
      </c>
      <c r="K1458" s="421">
        <f t="shared" si="358"/>
        <v>58.55</v>
      </c>
      <c r="L1458" s="647" t="s">
        <v>2065</v>
      </c>
      <c r="M1458" s="576"/>
      <c r="N1458" s="576">
        <f t="shared" si="361"/>
        <v>0</v>
      </c>
      <c r="O1458" s="577">
        <f t="shared" si="355"/>
        <v>0</v>
      </c>
      <c r="P1458" s="578">
        <f t="shared" si="356"/>
        <v>0</v>
      </c>
      <c r="Q1458" s="765"/>
      <c r="R1458" s="576">
        <f t="shared" si="363"/>
        <v>0</v>
      </c>
      <c r="S1458" s="576">
        <f t="shared" si="363"/>
        <v>0</v>
      </c>
      <c r="T1458" s="577">
        <f t="shared" si="353"/>
        <v>0</v>
      </c>
      <c r="U1458" s="578">
        <f t="shared" si="354"/>
        <v>0</v>
      </c>
      <c r="V1458" s="579"/>
      <c r="W1458" s="566"/>
      <c r="X1458" s="586" t="str">
        <f t="shared" si="357"/>
        <v/>
      </c>
      <c r="Y1458" s="586" t="str">
        <f t="shared" si="362"/>
        <v/>
      </c>
      <c r="Z1458" s="586" t="str">
        <f t="shared" si="360"/>
        <v/>
      </c>
    </row>
    <row r="1459" spans="1:26" ht="23.25" hidden="1" thickBot="1" x14ac:dyDescent="0.25">
      <c r="A1459" s="567">
        <v>92008</v>
      </c>
      <c r="B1459" s="644">
        <v>92008</v>
      </c>
      <c r="C1459" s="645" t="s">
        <v>670</v>
      </c>
      <c r="D1459" s="422" t="s">
        <v>1306</v>
      </c>
      <c r="E1459" s="423"/>
      <c r="F1459" s="424"/>
      <c r="G1459" s="425"/>
      <c r="H1459" s="651"/>
      <c r="I1459" s="420">
        <v>52.91</v>
      </c>
      <c r="J1459" s="420">
        <f t="shared" si="359"/>
        <v>52.91</v>
      </c>
      <c r="K1459" s="421">
        <f t="shared" si="358"/>
        <v>62.86</v>
      </c>
      <c r="L1459" s="647" t="s">
        <v>2065</v>
      </c>
      <c r="M1459" s="576"/>
      <c r="N1459" s="576">
        <f t="shared" si="361"/>
        <v>0</v>
      </c>
      <c r="O1459" s="577">
        <f t="shared" si="355"/>
        <v>0</v>
      </c>
      <c r="P1459" s="578">
        <f t="shared" si="356"/>
        <v>0</v>
      </c>
      <c r="Q1459" s="765"/>
      <c r="R1459" s="576">
        <f t="shared" si="363"/>
        <v>0</v>
      </c>
      <c r="S1459" s="576">
        <f t="shared" si="363"/>
        <v>0</v>
      </c>
      <c r="T1459" s="577">
        <f t="shared" si="353"/>
        <v>0</v>
      </c>
      <c r="U1459" s="578">
        <f t="shared" si="354"/>
        <v>0</v>
      </c>
      <c r="V1459" s="579"/>
      <c r="W1459" s="566"/>
      <c r="X1459" s="586" t="str">
        <f t="shared" si="357"/>
        <v/>
      </c>
      <c r="Y1459" s="586" t="str">
        <f t="shared" si="362"/>
        <v/>
      </c>
      <c r="Z1459" s="586" t="str">
        <f t="shared" si="360"/>
        <v/>
      </c>
    </row>
    <row r="1460" spans="1:26" ht="23.25" hidden="1" thickBot="1" x14ac:dyDescent="0.25">
      <c r="A1460" s="567">
        <v>92009</v>
      </c>
      <c r="B1460" s="644">
        <v>92009</v>
      </c>
      <c r="C1460" s="645" t="s">
        <v>670</v>
      </c>
      <c r="D1460" s="422" t="s">
        <v>1307</v>
      </c>
      <c r="E1460" s="423"/>
      <c r="F1460" s="424"/>
      <c r="G1460" s="425"/>
      <c r="H1460" s="651"/>
      <c r="I1460" s="420">
        <v>59.01</v>
      </c>
      <c r="J1460" s="420">
        <f t="shared" si="359"/>
        <v>59.01</v>
      </c>
      <c r="K1460" s="421">
        <f t="shared" si="358"/>
        <v>70.11</v>
      </c>
      <c r="L1460" s="647" t="s">
        <v>2065</v>
      </c>
      <c r="M1460" s="576"/>
      <c r="N1460" s="576">
        <f t="shared" si="361"/>
        <v>0</v>
      </c>
      <c r="O1460" s="577">
        <f t="shared" si="355"/>
        <v>0</v>
      </c>
      <c r="P1460" s="578">
        <f t="shared" si="356"/>
        <v>0</v>
      </c>
      <c r="Q1460" s="765"/>
      <c r="R1460" s="576">
        <f t="shared" si="363"/>
        <v>0</v>
      </c>
      <c r="S1460" s="576">
        <f t="shared" si="363"/>
        <v>0</v>
      </c>
      <c r="T1460" s="577">
        <f t="shared" ref="T1460:T1523" si="364">IF(ISBLANK(R1460),0,ROUND(K1460*R1460,2))</f>
        <v>0</v>
      </c>
      <c r="U1460" s="578">
        <f t="shared" ref="U1460:U1523" si="365">IF(ISBLANK(R1460),0,ROUND(R1460*S1460,2))</f>
        <v>0</v>
      </c>
      <c r="V1460" s="579"/>
      <c r="W1460" s="566"/>
      <c r="X1460" s="586" t="str">
        <f t="shared" si="357"/>
        <v/>
      </c>
      <c r="Y1460" s="586" t="str">
        <f t="shared" si="362"/>
        <v/>
      </c>
      <c r="Z1460" s="586" t="str">
        <f t="shared" si="360"/>
        <v/>
      </c>
    </row>
    <row r="1461" spans="1:26" ht="23.25" hidden="1" thickBot="1" x14ac:dyDescent="0.25">
      <c r="A1461" s="567">
        <v>92010</v>
      </c>
      <c r="B1461" s="644">
        <v>92010</v>
      </c>
      <c r="C1461" s="645" t="s">
        <v>670</v>
      </c>
      <c r="D1461" s="422" t="s">
        <v>1308</v>
      </c>
      <c r="E1461" s="423"/>
      <c r="F1461" s="424"/>
      <c r="G1461" s="425"/>
      <c r="H1461" s="651"/>
      <c r="I1461" s="420">
        <v>74.61</v>
      </c>
      <c r="J1461" s="420">
        <f t="shared" si="359"/>
        <v>74.61</v>
      </c>
      <c r="K1461" s="421">
        <f t="shared" si="358"/>
        <v>88.64</v>
      </c>
      <c r="L1461" s="647" t="s">
        <v>2065</v>
      </c>
      <c r="M1461" s="576"/>
      <c r="N1461" s="576">
        <f t="shared" si="361"/>
        <v>0</v>
      </c>
      <c r="O1461" s="577">
        <f t="shared" ref="O1461:O1524" si="366">IF(ISBLANK(M1461),0,ROUND(K1461*M1461,2))</f>
        <v>0</v>
      </c>
      <c r="P1461" s="578">
        <f t="shared" ref="P1461:P1524" si="367">IF(ISBLANK(N1461),0,ROUND(M1461*N1461,2))</f>
        <v>0</v>
      </c>
      <c r="Q1461" s="765"/>
      <c r="R1461" s="576">
        <f t="shared" si="363"/>
        <v>0</v>
      </c>
      <c r="S1461" s="576">
        <f t="shared" si="363"/>
        <v>0</v>
      </c>
      <c r="T1461" s="577">
        <f t="shared" si="364"/>
        <v>0</v>
      </c>
      <c r="U1461" s="578">
        <f t="shared" si="365"/>
        <v>0</v>
      </c>
      <c r="V1461" s="579"/>
      <c r="W1461" s="566"/>
      <c r="X1461" s="586" t="str">
        <f t="shared" si="357"/>
        <v/>
      </c>
      <c r="Y1461" s="586" t="str">
        <f t="shared" si="362"/>
        <v/>
      </c>
      <c r="Z1461" s="586" t="str">
        <f t="shared" si="360"/>
        <v/>
      </c>
    </row>
    <row r="1462" spans="1:26" ht="23.25" hidden="1" thickBot="1" x14ac:dyDescent="0.25">
      <c r="A1462" s="567">
        <v>92011</v>
      </c>
      <c r="B1462" s="644">
        <v>92011</v>
      </c>
      <c r="C1462" s="645" t="s">
        <v>670</v>
      </c>
      <c r="D1462" s="422" t="s">
        <v>1309</v>
      </c>
      <c r="E1462" s="423"/>
      <c r="F1462" s="424"/>
      <c r="G1462" s="425"/>
      <c r="H1462" s="651"/>
      <c r="I1462" s="420">
        <v>83.76</v>
      </c>
      <c r="J1462" s="420">
        <f t="shared" si="359"/>
        <v>83.76</v>
      </c>
      <c r="K1462" s="421">
        <f t="shared" si="358"/>
        <v>99.52</v>
      </c>
      <c r="L1462" s="647" t="s">
        <v>2065</v>
      </c>
      <c r="M1462" s="576"/>
      <c r="N1462" s="576">
        <f t="shared" si="361"/>
        <v>0</v>
      </c>
      <c r="O1462" s="577">
        <f t="shared" si="366"/>
        <v>0</v>
      </c>
      <c r="P1462" s="578">
        <f t="shared" si="367"/>
        <v>0</v>
      </c>
      <c r="Q1462" s="765"/>
      <c r="R1462" s="576">
        <f t="shared" si="363"/>
        <v>0</v>
      </c>
      <c r="S1462" s="576">
        <f t="shared" si="363"/>
        <v>0</v>
      </c>
      <c r="T1462" s="577">
        <f t="shared" si="364"/>
        <v>0</v>
      </c>
      <c r="U1462" s="578">
        <f t="shared" si="365"/>
        <v>0</v>
      </c>
      <c r="V1462" s="579"/>
      <c r="W1462" s="566"/>
      <c r="X1462" s="586" t="str">
        <f t="shared" si="357"/>
        <v/>
      </c>
      <c r="Y1462" s="586" t="str">
        <f t="shared" si="362"/>
        <v/>
      </c>
      <c r="Z1462" s="586" t="str">
        <f t="shared" si="360"/>
        <v/>
      </c>
    </row>
    <row r="1463" spans="1:26" ht="23.25" hidden="1" thickBot="1" x14ac:dyDescent="0.25">
      <c r="A1463" s="567">
        <v>92012</v>
      </c>
      <c r="B1463" s="644">
        <v>92012</v>
      </c>
      <c r="C1463" s="645" t="s">
        <v>670</v>
      </c>
      <c r="D1463" s="422" t="s">
        <v>1310</v>
      </c>
      <c r="E1463" s="423"/>
      <c r="F1463" s="424"/>
      <c r="G1463" s="425"/>
      <c r="H1463" s="651"/>
      <c r="I1463" s="420">
        <v>84.34</v>
      </c>
      <c r="J1463" s="420">
        <f t="shared" si="359"/>
        <v>84.34</v>
      </c>
      <c r="K1463" s="421">
        <f t="shared" si="358"/>
        <v>100.2</v>
      </c>
      <c r="L1463" s="647" t="s">
        <v>2065</v>
      </c>
      <c r="M1463" s="576"/>
      <c r="N1463" s="576">
        <f t="shared" si="361"/>
        <v>0</v>
      </c>
      <c r="O1463" s="577">
        <f t="shared" si="366"/>
        <v>0</v>
      </c>
      <c r="P1463" s="578">
        <f t="shared" si="367"/>
        <v>0</v>
      </c>
      <c r="Q1463" s="765"/>
      <c r="R1463" s="576">
        <f t="shared" si="363"/>
        <v>0</v>
      </c>
      <c r="S1463" s="576">
        <f t="shared" si="363"/>
        <v>0</v>
      </c>
      <c r="T1463" s="577">
        <f t="shared" si="364"/>
        <v>0</v>
      </c>
      <c r="U1463" s="578">
        <f t="shared" si="365"/>
        <v>0</v>
      </c>
      <c r="V1463" s="579"/>
      <c r="W1463" s="566"/>
      <c r="X1463" s="586" t="str">
        <f t="shared" si="357"/>
        <v/>
      </c>
      <c r="Y1463" s="586" t="str">
        <f t="shared" si="362"/>
        <v/>
      </c>
      <c r="Z1463" s="586" t="str">
        <f t="shared" si="360"/>
        <v/>
      </c>
    </row>
    <row r="1464" spans="1:26" ht="23.25" hidden="1" thickBot="1" x14ac:dyDescent="0.25">
      <c r="A1464" s="567">
        <v>92013</v>
      </c>
      <c r="B1464" s="644">
        <v>92013</v>
      </c>
      <c r="C1464" s="645" t="s">
        <v>670</v>
      </c>
      <c r="D1464" s="422" t="s">
        <v>1311</v>
      </c>
      <c r="E1464" s="423"/>
      <c r="F1464" s="424"/>
      <c r="G1464" s="425"/>
      <c r="H1464" s="651"/>
      <c r="I1464" s="420">
        <v>93.49</v>
      </c>
      <c r="J1464" s="420">
        <f t="shared" si="359"/>
        <v>93.49</v>
      </c>
      <c r="K1464" s="421">
        <f t="shared" si="358"/>
        <v>111.08</v>
      </c>
      <c r="L1464" s="647" t="s">
        <v>2065</v>
      </c>
      <c r="M1464" s="576"/>
      <c r="N1464" s="576">
        <f t="shared" si="361"/>
        <v>0</v>
      </c>
      <c r="O1464" s="577">
        <f t="shared" si="366"/>
        <v>0</v>
      </c>
      <c r="P1464" s="578">
        <f t="shared" si="367"/>
        <v>0</v>
      </c>
      <c r="Q1464" s="765"/>
      <c r="R1464" s="576">
        <f t="shared" si="363"/>
        <v>0</v>
      </c>
      <c r="S1464" s="576">
        <f t="shared" si="363"/>
        <v>0</v>
      </c>
      <c r="T1464" s="577">
        <f t="shared" si="364"/>
        <v>0</v>
      </c>
      <c r="U1464" s="578">
        <f t="shared" si="365"/>
        <v>0</v>
      </c>
      <c r="V1464" s="579"/>
      <c r="W1464" s="566"/>
      <c r="X1464" s="586" t="str">
        <f t="shared" si="357"/>
        <v/>
      </c>
      <c r="Y1464" s="586" t="str">
        <f t="shared" si="362"/>
        <v/>
      </c>
      <c r="Z1464" s="586" t="str">
        <f t="shared" si="360"/>
        <v/>
      </c>
    </row>
    <row r="1465" spans="1:26" ht="23.25" hidden="1" thickBot="1" x14ac:dyDescent="0.25">
      <c r="A1465" s="567">
        <v>92014</v>
      </c>
      <c r="B1465" s="644">
        <v>92014</v>
      </c>
      <c r="C1465" s="645" t="s">
        <v>670</v>
      </c>
      <c r="D1465" s="422" t="s">
        <v>1312</v>
      </c>
      <c r="E1465" s="423"/>
      <c r="F1465" s="424"/>
      <c r="G1465" s="425"/>
      <c r="H1465" s="651"/>
      <c r="I1465" s="420">
        <v>63.18</v>
      </c>
      <c r="J1465" s="420">
        <f t="shared" si="359"/>
        <v>63.18</v>
      </c>
      <c r="K1465" s="421">
        <f t="shared" si="358"/>
        <v>75.06</v>
      </c>
      <c r="L1465" s="647" t="s">
        <v>2065</v>
      </c>
      <c r="M1465" s="576"/>
      <c r="N1465" s="576">
        <f t="shared" si="361"/>
        <v>0</v>
      </c>
      <c r="O1465" s="577">
        <f t="shared" si="366"/>
        <v>0</v>
      </c>
      <c r="P1465" s="578">
        <f t="shared" si="367"/>
        <v>0</v>
      </c>
      <c r="Q1465" s="765"/>
      <c r="R1465" s="576">
        <f t="shared" si="363"/>
        <v>0</v>
      </c>
      <c r="S1465" s="576">
        <f t="shared" si="363"/>
        <v>0</v>
      </c>
      <c r="T1465" s="577">
        <f t="shared" si="364"/>
        <v>0</v>
      </c>
      <c r="U1465" s="578">
        <f t="shared" si="365"/>
        <v>0</v>
      </c>
      <c r="V1465" s="579"/>
      <c r="W1465" s="566"/>
      <c r="X1465" s="586" t="str">
        <f t="shared" si="357"/>
        <v/>
      </c>
      <c r="Y1465" s="586" t="str">
        <f t="shared" si="362"/>
        <v/>
      </c>
      <c r="Z1465" s="586" t="str">
        <f t="shared" si="360"/>
        <v/>
      </c>
    </row>
    <row r="1466" spans="1:26" ht="23.25" hidden="1" thickBot="1" x14ac:dyDescent="0.25">
      <c r="A1466" s="567">
        <v>92015</v>
      </c>
      <c r="B1466" s="644">
        <v>92015</v>
      </c>
      <c r="C1466" s="645" t="s">
        <v>670</v>
      </c>
      <c r="D1466" s="422" t="s">
        <v>1313</v>
      </c>
      <c r="E1466" s="423"/>
      <c r="F1466" s="424"/>
      <c r="G1466" s="425"/>
      <c r="H1466" s="651"/>
      <c r="I1466" s="420">
        <v>72.33</v>
      </c>
      <c r="J1466" s="420">
        <f t="shared" si="359"/>
        <v>72.33</v>
      </c>
      <c r="K1466" s="421">
        <f t="shared" si="358"/>
        <v>85.94</v>
      </c>
      <c r="L1466" s="647" t="s">
        <v>2065</v>
      </c>
      <c r="M1466" s="576"/>
      <c r="N1466" s="576">
        <f t="shared" si="361"/>
        <v>0</v>
      </c>
      <c r="O1466" s="577">
        <f t="shared" si="366"/>
        <v>0</v>
      </c>
      <c r="P1466" s="578">
        <f t="shared" si="367"/>
        <v>0</v>
      </c>
      <c r="Q1466" s="765"/>
      <c r="R1466" s="576">
        <f t="shared" si="363"/>
        <v>0</v>
      </c>
      <c r="S1466" s="576">
        <f t="shared" si="363"/>
        <v>0</v>
      </c>
      <c r="T1466" s="577">
        <f t="shared" si="364"/>
        <v>0</v>
      </c>
      <c r="U1466" s="578">
        <f t="shared" si="365"/>
        <v>0</v>
      </c>
      <c r="V1466" s="579"/>
      <c r="W1466" s="566"/>
      <c r="X1466" s="586" t="str">
        <f t="shared" si="357"/>
        <v/>
      </c>
      <c r="Y1466" s="586" t="str">
        <f t="shared" si="362"/>
        <v/>
      </c>
      <c r="Z1466" s="586" t="str">
        <f t="shared" si="360"/>
        <v/>
      </c>
    </row>
    <row r="1467" spans="1:26" ht="23.25" hidden="1" thickBot="1" x14ac:dyDescent="0.25">
      <c r="A1467" s="567">
        <v>92016</v>
      </c>
      <c r="B1467" s="644">
        <v>92016</v>
      </c>
      <c r="C1467" s="645" t="s">
        <v>670</v>
      </c>
      <c r="D1467" s="422" t="s">
        <v>1314</v>
      </c>
      <c r="E1467" s="423"/>
      <c r="F1467" s="424"/>
      <c r="G1467" s="425"/>
      <c r="H1467" s="651"/>
      <c r="I1467" s="420">
        <v>72.91</v>
      </c>
      <c r="J1467" s="420">
        <f t="shared" si="359"/>
        <v>72.91</v>
      </c>
      <c r="K1467" s="421">
        <f t="shared" si="358"/>
        <v>86.62</v>
      </c>
      <c r="L1467" s="647" t="s">
        <v>2065</v>
      </c>
      <c r="M1467" s="576"/>
      <c r="N1467" s="576">
        <f t="shared" si="361"/>
        <v>0</v>
      </c>
      <c r="O1467" s="577">
        <f t="shared" si="366"/>
        <v>0</v>
      </c>
      <c r="P1467" s="578">
        <f t="shared" si="367"/>
        <v>0</v>
      </c>
      <c r="Q1467" s="765"/>
      <c r="R1467" s="576">
        <f t="shared" si="363"/>
        <v>0</v>
      </c>
      <c r="S1467" s="576">
        <f t="shared" si="363"/>
        <v>0</v>
      </c>
      <c r="T1467" s="577">
        <f t="shared" si="364"/>
        <v>0</v>
      </c>
      <c r="U1467" s="578">
        <f t="shared" si="365"/>
        <v>0</v>
      </c>
      <c r="V1467" s="579"/>
      <c r="W1467" s="566"/>
      <c r="X1467" s="586" t="str">
        <f t="shared" si="357"/>
        <v/>
      </c>
      <c r="Y1467" s="586" t="str">
        <f t="shared" si="362"/>
        <v/>
      </c>
      <c r="Z1467" s="586" t="str">
        <f t="shared" si="360"/>
        <v/>
      </c>
    </row>
    <row r="1468" spans="1:26" ht="23.25" hidden="1" thickBot="1" x14ac:dyDescent="0.25">
      <c r="A1468" s="567">
        <v>92017</v>
      </c>
      <c r="B1468" s="644">
        <v>92017</v>
      </c>
      <c r="C1468" s="645" t="s">
        <v>670</v>
      </c>
      <c r="D1468" s="422" t="s">
        <v>1315</v>
      </c>
      <c r="E1468" s="423"/>
      <c r="F1468" s="424"/>
      <c r="G1468" s="425"/>
      <c r="H1468" s="651"/>
      <c r="I1468" s="420">
        <v>82.06</v>
      </c>
      <c r="J1468" s="420">
        <f t="shared" si="359"/>
        <v>82.06</v>
      </c>
      <c r="K1468" s="421">
        <f t="shared" si="358"/>
        <v>97.5</v>
      </c>
      <c r="L1468" s="647" t="s">
        <v>2065</v>
      </c>
      <c r="M1468" s="576"/>
      <c r="N1468" s="576">
        <f t="shared" si="361"/>
        <v>0</v>
      </c>
      <c r="O1468" s="577">
        <f t="shared" si="366"/>
        <v>0</v>
      </c>
      <c r="P1468" s="578">
        <f t="shared" si="367"/>
        <v>0</v>
      </c>
      <c r="Q1468" s="765"/>
      <c r="R1468" s="576">
        <f t="shared" si="363"/>
        <v>0</v>
      </c>
      <c r="S1468" s="576">
        <f t="shared" si="363"/>
        <v>0</v>
      </c>
      <c r="T1468" s="577">
        <f t="shared" si="364"/>
        <v>0</v>
      </c>
      <c r="U1468" s="578">
        <f t="shared" si="365"/>
        <v>0</v>
      </c>
      <c r="V1468" s="579"/>
      <c r="W1468" s="566"/>
      <c r="X1468" s="586" t="str">
        <f t="shared" si="357"/>
        <v/>
      </c>
      <c r="Y1468" s="586" t="str">
        <f t="shared" si="362"/>
        <v/>
      </c>
      <c r="Z1468" s="586" t="str">
        <f t="shared" si="360"/>
        <v/>
      </c>
    </row>
    <row r="1469" spans="1:26" ht="23.25" hidden="1" thickBot="1" x14ac:dyDescent="0.25">
      <c r="A1469" s="567">
        <v>92018</v>
      </c>
      <c r="B1469" s="644">
        <v>92018</v>
      </c>
      <c r="C1469" s="645" t="s">
        <v>670</v>
      </c>
      <c r="D1469" s="422" t="s">
        <v>1316</v>
      </c>
      <c r="E1469" s="423"/>
      <c r="F1469" s="424"/>
      <c r="G1469" s="425"/>
      <c r="H1469" s="651"/>
      <c r="I1469" s="420">
        <v>83.7</v>
      </c>
      <c r="J1469" s="420">
        <f t="shared" si="359"/>
        <v>83.7</v>
      </c>
      <c r="K1469" s="421">
        <f t="shared" si="358"/>
        <v>99.44</v>
      </c>
      <c r="L1469" s="647" t="s">
        <v>2065</v>
      </c>
      <c r="M1469" s="576"/>
      <c r="N1469" s="576">
        <f t="shared" si="361"/>
        <v>0</v>
      </c>
      <c r="O1469" s="577">
        <f t="shared" si="366"/>
        <v>0</v>
      </c>
      <c r="P1469" s="578">
        <f t="shared" si="367"/>
        <v>0</v>
      </c>
      <c r="Q1469" s="765"/>
      <c r="R1469" s="576">
        <f t="shared" si="363"/>
        <v>0</v>
      </c>
      <c r="S1469" s="576">
        <f t="shared" si="363"/>
        <v>0</v>
      </c>
      <c r="T1469" s="577">
        <f t="shared" si="364"/>
        <v>0</v>
      </c>
      <c r="U1469" s="578">
        <f t="shared" si="365"/>
        <v>0</v>
      </c>
      <c r="V1469" s="579"/>
      <c r="W1469" s="566"/>
      <c r="X1469" s="586" t="str">
        <f t="shared" ref="X1469:X1532" si="368">IF(W1469="X","x",IF(W1469="xx","x",IF(W1469="xy","x",IF(W1469="y","x",IF(OR(P1469&gt;0,U1469&gt;0),"x","")))))</f>
        <v/>
      </c>
      <c r="Y1469" s="586" t="str">
        <f t="shared" si="362"/>
        <v/>
      </c>
      <c r="Z1469" s="586" t="str">
        <f t="shared" si="360"/>
        <v/>
      </c>
    </row>
    <row r="1470" spans="1:26" ht="23.25" hidden="1" thickBot="1" x14ac:dyDescent="0.25">
      <c r="A1470" s="567">
        <v>92019</v>
      </c>
      <c r="B1470" s="644">
        <v>92019</v>
      </c>
      <c r="C1470" s="645" t="s">
        <v>670</v>
      </c>
      <c r="D1470" s="422" t="s">
        <v>1317</v>
      </c>
      <c r="E1470" s="423"/>
      <c r="F1470" s="424"/>
      <c r="G1470" s="425"/>
      <c r="H1470" s="651"/>
      <c r="I1470" s="420">
        <v>99.59</v>
      </c>
      <c r="J1470" s="420">
        <f t="shared" si="359"/>
        <v>99.59</v>
      </c>
      <c r="K1470" s="421">
        <f t="shared" si="358"/>
        <v>118.32</v>
      </c>
      <c r="L1470" s="647" t="s">
        <v>2065</v>
      </c>
      <c r="M1470" s="576"/>
      <c r="N1470" s="576">
        <f t="shared" si="361"/>
        <v>0</v>
      </c>
      <c r="O1470" s="577">
        <f t="shared" si="366"/>
        <v>0</v>
      </c>
      <c r="P1470" s="578">
        <f t="shared" si="367"/>
        <v>0</v>
      </c>
      <c r="Q1470" s="765"/>
      <c r="R1470" s="576">
        <f t="shared" si="363"/>
        <v>0</v>
      </c>
      <c r="S1470" s="576">
        <f t="shared" si="363"/>
        <v>0</v>
      </c>
      <c r="T1470" s="577">
        <f t="shared" si="364"/>
        <v>0</v>
      </c>
      <c r="U1470" s="578">
        <f t="shared" si="365"/>
        <v>0</v>
      </c>
      <c r="V1470" s="579"/>
      <c r="W1470" s="566"/>
      <c r="X1470" s="586" t="str">
        <f t="shared" si="368"/>
        <v/>
      </c>
      <c r="Y1470" s="586" t="str">
        <f t="shared" si="362"/>
        <v/>
      </c>
      <c r="Z1470" s="586" t="str">
        <f t="shared" si="360"/>
        <v/>
      </c>
    </row>
    <row r="1471" spans="1:26" ht="23.25" hidden="1" thickBot="1" x14ac:dyDescent="0.25">
      <c r="A1471" s="567">
        <v>92020</v>
      </c>
      <c r="B1471" s="644">
        <v>92020</v>
      </c>
      <c r="C1471" s="645" t="s">
        <v>670</v>
      </c>
      <c r="D1471" s="422" t="s">
        <v>1318</v>
      </c>
      <c r="E1471" s="423"/>
      <c r="F1471" s="424"/>
      <c r="G1471" s="425"/>
      <c r="H1471" s="651"/>
      <c r="I1471" s="420">
        <v>123.97</v>
      </c>
      <c r="J1471" s="420">
        <f t="shared" si="359"/>
        <v>123.97</v>
      </c>
      <c r="K1471" s="421">
        <f t="shared" si="358"/>
        <v>147.29</v>
      </c>
      <c r="L1471" s="647" t="s">
        <v>2065</v>
      </c>
      <c r="M1471" s="576"/>
      <c r="N1471" s="576">
        <f t="shared" si="361"/>
        <v>0</v>
      </c>
      <c r="O1471" s="577">
        <f t="shared" si="366"/>
        <v>0</v>
      </c>
      <c r="P1471" s="578">
        <f t="shared" si="367"/>
        <v>0</v>
      </c>
      <c r="Q1471" s="765"/>
      <c r="R1471" s="576">
        <f t="shared" si="363"/>
        <v>0</v>
      </c>
      <c r="S1471" s="576">
        <f t="shared" si="363"/>
        <v>0</v>
      </c>
      <c r="T1471" s="577">
        <f t="shared" si="364"/>
        <v>0</v>
      </c>
      <c r="U1471" s="578">
        <f t="shared" si="365"/>
        <v>0</v>
      </c>
      <c r="V1471" s="579"/>
      <c r="W1471" s="566"/>
      <c r="X1471" s="586" t="str">
        <f t="shared" si="368"/>
        <v/>
      </c>
      <c r="Y1471" s="586" t="str">
        <f t="shared" si="362"/>
        <v/>
      </c>
      <c r="Z1471" s="586" t="str">
        <f t="shared" si="360"/>
        <v/>
      </c>
    </row>
    <row r="1472" spans="1:26" ht="23.25" hidden="1" thickBot="1" x14ac:dyDescent="0.25">
      <c r="A1472" s="567">
        <v>92021</v>
      </c>
      <c r="B1472" s="644">
        <v>92021</v>
      </c>
      <c r="C1472" s="645" t="s">
        <v>670</v>
      </c>
      <c r="D1472" s="422" t="s">
        <v>1319</v>
      </c>
      <c r="E1472" s="423"/>
      <c r="F1472" s="424"/>
      <c r="G1472" s="425"/>
      <c r="H1472" s="651"/>
      <c r="I1472" s="420">
        <v>139.86000000000001</v>
      </c>
      <c r="J1472" s="420">
        <f t="shared" si="359"/>
        <v>139.86000000000001</v>
      </c>
      <c r="K1472" s="421">
        <f t="shared" si="358"/>
        <v>166.17</v>
      </c>
      <c r="L1472" s="647" t="s">
        <v>2065</v>
      </c>
      <c r="M1472" s="576"/>
      <c r="N1472" s="576">
        <f t="shared" si="361"/>
        <v>0</v>
      </c>
      <c r="O1472" s="577">
        <f t="shared" si="366"/>
        <v>0</v>
      </c>
      <c r="P1472" s="578">
        <f t="shared" si="367"/>
        <v>0</v>
      </c>
      <c r="Q1472" s="765"/>
      <c r="R1472" s="576">
        <f t="shared" si="363"/>
        <v>0</v>
      </c>
      <c r="S1472" s="576">
        <f t="shared" si="363"/>
        <v>0</v>
      </c>
      <c r="T1472" s="577">
        <f t="shared" si="364"/>
        <v>0</v>
      </c>
      <c r="U1472" s="578">
        <f t="shared" si="365"/>
        <v>0</v>
      </c>
      <c r="V1472" s="579"/>
      <c r="W1472" s="566"/>
      <c r="X1472" s="586" t="str">
        <f t="shared" si="368"/>
        <v/>
      </c>
      <c r="Y1472" s="586" t="str">
        <f t="shared" si="362"/>
        <v/>
      </c>
      <c r="Z1472" s="586" t="str">
        <f t="shared" si="360"/>
        <v/>
      </c>
    </row>
    <row r="1473" spans="1:26" ht="23.25" hidden="1" thickBot="1" x14ac:dyDescent="0.25">
      <c r="A1473" s="567">
        <v>93141</v>
      </c>
      <c r="B1473" s="644">
        <v>93141</v>
      </c>
      <c r="C1473" s="645" t="s">
        <v>670</v>
      </c>
      <c r="D1473" s="422" t="s">
        <v>1320</v>
      </c>
      <c r="E1473" s="423"/>
      <c r="F1473" s="424"/>
      <c r="G1473" s="425"/>
      <c r="H1473" s="651"/>
      <c r="I1473" s="420">
        <v>196.92</v>
      </c>
      <c r="J1473" s="420">
        <f t="shared" si="359"/>
        <v>196.92</v>
      </c>
      <c r="K1473" s="421">
        <f t="shared" si="358"/>
        <v>233.96</v>
      </c>
      <c r="L1473" s="647" t="s">
        <v>2065</v>
      </c>
      <c r="M1473" s="576"/>
      <c r="N1473" s="576">
        <f t="shared" si="361"/>
        <v>0</v>
      </c>
      <c r="O1473" s="577">
        <f t="shared" si="366"/>
        <v>0</v>
      </c>
      <c r="P1473" s="578">
        <f t="shared" si="367"/>
        <v>0</v>
      </c>
      <c r="Q1473" s="765"/>
      <c r="R1473" s="576">
        <f t="shared" si="363"/>
        <v>0</v>
      </c>
      <c r="S1473" s="576">
        <f t="shared" si="363"/>
        <v>0</v>
      </c>
      <c r="T1473" s="577">
        <f t="shared" si="364"/>
        <v>0</v>
      </c>
      <c r="U1473" s="578">
        <f t="shared" si="365"/>
        <v>0</v>
      </c>
      <c r="V1473" s="579"/>
      <c r="W1473" s="566"/>
      <c r="X1473" s="586" t="str">
        <f t="shared" si="368"/>
        <v/>
      </c>
      <c r="Y1473" s="586" t="str">
        <f t="shared" si="362"/>
        <v/>
      </c>
      <c r="Z1473" s="586" t="str">
        <f t="shared" si="360"/>
        <v/>
      </c>
    </row>
    <row r="1474" spans="1:26" ht="23.25" hidden="1" thickBot="1" x14ac:dyDescent="0.25">
      <c r="A1474" s="567">
        <v>93142</v>
      </c>
      <c r="B1474" s="644">
        <v>93142</v>
      </c>
      <c r="C1474" s="645" t="s">
        <v>670</v>
      </c>
      <c r="D1474" s="422" t="s">
        <v>1321</v>
      </c>
      <c r="E1474" s="423"/>
      <c r="F1474" s="424"/>
      <c r="G1474" s="425"/>
      <c r="H1474" s="651"/>
      <c r="I1474" s="420">
        <v>220.72</v>
      </c>
      <c r="J1474" s="420">
        <f t="shared" si="359"/>
        <v>220.72</v>
      </c>
      <c r="K1474" s="421">
        <f t="shared" si="358"/>
        <v>262.24</v>
      </c>
      <c r="L1474" s="647" t="s">
        <v>2065</v>
      </c>
      <c r="M1474" s="576"/>
      <c r="N1474" s="576">
        <f t="shared" si="361"/>
        <v>0</v>
      </c>
      <c r="O1474" s="577">
        <f t="shared" si="366"/>
        <v>0</v>
      </c>
      <c r="P1474" s="578">
        <f t="shared" si="367"/>
        <v>0</v>
      </c>
      <c r="Q1474" s="765"/>
      <c r="R1474" s="576">
        <f t="shared" si="363"/>
        <v>0</v>
      </c>
      <c r="S1474" s="576">
        <f t="shared" si="363"/>
        <v>0</v>
      </c>
      <c r="T1474" s="577">
        <f t="shared" si="364"/>
        <v>0</v>
      </c>
      <c r="U1474" s="578">
        <f t="shared" si="365"/>
        <v>0</v>
      </c>
      <c r="V1474" s="579"/>
      <c r="W1474" s="566"/>
      <c r="X1474" s="586" t="str">
        <f t="shared" si="368"/>
        <v/>
      </c>
      <c r="Y1474" s="586" t="str">
        <f t="shared" si="362"/>
        <v/>
      </c>
      <c r="Z1474" s="586" t="str">
        <f t="shared" si="360"/>
        <v/>
      </c>
    </row>
    <row r="1475" spans="1:26" ht="23.25" hidden="1" thickBot="1" x14ac:dyDescent="0.25">
      <c r="A1475" s="567">
        <v>93143</v>
      </c>
      <c r="B1475" s="644">
        <v>93143</v>
      </c>
      <c r="C1475" s="645" t="s">
        <v>670</v>
      </c>
      <c r="D1475" s="422" t="s">
        <v>1322</v>
      </c>
      <c r="E1475" s="423"/>
      <c r="F1475" s="424"/>
      <c r="G1475" s="425"/>
      <c r="H1475" s="651"/>
      <c r="I1475" s="420">
        <v>199.97</v>
      </c>
      <c r="J1475" s="420">
        <f t="shared" si="359"/>
        <v>199.97</v>
      </c>
      <c r="K1475" s="421">
        <f t="shared" si="358"/>
        <v>237.58</v>
      </c>
      <c r="L1475" s="647" t="s">
        <v>2065</v>
      </c>
      <c r="M1475" s="576"/>
      <c r="N1475" s="576">
        <f t="shared" si="361"/>
        <v>0</v>
      </c>
      <c r="O1475" s="577">
        <f t="shared" si="366"/>
        <v>0</v>
      </c>
      <c r="P1475" s="578">
        <f t="shared" si="367"/>
        <v>0</v>
      </c>
      <c r="Q1475" s="765"/>
      <c r="R1475" s="576">
        <f t="shared" si="363"/>
        <v>0</v>
      </c>
      <c r="S1475" s="576">
        <f t="shared" si="363"/>
        <v>0</v>
      </c>
      <c r="T1475" s="577">
        <f t="shared" si="364"/>
        <v>0</v>
      </c>
      <c r="U1475" s="578">
        <f t="shared" si="365"/>
        <v>0</v>
      </c>
      <c r="V1475" s="579"/>
      <c r="W1475" s="566"/>
      <c r="X1475" s="586" t="str">
        <f t="shared" si="368"/>
        <v/>
      </c>
      <c r="Y1475" s="586" t="str">
        <f t="shared" si="362"/>
        <v/>
      </c>
      <c r="Z1475" s="586" t="str">
        <f t="shared" si="360"/>
        <v/>
      </c>
    </row>
    <row r="1476" spans="1:26" ht="23.25" hidden="1" thickBot="1" x14ac:dyDescent="0.25">
      <c r="A1476" s="567">
        <v>93144</v>
      </c>
      <c r="B1476" s="644">
        <v>93144</v>
      </c>
      <c r="C1476" s="645" t="s">
        <v>670</v>
      </c>
      <c r="D1476" s="422" t="s">
        <v>1323</v>
      </c>
      <c r="E1476" s="423"/>
      <c r="F1476" s="424"/>
      <c r="G1476" s="425"/>
      <c r="H1476" s="651"/>
      <c r="I1476" s="420">
        <v>253.83</v>
      </c>
      <c r="J1476" s="420">
        <f t="shared" si="359"/>
        <v>253.83</v>
      </c>
      <c r="K1476" s="421">
        <f t="shared" si="358"/>
        <v>301.58</v>
      </c>
      <c r="L1476" s="647" t="s">
        <v>2065</v>
      </c>
      <c r="M1476" s="576"/>
      <c r="N1476" s="576">
        <f t="shared" si="361"/>
        <v>0</v>
      </c>
      <c r="O1476" s="577">
        <f t="shared" si="366"/>
        <v>0</v>
      </c>
      <c r="P1476" s="578">
        <f t="shared" si="367"/>
        <v>0</v>
      </c>
      <c r="Q1476" s="765"/>
      <c r="R1476" s="576">
        <f t="shared" si="363"/>
        <v>0</v>
      </c>
      <c r="S1476" s="576">
        <f t="shared" si="363"/>
        <v>0</v>
      </c>
      <c r="T1476" s="577">
        <f t="shared" si="364"/>
        <v>0</v>
      </c>
      <c r="U1476" s="578">
        <f t="shared" si="365"/>
        <v>0</v>
      </c>
      <c r="V1476" s="579"/>
      <c r="W1476" s="566"/>
      <c r="X1476" s="586" t="str">
        <f t="shared" si="368"/>
        <v/>
      </c>
      <c r="Y1476" s="586" t="str">
        <f t="shared" si="362"/>
        <v/>
      </c>
      <c r="Z1476" s="586" t="str">
        <f t="shared" si="360"/>
        <v/>
      </c>
    </row>
    <row r="1477" spans="1:26" ht="34.5" hidden="1" thickBot="1" x14ac:dyDescent="0.25">
      <c r="A1477" s="567">
        <v>93145</v>
      </c>
      <c r="B1477" s="644">
        <v>93145</v>
      </c>
      <c r="C1477" s="645" t="s">
        <v>670</v>
      </c>
      <c r="D1477" s="422" t="s">
        <v>1324</v>
      </c>
      <c r="E1477" s="423"/>
      <c r="F1477" s="424"/>
      <c r="G1477" s="425"/>
      <c r="H1477" s="651"/>
      <c r="I1477" s="420">
        <v>239.5</v>
      </c>
      <c r="J1477" s="420">
        <f t="shared" si="359"/>
        <v>239.5</v>
      </c>
      <c r="K1477" s="421">
        <f t="shared" si="358"/>
        <v>284.55</v>
      </c>
      <c r="L1477" s="647" t="s">
        <v>2065</v>
      </c>
      <c r="M1477" s="576"/>
      <c r="N1477" s="576">
        <f t="shared" si="361"/>
        <v>0</v>
      </c>
      <c r="O1477" s="577">
        <f t="shared" si="366"/>
        <v>0</v>
      </c>
      <c r="P1477" s="578">
        <f t="shared" si="367"/>
        <v>0</v>
      </c>
      <c r="Q1477" s="765"/>
      <c r="R1477" s="576">
        <f t="shared" si="363"/>
        <v>0</v>
      </c>
      <c r="S1477" s="576">
        <f t="shared" si="363"/>
        <v>0</v>
      </c>
      <c r="T1477" s="577">
        <f t="shared" si="364"/>
        <v>0</v>
      </c>
      <c r="U1477" s="578">
        <f t="shared" si="365"/>
        <v>0</v>
      </c>
      <c r="V1477" s="579"/>
      <c r="W1477" s="566"/>
      <c r="X1477" s="586" t="str">
        <f t="shared" si="368"/>
        <v/>
      </c>
      <c r="Y1477" s="586" t="str">
        <f t="shared" si="362"/>
        <v/>
      </c>
      <c r="Z1477" s="586" t="str">
        <f t="shared" si="360"/>
        <v/>
      </c>
    </row>
    <row r="1478" spans="1:26" ht="34.5" hidden="1" thickBot="1" x14ac:dyDescent="0.25">
      <c r="A1478" s="567">
        <v>93146</v>
      </c>
      <c r="B1478" s="644">
        <v>93146</v>
      </c>
      <c r="C1478" s="645" t="s">
        <v>670</v>
      </c>
      <c r="D1478" s="422" t="s">
        <v>1325</v>
      </c>
      <c r="E1478" s="423"/>
      <c r="F1478" s="424"/>
      <c r="G1478" s="425"/>
      <c r="H1478" s="651"/>
      <c r="I1478" s="420">
        <v>258.95999999999998</v>
      </c>
      <c r="J1478" s="420">
        <f t="shared" si="359"/>
        <v>258.95999999999998</v>
      </c>
      <c r="K1478" s="421">
        <f t="shared" si="358"/>
        <v>307.67</v>
      </c>
      <c r="L1478" s="647" t="s">
        <v>2065</v>
      </c>
      <c r="M1478" s="576"/>
      <c r="N1478" s="576">
        <f t="shared" si="361"/>
        <v>0</v>
      </c>
      <c r="O1478" s="577">
        <f t="shared" si="366"/>
        <v>0</v>
      </c>
      <c r="P1478" s="578">
        <f t="shared" si="367"/>
        <v>0</v>
      </c>
      <c r="Q1478" s="765"/>
      <c r="R1478" s="576">
        <f t="shared" si="363"/>
        <v>0</v>
      </c>
      <c r="S1478" s="576">
        <f t="shared" si="363"/>
        <v>0</v>
      </c>
      <c r="T1478" s="577">
        <f t="shared" si="364"/>
        <v>0</v>
      </c>
      <c r="U1478" s="578">
        <f t="shared" si="365"/>
        <v>0</v>
      </c>
      <c r="V1478" s="579"/>
      <c r="W1478" s="566"/>
      <c r="X1478" s="586" t="str">
        <f t="shared" si="368"/>
        <v/>
      </c>
      <c r="Y1478" s="586" t="str">
        <f t="shared" si="362"/>
        <v/>
      </c>
      <c r="Z1478" s="586" t="str">
        <f t="shared" si="360"/>
        <v/>
      </c>
    </row>
    <row r="1479" spans="1:26" ht="34.5" hidden="1" thickBot="1" x14ac:dyDescent="0.25">
      <c r="A1479" s="567">
        <v>93147</v>
      </c>
      <c r="B1479" s="644">
        <v>93147</v>
      </c>
      <c r="C1479" s="645" t="s">
        <v>670</v>
      </c>
      <c r="D1479" s="422" t="s">
        <v>1326</v>
      </c>
      <c r="E1479" s="423"/>
      <c r="F1479" s="424"/>
      <c r="G1479" s="425"/>
      <c r="H1479" s="651"/>
      <c r="I1479" s="420">
        <v>295.49</v>
      </c>
      <c r="J1479" s="420">
        <f t="shared" si="359"/>
        <v>295.49</v>
      </c>
      <c r="K1479" s="421">
        <f t="shared" si="358"/>
        <v>351.07</v>
      </c>
      <c r="L1479" s="647" t="s">
        <v>2065</v>
      </c>
      <c r="M1479" s="576"/>
      <c r="N1479" s="576">
        <f t="shared" si="361"/>
        <v>0</v>
      </c>
      <c r="O1479" s="577">
        <f t="shared" si="366"/>
        <v>0</v>
      </c>
      <c r="P1479" s="578">
        <f t="shared" si="367"/>
        <v>0</v>
      </c>
      <c r="Q1479" s="765"/>
      <c r="R1479" s="576">
        <f t="shared" si="363"/>
        <v>0</v>
      </c>
      <c r="S1479" s="576">
        <f t="shared" si="363"/>
        <v>0</v>
      </c>
      <c r="T1479" s="577">
        <f t="shared" si="364"/>
        <v>0</v>
      </c>
      <c r="U1479" s="578">
        <f t="shared" si="365"/>
        <v>0</v>
      </c>
      <c r="V1479" s="579"/>
      <c r="W1479" s="566"/>
      <c r="X1479" s="586" t="str">
        <f t="shared" si="368"/>
        <v/>
      </c>
      <c r="Y1479" s="586" t="str">
        <f t="shared" si="362"/>
        <v/>
      </c>
      <c r="Z1479" s="586" t="str">
        <f t="shared" si="360"/>
        <v/>
      </c>
    </row>
    <row r="1480" spans="1:26" ht="23.25" hidden="1" thickBot="1" x14ac:dyDescent="0.25">
      <c r="A1480" s="567">
        <v>93128</v>
      </c>
      <c r="B1480" s="644">
        <v>93128</v>
      </c>
      <c r="C1480" s="645" t="s">
        <v>670</v>
      </c>
      <c r="D1480" s="422" t="s">
        <v>1327</v>
      </c>
      <c r="E1480" s="423"/>
      <c r="F1480" s="424"/>
      <c r="G1480" s="425"/>
      <c r="H1480" s="651"/>
      <c r="I1480" s="420">
        <v>162.77000000000001</v>
      </c>
      <c r="J1480" s="420">
        <f t="shared" si="359"/>
        <v>162.77000000000001</v>
      </c>
      <c r="K1480" s="421">
        <f t="shared" si="358"/>
        <v>193.39</v>
      </c>
      <c r="L1480" s="647" t="s">
        <v>2065</v>
      </c>
      <c r="M1480" s="576"/>
      <c r="N1480" s="576">
        <f t="shared" si="361"/>
        <v>0</v>
      </c>
      <c r="O1480" s="577">
        <f t="shared" si="366"/>
        <v>0</v>
      </c>
      <c r="P1480" s="578">
        <f t="shared" si="367"/>
        <v>0</v>
      </c>
      <c r="Q1480" s="765"/>
      <c r="R1480" s="576">
        <f t="shared" si="363"/>
        <v>0</v>
      </c>
      <c r="S1480" s="576">
        <f t="shared" si="363"/>
        <v>0</v>
      </c>
      <c r="T1480" s="577">
        <f t="shared" si="364"/>
        <v>0</v>
      </c>
      <c r="U1480" s="578">
        <f t="shared" si="365"/>
        <v>0</v>
      </c>
      <c r="V1480" s="579"/>
      <c r="W1480" s="566"/>
      <c r="X1480" s="586" t="str">
        <f t="shared" si="368"/>
        <v/>
      </c>
      <c r="Y1480" s="586" t="str">
        <f t="shared" si="362"/>
        <v/>
      </c>
      <c r="Z1480" s="586" t="str">
        <f t="shared" si="360"/>
        <v/>
      </c>
    </row>
    <row r="1481" spans="1:26" ht="34.5" hidden="1" thickBot="1" x14ac:dyDescent="0.25">
      <c r="A1481" s="567">
        <v>93137</v>
      </c>
      <c r="B1481" s="644">
        <v>93137</v>
      </c>
      <c r="C1481" s="645" t="s">
        <v>670</v>
      </c>
      <c r="D1481" s="422" t="s">
        <v>1328</v>
      </c>
      <c r="E1481" s="423"/>
      <c r="F1481" s="424"/>
      <c r="G1481" s="425"/>
      <c r="H1481" s="651"/>
      <c r="I1481" s="420">
        <v>193.19</v>
      </c>
      <c r="J1481" s="420">
        <f t="shared" si="359"/>
        <v>193.19</v>
      </c>
      <c r="K1481" s="421">
        <f t="shared" ref="K1481:K1544" si="369">IF(ISBLANK(I1481),0,ROUND(J1481*(1+$F$10)*(1+$F$11*E1481),2))</f>
        <v>229.53</v>
      </c>
      <c r="L1481" s="647" t="s">
        <v>2065</v>
      </c>
      <c r="M1481" s="576"/>
      <c r="N1481" s="576">
        <f t="shared" si="361"/>
        <v>0</v>
      </c>
      <c r="O1481" s="577">
        <f t="shared" si="366"/>
        <v>0</v>
      </c>
      <c r="P1481" s="578">
        <f t="shared" si="367"/>
        <v>0</v>
      </c>
      <c r="Q1481" s="765"/>
      <c r="R1481" s="576">
        <f t="shared" si="363"/>
        <v>0</v>
      </c>
      <c r="S1481" s="576">
        <f t="shared" si="363"/>
        <v>0</v>
      </c>
      <c r="T1481" s="577">
        <f t="shared" si="364"/>
        <v>0</v>
      </c>
      <c r="U1481" s="578">
        <f t="shared" si="365"/>
        <v>0</v>
      </c>
      <c r="V1481" s="579"/>
      <c r="W1481" s="566"/>
      <c r="X1481" s="586" t="str">
        <f t="shared" si="368"/>
        <v/>
      </c>
      <c r="Y1481" s="586" t="str">
        <f t="shared" si="362"/>
        <v/>
      </c>
      <c r="Z1481" s="586" t="str">
        <f t="shared" si="360"/>
        <v/>
      </c>
    </row>
    <row r="1482" spans="1:26" ht="34.5" hidden="1" thickBot="1" x14ac:dyDescent="0.25">
      <c r="A1482" s="567">
        <v>93138</v>
      </c>
      <c r="B1482" s="644">
        <v>93138</v>
      </c>
      <c r="C1482" s="645" t="s">
        <v>670</v>
      </c>
      <c r="D1482" s="422" t="s">
        <v>1329</v>
      </c>
      <c r="E1482" s="423"/>
      <c r="F1482" s="424"/>
      <c r="G1482" s="425"/>
      <c r="H1482" s="651"/>
      <c r="I1482" s="420">
        <v>182.24</v>
      </c>
      <c r="J1482" s="420">
        <f t="shared" si="359"/>
        <v>182.24</v>
      </c>
      <c r="K1482" s="421">
        <f t="shared" si="369"/>
        <v>216.52</v>
      </c>
      <c r="L1482" s="647" t="s">
        <v>2065</v>
      </c>
      <c r="M1482" s="576"/>
      <c r="N1482" s="576">
        <f t="shared" si="361"/>
        <v>0</v>
      </c>
      <c r="O1482" s="577">
        <f t="shared" si="366"/>
        <v>0</v>
      </c>
      <c r="P1482" s="578">
        <f t="shared" si="367"/>
        <v>0</v>
      </c>
      <c r="Q1482" s="765"/>
      <c r="R1482" s="576">
        <f t="shared" si="363"/>
        <v>0</v>
      </c>
      <c r="S1482" s="576">
        <f t="shared" si="363"/>
        <v>0</v>
      </c>
      <c r="T1482" s="577">
        <f t="shared" si="364"/>
        <v>0</v>
      </c>
      <c r="U1482" s="578">
        <f t="shared" si="365"/>
        <v>0</v>
      </c>
      <c r="V1482" s="579"/>
      <c r="W1482" s="566"/>
      <c r="X1482" s="586" t="str">
        <f t="shared" si="368"/>
        <v/>
      </c>
      <c r="Y1482" s="586" t="str">
        <f t="shared" si="362"/>
        <v/>
      </c>
      <c r="Z1482" s="586" t="str">
        <f t="shared" si="360"/>
        <v/>
      </c>
    </row>
    <row r="1483" spans="1:26" ht="34.5" hidden="1" thickBot="1" x14ac:dyDescent="0.25">
      <c r="A1483" s="567">
        <v>93139</v>
      </c>
      <c r="B1483" s="644">
        <v>93139</v>
      </c>
      <c r="C1483" s="645" t="s">
        <v>670</v>
      </c>
      <c r="D1483" s="422" t="s">
        <v>1330</v>
      </c>
      <c r="E1483" s="423"/>
      <c r="F1483" s="424"/>
      <c r="G1483" s="425"/>
      <c r="H1483" s="651"/>
      <c r="I1483" s="420">
        <v>232.07</v>
      </c>
      <c r="J1483" s="420">
        <f t="shared" si="359"/>
        <v>232.07</v>
      </c>
      <c r="K1483" s="421">
        <f t="shared" si="369"/>
        <v>275.72000000000003</v>
      </c>
      <c r="L1483" s="647" t="s">
        <v>2065</v>
      </c>
      <c r="M1483" s="576"/>
      <c r="N1483" s="576">
        <f t="shared" si="361"/>
        <v>0</v>
      </c>
      <c r="O1483" s="577">
        <f t="shared" si="366"/>
        <v>0</v>
      </c>
      <c r="P1483" s="578">
        <f t="shared" si="367"/>
        <v>0</v>
      </c>
      <c r="Q1483" s="765"/>
      <c r="R1483" s="576">
        <f t="shared" si="363"/>
        <v>0</v>
      </c>
      <c r="S1483" s="576">
        <f t="shared" si="363"/>
        <v>0</v>
      </c>
      <c r="T1483" s="577">
        <f t="shared" si="364"/>
        <v>0</v>
      </c>
      <c r="U1483" s="578">
        <f t="shared" si="365"/>
        <v>0</v>
      </c>
      <c r="V1483" s="579"/>
      <c r="W1483" s="566"/>
      <c r="X1483" s="586" t="str">
        <f t="shared" si="368"/>
        <v/>
      </c>
      <c r="Y1483" s="586" t="str">
        <f t="shared" si="362"/>
        <v/>
      </c>
      <c r="Z1483" s="586" t="str">
        <f t="shared" si="360"/>
        <v/>
      </c>
    </row>
    <row r="1484" spans="1:26" ht="34.5" hidden="1" thickBot="1" x14ac:dyDescent="0.25">
      <c r="A1484" s="567">
        <v>93140</v>
      </c>
      <c r="B1484" s="644">
        <v>93140</v>
      </c>
      <c r="C1484" s="645" t="s">
        <v>670</v>
      </c>
      <c r="D1484" s="422" t="s">
        <v>1331</v>
      </c>
      <c r="E1484" s="423"/>
      <c r="F1484" s="424"/>
      <c r="G1484" s="425"/>
      <c r="H1484" s="651"/>
      <c r="I1484" s="420">
        <v>218.71</v>
      </c>
      <c r="J1484" s="420">
        <f t="shared" si="359"/>
        <v>218.71</v>
      </c>
      <c r="K1484" s="421">
        <f t="shared" si="369"/>
        <v>259.85000000000002</v>
      </c>
      <c r="L1484" s="647" t="s">
        <v>2065</v>
      </c>
      <c r="M1484" s="576"/>
      <c r="N1484" s="576">
        <f t="shared" si="361"/>
        <v>0</v>
      </c>
      <c r="O1484" s="577">
        <f t="shared" si="366"/>
        <v>0</v>
      </c>
      <c r="P1484" s="578">
        <f t="shared" si="367"/>
        <v>0</v>
      </c>
      <c r="Q1484" s="765"/>
      <c r="R1484" s="576">
        <f t="shared" si="363"/>
        <v>0</v>
      </c>
      <c r="S1484" s="576">
        <f t="shared" si="363"/>
        <v>0</v>
      </c>
      <c r="T1484" s="577">
        <f t="shared" si="364"/>
        <v>0</v>
      </c>
      <c r="U1484" s="578">
        <f t="shared" si="365"/>
        <v>0</v>
      </c>
      <c r="V1484" s="579"/>
      <c r="W1484" s="566"/>
      <c r="X1484" s="586" t="str">
        <f t="shared" si="368"/>
        <v/>
      </c>
      <c r="Y1484" s="586" t="str">
        <f t="shared" si="362"/>
        <v/>
      </c>
      <c r="Z1484" s="586" t="str">
        <f t="shared" si="360"/>
        <v/>
      </c>
    </row>
    <row r="1485" spans="1:26" ht="23.25" hidden="1" thickBot="1" x14ac:dyDescent="0.25">
      <c r="A1485" s="567">
        <v>97595</v>
      </c>
      <c r="B1485" s="644">
        <v>97595</v>
      </c>
      <c r="C1485" s="645" t="s">
        <v>670</v>
      </c>
      <c r="D1485" s="422" t="s">
        <v>1332</v>
      </c>
      <c r="E1485" s="423"/>
      <c r="F1485" s="424"/>
      <c r="G1485" s="425"/>
      <c r="H1485" s="651"/>
      <c r="I1485" s="420">
        <v>141.28</v>
      </c>
      <c r="J1485" s="420">
        <f t="shared" si="359"/>
        <v>141.28</v>
      </c>
      <c r="K1485" s="421">
        <f t="shared" si="369"/>
        <v>167.85</v>
      </c>
      <c r="L1485" s="647" t="s">
        <v>2065</v>
      </c>
      <c r="M1485" s="576"/>
      <c r="N1485" s="576">
        <f t="shared" si="361"/>
        <v>0</v>
      </c>
      <c r="O1485" s="577">
        <f t="shared" si="366"/>
        <v>0</v>
      </c>
      <c r="P1485" s="578">
        <f t="shared" si="367"/>
        <v>0</v>
      </c>
      <c r="Q1485" s="765"/>
      <c r="R1485" s="576">
        <f t="shared" si="363"/>
        <v>0</v>
      </c>
      <c r="S1485" s="576">
        <f t="shared" si="363"/>
        <v>0</v>
      </c>
      <c r="T1485" s="577">
        <f t="shared" si="364"/>
        <v>0</v>
      </c>
      <c r="U1485" s="578">
        <f t="shared" si="365"/>
        <v>0</v>
      </c>
      <c r="V1485" s="579"/>
      <c r="W1485" s="566"/>
      <c r="X1485" s="586" t="str">
        <f t="shared" si="368"/>
        <v/>
      </c>
      <c r="Y1485" s="586" t="str">
        <f t="shared" si="362"/>
        <v/>
      </c>
      <c r="Z1485" s="586" t="str">
        <f t="shared" si="360"/>
        <v/>
      </c>
    </row>
    <row r="1486" spans="1:26" ht="23.25" hidden="1" thickBot="1" x14ac:dyDescent="0.25">
      <c r="A1486" s="567">
        <v>97596</v>
      </c>
      <c r="B1486" s="644">
        <v>97596</v>
      </c>
      <c r="C1486" s="645" t="s">
        <v>670</v>
      </c>
      <c r="D1486" s="422" t="s">
        <v>1333</v>
      </c>
      <c r="E1486" s="423"/>
      <c r="F1486" s="424"/>
      <c r="G1486" s="425"/>
      <c r="H1486" s="651"/>
      <c r="I1486" s="420">
        <v>95.65</v>
      </c>
      <c r="J1486" s="420">
        <f t="shared" si="359"/>
        <v>95.65</v>
      </c>
      <c r="K1486" s="421">
        <f t="shared" si="369"/>
        <v>113.64</v>
      </c>
      <c r="L1486" s="647" t="s">
        <v>2065</v>
      </c>
      <c r="M1486" s="576"/>
      <c r="N1486" s="576">
        <f t="shared" si="361"/>
        <v>0</v>
      </c>
      <c r="O1486" s="577">
        <f t="shared" si="366"/>
        <v>0</v>
      </c>
      <c r="P1486" s="578">
        <f t="shared" si="367"/>
        <v>0</v>
      </c>
      <c r="Q1486" s="765"/>
      <c r="R1486" s="576">
        <f t="shared" si="363"/>
        <v>0</v>
      </c>
      <c r="S1486" s="576">
        <f t="shared" si="363"/>
        <v>0</v>
      </c>
      <c r="T1486" s="577">
        <f t="shared" si="364"/>
        <v>0</v>
      </c>
      <c r="U1486" s="578">
        <f t="shared" si="365"/>
        <v>0</v>
      </c>
      <c r="V1486" s="579"/>
      <c r="W1486" s="566"/>
      <c r="X1486" s="586" t="str">
        <f t="shared" si="368"/>
        <v/>
      </c>
      <c r="Y1486" s="586" t="str">
        <f t="shared" si="362"/>
        <v/>
      </c>
      <c r="Z1486" s="586" t="str">
        <f t="shared" si="360"/>
        <v/>
      </c>
    </row>
    <row r="1487" spans="1:26" ht="23.25" hidden="1" thickBot="1" x14ac:dyDescent="0.25">
      <c r="A1487" s="567">
        <v>97597</v>
      </c>
      <c r="B1487" s="644">
        <v>97597</v>
      </c>
      <c r="C1487" s="645" t="s">
        <v>670</v>
      </c>
      <c r="D1487" s="422" t="s">
        <v>1334</v>
      </c>
      <c r="E1487" s="423"/>
      <c r="F1487" s="424"/>
      <c r="G1487" s="425"/>
      <c r="H1487" s="651"/>
      <c r="I1487" s="420">
        <v>97.68</v>
      </c>
      <c r="J1487" s="420">
        <f t="shared" si="359"/>
        <v>97.68</v>
      </c>
      <c r="K1487" s="421">
        <f t="shared" si="369"/>
        <v>116.05</v>
      </c>
      <c r="L1487" s="647" t="s">
        <v>2065</v>
      </c>
      <c r="M1487" s="576"/>
      <c r="N1487" s="576">
        <f t="shared" si="361"/>
        <v>0</v>
      </c>
      <c r="O1487" s="577">
        <f t="shared" si="366"/>
        <v>0</v>
      </c>
      <c r="P1487" s="578">
        <f t="shared" si="367"/>
        <v>0</v>
      </c>
      <c r="Q1487" s="765"/>
      <c r="R1487" s="576">
        <f t="shared" si="363"/>
        <v>0</v>
      </c>
      <c r="S1487" s="576">
        <f t="shared" si="363"/>
        <v>0</v>
      </c>
      <c r="T1487" s="577">
        <f t="shared" si="364"/>
        <v>0</v>
      </c>
      <c r="U1487" s="578">
        <f t="shared" si="365"/>
        <v>0</v>
      </c>
      <c r="V1487" s="579"/>
      <c r="W1487" s="566"/>
      <c r="X1487" s="586" t="str">
        <f t="shared" si="368"/>
        <v/>
      </c>
      <c r="Y1487" s="586" t="str">
        <f t="shared" si="362"/>
        <v/>
      </c>
      <c r="Z1487" s="586" t="str">
        <f t="shared" si="360"/>
        <v/>
      </c>
    </row>
    <row r="1488" spans="1:26" ht="23.25" hidden="1" thickBot="1" x14ac:dyDescent="0.25">
      <c r="A1488" s="567">
        <v>97598</v>
      </c>
      <c r="B1488" s="644">
        <v>97598</v>
      </c>
      <c r="C1488" s="645" t="s">
        <v>670</v>
      </c>
      <c r="D1488" s="422" t="s">
        <v>1335</v>
      </c>
      <c r="E1488" s="423"/>
      <c r="F1488" s="424"/>
      <c r="G1488" s="425"/>
      <c r="H1488" s="651"/>
      <c r="I1488" s="420">
        <v>91.85</v>
      </c>
      <c r="J1488" s="420">
        <f t="shared" si="359"/>
        <v>91.85</v>
      </c>
      <c r="K1488" s="421">
        <f t="shared" si="369"/>
        <v>109.13</v>
      </c>
      <c r="L1488" s="647" t="s">
        <v>2065</v>
      </c>
      <c r="M1488" s="576"/>
      <c r="N1488" s="576">
        <f t="shared" si="361"/>
        <v>0</v>
      </c>
      <c r="O1488" s="577">
        <f t="shared" si="366"/>
        <v>0</v>
      </c>
      <c r="P1488" s="578">
        <f t="shared" si="367"/>
        <v>0</v>
      </c>
      <c r="Q1488" s="765"/>
      <c r="R1488" s="576">
        <f t="shared" si="363"/>
        <v>0</v>
      </c>
      <c r="S1488" s="576">
        <f t="shared" si="363"/>
        <v>0</v>
      </c>
      <c r="T1488" s="577">
        <f t="shared" si="364"/>
        <v>0</v>
      </c>
      <c r="U1488" s="578">
        <f t="shared" si="365"/>
        <v>0</v>
      </c>
      <c r="V1488" s="579"/>
      <c r="W1488" s="566"/>
      <c r="X1488" s="586" t="str">
        <f t="shared" si="368"/>
        <v/>
      </c>
      <c r="Y1488" s="586" t="str">
        <f t="shared" si="362"/>
        <v/>
      </c>
      <c r="Z1488" s="586" t="str">
        <f t="shared" si="360"/>
        <v/>
      </c>
    </row>
    <row r="1489" spans="1:26" ht="23.25" hidden="1" thickBot="1" x14ac:dyDescent="0.25">
      <c r="A1489" s="567">
        <v>97599</v>
      </c>
      <c r="B1489" s="644">
        <v>97599</v>
      </c>
      <c r="C1489" s="645" t="s">
        <v>670</v>
      </c>
      <c r="D1489" s="422" t="s">
        <v>1336</v>
      </c>
      <c r="E1489" s="423"/>
      <c r="F1489" s="424"/>
      <c r="G1489" s="425"/>
      <c r="H1489" s="651"/>
      <c r="I1489" s="420">
        <v>29.25</v>
      </c>
      <c r="J1489" s="420">
        <f t="shared" si="359"/>
        <v>29.25</v>
      </c>
      <c r="K1489" s="421">
        <f t="shared" si="369"/>
        <v>34.75</v>
      </c>
      <c r="L1489" s="647" t="s">
        <v>2065</v>
      </c>
      <c r="M1489" s="576"/>
      <c r="N1489" s="576">
        <f t="shared" si="361"/>
        <v>0</v>
      </c>
      <c r="O1489" s="577">
        <f t="shared" si="366"/>
        <v>0</v>
      </c>
      <c r="P1489" s="578">
        <f t="shared" si="367"/>
        <v>0</v>
      </c>
      <c r="Q1489" s="765"/>
      <c r="R1489" s="576">
        <f t="shared" si="363"/>
        <v>0</v>
      </c>
      <c r="S1489" s="576">
        <f t="shared" si="363"/>
        <v>0</v>
      </c>
      <c r="T1489" s="577">
        <f t="shared" si="364"/>
        <v>0</v>
      </c>
      <c r="U1489" s="578">
        <f t="shared" si="365"/>
        <v>0</v>
      </c>
      <c r="V1489" s="579"/>
      <c r="W1489" s="566"/>
      <c r="X1489" s="586" t="str">
        <f t="shared" si="368"/>
        <v/>
      </c>
      <c r="Y1489" s="586" t="str">
        <f t="shared" si="362"/>
        <v/>
      </c>
      <c r="Z1489" s="586" t="str">
        <f t="shared" si="360"/>
        <v/>
      </c>
    </row>
    <row r="1490" spans="1:26" ht="23.25" hidden="1" thickBot="1" x14ac:dyDescent="0.25">
      <c r="A1490" s="567">
        <v>97583</v>
      </c>
      <c r="B1490" s="644">
        <v>97583</v>
      </c>
      <c r="C1490" s="645" t="s">
        <v>670</v>
      </c>
      <c r="D1490" s="422" t="s">
        <v>1337</v>
      </c>
      <c r="E1490" s="423"/>
      <c r="F1490" s="424"/>
      <c r="G1490" s="425"/>
      <c r="H1490" s="651"/>
      <c r="I1490" s="420">
        <v>120.49</v>
      </c>
      <c r="J1490" s="420">
        <f t="shared" si="359"/>
        <v>120.49</v>
      </c>
      <c r="K1490" s="421">
        <f t="shared" si="369"/>
        <v>143.15</v>
      </c>
      <c r="L1490" s="647" t="s">
        <v>2065</v>
      </c>
      <c r="M1490" s="576"/>
      <c r="N1490" s="576">
        <f t="shared" si="361"/>
        <v>0</v>
      </c>
      <c r="O1490" s="577">
        <f t="shared" si="366"/>
        <v>0</v>
      </c>
      <c r="P1490" s="578">
        <f t="shared" si="367"/>
        <v>0</v>
      </c>
      <c r="Q1490" s="765"/>
      <c r="R1490" s="576">
        <f t="shared" si="363"/>
        <v>0</v>
      </c>
      <c r="S1490" s="576">
        <f t="shared" si="363"/>
        <v>0</v>
      </c>
      <c r="T1490" s="577">
        <f t="shared" si="364"/>
        <v>0</v>
      </c>
      <c r="U1490" s="578">
        <f t="shared" si="365"/>
        <v>0</v>
      </c>
      <c r="V1490" s="579"/>
      <c r="W1490" s="566"/>
      <c r="X1490" s="586" t="str">
        <f t="shared" si="368"/>
        <v/>
      </c>
      <c r="Y1490" s="586" t="str">
        <f t="shared" si="362"/>
        <v/>
      </c>
      <c r="Z1490" s="586" t="str">
        <f t="shared" si="360"/>
        <v/>
      </c>
    </row>
    <row r="1491" spans="1:26" ht="23.25" hidden="1" thickBot="1" x14ac:dyDescent="0.25">
      <c r="A1491" s="567">
        <v>101662</v>
      </c>
      <c r="B1491" s="644">
        <v>101662</v>
      </c>
      <c r="C1491" s="645" t="s">
        <v>670</v>
      </c>
      <c r="D1491" s="422" t="s">
        <v>1338</v>
      </c>
      <c r="E1491" s="423"/>
      <c r="F1491" s="424"/>
      <c r="G1491" s="425"/>
      <c r="H1491" s="651"/>
      <c r="I1491" s="420">
        <v>970.72</v>
      </c>
      <c r="J1491" s="420">
        <f t="shared" ref="J1491:J1554" si="370">IF(ISBLANK(I1491),"",SUM(H1491:I1491))</f>
        <v>970.72</v>
      </c>
      <c r="K1491" s="421">
        <f t="shared" si="369"/>
        <v>1153.31</v>
      </c>
      <c r="L1491" s="647" t="s">
        <v>2065</v>
      </c>
      <c r="M1491" s="576"/>
      <c r="N1491" s="576">
        <f t="shared" si="361"/>
        <v>0</v>
      </c>
      <c r="O1491" s="577">
        <f t="shared" si="366"/>
        <v>0</v>
      </c>
      <c r="P1491" s="578">
        <f t="shared" si="367"/>
        <v>0</v>
      </c>
      <c r="Q1491" s="765"/>
      <c r="R1491" s="576">
        <f t="shared" si="363"/>
        <v>0</v>
      </c>
      <c r="S1491" s="576">
        <f t="shared" si="363"/>
        <v>0</v>
      </c>
      <c r="T1491" s="577">
        <f t="shared" si="364"/>
        <v>0</v>
      </c>
      <c r="U1491" s="578">
        <f t="shared" si="365"/>
        <v>0</v>
      </c>
      <c r="V1491" s="579"/>
      <c r="W1491" s="566"/>
      <c r="X1491" s="586" t="str">
        <f t="shared" si="368"/>
        <v/>
      </c>
      <c r="Y1491" s="586" t="str">
        <f t="shared" si="362"/>
        <v/>
      </c>
      <c r="Z1491" s="586" t="str">
        <f t="shared" ref="Z1491:Z1554" si="371">IF(W1491="X","x",IF(U1491&gt;0,"x",""))</f>
        <v/>
      </c>
    </row>
    <row r="1492" spans="1:26" ht="23.25" hidden="1" thickBot="1" x14ac:dyDescent="0.25">
      <c r="A1492" s="567">
        <v>101652</v>
      </c>
      <c r="B1492" s="644">
        <v>101652</v>
      </c>
      <c r="C1492" s="645" t="s">
        <v>670</v>
      </c>
      <c r="D1492" s="422" t="s">
        <v>1339</v>
      </c>
      <c r="E1492" s="423"/>
      <c r="F1492" s="424"/>
      <c r="G1492" s="425"/>
      <c r="H1492" s="651"/>
      <c r="I1492" s="420">
        <v>702.82</v>
      </c>
      <c r="J1492" s="420">
        <f t="shared" si="370"/>
        <v>702.82</v>
      </c>
      <c r="K1492" s="421">
        <f t="shared" si="369"/>
        <v>835.02</v>
      </c>
      <c r="L1492" s="647" t="s">
        <v>2065</v>
      </c>
      <c r="M1492" s="576"/>
      <c r="N1492" s="576">
        <f t="shared" ref="N1492:N1555" si="372">IF(M1492=0,0,K1492)</f>
        <v>0</v>
      </c>
      <c r="O1492" s="577">
        <f t="shared" si="366"/>
        <v>0</v>
      </c>
      <c r="P1492" s="578">
        <f t="shared" si="367"/>
        <v>0</v>
      </c>
      <c r="Q1492" s="765"/>
      <c r="R1492" s="576">
        <f t="shared" si="363"/>
        <v>0</v>
      </c>
      <c r="S1492" s="576">
        <f t="shared" si="363"/>
        <v>0</v>
      </c>
      <c r="T1492" s="577">
        <f t="shared" si="364"/>
        <v>0</v>
      </c>
      <c r="U1492" s="578">
        <f t="shared" si="365"/>
        <v>0</v>
      </c>
      <c r="V1492" s="579"/>
      <c r="W1492" s="566"/>
      <c r="X1492" s="586" t="str">
        <f t="shared" si="368"/>
        <v/>
      </c>
      <c r="Y1492" s="586" t="str">
        <f t="shared" si="362"/>
        <v/>
      </c>
      <c r="Z1492" s="586" t="str">
        <f t="shared" si="371"/>
        <v/>
      </c>
    </row>
    <row r="1493" spans="1:26" ht="34.5" hidden="1" thickBot="1" x14ac:dyDescent="0.25">
      <c r="A1493" s="567">
        <v>101653</v>
      </c>
      <c r="B1493" s="644">
        <v>101653</v>
      </c>
      <c r="C1493" s="645" t="s">
        <v>670</v>
      </c>
      <c r="D1493" s="422" t="s">
        <v>1340</v>
      </c>
      <c r="E1493" s="423"/>
      <c r="F1493" s="424"/>
      <c r="G1493" s="425"/>
      <c r="H1493" s="651"/>
      <c r="I1493" s="420">
        <v>345.88</v>
      </c>
      <c r="J1493" s="420">
        <f t="shared" si="370"/>
        <v>345.88</v>
      </c>
      <c r="K1493" s="421">
        <f t="shared" si="369"/>
        <v>410.94</v>
      </c>
      <c r="L1493" s="647" t="s">
        <v>2065</v>
      </c>
      <c r="M1493" s="576"/>
      <c r="N1493" s="576">
        <f t="shared" si="372"/>
        <v>0</v>
      </c>
      <c r="O1493" s="577">
        <f t="shared" si="366"/>
        <v>0</v>
      </c>
      <c r="P1493" s="578">
        <f t="shared" si="367"/>
        <v>0</v>
      </c>
      <c r="Q1493" s="765"/>
      <c r="R1493" s="576">
        <f t="shared" si="363"/>
        <v>0</v>
      </c>
      <c r="S1493" s="576">
        <f t="shared" si="363"/>
        <v>0</v>
      </c>
      <c r="T1493" s="577">
        <f t="shared" si="364"/>
        <v>0</v>
      </c>
      <c r="U1493" s="578">
        <f t="shared" si="365"/>
        <v>0</v>
      </c>
      <c r="V1493" s="579"/>
      <c r="W1493" s="566"/>
      <c r="X1493" s="586" t="str">
        <f t="shared" si="368"/>
        <v/>
      </c>
      <c r="Y1493" s="586" t="str">
        <f t="shared" si="362"/>
        <v/>
      </c>
      <c r="Z1493" s="586" t="str">
        <f t="shared" si="371"/>
        <v/>
      </c>
    </row>
    <row r="1494" spans="1:26" ht="23.25" hidden="1" thickBot="1" x14ac:dyDescent="0.25">
      <c r="A1494" s="567">
        <v>97584</v>
      </c>
      <c r="B1494" s="644">
        <v>97584</v>
      </c>
      <c r="C1494" s="645" t="s">
        <v>670</v>
      </c>
      <c r="D1494" s="422" t="s">
        <v>1341</v>
      </c>
      <c r="E1494" s="423"/>
      <c r="F1494" s="424"/>
      <c r="G1494" s="425"/>
      <c r="H1494" s="651"/>
      <c r="I1494" s="420">
        <v>171.1</v>
      </c>
      <c r="J1494" s="420">
        <f t="shared" si="370"/>
        <v>171.1</v>
      </c>
      <c r="K1494" s="421">
        <f t="shared" si="369"/>
        <v>203.28</v>
      </c>
      <c r="L1494" s="647" t="s">
        <v>2065</v>
      </c>
      <c r="M1494" s="576"/>
      <c r="N1494" s="576">
        <f t="shared" si="372"/>
        <v>0</v>
      </c>
      <c r="O1494" s="577">
        <f t="shared" si="366"/>
        <v>0</v>
      </c>
      <c r="P1494" s="578">
        <f t="shared" si="367"/>
        <v>0</v>
      </c>
      <c r="Q1494" s="765"/>
      <c r="R1494" s="576">
        <f t="shared" si="363"/>
        <v>0</v>
      </c>
      <c r="S1494" s="576">
        <f t="shared" si="363"/>
        <v>0</v>
      </c>
      <c r="T1494" s="577">
        <f t="shared" si="364"/>
        <v>0</v>
      </c>
      <c r="U1494" s="578">
        <f t="shared" si="365"/>
        <v>0</v>
      </c>
      <c r="V1494" s="579"/>
      <c r="W1494" s="566"/>
      <c r="X1494" s="586" t="str">
        <f t="shared" si="368"/>
        <v/>
      </c>
      <c r="Y1494" s="586" t="str">
        <f t="shared" si="362"/>
        <v/>
      </c>
      <c r="Z1494" s="586" t="str">
        <f t="shared" si="371"/>
        <v/>
      </c>
    </row>
    <row r="1495" spans="1:26" ht="23.25" hidden="1" thickBot="1" x14ac:dyDescent="0.25">
      <c r="A1495" s="567">
        <v>97585</v>
      </c>
      <c r="B1495" s="644">
        <v>97585</v>
      </c>
      <c r="C1495" s="645" t="s">
        <v>670</v>
      </c>
      <c r="D1495" s="422" t="s">
        <v>1342</v>
      </c>
      <c r="E1495" s="423"/>
      <c r="F1495" s="424"/>
      <c r="G1495" s="425"/>
      <c r="H1495" s="651"/>
      <c r="I1495" s="420">
        <v>163.49</v>
      </c>
      <c r="J1495" s="420">
        <f t="shared" si="370"/>
        <v>163.49</v>
      </c>
      <c r="K1495" s="421">
        <f t="shared" si="369"/>
        <v>194.24</v>
      </c>
      <c r="L1495" s="647" t="s">
        <v>2065</v>
      </c>
      <c r="M1495" s="576"/>
      <c r="N1495" s="576">
        <f t="shared" si="372"/>
        <v>0</v>
      </c>
      <c r="O1495" s="577">
        <f t="shared" si="366"/>
        <v>0</v>
      </c>
      <c r="P1495" s="578">
        <f t="shared" si="367"/>
        <v>0</v>
      </c>
      <c r="Q1495" s="765"/>
      <c r="R1495" s="576">
        <f t="shared" si="363"/>
        <v>0</v>
      </c>
      <c r="S1495" s="576">
        <f t="shared" si="363"/>
        <v>0</v>
      </c>
      <c r="T1495" s="577">
        <f t="shared" si="364"/>
        <v>0</v>
      </c>
      <c r="U1495" s="578">
        <f t="shared" si="365"/>
        <v>0</v>
      </c>
      <c r="V1495" s="579"/>
      <c r="W1495" s="566"/>
      <c r="X1495" s="586" t="str">
        <f t="shared" si="368"/>
        <v/>
      </c>
      <c r="Y1495" s="586" t="str">
        <f t="shared" si="362"/>
        <v/>
      </c>
      <c r="Z1495" s="586" t="str">
        <f t="shared" si="371"/>
        <v/>
      </c>
    </row>
    <row r="1496" spans="1:26" ht="23.25" hidden="1" thickBot="1" x14ac:dyDescent="0.25">
      <c r="A1496" s="567">
        <v>97586</v>
      </c>
      <c r="B1496" s="644">
        <v>97586</v>
      </c>
      <c r="C1496" s="645" t="s">
        <v>670</v>
      </c>
      <c r="D1496" s="422" t="s">
        <v>1343</v>
      </c>
      <c r="E1496" s="423"/>
      <c r="F1496" s="424"/>
      <c r="G1496" s="425"/>
      <c r="H1496" s="651"/>
      <c r="I1496" s="420">
        <v>224.61</v>
      </c>
      <c r="J1496" s="420">
        <f t="shared" si="370"/>
        <v>224.61</v>
      </c>
      <c r="K1496" s="421">
        <f t="shared" si="369"/>
        <v>266.86</v>
      </c>
      <c r="L1496" s="647" t="s">
        <v>2065</v>
      </c>
      <c r="M1496" s="576"/>
      <c r="N1496" s="576">
        <f t="shared" si="372"/>
        <v>0</v>
      </c>
      <c r="O1496" s="577">
        <f t="shared" si="366"/>
        <v>0</v>
      </c>
      <c r="P1496" s="578">
        <f t="shared" si="367"/>
        <v>0</v>
      </c>
      <c r="Q1496" s="765"/>
      <c r="R1496" s="576">
        <f t="shared" si="363"/>
        <v>0</v>
      </c>
      <c r="S1496" s="576">
        <f t="shared" si="363"/>
        <v>0</v>
      </c>
      <c r="T1496" s="577">
        <f t="shared" si="364"/>
        <v>0</v>
      </c>
      <c r="U1496" s="578">
        <f t="shared" si="365"/>
        <v>0</v>
      </c>
      <c r="V1496" s="579"/>
      <c r="W1496" s="566"/>
      <c r="X1496" s="586" t="str">
        <f t="shared" si="368"/>
        <v/>
      </c>
      <c r="Y1496" s="586" t="str">
        <f t="shared" si="362"/>
        <v/>
      </c>
      <c r="Z1496" s="586" t="str">
        <f t="shared" si="371"/>
        <v/>
      </c>
    </row>
    <row r="1497" spans="1:26" ht="23.25" hidden="1" thickBot="1" x14ac:dyDescent="0.25">
      <c r="A1497" s="567">
        <v>97587</v>
      </c>
      <c r="B1497" s="644">
        <v>97587</v>
      </c>
      <c r="C1497" s="645" t="s">
        <v>670</v>
      </c>
      <c r="D1497" s="422" t="s">
        <v>1344</v>
      </c>
      <c r="E1497" s="423"/>
      <c r="F1497" s="424"/>
      <c r="G1497" s="425"/>
      <c r="H1497" s="651"/>
      <c r="I1497" s="420">
        <v>416.88</v>
      </c>
      <c r="J1497" s="420">
        <f t="shared" si="370"/>
        <v>416.88</v>
      </c>
      <c r="K1497" s="421">
        <f t="shared" si="369"/>
        <v>495.3</v>
      </c>
      <c r="L1497" s="647" t="s">
        <v>2065</v>
      </c>
      <c r="M1497" s="576"/>
      <c r="N1497" s="576">
        <f t="shared" si="372"/>
        <v>0</v>
      </c>
      <c r="O1497" s="577">
        <f t="shared" si="366"/>
        <v>0</v>
      </c>
      <c r="P1497" s="578">
        <f t="shared" si="367"/>
        <v>0</v>
      </c>
      <c r="Q1497" s="765"/>
      <c r="R1497" s="576">
        <f t="shared" si="363"/>
        <v>0</v>
      </c>
      <c r="S1497" s="576">
        <f t="shared" si="363"/>
        <v>0</v>
      </c>
      <c r="T1497" s="577">
        <f t="shared" si="364"/>
        <v>0</v>
      </c>
      <c r="U1497" s="578">
        <f t="shared" si="365"/>
        <v>0</v>
      </c>
      <c r="V1497" s="579"/>
      <c r="W1497" s="566"/>
      <c r="X1497" s="586" t="str">
        <f t="shared" si="368"/>
        <v/>
      </c>
      <c r="Y1497" s="586" t="str">
        <f t="shared" si="362"/>
        <v/>
      </c>
      <c r="Z1497" s="586" t="str">
        <f t="shared" si="371"/>
        <v/>
      </c>
    </row>
    <row r="1498" spans="1:26" ht="23.25" hidden="1" thickBot="1" x14ac:dyDescent="0.25">
      <c r="A1498" s="567">
        <v>97589</v>
      </c>
      <c r="B1498" s="644">
        <v>97589</v>
      </c>
      <c r="C1498" s="645" t="s">
        <v>670</v>
      </c>
      <c r="D1498" s="422" t="s">
        <v>1345</v>
      </c>
      <c r="E1498" s="423"/>
      <c r="F1498" s="424"/>
      <c r="G1498" s="425"/>
      <c r="H1498" s="651"/>
      <c r="I1498" s="420">
        <v>48.7</v>
      </c>
      <c r="J1498" s="420">
        <f t="shared" si="370"/>
        <v>48.7</v>
      </c>
      <c r="K1498" s="421">
        <f t="shared" si="369"/>
        <v>57.86</v>
      </c>
      <c r="L1498" s="647" t="s">
        <v>2065</v>
      </c>
      <c r="M1498" s="576"/>
      <c r="N1498" s="576">
        <f t="shared" si="372"/>
        <v>0</v>
      </c>
      <c r="O1498" s="577">
        <f t="shared" si="366"/>
        <v>0</v>
      </c>
      <c r="P1498" s="578">
        <f t="shared" si="367"/>
        <v>0</v>
      </c>
      <c r="Q1498" s="765"/>
      <c r="R1498" s="576">
        <f t="shared" si="363"/>
        <v>0</v>
      </c>
      <c r="S1498" s="576">
        <f t="shared" si="363"/>
        <v>0</v>
      </c>
      <c r="T1498" s="577">
        <f t="shared" si="364"/>
        <v>0</v>
      </c>
      <c r="U1498" s="578">
        <f t="shared" si="365"/>
        <v>0</v>
      </c>
      <c r="V1498" s="579"/>
      <c r="W1498" s="566"/>
      <c r="X1498" s="586" t="str">
        <f t="shared" si="368"/>
        <v/>
      </c>
      <c r="Y1498" s="586" t="str">
        <f t="shared" si="362"/>
        <v/>
      </c>
      <c r="Z1498" s="586" t="str">
        <f t="shared" si="371"/>
        <v/>
      </c>
    </row>
    <row r="1499" spans="1:26" ht="23.25" hidden="1" thickBot="1" x14ac:dyDescent="0.25">
      <c r="A1499" s="567">
        <v>97590</v>
      </c>
      <c r="B1499" s="644">
        <v>97590</v>
      </c>
      <c r="C1499" s="645" t="s">
        <v>670</v>
      </c>
      <c r="D1499" s="422" t="s">
        <v>1346</v>
      </c>
      <c r="E1499" s="423"/>
      <c r="F1499" s="424"/>
      <c r="G1499" s="425"/>
      <c r="H1499" s="651"/>
      <c r="I1499" s="420">
        <v>133.15</v>
      </c>
      <c r="J1499" s="420">
        <f t="shared" si="370"/>
        <v>133.15</v>
      </c>
      <c r="K1499" s="421">
        <f t="shared" si="369"/>
        <v>158.19999999999999</v>
      </c>
      <c r="L1499" s="647" t="s">
        <v>2065</v>
      </c>
      <c r="M1499" s="576"/>
      <c r="N1499" s="576">
        <f t="shared" si="372"/>
        <v>0</v>
      </c>
      <c r="O1499" s="577">
        <f t="shared" si="366"/>
        <v>0</v>
      </c>
      <c r="P1499" s="578">
        <f t="shared" si="367"/>
        <v>0</v>
      </c>
      <c r="Q1499" s="765"/>
      <c r="R1499" s="576">
        <f t="shared" si="363"/>
        <v>0</v>
      </c>
      <c r="S1499" s="576">
        <f t="shared" si="363"/>
        <v>0</v>
      </c>
      <c r="T1499" s="577">
        <f t="shared" si="364"/>
        <v>0</v>
      </c>
      <c r="U1499" s="578">
        <f t="shared" si="365"/>
        <v>0</v>
      </c>
      <c r="V1499" s="579"/>
      <c r="W1499" s="566"/>
      <c r="X1499" s="586" t="str">
        <f t="shared" si="368"/>
        <v/>
      </c>
      <c r="Y1499" s="586" t="str">
        <f t="shared" si="362"/>
        <v/>
      </c>
      <c r="Z1499" s="586" t="str">
        <f t="shared" si="371"/>
        <v/>
      </c>
    </row>
    <row r="1500" spans="1:26" ht="23.25" hidden="1" thickBot="1" x14ac:dyDescent="0.25">
      <c r="A1500" s="567">
        <v>97591</v>
      </c>
      <c r="B1500" s="644">
        <v>97591</v>
      </c>
      <c r="C1500" s="645" t="s">
        <v>670</v>
      </c>
      <c r="D1500" s="422" t="s">
        <v>1347</v>
      </c>
      <c r="E1500" s="423"/>
      <c r="F1500" s="424"/>
      <c r="G1500" s="425"/>
      <c r="H1500" s="651"/>
      <c r="I1500" s="420">
        <v>172.18</v>
      </c>
      <c r="J1500" s="420">
        <f t="shared" si="370"/>
        <v>172.18</v>
      </c>
      <c r="K1500" s="421">
        <f t="shared" si="369"/>
        <v>204.57</v>
      </c>
      <c r="L1500" s="647" t="s">
        <v>2065</v>
      </c>
      <c r="M1500" s="576"/>
      <c r="N1500" s="576">
        <f t="shared" si="372"/>
        <v>0</v>
      </c>
      <c r="O1500" s="577">
        <f t="shared" si="366"/>
        <v>0</v>
      </c>
      <c r="P1500" s="578">
        <f t="shared" si="367"/>
        <v>0</v>
      </c>
      <c r="Q1500" s="765"/>
      <c r="R1500" s="576">
        <f t="shared" si="363"/>
        <v>0</v>
      </c>
      <c r="S1500" s="576">
        <f t="shared" si="363"/>
        <v>0</v>
      </c>
      <c r="T1500" s="577">
        <f t="shared" si="364"/>
        <v>0</v>
      </c>
      <c r="U1500" s="578">
        <f t="shared" si="365"/>
        <v>0</v>
      </c>
      <c r="V1500" s="579"/>
      <c r="W1500" s="566"/>
      <c r="X1500" s="586" t="str">
        <f t="shared" si="368"/>
        <v/>
      </c>
      <c r="Y1500" s="586" t="str">
        <f t="shared" si="362"/>
        <v/>
      </c>
      <c r="Z1500" s="586" t="str">
        <f t="shared" si="371"/>
        <v/>
      </c>
    </row>
    <row r="1501" spans="1:26" ht="23.25" hidden="1" thickBot="1" x14ac:dyDescent="0.25">
      <c r="A1501" s="567">
        <v>103782</v>
      </c>
      <c r="B1501" s="644">
        <v>103782</v>
      </c>
      <c r="C1501" s="645" t="s">
        <v>670</v>
      </c>
      <c r="D1501" s="422" t="s">
        <v>2095</v>
      </c>
      <c r="E1501" s="423"/>
      <c r="F1501" s="424"/>
      <c r="G1501" s="425"/>
      <c r="H1501" s="651"/>
      <c r="I1501" s="420">
        <v>39.75</v>
      </c>
      <c r="J1501" s="420">
        <f t="shared" si="370"/>
        <v>39.75</v>
      </c>
      <c r="K1501" s="421">
        <f t="shared" si="369"/>
        <v>47.23</v>
      </c>
      <c r="L1501" s="647" t="s">
        <v>2065</v>
      </c>
      <c r="M1501" s="576"/>
      <c r="N1501" s="576">
        <f t="shared" si="372"/>
        <v>0</v>
      </c>
      <c r="O1501" s="577">
        <f t="shared" si="366"/>
        <v>0</v>
      </c>
      <c r="P1501" s="578">
        <f t="shared" si="367"/>
        <v>0</v>
      </c>
      <c r="Q1501" s="765"/>
      <c r="R1501" s="576">
        <f t="shared" si="363"/>
        <v>0</v>
      </c>
      <c r="S1501" s="576">
        <f t="shared" si="363"/>
        <v>0</v>
      </c>
      <c r="T1501" s="577">
        <f t="shared" si="364"/>
        <v>0</v>
      </c>
      <c r="U1501" s="578">
        <f t="shared" si="365"/>
        <v>0</v>
      </c>
      <c r="V1501" s="579"/>
      <c r="W1501" s="566"/>
      <c r="X1501" s="586" t="str">
        <f t="shared" si="368"/>
        <v/>
      </c>
      <c r="Y1501" s="586" t="str">
        <f t="shared" si="362"/>
        <v/>
      </c>
      <c r="Z1501" s="586" t="str">
        <f t="shared" si="371"/>
        <v/>
      </c>
    </row>
    <row r="1502" spans="1:26" ht="23.25" hidden="1" thickBot="1" x14ac:dyDescent="0.25">
      <c r="A1502" s="567">
        <v>97593</v>
      </c>
      <c r="B1502" s="644">
        <v>97593</v>
      </c>
      <c r="C1502" s="645" t="s">
        <v>670</v>
      </c>
      <c r="D1502" s="422" t="s">
        <v>1348</v>
      </c>
      <c r="E1502" s="423"/>
      <c r="F1502" s="424"/>
      <c r="G1502" s="425"/>
      <c r="H1502" s="651"/>
      <c r="I1502" s="420">
        <v>199.41</v>
      </c>
      <c r="J1502" s="420">
        <f t="shared" si="370"/>
        <v>199.41</v>
      </c>
      <c r="K1502" s="421">
        <f t="shared" si="369"/>
        <v>236.92</v>
      </c>
      <c r="L1502" s="647" t="s">
        <v>2065</v>
      </c>
      <c r="M1502" s="576"/>
      <c r="N1502" s="576">
        <f t="shared" si="372"/>
        <v>0</v>
      </c>
      <c r="O1502" s="577">
        <f t="shared" si="366"/>
        <v>0</v>
      </c>
      <c r="P1502" s="578">
        <f t="shared" si="367"/>
        <v>0</v>
      </c>
      <c r="Q1502" s="765"/>
      <c r="R1502" s="576">
        <f t="shared" si="363"/>
        <v>0</v>
      </c>
      <c r="S1502" s="576">
        <f t="shared" si="363"/>
        <v>0</v>
      </c>
      <c r="T1502" s="577">
        <f t="shared" si="364"/>
        <v>0</v>
      </c>
      <c r="U1502" s="578">
        <f t="shared" si="365"/>
        <v>0</v>
      </c>
      <c r="V1502" s="579"/>
      <c r="W1502" s="566"/>
      <c r="X1502" s="586" t="str">
        <f t="shared" si="368"/>
        <v/>
      </c>
      <c r="Y1502" s="586" t="str">
        <f t="shared" si="362"/>
        <v/>
      </c>
      <c r="Z1502" s="586" t="str">
        <f t="shared" si="371"/>
        <v/>
      </c>
    </row>
    <row r="1503" spans="1:26" ht="23.25" hidden="1" thickBot="1" x14ac:dyDescent="0.25">
      <c r="A1503" s="567">
        <v>97594</v>
      </c>
      <c r="B1503" s="644">
        <v>97594</v>
      </c>
      <c r="C1503" s="645" t="s">
        <v>670</v>
      </c>
      <c r="D1503" s="422" t="s">
        <v>1349</v>
      </c>
      <c r="E1503" s="423"/>
      <c r="F1503" s="424"/>
      <c r="G1503" s="425"/>
      <c r="H1503" s="651"/>
      <c r="I1503" s="420">
        <v>174.96</v>
      </c>
      <c r="J1503" s="420">
        <f t="shared" si="370"/>
        <v>174.96</v>
      </c>
      <c r="K1503" s="421">
        <f t="shared" si="369"/>
        <v>207.87</v>
      </c>
      <c r="L1503" s="647" t="s">
        <v>2065</v>
      </c>
      <c r="M1503" s="576"/>
      <c r="N1503" s="576">
        <f t="shared" si="372"/>
        <v>0</v>
      </c>
      <c r="O1503" s="577">
        <f t="shared" si="366"/>
        <v>0</v>
      </c>
      <c r="P1503" s="578">
        <f t="shared" si="367"/>
        <v>0</v>
      </c>
      <c r="Q1503" s="765"/>
      <c r="R1503" s="576">
        <f t="shared" si="363"/>
        <v>0</v>
      </c>
      <c r="S1503" s="576">
        <f t="shared" si="363"/>
        <v>0</v>
      </c>
      <c r="T1503" s="577">
        <f t="shared" si="364"/>
        <v>0</v>
      </c>
      <c r="U1503" s="578">
        <f t="shared" si="365"/>
        <v>0</v>
      </c>
      <c r="V1503" s="579"/>
      <c r="W1503" s="566"/>
      <c r="X1503" s="586" t="str">
        <f t="shared" si="368"/>
        <v/>
      </c>
      <c r="Y1503" s="586" t="str">
        <f t="shared" si="362"/>
        <v/>
      </c>
      <c r="Z1503" s="586" t="str">
        <f t="shared" si="371"/>
        <v/>
      </c>
    </row>
    <row r="1504" spans="1:26" ht="23.25" hidden="1" thickBot="1" x14ac:dyDescent="0.25">
      <c r="A1504" s="567">
        <v>101666</v>
      </c>
      <c r="B1504" s="644">
        <v>101666</v>
      </c>
      <c r="C1504" s="645" t="s">
        <v>670</v>
      </c>
      <c r="D1504" s="422" t="s">
        <v>1350</v>
      </c>
      <c r="E1504" s="423"/>
      <c r="F1504" s="424"/>
      <c r="G1504" s="425"/>
      <c r="H1504" s="651"/>
      <c r="I1504" s="420">
        <v>547.97</v>
      </c>
      <c r="J1504" s="420">
        <f t="shared" si="370"/>
        <v>547.97</v>
      </c>
      <c r="K1504" s="421">
        <f t="shared" si="369"/>
        <v>651.04</v>
      </c>
      <c r="L1504" s="647" t="s">
        <v>2065</v>
      </c>
      <c r="M1504" s="576"/>
      <c r="N1504" s="576">
        <f t="shared" si="372"/>
        <v>0</v>
      </c>
      <c r="O1504" s="577">
        <f t="shared" si="366"/>
        <v>0</v>
      </c>
      <c r="P1504" s="578">
        <f t="shared" si="367"/>
        <v>0</v>
      </c>
      <c r="Q1504" s="765"/>
      <c r="R1504" s="576">
        <f t="shared" si="363"/>
        <v>0</v>
      </c>
      <c r="S1504" s="576">
        <f t="shared" si="363"/>
        <v>0</v>
      </c>
      <c r="T1504" s="577">
        <f t="shared" si="364"/>
        <v>0</v>
      </c>
      <c r="U1504" s="578">
        <f t="shared" si="365"/>
        <v>0</v>
      </c>
      <c r="V1504" s="579"/>
      <c r="W1504" s="566"/>
      <c r="X1504" s="586" t="str">
        <f t="shared" si="368"/>
        <v/>
      </c>
      <c r="Y1504" s="586" t="str">
        <f t="shared" si="362"/>
        <v/>
      </c>
      <c r="Z1504" s="586" t="str">
        <f t="shared" si="371"/>
        <v/>
      </c>
    </row>
    <row r="1505" spans="1:26" ht="23.25" hidden="1" thickBot="1" x14ac:dyDescent="0.25">
      <c r="A1505" s="567">
        <v>97600</v>
      </c>
      <c r="B1505" s="644">
        <v>97600</v>
      </c>
      <c r="C1505" s="645" t="s">
        <v>670</v>
      </c>
      <c r="D1505" s="422" t="s">
        <v>1351</v>
      </c>
      <c r="E1505" s="423"/>
      <c r="F1505" s="424"/>
      <c r="G1505" s="425"/>
      <c r="H1505" s="651"/>
      <c r="I1505" s="420">
        <v>370.04</v>
      </c>
      <c r="J1505" s="420">
        <f t="shared" si="370"/>
        <v>370.04</v>
      </c>
      <c r="K1505" s="421">
        <f t="shared" si="369"/>
        <v>439.64</v>
      </c>
      <c r="L1505" s="647" t="s">
        <v>2065</v>
      </c>
      <c r="M1505" s="576"/>
      <c r="N1505" s="576">
        <f t="shared" si="372"/>
        <v>0</v>
      </c>
      <c r="O1505" s="577">
        <f t="shared" si="366"/>
        <v>0</v>
      </c>
      <c r="P1505" s="578">
        <f t="shared" si="367"/>
        <v>0</v>
      </c>
      <c r="Q1505" s="765"/>
      <c r="R1505" s="576">
        <f t="shared" si="363"/>
        <v>0</v>
      </c>
      <c r="S1505" s="576">
        <f t="shared" si="363"/>
        <v>0</v>
      </c>
      <c r="T1505" s="577">
        <f t="shared" si="364"/>
        <v>0</v>
      </c>
      <c r="U1505" s="578">
        <f t="shared" si="365"/>
        <v>0</v>
      </c>
      <c r="V1505" s="579"/>
      <c r="W1505" s="566"/>
      <c r="X1505" s="586" t="str">
        <f t="shared" si="368"/>
        <v/>
      </c>
      <c r="Y1505" s="586" t="str">
        <f t="shared" si="362"/>
        <v/>
      </c>
      <c r="Z1505" s="586" t="str">
        <f t="shared" si="371"/>
        <v/>
      </c>
    </row>
    <row r="1506" spans="1:26" ht="23.25" hidden="1" thickBot="1" x14ac:dyDescent="0.25">
      <c r="A1506" s="567">
        <v>97601</v>
      </c>
      <c r="B1506" s="644">
        <v>97601</v>
      </c>
      <c r="C1506" s="645" t="s">
        <v>670</v>
      </c>
      <c r="D1506" s="422" t="s">
        <v>1352</v>
      </c>
      <c r="E1506" s="423"/>
      <c r="F1506" s="424"/>
      <c r="G1506" s="425"/>
      <c r="H1506" s="651"/>
      <c r="I1506" s="420">
        <v>392.82</v>
      </c>
      <c r="J1506" s="420">
        <f t="shared" si="370"/>
        <v>392.82</v>
      </c>
      <c r="K1506" s="421">
        <f t="shared" si="369"/>
        <v>466.71</v>
      </c>
      <c r="L1506" s="647" t="s">
        <v>2065</v>
      </c>
      <c r="M1506" s="576"/>
      <c r="N1506" s="576">
        <f t="shared" si="372"/>
        <v>0</v>
      </c>
      <c r="O1506" s="577">
        <f t="shared" si="366"/>
        <v>0</v>
      </c>
      <c r="P1506" s="578">
        <f t="shared" si="367"/>
        <v>0</v>
      </c>
      <c r="Q1506" s="765"/>
      <c r="R1506" s="576">
        <f t="shared" si="363"/>
        <v>0</v>
      </c>
      <c r="S1506" s="576">
        <f t="shared" si="363"/>
        <v>0</v>
      </c>
      <c r="T1506" s="577">
        <f t="shared" si="364"/>
        <v>0</v>
      </c>
      <c r="U1506" s="578">
        <f t="shared" si="365"/>
        <v>0</v>
      </c>
      <c r="V1506" s="579"/>
      <c r="W1506" s="566"/>
      <c r="X1506" s="586" t="str">
        <f t="shared" si="368"/>
        <v/>
      </c>
      <c r="Y1506" s="586" t="str">
        <f t="shared" si="362"/>
        <v/>
      </c>
      <c r="Z1506" s="586" t="str">
        <f t="shared" si="371"/>
        <v/>
      </c>
    </row>
    <row r="1507" spans="1:26" ht="12" hidden="1" thickBot="1" x14ac:dyDescent="0.25">
      <c r="A1507" s="567">
        <v>97611</v>
      </c>
      <c r="B1507" s="644">
        <v>97611</v>
      </c>
      <c r="C1507" s="645" t="s">
        <v>670</v>
      </c>
      <c r="D1507" s="422" t="s">
        <v>1353</v>
      </c>
      <c r="E1507" s="423"/>
      <c r="F1507" s="424"/>
      <c r="G1507" s="425"/>
      <c r="H1507" s="651"/>
      <c r="I1507" s="420">
        <v>27.91</v>
      </c>
      <c r="J1507" s="420">
        <f t="shared" si="370"/>
        <v>27.91</v>
      </c>
      <c r="K1507" s="421">
        <f t="shared" si="369"/>
        <v>33.159999999999997</v>
      </c>
      <c r="L1507" s="647" t="s">
        <v>2065</v>
      </c>
      <c r="M1507" s="576"/>
      <c r="N1507" s="576">
        <f t="shared" si="372"/>
        <v>0</v>
      </c>
      <c r="O1507" s="577">
        <f t="shared" si="366"/>
        <v>0</v>
      </c>
      <c r="P1507" s="578">
        <f t="shared" si="367"/>
        <v>0</v>
      </c>
      <c r="Q1507" s="765"/>
      <c r="R1507" s="576">
        <f t="shared" si="363"/>
        <v>0</v>
      </c>
      <c r="S1507" s="576">
        <f t="shared" si="363"/>
        <v>0</v>
      </c>
      <c r="T1507" s="577">
        <f t="shared" si="364"/>
        <v>0</v>
      </c>
      <c r="U1507" s="578">
        <f t="shared" si="365"/>
        <v>0</v>
      </c>
      <c r="V1507" s="579"/>
      <c r="W1507" s="566"/>
      <c r="X1507" s="586" t="str">
        <f t="shared" si="368"/>
        <v/>
      </c>
      <c r="Y1507" s="586" t="str">
        <f t="shared" ref="Y1507:Y1570" si="373">IF(W1507="X","x",IF(W1507="y","x",IF(W1507="xx","x",IF(U1507&gt;0,"x",""))))</f>
        <v/>
      </c>
      <c r="Z1507" s="586" t="str">
        <f t="shared" si="371"/>
        <v/>
      </c>
    </row>
    <row r="1508" spans="1:26" ht="12" hidden="1" thickBot="1" x14ac:dyDescent="0.25">
      <c r="A1508" s="567">
        <v>97612</v>
      </c>
      <c r="B1508" s="644">
        <v>97612</v>
      </c>
      <c r="C1508" s="645" t="s">
        <v>670</v>
      </c>
      <c r="D1508" s="422" t="s">
        <v>1354</v>
      </c>
      <c r="E1508" s="423"/>
      <c r="F1508" s="424"/>
      <c r="G1508" s="425"/>
      <c r="H1508" s="651"/>
      <c r="I1508" s="420">
        <v>30.46</v>
      </c>
      <c r="J1508" s="420">
        <f t="shared" si="370"/>
        <v>30.46</v>
      </c>
      <c r="K1508" s="421">
        <f t="shared" si="369"/>
        <v>36.19</v>
      </c>
      <c r="L1508" s="647" t="s">
        <v>2065</v>
      </c>
      <c r="M1508" s="576"/>
      <c r="N1508" s="576">
        <f t="shared" si="372"/>
        <v>0</v>
      </c>
      <c r="O1508" s="577">
        <f t="shared" si="366"/>
        <v>0</v>
      </c>
      <c r="P1508" s="578">
        <f t="shared" si="367"/>
        <v>0</v>
      </c>
      <c r="Q1508" s="765"/>
      <c r="R1508" s="576">
        <f t="shared" si="363"/>
        <v>0</v>
      </c>
      <c r="S1508" s="576">
        <f t="shared" si="363"/>
        <v>0</v>
      </c>
      <c r="T1508" s="577">
        <f t="shared" si="364"/>
        <v>0</v>
      </c>
      <c r="U1508" s="578">
        <f t="shared" si="365"/>
        <v>0</v>
      </c>
      <c r="V1508" s="579"/>
      <c r="W1508" s="566"/>
      <c r="X1508" s="586" t="str">
        <f t="shared" si="368"/>
        <v/>
      </c>
      <c r="Y1508" s="586" t="str">
        <f t="shared" si="373"/>
        <v/>
      </c>
      <c r="Z1508" s="586" t="str">
        <f t="shared" si="371"/>
        <v/>
      </c>
    </row>
    <row r="1509" spans="1:26" ht="23.25" hidden="1" thickBot="1" x14ac:dyDescent="0.25">
      <c r="A1509" s="567">
        <v>97615</v>
      </c>
      <c r="B1509" s="644">
        <v>97615</v>
      </c>
      <c r="C1509" s="645" t="s">
        <v>670</v>
      </c>
      <c r="D1509" s="422" t="s">
        <v>1355</v>
      </c>
      <c r="E1509" s="423"/>
      <c r="F1509" s="424"/>
      <c r="G1509" s="425"/>
      <c r="H1509" s="651"/>
      <c r="I1509" s="420">
        <v>71.03</v>
      </c>
      <c r="J1509" s="420">
        <f t="shared" si="370"/>
        <v>71.03</v>
      </c>
      <c r="K1509" s="421">
        <f t="shared" si="369"/>
        <v>84.39</v>
      </c>
      <c r="L1509" s="647" t="s">
        <v>2065</v>
      </c>
      <c r="M1509" s="576"/>
      <c r="N1509" s="576">
        <f t="shared" si="372"/>
        <v>0</v>
      </c>
      <c r="O1509" s="577">
        <f t="shared" si="366"/>
        <v>0</v>
      </c>
      <c r="P1509" s="578">
        <f t="shared" si="367"/>
        <v>0</v>
      </c>
      <c r="Q1509" s="765"/>
      <c r="R1509" s="576">
        <f t="shared" si="363"/>
        <v>0</v>
      </c>
      <c r="S1509" s="576">
        <f t="shared" si="363"/>
        <v>0</v>
      </c>
      <c r="T1509" s="577">
        <f t="shared" si="364"/>
        <v>0</v>
      </c>
      <c r="U1509" s="578">
        <f t="shared" si="365"/>
        <v>0</v>
      </c>
      <c r="V1509" s="579"/>
      <c r="W1509" s="566"/>
      <c r="X1509" s="586" t="str">
        <f t="shared" si="368"/>
        <v/>
      </c>
      <c r="Y1509" s="586" t="str">
        <f t="shared" si="373"/>
        <v/>
      </c>
      <c r="Z1509" s="586" t="str">
        <f t="shared" si="371"/>
        <v/>
      </c>
    </row>
    <row r="1510" spans="1:26" ht="23.25" hidden="1" thickBot="1" x14ac:dyDescent="0.25">
      <c r="A1510" s="567">
        <v>97616</v>
      </c>
      <c r="B1510" s="644">
        <v>97616</v>
      </c>
      <c r="C1510" s="645" t="s">
        <v>670</v>
      </c>
      <c r="D1510" s="422" t="s">
        <v>1356</v>
      </c>
      <c r="E1510" s="423"/>
      <c r="F1510" s="424"/>
      <c r="G1510" s="425"/>
      <c r="H1510" s="651"/>
      <c r="I1510" s="420">
        <v>82.58</v>
      </c>
      <c r="J1510" s="420">
        <f t="shared" si="370"/>
        <v>82.58</v>
      </c>
      <c r="K1510" s="421">
        <f t="shared" si="369"/>
        <v>98.11</v>
      </c>
      <c r="L1510" s="647" t="s">
        <v>2065</v>
      </c>
      <c r="M1510" s="576"/>
      <c r="N1510" s="576">
        <f t="shared" si="372"/>
        <v>0</v>
      </c>
      <c r="O1510" s="577">
        <f t="shared" si="366"/>
        <v>0</v>
      </c>
      <c r="P1510" s="578">
        <f t="shared" si="367"/>
        <v>0</v>
      </c>
      <c r="Q1510" s="765"/>
      <c r="R1510" s="576">
        <f t="shared" si="363"/>
        <v>0</v>
      </c>
      <c r="S1510" s="576">
        <f t="shared" si="363"/>
        <v>0</v>
      </c>
      <c r="T1510" s="577">
        <f t="shared" si="364"/>
        <v>0</v>
      </c>
      <c r="U1510" s="578">
        <f t="shared" si="365"/>
        <v>0</v>
      </c>
      <c r="V1510" s="579"/>
      <c r="W1510" s="566"/>
      <c r="X1510" s="586" t="str">
        <f t="shared" si="368"/>
        <v/>
      </c>
      <c r="Y1510" s="586" t="str">
        <f t="shared" si="373"/>
        <v/>
      </c>
      <c r="Z1510" s="586" t="str">
        <f t="shared" si="371"/>
        <v/>
      </c>
    </row>
    <row r="1511" spans="1:26" ht="23.25" hidden="1" thickBot="1" x14ac:dyDescent="0.25">
      <c r="A1511" s="567">
        <v>97617</v>
      </c>
      <c r="B1511" s="644">
        <v>97617</v>
      </c>
      <c r="C1511" s="645" t="s">
        <v>670</v>
      </c>
      <c r="D1511" s="422" t="s">
        <v>1357</v>
      </c>
      <c r="E1511" s="423"/>
      <c r="F1511" s="424"/>
      <c r="G1511" s="425"/>
      <c r="H1511" s="651"/>
      <c r="I1511" s="420">
        <v>82.19</v>
      </c>
      <c r="J1511" s="420">
        <f t="shared" si="370"/>
        <v>82.19</v>
      </c>
      <c r="K1511" s="421">
        <f t="shared" si="369"/>
        <v>97.65</v>
      </c>
      <c r="L1511" s="647" t="s">
        <v>2065</v>
      </c>
      <c r="M1511" s="576"/>
      <c r="N1511" s="576">
        <f t="shared" si="372"/>
        <v>0</v>
      </c>
      <c r="O1511" s="577">
        <f t="shared" si="366"/>
        <v>0</v>
      </c>
      <c r="P1511" s="578">
        <f t="shared" si="367"/>
        <v>0</v>
      </c>
      <c r="Q1511" s="765"/>
      <c r="R1511" s="576">
        <f t="shared" si="363"/>
        <v>0</v>
      </c>
      <c r="S1511" s="576">
        <f t="shared" si="363"/>
        <v>0</v>
      </c>
      <c r="T1511" s="577">
        <f t="shared" si="364"/>
        <v>0</v>
      </c>
      <c r="U1511" s="578">
        <f t="shared" si="365"/>
        <v>0</v>
      </c>
      <c r="V1511" s="579"/>
      <c r="W1511" s="566"/>
      <c r="X1511" s="586" t="str">
        <f t="shared" si="368"/>
        <v/>
      </c>
      <c r="Y1511" s="586" t="str">
        <f t="shared" si="373"/>
        <v/>
      </c>
      <c r="Z1511" s="586" t="str">
        <f t="shared" si="371"/>
        <v/>
      </c>
    </row>
    <row r="1512" spans="1:26" ht="23.25" hidden="1" thickBot="1" x14ac:dyDescent="0.25">
      <c r="A1512" s="567">
        <v>97618</v>
      </c>
      <c r="B1512" s="644">
        <v>97618</v>
      </c>
      <c r="C1512" s="645" t="s">
        <v>670</v>
      </c>
      <c r="D1512" s="422" t="s">
        <v>1358</v>
      </c>
      <c r="E1512" s="423"/>
      <c r="F1512" s="424"/>
      <c r="G1512" s="425"/>
      <c r="H1512" s="651"/>
      <c r="I1512" s="420">
        <v>74.61</v>
      </c>
      <c r="J1512" s="420">
        <f t="shared" si="370"/>
        <v>74.61</v>
      </c>
      <c r="K1512" s="421">
        <f t="shared" si="369"/>
        <v>88.64</v>
      </c>
      <c r="L1512" s="647" t="s">
        <v>2065</v>
      </c>
      <c r="M1512" s="576"/>
      <c r="N1512" s="576">
        <f t="shared" si="372"/>
        <v>0</v>
      </c>
      <c r="O1512" s="577">
        <f t="shared" si="366"/>
        <v>0</v>
      </c>
      <c r="P1512" s="578">
        <f t="shared" si="367"/>
        <v>0</v>
      </c>
      <c r="Q1512" s="765"/>
      <c r="R1512" s="576">
        <f t="shared" si="363"/>
        <v>0</v>
      </c>
      <c r="S1512" s="576">
        <f t="shared" si="363"/>
        <v>0</v>
      </c>
      <c r="T1512" s="577">
        <f t="shared" si="364"/>
        <v>0</v>
      </c>
      <c r="U1512" s="578">
        <f t="shared" si="365"/>
        <v>0</v>
      </c>
      <c r="V1512" s="579"/>
      <c r="W1512" s="566"/>
      <c r="X1512" s="586" t="str">
        <f t="shared" si="368"/>
        <v/>
      </c>
      <c r="Y1512" s="586" t="str">
        <f t="shared" si="373"/>
        <v/>
      </c>
      <c r="Z1512" s="586" t="str">
        <f t="shared" si="371"/>
        <v/>
      </c>
    </row>
    <row r="1513" spans="1:26" ht="23.25" hidden="1" thickBot="1" x14ac:dyDescent="0.25">
      <c r="A1513" s="567">
        <v>97613</v>
      </c>
      <c r="B1513" s="644">
        <v>97613</v>
      </c>
      <c r="C1513" s="645" t="s">
        <v>670</v>
      </c>
      <c r="D1513" s="422" t="s">
        <v>1359</v>
      </c>
      <c r="E1513" s="423"/>
      <c r="F1513" s="424"/>
      <c r="G1513" s="425"/>
      <c r="H1513" s="651"/>
      <c r="I1513" s="420">
        <v>38.93</v>
      </c>
      <c r="J1513" s="420">
        <f t="shared" si="370"/>
        <v>38.93</v>
      </c>
      <c r="K1513" s="421">
        <f t="shared" si="369"/>
        <v>46.25</v>
      </c>
      <c r="L1513" s="647" t="s">
        <v>2065</v>
      </c>
      <c r="M1513" s="576"/>
      <c r="N1513" s="576">
        <f t="shared" si="372"/>
        <v>0</v>
      </c>
      <c r="O1513" s="577">
        <f t="shared" si="366"/>
        <v>0</v>
      </c>
      <c r="P1513" s="578">
        <f t="shared" si="367"/>
        <v>0</v>
      </c>
      <c r="Q1513" s="765"/>
      <c r="R1513" s="576">
        <f t="shared" si="363"/>
        <v>0</v>
      </c>
      <c r="S1513" s="576">
        <f t="shared" si="363"/>
        <v>0</v>
      </c>
      <c r="T1513" s="577">
        <f t="shared" si="364"/>
        <v>0</v>
      </c>
      <c r="U1513" s="578">
        <f t="shared" si="365"/>
        <v>0</v>
      </c>
      <c r="V1513" s="579"/>
      <c r="W1513" s="566"/>
      <c r="X1513" s="586" t="str">
        <f t="shared" si="368"/>
        <v/>
      </c>
      <c r="Y1513" s="586" t="str">
        <f t="shared" si="373"/>
        <v/>
      </c>
      <c r="Z1513" s="586" t="str">
        <f t="shared" si="371"/>
        <v/>
      </c>
    </row>
    <row r="1514" spans="1:26" ht="23.25" hidden="1" thickBot="1" x14ac:dyDescent="0.25">
      <c r="A1514" s="567">
        <v>97614</v>
      </c>
      <c r="B1514" s="644">
        <v>97614</v>
      </c>
      <c r="C1514" s="645" t="s">
        <v>670</v>
      </c>
      <c r="D1514" s="422" t="s">
        <v>1360</v>
      </c>
      <c r="E1514" s="423"/>
      <c r="F1514" s="424"/>
      <c r="G1514" s="425"/>
      <c r="H1514" s="651"/>
      <c r="I1514" s="420">
        <v>69.52</v>
      </c>
      <c r="J1514" s="420">
        <f t="shared" si="370"/>
        <v>69.52</v>
      </c>
      <c r="K1514" s="421">
        <f t="shared" si="369"/>
        <v>82.6</v>
      </c>
      <c r="L1514" s="647" t="s">
        <v>2065</v>
      </c>
      <c r="M1514" s="576"/>
      <c r="N1514" s="576">
        <f t="shared" si="372"/>
        <v>0</v>
      </c>
      <c r="O1514" s="577">
        <f t="shared" si="366"/>
        <v>0</v>
      </c>
      <c r="P1514" s="578">
        <f t="shared" si="367"/>
        <v>0</v>
      </c>
      <c r="Q1514" s="765"/>
      <c r="R1514" s="576">
        <f t="shared" ref="R1514:S1577" si="374">M1514</f>
        <v>0</v>
      </c>
      <c r="S1514" s="576">
        <f t="shared" si="374"/>
        <v>0</v>
      </c>
      <c r="T1514" s="577">
        <f t="shared" si="364"/>
        <v>0</v>
      </c>
      <c r="U1514" s="578">
        <f t="shared" si="365"/>
        <v>0</v>
      </c>
      <c r="V1514" s="579"/>
      <c r="W1514" s="566"/>
      <c r="X1514" s="586" t="str">
        <f t="shared" si="368"/>
        <v/>
      </c>
      <c r="Y1514" s="586" t="str">
        <f t="shared" si="373"/>
        <v/>
      </c>
      <c r="Z1514" s="586" t="str">
        <f t="shared" si="371"/>
        <v/>
      </c>
    </row>
    <row r="1515" spans="1:26" ht="12" hidden="1" thickBot="1" x14ac:dyDescent="0.25">
      <c r="A1515" s="567">
        <v>101648</v>
      </c>
      <c r="B1515" s="644">
        <v>101648</v>
      </c>
      <c r="C1515" s="645" t="s">
        <v>670</v>
      </c>
      <c r="D1515" s="422" t="s">
        <v>1361</v>
      </c>
      <c r="E1515" s="423"/>
      <c r="F1515" s="424"/>
      <c r="G1515" s="425"/>
      <c r="H1515" s="651"/>
      <c r="I1515" s="420">
        <v>64.48</v>
      </c>
      <c r="J1515" s="420">
        <f t="shared" si="370"/>
        <v>64.48</v>
      </c>
      <c r="K1515" s="421">
        <f t="shared" si="369"/>
        <v>76.61</v>
      </c>
      <c r="L1515" s="647" t="s">
        <v>2065</v>
      </c>
      <c r="M1515" s="576"/>
      <c r="N1515" s="576">
        <f t="shared" si="372"/>
        <v>0</v>
      </c>
      <c r="O1515" s="577">
        <f t="shared" si="366"/>
        <v>0</v>
      </c>
      <c r="P1515" s="578">
        <f t="shared" si="367"/>
        <v>0</v>
      </c>
      <c r="Q1515" s="765"/>
      <c r="R1515" s="576">
        <f t="shared" si="374"/>
        <v>0</v>
      </c>
      <c r="S1515" s="576">
        <f t="shared" si="374"/>
        <v>0</v>
      </c>
      <c r="T1515" s="577">
        <f t="shared" si="364"/>
        <v>0</v>
      </c>
      <c r="U1515" s="578">
        <f t="shared" si="365"/>
        <v>0</v>
      </c>
      <c r="V1515" s="579"/>
      <c r="W1515" s="566"/>
      <c r="X1515" s="586" t="str">
        <f t="shared" si="368"/>
        <v/>
      </c>
      <c r="Y1515" s="586" t="str">
        <f t="shared" si="373"/>
        <v/>
      </c>
      <c r="Z1515" s="586" t="str">
        <f t="shared" si="371"/>
        <v/>
      </c>
    </row>
    <row r="1516" spans="1:26" ht="12" hidden="1" thickBot="1" x14ac:dyDescent="0.25">
      <c r="A1516" s="567">
        <v>101649</v>
      </c>
      <c r="B1516" s="644">
        <v>101649</v>
      </c>
      <c r="C1516" s="645" t="s">
        <v>670</v>
      </c>
      <c r="D1516" s="422" t="s">
        <v>1362</v>
      </c>
      <c r="E1516" s="423"/>
      <c r="F1516" s="424"/>
      <c r="G1516" s="425"/>
      <c r="H1516" s="651"/>
      <c r="I1516" s="420">
        <v>74.34</v>
      </c>
      <c r="J1516" s="420">
        <f t="shared" si="370"/>
        <v>74.34</v>
      </c>
      <c r="K1516" s="421">
        <f t="shared" si="369"/>
        <v>88.32</v>
      </c>
      <c r="L1516" s="647" t="s">
        <v>2065</v>
      </c>
      <c r="M1516" s="576"/>
      <c r="N1516" s="576">
        <f t="shared" si="372"/>
        <v>0</v>
      </c>
      <c r="O1516" s="577">
        <f t="shared" si="366"/>
        <v>0</v>
      </c>
      <c r="P1516" s="578">
        <f t="shared" si="367"/>
        <v>0</v>
      </c>
      <c r="Q1516" s="765"/>
      <c r="R1516" s="576">
        <f t="shared" si="374"/>
        <v>0</v>
      </c>
      <c r="S1516" s="576">
        <f t="shared" si="374"/>
        <v>0</v>
      </c>
      <c r="T1516" s="577">
        <f t="shared" si="364"/>
        <v>0</v>
      </c>
      <c r="U1516" s="578">
        <f t="shared" si="365"/>
        <v>0</v>
      </c>
      <c r="V1516" s="579"/>
      <c r="W1516" s="566"/>
      <c r="X1516" s="586" t="str">
        <f t="shared" si="368"/>
        <v/>
      </c>
      <c r="Y1516" s="586" t="str">
        <f t="shared" si="373"/>
        <v/>
      </c>
      <c r="Z1516" s="586" t="str">
        <f t="shared" si="371"/>
        <v/>
      </c>
    </row>
    <row r="1517" spans="1:26" ht="12" hidden="1" thickBot="1" x14ac:dyDescent="0.25">
      <c r="A1517" s="567">
        <v>101650</v>
      </c>
      <c r="B1517" s="644">
        <v>101650</v>
      </c>
      <c r="C1517" s="645" t="s">
        <v>670</v>
      </c>
      <c r="D1517" s="422" t="s">
        <v>1363</v>
      </c>
      <c r="E1517" s="423"/>
      <c r="F1517" s="424"/>
      <c r="G1517" s="425"/>
      <c r="H1517" s="651"/>
      <c r="I1517" s="420">
        <v>86.44</v>
      </c>
      <c r="J1517" s="420">
        <f t="shared" si="370"/>
        <v>86.44</v>
      </c>
      <c r="K1517" s="421">
        <f t="shared" si="369"/>
        <v>102.7</v>
      </c>
      <c r="L1517" s="647" t="s">
        <v>2065</v>
      </c>
      <c r="M1517" s="576"/>
      <c r="N1517" s="576">
        <f t="shared" si="372"/>
        <v>0</v>
      </c>
      <c r="O1517" s="577">
        <f t="shared" si="366"/>
        <v>0</v>
      </c>
      <c r="P1517" s="578">
        <f t="shared" si="367"/>
        <v>0</v>
      </c>
      <c r="Q1517" s="765"/>
      <c r="R1517" s="576">
        <f t="shared" si="374"/>
        <v>0</v>
      </c>
      <c r="S1517" s="576">
        <f t="shared" si="374"/>
        <v>0</v>
      </c>
      <c r="T1517" s="577">
        <f t="shared" si="364"/>
        <v>0</v>
      </c>
      <c r="U1517" s="578">
        <f t="shared" si="365"/>
        <v>0</v>
      </c>
      <c r="V1517" s="579"/>
      <c r="W1517" s="566"/>
      <c r="X1517" s="586" t="str">
        <f t="shared" si="368"/>
        <v/>
      </c>
      <c r="Y1517" s="586" t="str">
        <f t="shared" si="373"/>
        <v/>
      </c>
      <c r="Z1517" s="586" t="str">
        <f t="shared" si="371"/>
        <v/>
      </c>
    </row>
    <row r="1518" spans="1:26" ht="12" hidden="1" thickBot="1" x14ac:dyDescent="0.25">
      <c r="A1518" s="567">
        <v>101640</v>
      </c>
      <c r="B1518" s="644">
        <v>101640</v>
      </c>
      <c r="C1518" s="645" t="s">
        <v>670</v>
      </c>
      <c r="D1518" s="422" t="s">
        <v>1364</v>
      </c>
      <c r="E1518" s="423"/>
      <c r="F1518" s="424"/>
      <c r="G1518" s="425"/>
      <c r="H1518" s="651"/>
      <c r="I1518" s="420">
        <v>118.24</v>
      </c>
      <c r="J1518" s="420">
        <f t="shared" si="370"/>
        <v>118.24</v>
      </c>
      <c r="K1518" s="421">
        <f t="shared" si="369"/>
        <v>140.47999999999999</v>
      </c>
      <c r="L1518" s="647" t="s">
        <v>2065</v>
      </c>
      <c r="M1518" s="576"/>
      <c r="N1518" s="576">
        <f t="shared" si="372"/>
        <v>0</v>
      </c>
      <c r="O1518" s="577">
        <f t="shared" si="366"/>
        <v>0</v>
      </c>
      <c r="P1518" s="578">
        <f t="shared" si="367"/>
        <v>0</v>
      </c>
      <c r="Q1518" s="765"/>
      <c r="R1518" s="576">
        <f t="shared" si="374"/>
        <v>0</v>
      </c>
      <c r="S1518" s="576">
        <f t="shared" si="374"/>
        <v>0</v>
      </c>
      <c r="T1518" s="577">
        <f t="shared" si="364"/>
        <v>0</v>
      </c>
      <c r="U1518" s="578">
        <f t="shared" si="365"/>
        <v>0</v>
      </c>
      <c r="V1518" s="579"/>
      <c r="W1518" s="566"/>
      <c r="X1518" s="586" t="str">
        <f t="shared" si="368"/>
        <v/>
      </c>
      <c r="Y1518" s="586" t="str">
        <f t="shared" si="373"/>
        <v/>
      </c>
      <c r="Z1518" s="586" t="str">
        <f t="shared" si="371"/>
        <v/>
      </c>
    </row>
    <row r="1519" spans="1:26" ht="12" hidden="1" thickBot="1" x14ac:dyDescent="0.25">
      <c r="A1519" s="567">
        <v>101641</v>
      </c>
      <c r="B1519" s="644">
        <v>101641</v>
      </c>
      <c r="C1519" s="645" t="s">
        <v>670</v>
      </c>
      <c r="D1519" s="422" t="s">
        <v>1365</v>
      </c>
      <c r="E1519" s="423"/>
      <c r="F1519" s="424"/>
      <c r="G1519" s="425"/>
      <c r="H1519" s="651"/>
      <c r="I1519" s="420">
        <v>61.12</v>
      </c>
      <c r="J1519" s="420">
        <f t="shared" si="370"/>
        <v>61.12</v>
      </c>
      <c r="K1519" s="421">
        <f t="shared" si="369"/>
        <v>72.62</v>
      </c>
      <c r="L1519" s="647" t="s">
        <v>2065</v>
      </c>
      <c r="M1519" s="576"/>
      <c r="N1519" s="576">
        <f t="shared" si="372"/>
        <v>0</v>
      </c>
      <c r="O1519" s="577">
        <f t="shared" si="366"/>
        <v>0</v>
      </c>
      <c r="P1519" s="578">
        <f t="shared" si="367"/>
        <v>0</v>
      </c>
      <c r="Q1519" s="765"/>
      <c r="R1519" s="576">
        <f t="shared" si="374"/>
        <v>0</v>
      </c>
      <c r="S1519" s="576">
        <f t="shared" si="374"/>
        <v>0</v>
      </c>
      <c r="T1519" s="577">
        <f t="shared" si="364"/>
        <v>0</v>
      </c>
      <c r="U1519" s="578">
        <f t="shared" si="365"/>
        <v>0</v>
      </c>
      <c r="V1519" s="579"/>
      <c r="W1519" s="566"/>
      <c r="X1519" s="586" t="str">
        <f t="shared" si="368"/>
        <v/>
      </c>
      <c r="Y1519" s="586" t="str">
        <f t="shared" si="373"/>
        <v/>
      </c>
      <c r="Z1519" s="586" t="str">
        <f t="shared" si="371"/>
        <v/>
      </c>
    </row>
    <row r="1520" spans="1:26" ht="12" hidden="1" thickBot="1" x14ac:dyDescent="0.25">
      <c r="A1520" s="567">
        <v>101642</v>
      </c>
      <c r="B1520" s="644">
        <v>101642</v>
      </c>
      <c r="C1520" s="645" t="s">
        <v>670</v>
      </c>
      <c r="D1520" s="422" t="s">
        <v>1366</v>
      </c>
      <c r="E1520" s="423"/>
      <c r="F1520" s="424"/>
      <c r="G1520" s="425"/>
      <c r="H1520" s="651"/>
      <c r="I1520" s="420">
        <v>30.53</v>
      </c>
      <c r="J1520" s="420">
        <f t="shared" si="370"/>
        <v>30.53</v>
      </c>
      <c r="K1520" s="421">
        <f t="shared" si="369"/>
        <v>36.270000000000003</v>
      </c>
      <c r="L1520" s="647" t="s">
        <v>2065</v>
      </c>
      <c r="M1520" s="576"/>
      <c r="N1520" s="576">
        <f t="shared" si="372"/>
        <v>0</v>
      </c>
      <c r="O1520" s="577">
        <f t="shared" si="366"/>
        <v>0</v>
      </c>
      <c r="P1520" s="578">
        <f t="shared" si="367"/>
        <v>0</v>
      </c>
      <c r="Q1520" s="765"/>
      <c r="R1520" s="576">
        <f t="shared" si="374"/>
        <v>0</v>
      </c>
      <c r="S1520" s="576">
        <f t="shared" si="374"/>
        <v>0</v>
      </c>
      <c r="T1520" s="577">
        <f t="shared" si="364"/>
        <v>0</v>
      </c>
      <c r="U1520" s="578">
        <f t="shared" si="365"/>
        <v>0</v>
      </c>
      <c r="V1520" s="579"/>
      <c r="W1520" s="566"/>
      <c r="X1520" s="586" t="str">
        <f t="shared" si="368"/>
        <v/>
      </c>
      <c r="Y1520" s="586" t="str">
        <f t="shared" si="373"/>
        <v/>
      </c>
      <c r="Z1520" s="586" t="str">
        <f t="shared" si="371"/>
        <v/>
      </c>
    </row>
    <row r="1521" spans="1:26" ht="12" hidden="1" thickBot="1" x14ac:dyDescent="0.25">
      <c r="A1521" s="567">
        <v>101643</v>
      </c>
      <c r="B1521" s="644">
        <v>101643</v>
      </c>
      <c r="C1521" s="645" t="s">
        <v>670</v>
      </c>
      <c r="D1521" s="422" t="s">
        <v>1367</v>
      </c>
      <c r="E1521" s="423"/>
      <c r="F1521" s="424"/>
      <c r="G1521" s="425"/>
      <c r="H1521" s="651"/>
      <c r="I1521" s="420">
        <v>53.31</v>
      </c>
      <c r="J1521" s="420">
        <f t="shared" si="370"/>
        <v>53.31</v>
      </c>
      <c r="K1521" s="421">
        <f t="shared" si="369"/>
        <v>63.34</v>
      </c>
      <c r="L1521" s="647" t="s">
        <v>2065</v>
      </c>
      <c r="M1521" s="576"/>
      <c r="N1521" s="576">
        <f t="shared" si="372"/>
        <v>0</v>
      </c>
      <c r="O1521" s="577">
        <f t="shared" si="366"/>
        <v>0</v>
      </c>
      <c r="P1521" s="578">
        <f t="shared" si="367"/>
        <v>0</v>
      </c>
      <c r="Q1521" s="765"/>
      <c r="R1521" s="576">
        <f t="shared" si="374"/>
        <v>0</v>
      </c>
      <c r="S1521" s="576">
        <f t="shared" si="374"/>
        <v>0</v>
      </c>
      <c r="T1521" s="577">
        <f t="shared" si="364"/>
        <v>0</v>
      </c>
      <c r="U1521" s="578">
        <f t="shared" si="365"/>
        <v>0</v>
      </c>
      <c r="V1521" s="579"/>
      <c r="W1521" s="566"/>
      <c r="X1521" s="586" t="str">
        <f t="shared" si="368"/>
        <v/>
      </c>
      <c r="Y1521" s="586" t="str">
        <f t="shared" si="373"/>
        <v/>
      </c>
      <c r="Z1521" s="586" t="str">
        <f t="shared" si="371"/>
        <v/>
      </c>
    </row>
    <row r="1522" spans="1:26" ht="12" hidden="1" thickBot="1" x14ac:dyDescent="0.25">
      <c r="A1522" s="567">
        <v>101644</v>
      </c>
      <c r="B1522" s="644">
        <v>101644</v>
      </c>
      <c r="C1522" s="645" t="s">
        <v>670</v>
      </c>
      <c r="D1522" s="422" t="s">
        <v>1368</v>
      </c>
      <c r="E1522" s="423"/>
      <c r="F1522" s="424"/>
      <c r="G1522" s="425"/>
      <c r="H1522" s="651"/>
      <c r="I1522" s="420">
        <v>72.23</v>
      </c>
      <c r="J1522" s="420">
        <f t="shared" si="370"/>
        <v>72.23</v>
      </c>
      <c r="K1522" s="421">
        <f t="shared" si="369"/>
        <v>85.82</v>
      </c>
      <c r="L1522" s="647" t="s">
        <v>2065</v>
      </c>
      <c r="M1522" s="576"/>
      <c r="N1522" s="576">
        <f t="shared" si="372"/>
        <v>0</v>
      </c>
      <c r="O1522" s="577">
        <f t="shared" si="366"/>
        <v>0</v>
      </c>
      <c r="P1522" s="578">
        <f t="shared" si="367"/>
        <v>0</v>
      </c>
      <c r="Q1522" s="765"/>
      <c r="R1522" s="576">
        <f t="shared" si="374"/>
        <v>0</v>
      </c>
      <c r="S1522" s="576">
        <f t="shared" si="374"/>
        <v>0</v>
      </c>
      <c r="T1522" s="577">
        <f t="shared" si="364"/>
        <v>0</v>
      </c>
      <c r="U1522" s="578">
        <f t="shared" si="365"/>
        <v>0</v>
      </c>
      <c r="V1522" s="579"/>
      <c r="W1522" s="566"/>
      <c r="X1522" s="586" t="str">
        <f t="shared" si="368"/>
        <v/>
      </c>
      <c r="Y1522" s="586" t="str">
        <f t="shared" si="373"/>
        <v/>
      </c>
      <c r="Z1522" s="586" t="str">
        <f t="shared" si="371"/>
        <v/>
      </c>
    </row>
    <row r="1523" spans="1:26" ht="12" hidden="1" thickBot="1" x14ac:dyDescent="0.25">
      <c r="A1523" s="567">
        <v>101645</v>
      </c>
      <c r="B1523" s="644">
        <v>101645</v>
      </c>
      <c r="C1523" s="645" t="s">
        <v>670</v>
      </c>
      <c r="D1523" s="422" t="s">
        <v>1369</v>
      </c>
      <c r="E1523" s="423"/>
      <c r="F1523" s="424"/>
      <c r="G1523" s="425"/>
      <c r="H1523" s="651"/>
      <c r="I1523" s="420">
        <v>34.06</v>
      </c>
      <c r="J1523" s="420">
        <f t="shared" si="370"/>
        <v>34.06</v>
      </c>
      <c r="K1523" s="421">
        <f t="shared" si="369"/>
        <v>40.47</v>
      </c>
      <c r="L1523" s="647" t="s">
        <v>2065</v>
      </c>
      <c r="M1523" s="576"/>
      <c r="N1523" s="576">
        <f t="shared" si="372"/>
        <v>0</v>
      </c>
      <c r="O1523" s="577">
        <f t="shared" si="366"/>
        <v>0</v>
      </c>
      <c r="P1523" s="578">
        <f t="shared" si="367"/>
        <v>0</v>
      </c>
      <c r="Q1523" s="765"/>
      <c r="R1523" s="576">
        <f t="shared" si="374"/>
        <v>0</v>
      </c>
      <c r="S1523" s="576">
        <f t="shared" si="374"/>
        <v>0</v>
      </c>
      <c r="T1523" s="577">
        <f t="shared" si="364"/>
        <v>0</v>
      </c>
      <c r="U1523" s="578">
        <f t="shared" si="365"/>
        <v>0</v>
      </c>
      <c r="V1523" s="579"/>
      <c r="W1523" s="566"/>
      <c r="X1523" s="586" t="str">
        <f t="shared" si="368"/>
        <v/>
      </c>
      <c r="Y1523" s="586" t="str">
        <f t="shared" si="373"/>
        <v/>
      </c>
      <c r="Z1523" s="586" t="str">
        <f t="shared" si="371"/>
        <v/>
      </c>
    </row>
    <row r="1524" spans="1:26" ht="12" hidden="1" thickBot="1" x14ac:dyDescent="0.25">
      <c r="A1524" s="567">
        <v>101646</v>
      </c>
      <c r="B1524" s="644">
        <v>101646</v>
      </c>
      <c r="C1524" s="645" t="s">
        <v>670</v>
      </c>
      <c r="D1524" s="422" t="s">
        <v>1370</v>
      </c>
      <c r="E1524" s="423"/>
      <c r="F1524" s="424"/>
      <c r="G1524" s="425"/>
      <c r="H1524" s="651"/>
      <c r="I1524" s="420">
        <v>45.31</v>
      </c>
      <c r="J1524" s="420">
        <f t="shared" si="370"/>
        <v>45.31</v>
      </c>
      <c r="K1524" s="421">
        <f t="shared" si="369"/>
        <v>53.83</v>
      </c>
      <c r="L1524" s="647" t="s">
        <v>2065</v>
      </c>
      <c r="M1524" s="576"/>
      <c r="N1524" s="576">
        <f t="shared" si="372"/>
        <v>0</v>
      </c>
      <c r="O1524" s="577">
        <f t="shared" si="366"/>
        <v>0</v>
      </c>
      <c r="P1524" s="578">
        <f t="shared" si="367"/>
        <v>0</v>
      </c>
      <c r="Q1524" s="765"/>
      <c r="R1524" s="576">
        <f t="shared" si="374"/>
        <v>0</v>
      </c>
      <c r="S1524" s="576">
        <f t="shared" si="374"/>
        <v>0</v>
      </c>
      <c r="T1524" s="577">
        <f t="shared" ref="T1524:T1587" si="375">IF(ISBLANK(R1524),0,ROUND(K1524*R1524,2))</f>
        <v>0</v>
      </c>
      <c r="U1524" s="578">
        <f t="shared" ref="U1524:U1587" si="376">IF(ISBLANK(R1524),0,ROUND(R1524*S1524,2))</f>
        <v>0</v>
      </c>
      <c r="V1524" s="579"/>
      <c r="W1524" s="566"/>
      <c r="X1524" s="586" t="str">
        <f t="shared" si="368"/>
        <v/>
      </c>
      <c r="Y1524" s="586" t="str">
        <f t="shared" si="373"/>
        <v/>
      </c>
      <c r="Z1524" s="586" t="str">
        <f t="shared" si="371"/>
        <v/>
      </c>
    </row>
    <row r="1525" spans="1:26" ht="12" hidden="1" thickBot="1" x14ac:dyDescent="0.25">
      <c r="A1525" s="567">
        <v>101647</v>
      </c>
      <c r="B1525" s="644">
        <v>101647</v>
      </c>
      <c r="C1525" s="645" t="s">
        <v>670</v>
      </c>
      <c r="D1525" s="422" t="s">
        <v>1371</v>
      </c>
      <c r="E1525" s="423"/>
      <c r="F1525" s="424"/>
      <c r="G1525" s="425"/>
      <c r="H1525" s="651"/>
      <c r="I1525" s="420">
        <v>83.44</v>
      </c>
      <c r="J1525" s="420">
        <f t="shared" si="370"/>
        <v>83.44</v>
      </c>
      <c r="K1525" s="421">
        <f t="shared" si="369"/>
        <v>99.14</v>
      </c>
      <c r="L1525" s="647" t="s">
        <v>2065</v>
      </c>
      <c r="M1525" s="576"/>
      <c r="N1525" s="576">
        <f t="shared" si="372"/>
        <v>0</v>
      </c>
      <c r="O1525" s="577">
        <f t="shared" ref="O1525:O1588" si="377">IF(ISBLANK(M1525),0,ROUND(K1525*M1525,2))</f>
        <v>0</v>
      </c>
      <c r="P1525" s="578">
        <f t="shared" ref="P1525:P1588" si="378">IF(ISBLANK(N1525),0,ROUND(M1525*N1525,2))</f>
        <v>0</v>
      </c>
      <c r="Q1525" s="765"/>
      <c r="R1525" s="576">
        <f t="shared" si="374"/>
        <v>0</v>
      </c>
      <c r="S1525" s="576">
        <f t="shared" si="374"/>
        <v>0</v>
      </c>
      <c r="T1525" s="577">
        <f t="shared" si="375"/>
        <v>0</v>
      </c>
      <c r="U1525" s="578">
        <f t="shared" si="376"/>
        <v>0</v>
      </c>
      <c r="V1525" s="579"/>
      <c r="W1525" s="566"/>
      <c r="X1525" s="586" t="str">
        <f t="shared" si="368"/>
        <v/>
      </c>
      <c r="Y1525" s="586" t="str">
        <f t="shared" si="373"/>
        <v/>
      </c>
      <c r="Z1525" s="586" t="str">
        <f t="shared" si="371"/>
        <v/>
      </c>
    </row>
    <row r="1526" spans="1:26" ht="23.25" hidden="1" thickBot="1" x14ac:dyDescent="0.25">
      <c r="A1526" s="567">
        <v>102085</v>
      </c>
      <c r="B1526" s="644">
        <v>102085</v>
      </c>
      <c r="C1526" s="645" t="s">
        <v>670</v>
      </c>
      <c r="D1526" s="422" t="s">
        <v>1372</v>
      </c>
      <c r="E1526" s="423"/>
      <c r="F1526" s="424"/>
      <c r="G1526" s="425"/>
      <c r="H1526" s="651"/>
      <c r="I1526" s="420">
        <v>277.33999999999997</v>
      </c>
      <c r="J1526" s="420">
        <f t="shared" si="370"/>
        <v>277.33999999999997</v>
      </c>
      <c r="K1526" s="421">
        <f t="shared" si="369"/>
        <v>329.51</v>
      </c>
      <c r="L1526" s="647" t="s">
        <v>2065</v>
      </c>
      <c r="M1526" s="576"/>
      <c r="N1526" s="576">
        <f t="shared" si="372"/>
        <v>0</v>
      </c>
      <c r="O1526" s="577">
        <f t="shared" si="377"/>
        <v>0</v>
      </c>
      <c r="P1526" s="578">
        <f t="shared" si="378"/>
        <v>0</v>
      </c>
      <c r="Q1526" s="765"/>
      <c r="R1526" s="576">
        <f t="shared" si="374"/>
        <v>0</v>
      </c>
      <c r="S1526" s="576">
        <f t="shared" si="374"/>
        <v>0</v>
      </c>
      <c r="T1526" s="577">
        <f t="shared" si="375"/>
        <v>0</v>
      </c>
      <c r="U1526" s="578">
        <f t="shared" si="376"/>
        <v>0</v>
      </c>
      <c r="V1526" s="579"/>
      <c r="W1526" s="566"/>
      <c r="X1526" s="586" t="str">
        <f t="shared" si="368"/>
        <v/>
      </c>
      <c r="Y1526" s="586" t="str">
        <f t="shared" si="373"/>
        <v/>
      </c>
      <c r="Z1526" s="586" t="str">
        <f t="shared" si="371"/>
        <v/>
      </c>
    </row>
    <row r="1527" spans="1:26" ht="23.25" hidden="1" thickBot="1" x14ac:dyDescent="0.25">
      <c r="A1527" s="567">
        <v>97605</v>
      </c>
      <c r="B1527" s="644">
        <v>97605</v>
      </c>
      <c r="C1527" s="645" t="s">
        <v>670</v>
      </c>
      <c r="D1527" s="422" t="s">
        <v>1373</v>
      </c>
      <c r="E1527" s="423"/>
      <c r="F1527" s="424"/>
      <c r="G1527" s="425"/>
      <c r="H1527" s="651"/>
      <c r="I1527" s="420">
        <v>125.56</v>
      </c>
      <c r="J1527" s="420">
        <f t="shared" si="370"/>
        <v>125.56</v>
      </c>
      <c r="K1527" s="421">
        <f t="shared" si="369"/>
        <v>149.18</v>
      </c>
      <c r="L1527" s="647" t="s">
        <v>2065</v>
      </c>
      <c r="M1527" s="576"/>
      <c r="N1527" s="576">
        <f t="shared" si="372"/>
        <v>0</v>
      </c>
      <c r="O1527" s="577">
        <f t="shared" si="377"/>
        <v>0</v>
      </c>
      <c r="P1527" s="578">
        <f t="shared" si="378"/>
        <v>0</v>
      </c>
      <c r="Q1527" s="765"/>
      <c r="R1527" s="576">
        <f t="shared" si="374"/>
        <v>0</v>
      </c>
      <c r="S1527" s="576">
        <f t="shared" si="374"/>
        <v>0</v>
      </c>
      <c r="T1527" s="577">
        <f t="shared" si="375"/>
        <v>0</v>
      </c>
      <c r="U1527" s="578">
        <f t="shared" si="376"/>
        <v>0</v>
      </c>
      <c r="V1527" s="579"/>
      <c r="W1527" s="566"/>
      <c r="X1527" s="586" t="str">
        <f t="shared" si="368"/>
        <v/>
      </c>
      <c r="Y1527" s="586" t="str">
        <f t="shared" si="373"/>
        <v/>
      </c>
      <c r="Z1527" s="586" t="str">
        <f t="shared" si="371"/>
        <v/>
      </c>
    </row>
    <row r="1528" spans="1:26" ht="23.25" hidden="1" thickBot="1" x14ac:dyDescent="0.25">
      <c r="A1528" s="567">
        <v>101654</v>
      </c>
      <c r="B1528" s="644">
        <v>101654</v>
      </c>
      <c r="C1528" s="645" t="s">
        <v>670</v>
      </c>
      <c r="D1528" s="422" t="s">
        <v>1374</v>
      </c>
      <c r="E1528" s="423"/>
      <c r="F1528" s="424"/>
      <c r="G1528" s="425"/>
      <c r="H1528" s="651"/>
      <c r="I1528" s="420">
        <v>306.95</v>
      </c>
      <c r="J1528" s="420">
        <f t="shared" si="370"/>
        <v>306.95</v>
      </c>
      <c r="K1528" s="421">
        <f t="shared" si="369"/>
        <v>364.69</v>
      </c>
      <c r="L1528" s="647" t="s">
        <v>2065</v>
      </c>
      <c r="M1528" s="576"/>
      <c r="N1528" s="576">
        <f t="shared" si="372"/>
        <v>0</v>
      </c>
      <c r="O1528" s="577">
        <f t="shared" si="377"/>
        <v>0</v>
      </c>
      <c r="P1528" s="578">
        <f t="shared" si="378"/>
        <v>0</v>
      </c>
      <c r="Q1528" s="765"/>
      <c r="R1528" s="576">
        <f t="shared" si="374"/>
        <v>0</v>
      </c>
      <c r="S1528" s="576">
        <f t="shared" si="374"/>
        <v>0</v>
      </c>
      <c r="T1528" s="577">
        <f t="shared" si="375"/>
        <v>0</v>
      </c>
      <c r="U1528" s="578">
        <f t="shared" si="376"/>
        <v>0</v>
      </c>
      <c r="V1528" s="579"/>
      <c r="W1528" s="566"/>
      <c r="X1528" s="586" t="str">
        <f t="shared" si="368"/>
        <v/>
      </c>
      <c r="Y1528" s="586" t="str">
        <f t="shared" si="373"/>
        <v/>
      </c>
      <c r="Z1528" s="586" t="str">
        <f t="shared" si="371"/>
        <v/>
      </c>
    </row>
    <row r="1529" spans="1:26" ht="23.25" hidden="1" thickBot="1" x14ac:dyDescent="0.25">
      <c r="A1529" s="567">
        <v>101655</v>
      </c>
      <c r="B1529" s="644">
        <v>101655</v>
      </c>
      <c r="C1529" s="645" t="s">
        <v>670</v>
      </c>
      <c r="D1529" s="422" t="s">
        <v>1375</v>
      </c>
      <c r="E1529" s="423"/>
      <c r="F1529" s="424"/>
      <c r="G1529" s="425"/>
      <c r="H1529" s="651"/>
      <c r="I1529" s="420">
        <v>500.81</v>
      </c>
      <c r="J1529" s="420">
        <f t="shared" si="370"/>
        <v>500.81</v>
      </c>
      <c r="K1529" s="421">
        <f t="shared" si="369"/>
        <v>595.01</v>
      </c>
      <c r="L1529" s="647" t="s">
        <v>2065</v>
      </c>
      <c r="M1529" s="576"/>
      <c r="N1529" s="576">
        <f t="shared" si="372"/>
        <v>0</v>
      </c>
      <c r="O1529" s="577">
        <f t="shared" si="377"/>
        <v>0</v>
      </c>
      <c r="P1529" s="578">
        <f t="shared" si="378"/>
        <v>0</v>
      </c>
      <c r="Q1529" s="765"/>
      <c r="R1529" s="576">
        <f t="shared" si="374"/>
        <v>0</v>
      </c>
      <c r="S1529" s="576">
        <f t="shared" si="374"/>
        <v>0</v>
      </c>
      <c r="T1529" s="577">
        <f t="shared" si="375"/>
        <v>0</v>
      </c>
      <c r="U1529" s="578">
        <f t="shared" si="376"/>
        <v>0</v>
      </c>
      <c r="V1529" s="579"/>
      <c r="W1529" s="566"/>
      <c r="X1529" s="586" t="str">
        <f t="shared" si="368"/>
        <v/>
      </c>
      <c r="Y1529" s="586" t="str">
        <f t="shared" si="373"/>
        <v/>
      </c>
      <c r="Z1529" s="586" t="str">
        <f t="shared" si="371"/>
        <v/>
      </c>
    </row>
    <row r="1530" spans="1:26" ht="23.25" hidden="1" thickBot="1" x14ac:dyDescent="0.25">
      <c r="A1530" s="567">
        <v>101656</v>
      </c>
      <c r="B1530" s="644">
        <v>101656</v>
      </c>
      <c r="C1530" s="645" t="s">
        <v>670</v>
      </c>
      <c r="D1530" s="422" t="s">
        <v>1376</v>
      </c>
      <c r="E1530" s="423"/>
      <c r="F1530" s="424"/>
      <c r="G1530" s="425"/>
      <c r="H1530" s="651"/>
      <c r="I1530" s="420">
        <v>546.08000000000004</v>
      </c>
      <c r="J1530" s="420">
        <f t="shared" si="370"/>
        <v>546.08000000000004</v>
      </c>
      <c r="K1530" s="421">
        <f t="shared" si="369"/>
        <v>648.79999999999995</v>
      </c>
      <c r="L1530" s="647" t="s">
        <v>2065</v>
      </c>
      <c r="M1530" s="576"/>
      <c r="N1530" s="576">
        <f t="shared" si="372"/>
        <v>0</v>
      </c>
      <c r="O1530" s="577">
        <f t="shared" si="377"/>
        <v>0</v>
      </c>
      <c r="P1530" s="578">
        <f t="shared" si="378"/>
        <v>0</v>
      </c>
      <c r="Q1530" s="765"/>
      <c r="R1530" s="576">
        <f t="shared" si="374"/>
        <v>0</v>
      </c>
      <c r="S1530" s="576">
        <f t="shared" si="374"/>
        <v>0</v>
      </c>
      <c r="T1530" s="577">
        <f t="shared" si="375"/>
        <v>0</v>
      </c>
      <c r="U1530" s="578">
        <f t="shared" si="376"/>
        <v>0</v>
      </c>
      <c r="V1530" s="579"/>
      <c r="W1530" s="566"/>
      <c r="X1530" s="586" t="str">
        <f t="shared" si="368"/>
        <v/>
      </c>
      <c r="Y1530" s="586" t="str">
        <f t="shared" si="373"/>
        <v/>
      </c>
      <c r="Z1530" s="586" t="str">
        <f t="shared" si="371"/>
        <v/>
      </c>
    </row>
    <row r="1531" spans="1:26" ht="23.25" hidden="1" thickBot="1" x14ac:dyDescent="0.25">
      <c r="A1531" s="567">
        <v>101657</v>
      </c>
      <c r="B1531" s="644">
        <v>101657</v>
      </c>
      <c r="C1531" s="645" t="s">
        <v>670</v>
      </c>
      <c r="D1531" s="422" t="s">
        <v>1377</v>
      </c>
      <c r="E1531" s="423"/>
      <c r="F1531" s="424"/>
      <c r="G1531" s="425"/>
      <c r="H1531" s="651"/>
      <c r="I1531" s="420">
        <v>642.5</v>
      </c>
      <c r="J1531" s="420">
        <f t="shared" si="370"/>
        <v>642.5</v>
      </c>
      <c r="K1531" s="421">
        <f t="shared" si="369"/>
        <v>763.35</v>
      </c>
      <c r="L1531" s="647" t="s">
        <v>2065</v>
      </c>
      <c r="M1531" s="576"/>
      <c r="N1531" s="576">
        <f t="shared" si="372"/>
        <v>0</v>
      </c>
      <c r="O1531" s="577">
        <f t="shared" si="377"/>
        <v>0</v>
      </c>
      <c r="P1531" s="578">
        <f t="shared" si="378"/>
        <v>0</v>
      </c>
      <c r="Q1531" s="765"/>
      <c r="R1531" s="576">
        <f t="shared" si="374"/>
        <v>0</v>
      </c>
      <c r="S1531" s="576">
        <f t="shared" si="374"/>
        <v>0</v>
      </c>
      <c r="T1531" s="577">
        <f t="shared" si="375"/>
        <v>0</v>
      </c>
      <c r="U1531" s="578">
        <f t="shared" si="376"/>
        <v>0</v>
      </c>
      <c r="V1531" s="579"/>
      <c r="W1531" s="566"/>
      <c r="X1531" s="586" t="str">
        <f t="shared" si="368"/>
        <v/>
      </c>
      <c r="Y1531" s="586" t="str">
        <f t="shared" si="373"/>
        <v/>
      </c>
      <c r="Z1531" s="586" t="str">
        <f t="shared" si="371"/>
        <v/>
      </c>
    </row>
    <row r="1532" spans="1:26" ht="23.25" hidden="1" thickBot="1" x14ac:dyDescent="0.25">
      <c r="A1532" s="567">
        <v>101658</v>
      </c>
      <c r="B1532" s="644">
        <v>101658</v>
      </c>
      <c r="C1532" s="645" t="s">
        <v>670</v>
      </c>
      <c r="D1532" s="422" t="s">
        <v>1378</v>
      </c>
      <c r="E1532" s="423"/>
      <c r="F1532" s="424"/>
      <c r="G1532" s="425"/>
      <c r="H1532" s="651"/>
      <c r="I1532" s="420">
        <v>840.76</v>
      </c>
      <c r="J1532" s="420">
        <f t="shared" si="370"/>
        <v>840.76</v>
      </c>
      <c r="K1532" s="421">
        <f t="shared" si="369"/>
        <v>998.91</v>
      </c>
      <c r="L1532" s="647" t="s">
        <v>2065</v>
      </c>
      <c r="M1532" s="576"/>
      <c r="N1532" s="576">
        <f t="shared" si="372"/>
        <v>0</v>
      </c>
      <c r="O1532" s="577">
        <f t="shared" si="377"/>
        <v>0</v>
      </c>
      <c r="P1532" s="578">
        <f t="shared" si="378"/>
        <v>0</v>
      </c>
      <c r="Q1532" s="765"/>
      <c r="R1532" s="576">
        <f t="shared" si="374"/>
        <v>0</v>
      </c>
      <c r="S1532" s="576">
        <f t="shared" si="374"/>
        <v>0</v>
      </c>
      <c r="T1532" s="577">
        <f t="shared" si="375"/>
        <v>0</v>
      </c>
      <c r="U1532" s="578">
        <f t="shared" si="376"/>
        <v>0</v>
      </c>
      <c r="V1532" s="579"/>
      <c r="W1532" s="566"/>
      <c r="X1532" s="586" t="str">
        <f t="shared" si="368"/>
        <v/>
      </c>
      <c r="Y1532" s="586" t="str">
        <f t="shared" si="373"/>
        <v/>
      </c>
      <c r="Z1532" s="586" t="str">
        <f t="shared" si="371"/>
        <v/>
      </c>
    </row>
    <row r="1533" spans="1:26" ht="23.25" hidden="1" thickBot="1" x14ac:dyDescent="0.25">
      <c r="A1533" s="567">
        <v>101659</v>
      </c>
      <c r="B1533" s="644">
        <v>101659</v>
      </c>
      <c r="C1533" s="645" t="s">
        <v>670</v>
      </c>
      <c r="D1533" s="422" t="s">
        <v>1379</v>
      </c>
      <c r="E1533" s="423"/>
      <c r="F1533" s="424"/>
      <c r="G1533" s="425"/>
      <c r="H1533" s="651"/>
      <c r="I1533" s="420">
        <v>964.07</v>
      </c>
      <c r="J1533" s="420">
        <f t="shared" si="370"/>
        <v>964.07</v>
      </c>
      <c r="K1533" s="421">
        <f t="shared" si="369"/>
        <v>1145.4100000000001</v>
      </c>
      <c r="L1533" s="647" t="s">
        <v>2065</v>
      </c>
      <c r="M1533" s="576"/>
      <c r="N1533" s="576">
        <f t="shared" si="372"/>
        <v>0</v>
      </c>
      <c r="O1533" s="577">
        <f t="shared" si="377"/>
        <v>0</v>
      </c>
      <c r="P1533" s="578">
        <f t="shared" si="378"/>
        <v>0</v>
      </c>
      <c r="Q1533" s="765"/>
      <c r="R1533" s="576">
        <f t="shared" si="374"/>
        <v>0</v>
      </c>
      <c r="S1533" s="576">
        <f t="shared" si="374"/>
        <v>0</v>
      </c>
      <c r="T1533" s="577">
        <f t="shared" si="375"/>
        <v>0</v>
      </c>
      <c r="U1533" s="578">
        <f t="shared" si="376"/>
        <v>0</v>
      </c>
      <c r="V1533" s="579"/>
      <c r="W1533" s="566"/>
      <c r="X1533" s="586" t="str">
        <f t="shared" ref="X1533:X1596" si="379">IF(W1533="X","x",IF(W1533="xx","x",IF(W1533="xy","x",IF(W1533="y","x",IF(OR(P1533&gt;0,U1533&gt;0),"x","")))))</f>
        <v/>
      </c>
      <c r="Y1533" s="586" t="str">
        <f t="shared" si="373"/>
        <v/>
      </c>
      <c r="Z1533" s="586" t="str">
        <f t="shared" si="371"/>
        <v/>
      </c>
    </row>
    <row r="1534" spans="1:26" ht="23.25" hidden="1" thickBot="1" x14ac:dyDescent="0.25">
      <c r="A1534" s="567">
        <v>101660</v>
      </c>
      <c r="B1534" s="644">
        <v>101660</v>
      </c>
      <c r="C1534" s="645" t="s">
        <v>670</v>
      </c>
      <c r="D1534" s="422" t="s">
        <v>1380</v>
      </c>
      <c r="E1534" s="423"/>
      <c r="F1534" s="424"/>
      <c r="G1534" s="425"/>
      <c r="H1534" s="651"/>
      <c r="I1534" s="420">
        <v>1546.17</v>
      </c>
      <c r="J1534" s="420">
        <f t="shared" si="370"/>
        <v>1546.17</v>
      </c>
      <c r="K1534" s="421">
        <f t="shared" si="369"/>
        <v>1837</v>
      </c>
      <c r="L1534" s="647" t="s">
        <v>2065</v>
      </c>
      <c r="M1534" s="576"/>
      <c r="N1534" s="576">
        <f t="shared" si="372"/>
        <v>0</v>
      </c>
      <c r="O1534" s="577">
        <f t="shared" si="377"/>
        <v>0</v>
      </c>
      <c r="P1534" s="578">
        <f t="shared" si="378"/>
        <v>0</v>
      </c>
      <c r="Q1534" s="765"/>
      <c r="R1534" s="576">
        <f t="shared" si="374"/>
        <v>0</v>
      </c>
      <c r="S1534" s="576">
        <f t="shared" si="374"/>
        <v>0</v>
      </c>
      <c r="T1534" s="577">
        <f t="shared" si="375"/>
        <v>0</v>
      </c>
      <c r="U1534" s="578">
        <f t="shared" si="376"/>
        <v>0</v>
      </c>
      <c r="V1534" s="579"/>
      <c r="W1534" s="566"/>
      <c r="X1534" s="586" t="str">
        <f t="shared" si="379"/>
        <v/>
      </c>
      <c r="Y1534" s="586" t="str">
        <f t="shared" si="373"/>
        <v/>
      </c>
      <c r="Z1534" s="586" t="str">
        <f t="shared" si="371"/>
        <v/>
      </c>
    </row>
    <row r="1535" spans="1:26" ht="23.25" hidden="1" thickBot="1" x14ac:dyDescent="0.25">
      <c r="A1535" s="567">
        <v>97606</v>
      </c>
      <c r="B1535" s="644">
        <v>97606</v>
      </c>
      <c r="C1535" s="645" t="s">
        <v>670</v>
      </c>
      <c r="D1535" s="422" t="s">
        <v>1381</v>
      </c>
      <c r="E1535" s="423"/>
      <c r="F1535" s="424"/>
      <c r="G1535" s="425"/>
      <c r="H1535" s="651"/>
      <c r="I1535" s="420">
        <v>135.91999999999999</v>
      </c>
      <c r="J1535" s="420">
        <f t="shared" si="370"/>
        <v>135.91999999999999</v>
      </c>
      <c r="K1535" s="421">
        <f t="shared" si="369"/>
        <v>161.49</v>
      </c>
      <c r="L1535" s="647" t="s">
        <v>2065</v>
      </c>
      <c r="M1535" s="576"/>
      <c r="N1535" s="576">
        <f t="shared" si="372"/>
        <v>0</v>
      </c>
      <c r="O1535" s="577">
        <f t="shared" si="377"/>
        <v>0</v>
      </c>
      <c r="P1535" s="578">
        <f t="shared" si="378"/>
        <v>0</v>
      </c>
      <c r="Q1535" s="765"/>
      <c r="R1535" s="576">
        <f t="shared" si="374"/>
        <v>0</v>
      </c>
      <c r="S1535" s="576">
        <f t="shared" si="374"/>
        <v>0</v>
      </c>
      <c r="T1535" s="577">
        <f t="shared" si="375"/>
        <v>0</v>
      </c>
      <c r="U1535" s="578">
        <f t="shared" si="376"/>
        <v>0</v>
      </c>
      <c r="V1535" s="579"/>
      <c r="W1535" s="566"/>
      <c r="X1535" s="586" t="str">
        <f t="shared" si="379"/>
        <v/>
      </c>
      <c r="Y1535" s="586" t="str">
        <f t="shared" si="373"/>
        <v/>
      </c>
      <c r="Z1535" s="586" t="str">
        <f t="shared" si="371"/>
        <v/>
      </c>
    </row>
    <row r="1536" spans="1:26" ht="23.25" hidden="1" thickBot="1" x14ac:dyDescent="0.25">
      <c r="A1536" s="567">
        <v>97607</v>
      </c>
      <c r="B1536" s="644">
        <v>97607</v>
      </c>
      <c r="C1536" s="645" t="s">
        <v>670</v>
      </c>
      <c r="D1536" s="422" t="s">
        <v>1382</v>
      </c>
      <c r="E1536" s="423"/>
      <c r="F1536" s="424"/>
      <c r="G1536" s="425"/>
      <c r="H1536" s="651"/>
      <c r="I1536" s="420">
        <v>152.28</v>
      </c>
      <c r="J1536" s="420">
        <f t="shared" si="370"/>
        <v>152.28</v>
      </c>
      <c r="K1536" s="421">
        <f t="shared" si="369"/>
        <v>180.92</v>
      </c>
      <c r="L1536" s="647" t="s">
        <v>2065</v>
      </c>
      <c r="M1536" s="576"/>
      <c r="N1536" s="576">
        <f t="shared" si="372"/>
        <v>0</v>
      </c>
      <c r="O1536" s="577">
        <f t="shared" si="377"/>
        <v>0</v>
      </c>
      <c r="P1536" s="578">
        <f t="shared" si="378"/>
        <v>0</v>
      </c>
      <c r="Q1536" s="765"/>
      <c r="R1536" s="576">
        <f t="shared" si="374"/>
        <v>0</v>
      </c>
      <c r="S1536" s="576">
        <f t="shared" si="374"/>
        <v>0</v>
      </c>
      <c r="T1536" s="577">
        <f t="shared" si="375"/>
        <v>0</v>
      </c>
      <c r="U1536" s="578">
        <f t="shared" si="376"/>
        <v>0</v>
      </c>
      <c r="V1536" s="579"/>
      <c r="W1536" s="566"/>
      <c r="X1536" s="586" t="str">
        <f t="shared" si="379"/>
        <v/>
      </c>
      <c r="Y1536" s="586" t="str">
        <f t="shared" si="373"/>
        <v/>
      </c>
      <c r="Z1536" s="586" t="str">
        <f t="shared" si="371"/>
        <v/>
      </c>
    </row>
    <row r="1537" spans="1:26" ht="23.25" hidden="1" thickBot="1" x14ac:dyDescent="0.25">
      <c r="A1537" s="567">
        <v>97608</v>
      </c>
      <c r="B1537" s="644">
        <v>97608</v>
      </c>
      <c r="C1537" s="645" t="s">
        <v>670</v>
      </c>
      <c r="D1537" s="422" t="s">
        <v>1383</v>
      </c>
      <c r="E1537" s="423"/>
      <c r="F1537" s="424"/>
      <c r="G1537" s="425"/>
      <c r="H1537" s="651"/>
      <c r="I1537" s="420">
        <v>162.63999999999999</v>
      </c>
      <c r="J1537" s="420">
        <f t="shared" si="370"/>
        <v>162.63999999999999</v>
      </c>
      <c r="K1537" s="421">
        <f t="shared" si="369"/>
        <v>193.23</v>
      </c>
      <c r="L1537" s="647" t="s">
        <v>2065</v>
      </c>
      <c r="M1537" s="576"/>
      <c r="N1537" s="576">
        <f t="shared" si="372"/>
        <v>0</v>
      </c>
      <c r="O1537" s="577">
        <f t="shared" si="377"/>
        <v>0</v>
      </c>
      <c r="P1537" s="578">
        <f t="shared" si="378"/>
        <v>0</v>
      </c>
      <c r="Q1537" s="765"/>
      <c r="R1537" s="576">
        <f t="shared" si="374"/>
        <v>0</v>
      </c>
      <c r="S1537" s="576">
        <f t="shared" si="374"/>
        <v>0</v>
      </c>
      <c r="T1537" s="577">
        <f t="shared" si="375"/>
        <v>0</v>
      </c>
      <c r="U1537" s="578">
        <f t="shared" si="376"/>
        <v>0</v>
      </c>
      <c r="V1537" s="579"/>
      <c r="W1537" s="566"/>
      <c r="X1537" s="586" t="str">
        <f t="shared" si="379"/>
        <v/>
      </c>
      <c r="Y1537" s="586" t="str">
        <f t="shared" si="373"/>
        <v/>
      </c>
      <c r="Z1537" s="586" t="str">
        <f t="shared" si="371"/>
        <v/>
      </c>
    </row>
    <row r="1538" spans="1:26" ht="12" hidden="1" thickBot="1" x14ac:dyDescent="0.25">
      <c r="A1538" s="567">
        <v>100902</v>
      </c>
      <c r="B1538" s="644">
        <v>100902</v>
      </c>
      <c r="C1538" s="645" t="s">
        <v>670</v>
      </c>
      <c r="D1538" s="422" t="s">
        <v>1384</v>
      </c>
      <c r="E1538" s="423"/>
      <c r="F1538" s="424"/>
      <c r="G1538" s="425"/>
      <c r="H1538" s="651"/>
      <c r="I1538" s="420">
        <v>28.34</v>
      </c>
      <c r="J1538" s="420">
        <f t="shared" si="370"/>
        <v>28.34</v>
      </c>
      <c r="K1538" s="421">
        <f t="shared" si="369"/>
        <v>33.67</v>
      </c>
      <c r="L1538" s="647" t="s">
        <v>2065</v>
      </c>
      <c r="M1538" s="576"/>
      <c r="N1538" s="576">
        <f t="shared" si="372"/>
        <v>0</v>
      </c>
      <c r="O1538" s="577">
        <f t="shared" si="377"/>
        <v>0</v>
      </c>
      <c r="P1538" s="578">
        <f t="shared" si="378"/>
        <v>0</v>
      </c>
      <c r="Q1538" s="765"/>
      <c r="R1538" s="576">
        <f t="shared" si="374"/>
        <v>0</v>
      </c>
      <c r="S1538" s="576">
        <f t="shared" si="374"/>
        <v>0</v>
      </c>
      <c r="T1538" s="577">
        <f t="shared" si="375"/>
        <v>0</v>
      </c>
      <c r="U1538" s="578">
        <f t="shared" si="376"/>
        <v>0</v>
      </c>
      <c r="V1538" s="579"/>
      <c r="W1538" s="566"/>
      <c r="X1538" s="586" t="str">
        <f t="shared" si="379"/>
        <v/>
      </c>
      <c r="Y1538" s="586" t="str">
        <f t="shared" si="373"/>
        <v/>
      </c>
      <c r="Z1538" s="586" t="str">
        <f t="shared" si="371"/>
        <v/>
      </c>
    </row>
    <row r="1539" spans="1:26" ht="12" hidden="1" thickBot="1" x14ac:dyDescent="0.25">
      <c r="A1539" s="567">
        <v>100903</v>
      </c>
      <c r="B1539" s="644">
        <v>100903</v>
      </c>
      <c r="C1539" s="645" t="s">
        <v>670</v>
      </c>
      <c r="D1539" s="422" t="s">
        <v>1385</v>
      </c>
      <c r="E1539" s="423"/>
      <c r="F1539" s="424"/>
      <c r="G1539" s="425"/>
      <c r="H1539" s="651"/>
      <c r="I1539" s="420">
        <v>33.5</v>
      </c>
      <c r="J1539" s="420">
        <f t="shared" si="370"/>
        <v>33.5</v>
      </c>
      <c r="K1539" s="421">
        <f t="shared" si="369"/>
        <v>39.799999999999997</v>
      </c>
      <c r="L1539" s="647" t="s">
        <v>2065</v>
      </c>
      <c r="M1539" s="576"/>
      <c r="N1539" s="576">
        <f t="shared" si="372"/>
        <v>0</v>
      </c>
      <c r="O1539" s="577">
        <f t="shared" si="377"/>
        <v>0</v>
      </c>
      <c r="P1539" s="578">
        <f t="shared" si="378"/>
        <v>0</v>
      </c>
      <c r="Q1539" s="765"/>
      <c r="R1539" s="576">
        <f t="shared" si="374"/>
        <v>0</v>
      </c>
      <c r="S1539" s="576">
        <f t="shared" si="374"/>
        <v>0</v>
      </c>
      <c r="T1539" s="577">
        <f t="shared" si="375"/>
        <v>0</v>
      </c>
      <c r="U1539" s="578">
        <f t="shared" si="376"/>
        <v>0</v>
      </c>
      <c r="V1539" s="579"/>
      <c r="W1539" s="566"/>
      <c r="X1539" s="586" t="str">
        <f t="shared" si="379"/>
        <v/>
      </c>
      <c r="Y1539" s="586" t="str">
        <f t="shared" si="373"/>
        <v/>
      </c>
      <c r="Z1539" s="586" t="str">
        <f t="shared" si="371"/>
        <v/>
      </c>
    </row>
    <row r="1540" spans="1:26" ht="23.25" hidden="1" thickBot="1" x14ac:dyDescent="0.25">
      <c r="A1540" s="567">
        <v>100904</v>
      </c>
      <c r="B1540" s="644">
        <v>100904</v>
      </c>
      <c r="C1540" s="645" t="s">
        <v>670</v>
      </c>
      <c r="D1540" s="422" t="s">
        <v>1386</v>
      </c>
      <c r="E1540" s="423"/>
      <c r="F1540" s="424"/>
      <c r="G1540" s="425"/>
      <c r="H1540" s="651"/>
      <c r="I1540" s="420">
        <v>120.49</v>
      </c>
      <c r="J1540" s="420">
        <f t="shared" si="370"/>
        <v>120.49</v>
      </c>
      <c r="K1540" s="421">
        <f t="shared" si="369"/>
        <v>143.15</v>
      </c>
      <c r="L1540" s="647" t="s">
        <v>2065</v>
      </c>
      <c r="M1540" s="576"/>
      <c r="N1540" s="576">
        <f t="shared" si="372"/>
        <v>0</v>
      </c>
      <c r="O1540" s="577">
        <f t="shared" si="377"/>
        <v>0</v>
      </c>
      <c r="P1540" s="578">
        <f t="shared" si="378"/>
        <v>0</v>
      </c>
      <c r="Q1540" s="765"/>
      <c r="R1540" s="576">
        <f t="shared" si="374"/>
        <v>0</v>
      </c>
      <c r="S1540" s="576">
        <f t="shared" si="374"/>
        <v>0</v>
      </c>
      <c r="T1540" s="577">
        <f t="shared" si="375"/>
        <v>0</v>
      </c>
      <c r="U1540" s="578">
        <f t="shared" si="376"/>
        <v>0</v>
      </c>
      <c r="V1540" s="579"/>
      <c r="W1540" s="566"/>
      <c r="X1540" s="586" t="str">
        <f t="shared" si="379"/>
        <v/>
      </c>
      <c r="Y1540" s="586" t="str">
        <f t="shared" si="373"/>
        <v/>
      </c>
      <c r="Z1540" s="586" t="str">
        <f t="shared" si="371"/>
        <v/>
      </c>
    </row>
    <row r="1541" spans="1:26" ht="23.25" hidden="1" thickBot="1" x14ac:dyDescent="0.25">
      <c r="A1541" s="567">
        <v>100905</v>
      </c>
      <c r="B1541" s="644">
        <v>100905</v>
      </c>
      <c r="C1541" s="645" t="s">
        <v>670</v>
      </c>
      <c r="D1541" s="422" t="s">
        <v>1387</v>
      </c>
      <c r="E1541" s="423"/>
      <c r="F1541" s="424"/>
      <c r="G1541" s="425"/>
      <c r="H1541" s="651"/>
      <c r="I1541" s="420">
        <v>326.97000000000003</v>
      </c>
      <c r="J1541" s="420">
        <f t="shared" si="370"/>
        <v>326.97000000000003</v>
      </c>
      <c r="K1541" s="421">
        <f t="shared" si="369"/>
        <v>388.47</v>
      </c>
      <c r="L1541" s="647" t="s">
        <v>2065</v>
      </c>
      <c r="M1541" s="576"/>
      <c r="N1541" s="576">
        <f t="shared" si="372"/>
        <v>0</v>
      </c>
      <c r="O1541" s="577">
        <f t="shared" si="377"/>
        <v>0</v>
      </c>
      <c r="P1541" s="578">
        <f t="shared" si="378"/>
        <v>0</v>
      </c>
      <c r="Q1541" s="765"/>
      <c r="R1541" s="576">
        <f t="shared" si="374"/>
        <v>0</v>
      </c>
      <c r="S1541" s="576">
        <f t="shared" si="374"/>
        <v>0</v>
      </c>
      <c r="T1541" s="577">
        <f t="shared" si="375"/>
        <v>0</v>
      </c>
      <c r="U1541" s="578">
        <f t="shared" si="376"/>
        <v>0</v>
      </c>
      <c r="V1541" s="579"/>
      <c r="W1541" s="566"/>
      <c r="X1541" s="586" t="str">
        <f t="shared" si="379"/>
        <v/>
      </c>
      <c r="Y1541" s="586" t="str">
        <f t="shared" si="373"/>
        <v/>
      </c>
      <c r="Z1541" s="586" t="str">
        <f t="shared" si="371"/>
        <v/>
      </c>
    </row>
    <row r="1542" spans="1:26" ht="23.25" hidden="1" thickBot="1" x14ac:dyDescent="0.25">
      <c r="A1542" s="567">
        <v>100906</v>
      </c>
      <c r="B1542" s="644">
        <v>100906</v>
      </c>
      <c r="C1542" s="645" t="s">
        <v>670</v>
      </c>
      <c r="D1542" s="422" t="s">
        <v>1388</v>
      </c>
      <c r="E1542" s="423"/>
      <c r="F1542" s="424"/>
      <c r="G1542" s="425"/>
      <c r="H1542" s="651"/>
      <c r="I1542" s="420">
        <v>449.21</v>
      </c>
      <c r="J1542" s="420">
        <f t="shared" si="370"/>
        <v>449.21</v>
      </c>
      <c r="K1542" s="421">
        <f t="shared" si="369"/>
        <v>533.71</v>
      </c>
      <c r="L1542" s="647" t="s">
        <v>2065</v>
      </c>
      <c r="M1542" s="576"/>
      <c r="N1542" s="576">
        <f t="shared" si="372"/>
        <v>0</v>
      </c>
      <c r="O1542" s="577">
        <f t="shared" si="377"/>
        <v>0</v>
      </c>
      <c r="P1542" s="578">
        <f t="shared" si="378"/>
        <v>0</v>
      </c>
      <c r="Q1542" s="765"/>
      <c r="R1542" s="576">
        <f t="shared" si="374"/>
        <v>0</v>
      </c>
      <c r="S1542" s="576">
        <f t="shared" si="374"/>
        <v>0</v>
      </c>
      <c r="T1542" s="577">
        <f t="shared" si="375"/>
        <v>0</v>
      </c>
      <c r="U1542" s="578">
        <f t="shared" si="376"/>
        <v>0</v>
      </c>
      <c r="V1542" s="579"/>
      <c r="W1542" s="566"/>
      <c r="X1542" s="586" t="str">
        <f t="shared" si="379"/>
        <v/>
      </c>
      <c r="Y1542" s="586" t="str">
        <f t="shared" si="373"/>
        <v/>
      </c>
      <c r="Z1542" s="586" t="str">
        <f t="shared" si="371"/>
        <v/>
      </c>
    </row>
    <row r="1543" spans="1:26" ht="23.25" hidden="1" thickBot="1" x14ac:dyDescent="0.25">
      <c r="A1543" s="567">
        <v>100919</v>
      </c>
      <c r="B1543" s="644">
        <v>100919</v>
      </c>
      <c r="C1543" s="645" t="s">
        <v>670</v>
      </c>
      <c r="D1543" s="422" t="s">
        <v>1389</v>
      </c>
      <c r="E1543" s="423"/>
      <c r="F1543" s="424"/>
      <c r="G1543" s="425"/>
      <c r="H1543" s="651"/>
      <c r="I1543" s="420">
        <v>79.510000000000005</v>
      </c>
      <c r="J1543" s="420">
        <f t="shared" si="370"/>
        <v>79.510000000000005</v>
      </c>
      <c r="K1543" s="421">
        <f t="shared" si="369"/>
        <v>94.47</v>
      </c>
      <c r="L1543" s="647" t="s">
        <v>2065</v>
      </c>
      <c r="M1543" s="576"/>
      <c r="N1543" s="576">
        <f t="shared" si="372"/>
        <v>0</v>
      </c>
      <c r="O1543" s="577">
        <f t="shared" si="377"/>
        <v>0</v>
      </c>
      <c r="P1543" s="578">
        <f t="shared" si="378"/>
        <v>0</v>
      </c>
      <c r="Q1543" s="765"/>
      <c r="R1543" s="576">
        <f t="shared" si="374"/>
        <v>0</v>
      </c>
      <c r="S1543" s="576">
        <f t="shared" si="374"/>
        <v>0</v>
      </c>
      <c r="T1543" s="577">
        <f t="shared" si="375"/>
        <v>0</v>
      </c>
      <c r="U1543" s="578">
        <f t="shared" si="376"/>
        <v>0</v>
      </c>
      <c r="V1543" s="579"/>
      <c r="W1543" s="566"/>
      <c r="X1543" s="586" t="str">
        <f t="shared" si="379"/>
        <v/>
      </c>
      <c r="Y1543" s="586" t="str">
        <f t="shared" si="373"/>
        <v/>
      </c>
      <c r="Z1543" s="586" t="str">
        <f t="shared" si="371"/>
        <v/>
      </c>
    </row>
    <row r="1544" spans="1:26" ht="23.25" hidden="1" thickBot="1" x14ac:dyDescent="0.25">
      <c r="A1544" s="567">
        <v>100920</v>
      </c>
      <c r="B1544" s="644">
        <v>100920</v>
      </c>
      <c r="C1544" s="645" t="s">
        <v>670</v>
      </c>
      <c r="D1544" s="422" t="s">
        <v>1390</v>
      </c>
      <c r="E1544" s="423"/>
      <c r="F1544" s="424"/>
      <c r="G1544" s="425"/>
      <c r="H1544" s="651"/>
      <c r="I1544" s="420">
        <v>135.91999999999999</v>
      </c>
      <c r="J1544" s="420">
        <f t="shared" si="370"/>
        <v>135.91999999999999</v>
      </c>
      <c r="K1544" s="421">
        <f t="shared" si="369"/>
        <v>161.49</v>
      </c>
      <c r="L1544" s="647" t="s">
        <v>2065</v>
      </c>
      <c r="M1544" s="576"/>
      <c r="N1544" s="576">
        <f t="shared" si="372"/>
        <v>0</v>
      </c>
      <c r="O1544" s="577">
        <f t="shared" si="377"/>
        <v>0</v>
      </c>
      <c r="P1544" s="578">
        <f t="shared" si="378"/>
        <v>0</v>
      </c>
      <c r="Q1544" s="765"/>
      <c r="R1544" s="576">
        <f t="shared" si="374"/>
        <v>0</v>
      </c>
      <c r="S1544" s="576">
        <f t="shared" si="374"/>
        <v>0</v>
      </c>
      <c r="T1544" s="577">
        <f t="shared" si="375"/>
        <v>0</v>
      </c>
      <c r="U1544" s="578">
        <f t="shared" si="376"/>
        <v>0</v>
      </c>
      <c r="V1544" s="579"/>
      <c r="W1544" s="566"/>
      <c r="X1544" s="586" t="str">
        <f t="shared" si="379"/>
        <v/>
      </c>
      <c r="Y1544" s="586" t="str">
        <f t="shared" si="373"/>
        <v/>
      </c>
      <c r="Z1544" s="586" t="str">
        <f t="shared" si="371"/>
        <v/>
      </c>
    </row>
    <row r="1545" spans="1:26" ht="12" hidden="1" thickBot="1" x14ac:dyDescent="0.25">
      <c r="A1545" s="567">
        <v>97609</v>
      </c>
      <c r="B1545" s="644">
        <v>97609</v>
      </c>
      <c r="C1545" s="645" t="s">
        <v>670</v>
      </c>
      <c r="D1545" s="422" t="s">
        <v>1391</v>
      </c>
      <c r="E1545" s="423"/>
      <c r="F1545" s="424"/>
      <c r="G1545" s="425"/>
      <c r="H1545" s="651"/>
      <c r="I1545" s="420">
        <v>17.55</v>
      </c>
      <c r="J1545" s="420">
        <f t="shared" si="370"/>
        <v>17.55</v>
      </c>
      <c r="K1545" s="421">
        <f t="shared" ref="K1545:K1608" si="380">IF(ISBLANK(I1545),0,ROUND(J1545*(1+$F$10)*(1+$F$11*E1545),2))</f>
        <v>20.85</v>
      </c>
      <c r="L1545" s="647" t="s">
        <v>2065</v>
      </c>
      <c r="M1545" s="576"/>
      <c r="N1545" s="576">
        <f t="shared" si="372"/>
        <v>0</v>
      </c>
      <c r="O1545" s="577">
        <f t="shared" si="377"/>
        <v>0</v>
      </c>
      <c r="P1545" s="578">
        <f t="shared" si="378"/>
        <v>0</v>
      </c>
      <c r="Q1545" s="765"/>
      <c r="R1545" s="576">
        <f t="shared" si="374"/>
        <v>0</v>
      </c>
      <c r="S1545" s="576">
        <f t="shared" si="374"/>
        <v>0</v>
      </c>
      <c r="T1545" s="577">
        <f t="shared" si="375"/>
        <v>0</v>
      </c>
      <c r="U1545" s="578">
        <f t="shared" si="376"/>
        <v>0</v>
      </c>
      <c r="V1545" s="579"/>
      <c r="W1545" s="566"/>
      <c r="X1545" s="586" t="str">
        <f t="shared" si="379"/>
        <v/>
      </c>
      <c r="Y1545" s="586" t="str">
        <f t="shared" si="373"/>
        <v/>
      </c>
      <c r="Z1545" s="586" t="str">
        <f t="shared" si="371"/>
        <v/>
      </c>
    </row>
    <row r="1546" spans="1:26" ht="12" hidden="1" thickBot="1" x14ac:dyDescent="0.25">
      <c r="A1546" s="567">
        <v>97610</v>
      </c>
      <c r="B1546" s="644">
        <v>97610</v>
      </c>
      <c r="C1546" s="645" t="s">
        <v>670</v>
      </c>
      <c r="D1546" s="422" t="s">
        <v>1392</v>
      </c>
      <c r="E1546" s="423"/>
      <c r="F1546" s="424"/>
      <c r="G1546" s="425"/>
      <c r="H1546" s="651"/>
      <c r="I1546" s="420">
        <v>18.72</v>
      </c>
      <c r="J1546" s="420">
        <f t="shared" si="370"/>
        <v>18.72</v>
      </c>
      <c r="K1546" s="421">
        <f t="shared" si="380"/>
        <v>22.24</v>
      </c>
      <c r="L1546" s="647" t="s">
        <v>2065</v>
      </c>
      <c r="M1546" s="576"/>
      <c r="N1546" s="576">
        <f t="shared" si="372"/>
        <v>0</v>
      </c>
      <c r="O1546" s="577">
        <f t="shared" si="377"/>
        <v>0</v>
      </c>
      <c r="P1546" s="578">
        <f t="shared" si="378"/>
        <v>0</v>
      </c>
      <c r="Q1546" s="765"/>
      <c r="R1546" s="576">
        <f t="shared" si="374"/>
        <v>0</v>
      </c>
      <c r="S1546" s="576">
        <f t="shared" si="374"/>
        <v>0</v>
      </c>
      <c r="T1546" s="577">
        <f t="shared" si="375"/>
        <v>0</v>
      </c>
      <c r="U1546" s="578">
        <f t="shared" si="376"/>
        <v>0</v>
      </c>
      <c r="V1546" s="579"/>
      <c r="W1546" s="566"/>
      <c r="X1546" s="586" t="str">
        <f t="shared" si="379"/>
        <v/>
      </c>
      <c r="Y1546" s="586" t="str">
        <f t="shared" si="373"/>
        <v/>
      </c>
      <c r="Z1546" s="586" t="str">
        <f t="shared" si="371"/>
        <v/>
      </c>
    </row>
    <row r="1547" spans="1:26" ht="23.25" hidden="1" thickBot="1" x14ac:dyDescent="0.25">
      <c r="A1547" s="567">
        <v>101537</v>
      </c>
      <c r="B1547" s="644">
        <v>101537</v>
      </c>
      <c r="C1547" s="645" t="s">
        <v>670</v>
      </c>
      <c r="D1547" s="422" t="s">
        <v>1393</v>
      </c>
      <c r="E1547" s="423"/>
      <c r="F1547" s="424"/>
      <c r="G1547" s="425"/>
      <c r="H1547" s="651"/>
      <c r="I1547" s="420">
        <v>140.06</v>
      </c>
      <c r="J1547" s="420">
        <f t="shared" si="370"/>
        <v>140.06</v>
      </c>
      <c r="K1547" s="421">
        <f t="shared" si="380"/>
        <v>166.41</v>
      </c>
      <c r="L1547" s="647" t="s">
        <v>2065</v>
      </c>
      <c r="M1547" s="576"/>
      <c r="N1547" s="576">
        <f t="shared" si="372"/>
        <v>0</v>
      </c>
      <c r="O1547" s="577">
        <f t="shared" si="377"/>
        <v>0</v>
      </c>
      <c r="P1547" s="578">
        <f t="shared" si="378"/>
        <v>0</v>
      </c>
      <c r="Q1547" s="765"/>
      <c r="R1547" s="576">
        <f t="shared" si="374"/>
        <v>0</v>
      </c>
      <c r="S1547" s="576">
        <f t="shared" si="374"/>
        <v>0</v>
      </c>
      <c r="T1547" s="577">
        <f t="shared" si="375"/>
        <v>0</v>
      </c>
      <c r="U1547" s="578">
        <f t="shared" si="376"/>
        <v>0</v>
      </c>
      <c r="V1547" s="579"/>
      <c r="W1547" s="566"/>
      <c r="X1547" s="586" t="str">
        <f t="shared" si="379"/>
        <v/>
      </c>
      <c r="Y1547" s="586" t="str">
        <f t="shared" si="373"/>
        <v/>
      </c>
      <c r="Z1547" s="586" t="str">
        <f t="shared" si="371"/>
        <v/>
      </c>
    </row>
    <row r="1548" spans="1:26" ht="12" hidden="1" thickBot="1" x14ac:dyDescent="0.25">
      <c r="A1548" s="567">
        <v>97054</v>
      </c>
      <c r="B1548" s="644">
        <v>97054</v>
      </c>
      <c r="C1548" s="645" t="s">
        <v>670</v>
      </c>
      <c r="D1548" s="422" t="s">
        <v>1394</v>
      </c>
      <c r="E1548" s="423"/>
      <c r="F1548" s="424"/>
      <c r="G1548" s="425"/>
      <c r="H1548" s="651"/>
      <c r="I1548" s="420">
        <v>29.87</v>
      </c>
      <c r="J1548" s="420">
        <f t="shared" si="370"/>
        <v>29.87</v>
      </c>
      <c r="K1548" s="421">
        <f t="shared" si="380"/>
        <v>35.49</v>
      </c>
      <c r="L1548" s="647" t="s">
        <v>2065</v>
      </c>
      <c r="M1548" s="576"/>
      <c r="N1548" s="576">
        <f t="shared" si="372"/>
        <v>0</v>
      </c>
      <c r="O1548" s="577">
        <f t="shared" si="377"/>
        <v>0</v>
      </c>
      <c r="P1548" s="578">
        <f t="shared" si="378"/>
        <v>0</v>
      </c>
      <c r="Q1548" s="765"/>
      <c r="R1548" s="576">
        <f t="shared" si="374"/>
        <v>0</v>
      </c>
      <c r="S1548" s="576">
        <f t="shared" si="374"/>
        <v>0</v>
      </c>
      <c r="T1548" s="577">
        <f t="shared" si="375"/>
        <v>0</v>
      </c>
      <c r="U1548" s="578">
        <f t="shared" si="376"/>
        <v>0</v>
      </c>
      <c r="V1548" s="579"/>
      <c r="W1548" s="566"/>
      <c r="X1548" s="586" t="str">
        <f t="shared" si="379"/>
        <v/>
      </c>
      <c r="Y1548" s="586" t="str">
        <f t="shared" si="373"/>
        <v/>
      </c>
      <c r="Z1548" s="586" t="str">
        <f t="shared" si="371"/>
        <v/>
      </c>
    </row>
    <row r="1549" spans="1:26" ht="12" hidden="1" thickBot="1" x14ac:dyDescent="0.25">
      <c r="A1549" s="567">
        <v>101538</v>
      </c>
      <c r="B1549" s="644">
        <v>101538</v>
      </c>
      <c r="C1549" s="645" t="s">
        <v>670</v>
      </c>
      <c r="D1549" s="422" t="s">
        <v>1395</v>
      </c>
      <c r="E1549" s="423"/>
      <c r="F1549" s="424"/>
      <c r="G1549" s="425"/>
      <c r="H1549" s="651"/>
      <c r="I1549" s="420">
        <v>33.700000000000003</v>
      </c>
      <c r="J1549" s="420">
        <f t="shared" si="370"/>
        <v>33.700000000000003</v>
      </c>
      <c r="K1549" s="421">
        <f t="shared" si="380"/>
        <v>40.04</v>
      </c>
      <c r="L1549" s="647" t="s">
        <v>2065</v>
      </c>
      <c r="M1549" s="576"/>
      <c r="N1549" s="576">
        <f t="shared" si="372"/>
        <v>0</v>
      </c>
      <c r="O1549" s="577">
        <f t="shared" si="377"/>
        <v>0</v>
      </c>
      <c r="P1549" s="578">
        <f t="shared" si="378"/>
        <v>0</v>
      </c>
      <c r="Q1549" s="765"/>
      <c r="R1549" s="576">
        <f t="shared" si="374"/>
        <v>0</v>
      </c>
      <c r="S1549" s="576">
        <f t="shared" si="374"/>
        <v>0</v>
      </c>
      <c r="T1549" s="577">
        <f t="shared" si="375"/>
        <v>0</v>
      </c>
      <c r="U1549" s="578">
        <f t="shared" si="376"/>
        <v>0</v>
      </c>
      <c r="V1549" s="579"/>
      <c r="W1549" s="566"/>
      <c r="X1549" s="586" t="str">
        <f t="shared" si="379"/>
        <v/>
      </c>
      <c r="Y1549" s="586" t="str">
        <f t="shared" si="373"/>
        <v/>
      </c>
      <c r="Z1549" s="586" t="str">
        <f t="shared" si="371"/>
        <v/>
      </c>
    </row>
    <row r="1550" spans="1:26" ht="12" hidden="1" thickBot="1" x14ac:dyDescent="0.25">
      <c r="A1550" s="567">
        <v>101539</v>
      </c>
      <c r="B1550" s="644">
        <v>101539</v>
      </c>
      <c r="C1550" s="645" t="s">
        <v>670</v>
      </c>
      <c r="D1550" s="422" t="s">
        <v>1396</v>
      </c>
      <c r="E1550" s="423"/>
      <c r="F1550" s="424"/>
      <c r="G1550" s="425"/>
      <c r="H1550" s="651"/>
      <c r="I1550" s="420">
        <v>57.83</v>
      </c>
      <c r="J1550" s="420">
        <f t="shared" si="370"/>
        <v>57.83</v>
      </c>
      <c r="K1550" s="421">
        <f t="shared" si="380"/>
        <v>68.709999999999994</v>
      </c>
      <c r="L1550" s="647" t="s">
        <v>2065</v>
      </c>
      <c r="M1550" s="576"/>
      <c r="N1550" s="576">
        <f t="shared" si="372"/>
        <v>0</v>
      </c>
      <c r="O1550" s="577">
        <f t="shared" si="377"/>
        <v>0</v>
      </c>
      <c r="P1550" s="578">
        <f t="shared" si="378"/>
        <v>0</v>
      </c>
      <c r="Q1550" s="765"/>
      <c r="R1550" s="576">
        <f t="shared" si="374"/>
        <v>0</v>
      </c>
      <c r="S1550" s="576">
        <f t="shared" si="374"/>
        <v>0</v>
      </c>
      <c r="T1550" s="577">
        <f t="shared" si="375"/>
        <v>0</v>
      </c>
      <c r="U1550" s="578">
        <f t="shared" si="376"/>
        <v>0</v>
      </c>
      <c r="V1550" s="579"/>
      <c r="W1550" s="566"/>
      <c r="X1550" s="586" t="str">
        <f t="shared" si="379"/>
        <v/>
      </c>
      <c r="Y1550" s="586" t="str">
        <f t="shared" si="373"/>
        <v/>
      </c>
      <c r="Z1550" s="586" t="str">
        <f t="shared" si="371"/>
        <v/>
      </c>
    </row>
    <row r="1551" spans="1:26" ht="12" hidden="1" thickBot="1" x14ac:dyDescent="0.25">
      <c r="A1551" s="567">
        <v>101540</v>
      </c>
      <c r="B1551" s="644">
        <v>101540</v>
      </c>
      <c r="C1551" s="645" t="s">
        <v>670</v>
      </c>
      <c r="D1551" s="422" t="s">
        <v>1397</v>
      </c>
      <c r="E1551" s="423"/>
      <c r="F1551" s="424"/>
      <c r="G1551" s="425"/>
      <c r="H1551" s="651"/>
      <c r="I1551" s="420">
        <v>95.28</v>
      </c>
      <c r="J1551" s="420">
        <f t="shared" si="370"/>
        <v>95.28</v>
      </c>
      <c r="K1551" s="421">
        <f t="shared" si="380"/>
        <v>113.2</v>
      </c>
      <c r="L1551" s="647" t="s">
        <v>2065</v>
      </c>
      <c r="M1551" s="576"/>
      <c r="N1551" s="576">
        <f t="shared" si="372"/>
        <v>0</v>
      </c>
      <c r="O1551" s="577">
        <f t="shared" si="377"/>
        <v>0</v>
      </c>
      <c r="P1551" s="578">
        <f t="shared" si="378"/>
        <v>0</v>
      </c>
      <c r="Q1551" s="765"/>
      <c r="R1551" s="576">
        <f t="shared" si="374"/>
        <v>0</v>
      </c>
      <c r="S1551" s="576">
        <f t="shared" si="374"/>
        <v>0</v>
      </c>
      <c r="T1551" s="577">
        <f t="shared" si="375"/>
        <v>0</v>
      </c>
      <c r="U1551" s="578">
        <f t="shared" si="376"/>
        <v>0</v>
      </c>
      <c r="V1551" s="579"/>
      <c r="W1551" s="566"/>
      <c r="X1551" s="586" t="str">
        <f t="shared" si="379"/>
        <v/>
      </c>
      <c r="Y1551" s="586" t="str">
        <f t="shared" si="373"/>
        <v/>
      </c>
      <c r="Z1551" s="586" t="str">
        <f t="shared" si="371"/>
        <v/>
      </c>
    </row>
    <row r="1552" spans="1:26" ht="12" hidden="1" thickBot="1" x14ac:dyDescent="0.25">
      <c r="A1552" s="567">
        <v>101541</v>
      </c>
      <c r="B1552" s="644">
        <v>101541</v>
      </c>
      <c r="C1552" s="645" t="s">
        <v>670</v>
      </c>
      <c r="D1552" s="422" t="s">
        <v>1398</v>
      </c>
      <c r="E1552" s="423"/>
      <c r="F1552" s="424"/>
      <c r="G1552" s="425"/>
      <c r="H1552" s="651"/>
      <c r="I1552" s="420">
        <v>124.8</v>
      </c>
      <c r="J1552" s="420">
        <f t="shared" si="370"/>
        <v>124.8</v>
      </c>
      <c r="K1552" s="421">
        <f t="shared" si="380"/>
        <v>148.27000000000001</v>
      </c>
      <c r="L1552" s="647" t="s">
        <v>2065</v>
      </c>
      <c r="M1552" s="576"/>
      <c r="N1552" s="576">
        <f t="shared" si="372"/>
        <v>0</v>
      </c>
      <c r="O1552" s="577">
        <f t="shared" si="377"/>
        <v>0</v>
      </c>
      <c r="P1552" s="578">
        <f t="shared" si="378"/>
        <v>0</v>
      </c>
      <c r="Q1552" s="765"/>
      <c r="R1552" s="576">
        <f t="shared" si="374"/>
        <v>0</v>
      </c>
      <c r="S1552" s="576">
        <f t="shared" si="374"/>
        <v>0</v>
      </c>
      <c r="T1552" s="577">
        <f t="shared" si="375"/>
        <v>0</v>
      </c>
      <c r="U1552" s="578">
        <f t="shared" si="376"/>
        <v>0</v>
      </c>
      <c r="V1552" s="579"/>
      <c r="W1552" s="566"/>
      <c r="X1552" s="586" t="str">
        <f t="shared" si="379"/>
        <v/>
      </c>
      <c r="Y1552" s="586" t="str">
        <f t="shared" si="373"/>
        <v/>
      </c>
      <c r="Z1552" s="586" t="str">
        <f t="shared" si="371"/>
        <v/>
      </c>
    </row>
    <row r="1553" spans="1:26" ht="12" hidden="1" thickBot="1" x14ac:dyDescent="0.25">
      <c r="A1553" s="567">
        <v>101542</v>
      </c>
      <c r="B1553" s="644">
        <v>101542</v>
      </c>
      <c r="C1553" s="645" t="s">
        <v>670</v>
      </c>
      <c r="D1553" s="422" t="s">
        <v>1399</v>
      </c>
      <c r="E1553" s="423"/>
      <c r="F1553" s="424"/>
      <c r="G1553" s="425"/>
      <c r="H1553" s="651"/>
      <c r="I1553" s="420">
        <v>26.15</v>
      </c>
      <c r="J1553" s="420">
        <f t="shared" si="370"/>
        <v>26.15</v>
      </c>
      <c r="K1553" s="421">
        <f t="shared" si="380"/>
        <v>31.07</v>
      </c>
      <c r="L1553" s="647" t="s">
        <v>2065</v>
      </c>
      <c r="M1553" s="576"/>
      <c r="N1553" s="576">
        <f t="shared" si="372"/>
        <v>0</v>
      </c>
      <c r="O1553" s="577">
        <f t="shared" si="377"/>
        <v>0</v>
      </c>
      <c r="P1553" s="578">
        <f t="shared" si="378"/>
        <v>0</v>
      </c>
      <c r="Q1553" s="765"/>
      <c r="R1553" s="576">
        <f t="shared" si="374"/>
        <v>0</v>
      </c>
      <c r="S1553" s="576">
        <f t="shared" si="374"/>
        <v>0</v>
      </c>
      <c r="T1553" s="577">
        <f t="shared" si="375"/>
        <v>0</v>
      </c>
      <c r="U1553" s="578">
        <f t="shared" si="376"/>
        <v>0</v>
      </c>
      <c r="V1553" s="579"/>
      <c r="W1553" s="566"/>
      <c r="X1553" s="586" t="str">
        <f t="shared" si="379"/>
        <v/>
      </c>
      <c r="Y1553" s="586" t="str">
        <f t="shared" si="373"/>
        <v/>
      </c>
      <c r="Z1553" s="586" t="str">
        <f t="shared" si="371"/>
        <v/>
      </c>
    </row>
    <row r="1554" spans="1:26" ht="12" hidden="1" thickBot="1" x14ac:dyDescent="0.25">
      <c r="A1554" s="567">
        <v>101543</v>
      </c>
      <c r="B1554" s="644">
        <v>101543</v>
      </c>
      <c r="C1554" s="645" t="s">
        <v>670</v>
      </c>
      <c r="D1554" s="422" t="s">
        <v>1400</v>
      </c>
      <c r="E1554" s="423"/>
      <c r="F1554" s="424"/>
      <c r="G1554" s="425"/>
      <c r="H1554" s="651"/>
      <c r="I1554" s="420">
        <v>47.67</v>
      </c>
      <c r="J1554" s="420">
        <f t="shared" si="370"/>
        <v>47.67</v>
      </c>
      <c r="K1554" s="421">
        <f t="shared" si="380"/>
        <v>56.64</v>
      </c>
      <c r="L1554" s="647" t="s">
        <v>2065</v>
      </c>
      <c r="M1554" s="576"/>
      <c r="N1554" s="576">
        <f t="shared" si="372"/>
        <v>0</v>
      </c>
      <c r="O1554" s="577">
        <f t="shared" si="377"/>
        <v>0</v>
      </c>
      <c r="P1554" s="578">
        <f t="shared" si="378"/>
        <v>0</v>
      </c>
      <c r="Q1554" s="765"/>
      <c r="R1554" s="576">
        <f t="shared" si="374"/>
        <v>0</v>
      </c>
      <c r="S1554" s="576">
        <f t="shared" si="374"/>
        <v>0</v>
      </c>
      <c r="T1554" s="577">
        <f t="shared" si="375"/>
        <v>0</v>
      </c>
      <c r="U1554" s="578">
        <f t="shared" si="376"/>
        <v>0</v>
      </c>
      <c r="V1554" s="579"/>
      <c r="W1554" s="566"/>
      <c r="X1554" s="586" t="str">
        <f t="shared" si="379"/>
        <v/>
      </c>
      <c r="Y1554" s="586" t="str">
        <f t="shared" si="373"/>
        <v/>
      </c>
      <c r="Z1554" s="586" t="str">
        <f t="shared" si="371"/>
        <v/>
      </c>
    </row>
    <row r="1555" spans="1:26" ht="12" hidden="1" thickBot="1" x14ac:dyDescent="0.25">
      <c r="A1555" s="567">
        <v>101544</v>
      </c>
      <c r="B1555" s="644">
        <v>101544</v>
      </c>
      <c r="C1555" s="645" t="s">
        <v>670</v>
      </c>
      <c r="D1555" s="422" t="s">
        <v>1401</v>
      </c>
      <c r="E1555" s="423"/>
      <c r="F1555" s="424"/>
      <c r="G1555" s="425"/>
      <c r="H1555" s="651"/>
      <c r="I1555" s="420">
        <v>75.22</v>
      </c>
      <c r="J1555" s="420">
        <f t="shared" ref="J1555:J1618" si="381">IF(ISBLANK(I1555),"",SUM(H1555:I1555))</f>
        <v>75.22</v>
      </c>
      <c r="K1555" s="421">
        <f t="shared" si="380"/>
        <v>89.37</v>
      </c>
      <c r="L1555" s="647" t="s">
        <v>2065</v>
      </c>
      <c r="M1555" s="576"/>
      <c r="N1555" s="576">
        <f t="shared" si="372"/>
        <v>0</v>
      </c>
      <c r="O1555" s="577">
        <f t="shared" si="377"/>
        <v>0</v>
      </c>
      <c r="P1555" s="578">
        <f t="shared" si="378"/>
        <v>0</v>
      </c>
      <c r="Q1555" s="765"/>
      <c r="R1555" s="576">
        <f t="shared" si="374"/>
        <v>0</v>
      </c>
      <c r="S1555" s="576">
        <f t="shared" si="374"/>
        <v>0</v>
      </c>
      <c r="T1555" s="577">
        <f t="shared" si="375"/>
        <v>0</v>
      </c>
      <c r="U1555" s="578">
        <f t="shared" si="376"/>
        <v>0</v>
      </c>
      <c r="V1555" s="579"/>
      <c r="W1555" s="566"/>
      <c r="X1555" s="586" t="str">
        <f t="shared" si="379"/>
        <v/>
      </c>
      <c r="Y1555" s="586" t="str">
        <f t="shared" si="373"/>
        <v/>
      </c>
      <c r="Z1555" s="586" t="str">
        <f t="shared" ref="Z1555:Z1618" si="382">IF(W1555="X","x",IF(U1555&gt;0,"x",""))</f>
        <v/>
      </c>
    </row>
    <row r="1556" spans="1:26" ht="12" hidden="1" thickBot="1" x14ac:dyDescent="0.25">
      <c r="A1556" s="567">
        <v>101545</v>
      </c>
      <c r="B1556" s="644">
        <v>101545</v>
      </c>
      <c r="C1556" s="645" t="s">
        <v>670</v>
      </c>
      <c r="D1556" s="422" t="s">
        <v>1402</v>
      </c>
      <c r="E1556" s="423"/>
      <c r="F1556" s="424"/>
      <c r="G1556" s="425"/>
      <c r="H1556" s="651"/>
      <c r="I1556" s="420">
        <v>107.28</v>
      </c>
      <c r="J1556" s="420">
        <f t="shared" si="381"/>
        <v>107.28</v>
      </c>
      <c r="K1556" s="421">
        <f t="shared" si="380"/>
        <v>127.46</v>
      </c>
      <c r="L1556" s="647" t="s">
        <v>2065</v>
      </c>
      <c r="M1556" s="576"/>
      <c r="N1556" s="576">
        <f t="shared" ref="N1556:N1619" si="383">IF(M1556=0,0,K1556)</f>
        <v>0</v>
      </c>
      <c r="O1556" s="577">
        <f t="shared" si="377"/>
        <v>0</v>
      </c>
      <c r="P1556" s="578">
        <f t="shared" si="378"/>
        <v>0</v>
      </c>
      <c r="Q1556" s="765"/>
      <c r="R1556" s="576">
        <f t="shared" si="374"/>
        <v>0</v>
      </c>
      <c r="S1556" s="576">
        <f t="shared" si="374"/>
        <v>0</v>
      </c>
      <c r="T1556" s="577">
        <f t="shared" si="375"/>
        <v>0</v>
      </c>
      <c r="U1556" s="578">
        <f t="shared" si="376"/>
        <v>0</v>
      </c>
      <c r="V1556" s="579"/>
      <c r="W1556" s="566"/>
      <c r="X1556" s="586" t="str">
        <f t="shared" si="379"/>
        <v/>
      </c>
      <c r="Y1556" s="586" t="str">
        <f t="shared" si="373"/>
        <v/>
      </c>
      <c r="Z1556" s="586" t="str">
        <f t="shared" si="382"/>
        <v/>
      </c>
    </row>
    <row r="1557" spans="1:26" ht="12" hidden="1" thickBot="1" x14ac:dyDescent="0.25">
      <c r="A1557" s="567">
        <v>101546</v>
      </c>
      <c r="B1557" s="644">
        <v>101546</v>
      </c>
      <c r="C1557" s="645" t="s">
        <v>670</v>
      </c>
      <c r="D1557" s="422" t="s">
        <v>1403</v>
      </c>
      <c r="E1557" s="423"/>
      <c r="F1557" s="424"/>
      <c r="G1557" s="425"/>
      <c r="H1557" s="651"/>
      <c r="I1557" s="420">
        <v>31.93</v>
      </c>
      <c r="J1557" s="420">
        <f t="shared" si="381"/>
        <v>31.93</v>
      </c>
      <c r="K1557" s="421">
        <f t="shared" si="380"/>
        <v>37.94</v>
      </c>
      <c r="L1557" s="647" t="s">
        <v>2065</v>
      </c>
      <c r="M1557" s="576"/>
      <c r="N1557" s="576">
        <f t="shared" si="383"/>
        <v>0</v>
      </c>
      <c r="O1557" s="577">
        <f t="shared" si="377"/>
        <v>0</v>
      </c>
      <c r="P1557" s="578">
        <f t="shared" si="378"/>
        <v>0</v>
      </c>
      <c r="Q1557" s="765"/>
      <c r="R1557" s="576">
        <f t="shared" si="374"/>
        <v>0</v>
      </c>
      <c r="S1557" s="576">
        <f t="shared" si="374"/>
        <v>0</v>
      </c>
      <c r="T1557" s="577">
        <f t="shared" si="375"/>
        <v>0</v>
      </c>
      <c r="U1557" s="578">
        <f t="shared" si="376"/>
        <v>0</v>
      </c>
      <c r="V1557" s="579"/>
      <c r="W1557" s="566"/>
      <c r="X1557" s="586" t="str">
        <f t="shared" si="379"/>
        <v/>
      </c>
      <c r="Y1557" s="586" t="str">
        <f t="shared" si="373"/>
        <v/>
      </c>
      <c r="Z1557" s="586" t="str">
        <f t="shared" si="382"/>
        <v/>
      </c>
    </row>
    <row r="1558" spans="1:26" ht="12" hidden="1" thickBot="1" x14ac:dyDescent="0.25">
      <c r="A1558" s="567">
        <v>101547</v>
      </c>
      <c r="B1558" s="644">
        <v>101547</v>
      </c>
      <c r="C1558" s="645" t="s">
        <v>670</v>
      </c>
      <c r="D1558" s="422" t="s">
        <v>1404</v>
      </c>
      <c r="E1558" s="423"/>
      <c r="F1558" s="424"/>
      <c r="G1558" s="425"/>
      <c r="H1558" s="651"/>
      <c r="I1558" s="420">
        <v>99.94</v>
      </c>
      <c r="J1558" s="420">
        <f t="shared" si="381"/>
        <v>99.94</v>
      </c>
      <c r="K1558" s="421">
        <f t="shared" si="380"/>
        <v>118.74</v>
      </c>
      <c r="L1558" s="647" t="s">
        <v>2065</v>
      </c>
      <c r="M1558" s="576"/>
      <c r="N1558" s="576">
        <f t="shared" si="383"/>
        <v>0</v>
      </c>
      <c r="O1558" s="577">
        <f t="shared" si="377"/>
        <v>0</v>
      </c>
      <c r="P1558" s="578">
        <f t="shared" si="378"/>
        <v>0</v>
      </c>
      <c r="Q1558" s="765"/>
      <c r="R1558" s="576">
        <f t="shared" si="374"/>
        <v>0</v>
      </c>
      <c r="S1558" s="576">
        <f t="shared" si="374"/>
        <v>0</v>
      </c>
      <c r="T1558" s="577">
        <f t="shared" si="375"/>
        <v>0</v>
      </c>
      <c r="U1558" s="578">
        <f t="shared" si="376"/>
        <v>0</v>
      </c>
      <c r="V1558" s="579"/>
      <c r="W1558" s="566"/>
      <c r="X1558" s="586" t="str">
        <f t="shared" si="379"/>
        <v/>
      </c>
      <c r="Y1558" s="586" t="str">
        <f t="shared" si="373"/>
        <v/>
      </c>
      <c r="Z1558" s="586" t="str">
        <f t="shared" si="382"/>
        <v/>
      </c>
    </row>
    <row r="1559" spans="1:26" ht="12" hidden="1" thickBot="1" x14ac:dyDescent="0.25">
      <c r="A1559" s="567">
        <v>101548</v>
      </c>
      <c r="B1559" s="644">
        <v>101548</v>
      </c>
      <c r="C1559" s="645" t="s">
        <v>670</v>
      </c>
      <c r="D1559" s="422" t="s">
        <v>1405</v>
      </c>
      <c r="E1559" s="423"/>
      <c r="F1559" s="424"/>
      <c r="G1559" s="425"/>
      <c r="H1559" s="651"/>
      <c r="I1559" s="420">
        <v>7.94</v>
      </c>
      <c r="J1559" s="420">
        <f t="shared" si="381"/>
        <v>7.94</v>
      </c>
      <c r="K1559" s="421">
        <f t="shared" si="380"/>
        <v>9.43</v>
      </c>
      <c r="L1559" s="647" t="s">
        <v>2065</v>
      </c>
      <c r="M1559" s="576"/>
      <c r="N1559" s="576">
        <f t="shared" si="383"/>
        <v>0</v>
      </c>
      <c r="O1559" s="577">
        <f t="shared" si="377"/>
        <v>0</v>
      </c>
      <c r="P1559" s="578">
        <f t="shared" si="378"/>
        <v>0</v>
      </c>
      <c r="Q1559" s="765"/>
      <c r="R1559" s="576">
        <f t="shared" si="374"/>
        <v>0</v>
      </c>
      <c r="S1559" s="576">
        <f t="shared" si="374"/>
        <v>0</v>
      </c>
      <c r="T1559" s="577">
        <f t="shared" si="375"/>
        <v>0</v>
      </c>
      <c r="U1559" s="578">
        <f t="shared" si="376"/>
        <v>0</v>
      </c>
      <c r="V1559" s="579"/>
      <c r="W1559" s="566"/>
      <c r="X1559" s="586" t="str">
        <f t="shared" si="379"/>
        <v/>
      </c>
      <c r="Y1559" s="586" t="str">
        <f t="shared" si="373"/>
        <v/>
      </c>
      <c r="Z1559" s="586" t="str">
        <f t="shared" si="382"/>
        <v/>
      </c>
    </row>
    <row r="1560" spans="1:26" ht="23.25" hidden="1" thickBot="1" x14ac:dyDescent="0.25">
      <c r="A1560" s="567">
        <v>101549</v>
      </c>
      <c r="B1560" s="644">
        <v>101549</v>
      </c>
      <c r="C1560" s="645" t="s">
        <v>670</v>
      </c>
      <c r="D1560" s="422" t="s">
        <v>1406</v>
      </c>
      <c r="E1560" s="423"/>
      <c r="F1560" s="424"/>
      <c r="G1560" s="425"/>
      <c r="H1560" s="651"/>
      <c r="I1560" s="420">
        <v>21.86</v>
      </c>
      <c r="J1560" s="420">
        <f t="shared" si="381"/>
        <v>21.86</v>
      </c>
      <c r="K1560" s="421">
        <f t="shared" si="380"/>
        <v>25.97</v>
      </c>
      <c r="L1560" s="647" t="s">
        <v>2065</v>
      </c>
      <c r="M1560" s="576"/>
      <c r="N1560" s="576">
        <f t="shared" si="383"/>
        <v>0</v>
      </c>
      <c r="O1560" s="577">
        <f t="shared" si="377"/>
        <v>0</v>
      </c>
      <c r="P1560" s="578">
        <f t="shared" si="378"/>
        <v>0</v>
      </c>
      <c r="Q1560" s="765"/>
      <c r="R1560" s="576">
        <f t="shared" si="374"/>
        <v>0</v>
      </c>
      <c r="S1560" s="576">
        <f t="shared" si="374"/>
        <v>0</v>
      </c>
      <c r="T1560" s="577">
        <f t="shared" si="375"/>
        <v>0</v>
      </c>
      <c r="U1560" s="578">
        <f t="shared" si="376"/>
        <v>0</v>
      </c>
      <c r="V1560" s="579"/>
      <c r="W1560" s="566"/>
      <c r="X1560" s="586" t="str">
        <f t="shared" si="379"/>
        <v/>
      </c>
      <c r="Y1560" s="586" t="str">
        <f t="shared" si="373"/>
        <v/>
      </c>
      <c r="Z1560" s="586" t="str">
        <f t="shared" si="382"/>
        <v/>
      </c>
    </row>
    <row r="1561" spans="1:26" ht="23.25" hidden="1" thickBot="1" x14ac:dyDescent="0.25">
      <c r="A1561" s="567">
        <v>101553</v>
      </c>
      <c r="B1561" s="644">
        <v>101553</v>
      </c>
      <c r="C1561" s="645" t="s">
        <v>670</v>
      </c>
      <c r="D1561" s="422" t="s">
        <v>1407</v>
      </c>
      <c r="E1561" s="423"/>
      <c r="F1561" s="424"/>
      <c r="G1561" s="425"/>
      <c r="H1561" s="651"/>
      <c r="I1561" s="420">
        <v>11.77</v>
      </c>
      <c r="J1561" s="420">
        <f t="shared" si="381"/>
        <v>11.77</v>
      </c>
      <c r="K1561" s="421">
        <f t="shared" si="380"/>
        <v>13.98</v>
      </c>
      <c r="L1561" s="647" t="s">
        <v>2065</v>
      </c>
      <c r="M1561" s="576"/>
      <c r="N1561" s="576">
        <f t="shared" si="383"/>
        <v>0</v>
      </c>
      <c r="O1561" s="577">
        <f t="shared" si="377"/>
        <v>0</v>
      </c>
      <c r="P1561" s="578">
        <f t="shared" si="378"/>
        <v>0</v>
      </c>
      <c r="Q1561" s="765"/>
      <c r="R1561" s="576">
        <f t="shared" si="374"/>
        <v>0</v>
      </c>
      <c r="S1561" s="576">
        <f t="shared" si="374"/>
        <v>0</v>
      </c>
      <c r="T1561" s="577">
        <f t="shared" si="375"/>
        <v>0</v>
      </c>
      <c r="U1561" s="578">
        <f t="shared" si="376"/>
        <v>0</v>
      </c>
      <c r="V1561" s="579"/>
      <c r="W1561" s="566"/>
      <c r="X1561" s="586" t="str">
        <f t="shared" si="379"/>
        <v/>
      </c>
      <c r="Y1561" s="586" t="str">
        <f t="shared" si="373"/>
        <v/>
      </c>
      <c r="Z1561" s="586" t="str">
        <f t="shared" si="382"/>
        <v/>
      </c>
    </row>
    <row r="1562" spans="1:26" ht="23.25" hidden="1" thickBot="1" x14ac:dyDescent="0.25">
      <c r="A1562" s="567">
        <v>101554</v>
      </c>
      <c r="B1562" s="644">
        <v>101554</v>
      </c>
      <c r="C1562" s="645" t="s">
        <v>670</v>
      </c>
      <c r="D1562" s="422" t="s">
        <v>1408</v>
      </c>
      <c r="E1562" s="423"/>
      <c r="F1562" s="424"/>
      <c r="G1562" s="425"/>
      <c r="H1562" s="651"/>
      <c r="I1562" s="420">
        <v>9.0500000000000007</v>
      </c>
      <c r="J1562" s="420">
        <f t="shared" si="381"/>
        <v>9.0500000000000007</v>
      </c>
      <c r="K1562" s="421">
        <f t="shared" si="380"/>
        <v>10.75</v>
      </c>
      <c r="L1562" s="647" t="s">
        <v>2065</v>
      </c>
      <c r="M1562" s="576"/>
      <c r="N1562" s="576">
        <f t="shared" si="383"/>
        <v>0</v>
      </c>
      <c r="O1562" s="577">
        <f t="shared" si="377"/>
        <v>0</v>
      </c>
      <c r="P1562" s="578">
        <f t="shared" si="378"/>
        <v>0</v>
      </c>
      <c r="Q1562" s="765"/>
      <c r="R1562" s="576">
        <f t="shared" si="374"/>
        <v>0</v>
      </c>
      <c r="S1562" s="576">
        <f t="shared" si="374"/>
        <v>0</v>
      </c>
      <c r="T1562" s="577">
        <f t="shared" si="375"/>
        <v>0</v>
      </c>
      <c r="U1562" s="578">
        <f t="shared" si="376"/>
        <v>0</v>
      </c>
      <c r="V1562" s="579"/>
      <c r="W1562" s="566"/>
      <c r="X1562" s="586" t="str">
        <f t="shared" si="379"/>
        <v/>
      </c>
      <c r="Y1562" s="586" t="str">
        <f t="shared" si="373"/>
        <v/>
      </c>
      <c r="Z1562" s="586" t="str">
        <f t="shared" si="382"/>
        <v/>
      </c>
    </row>
    <row r="1563" spans="1:26" ht="23.25" hidden="1" thickBot="1" x14ac:dyDescent="0.25">
      <c r="A1563" s="567">
        <v>101555</v>
      </c>
      <c r="B1563" s="644">
        <v>101555</v>
      </c>
      <c r="C1563" s="645" t="s">
        <v>670</v>
      </c>
      <c r="D1563" s="422" t="s">
        <v>1409</v>
      </c>
      <c r="E1563" s="423"/>
      <c r="F1563" s="424"/>
      <c r="G1563" s="425"/>
      <c r="H1563" s="651"/>
      <c r="I1563" s="420">
        <v>6.57</v>
      </c>
      <c r="J1563" s="420">
        <f t="shared" si="381"/>
        <v>6.57</v>
      </c>
      <c r="K1563" s="421">
        <f t="shared" si="380"/>
        <v>7.81</v>
      </c>
      <c r="L1563" s="647" t="s">
        <v>2065</v>
      </c>
      <c r="M1563" s="576"/>
      <c r="N1563" s="576">
        <f t="shared" si="383"/>
        <v>0</v>
      </c>
      <c r="O1563" s="577">
        <f t="shared" si="377"/>
        <v>0</v>
      </c>
      <c r="P1563" s="578">
        <f t="shared" si="378"/>
        <v>0</v>
      </c>
      <c r="Q1563" s="765"/>
      <c r="R1563" s="576">
        <f t="shared" si="374"/>
        <v>0</v>
      </c>
      <c r="S1563" s="576">
        <f t="shared" si="374"/>
        <v>0</v>
      </c>
      <c r="T1563" s="577">
        <f t="shared" si="375"/>
        <v>0</v>
      </c>
      <c r="U1563" s="578">
        <f t="shared" si="376"/>
        <v>0</v>
      </c>
      <c r="V1563" s="579"/>
      <c r="W1563" s="566"/>
      <c r="X1563" s="586" t="str">
        <f t="shared" si="379"/>
        <v/>
      </c>
      <c r="Y1563" s="586" t="str">
        <f t="shared" si="373"/>
        <v/>
      </c>
      <c r="Z1563" s="586" t="str">
        <f t="shared" si="382"/>
        <v/>
      </c>
    </row>
    <row r="1564" spans="1:26" ht="23.25" hidden="1" thickBot="1" x14ac:dyDescent="0.25">
      <c r="A1564" s="567">
        <v>101556</v>
      </c>
      <c r="B1564" s="644">
        <v>101556</v>
      </c>
      <c r="C1564" s="645" t="s">
        <v>670</v>
      </c>
      <c r="D1564" s="422" t="s">
        <v>1410</v>
      </c>
      <c r="E1564" s="423"/>
      <c r="F1564" s="424"/>
      <c r="G1564" s="425"/>
      <c r="H1564" s="651"/>
      <c r="I1564" s="420">
        <v>6.17</v>
      </c>
      <c r="J1564" s="420">
        <f t="shared" si="381"/>
        <v>6.17</v>
      </c>
      <c r="K1564" s="421">
        <f t="shared" si="380"/>
        <v>7.33</v>
      </c>
      <c r="L1564" s="647" t="s">
        <v>2065</v>
      </c>
      <c r="M1564" s="576"/>
      <c r="N1564" s="576">
        <f t="shared" si="383"/>
        <v>0</v>
      </c>
      <c r="O1564" s="577">
        <f t="shared" si="377"/>
        <v>0</v>
      </c>
      <c r="P1564" s="578">
        <f t="shared" si="378"/>
        <v>0</v>
      </c>
      <c r="Q1564" s="765"/>
      <c r="R1564" s="576">
        <f t="shared" si="374"/>
        <v>0</v>
      </c>
      <c r="S1564" s="576">
        <f t="shared" si="374"/>
        <v>0</v>
      </c>
      <c r="T1564" s="577">
        <f t="shared" si="375"/>
        <v>0</v>
      </c>
      <c r="U1564" s="578">
        <f t="shared" si="376"/>
        <v>0</v>
      </c>
      <c r="V1564" s="579"/>
      <c r="W1564" s="566"/>
      <c r="X1564" s="586" t="str">
        <f t="shared" si="379"/>
        <v/>
      </c>
      <c r="Y1564" s="586" t="str">
        <f t="shared" si="373"/>
        <v/>
      </c>
      <c r="Z1564" s="586" t="str">
        <f t="shared" si="382"/>
        <v/>
      </c>
    </row>
    <row r="1565" spans="1:26" ht="23.25" hidden="1" thickBot="1" x14ac:dyDescent="0.25">
      <c r="A1565" s="567">
        <v>101626</v>
      </c>
      <c r="B1565" s="644">
        <v>101626</v>
      </c>
      <c r="C1565" s="645" t="s">
        <v>670</v>
      </c>
      <c r="D1565" s="422" t="s">
        <v>1411</v>
      </c>
      <c r="E1565" s="423"/>
      <c r="F1565" s="424"/>
      <c r="G1565" s="425"/>
      <c r="H1565" s="651"/>
      <c r="I1565" s="420">
        <v>245.61</v>
      </c>
      <c r="J1565" s="420">
        <f t="shared" si="381"/>
        <v>245.61</v>
      </c>
      <c r="K1565" s="421">
        <f t="shared" si="380"/>
        <v>291.81</v>
      </c>
      <c r="L1565" s="647" t="s">
        <v>2065</v>
      </c>
      <c r="M1565" s="576"/>
      <c r="N1565" s="576">
        <f t="shared" si="383"/>
        <v>0</v>
      </c>
      <c r="O1565" s="577">
        <f t="shared" si="377"/>
        <v>0</v>
      </c>
      <c r="P1565" s="578">
        <f t="shared" si="378"/>
        <v>0</v>
      </c>
      <c r="Q1565" s="765"/>
      <c r="R1565" s="576">
        <f t="shared" si="374"/>
        <v>0</v>
      </c>
      <c r="S1565" s="576">
        <f t="shared" si="374"/>
        <v>0</v>
      </c>
      <c r="T1565" s="577">
        <f t="shared" si="375"/>
        <v>0</v>
      </c>
      <c r="U1565" s="578">
        <f t="shared" si="376"/>
        <v>0</v>
      </c>
      <c r="V1565" s="579"/>
      <c r="W1565" s="566"/>
      <c r="X1565" s="586" t="str">
        <f t="shared" si="379"/>
        <v/>
      </c>
      <c r="Y1565" s="586" t="str">
        <f t="shared" si="373"/>
        <v/>
      </c>
      <c r="Z1565" s="586" t="str">
        <f t="shared" si="382"/>
        <v/>
      </c>
    </row>
    <row r="1566" spans="1:26" ht="23.25" hidden="1" thickBot="1" x14ac:dyDescent="0.25">
      <c r="A1566" s="567">
        <v>101627</v>
      </c>
      <c r="B1566" s="644">
        <v>101627</v>
      </c>
      <c r="C1566" s="645" t="s">
        <v>670</v>
      </c>
      <c r="D1566" s="422" t="s">
        <v>1412</v>
      </c>
      <c r="E1566" s="423"/>
      <c r="F1566" s="424"/>
      <c r="G1566" s="425"/>
      <c r="H1566" s="651"/>
      <c r="I1566" s="420">
        <v>384.01</v>
      </c>
      <c r="J1566" s="420">
        <f t="shared" si="381"/>
        <v>384.01</v>
      </c>
      <c r="K1566" s="421">
        <f t="shared" si="380"/>
        <v>456.24</v>
      </c>
      <c r="L1566" s="647" t="s">
        <v>2065</v>
      </c>
      <c r="M1566" s="576"/>
      <c r="N1566" s="576">
        <f t="shared" si="383"/>
        <v>0</v>
      </c>
      <c r="O1566" s="577">
        <f t="shared" si="377"/>
        <v>0</v>
      </c>
      <c r="P1566" s="578">
        <f t="shared" si="378"/>
        <v>0</v>
      </c>
      <c r="Q1566" s="765"/>
      <c r="R1566" s="576">
        <f t="shared" si="374"/>
        <v>0</v>
      </c>
      <c r="S1566" s="576">
        <f t="shared" si="374"/>
        <v>0</v>
      </c>
      <c r="T1566" s="577">
        <f t="shared" si="375"/>
        <v>0</v>
      </c>
      <c r="U1566" s="578">
        <f t="shared" si="376"/>
        <v>0</v>
      </c>
      <c r="V1566" s="579"/>
      <c r="W1566" s="566"/>
      <c r="X1566" s="586" t="str">
        <f t="shared" si="379"/>
        <v/>
      </c>
      <c r="Y1566" s="586" t="str">
        <f t="shared" si="373"/>
        <v/>
      </c>
      <c r="Z1566" s="586" t="str">
        <f t="shared" si="382"/>
        <v/>
      </c>
    </row>
    <row r="1567" spans="1:26" ht="23.25" hidden="1" thickBot="1" x14ac:dyDescent="0.25">
      <c r="A1567" s="567">
        <v>101628</v>
      </c>
      <c r="B1567" s="644">
        <v>101628</v>
      </c>
      <c r="C1567" s="645" t="s">
        <v>670</v>
      </c>
      <c r="D1567" s="422" t="s">
        <v>1413</v>
      </c>
      <c r="E1567" s="423"/>
      <c r="F1567" s="424"/>
      <c r="G1567" s="425"/>
      <c r="H1567" s="651"/>
      <c r="I1567" s="420">
        <v>181.59</v>
      </c>
      <c r="J1567" s="420">
        <f t="shared" si="381"/>
        <v>181.59</v>
      </c>
      <c r="K1567" s="421">
        <f t="shared" si="380"/>
        <v>215.75</v>
      </c>
      <c r="L1567" s="647" t="s">
        <v>2065</v>
      </c>
      <c r="M1567" s="576"/>
      <c r="N1567" s="576">
        <f t="shared" si="383"/>
        <v>0</v>
      </c>
      <c r="O1567" s="577">
        <f t="shared" si="377"/>
        <v>0</v>
      </c>
      <c r="P1567" s="578">
        <f t="shared" si="378"/>
        <v>0</v>
      </c>
      <c r="Q1567" s="765"/>
      <c r="R1567" s="576">
        <f t="shared" si="374"/>
        <v>0</v>
      </c>
      <c r="S1567" s="576">
        <f t="shared" si="374"/>
        <v>0</v>
      </c>
      <c r="T1567" s="577">
        <f t="shared" si="375"/>
        <v>0</v>
      </c>
      <c r="U1567" s="578">
        <f t="shared" si="376"/>
        <v>0</v>
      </c>
      <c r="V1567" s="579"/>
      <c r="W1567" s="566"/>
      <c r="X1567" s="586" t="str">
        <f t="shared" si="379"/>
        <v/>
      </c>
      <c r="Y1567" s="586" t="str">
        <f t="shared" si="373"/>
        <v/>
      </c>
      <c r="Z1567" s="586" t="str">
        <f t="shared" si="382"/>
        <v/>
      </c>
    </row>
    <row r="1568" spans="1:26" ht="23.25" hidden="1" thickBot="1" x14ac:dyDescent="0.25">
      <c r="A1568" s="567">
        <v>101629</v>
      </c>
      <c r="B1568" s="644">
        <v>101629</v>
      </c>
      <c r="C1568" s="645" t="s">
        <v>670</v>
      </c>
      <c r="D1568" s="422" t="s">
        <v>1414</v>
      </c>
      <c r="E1568" s="423"/>
      <c r="F1568" s="424"/>
      <c r="G1568" s="425"/>
      <c r="H1568" s="651"/>
      <c r="I1568" s="420">
        <v>214.56</v>
      </c>
      <c r="J1568" s="420">
        <f t="shared" si="381"/>
        <v>214.56</v>
      </c>
      <c r="K1568" s="421">
        <f t="shared" si="380"/>
        <v>254.92</v>
      </c>
      <c r="L1568" s="647" t="s">
        <v>2065</v>
      </c>
      <c r="M1568" s="576"/>
      <c r="N1568" s="576">
        <f t="shared" si="383"/>
        <v>0</v>
      </c>
      <c r="O1568" s="577">
        <f t="shared" si="377"/>
        <v>0</v>
      </c>
      <c r="P1568" s="578">
        <f t="shared" si="378"/>
        <v>0</v>
      </c>
      <c r="Q1568" s="765"/>
      <c r="R1568" s="576">
        <f t="shared" si="374"/>
        <v>0</v>
      </c>
      <c r="S1568" s="576">
        <f t="shared" si="374"/>
        <v>0</v>
      </c>
      <c r="T1568" s="577">
        <f t="shared" si="375"/>
        <v>0</v>
      </c>
      <c r="U1568" s="578">
        <f t="shared" si="376"/>
        <v>0</v>
      </c>
      <c r="V1568" s="579"/>
      <c r="W1568" s="566"/>
      <c r="X1568" s="586" t="str">
        <f t="shared" si="379"/>
        <v/>
      </c>
      <c r="Y1568" s="586" t="str">
        <f t="shared" si="373"/>
        <v/>
      </c>
      <c r="Z1568" s="586" t="str">
        <f t="shared" si="382"/>
        <v/>
      </c>
    </row>
    <row r="1569" spans="1:26" ht="23.25" hidden="1" thickBot="1" x14ac:dyDescent="0.25">
      <c r="A1569" s="567">
        <v>100921</v>
      </c>
      <c r="B1569" s="644">
        <v>100921</v>
      </c>
      <c r="C1569" s="645" t="s">
        <v>670</v>
      </c>
      <c r="D1569" s="422" t="s">
        <v>1415</v>
      </c>
      <c r="E1569" s="423"/>
      <c r="F1569" s="424"/>
      <c r="G1569" s="425"/>
      <c r="H1569" s="651"/>
      <c r="I1569" s="420">
        <v>85.94</v>
      </c>
      <c r="J1569" s="420">
        <f t="shared" si="381"/>
        <v>85.94</v>
      </c>
      <c r="K1569" s="421">
        <f t="shared" si="380"/>
        <v>102.11</v>
      </c>
      <c r="L1569" s="647" t="s">
        <v>2065</v>
      </c>
      <c r="M1569" s="576"/>
      <c r="N1569" s="576">
        <f t="shared" si="383"/>
        <v>0</v>
      </c>
      <c r="O1569" s="577">
        <f t="shared" si="377"/>
        <v>0</v>
      </c>
      <c r="P1569" s="578">
        <f t="shared" si="378"/>
        <v>0</v>
      </c>
      <c r="Q1569" s="765"/>
      <c r="R1569" s="576">
        <f t="shared" si="374"/>
        <v>0</v>
      </c>
      <c r="S1569" s="576">
        <f t="shared" si="374"/>
        <v>0</v>
      </c>
      <c r="T1569" s="577">
        <f t="shared" si="375"/>
        <v>0</v>
      </c>
      <c r="U1569" s="578">
        <f t="shared" si="376"/>
        <v>0</v>
      </c>
      <c r="V1569" s="579"/>
      <c r="W1569" s="566"/>
      <c r="X1569" s="586" t="str">
        <f t="shared" si="379"/>
        <v/>
      </c>
      <c r="Y1569" s="586" t="str">
        <f t="shared" si="373"/>
        <v/>
      </c>
      <c r="Z1569" s="586" t="str">
        <f t="shared" si="382"/>
        <v/>
      </c>
    </row>
    <row r="1570" spans="1:26" ht="23.25" hidden="1" thickBot="1" x14ac:dyDescent="0.25">
      <c r="A1570" s="567">
        <v>100922</v>
      </c>
      <c r="B1570" s="644">
        <v>100922</v>
      </c>
      <c r="C1570" s="645" t="s">
        <v>670</v>
      </c>
      <c r="D1570" s="422" t="s">
        <v>1416</v>
      </c>
      <c r="E1570" s="423"/>
      <c r="F1570" s="424"/>
      <c r="G1570" s="425"/>
      <c r="H1570" s="651"/>
      <c r="I1570" s="420">
        <v>62.04</v>
      </c>
      <c r="J1570" s="420">
        <f t="shared" si="381"/>
        <v>62.04</v>
      </c>
      <c r="K1570" s="421">
        <f t="shared" si="380"/>
        <v>73.709999999999994</v>
      </c>
      <c r="L1570" s="647" t="s">
        <v>2065</v>
      </c>
      <c r="M1570" s="576"/>
      <c r="N1570" s="576">
        <f t="shared" si="383"/>
        <v>0</v>
      </c>
      <c r="O1570" s="577">
        <f t="shared" si="377"/>
        <v>0</v>
      </c>
      <c r="P1570" s="578">
        <f t="shared" si="378"/>
        <v>0</v>
      </c>
      <c r="Q1570" s="765"/>
      <c r="R1570" s="576">
        <f t="shared" si="374"/>
        <v>0</v>
      </c>
      <c r="S1570" s="576">
        <f t="shared" si="374"/>
        <v>0</v>
      </c>
      <c r="T1570" s="577">
        <f t="shared" si="375"/>
        <v>0</v>
      </c>
      <c r="U1570" s="578">
        <f t="shared" si="376"/>
        <v>0</v>
      </c>
      <c r="V1570" s="579"/>
      <c r="W1570" s="566"/>
      <c r="X1570" s="586" t="str">
        <f t="shared" si="379"/>
        <v/>
      </c>
      <c r="Y1570" s="586" t="str">
        <f t="shared" si="373"/>
        <v/>
      </c>
      <c r="Z1570" s="586" t="str">
        <f t="shared" si="382"/>
        <v/>
      </c>
    </row>
    <row r="1571" spans="1:26" ht="23.25" hidden="1" thickBot="1" x14ac:dyDescent="0.25">
      <c r="A1571" s="567">
        <v>100923</v>
      </c>
      <c r="B1571" s="644">
        <v>100923</v>
      </c>
      <c r="C1571" s="645" t="s">
        <v>670</v>
      </c>
      <c r="D1571" s="422" t="s">
        <v>1417</v>
      </c>
      <c r="E1571" s="423"/>
      <c r="F1571" s="424"/>
      <c r="G1571" s="425"/>
      <c r="H1571" s="651"/>
      <c r="I1571" s="420">
        <v>72.95</v>
      </c>
      <c r="J1571" s="420">
        <f t="shared" si="381"/>
        <v>72.95</v>
      </c>
      <c r="K1571" s="421">
        <f t="shared" si="380"/>
        <v>86.67</v>
      </c>
      <c r="L1571" s="647" t="s">
        <v>2065</v>
      </c>
      <c r="M1571" s="576"/>
      <c r="N1571" s="576">
        <f t="shared" si="383"/>
        <v>0</v>
      </c>
      <c r="O1571" s="577">
        <f t="shared" si="377"/>
        <v>0</v>
      </c>
      <c r="P1571" s="578">
        <f t="shared" si="378"/>
        <v>0</v>
      </c>
      <c r="Q1571" s="765"/>
      <c r="R1571" s="576">
        <f t="shared" si="374"/>
        <v>0</v>
      </c>
      <c r="S1571" s="576">
        <f t="shared" si="374"/>
        <v>0</v>
      </c>
      <c r="T1571" s="577">
        <f t="shared" si="375"/>
        <v>0</v>
      </c>
      <c r="U1571" s="578">
        <f t="shared" si="376"/>
        <v>0</v>
      </c>
      <c r="V1571" s="579"/>
      <c r="W1571" s="566"/>
      <c r="X1571" s="586" t="str">
        <f t="shared" si="379"/>
        <v/>
      </c>
      <c r="Y1571" s="586" t="str">
        <f t="shared" ref="Y1571:Y1634" si="384">IF(W1571="X","x",IF(W1571="y","x",IF(W1571="xx","x",IF(U1571&gt;0,"x",""))))</f>
        <v/>
      </c>
      <c r="Z1571" s="586" t="str">
        <f t="shared" si="382"/>
        <v/>
      </c>
    </row>
    <row r="1572" spans="1:26" ht="23.25" hidden="1" thickBot="1" x14ac:dyDescent="0.25">
      <c r="A1572" s="567">
        <v>101661</v>
      </c>
      <c r="B1572" s="644">
        <v>101661</v>
      </c>
      <c r="C1572" s="645" t="s">
        <v>670</v>
      </c>
      <c r="D1572" s="422" t="s">
        <v>1418</v>
      </c>
      <c r="E1572" s="423"/>
      <c r="F1572" s="424"/>
      <c r="G1572" s="425"/>
      <c r="H1572" s="651"/>
      <c r="I1572" s="420">
        <v>119.82</v>
      </c>
      <c r="J1572" s="420">
        <f t="shared" si="381"/>
        <v>119.82</v>
      </c>
      <c r="K1572" s="421">
        <f t="shared" si="380"/>
        <v>142.36000000000001</v>
      </c>
      <c r="L1572" s="647" t="s">
        <v>2065</v>
      </c>
      <c r="M1572" s="576"/>
      <c r="N1572" s="576">
        <f t="shared" si="383"/>
        <v>0</v>
      </c>
      <c r="O1572" s="577">
        <f t="shared" si="377"/>
        <v>0</v>
      </c>
      <c r="P1572" s="578">
        <f t="shared" si="378"/>
        <v>0</v>
      </c>
      <c r="Q1572" s="765"/>
      <c r="R1572" s="576">
        <f t="shared" si="374"/>
        <v>0</v>
      </c>
      <c r="S1572" s="576">
        <f t="shared" si="374"/>
        <v>0</v>
      </c>
      <c r="T1572" s="577">
        <f t="shared" si="375"/>
        <v>0</v>
      </c>
      <c r="U1572" s="578">
        <f t="shared" si="376"/>
        <v>0</v>
      </c>
      <c r="V1572" s="579"/>
      <c r="W1572" s="566"/>
      <c r="X1572" s="586" t="str">
        <f t="shared" si="379"/>
        <v/>
      </c>
      <c r="Y1572" s="586" t="str">
        <f t="shared" si="384"/>
        <v/>
      </c>
      <c r="Z1572" s="586" t="str">
        <f t="shared" si="382"/>
        <v/>
      </c>
    </row>
    <row r="1573" spans="1:26" ht="12" hidden="1" thickBot="1" x14ac:dyDescent="0.25">
      <c r="A1573" s="567">
        <v>101651</v>
      </c>
      <c r="B1573" s="644">
        <v>101651</v>
      </c>
      <c r="C1573" s="645" t="s">
        <v>670</v>
      </c>
      <c r="D1573" s="422" t="s">
        <v>1419</v>
      </c>
      <c r="E1573" s="423"/>
      <c r="F1573" s="424"/>
      <c r="G1573" s="425"/>
      <c r="H1573" s="651"/>
      <c r="I1573" s="420">
        <v>68.14</v>
      </c>
      <c r="J1573" s="420">
        <f t="shared" si="381"/>
        <v>68.14</v>
      </c>
      <c r="K1573" s="421">
        <f t="shared" si="380"/>
        <v>80.959999999999994</v>
      </c>
      <c r="L1573" s="647" t="s">
        <v>2065</v>
      </c>
      <c r="M1573" s="576"/>
      <c r="N1573" s="576">
        <f t="shared" si="383"/>
        <v>0</v>
      </c>
      <c r="O1573" s="577">
        <f t="shared" si="377"/>
        <v>0</v>
      </c>
      <c r="P1573" s="578">
        <f t="shared" si="378"/>
        <v>0</v>
      </c>
      <c r="Q1573" s="765"/>
      <c r="R1573" s="576">
        <f t="shared" si="374"/>
        <v>0</v>
      </c>
      <c r="S1573" s="576">
        <f t="shared" si="374"/>
        <v>0</v>
      </c>
      <c r="T1573" s="577">
        <f t="shared" si="375"/>
        <v>0</v>
      </c>
      <c r="U1573" s="578">
        <f t="shared" si="376"/>
        <v>0</v>
      </c>
      <c r="V1573" s="579"/>
      <c r="W1573" s="566"/>
      <c r="X1573" s="586" t="str">
        <f t="shared" si="379"/>
        <v/>
      </c>
      <c r="Y1573" s="586" t="str">
        <f t="shared" si="384"/>
        <v/>
      </c>
      <c r="Z1573" s="586" t="str">
        <f t="shared" si="382"/>
        <v/>
      </c>
    </row>
    <row r="1574" spans="1:26" ht="12" hidden="1" thickBot="1" x14ac:dyDescent="0.25">
      <c r="A1574" s="567">
        <v>101630</v>
      </c>
      <c r="B1574" s="644">
        <v>101630</v>
      </c>
      <c r="C1574" s="645" t="s">
        <v>670</v>
      </c>
      <c r="D1574" s="422" t="s">
        <v>1420</v>
      </c>
      <c r="E1574" s="423"/>
      <c r="F1574" s="424"/>
      <c r="G1574" s="425"/>
      <c r="H1574" s="651"/>
      <c r="I1574" s="420">
        <v>79.58</v>
      </c>
      <c r="J1574" s="420">
        <f t="shared" si="381"/>
        <v>79.58</v>
      </c>
      <c r="K1574" s="421">
        <f t="shared" si="380"/>
        <v>94.55</v>
      </c>
      <c r="L1574" s="647" t="s">
        <v>2065</v>
      </c>
      <c r="M1574" s="576"/>
      <c r="N1574" s="576">
        <f t="shared" si="383"/>
        <v>0</v>
      </c>
      <c r="O1574" s="577">
        <f t="shared" si="377"/>
        <v>0</v>
      </c>
      <c r="P1574" s="578">
        <f t="shared" si="378"/>
        <v>0</v>
      </c>
      <c r="Q1574" s="765"/>
      <c r="R1574" s="576">
        <f t="shared" si="374"/>
        <v>0</v>
      </c>
      <c r="S1574" s="576">
        <f t="shared" si="374"/>
        <v>0</v>
      </c>
      <c r="T1574" s="577">
        <f t="shared" si="375"/>
        <v>0</v>
      </c>
      <c r="U1574" s="578">
        <f t="shared" si="376"/>
        <v>0</v>
      </c>
      <c r="V1574" s="579"/>
      <c r="W1574" s="566"/>
      <c r="X1574" s="586" t="str">
        <f t="shared" si="379"/>
        <v/>
      </c>
      <c r="Y1574" s="586" t="str">
        <f t="shared" si="384"/>
        <v/>
      </c>
      <c r="Z1574" s="586" t="str">
        <f t="shared" si="382"/>
        <v/>
      </c>
    </row>
    <row r="1575" spans="1:26" ht="23.25" hidden="1" thickBot="1" x14ac:dyDescent="0.25">
      <c r="A1575" s="567">
        <v>101631</v>
      </c>
      <c r="B1575" s="644">
        <v>101631</v>
      </c>
      <c r="C1575" s="645" t="s">
        <v>670</v>
      </c>
      <c r="D1575" s="422" t="s">
        <v>1421</v>
      </c>
      <c r="E1575" s="423"/>
      <c r="F1575" s="424"/>
      <c r="G1575" s="425"/>
      <c r="H1575" s="651"/>
      <c r="I1575" s="420">
        <v>24.58</v>
      </c>
      <c r="J1575" s="420">
        <f t="shared" si="381"/>
        <v>24.58</v>
      </c>
      <c r="K1575" s="421">
        <f t="shared" si="380"/>
        <v>29.2</v>
      </c>
      <c r="L1575" s="647" t="s">
        <v>2065</v>
      </c>
      <c r="M1575" s="576"/>
      <c r="N1575" s="576">
        <f t="shared" si="383"/>
        <v>0</v>
      </c>
      <c r="O1575" s="577">
        <f t="shared" si="377"/>
        <v>0</v>
      </c>
      <c r="P1575" s="578">
        <f t="shared" si="378"/>
        <v>0</v>
      </c>
      <c r="Q1575" s="765"/>
      <c r="R1575" s="576">
        <f t="shared" si="374"/>
        <v>0</v>
      </c>
      <c r="S1575" s="576">
        <f t="shared" si="374"/>
        <v>0</v>
      </c>
      <c r="T1575" s="577">
        <f t="shared" si="375"/>
        <v>0</v>
      </c>
      <c r="U1575" s="578">
        <f t="shared" si="376"/>
        <v>0</v>
      </c>
      <c r="V1575" s="579"/>
      <c r="W1575" s="566"/>
      <c r="X1575" s="586" t="str">
        <f t="shared" si="379"/>
        <v/>
      </c>
      <c r="Y1575" s="586" t="str">
        <f t="shared" si="384"/>
        <v/>
      </c>
      <c r="Z1575" s="586" t="str">
        <f t="shared" si="382"/>
        <v/>
      </c>
    </row>
    <row r="1576" spans="1:26" ht="23.25" hidden="1" thickBot="1" x14ac:dyDescent="0.25">
      <c r="A1576" s="567">
        <v>101632</v>
      </c>
      <c r="B1576" s="644">
        <v>101632</v>
      </c>
      <c r="C1576" s="645" t="s">
        <v>670</v>
      </c>
      <c r="D1576" s="422" t="s">
        <v>1422</v>
      </c>
      <c r="E1576" s="423"/>
      <c r="F1576" s="424"/>
      <c r="G1576" s="425"/>
      <c r="H1576" s="651"/>
      <c r="I1576" s="420">
        <v>55.15</v>
      </c>
      <c r="J1576" s="420">
        <f t="shared" si="381"/>
        <v>55.15</v>
      </c>
      <c r="K1576" s="421">
        <f t="shared" si="380"/>
        <v>65.52</v>
      </c>
      <c r="L1576" s="647" t="s">
        <v>2065</v>
      </c>
      <c r="M1576" s="576"/>
      <c r="N1576" s="576">
        <f t="shared" si="383"/>
        <v>0</v>
      </c>
      <c r="O1576" s="577">
        <f t="shared" si="377"/>
        <v>0</v>
      </c>
      <c r="P1576" s="578">
        <f t="shared" si="378"/>
        <v>0</v>
      </c>
      <c r="Q1576" s="765"/>
      <c r="R1576" s="576">
        <f t="shared" si="374"/>
        <v>0</v>
      </c>
      <c r="S1576" s="576">
        <f t="shared" si="374"/>
        <v>0</v>
      </c>
      <c r="T1576" s="577">
        <f t="shared" si="375"/>
        <v>0</v>
      </c>
      <c r="U1576" s="578">
        <f t="shared" si="376"/>
        <v>0</v>
      </c>
      <c r="V1576" s="579"/>
      <c r="W1576" s="566"/>
      <c r="X1576" s="586" t="str">
        <f t="shared" si="379"/>
        <v/>
      </c>
      <c r="Y1576" s="586" t="str">
        <f t="shared" si="384"/>
        <v/>
      </c>
      <c r="Z1576" s="586" t="str">
        <f t="shared" si="382"/>
        <v/>
      </c>
    </row>
    <row r="1577" spans="1:26" ht="23.25" hidden="1" thickBot="1" x14ac:dyDescent="0.25">
      <c r="A1577" s="567">
        <v>101633</v>
      </c>
      <c r="B1577" s="644">
        <v>101633</v>
      </c>
      <c r="C1577" s="645" t="s">
        <v>670</v>
      </c>
      <c r="D1577" s="422" t="s">
        <v>1423</v>
      </c>
      <c r="E1577" s="423"/>
      <c r="F1577" s="424"/>
      <c r="G1577" s="425"/>
      <c r="H1577" s="651"/>
      <c r="I1577" s="420">
        <v>121.12</v>
      </c>
      <c r="J1577" s="420">
        <f t="shared" si="381"/>
        <v>121.12</v>
      </c>
      <c r="K1577" s="421">
        <f t="shared" si="380"/>
        <v>143.9</v>
      </c>
      <c r="L1577" s="647" t="s">
        <v>2065</v>
      </c>
      <c r="M1577" s="576"/>
      <c r="N1577" s="576">
        <f t="shared" si="383"/>
        <v>0</v>
      </c>
      <c r="O1577" s="577">
        <f t="shared" si="377"/>
        <v>0</v>
      </c>
      <c r="P1577" s="578">
        <f t="shared" si="378"/>
        <v>0</v>
      </c>
      <c r="Q1577" s="765"/>
      <c r="R1577" s="576">
        <f t="shared" si="374"/>
        <v>0</v>
      </c>
      <c r="S1577" s="576">
        <f t="shared" si="374"/>
        <v>0</v>
      </c>
      <c r="T1577" s="577">
        <f t="shared" si="375"/>
        <v>0</v>
      </c>
      <c r="U1577" s="578">
        <f t="shared" si="376"/>
        <v>0</v>
      </c>
      <c r="V1577" s="579"/>
      <c r="W1577" s="566"/>
      <c r="X1577" s="586" t="str">
        <f t="shared" si="379"/>
        <v/>
      </c>
      <c r="Y1577" s="586" t="str">
        <f t="shared" si="384"/>
        <v/>
      </c>
      <c r="Z1577" s="586" t="str">
        <f t="shared" si="382"/>
        <v/>
      </c>
    </row>
    <row r="1578" spans="1:26" ht="23.25" hidden="1" thickBot="1" x14ac:dyDescent="0.25">
      <c r="A1578" s="567">
        <v>101636</v>
      </c>
      <c r="B1578" s="644">
        <v>101636</v>
      </c>
      <c r="C1578" s="645" t="s">
        <v>670</v>
      </c>
      <c r="D1578" s="422" t="s">
        <v>1424</v>
      </c>
      <c r="E1578" s="423"/>
      <c r="F1578" s="424"/>
      <c r="G1578" s="425"/>
      <c r="H1578" s="651"/>
      <c r="I1578" s="420">
        <v>175.9</v>
      </c>
      <c r="J1578" s="420">
        <f t="shared" si="381"/>
        <v>175.9</v>
      </c>
      <c r="K1578" s="421">
        <f t="shared" si="380"/>
        <v>208.99</v>
      </c>
      <c r="L1578" s="647" t="s">
        <v>2065</v>
      </c>
      <c r="M1578" s="576"/>
      <c r="N1578" s="576">
        <f t="shared" si="383"/>
        <v>0</v>
      </c>
      <c r="O1578" s="577">
        <f t="shared" si="377"/>
        <v>0</v>
      </c>
      <c r="P1578" s="578">
        <f t="shared" si="378"/>
        <v>0</v>
      </c>
      <c r="Q1578" s="765"/>
      <c r="R1578" s="576">
        <f t="shared" ref="R1578:S1641" si="385">M1578</f>
        <v>0</v>
      </c>
      <c r="S1578" s="576">
        <f t="shared" si="385"/>
        <v>0</v>
      </c>
      <c r="T1578" s="577">
        <f t="shared" si="375"/>
        <v>0</v>
      </c>
      <c r="U1578" s="578">
        <f t="shared" si="376"/>
        <v>0</v>
      </c>
      <c r="V1578" s="579"/>
      <c r="W1578" s="566"/>
      <c r="X1578" s="586" t="str">
        <f t="shared" si="379"/>
        <v/>
      </c>
      <c r="Y1578" s="586" t="str">
        <f t="shared" si="384"/>
        <v/>
      </c>
      <c r="Z1578" s="586" t="str">
        <f t="shared" si="382"/>
        <v/>
      </c>
    </row>
    <row r="1579" spans="1:26" ht="23.25" hidden="1" thickBot="1" x14ac:dyDescent="0.25">
      <c r="A1579" s="567">
        <v>101637</v>
      </c>
      <c r="B1579" s="644">
        <v>101637</v>
      </c>
      <c r="C1579" s="645" t="s">
        <v>670</v>
      </c>
      <c r="D1579" s="422" t="s">
        <v>1425</v>
      </c>
      <c r="E1579" s="423"/>
      <c r="F1579" s="424"/>
      <c r="G1579" s="425"/>
      <c r="H1579" s="651"/>
      <c r="I1579" s="420">
        <v>169.44</v>
      </c>
      <c r="J1579" s="420">
        <f t="shared" si="381"/>
        <v>169.44</v>
      </c>
      <c r="K1579" s="421">
        <f t="shared" si="380"/>
        <v>201.31</v>
      </c>
      <c r="L1579" s="647" t="s">
        <v>2065</v>
      </c>
      <c r="M1579" s="576"/>
      <c r="N1579" s="576">
        <f t="shared" si="383"/>
        <v>0</v>
      </c>
      <c r="O1579" s="577">
        <f t="shared" si="377"/>
        <v>0</v>
      </c>
      <c r="P1579" s="578">
        <f t="shared" si="378"/>
        <v>0</v>
      </c>
      <c r="Q1579" s="765"/>
      <c r="R1579" s="576">
        <f t="shared" si="385"/>
        <v>0</v>
      </c>
      <c r="S1579" s="576">
        <f t="shared" si="385"/>
        <v>0</v>
      </c>
      <c r="T1579" s="577">
        <f t="shared" si="375"/>
        <v>0</v>
      </c>
      <c r="U1579" s="578">
        <f t="shared" si="376"/>
        <v>0</v>
      </c>
      <c r="V1579" s="579"/>
      <c r="W1579" s="566"/>
      <c r="X1579" s="586" t="str">
        <f t="shared" si="379"/>
        <v/>
      </c>
      <c r="Y1579" s="586" t="str">
        <f t="shared" si="384"/>
        <v/>
      </c>
      <c r="Z1579" s="586" t="str">
        <f t="shared" si="382"/>
        <v/>
      </c>
    </row>
    <row r="1580" spans="1:26" ht="12" hidden="1" thickBot="1" x14ac:dyDescent="0.25">
      <c r="A1580" s="567">
        <v>96985</v>
      </c>
      <c r="B1580" s="644">
        <v>96985</v>
      </c>
      <c r="C1580" s="645" t="s">
        <v>670</v>
      </c>
      <c r="D1580" s="422" t="s">
        <v>1426</v>
      </c>
      <c r="E1580" s="423"/>
      <c r="F1580" s="424"/>
      <c r="G1580" s="425"/>
      <c r="H1580" s="651"/>
      <c r="I1580" s="420">
        <v>93.33</v>
      </c>
      <c r="J1580" s="420">
        <f t="shared" si="381"/>
        <v>93.33</v>
      </c>
      <c r="K1580" s="421">
        <f t="shared" si="380"/>
        <v>110.89</v>
      </c>
      <c r="L1580" s="647" t="s">
        <v>2065</v>
      </c>
      <c r="M1580" s="576"/>
      <c r="N1580" s="576">
        <f t="shared" si="383"/>
        <v>0</v>
      </c>
      <c r="O1580" s="577">
        <f t="shared" si="377"/>
        <v>0</v>
      </c>
      <c r="P1580" s="578">
        <f t="shared" si="378"/>
        <v>0</v>
      </c>
      <c r="Q1580" s="765"/>
      <c r="R1580" s="576">
        <f t="shared" si="385"/>
        <v>0</v>
      </c>
      <c r="S1580" s="576">
        <f t="shared" si="385"/>
        <v>0</v>
      </c>
      <c r="T1580" s="577">
        <f t="shared" si="375"/>
        <v>0</v>
      </c>
      <c r="U1580" s="578">
        <f t="shared" si="376"/>
        <v>0</v>
      </c>
      <c r="V1580" s="579"/>
      <c r="W1580" s="566"/>
      <c r="X1580" s="586" t="str">
        <f t="shared" si="379"/>
        <v/>
      </c>
      <c r="Y1580" s="586" t="str">
        <f t="shared" si="384"/>
        <v/>
      </c>
      <c r="Z1580" s="586" t="str">
        <f t="shared" si="382"/>
        <v/>
      </c>
    </row>
    <row r="1581" spans="1:26" ht="12" hidden="1" thickBot="1" x14ac:dyDescent="0.25">
      <c r="A1581" s="567">
        <v>96986</v>
      </c>
      <c r="B1581" s="644">
        <v>96986</v>
      </c>
      <c r="C1581" s="645" t="s">
        <v>670</v>
      </c>
      <c r="D1581" s="422" t="s">
        <v>1427</v>
      </c>
      <c r="E1581" s="423"/>
      <c r="F1581" s="424"/>
      <c r="G1581" s="425"/>
      <c r="H1581" s="651"/>
      <c r="I1581" s="420">
        <v>139.19999999999999</v>
      </c>
      <c r="J1581" s="420">
        <f t="shared" si="381"/>
        <v>139.19999999999999</v>
      </c>
      <c r="K1581" s="421">
        <f t="shared" si="380"/>
        <v>165.38</v>
      </c>
      <c r="L1581" s="647" t="s">
        <v>2065</v>
      </c>
      <c r="M1581" s="576"/>
      <c r="N1581" s="576">
        <f t="shared" si="383"/>
        <v>0</v>
      </c>
      <c r="O1581" s="577">
        <f t="shared" si="377"/>
        <v>0</v>
      </c>
      <c r="P1581" s="578">
        <f t="shared" si="378"/>
        <v>0</v>
      </c>
      <c r="Q1581" s="765"/>
      <c r="R1581" s="576">
        <f t="shared" si="385"/>
        <v>0</v>
      </c>
      <c r="S1581" s="576">
        <f t="shared" si="385"/>
        <v>0</v>
      </c>
      <c r="T1581" s="577">
        <f t="shared" si="375"/>
        <v>0</v>
      </c>
      <c r="U1581" s="578">
        <f t="shared" si="376"/>
        <v>0</v>
      </c>
      <c r="V1581" s="579"/>
      <c r="W1581" s="566"/>
      <c r="X1581" s="586" t="str">
        <f t="shared" si="379"/>
        <v/>
      </c>
      <c r="Y1581" s="586" t="str">
        <f t="shared" si="384"/>
        <v/>
      </c>
      <c r="Z1581" s="586" t="str">
        <f t="shared" si="382"/>
        <v/>
      </c>
    </row>
    <row r="1582" spans="1:26" ht="12" hidden="1" thickBot="1" x14ac:dyDescent="0.25">
      <c r="A1582" s="567">
        <v>96987</v>
      </c>
      <c r="B1582" s="644">
        <v>96987</v>
      </c>
      <c r="C1582" s="645" t="s">
        <v>670</v>
      </c>
      <c r="D1582" s="422" t="s">
        <v>1428</v>
      </c>
      <c r="E1582" s="423"/>
      <c r="F1582" s="424"/>
      <c r="G1582" s="425"/>
      <c r="H1582" s="651"/>
      <c r="I1582" s="420">
        <v>118.53</v>
      </c>
      <c r="J1582" s="420">
        <f t="shared" si="381"/>
        <v>118.53</v>
      </c>
      <c r="K1582" s="421">
        <f t="shared" si="380"/>
        <v>140.83000000000001</v>
      </c>
      <c r="L1582" s="647" t="s">
        <v>2065</v>
      </c>
      <c r="M1582" s="576"/>
      <c r="N1582" s="576">
        <f t="shared" si="383"/>
        <v>0</v>
      </c>
      <c r="O1582" s="577">
        <f t="shared" si="377"/>
        <v>0</v>
      </c>
      <c r="P1582" s="578">
        <f t="shared" si="378"/>
        <v>0</v>
      </c>
      <c r="Q1582" s="765"/>
      <c r="R1582" s="576">
        <f t="shared" si="385"/>
        <v>0</v>
      </c>
      <c r="S1582" s="576">
        <f t="shared" si="385"/>
        <v>0</v>
      </c>
      <c r="T1582" s="577">
        <f t="shared" si="375"/>
        <v>0</v>
      </c>
      <c r="U1582" s="578">
        <f t="shared" si="376"/>
        <v>0</v>
      </c>
      <c r="V1582" s="579"/>
      <c r="W1582" s="566"/>
      <c r="X1582" s="586" t="str">
        <f t="shared" si="379"/>
        <v/>
      </c>
      <c r="Y1582" s="586" t="str">
        <f t="shared" si="384"/>
        <v/>
      </c>
      <c r="Z1582" s="586" t="str">
        <f t="shared" si="382"/>
        <v/>
      </c>
    </row>
    <row r="1583" spans="1:26" ht="12" hidden="1" thickBot="1" x14ac:dyDescent="0.25">
      <c r="A1583" s="567">
        <v>96988</v>
      </c>
      <c r="B1583" s="644">
        <v>96988</v>
      </c>
      <c r="C1583" s="645" t="s">
        <v>670</v>
      </c>
      <c r="D1583" s="422" t="s">
        <v>1429</v>
      </c>
      <c r="E1583" s="423"/>
      <c r="F1583" s="424"/>
      <c r="G1583" s="425"/>
      <c r="H1583" s="651"/>
      <c r="I1583" s="420">
        <v>183.83</v>
      </c>
      <c r="J1583" s="420">
        <f t="shared" si="381"/>
        <v>183.83</v>
      </c>
      <c r="K1583" s="421">
        <f t="shared" si="380"/>
        <v>218.41</v>
      </c>
      <c r="L1583" s="647" t="s">
        <v>2065</v>
      </c>
      <c r="M1583" s="576"/>
      <c r="N1583" s="576">
        <f t="shared" si="383"/>
        <v>0</v>
      </c>
      <c r="O1583" s="577">
        <f t="shared" si="377"/>
        <v>0</v>
      </c>
      <c r="P1583" s="578">
        <f t="shared" si="378"/>
        <v>0</v>
      </c>
      <c r="Q1583" s="765"/>
      <c r="R1583" s="576">
        <f t="shared" si="385"/>
        <v>0</v>
      </c>
      <c r="S1583" s="576">
        <f t="shared" si="385"/>
        <v>0</v>
      </c>
      <c r="T1583" s="577">
        <f t="shared" si="375"/>
        <v>0</v>
      </c>
      <c r="U1583" s="578">
        <f t="shared" si="376"/>
        <v>0</v>
      </c>
      <c r="V1583" s="579"/>
      <c r="W1583" s="566"/>
      <c r="X1583" s="586" t="str">
        <f t="shared" si="379"/>
        <v/>
      </c>
      <c r="Y1583" s="586" t="str">
        <f t="shared" si="384"/>
        <v/>
      </c>
      <c r="Z1583" s="586" t="str">
        <f t="shared" si="382"/>
        <v/>
      </c>
    </row>
    <row r="1584" spans="1:26" ht="23.25" hidden="1" thickBot="1" x14ac:dyDescent="0.25">
      <c r="A1584" s="567">
        <v>96971</v>
      </c>
      <c r="B1584" s="644">
        <v>96971</v>
      </c>
      <c r="C1584" s="645" t="s">
        <v>670</v>
      </c>
      <c r="D1584" s="422" t="s">
        <v>1430</v>
      </c>
      <c r="E1584" s="423"/>
      <c r="F1584" s="424"/>
      <c r="G1584" s="425"/>
      <c r="H1584" s="651"/>
      <c r="I1584" s="420">
        <v>36.29</v>
      </c>
      <c r="J1584" s="420">
        <f t="shared" si="381"/>
        <v>36.29</v>
      </c>
      <c r="K1584" s="421">
        <f t="shared" si="380"/>
        <v>43.12</v>
      </c>
      <c r="L1584" s="647" t="s">
        <v>79</v>
      </c>
      <c r="M1584" s="576"/>
      <c r="N1584" s="576">
        <f t="shared" si="383"/>
        <v>0</v>
      </c>
      <c r="O1584" s="577">
        <f t="shared" si="377"/>
        <v>0</v>
      </c>
      <c r="P1584" s="578">
        <f t="shared" si="378"/>
        <v>0</v>
      </c>
      <c r="Q1584" s="765"/>
      <c r="R1584" s="576">
        <f t="shared" si="385"/>
        <v>0</v>
      </c>
      <c r="S1584" s="576">
        <f t="shared" si="385"/>
        <v>0</v>
      </c>
      <c r="T1584" s="577">
        <f t="shared" si="375"/>
        <v>0</v>
      </c>
      <c r="U1584" s="578">
        <f t="shared" si="376"/>
        <v>0</v>
      </c>
      <c r="V1584" s="579"/>
      <c r="W1584" s="566"/>
      <c r="X1584" s="586" t="str">
        <f t="shared" si="379"/>
        <v/>
      </c>
      <c r="Y1584" s="586" t="str">
        <f t="shared" si="384"/>
        <v/>
      </c>
      <c r="Z1584" s="586" t="str">
        <f t="shared" si="382"/>
        <v/>
      </c>
    </row>
    <row r="1585" spans="1:26" ht="23.25" hidden="1" thickBot="1" x14ac:dyDescent="0.25">
      <c r="A1585" s="567">
        <v>96972</v>
      </c>
      <c r="B1585" s="644">
        <v>96972</v>
      </c>
      <c r="C1585" s="645" t="s">
        <v>670</v>
      </c>
      <c r="D1585" s="422" t="s">
        <v>1431</v>
      </c>
      <c r="E1585" s="423"/>
      <c r="F1585" s="424"/>
      <c r="G1585" s="425"/>
      <c r="H1585" s="651"/>
      <c r="I1585" s="420">
        <v>51.07</v>
      </c>
      <c r="J1585" s="420">
        <f t="shared" si="381"/>
        <v>51.07</v>
      </c>
      <c r="K1585" s="421">
        <f t="shared" si="380"/>
        <v>60.68</v>
      </c>
      <c r="L1585" s="647" t="s">
        <v>79</v>
      </c>
      <c r="M1585" s="576"/>
      <c r="N1585" s="576">
        <f t="shared" si="383"/>
        <v>0</v>
      </c>
      <c r="O1585" s="577">
        <f t="shared" si="377"/>
        <v>0</v>
      </c>
      <c r="P1585" s="578">
        <f t="shared" si="378"/>
        <v>0</v>
      </c>
      <c r="Q1585" s="765"/>
      <c r="R1585" s="576">
        <f t="shared" si="385"/>
        <v>0</v>
      </c>
      <c r="S1585" s="576">
        <f t="shared" si="385"/>
        <v>0</v>
      </c>
      <c r="T1585" s="577">
        <f t="shared" si="375"/>
        <v>0</v>
      </c>
      <c r="U1585" s="578">
        <f t="shared" si="376"/>
        <v>0</v>
      </c>
      <c r="V1585" s="579"/>
      <c r="W1585" s="566"/>
      <c r="X1585" s="586" t="str">
        <f t="shared" si="379"/>
        <v/>
      </c>
      <c r="Y1585" s="586" t="str">
        <f t="shared" si="384"/>
        <v/>
      </c>
      <c r="Z1585" s="586" t="str">
        <f t="shared" si="382"/>
        <v/>
      </c>
    </row>
    <row r="1586" spans="1:26" ht="23.25" hidden="1" thickBot="1" x14ac:dyDescent="0.25">
      <c r="A1586" s="567">
        <v>96973</v>
      </c>
      <c r="B1586" s="644">
        <v>96973</v>
      </c>
      <c r="C1586" s="645" t="s">
        <v>670</v>
      </c>
      <c r="D1586" s="422" t="s">
        <v>1432</v>
      </c>
      <c r="E1586" s="423"/>
      <c r="F1586" s="424"/>
      <c r="G1586" s="425"/>
      <c r="H1586" s="651"/>
      <c r="I1586" s="420">
        <v>65.52</v>
      </c>
      <c r="J1586" s="420">
        <f t="shared" si="381"/>
        <v>65.52</v>
      </c>
      <c r="K1586" s="421">
        <f t="shared" si="380"/>
        <v>77.84</v>
      </c>
      <c r="L1586" s="647" t="s">
        <v>79</v>
      </c>
      <c r="M1586" s="576"/>
      <c r="N1586" s="576">
        <f t="shared" si="383"/>
        <v>0</v>
      </c>
      <c r="O1586" s="577">
        <f t="shared" si="377"/>
        <v>0</v>
      </c>
      <c r="P1586" s="578">
        <f t="shared" si="378"/>
        <v>0</v>
      </c>
      <c r="Q1586" s="765"/>
      <c r="R1586" s="576">
        <f t="shared" si="385"/>
        <v>0</v>
      </c>
      <c r="S1586" s="576">
        <f t="shared" si="385"/>
        <v>0</v>
      </c>
      <c r="T1586" s="577">
        <f t="shared" si="375"/>
        <v>0</v>
      </c>
      <c r="U1586" s="578">
        <f t="shared" si="376"/>
        <v>0</v>
      </c>
      <c r="V1586" s="579"/>
      <c r="W1586" s="566"/>
      <c r="X1586" s="586" t="str">
        <f t="shared" si="379"/>
        <v/>
      </c>
      <c r="Y1586" s="586" t="str">
        <f t="shared" si="384"/>
        <v/>
      </c>
      <c r="Z1586" s="586" t="str">
        <f t="shared" si="382"/>
        <v/>
      </c>
    </row>
    <row r="1587" spans="1:26" ht="23.25" hidden="1" thickBot="1" x14ac:dyDescent="0.25">
      <c r="A1587" s="567">
        <v>96974</v>
      </c>
      <c r="B1587" s="644">
        <v>96974</v>
      </c>
      <c r="C1587" s="645" t="s">
        <v>670</v>
      </c>
      <c r="D1587" s="422" t="s">
        <v>1433</v>
      </c>
      <c r="E1587" s="423"/>
      <c r="F1587" s="424"/>
      <c r="G1587" s="425"/>
      <c r="H1587" s="651"/>
      <c r="I1587" s="420">
        <v>84.79</v>
      </c>
      <c r="J1587" s="420">
        <f t="shared" si="381"/>
        <v>84.79</v>
      </c>
      <c r="K1587" s="421">
        <f t="shared" si="380"/>
        <v>100.74</v>
      </c>
      <c r="L1587" s="647" t="s">
        <v>79</v>
      </c>
      <c r="M1587" s="576"/>
      <c r="N1587" s="576">
        <f t="shared" si="383"/>
        <v>0</v>
      </c>
      <c r="O1587" s="577">
        <f t="shared" si="377"/>
        <v>0</v>
      </c>
      <c r="P1587" s="578">
        <f t="shared" si="378"/>
        <v>0</v>
      </c>
      <c r="Q1587" s="765"/>
      <c r="R1587" s="576">
        <f t="shared" si="385"/>
        <v>0</v>
      </c>
      <c r="S1587" s="576">
        <f t="shared" si="385"/>
        <v>0</v>
      </c>
      <c r="T1587" s="577">
        <f t="shared" si="375"/>
        <v>0</v>
      </c>
      <c r="U1587" s="578">
        <f t="shared" si="376"/>
        <v>0</v>
      </c>
      <c r="V1587" s="579"/>
      <c r="W1587" s="566"/>
      <c r="X1587" s="586" t="str">
        <f t="shared" si="379"/>
        <v/>
      </c>
      <c r="Y1587" s="586" t="str">
        <f t="shared" si="384"/>
        <v/>
      </c>
      <c r="Z1587" s="586" t="str">
        <f t="shared" si="382"/>
        <v/>
      </c>
    </row>
    <row r="1588" spans="1:26" ht="23.25" hidden="1" thickBot="1" x14ac:dyDescent="0.25">
      <c r="A1588" s="567">
        <v>96975</v>
      </c>
      <c r="B1588" s="644">
        <v>96975</v>
      </c>
      <c r="C1588" s="645" t="s">
        <v>670</v>
      </c>
      <c r="D1588" s="422" t="s">
        <v>1434</v>
      </c>
      <c r="E1588" s="423"/>
      <c r="F1588" s="424"/>
      <c r="G1588" s="425"/>
      <c r="H1588" s="651"/>
      <c r="I1588" s="420">
        <v>110.82</v>
      </c>
      <c r="J1588" s="420">
        <f t="shared" si="381"/>
        <v>110.82</v>
      </c>
      <c r="K1588" s="421">
        <f t="shared" si="380"/>
        <v>131.66999999999999</v>
      </c>
      <c r="L1588" s="647" t="s">
        <v>79</v>
      </c>
      <c r="M1588" s="576"/>
      <c r="N1588" s="576">
        <f t="shared" si="383"/>
        <v>0</v>
      </c>
      <c r="O1588" s="577">
        <f t="shared" si="377"/>
        <v>0</v>
      </c>
      <c r="P1588" s="578">
        <f t="shared" si="378"/>
        <v>0</v>
      </c>
      <c r="Q1588" s="765"/>
      <c r="R1588" s="576">
        <f t="shared" si="385"/>
        <v>0</v>
      </c>
      <c r="S1588" s="576">
        <f t="shared" si="385"/>
        <v>0</v>
      </c>
      <c r="T1588" s="577">
        <f t="shared" ref="T1588:T1651" si="386">IF(ISBLANK(R1588),0,ROUND(K1588*R1588,2))</f>
        <v>0</v>
      </c>
      <c r="U1588" s="578">
        <f t="shared" ref="U1588:U1651" si="387">IF(ISBLANK(R1588),0,ROUND(R1588*S1588,2))</f>
        <v>0</v>
      </c>
      <c r="V1588" s="579"/>
      <c r="W1588" s="566"/>
      <c r="X1588" s="586" t="str">
        <f t="shared" si="379"/>
        <v/>
      </c>
      <c r="Y1588" s="586" t="str">
        <f t="shared" si="384"/>
        <v/>
      </c>
      <c r="Z1588" s="586" t="str">
        <f t="shared" si="382"/>
        <v/>
      </c>
    </row>
    <row r="1589" spans="1:26" ht="23.25" hidden="1" thickBot="1" x14ac:dyDescent="0.25">
      <c r="A1589" s="567">
        <v>96976</v>
      </c>
      <c r="B1589" s="644">
        <v>96976</v>
      </c>
      <c r="C1589" s="645" t="s">
        <v>670</v>
      </c>
      <c r="D1589" s="422" t="s">
        <v>1435</v>
      </c>
      <c r="E1589" s="423"/>
      <c r="F1589" s="424"/>
      <c r="G1589" s="425"/>
      <c r="H1589" s="651"/>
      <c r="I1589" s="420">
        <v>145.71</v>
      </c>
      <c r="J1589" s="420">
        <f t="shared" si="381"/>
        <v>145.71</v>
      </c>
      <c r="K1589" s="421">
        <f t="shared" si="380"/>
        <v>173.12</v>
      </c>
      <c r="L1589" s="647" t="s">
        <v>79</v>
      </c>
      <c r="M1589" s="576"/>
      <c r="N1589" s="576">
        <f t="shared" si="383"/>
        <v>0</v>
      </c>
      <c r="O1589" s="577">
        <f t="shared" ref="O1589:O1652" si="388">IF(ISBLANK(M1589),0,ROUND(K1589*M1589,2))</f>
        <v>0</v>
      </c>
      <c r="P1589" s="578">
        <f t="shared" ref="P1589:P1652" si="389">IF(ISBLANK(N1589),0,ROUND(M1589*N1589,2))</f>
        <v>0</v>
      </c>
      <c r="Q1589" s="765"/>
      <c r="R1589" s="576">
        <f t="shared" si="385"/>
        <v>0</v>
      </c>
      <c r="S1589" s="576">
        <f t="shared" si="385"/>
        <v>0</v>
      </c>
      <c r="T1589" s="577">
        <f t="shared" si="386"/>
        <v>0</v>
      </c>
      <c r="U1589" s="578">
        <f t="shared" si="387"/>
        <v>0</v>
      </c>
      <c r="V1589" s="579"/>
      <c r="W1589" s="566"/>
      <c r="X1589" s="586" t="str">
        <f t="shared" si="379"/>
        <v/>
      </c>
      <c r="Y1589" s="586" t="str">
        <f t="shared" si="384"/>
        <v/>
      </c>
      <c r="Z1589" s="586" t="str">
        <f t="shared" si="382"/>
        <v/>
      </c>
    </row>
    <row r="1590" spans="1:26" ht="23.25" hidden="1" thickBot="1" x14ac:dyDescent="0.25">
      <c r="A1590" s="567">
        <v>96977</v>
      </c>
      <c r="B1590" s="644">
        <v>96977</v>
      </c>
      <c r="C1590" s="645" t="s">
        <v>670</v>
      </c>
      <c r="D1590" s="422" t="s">
        <v>1436</v>
      </c>
      <c r="E1590" s="423"/>
      <c r="F1590" s="424"/>
      <c r="G1590" s="425"/>
      <c r="H1590" s="651"/>
      <c r="I1590" s="420">
        <v>59.41</v>
      </c>
      <c r="J1590" s="420">
        <f t="shared" si="381"/>
        <v>59.41</v>
      </c>
      <c r="K1590" s="421">
        <f t="shared" si="380"/>
        <v>70.59</v>
      </c>
      <c r="L1590" s="647" t="s">
        <v>79</v>
      </c>
      <c r="M1590" s="576"/>
      <c r="N1590" s="576">
        <f t="shared" si="383"/>
        <v>0</v>
      </c>
      <c r="O1590" s="577">
        <f t="shared" si="388"/>
        <v>0</v>
      </c>
      <c r="P1590" s="578">
        <f t="shared" si="389"/>
        <v>0</v>
      </c>
      <c r="Q1590" s="765"/>
      <c r="R1590" s="576">
        <f t="shared" si="385"/>
        <v>0</v>
      </c>
      <c r="S1590" s="576">
        <f t="shared" si="385"/>
        <v>0</v>
      </c>
      <c r="T1590" s="577">
        <f t="shared" si="386"/>
        <v>0</v>
      </c>
      <c r="U1590" s="578">
        <f t="shared" si="387"/>
        <v>0</v>
      </c>
      <c r="V1590" s="579"/>
      <c r="W1590" s="566"/>
      <c r="X1590" s="586" t="str">
        <f t="shared" si="379"/>
        <v/>
      </c>
      <c r="Y1590" s="586" t="str">
        <f t="shared" si="384"/>
        <v/>
      </c>
      <c r="Z1590" s="586" t="str">
        <f t="shared" si="382"/>
        <v/>
      </c>
    </row>
    <row r="1591" spans="1:26" ht="23.25" hidden="1" thickBot="1" x14ac:dyDescent="0.25">
      <c r="A1591" s="567">
        <v>96978</v>
      </c>
      <c r="B1591" s="644">
        <v>96978</v>
      </c>
      <c r="C1591" s="645" t="s">
        <v>670</v>
      </c>
      <c r="D1591" s="422" t="s">
        <v>1437</v>
      </c>
      <c r="E1591" s="423"/>
      <c r="F1591" s="424"/>
      <c r="G1591" s="425"/>
      <c r="H1591" s="651"/>
      <c r="I1591" s="420">
        <v>83.34</v>
      </c>
      <c r="J1591" s="420">
        <f t="shared" si="381"/>
        <v>83.34</v>
      </c>
      <c r="K1591" s="421">
        <f t="shared" si="380"/>
        <v>99.02</v>
      </c>
      <c r="L1591" s="647" t="s">
        <v>79</v>
      </c>
      <c r="M1591" s="576"/>
      <c r="N1591" s="576">
        <f t="shared" si="383"/>
        <v>0</v>
      </c>
      <c r="O1591" s="577">
        <f t="shared" si="388"/>
        <v>0</v>
      </c>
      <c r="P1591" s="578">
        <f t="shared" si="389"/>
        <v>0</v>
      </c>
      <c r="Q1591" s="765"/>
      <c r="R1591" s="576">
        <f t="shared" si="385"/>
        <v>0</v>
      </c>
      <c r="S1591" s="576">
        <f t="shared" si="385"/>
        <v>0</v>
      </c>
      <c r="T1591" s="577">
        <f t="shared" si="386"/>
        <v>0</v>
      </c>
      <c r="U1591" s="578">
        <f t="shared" si="387"/>
        <v>0</v>
      </c>
      <c r="V1591" s="579"/>
      <c r="W1591" s="566"/>
      <c r="X1591" s="586" t="str">
        <f t="shared" si="379"/>
        <v/>
      </c>
      <c r="Y1591" s="586" t="str">
        <f t="shared" si="384"/>
        <v/>
      </c>
      <c r="Z1591" s="586" t="str">
        <f t="shared" si="382"/>
        <v/>
      </c>
    </row>
    <row r="1592" spans="1:26" ht="23.25" hidden="1" thickBot="1" x14ac:dyDescent="0.25">
      <c r="A1592" s="567">
        <v>96979</v>
      </c>
      <c r="B1592" s="644">
        <v>96979</v>
      </c>
      <c r="C1592" s="645" t="s">
        <v>670</v>
      </c>
      <c r="D1592" s="422" t="s">
        <v>1438</v>
      </c>
      <c r="E1592" s="423"/>
      <c r="F1592" s="424"/>
      <c r="G1592" s="425"/>
      <c r="H1592" s="651"/>
      <c r="I1592" s="420">
        <v>116.87</v>
      </c>
      <c r="J1592" s="420">
        <f t="shared" si="381"/>
        <v>116.87</v>
      </c>
      <c r="K1592" s="421">
        <f t="shared" si="380"/>
        <v>138.85</v>
      </c>
      <c r="L1592" s="647" t="s">
        <v>79</v>
      </c>
      <c r="M1592" s="576"/>
      <c r="N1592" s="576">
        <f t="shared" si="383"/>
        <v>0</v>
      </c>
      <c r="O1592" s="577">
        <f t="shared" si="388"/>
        <v>0</v>
      </c>
      <c r="P1592" s="578">
        <f t="shared" si="389"/>
        <v>0</v>
      </c>
      <c r="Q1592" s="765"/>
      <c r="R1592" s="576">
        <f t="shared" si="385"/>
        <v>0</v>
      </c>
      <c r="S1592" s="576">
        <f t="shared" si="385"/>
        <v>0</v>
      </c>
      <c r="T1592" s="577">
        <f t="shared" si="386"/>
        <v>0</v>
      </c>
      <c r="U1592" s="578">
        <f t="shared" si="387"/>
        <v>0</v>
      </c>
      <c r="V1592" s="579"/>
      <c r="W1592" s="566"/>
      <c r="X1592" s="586" t="str">
        <f t="shared" si="379"/>
        <v/>
      </c>
      <c r="Y1592" s="586" t="str">
        <f t="shared" si="384"/>
        <v/>
      </c>
      <c r="Z1592" s="586" t="str">
        <f t="shared" si="382"/>
        <v/>
      </c>
    </row>
    <row r="1593" spans="1:26" ht="12" hidden="1" thickBot="1" x14ac:dyDescent="0.25">
      <c r="A1593" s="567">
        <v>96989</v>
      </c>
      <c r="B1593" s="644">
        <v>96989</v>
      </c>
      <c r="C1593" s="645" t="s">
        <v>670</v>
      </c>
      <c r="D1593" s="422" t="s">
        <v>1439</v>
      </c>
      <c r="E1593" s="423"/>
      <c r="F1593" s="424"/>
      <c r="G1593" s="425"/>
      <c r="H1593" s="651"/>
      <c r="I1593" s="420">
        <v>153.85</v>
      </c>
      <c r="J1593" s="420">
        <f t="shared" si="381"/>
        <v>153.85</v>
      </c>
      <c r="K1593" s="421">
        <f t="shared" si="380"/>
        <v>182.79</v>
      </c>
      <c r="L1593" s="647" t="s">
        <v>2065</v>
      </c>
      <c r="M1593" s="576"/>
      <c r="N1593" s="576">
        <f t="shared" si="383"/>
        <v>0</v>
      </c>
      <c r="O1593" s="577">
        <f t="shared" si="388"/>
        <v>0</v>
      </c>
      <c r="P1593" s="578">
        <f t="shared" si="389"/>
        <v>0</v>
      </c>
      <c r="Q1593" s="765"/>
      <c r="R1593" s="576">
        <f t="shared" si="385"/>
        <v>0</v>
      </c>
      <c r="S1593" s="576">
        <f t="shared" si="385"/>
        <v>0</v>
      </c>
      <c r="T1593" s="577">
        <f t="shared" si="386"/>
        <v>0</v>
      </c>
      <c r="U1593" s="578">
        <f t="shared" si="387"/>
        <v>0</v>
      </c>
      <c r="V1593" s="579"/>
      <c r="W1593" s="566"/>
      <c r="X1593" s="586" t="str">
        <f t="shared" si="379"/>
        <v/>
      </c>
      <c r="Y1593" s="586" t="str">
        <f t="shared" si="384"/>
        <v/>
      </c>
      <c r="Z1593" s="586" t="str">
        <f t="shared" si="382"/>
        <v/>
      </c>
    </row>
    <row r="1594" spans="1:26" ht="12" hidden="1" thickBot="1" x14ac:dyDescent="0.25">
      <c r="A1594" s="567">
        <v>98463</v>
      </c>
      <c r="B1594" s="644">
        <v>98463</v>
      </c>
      <c r="C1594" s="645" t="s">
        <v>670</v>
      </c>
      <c r="D1594" s="422" t="s">
        <v>1440</v>
      </c>
      <c r="E1594" s="423"/>
      <c r="F1594" s="424"/>
      <c r="G1594" s="425"/>
      <c r="H1594" s="651"/>
      <c r="I1594" s="420">
        <v>25.58</v>
      </c>
      <c r="J1594" s="420">
        <f t="shared" si="381"/>
        <v>25.58</v>
      </c>
      <c r="K1594" s="421">
        <f t="shared" si="380"/>
        <v>30.39</v>
      </c>
      <c r="L1594" s="647" t="s">
        <v>2065</v>
      </c>
      <c r="M1594" s="576"/>
      <c r="N1594" s="576">
        <f t="shared" si="383"/>
        <v>0</v>
      </c>
      <c r="O1594" s="577">
        <f t="shared" si="388"/>
        <v>0</v>
      </c>
      <c r="P1594" s="578">
        <f t="shared" si="389"/>
        <v>0</v>
      </c>
      <c r="Q1594" s="765"/>
      <c r="R1594" s="576">
        <f t="shared" si="385"/>
        <v>0</v>
      </c>
      <c r="S1594" s="576">
        <f t="shared" si="385"/>
        <v>0</v>
      </c>
      <c r="T1594" s="577">
        <f t="shared" si="386"/>
        <v>0</v>
      </c>
      <c r="U1594" s="578">
        <f t="shared" si="387"/>
        <v>0</v>
      </c>
      <c r="V1594" s="579"/>
      <c r="W1594" s="566"/>
      <c r="X1594" s="586" t="str">
        <f t="shared" si="379"/>
        <v/>
      </c>
      <c r="Y1594" s="586" t="str">
        <f t="shared" si="384"/>
        <v/>
      </c>
      <c r="Z1594" s="586" t="str">
        <f t="shared" si="382"/>
        <v/>
      </c>
    </row>
    <row r="1595" spans="1:26" ht="23.25" hidden="1" thickBot="1" x14ac:dyDescent="0.25">
      <c r="A1595" s="567">
        <v>100560</v>
      </c>
      <c r="B1595" s="644">
        <v>100560</v>
      </c>
      <c r="C1595" s="645" t="s">
        <v>670</v>
      </c>
      <c r="D1595" s="422" t="s">
        <v>1441</v>
      </c>
      <c r="E1595" s="423"/>
      <c r="F1595" s="424"/>
      <c r="G1595" s="425"/>
      <c r="H1595" s="651"/>
      <c r="I1595" s="420">
        <v>136.51</v>
      </c>
      <c r="J1595" s="420">
        <f t="shared" si="381"/>
        <v>136.51</v>
      </c>
      <c r="K1595" s="421">
        <f t="shared" si="380"/>
        <v>162.19</v>
      </c>
      <c r="L1595" s="647" t="s">
        <v>2065</v>
      </c>
      <c r="M1595" s="576"/>
      <c r="N1595" s="576">
        <f t="shared" si="383"/>
        <v>0</v>
      </c>
      <c r="O1595" s="577">
        <f t="shared" si="388"/>
        <v>0</v>
      </c>
      <c r="P1595" s="578">
        <f t="shared" si="389"/>
        <v>0</v>
      </c>
      <c r="Q1595" s="765"/>
      <c r="R1595" s="576">
        <f t="shared" si="385"/>
        <v>0</v>
      </c>
      <c r="S1595" s="576">
        <f t="shared" si="385"/>
        <v>0</v>
      </c>
      <c r="T1595" s="577">
        <f t="shared" si="386"/>
        <v>0</v>
      </c>
      <c r="U1595" s="578">
        <f t="shared" si="387"/>
        <v>0</v>
      </c>
      <c r="V1595" s="579"/>
      <c r="W1595" s="566"/>
      <c r="X1595" s="586" t="str">
        <f t="shared" si="379"/>
        <v/>
      </c>
      <c r="Y1595" s="586" t="str">
        <f t="shared" si="384"/>
        <v/>
      </c>
      <c r="Z1595" s="586" t="str">
        <f t="shared" si="382"/>
        <v/>
      </c>
    </row>
    <row r="1596" spans="1:26" ht="23.25" hidden="1" thickBot="1" x14ac:dyDescent="0.25">
      <c r="A1596" s="567">
        <v>100561</v>
      </c>
      <c r="B1596" s="644">
        <v>100561</v>
      </c>
      <c r="C1596" s="645" t="s">
        <v>670</v>
      </c>
      <c r="D1596" s="422" t="s">
        <v>1442</v>
      </c>
      <c r="E1596" s="423"/>
      <c r="F1596" s="424"/>
      <c r="G1596" s="425"/>
      <c r="H1596" s="651"/>
      <c r="I1596" s="420">
        <v>253.7</v>
      </c>
      <c r="J1596" s="420">
        <f t="shared" si="381"/>
        <v>253.7</v>
      </c>
      <c r="K1596" s="421">
        <f t="shared" si="380"/>
        <v>301.42</v>
      </c>
      <c r="L1596" s="647" t="s">
        <v>2065</v>
      </c>
      <c r="M1596" s="576"/>
      <c r="N1596" s="576">
        <f t="shared" si="383"/>
        <v>0</v>
      </c>
      <c r="O1596" s="577">
        <f t="shared" si="388"/>
        <v>0</v>
      </c>
      <c r="P1596" s="578">
        <f t="shared" si="389"/>
        <v>0</v>
      </c>
      <c r="Q1596" s="765"/>
      <c r="R1596" s="576">
        <f t="shared" si="385"/>
        <v>0</v>
      </c>
      <c r="S1596" s="576">
        <f t="shared" si="385"/>
        <v>0</v>
      </c>
      <c r="T1596" s="577">
        <f t="shared" si="386"/>
        <v>0</v>
      </c>
      <c r="U1596" s="578">
        <f t="shared" si="387"/>
        <v>0</v>
      </c>
      <c r="V1596" s="579"/>
      <c r="W1596" s="566"/>
      <c r="X1596" s="586" t="str">
        <f t="shared" si="379"/>
        <v/>
      </c>
      <c r="Y1596" s="586" t="str">
        <f t="shared" si="384"/>
        <v/>
      </c>
      <c r="Z1596" s="586" t="str">
        <f t="shared" si="382"/>
        <v/>
      </c>
    </row>
    <row r="1597" spans="1:26" ht="23.25" hidden="1" thickBot="1" x14ac:dyDescent="0.25">
      <c r="A1597" s="567">
        <v>100562</v>
      </c>
      <c r="B1597" s="644">
        <v>100562</v>
      </c>
      <c r="C1597" s="645" t="s">
        <v>670</v>
      </c>
      <c r="D1597" s="422" t="s">
        <v>1443</v>
      </c>
      <c r="E1597" s="423"/>
      <c r="F1597" s="424"/>
      <c r="G1597" s="425"/>
      <c r="H1597" s="651"/>
      <c r="I1597" s="420">
        <v>394.91</v>
      </c>
      <c r="J1597" s="420">
        <f t="shared" si="381"/>
        <v>394.91</v>
      </c>
      <c r="K1597" s="421">
        <f t="shared" si="380"/>
        <v>469.19</v>
      </c>
      <c r="L1597" s="647" t="s">
        <v>2065</v>
      </c>
      <c r="M1597" s="576"/>
      <c r="N1597" s="576">
        <f t="shared" si="383"/>
        <v>0</v>
      </c>
      <c r="O1597" s="577">
        <f t="shared" si="388"/>
        <v>0</v>
      </c>
      <c r="P1597" s="578">
        <f t="shared" si="389"/>
        <v>0</v>
      </c>
      <c r="Q1597" s="765"/>
      <c r="R1597" s="576">
        <f t="shared" si="385"/>
        <v>0</v>
      </c>
      <c r="S1597" s="576">
        <f t="shared" si="385"/>
        <v>0</v>
      </c>
      <c r="T1597" s="577">
        <f t="shared" si="386"/>
        <v>0</v>
      </c>
      <c r="U1597" s="578">
        <f t="shared" si="387"/>
        <v>0</v>
      </c>
      <c r="V1597" s="579"/>
      <c r="W1597" s="566"/>
      <c r="X1597" s="586" t="str">
        <f t="shared" ref="X1597:X1660" si="390">IF(W1597="X","x",IF(W1597="xx","x",IF(W1597="xy","x",IF(W1597="y","x",IF(OR(P1597&gt;0,U1597&gt;0),"x","")))))</f>
        <v/>
      </c>
      <c r="Y1597" s="586" t="str">
        <f t="shared" si="384"/>
        <v/>
      </c>
      <c r="Z1597" s="586" t="str">
        <f t="shared" si="382"/>
        <v/>
      </c>
    </row>
    <row r="1598" spans="1:26" ht="23.25" hidden="1" thickBot="1" x14ac:dyDescent="0.25">
      <c r="A1598" s="567">
        <v>100563</v>
      </c>
      <c r="B1598" s="644">
        <v>100563</v>
      </c>
      <c r="C1598" s="645" t="s">
        <v>670</v>
      </c>
      <c r="D1598" s="422" t="s">
        <v>1444</v>
      </c>
      <c r="E1598" s="423"/>
      <c r="F1598" s="424"/>
      <c r="G1598" s="425"/>
      <c r="H1598" s="651"/>
      <c r="I1598" s="420">
        <v>570.80999999999995</v>
      </c>
      <c r="J1598" s="420">
        <f t="shared" si="381"/>
        <v>570.80999999999995</v>
      </c>
      <c r="K1598" s="421">
        <f t="shared" si="380"/>
        <v>678.18</v>
      </c>
      <c r="L1598" s="647" t="s">
        <v>2065</v>
      </c>
      <c r="M1598" s="576"/>
      <c r="N1598" s="576">
        <f t="shared" si="383"/>
        <v>0</v>
      </c>
      <c r="O1598" s="577">
        <f t="shared" si="388"/>
        <v>0</v>
      </c>
      <c r="P1598" s="578">
        <f t="shared" si="389"/>
        <v>0</v>
      </c>
      <c r="Q1598" s="765"/>
      <c r="R1598" s="576">
        <f t="shared" si="385"/>
        <v>0</v>
      </c>
      <c r="S1598" s="576">
        <f t="shared" si="385"/>
        <v>0</v>
      </c>
      <c r="T1598" s="577">
        <f t="shared" si="386"/>
        <v>0</v>
      </c>
      <c r="U1598" s="578">
        <f t="shared" si="387"/>
        <v>0</v>
      </c>
      <c r="V1598" s="579"/>
      <c r="W1598" s="566"/>
      <c r="X1598" s="586" t="str">
        <f t="shared" si="390"/>
        <v/>
      </c>
      <c r="Y1598" s="586" t="str">
        <f t="shared" si="384"/>
        <v/>
      </c>
      <c r="Z1598" s="586" t="str">
        <f t="shared" si="382"/>
        <v/>
      </c>
    </row>
    <row r="1599" spans="1:26" ht="23.25" hidden="1" thickBot="1" x14ac:dyDescent="0.25">
      <c r="A1599" s="567">
        <v>100556</v>
      </c>
      <c r="B1599" s="644">
        <v>100556</v>
      </c>
      <c r="C1599" s="645" t="s">
        <v>670</v>
      </c>
      <c r="D1599" s="422" t="s">
        <v>1445</v>
      </c>
      <c r="E1599" s="423"/>
      <c r="F1599" s="424"/>
      <c r="G1599" s="425"/>
      <c r="H1599" s="651"/>
      <c r="I1599" s="420">
        <v>50.44</v>
      </c>
      <c r="J1599" s="420">
        <f t="shared" si="381"/>
        <v>50.44</v>
      </c>
      <c r="K1599" s="421">
        <f t="shared" si="380"/>
        <v>59.93</v>
      </c>
      <c r="L1599" s="647" t="s">
        <v>2065</v>
      </c>
      <c r="M1599" s="576"/>
      <c r="N1599" s="576">
        <f t="shared" si="383"/>
        <v>0</v>
      </c>
      <c r="O1599" s="577">
        <f t="shared" si="388"/>
        <v>0</v>
      </c>
      <c r="P1599" s="578">
        <f t="shared" si="389"/>
        <v>0</v>
      </c>
      <c r="Q1599" s="765"/>
      <c r="R1599" s="576">
        <f t="shared" si="385"/>
        <v>0</v>
      </c>
      <c r="S1599" s="576">
        <f t="shared" si="385"/>
        <v>0</v>
      </c>
      <c r="T1599" s="577">
        <f t="shared" si="386"/>
        <v>0</v>
      </c>
      <c r="U1599" s="578">
        <f t="shared" si="387"/>
        <v>0</v>
      </c>
      <c r="V1599" s="579"/>
      <c r="W1599" s="566"/>
      <c r="X1599" s="586" t="str">
        <f t="shared" si="390"/>
        <v/>
      </c>
      <c r="Y1599" s="586" t="str">
        <f t="shared" si="384"/>
        <v/>
      </c>
      <c r="Z1599" s="586" t="str">
        <f t="shared" si="382"/>
        <v/>
      </c>
    </row>
    <row r="1600" spans="1:26" ht="23.25" hidden="1" thickBot="1" x14ac:dyDescent="0.25">
      <c r="A1600" s="567">
        <v>100557</v>
      </c>
      <c r="B1600" s="644">
        <v>100557</v>
      </c>
      <c r="C1600" s="645" t="s">
        <v>670</v>
      </c>
      <c r="D1600" s="422" t="s">
        <v>1446</v>
      </c>
      <c r="E1600" s="423"/>
      <c r="F1600" s="424"/>
      <c r="G1600" s="425"/>
      <c r="H1600" s="651"/>
      <c r="I1600" s="420">
        <v>659.16</v>
      </c>
      <c r="J1600" s="420">
        <f t="shared" si="381"/>
        <v>659.16</v>
      </c>
      <c r="K1600" s="421">
        <f t="shared" si="380"/>
        <v>783.15</v>
      </c>
      <c r="L1600" s="647" t="s">
        <v>2065</v>
      </c>
      <c r="M1600" s="576"/>
      <c r="N1600" s="576">
        <f t="shared" si="383"/>
        <v>0</v>
      </c>
      <c r="O1600" s="577">
        <f t="shared" si="388"/>
        <v>0</v>
      </c>
      <c r="P1600" s="578">
        <f t="shared" si="389"/>
        <v>0</v>
      </c>
      <c r="Q1600" s="765"/>
      <c r="R1600" s="576">
        <f t="shared" si="385"/>
        <v>0</v>
      </c>
      <c r="S1600" s="576">
        <f t="shared" si="385"/>
        <v>0</v>
      </c>
      <c r="T1600" s="577">
        <f t="shared" si="386"/>
        <v>0</v>
      </c>
      <c r="U1600" s="578">
        <f t="shared" si="387"/>
        <v>0</v>
      </c>
      <c r="V1600" s="579"/>
      <c r="W1600" s="566"/>
      <c r="X1600" s="586" t="str">
        <f t="shared" si="390"/>
        <v/>
      </c>
      <c r="Y1600" s="586" t="str">
        <f t="shared" si="384"/>
        <v/>
      </c>
      <c r="Z1600" s="586" t="str">
        <f t="shared" si="382"/>
        <v/>
      </c>
    </row>
    <row r="1601" spans="1:26" ht="23.25" hidden="1" thickBot="1" x14ac:dyDescent="0.25">
      <c r="A1601" s="567">
        <v>98294</v>
      </c>
      <c r="B1601" s="644">
        <v>98294</v>
      </c>
      <c r="C1601" s="645" t="s">
        <v>670</v>
      </c>
      <c r="D1601" s="422" t="s">
        <v>1447</v>
      </c>
      <c r="E1601" s="423"/>
      <c r="F1601" s="424"/>
      <c r="G1601" s="425"/>
      <c r="H1601" s="651"/>
      <c r="I1601" s="420">
        <v>7.19</v>
      </c>
      <c r="J1601" s="420">
        <f t="shared" si="381"/>
        <v>7.19</v>
      </c>
      <c r="K1601" s="421">
        <f t="shared" si="380"/>
        <v>8.5399999999999991</v>
      </c>
      <c r="L1601" s="647" t="s">
        <v>79</v>
      </c>
      <c r="M1601" s="576"/>
      <c r="N1601" s="576">
        <f t="shared" si="383"/>
        <v>0</v>
      </c>
      <c r="O1601" s="577">
        <f t="shared" si="388"/>
        <v>0</v>
      </c>
      <c r="P1601" s="578">
        <f t="shared" si="389"/>
        <v>0</v>
      </c>
      <c r="Q1601" s="765"/>
      <c r="R1601" s="576">
        <f t="shared" si="385"/>
        <v>0</v>
      </c>
      <c r="S1601" s="576">
        <f t="shared" si="385"/>
        <v>0</v>
      </c>
      <c r="T1601" s="577">
        <f t="shared" si="386"/>
        <v>0</v>
      </c>
      <c r="U1601" s="578">
        <f t="shared" si="387"/>
        <v>0</v>
      </c>
      <c r="V1601" s="579"/>
      <c r="W1601" s="566"/>
      <c r="X1601" s="586" t="str">
        <f t="shared" si="390"/>
        <v/>
      </c>
      <c r="Y1601" s="586" t="str">
        <f t="shared" si="384"/>
        <v/>
      </c>
      <c r="Z1601" s="586" t="str">
        <f t="shared" si="382"/>
        <v/>
      </c>
    </row>
    <row r="1602" spans="1:26" ht="23.25" hidden="1" thickBot="1" x14ac:dyDescent="0.25">
      <c r="A1602" s="567">
        <v>98295</v>
      </c>
      <c r="B1602" s="644">
        <v>98295</v>
      </c>
      <c r="C1602" s="645" t="s">
        <v>670</v>
      </c>
      <c r="D1602" s="422" t="s">
        <v>1448</v>
      </c>
      <c r="E1602" s="423"/>
      <c r="F1602" s="424"/>
      <c r="G1602" s="425"/>
      <c r="H1602" s="651"/>
      <c r="I1602" s="420">
        <v>6.46</v>
      </c>
      <c r="J1602" s="420">
        <f t="shared" si="381"/>
        <v>6.46</v>
      </c>
      <c r="K1602" s="421">
        <f t="shared" si="380"/>
        <v>7.68</v>
      </c>
      <c r="L1602" s="647" t="s">
        <v>79</v>
      </c>
      <c r="M1602" s="576"/>
      <c r="N1602" s="576">
        <f t="shared" si="383"/>
        <v>0</v>
      </c>
      <c r="O1602" s="577">
        <f t="shared" si="388"/>
        <v>0</v>
      </c>
      <c r="P1602" s="578">
        <f t="shared" si="389"/>
        <v>0</v>
      </c>
      <c r="Q1602" s="765"/>
      <c r="R1602" s="576">
        <f t="shared" si="385"/>
        <v>0</v>
      </c>
      <c r="S1602" s="576">
        <f t="shared" si="385"/>
        <v>0</v>
      </c>
      <c r="T1602" s="577">
        <f t="shared" si="386"/>
        <v>0</v>
      </c>
      <c r="U1602" s="578">
        <f t="shared" si="387"/>
        <v>0</v>
      </c>
      <c r="V1602" s="579"/>
      <c r="W1602" s="566"/>
      <c r="X1602" s="586" t="str">
        <f t="shared" si="390"/>
        <v/>
      </c>
      <c r="Y1602" s="586" t="str">
        <f t="shared" si="384"/>
        <v/>
      </c>
      <c r="Z1602" s="586" t="str">
        <f t="shared" si="382"/>
        <v/>
      </c>
    </row>
    <row r="1603" spans="1:26" ht="23.25" hidden="1" thickBot="1" x14ac:dyDescent="0.25">
      <c r="A1603" s="567">
        <v>98296</v>
      </c>
      <c r="B1603" s="644">
        <v>98296</v>
      </c>
      <c r="C1603" s="645" t="s">
        <v>670</v>
      </c>
      <c r="D1603" s="422" t="s">
        <v>1449</v>
      </c>
      <c r="E1603" s="423"/>
      <c r="F1603" s="424"/>
      <c r="G1603" s="425"/>
      <c r="H1603" s="651"/>
      <c r="I1603" s="420">
        <v>4.9400000000000004</v>
      </c>
      <c r="J1603" s="420">
        <f t="shared" si="381"/>
        <v>4.9400000000000004</v>
      </c>
      <c r="K1603" s="421">
        <f t="shared" si="380"/>
        <v>5.87</v>
      </c>
      <c r="L1603" s="647" t="s">
        <v>79</v>
      </c>
      <c r="M1603" s="576"/>
      <c r="N1603" s="576">
        <f t="shared" si="383"/>
        <v>0</v>
      </c>
      <c r="O1603" s="577">
        <f t="shared" si="388"/>
        <v>0</v>
      </c>
      <c r="P1603" s="578">
        <f t="shared" si="389"/>
        <v>0</v>
      </c>
      <c r="Q1603" s="765"/>
      <c r="R1603" s="576">
        <f t="shared" si="385"/>
        <v>0</v>
      </c>
      <c r="S1603" s="576">
        <f t="shared" si="385"/>
        <v>0</v>
      </c>
      <c r="T1603" s="577">
        <f t="shared" si="386"/>
        <v>0</v>
      </c>
      <c r="U1603" s="578">
        <f t="shared" si="387"/>
        <v>0</v>
      </c>
      <c r="V1603" s="579"/>
      <c r="W1603" s="566"/>
      <c r="X1603" s="586" t="str">
        <f t="shared" si="390"/>
        <v/>
      </c>
      <c r="Y1603" s="586" t="str">
        <f t="shared" si="384"/>
        <v/>
      </c>
      <c r="Z1603" s="586" t="str">
        <f t="shared" si="382"/>
        <v/>
      </c>
    </row>
    <row r="1604" spans="1:26" ht="23.25" hidden="1" thickBot="1" x14ac:dyDescent="0.25">
      <c r="A1604" s="567">
        <v>98297</v>
      </c>
      <c r="B1604" s="644">
        <v>98297</v>
      </c>
      <c r="C1604" s="645" t="s">
        <v>670</v>
      </c>
      <c r="D1604" s="422" t="s">
        <v>1450</v>
      </c>
      <c r="E1604" s="423"/>
      <c r="F1604" s="424"/>
      <c r="G1604" s="425"/>
      <c r="H1604" s="651"/>
      <c r="I1604" s="420">
        <v>3.76</v>
      </c>
      <c r="J1604" s="420">
        <f t="shared" si="381"/>
        <v>3.76</v>
      </c>
      <c r="K1604" s="421">
        <f t="shared" si="380"/>
        <v>4.47</v>
      </c>
      <c r="L1604" s="647" t="s">
        <v>79</v>
      </c>
      <c r="M1604" s="576"/>
      <c r="N1604" s="576">
        <f t="shared" si="383"/>
        <v>0</v>
      </c>
      <c r="O1604" s="577">
        <f t="shared" si="388"/>
        <v>0</v>
      </c>
      <c r="P1604" s="578">
        <f t="shared" si="389"/>
        <v>0</v>
      </c>
      <c r="Q1604" s="765"/>
      <c r="R1604" s="576">
        <f t="shared" si="385"/>
        <v>0</v>
      </c>
      <c r="S1604" s="576">
        <f t="shared" si="385"/>
        <v>0</v>
      </c>
      <c r="T1604" s="577">
        <f t="shared" si="386"/>
        <v>0</v>
      </c>
      <c r="U1604" s="578">
        <f t="shared" si="387"/>
        <v>0</v>
      </c>
      <c r="V1604" s="579"/>
      <c r="W1604" s="566"/>
      <c r="X1604" s="586" t="str">
        <f t="shared" si="390"/>
        <v/>
      </c>
      <c r="Y1604" s="586" t="str">
        <f t="shared" si="384"/>
        <v/>
      </c>
      <c r="Z1604" s="586" t="str">
        <f t="shared" si="382"/>
        <v/>
      </c>
    </row>
    <row r="1605" spans="1:26" ht="12" hidden="1" thickBot="1" x14ac:dyDescent="0.25">
      <c r="A1605" s="567">
        <v>98301</v>
      </c>
      <c r="B1605" s="644">
        <v>98301</v>
      </c>
      <c r="C1605" s="645" t="s">
        <v>670</v>
      </c>
      <c r="D1605" s="422" t="s">
        <v>1451</v>
      </c>
      <c r="E1605" s="423"/>
      <c r="F1605" s="424"/>
      <c r="G1605" s="425"/>
      <c r="H1605" s="651"/>
      <c r="I1605" s="420">
        <v>684.6</v>
      </c>
      <c r="J1605" s="420">
        <f t="shared" si="381"/>
        <v>684.6</v>
      </c>
      <c r="K1605" s="421">
        <f t="shared" si="380"/>
        <v>813.37</v>
      </c>
      <c r="L1605" s="647" t="s">
        <v>2065</v>
      </c>
      <c r="M1605" s="576"/>
      <c r="N1605" s="576">
        <f t="shared" si="383"/>
        <v>0</v>
      </c>
      <c r="O1605" s="577">
        <f t="shared" si="388"/>
        <v>0</v>
      </c>
      <c r="P1605" s="578">
        <f t="shared" si="389"/>
        <v>0</v>
      </c>
      <c r="Q1605" s="765"/>
      <c r="R1605" s="576">
        <f t="shared" si="385"/>
        <v>0</v>
      </c>
      <c r="S1605" s="576">
        <f t="shared" si="385"/>
        <v>0</v>
      </c>
      <c r="T1605" s="577">
        <f t="shared" si="386"/>
        <v>0</v>
      </c>
      <c r="U1605" s="578">
        <f t="shared" si="387"/>
        <v>0</v>
      </c>
      <c r="V1605" s="579"/>
      <c r="W1605" s="566"/>
      <c r="X1605" s="586" t="str">
        <f t="shared" si="390"/>
        <v/>
      </c>
      <c r="Y1605" s="586" t="str">
        <f t="shared" si="384"/>
        <v/>
      </c>
      <c r="Z1605" s="586" t="str">
        <f t="shared" si="382"/>
        <v/>
      </c>
    </row>
    <row r="1606" spans="1:26" ht="12" hidden="1" thickBot="1" x14ac:dyDescent="0.25">
      <c r="A1606" s="567">
        <v>98302</v>
      </c>
      <c r="B1606" s="644">
        <v>98302</v>
      </c>
      <c r="C1606" s="645" t="s">
        <v>670</v>
      </c>
      <c r="D1606" s="422" t="s">
        <v>1452</v>
      </c>
      <c r="E1606" s="423"/>
      <c r="F1606" s="424"/>
      <c r="G1606" s="425"/>
      <c r="H1606" s="651"/>
      <c r="I1606" s="420">
        <v>1290.3900000000001</v>
      </c>
      <c r="J1606" s="420">
        <f t="shared" si="381"/>
        <v>1290.3900000000001</v>
      </c>
      <c r="K1606" s="421">
        <f t="shared" si="380"/>
        <v>1533.11</v>
      </c>
      <c r="L1606" s="647" t="s">
        <v>2065</v>
      </c>
      <c r="M1606" s="576"/>
      <c r="N1606" s="576">
        <f t="shared" si="383"/>
        <v>0</v>
      </c>
      <c r="O1606" s="577">
        <f t="shared" si="388"/>
        <v>0</v>
      </c>
      <c r="P1606" s="578">
        <f t="shared" si="389"/>
        <v>0</v>
      </c>
      <c r="Q1606" s="765"/>
      <c r="R1606" s="576">
        <f t="shared" si="385"/>
        <v>0</v>
      </c>
      <c r="S1606" s="576">
        <f t="shared" si="385"/>
        <v>0</v>
      </c>
      <c r="T1606" s="577">
        <f t="shared" si="386"/>
        <v>0</v>
      </c>
      <c r="U1606" s="578">
        <f t="shared" si="387"/>
        <v>0</v>
      </c>
      <c r="V1606" s="579"/>
      <c r="W1606" s="566"/>
      <c r="X1606" s="586" t="str">
        <f t="shared" si="390"/>
        <v/>
      </c>
      <c r="Y1606" s="586" t="str">
        <f t="shared" si="384"/>
        <v/>
      </c>
      <c r="Z1606" s="586" t="str">
        <f t="shared" si="382"/>
        <v/>
      </c>
    </row>
    <row r="1607" spans="1:26" ht="12" hidden="1" thickBot="1" x14ac:dyDescent="0.25">
      <c r="A1607" s="567">
        <v>98304</v>
      </c>
      <c r="B1607" s="644">
        <v>98304</v>
      </c>
      <c r="C1607" s="645" t="s">
        <v>670</v>
      </c>
      <c r="D1607" s="422" t="s">
        <v>1453</v>
      </c>
      <c r="E1607" s="423"/>
      <c r="F1607" s="424"/>
      <c r="G1607" s="425"/>
      <c r="H1607" s="651"/>
      <c r="I1607" s="420">
        <v>4050.61</v>
      </c>
      <c r="J1607" s="420">
        <f t="shared" si="381"/>
        <v>4050.61</v>
      </c>
      <c r="K1607" s="421">
        <f t="shared" si="380"/>
        <v>4812.53</v>
      </c>
      <c r="L1607" s="647" t="s">
        <v>2065</v>
      </c>
      <c r="M1607" s="576"/>
      <c r="N1607" s="576">
        <f t="shared" si="383"/>
        <v>0</v>
      </c>
      <c r="O1607" s="577">
        <f t="shared" si="388"/>
        <v>0</v>
      </c>
      <c r="P1607" s="578">
        <f t="shared" si="389"/>
        <v>0</v>
      </c>
      <c r="Q1607" s="765"/>
      <c r="R1607" s="576">
        <f t="shared" si="385"/>
        <v>0</v>
      </c>
      <c r="S1607" s="576">
        <f t="shared" si="385"/>
        <v>0</v>
      </c>
      <c r="T1607" s="577">
        <f t="shared" si="386"/>
        <v>0</v>
      </c>
      <c r="U1607" s="578">
        <f t="shared" si="387"/>
        <v>0</v>
      </c>
      <c r="V1607" s="579"/>
      <c r="W1607" s="566"/>
      <c r="X1607" s="586" t="str">
        <f t="shared" si="390"/>
        <v/>
      </c>
      <c r="Y1607" s="586" t="str">
        <f t="shared" si="384"/>
        <v/>
      </c>
      <c r="Z1607" s="586" t="str">
        <f t="shared" si="382"/>
        <v/>
      </c>
    </row>
    <row r="1608" spans="1:26" ht="12" hidden="1" thickBot="1" x14ac:dyDescent="0.25">
      <c r="A1608" s="567">
        <v>98307</v>
      </c>
      <c r="B1608" s="644">
        <v>98307</v>
      </c>
      <c r="C1608" s="645" t="s">
        <v>670</v>
      </c>
      <c r="D1608" s="422" t="s">
        <v>1454</v>
      </c>
      <c r="E1608" s="423"/>
      <c r="F1608" s="424"/>
      <c r="G1608" s="425"/>
      <c r="H1608" s="651"/>
      <c r="I1608" s="420">
        <v>60.66</v>
      </c>
      <c r="J1608" s="420">
        <f t="shared" si="381"/>
        <v>60.66</v>
      </c>
      <c r="K1608" s="421">
        <f t="shared" si="380"/>
        <v>72.069999999999993</v>
      </c>
      <c r="L1608" s="647" t="s">
        <v>2065</v>
      </c>
      <c r="M1608" s="576"/>
      <c r="N1608" s="576">
        <f t="shared" si="383"/>
        <v>0</v>
      </c>
      <c r="O1608" s="577">
        <f t="shared" si="388"/>
        <v>0</v>
      </c>
      <c r="P1608" s="578">
        <f t="shared" si="389"/>
        <v>0</v>
      </c>
      <c r="Q1608" s="765"/>
      <c r="R1608" s="576">
        <f t="shared" si="385"/>
        <v>0</v>
      </c>
      <c r="S1608" s="576">
        <f t="shared" si="385"/>
        <v>0</v>
      </c>
      <c r="T1608" s="577">
        <f t="shared" si="386"/>
        <v>0</v>
      </c>
      <c r="U1608" s="578">
        <f t="shared" si="387"/>
        <v>0</v>
      </c>
      <c r="V1608" s="579"/>
      <c r="W1608" s="566"/>
      <c r="X1608" s="586" t="str">
        <f t="shared" si="390"/>
        <v/>
      </c>
      <c r="Y1608" s="586" t="str">
        <f t="shared" si="384"/>
        <v/>
      </c>
      <c r="Z1608" s="586" t="str">
        <f t="shared" si="382"/>
        <v/>
      </c>
    </row>
    <row r="1609" spans="1:26" ht="12" hidden="1" thickBot="1" x14ac:dyDescent="0.25">
      <c r="A1609" s="567">
        <v>98308</v>
      </c>
      <c r="B1609" s="644">
        <v>98308</v>
      </c>
      <c r="C1609" s="645" t="s">
        <v>670</v>
      </c>
      <c r="D1609" s="422" t="s">
        <v>1455</v>
      </c>
      <c r="E1609" s="423"/>
      <c r="F1609" s="424"/>
      <c r="G1609" s="425"/>
      <c r="H1609" s="651"/>
      <c r="I1609" s="420">
        <v>39.03</v>
      </c>
      <c r="J1609" s="420">
        <f t="shared" si="381"/>
        <v>39.03</v>
      </c>
      <c r="K1609" s="421">
        <f t="shared" ref="K1609:K1656" si="391">IF(ISBLANK(I1609),0,ROUND(J1609*(1+$F$10)*(1+$F$11*E1609),2))</f>
        <v>46.37</v>
      </c>
      <c r="L1609" s="647" t="s">
        <v>2065</v>
      </c>
      <c r="M1609" s="576"/>
      <c r="N1609" s="576">
        <f t="shared" si="383"/>
        <v>0</v>
      </c>
      <c r="O1609" s="577">
        <f t="shared" si="388"/>
        <v>0</v>
      </c>
      <c r="P1609" s="578">
        <f t="shared" si="389"/>
        <v>0</v>
      </c>
      <c r="Q1609" s="765"/>
      <c r="R1609" s="576">
        <f t="shared" si="385"/>
        <v>0</v>
      </c>
      <c r="S1609" s="576">
        <f t="shared" si="385"/>
        <v>0</v>
      </c>
      <c r="T1609" s="577">
        <f t="shared" si="386"/>
        <v>0</v>
      </c>
      <c r="U1609" s="578">
        <f t="shared" si="387"/>
        <v>0</v>
      </c>
      <c r="V1609" s="579"/>
      <c r="W1609" s="566"/>
      <c r="X1609" s="586" t="str">
        <f t="shared" si="390"/>
        <v/>
      </c>
      <c r="Y1609" s="586" t="str">
        <f t="shared" si="384"/>
        <v/>
      </c>
      <c r="Z1609" s="586" t="str">
        <f t="shared" si="382"/>
        <v/>
      </c>
    </row>
    <row r="1610" spans="1:26" ht="12" hidden="1" thickBot="1" x14ac:dyDescent="0.25">
      <c r="A1610" s="567">
        <v>98593</v>
      </c>
      <c r="B1610" s="644">
        <v>98593</v>
      </c>
      <c r="C1610" s="645" t="s">
        <v>670</v>
      </c>
      <c r="D1610" s="422" t="s">
        <v>1456</v>
      </c>
      <c r="E1610" s="423"/>
      <c r="F1610" s="424"/>
      <c r="G1610" s="425"/>
      <c r="H1610" s="651"/>
      <c r="I1610" s="420">
        <v>2815.39</v>
      </c>
      <c r="J1610" s="420">
        <f t="shared" si="381"/>
        <v>2815.39</v>
      </c>
      <c r="K1610" s="421">
        <f t="shared" si="391"/>
        <v>3344.96</v>
      </c>
      <c r="L1610" s="647" t="s">
        <v>2065</v>
      </c>
      <c r="M1610" s="576"/>
      <c r="N1610" s="576">
        <f t="shared" si="383"/>
        <v>0</v>
      </c>
      <c r="O1610" s="577">
        <f t="shared" si="388"/>
        <v>0</v>
      </c>
      <c r="P1610" s="578">
        <f t="shared" si="389"/>
        <v>0</v>
      </c>
      <c r="Q1610" s="765"/>
      <c r="R1610" s="576">
        <f t="shared" si="385"/>
        <v>0</v>
      </c>
      <c r="S1610" s="576">
        <f t="shared" si="385"/>
        <v>0</v>
      </c>
      <c r="T1610" s="577">
        <f t="shared" si="386"/>
        <v>0</v>
      </c>
      <c r="U1610" s="578">
        <f t="shared" si="387"/>
        <v>0</v>
      </c>
      <c r="V1610" s="579"/>
      <c r="W1610" s="566"/>
      <c r="X1610" s="586" t="str">
        <f t="shared" si="390"/>
        <v/>
      </c>
      <c r="Y1610" s="586" t="str">
        <f t="shared" si="384"/>
        <v/>
      </c>
      <c r="Z1610" s="586" t="str">
        <f t="shared" si="382"/>
        <v/>
      </c>
    </row>
    <row r="1611" spans="1:26" ht="23.25" hidden="1" thickBot="1" x14ac:dyDescent="0.25">
      <c r="A1611" s="567">
        <v>98400</v>
      </c>
      <c r="B1611" s="644">
        <v>98400</v>
      </c>
      <c r="C1611" s="645" t="s">
        <v>670</v>
      </c>
      <c r="D1611" s="422" t="s">
        <v>1457</v>
      </c>
      <c r="E1611" s="423"/>
      <c r="F1611" s="424"/>
      <c r="G1611" s="425"/>
      <c r="H1611" s="651"/>
      <c r="I1611" s="420">
        <v>14.58</v>
      </c>
      <c r="J1611" s="420">
        <f t="shared" si="381"/>
        <v>14.58</v>
      </c>
      <c r="K1611" s="421">
        <f t="shared" si="391"/>
        <v>17.32</v>
      </c>
      <c r="L1611" s="647" t="s">
        <v>79</v>
      </c>
      <c r="M1611" s="576"/>
      <c r="N1611" s="576">
        <f t="shared" si="383"/>
        <v>0</v>
      </c>
      <c r="O1611" s="577">
        <f t="shared" si="388"/>
        <v>0</v>
      </c>
      <c r="P1611" s="578">
        <f t="shared" si="389"/>
        <v>0</v>
      </c>
      <c r="Q1611" s="765"/>
      <c r="R1611" s="576">
        <f t="shared" si="385"/>
        <v>0</v>
      </c>
      <c r="S1611" s="576">
        <f t="shared" si="385"/>
        <v>0</v>
      </c>
      <c r="T1611" s="577">
        <f t="shared" si="386"/>
        <v>0</v>
      </c>
      <c r="U1611" s="578">
        <f t="shared" si="387"/>
        <v>0</v>
      </c>
      <c r="V1611" s="579"/>
      <c r="W1611" s="566"/>
      <c r="X1611" s="586" t="str">
        <f t="shared" si="390"/>
        <v/>
      </c>
      <c r="Y1611" s="586" t="str">
        <f t="shared" si="384"/>
        <v/>
      </c>
      <c r="Z1611" s="586" t="str">
        <f t="shared" si="382"/>
        <v/>
      </c>
    </row>
    <row r="1612" spans="1:26" ht="23.25" hidden="1" thickBot="1" x14ac:dyDescent="0.25">
      <c r="A1612" s="567">
        <v>98401</v>
      </c>
      <c r="B1612" s="644">
        <v>98401</v>
      </c>
      <c r="C1612" s="645" t="s">
        <v>670</v>
      </c>
      <c r="D1612" s="422" t="s">
        <v>1458</v>
      </c>
      <c r="E1612" s="423"/>
      <c r="F1612" s="424"/>
      <c r="G1612" s="425"/>
      <c r="H1612" s="651"/>
      <c r="I1612" s="420">
        <v>22.67</v>
      </c>
      <c r="J1612" s="420">
        <f t="shared" si="381"/>
        <v>22.67</v>
      </c>
      <c r="K1612" s="421">
        <f t="shared" si="391"/>
        <v>26.93</v>
      </c>
      <c r="L1612" s="647" t="s">
        <v>79</v>
      </c>
      <c r="M1612" s="576"/>
      <c r="N1612" s="576">
        <f t="shared" si="383"/>
        <v>0</v>
      </c>
      <c r="O1612" s="577">
        <f t="shared" si="388"/>
        <v>0</v>
      </c>
      <c r="P1612" s="578">
        <f t="shared" si="389"/>
        <v>0</v>
      </c>
      <c r="Q1612" s="765"/>
      <c r="R1612" s="576">
        <f t="shared" si="385"/>
        <v>0</v>
      </c>
      <c r="S1612" s="576">
        <f t="shared" si="385"/>
        <v>0</v>
      </c>
      <c r="T1612" s="577">
        <f t="shared" si="386"/>
        <v>0</v>
      </c>
      <c r="U1612" s="578">
        <f t="shared" si="387"/>
        <v>0</v>
      </c>
      <c r="V1612" s="579"/>
      <c r="W1612" s="566"/>
      <c r="X1612" s="586" t="str">
        <f t="shared" si="390"/>
        <v/>
      </c>
      <c r="Y1612" s="586" t="str">
        <f t="shared" si="384"/>
        <v/>
      </c>
      <c r="Z1612" s="586" t="str">
        <f t="shared" si="382"/>
        <v/>
      </c>
    </row>
    <row r="1613" spans="1:26" ht="23.25" hidden="1" thickBot="1" x14ac:dyDescent="0.25">
      <c r="A1613" s="567">
        <v>98402</v>
      </c>
      <c r="B1613" s="644">
        <v>98402</v>
      </c>
      <c r="C1613" s="645" t="s">
        <v>670</v>
      </c>
      <c r="D1613" s="422" t="s">
        <v>1459</v>
      </c>
      <c r="E1613" s="423"/>
      <c r="F1613" s="424"/>
      <c r="G1613" s="425"/>
      <c r="H1613" s="651"/>
      <c r="I1613" s="420">
        <v>26.41</v>
      </c>
      <c r="J1613" s="420">
        <f t="shared" si="381"/>
        <v>26.41</v>
      </c>
      <c r="K1613" s="421">
        <f t="shared" si="391"/>
        <v>31.38</v>
      </c>
      <c r="L1613" s="647" t="s">
        <v>79</v>
      </c>
      <c r="M1613" s="576"/>
      <c r="N1613" s="576">
        <f t="shared" si="383"/>
        <v>0</v>
      </c>
      <c r="O1613" s="577">
        <f t="shared" si="388"/>
        <v>0</v>
      </c>
      <c r="P1613" s="578">
        <f t="shared" si="389"/>
        <v>0</v>
      </c>
      <c r="Q1613" s="765"/>
      <c r="R1613" s="576">
        <f t="shared" si="385"/>
        <v>0</v>
      </c>
      <c r="S1613" s="576">
        <f t="shared" si="385"/>
        <v>0</v>
      </c>
      <c r="T1613" s="577">
        <f t="shared" si="386"/>
        <v>0</v>
      </c>
      <c r="U1613" s="578">
        <f t="shared" si="387"/>
        <v>0</v>
      </c>
      <c r="V1613" s="579"/>
      <c r="W1613" s="566"/>
      <c r="X1613" s="586" t="str">
        <f t="shared" si="390"/>
        <v/>
      </c>
      <c r="Y1613" s="586" t="str">
        <f t="shared" si="384"/>
        <v/>
      </c>
      <c r="Z1613" s="586" t="str">
        <f t="shared" si="382"/>
        <v/>
      </c>
    </row>
    <row r="1614" spans="1:26" ht="23.25" hidden="1" thickBot="1" x14ac:dyDescent="0.25">
      <c r="A1614" s="567">
        <v>98267</v>
      </c>
      <c r="B1614" s="644">
        <v>98267</v>
      </c>
      <c r="C1614" s="645" t="s">
        <v>670</v>
      </c>
      <c r="D1614" s="422" t="s">
        <v>1460</v>
      </c>
      <c r="E1614" s="423"/>
      <c r="F1614" s="424"/>
      <c r="G1614" s="425"/>
      <c r="H1614" s="651"/>
      <c r="I1614" s="420">
        <v>11.95</v>
      </c>
      <c r="J1614" s="420">
        <f t="shared" si="381"/>
        <v>11.95</v>
      </c>
      <c r="K1614" s="421">
        <f t="shared" si="391"/>
        <v>14.2</v>
      </c>
      <c r="L1614" s="647" t="s">
        <v>79</v>
      </c>
      <c r="M1614" s="576"/>
      <c r="N1614" s="576">
        <f t="shared" si="383"/>
        <v>0</v>
      </c>
      <c r="O1614" s="577">
        <f t="shared" si="388"/>
        <v>0</v>
      </c>
      <c r="P1614" s="578">
        <f t="shared" si="389"/>
        <v>0</v>
      </c>
      <c r="Q1614" s="765"/>
      <c r="R1614" s="576">
        <f t="shared" si="385"/>
        <v>0</v>
      </c>
      <c r="S1614" s="576">
        <f t="shared" si="385"/>
        <v>0</v>
      </c>
      <c r="T1614" s="577">
        <f t="shared" si="386"/>
        <v>0</v>
      </c>
      <c r="U1614" s="578">
        <f t="shared" si="387"/>
        <v>0</v>
      </c>
      <c r="V1614" s="579"/>
      <c r="W1614" s="566"/>
      <c r="X1614" s="586" t="str">
        <f t="shared" si="390"/>
        <v/>
      </c>
      <c r="Y1614" s="586" t="str">
        <f t="shared" si="384"/>
        <v/>
      </c>
      <c r="Z1614" s="586" t="str">
        <f t="shared" si="382"/>
        <v/>
      </c>
    </row>
    <row r="1615" spans="1:26" ht="23.25" hidden="1" thickBot="1" x14ac:dyDescent="0.25">
      <c r="A1615" s="567">
        <v>98268</v>
      </c>
      <c r="B1615" s="644">
        <v>98268</v>
      </c>
      <c r="C1615" s="645" t="s">
        <v>670</v>
      </c>
      <c r="D1615" s="422" t="s">
        <v>1461</v>
      </c>
      <c r="E1615" s="423"/>
      <c r="F1615" s="424"/>
      <c r="G1615" s="425"/>
      <c r="H1615" s="651"/>
      <c r="I1615" s="420">
        <v>19.010000000000002</v>
      </c>
      <c r="J1615" s="420">
        <f t="shared" si="381"/>
        <v>19.010000000000002</v>
      </c>
      <c r="K1615" s="421">
        <f t="shared" si="391"/>
        <v>22.59</v>
      </c>
      <c r="L1615" s="647" t="s">
        <v>79</v>
      </c>
      <c r="M1615" s="576"/>
      <c r="N1615" s="576">
        <f t="shared" si="383"/>
        <v>0</v>
      </c>
      <c r="O1615" s="577">
        <f t="shared" si="388"/>
        <v>0</v>
      </c>
      <c r="P1615" s="578">
        <f t="shared" si="389"/>
        <v>0</v>
      </c>
      <c r="Q1615" s="765"/>
      <c r="R1615" s="576">
        <f t="shared" si="385"/>
        <v>0</v>
      </c>
      <c r="S1615" s="576">
        <f t="shared" si="385"/>
        <v>0</v>
      </c>
      <c r="T1615" s="577">
        <f t="shared" si="386"/>
        <v>0</v>
      </c>
      <c r="U1615" s="578">
        <f t="shared" si="387"/>
        <v>0</v>
      </c>
      <c r="V1615" s="579"/>
      <c r="W1615" s="566"/>
      <c r="X1615" s="586" t="str">
        <f t="shared" si="390"/>
        <v/>
      </c>
      <c r="Y1615" s="586" t="str">
        <f t="shared" si="384"/>
        <v/>
      </c>
      <c r="Z1615" s="586" t="str">
        <f t="shared" si="382"/>
        <v/>
      </c>
    </row>
    <row r="1616" spans="1:26" ht="23.25" hidden="1" thickBot="1" x14ac:dyDescent="0.25">
      <c r="A1616" s="567">
        <v>98269</v>
      </c>
      <c r="B1616" s="644">
        <v>98269</v>
      </c>
      <c r="C1616" s="645" t="s">
        <v>670</v>
      </c>
      <c r="D1616" s="422" t="s">
        <v>1462</v>
      </c>
      <c r="E1616" s="423"/>
      <c r="F1616" s="424"/>
      <c r="G1616" s="425"/>
      <c r="H1616" s="651"/>
      <c r="I1616" s="420">
        <v>25.84</v>
      </c>
      <c r="J1616" s="420">
        <f t="shared" si="381"/>
        <v>25.84</v>
      </c>
      <c r="K1616" s="421">
        <f t="shared" si="391"/>
        <v>30.7</v>
      </c>
      <c r="L1616" s="647" t="s">
        <v>79</v>
      </c>
      <c r="M1616" s="576"/>
      <c r="N1616" s="576">
        <f t="shared" si="383"/>
        <v>0</v>
      </c>
      <c r="O1616" s="577">
        <f t="shared" si="388"/>
        <v>0</v>
      </c>
      <c r="P1616" s="578">
        <f t="shared" si="389"/>
        <v>0</v>
      </c>
      <c r="Q1616" s="765"/>
      <c r="R1616" s="576">
        <f t="shared" si="385"/>
        <v>0</v>
      </c>
      <c r="S1616" s="576">
        <f t="shared" si="385"/>
        <v>0</v>
      </c>
      <c r="T1616" s="577">
        <f t="shared" si="386"/>
        <v>0</v>
      </c>
      <c r="U1616" s="578">
        <f t="shared" si="387"/>
        <v>0</v>
      </c>
      <c r="V1616" s="579"/>
      <c r="W1616" s="566"/>
      <c r="X1616" s="586" t="str">
        <f t="shared" si="390"/>
        <v/>
      </c>
      <c r="Y1616" s="586" t="str">
        <f t="shared" si="384"/>
        <v/>
      </c>
      <c r="Z1616" s="586" t="str">
        <f t="shared" si="382"/>
        <v/>
      </c>
    </row>
    <row r="1617" spans="1:26" ht="23.25" hidden="1" thickBot="1" x14ac:dyDescent="0.25">
      <c r="A1617" s="567">
        <v>98270</v>
      </c>
      <c r="B1617" s="644">
        <v>98270</v>
      </c>
      <c r="C1617" s="645" t="s">
        <v>670</v>
      </c>
      <c r="D1617" s="422" t="s">
        <v>1463</v>
      </c>
      <c r="E1617" s="423"/>
      <c r="F1617" s="424"/>
      <c r="G1617" s="425"/>
      <c r="H1617" s="651"/>
      <c r="I1617" s="420">
        <v>38.770000000000003</v>
      </c>
      <c r="J1617" s="420">
        <f t="shared" si="381"/>
        <v>38.770000000000003</v>
      </c>
      <c r="K1617" s="421">
        <f t="shared" si="391"/>
        <v>46.06</v>
      </c>
      <c r="L1617" s="647" t="s">
        <v>79</v>
      </c>
      <c r="M1617" s="576"/>
      <c r="N1617" s="576">
        <f t="shared" si="383"/>
        <v>0</v>
      </c>
      <c r="O1617" s="577">
        <f t="shared" si="388"/>
        <v>0</v>
      </c>
      <c r="P1617" s="578">
        <f t="shared" si="389"/>
        <v>0</v>
      </c>
      <c r="Q1617" s="765"/>
      <c r="R1617" s="576">
        <f t="shared" si="385"/>
        <v>0</v>
      </c>
      <c r="S1617" s="576">
        <f t="shared" si="385"/>
        <v>0</v>
      </c>
      <c r="T1617" s="577">
        <f t="shared" si="386"/>
        <v>0</v>
      </c>
      <c r="U1617" s="578">
        <f t="shared" si="387"/>
        <v>0</v>
      </c>
      <c r="V1617" s="579"/>
      <c r="W1617" s="566"/>
      <c r="X1617" s="586" t="str">
        <f t="shared" si="390"/>
        <v/>
      </c>
      <c r="Y1617" s="586" t="str">
        <f t="shared" si="384"/>
        <v/>
      </c>
      <c r="Z1617" s="586" t="str">
        <f t="shared" si="382"/>
        <v/>
      </c>
    </row>
    <row r="1618" spans="1:26" ht="23.25" hidden="1" thickBot="1" x14ac:dyDescent="0.25">
      <c r="A1618" s="567">
        <v>98271</v>
      </c>
      <c r="B1618" s="644">
        <v>98271</v>
      </c>
      <c r="C1618" s="645" t="s">
        <v>670</v>
      </c>
      <c r="D1618" s="422" t="s">
        <v>1464</v>
      </c>
      <c r="E1618" s="423"/>
      <c r="F1618" s="424"/>
      <c r="G1618" s="425"/>
      <c r="H1618" s="651"/>
      <c r="I1618" s="420">
        <v>54.34</v>
      </c>
      <c r="J1618" s="420">
        <f t="shared" si="381"/>
        <v>54.34</v>
      </c>
      <c r="K1618" s="421">
        <f t="shared" si="391"/>
        <v>64.56</v>
      </c>
      <c r="L1618" s="647" t="s">
        <v>79</v>
      </c>
      <c r="M1618" s="576"/>
      <c r="N1618" s="576">
        <f t="shared" si="383"/>
        <v>0</v>
      </c>
      <c r="O1618" s="577">
        <f t="shared" si="388"/>
        <v>0</v>
      </c>
      <c r="P1618" s="578">
        <f t="shared" si="389"/>
        <v>0</v>
      </c>
      <c r="Q1618" s="765"/>
      <c r="R1618" s="576">
        <f t="shared" si="385"/>
        <v>0</v>
      </c>
      <c r="S1618" s="576">
        <f t="shared" si="385"/>
        <v>0</v>
      </c>
      <c r="T1618" s="577">
        <f t="shared" si="386"/>
        <v>0</v>
      </c>
      <c r="U1618" s="578">
        <f t="shared" si="387"/>
        <v>0</v>
      </c>
      <c r="V1618" s="579"/>
      <c r="W1618" s="566"/>
      <c r="X1618" s="586" t="str">
        <f t="shared" si="390"/>
        <v/>
      </c>
      <c r="Y1618" s="586" t="str">
        <f t="shared" si="384"/>
        <v/>
      </c>
      <c r="Z1618" s="586" t="str">
        <f t="shared" si="382"/>
        <v/>
      </c>
    </row>
    <row r="1619" spans="1:26" ht="23.25" hidden="1" thickBot="1" x14ac:dyDescent="0.25">
      <c r="A1619" s="567">
        <v>98272</v>
      </c>
      <c r="B1619" s="644">
        <v>98272</v>
      </c>
      <c r="C1619" s="645" t="s">
        <v>670</v>
      </c>
      <c r="D1619" s="422" t="s">
        <v>1465</v>
      </c>
      <c r="E1619" s="423"/>
      <c r="F1619" s="424"/>
      <c r="G1619" s="425"/>
      <c r="H1619" s="651"/>
      <c r="I1619" s="420">
        <v>124.06</v>
      </c>
      <c r="J1619" s="420">
        <f t="shared" ref="J1619:J1655" si="392">IF(ISBLANK(I1619),"",SUM(H1619:I1619))</f>
        <v>124.06</v>
      </c>
      <c r="K1619" s="421">
        <f t="shared" si="391"/>
        <v>147.4</v>
      </c>
      <c r="L1619" s="647" t="s">
        <v>79</v>
      </c>
      <c r="M1619" s="576"/>
      <c r="N1619" s="576">
        <f t="shared" si="383"/>
        <v>0</v>
      </c>
      <c r="O1619" s="577">
        <f t="shared" si="388"/>
        <v>0</v>
      </c>
      <c r="P1619" s="578">
        <f t="shared" si="389"/>
        <v>0</v>
      </c>
      <c r="Q1619" s="765"/>
      <c r="R1619" s="576">
        <f t="shared" si="385"/>
        <v>0</v>
      </c>
      <c r="S1619" s="576">
        <f t="shared" si="385"/>
        <v>0</v>
      </c>
      <c r="T1619" s="577">
        <f t="shared" si="386"/>
        <v>0</v>
      </c>
      <c r="U1619" s="578">
        <f t="shared" si="387"/>
        <v>0</v>
      </c>
      <c r="V1619" s="579"/>
      <c r="W1619" s="566"/>
      <c r="X1619" s="586" t="str">
        <f t="shared" si="390"/>
        <v/>
      </c>
      <c r="Y1619" s="586" t="str">
        <f t="shared" si="384"/>
        <v/>
      </c>
      <c r="Z1619" s="586" t="str">
        <f t="shared" ref="Z1619:Z1682" si="393">IF(W1619="X","x",IF(U1619&gt;0,"x",""))</f>
        <v/>
      </c>
    </row>
    <row r="1620" spans="1:26" ht="23.25" hidden="1" thickBot="1" x14ac:dyDescent="0.25">
      <c r="A1620" s="567">
        <v>98276</v>
      </c>
      <c r="B1620" s="644">
        <v>98276</v>
      </c>
      <c r="C1620" s="645" t="s">
        <v>670</v>
      </c>
      <c r="D1620" s="422" t="s">
        <v>1466</v>
      </c>
      <c r="E1620" s="423"/>
      <c r="F1620" s="424"/>
      <c r="G1620" s="425"/>
      <c r="H1620" s="651"/>
      <c r="I1620" s="420">
        <v>8.8000000000000007</v>
      </c>
      <c r="J1620" s="420">
        <f t="shared" si="392"/>
        <v>8.8000000000000007</v>
      </c>
      <c r="K1620" s="421">
        <f t="shared" si="391"/>
        <v>10.46</v>
      </c>
      <c r="L1620" s="647" t="s">
        <v>79</v>
      </c>
      <c r="M1620" s="576"/>
      <c r="N1620" s="576">
        <f t="shared" ref="N1620:N1683" si="394">IF(M1620=0,0,K1620)</f>
        <v>0</v>
      </c>
      <c r="O1620" s="577">
        <f t="shared" si="388"/>
        <v>0</v>
      </c>
      <c r="P1620" s="578">
        <f t="shared" si="389"/>
        <v>0</v>
      </c>
      <c r="Q1620" s="765"/>
      <c r="R1620" s="576">
        <f t="shared" si="385"/>
        <v>0</v>
      </c>
      <c r="S1620" s="576">
        <f t="shared" si="385"/>
        <v>0</v>
      </c>
      <c r="T1620" s="577">
        <f t="shared" si="386"/>
        <v>0</v>
      </c>
      <c r="U1620" s="578">
        <f t="shared" si="387"/>
        <v>0</v>
      </c>
      <c r="V1620" s="579"/>
      <c r="W1620" s="566"/>
      <c r="X1620" s="586" t="str">
        <f t="shared" si="390"/>
        <v/>
      </c>
      <c r="Y1620" s="586" t="str">
        <f t="shared" si="384"/>
        <v/>
      </c>
      <c r="Z1620" s="586" t="str">
        <f t="shared" si="393"/>
        <v/>
      </c>
    </row>
    <row r="1621" spans="1:26" ht="23.25" hidden="1" thickBot="1" x14ac:dyDescent="0.25">
      <c r="A1621" s="567">
        <v>98277</v>
      </c>
      <c r="B1621" s="644">
        <v>98277</v>
      </c>
      <c r="C1621" s="645" t="s">
        <v>670</v>
      </c>
      <c r="D1621" s="422" t="s">
        <v>1467</v>
      </c>
      <c r="E1621" s="423"/>
      <c r="F1621" s="424"/>
      <c r="G1621" s="425"/>
      <c r="H1621" s="651"/>
      <c r="I1621" s="420">
        <v>15.87</v>
      </c>
      <c r="J1621" s="420">
        <f t="shared" si="392"/>
        <v>15.87</v>
      </c>
      <c r="K1621" s="421">
        <f t="shared" si="391"/>
        <v>18.86</v>
      </c>
      <c r="L1621" s="647" t="s">
        <v>79</v>
      </c>
      <c r="M1621" s="576"/>
      <c r="N1621" s="576">
        <f t="shared" si="394"/>
        <v>0</v>
      </c>
      <c r="O1621" s="577">
        <f t="shared" si="388"/>
        <v>0</v>
      </c>
      <c r="P1621" s="578">
        <f t="shared" si="389"/>
        <v>0</v>
      </c>
      <c r="Q1621" s="765"/>
      <c r="R1621" s="576">
        <f t="shared" si="385"/>
        <v>0</v>
      </c>
      <c r="S1621" s="576">
        <f t="shared" si="385"/>
        <v>0</v>
      </c>
      <c r="T1621" s="577">
        <f t="shared" si="386"/>
        <v>0</v>
      </c>
      <c r="U1621" s="578">
        <f t="shared" si="387"/>
        <v>0</v>
      </c>
      <c r="V1621" s="579"/>
      <c r="W1621" s="566"/>
      <c r="X1621" s="586" t="str">
        <f t="shared" si="390"/>
        <v/>
      </c>
      <c r="Y1621" s="586" t="str">
        <f t="shared" si="384"/>
        <v/>
      </c>
      <c r="Z1621" s="586" t="str">
        <f t="shared" si="393"/>
        <v/>
      </c>
    </row>
    <row r="1622" spans="1:26" ht="23.25" hidden="1" thickBot="1" x14ac:dyDescent="0.25">
      <c r="A1622" s="567">
        <v>98278</v>
      </c>
      <c r="B1622" s="644">
        <v>98278</v>
      </c>
      <c r="C1622" s="645" t="s">
        <v>670</v>
      </c>
      <c r="D1622" s="422" t="s">
        <v>1468</v>
      </c>
      <c r="E1622" s="423"/>
      <c r="F1622" s="424"/>
      <c r="G1622" s="425"/>
      <c r="H1622" s="651"/>
      <c r="I1622" s="420">
        <v>22.71</v>
      </c>
      <c r="J1622" s="420">
        <f t="shared" si="392"/>
        <v>22.71</v>
      </c>
      <c r="K1622" s="421">
        <f t="shared" si="391"/>
        <v>26.98</v>
      </c>
      <c r="L1622" s="647" t="s">
        <v>79</v>
      </c>
      <c r="M1622" s="576"/>
      <c r="N1622" s="576">
        <f t="shared" si="394"/>
        <v>0</v>
      </c>
      <c r="O1622" s="577">
        <f t="shared" si="388"/>
        <v>0</v>
      </c>
      <c r="P1622" s="578">
        <f t="shared" si="389"/>
        <v>0</v>
      </c>
      <c r="Q1622" s="765"/>
      <c r="R1622" s="576">
        <f t="shared" si="385"/>
        <v>0</v>
      </c>
      <c r="S1622" s="576">
        <f t="shared" si="385"/>
        <v>0</v>
      </c>
      <c r="T1622" s="577">
        <f t="shared" si="386"/>
        <v>0</v>
      </c>
      <c r="U1622" s="578">
        <f t="shared" si="387"/>
        <v>0</v>
      </c>
      <c r="V1622" s="579"/>
      <c r="W1622" s="566"/>
      <c r="X1622" s="586" t="str">
        <f t="shared" si="390"/>
        <v/>
      </c>
      <c r="Y1622" s="586" t="str">
        <f t="shared" si="384"/>
        <v/>
      </c>
      <c r="Z1622" s="586" t="str">
        <f t="shared" si="393"/>
        <v/>
      </c>
    </row>
    <row r="1623" spans="1:26" ht="23.25" hidden="1" thickBot="1" x14ac:dyDescent="0.25">
      <c r="A1623" s="567">
        <v>98279</v>
      </c>
      <c r="B1623" s="644">
        <v>98279</v>
      </c>
      <c r="C1623" s="645" t="s">
        <v>670</v>
      </c>
      <c r="D1623" s="422" t="s">
        <v>1469</v>
      </c>
      <c r="E1623" s="423"/>
      <c r="F1623" s="424"/>
      <c r="G1623" s="425"/>
      <c r="H1623" s="651"/>
      <c r="I1623" s="420">
        <v>35.619999999999997</v>
      </c>
      <c r="J1623" s="420">
        <f t="shared" si="392"/>
        <v>35.619999999999997</v>
      </c>
      <c r="K1623" s="421">
        <f t="shared" si="391"/>
        <v>42.32</v>
      </c>
      <c r="L1623" s="647" t="s">
        <v>79</v>
      </c>
      <c r="M1623" s="576"/>
      <c r="N1623" s="576">
        <f t="shared" si="394"/>
        <v>0</v>
      </c>
      <c r="O1623" s="577">
        <f t="shared" si="388"/>
        <v>0</v>
      </c>
      <c r="P1623" s="578">
        <f t="shared" si="389"/>
        <v>0</v>
      </c>
      <c r="Q1623" s="765"/>
      <c r="R1623" s="576">
        <f t="shared" si="385"/>
        <v>0</v>
      </c>
      <c r="S1623" s="576">
        <f t="shared" si="385"/>
        <v>0</v>
      </c>
      <c r="T1623" s="577">
        <f t="shared" si="386"/>
        <v>0</v>
      </c>
      <c r="U1623" s="578">
        <f t="shared" si="387"/>
        <v>0</v>
      </c>
      <c r="V1623" s="579"/>
      <c r="W1623" s="566"/>
      <c r="X1623" s="586" t="str">
        <f t="shared" si="390"/>
        <v/>
      </c>
      <c r="Y1623" s="586" t="str">
        <f t="shared" si="384"/>
        <v/>
      </c>
      <c r="Z1623" s="586" t="str">
        <f t="shared" si="393"/>
        <v/>
      </c>
    </row>
    <row r="1624" spans="1:26" ht="23.25" hidden="1" thickBot="1" x14ac:dyDescent="0.25">
      <c r="A1624" s="567">
        <v>98286</v>
      </c>
      <c r="B1624" s="644">
        <v>98286</v>
      </c>
      <c r="C1624" s="645" t="s">
        <v>670</v>
      </c>
      <c r="D1624" s="422" t="s">
        <v>1470</v>
      </c>
      <c r="E1624" s="423"/>
      <c r="F1624" s="424"/>
      <c r="G1624" s="425"/>
      <c r="H1624" s="651"/>
      <c r="I1624" s="420">
        <v>15.99</v>
      </c>
      <c r="J1624" s="420">
        <f t="shared" si="392"/>
        <v>15.99</v>
      </c>
      <c r="K1624" s="421">
        <f t="shared" si="391"/>
        <v>19</v>
      </c>
      <c r="L1624" s="647" t="s">
        <v>79</v>
      </c>
      <c r="M1624" s="576"/>
      <c r="N1624" s="576">
        <f t="shared" si="394"/>
        <v>0</v>
      </c>
      <c r="O1624" s="577">
        <f t="shared" si="388"/>
        <v>0</v>
      </c>
      <c r="P1624" s="578">
        <f t="shared" si="389"/>
        <v>0</v>
      </c>
      <c r="Q1624" s="765"/>
      <c r="R1624" s="576">
        <f t="shared" si="385"/>
        <v>0</v>
      </c>
      <c r="S1624" s="576">
        <f t="shared" si="385"/>
        <v>0</v>
      </c>
      <c r="T1624" s="577">
        <f t="shared" si="386"/>
        <v>0</v>
      </c>
      <c r="U1624" s="578">
        <f t="shared" si="387"/>
        <v>0</v>
      </c>
      <c r="V1624" s="579"/>
      <c r="W1624" s="566"/>
      <c r="X1624" s="586" t="str">
        <f t="shared" si="390"/>
        <v/>
      </c>
      <c r="Y1624" s="586" t="str">
        <f t="shared" si="384"/>
        <v/>
      </c>
      <c r="Z1624" s="586" t="str">
        <f t="shared" si="393"/>
        <v/>
      </c>
    </row>
    <row r="1625" spans="1:26" ht="23.25" hidden="1" thickBot="1" x14ac:dyDescent="0.25">
      <c r="A1625" s="567">
        <v>98293</v>
      </c>
      <c r="B1625" s="644">
        <v>98293</v>
      </c>
      <c r="C1625" s="645" t="s">
        <v>670</v>
      </c>
      <c r="D1625" s="422" t="s">
        <v>1471</v>
      </c>
      <c r="E1625" s="423"/>
      <c r="F1625" s="424"/>
      <c r="G1625" s="425"/>
      <c r="H1625" s="651"/>
      <c r="I1625" s="420">
        <v>9.52</v>
      </c>
      <c r="J1625" s="420">
        <f t="shared" si="392"/>
        <v>9.52</v>
      </c>
      <c r="K1625" s="421">
        <f t="shared" si="391"/>
        <v>11.31</v>
      </c>
      <c r="L1625" s="647" t="s">
        <v>79</v>
      </c>
      <c r="M1625" s="576"/>
      <c r="N1625" s="576">
        <f t="shared" si="394"/>
        <v>0</v>
      </c>
      <c r="O1625" s="577">
        <f t="shared" si="388"/>
        <v>0</v>
      </c>
      <c r="P1625" s="578">
        <f t="shared" si="389"/>
        <v>0</v>
      </c>
      <c r="Q1625" s="765"/>
      <c r="R1625" s="576">
        <f t="shared" si="385"/>
        <v>0</v>
      </c>
      <c r="S1625" s="576">
        <f t="shared" si="385"/>
        <v>0</v>
      </c>
      <c r="T1625" s="577">
        <f t="shared" si="386"/>
        <v>0</v>
      </c>
      <c r="U1625" s="578">
        <f t="shared" si="387"/>
        <v>0</v>
      </c>
      <c r="V1625" s="579"/>
      <c r="W1625" s="566"/>
      <c r="X1625" s="586" t="str">
        <f t="shared" si="390"/>
        <v/>
      </c>
      <c r="Y1625" s="586" t="str">
        <f t="shared" si="384"/>
        <v/>
      </c>
      <c r="Z1625" s="586" t="str">
        <f t="shared" si="393"/>
        <v/>
      </c>
    </row>
    <row r="1626" spans="1:26" ht="23.25" hidden="1" thickBot="1" x14ac:dyDescent="0.25">
      <c r="A1626" s="567">
        <v>98261</v>
      </c>
      <c r="B1626" s="644">
        <v>98261</v>
      </c>
      <c r="C1626" s="645" t="s">
        <v>670</v>
      </c>
      <c r="D1626" s="422" t="s">
        <v>1472</v>
      </c>
      <c r="E1626" s="423"/>
      <c r="F1626" s="424"/>
      <c r="G1626" s="425"/>
      <c r="H1626" s="651"/>
      <c r="I1626" s="420">
        <v>4</v>
      </c>
      <c r="J1626" s="420">
        <f t="shared" si="392"/>
        <v>4</v>
      </c>
      <c r="K1626" s="421">
        <f t="shared" si="391"/>
        <v>4.75</v>
      </c>
      <c r="L1626" s="647" t="s">
        <v>79</v>
      </c>
      <c r="M1626" s="576"/>
      <c r="N1626" s="576">
        <f t="shared" si="394"/>
        <v>0</v>
      </c>
      <c r="O1626" s="577">
        <f t="shared" si="388"/>
        <v>0</v>
      </c>
      <c r="P1626" s="578">
        <f t="shared" si="389"/>
        <v>0</v>
      </c>
      <c r="Q1626" s="765"/>
      <c r="R1626" s="576">
        <f t="shared" si="385"/>
        <v>0</v>
      </c>
      <c r="S1626" s="576">
        <f t="shared" si="385"/>
        <v>0</v>
      </c>
      <c r="T1626" s="577">
        <f t="shared" si="386"/>
        <v>0</v>
      </c>
      <c r="U1626" s="578">
        <f t="shared" si="387"/>
        <v>0</v>
      </c>
      <c r="V1626" s="579"/>
      <c r="W1626" s="566"/>
      <c r="X1626" s="586" t="str">
        <f t="shared" si="390"/>
        <v/>
      </c>
      <c r="Y1626" s="586" t="str">
        <f t="shared" si="384"/>
        <v/>
      </c>
      <c r="Z1626" s="586" t="str">
        <f t="shared" si="393"/>
        <v/>
      </c>
    </row>
    <row r="1627" spans="1:26" ht="23.25" hidden="1" thickBot="1" x14ac:dyDescent="0.25">
      <c r="A1627" s="567">
        <v>98262</v>
      </c>
      <c r="B1627" s="644">
        <v>98262</v>
      </c>
      <c r="C1627" s="645" t="s">
        <v>670</v>
      </c>
      <c r="D1627" s="422" t="s">
        <v>1473</v>
      </c>
      <c r="E1627" s="423"/>
      <c r="F1627" s="424"/>
      <c r="G1627" s="425"/>
      <c r="H1627" s="651"/>
      <c r="I1627" s="420">
        <v>4.8899999999999997</v>
      </c>
      <c r="J1627" s="420">
        <f t="shared" si="392"/>
        <v>4.8899999999999997</v>
      </c>
      <c r="K1627" s="421">
        <f t="shared" si="391"/>
        <v>5.81</v>
      </c>
      <c r="L1627" s="647" t="s">
        <v>79</v>
      </c>
      <c r="M1627" s="576"/>
      <c r="N1627" s="576">
        <f t="shared" si="394"/>
        <v>0</v>
      </c>
      <c r="O1627" s="577">
        <f t="shared" si="388"/>
        <v>0</v>
      </c>
      <c r="P1627" s="578">
        <f t="shared" si="389"/>
        <v>0</v>
      </c>
      <c r="Q1627" s="765"/>
      <c r="R1627" s="576">
        <f t="shared" si="385"/>
        <v>0</v>
      </c>
      <c r="S1627" s="576">
        <f t="shared" si="385"/>
        <v>0</v>
      </c>
      <c r="T1627" s="577">
        <f t="shared" si="386"/>
        <v>0</v>
      </c>
      <c r="U1627" s="578">
        <f t="shared" si="387"/>
        <v>0</v>
      </c>
      <c r="V1627" s="579"/>
      <c r="W1627" s="566"/>
      <c r="X1627" s="586" t="str">
        <f t="shared" si="390"/>
        <v/>
      </c>
      <c r="Y1627" s="586" t="str">
        <f t="shared" si="384"/>
        <v/>
      </c>
      <c r="Z1627" s="586" t="str">
        <f t="shared" si="393"/>
        <v/>
      </c>
    </row>
    <row r="1628" spans="1:26" ht="23.25" hidden="1" thickBot="1" x14ac:dyDescent="0.25">
      <c r="A1628" s="567">
        <v>98263</v>
      </c>
      <c r="B1628" s="644">
        <v>98263</v>
      </c>
      <c r="C1628" s="645" t="s">
        <v>670</v>
      </c>
      <c r="D1628" s="422" t="s">
        <v>1474</v>
      </c>
      <c r="E1628" s="423"/>
      <c r="F1628" s="424"/>
      <c r="G1628" s="425"/>
      <c r="H1628" s="651"/>
      <c r="I1628" s="420">
        <v>5.12</v>
      </c>
      <c r="J1628" s="420">
        <f t="shared" si="392"/>
        <v>5.12</v>
      </c>
      <c r="K1628" s="421">
        <f t="shared" si="391"/>
        <v>6.08</v>
      </c>
      <c r="L1628" s="647" t="s">
        <v>79</v>
      </c>
      <c r="M1628" s="576"/>
      <c r="N1628" s="576">
        <f t="shared" si="394"/>
        <v>0</v>
      </c>
      <c r="O1628" s="577">
        <f t="shared" si="388"/>
        <v>0</v>
      </c>
      <c r="P1628" s="578">
        <f t="shared" si="389"/>
        <v>0</v>
      </c>
      <c r="Q1628" s="765"/>
      <c r="R1628" s="576">
        <f t="shared" si="385"/>
        <v>0</v>
      </c>
      <c r="S1628" s="576">
        <f t="shared" si="385"/>
        <v>0</v>
      </c>
      <c r="T1628" s="577">
        <f t="shared" si="386"/>
        <v>0</v>
      </c>
      <c r="U1628" s="578">
        <f t="shared" si="387"/>
        <v>0</v>
      </c>
      <c r="V1628" s="579"/>
      <c r="W1628" s="566"/>
      <c r="X1628" s="586" t="str">
        <f t="shared" si="390"/>
        <v/>
      </c>
      <c r="Y1628" s="586" t="str">
        <f t="shared" si="384"/>
        <v/>
      </c>
      <c r="Z1628" s="586" t="str">
        <f t="shared" si="393"/>
        <v/>
      </c>
    </row>
    <row r="1629" spans="1:26" ht="23.25" hidden="1" thickBot="1" x14ac:dyDescent="0.25">
      <c r="A1629" s="567">
        <v>98264</v>
      </c>
      <c r="B1629" s="644">
        <v>98264</v>
      </c>
      <c r="C1629" s="645" t="s">
        <v>670</v>
      </c>
      <c r="D1629" s="422" t="s">
        <v>1475</v>
      </c>
      <c r="E1629" s="423"/>
      <c r="F1629" s="424"/>
      <c r="G1629" s="425"/>
      <c r="H1629" s="651"/>
      <c r="I1629" s="420">
        <v>6.09</v>
      </c>
      <c r="J1629" s="420">
        <f t="shared" si="392"/>
        <v>6.09</v>
      </c>
      <c r="K1629" s="421">
        <f t="shared" si="391"/>
        <v>7.24</v>
      </c>
      <c r="L1629" s="647" t="s">
        <v>79</v>
      </c>
      <c r="M1629" s="576"/>
      <c r="N1629" s="576">
        <f t="shared" si="394"/>
        <v>0</v>
      </c>
      <c r="O1629" s="577">
        <f t="shared" si="388"/>
        <v>0</v>
      </c>
      <c r="P1629" s="578">
        <f t="shared" si="389"/>
        <v>0</v>
      </c>
      <c r="Q1629" s="765"/>
      <c r="R1629" s="576">
        <f t="shared" si="385"/>
        <v>0</v>
      </c>
      <c r="S1629" s="576">
        <f t="shared" si="385"/>
        <v>0</v>
      </c>
      <c r="T1629" s="577">
        <f t="shared" si="386"/>
        <v>0</v>
      </c>
      <c r="U1629" s="578">
        <f t="shared" si="387"/>
        <v>0</v>
      </c>
      <c r="V1629" s="579"/>
      <c r="W1629" s="566"/>
      <c r="X1629" s="586" t="str">
        <f t="shared" si="390"/>
        <v/>
      </c>
      <c r="Y1629" s="586" t="str">
        <f t="shared" si="384"/>
        <v/>
      </c>
      <c r="Z1629" s="586" t="str">
        <f t="shared" si="393"/>
        <v/>
      </c>
    </row>
    <row r="1630" spans="1:26" ht="23.25" hidden="1" thickBot="1" x14ac:dyDescent="0.25">
      <c r="A1630" s="567">
        <v>98265</v>
      </c>
      <c r="B1630" s="644">
        <v>98265</v>
      </c>
      <c r="C1630" s="645" t="s">
        <v>670</v>
      </c>
      <c r="D1630" s="422" t="s">
        <v>1476</v>
      </c>
      <c r="E1630" s="423"/>
      <c r="F1630" s="424"/>
      <c r="G1630" s="425"/>
      <c r="H1630" s="651"/>
      <c r="I1630" s="420">
        <v>6.72</v>
      </c>
      <c r="J1630" s="420">
        <f t="shared" si="392"/>
        <v>6.72</v>
      </c>
      <c r="K1630" s="421">
        <f t="shared" si="391"/>
        <v>7.98</v>
      </c>
      <c r="L1630" s="647" t="s">
        <v>79</v>
      </c>
      <c r="M1630" s="576"/>
      <c r="N1630" s="576">
        <f t="shared" si="394"/>
        <v>0</v>
      </c>
      <c r="O1630" s="577">
        <f t="shared" si="388"/>
        <v>0</v>
      </c>
      <c r="P1630" s="578">
        <f t="shared" si="389"/>
        <v>0</v>
      </c>
      <c r="Q1630" s="765"/>
      <c r="R1630" s="576">
        <f t="shared" si="385"/>
        <v>0</v>
      </c>
      <c r="S1630" s="576">
        <f t="shared" si="385"/>
        <v>0</v>
      </c>
      <c r="T1630" s="577">
        <f t="shared" si="386"/>
        <v>0</v>
      </c>
      <c r="U1630" s="578">
        <f t="shared" si="387"/>
        <v>0</v>
      </c>
      <c r="V1630" s="579"/>
      <c r="W1630" s="566"/>
      <c r="X1630" s="586" t="str">
        <f t="shared" si="390"/>
        <v/>
      </c>
      <c r="Y1630" s="586" t="str">
        <f t="shared" si="384"/>
        <v/>
      </c>
      <c r="Z1630" s="586" t="str">
        <f t="shared" si="393"/>
        <v/>
      </c>
    </row>
    <row r="1631" spans="1:26" ht="23.25" hidden="1" thickBot="1" x14ac:dyDescent="0.25">
      <c r="A1631" s="567">
        <v>98266</v>
      </c>
      <c r="B1631" s="644">
        <v>98266</v>
      </c>
      <c r="C1631" s="645" t="s">
        <v>670</v>
      </c>
      <c r="D1631" s="422" t="s">
        <v>1477</v>
      </c>
      <c r="E1631" s="423"/>
      <c r="F1631" s="424"/>
      <c r="G1631" s="425"/>
      <c r="H1631" s="651"/>
      <c r="I1631" s="420">
        <v>7.6</v>
      </c>
      <c r="J1631" s="420">
        <f t="shared" si="392"/>
        <v>7.6</v>
      </c>
      <c r="K1631" s="421">
        <f t="shared" si="391"/>
        <v>9.0299999999999994</v>
      </c>
      <c r="L1631" s="647" t="s">
        <v>79</v>
      </c>
      <c r="M1631" s="576"/>
      <c r="N1631" s="576">
        <f t="shared" si="394"/>
        <v>0</v>
      </c>
      <c r="O1631" s="577">
        <f t="shared" si="388"/>
        <v>0</v>
      </c>
      <c r="P1631" s="578">
        <f t="shared" si="389"/>
        <v>0</v>
      </c>
      <c r="Q1631" s="765"/>
      <c r="R1631" s="576">
        <f t="shared" si="385"/>
        <v>0</v>
      </c>
      <c r="S1631" s="576">
        <f t="shared" si="385"/>
        <v>0</v>
      </c>
      <c r="T1631" s="577">
        <f t="shared" si="386"/>
        <v>0</v>
      </c>
      <c r="U1631" s="578">
        <f t="shared" si="387"/>
        <v>0</v>
      </c>
      <c r="V1631" s="579"/>
      <c r="W1631" s="566"/>
      <c r="X1631" s="586" t="str">
        <f t="shared" si="390"/>
        <v/>
      </c>
      <c r="Y1631" s="586" t="str">
        <f t="shared" si="384"/>
        <v/>
      </c>
      <c r="Z1631" s="586" t="str">
        <f t="shared" si="393"/>
        <v/>
      </c>
    </row>
    <row r="1632" spans="1:26" ht="23.25" hidden="1" thickBot="1" x14ac:dyDescent="0.25">
      <c r="A1632" s="567">
        <v>98273</v>
      </c>
      <c r="B1632" s="644">
        <v>98273</v>
      </c>
      <c r="C1632" s="645" t="s">
        <v>670</v>
      </c>
      <c r="D1632" s="422" t="s">
        <v>1478</v>
      </c>
      <c r="E1632" s="423"/>
      <c r="F1632" s="424"/>
      <c r="G1632" s="425"/>
      <c r="H1632" s="651"/>
      <c r="I1632" s="420">
        <v>2.95</v>
      </c>
      <c r="J1632" s="420">
        <f t="shared" si="392"/>
        <v>2.95</v>
      </c>
      <c r="K1632" s="421">
        <f t="shared" si="391"/>
        <v>3.5</v>
      </c>
      <c r="L1632" s="647" t="s">
        <v>79</v>
      </c>
      <c r="M1632" s="576"/>
      <c r="N1632" s="576">
        <f t="shared" si="394"/>
        <v>0</v>
      </c>
      <c r="O1632" s="577">
        <f t="shared" si="388"/>
        <v>0</v>
      </c>
      <c r="P1632" s="578">
        <f t="shared" si="389"/>
        <v>0</v>
      </c>
      <c r="Q1632" s="765"/>
      <c r="R1632" s="576">
        <f t="shared" si="385"/>
        <v>0</v>
      </c>
      <c r="S1632" s="576">
        <f t="shared" si="385"/>
        <v>0</v>
      </c>
      <c r="T1632" s="577">
        <f t="shared" si="386"/>
        <v>0</v>
      </c>
      <c r="U1632" s="578">
        <f t="shared" si="387"/>
        <v>0</v>
      </c>
      <c r="V1632" s="579"/>
      <c r="W1632" s="566"/>
      <c r="X1632" s="586" t="str">
        <f t="shared" si="390"/>
        <v/>
      </c>
      <c r="Y1632" s="586" t="str">
        <f t="shared" si="384"/>
        <v/>
      </c>
      <c r="Z1632" s="586" t="str">
        <f t="shared" si="393"/>
        <v/>
      </c>
    </row>
    <row r="1633" spans="1:26" ht="23.25" hidden="1" thickBot="1" x14ac:dyDescent="0.25">
      <c r="A1633" s="567">
        <v>98274</v>
      </c>
      <c r="B1633" s="644">
        <v>98274</v>
      </c>
      <c r="C1633" s="645" t="s">
        <v>670</v>
      </c>
      <c r="D1633" s="422" t="s">
        <v>1479</v>
      </c>
      <c r="E1633" s="423"/>
      <c r="F1633" s="424"/>
      <c r="G1633" s="425"/>
      <c r="H1633" s="651"/>
      <c r="I1633" s="420">
        <v>3.57</v>
      </c>
      <c r="J1633" s="420">
        <f t="shared" si="392"/>
        <v>3.57</v>
      </c>
      <c r="K1633" s="421">
        <f t="shared" si="391"/>
        <v>4.24</v>
      </c>
      <c r="L1633" s="647" t="s">
        <v>79</v>
      </c>
      <c r="M1633" s="576"/>
      <c r="N1633" s="576">
        <f t="shared" si="394"/>
        <v>0</v>
      </c>
      <c r="O1633" s="577">
        <f t="shared" si="388"/>
        <v>0</v>
      </c>
      <c r="P1633" s="578">
        <f t="shared" si="389"/>
        <v>0</v>
      </c>
      <c r="Q1633" s="765"/>
      <c r="R1633" s="576">
        <f t="shared" si="385"/>
        <v>0</v>
      </c>
      <c r="S1633" s="576">
        <f t="shared" si="385"/>
        <v>0</v>
      </c>
      <c r="T1633" s="577">
        <f t="shared" si="386"/>
        <v>0</v>
      </c>
      <c r="U1633" s="578">
        <f t="shared" si="387"/>
        <v>0</v>
      </c>
      <c r="V1633" s="579"/>
      <c r="W1633" s="566"/>
      <c r="X1633" s="586" t="str">
        <f t="shared" si="390"/>
        <v/>
      </c>
      <c r="Y1633" s="586" t="str">
        <f t="shared" si="384"/>
        <v/>
      </c>
      <c r="Z1633" s="586" t="str">
        <f t="shared" si="393"/>
        <v/>
      </c>
    </row>
    <row r="1634" spans="1:26" ht="23.25" hidden="1" thickBot="1" x14ac:dyDescent="0.25">
      <c r="A1634" s="567">
        <v>98275</v>
      </c>
      <c r="B1634" s="644">
        <v>98275</v>
      </c>
      <c r="C1634" s="645" t="s">
        <v>670</v>
      </c>
      <c r="D1634" s="422" t="s">
        <v>1480</v>
      </c>
      <c r="E1634" s="423"/>
      <c r="F1634" s="424"/>
      <c r="G1634" s="425"/>
      <c r="H1634" s="651"/>
      <c r="I1634" s="420">
        <v>4.45</v>
      </c>
      <c r="J1634" s="420">
        <f t="shared" si="392"/>
        <v>4.45</v>
      </c>
      <c r="K1634" s="421">
        <f t="shared" si="391"/>
        <v>5.29</v>
      </c>
      <c r="L1634" s="647" t="s">
        <v>79</v>
      </c>
      <c r="M1634" s="576"/>
      <c r="N1634" s="576">
        <f t="shared" si="394"/>
        <v>0</v>
      </c>
      <c r="O1634" s="577">
        <f t="shared" si="388"/>
        <v>0</v>
      </c>
      <c r="P1634" s="578">
        <f t="shared" si="389"/>
        <v>0</v>
      </c>
      <c r="Q1634" s="765"/>
      <c r="R1634" s="576">
        <f t="shared" si="385"/>
        <v>0</v>
      </c>
      <c r="S1634" s="576">
        <f t="shared" si="385"/>
        <v>0</v>
      </c>
      <c r="T1634" s="577">
        <f t="shared" si="386"/>
        <v>0</v>
      </c>
      <c r="U1634" s="578">
        <f t="shared" si="387"/>
        <v>0</v>
      </c>
      <c r="V1634" s="579"/>
      <c r="W1634" s="566"/>
      <c r="X1634" s="586" t="str">
        <f t="shared" si="390"/>
        <v/>
      </c>
      <c r="Y1634" s="586" t="str">
        <f t="shared" si="384"/>
        <v/>
      </c>
      <c r="Z1634" s="586" t="str">
        <f t="shared" si="393"/>
        <v/>
      </c>
    </row>
    <row r="1635" spans="1:26" ht="23.25" hidden="1" thickBot="1" x14ac:dyDescent="0.25">
      <c r="A1635" s="567">
        <v>98280</v>
      </c>
      <c r="B1635" s="644">
        <v>98280</v>
      </c>
      <c r="C1635" s="645" t="s">
        <v>670</v>
      </c>
      <c r="D1635" s="422" t="s">
        <v>1481</v>
      </c>
      <c r="E1635" s="423"/>
      <c r="F1635" s="424"/>
      <c r="G1635" s="425"/>
      <c r="H1635" s="651"/>
      <c r="I1635" s="420">
        <v>8.0500000000000007</v>
      </c>
      <c r="J1635" s="420">
        <f t="shared" si="392"/>
        <v>8.0500000000000007</v>
      </c>
      <c r="K1635" s="421">
        <f t="shared" si="391"/>
        <v>9.56</v>
      </c>
      <c r="L1635" s="647" t="s">
        <v>79</v>
      </c>
      <c r="M1635" s="576"/>
      <c r="N1635" s="576">
        <f t="shared" si="394"/>
        <v>0</v>
      </c>
      <c r="O1635" s="577">
        <f t="shared" si="388"/>
        <v>0</v>
      </c>
      <c r="P1635" s="578">
        <f t="shared" si="389"/>
        <v>0</v>
      </c>
      <c r="Q1635" s="765"/>
      <c r="R1635" s="576">
        <f t="shared" si="385"/>
        <v>0</v>
      </c>
      <c r="S1635" s="576">
        <f t="shared" si="385"/>
        <v>0</v>
      </c>
      <c r="T1635" s="577">
        <f t="shared" si="386"/>
        <v>0</v>
      </c>
      <c r="U1635" s="578">
        <f t="shared" si="387"/>
        <v>0</v>
      </c>
      <c r="V1635" s="579"/>
      <c r="W1635" s="566"/>
      <c r="X1635" s="586" t="str">
        <f t="shared" si="390"/>
        <v/>
      </c>
      <c r="Y1635" s="586" t="str">
        <f t="shared" ref="Y1635:Y1698" si="395">IF(W1635="X","x",IF(W1635="y","x",IF(W1635="xx","x",IF(U1635&gt;0,"x",""))))</f>
        <v/>
      </c>
      <c r="Z1635" s="586" t="str">
        <f t="shared" si="393"/>
        <v/>
      </c>
    </row>
    <row r="1636" spans="1:26" ht="23.25" hidden="1" thickBot="1" x14ac:dyDescent="0.25">
      <c r="A1636" s="567">
        <v>98281</v>
      </c>
      <c r="B1636" s="644">
        <v>98281</v>
      </c>
      <c r="C1636" s="645" t="s">
        <v>670</v>
      </c>
      <c r="D1636" s="422" t="s">
        <v>1482</v>
      </c>
      <c r="E1636" s="423"/>
      <c r="F1636" s="424"/>
      <c r="G1636" s="425"/>
      <c r="H1636" s="651"/>
      <c r="I1636" s="420">
        <v>8.94</v>
      </c>
      <c r="J1636" s="420">
        <f t="shared" si="392"/>
        <v>8.94</v>
      </c>
      <c r="K1636" s="421">
        <f t="shared" si="391"/>
        <v>10.62</v>
      </c>
      <c r="L1636" s="647" t="s">
        <v>79</v>
      </c>
      <c r="M1636" s="576"/>
      <c r="N1636" s="576">
        <f t="shared" si="394"/>
        <v>0</v>
      </c>
      <c r="O1636" s="577">
        <f t="shared" si="388"/>
        <v>0</v>
      </c>
      <c r="P1636" s="578">
        <f t="shared" si="389"/>
        <v>0</v>
      </c>
      <c r="Q1636" s="765"/>
      <c r="R1636" s="576">
        <f t="shared" si="385"/>
        <v>0</v>
      </c>
      <c r="S1636" s="576">
        <f t="shared" si="385"/>
        <v>0</v>
      </c>
      <c r="T1636" s="577">
        <f t="shared" si="386"/>
        <v>0</v>
      </c>
      <c r="U1636" s="578">
        <f t="shared" si="387"/>
        <v>0</v>
      </c>
      <c r="V1636" s="579"/>
      <c r="W1636" s="566"/>
      <c r="X1636" s="586" t="str">
        <f t="shared" si="390"/>
        <v/>
      </c>
      <c r="Y1636" s="586" t="str">
        <f t="shared" si="395"/>
        <v/>
      </c>
      <c r="Z1636" s="586" t="str">
        <f t="shared" si="393"/>
        <v/>
      </c>
    </row>
    <row r="1637" spans="1:26" ht="23.25" hidden="1" thickBot="1" x14ac:dyDescent="0.25">
      <c r="A1637" s="567">
        <v>98282</v>
      </c>
      <c r="B1637" s="644">
        <v>98282</v>
      </c>
      <c r="C1637" s="645" t="s">
        <v>670</v>
      </c>
      <c r="D1637" s="422" t="s">
        <v>1483</v>
      </c>
      <c r="E1637" s="423"/>
      <c r="F1637" s="424"/>
      <c r="G1637" s="425"/>
      <c r="H1637" s="651"/>
      <c r="I1637" s="420">
        <v>9.16</v>
      </c>
      <c r="J1637" s="420">
        <f t="shared" si="392"/>
        <v>9.16</v>
      </c>
      <c r="K1637" s="421">
        <f t="shared" si="391"/>
        <v>10.88</v>
      </c>
      <c r="L1637" s="647" t="s">
        <v>79</v>
      </c>
      <c r="M1637" s="576"/>
      <c r="N1637" s="576">
        <f t="shared" si="394"/>
        <v>0</v>
      </c>
      <c r="O1637" s="577">
        <f t="shared" si="388"/>
        <v>0</v>
      </c>
      <c r="P1637" s="578">
        <f t="shared" si="389"/>
        <v>0</v>
      </c>
      <c r="Q1637" s="765"/>
      <c r="R1637" s="576">
        <f t="shared" si="385"/>
        <v>0</v>
      </c>
      <c r="S1637" s="576">
        <f t="shared" si="385"/>
        <v>0</v>
      </c>
      <c r="T1637" s="577">
        <f t="shared" si="386"/>
        <v>0</v>
      </c>
      <c r="U1637" s="578">
        <f t="shared" si="387"/>
        <v>0</v>
      </c>
      <c r="V1637" s="579"/>
      <c r="W1637" s="566"/>
      <c r="X1637" s="586" t="str">
        <f t="shared" si="390"/>
        <v/>
      </c>
      <c r="Y1637" s="586" t="str">
        <f t="shared" si="395"/>
        <v/>
      </c>
      <c r="Z1637" s="586" t="str">
        <f t="shared" si="393"/>
        <v/>
      </c>
    </row>
    <row r="1638" spans="1:26" ht="23.25" hidden="1" thickBot="1" x14ac:dyDescent="0.25">
      <c r="A1638" s="567">
        <v>98283</v>
      </c>
      <c r="B1638" s="644">
        <v>98283</v>
      </c>
      <c r="C1638" s="645" t="s">
        <v>670</v>
      </c>
      <c r="D1638" s="422" t="s">
        <v>1484</v>
      </c>
      <c r="E1638" s="423"/>
      <c r="F1638" s="424"/>
      <c r="G1638" s="425"/>
      <c r="H1638" s="651"/>
      <c r="I1638" s="420">
        <v>10.14</v>
      </c>
      <c r="J1638" s="420">
        <f t="shared" si="392"/>
        <v>10.14</v>
      </c>
      <c r="K1638" s="421">
        <f t="shared" si="391"/>
        <v>12.05</v>
      </c>
      <c r="L1638" s="647" t="s">
        <v>79</v>
      </c>
      <c r="M1638" s="576"/>
      <c r="N1638" s="576">
        <f t="shared" si="394"/>
        <v>0</v>
      </c>
      <c r="O1638" s="577">
        <f t="shared" si="388"/>
        <v>0</v>
      </c>
      <c r="P1638" s="578">
        <f t="shared" si="389"/>
        <v>0</v>
      </c>
      <c r="Q1638" s="765"/>
      <c r="R1638" s="576">
        <f t="shared" si="385"/>
        <v>0</v>
      </c>
      <c r="S1638" s="576">
        <f t="shared" si="385"/>
        <v>0</v>
      </c>
      <c r="T1638" s="577">
        <f t="shared" si="386"/>
        <v>0</v>
      </c>
      <c r="U1638" s="578">
        <f t="shared" si="387"/>
        <v>0</v>
      </c>
      <c r="V1638" s="579"/>
      <c r="W1638" s="566"/>
      <c r="X1638" s="586" t="str">
        <f t="shared" si="390"/>
        <v/>
      </c>
      <c r="Y1638" s="586" t="str">
        <f t="shared" si="395"/>
        <v/>
      </c>
      <c r="Z1638" s="586" t="str">
        <f t="shared" si="393"/>
        <v/>
      </c>
    </row>
    <row r="1639" spans="1:26" ht="23.25" hidden="1" thickBot="1" x14ac:dyDescent="0.25">
      <c r="A1639" s="567">
        <v>98284</v>
      </c>
      <c r="B1639" s="644">
        <v>98284</v>
      </c>
      <c r="C1639" s="645" t="s">
        <v>670</v>
      </c>
      <c r="D1639" s="422" t="s">
        <v>1485</v>
      </c>
      <c r="E1639" s="423"/>
      <c r="F1639" s="424"/>
      <c r="G1639" s="425"/>
      <c r="H1639" s="651"/>
      <c r="I1639" s="420">
        <v>10.76</v>
      </c>
      <c r="J1639" s="420">
        <f t="shared" si="392"/>
        <v>10.76</v>
      </c>
      <c r="K1639" s="421">
        <f t="shared" si="391"/>
        <v>12.78</v>
      </c>
      <c r="L1639" s="647" t="s">
        <v>79</v>
      </c>
      <c r="M1639" s="576"/>
      <c r="N1639" s="576">
        <f t="shared" si="394"/>
        <v>0</v>
      </c>
      <c r="O1639" s="577">
        <f t="shared" si="388"/>
        <v>0</v>
      </c>
      <c r="P1639" s="578">
        <f t="shared" si="389"/>
        <v>0</v>
      </c>
      <c r="Q1639" s="765"/>
      <c r="R1639" s="576">
        <f t="shared" si="385"/>
        <v>0</v>
      </c>
      <c r="S1639" s="576">
        <f t="shared" si="385"/>
        <v>0</v>
      </c>
      <c r="T1639" s="577">
        <f t="shared" si="386"/>
        <v>0</v>
      </c>
      <c r="U1639" s="578">
        <f t="shared" si="387"/>
        <v>0</v>
      </c>
      <c r="V1639" s="579"/>
      <c r="W1639" s="566"/>
      <c r="X1639" s="586" t="str">
        <f t="shared" si="390"/>
        <v/>
      </c>
      <c r="Y1639" s="586" t="str">
        <f t="shared" si="395"/>
        <v/>
      </c>
      <c r="Z1639" s="586" t="str">
        <f t="shared" si="393"/>
        <v/>
      </c>
    </row>
    <row r="1640" spans="1:26" ht="23.25" hidden="1" thickBot="1" x14ac:dyDescent="0.25">
      <c r="A1640" s="567">
        <v>98285</v>
      </c>
      <c r="B1640" s="644">
        <v>98285</v>
      </c>
      <c r="C1640" s="645" t="s">
        <v>670</v>
      </c>
      <c r="D1640" s="422" t="s">
        <v>1486</v>
      </c>
      <c r="E1640" s="423"/>
      <c r="F1640" s="424"/>
      <c r="G1640" s="425"/>
      <c r="H1640" s="651"/>
      <c r="I1640" s="420">
        <v>11.65</v>
      </c>
      <c r="J1640" s="420">
        <f t="shared" si="392"/>
        <v>11.65</v>
      </c>
      <c r="K1640" s="421">
        <f t="shared" si="391"/>
        <v>13.84</v>
      </c>
      <c r="L1640" s="647" t="s">
        <v>79</v>
      </c>
      <c r="M1640" s="576"/>
      <c r="N1640" s="576">
        <f t="shared" si="394"/>
        <v>0</v>
      </c>
      <c r="O1640" s="577">
        <f t="shared" si="388"/>
        <v>0</v>
      </c>
      <c r="P1640" s="578">
        <f t="shared" si="389"/>
        <v>0</v>
      </c>
      <c r="Q1640" s="765"/>
      <c r="R1640" s="576">
        <f t="shared" si="385"/>
        <v>0</v>
      </c>
      <c r="S1640" s="576">
        <f t="shared" si="385"/>
        <v>0</v>
      </c>
      <c r="T1640" s="577">
        <f t="shared" si="386"/>
        <v>0</v>
      </c>
      <c r="U1640" s="578">
        <f t="shared" si="387"/>
        <v>0</v>
      </c>
      <c r="V1640" s="579"/>
      <c r="W1640" s="566"/>
      <c r="X1640" s="586" t="str">
        <f t="shared" si="390"/>
        <v/>
      </c>
      <c r="Y1640" s="586" t="str">
        <f t="shared" si="395"/>
        <v/>
      </c>
      <c r="Z1640" s="586" t="str">
        <f t="shared" si="393"/>
        <v/>
      </c>
    </row>
    <row r="1641" spans="1:26" ht="23.25" hidden="1" thickBot="1" x14ac:dyDescent="0.25">
      <c r="A1641" s="567">
        <v>98287</v>
      </c>
      <c r="B1641" s="644">
        <v>98287</v>
      </c>
      <c r="C1641" s="645" t="s">
        <v>670</v>
      </c>
      <c r="D1641" s="422" t="s">
        <v>1487</v>
      </c>
      <c r="E1641" s="423"/>
      <c r="F1641" s="424"/>
      <c r="G1641" s="425"/>
      <c r="H1641" s="651"/>
      <c r="I1641" s="420">
        <v>1.57</v>
      </c>
      <c r="J1641" s="420">
        <f t="shared" si="392"/>
        <v>1.57</v>
      </c>
      <c r="K1641" s="421">
        <f t="shared" si="391"/>
        <v>1.87</v>
      </c>
      <c r="L1641" s="647" t="s">
        <v>79</v>
      </c>
      <c r="M1641" s="576"/>
      <c r="N1641" s="576">
        <f t="shared" si="394"/>
        <v>0</v>
      </c>
      <c r="O1641" s="577">
        <f t="shared" si="388"/>
        <v>0</v>
      </c>
      <c r="P1641" s="578">
        <f t="shared" si="389"/>
        <v>0</v>
      </c>
      <c r="Q1641" s="765"/>
      <c r="R1641" s="576">
        <f t="shared" si="385"/>
        <v>0</v>
      </c>
      <c r="S1641" s="576">
        <f t="shared" si="385"/>
        <v>0</v>
      </c>
      <c r="T1641" s="577">
        <f t="shared" si="386"/>
        <v>0</v>
      </c>
      <c r="U1641" s="578">
        <f t="shared" si="387"/>
        <v>0</v>
      </c>
      <c r="V1641" s="579"/>
      <c r="W1641" s="566"/>
      <c r="X1641" s="586" t="str">
        <f t="shared" si="390"/>
        <v/>
      </c>
      <c r="Y1641" s="586" t="str">
        <f t="shared" si="395"/>
        <v/>
      </c>
      <c r="Z1641" s="586" t="str">
        <f t="shared" si="393"/>
        <v/>
      </c>
    </row>
    <row r="1642" spans="1:26" ht="23.25" hidden="1" thickBot="1" x14ac:dyDescent="0.25">
      <c r="A1642" s="567">
        <v>98288</v>
      </c>
      <c r="B1642" s="644">
        <v>98288</v>
      </c>
      <c r="C1642" s="645" t="s">
        <v>670</v>
      </c>
      <c r="D1642" s="422" t="s">
        <v>1488</v>
      </c>
      <c r="E1642" s="423"/>
      <c r="F1642" s="424"/>
      <c r="G1642" s="425"/>
      <c r="H1642" s="651"/>
      <c r="I1642" s="420">
        <v>2.4700000000000002</v>
      </c>
      <c r="J1642" s="420">
        <f t="shared" si="392"/>
        <v>2.4700000000000002</v>
      </c>
      <c r="K1642" s="421">
        <f t="shared" si="391"/>
        <v>2.93</v>
      </c>
      <c r="L1642" s="647" t="s">
        <v>79</v>
      </c>
      <c r="M1642" s="576"/>
      <c r="N1642" s="576">
        <f t="shared" si="394"/>
        <v>0</v>
      </c>
      <c r="O1642" s="577">
        <f t="shared" si="388"/>
        <v>0</v>
      </c>
      <c r="P1642" s="578">
        <f t="shared" si="389"/>
        <v>0</v>
      </c>
      <c r="Q1642" s="765"/>
      <c r="R1642" s="576">
        <f t="shared" ref="R1642:S1711" si="396">M1642</f>
        <v>0</v>
      </c>
      <c r="S1642" s="576">
        <f t="shared" si="396"/>
        <v>0</v>
      </c>
      <c r="T1642" s="577">
        <f t="shared" si="386"/>
        <v>0</v>
      </c>
      <c r="U1642" s="578">
        <f t="shared" si="387"/>
        <v>0</v>
      </c>
      <c r="V1642" s="579"/>
      <c r="W1642" s="566"/>
      <c r="X1642" s="586" t="str">
        <f t="shared" si="390"/>
        <v/>
      </c>
      <c r="Y1642" s="586" t="str">
        <f t="shared" si="395"/>
        <v/>
      </c>
      <c r="Z1642" s="586" t="str">
        <f t="shared" si="393"/>
        <v/>
      </c>
    </row>
    <row r="1643" spans="1:26" ht="23.25" hidden="1" thickBot="1" x14ac:dyDescent="0.25">
      <c r="A1643" s="567">
        <v>98289</v>
      </c>
      <c r="B1643" s="644">
        <v>98289</v>
      </c>
      <c r="C1643" s="645" t="s">
        <v>670</v>
      </c>
      <c r="D1643" s="422" t="s">
        <v>1489</v>
      </c>
      <c r="E1643" s="423"/>
      <c r="F1643" s="424"/>
      <c r="G1643" s="425"/>
      <c r="H1643" s="651"/>
      <c r="I1643" s="420">
        <v>2.69</v>
      </c>
      <c r="J1643" s="420">
        <f t="shared" si="392"/>
        <v>2.69</v>
      </c>
      <c r="K1643" s="421">
        <f t="shared" si="391"/>
        <v>3.2</v>
      </c>
      <c r="L1643" s="647" t="s">
        <v>79</v>
      </c>
      <c r="M1643" s="576"/>
      <c r="N1643" s="576">
        <f t="shared" si="394"/>
        <v>0</v>
      </c>
      <c r="O1643" s="577">
        <f t="shared" si="388"/>
        <v>0</v>
      </c>
      <c r="P1643" s="578">
        <f t="shared" si="389"/>
        <v>0</v>
      </c>
      <c r="Q1643" s="765"/>
      <c r="R1643" s="576">
        <f t="shared" si="396"/>
        <v>0</v>
      </c>
      <c r="S1643" s="576">
        <f t="shared" si="396"/>
        <v>0</v>
      </c>
      <c r="T1643" s="577">
        <f t="shared" si="386"/>
        <v>0</v>
      </c>
      <c r="U1643" s="578">
        <f t="shared" si="387"/>
        <v>0</v>
      </c>
      <c r="V1643" s="579"/>
      <c r="W1643" s="566"/>
      <c r="X1643" s="586" t="str">
        <f t="shared" si="390"/>
        <v/>
      </c>
      <c r="Y1643" s="586" t="str">
        <f t="shared" si="395"/>
        <v/>
      </c>
      <c r="Z1643" s="586" t="str">
        <f t="shared" si="393"/>
        <v/>
      </c>
    </row>
    <row r="1644" spans="1:26" ht="23.25" hidden="1" thickBot="1" x14ac:dyDescent="0.25">
      <c r="A1644" s="567">
        <v>98290</v>
      </c>
      <c r="B1644" s="644">
        <v>98290</v>
      </c>
      <c r="C1644" s="645" t="s">
        <v>670</v>
      </c>
      <c r="D1644" s="422" t="s">
        <v>1490</v>
      </c>
      <c r="E1644" s="423"/>
      <c r="F1644" s="424"/>
      <c r="G1644" s="425"/>
      <c r="H1644" s="651"/>
      <c r="I1644" s="420">
        <v>3.66</v>
      </c>
      <c r="J1644" s="420">
        <f t="shared" si="392"/>
        <v>3.66</v>
      </c>
      <c r="K1644" s="421">
        <f t="shared" si="391"/>
        <v>4.3499999999999996</v>
      </c>
      <c r="L1644" s="647" t="s">
        <v>79</v>
      </c>
      <c r="M1644" s="576"/>
      <c r="N1644" s="576">
        <f t="shared" si="394"/>
        <v>0</v>
      </c>
      <c r="O1644" s="577">
        <f t="shared" si="388"/>
        <v>0</v>
      </c>
      <c r="P1644" s="578">
        <f t="shared" si="389"/>
        <v>0</v>
      </c>
      <c r="Q1644" s="765"/>
      <c r="R1644" s="576">
        <f t="shared" si="396"/>
        <v>0</v>
      </c>
      <c r="S1644" s="576">
        <f t="shared" si="396"/>
        <v>0</v>
      </c>
      <c r="T1644" s="577">
        <f t="shared" si="386"/>
        <v>0</v>
      </c>
      <c r="U1644" s="578">
        <f t="shared" si="387"/>
        <v>0</v>
      </c>
      <c r="V1644" s="579"/>
      <c r="W1644" s="566"/>
      <c r="X1644" s="586" t="str">
        <f t="shared" si="390"/>
        <v/>
      </c>
      <c r="Y1644" s="586" t="str">
        <f t="shared" si="395"/>
        <v/>
      </c>
      <c r="Z1644" s="586" t="str">
        <f t="shared" si="393"/>
        <v/>
      </c>
    </row>
    <row r="1645" spans="1:26" ht="23.25" hidden="1" thickBot="1" x14ac:dyDescent="0.25">
      <c r="A1645" s="567">
        <v>98291</v>
      </c>
      <c r="B1645" s="644">
        <v>98291</v>
      </c>
      <c r="C1645" s="645" t="s">
        <v>670</v>
      </c>
      <c r="D1645" s="422" t="s">
        <v>1491</v>
      </c>
      <c r="E1645" s="423"/>
      <c r="F1645" s="424"/>
      <c r="G1645" s="425"/>
      <c r="H1645" s="651"/>
      <c r="I1645" s="420">
        <v>4.29</v>
      </c>
      <c r="J1645" s="420">
        <f t="shared" si="392"/>
        <v>4.29</v>
      </c>
      <c r="K1645" s="421">
        <f t="shared" si="391"/>
        <v>5.0999999999999996</v>
      </c>
      <c r="L1645" s="647" t="s">
        <v>79</v>
      </c>
      <c r="M1645" s="576"/>
      <c r="N1645" s="576">
        <f t="shared" si="394"/>
        <v>0</v>
      </c>
      <c r="O1645" s="577">
        <f t="shared" si="388"/>
        <v>0</v>
      </c>
      <c r="P1645" s="578">
        <f t="shared" si="389"/>
        <v>0</v>
      </c>
      <c r="Q1645" s="765"/>
      <c r="R1645" s="576">
        <f t="shared" si="396"/>
        <v>0</v>
      </c>
      <c r="S1645" s="576">
        <f t="shared" si="396"/>
        <v>0</v>
      </c>
      <c r="T1645" s="577">
        <f t="shared" si="386"/>
        <v>0</v>
      </c>
      <c r="U1645" s="578">
        <f t="shared" si="387"/>
        <v>0</v>
      </c>
      <c r="V1645" s="579"/>
      <c r="W1645" s="566"/>
      <c r="X1645" s="586" t="str">
        <f t="shared" si="390"/>
        <v/>
      </c>
      <c r="Y1645" s="586" t="str">
        <f t="shared" si="395"/>
        <v/>
      </c>
      <c r="Z1645" s="586" t="str">
        <f t="shared" si="393"/>
        <v/>
      </c>
    </row>
    <row r="1646" spans="1:26" ht="23.25" hidden="1" thickBot="1" x14ac:dyDescent="0.25">
      <c r="A1646" s="567">
        <v>98292</v>
      </c>
      <c r="B1646" s="644">
        <v>98292</v>
      </c>
      <c r="C1646" s="645" t="s">
        <v>670</v>
      </c>
      <c r="D1646" s="422" t="s">
        <v>1492</v>
      </c>
      <c r="E1646" s="423"/>
      <c r="F1646" s="424"/>
      <c r="G1646" s="425"/>
      <c r="H1646" s="651"/>
      <c r="I1646" s="420">
        <v>5.17</v>
      </c>
      <c r="J1646" s="420">
        <f t="shared" si="392"/>
        <v>5.17</v>
      </c>
      <c r="K1646" s="421">
        <f t="shared" si="391"/>
        <v>6.14</v>
      </c>
      <c r="L1646" s="647" t="s">
        <v>79</v>
      </c>
      <c r="M1646" s="576"/>
      <c r="N1646" s="576">
        <f t="shared" si="394"/>
        <v>0</v>
      </c>
      <c r="O1646" s="577">
        <f t="shared" si="388"/>
        <v>0</v>
      </c>
      <c r="P1646" s="578">
        <f t="shared" si="389"/>
        <v>0</v>
      </c>
      <c r="Q1646" s="765"/>
      <c r="R1646" s="576">
        <f t="shared" si="396"/>
        <v>0</v>
      </c>
      <c r="S1646" s="576">
        <f t="shared" si="396"/>
        <v>0</v>
      </c>
      <c r="T1646" s="577">
        <f t="shared" si="386"/>
        <v>0</v>
      </c>
      <c r="U1646" s="578">
        <f t="shared" si="387"/>
        <v>0</v>
      </c>
      <c r="V1646" s="579"/>
      <c r="W1646" s="566"/>
      <c r="X1646" s="586" t="str">
        <f t="shared" si="390"/>
        <v/>
      </c>
      <c r="Y1646" s="586" t="str">
        <f t="shared" si="395"/>
        <v/>
      </c>
      <c r="Z1646" s="586" t="str">
        <f t="shared" si="393"/>
        <v/>
      </c>
    </row>
    <row r="1647" spans="1:26" ht="12" hidden="1" thickBot="1" x14ac:dyDescent="0.25">
      <c r="A1647" s="567">
        <v>98397</v>
      </c>
      <c r="B1647" s="644">
        <v>98397</v>
      </c>
      <c r="C1647" s="645" t="s">
        <v>670</v>
      </c>
      <c r="D1647" s="422" t="s">
        <v>1493</v>
      </c>
      <c r="E1647" s="423"/>
      <c r="F1647" s="424"/>
      <c r="G1647" s="425"/>
      <c r="H1647" s="651"/>
      <c r="I1647" s="420">
        <v>12.48</v>
      </c>
      <c r="J1647" s="420">
        <f t="shared" si="392"/>
        <v>12.48</v>
      </c>
      <c r="K1647" s="421">
        <f t="shared" si="391"/>
        <v>14.83</v>
      </c>
      <c r="L1647" s="647" t="s">
        <v>2096</v>
      </c>
      <c r="M1647" s="576"/>
      <c r="N1647" s="576">
        <f t="shared" si="394"/>
        <v>0</v>
      </c>
      <c r="O1647" s="577">
        <f t="shared" si="388"/>
        <v>0</v>
      </c>
      <c r="P1647" s="578">
        <f t="shared" si="389"/>
        <v>0</v>
      </c>
      <c r="Q1647" s="765"/>
      <c r="R1647" s="576">
        <f t="shared" si="396"/>
        <v>0</v>
      </c>
      <c r="S1647" s="576">
        <f t="shared" si="396"/>
        <v>0</v>
      </c>
      <c r="T1647" s="577">
        <f t="shared" si="386"/>
        <v>0</v>
      </c>
      <c r="U1647" s="578">
        <f t="shared" si="387"/>
        <v>0</v>
      </c>
      <c r="V1647" s="579"/>
      <c r="W1647" s="566"/>
      <c r="X1647" s="586" t="str">
        <f t="shared" si="390"/>
        <v/>
      </c>
      <c r="Y1647" s="586" t="str">
        <f t="shared" si="395"/>
        <v/>
      </c>
      <c r="Z1647" s="586" t="str">
        <f t="shared" si="393"/>
        <v/>
      </c>
    </row>
    <row r="1648" spans="1:26" ht="23.25" hidden="1" thickBot="1" x14ac:dyDescent="0.25">
      <c r="A1648" s="567">
        <v>97327</v>
      </c>
      <c r="B1648" s="644">
        <v>97327</v>
      </c>
      <c r="C1648" s="645" t="s">
        <v>670</v>
      </c>
      <c r="D1648" s="422" t="s">
        <v>1494</v>
      </c>
      <c r="E1648" s="423"/>
      <c r="F1648" s="424"/>
      <c r="G1648" s="425"/>
      <c r="H1648" s="651"/>
      <c r="I1648" s="420">
        <v>30.85</v>
      </c>
      <c r="J1648" s="420">
        <f t="shared" si="392"/>
        <v>30.85</v>
      </c>
      <c r="K1648" s="421">
        <f t="shared" si="391"/>
        <v>36.65</v>
      </c>
      <c r="L1648" s="647" t="s">
        <v>79</v>
      </c>
      <c r="M1648" s="576"/>
      <c r="N1648" s="576">
        <f t="shared" si="394"/>
        <v>0</v>
      </c>
      <c r="O1648" s="577">
        <f t="shared" si="388"/>
        <v>0</v>
      </c>
      <c r="P1648" s="578">
        <f t="shared" si="389"/>
        <v>0</v>
      </c>
      <c r="Q1648" s="765"/>
      <c r="R1648" s="576">
        <f t="shared" si="396"/>
        <v>0</v>
      </c>
      <c r="S1648" s="576">
        <f t="shared" si="396"/>
        <v>0</v>
      </c>
      <c r="T1648" s="577">
        <f t="shared" si="386"/>
        <v>0</v>
      </c>
      <c r="U1648" s="578">
        <f t="shared" si="387"/>
        <v>0</v>
      </c>
      <c r="V1648" s="579"/>
      <c r="W1648" s="566"/>
      <c r="X1648" s="586" t="str">
        <f t="shared" si="390"/>
        <v/>
      </c>
      <c r="Y1648" s="586" t="str">
        <f t="shared" si="395"/>
        <v/>
      </c>
      <c r="Z1648" s="586" t="str">
        <f t="shared" si="393"/>
        <v/>
      </c>
    </row>
    <row r="1649" spans="1:26" ht="23.25" hidden="1" thickBot="1" x14ac:dyDescent="0.25">
      <c r="A1649" s="567">
        <v>97328</v>
      </c>
      <c r="B1649" s="644">
        <v>97328</v>
      </c>
      <c r="C1649" s="645" t="s">
        <v>670</v>
      </c>
      <c r="D1649" s="422" t="s">
        <v>1495</v>
      </c>
      <c r="E1649" s="423"/>
      <c r="F1649" s="424"/>
      <c r="G1649" s="425"/>
      <c r="H1649" s="651"/>
      <c r="I1649" s="420">
        <v>51.57</v>
      </c>
      <c r="J1649" s="420">
        <f t="shared" si="392"/>
        <v>51.57</v>
      </c>
      <c r="K1649" s="421">
        <f t="shared" si="391"/>
        <v>61.27</v>
      </c>
      <c r="L1649" s="647" t="s">
        <v>79</v>
      </c>
      <c r="M1649" s="576"/>
      <c r="N1649" s="576">
        <f t="shared" si="394"/>
        <v>0</v>
      </c>
      <c r="O1649" s="577">
        <f t="shared" si="388"/>
        <v>0</v>
      </c>
      <c r="P1649" s="578">
        <f t="shared" si="389"/>
        <v>0</v>
      </c>
      <c r="Q1649" s="765"/>
      <c r="R1649" s="576">
        <f t="shared" si="396"/>
        <v>0</v>
      </c>
      <c r="S1649" s="576">
        <f t="shared" si="396"/>
        <v>0</v>
      </c>
      <c r="T1649" s="577">
        <f t="shared" si="386"/>
        <v>0</v>
      </c>
      <c r="U1649" s="578">
        <f t="shared" si="387"/>
        <v>0</v>
      </c>
      <c r="V1649" s="579"/>
      <c r="W1649" s="566"/>
      <c r="X1649" s="586" t="str">
        <f t="shared" si="390"/>
        <v/>
      </c>
      <c r="Y1649" s="586" t="str">
        <f t="shared" si="395"/>
        <v/>
      </c>
      <c r="Z1649" s="586" t="str">
        <f t="shared" si="393"/>
        <v/>
      </c>
    </row>
    <row r="1650" spans="1:26" ht="23.25" hidden="1" thickBot="1" x14ac:dyDescent="0.25">
      <c r="A1650" s="567">
        <v>97329</v>
      </c>
      <c r="B1650" s="644">
        <v>97329</v>
      </c>
      <c r="C1650" s="645" t="s">
        <v>670</v>
      </c>
      <c r="D1650" s="422" t="s">
        <v>1496</v>
      </c>
      <c r="E1650" s="423"/>
      <c r="F1650" s="424"/>
      <c r="G1650" s="425"/>
      <c r="H1650" s="651"/>
      <c r="I1650" s="420">
        <v>65.66</v>
      </c>
      <c r="J1650" s="420">
        <f t="shared" si="392"/>
        <v>65.66</v>
      </c>
      <c r="K1650" s="421">
        <f t="shared" si="391"/>
        <v>78.010000000000005</v>
      </c>
      <c r="L1650" s="647" t="s">
        <v>79</v>
      </c>
      <c r="M1650" s="576"/>
      <c r="N1650" s="576">
        <f t="shared" si="394"/>
        <v>0</v>
      </c>
      <c r="O1650" s="577">
        <f t="shared" si="388"/>
        <v>0</v>
      </c>
      <c r="P1650" s="578">
        <f t="shared" si="389"/>
        <v>0</v>
      </c>
      <c r="Q1650" s="765"/>
      <c r="R1650" s="576">
        <f t="shared" si="396"/>
        <v>0</v>
      </c>
      <c r="S1650" s="576">
        <f t="shared" si="396"/>
        <v>0</v>
      </c>
      <c r="T1650" s="577">
        <f t="shared" si="386"/>
        <v>0</v>
      </c>
      <c r="U1650" s="578">
        <f t="shared" si="387"/>
        <v>0</v>
      </c>
      <c r="V1650" s="579"/>
      <c r="W1650" s="566"/>
      <c r="X1650" s="586" t="str">
        <f t="shared" si="390"/>
        <v/>
      </c>
      <c r="Y1650" s="586" t="str">
        <f t="shared" si="395"/>
        <v/>
      </c>
      <c r="Z1650" s="586" t="str">
        <f t="shared" si="393"/>
        <v/>
      </c>
    </row>
    <row r="1651" spans="1:26" ht="23.25" hidden="1" thickBot="1" x14ac:dyDescent="0.25">
      <c r="A1651" s="567">
        <v>97330</v>
      </c>
      <c r="B1651" s="644">
        <v>97330</v>
      </c>
      <c r="C1651" s="645" t="s">
        <v>670</v>
      </c>
      <c r="D1651" s="422" t="s">
        <v>1497</v>
      </c>
      <c r="E1651" s="423"/>
      <c r="F1651" s="424"/>
      <c r="G1651" s="425"/>
      <c r="H1651" s="651"/>
      <c r="I1651" s="420">
        <v>80.34</v>
      </c>
      <c r="J1651" s="420">
        <f t="shared" si="392"/>
        <v>80.34</v>
      </c>
      <c r="K1651" s="421">
        <f t="shared" si="391"/>
        <v>95.45</v>
      </c>
      <c r="L1651" s="647" t="s">
        <v>79</v>
      </c>
      <c r="M1651" s="576"/>
      <c r="N1651" s="576">
        <f t="shared" si="394"/>
        <v>0</v>
      </c>
      <c r="O1651" s="577">
        <f t="shared" si="388"/>
        <v>0</v>
      </c>
      <c r="P1651" s="578">
        <f t="shared" si="389"/>
        <v>0</v>
      </c>
      <c r="Q1651" s="765"/>
      <c r="R1651" s="576">
        <f t="shared" si="396"/>
        <v>0</v>
      </c>
      <c r="S1651" s="576">
        <f t="shared" si="396"/>
        <v>0</v>
      </c>
      <c r="T1651" s="577">
        <f t="shared" si="386"/>
        <v>0</v>
      </c>
      <c r="U1651" s="578">
        <f t="shared" si="387"/>
        <v>0</v>
      </c>
      <c r="V1651" s="579"/>
      <c r="W1651" s="566"/>
      <c r="X1651" s="586" t="str">
        <f t="shared" si="390"/>
        <v/>
      </c>
      <c r="Y1651" s="586" t="str">
        <f t="shared" si="395"/>
        <v/>
      </c>
      <c r="Z1651" s="586" t="str">
        <f t="shared" si="393"/>
        <v/>
      </c>
    </row>
    <row r="1652" spans="1:26" ht="23.25" hidden="1" thickBot="1" x14ac:dyDescent="0.25">
      <c r="A1652" s="567">
        <v>97331</v>
      </c>
      <c r="B1652" s="644">
        <v>97331</v>
      </c>
      <c r="C1652" s="645" t="s">
        <v>670</v>
      </c>
      <c r="D1652" s="422" t="s">
        <v>1498</v>
      </c>
      <c r="E1652" s="423"/>
      <c r="F1652" s="424"/>
      <c r="G1652" s="425"/>
      <c r="H1652" s="651"/>
      <c r="I1652" s="420">
        <v>31.2</v>
      </c>
      <c r="J1652" s="420">
        <f t="shared" si="392"/>
        <v>31.2</v>
      </c>
      <c r="K1652" s="421">
        <f t="shared" si="391"/>
        <v>37.07</v>
      </c>
      <c r="L1652" s="647" t="s">
        <v>79</v>
      </c>
      <c r="M1652" s="576"/>
      <c r="N1652" s="576">
        <f t="shared" si="394"/>
        <v>0</v>
      </c>
      <c r="O1652" s="577">
        <f t="shared" si="388"/>
        <v>0</v>
      </c>
      <c r="P1652" s="578">
        <f t="shared" si="389"/>
        <v>0</v>
      </c>
      <c r="Q1652" s="765"/>
      <c r="R1652" s="576">
        <f t="shared" si="396"/>
        <v>0</v>
      </c>
      <c r="S1652" s="576">
        <f t="shared" si="396"/>
        <v>0</v>
      </c>
      <c r="T1652" s="577">
        <f t="shared" ref="T1652:T1721" si="397">IF(ISBLANK(R1652),0,ROUND(K1652*R1652,2))</f>
        <v>0</v>
      </c>
      <c r="U1652" s="578">
        <f t="shared" ref="U1652:U1721" si="398">IF(ISBLANK(R1652),0,ROUND(R1652*S1652,2))</f>
        <v>0</v>
      </c>
      <c r="V1652" s="579"/>
      <c r="W1652" s="566"/>
      <c r="X1652" s="586" t="str">
        <f t="shared" si="390"/>
        <v/>
      </c>
      <c r="Y1652" s="586" t="str">
        <f t="shared" si="395"/>
        <v/>
      </c>
      <c r="Z1652" s="586" t="str">
        <f t="shared" si="393"/>
        <v/>
      </c>
    </row>
    <row r="1653" spans="1:26" ht="23.25" hidden="1" thickBot="1" x14ac:dyDescent="0.25">
      <c r="A1653" s="567">
        <v>97332</v>
      </c>
      <c r="B1653" s="644">
        <v>97332</v>
      </c>
      <c r="C1653" s="645" t="s">
        <v>670</v>
      </c>
      <c r="D1653" s="422" t="s">
        <v>1499</v>
      </c>
      <c r="E1653" s="423"/>
      <c r="F1653" s="424"/>
      <c r="G1653" s="425"/>
      <c r="H1653" s="651"/>
      <c r="I1653" s="420">
        <v>51.97</v>
      </c>
      <c r="J1653" s="420">
        <f t="shared" si="392"/>
        <v>51.97</v>
      </c>
      <c r="K1653" s="421">
        <f t="shared" si="391"/>
        <v>61.75</v>
      </c>
      <c r="L1653" s="647" t="s">
        <v>79</v>
      </c>
      <c r="M1653" s="576"/>
      <c r="N1653" s="576">
        <f t="shared" si="394"/>
        <v>0</v>
      </c>
      <c r="O1653" s="577">
        <f t="shared" ref="O1653:O1722" si="399">IF(ISBLANK(M1653),0,ROUND(K1653*M1653,2))</f>
        <v>0</v>
      </c>
      <c r="P1653" s="578">
        <f t="shared" ref="P1653:P1722" si="400">IF(ISBLANK(N1653),0,ROUND(M1653*N1653,2))</f>
        <v>0</v>
      </c>
      <c r="Q1653" s="765"/>
      <c r="R1653" s="576">
        <f t="shared" si="396"/>
        <v>0</v>
      </c>
      <c r="S1653" s="576">
        <f t="shared" si="396"/>
        <v>0</v>
      </c>
      <c r="T1653" s="577">
        <f t="shared" si="397"/>
        <v>0</v>
      </c>
      <c r="U1653" s="578">
        <f t="shared" si="398"/>
        <v>0</v>
      </c>
      <c r="V1653" s="579"/>
      <c r="W1653" s="566"/>
      <c r="X1653" s="586" t="str">
        <f t="shared" si="390"/>
        <v/>
      </c>
      <c r="Y1653" s="586" t="str">
        <f t="shared" si="395"/>
        <v/>
      </c>
      <c r="Z1653" s="586" t="str">
        <f t="shared" si="393"/>
        <v/>
      </c>
    </row>
    <row r="1654" spans="1:26" ht="23.25" hidden="1" thickBot="1" x14ac:dyDescent="0.25">
      <c r="A1654" s="567">
        <v>97333</v>
      </c>
      <c r="B1654" s="644">
        <v>97333</v>
      </c>
      <c r="C1654" s="645" t="s">
        <v>670</v>
      </c>
      <c r="D1654" s="422" t="s">
        <v>1500</v>
      </c>
      <c r="E1654" s="423"/>
      <c r="F1654" s="424"/>
      <c r="G1654" s="425"/>
      <c r="H1654" s="651"/>
      <c r="I1654" s="420">
        <v>66.16</v>
      </c>
      <c r="J1654" s="420">
        <f t="shared" si="392"/>
        <v>66.16</v>
      </c>
      <c r="K1654" s="421">
        <f t="shared" si="391"/>
        <v>78.599999999999994</v>
      </c>
      <c r="L1654" s="647" t="s">
        <v>79</v>
      </c>
      <c r="M1654" s="576"/>
      <c r="N1654" s="576">
        <f t="shared" si="394"/>
        <v>0</v>
      </c>
      <c r="O1654" s="577">
        <f t="shared" si="399"/>
        <v>0</v>
      </c>
      <c r="P1654" s="578">
        <f t="shared" si="400"/>
        <v>0</v>
      </c>
      <c r="Q1654" s="765"/>
      <c r="R1654" s="576">
        <f t="shared" si="396"/>
        <v>0</v>
      </c>
      <c r="S1654" s="576">
        <f t="shared" si="396"/>
        <v>0</v>
      </c>
      <c r="T1654" s="577">
        <f t="shared" si="397"/>
        <v>0</v>
      </c>
      <c r="U1654" s="578">
        <f t="shared" si="398"/>
        <v>0</v>
      </c>
      <c r="V1654" s="579"/>
      <c r="W1654" s="566"/>
      <c r="X1654" s="586" t="str">
        <f t="shared" si="390"/>
        <v/>
      </c>
      <c r="Y1654" s="586" t="str">
        <f t="shared" si="395"/>
        <v/>
      </c>
      <c r="Z1654" s="586" t="str">
        <f t="shared" si="393"/>
        <v/>
      </c>
    </row>
    <row r="1655" spans="1:26" ht="23.25" hidden="1" thickBot="1" x14ac:dyDescent="0.25">
      <c r="A1655" s="567">
        <v>97334</v>
      </c>
      <c r="B1655" s="644">
        <v>97334</v>
      </c>
      <c r="C1655" s="645" t="s">
        <v>670</v>
      </c>
      <c r="D1655" s="422" t="s">
        <v>1501</v>
      </c>
      <c r="E1655" s="423"/>
      <c r="F1655" s="424"/>
      <c r="G1655" s="425"/>
      <c r="H1655" s="651"/>
      <c r="I1655" s="420">
        <v>80.89</v>
      </c>
      <c r="J1655" s="420">
        <f t="shared" si="392"/>
        <v>80.89</v>
      </c>
      <c r="K1655" s="421">
        <f t="shared" si="391"/>
        <v>96.11</v>
      </c>
      <c r="L1655" s="647" t="s">
        <v>79</v>
      </c>
      <c r="M1655" s="576"/>
      <c r="N1655" s="576">
        <f t="shared" si="394"/>
        <v>0</v>
      </c>
      <c r="O1655" s="577">
        <f t="shared" si="399"/>
        <v>0</v>
      </c>
      <c r="P1655" s="578">
        <f t="shared" si="400"/>
        <v>0</v>
      </c>
      <c r="Q1655" s="765"/>
      <c r="R1655" s="576">
        <f t="shared" si="396"/>
        <v>0</v>
      </c>
      <c r="S1655" s="576">
        <f t="shared" si="396"/>
        <v>0</v>
      </c>
      <c r="T1655" s="577">
        <f t="shared" si="397"/>
        <v>0</v>
      </c>
      <c r="U1655" s="578">
        <f t="shared" si="398"/>
        <v>0</v>
      </c>
      <c r="V1655" s="579"/>
      <c r="W1655" s="566"/>
      <c r="X1655" s="722" t="str">
        <f t="shared" si="390"/>
        <v/>
      </c>
      <c r="Y1655" s="722" t="str">
        <f t="shared" si="395"/>
        <v/>
      </c>
      <c r="Z1655" s="722" t="str">
        <f t="shared" si="393"/>
        <v/>
      </c>
    </row>
    <row r="1656" spans="1:26" ht="15.6" hidden="1" customHeight="1" x14ac:dyDescent="0.2">
      <c r="A1656" s="567">
        <v>844000</v>
      </c>
      <c r="B1656" s="644">
        <v>844000</v>
      </c>
      <c r="C1656" s="645" t="s">
        <v>206</v>
      </c>
      <c r="D1656" s="422" t="s">
        <v>594</v>
      </c>
      <c r="E1656" s="423"/>
      <c r="F1656" s="424"/>
      <c r="G1656" s="425"/>
      <c r="H1656" s="651"/>
      <c r="I1656" s="420">
        <v>5148.5</v>
      </c>
      <c r="J1656" s="420">
        <f>IF(ISBLANK(I1656),"",SUM(H1656:I1656))</f>
        <v>5148.5</v>
      </c>
      <c r="K1656" s="421">
        <f t="shared" si="391"/>
        <v>6116.93</v>
      </c>
      <c r="L1656" s="647" t="s">
        <v>21</v>
      </c>
      <c r="M1656" s="576"/>
      <c r="N1656" s="576">
        <f t="shared" si="394"/>
        <v>0</v>
      </c>
      <c r="O1656" s="577">
        <f t="shared" si="399"/>
        <v>0</v>
      </c>
      <c r="P1656" s="578">
        <f t="shared" si="400"/>
        <v>0</v>
      </c>
      <c r="Q1656" s="765"/>
      <c r="R1656" s="576">
        <f t="shared" si="396"/>
        <v>0</v>
      </c>
      <c r="S1656" s="576">
        <f t="shared" si="396"/>
        <v>0</v>
      </c>
      <c r="T1656" s="577">
        <f t="shared" si="397"/>
        <v>0</v>
      </c>
      <c r="U1656" s="578">
        <f t="shared" si="398"/>
        <v>0</v>
      </c>
      <c r="V1656" s="579"/>
      <c r="W1656" s="566"/>
      <c r="X1656" s="586" t="str">
        <f t="shared" si="390"/>
        <v/>
      </c>
      <c r="Y1656" s="586" t="str">
        <f t="shared" si="395"/>
        <v/>
      </c>
      <c r="Z1656" s="586" t="str">
        <f t="shared" si="393"/>
        <v/>
      </c>
    </row>
    <row r="1657" spans="1:26" ht="12" hidden="1" thickBot="1" x14ac:dyDescent="0.25">
      <c r="A1657" s="652" t="s">
        <v>187</v>
      </c>
      <c r="B1657" s="653" t="s">
        <v>187</v>
      </c>
      <c r="C1657" s="654"/>
      <c r="D1657" s="427" t="s">
        <v>575</v>
      </c>
      <c r="E1657" s="491"/>
      <c r="F1657" s="655"/>
      <c r="G1657" s="656"/>
      <c r="H1657" s="657"/>
      <c r="I1657" s="429">
        <v>0</v>
      </c>
      <c r="J1657" s="429"/>
      <c r="K1657" s="429"/>
      <c r="L1657" s="429" t="s">
        <v>614</v>
      </c>
      <c r="M1657" s="657"/>
      <c r="N1657" s="576">
        <f t="shared" si="394"/>
        <v>0</v>
      </c>
      <c r="O1657" s="429">
        <f t="shared" si="399"/>
        <v>0</v>
      </c>
      <c r="P1657" s="658">
        <f t="shared" si="400"/>
        <v>0</v>
      </c>
      <c r="Q1657" s="765"/>
      <c r="R1657" s="657"/>
      <c r="S1657" s="429"/>
      <c r="T1657" s="429">
        <f t="shared" si="397"/>
        <v>0</v>
      </c>
      <c r="U1657" s="658">
        <f t="shared" si="398"/>
        <v>0</v>
      </c>
      <c r="V1657" s="579"/>
      <c r="W1657" s="637" t="str">
        <f>IF(OR(SUM(P1658:P1689)&gt;0,SUM(U1658:U1689)&gt;0),"y","")</f>
        <v/>
      </c>
      <c r="X1657" s="586" t="str">
        <f t="shared" si="390"/>
        <v/>
      </c>
      <c r="Y1657" s="586" t="str">
        <f t="shared" si="395"/>
        <v/>
      </c>
      <c r="Z1657" s="586" t="str">
        <f t="shared" si="393"/>
        <v/>
      </c>
    </row>
    <row r="1658" spans="1:26" ht="12" hidden="1" thickBot="1" x14ac:dyDescent="0.25">
      <c r="A1658" s="652" t="s">
        <v>187</v>
      </c>
      <c r="B1658" s="572" t="s">
        <v>187</v>
      </c>
      <c r="C1658" s="573" t="s">
        <v>187</v>
      </c>
      <c r="D1658" s="580"/>
      <c r="E1658" s="575"/>
      <c r="F1658" s="436"/>
      <c r="G1658" s="431"/>
      <c r="H1658" s="430"/>
      <c r="I1658" s="432"/>
      <c r="J1658" s="433"/>
      <c r="K1658" s="434">
        <f t="shared" ref="K1658:K1689" si="401">IF(ISBLANK(J1658),0,ROUND(J1658*(1+$F$10)*(1+$F$11*E1658),2))</f>
        <v>0</v>
      </c>
      <c r="L1658" s="435" t="s">
        <v>614</v>
      </c>
      <c r="M1658" s="587"/>
      <c r="N1658" s="576">
        <f t="shared" si="394"/>
        <v>0</v>
      </c>
      <c r="O1658" s="577">
        <f t="shared" si="399"/>
        <v>0</v>
      </c>
      <c r="P1658" s="578">
        <f t="shared" si="400"/>
        <v>0</v>
      </c>
      <c r="Q1658" s="765"/>
      <c r="R1658" s="650">
        <f t="shared" si="396"/>
        <v>0</v>
      </c>
      <c r="S1658" s="587">
        <f t="shared" si="396"/>
        <v>0</v>
      </c>
      <c r="T1658" s="577">
        <f t="shared" si="397"/>
        <v>0</v>
      </c>
      <c r="U1658" s="578">
        <f t="shared" si="398"/>
        <v>0</v>
      </c>
      <c r="V1658" s="579"/>
      <c r="W1658" s="566"/>
      <c r="X1658" s="586" t="str">
        <f t="shared" si="390"/>
        <v/>
      </c>
      <c r="Y1658" s="586" t="str">
        <f t="shared" si="395"/>
        <v/>
      </c>
      <c r="Z1658" s="586" t="str">
        <f t="shared" si="393"/>
        <v/>
      </c>
    </row>
    <row r="1659" spans="1:26" ht="12" hidden="1" thickBot="1" x14ac:dyDescent="0.25">
      <c r="A1659" s="652" t="s">
        <v>187</v>
      </c>
      <c r="B1659" s="572" t="s">
        <v>187</v>
      </c>
      <c r="C1659" s="573" t="s">
        <v>187</v>
      </c>
      <c r="D1659" s="580"/>
      <c r="E1659" s="575"/>
      <c r="F1659" s="436"/>
      <c r="G1659" s="431"/>
      <c r="H1659" s="430"/>
      <c r="I1659" s="432"/>
      <c r="J1659" s="433"/>
      <c r="K1659" s="437">
        <f t="shared" si="401"/>
        <v>0</v>
      </c>
      <c r="L1659" s="435" t="s">
        <v>614</v>
      </c>
      <c r="M1659" s="576"/>
      <c r="N1659" s="576">
        <f t="shared" si="394"/>
        <v>0</v>
      </c>
      <c r="O1659" s="577">
        <f t="shared" si="399"/>
        <v>0</v>
      </c>
      <c r="P1659" s="578">
        <f t="shared" si="400"/>
        <v>0</v>
      </c>
      <c r="Q1659" s="765"/>
      <c r="R1659" s="576">
        <f t="shared" si="396"/>
        <v>0</v>
      </c>
      <c r="S1659" s="576">
        <f t="shared" si="396"/>
        <v>0</v>
      </c>
      <c r="T1659" s="577">
        <f t="shared" si="397"/>
        <v>0</v>
      </c>
      <c r="U1659" s="659">
        <f t="shared" si="398"/>
        <v>0</v>
      </c>
      <c r="V1659" s="579"/>
      <c r="W1659" s="566"/>
      <c r="X1659" s="586" t="str">
        <f t="shared" si="390"/>
        <v/>
      </c>
      <c r="Y1659" s="586" t="str">
        <f t="shared" si="395"/>
        <v/>
      </c>
      <c r="Z1659" s="586" t="str">
        <f t="shared" si="393"/>
        <v/>
      </c>
    </row>
    <row r="1660" spans="1:26" ht="12" hidden="1" thickBot="1" x14ac:dyDescent="0.25">
      <c r="A1660" s="652" t="s">
        <v>187</v>
      </c>
      <c r="B1660" s="572" t="s">
        <v>187</v>
      </c>
      <c r="C1660" s="573" t="s">
        <v>187</v>
      </c>
      <c r="D1660" s="580"/>
      <c r="E1660" s="575"/>
      <c r="F1660" s="436"/>
      <c r="G1660" s="431"/>
      <c r="H1660" s="430"/>
      <c r="I1660" s="432"/>
      <c r="J1660" s="433"/>
      <c r="K1660" s="437">
        <f t="shared" si="401"/>
        <v>0</v>
      </c>
      <c r="L1660" s="435" t="s">
        <v>614</v>
      </c>
      <c r="M1660" s="576"/>
      <c r="N1660" s="576">
        <f t="shared" si="394"/>
        <v>0</v>
      </c>
      <c r="O1660" s="577">
        <f t="shared" si="399"/>
        <v>0</v>
      </c>
      <c r="P1660" s="578">
        <f t="shared" si="400"/>
        <v>0</v>
      </c>
      <c r="Q1660" s="765"/>
      <c r="R1660" s="576">
        <f t="shared" si="396"/>
        <v>0</v>
      </c>
      <c r="S1660" s="576">
        <f t="shared" si="396"/>
        <v>0</v>
      </c>
      <c r="T1660" s="577">
        <f t="shared" si="397"/>
        <v>0</v>
      </c>
      <c r="U1660" s="578">
        <f t="shared" si="398"/>
        <v>0</v>
      </c>
      <c r="V1660" s="579"/>
      <c r="W1660" s="566"/>
      <c r="X1660" s="586" t="str">
        <f t="shared" si="390"/>
        <v/>
      </c>
      <c r="Y1660" s="586" t="str">
        <f t="shared" si="395"/>
        <v/>
      </c>
      <c r="Z1660" s="586" t="str">
        <f t="shared" si="393"/>
        <v/>
      </c>
    </row>
    <row r="1661" spans="1:26" ht="12" hidden="1" thickBot="1" x14ac:dyDescent="0.25">
      <c r="A1661" s="652" t="s">
        <v>187</v>
      </c>
      <c r="B1661" s="572" t="s">
        <v>187</v>
      </c>
      <c r="C1661" s="573" t="s">
        <v>187</v>
      </c>
      <c r="D1661" s="580"/>
      <c r="E1661" s="575"/>
      <c r="F1661" s="436"/>
      <c r="G1661" s="431"/>
      <c r="H1661" s="430"/>
      <c r="I1661" s="432"/>
      <c r="J1661" s="433"/>
      <c r="K1661" s="437">
        <f t="shared" si="401"/>
        <v>0</v>
      </c>
      <c r="L1661" s="435" t="s">
        <v>614</v>
      </c>
      <c r="M1661" s="576"/>
      <c r="N1661" s="576">
        <f t="shared" si="394"/>
        <v>0</v>
      </c>
      <c r="O1661" s="577">
        <f t="shared" si="399"/>
        <v>0</v>
      </c>
      <c r="P1661" s="578">
        <f t="shared" si="400"/>
        <v>0</v>
      </c>
      <c r="Q1661" s="765"/>
      <c r="R1661" s="576">
        <f t="shared" si="396"/>
        <v>0</v>
      </c>
      <c r="S1661" s="576">
        <f t="shared" si="396"/>
        <v>0</v>
      </c>
      <c r="T1661" s="577">
        <f t="shared" si="397"/>
        <v>0</v>
      </c>
      <c r="U1661" s="578">
        <f t="shared" si="398"/>
        <v>0</v>
      </c>
      <c r="V1661" s="579"/>
      <c r="W1661" s="566"/>
      <c r="X1661" s="586" t="str">
        <f t="shared" ref="X1661:X1724" si="402">IF(W1661="X","x",IF(W1661="xx","x",IF(W1661="xy","x",IF(W1661="y","x",IF(OR(P1661&gt;0,U1661&gt;0),"x","")))))</f>
        <v/>
      </c>
      <c r="Y1661" s="586" t="str">
        <f t="shared" si="395"/>
        <v/>
      </c>
      <c r="Z1661" s="586" t="str">
        <f t="shared" si="393"/>
        <v/>
      </c>
    </row>
    <row r="1662" spans="1:26" ht="12" hidden="1" thickBot="1" x14ac:dyDescent="0.25">
      <c r="A1662" s="652" t="s">
        <v>187</v>
      </c>
      <c r="B1662" s="572" t="s">
        <v>187</v>
      </c>
      <c r="C1662" s="573" t="s">
        <v>187</v>
      </c>
      <c r="D1662" s="580"/>
      <c r="E1662" s="575"/>
      <c r="F1662" s="436"/>
      <c r="G1662" s="431"/>
      <c r="H1662" s="430"/>
      <c r="I1662" s="432"/>
      <c r="J1662" s="433"/>
      <c r="K1662" s="437">
        <f t="shared" si="401"/>
        <v>0</v>
      </c>
      <c r="L1662" s="435" t="s">
        <v>614</v>
      </c>
      <c r="M1662" s="576"/>
      <c r="N1662" s="576">
        <f t="shared" si="394"/>
        <v>0</v>
      </c>
      <c r="O1662" s="577">
        <f t="shared" si="399"/>
        <v>0</v>
      </c>
      <c r="P1662" s="578">
        <f t="shared" si="400"/>
        <v>0</v>
      </c>
      <c r="Q1662" s="765"/>
      <c r="R1662" s="576">
        <f t="shared" si="396"/>
        <v>0</v>
      </c>
      <c r="S1662" s="576">
        <f t="shared" si="396"/>
        <v>0</v>
      </c>
      <c r="T1662" s="577">
        <f t="shared" si="397"/>
        <v>0</v>
      </c>
      <c r="U1662" s="578">
        <f t="shared" si="398"/>
        <v>0</v>
      </c>
      <c r="V1662" s="579"/>
      <c r="W1662" s="566"/>
      <c r="X1662" s="586" t="str">
        <f t="shared" si="402"/>
        <v/>
      </c>
      <c r="Y1662" s="586" t="str">
        <f t="shared" si="395"/>
        <v/>
      </c>
      <c r="Z1662" s="586" t="str">
        <f t="shared" si="393"/>
        <v/>
      </c>
    </row>
    <row r="1663" spans="1:26" ht="12" hidden="1" thickBot="1" x14ac:dyDescent="0.25">
      <c r="A1663" s="652" t="s">
        <v>187</v>
      </c>
      <c r="B1663" s="572" t="s">
        <v>187</v>
      </c>
      <c r="C1663" s="573" t="s">
        <v>187</v>
      </c>
      <c r="D1663" s="580"/>
      <c r="E1663" s="575"/>
      <c r="F1663" s="436"/>
      <c r="G1663" s="431"/>
      <c r="H1663" s="430"/>
      <c r="I1663" s="432"/>
      <c r="J1663" s="433"/>
      <c r="K1663" s="437">
        <f t="shared" si="401"/>
        <v>0</v>
      </c>
      <c r="L1663" s="435" t="s">
        <v>614</v>
      </c>
      <c r="M1663" s="576"/>
      <c r="N1663" s="576">
        <f t="shared" si="394"/>
        <v>0</v>
      </c>
      <c r="O1663" s="577">
        <f t="shared" si="399"/>
        <v>0</v>
      </c>
      <c r="P1663" s="578">
        <f t="shared" si="400"/>
        <v>0</v>
      </c>
      <c r="Q1663" s="765"/>
      <c r="R1663" s="576">
        <f t="shared" si="396"/>
        <v>0</v>
      </c>
      <c r="S1663" s="576">
        <f t="shared" si="396"/>
        <v>0</v>
      </c>
      <c r="T1663" s="577">
        <f t="shared" si="397"/>
        <v>0</v>
      </c>
      <c r="U1663" s="578">
        <f t="shared" si="398"/>
        <v>0</v>
      </c>
      <c r="V1663" s="579"/>
      <c r="W1663" s="566"/>
      <c r="X1663" s="586" t="str">
        <f t="shared" si="402"/>
        <v/>
      </c>
      <c r="Y1663" s="586" t="str">
        <f t="shared" si="395"/>
        <v/>
      </c>
      <c r="Z1663" s="586" t="str">
        <f t="shared" si="393"/>
        <v/>
      </c>
    </row>
    <row r="1664" spans="1:26" ht="12" hidden="1" thickBot="1" x14ac:dyDescent="0.25">
      <c r="A1664" s="652" t="s">
        <v>187</v>
      </c>
      <c r="B1664" s="572" t="s">
        <v>187</v>
      </c>
      <c r="C1664" s="573" t="s">
        <v>187</v>
      </c>
      <c r="D1664" s="580"/>
      <c r="E1664" s="575"/>
      <c r="F1664" s="436"/>
      <c r="G1664" s="431"/>
      <c r="H1664" s="430"/>
      <c r="I1664" s="432"/>
      <c r="J1664" s="433"/>
      <c r="K1664" s="437">
        <f t="shared" si="401"/>
        <v>0</v>
      </c>
      <c r="L1664" s="435" t="s">
        <v>614</v>
      </c>
      <c r="M1664" s="576"/>
      <c r="N1664" s="576">
        <f t="shared" si="394"/>
        <v>0</v>
      </c>
      <c r="O1664" s="577">
        <f t="shared" si="399"/>
        <v>0</v>
      </c>
      <c r="P1664" s="578">
        <f t="shared" si="400"/>
        <v>0</v>
      </c>
      <c r="Q1664" s="765"/>
      <c r="R1664" s="576">
        <f t="shared" si="396"/>
        <v>0</v>
      </c>
      <c r="S1664" s="576">
        <f t="shared" si="396"/>
        <v>0</v>
      </c>
      <c r="T1664" s="577">
        <f t="shared" si="397"/>
        <v>0</v>
      </c>
      <c r="U1664" s="578">
        <f t="shared" si="398"/>
        <v>0</v>
      </c>
      <c r="V1664" s="579"/>
      <c r="W1664" s="566"/>
      <c r="X1664" s="586" t="str">
        <f t="shared" si="402"/>
        <v/>
      </c>
      <c r="Y1664" s="586" t="str">
        <f t="shared" si="395"/>
        <v/>
      </c>
      <c r="Z1664" s="586" t="str">
        <f t="shared" si="393"/>
        <v/>
      </c>
    </row>
    <row r="1665" spans="1:26" ht="12" hidden="1" thickBot="1" x14ac:dyDescent="0.25">
      <c r="A1665" s="652" t="s">
        <v>187</v>
      </c>
      <c r="B1665" s="572" t="s">
        <v>187</v>
      </c>
      <c r="C1665" s="573" t="s">
        <v>187</v>
      </c>
      <c r="D1665" s="580"/>
      <c r="E1665" s="575"/>
      <c r="F1665" s="436"/>
      <c r="G1665" s="431"/>
      <c r="H1665" s="430"/>
      <c r="I1665" s="432"/>
      <c r="J1665" s="433"/>
      <c r="K1665" s="437">
        <f t="shared" si="401"/>
        <v>0</v>
      </c>
      <c r="L1665" s="435" t="s">
        <v>614</v>
      </c>
      <c r="M1665" s="576"/>
      <c r="N1665" s="576">
        <f t="shared" si="394"/>
        <v>0</v>
      </c>
      <c r="O1665" s="577">
        <f t="shared" si="399"/>
        <v>0</v>
      </c>
      <c r="P1665" s="578">
        <f t="shared" si="400"/>
        <v>0</v>
      </c>
      <c r="Q1665" s="765"/>
      <c r="R1665" s="576">
        <f t="shared" si="396"/>
        <v>0</v>
      </c>
      <c r="S1665" s="576">
        <f t="shared" si="396"/>
        <v>0</v>
      </c>
      <c r="T1665" s="577">
        <f t="shared" si="397"/>
        <v>0</v>
      </c>
      <c r="U1665" s="578">
        <f t="shared" si="398"/>
        <v>0</v>
      </c>
      <c r="V1665" s="579"/>
      <c r="W1665" s="566"/>
      <c r="X1665" s="586" t="str">
        <f t="shared" si="402"/>
        <v/>
      </c>
      <c r="Y1665" s="586" t="str">
        <f t="shared" si="395"/>
        <v/>
      </c>
      <c r="Z1665" s="586" t="str">
        <f t="shared" si="393"/>
        <v/>
      </c>
    </row>
    <row r="1666" spans="1:26" ht="12" hidden="1" thickBot="1" x14ac:dyDescent="0.25">
      <c r="A1666" s="652" t="s">
        <v>187</v>
      </c>
      <c r="B1666" s="572" t="s">
        <v>187</v>
      </c>
      <c r="C1666" s="573" t="s">
        <v>187</v>
      </c>
      <c r="D1666" s="580"/>
      <c r="E1666" s="575"/>
      <c r="F1666" s="436"/>
      <c r="G1666" s="431"/>
      <c r="H1666" s="430"/>
      <c r="I1666" s="432"/>
      <c r="J1666" s="433"/>
      <c r="K1666" s="437">
        <f t="shared" si="401"/>
        <v>0</v>
      </c>
      <c r="L1666" s="435" t="s">
        <v>614</v>
      </c>
      <c r="M1666" s="576"/>
      <c r="N1666" s="576">
        <f t="shared" si="394"/>
        <v>0</v>
      </c>
      <c r="O1666" s="577">
        <f t="shared" si="399"/>
        <v>0</v>
      </c>
      <c r="P1666" s="578">
        <f t="shared" si="400"/>
        <v>0</v>
      </c>
      <c r="Q1666" s="765"/>
      <c r="R1666" s="576">
        <f t="shared" si="396"/>
        <v>0</v>
      </c>
      <c r="S1666" s="576">
        <f t="shared" si="396"/>
        <v>0</v>
      </c>
      <c r="T1666" s="577">
        <f t="shared" si="397"/>
        <v>0</v>
      </c>
      <c r="U1666" s="578">
        <f t="shared" si="398"/>
        <v>0</v>
      </c>
      <c r="V1666" s="579"/>
      <c r="W1666" s="566"/>
      <c r="X1666" s="586" t="str">
        <f t="shared" si="402"/>
        <v/>
      </c>
      <c r="Y1666" s="586" t="str">
        <f t="shared" si="395"/>
        <v/>
      </c>
      <c r="Z1666" s="586" t="str">
        <f t="shared" si="393"/>
        <v/>
      </c>
    </row>
    <row r="1667" spans="1:26" ht="12" hidden="1" thickBot="1" x14ac:dyDescent="0.25">
      <c r="A1667" s="652" t="s">
        <v>187</v>
      </c>
      <c r="B1667" s="572" t="s">
        <v>187</v>
      </c>
      <c r="C1667" s="573" t="s">
        <v>187</v>
      </c>
      <c r="D1667" s="580"/>
      <c r="E1667" s="575"/>
      <c r="F1667" s="436"/>
      <c r="G1667" s="431"/>
      <c r="H1667" s="430"/>
      <c r="I1667" s="432"/>
      <c r="J1667" s="433"/>
      <c r="K1667" s="437">
        <f t="shared" si="401"/>
        <v>0</v>
      </c>
      <c r="L1667" s="435" t="s">
        <v>614</v>
      </c>
      <c r="M1667" s="576"/>
      <c r="N1667" s="576">
        <f t="shared" si="394"/>
        <v>0</v>
      </c>
      <c r="O1667" s="577">
        <f t="shared" si="399"/>
        <v>0</v>
      </c>
      <c r="P1667" s="578">
        <f t="shared" si="400"/>
        <v>0</v>
      </c>
      <c r="Q1667" s="765"/>
      <c r="R1667" s="576">
        <f t="shared" si="396"/>
        <v>0</v>
      </c>
      <c r="S1667" s="576">
        <f t="shared" si="396"/>
        <v>0</v>
      </c>
      <c r="T1667" s="577">
        <f t="shared" si="397"/>
        <v>0</v>
      </c>
      <c r="U1667" s="578">
        <f t="shared" si="398"/>
        <v>0</v>
      </c>
      <c r="V1667" s="579"/>
      <c r="W1667" s="566"/>
      <c r="X1667" s="586" t="str">
        <f t="shared" si="402"/>
        <v/>
      </c>
      <c r="Y1667" s="586" t="str">
        <f t="shared" si="395"/>
        <v/>
      </c>
      <c r="Z1667" s="586" t="str">
        <f t="shared" si="393"/>
        <v/>
      </c>
    </row>
    <row r="1668" spans="1:26" ht="12" hidden="1" thickBot="1" x14ac:dyDescent="0.25">
      <c r="A1668" s="652" t="s">
        <v>187</v>
      </c>
      <c r="B1668" s="572" t="s">
        <v>187</v>
      </c>
      <c r="C1668" s="573" t="s">
        <v>187</v>
      </c>
      <c r="D1668" s="580"/>
      <c r="E1668" s="575"/>
      <c r="F1668" s="436"/>
      <c r="G1668" s="431"/>
      <c r="H1668" s="430"/>
      <c r="I1668" s="432"/>
      <c r="J1668" s="433"/>
      <c r="K1668" s="437">
        <f t="shared" si="401"/>
        <v>0</v>
      </c>
      <c r="L1668" s="435" t="s">
        <v>614</v>
      </c>
      <c r="M1668" s="576"/>
      <c r="N1668" s="576">
        <f t="shared" si="394"/>
        <v>0</v>
      </c>
      <c r="O1668" s="577">
        <f t="shared" si="399"/>
        <v>0</v>
      </c>
      <c r="P1668" s="578">
        <f t="shared" si="400"/>
        <v>0</v>
      </c>
      <c r="Q1668" s="765"/>
      <c r="R1668" s="576">
        <f t="shared" si="396"/>
        <v>0</v>
      </c>
      <c r="S1668" s="576">
        <f t="shared" si="396"/>
        <v>0</v>
      </c>
      <c r="T1668" s="577">
        <f t="shared" si="397"/>
        <v>0</v>
      </c>
      <c r="U1668" s="578">
        <f t="shared" si="398"/>
        <v>0</v>
      </c>
      <c r="V1668" s="579"/>
      <c r="W1668" s="566"/>
      <c r="X1668" s="586" t="str">
        <f t="shared" si="402"/>
        <v/>
      </c>
      <c r="Y1668" s="586" t="str">
        <f t="shared" si="395"/>
        <v/>
      </c>
      <c r="Z1668" s="586" t="str">
        <f t="shared" si="393"/>
        <v/>
      </c>
    </row>
    <row r="1669" spans="1:26" ht="12" hidden="1" thickBot="1" x14ac:dyDescent="0.25">
      <c r="A1669" s="652" t="s">
        <v>187</v>
      </c>
      <c r="B1669" s="572" t="s">
        <v>187</v>
      </c>
      <c r="C1669" s="573" t="s">
        <v>187</v>
      </c>
      <c r="D1669" s="580"/>
      <c r="E1669" s="575"/>
      <c r="F1669" s="436"/>
      <c r="G1669" s="431"/>
      <c r="H1669" s="430"/>
      <c r="I1669" s="432"/>
      <c r="J1669" s="433"/>
      <c r="K1669" s="437">
        <f t="shared" si="401"/>
        <v>0</v>
      </c>
      <c r="L1669" s="435" t="s">
        <v>614</v>
      </c>
      <c r="M1669" s="576"/>
      <c r="N1669" s="576">
        <f t="shared" si="394"/>
        <v>0</v>
      </c>
      <c r="O1669" s="577">
        <f t="shared" si="399"/>
        <v>0</v>
      </c>
      <c r="P1669" s="578">
        <f t="shared" si="400"/>
        <v>0</v>
      </c>
      <c r="Q1669" s="765"/>
      <c r="R1669" s="576">
        <f t="shared" si="396"/>
        <v>0</v>
      </c>
      <c r="S1669" s="576">
        <f t="shared" si="396"/>
        <v>0</v>
      </c>
      <c r="T1669" s="577">
        <f t="shared" si="397"/>
        <v>0</v>
      </c>
      <c r="U1669" s="578">
        <f t="shared" si="398"/>
        <v>0</v>
      </c>
      <c r="V1669" s="579"/>
      <c r="W1669" s="566"/>
      <c r="X1669" s="586" t="str">
        <f t="shared" si="402"/>
        <v/>
      </c>
      <c r="Y1669" s="586" t="str">
        <f t="shared" si="395"/>
        <v/>
      </c>
      <c r="Z1669" s="586" t="str">
        <f t="shared" si="393"/>
        <v/>
      </c>
    </row>
    <row r="1670" spans="1:26" ht="12" hidden="1" thickBot="1" x14ac:dyDescent="0.25">
      <c r="A1670" s="652" t="s">
        <v>187</v>
      </c>
      <c r="B1670" s="572" t="s">
        <v>187</v>
      </c>
      <c r="C1670" s="573" t="s">
        <v>187</v>
      </c>
      <c r="D1670" s="580"/>
      <c r="E1670" s="575"/>
      <c r="F1670" s="436"/>
      <c r="G1670" s="431"/>
      <c r="H1670" s="430"/>
      <c r="I1670" s="432"/>
      <c r="J1670" s="433"/>
      <c r="K1670" s="437">
        <f t="shared" si="401"/>
        <v>0</v>
      </c>
      <c r="L1670" s="435" t="s">
        <v>614</v>
      </c>
      <c r="M1670" s="576"/>
      <c r="N1670" s="576">
        <f t="shared" si="394"/>
        <v>0</v>
      </c>
      <c r="O1670" s="577">
        <f t="shared" si="399"/>
        <v>0</v>
      </c>
      <c r="P1670" s="578">
        <f t="shared" si="400"/>
        <v>0</v>
      </c>
      <c r="Q1670" s="765"/>
      <c r="R1670" s="576">
        <f t="shared" si="396"/>
        <v>0</v>
      </c>
      <c r="S1670" s="576">
        <f t="shared" si="396"/>
        <v>0</v>
      </c>
      <c r="T1670" s="577">
        <f t="shared" si="397"/>
        <v>0</v>
      </c>
      <c r="U1670" s="578">
        <f t="shared" si="398"/>
        <v>0</v>
      </c>
      <c r="V1670" s="579"/>
      <c r="W1670" s="566"/>
      <c r="X1670" s="586" t="str">
        <f t="shared" si="402"/>
        <v/>
      </c>
      <c r="Y1670" s="586" t="str">
        <f t="shared" si="395"/>
        <v/>
      </c>
      <c r="Z1670" s="586" t="str">
        <f t="shared" si="393"/>
        <v/>
      </c>
    </row>
    <row r="1671" spans="1:26" ht="12" hidden="1" thickBot="1" x14ac:dyDescent="0.25">
      <c r="A1671" s="652" t="s">
        <v>187</v>
      </c>
      <c r="B1671" s="572" t="s">
        <v>187</v>
      </c>
      <c r="C1671" s="573" t="s">
        <v>187</v>
      </c>
      <c r="D1671" s="580"/>
      <c r="E1671" s="575"/>
      <c r="F1671" s="436"/>
      <c r="G1671" s="431"/>
      <c r="H1671" s="430"/>
      <c r="I1671" s="432"/>
      <c r="J1671" s="433"/>
      <c r="K1671" s="437">
        <f t="shared" si="401"/>
        <v>0</v>
      </c>
      <c r="L1671" s="435" t="s">
        <v>614</v>
      </c>
      <c r="M1671" s="576"/>
      <c r="N1671" s="576">
        <f t="shared" si="394"/>
        <v>0</v>
      </c>
      <c r="O1671" s="577">
        <f t="shared" si="399"/>
        <v>0</v>
      </c>
      <c r="P1671" s="578">
        <f t="shared" si="400"/>
        <v>0</v>
      </c>
      <c r="Q1671" s="765"/>
      <c r="R1671" s="576">
        <f t="shared" si="396"/>
        <v>0</v>
      </c>
      <c r="S1671" s="576">
        <f t="shared" si="396"/>
        <v>0</v>
      </c>
      <c r="T1671" s="577">
        <f t="shared" si="397"/>
        <v>0</v>
      </c>
      <c r="U1671" s="578">
        <f t="shared" si="398"/>
        <v>0</v>
      </c>
      <c r="V1671" s="579"/>
      <c r="W1671" s="566"/>
      <c r="X1671" s="586" t="str">
        <f t="shared" si="402"/>
        <v/>
      </c>
      <c r="Y1671" s="586" t="str">
        <f t="shared" si="395"/>
        <v/>
      </c>
      <c r="Z1671" s="586" t="str">
        <f t="shared" si="393"/>
        <v/>
      </c>
    </row>
    <row r="1672" spans="1:26" ht="12" hidden="1" thickBot="1" x14ac:dyDescent="0.25">
      <c r="A1672" s="652" t="s">
        <v>187</v>
      </c>
      <c r="B1672" s="572" t="s">
        <v>187</v>
      </c>
      <c r="C1672" s="573" t="s">
        <v>187</v>
      </c>
      <c r="D1672" s="580"/>
      <c r="E1672" s="575"/>
      <c r="F1672" s="436"/>
      <c r="G1672" s="431"/>
      <c r="H1672" s="430"/>
      <c r="I1672" s="432"/>
      <c r="J1672" s="433"/>
      <c r="K1672" s="437">
        <f t="shared" si="401"/>
        <v>0</v>
      </c>
      <c r="L1672" s="435" t="s">
        <v>614</v>
      </c>
      <c r="M1672" s="576"/>
      <c r="N1672" s="576">
        <f t="shared" si="394"/>
        <v>0</v>
      </c>
      <c r="O1672" s="577">
        <f t="shared" si="399"/>
        <v>0</v>
      </c>
      <c r="P1672" s="578">
        <f t="shared" si="400"/>
        <v>0</v>
      </c>
      <c r="Q1672" s="765"/>
      <c r="R1672" s="576">
        <f t="shared" si="396"/>
        <v>0</v>
      </c>
      <c r="S1672" s="576">
        <f t="shared" si="396"/>
        <v>0</v>
      </c>
      <c r="T1672" s="577">
        <f t="shared" si="397"/>
        <v>0</v>
      </c>
      <c r="U1672" s="578">
        <f t="shared" si="398"/>
        <v>0</v>
      </c>
      <c r="V1672" s="579"/>
      <c r="W1672" s="566"/>
      <c r="X1672" s="586" t="str">
        <f t="shared" si="402"/>
        <v/>
      </c>
      <c r="Y1672" s="586" t="str">
        <f t="shared" si="395"/>
        <v/>
      </c>
      <c r="Z1672" s="586" t="str">
        <f t="shared" si="393"/>
        <v/>
      </c>
    </row>
    <row r="1673" spans="1:26" ht="12" hidden="1" thickBot="1" x14ac:dyDescent="0.25">
      <c r="A1673" s="652" t="s">
        <v>187</v>
      </c>
      <c r="B1673" s="572" t="s">
        <v>187</v>
      </c>
      <c r="C1673" s="573" t="s">
        <v>187</v>
      </c>
      <c r="D1673" s="580"/>
      <c r="E1673" s="575"/>
      <c r="F1673" s="436"/>
      <c r="G1673" s="431"/>
      <c r="H1673" s="430"/>
      <c r="I1673" s="432"/>
      <c r="J1673" s="433"/>
      <c r="K1673" s="437">
        <f t="shared" si="401"/>
        <v>0</v>
      </c>
      <c r="L1673" s="435" t="s">
        <v>614</v>
      </c>
      <c r="M1673" s="576"/>
      <c r="N1673" s="576">
        <f t="shared" si="394"/>
        <v>0</v>
      </c>
      <c r="O1673" s="577">
        <f t="shared" si="399"/>
        <v>0</v>
      </c>
      <c r="P1673" s="578">
        <f t="shared" si="400"/>
        <v>0</v>
      </c>
      <c r="Q1673" s="765"/>
      <c r="R1673" s="576">
        <f t="shared" si="396"/>
        <v>0</v>
      </c>
      <c r="S1673" s="576">
        <f t="shared" si="396"/>
        <v>0</v>
      </c>
      <c r="T1673" s="577">
        <f t="shared" si="397"/>
        <v>0</v>
      </c>
      <c r="U1673" s="578">
        <f t="shared" si="398"/>
        <v>0</v>
      </c>
      <c r="V1673" s="579"/>
      <c r="W1673" s="566"/>
      <c r="X1673" s="586" t="str">
        <f t="shared" si="402"/>
        <v/>
      </c>
      <c r="Y1673" s="586" t="str">
        <f t="shared" si="395"/>
        <v/>
      </c>
      <c r="Z1673" s="586" t="str">
        <f t="shared" si="393"/>
        <v/>
      </c>
    </row>
    <row r="1674" spans="1:26" ht="12" hidden="1" thickBot="1" x14ac:dyDescent="0.25">
      <c r="A1674" s="652" t="s">
        <v>187</v>
      </c>
      <c r="B1674" s="572" t="s">
        <v>187</v>
      </c>
      <c r="C1674" s="573" t="s">
        <v>187</v>
      </c>
      <c r="D1674" s="580"/>
      <c r="E1674" s="575"/>
      <c r="F1674" s="436"/>
      <c r="G1674" s="431"/>
      <c r="H1674" s="430"/>
      <c r="I1674" s="432"/>
      <c r="J1674" s="433"/>
      <c r="K1674" s="437">
        <f t="shared" si="401"/>
        <v>0</v>
      </c>
      <c r="L1674" s="435" t="s">
        <v>614</v>
      </c>
      <c r="M1674" s="576"/>
      <c r="N1674" s="576">
        <f t="shared" si="394"/>
        <v>0</v>
      </c>
      <c r="O1674" s="577">
        <f t="shared" si="399"/>
        <v>0</v>
      </c>
      <c r="P1674" s="578">
        <f t="shared" si="400"/>
        <v>0</v>
      </c>
      <c r="Q1674" s="765"/>
      <c r="R1674" s="576">
        <f t="shared" si="396"/>
        <v>0</v>
      </c>
      <c r="S1674" s="576">
        <f t="shared" si="396"/>
        <v>0</v>
      </c>
      <c r="T1674" s="577">
        <f t="shared" si="397"/>
        <v>0</v>
      </c>
      <c r="U1674" s="578">
        <f t="shared" si="398"/>
        <v>0</v>
      </c>
      <c r="V1674" s="579"/>
      <c r="W1674" s="566"/>
      <c r="X1674" s="586" t="str">
        <f t="shared" si="402"/>
        <v/>
      </c>
      <c r="Y1674" s="586" t="str">
        <f t="shared" si="395"/>
        <v/>
      </c>
      <c r="Z1674" s="586" t="str">
        <f t="shared" si="393"/>
        <v/>
      </c>
    </row>
    <row r="1675" spans="1:26" ht="12" hidden="1" thickBot="1" x14ac:dyDescent="0.25">
      <c r="A1675" s="652" t="s">
        <v>187</v>
      </c>
      <c r="B1675" s="572" t="s">
        <v>187</v>
      </c>
      <c r="C1675" s="573" t="s">
        <v>187</v>
      </c>
      <c r="D1675" s="580"/>
      <c r="E1675" s="575"/>
      <c r="F1675" s="436"/>
      <c r="G1675" s="431"/>
      <c r="H1675" s="430"/>
      <c r="I1675" s="432"/>
      <c r="J1675" s="433"/>
      <c r="K1675" s="437">
        <f t="shared" si="401"/>
        <v>0</v>
      </c>
      <c r="L1675" s="435" t="s">
        <v>614</v>
      </c>
      <c r="M1675" s="576"/>
      <c r="N1675" s="576">
        <f t="shared" si="394"/>
        <v>0</v>
      </c>
      <c r="O1675" s="577">
        <f t="shared" si="399"/>
        <v>0</v>
      </c>
      <c r="P1675" s="578">
        <f t="shared" si="400"/>
        <v>0</v>
      </c>
      <c r="Q1675" s="765"/>
      <c r="R1675" s="576">
        <f t="shared" si="396"/>
        <v>0</v>
      </c>
      <c r="S1675" s="576">
        <f t="shared" si="396"/>
        <v>0</v>
      </c>
      <c r="T1675" s="577">
        <f t="shared" si="397"/>
        <v>0</v>
      </c>
      <c r="U1675" s="578">
        <f t="shared" si="398"/>
        <v>0</v>
      </c>
      <c r="V1675" s="579"/>
      <c r="W1675" s="566"/>
      <c r="X1675" s="586" t="str">
        <f t="shared" si="402"/>
        <v/>
      </c>
      <c r="Y1675" s="586" t="str">
        <f t="shared" si="395"/>
        <v/>
      </c>
      <c r="Z1675" s="586" t="str">
        <f t="shared" si="393"/>
        <v/>
      </c>
    </row>
    <row r="1676" spans="1:26" ht="12" hidden="1" thickBot="1" x14ac:dyDescent="0.25">
      <c r="A1676" s="652" t="s">
        <v>187</v>
      </c>
      <c r="B1676" s="572" t="s">
        <v>187</v>
      </c>
      <c r="C1676" s="573" t="s">
        <v>187</v>
      </c>
      <c r="D1676" s="580"/>
      <c r="E1676" s="575"/>
      <c r="F1676" s="436"/>
      <c r="G1676" s="431"/>
      <c r="H1676" s="430"/>
      <c r="I1676" s="432"/>
      <c r="J1676" s="433"/>
      <c r="K1676" s="437">
        <f t="shared" si="401"/>
        <v>0</v>
      </c>
      <c r="L1676" s="435" t="s">
        <v>614</v>
      </c>
      <c r="M1676" s="576"/>
      <c r="N1676" s="576">
        <f t="shared" si="394"/>
        <v>0</v>
      </c>
      <c r="O1676" s="577">
        <f t="shared" si="399"/>
        <v>0</v>
      </c>
      <c r="P1676" s="578">
        <f t="shared" si="400"/>
        <v>0</v>
      </c>
      <c r="Q1676" s="765"/>
      <c r="R1676" s="576">
        <f t="shared" si="396"/>
        <v>0</v>
      </c>
      <c r="S1676" s="576">
        <f t="shared" si="396"/>
        <v>0</v>
      </c>
      <c r="T1676" s="577">
        <f t="shared" si="397"/>
        <v>0</v>
      </c>
      <c r="U1676" s="578">
        <f t="shared" si="398"/>
        <v>0</v>
      </c>
      <c r="V1676" s="579"/>
      <c r="W1676" s="566"/>
      <c r="X1676" s="586" t="str">
        <f t="shared" si="402"/>
        <v/>
      </c>
      <c r="Y1676" s="586" t="str">
        <f t="shared" si="395"/>
        <v/>
      </c>
      <c r="Z1676" s="586" t="str">
        <f t="shared" si="393"/>
        <v/>
      </c>
    </row>
    <row r="1677" spans="1:26" ht="12" hidden="1" thickBot="1" x14ac:dyDescent="0.25">
      <c r="A1677" s="652" t="s">
        <v>187</v>
      </c>
      <c r="B1677" s="572" t="s">
        <v>187</v>
      </c>
      <c r="C1677" s="573" t="s">
        <v>187</v>
      </c>
      <c r="D1677" s="580"/>
      <c r="E1677" s="575"/>
      <c r="F1677" s="436"/>
      <c r="G1677" s="431"/>
      <c r="H1677" s="430"/>
      <c r="I1677" s="432"/>
      <c r="J1677" s="433"/>
      <c r="K1677" s="437">
        <f t="shared" si="401"/>
        <v>0</v>
      </c>
      <c r="L1677" s="435" t="s">
        <v>614</v>
      </c>
      <c r="M1677" s="576"/>
      <c r="N1677" s="576">
        <f t="shared" si="394"/>
        <v>0</v>
      </c>
      <c r="O1677" s="577">
        <f t="shared" si="399"/>
        <v>0</v>
      </c>
      <c r="P1677" s="578">
        <f t="shared" si="400"/>
        <v>0</v>
      </c>
      <c r="Q1677" s="765"/>
      <c r="R1677" s="576">
        <f t="shared" si="396"/>
        <v>0</v>
      </c>
      <c r="S1677" s="576">
        <f t="shared" si="396"/>
        <v>0</v>
      </c>
      <c r="T1677" s="577">
        <f t="shared" si="397"/>
        <v>0</v>
      </c>
      <c r="U1677" s="578">
        <f t="shared" si="398"/>
        <v>0</v>
      </c>
      <c r="V1677" s="579"/>
      <c r="W1677" s="566"/>
      <c r="X1677" s="586" t="str">
        <f t="shared" si="402"/>
        <v/>
      </c>
      <c r="Y1677" s="586" t="str">
        <f t="shared" si="395"/>
        <v/>
      </c>
      <c r="Z1677" s="586" t="str">
        <f t="shared" si="393"/>
        <v/>
      </c>
    </row>
    <row r="1678" spans="1:26" ht="12" hidden="1" thickBot="1" x14ac:dyDescent="0.25">
      <c r="A1678" s="652" t="s">
        <v>187</v>
      </c>
      <c r="B1678" s="572" t="s">
        <v>187</v>
      </c>
      <c r="C1678" s="573" t="s">
        <v>187</v>
      </c>
      <c r="D1678" s="580"/>
      <c r="E1678" s="575"/>
      <c r="F1678" s="436"/>
      <c r="G1678" s="431"/>
      <c r="H1678" s="430"/>
      <c r="I1678" s="432"/>
      <c r="J1678" s="433"/>
      <c r="K1678" s="437">
        <f t="shared" si="401"/>
        <v>0</v>
      </c>
      <c r="L1678" s="435" t="s">
        <v>614</v>
      </c>
      <c r="M1678" s="576"/>
      <c r="N1678" s="576">
        <f t="shared" si="394"/>
        <v>0</v>
      </c>
      <c r="O1678" s="577">
        <f t="shared" si="399"/>
        <v>0</v>
      </c>
      <c r="P1678" s="578">
        <f t="shared" si="400"/>
        <v>0</v>
      </c>
      <c r="Q1678" s="765"/>
      <c r="R1678" s="576">
        <f t="shared" si="396"/>
        <v>0</v>
      </c>
      <c r="S1678" s="576">
        <f t="shared" si="396"/>
        <v>0</v>
      </c>
      <c r="T1678" s="577">
        <f t="shared" si="397"/>
        <v>0</v>
      </c>
      <c r="U1678" s="578">
        <f t="shared" si="398"/>
        <v>0</v>
      </c>
      <c r="V1678" s="579"/>
      <c r="W1678" s="566"/>
      <c r="X1678" s="586" t="str">
        <f t="shared" si="402"/>
        <v/>
      </c>
      <c r="Y1678" s="586" t="str">
        <f t="shared" si="395"/>
        <v/>
      </c>
      <c r="Z1678" s="586" t="str">
        <f t="shared" si="393"/>
        <v/>
      </c>
    </row>
    <row r="1679" spans="1:26" ht="12" hidden="1" thickBot="1" x14ac:dyDescent="0.25">
      <c r="A1679" s="652" t="s">
        <v>187</v>
      </c>
      <c r="B1679" s="572" t="s">
        <v>187</v>
      </c>
      <c r="C1679" s="573" t="s">
        <v>187</v>
      </c>
      <c r="D1679" s="580"/>
      <c r="E1679" s="575"/>
      <c r="F1679" s="436"/>
      <c r="G1679" s="431"/>
      <c r="H1679" s="430"/>
      <c r="I1679" s="432"/>
      <c r="J1679" s="433"/>
      <c r="K1679" s="437">
        <f t="shared" si="401"/>
        <v>0</v>
      </c>
      <c r="L1679" s="435" t="s">
        <v>614</v>
      </c>
      <c r="M1679" s="576"/>
      <c r="N1679" s="576">
        <f t="shared" si="394"/>
        <v>0</v>
      </c>
      <c r="O1679" s="577">
        <f t="shared" si="399"/>
        <v>0</v>
      </c>
      <c r="P1679" s="578">
        <f t="shared" si="400"/>
        <v>0</v>
      </c>
      <c r="Q1679" s="765"/>
      <c r="R1679" s="576">
        <f t="shared" si="396"/>
        <v>0</v>
      </c>
      <c r="S1679" s="576">
        <f t="shared" si="396"/>
        <v>0</v>
      </c>
      <c r="T1679" s="577">
        <f t="shared" si="397"/>
        <v>0</v>
      </c>
      <c r="U1679" s="578">
        <f t="shared" si="398"/>
        <v>0</v>
      </c>
      <c r="V1679" s="579"/>
      <c r="W1679" s="566"/>
      <c r="X1679" s="586" t="str">
        <f t="shared" si="402"/>
        <v/>
      </c>
      <c r="Y1679" s="586" t="str">
        <f t="shared" si="395"/>
        <v/>
      </c>
      <c r="Z1679" s="586" t="str">
        <f t="shared" si="393"/>
        <v/>
      </c>
    </row>
    <row r="1680" spans="1:26" ht="12" hidden="1" thickBot="1" x14ac:dyDescent="0.25">
      <c r="A1680" s="652" t="s">
        <v>187</v>
      </c>
      <c r="B1680" s="572" t="s">
        <v>187</v>
      </c>
      <c r="C1680" s="573" t="s">
        <v>187</v>
      </c>
      <c r="D1680" s="580"/>
      <c r="E1680" s="575"/>
      <c r="F1680" s="436"/>
      <c r="G1680" s="431"/>
      <c r="H1680" s="430"/>
      <c r="I1680" s="432"/>
      <c r="J1680" s="433"/>
      <c r="K1680" s="437">
        <f t="shared" si="401"/>
        <v>0</v>
      </c>
      <c r="L1680" s="435" t="s">
        <v>614</v>
      </c>
      <c r="M1680" s="576"/>
      <c r="N1680" s="576">
        <f t="shared" si="394"/>
        <v>0</v>
      </c>
      <c r="O1680" s="577">
        <f t="shared" si="399"/>
        <v>0</v>
      </c>
      <c r="P1680" s="578">
        <f t="shared" si="400"/>
        <v>0</v>
      </c>
      <c r="Q1680" s="765"/>
      <c r="R1680" s="576">
        <f t="shared" si="396"/>
        <v>0</v>
      </c>
      <c r="S1680" s="576">
        <f t="shared" si="396"/>
        <v>0</v>
      </c>
      <c r="T1680" s="577">
        <f t="shared" si="397"/>
        <v>0</v>
      </c>
      <c r="U1680" s="578">
        <f t="shared" si="398"/>
        <v>0</v>
      </c>
      <c r="V1680" s="579"/>
      <c r="W1680" s="566"/>
      <c r="X1680" s="586" t="str">
        <f t="shared" si="402"/>
        <v/>
      </c>
      <c r="Y1680" s="586" t="str">
        <f t="shared" si="395"/>
        <v/>
      </c>
      <c r="Z1680" s="586" t="str">
        <f t="shared" si="393"/>
        <v/>
      </c>
    </row>
    <row r="1681" spans="1:26" ht="12" hidden="1" thickBot="1" x14ac:dyDescent="0.25">
      <c r="A1681" s="652" t="s">
        <v>187</v>
      </c>
      <c r="B1681" s="572" t="s">
        <v>187</v>
      </c>
      <c r="C1681" s="573" t="s">
        <v>187</v>
      </c>
      <c r="D1681" s="580"/>
      <c r="E1681" s="575"/>
      <c r="F1681" s="436"/>
      <c r="G1681" s="431"/>
      <c r="H1681" s="430"/>
      <c r="I1681" s="432"/>
      <c r="J1681" s="433"/>
      <c r="K1681" s="437">
        <f t="shared" si="401"/>
        <v>0</v>
      </c>
      <c r="L1681" s="435" t="s">
        <v>614</v>
      </c>
      <c r="M1681" s="576"/>
      <c r="N1681" s="576">
        <f t="shared" si="394"/>
        <v>0</v>
      </c>
      <c r="O1681" s="577">
        <f t="shared" si="399"/>
        <v>0</v>
      </c>
      <c r="P1681" s="578">
        <f t="shared" si="400"/>
        <v>0</v>
      </c>
      <c r="Q1681" s="765"/>
      <c r="R1681" s="576">
        <f t="shared" si="396"/>
        <v>0</v>
      </c>
      <c r="S1681" s="576">
        <f t="shared" si="396"/>
        <v>0</v>
      </c>
      <c r="T1681" s="577">
        <f t="shared" si="397"/>
        <v>0</v>
      </c>
      <c r="U1681" s="578">
        <f t="shared" si="398"/>
        <v>0</v>
      </c>
      <c r="V1681" s="579"/>
      <c r="W1681" s="566"/>
      <c r="X1681" s="586" t="str">
        <f t="shared" si="402"/>
        <v/>
      </c>
      <c r="Y1681" s="586" t="str">
        <f t="shared" si="395"/>
        <v/>
      </c>
      <c r="Z1681" s="586" t="str">
        <f t="shared" si="393"/>
        <v/>
      </c>
    </row>
    <row r="1682" spans="1:26" ht="12" hidden="1" thickBot="1" x14ac:dyDescent="0.25">
      <c r="A1682" s="652" t="s">
        <v>187</v>
      </c>
      <c r="B1682" s="572" t="s">
        <v>187</v>
      </c>
      <c r="C1682" s="573" t="s">
        <v>187</v>
      </c>
      <c r="D1682" s="580"/>
      <c r="E1682" s="575"/>
      <c r="F1682" s="436"/>
      <c r="G1682" s="431"/>
      <c r="H1682" s="430"/>
      <c r="I1682" s="432"/>
      <c r="J1682" s="433"/>
      <c r="K1682" s="437">
        <f t="shared" si="401"/>
        <v>0</v>
      </c>
      <c r="L1682" s="435" t="s">
        <v>614</v>
      </c>
      <c r="M1682" s="576"/>
      <c r="N1682" s="576">
        <f t="shared" si="394"/>
        <v>0</v>
      </c>
      <c r="O1682" s="577">
        <f t="shared" si="399"/>
        <v>0</v>
      </c>
      <c r="P1682" s="578">
        <f t="shared" si="400"/>
        <v>0</v>
      </c>
      <c r="Q1682" s="765"/>
      <c r="R1682" s="576">
        <f t="shared" si="396"/>
        <v>0</v>
      </c>
      <c r="S1682" s="576">
        <f t="shared" si="396"/>
        <v>0</v>
      </c>
      <c r="T1682" s="577">
        <f t="shared" si="397"/>
        <v>0</v>
      </c>
      <c r="U1682" s="578">
        <f t="shared" si="398"/>
        <v>0</v>
      </c>
      <c r="V1682" s="579"/>
      <c r="W1682" s="566"/>
      <c r="X1682" s="586" t="str">
        <f t="shared" si="402"/>
        <v/>
      </c>
      <c r="Y1682" s="586" t="str">
        <f t="shared" si="395"/>
        <v/>
      </c>
      <c r="Z1682" s="586" t="str">
        <f t="shared" si="393"/>
        <v/>
      </c>
    </row>
    <row r="1683" spans="1:26" ht="12" hidden="1" thickBot="1" x14ac:dyDescent="0.25">
      <c r="A1683" s="652" t="s">
        <v>187</v>
      </c>
      <c r="B1683" s="572" t="s">
        <v>187</v>
      </c>
      <c r="C1683" s="573" t="s">
        <v>187</v>
      </c>
      <c r="D1683" s="580"/>
      <c r="E1683" s="575"/>
      <c r="F1683" s="436"/>
      <c r="G1683" s="431"/>
      <c r="H1683" s="430"/>
      <c r="I1683" s="432"/>
      <c r="J1683" s="433"/>
      <c r="K1683" s="437">
        <f t="shared" si="401"/>
        <v>0</v>
      </c>
      <c r="L1683" s="435" t="s">
        <v>614</v>
      </c>
      <c r="M1683" s="576"/>
      <c r="N1683" s="576">
        <f t="shared" si="394"/>
        <v>0</v>
      </c>
      <c r="O1683" s="577">
        <f t="shared" si="399"/>
        <v>0</v>
      </c>
      <c r="P1683" s="578">
        <f t="shared" si="400"/>
        <v>0</v>
      </c>
      <c r="Q1683" s="765"/>
      <c r="R1683" s="576">
        <f t="shared" si="396"/>
        <v>0</v>
      </c>
      <c r="S1683" s="576">
        <f t="shared" si="396"/>
        <v>0</v>
      </c>
      <c r="T1683" s="577">
        <f t="shared" si="397"/>
        <v>0</v>
      </c>
      <c r="U1683" s="578">
        <f t="shared" si="398"/>
        <v>0</v>
      </c>
      <c r="V1683" s="579"/>
      <c r="W1683" s="566"/>
      <c r="X1683" s="586" t="str">
        <f t="shared" si="402"/>
        <v/>
      </c>
      <c r="Y1683" s="586" t="str">
        <f t="shared" si="395"/>
        <v/>
      </c>
      <c r="Z1683" s="586" t="str">
        <f t="shared" ref="Z1683:Z1746" si="403">IF(W1683="X","x",IF(U1683&gt;0,"x",""))</f>
        <v/>
      </c>
    </row>
    <row r="1684" spans="1:26" ht="12" hidden="1" thickBot="1" x14ac:dyDescent="0.25">
      <c r="A1684" s="652" t="s">
        <v>187</v>
      </c>
      <c r="B1684" s="572" t="s">
        <v>187</v>
      </c>
      <c r="C1684" s="573" t="s">
        <v>187</v>
      </c>
      <c r="D1684" s="580"/>
      <c r="E1684" s="575"/>
      <c r="F1684" s="436"/>
      <c r="G1684" s="431"/>
      <c r="H1684" s="430"/>
      <c r="I1684" s="432"/>
      <c r="J1684" s="433"/>
      <c r="K1684" s="437">
        <f t="shared" si="401"/>
        <v>0</v>
      </c>
      <c r="L1684" s="435" t="s">
        <v>614</v>
      </c>
      <c r="M1684" s="576"/>
      <c r="N1684" s="576">
        <f t="shared" ref="N1684:N1747" si="404">IF(M1684=0,0,K1684)</f>
        <v>0</v>
      </c>
      <c r="O1684" s="577">
        <f t="shared" si="399"/>
        <v>0</v>
      </c>
      <c r="P1684" s="578">
        <f t="shared" si="400"/>
        <v>0</v>
      </c>
      <c r="Q1684" s="765"/>
      <c r="R1684" s="576">
        <f t="shared" si="396"/>
        <v>0</v>
      </c>
      <c r="S1684" s="576">
        <f t="shared" si="396"/>
        <v>0</v>
      </c>
      <c r="T1684" s="577">
        <f t="shared" si="397"/>
        <v>0</v>
      </c>
      <c r="U1684" s="578">
        <f t="shared" si="398"/>
        <v>0</v>
      </c>
      <c r="V1684" s="579"/>
      <c r="W1684" s="566"/>
      <c r="X1684" s="586" t="str">
        <f t="shared" si="402"/>
        <v/>
      </c>
      <c r="Y1684" s="586" t="str">
        <f t="shared" si="395"/>
        <v/>
      </c>
      <c r="Z1684" s="586" t="str">
        <f t="shared" si="403"/>
        <v/>
      </c>
    </row>
    <row r="1685" spans="1:26" ht="12" hidden="1" thickBot="1" x14ac:dyDescent="0.25">
      <c r="A1685" s="652" t="s">
        <v>187</v>
      </c>
      <c r="B1685" s="572" t="s">
        <v>187</v>
      </c>
      <c r="C1685" s="573" t="s">
        <v>187</v>
      </c>
      <c r="D1685" s="580"/>
      <c r="E1685" s="575"/>
      <c r="F1685" s="436"/>
      <c r="G1685" s="431"/>
      <c r="H1685" s="430"/>
      <c r="I1685" s="432"/>
      <c r="J1685" s="433"/>
      <c r="K1685" s="437">
        <f t="shared" si="401"/>
        <v>0</v>
      </c>
      <c r="L1685" s="435" t="s">
        <v>614</v>
      </c>
      <c r="M1685" s="576"/>
      <c r="N1685" s="576">
        <f t="shared" si="404"/>
        <v>0</v>
      </c>
      <c r="O1685" s="577">
        <f t="shared" si="399"/>
        <v>0</v>
      </c>
      <c r="P1685" s="578">
        <f t="shared" si="400"/>
        <v>0</v>
      </c>
      <c r="Q1685" s="765"/>
      <c r="R1685" s="576">
        <f t="shared" si="396"/>
        <v>0</v>
      </c>
      <c r="S1685" s="576">
        <f t="shared" si="396"/>
        <v>0</v>
      </c>
      <c r="T1685" s="577">
        <f t="shared" si="397"/>
        <v>0</v>
      </c>
      <c r="U1685" s="578">
        <f t="shared" si="398"/>
        <v>0</v>
      </c>
      <c r="V1685" s="579"/>
      <c r="W1685" s="566"/>
      <c r="X1685" s="586" t="str">
        <f t="shared" si="402"/>
        <v/>
      </c>
      <c r="Y1685" s="586" t="str">
        <f t="shared" si="395"/>
        <v/>
      </c>
      <c r="Z1685" s="586" t="str">
        <f t="shared" si="403"/>
        <v/>
      </c>
    </row>
    <row r="1686" spans="1:26" ht="12" hidden="1" thickBot="1" x14ac:dyDescent="0.25">
      <c r="A1686" s="652" t="s">
        <v>187</v>
      </c>
      <c r="B1686" s="572" t="s">
        <v>187</v>
      </c>
      <c r="C1686" s="573" t="s">
        <v>187</v>
      </c>
      <c r="D1686" s="580"/>
      <c r="E1686" s="575"/>
      <c r="F1686" s="436"/>
      <c r="G1686" s="431"/>
      <c r="H1686" s="430"/>
      <c r="I1686" s="432"/>
      <c r="J1686" s="433"/>
      <c r="K1686" s="437">
        <f t="shared" si="401"/>
        <v>0</v>
      </c>
      <c r="L1686" s="435" t="s">
        <v>614</v>
      </c>
      <c r="M1686" s="576"/>
      <c r="N1686" s="576">
        <f t="shared" si="404"/>
        <v>0</v>
      </c>
      <c r="O1686" s="577">
        <f t="shared" si="399"/>
        <v>0</v>
      </c>
      <c r="P1686" s="578">
        <f t="shared" si="400"/>
        <v>0</v>
      </c>
      <c r="Q1686" s="765"/>
      <c r="R1686" s="576">
        <f t="shared" si="396"/>
        <v>0</v>
      </c>
      <c r="S1686" s="576">
        <f t="shared" si="396"/>
        <v>0</v>
      </c>
      <c r="T1686" s="577">
        <f t="shared" si="397"/>
        <v>0</v>
      </c>
      <c r="U1686" s="578">
        <f t="shared" si="398"/>
        <v>0</v>
      </c>
      <c r="V1686" s="579"/>
      <c r="W1686" s="566"/>
      <c r="X1686" s="586" t="str">
        <f t="shared" si="402"/>
        <v/>
      </c>
      <c r="Y1686" s="586" t="str">
        <f t="shared" si="395"/>
        <v/>
      </c>
      <c r="Z1686" s="586" t="str">
        <f t="shared" si="403"/>
        <v/>
      </c>
    </row>
    <row r="1687" spans="1:26" ht="12" hidden="1" thickBot="1" x14ac:dyDescent="0.25">
      <c r="A1687" s="652" t="s">
        <v>187</v>
      </c>
      <c r="B1687" s="572" t="s">
        <v>187</v>
      </c>
      <c r="C1687" s="573" t="s">
        <v>187</v>
      </c>
      <c r="D1687" s="580"/>
      <c r="E1687" s="575"/>
      <c r="F1687" s="436"/>
      <c r="G1687" s="431"/>
      <c r="H1687" s="430"/>
      <c r="I1687" s="432"/>
      <c r="J1687" s="433"/>
      <c r="K1687" s="437">
        <f t="shared" si="401"/>
        <v>0</v>
      </c>
      <c r="L1687" s="435" t="s">
        <v>614</v>
      </c>
      <c r="M1687" s="576"/>
      <c r="N1687" s="576">
        <f t="shared" si="404"/>
        <v>0</v>
      </c>
      <c r="O1687" s="577">
        <f t="shared" si="399"/>
        <v>0</v>
      </c>
      <c r="P1687" s="578">
        <f t="shared" si="400"/>
        <v>0</v>
      </c>
      <c r="Q1687" s="765"/>
      <c r="R1687" s="576">
        <f t="shared" si="396"/>
        <v>0</v>
      </c>
      <c r="S1687" s="576">
        <f t="shared" si="396"/>
        <v>0</v>
      </c>
      <c r="T1687" s="577">
        <f t="shared" si="397"/>
        <v>0</v>
      </c>
      <c r="U1687" s="578">
        <f t="shared" si="398"/>
        <v>0</v>
      </c>
      <c r="V1687" s="579"/>
      <c r="W1687" s="566"/>
      <c r="X1687" s="586" t="str">
        <f t="shared" si="402"/>
        <v/>
      </c>
      <c r="Y1687" s="586" t="str">
        <f t="shared" si="395"/>
        <v/>
      </c>
      <c r="Z1687" s="586" t="str">
        <f t="shared" si="403"/>
        <v/>
      </c>
    </row>
    <row r="1688" spans="1:26" ht="12" hidden="1" thickBot="1" x14ac:dyDescent="0.25">
      <c r="A1688" s="652" t="s">
        <v>187</v>
      </c>
      <c r="B1688" s="572" t="s">
        <v>187</v>
      </c>
      <c r="C1688" s="573" t="s">
        <v>187</v>
      </c>
      <c r="D1688" s="580"/>
      <c r="E1688" s="575"/>
      <c r="F1688" s="436"/>
      <c r="G1688" s="431"/>
      <c r="H1688" s="430"/>
      <c r="I1688" s="432"/>
      <c r="J1688" s="433"/>
      <c r="K1688" s="437">
        <f t="shared" si="401"/>
        <v>0</v>
      </c>
      <c r="L1688" s="435" t="s">
        <v>614</v>
      </c>
      <c r="M1688" s="576"/>
      <c r="N1688" s="576">
        <f t="shared" si="404"/>
        <v>0</v>
      </c>
      <c r="O1688" s="577">
        <f t="shared" si="399"/>
        <v>0</v>
      </c>
      <c r="P1688" s="578">
        <f t="shared" si="400"/>
        <v>0</v>
      </c>
      <c r="Q1688" s="765"/>
      <c r="R1688" s="576">
        <f t="shared" si="396"/>
        <v>0</v>
      </c>
      <c r="S1688" s="576">
        <f t="shared" si="396"/>
        <v>0</v>
      </c>
      <c r="T1688" s="577">
        <f t="shared" si="397"/>
        <v>0</v>
      </c>
      <c r="U1688" s="578">
        <f t="shared" si="398"/>
        <v>0</v>
      </c>
      <c r="V1688" s="579"/>
      <c r="W1688" s="566"/>
      <c r="X1688" s="586" t="str">
        <f t="shared" si="402"/>
        <v/>
      </c>
      <c r="Y1688" s="586" t="str">
        <f t="shared" si="395"/>
        <v/>
      </c>
      <c r="Z1688" s="586" t="str">
        <f t="shared" si="403"/>
        <v/>
      </c>
    </row>
    <row r="1689" spans="1:26" ht="12" hidden="1" thickBot="1" x14ac:dyDescent="0.25">
      <c r="A1689" s="652" t="s">
        <v>187</v>
      </c>
      <c r="B1689" s="581" t="s">
        <v>187</v>
      </c>
      <c r="C1689" s="582" t="s">
        <v>187</v>
      </c>
      <c r="D1689" s="583"/>
      <c r="E1689" s="584"/>
      <c r="F1689" s="438"/>
      <c r="G1689" s="439"/>
      <c r="H1689" s="440"/>
      <c r="I1689" s="441"/>
      <c r="J1689" s="442"/>
      <c r="K1689" s="443">
        <f t="shared" si="401"/>
        <v>0</v>
      </c>
      <c r="L1689" s="444" t="s">
        <v>614</v>
      </c>
      <c r="M1689" s="576"/>
      <c r="N1689" s="576">
        <f t="shared" si="404"/>
        <v>0</v>
      </c>
      <c r="O1689" s="585">
        <f t="shared" si="399"/>
        <v>0</v>
      </c>
      <c r="P1689" s="660">
        <f t="shared" si="400"/>
        <v>0</v>
      </c>
      <c r="Q1689" s="765"/>
      <c r="R1689" s="576">
        <f t="shared" si="396"/>
        <v>0</v>
      </c>
      <c r="S1689" s="576">
        <f t="shared" si="396"/>
        <v>0</v>
      </c>
      <c r="T1689" s="585">
        <f t="shared" si="397"/>
        <v>0</v>
      </c>
      <c r="U1689" s="660">
        <f t="shared" si="398"/>
        <v>0</v>
      </c>
      <c r="V1689" s="579"/>
      <c r="W1689" s="566"/>
      <c r="X1689" s="586" t="str">
        <f t="shared" si="402"/>
        <v/>
      </c>
      <c r="Y1689" s="586" t="str">
        <f t="shared" si="395"/>
        <v/>
      </c>
      <c r="Z1689" s="586" t="str">
        <f t="shared" si="403"/>
        <v/>
      </c>
    </row>
    <row r="1690" spans="1:26" ht="12" hidden="1" thickBot="1" x14ac:dyDescent="0.25">
      <c r="A1690" s="567" t="s">
        <v>473</v>
      </c>
      <c r="B1690" s="664" t="s">
        <v>471</v>
      </c>
      <c r="C1690" s="665"/>
      <c r="D1690" s="666" t="s">
        <v>472</v>
      </c>
      <c r="E1690" s="631"/>
      <c r="F1690" s="632"/>
      <c r="G1690" s="633"/>
      <c r="H1690" s="634"/>
      <c r="I1690" s="409">
        <v>0</v>
      </c>
      <c r="J1690" s="409"/>
      <c r="K1690" s="409"/>
      <c r="L1690" s="409" t="s">
        <v>614</v>
      </c>
      <c r="M1690" s="634"/>
      <c r="N1690" s="797"/>
      <c r="O1690" s="409">
        <f t="shared" si="399"/>
        <v>0</v>
      </c>
      <c r="P1690" s="635">
        <f t="shared" si="400"/>
        <v>0</v>
      </c>
      <c r="Q1690" s="635">
        <f>SUM(P1691:P1784)</f>
        <v>0</v>
      </c>
      <c r="R1690" s="634"/>
      <c r="S1690" s="409"/>
      <c r="T1690" s="409">
        <f t="shared" si="397"/>
        <v>0</v>
      </c>
      <c r="U1690" s="635">
        <f t="shared" si="398"/>
        <v>0</v>
      </c>
      <c r="V1690" s="636">
        <f>SUM(U1691:U1784)</f>
        <v>0</v>
      </c>
      <c r="W1690" s="637" t="str">
        <f>IF(OR(Q1690&gt;0,V1690&gt;0),"X","")</f>
        <v/>
      </c>
      <c r="X1690" s="586" t="str">
        <f t="shared" si="402"/>
        <v/>
      </c>
      <c r="Y1690" s="586" t="str">
        <f t="shared" si="395"/>
        <v/>
      </c>
      <c r="Z1690" s="586" t="str">
        <f t="shared" si="403"/>
        <v/>
      </c>
    </row>
    <row r="1691" spans="1:26" ht="12" hidden="1" thickBot="1" x14ac:dyDescent="0.25">
      <c r="A1691" s="567">
        <v>850000</v>
      </c>
      <c r="B1691" s="644">
        <v>850000</v>
      </c>
      <c r="C1691" s="645" t="s">
        <v>206</v>
      </c>
      <c r="D1691" s="422" t="s">
        <v>294</v>
      </c>
      <c r="E1691" s="423"/>
      <c r="F1691" s="418">
        <v>20</v>
      </c>
      <c r="G1691" s="425">
        <v>1.73</v>
      </c>
      <c r="H1691" s="649">
        <f t="shared" ref="H1691" si="405">IF(F1691&lt;=30,(1.07*F1691+2.68)*G1691,((1.07*30+2.68)+1.07*(F1691-30))*G1691)</f>
        <v>41.6584</v>
      </c>
      <c r="I1691" s="420">
        <v>7093.9400000000005</v>
      </c>
      <c r="J1691" s="420">
        <f t="shared" ref="J1691:J1696" si="406">IF(ISBLANK(I1691),"",SUM(H1691:I1691))</f>
        <v>7135.5984000000008</v>
      </c>
      <c r="K1691" s="421">
        <f t="shared" ref="K1691:K1751" si="407">IF(ISBLANK(I1691),0,ROUND(J1691*(1+$F$10)*(1+$F$11*E1691),2))</f>
        <v>8477.7999999999993</v>
      </c>
      <c r="L1691" s="647" t="s">
        <v>21</v>
      </c>
      <c r="M1691" s="576"/>
      <c r="N1691" s="576">
        <f t="shared" si="404"/>
        <v>0</v>
      </c>
      <c r="O1691" s="577">
        <f t="shared" si="399"/>
        <v>0</v>
      </c>
      <c r="P1691" s="578">
        <f t="shared" si="400"/>
        <v>0</v>
      </c>
      <c r="Q1691" s="765"/>
      <c r="R1691" s="576">
        <f t="shared" si="396"/>
        <v>0</v>
      </c>
      <c r="S1691" s="576">
        <f t="shared" si="396"/>
        <v>0</v>
      </c>
      <c r="T1691" s="577">
        <f t="shared" si="397"/>
        <v>0</v>
      </c>
      <c r="U1691" s="578">
        <f t="shared" si="398"/>
        <v>0</v>
      </c>
      <c r="V1691" s="579"/>
      <c r="W1691" s="566"/>
      <c r="X1691" s="586" t="str">
        <f t="shared" si="402"/>
        <v/>
      </c>
      <c r="Y1691" s="586" t="str">
        <f t="shared" si="395"/>
        <v/>
      </c>
      <c r="Z1691" s="586" t="str">
        <f t="shared" si="403"/>
        <v/>
      </c>
    </row>
    <row r="1692" spans="1:26" ht="12" hidden="1" thickBot="1" x14ac:dyDescent="0.25">
      <c r="A1692" s="567">
        <v>603000</v>
      </c>
      <c r="B1692" s="644" t="s">
        <v>1861</v>
      </c>
      <c r="C1692" s="645" t="s">
        <v>206</v>
      </c>
      <c r="D1692" s="422" t="s">
        <v>276</v>
      </c>
      <c r="E1692" s="423"/>
      <c r="F1692" s="424"/>
      <c r="G1692" s="425"/>
      <c r="H1692" s="663"/>
      <c r="I1692" s="420">
        <v>17.84</v>
      </c>
      <c r="J1692" s="420">
        <f t="shared" si="406"/>
        <v>17.84</v>
      </c>
      <c r="K1692" s="421">
        <f t="shared" si="407"/>
        <v>21.2</v>
      </c>
      <c r="L1692" s="647" t="s">
        <v>23</v>
      </c>
      <c r="M1692" s="576"/>
      <c r="N1692" s="576">
        <f t="shared" si="404"/>
        <v>0</v>
      </c>
      <c r="O1692" s="577">
        <f t="shared" si="399"/>
        <v>0</v>
      </c>
      <c r="P1692" s="578">
        <f t="shared" si="400"/>
        <v>0</v>
      </c>
      <c r="Q1692" s="765"/>
      <c r="R1692" s="576">
        <f t="shared" si="396"/>
        <v>0</v>
      </c>
      <c r="S1692" s="576">
        <f t="shared" si="396"/>
        <v>0</v>
      </c>
      <c r="T1692" s="577">
        <f t="shared" si="397"/>
        <v>0</v>
      </c>
      <c r="U1692" s="578">
        <f t="shared" si="398"/>
        <v>0</v>
      </c>
      <c r="V1692" s="579"/>
      <c r="W1692" s="566"/>
      <c r="X1692" s="586" t="str">
        <f t="shared" si="402"/>
        <v/>
      </c>
      <c r="Y1692" s="586" t="str">
        <f t="shared" si="395"/>
        <v/>
      </c>
      <c r="Z1692" s="586" t="str">
        <f t="shared" si="403"/>
        <v/>
      </c>
    </row>
    <row r="1693" spans="1:26" ht="12" hidden="1" thickBot="1" x14ac:dyDescent="0.25">
      <c r="A1693" s="567">
        <v>603300</v>
      </c>
      <c r="B1693" s="644" t="s">
        <v>1862</v>
      </c>
      <c r="C1693" s="645" t="s">
        <v>206</v>
      </c>
      <c r="D1693" s="422" t="s">
        <v>277</v>
      </c>
      <c r="E1693" s="423"/>
      <c r="F1693" s="424"/>
      <c r="G1693" s="425"/>
      <c r="H1693" s="663"/>
      <c r="I1693" s="420">
        <v>19.490000000000002</v>
      </c>
      <c r="J1693" s="420">
        <f t="shared" si="406"/>
        <v>19.490000000000002</v>
      </c>
      <c r="K1693" s="421">
        <f t="shared" si="407"/>
        <v>23.16</v>
      </c>
      <c r="L1693" s="647" t="s">
        <v>23</v>
      </c>
      <c r="M1693" s="576"/>
      <c r="N1693" s="576">
        <f t="shared" si="404"/>
        <v>0</v>
      </c>
      <c r="O1693" s="577">
        <f t="shared" si="399"/>
        <v>0</v>
      </c>
      <c r="P1693" s="578">
        <f t="shared" si="400"/>
        <v>0</v>
      </c>
      <c r="Q1693" s="765"/>
      <c r="R1693" s="576">
        <f t="shared" si="396"/>
        <v>0</v>
      </c>
      <c r="S1693" s="576">
        <f t="shared" si="396"/>
        <v>0</v>
      </c>
      <c r="T1693" s="577">
        <f t="shared" si="397"/>
        <v>0</v>
      </c>
      <c r="U1693" s="578">
        <f t="shared" si="398"/>
        <v>0</v>
      </c>
      <c r="V1693" s="579"/>
      <c r="W1693" s="566"/>
      <c r="X1693" s="586" t="str">
        <f t="shared" si="402"/>
        <v/>
      </c>
      <c r="Y1693" s="586" t="str">
        <f t="shared" si="395"/>
        <v/>
      </c>
      <c r="Z1693" s="586" t="str">
        <f t="shared" si="403"/>
        <v/>
      </c>
    </row>
    <row r="1694" spans="1:26" ht="12" hidden="1" thickBot="1" x14ac:dyDescent="0.25">
      <c r="A1694" s="567">
        <v>601100</v>
      </c>
      <c r="B1694" s="644" t="s">
        <v>1627</v>
      </c>
      <c r="C1694" s="645" t="s">
        <v>206</v>
      </c>
      <c r="D1694" s="422" t="s">
        <v>335</v>
      </c>
      <c r="E1694" s="423"/>
      <c r="F1694" s="424"/>
      <c r="G1694" s="425"/>
      <c r="H1694" s="651"/>
      <c r="I1694" s="420">
        <v>50.31</v>
      </c>
      <c r="J1694" s="420">
        <f t="shared" si="406"/>
        <v>50.31</v>
      </c>
      <c r="K1694" s="421">
        <f t="shared" si="407"/>
        <v>59.77</v>
      </c>
      <c r="L1694" s="647" t="s">
        <v>16</v>
      </c>
      <c r="M1694" s="576"/>
      <c r="N1694" s="576">
        <f t="shared" si="404"/>
        <v>0</v>
      </c>
      <c r="O1694" s="577">
        <f t="shared" si="399"/>
        <v>0</v>
      </c>
      <c r="P1694" s="578">
        <f t="shared" si="400"/>
        <v>0</v>
      </c>
      <c r="Q1694" s="765"/>
      <c r="R1694" s="576">
        <f t="shared" si="396"/>
        <v>0</v>
      </c>
      <c r="S1694" s="576">
        <f t="shared" si="396"/>
        <v>0</v>
      </c>
      <c r="T1694" s="577">
        <f t="shared" si="397"/>
        <v>0</v>
      </c>
      <c r="U1694" s="578">
        <f t="shared" si="398"/>
        <v>0</v>
      </c>
      <c r="V1694" s="579"/>
      <c r="W1694" s="566"/>
      <c r="X1694" s="586" t="str">
        <f t="shared" si="402"/>
        <v/>
      </c>
      <c r="Y1694" s="586" t="str">
        <f t="shared" si="395"/>
        <v/>
      </c>
      <c r="Z1694" s="586" t="str">
        <f t="shared" si="403"/>
        <v/>
      </c>
    </row>
    <row r="1695" spans="1:26" ht="12" hidden="1" thickBot="1" x14ac:dyDescent="0.25">
      <c r="A1695" s="567">
        <v>520100</v>
      </c>
      <c r="B1695" s="644" t="s">
        <v>1863</v>
      </c>
      <c r="C1695" s="645" t="s">
        <v>206</v>
      </c>
      <c r="D1695" s="422" t="s">
        <v>285</v>
      </c>
      <c r="E1695" s="423"/>
      <c r="F1695" s="418">
        <v>0.5</v>
      </c>
      <c r="G1695" s="419">
        <f>1.5*1.4</f>
        <v>2.0999999999999996</v>
      </c>
      <c r="H1695" s="649">
        <f t="shared" ref="H1695:H1698" si="408">IF(F1695&lt;=30,(1.07*F1695+2.68)*G1695,((1.07*30+2.68)+1.07*(F1695-30))*G1695)</f>
        <v>6.7514999999999992</v>
      </c>
      <c r="I1695" s="449">
        <v>13.587999999999999</v>
      </c>
      <c r="J1695" s="420">
        <f t="shared" si="406"/>
        <v>20.339499999999997</v>
      </c>
      <c r="K1695" s="421">
        <f t="shared" si="407"/>
        <v>24.17</v>
      </c>
      <c r="L1695" s="647" t="s">
        <v>16</v>
      </c>
      <c r="M1695" s="576"/>
      <c r="N1695" s="576">
        <f t="shared" si="404"/>
        <v>0</v>
      </c>
      <c r="O1695" s="577">
        <f t="shared" si="399"/>
        <v>0</v>
      </c>
      <c r="P1695" s="578">
        <f t="shared" si="400"/>
        <v>0</v>
      </c>
      <c r="Q1695" s="765"/>
      <c r="R1695" s="576">
        <f t="shared" si="396"/>
        <v>0</v>
      </c>
      <c r="S1695" s="576">
        <f t="shared" si="396"/>
        <v>0</v>
      </c>
      <c r="T1695" s="577">
        <f t="shared" si="397"/>
        <v>0</v>
      </c>
      <c r="U1695" s="578">
        <f t="shared" si="398"/>
        <v>0</v>
      </c>
      <c r="V1695" s="579"/>
      <c r="W1695" s="566"/>
      <c r="X1695" s="586" t="str">
        <f t="shared" si="402"/>
        <v/>
      </c>
      <c r="Y1695" s="586" t="str">
        <f t="shared" si="395"/>
        <v/>
      </c>
      <c r="Z1695" s="586" t="str">
        <f t="shared" si="403"/>
        <v/>
      </c>
    </row>
    <row r="1696" spans="1:26" ht="12" hidden="1" thickBot="1" x14ac:dyDescent="0.25">
      <c r="A1696" s="567">
        <v>520100</v>
      </c>
      <c r="B1696" s="644" t="s">
        <v>1864</v>
      </c>
      <c r="C1696" s="645" t="s">
        <v>206</v>
      </c>
      <c r="D1696" s="422" t="s">
        <v>286</v>
      </c>
      <c r="E1696" s="423"/>
      <c r="F1696" s="418">
        <v>15</v>
      </c>
      <c r="G1696" s="419">
        <f>1.5*1.4</f>
        <v>2.0999999999999996</v>
      </c>
      <c r="H1696" s="649">
        <f t="shared" si="408"/>
        <v>39.332999999999991</v>
      </c>
      <c r="I1696" s="449">
        <v>13.587999999999999</v>
      </c>
      <c r="J1696" s="420">
        <f t="shared" si="406"/>
        <v>52.920999999999992</v>
      </c>
      <c r="K1696" s="421">
        <f t="shared" si="407"/>
        <v>62.88</v>
      </c>
      <c r="L1696" s="647" t="s">
        <v>16</v>
      </c>
      <c r="M1696" s="576"/>
      <c r="N1696" s="576">
        <f t="shared" si="404"/>
        <v>0</v>
      </c>
      <c r="O1696" s="577">
        <f t="shared" si="399"/>
        <v>0</v>
      </c>
      <c r="P1696" s="578">
        <f t="shared" si="400"/>
        <v>0</v>
      </c>
      <c r="Q1696" s="765"/>
      <c r="R1696" s="576">
        <f t="shared" si="396"/>
        <v>0</v>
      </c>
      <c r="S1696" s="576">
        <f t="shared" si="396"/>
        <v>0</v>
      </c>
      <c r="T1696" s="577">
        <f t="shared" si="397"/>
        <v>0</v>
      </c>
      <c r="U1696" s="578">
        <f t="shared" si="398"/>
        <v>0</v>
      </c>
      <c r="V1696" s="579"/>
      <c r="W1696" s="566"/>
      <c r="X1696" s="586" t="str">
        <f t="shared" si="402"/>
        <v/>
      </c>
      <c r="Y1696" s="586" t="str">
        <f t="shared" si="395"/>
        <v/>
      </c>
      <c r="Z1696" s="586" t="str">
        <f t="shared" si="403"/>
        <v/>
      </c>
    </row>
    <row r="1697" spans="1:26" ht="12" hidden="1" thickBot="1" x14ac:dyDescent="0.25">
      <c r="A1697" s="567">
        <v>532500</v>
      </c>
      <c r="B1697" s="644" t="s">
        <v>1865</v>
      </c>
      <c r="C1697" s="645" t="s">
        <v>206</v>
      </c>
      <c r="D1697" s="451" t="s">
        <v>340</v>
      </c>
      <c r="E1697" s="423"/>
      <c r="F1697" s="424">
        <v>20</v>
      </c>
      <c r="G1697" s="425">
        <v>1.7250000000000001</v>
      </c>
      <c r="H1697" s="649">
        <f t="shared" si="408"/>
        <v>41.538000000000004</v>
      </c>
      <c r="I1697" s="420">
        <v>97.26</v>
      </c>
      <c r="J1697" s="420">
        <f>IF(ISBLANK(I1697),"",SUM(H1697:I1697))</f>
        <v>138.798</v>
      </c>
      <c r="K1697" s="421">
        <f t="shared" si="407"/>
        <v>164.91</v>
      </c>
      <c r="L1697" s="647" t="s">
        <v>16</v>
      </c>
      <c r="M1697" s="576"/>
      <c r="N1697" s="576">
        <f t="shared" si="404"/>
        <v>0</v>
      </c>
      <c r="O1697" s="577">
        <f t="shared" si="399"/>
        <v>0</v>
      </c>
      <c r="P1697" s="578">
        <f t="shared" si="400"/>
        <v>0</v>
      </c>
      <c r="Q1697" s="765"/>
      <c r="R1697" s="576">
        <f t="shared" si="396"/>
        <v>0</v>
      </c>
      <c r="S1697" s="576">
        <f t="shared" si="396"/>
        <v>0</v>
      </c>
      <c r="T1697" s="577">
        <f t="shared" si="397"/>
        <v>0</v>
      </c>
      <c r="U1697" s="578">
        <f t="shared" si="398"/>
        <v>0</v>
      </c>
      <c r="V1697" s="579"/>
      <c r="W1697" s="566"/>
      <c r="X1697" s="586" t="str">
        <f t="shared" si="402"/>
        <v/>
      </c>
      <c r="Y1697" s="586" t="str">
        <f t="shared" si="395"/>
        <v/>
      </c>
      <c r="Z1697" s="586" t="str">
        <f t="shared" si="403"/>
        <v/>
      </c>
    </row>
    <row r="1698" spans="1:26" ht="14.45" hidden="1" customHeight="1" x14ac:dyDescent="0.2">
      <c r="A1698" s="567">
        <v>603900</v>
      </c>
      <c r="B1698" s="644" t="s">
        <v>1866</v>
      </c>
      <c r="C1698" s="645" t="s">
        <v>206</v>
      </c>
      <c r="D1698" s="451" t="s">
        <v>341</v>
      </c>
      <c r="E1698" s="423"/>
      <c r="F1698" s="424">
        <v>20</v>
      </c>
      <c r="G1698" s="425">
        <v>1.5</v>
      </c>
      <c r="H1698" s="649">
        <f t="shared" si="408"/>
        <v>36.120000000000005</v>
      </c>
      <c r="I1698" s="420">
        <v>124.3</v>
      </c>
      <c r="J1698" s="420">
        <f>IF(ISBLANK(I1698),"",SUM(H1698:I1698))</f>
        <v>160.42000000000002</v>
      </c>
      <c r="K1698" s="421">
        <f t="shared" si="407"/>
        <v>190.6</v>
      </c>
      <c r="L1698" s="647" t="s">
        <v>16</v>
      </c>
      <c r="M1698" s="576"/>
      <c r="N1698" s="576">
        <f t="shared" si="404"/>
        <v>0</v>
      </c>
      <c r="O1698" s="577">
        <f t="shared" si="399"/>
        <v>0</v>
      </c>
      <c r="P1698" s="578">
        <f t="shared" si="400"/>
        <v>0</v>
      </c>
      <c r="Q1698" s="765"/>
      <c r="R1698" s="576">
        <f t="shared" si="396"/>
        <v>0</v>
      </c>
      <c r="S1698" s="576">
        <f t="shared" si="396"/>
        <v>0</v>
      </c>
      <c r="T1698" s="577">
        <f t="shared" si="397"/>
        <v>0</v>
      </c>
      <c r="U1698" s="578">
        <f t="shared" si="398"/>
        <v>0</v>
      </c>
      <c r="V1698" s="579"/>
      <c r="W1698" s="566"/>
      <c r="X1698" s="586" t="str">
        <f t="shared" si="402"/>
        <v/>
      </c>
      <c r="Y1698" s="586" t="str">
        <f t="shared" si="395"/>
        <v/>
      </c>
      <c r="Z1698" s="586" t="str">
        <f t="shared" si="403"/>
        <v/>
      </c>
    </row>
    <row r="1699" spans="1:26" ht="12" hidden="1" thickBot="1" x14ac:dyDescent="0.25">
      <c r="A1699" s="567">
        <v>605000</v>
      </c>
      <c r="B1699" s="644" t="s">
        <v>1867</v>
      </c>
      <c r="C1699" s="645" t="s">
        <v>206</v>
      </c>
      <c r="D1699" s="422" t="s">
        <v>274</v>
      </c>
      <c r="E1699" s="423"/>
      <c r="F1699" s="424"/>
      <c r="G1699" s="425"/>
      <c r="H1699" s="651">
        <f>SUM(H1700:H1702)</f>
        <v>305.33319999999998</v>
      </c>
      <c r="I1699" s="420">
        <v>408.95</v>
      </c>
      <c r="J1699" s="420">
        <f>IF(ISBLANK(I1699),"",SUM(H1699:I1699))</f>
        <v>714.28319999999997</v>
      </c>
      <c r="K1699" s="421">
        <f t="shared" si="407"/>
        <v>848.64</v>
      </c>
      <c r="L1699" s="647" t="s">
        <v>16</v>
      </c>
      <c r="M1699" s="576"/>
      <c r="N1699" s="576">
        <f t="shared" si="404"/>
        <v>0</v>
      </c>
      <c r="O1699" s="577">
        <f t="shared" si="399"/>
        <v>0</v>
      </c>
      <c r="P1699" s="578">
        <f t="shared" si="400"/>
        <v>0</v>
      </c>
      <c r="Q1699" s="765"/>
      <c r="R1699" s="576">
        <f t="shared" si="396"/>
        <v>0</v>
      </c>
      <c r="S1699" s="576">
        <f t="shared" si="396"/>
        <v>0</v>
      </c>
      <c r="T1699" s="577">
        <f t="shared" si="397"/>
        <v>0</v>
      </c>
      <c r="U1699" s="578">
        <f t="shared" si="398"/>
        <v>0</v>
      </c>
      <c r="V1699" s="579"/>
      <c r="W1699" s="566"/>
      <c r="X1699" s="586" t="str">
        <f t="shared" si="402"/>
        <v/>
      </c>
      <c r="Y1699" s="586" t="str">
        <f t="shared" ref="Y1699:Y1764" si="409">IF(W1699="X","x",IF(W1699="y","x",IF(W1699="xx","x",IF(U1699&gt;0,"x",""))))</f>
        <v/>
      </c>
      <c r="Z1699" s="586" t="str">
        <f t="shared" si="403"/>
        <v/>
      </c>
    </row>
    <row r="1700" spans="1:26" ht="12" hidden="1" thickBot="1" x14ac:dyDescent="0.25">
      <c r="A1700" s="567" t="s">
        <v>168</v>
      </c>
      <c r="B1700" s="644" t="s">
        <v>168</v>
      </c>
      <c r="C1700" s="645"/>
      <c r="D1700" s="451" t="s">
        <v>212</v>
      </c>
      <c r="E1700" s="423"/>
      <c r="F1700" s="424">
        <v>500</v>
      </c>
      <c r="G1700" s="425">
        <v>0.18</v>
      </c>
      <c r="H1700" s="649">
        <f>IF(F1700&lt;=30,(0.78*F1700+7.82)*G1700,((0.78*30+7.82)+0.78*(F1700-30))*G1700)</f>
        <v>71.607600000000005</v>
      </c>
      <c r="I1700" s="420">
        <v>0</v>
      </c>
      <c r="J1700" s="420"/>
      <c r="K1700" s="421">
        <f t="shared" si="407"/>
        <v>0</v>
      </c>
      <c r="L1700" s="668" t="s">
        <v>614</v>
      </c>
      <c r="M1700" s="669"/>
      <c r="N1700" s="576">
        <f t="shared" si="404"/>
        <v>0</v>
      </c>
      <c r="O1700" s="577">
        <f t="shared" si="399"/>
        <v>0</v>
      </c>
      <c r="P1700" s="578">
        <f t="shared" si="400"/>
        <v>0</v>
      </c>
      <c r="Q1700" s="765"/>
      <c r="R1700" s="669"/>
      <c r="S1700" s="670"/>
      <c r="T1700" s="577">
        <f t="shared" si="397"/>
        <v>0</v>
      </c>
      <c r="U1700" s="578">
        <f t="shared" si="398"/>
        <v>0</v>
      </c>
      <c r="V1700" s="579"/>
      <c r="W1700" s="637" t="str">
        <f>IF(U1699&gt;0,"xx",IF(P1699&gt;0,"xy",""))</f>
        <v/>
      </c>
      <c r="X1700" s="586" t="str">
        <f t="shared" si="402"/>
        <v/>
      </c>
      <c r="Y1700" s="586" t="str">
        <f t="shared" si="409"/>
        <v/>
      </c>
      <c r="Z1700" s="586" t="str">
        <f t="shared" si="403"/>
        <v/>
      </c>
    </row>
    <row r="1701" spans="1:26" ht="12" hidden="1" thickBot="1" x14ac:dyDescent="0.25">
      <c r="A1701" s="567" t="s">
        <v>168</v>
      </c>
      <c r="B1701" s="644" t="s">
        <v>168</v>
      </c>
      <c r="C1701" s="645"/>
      <c r="D1701" s="451" t="s">
        <v>248</v>
      </c>
      <c r="E1701" s="423"/>
      <c r="F1701" s="424">
        <v>180</v>
      </c>
      <c r="G1701" s="425">
        <v>1.06</v>
      </c>
      <c r="H1701" s="663">
        <f t="shared" ref="H1701:H1706" si="410">IF(F1701&lt;=30,(1.07*F1701+2.68)*G1701,((1.07*30+2.68)+1.07*(F1701-30))*G1701)</f>
        <v>206.99680000000001</v>
      </c>
      <c r="I1701" s="420">
        <v>0</v>
      </c>
      <c r="J1701" s="420"/>
      <c r="K1701" s="421">
        <f t="shared" si="407"/>
        <v>0</v>
      </c>
      <c r="L1701" s="668" t="s">
        <v>614</v>
      </c>
      <c r="M1701" s="669"/>
      <c r="N1701" s="576">
        <f t="shared" si="404"/>
        <v>0</v>
      </c>
      <c r="O1701" s="577">
        <f t="shared" si="399"/>
        <v>0</v>
      </c>
      <c r="P1701" s="578">
        <f t="shared" si="400"/>
        <v>0</v>
      </c>
      <c r="Q1701" s="765"/>
      <c r="R1701" s="669"/>
      <c r="S1701" s="670"/>
      <c r="T1701" s="577">
        <f t="shared" si="397"/>
        <v>0</v>
      </c>
      <c r="U1701" s="578">
        <f t="shared" si="398"/>
        <v>0</v>
      </c>
      <c r="V1701" s="579"/>
      <c r="W1701" s="637" t="str">
        <f>IF(U1699&gt;0,"xx",IF(P1699&gt;0,"xy",""))</f>
        <v/>
      </c>
      <c r="X1701" s="586" t="str">
        <f t="shared" si="402"/>
        <v/>
      </c>
      <c r="Y1701" s="586" t="str">
        <f t="shared" si="409"/>
        <v/>
      </c>
      <c r="Z1701" s="586" t="str">
        <f t="shared" si="403"/>
        <v/>
      </c>
    </row>
    <row r="1702" spans="1:26" ht="12" hidden="1" thickBot="1" x14ac:dyDescent="0.25">
      <c r="A1702" s="567" t="s">
        <v>168</v>
      </c>
      <c r="B1702" s="644" t="s">
        <v>168</v>
      </c>
      <c r="C1702" s="645"/>
      <c r="D1702" s="451" t="s">
        <v>252</v>
      </c>
      <c r="E1702" s="423"/>
      <c r="F1702" s="424">
        <v>20</v>
      </c>
      <c r="G1702" s="425">
        <v>1.1100000000000001</v>
      </c>
      <c r="H1702" s="663">
        <f t="shared" si="410"/>
        <v>26.728800000000003</v>
      </c>
      <c r="I1702" s="420">
        <v>0</v>
      </c>
      <c r="J1702" s="420"/>
      <c r="K1702" s="421">
        <f t="shared" si="407"/>
        <v>0</v>
      </c>
      <c r="L1702" s="668" t="s">
        <v>614</v>
      </c>
      <c r="M1702" s="669"/>
      <c r="N1702" s="576">
        <f t="shared" si="404"/>
        <v>0</v>
      </c>
      <c r="O1702" s="577">
        <f t="shared" si="399"/>
        <v>0</v>
      </c>
      <c r="P1702" s="578">
        <f t="shared" si="400"/>
        <v>0</v>
      </c>
      <c r="Q1702" s="765"/>
      <c r="R1702" s="669"/>
      <c r="S1702" s="670"/>
      <c r="T1702" s="577">
        <f t="shared" si="397"/>
        <v>0</v>
      </c>
      <c r="U1702" s="578">
        <f t="shared" si="398"/>
        <v>0</v>
      </c>
      <c r="V1702" s="579"/>
      <c r="W1702" s="637" t="str">
        <f>IF(U1699&gt;0,"xx",IF(P1699&gt;0,"xy",""))</f>
        <v/>
      </c>
      <c r="X1702" s="586" t="str">
        <f t="shared" si="402"/>
        <v/>
      </c>
      <c r="Y1702" s="586" t="str">
        <f t="shared" si="409"/>
        <v/>
      </c>
      <c r="Z1702" s="586" t="str">
        <f t="shared" si="403"/>
        <v/>
      </c>
    </row>
    <row r="1703" spans="1:26" ht="12" hidden="1" thickBot="1" x14ac:dyDescent="0.25">
      <c r="A1703" s="567">
        <v>400500</v>
      </c>
      <c r="B1703" s="644" t="s">
        <v>1868</v>
      </c>
      <c r="C1703" s="645" t="s">
        <v>206</v>
      </c>
      <c r="D1703" s="422" t="s">
        <v>1608</v>
      </c>
      <c r="E1703" s="423"/>
      <c r="F1703" s="424">
        <v>20</v>
      </c>
      <c r="G1703" s="425">
        <v>1.73</v>
      </c>
      <c r="H1703" s="663">
        <f t="shared" si="410"/>
        <v>41.6584</v>
      </c>
      <c r="I1703" s="420">
        <v>80.100000000000009</v>
      </c>
      <c r="J1703" s="420">
        <f>IF(ISBLANK(I1703),"",SUM(H1703:I1703))</f>
        <v>121.75840000000001</v>
      </c>
      <c r="K1703" s="421">
        <f t="shared" si="407"/>
        <v>144.66</v>
      </c>
      <c r="L1703" s="647" t="s">
        <v>16</v>
      </c>
      <c r="M1703" s="576"/>
      <c r="N1703" s="576">
        <f t="shared" si="404"/>
        <v>0</v>
      </c>
      <c r="O1703" s="577">
        <f t="shared" si="399"/>
        <v>0</v>
      </c>
      <c r="P1703" s="578">
        <f t="shared" si="400"/>
        <v>0</v>
      </c>
      <c r="Q1703" s="765"/>
      <c r="R1703" s="576">
        <f t="shared" ref="R1703:S1706" si="411">M1703</f>
        <v>0</v>
      </c>
      <c r="S1703" s="576">
        <f t="shared" si="411"/>
        <v>0</v>
      </c>
      <c r="T1703" s="577">
        <f t="shared" si="397"/>
        <v>0</v>
      </c>
      <c r="U1703" s="578">
        <f t="shared" si="398"/>
        <v>0</v>
      </c>
      <c r="V1703" s="579"/>
      <c r="W1703" s="566"/>
      <c r="X1703" s="586" t="str">
        <f t="shared" si="402"/>
        <v/>
      </c>
      <c r="Y1703" s="586" t="str">
        <f t="shared" si="409"/>
        <v/>
      </c>
      <c r="Z1703" s="586" t="str">
        <f t="shared" si="403"/>
        <v/>
      </c>
    </row>
    <row r="1704" spans="1:26" ht="12" hidden="1" thickBot="1" x14ac:dyDescent="0.25">
      <c r="A1704" s="567">
        <v>532500</v>
      </c>
      <c r="B1704" s="644" t="s">
        <v>1869</v>
      </c>
      <c r="C1704" s="645" t="s">
        <v>206</v>
      </c>
      <c r="D1704" s="422" t="s">
        <v>1609</v>
      </c>
      <c r="E1704" s="423"/>
      <c r="F1704" s="424">
        <v>20</v>
      </c>
      <c r="G1704" s="425">
        <v>1.7250000000000001</v>
      </c>
      <c r="H1704" s="663">
        <f t="shared" si="410"/>
        <v>41.538000000000004</v>
      </c>
      <c r="I1704" s="420">
        <v>97.26</v>
      </c>
      <c r="J1704" s="420">
        <f>IF(ISBLANK(I1704),"",SUM(H1704:I1704))</f>
        <v>138.798</v>
      </c>
      <c r="K1704" s="421">
        <f t="shared" si="407"/>
        <v>164.91</v>
      </c>
      <c r="L1704" s="647" t="s">
        <v>16</v>
      </c>
      <c r="M1704" s="576"/>
      <c r="N1704" s="576">
        <f t="shared" si="404"/>
        <v>0</v>
      </c>
      <c r="O1704" s="577">
        <f t="shared" si="399"/>
        <v>0</v>
      </c>
      <c r="P1704" s="578">
        <f t="shared" si="400"/>
        <v>0</v>
      </c>
      <c r="Q1704" s="765"/>
      <c r="R1704" s="576">
        <f t="shared" si="411"/>
        <v>0</v>
      </c>
      <c r="S1704" s="576">
        <f t="shared" si="411"/>
        <v>0</v>
      </c>
      <c r="T1704" s="577">
        <f t="shared" si="397"/>
        <v>0</v>
      </c>
      <c r="U1704" s="578">
        <f t="shared" si="398"/>
        <v>0</v>
      </c>
      <c r="V1704" s="579"/>
      <c r="W1704" s="566"/>
      <c r="X1704" s="586" t="str">
        <f t="shared" si="402"/>
        <v/>
      </c>
      <c r="Y1704" s="586" t="str">
        <f t="shared" si="409"/>
        <v/>
      </c>
      <c r="Z1704" s="586" t="str">
        <f t="shared" si="403"/>
        <v/>
      </c>
    </row>
    <row r="1705" spans="1:26" ht="12" hidden="1" thickBot="1" x14ac:dyDescent="0.25">
      <c r="A1705" s="567">
        <v>532600</v>
      </c>
      <c r="B1705" s="644" t="s">
        <v>1870</v>
      </c>
      <c r="C1705" s="645" t="s">
        <v>206</v>
      </c>
      <c r="D1705" s="422" t="s">
        <v>1610</v>
      </c>
      <c r="E1705" s="423"/>
      <c r="F1705" s="418">
        <v>15</v>
      </c>
      <c r="G1705" s="425">
        <f>ROUND(1.5*1.5,4)</f>
        <v>2.25</v>
      </c>
      <c r="H1705" s="663">
        <f t="shared" si="410"/>
        <v>42.142499999999998</v>
      </c>
      <c r="I1705" s="420">
        <v>15.533333333333335</v>
      </c>
      <c r="J1705" s="420">
        <f>IF(ISBLANK(I1705),"",SUM(H1705:I1705))</f>
        <v>57.67583333333333</v>
      </c>
      <c r="K1705" s="421">
        <f t="shared" si="407"/>
        <v>68.52</v>
      </c>
      <c r="L1705" s="647" t="s">
        <v>16</v>
      </c>
      <c r="M1705" s="576"/>
      <c r="N1705" s="576">
        <f t="shared" si="404"/>
        <v>0</v>
      </c>
      <c r="O1705" s="577">
        <f t="shared" si="399"/>
        <v>0</v>
      </c>
      <c r="P1705" s="578">
        <f t="shared" si="400"/>
        <v>0</v>
      </c>
      <c r="Q1705" s="765"/>
      <c r="R1705" s="576">
        <f t="shared" si="411"/>
        <v>0</v>
      </c>
      <c r="S1705" s="576">
        <f t="shared" si="411"/>
        <v>0</v>
      </c>
      <c r="T1705" s="577">
        <f t="shared" si="397"/>
        <v>0</v>
      </c>
      <c r="U1705" s="578">
        <f t="shared" si="398"/>
        <v>0</v>
      </c>
      <c r="V1705" s="579"/>
      <c r="W1705" s="566"/>
      <c r="X1705" s="586" t="str">
        <f t="shared" si="402"/>
        <v/>
      </c>
      <c r="Y1705" s="586" t="str">
        <f t="shared" si="409"/>
        <v/>
      </c>
      <c r="Z1705" s="586" t="str">
        <f t="shared" si="403"/>
        <v/>
      </c>
    </row>
    <row r="1706" spans="1:26" ht="12" hidden="1" thickBot="1" x14ac:dyDescent="0.25">
      <c r="A1706" s="567">
        <v>603900</v>
      </c>
      <c r="B1706" s="644" t="s">
        <v>1871</v>
      </c>
      <c r="C1706" s="645" t="s">
        <v>206</v>
      </c>
      <c r="D1706" s="422" t="s">
        <v>1611</v>
      </c>
      <c r="E1706" s="423"/>
      <c r="F1706" s="424">
        <v>20</v>
      </c>
      <c r="G1706" s="425">
        <v>1.5</v>
      </c>
      <c r="H1706" s="663">
        <f t="shared" si="410"/>
        <v>36.120000000000005</v>
      </c>
      <c r="I1706" s="420">
        <v>124.3</v>
      </c>
      <c r="J1706" s="420">
        <f>IF(ISBLANK(I1706),"",SUM(H1706:I1706))</f>
        <v>160.42000000000002</v>
      </c>
      <c r="K1706" s="421">
        <f t="shared" si="407"/>
        <v>190.6</v>
      </c>
      <c r="L1706" s="647" t="s">
        <v>16</v>
      </c>
      <c r="M1706" s="576"/>
      <c r="N1706" s="576">
        <f t="shared" si="404"/>
        <v>0</v>
      </c>
      <c r="O1706" s="577">
        <f t="shared" si="399"/>
        <v>0</v>
      </c>
      <c r="P1706" s="578">
        <f t="shared" si="400"/>
        <v>0</v>
      </c>
      <c r="Q1706" s="765"/>
      <c r="R1706" s="576">
        <f t="shared" si="411"/>
        <v>0</v>
      </c>
      <c r="S1706" s="576">
        <f t="shared" si="411"/>
        <v>0</v>
      </c>
      <c r="T1706" s="577">
        <f t="shared" si="397"/>
        <v>0</v>
      </c>
      <c r="U1706" s="578">
        <f t="shared" si="398"/>
        <v>0</v>
      </c>
      <c r="V1706" s="579"/>
      <c r="W1706" s="566"/>
      <c r="X1706" s="586" t="str">
        <f t="shared" si="402"/>
        <v/>
      </c>
      <c r="Y1706" s="586" t="str">
        <f t="shared" si="409"/>
        <v/>
      </c>
      <c r="Z1706" s="586" t="str">
        <f t="shared" si="403"/>
        <v/>
      </c>
    </row>
    <row r="1707" spans="1:26" ht="12" hidden="1" thickBot="1" x14ac:dyDescent="0.25">
      <c r="A1707" s="567">
        <v>605000</v>
      </c>
      <c r="B1707" s="644" t="s">
        <v>1872</v>
      </c>
      <c r="C1707" s="645" t="s">
        <v>206</v>
      </c>
      <c r="D1707" s="422" t="s">
        <v>348</v>
      </c>
      <c r="E1707" s="423"/>
      <c r="F1707" s="424"/>
      <c r="G1707" s="425"/>
      <c r="H1707" s="651">
        <f>SUM(H1708:H1710)</f>
        <v>305.33319999999998</v>
      </c>
      <c r="I1707" s="420">
        <v>408.95</v>
      </c>
      <c r="J1707" s="420">
        <f>IF(ISBLANK(I1707),"",SUM(H1707:I1707))</f>
        <v>714.28319999999997</v>
      </c>
      <c r="K1707" s="421">
        <f t="shared" si="407"/>
        <v>848.64</v>
      </c>
      <c r="L1707" s="647" t="s">
        <v>16</v>
      </c>
      <c r="M1707" s="576"/>
      <c r="N1707" s="576">
        <f t="shared" si="404"/>
        <v>0</v>
      </c>
      <c r="O1707" s="577">
        <f t="shared" si="399"/>
        <v>0</v>
      </c>
      <c r="P1707" s="578">
        <f t="shared" si="400"/>
        <v>0</v>
      </c>
      <c r="Q1707" s="765"/>
      <c r="R1707" s="576">
        <f t="shared" si="396"/>
        <v>0</v>
      </c>
      <c r="S1707" s="576">
        <f t="shared" si="396"/>
        <v>0</v>
      </c>
      <c r="T1707" s="577">
        <f t="shared" si="397"/>
        <v>0</v>
      </c>
      <c r="U1707" s="578">
        <f t="shared" si="398"/>
        <v>0</v>
      </c>
      <c r="V1707" s="579"/>
      <c r="W1707" s="566"/>
      <c r="X1707" s="586" t="str">
        <f t="shared" si="402"/>
        <v/>
      </c>
      <c r="Y1707" s="586" t="str">
        <f t="shared" si="409"/>
        <v/>
      </c>
      <c r="Z1707" s="586" t="str">
        <f t="shared" si="403"/>
        <v/>
      </c>
    </row>
    <row r="1708" spans="1:26" ht="12" hidden="1" thickBot="1" x14ac:dyDescent="0.25">
      <c r="A1708" s="567" t="s">
        <v>168</v>
      </c>
      <c r="B1708" s="644" t="s">
        <v>168</v>
      </c>
      <c r="C1708" s="645"/>
      <c r="D1708" s="451" t="s">
        <v>212</v>
      </c>
      <c r="E1708" s="423"/>
      <c r="F1708" s="424">
        <v>500</v>
      </c>
      <c r="G1708" s="425">
        <v>0.18</v>
      </c>
      <c r="H1708" s="649">
        <f>IF(F1708&lt;=30,(0.78*F1708+7.82)*G1708,((0.78*30+7.82)+0.78*(F1708-30))*G1708)</f>
        <v>71.607600000000005</v>
      </c>
      <c r="I1708" s="420">
        <v>0</v>
      </c>
      <c r="J1708" s="420"/>
      <c r="K1708" s="421">
        <f t="shared" si="407"/>
        <v>0</v>
      </c>
      <c r="L1708" s="668" t="s">
        <v>614</v>
      </c>
      <c r="M1708" s="669"/>
      <c r="N1708" s="576">
        <f t="shared" si="404"/>
        <v>0</v>
      </c>
      <c r="O1708" s="577">
        <f t="shared" si="399"/>
        <v>0</v>
      </c>
      <c r="P1708" s="578">
        <f t="shared" si="400"/>
        <v>0</v>
      </c>
      <c r="Q1708" s="765"/>
      <c r="R1708" s="669"/>
      <c r="S1708" s="670"/>
      <c r="T1708" s="577">
        <f t="shared" si="397"/>
        <v>0</v>
      </c>
      <c r="U1708" s="578">
        <f t="shared" si="398"/>
        <v>0</v>
      </c>
      <c r="V1708" s="579"/>
      <c r="W1708" s="637" t="str">
        <f>IF(U1707&gt;0,"xx",IF(P1707&gt;0,"xy",""))</f>
        <v/>
      </c>
      <c r="X1708" s="586" t="str">
        <f t="shared" si="402"/>
        <v/>
      </c>
      <c r="Y1708" s="586" t="str">
        <f t="shared" si="409"/>
        <v/>
      </c>
      <c r="Z1708" s="586" t="str">
        <f t="shared" si="403"/>
        <v/>
      </c>
    </row>
    <row r="1709" spans="1:26" ht="12" hidden="1" thickBot="1" x14ac:dyDescent="0.25">
      <c r="A1709" s="567" t="s">
        <v>168</v>
      </c>
      <c r="B1709" s="644" t="s">
        <v>168</v>
      </c>
      <c r="C1709" s="645"/>
      <c r="D1709" s="451" t="s">
        <v>248</v>
      </c>
      <c r="E1709" s="423"/>
      <c r="F1709" s="424">
        <v>180</v>
      </c>
      <c r="G1709" s="425">
        <v>1.06</v>
      </c>
      <c r="H1709" s="663">
        <f t="shared" ref="H1709:H1710" si="412">IF(F1709&lt;=30,(1.07*F1709+2.68)*G1709,((1.07*30+2.68)+1.07*(F1709-30))*G1709)</f>
        <v>206.99680000000001</v>
      </c>
      <c r="I1709" s="420">
        <v>0</v>
      </c>
      <c r="J1709" s="420"/>
      <c r="K1709" s="421">
        <f t="shared" si="407"/>
        <v>0</v>
      </c>
      <c r="L1709" s="668" t="s">
        <v>614</v>
      </c>
      <c r="M1709" s="669"/>
      <c r="N1709" s="576">
        <f t="shared" si="404"/>
        <v>0</v>
      </c>
      <c r="O1709" s="577">
        <f t="shared" si="399"/>
        <v>0</v>
      </c>
      <c r="P1709" s="578">
        <f t="shared" si="400"/>
        <v>0</v>
      </c>
      <c r="Q1709" s="765"/>
      <c r="R1709" s="669"/>
      <c r="S1709" s="670"/>
      <c r="T1709" s="577">
        <f t="shared" si="397"/>
        <v>0</v>
      </c>
      <c r="U1709" s="578">
        <f t="shared" si="398"/>
        <v>0</v>
      </c>
      <c r="V1709" s="579"/>
      <c r="W1709" s="637" t="str">
        <f>IF(U1707&gt;0,"xx",IF(P1707&gt;0,"xy",""))</f>
        <v/>
      </c>
      <c r="X1709" s="586" t="str">
        <f t="shared" si="402"/>
        <v/>
      </c>
      <c r="Y1709" s="586" t="str">
        <f t="shared" si="409"/>
        <v/>
      </c>
      <c r="Z1709" s="586" t="str">
        <f t="shared" si="403"/>
        <v/>
      </c>
    </row>
    <row r="1710" spans="1:26" ht="12" hidden="1" thickBot="1" x14ac:dyDescent="0.25">
      <c r="A1710" s="567" t="s">
        <v>168</v>
      </c>
      <c r="B1710" s="644" t="s">
        <v>168</v>
      </c>
      <c r="C1710" s="645"/>
      <c r="D1710" s="451" t="s">
        <v>252</v>
      </c>
      <c r="E1710" s="423"/>
      <c r="F1710" s="424">
        <v>20</v>
      </c>
      <c r="G1710" s="425">
        <v>1.1100000000000001</v>
      </c>
      <c r="H1710" s="663">
        <f t="shared" si="412"/>
        <v>26.728800000000003</v>
      </c>
      <c r="I1710" s="420">
        <v>0</v>
      </c>
      <c r="J1710" s="420"/>
      <c r="K1710" s="421">
        <f t="shared" si="407"/>
        <v>0</v>
      </c>
      <c r="L1710" s="668" t="s">
        <v>614</v>
      </c>
      <c r="M1710" s="669"/>
      <c r="N1710" s="576">
        <f t="shared" si="404"/>
        <v>0</v>
      </c>
      <c r="O1710" s="577">
        <f t="shared" si="399"/>
        <v>0</v>
      </c>
      <c r="P1710" s="578">
        <f t="shared" si="400"/>
        <v>0</v>
      </c>
      <c r="Q1710" s="765"/>
      <c r="R1710" s="669"/>
      <c r="S1710" s="670"/>
      <c r="T1710" s="577">
        <f t="shared" si="397"/>
        <v>0</v>
      </c>
      <c r="U1710" s="578">
        <f t="shared" si="398"/>
        <v>0</v>
      </c>
      <c r="V1710" s="579"/>
      <c r="W1710" s="637" t="str">
        <f>IF(U1707&gt;0,"xx",IF(P1707&gt;0,"xy",""))</f>
        <v/>
      </c>
      <c r="X1710" s="586" t="str">
        <f t="shared" si="402"/>
        <v/>
      </c>
      <c r="Y1710" s="586" t="str">
        <f t="shared" si="409"/>
        <v/>
      </c>
      <c r="Z1710" s="586" t="str">
        <f t="shared" si="403"/>
        <v/>
      </c>
    </row>
    <row r="1711" spans="1:26" ht="12" hidden="1" thickBot="1" x14ac:dyDescent="0.25">
      <c r="A1711" s="567">
        <v>606000</v>
      </c>
      <c r="B1711" s="644" t="s">
        <v>1638</v>
      </c>
      <c r="C1711" s="645" t="s">
        <v>206</v>
      </c>
      <c r="D1711" s="422" t="s">
        <v>349</v>
      </c>
      <c r="E1711" s="423"/>
      <c r="F1711" s="424"/>
      <c r="G1711" s="425"/>
      <c r="H1711" s="651">
        <f>SUM(H1712:H1714)</f>
        <v>235.96230000000003</v>
      </c>
      <c r="I1711" s="420">
        <v>365.08</v>
      </c>
      <c r="J1711" s="420">
        <f>IF(ISBLANK(I1711),"",SUM(H1711:I1711))</f>
        <v>601.04230000000007</v>
      </c>
      <c r="K1711" s="421">
        <f t="shared" si="407"/>
        <v>714.1</v>
      </c>
      <c r="L1711" s="647" t="s">
        <v>16</v>
      </c>
      <c r="M1711" s="576"/>
      <c r="N1711" s="576">
        <f t="shared" si="404"/>
        <v>0</v>
      </c>
      <c r="O1711" s="577">
        <f t="shared" si="399"/>
        <v>0</v>
      </c>
      <c r="P1711" s="578">
        <f t="shared" si="400"/>
        <v>0</v>
      </c>
      <c r="Q1711" s="765"/>
      <c r="R1711" s="576">
        <f t="shared" si="396"/>
        <v>0</v>
      </c>
      <c r="S1711" s="576">
        <f t="shared" si="396"/>
        <v>0</v>
      </c>
      <c r="T1711" s="577">
        <f t="shared" si="397"/>
        <v>0</v>
      </c>
      <c r="U1711" s="578">
        <f t="shared" si="398"/>
        <v>0</v>
      </c>
      <c r="V1711" s="579"/>
      <c r="W1711" s="566"/>
      <c r="X1711" s="586" t="str">
        <f t="shared" si="402"/>
        <v/>
      </c>
      <c r="Y1711" s="586" t="str">
        <f t="shared" si="409"/>
        <v/>
      </c>
      <c r="Z1711" s="586" t="str">
        <f t="shared" si="403"/>
        <v/>
      </c>
    </row>
    <row r="1712" spans="1:26" ht="12" hidden="1" thickBot="1" x14ac:dyDescent="0.25">
      <c r="A1712" s="567" t="s">
        <v>168</v>
      </c>
      <c r="B1712" s="644" t="s">
        <v>168</v>
      </c>
      <c r="C1712" s="645"/>
      <c r="D1712" s="451" t="s">
        <v>212</v>
      </c>
      <c r="E1712" s="423"/>
      <c r="F1712" s="424">
        <v>500</v>
      </c>
      <c r="G1712" s="425">
        <v>0.189</v>
      </c>
      <c r="H1712" s="649">
        <f>IF(F1712&lt;=30,(0.78*F1712+7.82)*G1712,((0.78*30+7.82)+0.78*(F1712-30))*G1712)</f>
        <v>75.18798000000001</v>
      </c>
      <c r="I1712" s="420">
        <v>0</v>
      </c>
      <c r="J1712" s="420"/>
      <c r="K1712" s="421">
        <f t="shared" si="407"/>
        <v>0</v>
      </c>
      <c r="L1712" s="668" t="s">
        <v>614</v>
      </c>
      <c r="M1712" s="669"/>
      <c r="N1712" s="576">
        <f t="shared" si="404"/>
        <v>0</v>
      </c>
      <c r="O1712" s="577">
        <f t="shared" si="399"/>
        <v>0</v>
      </c>
      <c r="P1712" s="578">
        <f t="shared" si="400"/>
        <v>0</v>
      </c>
      <c r="Q1712" s="765"/>
      <c r="R1712" s="669"/>
      <c r="S1712" s="670"/>
      <c r="T1712" s="577">
        <f t="shared" si="397"/>
        <v>0</v>
      </c>
      <c r="U1712" s="578">
        <f t="shared" si="398"/>
        <v>0</v>
      </c>
      <c r="V1712" s="579"/>
      <c r="W1712" s="637" t="str">
        <f>IF(U1711&gt;0,"xx",IF(P1711&gt;0,"xy",""))</f>
        <v/>
      </c>
      <c r="X1712" s="586" t="str">
        <f t="shared" si="402"/>
        <v/>
      </c>
      <c r="Y1712" s="586" t="str">
        <f t="shared" si="409"/>
        <v/>
      </c>
      <c r="Z1712" s="586" t="str">
        <f t="shared" si="403"/>
        <v/>
      </c>
    </row>
    <row r="1713" spans="1:26" ht="12" hidden="1" thickBot="1" x14ac:dyDescent="0.25">
      <c r="A1713" s="567" t="s">
        <v>168</v>
      </c>
      <c r="B1713" s="644" t="s">
        <v>168</v>
      </c>
      <c r="C1713" s="645"/>
      <c r="D1713" s="451" t="s">
        <v>248</v>
      </c>
      <c r="E1713" s="423"/>
      <c r="F1713" s="424">
        <v>180</v>
      </c>
      <c r="G1713" s="425">
        <v>0.67200000000000004</v>
      </c>
      <c r="H1713" s="663">
        <f t="shared" ref="H1713:H1714" si="413">IF(F1713&lt;=30,(1.07*F1713+2.68)*G1713,((1.07*30+2.68)+1.07*(F1713-30))*G1713)</f>
        <v>131.22816</v>
      </c>
      <c r="I1713" s="420">
        <v>0</v>
      </c>
      <c r="J1713" s="420"/>
      <c r="K1713" s="421">
        <f t="shared" si="407"/>
        <v>0</v>
      </c>
      <c r="L1713" s="668" t="s">
        <v>614</v>
      </c>
      <c r="M1713" s="669"/>
      <c r="N1713" s="576">
        <f t="shared" si="404"/>
        <v>0</v>
      </c>
      <c r="O1713" s="577">
        <f t="shared" si="399"/>
        <v>0</v>
      </c>
      <c r="P1713" s="578">
        <f t="shared" si="400"/>
        <v>0</v>
      </c>
      <c r="Q1713" s="765"/>
      <c r="R1713" s="669"/>
      <c r="S1713" s="670"/>
      <c r="T1713" s="577">
        <f t="shared" si="397"/>
        <v>0</v>
      </c>
      <c r="U1713" s="578">
        <f t="shared" si="398"/>
        <v>0</v>
      </c>
      <c r="V1713" s="579"/>
      <c r="W1713" s="637" t="str">
        <f>IF(U1711&gt;0,"xx",IF(P1711&gt;0,"xy",""))</f>
        <v/>
      </c>
      <c r="X1713" s="586" t="str">
        <f t="shared" si="402"/>
        <v/>
      </c>
      <c r="Y1713" s="586" t="str">
        <f t="shared" si="409"/>
        <v/>
      </c>
      <c r="Z1713" s="586" t="str">
        <f t="shared" si="403"/>
        <v/>
      </c>
    </row>
    <row r="1714" spans="1:26" ht="12" hidden="1" thickBot="1" x14ac:dyDescent="0.25">
      <c r="A1714" s="567" t="s">
        <v>168</v>
      </c>
      <c r="B1714" s="644" t="s">
        <v>168</v>
      </c>
      <c r="C1714" s="645"/>
      <c r="D1714" s="451" t="s">
        <v>350</v>
      </c>
      <c r="E1714" s="423"/>
      <c r="F1714" s="424">
        <v>20</v>
      </c>
      <c r="G1714" s="425">
        <v>1.2270000000000001</v>
      </c>
      <c r="H1714" s="663">
        <f t="shared" si="413"/>
        <v>29.546160000000004</v>
      </c>
      <c r="I1714" s="420">
        <v>0</v>
      </c>
      <c r="J1714" s="420"/>
      <c r="K1714" s="421">
        <f t="shared" si="407"/>
        <v>0</v>
      </c>
      <c r="L1714" s="668" t="s">
        <v>614</v>
      </c>
      <c r="M1714" s="669"/>
      <c r="N1714" s="576">
        <f t="shared" si="404"/>
        <v>0</v>
      </c>
      <c r="O1714" s="577">
        <f t="shared" si="399"/>
        <v>0</v>
      </c>
      <c r="P1714" s="578">
        <f t="shared" si="400"/>
        <v>0</v>
      </c>
      <c r="Q1714" s="765"/>
      <c r="R1714" s="669"/>
      <c r="S1714" s="670"/>
      <c r="T1714" s="577">
        <f t="shared" si="397"/>
        <v>0</v>
      </c>
      <c r="U1714" s="578">
        <f t="shared" si="398"/>
        <v>0</v>
      </c>
      <c r="V1714" s="579"/>
      <c r="W1714" s="637" t="str">
        <f>IF(U1711&gt;0,"xx",IF(P1711&gt;0,"xy",""))</f>
        <v/>
      </c>
      <c r="X1714" s="586" t="str">
        <f t="shared" si="402"/>
        <v/>
      </c>
      <c r="Y1714" s="586" t="str">
        <f t="shared" si="409"/>
        <v/>
      </c>
      <c r="Z1714" s="586" t="str">
        <f t="shared" si="403"/>
        <v/>
      </c>
    </row>
    <row r="1715" spans="1:26" ht="12" hidden="1" thickBot="1" x14ac:dyDescent="0.25">
      <c r="A1715" s="567">
        <v>605200</v>
      </c>
      <c r="B1715" s="644" t="s">
        <v>1640</v>
      </c>
      <c r="C1715" s="645" t="s">
        <v>206</v>
      </c>
      <c r="D1715" s="422" t="s">
        <v>351</v>
      </c>
      <c r="E1715" s="423"/>
      <c r="F1715" s="424"/>
      <c r="G1715" s="425"/>
      <c r="H1715" s="651">
        <f>SUM(H1716:H1718)</f>
        <v>321.60899999999998</v>
      </c>
      <c r="I1715" s="420">
        <v>455.36</v>
      </c>
      <c r="J1715" s="420">
        <f>IF(ISBLANK(I1715),"",SUM(H1715:I1715))</f>
        <v>776.96900000000005</v>
      </c>
      <c r="K1715" s="421">
        <f t="shared" si="407"/>
        <v>923.12</v>
      </c>
      <c r="L1715" s="647" t="s">
        <v>16</v>
      </c>
      <c r="M1715" s="576"/>
      <c r="N1715" s="576">
        <f t="shared" si="404"/>
        <v>0</v>
      </c>
      <c r="O1715" s="577">
        <f t="shared" si="399"/>
        <v>0</v>
      </c>
      <c r="P1715" s="578">
        <f t="shared" si="400"/>
        <v>0</v>
      </c>
      <c r="Q1715" s="765"/>
      <c r="R1715" s="576">
        <f t="shared" ref="R1715:S1771" si="414">M1715</f>
        <v>0</v>
      </c>
      <c r="S1715" s="576">
        <f t="shared" si="414"/>
        <v>0</v>
      </c>
      <c r="T1715" s="577">
        <f t="shared" si="397"/>
        <v>0</v>
      </c>
      <c r="U1715" s="578">
        <f t="shared" si="398"/>
        <v>0</v>
      </c>
      <c r="V1715" s="579"/>
      <c r="W1715" s="566"/>
      <c r="X1715" s="586" t="str">
        <f t="shared" si="402"/>
        <v/>
      </c>
      <c r="Y1715" s="586" t="str">
        <f t="shared" si="409"/>
        <v/>
      </c>
      <c r="Z1715" s="586" t="str">
        <f t="shared" si="403"/>
        <v/>
      </c>
    </row>
    <row r="1716" spans="1:26" ht="12" hidden="1" thickBot="1" x14ac:dyDescent="0.25">
      <c r="A1716" s="567" t="s">
        <v>168</v>
      </c>
      <c r="B1716" s="644" t="s">
        <v>168</v>
      </c>
      <c r="C1716" s="645"/>
      <c r="D1716" s="451" t="s">
        <v>212</v>
      </c>
      <c r="E1716" s="423"/>
      <c r="F1716" s="424">
        <v>500</v>
      </c>
      <c r="G1716" s="425">
        <v>0.27</v>
      </c>
      <c r="H1716" s="649">
        <f>IF(F1716&lt;=30,(0.78*F1716+7.82)*G1716,((0.78*30+7.82)+0.78*(F1716-30))*G1716)</f>
        <v>107.41140000000001</v>
      </c>
      <c r="I1716" s="420">
        <v>0</v>
      </c>
      <c r="J1716" s="420"/>
      <c r="K1716" s="421">
        <f t="shared" si="407"/>
        <v>0</v>
      </c>
      <c r="L1716" s="668" t="s">
        <v>614</v>
      </c>
      <c r="M1716" s="669"/>
      <c r="N1716" s="576">
        <f t="shared" si="404"/>
        <v>0</v>
      </c>
      <c r="O1716" s="577">
        <f t="shared" si="399"/>
        <v>0</v>
      </c>
      <c r="P1716" s="578">
        <f t="shared" si="400"/>
        <v>0</v>
      </c>
      <c r="Q1716" s="765"/>
      <c r="R1716" s="669"/>
      <c r="S1716" s="670"/>
      <c r="T1716" s="577">
        <f t="shared" si="397"/>
        <v>0</v>
      </c>
      <c r="U1716" s="578">
        <f t="shared" si="398"/>
        <v>0</v>
      </c>
      <c r="V1716" s="579"/>
      <c r="W1716" s="637" t="str">
        <f>IF(U1715&gt;0,"xx",IF(P1715&gt;0,"xy",""))</f>
        <v/>
      </c>
      <c r="X1716" s="586" t="str">
        <f t="shared" si="402"/>
        <v/>
      </c>
      <c r="Y1716" s="586" t="str">
        <f t="shared" si="409"/>
        <v/>
      </c>
      <c r="Z1716" s="586" t="str">
        <f t="shared" si="403"/>
        <v/>
      </c>
    </row>
    <row r="1717" spans="1:26" ht="12" hidden="1" thickBot="1" x14ac:dyDescent="0.25">
      <c r="A1717" s="567" t="s">
        <v>168</v>
      </c>
      <c r="B1717" s="644" t="s">
        <v>168</v>
      </c>
      <c r="C1717" s="645"/>
      <c r="D1717" s="451" t="s">
        <v>248</v>
      </c>
      <c r="E1717" s="423"/>
      <c r="F1717" s="424">
        <v>180</v>
      </c>
      <c r="G1717" s="425">
        <v>0.96</v>
      </c>
      <c r="H1717" s="663">
        <f t="shared" ref="H1717:H1718" si="415">IF(F1717&lt;=30,(1.07*F1717+2.68)*G1717,((1.07*30+2.68)+1.07*(F1717-30))*G1717)</f>
        <v>187.46879999999999</v>
      </c>
      <c r="I1717" s="420">
        <v>0</v>
      </c>
      <c r="J1717" s="420"/>
      <c r="K1717" s="421">
        <f t="shared" si="407"/>
        <v>0</v>
      </c>
      <c r="L1717" s="668" t="s">
        <v>614</v>
      </c>
      <c r="M1717" s="669"/>
      <c r="N1717" s="576">
        <f t="shared" si="404"/>
        <v>0</v>
      </c>
      <c r="O1717" s="577">
        <f t="shared" si="399"/>
        <v>0</v>
      </c>
      <c r="P1717" s="578">
        <f t="shared" si="400"/>
        <v>0</v>
      </c>
      <c r="Q1717" s="765"/>
      <c r="R1717" s="669"/>
      <c r="S1717" s="670"/>
      <c r="T1717" s="577">
        <f t="shared" si="397"/>
        <v>0</v>
      </c>
      <c r="U1717" s="578">
        <f t="shared" si="398"/>
        <v>0</v>
      </c>
      <c r="V1717" s="579"/>
      <c r="W1717" s="637" t="str">
        <f>IF(U1715&gt;0,"xx",IF(P1715&gt;0,"xy",""))</f>
        <v/>
      </c>
      <c r="X1717" s="586" t="str">
        <f t="shared" si="402"/>
        <v/>
      </c>
      <c r="Y1717" s="586" t="str">
        <f t="shared" si="409"/>
        <v/>
      </c>
      <c r="Z1717" s="586" t="str">
        <f t="shared" si="403"/>
        <v/>
      </c>
    </row>
    <row r="1718" spans="1:26" ht="12" hidden="1" thickBot="1" x14ac:dyDescent="0.25">
      <c r="A1718" s="567" t="s">
        <v>168</v>
      </c>
      <c r="B1718" s="644" t="s">
        <v>168</v>
      </c>
      <c r="C1718" s="645"/>
      <c r="D1718" s="451" t="s">
        <v>252</v>
      </c>
      <c r="E1718" s="423"/>
      <c r="F1718" s="424">
        <v>20</v>
      </c>
      <c r="G1718" s="425">
        <v>1.1100000000000001</v>
      </c>
      <c r="H1718" s="663">
        <f t="shared" si="415"/>
        <v>26.728800000000003</v>
      </c>
      <c r="I1718" s="420">
        <v>0</v>
      </c>
      <c r="J1718" s="420"/>
      <c r="K1718" s="421">
        <f t="shared" si="407"/>
        <v>0</v>
      </c>
      <c r="L1718" s="668" t="s">
        <v>614</v>
      </c>
      <c r="M1718" s="669"/>
      <c r="N1718" s="576">
        <f t="shared" si="404"/>
        <v>0</v>
      </c>
      <c r="O1718" s="577">
        <f t="shared" si="399"/>
        <v>0</v>
      </c>
      <c r="P1718" s="578">
        <f t="shared" si="400"/>
        <v>0</v>
      </c>
      <c r="Q1718" s="765"/>
      <c r="R1718" s="669"/>
      <c r="S1718" s="670"/>
      <c r="T1718" s="577">
        <f t="shared" si="397"/>
        <v>0</v>
      </c>
      <c r="U1718" s="578">
        <f t="shared" si="398"/>
        <v>0</v>
      </c>
      <c r="V1718" s="579"/>
      <c r="W1718" s="637" t="str">
        <f>IF(U1715&gt;0,"xx",IF(P1715&gt;0,"xy",""))</f>
        <v/>
      </c>
      <c r="X1718" s="586" t="str">
        <f t="shared" si="402"/>
        <v/>
      </c>
      <c r="Y1718" s="586" t="str">
        <f t="shared" si="409"/>
        <v/>
      </c>
      <c r="Z1718" s="586" t="str">
        <f t="shared" si="403"/>
        <v/>
      </c>
    </row>
    <row r="1719" spans="1:26" ht="12" hidden="1" thickBot="1" x14ac:dyDescent="0.25">
      <c r="A1719" s="567">
        <v>605300</v>
      </c>
      <c r="B1719" s="644" t="s">
        <v>1715</v>
      </c>
      <c r="C1719" s="645" t="s">
        <v>206</v>
      </c>
      <c r="D1719" s="422" t="s">
        <v>352</v>
      </c>
      <c r="E1719" s="423"/>
      <c r="F1719" s="424"/>
      <c r="G1719" s="425"/>
      <c r="H1719" s="651">
        <f>SUM(H1720:H1722)</f>
        <v>337.86228</v>
      </c>
      <c r="I1719" s="420">
        <v>487.71000000000004</v>
      </c>
      <c r="J1719" s="420">
        <f>IF(ISBLANK(I1719),"",SUM(H1719:I1719))</f>
        <v>825.57228000000009</v>
      </c>
      <c r="K1719" s="421">
        <f t="shared" si="407"/>
        <v>980.86</v>
      </c>
      <c r="L1719" s="647" t="s">
        <v>16</v>
      </c>
      <c r="M1719" s="576"/>
      <c r="N1719" s="576">
        <f t="shared" si="404"/>
        <v>0</v>
      </c>
      <c r="O1719" s="577">
        <f t="shared" si="399"/>
        <v>0</v>
      </c>
      <c r="P1719" s="578">
        <f t="shared" si="400"/>
        <v>0</v>
      </c>
      <c r="Q1719" s="765"/>
      <c r="R1719" s="576">
        <f t="shared" si="414"/>
        <v>0</v>
      </c>
      <c r="S1719" s="576">
        <f t="shared" si="414"/>
        <v>0</v>
      </c>
      <c r="T1719" s="577">
        <f t="shared" si="397"/>
        <v>0</v>
      </c>
      <c r="U1719" s="578">
        <f t="shared" si="398"/>
        <v>0</v>
      </c>
      <c r="V1719" s="579"/>
      <c r="W1719" s="566"/>
      <c r="X1719" s="586" t="str">
        <f t="shared" si="402"/>
        <v/>
      </c>
      <c r="Y1719" s="586" t="str">
        <f t="shared" si="409"/>
        <v/>
      </c>
      <c r="Z1719" s="586" t="str">
        <f t="shared" si="403"/>
        <v/>
      </c>
    </row>
    <row r="1720" spans="1:26" ht="12" hidden="1" thickBot="1" x14ac:dyDescent="0.25">
      <c r="A1720" s="567" t="s">
        <v>168</v>
      </c>
      <c r="B1720" s="644" t="s">
        <v>168</v>
      </c>
      <c r="C1720" s="645"/>
      <c r="D1720" s="451" t="s">
        <v>212</v>
      </c>
      <c r="E1720" s="423"/>
      <c r="F1720" s="424">
        <v>500</v>
      </c>
      <c r="G1720" s="425">
        <v>0.33</v>
      </c>
      <c r="H1720" s="649">
        <f>IF(F1720&lt;=30,(0.78*F1720+7.82)*G1720,((0.78*30+7.82)+0.78*(F1720-30))*G1720)</f>
        <v>131.28060000000002</v>
      </c>
      <c r="I1720" s="420">
        <v>0</v>
      </c>
      <c r="J1720" s="420"/>
      <c r="K1720" s="421">
        <f t="shared" si="407"/>
        <v>0</v>
      </c>
      <c r="L1720" s="668" t="s">
        <v>614</v>
      </c>
      <c r="M1720" s="669"/>
      <c r="N1720" s="576">
        <f t="shared" si="404"/>
        <v>0</v>
      </c>
      <c r="O1720" s="577">
        <f t="shared" si="399"/>
        <v>0</v>
      </c>
      <c r="P1720" s="578">
        <f t="shared" si="400"/>
        <v>0</v>
      </c>
      <c r="Q1720" s="765"/>
      <c r="R1720" s="669"/>
      <c r="S1720" s="670"/>
      <c r="T1720" s="577">
        <f t="shared" si="397"/>
        <v>0</v>
      </c>
      <c r="U1720" s="578">
        <f t="shared" si="398"/>
        <v>0</v>
      </c>
      <c r="V1720" s="579"/>
      <c r="W1720" s="637" t="str">
        <f>IF(U1719&gt;0,"xx",IF(P1719&gt;0,"xy",""))</f>
        <v/>
      </c>
      <c r="X1720" s="586" t="str">
        <f t="shared" si="402"/>
        <v/>
      </c>
      <c r="Y1720" s="586" t="str">
        <f t="shared" si="409"/>
        <v/>
      </c>
      <c r="Z1720" s="586" t="str">
        <f t="shared" si="403"/>
        <v/>
      </c>
    </row>
    <row r="1721" spans="1:26" ht="12" hidden="1" thickBot="1" x14ac:dyDescent="0.25">
      <c r="A1721" s="567" t="s">
        <v>168</v>
      </c>
      <c r="B1721" s="644" t="s">
        <v>168</v>
      </c>
      <c r="C1721" s="645"/>
      <c r="D1721" s="451" t="s">
        <v>248</v>
      </c>
      <c r="E1721" s="423"/>
      <c r="F1721" s="424">
        <v>180</v>
      </c>
      <c r="G1721" s="425">
        <v>0.92100000000000004</v>
      </c>
      <c r="H1721" s="663">
        <f t="shared" ref="H1721:H1722" si="416">IF(F1721&lt;=30,(1.07*F1721+2.68)*G1721,((1.07*30+2.68)+1.07*(F1721-30))*G1721)</f>
        <v>179.85288</v>
      </c>
      <c r="I1721" s="420">
        <v>0</v>
      </c>
      <c r="J1721" s="420"/>
      <c r="K1721" s="421">
        <f t="shared" si="407"/>
        <v>0</v>
      </c>
      <c r="L1721" s="668" t="s">
        <v>614</v>
      </c>
      <c r="M1721" s="669"/>
      <c r="N1721" s="576">
        <f t="shared" si="404"/>
        <v>0</v>
      </c>
      <c r="O1721" s="577">
        <f t="shared" si="399"/>
        <v>0</v>
      </c>
      <c r="P1721" s="578">
        <f t="shared" si="400"/>
        <v>0</v>
      </c>
      <c r="Q1721" s="765"/>
      <c r="R1721" s="669"/>
      <c r="S1721" s="670"/>
      <c r="T1721" s="577">
        <f t="shared" si="397"/>
        <v>0</v>
      </c>
      <c r="U1721" s="578">
        <f t="shared" si="398"/>
        <v>0</v>
      </c>
      <c r="V1721" s="579"/>
      <c r="W1721" s="637" t="str">
        <f>IF(U1719&gt;0,"xx",IF(P1719&gt;0,"xy",""))</f>
        <v/>
      </c>
      <c r="X1721" s="586" t="str">
        <f t="shared" si="402"/>
        <v/>
      </c>
      <c r="Y1721" s="586" t="str">
        <f t="shared" si="409"/>
        <v/>
      </c>
      <c r="Z1721" s="586" t="str">
        <f t="shared" si="403"/>
        <v/>
      </c>
    </row>
    <row r="1722" spans="1:26" ht="12" hidden="1" thickBot="1" x14ac:dyDescent="0.25">
      <c r="A1722" s="567" t="s">
        <v>168</v>
      </c>
      <c r="B1722" s="644" t="s">
        <v>168</v>
      </c>
      <c r="C1722" s="645"/>
      <c r="D1722" s="451" t="s">
        <v>252</v>
      </c>
      <c r="E1722" s="423"/>
      <c r="F1722" s="424">
        <v>20</v>
      </c>
      <c r="G1722" s="425">
        <v>1.1100000000000001</v>
      </c>
      <c r="H1722" s="663">
        <f t="shared" si="416"/>
        <v>26.728800000000003</v>
      </c>
      <c r="I1722" s="420">
        <v>0</v>
      </c>
      <c r="J1722" s="420"/>
      <c r="K1722" s="421">
        <f t="shared" si="407"/>
        <v>0</v>
      </c>
      <c r="L1722" s="668" t="s">
        <v>614</v>
      </c>
      <c r="M1722" s="669"/>
      <c r="N1722" s="576">
        <f t="shared" si="404"/>
        <v>0</v>
      </c>
      <c r="O1722" s="577">
        <f t="shared" si="399"/>
        <v>0</v>
      </c>
      <c r="P1722" s="578">
        <f t="shared" si="400"/>
        <v>0</v>
      </c>
      <c r="Q1722" s="765"/>
      <c r="R1722" s="669"/>
      <c r="S1722" s="670"/>
      <c r="T1722" s="577">
        <f t="shared" ref="T1722:T1785" si="417">IF(ISBLANK(R1722),0,ROUND(K1722*R1722,2))</f>
        <v>0</v>
      </c>
      <c r="U1722" s="578">
        <f t="shared" ref="U1722:U1785" si="418">IF(ISBLANK(R1722),0,ROUND(R1722*S1722,2))</f>
        <v>0</v>
      </c>
      <c r="V1722" s="579"/>
      <c r="W1722" s="637" t="str">
        <f>IF(U1719&gt;0,"xx",IF(P1719&gt;0,"xy",""))</f>
        <v/>
      </c>
      <c r="X1722" s="586" t="str">
        <f t="shared" si="402"/>
        <v/>
      </c>
      <c r="Y1722" s="586" t="str">
        <f t="shared" si="409"/>
        <v/>
      </c>
      <c r="Z1722" s="586" t="str">
        <f t="shared" si="403"/>
        <v/>
      </c>
    </row>
    <row r="1723" spans="1:26" ht="12" hidden="1" thickBot="1" x14ac:dyDescent="0.25">
      <c r="A1723" s="567">
        <v>605400</v>
      </c>
      <c r="B1723" s="644" t="s">
        <v>1642</v>
      </c>
      <c r="C1723" s="645" t="s">
        <v>206</v>
      </c>
      <c r="D1723" s="422" t="s">
        <v>353</v>
      </c>
      <c r="E1723" s="423"/>
      <c r="F1723" s="424"/>
      <c r="G1723" s="425"/>
      <c r="H1723" s="651">
        <f>SUM(H1724:H1726)</f>
        <v>362.76447999999999</v>
      </c>
      <c r="I1723" s="420">
        <v>495.4</v>
      </c>
      <c r="J1723" s="420">
        <f>IF(ISBLANK(I1723),"",SUM(H1723:I1723))</f>
        <v>858.16447999999991</v>
      </c>
      <c r="K1723" s="421">
        <f t="shared" si="407"/>
        <v>1019.59</v>
      </c>
      <c r="L1723" s="647" t="s">
        <v>16</v>
      </c>
      <c r="M1723" s="576"/>
      <c r="N1723" s="576">
        <f t="shared" si="404"/>
        <v>0</v>
      </c>
      <c r="O1723" s="577">
        <f t="shared" ref="O1723:O1786" si="419">IF(ISBLANK(M1723),0,ROUND(K1723*M1723,2))</f>
        <v>0</v>
      </c>
      <c r="P1723" s="578">
        <f t="shared" ref="P1723:P1786" si="420">IF(ISBLANK(N1723),0,ROUND(M1723*N1723,2))</f>
        <v>0</v>
      </c>
      <c r="Q1723" s="765"/>
      <c r="R1723" s="576">
        <f t="shared" si="414"/>
        <v>0</v>
      </c>
      <c r="S1723" s="576">
        <f t="shared" si="414"/>
        <v>0</v>
      </c>
      <c r="T1723" s="577">
        <f t="shared" si="417"/>
        <v>0</v>
      </c>
      <c r="U1723" s="578">
        <f t="shared" si="418"/>
        <v>0</v>
      </c>
      <c r="V1723" s="579"/>
      <c r="W1723" s="566"/>
      <c r="X1723" s="586" t="str">
        <f t="shared" si="402"/>
        <v/>
      </c>
      <c r="Y1723" s="586" t="str">
        <f t="shared" si="409"/>
        <v/>
      </c>
      <c r="Z1723" s="586" t="str">
        <f t="shared" si="403"/>
        <v/>
      </c>
    </row>
    <row r="1724" spans="1:26" ht="12" hidden="1" thickBot="1" x14ac:dyDescent="0.25">
      <c r="A1724" s="567" t="s">
        <v>168</v>
      </c>
      <c r="B1724" s="644" t="s">
        <v>168</v>
      </c>
      <c r="C1724" s="645"/>
      <c r="D1724" s="451" t="s">
        <v>212</v>
      </c>
      <c r="E1724" s="423"/>
      <c r="F1724" s="424">
        <v>500</v>
      </c>
      <c r="G1724" s="425">
        <v>0.34399999999999997</v>
      </c>
      <c r="H1724" s="649">
        <f>IF(F1724&lt;=30,(0.78*F1724+7.82)*G1724,((0.78*30+7.82)+0.78*(F1724-30))*G1724)</f>
        <v>136.85008000000002</v>
      </c>
      <c r="I1724" s="420">
        <v>0</v>
      </c>
      <c r="J1724" s="420"/>
      <c r="K1724" s="421">
        <f t="shared" si="407"/>
        <v>0</v>
      </c>
      <c r="L1724" s="668" t="s">
        <v>614</v>
      </c>
      <c r="M1724" s="669"/>
      <c r="N1724" s="576">
        <f t="shared" si="404"/>
        <v>0</v>
      </c>
      <c r="O1724" s="577">
        <f t="shared" si="419"/>
        <v>0</v>
      </c>
      <c r="P1724" s="578">
        <f t="shared" si="420"/>
        <v>0</v>
      </c>
      <c r="Q1724" s="765"/>
      <c r="R1724" s="669"/>
      <c r="S1724" s="670"/>
      <c r="T1724" s="577">
        <f t="shared" si="417"/>
        <v>0</v>
      </c>
      <c r="U1724" s="578">
        <f t="shared" si="418"/>
        <v>0</v>
      </c>
      <c r="V1724" s="579"/>
      <c r="W1724" s="637" t="str">
        <f>IF(U1723&gt;0,"xx",IF(P1723&gt;0,"xy",""))</f>
        <v/>
      </c>
      <c r="X1724" s="586" t="str">
        <f t="shared" si="402"/>
        <v/>
      </c>
      <c r="Y1724" s="586" t="str">
        <f t="shared" si="409"/>
        <v/>
      </c>
      <c r="Z1724" s="586" t="str">
        <f t="shared" si="403"/>
        <v/>
      </c>
    </row>
    <row r="1725" spans="1:26" ht="12" hidden="1" thickBot="1" x14ac:dyDescent="0.25">
      <c r="A1725" s="567" t="s">
        <v>168</v>
      </c>
      <c r="B1725" s="644" t="s">
        <v>168</v>
      </c>
      <c r="C1725" s="645"/>
      <c r="D1725" s="451" t="s">
        <v>248</v>
      </c>
      <c r="E1725" s="423"/>
      <c r="F1725" s="424">
        <v>180</v>
      </c>
      <c r="G1725" s="425">
        <v>1.02</v>
      </c>
      <c r="H1725" s="663">
        <f t="shared" ref="H1725:H1726" si="421">IF(F1725&lt;=30,(1.07*F1725+2.68)*G1725,((1.07*30+2.68)+1.07*(F1725-30))*G1725)</f>
        <v>199.18559999999999</v>
      </c>
      <c r="I1725" s="420">
        <v>0</v>
      </c>
      <c r="J1725" s="420"/>
      <c r="K1725" s="421">
        <f t="shared" si="407"/>
        <v>0</v>
      </c>
      <c r="L1725" s="668" t="s">
        <v>614</v>
      </c>
      <c r="M1725" s="669"/>
      <c r="N1725" s="576">
        <f t="shared" si="404"/>
        <v>0</v>
      </c>
      <c r="O1725" s="577">
        <f t="shared" si="419"/>
        <v>0</v>
      </c>
      <c r="P1725" s="578">
        <f t="shared" si="420"/>
        <v>0</v>
      </c>
      <c r="Q1725" s="765"/>
      <c r="R1725" s="669"/>
      <c r="S1725" s="670"/>
      <c r="T1725" s="577">
        <f t="shared" si="417"/>
        <v>0</v>
      </c>
      <c r="U1725" s="578">
        <f t="shared" si="418"/>
        <v>0</v>
      </c>
      <c r="V1725" s="579"/>
      <c r="W1725" s="637" t="str">
        <f>IF(U1723&gt;0,"xx",IF(P1723&gt;0,"xy",""))</f>
        <v/>
      </c>
      <c r="X1725" s="586" t="str">
        <f t="shared" ref="X1725:X1792" si="422">IF(W1725="X","x",IF(W1725="xx","x",IF(W1725="xy","x",IF(W1725="y","x",IF(OR(P1725&gt;0,U1725&gt;0),"x","")))))</f>
        <v/>
      </c>
      <c r="Y1725" s="586" t="str">
        <f t="shared" si="409"/>
        <v/>
      </c>
      <c r="Z1725" s="586" t="str">
        <f t="shared" si="403"/>
        <v/>
      </c>
    </row>
    <row r="1726" spans="1:26" ht="12" hidden="1" thickBot="1" x14ac:dyDescent="0.25">
      <c r="A1726" s="567" t="s">
        <v>168</v>
      </c>
      <c r="B1726" s="644" t="s">
        <v>168</v>
      </c>
      <c r="C1726" s="645"/>
      <c r="D1726" s="451" t="s">
        <v>252</v>
      </c>
      <c r="E1726" s="423"/>
      <c r="F1726" s="424">
        <v>20</v>
      </c>
      <c r="G1726" s="425">
        <v>1.1100000000000001</v>
      </c>
      <c r="H1726" s="663">
        <f t="shared" si="421"/>
        <v>26.728800000000003</v>
      </c>
      <c r="I1726" s="420">
        <v>0</v>
      </c>
      <c r="J1726" s="420"/>
      <c r="K1726" s="421">
        <f t="shared" si="407"/>
        <v>0</v>
      </c>
      <c r="L1726" s="668" t="s">
        <v>614</v>
      </c>
      <c r="M1726" s="669"/>
      <c r="N1726" s="576">
        <f t="shared" si="404"/>
        <v>0</v>
      </c>
      <c r="O1726" s="577">
        <f t="shared" si="419"/>
        <v>0</v>
      </c>
      <c r="P1726" s="578">
        <f t="shared" si="420"/>
        <v>0</v>
      </c>
      <c r="Q1726" s="765"/>
      <c r="R1726" s="669"/>
      <c r="S1726" s="670"/>
      <c r="T1726" s="577">
        <f t="shared" si="417"/>
        <v>0</v>
      </c>
      <c r="U1726" s="578">
        <f t="shared" si="418"/>
        <v>0</v>
      </c>
      <c r="V1726" s="579"/>
      <c r="W1726" s="637" t="str">
        <f>IF(U1723&gt;0,"xx",IF(P1723&gt;0,"xy",""))</f>
        <v/>
      </c>
      <c r="X1726" s="586" t="str">
        <f t="shared" si="422"/>
        <v/>
      </c>
      <c r="Y1726" s="586" t="str">
        <f t="shared" si="409"/>
        <v/>
      </c>
      <c r="Z1726" s="586" t="str">
        <f t="shared" si="403"/>
        <v/>
      </c>
    </row>
    <row r="1727" spans="1:26" ht="12" hidden="1" thickBot="1" x14ac:dyDescent="0.25">
      <c r="A1727" s="567">
        <v>831000</v>
      </c>
      <c r="B1727" s="644" t="s">
        <v>1873</v>
      </c>
      <c r="C1727" s="645" t="s">
        <v>206</v>
      </c>
      <c r="D1727" s="422" t="s">
        <v>280</v>
      </c>
      <c r="E1727" s="423"/>
      <c r="F1727" s="424"/>
      <c r="G1727" s="425"/>
      <c r="H1727" s="651"/>
      <c r="I1727" s="420">
        <v>41.120000000000005</v>
      </c>
      <c r="J1727" s="420">
        <f t="shared" ref="J1727:J1734" si="423">IF(ISBLANK(I1727),"",SUM(H1727:I1727))</f>
        <v>41.120000000000005</v>
      </c>
      <c r="K1727" s="421">
        <f t="shared" si="407"/>
        <v>48.85</v>
      </c>
      <c r="L1727" s="647" t="s">
        <v>19</v>
      </c>
      <c r="M1727" s="576"/>
      <c r="N1727" s="576">
        <f t="shared" si="404"/>
        <v>0</v>
      </c>
      <c r="O1727" s="577">
        <f t="shared" si="419"/>
        <v>0</v>
      </c>
      <c r="P1727" s="578">
        <f t="shared" si="420"/>
        <v>0</v>
      </c>
      <c r="Q1727" s="765"/>
      <c r="R1727" s="576">
        <f t="shared" si="414"/>
        <v>0</v>
      </c>
      <c r="S1727" s="576">
        <f t="shared" si="414"/>
        <v>0</v>
      </c>
      <c r="T1727" s="577">
        <f t="shared" si="417"/>
        <v>0</v>
      </c>
      <c r="U1727" s="578">
        <f t="shared" si="418"/>
        <v>0</v>
      </c>
      <c r="V1727" s="579"/>
      <c r="W1727" s="566"/>
      <c r="X1727" s="586" t="str">
        <f t="shared" si="422"/>
        <v/>
      </c>
      <c r="Y1727" s="586" t="str">
        <f t="shared" si="409"/>
        <v/>
      </c>
      <c r="Z1727" s="586" t="str">
        <f t="shared" si="403"/>
        <v/>
      </c>
    </row>
    <row r="1728" spans="1:26" ht="12" hidden="1" thickBot="1" x14ac:dyDescent="0.25">
      <c r="A1728" s="567">
        <v>830000</v>
      </c>
      <c r="B1728" s="644" t="s">
        <v>1874</v>
      </c>
      <c r="C1728" s="645" t="s">
        <v>206</v>
      </c>
      <c r="D1728" s="422" t="s">
        <v>281</v>
      </c>
      <c r="E1728" s="423"/>
      <c r="F1728" s="424"/>
      <c r="G1728" s="425"/>
      <c r="H1728" s="651"/>
      <c r="I1728" s="420">
        <v>34.14</v>
      </c>
      <c r="J1728" s="420">
        <f t="shared" si="423"/>
        <v>34.14</v>
      </c>
      <c r="K1728" s="421">
        <f t="shared" si="407"/>
        <v>40.56</v>
      </c>
      <c r="L1728" s="647" t="s">
        <v>19</v>
      </c>
      <c r="M1728" s="576"/>
      <c r="N1728" s="576">
        <f t="shared" si="404"/>
        <v>0</v>
      </c>
      <c r="O1728" s="577">
        <f t="shared" si="419"/>
        <v>0</v>
      </c>
      <c r="P1728" s="578">
        <f t="shared" si="420"/>
        <v>0</v>
      </c>
      <c r="Q1728" s="765"/>
      <c r="R1728" s="576">
        <f t="shared" si="414"/>
        <v>0</v>
      </c>
      <c r="S1728" s="576">
        <f t="shared" si="414"/>
        <v>0</v>
      </c>
      <c r="T1728" s="577">
        <f t="shared" si="417"/>
        <v>0</v>
      </c>
      <c r="U1728" s="578">
        <f t="shared" si="418"/>
        <v>0</v>
      </c>
      <c r="V1728" s="579"/>
      <c r="W1728" s="566"/>
      <c r="X1728" s="586" t="str">
        <f t="shared" si="422"/>
        <v/>
      </c>
      <c r="Y1728" s="586" t="str">
        <f t="shared" si="409"/>
        <v/>
      </c>
      <c r="Z1728" s="586" t="str">
        <f t="shared" si="403"/>
        <v/>
      </c>
    </row>
    <row r="1729" spans="1:26" ht="12" hidden="1" thickBot="1" x14ac:dyDescent="0.25">
      <c r="A1729" s="567">
        <v>823000</v>
      </c>
      <c r="B1729" s="644" t="s">
        <v>1636</v>
      </c>
      <c r="C1729" s="645" t="s">
        <v>206</v>
      </c>
      <c r="D1729" s="422" t="s">
        <v>282</v>
      </c>
      <c r="E1729" s="423"/>
      <c r="F1729" s="424">
        <v>0</v>
      </c>
      <c r="G1729" s="425"/>
      <c r="H1729" s="651"/>
      <c r="I1729" s="420">
        <v>486.65</v>
      </c>
      <c r="J1729" s="420">
        <f t="shared" si="423"/>
        <v>486.65</v>
      </c>
      <c r="K1729" s="421">
        <f t="shared" si="407"/>
        <v>578.19000000000005</v>
      </c>
      <c r="L1729" s="647" t="s">
        <v>19</v>
      </c>
      <c r="M1729" s="576"/>
      <c r="N1729" s="576">
        <f t="shared" si="404"/>
        <v>0</v>
      </c>
      <c r="O1729" s="577">
        <f t="shared" si="419"/>
        <v>0</v>
      </c>
      <c r="P1729" s="578">
        <f t="shared" si="420"/>
        <v>0</v>
      </c>
      <c r="Q1729" s="765"/>
      <c r="R1729" s="576">
        <f t="shared" si="414"/>
        <v>0</v>
      </c>
      <c r="S1729" s="576">
        <f t="shared" si="414"/>
        <v>0</v>
      </c>
      <c r="T1729" s="577">
        <f t="shared" si="417"/>
        <v>0</v>
      </c>
      <c r="U1729" s="578">
        <f t="shared" si="418"/>
        <v>0</v>
      </c>
      <c r="V1729" s="579"/>
      <c r="W1729" s="566"/>
      <c r="X1729" s="586" t="str">
        <f t="shared" si="422"/>
        <v/>
      </c>
      <c r="Y1729" s="586" t="str">
        <f t="shared" si="409"/>
        <v/>
      </c>
      <c r="Z1729" s="586" t="str">
        <f t="shared" si="403"/>
        <v/>
      </c>
    </row>
    <row r="1730" spans="1:26" ht="12" hidden="1" thickBot="1" x14ac:dyDescent="0.25">
      <c r="A1730" s="567">
        <v>97623</v>
      </c>
      <c r="B1730" s="644" t="s">
        <v>1598</v>
      </c>
      <c r="C1730" s="645" t="s">
        <v>670</v>
      </c>
      <c r="D1730" s="416" t="s">
        <v>1595</v>
      </c>
      <c r="E1730" s="417"/>
      <c r="F1730" s="418"/>
      <c r="G1730" s="419"/>
      <c r="H1730" s="646"/>
      <c r="I1730" s="420">
        <v>175.28</v>
      </c>
      <c r="J1730" s="420">
        <f t="shared" si="423"/>
        <v>175.28</v>
      </c>
      <c r="K1730" s="421">
        <f t="shared" si="407"/>
        <v>208.25</v>
      </c>
      <c r="L1730" s="647" t="s">
        <v>16</v>
      </c>
      <c r="M1730" s="576"/>
      <c r="N1730" s="576">
        <f t="shared" si="404"/>
        <v>0</v>
      </c>
      <c r="O1730" s="577">
        <f t="shared" si="419"/>
        <v>0</v>
      </c>
      <c r="P1730" s="578">
        <f t="shared" si="420"/>
        <v>0</v>
      </c>
      <c r="Q1730" s="765"/>
      <c r="R1730" s="650">
        <f t="shared" si="414"/>
        <v>0</v>
      </c>
      <c r="S1730" s="587">
        <f t="shared" si="414"/>
        <v>0</v>
      </c>
      <c r="T1730" s="577">
        <f t="shared" si="417"/>
        <v>0</v>
      </c>
      <c r="U1730" s="578">
        <f t="shared" si="418"/>
        <v>0</v>
      </c>
      <c r="V1730" s="579"/>
      <c r="W1730" s="566"/>
      <c r="X1730" s="586" t="str">
        <f t="shared" si="422"/>
        <v/>
      </c>
      <c r="Y1730" s="586" t="str">
        <f t="shared" si="409"/>
        <v/>
      </c>
      <c r="Z1730" s="586" t="str">
        <f t="shared" si="403"/>
        <v/>
      </c>
    </row>
    <row r="1731" spans="1:26" ht="12" hidden="1" thickBot="1" x14ac:dyDescent="0.25">
      <c r="A1731" s="567">
        <v>97624</v>
      </c>
      <c r="B1731" s="644" t="s">
        <v>1599</v>
      </c>
      <c r="C1731" s="645" t="s">
        <v>670</v>
      </c>
      <c r="D1731" s="416" t="s">
        <v>1597</v>
      </c>
      <c r="E1731" s="417"/>
      <c r="F1731" s="418"/>
      <c r="G1731" s="419"/>
      <c r="H1731" s="646"/>
      <c r="I1731" s="420">
        <v>107.58</v>
      </c>
      <c r="J1731" s="420">
        <f t="shared" si="423"/>
        <v>107.58</v>
      </c>
      <c r="K1731" s="421">
        <f t="shared" si="407"/>
        <v>127.82</v>
      </c>
      <c r="L1731" s="647" t="s">
        <v>16</v>
      </c>
      <c r="M1731" s="576"/>
      <c r="N1731" s="576">
        <f t="shared" si="404"/>
        <v>0</v>
      </c>
      <c r="O1731" s="577">
        <f t="shared" si="419"/>
        <v>0</v>
      </c>
      <c r="P1731" s="578">
        <f t="shared" si="420"/>
        <v>0</v>
      </c>
      <c r="Q1731" s="765"/>
      <c r="R1731" s="650">
        <f t="shared" si="414"/>
        <v>0</v>
      </c>
      <c r="S1731" s="587">
        <f t="shared" si="414"/>
        <v>0</v>
      </c>
      <c r="T1731" s="577">
        <f t="shared" si="417"/>
        <v>0</v>
      </c>
      <c r="U1731" s="578">
        <f t="shared" si="418"/>
        <v>0</v>
      </c>
      <c r="V1731" s="579"/>
      <c r="W1731" s="566"/>
      <c r="X1731" s="586" t="str">
        <f t="shared" si="422"/>
        <v/>
      </c>
      <c r="Y1731" s="586" t="str">
        <f t="shared" si="409"/>
        <v/>
      </c>
      <c r="Z1731" s="586" t="str">
        <f t="shared" si="403"/>
        <v/>
      </c>
    </row>
    <row r="1732" spans="1:26" ht="12" hidden="1" thickBot="1" x14ac:dyDescent="0.25">
      <c r="A1732" s="567">
        <v>606500</v>
      </c>
      <c r="B1732" s="644" t="s">
        <v>1600</v>
      </c>
      <c r="C1732" s="645" t="s">
        <v>206</v>
      </c>
      <c r="D1732" s="416" t="s">
        <v>501</v>
      </c>
      <c r="E1732" s="417"/>
      <c r="F1732" s="418"/>
      <c r="G1732" s="419"/>
      <c r="H1732" s="646"/>
      <c r="I1732" s="420">
        <v>169.87</v>
      </c>
      <c r="J1732" s="420">
        <f t="shared" si="423"/>
        <v>169.87</v>
      </c>
      <c r="K1732" s="421">
        <f t="shared" si="407"/>
        <v>201.82</v>
      </c>
      <c r="L1732" s="647" t="s">
        <v>16</v>
      </c>
      <c r="M1732" s="576"/>
      <c r="N1732" s="576">
        <f t="shared" si="404"/>
        <v>0</v>
      </c>
      <c r="O1732" s="577">
        <f t="shared" si="419"/>
        <v>0</v>
      </c>
      <c r="P1732" s="578">
        <f t="shared" si="420"/>
        <v>0</v>
      </c>
      <c r="Q1732" s="765"/>
      <c r="R1732" s="650">
        <f t="shared" si="414"/>
        <v>0</v>
      </c>
      <c r="S1732" s="587">
        <f t="shared" si="414"/>
        <v>0</v>
      </c>
      <c r="T1732" s="577">
        <f t="shared" si="417"/>
        <v>0</v>
      </c>
      <c r="U1732" s="578">
        <f t="shared" si="418"/>
        <v>0</v>
      </c>
      <c r="V1732" s="579"/>
      <c r="W1732" s="566"/>
      <c r="X1732" s="586" t="str">
        <f t="shared" si="422"/>
        <v/>
      </c>
      <c r="Y1732" s="586" t="str">
        <f t="shared" si="409"/>
        <v/>
      </c>
      <c r="Z1732" s="586" t="str">
        <f t="shared" si="403"/>
        <v/>
      </c>
    </row>
    <row r="1733" spans="1:26" ht="12" hidden="1" thickBot="1" x14ac:dyDescent="0.25">
      <c r="A1733" s="567">
        <v>841000</v>
      </c>
      <c r="B1733" s="644" t="s">
        <v>1593</v>
      </c>
      <c r="C1733" s="645" t="s">
        <v>206</v>
      </c>
      <c r="D1733" s="422" t="s">
        <v>477</v>
      </c>
      <c r="E1733" s="423"/>
      <c r="F1733" s="424">
        <v>0</v>
      </c>
      <c r="G1733" s="425"/>
      <c r="H1733" s="651"/>
      <c r="I1733" s="420">
        <v>11.64</v>
      </c>
      <c r="J1733" s="420">
        <f t="shared" si="423"/>
        <v>11.64</v>
      </c>
      <c r="K1733" s="421">
        <f t="shared" si="407"/>
        <v>13.83</v>
      </c>
      <c r="L1733" s="647" t="s">
        <v>19</v>
      </c>
      <c r="M1733" s="576"/>
      <c r="N1733" s="576">
        <f t="shared" si="404"/>
        <v>0</v>
      </c>
      <c r="O1733" s="577">
        <f t="shared" si="419"/>
        <v>0</v>
      </c>
      <c r="P1733" s="578">
        <f t="shared" si="420"/>
        <v>0</v>
      </c>
      <c r="Q1733" s="765"/>
      <c r="R1733" s="576">
        <f t="shared" si="414"/>
        <v>0</v>
      </c>
      <c r="S1733" s="576">
        <f t="shared" si="414"/>
        <v>0</v>
      </c>
      <c r="T1733" s="577">
        <f t="shared" si="417"/>
        <v>0</v>
      </c>
      <c r="U1733" s="578">
        <f t="shared" si="418"/>
        <v>0</v>
      </c>
      <c r="V1733" s="579"/>
      <c r="W1733" s="566"/>
      <c r="X1733" s="586" t="str">
        <f t="shared" si="422"/>
        <v/>
      </c>
      <c r="Y1733" s="586" t="str">
        <f t="shared" si="409"/>
        <v/>
      </c>
      <c r="Z1733" s="586" t="str">
        <f t="shared" si="403"/>
        <v/>
      </c>
    </row>
    <row r="1734" spans="1:26" ht="12" hidden="1" thickBot="1" x14ac:dyDescent="0.25">
      <c r="A1734" s="567">
        <v>840000</v>
      </c>
      <c r="B1734" s="644" t="s">
        <v>1716</v>
      </c>
      <c r="C1734" s="645" t="s">
        <v>206</v>
      </c>
      <c r="D1734" s="422" t="s">
        <v>279</v>
      </c>
      <c r="E1734" s="423"/>
      <c r="F1734" s="424">
        <v>0</v>
      </c>
      <c r="G1734" s="425"/>
      <c r="H1734" s="651"/>
      <c r="I1734" s="420">
        <v>32.15</v>
      </c>
      <c r="J1734" s="420">
        <f t="shared" si="423"/>
        <v>32.15</v>
      </c>
      <c r="K1734" s="421">
        <f t="shared" si="407"/>
        <v>38.200000000000003</v>
      </c>
      <c r="L1734" s="647" t="s">
        <v>19</v>
      </c>
      <c r="M1734" s="576"/>
      <c r="N1734" s="576">
        <f t="shared" si="404"/>
        <v>0</v>
      </c>
      <c r="O1734" s="577">
        <f t="shared" si="419"/>
        <v>0</v>
      </c>
      <c r="P1734" s="578">
        <f t="shared" si="420"/>
        <v>0</v>
      </c>
      <c r="Q1734" s="765"/>
      <c r="R1734" s="576">
        <f t="shared" si="414"/>
        <v>0</v>
      </c>
      <c r="S1734" s="576">
        <f t="shared" si="414"/>
        <v>0</v>
      </c>
      <c r="T1734" s="577">
        <f t="shared" si="417"/>
        <v>0</v>
      </c>
      <c r="U1734" s="578">
        <f t="shared" si="418"/>
        <v>0</v>
      </c>
      <c r="V1734" s="579"/>
      <c r="W1734" s="566"/>
      <c r="X1734" s="586" t="str">
        <f>IF(W1734="X","x",IF(W1734="xx","x",IF(W1734="xy","x",IF(W1734="y","x",IF(OR(P1734&gt;0,U1734&gt;0),"x","")))))</f>
        <v/>
      </c>
      <c r="Y1734" s="586" t="str">
        <f>IF(W1734="X","x",IF(W1734="y","x",IF(W1734="xx","x",IF(U1734&gt;0,"x",""))))</f>
        <v/>
      </c>
      <c r="Z1734" s="586" t="str">
        <f t="shared" si="403"/>
        <v/>
      </c>
    </row>
    <row r="1735" spans="1:26" ht="12" hidden="1" thickBot="1" x14ac:dyDescent="0.25">
      <c r="A1735" s="567">
        <v>606600</v>
      </c>
      <c r="B1735" s="644" t="s">
        <v>1579</v>
      </c>
      <c r="C1735" s="645" t="s">
        <v>206</v>
      </c>
      <c r="D1735" s="422" t="s">
        <v>200</v>
      </c>
      <c r="E1735" s="423"/>
      <c r="F1735" s="424">
        <v>0</v>
      </c>
      <c r="G1735" s="425"/>
      <c r="H1735" s="651"/>
      <c r="I1735" s="420">
        <v>300.33999999999997</v>
      </c>
      <c r="J1735" s="420">
        <f t="shared" ref="J1735:J1740" si="424">IF(ISBLANK(I1735),"",SUM(H1735:I1735))</f>
        <v>300.33999999999997</v>
      </c>
      <c r="K1735" s="421">
        <f t="shared" si="407"/>
        <v>356.83</v>
      </c>
      <c r="L1735" s="647" t="s">
        <v>16</v>
      </c>
      <c r="M1735" s="576"/>
      <c r="N1735" s="576">
        <f t="shared" si="404"/>
        <v>0</v>
      </c>
      <c r="O1735" s="577">
        <f t="shared" si="419"/>
        <v>0</v>
      </c>
      <c r="P1735" s="578">
        <f t="shared" si="420"/>
        <v>0</v>
      </c>
      <c r="Q1735" s="765"/>
      <c r="R1735" s="576">
        <f t="shared" si="414"/>
        <v>0</v>
      </c>
      <c r="S1735" s="576">
        <f t="shared" si="414"/>
        <v>0</v>
      </c>
      <c r="T1735" s="577">
        <f t="shared" si="417"/>
        <v>0</v>
      </c>
      <c r="U1735" s="578">
        <f t="shared" si="418"/>
        <v>0</v>
      </c>
      <c r="V1735" s="579"/>
      <c r="W1735" s="566"/>
      <c r="X1735" s="586" t="str">
        <f t="shared" si="422"/>
        <v/>
      </c>
      <c r="Y1735" s="586" t="str">
        <f t="shared" si="409"/>
        <v/>
      </c>
      <c r="Z1735" s="586" t="str">
        <f t="shared" si="403"/>
        <v/>
      </c>
    </row>
    <row r="1736" spans="1:26" ht="12" hidden="1" thickBot="1" x14ac:dyDescent="0.25">
      <c r="A1736" s="567">
        <v>606700</v>
      </c>
      <c r="B1736" s="644" t="s">
        <v>1582</v>
      </c>
      <c r="C1736" s="645" t="s">
        <v>206</v>
      </c>
      <c r="D1736" s="422" t="s">
        <v>273</v>
      </c>
      <c r="E1736" s="423"/>
      <c r="F1736" s="424">
        <v>0</v>
      </c>
      <c r="G1736" s="425"/>
      <c r="H1736" s="651"/>
      <c r="I1736" s="420">
        <v>143.94</v>
      </c>
      <c r="J1736" s="420">
        <f t="shared" si="424"/>
        <v>143.94</v>
      </c>
      <c r="K1736" s="421">
        <f t="shared" si="407"/>
        <v>171.02</v>
      </c>
      <c r="L1736" s="647" t="s">
        <v>16</v>
      </c>
      <c r="M1736" s="576"/>
      <c r="N1736" s="576">
        <f t="shared" si="404"/>
        <v>0</v>
      </c>
      <c r="O1736" s="577">
        <f t="shared" si="419"/>
        <v>0</v>
      </c>
      <c r="P1736" s="578">
        <f t="shared" si="420"/>
        <v>0</v>
      </c>
      <c r="Q1736" s="765"/>
      <c r="R1736" s="576">
        <f t="shared" si="414"/>
        <v>0</v>
      </c>
      <c r="S1736" s="576">
        <f t="shared" si="414"/>
        <v>0</v>
      </c>
      <c r="T1736" s="577">
        <f t="shared" si="417"/>
        <v>0</v>
      </c>
      <c r="U1736" s="578">
        <f t="shared" si="418"/>
        <v>0</v>
      </c>
      <c r="V1736" s="579"/>
      <c r="W1736" s="566"/>
      <c r="X1736" s="586" t="str">
        <f t="shared" si="422"/>
        <v/>
      </c>
      <c r="Y1736" s="586" t="str">
        <f t="shared" si="409"/>
        <v/>
      </c>
      <c r="Z1736" s="586" t="str">
        <f t="shared" si="403"/>
        <v/>
      </c>
    </row>
    <row r="1737" spans="1:26" ht="12" hidden="1" thickBot="1" x14ac:dyDescent="0.25">
      <c r="A1737" s="567">
        <v>603700</v>
      </c>
      <c r="B1737" s="644" t="s">
        <v>1644</v>
      </c>
      <c r="C1737" s="645" t="s">
        <v>206</v>
      </c>
      <c r="D1737" s="422" t="s">
        <v>338</v>
      </c>
      <c r="E1737" s="423"/>
      <c r="F1737" s="424">
        <v>20</v>
      </c>
      <c r="G1737" s="425">
        <v>1.8</v>
      </c>
      <c r="H1737" s="663">
        <f t="shared" ref="H1737:H1738" si="425">IF(F1737&lt;=30,(1.07*F1737+2.68)*G1737,((1.07*30+2.68)+1.07*(F1737-30))*G1737)</f>
        <v>43.344000000000001</v>
      </c>
      <c r="I1737" s="420">
        <v>201.64</v>
      </c>
      <c r="J1737" s="420">
        <f t="shared" si="424"/>
        <v>244.98399999999998</v>
      </c>
      <c r="K1737" s="421">
        <f t="shared" si="407"/>
        <v>291.07</v>
      </c>
      <c r="L1737" s="647" t="s">
        <v>16</v>
      </c>
      <c r="M1737" s="576"/>
      <c r="N1737" s="576">
        <f t="shared" si="404"/>
        <v>0</v>
      </c>
      <c r="O1737" s="577">
        <f t="shared" si="419"/>
        <v>0</v>
      </c>
      <c r="P1737" s="578">
        <f t="shared" si="420"/>
        <v>0</v>
      </c>
      <c r="Q1737" s="765"/>
      <c r="R1737" s="576">
        <f t="shared" si="414"/>
        <v>0</v>
      </c>
      <c r="S1737" s="576">
        <f t="shared" si="414"/>
        <v>0</v>
      </c>
      <c r="T1737" s="577">
        <f t="shared" si="417"/>
        <v>0</v>
      </c>
      <c r="U1737" s="578">
        <f t="shared" si="418"/>
        <v>0</v>
      </c>
      <c r="V1737" s="579"/>
      <c r="W1737" s="637"/>
      <c r="X1737" s="586" t="str">
        <f t="shared" si="422"/>
        <v/>
      </c>
      <c r="Y1737" s="586" t="str">
        <f t="shared" si="409"/>
        <v/>
      </c>
      <c r="Z1737" s="586" t="str">
        <f t="shared" si="403"/>
        <v/>
      </c>
    </row>
    <row r="1738" spans="1:26" ht="12" hidden="1" thickBot="1" x14ac:dyDescent="0.25">
      <c r="A1738" s="567">
        <v>603800</v>
      </c>
      <c r="B1738" s="644" t="s">
        <v>1645</v>
      </c>
      <c r="C1738" s="645" t="s">
        <v>206</v>
      </c>
      <c r="D1738" s="422" t="s">
        <v>339</v>
      </c>
      <c r="E1738" s="423"/>
      <c r="F1738" s="424">
        <v>20</v>
      </c>
      <c r="G1738" s="425">
        <v>1.5</v>
      </c>
      <c r="H1738" s="663">
        <f t="shared" si="425"/>
        <v>36.120000000000005</v>
      </c>
      <c r="I1738" s="420">
        <v>119.45</v>
      </c>
      <c r="J1738" s="420">
        <f t="shared" si="424"/>
        <v>155.57</v>
      </c>
      <c r="K1738" s="421">
        <f t="shared" si="407"/>
        <v>184.83</v>
      </c>
      <c r="L1738" s="647" t="s">
        <v>16</v>
      </c>
      <c r="M1738" s="576"/>
      <c r="N1738" s="576">
        <f t="shared" si="404"/>
        <v>0</v>
      </c>
      <c r="O1738" s="577">
        <f t="shared" si="419"/>
        <v>0</v>
      </c>
      <c r="P1738" s="578">
        <f t="shared" si="420"/>
        <v>0</v>
      </c>
      <c r="Q1738" s="765"/>
      <c r="R1738" s="576">
        <f t="shared" si="414"/>
        <v>0</v>
      </c>
      <c r="S1738" s="576">
        <f t="shared" si="414"/>
        <v>0</v>
      </c>
      <c r="T1738" s="577">
        <f t="shared" si="417"/>
        <v>0</v>
      </c>
      <c r="U1738" s="578">
        <f t="shared" si="418"/>
        <v>0</v>
      </c>
      <c r="V1738" s="579"/>
      <c r="W1738" s="566"/>
      <c r="X1738" s="586" t="str">
        <f t="shared" si="422"/>
        <v/>
      </c>
      <c r="Y1738" s="586" t="str">
        <f t="shared" si="409"/>
        <v/>
      </c>
      <c r="Z1738" s="586" t="str">
        <f t="shared" si="403"/>
        <v/>
      </c>
    </row>
    <row r="1739" spans="1:26" ht="12" hidden="1" thickBot="1" x14ac:dyDescent="0.25">
      <c r="A1739" s="567">
        <v>600000</v>
      </c>
      <c r="B1739" s="644" t="s">
        <v>1648</v>
      </c>
      <c r="C1739" s="645" t="s">
        <v>206</v>
      </c>
      <c r="D1739" s="422" t="s">
        <v>322</v>
      </c>
      <c r="E1739" s="423"/>
      <c r="F1739" s="424">
        <v>0</v>
      </c>
      <c r="G1739" s="425">
        <v>0</v>
      </c>
      <c r="H1739" s="651"/>
      <c r="I1739" s="420">
        <v>46.12</v>
      </c>
      <c r="J1739" s="420">
        <f t="shared" si="424"/>
        <v>46.12</v>
      </c>
      <c r="K1739" s="421">
        <f t="shared" si="407"/>
        <v>54.8</v>
      </c>
      <c r="L1739" s="647" t="s">
        <v>16</v>
      </c>
      <c r="M1739" s="576"/>
      <c r="N1739" s="576">
        <f t="shared" si="404"/>
        <v>0</v>
      </c>
      <c r="O1739" s="577">
        <f t="shared" si="419"/>
        <v>0</v>
      </c>
      <c r="P1739" s="578">
        <f t="shared" si="420"/>
        <v>0</v>
      </c>
      <c r="Q1739" s="765"/>
      <c r="R1739" s="576">
        <f t="shared" si="414"/>
        <v>0</v>
      </c>
      <c r="S1739" s="576">
        <f t="shared" si="414"/>
        <v>0</v>
      </c>
      <c r="T1739" s="577">
        <f t="shared" si="417"/>
        <v>0</v>
      </c>
      <c r="U1739" s="578">
        <f t="shared" si="418"/>
        <v>0</v>
      </c>
      <c r="V1739" s="579"/>
      <c r="W1739" s="566"/>
      <c r="X1739" s="586" t="str">
        <f t="shared" si="422"/>
        <v/>
      </c>
      <c r="Y1739" s="586" t="str">
        <f t="shared" si="409"/>
        <v/>
      </c>
      <c r="Z1739" s="586" t="str">
        <f t="shared" si="403"/>
        <v/>
      </c>
    </row>
    <row r="1740" spans="1:26" ht="12" hidden="1" thickBot="1" x14ac:dyDescent="0.25">
      <c r="A1740" s="567">
        <v>602000</v>
      </c>
      <c r="B1740" s="644" t="s">
        <v>2097</v>
      </c>
      <c r="C1740" s="645" t="s">
        <v>206</v>
      </c>
      <c r="D1740" s="422" t="s">
        <v>2092</v>
      </c>
      <c r="E1740" s="423"/>
      <c r="F1740" s="424"/>
      <c r="G1740" s="425"/>
      <c r="H1740" s="651"/>
      <c r="I1740" s="420">
        <v>58.84</v>
      </c>
      <c r="J1740" s="420">
        <f t="shared" si="424"/>
        <v>58.84</v>
      </c>
      <c r="K1740" s="421">
        <f t="shared" si="407"/>
        <v>69.91</v>
      </c>
      <c r="L1740" s="647" t="s">
        <v>18</v>
      </c>
      <c r="M1740" s="576"/>
      <c r="N1740" s="576">
        <f t="shared" si="404"/>
        <v>0</v>
      </c>
      <c r="O1740" s="577">
        <f t="shared" si="419"/>
        <v>0</v>
      </c>
      <c r="P1740" s="578">
        <f t="shared" si="420"/>
        <v>0</v>
      </c>
      <c r="Q1740" s="765"/>
      <c r="R1740" s="576">
        <f t="shared" si="414"/>
        <v>0</v>
      </c>
      <c r="S1740" s="576">
        <f t="shared" si="414"/>
        <v>0</v>
      </c>
      <c r="T1740" s="577">
        <f t="shared" si="417"/>
        <v>0</v>
      </c>
      <c r="U1740" s="578">
        <f t="shared" si="418"/>
        <v>0</v>
      </c>
      <c r="V1740" s="579"/>
      <c r="W1740" s="566"/>
      <c r="X1740" s="586" t="str">
        <f t="shared" si="422"/>
        <v/>
      </c>
      <c r="Y1740" s="586" t="str">
        <f t="shared" si="409"/>
        <v/>
      </c>
      <c r="Z1740" s="586" t="str">
        <f t="shared" si="403"/>
        <v/>
      </c>
    </row>
    <row r="1741" spans="1:26" ht="12" hidden="1" thickBot="1" x14ac:dyDescent="0.25">
      <c r="A1741" s="567">
        <v>600310</v>
      </c>
      <c r="B1741" s="644" t="s">
        <v>1588</v>
      </c>
      <c r="C1741" s="645" t="s">
        <v>206</v>
      </c>
      <c r="D1741" s="416" t="s">
        <v>474</v>
      </c>
      <c r="E1741" s="417"/>
      <c r="F1741" s="418"/>
      <c r="G1741" s="419"/>
      <c r="H1741" s="646"/>
      <c r="I1741" s="420">
        <v>138.22</v>
      </c>
      <c r="J1741" s="420">
        <f t="shared" ref="J1741:J1751" si="426">IF(ISBLANK(I1741),"",SUM(H1741:I1741))</f>
        <v>138.22</v>
      </c>
      <c r="K1741" s="421">
        <f t="shared" si="407"/>
        <v>164.22</v>
      </c>
      <c r="L1741" s="647" t="s">
        <v>21</v>
      </c>
      <c r="M1741" s="576"/>
      <c r="N1741" s="576">
        <f t="shared" si="404"/>
        <v>0</v>
      </c>
      <c r="O1741" s="577">
        <f t="shared" si="419"/>
        <v>0</v>
      </c>
      <c r="P1741" s="578">
        <f t="shared" si="420"/>
        <v>0</v>
      </c>
      <c r="Q1741" s="765"/>
      <c r="R1741" s="576">
        <f t="shared" si="414"/>
        <v>0</v>
      </c>
      <c r="S1741" s="576">
        <f t="shared" si="414"/>
        <v>0</v>
      </c>
      <c r="T1741" s="577">
        <f t="shared" si="417"/>
        <v>0</v>
      </c>
      <c r="U1741" s="578">
        <f t="shared" si="418"/>
        <v>0</v>
      </c>
      <c r="V1741" s="579"/>
      <c r="W1741" s="566"/>
      <c r="X1741" s="586" t="str">
        <f t="shared" si="422"/>
        <v/>
      </c>
      <c r="Y1741" s="586" t="str">
        <f t="shared" si="409"/>
        <v/>
      </c>
      <c r="Z1741" s="586" t="str">
        <f t="shared" si="403"/>
        <v/>
      </c>
    </row>
    <row r="1742" spans="1:26" ht="12" hidden="1" thickBot="1" x14ac:dyDescent="0.25">
      <c r="A1742" s="567">
        <v>633000</v>
      </c>
      <c r="B1742" s="644" t="s">
        <v>1650</v>
      </c>
      <c r="C1742" s="645" t="s">
        <v>206</v>
      </c>
      <c r="D1742" s="416" t="s">
        <v>623</v>
      </c>
      <c r="E1742" s="417"/>
      <c r="F1742" s="418"/>
      <c r="G1742" s="419"/>
      <c r="H1742" s="646"/>
      <c r="I1742" s="420">
        <v>76.88</v>
      </c>
      <c r="J1742" s="420">
        <f>IF(ISBLANK(I1742),"",SUM(H1742:I1742))</f>
        <v>76.88</v>
      </c>
      <c r="K1742" s="421">
        <f t="shared" si="407"/>
        <v>91.34</v>
      </c>
      <c r="L1742" s="647" t="s">
        <v>19</v>
      </c>
      <c r="M1742" s="576"/>
      <c r="N1742" s="576">
        <f t="shared" si="404"/>
        <v>0</v>
      </c>
      <c r="O1742" s="577">
        <f t="shared" si="419"/>
        <v>0</v>
      </c>
      <c r="P1742" s="578">
        <f t="shared" si="420"/>
        <v>0</v>
      </c>
      <c r="Q1742" s="765"/>
      <c r="R1742" s="576">
        <f t="shared" si="414"/>
        <v>0</v>
      </c>
      <c r="S1742" s="576">
        <f t="shared" si="414"/>
        <v>0</v>
      </c>
      <c r="T1742" s="577">
        <f t="shared" si="417"/>
        <v>0</v>
      </c>
      <c r="U1742" s="578">
        <f t="shared" si="418"/>
        <v>0</v>
      </c>
      <c r="V1742" s="579"/>
      <c r="W1742" s="566"/>
      <c r="X1742" s="586" t="str">
        <f t="shared" si="422"/>
        <v/>
      </c>
      <c r="Y1742" s="586" t="str">
        <f t="shared" si="409"/>
        <v/>
      </c>
      <c r="Z1742" s="586" t="str">
        <f t="shared" si="403"/>
        <v/>
      </c>
    </row>
    <row r="1743" spans="1:26" ht="12" hidden="1" thickBot="1" x14ac:dyDescent="0.25">
      <c r="A1743" s="567">
        <v>633100</v>
      </c>
      <c r="B1743" s="644" t="s">
        <v>1652</v>
      </c>
      <c r="C1743" s="645" t="s">
        <v>206</v>
      </c>
      <c r="D1743" s="416" t="s">
        <v>624</v>
      </c>
      <c r="E1743" s="417"/>
      <c r="F1743" s="418"/>
      <c r="G1743" s="419"/>
      <c r="H1743" s="646"/>
      <c r="I1743" s="420">
        <v>153.77000000000001</v>
      </c>
      <c r="J1743" s="420">
        <f>IF(ISBLANK(I1743),"",SUM(H1743:I1743))</f>
        <v>153.77000000000001</v>
      </c>
      <c r="K1743" s="421">
        <f t="shared" si="407"/>
        <v>182.69</v>
      </c>
      <c r="L1743" s="647" t="s">
        <v>19</v>
      </c>
      <c r="M1743" s="576"/>
      <c r="N1743" s="576">
        <f t="shared" si="404"/>
        <v>0</v>
      </c>
      <c r="O1743" s="577">
        <f t="shared" si="419"/>
        <v>0</v>
      </c>
      <c r="P1743" s="578">
        <f t="shared" si="420"/>
        <v>0</v>
      </c>
      <c r="Q1743" s="765"/>
      <c r="R1743" s="576">
        <f t="shared" si="414"/>
        <v>0</v>
      </c>
      <c r="S1743" s="576">
        <f t="shared" si="414"/>
        <v>0</v>
      </c>
      <c r="T1743" s="577">
        <f t="shared" si="417"/>
        <v>0</v>
      </c>
      <c r="U1743" s="578">
        <f t="shared" si="418"/>
        <v>0</v>
      </c>
      <c r="V1743" s="579"/>
      <c r="W1743" s="566"/>
      <c r="X1743" s="586" t="str">
        <f t="shared" si="422"/>
        <v/>
      </c>
      <c r="Y1743" s="586" t="str">
        <f t="shared" si="409"/>
        <v/>
      </c>
      <c r="Z1743" s="586" t="str">
        <f t="shared" si="403"/>
        <v/>
      </c>
    </row>
    <row r="1744" spans="1:26" ht="12" hidden="1" thickBot="1" x14ac:dyDescent="0.25">
      <c r="A1744" s="567">
        <v>633200</v>
      </c>
      <c r="B1744" s="644" t="s">
        <v>1653</v>
      </c>
      <c r="C1744" s="645" t="s">
        <v>206</v>
      </c>
      <c r="D1744" s="416" t="s">
        <v>625</v>
      </c>
      <c r="E1744" s="417"/>
      <c r="F1744" s="418"/>
      <c r="G1744" s="419"/>
      <c r="H1744" s="646"/>
      <c r="I1744" s="420">
        <v>230.65</v>
      </c>
      <c r="J1744" s="420">
        <f>IF(ISBLANK(I1744),"",SUM(H1744:I1744))</f>
        <v>230.65</v>
      </c>
      <c r="K1744" s="421">
        <f t="shared" si="407"/>
        <v>274.04000000000002</v>
      </c>
      <c r="L1744" s="647" t="s">
        <v>19</v>
      </c>
      <c r="M1744" s="576"/>
      <c r="N1744" s="576">
        <f t="shared" si="404"/>
        <v>0</v>
      </c>
      <c r="O1744" s="577">
        <f t="shared" si="419"/>
        <v>0</v>
      </c>
      <c r="P1744" s="578">
        <f t="shared" si="420"/>
        <v>0</v>
      </c>
      <c r="Q1744" s="765"/>
      <c r="R1744" s="576">
        <f t="shared" si="414"/>
        <v>0</v>
      </c>
      <c r="S1744" s="576">
        <f t="shared" si="414"/>
        <v>0</v>
      </c>
      <c r="T1744" s="577">
        <f t="shared" si="417"/>
        <v>0</v>
      </c>
      <c r="U1744" s="578">
        <f t="shared" si="418"/>
        <v>0</v>
      </c>
      <c r="V1744" s="579"/>
      <c r="W1744" s="566"/>
      <c r="X1744" s="586" t="str">
        <f t="shared" si="422"/>
        <v/>
      </c>
      <c r="Y1744" s="586" t="str">
        <f t="shared" si="409"/>
        <v/>
      </c>
      <c r="Z1744" s="586" t="str">
        <f t="shared" si="403"/>
        <v/>
      </c>
    </row>
    <row r="1745" spans="1:26" ht="12" hidden="1" thickBot="1" x14ac:dyDescent="0.25">
      <c r="A1745" s="567">
        <v>800900</v>
      </c>
      <c r="B1745" s="644" t="s">
        <v>1590</v>
      </c>
      <c r="C1745" s="645" t="s">
        <v>206</v>
      </c>
      <c r="D1745" s="416" t="s">
        <v>475</v>
      </c>
      <c r="E1745" s="417"/>
      <c r="F1745" s="418"/>
      <c r="G1745" s="419"/>
      <c r="H1745" s="646"/>
      <c r="I1745" s="420">
        <v>13.34</v>
      </c>
      <c r="J1745" s="420">
        <f t="shared" si="426"/>
        <v>13.34</v>
      </c>
      <c r="K1745" s="421">
        <f t="shared" si="407"/>
        <v>15.85</v>
      </c>
      <c r="L1745" s="647" t="s">
        <v>18</v>
      </c>
      <c r="M1745" s="576"/>
      <c r="N1745" s="576">
        <f t="shared" si="404"/>
        <v>0</v>
      </c>
      <c r="O1745" s="577">
        <f t="shared" si="419"/>
        <v>0</v>
      </c>
      <c r="P1745" s="578">
        <f t="shared" si="420"/>
        <v>0</v>
      </c>
      <c r="Q1745" s="765"/>
      <c r="R1745" s="576">
        <f t="shared" si="414"/>
        <v>0</v>
      </c>
      <c r="S1745" s="576">
        <f t="shared" si="414"/>
        <v>0</v>
      </c>
      <c r="T1745" s="577">
        <f t="shared" si="417"/>
        <v>0</v>
      </c>
      <c r="U1745" s="578">
        <f t="shared" si="418"/>
        <v>0</v>
      </c>
      <c r="V1745" s="579"/>
      <c r="W1745" s="566"/>
      <c r="X1745" s="586" t="str">
        <f t="shared" si="422"/>
        <v/>
      </c>
      <c r="Y1745" s="586" t="str">
        <f t="shared" si="409"/>
        <v/>
      </c>
      <c r="Z1745" s="586" t="str">
        <f t="shared" si="403"/>
        <v/>
      </c>
    </row>
    <row r="1746" spans="1:26" ht="12" hidden="1" thickBot="1" x14ac:dyDescent="0.25">
      <c r="A1746" s="567">
        <v>801100</v>
      </c>
      <c r="B1746" s="644" t="s">
        <v>1591</v>
      </c>
      <c r="C1746" s="645" t="s">
        <v>206</v>
      </c>
      <c r="D1746" s="416" t="s">
        <v>293</v>
      </c>
      <c r="E1746" s="417"/>
      <c r="F1746" s="418"/>
      <c r="G1746" s="419"/>
      <c r="H1746" s="646"/>
      <c r="I1746" s="420">
        <v>19.09</v>
      </c>
      <c r="J1746" s="420">
        <f t="shared" si="426"/>
        <v>19.09</v>
      </c>
      <c r="K1746" s="421">
        <f t="shared" si="407"/>
        <v>22.68</v>
      </c>
      <c r="L1746" s="647" t="s">
        <v>18</v>
      </c>
      <c r="M1746" s="587"/>
      <c r="N1746" s="576">
        <f t="shared" si="404"/>
        <v>0</v>
      </c>
      <c r="O1746" s="577">
        <f t="shared" si="419"/>
        <v>0</v>
      </c>
      <c r="P1746" s="578">
        <f t="shared" si="420"/>
        <v>0</v>
      </c>
      <c r="Q1746" s="765"/>
      <c r="R1746" s="650">
        <f t="shared" si="414"/>
        <v>0</v>
      </c>
      <c r="S1746" s="587">
        <f t="shared" si="414"/>
        <v>0</v>
      </c>
      <c r="T1746" s="577">
        <f t="shared" si="417"/>
        <v>0</v>
      </c>
      <c r="U1746" s="578">
        <f t="shared" si="418"/>
        <v>0</v>
      </c>
      <c r="V1746" s="579"/>
      <c r="W1746" s="566"/>
      <c r="X1746" s="586" t="str">
        <f t="shared" si="422"/>
        <v/>
      </c>
      <c r="Y1746" s="586" t="str">
        <f t="shared" si="409"/>
        <v/>
      </c>
      <c r="Z1746" s="586" t="str">
        <f t="shared" si="403"/>
        <v/>
      </c>
    </row>
    <row r="1747" spans="1:26" ht="12" hidden="1" thickBot="1" x14ac:dyDescent="0.25">
      <c r="A1747" s="567">
        <v>600510</v>
      </c>
      <c r="B1747" s="644" t="s">
        <v>1717</v>
      </c>
      <c r="C1747" s="645" t="s">
        <v>206</v>
      </c>
      <c r="D1747" s="416" t="s">
        <v>476</v>
      </c>
      <c r="E1747" s="417"/>
      <c r="F1747" s="418"/>
      <c r="G1747" s="419"/>
      <c r="H1747" s="646"/>
      <c r="I1747" s="420">
        <v>2.39</v>
      </c>
      <c r="J1747" s="420">
        <f t="shared" si="426"/>
        <v>2.39</v>
      </c>
      <c r="K1747" s="421">
        <f t="shared" si="407"/>
        <v>2.84</v>
      </c>
      <c r="L1747" s="647" t="s">
        <v>19</v>
      </c>
      <c r="M1747" s="587"/>
      <c r="N1747" s="576">
        <f t="shared" si="404"/>
        <v>0</v>
      </c>
      <c r="O1747" s="577">
        <f t="shared" si="419"/>
        <v>0</v>
      </c>
      <c r="P1747" s="578">
        <f t="shared" si="420"/>
        <v>0</v>
      </c>
      <c r="Q1747" s="765"/>
      <c r="R1747" s="650">
        <f t="shared" si="414"/>
        <v>0</v>
      </c>
      <c r="S1747" s="587">
        <f t="shared" si="414"/>
        <v>0</v>
      </c>
      <c r="T1747" s="577">
        <f t="shared" si="417"/>
        <v>0</v>
      </c>
      <c r="U1747" s="578">
        <f t="shared" si="418"/>
        <v>0</v>
      </c>
      <c r="V1747" s="579"/>
      <c r="W1747" s="566"/>
      <c r="X1747" s="586" t="str">
        <f t="shared" si="422"/>
        <v/>
      </c>
      <c r="Y1747" s="586" t="str">
        <f t="shared" si="409"/>
        <v/>
      </c>
      <c r="Z1747" s="586" t="str">
        <f t="shared" ref="Z1747:Z1810" si="427">IF(W1747="X","x",IF(U1747&gt;0,"x",""))</f>
        <v/>
      </c>
    </row>
    <row r="1748" spans="1:26" ht="12" hidden="1" thickBot="1" x14ac:dyDescent="0.25">
      <c r="A1748" s="567">
        <v>521450</v>
      </c>
      <c r="B1748" s="450" t="s">
        <v>1875</v>
      </c>
      <c r="C1748" s="473" t="s">
        <v>206</v>
      </c>
      <c r="D1748" s="422" t="s">
        <v>238</v>
      </c>
      <c r="E1748" s="423"/>
      <c r="F1748" s="424">
        <v>20</v>
      </c>
      <c r="G1748" s="419">
        <v>0.3</v>
      </c>
      <c r="H1748" s="663">
        <f t="shared" ref="H1748" si="428">IF(F1748&lt;=30,(1.07*F1748+2.68)*G1748,((1.07*30+2.68)+1.07*(F1748-30))*G1748)</f>
        <v>7.2240000000000002</v>
      </c>
      <c r="I1748" s="420">
        <v>24.94</v>
      </c>
      <c r="J1748" s="420">
        <f>IF(ISBLANK(I1748),"",SUM(H1748:I1748))</f>
        <v>32.164000000000001</v>
      </c>
      <c r="K1748" s="421">
        <f t="shared" si="407"/>
        <v>38.21</v>
      </c>
      <c r="L1748" s="647" t="s">
        <v>18</v>
      </c>
      <c r="M1748" s="576"/>
      <c r="N1748" s="576">
        <f t="shared" ref="N1748:N1811" si="429">IF(M1748=0,0,K1748)</f>
        <v>0</v>
      </c>
      <c r="O1748" s="577">
        <f t="shared" si="419"/>
        <v>0</v>
      </c>
      <c r="P1748" s="578">
        <f t="shared" si="420"/>
        <v>0</v>
      </c>
      <c r="Q1748" s="765"/>
      <c r="R1748" s="576">
        <f t="shared" si="414"/>
        <v>0</v>
      </c>
      <c r="S1748" s="576">
        <f t="shared" si="414"/>
        <v>0</v>
      </c>
      <c r="T1748" s="577">
        <f t="shared" si="417"/>
        <v>0</v>
      </c>
      <c r="U1748" s="578">
        <f t="shared" si="418"/>
        <v>0</v>
      </c>
      <c r="V1748" s="579"/>
      <c r="W1748" s="566"/>
      <c r="X1748" s="586" t="str">
        <f t="shared" si="422"/>
        <v/>
      </c>
      <c r="Y1748" s="586" t="str">
        <f t="shared" si="409"/>
        <v/>
      </c>
      <c r="Z1748" s="586" t="str">
        <f t="shared" si="427"/>
        <v/>
      </c>
    </row>
    <row r="1749" spans="1:26" ht="12" hidden="1" thickBot="1" x14ac:dyDescent="0.25">
      <c r="A1749" s="567">
        <v>511300</v>
      </c>
      <c r="B1749" s="644" t="s">
        <v>1541</v>
      </c>
      <c r="C1749" s="645" t="s">
        <v>206</v>
      </c>
      <c r="D1749" s="422" t="s">
        <v>202</v>
      </c>
      <c r="E1749" s="423"/>
      <c r="F1749" s="424">
        <v>0</v>
      </c>
      <c r="G1749" s="425">
        <v>0</v>
      </c>
      <c r="H1749" s="651">
        <v>0</v>
      </c>
      <c r="I1749" s="420">
        <v>0.3</v>
      </c>
      <c r="J1749" s="420">
        <f t="shared" si="426"/>
        <v>0.3</v>
      </c>
      <c r="K1749" s="421">
        <f t="shared" si="407"/>
        <v>0.36</v>
      </c>
      <c r="L1749" s="647" t="s">
        <v>18</v>
      </c>
      <c r="M1749" s="576"/>
      <c r="N1749" s="576">
        <f t="shared" si="429"/>
        <v>0</v>
      </c>
      <c r="O1749" s="577">
        <f t="shared" si="419"/>
        <v>0</v>
      </c>
      <c r="P1749" s="578">
        <f t="shared" si="420"/>
        <v>0</v>
      </c>
      <c r="Q1749" s="765"/>
      <c r="R1749" s="576">
        <f t="shared" si="414"/>
        <v>0</v>
      </c>
      <c r="S1749" s="576">
        <f t="shared" si="414"/>
        <v>0</v>
      </c>
      <c r="T1749" s="577">
        <f t="shared" si="417"/>
        <v>0</v>
      </c>
      <c r="U1749" s="578">
        <f t="shared" si="418"/>
        <v>0</v>
      </c>
      <c r="V1749" s="579"/>
      <c r="W1749" s="566"/>
      <c r="X1749" s="586" t="str">
        <f t="shared" si="422"/>
        <v/>
      </c>
      <c r="Y1749" s="586" t="str">
        <f t="shared" si="409"/>
        <v/>
      </c>
      <c r="Z1749" s="586" t="str">
        <f t="shared" si="427"/>
        <v/>
      </c>
    </row>
    <row r="1750" spans="1:26" ht="12" hidden="1" thickBot="1" x14ac:dyDescent="0.25">
      <c r="A1750" s="567">
        <v>521450</v>
      </c>
      <c r="B1750" s="644" t="s">
        <v>1547</v>
      </c>
      <c r="C1750" s="645" t="s">
        <v>206</v>
      </c>
      <c r="D1750" s="422" t="s">
        <v>485</v>
      </c>
      <c r="E1750" s="423"/>
      <c r="F1750" s="424"/>
      <c r="G1750" s="419"/>
      <c r="H1750" s="651"/>
      <c r="I1750" s="420">
        <v>9.42</v>
      </c>
      <c r="J1750" s="420">
        <f t="shared" si="426"/>
        <v>9.42</v>
      </c>
      <c r="K1750" s="421">
        <f t="shared" si="407"/>
        <v>11.19</v>
      </c>
      <c r="L1750" s="647" t="s">
        <v>18</v>
      </c>
      <c r="M1750" s="576"/>
      <c r="N1750" s="576">
        <f t="shared" si="429"/>
        <v>0</v>
      </c>
      <c r="O1750" s="577">
        <f t="shared" si="419"/>
        <v>0</v>
      </c>
      <c r="P1750" s="578">
        <f t="shared" si="420"/>
        <v>0</v>
      </c>
      <c r="Q1750" s="765"/>
      <c r="R1750" s="576">
        <f t="shared" si="414"/>
        <v>0</v>
      </c>
      <c r="S1750" s="576">
        <f t="shared" si="414"/>
        <v>0</v>
      </c>
      <c r="T1750" s="577">
        <f t="shared" si="417"/>
        <v>0</v>
      </c>
      <c r="U1750" s="578">
        <f t="shared" si="418"/>
        <v>0</v>
      </c>
      <c r="V1750" s="579"/>
      <c r="W1750" s="566"/>
      <c r="X1750" s="586" t="str">
        <f t="shared" si="422"/>
        <v/>
      </c>
      <c r="Y1750" s="586" t="str">
        <f t="shared" si="409"/>
        <v/>
      </c>
      <c r="Z1750" s="586" t="str">
        <f t="shared" si="427"/>
        <v/>
      </c>
    </row>
    <row r="1751" spans="1:26" ht="12" hidden="1" thickBot="1" x14ac:dyDescent="0.25">
      <c r="A1751" s="567">
        <v>521450</v>
      </c>
      <c r="B1751" s="644" t="s">
        <v>1548</v>
      </c>
      <c r="C1751" s="645" t="s">
        <v>206</v>
      </c>
      <c r="D1751" s="422" t="s">
        <v>240</v>
      </c>
      <c r="E1751" s="423"/>
      <c r="F1751" s="424"/>
      <c r="G1751" s="419"/>
      <c r="H1751" s="651"/>
      <c r="I1751" s="420">
        <v>13.188000000000001</v>
      </c>
      <c r="J1751" s="420">
        <f t="shared" si="426"/>
        <v>13.188000000000001</v>
      </c>
      <c r="K1751" s="421">
        <f t="shared" si="407"/>
        <v>15.67</v>
      </c>
      <c r="L1751" s="647" t="s">
        <v>18</v>
      </c>
      <c r="M1751" s="576"/>
      <c r="N1751" s="576">
        <f t="shared" si="429"/>
        <v>0</v>
      </c>
      <c r="O1751" s="577">
        <f t="shared" si="419"/>
        <v>0</v>
      </c>
      <c r="P1751" s="578">
        <f t="shared" si="420"/>
        <v>0</v>
      </c>
      <c r="Q1751" s="765"/>
      <c r="R1751" s="576">
        <f t="shared" si="414"/>
        <v>0</v>
      </c>
      <c r="S1751" s="576">
        <f t="shared" si="414"/>
        <v>0</v>
      </c>
      <c r="T1751" s="577">
        <f t="shared" si="417"/>
        <v>0</v>
      </c>
      <c r="U1751" s="578">
        <f t="shared" si="418"/>
        <v>0</v>
      </c>
      <c r="V1751" s="579"/>
      <c r="W1751" s="566"/>
      <c r="X1751" s="586" t="str">
        <f t="shared" si="422"/>
        <v/>
      </c>
      <c r="Y1751" s="586" t="str">
        <f t="shared" si="409"/>
        <v/>
      </c>
      <c r="Z1751" s="586" t="str">
        <f t="shared" si="427"/>
        <v/>
      </c>
    </row>
    <row r="1752" spans="1:26" ht="12" hidden="1" thickBot="1" x14ac:dyDescent="0.25">
      <c r="A1752" s="652" t="s">
        <v>187</v>
      </c>
      <c r="B1752" s="653" t="s">
        <v>187</v>
      </c>
      <c r="C1752" s="654"/>
      <c r="D1752" s="427" t="s">
        <v>593</v>
      </c>
      <c r="E1752" s="491"/>
      <c r="F1752" s="655"/>
      <c r="G1752" s="656"/>
      <c r="H1752" s="657"/>
      <c r="I1752" s="429"/>
      <c r="J1752" s="429"/>
      <c r="K1752" s="429"/>
      <c r="L1752" s="429" t="s">
        <v>614</v>
      </c>
      <c r="M1752" s="657"/>
      <c r="N1752" s="576">
        <f t="shared" si="429"/>
        <v>0</v>
      </c>
      <c r="O1752" s="429">
        <f t="shared" si="419"/>
        <v>0</v>
      </c>
      <c r="P1752" s="658">
        <f t="shared" si="420"/>
        <v>0</v>
      </c>
      <c r="Q1752" s="765"/>
      <c r="R1752" s="657"/>
      <c r="S1752" s="429"/>
      <c r="T1752" s="429">
        <f t="shared" si="417"/>
        <v>0</v>
      </c>
      <c r="U1752" s="658">
        <f t="shared" si="418"/>
        <v>0</v>
      </c>
      <c r="V1752" s="579"/>
      <c r="W1752" s="637" t="str">
        <f>IF(OR(SUM(P1753:P1784)&gt;0,SUM(U1753:U1784)&gt;0),"y","")</f>
        <v/>
      </c>
      <c r="X1752" s="586" t="str">
        <f t="shared" si="422"/>
        <v/>
      </c>
      <c r="Y1752" s="586" t="str">
        <f t="shared" si="409"/>
        <v/>
      </c>
      <c r="Z1752" s="586" t="str">
        <f t="shared" si="427"/>
        <v/>
      </c>
    </row>
    <row r="1753" spans="1:26" ht="12" hidden="1" thickBot="1" x14ac:dyDescent="0.25">
      <c r="A1753" s="652" t="s">
        <v>187</v>
      </c>
      <c r="B1753" s="572" t="s">
        <v>187</v>
      </c>
      <c r="C1753" s="573" t="s">
        <v>187</v>
      </c>
      <c r="D1753" s="574"/>
      <c r="E1753" s="575"/>
      <c r="F1753" s="436"/>
      <c r="G1753" s="431"/>
      <c r="H1753" s="430"/>
      <c r="I1753" s="432"/>
      <c r="J1753" s="433"/>
      <c r="K1753" s="434">
        <f t="shared" ref="K1753:K1784" si="430">IF(ISBLANK(J1753),0,ROUND(J1753*(1+$F$10)*(1+$F$11*E1753),2))</f>
        <v>0</v>
      </c>
      <c r="L1753" s="435" t="s">
        <v>614</v>
      </c>
      <c r="M1753" s="587"/>
      <c r="N1753" s="576">
        <f t="shared" si="429"/>
        <v>0</v>
      </c>
      <c r="O1753" s="577">
        <f t="shared" si="419"/>
        <v>0</v>
      </c>
      <c r="P1753" s="578">
        <f t="shared" si="420"/>
        <v>0</v>
      </c>
      <c r="Q1753" s="765"/>
      <c r="R1753" s="650">
        <f t="shared" si="414"/>
        <v>0</v>
      </c>
      <c r="S1753" s="587">
        <f t="shared" si="414"/>
        <v>0</v>
      </c>
      <c r="T1753" s="577">
        <f t="shared" si="417"/>
        <v>0</v>
      </c>
      <c r="U1753" s="578">
        <f t="shared" si="418"/>
        <v>0</v>
      </c>
      <c r="V1753" s="579"/>
      <c r="W1753" s="566"/>
      <c r="X1753" s="586" t="str">
        <f t="shared" si="422"/>
        <v/>
      </c>
      <c r="Y1753" s="586" t="str">
        <f t="shared" si="409"/>
        <v/>
      </c>
      <c r="Z1753" s="586" t="str">
        <f t="shared" si="427"/>
        <v/>
      </c>
    </row>
    <row r="1754" spans="1:26" ht="12" hidden="1" thickBot="1" x14ac:dyDescent="0.25">
      <c r="A1754" s="652" t="s">
        <v>187</v>
      </c>
      <c r="B1754" s="572" t="s">
        <v>187</v>
      </c>
      <c r="C1754" s="573" t="s">
        <v>187</v>
      </c>
      <c r="D1754" s="580"/>
      <c r="E1754" s="575"/>
      <c r="F1754" s="436"/>
      <c r="G1754" s="431"/>
      <c r="H1754" s="430"/>
      <c r="I1754" s="432"/>
      <c r="J1754" s="433"/>
      <c r="K1754" s="437">
        <f t="shared" si="430"/>
        <v>0</v>
      </c>
      <c r="L1754" s="435" t="s">
        <v>614</v>
      </c>
      <c r="M1754" s="576"/>
      <c r="N1754" s="576">
        <f t="shared" si="429"/>
        <v>0</v>
      </c>
      <c r="O1754" s="577">
        <f t="shared" si="419"/>
        <v>0</v>
      </c>
      <c r="P1754" s="578">
        <f t="shared" si="420"/>
        <v>0</v>
      </c>
      <c r="Q1754" s="765"/>
      <c r="R1754" s="576">
        <f t="shared" si="414"/>
        <v>0</v>
      </c>
      <c r="S1754" s="576">
        <f t="shared" si="414"/>
        <v>0</v>
      </c>
      <c r="T1754" s="577">
        <f t="shared" si="417"/>
        <v>0</v>
      </c>
      <c r="U1754" s="659">
        <f t="shared" si="418"/>
        <v>0</v>
      </c>
      <c r="V1754" s="579"/>
      <c r="W1754" s="566"/>
      <c r="X1754" s="586" t="str">
        <f t="shared" si="422"/>
        <v/>
      </c>
      <c r="Y1754" s="586" t="str">
        <f t="shared" si="409"/>
        <v/>
      </c>
      <c r="Z1754" s="586" t="str">
        <f t="shared" si="427"/>
        <v/>
      </c>
    </row>
    <row r="1755" spans="1:26" ht="12" hidden="1" thickBot="1" x14ac:dyDescent="0.25">
      <c r="A1755" s="652" t="s">
        <v>187</v>
      </c>
      <c r="B1755" s="572" t="s">
        <v>187</v>
      </c>
      <c r="C1755" s="573" t="s">
        <v>187</v>
      </c>
      <c r="D1755" s="580"/>
      <c r="E1755" s="575"/>
      <c r="F1755" s="436"/>
      <c r="G1755" s="431"/>
      <c r="H1755" s="430"/>
      <c r="I1755" s="432"/>
      <c r="J1755" s="433"/>
      <c r="K1755" s="437">
        <f t="shared" si="430"/>
        <v>0</v>
      </c>
      <c r="L1755" s="435" t="s">
        <v>614</v>
      </c>
      <c r="M1755" s="576"/>
      <c r="N1755" s="576">
        <f t="shared" si="429"/>
        <v>0</v>
      </c>
      <c r="O1755" s="577">
        <f t="shared" si="419"/>
        <v>0</v>
      </c>
      <c r="P1755" s="578">
        <f t="shared" si="420"/>
        <v>0</v>
      </c>
      <c r="Q1755" s="765"/>
      <c r="R1755" s="576">
        <f t="shared" si="414"/>
        <v>0</v>
      </c>
      <c r="S1755" s="576">
        <f t="shared" si="414"/>
        <v>0</v>
      </c>
      <c r="T1755" s="577">
        <f t="shared" si="417"/>
        <v>0</v>
      </c>
      <c r="U1755" s="578">
        <f t="shared" si="418"/>
        <v>0</v>
      </c>
      <c r="V1755" s="579"/>
      <c r="W1755" s="566"/>
      <c r="X1755" s="586" t="str">
        <f t="shared" si="422"/>
        <v/>
      </c>
      <c r="Y1755" s="586" t="str">
        <f t="shared" si="409"/>
        <v/>
      </c>
      <c r="Z1755" s="586" t="str">
        <f t="shared" si="427"/>
        <v/>
      </c>
    </row>
    <row r="1756" spans="1:26" ht="12" hidden="1" thickBot="1" x14ac:dyDescent="0.25">
      <c r="A1756" s="652" t="s">
        <v>187</v>
      </c>
      <c r="B1756" s="572" t="s">
        <v>187</v>
      </c>
      <c r="C1756" s="573" t="s">
        <v>187</v>
      </c>
      <c r="D1756" s="580"/>
      <c r="E1756" s="575"/>
      <c r="F1756" s="436"/>
      <c r="G1756" s="431"/>
      <c r="H1756" s="430"/>
      <c r="I1756" s="432"/>
      <c r="J1756" s="433"/>
      <c r="K1756" s="437">
        <f t="shared" si="430"/>
        <v>0</v>
      </c>
      <c r="L1756" s="435" t="s">
        <v>614</v>
      </c>
      <c r="M1756" s="576"/>
      <c r="N1756" s="576">
        <f t="shared" si="429"/>
        <v>0</v>
      </c>
      <c r="O1756" s="577">
        <f t="shared" si="419"/>
        <v>0</v>
      </c>
      <c r="P1756" s="578">
        <f t="shared" si="420"/>
        <v>0</v>
      </c>
      <c r="Q1756" s="765"/>
      <c r="R1756" s="576">
        <f t="shared" si="414"/>
        <v>0</v>
      </c>
      <c r="S1756" s="576">
        <f t="shared" si="414"/>
        <v>0</v>
      </c>
      <c r="T1756" s="577">
        <f t="shared" si="417"/>
        <v>0</v>
      </c>
      <c r="U1756" s="578">
        <f t="shared" si="418"/>
        <v>0</v>
      </c>
      <c r="V1756" s="579"/>
      <c r="W1756" s="566"/>
      <c r="X1756" s="586" t="str">
        <f t="shared" si="422"/>
        <v/>
      </c>
      <c r="Y1756" s="586" t="str">
        <f t="shared" si="409"/>
        <v/>
      </c>
      <c r="Z1756" s="586" t="str">
        <f t="shared" si="427"/>
        <v/>
      </c>
    </row>
    <row r="1757" spans="1:26" ht="12" hidden="1" thickBot="1" x14ac:dyDescent="0.25">
      <c r="A1757" s="652" t="s">
        <v>187</v>
      </c>
      <c r="B1757" s="572" t="s">
        <v>187</v>
      </c>
      <c r="C1757" s="573" t="s">
        <v>187</v>
      </c>
      <c r="D1757" s="580"/>
      <c r="E1757" s="575"/>
      <c r="F1757" s="436"/>
      <c r="G1757" s="431"/>
      <c r="H1757" s="430"/>
      <c r="I1757" s="432"/>
      <c r="J1757" s="433"/>
      <c r="K1757" s="437">
        <f t="shared" si="430"/>
        <v>0</v>
      </c>
      <c r="L1757" s="435" t="s">
        <v>614</v>
      </c>
      <c r="M1757" s="576"/>
      <c r="N1757" s="576">
        <f t="shared" si="429"/>
        <v>0</v>
      </c>
      <c r="O1757" s="577">
        <f t="shared" si="419"/>
        <v>0</v>
      </c>
      <c r="P1757" s="578">
        <f t="shared" si="420"/>
        <v>0</v>
      </c>
      <c r="Q1757" s="765"/>
      <c r="R1757" s="576">
        <f t="shared" si="414"/>
        <v>0</v>
      </c>
      <c r="S1757" s="576">
        <f t="shared" si="414"/>
        <v>0</v>
      </c>
      <c r="T1757" s="577">
        <f t="shared" si="417"/>
        <v>0</v>
      </c>
      <c r="U1757" s="578">
        <f t="shared" si="418"/>
        <v>0</v>
      </c>
      <c r="V1757" s="579"/>
      <c r="W1757" s="566"/>
      <c r="X1757" s="586" t="str">
        <f t="shared" si="422"/>
        <v/>
      </c>
      <c r="Y1757" s="586" t="str">
        <f t="shared" si="409"/>
        <v/>
      </c>
      <c r="Z1757" s="586" t="str">
        <f t="shared" si="427"/>
        <v/>
      </c>
    </row>
    <row r="1758" spans="1:26" ht="12" hidden="1" thickBot="1" x14ac:dyDescent="0.25">
      <c r="A1758" s="652" t="s">
        <v>187</v>
      </c>
      <c r="B1758" s="572" t="s">
        <v>187</v>
      </c>
      <c r="C1758" s="573" t="s">
        <v>187</v>
      </c>
      <c r="D1758" s="580"/>
      <c r="E1758" s="575"/>
      <c r="F1758" s="436"/>
      <c r="G1758" s="431"/>
      <c r="H1758" s="430"/>
      <c r="I1758" s="432"/>
      <c r="J1758" s="433"/>
      <c r="K1758" s="437">
        <f t="shared" si="430"/>
        <v>0</v>
      </c>
      <c r="L1758" s="435" t="s">
        <v>614</v>
      </c>
      <c r="M1758" s="576"/>
      <c r="N1758" s="576">
        <f t="shared" si="429"/>
        <v>0</v>
      </c>
      <c r="O1758" s="577">
        <f t="shared" si="419"/>
        <v>0</v>
      </c>
      <c r="P1758" s="578">
        <f t="shared" si="420"/>
        <v>0</v>
      </c>
      <c r="Q1758" s="765"/>
      <c r="R1758" s="576">
        <f t="shared" si="414"/>
        <v>0</v>
      </c>
      <c r="S1758" s="576">
        <f t="shared" si="414"/>
        <v>0</v>
      </c>
      <c r="T1758" s="577">
        <f t="shared" si="417"/>
        <v>0</v>
      </c>
      <c r="U1758" s="578">
        <f t="shared" si="418"/>
        <v>0</v>
      </c>
      <c r="V1758" s="579"/>
      <c r="W1758" s="566"/>
      <c r="X1758" s="586" t="str">
        <f t="shared" si="422"/>
        <v/>
      </c>
      <c r="Y1758" s="586" t="str">
        <f t="shared" si="409"/>
        <v/>
      </c>
      <c r="Z1758" s="586" t="str">
        <f t="shared" si="427"/>
        <v/>
      </c>
    </row>
    <row r="1759" spans="1:26" ht="12" hidden="1" thickBot="1" x14ac:dyDescent="0.25">
      <c r="A1759" s="652" t="s">
        <v>187</v>
      </c>
      <c r="B1759" s="572" t="s">
        <v>187</v>
      </c>
      <c r="C1759" s="573" t="s">
        <v>187</v>
      </c>
      <c r="D1759" s="580"/>
      <c r="E1759" s="575"/>
      <c r="F1759" s="436"/>
      <c r="G1759" s="431"/>
      <c r="H1759" s="430"/>
      <c r="I1759" s="432"/>
      <c r="J1759" s="433"/>
      <c r="K1759" s="437">
        <f t="shared" si="430"/>
        <v>0</v>
      </c>
      <c r="L1759" s="435" t="s">
        <v>614</v>
      </c>
      <c r="M1759" s="576"/>
      <c r="N1759" s="576">
        <f t="shared" si="429"/>
        <v>0</v>
      </c>
      <c r="O1759" s="577">
        <f t="shared" si="419"/>
        <v>0</v>
      </c>
      <c r="P1759" s="578">
        <f t="shared" si="420"/>
        <v>0</v>
      </c>
      <c r="Q1759" s="765"/>
      <c r="R1759" s="576">
        <f t="shared" si="414"/>
        <v>0</v>
      </c>
      <c r="S1759" s="576">
        <f t="shared" si="414"/>
        <v>0</v>
      </c>
      <c r="T1759" s="577">
        <f t="shared" si="417"/>
        <v>0</v>
      </c>
      <c r="U1759" s="578">
        <f t="shared" si="418"/>
        <v>0</v>
      </c>
      <c r="V1759" s="579"/>
      <c r="W1759" s="566"/>
      <c r="X1759" s="586" t="str">
        <f t="shared" si="422"/>
        <v/>
      </c>
      <c r="Y1759" s="586" t="str">
        <f t="shared" si="409"/>
        <v/>
      </c>
      <c r="Z1759" s="586" t="str">
        <f t="shared" si="427"/>
        <v/>
      </c>
    </row>
    <row r="1760" spans="1:26" ht="12" hidden="1" thickBot="1" x14ac:dyDescent="0.25">
      <c r="A1760" s="652" t="s">
        <v>187</v>
      </c>
      <c r="B1760" s="572" t="s">
        <v>187</v>
      </c>
      <c r="C1760" s="573" t="s">
        <v>187</v>
      </c>
      <c r="D1760" s="580"/>
      <c r="E1760" s="575"/>
      <c r="F1760" s="436"/>
      <c r="G1760" s="431"/>
      <c r="H1760" s="430"/>
      <c r="I1760" s="432"/>
      <c r="J1760" s="433"/>
      <c r="K1760" s="437">
        <f t="shared" si="430"/>
        <v>0</v>
      </c>
      <c r="L1760" s="435" t="s">
        <v>614</v>
      </c>
      <c r="M1760" s="576"/>
      <c r="N1760" s="576">
        <f t="shared" si="429"/>
        <v>0</v>
      </c>
      <c r="O1760" s="577">
        <f t="shared" si="419"/>
        <v>0</v>
      </c>
      <c r="P1760" s="578">
        <f t="shared" si="420"/>
        <v>0</v>
      </c>
      <c r="Q1760" s="765"/>
      <c r="R1760" s="576">
        <f t="shared" si="414"/>
        <v>0</v>
      </c>
      <c r="S1760" s="576">
        <f t="shared" si="414"/>
        <v>0</v>
      </c>
      <c r="T1760" s="577">
        <f t="shared" si="417"/>
        <v>0</v>
      </c>
      <c r="U1760" s="578">
        <f t="shared" si="418"/>
        <v>0</v>
      </c>
      <c r="V1760" s="579"/>
      <c r="W1760" s="566"/>
      <c r="X1760" s="586" t="str">
        <f t="shared" si="422"/>
        <v/>
      </c>
      <c r="Y1760" s="586" t="str">
        <f t="shared" si="409"/>
        <v/>
      </c>
      <c r="Z1760" s="586" t="str">
        <f t="shared" si="427"/>
        <v/>
      </c>
    </row>
    <row r="1761" spans="1:26" ht="12" hidden="1" thickBot="1" x14ac:dyDescent="0.25">
      <c r="A1761" s="652" t="s">
        <v>187</v>
      </c>
      <c r="B1761" s="572" t="s">
        <v>187</v>
      </c>
      <c r="C1761" s="573" t="s">
        <v>187</v>
      </c>
      <c r="D1761" s="580"/>
      <c r="E1761" s="575"/>
      <c r="F1761" s="436"/>
      <c r="G1761" s="431"/>
      <c r="H1761" s="430"/>
      <c r="I1761" s="432"/>
      <c r="J1761" s="433"/>
      <c r="K1761" s="437">
        <f t="shared" si="430"/>
        <v>0</v>
      </c>
      <c r="L1761" s="435" t="s">
        <v>614</v>
      </c>
      <c r="M1761" s="576"/>
      <c r="N1761" s="576">
        <f t="shared" si="429"/>
        <v>0</v>
      </c>
      <c r="O1761" s="577">
        <f t="shared" si="419"/>
        <v>0</v>
      </c>
      <c r="P1761" s="578">
        <f t="shared" si="420"/>
        <v>0</v>
      </c>
      <c r="Q1761" s="765"/>
      <c r="R1761" s="576">
        <f t="shared" si="414"/>
        <v>0</v>
      </c>
      <c r="S1761" s="576">
        <f t="shared" si="414"/>
        <v>0</v>
      </c>
      <c r="T1761" s="577">
        <f t="shared" si="417"/>
        <v>0</v>
      </c>
      <c r="U1761" s="578">
        <f t="shared" si="418"/>
        <v>0</v>
      </c>
      <c r="V1761" s="579"/>
      <c r="W1761" s="566"/>
      <c r="X1761" s="586" t="str">
        <f t="shared" si="422"/>
        <v/>
      </c>
      <c r="Y1761" s="586" t="str">
        <f t="shared" si="409"/>
        <v/>
      </c>
      <c r="Z1761" s="586" t="str">
        <f t="shared" si="427"/>
        <v/>
      </c>
    </row>
    <row r="1762" spans="1:26" ht="12" hidden="1" thickBot="1" x14ac:dyDescent="0.25">
      <c r="A1762" s="652" t="s">
        <v>187</v>
      </c>
      <c r="B1762" s="572" t="s">
        <v>187</v>
      </c>
      <c r="C1762" s="573" t="s">
        <v>187</v>
      </c>
      <c r="D1762" s="580"/>
      <c r="E1762" s="575"/>
      <c r="F1762" s="436"/>
      <c r="G1762" s="431"/>
      <c r="H1762" s="430"/>
      <c r="I1762" s="432"/>
      <c r="J1762" s="433"/>
      <c r="K1762" s="437">
        <f t="shared" si="430"/>
        <v>0</v>
      </c>
      <c r="L1762" s="435" t="s">
        <v>614</v>
      </c>
      <c r="M1762" s="576"/>
      <c r="N1762" s="576">
        <f t="shared" si="429"/>
        <v>0</v>
      </c>
      <c r="O1762" s="577">
        <f t="shared" si="419"/>
        <v>0</v>
      </c>
      <c r="P1762" s="578">
        <f t="shared" si="420"/>
        <v>0</v>
      </c>
      <c r="Q1762" s="765"/>
      <c r="R1762" s="576">
        <f t="shared" si="414"/>
        <v>0</v>
      </c>
      <c r="S1762" s="576">
        <f t="shared" si="414"/>
        <v>0</v>
      </c>
      <c r="T1762" s="577">
        <f t="shared" si="417"/>
        <v>0</v>
      </c>
      <c r="U1762" s="578">
        <f t="shared" si="418"/>
        <v>0</v>
      </c>
      <c r="V1762" s="579"/>
      <c r="W1762" s="566"/>
      <c r="X1762" s="586" t="str">
        <f t="shared" si="422"/>
        <v/>
      </c>
      <c r="Y1762" s="586" t="str">
        <f t="shared" si="409"/>
        <v/>
      </c>
      <c r="Z1762" s="586" t="str">
        <f t="shared" si="427"/>
        <v/>
      </c>
    </row>
    <row r="1763" spans="1:26" ht="12" hidden="1" thickBot="1" x14ac:dyDescent="0.25">
      <c r="A1763" s="652" t="s">
        <v>187</v>
      </c>
      <c r="B1763" s="572" t="s">
        <v>187</v>
      </c>
      <c r="C1763" s="573" t="s">
        <v>187</v>
      </c>
      <c r="D1763" s="580"/>
      <c r="E1763" s="575"/>
      <c r="F1763" s="436"/>
      <c r="G1763" s="431"/>
      <c r="H1763" s="430"/>
      <c r="I1763" s="432"/>
      <c r="J1763" s="433"/>
      <c r="K1763" s="437">
        <f t="shared" si="430"/>
        <v>0</v>
      </c>
      <c r="L1763" s="435" t="s">
        <v>614</v>
      </c>
      <c r="M1763" s="576"/>
      <c r="N1763" s="576">
        <f t="shared" si="429"/>
        <v>0</v>
      </c>
      <c r="O1763" s="577">
        <f t="shared" si="419"/>
        <v>0</v>
      </c>
      <c r="P1763" s="578">
        <f t="shared" si="420"/>
        <v>0</v>
      </c>
      <c r="Q1763" s="765"/>
      <c r="R1763" s="576">
        <f t="shared" si="414"/>
        <v>0</v>
      </c>
      <c r="S1763" s="576">
        <f t="shared" si="414"/>
        <v>0</v>
      </c>
      <c r="T1763" s="577">
        <f t="shared" si="417"/>
        <v>0</v>
      </c>
      <c r="U1763" s="578">
        <f t="shared" si="418"/>
        <v>0</v>
      </c>
      <c r="V1763" s="579"/>
      <c r="W1763" s="566"/>
      <c r="X1763" s="586" t="str">
        <f t="shared" si="422"/>
        <v/>
      </c>
      <c r="Y1763" s="586" t="str">
        <f t="shared" si="409"/>
        <v/>
      </c>
      <c r="Z1763" s="586" t="str">
        <f t="shared" si="427"/>
        <v/>
      </c>
    </row>
    <row r="1764" spans="1:26" ht="12" hidden="1" thickBot="1" x14ac:dyDescent="0.25">
      <c r="A1764" s="652" t="s">
        <v>187</v>
      </c>
      <c r="B1764" s="572" t="s">
        <v>187</v>
      </c>
      <c r="C1764" s="573" t="s">
        <v>187</v>
      </c>
      <c r="D1764" s="580"/>
      <c r="E1764" s="575"/>
      <c r="F1764" s="436"/>
      <c r="G1764" s="431"/>
      <c r="H1764" s="430"/>
      <c r="I1764" s="432"/>
      <c r="J1764" s="433"/>
      <c r="K1764" s="437">
        <f t="shared" si="430"/>
        <v>0</v>
      </c>
      <c r="L1764" s="435" t="s">
        <v>614</v>
      </c>
      <c r="M1764" s="576"/>
      <c r="N1764" s="576">
        <f t="shared" si="429"/>
        <v>0</v>
      </c>
      <c r="O1764" s="577">
        <f t="shared" si="419"/>
        <v>0</v>
      </c>
      <c r="P1764" s="578">
        <f t="shared" si="420"/>
        <v>0</v>
      </c>
      <c r="Q1764" s="765"/>
      <c r="R1764" s="576">
        <f t="shared" si="414"/>
        <v>0</v>
      </c>
      <c r="S1764" s="576">
        <f t="shared" si="414"/>
        <v>0</v>
      </c>
      <c r="T1764" s="577">
        <f t="shared" si="417"/>
        <v>0</v>
      </c>
      <c r="U1764" s="578">
        <f t="shared" si="418"/>
        <v>0</v>
      </c>
      <c r="V1764" s="579"/>
      <c r="W1764" s="566"/>
      <c r="X1764" s="586" t="str">
        <f t="shared" si="422"/>
        <v/>
      </c>
      <c r="Y1764" s="586" t="str">
        <f t="shared" si="409"/>
        <v/>
      </c>
      <c r="Z1764" s="586" t="str">
        <f t="shared" si="427"/>
        <v/>
      </c>
    </row>
    <row r="1765" spans="1:26" ht="12" hidden="1" thickBot="1" x14ac:dyDescent="0.25">
      <c r="A1765" s="652" t="s">
        <v>187</v>
      </c>
      <c r="B1765" s="572" t="s">
        <v>187</v>
      </c>
      <c r="C1765" s="573" t="s">
        <v>187</v>
      </c>
      <c r="D1765" s="580"/>
      <c r="E1765" s="575"/>
      <c r="F1765" s="436"/>
      <c r="G1765" s="431"/>
      <c r="H1765" s="430"/>
      <c r="I1765" s="432"/>
      <c r="J1765" s="433"/>
      <c r="K1765" s="437">
        <f t="shared" si="430"/>
        <v>0</v>
      </c>
      <c r="L1765" s="435" t="s">
        <v>614</v>
      </c>
      <c r="M1765" s="576"/>
      <c r="N1765" s="576">
        <f t="shared" si="429"/>
        <v>0</v>
      </c>
      <c r="O1765" s="577">
        <f t="shared" si="419"/>
        <v>0</v>
      </c>
      <c r="P1765" s="578">
        <f t="shared" si="420"/>
        <v>0</v>
      </c>
      <c r="Q1765" s="765"/>
      <c r="R1765" s="576">
        <f t="shared" si="414"/>
        <v>0</v>
      </c>
      <c r="S1765" s="576">
        <f t="shared" si="414"/>
        <v>0</v>
      </c>
      <c r="T1765" s="577">
        <f t="shared" si="417"/>
        <v>0</v>
      </c>
      <c r="U1765" s="578">
        <f t="shared" si="418"/>
        <v>0</v>
      </c>
      <c r="V1765" s="579"/>
      <c r="W1765" s="566"/>
      <c r="X1765" s="586" t="str">
        <f t="shared" si="422"/>
        <v/>
      </c>
      <c r="Y1765" s="586" t="str">
        <f t="shared" ref="Y1765:Y2051" si="431">IF(W1765="X","x",IF(W1765="y","x",IF(W1765="xx","x",IF(U1765&gt;0,"x",""))))</f>
        <v/>
      </c>
      <c r="Z1765" s="586" t="str">
        <f t="shared" si="427"/>
        <v/>
      </c>
    </row>
    <row r="1766" spans="1:26" ht="12" hidden="1" thickBot="1" x14ac:dyDescent="0.25">
      <c r="A1766" s="652" t="s">
        <v>187</v>
      </c>
      <c r="B1766" s="572" t="s">
        <v>187</v>
      </c>
      <c r="C1766" s="573" t="s">
        <v>187</v>
      </c>
      <c r="D1766" s="580"/>
      <c r="E1766" s="575"/>
      <c r="F1766" s="436"/>
      <c r="G1766" s="431"/>
      <c r="H1766" s="430"/>
      <c r="I1766" s="432"/>
      <c r="J1766" s="433"/>
      <c r="K1766" s="437">
        <f t="shared" si="430"/>
        <v>0</v>
      </c>
      <c r="L1766" s="435" t="s">
        <v>614</v>
      </c>
      <c r="M1766" s="576"/>
      <c r="N1766" s="576">
        <f t="shared" si="429"/>
        <v>0</v>
      </c>
      <c r="O1766" s="577">
        <f t="shared" si="419"/>
        <v>0</v>
      </c>
      <c r="P1766" s="578">
        <f t="shared" si="420"/>
        <v>0</v>
      </c>
      <c r="Q1766" s="765"/>
      <c r="R1766" s="576">
        <f t="shared" si="414"/>
        <v>0</v>
      </c>
      <c r="S1766" s="576">
        <f t="shared" si="414"/>
        <v>0</v>
      </c>
      <c r="T1766" s="577">
        <f t="shared" si="417"/>
        <v>0</v>
      </c>
      <c r="U1766" s="578">
        <f t="shared" si="418"/>
        <v>0</v>
      </c>
      <c r="V1766" s="579"/>
      <c r="W1766" s="566"/>
      <c r="X1766" s="586" t="str">
        <f t="shared" si="422"/>
        <v/>
      </c>
      <c r="Y1766" s="586" t="str">
        <f t="shared" si="431"/>
        <v/>
      </c>
      <c r="Z1766" s="586" t="str">
        <f t="shared" si="427"/>
        <v/>
      </c>
    </row>
    <row r="1767" spans="1:26" ht="12" hidden="1" thickBot="1" x14ac:dyDescent="0.25">
      <c r="A1767" s="652" t="s">
        <v>187</v>
      </c>
      <c r="B1767" s="572" t="s">
        <v>187</v>
      </c>
      <c r="C1767" s="573" t="s">
        <v>187</v>
      </c>
      <c r="D1767" s="580"/>
      <c r="E1767" s="575"/>
      <c r="F1767" s="436"/>
      <c r="G1767" s="431"/>
      <c r="H1767" s="430"/>
      <c r="I1767" s="432"/>
      <c r="J1767" s="433"/>
      <c r="K1767" s="437">
        <f t="shared" si="430"/>
        <v>0</v>
      </c>
      <c r="L1767" s="435" t="s">
        <v>614</v>
      </c>
      <c r="M1767" s="576"/>
      <c r="N1767" s="576">
        <f t="shared" si="429"/>
        <v>0</v>
      </c>
      <c r="O1767" s="577">
        <f t="shared" si="419"/>
        <v>0</v>
      </c>
      <c r="P1767" s="578">
        <f t="shared" si="420"/>
        <v>0</v>
      </c>
      <c r="Q1767" s="765"/>
      <c r="R1767" s="576">
        <f t="shared" si="414"/>
        <v>0</v>
      </c>
      <c r="S1767" s="576">
        <f t="shared" si="414"/>
        <v>0</v>
      </c>
      <c r="T1767" s="577">
        <f t="shared" si="417"/>
        <v>0</v>
      </c>
      <c r="U1767" s="578">
        <f t="shared" si="418"/>
        <v>0</v>
      </c>
      <c r="V1767" s="579"/>
      <c r="W1767" s="566"/>
      <c r="X1767" s="586" t="str">
        <f t="shared" si="422"/>
        <v/>
      </c>
      <c r="Y1767" s="586" t="str">
        <f t="shared" si="431"/>
        <v/>
      </c>
      <c r="Z1767" s="586" t="str">
        <f t="shared" si="427"/>
        <v/>
      </c>
    </row>
    <row r="1768" spans="1:26" ht="12" hidden="1" thickBot="1" x14ac:dyDescent="0.25">
      <c r="A1768" s="652" t="s">
        <v>187</v>
      </c>
      <c r="B1768" s="572" t="s">
        <v>187</v>
      </c>
      <c r="C1768" s="573" t="s">
        <v>187</v>
      </c>
      <c r="D1768" s="580"/>
      <c r="E1768" s="575"/>
      <c r="F1768" s="436"/>
      <c r="G1768" s="431"/>
      <c r="H1768" s="430"/>
      <c r="I1768" s="432"/>
      <c r="J1768" s="433"/>
      <c r="K1768" s="437">
        <f t="shared" si="430"/>
        <v>0</v>
      </c>
      <c r="L1768" s="435" t="s">
        <v>614</v>
      </c>
      <c r="M1768" s="576"/>
      <c r="N1768" s="576">
        <f t="shared" si="429"/>
        <v>0</v>
      </c>
      <c r="O1768" s="577">
        <f t="shared" si="419"/>
        <v>0</v>
      </c>
      <c r="P1768" s="578">
        <f t="shared" si="420"/>
        <v>0</v>
      </c>
      <c r="Q1768" s="765"/>
      <c r="R1768" s="576">
        <f t="shared" si="414"/>
        <v>0</v>
      </c>
      <c r="S1768" s="576">
        <f t="shared" si="414"/>
        <v>0</v>
      </c>
      <c r="T1768" s="577">
        <f t="shared" si="417"/>
        <v>0</v>
      </c>
      <c r="U1768" s="578">
        <f t="shared" si="418"/>
        <v>0</v>
      </c>
      <c r="V1768" s="579"/>
      <c r="W1768" s="566"/>
      <c r="X1768" s="586" t="str">
        <f t="shared" si="422"/>
        <v/>
      </c>
      <c r="Y1768" s="586" t="str">
        <f t="shared" si="431"/>
        <v/>
      </c>
      <c r="Z1768" s="586" t="str">
        <f t="shared" si="427"/>
        <v/>
      </c>
    </row>
    <row r="1769" spans="1:26" ht="12" hidden="1" thickBot="1" x14ac:dyDescent="0.25">
      <c r="A1769" s="652" t="s">
        <v>187</v>
      </c>
      <c r="B1769" s="572" t="s">
        <v>187</v>
      </c>
      <c r="C1769" s="573" t="s">
        <v>187</v>
      </c>
      <c r="D1769" s="580"/>
      <c r="E1769" s="575"/>
      <c r="F1769" s="436"/>
      <c r="G1769" s="431"/>
      <c r="H1769" s="430"/>
      <c r="I1769" s="432"/>
      <c r="J1769" s="433"/>
      <c r="K1769" s="437">
        <f t="shared" si="430"/>
        <v>0</v>
      </c>
      <c r="L1769" s="435" t="s">
        <v>614</v>
      </c>
      <c r="M1769" s="576"/>
      <c r="N1769" s="576">
        <f t="shared" si="429"/>
        <v>0</v>
      </c>
      <c r="O1769" s="577">
        <f t="shared" si="419"/>
        <v>0</v>
      </c>
      <c r="P1769" s="578">
        <f t="shared" si="420"/>
        <v>0</v>
      </c>
      <c r="Q1769" s="765"/>
      <c r="R1769" s="576">
        <f t="shared" si="414"/>
        <v>0</v>
      </c>
      <c r="S1769" s="576">
        <f t="shared" si="414"/>
        <v>0</v>
      </c>
      <c r="T1769" s="577">
        <f t="shared" si="417"/>
        <v>0</v>
      </c>
      <c r="U1769" s="578">
        <f t="shared" si="418"/>
        <v>0</v>
      </c>
      <c r="V1769" s="579"/>
      <c r="W1769" s="566"/>
      <c r="X1769" s="586" t="str">
        <f t="shared" si="422"/>
        <v/>
      </c>
      <c r="Y1769" s="586" t="str">
        <f t="shared" si="431"/>
        <v/>
      </c>
      <c r="Z1769" s="586" t="str">
        <f t="shared" si="427"/>
        <v/>
      </c>
    </row>
    <row r="1770" spans="1:26" ht="12" hidden="1" thickBot="1" x14ac:dyDescent="0.25">
      <c r="A1770" s="652" t="s">
        <v>187</v>
      </c>
      <c r="B1770" s="572" t="s">
        <v>187</v>
      </c>
      <c r="C1770" s="573" t="s">
        <v>187</v>
      </c>
      <c r="D1770" s="580"/>
      <c r="E1770" s="575"/>
      <c r="F1770" s="436"/>
      <c r="G1770" s="431"/>
      <c r="H1770" s="430"/>
      <c r="I1770" s="432"/>
      <c r="J1770" s="433"/>
      <c r="K1770" s="437">
        <f t="shared" si="430"/>
        <v>0</v>
      </c>
      <c r="L1770" s="435" t="s">
        <v>614</v>
      </c>
      <c r="M1770" s="576"/>
      <c r="N1770" s="576">
        <f t="shared" si="429"/>
        <v>0</v>
      </c>
      <c r="O1770" s="577">
        <f t="shared" si="419"/>
        <v>0</v>
      </c>
      <c r="P1770" s="578">
        <f t="shared" si="420"/>
        <v>0</v>
      </c>
      <c r="Q1770" s="765"/>
      <c r="R1770" s="576">
        <f t="shared" si="414"/>
        <v>0</v>
      </c>
      <c r="S1770" s="576">
        <f t="shared" si="414"/>
        <v>0</v>
      </c>
      <c r="T1770" s="577">
        <f t="shared" si="417"/>
        <v>0</v>
      </c>
      <c r="U1770" s="578">
        <f t="shared" si="418"/>
        <v>0</v>
      </c>
      <c r="V1770" s="579"/>
      <c r="W1770" s="566"/>
      <c r="X1770" s="586" t="str">
        <f t="shared" si="422"/>
        <v/>
      </c>
      <c r="Y1770" s="586" t="str">
        <f t="shared" si="431"/>
        <v/>
      </c>
      <c r="Z1770" s="586" t="str">
        <f t="shared" si="427"/>
        <v/>
      </c>
    </row>
    <row r="1771" spans="1:26" ht="12" hidden="1" thickBot="1" x14ac:dyDescent="0.25">
      <c r="A1771" s="652" t="s">
        <v>187</v>
      </c>
      <c r="B1771" s="572" t="s">
        <v>187</v>
      </c>
      <c r="C1771" s="573" t="s">
        <v>187</v>
      </c>
      <c r="D1771" s="580"/>
      <c r="E1771" s="575"/>
      <c r="F1771" s="436"/>
      <c r="G1771" s="431"/>
      <c r="H1771" s="430"/>
      <c r="I1771" s="432"/>
      <c r="J1771" s="433"/>
      <c r="K1771" s="437">
        <f t="shared" si="430"/>
        <v>0</v>
      </c>
      <c r="L1771" s="435" t="s">
        <v>614</v>
      </c>
      <c r="M1771" s="576"/>
      <c r="N1771" s="576">
        <f t="shared" si="429"/>
        <v>0</v>
      </c>
      <c r="O1771" s="577">
        <f t="shared" si="419"/>
        <v>0</v>
      </c>
      <c r="P1771" s="578">
        <f t="shared" si="420"/>
        <v>0</v>
      </c>
      <c r="Q1771" s="765"/>
      <c r="R1771" s="576">
        <f t="shared" si="414"/>
        <v>0</v>
      </c>
      <c r="S1771" s="576">
        <f t="shared" si="414"/>
        <v>0</v>
      </c>
      <c r="T1771" s="577">
        <f t="shared" si="417"/>
        <v>0</v>
      </c>
      <c r="U1771" s="578">
        <f t="shared" si="418"/>
        <v>0</v>
      </c>
      <c r="V1771" s="579"/>
      <c r="W1771" s="566"/>
      <c r="X1771" s="586" t="str">
        <f t="shared" si="422"/>
        <v/>
      </c>
      <c r="Y1771" s="586" t="str">
        <f t="shared" si="431"/>
        <v/>
      </c>
      <c r="Z1771" s="586" t="str">
        <f t="shared" si="427"/>
        <v/>
      </c>
    </row>
    <row r="1772" spans="1:26" ht="12" hidden="1" thickBot="1" x14ac:dyDescent="0.25">
      <c r="A1772" s="652" t="s">
        <v>187</v>
      </c>
      <c r="B1772" s="572" t="s">
        <v>187</v>
      </c>
      <c r="C1772" s="573" t="s">
        <v>187</v>
      </c>
      <c r="D1772" s="580"/>
      <c r="E1772" s="575"/>
      <c r="F1772" s="436"/>
      <c r="G1772" s="431"/>
      <c r="H1772" s="430"/>
      <c r="I1772" s="432"/>
      <c r="J1772" s="433"/>
      <c r="K1772" s="437">
        <f t="shared" si="430"/>
        <v>0</v>
      </c>
      <c r="L1772" s="435" t="s">
        <v>614</v>
      </c>
      <c r="M1772" s="576"/>
      <c r="N1772" s="576">
        <f t="shared" si="429"/>
        <v>0</v>
      </c>
      <c r="O1772" s="577">
        <f t="shared" si="419"/>
        <v>0</v>
      </c>
      <c r="P1772" s="578">
        <f t="shared" si="420"/>
        <v>0</v>
      </c>
      <c r="Q1772" s="765"/>
      <c r="R1772" s="576">
        <f t="shared" ref="R1772:S1837" si="432">M1772</f>
        <v>0</v>
      </c>
      <c r="S1772" s="576">
        <f t="shared" si="432"/>
        <v>0</v>
      </c>
      <c r="T1772" s="577">
        <f t="shared" si="417"/>
        <v>0</v>
      </c>
      <c r="U1772" s="578">
        <f t="shared" si="418"/>
        <v>0</v>
      </c>
      <c r="V1772" s="579"/>
      <c r="W1772" s="566"/>
      <c r="X1772" s="586" t="str">
        <f t="shared" si="422"/>
        <v/>
      </c>
      <c r="Y1772" s="586" t="str">
        <f t="shared" si="431"/>
        <v/>
      </c>
      <c r="Z1772" s="586" t="str">
        <f t="shared" si="427"/>
        <v/>
      </c>
    </row>
    <row r="1773" spans="1:26" ht="12" hidden="1" thickBot="1" x14ac:dyDescent="0.25">
      <c r="A1773" s="652" t="s">
        <v>187</v>
      </c>
      <c r="B1773" s="572" t="s">
        <v>187</v>
      </c>
      <c r="C1773" s="573" t="s">
        <v>187</v>
      </c>
      <c r="D1773" s="580"/>
      <c r="E1773" s="575"/>
      <c r="F1773" s="436"/>
      <c r="G1773" s="431"/>
      <c r="H1773" s="430"/>
      <c r="I1773" s="432"/>
      <c r="J1773" s="433"/>
      <c r="K1773" s="437">
        <f t="shared" si="430"/>
        <v>0</v>
      </c>
      <c r="L1773" s="435" t="s">
        <v>614</v>
      </c>
      <c r="M1773" s="576"/>
      <c r="N1773" s="576">
        <f t="shared" si="429"/>
        <v>0</v>
      </c>
      <c r="O1773" s="577">
        <f t="shared" si="419"/>
        <v>0</v>
      </c>
      <c r="P1773" s="578">
        <f t="shared" si="420"/>
        <v>0</v>
      </c>
      <c r="Q1773" s="765"/>
      <c r="R1773" s="576">
        <f t="shared" si="432"/>
        <v>0</v>
      </c>
      <c r="S1773" s="576">
        <f t="shared" si="432"/>
        <v>0</v>
      </c>
      <c r="T1773" s="577">
        <f t="shared" si="417"/>
        <v>0</v>
      </c>
      <c r="U1773" s="578">
        <f t="shared" si="418"/>
        <v>0</v>
      </c>
      <c r="V1773" s="579"/>
      <c r="W1773" s="566"/>
      <c r="X1773" s="586" t="str">
        <f t="shared" si="422"/>
        <v/>
      </c>
      <c r="Y1773" s="586" t="str">
        <f t="shared" si="431"/>
        <v/>
      </c>
      <c r="Z1773" s="586" t="str">
        <f t="shared" si="427"/>
        <v/>
      </c>
    </row>
    <row r="1774" spans="1:26" ht="12" hidden="1" thickBot="1" x14ac:dyDescent="0.25">
      <c r="A1774" s="652" t="s">
        <v>187</v>
      </c>
      <c r="B1774" s="572" t="s">
        <v>187</v>
      </c>
      <c r="C1774" s="573" t="s">
        <v>187</v>
      </c>
      <c r="D1774" s="580"/>
      <c r="E1774" s="575"/>
      <c r="F1774" s="436"/>
      <c r="G1774" s="431"/>
      <c r="H1774" s="430"/>
      <c r="I1774" s="432"/>
      <c r="J1774" s="433"/>
      <c r="K1774" s="437">
        <f t="shared" si="430"/>
        <v>0</v>
      </c>
      <c r="L1774" s="435" t="s">
        <v>614</v>
      </c>
      <c r="M1774" s="576"/>
      <c r="N1774" s="576">
        <f t="shared" si="429"/>
        <v>0</v>
      </c>
      <c r="O1774" s="577">
        <f t="shared" si="419"/>
        <v>0</v>
      </c>
      <c r="P1774" s="578">
        <f t="shared" si="420"/>
        <v>0</v>
      </c>
      <c r="Q1774" s="765"/>
      <c r="R1774" s="576">
        <f t="shared" si="432"/>
        <v>0</v>
      </c>
      <c r="S1774" s="576">
        <f t="shared" si="432"/>
        <v>0</v>
      </c>
      <c r="T1774" s="577">
        <f t="shared" si="417"/>
        <v>0</v>
      </c>
      <c r="U1774" s="578">
        <f t="shared" si="418"/>
        <v>0</v>
      </c>
      <c r="V1774" s="579"/>
      <c r="W1774" s="566"/>
      <c r="X1774" s="586" t="str">
        <f t="shared" si="422"/>
        <v/>
      </c>
      <c r="Y1774" s="586" t="str">
        <f t="shared" si="431"/>
        <v/>
      </c>
      <c r="Z1774" s="586" t="str">
        <f t="shared" si="427"/>
        <v/>
      </c>
    </row>
    <row r="1775" spans="1:26" ht="12" hidden="1" thickBot="1" x14ac:dyDescent="0.25">
      <c r="A1775" s="652" t="s">
        <v>187</v>
      </c>
      <c r="B1775" s="572" t="s">
        <v>187</v>
      </c>
      <c r="C1775" s="573" t="s">
        <v>187</v>
      </c>
      <c r="D1775" s="580"/>
      <c r="E1775" s="575"/>
      <c r="F1775" s="436"/>
      <c r="G1775" s="431"/>
      <c r="H1775" s="430"/>
      <c r="I1775" s="432"/>
      <c r="J1775" s="433"/>
      <c r="K1775" s="437">
        <f t="shared" si="430"/>
        <v>0</v>
      </c>
      <c r="L1775" s="435" t="s">
        <v>614</v>
      </c>
      <c r="M1775" s="576"/>
      <c r="N1775" s="576">
        <f t="shared" si="429"/>
        <v>0</v>
      </c>
      <c r="O1775" s="577">
        <f t="shared" si="419"/>
        <v>0</v>
      </c>
      <c r="P1775" s="578">
        <f t="shared" si="420"/>
        <v>0</v>
      </c>
      <c r="Q1775" s="765"/>
      <c r="R1775" s="576">
        <f t="shared" si="432"/>
        <v>0</v>
      </c>
      <c r="S1775" s="576">
        <f t="shared" si="432"/>
        <v>0</v>
      </c>
      <c r="T1775" s="577">
        <f t="shared" si="417"/>
        <v>0</v>
      </c>
      <c r="U1775" s="578">
        <f t="shared" si="418"/>
        <v>0</v>
      </c>
      <c r="V1775" s="579"/>
      <c r="W1775" s="566"/>
      <c r="X1775" s="586" t="str">
        <f t="shared" si="422"/>
        <v/>
      </c>
      <c r="Y1775" s="586" t="str">
        <f t="shared" si="431"/>
        <v/>
      </c>
      <c r="Z1775" s="586" t="str">
        <f t="shared" si="427"/>
        <v/>
      </c>
    </row>
    <row r="1776" spans="1:26" ht="12" hidden="1" thickBot="1" x14ac:dyDescent="0.25">
      <c r="A1776" s="652" t="s">
        <v>187</v>
      </c>
      <c r="B1776" s="572" t="s">
        <v>187</v>
      </c>
      <c r="C1776" s="573" t="s">
        <v>187</v>
      </c>
      <c r="D1776" s="580"/>
      <c r="E1776" s="575"/>
      <c r="F1776" s="436"/>
      <c r="G1776" s="431"/>
      <c r="H1776" s="430"/>
      <c r="I1776" s="432"/>
      <c r="J1776" s="433"/>
      <c r="K1776" s="437">
        <f t="shared" si="430"/>
        <v>0</v>
      </c>
      <c r="L1776" s="435" t="s">
        <v>614</v>
      </c>
      <c r="M1776" s="576"/>
      <c r="N1776" s="576">
        <f t="shared" si="429"/>
        <v>0</v>
      </c>
      <c r="O1776" s="577">
        <f t="shared" si="419"/>
        <v>0</v>
      </c>
      <c r="P1776" s="578">
        <f t="shared" si="420"/>
        <v>0</v>
      </c>
      <c r="Q1776" s="765"/>
      <c r="R1776" s="576">
        <f t="shared" si="432"/>
        <v>0</v>
      </c>
      <c r="S1776" s="576">
        <f t="shared" si="432"/>
        <v>0</v>
      </c>
      <c r="T1776" s="577">
        <f t="shared" si="417"/>
        <v>0</v>
      </c>
      <c r="U1776" s="578">
        <f t="shared" si="418"/>
        <v>0</v>
      </c>
      <c r="V1776" s="579"/>
      <c r="W1776" s="566"/>
      <c r="X1776" s="586" t="str">
        <f t="shared" si="422"/>
        <v/>
      </c>
      <c r="Y1776" s="586" t="str">
        <f t="shared" si="431"/>
        <v/>
      </c>
      <c r="Z1776" s="586" t="str">
        <f t="shared" si="427"/>
        <v/>
      </c>
    </row>
    <row r="1777" spans="1:26" ht="12" hidden="1" thickBot="1" x14ac:dyDescent="0.25">
      <c r="A1777" s="652" t="s">
        <v>187</v>
      </c>
      <c r="B1777" s="572" t="s">
        <v>187</v>
      </c>
      <c r="C1777" s="573" t="s">
        <v>187</v>
      </c>
      <c r="D1777" s="580"/>
      <c r="E1777" s="575"/>
      <c r="F1777" s="436"/>
      <c r="G1777" s="431"/>
      <c r="H1777" s="430"/>
      <c r="I1777" s="432"/>
      <c r="J1777" s="433"/>
      <c r="K1777" s="437">
        <f t="shared" si="430"/>
        <v>0</v>
      </c>
      <c r="L1777" s="435" t="s">
        <v>614</v>
      </c>
      <c r="M1777" s="576"/>
      <c r="N1777" s="576">
        <f t="shared" si="429"/>
        <v>0</v>
      </c>
      <c r="O1777" s="577">
        <f t="shared" si="419"/>
        <v>0</v>
      </c>
      <c r="P1777" s="578">
        <f t="shared" si="420"/>
        <v>0</v>
      </c>
      <c r="Q1777" s="765"/>
      <c r="R1777" s="576">
        <f t="shared" si="432"/>
        <v>0</v>
      </c>
      <c r="S1777" s="576">
        <f t="shared" si="432"/>
        <v>0</v>
      </c>
      <c r="T1777" s="577">
        <f t="shared" si="417"/>
        <v>0</v>
      </c>
      <c r="U1777" s="578">
        <f t="shared" si="418"/>
        <v>0</v>
      </c>
      <c r="V1777" s="579"/>
      <c r="W1777" s="566"/>
      <c r="X1777" s="586" t="str">
        <f t="shared" si="422"/>
        <v/>
      </c>
      <c r="Y1777" s="586" t="str">
        <f t="shared" si="431"/>
        <v/>
      </c>
      <c r="Z1777" s="586" t="str">
        <f t="shared" si="427"/>
        <v/>
      </c>
    </row>
    <row r="1778" spans="1:26" ht="12" hidden="1" thickBot="1" x14ac:dyDescent="0.25">
      <c r="A1778" s="652" t="s">
        <v>187</v>
      </c>
      <c r="B1778" s="572" t="s">
        <v>187</v>
      </c>
      <c r="C1778" s="573" t="s">
        <v>187</v>
      </c>
      <c r="D1778" s="580"/>
      <c r="E1778" s="575"/>
      <c r="F1778" s="436"/>
      <c r="G1778" s="431"/>
      <c r="H1778" s="430"/>
      <c r="I1778" s="432"/>
      <c r="J1778" s="433"/>
      <c r="K1778" s="437">
        <f t="shared" si="430"/>
        <v>0</v>
      </c>
      <c r="L1778" s="435" t="s">
        <v>614</v>
      </c>
      <c r="M1778" s="576"/>
      <c r="N1778" s="576">
        <f t="shared" si="429"/>
        <v>0</v>
      </c>
      <c r="O1778" s="577">
        <f t="shared" si="419"/>
        <v>0</v>
      </c>
      <c r="P1778" s="578">
        <f t="shared" si="420"/>
        <v>0</v>
      </c>
      <c r="Q1778" s="765"/>
      <c r="R1778" s="576">
        <f t="shared" si="432"/>
        <v>0</v>
      </c>
      <c r="S1778" s="576">
        <f t="shared" si="432"/>
        <v>0</v>
      </c>
      <c r="T1778" s="577">
        <f t="shared" si="417"/>
        <v>0</v>
      </c>
      <c r="U1778" s="578">
        <f t="shared" si="418"/>
        <v>0</v>
      </c>
      <c r="V1778" s="579"/>
      <c r="W1778" s="566"/>
      <c r="X1778" s="586" t="str">
        <f t="shared" si="422"/>
        <v/>
      </c>
      <c r="Y1778" s="586" t="str">
        <f t="shared" si="431"/>
        <v/>
      </c>
      <c r="Z1778" s="586" t="str">
        <f t="shared" si="427"/>
        <v/>
      </c>
    </row>
    <row r="1779" spans="1:26" ht="12" hidden="1" thickBot="1" x14ac:dyDescent="0.25">
      <c r="A1779" s="652" t="s">
        <v>187</v>
      </c>
      <c r="B1779" s="572" t="s">
        <v>187</v>
      </c>
      <c r="C1779" s="573" t="s">
        <v>187</v>
      </c>
      <c r="D1779" s="580"/>
      <c r="E1779" s="575"/>
      <c r="F1779" s="436"/>
      <c r="G1779" s="431"/>
      <c r="H1779" s="430"/>
      <c r="I1779" s="432"/>
      <c r="J1779" s="433"/>
      <c r="K1779" s="437">
        <f t="shared" si="430"/>
        <v>0</v>
      </c>
      <c r="L1779" s="435" t="s">
        <v>614</v>
      </c>
      <c r="M1779" s="576"/>
      <c r="N1779" s="576">
        <f t="shared" si="429"/>
        <v>0</v>
      </c>
      <c r="O1779" s="577">
        <f t="shared" si="419"/>
        <v>0</v>
      </c>
      <c r="P1779" s="578">
        <f t="shared" si="420"/>
        <v>0</v>
      </c>
      <c r="Q1779" s="765"/>
      <c r="R1779" s="576">
        <f t="shared" si="432"/>
        <v>0</v>
      </c>
      <c r="S1779" s="576">
        <f t="shared" si="432"/>
        <v>0</v>
      </c>
      <c r="T1779" s="577">
        <f t="shared" si="417"/>
        <v>0</v>
      </c>
      <c r="U1779" s="578">
        <f t="shared" si="418"/>
        <v>0</v>
      </c>
      <c r="V1779" s="579"/>
      <c r="W1779" s="566"/>
      <c r="X1779" s="586" t="str">
        <f t="shared" si="422"/>
        <v/>
      </c>
      <c r="Y1779" s="586" t="str">
        <f t="shared" si="431"/>
        <v/>
      </c>
      <c r="Z1779" s="586" t="str">
        <f t="shared" si="427"/>
        <v/>
      </c>
    </row>
    <row r="1780" spans="1:26" ht="12" hidden="1" thickBot="1" x14ac:dyDescent="0.25">
      <c r="A1780" s="652" t="s">
        <v>187</v>
      </c>
      <c r="B1780" s="572" t="s">
        <v>187</v>
      </c>
      <c r="C1780" s="573" t="s">
        <v>187</v>
      </c>
      <c r="D1780" s="580"/>
      <c r="E1780" s="575"/>
      <c r="F1780" s="436"/>
      <c r="G1780" s="431"/>
      <c r="H1780" s="430"/>
      <c r="I1780" s="432"/>
      <c r="J1780" s="433"/>
      <c r="K1780" s="437">
        <f t="shared" si="430"/>
        <v>0</v>
      </c>
      <c r="L1780" s="435" t="s">
        <v>614</v>
      </c>
      <c r="M1780" s="576"/>
      <c r="N1780" s="576">
        <f t="shared" si="429"/>
        <v>0</v>
      </c>
      <c r="O1780" s="577">
        <f t="shared" si="419"/>
        <v>0</v>
      </c>
      <c r="P1780" s="578">
        <f t="shared" si="420"/>
        <v>0</v>
      </c>
      <c r="Q1780" s="765"/>
      <c r="R1780" s="576">
        <f t="shared" si="432"/>
        <v>0</v>
      </c>
      <c r="S1780" s="576">
        <f t="shared" si="432"/>
        <v>0</v>
      </c>
      <c r="T1780" s="577">
        <f t="shared" si="417"/>
        <v>0</v>
      </c>
      <c r="U1780" s="578">
        <f t="shared" si="418"/>
        <v>0</v>
      </c>
      <c r="V1780" s="579"/>
      <c r="W1780" s="566"/>
      <c r="X1780" s="586" t="str">
        <f t="shared" si="422"/>
        <v/>
      </c>
      <c r="Y1780" s="586" t="str">
        <f t="shared" si="431"/>
        <v/>
      </c>
      <c r="Z1780" s="586" t="str">
        <f t="shared" si="427"/>
        <v/>
      </c>
    </row>
    <row r="1781" spans="1:26" ht="12" hidden="1" thickBot="1" x14ac:dyDescent="0.25">
      <c r="A1781" s="652" t="s">
        <v>187</v>
      </c>
      <c r="B1781" s="572" t="s">
        <v>187</v>
      </c>
      <c r="C1781" s="573" t="s">
        <v>187</v>
      </c>
      <c r="D1781" s="580"/>
      <c r="E1781" s="575"/>
      <c r="F1781" s="436"/>
      <c r="G1781" s="431"/>
      <c r="H1781" s="430"/>
      <c r="I1781" s="432"/>
      <c r="J1781" s="433"/>
      <c r="K1781" s="437">
        <f t="shared" si="430"/>
        <v>0</v>
      </c>
      <c r="L1781" s="435" t="s">
        <v>614</v>
      </c>
      <c r="M1781" s="576"/>
      <c r="N1781" s="576">
        <f t="shared" si="429"/>
        <v>0</v>
      </c>
      <c r="O1781" s="577">
        <f t="shared" si="419"/>
        <v>0</v>
      </c>
      <c r="P1781" s="578">
        <f t="shared" si="420"/>
        <v>0</v>
      </c>
      <c r="Q1781" s="765"/>
      <c r="R1781" s="576">
        <f t="shared" si="432"/>
        <v>0</v>
      </c>
      <c r="S1781" s="576">
        <f t="shared" si="432"/>
        <v>0</v>
      </c>
      <c r="T1781" s="577">
        <f t="shared" si="417"/>
        <v>0</v>
      </c>
      <c r="U1781" s="578">
        <f t="shared" si="418"/>
        <v>0</v>
      </c>
      <c r="V1781" s="579"/>
      <c r="W1781" s="566"/>
      <c r="X1781" s="586" t="str">
        <f t="shared" si="422"/>
        <v/>
      </c>
      <c r="Y1781" s="586" t="str">
        <f t="shared" si="431"/>
        <v/>
      </c>
      <c r="Z1781" s="586" t="str">
        <f t="shared" si="427"/>
        <v/>
      </c>
    </row>
    <row r="1782" spans="1:26" ht="12" hidden="1" thickBot="1" x14ac:dyDescent="0.25">
      <c r="A1782" s="652" t="s">
        <v>187</v>
      </c>
      <c r="B1782" s="572" t="s">
        <v>187</v>
      </c>
      <c r="C1782" s="573" t="s">
        <v>187</v>
      </c>
      <c r="D1782" s="580"/>
      <c r="E1782" s="575"/>
      <c r="F1782" s="436"/>
      <c r="G1782" s="431"/>
      <c r="H1782" s="430"/>
      <c r="I1782" s="432"/>
      <c r="J1782" s="433"/>
      <c r="K1782" s="437">
        <f t="shared" si="430"/>
        <v>0</v>
      </c>
      <c r="L1782" s="435" t="s">
        <v>614</v>
      </c>
      <c r="M1782" s="576"/>
      <c r="N1782" s="576">
        <f t="shared" si="429"/>
        <v>0</v>
      </c>
      <c r="O1782" s="577">
        <f t="shared" si="419"/>
        <v>0</v>
      </c>
      <c r="P1782" s="578">
        <f t="shared" si="420"/>
        <v>0</v>
      </c>
      <c r="Q1782" s="765"/>
      <c r="R1782" s="576">
        <f t="shared" si="432"/>
        <v>0</v>
      </c>
      <c r="S1782" s="576">
        <f t="shared" si="432"/>
        <v>0</v>
      </c>
      <c r="T1782" s="577">
        <f t="shared" si="417"/>
        <v>0</v>
      </c>
      <c r="U1782" s="578">
        <f t="shared" si="418"/>
        <v>0</v>
      </c>
      <c r="V1782" s="579"/>
      <c r="W1782" s="566"/>
      <c r="X1782" s="586" t="str">
        <f t="shared" si="422"/>
        <v/>
      </c>
      <c r="Y1782" s="586" t="str">
        <f t="shared" si="431"/>
        <v/>
      </c>
      <c r="Z1782" s="586" t="str">
        <f t="shared" si="427"/>
        <v/>
      </c>
    </row>
    <row r="1783" spans="1:26" ht="12" hidden="1" thickBot="1" x14ac:dyDescent="0.25">
      <c r="A1783" s="652" t="s">
        <v>187</v>
      </c>
      <c r="B1783" s="572" t="s">
        <v>187</v>
      </c>
      <c r="C1783" s="573" t="s">
        <v>187</v>
      </c>
      <c r="D1783" s="580"/>
      <c r="E1783" s="575"/>
      <c r="F1783" s="436"/>
      <c r="G1783" s="431"/>
      <c r="H1783" s="430"/>
      <c r="I1783" s="432"/>
      <c r="J1783" s="433"/>
      <c r="K1783" s="437">
        <f t="shared" si="430"/>
        <v>0</v>
      </c>
      <c r="L1783" s="435" t="s">
        <v>614</v>
      </c>
      <c r="M1783" s="576"/>
      <c r="N1783" s="576">
        <f t="shared" si="429"/>
        <v>0</v>
      </c>
      <c r="O1783" s="577">
        <f t="shared" si="419"/>
        <v>0</v>
      </c>
      <c r="P1783" s="578">
        <f t="shared" si="420"/>
        <v>0</v>
      </c>
      <c r="Q1783" s="765"/>
      <c r="R1783" s="576">
        <f t="shared" si="432"/>
        <v>0</v>
      </c>
      <c r="S1783" s="576">
        <f t="shared" si="432"/>
        <v>0</v>
      </c>
      <c r="T1783" s="577">
        <f t="shared" si="417"/>
        <v>0</v>
      </c>
      <c r="U1783" s="578">
        <f t="shared" si="418"/>
        <v>0</v>
      </c>
      <c r="V1783" s="579"/>
      <c r="W1783" s="566"/>
      <c r="X1783" s="586" t="str">
        <f t="shared" si="422"/>
        <v/>
      </c>
      <c r="Y1783" s="586" t="str">
        <f t="shared" si="431"/>
        <v/>
      </c>
      <c r="Z1783" s="586" t="str">
        <f t="shared" si="427"/>
        <v/>
      </c>
    </row>
    <row r="1784" spans="1:26" ht="12" hidden="1" thickBot="1" x14ac:dyDescent="0.25">
      <c r="A1784" s="652" t="s">
        <v>187</v>
      </c>
      <c r="B1784" s="581" t="s">
        <v>187</v>
      </c>
      <c r="C1784" s="582" t="s">
        <v>187</v>
      </c>
      <c r="D1784" s="583"/>
      <c r="E1784" s="584"/>
      <c r="F1784" s="438"/>
      <c r="G1784" s="439"/>
      <c r="H1784" s="440"/>
      <c r="I1784" s="441"/>
      <c r="J1784" s="442"/>
      <c r="K1784" s="443">
        <f t="shared" si="430"/>
        <v>0</v>
      </c>
      <c r="L1784" s="444" t="s">
        <v>614</v>
      </c>
      <c r="M1784" s="576"/>
      <c r="N1784" s="576">
        <f t="shared" si="429"/>
        <v>0</v>
      </c>
      <c r="O1784" s="585">
        <f t="shared" si="419"/>
        <v>0</v>
      </c>
      <c r="P1784" s="660">
        <f t="shared" si="420"/>
        <v>0</v>
      </c>
      <c r="Q1784" s="765"/>
      <c r="R1784" s="576">
        <f t="shared" si="432"/>
        <v>0</v>
      </c>
      <c r="S1784" s="576">
        <f t="shared" si="432"/>
        <v>0</v>
      </c>
      <c r="T1784" s="585">
        <f t="shared" si="417"/>
        <v>0</v>
      </c>
      <c r="U1784" s="660">
        <f t="shared" si="418"/>
        <v>0</v>
      </c>
      <c r="V1784" s="579"/>
      <c r="W1784" s="566"/>
      <c r="X1784" s="586" t="str">
        <f t="shared" si="422"/>
        <v/>
      </c>
      <c r="Y1784" s="586" t="str">
        <f t="shared" si="431"/>
        <v/>
      </c>
      <c r="Z1784" s="586" t="str">
        <f t="shared" si="427"/>
        <v/>
      </c>
    </row>
    <row r="1785" spans="1:26" ht="12" hidden="1" thickBot="1" x14ac:dyDescent="0.25">
      <c r="A1785" s="652" t="s">
        <v>187</v>
      </c>
      <c r="B1785" s="664" t="s">
        <v>473</v>
      </c>
      <c r="C1785" s="665"/>
      <c r="D1785" s="666" t="s">
        <v>462</v>
      </c>
      <c r="E1785" s="631"/>
      <c r="F1785" s="632"/>
      <c r="G1785" s="633"/>
      <c r="H1785" s="634"/>
      <c r="I1785" s="409"/>
      <c r="J1785" s="409"/>
      <c r="K1785" s="409"/>
      <c r="L1785" s="409" t="s">
        <v>614</v>
      </c>
      <c r="M1785" s="634"/>
      <c r="N1785" s="797"/>
      <c r="O1785" s="409">
        <f t="shared" si="419"/>
        <v>0</v>
      </c>
      <c r="P1785" s="635">
        <f t="shared" si="420"/>
        <v>0</v>
      </c>
      <c r="Q1785" s="635">
        <f>SUM(P1786:P2662)</f>
        <v>0</v>
      </c>
      <c r="R1785" s="634"/>
      <c r="S1785" s="409"/>
      <c r="T1785" s="409">
        <f t="shared" si="417"/>
        <v>0</v>
      </c>
      <c r="U1785" s="635">
        <f t="shared" si="418"/>
        <v>0</v>
      </c>
      <c r="V1785" s="636">
        <f>SUM(U1786:U2662)</f>
        <v>0</v>
      </c>
      <c r="W1785" s="637" t="str">
        <f>IF(OR(Q1785&gt;0,V1785&gt;0),"X","")</f>
        <v/>
      </c>
      <c r="X1785" s="586" t="str">
        <f t="shared" si="422"/>
        <v/>
      </c>
      <c r="Y1785" s="586" t="str">
        <f t="shared" si="431"/>
        <v/>
      </c>
      <c r="Z1785" s="586" t="str">
        <f t="shared" si="427"/>
        <v/>
      </c>
    </row>
    <row r="1786" spans="1:26" ht="12" hidden="1" thickBot="1" x14ac:dyDescent="0.25">
      <c r="A1786" s="567">
        <v>600000</v>
      </c>
      <c r="B1786" s="644" t="s">
        <v>1649</v>
      </c>
      <c r="C1786" s="645" t="s">
        <v>206</v>
      </c>
      <c r="D1786" s="422" t="s">
        <v>322</v>
      </c>
      <c r="E1786" s="423"/>
      <c r="F1786" s="424">
        <v>0</v>
      </c>
      <c r="G1786" s="425">
        <v>0</v>
      </c>
      <c r="H1786" s="651">
        <f t="shared" ref="H1786:H1801" si="433">IF(F1786&lt;=30,(0.62*F1786+6.29)*G1786,((0.62*30+6.29)+0.62*(F1786-30))*G1786)</f>
        <v>0</v>
      </c>
      <c r="I1786" s="420">
        <v>46.12</v>
      </c>
      <c r="J1786" s="420">
        <f>IF(ISBLANK(I1786),"",SUM(H1786:I1786))</f>
        <v>46.12</v>
      </c>
      <c r="K1786" s="421">
        <f t="shared" ref="K1786:K1855" si="434">IF(ISBLANK(I1786),0,ROUND(J1786*(1+$F$10)*(1+$F$11*E1786),2))</f>
        <v>54.8</v>
      </c>
      <c r="L1786" s="647" t="s">
        <v>16</v>
      </c>
      <c r="M1786" s="576"/>
      <c r="N1786" s="576">
        <f t="shared" si="429"/>
        <v>0</v>
      </c>
      <c r="O1786" s="577">
        <f t="shared" si="419"/>
        <v>0</v>
      </c>
      <c r="P1786" s="578">
        <f t="shared" si="420"/>
        <v>0</v>
      </c>
      <c r="Q1786" s="765"/>
      <c r="R1786" s="576">
        <f t="shared" si="432"/>
        <v>0</v>
      </c>
      <c r="S1786" s="576">
        <f t="shared" si="432"/>
        <v>0</v>
      </c>
      <c r="T1786" s="577">
        <f t="shared" ref="T1786:T1851" si="435">IF(ISBLANK(R1786),0,ROUND(K1786*R1786,2))</f>
        <v>0</v>
      </c>
      <c r="U1786" s="578">
        <f t="shared" ref="U1786:U1851" si="436">IF(ISBLANK(R1786),0,ROUND(R1786*S1786,2))</f>
        <v>0</v>
      </c>
      <c r="V1786" s="579"/>
      <c r="W1786" s="566"/>
      <c r="X1786" s="586" t="str">
        <f t="shared" si="422"/>
        <v/>
      </c>
      <c r="Y1786" s="586" t="str">
        <f t="shared" si="431"/>
        <v/>
      </c>
      <c r="Z1786" s="586" t="str">
        <f t="shared" si="427"/>
        <v/>
      </c>
    </row>
    <row r="1787" spans="1:26" ht="12" hidden="1" thickBot="1" x14ac:dyDescent="0.25">
      <c r="A1787" s="567">
        <v>600300</v>
      </c>
      <c r="B1787" s="644">
        <v>600300</v>
      </c>
      <c r="C1787" s="645" t="s">
        <v>206</v>
      </c>
      <c r="D1787" s="422" t="s">
        <v>323</v>
      </c>
      <c r="E1787" s="423"/>
      <c r="F1787" s="424">
        <v>0</v>
      </c>
      <c r="G1787" s="425">
        <v>0</v>
      </c>
      <c r="H1787" s="651">
        <f t="shared" si="433"/>
        <v>0</v>
      </c>
      <c r="I1787" s="420">
        <v>12.45</v>
      </c>
      <c r="J1787" s="420">
        <f t="shared" ref="J1787:J1801" si="437">IF(ISBLANK(I1787),"",SUM(H1787:I1787))</f>
        <v>12.45</v>
      </c>
      <c r="K1787" s="421">
        <f t="shared" si="434"/>
        <v>14.79</v>
      </c>
      <c r="L1787" s="647" t="s">
        <v>16</v>
      </c>
      <c r="M1787" s="576"/>
      <c r="N1787" s="576">
        <f t="shared" si="429"/>
        <v>0</v>
      </c>
      <c r="O1787" s="577">
        <f t="shared" ref="O1787:O1852" si="438">IF(ISBLANK(M1787),0,ROUND(K1787*M1787,2))</f>
        <v>0</v>
      </c>
      <c r="P1787" s="578">
        <f t="shared" ref="P1787:P1852" si="439">IF(ISBLANK(N1787),0,ROUND(M1787*N1787,2))</f>
        <v>0</v>
      </c>
      <c r="Q1787" s="765"/>
      <c r="R1787" s="576">
        <f t="shared" si="432"/>
        <v>0</v>
      </c>
      <c r="S1787" s="576">
        <f t="shared" si="432"/>
        <v>0</v>
      </c>
      <c r="T1787" s="577">
        <f t="shared" si="435"/>
        <v>0</v>
      </c>
      <c r="U1787" s="578">
        <f t="shared" si="436"/>
        <v>0</v>
      </c>
      <c r="V1787" s="579"/>
      <c r="W1787" s="566"/>
      <c r="X1787" s="586" t="str">
        <f t="shared" si="422"/>
        <v/>
      </c>
      <c r="Y1787" s="586" t="str">
        <f t="shared" si="431"/>
        <v/>
      </c>
      <c r="Z1787" s="586" t="str">
        <f t="shared" si="427"/>
        <v/>
      </c>
    </row>
    <row r="1788" spans="1:26" ht="12" hidden="1" thickBot="1" x14ac:dyDescent="0.25">
      <c r="A1788" s="567">
        <v>600400</v>
      </c>
      <c r="B1788" s="644">
        <v>600400</v>
      </c>
      <c r="C1788" s="645" t="s">
        <v>206</v>
      </c>
      <c r="D1788" s="422" t="s">
        <v>324</v>
      </c>
      <c r="E1788" s="423"/>
      <c r="F1788" s="424">
        <v>0</v>
      </c>
      <c r="G1788" s="425"/>
      <c r="H1788" s="651">
        <f t="shared" si="433"/>
        <v>0</v>
      </c>
      <c r="I1788" s="420">
        <v>12.77</v>
      </c>
      <c r="J1788" s="420">
        <f t="shared" si="437"/>
        <v>12.77</v>
      </c>
      <c r="K1788" s="421">
        <f t="shared" si="434"/>
        <v>15.17</v>
      </c>
      <c r="L1788" s="647" t="s">
        <v>16</v>
      </c>
      <c r="M1788" s="576"/>
      <c r="N1788" s="576">
        <f t="shared" si="429"/>
        <v>0</v>
      </c>
      <c r="O1788" s="577">
        <f t="shared" si="438"/>
        <v>0</v>
      </c>
      <c r="P1788" s="578">
        <f t="shared" si="439"/>
        <v>0</v>
      </c>
      <c r="Q1788" s="765"/>
      <c r="R1788" s="576">
        <f t="shared" si="432"/>
        <v>0</v>
      </c>
      <c r="S1788" s="576">
        <f t="shared" si="432"/>
        <v>0</v>
      </c>
      <c r="T1788" s="577">
        <f t="shared" si="435"/>
        <v>0</v>
      </c>
      <c r="U1788" s="578">
        <f t="shared" si="436"/>
        <v>0</v>
      </c>
      <c r="V1788" s="579"/>
      <c r="W1788" s="566"/>
      <c r="X1788" s="586" t="str">
        <f t="shared" si="422"/>
        <v/>
      </c>
      <c r="Y1788" s="586" t="str">
        <f t="shared" si="431"/>
        <v/>
      </c>
      <c r="Z1788" s="586" t="str">
        <f t="shared" si="427"/>
        <v/>
      </c>
    </row>
    <row r="1789" spans="1:26" ht="12" hidden="1" thickBot="1" x14ac:dyDescent="0.25">
      <c r="A1789" s="567">
        <v>600500</v>
      </c>
      <c r="B1789" s="644">
        <v>600500</v>
      </c>
      <c r="C1789" s="645" t="s">
        <v>206</v>
      </c>
      <c r="D1789" s="422" t="s">
        <v>325</v>
      </c>
      <c r="E1789" s="423"/>
      <c r="F1789" s="424">
        <v>0</v>
      </c>
      <c r="G1789" s="425"/>
      <c r="H1789" s="651">
        <f t="shared" si="433"/>
        <v>0</v>
      </c>
      <c r="I1789" s="420">
        <v>76.27000000000001</v>
      </c>
      <c r="J1789" s="420">
        <f t="shared" si="437"/>
        <v>76.27000000000001</v>
      </c>
      <c r="K1789" s="421">
        <f t="shared" si="434"/>
        <v>90.62</v>
      </c>
      <c r="L1789" s="647" t="s">
        <v>16</v>
      </c>
      <c r="M1789" s="576"/>
      <c r="N1789" s="576">
        <f t="shared" si="429"/>
        <v>0</v>
      </c>
      <c r="O1789" s="577">
        <f t="shared" si="438"/>
        <v>0</v>
      </c>
      <c r="P1789" s="578">
        <f t="shared" si="439"/>
        <v>0</v>
      </c>
      <c r="Q1789" s="765"/>
      <c r="R1789" s="576">
        <f t="shared" si="432"/>
        <v>0</v>
      </c>
      <c r="S1789" s="576">
        <f t="shared" si="432"/>
        <v>0</v>
      </c>
      <c r="T1789" s="577">
        <f t="shared" si="435"/>
        <v>0</v>
      </c>
      <c r="U1789" s="578">
        <f t="shared" si="436"/>
        <v>0</v>
      </c>
      <c r="V1789" s="579"/>
      <c r="W1789" s="566"/>
      <c r="X1789" s="586" t="str">
        <f t="shared" si="422"/>
        <v/>
      </c>
      <c r="Y1789" s="586" t="str">
        <f t="shared" si="431"/>
        <v/>
      </c>
      <c r="Z1789" s="586" t="str">
        <f t="shared" si="427"/>
        <v/>
      </c>
    </row>
    <row r="1790" spans="1:26" ht="12" hidden="1" thickBot="1" x14ac:dyDescent="0.25">
      <c r="A1790" s="567">
        <v>600310</v>
      </c>
      <c r="B1790" s="644" t="s">
        <v>1589</v>
      </c>
      <c r="C1790" s="645" t="s">
        <v>206</v>
      </c>
      <c r="D1790" s="416" t="s">
        <v>474</v>
      </c>
      <c r="E1790" s="417"/>
      <c r="F1790" s="418"/>
      <c r="G1790" s="419"/>
      <c r="H1790" s="646">
        <f t="shared" si="433"/>
        <v>0</v>
      </c>
      <c r="I1790" s="420">
        <v>138.22</v>
      </c>
      <c r="J1790" s="420">
        <f>IF(ISBLANK(I1790),"",SUM(H1790:I1790))</f>
        <v>138.22</v>
      </c>
      <c r="K1790" s="421">
        <f t="shared" si="434"/>
        <v>164.22</v>
      </c>
      <c r="L1790" s="647" t="s">
        <v>21</v>
      </c>
      <c r="M1790" s="576"/>
      <c r="N1790" s="576">
        <f t="shared" si="429"/>
        <v>0</v>
      </c>
      <c r="O1790" s="577">
        <f t="shared" si="438"/>
        <v>0</v>
      </c>
      <c r="P1790" s="578">
        <f t="shared" si="439"/>
        <v>0</v>
      </c>
      <c r="Q1790" s="765"/>
      <c r="R1790" s="576">
        <f t="shared" si="432"/>
        <v>0</v>
      </c>
      <c r="S1790" s="576">
        <f t="shared" si="432"/>
        <v>0</v>
      </c>
      <c r="T1790" s="577">
        <f t="shared" si="435"/>
        <v>0</v>
      </c>
      <c r="U1790" s="578">
        <f t="shared" si="436"/>
        <v>0</v>
      </c>
      <c r="V1790" s="579"/>
      <c r="W1790" s="566"/>
      <c r="X1790" s="586" t="str">
        <f t="shared" si="422"/>
        <v/>
      </c>
      <c r="Y1790" s="586" t="str">
        <f t="shared" si="431"/>
        <v/>
      </c>
      <c r="Z1790" s="586" t="str">
        <f t="shared" si="427"/>
        <v/>
      </c>
    </row>
    <row r="1791" spans="1:26" ht="12" hidden="1" thickBot="1" x14ac:dyDescent="0.25">
      <c r="A1791" s="567">
        <v>633000</v>
      </c>
      <c r="B1791" s="644" t="s">
        <v>1651</v>
      </c>
      <c r="C1791" s="645" t="s">
        <v>206</v>
      </c>
      <c r="D1791" s="416" t="s">
        <v>623</v>
      </c>
      <c r="E1791" s="417"/>
      <c r="F1791" s="418"/>
      <c r="G1791" s="419"/>
      <c r="H1791" s="646">
        <f t="shared" si="433"/>
        <v>0</v>
      </c>
      <c r="I1791" s="420">
        <v>76.88</v>
      </c>
      <c r="J1791" s="420">
        <f>IF(ISBLANK(I1791),"",SUM(H1791:I1791))</f>
        <v>76.88</v>
      </c>
      <c r="K1791" s="421">
        <f t="shared" si="434"/>
        <v>91.34</v>
      </c>
      <c r="L1791" s="647" t="s">
        <v>19</v>
      </c>
      <c r="M1791" s="576"/>
      <c r="N1791" s="576">
        <f t="shared" si="429"/>
        <v>0</v>
      </c>
      <c r="O1791" s="577">
        <f t="shared" si="438"/>
        <v>0</v>
      </c>
      <c r="P1791" s="578">
        <f t="shared" si="439"/>
        <v>0</v>
      </c>
      <c r="Q1791" s="765"/>
      <c r="R1791" s="576">
        <f t="shared" si="432"/>
        <v>0</v>
      </c>
      <c r="S1791" s="576">
        <f t="shared" si="432"/>
        <v>0</v>
      </c>
      <c r="T1791" s="577">
        <f t="shared" si="435"/>
        <v>0</v>
      </c>
      <c r="U1791" s="578">
        <f t="shared" si="436"/>
        <v>0</v>
      </c>
      <c r="V1791" s="579"/>
      <c r="W1791" s="566"/>
      <c r="X1791" s="586" t="str">
        <f t="shared" si="422"/>
        <v/>
      </c>
      <c r="Y1791" s="586" t="str">
        <f t="shared" si="431"/>
        <v/>
      </c>
      <c r="Z1791" s="586" t="str">
        <f t="shared" si="427"/>
        <v/>
      </c>
    </row>
    <row r="1792" spans="1:26" ht="12" hidden="1" thickBot="1" x14ac:dyDescent="0.25">
      <c r="A1792" s="567">
        <v>633100</v>
      </c>
      <c r="B1792" s="644" t="s">
        <v>1654</v>
      </c>
      <c r="C1792" s="645" t="s">
        <v>206</v>
      </c>
      <c r="D1792" s="416" t="s">
        <v>624</v>
      </c>
      <c r="E1792" s="417"/>
      <c r="F1792" s="418"/>
      <c r="G1792" s="419"/>
      <c r="H1792" s="646">
        <f t="shared" si="433"/>
        <v>0</v>
      </c>
      <c r="I1792" s="420">
        <v>153.77000000000001</v>
      </c>
      <c r="J1792" s="420">
        <f>IF(ISBLANK(I1792),"",SUM(H1792:I1792))</f>
        <v>153.77000000000001</v>
      </c>
      <c r="K1792" s="421">
        <f t="shared" si="434"/>
        <v>182.69</v>
      </c>
      <c r="L1792" s="647" t="s">
        <v>19</v>
      </c>
      <c r="M1792" s="576"/>
      <c r="N1792" s="576">
        <f t="shared" si="429"/>
        <v>0</v>
      </c>
      <c r="O1792" s="577">
        <f t="shared" si="438"/>
        <v>0</v>
      </c>
      <c r="P1792" s="578">
        <f t="shared" si="439"/>
        <v>0</v>
      </c>
      <c r="Q1792" s="765"/>
      <c r="R1792" s="576">
        <f t="shared" si="432"/>
        <v>0</v>
      </c>
      <c r="S1792" s="576">
        <f t="shared" si="432"/>
        <v>0</v>
      </c>
      <c r="T1792" s="577">
        <f t="shared" si="435"/>
        <v>0</v>
      </c>
      <c r="U1792" s="578">
        <f t="shared" si="436"/>
        <v>0</v>
      </c>
      <c r="V1792" s="579"/>
      <c r="W1792" s="566"/>
      <c r="X1792" s="586" t="str">
        <f t="shared" si="422"/>
        <v/>
      </c>
      <c r="Y1792" s="586" t="str">
        <f t="shared" si="431"/>
        <v/>
      </c>
      <c r="Z1792" s="586" t="str">
        <f t="shared" si="427"/>
        <v/>
      </c>
    </row>
    <row r="1793" spans="1:26" ht="12" hidden="1" thickBot="1" x14ac:dyDescent="0.25">
      <c r="A1793" s="567">
        <v>633200</v>
      </c>
      <c r="B1793" s="644" t="s">
        <v>1655</v>
      </c>
      <c r="C1793" s="645" t="s">
        <v>206</v>
      </c>
      <c r="D1793" s="416" t="s">
        <v>625</v>
      </c>
      <c r="E1793" s="417"/>
      <c r="F1793" s="418"/>
      <c r="G1793" s="419"/>
      <c r="H1793" s="646">
        <f t="shared" si="433"/>
        <v>0</v>
      </c>
      <c r="I1793" s="420">
        <v>230.65</v>
      </c>
      <c r="J1793" s="420">
        <f>IF(ISBLANK(I1793),"",SUM(H1793:I1793))</f>
        <v>230.65</v>
      </c>
      <c r="K1793" s="421">
        <f t="shared" si="434"/>
        <v>274.04000000000002</v>
      </c>
      <c r="L1793" s="647" t="s">
        <v>19</v>
      </c>
      <c r="M1793" s="576"/>
      <c r="N1793" s="576">
        <f t="shared" si="429"/>
        <v>0</v>
      </c>
      <c r="O1793" s="577">
        <f t="shared" si="438"/>
        <v>0</v>
      </c>
      <c r="P1793" s="578">
        <f t="shared" si="439"/>
        <v>0</v>
      </c>
      <c r="Q1793" s="765"/>
      <c r="R1793" s="576">
        <f t="shared" si="432"/>
        <v>0</v>
      </c>
      <c r="S1793" s="576">
        <f t="shared" si="432"/>
        <v>0</v>
      </c>
      <c r="T1793" s="577">
        <f t="shared" si="435"/>
        <v>0</v>
      </c>
      <c r="U1793" s="578">
        <f t="shared" si="436"/>
        <v>0</v>
      </c>
      <c r="V1793" s="579"/>
      <c r="W1793" s="566"/>
      <c r="X1793" s="586" t="str">
        <f t="shared" ref="X1793:X1873" si="440">IF(W1793="X","x",IF(W1793="xx","x",IF(W1793="xy","x",IF(W1793="y","x",IF(OR(P1793&gt;0,U1793&gt;0),"x","")))))</f>
        <v/>
      </c>
      <c r="Y1793" s="586" t="str">
        <f t="shared" si="431"/>
        <v/>
      </c>
      <c r="Z1793" s="586" t="str">
        <f t="shared" si="427"/>
        <v/>
      </c>
    </row>
    <row r="1794" spans="1:26" ht="12" hidden="1" thickBot="1" x14ac:dyDescent="0.25">
      <c r="A1794" s="567">
        <v>630300</v>
      </c>
      <c r="B1794" s="644">
        <v>630300</v>
      </c>
      <c r="C1794" s="645" t="s">
        <v>206</v>
      </c>
      <c r="D1794" s="422" t="s">
        <v>326</v>
      </c>
      <c r="E1794" s="423"/>
      <c r="F1794" s="424"/>
      <c r="G1794" s="425"/>
      <c r="H1794" s="646">
        <f t="shared" si="433"/>
        <v>0</v>
      </c>
      <c r="I1794" s="420">
        <v>16.32</v>
      </c>
      <c r="J1794" s="420">
        <f t="shared" si="437"/>
        <v>16.32</v>
      </c>
      <c r="K1794" s="421">
        <f t="shared" si="434"/>
        <v>19.39</v>
      </c>
      <c r="L1794" s="647" t="s">
        <v>19</v>
      </c>
      <c r="M1794" s="576"/>
      <c r="N1794" s="576">
        <f t="shared" si="429"/>
        <v>0</v>
      </c>
      <c r="O1794" s="577">
        <f t="shared" si="438"/>
        <v>0</v>
      </c>
      <c r="P1794" s="578">
        <f t="shared" si="439"/>
        <v>0</v>
      </c>
      <c r="Q1794" s="765"/>
      <c r="R1794" s="576">
        <f t="shared" si="432"/>
        <v>0</v>
      </c>
      <c r="S1794" s="576">
        <f t="shared" si="432"/>
        <v>0</v>
      </c>
      <c r="T1794" s="577">
        <f t="shared" si="435"/>
        <v>0</v>
      </c>
      <c r="U1794" s="578">
        <f t="shared" si="436"/>
        <v>0</v>
      </c>
      <c r="V1794" s="579"/>
      <c r="W1794" s="566"/>
      <c r="X1794" s="586" t="str">
        <f t="shared" si="440"/>
        <v/>
      </c>
      <c r="Y1794" s="586" t="str">
        <f t="shared" si="431"/>
        <v/>
      </c>
      <c r="Z1794" s="586" t="str">
        <f t="shared" si="427"/>
        <v/>
      </c>
    </row>
    <row r="1795" spans="1:26" ht="12" hidden="1" thickBot="1" x14ac:dyDescent="0.25">
      <c r="A1795" s="567">
        <v>630400</v>
      </c>
      <c r="B1795" s="644">
        <v>630400</v>
      </c>
      <c r="C1795" s="645" t="s">
        <v>206</v>
      </c>
      <c r="D1795" s="451" t="s">
        <v>327</v>
      </c>
      <c r="E1795" s="423"/>
      <c r="F1795" s="424"/>
      <c r="G1795" s="425"/>
      <c r="H1795" s="646">
        <f t="shared" si="433"/>
        <v>0</v>
      </c>
      <c r="I1795" s="420">
        <v>20.399999999999999</v>
      </c>
      <c r="J1795" s="420">
        <f t="shared" si="437"/>
        <v>20.399999999999999</v>
      </c>
      <c r="K1795" s="421">
        <f t="shared" si="434"/>
        <v>24.24</v>
      </c>
      <c r="L1795" s="647" t="s">
        <v>19</v>
      </c>
      <c r="M1795" s="576"/>
      <c r="N1795" s="576">
        <f t="shared" si="429"/>
        <v>0</v>
      </c>
      <c r="O1795" s="577">
        <f t="shared" si="438"/>
        <v>0</v>
      </c>
      <c r="P1795" s="578">
        <f t="shared" si="439"/>
        <v>0</v>
      </c>
      <c r="Q1795" s="765"/>
      <c r="R1795" s="576">
        <f t="shared" si="432"/>
        <v>0</v>
      </c>
      <c r="S1795" s="576">
        <f t="shared" si="432"/>
        <v>0</v>
      </c>
      <c r="T1795" s="577">
        <f t="shared" si="435"/>
        <v>0</v>
      </c>
      <c r="U1795" s="578">
        <f t="shared" si="436"/>
        <v>0</v>
      </c>
      <c r="V1795" s="579"/>
      <c r="W1795" s="566"/>
      <c r="X1795" s="586" t="str">
        <f t="shared" si="440"/>
        <v/>
      </c>
      <c r="Y1795" s="586" t="str">
        <f t="shared" si="431"/>
        <v/>
      </c>
      <c r="Z1795" s="586" t="str">
        <f t="shared" si="427"/>
        <v/>
      </c>
    </row>
    <row r="1796" spans="1:26" ht="12" hidden="1" thickBot="1" x14ac:dyDescent="0.25">
      <c r="A1796" s="567">
        <v>630500</v>
      </c>
      <c r="B1796" s="644">
        <v>630500</v>
      </c>
      <c r="C1796" s="645" t="s">
        <v>206</v>
      </c>
      <c r="D1796" s="451" t="s">
        <v>328</v>
      </c>
      <c r="E1796" s="423"/>
      <c r="F1796" s="424"/>
      <c r="G1796" s="425"/>
      <c r="H1796" s="651">
        <f t="shared" si="433"/>
        <v>0</v>
      </c>
      <c r="I1796" s="420">
        <v>22.26</v>
      </c>
      <c r="J1796" s="420">
        <f t="shared" si="437"/>
        <v>22.26</v>
      </c>
      <c r="K1796" s="421">
        <f t="shared" si="434"/>
        <v>26.45</v>
      </c>
      <c r="L1796" s="647" t="s">
        <v>19</v>
      </c>
      <c r="M1796" s="576"/>
      <c r="N1796" s="576">
        <f t="shared" si="429"/>
        <v>0</v>
      </c>
      <c r="O1796" s="577">
        <f t="shared" si="438"/>
        <v>0</v>
      </c>
      <c r="P1796" s="578">
        <f t="shared" si="439"/>
        <v>0</v>
      </c>
      <c r="Q1796" s="765"/>
      <c r="R1796" s="576">
        <f t="shared" si="432"/>
        <v>0</v>
      </c>
      <c r="S1796" s="576">
        <f t="shared" si="432"/>
        <v>0</v>
      </c>
      <c r="T1796" s="577">
        <f t="shared" si="435"/>
        <v>0</v>
      </c>
      <c r="U1796" s="578">
        <f t="shared" si="436"/>
        <v>0</v>
      </c>
      <c r="V1796" s="579"/>
      <c r="W1796" s="566"/>
      <c r="X1796" s="586" t="str">
        <f t="shared" si="440"/>
        <v/>
      </c>
      <c r="Y1796" s="586" t="str">
        <f t="shared" si="431"/>
        <v/>
      </c>
      <c r="Z1796" s="586" t="str">
        <f t="shared" si="427"/>
        <v/>
      </c>
    </row>
    <row r="1797" spans="1:26" ht="12" hidden="1" thickBot="1" x14ac:dyDescent="0.25">
      <c r="A1797" s="567">
        <v>630600</v>
      </c>
      <c r="B1797" s="644">
        <v>630600</v>
      </c>
      <c r="C1797" s="645" t="s">
        <v>206</v>
      </c>
      <c r="D1797" s="451" t="s">
        <v>329</v>
      </c>
      <c r="E1797" s="423"/>
      <c r="F1797" s="424"/>
      <c r="G1797" s="425"/>
      <c r="H1797" s="651">
        <f t="shared" si="433"/>
        <v>0</v>
      </c>
      <c r="I1797" s="420">
        <v>24.48</v>
      </c>
      <c r="J1797" s="420">
        <f t="shared" si="437"/>
        <v>24.48</v>
      </c>
      <c r="K1797" s="421">
        <f t="shared" si="434"/>
        <v>29.08</v>
      </c>
      <c r="L1797" s="647" t="s">
        <v>19</v>
      </c>
      <c r="M1797" s="576"/>
      <c r="N1797" s="576">
        <f t="shared" si="429"/>
        <v>0</v>
      </c>
      <c r="O1797" s="577">
        <f t="shared" si="438"/>
        <v>0</v>
      </c>
      <c r="P1797" s="578">
        <f t="shared" si="439"/>
        <v>0</v>
      </c>
      <c r="Q1797" s="765"/>
      <c r="R1797" s="576">
        <f t="shared" si="432"/>
        <v>0</v>
      </c>
      <c r="S1797" s="576">
        <f t="shared" si="432"/>
        <v>0</v>
      </c>
      <c r="T1797" s="577">
        <f t="shared" si="435"/>
        <v>0</v>
      </c>
      <c r="U1797" s="578">
        <f t="shared" si="436"/>
        <v>0</v>
      </c>
      <c r="V1797" s="579"/>
      <c r="W1797" s="566"/>
      <c r="X1797" s="586" t="str">
        <f t="shared" si="440"/>
        <v/>
      </c>
      <c r="Y1797" s="586" t="str">
        <f t="shared" si="431"/>
        <v/>
      </c>
      <c r="Z1797" s="586" t="str">
        <f t="shared" si="427"/>
        <v/>
      </c>
    </row>
    <row r="1798" spans="1:26" ht="12" hidden="1" thickBot="1" x14ac:dyDescent="0.25">
      <c r="A1798" s="567">
        <v>630800</v>
      </c>
      <c r="B1798" s="644">
        <v>630800</v>
      </c>
      <c r="C1798" s="645" t="s">
        <v>206</v>
      </c>
      <c r="D1798" s="422" t="s">
        <v>330</v>
      </c>
      <c r="E1798" s="423"/>
      <c r="F1798" s="424"/>
      <c r="G1798" s="425"/>
      <c r="H1798" s="651">
        <f t="shared" si="433"/>
        <v>0</v>
      </c>
      <c r="I1798" s="420">
        <v>48.97</v>
      </c>
      <c r="J1798" s="420">
        <f t="shared" si="437"/>
        <v>48.97</v>
      </c>
      <c r="K1798" s="421">
        <f t="shared" si="434"/>
        <v>58.18</v>
      </c>
      <c r="L1798" s="647" t="s">
        <v>19</v>
      </c>
      <c r="M1798" s="576"/>
      <c r="N1798" s="576">
        <f t="shared" si="429"/>
        <v>0</v>
      </c>
      <c r="O1798" s="577">
        <f t="shared" si="438"/>
        <v>0</v>
      </c>
      <c r="P1798" s="578">
        <f t="shared" si="439"/>
        <v>0</v>
      </c>
      <c r="Q1798" s="765"/>
      <c r="R1798" s="576">
        <f t="shared" si="432"/>
        <v>0</v>
      </c>
      <c r="S1798" s="576">
        <f t="shared" si="432"/>
        <v>0</v>
      </c>
      <c r="T1798" s="577">
        <f t="shared" si="435"/>
        <v>0</v>
      </c>
      <c r="U1798" s="578">
        <f t="shared" si="436"/>
        <v>0</v>
      </c>
      <c r="V1798" s="579"/>
      <c r="W1798" s="566"/>
      <c r="X1798" s="586" t="str">
        <f t="shared" si="440"/>
        <v/>
      </c>
      <c r="Y1798" s="586" t="str">
        <f t="shared" si="431"/>
        <v/>
      </c>
      <c r="Z1798" s="586" t="str">
        <f t="shared" si="427"/>
        <v/>
      </c>
    </row>
    <row r="1799" spans="1:26" ht="12" hidden="1" thickBot="1" x14ac:dyDescent="0.25">
      <c r="A1799" s="567">
        <v>631000</v>
      </c>
      <c r="B1799" s="644">
        <v>631000</v>
      </c>
      <c r="C1799" s="645" t="s">
        <v>206</v>
      </c>
      <c r="D1799" s="422" t="s">
        <v>331</v>
      </c>
      <c r="E1799" s="423"/>
      <c r="F1799" s="424"/>
      <c r="G1799" s="425"/>
      <c r="H1799" s="651">
        <f t="shared" si="433"/>
        <v>0</v>
      </c>
      <c r="I1799" s="420">
        <v>47.43</v>
      </c>
      <c r="J1799" s="420">
        <f t="shared" si="437"/>
        <v>47.43</v>
      </c>
      <c r="K1799" s="421">
        <f t="shared" si="434"/>
        <v>56.35</v>
      </c>
      <c r="L1799" s="647" t="s">
        <v>19</v>
      </c>
      <c r="M1799" s="576"/>
      <c r="N1799" s="576">
        <f t="shared" si="429"/>
        <v>0</v>
      </c>
      <c r="O1799" s="577">
        <f t="shared" si="438"/>
        <v>0</v>
      </c>
      <c r="P1799" s="578">
        <f t="shared" si="439"/>
        <v>0</v>
      </c>
      <c r="Q1799" s="765"/>
      <c r="R1799" s="576">
        <f t="shared" si="432"/>
        <v>0</v>
      </c>
      <c r="S1799" s="576">
        <f t="shared" si="432"/>
        <v>0</v>
      </c>
      <c r="T1799" s="577">
        <f t="shared" si="435"/>
        <v>0</v>
      </c>
      <c r="U1799" s="578">
        <f t="shared" si="436"/>
        <v>0</v>
      </c>
      <c r="V1799" s="579"/>
      <c r="W1799" s="566"/>
      <c r="X1799" s="586" t="str">
        <f t="shared" si="440"/>
        <v/>
      </c>
      <c r="Y1799" s="586" t="str">
        <f t="shared" si="431"/>
        <v/>
      </c>
      <c r="Z1799" s="586" t="str">
        <f t="shared" si="427"/>
        <v/>
      </c>
    </row>
    <row r="1800" spans="1:26" ht="12" hidden="1" thickBot="1" x14ac:dyDescent="0.25">
      <c r="A1800" s="567">
        <v>631200</v>
      </c>
      <c r="B1800" s="644">
        <v>631200</v>
      </c>
      <c r="C1800" s="645" t="s">
        <v>206</v>
      </c>
      <c r="D1800" s="422" t="s">
        <v>332</v>
      </c>
      <c r="E1800" s="423"/>
      <c r="F1800" s="424"/>
      <c r="G1800" s="425"/>
      <c r="H1800" s="651">
        <f t="shared" si="433"/>
        <v>0</v>
      </c>
      <c r="I1800" s="420">
        <v>56.92</v>
      </c>
      <c r="J1800" s="420">
        <f t="shared" si="437"/>
        <v>56.92</v>
      </c>
      <c r="K1800" s="421">
        <f t="shared" si="434"/>
        <v>67.63</v>
      </c>
      <c r="L1800" s="647" t="s">
        <v>19</v>
      </c>
      <c r="M1800" s="576"/>
      <c r="N1800" s="576">
        <f t="shared" si="429"/>
        <v>0</v>
      </c>
      <c r="O1800" s="577">
        <f t="shared" si="438"/>
        <v>0</v>
      </c>
      <c r="P1800" s="578">
        <f t="shared" si="439"/>
        <v>0</v>
      </c>
      <c r="Q1800" s="765"/>
      <c r="R1800" s="576">
        <f t="shared" si="432"/>
        <v>0</v>
      </c>
      <c r="S1800" s="576">
        <f t="shared" si="432"/>
        <v>0</v>
      </c>
      <c r="T1800" s="577">
        <f t="shared" si="435"/>
        <v>0</v>
      </c>
      <c r="U1800" s="578">
        <f t="shared" si="436"/>
        <v>0</v>
      </c>
      <c r="V1800" s="579"/>
      <c r="W1800" s="566"/>
      <c r="X1800" s="586" t="str">
        <f t="shared" si="440"/>
        <v/>
      </c>
      <c r="Y1800" s="586" t="str">
        <f t="shared" si="431"/>
        <v/>
      </c>
      <c r="Z1800" s="586" t="str">
        <f t="shared" si="427"/>
        <v/>
      </c>
    </row>
    <row r="1801" spans="1:26" ht="12" hidden="1" thickBot="1" x14ac:dyDescent="0.25">
      <c r="A1801" s="567">
        <v>631500</v>
      </c>
      <c r="B1801" s="644">
        <v>631500</v>
      </c>
      <c r="C1801" s="645" t="s">
        <v>206</v>
      </c>
      <c r="D1801" s="422" t="s">
        <v>333</v>
      </c>
      <c r="E1801" s="423"/>
      <c r="F1801" s="424"/>
      <c r="G1801" s="425"/>
      <c r="H1801" s="651">
        <f t="shared" si="433"/>
        <v>0</v>
      </c>
      <c r="I1801" s="420">
        <v>71.150000000000006</v>
      </c>
      <c r="J1801" s="420">
        <f t="shared" si="437"/>
        <v>71.150000000000006</v>
      </c>
      <c r="K1801" s="421">
        <f t="shared" si="434"/>
        <v>84.53</v>
      </c>
      <c r="L1801" s="647" t="s">
        <v>19</v>
      </c>
      <c r="M1801" s="576"/>
      <c r="N1801" s="576">
        <f t="shared" si="429"/>
        <v>0</v>
      </c>
      <c r="O1801" s="577">
        <f t="shared" si="438"/>
        <v>0</v>
      </c>
      <c r="P1801" s="578">
        <f t="shared" si="439"/>
        <v>0</v>
      </c>
      <c r="Q1801" s="765"/>
      <c r="R1801" s="576">
        <f t="shared" si="432"/>
        <v>0</v>
      </c>
      <c r="S1801" s="576">
        <f t="shared" si="432"/>
        <v>0</v>
      </c>
      <c r="T1801" s="577">
        <f t="shared" si="435"/>
        <v>0</v>
      </c>
      <c r="U1801" s="578">
        <f t="shared" si="436"/>
        <v>0</v>
      </c>
      <c r="V1801" s="579"/>
      <c r="W1801" s="566"/>
      <c r="X1801" s="586" t="str">
        <f t="shared" si="440"/>
        <v/>
      </c>
      <c r="Y1801" s="586" t="str">
        <f t="shared" si="431"/>
        <v/>
      </c>
      <c r="Z1801" s="586" t="str">
        <f t="shared" si="427"/>
        <v/>
      </c>
    </row>
    <row r="1802" spans="1:26" ht="12" hidden="1" thickBot="1" x14ac:dyDescent="0.25">
      <c r="A1802" s="567">
        <v>860200</v>
      </c>
      <c r="B1802" s="644">
        <v>860200</v>
      </c>
      <c r="C1802" s="645" t="s">
        <v>206</v>
      </c>
      <c r="D1802" s="422" t="s">
        <v>1502</v>
      </c>
      <c r="E1802" s="423"/>
      <c r="F1802" s="424"/>
      <c r="G1802" s="425"/>
      <c r="H1802" s="651">
        <f>SUM(H1803:H1804)</f>
        <v>23.508294000000003</v>
      </c>
      <c r="I1802" s="420">
        <v>744.48</v>
      </c>
      <c r="J1802" s="420">
        <f>IF(ISBLANK(I1802),"",SUM(H1802:I1802))</f>
        <v>767.988294</v>
      </c>
      <c r="K1802" s="421">
        <f t="shared" si="434"/>
        <v>912.45</v>
      </c>
      <c r="L1802" s="647" t="s">
        <v>16</v>
      </c>
      <c r="M1802" s="576"/>
      <c r="N1802" s="576">
        <f t="shared" si="429"/>
        <v>0</v>
      </c>
      <c r="O1802" s="577">
        <f t="shared" si="438"/>
        <v>0</v>
      </c>
      <c r="P1802" s="578">
        <f t="shared" si="439"/>
        <v>0</v>
      </c>
      <c r="Q1802" s="765"/>
      <c r="R1802" s="576">
        <f t="shared" si="432"/>
        <v>0</v>
      </c>
      <c r="S1802" s="576">
        <f t="shared" si="432"/>
        <v>0</v>
      </c>
      <c r="T1802" s="577">
        <f t="shared" si="435"/>
        <v>0</v>
      </c>
      <c r="U1802" s="578">
        <f t="shared" si="436"/>
        <v>0</v>
      </c>
      <c r="V1802" s="579"/>
      <c r="W1802" s="566"/>
      <c r="X1802" s="586" t="str">
        <f t="shared" si="440"/>
        <v/>
      </c>
      <c r="Y1802" s="586" t="str">
        <f t="shared" si="431"/>
        <v/>
      </c>
      <c r="Z1802" s="586" t="str">
        <f t="shared" si="427"/>
        <v/>
      </c>
    </row>
    <row r="1803" spans="1:26" ht="12" hidden="1" thickBot="1" x14ac:dyDescent="0.25">
      <c r="A1803" s="567" t="s">
        <v>168</v>
      </c>
      <c r="B1803" s="644" t="s">
        <v>168</v>
      </c>
      <c r="C1803" s="645"/>
      <c r="D1803" s="451" t="s">
        <v>1503</v>
      </c>
      <c r="E1803" s="423"/>
      <c r="F1803" s="424">
        <v>10</v>
      </c>
      <c r="G1803" s="425">
        <v>1.7250000000000001</v>
      </c>
      <c r="H1803" s="663">
        <f t="shared" ref="H1803:H1822" si="441">IF(F1803&lt;=30,(1.07*F1803+2.68)*G1803,((1.07*30+2.68)+1.07*(F1803-30))*G1803)</f>
        <v>23.080500000000004</v>
      </c>
      <c r="I1803" s="420"/>
      <c r="J1803" s="420"/>
      <c r="K1803" s="421">
        <f t="shared" si="434"/>
        <v>0</v>
      </c>
      <c r="L1803" s="668" t="s">
        <v>614</v>
      </c>
      <c r="M1803" s="669"/>
      <c r="N1803" s="576">
        <f t="shared" si="429"/>
        <v>0</v>
      </c>
      <c r="O1803" s="577">
        <f t="shared" si="438"/>
        <v>0</v>
      </c>
      <c r="P1803" s="578">
        <f t="shared" si="439"/>
        <v>0</v>
      </c>
      <c r="Q1803" s="765"/>
      <c r="R1803" s="669"/>
      <c r="S1803" s="670"/>
      <c r="T1803" s="577">
        <f t="shared" si="435"/>
        <v>0</v>
      </c>
      <c r="U1803" s="578">
        <f t="shared" si="436"/>
        <v>0</v>
      </c>
      <c r="V1803" s="579"/>
      <c r="W1803" s="637" t="str">
        <f>IF(U1802&gt;0,"xx",IF(P1802&gt;0,"xy",""))</f>
        <v/>
      </c>
      <c r="X1803" s="586" t="str">
        <f t="shared" si="440"/>
        <v/>
      </c>
      <c r="Y1803" s="586" t="str">
        <f t="shared" si="431"/>
        <v/>
      </c>
      <c r="Z1803" s="586" t="str">
        <f t="shared" si="427"/>
        <v/>
      </c>
    </row>
    <row r="1804" spans="1:26" ht="12" hidden="1" thickBot="1" x14ac:dyDescent="0.25">
      <c r="A1804" s="567" t="s">
        <v>168</v>
      </c>
      <c r="B1804" s="644" t="s">
        <v>168</v>
      </c>
      <c r="C1804" s="645"/>
      <c r="D1804" s="451" t="s">
        <v>334</v>
      </c>
      <c r="E1804" s="423"/>
      <c r="F1804" s="424">
        <v>30</v>
      </c>
      <c r="G1804" s="425">
        <v>1.23E-2</v>
      </c>
      <c r="H1804" s="663">
        <f t="shared" si="441"/>
        <v>0.42779400000000001</v>
      </c>
      <c r="I1804" s="420"/>
      <c r="J1804" s="420"/>
      <c r="K1804" s="421">
        <f t="shared" si="434"/>
        <v>0</v>
      </c>
      <c r="L1804" s="668" t="s">
        <v>614</v>
      </c>
      <c r="M1804" s="669"/>
      <c r="N1804" s="576">
        <f t="shared" si="429"/>
        <v>0</v>
      </c>
      <c r="O1804" s="577">
        <f t="shared" si="438"/>
        <v>0</v>
      </c>
      <c r="P1804" s="578">
        <f t="shared" si="439"/>
        <v>0</v>
      </c>
      <c r="Q1804" s="765"/>
      <c r="R1804" s="669"/>
      <c r="S1804" s="670"/>
      <c r="T1804" s="577">
        <f t="shared" si="435"/>
        <v>0</v>
      </c>
      <c r="U1804" s="578">
        <f t="shared" si="436"/>
        <v>0</v>
      </c>
      <c r="V1804" s="579"/>
      <c r="W1804" s="637" t="str">
        <f>IF(U1802&gt;0,"xx",IF(P1802&gt;0,"xy",""))</f>
        <v/>
      </c>
      <c r="X1804" s="586" t="str">
        <f t="shared" si="440"/>
        <v/>
      </c>
      <c r="Y1804" s="586" t="str">
        <f t="shared" si="431"/>
        <v/>
      </c>
      <c r="Z1804" s="586" t="str">
        <f t="shared" si="427"/>
        <v/>
      </c>
    </row>
    <row r="1805" spans="1:26" ht="12" hidden="1" thickBot="1" x14ac:dyDescent="0.25">
      <c r="A1805" s="567">
        <v>860100</v>
      </c>
      <c r="B1805" s="644">
        <v>860100</v>
      </c>
      <c r="C1805" s="645" t="s">
        <v>206</v>
      </c>
      <c r="D1805" s="422" t="s">
        <v>1504</v>
      </c>
      <c r="E1805" s="423"/>
      <c r="F1805" s="424"/>
      <c r="G1805" s="425"/>
      <c r="H1805" s="651">
        <f>SUM(H1806:H1807)</f>
        <v>23.529162000000003</v>
      </c>
      <c r="I1805" s="420">
        <v>700.8900000000001</v>
      </c>
      <c r="J1805" s="420">
        <f>IF(ISBLANK(I1805),"",SUM(H1805:I1805))</f>
        <v>724.41916200000014</v>
      </c>
      <c r="K1805" s="421">
        <f t="shared" si="434"/>
        <v>860.68</v>
      </c>
      <c r="L1805" s="647" t="s">
        <v>16</v>
      </c>
      <c r="M1805" s="576"/>
      <c r="N1805" s="576">
        <f t="shared" si="429"/>
        <v>0</v>
      </c>
      <c r="O1805" s="577">
        <f t="shared" si="438"/>
        <v>0</v>
      </c>
      <c r="P1805" s="578">
        <f t="shared" si="439"/>
        <v>0</v>
      </c>
      <c r="Q1805" s="765"/>
      <c r="R1805" s="576">
        <f t="shared" si="432"/>
        <v>0</v>
      </c>
      <c r="S1805" s="576">
        <f>N1805</f>
        <v>0</v>
      </c>
      <c r="T1805" s="577">
        <f t="shared" si="435"/>
        <v>0</v>
      </c>
      <c r="U1805" s="578">
        <f t="shared" si="436"/>
        <v>0</v>
      </c>
      <c r="V1805" s="579"/>
      <c r="W1805" s="566"/>
      <c r="X1805" s="586" t="str">
        <f t="shared" si="440"/>
        <v/>
      </c>
      <c r="Y1805" s="586" t="str">
        <f t="shared" si="431"/>
        <v/>
      </c>
      <c r="Z1805" s="586" t="str">
        <f t="shared" si="427"/>
        <v/>
      </c>
    </row>
    <row r="1806" spans="1:26" ht="12" hidden="1" thickBot="1" x14ac:dyDescent="0.25">
      <c r="A1806" s="567" t="s">
        <v>168</v>
      </c>
      <c r="B1806" s="644" t="s">
        <v>168</v>
      </c>
      <c r="C1806" s="645"/>
      <c r="D1806" s="451" t="s">
        <v>1503</v>
      </c>
      <c r="E1806" s="423"/>
      <c r="F1806" s="424">
        <v>10</v>
      </c>
      <c r="G1806" s="425">
        <v>1.7250000000000001</v>
      </c>
      <c r="H1806" s="663">
        <f t="shared" si="441"/>
        <v>23.080500000000004</v>
      </c>
      <c r="I1806" s="420"/>
      <c r="J1806" s="420"/>
      <c r="K1806" s="421">
        <f t="shared" si="434"/>
        <v>0</v>
      </c>
      <c r="L1806" s="668" t="s">
        <v>614</v>
      </c>
      <c r="M1806" s="669"/>
      <c r="N1806" s="576">
        <f t="shared" si="429"/>
        <v>0</v>
      </c>
      <c r="O1806" s="577">
        <f t="shared" si="438"/>
        <v>0</v>
      </c>
      <c r="P1806" s="578">
        <f t="shared" si="439"/>
        <v>0</v>
      </c>
      <c r="Q1806" s="765"/>
      <c r="R1806" s="669"/>
      <c r="S1806" s="670"/>
      <c r="T1806" s="577">
        <f t="shared" si="435"/>
        <v>0</v>
      </c>
      <c r="U1806" s="578">
        <f t="shared" si="436"/>
        <v>0</v>
      </c>
      <c r="V1806" s="579"/>
      <c r="W1806" s="637" t="str">
        <f>IF(U1805&gt;0,"xx",IF(P1805&gt;0,"xy",""))</f>
        <v/>
      </c>
      <c r="X1806" s="586" t="str">
        <f t="shared" si="440"/>
        <v/>
      </c>
      <c r="Y1806" s="586" t="str">
        <f t="shared" si="431"/>
        <v/>
      </c>
      <c r="Z1806" s="586" t="str">
        <f t="shared" si="427"/>
        <v/>
      </c>
    </row>
    <row r="1807" spans="1:26" ht="12" hidden="1" thickBot="1" x14ac:dyDescent="0.25">
      <c r="A1807" s="567" t="s">
        <v>168</v>
      </c>
      <c r="B1807" s="644" t="s">
        <v>168</v>
      </c>
      <c r="C1807" s="645"/>
      <c r="D1807" s="451" t="s">
        <v>334</v>
      </c>
      <c r="E1807" s="423"/>
      <c r="F1807" s="424">
        <v>30</v>
      </c>
      <c r="G1807" s="425">
        <v>1.29E-2</v>
      </c>
      <c r="H1807" s="663">
        <f t="shared" si="441"/>
        <v>0.44866200000000001</v>
      </c>
      <c r="I1807" s="420"/>
      <c r="J1807" s="420"/>
      <c r="K1807" s="421">
        <f t="shared" si="434"/>
        <v>0</v>
      </c>
      <c r="L1807" s="668" t="s">
        <v>614</v>
      </c>
      <c r="M1807" s="669"/>
      <c r="N1807" s="576">
        <f t="shared" si="429"/>
        <v>0</v>
      </c>
      <c r="O1807" s="577">
        <f t="shared" si="438"/>
        <v>0</v>
      </c>
      <c r="P1807" s="578">
        <f t="shared" si="439"/>
        <v>0</v>
      </c>
      <c r="Q1807" s="765"/>
      <c r="R1807" s="669"/>
      <c r="S1807" s="670"/>
      <c r="T1807" s="577">
        <f t="shared" si="435"/>
        <v>0</v>
      </c>
      <c r="U1807" s="578">
        <f t="shared" si="436"/>
        <v>0</v>
      </c>
      <c r="V1807" s="579"/>
      <c r="W1807" s="637" t="str">
        <f>IF(U1805&gt;0,"xx",IF(P1805&gt;0,"xy",""))</f>
        <v/>
      </c>
      <c r="X1807" s="586" t="str">
        <f t="shared" si="440"/>
        <v/>
      </c>
      <c r="Y1807" s="586" t="str">
        <f t="shared" si="431"/>
        <v/>
      </c>
      <c r="Z1807" s="586" t="str">
        <f t="shared" si="427"/>
        <v/>
      </c>
    </row>
    <row r="1808" spans="1:26" ht="12" hidden="1" thickBot="1" x14ac:dyDescent="0.25">
      <c r="A1808" s="567">
        <v>860150</v>
      </c>
      <c r="B1808" s="644">
        <v>860150</v>
      </c>
      <c r="C1808" s="645" t="s">
        <v>206</v>
      </c>
      <c r="D1808" s="422" t="s">
        <v>1505</v>
      </c>
      <c r="E1808" s="423"/>
      <c r="F1808" s="424"/>
      <c r="G1808" s="425"/>
      <c r="H1808" s="651">
        <f>SUM(H1809:H1810)</f>
        <v>23.376130000000003</v>
      </c>
      <c r="I1808" s="420">
        <v>669.31</v>
      </c>
      <c r="J1808" s="420">
        <f>IF(ISBLANK(I1808),"",SUM(H1808:I1808))</f>
        <v>692.68612999999993</v>
      </c>
      <c r="K1808" s="421">
        <f t="shared" si="434"/>
        <v>822.98</v>
      </c>
      <c r="L1808" s="647" t="s">
        <v>16</v>
      </c>
      <c r="M1808" s="576"/>
      <c r="N1808" s="576">
        <f t="shared" si="429"/>
        <v>0</v>
      </c>
      <c r="O1808" s="577">
        <f t="shared" si="438"/>
        <v>0</v>
      </c>
      <c r="P1808" s="578">
        <f t="shared" si="439"/>
        <v>0</v>
      </c>
      <c r="Q1808" s="765"/>
      <c r="R1808" s="576">
        <f t="shared" si="432"/>
        <v>0</v>
      </c>
      <c r="S1808" s="576">
        <f>N1808</f>
        <v>0</v>
      </c>
      <c r="T1808" s="577">
        <f t="shared" si="435"/>
        <v>0</v>
      </c>
      <c r="U1808" s="578">
        <f t="shared" si="436"/>
        <v>0</v>
      </c>
      <c r="V1808" s="579"/>
      <c r="W1808" s="566"/>
      <c r="X1808" s="586" t="str">
        <f t="shared" si="440"/>
        <v/>
      </c>
      <c r="Y1808" s="586" t="str">
        <f t="shared" si="431"/>
        <v/>
      </c>
      <c r="Z1808" s="586" t="str">
        <f t="shared" si="427"/>
        <v/>
      </c>
    </row>
    <row r="1809" spans="1:26" ht="12" hidden="1" thickBot="1" x14ac:dyDescent="0.25">
      <c r="A1809" s="567" t="s">
        <v>168</v>
      </c>
      <c r="B1809" s="644" t="s">
        <v>168</v>
      </c>
      <c r="C1809" s="645"/>
      <c r="D1809" s="451" t="s">
        <v>1503</v>
      </c>
      <c r="E1809" s="423"/>
      <c r="F1809" s="424">
        <v>10</v>
      </c>
      <c r="G1809" s="425">
        <v>1.7250000000000001</v>
      </c>
      <c r="H1809" s="663">
        <f t="shared" si="441"/>
        <v>23.080500000000004</v>
      </c>
      <c r="I1809" s="420"/>
      <c r="J1809" s="420"/>
      <c r="K1809" s="421">
        <f t="shared" si="434"/>
        <v>0</v>
      </c>
      <c r="L1809" s="668" t="s">
        <v>614</v>
      </c>
      <c r="M1809" s="669"/>
      <c r="N1809" s="576">
        <f t="shared" si="429"/>
        <v>0</v>
      </c>
      <c r="O1809" s="577">
        <f t="shared" si="438"/>
        <v>0</v>
      </c>
      <c r="P1809" s="578">
        <f t="shared" si="439"/>
        <v>0</v>
      </c>
      <c r="Q1809" s="765"/>
      <c r="R1809" s="669"/>
      <c r="S1809" s="670"/>
      <c r="T1809" s="577">
        <f t="shared" si="435"/>
        <v>0</v>
      </c>
      <c r="U1809" s="578">
        <f t="shared" si="436"/>
        <v>0</v>
      </c>
      <c r="V1809" s="579"/>
      <c r="W1809" s="637" t="str">
        <f>IF(U1808&gt;0,"xx",IF(P1808&gt;0,"xy",""))</f>
        <v/>
      </c>
      <c r="X1809" s="586" t="str">
        <f t="shared" si="440"/>
        <v/>
      </c>
      <c r="Y1809" s="586" t="str">
        <f t="shared" si="431"/>
        <v/>
      </c>
      <c r="Z1809" s="586" t="str">
        <f t="shared" si="427"/>
        <v/>
      </c>
    </row>
    <row r="1810" spans="1:26" ht="12" hidden="1" thickBot="1" x14ac:dyDescent="0.25">
      <c r="A1810" s="567" t="s">
        <v>168</v>
      </c>
      <c r="B1810" s="644" t="s">
        <v>168</v>
      </c>
      <c r="C1810" s="645"/>
      <c r="D1810" s="451" t="s">
        <v>334</v>
      </c>
      <c r="E1810" s="423"/>
      <c r="F1810" s="424">
        <v>30</v>
      </c>
      <c r="G1810" s="425">
        <v>8.5000000000000006E-3</v>
      </c>
      <c r="H1810" s="663">
        <f t="shared" si="441"/>
        <v>0.29563</v>
      </c>
      <c r="I1810" s="420"/>
      <c r="J1810" s="420"/>
      <c r="K1810" s="421">
        <f t="shared" si="434"/>
        <v>0</v>
      </c>
      <c r="L1810" s="668" t="s">
        <v>614</v>
      </c>
      <c r="M1810" s="669"/>
      <c r="N1810" s="576">
        <f t="shared" si="429"/>
        <v>0</v>
      </c>
      <c r="O1810" s="577">
        <f t="shared" si="438"/>
        <v>0</v>
      </c>
      <c r="P1810" s="578">
        <f t="shared" si="439"/>
        <v>0</v>
      </c>
      <c r="Q1810" s="765"/>
      <c r="R1810" s="669"/>
      <c r="S1810" s="670"/>
      <c r="T1810" s="577">
        <f t="shared" si="435"/>
        <v>0</v>
      </c>
      <c r="U1810" s="578">
        <f t="shared" si="436"/>
        <v>0</v>
      </c>
      <c r="V1810" s="579"/>
      <c r="W1810" s="637" t="str">
        <f>IF(U1808&gt;0,"xx",IF(P1808&gt;0,"xy",""))</f>
        <v/>
      </c>
      <c r="X1810" s="586" t="str">
        <f t="shared" si="440"/>
        <v/>
      </c>
      <c r="Y1810" s="586" t="str">
        <f t="shared" si="431"/>
        <v/>
      </c>
      <c r="Z1810" s="586" t="str">
        <f t="shared" si="427"/>
        <v/>
      </c>
    </row>
    <row r="1811" spans="1:26" ht="12" hidden="1" thickBot="1" x14ac:dyDescent="0.25">
      <c r="A1811" s="567">
        <v>860000</v>
      </c>
      <c r="B1811" s="644">
        <v>860000</v>
      </c>
      <c r="C1811" s="645" t="s">
        <v>206</v>
      </c>
      <c r="D1811" s="422" t="s">
        <v>1506</v>
      </c>
      <c r="E1811" s="423"/>
      <c r="F1811" s="424"/>
      <c r="G1811" s="425"/>
      <c r="H1811" s="651">
        <f>SUM(H1812:H1813)</f>
        <v>23.396998000000004</v>
      </c>
      <c r="I1811" s="420">
        <v>666.58999999999992</v>
      </c>
      <c r="J1811" s="420">
        <f>IF(ISBLANK(I1811),"",SUM(H1811:I1811))</f>
        <v>689.98699799999997</v>
      </c>
      <c r="K1811" s="421">
        <f t="shared" si="434"/>
        <v>819.77</v>
      </c>
      <c r="L1811" s="647" t="s">
        <v>16</v>
      </c>
      <c r="M1811" s="576"/>
      <c r="N1811" s="576">
        <f t="shared" si="429"/>
        <v>0</v>
      </c>
      <c r="O1811" s="577">
        <f t="shared" si="438"/>
        <v>0</v>
      </c>
      <c r="P1811" s="578">
        <f t="shared" si="439"/>
        <v>0</v>
      </c>
      <c r="Q1811" s="765"/>
      <c r="R1811" s="576">
        <f t="shared" si="432"/>
        <v>0</v>
      </c>
      <c r="S1811" s="576">
        <f>N1811</f>
        <v>0</v>
      </c>
      <c r="T1811" s="577">
        <f t="shared" si="435"/>
        <v>0</v>
      </c>
      <c r="U1811" s="578">
        <f t="shared" si="436"/>
        <v>0</v>
      </c>
      <c r="V1811" s="579"/>
      <c r="W1811" s="566"/>
      <c r="X1811" s="586" t="str">
        <f t="shared" si="440"/>
        <v/>
      </c>
      <c r="Y1811" s="586" t="str">
        <f t="shared" si="431"/>
        <v/>
      </c>
      <c r="Z1811" s="586" t="str">
        <f t="shared" ref="Z1811:Z1823" si="442">IF(W1811="X","x",IF(U1811&gt;0,"x",""))</f>
        <v/>
      </c>
    </row>
    <row r="1812" spans="1:26" ht="12" hidden="1" thickBot="1" x14ac:dyDescent="0.25">
      <c r="A1812" s="567" t="s">
        <v>168</v>
      </c>
      <c r="B1812" s="644" t="s">
        <v>168</v>
      </c>
      <c r="C1812" s="645"/>
      <c r="D1812" s="451" t="s">
        <v>1503</v>
      </c>
      <c r="E1812" s="423"/>
      <c r="F1812" s="424">
        <v>10</v>
      </c>
      <c r="G1812" s="425">
        <v>1.7250000000000001</v>
      </c>
      <c r="H1812" s="663">
        <f t="shared" si="441"/>
        <v>23.080500000000004</v>
      </c>
      <c r="I1812" s="420"/>
      <c r="J1812" s="420"/>
      <c r="K1812" s="421">
        <f t="shared" si="434"/>
        <v>0</v>
      </c>
      <c r="L1812" s="668" t="s">
        <v>614</v>
      </c>
      <c r="M1812" s="669"/>
      <c r="N1812" s="576">
        <f t="shared" ref="N1812:N1875" si="443">IF(M1812=0,0,K1812)</f>
        <v>0</v>
      </c>
      <c r="O1812" s="577">
        <f t="shared" si="438"/>
        <v>0</v>
      </c>
      <c r="P1812" s="578">
        <f t="shared" si="439"/>
        <v>0</v>
      </c>
      <c r="Q1812" s="765"/>
      <c r="R1812" s="669"/>
      <c r="S1812" s="670"/>
      <c r="T1812" s="577">
        <f t="shared" si="435"/>
        <v>0</v>
      </c>
      <c r="U1812" s="578">
        <f t="shared" si="436"/>
        <v>0</v>
      </c>
      <c r="V1812" s="579"/>
      <c r="W1812" s="637" t="str">
        <f>IF(U1811&gt;0,"xx",IF(P1811&gt;0,"xy",""))</f>
        <v/>
      </c>
      <c r="X1812" s="586" t="str">
        <f t="shared" si="440"/>
        <v/>
      </c>
      <c r="Y1812" s="586" t="str">
        <f t="shared" si="431"/>
        <v/>
      </c>
      <c r="Z1812" s="586" t="str">
        <f t="shared" si="442"/>
        <v/>
      </c>
    </row>
    <row r="1813" spans="1:26" ht="12" hidden="1" thickBot="1" x14ac:dyDescent="0.25">
      <c r="A1813" s="567" t="s">
        <v>168</v>
      </c>
      <c r="B1813" s="644" t="s">
        <v>168</v>
      </c>
      <c r="C1813" s="645"/>
      <c r="D1813" s="451" t="s">
        <v>334</v>
      </c>
      <c r="E1813" s="423"/>
      <c r="F1813" s="424">
        <v>30</v>
      </c>
      <c r="G1813" s="425">
        <v>9.1000000000000004E-3</v>
      </c>
      <c r="H1813" s="663">
        <f t="shared" si="441"/>
        <v>0.316498</v>
      </c>
      <c r="I1813" s="420"/>
      <c r="J1813" s="420"/>
      <c r="K1813" s="421">
        <f t="shared" si="434"/>
        <v>0</v>
      </c>
      <c r="L1813" s="668" t="s">
        <v>614</v>
      </c>
      <c r="M1813" s="669"/>
      <c r="N1813" s="576">
        <f t="shared" si="443"/>
        <v>0</v>
      </c>
      <c r="O1813" s="577">
        <f t="shared" si="438"/>
        <v>0</v>
      </c>
      <c r="P1813" s="578">
        <f t="shared" si="439"/>
        <v>0</v>
      </c>
      <c r="Q1813" s="765"/>
      <c r="R1813" s="669"/>
      <c r="S1813" s="670"/>
      <c r="T1813" s="577">
        <f t="shared" si="435"/>
        <v>0</v>
      </c>
      <c r="U1813" s="578">
        <f t="shared" si="436"/>
        <v>0</v>
      </c>
      <c r="V1813" s="579"/>
      <c r="W1813" s="637" t="str">
        <f>IF(U1811&gt;0,"xx",IF(P1811&gt;0,"xy",""))</f>
        <v/>
      </c>
      <c r="X1813" s="586" t="str">
        <f t="shared" si="440"/>
        <v/>
      </c>
      <c r="Y1813" s="586" t="str">
        <f t="shared" si="431"/>
        <v/>
      </c>
      <c r="Z1813" s="586" t="str">
        <f t="shared" si="442"/>
        <v/>
      </c>
    </row>
    <row r="1814" spans="1:26" ht="12" hidden="1" thickBot="1" x14ac:dyDescent="0.25">
      <c r="A1814" s="567">
        <v>860017</v>
      </c>
      <c r="B1814" s="644">
        <v>860017</v>
      </c>
      <c r="C1814" s="645" t="s">
        <v>206</v>
      </c>
      <c r="D1814" s="422" t="s">
        <v>1507</v>
      </c>
      <c r="E1814" s="423"/>
      <c r="F1814" s="424"/>
      <c r="G1814" s="425"/>
      <c r="H1814" s="651">
        <f>SUM(H1815:H1816)</f>
        <v>4.1357300000000006</v>
      </c>
      <c r="I1814" s="420">
        <v>214.35000000000002</v>
      </c>
      <c r="J1814" s="420">
        <f>IF(ISBLANK(I1814),"",SUM(H1814:I1814))</f>
        <v>218.48573000000002</v>
      </c>
      <c r="K1814" s="421">
        <f t="shared" si="434"/>
        <v>259.58</v>
      </c>
      <c r="L1814" s="647" t="s">
        <v>16</v>
      </c>
      <c r="M1814" s="576"/>
      <c r="N1814" s="576">
        <f t="shared" si="443"/>
        <v>0</v>
      </c>
      <c r="O1814" s="577">
        <f t="shared" si="438"/>
        <v>0</v>
      </c>
      <c r="P1814" s="578">
        <f t="shared" si="439"/>
        <v>0</v>
      </c>
      <c r="Q1814" s="765"/>
      <c r="R1814" s="576">
        <f t="shared" si="432"/>
        <v>0</v>
      </c>
      <c r="S1814" s="576">
        <f>N1814</f>
        <v>0</v>
      </c>
      <c r="T1814" s="577">
        <f t="shared" si="435"/>
        <v>0</v>
      </c>
      <c r="U1814" s="578">
        <f t="shared" si="436"/>
        <v>0</v>
      </c>
      <c r="V1814" s="579"/>
      <c r="W1814" s="566"/>
      <c r="X1814" s="586" t="str">
        <f t="shared" si="440"/>
        <v/>
      </c>
      <c r="Y1814" s="586" t="str">
        <f t="shared" si="431"/>
        <v/>
      </c>
      <c r="Z1814" s="586" t="str">
        <f t="shared" si="442"/>
        <v/>
      </c>
    </row>
    <row r="1815" spans="1:26" ht="12" hidden="1" thickBot="1" x14ac:dyDescent="0.25">
      <c r="A1815" s="567" t="s">
        <v>168</v>
      </c>
      <c r="B1815" s="644" t="s">
        <v>168</v>
      </c>
      <c r="C1815" s="645"/>
      <c r="D1815" s="451" t="s">
        <v>1503</v>
      </c>
      <c r="E1815" s="423"/>
      <c r="F1815" s="424">
        <v>10</v>
      </c>
      <c r="G1815" s="425">
        <v>0.3</v>
      </c>
      <c r="H1815" s="663">
        <f t="shared" si="441"/>
        <v>4.0140000000000002</v>
      </c>
      <c r="I1815" s="420"/>
      <c r="J1815" s="420"/>
      <c r="K1815" s="421">
        <f t="shared" si="434"/>
        <v>0</v>
      </c>
      <c r="L1815" s="668" t="s">
        <v>614</v>
      </c>
      <c r="M1815" s="669"/>
      <c r="N1815" s="576">
        <f t="shared" si="443"/>
        <v>0</v>
      </c>
      <c r="O1815" s="577">
        <f t="shared" si="438"/>
        <v>0</v>
      </c>
      <c r="P1815" s="578">
        <f t="shared" si="439"/>
        <v>0</v>
      </c>
      <c r="Q1815" s="765"/>
      <c r="R1815" s="669"/>
      <c r="S1815" s="670"/>
      <c r="T1815" s="577">
        <f t="shared" si="435"/>
        <v>0</v>
      </c>
      <c r="U1815" s="578">
        <f t="shared" si="436"/>
        <v>0</v>
      </c>
      <c r="V1815" s="579"/>
      <c r="W1815" s="637" t="str">
        <f>IF(U1814&gt;0,"xx",IF(P1814&gt;0,"xy",""))</f>
        <v/>
      </c>
      <c r="X1815" s="586" t="str">
        <f t="shared" si="440"/>
        <v/>
      </c>
      <c r="Y1815" s="586" t="str">
        <f t="shared" si="431"/>
        <v/>
      </c>
      <c r="Z1815" s="586" t="str">
        <f t="shared" si="442"/>
        <v/>
      </c>
    </row>
    <row r="1816" spans="1:26" ht="12" hidden="1" thickBot="1" x14ac:dyDescent="0.25">
      <c r="A1816" s="567" t="s">
        <v>168</v>
      </c>
      <c r="B1816" s="644" t="s">
        <v>168</v>
      </c>
      <c r="C1816" s="645"/>
      <c r="D1816" s="451" t="s">
        <v>334</v>
      </c>
      <c r="E1816" s="423"/>
      <c r="F1816" s="424">
        <v>30</v>
      </c>
      <c r="G1816" s="425">
        <v>3.5000000000000001E-3</v>
      </c>
      <c r="H1816" s="663">
        <f t="shared" si="441"/>
        <v>0.12173</v>
      </c>
      <c r="I1816" s="420"/>
      <c r="J1816" s="420"/>
      <c r="K1816" s="421">
        <f t="shared" si="434"/>
        <v>0</v>
      </c>
      <c r="L1816" s="668" t="s">
        <v>614</v>
      </c>
      <c r="M1816" s="669"/>
      <c r="N1816" s="576">
        <f t="shared" si="443"/>
        <v>0</v>
      </c>
      <c r="O1816" s="577">
        <f t="shared" si="438"/>
        <v>0</v>
      </c>
      <c r="P1816" s="578">
        <f t="shared" si="439"/>
        <v>0</v>
      </c>
      <c r="Q1816" s="765"/>
      <c r="R1816" s="669"/>
      <c r="S1816" s="670"/>
      <c r="T1816" s="577">
        <f t="shared" si="435"/>
        <v>0</v>
      </c>
      <c r="U1816" s="578">
        <f t="shared" si="436"/>
        <v>0</v>
      </c>
      <c r="V1816" s="579"/>
      <c r="W1816" s="637" t="str">
        <f>IF(U1814&gt;0,"xx",IF(P1814&gt;0,"xy",""))</f>
        <v/>
      </c>
      <c r="X1816" s="586" t="str">
        <f t="shared" si="440"/>
        <v/>
      </c>
      <c r="Y1816" s="586" t="str">
        <f t="shared" si="431"/>
        <v/>
      </c>
      <c r="Z1816" s="586" t="str">
        <f t="shared" si="442"/>
        <v/>
      </c>
    </row>
    <row r="1817" spans="1:26" ht="12" hidden="1" thickBot="1" x14ac:dyDescent="0.25">
      <c r="A1817" s="567">
        <v>860023</v>
      </c>
      <c r="B1817" s="644">
        <v>860023</v>
      </c>
      <c r="C1817" s="645" t="s">
        <v>206</v>
      </c>
      <c r="D1817" s="422" t="s">
        <v>1508</v>
      </c>
      <c r="E1817" s="423"/>
      <c r="F1817" s="424"/>
      <c r="G1817" s="425"/>
      <c r="H1817" s="651">
        <f>SUM(H1818:H1819)</f>
        <v>7.0702259999999999</v>
      </c>
      <c r="I1817" s="420">
        <v>240.56</v>
      </c>
      <c r="J1817" s="420">
        <f>IF(ISBLANK(I1817),"",SUM(H1817:I1817))</f>
        <v>247.63022599999999</v>
      </c>
      <c r="K1817" s="421">
        <f t="shared" si="434"/>
        <v>294.20999999999998</v>
      </c>
      <c r="L1817" s="647" t="s">
        <v>16</v>
      </c>
      <c r="M1817" s="576"/>
      <c r="N1817" s="576">
        <f t="shared" si="443"/>
        <v>0</v>
      </c>
      <c r="O1817" s="577">
        <f t="shared" si="438"/>
        <v>0</v>
      </c>
      <c r="P1817" s="578">
        <f t="shared" si="439"/>
        <v>0</v>
      </c>
      <c r="Q1817" s="765"/>
      <c r="R1817" s="576">
        <f t="shared" si="432"/>
        <v>0</v>
      </c>
      <c r="S1817" s="576">
        <f>N1817</f>
        <v>0</v>
      </c>
      <c r="T1817" s="577">
        <f t="shared" si="435"/>
        <v>0</v>
      </c>
      <c r="U1817" s="578">
        <f t="shared" si="436"/>
        <v>0</v>
      </c>
      <c r="V1817" s="579"/>
      <c r="W1817" s="566"/>
      <c r="X1817" s="586" t="str">
        <f t="shared" si="440"/>
        <v/>
      </c>
      <c r="Y1817" s="586" t="str">
        <f t="shared" si="431"/>
        <v/>
      </c>
      <c r="Z1817" s="586" t="str">
        <f t="shared" si="442"/>
        <v/>
      </c>
    </row>
    <row r="1818" spans="1:26" ht="12" hidden="1" thickBot="1" x14ac:dyDescent="0.25">
      <c r="A1818" s="567" t="s">
        <v>168</v>
      </c>
      <c r="B1818" s="644" t="s">
        <v>168</v>
      </c>
      <c r="C1818" s="645"/>
      <c r="D1818" s="451" t="s">
        <v>1503</v>
      </c>
      <c r="E1818" s="423"/>
      <c r="F1818" s="424">
        <v>10</v>
      </c>
      <c r="G1818" s="425">
        <v>0.51749999999999996</v>
      </c>
      <c r="H1818" s="663">
        <f t="shared" si="441"/>
        <v>6.92415</v>
      </c>
      <c r="I1818" s="420"/>
      <c r="J1818" s="420"/>
      <c r="K1818" s="421">
        <f t="shared" si="434"/>
        <v>0</v>
      </c>
      <c r="L1818" s="668" t="s">
        <v>614</v>
      </c>
      <c r="M1818" s="669"/>
      <c r="N1818" s="576">
        <f t="shared" si="443"/>
        <v>0</v>
      </c>
      <c r="O1818" s="577">
        <f t="shared" si="438"/>
        <v>0</v>
      </c>
      <c r="P1818" s="578">
        <f t="shared" si="439"/>
        <v>0</v>
      </c>
      <c r="Q1818" s="765"/>
      <c r="R1818" s="669"/>
      <c r="S1818" s="670"/>
      <c r="T1818" s="577">
        <f t="shared" si="435"/>
        <v>0</v>
      </c>
      <c r="U1818" s="578">
        <f t="shared" si="436"/>
        <v>0</v>
      </c>
      <c r="V1818" s="579"/>
      <c r="W1818" s="637" t="str">
        <f>IF(U1817&gt;0,"xx",IF(P1817&gt;0,"xy",""))</f>
        <v/>
      </c>
      <c r="X1818" s="586" t="str">
        <f t="shared" si="440"/>
        <v/>
      </c>
      <c r="Y1818" s="586" t="str">
        <f t="shared" si="431"/>
        <v/>
      </c>
      <c r="Z1818" s="586" t="str">
        <f t="shared" si="442"/>
        <v/>
      </c>
    </row>
    <row r="1819" spans="1:26" ht="12" hidden="1" thickBot="1" x14ac:dyDescent="0.25">
      <c r="A1819" s="567" t="s">
        <v>168</v>
      </c>
      <c r="B1819" s="644" t="s">
        <v>168</v>
      </c>
      <c r="C1819" s="645"/>
      <c r="D1819" s="451" t="s">
        <v>334</v>
      </c>
      <c r="E1819" s="423"/>
      <c r="F1819" s="424">
        <v>30</v>
      </c>
      <c r="G1819" s="425">
        <v>4.1999999999999997E-3</v>
      </c>
      <c r="H1819" s="663">
        <f t="shared" si="441"/>
        <v>0.14607599999999998</v>
      </c>
      <c r="I1819" s="420"/>
      <c r="J1819" s="420"/>
      <c r="K1819" s="421">
        <f t="shared" si="434"/>
        <v>0</v>
      </c>
      <c r="L1819" s="668" t="s">
        <v>614</v>
      </c>
      <c r="M1819" s="669"/>
      <c r="N1819" s="576">
        <f t="shared" si="443"/>
        <v>0</v>
      </c>
      <c r="O1819" s="577">
        <f t="shared" si="438"/>
        <v>0</v>
      </c>
      <c r="P1819" s="578">
        <f t="shared" si="439"/>
        <v>0</v>
      </c>
      <c r="Q1819" s="765"/>
      <c r="R1819" s="669"/>
      <c r="S1819" s="670"/>
      <c r="T1819" s="577">
        <f t="shared" si="435"/>
        <v>0</v>
      </c>
      <c r="U1819" s="578">
        <f t="shared" si="436"/>
        <v>0</v>
      </c>
      <c r="V1819" s="579"/>
      <c r="W1819" s="637" t="str">
        <f>IF(U1817&gt;0,"xx",IF(P1817&gt;0,"xy",""))</f>
        <v/>
      </c>
      <c r="X1819" s="586" t="str">
        <f t="shared" si="440"/>
        <v/>
      </c>
      <c r="Y1819" s="586" t="str">
        <f t="shared" si="431"/>
        <v/>
      </c>
      <c r="Z1819" s="586" t="str">
        <f t="shared" si="442"/>
        <v/>
      </c>
    </row>
    <row r="1820" spans="1:26" ht="12" hidden="1" thickBot="1" x14ac:dyDescent="0.25">
      <c r="A1820" s="567">
        <v>861030</v>
      </c>
      <c r="B1820" s="644">
        <v>861030</v>
      </c>
      <c r="C1820" s="645" t="s">
        <v>206</v>
      </c>
      <c r="D1820" s="422" t="s">
        <v>1509</v>
      </c>
      <c r="E1820" s="423"/>
      <c r="F1820" s="424"/>
      <c r="G1820" s="425"/>
      <c r="H1820" s="651">
        <f>SUM(H1821:H1822)</f>
        <v>23.508294000000003</v>
      </c>
      <c r="I1820" s="420">
        <v>268.45</v>
      </c>
      <c r="J1820" s="420">
        <f>IF(ISBLANK(I1820),"",SUM(H1820:I1820))</f>
        <v>291.95829399999997</v>
      </c>
      <c r="K1820" s="421">
        <f t="shared" si="434"/>
        <v>346.88</v>
      </c>
      <c r="L1820" s="647" t="s">
        <v>16</v>
      </c>
      <c r="M1820" s="576"/>
      <c r="N1820" s="576">
        <f t="shared" si="443"/>
        <v>0</v>
      </c>
      <c r="O1820" s="577">
        <f t="shared" si="438"/>
        <v>0</v>
      </c>
      <c r="P1820" s="578">
        <f t="shared" si="439"/>
        <v>0</v>
      </c>
      <c r="Q1820" s="765"/>
      <c r="R1820" s="576">
        <f t="shared" si="432"/>
        <v>0</v>
      </c>
      <c r="S1820" s="576">
        <f>N1820</f>
        <v>0</v>
      </c>
      <c r="T1820" s="577">
        <f t="shared" si="435"/>
        <v>0</v>
      </c>
      <c r="U1820" s="578">
        <f t="shared" si="436"/>
        <v>0</v>
      </c>
      <c r="V1820" s="579"/>
      <c r="W1820" s="566"/>
      <c r="X1820" s="586" t="str">
        <f t="shared" si="440"/>
        <v/>
      </c>
      <c r="Y1820" s="586" t="str">
        <f t="shared" si="431"/>
        <v/>
      </c>
      <c r="Z1820" s="586" t="str">
        <f t="shared" si="442"/>
        <v/>
      </c>
    </row>
    <row r="1821" spans="1:26" ht="12" hidden="1" thickBot="1" x14ac:dyDescent="0.25">
      <c r="A1821" s="567" t="s">
        <v>168</v>
      </c>
      <c r="B1821" s="644" t="s">
        <v>168</v>
      </c>
      <c r="C1821" s="645"/>
      <c r="D1821" s="451" t="s">
        <v>1503</v>
      </c>
      <c r="E1821" s="423"/>
      <c r="F1821" s="424">
        <v>10</v>
      </c>
      <c r="G1821" s="425">
        <v>1.7250000000000001</v>
      </c>
      <c r="H1821" s="663">
        <f t="shared" si="441"/>
        <v>23.080500000000004</v>
      </c>
      <c r="I1821" s="420"/>
      <c r="J1821" s="420"/>
      <c r="K1821" s="421">
        <f t="shared" si="434"/>
        <v>0</v>
      </c>
      <c r="L1821" s="668" t="s">
        <v>614</v>
      </c>
      <c r="M1821" s="669"/>
      <c r="N1821" s="576">
        <f t="shared" si="443"/>
        <v>0</v>
      </c>
      <c r="O1821" s="577">
        <f t="shared" si="438"/>
        <v>0</v>
      </c>
      <c r="P1821" s="578">
        <f t="shared" si="439"/>
        <v>0</v>
      </c>
      <c r="Q1821" s="765"/>
      <c r="R1821" s="669"/>
      <c r="S1821" s="670"/>
      <c r="T1821" s="577">
        <f t="shared" si="435"/>
        <v>0</v>
      </c>
      <c r="U1821" s="578">
        <f t="shared" si="436"/>
        <v>0</v>
      </c>
      <c r="V1821" s="579"/>
      <c r="W1821" s="637" t="str">
        <f>IF(U1820&gt;0,"xx",IF(P1820&gt;0,"xy",""))</f>
        <v/>
      </c>
      <c r="X1821" s="586" t="str">
        <f t="shared" si="440"/>
        <v/>
      </c>
      <c r="Y1821" s="586" t="str">
        <f t="shared" si="431"/>
        <v/>
      </c>
      <c r="Z1821" s="586" t="str">
        <f t="shared" si="442"/>
        <v/>
      </c>
    </row>
    <row r="1822" spans="1:26" ht="12" hidden="1" thickBot="1" x14ac:dyDescent="0.25">
      <c r="A1822" s="567" t="s">
        <v>168</v>
      </c>
      <c r="B1822" s="644" t="s">
        <v>168</v>
      </c>
      <c r="C1822" s="645"/>
      <c r="D1822" s="451" t="s">
        <v>334</v>
      </c>
      <c r="E1822" s="423"/>
      <c r="F1822" s="424">
        <v>30</v>
      </c>
      <c r="G1822" s="425">
        <v>1.23E-2</v>
      </c>
      <c r="H1822" s="663">
        <f t="shared" si="441"/>
        <v>0.42779400000000001</v>
      </c>
      <c r="I1822" s="420"/>
      <c r="J1822" s="420"/>
      <c r="K1822" s="421">
        <f t="shared" si="434"/>
        <v>0</v>
      </c>
      <c r="L1822" s="668" t="s">
        <v>614</v>
      </c>
      <c r="M1822" s="669"/>
      <c r="N1822" s="576">
        <f t="shared" si="443"/>
        <v>0</v>
      </c>
      <c r="O1822" s="577">
        <f t="shared" si="438"/>
        <v>0</v>
      </c>
      <c r="P1822" s="578">
        <f t="shared" si="439"/>
        <v>0</v>
      </c>
      <c r="Q1822" s="765"/>
      <c r="R1822" s="669"/>
      <c r="S1822" s="670"/>
      <c r="T1822" s="577">
        <f t="shared" si="435"/>
        <v>0</v>
      </c>
      <c r="U1822" s="578">
        <f t="shared" si="436"/>
        <v>0</v>
      </c>
      <c r="V1822" s="579"/>
      <c r="W1822" s="637" t="str">
        <f>IF(U1820&gt;0,"xx",IF(P1820&gt;0,"xy",""))</f>
        <v/>
      </c>
      <c r="X1822" s="586" t="str">
        <f t="shared" si="440"/>
        <v/>
      </c>
      <c r="Y1822" s="586" t="str">
        <f t="shared" si="431"/>
        <v/>
      </c>
      <c r="Z1822" s="586" t="str">
        <f t="shared" si="442"/>
        <v/>
      </c>
    </row>
    <row r="1823" spans="1:26" ht="12" hidden="1" thickBot="1" x14ac:dyDescent="0.25">
      <c r="A1823" s="567">
        <v>601200</v>
      </c>
      <c r="B1823" s="644" t="s">
        <v>1656</v>
      </c>
      <c r="C1823" s="645" t="s">
        <v>206</v>
      </c>
      <c r="D1823" s="422" t="s">
        <v>1510</v>
      </c>
      <c r="E1823" s="423"/>
      <c r="F1823" s="424"/>
      <c r="G1823" s="425"/>
      <c r="H1823" s="651"/>
      <c r="I1823" s="420">
        <v>31.9</v>
      </c>
      <c r="J1823" s="420">
        <f>IF(ISBLANK(I1823),"",SUM(H1823:I1823))*0.9</f>
        <v>28.71</v>
      </c>
      <c r="K1823" s="421">
        <f t="shared" si="434"/>
        <v>34.11</v>
      </c>
      <c r="L1823" s="647" t="s">
        <v>16</v>
      </c>
      <c r="M1823" s="576"/>
      <c r="N1823" s="576">
        <f t="shared" si="443"/>
        <v>0</v>
      </c>
      <c r="O1823" s="577">
        <f t="shared" si="438"/>
        <v>0</v>
      </c>
      <c r="P1823" s="578">
        <f t="shared" si="439"/>
        <v>0</v>
      </c>
      <c r="Q1823" s="765"/>
      <c r="R1823" s="576">
        <f t="shared" si="432"/>
        <v>0</v>
      </c>
      <c r="S1823" s="576">
        <f t="shared" si="432"/>
        <v>0</v>
      </c>
      <c r="T1823" s="577">
        <f t="shared" si="435"/>
        <v>0</v>
      </c>
      <c r="U1823" s="578">
        <f t="shared" si="436"/>
        <v>0</v>
      </c>
      <c r="V1823" s="579"/>
      <c r="W1823" s="566"/>
      <c r="X1823" s="586" t="str">
        <f t="shared" si="440"/>
        <v/>
      </c>
      <c r="Y1823" s="586" t="str">
        <f t="shared" si="431"/>
        <v/>
      </c>
      <c r="Z1823" s="586" t="str">
        <f t="shared" si="442"/>
        <v/>
      </c>
    </row>
    <row r="1824" spans="1:26" ht="12" hidden="1" thickBot="1" x14ac:dyDescent="0.25">
      <c r="A1824" s="567">
        <v>601200</v>
      </c>
      <c r="B1824" s="644" t="s">
        <v>1657</v>
      </c>
      <c r="C1824" s="645" t="s">
        <v>206</v>
      </c>
      <c r="D1824" s="422" t="s">
        <v>336</v>
      </c>
      <c r="E1824" s="423"/>
      <c r="F1824" s="424"/>
      <c r="G1824" s="425"/>
      <c r="H1824" s="651"/>
      <c r="I1824" s="420">
        <v>15.95</v>
      </c>
      <c r="J1824" s="420">
        <f>IF(ISBLANK(I1824),"",SUM(H1824:I1824))*0.9</f>
        <v>14.355</v>
      </c>
      <c r="K1824" s="421">
        <f t="shared" si="434"/>
        <v>17.059999999999999</v>
      </c>
      <c r="L1824" s="647" t="s">
        <v>1519</v>
      </c>
      <c r="M1824" s="576"/>
      <c r="N1824" s="576">
        <f t="shared" si="443"/>
        <v>0</v>
      </c>
      <c r="O1824" s="577">
        <f t="shared" si="438"/>
        <v>0</v>
      </c>
      <c r="P1824" s="578">
        <f t="shared" si="439"/>
        <v>0</v>
      </c>
      <c r="Q1824" s="765"/>
      <c r="R1824" s="576">
        <f t="shared" si="432"/>
        <v>0</v>
      </c>
      <c r="S1824" s="576">
        <f t="shared" si="432"/>
        <v>0</v>
      </c>
      <c r="T1824" s="577">
        <f t="shared" si="435"/>
        <v>0</v>
      </c>
      <c r="U1824" s="578">
        <f t="shared" si="436"/>
        <v>0</v>
      </c>
      <c r="V1824" s="579"/>
      <c r="W1824" s="566"/>
      <c r="X1824" s="586" t="str">
        <f>IF(W1824="X","x",IF(W1824="xx","x",IF(W1824="xy","x",IF(W1824="y","x",IF(OR(P1824&gt;0,U1824&gt;0),"x","")))))</f>
        <v/>
      </c>
      <c r="Y1824" s="586" t="str">
        <f>IF(W1824="X","x",IF(W1824="y","x",IF(W1824="xx","x",IF(U1824&gt;0,"x",""))))</f>
        <v/>
      </c>
      <c r="Z1824" s="586" t="str">
        <f>IF(W1824="X","x",IF(U1824&gt;0,"x",""))</f>
        <v/>
      </c>
    </row>
    <row r="1825" spans="1:26" ht="12" hidden="1" thickBot="1" x14ac:dyDescent="0.25">
      <c r="A1825" s="567">
        <v>97623</v>
      </c>
      <c r="B1825" s="644" t="s">
        <v>1601</v>
      </c>
      <c r="C1825" s="645" t="s">
        <v>670</v>
      </c>
      <c r="D1825" s="416" t="s">
        <v>1595</v>
      </c>
      <c r="E1825" s="417"/>
      <c r="F1825" s="418"/>
      <c r="G1825" s="419"/>
      <c r="H1825" s="646"/>
      <c r="I1825" s="420">
        <v>175.28</v>
      </c>
      <c r="J1825" s="420">
        <f t="shared" ref="J1825:J1833" si="444">IF(ISBLANK(I1825),"",SUM(H1825:I1825))</f>
        <v>175.28</v>
      </c>
      <c r="K1825" s="421">
        <f t="shared" si="434"/>
        <v>208.25</v>
      </c>
      <c r="L1825" s="647" t="s">
        <v>16</v>
      </c>
      <c r="M1825" s="576"/>
      <c r="N1825" s="576">
        <f t="shared" si="443"/>
        <v>0</v>
      </c>
      <c r="O1825" s="577">
        <f t="shared" si="438"/>
        <v>0</v>
      </c>
      <c r="P1825" s="578">
        <f t="shared" si="439"/>
        <v>0</v>
      </c>
      <c r="Q1825" s="765"/>
      <c r="R1825" s="650">
        <f t="shared" si="432"/>
        <v>0</v>
      </c>
      <c r="S1825" s="587">
        <f t="shared" si="432"/>
        <v>0</v>
      </c>
      <c r="T1825" s="577">
        <f t="shared" si="435"/>
        <v>0</v>
      </c>
      <c r="U1825" s="578">
        <f t="shared" si="436"/>
        <v>0</v>
      </c>
      <c r="V1825" s="579"/>
      <c r="W1825" s="566"/>
      <c r="X1825" s="586" t="str">
        <f>IF(W1825="X","x",IF(W1825="xx","x",IF(W1825="xy","x",IF(W1825="y","x",IF(OR(P1825&gt;0,U1825&gt;0),"x","")))))</f>
        <v/>
      </c>
      <c r="Y1825" s="586" t="str">
        <f>IF(W1825="X","x",IF(W1825="y","x",IF(W1825="xx","x",IF(U1825&gt;0,"x",""))))</f>
        <v/>
      </c>
      <c r="Z1825" s="586" t="str">
        <f>IF(W1825="X","x",IF(U1825&gt;0,"x",""))</f>
        <v/>
      </c>
    </row>
    <row r="1826" spans="1:26" ht="12" hidden="1" thickBot="1" x14ac:dyDescent="0.25">
      <c r="A1826" s="567">
        <v>97624</v>
      </c>
      <c r="B1826" s="644" t="s">
        <v>1602</v>
      </c>
      <c r="C1826" s="645" t="s">
        <v>670</v>
      </c>
      <c r="D1826" s="416" t="s">
        <v>1597</v>
      </c>
      <c r="E1826" s="417"/>
      <c r="F1826" s="418"/>
      <c r="G1826" s="419"/>
      <c r="H1826" s="646"/>
      <c r="I1826" s="420">
        <v>107.58</v>
      </c>
      <c r="J1826" s="420">
        <f t="shared" si="444"/>
        <v>107.58</v>
      </c>
      <c r="K1826" s="421">
        <f t="shared" si="434"/>
        <v>127.82</v>
      </c>
      <c r="L1826" s="647" t="s">
        <v>16</v>
      </c>
      <c r="M1826" s="576"/>
      <c r="N1826" s="576">
        <f t="shared" si="443"/>
        <v>0</v>
      </c>
      <c r="O1826" s="577">
        <f t="shared" si="438"/>
        <v>0</v>
      </c>
      <c r="P1826" s="578">
        <f t="shared" si="439"/>
        <v>0</v>
      </c>
      <c r="Q1826" s="765"/>
      <c r="R1826" s="650">
        <f t="shared" si="432"/>
        <v>0</v>
      </c>
      <c r="S1826" s="587">
        <f t="shared" si="432"/>
        <v>0</v>
      </c>
      <c r="T1826" s="577">
        <f t="shared" si="435"/>
        <v>0</v>
      </c>
      <c r="U1826" s="578">
        <f t="shared" si="436"/>
        <v>0</v>
      </c>
      <c r="V1826" s="579"/>
      <c r="W1826" s="566"/>
      <c r="X1826" s="586" t="str">
        <f>IF(W1826="X","x",IF(W1826="xx","x",IF(W1826="xy","x",IF(W1826="y","x",IF(OR(P1826&gt;0,U1826&gt;0),"x","")))))</f>
        <v/>
      </c>
      <c r="Y1826" s="586" t="str">
        <f>IF(W1826="X","x",IF(W1826="y","x",IF(W1826="xx","x",IF(U1826&gt;0,"x",""))))</f>
        <v/>
      </c>
      <c r="Z1826" s="586" t="str">
        <f>IF(W1826="X","x",IF(U1826&gt;0,"x",""))</f>
        <v/>
      </c>
    </row>
    <row r="1827" spans="1:26" ht="12" hidden="1" thickBot="1" x14ac:dyDescent="0.25">
      <c r="A1827" s="567">
        <v>606500</v>
      </c>
      <c r="B1827" s="644" t="s">
        <v>1603</v>
      </c>
      <c r="C1827" s="645" t="s">
        <v>206</v>
      </c>
      <c r="D1827" s="422" t="s">
        <v>501</v>
      </c>
      <c r="E1827" s="423"/>
      <c r="F1827" s="424"/>
      <c r="G1827" s="425"/>
      <c r="H1827" s="651"/>
      <c r="I1827" s="420">
        <v>169.87</v>
      </c>
      <c r="J1827" s="420">
        <f t="shared" si="444"/>
        <v>169.87</v>
      </c>
      <c r="K1827" s="421">
        <f t="shared" si="434"/>
        <v>201.82</v>
      </c>
      <c r="L1827" s="647" t="s">
        <v>16</v>
      </c>
      <c r="M1827" s="576"/>
      <c r="N1827" s="576">
        <f t="shared" si="443"/>
        <v>0</v>
      </c>
      <c r="O1827" s="577">
        <f t="shared" si="438"/>
        <v>0</v>
      </c>
      <c r="P1827" s="578">
        <f t="shared" si="439"/>
        <v>0</v>
      </c>
      <c r="Q1827" s="765"/>
      <c r="R1827" s="576">
        <f t="shared" si="432"/>
        <v>0</v>
      </c>
      <c r="S1827" s="576">
        <f t="shared" si="432"/>
        <v>0</v>
      </c>
      <c r="T1827" s="577">
        <f t="shared" si="435"/>
        <v>0</v>
      </c>
      <c r="U1827" s="578">
        <f t="shared" si="436"/>
        <v>0</v>
      </c>
      <c r="V1827" s="579"/>
      <c r="W1827" s="566"/>
      <c r="X1827" s="586" t="str">
        <f t="shared" si="440"/>
        <v/>
      </c>
      <c r="Y1827" s="586" t="str">
        <f t="shared" si="431"/>
        <v/>
      </c>
      <c r="Z1827" s="586" t="str">
        <f t="shared" ref="Z1827:Z1940" si="445">IF(W1827="X","x",IF(U1827&gt;0,"x",""))</f>
        <v/>
      </c>
    </row>
    <row r="1828" spans="1:26" ht="12" hidden="1" thickBot="1" x14ac:dyDescent="0.25">
      <c r="A1828" s="567">
        <v>606700</v>
      </c>
      <c r="B1828" s="644" t="s">
        <v>1583</v>
      </c>
      <c r="C1828" s="645" t="s">
        <v>206</v>
      </c>
      <c r="D1828" s="422" t="s">
        <v>199</v>
      </c>
      <c r="E1828" s="423"/>
      <c r="F1828" s="424"/>
      <c r="G1828" s="425"/>
      <c r="H1828" s="651">
        <f>IF(F1828&lt;=30,(0.31*F1828+0.77)*G1828,((0.31*30+0.77)+0.31*(F1828-30))*G1828)</f>
        <v>0</v>
      </c>
      <c r="I1828" s="420">
        <v>143.94</v>
      </c>
      <c r="J1828" s="420">
        <f t="shared" si="444"/>
        <v>143.94</v>
      </c>
      <c r="K1828" s="421">
        <f t="shared" si="434"/>
        <v>171.02</v>
      </c>
      <c r="L1828" s="647" t="s">
        <v>16</v>
      </c>
      <c r="M1828" s="576"/>
      <c r="N1828" s="576">
        <f t="shared" si="443"/>
        <v>0</v>
      </c>
      <c r="O1828" s="577">
        <f t="shared" si="438"/>
        <v>0</v>
      </c>
      <c r="P1828" s="578">
        <f t="shared" si="439"/>
        <v>0</v>
      </c>
      <c r="Q1828" s="765"/>
      <c r="R1828" s="576">
        <f t="shared" si="432"/>
        <v>0</v>
      </c>
      <c r="S1828" s="576">
        <f t="shared" si="432"/>
        <v>0</v>
      </c>
      <c r="T1828" s="577">
        <f t="shared" si="435"/>
        <v>0</v>
      </c>
      <c r="U1828" s="578">
        <f t="shared" si="436"/>
        <v>0</v>
      </c>
      <c r="V1828" s="579"/>
      <c r="W1828" s="566"/>
      <c r="X1828" s="586" t="str">
        <f t="shared" si="440"/>
        <v/>
      </c>
      <c r="Y1828" s="586" t="str">
        <f t="shared" si="431"/>
        <v/>
      </c>
      <c r="Z1828" s="586" t="str">
        <f t="shared" si="445"/>
        <v/>
      </c>
    </row>
    <row r="1829" spans="1:26" ht="12" hidden="1" thickBot="1" x14ac:dyDescent="0.25">
      <c r="A1829" s="567">
        <v>606600</v>
      </c>
      <c r="B1829" s="644" t="s">
        <v>1580</v>
      </c>
      <c r="C1829" s="645" t="s">
        <v>206</v>
      </c>
      <c r="D1829" s="422" t="s">
        <v>200</v>
      </c>
      <c r="E1829" s="423"/>
      <c r="F1829" s="424"/>
      <c r="G1829" s="425"/>
      <c r="H1829" s="651">
        <f>IF(F1829&lt;=30,(0.31*F1829+0.77)*G1829,((0.31*30+0.77)+0.31*(F1829-30))*G1829)</f>
        <v>0</v>
      </c>
      <c r="I1829" s="420">
        <v>300.33999999999997</v>
      </c>
      <c r="J1829" s="420">
        <f t="shared" si="444"/>
        <v>300.33999999999997</v>
      </c>
      <c r="K1829" s="421">
        <f t="shared" si="434"/>
        <v>356.83</v>
      </c>
      <c r="L1829" s="647" t="s">
        <v>16</v>
      </c>
      <c r="M1829" s="576"/>
      <c r="N1829" s="576">
        <f t="shared" si="443"/>
        <v>0</v>
      </c>
      <c r="O1829" s="577">
        <f t="shared" si="438"/>
        <v>0</v>
      </c>
      <c r="P1829" s="578">
        <f t="shared" si="439"/>
        <v>0</v>
      </c>
      <c r="Q1829" s="765"/>
      <c r="R1829" s="576">
        <f t="shared" si="432"/>
        <v>0</v>
      </c>
      <c r="S1829" s="576">
        <f t="shared" si="432"/>
        <v>0</v>
      </c>
      <c r="T1829" s="577">
        <f t="shared" si="435"/>
        <v>0</v>
      </c>
      <c r="U1829" s="578">
        <f t="shared" si="436"/>
        <v>0</v>
      </c>
      <c r="V1829" s="579"/>
      <c r="W1829" s="566"/>
      <c r="X1829" s="586" t="str">
        <f t="shared" si="440"/>
        <v/>
      </c>
      <c r="Y1829" s="586" t="str">
        <f t="shared" si="431"/>
        <v/>
      </c>
      <c r="Z1829" s="586" t="str">
        <f t="shared" si="445"/>
        <v/>
      </c>
    </row>
    <row r="1830" spans="1:26" ht="12" hidden="1" thickBot="1" x14ac:dyDescent="0.25">
      <c r="A1830" s="567">
        <v>602000</v>
      </c>
      <c r="B1830" s="644" t="s">
        <v>2098</v>
      </c>
      <c r="C1830" s="645" t="s">
        <v>206</v>
      </c>
      <c r="D1830" s="422" t="s">
        <v>2092</v>
      </c>
      <c r="E1830" s="423"/>
      <c r="F1830" s="424"/>
      <c r="G1830" s="425"/>
      <c r="H1830" s="651">
        <f>IF(F1830&lt;=30,(0.31*F1830+0.77)*G1830,((0.31*30+0.77)+0.31*(F1830-30))*G1830)</f>
        <v>0</v>
      </c>
      <c r="I1830" s="420">
        <v>58.84</v>
      </c>
      <c r="J1830" s="420">
        <f t="shared" si="444"/>
        <v>58.84</v>
      </c>
      <c r="K1830" s="421">
        <f t="shared" si="434"/>
        <v>69.91</v>
      </c>
      <c r="L1830" s="647" t="s">
        <v>18</v>
      </c>
      <c r="M1830" s="576"/>
      <c r="N1830" s="576">
        <f t="shared" si="443"/>
        <v>0</v>
      </c>
      <c r="O1830" s="577">
        <f t="shared" si="438"/>
        <v>0</v>
      </c>
      <c r="P1830" s="578">
        <f t="shared" si="439"/>
        <v>0</v>
      </c>
      <c r="Q1830" s="765"/>
      <c r="R1830" s="576">
        <f t="shared" si="432"/>
        <v>0</v>
      </c>
      <c r="S1830" s="576">
        <f t="shared" si="432"/>
        <v>0</v>
      </c>
      <c r="T1830" s="577">
        <f t="shared" si="435"/>
        <v>0</v>
      </c>
      <c r="U1830" s="578">
        <f t="shared" si="436"/>
        <v>0</v>
      </c>
      <c r="V1830" s="579"/>
      <c r="W1830" s="566"/>
      <c r="X1830" s="586" t="str">
        <f t="shared" si="440"/>
        <v/>
      </c>
      <c r="Y1830" s="586" t="str">
        <f t="shared" si="431"/>
        <v/>
      </c>
      <c r="Z1830" s="586" t="str">
        <f t="shared" si="445"/>
        <v/>
      </c>
    </row>
    <row r="1831" spans="1:26" ht="12" hidden="1" thickBot="1" x14ac:dyDescent="0.25">
      <c r="A1831" s="567">
        <v>603000</v>
      </c>
      <c r="B1831" s="644" t="s">
        <v>1876</v>
      </c>
      <c r="C1831" s="645" t="s">
        <v>206</v>
      </c>
      <c r="D1831" s="422" t="s">
        <v>276</v>
      </c>
      <c r="E1831" s="423"/>
      <c r="F1831" s="424"/>
      <c r="G1831" s="425"/>
      <c r="H1831" s="651">
        <f>IF(F1831&lt;=30,(0.31*F1831+0.77)*G1831,((0.31*30+0.77)+0.31*(F1831-30))*G1831)</f>
        <v>0</v>
      </c>
      <c r="I1831" s="420">
        <v>17.84</v>
      </c>
      <c r="J1831" s="420">
        <f t="shared" si="444"/>
        <v>17.84</v>
      </c>
      <c r="K1831" s="421">
        <f t="shared" si="434"/>
        <v>21.2</v>
      </c>
      <c r="L1831" s="647" t="s">
        <v>23</v>
      </c>
      <c r="M1831" s="576"/>
      <c r="N1831" s="576">
        <f t="shared" si="443"/>
        <v>0</v>
      </c>
      <c r="O1831" s="577">
        <f t="shared" si="438"/>
        <v>0</v>
      </c>
      <c r="P1831" s="578">
        <f t="shared" si="439"/>
        <v>0</v>
      </c>
      <c r="Q1831" s="765"/>
      <c r="R1831" s="576">
        <f t="shared" si="432"/>
        <v>0</v>
      </c>
      <c r="S1831" s="576">
        <f t="shared" si="432"/>
        <v>0</v>
      </c>
      <c r="T1831" s="577">
        <f t="shared" si="435"/>
        <v>0</v>
      </c>
      <c r="U1831" s="578">
        <f t="shared" si="436"/>
        <v>0</v>
      </c>
      <c r="V1831" s="579"/>
      <c r="W1831" s="566"/>
      <c r="X1831" s="586" t="str">
        <f t="shared" si="440"/>
        <v/>
      </c>
      <c r="Y1831" s="586" t="str">
        <f t="shared" si="431"/>
        <v/>
      </c>
      <c r="Z1831" s="586" t="str">
        <f t="shared" si="445"/>
        <v/>
      </c>
    </row>
    <row r="1832" spans="1:26" ht="12" hidden="1" thickBot="1" x14ac:dyDescent="0.25">
      <c r="A1832" s="567">
        <v>603300</v>
      </c>
      <c r="B1832" s="644" t="s">
        <v>1877</v>
      </c>
      <c r="C1832" s="645" t="s">
        <v>206</v>
      </c>
      <c r="D1832" s="422" t="s">
        <v>277</v>
      </c>
      <c r="E1832" s="423"/>
      <c r="F1832" s="424"/>
      <c r="G1832" s="425"/>
      <c r="H1832" s="651">
        <f>IF(F1832&lt;=30,(0.31*F1832+0.77)*G1832,((0.31*30+0.77)+0.31*(F1832-30))*G1832)</f>
        <v>0</v>
      </c>
      <c r="I1832" s="420">
        <v>19.490000000000002</v>
      </c>
      <c r="J1832" s="420">
        <f t="shared" si="444"/>
        <v>19.490000000000002</v>
      </c>
      <c r="K1832" s="421">
        <f t="shared" si="434"/>
        <v>23.16</v>
      </c>
      <c r="L1832" s="647" t="s">
        <v>23</v>
      </c>
      <c r="M1832" s="576"/>
      <c r="N1832" s="576">
        <f t="shared" si="443"/>
        <v>0</v>
      </c>
      <c r="O1832" s="577">
        <f t="shared" si="438"/>
        <v>0</v>
      </c>
      <c r="P1832" s="578">
        <f t="shared" si="439"/>
        <v>0</v>
      </c>
      <c r="Q1832" s="765"/>
      <c r="R1832" s="576">
        <f t="shared" si="432"/>
        <v>0</v>
      </c>
      <c r="S1832" s="576">
        <f t="shared" si="432"/>
        <v>0</v>
      </c>
      <c r="T1832" s="577">
        <f t="shared" si="435"/>
        <v>0</v>
      </c>
      <c r="U1832" s="578">
        <f t="shared" si="436"/>
        <v>0</v>
      </c>
      <c r="V1832" s="579"/>
      <c r="W1832" s="566"/>
      <c r="X1832" s="586" t="str">
        <f t="shared" si="440"/>
        <v/>
      </c>
      <c r="Y1832" s="586" t="str">
        <f t="shared" si="431"/>
        <v/>
      </c>
      <c r="Z1832" s="586" t="str">
        <f t="shared" si="445"/>
        <v/>
      </c>
    </row>
    <row r="1833" spans="1:26" ht="12" hidden="1" thickBot="1" x14ac:dyDescent="0.25">
      <c r="A1833" s="567">
        <v>603600</v>
      </c>
      <c r="B1833" s="644">
        <v>603600</v>
      </c>
      <c r="C1833" s="645" t="s">
        <v>206</v>
      </c>
      <c r="D1833" s="422" t="s">
        <v>337</v>
      </c>
      <c r="E1833" s="423"/>
      <c r="F1833" s="424"/>
      <c r="G1833" s="425"/>
      <c r="H1833" s="651">
        <f>SUM(H1834:H1836)</f>
        <v>175.4948</v>
      </c>
      <c r="I1833" s="420">
        <v>278.64</v>
      </c>
      <c r="J1833" s="420">
        <f t="shared" si="444"/>
        <v>454.13479999999998</v>
      </c>
      <c r="K1833" s="421">
        <f t="shared" si="434"/>
        <v>539.55999999999995</v>
      </c>
      <c r="L1833" s="647" t="s">
        <v>16</v>
      </c>
      <c r="M1833" s="576"/>
      <c r="N1833" s="576">
        <f t="shared" si="443"/>
        <v>0</v>
      </c>
      <c r="O1833" s="577">
        <f t="shared" si="438"/>
        <v>0</v>
      </c>
      <c r="P1833" s="578">
        <f t="shared" si="439"/>
        <v>0</v>
      </c>
      <c r="Q1833" s="765"/>
      <c r="R1833" s="576">
        <f t="shared" si="432"/>
        <v>0</v>
      </c>
      <c r="S1833" s="576">
        <f t="shared" si="432"/>
        <v>0</v>
      </c>
      <c r="T1833" s="577">
        <f t="shared" si="435"/>
        <v>0</v>
      </c>
      <c r="U1833" s="578">
        <f t="shared" si="436"/>
        <v>0</v>
      </c>
      <c r="V1833" s="579"/>
      <c r="W1833" s="566"/>
      <c r="X1833" s="586" t="str">
        <f t="shared" si="440"/>
        <v/>
      </c>
      <c r="Y1833" s="586" t="str">
        <f t="shared" si="431"/>
        <v/>
      </c>
      <c r="Z1833" s="586" t="str">
        <f t="shared" si="445"/>
        <v/>
      </c>
    </row>
    <row r="1834" spans="1:26" ht="12" hidden="1" thickBot="1" x14ac:dyDescent="0.25">
      <c r="A1834" s="567" t="s">
        <v>168</v>
      </c>
      <c r="B1834" s="644" t="s">
        <v>168</v>
      </c>
      <c r="C1834" s="645"/>
      <c r="D1834" s="422" t="s">
        <v>212</v>
      </c>
      <c r="E1834" s="423"/>
      <c r="F1834" s="424">
        <v>500</v>
      </c>
      <c r="G1834" s="425">
        <v>0.1</v>
      </c>
      <c r="H1834" s="649">
        <f>IF(F1834&lt;=30,(0.78*F1834+7.82)*G1834,((0.78*30+7.82)+0.78*(F1834-30))*G1834)</f>
        <v>39.782000000000011</v>
      </c>
      <c r="I1834" s="420"/>
      <c r="J1834" s="420"/>
      <c r="K1834" s="421">
        <f t="shared" si="434"/>
        <v>0</v>
      </c>
      <c r="L1834" s="647"/>
      <c r="M1834" s="723"/>
      <c r="N1834" s="576">
        <f t="shared" si="443"/>
        <v>0</v>
      </c>
      <c r="O1834" s="577">
        <f t="shared" si="438"/>
        <v>0</v>
      </c>
      <c r="P1834" s="578">
        <f t="shared" si="439"/>
        <v>0</v>
      </c>
      <c r="Q1834" s="765"/>
      <c r="R1834" s="723"/>
      <c r="S1834" s="723"/>
      <c r="T1834" s="577">
        <f t="shared" si="435"/>
        <v>0</v>
      </c>
      <c r="U1834" s="578">
        <f t="shared" si="436"/>
        <v>0</v>
      </c>
      <c r="V1834" s="579"/>
      <c r="W1834" s="566" t="str">
        <f>IF(U1833&gt;0,"xx",IF(P1833&gt;0,"xy",""))</f>
        <v/>
      </c>
      <c r="X1834" s="586" t="str">
        <f t="shared" si="440"/>
        <v/>
      </c>
      <c r="Y1834" s="586" t="str">
        <f t="shared" si="431"/>
        <v/>
      </c>
      <c r="Z1834" s="586" t="str">
        <f t="shared" si="445"/>
        <v/>
      </c>
    </row>
    <row r="1835" spans="1:26" ht="12" hidden="1" thickBot="1" x14ac:dyDescent="0.25">
      <c r="A1835" s="567" t="s">
        <v>168</v>
      </c>
      <c r="B1835" s="644" t="s">
        <v>168</v>
      </c>
      <c r="C1835" s="645"/>
      <c r="D1835" s="422" t="s">
        <v>248</v>
      </c>
      <c r="E1835" s="423"/>
      <c r="F1835" s="424">
        <v>180</v>
      </c>
      <c r="G1835" s="425">
        <v>0.51</v>
      </c>
      <c r="H1835" s="663">
        <f t="shared" ref="H1835:H1840" si="446">IF(F1835&lt;=30,(1.07*F1835+2.68)*G1835,((1.07*30+2.68)+1.07*(F1835-30))*G1835)</f>
        <v>99.592799999999997</v>
      </c>
      <c r="I1835" s="420"/>
      <c r="J1835" s="420"/>
      <c r="K1835" s="421">
        <f t="shared" si="434"/>
        <v>0</v>
      </c>
      <c r="L1835" s="647"/>
      <c r="M1835" s="723"/>
      <c r="N1835" s="576">
        <f t="shared" si="443"/>
        <v>0</v>
      </c>
      <c r="O1835" s="577">
        <f t="shared" si="438"/>
        <v>0</v>
      </c>
      <c r="P1835" s="578">
        <f t="shared" si="439"/>
        <v>0</v>
      </c>
      <c r="Q1835" s="765"/>
      <c r="R1835" s="723"/>
      <c r="S1835" s="723"/>
      <c r="T1835" s="577">
        <f t="shared" si="435"/>
        <v>0</v>
      </c>
      <c r="U1835" s="578">
        <f t="shared" si="436"/>
        <v>0</v>
      </c>
      <c r="V1835" s="579"/>
      <c r="W1835" s="566" t="str">
        <f>IF(U1833&gt;0,"xx",IF(P1833&gt;0,"xy",""))</f>
        <v/>
      </c>
      <c r="X1835" s="586" t="str">
        <f t="shared" si="440"/>
        <v/>
      </c>
      <c r="Y1835" s="586" t="str">
        <f t="shared" si="431"/>
        <v/>
      </c>
      <c r="Z1835" s="586" t="str">
        <f t="shared" si="445"/>
        <v/>
      </c>
    </row>
    <row r="1836" spans="1:26" ht="12" hidden="1" thickBot="1" x14ac:dyDescent="0.25">
      <c r="A1836" s="567" t="s">
        <v>168</v>
      </c>
      <c r="B1836" s="644" t="s">
        <v>168</v>
      </c>
      <c r="C1836" s="645"/>
      <c r="D1836" s="422" t="s">
        <v>252</v>
      </c>
      <c r="E1836" s="423"/>
      <c r="F1836" s="424">
        <v>20</v>
      </c>
      <c r="G1836" s="425">
        <v>1.5</v>
      </c>
      <c r="H1836" s="663">
        <f t="shared" si="446"/>
        <v>36.120000000000005</v>
      </c>
      <c r="I1836" s="420"/>
      <c r="J1836" s="420"/>
      <c r="K1836" s="421">
        <f t="shared" si="434"/>
        <v>0</v>
      </c>
      <c r="L1836" s="647"/>
      <c r="M1836" s="723"/>
      <c r="N1836" s="576">
        <f t="shared" si="443"/>
        <v>0</v>
      </c>
      <c r="O1836" s="577">
        <f t="shared" si="438"/>
        <v>0</v>
      </c>
      <c r="P1836" s="578">
        <f t="shared" si="439"/>
        <v>0</v>
      </c>
      <c r="Q1836" s="765"/>
      <c r="R1836" s="723"/>
      <c r="S1836" s="723"/>
      <c r="T1836" s="577">
        <f t="shared" si="435"/>
        <v>0</v>
      </c>
      <c r="U1836" s="578">
        <f t="shared" si="436"/>
        <v>0</v>
      </c>
      <c r="V1836" s="579"/>
      <c r="W1836" s="566" t="str">
        <f>IF(U1833&gt;0,"xx",IF(P1833&gt;0,"xy",""))</f>
        <v/>
      </c>
      <c r="X1836" s="586" t="str">
        <f t="shared" si="440"/>
        <v/>
      </c>
      <c r="Y1836" s="586" t="str">
        <f t="shared" si="431"/>
        <v/>
      </c>
      <c r="Z1836" s="586" t="str">
        <f t="shared" si="445"/>
        <v/>
      </c>
    </row>
    <row r="1837" spans="1:26" ht="12" hidden="1" thickBot="1" x14ac:dyDescent="0.25">
      <c r="A1837" s="567">
        <v>603700</v>
      </c>
      <c r="B1837" s="644" t="s">
        <v>1646</v>
      </c>
      <c r="C1837" s="645" t="s">
        <v>206</v>
      </c>
      <c r="D1837" s="422" t="s">
        <v>338</v>
      </c>
      <c r="E1837" s="423"/>
      <c r="F1837" s="424">
        <v>20</v>
      </c>
      <c r="G1837" s="425">
        <v>1.8</v>
      </c>
      <c r="H1837" s="663">
        <f t="shared" si="446"/>
        <v>43.344000000000001</v>
      </c>
      <c r="I1837" s="420">
        <v>201.64</v>
      </c>
      <c r="J1837" s="420">
        <f>IF(ISBLANK(I1837),"",SUM(H1837:I1837))</f>
        <v>244.98399999999998</v>
      </c>
      <c r="K1837" s="421">
        <f t="shared" si="434"/>
        <v>291.07</v>
      </c>
      <c r="L1837" s="647" t="s">
        <v>16</v>
      </c>
      <c r="M1837" s="576"/>
      <c r="N1837" s="576">
        <f t="shared" si="443"/>
        <v>0</v>
      </c>
      <c r="O1837" s="577">
        <f t="shared" si="438"/>
        <v>0</v>
      </c>
      <c r="P1837" s="578">
        <f t="shared" si="439"/>
        <v>0</v>
      </c>
      <c r="Q1837" s="765"/>
      <c r="R1837" s="576">
        <f t="shared" si="432"/>
        <v>0</v>
      </c>
      <c r="S1837" s="576">
        <f>N1837</f>
        <v>0</v>
      </c>
      <c r="T1837" s="577">
        <f t="shared" si="435"/>
        <v>0</v>
      </c>
      <c r="U1837" s="578">
        <f t="shared" si="436"/>
        <v>0</v>
      </c>
      <c r="V1837" s="579"/>
      <c r="W1837" s="566"/>
      <c r="X1837" s="586" t="str">
        <f t="shared" si="440"/>
        <v/>
      </c>
      <c r="Y1837" s="586" t="str">
        <f t="shared" si="431"/>
        <v/>
      </c>
      <c r="Z1837" s="586" t="str">
        <f t="shared" si="445"/>
        <v/>
      </c>
    </row>
    <row r="1838" spans="1:26" ht="12" hidden="1" thickBot="1" x14ac:dyDescent="0.25">
      <c r="A1838" s="567">
        <v>603800</v>
      </c>
      <c r="B1838" s="644" t="s">
        <v>1647</v>
      </c>
      <c r="C1838" s="645" t="s">
        <v>206</v>
      </c>
      <c r="D1838" s="422" t="s">
        <v>339</v>
      </c>
      <c r="E1838" s="423"/>
      <c r="F1838" s="424">
        <v>20</v>
      </c>
      <c r="G1838" s="425">
        <v>1.5</v>
      </c>
      <c r="H1838" s="663">
        <f t="shared" si="446"/>
        <v>36.120000000000005</v>
      </c>
      <c r="I1838" s="420">
        <v>119.45</v>
      </c>
      <c r="J1838" s="420">
        <f>IF(ISBLANK(I1838),"",SUM(H1838:I1838))</f>
        <v>155.57</v>
      </c>
      <c r="K1838" s="421">
        <f t="shared" si="434"/>
        <v>184.83</v>
      </c>
      <c r="L1838" s="647" t="s">
        <v>16</v>
      </c>
      <c r="M1838" s="576"/>
      <c r="N1838" s="576">
        <f t="shared" si="443"/>
        <v>0</v>
      </c>
      <c r="O1838" s="577">
        <f t="shared" si="438"/>
        <v>0</v>
      </c>
      <c r="P1838" s="578">
        <f t="shared" si="439"/>
        <v>0</v>
      </c>
      <c r="Q1838" s="765"/>
      <c r="R1838" s="576">
        <f>M1838</f>
        <v>0</v>
      </c>
      <c r="S1838" s="576">
        <f>N1838</f>
        <v>0</v>
      </c>
      <c r="T1838" s="577">
        <f t="shared" si="435"/>
        <v>0</v>
      </c>
      <c r="U1838" s="578">
        <f t="shared" si="436"/>
        <v>0</v>
      </c>
      <c r="V1838" s="579"/>
      <c r="W1838" s="566"/>
      <c r="X1838" s="586" t="str">
        <f t="shared" si="440"/>
        <v/>
      </c>
      <c r="Y1838" s="586" t="str">
        <f t="shared" si="431"/>
        <v/>
      </c>
      <c r="Z1838" s="586" t="str">
        <f t="shared" si="445"/>
        <v/>
      </c>
    </row>
    <row r="1839" spans="1:26" ht="12" hidden="1" thickBot="1" x14ac:dyDescent="0.25">
      <c r="A1839" s="567">
        <v>532500</v>
      </c>
      <c r="B1839" s="644" t="s">
        <v>1878</v>
      </c>
      <c r="C1839" s="645" t="s">
        <v>206</v>
      </c>
      <c r="D1839" s="451" t="s">
        <v>340</v>
      </c>
      <c r="E1839" s="423"/>
      <c r="F1839" s="424">
        <v>20</v>
      </c>
      <c r="G1839" s="425">
        <v>1.7250000000000001</v>
      </c>
      <c r="H1839" s="663">
        <f t="shared" si="446"/>
        <v>41.538000000000004</v>
      </c>
      <c r="I1839" s="420">
        <v>97.26</v>
      </c>
      <c r="J1839" s="420">
        <f>IF(ISBLANK(I1839),"",SUM(H1839:I1839))</f>
        <v>138.798</v>
      </c>
      <c r="K1839" s="421">
        <f t="shared" si="434"/>
        <v>164.91</v>
      </c>
      <c r="L1839" s="647" t="s">
        <v>16</v>
      </c>
      <c r="M1839" s="576"/>
      <c r="N1839" s="576">
        <f t="shared" si="443"/>
        <v>0</v>
      </c>
      <c r="O1839" s="577">
        <f t="shared" si="438"/>
        <v>0</v>
      </c>
      <c r="P1839" s="578">
        <f t="shared" si="439"/>
        <v>0</v>
      </c>
      <c r="Q1839" s="765"/>
      <c r="R1839" s="576">
        <f>M1839</f>
        <v>0</v>
      </c>
      <c r="S1839" s="576">
        <f>N1839</f>
        <v>0</v>
      </c>
      <c r="T1839" s="577">
        <f t="shared" si="435"/>
        <v>0</v>
      </c>
      <c r="U1839" s="578">
        <f t="shared" si="436"/>
        <v>0</v>
      </c>
      <c r="V1839" s="579"/>
      <c r="W1839" s="566"/>
      <c r="X1839" s="586" t="str">
        <f t="shared" si="440"/>
        <v/>
      </c>
      <c r="Y1839" s="586" t="str">
        <f>IF(W1839="X","x",IF(W1839="y","x",IF(W1839="xx","x",IF(U1839&gt;0,"x",""))))</f>
        <v/>
      </c>
      <c r="Z1839" s="586" t="str">
        <f t="shared" si="445"/>
        <v/>
      </c>
    </row>
    <row r="1840" spans="1:26" ht="12" hidden="1" thickBot="1" x14ac:dyDescent="0.25">
      <c r="A1840" s="567">
        <v>603900</v>
      </c>
      <c r="B1840" s="644" t="s">
        <v>1879</v>
      </c>
      <c r="C1840" s="645" t="s">
        <v>206</v>
      </c>
      <c r="D1840" s="422" t="s">
        <v>341</v>
      </c>
      <c r="E1840" s="423"/>
      <c r="F1840" s="424">
        <v>20</v>
      </c>
      <c r="G1840" s="425">
        <v>1.5</v>
      </c>
      <c r="H1840" s="663">
        <f t="shared" si="446"/>
        <v>36.120000000000005</v>
      </c>
      <c r="I1840" s="420">
        <v>124.3</v>
      </c>
      <c r="J1840" s="420">
        <f>IF(ISBLANK(I1840),"",SUM(H1840:I1840))</f>
        <v>160.42000000000002</v>
      </c>
      <c r="K1840" s="421">
        <f t="shared" si="434"/>
        <v>190.6</v>
      </c>
      <c r="L1840" s="647" t="s">
        <v>16</v>
      </c>
      <c r="M1840" s="576"/>
      <c r="N1840" s="576">
        <f t="shared" si="443"/>
        <v>0</v>
      </c>
      <c r="O1840" s="577">
        <f t="shared" si="438"/>
        <v>0</v>
      </c>
      <c r="P1840" s="578">
        <f t="shared" si="439"/>
        <v>0</v>
      </c>
      <c r="Q1840" s="765"/>
      <c r="R1840" s="576">
        <f>M1840</f>
        <v>0</v>
      </c>
      <c r="S1840" s="576">
        <f>N1840</f>
        <v>0</v>
      </c>
      <c r="T1840" s="577">
        <f t="shared" si="435"/>
        <v>0</v>
      </c>
      <c r="U1840" s="578">
        <f t="shared" si="436"/>
        <v>0</v>
      </c>
      <c r="V1840" s="579"/>
      <c r="W1840" s="566"/>
      <c r="X1840" s="586" t="str">
        <f t="shared" si="440"/>
        <v/>
      </c>
      <c r="Y1840" s="586" t="str">
        <f t="shared" si="431"/>
        <v/>
      </c>
      <c r="Z1840" s="586" t="str">
        <f t="shared" si="445"/>
        <v/>
      </c>
    </row>
    <row r="1841" spans="1:26" ht="12" hidden="1" thickBot="1" x14ac:dyDescent="0.25">
      <c r="A1841" s="567">
        <v>605000</v>
      </c>
      <c r="B1841" s="644" t="s">
        <v>1880</v>
      </c>
      <c r="C1841" s="645" t="s">
        <v>206</v>
      </c>
      <c r="D1841" s="422" t="s">
        <v>274</v>
      </c>
      <c r="E1841" s="423"/>
      <c r="F1841" s="424"/>
      <c r="G1841" s="425"/>
      <c r="H1841" s="651">
        <f>SUM(H1842:H1844)</f>
        <v>305.33319999999998</v>
      </c>
      <c r="I1841" s="420">
        <v>408.95</v>
      </c>
      <c r="J1841" s="420">
        <f>IF(ISBLANK(I1841),"",SUM(H1841:I1841))</f>
        <v>714.28319999999997</v>
      </c>
      <c r="K1841" s="421">
        <f t="shared" si="434"/>
        <v>848.64</v>
      </c>
      <c r="L1841" s="647" t="s">
        <v>16</v>
      </c>
      <c r="M1841" s="576"/>
      <c r="N1841" s="576">
        <f t="shared" si="443"/>
        <v>0</v>
      </c>
      <c r="O1841" s="577">
        <f t="shared" si="438"/>
        <v>0</v>
      </c>
      <c r="P1841" s="578">
        <f t="shared" si="439"/>
        <v>0</v>
      </c>
      <c r="Q1841" s="765"/>
      <c r="R1841" s="576">
        <f>M1841</f>
        <v>0</v>
      </c>
      <c r="S1841" s="576">
        <f>N1841</f>
        <v>0</v>
      </c>
      <c r="T1841" s="577">
        <f t="shared" si="435"/>
        <v>0</v>
      </c>
      <c r="U1841" s="578">
        <f t="shared" si="436"/>
        <v>0</v>
      </c>
      <c r="V1841" s="579"/>
      <c r="W1841" s="566"/>
      <c r="X1841" s="586" t="str">
        <f t="shared" si="440"/>
        <v/>
      </c>
      <c r="Y1841" s="586" t="str">
        <f t="shared" si="431"/>
        <v/>
      </c>
      <c r="Z1841" s="586" t="str">
        <f t="shared" si="445"/>
        <v/>
      </c>
    </row>
    <row r="1842" spans="1:26" ht="12" hidden="1" thickBot="1" x14ac:dyDescent="0.25">
      <c r="A1842" s="567" t="s">
        <v>168</v>
      </c>
      <c r="B1842" s="644" t="s">
        <v>168</v>
      </c>
      <c r="C1842" s="645"/>
      <c r="D1842" s="451" t="s">
        <v>212</v>
      </c>
      <c r="E1842" s="423"/>
      <c r="F1842" s="424">
        <v>500</v>
      </c>
      <c r="G1842" s="425">
        <v>0.18</v>
      </c>
      <c r="H1842" s="649">
        <f>IF(F1842&lt;=30,(0.78*F1842+7.82)*G1842,((0.78*30+7.82)+0.78*(F1842-30))*G1842)</f>
        <v>71.607600000000005</v>
      </c>
      <c r="I1842" s="420">
        <v>0</v>
      </c>
      <c r="J1842" s="420"/>
      <c r="K1842" s="421">
        <f t="shared" si="434"/>
        <v>0</v>
      </c>
      <c r="L1842" s="668" t="s">
        <v>614</v>
      </c>
      <c r="M1842" s="669"/>
      <c r="N1842" s="576">
        <f t="shared" si="443"/>
        <v>0</v>
      </c>
      <c r="O1842" s="577">
        <f t="shared" si="438"/>
        <v>0</v>
      </c>
      <c r="P1842" s="578">
        <f t="shared" si="439"/>
        <v>0</v>
      </c>
      <c r="Q1842" s="765"/>
      <c r="R1842" s="669"/>
      <c r="S1842" s="670"/>
      <c r="T1842" s="577">
        <f t="shared" si="435"/>
        <v>0</v>
      </c>
      <c r="U1842" s="578">
        <f t="shared" si="436"/>
        <v>0</v>
      </c>
      <c r="V1842" s="579"/>
      <c r="W1842" s="637" t="str">
        <f>IF(U1841&gt;0,"xx",IF(P1841&gt;0,"xy",""))</f>
        <v/>
      </c>
      <c r="X1842" s="586" t="str">
        <f t="shared" si="440"/>
        <v/>
      </c>
      <c r="Y1842" s="586" t="str">
        <f t="shared" si="431"/>
        <v/>
      </c>
      <c r="Z1842" s="586" t="str">
        <f t="shared" si="445"/>
        <v/>
      </c>
    </row>
    <row r="1843" spans="1:26" ht="12" hidden="1" thickBot="1" x14ac:dyDescent="0.25">
      <c r="A1843" s="567" t="s">
        <v>168</v>
      </c>
      <c r="B1843" s="644" t="s">
        <v>168</v>
      </c>
      <c r="C1843" s="645"/>
      <c r="D1843" s="451" t="s">
        <v>248</v>
      </c>
      <c r="E1843" s="423"/>
      <c r="F1843" s="424">
        <v>180</v>
      </c>
      <c r="G1843" s="425">
        <v>1.06</v>
      </c>
      <c r="H1843" s="663">
        <f t="shared" ref="H1843:H1844" si="447">IF(F1843&lt;=30,(1.07*F1843+2.68)*G1843,((1.07*30+2.68)+1.07*(F1843-30))*G1843)</f>
        <v>206.99680000000001</v>
      </c>
      <c r="I1843" s="420">
        <v>0</v>
      </c>
      <c r="J1843" s="420"/>
      <c r="K1843" s="421">
        <f t="shared" si="434"/>
        <v>0</v>
      </c>
      <c r="L1843" s="668" t="s">
        <v>614</v>
      </c>
      <c r="M1843" s="669"/>
      <c r="N1843" s="576">
        <f t="shared" si="443"/>
        <v>0</v>
      </c>
      <c r="O1843" s="577">
        <f t="shared" si="438"/>
        <v>0</v>
      </c>
      <c r="P1843" s="578">
        <f t="shared" si="439"/>
        <v>0</v>
      </c>
      <c r="Q1843" s="765"/>
      <c r="R1843" s="669"/>
      <c r="S1843" s="670"/>
      <c r="T1843" s="577">
        <f t="shared" si="435"/>
        <v>0</v>
      </c>
      <c r="U1843" s="578">
        <f t="shared" si="436"/>
        <v>0</v>
      </c>
      <c r="V1843" s="579"/>
      <c r="W1843" s="637" t="str">
        <f>IF(U1841&gt;0,"xx",IF(P1841&gt;0,"xy",""))</f>
        <v/>
      </c>
      <c r="X1843" s="586" t="str">
        <f t="shared" si="440"/>
        <v/>
      </c>
      <c r="Y1843" s="586" t="str">
        <f t="shared" si="431"/>
        <v/>
      </c>
      <c r="Z1843" s="586" t="str">
        <f t="shared" si="445"/>
        <v/>
      </c>
    </row>
    <row r="1844" spans="1:26" ht="12" hidden="1" thickBot="1" x14ac:dyDescent="0.25">
      <c r="A1844" s="567" t="s">
        <v>168</v>
      </c>
      <c r="B1844" s="644" t="s">
        <v>168</v>
      </c>
      <c r="C1844" s="645"/>
      <c r="D1844" s="451" t="s">
        <v>252</v>
      </c>
      <c r="E1844" s="423"/>
      <c r="F1844" s="424">
        <v>20</v>
      </c>
      <c r="G1844" s="425">
        <v>1.1100000000000001</v>
      </c>
      <c r="H1844" s="663">
        <f t="shared" si="447"/>
        <v>26.728800000000003</v>
      </c>
      <c r="I1844" s="420">
        <v>0</v>
      </c>
      <c r="J1844" s="420"/>
      <c r="K1844" s="421">
        <f t="shared" si="434"/>
        <v>0</v>
      </c>
      <c r="L1844" s="668" t="s">
        <v>614</v>
      </c>
      <c r="M1844" s="669"/>
      <c r="N1844" s="576">
        <f t="shared" si="443"/>
        <v>0</v>
      </c>
      <c r="O1844" s="577">
        <f t="shared" si="438"/>
        <v>0</v>
      </c>
      <c r="P1844" s="578">
        <f t="shared" si="439"/>
        <v>0</v>
      </c>
      <c r="Q1844" s="765"/>
      <c r="R1844" s="669"/>
      <c r="S1844" s="670"/>
      <c r="T1844" s="577">
        <f t="shared" si="435"/>
        <v>0</v>
      </c>
      <c r="U1844" s="578">
        <f t="shared" si="436"/>
        <v>0</v>
      </c>
      <c r="V1844" s="579"/>
      <c r="W1844" s="637" t="str">
        <f>IF(U1841&gt;0,"xx",IF(P1841&gt;0,"xy",""))</f>
        <v/>
      </c>
      <c r="X1844" s="586" t="str">
        <f t="shared" si="440"/>
        <v/>
      </c>
      <c r="Y1844" s="586" t="str">
        <f t="shared" si="431"/>
        <v/>
      </c>
      <c r="Z1844" s="586" t="str">
        <f t="shared" si="445"/>
        <v/>
      </c>
    </row>
    <row r="1845" spans="1:26" ht="12" hidden="1" thickBot="1" x14ac:dyDescent="0.25">
      <c r="A1845" s="567">
        <v>603500</v>
      </c>
      <c r="B1845" s="644">
        <v>603500</v>
      </c>
      <c r="C1845" s="645" t="s">
        <v>206</v>
      </c>
      <c r="D1845" s="422" t="s">
        <v>342</v>
      </c>
      <c r="E1845" s="423"/>
      <c r="F1845" s="424"/>
      <c r="G1845" s="425"/>
      <c r="H1845" s="651">
        <f>IF(F1845&lt;=30,(0.31*F1845+0.77)*G1845,((0.31*30+0.77)+0.31*(F1845-30))*G1845)</f>
        <v>0</v>
      </c>
      <c r="I1845" s="420">
        <v>1272.48</v>
      </c>
      <c r="J1845" s="420">
        <f>IF(ISBLANK(I1845),"",SUM(H1845:I1845))</f>
        <v>1272.48</v>
      </c>
      <c r="K1845" s="421">
        <f t="shared" si="434"/>
        <v>1511.83</v>
      </c>
      <c r="L1845" s="647" t="s">
        <v>16</v>
      </c>
      <c r="M1845" s="576"/>
      <c r="N1845" s="576">
        <f t="shared" si="443"/>
        <v>0</v>
      </c>
      <c r="O1845" s="577">
        <f t="shared" si="438"/>
        <v>0</v>
      </c>
      <c r="P1845" s="578">
        <f t="shared" si="439"/>
        <v>0</v>
      </c>
      <c r="Q1845" s="765"/>
      <c r="R1845" s="576">
        <f t="shared" ref="R1845:S1847" si="448">M1845</f>
        <v>0</v>
      </c>
      <c r="S1845" s="576">
        <f t="shared" si="448"/>
        <v>0</v>
      </c>
      <c r="T1845" s="577">
        <f t="shared" si="435"/>
        <v>0</v>
      </c>
      <c r="U1845" s="578">
        <f t="shared" si="436"/>
        <v>0</v>
      </c>
      <c r="V1845" s="579"/>
      <c r="W1845" s="566"/>
      <c r="X1845" s="586" t="str">
        <f t="shared" si="440"/>
        <v/>
      </c>
      <c r="Y1845" s="586" t="str">
        <f t="shared" si="431"/>
        <v/>
      </c>
      <c r="Z1845" s="586" t="str">
        <f t="shared" si="445"/>
        <v/>
      </c>
    </row>
    <row r="1846" spans="1:26" ht="12" hidden="1" thickBot="1" x14ac:dyDescent="0.25">
      <c r="A1846" s="567">
        <v>603500</v>
      </c>
      <c r="B1846" s="644" t="s">
        <v>1881</v>
      </c>
      <c r="C1846" s="645" t="s">
        <v>206</v>
      </c>
      <c r="D1846" s="422" t="s">
        <v>343</v>
      </c>
      <c r="E1846" s="423"/>
      <c r="F1846" s="424"/>
      <c r="G1846" s="425"/>
      <c r="H1846" s="651">
        <f>IF(F1846&lt;=30,(0.31*F1846+0.77)*G1846,((0.31*30+0.77)+0.31*(F1846-30))*G1846)</f>
        <v>0</v>
      </c>
      <c r="I1846" s="420">
        <v>806.62687000000005</v>
      </c>
      <c r="J1846" s="420">
        <f>IF(ISBLANK(I1846),"",SUM(H1846:I1846))*0.86</f>
        <v>693.69910820000007</v>
      </c>
      <c r="K1846" s="421">
        <f t="shared" si="434"/>
        <v>824.18</v>
      </c>
      <c r="L1846" s="647" t="s">
        <v>16</v>
      </c>
      <c r="M1846" s="576"/>
      <c r="N1846" s="576">
        <f t="shared" si="443"/>
        <v>0</v>
      </c>
      <c r="O1846" s="577">
        <f t="shared" si="438"/>
        <v>0</v>
      </c>
      <c r="P1846" s="578">
        <f t="shared" si="439"/>
        <v>0</v>
      </c>
      <c r="Q1846" s="765"/>
      <c r="R1846" s="576">
        <f t="shared" si="448"/>
        <v>0</v>
      </c>
      <c r="S1846" s="576">
        <f t="shared" si="448"/>
        <v>0</v>
      </c>
      <c r="T1846" s="577">
        <f t="shared" si="435"/>
        <v>0</v>
      </c>
      <c r="U1846" s="578">
        <f t="shared" si="436"/>
        <v>0</v>
      </c>
      <c r="V1846" s="579"/>
      <c r="W1846" s="566"/>
      <c r="X1846" s="586" t="str">
        <f t="shared" si="440"/>
        <v/>
      </c>
      <c r="Y1846" s="586" t="str">
        <f t="shared" si="431"/>
        <v/>
      </c>
      <c r="Z1846" s="586" t="str">
        <f t="shared" si="445"/>
        <v/>
      </c>
    </row>
    <row r="1847" spans="1:26" ht="12" hidden="1" thickBot="1" x14ac:dyDescent="0.25">
      <c r="A1847" s="567">
        <v>604000</v>
      </c>
      <c r="B1847" s="644">
        <v>604000</v>
      </c>
      <c r="C1847" s="645" t="s">
        <v>206</v>
      </c>
      <c r="D1847" s="422" t="s">
        <v>344</v>
      </c>
      <c r="E1847" s="423"/>
      <c r="F1847" s="424"/>
      <c r="G1847" s="425"/>
      <c r="H1847" s="651">
        <f>SUM(H1848:H1849)</f>
        <v>480.21987999999999</v>
      </c>
      <c r="I1847" s="420">
        <v>507.14</v>
      </c>
      <c r="J1847" s="420">
        <f>IF(ISBLANK(I1847),"",SUM(H1847:I1847))</f>
        <v>987.35987999999998</v>
      </c>
      <c r="K1847" s="421">
        <f t="shared" si="434"/>
        <v>1173.08</v>
      </c>
      <c r="L1847" s="647" t="s">
        <v>16</v>
      </c>
      <c r="M1847" s="576"/>
      <c r="N1847" s="576">
        <f t="shared" si="443"/>
        <v>0</v>
      </c>
      <c r="O1847" s="577">
        <f t="shared" si="438"/>
        <v>0</v>
      </c>
      <c r="P1847" s="578">
        <f t="shared" si="439"/>
        <v>0</v>
      </c>
      <c r="Q1847" s="765"/>
      <c r="R1847" s="576">
        <f t="shared" si="448"/>
        <v>0</v>
      </c>
      <c r="S1847" s="576">
        <f t="shared" si="448"/>
        <v>0</v>
      </c>
      <c r="T1847" s="577">
        <f t="shared" si="435"/>
        <v>0</v>
      </c>
      <c r="U1847" s="578">
        <f t="shared" si="436"/>
        <v>0</v>
      </c>
      <c r="V1847" s="579"/>
      <c r="W1847" s="566"/>
      <c r="X1847" s="586" t="str">
        <f t="shared" si="440"/>
        <v/>
      </c>
      <c r="Y1847" s="586" t="str">
        <f t="shared" si="431"/>
        <v/>
      </c>
      <c r="Z1847" s="586" t="str">
        <f t="shared" si="445"/>
        <v/>
      </c>
    </row>
    <row r="1848" spans="1:26" ht="12" hidden="1" thickBot="1" x14ac:dyDescent="0.25">
      <c r="A1848" s="567" t="s">
        <v>168</v>
      </c>
      <c r="B1848" s="644" t="s">
        <v>168</v>
      </c>
      <c r="C1848" s="645"/>
      <c r="D1848" s="422" t="s">
        <v>212</v>
      </c>
      <c r="E1848" s="423"/>
      <c r="F1848" s="424">
        <v>500</v>
      </c>
      <c r="G1848" s="425">
        <v>0.434</v>
      </c>
      <c r="H1848" s="649">
        <f>IF(F1848&lt;=30,(0.78*F1848+7.82)*G1848,((0.78*30+7.82)+0.78*(F1848-30))*G1848)</f>
        <v>172.65388000000002</v>
      </c>
      <c r="I1848" s="420"/>
      <c r="J1848" s="420"/>
      <c r="K1848" s="421">
        <f t="shared" si="434"/>
        <v>0</v>
      </c>
      <c r="L1848" s="647"/>
      <c r="M1848" s="723"/>
      <c r="N1848" s="576">
        <f t="shared" si="443"/>
        <v>0</v>
      </c>
      <c r="O1848" s="577">
        <f t="shared" si="438"/>
        <v>0</v>
      </c>
      <c r="P1848" s="578">
        <f t="shared" si="439"/>
        <v>0</v>
      </c>
      <c r="Q1848" s="765"/>
      <c r="R1848" s="723"/>
      <c r="S1848" s="723"/>
      <c r="T1848" s="577">
        <f t="shared" si="435"/>
        <v>0</v>
      </c>
      <c r="U1848" s="578">
        <f t="shared" si="436"/>
        <v>0</v>
      </c>
      <c r="V1848" s="579"/>
      <c r="W1848" s="566" t="str">
        <f>IF(U1847&gt;0,"xx",IF(P1847&gt;0,"xy",""))</f>
        <v/>
      </c>
      <c r="X1848" s="586" t="str">
        <f t="shared" si="440"/>
        <v/>
      </c>
      <c r="Y1848" s="586" t="str">
        <f t="shared" si="431"/>
        <v/>
      </c>
      <c r="Z1848" s="586" t="str">
        <f t="shared" si="445"/>
        <v/>
      </c>
    </row>
    <row r="1849" spans="1:26" ht="12" hidden="1" thickBot="1" x14ac:dyDescent="0.25">
      <c r="A1849" s="567" t="s">
        <v>168</v>
      </c>
      <c r="B1849" s="644" t="s">
        <v>168</v>
      </c>
      <c r="C1849" s="645"/>
      <c r="D1849" s="422" t="s">
        <v>248</v>
      </c>
      <c r="E1849" s="423"/>
      <c r="F1849" s="424">
        <v>180</v>
      </c>
      <c r="G1849" s="425">
        <v>1.575</v>
      </c>
      <c r="H1849" s="663">
        <f t="shared" ref="H1849" si="449">IF(F1849&lt;=30,(1.07*F1849+2.68)*G1849,((1.07*30+2.68)+1.07*(F1849-30))*G1849)</f>
        <v>307.56599999999997</v>
      </c>
      <c r="I1849" s="420"/>
      <c r="J1849" s="420"/>
      <c r="K1849" s="421">
        <f t="shared" si="434"/>
        <v>0</v>
      </c>
      <c r="L1849" s="647"/>
      <c r="M1849" s="723"/>
      <c r="N1849" s="576">
        <f t="shared" si="443"/>
        <v>0</v>
      </c>
      <c r="O1849" s="577">
        <f t="shared" si="438"/>
        <v>0</v>
      </c>
      <c r="P1849" s="578">
        <f t="shared" si="439"/>
        <v>0</v>
      </c>
      <c r="Q1849" s="765"/>
      <c r="R1849" s="723"/>
      <c r="S1849" s="723"/>
      <c r="T1849" s="577">
        <f t="shared" si="435"/>
        <v>0</v>
      </c>
      <c r="U1849" s="578">
        <f t="shared" si="436"/>
        <v>0</v>
      </c>
      <c r="V1849" s="579"/>
      <c r="W1849" s="566" t="str">
        <f>IF(U1847&gt;0,"xx",IF(P1847&gt;0,"xy",""))</f>
        <v/>
      </c>
      <c r="X1849" s="586" t="str">
        <f t="shared" si="440"/>
        <v/>
      </c>
      <c r="Y1849" s="586" t="str">
        <f t="shared" si="431"/>
        <v/>
      </c>
      <c r="Z1849" s="586" t="str">
        <f t="shared" si="445"/>
        <v/>
      </c>
    </row>
    <row r="1850" spans="1:26" ht="12" hidden="1" thickBot="1" x14ac:dyDescent="0.25">
      <c r="A1850" s="567">
        <v>604100</v>
      </c>
      <c r="B1850" s="644">
        <v>604100</v>
      </c>
      <c r="C1850" s="645" t="s">
        <v>206</v>
      </c>
      <c r="D1850" s="422" t="s">
        <v>345</v>
      </c>
      <c r="E1850" s="423"/>
      <c r="F1850" s="424"/>
      <c r="G1850" s="425"/>
      <c r="H1850" s="651">
        <f>SUM(H1851:H1852)</f>
        <v>497.14390000000003</v>
      </c>
      <c r="I1850" s="420">
        <v>449.91999999999996</v>
      </c>
      <c r="J1850" s="420">
        <f>IF(ISBLANK(I1850),"",SUM(H1850:I1850))</f>
        <v>947.06389999999999</v>
      </c>
      <c r="K1850" s="421">
        <f t="shared" si="434"/>
        <v>1125.21</v>
      </c>
      <c r="L1850" s="647" t="s">
        <v>16</v>
      </c>
      <c r="M1850" s="576"/>
      <c r="N1850" s="576">
        <f t="shared" si="443"/>
        <v>0</v>
      </c>
      <c r="O1850" s="577">
        <f t="shared" si="438"/>
        <v>0</v>
      </c>
      <c r="P1850" s="578">
        <f t="shared" si="439"/>
        <v>0</v>
      </c>
      <c r="Q1850" s="765"/>
      <c r="R1850" s="576">
        <f>M1850</f>
        <v>0</v>
      </c>
      <c r="S1850" s="576">
        <f>N1850</f>
        <v>0</v>
      </c>
      <c r="T1850" s="577">
        <f t="shared" si="435"/>
        <v>0</v>
      </c>
      <c r="U1850" s="578">
        <f t="shared" si="436"/>
        <v>0</v>
      </c>
      <c r="V1850" s="579"/>
      <c r="W1850" s="566"/>
      <c r="X1850" s="586" t="str">
        <f t="shared" si="440"/>
        <v/>
      </c>
      <c r="Y1850" s="586" t="str">
        <f t="shared" si="431"/>
        <v/>
      </c>
      <c r="Z1850" s="586" t="str">
        <f t="shared" si="445"/>
        <v/>
      </c>
    </row>
    <row r="1851" spans="1:26" ht="12" hidden="1" thickBot="1" x14ac:dyDescent="0.25">
      <c r="A1851" s="567" t="s">
        <v>168</v>
      </c>
      <c r="B1851" s="644" t="s">
        <v>168</v>
      </c>
      <c r="C1851" s="645"/>
      <c r="D1851" s="422" t="s">
        <v>212</v>
      </c>
      <c r="E1851" s="423"/>
      <c r="F1851" s="424">
        <v>500</v>
      </c>
      <c r="G1851" s="425">
        <v>0.42499999999999999</v>
      </c>
      <c r="H1851" s="649">
        <f>IF(F1851&lt;=30,(0.78*F1851+7.82)*G1851,((0.78*30+7.82)+0.78*(F1851-30))*G1851)</f>
        <v>169.07350000000002</v>
      </c>
      <c r="I1851" s="420"/>
      <c r="J1851" s="420"/>
      <c r="K1851" s="421">
        <f t="shared" si="434"/>
        <v>0</v>
      </c>
      <c r="L1851" s="647"/>
      <c r="M1851" s="723"/>
      <c r="N1851" s="576">
        <f t="shared" si="443"/>
        <v>0</v>
      </c>
      <c r="O1851" s="577">
        <f t="shared" si="438"/>
        <v>0</v>
      </c>
      <c r="P1851" s="578">
        <f t="shared" si="439"/>
        <v>0</v>
      </c>
      <c r="Q1851" s="765"/>
      <c r="R1851" s="723"/>
      <c r="S1851" s="723"/>
      <c r="T1851" s="577">
        <f t="shared" si="435"/>
        <v>0</v>
      </c>
      <c r="U1851" s="578">
        <f t="shared" si="436"/>
        <v>0</v>
      </c>
      <c r="V1851" s="579"/>
      <c r="W1851" s="566" t="str">
        <f>IF(U1850&gt;0,"xx",IF(P1850&gt;0,"xy",""))</f>
        <v/>
      </c>
      <c r="X1851" s="586" t="str">
        <f t="shared" si="440"/>
        <v/>
      </c>
      <c r="Y1851" s="586" t="str">
        <f t="shared" si="431"/>
        <v/>
      </c>
      <c r="Z1851" s="586" t="str">
        <f t="shared" si="445"/>
        <v/>
      </c>
    </row>
    <row r="1852" spans="1:26" ht="12" hidden="1" thickBot="1" x14ac:dyDescent="0.25">
      <c r="A1852" s="567" t="s">
        <v>168</v>
      </c>
      <c r="B1852" s="644" t="s">
        <v>168</v>
      </c>
      <c r="C1852" s="645"/>
      <c r="D1852" s="422" t="s">
        <v>248</v>
      </c>
      <c r="E1852" s="423"/>
      <c r="F1852" s="424">
        <v>180</v>
      </c>
      <c r="G1852" s="425">
        <v>1.68</v>
      </c>
      <c r="H1852" s="663">
        <f t="shared" ref="H1852:H1855" si="450">IF(F1852&lt;=30,(1.07*F1852+2.68)*G1852,((1.07*30+2.68)+1.07*(F1852-30))*G1852)</f>
        <v>328.07040000000001</v>
      </c>
      <c r="I1852" s="420"/>
      <c r="J1852" s="420"/>
      <c r="K1852" s="421">
        <f t="shared" si="434"/>
        <v>0</v>
      </c>
      <c r="L1852" s="647"/>
      <c r="M1852" s="723"/>
      <c r="N1852" s="576">
        <f t="shared" si="443"/>
        <v>0</v>
      </c>
      <c r="O1852" s="577">
        <f t="shared" si="438"/>
        <v>0</v>
      </c>
      <c r="P1852" s="578">
        <f t="shared" si="439"/>
        <v>0</v>
      </c>
      <c r="Q1852" s="765"/>
      <c r="R1852" s="723"/>
      <c r="S1852" s="723"/>
      <c r="T1852" s="577">
        <f t="shared" ref="T1852:T1919" si="451">IF(ISBLANK(R1852),0,ROUND(K1852*R1852,2))</f>
        <v>0</v>
      </c>
      <c r="U1852" s="578">
        <f t="shared" ref="U1852:U1919" si="452">IF(ISBLANK(R1852),0,ROUND(R1852*S1852,2))</f>
        <v>0</v>
      </c>
      <c r="V1852" s="579"/>
      <c r="W1852" s="566" t="str">
        <f>IF(U1850&gt;0,"xx",IF(P1850&gt;0,"xy",""))</f>
        <v/>
      </c>
      <c r="X1852" s="586" t="str">
        <f t="shared" si="440"/>
        <v/>
      </c>
      <c r="Y1852" s="586" t="str">
        <f t="shared" si="431"/>
        <v/>
      </c>
      <c r="Z1852" s="586" t="str">
        <f t="shared" si="445"/>
        <v/>
      </c>
    </row>
    <row r="1853" spans="1:26" ht="12" hidden="1" thickBot="1" x14ac:dyDescent="0.25">
      <c r="A1853" s="567">
        <v>640000</v>
      </c>
      <c r="B1853" s="644">
        <v>640000</v>
      </c>
      <c r="C1853" s="645" t="s">
        <v>206</v>
      </c>
      <c r="D1853" s="422" t="s">
        <v>346</v>
      </c>
      <c r="E1853" s="423"/>
      <c r="F1853" s="424"/>
      <c r="G1853" s="425"/>
      <c r="H1853" s="651">
        <f>SUM(H1854:H1855)</f>
        <v>100.25912000000001</v>
      </c>
      <c r="I1853" s="420">
        <v>95.3</v>
      </c>
      <c r="J1853" s="420">
        <f>IF(ISBLANK(I1853),"",SUM(H1853:I1853))</f>
        <v>195.55912000000001</v>
      </c>
      <c r="K1853" s="421">
        <f t="shared" si="434"/>
        <v>232.34</v>
      </c>
      <c r="L1853" s="647" t="s">
        <v>19</v>
      </c>
      <c r="M1853" s="576"/>
      <c r="N1853" s="576">
        <f t="shared" si="443"/>
        <v>0</v>
      </c>
      <c r="O1853" s="577">
        <f t="shared" ref="O1853:O1920" si="453">IF(ISBLANK(M1853),0,ROUND(K1853*M1853,2))</f>
        <v>0</v>
      </c>
      <c r="P1853" s="578">
        <f t="shared" ref="P1853:P1920" si="454">IF(ISBLANK(N1853),0,ROUND(M1853*N1853,2))</f>
        <v>0</v>
      </c>
      <c r="Q1853" s="765"/>
      <c r="R1853" s="576">
        <f>M1853</f>
        <v>0</v>
      </c>
      <c r="S1853" s="576">
        <f>N1853</f>
        <v>0</v>
      </c>
      <c r="T1853" s="577">
        <f t="shared" si="451"/>
        <v>0</v>
      </c>
      <c r="U1853" s="578">
        <f t="shared" si="452"/>
        <v>0</v>
      </c>
      <c r="V1853" s="579"/>
      <c r="W1853" s="566"/>
      <c r="X1853" s="586" t="str">
        <f t="shared" si="440"/>
        <v/>
      </c>
      <c r="Y1853" s="586" t="str">
        <f t="shared" si="431"/>
        <v/>
      </c>
      <c r="Z1853" s="586" t="str">
        <f t="shared" si="445"/>
        <v/>
      </c>
    </row>
    <row r="1854" spans="1:26" ht="12" hidden="1" thickBot="1" x14ac:dyDescent="0.25">
      <c r="A1854" s="567" t="s">
        <v>168</v>
      </c>
      <c r="B1854" s="644" t="s">
        <v>168</v>
      </c>
      <c r="C1854" s="645"/>
      <c r="D1854" s="422" t="s">
        <v>248</v>
      </c>
      <c r="E1854" s="423"/>
      <c r="F1854" s="424">
        <v>180</v>
      </c>
      <c r="G1854" s="425">
        <v>0.50700000000000001</v>
      </c>
      <c r="H1854" s="663">
        <f t="shared" si="450"/>
        <v>99.006960000000007</v>
      </c>
      <c r="I1854" s="420"/>
      <c r="J1854" s="420"/>
      <c r="K1854" s="421">
        <f t="shared" si="434"/>
        <v>0</v>
      </c>
      <c r="L1854" s="647"/>
      <c r="M1854" s="723"/>
      <c r="N1854" s="576">
        <f t="shared" si="443"/>
        <v>0</v>
      </c>
      <c r="O1854" s="577">
        <f t="shared" si="453"/>
        <v>0</v>
      </c>
      <c r="P1854" s="578">
        <f t="shared" si="454"/>
        <v>0</v>
      </c>
      <c r="Q1854" s="765"/>
      <c r="R1854" s="723"/>
      <c r="S1854" s="723"/>
      <c r="T1854" s="577">
        <f t="shared" si="451"/>
        <v>0</v>
      </c>
      <c r="U1854" s="578">
        <f t="shared" si="452"/>
        <v>0</v>
      </c>
      <c r="V1854" s="579"/>
      <c r="W1854" s="566" t="str">
        <f>IF(U1853&gt;0,"xx",IF(P1853&gt;0,"xy",""))</f>
        <v/>
      </c>
      <c r="X1854" s="586" t="str">
        <f t="shared" si="440"/>
        <v/>
      </c>
      <c r="Y1854" s="586" t="str">
        <f t="shared" si="431"/>
        <v/>
      </c>
      <c r="Z1854" s="586" t="str">
        <f t="shared" si="445"/>
        <v/>
      </c>
    </row>
    <row r="1855" spans="1:26" ht="12" hidden="1" thickBot="1" x14ac:dyDescent="0.25">
      <c r="A1855" s="567" t="s">
        <v>168</v>
      </c>
      <c r="B1855" s="644" t="s">
        <v>168</v>
      </c>
      <c r="C1855" s="645"/>
      <c r="D1855" s="422" t="s">
        <v>347</v>
      </c>
      <c r="E1855" s="423"/>
      <c r="F1855" s="424">
        <v>20</v>
      </c>
      <c r="G1855" s="425">
        <v>5.1999999999999998E-2</v>
      </c>
      <c r="H1855" s="663">
        <f t="shared" si="450"/>
        <v>1.2521599999999999</v>
      </c>
      <c r="I1855" s="420"/>
      <c r="J1855" s="420"/>
      <c r="K1855" s="421">
        <f t="shared" si="434"/>
        <v>0</v>
      </c>
      <c r="L1855" s="647"/>
      <c r="M1855" s="723"/>
      <c r="N1855" s="576">
        <f t="shared" si="443"/>
        <v>0</v>
      </c>
      <c r="O1855" s="577">
        <f t="shared" si="453"/>
        <v>0</v>
      </c>
      <c r="P1855" s="578">
        <f t="shared" si="454"/>
        <v>0</v>
      </c>
      <c r="Q1855" s="765"/>
      <c r="R1855" s="723"/>
      <c r="S1855" s="723"/>
      <c r="T1855" s="577">
        <f t="shared" si="451"/>
        <v>0</v>
      </c>
      <c r="U1855" s="578">
        <f t="shared" si="452"/>
        <v>0</v>
      </c>
      <c r="V1855" s="579"/>
      <c r="W1855" s="566" t="str">
        <f>IF(U1853&gt;0,"xx",IF(P1853&gt;0,"xy",""))</f>
        <v/>
      </c>
      <c r="X1855" s="586" t="str">
        <f t="shared" si="440"/>
        <v/>
      </c>
      <c r="Y1855" s="586" t="str">
        <f t="shared" si="431"/>
        <v/>
      </c>
      <c r="Z1855" s="586" t="str">
        <f t="shared" si="445"/>
        <v/>
      </c>
    </row>
    <row r="1856" spans="1:26" ht="12" hidden="1" thickBot="1" x14ac:dyDescent="0.25">
      <c r="A1856" s="567">
        <v>605000</v>
      </c>
      <c r="B1856" s="644" t="s">
        <v>1633</v>
      </c>
      <c r="C1856" s="645" t="s">
        <v>206</v>
      </c>
      <c r="D1856" s="422" t="s">
        <v>348</v>
      </c>
      <c r="E1856" s="423"/>
      <c r="F1856" s="424"/>
      <c r="G1856" s="425"/>
      <c r="H1856" s="651">
        <f>SUM(H1857:H1859)</f>
        <v>305.33319999999998</v>
      </c>
      <c r="I1856" s="420">
        <v>408.95</v>
      </c>
      <c r="J1856" s="420">
        <f>IF(ISBLANK(I1856),"",SUM(H1856:I1856))</f>
        <v>714.28319999999997</v>
      </c>
      <c r="K1856" s="421">
        <f t="shared" ref="K1856:K1919" si="455">IF(ISBLANK(I1856),0,ROUND(J1856*(1+$F$10)*(1+$F$11*E1856),2))</f>
        <v>848.64</v>
      </c>
      <c r="L1856" s="647" t="s">
        <v>16</v>
      </c>
      <c r="M1856" s="576"/>
      <c r="N1856" s="576">
        <f t="shared" si="443"/>
        <v>0</v>
      </c>
      <c r="O1856" s="577">
        <f t="shared" si="453"/>
        <v>0</v>
      </c>
      <c r="P1856" s="578">
        <f t="shared" si="454"/>
        <v>0</v>
      </c>
      <c r="Q1856" s="765"/>
      <c r="R1856" s="576">
        <f>M1856</f>
        <v>0</v>
      </c>
      <c r="S1856" s="576">
        <f>N1856</f>
        <v>0</v>
      </c>
      <c r="T1856" s="577">
        <f t="shared" si="451"/>
        <v>0</v>
      </c>
      <c r="U1856" s="578">
        <f t="shared" si="452"/>
        <v>0</v>
      </c>
      <c r="V1856" s="579"/>
      <c r="W1856" s="566"/>
      <c r="X1856" s="586" t="str">
        <f t="shared" si="440"/>
        <v/>
      </c>
      <c r="Y1856" s="586" t="str">
        <f t="shared" si="431"/>
        <v/>
      </c>
      <c r="Z1856" s="586" t="str">
        <f t="shared" si="445"/>
        <v/>
      </c>
    </row>
    <row r="1857" spans="1:26" ht="12" hidden="1" thickBot="1" x14ac:dyDescent="0.25">
      <c r="A1857" s="567" t="s">
        <v>168</v>
      </c>
      <c r="B1857" s="644" t="s">
        <v>168</v>
      </c>
      <c r="C1857" s="645"/>
      <c r="D1857" s="422" t="s">
        <v>212</v>
      </c>
      <c r="E1857" s="423"/>
      <c r="F1857" s="424">
        <v>500</v>
      </c>
      <c r="G1857" s="425">
        <v>0.18</v>
      </c>
      <c r="H1857" s="649">
        <f>IF(F1857&lt;=30,(0.78*F1857+7.82)*G1857,((0.78*30+7.82)+0.78*(F1857-30))*G1857)</f>
        <v>71.607600000000005</v>
      </c>
      <c r="I1857" s="420"/>
      <c r="J1857" s="420"/>
      <c r="K1857" s="421">
        <f t="shared" si="455"/>
        <v>0</v>
      </c>
      <c r="L1857" s="647"/>
      <c r="M1857" s="723"/>
      <c r="N1857" s="576">
        <f t="shared" si="443"/>
        <v>0</v>
      </c>
      <c r="O1857" s="577">
        <f t="shared" si="453"/>
        <v>0</v>
      </c>
      <c r="P1857" s="578">
        <f t="shared" si="454"/>
        <v>0</v>
      </c>
      <c r="Q1857" s="765"/>
      <c r="R1857" s="723"/>
      <c r="S1857" s="723"/>
      <c r="T1857" s="577">
        <f t="shared" si="451"/>
        <v>0</v>
      </c>
      <c r="U1857" s="578">
        <f t="shared" si="452"/>
        <v>0</v>
      </c>
      <c r="V1857" s="579"/>
      <c r="W1857" s="566" t="str">
        <f>IF(U1856&gt;0,"xx",IF(P1856&gt;0,"xy",""))</f>
        <v/>
      </c>
      <c r="X1857" s="586" t="str">
        <f t="shared" si="440"/>
        <v/>
      </c>
      <c r="Y1857" s="586" t="str">
        <f t="shared" si="431"/>
        <v/>
      </c>
      <c r="Z1857" s="586" t="str">
        <f t="shared" si="445"/>
        <v/>
      </c>
    </row>
    <row r="1858" spans="1:26" ht="12" hidden="1" thickBot="1" x14ac:dyDescent="0.25">
      <c r="A1858" s="567" t="s">
        <v>168</v>
      </c>
      <c r="B1858" s="644" t="s">
        <v>168</v>
      </c>
      <c r="C1858" s="645"/>
      <c r="D1858" s="422" t="s">
        <v>248</v>
      </c>
      <c r="E1858" s="423"/>
      <c r="F1858" s="424">
        <v>180</v>
      </c>
      <c r="G1858" s="425">
        <v>1.06</v>
      </c>
      <c r="H1858" s="663">
        <f t="shared" ref="H1858:H1859" si="456">IF(F1858&lt;=30,(1.07*F1858+2.68)*G1858,((1.07*30+2.68)+1.07*(F1858-30))*G1858)</f>
        <v>206.99680000000001</v>
      </c>
      <c r="I1858" s="420"/>
      <c r="J1858" s="420"/>
      <c r="K1858" s="421">
        <f t="shared" si="455"/>
        <v>0</v>
      </c>
      <c r="L1858" s="647"/>
      <c r="M1858" s="723"/>
      <c r="N1858" s="576">
        <f t="shared" si="443"/>
        <v>0</v>
      </c>
      <c r="O1858" s="577">
        <f t="shared" si="453"/>
        <v>0</v>
      </c>
      <c r="P1858" s="578">
        <f t="shared" si="454"/>
        <v>0</v>
      </c>
      <c r="Q1858" s="765"/>
      <c r="R1858" s="723"/>
      <c r="S1858" s="723"/>
      <c r="T1858" s="577">
        <f t="shared" si="451"/>
        <v>0</v>
      </c>
      <c r="U1858" s="578">
        <f t="shared" si="452"/>
        <v>0</v>
      </c>
      <c r="V1858" s="579"/>
      <c r="W1858" s="566" t="str">
        <f>IF(U1856&gt;0,"xx",IF(P1856&gt;0,"xy",""))</f>
        <v/>
      </c>
      <c r="X1858" s="586" t="str">
        <f t="shared" si="440"/>
        <v/>
      </c>
      <c r="Y1858" s="586" t="str">
        <f t="shared" si="431"/>
        <v/>
      </c>
      <c r="Z1858" s="586" t="str">
        <f t="shared" si="445"/>
        <v/>
      </c>
    </row>
    <row r="1859" spans="1:26" ht="12" hidden="1" thickBot="1" x14ac:dyDescent="0.25">
      <c r="A1859" s="567" t="s">
        <v>168</v>
      </c>
      <c r="B1859" s="644" t="s">
        <v>168</v>
      </c>
      <c r="C1859" s="645"/>
      <c r="D1859" s="422" t="s">
        <v>252</v>
      </c>
      <c r="E1859" s="423"/>
      <c r="F1859" s="424">
        <v>20</v>
      </c>
      <c r="G1859" s="425">
        <v>1.1100000000000001</v>
      </c>
      <c r="H1859" s="663">
        <f t="shared" si="456"/>
        <v>26.728800000000003</v>
      </c>
      <c r="I1859" s="420"/>
      <c r="J1859" s="420"/>
      <c r="K1859" s="421">
        <f t="shared" si="455"/>
        <v>0</v>
      </c>
      <c r="L1859" s="647"/>
      <c r="M1859" s="723"/>
      <c r="N1859" s="576">
        <f t="shared" si="443"/>
        <v>0</v>
      </c>
      <c r="O1859" s="577">
        <f t="shared" si="453"/>
        <v>0</v>
      </c>
      <c r="P1859" s="578">
        <f t="shared" si="454"/>
        <v>0</v>
      </c>
      <c r="Q1859" s="765"/>
      <c r="R1859" s="723"/>
      <c r="S1859" s="723"/>
      <c r="T1859" s="577">
        <f t="shared" si="451"/>
        <v>0</v>
      </c>
      <c r="U1859" s="578">
        <f t="shared" si="452"/>
        <v>0</v>
      </c>
      <c r="V1859" s="579"/>
      <c r="W1859" s="566" t="str">
        <f>IF(U1856&gt;0,"xx",IF(P1856&gt;0,"xy",""))</f>
        <v/>
      </c>
      <c r="X1859" s="586" t="str">
        <f t="shared" si="440"/>
        <v/>
      </c>
      <c r="Y1859" s="586" t="str">
        <f t="shared" si="431"/>
        <v/>
      </c>
      <c r="Z1859" s="586" t="str">
        <f t="shared" si="445"/>
        <v/>
      </c>
    </row>
    <row r="1860" spans="1:26" ht="12" hidden="1" thickBot="1" x14ac:dyDescent="0.25">
      <c r="A1860" s="567">
        <v>606000</v>
      </c>
      <c r="B1860" s="644" t="s">
        <v>1639</v>
      </c>
      <c r="C1860" s="645" t="s">
        <v>206</v>
      </c>
      <c r="D1860" s="422" t="s">
        <v>636</v>
      </c>
      <c r="E1860" s="423"/>
      <c r="F1860" s="424"/>
      <c r="G1860" s="425"/>
      <c r="H1860" s="651">
        <f>SUM(H1861:H1863)</f>
        <v>235.96230000000003</v>
      </c>
      <c r="I1860" s="420">
        <v>365.08</v>
      </c>
      <c r="J1860" s="420">
        <f>IF(ISBLANK(I1860),"",SUM(H1860:I1860))</f>
        <v>601.04230000000007</v>
      </c>
      <c r="K1860" s="421">
        <f t="shared" si="455"/>
        <v>714.1</v>
      </c>
      <c r="L1860" s="647" t="s">
        <v>16</v>
      </c>
      <c r="M1860" s="576"/>
      <c r="N1860" s="576">
        <f t="shared" si="443"/>
        <v>0</v>
      </c>
      <c r="O1860" s="577">
        <f t="shared" si="453"/>
        <v>0</v>
      </c>
      <c r="P1860" s="578">
        <f t="shared" si="454"/>
        <v>0</v>
      </c>
      <c r="Q1860" s="765"/>
      <c r="R1860" s="576">
        <f>M1860</f>
        <v>0</v>
      </c>
      <c r="S1860" s="576">
        <f>N1860</f>
        <v>0</v>
      </c>
      <c r="T1860" s="577">
        <f t="shared" si="451"/>
        <v>0</v>
      </c>
      <c r="U1860" s="578">
        <f t="shared" si="452"/>
        <v>0</v>
      </c>
      <c r="V1860" s="579"/>
      <c r="W1860" s="566"/>
      <c r="X1860" s="586" t="str">
        <f t="shared" si="440"/>
        <v/>
      </c>
      <c r="Y1860" s="586" t="str">
        <f t="shared" si="431"/>
        <v/>
      </c>
      <c r="Z1860" s="586" t="str">
        <f t="shared" si="445"/>
        <v/>
      </c>
    </row>
    <row r="1861" spans="1:26" ht="12" hidden="1" thickBot="1" x14ac:dyDescent="0.25">
      <c r="A1861" s="567" t="s">
        <v>168</v>
      </c>
      <c r="B1861" s="644" t="s">
        <v>168</v>
      </c>
      <c r="C1861" s="645"/>
      <c r="D1861" s="422" t="s">
        <v>212</v>
      </c>
      <c r="E1861" s="423"/>
      <c r="F1861" s="424">
        <v>500</v>
      </c>
      <c r="G1861" s="425">
        <v>0.189</v>
      </c>
      <c r="H1861" s="649">
        <f>IF(F1861&lt;=30,(0.78*F1861+7.82)*G1861,((0.78*30+7.82)+0.78*(F1861-30))*G1861)</f>
        <v>75.18798000000001</v>
      </c>
      <c r="I1861" s="420"/>
      <c r="J1861" s="420"/>
      <c r="K1861" s="421">
        <f t="shared" si="455"/>
        <v>0</v>
      </c>
      <c r="L1861" s="647"/>
      <c r="M1861" s="723"/>
      <c r="N1861" s="576">
        <f t="shared" si="443"/>
        <v>0</v>
      </c>
      <c r="O1861" s="577">
        <f t="shared" si="453"/>
        <v>0</v>
      </c>
      <c r="P1861" s="578">
        <f t="shared" si="454"/>
        <v>0</v>
      </c>
      <c r="Q1861" s="765"/>
      <c r="R1861" s="723"/>
      <c r="S1861" s="723"/>
      <c r="T1861" s="577">
        <f t="shared" si="451"/>
        <v>0</v>
      </c>
      <c r="U1861" s="578">
        <f t="shared" si="452"/>
        <v>0</v>
      </c>
      <c r="V1861" s="579"/>
      <c r="W1861" s="566" t="str">
        <f>IF(U1860&gt;0,"xx",IF(P1860&gt;0,"xy",""))</f>
        <v/>
      </c>
      <c r="X1861" s="586" t="str">
        <f t="shared" si="440"/>
        <v/>
      </c>
      <c r="Y1861" s="586" t="str">
        <f t="shared" si="431"/>
        <v/>
      </c>
      <c r="Z1861" s="586" t="str">
        <f t="shared" si="445"/>
        <v/>
      </c>
    </row>
    <row r="1862" spans="1:26" ht="12" hidden="1" thickBot="1" x14ac:dyDescent="0.25">
      <c r="A1862" s="567" t="s">
        <v>168</v>
      </c>
      <c r="B1862" s="644" t="s">
        <v>168</v>
      </c>
      <c r="C1862" s="645"/>
      <c r="D1862" s="422" t="s">
        <v>248</v>
      </c>
      <c r="E1862" s="423"/>
      <c r="F1862" s="424">
        <v>180</v>
      </c>
      <c r="G1862" s="425">
        <v>0.67200000000000004</v>
      </c>
      <c r="H1862" s="663">
        <f t="shared" ref="H1862:H1863" si="457">IF(F1862&lt;=30,(1.07*F1862+2.68)*G1862,((1.07*30+2.68)+1.07*(F1862-30))*G1862)</f>
        <v>131.22816</v>
      </c>
      <c r="I1862" s="420"/>
      <c r="J1862" s="420"/>
      <c r="K1862" s="421">
        <f t="shared" si="455"/>
        <v>0</v>
      </c>
      <c r="L1862" s="647"/>
      <c r="M1862" s="723"/>
      <c r="N1862" s="576">
        <f t="shared" si="443"/>
        <v>0</v>
      </c>
      <c r="O1862" s="577">
        <f t="shared" si="453"/>
        <v>0</v>
      </c>
      <c r="P1862" s="578">
        <f t="shared" si="454"/>
        <v>0</v>
      </c>
      <c r="Q1862" s="765"/>
      <c r="R1862" s="723"/>
      <c r="S1862" s="723"/>
      <c r="T1862" s="577">
        <f t="shared" si="451"/>
        <v>0</v>
      </c>
      <c r="U1862" s="578">
        <f t="shared" si="452"/>
        <v>0</v>
      </c>
      <c r="V1862" s="579"/>
      <c r="W1862" s="566" t="str">
        <f>IF(U1860&gt;0,"xx",IF(P1860&gt;0,"xy",""))</f>
        <v/>
      </c>
      <c r="X1862" s="586" t="str">
        <f t="shared" si="440"/>
        <v/>
      </c>
      <c r="Y1862" s="586" t="str">
        <f t="shared" si="431"/>
        <v/>
      </c>
      <c r="Z1862" s="586" t="str">
        <f t="shared" si="445"/>
        <v/>
      </c>
    </row>
    <row r="1863" spans="1:26" ht="12" hidden="1" thickBot="1" x14ac:dyDescent="0.25">
      <c r="A1863" s="567" t="s">
        <v>168</v>
      </c>
      <c r="B1863" s="644" t="s">
        <v>168</v>
      </c>
      <c r="C1863" s="645"/>
      <c r="D1863" s="422" t="s">
        <v>350</v>
      </c>
      <c r="E1863" s="423"/>
      <c r="F1863" s="424">
        <v>20</v>
      </c>
      <c r="G1863" s="425">
        <v>1.2270000000000001</v>
      </c>
      <c r="H1863" s="663">
        <f t="shared" si="457"/>
        <v>29.546160000000004</v>
      </c>
      <c r="I1863" s="420"/>
      <c r="J1863" s="420"/>
      <c r="K1863" s="421">
        <f t="shared" si="455"/>
        <v>0</v>
      </c>
      <c r="L1863" s="647"/>
      <c r="M1863" s="723"/>
      <c r="N1863" s="576">
        <f t="shared" si="443"/>
        <v>0</v>
      </c>
      <c r="O1863" s="577">
        <f t="shared" si="453"/>
        <v>0</v>
      </c>
      <c r="P1863" s="578">
        <f t="shared" si="454"/>
        <v>0</v>
      </c>
      <c r="Q1863" s="765"/>
      <c r="R1863" s="723"/>
      <c r="S1863" s="723"/>
      <c r="T1863" s="577">
        <f t="shared" si="451"/>
        <v>0</v>
      </c>
      <c r="U1863" s="578">
        <f t="shared" si="452"/>
        <v>0</v>
      </c>
      <c r="V1863" s="579"/>
      <c r="W1863" s="566" t="str">
        <f>IF(U1860&gt;0,"xx",IF(P1860&gt;0,"xy",""))</f>
        <v/>
      </c>
      <c r="X1863" s="586" t="str">
        <f t="shared" si="440"/>
        <v/>
      </c>
      <c r="Y1863" s="586" t="str">
        <f t="shared" si="431"/>
        <v/>
      </c>
      <c r="Z1863" s="586" t="str">
        <f t="shared" si="445"/>
        <v/>
      </c>
    </row>
    <row r="1864" spans="1:26" ht="12" hidden="1" thickBot="1" x14ac:dyDescent="0.25">
      <c r="A1864" s="567">
        <v>605100</v>
      </c>
      <c r="B1864" s="644">
        <v>605100</v>
      </c>
      <c r="C1864" s="645" t="s">
        <v>206</v>
      </c>
      <c r="D1864" s="422" t="s">
        <v>1511</v>
      </c>
      <c r="E1864" s="423"/>
      <c r="F1864" s="424"/>
      <c r="G1864" s="425"/>
      <c r="H1864" s="651">
        <f>SUM(H1865:H1867)</f>
        <v>313.28960000000001</v>
      </c>
      <c r="I1864" s="420">
        <v>420.33</v>
      </c>
      <c r="J1864" s="420">
        <f>IF(ISBLANK(I1864),"",SUM(H1864:I1864))</f>
        <v>733.61959999999999</v>
      </c>
      <c r="K1864" s="421">
        <f t="shared" si="455"/>
        <v>871.61</v>
      </c>
      <c r="L1864" s="647" t="s">
        <v>16</v>
      </c>
      <c r="M1864" s="576"/>
      <c r="N1864" s="576">
        <f t="shared" si="443"/>
        <v>0</v>
      </c>
      <c r="O1864" s="577">
        <f t="shared" si="453"/>
        <v>0</v>
      </c>
      <c r="P1864" s="578">
        <f t="shared" si="454"/>
        <v>0</v>
      </c>
      <c r="Q1864" s="765"/>
      <c r="R1864" s="576">
        <f>M1864</f>
        <v>0</v>
      </c>
      <c r="S1864" s="576">
        <f>N1864</f>
        <v>0</v>
      </c>
      <c r="T1864" s="577">
        <f t="shared" si="451"/>
        <v>0</v>
      </c>
      <c r="U1864" s="578">
        <f t="shared" si="452"/>
        <v>0</v>
      </c>
      <c r="V1864" s="579"/>
      <c r="W1864" s="566"/>
      <c r="X1864" s="586" t="str">
        <f>IF(W1864="X","x",IF(W1864="xx","x",IF(W1864="xy","x",IF(W1864="y","x",IF(OR(P1864&gt;0,U1864&gt;0),"x","")))))</f>
        <v/>
      </c>
      <c r="Y1864" s="586" t="str">
        <f>IF(W1864="X","x",IF(W1864="y","x",IF(W1864="xx","x",IF(U1864&gt;0,"x",""))))</f>
        <v/>
      </c>
      <c r="Z1864" s="586" t="str">
        <f>IF(W1864="X","x",IF(U1864&gt;0,"x",""))</f>
        <v/>
      </c>
    </row>
    <row r="1865" spans="1:26" ht="12" hidden="1" thickBot="1" x14ac:dyDescent="0.25">
      <c r="A1865" s="567" t="s">
        <v>168</v>
      </c>
      <c r="B1865" s="644" t="s">
        <v>168</v>
      </c>
      <c r="C1865" s="645"/>
      <c r="D1865" s="422" t="s">
        <v>212</v>
      </c>
      <c r="E1865" s="423"/>
      <c r="F1865" s="424">
        <v>500</v>
      </c>
      <c r="G1865" s="425">
        <v>0.2</v>
      </c>
      <c r="H1865" s="649">
        <f>IF(F1865&lt;=30,(0.78*F1865+7.82)*G1865,((0.78*30+7.82)+0.78*(F1865-30))*G1865)</f>
        <v>79.564000000000021</v>
      </c>
      <c r="I1865" s="420"/>
      <c r="J1865" s="420"/>
      <c r="K1865" s="421">
        <f t="shared" si="455"/>
        <v>0</v>
      </c>
      <c r="L1865" s="647"/>
      <c r="M1865" s="723"/>
      <c r="N1865" s="576">
        <f t="shared" si="443"/>
        <v>0</v>
      </c>
      <c r="O1865" s="577">
        <f t="shared" si="453"/>
        <v>0</v>
      </c>
      <c r="P1865" s="578">
        <f t="shared" si="454"/>
        <v>0</v>
      </c>
      <c r="Q1865" s="765"/>
      <c r="R1865" s="723"/>
      <c r="S1865" s="723"/>
      <c r="T1865" s="577">
        <f t="shared" si="451"/>
        <v>0</v>
      </c>
      <c r="U1865" s="578">
        <f t="shared" si="452"/>
        <v>0</v>
      </c>
      <c r="V1865" s="579"/>
      <c r="W1865" s="566" t="str">
        <f>IF(U1864&gt;0,"xx",IF(P1864&gt;0,"xy",""))</f>
        <v/>
      </c>
      <c r="X1865" s="586" t="str">
        <f>IF(W1865="X","x",IF(W1865="xx","x",IF(W1865="xy","x",IF(W1865="y","x",IF(OR(P1865&gt;0,U1865&gt;0),"x","")))))</f>
        <v/>
      </c>
      <c r="Y1865" s="586" t="str">
        <f>IF(W1865="X","x",IF(W1865="y","x",IF(W1865="xx","x",IF(U1865&gt;0,"x",""))))</f>
        <v/>
      </c>
      <c r="Z1865" s="586" t="str">
        <f>IF(W1865="X","x",IF(U1865&gt;0,"x",""))</f>
        <v/>
      </c>
    </row>
    <row r="1866" spans="1:26" ht="12" hidden="1" thickBot="1" x14ac:dyDescent="0.25">
      <c r="A1866" s="567" t="s">
        <v>168</v>
      </c>
      <c r="B1866" s="644" t="s">
        <v>168</v>
      </c>
      <c r="C1866" s="645"/>
      <c r="D1866" s="422" t="s">
        <v>248</v>
      </c>
      <c r="E1866" s="423"/>
      <c r="F1866" s="424">
        <v>180</v>
      </c>
      <c r="G1866" s="425">
        <v>1.06</v>
      </c>
      <c r="H1866" s="663">
        <f t="shared" ref="H1866:H1867" si="458">IF(F1866&lt;=30,(1.07*F1866+2.68)*G1866,((1.07*30+2.68)+1.07*(F1866-30))*G1866)</f>
        <v>206.99680000000001</v>
      </c>
      <c r="I1866" s="420"/>
      <c r="J1866" s="420"/>
      <c r="K1866" s="421">
        <f t="shared" si="455"/>
        <v>0</v>
      </c>
      <c r="L1866" s="647"/>
      <c r="M1866" s="723"/>
      <c r="N1866" s="576">
        <f t="shared" si="443"/>
        <v>0</v>
      </c>
      <c r="O1866" s="577">
        <f t="shared" si="453"/>
        <v>0</v>
      </c>
      <c r="P1866" s="578">
        <f t="shared" si="454"/>
        <v>0</v>
      </c>
      <c r="Q1866" s="765"/>
      <c r="R1866" s="723"/>
      <c r="S1866" s="723"/>
      <c r="T1866" s="577">
        <f t="shared" si="451"/>
        <v>0</v>
      </c>
      <c r="U1866" s="578">
        <f t="shared" si="452"/>
        <v>0</v>
      </c>
      <c r="V1866" s="579"/>
      <c r="W1866" s="566" t="str">
        <f>IF(U1864&gt;0,"xx",IF(P1864&gt;0,"xy",""))</f>
        <v/>
      </c>
      <c r="X1866" s="586" t="str">
        <f>IF(W1866="X","x",IF(W1866="xx","x",IF(W1866="xy","x",IF(W1866="y","x",IF(OR(P1866&gt;0,U1866&gt;0),"x","")))))</f>
        <v/>
      </c>
      <c r="Y1866" s="586" t="str">
        <f>IF(W1866="X","x",IF(W1866="y","x",IF(W1866="xx","x",IF(U1866&gt;0,"x",""))))</f>
        <v/>
      </c>
      <c r="Z1866" s="586" t="str">
        <f>IF(W1866="X","x",IF(U1866&gt;0,"x",""))</f>
        <v/>
      </c>
    </row>
    <row r="1867" spans="1:26" ht="12" hidden="1" thickBot="1" x14ac:dyDescent="0.25">
      <c r="A1867" s="567" t="s">
        <v>168</v>
      </c>
      <c r="B1867" s="644" t="s">
        <v>168</v>
      </c>
      <c r="C1867" s="645"/>
      <c r="D1867" s="422" t="s">
        <v>252</v>
      </c>
      <c r="E1867" s="423"/>
      <c r="F1867" s="424">
        <v>20</v>
      </c>
      <c r="G1867" s="425">
        <v>1.1100000000000001</v>
      </c>
      <c r="H1867" s="663">
        <f t="shared" si="458"/>
        <v>26.728800000000003</v>
      </c>
      <c r="I1867" s="420"/>
      <c r="J1867" s="420"/>
      <c r="K1867" s="421">
        <f t="shared" si="455"/>
        <v>0</v>
      </c>
      <c r="L1867" s="647"/>
      <c r="M1867" s="723"/>
      <c r="N1867" s="576">
        <f t="shared" si="443"/>
        <v>0</v>
      </c>
      <c r="O1867" s="577">
        <f t="shared" si="453"/>
        <v>0</v>
      </c>
      <c r="P1867" s="578">
        <f t="shared" si="454"/>
        <v>0</v>
      </c>
      <c r="Q1867" s="765"/>
      <c r="R1867" s="723"/>
      <c r="S1867" s="723"/>
      <c r="T1867" s="577">
        <f t="shared" si="451"/>
        <v>0</v>
      </c>
      <c r="U1867" s="578">
        <f t="shared" si="452"/>
        <v>0</v>
      </c>
      <c r="V1867" s="579"/>
      <c r="W1867" s="566" t="str">
        <f>IF(U1864&gt;0,"xx",IF(P1864&gt;0,"xy",""))</f>
        <v/>
      </c>
      <c r="X1867" s="586" t="str">
        <f>IF(W1867="X","x",IF(W1867="xx","x",IF(W1867="xy","x",IF(W1867="y","x",IF(OR(P1867&gt;0,U1867&gt;0),"x","")))))</f>
        <v/>
      </c>
      <c r="Y1867" s="586" t="str">
        <f>IF(W1867="X","x",IF(W1867="y","x",IF(W1867="xx","x",IF(U1867&gt;0,"x",""))))</f>
        <v/>
      </c>
      <c r="Z1867" s="586" t="str">
        <f>IF(W1867="X","x",IF(U1867&gt;0,"x",""))</f>
        <v/>
      </c>
    </row>
    <row r="1868" spans="1:26" ht="12" hidden="1" thickBot="1" x14ac:dyDescent="0.25">
      <c r="A1868" s="567">
        <v>605200</v>
      </c>
      <c r="B1868" s="644" t="s">
        <v>1641</v>
      </c>
      <c r="C1868" s="645" t="s">
        <v>206</v>
      </c>
      <c r="D1868" s="422" t="s">
        <v>351</v>
      </c>
      <c r="E1868" s="423"/>
      <c r="F1868" s="424"/>
      <c r="G1868" s="425"/>
      <c r="H1868" s="651">
        <f>SUM(H1869:H1871)</f>
        <v>321.60899999999998</v>
      </c>
      <c r="I1868" s="420">
        <v>455.36</v>
      </c>
      <c r="J1868" s="420">
        <f>IF(ISBLANK(I1868),"",SUM(H1868:I1868))</f>
        <v>776.96900000000005</v>
      </c>
      <c r="K1868" s="421">
        <f t="shared" si="455"/>
        <v>923.12</v>
      </c>
      <c r="L1868" s="647" t="s">
        <v>16</v>
      </c>
      <c r="M1868" s="576"/>
      <c r="N1868" s="576">
        <f t="shared" si="443"/>
        <v>0</v>
      </c>
      <c r="O1868" s="577">
        <f t="shared" si="453"/>
        <v>0</v>
      </c>
      <c r="P1868" s="578">
        <f t="shared" si="454"/>
        <v>0</v>
      </c>
      <c r="Q1868" s="765"/>
      <c r="R1868" s="576">
        <f>M1868</f>
        <v>0</v>
      </c>
      <c r="S1868" s="576">
        <f>N1868</f>
        <v>0</v>
      </c>
      <c r="T1868" s="577">
        <f t="shared" si="451"/>
        <v>0</v>
      </c>
      <c r="U1868" s="578">
        <f t="shared" si="452"/>
        <v>0</v>
      </c>
      <c r="V1868" s="579"/>
      <c r="W1868" s="566"/>
      <c r="X1868" s="586" t="str">
        <f t="shared" si="440"/>
        <v/>
      </c>
      <c r="Y1868" s="586" t="str">
        <f t="shared" si="431"/>
        <v/>
      </c>
      <c r="Z1868" s="586" t="str">
        <f t="shared" si="445"/>
        <v/>
      </c>
    </row>
    <row r="1869" spans="1:26" ht="12" hidden="1" thickBot="1" x14ac:dyDescent="0.25">
      <c r="A1869" s="567" t="s">
        <v>168</v>
      </c>
      <c r="B1869" s="644" t="s">
        <v>168</v>
      </c>
      <c r="C1869" s="645"/>
      <c r="D1869" s="422" t="s">
        <v>212</v>
      </c>
      <c r="E1869" s="423"/>
      <c r="F1869" s="424">
        <v>500</v>
      </c>
      <c r="G1869" s="425">
        <v>0.27</v>
      </c>
      <c r="H1869" s="649">
        <f>IF(F1869&lt;=30,(0.78*F1869+7.82)*G1869,((0.78*30+7.82)+0.78*(F1869-30))*G1869)</f>
        <v>107.41140000000001</v>
      </c>
      <c r="I1869" s="420"/>
      <c r="J1869" s="420"/>
      <c r="K1869" s="421">
        <f t="shared" si="455"/>
        <v>0</v>
      </c>
      <c r="L1869" s="647"/>
      <c r="M1869" s="723"/>
      <c r="N1869" s="576">
        <f t="shared" si="443"/>
        <v>0</v>
      </c>
      <c r="O1869" s="577">
        <f t="shared" si="453"/>
        <v>0</v>
      </c>
      <c r="P1869" s="578">
        <f t="shared" si="454"/>
        <v>0</v>
      </c>
      <c r="Q1869" s="765"/>
      <c r="R1869" s="723"/>
      <c r="S1869" s="723"/>
      <c r="T1869" s="577">
        <f t="shared" si="451"/>
        <v>0</v>
      </c>
      <c r="U1869" s="578">
        <f t="shared" si="452"/>
        <v>0</v>
      </c>
      <c r="V1869" s="579"/>
      <c r="W1869" s="566" t="str">
        <f>IF(U1868&gt;0,"xx",IF(P1868&gt;0,"xy",""))</f>
        <v/>
      </c>
      <c r="X1869" s="586" t="str">
        <f t="shared" si="440"/>
        <v/>
      </c>
      <c r="Y1869" s="586" t="str">
        <f t="shared" si="431"/>
        <v/>
      </c>
      <c r="Z1869" s="586" t="str">
        <f t="shared" si="445"/>
        <v/>
      </c>
    </row>
    <row r="1870" spans="1:26" ht="12" hidden="1" thickBot="1" x14ac:dyDescent="0.25">
      <c r="A1870" s="567" t="s">
        <v>168</v>
      </c>
      <c r="B1870" s="644" t="s">
        <v>168</v>
      </c>
      <c r="C1870" s="645"/>
      <c r="D1870" s="422" t="s">
        <v>248</v>
      </c>
      <c r="E1870" s="423"/>
      <c r="F1870" s="424">
        <v>180</v>
      </c>
      <c r="G1870" s="425">
        <v>0.96</v>
      </c>
      <c r="H1870" s="663">
        <f t="shared" ref="H1870:H1871" si="459">IF(F1870&lt;=30,(1.07*F1870+2.68)*G1870,((1.07*30+2.68)+1.07*(F1870-30))*G1870)</f>
        <v>187.46879999999999</v>
      </c>
      <c r="I1870" s="420"/>
      <c r="J1870" s="420"/>
      <c r="K1870" s="421">
        <f t="shared" si="455"/>
        <v>0</v>
      </c>
      <c r="L1870" s="647"/>
      <c r="M1870" s="723"/>
      <c r="N1870" s="576">
        <f t="shared" si="443"/>
        <v>0</v>
      </c>
      <c r="O1870" s="577">
        <f t="shared" si="453"/>
        <v>0</v>
      </c>
      <c r="P1870" s="578">
        <f t="shared" si="454"/>
        <v>0</v>
      </c>
      <c r="Q1870" s="765"/>
      <c r="R1870" s="723"/>
      <c r="S1870" s="723"/>
      <c r="T1870" s="577">
        <f t="shared" si="451"/>
        <v>0</v>
      </c>
      <c r="U1870" s="578">
        <f t="shared" si="452"/>
        <v>0</v>
      </c>
      <c r="V1870" s="579"/>
      <c r="W1870" s="566" t="str">
        <f>IF(U1868&gt;0,"xx",IF(P1868&gt;0,"xy",""))</f>
        <v/>
      </c>
      <c r="X1870" s="586" t="str">
        <f t="shared" si="440"/>
        <v/>
      </c>
      <c r="Y1870" s="586" t="str">
        <f t="shared" si="431"/>
        <v/>
      </c>
      <c r="Z1870" s="586" t="str">
        <f t="shared" si="445"/>
        <v/>
      </c>
    </row>
    <row r="1871" spans="1:26" ht="12" hidden="1" thickBot="1" x14ac:dyDescent="0.25">
      <c r="A1871" s="567" t="s">
        <v>168</v>
      </c>
      <c r="B1871" s="644" t="s">
        <v>168</v>
      </c>
      <c r="C1871" s="645"/>
      <c r="D1871" s="422" t="s">
        <v>252</v>
      </c>
      <c r="E1871" s="423"/>
      <c r="F1871" s="424">
        <v>20</v>
      </c>
      <c r="G1871" s="425">
        <v>1.1100000000000001</v>
      </c>
      <c r="H1871" s="663">
        <f t="shared" si="459"/>
        <v>26.728800000000003</v>
      </c>
      <c r="I1871" s="420"/>
      <c r="J1871" s="420"/>
      <c r="K1871" s="421">
        <f t="shared" si="455"/>
        <v>0</v>
      </c>
      <c r="L1871" s="647"/>
      <c r="M1871" s="723"/>
      <c r="N1871" s="576">
        <f t="shared" si="443"/>
        <v>0</v>
      </c>
      <c r="O1871" s="577">
        <f t="shared" si="453"/>
        <v>0</v>
      </c>
      <c r="P1871" s="578">
        <f t="shared" si="454"/>
        <v>0</v>
      </c>
      <c r="Q1871" s="765"/>
      <c r="R1871" s="723"/>
      <c r="S1871" s="723"/>
      <c r="T1871" s="577">
        <f t="shared" si="451"/>
        <v>0</v>
      </c>
      <c r="U1871" s="578">
        <f t="shared" si="452"/>
        <v>0</v>
      </c>
      <c r="V1871" s="579"/>
      <c r="W1871" s="566" t="str">
        <f>IF(U1868&gt;0,"xx",IF(P1868&gt;0,"xy",""))</f>
        <v/>
      </c>
      <c r="X1871" s="586" t="str">
        <f t="shared" si="440"/>
        <v/>
      </c>
      <c r="Y1871" s="586" t="str">
        <f t="shared" si="431"/>
        <v/>
      </c>
      <c r="Z1871" s="586" t="str">
        <f t="shared" si="445"/>
        <v/>
      </c>
    </row>
    <row r="1872" spans="1:26" ht="12" hidden="1" thickBot="1" x14ac:dyDescent="0.25">
      <c r="A1872" s="567">
        <v>605300</v>
      </c>
      <c r="B1872" s="644" t="s">
        <v>1718</v>
      </c>
      <c r="C1872" s="645" t="s">
        <v>206</v>
      </c>
      <c r="D1872" s="422" t="s">
        <v>352</v>
      </c>
      <c r="E1872" s="423"/>
      <c r="F1872" s="424"/>
      <c r="G1872" s="425"/>
      <c r="H1872" s="651">
        <f>SUM(H1873:H1875)</f>
        <v>337.86228</v>
      </c>
      <c r="I1872" s="420">
        <v>487.71000000000004</v>
      </c>
      <c r="J1872" s="420">
        <f>IF(ISBLANK(I1872),"",SUM(H1872:I1872))</f>
        <v>825.57228000000009</v>
      </c>
      <c r="K1872" s="421">
        <f t="shared" si="455"/>
        <v>980.86</v>
      </c>
      <c r="L1872" s="647" t="s">
        <v>16</v>
      </c>
      <c r="M1872" s="576"/>
      <c r="N1872" s="576">
        <f t="shared" si="443"/>
        <v>0</v>
      </c>
      <c r="O1872" s="577">
        <f t="shared" si="453"/>
        <v>0</v>
      </c>
      <c r="P1872" s="578">
        <f t="shared" si="454"/>
        <v>0</v>
      </c>
      <c r="Q1872" s="765"/>
      <c r="R1872" s="576">
        <f>M1872</f>
        <v>0</v>
      </c>
      <c r="S1872" s="576">
        <f>N1872</f>
        <v>0</v>
      </c>
      <c r="T1872" s="577">
        <f t="shared" si="451"/>
        <v>0</v>
      </c>
      <c r="U1872" s="578">
        <f t="shared" si="452"/>
        <v>0</v>
      </c>
      <c r="V1872" s="579"/>
      <c r="W1872" s="566"/>
      <c r="X1872" s="586" t="str">
        <f t="shared" si="440"/>
        <v/>
      </c>
      <c r="Y1872" s="586" t="str">
        <f t="shared" si="431"/>
        <v/>
      </c>
      <c r="Z1872" s="586" t="str">
        <f t="shared" si="445"/>
        <v/>
      </c>
    </row>
    <row r="1873" spans="1:26" ht="12" hidden="1" thickBot="1" x14ac:dyDescent="0.25">
      <c r="A1873" s="567" t="s">
        <v>168</v>
      </c>
      <c r="B1873" s="644" t="s">
        <v>168</v>
      </c>
      <c r="C1873" s="645"/>
      <c r="D1873" s="422" t="s">
        <v>212</v>
      </c>
      <c r="E1873" s="423"/>
      <c r="F1873" s="424">
        <v>500</v>
      </c>
      <c r="G1873" s="425">
        <v>0.33</v>
      </c>
      <c r="H1873" s="649">
        <f>IF(F1873&lt;=30,(0.78*F1873+7.82)*G1873,((0.78*30+7.82)+0.78*(F1873-30))*G1873)</f>
        <v>131.28060000000002</v>
      </c>
      <c r="I1873" s="420"/>
      <c r="J1873" s="420"/>
      <c r="K1873" s="421">
        <f t="shared" si="455"/>
        <v>0</v>
      </c>
      <c r="L1873" s="647"/>
      <c r="M1873" s="723"/>
      <c r="N1873" s="576">
        <f t="shared" si="443"/>
        <v>0</v>
      </c>
      <c r="O1873" s="577">
        <f t="shared" si="453"/>
        <v>0</v>
      </c>
      <c r="P1873" s="578">
        <f t="shared" si="454"/>
        <v>0</v>
      </c>
      <c r="Q1873" s="765"/>
      <c r="R1873" s="723"/>
      <c r="S1873" s="723"/>
      <c r="T1873" s="577">
        <f t="shared" si="451"/>
        <v>0</v>
      </c>
      <c r="U1873" s="578">
        <f t="shared" si="452"/>
        <v>0</v>
      </c>
      <c r="V1873" s="579"/>
      <c r="W1873" s="566" t="str">
        <f>IF(U1872&gt;0,"xx",IF(P1872&gt;0,"xy",""))</f>
        <v/>
      </c>
      <c r="X1873" s="586" t="str">
        <f t="shared" si="440"/>
        <v/>
      </c>
      <c r="Y1873" s="586" t="str">
        <f t="shared" si="431"/>
        <v/>
      </c>
      <c r="Z1873" s="586" t="str">
        <f t="shared" si="445"/>
        <v/>
      </c>
    </row>
    <row r="1874" spans="1:26" ht="12" hidden="1" thickBot="1" x14ac:dyDescent="0.25">
      <c r="A1874" s="567" t="s">
        <v>168</v>
      </c>
      <c r="B1874" s="644" t="s">
        <v>168</v>
      </c>
      <c r="C1874" s="645"/>
      <c r="D1874" s="422" t="s">
        <v>248</v>
      </c>
      <c r="E1874" s="423"/>
      <c r="F1874" s="424">
        <v>180</v>
      </c>
      <c r="G1874" s="425">
        <v>0.92100000000000004</v>
      </c>
      <c r="H1874" s="663">
        <f t="shared" ref="H1874:H1875" si="460">IF(F1874&lt;=30,(1.07*F1874+2.68)*G1874,((1.07*30+2.68)+1.07*(F1874-30))*G1874)</f>
        <v>179.85288</v>
      </c>
      <c r="I1874" s="420"/>
      <c r="J1874" s="420"/>
      <c r="K1874" s="421">
        <f t="shared" si="455"/>
        <v>0</v>
      </c>
      <c r="L1874" s="647"/>
      <c r="M1874" s="723"/>
      <c r="N1874" s="576">
        <f t="shared" si="443"/>
        <v>0</v>
      </c>
      <c r="O1874" s="577">
        <f t="shared" si="453"/>
        <v>0</v>
      </c>
      <c r="P1874" s="578">
        <f t="shared" si="454"/>
        <v>0</v>
      </c>
      <c r="Q1874" s="765"/>
      <c r="R1874" s="723"/>
      <c r="S1874" s="723"/>
      <c r="T1874" s="577">
        <f t="shared" si="451"/>
        <v>0</v>
      </c>
      <c r="U1874" s="578">
        <f t="shared" si="452"/>
        <v>0</v>
      </c>
      <c r="V1874" s="579"/>
      <c r="W1874" s="566" t="str">
        <f>IF(U1872&gt;0,"xx",IF(P1872&gt;0,"xy",""))</f>
        <v/>
      </c>
      <c r="X1874" s="586" t="str">
        <f t="shared" ref="X1874:X1969" si="461">IF(W1874="X","x",IF(W1874="xx","x",IF(W1874="xy","x",IF(W1874="y","x",IF(OR(P1874&gt;0,U1874&gt;0),"x","")))))</f>
        <v/>
      </c>
      <c r="Y1874" s="586" t="str">
        <f t="shared" si="431"/>
        <v/>
      </c>
      <c r="Z1874" s="586" t="str">
        <f t="shared" si="445"/>
        <v/>
      </c>
    </row>
    <row r="1875" spans="1:26" ht="12" hidden="1" thickBot="1" x14ac:dyDescent="0.25">
      <c r="A1875" s="567" t="s">
        <v>168</v>
      </c>
      <c r="B1875" s="644" t="s">
        <v>168</v>
      </c>
      <c r="C1875" s="645"/>
      <c r="D1875" s="422" t="s">
        <v>252</v>
      </c>
      <c r="E1875" s="423"/>
      <c r="F1875" s="424">
        <v>20</v>
      </c>
      <c r="G1875" s="425">
        <v>1.1100000000000001</v>
      </c>
      <c r="H1875" s="663">
        <f t="shared" si="460"/>
        <v>26.728800000000003</v>
      </c>
      <c r="I1875" s="420"/>
      <c r="J1875" s="420"/>
      <c r="K1875" s="421">
        <f t="shared" si="455"/>
        <v>0</v>
      </c>
      <c r="L1875" s="647"/>
      <c r="M1875" s="723"/>
      <c r="N1875" s="576">
        <f t="shared" si="443"/>
        <v>0</v>
      </c>
      <c r="O1875" s="577">
        <f t="shared" si="453"/>
        <v>0</v>
      </c>
      <c r="P1875" s="578">
        <f t="shared" si="454"/>
        <v>0</v>
      </c>
      <c r="Q1875" s="765"/>
      <c r="R1875" s="723"/>
      <c r="S1875" s="723"/>
      <c r="T1875" s="577">
        <f t="shared" si="451"/>
        <v>0</v>
      </c>
      <c r="U1875" s="578">
        <f t="shared" si="452"/>
        <v>0</v>
      </c>
      <c r="V1875" s="579"/>
      <c r="W1875" s="566" t="str">
        <f>IF(U1872&gt;0,"xx",IF(P1872&gt;0,"xy",""))</f>
        <v/>
      </c>
      <c r="X1875" s="586" t="str">
        <f t="shared" si="461"/>
        <v/>
      </c>
      <c r="Y1875" s="586" t="str">
        <f t="shared" si="431"/>
        <v/>
      </c>
      <c r="Z1875" s="586" t="str">
        <f t="shared" si="445"/>
        <v/>
      </c>
    </row>
    <row r="1876" spans="1:26" ht="12" hidden="1" thickBot="1" x14ac:dyDescent="0.25">
      <c r="A1876" s="567">
        <v>605400</v>
      </c>
      <c r="B1876" s="644" t="s">
        <v>1643</v>
      </c>
      <c r="C1876" s="645" t="s">
        <v>206</v>
      </c>
      <c r="D1876" s="422" t="s">
        <v>353</v>
      </c>
      <c r="E1876" s="423"/>
      <c r="F1876" s="424"/>
      <c r="G1876" s="425"/>
      <c r="H1876" s="651">
        <f>SUM(H1877:H1879)</f>
        <v>362.76447999999999</v>
      </c>
      <c r="I1876" s="420">
        <v>495.4</v>
      </c>
      <c r="J1876" s="420">
        <f>IF(ISBLANK(I1876),"",SUM(H1876:I1876))</f>
        <v>858.16447999999991</v>
      </c>
      <c r="K1876" s="421">
        <f t="shared" si="455"/>
        <v>1019.59</v>
      </c>
      <c r="L1876" s="647" t="s">
        <v>16</v>
      </c>
      <c r="M1876" s="576"/>
      <c r="N1876" s="576">
        <f t="shared" ref="N1876:N1939" si="462">IF(M1876=0,0,K1876)</f>
        <v>0</v>
      </c>
      <c r="O1876" s="577">
        <f t="shared" si="453"/>
        <v>0</v>
      </c>
      <c r="P1876" s="578">
        <f t="shared" si="454"/>
        <v>0</v>
      </c>
      <c r="Q1876" s="765"/>
      <c r="R1876" s="576">
        <f>M1876</f>
        <v>0</v>
      </c>
      <c r="S1876" s="576">
        <f>N1876</f>
        <v>0</v>
      </c>
      <c r="T1876" s="577">
        <f t="shared" si="451"/>
        <v>0</v>
      </c>
      <c r="U1876" s="578">
        <f t="shared" si="452"/>
        <v>0</v>
      </c>
      <c r="V1876" s="579"/>
      <c r="W1876" s="566"/>
      <c r="X1876" s="586" t="str">
        <f t="shared" si="461"/>
        <v/>
      </c>
      <c r="Y1876" s="586" t="str">
        <f t="shared" si="431"/>
        <v/>
      </c>
      <c r="Z1876" s="586" t="str">
        <f t="shared" si="445"/>
        <v/>
      </c>
    </row>
    <row r="1877" spans="1:26" ht="12" hidden="1" thickBot="1" x14ac:dyDescent="0.25">
      <c r="A1877" s="567" t="s">
        <v>168</v>
      </c>
      <c r="B1877" s="644" t="s">
        <v>168</v>
      </c>
      <c r="C1877" s="645"/>
      <c r="D1877" s="422" t="s">
        <v>212</v>
      </c>
      <c r="E1877" s="423"/>
      <c r="F1877" s="424">
        <v>500</v>
      </c>
      <c r="G1877" s="425">
        <v>0.34399999999999997</v>
      </c>
      <c r="H1877" s="649">
        <f>IF(F1877&lt;=30,(0.78*F1877+7.82)*G1877,((0.78*30+7.82)+0.78*(F1877-30))*G1877)</f>
        <v>136.85008000000002</v>
      </c>
      <c r="I1877" s="420">
        <v>0</v>
      </c>
      <c r="J1877" s="420"/>
      <c r="K1877" s="421">
        <f t="shared" si="455"/>
        <v>0</v>
      </c>
      <c r="L1877" s="647"/>
      <c r="M1877" s="723"/>
      <c r="N1877" s="576">
        <f t="shared" si="462"/>
        <v>0</v>
      </c>
      <c r="O1877" s="577">
        <f t="shared" si="453"/>
        <v>0</v>
      </c>
      <c r="P1877" s="578">
        <f t="shared" si="454"/>
        <v>0</v>
      </c>
      <c r="Q1877" s="765"/>
      <c r="R1877" s="723"/>
      <c r="S1877" s="723"/>
      <c r="T1877" s="577">
        <f t="shared" si="451"/>
        <v>0</v>
      </c>
      <c r="U1877" s="578">
        <f t="shared" si="452"/>
        <v>0</v>
      </c>
      <c r="V1877" s="579"/>
      <c r="W1877" s="566" t="str">
        <f>IF(U1876&gt;0,"xx",IF(P1876&gt;0,"xy",""))</f>
        <v/>
      </c>
      <c r="X1877" s="586" t="str">
        <f t="shared" si="461"/>
        <v/>
      </c>
      <c r="Y1877" s="586" t="str">
        <f t="shared" si="431"/>
        <v/>
      </c>
      <c r="Z1877" s="586" t="str">
        <f t="shared" si="445"/>
        <v/>
      </c>
    </row>
    <row r="1878" spans="1:26" ht="12" hidden="1" thickBot="1" x14ac:dyDescent="0.25">
      <c r="A1878" s="567" t="s">
        <v>168</v>
      </c>
      <c r="B1878" s="644" t="s">
        <v>168</v>
      </c>
      <c r="C1878" s="645"/>
      <c r="D1878" s="422" t="s">
        <v>248</v>
      </c>
      <c r="E1878" s="423"/>
      <c r="F1878" s="424">
        <v>180</v>
      </c>
      <c r="G1878" s="425">
        <v>1.02</v>
      </c>
      <c r="H1878" s="663">
        <f t="shared" ref="H1878:H1879" si="463">IF(F1878&lt;=30,(1.07*F1878+2.68)*G1878,((1.07*30+2.68)+1.07*(F1878-30))*G1878)</f>
        <v>199.18559999999999</v>
      </c>
      <c r="I1878" s="420">
        <v>0</v>
      </c>
      <c r="J1878" s="420"/>
      <c r="K1878" s="421">
        <f t="shared" si="455"/>
        <v>0</v>
      </c>
      <c r="L1878" s="647"/>
      <c r="M1878" s="723"/>
      <c r="N1878" s="576">
        <f t="shared" si="462"/>
        <v>0</v>
      </c>
      <c r="O1878" s="577">
        <f t="shared" si="453"/>
        <v>0</v>
      </c>
      <c r="P1878" s="578">
        <f t="shared" si="454"/>
        <v>0</v>
      </c>
      <c r="Q1878" s="765"/>
      <c r="R1878" s="723"/>
      <c r="S1878" s="723"/>
      <c r="T1878" s="577">
        <f t="shared" si="451"/>
        <v>0</v>
      </c>
      <c r="U1878" s="578">
        <f t="shared" si="452"/>
        <v>0</v>
      </c>
      <c r="V1878" s="579"/>
      <c r="W1878" s="566" t="str">
        <f>IF(U1876&gt;0,"xx",IF(P1876&gt;0,"xy",""))</f>
        <v/>
      </c>
      <c r="X1878" s="586" t="str">
        <f t="shared" si="461"/>
        <v/>
      </c>
      <c r="Y1878" s="586" t="str">
        <f t="shared" si="431"/>
        <v/>
      </c>
      <c r="Z1878" s="586" t="str">
        <f t="shared" si="445"/>
        <v/>
      </c>
    </row>
    <row r="1879" spans="1:26" ht="12" hidden="1" thickBot="1" x14ac:dyDescent="0.25">
      <c r="A1879" s="567" t="s">
        <v>168</v>
      </c>
      <c r="B1879" s="644" t="s">
        <v>168</v>
      </c>
      <c r="C1879" s="645"/>
      <c r="D1879" s="422" t="s">
        <v>252</v>
      </c>
      <c r="E1879" s="423"/>
      <c r="F1879" s="424">
        <v>20</v>
      </c>
      <c r="G1879" s="425">
        <v>1.1100000000000001</v>
      </c>
      <c r="H1879" s="663">
        <f t="shared" si="463"/>
        <v>26.728800000000003</v>
      </c>
      <c r="I1879" s="420">
        <v>0</v>
      </c>
      <c r="J1879" s="420"/>
      <c r="K1879" s="421">
        <f t="shared" si="455"/>
        <v>0</v>
      </c>
      <c r="L1879" s="647"/>
      <c r="M1879" s="723"/>
      <c r="N1879" s="576">
        <f t="shared" si="462"/>
        <v>0</v>
      </c>
      <c r="O1879" s="577">
        <f t="shared" si="453"/>
        <v>0</v>
      </c>
      <c r="P1879" s="578">
        <f t="shared" si="454"/>
        <v>0</v>
      </c>
      <c r="Q1879" s="765"/>
      <c r="R1879" s="723"/>
      <c r="S1879" s="723"/>
      <c r="T1879" s="577">
        <f t="shared" si="451"/>
        <v>0</v>
      </c>
      <c r="U1879" s="578">
        <f t="shared" si="452"/>
        <v>0</v>
      </c>
      <c r="V1879" s="579"/>
      <c r="W1879" s="566" t="str">
        <f>IF(U1876&gt;0,"xx",IF(P1876&gt;0,"xy",""))</f>
        <v/>
      </c>
      <c r="X1879" s="586" t="str">
        <f t="shared" si="461"/>
        <v/>
      </c>
      <c r="Y1879" s="586" t="str">
        <f t="shared" si="431"/>
        <v/>
      </c>
      <c r="Z1879" s="586" t="str">
        <f t="shared" si="445"/>
        <v/>
      </c>
    </row>
    <row r="1880" spans="1:26" ht="12" hidden="1" thickBot="1" x14ac:dyDescent="0.25">
      <c r="A1880" s="567">
        <v>605500</v>
      </c>
      <c r="B1880" s="644">
        <v>605500</v>
      </c>
      <c r="C1880" s="645" t="s">
        <v>206</v>
      </c>
      <c r="D1880" s="422" t="s">
        <v>1512</v>
      </c>
      <c r="E1880" s="423"/>
      <c r="F1880" s="424"/>
      <c r="G1880" s="425"/>
      <c r="H1880" s="651">
        <f>SUM(H1881:H1883)</f>
        <v>350.76675999999998</v>
      </c>
      <c r="I1880" s="420">
        <v>517.38</v>
      </c>
      <c r="J1880" s="420">
        <f>IF(ISBLANK(I1880),"",SUM(H1880:I1880))</f>
        <v>868.14675999999997</v>
      </c>
      <c r="K1880" s="421">
        <f t="shared" si="455"/>
        <v>1031.45</v>
      </c>
      <c r="L1880" s="647" t="s">
        <v>16</v>
      </c>
      <c r="M1880" s="576"/>
      <c r="N1880" s="576">
        <f t="shared" si="462"/>
        <v>0</v>
      </c>
      <c r="O1880" s="577">
        <f t="shared" si="453"/>
        <v>0</v>
      </c>
      <c r="P1880" s="578">
        <f t="shared" si="454"/>
        <v>0</v>
      </c>
      <c r="Q1880" s="765"/>
      <c r="R1880" s="576">
        <f>M1880</f>
        <v>0</v>
      </c>
      <c r="S1880" s="576">
        <f>N1880</f>
        <v>0</v>
      </c>
      <c r="T1880" s="577">
        <f t="shared" si="451"/>
        <v>0</v>
      </c>
      <c r="U1880" s="578">
        <f t="shared" si="452"/>
        <v>0</v>
      </c>
      <c r="V1880" s="579"/>
      <c r="W1880" s="566"/>
      <c r="X1880" s="586" t="str">
        <f>IF(W1880="X","x",IF(W1880="xx","x",IF(W1880="xy","x",IF(W1880="y","x",IF(OR(P1880&gt;0,U1880&gt;0),"x","")))))</f>
        <v/>
      </c>
      <c r="Y1880" s="586" t="str">
        <f>IF(W1880="X","x",IF(W1880="y","x",IF(W1880="xx","x",IF(U1880&gt;0,"x",""))))</f>
        <v/>
      </c>
      <c r="Z1880" s="586" t="str">
        <f>IF(W1880="X","x",IF(U1880&gt;0,"x",""))</f>
        <v/>
      </c>
    </row>
    <row r="1881" spans="1:26" ht="12" hidden="1" thickBot="1" x14ac:dyDescent="0.25">
      <c r="A1881" s="567" t="s">
        <v>168</v>
      </c>
      <c r="B1881" s="644" t="s">
        <v>168</v>
      </c>
      <c r="C1881" s="645"/>
      <c r="D1881" s="422" t="s">
        <v>212</v>
      </c>
      <c r="E1881" s="423"/>
      <c r="F1881" s="424">
        <v>500</v>
      </c>
      <c r="G1881" s="425">
        <v>0.38600000000000001</v>
      </c>
      <c r="H1881" s="649">
        <f>IF(F1881&lt;=30,(0.78*F1881+7.82)*G1881,((0.78*30+7.82)+0.78*(F1881-30))*G1881)</f>
        <v>153.55852000000002</v>
      </c>
      <c r="I1881" s="420">
        <v>0</v>
      </c>
      <c r="J1881" s="420"/>
      <c r="K1881" s="421">
        <f t="shared" si="455"/>
        <v>0</v>
      </c>
      <c r="L1881" s="647"/>
      <c r="M1881" s="723"/>
      <c r="N1881" s="576">
        <f t="shared" si="462"/>
        <v>0</v>
      </c>
      <c r="O1881" s="577">
        <f t="shared" si="453"/>
        <v>0</v>
      </c>
      <c r="P1881" s="578">
        <f t="shared" si="454"/>
        <v>0</v>
      </c>
      <c r="Q1881" s="765"/>
      <c r="R1881" s="723"/>
      <c r="S1881" s="723"/>
      <c r="T1881" s="577">
        <f t="shared" si="451"/>
        <v>0</v>
      </c>
      <c r="U1881" s="578">
        <f t="shared" si="452"/>
        <v>0</v>
      </c>
      <c r="V1881" s="579"/>
      <c r="W1881" s="566" t="str">
        <f>IF(U1880&gt;0,"xx",IF(P1880&gt;0,"xy",""))</f>
        <v/>
      </c>
      <c r="X1881" s="586" t="str">
        <f>IF(W1881="X","x",IF(W1881="xx","x",IF(W1881="xy","x",IF(W1881="y","x",IF(OR(P1881&gt;0,U1881&gt;0),"x","")))))</f>
        <v/>
      </c>
      <c r="Y1881" s="586" t="str">
        <f>IF(W1881="X","x",IF(W1881="y","x",IF(W1881="xx","x",IF(U1881&gt;0,"x",""))))</f>
        <v/>
      </c>
      <c r="Z1881" s="586" t="str">
        <f>IF(W1881="X","x",IF(U1881&gt;0,"x",""))</f>
        <v/>
      </c>
    </row>
    <row r="1882" spans="1:26" ht="12" hidden="1" thickBot="1" x14ac:dyDescent="0.25">
      <c r="A1882" s="567" t="s">
        <v>168</v>
      </c>
      <c r="B1882" s="644" t="s">
        <v>168</v>
      </c>
      <c r="C1882" s="645"/>
      <c r="D1882" s="422" t="s">
        <v>248</v>
      </c>
      <c r="E1882" s="423"/>
      <c r="F1882" s="424">
        <v>180</v>
      </c>
      <c r="G1882" s="425">
        <v>0.873</v>
      </c>
      <c r="H1882" s="663">
        <f t="shared" ref="H1882:H1883" si="464">IF(F1882&lt;=30,(1.07*F1882+2.68)*G1882,((1.07*30+2.68)+1.07*(F1882-30))*G1882)</f>
        <v>170.47944000000001</v>
      </c>
      <c r="I1882" s="420">
        <v>0</v>
      </c>
      <c r="J1882" s="420"/>
      <c r="K1882" s="421">
        <f t="shared" si="455"/>
        <v>0</v>
      </c>
      <c r="L1882" s="647"/>
      <c r="M1882" s="723"/>
      <c r="N1882" s="576">
        <f t="shared" si="462"/>
        <v>0</v>
      </c>
      <c r="O1882" s="577">
        <f t="shared" si="453"/>
        <v>0</v>
      </c>
      <c r="P1882" s="578">
        <f t="shared" si="454"/>
        <v>0</v>
      </c>
      <c r="Q1882" s="765"/>
      <c r="R1882" s="723"/>
      <c r="S1882" s="723"/>
      <c r="T1882" s="577">
        <f t="shared" si="451"/>
        <v>0</v>
      </c>
      <c r="U1882" s="578">
        <f t="shared" si="452"/>
        <v>0</v>
      </c>
      <c r="V1882" s="579"/>
      <c r="W1882" s="566" t="str">
        <f>IF(U1880&gt;0,"xx",IF(P1880&gt;0,"xy",""))</f>
        <v/>
      </c>
      <c r="X1882" s="586" t="str">
        <f>IF(W1882="X","x",IF(W1882="xx","x",IF(W1882="xy","x",IF(W1882="y","x",IF(OR(P1882&gt;0,U1882&gt;0),"x","")))))</f>
        <v/>
      </c>
      <c r="Y1882" s="586" t="str">
        <f>IF(W1882="X","x",IF(W1882="y","x",IF(W1882="xx","x",IF(U1882&gt;0,"x",""))))</f>
        <v/>
      </c>
      <c r="Z1882" s="586" t="str">
        <f>IF(W1882="X","x",IF(U1882&gt;0,"x",""))</f>
        <v/>
      </c>
    </row>
    <row r="1883" spans="1:26" ht="12" hidden="1" thickBot="1" x14ac:dyDescent="0.25">
      <c r="A1883" s="567" t="s">
        <v>168</v>
      </c>
      <c r="B1883" s="644" t="s">
        <v>168</v>
      </c>
      <c r="C1883" s="645"/>
      <c r="D1883" s="422" t="s">
        <v>252</v>
      </c>
      <c r="E1883" s="423"/>
      <c r="F1883" s="424">
        <v>20</v>
      </c>
      <c r="G1883" s="425">
        <v>1.1100000000000001</v>
      </c>
      <c r="H1883" s="663">
        <f t="shared" si="464"/>
        <v>26.728800000000003</v>
      </c>
      <c r="I1883" s="420">
        <v>0</v>
      </c>
      <c r="J1883" s="420"/>
      <c r="K1883" s="421">
        <f t="shared" si="455"/>
        <v>0</v>
      </c>
      <c r="L1883" s="647"/>
      <c r="M1883" s="723"/>
      <c r="N1883" s="576">
        <f t="shared" si="462"/>
        <v>0</v>
      </c>
      <c r="O1883" s="577">
        <f t="shared" si="453"/>
        <v>0</v>
      </c>
      <c r="P1883" s="578">
        <f t="shared" si="454"/>
        <v>0</v>
      </c>
      <c r="Q1883" s="765"/>
      <c r="R1883" s="723"/>
      <c r="S1883" s="723"/>
      <c r="T1883" s="577">
        <f t="shared" si="451"/>
        <v>0</v>
      </c>
      <c r="U1883" s="578">
        <f t="shared" si="452"/>
        <v>0</v>
      </c>
      <c r="V1883" s="579"/>
      <c r="W1883" s="566" t="str">
        <f>IF(U1880&gt;0,"xx",IF(P1880&gt;0,"xy",""))</f>
        <v/>
      </c>
      <c r="X1883" s="586" t="str">
        <f>IF(W1883="X","x",IF(W1883="xx","x",IF(W1883="xy","x",IF(W1883="y","x",IF(OR(P1883&gt;0,U1883&gt;0),"x","")))))</f>
        <v/>
      </c>
      <c r="Y1883" s="586" t="str">
        <f>IF(W1883="X","x",IF(W1883="y","x",IF(W1883="xx","x",IF(U1883&gt;0,"x",""))))</f>
        <v/>
      </c>
      <c r="Z1883" s="586" t="str">
        <f>IF(W1883="X","x",IF(U1883&gt;0,"x",""))</f>
        <v/>
      </c>
    </row>
    <row r="1884" spans="1:26" ht="12" hidden="1" thickBot="1" x14ac:dyDescent="0.25">
      <c r="A1884" s="567">
        <v>605600</v>
      </c>
      <c r="B1884" s="644">
        <v>605600</v>
      </c>
      <c r="C1884" s="645" t="s">
        <v>206</v>
      </c>
      <c r="D1884" s="422" t="s">
        <v>1513</v>
      </c>
      <c r="E1884" s="423"/>
      <c r="F1884" s="424"/>
      <c r="G1884" s="425"/>
      <c r="H1884" s="651">
        <f>SUM(H1885:H1887)</f>
        <v>353.87019999999995</v>
      </c>
      <c r="I1884" s="420">
        <v>529.53</v>
      </c>
      <c r="J1884" s="420">
        <f>IF(ISBLANK(I1884),"",SUM(H1884:I1884))</f>
        <v>883.40019999999993</v>
      </c>
      <c r="K1884" s="421">
        <f t="shared" si="455"/>
        <v>1049.57</v>
      </c>
      <c r="L1884" s="647" t="s">
        <v>16</v>
      </c>
      <c r="M1884" s="576"/>
      <c r="N1884" s="576">
        <f t="shared" si="462"/>
        <v>0</v>
      </c>
      <c r="O1884" s="577">
        <f t="shared" si="453"/>
        <v>0</v>
      </c>
      <c r="P1884" s="578">
        <f t="shared" si="454"/>
        <v>0</v>
      </c>
      <c r="Q1884" s="765"/>
      <c r="R1884" s="576">
        <f>M1884</f>
        <v>0</v>
      </c>
      <c r="S1884" s="576">
        <f>N1884</f>
        <v>0</v>
      </c>
      <c r="T1884" s="577">
        <f t="shared" si="451"/>
        <v>0</v>
      </c>
      <c r="U1884" s="578">
        <f t="shared" si="452"/>
        <v>0</v>
      </c>
      <c r="V1884" s="579"/>
      <c r="W1884" s="566"/>
      <c r="X1884" s="586" t="str">
        <f t="shared" ref="X1884:X1903" si="465">IF(W1884="X","x",IF(W1884="xx","x",IF(W1884="xy","x",IF(W1884="y","x",IF(OR(P1884&gt;0,U1884&gt;0),"x","")))))</f>
        <v/>
      </c>
      <c r="Y1884" s="586" t="str">
        <f t="shared" ref="Y1884:Y1903" si="466">IF(W1884="X","x",IF(W1884="y","x",IF(W1884="xx","x",IF(U1884&gt;0,"x",""))))</f>
        <v/>
      </c>
      <c r="Z1884" s="586" t="str">
        <f t="shared" ref="Z1884:Z1903" si="467">IF(W1884="X","x",IF(U1884&gt;0,"x",""))</f>
        <v/>
      </c>
    </row>
    <row r="1885" spans="1:26" ht="12" hidden="1" thickBot="1" x14ac:dyDescent="0.25">
      <c r="A1885" s="567" t="s">
        <v>168</v>
      </c>
      <c r="B1885" s="644" t="s">
        <v>168</v>
      </c>
      <c r="C1885" s="645"/>
      <c r="D1885" s="422" t="s">
        <v>212</v>
      </c>
      <c r="E1885" s="423"/>
      <c r="F1885" s="424">
        <v>500</v>
      </c>
      <c r="G1885" s="425">
        <v>0.41</v>
      </c>
      <c r="H1885" s="649">
        <f>IF(F1885&lt;=30,(0.78*F1885+7.82)*G1885,((0.78*30+7.82)+0.78*(F1885-30))*G1885)</f>
        <v>163.1062</v>
      </c>
      <c r="I1885" s="420">
        <v>0</v>
      </c>
      <c r="J1885" s="420"/>
      <c r="K1885" s="421">
        <f t="shared" si="455"/>
        <v>0</v>
      </c>
      <c r="L1885" s="647"/>
      <c r="M1885" s="723"/>
      <c r="N1885" s="576">
        <f t="shared" si="462"/>
        <v>0</v>
      </c>
      <c r="O1885" s="577">
        <f t="shared" si="453"/>
        <v>0</v>
      </c>
      <c r="P1885" s="578">
        <f t="shared" si="454"/>
        <v>0</v>
      </c>
      <c r="Q1885" s="765"/>
      <c r="R1885" s="723"/>
      <c r="S1885" s="723"/>
      <c r="T1885" s="577">
        <f t="shared" si="451"/>
        <v>0</v>
      </c>
      <c r="U1885" s="578">
        <f t="shared" si="452"/>
        <v>0</v>
      </c>
      <c r="V1885" s="579"/>
      <c r="W1885" s="566" t="str">
        <f>IF(U1884&gt;0,"xx",IF(P1884&gt;0,"xy",""))</f>
        <v/>
      </c>
      <c r="X1885" s="586" t="str">
        <f t="shared" si="465"/>
        <v/>
      </c>
      <c r="Y1885" s="586" t="str">
        <f t="shared" si="466"/>
        <v/>
      </c>
      <c r="Z1885" s="586" t="str">
        <f t="shared" si="467"/>
        <v/>
      </c>
    </row>
    <row r="1886" spans="1:26" ht="12" hidden="1" thickBot="1" x14ac:dyDescent="0.25">
      <c r="A1886" s="567" t="s">
        <v>168</v>
      </c>
      <c r="B1886" s="644" t="s">
        <v>168</v>
      </c>
      <c r="C1886" s="645"/>
      <c r="D1886" s="422" t="s">
        <v>248</v>
      </c>
      <c r="E1886" s="423"/>
      <c r="F1886" s="424">
        <v>180</v>
      </c>
      <c r="G1886" s="425">
        <v>0.84</v>
      </c>
      <c r="H1886" s="663">
        <f t="shared" ref="H1886:H1887" si="468">IF(F1886&lt;=30,(1.07*F1886+2.68)*G1886,((1.07*30+2.68)+1.07*(F1886-30))*G1886)</f>
        <v>164.0352</v>
      </c>
      <c r="I1886" s="420">
        <v>0</v>
      </c>
      <c r="J1886" s="420"/>
      <c r="K1886" s="421">
        <f t="shared" si="455"/>
        <v>0</v>
      </c>
      <c r="L1886" s="647"/>
      <c r="M1886" s="723"/>
      <c r="N1886" s="576">
        <f t="shared" si="462"/>
        <v>0</v>
      </c>
      <c r="O1886" s="577">
        <f t="shared" si="453"/>
        <v>0</v>
      </c>
      <c r="P1886" s="578">
        <f t="shared" si="454"/>
        <v>0</v>
      </c>
      <c r="Q1886" s="765"/>
      <c r="R1886" s="723"/>
      <c r="S1886" s="723"/>
      <c r="T1886" s="577">
        <f t="shared" si="451"/>
        <v>0</v>
      </c>
      <c r="U1886" s="578">
        <f t="shared" si="452"/>
        <v>0</v>
      </c>
      <c r="V1886" s="579"/>
      <c r="W1886" s="566" t="str">
        <f>IF(U1884&gt;0,"xx",IF(P1884&gt;0,"xy",""))</f>
        <v/>
      </c>
      <c r="X1886" s="586" t="str">
        <f t="shared" si="465"/>
        <v/>
      </c>
      <c r="Y1886" s="586" t="str">
        <f t="shared" si="466"/>
        <v/>
      </c>
      <c r="Z1886" s="586" t="str">
        <f t="shared" si="467"/>
        <v/>
      </c>
    </row>
    <row r="1887" spans="1:26" ht="12" hidden="1" thickBot="1" x14ac:dyDescent="0.25">
      <c r="A1887" s="567" t="s">
        <v>168</v>
      </c>
      <c r="B1887" s="644" t="s">
        <v>168</v>
      </c>
      <c r="C1887" s="645"/>
      <c r="D1887" s="422" t="s">
        <v>252</v>
      </c>
      <c r="E1887" s="423"/>
      <c r="F1887" s="424">
        <v>20</v>
      </c>
      <c r="G1887" s="425">
        <v>1.1100000000000001</v>
      </c>
      <c r="H1887" s="663">
        <f t="shared" si="468"/>
        <v>26.728800000000003</v>
      </c>
      <c r="I1887" s="420">
        <v>0</v>
      </c>
      <c r="J1887" s="420"/>
      <c r="K1887" s="421">
        <f t="shared" si="455"/>
        <v>0</v>
      </c>
      <c r="L1887" s="647"/>
      <c r="M1887" s="723"/>
      <c r="N1887" s="576">
        <f t="shared" si="462"/>
        <v>0</v>
      </c>
      <c r="O1887" s="577">
        <f t="shared" si="453"/>
        <v>0</v>
      </c>
      <c r="P1887" s="578">
        <f t="shared" si="454"/>
        <v>0</v>
      </c>
      <c r="Q1887" s="765"/>
      <c r="R1887" s="723"/>
      <c r="S1887" s="723"/>
      <c r="T1887" s="577">
        <f t="shared" si="451"/>
        <v>0</v>
      </c>
      <c r="U1887" s="578">
        <f t="shared" si="452"/>
        <v>0</v>
      </c>
      <c r="V1887" s="579"/>
      <c r="W1887" s="566" t="str">
        <f>IF(U1884&gt;0,"xx",IF(P1884&gt;0,"xy",""))</f>
        <v/>
      </c>
      <c r="X1887" s="586" t="str">
        <f t="shared" si="465"/>
        <v/>
      </c>
      <c r="Y1887" s="586" t="str">
        <f t="shared" si="466"/>
        <v/>
      </c>
      <c r="Z1887" s="586" t="str">
        <f t="shared" si="467"/>
        <v/>
      </c>
    </row>
    <row r="1888" spans="1:26" ht="12" hidden="1" thickBot="1" x14ac:dyDescent="0.25">
      <c r="A1888" s="567">
        <v>605700</v>
      </c>
      <c r="B1888" s="644">
        <v>605700</v>
      </c>
      <c r="C1888" s="645" t="s">
        <v>206</v>
      </c>
      <c r="D1888" s="422" t="s">
        <v>1514</v>
      </c>
      <c r="E1888" s="423"/>
      <c r="F1888" s="424"/>
      <c r="G1888" s="425"/>
      <c r="H1888" s="651">
        <f>SUM(H1889:H1891)</f>
        <v>358.8974</v>
      </c>
      <c r="I1888" s="420">
        <v>540.22</v>
      </c>
      <c r="J1888" s="420">
        <f>IF(ISBLANK(I1888),"",SUM(H1888:I1888))</f>
        <v>899.11740000000009</v>
      </c>
      <c r="K1888" s="421">
        <f t="shared" si="455"/>
        <v>1068.24</v>
      </c>
      <c r="L1888" s="647" t="s">
        <v>16</v>
      </c>
      <c r="M1888" s="576"/>
      <c r="N1888" s="576">
        <f t="shared" si="462"/>
        <v>0</v>
      </c>
      <c r="O1888" s="577">
        <f t="shared" si="453"/>
        <v>0</v>
      </c>
      <c r="P1888" s="578">
        <f t="shared" si="454"/>
        <v>0</v>
      </c>
      <c r="Q1888" s="765"/>
      <c r="R1888" s="576">
        <f>M1888</f>
        <v>0</v>
      </c>
      <c r="S1888" s="576">
        <f>N1888</f>
        <v>0</v>
      </c>
      <c r="T1888" s="577">
        <f t="shared" si="451"/>
        <v>0</v>
      </c>
      <c r="U1888" s="578">
        <f t="shared" si="452"/>
        <v>0</v>
      </c>
      <c r="V1888" s="579"/>
      <c r="W1888" s="566"/>
      <c r="X1888" s="586" t="str">
        <f t="shared" si="465"/>
        <v/>
      </c>
      <c r="Y1888" s="586" t="str">
        <f t="shared" si="466"/>
        <v/>
      </c>
      <c r="Z1888" s="586" t="str">
        <f t="shared" si="467"/>
        <v/>
      </c>
    </row>
    <row r="1889" spans="1:26" ht="12" hidden="1" thickBot="1" x14ac:dyDescent="0.25">
      <c r="A1889" s="567" t="s">
        <v>168</v>
      </c>
      <c r="B1889" s="644" t="s">
        <v>168</v>
      </c>
      <c r="C1889" s="645"/>
      <c r="D1889" s="422" t="s">
        <v>212</v>
      </c>
      <c r="E1889" s="423"/>
      <c r="F1889" s="424">
        <v>500</v>
      </c>
      <c r="G1889" s="425">
        <v>0.43</v>
      </c>
      <c r="H1889" s="649">
        <f>IF(F1889&lt;=30,(0.78*F1889+7.82)*G1889,((0.78*30+7.82)+0.78*(F1889-30))*G1889)</f>
        <v>171.06260000000003</v>
      </c>
      <c r="I1889" s="420">
        <v>0</v>
      </c>
      <c r="J1889" s="420"/>
      <c r="K1889" s="421">
        <f t="shared" si="455"/>
        <v>0</v>
      </c>
      <c r="L1889" s="647"/>
      <c r="M1889" s="723"/>
      <c r="N1889" s="576">
        <f t="shared" si="462"/>
        <v>0</v>
      </c>
      <c r="O1889" s="577">
        <f t="shared" si="453"/>
        <v>0</v>
      </c>
      <c r="P1889" s="578">
        <f t="shared" si="454"/>
        <v>0</v>
      </c>
      <c r="Q1889" s="765"/>
      <c r="R1889" s="723"/>
      <c r="S1889" s="723"/>
      <c r="T1889" s="577">
        <f t="shared" si="451"/>
        <v>0</v>
      </c>
      <c r="U1889" s="578">
        <f t="shared" si="452"/>
        <v>0</v>
      </c>
      <c r="V1889" s="579"/>
      <c r="W1889" s="566" t="str">
        <f>IF(U1888&gt;0,"xx",IF(P1888&gt;0,"xy",""))</f>
        <v/>
      </c>
      <c r="X1889" s="586" t="str">
        <f t="shared" si="465"/>
        <v/>
      </c>
      <c r="Y1889" s="586" t="str">
        <f t="shared" si="466"/>
        <v/>
      </c>
      <c r="Z1889" s="586" t="str">
        <f t="shared" si="467"/>
        <v/>
      </c>
    </row>
    <row r="1890" spans="1:26" ht="12" hidden="1" thickBot="1" x14ac:dyDescent="0.25">
      <c r="A1890" s="567" t="s">
        <v>168</v>
      </c>
      <c r="B1890" s="644" t="s">
        <v>168</v>
      </c>
      <c r="C1890" s="645"/>
      <c r="D1890" s="422" t="s">
        <v>248</v>
      </c>
      <c r="E1890" s="423"/>
      <c r="F1890" s="424">
        <v>180</v>
      </c>
      <c r="G1890" s="425">
        <v>0.82499999999999996</v>
      </c>
      <c r="H1890" s="663">
        <f t="shared" ref="H1890:H1891" si="469">IF(F1890&lt;=30,(1.07*F1890+2.68)*G1890,((1.07*30+2.68)+1.07*(F1890-30))*G1890)</f>
        <v>161.10599999999999</v>
      </c>
      <c r="I1890" s="420">
        <v>0</v>
      </c>
      <c r="J1890" s="420"/>
      <c r="K1890" s="421">
        <f t="shared" si="455"/>
        <v>0</v>
      </c>
      <c r="L1890" s="647"/>
      <c r="M1890" s="723"/>
      <c r="N1890" s="576">
        <f t="shared" si="462"/>
        <v>0</v>
      </c>
      <c r="O1890" s="577">
        <f t="shared" si="453"/>
        <v>0</v>
      </c>
      <c r="P1890" s="578">
        <f t="shared" si="454"/>
        <v>0</v>
      </c>
      <c r="Q1890" s="765"/>
      <c r="R1890" s="723"/>
      <c r="S1890" s="723"/>
      <c r="T1890" s="577">
        <f t="shared" si="451"/>
        <v>0</v>
      </c>
      <c r="U1890" s="578">
        <f t="shared" si="452"/>
        <v>0</v>
      </c>
      <c r="V1890" s="579"/>
      <c r="W1890" s="566" t="str">
        <f>IF(U1888&gt;0,"xx",IF(P1888&gt;0,"xy",""))</f>
        <v/>
      </c>
      <c r="X1890" s="586" t="str">
        <f t="shared" si="465"/>
        <v/>
      </c>
      <c r="Y1890" s="586" t="str">
        <f t="shared" si="466"/>
        <v/>
      </c>
      <c r="Z1890" s="586" t="str">
        <f t="shared" si="467"/>
        <v/>
      </c>
    </row>
    <row r="1891" spans="1:26" ht="12" hidden="1" thickBot="1" x14ac:dyDescent="0.25">
      <c r="A1891" s="567" t="s">
        <v>168</v>
      </c>
      <c r="B1891" s="644" t="s">
        <v>168</v>
      </c>
      <c r="C1891" s="645"/>
      <c r="D1891" s="422" t="s">
        <v>252</v>
      </c>
      <c r="E1891" s="423"/>
      <c r="F1891" s="424">
        <v>20</v>
      </c>
      <c r="G1891" s="425">
        <v>1.1100000000000001</v>
      </c>
      <c r="H1891" s="663">
        <f t="shared" si="469"/>
        <v>26.728800000000003</v>
      </c>
      <c r="I1891" s="420">
        <v>0</v>
      </c>
      <c r="J1891" s="420"/>
      <c r="K1891" s="421">
        <f t="shared" si="455"/>
        <v>0</v>
      </c>
      <c r="L1891" s="647"/>
      <c r="M1891" s="723"/>
      <c r="N1891" s="576">
        <f t="shared" si="462"/>
        <v>0</v>
      </c>
      <c r="O1891" s="577">
        <f t="shared" si="453"/>
        <v>0</v>
      </c>
      <c r="P1891" s="578">
        <f t="shared" si="454"/>
        <v>0</v>
      </c>
      <c r="Q1891" s="765"/>
      <c r="R1891" s="723"/>
      <c r="S1891" s="723"/>
      <c r="T1891" s="577">
        <f t="shared" si="451"/>
        <v>0</v>
      </c>
      <c r="U1891" s="578">
        <f t="shared" si="452"/>
        <v>0</v>
      </c>
      <c r="V1891" s="579"/>
      <c r="W1891" s="566" t="str">
        <f>IF(U1888&gt;0,"xx",IF(P1888&gt;0,"xy",""))</f>
        <v/>
      </c>
      <c r="X1891" s="586" t="str">
        <f t="shared" si="465"/>
        <v/>
      </c>
      <c r="Y1891" s="586" t="str">
        <f t="shared" si="466"/>
        <v/>
      </c>
      <c r="Z1891" s="586" t="str">
        <f t="shared" si="467"/>
        <v/>
      </c>
    </row>
    <row r="1892" spans="1:26" ht="12" hidden="1" thickBot="1" x14ac:dyDescent="0.25">
      <c r="A1892" s="567">
        <v>605800</v>
      </c>
      <c r="B1892" s="644">
        <v>605800</v>
      </c>
      <c r="C1892" s="645" t="s">
        <v>206</v>
      </c>
      <c r="D1892" s="422" t="s">
        <v>1515</v>
      </c>
      <c r="E1892" s="423"/>
      <c r="F1892" s="424"/>
      <c r="G1892" s="425"/>
      <c r="H1892" s="651">
        <f>SUM(H1893:H1895)</f>
        <v>360.88649999999996</v>
      </c>
      <c r="I1892" s="420">
        <v>543.05999999999995</v>
      </c>
      <c r="J1892" s="420">
        <f>IF(ISBLANK(I1892),"",SUM(H1892:I1892))</f>
        <v>903.9464999999999</v>
      </c>
      <c r="K1892" s="421">
        <f t="shared" si="455"/>
        <v>1073.98</v>
      </c>
      <c r="L1892" s="647" t="s">
        <v>16</v>
      </c>
      <c r="M1892" s="576"/>
      <c r="N1892" s="576">
        <f t="shared" si="462"/>
        <v>0</v>
      </c>
      <c r="O1892" s="577">
        <f t="shared" si="453"/>
        <v>0</v>
      </c>
      <c r="P1892" s="578">
        <f t="shared" si="454"/>
        <v>0</v>
      </c>
      <c r="Q1892" s="765"/>
      <c r="R1892" s="576">
        <f>M1892</f>
        <v>0</v>
      </c>
      <c r="S1892" s="576">
        <f>N1892</f>
        <v>0</v>
      </c>
      <c r="T1892" s="577">
        <f t="shared" si="451"/>
        <v>0</v>
      </c>
      <c r="U1892" s="578">
        <f t="shared" si="452"/>
        <v>0</v>
      </c>
      <c r="V1892" s="579"/>
      <c r="W1892" s="566"/>
      <c r="X1892" s="586" t="str">
        <f t="shared" si="465"/>
        <v/>
      </c>
      <c r="Y1892" s="586" t="str">
        <f t="shared" si="466"/>
        <v/>
      </c>
      <c r="Z1892" s="586" t="str">
        <f t="shared" si="467"/>
        <v/>
      </c>
    </row>
    <row r="1893" spans="1:26" ht="12" hidden="1" thickBot="1" x14ac:dyDescent="0.25">
      <c r="A1893" s="567" t="s">
        <v>168</v>
      </c>
      <c r="B1893" s="644" t="s">
        <v>168</v>
      </c>
      <c r="C1893" s="645"/>
      <c r="D1893" s="422" t="s">
        <v>212</v>
      </c>
      <c r="E1893" s="423"/>
      <c r="F1893" s="424">
        <v>500</v>
      </c>
      <c r="G1893" s="425">
        <v>0.435</v>
      </c>
      <c r="H1893" s="649">
        <f>IF(F1893&lt;=30,(0.78*F1893+7.82)*G1893,((0.78*30+7.82)+0.78*(F1893-30))*G1893)</f>
        <v>173.05170000000001</v>
      </c>
      <c r="I1893" s="420">
        <v>0</v>
      </c>
      <c r="J1893" s="420"/>
      <c r="K1893" s="421">
        <f t="shared" si="455"/>
        <v>0</v>
      </c>
      <c r="L1893" s="647"/>
      <c r="M1893" s="723"/>
      <c r="N1893" s="576">
        <f t="shared" si="462"/>
        <v>0</v>
      </c>
      <c r="O1893" s="577">
        <f t="shared" si="453"/>
        <v>0</v>
      </c>
      <c r="P1893" s="578">
        <f t="shared" si="454"/>
        <v>0</v>
      </c>
      <c r="Q1893" s="765"/>
      <c r="R1893" s="723"/>
      <c r="S1893" s="723"/>
      <c r="T1893" s="577">
        <f t="shared" si="451"/>
        <v>0</v>
      </c>
      <c r="U1893" s="578">
        <f t="shared" si="452"/>
        <v>0</v>
      </c>
      <c r="V1893" s="579"/>
      <c r="W1893" s="566" t="str">
        <f>IF(U1892&gt;0,"xx",IF(P1892&gt;0,"xy",""))</f>
        <v/>
      </c>
      <c r="X1893" s="586" t="str">
        <f t="shared" si="465"/>
        <v/>
      </c>
      <c r="Y1893" s="586" t="str">
        <f t="shared" si="466"/>
        <v/>
      </c>
      <c r="Z1893" s="586" t="str">
        <f t="shared" si="467"/>
        <v/>
      </c>
    </row>
    <row r="1894" spans="1:26" ht="12" hidden="1" thickBot="1" x14ac:dyDescent="0.25">
      <c r="A1894" s="567" t="s">
        <v>168</v>
      </c>
      <c r="B1894" s="644" t="s">
        <v>168</v>
      </c>
      <c r="C1894" s="645"/>
      <c r="D1894" s="422" t="s">
        <v>248</v>
      </c>
      <c r="E1894" s="423"/>
      <c r="F1894" s="424">
        <v>180</v>
      </c>
      <c r="G1894" s="425">
        <v>0.82499999999999996</v>
      </c>
      <c r="H1894" s="663">
        <f t="shared" ref="H1894:H1895" si="470">IF(F1894&lt;=30,(1.07*F1894+2.68)*G1894,((1.07*30+2.68)+1.07*(F1894-30))*G1894)</f>
        <v>161.10599999999999</v>
      </c>
      <c r="I1894" s="420">
        <v>0</v>
      </c>
      <c r="J1894" s="420"/>
      <c r="K1894" s="421">
        <f t="shared" si="455"/>
        <v>0</v>
      </c>
      <c r="L1894" s="647"/>
      <c r="M1894" s="723"/>
      <c r="N1894" s="576">
        <f t="shared" si="462"/>
        <v>0</v>
      </c>
      <c r="O1894" s="577">
        <f t="shared" si="453"/>
        <v>0</v>
      </c>
      <c r="P1894" s="578">
        <f t="shared" si="454"/>
        <v>0</v>
      </c>
      <c r="Q1894" s="765"/>
      <c r="R1894" s="723"/>
      <c r="S1894" s="723"/>
      <c r="T1894" s="577">
        <f t="shared" si="451"/>
        <v>0</v>
      </c>
      <c r="U1894" s="578">
        <f t="shared" si="452"/>
        <v>0</v>
      </c>
      <c r="V1894" s="579"/>
      <c r="W1894" s="566" t="str">
        <f>IF(U1892&gt;0,"xx",IF(P1892&gt;0,"xy",""))</f>
        <v/>
      </c>
      <c r="X1894" s="586" t="str">
        <f t="shared" si="465"/>
        <v/>
      </c>
      <c r="Y1894" s="586" t="str">
        <f t="shared" si="466"/>
        <v/>
      </c>
      <c r="Z1894" s="586" t="str">
        <f t="shared" si="467"/>
        <v/>
      </c>
    </row>
    <row r="1895" spans="1:26" ht="12" hidden="1" thickBot="1" x14ac:dyDescent="0.25">
      <c r="A1895" s="567" t="s">
        <v>168</v>
      </c>
      <c r="B1895" s="644" t="s">
        <v>168</v>
      </c>
      <c r="C1895" s="645"/>
      <c r="D1895" s="422" t="s">
        <v>252</v>
      </c>
      <c r="E1895" s="423"/>
      <c r="F1895" s="424">
        <v>20</v>
      </c>
      <c r="G1895" s="425">
        <v>1.1100000000000001</v>
      </c>
      <c r="H1895" s="663">
        <f t="shared" si="470"/>
        <v>26.728800000000003</v>
      </c>
      <c r="I1895" s="420">
        <v>0</v>
      </c>
      <c r="J1895" s="420"/>
      <c r="K1895" s="421">
        <f t="shared" si="455"/>
        <v>0</v>
      </c>
      <c r="L1895" s="647"/>
      <c r="M1895" s="723"/>
      <c r="N1895" s="576">
        <f t="shared" si="462"/>
        <v>0</v>
      </c>
      <c r="O1895" s="577">
        <f t="shared" si="453"/>
        <v>0</v>
      </c>
      <c r="P1895" s="578">
        <f t="shared" si="454"/>
        <v>0</v>
      </c>
      <c r="Q1895" s="765"/>
      <c r="R1895" s="723"/>
      <c r="S1895" s="723"/>
      <c r="T1895" s="577">
        <f t="shared" si="451"/>
        <v>0</v>
      </c>
      <c r="U1895" s="578">
        <f t="shared" si="452"/>
        <v>0</v>
      </c>
      <c r="V1895" s="579"/>
      <c r="W1895" s="566" t="str">
        <f>IF(U1892&gt;0,"xx",IF(P1892&gt;0,"xy",""))</f>
        <v/>
      </c>
      <c r="X1895" s="586" t="str">
        <f t="shared" si="465"/>
        <v/>
      </c>
      <c r="Y1895" s="586" t="str">
        <f t="shared" si="466"/>
        <v/>
      </c>
      <c r="Z1895" s="586" t="str">
        <f t="shared" si="467"/>
        <v/>
      </c>
    </row>
    <row r="1896" spans="1:26" ht="12" hidden="1" thickBot="1" x14ac:dyDescent="0.25">
      <c r="A1896" s="567">
        <v>605900</v>
      </c>
      <c r="B1896" s="644">
        <v>605900</v>
      </c>
      <c r="C1896" s="645" t="s">
        <v>206</v>
      </c>
      <c r="D1896" s="422" t="s">
        <v>1516</v>
      </c>
      <c r="E1896" s="423"/>
      <c r="F1896" s="424"/>
      <c r="G1896" s="425"/>
      <c r="H1896" s="651">
        <f>SUM(H1897:H1899)</f>
        <v>370.00080000000003</v>
      </c>
      <c r="I1896" s="420">
        <v>566.61</v>
      </c>
      <c r="J1896" s="420">
        <f>IF(ISBLANK(I1896),"",SUM(H1896:I1896))</f>
        <v>936.61080000000004</v>
      </c>
      <c r="K1896" s="421">
        <f t="shared" si="455"/>
        <v>1112.79</v>
      </c>
      <c r="L1896" s="647" t="s">
        <v>16</v>
      </c>
      <c r="M1896" s="576"/>
      <c r="N1896" s="576">
        <f t="shared" si="462"/>
        <v>0</v>
      </c>
      <c r="O1896" s="577">
        <f t="shared" si="453"/>
        <v>0</v>
      </c>
      <c r="P1896" s="578">
        <f t="shared" si="454"/>
        <v>0</v>
      </c>
      <c r="Q1896" s="765"/>
      <c r="R1896" s="576">
        <f>M1896</f>
        <v>0</v>
      </c>
      <c r="S1896" s="576">
        <f>N1896</f>
        <v>0</v>
      </c>
      <c r="T1896" s="577">
        <f t="shared" si="451"/>
        <v>0</v>
      </c>
      <c r="U1896" s="578">
        <f t="shared" si="452"/>
        <v>0</v>
      </c>
      <c r="V1896" s="579"/>
      <c r="W1896" s="566"/>
      <c r="X1896" s="586" t="str">
        <f t="shared" si="465"/>
        <v/>
      </c>
      <c r="Y1896" s="586" t="str">
        <f t="shared" si="466"/>
        <v/>
      </c>
      <c r="Z1896" s="586" t="str">
        <f t="shared" si="467"/>
        <v/>
      </c>
    </row>
    <row r="1897" spans="1:26" ht="12" hidden="1" thickBot="1" x14ac:dyDescent="0.25">
      <c r="A1897" s="567" t="s">
        <v>168</v>
      </c>
      <c r="B1897" s="644" t="s">
        <v>168</v>
      </c>
      <c r="C1897" s="645"/>
      <c r="D1897" s="422" t="s">
        <v>212</v>
      </c>
      <c r="E1897" s="423"/>
      <c r="F1897" s="424">
        <v>500</v>
      </c>
      <c r="G1897" s="425">
        <v>0.48</v>
      </c>
      <c r="H1897" s="649">
        <f>IF(F1897&lt;=30,(0.78*F1897+7.82)*G1897,((0.78*30+7.82)+0.78*(F1897-30))*G1897)</f>
        <v>190.95360000000002</v>
      </c>
      <c r="I1897" s="420">
        <v>0</v>
      </c>
      <c r="J1897" s="420"/>
      <c r="K1897" s="421">
        <f t="shared" si="455"/>
        <v>0</v>
      </c>
      <c r="L1897" s="647"/>
      <c r="M1897" s="723"/>
      <c r="N1897" s="576">
        <f t="shared" si="462"/>
        <v>0</v>
      </c>
      <c r="O1897" s="577">
        <f t="shared" si="453"/>
        <v>0</v>
      </c>
      <c r="P1897" s="578">
        <f t="shared" si="454"/>
        <v>0</v>
      </c>
      <c r="Q1897" s="765"/>
      <c r="R1897" s="723"/>
      <c r="S1897" s="723"/>
      <c r="T1897" s="577">
        <f t="shared" si="451"/>
        <v>0</v>
      </c>
      <c r="U1897" s="578">
        <f t="shared" si="452"/>
        <v>0</v>
      </c>
      <c r="V1897" s="579"/>
      <c r="W1897" s="566" t="str">
        <f>IF(U1896&gt;0,"xx",IF(P1896&gt;0,"xy",""))</f>
        <v/>
      </c>
      <c r="X1897" s="586" t="str">
        <f t="shared" si="465"/>
        <v/>
      </c>
      <c r="Y1897" s="586" t="str">
        <f t="shared" si="466"/>
        <v/>
      </c>
      <c r="Z1897" s="586" t="str">
        <f t="shared" si="467"/>
        <v/>
      </c>
    </row>
    <row r="1898" spans="1:26" ht="12" hidden="1" thickBot="1" x14ac:dyDescent="0.25">
      <c r="A1898" s="567" t="s">
        <v>168</v>
      </c>
      <c r="B1898" s="644" t="s">
        <v>168</v>
      </c>
      <c r="C1898" s="645"/>
      <c r="D1898" s="422" t="s">
        <v>248</v>
      </c>
      <c r="E1898" s="423"/>
      <c r="F1898" s="424">
        <v>180</v>
      </c>
      <c r="G1898" s="425">
        <v>0.78</v>
      </c>
      <c r="H1898" s="663">
        <f t="shared" ref="H1898:H1899" si="471">IF(F1898&lt;=30,(1.07*F1898+2.68)*G1898,((1.07*30+2.68)+1.07*(F1898-30))*G1898)</f>
        <v>152.3184</v>
      </c>
      <c r="I1898" s="420">
        <v>0</v>
      </c>
      <c r="J1898" s="420"/>
      <c r="K1898" s="421">
        <f t="shared" si="455"/>
        <v>0</v>
      </c>
      <c r="L1898" s="647"/>
      <c r="M1898" s="723"/>
      <c r="N1898" s="576">
        <f t="shared" si="462"/>
        <v>0</v>
      </c>
      <c r="O1898" s="577">
        <f t="shared" si="453"/>
        <v>0</v>
      </c>
      <c r="P1898" s="578">
        <f t="shared" si="454"/>
        <v>0</v>
      </c>
      <c r="Q1898" s="765"/>
      <c r="R1898" s="723"/>
      <c r="S1898" s="723"/>
      <c r="T1898" s="577">
        <f t="shared" si="451"/>
        <v>0</v>
      </c>
      <c r="U1898" s="578">
        <f t="shared" si="452"/>
        <v>0</v>
      </c>
      <c r="V1898" s="579"/>
      <c r="W1898" s="566" t="str">
        <f>IF(U1896&gt;0,"xx",IF(P1896&gt;0,"xy",""))</f>
        <v/>
      </c>
      <c r="X1898" s="586" t="str">
        <f t="shared" si="465"/>
        <v/>
      </c>
      <c r="Y1898" s="586" t="str">
        <f t="shared" si="466"/>
        <v/>
      </c>
      <c r="Z1898" s="586" t="str">
        <f t="shared" si="467"/>
        <v/>
      </c>
    </row>
    <row r="1899" spans="1:26" ht="12" hidden="1" thickBot="1" x14ac:dyDescent="0.25">
      <c r="A1899" s="567" t="s">
        <v>168</v>
      </c>
      <c r="B1899" s="644" t="s">
        <v>168</v>
      </c>
      <c r="C1899" s="645"/>
      <c r="D1899" s="422" t="s">
        <v>252</v>
      </c>
      <c r="E1899" s="423"/>
      <c r="F1899" s="424">
        <v>20</v>
      </c>
      <c r="G1899" s="425">
        <v>1.1100000000000001</v>
      </c>
      <c r="H1899" s="663">
        <f t="shared" si="471"/>
        <v>26.728800000000003</v>
      </c>
      <c r="I1899" s="420">
        <v>0</v>
      </c>
      <c r="J1899" s="420"/>
      <c r="K1899" s="421">
        <f t="shared" si="455"/>
        <v>0</v>
      </c>
      <c r="L1899" s="647"/>
      <c r="M1899" s="723"/>
      <c r="N1899" s="576">
        <f t="shared" si="462"/>
        <v>0</v>
      </c>
      <c r="O1899" s="577">
        <f t="shared" si="453"/>
        <v>0</v>
      </c>
      <c r="P1899" s="578">
        <f t="shared" si="454"/>
        <v>0</v>
      </c>
      <c r="Q1899" s="765"/>
      <c r="R1899" s="723"/>
      <c r="S1899" s="723"/>
      <c r="T1899" s="577">
        <f t="shared" si="451"/>
        <v>0</v>
      </c>
      <c r="U1899" s="578">
        <f t="shared" si="452"/>
        <v>0</v>
      </c>
      <c r="V1899" s="579"/>
      <c r="W1899" s="566" t="str">
        <f>IF(U1896&gt;0,"xx",IF(P1896&gt;0,"xy",""))</f>
        <v/>
      </c>
      <c r="X1899" s="586" t="str">
        <f t="shared" si="465"/>
        <v/>
      </c>
      <c r="Y1899" s="586" t="str">
        <f t="shared" si="466"/>
        <v/>
      </c>
      <c r="Z1899" s="586" t="str">
        <f t="shared" si="467"/>
        <v/>
      </c>
    </row>
    <row r="1900" spans="1:26" ht="12" hidden="1" thickBot="1" x14ac:dyDescent="0.25">
      <c r="A1900" s="567">
        <v>606200</v>
      </c>
      <c r="B1900" s="644">
        <v>606200</v>
      </c>
      <c r="C1900" s="645" t="s">
        <v>206</v>
      </c>
      <c r="D1900" s="422" t="s">
        <v>1517</v>
      </c>
      <c r="E1900" s="423"/>
      <c r="F1900" s="424"/>
      <c r="G1900" s="425"/>
      <c r="H1900" s="651">
        <f>SUM(H1901:H1903)</f>
        <v>376.87264000000005</v>
      </c>
      <c r="I1900" s="420">
        <v>583.43999999999994</v>
      </c>
      <c r="J1900" s="420">
        <f>IF(ISBLANK(I1900),"",SUM(H1900:I1900))</f>
        <v>960.31263999999999</v>
      </c>
      <c r="K1900" s="421">
        <f t="shared" si="455"/>
        <v>1140.95</v>
      </c>
      <c r="L1900" s="647" t="s">
        <v>16</v>
      </c>
      <c r="M1900" s="576"/>
      <c r="N1900" s="576">
        <f t="shared" si="462"/>
        <v>0</v>
      </c>
      <c r="O1900" s="577">
        <f t="shared" si="453"/>
        <v>0</v>
      </c>
      <c r="P1900" s="578">
        <f t="shared" si="454"/>
        <v>0</v>
      </c>
      <c r="Q1900" s="765"/>
      <c r="R1900" s="576">
        <f>M1900</f>
        <v>0</v>
      </c>
      <c r="S1900" s="576">
        <f>N1900</f>
        <v>0</v>
      </c>
      <c r="T1900" s="577">
        <f t="shared" si="451"/>
        <v>0</v>
      </c>
      <c r="U1900" s="578">
        <f t="shared" si="452"/>
        <v>0</v>
      </c>
      <c r="V1900" s="579"/>
      <c r="W1900" s="566"/>
      <c r="X1900" s="586" t="str">
        <f t="shared" si="465"/>
        <v/>
      </c>
      <c r="Y1900" s="586" t="str">
        <f t="shared" si="466"/>
        <v/>
      </c>
      <c r="Z1900" s="586" t="str">
        <f t="shared" si="467"/>
        <v/>
      </c>
    </row>
    <row r="1901" spans="1:26" ht="12" hidden="1" thickBot="1" x14ac:dyDescent="0.25">
      <c r="A1901" s="567" t="s">
        <v>168</v>
      </c>
      <c r="B1901" s="644" t="s">
        <v>168</v>
      </c>
      <c r="C1901" s="645"/>
      <c r="D1901" s="422" t="s">
        <v>212</v>
      </c>
      <c r="E1901" s="423"/>
      <c r="F1901" s="424">
        <v>500</v>
      </c>
      <c r="G1901" s="425">
        <v>0.51200000000000001</v>
      </c>
      <c r="H1901" s="649">
        <f>IF(F1901&lt;=30,(0.78*F1901+7.82)*G1901,((0.78*30+7.82)+0.78*(F1901-30))*G1901)</f>
        <v>203.68384000000003</v>
      </c>
      <c r="I1901" s="420">
        <v>0</v>
      </c>
      <c r="J1901" s="420"/>
      <c r="K1901" s="421">
        <f t="shared" si="455"/>
        <v>0</v>
      </c>
      <c r="L1901" s="647"/>
      <c r="M1901" s="723"/>
      <c r="N1901" s="576">
        <f t="shared" si="462"/>
        <v>0</v>
      </c>
      <c r="O1901" s="577">
        <f t="shared" si="453"/>
        <v>0</v>
      </c>
      <c r="P1901" s="578">
        <f t="shared" si="454"/>
        <v>0</v>
      </c>
      <c r="Q1901" s="765"/>
      <c r="R1901" s="723"/>
      <c r="S1901" s="723"/>
      <c r="T1901" s="577">
        <f t="shared" si="451"/>
        <v>0</v>
      </c>
      <c r="U1901" s="578">
        <f t="shared" si="452"/>
        <v>0</v>
      </c>
      <c r="V1901" s="579"/>
      <c r="W1901" s="566" t="str">
        <f>IF(U1900&gt;0,"xx",IF(P1900&gt;0,"xy",""))</f>
        <v/>
      </c>
      <c r="X1901" s="586" t="str">
        <f t="shared" si="465"/>
        <v/>
      </c>
      <c r="Y1901" s="586" t="str">
        <f t="shared" si="466"/>
        <v/>
      </c>
      <c r="Z1901" s="586" t="str">
        <f t="shared" si="467"/>
        <v/>
      </c>
    </row>
    <row r="1902" spans="1:26" ht="12" hidden="1" thickBot="1" x14ac:dyDescent="0.25">
      <c r="A1902" s="567" t="s">
        <v>168</v>
      </c>
      <c r="B1902" s="644" t="s">
        <v>168</v>
      </c>
      <c r="C1902" s="645"/>
      <c r="D1902" s="422" t="s">
        <v>248</v>
      </c>
      <c r="E1902" s="423"/>
      <c r="F1902" s="424">
        <v>180</v>
      </c>
      <c r="G1902" s="425">
        <v>0.75</v>
      </c>
      <c r="H1902" s="663">
        <f t="shared" ref="H1902:H1903" si="472">IF(F1902&lt;=30,(1.07*F1902+2.68)*G1902,((1.07*30+2.68)+1.07*(F1902-30))*G1902)</f>
        <v>146.46</v>
      </c>
      <c r="I1902" s="420">
        <v>0</v>
      </c>
      <c r="J1902" s="420"/>
      <c r="K1902" s="421">
        <f t="shared" si="455"/>
        <v>0</v>
      </c>
      <c r="L1902" s="647"/>
      <c r="M1902" s="723"/>
      <c r="N1902" s="576">
        <f t="shared" si="462"/>
        <v>0</v>
      </c>
      <c r="O1902" s="577">
        <f t="shared" si="453"/>
        <v>0</v>
      </c>
      <c r="P1902" s="578">
        <f t="shared" si="454"/>
        <v>0</v>
      </c>
      <c r="Q1902" s="765"/>
      <c r="R1902" s="723"/>
      <c r="S1902" s="723"/>
      <c r="T1902" s="577">
        <f t="shared" si="451"/>
        <v>0</v>
      </c>
      <c r="U1902" s="578">
        <f t="shared" si="452"/>
        <v>0</v>
      </c>
      <c r="V1902" s="579"/>
      <c r="W1902" s="566" t="str">
        <f>IF(U1900&gt;0,"xx",IF(P1900&gt;0,"xy",""))</f>
        <v/>
      </c>
      <c r="X1902" s="586" t="str">
        <f t="shared" si="465"/>
        <v/>
      </c>
      <c r="Y1902" s="586" t="str">
        <f t="shared" si="466"/>
        <v/>
      </c>
      <c r="Z1902" s="586" t="str">
        <f t="shared" si="467"/>
        <v/>
      </c>
    </row>
    <row r="1903" spans="1:26" ht="12" hidden="1" thickBot="1" x14ac:dyDescent="0.25">
      <c r="A1903" s="567" t="s">
        <v>168</v>
      </c>
      <c r="B1903" s="644" t="s">
        <v>168</v>
      </c>
      <c r="C1903" s="645"/>
      <c r="D1903" s="422" t="s">
        <v>252</v>
      </c>
      <c r="E1903" s="423"/>
      <c r="F1903" s="424">
        <v>20</v>
      </c>
      <c r="G1903" s="425">
        <v>1.1100000000000001</v>
      </c>
      <c r="H1903" s="663">
        <f t="shared" si="472"/>
        <v>26.728800000000003</v>
      </c>
      <c r="I1903" s="420">
        <v>0</v>
      </c>
      <c r="J1903" s="420"/>
      <c r="K1903" s="421">
        <f t="shared" si="455"/>
        <v>0</v>
      </c>
      <c r="L1903" s="647"/>
      <c r="M1903" s="723"/>
      <c r="N1903" s="576">
        <f t="shared" si="462"/>
        <v>0</v>
      </c>
      <c r="O1903" s="577">
        <f t="shared" si="453"/>
        <v>0</v>
      </c>
      <c r="P1903" s="578">
        <f t="shared" si="454"/>
        <v>0</v>
      </c>
      <c r="Q1903" s="765"/>
      <c r="R1903" s="723"/>
      <c r="S1903" s="723"/>
      <c r="T1903" s="577">
        <f t="shared" si="451"/>
        <v>0</v>
      </c>
      <c r="U1903" s="578">
        <f t="shared" si="452"/>
        <v>0</v>
      </c>
      <c r="V1903" s="579"/>
      <c r="W1903" s="566" t="str">
        <f>IF(U1900&gt;0,"xx",IF(P1900&gt;0,"xy",""))</f>
        <v/>
      </c>
      <c r="X1903" s="586" t="str">
        <f t="shared" si="465"/>
        <v/>
      </c>
      <c r="Y1903" s="586" t="str">
        <f t="shared" si="466"/>
        <v/>
      </c>
      <c r="Z1903" s="586" t="str">
        <f t="shared" si="467"/>
        <v/>
      </c>
    </row>
    <row r="1904" spans="1:26" ht="12" hidden="1" thickBot="1" x14ac:dyDescent="0.25">
      <c r="A1904" s="567">
        <v>622000</v>
      </c>
      <c r="B1904" s="644">
        <v>622000</v>
      </c>
      <c r="C1904" s="645" t="s">
        <v>206</v>
      </c>
      <c r="D1904" s="422" t="s">
        <v>626</v>
      </c>
      <c r="E1904" s="423"/>
      <c r="F1904" s="424"/>
      <c r="G1904" s="425"/>
      <c r="H1904" s="651">
        <f>SUM(H1905:H1908)</f>
        <v>51.614808000000004</v>
      </c>
      <c r="I1904" s="420">
        <v>225.42</v>
      </c>
      <c r="J1904" s="420">
        <f>IF(ISBLANK(I1904),"",SUM(H1904:I1904))</f>
        <v>277.034808</v>
      </c>
      <c r="K1904" s="421">
        <f t="shared" si="455"/>
        <v>329.15</v>
      </c>
      <c r="L1904" s="647" t="s">
        <v>21</v>
      </c>
      <c r="M1904" s="576"/>
      <c r="N1904" s="576">
        <f t="shared" si="462"/>
        <v>0</v>
      </c>
      <c r="O1904" s="577">
        <f t="shared" si="453"/>
        <v>0</v>
      </c>
      <c r="P1904" s="578">
        <f t="shared" si="454"/>
        <v>0</v>
      </c>
      <c r="Q1904" s="765"/>
      <c r="R1904" s="576">
        <f>M1904</f>
        <v>0</v>
      </c>
      <c r="S1904" s="576">
        <f>N1904</f>
        <v>0</v>
      </c>
      <c r="T1904" s="577">
        <f t="shared" si="451"/>
        <v>0</v>
      </c>
      <c r="U1904" s="578">
        <f t="shared" si="452"/>
        <v>0</v>
      </c>
      <c r="V1904" s="579"/>
      <c r="W1904" s="566"/>
      <c r="X1904" s="586" t="str">
        <f t="shared" si="461"/>
        <v/>
      </c>
      <c r="Y1904" s="586" t="str">
        <f t="shared" si="431"/>
        <v/>
      </c>
      <c r="Z1904" s="586" t="str">
        <f t="shared" si="445"/>
        <v/>
      </c>
    </row>
    <row r="1905" spans="1:26" ht="12" hidden="1" thickBot="1" x14ac:dyDescent="0.25">
      <c r="A1905" s="567" t="s">
        <v>168</v>
      </c>
      <c r="B1905" s="644" t="s">
        <v>168</v>
      </c>
      <c r="C1905" s="645"/>
      <c r="D1905" s="422" t="s">
        <v>212</v>
      </c>
      <c r="E1905" s="423"/>
      <c r="F1905" s="424">
        <v>500</v>
      </c>
      <c r="G1905" s="425">
        <v>4.24E-2</v>
      </c>
      <c r="H1905" s="649">
        <f>IF(F1905&lt;=30,(0.78*F1905+7.82)*G1905,((0.78*30+7.82)+0.78*(F1905-30))*G1905)</f>
        <v>16.867568000000002</v>
      </c>
      <c r="I1905" s="420">
        <v>0</v>
      </c>
      <c r="J1905" s="420"/>
      <c r="K1905" s="421">
        <f t="shared" si="455"/>
        <v>0</v>
      </c>
      <c r="L1905" s="647"/>
      <c r="M1905" s="723"/>
      <c r="N1905" s="576">
        <f t="shared" si="462"/>
        <v>0</v>
      </c>
      <c r="O1905" s="577">
        <f t="shared" si="453"/>
        <v>0</v>
      </c>
      <c r="P1905" s="578">
        <f t="shared" si="454"/>
        <v>0</v>
      </c>
      <c r="Q1905" s="765"/>
      <c r="R1905" s="723"/>
      <c r="S1905" s="723"/>
      <c r="T1905" s="577">
        <f t="shared" si="451"/>
        <v>0</v>
      </c>
      <c r="U1905" s="578">
        <f t="shared" si="452"/>
        <v>0</v>
      </c>
      <c r="V1905" s="579"/>
      <c r="W1905" s="566" t="str">
        <f>IF(U1904&gt;0,"xx",IF(P1904&gt;0,"xy",""))</f>
        <v/>
      </c>
      <c r="X1905" s="586" t="str">
        <f t="shared" si="461"/>
        <v/>
      </c>
      <c r="Y1905" s="586" t="str">
        <f t="shared" si="431"/>
        <v/>
      </c>
      <c r="Z1905" s="586" t="str">
        <f t="shared" si="445"/>
        <v/>
      </c>
    </row>
    <row r="1906" spans="1:26" ht="12" hidden="1" thickBot="1" x14ac:dyDescent="0.25">
      <c r="A1906" s="567" t="s">
        <v>168</v>
      </c>
      <c r="B1906" s="644" t="s">
        <v>168</v>
      </c>
      <c r="C1906" s="645"/>
      <c r="D1906" s="422" t="s">
        <v>248</v>
      </c>
      <c r="E1906" s="423"/>
      <c r="F1906" s="424">
        <v>180</v>
      </c>
      <c r="G1906" s="425">
        <v>0.1507</v>
      </c>
      <c r="H1906" s="663">
        <f t="shared" ref="H1906:H1907" si="473">IF(F1906&lt;=30,(1.07*F1906+2.68)*G1906,((1.07*30+2.68)+1.07*(F1906-30))*G1906)</f>
        <v>29.428695999999999</v>
      </c>
      <c r="I1906" s="420">
        <v>0</v>
      </c>
      <c r="J1906" s="420"/>
      <c r="K1906" s="421">
        <f t="shared" si="455"/>
        <v>0</v>
      </c>
      <c r="L1906" s="647"/>
      <c r="M1906" s="723"/>
      <c r="N1906" s="576">
        <f t="shared" si="462"/>
        <v>0</v>
      </c>
      <c r="O1906" s="577">
        <f t="shared" si="453"/>
        <v>0</v>
      </c>
      <c r="P1906" s="578">
        <f t="shared" si="454"/>
        <v>0</v>
      </c>
      <c r="Q1906" s="765"/>
      <c r="R1906" s="723"/>
      <c r="S1906" s="723"/>
      <c r="T1906" s="577">
        <f t="shared" si="451"/>
        <v>0</v>
      </c>
      <c r="U1906" s="578">
        <f t="shared" si="452"/>
        <v>0</v>
      </c>
      <c r="V1906" s="579"/>
      <c r="W1906" s="566" t="str">
        <f>IF(U1904&gt;0,"xx",IF(P1904&gt;0,"xy",""))</f>
        <v/>
      </c>
      <c r="X1906" s="586" t="str">
        <f t="shared" si="461"/>
        <v/>
      </c>
      <c r="Y1906" s="586" t="str">
        <f t="shared" si="431"/>
        <v/>
      </c>
      <c r="Z1906" s="586" t="str">
        <f t="shared" si="445"/>
        <v/>
      </c>
    </row>
    <row r="1907" spans="1:26" ht="12" hidden="1" thickBot="1" x14ac:dyDescent="0.25">
      <c r="A1907" s="567" t="s">
        <v>168</v>
      </c>
      <c r="B1907" s="644" t="s">
        <v>168</v>
      </c>
      <c r="C1907" s="645"/>
      <c r="D1907" s="422" t="s">
        <v>252</v>
      </c>
      <c r="E1907" s="423"/>
      <c r="F1907" s="424">
        <v>20</v>
      </c>
      <c r="G1907" s="425">
        <v>0.17430000000000001</v>
      </c>
      <c r="H1907" s="663">
        <f t="shared" si="473"/>
        <v>4.1971440000000007</v>
      </c>
      <c r="I1907" s="420">
        <v>0</v>
      </c>
      <c r="J1907" s="420"/>
      <c r="K1907" s="421">
        <f t="shared" si="455"/>
        <v>0</v>
      </c>
      <c r="L1907" s="647"/>
      <c r="M1907" s="723"/>
      <c r="N1907" s="576">
        <f t="shared" si="462"/>
        <v>0</v>
      </c>
      <c r="O1907" s="577">
        <f t="shared" si="453"/>
        <v>0</v>
      </c>
      <c r="P1907" s="578">
        <f t="shared" si="454"/>
        <v>0</v>
      </c>
      <c r="Q1907" s="765"/>
      <c r="R1907" s="723"/>
      <c r="S1907" s="723"/>
      <c r="T1907" s="577">
        <f t="shared" si="451"/>
        <v>0</v>
      </c>
      <c r="U1907" s="578">
        <f t="shared" si="452"/>
        <v>0</v>
      </c>
      <c r="V1907" s="579"/>
      <c r="W1907" s="566" t="str">
        <f>IF(U1904&gt;0,"xx",IF(P1904&gt;0,"xy",""))</f>
        <v/>
      </c>
      <c r="X1907" s="586" t="str">
        <f t="shared" si="461"/>
        <v/>
      </c>
      <c r="Y1907" s="586" t="str">
        <f t="shared" si="431"/>
        <v/>
      </c>
      <c r="Z1907" s="586" t="str">
        <f t="shared" si="445"/>
        <v/>
      </c>
    </row>
    <row r="1908" spans="1:26" ht="12" hidden="1" thickBot="1" x14ac:dyDescent="0.25">
      <c r="A1908" s="567" t="s">
        <v>168</v>
      </c>
      <c r="B1908" s="644" t="s">
        <v>168</v>
      </c>
      <c r="C1908" s="645"/>
      <c r="D1908" s="422" t="s">
        <v>347</v>
      </c>
      <c r="E1908" s="423"/>
      <c r="F1908" s="424">
        <v>20</v>
      </c>
      <c r="G1908" s="425">
        <v>0.06</v>
      </c>
      <c r="H1908" s="663">
        <f>IF(F1908&lt;=30,(0.62*F1908+6.29)*G1908,((0.62*30+6.29)+0.62*(F1908-30))*G1908)</f>
        <v>1.1214</v>
      </c>
      <c r="I1908" s="420">
        <v>0</v>
      </c>
      <c r="J1908" s="420"/>
      <c r="K1908" s="421">
        <f t="shared" si="455"/>
        <v>0</v>
      </c>
      <c r="L1908" s="647"/>
      <c r="M1908" s="723"/>
      <c r="N1908" s="576">
        <f t="shared" si="462"/>
        <v>0</v>
      </c>
      <c r="O1908" s="577">
        <f t="shared" si="453"/>
        <v>0</v>
      </c>
      <c r="P1908" s="578">
        <f t="shared" si="454"/>
        <v>0</v>
      </c>
      <c r="Q1908" s="765"/>
      <c r="R1908" s="723"/>
      <c r="S1908" s="723"/>
      <c r="T1908" s="577">
        <f t="shared" si="451"/>
        <v>0</v>
      </c>
      <c r="U1908" s="578">
        <f t="shared" si="452"/>
        <v>0</v>
      </c>
      <c r="V1908" s="579"/>
      <c r="W1908" s="566" t="str">
        <f>IF(U1904&gt;0,"xx",IF(P1904&gt;0,"xy",""))</f>
        <v/>
      </c>
      <c r="X1908" s="586" t="str">
        <f t="shared" si="461"/>
        <v/>
      </c>
      <c r="Y1908" s="586" t="str">
        <f t="shared" si="431"/>
        <v/>
      </c>
      <c r="Z1908" s="586" t="str">
        <f t="shared" si="445"/>
        <v/>
      </c>
    </row>
    <row r="1909" spans="1:26" ht="12" hidden="1" thickBot="1" x14ac:dyDescent="0.25">
      <c r="A1909" s="567">
        <v>620000</v>
      </c>
      <c r="B1909" s="644" t="s">
        <v>1658</v>
      </c>
      <c r="C1909" s="645" t="s">
        <v>206</v>
      </c>
      <c r="D1909" s="422" t="s">
        <v>627</v>
      </c>
      <c r="E1909" s="423"/>
      <c r="F1909" s="424"/>
      <c r="G1909" s="425"/>
      <c r="H1909" s="651">
        <f>SUM(H1910:H1912)</f>
        <v>75.751080000000002</v>
      </c>
      <c r="I1909" s="420">
        <v>359.52</v>
      </c>
      <c r="J1909" s="420">
        <f>IF(ISBLANK(I1909),"",SUM(H1909:I1909))</f>
        <v>435.27107999999998</v>
      </c>
      <c r="K1909" s="421">
        <f t="shared" si="455"/>
        <v>517.15</v>
      </c>
      <c r="L1909" s="647" t="s">
        <v>21</v>
      </c>
      <c r="M1909" s="576"/>
      <c r="N1909" s="576">
        <f t="shared" si="462"/>
        <v>0</v>
      </c>
      <c r="O1909" s="577">
        <f t="shared" si="453"/>
        <v>0</v>
      </c>
      <c r="P1909" s="578">
        <f t="shared" si="454"/>
        <v>0</v>
      </c>
      <c r="Q1909" s="765"/>
      <c r="R1909" s="576">
        <f>M1909</f>
        <v>0</v>
      </c>
      <c r="S1909" s="576">
        <f>N1909</f>
        <v>0</v>
      </c>
      <c r="T1909" s="577">
        <f t="shared" si="451"/>
        <v>0</v>
      </c>
      <c r="U1909" s="578">
        <f t="shared" si="452"/>
        <v>0</v>
      </c>
      <c r="V1909" s="579"/>
      <c r="W1909" s="566"/>
      <c r="X1909" s="586" t="str">
        <f t="shared" si="461"/>
        <v/>
      </c>
      <c r="Y1909" s="586" t="str">
        <f t="shared" si="431"/>
        <v/>
      </c>
      <c r="Z1909" s="586" t="str">
        <f t="shared" si="445"/>
        <v/>
      </c>
    </row>
    <row r="1910" spans="1:26" ht="12" hidden="1" thickBot="1" x14ac:dyDescent="0.25">
      <c r="A1910" s="567" t="s">
        <v>168</v>
      </c>
      <c r="B1910" s="644" t="s">
        <v>168</v>
      </c>
      <c r="C1910" s="645"/>
      <c r="D1910" s="422" t="s">
        <v>212</v>
      </c>
      <c r="E1910" s="423"/>
      <c r="F1910" s="424">
        <v>500</v>
      </c>
      <c r="G1910" s="425">
        <v>6.3600000000000004E-2</v>
      </c>
      <c r="H1910" s="649">
        <f>IF(F1910&lt;=30,(0.78*F1910+7.82)*G1910,((0.78*30+7.82)+0.78*(F1910-30))*G1910)</f>
        <v>25.301352000000005</v>
      </c>
      <c r="I1910" s="420">
        <v>0</v>
      </c>
      <c r="J1910" s="420"/>
      <c r="K1910" s="421">
        <f t="shared" si="455"/>
        <v>0</v>
      </c>
      <c r="L1910" s="647"/>
      <c r="M1910" s="723"/>
      <c r="N1910" s="576">
        <f t="shared" si="462"/>
        <v>0</v>
      </c>
      <c r="O1910" s="577">
        <f t="shared" si="453"/>
        <v>0</v>
      </c>
      <c r="P1910" s="578">
        <f t="shared" si="454"/>
        <v>0</v>
      </c>
      <c r="Q1910" s="765"/>
      <c r="R1910" s="723"/>
      <c r="S1910" s="723"/>
      <c r="T1910" s="577">
        <f t="shared" si="451"/>
        <v>0</v>
      </c>
      <c r="U1910" s="578">
        <f t="shared" si="452"/>
        <v>0</v>
      </c>
      <c r="V1910" s="579"/>
      <c r="W1910" s="566" t="str">
        <f>IF(U1909&gt;0,"xx",IF(P1909&gt;0,"xy",""))</f>
        <v/>
      </c>
      <c r="X1910" s="586" t="str">
        <f t="shared" si="461"/>
        <v/>
      </c>
      <c r="Y1910" s="586" t="str">
        <f t="shared" si="431"/>
        <v/>
      </c>
      <c r="Z1910" s="586" t="str">
        <f t="shared" si="445"/>
        <v/>
      </c>
    </row>
    <row r="1911" spans="1:26" ht="12" hidden="1" thickBot="1" x14ac:dyDescent="0.25">
      <c r="A1911" s="567" t="s">
        <v>168</v>
      </c>
      <c r="B1911" s="644" t="s">
        <v>168</v>
      </c>
      <c r="C1911" s="645"/>
      <c r="D1911" s="422" t="s">
        <v>248</v>
      </c>
      <c r="E1911" s="423"/>
      <c r="F1911" s="424">
        <v>180</v>
      </c>
      <c r="G1911" s="425">
        <v>0.2261</v>
      </c>
      <c r="H1911" s="663">
        <f t="shared" ref="H1911:H1912" si="474">IF(F1911&lt;=30,(1.07*F1911+2.68)*G1911,((1.07*30+2.68)+1.07*(F1911-30))*G1911)</f>
        <v>44.152808</v>
      </c>
      <c r="I1911" s="420">
        <v>0</v>
      </c>
      <c r="J1911" s="420"/>
      <c r="K1911" s="421">
        <f t="shared" si="455"/>
        <v>0</v>
      </c>
      <c r="L1911" s="647"/>
      <c r="M1911" s="723"/>
      <c r="N1911" s="576">
        <f t="shared" si="462"/>
        <v>0</v>
      </c>
      <c r="O1911" s="577">
        <f t="shared" si="453"/>
        <v>0</v>
      </c>
      <c r="P1911" s="578">
        <f t="shared" si="454"/>
        <v>0</v>
      </c>
      <c r="Q1911" s="765"/>
      <c r="R1911" s="723"/>
      <c r="S1911" s="723"/>
      <c r="T1911" s="577">
        <f t="shared" si="451"/>
        <v>0</v>
      </c>
      <c r="U1911" s="578">
        <f t="shared" si="452"/>
        <v>0</v>
      </c>
      <c r="V1911" s="579"/>
      <c r="W1911" s="566" t="str">
        <f>IF(U1909&gt;0,"xx",IF(P1909&gt;0,"xy",""))</f>
        <v/>
      </c>
      <c r="X1911" s="586" t="str">
        <f t="shared" si="461"/>
        <v/>
      </c>
      <c r="Y1911" s="586" t="str">
        <f t="shared" si="431"/>
        <v/>
      </c>
      <c r="Z1911" s="586" t="str">
        <f t="shared" si="445"/>
        <v/>
      </c>
    </row>
    <row r="1912" spans="1:26" ht="12" hidden="1" thickBot="1" x14ac:dyDescent="0.25">
      <c r="A1912" s="567" t="s">
        <v>168</v>
      </c>
      <c r="B1912" s="644" t="s">
        <v>168</v>
      </c>
      <c r="C1912" s="645"/>
      <c r="D1912" s="422" t="s">
        <v>252</v>
      </c>
      <c r="E1912" s="423"/>
      <c r="F1912" s="424">
        <v>20</v>
      </c>
      <c r="G1912" s="425">
        <v>0.26150000000000001</v>
      </c>
      <c r="H1912" s="663">
        <f t="shared" si="474"/>
        <v>6.296920000000001</v>
      </c>
      <c r="I1912" s="420">
        <v>0</v>
      </c>
      <c r="J1912" s="420"/>
      <c r="K1912" s="421">
        <f t="shared" si="455"/>
        <v>0</v>
      </c>
      <c r="L1912" s="647"/>
      <c r="M1912" s="723"/>
      <c r="N1912" s="576">
        <f t="shared" si="462"/>
        <v>0</v>
      </c>
      <c r="O1912" s="577">
        <f t="shared" si="453"/>
        <v>0</v>
      </c>
      <c r="P1912" s="578">
        <f t="shared" si="454"/>
        <v>0</v>
      </c>
      <c r="Q1912" s="765"/>
      <c r="R1912" s="723"/>
      <c r="S1912" s="723"/>
      <c r="T1912" s="577">
        <f t="shared" si="451"/>
        <v>0</v>
      </c>
      <c r="U1912" s="578">
        <f t="shared" si="452"/>
        <v>0</v>
      </c>
      <c r="V1912" s="579"/>
      <c r="W1912" s="566" t="str">
        <f>IF(U1909&gt;0,"xx",IF(P1909&gt;0,"xy",""))</f>
        <v/>
      </c>
      <c r="X1912" s="586" t="str">
        <f t="shared" si="461"/>
        <v/>
      </c>
      <c r="Y1912" s="586" t="str">
        <f t="shared" si="431"/>
        <v/>
      </c>
      <c r="Z1912" s="586" t="str">
        <f t="shared" si="445"/>
        <v/>
      </c>
    </row>
    <row r="1913" spans="1:26" ht="12" hidden="1" thickBot="1" x14ac:dyDescent="0.25">
      <c r="A1913" s="567">
        <v>620000</v>
      </c>
      <c r="B1913" s="644" t="s">
        <v>1659</v>
      </c>
      <c r="C1913" s="645" t="s">
        <v>206</v>
      </c>
      <c r="D1913" s="422" t="s">
        <v>354</v>
      </c>
      <c r="E1913" s="423"/>
      <c r="F1913" s="424"/>
      <c r="G1913" s="425"/>
      <c r="H1913" s="651">
        <f>SUM(H1914:H1916)</f>
        <v>144.12123599999998</v>
      </c>
      <c r="I1913" s="420">
        <v>609.32000000000005</v>
      </c>
      <c r="J1913" s="420">
        <f>IF(ISBLANK(I1913),"",SUM(H1913:I1913))</f>
        <v>753.441236</v>
      </c>
      <c r="K1913" s="421">
        <f t="shared" si="455"/>
        <v>895.16</v>
      </c>
      <c r="L1913" s="647" t="s">
        <v>21</v>
      </c>
      <c r="M1913" s="576"/>
      <c r="N1913" s="576">
        <f t="shared" si="462"/>
        <v>0</v>
      </c>
      <c r="O1913" s="577">
        <f t="shared" si="453"/>
        <v>0</v>
      </c>
      <c r="P1913" s="578">
        <f t="shared" si="454"/>
        <v>0</v>
      </c>
      <c r="Q1913" s="765"/>
      <c r="R1913" s="576">
        <f>M1913</f>
        <v>0</v>
      </c>
      <c r="S1913" s="576">
        <f>N1913</f>
        <v>0</v>
      </c>
      <c r="T1913" s="577">
        <f t="shared" si="451"/>
        <v>0</v>
      </c>
      <c r="U1913" s="578">
        <f t="shared" si="452"/>
        <v>0</v>
      </c>
      <c r="V1913" s="579"/>
      <c r="W1913" s="566"/>
      <c r="X1913" s="586" t="str">
        <f t="shared" si="461"/>
        <v/>
      </c>
      <c r="Y1913" s="586" t="str">
        <f t="shared" si="431"/>
        <v/>
      </c>
      <c r="Z1913" s="586" t="str">
        <f t="shared" si="445"/>
        <v/>
      </c>
    </row>
    <row r="1914" spans="1:26" ht="12" hidden="1" thickBot="1" x14ac:dyDescent="0.25">
      <c r="A1914" s="567" t="s">
        <v>168</v>
      </c>
      <c r="B1914" s="644" t="s">
        <v>168</v>
      </c>
      <c r="C1914" s="645"/>
      <c r="D1914" s="422" t="s">
        <v>212</v>
      </c>
      <c r="E1914" s="423"/>
      <c r="F1914" s="424">
        <v>500</v>
      </c>
      <c r="G1914" s="425">
        <v>0.1154</v>
      </c>
      <c r="H1914" s="649">
        <f>IF(F1914&lt;=30,(0.78*F1914+7.82)*G1914,((0.78*30+7.82)+0.78*(F1914-30))*G1914)</f>
        <v>45.908428000000008</v>
      </c>
      <c r="I1914" s="420">
        <v>0</v>
      </c>
      <c r="J1914" s="420"/>
      <c r="K1914" s="421">
        <f t="shared" si="455"/>
        <v>0</v>
      </c>
      <c r="L1914" s="647"/>
      <c r="M1914" s="723"/>
      <c r="N1914" s="576">
        <f t="shared" si="462"/>
        <v>0</v>
      </c>
      <c r="O1914" s="577">
        <f t="shared" si="453"/>
        <v>0</v>
      </c>
      <c r="P1914" s="578">
        <f t="shared" si="454"/>
        <v>0</v>
      </c>
      <c r="Q1914" s="765"/>
      <c r="R1914" s="723"/>
      <c r="S1914" s="723"/>
      <c r="T1914" s="577">
        <f t="shared" si="451"/>
        <v>0</v>
      </c>
      <c r="U1914" s="578">
        <f t="shared" si="452"/>
        <v>0</v>
      </c>
      <c r="V1914" s="579"/>
      <c r="W1914" s="566" t="str">
        <f>IF(U1913&gt;0,"xx",IF(P1913&gt;0,"xy",""))</f>
        <v/>
      </c>
      <c r="X1914" s="586" t="str">
        <f t="shared" si="461"/>
        <v/>
      </c>
      <c r="Y1914" s="586" t="str">
        <f t="shared" si="431"/>
        <v/>
      </c>
      <c r="Z1914" s="586" t="str">
        <f t="shared" si="445"/>
        <v/>
      </c>
    </row>
    <row r="1915" spans="1:26" ht="12" hidden="1" thickBot="1" x14ac:dyDescent="0.25">
      <c r="A1915" s="567" t="s">
        <v>168</v>
      </c>
      <c r="B1915" s="644" t="s">
        <v>168</v>
      </c>
      <c r="C1915" s="645"/>
      <c r="D1915" s="422" t="s">
        <v>248</v>
      </c>
      <c r="E1915" s="423"/>
      <c r="F1915" s="424">
        <v>180</v>
      </c>
      <c r="G1915" s="425">
        <v>0.41049999999999998</v>
      </c>
      <c r="H1915" s="663">
        <f t="shared" ref="H1915:H1916" si="475">IF(F1915&lt;=30,(1.07*F1915+2.68)*G1915,((1.07*30+2.68)+1.07*(F1915-30))*G1915)</f>
        <v>80.162439999999989</v>
      </c>
      <c r="I1915" s="420">
        <v>0</v>
      </c>
      <c r="J1915" s="420"/>
      <c r="K1915" s="421">
        <f t="shared" si="455"/>
        <v>0</v>
      </c>
      <c r="L1915" s="647"/>
      <c r="M1915" s="723"/>
      <c r="N1915" s="576">
        <f t="shared" si="462"/>
        <v>0</v>
      </c>
      <c r="O1915" s="577">
        <f t="shared" si="453"/>
        <v>0</v>
      </c>
      <c r="P1915" s="578">
        <f t="shared" si="454"/>
        <v>0</v>
      </c>
      <c r="Q1915" s="765"/>
      <c r="R1915" s="723"/>
      <c r="S1915" s="723"/>
      <c r="T1915" s="577">
        <f t="shared" si="451"/>
        <v>0</v>
      </c>
      <c r="U1915" s="578">
        <f t="shared" si="452"/>
        <v>0</v>
      </c>
      <c r="V1915" s="579"/>
      <c r="W1915" s="566" t="str">
        <f>IF(U1913&gt;0,"xx",IF(P1913&gt;0,"xy",""))</f>
        <v/>
      </c>
      <c r="X1915" s="586" t="str">
        <f t="shared" si="461"/>
        <v/>
      </c>
      <c r="Y1915" s="586" t="str">
        <f t="shared" si="431"/>
        <v/>
      </c>
      <c r="Z1915" s="586" t="str">
        <f t="shared" si="445"/>
        <v/>
      </c>
    </row>
    <row r="1916" spans="1:26" ht="12" hidden="1" thickBot="1" x14ac:dyDescent="0.25">
      <c r="A1916" s="567" t="s">
        <v>168</v>
      </c>
      <c r="B1916" s="644" t="s">
        <v>168</v>
      </c>
      <c r="C1916" s="645"/>
      <c r="D1916" s="422" t="s">
        <v>252</v>
      </c>
      <c r="E1916" s="423"/>
      <c r="F1916" s="424">
        <v>20</v>
      </c>
      <c r="G1916" s="425">
        <v>0.74960000000000004</v>
      </c>
      <c r="H1916" s="663">
        <f t="shared" si="475"/>
        <v>18.050368000000002</v>
      </c>
      <c r="I1916" s="420">
        <v>0</v>
      </c>
      <c r="J1916" s="420"/>
      <c r="K1916" s="421">
        <f t="shared" si="455"/>
        <v>0</v>
      </c>
      <c r="L1916" s="647"/>
      <c r="M1916" s="723"/>
      <c r="N1916" s="576">
        <f t="shared" si="462"/>
        <v>0</v>
      </c>
      <c r="O1916" s="577">
        <f t="shared" si="453"/>
        <v>0</v>
      </c>
      <c r="P1916" s="578">
        <f t="shared" si="454"/>
        <v>0</v>
      </c>
      <c r="Q1916" s="765"/>
      <c r="R1916" s="723"/>
      <c r="S1916" s="723"/>
      <c r="T1916" s="577">
        <f t="shared" si="451"/>
        <v>0</v>
      </c>
      <c r="U1916" s="578">
        <f t="shared" si="452"/>
        <v>0</v>
      </c>
      <c r="V1916" s="579"/>
      <c r="W1916" s="566" t="str">
        <f>IF(U1913&gt;0,"xx",IF(P1913&gt;0,"xy",""))</f>
        <v/>
      </c>
      <c r="X1916" s="586" t="str">
        <f t="shared" si="461"/>
        <v/>
      </c>
      <c r="Y1916" s="586" t="str">
        <f t="shared" si="431"/>
        <v/>
      </c>
      <c r="Z1916" s="586" t="str">
        <f t="shared" si="445"/>
        <v/>
      </c>
    </row>
    <row r="1917" spans="1:26" ht="12" hidden="1" thickBot="1" x14ac:dyDescent="0.25">
      <c r="A1917" s="567">
        <v>620000</v>
      </c>
      <c r="B1917" s="644" t="s">
        <v>1660</v>
      </c>
      <c r="C1917" s="645" t="s">
        <v>206</v>
      </c>
      <c r="D1917" s="422" t="s">
        <v>628</v>
      </c>
      <c r="E1917" s="423"/>
      <c r="F1917" s="424"/>
      <c r="G1917" s="425"/>
      <c r="H1917" s="651">
        <f>SUM(H1918:H1920)</f>
        <v>195.56134000000003</v>
      </c>
      <c r="I1917" s="420">
        <v>757.46</v>
      </c>
      <c r="J1917" s="420">
        <f>IF(ISBLANK(I1917),"",SUM(H1917:I1917))</f>
        <v>953.02134000000001</v>
      </c>
      <c r="K1917" s="421">
        <f t="shared" si="455"/>
        <v>1132.28</v>
      </c>
      <c r="L1917" s="647" t="s">
        <v>21</v>
      </c>
      <c r="M1917" s="576"/>
      <c r="N1917" s="576">
        <f t="shared" si="462"/>
        <v>0</v>
      </c>
      <c r="O1917" s="577">
        <f t="shared" si="453"/>
        <v>0</v>
      </c>
      <c r="P1917" s="578">
        <f t="shared" si="454"/>
        <v>0</v>
      </c>
      <c r="Q1917" s="765"/>
      <c r="R1917" s="576">
        <f>M1917</f>
        <v>0</v>
      </c>
      <c r="S1917" s="576">
        <f>N1917</f>
        <v>0</v>
      </c>
      <c r="T1917" s="577">
        <f t="shared" si="451"/>
        <v>0</v>
      </c>
      <c r="U1917" s="578">
        <f t="shared" si="452"/>
        <v>0</v>
      </c>
      <c r="V1917" s="579"/>
      <c r="W1917" s="566"/>
      <c r="X1917" s="586" t="str">
        <f t="shared" si="461"/>
        <v/>
      </c>
      <c r="Y1917" s="586" t="str">
        <f t="shared" si="431"/>
        <v/>
      </c>
      <c r="Z1917" s="586" t="str">
        <f t="shared" si="445"/>
        <v/>
      </c>
    </row>
    <row r="1918" spans="1:26" ht="12" hidden="1" thickBot="1" x14ac:dyDescent="0.25">
      <c r="A1918" s="567" t="s">
        <v>168</v>
      </c>
      <c r="B1918" s="644" t="s">
        <v>168</v>
      </c>
      <c r="C1918" s="645"/>
      <c r="D1918" s="422" t="s">
        <v>212</v>
      </c>
      <c r="E1918" s="423"/>
      <c r="F1918" s="424">
        <v>500</v>
      </c>
      <c r="G1918" s="425">
        <v>0.15659999999999999</v>
      </c>
      <c r="H1918" s="649">
        <f>IF(F1918&lt;=30,(0.78*F1918+7.82)*G1918,((0.78*30+7.82)+0.78*(F1918-30))*G1918)</f>
        <v>62.298612000000006</v>
      </c>
      <c r="I1918" s="420">
        <v>0</v>
      </c>
      <c r="J1918" s="420"/>
      <c r="K1918" s="421">
        <f t="shared" si="455"/>
        <v>0</v>
      </c>
      <c r="L1918" s="647"/>
      <c r="M1918" s="723"/>
      <c r="N1918" s="576">
        <f t="shared" si="462"/>
        <v>0</v>
      </c>
      <c r="O1918" s="577">
        <f t="shared" si="453"/>
        <v>0</v>
      </c>
      <c r="P1918" s="578">
        <f t="shared" si="454"/>
        <v>0</v>
      </c>
      <c r="Q1918" s="765"/>
      <c r="R1918" s="723"/>
      <c r="S1918" s="723"/>
      <c r="T1918" s="577">
        <f t="shared" si="451"/>
        <v>0</v>
      </c>
      <c r="U1918" s="578">
        <f t="shared" si="452"/>
        <v>0</v>
      </c>
      <c r="V1918" s="579"/>
      <c r="W1918" s="566" t="str">
        <f>IF(U1917&gt;0,"xx",IF(P1917&gt;0,"xy",""))</f>
        <v/>
      </c>
      <c r="X1918" s="586" t="str">
        <f t="shared" si="461"/>
        <v/>
      </c>
      <c r="Y1918" s="586" t="str">
        <f t="shared" si="431"/>
        <v/>
      </c>
      <c r="Z1918" s="586" t="str">
        <f t="shared" si="445"/>
        <v/>
      </c>
    </row>
    <row r="1919" spans="1:26" ht="12" hidden="1" thickBot="1" x14ac:dyDescent="0.25">
      <c r="A1919" s="567" t="s">
        <v>168</v>
      </c>
      <c r="B1919" s="644" t="s">
        <v>168</v>
      </c>
      <c r="C1919" s="645"/>
      <c r="D1919" s="422" t="s">
        <v>248</v>
      </c>
      <c r="E1919" s="423"/>
      <c r="F1919" s="424">
        <v>180</v>
      </c>
      <c r="G1919" s="425">
        <v>0.55700000000000005</v>
      </c>
      <c r="H1919" s="663">
        <f t="shared" ref="H1919:H1920" si="476">IF(F1919&lt;=30,(1.07*F1919+2.68)*G1919,((1.07*30+2.68)+1.07*(F1919-30))*G1919)</f>
        <v>108.77096000000002</v>
      </c>
      <c r="I1919" s="420">
        <v>0</v>
      </c>
      <c r="J1919" s="420"/>
      <c r="K1919" s="421">
        <f t="shared" si="455"/>
        <v>0</v>
      </c>
      <c r="L1919" s="647"/>
      <c r="M1919" s="723"/>
      <c r="N1919" s="576">
        <f t="shared" si="462"/>
        <v>0</v>
      </c>
      <c r="O1919" s="577">
        <f t="shared" si="453"/>
        <v>0</v>
      </c>
      <c r="P1919" s="578">
        <f t="shared" si="454"/>
        <v>0</v>
      </c>
      <c r="Q1919" s="765"/>
      <c r="R1919" s="723"/>
      <c r="S1919" s="723"/>
      <c r="T1919" s="577">
        <f t="shared" si="451"/>
        <v>0</v>
      </c>
      <c r="U1919" s="578">
        <f t="shared" si="452"/>
        <v>0</v>
      </c>
      <c r="V1919" s="579"/>
      <c r="W1919" s="566" t="str">
        <f>IF(U1917&gt;0,"xx",IF(P1917&gt;0,"xy",""))</f>
        <v/>
      </c>
      <c r="X1919" s="586" t="str">
        <f t="shared" si="461"/>
        <v/>
      </c>
      <c r="Y1919" s="586" t="str">
        <f t="shared" si="431"/>
        <v/>
      </c>
      <c r="Z1919" s="586" t="str">
        <f t="shared" si="445"/>
        <v/>
      </c>
    </row>
    <row r="1920" spans="1:26" ht="12" hidden="1" thickBot="1" x14ac:dyDescent="0.25">
      <c r="A1920" s="567" t="s">
        <v>168</v>
      </c>
      <c r="B1920" s="644" t="s">
        <v>168</v>
      </c>
      <c r="C1920" s="645"/>
      <c r="D1920" s="422" t="s">
        <v>252</v>
      </c>
      <c r="E1920" s="423"/>
      <c r="F1920" s="424">
        <v>20</v>
      </c>
      <c r="G1920" s="425">
        <v>1.0170999999999999</v>
      </c>
      <c r="H1920" s="663">
        <f t="shared" si="476"/>
        <v>24.491768</v>
      </c>
      <c r="I1920" s="420">
        <v>0</v>
      </c>
      <c r="J1920" s="420"/>
      <c r="K1920" s="421">
        <f t="shared" ref="K1920:K1983" si="477">IF(ISBLANK(I1920),0,ROUND(J1920*(1+$F$10)*(1+$F$11*E1920),2))</f>
        <v>0</v>
      </c>
      <c r="L1920" s="647"/>
      <c r="M1920" s="723"/>
      <c r="N1920" s="576">
        <f t="shared" si="462"/>
        <v>0</v>
      </c>
      <c r="O1920" s="577">
        <f t="shared" si="453"/>
        <v>0</v>
      </c>
      <c r="P1920" s="578">
        <f t="shared" si="454"/>
        <v>0</v>
      </c>
      <c r="Q1920" s="765"/>
      <c r="R1920" s="723"/>
      <c r="S1920" s="723"/>
      <c r="T1920" s="577">
        <f t="shared" ref="T1920:T1983" si="478">IF(ISBLANK(R1920),0,ROUND(K1920*R1920,2))</f>
        <v>0</v>
      </c>
      <c r="U1920" s="578">
        <f t="shared" ref="U1920:U1983" si="479">IF(ISBLANK(R1920),0,ROUND(R1920*S1920,2))</f>
        <v>0</v>
      </c>
      <c r="V1920" s="579"/>
      <c r="W1920" s="566" t="str">
        <f>IF(U1917&gt;0,"xx",IF(P1917&gt;0,"xy",""))</f>
        <v/>
      </c>
      <c r="X1920" s="586" t="str">
        <f t="shared" si="461"/>
        <v/>
      </c>
      <c r="Y1920" s="586" t="str">
        <f t="shared" si="431"/>
        <v/>
      </c>
      <c r="Z1920" s="586" t="str">
        <f t="shared" si="445"/>
        <v/>
      </c>
    </row>
    <row r="1921" spans="1:26" ht="12" hidden="1" thickBot="1" x14ac:dyDescent="0.25">
      <c r="A1921" s="567">
        <v>620100</v>
      </c>
      <c r="B1921" s="644" t="s">
        <v>1661</v>
      </c>
      <c r="C1921" s="645" t="s">
        <v>206</v>
      </c>
      <c r="D1921" s="422" t="s">
        <v>355</v>
      </c>
      <c r="E1921" s="423"/>
      <c r="F1921" s="424"/>
      <c r="G1921" s="425"/>
      <c r="H1921" s="651">
        <f>SUM(H1922:H1924)</f>
        <v>247.00144400000002</v>
      </c>
      <c r="I1921" s="420">
        <v>905.59</v>
      </c>
      <c r="J1921" s="420">
        <f>IF(ISBLANK(I1921),"",SUM(H1921:I1921))</f>
        <v>1152.5914440000001</v>
      </c>
      <c r="K1921" s="421">
        <f t="shared" si="477"/>
        <v>1369.39</v>
      </c>
      <c r="L1921" s="647" t="s">
        <v>21</v>
      </c>
      <c r="M1921" s="576"/>
      <c r="N1921" s="576">
        <f t="shared" si="462"/>
        <v>0</v>
      </c>
      <c r="O1921" s="577">
        <f t="shared" ref="O1921:O1984" si="480">IF(ISBLANK(M1921),0,ROUND(K1921*M1921,2))</f>
        <v>0</v>
      </c>
      <c r="P1921" s="578">
        <f t="shared" ref="P1921:P1984" si="481">IF(ISBLANK(N1921),0,ROUND(M1921*N1921,2))</f>
        <v>0</v>
      </c>
      <c r="Q1921" s="765"/>
      <c r="R1921" s="576">
        <f>M1921</f>
        <v>0</v>
      </c>
      <c r="S1921" s="576">
        <f>N1921</f>
        <v>0</v>
      </c>
      <c r="T1921" s="577">
        <f t="shared" si="478"/>
        <v>0</v>
      </c>
      <c r="U1921" s="578">
        <f t="shared" si="479"/>
        <v>0</v>
      </c>
      <c r="V1921" s="579"/>
      <c r="W1921" s="566"/>
      <c r="X1921" s="586" t="str">
        <f t="shared" si="461"/>
        <v/>
      </c>
      <c r="Y1921" s="586" t="str">
        <f t="shared" si="431"/>
        <v/>
      </c>
      <c r="Z1921" s="586" t="str">
        <f t="shared" si="445"/>
        <v/>
      </c>
    </row>
    <row r="1922" spans="1:26" ht="12" hidden="1" thickBot="1" x14ac:dyDescent="0.25">
      <c r="A1922" s="567" t="s">
        <v>168</v>
      </c>
      <c r="B1922" s="644" t="s">
        <v>168</v>
      </c>
      <c r="C1922" s="645"/>
      <c r="D1922" s="422" t="s">
        <v>212</v>
      </c>
      <c r="E1922" s="423"/>
      <c r="F1922" s="424">
        <v>500</v>
      </c>
      <c r="G1922" s="425">
        <v>0.1978</v>
      </c>
      <c r="H1922" s="649">
        <f>IF(F1922&lt;=30,(0.78*F1922+7.82)*G1922,((0.78*30+7.82)+0.78*(F1922-30))*G1922)</f>
        <v>78.688796000000011</v>
      </c>
      <c r="I1922" s="420">
        <v>0</v>
      </c>
      <c r="J1922" s="420"/>
      <c r="K1922" s="421">
        <f t="shared" si="477"/>
        <v>0</v>
      </c>
      <c r="L1922" s="647"/>
      <c r="M1922" s="723"/>
      <c r="N1922" s="576">
        <f t="shared" si="462"/>
        <v>0</v>
      </c>
      <c r="O1922" s="577">
        <f t="shared" si="480"/>
        <v>0</v>
      </c>
      <c r="P1922" s="578">
        <f t="shared" si="481"/>
        <v>0</v>
      </c>
      <c r="Q1922" s="765"/>
      <c r="R1922" s="723"/>
      <c r="S1922" s="723"/>
      <c r="T1922" s="577">
        <f t="shared" si="478"/>
        <v>0</v>
      </c>
      <c r="U1922" s="578">
        <f t="shared" si="479"/>
        <v>0</v>
      </c>
      <c r="V1922" s="579"/>
      <c r="W1922" s="566" t="str">
        <f>IF(U1921&gt;0,"xx",IF(P1921&gt;0,"xy",""))</f>
        <v/>
      </c>
      <c r="X1922" s="586" t="str">
        <f t="shared" si="461"/>
        <v/>
      </c>
      <c r="Y1922" s="586" t="str">
        <f t="shared" si="431"/>
        <v/>
      </c>
      <c r="Z1922" s="586" t="str">
        <f t="shared" si="445"/>
        <v/>
      </c>
    </row>
    <row r="1923" spans="1:26" ht="12" hidden="1" thickBot="1" x14ac:dyDescent="0.25">
      <c r="A1923" s="567" t="s">
        <v>168</v>
      </c>
      <c r="B1923" s="644" t="s">
        <v>168</v>
      </c>
      <c r="C1923" s="645"/>
      <c r="D1923" s="422" t="s">
        <v>248</v>
      </c>
      <c r="E1923" s="423"/>
      <c r="F1923" s="424">
        <v>180</v>
      </c>
      <c r="G1923" s="425">
        <v>0.70350000000000001</v>
      </c>
      <c r="H1923" s="663">
        <f t="shared" ref="H1923:H1924" si="482">IF(F1923&lt;=30,(1.07*F1923+2.68)*G1923,((1.07*30+2.68)+1.07*(F1923-30))*G1923)</f>
        <v>137.37948</v>
      </c>
      <c r="I1923" s="420">
        <v>0</v>
      </c>
      <c r="J1923" s="420"/>
      <c r="K1923" s="421">
        <f t="shared" si="477"/>
        <v>0</v>
      </c>
      <c r="L1923" s="647"/>
      <c r="M1923" s="723"/>
      <c r="N1923" s="576">
        <f t="shared" si="462"/>
        <v>0</v>
      </c>
      <c r="O1923" s="577">
        <f t="shared" si="480"/>
        <v>0</v>
      </c>
      <c r="P1923" s="578">
        <f t="shared" si="481"/>
        <v>0</v>
      </c>
      <c r="Q1923" s="765"/>
      <c r="R1923" s="723"/>
      <c r="S1923" s="723"/>
      <c r="T1923" s="577">
        <f t="shared" si="478"/>
        <v>0</v>
      </c>
      <c r="U1923" s="578">
        <f t="shared" si="479"/>
        <v>0</v>
      </c>
      <c r="V1923" s="579"/>
      <c r="W1923" s="566" t="str">
        <f>IF(U1921&gt;0,"xx",IF(P1921&gt;0,"xy",""))</f>
        <v/>
      </c>
      <c r="X1923" s="586" t="str">
        <f t="shared" si="461"/>
        <v/>
      </c>
      <c r="Y1923" s="586" t="str">
        <f t="shared" si="431"/>
        <v/>
      </c>
      <c r="Z1923" s="586" t="str">
        <f t="shared" si="445"/>
        <v/>
      </c>
    </row>
    <row r="1924" spans="1:26" ht="12" hidden="1" thickBot="1" x14ac:dyDescent="0.25">
      <c r="A1924" s="567" t="s">
        <v>168</v>
      </c>
      <c r="B1924" s="644" t="s">
        <v>168</v>
      </c>
      <c r="C1924" s="645"/>
      <c r="D1924" s="422" t="s">
        <v>252</v>
      </c>
      <c r="E1924" s="423"/>
      <c r="F1924" s="424">
        <v>20</v>
      </c>
      <c r="G1924" s="425">
        <v>1.2846</v>
      </c>
      <c r="H1924" s="663">
        <f t="shared" si="482"/>
        <v>30.933168000000002</v>
      </c>
      <c r="I1924" s="420">
        <v>0</v>
      </c>
      <c r="J1924" s="420"/>
      <c r="K1924" s="421">
        <f t="shared" si="477"/>
        <v>0</v>
      </c>
      <c r="L1924" s="647"/>
      <c r="M1924" s="723"/>
      <c r="N1924" s="576">
        <f t="shared" si="462"/>
        <v>0</v>
      </c>
      <c r="O1924" s="577">
        <f t="shared" si="480"/>
        <v>0</v>
      </c>
      <c r="P1924" s="578">
        <f t="shared" si="481"/>
        <v>0</v>
      </c>
      <c r="Q1924" s="765"/>
      <c r="R1924" s="723"/>
      <c r="S1924" s="723"/>
      <c r="T1924" s="577">
        <f t="shared" si="478"/>
        <v>0</v>
      </c>
      <c r="U1924" s="578">
        <f t="shared" si="479"/>
        <v>0</v>
      </c>
      <c r="V1924" s="579"/>
      <c r="W1924" s="566" t="str">
        <f>IF(U1921&gt;0,"xx",IF(P1921&gt;0,"xy",""))</f>
        <v/>
      </c>
      <c r="X1924" s="586" t="str">
        <f t="shared" si="461"/>
        <v/>
      </c>
      <c r="Y1924" s="586" t="str">
        <f t="shared" si="431"/>
        <v/>
      </c>
      <c r="Z1924" s="586" t="str">
        <f t="shared" si="445"/>
        <v/>
      </c>
    </row>
    <row r="1925" spans="1:26" ht="12" hidden="1" thickBot="1" x14ac:dyDescent="0.25">
      <c r="A1925" s="567">
        <v>620100</v>
      </c>
      <c r="B1925" s="644" t="s">
        <v>1662</v>
      </c>
      <c r="C1925" s="645" t="s">
        <v>206</v>
      </c>
      <c r="D1925" s="422" t="s">
        <v>629</v>
      </c>
      <c r="E1925" s="423"/>
      <c r="F1925" s="424"/>
      <c r="G1925" s="425"/>
      <c r="H1925" s="651">
        <f>SUM(H1926:H1928)</f>
        <v>278.53616000000005</v>
      </c>
      <c r="I1925" s="420">
        <v>1080.42</v>
      </c>
      <c r="J1925" s="420">
        <f>IF(ISBLANK(I1925),"",SUM(H1925:I1925))</f>
        <v>1358.9561600000002</v>
      </c>
      <c r="K1925" s="421">
        <f t="shared" si="477"/>
        <v>1614.58</v>
      </c>
      <c r="L1925" s="647" t="s">
        <v>21</v>
      </c>
      <c r="M1925" s="576"/>
      <c r="N1925" s="576">
        <f t="shared" si="462"/>
        <v>0</v>
      </c>
      <c r="O1925" s="577">
        <f t="shared" si="480"/>
        <v>0</v>
      </c>
      <c r="P1925" s="578">
        <f t="shared" si="481"/>
        <v>0</v>
      </c>
      <c r="Q1925" s="765"/>
      <c r="R1925" s="576">
        <f>M1925</f>
        <v>0</v>
      </c>
      <c r="S1925" s="576">
        <f>N1925</f>
        <v>0</v>
      </c>
      <c r="T1925" s="577">
        <f t="shared" si="478"/>
        <v>0</v>
      </c>
      <c r="U1925" s="578">
        <f t="shared" si="479"/>
        <v>0</v>
      </c>
      <c r="V1925" s="579"/>
      <c r="W1925" s="566"/>
      <c r="X1925" s="586" t="str">
        <f t="shared" si="461"/>
        <v/>
      </c>
      <c r="Y1925" s="586" t="str">
        <f t="shared" si="431"/>
        <v/>
      </c>
      <c r="Z1925" s="586" t="str">
        <f t="shared" si="445"/>
        <v/>
      </c>
    </row>
    <row r="1926" spans="1:26" ht="12" hidden="1" thickBot="1" x14ac:dyDescent="0.25">
      <c r="A1926" s="567" t="s">
        <v>168</v>
      </c>
      <c r="B1926" s="644" t="s">
        <v>168</v>
      </c>
      <c r="C1926" s="645"/>
      <c r="D1926" s="422" t="s">
        <v>212</v>
      </c>
      <c r="E1926" s="423"/>
      <c r="F1926" s="424">
        <v>500</v>
      </c>
      <c r="G1926" s="425">
        <v>0.2424</v>
      </c>
      <c r="H1926" s="649">
        <f>IF(F1926&lt;=30,(0.78*F1926+7.82)*G1926,((0.78*30+7.82)+0.78*(F1926-30))*G1926)</f>
        <v>96.431568000000013</v>
      </c>
      <c r="I1926" s="420">
        <v>0</v>
      </c>
      <c r="J1926" s="420"/>
      <c r="K1926" s="421">
        <f t="shared" si="477"/>
        <v>0</v>
      </c>
      <c r="L1926" s="647"/>
      <c r="M1926" s="723"/>
      <c r="N1926" s="576">
        <f t="shared" si="462"/>
        <v>0</v>
      </c>
      <c r="O1926" s="577">
        <f t="shared" si="480"/>
        <v>0</v>
      </c>
      <c r="P1926" s="578">
        <f t="shared" si="481"/>
        <v>0</v>
      </c>
      <c r="Q1926" s="765"/>
      <c r="R1926" s="723"/>
      <c r="S1926" s="723"/>
      <c r="T1926" s="577">
        <f t="shared" si="478"/>
        <v>0</v>
      </c>
      <c r="U1926" s="578">
        <f t="shared" si="479"/>
        <v>0</v>
      </c>
      <c r="V1926" s="579"/>
      <c r="W1926" s="566" t="str">
        <f>IF(U1925&gt;0,"xx",IF(P1925&gt;0,"xy",""))</f>
        <v/>
      </c>
      <c r="X1926" s="586" t="str">
        <f t="shared" si="461"/>
        <v/>
      </c>
      <c r="Y1926" s="586" t="str">
        <f t="shared" si="431"/>
        <v/>
      </c>
      <c r="Z1926" s="586" t="str">
        <f t="shared" si="445"/>
        <v/>
      </c>
    </row>
    <row r="1927" spans="1:26" ht="12" hidden="1" thickBot="1" x14ac:dyDescent="0.25">
      <c r="A1927" s="567" t="s">
        <v>168</v>
      </c>
      <c r="B1927" s="644" t="s">
        <v>168</v>
      </c>
      <c r="C1927" s="645"/>
      <c r="D1927" s="422" t="s">
        <v>248</v>
      </c>
      <c r="E1927" s="423"/>
      <c r="F1927" s="424">
        <v>180</v>
      </c>
      <c r="G1927" s="425">
        <v>0.86180000000000001</v>
      </c>
      <c r="H1927" s="663">
        <f t="shared" ref="H1927:H1928" si="483">IF(F1927&lt;=30,(1.07*F1927+2.68)*G1927,((1.07*30+2.68)+1.07*(F1927-30))*G1927)</f>
        <v>168.292304</v>
      </c>
      <c r="I1927" s="420">
        <v>0</v>
      </c>
      <c r="J1927" s="420"/>
      <c r="K1927" s="421">
        <f t="shared" si="477"/>
        <v>0</v>
      </c>
      <c r="L1927" s="647"/>
      <c r="M1927" s="723"/>
      <c r="N1927" s="576">
        <f t="shared" si="462"/>
        <v>0</v>
      </c>
      <c r="O1927" s="577">
        <f t="shared" si="480"/>
        <v>0</v>
      </c>
      <c r="P1927" s="578">
        <f t="shared" si="481"/>
        <v>0</v>
      </c>
      <c r="Q1927" s="765"/>
      <c r="R1927" s="723"/>
      <c r="S1927" s="723"/>
      <c r="T1927" s="577">
        <f t="shared" si="478"/>
        <v>0</v>
      </c>
      <c r="U1927" s="578">
        <f t="shared" si="479"/>
        <v>0</v>
      </c>
      <c r="V1927" s="579"/>
      <c r="W1927" s="566" t="str">
        <f>IF(U1925&gt;0,"xx",IF(P1925&gt;0,"xy",""))</f>
        <v/>
      </c>
      <c r="X1927" s="586" t="str">
        <f t="shared" si="461"/>
        <v/>
      </c>
      <c r="Y1927" s="586" t="str">
        <f t="shared" si="431"/>
        <v/>
      </c>
      <c r="Z1927" s="586" t="str">
        <f t="shared" si="445"/>
        <v/>
      </c>
    </row>
    <row r="1928" spans="1:26" ht="12" hidden="1" thickBot="1" x14ac:dyDescent="0.25">
      <c r="A1928" s="567" t="s">
        <v>168</v>
      </c>
      <c r="B1928" s="644" t="s">
        <v>168</v>
      </c>
      <c r="C1928" s="645"/>
      <c r="D1928" s="422" t="s">
        <v>252</v>
      </c>
      <c r="E1928" s="423"/>
      <c r="F1928" s="424">
        <v>20</v>
      </c>
      <c r="G1928" s="425">
        <v>0.5736</v>
      </c>
      <c r="H1928" s="663">
        <f t="shared" si="483"/>
        <v>13.812288000000001</v>
      </c>
      <c r="I1928" s="420">
        <v>0</v>
      </c>
      <c r="J1928" s="420"/>
      <c r="K1928" s="421">
        <f t="shared" si="477"/>
        <v>0</v>
      </c>
      <c r="L1928" s="647"/>
      <c r="M1928" s="723"/>
      <c r="N1928" s="576">
        <f t="shared" si="462"/>
        <v>0</v>
      </c>
      <c r="O1928" s="577">
        <f t="shared" si="480"/>
        <v>0</v>
      </c>
      <c r="P1928" s="578">
        <f t="shared" si="481"/>
        <v>0</v>
      </c>
      <c r="Q1928" s="765"/>
      <c r="R1928" s="723"/>
      <c r="S1928" s="723"/>
      <c r="T1928" s="577">
        <f t="shared" si="478"/>
        <v>0</v>
      </c>
      <c r="U1928" s="578">
        <f t="shared" si="479"/>
        <v>0</v>
      </c>
      <c r="V1928" s="579"/>
      <c r="W1928" s="566" t="str">
        <f>IF(U1925&gt;0,"xx",IF(P1925&gt;0,"xy",""))</f>
        <v/>
      </c>
      <c r="X1928" s="586" t="str">
        <f t="shared" si="461"/>
        <v/>
      </c>
      <c r="Y1928" s="586" t="str">
        <f t="shared" si="431"/>
        <v/>
      </c>
      <c r="Z1928" s="586" t="str">
        <f t="shared" si="445"/>
        <v/>
      </c>
    </row>
    <row r="1929" spans="1:26" ht="12" hidden="1" thickBot="1" x14ac:dyDescent="0.25">
      <c r="A1929" s="567">
        <v>620200</v>
      </c>
      <c r="B1929" s="644" t="s">
        <v>1665</v>
      </c>
      <c r="C1929" s="645" t="s">
        <v>206</v>
      </c>
      <c r="D1929" s="422" t="s">
        <v>356</v>
      </c>
      <c r="E1929" s="423"/>
      <c r="F1929" s="424"/>
      <c r="G1929" s="425"/>
      <c r="H1929" s="651">
        <f>SUM(H1930:H1932)</f>
        <v>358.16915799999998</v>
      </c>
      <c r="I1929" s="420">
        <v>1255.25</v>
      </c>
      <c r="J1929" s="420">
        <f>IF(ISBLANK(I1929),"",SUM(H1929:I1929))</f>
        <v>1613.4191579999999</v>
      </c>
      <c r="K1929" s="421">
        <f t="shared" si="477"/>
        <v>1916.9</v>
      </c>
      <c r="L1929" s="647" t="s">
        <v>21</v>
      </c>
      <c r="M1929" s="576"/>
      <c r="N1929" s="576">
        <f t="shared" si="462"/>
        <v>0</v>
      </c>
      <c r="O1929" s="577">
        <f t="shared" si="480"/>
        <v>0</v>
      </c>
      <c r="P1929" s="578">
        <f t="shared" si="481"/>
        <v>0</v>
      </c>
      <c r="Q1929" s="765"/>
      <c r="R1929" s="576">
        <f>M1929</f>
        <v>0</v>
      </c>
      <c r="S1929" s="576">
        <f>N1929</f>
        <v>0</v>
      </c>
      <c r="T1929" s="577">
        <f t="shared" si="478"/>
        <v>0</v>
      </c>
      <c r="U1929" s="578">
        <f t="shared" si="479"/>
        <v>0</v>
      </c>
      <c r="V1929" s="579"/>
      <c r="W1929" s="566"/>
      <c r="X1929" s="586" t="str">
        <f t="shared" si="461"/>
        <v/>
      </c>
      <c r="Y1929" s="586" t="str">
        <f t="shared" si="431"/>
        <v/>
      </c>
      <c r="Z1929" s="586" t="str">
        <f t="shared" si="445"/>
        <v/>
      </c>
    </row>
    <row r="1930" spans="1:26" ht="12" hidden="1" thickBot="1" x14ac:dyDescent="0.25">
      <c r="A1930" s="567" t="s">
        <v>168</v>
      </c>
      <c r="B1930" s="644" t="s">
        <v>168</v>
      </c>
      <c r="C1930" s="645"/>
      <c r="D1930" s="422" t="s">
        <v>212</v>
      </c>
      <c r="E1930" s="423"/>
      <c r="F1930" s="424">
        <v>500</v>
      </c>
      <c r="G1930" s="425">
        <v>0.28689999999999999</v>
      </c>
      <c r="H1930" s="649">
        <f>IF(F1930&lt;=30,(0.78*F1930+7.82)*G1930,((0.78*30+7.82)+0.78*(F1930-30))*G1930)</f>
        <v>114.13455800000001</v>
      </c>
      <c r="I1930" s="420">
        <v>0</v>
      </c>
      <c r="J1930" s="420"/>
      <c r="K1930" s="421">
        <f t="shared" si="477"/>
        <v>0</v>
      </c>
      <c r="L1930" s="647"/>
      <c r="M1930" s="723"/>
      <c r="N1930" s="576">
        <f t="shared" si="462"/>
        <v>0</v>
      </c>
      <c r="O1930" s="577">
        <f t="shared" si="480"/>
        <v>0</v>
      </c>
      <c r="P1930" s="578">
        <f t="shared" si="481"/>
        <v>0</v>
      </c>
      <c r="Q1930" s="765"/>
      <c r="R1930" s="723"/>
      <c r="S1930" s="723"/>
      <c r="T1930" s="577">
        <f t="shared" si="478"/>
        <v>0</v>
      </c>
      <c r="U1930" s="578">
        <f t="shared" si="479"/>
        <v>0</v>
      </c>
      <c r="V1930" s="579"/>
      <c r="W1930" s="566" t="str">
        <f>IF(U1929&gt;0,"xx",IF(P1929&gt;0,"xy",""))</f>
        <v/>
      </c>
      <c r="X1930" s="586" t="str">
        <f t="shared" si="461"/>
        <v/>
      </c>
      <c r="Y1930" s="586" t="str">
        <f t="shared" si="431"/>
        <v/>
      </c>
      <c r="Z1930" s="586" t="str">
        <f t="shared" si="445"/>
        <v/>
      </c>
    </row>
    <row r="1931" spans="1:26" ht="12" hidden="1" thickBot="1" x14ac:dyDescent="0.25">
      <c r="A1931" s="567" t="s">
        <v>168</v>
      </c>
      <c r="B1931" s="644" t="s">
        <v>168</v>
      </c>
      <c r="C1931" s="645"/>
      <c r="D1931" s="422" t="s">
        <v>248</v>
      </c>
      <c r="E1931" s="423"/>
      <c r="F1931" s="424">
        <v>180</v>
      </c>
      <c r="G1931" s="425">
        <v>1.02</v>
      </c>
      <c r="H1931" s="663">
        <f t="shared" ref="H1931:H1932" si="484">IF(F1931&lt;=30,(1.07*F1931+2.68)*G1931,((1.07*30+2.68)+1.07*(F1931-30))*G1931)</f>
        <v>199.18559999999999</v>
      </c>
      <c r="I1931" s="420">
        <v>0</v>
      </c>
      <c r="J1931" s="420"/>
      <c r="K1931" s="421">
        <f t="shared" si="477"/>
        <v>0</v>
      </c>
      <c r="L1931" s="647"/>
      <c r="M1931" s="723"/>
      <c r="N1931" s="576">
        <f t="shared" si="462"/>
        <v>0</v>
      </c>
      <c r="O1931" s="577">
        <f t="shared" si="480"/>
        <v>0</v>
      </c>
      <c r="P1931" s="578">
        <f t="shared" si="481"/>
        <v>0</v>
      </c>
      <c r="Q1931" s="765"/>
      <c r="R1931" s="723"/>
      <c r="S1931" s="723"/>
      <c r="T1931" s="577">
        <f t="shared" si="478"/>
        <v>0</v>
      </c>
      <c r="U1931" s="578">
        <f t="shared" si="479"/>
        <v>0</v>
      </c>
      <c r="V1931" s="579"/>
      <c r="W1931" s="566" t="str">
        <f>IF(U1929&gt;0,"xx",IF(P1929&gt;0,"xy",""))</f>
        <v/>
      </c>
      <c r="X1931" s="586" t="str">
        <f t="shared" si="461"/>
        <v/>
      </c>
      <c r="Y1931" s="586" t="str">
        <f t="shared" si="431"/>
        <v/>
      </c>
      <c r="Z1931" s="586" t="str">
        <f t="shared" si="445"/>
        <v/>
      </c>
    </row>
    <row r="1932" spans="1:26" ht="12" hidden="1" thickBot="1" x14ac:dyDescent="0.25">
      <c r="A1932" s="567" t="s">
        <v>168</v>
      </c>
      <c r="B1932" s="644" t="s">
        <v>168</v>
      </c>
      <c r="C1932" s="645"/>
      <c r="D1932" s="422" t="s">
        <v>252</v>
      </c>
      <c r="E1932" s="423"/>
      <c r="F1932" s="424">
        <v>20</v>
      </c>
      <c r="G1932" s="425">
        <v>1.8625</v>
      </c>
      <c r="H1932" s="663">
        <f t="shared" si="484"/>
        <v>44.849000000000004</v>
      </c>
      <c r="I1932" s="420">
        <v>0</v>
      </c>
      <c r="J1932" s="420"/>
      <c r="K1932" s="421">
        <f t="shared" si="477"/>
        <v>0</v>
      </c>
      <c r="L1932" s="647"/>
      <c r="M1932" s="723"/>
      <c r="N1932" s="576">
        <f t="shared" si="462"/>
        <v>0</v>
      </c>
      <c r="O1932" s="577">
        <f t="shared" si="480"/>
        <v>0</v>
      </c>
      <c r="P1932" s="578">
        <f t="shared" si="481"/>
        <v>0</v>
      </c>
      <c r="Q1932" s="765"/>
      <c r="R1932" s="723"/>
      <c r="S1932" s="723"/>
      <c r="T1932" s="577">
        <f t="shared" si="478"/>
        <v>0</v>
      </c>
      <c r="U1932" s="578">
        <f t="shared" si="479"/>
        <v>0</v>
      </c>
      <c r="V1932" s="579"/>
      <c r="W1932" s="566" t="str">
        <f>IF(U1929&gt;0,"xx",IF(P1929&gt;0,"xy",""))</f>
        <v/>
      </c>
      <c r="X1932" s="586" t="str">
        <f t="shared" si="461"/>
        <v/>
      </c>
      <c r="Y1932" s="586" t="str">
        <f t="shared" si="431"/>
        <v/>
      </c>
      <c r="Z1932" s="586" t="str">
        <f t="shared" si="445"/>
        <v/>
      </c>
    </row>
    <row r="1933" spans="1:26" ht="12" hidden="1" thickBot="1" x14ac:dyDescent="0.25">
      <c r="A1933" s="567">
        <v>620300</v>
      </c>
      <c r="B1933" s="644">
        <v>620300</v>
      </c>
      <c r="C1933" s="645" t="s">
        <v>206</v>
      </c>
      <c r="D1933" s="422" t="s">
        <v>357</v>
      </c>
      <c r="E1933" s="423"/>
      <c r="F1933" s="424"/>
      <c r="G1933" s="425"/>
      <c r="H1933" s="651">
        <f>SUM(H1934:H1936)</f>
        <v>537.50214200000005</v>
      </c>
      <c r="I1933" s="420">
        <v>1787.05</v>
      </c>
      <c r="J1933" s="420">
        <f>IF(ISBLANK(I1933),"",SUM(H1933:I1933))</f>
        <v>2324.552142</v>
      </c>
      <c r="K1933" s="421">
        <f t="shared" si="477"/>
        <v>2761.8</v>
      </c>
      <c r="L1933" s="647" t="s">
        <v>21</v>
      </c>
      <c r="M1933" s="576"/>
      <c r="N1933" s="576">
        <f t="shared" si="462"/>
        <v>0</v>
      </c>
      <c r="O1933" s="577">
        <f t="shared" si="480"/>
        <v>0</v>
      </c>
      <c r="P1933" s="578">
        <f t="shared" si="481"/>
        <v>0</v>
      </c>
      <c r="Q1933" s="765"/>
      <c r="R1933" s="576">
        <f>M1933</f>
        <v>0</v>
      </c>
      <c r="S1933" s="576">
        <f>N1933</f>
        <v>0</v>
      </c>
      <c r="T1933" s="577">
        <f t="shared" si="478"/>
        <v>0</v>
      </c>
      <c r="U1933" s="578">
        <f t="shared" si="479"/>
        <v>0</v>
      </c>
      <c r="V1933" s="579"/>
      <c r="W1933" s="566"/>
      <c r="X1933" s="586" t="str">
        <f t="shared" si="461"/>
        <v/>
      </c>
      <c r="Y1933" s="586" t="str">
        <f t="shared" si="431"/>
        <v/>
      </c>
      <c r="Z1933" s="586" t="str">
        <f t="shared" si="445"/>
        <v/>
      </c>
    </row>
    <row r="1934" spans="1:26" ht="12" hidden="1" thickBot="1" x14ac:dyDescent="0.25">
      <c r="A1934" s="567" t="s">
        <v>168</v>
      </c>
      <c r="B1934" s="644" t="s">
        <v>168</v>
      </c>
      <c r="C1934" s="645"/>
      <c r="D1934" s="422" t="s">
        <v>212</v>
      </c>
      <c r="E1934" s="423"/>
      <c r="F1934" s="424">
        <v>500</v>
      </c>
      <c r="G1934" s="425">
        <v>0.43049999999999999</v>
      </c>
      <c r="H1934" s="649">
        <f>IF(F1934&lt;=30,(0.78*F1934+7.82)*G1934,((0.78*30+7.82)+0.78*(F1934-30))*G1934)</f>
        <v>171.26151000000002</v>
      </c>
      <c r="I1934" s="420">
        <v>0</v>
      </c>
      <c r="J1934" s="420"/>
      <c r="K1934" s="421">
        <f t="shared" si="477"/>
        <v>0</v>
      </c>
      <c r="L1934" s="647"/>
      <c r="M1934" s="723"/>
      <c r="N1934" s="576">
        <f t="shared" si="462"/>
        <v>0</v>
      </c>
      <c r="O1934" s="577">
        <f t="shared" si="480"/>
        <v>0</v>
      </c>
      <c r="P1934" s="578">
        <f t="shared" si="481"/>
        <v>0</v>
      </c>
      <c r="Q1934" s="765"/>
      <c r="R1934" s="723"/>
      <c r="S1934" s="723"/>
      <c r="T1934" s="577">
        <f t="shared" si="478"/>
        <v>0</v>
      </c>
      <c r="U1934" s="578">
        <f t="shared" si="479"/>
        <v>0</v>
      </c>
      <c r="V1934" s="579"/>
      <c r="W1934" s="566" t="str">
        <f>IF(U1933&gt;0,"xx",IF(P1933&gt;0,"xy",""))</f>
        <v/>
      </c>
      <c r="X1934" s="586" t="str">
        <f t="shared" si="461"/>
        <v/>
      </c>
      <c r="Y1934" s="586" t="str">
        <f t="shared" si="431"/>
        <v/>
      </c>
      <c r="Z1934" s="586" t="str">
        <f t="shared" si="445"/>
        <v/>
      </c>
    </row>
    <row r="1935" spans="1:26" ht="12" hidden="1" thickBot="1" x14ac:dyDescent="0.25">
      <c r="A1935" s="567" t="s">
        <v>168</v>
      </c>
      <c r="B1935" s="644" t="s">
        <v>168</v>
      </c>
      <c r="C1935" s="645"/>
      <c r="D1935" s="422" t="s">
        <v>248</v>
      </c>
      <c r="E1935" s="423"/>
      <c r="F1935" s="424">
        <v>180</v>
      </c>
      <c r="G1935" s="425">
        <v>1.5307999999999999</v>
      </c>
      <c r="H1935" s="663">
        <f t="shared" ref="H1935:H1936" si="485">IF(F1935&lt;=30,(1.07*F1935+2.68)*G1935,((1.07*30+2.68)+1.07*(F1935-30))*G1935)</f>
        <v>298.93462399999999</v>
      </c>
      <c r="I1935" s="420">
        <v>0</v>
      </c>
      <c r="J1935" s="420"/>
      <c r="K1935" s="421">
        <f t="shared" si="477"/>
        <v>0</v>
      </c>
      <c r="L1935" s="647"/>
      <c r="M1935" s="723"/>
      <c r="N1935" s="576">
        <f t="shared" si="462"/>
        <v>0</v>
      </c>
      <c r="O1935" s="577">
        <f t="shared" si="480"/>
        <v>0</v>
      </c>
      <c r="P1935" s="578">
        <f t="shared" si="481"/>
        <v>0</v>
      </c>
      <c r="Q1935" s="765"/>
      <c r="R1935" s="723"/>
      <c r="S1935" s="723"/>
      <c r="T1935" s="577">
        <f t="shared" si="478"/>
        <v>0</v>
      </c>
      <c r="U1935" s="578">
        <f t="shared" si="479"/>
        <v>0</v>
      </c>
      <c r="V1935" s="579"/>
      <c r="W1935" s="566" t="str">
        <f>IF(U1933&gt;0,"xx",IF(P1933&gt;0,"xy",""))</f>
        <v/>
      </c>
      <c r="X1935" s="586" t="str">
        <f t="shared" si="461"/>
        <v/>
      </c>
      <c r="Y1935" s="586" t="str">
        <f t="shared" si="431"/>
        <v/>
      </c>
      <c r="Z1935" s="586" t="str">
        <f t="shared" si="445"/>
        <v/>
      </c>
    </row>
    <row r="1936" spans="1:26" ht="12" hidden="1" thickBot="1" x14ac:dyDescent="0.25">
      <c r="A1936" s="567" t="s">
        <v>168</v>
      </c>
      <c r="B1936" s="644" t="s">
        <v>168</v>
      </c>
      <c r="C1936" s="645"/>
      <c r="D1936" s="422" t="s">
        <v>252</v>
      </c>
      <c r="E1936" s="423"/>
      <c r="F1936" s="424">
        <v>20</v>
      </c>
      <c r="G1936" s="425">
        <v>2.7951000000000001</v>
      </c>
      <c r="H1936" s="663">
        <f t="shared" si="485"/>
        <v>67.306008000000006</v>
      </c>
      <c r="I1936" s="420">
        <v>0</v>
      </c>
      <c r="J1936" s="420"/>
      <c r="K1936" s="421">
        <f t="shared" si="477"/>
        <v>0</v>
      </c>
      <c r="L1936" s="647"/>
      <c r="M1936" s="723"/>
      <c r="N1936" s="576">
        <f t="shared" si="462"/>
        <v>0</v>
      </c>
      <c r="O1936" s="577">
        <f t="shared" si="480"/>
        <v>0</v>
      </c>
      <c r="P1936" s="578">
        <f t="shared" si="481"/>
        <v>0</v>
      </c>
      <c r="Q1936" s="765"/>
      <c r="R1936" s="723"/>
      <c r="S1936" s="723"/>
      <c r="T1936" s="577">
        <f t="shared" si="478"/>
        <v>0</v>
      </c>
      <c r="U1936" s="578">
        <f t="shared" si="479"/>
        <v>0</v>
      </c>
      <c r="V1936" s="579"/>
      <c r="W1936" s="566" t="str">
        <f>IF(U1933&gt;0,"xx",IF(P1933&gt;0,"xy",""))</f>
        <v/>
      </c>
      <c r="X1936" s="586" t="str">
        <f t="shared" si="461"/>
        <v/>
      </c>
      <c r="Y1936" s="586" t="str">
        <f t="shared" si="431"/>
        <v/>
      </c>
      <c r="Z1936" s="586" t="str">
        <f t="shared" si="445"/>
        <v/>
      </c>
    </row>
    <row r="1937" spans="1:26" ht="12" hidden="1" thickBot="1" x14ac:dyDescent="0.25">
      <c r="A1937" s="567">
        <v>620400</v>
      </c>
      <c r="B1937" s="644">
        <v>620400</v>
      </c>
      <c r="C1937" s="645" t="s">
        <v>206</v>
      </c>
      <c r="D1937" s="422" t="s">
        <v>358</v>
      </c>
      <c r="E1937" s="423"/>
      <c r="F1937" s="424"/>
      <c r="G1937" s="425"/>
      <c r="H1937" s="651">
        <f>SUM(H1938:H1940)</f>
        <v>725.77926200000013</v>
      </c>
      <c r="I1937" s="420">
        <v>2290.1999999999998</v>
      </c>
      <c r="J1937" s="420">
        <f>IF(ISBLANK(I1937),"",SUM(H1937:I1937))</f>
        <v>3015.9792619999998</v>
      </c>
      <c r="K1937" s="421">
        <f t="shared" si="477"/>
        <v>3583.28</v>
      </c>
      <c r="L1937" s="647" t="s">
        <v>21</v>
      </c>
      <c r="M1937" s="576"/>
      <c r="N1937" s="576">
        <f t="shared" si="462"/>
        <v>0</v>
      </c>
      <c r="O1937" s="577">
        <f t="shared" si="480"/>
        <v>0</v>
      </c>
      <c r="P1937" s="578">
        <f t="shared" si="481"/>
        <v>0</v>
      </c>
      <c r="Q1937" s="765"/>
      <c r="R1937" s="576">
        <f>M1937</f>
        <v>0</v>
      </c>
      <c r="S1937" s="576">
        <f>N1937</f>
        <v>0</v>
      </c>
      <c r="T1937" s="577">
        <f t="shared" si="478"/>
        <v>0</v>
      </c>
      <c r="U1937" s="578">
        <f t="shared" si="479"/>
        <v>0</v>
      </c>
      <c r="V1937" s="579"/>
      <c r="W1937" s="566"/>
      <c r="X1937" s="586" t="str">
        <f t="shared" si="461"/>
        <v/>
      </c>
      <c r="Y1937" s="586" t="str">
        <f t="shared" si="431"/>
        <v/>
      </c>
      <c r="Z1937" s="586" t="str">
        <f t="shared" si="445"/>
        <v/>
      </c>
    </row>
    <row r="1938" spans="1:26" ht="12" hidden="1" thickBot="1" x14ac:dyDescent="0.25">
      <c r="A1938" s="567" t="s">
        <v>168</v>
      </c>
      <c r="B1938" s="644" t="s">
        <v>168</v>
      </c>
      <c r="C1938" s="645"/>
      <c r="D1938" s="422" t="s">
        <v>212</v>
      </c>
      <c r="E1938" s="423"/>
      <c r="F1938" s="424">
        <v>500</v>
      </c>
      <c r="G1938" s="425">
        <v>0.58130000000000004</v>
      </c>
      <c r="H1938" s="649">
        <f>IF(F1938&lt;=30,(0.78*F1938+7.82)*G1938,((0.78*30+7.82)+0.78*(F1938-30))*G1938)</f>
        <v>231.25276600000004</v>
      </c>
      <c r="I1938" s="420">
        <v>0</v>
      </c>
      <c r="J1938" s="420"/>
      <c r="K1938" s="421">
        <f t="shared" si="477"/>
        <v>0</v>
      </c>
      <c r="L1938" s="647"/>
      <c r="M1938" s="723"/>
      <c r="N1938" s="576">
        <f t="shared" si="462"/>
        <v>0</v>
      </c>
      <c r="O1938" s="577">
        <f t="shared" si="480"/>
        <v>0</v>
      </c>
      <c r="P1938" s="578">
        <f t="shared" si="481"/>
        <v>0</v>
      </c>
      <c r="Q1938" s="765"/>
      <c r="R1938" s="723"/>
      <c r="S1938" s="723"/>
      <c r="T1938" s="577">
        <f t="shared" si="478"/>
        <v>0</v>
      </c>
      <c r="U1938" s="578">
        <f t="shared" si="479"/>
        <v>0</v>
      </c>
      <c r="V1938" s="579"/>
      <c r="W1938" s="566" t="str">
        <f>IF(U1937&gt;0,"xx",IF(P1937&gt;0,"xy",""))</f>
        <v/>
      </c>
      <c r="X1938" s="586" t="str">
        <f t="shared" si="461"/>
        <v/>
      </c>
      <c r="Y1938" s="586" t="str">
        <f t="shared" si="431"/>
        <v/>
      </c>
      <c r="Z1938" s="586" t="str">
        <f t="shared" si="445"/>
        <v/>
      </c>
    </row>
    <row r="1939" spans="1:26" ht="12" hidden="1" thickBot="1" x14ac:dyDescent="0.25">
      <c r="A1939" s="567" t="s">
        <v>168</v>
      </c>
      <c r="B1939" s="644" t="s">
        <v>168</v>
      </c>
      <c r="C1939" s="645"/>
      <c r="D1939" s="422" t="s">
        <v>248</v>
      </c>
      <c r="E1939" s="423"/>
      <c r="F1939" s="424">
        <v>180</v>
      </c>
      <c r="G1939" s="425">
        <v>2.0670000000000002</v>
      </c>
      <c r="H1939" s="663">
        <f t="shared" ref="H1939:H1940" si="486">IF(F1939&lt;=30,(1.07*F1939+2.68)*G1939,((1.07*30+2.68)+1.07*(F1939-30))*G1939)</f>
        <v>403.64376000000004</v>
      </c>
      <c r="I1939" s="420">
        <v>0</v>
      </c>
      <c r="J1939" s="420"/>
      <c r="K1939" s="421">
        <f t="shared" si="477"/>
        <v>0</v>
      </c>
      <c r="L1939" s="647"/>
      <c r="M1939" s="723"/>
      <c r="N1939" s="576">
        <f t="shared" si="462"/>
        <v>0</v>
      </c>
      <c r="O1939" s="577">
        <f t="shared" si="480"/>
        <v>0</v>
      </c>
      <c r="P1939" s="578">
        <f t="shared" si="481"/>
        <v>0</v>
      </c>
      <c r="Q1939" s="765"/>
      <c r="R1939" s="723"/>
      <c r="S1939" s="723"/>
      <c r="T1939" s="577">
        <f t="shared" si="478"/>
        <v>0</v>
      </c>
      <c r="U1939" s="578">
        <f t="shared" si="479"/>
        <v>0</v>
      </c>
      <c r="V1939" s="579"/>
      <c r="W1939" s="566" t="str">
        <f>IF(U1937&gt;0,"xx",IF(P1937&gt;0,"xy",""))</f>
        <v/>
      </c>
      <c r="X1939" s="586" t="str">
        <f t="shared" si="461"/>
        <v/>
      </c>
      <c r="Y1939" s="586" t="str">
        <f t="shared" si="431"/>
        <v/>
      </c>
      <c r="Z1939" s="586" t="str">
        <f t="shared" si="445"/>
        <v/>
      </c>
    </row>
    <row r="1940" spans="1:26" ht="12" hidden="1" thickBot="1" x14ac:dyDescent="0.25">
      <c r="A1940" s="567" t="s">
        <v>168</v>
      </c>
      <c r="B1940" s="644" t="s">
        <v>168</v>
      </c>
      <c r="C1940" s="645"/>
      <c r="D1940" s="422" t="s">
        <v>252</v>
      </c>
      <c r="E1940" s="423"/>
      <c r="F1940" s="424">
        <v>20</v>
      </c>
      <c r="G1940" s="425">
        <v>3.7742</v>
      </c>
      <c r="H1940" s="663">
        <f t="shared" si="486"/>
        <v>90.882736000000008</v>
      </c>
      <c r="I1940" s="420">
        <v>0</v>
      </c>
      <c r="J1940" s="420"/>
      <c r="K1940" s="421">
        <f t="shared" si="477"/>
        <v>0</v>
      </c>
      <c r="L1940" s="647"/>
      <c r="M1940" s="723"/>
      <c r="N1940" s="576">
        <f t="shared" ref="N1940:N2003" si="487">IF(M1940=0,0,K1940)</f>
        <v>0</v>
      </c>
      <c r="O1940" s="577">
        <f t="shared" si="480"/>
        <v>0</v>
      </c>
      <c r="P1940" s="578">
        <f t="shared" si="481"/>
        <v>0</v>
      </c>
      <c r="Q1940" s="765"/>
      <c r="R1940" s="723"/>
      <c r="S1940" s="723"/>
      <c r="T1940" s="577">
        <f t="shared" si="478"/>
        <v>0</v>
      </c>
      <c r="U1940" s="578">
        <f t="shared" si="479"/>
        <v>0</v>
      </c>
      <c r="V1940" s="579"/>
      <c r="W1940" s="566" t="str">
        <f>IF(U1937&gt;0,"xx",IF(P1937&gt;0,"xy",""))</f>
        <v/>
      </c>
      <c r="X1940" s="586" t="str">
        <f t="shared" si="461"/>
        <v/>
      </c>
      <c r="Y1940" s="586" t="str">
        <f t="shared" si="431"/>
        <v/>
      </c>
      <c r="Z1940" s="586" t="str">
        <f t="shared" si="445"/>
        <v/>
      </c>
    </row>
    <row r="1941" spans="1:26" ht="12" hidden="1" thickBot="1" x14ac:dyDescent="0.25">
      <c r="A1941" s="567">
        <v>620500</v>
      </c>
      <c r="B1941" s="644">
        <v>620500</v>
      </c>
      <c r="C1941" s="645" t="s">
        <v>206</v>
      </c>
      <c r="D1941" s="422" t="s">
        <v>359</v>
      </c>
      <c r="E1941" s="423"/>
      <c r="F1941" s="424"/>
      <c r="G1941" s="425"/>
      <c r="H1941" s="651">
        <f>SUM(H1942:H1944)</f>
        <v>1457.2623920000001</v>
      </c>
      <c r="I1941" s="420">
        <v>4098.9299999999994</v>
      </c>
      <c r="J1941" s="420">
        <f>IF(ISBLANK(I1941),"",SUM(H1941:I1941))</f>
        <v>5556.192391999999</v>
      </c>
      <c r="K1941" s="421">
        <f t="shared" si="477"/>
        <v>6601.31</v>
      </c>
      <c r="L1941" s="647" t="s">
        <v>21</v>
      </c>
      <c r="M1941" s="576"/>
      <c r="N1941" s="576">
        <f t="shared" si="487"/>
        <v>0</v>
      </c>
      <c r="O1941" s="577">
        <f t="shared" si="480"/>
        <v>0</v>
      </c>
      <c r="P1941" s="578">
        <f t="shared" si="481"/>
        <v>0</v>
      </c>
      <c r="Q1941" s="765"/>
      <c r="R1941" s="576">
        <f>M1941</f>
        <v>0</v>
      </c>
      <c r="S1941" s="576">
        <f>N1941</f>
        <v>0</v>
      </c>
      <c r="T1941" s="577">
        <f t="shared" si="478"/>
        <v>0</v>
      </c>
      <c r="U1941" s="578">
        <f t="shared" si="479"/>
        <v>0</v>
      </c>
      <c r="V1941" s="579"/>
      <c r="W1941" s="566"/>
      <c r="X1941" s="586" t="str">
        <f t="shared" si="461"/>
        <v/>
      </c>
      <c r="Y1941" s="586" t="str">
        <f t="shared" si="431"/>
        <v/>
      </c>
      <c r="Z1941" s="586" t="str">
        <f t="shared" ref="Z1941:Z2023" si="488">IF(W1941="X","x",IF(U1941&gt;0,"x",""))</f>
        <v/>
      </c>
    </row>
    <row r="1942" spans="1:26" ht="12" hidden="1" thickBot="1" x14ac:dyDescent="0.25">
      <c r="A1942" s="567" t="s">
        <v>168</v>
      </c>
      <c r="B1942" s="644" t="s">
        <v>168</v>
      </c>
      <c r="C1942" s="645"/>
      <c r="D1942" s="422" t="s">
        <v>212</v>
      </c>
      <c r="E1942" s="423"/>
      <c r="F1942" s="424">
        <v>500</v>
      </c>
      <c r="G1942" s="425">
        <v>1.1672</v>
      </c>
      <c r="H1942" s="649">
        <f>IF(F1942&lt;=30,(0.78*F1942+7.82)*G1942,((0.78*30+7.82)+0.78*(F1942-30))*G1942)</f>
        <v>464.33550400000007</v>
      </c>
      <c r="I1942" s="420">
        <v>0</v>
      </c>
      <c r="J1942" s="420"/>
      <c r="K1942" s="421">
        <f t="shared" si="477"/>
        <v>0</v>
      </c>
      <c r="L1942" s="647"/>
      <c r="M1942" s="723"/>
      <c r="N1942" s="576">
        <f t="shared" si="487"/>
        <v>0</v>
      </c>
      <c r="O1942" s="577">
        <f t="shared" si="480"/>
        <v>0</v>
      </c>
      <c r="P1942" s="578">
        <f t="shared" si="481"/>
        <v>0</v>
      </c>
      <c r="Q1942" s="765"/>
      <c r="R1942" s="723"/>
      <c r="S1942" s="723"/>
      <c r="T1942" s="577">
        <f t="shared" si="478"/>
        <v>0</v>
      </c>
      <c r="U1942" s="578">
        <f t="shared" si="479"/>
        <v>0</v>
      </c>
      <c r="V1942" s="579"/>
      <c r="W1942" s="566" t="str">
        <f>IF(U1941&gt;0,"xx",IF(P1941&gt;0,"xy",""))</f>
        <v/>
      </c>
      <c r="X1942" s="586" t="str">
        <f t="shared" si="461"/>
        <v/>
      </c>
      <c r="Y1942" s="586" t="str">
        <f t="shared" si="431"/>
        <v/>
      </c>
      <c r="Z1942" s="586" t="str">
        <f t="shared" si="488"/>
        <v/>
      </c>
    </row>
    <row r="1943" spans="1:26" ht="12" hidden="1" thickBot="1" x14ac:dyDescent="0.25">
      <c r="A1943" s="567" t="s">
        <v>168</v>
      </c>
      <c r="B1943" s="644" t="s">
        <v>168</v>
      </c>
      <c r="C1943" s="645"/>
      <c r="D1943" s="422" t="s">
        <v>248</v>
      </c>
      <c r="E1943" s="423"/>
      <c r="F1943" s="424">
        <v>180</v>
      </c>
      <c r="G1943" s="425">
        <v>4.1501999999999999</v>
      </c>
      <c r="H1943" s="663">
        <f t="shared" ref="H1943:H1944" si="489">IF(F1943&lt;=30,(1.07*F1943+2.68)*G1943,((1.07*30+2.68)+1.07*(F1943-30))*G1943)</f>
        <v>810.45105599999999</v>
      </c>
      <c r="I1943" s="420">
        <v>0</v>
      </c>
      <c r="J1943" s="420"/>
      <c r="K1943" s="421">
        <f t="shared" si="477"/>
        <v>0</v>
      </c>
      <c r="L1943" s="647"/>
      <c r="M1943" s="723"/>
      <c r="N1943" s="576">
        <f t="shared" si="487"/>
        <v>0</v>
      </c>
      <c r="O1943" s="577">
        <f t="shared" si="480"/>
        <v>0</v>
      </c>
      <c r="P1943" s="578">
        <f t="shared" si="481"/>
        <v>0</v>
      </c>
      <c r="Q1943" s="765"/>
      <c r="R1943" s="723"/>
      <c r="S1943" s="723"/>
      <c r="T1943" s="577">
        <f t="shared" si="478"/>
        <v>0</v>
      </c>
      <c r="U1943" s="578">
        <f t="shared" si="479"/>
        <v>0</v>
      </c>
      <c r="V1943" s="579"/>
      <c r="W1943" s="566" t="str">
        <f>IF(U1941&gt;0,"xx",IF(P1941&gt;0,"xy",""))</f>
        <v/>
      </c>
      <c r="X1943" s="586" t="str">
        <f t="shared" si="461"/>
        <v/>
      </c>
      <c r="Y1943" s="586" t="str">
        <f t="shared" si="431"/>
        <v/>
      </c>
      <c r="Z1943" s="586" t="str">
        <f t="shared" si="488"/>
        <v/>
      </c>
    </row>
    <row r="1944" spans="1:26" ht="12" hidden="1" thickBot="1" x14ac:dyDescent="0.25">
      <c r="A1944" s="567" t="s">
        <v>168</v>
      </c>
      <c r="B1944" s="644" t="s">
        <v>168</v>
      </c>
      <c r="C1944" s="645"/>
      <c r="D1944" s="422" t="s">
        <v>252</v>
      </c>
      <c r="E1944" s="423"/>
      <c r="F1944" s="424">
        <v>20</v>
      </c>
      <c r="G1944" s="425">
        <v>7.5778999999999996</v>
      </c>
      <c r="H1944" s="663">
        <f t="shared" si="489"/>
        <v>182.475832</v>
      </c>
      <c r="I1944" s="420">
        <v>0</v>
      </c>
      <c r="J1944" s="420"/>
      <c r="K1944" s="421">
        <f t="shared" si="477"/>
        <v>0</v>
      </c>
      <c r="L1944" s="647"/>
      <c r="M1944" s="723"/>
      <c r="N1944" s="576">
        <f t="shared" si="487"/>
        <v>0</v>
      </c>
      <c r="O1944" s="577">
        <f t="shared" si="480"/>
        <v>0</v>
      </c>
      <c r="P1944" s="578">
        <f t="shared" si="481"/>
        <v>0</v>
      </c>
      <c r="Q1944" s="765"/>
      <c r="R1944" s="723"/>
      <c r="S1944" s="723"/>
      <c r="T1944" s="577">
        <f t="shared" si="478"/>
        <v>0</v>
      </c>
      <c r="U1944" s="578">
        <f t="shared" si="479"/>
        <v>0</v>
      </c>
      <c r="V1944" s="579"/>
      <c r="W1944" s="566" t="str">
        <f>IF(U1941&gt;0,"xx",IF(P1941&gt;0,"xy",""))</f>
        <v/>
      </c>
      <c r="X1944" s="586" t="str">
        <f t="shared" si="461"/>
        <v/>
      </c>
      <c r="Y1944" s="586" t="str">
        <f t="shared" si="431"/>
        <v/>
      </c>
      <c r="Z1944" s="586" t="str">
        <f t="shared" si="488"/>
        <v/>
      </c>
    </row>
    <row r="1945" spans="1:26" ht="12" hidden="1" thickBot="1" x14ac:dyDescent="0.25">
      <c r="A1945" s="567">
        <v>620600</v>
      </c>
      <c r="B1945" s="644">
        <v>620600</v>
      </c>
      <c r="C1945" s="645" t="s">
        <v>206</v>
      </c>
      <c r="D1945" s="422" t="s">
        <v>360</v>
      </c>
      <c r="E1945" s="423"/>
      <c r="F1945" s="424"/>
      <c r="G1945" s="425"/>
      <c r="H1945" s="651">
        <f>SUM(H1946:H1948)</f>
        <v>2801.5291540000003</v>
      </c>
      <c r="I1945" s="420">
        <v>7314.29</v>
      </c>
      <c r="J1945" s="420">
        <f>IF(ISBLANK(I1945),"",SUM(H1945:I1945))</f>
        <v>10115.819154000001</v>
      </c>
      <c r="K1945" s="421">
        <f t="shared" si="477"/>
        <v>12018.6</v>
      </c>
      <c r="L1945" s="647" t="s">
        <v>21</v>
      </c>
      <c r="M1945" s="576"/>
      <c r="N1945" s="576">
        <f t="shared" si="487"/>
        <v>0</v>
      </c>
      <c r="O1945" s="577">
        <f t="shared" si="480"/>
        <v>0</v>
      </c>
      <c r="P1945" s="578">
        <f t="shared" si="481"/>
        <v>0</v>
      </c>
      <c r="Q1945" s="765"/>
      <c r="R1945" s="576">
        <f>M1945</f>
        <v>0</v>
      </c>
      <c r="S1945" s="576">
        <f>N1945</f>
        <v>0</v>
      </c>
      <c r="T1945" s="577">
        <f t="shared" si="478"/>
        <v>0</v>
      </c>
      <c r="U1945" s="578">
        <f t="shared" si="479"/>
        <v>0</v>
      </c>
      <c r="V1945" s="579"/>
      <c r="W1945" s="566"/>
      <c r="X1945" s="586" t="str">
        <f t="shared" si="461"/>
        <v/>
      </c>
      <c r="Y1945" s="586" t="str">
        <f t="shared" si="431"/>
        <v/>
      </c>
      <c r="Z1945" s="586" t="str">
        <f t="shared" si="488"/>
        <v/>
      </c>
    </row>
    <row r="1946" spans="1:26" ht="12" hidden="1" thickBot="1" x14ac:dyDescent="0.25">
      <c r="A1946" s="567" t="s">
        <v>168</v>
      </c>
      <c r="B1946" s="644" t="s">
        <v>168</v>
      </c>
      <c r="C1946" s="645"/>
      <c r="D1946" s="422" t="s">
        <v>212</v>
      </c>
      <c r="E1946" s="423"/>
      <c r="F1946" s="424">
        <v>500</v>
      </c>
      <c r="G1946" s="425">
        <v>2.2439</v>
      </c>
      <c r="H1946" s="649">
        <f>IF(F1946&lt;=30,(0.78*F1946+7.82)*G1946,((0.78*30+7.82)+0.78*(F1946-30))*G1946)</f>
        <v>892.66829800000016</v>
      </c>
      <c r="I1946" s="420">
        <v>0</v>
      </c>
      <c r="J1946" s="420"/>
      <c r="K1946" s="421">
        <f t="shared" si="477"/>
        <v>0</v>
      </c>
      <c r="L1946" s="647"/>
      <c r="M1946" s="723"/>
      <c r="N1946" s="576">
        <f t="shared" si="487"/>
        <v>0</v>
      </c>
      <c r="O1946" s="577">
        <f t="shared" si="480"/>
        <v>0</v>
      </c>
      <c r="P1946" s="578">
        <f t="shared" si="481"/>
        <v>0</v>
      </c>
      <c r="Q1946" s="765"/>
      <c r="R1946" s="723"/>
      <c r="S1946" s="723"/>
      <c r="T1946" s="577">
        <f t="shared" si="478"/>
        <v>0</v>
      </c>
      <c r="U1946" s="578">
        <f t="shared" si="479"/>
        <v>0</v>
      </c>
      <c r="V1946" s="579"/>
      <c r="W1946" s="566" t="str">
        <f>IF(U1945&gt;0,"xx",IF(P1945&gt;0,"xy",""))</f>
        <v/>
      </c>
      <c r="X1946" s="586" t="str">
        <f t="shared" si="461"/>
        <v/>
      </c>
      <c r="Y1946" s="586" t="str">
        <f t="shared" si="431"/>
        <v/>
      </c>
      <c r="Z1946" s="586" t="str">
        <f t="shared" si="488"/>
        <v/>
      </c>
    </row>
    <row r="1947" spans="1:26" ht="12" hidden="1" thickBot="1" x14ac:dyDescent="0.25">
      <c r="A1947" s="567" t="s">
        <v>168</v>
      </c>
      <c r="B1947" s="644" t="s">
        <v>168</v>
      </c>
      <c r="C1947" s="645"/>
      <c r="D1947" s="422" t="s">
        <v>248</v>
      </c>
      <c r="E1947" s="423"/>
      <c r="F1947" s="424">
        <v>180</v>
      </c>
      <c r="G1947" s="425">
        <v>7.9786000000000001</v>
      </c>
      <c r="H1947" s="663">
        <f t="shared" ref="H1947:H1948" si="490">IF(F1947&lt;=30,(1.07*F1947+2.68)*G1947,((1.07*30+2.68)+1.07*(F1947-30))*G1947)</f>
        <v>1558.0610080000001</v>
      </c>
      <c r="I1947" s="420">
        <v>0</v>
      </c>
      <c r="J1947" s="420"/>
      <c r="K1947" s="421">
        <f t="shared" si="477"/>
        <v>0</v>
      </c>
      <c r="L1947" s="647"/>
      <c r="M1947" s="723"/>
      <c r="N1947" s="576">
        <f t="shared" si="487"/>
        <v>0</v>
      </c>
      <c r="O1947" s="577">
        <f t="shared" si="480"/>
        <v>0</v>
      </c>
      <c r="P1947" s="578">
        <f t="shared" si="481"/>
        <v>0</v>
      </c>
      <c r="Q1947" s="765"/>
      <c r="R1947" s="723"/>
      <c r="S1947" s="723"/>
      <c r="T1947" s="577">
        <f t="shared" si="478"/>
        <v>0</v>
      </c>
      <c r="U1947" s="578">
        <f t="shared" si="479"/>
        <v>0</v>
      </c>
      <c r="V1947" s="579"/>
      <c r="W1947" s="566" t="str">
        <f>IF(U1945&gt;0,"xx",IF(P1945&gt;0,"xy",""))</f>
        <v/>
      </c>
      <c r="X1947" s="586" t="str">
        <f t="shared" si="461"/>
        <v/>
      </c>
      <c r="Y1947" s="586" t="str">
        <f t="shared" si="431"/>
        <v/>
      </c>
      <c r="Z1947" s="586" t="str">
        <f t="shared" si="488"/>
        <v/>
      </c>
    </row>
    <row r="1948" spans="1:26" ht="12" hidden="1" thickBot="1" x14ac:dyDescent="0.25">
      <c r="A1948" s="567" t="s">
        <v>168</v>
      </c>
      <c r="B1948" s="644" t="s">
        <v>168</v>
      </c>
      <c r="C1948" s="645"/>
      <c r="D1948" s="422" t="s">
        <v>252</v>
      </c>
      <c r="E1948" s="423"/>
      <c r="F1948" s="424">
        <v>20</v>
      </c>
      <c r="G1948" s="425">
        <v>14.568099999999999</v>
      </c>
      <c r="H1948" s="663">
        <f t="shared" si="490"/>
        <v>350.799848</v>
      </c>
      <c r="I1948" s="420">
        <v>0</v>
      </c>
      <c r="J1948" s="420"/>
      <c r="K1948" s="421">
        <f t="shared" si="477"/>
        <v>0</v>
      </c>
      <c r="L1948" s="647"/>
      <c r="M1948" s="723"/>
      <c r="N1948" s="576">
        <f t="shared" si="487"/>
        <v>0</v>
      </c>
      <c r="O1948" s="577">
        <f t="shared" si="480"/>
        <v>0</v>
      </c>
      <c r="P1948" s="578">
        <f t="shared" si="481"/>
        <v>0</v>
      </c>
      <c r="Q1948" s="765"/>
      <c r="R1948" s="723"/>
      <c r="S1948" s="723"/>
      <c r="T1948" s="577">
        <f t="shared" si="478"/>
        <v>0</v>
      </c>
      <c r="U1948" s="578">
        <f t="shared" si="479"/>
        <v>0</v>
      </c>
      <c r="V1948" s="579"/>
      <c r="W1948" s="566" t="str">
        <f>IF(U1945&gt;0,"xx",IF(P1945&gt;0,"xy",""))</f>
        <v/>
      </c>
      <c r="X1948" s="586" t="str">
        <f t="shared" si="461"/>
        <v/>
      </c>
      <c r="Y1948" s="586" t="str">
        <f t="shared" si="431"/>
        <v/>
      </c>
      <c r="Z1948" s="586" t="str">
        <f t="shared" si="488"/>
        <v/>
      </c>
    </row>
    <row r="1949" spans="1:26" ht="12" hidden="1" thickBot="1" x14ac:dyDescent="0.25">
      <c r="A1949" s="567">
        <v>620100</v>
      </c>
      <c r="B1949" s="644" t="s">
        <v>1663</v>
      </c>
      <c r="C1949" s="645" t="s">
        <v>206</v>
      </c>
      <c r="D1949" s="422" t="s">
        <v>361</v>
      </c>
      <c r="E1949" s="423"/>
      <c r="F1949" s="424"/>
      <c r="G1949" s="425"/>
      <c r="H1949" s="651">
        <f>SUM(H1950:H1952)</f>
        <v>357.50190600000002</v>
      </c>
      <c r="I1949" s="420">
        <v>1246.7937242356304</v>
      </c>
      <c r="J1949" s="420">
        <f>IF(ISBLANK(I1949),"",SUM(H1949:I1949))</f>
        <v>1604.2956302356304</v>
      </c>
      <c r="K1949" s="421">
        <f t="shared" si="477"/>
        <v>1906.06</v>
      </c>
      <c r="L1949" s="647" t="s">
        <v>21</v>
      </c>
      <c r="M1949" s="576"/>
      <c r="N1949" s="576">
        <f t="shared" si="487"/>
        <v>0</v>
      </c>
      <c r="O1949" s="577">
        <f t="shared" si="480"/>
        <v>0</v>
      </c>
      <c r="P1949" s="578">
        <f t="shared" si="481"/>
        <v>0</v>
      </c>
      <c r="Q1949" s="765"/>
      <c r="R1949" s="576">
        <f>M1949</f>
        <v>0</v>
      </c>
      <c r="S1949" s="576">
        <f>N1949</f>
        <v>0</v>
      </c>
      <c r="T1949" s="577">
        <f t="shared" si="478"/>
        <v>0</v>
      </c>
      <c r="U1949" s="578">
        <f t="shared" si="479"/>
        <v>0</v>
      </c>
      <c r="V1949" s="579"/>
      <c r="W1949" s="566"/>
      <c r="X1949" s="586" t="str">
        <f t="shared" si="461"/>
        <v/>
      </c>
      <c r="Y1949" s="586" t="str">
        <f t="shared" si="431"/>
        <v/>
      </c>
      <c r="Z1949" s="586" t="str">
        <f t="shared" si="488"/>
        <v/>
      </c>
    </row>
    <row r="1950" spans="1:26" ht="12" hidden="1" thickBot="1" x14ac:dyDescent="0.25">
      <c r="A1950" s="567" t="s">
        <v>168</v>
      </c>
      <c r="B1950" s="644" t="s">
        <v>168</v>
      </c>
      <c r="C1950" s="645"/>
      <c r="D1950" s="422" t="s">
        <v>212</v>
      </c>
      <c r="E1950" s="423"/>
      <c r="F1950" s="424">
        <v>500</v>
      </c>
      <c r="G1950" s="425">
        <v>0.2863</v>
      </c>
      <c r="H1950" s="649">
        <f>IF(F1950&lt;=30,(0.78*F1950+7.82)*G1950,((0.78*30+7.82)+0.78*(F1950-30))*G1950)</f>
        <v>113.89586600000001</v>
      </c>
      <c r="I1950" s="420">
        <v>0</v>
      </c>
      <c r="J1950" s="420"/>
      <c r="K1950" s="421">
        <f t="shared" si="477"/>
        <v>0</v>
      </c>
      <c r="L1950" s="647"/>
      <c r="M1950" s="723"/>
      <c r="N1950" s="576">
        <f t="shared" si="487"/>
        <v>0</v>
      </c>
      <c r="O1950" s="577">
        <f t="shared" si="480"/>
        <v>0</v>
      </c>
      <c r="P1950" s="578">
        <f t="shared" si="481"/>
        <v>0</v>
      </c>
      <c r="Q1950" s="765"/>
      <c r="R1950" s="723"/>
      <c r="S1950" s="723"/>
      <c r="T1950" s="577">
        <f t="shared" si="478"/>
        <v>0</v>
      </c>
      <c r="U1950" s="578">
        <f t="shared" si="479"/>
        <v>0</v>
      </c>
      <c r="V1950" s="579"/>
      <c r="W1950" s="566" t="str">
        <f>IF(U1949&gt;0,"xx",IF(P1949&gt;0,"xy",""))</f>
        <v/>
      </c>
      <c r="X1950" s="586" t="str">
        <f t="shared" si="461"/>
        <v/>
      </c>
      <c r="Y1950" s="586" t="str">
        <f t="shared" si="431"/>
        <v/>
      </c>
      <c r="Z1950" s="586" t="str">
        <f t="shared" si="488"/>
        <v/>
      </c>
    </row>
    <row r="1951" spans="1:26" ht="12" hidden="1" thickBot="1" x14ac:dyDescent="0.25">
      <c r="A1951" s="567" t="s">
        <v>168</v>
      </c>
      <c r="B1951" s="644" t="s">
        <v>168</v>
      </c>
      <c r="C1951" s="645"/>
      <c r="D1951" s="422" t="s">
        <v>248</v>
      </c>
      <c r="E1951" s="423"/>
      <c r="F1951" s="424">
        <v>180</v>
      </c>
      <c r="G1951" s="425">
        <v>1.0182</v>
      </c>
      <c r="H1951" s="663">
        <f t="shared" ref="H1951:H1952" si="491">IF(F1951&lt;=30,(1.07*F1951+2.68)*G1951,((1.07*30+2.68)+1.07*(F1951-30))*G1951)</f>
        <v>198.83409599999999</v>
      </c>
      <c r="I1951" s="420">
        <v>0</v>
      </c>
      <c r="J1951" s="420"/>
      <c r="K1951" s="421">
        <f t="shared" si="477"/>
        <v>0</v>
      </c>
      <c r="L1951" s="647"/>
      <c r="M1951" s="723"/>
      <c r="N1951" s="576">
        <f t="shared" si="487"/>
        <v>0</v>
      </c>
      <c r="O1951" s="577">
        <f t="shared" si="480"/>
        <v>0</v>
      </c>
      <c r="P1951" s="578">
        <f t="shared" si="481"/>
        <v>0</v>
      </c>
      <c r="Q1951" s="765"/>
      <c r="R1951" s="723"/>
      <c r="S1951" s="723"/>
      <c r="T1951" s="577">
        <f t="shared" si="478"/>
        <v>0</v>
      </c>
      <c r="U1951" s="578">
        <f t="shared" si="479"/>
        <v>0</v>
      </c>
      <c r="V1951" s="579"/>
      <c r="W1951" s="566" t="str">
        <f>IF(U1949&gt;0,"xx",IF(P1949&gt;0,"xy",""))</f>
        <v/>
      </c>
      <c r="X1951" s="586" t="str">
        <f t="shared" si="461"/>
        <v/>
      </c>
      <c r="Y1951" s="586" t="str">
        <f t="shared" si="431"/>
        <v/>
      </c>
      <c r="Z1951" s="586" t="str">
        <f t="shared" si="488"/>
        <v/>
      </c>
    </row>
    <row r="1952" spans="1:26" ht="12" hidden="1" thickBot="1" x14ac:dyDescent="0.25">
      <c r="A1952" s="567" t="s">
        <v>168</v>
      </c>
      <c r="B1952" s="644" t="s">
        <v>168</v>
      </c>
      <c r="C1952" s="645"/>
      <c r="D1952" s="422" t="s">
        <v>252</v>
      </c>
      <c r="E1952" s="423"/>
      <c r="F1952" s="424">
        <v>20</v>
      </c>
      <c r="G1952" s="425">
        <v>1.8593</v>
      </c>
      <c r="H1952" s="663">
        <f t="shared" si="491"/>
        <v>44.771944000000005</v>
      </c>
      <c r="I1952" s="420">
        <v>0</v>
      </c>
      <c r="J1952" s="420"/>
      <c r="K1952" s="421">
        <f t="shared" si="477"/>
        <v>0</v>
      </c>
      <c r="L1952" s="647"/>
      <c r="M1952" s="723"/>
      <c r="N1952" s="576">
        <f t="shared" si="487"/>
        <v>0</v>
      </c>
      <c r="O1952" s="577">
        <f t="shared" si="480"/>
        <v>0</v>
      </c>
      <c r="P1952" s="578">
        <f t="shared" si="481"/>
        <v>0</v>
      </c>
      <c r="Q1952" s="765"/>
      <c r="R1952" s="723"/>
      <c r="S1952" s="723"/>
      <c r="T1952" s="577">
        <f t="shared" si="478"/>
        <v>0</v>
      </c>
      <c r="U1952" s="578">
        <f t="shared" si="479"/>
        <v>0</v>
      </c>
      <c r="V1952" s="579"/>
      <c r="W1952" s="566" t="str">
        <f>IF(U1949&gt;0,"xx",IF(P1949&gt;0,"xy",""))</f>
        <v/>
      </c>
      <c r="X1952" s="586" t="str">
        <f t="shared" si="461"/>
        <v/>
      </c>
      <c r="Y1952" s="586" t="str">
        <f t="shared" si="431"/>
        <v/>
      </c>
      <c r="Z1952" s="586" t="str">
        <f t="shared" si="488"/>
        <v/>
      </c>
    </row>
    <row r="1953" spans="1:26" ht="12" hidden="1" thickBot="1" x14ac:dyDescent="0.25">
      <c r="A1953" s="567">
        <v>620200</v>
      </c>
      <c r="B1953" s="644" t="s">
        <v>1666</v>
      </c>
      <c r="C1953" s="645" t="s">
        <v>206</v>
      </c>
      <c r="D1953" s="422" t="s">
        <v>362</v>
      </c>
      <c r="E1953" s="423"/>
      <c r="F1953" s="424"/>
      <c r="G1953" s="425"/>
      <c r="H1953" s="651">
        <f>SUM(H1954:H1956)</f>
        <v>518.42137400000001</v>
      </c>
      <c r="I1953" s="420">
        <v>1735.8033996841357</v>
      </c>
      <c r="J1953" s="420">
        <f>IF(ISBLANK(I1953),"",SUM(H1953:I1953))</f>
        <v>2254.2247736841355</v>
      </c>
      <c r="K1953" s="421">
        <f t="shared" si="477"/>
        <v>2678.24</v>
      </c>
      <c r="L1953" s="647" t="s">
        <v>21</v>
      </c>
      <c r="M1953" s="576"/>
      <c r="N1953" s="576">
        <f t="shared" si="487"/>
        <v>0</v>
      </c>
      <c r="O1953" s="577">
        <f t="shared" si="480"/>
        <v>0</v>
      </c>
      <c r="P1953" s="578">
        <f t="shared" si="481"/>
        <v>0</v>
      </c>
      <c r="Q1953" s="765"/>
      <c r="R1953" s="576">
        <f>M1953</f>
        <v>0</v>
      </c>
      <c r="S1953" s="576">
        <f>N1953</f>
        <v>0</v>
      </c>
      <c r="T1953" s="577">
        <f t="shared" si="478"/>
        <v>0</v>
      </c>
      <c r="U1953" s="578">
        <f t="shared" si="479"/>
        <v>0</v>
      </c>
      <c r="V1953" s="579"/>
      <c r="W1953" s="566"/>
      <c r="X1953" s="586" t="str">
        <f t="shared" si="461"/>
        <v/>
      </c>
      <c r="Y1953" s="586" t="str">
        <f t="shared" si="431"/>
        <v/>
      </c>
      <c r="Z1953" s="586" t="str">
        <f t="shared" si="488"/>
        <v/>
      </c>
    </row>
    <row r="1954" spans="1:26" ht="12" hidden="1" thickBot="1" x14ac:dyDescent="0.25">
      <c r="A1954" s="567" t="s">
        <v>168</v>
      </c>
      <c r="B1954" s="644" t="s">
        <v>168</v>
      </c>
      <c r="C1954" s="645"/>
      <c r="D1954" s="422" t="s">
        <v>212</v>
      </c>
      <c r="E1954" s="423"/>
      <c r="F1954" s="424">
        <v>500</v>
      </c>
      <c r="G1954" s="425">
        <v>0.4153</v>
      </c>
      <c r="H1954" s="649">
        <f>IF(F1954&lt;=30,(0.78*F1954+7.82)*G1954,((0.78*30+7.82)+0.78*(F1954-30))*G1954)</f>
        <v>165.21464600000002</v>
      </c>
      <c r="I1954" s="420">
        <v>0</v>
      </c>
      <c r="J1954" s="420"/>
      <c r="K1954" s="421">
        <f t="shared" si="477"/>
        <v>0</v>
      </c>
      <c r="L1954" s="647"/>
      <c r="M1954" s="723"/>
      <c r="N1954" s="576">
        <f t="shared" si="487"/>
        <v>0</v>
      </c>
      <c r="O1954" s="577">
        <f t="shared" si="480"/>
        <v>0</v>
      </c>
      <c r="P1954" s="578">
        <f t="shared" si="481"/>
        <v>0</v>
      </c>
      <c r="Q1954" s="765"/>
      <c r="R1954" s="723"/>
      <c r="S1954" s="723"/>
      <c r="T1954" s="577">
        <f t="shared" si="478"/>
        <v>0</v>
      </c>
      <c r="U1954" s="578">
        <f t="shared" si="479"/>
        <v>0</v>
      </c>
      <c r="V1954" s="579"/>
      <c r="W1954" s="566" t="str">
        <f>IF(U1953&gt;0,"xx",IF(P1953&gt;0,"xy",""))</f>
        <v/>
      </c>
      <c r="X1954" s="586" t="str">
        <f t="shared" si="461"/>
        <v/>
      </c>
      <c r="Y1954" s="586" t="str">
        <f t="shared" si="431"/>
        <v/>
      </c>
      <c r="Z1954" s="586" t="str">
        <f t="shared" si="488"/>
        <v/>
      </c>
    </row>
    <row r="1955" spans="1:26" ht="12" hidden="1" thickBot="1" x14ac:dyDescent="0.25">
      <c r="A1955" s="567" t="s">
        <v>168</v>
      </c>
      <c r="B1955" s="644" t="s">
        <v>168</v>
      </c>
      <c r="C1955" s="645"/>
      <c r="D1955" s="422" t="s">
        <v>248</v>
      </c>
      <c r="E1955" s="423"/>
      <c r="F1955" s="424">
        <v>180</v>
      </c>
      <c r="G1955" s="425">
        <v>1.4762999999999999</v>
      </c>
      <c r="H1955" s="663">
        <f t="shared" ref="H1955:H1956" si="492">IF(F1955&lt;=30,(1.07*F1955+2.68)*G1955,((1.07*30+2.68)+1.07*(F1955-30))*G1955)</f>
        <v>288.29186399999998</v>
      </c>
      <c r="I1955" s="420">
        <v>0</v>
      </c>
      <c r="J1955" s="420"/>
      <c r="K1955" s="421">
        <f t="shared" si="477"/>
        <v>0</v>
      </c>
      <c r="L1955" s="647"/>
      <c r="M1955" s="723"/>
      <c r="N1955" s="576">
        <f t="shared" si="487"/>
        <v>0</v>
      </c>
      <c r="O1955" s="577">
        <f t="shared" si="480"/>
        <v>0</v>
      </c>
      <c r="P1955" s="578">
        <f t="shared" si="481"/>
        <v>0</v>
      </c>
      <c r="Q1955" s="765"/>
      <c r="R1955" s="723"/>
      <c r="S1955" s="723"/>
      <c r="T1955" s="577">
        <f t="shared" si="478"/>
        <v>0</v>
      </c>
      <c r="U1955" s="578">
        <f t="shared" si="479"/>
        <v>0</v>
      </c>
      <c r="V1955" s="579"/>
      <c r="W1955" s="566" t="str">
        <f>IF(U1953&gt;0,"xx",IF(P1953&gt;0,"xy",""))</f>
        <v/>
      </c>
      <c r="X1955" s="586" t="str">
        <f t="shared" si="461"/>
        <v/>
      </c>
      <c r="Y1955" s="586" t="str">
        <f t="shared" si="431"/>
        <v/>
      </c>
      <c r="Z1955" s="586" t="str">
        <f t="shared" si="488"/>
        <v/>
      </c>
    </row>
    <row r="1956" spans="1:26" ht="12" hidden="1" thickBot="1" x14ac:dyDescent="0.25">
      <c r="A1956" s="567" t="s">
        <v>168</v>
      </c>
      <c r="B1956" s="644" t="s">
        <v>168</v>
      </c>
      <c r="C1956" s="645"/>
      <c r="D1956" s="422" t="s">
        <v>252</v>
      </c>
      <c r="E1956" s="423"/>
      <c r="F1956" s="424">
        <v>20</v>
      </c>
      <c r="G1956" s="425">
        <v>2.6958000000000002</v>
      </c>
      <c r="H1956" s="663">
        <f t="shared" si="492"/>
        <v>64.914864000000009</v>
      </c>
      <c r="I1956" s="420">
        <v>0</v>
      </c>
      <c r="J1956" s="420"/>
      <c r="K1956" s="421">
        <f t="shared" si="477"/>
        <v>0</v>
      </c>
      <c r="L1956" s="647"/>
      <c r="M1956" s="723"/>
      <c r="N1956" s="576">
        <f t="shared" si="487"/>
        <v>0</v>
      </c>
      <c r="O1956" s="577">
        <f t="shared" si="480"/>
        <v>0</v>
      </c>
      <c r="P1956" s="578">
        <f t="shared" si="481"/>
        <v>0</v>
      </c>
      <c r="Q1956" s="765"/>
      <c r="R1956" s="723"/>
      <c r="S1956" s="723"/>
      <c r="T1956" s="577">
        <f t="shared" si="478"/>
        <v>0</v>
      </c>
      <c r="U1956" s="578">
        <f t="shared" si="479"/>
        <v>0</v>
      </c>
      <c r="V1956" s="579"/>
      <c r="W1956" s="566" t="str">
        <f>IF(U1953&gt;0,"xx",IF(P1953&gt;0,"xy",""))</f>
        <v/>
      </c>
      <c r="X1956" s="586" t="str">
        <f t="shared" si="461"/>
        <v/>
      </c>
      <c r="Y1956" s="586" t="str">
        <f t="shared" si="431"/>
        <v/>
      </c>
      <c r="Z1956" s="586" t="str">
        <f t="shared" si="488"/>
        <v/>
      </c>
    </row>
    <row r="1957" spans="1:26" ht="12" hidden="1" thickBot="1" x14ac:dyDescent="0.25">
      <c r="A1957" s="567">
        <v>620700</v>
      </c>
      <c r="B1957" s="644">
        <v>620700</v>
      </c>
      <c r="C1957" s="645" t="s">
        <v>206</v>
      </c>
      <c r="D1957" s="422" t="s">
        <v>363</v>
      </c>
      <c r="E1957" s="423"/>
      <c r="F1957" s="424"/>
      <c r="G1957" s="425"/>
      <c r="H1957" s="651">
        <f>SUM(H1958:H1960)</f>
        <v>777.93530600000008</v>
      </c>
      <c r="I1957" s="420">
        <v>2474.02</v>
      </c>
      <c r="J1957" s="420">
        <f>IF(ISBLANK(I1957),"",SUM(H1957:I1957))</f>
        <v>3251.9553059999998</v>
      </c>
      <c r="K1957" s="421">
        <f t="shared" si="477"/>
        <v>3863.65</v>
      </c>
      <c r="L1957" s="647" t="s">
        <v>21</v>
      </c>
      <c r="M1957" s="576"/>
      <c r="N1957" s="576">
        <f t="shared" si="487"/>
        <v>0</v>
      </c>
      <c r="O1957" s="577">
        <f t="shared" si="480"/>
        <v>0</v>
      </c>
      <c r="P1957" s="578">
        <f t="shared" si="481"/>
        <v>0</v>
      </c>
      <c r="Q1957" s="765"/>
      <c r="R1957" s="576">
        <f>M1957</f>
        <v>0</v>
      </c>
      <c r="S1957" s="576">
        <f>N1957</f>
        <v>0</v>
      </c>
      <c r="T1957" s="577">
        <f t="shared" si="478"/>
        <v>0</v>
      </c>
      <c r="U1957" s="578">
        <f t="shared" si="479"/>
        <v>0</v>
      </c>
      <c r="V1957" s="579"/>
      <c r="W1957" s="566"/>
      <c r="X1957" s="586" t="str">
        <f t="shared" si="461"/>
        <v/>
      </c>
      <c r="Y1957" s="586" t="str">
        <f t="shared" si="431"/>
        <v/>
      </c>
      <c r="Z1957" s="586" t="str">
        <f t="shared" si="488"/>
        <v/>
      </c>
    </row>
    <row r="1958" spans="1:26" ht="12" hidden="1" thickBot="1" x14ac:dyDescent="0.25">
      <c r="A1958" s="567" t="s">
        <v>168</v>
      </c>
      <c r="B1958" s="644" t="s">
        <v>168</v>
      </c>
      <c r="C1958" s="645"/>
      <c r="D1958" s="422" t="s">
        <v>212</v>
      </c>
      <c r="E1958" s="423"/>
      <c r="F1958" s="424">
        <v>500</v>
      </c>
      <c r="G1958" s="425" t="s">
        <v>97</v>
      </c>
      <c r="H1958" s="649">
        <f>IF(F1958&lt;=30,(0.78*F1958+7.82)*G1958,((0.78*30+7.82)+0.78*(F1958-30))*G1958)</f>
        <v>247.88164200000003</v>
      </c>
      <c r="I1958" s="420">
        <v>0</v>
      </c>
      <c r="J1958" s="420"/>
      <c r="K1958" s="421">
        <f t="shared" si="477"/>
        <v>0</v>
      </c>
      <c r="L1958" s="647"/>
      <c r="M1958" s="723"/>
      <c r="N1958" s="576">
        <f t="shared" si="487"/>
        <v>0</v>
      </c>
      <c r="O1958" s="577">
        <f t="shared" si="480"/>
        <v>0</v>
      </c>
      <c r="P1958" s="578">
        <f t="shared" si="481"/>
        <v>0</v>
      </c>
      <c r="Q1958" s="765"/>
      <c r="R1958" s="723"/>
      <c r="S1958" s="723"/>
      <c r="T1958" s="577">
        <f t="shared" si="478"/>
        <v>0</v>
      </c>
      <c r="U1958" s="578">
        <f t="shared" si="479"/>
        <v>0</v>
      </c>
      <c r="V1958" s="579"/>
      <c r="W1958" s="566" t="str">
        <f>IF(U1957&gt;0,"xx",IF(P1957&gt;0,"xy",""))</f>
        <v/>
      </c>
      <c r="X1958" s="586" t="str">
        <f t="shared" si="461"/>
        <v/>
      </c>
      <c r="Y1958" s="586" t="str">
        <f t="shared" si="431"/>
        <v/>
      </c>
      <c r="Z1958" s="586" t="str">
        <f t="shared" si="488"/>
        <v/>
      </c>
    </row>
    <row r="1959" spans="1:26" ht="12" hidden="1" thickBot="1" x14ac:dyDescent="0.25">
      <c r="A1959" s="567" t="s">
        <v>168</v>
      </c>
      <c r="B1959" s="644" t="s">
        <v>168</v>
      </c>
      <c r="C1959" s="645"/>
      <c r="D1959" s="422" t="s">
        <v>248</v>
      </c>
      <c r="E1959" s="423"/>
      <c r="F1959" s="424">
        <v>180</v>
      </c>
      <c r="G1959" s="425" t="s">
        <v>98</v>
      </c>
      <c r="H1959" s="663">
        <f t="shared" ref="H1959:H1960" si="493">IF(F1959&lt;=30,(1.07*F1959+2.68)*G1959,((1.07*30+2.68)+1.07*(F1959-30))*G1959)</f>
        <v>432.64284000000004</v>
      </c>
      <c r="I1959" s="420">
        <v>0</v>
      </c>
      <c r="J1959" s="420"/>
      <c r="K1959" s="421">
        <f t="shared" si="477"/>
        <v>0</v>
      </c>
      <c r="L1959" s="647"/>
      <c r="M1959" s="723"/>
      <c r="N1959" s="576">
        <f t="shared" si="487"/>
        <v>0</v>
      </c>
      <c r="O1959" s="577">
        <f t="shared" si="480"/>
        <v>0</v>
      </c>
      <c r="P1959" s="578">
        <f t="shared" si="481"/>
        <v>0</v>
      </c>
      <c r="Q1959" s="765"/>
      <c r="R1959" s="723"/>
      <c r="S1959" s="723"/>
      <c r="T1959" s="577">
        <f t="shared" si="478"/>
        <v>0</v>
      </c>
      <c r="U1959" s="578">
        <f t="shared" si="479"/>
        <v>0</v>
      </c>
      <c r="V1959" s="579"/>
      <c r="W1959" s="566" t="str">
        <f>IF(U1957&gt;0,"xx",IF(P1957&gt;0,"xy",""))</f>
        <v/>
      </c>
      <c r="X1959" s="586" t="str">
        <f t="shared" si="461"/>
        <v/>
      </c>
      <c r="Y1959" s="586" t="str">
        <f t="shared" si="431"/>
        <v/>
      </c>
      <c r="Z1959" s="586" t="str">
        <f t="shared" si="488"/>
        <v/>
      </c>
    </row>
    <row r="1960" spans="1:26" ht="12" hidden="1" thickBot="1" x14ac:dyDescent="0.25">
      <c r="A1960" s="567" t="s">
        <v>168</v>
      </c>
      <c r="B1960" s="644" t="s">
        <v>168</v>
      </c>
      <c r="C1960" s="645"/>
      <c r="D1960" s="422" t="s">
        <v>252</v>
      </c>
      <c r="E1960" s="423"/>
      <c r="F1960" s="424">
        <v>20</v>
      </c>
      <c r="G1960" s="425">
        <v>4.0453000000000001</v>
      </c>
      <c r="H1960" s="663">
        <f t="shared" si="493"/>
        <v>97.410824000000005</v>
      </c>
      <c r="I1960" s="420">
        <v>0</v>
      </c>
      <c r="J1960" s="420"/>
      <c r="K1960" s="421">
        <f t="shared" si="477"/>
        <v>0</v>
      </c>
      <c r="L1960" s="647"/>
      <c r="M1960" s="723"/>
      <c r="N1960" s="576">
        <f t="shared" si="487"/>
        <v>0</v>
      </c>
      <c r="O1960" s="577">
        <f t="shared" si="480"/>
        <v>0</v>
      </c>
      <c r="P1960" s="578">
        <f t="shared" si="481"/>
        <v>0</v>
      </c>
      <c r="Q1960" s="765"/>
      <c r="R1960" s="723"/>
      <c r="S1960" s="723"/>
      <c r="T1960" s="577">
        <f t="shared" si="478"/>
        <v>0</v>
      </c>
      <c r="U1960" s="578">
        <f t="shared" si="479"/>
        <v>0</v>
      </c>
      <c r="V1960" s="579"/>
      <c r="W1960" s="566" t="str">
        <f>IF(U1957&gt;0,"xx",IF(P1957&gt;0,"xy",""))</f>
        <v/>
      </c>
      <c r="X1960" s="586" t="str">
        <f t="shared" si="461"/>
        <v/>
      </c>
      <c r="Y1960" s="586" t="str">
        <f t="shared" si="431"/>
        <v/>
      </c>
      <c r="Z1960" s="586" t="str">
        <f t="shared" si="488"/>
        <v/>
      </c>
    </row>
    <row r="1961" spans="1:26" ht="12" hidden="1" thickBot="1" x14ac:dyDescent="0.25">
      <c r="A1961" s="567">
        <v>620800</v>
      </c>
      <c r="B1961" s="644">
        <v>620800</v>
      </c>
      <c r="C1961" s="645" t="s">
        <v>206</v>
      </c>
      <c r="D1961" s="422" t="s">
        <v>364</v>
      </c>
      <c r="E1961" s="423"/>
      <c r="F1961" s="424"/>
      <c r="G1961" s="425"/>
      <c r="H1961" s="651">
        <f>SUM(H1962:H1964)</f>
        <v>1022.8832060000001</v>
      </c>
      <c r="I1961" s="420">
        <v>3147.76</v>
      </c>
      <c r="J1961" s="420">
        <f>IF(ISBLANK(I1961),"",SUM(H1961:I1961))</f>
        <v>4170.6432060000006</v>
      </c>
      <c r="K1961" s="421">
        <f t="shared" si="477"/>
        <v>4955.1400000000003</v>
      </c>
      <c r="L1961" s="647" t="s">
        <v>21</v>
      </c>
      <c r="M1961" s="576"/>
      <c r="N1961" s="576">
        <f t="shared" si="487"/>
        <v>0</v>
      </c>
      <c r="O1961" s="577">
        <f t="shared" si="480"/>
        <v>0</v>
      </c>
      <c r="P1961" s="578">
        <f t="shared" si="481"/>
        <v>0</v>
      </c>
      <c r="Q1961" s="765"/>
      <c r="R1961" s="576">
        <f>M1961</f>
        <v>0</v>
      </c>
      <c r="S1961" s="576">
        <f>N1961</f>
        <v>0</v>
      </c>
      <c r="T1961" s="577">
        <f t="shared" si="478"/>
        <v>0</v>
      </c>
      <c r="U1961" s="578">
        <f t="shared" si="479"/>
        <v>0</v>
      </c>
      <c r="V1961" s="579"/>
      <c r="W1961" s="566"/>
      <c r="X1961" s="586" t="str">
        <f t="shared" si="461"/>
        <v/>
      </c>
      <c r="Y1961" s="586" t="str">
        <f t="shared" si="431"/>
        <v/>
      </c>
      <c r="Z1961" s="586" t="str">
        <f t="shared" si="488"/>
        <v/>
      </c>
    </row>
    <row r="1962" spans="1:26" ht="12" hidden="1" thickBot="1" x14ac:dyDescent="0.25">
      <c r="A1962" s="567" t="s">
        <v>168</v>
      </c>
      <c r="B1962" s="644" t="s">
        <v>168</v>
      </c>
      <c r="C1962" s="645"/>
      <c r="D1962" s="422" t="s">
        <v>212</v>
      </c>
      <c r="E1962" s="423"/>
      <c r="F1962" s="424">
        <v>500</v>
      </c>
      <c r="G1962" s="425">
        <v>0.81930000000000003</v>
      </c>
      <c r="H1962" s="649">
        <f>IF(F1962&lt;=30,(0.78*F1962+7.82)*G1962,((0.78*30+7.82)+0.78*(F1962-30))*G1962)</f>
        <v>325.93392600000004</v>
      </c>
      <c r="I1962" s="420">
        <v>0</v>
      </c>
      <c r="J1962" s="420"/>
      <c r="K1962" s="421">
        <f t="shared" si="477"/>
        <v>0</v>
      </c>
      <c r="L1962" s="647"/>
      <c r="M1962" s="723"/>
      <c r="N1962" s="576">
        <f t="shared" si="487"/>
        <v>0</v>
      </c>
      <c r="O1962" s="577">
        <f t="shared" si="480"/>
        <v>0</v>
      </c>
      <c r="P1962" s="578">
        <f t="shared" si="481"/>
        <v>0</v>
      </c>
      <c r="Q1962" s="765"/>
      <c r="R1962" s="723"/>
      <c r="S1962" s="723"/>
      <c r="T1962" s="577">
        <f t="shared" si="478"/>
        <v>0</v>
      </c>
      <c r="U1962" s="578">
        <f t="shared" si="479"/>
        <v>0</v>
      </c>
      <c r="V1962" s="579"/>
      <c r="W1962" s="566" t="str">
        <f>IF(U1961&gt;0,"xx",IF(P1961&gt;0,"xy",""))</f>
        <v/>
      </c>
      <c r="X1962" s="586" t="str">
        <f t="shared" si="461"/>
        <v/>
      </c>
      <c r="Y1962" s="586" t="str">
        <f t="shared" si="431"/>
        <v/>
      </c>
      <c r="Z1962" s="586" t="str">
        <f t="shared" si="488"/>
        <v/>
      </c>
    </row>
    <row r="1963" spans="1:26" ht="12" hidden="1" thickBot="1" x14ac:dyDescent="0.25">
      <c r="A1963" s="567" t="s">
        <v>168</v>
      </c>
      <c r="B1963" s="644" t="s">
        <v>168</v>
      </c>
      <c r="C1963" s="645"/>
      <c r="D1963" s="422" t="s">
        <v>248</v>
      </c>
      <c r="E1963" s="423"/>
      <c r="F1963" s="424">
        <v>180</v>
      </c>
      <c r="G1963" s="425">
        <v>2.9131</v>
      </c>
      <c r="H1963" s="663">
        <f t="shared" ref="H1963:H1964" si="494">IF(F1963&lt;=30,(1.07*F1963+2.68)*G1963,((1.07*30+2.68)+1.07*(F1963-30))*G1963)</f>
        <v>568.87016800000004</v>
      </c>
      <c r="I1963" s="420">
        <v>0</v>
      </c>
      <c r="J1963" s="420"/>
      <c r="K1963" s="421">
        <f t="shared" si="477"/>
        <v>0</v>
      </c>
      <c r="L1963" s="647"/>
      <c r="M1963" s="723"/>
      <c r="N1963" s="576">
        <f t="shared" si="487"/>
        <v>0</v>
      </c>
      <c r="O1963" s="577">
        <f t="shared" si="480"/>
        <v>0</v>
      </c>
      <c r="P1963" s="578">
        <f t="shared" si="481"/>
        <v>0</v>
      </c>
      <c r="Q1963" s="765"/>
      <c r="R1963" s="723"/>
      <c r="S1963" s="723"/>
      <c r="T1963" s="577">
        <f t="shared" si="478"/>
        <v>0</v>
      </c>
      <c r="U1963" s="578">
        <f t="shared" si="479"/>
        <v>0</v>
      </c>
      <c r="V1963" s="579"/>
      <c r="W1963" s="566" t="str">
        <f>IF(U1961&gt;0,"xx",IF(P1961&gt;0,"xy",""))</f>
        <v/>
      </c>
      <c r="X1963" s="586" t="str">
        <f t="shared" si="461"/>
        <v/>
      </c>
      <c r="Y1963" s="586" t="str">
        <f t="shared" si="431"/>
        <v/>
      </c>
      <c r="Z1963" s="586" t="str">
        <f t="shared" si="488"/>
        <v/>
      </c>
    </row>
    <row r="1964" spans="1:26" ht="12" hidden="1" thickBot="1" x14ac:dyDescent="0.25">
      <c r="A1964" s="567" t="s">
        <v>168</v>
      </c>
      <c r="B1964" s="644" t="s">
        <v>168</v>
      </c>
      <c r="C1964" s="645"/>
      <c r="D1964" s="422" t="s">
        <v>252</v>
      </c>
      <c r="E1964" s="423"/>
      <c r="F1964" s="424">
        <v>20</v>
      </c>
      <c r="G1964" s="425">
        <v>5.3189000000000002</v>
      </c>
      <c r="H1964" s="663">
        <f t="shared" si="494"/>
        <v>128.07911200000001</v>
      </c>
      <c r="I1964" s="420">
        <v>0</v>
      </c>
      <c r="J1964" s="420"/>
      <c r="K1964" s="421">
        <f t="shared" si="477"/>
        <v>0</v>
      </c>
      <c r="L1964" s="647"/>
      <c r="M1964" s="723"/>
      <c r="N1964" s="576">
        <f t="shared" si="487"/>
        <v>0</v>
      </c>
      <c r="O1964" s="577">
        <f t="shared" si="480"/>
        <v>0</v>
      </c>
      <c r="P1964" s="578">
        <f t="shared" si="481"/>
        <v>0</v>
      </c>
      <c r="Q1964" s="765"/>
      <c r="R1964" s="723"/>
      <c r="S1964" s="723"/>
      <c r="T1964" s="577">
        <f t="shared" si="478"/>
        <v>0</v>
      </c>
      <c r="U1964" s="578">
        <f t="shared" si="479"/>
        <v>0</v>
      </c>
      <c r="V1964" s="579"/>
      <c r="W1964" s="566" t="str">
        <f>IF(U1961&gt;0,"xx",IF(P1961&gt;0,"xy",""))</f>
        <v/>
      </c>
      <c r="X1964" s="586" t="str">
        <f t="shared" si="461"/>
        <v/>
      </c>
      <c r="Y1964" s="586" t="str">
        <f t="shared" si="431"/>
        <v/>
      </c>
      <c r="Z1964" s="586" t="str">
        <f t="shared" si="488"/>
        <v/>
      </c>
    </row>
    <row r="1965" spans="1:26" ht="12" hidden="1" thickBot="1" x14ac:dyDescent="0.25">
      <c r="A1965" s="567">
        <v>620900</v>
      </c>
      <c r="B1965" s="644">
        <v>620900</v>
      </c>
      <c r="C1965" s="645" t="s">
        <v>206</v>
      </c>
      <c r="D1965" s="422" t="s">
        <v>365</v>
      </c>
      <c r="E1965" s="423"/>
      <c r="F1965" s="424"/>
      <c r="G1965" s="425"/>
      <c r="H1965" s="651">
        <f>SUM(H1966:H1968)</f>
        <v>2010.6033520000003</v>
      </c>
      <c r="I1965" s="420">
        <v>5533.08</v>
      </c>
      <c r="J1965" s="420">
        <f>IF(ISBLANK(I1965),"",SUM(H1965:I1965))</f>
        <v>7543.683352</v>
      </c>
      <c r="K1965" s="421">
        <f t="shared" si="477"/>
        <v>8962.65</v>
      </c>
      <c r="L1965" s="647" t="s">
        <v>21</v>
      </c>
      <c r="M1965" s="576"/>
      <c r="N1965" s="576">
        <f t="shared" si="487"/>
        <v>0</v>
      </c>
      <c r="O1965" s="577">
        <f t="shared" si="480"/>
        <v>0</v>
      </c>
      <c r="P1965" s="578">
        <f t="shared" si="481"/>
        <v>0</v>
      </c>
      <c r="Q1965" s="765"/>
      <c r="R1965" s="576">
        <f>M1965</f>
        <v>0</v>
      </c>
      <c r="S1965" s="576">
        <f>N1965</f>
        <v>0</v>
      </c>
      <c r="T1965" s="577">
        <f t="shared" si="478"/>
        <v>0</v>
      </c>
      <c r="U1965" s="578">
        <f t="shared" si="479"/>
        <v>0</v>
      </c>
      <c r="V1965" s="579"/>
      <c r="W1965" s="566"/>
      <c r="X1965" s="586" t="str">
        <f t="shared" si="461"/>
        <v/>
      </c>
      <c r="Y1965" s="586" t="str">
        <f t="shared" si="431"/>
        <v/>
      </c>
      <c r="Z1965" s="586" t="str">
        <f t="shared" si="488"/>
        <v/>
      </c>
    </row>
    <row r="1966" spans="1:26" ht="12" hidden="1" thickBot="1" x14ac:dyDescent="0.25">
      <c r="A1966" s="567" t="s">
        <v>168</v>
      </c>
      <c r="B1966" s="644" t="s">
        <v>168</v>
      </c>
      <c r="C1966" s="645"/>
      <c r="D1966" s="422" t="s">
        <v>212</v>
      </c>
      <c r="E1966" s="423"/>
      <c r="F1966" s="424">
        <v>500</v>
      </c>
      <c r="G1966" s="425">
        <v>1.6104000000000001</v>
      </c>
      <c r="H1966" s="649">
        <f>IF(F1966&lt;=30,(0.78*F1966+7.82)*G1966,((0.78*30+7.82)+0.78*(F1966-30))*G1966)</f>
        <v>640.64932800000008</v>
      </c>
      <c r="I1966" s="420">
        <v>0</v>
      </c>
      <c r="J1966" s="420"/>
      <c r="K1966" s="421">
        <f t="shared" si="477"/>
        <v>0</v>
      </c>
      <c r="L1966" s="647"/>
      <c r="M1966" s="723"/>
      <c r="N1966" s="576">
        <f t="shared" si="487"/>
        <v>0</v>
      </c>
      <c r="O1966" s="577">
        <f t="shared" si="480"/>
        <v>0</v>
      </c>
      <c r="P1966" s="578">
        <f t="shared" si="481"/>
        <v>0</v>
      </c>
      <c r="Q1966" s="765"/>
      <c r="R1966" s="723"/>
      <c r="S1966" s="723"/>
      <c r="T1966" s="577">
        <f t="shared" si="478"/>
        <v>0</v>
      </c>
      <c r="U1966" s="578">
        <f t="shared" si="479"/>
        <v>0</v>
      </c>
      <c r="V1966" s="579"/>
      <c r="W1966" s="566" t="str">
        <f>IF(U1965&gt;0,"xx",IF(P1965&gt;0,"xy",""))</f>
        <v/>
      </c>
      <c r="X1966" s="586" t="str">
        <f t="shared" si="461"/>
        <v/>
      </c>
      <c r="Y1966" s="586" t="str">
        <f t="shared" si="431"/>
        <v/>
      </c>
      <c r="Z1966" s="586" t="str">
        <f t="shared" si="488"/>
        <v/>
      </c>
    </row>
    <row r="1967" spans="1:26" ht="12" hidden="1" thickBot="1" x14ac:dyDescent="0.25">
      <c r="A1967" s="567" t="s">
        <v>168</v>
      </c>
      <c r="B1967" s="644" t="s">
        <v>168</v>
      </c>
      <c r="C1967" s="645"/>
      <c r="D1967" s="422" t="s">
        <v>248</v>
      </c>
      <c r="E1967" s="423"/>
      <c r="F1967" s="424">
        <v>180</v>
      </c>
      <c r="G1967" s="425">
        <v>5.7260999999999997</v>
      </c>
      <c r="H1967" s="663">
        <f t="shared" ref="H1967:H1968" si="495">IF(F1967&lt;=30,(1.07*F1967+2.68)*G1967,((1.07*30+2.68)+1.07*(F1967-30))*G1967)</f>
        <v>1118.192808</v>
      </c>
      <c r="I1967" s="420">
        <v>0</v>
      </c>
      <c r="J1967" s="420"/>
      <c r="K1967" s="421">
        <f t="shared" si="477"/>
        <v>0</v>
      </c>
      <c r="L1967" s="647"/>
      <c r="M1967" s="723"/>
      <c r="N1967" s="576">
        <f t="shared" si="487"/>
        <v>0</v>
      </c>
      <c r="O1967" s="577">
        <f t="shared" si="480"/>
        <v>0</v>
      </c>
      <c r="P1967" s="578">
        <f t="shared" si="481"/>
        <v>0</v>
      </c>
      <c r="Q1967" s="765"/>
      <c r="R1967" s="723"/>
      <c r="S1967" s="723"/>
      <c r="T1967" s="577">
        <f t="shared" si="478"/>
        <v>0</v>
      </c>
      <c r="U1967" s="578">
        <f t="shared" si="479"/>
        <v>0</v>
      </c>
      <c r="V1967" s="579"/>
      <c r="W1967" s="566" t="str">
        <f>IF(U1965&gt;0,"xx",IF(P1965&gt;0,"xy",""))</f>
        <v/>
      </c>
      <c r="X1967" s="586" t="str">
        <f t="shared" si="461"/>
        <v/>
      </c>
      <c r="Y1967" s="586" t="str">
        <f t="shared" si="431"/>
        <v/>
      </c>
      <c r="Z1967" s="586" t="str">
        <f t="shared" si="488"/>
        <v/>
      </c>
    </row>
    <row r="1968" spans="1:26" ht="12" hidden="1" thickBot="1" x14ac:dyDescent="0.25">
      <c r="A1968" s="567" t="s">
        <v>168</v>
      </c>
      <c r="B1968" s="644" t="s">
        <v>168</v>
      </c>
      <c r="C1968" s="645"/>
      <c r="D1968" s="422" t="s">
        <v>252</v>
      </c>
      <c r="E1968" s="423"/>
      <c r="F1968" s="424">
        <v>20</v>
      </c>
      <c r="G1968" s="425">
        <v>10.4552</v>
      </c>
      <c r="H1968" s="663">
        <f t="shared" si="495"/>
        <v>251.76121600000002</v>
      </c>
      <c r="I1968" s="420">
        <v>0</v>
      </c>
      <c r="J1968" s="420"/>
      <c r="K1968" s="421">
        <f t="shared" si="477"/>
        <v>0</v>
      </c>
      <c r="L1968" s="647"/>
      <c r="M1968" s="723"/>
      <c r="N1968" s="576">
        <f t="shared" si="487"/>
        <v>0</v>
      </c>
      <c r="O1968" s="577">
        <f t="shared" si="480"/>
        <v>0</v>
      </c>
      <c r="P1968" s="578">
        <f t="shared" si="481"/>
        <v>0</v>
      </c>
      <c r="Q1968" s="765"/>
      <c r="R1968" s="723"/>
      <c r="S1968" s="723"/>
      <c r="T1968" s="577">
        <f t="shared" si="478"/>
        <v>0</v>
      </c>
      <c r="U1968" s="578">
        <f t="shared" si="479"/>
        <v>0</v>
      </c>
      <c r="V1968" s="579"/>
      <c r="W1968" s="566" t="str">
        <f>IF(U1965&gt;0,"xx",IF(P1965&gt;0,"xy",""))</f>
        <v/>
      </c>
      <c r="X1968" s="586" t="str">
        <f t="shared" si="461"/>
        <v/>
      </c>
      <c r="Y1968" s="586" t="str">
        <f t="shared" si="431"/>
        <v/>
      </c>
      <c r="Z1968" s="586" t="str">
        <f t="shared" si="488"/>
        <v/>
      </c>
    </row>
    <row r="1969" spans="1:26" ht="12" hidden="1" thickBot="1" x14ac:dyDescent="0.25">
      <c r="A1969" s="567">
        <v>621000</v>
      </c>
      <c r="B1969" s="644">
        <v>621000</v>
      </c>
      <c r="C1969" s="645" t="s">
        <v>206</v>
      </c>
      <c r="D1969" s="422" t="s">
        <v>366</v>
      </c>
      <c r="E1969" s="423"/>
      <c r="F1969" s="424"/>
      <c r="G1969" s="425"/>
      <c r="H1969" s="651">
        <f>SUM(H1970:H1972)</f>
        <v>3846.6164920000001</v>
      </c>
      <c r="I1969" s="420">
        <v>9821.8000000000011</v>
      </c>
      <c r="J1969" s="420">
        <f>IF(ISBLANK(I1969),"",SUM(H1969:I1969))</f>
        <v>13668.416492</v>
      </c>
      <c r="K1969" s="421">
        <f t="shared" si="477"/>
        <v>16239.45</v>
      </c>
      <c r="L1969" s="647" t="s">
        <v>21</v>
      </c>
      <c r="M1969" s="576"/>
      <c r="N1969" s="576">
        <f t="shared" si="487"/>
        <v>0</v>
      </c>
      <c r="O1969" s="577">
        <f t="shared" si="480"/>
        <v>0</v>
      </c>
      <c r="P1969" s="578">
        <f t="shared" si="481"/>
        <v>0</v>
      </c>
      <c r="Q1969" s="765"/>
      <c r="R1969" s="576">
        <f>M1969</f>
        <v>0</v>
      </c>
      <c r="S1969" s="576">
        <f>N1969</f>
        <v>0</v>
      </c>
      <c r="T1969" s="577">
        <f t="shared" si="478"/>
        <v>0</v>
      </c>
      <c r="U1969" s="578">
        <f t="shared" si="479"/>
        <v>0</v>
      </c>
      <c r="V1969" s="579"/>
      <c r="W1969" s="566"/>
      <c r="X1969" s="586" t="str">
        <f t="shared" si="461"/>
        <v/>
      </c>
      <c r="Y1969" s="586" t="str">
        <f t="shared" si="431"/>
        <v/>
      </c>
      <c r="Z1969" s="586" t="str">
        <f t="shared" si="488"/>
        <v/>
      </c>
    </row>
    <row r="1970" spans="1:26" ht="12" hidden="1" thickBot="1" x14ac:dyDescent="0.25">
      <c r="A1970" s="567" t="s">
        <v>168</v>
      </c>
      <c r="B1970" s="644" t="s">
        <v>168</v>
      </c>
      <c r="C1970" s="645"/>
      <c r="D1970" s="422" t="s">
        <v>212</v>
      </c>
      <c r="E1970" s="423"/>
      <c r="F1970" s="424">
        <v>500</v>
      </c>
      <c r="G1970" s="425">
        <v>3.081</v>
      </c>
      <c r="H1970" s="649">
        <f>IF(F1970&lt;=30,(0.78*F1970+7.82)*G1970,((0.78*30+7.82)+0.78*(F1970-30))*G1970)</f>
        <v>1225.6834200000001</v>
      </c>
      <c r="I1970" s="420">
        <v>0</v>
      </c>
      <c r="J1970" s="420"/>
      <c r="K1970" s="421">
        <f t="shared" si="477"/>
        <v>0</v>
      </c>
      <c r="L1970" s="647"/>
      <c r="M1970" s="723"/>
      <c r="N1970" s="576">
        <f t="shared" si="487"/>
        <v>0</v>
      </c>
      <c r="O1970" s="577">
        <f t="shared" si="480"/>
        <v>0</v>
      </c>
      <c r="P1970" s="578">
        <f t="shared" si="481"/>
        <v>0</v>
      </c>
      <c r="Q1970" s="765"/>
      <c r="R1970" s="723"/>
      <c r="S1970" s="723"/>
      <c r="T1970" s="577">
        <f t="shared" si="478"/>
        <v>0</v>
      </c>
      <c r="U1970" s="578">
        <f t="shared" si="479"/>
        <v>0</v>
      </c>
      <c r="V1970" s="579"/>
      <c r="W1970" s="566" t="str">
        <f>IF(U1969&gt;0,"xx",IF(P1969&gt;0,"xy",""))</f>
        <v/>
      </c>
      <c r="X1970" s="586" t="str">
        <f t="shared" ref="X1970:X2038" si="496">IF(W1970="X","x",IF(W1970="xx","x",IF(W1970="xy","x",IF(W1970="y","x",IF(OR(P1970&gt;0,U1970&gt;0),"x","")))))</f>
        <v/>
      </c>
      <c r="Y1970" s="586" t="str">
        <f t="shared" si="431"/>
        <v/>
      </c>
      <c r="Z1970" s="586" t="str">
        <f t="shared" si="488"/>
        <v/>
      </c>
    </row>
    <row r="1971" spans="1:26" ht="12" hidden="1" thickBot="1" x14ac:dyDescent="0.25">
      <c r="A1971" s="567" t="s">
        <v>168</v>
      </c>
      <c r="B1971" s="644" t="s">
        <v>168</v>
      </c>
      <c r="C1971" s="645"/>
      <c r="D1971" s="422" t="s">
        <v>248</v>
      </c>
      <c r="E1971" s="423"/>
      <c r="F1971" s="424">
        <v>180</v>
      </c>
      <c r="G1971" s="425">
        <v>10.9549</v>
      </c>
      <c r="H1971" s="663">
        <f t="shared" ref="H1971:H1972" si="497">IF(F1971&lt;=30,(1.07*F1971+2.68)*G1971,((1.07*30+2.68)+1.07*(F1971-30))*G1971)</f>
        <v>2139.272872</v>
      </c>
      <c r="I1971" s="420">
        <v>0</v>
      </c>
      <c r="J1971" s="420"/>
      <c r="K1971" s="421">
        <f t="shared" si="477"/>
        <v>0</v>
      </c>
      <c r="L1971" s="647"/>
      <c r="M1971" s="723"/>
      <c r="N1971" s="576">
        <f t="shared" si="487"/>
        <v>0</v>
      </c>
      <c r="O1971" s="577">
        <f t="shared" si="480"/>
        <v>0</v>
      </c>
      <c r="P1971" s="578">
        <f t="shared" si="481"/>
        <v>0</v>
      </c>
      <c r="Q1971" s="765"/>
      <c r="R1971" s="723"/>
      <c r="S1971" s="723"/>
      <c r="T1971" s="577">
        <f t="shared" si="478"/>
        <v>0</v>
      </c>
      <c r="U1971" s="578">
        <f t="shared" si="479"/>
        <v>0</v>
      </c>
      <c r="V1971" s="579"/>
      <c r="W1971" s="566" t="str">
        <f>IF(U1969&gt;0,"xx",IF(P1969&gt;0,"xy",""))</f>
        <v/>
      </c>
      <c r="X1971" s="586" t="str">
        <f t="shared" si="496"/>
        <v/>
      </c>
      <c r="Y1971" s="586" t="str">
        <f t="shared" si="431"/>
        <v/>
      </c>
      <c r="Z1971" s="586" t="str">
        <f t="shared" si="488"/>
        <v/>
      </c>
    </row>
    <row r="1972" spans="1:26" ht="12" hidden="1" thickBot="1" x14ac:dyDescent="0.25">
      <c r="A1972" s="567" t="s">
        <v>168</v>
      </c>
      <c r="B1972" s="644" t="s">
        <v>168</v>
      </c>
      <c r="C1972" s="645"/>
      <c r="D1972" s="422" t="s">
        <v>252</v>
      </c>
      <c r="E1972" s="423"/>
      <c r="F1972" s="424">
        <v>20</v>
      </c>
      <c r="G1972" s="425">
        <v>20.002500000000001</v>
      </c>
      <c r="H1972" s="663">
        <f t="shared" si="497"/>
        <v>481.66020000000009</v>
      </c>
      <c r="I1972" s="420">
        <v>0</v>
      </c>
      <c r="J1972" s="420"/>
      <c r="K1972" s="421">
        <f t="shared" si="477"/>
        <v>0</v>
      </c>
      <c r="L1972" s="647"/>
      <c r="M1972" s="723"/>
      <c r="N1972" s="576">
        <f t="shared" si="487"/>
        <v>0</v>
      </c>
      <c r="O1972" s="577">
        <f t="shared" si="480"/>
        <v>0</v>
      </c>
      <c r="P1972" s="578">
        <f t="shared" si="481"/>
        <v>0</v>
      </c>
      <c r="Q1972" s="765"/>
      <c r="R1972" s="723"/>
      <c r="S1972" s="723"/>
      <c r="T1972" s="577">
        <f t="shared" si="478"/>
        <v>0</v>
      </c>
      <c r="U1972" s="578">
        <f t="shared" si="479"/>
        <v>0</v>
      </c>
      <c r="V1972" s="579"/>
      <c r="W1972" s="566" t="str">
        <f>IF(U1969&gt;0,"xx",IF(P1969&gt;0,"xy",""))</f>
        <v/>
      </c>
      <c r="X1972" s="586" t="str">
        <f t="shared" si="496"/>
        <v/>
      </c>
      <c r="Y1972" s="586" t="str">
        <f t="shared" si="431"/>
        <v/>
      </c>
      <c r="Z1972" s="586" t="str">
        <f t="shared" si="488"/>
        <v/>
      </c>
    </row>
    <row r="1973" spans="1:26" ht="12" hidden="1" thickBot="1" x14ac:dyDescent="0.25">
      <c r="A1973" s="567">
        <v>620100</v>
      </c>
      <c r="B1973" s="644" t="s">
        <v>1664</v>
      </c>
      <c r="C1973" s="645" t="s">
        <v>206</v>
      </c>
      <c r="D1973" s="422" t="s">
        <v>367</v>
      </c>
      <c r="E1973" s="423"/>
      <c r="F1973" s="424"/>
      <c r="G1973" s="425"/>
      <c r="H1973" s="651">
        <f>SUM(H1974:H1976)</f>
        <v>468.02189600000008</v>
      </c>
      <c r="I1973" s="420">
        <v>1587.9896375507797</v>
      </c>
      <c r="J1973" s="420">
        <f>IF(ISBLANK(I1973),"",SUM(H1973:I1973))</f>
        <v>2056.0115335507799</v>
      </c>
      <c r="K1973" s="421">
        <f t="shared" si="477"/>
        <v>2442.75</v>
      </c>
      <c r="L1973" s="647" t="s">
        <v>21</v>
      </c>
      <c r="M1973" s="576"/>
      <c r="N1973" s="576">
        <f t="shared" si="487"/>
        <v>0</v>
      </c>
      <c r="O1973" s="577">
        <f t="shared" si="480"/>
        <v>0</v>
      </c>
      <c r="P1973" s="578">
        <f t="shared" si="481"/>
        <v>0</v>
      </c>
      <c r="Q1973" s="765"/>
      <c r="R1973" s="576">
        <f>M1973</f>
        <v>0</v>
      </c>
      <c r="S1973" s="576">
        <f>N1973</f>
        <v>0</v>
      </c>
      <c r="T1973" s="577">
        <f t="shared" si="478"/>
        <v>0</v>
      </c>
      <c r="U1973" s="578">
        <f t="shared" si="479"/>
        <v>0</v>
      </c>
      <c r="V1973" s="579"/>
      <c r="W1973" s="566"/>
      <c r="X1973" s="586" t="str">
        <f t="shared" si="496"/>
        <v/>
      </c>
      <c r="Y1973" s="586" t="str">
        <f t="shared" si="431"/>
        <v/>
      </c>
      <c r="Z1973" s="586" t="str">
        <f t="shared" si="488"/>
        <v/>
      </c>
    </row>
    <row r="1974" spans="1:26" ht="12" hidden="1" thickBot="1" x14ac:dyDescent="0.25">
      <c r="A1974" s="567" t="s">
        <v>168</v>
      </c>
      <c r="B1974" s="644" t="s">
        <v>168</v>
      </c>
      <c r="C1974" s="645"/>
      <c r="D1974" s="422" t="s">
        <v>212</v>
      </c>
      <c r="E1974" s="423"/>
      <c r="F1974" s="424">
        <v>500</v>
      </c>
      <c r="G1974" s="425">
        <v>0.37480000000000002</v>
      </c>
      <c r="H1974" s="649">
        <f>IF(F1974&lt;=30,(0.78*F1974+7.82)*G1974,((0.78*30+7.82)+0.78*(F1974-30))*G1974)</f>
        <v>149.10293600000003</v>
      </c>
      <c r="I1974" s="420">
        <v>0</v>
      </c>
      <c r="J1974" s="420"/>
      <c r="K1974" s="421">
        <f t="shared" si="477"/>
        <v>0</v>
      </c>
      <c r="L1974" s="647"/>
      <c r="M1974" s="723"/>
      <c r="N1974" s="576">
        <f t="shared" si="487"/>
        <v>0</v>
      </c>
      <c r="O1974" s="577">
        <f t="shared" si="480"/>
        <v>0</v>
      </c>
      <c r="P1974" s="578">
        <f t="shared" si="481"/>
        <v>0</v>
      </c>
      <c r="Q1974" s="765"/>
      <c r="R1974" s="723"/>
      <c r="S1974" s="723"/>
      <c r="T1974" s="577">
        <f t="shared" si="478"/>
        <v>0</v>
      </c>
      <c r="U1974" s="578">
        <f t="shared" si="479"/>
        <v>0</v>
      </c>
      <c r="V1974" s="579"/>
      <c r="W1974" s="566" t="str">
        <f>IF(U1973&gt;0,"xx",IF(P1973&gt;0,"xy",""))</f>
        <v/>
      </c>
      <c r="X1974" s="586" t="str">
        <f t="shared" si="496"/>
        <v/>
      </c>
      <c r="Y1974" s="586" t="str">
        <f t="shared" si="431"/>
        <v/>
      </c>
      <c r="Z1974" s="586" t="str">
        <f t="shared" si="488"/>
        <v/>
      </c>
    </row>
    <row r="1975" spans="1:26" ht="12" hidden="1" thickBot="1" x14ac:dyDescent="0.25">
      <c r="A1975" s="567" t="s">
        <v>168</v>
      </c>
      <c r="B1975" s="644" t="s">
        <v>168</v>
      </c>
      <c r="C1975" s="645"/>
      <c r="D1975" s="422" t="s">
        <v>248</v>
      </c>
      <c r="E1975" s="423"/>
      <c r="F1975" s="424">
        <v>180</v>
      </c>
      <c r="G1975" s="425">
        <v>1.333</v>
      </c>
      <c r="H1975" s="663">
        <f t="shared" ref="H1975:H1976" si="498">IF(F1975&lt;=30,(1.07*F1975+2.68)*G1975,((1.07*30+2.68)+1.07*(F1975-30))*G1975)</f>
        <v>260.30824000000001</v>
      </c>
      <c r="I1975" s="420">
        <v>0</v>
      </c>
      <c r="J1975" s="420"/>
      <c r="K1975" s="421">
        <f t="shared" si="477"/>
        <v>0</v>
      </c>
      <c r="L1975" s="647"/>
      <c r="M1975" s="723"/>
      <c r="N1975" s="576">
        <f t="shared" si="487"/>
        <v>0</v>
      </c>
      <c r="O1975" s="577">
        <f t="shared" si="480"/>
        <v>0</v>
      </c>
      <c r="P1975" s="578">
        <f t="shared" si="481"/>
        <v>0</v>
      </c>
      <c r="Q1975" s="765"/>
      <c r="R1975" s="723"/>
      <c r="S1975" s="723"/>
      <c r="T1975" s="577">
        <f t="shared" si="478"/>
        <v>0</v>
      </c>
      <c r="U1975" s="578">
        <f t="shared" si="479"/>
        <v>0</v>
      </c>
      <c r="V1975" s="579"/>
      <c r="W1975" s="566" t="str">
        <f>IF(U1973&gt;0,"xx",IF(P1973&gt;0,"xy",""))</f>
        <v/>
      </c>
      <c r="X1975" s="586" t="str">
        <f t="shared" si="496"/>
        <v/>
      </c>
      <c r="Y1975" s="586" t="str">
        <f t="shared" si="431"/>
        <v/>
      </c>
      <c r="Z1975" s="586" t="str">
        <f t="shared" si="488"/>
        <v/>
      </c>
    </row>
    <row r="1976" spans="1:26" ht="12" hidden="1" thickBot="1" x14ac:dyDescent="0.25">
      <c r="A1976" s="567" t="s">
        <v>168</v>
      </c>
      <c r="B1976" s="644" t="s">
        <v>168</v>
      </c>
      <c r="C1976" s="645"/>
      <c r="D1976" s="422" t="s">
        <v>252</v>
      </c>
      <c r="E1976" s="423"/>
      <c r="F1976" s="424">
        <v>20</v>
      </c>
      <c r="G1976" s="425">
        <v>2.4340000000000002</v>
      </c>
      <c r="H1976" s="663">
        <f t="shared" si="498"/>
        <v>58.610720000000008</v>
      </c>
      <c r="I1976" s="420">
        <v>0</v>
      </c>
      <c r="J1976" s="420"/>
      <c r="K1976" s="421">
        <f t="shared" si="477"/>
        <v>0</v>
      </c>
      <c r="L1976" s="647"/>
      <c r="M1976" s="723"/>
      <c r="N1976" s="576">
        <f t="shared" si="487"/>
        <v>0</v>
      </c>
      <c r="O1976" s="577">
        <f t="shared" si="480"/>
        <v>0</v>
      </c>
      <c r="P1976" s="578">
        <f t="shared" si="481"/>
        <v>0</v>
      </c>
      <c r="Q1976" s="765"/>
      <c r="R1976" s="723"/>
      <c r="S1976" s="723"/>
      <c r="T1976" s="577">
        <f t="shared" si="478"/>
        <v>0</v>
      </c>
      <c r="U1976" s="578">
        <f t="shared" si="479"/>
        <v>0</v>
      </c>
      <c r="V1976" s="579"/>
      <c r="W1976" s="566" t="str">
        <f>IF(U1973&gt;0,"xx",IF(P1973&gt;0,"xy",""))</f>
        <v/>
      </c>
      <c r="X1976" s="586" t="str">
        <f t="shared" si="496"/>
        <v/>
      </c>
      <c r="Y1976" s="586" t="str">
        <f t="shared" si="431"/>
        <v/>
      </c>
      <c r="Z1976" s="586" t="str">
        <f t="shared" si="488"/>
        <v/>
      </c>
    </row>
    <row r="1977" spans="1:26" ht="12" hidden="1" thickBot="1" x14ac:dyDescent="0.25">
      <c r="A1977" s="567">
        <v>620200</v>
      </c>
      <c r="B1977" s="644" t="s">
        <v>1667</v>
      </c>
      <c r="C1977" s="645" t="s">
        <v>206</v>
      </c>
      <c r="D1977" s="422" t="s">
        <v>368</v>
      </c>
      <c r="E1977" s="423"/>
      <c r="F1977" s="424"/>
      <c r="G1977" s="425">
        <v>0</v>
      </c>
      <c r="H1977" s="651">
        <f>SUM(H1978:H1980)</f>
        <v>678.65092800000014</v>
      </c>
      <c r="I1977" s="420">
        <v>2216.3489884477904</v>
      </c>
      <c r="J1977" s="420">
        <f>IF(ISBLANK(I1977),"",SUM(H1977:I1977))</f>
        <v>2894.9999164477904</v>
      </c>
      <c r="K1977" s="421">
        <f t="shared" si="477"/>
        <v>3439.55</v>
      </c>
      <c r="L1977" s="647" t="s">
        <v>21</v>
      </c>
      <c r="M1977" s="576"/>
      <c r="N1977" s="576">
        <f t="shared" si="487"/>
        <v>0</v>
      </c>
      <c r="O1977" s="577">
        <f t="shared" si="480"/>
        <v>0</v>
      </c>
      <c r="P1977" s="578">
        <f t="shared" si="481"/>
        <v>0</v>
      </c>
      <c r="Q1977" s="765"/>
      <c r="R1977" s="576">
        <f>M1977</f>
        <v>0</v>
      </c>
      <c r="S1977" s="576">
        <f>N1977</f>
        <v>0</v>
      </c>
      <c r="T1977" s="577">
        <f t="shared" si="478"/>
        <v>0</v>
      </c>
      <c r="U1977" s="578">
        <f t="shared" si="479"/>
        <v>0</v>
      </c>
      <c r="V1977" s="579"/>
      <c r="W1977" s="566"/>
      <c r="X1977" s="586" t="str">
        <f t="shared" si="496"/>
        <v/>
      </c>
      <c r="Y1977" s="586" t="str">
        <f t="shared" si="431"/>
        <v/>
      </c>
      <c r="Z1977" s="586" t="str">
        <f t="shared" si="488"/>
        <v/>
      </c>
    </row>
    <row r="1978" spans="1:26" ht="12" hidden="1" thickBot="1" x14ac:dyDescent="0.25">
      <c r="A1978" s="567" t="s">
        <v>168</v>
      </c>
      <c r="B1978" s="644" t="s">
        <v>168</v>
      </c>
      <c r="C1978" s="645"/>
      <c r="D1978" s="422" t="s">
        <v>212</v>
      </c>
      <c r="E1978" s="423"/>
      <c r="F1978" s="424">
        <v>500</v>
      </c>
      <c r="G1978" s="425">
        <v>0.54359999999999997</v>
      </c>
      <c r="H1978" s="649">
        <f>IF(F1978&lt;=30,(0.78*F1978+7.82)*G1978,((0.78*30+7.82)+0.78*(F1978-30))*G1978)</f>
        <v>216.254952</v>
      </c>
      <c r="I1978" s="420">
        <v>0</v>
      </c>
      <c r="J1978" s="420"/>
      <c r="K1978" s="421">
        <f t="shared" si="477"/>
        <v>0</v>
      </c>
      <c r="L1978" s="647"/>
      <c r="M1978" s="723"/>
      <c r="N1978" s="576">
        <f t="shared" si="487"/>
        <v>0</v>
      </c>
      <c r="O1978" s="577">
        <f t="shared" si="480"/>
        <v>0</v>
      </c>
      <c r="P1978" s="578">
        <f t="shared" si="481"/>
        <v>0</v>
      </c>
      <c r="Q1978" s="765"/>
      <c r="R1978" s="723"/>
      <c r="S1978" s="723"/>
      <c r="T1978" s="577">
        <f t="shared" si="478"/>
        <v>0</v>
      </c>
      <c r="U1978" s="578">
        <f t="shared" si="479"/>
        <v>0</v>
      </c>
      <c r="V1978" s="579"/>
      <c r="W1978" s="566" t="str">
        <f>IF(U1977&gt;0,"xx",IF(P1977&gt;0,"xy",""))</f>
        <v/>
      </c>
      <c r="X1978" s="586" t="str">
        <f t="shared" si="496"/>
        <v/>
      </c>
      <c r="Y1978" s="586" t="str">
        <f t="shared" si="431"/>
        <v/>
      </c>
      <c r="Z1978" s="586" t="str">
        <f t="shared" si="488"/>
        <v/>
      </c>
    </row>
    <row r="1979" spans="1:26" ht="12" hidden="1" thickBot="1" x14ac:dyDescent="0.25">
      <c r="A1979" s="567" t="s">
        <v>168</v>
      </c>
      <c r="B1979" s="644" t="s">
        <v>168</v>
      </c>
      <c r="C1979" s="645"/>
      <c r="D1979" s="422" t="s">
        <v>248</v>
      </c>
      <c r="E1979" s="423"/>
      <c r="F1979" s="424">
        <v>180</v>
      </c>
      <c r="G1979" s="425">
        <v>1.9327000000000001</v>
      </c>
      <c r="H1979" s="663">
        <f t="shared" ref="H1979:H1980" si="499">IF(F1979&lt;=30,(1.07*F1979+2.68)*G1979,((1.07*30+2.68)+1.07*(F1979-30))*G1979)</f>
        <v>377.41765600000002</v>
      </c>
      <c r="I1979" s="420">
        <v>0</v>
      </c>
      <c r="J1979" s="420"/>
      <c r="K1979" s="421">
        <f t="shared" si="477"/>
        <v>0</v>
      </c>
      <c r="L1979" s="647"/>
      <c r="M1979" s="723"/>
      <c r="N1979" s="576">
        <f t="shared" si="487"/>
        <v>0</v>
      </c>
      <c r="O1979" s="577">
        <f t="shared" si="480"/>
        <v>0</v>
      </c>
      <c r="P1979" s="578">
        <f t="shared" si="481"/>
        <v>0</v>
      </c>
      <c r="Q1979" s="765"/>
      <c r="R1979" s="723"/>
      <c r="S1979" s="723"/>
      <c r="T1979" s="577">
        <f t="shared" si="478"/>
        <v>0</v>
      </c>
      <c r="U1979" s="578">
        <f t="shared" si="479"/>
        <v>0</v>
      </c>
      <c r="V1979" s="579"/>
      <c r="W1979" s="566" t="str">
        <f>IF(U1977&gt;0,"xx",IF(P1977&gt;0,"xy",""))</f>
        <v/>
      </c>
      <c r="X1979" s="586" t="str">
        <f t="shared" si="496"/>
        <v/>
      </c>
      <c r="Y1979" s="586" t="str">
        <f t="shared" si="431"/>
        <v/>
      </c>
      <c r="Z1979" s="586" t="str">
        <f t="shared" si="488"/>
        <v/>
      </c>
    </row>
    <row r="1980" spans="1:26" ht="12" hidden="1" thickBot="1" x14ac:dyDescent="0.25">
      <c r="A1980" s="567" t="s">
        <v>168</v>
      </c>
      <c r="B1980" s="644" t="s">
        <v>168</v>
      </c>
      <c r="C1980" s="645"/>
      <c r="D1980" s="422" t="s">
        <v>252</v>
      </c>
      <c r="E1980" s="423"/>
      <c r="F1980" s="424">
        <v>20</v>
      </c>
      <c r="G1980" s="425">
        <v>3.5289999999999999</v>
      </c>
      <c r="H1980" s="663">
        <f t="shared" si="499"/>
        <v>84.978320000000011</v>
      </c>
      <c r="I1980" s="420">
        <v>0</v>
      </c>
      <c r="J1980" s="420"/>
      <c r="K1980" s="421">
        <f t="shared" si="477"/>
        <v>0</v>
      </c>
      <c r="L1980" s="647"/>
      <c r="M1980" s="723"/>
      <c r="N1980" s="576">
        <f t="shared" si="487"/>
        <v>0</v>
      </c>
      <c r="O1980" s="577">
        <f t="shared" si="480"/>
        <v>0</v>
      </c>
      <c r="P1980" s="578">
        <f t="shared" si="481"/>
        <v>0</v>
      </c>
      <c r="Q1980" s="765"/>
      <c r="R1980" s="723"/>
      <c r="S1980" s="723"/>
      <c r="T1980" s="577">
        <f t="shared" si="478"/>
        <v>0</v>
      </c>
      <c r="U1980" s="578">
        <f t="shared" si="479"/>
        <v>0</v>
      </c>
      <c r="V1980" s="579"/>
      <c r="W1980" s="566" t="str">
        <f>IF(U1977&gt;0,"xx",IF(P1977&gt;0,"xy",""))</f>
        <v/>
      </c>
      <c r="X1980" s="586" t="str">
        <f t="shared" si="496"/>
        <v/>
      </c>
      <c r="Y1980" s="586" t="str">
        <f t="shared" si="431"/>
        <v/>
      </c>
      <c r="Z1980" s="586" t="str">
        <f t="shared" si="488"/>
        <v/>
      </c>
    </row>
    <row r="1981" spans="1:26" ht="12" hidden="1" thickBot="1" x14ac:dyDescent="0.25">
      <c r="A1981" s="567">
        <v>621100</v>
      </c>
      <c r="B1981" s="644">
        <v>621100</v>
      </c>
      <c r="C1981" s="645" t="s">
        <v>206</v>
      </c>
      <c r="D1981" s="422" t="s">
        <v>369</v>
      </c>
      <c r="E1981" s="423"/>
      <c r="F1981" s="424"/>
      <c r="G1981" s="425"/>
      <c r="H1981" s="651">
        <f>SUM(H1982:H1984)</f>
        <v>1018.392814</v>
      </c>
      <c r="I1981" s="420">
        <v>3160.98</v>
      </c>
      <c r="J1981" s="420">
        <f>IF(ISBLANK(I1981),"",SUM(H1981:I1981))</f>
        <v>4179.3728140000003</v>
      </c>
      <c r="K1981" s="421">
        <f t="shared" si="477"/>
        <v>4965.51</v>
      </c>
      <c r="L1981" s="647" t="s">
        <v>21</v>
      </c>
      <c r="M1981" s="576"/>
      <c r="N1981" s="576">
        <f t="shared" si="487"/>
        <v>0</v>
      </c>
      <c r="O1981" s="577">
        <f t="shared" si="480"/>
        <v>0</v>
      </c>
      <c r="P1981" s="578">
        <f t="shared" si="481"/>
        <v>0</v>
      </c>
      <c r="Q1981" s="765"/>
      <c r="R1981" s="576">
        <f>M1981</f>
        <v>0</v>
      </c>
      <c r="S1981" s="576">
        <f>N1981</f>
        <v>0</v>
      </c>
      <c r="T1981" s="577">
        <f t="shared" si="478"/>
        <v>0</v>
      </c>
      <c r="U1981" s="578">
        <f t="shared" si="479"/>
        <v>0</v>
      </c>
      <c r="V1981" s="579"/>
      <c r="W1981" s="566"/>
      <c r="X1981" s="586" t="str">
        <f t="shared" si="496"/>
        <v/>
      </c>
      <c r="Y1981" s="586" t="str">
        <f t="shared" si="431"/>
        <v/>
      </c>
      <c r="Z1981" s="586" t="str">
        <f t="shared" si="488"/>
        <v/>
      </c>
    </row>
    <row r="1982" spans="1:26" ht="12" hidden="1" thickBot="1" x14ac:dyDescent="0.25">
      <c r="A1982" s="567" t="s">
        <v>168</v>
      </c>
      <c r="B1982" s="644" t="s">
        <v>168</v>
      </c>
      <c r="C1982" s="645"/>
      <c r="D1982" s="422" t="s">
        <v>212</v>
      </c>
      <c r="E1982" s="423"/>
      <c r="F1982" s="424">
        <v>500</v>
      </c>
      <c r="G1982" s="425">
        <v>0.81569999999999998</v>
      </c>
      <c r="H1982" s="649">
        <f>IF(F1982&lt;=30,(0.78*F1982+7.82)*G1982,((0.78*30+7.82)+0.78*(F1982-30))*G1982)</f>
        <v>324.50177400000001</v>
      </c>
      <c r="I1982" s="420">
        <v>0</v>
      </c>
      <c r="J1982" s="420"/>
      <c r="K1982" s="421">
        <f t="shared" si="477"/>
        <v>0</v>
      </c>
      <c r="L1982" s="647"/>
      <c r="M1982" s="723"/>
      <c r="N1982" s="576">
        <f t="shared" si="487"/>
        <v>0</v>
      </c>
      <c r="O1982" s="577">
        <f t="shared" si="480"/>
        <v>0</v>
      </c>
      <c r="P1982" s="578">
        <f t="shared" si="481"/>
        <v>0</v>
      </c>
      <c r="Q1982" s="765"/>
      <c r="R1982" s="723"/>
      <c r="S1982" s="723"/>
      <c r="T1982" s="577">
        <f t="shared" si="478"/>
        <v>0</v>
      </c>
      <c r="U1982" s="578">
        <f t="shared" si="479"/>
        <v>0</v>
      </c>
      <c r="V1982" s="579"/>
      <c r="W1982" s="566" t="str">
        <f>IF(U1981&gt;0,"xx",IF(P1981&gt;0,"xy",""))</f>
        <v/>
      </c>
      <c r="X1982" s="586" t="str">
        <f t="shared" si="496"/>
        <v/>
      </c>
      <c r="Y1982" s="586" t="str">
        <f t="shared" si="431"/>
        <v/>
      </c>
      <c r="Z1982" s="586" t="str">
        <f t="shared" si="488"/>
        <v/>
      </c>
    </row>
    <row r="1983" spans="1:26" ht="12" hidden="1" thickBot="1" x14ac:dyDescent="0.25">
      <c r="A1983" s="567" t="s">
        <v>168</v>
      </c>
      <c r="B1983" s="644" t="s">
        <v>168</v>
      </c>
      <c r="C1983" s="645"/>
      <c r="D1983" s="422" t="s">
        <v>248</v>
      </c>
      <c r="E1983" s="423"/>
      <c r="F1983" s="424">
        <v>180</v>
      </c>
      <c r="G1983" s="425">
        <v>2.9003000000000001</v>
      </c>
      <c r="H1983" s="663">
        <f t="shared" ref="H1983:H1984" si="500">IF(F1983&lt;=30,(1.07*F1983+2.68)*G1983,((1.07*30+2.68)+1.07*(F1983-30))*G1983)</f>
        <v>566.37058400000001</v>
      </c>
      <c r="I1983" s="420">
        <v>0</v>
      </c>
      <c r="J1983" s="420"/>
      <c r="K1983" s="421">
        <f t="shared" si="477"/>
        <v>0</v>
      </c>
      <c r="L1983" s="647"/>
      <c r="M1983" s="723"/>
      <c r="N1983" s="576">
        <f t="shared" si="487"/>
        <v>0</v>
      </c>
      <c r="O1983" s="577">
        <f t="shared" si="480"/>
        <v>0</v>
      </c>
      <c r="P1983" s="578">
        <f t="shared" si="481"/>
        <v>0</v>
      </c>
      <c r="Q1983" s="765"/>
      <c r="R1983" s="723"/>
      <c r="S1983" s="723"/>
      <c r="T1983" s="577">
        <f t="shared" si="478"/>
        <v>0</v>
      </c>
      <c r="U1983" s="578">
        <f t="shared" si="479"/>
        <v>0</v>
      </c>
      <c r="V1983" s="579"/>
      <c r="W1983" s="566" t="str">
        <f>IF(U1981&gt;0,"xx",IF(P1981&gt;0,"xy",""))</f>
        <v/>
      </c>
      <c r="X1983" s="586" t="str">
        <f t="shared" si="496"/>
        <v/>
      </c>
      <c r="Y1983" s="586" t="str">
        <f t="shared" si="431"/>
        <v/>
      </c>
      <c r="Z1983" s="586" t="str">
        <f t="shared" si="488"/>
        <v/>
      </c>
    </row>
    <row r="1984" spans="1:26" ht="12" hidden="1" thickBot="1" x14ac:dyDescent="0.25">
      <c r="A1984" s="567" t="s">
        <v>168</v>
      </c>
      <c r="B1984" s="644" t="s">
        <v>168</v>
      </c>
      <c r="C1984" s="645"/>
      <c r="D1984" s="422" t="s">
        <v>252</v>
      </c>
      <c r="E1984" s="423"/>
      <c r="F1984" s="424">
        <v>20</v>
      </c>
      <c r="G1984" s="425">
        <v>5.2957000000000001</v>
      </c>
      <c r="H1984" s="663">
        <f t="shared" si="500"/>
        <v>127.52045600000001</v>
      </c>
      <c r="I1984" s="420">
        <v>0</v>
      </c>
      <c r="J1984" s="420"/>
      <c r="K1984" s="421">
        <f t="shared" ref="K1984:K2047" si="501">IF(ISBLANK(I1984),0,ROUND(J1984*(1+$F$10)*(1+$F$11*E1984),2))</f>
        <v>0</v>
      </c>
      <c r="L1984" s="647"/>
      <c r="M1984" s="723"/>
      <c r="N1984" s="576">
        <f t="shared" si="487"/>
        <v>0</v>
      </c>
      <c r="O1984" s="577">
        <f t="shared" si="480"/>
        <v>0</v>
      </c>
      <c r="P1984" s="578">
        <f t="shared" si="481"/>
        <v>0</v>
      </c>
      <c r="Q1984" s="765"/>
      <c r="R1984" s="723"/>
      <c r="S1984" s="723"/>
      <c r="T1984" s="577">
        <f t="shared" ref="T1984:T2047" si="502">IF(ISBLANK(R1984),0,ROUND(K1984*R1984,2))</f>
        <v>0</v>
      </c>
      <c r="U1984" s="578">
        <f t="shared" ref="U1984:U2047" si="503">IF(ISBLANK(R1984),0,ROUND(R1984*S1984,2))</f>
        <v>0</v>
      </c>
      <c r="V1984" s="579"/>
      <c r="W1984" s="566" t="str">
        <f>IF(U1981&gt;0,"xx",IF(P1981&gt;0,"xy",""))</f>
        <v/>
      </c>
      <c r="X1984" s="586" t="str">
        <f t="shared" si="496"/>
        <v/>
      </c>
      <c r="Y1984" s="586" t="str">
        <f t="shared" si="431"/>
        <v/>
      </c>
      <c r="Z1984" s="586" t="str">
        <f t="shared" si="488"/>
        <v/>
      </c>
    </row>
    <row r="1985" spans="1:26" ht="12" hidden="1" thickBot="1" x14ac:dyDescent="0.25">
      <c r="A1985" s="567">
        <v>621200</v>
      </c>
      <c r="B1985" s="644">
        <v>621200</v>
      </c>
      <c r="C1985" s="645" t="s">
        <v>206</v>
      </c>
      <c r="D1985" s="422" t="s">
        <v>370</v>
      </c>
      <c r="E1985" s="423"/>
      <c r="F1985" s="424"/>
      <c r="G1985" s="425"/>
      <c r="H1985" s="651">
        <f>SUM(H1986:H1988)</f>
        <v>1320.1778119999999</v>
      </c>
      <c r="I1985" s="420">
        <v>4005.68</v>
      </c>
      <c r="J1985" s="420">
        <f>IF(ISBLANK(I1985),"",SUM(H1985:I1985))</f>
        <v>5325.8578120000002</v>
      </c>
      <c r="K1985" s="421">
        <f t="shared" si="501"/>
        <v>6327.65</v>
      </c>
      <c r="L1985" s="647" t="s">
        <v>21</v>
      </c>
      <c r="M1985" s="576"/>
      <c r="N1985" s="576">
        <f t="shared" si="487"/>
        <v>0</v>
      </c>
      <c r="O1985" s="577">
        <f t="shared" ref="O1985:O2048" si="504">IF(ISBLANK(M1985),0,ROUND(K1985*M1985,2))</f>
        <v>0</v>
      </c>
      <c r="P1985" s="578">
        <f t="shared" ref="P1985:P2048" si="505">IF(ISBLANK(N1985),0,ROUND(M1985*N1985,2))</f>
        <v>0</v>
      </c>
      <c r="Q1985" s="765"/>
      <c r="R1985" s="576">
        <f>M1985</f>
        <v>0</v>
      </c>
      <c r="S1985" s="576">
        <f>N1985</f>
        <v>0</v>
      </c>
      <c r="T1985" s="577">
        <f t="shared" si="502"/>
        <v>0</v>
      </c>
      <c r="U1985" s="578">
        <f t="shared" si="503"/>
        <v>0</v>
      </c>
      <c r="V1985" s="579"/>
      <c r="W1985" s="566"/>
      <c r="X1985" s="586" t="str">
        <f t="shared" si="496"/>
        <v/>
      </c>
      <c r="Y1985" s="586" t="str">
        <f t="shared" si="431"/>
        <v/>
      </c>
      <c r="Z1985" s="586" t="str">
        <f t="shared" si="488"/>
        <v/>
      </c>
    </row>
    <row r="1986" spans="1:26" ht="12" hidden="1" thickBot="1" x14ac:dyDescent="0.25">
      <c r="A1986" s="567" t="s">
        <v>168</v>
      </c>
      <c r="B1986" s="644" t="s">
        <v>168</v>
      </c>
      <c r="C1986" s="645"/>
      <c r="D1986" s="422" t="s">
        <v>212</v>
      </c>
      <c r="E1986" s="423"/>
      <c r="F1986" s="424">
        <v>500</v>
      </c>
      <c r="G1986" s="425">
        <v>1.0573999999999999</v>
      </c>
      <c r="H1986" s="649">
        <f>IF(F1986&lt;=30,(0.78*F1986+7.82)*G1986,((0.78*30+7.82)+0.78*(F1986-30))*G1986)</f>
        <v>420.65486800000002</v>
      </c>
      <c r="I1986" s="420">
        <v>0</v>
      </c>
      <c r="J1986" s="420"/>
      <c r="K1986" s="421">
        <f t="shared" si="501"/>
        <v>0</v>
      </c>
      <c r="L1986" s="647"/>
      <c r="M1986" s="723"/>
      <c r="N1986" s="576">
        <f t="shared" si="487"/>
        <v>0</v>
      </c>
      <c r="O1986" s="577">
        <f t="shared" si="504"/>
        <v>0</v>
      </c>
      <c r="P1986" s="578">
        <f t="shared" si="505"/>
        <v>0</v>
      </c>
      <c r="Q1986" s="765"/>
      <c r="R1986" s="723"/>
      <c r="S1986" s="723"/>
      <c r="T1986" s="577">
        <f t="shared" si="502"/>
        <v>0</v>
      </c>
      <c r="U1986" s="578">
        <f t="shared" si="503"/>
        <v>0</v>
      </c>
      <c r="V1986" s="579"/>
      <c r="W1986" s="566" t="str">
        <f>IF(U1985&gt;0,"xx",IF(P1985&gt;0,"xy",""))</f>
        <v/>
      </c>
      <c r="X1986" s="586" t="str">
        <f t="shared" si="496"/>
        <v/>
      </c>
      <c r="Y1986" s="586" t="str">
        <f t="shared" si="431"/>
        <v/>
      </c>
      <c r="Z1986" s="586" t="str">
        <f t="shared" si="488"/>
        <v/>
      </c>
    </row>
    <row r="1987" spans="1:26" ht="12" hidden="1" thickBot="1" x14ac:dyDescent="0.25">
      <c r="A1987" s="567" t="s">
        <v>168</v>
      </c>
      <c r="B1987" s="644" t="s">
        <v>168</v>
      </c>
      <c r="C1987" s="645"/>
      <c r="D1987" s="422" t="s">
        <v>248</v>
      </c>
      <c r="E1987" s="423"/>
      <c r="F1987" s="424">
        <v>180</v>
      </c>
      <c r="G1987" s="425">
        <v>3.7597999999999998</v>
      </c>
      <c r="H1987" s="663">
        <f t="shared" ref="H1987:H1988" si="506">IF(F1987&lt;=30,(1.07*F1987+2.68)*G1987,((1.07*30+2.68)+1.07*(F1987-30))*G1987)</f>
        <v>734.21374400000002</v>
      </c>
      <c r="I1987" s="420">
        <v>0</v>
      </c>
      <c r="J1987" s="420"/>
      <c r="K1987" s="421">
        <f t="shared" si="501"/>
        <v>0</v>
      </c>
      <c r="L1987" s="647"/>
      <c r="M1987" s="723"/>
      <c r="N1987" s="576">
        <f t="shared" si="487"/>
        <v>0</v>
      </c>
      <c r="O1987" s="577">
        <f t="shared" si="504"/>
        <v>0</v>
      </c>
      <c r="P1987" s="578">
        <f t="shared" si="505"/>
        <v>0</v>
      </c>
      <c r="Q1987" s="765"/>
      <c r="R1987" s="723"/>
      <c r="S1987" s="723"/>
      <c r="T1987" s="577">
        <f t="shared" si="502"/>
        <v>0</v>
      </c>
      <c r="U1987" s="578">
        <f t="shared" si="503"/>
        <v>0</v>
      </c>
      <c r="V1987" s="579"/>
      <c r="W1987" s="566" t="str">
        <f>IF(U1985&gt;0,"xx",IF(P1985&gt;0,"xy",""))</f>
        <v/>
      </c>
      <c r="X1987" s="586" t="str">
        <f t="shared" si="496"/>
        <v/>
      </c>
      <c r="Y1987" s="586" t="str">
        <f t="shared" si="431"/>
        <v/>
      </c>
      <c r="Z1987" s="586" t="str">
        <f t="shared" si="488"/>
        <v/>
      </c>
    </row>
    <row r="1988" spans="1:26" ht="12" hidden="1" thickBot="1" x14ac:dyDescent="0.25">
      <c r="A1988" s="567" t="s">
        <v>168</v>
      </c>
      <c r="B1988" s="644" t="s">
        <v>168</v>
      </c>
      <c r="C1988" s="645"/>
      <c r="D1988" s="422" t="s">
        <v>252</v>
      </c>
      <c r="E1988" s="423"/>
      <c r="F1988" s="424">
        <v>20</v>
      </c>
      <c r="G1988" s="425">
        <v>6.8650000000000002</v>
      </c>
      <c r="H1988" s="663">
        <f t="shared" si="506"/>
        <v>165.3092</v>
      </c>
      <c r="I1988" s="420">
        <v>0</v>
      </c>
      <c r="J1988" s="420"/>
      <c r="K1988" s="421">
        <f t="shared" si="501"/>
        <v>0</v>
      </c>
      <c r="L1988" s="647"/>
      <c r="M1988" s="723"/>
      <c r="N1988" s="576">
        <f t="shared" si="487"/>
        <v>0</v>
      </c>
      <c r="O1988" s="577">
        <f t="shared" si="504"/>
        <v>0</v>
      </c>
      <c r="P1988" s="578">
        <f t="shared" si="505"/>
        <v>0</v>
      </c>
      <c r="Q1988" s="765"/>
      <c r="R1988" s="723"/>
      <c r="S1988" s="723"/>
      <c r="T1988" s="577">
        <f t="shared" si="502"/>
        <v>0</v>
      </c>
      <c r="U1988" s="578">
        <f t="shared" si="503"/>
        <v>0</v>
      </c>
      <c r="V1988" s="579"/>
      <c r="W1988" s="566" t="str">
        <f>IF(U1985&gt;0,"xx",IF(P1985&gt;0,"xy",""))</f>
        <v/>
      </c>
      <c r="X1988" s="586" t="str">
        <f t="shared" si="496"/>
        <v/>
      </c>
      <c r="Y1988" s="586" t="str">
        <f t="shared" si="431"/>
        <v/>
      </c>
      <c r="Z1988" s="586" t="str">
        <f t="shared" si="488"/>
        <v/>
      </c>
    </row>
    <row r="1989" spans="1:26" ht="12" hidden="1" thickBot="1" x14ac:dyDescent="0.25">
      <c r="A1989" s="567">
        <v>621300</v>
      </c>
      <c r="B1989" s="644">
        <v>621300</v>
      </c>
      <c r="C1989" s="645" t="s">
        <v>206</v>
      </c>
      <c r="D1989" s="422" t="s">
        <v>371</v>
      </c>
      <c r="E1989" s="423"/>
      <c r="F1989" s="424"/>
      <c r="G1989" s="425"/>
      <c r="H1989" s="651">
        <f>SUM(H1990:H1992)</f>
        <v>2565.1334440000001</v>
      </c>
      <c r="I1989" s="420">
        <v>6969.67</v>
      </c>
      <c r="J1989" s="420">
        <f>IF(ISBLANK(I1989),"",SUM(H1989:I1989))</f>
        <v>9534.803444000001</v>
      </c>
      <c r="K1989" s="421">
        <f t="shared" si="501"/>
        <v>11328.3</v>
      </c>
      <c r="L1989" s="647" t="s">
        <v>21</v>
      </c>
      <c r="M1989" s="576"/>
      <c r="N1989" s="576">
        <f t="shared" si="487"/>
        <v>0</v>
      </c>
      <c r="O1989" s="577">
        <f t="shared" si="504"/>
        <v>0</v>
      </c>
      <c r="P1989" s="578">
        <f t="shared" si="505"/>
        <v>0</v>
      </c>
      <c r="Q1989" s="765"/>
      <c r="R1989" s="576">
        <f>M1989</f>
        <v>0</v>
      </c>
      <c r="S1989" s="576">
        <f>N1989</f>
        <v>0</v>
      </c>
      <c r="T1989" s="577">
        <f t="shared" si="502"/>
        <v>0</v>
      </c>
      <c r="U1989" s="578">
        <f t="shared" si="503"/>
        <v>0</v>
      </c>
      <c r="V1989" s="579"/>
      <c r="W1989" s="566"/>
      <c r="X1989" s="586" t="str">
        <f t="shared" si="496"/>
        <v/>
      </c>
      <c r="Y1989" s="586" t="str">
        <f t="shared" si="431"/>
        <v/>
      </c>
      <c r="Z1989" s="586" t="str">
        <f t="shared" si="488"/>
        <v/>
      </c>
    </row>
    <row r="1990" spans="1:26" ht="12" hidden="1" thickBot="1" x14ac:dyDescent="0.25">
      <c r="A1990" s="567" t="s">
        <v>168</v>
      </c>
      <c r="B1990" s="644" t="s">
        <v>168</v>
      </c>
      <c r="C1990" s="645"/>
      <c r="D1990" s="422" t="s">
        <v>212</v>
      </c>
      <c r="E1990" s="423"/>
      <c r="F1990" s="424">
        <v>500</v>
      </c>
      <c r="G1990" s="425">
        <v>2.0546000000000002</v>
      </c>
      <c r="H1990" s="649">
        <f>IF(F1990&lt;=30,(0.78*F1990+7.82)*G1990,((0.78*30+7.82)+0.78*(F1990-30))*G1990)</f>
        <v>817.36097200000017</v>
      </c>
      <c r="I1990" s="420">
        <v>0</v>
      </c>
      <c r="J1990" s="420"/>
      <c r="K1990" s="421">
        <f t="shared" si="501"/>
        <v>0</v>
      </c>
      <c r="L1990" s="647"/>
      <c r="M1990" s="723"/>
      <c r="N1990" s="576">
        <f t="shared" si="487"/>
        <v>0</v>
      </c>
      <c r="O1990" s="577">
        <f t="shared" si="504"/>
        <v>0</v>
      </c>
      <c r="P1990" s="578">
        <f t="shared" si="505"/>
        <v>0</v>
      </c>
      <c r="Q1990" s="765"/>
      <c r="R1990" s="723"/>
      <c r="S1990" s="723"/>
      <c r="T1990" s="577">
        <f t="shared" si="502"/>
        <v>0</v>
      </c>
      <c r="U1990" s="578">
        <f t="shared" si="503"/>
        <v>0</v>
      </c>
      <c r="V1990" s="579"/>
      <c r="W1990" s="566" t="str">
        <f>IF(U1989&gt;0,"xx",IF(P1989&gt;0,"xy",""))</f>
        <v/>
      </c>
      <c r="X1990" s="586" t="str">
        <f t="shared" si="496"/>
        <v/>
      </c>
      <c r="Y1990" s="586" t="str">
        <f t="shared" si="431"/>
        <v/>
      </c>
      <c r="Z1990" s="586" t="str">
        <f t="shared" si="488"/>
        <v/>
      </c>
    </row>
    <row r="1991" spans="1:26" ht="12" hidden="1" thickBot="1" x14ac:dyDescent="0.25">
      <c r="A1991" s="567" t="s">
        <v>168</v>
      </c>
      <c r="B1991" s="644" t="s">
        <v>168</v>
      </c>
      <c r="C1991" s="645"/>
      <c r="D1991" s="422" t="s">
        <v>248</v>
      </c>
      <c r="E1991" s="423"/>
      <c r="F1991" s="424">
        <v>180</v>
      </c>
      <c r="G1991" s="425">
        <v>7.3052999999999999</v>
      </c>
      <c r="H1991" s="663">
        <f t="shared" ref="H1991:H1992" si="507">IF(F1991&lt;=30,(1.07*F1991+2.68)*G1991,((1.07*30+2.68)+1.07*(F1991-30))*G1991)</f>
        <v>1426.578984</v>
      </c>
      <c r="I1991" s="420">
        <v>0</v>
      </c>
      <c r="J1991" s="420"/>
      <c r="K1991" s="421">
        <f t="shared" si="501"/>
        <v>0</v>
      </c>
      <c r="L1991" s="647"/>
      <c r="M1991" s="723"/>
      <c r="N1991" s="576">
        <f t="shared" si="487"/>
        <v>0</v>
      </c>
      <c r="O1991" s="577">
        <f t="shared" si="504"/>
        <v>0</v>
      </c>
      <c r="P1991" s="578">
        <f t="shared" si="505"/>
        <v>0</v>
      </c>
      <c r="Q1991" s="765"/>
      <c r="R1991" s="723"/>
      <c r="S1991" s="723"/>
      <c r="T1991" s="577">
        <f t="shared" si="502"/>
        <v>0</v>
      </c>
      <c r="U1991" s="578">
        <f t="shared" si="503"/>
        <v>0</v>
      </c>
      <c r="V1991" s="579"/>
      <c r="W1991" s="566" t="str">
        <f>IF(U1989&gt;0,"xx",IF(P1989&gt;0,"xy",""))</f>
        <v/>
      </c>
      <c r="X1991" s="586" t="str">
        <f t="shared" si="496"/>
        <v/>
      </c>
      <c r="Y1991" s="586" t="str">
        <f t="shared" si="431"/>
        <v/>
      </c>
      <c r="Z1991" s="586" t="str">
        <f t="shared" si="488"/>
        <v/>
      </c>
    </row>
    <row r="1992" spans="1:26" ht="12" hidden="1" thickBot="1" x14ac:dyDescent="0.25">
      <c r="A1992" s="567" t="s">
        <v>168</v>
      </c>
      <c r="B1992" s="644" t="s">
        <v>168</v>
      </c>
      <c r="C1992" s="645"/>
      <c r="D1992" s="422" t="s">
        <v>252</v>
      </c>
      <c r="E1992" s="423"/>
      <c r="F1992" s="424">
        <v>20</v>
      </c>
      <c r="G1992" s="425">
        <v>13.3386</v>
      </c>
      <c r="H1992" s="663">
        <f t="shared" si="507"/>
        <v>321.193488</v>
      </c>
      <c r="I1992" s="420">
        <v>0</v>
      </c>
      <c r="J1992" s="420"/>
      <c r="K1992" s="421">
        <f t="shared" si="501"/>
        <v>0</v>
      </c>
      <c r="L1992" s="647"/>
      <c r="M1992" s="723"/>
      <c r="N1992" s="576">
        <f t="shared" si="487"/>
        <v>0</v>
      </c>
      <c r="O1992" s="577">
        <f t="shared" si="504"/>
        <v>0</v>
      </c>
      <c r="P1992" s="578">
        <f t="shared" si="505"/>
        <v>0</v>
      </c>
      <c r="Q1992" s="765"/>
      <c r="R1992" s="723"/>
      <c r="S1992" s="723"/>
      <c r="T1992" s="577">
        <f t="shared" si="502"/>
        <v>0</v>
      </c>
      <c r="U1992" s="578">
        <f t="shared" si="503"/>
        <v>0</v>
      </c>
      <c r="V1992" s="579"/>
      <c r="W1992" s="566" t="str">
        <f>IF(U1989&gt;0,"xx",IF(P1989&gt;0,"xy",""))</f>
        <v/>
      </c>
      <c r="X1992" s="586" t="str">
        <f t="shared" si="496"/>
        <v/>
      </c>
      <c r="Y1992" s="586" t="str">
        <f t="shared" si="431"/>
        <v/>
      </c>
      <c r="Z1992" s="586" t="str">
        <f t="shared" si="488"/>
        <v/>
      </c>
    </row>
    <row r="1993" spans="1:26" ht="12" hidden="1" thickBot="1" x14ac:dyDescent="0.25">
      <c r="A1993" s="567">
        <v>621400</v>
      </c>
      <c r="B1993" s="644">
        <v>621400</v>
      </c>
      <c r="C1993" s="645" t="s">
        <v>206</v>
      </c>
      <c r="D1993" s="422" t="s">
        <v>372</v>
      </c>
      <c r="E1993" s="423"/>
      <c r="F1993" s="424"/>
      <c r="G1993" s="425"/>
      <c r="H1993" s="651">
        <f>SUM(H1994:H1996)</f>
        <v>4891.4586740000004</v>
      </c>
      <c r="I1993" s="420">
        <v>12328.35</v>
      </c>
      <c r="J1993" s="420">
        <f>IF(ISBLANK(I1993),"",SUM(H1993:I1993))</f>
        <v>17219.808674</v>
      </c>
      <c r="K1993" s="421">
        <f t="shared" si="501"/>
        <v>20458.849999999999</v>
      </c>
      <c r="L1993" s="647" t="s">
        <v>21</v>
      </c>
      <c r="M1993" s="576"/>
      <c r="N1993" s="576">
        <f t="shared" si="487"/>
        <v>0</v>
      </c>
      <c r="O1993" s="577">
        <f t="shared" si="504"/>
        <v>0</v>
      </c>
      <c r="P1993" s="578">
        <f t="shared" si="505"/>
        <v>0</v>
      </c>
      <c r="Q1993" s="765"/>
      <c r="R1993" s="576">
        <f>M1993</f>
        <v>0</v>
      </c>
      <c r="S1993" s="576">
        <f>N1993</f>
        <v>0</v>
      </c>
      <c r="T1993" s="577">
        <f t="shared" si="502"/>
        <v>0</v>
      </c>
      <c r="U1993" s="578">
        <f t="shared" si="503"/>
        <v>0</v>
      </c>
      <c r="V1993" s="579"/>
      <c r="W1993" s="566"/>
      <c r="X1993" s="586" t="str">
        <f t="shared" si="496"/>
        <v/>
      </c>
      <c r="Y1993" s="586" t="str">
        <f t="shared" si="431"/>
        <v/>
      </c>
      <c r="Z1993" s="586" t="str">
        <f t="shared" si="488"/>
        <v/>
      </c>
    </row>
    <row r="1994" spans="1:26" ht="12" hidden="1" thickBot="1" x14ac:dyDescent="0.25">
      <c r="A1994" s="567" t="s">
        <v>168</v>
      </c>
      <c r="B1994" s="644" t="s">
        <v>168</v>
      </c>
      <c r="C1994" s="645"/>
      <c r="D1994" s="422" t="s">
        <v>212</v>
      </c>
      <c r="E1994" s="423"/>
      <c r="F1994" s="424">
        <v>500</v>
      </c>
      <c r="G1994" s="425">
        <v>3.9178999999999999</v>
      </c>
      <c r="H1994" s="649">
        <f>IF(F1994&lt;=30,(0.78*F1994+7.82)*G1994,((0.78*30+7.82)+0.78*(F1994-30))*G1994)</f>
        <v>1558.6189780000002</v>
      </c>
      <c r="I1994" s="420"/>
      <c r="J1994" s="420"/>
      <c r="K1994" s="421">
        <f t="shared" si="501"/>
        <v>0</v>
      </c>
      <c r="L1994" s="647"/>
      <c r="M1994" s="723"/>
      <c r="N1994" s="576">
        <f t="shared" si="487"/>
        <v>0</v>
      </c>
      <c r="O1994" s="577">
        <f t="shared" si="504"/>
        <v>0</v>
      </c>
      <c r="P1994" s="578">
        <f t="shared" si="505"/>
        <v>0</v>
      </c>
      <c r="Q1994" s="765"/>
      <c r="R1994" s="723"/>
      <c r="S1994" s="723"/>
      <c r="T1994" s="577">
        <f t="shared" si="502"/>
        <v>0</v>
      </c>
      <c r="U1994" s="578">
        <f t="shared" si="503"/>
        <v>0</v>
      </c>
      <c r="V1994" s="579"/>
      <c r="W1994" s="566" t="str">
        <f>IF(U1993&gt;0,"xx",IF(P1993&gt;0,"xy",""))</f>
        <v/>
      </c>
      <c r="X1994" s="586" t="str">
        <f t="shared" si="496"/>
        <v/>
      </c>
      <c r="Y1994" s="586" t="str">
        <f t="shared" si="431"/>
        <v/>
      </c>
      <c r="Z1994" s="586" t="str">
        <f t="shared" si="488"/>
        <v/>
      </c>
    </row>
    <row r="1995" spans="1:26" ht="12" hidden="1" thickBot="1" x14ac:dyDescent="0.25">
      <c r="A1995" s="567" t="s">
        <v>168</v>
      </c>
      <c r="B1995" s="644" t="s">
        <v>168</v>
      </c>
      <c r="C1995" s="645"/>
      <c r="D1995" s="422" t="s">
        <v>248</v>
      </c>
      <c r="E1995" s="423"/>
      <c r="F1995" s="424">
        <v>180</v>
      </c>
      <c r="G1995" s="425">
        <v>13.9305</v>
      </c>
      <c r="H1995" s="663">
        <f t="shared" ref="H1995:H1996" si="508">IF(F1995&lt;=30,(1.07*F1995+2.68)*G1995,((1.07*30+2.68)+1.07*(F1995-30))*G1995)</f>
        <v>2720.3480399999999</v>
      </c>
      <c r="I1995" s="420"/>
      <c r="J1995" s="420"/>
      <c r="K1995" s="421">
        <f t="shared" si="501"/>
        <v>0</v>
      </c>
      <c r="L1995" s="647"/>
      <c r="M1995" s="723"/>
      <c r="N1995" s="576">
        <f t="shared" si="487"/>
        <v>0</v>
      </c>
      <c r="O1995" s="577">
        <f t="shared" si="504"/>
        <v>0</v>
      </c>
      <c r="P1995" s="578">
        <f t="shared" si="505"/>
        <v>0</v>
      </c>
      <c r="Q1995" s="765"/>
      <c r="R1995" s="723"/>
      <c r="S1995" s="723"/>
      <c r="T1995" s="577">
        <f t="shared" si="502"/>
        <v>0</v>
      </c>
      <c r="U1995" s="578">
        <f t="shared" si="503"/>
        <v>0</v>
      </c>
      <c r="V1995" s="579"/>
      <c r="W1995" s="566" t="str">
        <f>IF(U1993&gt;0,"xx",IF(P1993&gt;0,"xy",""))</f>
        <v/>
      </c>
      <c r="X1995" s="586" t="str">
        <f t="shared" si="496"/>
        <v/>
      </c>
      <c r="Y1995" s="586" t="str">
        <f t="shared" si="431"/>
        <v/>
      </c>
      <c r="Z1995" s="586" t="str">
        <f t="shared" si="488"/>
        <v/>
      </c>
    </row>
    <row r="1996" spans="1:26" ht="12" hidden="1" thickBot="1" x14ac:dyDescent="0.25">
      <c r="A1996" s="567" t="s">
        <v>168</v>
      </c>
      <c r="B1996" s="644" t="s">
        <v>168</v>
      </c>
      <c r="C1996" s="645"/>
      <c r="D1996" s="422" t="s">
        <v>252</v>
      </c>
      <c r="E1996" s="423"/>
      <c r="F1996" s="424">
        <v>20</v>
      </c>
      <c r="G1996" s="425">
        <v>25.435699999999997</v>
      </c>
      <c r="H1996" s="663">
        <f t="shared" si="508"/>
        <v>612.49165599999992</v>
      </c>
      <c r="I1996" s="420"/>
      <c r="J1996" s="420"/>
      <c r="K1996" s="421">
        <f t="shared" si="501"/>
        <v>0</v>
      </c>
      <c r="L1996" s="647"/>
      <c r="M1996" s="723"/>
      <c r="N1996" s="576">
        <f t="shared" si="487"/>
        <v>0</v>
      </c>
      <c r="O1996" s="577">
        <f t="shared" si="504"/>
        <v>0</v>
      </c>
      <c r="P1996" s="578">
        <f t="shared" si="505"/>
        <v>0</v>
      </c>
      <c r="Q1996" s="765"/>
      <c r="R1996" s="723"/>
      <c r="S1996" s="723"/>
      <c r="T1996" s="577">
        <f t="shared" si="502"/>
        <v>0</v>
      </c>
      <c r="U1996" s="578">
        <f t="shared" si="503"/>
        <v>0</v>
      </c>
      <c r="V1996" s="579"/>
      <c r="W1996" s="566" t="str">
        <f>IF(U1993&gt;0,"xx",IF(P1993&gt;0,"xy",""))</f>
        <v/>
      </c>
      <c r="X1996" s="586" t="str">
        <f t="shared" si="496"/>
        <v/>
      </c>
      <c r="Y1996" s="586" t="str">
        <f t="shared" si="431"/>
        <v/>
      </c>
      <c r="Z1996" s="586" t="str">
        <f t="shared" si="488"/>
        <v/>
      </c>
    </row>
    <row r="1997" spans="1:26" ht="12" hidden="1" thickBot="1" x14ac:dyDescent="0.25">
      <c r="A1997" s="567">
        <v>607500</v>
      </c>
      <c r="B1997" s="644">
        <v>607500</v>
      </c>
      <c r="C1997" s="645" t="s">
        <v>206</v>
      </c>
      <c r="D1997" s="422" t="s">
        <v>506</v>
      </c>
      <c r="E1997" s="423"/>
      <c r="F1997" s="424"/>
      <c r="G1997" s="425"/>
      <c r="H1997" s="651">
        <f>SUM(H1998:H2000)</f>
        <v>1.8180100000000001</v>
      </c>
      <c r="I1997" s="420">
        <v>43.25</v>
      </c>
      <c r="J1997" s="420">
        <f>IF(ISBLANK(I1997),"",SUM(H1997:I1997))</f>
        <v>45.068010000000001</v>
      </c>
      <c r="K1997" s="421">
        <f t="shared" si="501"/>
        <v>53.55</v>
      </c>
      <c r="L1997" s="647" t="s">
        <v>19</v>
      </c>
      <c r="M1997" s="576"/>
      <c r="N1997" s="576">
        <f t="shared" si="487"/>
        <v>0</v>
      </c>
      <c r="O1997" s="577">
        <f t="shared" si="504"/>
        <v>0</v>
      </c>
      <c r="P1997" s="578">
        <f t="shared" si="505"/>
        <v>0</v>
      </c>
      <c r="Q1997" s="765"/>
      <c r="R1997" s="576">
        <f>M1997</f>
        <v>0</v>
      </c>
      <c r="S1997" s="576">
        <f>N1997</f>
        <v>0</v>
      </c>
      <c r="T1997" s="577">
        <f t="shared" si="502"/>
        <v>0</v>
      </c>
      <c r="U1997" s="578">
        <f t="shared" si="503"/>
        <v>0</v>
      </c>
      <c r="V1997" s="579"/>
      <c r="W1997" s="566"/>
      <c r="X1997" s="586" t="str">
        <f t="shared" si="496"/>
        <v/>
      </c>
      <c r="Y1997" s="586" t="str">
        <f t="shared" si="431"/>
        <v/>
      </c>
      <c r="Z1997" s="586" t="str">
        <f t="shared" si="488"/>
        <v/>
      </c>
    </row>
    <row r="1998" spans="1:26" ht="12" hidden="1" thickBot="1" x14ac:dyDescent="0.25">
      <c r="A1998" s="567" t="s">
        <v>168</v>
      </c>
      <c r="B1998" s="644" t="s">
        <v>168</v>
      </c>
      <c r="C1998" s="645"/>
      <c r="D1998" s="422" t="s">
        <v>212</v>
      </c>
      <c r="E1998" s="423"/>
      <c r="F1998" s="424">
        <v>500</v>
      </c>
      <c r="G1998" s="425">
        <v>2.9999999999999997E-4</v>
      </c>
      <c r="H1998" s="649">
        <f>IF(F1998&lt;=30,(0.78*F1998+7.82)*G1998,((0.78*30+7.82)+0.78*(F1998-30))*G1998)</f>
        <v>0.11934600000000001</v>
      </c>
      <c r="I1998" s="420"/>
      <c r="J1998" s="420"/>
      <c r="K1998" s="421">
        <f t="shared" si="501"/>
        <v>0</v>
      </c>
      <c r="L1998" s="647"/>
      <c r="M1998" s="723"/>
      <c r="N1998" s="576">
        <f t="shared" si="487"/>
        <v>0</v>
      </c>
      <c r="O1998" s="577">
        <f t="shared" si="504"/>
        <v>0</v>
      </c>
      <c r="P1998" s="578">
        <f t="shared" si="505"/>
        <v>0</v>
      </c>
      <c r="Q1998" s="765"/>
      <c r="R1998" s="723"/>
      <c r="S1998" s="723"/>
      <c r="T1998" s="577">
        <f t="shared" si="502"/>
        <v>0</v>
      </c>
      <c r="U1998" s="578">
        <f t="shared" si="503"/>
        <v>0</v>
      </c>
      <c r="V1998" s="579"/>
      <c r="W1998" s="566" t="str">
        <f>IF(U1997&gt;0,"xx",IF(P1997&gt;0,"xy",""))</f>
        <v/>
      </c>
      <c r="X1998" s="586" t="str">
        <f t="shared" si="496"/>
        <v/>
      </c>
      <c r="Y1998" s="586" t="str">
        <f t="shared" si="431"/>
        <v/>
      </c>
      <c r="Z1998" s="586" t="str">
        <f t="shared" si="488"/>
        <v/>
      </c>
    </row>
    <row r="1999" spans="1:26" ht="12" hidden="1" thickBot="1" x14ac:dyDescent="0.25">
      <c r="A1999" s="567" t="s">
        <v>168</v>
      </c>
      <c r="B1999" s="644" t="s">
        <v>168</v>
      </c>
      <c r="C1999" s="645"/>
      <c r="D1999" s="422" t="s">
        <v>248</v>
      </c>
      <c r="E1999" s="423"/>
      <c r="F1999" s="424">
        <v>180</v>
      </c>
      <c r="G1999" s="425">
        <v>1.2999999999999999E-3</v>
      </c>
      <c r="H1999" s="663">
        <f t="shared" ref="H1999:H2000" si="509">IF(F1999&lt;=30,(1.07*F1999+2.68)*G1999,((1.07*30+2.68)+1.07*(F1999-30))*G1999)</f>
        <v>0.25386399999999998</v>
      </c>
      <c r="I1999" s="420"/>
      <c r="J1999" s="420"/>
      <c r="K1999" s="421">
        <f t="shared" si="501"/>
        <v>0</v>
      </c>
      <c r="L1999" s="647"/>
      <c r="M1999" s="723"/>
      <c r="N1999" s="576">
        <f t="shared" si="487"/>
        <v>0</v>
      </c>
      <c r="O1999" s="577">
        <f t="shared" si="504"/>
        <v>0</v>
      </c>
      <c r="P1999" s="578">
        <f t="shared" si="505"/>
        <v>0</v>
      </c>
      <c r="Q1999" s="765"/>
      <c r="R1999" s="723"/>
      <c r="S1999" s="723"/>
      <c r="T1999" s="577">
        <f t="shared" si="502"/>
        <v>0</v>
      </c>
      <c r="U1999" s="578">
        <f t="shared" si="503"/>
        <v>0</v>
      </c>
      <c r="V1999" s="579"/>
      <c r="W1999" s="566" t="str">
        <f>IF(U1997&gt;0,"xx",IF(P1997&gt;0,"xy",""))</f>
        <v/>
      </c>
      <c r="X1999" s="586" t="str">
        <f t="shared" si="496"/>
        <v/>
      </c>
      <c r="Y1999" s="586" t="str">
        <f t="shared" si="431"/>
        <v/>
      </c>
      <c r="Z1999" s="586" t="str">
        <f t="shared" si="488"/>
        <v/>
      </c>
    </row>
    <row r="2000" spans="1:26" ht="12" hidden="1" thickBot="1" x14ac:dyDescent="0.25">
      <c r="A2000" s="567" t="s">
        <v>168</v>
      </c>
      <c r="B2000" s="644" t="s">
        <v>168</v>
      </c>
      <c r="C2000" s="645"/>
      <c r="D2000" s="422" t="s">
        <v>347</v>
      </c>
      <c r="E2000" s="423"/>
      <c r="F2000" s="424">
        <v>20</v>
      </c>
      <c r="G2000" s="425">
        <v>0.06</v>
      </c>
      <c r="H2000" s="663">
        <f t="shared" si="509"/>
        <v>1.4448000000000001</v>
      </c>
      <c r="I2000" s="420"/>
      <c r="J2000" s="420"/>
      <c r="K2000" s="421">
        <f t="shared" si="501"/>
        <v>0</v>
      </c>
      <c r="L2000" s="647"/>
      <c r="M2000" s="723"/>
      <c r="N2000" s="576">
        <f t="shared" si="487"/>
        <v>0</v>
      </c>
      <c r="O2000" s="577">
        <f t="shared" si="504"/>
        <v>0</v>
      </c>
      <c r="P2000" s="578">
        <f t="shared" si="505"/>
        <v>0</v>
      </c>
      <c r="Q2000" s="765"/>
      <c r="R2000" s="723"/>
      <c r="S2000" s="723"/>
      <c r="T2000" s="577">
        <f t="shared" si="502"/>
        <v>0</v>
      </c>
      <c r="U2000" s="578">
        <f t="shared" si="503"/>
        <v>0</v>
      </c>
      <c r="V2000" s="579"/>
      <c r="W2000" s="566" t="str">
        <f>IF(U1997&gt;0,"xx",IF(P1997&gt;0,"xy",""))</f>
        <v/>
      </c>
      <c r="X2000" s="586" t="str">
        <f t="shared" si="496"/>
        <v/>
      </c>
      <c r="Y2000" s="586" t="str">
        <f t="shared" si="431"/>
        <v/>
      </c>
      <c r="Z2000" s="586" t="str">
        <f t="shared" si="488"/>
        <v/>
      </c>
    </row>
    <row r="2001" spans="1:26" ht="12" hidden="1" thickBot="1" x14ac:dyDescent="0.25">
      <c r="A2001" s="567">
        <v>607600</v>
      </c>
      <c r="B2001" s="644">
        <v>607600</v>
      </c>
      <c r="C2001" s="645" t="s">
        <v>206</v>
      </c>
      <c r="D2001" s="422" t="s">
        <v>507</v>
      </c>
      <c r="E2001" s="423"/>
      <c r="F2001" s="424"/>
      <c r="G2001" s="425"/>
      <c r="H2001" s="651">
        <f>SUM(H2002:H2004)</f>
        <v>2.8854480000000002</v>
      </c>
      <c r="I2001" s="420">
        <v>52.180000000000007</v>
      </c>
      <c r="J2001" s="420">
        <f>IF(ISBLANK(I2001),"",SUM(H2001:I2001))</f>
        <v>55.065448000000004</v>
      </c>
      <c r="K2001" s="421">
        <f t="shared" si="501"/>
        <v>65.42</v>
      </c>
      <c r="L2001" s="647" t="s">
        <v>19</v>
      </c>
      <c r="M2001" s="576"/>
      <c r="N2001" s="576">
        <f t="shared" si="487"/>
        <v>0</v>
      </c>
      <c r="O2001" s="577">
        <f t="shared" si="504"/>
        <v>0</v>
      </c>
      <c r="P2001" s="578">
        <f t="shared" si="505"/>
        <v>0</v>
      </c>
      <c r="Q2001" s="765"/>
      <c r="R2001" s="576">
        <f>M2001</f>
        <v>0</v>
      </c>
      <c r="S2001" s="576">
        <f>N2001</f>
        <v>0</v>
      </c>
      <c r="T2001" s="577">
        <f t="shared" si="502"/>
        <v>0</v>
      </c>
      <c r="U2001" s="578">
        <f t="shared" si="503"/>
        <v>0</v>
      </c>
      <c r="V2001" s="579"/>
      <c r="W2001" s="566"/>
      <c r="X2001" s="586" t="str">
        <f t="shared" si="496"/>
        <v/>
      </c>
      <c r="Y2001" s="586" t="str">
        <f t="shared" si="431"/>
        <v/>
      </c>
      <c r="Z2001" s="586" t="str">
        <f t="shared" si="488"/>
        <v/>
      </c>
    </row>
    <row r="2002" spans="1:26" ht="12" hidden="1" thickBot="1" x14ac:dyDescent="0.25">
      <c r="A2002" s="567" t="s">
        <v>168</v>
      </c>
      <c r="B2002" s="644" t="s">
        <v>168</v>
      </c>
      <c r="C2002" s="645"/>
      <c r="D2002" s="422" t="s">
        <v>212</v>
      </c>
      <c r="E2002" s="423"/>
      <c r="F2002" s="424">
        <v>500</v>
      </c>
      <c r="G2002" s="425">
        <v>4.0000000000000002E-4</v>
      </c>
      <c r="H2002" s="649">
        <f>IF(F2002&lt;=30,(0.78*F2002+7.82)*G2002,((0.78*30+7.82)+0.78*(F2002-30))*G2002)</f>
        <v>0.15912800000000002</v>
      </c>
      <c r="I2002" s="420"/>
      <c r="J2002" s="420"/>
      <c r="K2002" s="421">
        <f t="shared" si="501"/>
        <v>0</v>
      </c>
      <c r="L2002" s="647"/>
      <c r="M2002" s="723"/>
      <c r="N2002" s="576">
        <f t="shared" si="487"/>
        <v>0</v>
      </c>
      <c r="O2002" s="577">
        <f t="shared" si="504"/>
        <v>0</v>
      </c>
      <c r="P2002" s="578">
        <f t="shared" si="505"/>
        <v>0</v>
      </c>
      <c r="Q2002" s="765"/>
      <c r="R2002" s="723"/>
      <c r="S2002" s="723"/>
      <c r="T2002" s="577">
        <f t="shared" si="502"/>
        <v>0</v>
      </c>
      <c r="U2002" s="578">
        <f t="shared" si="503"/>
        <v>0</v>
      </c>
      <c r="V2002" s="579"/>
      <c r="W2002" s="566" t="str">
        <f>IF(U2001&gt;0,"xx",IF(P2001&gt;0,"xy",""))</f>
        <v/>
      </c>
      <c r="X2002" s="586" t="str">
        <f t="shared" si="496"/>
        <v/>
      </c>
      <c r="Y2002" s="586" t="str">
        <f t="shared" si="431"/>
        <v/>
      </c>
      <c r="Z2002" s="586" t="str">
        <f t="shared" si="488"/>
        <v/>
      </c>
    </row>
    <row r="2003" spans="1:26" ht="12" hidden="1" thickBot="1" x14ac:dyDescent="0.25">
      <c r="A2003" s="567" t="s">
        <v>168</v>
      </c>
      <c r="B2003" s="644" t="s">
        <v>168</v>
      </c>
      <c r="C2003" s="645"/>
      <c r="D2003" s="422" t="s">
        <v>248</v>
      </c>
      <c r="E2003" s="423"/>
      <c r="F2003" s="424">
        <v>180</v>
      </c>
      <c r="G2003" s="425">
        <v>2E-3</v>
      </c>
      <c r="H2003" s="663">
        <f t="shared" ref="H2003:H2004" si="510">IF(F2003&lt;=30,(1.07*F2003+2.68)*G2003,((1.07*30+2.68)+1.07*(F2003-30))*G2003)</f>
        <v>0.39056000000000002</v>
      </c>
      <c r="I2003" s="420"/>
      <c r="J2003" s="420"/>
      <c r="K2003" s="421">
        <f t="shared" si="501"/>
        <v>0</v>
      </c>
      <c r="L2003" s="647"/>
      <c r="M2003" s="723"/>
      <c r="N2003" s="576">
        <f t="shared" si="487"/>
        <v>0</v>
      </c>
      <c r="O2003" s="577">
        <f t="shared" si="504"/>
        <v>0</v>
      </c>
      <c r="P2003" s="578">
        <f t="shared" si="505"/>
        <v>0</v>
      </c>
      <c r="Q2003" s="765"/>
      <c r="R2003" s="723"/>
      <c r="S2003" s="723"/>
      <c r="T2003" s="577">
        <f t="shared" si="502"/>
        <v>0</v>
      </c>
      <c r="U2003" s="578">
        <f t="shared" si="503"/>
        <v>0</v>
      </c>
      <c r="V2003" s="579"/>
      <c r="W2003" s="566" t="str">
        <f>IF(U2001&gt;0,"xx",IF(P2001&gt;0,"xy",""))</f>
        <v/>
      </c>
      <c r="X2003" s="586" t="str">
        <f t="shared" si="496"/>
        <v/>
      </c>
      <c r="Y2003" s="586" t="str">
        <f t="shared" si="431"/>
        <v/>
      </c>
      <c r="Z2003" s="586" t="str">
        <f t="shared" si="488"/>
        <v/>
      </c>
    </row>
    <row r="2004" spans="1:26" ht="12" hidden="1" thickBot="1" x14ac:dyDescent="0.25">
      <c r="A2004" s="567" t="s">
        <v>168</v>
      </c>
      <c r="B2004" s="644" t="s">
        <v>168</v>
      </c>
      <c r="C2004" s="645"/>
      <c r="D2004" s="422" t="s">
        <v>347</v>
      </c>
      <c r="E2004" s="423"/>
      <c r="F2004" s="424">
        <v>20</v>
      </c>
      <c r="G2004" s="425">
        <v>9.7000000000000003E-2</v>
      </c>
      <c r="H2004" s="663">
        <f t="shared" si="510"/>
        <v>2.3357600000000001</v>
      </c>
      <c r="I2004" s="420"/>
      <c r="J2004" s="420"/>
      <c r="K2004" s="421">
        <f t="shared" si="501"/>
        <v>0</v>
      </c>
      <c r="L2004" s="647"/>
      <c r="M2004" s="723"/>
      <c r="N2004" s="576">
        <f t="shared" ref="N2004:N2067" si="511">IF(M2004=0,0,K2004)</f>
        <v>0</v>
      </c>
      <c r="O2004" s="577">
        <f t="shared" si="504"/>
        <v>0</v>
      </c>
      <c r="P2004" s="578">
        <f t="shared" si="505"/>
        <v>0</v>
      </c>
      <c r="Q2004" s="765"/>
      <c r="R2004" s="723"/>
      <c r="S2004" s="723"/>
      <c r="T2004" s="577">
        <f t="shared" si="502"/>
        <v>0</v>
      </c>
      <c r="U2004" s="578">
        <f t="shared" si="503"/>
        <v>0</v>
      </c>
      <c r="V2004" s="579"/>
      <c r="W2004" s="566" t="str">
        <f>IF(U2001&gt;0,"xx",IF(P2001&gt;0,"xy",""))</f>
        <v/>
      </c>
      <c r="X2004" s="586" t="str">
        <f t="shared" si="496"/>
        <v/>
      </c>
      <c r="Y2004" s="586" t="str">
        <f t="shared" si="431"/>
        <v/>
      </c>
      <c r="Z2004" s="586" t="str">
        <f t="shared" si="488"/>
        <v/>
      </c>
    </row>
    <row r="2005" spans="1:26" ht="12" hidden="1" thickBot="1" x14ac:dyDescent="0.25">
      <c r="A2005" s="567">
        <v>610400</v>
      </c>
      <c r="B2005" s="644" t="s">
        <v>1668</v>
      </c>
      <c r="C2005" s="645" t="s">
        <v>206</v>
      </c>
      <c r="D2005" s="422" t="s">
        <v>373</v>
      </c>
      <c r="E2005" s="423"/>
      <c r="F2005" s="424"/>
      <c r="G2005" s="425"/>
      <c r="H2005" s="651">
        <f>SUM(H2006:H2008)</f>
        <v>5.3574580000000003</v>
      </c>
      <c r="I2005" s="420">
        <v>78.7</v>
      </c>
      <c r="J2005" s="420">
        <f>IF(ISBLANK(I2005),"",SUM(H2005:I2005))</f>
        <v>84.057457999999997</v>
      </c>
      <c r="K2005" s="421">
        <f t="shared" si="501"/>
        <v>99.87</v>
      </c>
      <c r="L2005" s="647" t="s">
        <v>19</v>
      </c>
      <c r="M2005" s="576"/>
      <c r="N2005" s="576">
        <f t="shared" si="511"/>
        <v>0</v>
      </c>
      <c r="O2005" s="577">
        <f t="shared" si="504"/>
        <v>0</v>
      </c>
      <c r="P2005" s="578">
        <f t="shared" si="505"/>
        <v>0</v>
      </c>
      <c r="Q2005" s="765"/>
      <c r="R2005" s="576">
        <f>M2005</f>
        <v>0</v>
      </c>
      <c r="S2005" s="576">
        <f>N2005</f>
        <v>0</v>
      </c>
      <c r="T2005" s="577">
        <f t="shared" si="502"/>
        <v>0</v>
      </c>
      <c r="U2005" s="578">
        <f t="shared" si="503"/>
        <v>0</v>
      </c>
      <c r="V2005" s="579"/>
      <c r="W2005" s="566"/>
      <c r="X2005" s="586" t="str">
        <f t="shared" si="496"/>
        <v/>
      </c>
      <c r="Y2005" s="586" t="str">
        <f t="shared" si="431"/>
        <v/>
      </c>
      <c r="Z2005" s="586" t="str">
        <f t="shared" si="488"/>
        <v/>
      </c>
    </row>
    <row r="2006" spans="1:26" ht="12" hidden="1" thickBot="1" x14ac:dyDescent="0.25">
      <c r="A2006" s="567" t="s">
        <v>168</v>
      </c>
      <c r="B2006" s="644" t="s">
        <v>168</v>
      </c>
      <c r="C2006" s="645"/>
      <c r="D2006" s="422" t="s">
        <v>212</v>
      </c>
      <c r="E2006" s="423"/>
      <c r="F2006" s="424">
        <v>500</v>
      </c>
      <c r="G2006" s="425">
        <v>1.9E-3</v>
      </c>
      <c r="H2006" s="649">
        <f>IF(F2006&lt;=30,(0.78*F2006+7.82)*G2006,((0.78*30+7.82)+0.78*(F2006-30))*G2006)</f>
        <v>0.75585800000000014</v>
      </c>
      <c r="I2006" s="420"/>
      <c r="J2006" s="420"/>
      <c r="K2006" s="421">
        <f t="shared" si="501"/>
        <v>0</v>
      </c>
      <c r="L2006" s="647"/>
      <c r="M2006" s="723"/>
      <c r="N2006" s="576">
        <f t="shared" si="511"/>
        <v>0</v>
      </c>
      <c r="O2006" s="577">
        <f t="shared" si="504"/>
        <v>0</v>
      </c>
      <c r="P2006" s="578">
        <f t="shared" si="505"/>
        <v>0</v>
      </c>
      <c r="Q2006" s="765"/>
      <c r="R2006" s="723"/>
      <c r="S2006" s="723"/>
      <c r="T2006" s="577">
        <f t="shared" si="502"/>
        <v>0</v>
      </c>
      <c r="U2006" s="578">
        <f t="shared" si="503"/>
        <v>0</v>
      </c>
      <c r="V2006" s="579"/>
      <c r="W2006" s="566" t="str">
        <f>IF(U2005&gt;0,"xx",IF(P2005&gt;0,"xy",""))</f>
        <v/>
      </c>
      <c r="X2006" s="586" t="str">
        <f t="shared" si="496"/>
        <v/>
      </c>
      <c r="Y2006" s="586" t="str">
        <f t="shared" si="431"/>
        <v/>
      </c>
      <c r="Z2006" s="586" t="str">
        <f t="shared" si="488"/>
        <v/>
      </c>
    </row>
    <row r="2007" spans="1:26" ht="12" hidden="1" thickBot="1" x14ac:dyDescent="0.25">
      <c r="A2007" s="567" t="s">
        <v>168</v>
      </c>
      <c r="B2007" s="644" t="s">
        <v>168</v>
      </c>
      <c r="C2007" s="645"/>
      <c r="D2007" s="422" t="s">
        <v>248</v>
      </c>
      <c r="E2007" s="423"/>
      <c r="F2007" s="424">
        <v>180</v>
      </c>
      <c r="G2007" s="425">
        <v>0.01</v>
      </c>
      <c r="H2007" s="663">
        <f t="shared" ref="H2007:H2008" si="512">IF(F2007&lt;=30,(1.07*F2007+2.68)*G2007,((1.07*30+2.68)+1.07*(F2007-30))*G2007)</f>
        <v>1.9528000000000001</v>
      </c>
      <c r="I2007" s="420"/>
      <c r="J2007" s="420"/>
      <c r="K2007" s="421">
        <f t="shared" si="501"/>
        <v>0</v>
      </c>
      <c r="L2007" s="647"/>
      <c r="M2007" s="723"/>
      <c r="N2007" s="576">
        <f t="shared" si="511"/>
        <v>0</v>
      </c>
      <c r="O2007" s="577">
        <f t="shared" si="504"/>
        <v>0</v>
      </c>
      <c r="P2007" s="578">
        <f t="shared" si="505"/>
        <v>0</v>
      </c>
      <c r="Q2007" s="765"/>
      <c r="R2007" s="723"/>
      <c r="S2007" s="723"/>
      <c r="T2007" s="577">
        <f t="shared" si="502"/>
        <v>0</v>
      </c>
      <c r="U2007" s="578">
        <f t="shared" si="503"/>
        <v>0</v>
      </c>
      <c r="V2007" s="579"/>
      <c r="W2007" s="566" t="str">
        <f>IF(U2005&gt;0,"xx",IF(P2005&gt;0,"xy",""))</f>
        <v/>
      </c>
      <c r="X2007" s="586" t="str">
        <f t="shared" si="496"/>
        <v/>
      </c>
      <c r="Y2007" s="586" t="str">
        <f t="shared" si="431"/>
        <v/>
      </c>
      <c r="Z2007" s="586" t="str">
        <f t="shared" si="488"/>
        <v/>
      </c>
    </row>
    <row r="2008" spans="1:26" ht="12" hidden="1" thickBot="1" x14ac:dyDescent="0.25">
      <c r="A2008" s="567" t="s">
        <v>168</v>
      </c>
      <c r="B2008" s="644" t="s">
        <v>168</v>
      </c>
      <c r="C2008" s="645"/>
      <c r="D2008" s="422" t="s">
        <v>347</v>
      </c>
      <c r="E2008" s="423"/>
      <c r="F2008" s="424">
        <v>20</v>
      </c>
      <c r="G2008" s="425">
        <v>0.11</v>
      </c>
      <c r="H2008" s="663">
        <f t="shared" si="512"/>
        <v>2.6488</v>
      </c>
      <c r="I2008" s="420"/>
      <c r="J2008" s="420"/>
      <c r="K2008" s="421">
        <f t="shared" si="501"/>
        <v>0</v>
      </c>
      <c r="L2008" s="647"/>
      <c r="M2008" s="723"/>
      <c r="N2008" s="576">
        <f t="shared" si="511"/>
        <v>0</v>
      </c>
      <c r="O2008" s="577">
        <f t="shared" si="504"/>
        <v>0</v>
      </c>
      <c r="P2008" s="578">
        <f t="shared" si="505"/>
        <v>0</v>
      </c>
      <c r="Q2008" s="765"/>
      <c r="R2008" s="723"/>
      <c r="S2008" s="723"/>
      <c r="T2008" s="577">
        <f t="shared" si="502"/>
        <v>0</v>
      </c>
      <c r="U2008" s="578">
        <f t="shared" si="503"/>
        <v>0</v>
      </c>
      <c r="V2008" s="579"/>
      <c r="W2008" s="566" t="str">
        <f>IF(U2005&gt;0,"xx",IF(P2005&gt;0,"xy",""))</f>
        <v/>
      </c>
      <c r="X2008" s="586" t="str">
        <f t="shared" si="496"/>
        <v/>
      </c>
      <c r="Y2008" s="586" t="str">
        <f t="shared" si="431"/>
        <v/>
      </c>
      <c r="Z2008" s="586" t="str">
        <f t="shared" si="488"/>
        <v/>
      </c>
    </row>
    <row r="2009" spans="1:26" ht="12" hidden="1" thickBot="1" x14ac:dyDescent="0.25">
      <c r="A2009" s="567">
        <v>610400</v>
      </c>
      <c r="B2009" s="644" t="s">
        <v>1669</v>
      </c>
      <c r="C2009" s="645" t="s">
        <v>206</v>
      </c>
      <c r="D2009" s="422" t="s">
        <v>508</v>
      </c>
      <c r="E2009" s="423"/>
      <c r="F2009" s="424"/>
      <c r="G2009" s="425"/>
      <c r="H2009" s="651">
        <f>SUM(H2010:H2012)</f>
        <v>9.2197619999999993</v>
      </c>
      <c r="I2009" s="420">
        <v>106.14</v>
      </c>
      <c r="J2009" s="420">
        <f>IF(ISBLANK(I2009),"",SUM(H2009:I2009))</f>
        <v>115.359762</v>
      </c>
      <c r="K2009" s="421">
        <f t="shared" si="501"/>
        <v>137.06</v>
      </c>
      <c r="L2009" s="647" t="s">
        <v>19</v>
      </c>
      <c r="M2009" s="576"/>
      <c r="N2009" s="576">
        <f t="shared" si="511"/>
        <v>0</v>
      </c>
      <c r="O2009" s="577">
        <f t="shared" si="504"/>
        <v>0</v>
      </c>
      <c r="P2009" s="578">
        <f t="shared" si="505"/>
        <v>0</v>
      </c>
      <c r="Q2009" s="765"/>
      <c r="R2009" s="576">
        <f>M2009</f>
        <v>0</v>
      </c>
      <c r="S2009" s="576">
        <f>N2009</f>
        <v>0</v>
      </c>
      <c r="T2009" s="577">
        <f t="shared" si="502"/>
        <v>0</v>
      </c>
      <c r="U2009" s="578">
        <f t="shared" si="503"/>
        <v>0</v>
      </c>
      <c r="V2009" s="579"/>
      <c r="W2009" s="566"/>
      <c r="X2009" s="586" t="str">
        <f t="shared" si="496"/>
        <v/>
      </c>
      <c r="Y2009" s="586" t="str">
        <f t="shared" si="431"/>
        <v/>
      </c>
      <c r="Z2009" s="586" t="str">
        <f t="shared" si="488"/>
        <v/>
      </c>
    </row>
    <row r="2010" spans="1:26" ht="12" hidden="1" thickBot="1" x14ac:dyDescent="0.25">
      <c r="A2010" s="567" t="s">
        <v>168</v>
      </c>
      <c r="B2010" s="644" t="s">
        <v>168</v>
      </c>
      <c r="C2010" s="645"/>
      <c r="D2010" s="422" t="s">
        <v>212</v>
      </c>
      <c r="E2010" s="423"/>
      <c r="F2010" s="424">
        <v>500</v>
      </c>
      <c r="G2010" s="425">
        <v>2.3E-3</v>
      </c>
      <c r="H2010" s="649">
        <f>IF(F2010&lt;=30,(0.78*F2010+7.82)*G2010,((0.78*30+7.82)+0.78*(F2010-30))*G2010)</f>
        <v>0.91498600000000008</v>
      </c>
      <c r="I2010" s="420"/>
      <c r="J2010" s="420"/>
      <c r="K2010" s="421">
        <f t="shared" si="501"/>
        <v>0</v>
      </c>
      <c r="L2010" s="647"/>
      <c r="M2010" s="723"/>
      <c r="N2010" s="576">
        <f t="shared" si="511"/>
        <v>0</v>
      </c>
      <c r="O2010" s="577">
        <f t="shared" si="504"/>
        <v>0</v>
      </c>
      <c r="P2010" s="578">
        <f t="shared" si="505"/>
        <v>0</v>
      </c>
      <c r="Q2010" s="765"/>
      <c r="R2010" s="723"/>
      <c r="S2010" s="723"/>
      <c r="T2010" s="577">
        <f t="shared" si="502"/>
        <v>0</v>
      </c>
      <c r="U2010" s="578">
        <f t="shared" si="503"/>
        <v>0</v>
      </c>
      <c r="V2010" s="579"/>
      <c r="W2010" s="566" t="str">
        <f>IF(U2009&gt;0,"xx",IF(P2009&gt;0,"xy",""))</f>
        <v/>
      </c>
      <c r="X2010" s="586" t="str">
        <f t="shared" si="496"/>
        <v/>
      </c>
      <c r="Y2010" s="586" t="str">
        <f t="shared" si="431"/>
        <v/>
      </c>
      <c r="Z2010" s="586" t="str">
        <f t="shared" si="488"/>
        <v/>
      </c>
    </row>
    <row r="2011" spans="1:26" ht="12" hidden="1" thickBot="1" x14ac:dyDescent="0.25">
      <c r="A2011" s="567" t="s">
        <v>168</v>
      </c>
      <c r="B2011" s="644" t="s">
        <v>168</v>
      </c>
      <c r="C2011" s="645"/>
      <c r="D2011" s="422" t="s">
        <v>248</v>
      </c>
      <c r="E2011" s="423"/>
      <c r="F2011" s="424">
        <v>180</v>
      </c>
      <c r="G2011" s="425">
        <v>1.17E-2</v>
      </c>
      <c r="H2011" s="663">
        <f t="shared" ref="H2011:H2012" si="513">IF(F2011&lt;=30,(1.07*F2011+2.68)*G2011,((1.07*30+2.68)+1.07*(F2011-30))*G2011)</f>
        <v>2.2847759999999999</v>
      </c>
      <c r="I2011" s="420"/>
      <c r="J2011" s="420"/>
      <c r="K2011" s="421">
        <f t="shared" si="501"/>
        <v>0</v>
      </c>
      <c r="L2011" s="647"/>
      <c r="M2011" s="723"/>
      <c r="N2011" s="576">
        <f t="shared" si="511"/>
        <v>0</v>
      </c>
      <c r="O2011" s="577">
        <f t="shared" si="504"/>
        <v>0</v>
      </c>
      <c r="P2011" s="578">
        <f t="shared" si="505"/>
        <v>0</v>
      </c>
      <c r="Q2011" s="765"/>
      <c r="R2011" s="723"/>
      <c r="S2011" s="723"/>
      <c r="T2011" s="577">
        <f t="shared" si="502"/>
        <v>0</v>
      </c>
      <c r="U2011" s="578">
        <f t="shared" si="503"/>
        <v>0</v>
      </c>
      <c r="V2011" s="579"/>
      <c r="W2011" s="566" t="str">
        <f>IF(U2009&gt;0,"xx",IF(P2009&gt;0,"xy",""))</f>
        <v/>
      </c>
      <c r="X2011" s="586" t="str">
        <f t="shared" si="496"/>
        <v/>
      </c>
      <c r="Y2011" s="586" t="str">
        <f t="shared" si="431"/>
        <v/>
      </c>
      <c r="Z2011" s="586" t="str">
        <f t="shared" si="488"/>
        <v/>
      </c>
    </row>
    <row r="2012" spans="1:26" ht="12" hidden="1" thickBot="1" x14ac:dyDescent="0.25">
      <c r="A2012" s="567" t="s">
        <v>168</v>
      </c>
      <c r="B2012" s="644" t="s">
        <v>168</v>
      </c>
      <c r="C2012" s="645"/>
      <c r="D2012" s="422" t="s">
        <v>347</v>
      </c>
      <c r="E2012" s="423"/>
      <c r="F2012" s="424">
        <v>20</v>
      </c>
      <c r="G2012" s="425">
        <v>0.25</v>
      </c>
      <c r="H2012" s="663">
        <f t="shared" si="513"/>
        <v>6.0200000000000005</v>
      </c>
      <c r="I2012" s="420"/>
      <c r="J2012" s="420"/>
      <c r="K2012" s="421">
        <f t="shared" si="501"/>
        <v>0</v>
      </c>
      <c r="L2012" s="647"/>
      <c r="M2012" s="723"/>
      <c r="N2012" s="576">
        <f t="shared" si="511"/>
        <v>0</v>
      </c>
      <c r="O2012" s="577">
        <f t="shared" si="504"/>
        <v>0</v>
      </c>
      <c r="P2012" s="578">
        <f t="shared" si="505"/>
        <v>0</v>
      </c>
      <c r="Q2012" s="765"/>
      <c r="R2012" s="723"/>
      <c r="S2012" s="723"/>
      <c r="T2012" s="577">
        <f t="shared" si="502"/>
        <v>0</v>
      </c>
      <c r="U2012" s="578">
        <f t="shared" si="503"/>
        <v>0</v>
      </c>
      <c r="V2012" s="579"/>
      <c r="W2012" s="566" t="str">
        <f>IF(U2009&gt;0,"xx",IF(P2009&gt;0,"xy",""))</f>
        <v/>
      </c>
      <c r="X2012" s="586" t="str">
        <f t="shared" si="496"/>
        <v/>
      </c>
      <c r="Y2012" s="586" t="str">
        <f t="shared" si="431"/>
        <v/>
      </c>
      <c r="Z2012" s="586" t="str">
        <f t="shared" si="488"/>
        <v/>
      </c>
    </row>
    <row r="2013" spans="1:26" ht="12" hidden="1" thickBot="1" x14ac:dyDescent="0.25">
      <c r="A2013" s="567">
        <v>610600</v>
      </c>
      <c r="B2013" s="644" t="s">
        <v>1672</v>
      </c>
      <c r="C2013" s="645" t="s">
        <v>206</v>
      </c>
      <c r="D2013" s="422" t="s">
        <v>374</v>
      </c>
      <c r="E2013" s="423"/>
      <c r="F2013" s="424"/>
      <c r="G2013" s="425"/>
      <c r="H2013" s="651">
        <f>SUM(H2014:H2016)</f>
        <v>13.042284000000002</v>
      </c>
      <c r="I2013" s="420">
        <v>133.58000000000001</v>
      </c>
      <c r="J2013" s="420">
        <f>IF(ISBLANK(I2013),"",SUM(H2013:I2013))</f>
        <v>146.62228400000001</v>
      </c>
      <c r="K2013" s="421">
        <f t="shared" si="501"/>
        <v>174.2</v>
      </c>
      <c r="L2013" s="647" t="s">
        <v>19</v>
      </c>
      <c r="M2013" s="576"/>
      <c r="N2013" s="576">
        <f t="shared" si="511"/>
        <v>0</v>
      </c>
      <c r="O2013" s="577">
        <f t="shared" si="504"/>
        <v>0</v>
      </c>
      <c r="P2013" s="578">
        <f t="shared" si="505"/>
        <v>0</v>
      </c>
      <c r="Q2013" s="765"/>
      <c r="R2013" s="576">
        <f>M2013</f>
        <v>0</v>
      </c>
      <c r="S2013" s="576">
        <f>N2013</f>
        <v>0</v>
      </c>
      <c r="T2013" s="577">
        <f t="shared" si="502"/>
        <v>0</v>
      </c>
      <c r="U2013" s="578">
        <f t="shared" si="503"/>
        <v>0</v>
      </c>
      <c r="V2013" s="579"/>
      <c r="W2013" s="566"/>
      <c r="X2013" s="586" t="str">
        <f t="shared" si="496"/>
        <v/>
      </c>
      <c r="Y2013" s="586" t="str">
        <f t="shared" si="431"/>
        <v/>
      </c>
      <c r="Z2013" s="586" t="str">
        <f t="shared" si="488"/>
        <v/>
      </c>
    </row>
    <row r="2014" spans="1:26" ht="12" hidden="1" thickBot="1" x14ac:dyDescent="0.25">
      <c r="A2014" s="567" t="s">
        <v>168</v>
      </c>
      <c r="B2014" s="644" t="s">
        <v>168</v>
      </c>
      <c r="C2014" s="645"/>
      <c r="D2014" s="422" t="s">
        <v>212</v>
      </c>
      <c r="E2014" s="423"/>
      <c r="F2014" s="424">
        <v>500</v>
      </c>
      <c r="G2014" s="425">
        <v>2.5999999999999999E-3</v>
      </c>
      <c r="H2014" s="649">
        <f>IF(F2014&lt;=30,(0.78*F2014+7.82)*G2014,((0.78*30+7.82)+0.78*(F2014-30))*G2014)</f>
        <v>1.034332</v>
      </c>
      <c r="I2014" s="420"/>
      <c r="J2014" s="420"/>
      <c r="K2014" s="421">
        <f t="shared" si="501"/>
        <v>0</v>
      </c>
      <c r="L2014" s="647"/>
      <c r="M2014" s="723"/>
      <c r="N2014" s="576">
        <f t="shared" si="511"/>
        <v>0</v>
      </c>
      <c r="O2014" s="577">
        <f t="shared" si="504"/>
        <v>0</v>
      </c>
      <c r="P2014" s="578">
        <f t="shared" si="505"/>
        <v>0</v>
      </c>
      <c r="Q2014" s="765"/>
      <c r="R2014" s="723"/>
      <c r="S2014" s="723"/>
      <c r="T2014" s="577">
        <f t="shared" si="502"/>
        <v>0</v>
      </c>
      <c r="U2014" s="578">
        <f t="shared" si="503"/>
        <v>0</v>
      </c>
      <c r="V2014" s="579"/>
      <c r="W2014" s="566" t="str">
        <f>IF(U2013&gt;0,"xx",IF(P2013&gt;0,"xy",""))</f>
        <v/>
      </c>
      <c r="X2014" s="586" t="str">
        <f t="shared" si="496"/>
        <v/>
      </c>
      <c r="Y2014" s="586" t="str">
        <f t="shared" si="431"/>
        <v/>
      </c>
      <c r="Z2014" s="586" t="str">
        <f t="shared" si="488"/>
        <v/>
      </c>
    </row>
    <row r="2015" spans="1:26" ht="12" hidden="1" thickBot="1" x14ac:dyDescent="0.25">
      <c r="A2015" s="567" t="s">
        <v>168</v>
      </c>
      <c r="B2015" s="644" t="s">
        <v>168</v>
      </c>
      <c r="C2015" s="645"/>
      <c r="D2015" s="422" t="s">
        <v>248</v>
      </c>
      <c r="E2015" s="423"/>
      <c r="F2015" s="424">
        <v>180</v>
      </c>
      <c r="G2015" s="425">
        <v>1.34E-2</v>
      </c>
      <c r="H2015" s="663">
        <f t="shared" ref="H2015:H2016" si="514">IF(F2015&lt;=30,(1.07*F2015+2.68)*G2015,((1.07*30+2.68)+1.07*(F2015-30))*G2015)</f>
        <v>2.616752</v>
      </c>
      <c r="I2015" s="420"/>
      <c r="J2015" s="420"/>
      <c r="K2015" s="421">
        <f t="shared" si="501"/>
        <v>0</v>
      </c>
      <c r="L2015" s="647"/>
      <c r="M2015" s="723"/>
      <c r="N2015" s="576">
        <f t="shared" si="511"/>
        <v>0</v>
      </c>
      <c r="O2015" s="577">
        <f t="shared" si="504"/>
        <v>0</v>
      </c>
      <c r="P2015" s="578">
        <f t="shared" si="505"/>
        <v>0</v>
      </c>
      <c r="Q2015" s="765"/>
      <c r="R2015" s="723"/>
      <c r="S2015" s="723"/>
      <c r="T2015" s="577">
        <f t="shared" si="502"/>
        <v>0</v>
      </c>
      <c r="U2015" s="578">
        <f t="shared" si="503"/>
        <v>0</v>
      </c>
      <c r="V2015" s="579"/>
      <c r="W2015" s="566" t="str">
        <f>IF(U2013&gt;0,"xx",IF(P2013&gt;0,"xy",""))</f>
        <v/>
      </c>
      <c r="X2015" s="586" t="str">
        <f t="shared" si="496"/>
        <v/>
      </c>
      <c r="Y2015" s="586" t="str">
        <f t="shared" si="431"/>
        <v/>
      </c>
      <c r="Z2015" s="586" t="str">
        <f t="shared" si="488"/>
        <v/>
      </c>
    </row>
    <row r="2016" spans="1:26" ht="12" hidden="1" thickBot="1" x14ac:dyDescent="0.25">
      <c r="A2016" s="567" t="s">
        <v>168</v>
      </c>
      <c r="B2016" s="644" t="s">
        <v>168</v>
      </c>
      <c r="C2016" s="645"/>
      <c r="D2016" s="422" t="s">
        <v>347</v>
      </c>
      <c r="E2016" s="423"/>
      <c r="F2016" s="424">
        <v>20</v>
      </c>
      <c r="G2016" s="425">
        <v>0.39</v>
      </c>
      <c r="H2016" s="663">
        <f t="shared" si="514"/>
        <v>9.3912000000000013</v>
      </c>
      <c r="I2016" s="420"/>
      <c r="J2016" s="420"/>
      <c r="K2016" s="421">
        <f t="shared" si="501"/>
        <v>0</v>
      </c>
      <c r="L2016" s="647"/>
      <c r="M2016" s="723"/>
      <c r="N2016" s="576">
        <f t="shared" si="511"/>
        <v>0</v>
      </c>
      <c r="O2016" s="577">
        <f t="shared" si="504"/>
        <v>0</v>
      </c>
      <c r="P2016" s="578">
        <f t="shared" si="505"/>
        <v>0</v>
      </c>
      <c r="Q2016" s="765"/>
      <c r="R2016" s="723"/>
      <c r="S2016" s="723"/>
      <c r="T2016" s="577">
        <f t="shared" si="502"/>
        <v>0</v>
      </c>
      <c r="U2016" s="578">
        <f t="shared" si="503"/>
        <v>0</v>
      </c>
      <c r="V2016" s="579"/>
      <c r="W2016" s="566" t="str">
        <f>IF(U2013&gt;0,"xx",IF(P2013&gt;0,"xy",""))</f>
        <v/>
      </c>
      <c r="X2016" s="586" t="str">
        <f t="shared" si="496"/>
        <v/>
      </c>
      <c r="Y2016" s="586" t="str">
        <f t="shared" si="431"/>
        <v/>
      </c>
      <c r="Z2016" s="586" t="str">
        <f t="shared" si="488"/>
        <v/>
      </c>
    </row>
    <row r="2017" spans="1:26" ht="12" hidden="1" thickBot="1" x14ac:dyDescent="0.25">
      <c r="A2017" s="567">
        <v>610600</v>
      </c>
      <c r="B2017" s="644" t="s">
        <v>1673</v>
      </c>
      <c r="C2017" s="645" t="s">
        <v>206</v>
      </c>
      <c r="D2017" s="422" t="s">
        <v>509</v>
      </c>
      <c r="E2017" s="423"/>
      <c r="F2017" s="424"/>
      <c r="G2017" s="425"/>
      <c r="H2017" s="651">
        <f>SUM(H2018:H2020)</f>
        <v>16.864806000000002</v>
      </c>
      <c r="I2017" s="420">
        <v>202.41</v>
      </c>
      <c r="J2017" s="420">
        <f>IF(ISBLANK(I2017),"",SUM(H2017:I2017))</f>
        <v>219.27480600000001</v>
      </c>
      <c r="K2017" s="421">
        <f t="shared" si="501"/>
        <v>260.52</v>
      </c>
      <c r="L2017" s="647" t="s">
        <v>19</v>
      </c>
      <c r="M2017" s="576"/>
      <c r="N2017" s="576">
        <f t="shared" si="511"/>
        <v>0</v>
      </c>
      <c r="O2017" s="577">
        <f t="shared" si="504"/>
        <v>0</v>
      </c>
      <c r="P2017" s="578">
        <f t="shared" si="505"/>
        <v>0</v>
      </c>
      <c r="Q2017" s="765"/>
      <c r="R2017" s="576">
        <f>M2017</f>
        <v>0</v>
      </c>
      <c r="S2017" s="576">
        <f>N2017</f>
        <v>0</v>
      </c>
      <c r="T2017" s="577">
        <f t="shared" si="502"/>
        <v>0</v>
      </c>
      <c r="U2017" s="578">
        <f t="shared" si="503"/>
        <v>0</v>
      </c>
      <c r="V2017" s="579"/>
      <c r="W2017" s="566"/>
      <c r="X2017" s="586" t="str">
        <f t="shared" si="496"/>
        <v/>
      </c>
      <c r="Y2017" s="586" t="str">
        <f t="shared" si="431"/>
        <v/>
      </c>
      <c r="Z2017" s="586" t="str">
        <f t="shared" si="488"/>
        <v/>
      </c>
    </row>
    <row r="2018" spans="1:26" ht="12" hidden="1" thickBot="1" x14ac:dyDescent="0.25">
      <c r="A2018" s="567" t="s">
        <v>168</v>
      </c>
      <c r="B2018" s="644" t="s">
        <v>168</v>
      </c>
      <c r="C2018" s="645"/>
      <c r="D2018" s="422" t="s">
        <v>212</v>
      </c>
      <c r="E2018" s="423"/>
      <c r="F2018" s="424">
        <v>500</v>
      </c>
      <c r="G2018" s="425">
        <v>2.8999999999999998E-3</v>
      </c>
      <c r="H2018" s="649">
        <f>IF(F2018&lt;=30,(0.78*F2018+7.82)*G2018,((0.78*30+7.82)+0.78*(F2018-30))*G2018)</f>
        <v>1.153678</v>
      </c>
      <c r="I2018" s="420"/>
      <c r="J2018" s="420"/>
      <c r="K2018" s="421">
        <f t="shared" si="501"/>
        <v>0</v>
      </c>
      <c r="L2018" s="647"/>
      <c r="M2018" s="723"/>
      <c r="N2018" s="576">
        <f t="shared" si="511"/>
        <v>0</v>
      </c>
      <c r="O2018" s="577">
        <f t="shared" si="504"/>
        <v>0</v>
      </c>
      <c r="P2018" s="578">
        <f t="shared" si="505"/>
        <v>0</v>
      </c>
      <c r="Q2018" s="765"/>
      <c r="R2018" s="723"/>
      <c r="S2018" s="723"/>
      <c r="T2018" s="577">
        <f t="shared" si="502"/>
        <v>0</v>
      </c>
      <c r="U2018" s="578">
        <f t="shared" si="503"/>
        <v>0</v>
      </c>
      <c r="V2018" s="579"/>
      <c r="W2018" s="566" t="str">
        <f>IF(U2017&gt;0,"xx",IF(P2017&gt;0,"xy",""))</f>
        <v/>
      </c>
      <c r="X2018" s="586" t="str">
        <f t="shared" si="496"/>
        <v/>
      </c>
      <c r="Y2018" s="586" t="str">
        <f t="shared" si="431"/>
        <v/>
      </c>
      <c r="Z2018" s="586" t="str">
        <f t="shared" si="488"/>
        <v/>
      </c>
    </row>
    <row r="2019" spans="1:26" ht="12" hidden="1" thickBot="1" x14ac:dyDescent="0.25">
      <c r="A2019" s="567" t="s">
        <v>168</v>
      </c>
      <c r="B2019" s="644" t="s">
        <v>168</v>
      </c>
      <c r="C2019" s="645"/>
      <c r="D2019" s="422" t="s">
        <v>248</v>
      </c>
      <c r="E2019" s="423"/>
      <c r="F2019" s="424">
        <v>180</v>
      </c>
      <c r="G2019" s="425">
        <v>1.5100000000000001E-2</v>
      </c>
      <c r="H2019" s="663">
        <f t="shared" ref="H2019:H2020" si="515">IF(F2019&lt;=30,(1.07*F2019+2.68)*G2019,((1.07*30+2.68)+1.07*(F2019-30))*G2019)</f>
        <v>2.948728</v>
      </c>
      <c r="I2019" s="420"/>
      <c r="J2019" s="420"/>
      <c r="K2019" s="421">
        <f t="shared" si="501"/>
        <v>0</v>
      </c>
      <c r="L2019" s="647"/>
      <c r="M2019" s="723"/>
      <c r="N2019" s="576">
        <f t="shared" si="511"/>
        <v>0</v>
      </c>
      <c r="O2019" s="577">
        <f t="shared" si="504"/>
        <v>0</v>
      </c>
      <c r="P2019" s="578">
        <f t="shared" si="505"/>
        <v>0</v>
      </c>
      <c r="Q2019" s="765"/>
      <c r="R2019" s="723"/>
      <c r="S2019" s="723"/>
      <c r="T2019" s="577">
        <f t="shared" si="502"/>
        <v>0</v>
      </c>
      <c r="U2019" s="578">
        <f t="shared" si="503"/>
        <v>0</v>
      </c>
      <c r="V2019" s="579"/>
      <c r="W2019" s="566" t="str">
        <f>IF(U2017&gt;0,"xx",IF(P2017&gt;0,"xy",""))</f>
        <v/>
      </c>
      <c r="X2019" s="586" t="str">
        <f t="shared" si="496"/>
        <v/>
      </c>
      <c r="Y2019" s="586" t="str">
        <f t="shared" si="431"/>
        <v/>
      </c>
      <c r="Z2019" s="586" t="str">
        <f t="shared" si="488"/>
        <v/>
      </c>
    </row>
    <row r="2020" spans="1:26" ht="12" hidden="1" thickBot="1" x14ac:dyDescent="0.25">
      <c r="A2020" s="567" t="s">
        <v>168</v>
      </c>
      <c r="B2020" s="644" t="s">
        <v>168</v>
      </c>
      <c r="C2020" s="645"/>
      <c r="D2020" s="422" t="s">
        <v>347</v>
      </c>
      <c r="E2020" s="423"/>
      <c r="F2020" s="424">
        <v>20</v>
      </c>
      <c r="G2020" s="425">
        <v>0.53</v>
      </c>
      <c r="H2020" s="663">
        <f t="shared" si="515"/>
        <v>12.762400000000001</v>
      </c>
      <c r="I2020" s="420"/>
      <c r="J2020" s="420"/>
      <c r="K2020" s="421">
        <f t="shared" si="501"/>
        <v>0</v>
      </c>
      <c r="L2020" s="647"/>
      <c r="M2020" s="723"/>
      <c r="N2020" s="576">
        <f t="shared" si="511"/>
        <v>0</v>
      </c>
      <c r="O2020" s="577">
        <f t="shared" si="504"/>
        <v>0</v>
      </c>
      <c r="P2020" s="578">
        <f t="shared" si="505"/>
        <v>0</v>
      </c>
      <c r="Q2020" s="765"/>
      <c r="R2020" s="723"/>
      <c r="S2020" s="723"/>
      <c r="T2020" s="577">
        <f t="shared" si="502"/>
        <v>0</v>
      </c>
      <c r="U2020" s="578">
        <f t="shared" si="503"/>
        <v>0</v>
      </c>
      <c r="V2020" s="579"/>
      <c r="W2020" s="566" t="str">
        <f>IF(U2017&gt;0,"xx",IF(P2017&gt;0,"xy",""))</f>
        <v/>
      </c>
      <c r="X2020" s="586" t="str">
        <f t="shared" si="496"/>
        <v/>
      </c>
      <c r="Y2020" s="586" t="str">
        <f t="shared" si="431"/>
        <v/>
      </c>
      <c r="Z2020" s="586" t="str">
        <f t="shared" si="488"/>
        <v/>
      </c>
    </row>
    <row r="2021" spans="1:26" ht="12" hidden="1" thickBot="1" x14ac:dyDescent="0.25">
      <c r="A2021" s="567">
        <v>610800</v>
      </c>
      <c r="B2021" s="644" t="s">
        <v>1678</v>
      </c>
      <c r="C2021" s="645" t="s">
        <v>206</v>
      </c>
      <c r="D2021" s="422" t="s">
        <v>375</v>
      </c>
      <c r="E2021" s="423"/>
      <c r="F2021" s="424"/>
      <c r="G2021" s="425"/>
      <c r="H2021" s="651">
        <f>SUM(H2022:H2024)</f>
        <v>20.687328000000001</v>
      </c>
      <c r="I2021" s="420">
        <v>271.24</v>
      </c>
      <c r="J2021" s="420">
        <f>IF(ISBLANK(I2021),"",SUM(H2021:I2021))</f>
        <v>291.92732799999999</v>
      </c>
      <c r="K2021" s="421">
        <f t="shared" si="501"/>
        <v>346.84</v>
      </c>
      <c r="L2021" s="647" t="s">
        <v>19</v>
      </c>
      <c r="M2021" s="576"/>
      <c r="N2021" s="576">
        <f t="shared" si="511"/>
        <v>0</v>
      </c>
      <c r="O2021" s="577">
        <f t="shared" si="504"/>
        <v>0</v>
      </c>
      <c r="P2021" s="578">
        <f t="shared" si="505"/>
        <v>0</v>
      </c>
      <c r="Q2021" s="765"/>
      <c r="R2021" s="576">
        <f>M2021</f>
        <v>0</v>
      </c>
      <c r="S2021" s="576">
        <f>N2021</f>
        <v>0</v>
      </c>
      <c r="T2021" s="577">
        <f t="shared" si="502"/>
        <v>0</v>
      </c>
      <c r="U2021" s="578">
        <f t="shared" si="503"/>
        <v>0</v>
      </c>
      <c r="V2021" s="579"/>
      <c r="W2021" s="566"/>
      <c r="X2021" s="586" t="str">
        <f t="shared" si="496"/>
        <v/>
      </c>
      <c r="Y2021" s="586" t="str">
        <f t="shared" si="431"/>
        <v/>
      </c>
      <c r="Z2021" s="586" t="str">
        <f t="shared" si="488"/>
        <v/>
      </c>
    </row>
    <row r="2022" spans="1:26" ht="12" hidden="1" thickBot="1" x14ac:dyDescent="0.25">
      <c r="A2022" s="567" t="s">
        <v>168</v>
      </c>
      <c r="B2022" s="644" t="s">
        <v>168</v>
      </c>
      <c r="C2022" s="645"/>
      <c r="D2022" s="422" t="s">
        <v>212</v>
      </c>
      <c r="E2022" s="423"/>
      <c r="F2022" s="424">
        <v>500</v>
      </c>
      <c r="G2022" s="425">
        <v>3.2000000000000002E-3</v>
      </c>
      <c r="H2022" s="649">
        <f>IF(F2022&lt;=30,(0.78*F2022+7.82)*G2022,((0.78*30+7.82)+0.78*(F2022-30))*G2022)</f>
        <v>1.2730240000000002</v>
      </c>
      <c r="I2022" s="420"/>
      <c r="J2022" s="420"/>
      <c r="K2022" s="421">
        <f t="shared" si="501"/>
        <v>0</v>
      </c>
      <c r="L2022" s="647"/>
      <c r="M2022" s="723"/>
      <c r="N2022" s="576">
        <f t="shared" si="511"/>
        <v>0</v>
      </c>
      <c r="O2022" s="577">
        <f t="shared" si="504"/>
        <v>0</v>
      </c>
      <c r="P2022" s="578">
        <f t="shared" si="505"/>
        <v>0</v>
      </c>
      <c r="Q2022" s="765"/>
      <c r="R2022" s="723"/>
      <c r="S2022" s="723"/>
      <c r="T2022" s="577">
        <f t="shared" si="502"/>
        <v>0</v>
      </c>
      <c r="U2022" s="578">
        <f t="shared" si="503"/>
        <v>0</v>
      </c>
      <c r="V2022" s="579"/>
      <c r="W2022" s="566" t="str">
        <f>IF(U2021&gt;0,"xx",IF(P2021&gt;0,"xy",""))</f>
        <v/>
      </c>
      <c r="X2022" s="586" t="str">
        <f t="shared" si="496"/>
        <v/>
      </c>
      <c r="Y2022" s="586" t="str">
        <f t="shared" si="431"/>
        <v/>
      </c>
      <c r="Z2022" s="586" t="str">
        <f t="shared" si="488"/>
        <v/>
      </c>
    </row>
    <row r="2023" spans="1:26" ht="12" hidden="1" thickBot="1" x14ac:dyDescent="0.25">
      <c r="A2023" s="567" t="s">
        <v>168</v>
      </c>
      <c r="B2023" s="644" t="s">
        <v>168</v>
      </c>
      <c r="C2023" s="645"/>
      <c r="D2023" s="422" t="s">
        <v>248</v>
      </c>
      <c r="E2023" s="423"/>
      <c r="F2023" s="424">
        <v>180</v>
      </c>
      <c r="G2023" s="425">
        <v>1.6799999999999999E-2</v>
      </c>
      <c r="H2023" s="663">
        <f t="shared" ref="H2023:H2024" si="516">IF(F2023&lt;=30,(1.07*F2023+2.68)*G2023,((1.07*30+2.68)+1.07*(F2023-30))*G2023)</f>
        <v>3.2807039999999996</v>
      </c>
      <c r="I2023" s="420"/>
      <c r="J2023" s="420"/>
      <c r="K2023" s="421">
        <f t="shared" si="501"/>
        <v>0</v>
      </c>
      <c r="L2023" s="647"/>
      <c r="M2023" s="723"/>
      <c r="N2023" s="576">
        <f t="shared" si="511"/>
        <v>0</v>
      </c>
      <c r="O2023" s="577">
        <f t="shared" si="504"/>
        <v>0</v>
      </c>
      <c r="P2023" s="578">
        <f t="shared" si="505"/>
        <v>0</v>
      </c>
      <c r="Q2023" s="765"/>
      <c r="R2023" s="723"/>
      <c r="S2023" s="723"/>
      <c r="T2023" s="577">
        <f t="shared" si="502"/>
        <v>0</v>
      </c>
      <c r="U2023" s="578">
        <f t="shared" si="503"/>
        <v>0</v>
      </c>
      <c r="V2023" s="579"/>
      <c r="W2023" s="566" t="str">
        <f>IF(U2021&gt;0,"xx",IF(P2021&gt;0,"xy",""))</f>
        <v/>
      </c>
      <c r="X2023" s="586" t="str">
        <f t="shared" si="496"/>
        <v/>
      </c>
      <c r="Y2023" s="586" t="str">
        <f t="shared" si="431"/>
        <v/>
      </c>
      <c r="Z2023" s="586" t="str">
        <f t="shared" si="488"/>
        <v/>
      </c>
    </row>
    <row r="2024" spans="1:26" ht="12" hidden="1" thickBot="1" x14ac:dyDescent="0.25">
      <c r="A2024" s="567" t="s">
        <v>168</v>
      </c>
      <c r="B2024" s="644" t="s">
        <v>168</v>
      </c>
      <c r="C2024" s="645"/>
      <c r="D2024" s="422" t="s">
        <v>347</v>
      </c>
      <c r="E2024" s="423"/>
      <c r="F2024" s="424">
        <v>20</v>
      </c>
      <c r="G2024" s="425">
        <v>0.67</v>
      </c>
      <c r="H2024" s="663">
        <f t="shared" si="516"/>
        <v>16.133600000000001</v>
      </c>
      <c r="I2024" s="420"/>
      <c r="J2024" s="420"/>
      <c r="K2024" s="421">
        <f t="shared" si="501"/>
        <v>0</v>
      </c>
      <c r="L2024" s="647"/>
      <c r="M2024" s="723"/>
      <c r="N2024" s="576">
        <f t="shared" si="511"/>
        <v>0</v>
      </c>
      <c r="O2024" s="577">
        <f t="shared" si="504"/>
        <v>0</v>
      </c>
      <c r="P2024" s="578">
        <f t="shared" si="505"/>
        <v>0</v>
      </c>
      <c r="Q2024" s="765"/>
      <c r="R2024" s="723"/>
      <c r="S2024" s="723"/>
      <c r="T2024" s="577">
        <f t="shared" si="502"/>
        <v>0</v>
      </c>
      <c r="U2024" s="578">
        <f t="shared" si="503"/>
        <v>0</v>
      </c>
      <c r="V2024" s="579"/>
      <c r="W2024" s="566" t="str">
        <f>IF(U2021&gt;0,"xx",IF(P2021&gt;0,"xy",""))</f>
        <v/>
      </c>
      <c r="X2024" s="586" t="str">
        <f t="shared" si="496"/>
        <v/>
      </c>
      <c r="Y2024" s="586" t="str">
        <f t="shared" si="431"/>
        <v/>
      </c>
      <c r="Z2024" s="586" t="str">
        <f t="shared" ref="Z2024:Z2087" si="517">IF(W2024="X","x",IF(U2024&gt;0,"x",""))</f>
        <v/>
      </c>
    </row>
    <row r="2025" spans="1:26" ht="12" hidden="1" thickBot="1" x14ac:dyDescent="0.25">
      <c r="A2025" s="567">
        <v>610400</v>
      </c>
      <c r="B2025" s="644" t="s">
        <v>1670</v>
      </c>
      <c r="C2025" s="645" t="s">
        <v>206</v>
      </c>
      <c r="D2025" s="422" t="s">
        <v>376</v>
      </c>
      <c r="E2025" s="423"/>
      <c r="F2025" s="424"/>
      <c r="G2025" s="425"/>
      <c r="H2025" s="651">
        <f>SUM(H2026:H2028)</f>
        <v>5.3574580000000003</v>
      </c>
      <c r="I2025" s="420">
        <v>127.35</v>
      </c>
      <c r="J2025" s="420">
        <f>IF(ISBLANK(I2025),"",SUM(H2025:I2025))</f>
        <v>132.707458</v>
      </c>
      <c r="K2025" s="421">
        <f t="shared" si="501"/>
        <v>157.66999999999999</v>
      </c>
      <c r="L2025" s="647" t="s">
        <v>19</v>
      </c>
      <c r="M2025" s="576"/>
      <c r="N2025" s="576">
        <f t="shared" si="511"/>
        <v>0</v>
      </c>
      <c r="O2025" s="577">
        <f t="shared" si="504"/>
        <v>0</v>
      </c>
      <c r="P2025" s="578">
        <f t="shared" si="505"/>
        <v>0</v>
      </c>
      <c r="Q2025" s="765"/>
      <c r="R2025" s="576">
        <f>M2025</f>
        <v>0</v>
      </c>
      <c r="S2025" s="576">
        <f>N2025</f>
        <v>0</v>
      </c>
      <c r="T2025" s="577">
        <f t="shared" si="502"/>
        <v>0</v>
      </c>
      <c r="U2025" s="578">
        <f t="shared" si="503"/>
        <v>0</v>
      </c>
      <c r="V2025" s="579"/>
      <c r="W2025" s="566"/>
      <c r="X2025" s="586" t="str">
        <f t="shared" si="496"/>
        <v/>
      </c>
      <c r="Y2025" s="586" t="str">
        <f t="shared" si="431"/>
        <v/>
      </c>
      <c r="Z2025" s="586" t="str">
        <f t="shared" si="517"/>
        <v/>
      </c>
    </row>
    <row r="2026" spans="1:26" ht="12" hidden="1" thickBot="1" x14ac:dyDescent="0.25">
      <c r="A2026" s="567" t="s">
        <v>168</v>
      </c>
      <c r="B2026" s="644" t="s">
        <v>168</v>
      </c>
      <c r="C2026" s="645"/>
      <c r="D2026" s="422" t="s">
        <v>212</v>
      </c>
      <c r="E2026" s="423"/>
      <c r="F2026" s="424">
        <v>500</v>
      </c>
      <c r="G2026" s="425">
        <v>1.9E-3</v>
      </c>
      <c r="H2026" s="649">
        <f>IF(F2026&lt;=30,(0.78*F2026+7.82)*G2026,((0.78*30+7.82)+0.78*(F2026-30))*G2026)</f>
        <v>0.75585800000000014</v>
      </c>
      <c r="I2026" s="420"/>
      <c r="J2026" s="420"/>
      <c r="K2026" s="421">
        <f t="shared" si="501"/>
        <v>0</v>
      </c>
      <c r="L2026" s="647"/>
      <c r="M2026" s="723"/>
      <c r="N2026" s="576">
        <f t="shared" si="511"/>
        <v>0</v>
      </c>
      <c r="O2026" s="577">
        <f t="shared" si="504"/>
        <v>0</v>
      </c>
      <c r="P2026" s="578">
        <f t="shared" si="505"/>
        <v>0</v>
      </c>
      <c r="Q2026" s="765"/>
      <c r="R2026" s="723"/>
      <c r="S2026" s="723"/>
      <c r="T2026" s="577">
        <f t="shared" si="502"/>
        <v>0</v>
      </c>
      <c r="U2026" s="578">
        <f t="shared" si="503"/>
        <v>0</v>
      </c>
      <c r="V2026" s="579"/>
      <c r="W2026" s="566" t="str">
        <f>IF(U2025&gt;0,"xx",IF(P2025&gt;0,"xy",""))</f>
        <v/>
      </c>
      <c r="X2026" s="586" t="str">
        <f t="shared" si="496"/>
        <v/>
      </c>
      <c r="Y2026" s="586" t="str">
        <f t="shared" si="431"/>
        <v/>
      </c>
      <c r="Z2026" s="586" t="str">
        <f t="shared" si="517"/>
        <v/>
      </c>
    </row>
    <row r="2027" spans="1:26" ht="12" hidden="1" thickBot="1" x14ac:dyDescent="0.25">
      <c r="A2027" s="567" t="s">
        <v>168</v>
      </c>
      <c r="B2027" s="644" t="s">
        <v>168</v>
      </c>
      <c r="C2027" s="645"/>
      <c r="D2027" s="422" t="s">
        <v>248</v>
      </c>
      <c r="E2027" s="423"/>
      <c r="F2027" s="424">
        <v>180</v>
      </c>
      <c r="G2027" s="425">
        <v>0.01</v>
      </c>
      <c r="H2027" s="663">
        <f t="shared" ref="H2027:H2028" si="518">IF(F2027&lt;=30,(1.07*F2027+2.68)*G2027,((1.07*30+2.68)+1.07*(F2027-30))*G2027)</f>
        <v>1.9528000000000001</v>
      </c>
      <c r="I2027" s="420"/>
      <c r="J2027" s="420"/>
      <c r="K2027" s="421">
        <f t="shared" si="501"/>
        <v>0</v>
      </c>
      <c r="L2027" s="647"/>
      <c r="M2027" s="723"/>
      <c r="N2027" s="576">
        <f t="shared" si="511"/>
        <v>0</v>
      </c>
      <c r="O2027" s="577">
        <f t="shared" si="504"/>
        <v>0</v>
      </c>
      <c r="P2027" s="578">
        <f t="shared" si="505"/>
        <v>0</v>
      </c>
      <c r="Q2027" s="765"/>
      <c r="R2027" s="723"/>
      <c r="S2027" s="723"/>
      <c r="T2027" s="577">
        <f t="shared" si="502"/>
        <v>0</v>
      </c>
      <c r="U2027" s="578">
        <f t="shared" si="503"/>
        <v>0</v>
      </c>
      <c r="V2027" s="579"/>
      <c r="W2027" s="566" t="str">
        <f>IF(U2025&gt;0,"xx",IF(P2025&gt;0,"xy",""))</f>
        <v/>
      </c>
      <c r="X2027" s="586" t="str">
        <f t="shared" si="496"/>
        <v/>
      </c>
      <c r="Y2027" s="586" t="str">
        <f t="shared" si="431"/>
        <v/>
      </c>
      <c r="Z2027" s="586" t="str">
        <f t="shared" si="517"/>
        <v/>
      </c>
    </row>
    <row r="2028" spans="1:26" ht="12" hidden="1" thickBot="1" x14ac:dyDescent="0.25">
      <c r="A2028" s="567" t="s">
        <v>168</v>
      </c>
      <c r="B2028" s="644" t="s">
        <v>168</v>
      </c>
      <c r="C2028" s="645"/>
      <c r="D2028" s="422" t="s">
        <v>347</v>
      </c>
      <c r="E2028" s="423"/>
      <c r="F2028" s="424">
        <v>20</v>
      </c>
      <c r="G2028" s="425">
        <v>0.11</v>
      </c>
      <c r="H2028" s="663">
        <f t="shared" si="518"/>
        <v>2.6488</v>
      </c>
      <c r="I2028" s="420"/>
      <c r="J2028" s="420"/>
      <c r="K2028" s="421">
        <f t="shared" si="501"/>
        <v>0</v>
      </c>
      <c r="L2028" s="647"/>
      <c r="M2028" s="723"/>
      <c r="N2028" s="576">
        <f t="shared" si="511"/>
        <v>0</v>
      </c>
      <c r="O2028" s="577">
        <f t="shared" si="504"/>
        <v>0</v>
      </c>
      <c r="P2028" s="578">
        <f t="shared" si="505"/>
        <v>0</v>
      </c>
      <c r="Q2028" s="765"/>
      <c r="R2028" s="723"/>
      <c r="S2028" s="723"/>
      <c r="T2028" s="577">
        <f t="shared" si="502"/>
        <v>0</v>
      </c>
      <c r="U2028" s="578">
        <f t="shared" si="503"/>
        <v>0</v>
      </c>
      <c r="V2028" s="579"/>
      <c r="W2028" s="566" t="str">
        <f>IF(U2025&gt;0,"xx",IF(P2025&gt;0,"xy",""))</f>
        <v/>
      </c>
      <c r="X2028" s="586" t="str">
        <f t="shared" si="496"/>
        <v/>
      </c>
      <c r="Y2028" s="586" t="str">
        <f t="shared" si="431"/>
        <v/>
      </c>
      <c r="Z2028" s="586" t="str">
        <f t="shared" si="517"/>
        <v/>
      </c>
    </row>
    <row r="2029" spans="1:26" ht="12" hidden="1" thickBot="1" x14ac:dyDescent="0.25">
      <c r="A2029" s="567">
        <v>610600</v>
      </c>
      <c r="B2029" s="644" t="s">
        <v>1674</v>
      </c>
      <c r="C2029" s="645" t="s">
        <v>206</v>
      </c>
      <c r="D2029" s="422" t="s">
        <v>578</v>
      </c>
      <c r="E2029" s="423"/>
      <c r="F2029" s="424"/>
      <c r="G2029" s="425"/>
      <c r="H2029" s="651">
        <f>SUM(H2030:H2032)</f>
        <v>9.2197619999999993</v>
      </c>
      <c r="I2029" s="420">
        <v>197.23499999999999</v>
      </c>
      <c r="J2029" s="420">
        <f>IF(ISBLANK(I2029),"",SUM(H2029:I2029))</f>
        <v>206.45476199999999</v>
      </c>
      <c r="K2029" s="421">
        <f t="shared" si="501"/>
        <v>245.29</v>
      </c>
      <c r="L2029" s="647" t="s">
        <v>19</v>
      </c>
      <c r="M2029" s="576"/>
      <c r="N2029" s="576">
        <f t="shared" si="511"/>
        <v>0</v>
      </c>
      <c r="O2029" s="577">
        <f t="shared" si="504"/>
        <v>0</v>
      </c>
      <c r="P2029" s="578">
        <f t="shared" si="505"/>
        <v>0</v>
      </c>
      <c r="Q2029" s="765"/>
      <c r="R2029" s="576">
        <f>M2029</f>
        <v>0</v>
      </c>
      <c r="S2029" s="576">
        <f>N2029</f>
        <v>0</v>
      </c>
      <c r="T2029" s="577">
        <f t="shared" si="502"/>
        <v>0</v>
      </c>
      <c r="U2029" s="578">
        <f t="shared" si="503"/>
        <v>0</v>
      </c>
      <c r="V2029" s="579"/>
      <c r="W2029" s="566"/>
      <c r="X2029" s="586" t="str">
        <f t="shared" si="496"/>
        <v/>
      </c>
      <c r="Y2029" s="586" t="str">
        <f t="shared" si="431"/>
        <v/>
      </c>
      <c r="Z2029" s="586" t="str">
        <f t="shared" si="517"/>
        <v/>
      </c>
    </row>
    <row r="2030" spans="1:26" ht="12" hidden="1" thickBot="1" x14ac:dyDescent="0.25">
      <c r="A2030" s="567" t="s">
        <v>168</v>
      </c>
      <c r="B2030" s="644" t="s">
        <v>168</v>
      </c>
      <c r="C2030" s="645"/>
      <c r="D2030" s="422" t="s">
        <v>212</v>
      </c>
      <c r="E2030" s="423"/>
      <c r="F2030" s="424">
        <v>500</v>
      </c>
      <c r="G2030" s="425">
        <v>2.3E-3</v>
      </c>
      <c r="H2030" s="649">
        <f>IF(F2030&lt;=30,(0.78*F2030+7.82)*G2030,((0.78*30+7.82)+0.78*(F2030-30))*G2030)</f>
        <v>0.91498600000000008</v>
      </c>
      <c r="I2030" s="420"/>
      <c r="J2030" s="420"/>
      <c r="K2030" s="421">
        <f t="shared" si="501"/>
        <v>0</v>
      </c>
      <c r="L2030" s="647"/>
      <c r="M2030" s="723"/>
      <c r="N2030" s="576">
        <f t="shared" si="511"/>
        <v>0</v>
      </c>
      <c r="O2030" s="577">
        <f t="shared" si="504"/>
        <v>0</v>
      </c>
      <c r="P2030" s="578">
        <f t="shared" si="505"/>
        <v>0</v>
      </c>
      <c r="Q2030" s="765"/>
      <c r="R2030" s="723"/>
      <c r="S2030" s="723"/>
      <c r="T2030" s="577">
        <f t="shared" si="502"/>
        <v>0</v>
      </c>
      <c r="U2030" s="578">
        <f t="shared" si="503"/>
        <v>0</v>
      </c>
      <c r="V2030" s="579"/>
      <c r="W2030" s="566" t="str">
        <f>IF(U2029&gt;0,"xx",IF(P2029&gt;0,"xy",""))</f>
        <v/>
      </c>
      <c r="X2030" s="586" t="str">
        <f t="shared" si="496"/>
        <v/>
      </c>
      <c r="Y2030" s="586" t="str">
        <f t="shared" si="431"/>
        <v/>
      </c>
      <c r="Z2030" s="586" t="str">
        <f t="shared" si="517"/>
        <v/>
      </c>
    </row>
    <row r="2031" spans="1:26" ht="12" hidden="1" thickBot="1" x14ac:dyDescent="0.25">
      <c r="A2031" s="567" t="s">
        <v>168</v>
      </c>
      <c r="B2031" s="644" t="s">
        <v>168</v>
      </c>
      <c r="C2031" s="645"/>
      <c r="D2031" s="422" t="s">
        <v>248</v>
      </c>
      <c r="E2031" s="423"/>
      <c r="F2031" s="424">
        <v>180</v>
      </c>
      <c r="G2031" s="425">
        <v>1.17E-2</v>
      </c>
      <c r="H2031" s="663">
        <f t="shared" ref="H2031:H2032" si="519">IF(F2031&lt;=30,(1.07*F2031+2.68)*G2031,((1.07*30+2.68)+1.07*(F2031-30))*G2031)</f>
        <v>2.2847759999999999</v>
      </c>
      <c r="I2031" s="420"/>
      <c r="J2031" s="420"/>
      <c r="K2031" s="421">
        <f t="shared" si="501"/>
        <v>0</v>
      </c>
      <c r="L2031" s="647"/>
      <c r="M2031" s="723"/>
      <c r="N2031" s="576">
        <f t="shared" si="511"/>
        <v>0</v>
      </c>
      <c r="O2031" s="577">
        <f t="shared" si="504"/>
        <v>0</v>
      </c>
      <c r="P2031" s="578">
        <f t="shared" si="505"/>
        <v>0</v>
      </c>
      <c r="Q2031" s="765"/>
      <c r="R2031" s="723"/>
      <c r="S2031" s="723"/>
      <c r="T2031" s="577">
        <f t="shared" si="502"/>
        <v>0</v>
      </c>
      <c r="U2031" s="578">
        <f t="shared" si="503"/>
        <v>0</v>
      </c>
      <c r="V2031" s="579"/>
      <c r="W2031" s="566" t="str">
        <f>IF(U2029&gt;0,"xx",IF(P2029&gt;0,"xy",""))</f>
        <v/>
      </c>
      <c r="X2031" s="586" t="str">
        <f t="shared" si="496"/>
        <v/>
      </c>
      <c r="Y2031" s="586" t="str">
        <f t="shared" si="431"/>
        <v/>
      </c>
      <c r="Z2031" s="586" t="str">
        <f t="shared" si="517"/>
        <v/>
      </c>
    </row>
    <row r="2032" spans="1:26" ht="12" hidden="1" thickBot="1" x14ac:dyDescent="0.25">
      <c r="A2032" s="567" t="s">
        <v>168</v>
      </c>
      <c r="B2032" s="644" t="s">
        <v>168</v>
      </c>
      <c r="C2032" s="645"/>
      <c r="D2032" s="422" t="s">
        <v>347</v>
      </c>
      <c r="E2032" s="423"/>
      <c r="F2032" s="424">
        <v>20</v>
      </c>
      <c r="G2032" s="425">
        <v>0.25</v>
      </c>
      <c r="H2032" s="663">
        <f t="shared" si="519"/>
        <v>6.0200000000000005</v>
      </c>
      <c r="I2032" s="420"/>
      <c r="J2032" s="420"/>
      <c r="K2032" s="421">
        <f t="shared" si="501"/>
        <v>0</v>
      </c>
      <c r="L2032" s="647"/>
      <c r="M2032" s="723"/>
      <c r="N2032" s="576">
        <f t="shared" si="511"/>
        <v>0</v>
      </c>
      <c r="O2032" s="577">
        <f t="shared" si="504"/>
        <v>0</v>
      </c>
      <c r="P2032" s="578">
        <f t="shared" si="505"/>
        <v>0</v>
      </c>
      <c r="Q2032" s="765"/>
      <c r="R2032" s="723"/>
      <c r="S2032" s="723"/>
      <c r="T2032" s="577">
        <f t="shared" si="502"/>
        <v>0</v>
      </c>
      <c r="U2032" s="578">
        <f t="shared" si="503"/>
        <v>0</v>
      </c>
      <c r="V2032" s="579"/>
      <c r="W2032" s="566" t="str">
        <f>IF(U2029&gt;0,"xx",IF(P2029&gt;0,"xy",""))</f>
        <v/>
      </c>
      <c r="X2032" s="586" t="str">
        <f t="shared" si="496"/>
        <v/>
      </c>
      <c r="Y2032" s="586" t="str">
        <f t="shared" si="431"/>
        <v/>
      </c>
      <c r="Z2032" s="586" t="str">
        <f t="shared" si="517"/>
        <v/>
      </c>
    </row>
    <row r="2033" spans="1:26" ht="12" hidden="1" thickBot="1" x14ac:dyDescent="0.25">
      <c r="A2033" s="567">
        <v>610600</v>
      </c>
      <c r="B2033" s="644" t="s">
        <v>1675</v>
      </c>
      <c r="C2033" s="645" t="s">
        <v>206</v>
      </c>
      <c r="D2033" s="422" t="s">
        <v>377</v>
      </c>
      <c r="E2033" s="423"/>
      <c r="F2033" s="424"/>
      <c r="G2033" s="425"/>
      <c r="H2033" s="651">
        <f>SUM(H2034:H2036)</f>
        <v>13.042284000000002</v>
      </c>
      <c r="I2033" s="420">
        <v>267.11999999999995</v>
      </c>
      <c r="J2033" s="420">
        <f>IF(ISBLANK(I2033),"",SUM(H2033:I2033))</f>
        <v>280.16228399999994</v>
      </c>
      <c r="K2033" s="421">
        <f t="shared" si="501"/>
        <v>332.86</v>
      </c>
      <c r="L2033" s="647" t="s">
        <v>19</v>
      </c>
      <c r="M2033" s="576"/>
      <c r="N2033" s="576">
        <f t="shared" si="511"/>
        <v>0</v>
      </c>
      <c r="O2033" s="577">
        <f t="shared" si="504"/>
        <v>0</v>
      </c>
      <c r="P2033" s="578">
        <f t="shared" si="505"/>
        <v>0</v>
      </c>
      <c r="Q2033" s="765"/>
      <c r="R2033" s="576">
        <f>M2033</f>
        <v>0</v>
      </c>
      <c r="S2033" s="576">
        <f>N2033</f>
        <v>0</v>
      </c>
      <c r="T2033" s="577">
        <f t="shared" si="502"/>
        <v>0</v>
      </c>
      <c r="U2033" s="578">
        <f t="shared" si="503"/>
        <v>0</v>
      </c>
      <c r="V2033" s="579"/>
      <c r="W2033" s="566"/>
      <c r="X2033" s="586" t="str">
        <f t="shared" si="496"/>
        <v/>
      </c>
      <c r="Y2033" s="586" t="str">
        <f t="shared" si="431"/>
        <v/>
      </c>
      <c r="Z2033" s="586" t="str">
        <f t="shared" si="517"/>
        <v/>
      </c>
    </row>
    <row r="2034" spans="1:26" ht="12" hidden="1" thickBot="1" x14ac:dyDescent="0.25">
      <c r="A2034" s="567" t="s">
        <v>168</v>
      </c>
      <c r="B2034" s="644" t="s">
        <v>168</v>
      </c>
      <c r="C2034" s="645"/>
      <c r="D2034" s="422" t="s">
        <v>212</v>
      </c>
      <c r="E2034" s="423"/>
      <c r="F2034" s="424">
        <v>500</v>
      </c>
      <c r="G2034" s="425">
        <v>2.5999999999999999E-3</v>
      </c>
      <c r="H2034" s="649">
        <f>IF(F2034&lt;=30,(0.78*F2034+7.82)*G2034,((0.78*30+7.82)+0.78*(F2034-30))*G2034)</f>
        <v>1.034332</v>
      </c>
      <c r="I2034" s="420"/>
      <c r="J2034" s="420"/>
      <c r="K2034" s="421">
        <f t="shared" si="501"/>
        <v>0</v>
      </c>
      <c r="L2034" s="647"/>
      <c r="M2034" s="723"/>
      <c r="N2034" s="576">
        <f t="shared" si="511"/>
        <v>0</v>
      </c>
      <c r="O2034" s="577">
        <f t="shared" si="504"/>
        <v>0</v>
      </c>
      <c r="P2034" s="578">
        <f t="shared" si="505"/>
        <v>0</v>
      </c>
      <c r="Q2034" s="765"/>
      <c r="R2034" s="723"/>
      <c r="S2034" s="723"/>
      <c r="T2034" s="577">
        <f t="shared" si="502"/>
        <v>0</v>
      </c>
      <c r="U2034" s="578">
        <f t="shared" si="503"/>
        <v>0</v>
      </c>
      <c r="V2034" s="579"/>
      <c r="W2034" s="566" t="str">
        <f>IF(U2033&gt;0,"xx",IF(P2033&gt;0,"xy",""))</f>
        <v/>
      </c>
      <c r="X2034" s="586" t="str">
        <f t="shared" si="496"/>
        <v/>
      </c>
      <c r="Y2034" s="586" t="str">
        <f t="shared" si="431"/>
        <v/>
      </c>
      <c r="Z2034" s="586" t="str">
        <f t="shared" si="517"/>
        <v/>
      </c>
    </row>
    <row r="2035" spans="1:26" ht="12" hidden="1" thickBot="1" x14ac:dyDescent="0.25">
      <c r="A2035" s="567" t="s">
        <v>168</v>
      </c>
      <c r="B2035" s="644" t="s">
        <v>168</v>
      </c>
      <c r="C2035" s="645"/>
      <c r="D2035" s="422" t="s">
        <v>248</v>
      </c>
      <c r="E2035" s="423"/>
      <c r="F2035" s="424">
        <v>180</v>
      </c>
      <c r="G2035" s="425">
        <v>1.34E-2</v>
      </c>
      <c r="H2035" s="663">
        <f t="shared" ref="H2035:H2036" si="520">IF(F2035&lt;=30,(1.07*F2035+2.68)*G2035,((1.07*30+2.68)+1.07*(F2035-30))*G2035)</f>
        <v>2.616752</v>
      </c>
      <c r="I2035" s="420"/>
      <c r="J2035" s="420"/>
      <c r="K2035" s="421">
        <f t="shared" si="501"/>
        <v>0</v>
      </c>
      <c r="L2035" s="647"/>
      <c r="M2035" s="723"/>
      <c r="N2035" s="576">
        <f t="shared" si="511"/>
        <v>0</v>
      </c>
      <c r="O2035" s="577">
        <f t="shared" si="504"/>
        <v>0</v>
      </c>
      <c r="P2035" s="578">
        <f t="shared" si="505"/>
        <v>0</v>
      </c>
      <c r="Q2035" s="765"/>
      <c r="R2035" s="723"/>
      <c r="S2035" s="723"/>
      <c r="T2035" s="577">
        <f t="shared" si="502"/>
        <v>0</v>
      </c>
      <c r="U2035" s="578">
        <f t="shared" si="503"/>
        <v>0</v>
      </c>
      <c r="V2035" s="579"/>
      <c r="W2035" s="566" t="str">
        <f>IF(U2033&gt;0,"xx",IF(P2033&gt;0,"xy",""))</f>
        <v/>
      </c>
      <c r="X2035" s="586" t="str">
        <f t="shared" si="496"/>
        <v/>
      </c>
      <c r="Y2035" s="586" t="str">
        <f t="shared" si="431"/>
        <v/>
      </c>
      <c r="Z2035" s="586" t="str">
        <f t="shared" si="517"/>
        <v/>
      </c>
    </row>
    <row r="2036" spans="1:26" ht="12" hidden="1" thickBot="1" x14ac:dyDescent="0.25">
      <c r="A2036" s="567" t="s">
        <v>168</v>
      </c>
      <c r="B2036" s="644" t="s">
        <v>168</v>
      </c>
      <c r="C2036" s="645"/>
      <c r="D2036" s="422" t="s">
        <v>347</v>
      </c>
      <c r="E2036" s="423"/>
      <c r="F2036" s="424">
        <v>20</v>
      </c>
      <c r="G2036" s="425">
        <v>0.39</v>
      </c>
      <c r="H2036" s="663">
        <f t="shared" si="520"/>
        <v>9.3912000000000013</v>
      </c>
      <c r="I2036" s="420"/>
      <c r="J2036" s="420"/>
      <c r="K2036" s="421">
        <f t="shared" si="501"/>
        <v>0</v>
      </c>
      <c r="L2036" s="647"/>
      <c r="M2036" s="723"/>
      <c r="N2036" s="576">
        <f t="shared" si="511"/>
        <v>0</v>
      </c>
      <c r="O2036" s="577">
        <f t="shared" si="504"/>
        <v>0</v>
      </c>
      <c r="P2036" s="578">
        <f t="shared" si="505"/>
        <v>0</v>
      </c>
      <c r="Q2036" s="765"/>
      <c r="R2036" s="723"/>
      <c r="S2036" s="723"/>
      <c r="T2036" s="577">
        <f t="shared" si="502"/>
        <v>0</v>
      </c>
      <c r="U2036" s="578">
        <f t="shared" si="503"/>
        <v>0</v>
      </c>
      <c r="V2036" s="579"/>
      <c r="W2036" s="566" t="str">
        <f>IF(U2033&gt;0,"xx",IF(P2033&gt;0,"xy",""))</f>
        <v/>
      </c>
      <c r="X2036" s="586" t="str">
        <f t="shared" si="496"/>
        <v/>
      </c>
      <c r="Y2036" s="586" t="str">
        <f t="shared" si="431"/>
        <v/>
      </c>
      <c r="Z2036" s="586" t="str">
        <f t="shared" si="517"/>
        <v/>
      </c>
    </row>
    <row r="2037" spans="1:26" ht="12" hidden="1" thickBot="1" x14ac:dyDescent="0.25">
      <c r="A2037" s="567">
        <v>610800</v>
      </c>
      <c r="B2037" s="644" t="s">
        <v>1679</v>
      </c>
      <c r="C2037" s="645" t="s">
        <v>206</v>
      </c>
      <c r="D2037" s="422" t="s">
        <v>576</v>
      </c>
      <c r="E2037" s="423"/>
      <c r="F2037" s="424"/>
      <c r="G2037" s="425"/>
      <c r="H2037" s="651">
        <f>SUM(H2038:H2040)</f>
        <v>16.864806000000002</v>
      </c>
      <c r="I2037" s="420">
        <v>366.05500000000001</v>
      </c>
      <c r="J2037" s="420">
        <f>IF(ISBLANK(I2037),"",SUM(H2037:I2037))</f>
        <v>382.91980599999999</v>
      </c>
      <c r="K2037" s="421">
        <f t="shared" si="501"/>
        <v>454.95</v>
      </c>
      <c r="L2037" s="647" t="s">
        <v>19</v>
      </c>
      <c r="M2037" s="576"/>
      <c r="N2037" s="576">
        <f t="shared" si="511"/>
        <v>0</v>
      </c>
      <c r="O2037" s="577">
        <f t="shared" si="504"/>
        <v>0</v>
      </c>
      <c r="P2037" s="578">
        <f t="shared" si="505"/>
        <v>0</v>
      </c>
      <c r="Q2037" s="765"/>
      <c r="R2037" s="576">
        <f>M2037</f>
        <v>0</v>
      </c>
      <c r="S2037" s="576">
        <f>N2037</f>
        <v>0</v>
      </c>
      <c r="T2037" s="577">
        <f t="shared" si="502"/>
        <v>0</v>
      </c>
      <c r="U2037" s="578">
        <f t="shared" si="503"/>
        <v>0</v>
      </c>
      <c r="V2037" s="579"/>
      <c r="W2037" s="566"/>
      <c r="X2037" s="586" t="str">
        <f t="shared" si="496"/>
        <v/>
      </c>
      <c r="Y2037" s="586" t="str">
        <f t="shared" si="431"/>
        <v/>
      </c>
      <c r="Z2037" s="586" t="str">
        <f t="shared" si="517"/>
        <v/>
      </c>
    </row>
    <row r="2038" spans="1:26" ht="12" hidden="1" thickBot="1" x14ac:dyDescent="0.25">
      <c r="A2038" s="567" t="s">
        <v>168</v>
      </c>
      <c r="B2038" s="644" t="s">
        <v>168</v>
      </c>
      <c r="C2038" s="645"/>
      <c r="D2038" s="422" t="s">
        <v>212</v>
      </c>
      <c r="E2038" s="423"/>
      <c r="F2038" s="424">
        <v>500</v>
      </c>
      <c r="G2038" s="425">
        <v>2.8999999999999998E-3</v>
      </c>
      <c r="H2038" s="649">
        <f>IF(F2038&lt;=30,(0.78*F2038+7.82)*G2038,((0.78*30+7.82)+0.78*(F2038-30))*G2038)</f>
        <v>1.153678</v>
      </c>
      <c r="I2038" s="420"/>
      <c r="J2038" s="420"/>
      <c r="K2038" s="421">
        <f t="shared" si="501"/>
        <v>0</v>
      </c>
      <c r="L2038" s="647"/>
      <c r="M2038" s="723"/>
      <c r="N2038" s="576">
        <f t="shared" si="511"/>
        <v>0</v>
      </c>
      <c r="O2038" s="577">
        <f t="shared" si="504"/>
        <v>0</v>
      </c>
      <c r="P2038" s="578">
        <f t="shared" si="505"/>
        <v>0</v>
      </c>
      <c r="Q2038" s="765"/>
      <c r="R2038" s="723"/>
      <c r="S2038" s="723"/>
      <c r="T2038" s="577">
        <f t="shared" si="502"/>
        <v>0</v>
      </c>
      <c r="U2038" s="578">
        <f t="shared" si="503"/>
        <v>0</v>
      </c>
      <c r="V2038" s="579"/>
      <c r="W2038" s="566" t="str">
        <f>IF(U2037&gt;0,"xx",IF(P2037&gt;0,"xy",""))</f>
        <v/>
      </c>
      <c r="X2038" s="586" t="str">
        <f t="shared" si="496"/>
        <v/>
      </c>
      <c r="Y2038" s="586" t="str">
        <f t="shared" si="431"/>
        <v/>
      </c>
      <c r="Z2038" s="586" t="str">
        <f t="shared" si="517"/>
        <v/>
      </c>
    </row>
    <row r="2039" spans="1:26" ht="12" hidden="1" thickBot="1" x14ac:dyDescent="0.25">
      <c r="A2039" s="567" t="s">
        <v>168</v>
      </c>
      <c r="B2039" s="644" t="s">
        <v>168</v>
      </c>
      <c r="C2039" s="645"/>
      <c r="D2039" s="422" t="s">
        <v>248</v>
      </c>
      <c r="E2039" s="423"/>
      <c r="F2039" s="424">
        <v>180</v>
      </c>
      <c r="G2039" s="425">
        <v>1.5100000000000001E-2</v>
      </c>
      <c r="H2039" s="663">
        <f t="shared" ref="H2039:H2040" si="521">IF(F2039&lt;=30,(1.07*F2039+2.68)*G2039,((1.07*30+2.68)+1.07*(F2039-30))*G2039)</f>
        <v>2.948728</v>
      </c>
      <c r="I2039" s="420"/>
      <c r="J2039" s="420"/>
      <c r="K2039" s="421">
        <f t="shared" si="501"/>
        <v>0</v>
      </c>
      <c r="L2039" s="647"/>
      <c r="M2039" s="723"/>
      <c r="N2039" s="576">
        <f t="shared" si="511"/>
        <v>0</v>
      </c>
      <c r="O2039" s="577">
        <f t="shared" si="504"/>
        <v>0</v>
      </c>
      <c r="P2039" s="578">
        <f t="shared" si="505"/>
        <v>0</v>
      </c>
      <c r="Q2039" s="765"/>
      <c r="R2039" s="723"/>
      <c r="S2039" s="723"/>
      <c r="T2039" s="577">
        <f t="shared" si="502"/>
        <v>0</v>
      </c>
      <c r="U2039" s="578">
        <f t="shared" si="503"/>
        <v>0</v>
      </c>
      <c r="V2039" s="579"/>
      <c r="W2039" s="566" t="str">
        <f>IF(U2037&gt;0,"xx",IF(P2037&gt;0,"xy",""))</f>
        <v/>
      </c>
      <c r="X2039" s="586" t="str">
        <f t="shared" ref="X2039:X2119" si="522">IF(W2039="X","x",IF(W2039="xx","x",IF(W2039="xy","x",IF(W2039="y","x",IF(OR(P2039&gt;0,U2039&gt;0),"x","")))))</f>
        <v/>
      </c>
      <c r="Y2039" s="586" t="str">
        <f t="shared" si="431"/>
        <v/>
      </c>
      <c r="Z2039" s="586" t="str">
        <f t="shared" si="517"/>
        <v/>
      </c>
    </row>
    <row r="2040" spans="1:26" ht="12" hidden="1" thickBot="1" x14ac:dyDescent="0.25">
      <c r="A2040" s="567" t="s">
        <v>168</v>
      </c>
      <c r="B2040" s="644" t="s">
        <v>168</v>
      </c>
      <c r="C2040" s="645"/>
      <c r="D2040" s="422" t="s">
        <v>347</v>
      </c>
      <c r="E2040" s="423"/>
      <c r="F2040" s="424">
        <v>20</v>
      </c>
      <c r="G2040" s="425">
        <v>0.53</v>
      </c>
      <c r="H2040" s="663">
        <f t="shared" si="521"/>
        <v>12.762400000000001</v>
      </c>
      <c r="I2040" s="420"/>
      <c r="J2040" s="420"/>
      <c r="K2040" s="421">
        <f t="shared" si="501"/>
        <v>0</v>
      </c>
      <c r="L2040" s="647"/>
      <c r="M2040" s="723"/>
      <c r="N2040" s="576">
        <f t="shared" si="511"/>
        <v>0</v>
      </c>
      <c r="O2040" s="577">
        <f t="shared" si="504"/>
        <v>0</v>
      </c>
      <c r="P2040" s="578">
        <f t="shared" si="505"/>
        <v>0</v>
      </c>
      <c r="Q2040" s="765"/>
      <c r="R2040" s="723"/>
      <c r="S2040" s="723"/>
      <c r="T2040" s="577">
        <f t="shared" si="502"/>
        <v>0</v>
      </c>
      <c r="U2040" s="578">
        <f t="shared" si="503"/>
        <v>0</v>
      </c>
      <c r="V2040" s="579"/>
      <c r="W2040" s="566" t="str">
        <f>IF(U2037&gt;0,"xx",IF(P2037&gt;0,"xy",""))</f>
        <v/>
      </c>
      <c r="X2040" s="586" t="str">
        <f t="shared" si="522"/>
        <v/>
      </c>
      <c r="Y2040" s="586" t="str">
        <f t="shared" si="431"/>
        <v/>
      </c>
      <c r="Z2040" s="586" t="str">
        <f t="shared" si="517"/>
        <v/>
      </c>
    </row>
    <row r="2041" spans="1:26" ht="12" hidden="1" thickBot="1" x14ac:dyDescent="0.25">
      <c r="A2041" s="567">
        <v>610800</v>
      </c>
      <c r="B2041" s="644" t="s">
        <v>1680</v>
      </c>
      <c r="C2041" s="645" t="s">
        <v>206</v>
      </c>
      <c r="D2041" s="422" t="s">
        <v>378</v>
      </c>
      <c r="E2041" s="423"/>
      <c r="F2041" s="424"/>
      <c r="G2041" s="425"/>
      <c r="H2041" s="651">
        <f>SUM(H2042:H2044)</f>
        <v>20.687328000000001</v>
      </c>
      <c r="I2041" s="420">
        <v>464.99</v>
      </c>
      <c r="J2041" s="420">
        <f>IF(ISBLANK(I2041),"",SUM(H2041:I2041))</f>
        <v>485.67732799999999</v>
      </c>
      <c r="K2041" s="421">
        <f t="shared" si="501"/>
        <v>577.03</v>
      </c>
      <c r="L2041" s="647" t="s">
        <v>19</v>
      </c>
      <c r="M2041" s="576"/>
      <c r="N2041" s="576">
        <f t="shared" si="511"/>
        <v>0</v>
      </c>
      <c r="O2041" s="577">
        <f t="shared" si="504"/>
        <v>0</v>
      </c>
      <c r="P2041" s="578">
        <f t="shared" si="505"/>
        <v>0</v>
      </c>
      <c r="Q2041" s="765"/>
      <c r="R2041" s="576">
        <f>M2041</f>
        <v>0</v>
      </c>
      <c r="S2041" s="576">
        <f>N2041</f>
        <v>0</v>
      </c>
      <c r="T2041" s="577">
        <f t="shared" si="502"/>
        <v>0</v>
      </c>
      <c r="U2041" s="578">
        <f t="shared" si="503"/>
        <v>0</v>
      </c>
      <c r="V2041" s="579"/>
      <c r="W2041" s="566"/>
      <c r="X2041" s="586" t="str">
        <f t="shared" si="522"/>
        <v/>
      </c>
      <c r="Y2041" s="586" t="str">
        <f t="shared" si="431"/>
        <v/>
      </c>
      <c r="Z2041" s="586" t="str">
        <f t="shared" si="517"/>
        <v/>
      </c>
    </row>
    <row r="2042" spans="1:26" ht="12" hidden="1" thickBot="1" x14ac:dyDescent="0.25">
      <c r="A2042" s="567" t="s">
        <v>168</v>
      </c>
      <c r="B2042" s="644" t="s">
        <v>168</v>
      </c>
      <c r="C2042" s="645"/>
      <c r="D2042" s="422" t="s">
        <v>212</v>
      </c>
      <c r="E2042" s="423"/>
      <c r="F2042" s="424">
        <v>500</v>
      </c>
      <c r="G2042" s="425">
        <v>3.2000000000000002E-3</v>
      </c>
      <c r="H2042" s="649">
        <f>IF(F2042&lt;=30,(0.78*F2042+7.82)*G2042,((0.78*30+7.82)+0.78*(F2042-30))*G2042)</f>
        <v>1.2730240000000002</v>
      </c>
      <c r="I2042" s="420"/>
      <c r="J2042" s="420"/>
      <c r="K2042" s="421">
        <f t="shared" si="501"/>
        <v>0</v>
      </c>
      <c r="L2042" s="647"/>
      <c r="M2042" s="723"/>
      <c r="N2042" s="576">
        <f t="shared" si="511"/>
        <v>0</v>
      </c>
      <c r="O2042" s="577">
        <f t="shared" si="504"/>
        <v>0</v>
      </c>
      <c r="P2042" s="578">
        <f t="shared" si="505"/>
        <v>0</v>
      </c>
      <c r="Q2042" s="765"/>
      <c r="R2042" s="723"/>
      <c r="S2042" s="723"/>
      <c r="T2042" s="577">
        <f t="shared" si="502"/>
        <v>0</v>
      </c>
      <c r="U2042" s="578">
        <f t="shared" si="503"/>
        <v>0</v>
      </c>
      <c r="V2042" s="579"/>
      <c r="W2042" s="566" t="str">
        <f>IF(U2041&gt;0,"xx",IF(P2041&gt;0,"xy",""))</f>
        <v/>
      </c>
      <c r="X2042" s="586" t="str">
        <f t="shared" si="522"/>
        <v/>
      </c>
      <c r="Y2042" s="586" t="str">
        <f t="shared" si="431"/>
        <v/>
      </c>
      <c r="Z2042" s="586" t="str">
        <f t="shared" si="517"/>
        <v/>
      </c>
    </row>
    <row r="2043" spans="1:26" ht="12" hidden="1" thickBot="1" x14ac:dyDescent="0.25">
      <c r="A2043" s="567" t="s">
        <v>168</v>
      </c>
      <c r="B2043" s="644" t="s">
        <v>168</v>
      </c>
      <c r="C2043" s="645"/>
      <c r="D2043" s="422" t="s">
        <v>248</v>
      </c>
      <c r="E2043" s="423"/>
      <c r="F2043" s="424">
        <v>180</v>
      </c>
      <c r="G2043" s="425">
        <v>1.6799999999999999E-2</v>
      </c>
      <c r="H2043" s="663">
        <f t="shared" ref="H2043:H2044" si="523">IF(F2043&lt;=30,(1.07*F2043+2.68)*G2043,((1.07*30+2.68)+1.07*(F2043-30))*G2043)</f>
        <v>3.2807039999999996</v>
      </c>
      <c r="I2043" s="420"/>
      <c r="J2043" s="420"/>
      <c r="K2043" s="421">
        <f t="shared" si="501"/>
        <v>0</v>
      </c>
      <c r="L2043" s="647"/>
      <c r="M2043" s="723"/>
      <c r="N2043" s="576">
        <f t="shared" si="511"/>
        <v>0</v>
      </c>
      <c r="O2043" s="577">
        <f t="shared" si="504"/>
        <v>0</v>
      </c>
      <c r="P2043" s="578">
        <f t="shared" si="505"/>
        <v>0</v>
      </c>
      <c r="Q2043" s="765"/>
      <c r="R2043" s="723"/>
      <c r="S2043" s="723"/>
      <c r="T2043" s="577">
        <f t="shared" si="502"/>
        <v>0</v>
      </c>
      <c r="U2043" s="578">
        <f t="shared" si="503"/>
        <v>0</v>
      </c>
      <c r="V2043" s="579"/>
      <c r="W2043" s="566" t="str">
        <f>IF(U2041&gt;0,"xx",IF(P2041&gt;0,"xy",""))</f>
        <v/>
      </c>
      <c r="X2043" s="586" t="str">
        <f t="shared" si="522"/>
        <v/>
      </c>
      <c r="Y2043" s="586" t="str">
        <f t="shared" si="431"/>
        <v/>
      </c>
      <c r="Z2043" s="586" t="str">
        <f t="shared" si="517"/>
        <v/>
      </c>
    </row>
    <row r="2044" spans="1:26" ht="12" hidden="1" thickBot="1" x14ac:dyDescent="0.25">
      <c r="A2044" s="567" t="s">
        <v>168</v>
      </c>
      <c r="B2044" s="644" t="s">
        <v>168</v>
      </c>
      <c r="C2044" s="645"/>
      <c r="D2044" s="422" t="s">
        <v>347</v>
      </c>
      <c r="E2044" s="423"/>
      <c r="F2044" s="424">
        <v>20</v>
      </c>
      <c r="G2044" s="425">
        <v>0.67</v>
      </c>
      <c r="H2044" s="663">
        <f t="shared" si="523"/>
        <v>16.133600000000001</v>
      </c>
      <c r="I2044" s="420"/>
      <c r="J2044" s="420"/>
      <c r="K2044" s="421">
        <f t="shared" si="501"/>
        <v>0</v>
      </c>
      <c r="L2044" s="647"/>
      <c r="M2044" s="723"/>
      <c r="N2044" s="576">
        <f t="shared" si="511"/>
        <v>0</v>
      </c>
      <c r="O2044" s="577">
        <f t="shared" si="504"/>
        <v>0</v>
      </c>
      <c r="P2044" s="578">
        <f t="shared" si="505"/>
        <v>0</v>
      </c>
      <c r="Q2044" s="765"/>
      <c r="R2044" s="723"/>
      <c r="S2044" s="723"/>
      <c r="T2044" s="577">
        <f t="shared" si="502"/>
        <v>0</v>
      </c>
      <c r="U2044" s="578">
        <f t="shared" si="503"/>
        <v>0</v>
      </c>
      <c r="V2044" s="579"/>
      <c r="W2044" s="566" t="str">
        <f>IF(U2041&gt;0,"xx",IF(P2041&gt;0,"xy",""))</f>
        <v/>
      </c>
      <c r="X2044" s="586" t="str">
        <f t="shared" si="522"/>
        <v/>
      </c>
      <c r="Y2044" s="586" t="str">
        <f t="shared" si="431"/>
        <v/>
      </c>
      <c r="Z2044" s="586" t="str">
        <f t="shared" si="517"/>
        <v/>
      </c>
    </row>
    <row r="2045" spans="1:26" ht="12" hidden="1" thickBot="1" x14ac:dyDescent="0.25">
      <c r="A2045" s="567">
        <v>611000</v>
      </c>
      <c r="B2045" s="644" t="s">
        <v>1687</v>
      </c>
      <c r="C2045" s="645" t="s">
        <v>206</v>
      </c>
      <c r="D2045" s="422" t="s">
        <v>577</v>
      </c>
      <c r="E2045" s="423"/>
      <c r="F2045" s="424"/>
      <c r="G2045" s="425"/>
      <c r="H2045" s="651">
        <f>SUM(H2046:H2048)</f>
        <v>25.798960000000001</v>
      </c>
      <c r="I2045" s="420">
        <v>535.85500000000002</v>
      </c>
      <c r="J2045" s="420">
        <f>IF(ISBLANK(I2045),"",SUM(H2045:I2045))</f>
        <v>561.65395999999998</v>
      </c>
      <c r="K2045" s="421">
        <f t="shared" si="501"/>
        <v>667.3</v>
      </c>
      <c r="L2045" s="647" t="s">
        <v>19</v>
      </c>
      <c r="M2045" s="576"/>
      <c r="N2045" s="576">
        <f t="shared" si="511"/>
        <v>0</v>
      </c>
      <c r="O2045" s="577">
        <f t="shared" si="504"/>
        <v>0</v>
      </c>
      <c r="P2045" s="578">
        <f t="shared" si="505"/>
        <v>0</v>
      </c>
      <c r="Q2045" s="765"/>
      <c r="R2045" s="576">
        <f>M2045</f>
        <v>0</v>
      </c>
      <c r="S2045" s="576">
        <f>N2045</f>
        <v>0</v>
      </c>
      <c r="T2045" s="577">
        <f t="shared" si="502"/>
        <v>0</v>
      </c>
      <c r="U2045" s="578">
        <f t="shared" si="503"/>
        <v>0</v>
      </c>
      <c r="V2045" s="579"/>
      <c r="W2045" s="566"/>
      <c r="X2045" s="586" t="str">
        <f t="shared" si="522"/>
        <v/>
      </c>
      <c r="Y2045" s="586" t="str">
        <f t="shared" si="431"/>
        <v/>
      </c>
      <c r="Z2045" s="586" t="str">
        <f t="shared" si="517"/>
        <v/>
      </c>
    </row>
    <row r="2046" spans="1:26" ht="12" hidden="1" thickBot="1" x14ac:dyDescent="0.25">
      <c r="A2046" s="567" t="s">
        <v>168</v>
      </c>
      <c r="B2046" s="644" t="s">
        <v>168</v>
      </c>
      <c r="C2046" s="645"/>
      <c r="D2046" s="422" t="s">
        <v>212</v>
      </c>
      <c r="E2046" s="423"/>
      <c r="F2046" s="424">
        <v>500</v>
      </c>
      <c r="G2046" s="425">
        <v>4.0000000000000001E-3</v>
      </c>
      <c r="H2046" s="649">
        <f>IF(F2046&lt;=30,(0.78*F2046+7.82)*G2046,((0.78*30+7.82)+0.78*(F2046-30))*G2046)</f>
        <v>1.5912800000000002</v>
      </c>
      <c r="I2046" s="420"/>
      <c r="J2046" s="420"/>
      <c r="K2046" s="421">
        <f t="shared" si="501"/>
        <v>0</v>
      </c>
      <c r="L2046" s="647"/>
      <c r="M2046" s="723"/>
      <c r="N2046" s="576">
        <f t="shared" si="511"/>
        <v>0</v>
      </c>
      <c r="O2046" s="577">
        <f t="shared" si="504"/>
        <v>0</v>
      </c>
      <c r="P2046" s="578">
        <f t="shared" si="505"/>
        <v>0</v>
      </c>
      <c r="Q2046" s="765"/>
      <c r="R2046" s="723"/>
      <c r="S2046" s="723"/>
      <c r="T2046" s="577">
        <f t="shared" si="502"/>
        <v>0</v>
      </c>
      <c r="U2046" s="578">
        <f t="shared" si="503"/>
        <v>0</v>
      </c>
      <c r="V2046" s="579"/>
      <c r="W2046" s="566" t="str">
        <f>IF(U2045&gt;0,"xx",IF(P2045&gt;0,"xy",""))</f>
        <v/>
      </c>
      <c r="X2046" s="586" t="str">
        <f t="shared" si="522"/>
        <v/>
      </c>
      <c r="Y2046" s="586" t="str">
        <f t="shared" si="431"/>
        <v/>
      </c>
      <c r="Z2046" s="586" t="str">
        <f t="shared" si="517"/>
        <v/>
      </c>
    </row>
    <row r="2047" spans="1:26" ht="12" hidden="1" thickBot="1" x14ac:dyDescent="0.25">
      <c r="A2047" s="567" t="s">
        <v>168</v>
      </c>
      <c r="B2047" s="644" t="s">
        <v>168</v>
      </c>
      <c r="C2047" s="645"/>
      <c r="D2047" s="422" t="s">
        <v>248</v>
      </c>
      <c r="E2047" s="423"/>
      <c r="F2047" s="424">
        <v>180</v>
      </c>
      <c r="G2047" s="425">
        <v>2.1000000000000001E-2</v>
      </c>
      <c r="H2047" s="663">
        <f t="shared" ref="H2047:H2048" si="524">IF(F2047&lt;=30,(1.07*F2047+2.68)*G2047,((1.07*30+2.68)+1.07*(F2047-30))*G2047)</f>
        <v>4.1008800000000001</v>
      </c>
      <c r="I2047" s="420"/>
      <c r="J2047" s="420"/>
      <c r="K2047" s="421">
        <f t="shared" si="501"/>
        <v>0</v>
      </c>
      <c r="L2047" s="647"/>
      <c r="M2047" s="723"/>
      <c r="N2047" s="576">
        <f t="shared" si="511"/>
        <v>0</v>
      </c>
      <c r="O2047" s="577">
        <f t="shared" si="504"/>
        <v>0</v>
      </c>
      <c r="P2047" s="578">
        <f t="shared" si="505"/>
        <v>0</v>
      </c>
      <c r="Q2047" s="765"/>
      <c r="R2047" s="723"/>
      <c r="S2047" s="723"/>
      <c r="T2047" s="577">
        <f t="shared" si="502"/>
        <v>0</v>
      </c>
      <c r="U2047" s="578">
        <f t="shared" si="503"/>
        <v>0</v>
      </c>
      <c r="V2047" s="579"/>
      <c r="W2047" s="566" t="str">
        <f>IF(U2045&gt;0,"xx",IF(P2045&gt;0,"xy",""))</f>
        <v/>
      </c>
      <c r="X2047" s="586" t="str">
        <f t="shared" si="522"/>
        <v/>
      </c>
      <c r="Y2047" s="586" t="str">
        <f t="shared" si="431"/>
        <v/>
      </c>
      <c r="Z2047" s="586" t="str">
        <f t="shared" si="517"/>
        <v/>
      </c>
    </row>
    <row r="2048" spans="1:26" ht="12" hidden="1" thickBot="1" x14ac:dyDescent="0.25">
      <c r="A2048" s="567" t="s">
        <v>168</v>
      </c>
      <c r="B2048" s="644" t="s">
        <v>168</v>
      </c>
      <c r="C2048" s="645"/>
      <c r="D2048" s="422" t="s">
        <v>347</v>
      </c>
      <c r="E2048" s="423"/>
      <c r="F2048" s="424">
        <v>20</v>
      </c>
      <c r="G2048" s="425">
        <v>0.83499999999999996</v>
      </c>
      <c r="H2048" s="663">
        <f t="shared" si="524"/>
        <v>20.1068</v>
      </c>
      <c r="I2048" s="420"/>
      <c r="J2048" s="420"/>
      <c r="K2048" s="421">
        <f t="shared" ref="K2048:K2111" si="525">IF(ISBLANK(I2048),0,ROUND(J2048*(1+$F$10)*(1+$F$11*E2048),2))</f>
        <v>0</v>
      </c>
      <c r="L2048" s="647"/>
      <c r="M2048" s="723"/>
      <c r="N2048" s="576">
        <f t="shared" si="511"/>
        <v>0</v>
      </c>
      <c r="O2048" s="577">
        <f t="shared" si="504"/>
        <v>0</v>
      </c>
      <c r="P2048" s="578">
        <f t="shared" si="505"/>
        <v>0</v>
      </c>
      <c r="Q2048" s="765"/>
      <c r="R2048" s="723"/>
      <c r="S2048" s="723"/>
      <c r="T2048" s="577">
        <f t="shared" ref="T2048:T2111" si="526">IF(ISBLANK(R2048),0,ROUND(K2048*R2048,2))</f>
        <v>0</v>
      </c>
      <c r="U2048" s="578">
        <f t="shared" ref="U2048:U2111" si="527">IF(ISBLANK(R2048),0,ROUND(R2048*S2048,2))</f>
        <v>0</v>
      </c>
      <c r="V2048" s="579"/>
      <c r="W2048" s="566" t="str">
        <f>IF(U2045&gt;0,"xx",IF(P2045&gt;0,"xy",""))</f>
        <v/>
      </c>
      <c r="X2048" s="586" t="str">
        <f t="shared" si="522"/>
        <v/>
      </c>
      <c r="Y2048" s="586" t="str">
        <f t="shared" si="431"/>
        <v/>
      </c>
      <c r="Z2048" s="586" t="str">
        <f t="shared" si="517"/>
        <v/>
      </c>
    </row>
    <row r="2049" spans="1:26" ht="12" hidden="1" thickBot="1" x14ac:dyDescent="0.25">
      <c r="A2049" s="567">
        <v>611000</v>
      </c>
      <c r="B2049" s="644" t="s">
        <v>1688</v>
      </c>
      <c r="C2049" s="645" t="s">
        <v>206</v>
      </c>
      <c r="D2049" s="422" t="s">
        <v>379</v>
      </c>
      <c r="E2049" s="423"/>
      <c r="F2049" s="424"/>
      <c r="G2049" s="425"/>
      <c r="H2049" s="651">
        <f>SUM(H2050:H2052)</f>
        <v>30.910592000000001</v>
      </c>
      <c r="I2049" s="420">
        <v>606.72</v>
      </c>
      <c r="J2049" s="420">
        <f>IF(ISBLANK(I2049),"",SUM(H2049:I2049))</f>
        <v>637.63059199999998</v>
      </c>
      <c r="K2049" s="421">
        <f t="shared" si="525"/>
        <v>757.57</v>
      </c>
      <c r="L2049" s="647" t="s">
        <v>19</v>
      </c>
      <c r="M2049" s="576"/>
      <c r="N2049" s="576">
        <f t="shared" si="511"/>
        <v>0</v>
      </c>
      <c r="O2049" s="577">
        <f t="shared" ref="O2049:O2112" si="528">IF(ISBLANK(M2049),0,ROUND(K2049*M2049,2))</f>
        <v>0</v>
      </c>
      <c r="P2049" s="578">
        <f t="shared" ref="P2049:P2112" si="529">IF(ISBLANK(N2049),0,ROUND(M2049*N2049,2))</f>
        <v>0</v>
      </c>
      <c r="Q2049" s="765"/>
      <c r="R2049" s="576">
        <f>M2049</f>
        <v>0</v>
      </c>
      <c r="S2049" s="576">
        <f>N2049</f>
        <v>0</v>
      </c>
      <c r="T2049" s="577">
        <f t="shared" si="526"/>
        <v>0</v>
      </c>
      <c r="U2049" s="578">
        <f t="shared" si="527"/>
        <v>0</v>
      </c>
      <c r="V2049" s="579"/>
      <c r="W2049" s="566"/>
      <c r="X2049" s="586" t="str">
        <f t="shared" si="522"/>
        <v/>
      </c>
      <c r="Y2049" s="586" t="str">
        <f t="shared" si="431"/>
        <v/>
      </c>
      <c r="Z2049" s="586" t="str">
        <f t="shared" si="517"/>
        <v/>
      </c>
    </row>
    <row r="2050" spans="1:26" ht="12" hidden="1" thickBot="1" x14ac:dyDescent="0.25">
      <c r="A2050" s="567" t="s">
        <v>168</v>
      </c>
      <c r="B2050" s="644" t="s">
        <v>168</v>
      </c>
      <c r="C2050" s="645"/>
      <c r="D2050" s="422" t="s">
        <v>212</v>
      </c>
      <c r="E2050" s="423"/>
      <c r="F2050" s="424">
        <v>500</v>
      </c>
      <c r="G2050" s="425">
        <v>4.7999999999999996E-3</v>
      </c>
      <c r="H2050" s="649">
        <f>IF(F2050&lt;=30,(0.78*F2050+7.82)*G2050,((0.78*30+7.82)+0.78*(F2050-30))*G2050)</f>
        <v>1.9095360000000001</v>
      </c>
      <c r="I2050" s="420"/>
      <c r="J2050" s="420"/>
      <c r="K2050" s="421">
        <f t="shared" si="525"/>
        <v>0</v>
      </c>
      <c r="L2050" s="647"/>
      <c r="M2050" s="723"/>
      <c r="N2050" s="576">
        <f t="shared" si="511"/>
        <v>0</v>
      </c>
      <c r="O2050" s="577">
        <f t="shared" si="528"/>
        <v>0</v>
      </c>
      <c r="P2050" s="578">
        <f t="shared" si="529"/>
        <v>0</v>
      </c>
      <c r="Q2050" s="765"/>
      <c r="R2050" s="723"/>
      <c r="S2050" s="723"/>
      <c r="T2050" s="577">
        <f t="shared" si="526"/>
        <v>0</v>
      </c>
      <c r="U2050" s="578">
        <f t="shared" si="527"/>
        <v>0</v>
      </c>
      <c r="V2050" s="579"/>
      <c r="W2050" s="566" t="str">
        <f>IF(U2049&gt;0,"xx",IF(P2049&gt;0,"xy",""))</f>
        <v/>
      </c>
      <c r="X2050" s="586" t="str">
        <f t="shared" si="522"/>
        <v/>
      </c>
      <c r="Y2050" s="586" t="str">
        <f t="shared" si="431"/>
        <v/>
      </c>
      <c r="Z2050" s="586" t="str">
        <f t="shared" si="517"/>
        <v/>
      </c>
    </row>
    <row r="2051" spans="1:26" ht="12" hidden="1" thickBot="1" x14ac:dyDescent="0.25">
      <c r="A2051" s="567" t="s">
        <v>168</v>
      </c>
      <c r="B2051" s="644" t="s">
        <v>168</v>
      </c>
      <c r="C2051" s="645"/>
      <c r="D2051" s="422" t="s">
        <v>248</v>
      </c>
      <c r="E2051" s="423"/>
      <c r="F2051" s="424">
        <v>180</v>
      </c>
      <c r="G2051" s="425">
        <v>2.52E-2</v>
      </c>
      <c r="H2051" s="663">
        <f t="shared" ref="H2051:H2052" si="530">IF(F2051&lt;=30,(1.07*F2051+2.68)*G2051,((1.07*30+2.68)+1.07*(F2051-30))*G2051)</f>
        <v>4.9210560000000001</v>
      </c>
      <c r="I2051" s="420"/>
      <c r="J2051" s="420"/>
      <c r="K2051" s="421">
        <f t="shared" si="525"/>
        <v>0</v>
      </c>
      <c r="L2051" s="647"/>
      <c r="M2051" s="723"/>
      <c r="N2051" s="576">
        <f t="shared" si="511"/>
        <v>0</v>
      </c>
      <c r="O2051" s="577">
        <f t="shared" si="528"/>
        <v>0</v>
      </c>
      <c r="P2051" s="578">
        <f t="shared" si="529"/>
        <v>0</v>
      </c>
      <c r="Q2051" s="765"/>
      <c r="R2051" s="723"/>
      <c r="S2051" s="723"/>
      <c r="T2051" s="577">
        <f t="shared" si="526"/>
        <v>0</v>
      </c>
      <c r="U2051" s="578">
        <f t="shared" si="527"/>
        <v>0</v>
      </c>
      <c r="V2051" s="579"/>
      <c r="W2051" s="566" t="str">
        <f>IF(U2049&gt;0,"xx",IF(P2049&gt;0,"xy",""))</f>
        <v/>
      </c>
      <c r="X2051" s="586" t="str">
        <f t="shared" si="522"/>
        <v/>
      </c>
      <c r="Y2051" s="586" t="str">
        <f t="shared" si="431"/>
        <v/>
      </c>
      <c r="Z2051" s="586" t="str">
        <f t="shared" si="517"/>
        <v/>
      </c>
    </row>
    <row r="2052" spans="1:26" ht="12" hidden="1" thickBot="1" x14ac:dyDescent="0.25">
      <c r="A2052" s="567" t="s">
        <v>168</v>
      </c>
      <c r="B2052" s="644" t="s">
        <v>168</v>
      </c>
      <c r="C2052" s="645"/>
      <c r="D2052" s="422" t="s">
        <v>347</v>
      </c>
      <c r="E2052" s="423"/>
      <c r="F2052" s="424">
        <v>20</v>
      </c>
      <c r="G2052" s="425">
        <v>1</v>
      </c>
      <c r="H2052" s="663">
        <f t="shared" si="530"/>
        <v>24.080000000000002</v>
      </c>
      <c r="I2052" s="420"/>
      <c r="J2052" s="420"/>
      <c r="K2052" s="421">
        <f t="shared" si="525"/>
        <v>0</v>
      </c>
      <c r="L2052" s="647"/>
      <c r="M2052" s="723"/>
      <c r="N2052" s="576">
        <f t="shared" si="511"/>
        <v>0</v>
      </c>
      <c r="O2052" s="577">
        <f t="shared" si="528"/>
        <v>0</v>
      </c>
      <c r="P2052" s="578">
        <f t="shared" si="529"/>
        <v>0</v>
      </c>
      <c r="Q2052" s="765"/>
      <c r="R2052" s="723"/>
      <c r="S2052" s="723"/>
      <c r="T2052" s="577">
        <f t="shared" si="526"/>
        <v>0</v>
      </c>
      <c r="U2052" s="578">
        <f t="shared" si="527"/>
        <v>0</v>
      </c>
      <c r="V2052" s="579"/>
      <c r="W2052" s="566" t="str">
        <f>IF(U2049&gt;0,"xx",IF(P2049&gt;0,"xy",""))</f>
        <v/>
      </c>
      <c r="X2052" s="586" t="str">
        <f t="shared" si="522"/>
        <v/>
      </c>
      <c r="Y2052" s="586" t="str">
        <f t="shared" ref="Y2052:Y2306" si="531">IF(W2052="X","x",IF(W2052="y","x",IF(W2052="xx","x",IF(U2052&gt;0,"x",""))))</f>
        <v/>
      </c>
      <c r="Z2052" s="586" t="str">
        <f t="shared" si="517"/>
        <v/>
      </c>
    </row>
    <row r="2053" spans="1:26" ht="12" hidden="1" thickBot="1" x14ac:dyDescent="0.25">
      <c r="A2053" s="567">
        <v>611200</v>
      </c>
      <c r="B2053" s="644" t="s">
        <v>1691</v>
      </c>
      <c r="C2053" s="645" t="s">
        <v>206</v>
      </c>
      <c r="D2053" s="422" t="s">
        <v>380</v>
      </c>
      <c r="E2053" s="423"/>
      <c r="F2053" s="424"/>
      <c r="G2053" s="425"/>
      <c r="H2053" s="651">
        <f>SUM(H2054:H2056)</f>
        <v>43.822438000000005</v>
      </c>
      <c r="I2053" s="420">
        <v>890.05</v>
      </c>
      <c r="J2053" s="420">
        <f>IF(ISBLANK(I2053),"",SUM(H2053:I2053))</f>
        <v>933.87243799999999</v>
      </c>
      <c r="K2053" s="421">
        <f t="shared" si="525"/>
        <v>1109.53</v>
      </c>
      <c r="L2053" s="647" t="s">
        <v>19</v>
      </c>
      <c r="M2053" s="576"/>
      <c r="N2053" s="576">
        <f t="shared" si="511"/>
        <v>0</v>
      </c>
      <c r="O2053" s="577">
        <f t="shared" si="528"/>
        <v>0</v>
      </c>
      <c r="P2053" s="578">
        <f t="shared" si="529"/>
        <v>0</v>
      </c>
      <c r="Q2053" s="765"/>
      <c r="R2053" s="576">
        <f>M2053</f>
        <v>0</v>
      </c>
      <c r="S2053" s="576">
        <f>N2053</f>
        <v>0</v>
      </c>
      <c r="T2053" s="577">
        <f t="shared" si="526"/>
        <v>0</v>
      </c>
      <c r="U2053" s="578">
        <f t="shared" si="527"/>
        <v>0</v>
      </c>
      <c r="V2053" s="579"/>
      <c r="W2053" s="566"/>
      <c r="X2053" s="586" t="str">
        <f t="shared" si="522"/>
        <v/>
      </c>
      <c r="Y2053" s="586" t="str">
        <f t="shared" si="531"/>
        <v/>
      </c>
      <c r="Z2053" s="586" t="str">
        <f t="shared" si="517"/>
        <v/>
      </c>
    </row>
    <row r="2054" spans="1:26" ht="12" hidden="1" thickBot="1" x14ac:dyDescent="0.25">
      <c r="A2054" s="567" t="s">
        <v>168</v>
      </c>
      <c r="B2054" s="644" t="s">
        <v>168</v>
      </c>
      <c r="C2054" s="645"/>
      <c r="D2054" s="422" t="s">
        <v>212</v>
      </c>
      <c r="E2054" s="423"/>
      <c r="F2054" s="424">
        <v>500</v>
      </c>
      <c r="G2054" s="425">
        <v>6.4999999999999997E-3</v>
      </c>
      <c r="H2054" s="649">
        <f>IF(F2054&lt;=30,(0.78*F2054+7.82)*G2054,((0.78*30+7.82)+0.78*(F2054-30))*G2054)</f>
        <v>2.5858300000000001</v>
      </c>
      <c r="I2054" s="420"/>
      <c r="J2054" s="420"/>
      <c r="K2054" s="421">
        <f t="shared" si="525"/>
        <v>0</v>
      </c>
      <c r="L2054" s="647"/>
      <c r="M2054" s="723"/>
      <c r="N2054" s="576">
        <f t="shared" si="511"/>
        <v>0</v>
      </c>
      <c r="O2054" s="577">
        <f t="shared" si="528"/>
        <v>0</v>
      </c>
      <c r="P2054" s="578">
        <f t="shared" si="529"/>
        <v>0</v>
      </c>
      <c r="Q2054" s="765"/>
      <c r="R2054" s="723"/>
      <c r="S2054" s="723"/>
      <c r="T2054" s="577">
        <f t="shared" si="526"/>
        <v>0</v>
      </c>
      <c r="U2054" s="578">
        <f t="shared" si="527"/>
        <v>0</v>
      </c>
      <c r="V2054" s="579"/>
      <c r="W2054" s="566" t="str">
        <f>IF(U2053&gt;0,"xx",IF(P2053&gt;0,"xy",""))</f>
        <v/>
      </c>
      <c r="X2054" s="586" t="str">
        <f t="shared" si="522"/>
        <v/>
      </c>
      <c r="Y2054" s="586" t="str">
        <f t="shared" si="531"/>
        <v/>
      </c>
      <c r="Z2054" s="586" t="str">
        <f t="shared" si="517"/>
        <v/>
      </c>
    </row>
    <row r="2055" spans="1:26" ht="12" hidden="1" thickBot="1" x14ac:dyDescent="0.25">
      <c r="A2055" s="567" t="s">
        <v>168</v>
      </c>
      <c r="B2055" s="644" t="s">
        <v>168</v>
      </c>
      <c r="C2055" s="645"/>
      <c r="D2055" s="422" t="s">
        <v>248</v>
      </c>
      <c r="E2055" s="423"/>
      <c r="F2055" s="424">
        <v>180</v>
      </c>
      <c r="G2055" s="425">
        <v>3.3599999999999998E-2</v>
      </c>
      <c r="H2055" s="663">
        <f t="shared" ref="H2055:H2056" si="532">IF(F2055&lt;=30,(1.07*F2055+2.68)*G2055,((1.07*30+2.68)+1.07*(F2055-30))*G2055)</f>
        <v>6.5614079999999992</v>
      </c>
      <c r="I2055" s="420"/>
      <c r="J2055" s="420"/>
      <c r="K2055" s="421">
        <f t="shared" si="525"/>
        <v>0</v>
      </c>
      <c r="L2055" s="647"/>
      <c r="M2055" s="723"/>
      <c r="N2055" s="576">
        <f t="shared" si="511"/>
        <v>0</v>
      </c>
      <c r="O2055" s="577">
        <f t="shared" si="528"/>
        <v>0</v>
      </c>
      <c r="P2055" s="578">
        <f t="shared" si="529"/>
        <v>0</v>
      </c>
      <c r="Q2055" s="765"/>
      <c r="R2055" s="723"/>
      <c r="S2055" s="723"/>
      <c r="T2055" s="577">
        <f t="shared" si="526"/>
        <v>0</v>
      </c>
      <c r="U2055" s="578">
        <f t="shared" si="527"/>
        <v>0</v>
      </c>
      <c r="V2055" s="579"/>
      <c r="W2055" s="566" t="str">
        <f>IF(U2053&gt;0,"xx",IF(P2053&gt;0,"xy",""))</f>
        <v/>
      </c>
      <c r="X2055" s="586" t="str">
        <f t="shared" si="522"/>
        <v/>
      </c>
      <c r="Y2055" s="586" t="str">
        <f t="shared" si="531"/>
        <v/>
      </c>
      <c r="Z2055" s="586" t="str">
        <f t="shared" si="517"/>
        <v/>
      </c>
    </row>
    <row r="2056" spans="1:26" ht="12" hidden="1" thickBot="1" x14ac:dyDescent="0.25">
      <c r="A2056" s="567" t="s">
        <v>168</v>
      </c>
      <c r="B2056" s="644" t="s">
        <v>168</v>
      </c>
      <c r="C2056" s="645"/>
      <c r="D2056" s="422" t="s">
        <v>347</v>
      </c>
      <c r="E2056" s="423"/>
      <c r="F2056" s="424">
        <v>20</v>
      </c>
      <c r="G2056" s="425">
        <v>1.44</v>
      </c>
      <c r="H2056" s="663">
        <f t="shared" si="532"/>
        <v>34.675200000000004</v>
      </c>
      <c r="I2056" s="420"/>
      <c r="J2056" s="420"/>
      <c r="K2056" s="421">
        <f t="shared" si="525"/>
        <v>0</v>
      </c>
      <c r="L2056" s="647"/>
      <c r="M2056" s="723"/>
      <c r="N2056" s="576">
        <f t="shared" si="511"/>
        <v>0</v>
      </c>
      <c r="O2056" s="577">
        <f t="shared" si="528"/>
        <v>0</v>
      </c>
      <c r="P2056" s="578">
        <f t="shared" si="529"/>
        <v>0</v>
      </c>
      <c r="Q2056" s="765"/>
      <c r="R2056" s="723"/>
      <c r="S2056" s="723"/>
      <c r="T2056" s="577">
        <f t="shared" si="526"/>
        <v>0</v>
      </c>
      <c r="U2056" s="578">
        <f t="shared" si="527"/>
        <v>0</v>
      </c>
      <c r="V2056" s="579"/>
      <c r="W2056" s="566" t="str">
        <f>IF(U2053&gt;0,"xx",IF(P2053&gt;0,"xy",""))</f>
        <v/>
      </c>
      <c r="X2056" s="586" t="str">
        <f t="shared" si="522"/>
        <v/>
      </c>
      <c r="Y2056" s="586" t="str">
        <f t="shared" si="531"/>
        <v/>
      </c>
      <c r="Z2056" s="586" t="str">
        <f t="shared" si="517"/>
        <v/>
      </c>
    </row>
    <row r="2057" spans="1:26" ht="12" hidden="1" thickBot="1" x14ac:dyDescent="0.25">
      <c r="A2057" s="567">
        <v>611400</v>
      </c>
      <c r="B2057" s="644" t="s">
        <v>1693</v>
      </c>
      <c r="C2057" s="645" t="s">
        <v>206</v>
      </c>
      <c r="D2057" s="422" t="s">
        <v>381</v>
      </c>
      <c r="E2057" s="423"/>
      <c r="F2057" s="424"/>
      <c r="G2057" s="425"/>
      <c r="H2057" s="651">
        <f>SUM(H2058:H2060)</f>
        <v>51.156102000000004</v>
      </c>
      <c r="I2057" s="420">
        <v>1100.21</v>
      </c>
      <c r="J2057" s="420">
        <f>IF(ISBLANK(I2057),"",SUM(H2057:I2057))</f>
        <v>1151.366102</v>
      </c>
      <c r="K2057" s="421">
        <f t="shared" si="525"/>
        <v>1367.94</v>
      </c>
      <c r="L2057" s="647" t="s">
        <v>19</v>
      </c>
      <c r="M2057" s="576"/>
      <c r="N2057" s="576">
        <f t="shared" si="511"/>
        <v>0</v>
      </c>
      <c r="O2057" s="577">
        <f t="shared" si="528"/>
        <v>0</v>
      </c>
      <c r="P2057" s="578">
        <f t="shared" si="529"/>
        <v>0</v>
      </c>
      <c r="Q2057" s="765"/>
      <c r="R2057" s="576">
        <f>M2057</f>
        <v>0</v>
      </c>
      <c r="S2057" s="576">
        <f>N2057</f>
        <v>0</v>
      </c>
      <c r="T2057" s="577">
        <f t="shared" si="526"/>
        <v>0</v>
      </c>
      <c r="U2057" s="578">
        <f t="shared" si="527"/>
        <v>0</v>
      </c>
      <c r="V2057" s="579"/>
      <c r="W2057" s="566"/>
      <c r="X2057" s="586" t="str">
        <f t="shared" si="522"/>
        <v/>
      </c>
      <c r="Y2057" s="586" t="str">
        <f t="shared" si="531"/>
        <v/>
      </c>
      <c r="Z2057" s="586" t="str">
        <f t="shared" si="517"/>
        <v/>
      </c>
    </row>
    <row r="2058" spans="1:26" ht="12" hidden="1" thickBot="1" x14ac:dyDescent="0.25">
      <c r="A2058" s="567" t="s">
        <v>168</v>
      </c>
      <c r="B2058" s="644" t="s">
        <v>168</v>
      </c>
      <c r="C2058" s="645"/>
      <c r="D2058" s="422" t="s">
        <v>212</v>
      </c>
      <c r="E2058" s="423"/>
      <c r="F2058" s="424">
        <v>500</v>
      </c>
      <c r="G2058" s="425">
        <v>8.0999999999999996E-3</v>
      </c>
      <c r="H2058" s="649">
        <f>IF(F2058&lt;=30,(0.78*F2058+7.82)*G2058,((0.78*30+7.82)+0.78*(F2058-30))*G2058)</f>
        <v>3.2223420000000003</v>
      </c>
      <c r="I2058" s="420"/>
      <c r="J2058" s="420"/>
      <c r="K2058" s="421">
        <f t="shared" si="525"/>
        <v>0</v>
      </c>
      <c r="L2058" s="647"/>
      <c r="M2058" s="723"/>
      <c r="N2058" s="576">
        <f t="shared" si="511"/>
        <v>0</v>
      </c>
      <c r="O2058" s="577">
        <f t="shared" si="528"/>
        <v>0</v>
      </c>
      <c r="P2058" s="578">
        <f t="shared" si="529"/>
        <v>0</v>
      </c>
      <c r="Q2058" s="765"/>
      <c r="R2058" s="723"/>
      <c r="S2058" s="723"/>
      <c r="T2058" s="577">
        <f t="shared" si="526"/>
        <v>0</v>
      </c>
      <c r="U2058" s="578">
        <f t="shared" si="527"/>
        <v>0</v>
      </c>
      <c r="V2058" s="579"/>
      <c r="W2058" s="566" t="str">
        <f>IF(U2057&gt;0,"xx",IF(P2057&gt;0,"xy",""))</f>
        <v/>
      </c>
      <c r="X2058" s="586" t="str">
        <f t="shared" si="522"/>
        <v/>
      </c>
      <c r="Y2058" s="586" t="str">
        <f t="shared" si="531"/>
        <v/>
      </c>
      <c r="Z2058" s="586" t="str">
        <f t="shared" si="517"/>
        <v/>
      </c>
    </row>
    <row r="2059" spans="1:26" ht="12" hidden="1" thickBot="1" x14ac:dyDescent="0.25">
      <c r="A2059" s="567" t="s">
        <v>168</v>
      </c>
      <c r="B2059" s="644" t="s">
        <v>168</v>
      </c>
      <c r="C2059" s="645"/>
      <c r="D2059" s="422" t="s">
        <v>248</v>
      </c>
      <c r="E2059" s="423"/>
      <c r="F2059" s="424">
        <v>180</v>
      </c>
      <c r="G2059" s="425">
        <v>4.2000000000000003E-2</v>
      </c>
      <c r="H2059" s="663">
        <f t="shared" ref="H2059:H2060" si="533">IF(F2059&lt;=30,(1.07*F2059+2.68)*G2059,((1.07*30+2.68)+1.07*(F2059-30))*G2059)</f>
        <v>8.2017600000000002</v>
      </c>
      <c r="I2059" s="420"/>
      <c r="J2059" s="420"/>
      <c r="K2059" s="421">
        <f t="shared" si="525"/>
        <v>0</v>
      </c>
      <c r="L2059" s="647"/>
      <c r="M2059" s="723"/>
      <c r="N2059" s="576">
        <f t="shared" si="511"/>
        <v>0</v>
      </c>
      <c r="O2059" s="577">
        <f t="shared" si="528"/>
        <v>0</v>
      </c>
      <c r="P2059" s="578">
        <f t="shared" si="529"/>
        <v>0</v>
      </c>
      <c r="Q2059" s="765"/>
      <c r="R2059" s="723"/>
      <c r="S2059" s="723"/>
      <c r="T2059" s="577">
        <f t="shared" si="526"/>
        <v>0</v>
      </c>
      <c r="U2059" s="578">
        <f t="shared" si="527"/>
        <v>0</v>
      </c>
      <c r="V2059" s="579"/>
      <c r="W2059" s="566" t="str">
        <f>IF(U2057&gt;0,"xx",IF(P2057&gt;0,"xy",""))</f>
        <v/>
      </c>
      <c r="X2059" s="586" t="str">
        <f t="shared" si="522"/>
        <v/>
      </c>
      <c r="Y2059" s="586" t="str">
        <f t="shared" si="531"/>
        <v/>
      </c>
      <c r="Z2059" s="586" t="str">
        <f t="shared" si="517"/>
        <v/>
      </c>
    </row>
    <row r="2060" spans="1:26" ht="12" hidden="1" thickBot="1" x14ac:dyDescent="0.25">
      <c r="A2060" s="567" t="s">
        <v>168</v>
      </c>
      <c r="B2060" s="644" t="s">
        <v>168</v>
      </c>
      <c r="C2060" s="645"/>
      <c r="D2060" s="422" t="s">
        <v>347</v>
      </c>
      <c r="E2060" s="423"/>
      <c r="F2060" s="424">
        <v>20</v>
      </c>
      <c r="G2060" s="425">
        <v>1.65</v>
      </c>
      <c r="H2060" s="663">
        <f t="shared" si="533"/>
        <v>39.731999999999999</v>
      </c>
      <c r="I2060" s="420"/>
      <c r="J2060" s="420"/>
      <c r="K2060" s="421">
        <f t="shared" si="525"/>
        <v>0</v>
      </c>
      <c r="L2060" s="647"/>
      <c r="M2060" s="723"/>
      <c r="N2060" s="576">
        <f t="shared" si="511"/>
        <v>0</v>
      </c>
      <c r="O2060" s="577">
        <f t="shared" si="528"/>
        <v>0</v>
      </c>
      <c r="P2060" s="578">
        <f t="shared" si="529"/>
        <v>0</v>
      </c>
      <c r="Q2060" s="765"/>
      <c r="R2060" s="723"/>
      <c r="S2060" s="723"/>
      <c r="T2060" s="577">
        <f t="shared" si="526"/>
        <v>0</v>
      </c>
      <c r="U2060" s="578">
        <f t="shared" si="527"/>
        <v>0</v>
      </c>
      <c r="V2060" s="579"/>
      <c r="W2060" s="566" t="str">
        <f>IF(U2057&gt;0,"xx",IF(P2057&gt;0,"xy",""))</f>
        <v/>
      </c>
      <c r="X2060" s="586" t="str">
        <f t="shared" si="522"/>
        <v/>
      </c>
      <c r="Y2060" s="586" t="str">
        <f t="shared" si="531"/>
        <v/>
      </c>
      <c r="Z2060" s="586" t="str">
        <f t="shared" si="517"/>
        <v/>
      </c>
    </row>
    <row r="2061" spans="1:26" ht="12" hidden="1" thickBot="1" x14ac:dyDescent="0.25">
      <c r="A2061" s="567">
        <v>611400</v>
      </c>
      <c r="B2061" s="644" t="s">
        <v>1694</v>
      </c>
      <c r="C2061" s="645" t="s">
        <v>206</v>
      </c>
      <c r="D2061" s="422" t="s">
        <v>382</v>
      </c>
      <c r="E2061" s="423"/>
      <c r="F2061" s="424"/>
      <c r="G2061" s="425"/>
      <c r="H2061" s="651">
        <f>SUM(H2062:H2064)</f>
        <v>61.624152000000009</v>
      </c>
      <c r="I2061" s="420">
        <v>1466.6260000000002</v>
      </c>
      <c r="J2061" s="420">
        <f>IF(ISBLANK(I2061),"",SUM(H2061:I2061))</f>
        <v>1528.2501520000003</v>
      </c>
      <c r="K2061" s="421">
        <f t="shared" si="525"/>
        <v>1815.71</v>
      </c>
      <c r="L2061" s="647" t="s">
        <v>19</v>
      </c>
      <c r="M2061" s="576"/>
      <c r="N2061" s="576">
        <f t="shared" si="511"/>
        <v>0</v>
      </c>
      <c r="O2061" s="577">
        <f t="shared" si="528"/>
        <v>0</v>
      </c>
      <c r="P2061" s="578">
        <f t="shared" si="529"/>
        <v>0</v>
      </c>
      <c r="Q2061" s="765"/>
      <c r="R2061" s="576">
        <f>M2061</f>
        <v>0</v>
      </c>
      <c r="S2061" s="576">
        <f>N2061</f>
        <v>0</v>
      </c>
      <c r="T2061" s="577">
        <f t="shared" si="526"/>
        <v>0</v>
      </c>
      <c r="U2061" s="578">
        <f t="shared" si="527"/>
        <v>0</v>
      </c>
      <c r="V2061" s="579"/>
      <c r="W2061" s="566"/>
      <c r="X2061" s="586" t="str">
        <f t="shared" si="522"/>
        <v/>
      </c>
      <c r="Y2061" s="586" t="str">
        <f t="shared" si="531"/>
        <v/>
      </c>
      <c r="Z2061" s="586" t="str">
        <f t="shared" si="517"/>
        <v/>
      </c>
    </row>
    <row r="2062" spans="1:26" ht="12" hidden="1" thickBot="1" x14ac:dyDescent="0.25">
      <c r="A2062" s="567" t="s">
        <v>168</v>
      </c>
      <c r="B2062" s="644" t="s">
        <v>168</v>
      </c>
      <c r="C2062" s="645"/>
      <c r="D2062" s="422" t="s">
        <v>212</v>
      </c>
      <c r="E2062" s="423"/>
      <c r="F2062" s="424">
        <v>500</v>
      </c>
      <c r="G2062" s="425">
        <v>9.1999999999999998E-3</v>
      </c>
      <c r="H2062" s="649">
        <f>IF(F2062&lt;=30,(0.78*F2062+7.82)*G2062,((0.78*30+7.82)+0.78*(F2062-30))*G2062)</f>
        <v>3.6599440000000003</v>
      </c>
      <c r="I2062" s="420"/>
      <c r="J2062" s="420"/>
      <c r="K2062" s="421">
        <f t="shared" si="525"/>
        <v>0</v>
      </c>
      <c r="L2062" s="647"/>
      <c r="M2062" s="723"/>
      <c r="N2062" s="576">
        <f t="shared" si="511"/>
        <v>0</v>
      </c>
      <c r="O2062" s="577">
        <f t="shared" si="528"/>
        <v>0</v>
      </c>
      <c r="P2062" s="578">
        <f t="shared" si="529"/>
        <v>0</v>
      </c>
      <c r="Q2062" s="765"/>
      <c r="R2062" s="723"/>
      <c r="S2062" s="723"/>
      <c r="T2062" s="577">
        <f t="shared" si="526"/>
        <v>0</v>
      </c>
      <c r="U2062" s="578">
        <f t="shared" si="527"/>
        <v>0</v>
      </c>
      <c r="V2062" s="579"/>
      <c r="W2062" s="566" t="str">
        <f>IF(U2061&gt;0,"xx",IF(P2061&gt;0,"xy",""))</f>
        <v/>
      </c>
      <c r="X2062" s="586" t="str">
        <f t="shared" si="522"/>
        <v/>
      </c>
      <c r="Y2062" s="586" t="str">
        <f t="shared" si="531"/>
        <v/>
      </c>
      <c r="Z2062" s="586" t="str">
        <f t="shared" si="517"/>
        <v/>
      </c>
    </row>
    <row r="2063" spans="1:26" ht="12" hidden="1" thickBot="1" x14ac:dyDescent="0.25">
      <c r="A2063" s="567" t="s">
        <v>168</v>
      </c>
      <c r="B2063" s="644" t="s">
        <v>168</v>
      </c>
      <c r="C2063" s="645"/>
      <c r="D2063" s="422" t="s">
        <v>248</v>
      </c>
      <c r="E2063" s="423"/>
      <c r="F2063" s="424">
        <v>180</v>
      </c>
      <c r="G2063" s="425">
        <v>4.7899999999999998E-2</v>
      </c>
      <c r="H2063" s="663">
        <f t="shared" ref="H2063:H2064" si="534">IF(F2063&lt;=30,(1.07*F2063+2.68)*G2063,((1.07*30+2.68)+1.07*(F2063-30))*G2063)</f>
        <v>9.3539119999999993</v>
      </c>
      <c r="I2063" s="420"/>
      <c r="J2063" s="420"/>
      <c r="K2063" s="421">
        <f t="shared" si="525"/>
        <v>0</v>
      </c>
      <c r="L2063" s="647"/>
      <c r="M2063" s="723"/>
      <c r="N2063" s="576">
        <f t="shared" si="511"/>
        <v>0</v>
      </c>
      <c r="O2063" s="577">
        <f t="shared" si="528"/>
        <v>0</v>
      </c>
      <c r="P2063" s="578">
        <f t="shared" si="529"/>
        <v>0</v>
      </c>
      <c r="Q2063" s="765"/>
      <c r="R2063" s="723"/>
      <c r="S2063" s="723"/>
      <c r="T2063" s="577">
        <f t="shared" si="526"/>
        <v>0</v>
      </c>
      <c r="U2063" s="578">
        <f t="shared" si="527"/>
        <v>0</v>
      </c>
      <c r="V2063" s="579"/>
      <c r="W2063" s="566" t="str">
        <f>IF(U2061&gt;0,"xx",IF(P2061&gt;0,"xy",""))</f>
        <v/>
      </c>
      <c r="X2063" s="586" t="str">
        <f t="shared" si="522"/>
        <v/>
      </c>
      <c r="Y2063" s="586" t="str">
        <f t="shared" si="531"/>
        <v/>
      </c>
      <c r="Z2063" s="586" t="str">
        <f t="shared" si="517"/>
        <v/>
      </c>
    </row>
    <row r="2064" spans="1:26" ht="12" hidden="1" thickBot="1" x14ac:dyDescent="0.25">
      <c r="A2064" s="567" t="s">
        <v>168</v>
      </c>
      <c r="B2064" s="644" t="s">
        <v>168</v>
      </c>
      <c r="C2064" s="645"/>
      <c r="D2064" s="422" t="s">
        <v>347</v>
      </c>
      <c r="E2064" s="423"/>
      <c r="F2064" s="424">
        <v>20</v>
      </c>
      <c r="G2064" s="425">
        <v>2.0186999999999999</v>
      </c>
      <c r="H2064" s="663">
        <f t="shared" si="534"/>
        <v>48.610296000000005</v>
      </c>
      <c r="I2064" s="420"/>
      <c r="J2064" s="420"/>
      <c r="K2064" s="421">
        <f t="shared" si="525"/>
        <v>0</v>
      </c>
      <c r="L2064" s="647"/>
      <c r="M2064" s="723"/>
      <c r="N2064" s="576">
        <f t="shared" si="511"/>
        <v>0</v>
      </c>
      <c r="O2064" s="577">
        <f t="shared" si="528"/>
        <v>0</v>
      </c>
      <c r="P2064" s="578">
        <f t="shared" si="529"/>
        <v>0</v>
      </c>
      <c r="Q2064" s="765"/>
      <c r="R2064" s="723"/>
      <c r="S2064" s="723"/>
      <c r="T2064" s="577">
        <f t="shared" si="526"/>
        <v>0</v>
      </c>
      <c r="U2064" s="578">
        <f t="shared" si="527"/>
        <v>0</v>
      </c>
      <c r="V2064" s="579"/>
      <c r="W2064" s="566" t="str">
        <f>IF(U2061&gt;0,"xx",IF(P2061&gt;0,"xy",""))</f>
        <v/>
      </c>
      <c r="X2064" s="586" t="str">
        <f t="shared" si="522"/>
        <v/>
      </c>
      <c r="Y2064" s="586" t="str">
        <f t="shared" si="531"/>
        <v/>
      </c>
      <c r="Z2064" s="586" t="str">
        <f t="shared" si="517"/>
        <v/>
      </c>
    </row>
    <row r="2065" spans="1:26" ht="12" hidden="1" thickBot="1" x14ac:dyDescent="0.25">
      <c r="A2065" s="567">
        <v>611600</v>
      </c>
      <c r="B2065" s="644" t="s">
        <v>1697</v>
      </c>
      <c r="C2065" s="645" t="s">
        <v>206</v>
      </c>
      <c r="D2065" s="422" t="s">
        <v>383</v>
      </c>
      <c r="E2065" s="423"/>
      <c r="F2065" s="424"/>
      <c r="G2065" s="425"/>
      <c r="H2065" s="651">
        <f>SUM(H2066:H2068)</f>
        <v>65.472966</v>
      </c>
      <c r="I2065" s="420">
        <v>2245.2599999999998</v>
      </c>
      <c r="J2065" s="420">
        <f>IF(ISBLANK(I2065),"",SUM(H2065:I2065))</f>
        <v>2310.7329659999996</v>
      </c>
      <c r="K2065" s="421">
        <f t="shared" si="525"/>
        <v>2745.38</v>
      </c>
      <c r="L2065" s="647" t="s">
        <v>19</v>
      </c>
      <c r="M2065" s="576"/>
      <c r="N2065" s="576">
        <f t="shared" si="511"/>
        <v>0</v>
      </c>
      <c r="O2065" s="577">
        <f t="shared" si="528"/>
        <v>0</v>
      </c>
      <c r="P2065" s="578">
        <f t="shared" si="529"/>
        <v>0</v>
      </c>
      <c r="Q2065" s="765"/>
      <c r="R2065" s="576">
        <f>M2065</f>
        <v>0</v>
      </c>
      <c r="S2065" s="576">
        <f>N2065</f>
        <v>0</v>
      </c>
      <c r="T2065" s="577">
        <f t="shared" si="526"/>
        <v>0</v>
      </c>
      <c r="U2065" s="578">
        <f t="shared" si="527"/>
        <v>0</v>
      </c>
      <c r="V2065" s="579"/>
      <c r="W2065" s="566"/>
      <c r="X2065" s="586" t="str">
        <f t="shared" si="522"/>
        <v/>
      </c>
      <c r="Y2065" s="586" t="str">
        <f t="shared" si="531"/>
        <v/>
      </c>
      <c r="Z2065" s="586" t="str">
        <f t="shared" si="517"/>
        <v/>
      </c>
    </row>
    <row r="2066" spans="1:26" ht="12" hidden="1" thickBot="1" x14ac:dyDescent="0.25">
      <c r="A2066" s="567" t="s">
        <v>168</v>
      </c>
      <c r="B2066" s="644" t="s">
        <v>168</v>
      </c>
      <c r="C2066" s="645"/>
      <c r="D2066" s="422" t="s">
        <v>212</v>
      </c>
      <c r="E2066" s="423"/>
      <c r="F2066" s="424">
        <v>500</v>
      </c>
      <c r="G2066" s="425">
        <v>9.7000000000000003E-3</v>
      </c>
      <c r="H2066" s="649">
        <f>IF(F2066&lt;=30,(0.78*F2066+7.82)*G2066,((0.78*30+7.82)+0.78*(F2066-30))*G2066)</f>
        <v>3.8588540000000005</v>
      </c>
      <c r="I2066" s="420"/>
      <c r="J2066" s="420"/>
      <c r="K2066" s="421">
        <f t="shared" si="525"/>
        <v>0</v>
      </c>
      <c r="L2066" s="647"/>
      <c r="M2066" s="723"/>
      <c r="N2066" s="576">
        <f t="shared" si="511"/>
        <v>0</v>
      </c>
      <c r="O2066" s="577">
        <f t="shared" si="528"/>
        <v>0</v>
      </c>
      <c r="P2066" s="578">
        <f t="shared" si="529"/>
        <v>0</v>
      </c>
      <c r="Q2066" s="765"/>
      <c r="R2066" s="723"/>
      <c r="S2066" s="723"/>
      <c r="T2066" s="577">
        <f t="shared" si="526"/>
        <v>0</v>
      </c>
      <c r="U2066" s="578">
        <f t="shared" si="527"/>
        <v>0</v>
      </c>
      <c r="V2066" s="579"/>
      <c r="W2066" s="566" t="str">
        <f>IF(U2065&gt;0,"xx",IF(P2065&gt;0,"xy",""))</f>
        <v/>
      </c>
      <c r="X2066" s="586" t="str">
        <f t="shared" si="522"/>
        <v/>
      </c>
      <c r="Y2066" s="586" t="str">
        <f t="shared" si="531"/>
        <v/>
      </c>
      <c r="Z2066" s="586" t="str">
        <f t="shared" si="517"/>
        <v/>
      </c>
    </row>
    <row r="2067" spans="1:26" ht="12" hidden="1" thickBot="1" x14ac:dyDescent="0.25">
      <c r="A2067" s="567" t="s">
        <v>168</v>
      </c>
      <c r="B2067" s="644" t="s">
        <v>168</v>
      </c>
      <c r="C2067" s="645"/>
      <c r="D2067" s="422" t="s">
        <v>248</v>
      </c>
      <c r="E2067" s="423"/>
      <c r="F2067" s="424">
        <v>180</v>
      </c>
      <c r="G2067" s="425">
        <v>5.04E-2</v>
      </c>
      <c r="H2067" s="663">
        <f t="shared" ref="H2067:H2068" si="535">IF(F2067&lt;=30,(1.07*F2067+2.68)*G2067,((1.07*30+2.68)+1.07*(F2067-30))*G2067)</f>
        <v>9.8421120000000002</v>
      </c>
      <c r="I2067" s="420"/>
      <c r="J2067" s="420"/>
      <c r="K2067" s="421">
        <f t="shared" si="525"/>
        <v>0</v>
      </c>
      <c r="L2067" s="647"/>
      <c r="M2067" s="723"/>
      <c r="N2067" s="576">
        <f t="shared" si="511"/>
        <v>0</v>
      </c>
      <c r="O2067" s="577">
        <f t="shared" si="528"/>
        <v>0</v>
      </c>
      <c r="P2067" s="578">
        <f t="shared" si="529"/>
        <v>0</v>
      </c>
      <c r="Q2067" s="765"/>
      <c r="R2067" s="723"/>
      <c r="S2067" s="723"/>
      <c r="T2067" s="577">
        <f t="shared" si="526"/>
        <v>0</v>
      </c>
      <c r="U2067" s="578">
        <f t="shared" si="527"/>
        <v>0</v>
      </c>
      <c r="V2067" s="579"/>
      <c r="W2067" s="566" t="str">
        <f>IF(U2065&gt;0,"xx",IF(P2065&gt;0,"xy",""))</f>
        <v/>
      </c>
      <c r="X2067" s="586" t="str">
        <f t="shared" si="522"/>
        <v/>
      </c>
      <c r="Y2067" s="586" t="str">
        <f t="shared" si="531"/>
        <v/>
      </c>
      <c r="Z2067" s="586" t="str">
        <f t="shared" si="517"/>
        <v/>
      </c>
    </row>
    <row r="2068" spans="1:26" ht="12" hidden="1" thickBot="1" x14ac:dyDescent="0.25">
      <c r="A2068" s="567" t="s">
        <v>168</v>
      </c>
      <c r="B2068" s="644" t="s">
        <v>168</v>
      </c>
      <c r="C2068" s="645"/>
      <c r="D2068" s="422" t="s">
        <v>347</v>
      </c>
      <c r="E2068" s="423"/>
      <c r="F2068" s="424">
        <v>20</v>
      </c>
      <c r="G2068" s="425">
        <v>2.15</v>
      </c>
      <c r="H2068" s="663">
        <f t="shared" si="535"/>
        <v>51.771999999999998</v>
      </c>
      <c r="I2068" s="420"/>
      <c r="J2068" s="420"/>
      <c r="K2068" s="421">
        <f t="shared" si="525"/>
        <v>0</v>
      </c>
      <c r="L2068" s="647"/>
      <c r="M2068" s="723"/>
      <c r="N2068" s="576">
        <f t="shared" ref="N2068:N2131" si="536">IF(M2068=0,0,K2068)</f>
        <v>0</v>
      </c>
      <c r="O2068" s="577">
        <f t="shared" si="528"/>
        <v>0</v>
      </c>
      <c r="P2068" s="578">
        <f t="shared" si="529"/>
        <v>0</v>
      </c>
      <c r="Q2068" s="765"/>
      <c r="R2068" s="723"/>
      <c r="S2068" s="723"/>
      <c r="T2068" s="577">
        <f t="shared" si="526"/>
        <v>0</v>
      </c>
      <c r="U2068" s="578">
        <f t="shared" si="527"/>
        <v>0</v>
      </c>
      <c r="V2068" s="579"/>
      <c r="W2068" s="566" t="str">
        <f>IF(U2065&gt;0,"xx",IF(P2065&gt;0,"xy",""))</f>
        <v/>
      </c>
      <c r="X2068" s="586" t="str">
        <f t="shared" si="522"/>
        <v/>
      </c>
      <c r="Y2068" s="586" t="str">
        <f t="shared" si="531"/>
        <v/>
      </c>
      <c r="Z2068" s="586" t="str">
        <f t="shared" si="517"/>
        <v/>
      </c>
    </row>
    <row r="2069" spans="1:26" ht="12" hidden="1" thickBot="1" x14ac:dyDescent="0.25">
      <c r="A2069" s="567">
        <v>610400</v>
      </c>
      <c r="B2069" s="644" t="s">
        <v>1671</v>
      </c>
      <c r="C2069" s="645" t="s">
        <v>206</v>
      </c>
      <c r="D2069" s="422" t="s">
        <v>384</v>
      </c>
      <c r="E2069" s="423"/>
      <c r="F2069" s="424"/>
      <c r="G2069" s="425"/>
      <c r="H2069" s="651">
        <f>SUM(H2070:H2072)</f>
        <v>6.489218000000001</v>
      </c>
      <c r="I2069" s="420">
        <v>138.35</v>
      </c>
      <c r="J2069" s="420">
        <f>IF(ISBLANK(I2069),"",SUM(H2069:I2069))</f>
        <v>144.83921799999999</v>
      </c>
      <c r="K2069" s="421">
        <f t="shared" si="525"/>
        <v>172.08</v>
      </c>
      <c r="L2069" s="647" t="s">
        <v>19</v>
      </c>
      <c r="M2069" s="576"/>
      <c r="N2069" s="576">
        <f t="shared" si="536"/>
        <v>0</v>
      </c>
      <c r="O2069" s="577">
        <f t="shared" si="528"/>
        <v>0</v>
      </c>
      <c r="P2069" s="578">
        <f t="shared" si="529"/>
        <v>0</v>
      </c>
      <c r="Q2069" s="765"/>
      <c r="R2069" s="576">
        <f>M2069</f>
        <v>0</v>
      </c>
      <c r="S2069" s="576">
        <f>N2069</f>
        <v>0</v>
      </c>
      <c r="T2069" s="577">
        <f t="shared" si="526"/>
        <v>0</v>
      </c>
      <c r="U2069" s="578">
        <f t="shared" si="527"/>
        <v>0</v>
      </c>
      <c r="V2069" s="579"/>
      <c r="W2069" s="566"/>
      <c r="X2069" s="586" t="str">
        <f t="shared" si="522"/>
        <v/>
      </c>
      <c r="Y2069" s="586" t="str">
        <f t="shared" si="531"/>
        <v/>
      </c>
      <c r="Z2069" s="586" t="str">
        <f t="shared" si="517"/>
        <v/>
      </c>
    </row>
    <row r="2070" spans="1:26" ht="12" hidden="1" thickBot="1" x14ac:dyDescent="0.25">
      <c r="A2070" s="567" t="s">
        <v>168</v>
      </c>
      <c r="B2070" s="644" t="s">
        <v>168</v>
      </c>
      <c r="C2070" s="645"/>
      <c r="D2070" s="422" t="s">
        <v>212</v>
      </c>
      <c r="E2070" s="423"/>
      <c r="F2070" s="424">
        <v>500</v>
      </c>
      <c r="G2070" s="425">
        <v>1.9E-3</v>
      </c>
      <c r="H2070" s="649">
        <f>IF(F2070&lt;=30,(0.78*F2070+7.82)*G2070,((0.78*30+7.82)+0.78*(F2070-30))*G2070)</f>
        <v>0.75585800000000014</v>
      </c>
      <c r="I2070" s="420"/>
      <c r="J2070" s="420"/>
      <c r="K2070" s="421">
        <f t="shared" si="525"/>
        <v>0</v>
      </c>
      <c r="L2070" s="647"/>
      <c r="M2070" s="723"/>
      <c r="N2070" s="576">
        <f t="shared" si="536"/>
        <v>0</v>
      </c>
      <c r="O2070" s="577">
        <f t="shared" si="528"/>
        <v>0</v>
      </c>
      <c r="P2070" s="578">
        <f t="shared" si="529"/>
        <v>0</v>
      </c>
      <c r="Q2070" s="765"/>
      <c r="R2070" s="723"/>
      <c r="S2070" s="723"/>
      <c r="T2070" s="577">
        <f t="shared" si="526"/>
        <v>0</v>
      </c>
      <c r="U2070" s="578">
        <f t="shared" si="527"/>
        <v>0</v>
      </c>
      <c r="V2070" s="579"/>
      <c r="W2070" s="566" t="str">
        <f>IF(U2069&gt;0,"xx",IF(P2069&gt;0,"xy",""))</f>
        <v/>
      </c>
      <c r="X2070" s="586" t="str">
        <f t="shared" si="522"/>
        <v/>
      </c>
      <c r="Y2070" s="586" t="str">
        <f t="shared" si="531"/>
        <v/>
      </c>
      <c r="Z2070" s="586" t="str">
        <f t="shared" si="517"/>
        <v/>
      </c>
    </row>
    <row r="2071" spans="1:26" ht="12" hidden="1" thickBot="1" x14ac:dyDescent="0.25">
      <c r="A2071" s="567" t="s">
        <v>168</v>
      </c>
      <c r="B2071" s="644" t="s">
        <v>168</v>
      </c>
      <c r="C2071" s="645"/>
      <c r="D2071" s="422" t="s">
        <v>248</v>
      </c>
      <c r="E2071" s="423"/>
      <c r="F2071" s="424">
        <v>180</v>
      </c>
      <c r="G2071" s="425">
        <v>0.01</v>
      </c>
      <c r="H2071" s="663">
        <f t="shared" ref="H2071:H2072" si="537">IF(F2071&lt;=30,(1.07*F2071+2.68)*G2071,((1.07*30+2.68)+1.07*(F2071-30))*G2071)</f>
        <v>1.9528000000000001</v>
      </c>
      <c r="I2071" s="420"/>
      <c r="J2071" s="420"/>
      <c r="K2071" s="421">
        <f t="shared" si="525"/>
        <v>0</v>
      </c>
      <c r="L2071" s="647"/>
      <c r="M2071" s="723"/>
      <c r="N2071" s="576">
        <f t="shared" si="536"/>
        <v>0</v>
      </c>
      <c r="O2071" s="577">
        <f t="shared" si="528"/>
        <v>0</v>
      </c>
      <c r="P2071" s="578">
        <f t="shared" si="529"/>
        <v>0</v>
      </c>
      <c r="Q2071" s="765"/>
      <c r="R2071" s="723"/>
      <c r="S2071" s="723"/>
      <c r="T2071" s="577">
        <f t="shared" si="526"/>
        <v>0</v>
      </c>
      <c r="U2071" s="578">
        <f t="shared" si="527"/>
        <v>0</v>
      </c>
      <c r="V2071" s="579"/>
      <c r="W2071" s="566" t="str">
        <f>IF(U2069&gt;0,"xx",IF(P2069&gt;0,"xy",""))</f>
        <v/>
      </c>
      <c r="X2071" s="586" t="str">
        <f t="shared" si="522"/>
        <v/>
      </c>
      <c r="Y2071" s="586" t="str">
        <f t="shared" si="531"/>
        <v/>
      </c>
      <c r="Z2071" s="586" t="str">
        <f t="shared" si="517"/>
        <v/>
      </c>
    </row>
    <row r="2072" spans="1:26" ht="12" hidden="1" thickBot="1" x14ac:dyDescent="0.25">
      <c r="A2072" s="567" t="s">
        <v>168</v>
      </c>
      <c r="B2072" s="644" t="s">
        <v>168</v>
      </c>
      <c r="C2072" s="645"/>
      <c r="D2072" s="422" t="s">
        <v>347</v>
      </c>
      <c r="E2072" s="423"/>
      <c r="F2072" s="424">
        <v>20</v>
      </c>
      <c r="G2072" s="425">
        <v>0.157</v>
      </c>
      <c r="H2072" s="663">
        <f t="shared" si="537"/>
        <v>3.7805600000000004</v>
      </c>
      <c r="I2072" s="420"/>
      <c r="J2072" s="420"/>
      <c r="K2072" s="421">
        <f t="shared" si="525"/>
        <v>0</v>
      </c>
      <c r="L2072" s="647"/>
      <c r="M2072" s="723"/>
      <c r="N2072" s="576">
        <f t="shared" si="536"/>
        <v>0</v>
      </c>
      <c r="O2072" s="577">
        <f t="shared" si="528"/>
        <v>0</v>
      </c>
      <c r="P2072" s="578">
        <f t="shared" si="529"/>
        <v>0</v>
      </c>
      <c r="Q2072" s="765"/>
      <c r="R2072" s="723"/>
      <c r="S2072" s="723"/>
      <c r="T2072" s="577">
        <f t="shared" si="526"/>
        <v>0</v>
      </c>
      <c r="U2072" s="578">
        <f t="shared" si="527"/>
        <v>0</v>
      </c>
      <c r="V2072" s="579"/>
      <c r="W2072" s="566" t="str">
        <f>IF(U2069&gt;0,"xx",IF(P2069&gt;0,"xy",""))</f>
        <v/>
      </c>
      <c r="X2072" s="586" t="str">
        <f t="shared" si="522"/>
        <v/>
      </c>
      <c r="Y2072" s="586" t="str">
        <f t="shared" si="531"/>
        <v/>
      </c>
      <c r="Z2072" s="586" t="str">
        <f t="shared" si="517"/>
        <v/>
      </c>
    </row>
    <row r="2073" spans="1:26" ht="12" hidden="1" thickBot="1" x14ac:dyDescent="0.25">
      <c r="A2073" s="567">
        <v>610600</v>
      </c>
      <c r="B2073" s="644" t="s">
        <v>1676</v>
      </c>
      <c r="C2073" s="645" t="s">
        <v>206</v>
      </c>
      <c r="D2073" s="422" t="s">
        <v>579</v>
      </c>
      <c r="E2073" s="423"/>
      <c r="F2073" s="424"/>
      <c r="G2073" s="425"/>
      <c r="H2073" s="651">
        <f>SUM(H2074:H2076)</f>
        <v>9.2197619999999993</v>
      </c>
      <c r="I2073" s="420">
        <v>219.99999999999997</v>
      </c>
      <c r="J2073" s="420">
        <f>IF(ISBLANK(I2073),"",SUM(H2073:I2073))</f>
        <v>229.21976199999997</v>
      </c>
      <c r="K2073" s="421">
        <f t="shared" si="525"/>
        <v>272.33999999999997</v>
      </c>
      <c r="L2073" s="647" t="s">
        <v>19</v>
      </c>
      <c r="M2073" s="576"/>
      <c r="N2073" s="576">
        <f t="shared" si="536"/>
        <v>0</v>
      </c>
      <c r="O2073" s="577">
        <f t="shared" si="528"/>
        <v>0</v>
      </c>
      <c r="P2073" s="578">
        <f t="shared" si="529"/>
        <v>0</v>
      </c>
      <c r="Q2073" s="765"/>
      <c r="R2073" s="576">
        <f>M2073</f>
        <v>0</v>
      </c>
      <c r="S2073" s="576">
        <f>N2073</f>
        <v>0</v>
      </c>
      <c r="T2073" s="577">
        <f t="shared" si="526"/>
        <v>0</v>
      </c>
      <c r="U2073" s="578">
        <f t="shared" si="527"/>
        <v>0</v>
      </c>
      <c r="V2073" s="579"/>
      <c r="W2073" s="566"/>
      <c r="X2073" s="586" t="str">
        <f t="shared" si="522"/>
        <v/>
      </c>
      <c r="Y2073" s="586" t="str">
        <f t="shared" si="531"/>
        <v/>
      </c>
      <c r="Z2073" s="586" t="str">
        <f t="shared" si="517"/>
        <v/>
      </c>
    </row>
    <row r="2074" spans="1:26" ht="12" hidden="1" thickBot="1" x14ac:dyDescent="0.25">
      <c r="A2074" s="567" t="s">
        <v>168</v>
      </c>
      <c r="B2074" s="644" t="s">
        <v>168</v>
      </c>
      <c r="C2074" s="645"/>
      <c r="D2074" s="422" t="s">
        <v>212</v>
      </c>
      <c r="E2074" s="423"/>
      <c r="F2074" s="424">
        <v>500</v>
      </c>
      <c r="G2074" s="425">
        <v>2.3E-3</v>
      </c>
      <c r="H2074" s="649">
        <f>IF(F2074&lt;=30,(0.78*F2074+7.82)*G2074,((0.78*30+7.82)+0.78*(F2074-30))*G2074)</f>
        <v>0.91498600000000008</v>
      </c>
      <c r="I2074" s="420"/>
      <c r="J2074" s="420"/>
      <c r="K2074" s="421">
        <f t="shared" si="525"/>
        <v>0</v>
      </c>
      <c r="L2074" s="647"/>
      <c r="M2074" s="723"/>
      <c r="N2074" s="576">
        <f t="shared" si="536"/>
        <v>0</v>
      </c>
      <c r="O2074" s="577">
        <f t="shared" si="528"/>
        <v>0</v>
      </c>
      <c r="P2074" s="578">
        <f t="shared" si="529"/>
        <v>0</v>
      </c>
      <c r="Q2074" s="765"/>
      <c r="R2074" s="723"/>
      <c r="S2074" s="723"/>
      <c r="T2074" s="577">
        <f t="shared" si="526"/>
        <v>0</v>
      </c>
      <c r="U2074" s="578">
        <f t="shared" si="527"/>
        <v>0</v>
      </c>
      <c r="V2074" s="579"/>
      <c r="W2074" s="566" t="str">
        <f>IF(U2073&gt;0,"xx",IF(P2073&gt;0,"xy",""))</f>
        <v/>
      </c>
      <c r="X2074" s="586" t="str">
        <f t="shared" si="522"/>
        <v/>
      </c>
      <c r="Y2074" s="586" t="str">
        <f t="shared" si="531"/>
        <v/>
      </c>
      <c r="Z2074" s="586" t="str">
        <f t="shared" si="517"/>
        <v/>
      </c>
    </row>
    <row r="2075" spans="1:26" ht="12" hidden="1" thickBot="1" x14ac:dyDescent="0.25">
      <c r="A2075" s="567" t="s">
        <v>168</v>
      </c>
      <c r="B2075" s="644" t="s">
        <v>168</v>
      </c>
      <c r="C2075" s="645"/>
      <c r="D2075" s="422" t="s">
        <v>248</v>
      </c>
      <c r="E2075" s="423"/>
      <c r="F2075" s="424">
        <v>180</v>
      </c>
      <c r="G2075" s="425">
        <v>1.17E-2</v>
      </c>
      <c r="H2075" s="663">
        <f t="shared" ref="H2075:H2076" si="538">IF(F2075&lt;=30,(1.07*F2075+2.68)*G2075,((1.07*30+2.68)+1.07*(F2075-30))*G2075)</f>
        <v>2.2847759999999999</v>
      </c>
      <c r="I2075" s="420"/>
      <c r="J2075" s="420"/>
      <c r="K2075" s="421">
        <f t="shared" si="525"/>
        <v>0</v>
      </c>
      <c r="L2075" s="647"/>
      <c r="M2075" s="723"/>
      <c r="N2075" s="576">
        <f t="shared" si="536"/>
        <v>0</v>
      </c>
      <c r="O2075" s="577">
        <f t="shared" si="528"/>
        <v>0</v>
      </c>
      <c r="P2075" s="578">
        <f t="shared" si="529"/>
        <v>0</v>
      </c>
      <c r="Q2075" s="765"/>
      <c r="R2075" s="723"/>
      <c r="S2075" s="723"/>
      <c r="T2075" s="577">
        <f t="shared" si="526"/>
        <v>0</v>
      </c>
      <c r="U2075" s="578">
        <f t="shared" si="527"/>
        <v>0</v>
      </c>
      <c r="V2075" s="579"/>
      <c r="W2075" s="566" t="str">
        <f>IF(U2073&gt;0,"xx",IF(P2073&gt;0,"xy",""))</f>
        <v/>
      </c>
      <c r="X2075" s="586" t="str">
        <f t="shared" si="522"/>
        <v/>
      </c>
      <c r="Y2075" s="586" t="str">
        <f t="shared" si="531"/>
        <v/>
      </c>
      <c r="Z2075" s="586" t="str">
        <f t="shared" si="517"/>
        <v/>
      </c>
    </row>
    <row r="2076" spans="1:26" ht="12" hidden="1" thickBot="1" x14ac:dyDescent="0.25">
      <c r="A2076" s="567" t="s">
        <v>168</v>
      </c>
      <c r="B2076" s="644" t="s">
        <v>168</v>
      </c>
      <c r="C2076" s="645"/>
      <c r="D2076" s="422" t="s">
        <v>347</v>
      </c>
      <c r="E2076" s="423"/>
      <c r="F2076" s="424">
        <v>20</v>
      </c>
      <c r="G2076" s="425">
        <v>0.25</v>
      </c>
      <c r="H2076" s="663">
        <f t="shared" si="538"/>
        <v>6.0200000000000005</v>
      </c>
      <c r="I2076" s="420"/>
      <c r="J2076" s="420"/>
      <c r="K2076" s="421">
        <f t="shared" si="525"/>
        <v>0</v>
      </c>
      <c r="L2076" s="647"/>
      <c r="M2076" s="723"/>
      <c r="N2076" s="576">
        <f t="shared" si="536"/>
        <v>0</v>
      </c>
      <c r="O2076" s="577">
        <f t="shared" si="528"/>
        <v>0</v>
      </c>
      <c r="P2076" s="578">
        <f t="shared" si="529"/>
        <v>0</v>
      </c>
      <c r="Q2076" s="765"/>
      <c r="R2076" s="723"/>
      <c r="S2076" s="723"/>
      <c r="T2076" s="577">
        <f t="shared" si="526"/>
        <v>0</v>
      </c>
      <c r="U2076" s="578">
        <f t="shared" si="527"/>
        <v>0</v>
      </c>
      <c r="V2076" s="579"/>
      <c r="W2076" s="566" t="str">
        <f>IF(U2073&gt;0,"xx",IF(P2073&gt;0,"xy",""))</f>
        <v/>
      </c>
      <c r="X2076" s="586" t="str">
        <f t="shared" si="522"/>
        <v/>
      </c>
      <c r="Y2076" s="586" t="str">
        <f t="shared" si="531"/>
        <v/>
      </c>
      <c r="Z2076" s="586" t="str">
        <f t="shared" si="517"/>
        <v/>
      </c>
    </row>
    <row r="2077" spans="1:26" ht="12" hidden="1" thickBot="1" x14ac:dyDescent="0.25">
      <c r="A2077" s="567">
        <v>610600</v>
      </c>
      <c r="B2077" s="644" t="s">
        <v>1677</v>
      </c>
      <c r="C2077" s="645" t="s">
        <v>206</v>
      </c>
      <c r="D2077" s="422" t="s">
        <v>385</v>
      </c>
      <c r="E2077" s="423"/>
      <c r="F2077" s="424"/>
      <c r="G2077" s="425"/>
      <c r="H2077" s="651">
        <f>SUM(H2078:H2080)</f>
        <v>13.042284000000002</v>
      </c>
      <c r="I2077" s="420">
        <v>301.64999999999998</v>
      </c>
      <c r="J2077" s="420">
        <f>IF(ISBLANK(I2077),"",SUM(H2077:I2077))</f>
        <v>314.69228399999997</v>
      </c>
      <c r="K2077" s="421">
        <f t="shared" si="525"/>
        <v>373.89</v>
      </c>
      <c r="L2077" s="647" t="s">
        <v>19</v>
      </c>
      <c r="M2077" s="576"/>
      <c r="N2077" s="576">
        <f t="shared" si="536"/>
        <v>0</v>
      </c>
      <c r="O2077" s="577">
        <f t="shared" si="528"/>
        <v>0</v>
      </c>
      <c r="P2077" s="578">
        <f t="shared" si="529"/>
        <v>0</v>
      </c>
      <c r="Q2077" s="765"/>
      <c r="R2077" s="576">
        <f>M2077</f>
        <v>0</v>
      </c>
      <c r="S2077" s="576">
        <f>N2077</f>
        <v>0</v>
      </c>
      <c r="T2077" s="577">
        <f t="shared" si="526"/>
        <v>0</v>
      </c>
      <c r="U2077" s="578">
        <f t="shared" si="527"/>
        <v>0</v>
      </c>
      <c r="V2077" s="579"/>
      <c r="W2077" s="566"/>
      <c r="X2077" s="586" t="str">
        <f t="shared" si="522"/>
        <v/>
      </c>
      <c r="Y2077" s="586" t="str">
        <f t="shared" si="531"/>
        <v/>
      </c>
      <c r="Z2077" s="586" t="str">
        <f t="shared" si="517"/>
        <v/>
      </c>
    </row>
    <row r="2078" spans="1:26" ht="12" hidden="1" thickBot="1" x14ac:dyDescent="0.25">
      <c r="A2078" s="567" t="s">
        <v>168</v>
      </c>
      <c r="B2078" s="644" t="s">
        <v>168</v>
      </c>
      <c r="C2078" s="645"/>
      <c r="D2078" s="422" t="s">
        <v>212</v>
      </c>
      <c r="E2078" s="423"/>
      <c r="F2078" s="424">
        <v>500</v>
      </c>
      <c r="G2078" s="425">
        <v>2.5999999999999999E-3</v>
      </c>
      <c r="H2078" s="649">
        <f>IF(F2078&lt;=30,(0.78*F2078+7.82)*G2078,((0.78*30+7.82)+0.78*(F2078-30))*G2078)</f>
        <v>1.034332</v>
      </c>
      <c r="I2078" s="420"/>
      <c r="J2078" s="420"/>
      <c r="K2078" s="421">
        <f t="shared" si="525"/>
        <v>0</v>
      </c>
      <c r="L2078" s="647"/>
      <c r="M2078" s="723"/>
      <c r="N2078" s="576">
        <f t="shared" si="536"/>
        <v>0</v>
      </c>
      <c r="O2078" s="577">
        <f t="shared" si="528"/>
        <v>0</v>
      </c>
      <c r="P2078" s="578">
        <f t="shared" si="529"/>
        <v>0</v>
      </c>
      <c r="Q2078" s="765"/>
      <c r="R2078" s="723"/>
      <c r="S2078" s="723"/>
      <c r="T2078" s="577">
        <f t="shared" si="526"/>
        <v>0</v>
      </c>
      <c r="U2078" s="578">
        <f t="shared" si="527"/>
        <v>0</v>
      </c>
      <c r="V2078" s="579"/>
      <c r="W2078" s="566" t="str">
        <f>IF(U2077&gt;0,"xx",IF(P2077&gt;0,"xy",""))</f>
        <v/>
      </c>
      <c r="X2078" s="586" t="str">
        <f t="shared" si="522"/>
        <v/>
      </c>
      <c r="Y2078" s="586" t="str">
        <f t="shared" si="531"/>
        <v/>
      </c>
      <c r="Z2078" s="586" t="str">
        <f t="shared" si="517"/>
        <v/>
      </c>
    </row>
    <row r="2079" spans="1:26" ht="12" hidden="1" thickBot="1" x14ac:dyDescent="0.25">
      <c r="A2079" s="567" t="s">
        <v>168</v>
      </c>
      <c r="B2079" s="644" t="s">
        <v>168</v>
      </c>
      <c r="C2079" s="645"/>
      <c r="D2079" s="422" t="s">
        <v>248</v>
      </c>
      <c r="E2079" s="423"/>
      <c r="F2079" s="424">
        <v>180</v>
      </c>
      <c r="G2079" s="425">
        <v>1.34E-2</v>
      </c>
      <c r="H2079" s="663">
        <f t="shared" ref="H2079:H2080" si="539">IF(F2079&lt;=30,(1.07*F2079+2.68)*G2079,((1.07*30+2.68)+1.07*(F2079-30))*G2079)</f>
        <v>2.616752</v>
      </c>
      <c r="I2079" s="420"/>
      <c r="J2079" s="420"/>
      <c r="K2079" s="421">
        <f t="shared" si="525"/>
        <v>0</v>
      </c>
      <c r="L2079" s="647"/>
      <c r="M2079" s="723"/>
      <c r="N2079" s="576">
        <f t="shared" si="536"/>
        <v>0</v>
      </c>
      <c r="O2079" s="577">
        <f t="shared" si="528"/>
        <v>0</v>
      </c>
      <c r="P2079" s="578">
        <f t="shared" si="529"/>
        <v>0</v>
      </c>
      <c r="Q2079" s="765"/>
      <c r="R2079" s="723"/>
      <c r="S2079" s="723"/>
      <c r="T2079" s="577">
        <f t="shared" si="526"/>
        <v>0</v>
      </c>
      <c r="U2079" s="578">
        <f t="shared" si="527"/>
        <v>0</v>
      </c>
      <c r="V2079" s="579"/>
      <c r="W2079" s="566" t="str">
        <f>IF(U2077&gt;0,"xx",IF(P2077&gt;0,"xy",""))</f>
        <v/>
      </c>
      <c r="X2079" s="586" t="str">
        <f t="shared" si="522"/>
        <v/>
      </c>
      <c r="Y2079" s="586" t="str">
        <f t="shared" si="531"/>
        <v/>
      </c>
      <c r="Z2079" s="586" t="str">
        <f t="shared" si="517"/>
        <v/>
      </c>
    </row>
    <row r="2080" spans="1:26" ht="12" hidden="1" thickBot="1" x14ac:dyDescent="0.25">
      <c r="A2080" s="567" t="s">
        <v>168</v>
      </c>
      <c r="B2080" s="644" t="s">
        <v>168</v>
      </c>
      <c r="C2080" s="645"/>
      <c r="D2080" s="422" t="s">
        <v>347</v>
      </c>
      <c r="E2080" s="423"/>
      <c r="F2080" s="424">
        <v>20</v>
      </c>
      <c r="G2080" s="425">
        <v>0.39</v>
      </c>
      <c r="H2080" s="663">
        <f t="shared" si="539"/>
        <v>9.3912000000000013</v>
      </c>
      <c r="I2080" s="420"/>
      <c r="J2080" s="420"/>
      <c r="K2080" s="421">
        <f t="shared" si="525"/>
        <v>0</v>
      </c>
      <c r="L2080" s="647"/>
      <c r="M2080" s="723"/>
      <c r="N2080" s="576">
        <f t="shared" si="536"/>
        <v>0</v>
      </c>
      <c r="O2080" s="577">
        <f t="shared" si="528"/>
        <v>0</v>
      </c>
      <c r="P2080" s="578">
        <f t="shared" si="529"/>
        <v>0</v>
      </c>
      <c r="Q2080" s="765"/>
      <c r="R2080" s="723"/>
      <c r="S2080" s="723"/>
      <c r="T2080" s="577">
        <f t="shared" si="526"/>
        <v>0</v>
      </c>
      <c r="U2080" s="578">
        <f t="shared" si="527"/>
        <v>0</v>
      </c>
      <c r="V2080" s="579"/>
      <c r="W2080" s="566" t="str">
        <f>IF(U2077&gt;0,"xx",IF(P2077&gt;0,"xy",""))</f>
        <v/>
      </c>
      <c r="X2080" s="586" t="str">
        <f t="shared" si="522"/>
        <v/>
      </c>
      <c r="Y2080" s="586" t="str">
        <f t="shared" si="531"/>
        <v/>
      </c>
      <c r="Z2080" s="586" t="str">
        <f t="shared" si="517"/>
        <v/>
      </c>
    </row>
    <row r="2081" spans="1:26" ht="12" hidden="1" thickBot="1" x14ac:dyDescent="0.25">
      <c r="A2081" s="567">
        <v>610800</v>
      </c>
      <c r="B2081" s="644" t="s">
        <v>1681</v>
      </c>
      <c r="C2081" s="645" t="s">
        <v>206</v>
      </c>
      <c r="D2081" s="422" t="s">
        <v>580</v>
      </c>
      <c r="E2081" s="423"/>
      <c r="F2081" s="424"/>
      <c r="G2081" s="425"/>
      <c r="H2081" s="651">
        <f>SUM(H2082:H2084)</f>
        <v>16.864806000000002</v>
      </c>
      <c r="I2081" s="420">
        <v>409.69499999999999</v>
      </c>
      <c r="J2081" s="420">
        <f>IF(ISBLANK(I2081),"",SUM(H2081:I2081))</f>
        <v>426.55980599999998</v>
      </c>
      <c r="K2081" s="421">
        <f t="shared" si="525"/>
        <v>506.8</v>
      </c>
      <c r="L2081" s="647" t="s">
        <v>19</v>
      </c>
      <c r="M2081" s="576"/>
      <c r="N2081" s="576">
        <f t="shared" si="536"/>
        <v>0</v>
      </c>
      <c r="O2081" s="577">
        <f t="shared" si="528"/>
        <v>0</v>
      </c>
      <c r="P2081" s="578">
        <f t="shared" si="529"/>
        <v>0</v>
      </c>
      <c r="Q2081" s="765"/>
      <c r="R2081" s="576">
        <f>M2081</f>
        <v>0</v>
      </c>
      <c r="S2081" s="576">
        <f>N2081</f>
        <v>0</v>
      </c>
      <c r="T2081" s="577">
        <f t="shared" si="526"/>
        <v>0</v>
      </c>
      <c r="U2081" s="578">
        <f t="shared" si="527"/>
        <v>0</v>
      </c>
      <c r="V2081" s="579"/>
      <c r="W2081" s="566"/>
      <c r="X2081" s="586" t="str">
        <f t="shared" si="522"/>
        <v/>
      </c>
      <c r="Y2081" s="586" t="str">
        <f t="shared" si="531"/>
        <v/>
      </c>
      <c r="Z2081" s="586" t="str">
        <f t="shared" si="517"/>
        <v/>
      </c>
    </row>
    <row r="2082" spans="1:26" ht="12" hidden="1" thickBot="1" x14ac:dyDescent="0.25">
      <c r="A2082" s="567" t="s">
        <v>168</v>
      </c>
      <c r="B2082" s="644" t="s">
        <v>168</v>
      </c>
      <c r="C2082" s="645"/>
      <c r="D2082" s="422" t="s">
        <v>212</v>
      </c>
      <c r="E2082" s="423"/>
      <c r="F2082" s="424">
        <v>500</v>
      </c>
      <c r="G2082" s="425">
        <v>2.8999999999999998E-3</v>
      </c>
      <c r="H2082" s="649">
        <f>IF(F2082&lt;=30,(0.78*F2082+7.82)*G2082,((0.78*30+7.82)+0.78*(F2082-30))*G2082)</f>
        <v>1.153678</v>
      </c>
      <c r="I2082" s="420"/>
      <c r="J2082" s="420"/>
      <c r="K2082" s="421">
        <f t="shared" si="525"/>
        <v>0</v>
      </c>
      <c r="L2082" s="647"/>
      <c r="M2082" s="723"/>
      <c r="N2082" s="576">
        <f t="shared" si="536"/>
        <v>0</v>
      </c>
      <c r="O2082" s="577">
        <f t="shared" si="528"/>
        <v>0</v>
      </c>
      <c r="P2082" s="578">
        <f t="shared" si="529"/>
        <v>0</v>
      </c>
      <c r="Q2082" s="765"/>
      <c r="R2082" s="723"/>
      <c r="S2082" s="723"/>
      <c r="T2082" s="577">
        <f t="shared" si="526"/>
        <v>0</v>
      </c>
      <c r="U2082" s="578">
        <f t="shared" si="527"/>
        <v>0</v>
      </c>
      <c r="V2082" s="579"/>
      <c r="W2082" s="566" t="str">
        <f>IF(U2081&gt;0,"xx",IF(P2081&gt;0,"xy",""))</f>
        <v/>
      </c>
      <c r="X2082" s="586" t="str">
        <f t="shared" si="522"/>
        <v/>
      </c>
      <c r="Y2082" s="586" t="str">
        <f t="shared" si="531"/>
        <v/>
      </c>
      <c r="Z2082" s="586" t="str">
        <f t="shared" si="517"/>
        <v/>
      </c>
    </row>
    <row r="2083" spans="1:26" ht="12" hidden="1" thickBot="1" x14ac:dyDescent="0.25">
      <c r="A2083" s="567" t="s">
        <v>168</v>
      </c>
      <c r="B2083" s="644" t="s">
        <v>168</v>
      </c>
      <c r="C2083" s="645"/>
      <c r="D2083" s="422" t="s">
        <v>248</v>
      </c>
      <c r="E2083" s="423"/>
      <c r="F2083" s="424">
        <v>180</v>
      </c>
      <c r="G2083" s="425">
        <v>1.5100000000000001E-2</v>
      </c>
      <c r="H2083" s="663">
        <f t="shared" ref="H2083:H2084" si="540">IF(F2083&lt;=30,(1.07*F2083+2.68)*G2083,((1.07*30+2.68)+1.07*(F2083-30))*G2083)</f>
        <v>2.948728</v>
      </c>
      <c r="I2083" s="420"/>
      <c r="J2083" s="420"/>
      <c r="K2083" s="421">
        <f t="shared" si="525"/>
        <v>0</v>
      </c>
      <c r="L2083" s="647"/>
      <c r="M2083" s="723"/>
      <c r="N2083" s="576">
        <f t="shared" si="536"/>
        <v>0</v>
      </c>
      <c r="O2083" s="577">
        <f t="shared" si="528"/>
        <v>0</v>
      </c>
      <c r="P2083" s="578">
        <f t="shared" si="529"/>
        <v>0</v>
      </c>
      <c r="Q2083" s="765"/>
      <c r="R2083" s="723"/>
      <c r="S2083" s="723"/>
      <c r="T2083" s="577">
        <f t="shared" si="526"/>
        <v>0</v>
      </c>
      <c r="U2083" s="578">
        <f t="shared" si="527"/>
        <v>0</v>
      </c>
      <c r="V2083" s="579"/>
      <c r="W2083" s="566" t="str">
        <f>IF(U2081&gt;0,"xx",IF(P2081&gt;0,"xy",""))</f>
        <v/>
      </c>
      <c r="X2083" s="586" t="str">
        <f t="shared" si="522"/>
        <v/>
      </c>
      <c r="Y2083" s="586" t="str">
        <f t="shared" si="531"/>
        <v/>
      </c>
      <c r="Z2083" s="586" t="str">
        <f t="shared" si="517"/>
        <v/>
      </c>
    </row>
    <row r="2084" spans="1:26" ht="12" hidden="1" thickBot="1" x14ac:dyDescent="0.25">
      <c r="A2084" s="567" t="s">
        <v>168</v>
      </c>
      <c r="B2084" s="644" t="s">
        <v>168</v>
      </c>
      <c r="C2084" s="645"/>
      <c r="D2084" s="422" t="s">
        <v>347</v>
      </c>
      <c r="E2084" s="423"/>
      <c r="F2084" s="424">
        <v>20</v>
      </c>
      <c r="G2084" s="425">
        <v>0.53</v>
      </c>
      <c r="H2084" s="663">
        <f t="shared" si="540"/>
        <v>12.762400000000001</v>
      </c>
      <c r="I2084" s="420"/>
      <c r="J2084" s="420"/>
      <c r="K2084" s="421">
        <f t="shared" si="525"/>
        <v>0</v>
      </c>
      <c r="L2084" s="647"/>
      <c r="M2084" s="723"/>
      <c r="N2084" s="576">
        <f t="shared" si="536"/>
        <v>0</v>
      </c>
      <c r="O2084" s="577">
        <f t="shared" si="528"/>
        <v>0</v>
      </c>
      <c r="P2084" s="578">
        <f t="shared" si="529"/>
        <v>0</v>
      </c>
      <c r="Q2084" s="765"/>
      <c r="R2084" s="723"/>
      <c r="S2084" s="723"/>
      <c r="T2084" s="577">
        <f t="shared" si="526"/>
        <v>0</v>
      </c>
      <c r="U2084" s="578">
        <f t="shared" si="527"/>
        <v>0</v>
      </c>
      <c r="V2084" s="579"/>
      <c r="W2084" s="566" t="str">
        <f>IF(U2081&gt;0,"xx",IF(P2081&gt;0,"xy",""))</f>
        <v/>
      </c>
      <c r="X2084" s="586" t="str">
        <f t="shared" si="522"/>
        <v/>
      </c>
      <c r="Y2084" s="586" t="str">
        <f t="shared" si="531"/>
        <v/>
      </c>
      <c r="Z2084" s="586" t="str">
        <f t="shared" si="517"/>
        <v/>
      </c>
    </row>
    <row r="2085" spans="1:26" ht="12" hidden="1" thickBot="1" x14ac:dyDescent="0.25">
      <c r="A2085" s="567">
        <v>610800</v>
      </c>
      <c r="B2085" s="644" t="s">
        <v>1682</v>
      </c>
      <c r="C2085" s="645" t="s">
        <v>206</v>
      </c>
      <c r="D2085" s="422" t="s">
        <v>386</v>
      </c>
      <c r="E2085" s="423"/>
      <c r="F2085" s="424"/>
      <c r="G2085" s="425"/>
      <c r="H2085" s="651">
        <f>SUM(H2086:H2088)</f>
        <v>20.687328000000001</v>
      </c>
      <c r="I2085" s="420">
        <v>517.74</v>
      </c>
      <c r="J2085" s="420">
        <f>IF(ISBLANK(I2085),"",SUM(H2085:I2085))</f>
        <v>538.42732799999999</v>
      </c>
      <c r="K2085" s="421">
        <f t="shared" si="525"/>
        <v>639.71</v>
      </c>
      <c r="L2085" s="647" t="s">
        <v>19</v>
      </c>
      <c r="M2085" s="576"/>
      <c r="N2085" s="576">
        <f t="shared" si="536"/>
        <v>0</v>
      </c>
      <c r="O2085" s="577">
        <f t="shared" si="528"/>
        <v>0</v>
      </c>
      <c r="P2085" s="578">
        <f t="shared" si="529"/>
        <v>0</v>
      </c>
      <c r="Q2085" s="765"/>
      <c r="R2085" s="576">
        <f>M2085</f>
        <v>0</v>
      </c>
      <c r="S2085" s="576">
        <f>N2085</f>
        <v>0</v>
      </c>
      <c r="T2085" s="577">
        <f t="shared" si="526"/>
        <v>0</v>
      </c>
      <c r="U2085" s="578">
        <f t="shared" si="527"/>
        <v>0</v>
      </c>
      <c r="V2085" s="579"/>
      <c r="W2085" s="566"/>
      <c r="X2085" s="586" t="str">
        <f t="shared" si="522"/>
        <v/>
      </c>
      <c r="Y2085" s="586" t="str">
        <f t="shared" si="531"/>
        <v/>
      </c>
      <c r="Z2085" s="586" t="str">
        <f t="shared" si="517"/>
        <v/>
      </c>
    </row>
    <row r="2086" spans="1:26" ht="12" hidden="1" thickBot="1" x14ac:dyDescent="0.25">
      <c r="A2086" s="567" t="s">
        <v>168</v>
      </c>
      <c r="B2086" s="644" t="s">
        <v>168</v>
      </c>
      <c r="C2086" s="645"/>
      <c r="D2086" s="422" t="s">
        <v>212</v>
      </c>
      <c r="E2086" s="423"/>
      <c r="F2086" s="424">
        <v>500</v>
      </c>
      <c r="G2086" s="425">
        <v>3.2000000000000002E-3</v>
      </c>
      <c r="H2086" s="649">
        <f>IF(F2086&lt;=30,(0.78*F2086+7.82)*G2086,((0.78*30+7.82)+0.78*(F2086-30))*G2086)</f>
        <v>1.2730240000000002</v>
      </c>
      <c r="I2086" s="420"/>
      <c r="J2086" s="420"/>
      <c r="K2086" s="421">
        <f t="shared" si="525"/>
        <v>0</v>
      </c>
      <c r="L2086" s="647"/>
      <c r="M2086" s="723"/>
      <c r="N2086" s="576">
        <f t="shared" si="536"/>
        <v>0</v>
      </c>
      <c r="O2086" s="577">
        <f t="shared" si="528"/>
        <v>0</v>
      </c>
      <c r="P2086" s="578">
        <f t="shared" si="529"/>
        <v>0</v>
      </c>
      <c r="Q2086" s="765"/>
      <c r="R2086" s="723"/>
      <c r="S2086" s="723"/>
      <c r="T2086" s="577">
        <f t="shared" si="526"/>
        <v>0</v>
      </c>
      <c r="U2086" s="578">
        <f t="shared" si="527"/>
        <v>0</v>
      </c>
      <c r="V2086" s="579"/>
      <c r="W2086" s="566" t="str">
        <f>IF(U2085&gt;0,"xx",IF(P2085&gt;0,"xy",""))</f>
        <v/>
      </c>
      <c r="X2086" s="586" t="str">
        <f t="shared" si="522"/>
        <v/>
      </c>
      <c r="Y2086" s="586" t="str">
        <f t="shared" si="531"/>
        <v/>
      </c>
      <c r="Z2086" s="586" t="str">
        <f t="shared" si="517"/>
        <v/>
      </c>
    </row>
    <row r="2087" spans="1:26" ht="12" hidden="1" thickBot="1" x14ac:dyDescent="0.25">
      <c r="A2087" s="567" t="s">
        <v>168</v>
      </c>
      <c r="B2087" s="644" t="s">
        <v>168</v>
      </c>
      <c r="C2087" s="645"/>
      <c r="D2087" s="422" t="s">
        <v>248</v>
      </c>
      <c r="E2087" s="423"/>
      <c r="F2087" s="424">
        <v>180</v>
      </c>
      <c r="G2087" s="425">
        <v>1.6799999999999999E-2</v>
      </c>
      <c r="H2087" s="663">
        <f t="shared" ref="H2087:H2088" si="541">IF(F2087&lt;=30,(1.07*F2087+2.68)*G2087,((1.07*30+2.68)+1.07*(F2087-30))*G2087)</f>
        <v>3.2807039999999996</v>
      </c>
      <c r="I2087" s="420"/>
      <c r="J2087" s="420"/>
      <c r="K2087" s="421">
        <f t="shared" si="525"/>
        <v>0</v>
      </c>
      <c r="L2087" s="647"/>
      <c r="M2087" s="723"/>
      <c r="N2087" s="576">
        <f t="shared" si="536"/>
        <v>0</v>
      </c>
      <c r="O2087" s="577">
        <f t="shared" si="528"/>
        <v>0</v>
      </c>
      <c r="P2087" s="578">
        <f t="shared" si="529"/>
        <v>0</v>
      </c>
      <c r="Q2087" s="765"/>
      <c r="R2087" s="723"/>
      <c r="S2087" s="723"/>
      <c r="T2087" s="577">
        <f t="shared" si="526"/>
        <v>0</v>
      </c>
      <c r="U2087" s="578">
        <f t="shared" si="527"/>
        <v>0</v>
      </c>
      <c r="V2087" s="579"/>
      <c r="W2087" s="566" t="str">
        <f>IF(U2085&gt;0,"xx",IF(P2085&gt;0,"xy",""))</f>
        <v/>
      </c>
      <c r="X2087" s="586" t="str">
        <f t="shared" si="522"/>
        <v/>
      </c>
      <c r="Y2087" s="586" t="str">
        <f t="shared" si="531"/>
        <v/>
      </c>
      <c r="Z2087" s="586" t="str">
        <f t="shared" si="517"/>
        <v/>
      </c>
    </row>
    <row r="2088" spans="1:26" ht="12" hidden="1" thickBot="1" x14ac:dyDescent="0.25">
      <c r="A2088" s="567" t="s">
        <v>168</v>
      </c>
      <c r="B2088" s="644" t="s">
        <v>168</v>
      </c>
      <c r="C2088" s="645"/>
      <c r="D2088" s="422" t="s">
        <v>347</v>
      </c>
      <c r="E2088" s="423"/>
      <c r="F2088" s="424">
        <v>20</v>
      </c>
      <c r="G2088" s="425">
        <v>0.67</v>
      </c>
      <c r="H2088" s="663">
        <f t="shared" si="541"/>
        <v>16.133600000000001</v>
      </c>
      <c r="I2088" s="420"/>
      <c r="J2088" s="420"/>
      <c r="K2088" s="421">
        <f t="shared" si="525"/>
        <v>0</v>
      </c>
      <c r="L2088" s="647"/>
      <c r="M2088" s="723"/>
      <c r="N2088" s="576">
        <f t="shared" si="536"/>
        <v>0</v>
      </c>
      <c r="O2088" s="577">
        <f t="shared" si="528"/>
        <v>0</v>
      </c>
      <c r="P2088" s="578">
        <f t="shared" si="529"/>
        <v>0</v>
      </c>
      <c r="Q2088" s="765"/>
      <c r="R2088" s="723"/>
      <c r="S2088" s="723"/>
      <c r="T2088" s="577">
        <f t="shared" si="526"/>
        <v>0</v>
      </c>
      <c r="U2088" s="578">
        <f t="shared" si="527"/>
        <v>0</v>
      </c>
      <c r="V2088" s="579"/>
      <c r="W2088" s="566" t="str">
        <f>IF(U2085&gt;0,"xx",IF(P2085&gt;0,"xy",""))</f>
        <v/>
      </c>
      <c r="X2088" s="586" t="str">
        <f t="shared" si="522"/>
        <v/>
      </c>
      <c r="Y2088" s="586" t="str">
        <f t="shared" si="531"/>
        <v/>
      </c>
      <c r="Z2088" s="586" t="str">
        <f t="shared" ref="Z2088:Z2151" si="542">IF(W2088="X","x",IF(U2088&gt;0,"x",""))</f>
        <v/>
      </c>
    </row>
    <row r="2089" spans="1:26" ht="12" hidden="1" thickBot="1" x14ac:dyDescent="0.25">
      <c r="A2089" s="567">
        <v>611000</v>
      </c>
      <c r="B2089" s="644" t="s">
        <v>1689</v>
      </c>
      <c r="C2089" s="645" t="s">
        <v>206</v>
      </c>
      <c r="D2089" s="422" t="s">
        <v>581</v>
      </c>
      <c r="E2089" s="423"/>
      <c r="F2089" s="424"/>
      <c r="G2089" s="425"/>
      <c r="H2089" s="651">
        <f>SUM(H2090:H2092)</f>
        <v>25.798960000000001</v>
      </c>
      <c r="I2089" s="420">
        <v>634.35500000000002</v>
      </c>
      <c r="J2089" s="420">
        <f>IF(ISBLANK(I2089),"",SUM(H2089:I2089))</f>
        <v>660.15395999999998</v>
      </c>
      <c r="K2089" s="421">
        <f t="shared" si="525"/>
        <v>784.33</v>
      </c>
      <c r="L2089" s="647" t="s">
        <v>19</v>
      </c>
      <c r="M2089" s="576"/>
      <c r="N2089" s="576">
        <f t="shared" si="536"/>
        <v>0</v>
      </c>
      <c r="O2089" s="577">
        <f t="shared" si="528"/>
        <v>0</v>
      </c>
      <c r="P2089" s="578">
        <f t="shared" si="529"/>
        <v>0</v>
      </c>
      <c r="Q2089" s="765"/>
      <c r="R2089" s="576">
        <f>M2089</f>
        <v>0</v>
      </c>
      <c r="S2089" s="576">
        <f>N2089</f>
        <v>0</v>
      </c>
      <c r="T2089" s="577">
        <f t="shared" si="526"/>
        <v>0</v>
      </c>
      <c r="U2089" s="578">
        <f t="shared" si="527"/>
        <v>0</v>
      </c>
      <c r="V2089" s="579"/>
      <c r="W2089" s="566"/>
      <c r="X2089" s="586" t="str">
        <f t="shared" si="522"/>
        <v/>
      </c>
      <c r="Y2089" s="586" t="str">
        <f t="shared" si="531"/>
        <v/>
      </c>
      <c r="Z2089" s="586" t="str">
        <f t="shared" si="542"/>
        <v/>
      </c>
    </row>
    <row r="2090" spans="1:26" ht="12" hidden="1" thickBot="1" x14ac:dyDescent="0.25">
      <c r="A2090" s="567" t="s">
        <v>168</v>
      </c>
      <c r="B2090" s="644" t="s">
        <v>168</v>
      </c>
      <c r="C2090" s="645"/>
      <c r="D2090" s="422" t="s">
        <v>212</v>
      </c>
      <c r="E2090" s="423"/>
      <c r="F2090" s="424">
        <v>500</v>
      </c>
      <c r="G2090" s="425">
        <v>4.0000000000000001E-3</v>
      </c>
      <c r="H2090" s="649">
        <f>IF(F2090&lt;=30,(0.78*F2090+7.82)*G2090,((0.78*30+7.82)+0.78*(F2090-30))*G2090)</f>
        <v>1.5912800000000002</v>
      </c>
      <c r="I2090" s="420"/>
      <c r="J2090" s="420"/>
      <c r="K2090" s="421">
        <f t="shared" si="525"/>
        <v>0</v>
      </c>
      <c r="L2090" s="647"/>
      <c r="M2090" s="723"/>
      <c r="N2090" s="576">
        <f t="shared" si="536"/>
        <v>0</v>
      </c>
      <c r="O2090" s="577">
        <f t="shared" si="528"/>
        <v>0</v>
      </c>
      <c r="P2090" s="578">
        <f t="shared" si="529"/>
        <v>0</v>
      </c>
      <c r="Q2090" s="765"/>
      <c r="R2090" s="723"/>
      <c r="S2090" s="723"/>
      <c r="T2090" s="577">
        <f t="shared" si="526"/>
        <v>0</v>
      </c>
      <c r="U2090" s="578">
        <f t="shared" si="527"/>
        <v>0</v>
      </c>
      <c r="V2090" s="579"/>
      <c r="W2090" s="566" t="str">
        <f>IF(U2089&gt;0,"xx",IF(P2089&gt;0,"xy",""))</f>
        <v/>
      </c>
      <c r="X2090" s="586" t="str">
        <f t="shared" si="522"/>
        <v/>
      </c>
      <c r="Y2090" s="586" t="str">
        <f t="shared" si="531"/>
        <v/>
      </c>
      <c r="Z2090" s="586" t="str">
        <f t="shared" si="542"/>
        <v/>
      </c>
    </row>
    <row r="2091" spans="1:26" ht="12" hidden="1" thickBot="1" x14ac:dyDescent="0.25">
      <c r="A2091" s="567" t="s">
        <v>168</v>
      </c>
      <c r="B2091" s="644" t="s">
        <v>168</v>
      </c>
      <c r="C2091" s="645"/>
      <c r="D2091" s="422" t="s">
        <v>248</v>
      </c>
      <c r="E2091" s="423"/>
      <c r="F2091" s="424">
        <v>180</v>
      </c>
      <c r="G2091" s="425">
        <v>2.1000000000000001E-2</v>
      </c>
      <c r="H2091" s="663">
        <f t="shared" ref="H2091:H2092" si="543">IF(F2091&lt;=30,(1.07*F2091+2.68)*G2091,((1.07*30+2.68)+1.07*(F2091-30))*G2091)</f>
        <v>4.1008800000000001</v>
      </c>
      <c r="I2091" s="420"/>
      <c r="J2091" s="420"/>
      <c r="K2091" s="421">
        <f t="shared" si="525"/>
        <v>0</v>
      </c>
      <c r="L2091" s="647"/>
      <c r="M2091" s="723"/>
      <c r="N2091" s="576">
        <f t="shared" si="536"/>
        <v>0</v>
      </c>
      <c r="O2091" s="577">
        <f t="shared" si="528"/>
        <v>0</v>
      </c>
      <c r="P2091" s="578">
        <f t="shared" si="529"/>
        <v>0</v>
      </c>
      <c r="Q2091" s="765"/>
      <c r="R2091" s="723"/>
      <c r="S2091" s="723"/>
      <c r="T2091" s="577">
        <f t="shared" si="526"/>
        <v>0</v>
      </c>
      <c r="U2091" s="578">
        <f t="shared" si="527"/>
        <v>0</v>
      </c>
      <c r="V2091" s="579"/>
      <c r="W2091" s="566" t="str">
        <f>IF(U2089&gt;0,"xx",IF(P2089&gt;0,"xy",""))</f>
        <v/>
      </c>
      <c r="X2091" s="586" t="str">
        <f t="shared" si="522"/>
        <v/>
      </c>
      <c r="Y2091" s="586" t="str">
        <f t="shared" si="531"/>
        <v/>
      </c>
      <c r="Z2091" s="586" t="str">
        <f t="shared" si="542"/>
        <v/>
      </c>
    </row>
    <row r="2092" spans="1:26" ht="12" hidden="1" thickBot="1" x14ac:dyDescent="0.25">
      <c r="A2092" s="567" t="s">
        <v>168</v>
      </c>
      <c r="B2092" s="644" t="s">
        <v>168</v>
      </c>
      <c r="C2092" s="645"/>
      <c r="D2092" s="422" t="s">
        <v>347</v>
      </c>
      <c r="E2092" s="423"/>
      <c r="F2092" s="424">
        <v>20</v>
      </c>
      <c r="G2092" s="425">
        <v>0.83499999999999996</v>
      </c>
      <c r="H2092" s="663">
        <f t="shared" si="543"/>
        <v>20.1068</v>
      </c>
      <c r="I2092" s="420"/>
      <c r="J2092" s="420"/>
      <c r="K2092" s="421">
        <f t="shared" si="525"/>
        <v>0</v>
      </c>
      <c r="L2092" s="647"/>
      <c r="M2092" s="723"/>
      <c r="N2092" s="576">
        <f t="shared" si="536"/>
        <v>0</v>
      </c>
      <c r="O2092" s="577">
        <f t="shared" si="528"/>
        <v>0</v>
      </c>
      <c r="P2092" s="578">
        <f t="shared" si="529"/>
        <v>0</v>
      </c>
      <c r="Q2092" s="765"/>
      <c r="R2092" s="723"/>
      <c r="S2092" s="723"/>
      <c r="T2092" s="577">
        <f t="shared" si="526"/>
        <v>0</v>
      </c>
      <c r="U2092" s="578">
        <f t="shared" si="527"/>
        <v>0</v>
      </c>
      <c r="V2092" s="579"/>
      <c r="W2092" s="566" t="str">
        <f>IF(U2089&gt;0,"xx",IF(P2089&gt;0,"xy",""))</f>
        <v/>
      </c>
      <c r="X2092" s="586" t="str">
        <f t="shared" si="522"/>
        <v/>
      </c>
      <c r="Y2092" s="586" t="str">
        <f t="shared" si="531"/>
        <v/>
      </c>
      <c r="Z2092" s="586" t="str">
        <f t="shared" si="542"/>
        <v/>
      </c>
    </row>
    <row r="2093" spans="1:26" ht="12" hidden="1" thickBot="1" x14ac:dyDescent="0.25">
      <c r="A2093" s="567">
        <v>611000</v>
      </c>
      <c r="B2093" s="644" t="s">
        <v>1690</v>
      </c>
      <c r="C2093" s="645" t="s">
        <v>206</v>
      </c>
      <c r="D2093" s="422" t="s">
        <v>387</v>
      </c>
      <c r="E2093" s="423"/>
      <c r="F2093" s="424"/>
      <c r="G2093" s="425"/>
      <c r="H2093" s="651">
        <f>SUM(H2094:H2096)</f>
        <v>30.910592000000001</v>
      </c>
      <c r="I2093" s="420">
        <v>750.97</v>
      </c>
      <c r="J2093" s="420">
        <f>IF(ISBLANK(I2093),"",SUM(H2093:I2093))</f>
        <v>781.88059199999998</v>
      </c>
      <c r="K2093" s="421">
        <f t="shared" si="525"/>
        <v>928.95</v>
      </c>
      <c r="L2093" s="647" t="s">
        <v>19</v>
      </c>
      <c r="M2093" s="576"/>
      <c r="N2093" s="576">
        <f t="shared" si="536"/>
        <v>0</v>
      </c>
      <c r="O2093" s="577">
        <f t="shared" si="528"/>
        <v>0</v>
      </c>
      <c r="P2093" s="578">
        <f t="shared" si="529"/>
        <v>0</v>
      </c>
      <c r="Q2093" s="765"/>
      <c r="R2093" s="576">
        <f>M2093</f>
        <v>0</v>
      </c>
      <c r="S2093" s="576">
        <f>N2093</f>
        <v>0</v>
      </c>
      <c r="T2093" s="577">
        <f t="shared" si="526"/>
        <v>0</v>
      </c>
      <c r="U2093" s="578">
        <f t="shared" si="527"/>
        <v>0</v>
      </c>
      <c r="V2093" s="579"/>
      <c r="W2093" s="566"/>
      <c r="X2093" s="586" t="str">
        <f t="shared" si="522"/>
        <v/>
      </c>
      <c r="Y2093" s="586" t="str">
        <f t="shared" si="531"/>
        <v/>
      </c>
      <c r="Z2093" s="586" t="str">
        <f t="shared" si="542"/>
        <v/>
      </c>
    </row>
    <row r="2094" spans="1:26" ht="12" hidden="1" thickBot="1" x14ac:dyDescent="0.25">
      <c r="A2094" s="567" t="s">
        <v>168</v>
      </c>
      <c r="B2094" s="644" t="s">
        <v>168</v>
      </c>
      <c r="C2094" s="645"/>
      <c r="D2094" s="422" t="s">
        <v>212</v>
      </c>
      <c r="E2094" s="423"/>
      <c r="F2094" s="424">
        <v>500</v>
      </c>
      <c r="G2094" s="425">
        <v>4.7999999999999996E-3</v>
      </c>
      <c r="H2094" s="649">
        <f>IF(F2094&lt;=30,(0.78*F2094+7.82)*G2094,((0.78*30+7.82)+0.78*(F2094-30))*G2094)</f>
        <v>1.9095360000000001</v>
      </c>
      <c r="I2094" s="420"/>
      <c r="J2094" s="420"/>
      <c r="K2094" s="421">
        <f t="shared" si="525"/>
        <v>0</v>
      </c>
      <c r="L2094" s="647"/>
      <c r="M2094" s="723"/>
      <c r="N2094" s="576">
        <f t="shared" si="536"/>
        <v>0</v>
      </c>
      <c r="O2094" s="577">
        <f t="shared" si="528"/>
        <v>0</v>
      </c>
      <c r="P2094" s="578">
        <f t="shared" si="529"/>
        <v>0</v>
      </c>
      <c r="Q2094" s="765"/>
      <c r="R2094" s="723"/>
      <c r="S2094" s="723"/>
      <c r="T2094" s="577">
        <f t="shared" si="526"/>
        <v>0</v>
      </c>
      <c r="U2094" s="578">
        <f t="shared" si="527"/>
        <v>0</v>
      </c>
      <c r="V2094" s="579"/>
      <c r="W2094" s="566" t="str">
        <f>IF(U2093&gt;0,"xx",IF(P2093&gt;0,"xy",""))</f>
        <v/>
      </c>
      <c r="X2094" s="586" t="str">
        <f t="shared" si="522"/>
        <v/>
      </c>
      <c r="Y2094" s="586" t="str">
        <f t="shared" si="531"/>
        <v/>
      </c>
      <c r="Z2094" s="586" t="str">
        <f t="shared" si="542"/>
        <v/>
      </c>
    </row>
    <row r="2095" spans="1:26" ht="12" hidden="1" thickBot="1" x14ac:dyDescent="0.25">
      <c r="A2095" s="567" t="s">
        <v>168</v>
      </c>
      <c r="B2095" s="644" t="s">
        <v>168</v>
      </c>
      <c r="C2095" s="645"/>
      <c r="D2095" s="422" t="s">
        <v>248</v>
      </c>
      <c r="E2095" s="423"/>
      <c r="F2095" s="424">
        <v>180</v>
      </c>
      <c r="G2095" s="425">
        <v>2.52E-2</v>
      </c>
      <c r="H2095" s="663">
        <f t="shared" ref="H2095:H2096" si="544">IF(F2095&lt;=30,(1.07*F2095+2.68)*G2095,((1.07*30+2.68)+1.07*(F2095-30))*G2095)</f>
        <v>4.9210560000000001</v>
      </c>
      <c r="I2095" s="420"/>
      <c r="J2095" s="420"/>
      <c r="K2095" s="421">
        <f t="shared" si="525"/>
        <v>0</v>
      </c>
      <c r="L2095" s="647"/>
      <c r="M2095" s="723"/>
      <c r="N2095" s="576">
        <f t="shared" si="536"/>
        <v>0</v>
      </c>
      <c r="O2095" s="577">
        <f t="shared" si="528"/>
        <v>0</v>
      </c>
      <c r="P2095" s="578">
        <f t="shared" si="529"/>
        <v>0</v>
      </c>
      <c r="Q2095" s="765"/>
      <c r="R2095" s="723"/>
      <c r="S2095" s="723"/>
      <c r="T2095" s="577">
        <f t="shared" si="526"/>
        <v>0</v>
      </c>
      <c r="U2095" s="578">
        <f t="shared" si="527"/>
        <v>0</v>
      </c>
      <c r="V2095" s="579"/>
      <c r="W2095" s="566" t="str">
        <f>IF(U2093&gt;0,"xx",IF(P2093&gt;0,"xy",""))</f>
        <v/>
      </c>
      <c r="X2095" s="586" t="str">
        <f t="shared" si="522"/>
        <v/>
      </c>
      <c r="Y2095" s="586" t="str">
        <f t="shared" si="531"/>
        <v/>
      </c>
      <c r="Z2095" s="586" t="str">
        <f t="shared" si="542"/>
        <v/>
      </c>
    </row>
    <row r="2096" spans="1:26" ht="12" hidden="1" thickBot="1" x14ac:dyDescent="0.25">
      <c r="A2096" s="567" t="s">
        <v>168</v>
      </c>
      <c r="B2096" s="644" t="s">
        <v>168</v>
      </c>
      <c r="C2096" s="645"/>
      <c r="D2096" s="422" t="s">
        <v>347</v>
      </c>
      <c r="E2096" s="423"/>
      <c r="F2096" s="424">
        <v>20</v>
      </c>
      <c r="G2096" s="425">
        <v>1</v>
      </c>
      <c r="H2096" s="663">
        <f t="shared" si="544"/>
        <v>24.080000000000002</v>
      </c>
      <c r="I2096" s="420"/>
      <c r="J2096" s="420"/>
      <c r="K2096" s="421">
        <f t="shared" si="525"/>
        <v>0</v>
      </c>
      <c r="L2096" s="647"/>
      <c r="M2096" s="723"/>
      <c r="N2096" s="576">
        <f t="shared" si="536"/>
        <v>0</v>
      </c>
      <c r="O2096" s="577">
        <f t="shared" si="528"/>
        <v>0</v>
      </c>
      <c r="P2096" s="578">
        <f t="shared" si="529"/>
        <v>0</v>
      </c>
      <c r="Q2096" s="765"/>
      <c r="R2096" s="723"/>
      <c r="S2096" s="723"/>
      <c r="T2096" s="577">
        <f t="shared" si="526"/>
        <v>0</v>
      </c>
      <c r="U2096" s="578">
        <f t="shared" si="527"/>
        <v>0</v>
      </c>
      <c r="V2096" s="579"/>
      <c r="W2096" s="566" t="str">
        <f>IF(U2093&gt;0,"xx",IF(P2093&gt;0,"xy",""))</f>
        <v/>
      </c>
      <c r="X2096" s="586" t="str">
        <f t="shared" si="522"/>
        <v/>
      </c>
      <c r="Y2096" s="586" t="str">
        <f t="shared" si="531"/>
        <v/>
      </c>
      <c r="Z2096" s="586" t="str">
        <f t="shared" si="542"/>
        <v/>
      </c>
    </row>
    <row r="2097" spans="1:26" ht="12" hidden="1" thickBot="1" x14ac:dyDescent="0.25">
      <c r="A2097" s="567">
        <v>611200</v>
      </c>
      <c r="B2097" s="644" t="s">
        <v>1692</v>
      </c>
      <c r="C2097" s="645" t="s">
        <v>206</v>
      </c>
      <c r="D2097" s="422" t="s">
        <v>388</v>
      </c>
      <c r="E2097" s="423"/>
      <c r="F2097" s="424"/>
      <c r="G2097" s="425"/>
      <c r="H2097" s="651">
        <f>SUM(H2098:H2100)</f>
        <v>43.822438000000005</v>
      </c>
      <c r="I2097" s="420">
        <v>997.43000000000006</v>
      </c>
      <c r="J2097" s="420">
        <f>IF(ISBLANK(I2097),"",SUM(H2097:I2097))</f>
        <v>1041.252438</v>
      </c>
      <c r="K2097" s="421">
        <f t="shared" si="525"/>
        <v>1237.1099999999999</v>
      </c>
      <c r="L2097" s="647" t="s">
        <v>19</v>
      </c>
      <c r="M2097" s="576"/>
      <c r="N2097" s="576">
        <f t="shared" si="536"/>
        <v>0</v>
      </c>
      <c r="O2097" s="577">
        <f t="shared" si="528"/>
        <v>0</v>
      </c>
      <c r="P2097" s="578">
        <f t="shared" si="529"/>
        <v>0</v>
      </c>
      <c r="Q2097" s="765"/>
      <c r="R2097" s="576">
        <f>M2097</f>
        <v>0</v>
      </c>
      <c r="S2097" s="576">
        <f>N2097</f>
        <v>0</v>
      </c>
      <c r="T2097" s="577">
        <f t="shared" si="526"/>
        <v>0</v>
      </c>
      <c r="U2097" s="578">
        <f t="shared" si="527"/>
        <v>0</v>
      </c>
      <c r="V2097" s="579"/>
      <c r="W2097" s="566"/>
      <c r="X2097" s="586" t="str">
        <f t="shared" si="522"/>
        <v/>
      </c>
      <c r="Y2097" s="586" t="str">
        <f t="shared" si="531"/>
        <v/>
      </c>
      <c r="Z2097" s="586" t="str">
        <f t="shared" si="542"/>
        <v/>
      </c>
    </row>
    <row r="2098" spans="1:26" ht="12" hidden="1" thickBot="1" x14ac:dyDescent="0.25">
      <c r="A2098" s="567" t="s">
        <v>168</v>
      </c>
      <c r="B2098" s="644" t="s">
        <v>168</v>
      </c>
      <c r="C2098" s="645"/>
      <c r="D2098" s="422" t="s">
        <v>212</v>
      </c>
      <c r="E2098" s="423"/>
      <c r="F2098" s="424">
        <v>500</v>
      </c>
      <c r="G2098" s="425">
        <v>6.4999999999999997E-3</v>
      </c>
      <c r="H2098" s="649">
        <f>IF(F2098&lt;=30,(0.78*F2098+7.82)*G2098,((0.78*30+7.82)+0.78*(F2098-30))*G2098)</f>
        <v>2.5858300000000001</v>
      </c>
      <c r="I2098" s="420"/>
      <c r="J2098" s="420"/>
      <c r="K2098" s="421">
        <f t="shared" si="525"/>
        <v>0</v>
      </c>
      <c r="L2098" s="647"/>
      <c r="M2098" s="723"/>
      <c r="N2098" s="576">
        <f t="shared" si="536"/>
        <v>0</v>
      </c>
      <c r="O2098" s="577">
        <f t="shared" si="528"/>
        <v>0</v>
      </c>
      <c r="P2098" s="578">
        <f t="shared" si="529"/>
        <v>0</v>
      </c>
      <c r="Q2098" s="765"/>
      <c r="R2098" s="723"/>
      <c r="S2098" s="723"/>
      <c r="T2098" s="577">
        <f t="shared" si="526"/>
        <v>0</v>
      </c>
      <c r="U2098" s="578">
        <f t="shared" si="527"/>
        <v>0</v>
      </c>
      <c r="V2098" s="579"/>
      <c r="W2098" s="566" t="str">
        <f>IF(U2097&gt;0,"xx",IF(P2097&gt;0,"xy",""))</f>
        <v/>
      </c>
      <c r="X2098" s="586" t="str">
        <f t="shared" si="522"/>
        <v/>
      </c>
      <c r="Y2098" s="586" t="str">
        <f t="shared" si="531"/>
        <v/>
      </c>
      <c r="Z2098" s="586" t="str">
        <f t="shared" si="542"/>
        <v/>
      </c>
    </row>
    <row r="2099" spans="1:26" ht="12" hidden="1" thickBot="1" x14ac:dyDescent="0.25">
      <c r="A2099" s="567" t="s">
        <v>168</v>
      </c>
      <c r="B2099" s="644" t="s">
        <v>168</v>
      </c>
      <c r="C2099" s="645"/>
      <c r="D2099" s="422" t="s">
        <v>248</v>
      </c>
      <c r="E2099" s="423"/>
      <c r="F2099" s="424">
        <v>180</v>
      </c>
      <c r="G2099" s="425">
        <v>3.3599999999999998E-2</v>
      </c>
      <c r="H2099" s="663">
        <f t="shared" ref="H2099:H2100" si="545">IF(F2099&lt;=30,(1.07*F2099+2.68)*G2099,((1.07*30+2.68)+1.07*(F2099-30))*G2099)</f>
        <v>6.5614079999999992</v>
      </c>
      <c r="I2099" s="420"/>
      <c r="J2099" s="420"/>
      <c r="K2099" s="421">
        <f t="shared" si="525"/>
        <v>0</v>
      </c>
      <c r="L2099" s="647"/>
      <c r="M2099" s="723"/>
      <c r="N2099" s="576">
        <f t="shared" si="536"/>
        <v>0</v>
      </c>
      <c r="O2099" s="577">
        <f t="shared" si="528"/>
        <v>0</v>
      </c>
      <c r="P2099" s="578">
        <f t="shared" si="529"/>
        <v>0</v>
      </c>
      <c r="Q2099" s="765"/>
      <c r="R2099" s="723"/>
      <c r="S2099" s="723"/>
      <c r="T2099" s="577">
        <f t="shared" si="526"/>
        <v>0</v>
      </c>
      <c r="U2099" s="578">
        <f t="shared" si="527"/>
        <v>0</v>
      </c>
      <c r="V2099" s="579"/>
      <c r="W2099" s="566" t="str">
        <f>IF(U2097&gt;0,"xx",IF(P2097&gt;0,"xy",""))</f>
        <v/>
      </c>
      <c r="X2099" s="586" t="str">
        <f t="shared" si="522"/>
        <v/>
      </c>
      <c r="Y2099" s="586" t="str">
        <f t="shared" si="531"/>
        <v/>
      </c>
      <c r="Z2099" s="586" t="str">
        <f t="shared" si="542"/>
        <v/>
      </c>
    </row>
    <row r="2100" spans="1:26" ht="12" hidden="1" thickBot="1" x14ac:dyDescent="0.25">
      <c r="A2100" s="567" t="s">
        <v>168</v>
      </c>
      <c r="B2100" s="644" t="s">
        <v>168</v>
      </c>
      <c r="C2100" s="645"/>
      <c r="D2100" s="422" t="s">
        <v>347</v>
      </c>
      <c r="E2100" s="423"/>
      <c r="F2100" s="424">
        <v>20</v>
      </c>
      <c r="G2100" s="425">
        <v>1.44</v>
      </c>
      <c r="H2100" s="663">
        <f t="shared" si="545"/>
        <v>34.675200000000004</v>
      </c>
      <c r="I2100" s="420"/>
      <c r="J2100" s="420"/>
      <c r="K2100" s="421">
        <f t="shared" si="525"/>
        <v>0</v>
      </c>
      <c r="L2100" s="647"/>
      <c r="M2100" s="723"/>
      <c r="N2100" s="576">
        <f t="shared" si="536"/>
        <v>0</v>
      </c>
      <c r="O2100" s="577">
        <f t="shared" si="528"/>
        <v>0</v>
      </c>
      <c r="P2100" s="578">
        <f t="shared" si="529"/>
        <v>0</v>
      </c>
      <c r="Q2100" s="765"/>
      <c r="R2100" s="723"/>
      <c r="S2100" s="723"/>
      <c r="T2100" s="577">
        <f t="shared" si="526"/>
        <v>0</v>
      </c>
      <c r="U2100" s="578">
        <f t="shared" si="527"/>
        <v>0</v>
      </c>
      <c r="V2100" s="579"/>
      <c r="W2100" s="566" t="str">
        <f>IF(U2097&gt;0,"xx",IF(P2097&gt;0,"xy",""))</f>
        <v/>
      </c>
      <c r="X2100" s="586" t="str">
        <f t="shared" si="522"/>
        <v/>
      </c>
      <c r="Y2100" s="586" t="str">
        <f t="shared" si="531"/>
        <v/>
      </c>
      <c r="Z2100" s="586" t="str">
        <f t="shared" si="542"/>
        <v/>
      </c>
    </row>
    <row r="2101" spans="1:26" ht="12" hidden="1" thickBot="1" x14ac:dyDescent="0.25">
      <c r="A2101" s="567">
        <v>611400</v>
      </c>
      <c r="B2101" s="644" t="s">
        <v>1695</v>
      </c>
      <c r="C2101" s="645" t="s">
        <v>206</v>
      </c>
      <c r="D2101" s="422" t="s">
        <v>389</v>
      </c>
      <c r="E2101" s="423"/>
      <c r="F2101" s="424"/>
      <c r="G2101" s="425"/>
      <c r="H2101" s="651">
        <f>SUM(H2102:H2104)</f>
        <v>51.156102000000004</v>
      </c>
      <c r="I2101" s="420">
        <v>1260.26</v>
      </c>
      <c r="J2101" s="420">
        <f>IF(ISBLANK(I2101),"",SUM(H2101:I2101))</f>
        <v>1311.4161019999999</v>
      </c>
      <c r="K2101" s="421">
        <f t="shared" si="525"/>
        <v>1558.09</v>
      </c>
      <c r="L2101" s="647" t="s">
        <v>19</v>
      </c>
      <c r="M2101" s="576"/>
      <c r="N2101" s="576">
        <f t="shared" si="536"/>
        <v>0</v>
      </c>
      <c r="O2101" s="577">
        <f t="shared" si="528"/>
        <v>0</v>
      </c>
      <c r="P2101" s="578">
        <f t="shared" si="529"/>
        <v>0</v>
      </c>
      <c r="Q2101" s="765"/>
      <c r="R2101" s="576">
        <f>M2101</f>
        <v>0</v>
      </c>
      <c r="S2101" s="576">
        <f>N2101</f>
        <v>0</v>
      </c>
      <c r="T2101" s="577">
        <f t="shared" si="526"/>
        <v>0</v>
      </c>
      <c r="U2101" s="578">
        <f t="shared" si="527"/>
        <v>0</v>
      </c>
      <c r="V2101" s="579"/>
      <c r="W2101" s="566"/>
      <c r="X2101" s="586" t="str">
        <f t="shared" si="522"/>
        <v/>
      </c>
      <c r="Y2101" s="586" t="str">
        <f t="shared" si="531"/>
        <v/>
      </c>
      <c r="Z2101" s="586" t="str">
        <f t="shared" si="542"/>
        <v/>
      </c>
    </row>
    <row r="2102" spans="1:26" ht="12" hidden="1" thickBot="1" x14ac:dyDescent="0.25">
      <c r="A2102" s="567" t="s">
        <v>168</v>
      </c>
      <c r="B2102" s="644" t="s">
        <v>168</v>
      </c>
      <c r="C2102" s="645"/>
      <c r="D2102" s="422" t="s">
        <v>212</v>
      </c>
      <c r="E2102" s="423"/>
      <c r="F2102" s="424">
        <v>500</v>
      </c>
      <c r="G2102" s="425">
        <v>8.0999999999999996E-3</v>
      </c>
      <c r="H2102" s="649">
        <f>IF(F2102&lt;=30,(0.78*F2102+7.82)*G2102,((0.78*30+7.82)+0.78*(F2102-30))*G2102)</f>
        <v>3.2223420000000003</v>
      </c>
      <c r="I2102" s="420"/>
      <c r="J2102" s="420" t="str">
        <f>IF(ISBLANK(I2102),"",SUM(H2102:I2102))</f>
        <v/>
      </c>
      <c r="K2102" s="421">
        <f t="shared" si="525"/>
        <v>0</v>
      </c>
      <c r="L2102" s="647"/>
      <c r="M2102" s="723"/>
      <c r="N2102" s="576">
        <f t="shared" si="536"/>
        <v>0</v>
      </c>
      <c r="O2102" s="577">
        <f t="shared" si="528"/>
        <v>0</v>
      </c>
      <c r="P2102" s="578">
        <f t="shared" si="529"/>
        <v>0</v>
      </c>
      <c r="Q2102" s="765"/>
      <c r="R2102" s="723"/>
      <c r="S2102" s="723"/>
      <c r="T2102" s="577">
        <f t="shared" si="526"/>
        <v>0</v>
      </c>
      <c r="U2102" s="578">
        <f t="shared" si="527"/>
        <v>0</v>
      </c>
      <c r="V2102" s="579"/>
      <c r="W2102" s="566" t="str">
        <f>IF(U2101&gt;0,"xx",IF(P2101&gt;0,"xy",""))</f>
        <v/>
      </c>
      <c r="X2102" s="586" t="str">
        <f t="shared" si="522"/>
        <v/>
      </c>
      <c r="Y2102" s="586" t="str">
        <f t="shared" si="531"/>
        <v/>
      </c>
      <c r="Z2102" s="586" t="str">
        <f t="shared" si="542"/>
        <v/>
      </c>
    </row>
    <row r="2103" spans="1:26" ht="12" hidden="1" thickBot="1" x14ac:dyDescent="0.25">
      <c r="A2103" s="567" t="s">
        <v>168</v>
      </c>
      <c r="B2103" s="644" t="s">
        <v>168</v>
      </c>
      <c r="C2103" s="645"/>
      <c r="D2103" s="422" t="s">
        <v>248</v>
      </c>
      <c r="E2103" s="423"/>
      <c r="F2103" s="424">
        <v>180</v>
      </c>
      <c r="G2103" s="425">
        <v>4.2000000000000003E-2</v>
      </c>
      <c r="H2103" s="663">
        <f t="shared" ref="H2103:H2104" si="546">IF(F2103&lt;=30,(1.07*F2103+2.68)*G2103,((1.07*30+2.68)+1.07*(F2103-30))*G2103)</f>
        <v>8.2017600000000002</v>
      </c>
      <c r="I2103" s="420"/>
      <c r="J2103" s="420" t="str">
        <f>IF(ISBLANK(I2103),"",SUM(H2103:I2103))</f>
        <v/>
      </c>
      <c r="K2103" s="421">
        <f t="shared" si="525"/>
        <v>0</v>
      </c>
      <c r="L2103" s="647"/>
      <c r="M2103" s="723"/>
      <c r="N2103" s="576">
        <f t="shared" si="536"/>
        <v>0</v>
      </c>
      <c r="O2103" s="577">
        <f t="shared" si="528"/>
        <v>0</v>
      </c>
      <c r="P2103" s="578">
        <f t="shared" si="529"/>
        <v>0</v>
      </c>
      <c r="Q2103" s="765"/>
      <c r="R2103" s="723"/>
      <c r="S2103" s="723"/>
      <c r="T2103" s="577">
        <f t="shared" si="526"/>
        <v>0</v>
      </c>
      <c r="U2103" s="578">
        <f t="shared" si="527"/>
        <v>0</v>
      </c>
      <c r="V2103" s="579"/>
      <c r="W2103" s="566" t="str">
        <f>IF(U2101&gt;0,"xx",IF(P2101&gt;0,"xy",""))</f>
        <v/>
      </c>
      <c r="X2103" s="586" t="str">
        <f t="shared" si="522"/>
        <v/>
      </c>
      <c r="Y2103" s="586" t="str">
        <f t="shared" si="531"/>
        <v/>
      </c>
      <c r="Z2103" s="586" t="str">
        <f t="shared" si="542"/>
        <v/>
      </c>
    </row>
    <row r="2104" spans="1:26" ht="12" hidden="1" thickBot="1" x14ac:dyDescent="0.25">
      <c r="A2104" s="567" t="s">
        <v>168</v>
      </c>
      <c r="B2104" s="644" t="s">
        <v>168</v>
      </c>
      <c r="C2104" s="645"/>
      <c r="D2104" s="422" t="s">
        <v>347</v>
      </c>
      <c r="E2104" s="423"/>
      <c r="F2104" s="424">
        <v>20</v>
      </c>
      <c r="G2104" s="425">
        <v>1.65</v>
      </c>
      <c r="H2104" s="663">
        <f t="shared" si="546"/>
        <v>39.731999999999999</v>
      </c>
      <c r="I2104" s="420"/>
      <c r="J2104" s="420" t="str">
        <f>IF(ISBLANK(I2104),"",SUM(H2104:I2104))</f>
        <v/>
      </c>
      <c r="K2104" s="421">
        <f t="shared" si="525"/>
        <v>0</v>
      </c>
      <c r="L2104" s="647"/>
      <c r="M2104" s="723"/>
      <c r="N2104" s="576">
        <f t="shared" si="536"/>
        <v>0</v>
      </c>
      <c r="O2104" s="577">
        <f t="shared" si="528"/>
        <v>0</v>
      </c>
      <c r="P2104" s="578">
        <f t="shared" si="529"/>
        <v>0</v>
      </c>
      <c r="Q2104" s="765"/>
      <c r="R2104" s="723"/>
      <c r="S2104" s="723"/>
      <c r="T2104" s="577">
        <f t="shared" si="526"/>
        <v>0</v>
      </c>
      <c r="U2104" s="578">
        <f t="shared" si="527"/>
        <v>0</v>
      </c>
      <c r="V2104" s="579"/>
      <c r="W2104" s="566" t="str">
        <f>IF(U2101&gt;0,"xx",IF(P2101&gt;0,"xy",""))</f>
        <v/>
      </c>
      <c r="X2104" s="586" t="str">
        <f t="shared" si="522"/>
        <v/>
      </c>
      <c r="Y2104" s="586" t="str">
        <f t="shared" si="531"/>
        <v/>
      </c>
      <c r="Z2104" s="586" t="str">
        <f t="shared" si="542"/>
        <v/>
      </c>
    </row>
    <row r="2105" spans="1:26" ht="12" hidden="1" thickBot="1" x14ac:dyDescent="0.25">
      <c r="A2105" s="567">
        <v>611400</v>
      </c>
      <c r="B2105" s="644" t="s">
        <v>1696</v>
      </c>
      <c r="C2105" s="645" t="s">
        <v>206</v>
      </c>
      <c r="D2105" s="422" t="s">
        <v>390</v>
      </c>
      <c r="E2105" s="423"/>
      <c r="F2105" s="424"/>
      <c r="G2105" s="425"/>
      <c r="H2105" s="651">
        <f>SUM(H2106:H2108)</f>
        <v>61.624152000000009</v>
      </c>
      <c r="I2105" s="420">
        <v>1678.6472000000001</v>
      </c>
      <c r="J2105" s="420">
        <f>IF(ISBLANK(I2105),"",SUM(H2105:I2105))</f>
        <v>1740.2713520000002</v>
      </c>
      <c r="K2105" s="421">
        <f t="shared" si="525"/>
        <v>2067.62</v>
      </c>
      <c r="L2105" s="647" t="s">
        <v>19</v>
      </c>
      <c r="M2105" s="576"/>
      <c r="N2105" s="576">
        <f t="shared" si="536"/>
        <v>0</v>
      </c>
      <c r="O2105" s="577">
        <f t="shared" si="528"/>
        <v>0</v>
      </c>
      <c r="P2105" s="578">
        <f t="shared" si="529"/>
        <v>0</v>
      </c>
      <c r="Q2105" s="765"/>
      <c r="R2105" s="576">
        <f>M2105</f>
        <v>0</v>
      </c>
      <c r="S2105" s="576">
        <f>N2105</f>
        <v>0</v>
      </c>
      <c r="T2105" s="577">
        <f t="shared" si="526"/>
        <v>0</v>
      </c>
      <c r="U2105" s="578">
        <f t="shared" si="527"/>
        <v>0</v>
      </c>
      <c r="V2105" s="579"/>
      <c r="W2105" s="566"/>
      <c r="X2105" s="586" t="str">
        <f t="shared" si="522"/>
        <v/>
      </c>
      <c r="Y2105" s="586" t="str">
        <f t="shared" si="531"/>
        <v/>
      </c>
      <c r="Z2105" s="586" t="str">
        <f t="shared" si="542"/>
        <v/>
      </c>
    </row>
    <row r="2106" spans="1:26" ht="12" hidden="1" thickBot="1" x14ac:dyDescent="0.25">
      <c r="A2106" s="567" t="s">
        <v>168</v>
      </c>
      <c r="B2106" s="644" t="s">
        <v>168</v>
      </c>
      <c r="C2106" s="645"/>
      <c r="D2106" s="422" t="s">
        <v>212</v>
      </c>
      <c r="E2106" s="423"/>
      <c r="F2106" s="424">
        <v>500</v>
      </c>
      <c r="G2106" s="425">
        <v>9.1999999999999998E-3</v>
      </c>
      <c r="H2106" s="649">
        <f>IF(F2106&lt;=30,(0.78*F2106+7.82)*G2106,((0.78*30+7.82)+0.78*(F2106-30))*G2106)</f>
        <v>3.6599440000000003</v>
      </c>
      <c r="I2106" s="420"/>
      <c r="J2106" s="420"/>
      <c r="K2106" s="421">
        <f t="shared" si="525"/>
        <v>0</v>
      </c>
      <c r="L2106" s="647"/>
      <c r="M2106" s="723"/>
      <c r="N2106" s="576">
        <f t="shared" si="536"/>
        <v>0</v>
      </c>
      <c r="O2106" s="577">
        <f t="shared" si="528"/>
        <v>0</v>
      </c>
      <c r="P2106" s="578">
        <f t="shared" si="529"/>
        <v>0</v>
      </c>
      <c r="Q2106" s="765"/>
      <c r="R2106" s="723"/>
      <c r="S2106" s="723"/>
      <c r="T2106" s="577">
        <f t="shared" si="526"/>
        <v>0</v>
      </c>
      <c r="U2106" s="578">
        <f t="shared" si="527"/>
        <v>0</v>
      </c>
      <c r="V2106" s="579"/>
      <c r="W2106" s="566" t="str">
        <f>IF(U2105&gt;0,"xx",IF(P2105&gt;0,"xy",""))</f>
        <v/>
      </c>
      <c r="X2106" s="586" t="str">
        <f t="shared" si="522"/>
        <v/>
      </c>
      <c r="Y2106" s="586" t="str">
        <f t="shared" si="531"/>
        <v/>
      </c>
      <c r="Z2106" s="586" t="str">
        <f t="shared" si="542"/>
        <v/>
      </c>
    </row>
    <row r="2107" spans="1:26" ht="12" hidden="1" thickBot="1" x14ac:dyDescent="0.25">
      <c r="A2107" s="567" t="s">
        <v>168</v>
      </c>
      <c r="B2107" s="644" t="s">
        <v>168</v>
      </c>
      <c r="C2107" s="645"/>
      <c r="D2107" s="422" t="s">
        <v>248</v>
      </c>
      <c r="E2107" s="423"/>
      <c r="F2107" s="424">
        <v>180</v>
      </c>
      <c r="G2107" s="425">
        <v>4.7899999999999998E-2</v>
      </c>
      <c r="H2107" s="663">
        <f t="shared" ref="H2107:H2108" si="547">IF(F2107&lt;=30,(1.07*F2107+2.68)*G2107,((1.07*30+2.68)+1.07*(F2107-30))*G2107)</f>
        <v>9.3539119999999993</v>
      </c>
      <c r="I2107" s="420"/>
      <c r="J2107" s="420"/>
      <c r="K2107" s="421">
        <f t="shared" si="525"/>
        <v>0</v>
      </c>
      <c r="L2107" s="647"/>
      <c r="M2107" s="723"/>
      <c r="N2107" s="576">
        <f t="shared" si="536"/>
        <v>0</v>
      </c>
      <c r="O2107" s="577">
        <f t="shared" si="528"/>
        <v>0</v>
      </c>
      <c r="P2107" s="578">
        <f t="shared" si="529"/>
        <v>0</v>
      </c>
      <c r="Q2107" s="765"/>
      <c r="R2107" s="723"/>
      <c r="S2107" s="723"/>
      <c r="T2107" s="577">
        <f t="shared" si="526"/>
        <v>0</v>
      </c>
      <c r="U2107" s="578">
        <f t="shared" si="527"/>
        <v>0</v>
      </c>
      <c r="V2107" s="579"/>
      <c r="W2107" s="566" t="str">
        <f>IF(U2105&gt;0,"xx",IF(P2105&gt;0,"xy",""))</f>
        <v/>
      </c>
      <c r="X2107" s="586" t="str">
        <f t="shared" si="522"/>
        <v/>
      </c>
      <c r="Y2107" s="586" t="str">
        <f t="shared" si="531"/>
        <v/>
      </c>
      <c r="Z2107" s="586" t="str">
        <f t="shared" si="542"/>
        <v/>
      </c>
    </row>
    <row r="2108" spans="1:26" ht="12" hidden="1" thickBot="1" x14ac:dyDescent="0.25">
      <c r="A2108" s="567" t="s">
        <v>168</v>
      </c>
      <c r="B2108" s="644" t="s">
        <v>168</v>
      </c>
      <c r="C2108" s="645"/>
      <c r="D2108" s="422" t="s">
        <v>347</v>
      </c>
      <c r="E2108" s="423"/>
      <c r="F2108" s="424">
        <v>20</v>
      </c>
      <c r="G2108" s="425">
        <v>2.0186999999999999</v>
      </c>
      <c r="H2108" s="663">
        <f t="shared" si="547"/>
        <v>48.610296000000005</v>
      </c>
      <c r="I2108" s="420"/>
      <c r="J2108" s="420"/>
      <c r="K2108" s="421">
        <f t="shared" si="525"/>
        <v>0</v>
      </c>
      <c r="L2108" s="647"/>
      <c r="M2108" s="723"/>
      <c r="N2108" s="576">
        <f t="shared" si="536"/>
        <v>0</v>
      </c>
      <c r="O2108" s="577">
        <f t="shared" si="528"/>
        <v>0</v>
      </c>
      <c r="P2108" s="578">
        <f t="shared" si="529"/>
        <v>0</v>
      </c>
      <c r="Q2108" s="765"/>
      <c r="R2108" s="723"/>
      <c r="S2108" s="723"/>
      <c r="T2108" s="577">
        <f t="shared" si="526"/>
        <v>0</v>
      </c>
      <c r="U2108" s="578">
        <f t="shared" si="527"/>
        <v>0</v>
      </c>
      <c r="V2108" s="579"/>
      <c r="W2108" s="566" t="str">
        <f>IF(U2105&gt;0,"xx",IF(P2105&gt;0,"xy",""))</f>
        <v/>
      </c>
      <c r="X2108" s="586" t="str">
        <f t="shared" si="522"/>
        <v/>
      </c>
      <c r="Y2108" s="586" t="str">
        <f t="shared" si="531"/>
        <v/>
      </c>
      <c r="Z2108" s="586" t="str">
        <f t="shared" si="542"/>
        <v/>
      </c>
    </row>
    <row r="2109" spans="1:26" ht="12" hidden="1" thickBot="1" x14ac:dyDescent="0.25">
      <c r="A2109" s="567">
        <v>611600</v>
      </c>
      <c r="B2109" s="644" t="s">
        <v>1698</v>
      </c>
      <c r="C2109" s="645" t="s">
        <v>206</v>
      </c>
      <c r="D2109" s="422" t="s">
        <v>391</v>
      </c>
      <c r="E2109" s="423"/>
      <c r="F2109" s="424"/>
      <c r="G2109" s="425"/>
      <c r="H2109" s="651">
        <f>SUM(H2110:H2112)</f>
        <v>65.472966</v>
      </c>
      <c r="I2109" s="420">
        <v>2567.7199999999998</v>
      </c>
      <c r="J2109" s="420">
        <f>IF(ISBLANK(I2109),"",SUM(H2109:I2109))</f>
        <v>2633.1929659999996</v>
      </c>
      <c r="K2109" s="421">
        <f t="shared" si="525"/>
        <v>3128.5</v>
      </c>
      <c r="L2109" s="647" t="s">
        <v>19</v>
      </c>
      <c r="M2109" s="576"/>
      <c r="N2109" s="576">
        <f t="shared" si="536"/>
        <v>0</v>
      </c>
      <c r="O2109" s="577">
        <f t="shared" si="528"/>
        <v>0</v>
      </c>
      <c r="P2109" s="578">
        <f t="shared" si="529"/>
        <v>0</v>
      </c>
      <c r="Q2109" s="765"/>
      <c r="R2109" s="576">
        <f>M2109</f>
        <v>0</v>
      </c>
      <c r="S2109" s="576">
        <f>N2109</f>
        <v>0</v>
      </c>
      <c r="T2109" s="577">
        <f t="shared" si="526"/>
        <v>0</v>
      </c>
      <c r="U2109" s="578">
        <f t="shared" si="527"/>
        <v>0</v>
      </c>
      <c r="V2109" s="579"/>
      <c r="W2109" s="566"/>
      <c r="X2109" s="586" t="str">
        <f t="shared" si="522"/>
        <v/>
      </c>
      <c r="Y2109" s="586" t="str">
        <f t="shared" si="531"/>
        <v/>
      </c>
      <c r="Z2109" s="586" t="str">
        <f t="shared" si="542"/>
        <v/>
      </c>
    </row>
    <row r="2110" spans="1:26" ht="12" hidden="1" thickBot="1" x14ac:dyDescent="0.25">
      <c r="A2110" s="567" t="s">
        <v>168</v>
      </c>
      <c r="B2110" s="644" t="s">
        <v>168</v>
      </c>
      <c r="C2110" s="645"/>
      <c r="D2110" s="422" t="s">
        <v>212</v>
      </c>
      <c r="E2110" s="423"/>
      <c r="F2110" s="424">
        <v>500</v>
      </c>
      <c r="G2110" s="425">
        <v>9.7000000000000003E-3</v>
      </c>
      <c r="H2110" s="649">
        <f>IF(F2110&lt;=30,(0.78*F2110+7.82)*G2110,((0.78*30+7.82)+0.78*(F2110-30))*G2110)</f>
        <v>3.8588540000000005</v>
      </c>
      <c r="I2110" s="420"/>
      <c r="J2110" s="420"/>
      <c r="K2110" s="421">
        <f t="shared" si="525"/>
        <v>0</v>
      </c>
      <c r="L2110" s="647"/>
      <c r="M2110" s="723"/>
      <c r="N2110" s="576">
        <f t="shared" si="536"/>
        <v>0</v>
      </c>
      <c r="O2110" s="577">
        <f t="shared" si="528"/>
        <v>0</v>
      </c>
      <c r="P2110" s="578">
        <f t="shared" si="529"/>
        <v>0</v>
      </c>
      <c r="Q2110" s="765"/>
      <c r="R2110" s="723"/>
      <c r="S2110" s="723"/>
      <c r="T2110" s="577">
        <f t="shared" si="526"/>
        <v>0</v>
      </c>
      <c r="U2110" s="578">
        <f t="shared" si="527"/>
        <v>0</v>
      </c>
      <c r="V2110" s="579"/>
      <c r="W2110" s="566" t="str">
        <f>IF(U2109&gt;0,"xx",IF(P2109&gt;0,"xy",""))</f>
        <v/>
      </c>
      <c r="X2110" s="586" t="str">
        <f t="shared" si="522"/>
        <v/>
      </c>
      <c r="Y2110" s="586" t="str">
        <f t="shared" si="531"/>
        <v/>
      </c>
      <c r="Z2110" s="586" t="str">
        <f t="shared" si="542"/>
        <v/>
      </c>
    </row>
    <row r="2111" spans="1:26" ht="12" hidden="1" thickBot="1" x14ac:dyDescent="0.25">
      <c r="A2111" s="567" t="s">
        <v>168</v>
      </c>
      <c r="B2111" s="644" t="s">
        <v>168</v>
      </c>
      <c r="C2111" s="645"/>
      <c r="D2111" s="422" t="s">
        <v>248</v>
      </c>
      <c r="E2111" s="423"/>
      <c r="F2111" s="424">
        <v>180</v>
      </c>
      <c r="G2111" s="425">
        <v>5.04E-2</v>
      </c>
      <c r="H2111" s="663">
        <f t="shared" ref="H2111:H2112" si="548">IF(F2111&lt;=30,(1.07*F2111+2.68)*G2111,((1.07*30+2.68)+1.07*(F2111-30))*G2111)</f>
        <v>9.8421120000000002</v>
      </c>
      <c r="I2111" s="420"/>
      <c r="J2111" s="420"/>
      <c r="K2111" s="421">
        <f t="shared" si="525"/>
        <v>0</v>
      </c>
      <c r="L2111" s="647"/>
      <c r="M2111" s="723"/>
      <c r="N2111" s="576">
        <f t="shared" si="536"/>
        <v>0</v>
      </c>
      <c r="O2111" s="577">
        <f t="shared" si="528"/>
        <v>0</v>
      </c>
      <c r="P2111" s="578">
        <f t="shared" si="529"/>
        <v>0</v>
      </c>
      <c r="Q2111" s="765"/>
      <c r="R2111" s="723"/>
      <c r="S2111" s="723"/>
      <c r="T2111" s="577">
        <f t="shared" si="526"/>
        <v>0</v>
      </c>
      <c r="U2111" s="578">
        <f t="shared" si="527"/>
        <v>0</v>
      </c>
      <c r="V2111" s="579"/>
      <c r="W2111" s="566" t="str">
        <f>IF(U2109&gt;0,"xx",IF(P2109&gt;0,"xy",""))</f>
        <v/>
      </c>
      <c r="X2111" s="586" t="str">
        <f t="shared" si="522"/>
        <v/>
      </c>
      <c r="Y2111" s="586" t="str">
        <f t="shared" si="531"/>
        <v/>
      </c>
      <c r="Z2111" s="586" t="str">
        <f t="shared" si="542"/>
        <v/>
      </c>
    </row>
    <row r="2112" spans="1:26" ht="12" hidden="1" thickBot="1" x14ac:dyDescent="0.25">
      <c r="A2112" s="567" t="s">
        <v>168</v>
      </c>
      <c r="B2112" s="644" t="s">
        <v>168</v>
      </c>
      <c r="C2112" s="645"/>
      <c r="D2112" s="422" t="s">
        <v>347</v>
      </c>
      <c r="E2112" s="423"/>
      <c r="F2112" s="424">
        <v>20</v>
      </c>
      <c r="G2112" s="425">
        <v>2.15</v>
      </c>
      <c r="H2112" s="663">
        <f t="shared" si="548"/>
        <v>51.771999999999998</v>
      </c>
      <c r="I2112" s="420"/>
      <c r="J2112" s="420"/>
      <c r="K2112" s="421">
        <f t="shared" ref="K2112:K2175" si="549">IF(ISBLANK(I2112),0,ROUND(J2112*(1+$F$10)*(1+$F$11*E2112),2))</f>
        <v>0</v>
      </c>
      <c r="L2112" s="647"/>
      <c r="M2112" s="723"/>
      <c r="N2112" s="576">
        <f t="shared" si="536"/>
        <v>0</v>
      </c>
      <c r="O2112" s="577">
        <f t="shared" si="528"/>
        <v>0</v>
      </c>
      <c r="P2112" s="578">
        <f t="shared" si="529"/>
        <v>0</v>
      </c>
      <c r="Q2112" s="765"/>
      <c r="R2112" s="723"/>
      <c r="S2112" s="723"/>
      <c r="T2112" s="577">
        <f t="shared" ref="T2112:T2175" si="550">IF(ISBLANK(R2112),0,ROUND(K2112*R2112,2))</f>
        <v>0</v>
      </c>
      <c r="U2112" s="578">
        <f t="shared" ref="U2112:U2175" si="551">IF(ISBLANK(R2112),0,ROUND(R2112*S2112,2))</f>
        <v>0</v>
      </c>
      <c r="V2112" s="579"/>
      <c r="W2112" s="566" t="str">
        <f>IF(U2109&gt;0,"xx",IF(P2109&gt;0,"xy",""))</f>
        <v/>
      </c>
      <c r="X2112" s="586" t="str">
        <f t="shared" si="522"/>
        <v/>
      </c>
      <c r="Y2112" s="586" t="str">
        <f t="shared" si="531"/>
        <v/>
      </c>
      <c r="Z2112" s="586" t="str">
        <f t="shared" si="542"/>
        <v/>
      </c>
    </row>
    <row r="2113" spans="1:26" ht="12" hidden="1" thickBot="1" x14ac:dyDescent="0.25">
      <c r="A2113" s="567">
        <v>610500</v>
      </c>
      <c r="B2113" s="644">
        <v>610500</v>
      </c>
      <c r="C2113" s="645" t="s">
        <v>206</v>
      </c>
      <c r="D2113" s="422" t="s">
        <v>392</v>
      </c>
      <c r="E2113" s="423"/>
      <c r="F2113" s="424"/>
      <c r="G2113" s="425"/>
      <c r="H2113" s="651">
        <f>SUM(H2114:H2117)</f>
        <v>32.403676000000004</v>
      </c>
      <c r="I2113" s="420">
        <v>204.02</v>
      </c>
      <c r="J2113" s="420">
        <f>IF(ISBLANK(I2113),"",SUM(H2113:I2113))</f>
        <v>236.423676</v>
      </c>
      <c r="K2113" s="421">
        <f t="shared" si="549"/>
        <v>280.89</v>
      </c>
      <c r="L2113" s="647" t="s">
        <v>19</v>
      </c>
      <c r="M2113" s="576"/>
      <c r="N2113" s="576">
        <f t="shared" si="536"/>
        <v>0</v>
      </c>
      <c r="O2113" s="577">
        <f t="shared" ref="O2113:O2176" si="552">IF(ISBLANK(M2113),0,ROUND(K2113*M2113,2))</f>
        <v>0</v>
      </c>
      <c r="P2113" s="578">
        <f t="shared" ref="P2113:P2176" si="553">IF(ISBLANK(N2113),0,ROUND(M2113*N2113,2))</f>
        <v>0</v>
      </c>
      <c r="Q2113" s="765"/>
      <c r="R2113" s="576">
        <f>M2113</f>
        <v>0</v>
      </c>
      <c r="S2113" s="576">
        <f>N2113</f>
        <v>0</v>
      </c>
      <c r="T2113" s="577">
        <f t="shared" si="550"/>
        <v>0</v>
      </c>
      <c r="U2113" s="578">
        <f t="shared" si="551"/>
        <v>0</v>
      </c>
      <c r="V2113" s="579"/>
      <c r="W2113" s="566"/>
      <c r="X2113" s="586" t="str">
        <f t="shared" si="522"/>
        <v/>
      </c>
      <c r="Y2113" s="586" t="str">
        <f t="shared" si="531"/>
        <v/>
      </c>
      <c r="Z2113" s="586" t="str">
        <f t="shared" si="542"/>
        <v/>
      </c>
    </row>
    <row r="2114" spans="1:26" ht="12" hidden="1" thickBot="1" x14ac:dyDescent="0.25">
      <c r="A2114" s="567" t="s">
        <v>168</v>
      </c>
      <c r="B2114" s="644" t="s">
        <v>168</v>
      </c>
      <c r="C2114" s="645"/>
      <c r="D2114" s="422" t="s">
        <v>212</v>
      </c>
      <c r="E2114" s="423"/>
      <c r="F2114" s="424">
        <v>500</v>
      </c>
      <c r="G2114" s="425">
        <v>2.2599999999999999E-2</v>
      </c>
      <c r="H2114" s="649">
        <f>IF(F2114&lt;=30,(0.78*F2114+7.82)*G2114,((0.78*30+7.82)+0.78*(F2114-30))*G2114)</f>
        <v>8.9907320000000013</v>
      </c>
      <c r="I2114" s="420"/>
      <c r="J2114" s="420"/>
      <c r="K2114" s="421">
        <f t="shared" si="549"/>
        <v>0</v>
      </c>
      <c r="L2114" s="647"/>
      <c r="M2114" s="723"/>
      <c r="N2114" s="576">
        <f t="shared" si="536"/>
        <v>0</v>
      </c>
      <c r="O2114" s="577">
        <f t="shared" si="552"/>
        <v>0</v>
      </c>
      <c r="P2114" s="578">
        <f t="shared" si="553"/>
        <v>0</v>
      </c>
      <c r="Q2114" s="765"/>
      <c r="R2114" s="723"/>
      <c r="S2114" s="723"/>
      <c r="T2114" s="577">
        <f t="shared" si="550"/>
        <v>0</v>
      </c>
      <c r="U2114" s="578">
        <f t="shared" si="551"/>
        <v>0</v>
      </c>
      <c r="V2114" s="579"/>
      <c r="W2114" s="566" t="str">
        <f>IF(U2113&gt;0,"xx",IF(P2113&gt;0,"xy",""))</f>
        <v/>
      </c>
      <c r="X2114" s="586" t="str">
        <f t="shared" si="522"/>
        <v/>
      </c>
      <c r="Y2114" s="586" t="str">
        <f t="shared" si="531"/>
        <v/>
      </c>
      <c r="Z2114" s="586" t="str">
        <f t="shared" si="542"/>
        <v/>
      </c>
    </row>
    <row r="2115" spans="1:26" ht="12" hidden="1" thickBot="1" x14ac:dyDescent="0.25">
      <c r="A2115" s="567" t="s">
        <v>168</v>
      </c>
      <c r="B2115" s="644" t="s">
        <v>168</v>
      </c>
      <c r="C2115" s="645"/>
      <c r="D2115" s="422" t="s">
        <v>248</v>
      </c>
      <c r="E2115" s="423"/>
      <c r="F2115" s="424">
        <v>180</v>
      </c>
      <c r="G2115" s="425">
        <v>8.3900000000000002E-2</v>
      </c>
      <c r="H2115" s="663">
        <f t="shared" ref="H2115:H2117" si="554">IF(F2115&lt;=30,(1.07*F2115+2.68)*G2115,((1.07*30+2.68)+1.07*(F2115-30))*G2115)</f>
        <v>16.383991999999999</v>
      </c>
      <c r="I2115" s="420"/>
      <c r="J2115" s="420"/>
      <c r="K2115" s="421">
        <f t="shared" si="549"/>
        <v>0</v>
      </c>
      <c r="L2115" s="647"/>
      <c r="M2115" s="723"/>
      <c r="N2115" s="576">
        <f t="shared" si="536"/>
        <v>0</v>
      </c>
      <c r="O2115" s="577">
        <f t="shared" si="552"/>
        <v>0</v>
      </c>
      <c r="P2115" s="578">
        <f t="shared" si="553"/>
        <v>0</v>
      </c>
      <c r="Q2115" s="765"/>
      <c r="R2115" s="723"/>
      <c r="S2115" s="723"/>
      <c r="T2115" s="577">
        <f t="shared" si="550"/>
        <v>0</v>
      </c>
      <c r="U2115" s="578">
        <f t="shared" si="551"/>
        <v>0</v>
      </c>
      <c r="V2115" s="579"/>
      <c r="W2115" s="566" t="str">
        <f>IF(U2113&gt;0,"xx",IF(P2113&gt;0,"xy",""))</f>
        <v/>
      </c>
      <c r="X2115" s="586" t="str">
        <f t="shared" si="522"/>
        <v/>
      </c>
      <c r="Y2115" s="586" t="str">
        <f t="shared" si="531"/>
        <v/>
      </c>
      <c r="Z2115" s="586" t="str">
        <f t="shared" si="542"/>
        <v/>
      </c>
    </row>
    <row r="2116" spans="1:26" ht="12" hidden="1" thickBot="1" x14ac:dyDescent="0.25">
      <c r="A2116" s="567" t="s">
        <v>168</v>
      </c>
      <c r="B2116" s="644" t="s">
        <v>168</v>
      </c>
      <c r="C2116" s="645"/>
      <c r="D2116" s="422" t="s">
        <v>252</v>
      </c>
      <c r="E2116" s="423"/>
      <c r="F2116" s="424">
        <v>20</v>
      </c>
      <c r="G2116" s="425">
        <v>0.13490000000000002</v>
      </c>
      <c r="H2116" s="663">
        <f t="shared" si="554"/>
        <v>3.2483920000000008</v>
      </c>
      <c r="I2116" s="420"/>
      <c r="J2116" s="420"/>
      <c r="K2116" s="421">
        <f t="shared" si="549"/>
        <v>0</v>
      </c>
      <c r="L2116" s="647"/>
      <c r="M2116" s="723"/>
      <c r="N2116" s="576">
        <f t="shared" si="536"/>
        <v>0</v>
      </c>
      <c r="O2116" s="577">
        <f t="shared" si="552"/>
        <v>0</v>
      </c>
      <c r="P2116" s="578">
        <f t="shared" si="553"/>
        <v>0</v>
      </c>
      <c r="Q2116" s="765"/>
      <c r="R2116" s="723"/>
      <c r="S2116" s="723"/>
      <c r="T2116" s="577">
        <f t="shared" si="550"/>
        <v>0</v>
      </c>
      <c r="U2116" s="578">
        <f t="shared" si="551"/>
        <v>0</v>
      </c>
      <c r="V2116" s="579"/>
      <c r="W2116" s="566" t="str">
        <f>IF(U2113&gt;0,"xx",IF(P2113&gt;0,"xy",""))</f>
        <v/>
      </c>
      <c r="X2116" s="586" t="str">
        <f t="shared" si="522"/>
        <v/>
      </c>
      <c r="Y2116" s="586" t="str">
        <f t="shared" si="531"/>
        <v/>
      </c>
      <c r="Z2116" s="586" t="str">
        <f t="shared" si="542"/>
        <v/>
      </c>
    </row>
    <row r="2117" spans="1:26" ht="12" hidden="1" thickBot="1" x14ac:dyDescent="0.25">
      <c r="A2117" s="567" t="s">
        <v>168</v>
      </c>
      <c r="B2117" s="644" t="s">
        <v>168</v>
      </c>
      <c r="C2117" s="645"/>
      <c r="D2117" s="422" t="s">
        <v>347</v>
      </c>
      <c r="E2117" s="423"/>
      <c r="F2117" s="424">
        <v>20</v>
      </c>
      <c r="G2117" s="425">
        <v>0.157</v>
      </c>
      <c r="H2117" s="663">
        <f t="shared" si="554"/>
        <v>3.7805600000000004</v>
      </c>
      <c r="I2117" s="420"/>
      <c r="J2117" s="420"/>
      <c r="K2117" s="421">
        <f t="shared" si="549"/>
        <v>0</v>
      </c>
      <c r="L2117" s="647"/>
      <c r="M2117" s="723"/>
      <c r="N2117" s="576">
        <f t="shared" si="536"/>
        <v>0</v>
      </c>
      <c r="O2117" s="577">
        <f t="shared" si="552"/>
        <v>0</v>
      </c>
      <c r="P2117" s="578">
        <f t="shared" si="553"/>
        <v>0</v>
      </c>
      <c r="Q2117" s="765"/>
      <c r="R2117" s="723"/>
      <c r="S2117" s="723"/>
      <c r="T2117" s="577">
        <f t="shared" si="550"/>
        <v>0</v>
      </c>
      <c r="U2117" s="578">
        <f t="shared" si="551"/>
        <v>0</v>
      </c>
      <c r="V2117" s="579"/>
      <c r="W2117" s="566" t="str">
        <f>IF(U2113&gt;0,"xx",IF(P2113&gt;0,"xy",""))</f>
        <v/>
      </c>
      <c r="X2117" s="586" t="str">
        <f t="shared" si="522"/>
        <v/>
      </c>
      <c r="Y2117" s="586" t="str">
        <f t="shared" si="531"/>
        <v/>
      </c>
      <c r="Z2117" s="586" t="str">
        <f t="shared" si="542"/>
        <v/>
      </c>
    </row>
    <row r="2118" spans="1:26" ht="12" hidden="1" thickBot="1" x14ac:dyDescent="0.25">
      <c r="A2118" s="567">
        <v>610700</v>
      </c>
      <c r="B2118" s="644" t="s">
        <v>1683</v>
      </c>
      <c r="C2118" s="645" t="s">
        <v>206</v>
      </c>
      <c r="D2118" s="422" t="s">
        <v>582</v>
      </c>
      <c r="E2118" s="423"/>
      <c r="F2118" s="424"/>
      <c r="G2118" s="425"/>
      <c r="H2118" s="651">
        <f>SUM(H2119:H2122)</f>
        <v>42.100252000000005</v>
      </c>
      <c r="I2118" s="420">
        <v>300.04999999999995</v>
      </c>
      <c r="J2118" s="420">
        <f>IF(ISBLANK(I2118),"",SUM(H2118:I2118))</f>
        <v>342.15025199999997</v>
      </c>
      <c r="K2118" s="421">
        <f t="shared" si="549"/>
        <v>406.51</v>
      </c>
      <c r="L2118" s="647" t="s">
        <v>19</v>
      </c>
      <c r="M2118" s="576"/>
      <c r="N2118" s="576">
        <f t="shared" si="536"/>
        <v>0</v>
      </c>
      <c r="O2118" s="577">
        <f t="shared" si="552"/>
        <v>0</v>
      </c>
      <c r="P2118" s="578">
        <f t="shared" si="553"/>
        <v>0</v>
      </c>
      <c r="Q2118" s="765"/>
      <c r="R2118" s="576">
        <f>M2118</f>
        <v>0</v>
      </c>
      <c r="S2118" s="576">
        <f>N2118</f>
        <v>0</v>
      </c>
      <c r="T2118" s="577">
        <f t="shared" si="550"/>
        <v>0</v>
      </c>
      <c r="U2118" s="578">
        <f t="shared" si="551"/>
        <v>0</v>
      </c>
      <c r="V2118" s="579"/>
      <c r="W2118" s="566"/>
      <c r="X2118" s="586" t="str">
        <f t="shared" si="522"/>
        <v/>
      </c>
      <c r="Y2118" s="586" t="str">
        <f t="shared" si="531"/>
        <v/>
      </c>
      <c r="Z2118" s="586" t="str">
        <f t="shared" si="542"/>
        <v/>
      </c>
    </row>
    <row r="2119" spans="1:26" ht="12" hidden="1" thickBot="1" x14ac:dyDescent="0.25">
      <c r="A2119" s="567" t="s">
        <v>168</v>
      </c>
      <c r="B2119" s="644" t="s">
        <v>168</v>
      </c>
      <c r="C2119" s="645"/>
      <c r="D2119" s="422" t="s">
        <v>212</v>
      </c>
      <c r="E2119" s="423"/>
      <c r="F2119" s="424">
        <v>500</v>
      </c>
      <c r="G2119" s="425">
        <v>2.86E-2</v>
      </c>
      <c r="H2119" s="649">
        <f>IF(F2119&lt;=30,(0.78*F2119+7.82)*G2119,((0.78*30+7.82)+0.78*(F2119-30))*G2119)</f>
        <v>11.377652000000001</v>
      </c>
      <c r="I2119" s="420"/>
      <c r="J2119" s="420"/>
      <c r="K2119" s="421">
        <f t="shared" si="549"/>
        <v>0</v>
      </c>
      <c r="L2119" s="647"/>
      <c r="M2119" s="723"/>
      <c r="N2119" s="576">
        <f t="shared" si="536"/>
        <v>0</v>
      </c>
      <c r="O2119" s="577">
        <f t="shared" si="552"/>
        <v>0</v>
      </c>
      <c r="P2119" s="578">
        <f t="shared" si="553"/>
        <v>0</v>
      </c>
      <c r="Q2119" s="765"/>
      <c r="R2119" s="723"/>
      <c r="S2119" s="723"/>
      <c r="T2119" s="577">
        <f t="shared" si="550"/>
        <v>0</v>
      </c>
      <c r="U2119" s="578">
        <f t="shared" si="551"/>
        <v>0</v>
      </c>
      <c r="V2119" s="579"/>
      <c r="W2119" s="566" t="str">
        <f>IF(U2118&gt;0,"xx",IF(P2118&gt;0,"xy",""))</f>
        <v/>
      </c>
      <c r="X2119" s="586" t="str">
        <f t="shared" si="522"/>
        <v/>
      </c>
      <c r="Y2119" s="586" t="str">
        <f t="shared" si="531"/>
        <v/>
      </c>
      <c r="Z2119" s="586" t="str">
        <f t="shared" si="542"/>
        <v/>
      </c>
    </row>
    <row r="2120" spans="1:26" ht="12" hidden="1" thickBot="1" x14ac:dyDescent="0.25">
      <c r="A2120" s="567" t="s">
        <v>168</v>
      </c>
      <c r="B2120" s="644" t="s">
        <v>168</v>
      </c>
      <c r="C2120" s="645"/>
      <c r="D2120" s="422" t="s">
        <v>248</v>
      </c>
      <c r="E2120" s="423"/>
      <c r="F2120" s="424">
        <v>180</v>
      </c>
      <c r="G2120" s="425">
        <v>0.10539999999999999</v>
      </c>
      <c r="H2120" s="663">
        <f t="shared" ref="H2120:H2122" si="555">IF(F2120&lt;=30,(1.07*F2120+2.68)*G2120,((1.07*30+2.68)+1.07*(F2120-30))*G2120)</f>
        <v>20.582511999999998</v>
      </c>
      <c r="I2120" s="420"/>
      <c r="J2120" s="420"/>
      <c r="K2120" s="421">
        <f t="shared" si="549"/>
        <v>0</v>
      </c>
      <c r="L2120" s="647"/>
      <c r="M2120" s="723"/>
      <c r="N2120" s="576">
        <f t="shared" si="536"/>
        <v>0</v>
      </c>
      <c r="O2120" s="577">
        <f t="shared" si="552"/>
        <v>0</v>
      </c>
      <c r="P2120" s="578">
        <f t="shared" si="553"/>
        <v>0</v>
      </c>
      <c r="Q2120" s="765"/>
      <c r="R2120" s="723"/>
      <c r="S2120" s="723"/>
      <c r="T2120" s="577">
        <f t="shared" si="550"/>
        <v>0</v>
      </c>
      <c r="U2120" s="578">
        <f t="shared" si="551"/>
        <v>0</v>
      </c>
      <c r="V2120" s="579"/>
      <c r="W2120" s="566" t="str">
        <f>IF(U2118&gt;0,"xx",IF(P2118&gt;0,"xy",""))</f>
        <v/>
      </c>
      <c r="X2120" s="586" t="str">
        <f t="shared" ref="X2120:X2191" si="556">IF(W2120="X","x",IF(W2120="xx","x",IF(W2120="xy","x",IF(W2120="y","x",IF(OR(P2120&gt;0,U2120&gt;0),"x","")))))</f>
        <v/>
      </c>
      <c r="Y2120" s="586" t="str">
        <f t="shared" si="531"/>
        <v/>
      </c>
      <c r="Z2120" s="586" t="str">
        <f t="shared" si="542"/>
        <v/>
      </c>
    </row>
    <row r="2121" spans="1:26" ht="12" hidden="1" thickBot="1" x14ac:dyDescent="0.25">
      <c r="A2121" s="567" t="s">
        <v>168</v>
      </c>
      <c r="B2121" s="644" t="s">
        <v>168</v>
      </c>
      <c r="C2121" s="645"/>
      <c r="D2121" s="422" t="s">
        <v>252</v>
      </c>
      <c r="E2121" s="423"/>
      <c r="F2121" s="424">
        <v>20</v>
      </c>
      <c r="G2121" s="425">
        <v>0.1711</v>
      </c>
      <c r="H2121" s="663">
        <f t="shared" si="555"/>
        <v>4.120088</v>
      </c>
      <c r="I2121" s="420"/>
      <c r="J2121" s="420"/>
      <c r="K2121" s="421">
        <f t="shared" si="549"/>
        <v>0</v>
      </c>
      <c r="L2121" s="647"/>
      <c r="M2121" s="723"/>
      <c r="N2121" s="576">
        <f t="shared" si="536"/>
        <v>0</v>
      </c>
      <c r="O2121" s="577">
        <f t="shared" si="552"/>
        <v>0</v>
      </c>
      <c r="P2121" s="578">
        <f t="shared" si="553"/>
        <v>0</v>
      </c>
      <c r="Q2121" s="765"/>
      <c r="R2121" s="723"/>
      <c r="S2121" s="723"/>
      <c r="T2121" s="577">
        <f t="shared" si="550"/>
        <v>0</v>
      </c>
      <c r="U2121" s="578">
        <f t="shared" si="551"/>
        <v>0</v>
      </c>
      <c r="V2121" s="579"/>
      <c r="W2121" s="566" t="str">
        <f>IF(U2118&gt;0,"xx",IF(P2118&gt;0,"xy",""))</f>
        <v/>
      </c>
      <c r="X2121" s="586" t="str">
        <f t="shared" si="556"/>
        <v/>
      </c>
      <c r="Y2121" s="586" t="str">
        <f t="shared" si="531"/>
        <v/>
      </c>
      <c r="Z2121" s="586" t="str">
        <f t="shared" si="542"/>
        <v/>
      </c>
    </row>
    <row r="2122" spans="1:26" ht="12" hidden="1" thickBot="1" x14ac:dyDescent="0.25">
      <c r="A2122" s="567" t="s">
        <v>168</v>
      </c>
      <c r="B2122" s="644" t="s">
        <v>168</v>
      </c>
      <c r="C2122" s="645"/>
      <c r="D2122" s="422" t="s">
        <v>347</v>
      </c>
      <c r="E2122" s="423"/>
      <c r="F2122" s="424">
        <v>20</v>
      </c>
      <c r="G2122" s="425">
        <v>0.25</v>
      </c>
      <c r="H2122" s="663">
        <f t="shared" si="555"/>
        <v>6.0200000000000005</v>
      </c>
      <c r="I2122" s="420"/>
      <c r="J2122" s="420"/>
      <c r="K2122" s="421">
        <f t="shared" si="549"/>
        <v>0</v>
      </c>
      <c r="L2122" s="647"/>
      <c r="M2122" s="723"/>
      <c r="N2122" s="576">
        <f t="shared" si="536"/>
        <v>0</v>
      </c>
      <c r="O2122" s="577">
        <f t="shared" si="552"/>
        <v>0</v>
      </c>
      <c r="P2122" s="578">
        <f t="shared" si="553"/>
        <v>0</v>
      </c>
      <c r="Q2122" s="765"/>
      <c r="R2122" s="723"/>
      <c r="S2122" s="723"/>
      <c r="T2122" s="577">
        <f t="shared" si="550"/>
        <v>0</v>
      </c>
      <c r="U2122" s="578">
        <f t="shared" si="551"/>
        <v>0</v>
      </c>
      <c r="V2122" s="579"/>
      <c r="W2122" s="566" t="str">
        <f>IF(U2118&gt;0,"xx",IF(P2118&gt;0,"xy",""))</f>
        <v/>
      </c>
      <c r="X2122" s="586" t="str">
        <f t="shared" si="556"/>
        <v/>
      </c>
      <c r="Y2122" s="586" t="str">
        <f t="shared" si="531"/>
        <v/>
      </c>
      <c r="Z2122" s="586" t="str">
        <f t="shared" si="542"/>
        <v/>
      </c>
    </row>
    <row r="2123" spans="1:26" ht="12" hidden="1" thickBot="1" x14ac:dyDescent="0.25">
      <c r="A2123" s="567">
        <v>610700</v>
      </c>
      <c r="B2123" s="644" t="s">
        <v>1684</v>
      </c>
      <c r="C2123" s="645" t="s">
        <v>206</v>
      </c>
      <c r="D2123" s="422" t="s">
        <v>393</v>
      </c>
      <c r="E2123" s="423"/>
      <c r="F2123" s="424"/>
      <c r="G2123" s="425"/>
      <c r="H2123" s="651">
        <f>SUM(H2124:H2127)</f>
        <v>50.288166000000011</v>
      </c>
      <c r="I2123" s="420">
        <v>396.08</v>
      </c>
      <c r="J2123" s="420">
        <f>IF(ISBLANK(I2123),"",SUM(H2123:I2123))</f>
        <v>446.36816599999997</v>
      </c>
      <c r="K2123" s="421">
        <f t="shared" si="549"/>
        <v>530.33000000000004</v>
      </c>
      <c r="L2123" s="647" t="s">
        <v>19</v>
      </c>
      <c r="M2123" s="576"/>
      <c r="N2123" s="576">
        <f t="shared" si="536"/>
        <v>0</v>
      </c>
      <c r="O2123" s="577">
        <f t="shared" si="552"/>
        <v>0</v>
      </c>
      <c r="P2123" s="578">
        <f t="shared" si="553"/>
        <v>0</v>
      </c>
      <c r="Q2123" s="765"/>
      <c r="R2123" s="576">
        <f>M2123</f>
        <v>0</v>
      </c>
      <c r="S2123" s="576">
        <f>N2123</f>
        <v>0</v>
      </c>
      <c r="T2123" s="577">
        <f t="shared" si="550"/>
        <v>0</v>
      </c>
      <c r="U2123" s="578">
        <f t="shared" si="551"/>
        <v>0</v>
      </c>
      <c r="V2123" s="579"/>
      <c r="W2123" s="566"/>
      <c r="X2123" s="586" t="str">
        <f t="shared" si="556"/>
        <v/>
      </c>
      <c r="Y2123" s="586" t="str">
        <f t="shared" si="531"/>
        <v/>
      </c>
      <c r="Z2123" s="586" t="str">
        <f t="shared" si="542"/>
        <v/>
      </c>
    </row>
    <row r="2124" spans="1:26" ht="12" hidden="1" thickBot="1" x14ac:dyDescent="0.25">
      <c r="A2124" s="567" t="s">
        <v>168</v>
      </c>
      <c r="B2124" s="644" t="s">
        <v>168</v>
      </c>
      <c r="C2124" s="645"/>
      <c r="D2124" s="422" t="s">
        <v>212</v>
      </c>
      <c r="E2124" s="423"/>
      <c r="F2124" s="424">
        <v>500</v>
      </c>
      <c r="G2124" s="425">
        <v>3.4500000000000003E-2</v>
      </c>
      <c r="H2124" s="649">
        <f>IF(F2124&lt;=30,(0.78*F2124+7.82)*G2124,((0.78*30+7.82)+0.78*(F2124-30))*G2124)</f>
        <v>13.724790000000002</v>
      </c>
      <c r="I2124" s="420"/>
      <c r="J2124" s="420"/>
      <c r="K2124" s="421">
        <f t="shared" si="549"/>
        <v>0</v>
      </c>
      <c r="L2124" s="647"/>
      <c r="M2124" s="723"/>
      <c r="N2124" s="576">
        <f t="shared" si="536"/>
        <v>0</v>
      </c>
      <c r="O2124" s="577">
        <f t="shared" si="552"/>
        <v>0</v>
      </c>
      <c r="P2124" s="578">
        <f t="shared" si="553"/>
        <v>0</v>
      </c>
      <c r="Q2124" s="765"/>
      <c r="R2124" s="723"/>
      <c r="S2124" s="723"/>
      <c r="T2124" s="577">
        <f t="shared" si="550"/>
        <v>0</v>
      </c>
      <c r="U2124" s="578">
        <f t="shared" si="551"/>
        <v>0</v>
      </c>
      <c r="V2124" s="579"/>
      <c r="W2124" s="566" t="str">
        <f>IF(U2123&gt;0,"xx",IF(P2123&gt;0,"xy",""))</f>
        <v/>
      </c>
      <c r="X2124" s="586" t="str">
        <f t="shared" si="556"/>
        <v/>
      </c>
      <c r="Y2124" s="586" t="str">
        <f t="shared" si="531"/>
        <v/>
      </c>
      <c r="Z2124" s="586" t="str">
        <f t="shared" si="542"/>
        <v/>
      </c>
    </row>
    <row r="2125" spans="1:26" ht="12" hidden="1" thickBot="1" x14ac:dyDescent="0.25">
      <c r="A2125" s="567" t="s">
        <v>168</v>
      </c>
      <c r="B2125" s="644" t="s">
        <v>168</v>
      </c>
      <c r="C2125" s="645"/>
      <c r="D2125" s="422" t="s">
        <v>248</v>
      </c>
      <c r="E2125" s="423"/>
      <c r="F2125" s="424">
        <v>180</v>
      </c>
      <c r="G2125" s="425">
        <v>0.12690000000000001</v>
      </c>
      <c r="H2125" s="663">
        <f t="shared" ref="H2125:H2127" si="557">IF(F2125&lt;=30,(1.07*F2125+2.68)*G2125,((1.07*30+2.68)+1.07*(F2125-30))*G2125)</f>
        <v>24.781032000000003</v>
      </c>
      <c r="I2125" s="420"/>
      <c r="J2125" s="420"/>
      <c r="K2125" s="421">
        <f t="shared" si="549"/>
        <v>0</v>
      </c>
      <c r="L2125" s="647"/>
      <c r="M2125" s="723"/>
      <c r="N2125" s="576">
        <f t="shared" si="536"/>
        <v>0</v>
      </c>
      <c r="O2125" s="577">
        <f t="shared" si="552"/>
        <v>0</v>
      </c>
      <c r="P2125" s="578">
        <f t="shared" si="553"/>
        <v>0</v>
      </c>
      <c r="Q2125" s="765"/>
      <c r="R2125" s="723"/>
      <c r="S2125" s="723"/>
      <c r="T2125" s="577">
        <f t="shared" si="550"/>
        <v>0</v>
      </c>
      <c r="U2125" s="578">
        <f t="shared" si="551"/>
        <v>0</v>
      </c>
      <c r="V2125" s="579"/>
      <c r="W2125" s="566" t="str">
        <f>IF(U2123&gt;0,"xx",IF(P2123&gt;0,"xy",""))</f>
        <v/>
      </c>
      <c r="X2125" s="586" t="str">
        <f t="shared" si="556"/>
        <v/>
      </c>
      <c r="Y2125" s="586" t="str">
        <f t="shared" si="531"/>
        <v/>
      </c>
      <c r="Z2125" s="586" t="str">
        <f t="shared" si="542"/>
        <v/>
      </c>
    </row>
    <row r="2126" spans="1:26" ht="12" hidden="1" thickBot="1" x14ac:dyDescent="0.25">
      <c r="A2126" s="567" t="s">
        <v>168</v>
      </c>
      <c r="B2126" s="644" t="s">
        <v>168</v>
      </c>
      <c r="C2126" s="645"/>
      <c r="D2126" s="422" t="s">
        <v>252</v>
      </c>
      <c r="E2126" s="423"/>
      <c r="F2126" s="424">
        <v>20</v>
      </c>
      <c r="G2126" s="425">
        <v>0.20729999999999998</v>
      </c>
      <c r="H2126" s="663">
        <f t="shared" si="557"/>
        <v>4.991784</v>
      </c>
      <c r="I2126" s="420"/>
      <c r="J2126" s="420"/>
      <c r="K2126" s="421">
        <f t="shared" si="549"/>
        <v>0</v>
      </c>
      <c r="L2126" s="647"/>
      <c r="M2126" s="723"/>
      <c r="N2126" s="576">
        <f t="shared" si="536"/>
        <v>0</v>
      </c>
      <c r="O2126" s="577">
        <f t="shared" si="552"/>
        <v>0</v>
      </c>
      <c r="P2126" s="578">
        <f t="shared" si="553"/>
        <v>0</v>
      </c>
      <c r="Q2126" s="765"/>
      <c r="R2126" s="723"/>
      <c r="S2126" s="723"/>
      <c r="T2126" s="577">
        <f t="shared" si="550"/>
        <v>0</v>
      </c>
      <c r="U2126" s="578">
        <f t="shared" si="551"/>
        <v>0</v>
      </c>
      <c r="V2126" s="579"/>
      <c r="W2126" s="566" t="str">
        <f>IF(U2123&gt;0,"xx",IF(P2123&gt;0,"xy",""))</f>
        <v/>
      </c>
      <c r="X2126" s="586" t="str">
        <f t="shared" si="556"/>
        <v/>
      </c>
      <c r="Y2126" s="586" t="str">
        <f t="shared" si="531"/>
        <v/>
      </c>
      <c r="Z2126" s="586" t="str">
        <f t="shared" si="542"/>
        <v/>
      </c>
    </row>
    <row r="2127" spans="1:26" ht="12" hidden="1" thickBot="1" x14ac:dyDescent="0.25">
      <c r="A2127" s="567" t="s">
        <v>168</v>
      </c>
      <c r="B2127" s="644" t="s">
        <v>168</v>
      </c>
      <c r="C2127" s="645"/>
      <c r="D2127" s="422" t="s">
        <v>347</v>
      </c>
      <c r="E2127" s="423"/>
      <c r="F2127" s="424">
        <v>20</v>
      </c>
      <c r="G2127" s="425">
        <v>0.28199999999999997</v>
      </c>
      <c r="H2127" s="663">
        <f t="shared" si="557"/>
        <v>6.7905600000000002</v>
      </c>
      <c r="I2127" s="420"/>
      <c r="J2127" s="420"/>
      <c r="K2127" s="421">
        <f t="shared" si="549"/>
        <v>0</v>
      </c>
      <c r="L2127" s="647"/>
      <c r="M2127" s="723"/>
      <c r="N2127" s="576">
        <f t="shared" si="536"/>
        <v>0</v>
      </c>
      <c r="O2127" s="577">
        <f t="shared" si="552"/>
        <v>0</v>
      </c>
      <c r="P2127" s="578">
        <f t="shared" si="553"/>
        <v>0</v>
      </c>
      <c r="Q2127" s="765"/>
      <c r="R2127" s="723"/>
      <c r="S2127" s="723"/>
      <c r="T2127" s="577">
        <f t="shared" si="550"/>
        <v>0</v>
      </c>
      <c r="U2127" s="578">
        <f t="shared" si="551"/>
        <v>0</v>
      </c>
      <c r="V2127" s="579"/>
      <c r="W2127" s="566" t="str">
        <f>IF(U2123&gt;0,"xx",IF(P2123&gt;0,"xy",""))</f>
        <v/>
      </c>
      <c r="X2127" s="586" t="str">
        <f t="shared" si="556"/>
        <v/>
      </c>
      <c r="Y2127" s="586" t="str">
        <f t="shared" si="531"/>
        <v/>
      </c>
      <c r="Z2127" s="586" t="str">
        <f t="shared" si="542"/>
        <v/>
      </c>
    </row>
    <row r="2128" spans="1:26" ht="12" hidden="1" thickBot="1" x14ac:dyDescent="0.25">
      <c r="A2128" s="567">
        <v>610900</v>
      </c>
      <c r="B2128" s="644" t="s">
        <v>1685</v>
      </c>
      <c r="C2128" s="645" t="s">
        <v>206</v>
      </c>
      <c r="D2128" s="422" t="s">
        <v>583</v>
      </c>
      <c r="E2128" s="423"/>
      <c r="F2128" s="424"/>
      <c r="G2128" s="425"/>
      <c r="H2128" s="651">
        <f>SUM(H2129:H2132)</f>
        <v>72.192176000000003</v>
      </c>
      <c r="I2128" s="420">
        <v>534.75</v>
      </c>
      <c r="J2128" s="420">
        <f>IF(ISBLANK(I2128),"",SUM(H2128:I2128))</f>
        <v>606.94217600000002</v>
      </c>
      <c r="K2128" s="421">
        <f t="shared" si="549"/>
        <v>721.11</v>
      </c>
      <c r="L2128" s="647" t="s">
        <v>19</v>
      </c>
      <c r="M2128" s="576"/>
      <c r="N2128" s="576">
        <f t="shared" si="536"/>
        <v>0</v>
      </c>
      <c r="O2128" s="577">
        <f t="shared" si="552"/>
        <v>0</v>
      </c>
      <c r="P2128" s="578">
        <f t="shared" si="553"/>
        <v>0</v>
      </c>
      <c r="Q2128" s="765"/>
      <c r="R2128" s="576">
        <f>M2128</f>
        <v>0</v>
      </c>
      <c r="S2128" s="576">
        <f>N2128</f>
        <v>0</v>
      </c>
      <c r="T2128" s="577">
        <f t="shared" si="550"/>
        <v>0</v>
      </c>
      <c r="U2128" s="578">
        <f t="shared" si="551"/>
        <v>0</v>
      </c>
      <c r="V2128" s="579"/>
      <c r="W2128" s="566"/>
      <c r="X2128" s="586" t="str">
        <f t="shared" si="556"/>
        <v/>
      </c>
      <c r="Y2128" s="586" t="str">
        <f t="shared" si="531"/>
        <v/>
      </c>
      <c r="Z2128" s="586" t="str">
        <f t="shared" si="542"/>
        <v/>
      </c>
    </row>
    <row r="2129" spans="1:26" ht="12" hidden="1" thickBot="1" x14ac:dyDescent="0.25">
      <c r="A2129" s="567" t="s">
        <v>168</v>
      </c>
      <c r="B2129" s="644" t="s">
        <v>168</v>
      </c>
      <c r="C2129" s="645"/>
      <c r="D2129" s="422" t="s">
        <v>212</v>
      </c>
      <c r="E2129" s="423"/>
      <c r="F2129" s="424">
        <v>500</v>
      </c>
      <c r="G2129" s="425">
        <v>4.7199999999999999E-2</v>
      </c>
      <c r="H2129" s="649">
        <f>IF(F2129&lt;=30,(0.78*F2129+7.82)*G2129,((0.78*30+7.82)+0.78*(F2129-30))*G2129)</f>
        <v>18.777104000000001</v>
      </c>
      <c r="I2129" s="420"/>
      <c r="J2129" s="420"/>
      <c r="K2129" s="421">
        <f t="shared" si="549"/>
        <v>0</v>
      </c>
      <c r="L2129" s="647"/>
      <c r="M2129" s="723"/>
      <c r="N2129" s="576">
        <f t="shared" si="536"/>
        <v>0</v>
      </c>
      <c r="O2129" s="577">
        <f t="shared" si="552"/>
        <v>0</v>
      </c>
      <c r="P2129" s="578">
        <f t="shared" si="553"/>
        <v>0</v>
      </c>
      <c r="Q2129" s="765"/>
      <c r="R2129" s="723"/>
      <c r="S2129" s="723"/>
      <c r="T2129" s="577">
        <f t="shared" si="550"/>
        <v>0</v>
      </c>
      <c r="U2129" s="578">
        <f t="shared" si="551"/>
        <v>0</v>
      </c>
      <c r="V2129" s="579"/>
      <c r="W2129" s="566" t="str">
        <f>IF(U2128&gt;0,"xx",IF(P2128&gt;0,"xy",""))</f>
        <v/>
      </c>
      <c r="X2129" s="586" t="str">
        <f t="shared" si="556"/>
        <v/>
      </c>
      <c r="Y2129" s="586" t="str">
        <f t="shared" si="531"/>
        <v/>
      </c>
      <c r="Z2129" s="586" t="str">
        <f t="shared" si="542"/>
        <v/>
      </c>
    </row>
    <row r="2130" spans="1:26" ht="12" hidden="1" thickBot="1" x14ac:dyDescent="0.25">
      <c r="A2130" s="567" t="s">
        <v>168</v>
      </c>
      <c r="B2130" s="644" t="s">
        <v>168</v>
      </c>
      <c r="C2130" s="645"/>
      <c r="D2130" s="422" t="s">
        <v>248</v>
      </c>
      <c r="E2130" s="423"/>
      <c r="F2130" s="424">
        <v>180</v>
      </c>
      <c r="G2130" s="425">
        <v>0.17269999999999999</v>
      </c>
      <c r="H2130" s="663">
        <f t="shared" ref="H2130:H2132" si="558">IF(F2130&lt;=30,(1.07*F2130+2.68)*G2130,((1.07*30+2.68)+1.07*(F2130-30))*G2130)</f>
        <v>33.724855999999996</v>
      </c>
      <c r="I2130" s="420"/>
      <c r="J2130" s="420"/>
      <c r="K2130" s="421">
        <f t="shared" si="549"/>
        <v>0</v>
      </c>
      <c r="L2130" s="647"/>
      <c r="M2130" s="723"/>
      <c r="N2130" s="576">
        <f t="shared" si="536"/>
        <v>0</v>
      </c>
      <c r="O2130" s="577">
        <f t="shared" si="552"/>
        <v>0</v>
      </c>
      <c r="P2130" s="578">
        <f t="shared" si="553"/>
        <v>0</v>
      </c>
      <c r="Q2130" s="765"/>
      <c r="R2130" s="723"/>
      <c r="S2130" s="723"/>
      <c r="T2130" s="577">
        <f t="shared" si="550"/>
        <v>0</v>
      </c>
      <c r="U2130" s="578">
        <f t="shared" si="551"/>
        <v>0</v>
      </c>
      <c r="V2130" s="579"/>
      <c r="W2130" s="566" t="str">
        <f>IF(U2128&gt;0,"xx",IF(P2128&gt;0,"xy",""))</f>
        <v/>
      </c>
      <c r="X2130" s="586" t="str">
        <f t="shared" si="556"/>
        <v/>
      </c>
      <c r="Y2130" s="586" t="str">
        <f t="shared" si="531"/>
        <v/>
      </c>
      <c r="Z2130" s="586" t="str">
        <f t="shared" si="542"/>
        <v/>
      </c>
    </row>
    <row r="2131" spans="1:26" ht="12" hidden="1" thickBot="1" x14ac:dyDescent="0.25">
      <c r="A2131" s="567" t="s">
        <v>168</v>
      </c>
      <c r="B2131" s="644" t="s">
        <v>168</v>
      </c>
      <c r="C2131" s="645"/>
      <c r="D2131" s="422" t="s">
        <v>252</v>
      </c>
      <c r="E2131" s="423"/>
      <c r="F2131" s="424">
        <v>20</v>
      </c>
      <c r="G2131" s="425">
        <v>0.28770000000000001</v>
      </c>
      <c r="H2131" s="663">
        <f t="shared" si="558"/>
        <v>6.9278160000000009</v>
      </c>
      <c r="I2131" s="420"/>
      <c r="J2131" s="420"/>
      <c r="K2131" s="421">
        <f t="shared" si="549"/>
        <v>0</v>
      </c>
      <c r="L2131" s="647"/>
      <c r="M2131" s="723"/>
      <c r="N2131" s="576">
        <f t="shared" si="536"/>
        <v>0</v>
      </c>
      <c r="O2131" s="577">
        <f t="shared" si="552"/>
        <v>0</v>
      </c>
      <c r="P2131" s="578">
        <f t="shared" si="553"/>
        <v>0</v>
      </c>
      <c r="Q2131" s="765"/>
      <c r="R2131" s="723"/>
      <c r="S2131" s="723"/>
      <c r="T2131" s="577">
        <f t="shared" si="550"/>
        <v>0</v>
      </c>
      <c r="U2131" s="578">
        <f t="shared" si="551"/>
        <v>0</v>
      </c>
      <c r="V2131" s="579"/>
      <c r="W2131" s="566" t="str">
        <f>IF(U2128&gt;0,"xx",IF(P2128&gt;0,"xy",""))</f>
        <v/>
      </c>
      <c r="X2131" s="586" t="str">
        <f t="shared" si="556"/>
        <v/>
      </c>
      <c r="Y2131" s="586" t="str">
        <f t="shared" si="531"/>
        <v/>
      </c>
      <c r="Z2131" s="586" t="str">
        <f t="shared" si="542"/>
        <v/>
      </c>
    </row>
    <row r="2132" spans="1:26" ht="12" hidden="1" thickBot="1" x14ac:dyDescent="0.25">
      <c r="A2132" s="567" t="s">
        <v>168</v>
      </c>
      <c r="B2132" s="644" t="s">
        <v>168</v>
      </c>
      <c r="C2132" s="645"/>
      <c r="D2132" s="422" t="s">
        <v>347</v>
      </c>
      <c r="E2132" s="423"/>
      <c r="F2132" s="424">
        <v>20</v>
      </c>
      <c r="G2132" s="425">
        <v>0.53</v>
      </c>
      <c r="H2132" s="663">
        <f t="shared" si="558"/>
        <v>12.762400000000001</v>
      </c>
      <c r="I2132" s="420"/>
      <c r="J2132" s="420"/>
      <c r="K2132" s="421">
        <f t="shared" si="549"/>
        <v>0</v>
      </c>
      <c r="L2132" s="647"/>
      <c r="M2132" s="723"/>
      <c r="N2132" s="576">
        <f t="shared" ref="N2132:N2195" si="559">IF(M2132=0,0,K2132)</f>
        <v>0</v>
      </c>
      <c r="O2132" s="577">
        <f t="shared" si="552"/>
        <v>0</v>
      </c>
      <c r="P2132" s="578">
        <f t="shared" si="553"/>
        <v>0</v>
      </c>
      <c r="Q2132" s="765"/>
      <c r="R2132" s="723"/>
      <c r="S2132" s="723"/>
      <c r="T2132" s="577">
        <f t="shared" si="550"/>
        <v>0</v>
      </c>
      <c r="U2132" s="578">
        <f t="shared" si="551"/>
        <v>0</v>
      </c>
      <c r="V2132" s="579"/>
      <c r="W2132" s="566" t="str">
        <f>IF(U2128&gt;0,"xx",IF(P2128&gt;0,"xy",""))</f>
        <v/>
      </c>
      <c r="X2132" s="586" t="str">
        <f t="shared" si="556"/>
        <v/>
      </c>
      <c r="Y2132" s="586" t="str">
        <f t="shared" si="531"/>
        <v/>
      </c>
      <c r="Z2132" s="586" t="str">
        <f t="shared" si="542"/>
        <v/>
      </c>
    </row>
    <row r="2133" spans="1:26" ht="12" hidden="1" thickBot="1" x14ac:dyDescent="0.25">
      <c r="A2133" s="567">
        <v>610900</v>
      </c>
      <c r="B2133" s="644" t="s">
        <v>1686</v>
      </c>
      <c r="C2133" s="645" t="s">
        <v>206</v>
      </c>
      <c r="D2133" s="422" t="s">
        <v>394</v>
      </c>
      <c r="E2133" s="423"/>
      <c r="F2133" s="424"/>
      <c r="G2133" s="425"/>
      <c r="H2133" s="651">
        <f>SUM(H2134:H2137)</f>
        <v>91.957618000000011</v>
      </c>
      <c r="I2133" s="420">
        <v>673.42000000000007</v>
      </c>
      <c r="J2133" s="420">
        <f>IF(ISBLANK(I2133),"",SUM(H2133:I2133))</f>
        <v>765.3776180000001</v>
      </c>
      <c r="K2133" s="421">
        <f t="shared" si="549"/>
        <v>909.35</v>
      </c>
      <c r="L2133" s="647" t="s">
        <v>19</v>
      </c>
      <c r="M2133" s="576"/>
      <c r="N2133" s="576">
        <f t="shared" si="559"/>
        <v>0</v>
      </c>
      <c r="O2133" s="577">
        <f t="shared" si="552"/>
        <v>0</v>
      </c>
      <c r="P2133" s="578">
        <f t="shared" si="553"/>
        <v>0</v>
      </c>
      <c r="Q2133" s="765"/>
      <c r="R2133" s="576">
        <f>M2133</f>
        <v>0</v>
      </c>
      <c r="S2133" s="576">
        <f>N2133</f>
        <v>0</v>
      </c>
      <c r="T2133" s="577">
        <f t="shared" si="550"/>
        <v>0</v>
      </c>
      <c r="U2133" s="578">
        <f t="shared" si="551"/>
        <v>0</v>
      </c>
      <c r="V2133" s="579"/>
      <c r="W2133" s="566"/>
      <c r="X2133" s="586" t="str">
        <f t="shared" si="556"/>
        <v/>
      </c>
      <c r="Y2133" s="586" t="str">
        <f t="shared" si="531"/>
        <v/>
      </c>
      <c r="Z2133" s="586" t="str">
        <f t="shared" si="542"/>
        <v/>
      </c>
    </row>
    <row r="2134" spans="1:26" ht="12" hidden="1" thickBot="1" x14ac:dyDescent="0.25">
      <c r="A2134" s="567" t="s">
        <v>168</v>
      </c>
      <c r="B2134" s="644" t="s">
        <v>168</v>
      </c>
      <c r="C2134" s="645"/>
      <c r="D2134" s="422" t="s">
        <v>212</v>
      </c>
      <c r="E2134" s="423"/>
      <c r="F2134" s="424">
        <v>500</v>
      </c>
      <c r="G2134" s="425">
        <v>5.9900000000000002E-2</v>
      </c>
      <c r="H2134" s="649">
        <f>IF(F2134&lt;=30,(0.78*F2134+7.82)*G2134,((0.78*30+7.82)+0.78*(F2134-30))*G2134)</f>
        <v>23.829418000000004</v>
      </c>
      <c r="I2134" s="420"/>
      <c r="J2134" s="420"/>
      <c r="K2134" s="421">
        <f t="shared" si="549"/>
        <v>0</v>
      </c>
      <c r="L2134" s="647"/>
      <c r="M2134" s="723"/>
      <c r="N2134" s="576">
        <f t="shared" si="559"/>
        <v>0</v>
      </c>
      <c r="O2134" s="577">
        <f t="shared" si="552"/>
        <v>0</v>
      </c>
      <c r="P2134" s="578">
        <f t="shared" si="553"/>
        <v>0</v>
      </c>
      <c r="Q2134" s="765"/>
      <c r="R2134" s="723"/>
      <c r="S2134" s="723"/>
      <c r="T2134" s="577">
        <f t="shared" si="550"/>
        <v>0</v>
      </c>
      <c r="U2134" s="578">
        <f t="shared" si="551"/>
        <v>0</v>
      </c>
      <c r="V2134" s="579"/>
      <c r="W2134" s="566" t="str">
        <f>IF(U2133&gt;0,"xx",IF(P2133&gt;0,"xy",""))</f>
        <v/>
      </c>
      <c r="X2134" s="586" t="str">
        <f t="shared" si="556"/>
        <v/>
      </c>
      <c r="Y2134" s="586" t="str">
        <f t="shared" si="531"/>
        <v/>
      </c>
      <c r="Z2134" s="586" t="str">
        <f t="shared" si="542"/>
        <v/>
      </c>
    </row>
    <row r="2135" spans="1:26" ht="12" hidden="1" thickBot="1" x14ac:dyDescent="0.25">
      <c r="A2135" s="567" t="s">
        <v>168</v>
      </c>
      <c r="B2135" s="644" t="s">
        <v>168</v>
      </c>
      <c r="C2135" s="645"/>
      <c r="D2135" s="422" t="s">
        <v>248</v>
      </c>
      <c r="E2135" s="423"/>
      <c r="F2135" s="424">
        <v>180</v>
      </c>
      <c r="G2135" s="425">
        <v>0.21840000000000001</v>
      </c>
      <c r="H2135" s="663">
        <f t="shared" ref="H2135:H2137" si="560">IF(F2135&lt;=30,(1.07*F2135+2.68)*G2135,((1.07*30+2.68)+1.07*(F2135-30))*G2135)</f>
        <v>42.649152000000001</v>
      </c>
      <c r="I2135" s="420"/>
      <c r="J2135" s="420"/>
      <c r="K2135" s="421">
        <f t="shared" si="549"/>
        <v>0</v>
      </c>
      <c r="L2135" s="647"/>
      <c r="M2135" s="723"/>
      <c r="N2135" s="576">
        <f t="shared" si="559"/>
        <v>0</v>
      </c>
      <c r="O2135" s="577">
        <f t="shared" si="552"/>
        <v>0</v>
      </c>
      <c r="P2135" s="578">
        <f t="shared" si="553"/>
        <v>0</v>
      </c>
      <c r="Q2135" s="765"/>
      <c r="R2135" s="723"/>
      <c r="S2135" s="723"/>
      <c r="T2135" s="577">
        <f t="shared" si="550"/>
        <v>0</v>
      </c>
      <c r="U2135" s="578">
        <f t="shared" si="551"/>
        <v>0</v>
      </c>
      <c r="V2135" s="579"/>
      <c r="W2135" s="566" t="str">
        <f>IF(U2133&gt;0,"xx",IF(P2133&gt;0,"xy",""))</f>
        <v/>
      </c>
      <c r="X2135" s="586" t="str">
        <f t="shared" si="556"/>
        <v/>
      </c>
      <c r="Y2135" s="586" t="str">
        <f t="shared" si="531"/>
        <v/>
      </c>
      <c r="Z2135" s="586" t="str">
        <f t="shared" si="542"/>
        <v/>
      </c>
    </row>
    <row r="2136" spans="1:26" ht="12" hidden="1" thickBot="1" x14ac:dyDescent="0.25">
      <c r="A2136" s="567" t="s">
        <v>168</v>
      </c>
      <c r="B2136" s="644" t="s">
        <v>168</v>
      </c>
      <c r="C2136" s="645"/>
      <c r="D2136" s="422" t="s">
        <v>252</v>
      </c>
      <c r="E2136" s="423"/>
      <c r="F2136" s="424">
        <v>20</v>
      </c>
      <c r="G2136" s="425">
        <v>0.36809999999999998</v>
      </c>
      <c r="H2136" s="663">
        <f t="shared" si="560"/>
        <v>8.8638480000000008</v>
      </c>
      <c r="I2136" s="420"/>
      <c r="J2136" s="420"/>
      <c r="K2136" s="421">
        <f t="shared" si="549"/>
        <v>0</v>
      </c>
      <c r="L2136" s="647"/>
      <c r="M2136" s="723"/>
      <c r="N2136" s="576">
        <f t="shared" si="559"/>
        <v>0</v>
      </c>
      <c r="O2136" s="577">
        <f t="shared" si="552"/>
        <v>0</v>
      </c>
      <c r="P2136" s="578">
        <f t="shared" si="553"/>
        <v>0</v>
      </c>
      <c r="Q2136" s="765"/>
      <c r="R2136" s="723"/>
      <c r="S2136" s="723"/>
      <c r="T2136" s="577">
        <f t="shared" si="550"/>
        <v>0</v>
      </c>
      <c r="U2136" s="578">
        <f t="shared" si="551"/>
        <v>0</v>
      </c>
      <c r="V2136" s="579"/>
      <c r="W2136" s="566" t="str">
        <f>IF(U2133&gt;0,"xx",IF(P2133&gt;0,"xy",""))</f>
        <v/>
      </c>
      <c r="X2136" s="586" t="str">
        <f t="shared" si="556"/>
        <v/>
      </c>
      <c r="Y2136" s="586" t="str">
        <f t="shared" si="531"/>
        <v/>
      </c>
      <c r="Z2136" s="586" t="str">
        <f t="shared" si="542"/>
        <v/>
      </c>
    </row>
    <row r="2137" spans="1:26" ht="12" hidden="1" thickBot="1" x14ac:dyDescent="0.25">
      <c r="A2137" s="567" t="s">
        <v>168</v>
      </c>
      <c r="B2137" s="644" t="s">
        <v>168</v>
      </c>
      <c r="C2137" s="645"/>
      <c r="D2137" s="422" t="s">
        <v>347</v>
      </c>
      <c r="E2137" s="423"/>
      <c r="F2137" s="424">
        <v>20</v>
      </c>
      <c r="G2137" s="425">
        <v>0.69</v>
      </c>
      <c r="H2137" s="663">
        <f t="shared" si="560"/>
        <v>16.615200000000002</v>
      </c>
      <c r="I2137" s="420"/>
      <c r="J2137" s="420"/>
      <c r="K2137" s="421">
        <f t="shared" si="549"/>
        <v>0</v>
      </c>
      <c r="L2137" s="647"/>
      <c r="M2137" s="723"/>
      <c r="N2137" s="576">
        <f t="shared" si="559"/>
        <v>0</v>
      </c>
      <c r="O2137" s="577">
        <f t="shared" si="552"/>
        <v>0</v>
      </c>
      <c r="P2137" s="578">
        <f t="shared" si="553"/>
        <v>0</v>
      </c>
      <c r="Q2137" s="765"/>
      <c r="R2137" s="723"/>
      <c r="S2137" s="723"/>
      <c r="T2137" s="577">
        <f t="shared" si="550"/>
        <v>0</v>
      </c>
      <c r="U2137" s="578">
        <f t="shared" si="551"/>
        <v>0</v>
      </c>
      <c r="V2137" s="579"/>
      <c r="W2137" s="566" t="str">
        <f>IF(U2133&gt;0,"xx",IF(P2133&gt;0,"xy",""))</f>
        <v/>
      </c>
      <c r="X2137" s="586" t="str">
        <f t="shared" si="556"/>
        <v/>
      </c>
      <c r="Y2137" s="586" t="str">
        <f t="shared" si="531"/>
        <v/>
      </c>
      <c r="Z2137" s="586" t="str">
        <f t="shared" si="542"/>
        <v/>
      </c>
    </row>
    <row r="2138" spans="1:26" ht="12" hidden="1" thickBot="1" x14ac:dyDescent="0.25">
      <c r="A2138" s="567">
        <v>611100</v>
      </c>
      <c r="B2138" s="644" t="s">
        <v>1699</v>
      </c>
      <c r="C2138" s="645" t="s">
        <v>206</v>
      </c>
      <c r="D2138" s="422" t="s">
        <v>584</v>
      </c>
      <c r="E2138" s="423"/>
      <c r="F2138" s="424"/>
      <c r="G2138" s="425"/>
      <c r="H2138" s="651">
        <f>SUM(H2139:H2142)</f>
        <v>115.465452</v>
      </c>
      <c r="I2138" s="420">
        <v>831.46</v>
      </c>
      <c r="J2138" s="420">
        <f>IF(ISBLANK(I2138),"",SUM(H2138:I2138))</f>
        <v>946.92545200000006</v>
      </c>
      <c r="K2138" s="421">
        <f t="shared" si="549"/>
        <v>1125.04</v>
      </c>
      <c r="L2138" s="647" t="s">
        <v>19</v>
      </c>
      <c r="M2138" s="576"/>
      <c r="N2138" s="576">
        <f t="shared" si="559"/>
        <v>0</v>
      </c>
      <c r="O2138" s="577">
        <f t="shared" si="552"/>
        <v>0</v>
      </c>
      <c r="P2138" s="578">
        <f t="shared" si="553"/>
        <v>0</v>
      </c>
      <c r="Q2138" s="765"/>
      <c r="R2138" s="576">
        <f>M2138</f>
        <v>0</v>
      </c>
      <c r="S2138" s="576">
        <f>N2138</f>
        <v>0</v>
      </c>
      <c r="T2138" s="577">
        <f t="shared" si="550"/>
        <v>0</v>
      </c>
      <c r="U2138" s="578">
        <f t="shared" si="551"/>
        <v>0</v>
      </c>
      <c r="V2138" s="579"/>
      <c r="W2138" s="566"/>
      <c r="X2138" s="586" t="str">
        <f t="shared" si="556"/>
        <v/>
      </c>
      <c r="Y2138" s="586" t="str">
        <f t="shared" si="531"/>
        <v/>
      </c>
      <c r="Z2138" s="586" t="str">
        <f t="shared" si="542"/>
        <v/>
      </c>
    </row>
    <row r="2139" spans="1:26" ht="12" hidden="1" thickBot="1" x14ac:dyDescent="0.25">
      <c r="A2139" s="567" t="s">
        <v>168</v>
      </c>
      <c r="B2139" s="644" t="s">
        <v>168</v>
      </c>
      <c r="C2139" s="645"/>
      <c r="D2139" s="422" t="s">
        <v>212</v>
      </c>
      <c r="E2139" s="423"/>
      <c r="F2139" s="424">
        <v>500</v>
      </c>
      <c r="G2139" s="425">
        <v>7.5800000000000006E-2</v>
      </c>
      <c r="H2139" s="649">
        <f>IF(F2139&lt;=30,(0.78*F2139+7.82)*G2139,((0.78*30+7.82)+0.78*(F2139-30))*G2139)</f>
        <v>30.154756000000006</v>
      </c>
      <c r="I2139" s="420"/>
      <c r="J2139" s="420"/>
      <c r="K2139" s="421">
        <f t="shared" si="549"/>
        <v>0</v>
      </c>
      <c r="L2139" s="647"/>
      <c r="M2139" s="723"/>
      <c r="N2139" s="576">
        <f t="shared" si="559"/>
        <v>0</v>
      </c>
      <c r="O2139" s="577">
        <f t="shared" si="552"/>
        <v>0</v>
      </c>
      <c r="P2139" s="578">
        <f t="shared" si="553"/>
        <v>0</v>
      </c>
      <c r="Q2139" s="765"/>
      <c r="R2139" s="723"/>
      <c r="S2139" s="723"/>
      <c r="T2139" s="577">
        <f t="shared" si="550"/>
        <v>0</v>
      </c>
      <c r="U2139" s="578">
        <f t="shared" si="551"/>
        <v>0</v>
      </c>
      <c r="V2139" s="579"/>
      <c r="W2139" s="566" t="str">
        <f>IF(U2138&gt;0,"xx",IF(P2138&gt;0,"xy",""))</f>
        <v/>
      </c>
      <c r="X2139" s="586" t="str">
        <f t="shared" si="556"/>
        <v/>
      </c>
      <c r="Y2139" s="586" t="str">
        <f t="shared" si="531"/>
        <v/>
      </c>
      <c r="Z2139" s="586" t="str">
        <f t="shared" si="542"/>
        <v/>
      </c>
    </row>
    <row r="2140" spans="1:26" ht="12" hidden="1" thickBot="1" x14ac:dyDescent="0.25">
      <c r="A2140" s="567" t="s">
        <v>168</v>
      </c>
      <c r="B2140" s="644" t="s">
        <v>168</v>
      </c>
      <c r="C2140" s="645"/>
      <c r="D2140" s="422" t="s">
        <v>248</v>
      </c>
      <c r="E2140" s="423"/>
      <c r="F2140" s="424">
        <v>180</v>
      </c>
      <c r="G2140" s="425">
        <v>0.27639999999999998</v>
      </c>
      <c r="H2140" s="663">
        <f t="shared" ref="H2140:H2142" si="561">IF(F2140&lt;=30,(1.07*F2140+2.68)*G2140,((1.07*30+2.68)+1.07*(F2140-30))*G2140)</f>
        <v>53.975391999999999</v>
      </c>
      <c r="I2140" s="420"/>
      <c r="J2140" s="420"/>
      <c r="K2140" s="421">
        <f t="shared" si="549"/>
        <v>0</v>
      </c>
      <c r="L2140" s="647"/>
      <c r="M2140" s="723"/>
      <c r="N2140" s="576">
        <f t="shared" si="559"/>
        <v>0</v>
      </c>
      <c r="O2140" s="577">
        <f t="shared" si="552"/>
        <v>0</v>
      </c>
      <c r="P2140" s="578">
        <f t="shared" si="553"/>
        <v>0</v>
      </c>
      <c r="Q2140" s="765"/>
      <c r="R2140" s="723"/>
      <c r="S2140" s="723"/>
      <c r="T2140" s="577">
        <f t="shared" si="550"/>
        <v>0</v>
      </c>
      <c r="U2140" s="578">
        <f t="shared" si="551"/>
        <v>0</v>
      </c>
      <c r="V2140" s="579"/>
      <c r="W2140" s="566" t="str">
        <f>IF(U2138&gt;0,"xx",IF(P2138&gt;0,"xy",""))</f>
        <v/>
      </c>
      <c r="X2140" s="586" t="str">
        <f t="shared" si="556"/>
        <v/>
      </c>
      <c r="Y2140" s="586" t="str">
        <f t="shared" si="531"/>
        <v/>
      </c>
      <c r="Z2140" s="586" t="str">
        <f t="shared" si="542"/>
        <v/>
      </c>
    </row>
    <row r="2141" spans="1:26" ht="12" hidden="1" thickBot="1" x14ac:dyDescent="0.25">
      <c r="A2141" s="567" t="s">
        <v>168</v>
      </c>
      <c r="B2141" s="644" t="s">
        <v>168</v>
      </c>
      <c r="C2141" s="645"/>
      <c r="D2141" s="422" t="s">
        <v>252</v>
      </c>
      <c r="E2141" s="423"/>
      <c r="F2141" s="424">
        <v>20</v>
      </c>
      <c r="G2141" s="425">
        <v>0.46629999999999999</v>
      </c>
      <c r="H2141" s="663">
        <f t="shared" si="561"/>
        <v>11.228504000000001</v>
      </c>
      <c r="I2141" s="420"/>
      <c r="J2141" s="420"/>
      <c r="K2141" s="421">
        <f t="shared" si="549"/>
        <v>0</v>
      </c>
      <c r="L2141" s="647"/>
      <c r="M2141" s="723"/>
      <c r="N2141" s="576">
        <f t="shared" si="559"/>
        <v>0</v>
      </c>
      <c r="O2141" s="577">
        <f t="shared" si="552"/>
        <v>0</v>
      </c>
      <c r="P2141" s="578">
        <f t="shared" si="553"/>
        <v>0</v>
      </c>
      <c r="Q2141" s="765"/>
      <c r="R2141" s="723"/>
      <c r="S2141" s="723"/>
      <c r="T2141" s="577">
        <f t="shared" si="550"/>
        <v>0</v>
      </c>
      <c r="U2141" s="578">
        <f t="shared" si="551"/>
        <v>0</v>
      </c>
      <c r="V2141" s="579"/>
      <c r="W2141" s="566" t="str">
        <f>IF(U2138&gt;0,"xx",IF(P2138&gt;0,"xy",""))</f>
        <v/>
      </c>
      <c r="X2141" s="586" t="str">
        <f t="shared" si="556"/>
        <v/>
      </c>
      <c r="Y2141" s="586" t="str">
        <f t="shared" si="531"/>
        <v/>
      </c>
      <c r="Z2141" s="586" t="str">
        <f t="shared" si="542"/>
        <v/>
      </c>
    </row>
    <row r="2142" spans="1:26" ht="12" hidden="1" thickBot="1" x14ac:dyDescent="0.25">
      <c r="A2142" s="567" t="s">
        <v>168</v>
      </c>
      <c r="B2142" s="644" t="s">
        <v>168</v>
      </c>
      <c r="C2142" s="645"/>
      <c r="D2142" s="422" t="s">
        <v>347</v>
      </c>
      <c r="E2142" s="423"/>
      <c r="F2142" s="424">
        <v>20</v>
      </c>
      <c r="G2142" s="425">
        <v>0.83499999999999996</v>
      </c>
      <c r="H2142" s="663">
        <f t="shared" si="561"/>
        <v>20.1068</v>
      </c>
      <c r="I2142" s="420"/>
      <c r="J2142" s="420"/>
      <c r="K2142" s="421">
        <f t="shared" si="549"/>
        <v>0</v>
      </c>
      <c r="L2142" s="647"/>
      <c r="M2142" s="723"/>
      <c r="N2142" s="576">
        <f t="shared" si="559"/>
        <v>0</v>
      </c>
      <c r="O2142" s="577">
        <f t="shared" si="552"/>
        <v>0</v>
      </c>
      <c r="P2142" s="578">
        <f t="shared" si="553"/>
        <v>0</v>
      </c>
      <c r="Q2142" s="765"/>
      <c r="R2142" s="723"/>
      <c r="S2142" s="723"/>
      <c r="T2142" s="577">
        <f t="shared" si="550"/>
        <v>0</v>
      </c>
      <c r="U2142" s="578">
        <f t="shared" si="551"/>
        <v>0</v>
      </c>
      <c r="V2142" s="579"/>
      <c r="W2142" s="566" t="str">
        <f>IF(U2138&gt;0,"xx",IF(P2138&gt;0,"xy",""))</f>
        <v/>
      </c>
      <c r="X2142" s="586" t="str">
        <f t="shared" si="556"/>
        <v/>
      </c>
      <c r="Y2142" s="586" t="str">
        <f t="shared" si="531"/>
        <v/>
      </c>
      <c r="Z2142" s="586" t="str">
        <f t="shared" si="542"/>
        <v/>
      </c>
    </row>
    <row r="2143" spans="1:26" ht="12" hidden="1" thickBot="1" x14ac:dyDescent="0.25">
      <c r="A2143" s="567">
        <v>611100</v>
      </c>
      <c r="B2143" s="644" t="s">
        <v>1700</v>
      </c>
      <c r="C2143" s="645" t="s">
        <v>206</v>
      </c>
      <c r="D2143" s="422" t="s">
        <v>395</v>
      </c>
      <c r="E2143" s="423"/>
      <c r="F2143" s="424"/>
      <c r="G2143" s="425"/>
      <c r="H2143" s="651">
        <f>SUM(H2144:H2147)</f>
        <v>139.43295000000003</v>
      </c>
      <c r="I2143" s="420">
        <v>989.5</v>
      </c>
      <c r="J2143" s="420">
        <f>IF(ISBLANK(I2143),"",SUM(H2143:I2143))</f>
        <v>1128.9329500000001</v>
      </c>
      <c r="K2143" s="421">
        <f t="shared" si="549"/>
        <v>1341.29</v>
      </c>
      <c r="L2143" s="647" t="s">
        <v>19</v>
      </c>
      <c r="M2143" s="576"/>
      <c r="N2143" s="576">
        <f t="shared" si="559"/>
        <v>0</v>
      </c>
      <c r="O2143" s="577">
        <f t="shared" si="552"/>
        <v>0</v>
      </c>
      <c r="P2143" s="578">
        <f t="shared" si="553"/>
        <v>0</v>
      </c>
      <c r="Q2143" s="765"/>
      <c r="R2143" s="576">
        <f>M2143</f>
        <v>0</v>
      </c>
      <c r="S2143" s="576">
        <f>N2143</f>
        <v>0</v>
      </c>
      <c r="T2143" s="577">
        <f t="shared" si="550"/>
        <v>0</v>
      </c>
      <c r="U2143" s="578">
        <f t="shared" si="551"/>
        <v>0</v>
      </c>
      <c r="V2143" s="579"/>
      <c r="W2143" s="566"/>
      <c r="X2143" s="586" t="str">
        <f t="shared" si="556"/>
        <v/>
      </c>
      <c r="Y2143" s="586" t="str">
        <f t="shared" si="531"/>
        <v/>
      </c>
      <c r="Z2143" s="586" t="str">
        <f t="shared" si="542"/>
        <v/>
      </c>
    </row>
    <row r="2144" spans="1:26" ht="12" hidden="1" thickBot="1" x14ac:dyDescent="0.25">
      <c r="A2144" s="567" t="s">
        <v>168</v>
      </c>
      <c r="B2144" s="644" t="s">
        <v>168</v>
      </c>
      <c r="C2144" s="645"/>
      <c r="D2144" s="422" t="s">
        <v>212</v>
      </c>
      <c r="E2144" s="423"/>
      <c r="F2144" s="424">
        <v>500</v>
      </c>
      <c r="G2144" s="425">
        <v>9.1700000000000004E-2</v>
      </c>
      <c r="H2144" s="649">
        <f>IF(F2144&lt;=30,(0.78*F2144+7.82)*G2144,((0.78*30+7.82)+0.78*(F2144-30))*G2144)</f>
        <v>36.480094000000008</v>
      </c>
      <c r="I2144" s="420"/>
      <c r="J2144" s="420"/>
      <c r="K2144" s="421">
        <f t="shared" si="549"/>
        <v>0</v>
      </c>
      <c r="L2144" s="647"/>
      <c r="M2144" s="723"/>
      <c r="N2144" s="576">
        <f t="shared" si="559"/>
        <v>0</v>
      </c>
      <c r="O2144" s="577">
        <f t="shared" si="552"/>
        <v>0</v>
      </c>
      <c r="P2144" s="578">
        <f t="shared" si="553"/>
        <v>0</v>
      </c>
      <c r="Q2144" s="765"/>
      <c r="R2144" s="723"/>
      <c r="S2144" s="723"/>
      <c r="T2144" s="577">
        <f t="shared" si="550"/>
        <v>0</v>
      </c>
      <c r="U2144" s="578">
        <f t="shared" si="551"/>
        <v>0</v>
      </c>
      <c r="V2144" s="579"/>
      <c r="W2144" s="566" t="str">
        <f>IF(U2143&gt;0,"xx",IF(P2143&gt;0,"xy",""))</f>
        <v/>
      </c>
      <c r="X2144" s="586" t="str">
        <f t="shared" si="556"/>
        <v/>
      </c>
      <c r="Y2144" s="586" t="str">
        <f t="shared" si="531"/>
        <v/>
      </c>
      <c r="Z2144" s="586" t="str">
        <f t="shared" si="542"/>
        <v/>
      </c>
    </row>
    <row r="2145" spans="1:26" ht="12" hidden="1" thickBot="1" x14ac:dyDescent="0.25">
      <c r="A2145" s="567" t="s">
        <v>168</v>
      </c>
      <c r="B2145" s="644" t="s">
        <v>168</v>
      </c>
      <c r="C2145" s="645"/>
      <c r="D2145" s="422" t="s">
        <v>248</v>
      </c>
      <c r="E2145" s="423"/>
      <c r="F2145" s="424">
        <v>180</v>
      </c>
      <c r="G2145" s="425">
        <v>0.33429999999999999</v>
      </c>
      <c r="H2145" s="663">
        <f t="shared" ref="H2145:H2147" si="562">IF(F2145&lt;=30,(1.07*F2145+2.68)*G2145,((1.07*30+2.68)+1.07*(F2145-30))*G2145)</f>
        <v>65.282104000000004</v>
      </c>
      <c r="I2145" s="420"/>
      <c r="J2145" s="420"/>
      <c r="K2145" s="421">
        <f t="shared" si="549"/>
        <v>0</v>
      </c>
      <c r="L2145" s="647"/>
      <c r="M2145" s="723"/>
      <c r="N2145" s="576">
        <f t="shared" si="559"/>
        <v>0</v>
      </c>
      <c r="O2145" s="577">
        <f t="shared" si="552"/>
        <v>0</v>
      </c>
      <c r="P2145" s="578">
        <f t="shared" si="553"/>
        <v>0</v>
      </c>
      <c r="Q2145" s="765"/>
      <c r="R2145" s="723"/>
      <c r="S2145" s="723"/>
      <c r="T2145" s="577">
        <f t="shared" si="550"/>
        <v>0</v>
      </c>
      <c r="U2145" s="578">
        <f t="shared" si="551"/>
        <v>0</v>
      </c>
      <c r="V2145" s="579"/>
      <c r="W2145" s="566" t="str">
        <f>IF(U2143&gt;0,"xx",IF(P2143&gt;0,"xy",""))</f>
        <v/>
      </c>
      <c r="X2145" s="586" t="str">
        <f t="shared" si="556"/>
        <v/>
      </c>
      <c r="Y2145" s="586" t="str">
        <f t="shared" si="531"/>
        <v/>
      </c>
      <c r="Z2145" s="586" t="str">
        <f t="shared" si="542"/>
        <v/>
      </c>
    </row>
    <row r="2146" spans="1:26" ht="12" hidden="1" thickBot="1" x14ac:dyDescent="0.25">
      <c r="A2146" s="567" t="s">
        <v>168</v>
      </c>
      <c r="B2146" s="644" t="s">
        <v>168</v>
      </c>
      <c r="C2146" s="645"/>
      <c r="D2146" s="422" t="s">
        <v>252</v>
      </c>
      <c r="E2146" s="423"/>
      <c r="F2146" s="424">
        <v>20</v>
      </c>
      <c r="G2146" s="425">
        <v>0.56440000000000001</v>
      </c>
      <c r="H2146" s="663">
        <f t="shared" si="562"/>
        <v>13.590752000000002</v>
      </c>
      <c r="I2146" s="420"/>
      <c r="J2146" s="420"/>
      <c r="K2146" s="421">
        <f t="shared" si="549"/>
        <v>0</v>
      </c>
      <c r="L2146" s="647"/>
      <c r="M2146" s="723"/>
      <c r="N2146" s="576">
        <f t="shared" si="559"/>
        <v>0</v>
      </c>
      <c r="O2146" s="577">
        <f t="shared" si="552"/>
        <v>0</v>
      </c>
      <c r="P2146" s="578">
        <f t="shared" si="553"/>
        <v>0</v>
      </c>
      <c r="Q2146" s="765"/>
      <c r="R2146" s="723"/>
      <c r="S2146" s="723"/>
      <c r="T2146" s="577">
        <f t="shared" si="550"/>
        <v>0</v>
      </c>
      <c r="U2146" s="578">
        <f t="shared" si="551"/>
        <v>0</v>
      </c>
      <c r="V2146" s="579"/>
      <c r="W2146" s="566" t="str">
        <f>IF(U2143&gt;0,"xx",IF(P2143&gt;0,"xy",""))</f>
        <v/>
      </c>
      <c r="X2146" s="586" t="str">
        <f t="shared" si="556"/>
        <v/>
      </c>
      <c r="Y2146" s="586" t="str">
        <f t="shared" si="531"/>
        <v/>
      </c>
      <c r="Z2146" s="586" t="str">
        <f t="shared" si="542"/>
        <v/>
      </c>
    </row>
    <row r="2147" spans="1:26" ht="12" hidden="1" thickBot="1" x14ac:dyDescent="0.25">
      <c r="A2147" s="567" t="s">
        <v>168</v>
      </c>
      <c r="B2147" s="644" t="s">
        <v>168</v>
      </c>
      <c r="C2147" s="645"/>
      <c r="D2147" s="422" t="s">
        <v>347</v>
      </c>
      <c r="E2147" s="423"/>
      <c r="F2147" s="424">
        <v>20</v>
      </c>
      <c r="G2147" s="425">
        <v>1</v>
      </c>
      <c r="H2147" s="663">
        <f t="shared" si="562"/>
        <v>24.080000000000002</v>
      </c>
      <c r="I2147" s="420"/>
      <c r="J2147" s="420"/>
      <c r="K2147" s="421">
        <f t="shared" si="549"/>
        <v>0</v>
      </c>
      <c r="L2147" s="647"/>
      <c r="M2147" s="723"/>
      <c r="N2147" s="576">
        <f t="shared" si="559"/>
        <v>0</v>
      </c>
      <c r="O2147" s="577">
        <f t="shared" si="552"/>
        <v>0</v>
      </c>
      <c r="P2147" s="578">
        <f t="shared" si="553"/>
        <v>0</v>
      </c>
      <c r="Q2147" s="765"/>
      <c r="R2147" s="723"/>
      <c r="S2147" s="723"/>
      <c r="T2147" s="577">
        <f t="shared" si="550"/>
        <v>0</v>
      </c>
      <c r="U2147" s="578">
        <f t="shared" si="551"/>
        <v>0</v>
      </c>
      <c r="V2147" s="579"/>
      <c r="W2147" s="566" t="str">
        <f>IF(U2143&gt;0,"xx",IF(P2143&gt;0,"xy",""))</f>
        <v/>
      </c>
      <c r="X2147" s="586" t="str">
        <f t="shared" si="556"/>
        <v/>
      </c>
      <c r="Y2147" s="586" t="str">
        <f t="shared" si="531"/>
        <v/>
      </c>
      <c r="Z2147" s="586" t="str">
        <f t="shared" si="542"/>
        <v/>
      </c>
    </row>
    <row r="2148" spans="1:26" ht="12" hidden="1" thickBot="1" x14ac:dyDescent="0.25">
      <c r="A2148" s="567">
        <v>611300</v>
      </c>
      <c r="B2148" s="644">
        <v>611300</v>
      </c>
      <c r="C2148" s="645" t="s">
        <v>206</v>
      </c>
      <c r="D2148" s="422" t="s">
        <v>396</v>
      </c>
      <c r="E2148" s="423"/>
      <c r="F2148" s="424"/>
      <c r="G2148" s="425"/>
      <c r="H2148" s="651">
        <f>SUM(H2149:H2152)</f>
        <v>194.57126400000004</v>
      </c>
      <c r="I2148" s="420">
        <v>1318.96</v>
      </c>
      <c r="J2148" s="420">
        <f>IF(ISBLANK(I2148),"",SUM(H2148:I2148))</f>
        <v>1513.5312640000002</v>
      </c>
      <c r="K2148" s="421">
        <f t="shared" si="549"/>
        <v>1798.23</v>
      </c>
      <c r="L2148" s="647" t="s">
        <v>19</v>
      </c>
      <c r="M2148" s="576"/>
      <c r="N2148" s="576">
        <f t="shared" si="559"/>
        <v>0</v>
      </c>
      <c r="O2148" s="577">
        <f t="shared" si="552"/>
        <v>0</v>
      </c>
      <c r="P2148" s="578">
        <f t="shared" si="553"/>
        <v>0</v>
      </c>
      <c r="Q2148" s="765"/>
      <c r="R2148" s="576">
        <f>M2148</f>
        <v>0</v>
      </c>
      <c r="S2148" s="576">
        <f>N2148</f>
        <v>0</v>
      </c>
      <c r="T2148" s="577">
        <f t="shared" si="550"/>
        <v>0</v>
      </c>
      <c r="U2148" s="578">
        <f t="shared" si="551"/>
        <v>0</v>
      </c>
      <c r="V2148" s="579"/>
      <c r="W2148" s="566"/>
      <c r="X2148" s="586" t="str">
        <f t="shared" si="556"/>
        <v/>
      </c>
      <c r="Y2148" s="586" t="str">
        <f t="shared" si="531"/>
        <v/>
      </c>
      <c r="Z2148" s="586" t="str">
        <f t="shared" si="542"/>
        <v/>
      </c>
    </row>
    <row r="2149" spans="1:26" ht="12" hidden="1" thickBot="1" x14ac:dyDescent="0.25">
      <c r="A2149" s="567" t="s">
        <v>168</v>
      </c>
      <c r="B2149" s="644" t="s">
        <v>168</v>
      </c>
      <c r="C2149" s="645"/>
      <c r="D2149" s="422" t="s">
        <v>212</v>
      </c>
      <c r="E2149" s="423"/>
      <c r="F2149" s="424">
        <v>500</v>
      </c>
      <c r="G2149" s="425">
        <v>0.12720000000000001</v>
      </c>
      <c r="H2149" s="649">
        <f>IF(F2149&lt;=30,(0.78*F2149+7.82)*G2149,((0.78*30+7.82)+0.78*(F2149-30))*G2149)</f>
        <v>50.60270400000001</v>
      </c>
      <c r="I2149" s="420"/>
      <c r="J2149" s="420"/>
      <c r="K2149" s="421">
        <f t="shared" si="549"/>
        <v>0</v>
      </c>
      <c r="L2149" s="647"/>
      <c r="M2149" s="723"/>
      <c r="N2149" s="576">
        <f t="shared" si="559"/>
        <v>0</v>
      </c>
      <c r="O2149" s="577">
        <f t="shared" si="552"/>
        <v>0</v>
      </c>
      <c r="P2149" s="578">
        <f t="shared" si="553"/>
        <v>0</v>
      </c>
      <c r="Q2149" s="765"/>
      <c r="R2149" s="723"/>
      <c r="S2149" s="723"/>
      <c r="T2149" s="577">
        <f t="shared" si="550"/>
        <v>0</v>
      </c>
      <c r="U2149" s="578">
        <f t="shared" si="551"/>
        <v>0</v>
      </c>
      <c r="V2149" s="579"/>
      <c r="W2149" s="566" t="str">
        <f>IF(U2148&gt;0,"xx",IF(P2148&gt;0,"xy",""))</f>
        <v/>
      </c>
      <c r="X2149" s="586" t="str">
        <f t="shared" si="556"/>
        <v/>
      </c>
      <c r="Y2149" s="586" t="str">
        <f t="shared" si="531"/>
        <v/>
      </c>
      <c r="Z2149" s="586" t="str">
        <f t="shared" si="542"/>
        <v/>
      </c>
    </row>
    <row r="2150" spans="1:26" ht="12" hidden="1" thickBot="1" x14ac:dyDescent="0.25">
      <c r="A2150" s="567" t="s">
        <v>168</v>
      </c>
      <c r="B2150" s="644" t="s">
        <v>168</v>
      </c>
      <c r="C2150" s="645"/>
      <c r="D2150" s="422" t="s">
        <v>248</v>
      </c>
      <c r="E2150" s="423"/>
      <c r="F2150" s="424">
        <v>180</v>
      </c>
      <c r="G2150" s="425">
        <v>0.46300000000000002</v>
      </c>
      <c r="H2150" s="663">
        <f t="shared" ref="H2150:H2152" si="563">IF(F2150&lt;=30,(1.07*F2150+2.68)*G2150,((1.07*30+2.68)+1.07*(F2150-30))*G2150)</f>
        <v>90.414640000000006</v>
      </c>
      <c r="I2150" s="420"/>
      <c r="J2150" s="420"/>
      <c r="K2150" s="421">
        <f t="shared" si="549"/>
        <v>0</v>
      </c>
      <c r="L2150" s="647"/>
      <c r="M2150" s="723"/>
      <c r="N2150" s="576">
        <f t="shared" si="559"/>
        <v>0</v>
      </c>
      <c r="O2150" s="577">
        <f t="shared" si="552"/>
        <v>0</v>
      </c>
      <c r="P2150" s="578">
        <f t="shared" si="553"/>
        <v>0</v>
      </c>
      <c r="Q2150" s="765"/>
      <c r="R2150" s="723"/>
      <c r="S2150" s="723"/>
      <c r="T2150" s="577">
        <f t="shared" si="550"/>
        <v>0</v>
      </c>
      <c r="U2150" s="578">
        <f t="shared" si="551"/>
        <v>0</v>
      </c>
      <c r="V2150" s="579"/>
      <c r="W2150" s="566" t="str">
        <f>IF(U2148&gt;0,"xx",IF(P2148&gt;0,"xy",""))</f>
        <v/>
      </c>
      <c r="X2150" s="586" t="str">
        <f t="shared" si="556"/>
        <v/>
      </c>
      <c r="Y2150" s="586" t="str">
        <f t="shared" si="531"/>
        <v/>
      </c>
      <c r="Z2150" s="586" t="str">
        <f t="shared" si="542"/>
        <v/>
      </c>
    </row>
    <row r="2151" spans="1:26" ht="12" hidden="1" thickBot="1" x14ac:dyDescent="0.25">
      <c r="A2151" s="567" t="s">
        <v>168</v>
      </c>
      <c r="B2151" s="644" t="s">
        <v>168</v>
      </c>
      <c r="C2151" s="645"/>
      <c r="D2151" s="422" t="s">
        <v>252</v>
      </c>
      <c r="E2151" s="423"/>
      <c r="F2151" s="424">
        <v>20</v>
      </c>
      <c r="G2151" s="425">
        <v>0.78400000000000003</v>
      </c>
      <c r="H2151" s="663">
        <f t="shared" si="563"/>
        <v>18.878720000000001</v>
      </c>
      <c r="I2151" s="420"/>
      <c r="J2151" s="420"/>
      <c r="K2151" s="421">
        <f t="shared" si="549"/>
        <v>0</v>
      </c>
      <c r="L2151" s="647"/>
      <c r="M2151" s="723"/>
      <c r="N2151" s="576">
        <f t="shared" si="559"/>
        <v>0</v>
      </c>
      <c r="O2151" s="577">
        <f t="shared" si="552"/>
        <v>0</v>
      </c>
      <c r="P2151" s="578">
        <f t="shared" si="553"/>
        <v>0</v>
      </c>
      <c r="Q2151" s="765"/>
      <c r="R2151" s="723"/>
      <c r="S2151" s="723"/>
      <c r="T2151" s="577">
        <f t="shared" si="550"/>
        <v>0</v>
      </c>
      <c r="U2151" s="578">
        <f t="shared" si="551"/>
        <v>0</v>
      </c>
      <c r="V2151" s="579"/>
      <c r="W2151" s="566" t="str">
        <f>IF(U2148&gt;0,"xx",IF(P2148&gt;0,"xy",""))</f>
        <v/>
      </c>
      <c r="X2151" s="586" t="str">
        <f t="shared" si="556"/>
        <v/>
      </c>
      <c r="Y2151" s="586" t="str">
        <f t="shared" si="531"/>
        <v/>
      </c>
      <c r="Z2151" s="586" t="str">
        <f t="shared" si="542"/>
        <v/>
      </c>
    </row>
    <row r="2152" spans="1:26" ht="12" hidden="1" thickBot="1" x14ac:dyDescent="0.25">
      <c r="A2152" s="567" t="s">
        <v>168</v>
      </c>
      <c r="B2152" s="644" t="s">
        <v>168</v>
      </c>
      <c r="C2152" s="645"/>
      <c r="D2152" s="422" t="s">
        <v>347</v>
      </c>
      <c r="E2152" s="423"/>
      <c r="F2152" s="424">
        <v>20</v>
      </c>
      <c r="G2152" s="425">
        <v>1.44</v>
      </c>
      <c r="H2152" s="663">
        <f t="shared" si="563"/>
        <v>34.675200000000004</v>
      </c>
      <c r="I2152" s="420"/>
      <c r="J2152" s="420"/>
      <c r="K2152" s="421">
        <f t="shared" si="549"/>
        <v>0</v>
      </c>
      <c r="L2152" s="647"/>
      <c r="M2152" s="723"/>
      <c r="N2152" s="576">
        <f t="shared" si="559"/>
        <v>0</v>
      </c>
      <c r="O2152" s="577">
        <f t="shared" si="552"/>
        <v>0</v>
      </c>
      <c r="P2152" s="578">
        <f t="shared" si="553"/>
        <v>0</v>
      </c>
      <c r="Q2152" s="765"/>
      <c r="R2152" s="723"/>
      <c r="S2152" s="723"/>
      <c r="T2152" s="577">
        <f t="shared" si="550"/>
        <v>0</v>
      </c>
      <c r="U2152" s="578">
        <f t="shared" si="551"/>
        <v>0</v>
      </c>
      <c r="V2152" s="579"/>
      <c r="W2152" s="566" t="str">
        <f>IF(U2148&gt;0,"xx",IF(P2148&gt;0,"xy",""))</f>
        <v/>
      </c>
      <c r="X2152" s="586" t="str">
        <f t="shared" si="556"/>
        <v/>
      </c>
      <c r="Y2152" s="586" t="str">
        <f t="shared" si="531"/>
        <v/>
      </c>
      <c r="Z2152" s="586" t="str">
        <f t="shared" ref="Z2152:Z2215" si="564">IF(W2152="X","x",IF(U2152&gt;0,"x",""))</f>
        <v/>
      </c>
    </row>
    <row r="2153" spans="1:26" ht="12" hidden="1" thickBot="1" x14ac:dyDescent="0.25">
      <c r="A2153" s="567">
        <v>611500</v>
      </c>
      <c r="B2153" s="644" t="s">
        <v>1701</v>
      </c>
      <c r="C2153" s="645" t="s">
        <v>206</v>
      </c>
      <c r="D2153" s="422" t="s">
        <v>397</v>
      </c>
      <c r="E2153" s="423"/>
      <c r="F2153" s="424"/>
      <c r="G2153" s="425"/>
      <c r="H2153" s="651">
        <f>SUM(H2154:H2157)</f>
        <v>274.56131600000003</v>
      </c>
      <c r="I2153" s="420">
        <v>1721.3</v>
      </c>
      <c r="J2153" s="420">
        <f>IF(ISBLANK(I2153),"",SUM(H2153:I2153))</f>
        <v>1995.861316</v>
      </c>
      <c r="K2153" s="421">
        <f t="shared" si="549"/>
        <v>2371.2800000000002</v>
      </c>
      <c r="L2153" s="647" t="s">
        <v>19</v>
      </c>
      <c r="M2153" s="576"/>
      <c r="N2153" s="576">
        <f t="shared" si="559"/>
        <v>0</v>
      </c>
      <c r="O2153" s="577">
        <f t="shared" si="552"/>
        <v>0</v>
      </c>
      <c r="P2153" s="578">
        <f t="shared" si="553"/>
        <v>0</v>
      </c>
      <c r="Q2153" s="765"/>
      <c r="R2153" s="576">
        <f>M2153</f>
        <v>0</v>
      </c>
      <c r="S2153" s="576">
        <f>N2153</f>
        <v>0</v>
      </c>
      <c r="T2153" s="577">
        <f t="shared" si="550"/>
        <v>0</v>
      </c>
      <c r="U2153" s="578">
        <f t="shared" si="551"/>
        <v>0</v>
      </c>
      <c r="V2153" s="579"/>
      <c r="W2153" s="566"/>
      <c r="X2153" s="586" t="str">
        <f t="shared" si="556"/>
        <v/>
      </c>
      <c r="Y2153" s="586" t="str">
        <f t="shared" si="531"/>
        <v/>
      </c>
      <c r="Z2153" s="586" t="str">
        <f t="shared" si="564"/>
        <v/>
      </c>
    </row>
    <row r="2154" spans="1:26" ht="12" hidden="1" thickBot="1" x14ac:dyDescent="0.25">
      <c r="A2154" s="567" t="s">
        <v>168</v>
      </c>
      <c r="B2154" s="644" t="s">
        <v>168</v>
      </c>
      <c r="C2154" s="645"/>
      <c r="D2154" s="422" t="s">
        <v>212</v>
      </c>
      <c r="E2154" s="423"/>
      <c r="F2154" s="424">
        <v>500</v>
      </c>
      <c r="G2154" s="425">
        <v>0.187</v>
      </c>
      <c r="H2154" s="649">
        <f>IF(F2154&lt;=30,(0.78*F2154+7.82)*G2154,((0.78*30+7.82)+0.78*(F2154-30))*G2154)</f>
        <v>74.392340000000004</v>
      </c>
      <c r="I2154" s="420"/>
      <c r="J2154" s="420"/>
      <c r="K2154" s="421">
        <f t="shared" si="549"/>
        <v>0</v>
      </c>
      <c r="L2154" s="647"/>
      <c r="M2154" s="723"/>
      <c r="N2154" s="576">
        <f t="shared" si="559"/>
        <v>0</v>
      </c>
      <c r="O2154" s="577">
        <f t="shared" si="552"/>
        <v>0</v>
      </c>
      <c r="P2154" s="578">
        <f t="shared" si="553"/>
        <v>0</v>
      </c>
      <c r="Q2154" s="765"/>
      <c r="R2154" s="723"/>
      <c r="S2154" s="723"/>
      <c r="T2154" s="577">
        <f t="shared" si="550"/>
        <v>0</v>
      </c>
      <c r="U2154" s="578">
        <f t="shared" si="551"/>
        <v>0</v>
      </c>
      <c r="V2154" s="579"/>
      <c r="W2154" s="566" t="str">
        <f>IF(U2153&gt;0,"xx",IF(P2153&gt;0,"xy",""))</f>
        <v/>
      </c>
      <c r="X2154" s="586" t="str">
        <f t="shared" si="556"/>
        <v/>
      </c>
      <c r="Y2154" s="586" t="str">
        <f t="shared" si="531"/>
        <v/>
      </c>
      <c r="Z2154" s="586" t="str">
        <f t="shared" si="564"/>
        <v/>
      </c>
    </row>
    <row r="2155" spans="1:26" ht="12" hidden="1" thickBot="1" x14ac:dyDescent="0.25">
      <c r="A2155" s="567" t="s">
        <v>168</v>
      </c>
      <c r="B2155" s="644" t="s">
        <v>168</v>
      </c>
      <c r="C2155" s="645"/>
      <c r="D2155" s="422" t="s">
        <v>248</v>
      </c>
      <c r="E2155" s="423"/>
      <c r="F2155" s="424">
        <v>180</v>
      </c>
      <c r="G2155" s="425">
        <v>0.67830000000000001</v>
      </c>
      <c r="H2155" s="663">
        <f t="shared" ref="H2155:H2157" si="565">IF(F2155&lt;=30,(1.07*F2155+2.68)*G2155,((1.07*30+2.68)+1.07*(F2155-30))*G2155)</f>
        <v>132.45842400000001</v>
      </c>
      <c r="I2155" s="420"/>
      <c r="J2155" s="420"/>
      <c r="K2155" s="421">
        <f t="shared" si="549"/>
        <v>0</v>
      </c>
      <c r="L2155" s="647"/>
      <c r="M2155" s="723"/>
      <c r="N2155" s="576">
        <f t="shared" si="559"/>
        <v>0</v>
      </c>
      <c r="O2155" s="577">
        <f t="shared" si="552"/>
        <v>0</v>
      </c>
      <c r="P2155" s="578">
        <f t="shared" si="553"/>
        <v>0</v>
      </c>
      <c r="Q2155" s="765"/>
      <c r="R2155" s="723"/>
      <c r="S2155" s="723"/>
      <c r="T2155" s="577">
        <f t="shared" si="550"/>
        <v>0</v>
      </c>
      <c r="U2155" s="578">
        <f t="shared" si="551"/>
        <v>0</v>
      </c>
      <c r="V2155" s="579"/>
      <c r="W2155" s="566" t="str">
        <f>IF(U2153&gt;0,"xx",IF(P2153&gt;0,"xy",""))</f>
        <v/>
      </c>
      <c r="X2155" s="586" t="str">
        <f t="shared" si="556"/>
        <v/>
      </c>
      <c r="Y2155" s="586" t="str">
        <f t="shared" si="531"/>
        <v/>
      </c>
      <c r="Z2155" s="586" t="str">
        <f t="shared" si="564"/>
        <v/>
      </c>
    </row>
    <row r="2156" spans="1:26" ht="12" hidden="1" thickBot="1" x14ac:dyDescent="0.25">
      <c r="A2156" s="567" t="s">
        <v>168</v>
      </c>
      <c r="B2156" s="644" t="s">
        <v>168</v>
      </c>
      <c r="C2156" s="645"/>
      <c r="D2156" s="422" t="s">
        <v>252</v>
      </c>
      <c r="E2156" s="423"/>
      <c r="F2156" s="424">
        <v>20</v>
      </c>
      <c r="G2156" s="425">
        <v>1.1618999999999999</v>
      </c>
      <c r="H2156" s="663">
        <f t="shared" si="565"/>
        <v>27.978552000000001</v>
      </c>
      <c r="I2156" s="420"/>
      <c r="J2156" s="420"/>
      <c r="K2156" s="421">
        <f t="shared" si="549"/>
        <v>0</v>
      </c>
      <c r="L2156" s="647"/>
      <c r="M2156" s="723"/>
      <c r="N2156" s="576">
        <f t="shared" si="559"/>
        <v>0</v>
      </c>
      <c r="O2156" s="577">
        <f t="shared" si="552"/>
        <v>0</v>
      </c>
      <c r="P2156" s="578">
        <f t="shared" si="553"/>
        <v>0</v>
      </c>
      <c r="Q2156" s="765"/>
      <c r="R2156" s="723"/>
      <c r="S2156" s="723"/>
      <c r="T2156" s="577">
        <f t="shared" si="550"/>
        <v>0</v>
      </c>
      <c r="U2156" s="578">
        <f t="shared" si="551"/>
        <v>0</v>
      </c>
      <c r="V2156" s="579"/>
      <c r="W2156" s="566" t="str">
        <f>IF(U2153&gt;0,"xx",IF(P2153&gt;0,"xy",""))</f>
        <v/>
      </c>
      <c r="X2156" s="586" t="str">
        <f t="shared" si="556"/>
        <v/>
      </c>
      <c r="Y2156" s="586" t="str">
        <f t="shared" si="531"/>
        <v/>
      </c>
      <c r="Z2156" s="586" t="str">
        <f t="shared" si="564"/>
        <v/>
      </c>
    </row>
    <row r="2157" spans="1:26" ht="12" hidden="1" thickBot="1" x14ac:dyDescent="0.25">
      <c r="A2157" s="567" t="s">
        <v>168</v>
      </c>
      <c r="B2157" s="644" t="s">
        <v>168</v>
      </c>
      <c r="C2157" s="645"/>
      <c r="D2157" s="422" t="s">
        <v>347</v>
      </c>
      <c r="E2157" s="423"/>
      <c r="F2157" s="424">
        <v>20</v>
      </c>
      <c r="G2157" s="425">
        <v>1.65</v>
      </c>
      <c r="H2157" s="663">
        <f t="shared" si="565"/>
        <v>39.731999999999999</v>
      </c>
      <c r="I2157" s="420"/>
      <c r="J2157" s="420"/>
      <c r="K2157" s="421">
        <f t="shared" si="549"/>
        <v>0</v>
      </c>
      <c r="L2157" s="647"/>
      <c r="M2157" s="723"/>
      <c r="N2157" s="576">
        <f t="shared" si="559"/>
        <v>0</v>
      </c>
      <c r="O2157" s="577">
        <f t="shared" si="552"/>
        <v>0</v>
      </c>
      <c r="P2157" s="578">
        <f t="shared" si="553"/>
        <v>0</v>
      </c>
      <c r="Q2157" s="765"/>
      <c r="R2157" s="723"/>
      <c r="S2157" s="723"/>
      <c r="T2157" s="577">
        <f t="shared" si="550"/>
        <v>0</v>
      </c>
      <c r="U2157" s="578">
        <f t="shared" si="551"/>
        <v>0</v>
      </c>
      <c r="V2157" s="579"/>
      <c r="W2157" s="566" t="str">
        <f>IF(U2153&gt;0,"xx",IF(P2153&gt;0,"xy",""))</f>
        <v/>
      </c>
      <c r="X2157" s="586" t="str">
        <f t="shared" si="556"/>
        <v/>
      </c>
      <c r="Y2157" s="586" t="str">
        <f t="shared" si="531"/>
        <v/>
      </c>
      <c r="Z2157" s="586" t="str">
        <f t="shared" si="564"/>
        <v/>
      </c>
    </row>
    <row r="2158" spans="1:26" ht="12" hidden="1" thickBot="1" x14ac:dyDescent="0.25">
      <c r="A2158" s="567">
        <v>611500</v>
      </c>
      <c r="B2158" s="644" t="s">
        <v>1702</v>
      </c>
      <c r="C2158" s="645" t="s">
        <v>206</v>
      </c>
      <c r="D2158" s="422" t="s">
        <v>398</v>
      </c>
      <c r="E2158" s="423"/>
      <c r="F2158" s="424"/>
      <c r="G2158" s="425"/>
      <c r="H2158" s="651">
        <f>SUM(H2159:H2162)</f>
        <v>377.75290999999999</v>
      </c>
      <c r="I2158" s="420">
        <v>2241.7736</v>
      </c>
      <c r="J2158" s="420">
        <f>IF(ISBLANK(I2158),"",SUM(H2158:I2158))</f>
        <v>2619.5265100000001</v>
      </c>
      <c r="K2158" s="421">
        <f t="shared" si="549"/>
        <v>3112.26</v>
      </c>
      <c r="L2158" s="647" t="s">
        <v>19</v>
      </c>
      <c r="M2158" s="576"/>
      <c r="N2158" s="576">
        <f t="shared" si="559"/>
        <v>0</v>
      </c>
      <c r="O2158" s="577">
        <f t="shared" si="552"/>
        <v>0</v>
      </c>
      <c r="P2158" s="578">
        <f t="shared" si="553"/>
        <v>0</v>
      </c>
      <c r="Q2158" s="765"/>
      <c r="R2158" s="576">
        <f>M2158</f>
        <v>0</v>
      </c>
      <c r="S2158" s="576">
        <f>N2158</f>
        <v>0</v>
      </c>
      <c r="T2158" s="577">
        <f t="shared" si="550"/>
        <v>0</v>
      </c>
      <c r="U2158" s="578">
        <f t="shared" si="551"/>
        <v>0</v>
      </c>
      <c r="V2158" s="579"/>
      <c r="W2158" s="566"/>
      <c r="X2158" s="586" t="str">
        <f t="shared" si="556"/>
        <v/>
      </c>
      <c r="Y2158" s="586" t="str">
        <f t="shared" si="531"/>
        <v/>
      </c>
      <c r="Z2158" s="586" t="str">
        <f t="shared" si="564"/>
        <v/>
      </c>
    </row>
    <row r="2159" spans="1:26" ht="12" hidden="1" thickBot="1" x14ac:dyDescent="0.25">
      <c r="A2159" s="567" t="s">
        <v>168</v>
      </c>
      <c r="B2159" s="644" t="s">
        <v>168</v>
      </c>
      <c r="C2159" s="645"/>
      <c r="D2159" s="422" t="s">
        <v>212</v>
      </c>
      <c r="E2159" s="423"/>
      <c r="F2159" s="424">
        <v>500</v>
      </c>
      <c r="G2159" s="425">
        <v>0.27410000000000001</v>
      </c>
      <c r="H2159" s="649">
        <f>IF(F2159&lt;=30,(0.78*F2159+7.82)*G2159,((0.78*30+7.82)+0.78*(F2159-30))*G2159)</f>
        <v>109.04246200000001</v>
      </c>
      <c r="I2159" s="420"/>
      <c r="J2159" s="420"/>
      <c r="K2159" s="421">
        <f t="shared" si="549"/>
        <v>0</v>
      </c>
      <c r="L2159" s="647"/>
      <c r="M2159" s="723"/>
      <c r="N2159" s="576">
        <f t="shared" si="559"/>
        <v>0</v>
      </c>
      <c r="O2159" s="577">
        <f t="shared" si="552"/>
        <v>0</v>
      </c>
      <c r="P2159" s="578">
        <f t="shared" si="553"/>
        <v>0</v>
      </c>
      <c r="Q2159" s="765"/>
      <c r="R2159" s="723"/>
      <c r="S2159" s="723"/>
      <c r="T2159" s="577">
        <f t="shared" si="550"/>
        <v>0</v>
      </c>
      <c r="U2159" s="578">
        <f t="shared" si="551"/>
        <v>0</v>
      </c>
      <c r="V2159" s="579"/>
      <c r="W2159" s="566" t="str">
        <f>IF(U2158&gt;0,"xx",IF(P2158&gt;0,"xy",""))</f>
        <v/>
      </c>
      <c r="X2159" s="586" t="str">
        <f t="shared" si="556"/>
        <v/>
      </c>
      <c r="Y2159" s="586" t="str">
        <f t="shared" si="531"/>
        <v/>
      </c>
      <c r="Z2159" s="586" t="str">
        <f t="shared" si="564"/>
        <v/>
      </c>
    </row>
    <row r="2160" spans="1:26" ht="12" hidden="1" thickBot="1" x14ac:dyDescent="0.25">
      <c r="A2160" s="567" t="s">
        <v>168</v>
      </c>
      <c r="B2160" s="644" t="s">
        <v>168</v>
      </c>
      <c r="C2160" s="645"/>
      <c r="D2160" s="422" t="s">
        <v>248</v>
      </c>
      <c r="E2160" s="423"/>
      <c r="F2160" s="424">
        <v>180</v>
      </c>
      <c r="G2160" s="425">
        <v>0.9748</v>
      </c>
      <c r="H2160" s="663">
        <f t="shared" ref="H2160:H2162" si="566">IF(F2160&lt;=30,(1.07*F2160+2.68)*G2160,((1.07*30+2.68)+1.07*(F2160-30))*G2160)</f>
        <v>190.35894400000001</v>
      </c>
      <c r="I2160" s="420"/>
      <c r="J2160" s="420"/>
      <c r="K2160" s="421">
        <f t="shared" si="549"/>
        <v>0</v>
      </c>
      <c r="L2160" s="647"/>
      <c r="M2160" s="723"/>
      <c r="N2160" s="576">
        <f t="shared" si="559"/>
        <v>0</v>
      </c>
      <c r="O2160" s="577">
        <f t="shared" si="552"/>
        <v>0</v>
      </c>
      <c r="P2160" s="578">
        <f t="shared" si="553"/>
        <v>0</v>
      </c>
      <c r="Q2160" s="765"/>
      <c r="R2160" s="723"/>
      <c r="S2160" s="723"/>
      <c r="T2160" s="577">
        <f t="shared" si="550"/>
        <v>0</v>
      </c>
      <c r="U2160" s="578">
        <f t="shared" si="551"/>
        <v>0</v>
      </c>
      <c r="V2160" s="579"/>
      <c r="W2160" s="566" t="str">
        <f>IF(U2158&gt;0,"xx",IF(P2158&gt;0,"xy",""))</f>
        <v/>
      </c>
      <c r="X2160" s="586" t="str">
        <f t="shared" si="556"/>
        <v/>
      </c>
      <c r="Y2160" s="586" t="str">
        <f t="shared" si="531"/>
        <v/>
      </c>
      <c r="Z2160" s="586" t="str">
        <f t="shared" si="564"/>
        <v/>
      </c>
    </row>
    <row r="2161" spans="1:26" ht="12" hidden="1" thickBot="1" x14ac:dyDescent="0.25">
      <c r="A2161" s="567" t="s">
        <v>168</v>
      </c>
      <c r="B2161" s="644" t="s">
        <v>168</v>
      </c>
      <c r="C2161" s="645"/>
      <c r="D2161" s="422" t="s">
        <v>252</v>
      </c>
      <c r="E2161" s="423"/>
      <c r="F2161" s="424">
        <v>20</v>
      </c>
      <c r="G2161" s="425">
        <v>2.2538</v>
      </c>
      <c r="H2161" s="663">
        <f t="shared" si="566"/>
        <v>54.271504000000007</v>
      </c>
      <c r="I2161" s="420"/>
      <c r="J2161" s="420"/>
      <c r="K2161" s="421">
        <f t="shared" si="549"/>
        <v>0</v>
      </c>
      <c r="L2161" s="647"/>
      <c r="M2161" s="723"/>
      <c r="N2161" s="576">
        <f t="shared" si="559"/>
        <v>0</v>
      </c>
      <c r="O2161" s="577">
        <f t="shared" si="552"/>
        <v>0</v>
      </c>
      <c r="P2161" s="578">
        <f t="shared" si="553"/>
        <v>0</v>
      </c>
      <c r="Q2161" s="765"/>
      <c r="R2161" s="723"/>
      <c r="S2161" s="723"/>
      <c r="T2161" s="577">
        <f t="shared" si="550"/>
        <v>0</v>
      </c>
      <c r="U2161" s="578">
        <f t="shared" si="551"/>
        <v>0</v>
      </c>
      <c r="V2161" s="579"/>
      <c r="W2161" s="566" t="str">
        <f>IF(U2158&gt;0,"xx",IF(P2158&gt;0,"xy",""))</f>
        <v/>
      </c>
      <c r="X2161" s="586" t="str">
        <f t="shared" si="556"/>
        <v/>
      </c>
      <c r="Y2161" s="586" t="str">
        <f t="shared" si="531"/>
        <v/>
      </c>
      <c r="Z2161" s="586" t="str">
        <f t="shared" si="564"/>
        <v/>
      </c>
    </row>
    <row r="2162" spans="1:26" ht="12" hidden="1" thickBot="1" x14ac:dyDescent="0.25">
      <c r="A2162" s="567" t="s">
        <v>168</v>
      </c>
      <c r="B2162" s="644" t="s">
        <v>168</v>
      </c>
      <c r="C2162" s="645"/>
      <c r="D2162" s="422" t="s">
        <v>347</v>
      </c>
      <c r="E2162" s="423"/>
      <c r="F2162" s="424">
        <v>20</v>
      </c>
      <c r="G2162" s="425">
        <v>1</v>
      </c>
      <c r="H2162" s="663">
        <f t="shared" si="566"/>
        <v>24.080000000000002</v>
      </c>
      <c r="I2162" s="420"/>
      <c r="J2162" s="420"/>
      <c r="K2162" s="421">
        <f t="shared" si="549"/>
        <v>0</v>
      </c>
      <c r="L2162" s="647"/>
      <c r="M2162" s="723"/>
      <c r="N2162" s="576">
        <f t="shared" si="559"/>
        <v>0</v>
      </c>
      <c r="O2162" s="577">
        <f t="shared" si="552"/>
        <v>0</v>
      </c>
      <c r="P2162" s="578">
        <f t="shared" si="553"/>
        <v>0</v>
      </c>
      <c r="Q2162" s="765"/>
      <c r="R2162" s="723"/>
      <c r="S2162" s="723"/>
      <c r="T2162" s="577">
        <f t="shared" si="550"/>
        <v>0</v>
      </c>
      <c r="U2162" s="578">
        <f t="shared" si="551"/>
        <v>0</v>
      </c>
      <c r="V2162" s="579"/>
      <c r="W2162" s="566" t="str">
        <f>IF(U2158&gt;0,"xx",IF(P2158&gt;0,"xy",""))</f>
        <v/>
      </c>
      <c r="X2162" s="586" t="str">
        <f t="shared" si="556"/>
        <v/>
      </c>
      <c r="Y2162" s="586" t="str">
        <f t="shared" si="531"/>
        <v/>
      </c>
      <c r="Z2162" s="586" t="str">
        <f t="shared" si="564"/>
        <v/>
      </c>
    </row>
    <row r="2163" spans="1:26" ht="12" hidden="1" thickBot="1" x14ac:dyDescent="0.25">
      <c r="A2163" s="567">
        <v>611700</v>
      </c>
      <c r="B2163" s="644">
        <v>611700</v>
      </c>
      <c r="C2163" s="645" t="s">
        <v>206</v>
      </c>
      <c r="D2163" s="422" t="s">
        <v>399</v>
      </c>
      <c r="E2163" s="423"/>
      <c r="F2163" s="424"/>
      <c r="G2163" s="425"/>
      <c r="H2163" s="651">
        <f>SUM(H2164:H2167)</f>
        <v>435.66670800000003</v>
      </c>
      <c r="I2163" s="420">
        <v>3347.7799999999997</v>
      </c>
      <c r="J2163" s="420">
        <f>IF(ISBLANK(I2163),"",SUM(H2163:I2163))</f>
        <v>3783.4467079999999</v>
      </c>
      <c r="K2163" s="421">
        <f t="shared" si="549"/>
        <v>4495.1099999999997</v>
      </c>
      <c r="L2163" s="647" t="s">
        <v>19</v>
      </c>
      <c r="M2163" s="576"/>
      <c r="N2163" s="576">
        <f t="shared" si="559"/>
        <v>0</v>
      </c>
      <c r="O2163" s="577">
        <f t="shared" si="552"/>
        <v>0</v>
      </c>
      <c r="P2163" s="578">
        <f t="shared" si="553"/>
        <v>0</v>
      </c>
      <c r="Q2163" s="765"/>
      <c r="R2163" s="576">
        <f>M2163</f>
        <v>0</v>
      </c>
      <c r="S2163" s="576">
        <f>N2163</f>
        <v>0</v>
      </c>
      <c r="T2163" s="577">
        <f t="shared" si="550"/>
        <v>0</v>
      </c>
      <c r="U2163" s="578">
        <f t="shared" si="551"/>
        <v>0</v>
      </c>
      <c r="V2163" s="579"/>
      <c r="W2163" s="566"/>
      <c r="X2163" s="586" t="str">
        <f t="shared" si="556"/>
        <v/>
      </c>
      <c r="Y2163" s="586" t="str">
        <f t="shared" si="531"/>
        <v/>
      </c>
      <c r="Z2163" s="586" t="str">
        <f t="shared" si="564"/>
        <v/>
      </c>
    </row>
    <row r="2164" spans="1:26" ht="12" hidden="1" thickBot="1" x14ac:dyDescent="0.25">
      <c r="A2164" s="567" t="s">
        <v>168</v>
      </c>
      <c r="B2164" s="644" t="s">
        <v>168</v>
      </c>
      <c r="C2164" s="645"/>
      <c r="D2164" s="422" t="s">
        <v>212</v>
      </c>
      <c r="E2164" s="423"/>
      <c r="F2164" s="424">
        <v>500</v>
      </c>
      <c r="G2164" s="425">
        <v>0.30620000000000003</v>
      </c>
      <c r="H2164" s="649">
        <f>IF(F2164&lt;=30,(0.78*F2164+7.82)*G2164,((0.78*30+7.82)+0.78*(F2164-30))*G2164)</f>
        <v>121.81248400000003</v>
      </c>
      <c r="I2164" s="420"/>
      <c r="J2164" s="420"/>
      <c r="K2164" s="421">
        <f t="shared" si="549"/>
        <v>0</v>
      </c>
      <c r="L2164" s="647"/>
      <c r="M2164" s="723"/>
      <c r="N2164" s="576">
        <f t="shared" si="559"/>
        <v>0</v>
      </c>
      <c r="O2164" s="577">
        <f t="shared" si="552"/>
        <v>0</v>
      </c>
      <c r="P2164" s="578">
        <f t="shared" si="553"/>
        <v>0</v>
      </c>
      <c r="Q2164" s="765"/>
      <c r="R2164" s="723"/>
      <c r="S2164" s="723"/>
      <c r="T2164" s="577">
        <f t="shared" si="550"/>
        <v>0</v>
      </c>
      <c r="U2164" s="578">
        <f t="shared" si="551"/>
        <v>0</v>
      </c>
      <c r="V2164" s="579"/>
      <c r="W2164" s="566" t="str">
        <f>IF(U2163&gt;0,"xx",IF(P2163&gt;0,"xy",""))</f>
        <v/>
      </c>
      <c r="X2164" s="586" t="str">
        <f t="shared" si="556"/>
        <v/>
      </c>
      <c r="Y2164" s="586" t="str">
        <f t="shared" si="531"/>
        <v/>
      </c>
      <c r="Z2164" s="586" t="str">
        <f t="shared" si="564"/>
        <v/>
      </c>
    </row>
    <row r="2165" spans="1:26" ht="12" hidden="1" thickBot="1" x14ac:dyDescent="0.25">
      <c r="A2165" s="567" t="s">
        <v>168</v>
      </c>
      <c r="B2165" s="644" t="s">
        <v>168</v>
      </c>
      <c r="C2165" s="645"/>
      <c r="D2165" s="422" t="s">
        <v>248</v>
      </c>
      <c r="E2165" s="423"/>
      <c r="F2165" s="424">
        <v>180</v>
      </c>
      <c r="G2165" s="425">
        <v>1.1047</v>
      </c>
      <c r="H2165" s="663">
        <f t="shared" ref="H2165:H2167" si="567">IF(F2165&lt;=30,(1.07*F2165+2.68)*G2165,((1.07*30+2.68)+1.07*(F2165-30))*G2165)</f>
        <v>215.72581600000001</v>
      </c>
      <c r="I2165" s="420"/>
      <c r="J2165" s="420"/>
      <c r="K2165" s="421">
        <f t="shared" si="549"/>
        <v>0</v>
      </c>
      <c r="L2165" s="647"/>
      <c r="M2165" s="723"/>
      <c r="N2165" s="576">
        <f t="shared" si="559"/>
        <v>0</v>
      </c>
      <c r="O2165" s="577">
        <f t="shared" si="552"/>
        <v>0</v>
      </c>
      <c r="P2165" s="578">
        <f t="shared" si="553"/>
        <v>0</v>
      </c>
      <c r="Q2165" s="765"/>
      <c r="R2165" s="723"/>
      <c r="S2165" s="723"/>
      <c r="T2165" s="577">
        <f t="shared" si="550"/>
        <v>0</v>
      </c>
      <c r="U2165" s="578">
        <f t="shared" si="551"/>
        <v>0</v>
      </c>
      <c r="V2165" s="579"/>
      <c r="W2165" s="566" t="str">
        <f>IF(U2163&gt;0,"xx",IF(P2163&gt;0,"xy",""))</f>
        <v/>
      </c>
      <c r="X2165" s="586" t="str">
        <f t="shared" si="556"/>
        <v/>
      </c>
      <c r="Y2165" s="586" t="str">
        <f t="shared" si="531"/>
        <v/>
      </c>
      <c r="Z2165" s="586" t="str">
        <f t="shared" si="564"/>
        <v/>
      </c>
    </row>
    <row r="2166" spans="1:26" ht="12" hidden="1" thickBot="1" x14ac:dyDescent="0.25">
      <c r="A2166" s="567" t="s">
        <v>168</v>
      </c>
      <c r="B2166" s="644" t="s">
        <v>168</v>
      </c>
      <c r="C2166" s="645"/>
      <c r="D2166" s="422" t="s">
        <v>252</v>
      </c>
      <c r="E2166" s="423"/>
      <c r="F2166" s="424">
        <v>20</v>
      </c>
      <c r="G2166" s="425">
        <v>1.9251</v>
      </c>
      <c r="H2166" s="663">
        <f t="shared" si="567"/>
        <v>46.356408000000002</v>
      </c>
      <c r="I2166" s="420"/>
      <c r="J2166" s="420"/>
      <c r="K2166" s="421">
        <f t="shared" si="549"/>
        <v>0</v>
      </c>
      <c r="L2166" s="647"/>
      <c r="M2166" s="723"/>
      <c r="N2166" s="576">
        <f t="shared" si="559"/>
        <v>0</v>
      </c>
      <c r="O2166" s="577">
        <f t="shared" si="552"/>
        <v>0</v>
      </c>
      <c r="P2166" s="578">
        <f t="shared" si="553"/>
        <v>0</v>
      </c>
      <c r="Q2166" s="765"/>
      <c r="R2166" s="723"/>
      <c r="S2166" s="723"/>
      <c r="T2166" s="577">
        <f t="shared" si="550"/>
        <v>0</v>
      </c>
      <c r="U2166" s="578">
        <f t="shared" si="551"/>
        <v>0</v>
      </c>
      <c r="V2166" s="579"/>
      <c r="W2166" s="566" t="str">
        <f>IF(U2163&gt;0,"xx",IF(P2163&gt;0,"xy",""))</f>
        <v/>
      </c>
      <c r="X2166" s="586" t="str">
        <f t="shared" si="556"/>
        <v/>
      </c>
      <c r="Y2166" s="586" t="str">
        <f t="shared" si="531"/>
        <v/>
      </c>
      <c r="Z2166" s="586" t="str">
        <f t="shared" si="564"/>
        <v/>
      </c>
    </row>
    <row r="2167" spans="1:26" ht="12" hidden="1" thickBot="1" x14ac:dyDescent="0.25">
      <c r="A2167" s="567" t="s">
        <v>168</v>
      </c>
      <c r="B2167" s="644" t="s">
        <v>168</v>
      </c>
      <c r="C2167" s="645"/>
      <c r="D2167" s="422" t="s">
        <v>347</v>
      </c>
      <c r="E2167" s="423"/>
      <c r="F2167" s="424">
        <v>20</v>
      </c>
      <c r="G2167" s="425">
        <v>2.15</v>
      </c>
      <c r="H2167" s="663">
        <f t="shared" si="567"/>
        <v>51.771999999999998</v>
      </c>
      <c r="I2167" s="420"/>
      <c r="J2167" s="420"/>
      <c r="K2167" s="421">
        <f t="shared" si="549"/>
        <v>0</v>
      </c>
      <c r="L2167" s="647"/>
      <c r="M2167" s="723"/>
      <c r="N2167" s="576">
        <f t="shared" si="559"/>
        <v>0</v>
      </c>
      <c r="O2167" s="577">
        <f t="shared" si="552"/>
        <v>0</v>
      </c>
      <c r="P2167" s="578">
        <f t="shared" si="553"/>
        <v>0</v>
      </c>
      <c r="Q2167" s="765"/>
      <c r="R2167" s="723"/>
      <c r="S2167" s="723"/>
      <c r="T2167" s="577">
        <f t="shared" si="550"/>
        <v>0</v>
      </c>
      <c r="U2167" s="578">
        <f t="shared" si="551"/>
        <v>0</v>
      </c>
      <c r="V2167" s="579"/>
      <c r="W2167" s="566" t="str">
        <f>IF(U2163&gt;0,"xx",IF(P2163&gt;0,"xy",""))</f>
        <v/>
      </c>
      <c r="X2167" s="586" t="str">
        <f t="shared" si="556"/>
        <v/>
      </c>
      <c r="Y2167" s="586" t="str">
        <f t="shared" si="531"/>
        <v/>
      </c>
      <c r="Z2167" s="586" t="str">
        <f t="shared" si="564"/>
        <v/>
      </c>
    </row>
    <row r="2168" spans="1:26" ht="12" hidden="1" thickBot="1" x14ac:dyDescent="0.25">
      <c r="A2168" s="567" t="s">
        <v>24</v>
      </c>
      <c r="B2168" s="644" t="s">
        <v>24</v>
      </c>
      <c r="C2168" s="645" t="s">
        <v>206</v>
      </c>
      <c r="D2168" s="422" t="s">
        <v>69</v>
      </c>
      <c r="E2168" s="423"/>
      <c r="F2168" s="424"/>
      <c r="G2168" s="425"/>
      <c r="H2168" s="651">
        <f>SUM(H2169:H2173)</f>
        <v>214.58049988800002</v>
      </c>
      <c r="I2168" s="420">
        <f>VLOOKUP(D2168,'[2]ENSAIOS DE ORÇAMENTO'!$C$3:$L$79,8,FALSE)</f>
        <v>1382.6843920000001</v>
      </c>
      <c r="J2168" s="420">
        <f>IF(ISBLANK(I2168),"",SUM(H2168:I2168))</f>
        <v>1597.2648918880002</v>
      </c>
      <c r="K2168" s="421">
        <f t="shared" si="549"/>
        <v>1897.71</v>
      </c>
      <c r="L2168" s="647" t="s">
        <v>21</v>
      </c>
      <c r="M2168" s="576"/>
      <c r="N2168" s="576">
        <f t="shared" si="559"/>
        <v>0</v>
      </c>
      <c r="O2168" s="577">
        <f t="shared" si="552"/>
        <v>0</v>
      </c>
      <c r="P2168" s="578">
        <f t="shared" si="553"/>
        <v>0</v>
      </c>
      <c r="Q2168" s="765"/>
      <c r="R2168" s="576">
        <f>M2168</f>
        <v>0</v>
      </c>
      <c r="S2168" s="576">
        <f>N2168</f>
        <v>0</v>
      </c>
      <c r="T2168" s="577">
        <f t="shared" si="550"/>
        <v>0</v>
      </c>
      <c r="U2168" s="578">
        <f t="shared" si="551"/>
        <v>0</v>
      </c>
      <c r="V2168" s="579"/>
      <c r="W2168" s="566"/>
      <c r="X2168" s="586" t="str">
        <f t="shared" si="556"/>
        <v/>
      </c>
      <c r="Y2168" s="586" t="str">
        <f t="shared" si="531"/>
        <v/>
      </c>
      <c r="Z2168" s="586" t="str">
        <f t="shared" si="564"/>
        <v/>
      </c>
    </row>
    <row r="2169" spans="1:26" ht="12" hidden="1" thickBot="1" x14ac:dyDescent="0.25">
      <c r="A2169" s="567" t="s">
        <v>168</v>
      </c>
      <c r="B2169" s="644" t="s">
        <v>168</v>
      </c>
      <c r="C2169" s="645"/>
      <c r="D2169" s="422" t="s">
        <v>212</v>
      </c>
      <c r="E2169" s="423"/>
      <c r="F2169" s="424">
        <v>500</v>
      </c>
      <c r="G2169" s="425">
        <f>VLOOKUP(D2168,'[2]ENSAIOS DE ORÇAMENTO'!$C$3:$L$79,4,FALSE)</f>
        <v>0.11541040000000001</v>
      </c>
      <c r="H2169" s="649">
        <f>IF(F2169&lt;=30,(0.78*F2169+7.82)*G2169,((0.78*30+7.82)+0.78*(F2169-30))*G2169)</f>
        <v>45.912565328000007</v>
      </c>
      <c r="I2169" s="420"/>
      <c r="J2169" s="420"/>
      <c r="K2169" s="421">
        <f t="shared" si="549"/>
        <v>0</v>
      </c>
      <c r="L2169" s="647"/>
      <c r="M2169" s="723"/>
      <c r="N2169" s="576">
        <f t="shared" si="559"/>
        <v>0</v>
      </c>
      <c r="O2169" s="577">
        <f t="shared" si="552"/>
        <v>0</v>
      </c>
      <c r="P2169" s="578">
        <f t="shared" si="553"/>
        <v>0</v>
      </c>
      <c r="Q2169" s="765"/>
      <c r="R2169" s="723"/>
      <c r="S2169" s="723"/>
      <c r="T2169" s="577">
        <f t="shared" si="550"/>
        <v>0</v>
      </c>
      <c r="U2169" s="578">
        <f t="shared" si="551"/>
        <v>0</v>
      </c>
      <c r="V2169" s="579"/>
      <c r="W2169" s="566" t="str">
        <f>IF(U2168&gt;0,"xx",IF(P2168&gt;0,"xy",""))</f>
        <v/>
      </c>
      <c r="X2169" s="586" t="str">
        <f t="shared" si="556"/>
        <v/>
      </c>
      <c r="Y2169" s="586" t="str">
        <f t="shared" si="531"/>
        <v/>
      </c>
      <c r="Z2169" s="586" t="str">
        <f t="shared" si="564"/>
        <v/>
      </c>
    </row>
    <row r="2170" spans="1:26" ht="12" hidden="1" thickBot="1" x14ac:dyDescent="0.25">
      <c r="A2170" s="567" t="s">
        <v>168</v>
      </c>
      <c r="B2170" s="644" t="s">
        <v>168</v>
      </c>
      <c r="C2170" s="645"/>
      <c r="D2170" s="422" t="s">
        <v>248</v>
      </c>
      <c r="E2170" s="423"/>
      <c r="F2170" s="424">
        <v>180</v>
      </c>
      <c r="G2170" s="425">
        <f>VLOOKUP(D2168,'[2]ENSAIOS DE ORÇAMENTO'!$C$3:$L$79,5,FALSE)</f>
        <v>0.62209000000000003</v>
      </c>
      <c r="H2170" s="663">
        <f t="shared" ref="H2170:H2172" si="568">IF(F2170&lt;=30,(1.07*F2170+2.68)*G2170,((1.07*30+2.68)+1.07*(F2170-30))*G2170)</f>
        <v>121.4817352</v>
      </c>
      <c r="I2170" s="420"/>
      <c r="J2170" s="420"/>
      <c r="K2170" s="421">
        <f t="shared" si="549"/>
        <v>0</v>
      </c>
      <c r="L2170" s="647"/>
      <c r="M2170" s="723"/>
      <c r="N2170" s="576">
        <f t="shared" si="559"/>
        <v>0</v>
      </c>
      <c r="O2170" s="577">
        <f t="shared" si="552"/>
        <v>0</v>
      </c>
      <c r="P2170" s="578">
        <f t="shared" si="553"/>
        <v>0</v>
      </c>
      <c r="Q2170" s="765"/>
      <c r="R2170" s="723"/>
      <c r="S2170" s="723"/>
      <c r="T2170" s="577">
        <f t="shared" si="550"/>
        <v>0</v>
      </c>
      <c r="U2170" s="578">
        <f t="shared" si="551"/>
        <v>0</v>
      </c>
      <c r="V2170" s="579"/>
      <c r="W2170" s="566" t="str">
        <f>IF(U2168&gt;0,"xx",IF(P2168&gt;0,"xy",""))</f>
        <v/>
      </c>
      <c r="X2170" s="586" t="str">
        <f t="shared" si="556"/>
        <v/>
      </c>
      <c r="Y2170" s="586" t="str">
        <f t="shared" si="531"/>
        <v/>
      </c>
      <c r="Z2170" s="586" t="str">
        <f t="shared" si="564"/>
        <v/>
      </c>
    </row>
    <row r="2171" spans="1:26" ht="12" hidden="1" thickBot="1" x14ac:dyDescent="0.25">
      <c r="A2171" s="567" t="s">
        <v>168</v>
      </c>
      <c r="B2171" s="644" t="s">
        <v>168</v>
      </c>
      <c r="C2171" s="645"/>
      <c r="D2171" s="422" t="s">
        <v>252</v>
      </c>
      <c r="E2171" s="423"/>
      <c r="F2171" s="424">
        <v>20</v>
      </c>
      <c r="G2171" s="425">
        <f>VLOOKUP(D2168,'[2]ENSAIOS DE ORÇAMENTO'!$C$3:$L$79,6,FALSE)</f>
        <v>0.20424000000000003</v>
      </c>
      <c r="H2171" s="663">
        <f t="shared" si="568"/>
        <v>4.9180992000000012</v>
      </c>
      <c r="I2171" s="420"/>
      <c r="J2171" s="420"/>
      <c r="K2171" s="421">
        <f t="shared" si="549"/>
        <v>0</v>
      </c>
      <c r="L2171" s="647"/>
      <c r="M2171" s="723"/>
      <c r="N2171" s="576">
        <f t="shared" si="559"/>
        <v>0</v>
      </c>
      <c r="O2171" s="577">
        <f t="shared" si="552"/>
        <v>0</v>
      </c>
      <c r="P2171" s="578">
        <f t="shared" si="553"/>
        <v>0</v>
      </c>
      <c r="Q2171" s="765"/>
      <c r="R2171" s="723"/>
      <c r="S2171" s="723"/>
      <c r="T2171" s="577">
        <f t="shared" si="550"/>
        <v>0</v>
      </c>
      <c r="U2171" s="578">
        <f t="shared" si="551"/>
        <v>0</v>
      </c>
      <c r="V2171" s="579"/>
      <c r="W2171" s="566" t="str">
        <f>IF(U2168&gt;0,"xx",IF(P2168&gt;0,"xy",""))</f>
        <v/>
      </c>
      <c r="X2171" s="586" t="str">
        <f t="shared" si="556"/>
        <v/>
      </c>
      <c r="Y2171" s="586" t="str">
        <f t="shared" si="531"/>
        <v/>
      </c>
      <c r="Z2171" s="586" t="str">
        <f t="shared" si="564"/>
        <v/>
      </c>
    </row>
    <row r="2172" spans="1:26" ht="12" hidden="1" thickBot="1" x14ac:dyDescent="0.25">
      <c r="A2172" s="567" t="s">
        <v>168</v>
      </c>
      <c r="B2172" s="644" t="s">
        <v>168</v>
      </c>
      <c r="C2172" s="645"/>
      <c r="D2172" s="422" t="s">
        <v>400</v>
      </c>
      <c r="E2172" s="423"/>
      <c r="F2172" s="424">
        <v>30</v>
      </c>
      <c r="G2172" s="425">
        <f>VLOOKUP(D2168,'[2]ENSAIOS DE ORÇAMENTO'!$C$3:$L$79,3,FALSE)</f>
        <v>0.87983999999999996</v>
      </c>
      <c r="H2172" s="663">
        <f t="shared" si="568"/>
        <v>30.600835199999999</v>
      </c>
      <c r="I2172" s="420"/>
      <c r="J2172" s="420"/>
      <c r="K2172" s="421">
        <f t="shared" si="549"/>
        <v>0</v>
      </c>
      <c r="L2172" s="647"/>
      <c r="M2172" s="723"/>
      <c r="N2172" s="576">
        <f t="shared" si="559"/>
        <v>0</v>
      </c>
      <c r="O2172" s="577">
        <f t="shared" si="552"/>
        <v>0</v>
      </c>
      <c r="P2172" s="578">
        <f t="shared" si="553"/>
        <v>0</v>
      </c>
      <c r="Q2172" s="765"/>
      <c r="R2172" s="723"/>
      <c r="S2172" s="723"/>
      <c r="T2172" s="577">
        <f t="shared" si="550"/>
        <v>0</v>
      </c>
      <c r="U2172" s="578">
        <f t="shared" si="551"/>
        <v>0</v>
      </c>
      <c r="V2172" s="579"/>
      <c r="W2172" s="566" t="str">
        <f>IF(U2168&gt;0,"xx",IF(P2168&gt;0,"xy",""))</f>
        <v/>
      </c>
      <c r="X2172" s="586" t="str">
        <f t="shared" si="556"/>
        <v/>
      </c>
      <c r="Y2172" s="586" t="str">
        <f t="shared" si="531"/>
        <v/>
      </c>
      <c r="Z2172" s="586" t="str">
        <f t="shared" si="564"/>
        <v/>
      </c>
    </row>
    <row r="2173" spans="1:26" ht="12" hidden="1" thickBot="1" x14ac:dyDescent="0.25">
      <c r="A2173" s="567" t="s">
        <v>168</v>
      </c>
      <c r="B2173" s="644" t="s">
        <v>168</v>
      </c>
      <c r="C2173" s="645"/>
      <c r="D2173" s="422" t="s">
        <v>401</v>
      </c>
      <c r="E2173" s="423"/>
      <c r="F2173" s="424">
        <v>500</v>
      </c>
      <c r="G2173" s="425">
        <f>VLOOKUP(D2168,'[2]ENSAIOS DE ORÇAMENTO'!$C$3:$L$79,10,FALSE)</f>
        <v>2.9328E-2</v>
      </c>
      <c r="H2173" s="649">
        <f>IF(F2173&lt;=30,(0.78*F2173+7.82)*G2173,((0.78*30+7.82)+0.78*(F2173-30))*G2173)</f>
        <v>11.667264960000001</v>
      </c>
      <c r="I2173" s="420"/>
      <c r="J2173" s="420"/>
      <c r="K2173" s="421">
        <f t="shared" si="549"/>
        <v>0</v>
      </c>
      <c r="L2173" s="647"/>
      <c r="M2173" s="723"/>
      <c r="N2173" s="576">
        <f t="shared" si="559"/>
        <v>0</v>
      </c>
      <c r="O2173" s="577">
        <f t="shared" si="552"/>
        <v>0</v>
      </c>
      <c r="P2173" s="578">
        <f t="shared" si="553"/>
        <v>0</v>
      </c>
      <c r="Q2173" s="765"/>
      <c r="R2173" s="723"/>
      <c r="S2173" s="723"/>
      <c r="T2173" s="577">
        <f t="shared" si="550"/>
        <v>0</v>
      </c>
      <c r="U2173" s="578">
        <f t="shared" si="551"/>
        <v>0</v>
      </c>
      <c r="V2173" s="579"/>
      <c r="W2173" s="566" t="str">
        <f>IF(U2168&gt;0,"xx",IF(P2168&gt;0,"xy",""))</f>
        <v/>
      </c>
      <c r="X2173" s="586" t="str">
        <f t="shared" si="556"/>
        <v/>
      </c>
      <c r="Y2173" s="586" t="str">
        <f t="shared" si="531"/>
        <v/>
      </c>
      <c r="Z2173" s="586" t="str">
        <f t="shared" si="564"/>
        <v/>
      </c>
    </row>
    <row r="2174" spans="1:26" ht="12" hidden="1" thickBot="1" x14ac:dyDescent="0.25">
      <c r="A2174" s="567" t="s">
        <v>25</v>
      </c>
      <c r="B2174" s="644" t="s">
        <v>25</v>
      </c>
      <c r="C2174" s="645" t="s">
        <v>206</v>
      </c>
      <c r="D2174" s="422" t="s">
        <v>70</v>
      </c>
      <c r="E2174" s="423"/>
      <c r="F2174" s="424"/>
      <c r="G2174" s="425"/>
      <c r="H2174" s="651">
        <f>SUM(H2175:H2179)</f>
        <v>253.44839336000004</v>
      </c>
      <c r="I2174" s="420">
        <f>VLOOKUP(D2174,'[2]ENSAIOS DE ORÇAMENTO'!$C$3:$L$79,8,FALSE)</f>
        <v>1534.9440399999999</v>
      </c>
      <c r="J2174" s="420">
        <f>IF(ISBLANK(I2174),"",SUM(H2174:I2174))</f>
        <v>1788.3924333599998</v>
      </c>
      <c r="K2174" s="421">
        <f t="shared" si="549"/>
        <v>2124.79</v>
      </c>
      <c r="L2174" s="647" t="s">
        <v>21</v>
      </c>
      <c r="M2174" s="576"/>
      <c r="N2174" s="576">
        <f t="shared" si="559"/>
        <v>0</v>
      </c>
      <c r="O2174" s="577">
        <f t="shared" si="552"/>
        <v>0</v>
      </c>
      <c r="P2174" s="578">
        <f t="shared" si="553"/>
        <v>0</v>
      </c>
      <c r="Q2174" s="765"/>
      <c r="R2174" s="576">
        <f>M2174</f>
        <v>0</v>
      </c>
      <c r="S2174" s="576">
        <f>N2174</f>
        <v>0</v>
      </c>
      <c r="T2174" s="577">
        <f t="shared" si="550"/>
        <v>0</v>
      </c>
      <c r="U2174" s="578">
        <f t="shared" si="551"/>
        <v>0</v>
      </c>
      <c r="V2174" s="579"/>
      <c r="W2174" s="566"/>
      <c r="X2174" s="586" t="str">
        <f t="shared" si="556"/>
        <v/>
      </c>
      <c r="Y2174" s="586" t="str">
        <f t="shared" si="531"/>
        <v/>
      </c>
      <c r="Z2174" s="586" t="str">
        <f t="shared" si="564"/>
        <v/>
      </c>
    </row>
    <row r="2175" spans="1:26" ht="12" hidden="1" thickBot="1" x14ac:dyDescent="0.25">
      <c r="A2175" s="567" t="s">
        <v>168</v>
      </c>
      <c r="B2175" s="644" t="s">
        <v>168</v>
      </c>
      <c r="C2175" s="645"/>
      <c r="D2175" s="422" t="s">
        <v>212</v>
      </c>
      <c r="E2175" s="423"/>
      <c r="F2175" s="424">
        <v>500</v>
      </c>
      <c r="G2175" s="425">
        <f>VLOOKUP(D2174,'[2]ENSAIOS DE ORÇAMENTO'!$C$3:$L$79,4,FALSE)</f>
        <v>0.132608</v>
      </c>
      <c r="H2175" s="649">
        <f>IF(F2175&lt;=30,(0.78*F2175+7.82)*G2175,((0.78*30+7.82)+0.78*(F2175-30))*G2175)</f>
        <v>52.754114560000005</v>
      </c>
      <c r="I2175" s="420"/>
      <c r="J2175" s="420"/>
      <c r="K2175" s="421">
        <f t="shared" si="549"/>
        <v>0</v>
      </c>
      <c r="L2175" s="647"/>
      <c r="M2175" s="723"/>
      <c r="N2175" s="576">
        <f t="shared" si="559"/>
        <v>0</v>
      </c>
      <c r="O2175" s="577">
        <f t="shared" si="552"/>
        <v>0</v>
      </c>
      <c r="P2175" s="578">
        <f t="shared" si="553"/>
        <v>0</v>
      </c>
      <c r="Q2175" s="765"/>
      <c r="R2175" s="723"/>
      <c r="S2175" s="723"/>
      <c r="T2175" s="577">
        <f t="shared" si="550"/>
        <v>0</v>
      </c>
      <c r="U2175" s="578">
        <f t="shared" si="551"/>
        <v>0</v>
      </c>
      <c r="V2175" s="579"/>
      <c r="W2175" s="566" t="str">
        <f>IF(U2174&gt;0,"xx",IF(P2174&gt;0,"xy",""))</f>
        <v/>
      </c>
      <c r="X2175" s="586" t="str">
        <f t="shared" si="556"/>
        <v/>
      </c>
      <c r="Y2175" s="586" t="str">
        <f t="shared" si="531"/>
        <v/>
      </c>
      <c r="Z2175" s="586" t="str">
        <f t="shared" si="564"/>
        <v/>
      </c>
    </row>
    <row r="2176" spans="1:26" ht="12" hidden="1" thickBot="1" x14ac:dyDescent="0.25">
      <c r="A2176" s="567" t="s">
        <v>168</v>
      </c>
      <c r="B2176" s="644" t="s">
        <v>168</v>
      </c>
      <c r="C2176" s="645"/>
      <c r="D2176" s="422" t="s">
        <v>248</v>
      </c>
      <c r="E2176" s="423"/>
      <c r="F2176" s="424">
        <v>180</v>
      </c>
      <c r="G2176" s="425">
        <f>VLOOKUP(D2174,'[2]ENSAIOS DE ORÇAMENTO'!$C$3:$L$79,5,FALSE)</f>
        <v>0.73198000000000008</v>
      </c>
      <c r="H2176" s="663">
        <f t="shared" ref="H2176:H2178" si="569">IF(F2176&lt;=30,(1.07*F2176+2.68)*G2176,((1.07*30+2.68)+1.07*(F2176-30))*G2176)</f>
        <v>142.94105440000001</v>
      </c>
      <c r="I2176" s="420"/>
      <c r="J2176" s="420"/>
      <c r="K2176" s="421">
        <f t="shared" ref="K2176:K2239" si="570">IF(ISBLANK(I2176),0,ROUND(J2176*(1+$F$10)*(1+$F$11*E2176),2))</f>
        <v>0</v>
      </c>
      <c r="L2176" s="647"/>
      <c r="M2176" s="723"/>
      <c r="N2176" s="576">
        <f t="shared" si="559"/>
        <v>0</v>
      </c>
      <c r="O2176" s="577">
        <f t="shared" si="552"/>
        <v>0</v>
      </c>
      <c r="P2176" s="578">
        <f t="shared" si="553"/>
        <v>0</v>
      </c>
      <c r="Q2176" s="765"/>
      <c r="R2176" s="723"/>
      <c r="S2176" s="723"/>
      <c r="T2176" s="577">
        <f t="shared" ref="T2176:T2239" si="571">IF(ISBLANK(R2176),0,ROUND(K2176*R2176,2))</f>
        <v>0</v>
      </c>
      <c r="U2176" s="578">
        <f t="shared" ref="U2176:U2239" si="572">IF(ISBLANK(R2176),0,ROUND(R2176*S2176,2))</f>
        <v>0</v>
      </c>
      <c r="V2176" s="579"/>
      <c r="W2176" s="566" t="str">
        <f>IF(U2174&gt;0,"xx",IF(P2174&gt;0,"xy",""))</f>
        <v/>
      </c>
      <c r="X2176" s="586" t="str">
        <f t="shared" si="556"/>
        <v/>
      </c>
      <c r="Y2176" s="586" t="str">
        <f t="shared" si="531"/>
        <v/>
      </c>
      <c r="Z2176" s="586" t="str">
        <f t="shared" si="564"/>
        <v/>
      </c>
    </row>
    <row r="2177" spans="1:26" ht="12" hidden="1" thickBot="1" x14ac:dyDescent="0.25">
      <c r="A2177" s="567" t="s">
        <v>168</v>
      </c>
      <c r="B2177" s="644" t="s">
        <v>168</v>
      </c>
      <c r="C2177" s="645"/>
      <c r="D2177" s="422" t="s">
        <v>252</v>
      </c>
      <c r="E2177" s="423"/>
      <c r="F2177" s="424">
        <v>20</v>
      </c>
      <c r="G2177" s="425">
        <f>VLOOKUP(D2174,'[2]ENSAIOS DE ORÇAMENTO'!$C$3:$L$79,6,FALSE)</f>
        <v>0.20424000000000003</v>
      </c>
      <c r="H2177" s="663">
        <f t="shared" si="569"/>
        <v>4.9180992000000012</v>
      </c>
      <c r="I2177" s="420"/>
      <c r="J2177" s="420"/>
      <c r="K2177" s="421">
        <f t="shared" si="570"/>
        <v>0</v>
      </c>
      <c r="L2177" s="647"/>
      <c r="M2177" s="723"/>
      <c r="N2177" s="576">
        <f t="shared" si="559"/>
        <v>0</v>
      </c>
      <c r="O2177" s="577">
        <f t="shared" ref="O2177:O2240" si="573">IF(ISBLANK(M2177),0,ROUND(K2177*M2177,2))</f>
        <v>0</v>
      </c>
      <c r="P2177" s="578">
        <f t="shared" ref="P2177:P2240" si="574">IF(ISBLANK(N2177),0,ROUND(M2177*N2177,2))</f>
        <v>0</v>
      </c>
      <c r="Q2177" s="765"/>
      <c r="R2177" s="723"/>
      <c r="S2177" s="723"/>
      <c r="T2177" s="577">
        <f t="shared" si="571"/>
        <v>0</v>
      </c>
      <c r="U2177" s="578">
        <f t="shared" si="572"/>
        <v>0</v>
      </c>
      <c r="V2177" s="579"/>
      <c r="W2177" s="566" t="str">
        <f>IF(U2174&gt;0,"xx",IF(P2174&gt;0,"xy",""))</f>
        <v/>
      </c>
      <c r="X2177" s="586" t="str">
        <f t="shared" si="556"/>
        <v/>
      </c>
      <c r="Y2177" s="586" t="str">
        <f t="shared" si="531"/>
        <v/>
      </c>
      <c r="Z2177" s="586" t="str">
        <f t="shared" si="564"/>
        <v/>
      </c>
    </row>
    <row r="2178" spans="1:26" ht="12" hidden="1" thickBot="1" x14ac:dyDescent="0.25">
      <c r="A2178" s="567" t="s">
        <v>168</v>
      </c>
      <c r="B2178" s="644" t="s">
        <v>168</v>
      </c>
      <c r="C2178" s="645"/>
      <c r="D2178" s="422" t="s">
        <v>400</v>
      </c>
      <c r="E2178" s="423"/>
      <c r="F2178" s="424">
        <v>30</v>
      </c>
      <c r="G2178" s="425">
        <f>VLOOKUP(D2174,'[2]ENSAIOS DE ORÇAMENTO'!$C$3:$L$79,3,FALSE)</f>
        <v>1.0998000000000001</v>
      </c>
      <c r="H2178" s="663">
        <f t="shared" si="569"/>
        <v>38.251044000000007</v>
      </c>
      <c r="I2178" s="420"/>
      <c r="J2178" s="420"/>
      <c r="K2178" s="421">
        <f t="shared" si="570"/>
        <v>0</v>
      </c>
      <c r="L2178" s="647"/>
      <c r="M2178" s="723"/>
      <c r="N2178" s="576">
        <f t="shared" si="559"/>
        <v>0</v>
      </c>
      <c r="O2178" s="577">
        <f t="shared" si="573"/>
        <v>0</v>
      </c>
      <c r="P2178" s="578">
        <f t="shared" si="574"/>
        <v>0</v>
      </c>
      <c r="Q2178" s="765"/>
      <c r="R2178" s="723"/>
      <c r="S2178" s="723"/>
      <c r="T2178" s="577">
        <f t="shared" si="571"/>
        <v>0</v>
      </c>
      <c r="U2178" s="578">
        <f t="shared" si="572"/>
        <v>0</v>
      </c>
      <c r="V2178" s="579"/>
      <c r="W2178" s="566" t="str">
        <f>IF(U2174&gt;0,"xx",IF(P2174&gt;0,"xy",""))</f>
        <v/>
      </c>
      <c r="X2178" s="586" t="str">
        <f t="shared" si="556"/>
        <v/>
      </c>
      <c r="Y2178" s="586" t="str">
        <f t="shared" si="531"/>
        <v/>
      </c>
      <c r="Z2178" s="586" t="str">
        <f t="shared" si="564"/>
        <v/>
      </c>
    </row>
    <row r="2179" spans="1:26" ht="12" hidden="1" thickBot="1" x14ac:dyDescent="0.25">
      <c r="A2179" s="567" t="s">
        <v>168</v>
      </c>
      <c r="B2179" s="644" t="s">
        <v>168</v>
      </c>
      <c r="C2179" s="645"/>
      <c r="D2179" s="422" t="s">
        <v>401</v>
      </c>
      <c r="E2179" s="423"/>
      <c r="F2179" s="424">
        <v>500</v>
      </c>
      <c r="G2179" s="425">
        <f>VLOOKUP(D2174,'[2]ENSAIOS DE ORÇAMENTO'!$C$3:$L$79,10,FALSE)</f>
        <v>3.6659999999999998E-2</v>
      </c>
      <c r="H2179" s="649">
        <f>IF(F2179&lt;=30,(0.78*F2179+7.82)*G2179,((0.78*30+7.82)+0.78*(F2179-30))*G2179)</f>
        <v>14.584081200000002</v>
      </c>
      <c r="I2179" s="420"/>
      <c r="J2179" s="420"/>
      <c r="K2179" s="421">
        <f t="shared" si="570"/>
        <v>0</v>
      </c>
      <c r="L2179" s="647"/>
      <c r="M2179" s="723"/>
      <c r="N2179" s="576">
        <f t="shared" si="559"/>
        <v>0</v>
      </c>
      <c r="O2179" s="577">
        <f t="shared" si="573"/>
        <v>0</v>
      </c>
      <c r="P2179" s="578">
        <f t="shared" si="574"/>
        <v>0</v>
      </c>
      <c r="Q2179" s="765"/>
      <c r="R2179" s="723"/>
      <c r="S2179" s="723"/>
      <c r="T2179" s="577">
        <f t="shared" si="571"/>
        <v>0</v>
      </c>
      <c r="U2179" s="578">
        <f t="shared" si="572"/>
        <v>0</v>
      </c>
      <c r="V2179" s="579"/>
      <c r="W2179" s="566" t="str">
        <f>IF(U2174&gt;0,"xx",IF(P2174&gt;0,"xy",""))</f>
        <v/>
      </c>
      <c r="X2179" s="586" t="str">
        <f t="shared" si="556"/>
        <v/>
      </c>
      <c r="Y2179" s="586" t="str">
        <f t="shared" si="531"/>
        <v/>
      </c>
      <c r="Z2179" s="586" t="str">
        <f t="shared" si="564"/>
        <v/>
      </c>
    </row>
    <row r="2180" spans="1:26" ht="12" hidden="1" thickBot="1" x14ac:dyDescent="0.25">
      <c r="A2180" s="567" t="s">
        <v>26</v>
      </c>
      <c r="B2180" s="644" t="s">
        <v>26</v>
      </c>
      <c r="C2180" s="645" t="s">
        <v>206</v>
      </c>
      <c r="D2180" s="422" t="s">
        <v>71</v>
      </c>
      <c r="E2180" s="423"/>
      <c r="F2180" s="424"/>
      <c r="G2180" s="425"/>
      <c r="H2180" s="651">
        <f>SUM(H2181:H2185)</f>
        <v>317.76500247800004</v>
      </c>
      <c r="I2180" s="420">
        <f>VLOOKUP(D2180,'[2]ENSAIOS DE ORÇAMENTO'!$C$3:$L$79,8,FALSE)</f>
        <v>1786.7909519999998</v>
      </c>
      <c r="J2180" s="420">
        <f>IF(ISBLANK(I2180),"",SUM(H2180:I2180))</f>
        <v>2104.5559544779999</v>
      </c>
      <c r="K2180" s="421">
        <f t="shared" si="570"/>
        <v>2500.42</v>
      </c>
      <c r="L2180" s="647" t="s">
        <v>21</v>
      </c>
      <c r="M2180" s="576"/>
      <c r="N2180" s="576">
        <f t="shared" si="559"/>
        <v>0</v>
      </c>
      <c r="O2180" s="577">
        <f t="shared" si="573"/>
        <v>0</v>
      </c>
      <c r="P2180" s="578">
        <f t="shared" si="574"/>
        <v>0</v>
      </c>
      <c r="Q2180" s="765"/>
      <c r="R2180" s="576">
        <f>M2180</f>
        <v>0</v>
      </c>
      <c r="S2180" s="576">
        <f>N2180</f>
        <v>0</v>
      </c>
      <c r="T2180" s="577">
        <f t="shared" si="571"/>
        <v>0</v>
      </c>
      <c r="U2180" s="578">
        <f t="shared" si="572"/>
        <v>0</v>
      </c>
      <c r="V2180" s="579"/>
      <c r="W2180" s="566"/>
      <c r="X2180" s="586" t="str">
        <f t="shared" si="556"/>
        <v/>
      </c>
      <c r="Y2180" s="586" t="str">
        <f t="shared" si="531"/>
        <v/>
      </c>
      <c r="Z2180" s="586" t="str">
        <f t="shared" si="564"/>
        <v/>
      </c>
    </row>
    <row r="2181" spans="1:26" ht="12" hidden="1" thickBot="1" x14ac:dyDescent="0.25">
      <c r="A2181" s="567" t="s">
        <v>168</v>
      </c>
      <c r="B2181" s="644" t="s">
        <v>168</v>
      </c>
      <c r="C2181" s="645"/>
      <c r="D2181" s="422" t="s">
        <v>212</v>
      </c>
      <c r="E2181" s="423"/>
      <c r="F2181" s="424">
        <v>500</v>
      </c>
      <c r="G2181" s="425">
        <f>VLOOKUP(D2180,'[2]ENSAIOS DE ORÇAMENTO'!$C$3:$L$79,4,FALSE)</f>
        <v>0.1610819</v>
      </c>
      <c r="H2181" s="649">
        <f>IF(F2181&lt;=30,(0.78*F2181+7.82)*G2181,((0.78*30+7.82)+0.78*(F2181-30))*G2181)</f>
        <v>64.081601458000009</v>
      </c>
      <c r="I2181" s="420"/>
      <c r="J2181" s="420"/>
      <c r="K2181" s="421">
        <f t="shared" si="570"/>
        <v>0</v>
      </c>
      <c r="L2181" s="647"/>
      <c r="M2181" s="723"/>
      <c r="N2181" s="576">
        <f t="shared" si="559"/>
        <v>0</v>
      </c>
      <c r="O2181" s="577">
        <f t="shared" si="573"/>
        <v>0</v>
      </c>
      <c r="P2181" s="578">
        <f t="shared" si="574"/>
        <v>0</v>
      </c>
      <c r="Q2181" s="765"/>
      <c r="R2181" s="723"/>
      <c r="S2181" s="723"/>
      <c r="T2181" s="577">
        <f t="shared" si="571"/>
        <v>0</v>
      </c>
      <c r="U2181" s="578">
        <f t="shared" si="572"/>
        <v>0</v>
      </c>
      <c r="V2181" s="579"/>
      <c r="W2181" s="566" t="str">
        <f>IF(U2180&gt;0,"xx",IF(P2180&gt;0,"xy",""))</f>
        <v/>
      </c>
      <c r="X2181" s="586" t="str">
        <f t="shared" si="556"/>
        <v/>
      </c>
      <c r="Y2181" s="586" t="str">
        <f t="shared" si="531"/>
        <v/>
      </c>
      <c r="Z2181" s="586" t="str">
        <f t="shared" si="564"/>
        <v/>
      </c>
    </row>
    <row r="2182" spans="1:26" ht="12" hidden="1" thickBot="1" x14ac:dyDescent="0.25">
      <c r="A2182" s="567" t="s">
        <v>168</v>
      </c>
      <c r="B2182" s="644" t="s">
        <v>168</v>
      </c>
      <c r="C2182" s="645"/>
      <c r="D2182" s="422" t="s">
        <v>248</v>
      </c>
      <c r="E2182" s="423"/>
      <c r="F2182" s="424">
        <v>180</v>
      </c>
      <c r="G2182" s="425">
        <f>VLOOKUP(D2180,'[2]ENSAIOS DE ORÇAMENTO'!$C$3:$L$79,5,FALSE)</f>
        <v>0.91383625000000013</v>
      </c>
      <c r="H2182" s="663">
        <f t="shared" ref="H2182:H2184" si="575">IF(F2182&lt;=30,(1.07*F2182+2.68)*G2182,((1.07*30+2.68)+1.07*(F2182-30))*G2182)</f>
        <v>178.45394290000002</v>
      </c>
      <c r="I2182" s="420"/>
      <c r="J2182" s="420"/>
      <c r="K2182" s="421">
        <f t="shared" si="570"/>
        <v>0</v>
      </c>
      <c r="L2182" s="647"/>
      <c r="M2182" s="723"/>
      <c r="N2182" s="576">
        <f t="shared" si="559"/>
        <v>0</v>
      </c>
      <c r="O2182" s="577">
        <f t="shared" si="573"/>
        <v>0</v>
      </c>
      <c r="P2182" s="578">
        <f t="shared" si="574"/>
        <v>0</v>
      </c>
      <c r="Q2182" s="765"/>
      <c r="R2182" s="723"/>
      <c r="S2182" s="723"/>
      <c r="T2182" s="577">
        <f t="shared" si="571"/>
        <v>0</v>
      </c>
      <c r="U2182" s="578">
        <f t="shared" si="572"/>
        <v>0</v>
      </c>
      <c r="V2182" s="579"/>
      <c r="W2182" s="566" t="str">
        <f>IF(U2180&gt;0,"xx",IF(P2180&gt;0,"xy",""))</f>
        <v/>
      </c>
      <c r="X2182" s="586" t="str">
        <f t="shared" si="556"/>
        <v/>
      </c>
      <c r="Y2182" s="586" t="str">
        <f t="shared" si="531"/>
        <v/>
      </c>
      <c r="Z2182" s="586" t="str">
        <f t="shared" si="564"/>
        <v/>
      </c>
    </row>
    <row r="2183" spans="1:26" ht="12" hidden="1" thickBot="1" x14ac:dyDescent="0.25">
      <c r="A2183" s="567" t="s">
        <v>168</v>
      </c>
      <c r="B2183" s="644" t="s">
        <v>168</v>
      </c>
      <c r="C2183" s="645"/>
      <c r="D2183" s="422" t="s">
        <v>252</v>
      </c>
      <c r="E2183" s="423"/>
      <c r="F2183" s="424">
        <v>20</v>
      </c>
      <c r="G2183" s="425">
        <f>VLOOKUP(D2180,'[2]ENSAIOS DE ORÇAMENTO'!$C$3:$L$79,6,FALSE)</f>
        <v>0.20424000000000003</v>
      </c>
      <c r="H2183" s="663">
        <f t="shared" si="575"/>
        <v>4.9180992000000012</v>
      </c>
      <c r="I2183" s="420"/>
      <c r="J2183" s="420"/>
      <c r="K2183" s="421">
        <f t="shared" si="570"/>
        <v>0</v>
      </c>
      <c r="L2183" s="647"/>
      <c r="M2183" s="723"/>
      <c r="N2183" s="576">
        <f t="shared" si="559"/>
        <v>0</v>
      </c>
      <c r="O2183" s="577">
        <f t="shared" si="573"/>
        <v>0</v>
      </c>
      <c r="P2183" s="578">
        <f t="shared" si="574"/>
        <v>0</v>
      </c>
      <c r="Q2183" s="765"/>
      <c r="R2183" s="723"/>
      <c r="S2183" s="723"/>
      <c r="T2183" s="577">
        <f t="shared" si="571"/>
        <v>0</v>
      </c>
      <c r="U2183" s="578">
        <f t="shared" si="572"/>
        <v>0</v>
      </c>
      <c r="V2183" s="579"/>
      <c r="W2183" s="566" t="str">
        <f>IF(U2180&gt;0,"xx",IF(P2180&gt;0,"xy",""))</f>
        <v/>
      </c>
      <c r="X2183" s="586" t="str">
        <f t="shared" si="556"/>
        <v/>
      </c>
      <c r="Y2183" s="586" t="str">
        <f t="shared" si="531"/>
        <v/>
      </c>
      <c r="Z2183" s="586" t="str">
        <f t="shared" si="564"/>
        <v/>
      </c>
    </row>
    <row r="2184" spans="1:26" ht="12" hidden="1" thickBot="1" x14ac:dyDescent="0.25">
      <c r="A2184" s="567" t="s">
        <v>168</v>
      </c>
      <c r="B2184" s="644" t="s">
        <v>168</v>
      </c>
      <c r="C2184" s="645"/>
      <c r="D2184" s="422" t="s">
        <v>400</v>
      </c>
      <c r="E2184" s="423"/>
      <c r="F2184" s="424">
        <v>30</v>
      </c>
      <c r="G2184" s="425">
        <f>VLOOKUP(D2180,'[2]ENSAIOS DE ORÇAMENTO'!$C$3:$L$79,3,FALSE)</f>
        <v>1.4635799999999999</v>
      </c>
      <c r="H2184" s="663">
        <f t="shared" si="575"/>
        <v>50.903312399999997</v>
      </c>
      <c r="I2184" s="420"/>
      <c r="J2184" s="420"/>
      <c r="K2184" s="421">
        <f t="shared" si="570"/>
        <v>0</v>
      </c>
      <c r="L2184" s="647"/>
      <c r="M2184" s="723"/>
      <c r="N2184" s="576">
        <f t="shared" si="559"/>
        <v>0</v>
      </c>
      <c r="O2184" s="577">
        <f t="shared" si="573"/>
        <v>0</v>
      </c>
      <c r="P2184" s="578">
        <f t="shared" si="574"/>
        <v>0</v>
      </c>
      <c r="Q2184" s="765"/>
      <c r="R2184" s="723"/>
      <c r="S2184" s="723"/>
      <c r="T2184" s="577">
        <f t="shared" si="571"/>
        <v>0</v>
      </c>
      <c r="U2184" s="578">
        <f t="shared" si="572"/>
        <v>0</v>
      </c>
      <c r="V2184" s="579"/>
      <c r="W2184" s="566" t="str">
        <f>IF(U2180&gt;0,"xx",IF(P2180&gt;0,"xy",""))</f>
        <v/>
      </c>
      <c r="X2184" s="586" t="str">
        <f t="shared" si="556"/>
        <v/>
      </c>
      <c r="Y2184" s="586" t="str">
        <f t="shared" si="531"/>
        <v/>
      </c>
      <c r="Z2184" s="586" t="str">
        <f t="shared" si="564"/>
        <v/>
      </c>
    </row>
    <row r="2185" spans="1:26" ht="12" hidden="1" thickBot="1" x14ac:dyDescent="0.25">
      <c r="A2185" s="567" t="s">
        <v>168</v>
      </c>
      <c r="B2185" s="644" t="s">
        <v>168</v>
      </c>
      <c r="C2185" s="645"/>
      <c r="D2185" s="422" t="s">
        <v>401</v>
      </c>
      <c r="E2185" s="423"/>
      <c r="F2185" s="424">
        <v>500</v>
      </c>
      <c r="G2185" s="425">
        <f>VLOOKUP(D2180,'[2]ENSAIOS DE ORÇAMENTO'!$C$3:$L$79,10,FALSE)</f>
        <v>4.8785999999999996E-2</v>
      </c>
      <c r="H2185" s="649">
        <f>IF(F2185&lt;=30,(0.78*F2185+7.82)*G2185,((0.78*30+7.82)+0.78*(F2185-30))*G2185)</f>
        <v>19.408046519999999</v>
      </c>
      <c r="I2185" s="420"/>
      <c r="J2185" s="420"/>
      <c r="K2185" s="421">
        <f t="shared" si="570"/>
        <v>0</v>
      </c>
      <c r="L2185" s="647"/>
      <c r="M2185" s="723"/>
      <c r="N2185" s="576">
        <f t="shared" si="559"/>
        <v>0</v>
      </c>
      <c r="O2185" s="577">
        <f t="shared" si="573"/>
        <v>0</v>
      </c>
      <c r="P2185" s="578">
        <f t="shared" si="574"/>
        <v>0</v>
      </c>
      <c r="Q2185" s="765"/>
      <c r="R2185" s="723"/>
      <c r="S2185" s="723"/>
      <c r="T2185" s="577">
        <f t="shared" si="571"/>
        <v>0</v>
      </c>
      <c r="U2185" s="578">
        <f t="shared" si="572"/>
        <v>0</v>
      </c>
      <c r="V2185" s="579"/>
      <c r="W2185" s="566" t="str">
        <f>IF(U2180&gt;0,"xx",IF(P2180&gt;0,"xy",""))</f>
        <v/>
      </c>
      <c r="X2185" s="586" t="str">
        <f t="shared" si="556"/>
        <v/>
      </c>
      <c r="Y2185" s="586" t="str">
        <f t="shared" si="531"/>
        <v/>
      </c>
      <c r="Z2185" s="586" t="str">
        <f t="shared" si="564"/>
        <v/>
      </c>
    </row>
    <row r="2186" spans="1:26" ht="12" hidden="1" thickBot="1" x14ac:dyDescent="0.25">
      <c r="A2186" s="567" t="s">
        <v>27</v>
      </c>
      <c r="B2186" s="644" t="s">
        <v>27</v>
      </c>
      <c r="C2186" s="645" t="s">
        <v>206</v>
      </c>
      <c r="D2186" s="422" t="s">
        <v>72</v>
      </c>
      <c r="E2186" s="423"/>
      <c r="F2186" s="424"/>
      <c r="G2186" s="425"/>
      <c r="H2186" s="651">
        <f>SUM(H2187:H2191)</f>
        <v>383.47125160200005</v>
      </c>
      <c r="I2186" s="420">
        <f>VLOOKUP(D2186,'[2]ENSAIOS DE ORÇAMENTO'!$C$3:$L$79,8,FALSE)</f>
        <v>2044.395368</v>
      </c>
      <c r="J2186" s="420">
        <f>IF(ISBLANK(I2186),"",SUM(H2186:I2186))</f>
        <v>2427.8666196019999</v>
      </c>
      <c r="K2186" s="421">
        <f t="shared" si="570"/>
        <v>2884.55</v>
      </c>
      <c r="L2186" s="647" t="s">
        <v>21</v>
      </c>
      <c r="M2186" s="576"/>
      <c r="N2186" s="576">
        <f t="shared" si="559"/>
        <v>0</v>
      </c>
      <c r="O2186" s="577">
        <f t="shared" si="573"/>
        <v>0</v>
      </c>
      <c r="P2186" s="578">
        <f t="shared" si="574"/>
        <v>0</v>
      </c>
      <c r="Q2186" s="765"/>
      <c r="R2186" s="576">
        <f>M2186</f>
        <v>0</v>
      </c>
      <c r="S2186" s="576">
        <f>N2186</f>
        <v>0</v>
      </c>
      <c r="T2186" s="577">
        <f t="shared" si="571"/>
        <v>0</v>
      </c>
      <c r="U2186" s="578">
        <f t="shared" si="572"/>
        <v>0</v>
      </c>
      <c r="V2186" s="579"/>
      <c r="W2186" s="566"/>
      <c r="X2186" s="586" t="str">
        <f t="shared" si="556"/>
        <v/>
      </c>
      <c r="Y2186" s="586" t="str">
        <f t="shared" si="531"/>
        <v/>
      </c>
      <c r="Z2186" s="586" t="str">
        <f t="shared" si="564"/>
        <v/>
      </c>
    </row>
    <row r="2187" spans="1:26" ht="12" hidden="1" thickBot="1" x14ac:dyDescent="0.25">
      <c r="A2187" s="567" t="s">
        <v>168</v>
      </c>
      <c r="B2187" s="644" t="s">
        <v>168</v>
      </c>
      <c r="C2187" s="645"/>
      <c r="D2187" s="422" t="s">
        <v>212</v>
      </c>
      <c r="E2187" s="423"/>
      <c r="F2187" s="424">
        <v>500</v>
      </c>
      <c r="G2187" s="425">
        <f>VLOOKUP(D2186,'[2]ENSAIOS DE ORÇAMENTO'!$C$3:$L$79,4,FALSE)</f>
        <v>0.19012209999999999</v>
      </c>
      <c r="H2187" s="649">
        <f>IF(F2187&lt;=30,(0.78*F2187+7.82)*G2187,((0.78*30+7.82)+0.78*(F2187-30))*G2187)</f>
        <v>75.634373822000001</v>
      </c>
      <c r="I2187" s="420"/>
      <c r="J2187" s="420"/>
      <c r="K2187" s="421">
        <f t="shared" si="570"/>
        <v>0</v>
      </c>
      <c r="L2187" s="647"/>
      <c r="M2187" s="723"/>
      <c r="N2187" s="576">
        <f t="shared" si="559"/>
        <v>0</v>
      </c>
      <c r="O2187" s="577">
        <f t="shared" si="573"/>
        <v>0</v>
      </c>
      <c r="P2187" s="578">
        <f t="shared" si="574"/>
        <v>0</v>
      </c>
      <c r="Q2187" s="765"/>
      <c r="R2187" s="723"/>
      <c r="S2187" s="723"/>
      <c r="T2187" s="577">
        <f t="shared" si="571"/>
        <v>0</v>
      </c>
      <c r="U2187" s="578">
        <f t="shared" si="572"/>
        <v>0</v>
      </c>
      <c r="V2187" s="579"/>
      <c r="W2187" s="566" t="str">
        <f>IF(U2186&gt;0,"xx",IF(P2186&gt;0,"xy",""))</f>
        <v/>
      </c>
      <c r="X2187" s="586" t="str">
        <f t="shared" si="556"/>
        <v/>
      </c>
      <c r="Y2187" s="586" t="str">
        <f t="shared" si="531"/>
        <v/>
      </c>
      <c r="Z2187" s="586" t="str">
        <f t="shared" si="564"/>
        <v/>
      </c>
    </row>
    <row r="2188" spans="1:26" ht="12" hidden="1" thickBot="1" x14ac:dyDescent="0.25">
      <c r="A2188" s="567" t="s">
        <v>168</v>
      </c>
      <c r="B2188" s="644" t="s">
        <v>168</v>
      </c>
      <c r="C2188" s="645"/>
      <c r="D2188" s="422" t="s">
        <v>248</v>
      </c>
      <c r="E2188" s="423"/>
      <c r="F2188" s="424">
        <v>180</v>
      </c>
      <c r="G2188" s="425">
        <f>VLOOKUP(D2186,'[2]ENSAIOS DE ORÇAMENTO'!$C$3:$L$79,5,FALSE)</f>
        <v>1.09957375</v>
      </c>
      <c r="H2188" s="663">
        <f t="shared" ref="H2188:H2190" si="576">IF(F2188&lt;=30,(1.07*F2188+2.68)*G2188,((1.07*30+2.68)+1.07*(F2188-30))*G2188)</f>
        <v>214.7247619</v>
      </c>
      <c r="I2188" s="420"/>
      <c r="J2188" s="420"/>
      <c r="K2188" s="421">
        <f t="shared" si="570"/>
        <v>0</v>
      </c>
      <c r="L2188" s="647"/>
      <c r="M2188" s="723"/>
      <c r="N2188" s="576">
        <f t="shared" si="559"/>
        <v>0</v>
      </c>
      <c r="O2188" s="577">
        <f t="shared" si="573"/>
        <v>0</v>
      </c>
      <c r="P2188" s="578">
        <f t="shared" si="574"/>
        <v>0</v>
      </c>
      <c r="Q2188" s="765"/>
      <c r="R2188" s="723"/>
      <c r="S2188" s="723"/>
      <c r="T2188" s="577">
        <f t="shared" si="571"/>
        <v>0</v>
      </c>
      <c r="U2188" s="578">
        <f t="shared" si="572"/>
        <v>0</v>
      </c>
      <c r="V2188" s="579"/>
      <c r="W2188" s="566" t="str">
        <f>IF(U2186&gt;0,"xx",IF(P2186&gt;0,"xy",""))</f>
        <v/>
      </c>
      <c r="X2188" s="586" t="str">
        <f t="shared" si="556"/>
        <v/>
      </c>
      <c r="Y2188" s="586" t="str">
        <f t="shared" si="531"/>
        <v/>
      </c>
      <c r="Z2188" s="586" t="str">
        <f t="shared" si="564"/>
        <v/>
      </c>
    </row>
    <row r="2189" spans="1:26" ht="12" hidden="1" thickBot="1" x14ac:dyDescent="0.25">
      <c r="A2189" s="567" t="s">
        <v>168</v>
      </c>
      <c r="B2189" s="644" t="s">
        <v>168</v>
      </c>
      <c r="C2189" s="645"/>
      <c r="D2189" s="422" t="s">
        <v>252</v>
      </c>
      <c r="E2189" s="423"/>
      <c r="F2189" s="424">
        <v>20</v>
      </c>
      <c r="G2189" s="425">
        <f>VLOOKUP(D2186,'[2]ENSAIOS DE ORÇAMENTO'!$C$3:$L$79,6,FALSE)</f>
        <v>0.20424000000000003</v>
      </c>
      <c r="H2189" s="663">
        <f t="shared" si="576"/>
        <v>4.9180992000000012</v>
      </c>
      <c r="I2189" s="420"/>
      <c r="J2189" s="420"/>
      <c r="K2189" s="421">
        <f t="shared" si="570"/>
        <v>0</v>
      </c>
      <c r="L2189" s="647"/>
      <c r="M2189" s="723"/>
      <c r="N2189" s="576">
        <f t="shared" si="559"/>
        <v>0</v>
      </c>
      <c r="O2189" s="577">
        <f t="shared" si="573"/>
        <v>0</v>
      </c>
      <c r="P2189" s="578">
        <f t="shared" si="574"/>
        <v>0</v>
      </c>
      <c r="Q2189" s="765"/>
      <c r="R2189" s="723"/>
      <c r="S2189" s="723"/>
      <c r="T2189" s="577">
        <f t="shared" si="571"/>
        <v>0</v>
      </c>
      <c r="U2189" s="578">
        <f t="shared" si="572"/>
        <v>0</v>
      </c>
      <c r="V2189" s="579"/>
      <c r="W2189" s="566" t="str">
        <f>IF(U2186&gt;0,"xx",IF(P2186&gt;0,"xy",""))</f>
        <v/>
      </c>
      <c r="X2189" s="586" t="str">
        <f t="shared" si="556"/>
        <v/>
      </c>
      <c r="Y2189" s="586" t="str">
        <f t="shared" si="531"/>
        <v/>
      </c>
      <c r="Z2189" s="586" t="str">
        <f t="shared" si="564"/>
        <v/>
      </c>
    </row>
    <row r="2190" spans="1:26" ht="12" hidden="1" thickBot="1" x14ac:dyDescent="0.25">
      <c r="A2190" s="567" t="s">
        <v>168</v>
      </c>
      <c r="B2190" s="644" t="s">
        <v>168</v>
      </c>
      <c r="C2190" s="645"/>
      <c r="D2190" s="422" t="s">
        <v>400</v>
      </c>
      <c r="E2190" s="423"/>
      <c r="F2190" s="424">
        <v>30</v>
      </c>
      <c r="G2190" s="425">
        <f>VLOOKUP(D2186,'[2]ENSAIOS DE ORÇAMENTO'!$C$3:$L$79,3,FALSE)</f>
        <v>1.8358199999999998</v>
      </c>
      <c r="H2190" s="663">
        <f t="shared" si="576"/>
        <v>63.849819599999996</v>
      </c>
      <c r="I2190" s="420"/>
      <c r="J2190" s="420"/>
      <c r="K2190" s="421">
        <f t="shared" si="570"/>
        <v>0</v>
      </c>
      <c r="L2190" s="647"/>
      <c r="M2190" s="723"/>
      <c r="N2190" s="576">
        <f t="shared" si="559"/>
        <v>0</v>
      </c>
      <c r="O2190" s="577">
        <f t="shared" si="573"/>
        <v>0</v>
      </c>
      <c r="P2190" s="578">
        <f t="shared" si="574"/>
        <v>0</v>
      </c>
      <c r="Q2190" s="765"/>
      <c r="R2190" s="723"/>
      <c r="S2190" s="723"/>
      <c r="T2190" s="577">
        <f t="shared" si="571"/>
        <v>0</v>
      </c>
      <c r="U2190" s="578">
        <f t="shared" si="572"/>
        <v>0</v>
      </c>
      <c r="V2190" s="579"/>
      <c r="W2190" s="566" t="str">
        <f>IF(U2186&gt;0,"xx",IF(P2186&gt;0,"xy",""))</f>
        <v/>
      </c>
      <c r="X2190" s="586" t="str">
        <f t="shared" si="556"/>
        <v/>
      </c>
      <c r="Y2190" s="586" t="str">
        <f t="shared" si="531"/>
        <v/>
      </c>
      <c r="Z2190" s="586" t="str">
        <f t="shared" si="564"/>
        <v/>
      </c>
    </row>
    <row r="2191" spans="1:26" ht="12" hidden="1" thickBot="1" x14ac:dyDescent="0.25">
      <c r="A2191" s="567" t="s">
        <v>168</v>
      </c>
      <c r="B2191" s="644" t="s">
        <v>168</v>
      </c>
      <c r="C2191" s="645"/>
      <c r="D2191" s="422" t="s">
        <v>401</v>
      </c>
      <c r="E2191" s="423"/>
      <c r="F2191" s="424">
        <v>500</v>
      </c>
      <c r="G2191" s="425">
        <f>VLOOKUP(D2186,'[2]ENSAIOS DE ORÇAMENTO'!$C$3:$L$79,10,FALSE)</f>
        <v>6.1193999999999998E-2</v>
      </c>
      <c r="H2191" s="649">
        <f>IF(F2191&lt;=30,(0.78*F2191+7.82)*G2191,((0.78*30+7.82)+0.78*(F2191-30))*G2191)</f>
        <v>24.344197080000001</v>
      </c>
      <c r="I2191" s="420"/>
      <c r="J2191" s="420"/>
      <c r="K2191" s="421">
        <f t="shared" si="570"/>
        <v>0</v>
      </c>
      <c r="L2191" s="647"/>
      <c r="M2191" s="723"/>
      <c r="N2191" s="576">
        <f t="shared" si="559"/>
        <v>0</v>
      </c>
      <c r="O2191" s="577">
        <f t="shared" si="573"/>
        <v>0</v>
      </c>
      <c r="P2191" s="578">
        <f t="shared" si="574"/>
        <v>0</v>
      </c>
      <c r="Q2191" s="765"/>
      <c r="R2191" s="723"/>
      <c r="S2191" s="723"/>
      <c r="T2191" s="577">
        <f t="shared" si="571"/>
        <v>0</v>
      </c>
      <c r="U2191" s="578">
        <f t="shared" si="572"/>
        <v>0</v>
      </c>
      <c r="V2191" s="579"/>
      <c r="W2191" s="566" t="str">
        <f>IF(U2186&gt;0,"xx",IF(P2186&gt;0,"xy",""))</f>
        <v/>
      </c>
      <c r="X2191" s="586" t="str">
        <f t="shared" si="556"/>
        <v/>
      </c>
      <c r="Y2191" s="586" t="str">
        <f t="shared" si="531"/>
        <v/>
      </c>
      <c r="Z2191" s="586" t="str">
        <f t="shared" si="564"/>
        <v/>
      </c>
    </row>
    <row r="2192" spans="1:26" ht="12" hidden="1" thickBot="1" x14ac:dyDescent="0.25">
      <c r="A2192" s="567" t="s">
        <v>113</v>
      </c>
      <c r="B2192" s="644" t="s">
        <v>113</v>
      </c>
      <c r="C2192" s="645" t="s">
        <v>206</v>
      </c>
      <c r="D2192" s="422" t="s">
        <v>402</v>
      </c>
      <c r="E2192" s="423"/>
      <c r="F2192" s="424"/>
      <c r="G2192" s="425"/>
      <c r="H2192" s="651">
        <f>SUM(H2193:H2197)</f>
        <v>456.5251684000001</v>
      </c>
      <c r="I2192" s="420">
        <f>VLOOKUP(D2192,'[2]ENSAIOS DE ORÇAMENTO'!$C$3:$L$79,8,FALSE)</f>
        <v>1094.7577000000001</v>
      </c>
      <c r="J2192" s="420">
        <f>IF(ISBLANK(I2192),"",SUM(H2192:I2192))</f>
        <v>1551.2828684000001</v>
      </c>
      <c r="K2192" s="421">
        <f t="shared" si="570"/>
        <v>1843.08</v>
      </c>
      <c r="L2192" s="647" t="s">
        <v>21</v>
      </c>
      <c r="M2192" s="576"/>
      <c r="N2192" s="576">
        <f t="shared" si="559"/>
        <v>0</v>
      </c>
      <c r="O2192" s="577">
        <f t="shared" si="573"/>
        <v>0</v>
      </c>
      <c r="P2192" s="578">
        <f t="shared" si="574"/>
        <v>0</v>
      </c>
      <c r="Q2192" s="765"/>
      <c r="R2192" s="576">
        <f>M2192</f>
        <v>0</v>
      </c>
      <c r="S2192" s="576">
        <f>N2192</f>
        <v>0</v>
      </c>
      <c r="T2192" s="577">
        <f t="shared" si="571"/>
        <v>0</v>
      </c>
      <c r="U2192" s="578">
        <f t="shared" si="572"/>
        <v>0</v>
      </c>
      <c r="V2192" s="579"/>
      <c r="W2192" s="566"/>
      <c r="X2192" s="586" t="str">
        <f t="shared" ref="X2192:X2277" si="577">IF(W2192="X","x",IF(W2192="xx","x",IF(W2192="xy","x",IF(W2192="y","x",IF(OR(P2192&gt;0,U2192&gt;0),"x","")))))</f>
        <v/>
      </c>
      <c r="Y2192" s="586" t="str">
        <f t="shared" si="531"/>
        <v/>
      </c>
      <c r="Z2192" s="586" t="str">
        <f t="shared" si="564"/>
        <v/>
      </c>
    </row>
    <row r="2193" spans="1:26" ht="12" hidden="1" thickBot="1" x14ac:dyDescent="0.25">
      <c r="A2193" s="567" t="s">
        <v>168</v>
      </c>
      <c r="B2193" s="644" t="s">
        <v>168</v>
      </c>
      <c r="C2193" s="645"/>
      <c r="D2193" s="422" t="s">
        <v>212</v>
      </c>
      <c r="E2193" s="423"/>
      <c r="F2193" s="424">
        <v>500</v>
      </c>
      <c r="G2193" s="425">
        <f>VLOOKUP(D2192,'[2]ENSAIOS DE ORÇAMENTO'!$C$3:$L$79,4,FALSE)</f>
        <v>0.43266000000000004</v>
      </c>
      <c r="H2193" s="649">
        <f>IF(F2193&lt;=30,(0.78*F2193+7.82)*G2193,((0.78*30+7.82)+0.78*(F2193-30))*G2193)</f>
        <v>172.12080120000005</v>
      </c>
      <c r="I2193" s="420"/>
      <c r="J2193" s="420"/>
      <c r="K2193" s="421">
        <f t="shared" si="570"/>
        <v>0</v>
      </c>
      <c r="L2193" s="647"/>
      <c r="M2193" s="723"/>
      <c r="N2193" s="576">
        <f t="shared" si="559"/>
        <v>0</v>
      </c>
      <c r="O2193" s="577">
        <f t="shared" si="573"/>
        <v>0</v>
      </c>
      <c r="P2193" s="578">
        <f t="shared" si="574"/>
        <v>0</v>
      </c>
      <c r="Q2193" s="765"/>
      <c r="R2193" s="723"/>
      <c r="S2193" s="723"/>
      <c r="T2193" s="577">
        <f t="shared" si="571"/>
        <v>0</v>
      </c>
      <c r="U2193" s="578">
        <f t="shared" si="572"/>
        <v>0</v>
      </c>
      <c r="V2193" s="579"/>
      <c r="W2193" s="566" t="str">
        <f>IF(U2192&gt;0,"xx",IF(P2192&gt;0,"xy",""))</f>
        <v/>
      </c>
      <c r="X2193" s="586" t="str">
        <f t="shared" si="577"/>
        <v/>
      </c>
      <c r="Y2193" s="586" t="str">
        <f t="shared" si="531"/>
        <v/>
      </c>
      <c r="Z2193" s="586" t="str">
        <f t="shared" si="564"/>
        <v/>
      </c>
    </row>
    <row r="2194" spans="1:26" ht="12" hidden="1" thickBot="1" x14ac:dyDescent="0.25">
      <c r="A2194" s="567" t="s">
        <v>168</v>
      </c>
      <c r="B2194" s="644" t="s">
        <v>168</v>
      </c>
      <c r="C2194" s="645"/>
      <c r="D2194" s="422" t="s">
        <v>248</v>
      </c>
      <c r="E2194" s="423"/>
      <c r="F2194" s="424">
        <v>180</v>
      </c>
      <c r="G2194" s="425">
        <f>VLOOKUP(D2192,'[2]ENSAIOS DE ORÇAMENTO'!$C$3:$L$79,5,FALSE)</f>
        <v>1.26997</v>
      </c>
      <c r="H2194" s="663">
        <f t="shared" ref="H2194:H2196" si="578">IF(F2194&lt;=30,(1.07*F2194+2.68)*G2194,((1.07*30+2.68)+1.07*(F2194-30))*G2194)</f>
        <v>247.99974160000002</v>
      </c>
      <c r="I2194" s="420"/>
      <c r="J2194" s="420"/>
      <c r="K2194" s="421">
        <f t="shared" si="570"/>
        <v>0</v>
      </c>
      <c r="L2194" s="647"/>
      <c r="M2194" s="723"/>
      <c r="N2194" s="576">
        <f t="shared" si="559"/>
        <v>0</v>
      </c>
      <c r="O2194" s="577">
        <f t="shared" si="573"/>
        <v>0</v>
      </c>
      <c r="P2194" s="578">
        <f t="shared" si="574"/>
        <v>0</v>
      </c>
      <c r="Q2194" s="765"/>
      <c r="R2194" s="723"/>
      <c r="S2194" s="723"/>
      <c r="T2194" s="577">
        <f t="shared" si="571"/>
        <v>0</v>
      </c>
      <c r="U2194" s="578">
        <f t="shared" si="572"/>
        <v>0</v>
      </c>
      <c r="V2194" s="579"/>
      <c r="W2194" s="566" t="str">
        <f>IF(U2192&gt;0,"xx",IF(P2192&gt;0,"xy",""))</f>
        <v/>
      </c>
      <c r="X2194" s="586" t="str">
        <f t="shared" si="577"/>
        <v/>
      </c>
      <c r="Y2194" s="586" t="str">
        <f t="shared" si="531"/>
        <v/>
      </c>
      <c r="Z2194" s="586" t="str">
        <f t="shared" si="564"/>
        <v/>
      </c>
    </row>
    <row r="2195" spans="1:26" ht="12" hidden="1" thickBot="1" x14ac:dyDescent="0.25">
      <c r="A2195" s="567" t="s">
        <v>168</v>
      </c>
      <c r="B2195" s="644" t="s">
        <v>168</v>
      </c>
      <c r="C2195" s="645"/>
      <c r="D2195" s="422" t="s">
        <v>252</v>
      </c>
      <c r="E2195" s="423"/>
      <c r="F2195" s="424">
        <v>20</v>
      </c>
      <c r="G2195" s="425">
        <f>VLOOKUP(D2192,'[2]ENSAIOS DE ORÇAMENTO'!$C$3:$L$79,6,FALSE)</f>
        <v>1.5118200000000002</v>
      </c>
      <c r="H2195" s="663">
        <f t="shared" si="578"/>
        <v>36.40462560000001</v>
      </c>
      <c r="I2195" s="420"/>
      <c r="J2195" s="420"/>
      <c r="K2195" s="421">
        <f t="shared" si="570"/>
        <v>0</v>
      </c>
      <c r="L2195" s="647"/>
      <c r="M2195" s="723"/>
      <c r="N2195" s="576">
        <f t="shared" si="559"/>
        <v>0</v>
      </c>
      <c r="O2195" s="577">
        <f t="shared" si="573"/>
        <v>0</v>
      </c>
      <c r="P2195" s="578">
        <f t="shared" si="574"/>
        <v>0</v>
      </c>
      <c r="Q2195" s="765"/>
      <c r="R2195" s="723"/>
      <c r="S2195" s="723"/>
      <c r="T2195" s="577">
        <f t="shared" si="571"/>
        <v>0</v>
      </c>
      <c r="U2195" s="578">
        <f t="shared" si="572"/>
        <v>0</v>
      </c>
      <c r="V2195" s="579"/>
      <c r="W2195" s="566" t="str">
        <f>IF(U2192&gt;0,"xx",IF(P2192&gt;0,"xy",""))</f>
        <v/>
      </c>
      <c r="X2195" s="586" t="str">
        <f t="shared" si="577"/>
        <v/>
      </c>
      <c r="Y2195" s="586" t="str">
        <f t="shared" si="531"/>
        <v/>
      </c>
      <c r="Z2195" s="586" t="str">
        <f t="shared" si="564"/>
        <v/>
      </c>
    </row>
    <row r="2196" spans="1:26" ht="12" hidden="1" thickBot="1" x14ac:dyDescent="0.25">
      <c r="A2196" s="567" t="s">
        <v>168</v>
      </c>
      <c r="B2196" s="644" t="s">
        <v>168</v>
      </c>
      <c r="C2196" s="645"/>
      <c r="D2196" s="422" t="s">
        <v>400</v>
      </c>
      <c r="E2196" s="423"/>
      <c r="F2196" s="424">
        <v>30</v>
      </c>
      <c r="G2196" s="425">
        <f>VLOOKUP(D2192,'[2]ENSAIOS DE ORÇAMENTO'!$C$3:$L$79,3,FALSE)</f>
        <v>0</v>
      </c>
      <c r="H2196" s="663">
        <f t="shared" si="578"/>
        <v>0</v>
      </c>
      <c r="I2196" s="420"/>
      <c r="J2196" s="420"/>
      <c r="K2196" s="421">
        <f t="shared" si="570"/>
        <v>0</v>
      </c>
      <c r="L2196" s="647"/>
      <c r="M2196" s="723"/>
      <c r="N2196" s="576">
        <f t="shared" ref="N2196:N2259" si="579">IF(M2196=0,0,K2196)</f>
        <v>0</v>
      </c>
      <c r="O2196" s="577">
        <f t="shared" si="573"/>
        <v>0</v>
      </c>
      <c r="P2196" s="578">
        <f t="shared" si="574"/>
        <v>0</v>
      </c>
      <c r="Q2196" s="765"/>
      <c r="R2196" s="723"/>
      <c r="S2196" s="723"/>
      <c r="T2196" s="577">
        <f t="shared" si="571"/>
        <v>0</v>
      </c>
      <c r="U2196" s="578">
        <f t="shared" si="572"/>
        <v>0</v>
      </c>
      <c r="V2196" s="579"/>
      <c r="W2196" s="566" t="str">
        <f>IF(U2192&gt;0,"xx",IF(P2192&gt;0,"xy",""))</f>
        <v/>
      </c>
      <c r="X2196" s="586" t="str">
        <f t="shared" si="577"/>
        <v/>
      </c>
      <c r="Y2196" s="586" t="str">
        <f t="shared" si="531"/>
        <v/>
      </c>
      <c r="Z2196" s="586" t="str">
        <f t="shared" si="564"/>
        <v/>
      </c>
    </row>
    <row r="2197" spans="1:26" ht="12" hidden="1" thickBot="1" x14ac:dyDescent="0.25">
      <c r="A2197" s="567" t="s">
        <v>168</v>
      </c>
      <c r="B2197" s="644" t="s">
        <v>168</v>
      </c>
      <c r="C2197" s="645"/>
      <c r="D2197" s="422" t="s">
        <v>401</v>
      </c>
      <c r="E2197" s="423"/>
      <c r="F2197" s="424">
        <v>500</v>
      </c>
      <c r="G2197" s="425">
        <f>VLOOKUP(D2192,'[2]ENSAIOS DE ORÇAMENTO'!$C$3:$L$79,10,FALSE)</f>
        <v>0</v>
      </c>
      <c r="H2197" s="649">
        <f>IF(F2197&lt;=30,(0.78*F2197+7.82)*G2197,((0.78*30+7.82)+0.78*(F2197-30))*G2197)</f>
        <v>0</v>
      </c>
      <c r="I2197" s="420"/>
      <c r="J2197" s="420"/>
      <c r="K2197" s="421">
        <f t="shared" si="570"/>
        <v>0</v>
      </c>
      <c r="L2197" s="647"/>
      <c r="M2197" s="723"/>
      <c r="N2197" s="576">
        <f t="shared" si="579"/>
        <v>0</v>
      </c>
      <c r="O2197" s="577">
        <f t="shared" si="573"/>
        <v>0</v>
      </c>
      <c r="P2197" s="578">
        <f t="shared" si="574"/>
        <v>0</v>
      </c>
      <c r="Q2197" s="765"/>
      <c r="R2197" s="723"/>
      <c r="S2197" s="723"/>
      <c r="T2197" s="577">
        <f t="shared" si="571"/>
        <v>0</v>
      </c>
      <c r="U2197" s="578">
        <f t="shared" si="572"/>
        <v>0</v>
      </c>
      <c r="V2197" s="579"/>
      <c r="W2197" s="566" t="str">
        <f>IF(U2192&gt;0,"xx",IF(P2192&gt;0,"xy",""))</f>
        <v/>
      </c>
      <c r="X2197" s="586" t="str">
        <f t="shared" si="577"/>
        <v/>
      </c>
      <c r="Y2197" s="586" t="str">
        <f t="shared" si="531"/>
        <v/>
      </c>
      <c r="Z2197" s="586" t="str">
        <f t="shared" si="564"/>
        <v/>
      </c>
    </row>
    <row r="2198" spans="1:26" ht="12" hidden="1" thickBot="1" x14ac:dyDescent="0.25">
      <c r="A2198" s="567" t="s">
        <v>114</v>
      </c>
      <c r="B2198" s="644" t="s">
        <v>114</v>
      </c>
      <c r="C2198" s="645" t="s">
        <v>206</v>
      </c>
      <c r="D2198" s="422" t="s">
        <v>403</v>
      </c>
      <c r="E2198" s="423"/>
      <c r="F2198" s="424"/>
      <c r="G2198" s="425">
        <f>G2222</f>
        <v>0</v>
      </c>
      <c r="H2198" s="651">
        <f>SUM(H2199:H2203)</f>
        <v>568.01972080000007</v>
      </c>
      <c r="I2198" s="420">
        <f>VLOOKUP(D2198,'[2]ENSAIOS DE ORÇAMENTO'!$C$3:$L$79,8,FALSE)</f>
        <v>1275.7076000000002</v>
      </c>
      <c r="J2198" s="420">
        <f>IF(ISBLANK(I2198),"",SUM(H2198:I2198))</f>
        <v>1843.7273208000001</v>
      </c>
      <c r="K2198" s="421">
        <f t="shared" si="570"/>
        <v>2190.5300000000002</v>
      </c>
      <c r="L2198" s="647" t="s">
        <v>21</v>
      </c>
      <c r="M2198" s="576"/>
      <c r="N2198" s="576">
        <f t="shared" si="579"/>
        <v>0</v>
      </c>
      <c r="O2198" s="577">
        <f t="shared" si="573"/>
        <v>0</v>
      </c>
      <c r="P2198" s="578">
        <f t="shared" si="574"/>
        <v>0</v>
      </c>
      <c r="Q2198" s="765"/>
      <c r="R2198" s="576">
        <f>M2198</f>
        <v>0</v>
      </c>
      <c r="S2198" s="576">
        <f>N2198</f>
        <v>0</v>
      </c>
      <c r="T2198" s="577">
        <f t="shared" si="571"/>
        <v>0</v>
      </c>
      <c r="U2198" s="578">
        <f t="shared" si="572"/>
        <v>0</v>
      </c>
      <c r="V2198" s="579"/>
      <c r="W2198" s="566"/>
      <c r="X2198" s="586" t="str">
        <f t="shared" si="577"/>
        <v/>
      </c>
      <c r="Y2198" s="586" t="str">
        <f t="shared" si="531"/>
        <v/>
      </c>
      <c r="Z2198" s="586" t="str">
        <f t="shared" si="564"/>
        <v/>
      </c>
    </row>
    <row r="2199" spans="1:26" ht="12" hidden="1" thickBot="1" x14ac:dyDescent="0.25">
      <c r="A2199" s="567" t="s">
        <v>168</v>
      </c>
      <c r="B2199" s="644" t="s">
        <v>168</v>
      </c>
      <c r="C2199" s="645"/>
      <c r="D2199" s="422" t="s">
        <v>212</v>
      </c>
      <c r="E2199" s="423"/>
      <c r="F2199" s="424">
        <v>500</v>
      </c>
      <c r="G2199" s="425">
        <f>VLOOKUP(D2198,'[2]ENSAIOS DE ORÇAMENTO'!$C$3:$L$79,4,FALSE)</f>
        <v>0.54156000000000004</v>
      </c>
      <c r="H2199" s="649">
        <f>IF(F2199&lt;=30,(0.78*F2199+7.82)*G2199,((0.78*30+7.82)+0.78*(F2199-30))*G2199)</f>
        <v>215.44339920000004</v>
      </c>
      <c r="I2199" s="420"/>
      <c r="J2199" s="420"/>
      <c r="K2199" s="421">
        <f t="shared" si="570"/>
        <v>0</v>
      </c>
      <c r="L2199" s="647"/>
      <c r="M2199" s="723"/>
      <c r="N2199" s="576">
        <f t="shared" si="579"/>
        <v>0</v>
      </c>
      <c r="O2199" s="577">
        <f t="shared" si="573"/>
        <v>0</v>
      </c>
      <c r="P2199" s="578">
        <f t="shared" si="574"/>
        <v>0</v>
      </c>
      <c r="Q2199" s="765"/>
      <c r="R2199" s="723"/>
      <c r="S2199" s="723"/>
      <c r="T2199" s="577">
        <f t="shared" si="571"/>
        <v>0</v>
      </c>
      <c r="U2199" s="578">
        <f t="shared" si="572"/>
        <v>0</v>
      </c>
      <c r="V2199" s="579"/>
      <c r="W2199" s="566" t="str">
        <f>IF(U2198&gt;0,"xx",IF(P2198&gt;0,"xy",""))</f>
        <v/>
      </c>
      <c r="X2199" s="586" t="str">
        <f t="shared" si="577"/>
        <v/>
      </c>
      <c r="Y2199" s="586" t="str">
        <f t="shared" si="531"/>
        <v/>
      </c>
      <c r="Z2199" s="586" t="str">
        <f t="shared" si="564"/>
        <v/>
      </c>
    </row>
    <row r="2200" spans="1:26" ht="12" hidden="1" thickBot="1" x14ac:dyDescent="0.25">
      <c r="A2200" s="567" t="s">
        <v>168</v>
      </c>
      <c r="B2200" s="644" t="s">
        <v>168</v>
      </c>
      <c r="C2200" s="645"/>
      <c r="D2200" s="422" t="s">
        <v>248</v>
      </c>
      <c r="E2200" s="423"/>
      <c r="F2200" s="424">
        <v>180</v>
      </c>
      <c r="G2200" s="425">
        <f>VLOOKUP(D2198,'[2]ENSAIOS DE ORÇAMENTO'!$C$3:$L$79,5,FALSE)</f>
        <v>1.5739000000000001</v>
      </c>
      <c r="H2200" s="663">
        <f t="shared" ref="H2200:H2202" si="580">IF(F2200&lt;=30,(1.07*F2200+2.68)*G2200,((1.07*30+2.68)+1.07*(F2200-30))*G2200)</f>
        <v>307.35119200000003</v>
      </c>
      <c r="I2200" s="420"/>
      <c r="J2200" s="420"/>
      <c r="K2200" s="421">
        <f t="shared" si="570"/>
        <v>0</v>
      </c>
      <c r="L2200" s="647"/>
      <c r="M2200" s="723"/>
      <c r="N2200" s="576">
        <f t="shared" si="579"/>
        <v>0</v>
      </c>
      <c r="O2200" s="577">
        <f t="shared" si="573"/>
        <v>0</v>
      </c>
      <c r="P2200" s="578">
        <f t="shared" si="574"/>
        <v>0</v>
      </c>
      <c r="Q2200" s="765"/>
      <c r="R2200" s="723"/>
      <c r="S2200" s="723"/>
      <c r="T2200" s="577">
        <f t="shared" si="571"/>
        <v>0</v>
      </c>
      <c r="U2200" s="578">
        <f t="shared" si="572"/>
        <v>0</v>
      </c>
      <c r="V2200" s="579"/>
      <c r="W2200" s="566" t="str">
        <f>IF(U2198&gt;0,"xx",IF(P2198&gt;0,"xy",""))</f>
        <v/>
      </c>
      <c r="X2200" s="586" t="str">
        <f t="shared" si="577"/>
        <v/>
      </c>
      <c r="Y2200" s="586" t="str">
        <f t="shared" si="531"/>
        <v/>
      </c>
      <c r="Z2200" s="586" t="str">
        <f t="shared" si="564"/>
        <v/>
      </c>
    </row>
    <row r="2201" spans="1:26" ht="12" hidden="1" thickBot="1" x14ac:dyDescent="0.25">
      <c r="A2201" s="567" t="s">
        <v>168</v>
      </c>
      <c r="B2201" s="644" t="s">
        <v>168</v>
      </c>
      <c r="C2201" s="645"/>
      <c r="D2201" s="422" t="s">
        <v>252</v>
      </c>
      <c r="E2201" s="423"/>
      <c r="F2201" s="424">
        <v>20</v>
      </c>
      <c r="G2201" s="425">
        <f>VLOOKUP(D2198,'[2]ENSAIOS DE ORÇAMENTO'!$C$3:$L$79,6,FALSE)</f>
        <v>1.8781200000000002</v>
      </c>
      <c r="H2201" s="663">
        <f t="shared" si="580"/>
        <v>45.22512960000001</v>
      </c>
      <c r="I2201" s="420"/>
      <c r="J2201" s="420"/>
      <c r="K2201" s="421">
        <f t="shared" si="570"/>
        <v>0</v>
      </c>
      <c r="L2201" s="647"/>
      <c r="M2201" s="723"/>
      <c r="N2201" s="576">
        <f t="shared" si="579"/>
        <v>0</v>
      </c>
      <c r="O2201" s="577">
        <f t="shared" si="573"/>
        <v>0</v>
      </c>
      <c r="P2201" s="578">
        <f t="shared" si="574"/>
        <v>0</v>
      </c>
      <c r="Q2201" s="765"/>
      <c r="R2201" s="723"/>
      <c r="S2201" s="723"/>
      <c r="T2201" s="577">
        <f t="shared" si="571"/>
        <v>0</v>
      </c>
      <c r="U2201" s="578">
        <f t="shared" si="572"/>
        <v>0</v>
      </c>
      <c r="V2201" s="579"/>
      <c r="W2201" s="566" t="str">
        <f>IF(U2198&gt;0,"xx",IF(P2198&gt;0,"xy",""))</f>
        <v/>
      </c>
      <c r="X2201" s="586" t="str">
        <f t="shared" si="577"/>
        <v/>
      </c>
      <c r="Y2201" s="586" t="str">
        <f t="shared" si="531"/>
        <v/>
      </c>
      <c r="Z2201" s="586" t="str">
        <f t="shared" si="564"/>
        <v/>
      </c>
    </row>
    <row r="2202" spans="1:26" ht="12" hidden="1" thickBot="1" x14ac:dyDescent="0.25">
      <c r="A2202" s="567" t="s">
        <v>168</v>
      </c>
      <c r="B2202" s="644" t="s">
        <v>168</v>
      </c>
      <c r="C2202" s="645"/>
      <c r="D2202" s="422" t="s">
        <v>400</v>
      </c>
      <c r="E2202" s="423"/>
      <c r="F2202" s="424">
        <v>30</v>
      </c>
      <c r="G2202" s="425">
        <f>VLOOKUP(D2198,'[2]ENSAIOS DE ORÇAMENTO'!$C$3:$L$79,3,FALSE)</f>
        <v>0</v>
      </c>
      <c r="H2202" s="663">
        <f t="shared" si="580"/>
        <v>0</v>
      </c>
      <c r="I2202" s="420"/>
      <c r="J2202" s="420"/>
      <c r="K2202" s="421">
        <f t="shared" si="570"/>
        <v>0</v>
      </c>
      <c r="L2202" s="647"/>
      <c r="M2202" s="723"/>
      <c r="N2202" s="576">
        <f t="shared" si="579"/>
        <v>0</v>
      </c>
      <c r="O2202" s="577">
        <f t="shared" si="573"/>
        <v>0</v>
      </c>
      <c r="P2202" s="578">
        <f t="shared" si="574"/>
        <v>0</v>
      </c>
      <c r="Q2202" s="765"/>
      <c r="R2202" s="723"/>
      <c r="S2202" s="723"/>
      <c r="T2202" s="577">
        <f t="shared" si="571"/>
        <v>0</v>
      </c>
      <c r="U2202" s="578">
        <f t="shared" si="572"/>
        <v>0</v>
      </c>
      <c r="V2202" s="579"/>
      <c r="W2202" s="566" t="str">
        <f>IF(U2198&gt;0,"xx",IF(P2198&gt;0,"xy",""))</f>
        <v/>
      </c>
      <c r="X2202" s="586" t="str">
        <f t="shared" si="577"/>
        <v/>
      </c>
      <c r="Y2202" s="586" t="str">
        <f t="shared" si="531"/>
        <v/>
      </c>
      <c r="Z2202" s="586" t="str">
        <f t="shared" si="564"/>
        <v/>
      </c>
    </row>
    <row r="2203" spans="1:26" ht="12" hidden="1" thickBot="1" x14ac:dyDescent="0.25">
      <c r="A2203" s="567" t="s">
        <v>168</v>
      </c>
      <c r="B2203" s="644" t="s">
        <v>168</v>
      </c>
      <c r="C2203" s="645"/>
      <c r="D2203" s="422" t="s">
        <v>401</v>
      </c>
      <c r="E2203" s="423"/>
      <c r="F2203" s="424">
        <v>500</v>
      </c>
      <c r="G2203" s="425">
        <f>VLOOKUP(D2198,'[2]ENSAIOS DE ORÇAMENTO'!$C$3:$L$79,10,FALSE)</f>
        <v>0</v>
      </c>
      <c r="H2203" s="649">
        <f>IF(F2203&lt;=30,(0.78*F2203+7.82)*G2203,((0.78*30+7.82)+0.78*(F2203-30))*G2203)</f>
        <v>0</v>
      </c>
      <c r="I2203" s="420"/>
      <c r="J2203" s="420"/>
      <c r="K2203" s="421">
        <f t="shared" si="570"/>
        <v>0</v>
      </c>
      <c r="L2203" s="647"/>
      <c r="M2203" s="723"/>
      <c r="N2203" s="576">
        <f t="shared" si="579"/>
        <v>0</v>
      </c>
      <c r="O2203" s="577">
        <f t="shared" si="573"/>
        <v>0</v>
      </c>
      <c r="P2203" s="578">
        <f t="shared" si="574"/>
        <v>0</v>
      </c>
      <c r="Q2203" s="765"/>
      <c r="R2203" s="723"/>
      <c r="S2203" s="723"/>
      <c r="T2203" s="577">
        <f t="shared" si="571"/>
        <v>0</v>
      </c>
      <c r="U2203" s="578">
        <f t="shared" si="572"/>
        <v>0</v>
      </c>
      <c r="V2203" s="579"/>
      <c r="W2203" s="566" t="str">
        <f>IF(U2198&gt;0,"xx",IF(P2198&gt;0,"xy",""))</f>
        <v/>
      </c>
      <c r="X2203" s="586" t="str">
        <f t="shared" si="577"/>
        <v/>
      </c>
      <c r="Y2203" s="586" t="str">
        <f t="shared" si="531"/>
        <v/>
      </c>
      <c r="Z2203" s="586" t="str">
        <f t="shared" si="564"/>
        <v/>
      </c>
    </row>
    <row r="2204" spans="1:26" ht="12" hidden="1" thickBot="1" x14ac:dyDescent="0.25">
      <c r="A2204" s="567" t="s">
        <v>115</v>
      </c>
      <c r="B2204" s="644" t="s">
        <v>115</v>
      </c>
      <c r="C2204" s="645" t="s">
        <v>206</v>
      </c>
      <c r="D2204" s="422" t="s">
        <v>404</v>
      </c>
      <c r="E2204" s="423"/>
      <c r="F2204" s="424"/>
      <c r="G2204" s="425">
        <f>G2228</f>
        <v>0</v>
      </c>
      <c r="H2204" s="651">
        <f>SUM(H2205:H2209)</f>
        <v>750.46535200000017</v>
      </c>
      <c r="I2204" s="420">
        <f>VLOOKUP(D2204,'[2]ENSAIOS DE ORÇAMENTO'!$C$3:$L$79,8,FALSE)</f>
        <v>1572.3155999999999</v>
      </c>
      <c r="J2204" s="420">
        <f>IF(ISBLANK(I2204),"",SUM(H2204:I2204))</f>
        <v>2322.7809520000001</v>
      </c>
      <c r="K2204" s="421">
        <f t="shared" si="570"/>
        <v>2759.7</v>
      </c>
      <c r="L2204" s="647" t="s">
        <v>21</v>
      </c>
      <c r="M2204" s="576"/>
      <c r="N2204" s="576">
        <f t="shared" si="579"/>
        <v>0</v>
      </c>
      <c r="O2204" s="577">
        <f t="shared" si="573"/>
        <v>0</v>
      </c>
      <c r="P2204" s="578">
        <f t="shared" si="574"/>
        <v>0</v>
      </c>
      <c r="Q2204" s="765"/>
      <c r="R2204" s="576">
        <f>M2204</f>
        <v>0</v>
      </c>
      <c r="S2204" s="576">
        <f>N2204</f>
        <v>0</v>
      </c>
      <c r="T2204" s="577">
        <f t="shared" si="571"/>
        <v>0</v>
      </c>
      <c r="U2204" s="578">
        <f t="shared" si="572"/>
        <v>0</v>
      </c>
      <c r="V2204" s="579"/>
      <c r="W2204" s="566"/>
      <c r="X2204" s="586" t="str">
        <f t="shared" si="577"/>
        <v/>
      </c>
      <c r="Y2204" s="586" t="str">
        <f t="shared" si="531"/>
        <v/>
      </c>
      <c r="Z2204" s="586" t="str">
        <f t="shared" si="564"/>
        <v/>
      </c>
    </row>
    <row r="2205" spans="1:26" ht="12" hidden="1" thickBot="1" x14ac:dyDescent="0.25">
      <c r="A2205" s="567" t="s">
        <v>168</v>
      </c>
      <c r="B2205" s="644" t="s">
        <v>168</v>
      </c>
      <c r="C2205" s="645"/>
      <c r="D2205" s="422" t="s">
        <v>212</v>
      </c>
      <c r="E2205" s="423"/>
      <c r="F2205" s="424">
        <v>500</v>
      </c>
      <c r="G2205" s="425">
        <f>VLOOKUP(D2204,'[2]ENSAIOS DE ORÇAMENTO'!$C$3:$L$79,4,FALSE)</f>
        <v>0.71976000000000007</v>
      </c>
      <c r="H2205" s="649">
        <f>IF(F2205&lt;=30,(0.78*F2205+7.82)*G2205,((0.78*30+7.82)+0.78*(F2205-30))*G2205)</f>
        <v>286.33492320000005</v>
      </c>
      <c r="I2205" s="420"/>
      <c r="J2205" s="420"/>
      <c r="K2205" s="421">
        <f t="shared" si="570"/>
        <v>0</v>
      </c>
      <c r="L2205" s="647"/>
      <c r="M2205" s="723"/>
      <c r="N2205" s="576">
        <f t="shared" si="579"/>
        <v>0</v>
      </c>
      <c r="O2205" s="577">
        <f t="shared" si="573"/>
        <v>0</v>
      </c>
      <c r="P2205" s="578">
        <f t="shared" si="574"/>
        <v>0</v>
      </c>
      <c r="Q2205" s="765"/>
      <c r="R2205" s="723"/>
      <c r="S2205" s="723"/>
      <c r="T2205" s="577">
        <f t="shared" si="571"/>
        <v>0</v>
      </c>
      <c r="U2205" s="578">
        <f t="shared" si="572"/>
        <v>0</v>
      </c>
      <c r="V2205" s="579"/>
      <c r="W2205" s="566" t="str">
        <f>IF(U2204&gt;0,"xx",IF(P2204&gt;0,"xy",""))</f>
        <v/>
      </c>
      <c r="X2205" s="586" t="str">
        <f t="shared" si="577"/>
        <v/>
      </c>
      <c r="Y2205" s="586" t="str">
        <f t="shared" si="531"/>
        <v/>
      </c>
      <c r="Z2205" s="586" t="str">
        <f t="shared" si="564"/>
        <v/>
      </c>
    </row>
    <row r="2206" spans="1:26" ht="12" hidden="1" thickBot="1" x14ac:dyDescent="0.25">
      <c r="A2206" s="567" t="s">
        <v>168</v>
      </c>
      <c r="B2206" s="644" t="s">
        <v>168</v>
      </c>
      <c r="C2206" s="645"/>
      <c r="D2206" s="422" t="s">
        <v>248</v>
      </c>
      <c r="E2206" s="423"/>
      <c r="F2206" s="424">
        <v>180</v>
      </c>
      <c r="G2206" s="425">
        <f>VLOOKUP(D2204,'[2]ENSAIOS DE ORÇAMENTO'!$C$3:$L$79,5,FALSE)</f>
        <v>2.0712400000000004</v>
      </c>
      <c r="H2206" s="663">
        <f t="shared" ref="H2206:H2208" si="581">IF(F2206&lt;=30,(1.07*F2206+2.68)*G2206,((1.07*30+2.68)+1.07*(F2206-30))*G2206)</f>
        <v>404.4717472000001</v>
      </c>
      <c r="I2206" s="420"/>
      <c r="J2206" s="420"/>
      <c r="K2206" s="421">
        <f t="shared" si="570"/>
        <v>0</v>
      </c>
      <c r="L2206" s="647"/>
      <c r="M2206" s="723"/>
      <c r="N2206" s="576">
        <f t="shared" si="579"/>
        <v>0</v>
      </c>
      <c r="O2206" s="577">
        <f t="shared" si="573"/>
        <v>0</v>
      </c>
      <c r="P2206" s="578">
        <f t="shared" si="574"/>
        <v>0</v>
      </c>
      <c r="Q2206" s="765"/>
      <c r="R2206" s="723"/>
      <c r="S2206" s="723"/>
      <c r="T2206" s="577">
        <f t="shared" si="571"/>
        <v>0</v>
      </c>
      <c r="U2206" s="578">
        <f t="shared" si="572"/>
        <v>0</v>
      </c>
      <c r="V2206" s="579"/>
      <c r="W2206" s="566" t="str">
        <f>IF(U2204&gt;0,"xx",IF(P2204&gt;0,"xy",""))</f>
        <v/>
      </c>
      <c r="X2206" s="586" t="str">
        <f t="shared" si="577"/>
        <v/>
      </c>
      <c r="Y2206" s="586" t="str">
        <f t="shared" si="531"/>
        <v/>
      </c>
      <c r="Z2206" s="586" t="str">
        <f t="shared" si="564"/>
        <v/>
      </c>
    </row>
    <row r="2207" spans="1:26" ht="12" hidden="1" thickBot="1" x14ac:dyDescent="0.25">
      <c r="A2207" s="567" t="s">
        <v>168</v>
      </c>
      <c r="B2207" s="644" t="s">
        <v>168</v>
      </c>
      <c r="C2207" s="645"/>
      <c r="D2207" s="422" t="s">
        <v>252</v>
      </c>
      <c r="E2207" s="423"/>
      <c r="F2207" s="424">
        <v>20</v>
      </c>
      <c r="G2207" s="425">
        <f>VLOOKUP(D2204,'[2]ENSAIOS DE ORÇAMENTO'!$C$3:$L$79,6,FALSE)</f>
        <v>2.4775200000000002</v>
      </c>
      <c r="H2207" s="663">
        <f t="shared" si="581"/>
        <v>59.658681600000008</v>
      </c>
      <c r="I2207" s="420"/>
      <c r="J2207" s="420"/>
      <c r="K2207" s="421">
        <f t="shared" si="570"/>
        <v>0</v>
      </c>
      <c r="L2207" s="647"/>
      <c r="M2207" s="723"/>
      <c r="N2207" s="576">
        <f t="shared" si="579"/>
        <v>0</v>
      </c>
      <c r="O2207" s="577">
        <f t="shared" si="573"/>
        <v>0</v>
      </c>
      <c r="P2207" s="578">
        <f t="shared" si="574"/>
        <v>0</v>
      </c>
      <c r="Q2207" s="765"/>
      <c r="R2207" s="723"/>
      <c r="S2207" s="723"/>
      <c r="T2207" s="577">
        <f t="shared" si="571"/>
        <v>0</v>
      </c>
      <c r="U2207" s="578">
        <f t="shared" si="572"/>
        <v>0</v>
      </c>
      <c r="V2207" s="579"/>
      <c r="W2207" s="566" t="str">
        <f>IF(U2204&gt;0,"xx",IF(P2204&gt;0,"xy",""))</f>
        <v/>
      </c>
      <c r="X2207" s="586" t="str">
        <f t="shared" si="577"/>
        <v/>
      </c>
      <c r="Y2207" s="586" t="str">
        <f t="shared" si="531"/>
        <v/>
      </c>
      <c r="Z2207" s="586" t="str">
        <f t="shared" si="564"/>
        <v/>
      </c>
    </row>
    <row r="2208" spans="1:26" ht="12" hidden="1" thickBot="1" x14ac:dyDescent="0.25">
      <c r="A2208" s="567" t="s">
        <v>168</v>
      </c>
      <c r="B2208" s="644" t="s">
        <v>168</v>
      </c>
      <c r="C2208" s="645"/>
      <c r="D2208" s="422" t="s">
        <v>400</v>
      </c>
      <c r="E2208" s="423"/>
      <c r="F2208" s="424">
        <v>30</v>
      </c>
      <c r="G2208" s="425">
        <f>VLOOKUP(D2204,'[2]ENSAIOS DE ORÇAMENTO'!$C$3:$L$79,3,FALSE)</f>
        <v>0</v>
      </c>
      <c r="H2208" s="663">
        <f t="shared" si="581"/>
        <v>0</v>
      </c>
      <c r="I2208" s="420"/>
      <c r="J2208" s="420"/>
      <c r="K2208" s="421">
        <f t="shared" si="570"/>
        <v>0</v>
      </c>
      <c r="L2208" s="647"/>
      <c r="M2208" s="723"/>
      <c r="N2208" s="576">
        <f t="shared" si="579"/>
        <v>0</v>
      </c>
      <c r="O2208" s="577">
        <f t="shared" si="573"/>
        <v>0</v>
      </c>
      <c r="P2208" s="578">
        <f t="shared" si="574"/>
        <v>0</v>
      </c>
      <c r="Q2208" s="765"/>
      <c r="R2208" s="723"/>
      <c r="S2208" s="723"/>
      <c r="T2208" s="577">
        <f t="shared" si="571"/>
        <v>0</v>
      </c>
      <c r="U2208" s="578">
        <f t="shared" si="572"/>
        <v>0</v>
      </c>
      <c r="V2208" s="579"/>
      <c r="W2208" s="566" t="str">
        <f>IF(U2204&gt;0,"xx",IF(P2204&gt;0,"xy",""))</f>
        <v/>
      </c>
      <c r="X2208" s="586" t="str">
        <f t="shared" si="577"/>
        <v/>
      </c>
      <c r="Y2208" s="586" t="str">
        <f t="shared" si="531"/>
        <v/>
      </c>
      <c r="Z2208" s="586" t="str">
        <f t="shared" si="564"/>
        <v/>
      </c>
    </row>
    <row r="2209" spans="1:26" ht="12" hidden="1" thickBot="1" x14ac:dyDescent="0.25">
      <c r="A2209" s="567" t="s">
        <v>168</v>
      </c>
      <c r="B2209" s="644" t="s">
        <v>168</v>
      </c>
      <c r="C2209" s="645"/>
      <c r="D2209" s="422" t="s">
        <v>401</v>
      </c>
      <c r="E2209" s="423"/>
      <c r="F2209" s="424">
        <v>500</v>
      </c>
      <c r="G2209" s="425">
        <f>VLOOKUP(D2204,'[2]ENSAIOS DE ORÇAMENTO'!$C$3:$L$79,10,FALSE)</f>
        <v>0</v>
      </c>
      <c r="H2209" s="649">
        <f>IF(F2209&lt;=30,(0.78*F2209+7.82)*G2209,((0.78*30+7.82)+0.78*(F2209-30))*G2209)</f>
        <v>0</v>
      </c>
      <c r="I2209" s="420"/>
      <c r="J2209" s="420"/>
      <c r="K2209" s="421">
        <f t="shared" si="570"/>
        <v>0</v>
      </c>
      <c r="L2209" s="647"/>
      <c r="M2209" s="723"/>
      <c r="N2209" s="576">
        <f t="shared" si="579"/>
        <v>0</v>
      </c>
      <c r="O2209" s="577">
        <f t="shared" si="573"/>
        <v>0</v>
      </c>
      <c r="P2209" s="578">
        <f t="shared" si="574"/>
        <v>0</v>
      </c>
      <c r="Q2209" s="765"/>
      <c r="R2209" s="723"/>
      <c r="S2209" s="723"/>
      <c r="T2209" s="577">
        <f t="shared" si="571"/>
        <v>0</v>
      </c>
      <c r="U2209" s="578">
        <f t="shared" si="572"/>
        <v>0</v>
      </c>
      <c r="V2209" s="579"/>
      <c r="W2209" s="566" t="str">
        <f>IF(U2204&gt;0,"xx",IF(P2204&gt;0,"xy",""))</f>
        <v/>
      </c>
      <c r="X2209" s="586" t="str">
        <f t="shared" si="577"/>
        <v/>
      </c>
      <c r="Y2209" s="586" t="str">
        <f t="shared" si="531"/>
        <v/>
      </c>
      <c r="Z2209" s="586" t="str">
        <f t="shared" si="564"/>
        <v/>
      </c>
    </row>
    <row r="2210" spans="1:26" ht="12" hidden="1" thickBot="1" x14ac:dyDescent="0.25">
      <c r="A2210" s="567" t="s">
        <v>116</v>
      </c>
      <c r="B2210" s="644" t="s">
        <v>116</v>
      </c>
      <c r="C2210" s="645" t="s">
        <v>206</v>
      </c>
      <c r="D2210" s="422" t="s">
        <v>405</v>
      </c>
      <c r="E2210" s="423"/>
      <c r="F2210" s="424"/>
      <c r="G2210" s="425">
        <f>G2234</f>
        <v>0</v>
      </c>
      <c r="H2210" s="651">
        <f>IF(F2210&lt;=30,(0.62*F2210+6.29)*G2210,((0.62*30+6.29)+0.62*(F2210-30))*G2210)</f>
        <v>0</v>
      </c>
      <c r="I2210" s="420">
        <f>VLOOKUP(D2210,'[2]ENSAIOS DE ORÇAMENTO'!$C$3:$L$79,8,FALSE)</f>
        <v>1873.8007000000002</v>
      </c>
      <c r="J2210" s="420">
        <f>IF(ISBLANK(I2210),"",SUM(H2210:I2210))</f>
        <v>1873.8007000000002</v>
      </c>
      <c r="K2210" s="421">
        <f t="shared" si="570"/>
        <v>2226.2600000000002</v>
      </c>
      <c r="L2210" s="647" t="s">
        <v>21</v>
      </c>
      <c r="M2210" s="576"/>
      <c r="N2210" s="576">
        <f t="shared" si="579"/>
        <v>0</v>
      </c>
      <c r="O2210" s="577">
        <f t="shared" si="573"/>
        <v>0</v>
      </c>
      <c r="P2210" s="578">
        <f t="shared" si="574"/>
        <v>0</v>
      </c>
      <c r="Q2210" s="765"/>
      <c r="R2210" s="576">
        <f>M2210</f>
        <v>0</v>
      </c>
      <c r="S2210" s="576">
        <f>N2210</f>
        <v>0</v>
      </c>
      <c r="T2210" s="577">
        <f t="shared" si="571"/>
        <v>0</v>
      </c>
      <c r="U2210" s="578">
        <f t="shared" si="572"/>
        <v>0</v>
      </c>
      <c r="V2210" s="579"/>
      <c r="W2210" s="566"/>
      <c r="X2210" s="586" t="str">
        <f t="shared" si="577"/>
        <v/>
      </c>
      <c r="Y2210" s="586" t="str">
        <f t="shared" si="531"/>
        <v/>
      </c>
      <c r="Z2210" s="586" t="str">
        <f t="shared" si="564"/>
        <v/>
      </c>
    </row>
    <row r="2211" spans="1:26" ht="12" hidden="1" thickBot="1" x14ac:dyDescent="0.25">
      <c r="A2211" s="567" t="s">
        <v>168</v>
      </c>
      <c r="B2211" s="644" t="s">
        <v>168</v>
      </c>
      <c r="C2211" s="645"/>
      <c r="D2211" s="422" t="s">
        <v>212</v>
      </c>
      <c r="E2211" s="423"/>
      <c r="F2211" s="424">
        <v>500</v>
      </c>
      <c r="G2211" s="425">
        <f>VLOOKUP(D2210,'[2]ENSAIOS DE ORÇAMENTO'!$C$3:$L$79,4,FALSE)</f>
        <v>0.90125999999999995</v>
      </c>
      <c r="H2211" s="649">
        <f>IF(F2211&lt;=30,(0.78*F2211+7.82)*G2211,((0.78*30+7.82)+0.78*(F2211-30))*G2211)</f>
        <v>358.53925320000002</v>
      </c>
      <c r="I2211" s="420"/>
      <c r="J2211" s="420"/>
      <c r="K2211" s="421">
        <f t="shared" si="570"/>
        <v>0</v>
      </c>
      <c r="L2211" s="647"/>
      <c r="M2211" s="723"/>
      <c r="N2211" s="576">
        <f t="shared" si="579"/>
        <v>0</v>
      </c>
      <c r="O2211" s="577">
        <f t="shared" si="573"/>
        <v>0</v>
      </c>
      <c r="P2211" s="578">
        <f t="shared" si="574"/>
        <v>0</v>
      </c>
      <c r="Q2211" s="765"/>
      <c r="R2211" s="723"/>
      <c r="S2211" s="723"/>
      <c r="T2211" s="577">
        <f t="shared" si="571"/>
        <v>0</v>
      </c>
      <c r="U2211" s="578">
        <f t="shared" si="572"/>
        <v>0</v>
      </c>
      <c r="V2211" s="579"/>
      <c r="W2211" s="566" t="str">
        <f>IF(U2210&gt;0,"xx",IF(P2210&gt;0,"xy",""))</f>
        <v/>
      </c>
      <c r="X2211" s="586" t="str">
        <f t="shared" si="577"/>
        <v/>
      </c>
      <c r="Y2211" s="586" t="str">
        <f t="shared" si="531"/>
        <v/>
      </c>
      <c r="Z2211" s="586" t="str">
        <f t="shared" si="564"/>
        <v/>
      </c>
    </row>
    <row r="2212" spans="1:26" ht="12" hidden="1" thickBot="1" x14ac:dyDescent="0.25">
      <c r="A2212" s="567" t="s">
        <v>168</v>
      </c>
      <c r="B2212" s="644" t="s">
        <v>168</v>
      </c>
      <c r="C2212" s="645"/>
      <c r="D2212" s="422" t="s">
        <v>248</v>
      </c>
      <c r="E2212" s="423"/>
      <c r="F2212" s="424">
        <v>180</v>
      </c>
      <c r="G2212" s="425">
        <f>VLOOKUP(D2210,'[2]ENSAIOS DE ORÇAMENTO'!$C$3:$L$79,5,FALSE)</f>
        <v>2.5777900000000002</v>
      </c>
      <c r="H2212" s="663">
        <f t="shared" ref="H2212:H2214" si="582">IF(F2212&lt;=30,(1.07*F2212+2.68)*G2212,((1.07*30+2.68)+1.07*(F2212-30))*G2212)</f>
        <v>503.39083120000004</v>
      </c>
      <c r="I2212" s="420"/>
      <c r="J2212" s="420"/>
      <c r="K2212" s="421">
        <f t="shared" si="570"/>
        <v>0</v>
      </c>
      <c r="L2212" s="647"/>
      <c r="M2212" s="723"/>
      <c r="N2212" s="576">
        <f t="shared" si="579"/>
        <v>0</v>
      </c>
      <c r="O2212" s="577">
        <f t="shared" si="573"/>
        <v>0</v>
      </c>
      <c r="P2212" s="578">
        <f t="shared" si="574"/>
        <v>0</v>
      </c>
      <c r="Q2212" s="765"/>
      <c r="R2212" s="723"/>
      <c r="S2212" s="723"/>
      <c r="T2212" s="577">
        <f t="shared" si="571"/>
        <v>0</v>
      </c>
      <c r="U2212" s="578">
        <f t="shared" si="572"/>
        <v>0</v>
      </c>
      <c r="V2212" s="579"/>
      <c r="W2212" s="566" t="str">
        <f>IF(U2210&gt;0,"xx",IF(P2210&gt;0,"xy",""))</f>
        <v/>
      </c>
      <c r="X2212" s="586" t="str">
        <f t="shared" si="577"/>
        <v/>
      </c>
      <c r="Y2212" s="586" t="str">
        <f t="shared" si="531"/>
        <v/>
      </c>
      <c r="Z2212" s="586" t="str">
        <f t="shared" si="564"/>
        <v/>
      </c>
    </row>
    <row r="2213" spans="1:26" ht="12" hidden="1" thickBot="1" x14ac:dyDescent="0.25">
      <c r="A2213" s="567" t="s">
        <v>168</v>
      </c>
      <c r="B2213" s="644" t="s">
        <v>168</v>
      </c>
      <c r="C2213" s="645"/>
      <c r="D2213" s="422" t="s">
        <v>252</v>
      </c>
      <c r="E2213" s="423"/>
      <c r="F2213" s="424">
        <v>20</v>
      </c>
      <c r="G2213" s="425">
        <f>VLOOKUP(D2210,'[2]ENSAIOS DE ORÇAMENTO'!$C$3:$L$79,6,FALSE)</f>
        <v>3.0880200000000002</v>
      </c>
      <c r="H2213" s="663">
        <f t="shared" si="582"/>
        <v>74.359521600000008</v>
      </c>
      <c r="I2213" s="420"/>
      <c r="J2213" s="420"/>
      <c r="K2213" s="421">
        <f t="shared" si="570"/>
        <v>0</v>
      </c>
      <c r="L2213" s="647"/>
      <c r="M2213" s="723"/>
      <c r="N2213" s="576">
        <f t="shared" si="579"/>
        <v>0</v>
      </c>
      <c r="O2213" s="577">
        <f t="shared" si="573"/>
        <v>0</v>
      </c>
      <c r="P2213" s="578">
        <f t="shared" si="574"/>
        <v>0</v>
      </c>
      <c r="Q2213" s="765"/>
      <c r="R2213" s="723"/>
      <c r="S2213" s="723"/>
      <c r="T2213" s="577">
        <f t="shared" si="571"/>
        <v>0</v>
      </c>
      <c r="U2213" s="578">
        <f t="shared" si="572"/>
        <v>0</v>
      </c>
      <c r="V2213" s="579"/>
      <c r="W2213" s="566" t="str">
        <f>IF(U2210&gt;0,"xx",IF(P2210&gt;0,"xy",""))</f>
        <v/>
      </c>
      <c r="X2213" s="586" t="str">
        <f t="shared" si="577"/>
        <v/>
      </c>
      <c r="Y2213" s="586" t="str">
        <f t="shared" si="531"/>
        <v/>
      </c>
      <c r="Z2213" s="586" t="str">
        <f t="shared" si="564"/>
        <v/>
      </c>
    </row>
    <row r="2214" spans="1:26" ht="12" hidden="1" thickBot="1" x14ac:dyDescent="0.25">
      <c r="A2214" s="567" t="s">
        <v>168</v>
      </c>
      <c r="B2214" s="644" t="s">
        <v>168</v>
      </c>
      <c r="C2214" s="645"/>
      <c r="D2214" s="422" t="s">
        <v>400</v>
      </c>
      <c r="E2214" s="423"/>
      <c r="F2214" s="424">
        <v>30</v>
      </c>
      <c r="G2214" s="425">
        <f>VLOOKUP(D2210,'[2]ENSAIOS DE ORÇAMENTO'!$C$3:$L$79,3,FALSE)</f>
        <v>0</v>
      </c>
      <c r="H2214" s="663">
        <f t="shared" si="582"/>
        <v>0</v>
      </c>
      <c r="I2214" s="420"/>
      <c r="J2214" s="420"/>
      <c r="K2214" s="421">
        <f t="shared" si="570"/>
        <v>0</v>
      </c>
      <c r="L2214" s="647"/>
      <c r="M2214" s="723"/>
      <c r="N2214" s="576">
        <f t="shared" si="579"/>
        <v>0</v>
      </c>
      <c r="O2214" s="577">
        <f t="shared" si="573"/>
        <v>0</v>
      </c>
      <c r="P2214" s="578">
        <f t="shared" si="574"/>
        <v>0</v>
      </c>
      <c r="Q2214" s="765"/>
      <c r="R2214" s="723"/>
      <c r="S2214" s="723"/>
      <c r="T2214" s="577">
        <f t="shared" si="571"/>
        <v>0</v>
      </c>
      <c r="U2214" s="578">
        <f t="shared" si="572"/>
        <v>0</v>
      </c>
      <c r="V2214" s="579"/>
      <c r="W2214" s="566" t="str">
        <f>IF(U2210&gt;0,"xx",IF(P2210&gt;0,"xy",""))</f>
        <v/>
      </c>
      <c r="X2214" s="586" t="str">
        <f t="shared" si="577"/>
        <v/>
      </c>
      <c r="Y2214" s="586" t="str">
        <f t="shared" si="531"/>
        <v/>
      </c>
      <c r="Z2214" s="586" t="str">
        <f t="shared" si="564"/>
        <v/>
      </c>
    </row>
    <row r="2215" spans="1:26" ht="12" hidden="1" thickBot="1" x14ac:dyDescent="0.25">
      <c r="A2215" s="567" t="s">
        <v>168</v>
      </c>
      <c r="B2215" s="644" t="s">
        <v>168</v>
      </c>
      <c r="C2215" s="645"/>
      <c r="D2215" s="422" t="s">
        <v>401</v>
      </c>
      <c r="E2215" s="423"/>
      <c r="F2215" s="424">
        <v>500</v>
      </c>
      <c r="G2215" s="425">
        <f>VLOOKUP(D2210,'[2]ENSAIOS DE ORÇAMENTO'!$C$3:$L$79,10,FALSE)</f>
        <v>0</v>
      </c>
      <c r="H2215" s="649">
        <f>IF(F2215&lt;=30,(0.78*F2215+7.82)*G2215,((0.78*30+7.82)+0.78*(F2215-30))*G2215)</f>
        <v>0</v>
      </c>
      <c r="I2215" s="420"/>
      <c r="J2215" s="420"/>
      <c r="K2215" s="421">
        <f t="shared" si="570"/>
        <v>0</v>
      </c>
      <c r="L2215" s="647"/>
      <c r="M2215" s="723"/>
      <c r="N2215" s="576">
        <f t="shared" si="579"/>
        <v>0</v>
      </c>
      <c r="O2215" s="577">
        <f t="shared" si="573"/>
        <v>0</v>
      </c>
      <c r="P2215" s="578">
        <f t="shared" si="574"/>
        <v>0</v>
      </c>
      <c r="Q2215" s="765"/>
      <c r="R2215" s="723"/>
      <c r="S2215" s="723"/>
      <c r="T2215" s="577">
        <f t="shared" si="571"/>
        <v>0</v>
      </c>
      <c r="U2215" s="578">
        <f t="shared" si="572"/>
        <v>0</v>
      </c>
      <c r="V2215" s="579"/>
      <c r="W2215" s="566" t="str">
        <f>IF(U2210&gt;0,"xx",IF(P2210&gt;0,"xy",""))</f>
        <v/>
      </c>
      <c r="X2215" s="586" t="str">
        <f t="shared" si="577"/>
        <v/>
      </c>
      <c r="Y2215" s="586" t="str">
        <f t="shared" si="531"/>
        <v/>
      </c>
      <c r="Z2215" s="586" t="str">
        <f t="shared" si="564"/>
        <v/>
      </c>
    </row>
    <row r="2216" spans="1:26" ht="12" hidden="1" thickBot="1" x14ac:dyDescent="0.25">
      <c r="A2216" s="567" t="s">
        <v>28</v>
      </c>
      <c r="B2216" s="644" t="s">
        <v>28</v>
      </c>
      <c r="C2216" s="645" t="s">
        <v>206</v>
      </c>
      <c r="D2216" s="422" t="s">
        <v>108</v>
      </c>
      <c r="E2216" s="423"/>
      <c r="F2216" s="424"/>
      <c r="G2216" s="425"/>
      <c r="H2216" s="651">
        <f>SUM(H2217:H2221)</f>
        <v>216.43740439999999</v>
      </c>
      <c r="I2216" s="420">
        <f>VLOOKUP(D2216,'[2]ENSAIOS DE ORÇAMENTO'!$C$3:$L$79,8,FALSE)</f>
        <v>1829.9006999999997</v>
      </c>
      <c r="J2216" s="420">
        <f>IF(ISBLANK(I2216),"",SUM(H2216:I2216))</f>
        <v>2046.3381043999998</v>
      </c>
      <c r="K2216" s="421">
        <f t="shared" si="570"/>
        <v>2431.25</v>
      </c>
      <c r="L2216" s="647" t="s">
        <v>21</v>
      </c>
      <c r="M2216" s="576"/>
      <c r="N2216" s="576">
        <f t="shared" si="579"/>
        <v>0</v>
      </c>
      <c r="O2216" s="577">
        <f t="shared" si="573"/>
        <v>0</v>
      </c>
      <c r="P2216" s="578">
        <f t="shared" si="574"/>
        <v>0</v>
      </c>
      <c r="Q2216" s="765"/>
      <c r="R2216" s="576">
        <f>M2216</f>
        <v>0</v>
      </c>
      <c r="S2216" s="576">
        <f>N2216</f>
        <v>0</v>
      </c>
      <c r="T2216" s="577">
        <f t="shared" si="571"/>
        <v>0</v>
      </c>
      <c r="U2216" s="578">
        <f t="shared" si="572"/>
        <v>0</v>
      </c>
      <c r="V2216" s="579"/>
      <c r="W2216" s="566"/>
      <c r="X2216" s="586" t="str">
        <f t="shared" si="577"/>
        <v/>
      </c>
      <c r="Y2216" s="586" t="str">
        <f t="shared" si="531"/>
        <v/>
      </c>
      <c r="Z2216" s="586" t="str">
        <f t="shared" ref="Z2216:Z2279" si="583">IF(W2216="X","x",IF(U2216&gt;0,"x",""))</f>
        <v/>
      </c>
    </row>
    <row r="2217" spans="1:26" ht="12" hidden="1" thickBot="1" x14ac:dyDescent="0.25">
      <c r="A2217" s="567" t="s">
        <v>168</v>
      </c>
      <c r="B2217" s="644" t="s">
        <v>168</v>
      </c>
      <c r="C2217" s="645"/>
      <c r="D2217" s="422" t="s">
        <v>212</v>
      </c>
      <c r="E2217" s="423"/>
      <c r="F2217" s="424">
        <v>500</v>
      </c>
      <c r="G2217" s="425">
        <f>VLOOKUP(D2216,'[2]ENSAIOS DE ORÇAMENTO'!$C$3:$L$79,4,FALSE)</f>
        <v>0.20478000000000002</v>
      </c>
      <c r="H2217" s="649">
        <f>IF(F2217&lt;=30,(0.78*F2217+7.82)*G2217,((0.78*30+7.82)+0.78*(F2217-30))*G2217)</f>
        <v>81.465579600000012</v>
      </c>
      <c r="I2217" s="420"/>
      <c r="J2217" s="420"/>
      <c r="K2217" s="421">
        <f t="shared" si="570"/>
        <v>0</v>
      </c>
      <c r="L2217" s="647"/>
      <c r="M2217" s="723"/>
      <c r="N2217" s="576">
        <f t="shared" si="579"/>
        <v>0</v>
      </c>
      <c r="O2217" s="577">
        <f t="shared" si="573"/>
        <v>0</v>
      </c>
      <c r="P2217" s="578">
        <f t="shared" si="574"/>
        <v>0</v>
      </c>
      <c r="Q2217" s="765"/>
      <c r="R2217" s="723"/>
      <c r="S2217" s="723"/>
      <c r="T2217" s="577">
        <f t="shared" si="571"/>
        <v>0</v>
      </c>
      <c r="U2217" s="578">
        <f t="shared" si="572"/>
        <v>0</v>
      </c>
      <c r="V2217" s="579"/>
      <c r="W2217" s="566" t="str">
        <f>IF(U2216&gt;0,"xx",IF(P2216&gt;0,"xy",""))</f>
        <v/>
      </c>
      <c r="X2217" s="586" t="str">
        <f t="shared" si="577"/>
        <v/>
      </c>
      <c r="Y2217" s="586" t="str">
        <f t="shared" si="531"/>
        <v/>
      </c>
      <c r="Z2217" s="586" t="str">
        <f t="shared" si="583"/>
        <v/>
      </c>
    </row>
    <row r="2218" spans="1:26" ht="12" hidden="1" thickBot="1" x14ac:dyDescent="0.25">
      <c r="A2218" s="567" t="s">
        <v>168</v>
      </c>
      <c r="B2218" s="644" t="s">
        <v>168</v>
      </c>
      <c r="C2218" s="645"/>
      <c r="D2218" s="422" t="s">
        <v>248</v>
      </c>
      <c r="E2218" s="423"/>
      <c r="F2218" s="424">
        <v>180</v>
      </c>
      <c r="G2218" s="425">
        <f>VLOOKUP(D2216,'[2]ENSAIOS DE ORÇAMENTO'!$C$3:$L$79,5,FALSE)</f>
        <v>0.60275000000000001</v>
      </c>
      <c r="H2218" s="663">
        <f t="shared" ref="H2218:H2220" si="584">IF(F2218&lt;=30,(1.07*F2218+2.68)*G2218,((1.07*30+2.68)+1.07*(F2218-30))*G2218)</f>
        <v>117.70502</v>
      </c>
      <c r="I2218" s="420"/>
      <c r="J2218" s="420"/>
      <c r="K2218" s="421">
        <f t="shared" si="570"/>
        <v>0</v>
      </c>
      <c r="L2218" s="647"/>
      <c r="M2218" s="723"/>
      <c r="N2218" s="576">
        <f t="shared" si="579"/>
        <v>0</v>
      </c>
      <c r="O2218" s="577">
        <f t="shared" si="573"/>
        <v>0</v>
      </c>
      <c r="P2218" s="578">
        <f t="shared" si="574"/>
        <v>0</v>
      </c>
      <c r="Q2218" s="765"/>
      <c r="R2218" s="723"/>
      <c r="S2218" s="723"/>
      <c r="T2218" s="577">
        <f t="shared" si="571"/>
        <v>0</v>
      </c>
      <c r="U2218" s="578">
        <f t="shared" si="572"/>
        <v>0</v>
      </c>
      <c r="V2218" s="579"/>
      <c r="W2218" s="566" t="str">
        <f>IF(U2216&gt;0,"xx",IF(P2216&gt;0,"xy",""))</f>
        <v/>
      </c>
      <c r="X2218" s="586" t="str">
        <f t="shared" si="577"/>
        <v/>
      </c>
      <c r="Y2218" s="586" t="str">
        <f t="shared" si="531"/>
        <v/>
      </c>
      <c r="Z2218" s="586" t="str">
        <f t="shared" si="583"/>
        <v/>
      </c>
    </row>
    <row r="2219" spans="1:26" ht="12" hidden="1" thickBot="1" x14ac:dyDescent="0.25">
      <c r="A2219" s="567" t="s">
        <v>168</v>
      </c>
      <c r="B2219" s="644" t="s">
        <v>168</v>
      </c>
      <c r="C2219" s="645"/>
      <c r="D2219" s="422" t="s">
        <v>252</v>
      </c>
      <c r="E2219" s="423"/>
      <c r="F2219" s="424">
        <v>20</v>
      </c>
      <c r="G2219" s="425">
        <f>VLOOKUP(D2216,'[2]ENSAIOS DE ORÇAMENTO'!$C$3:$L$79,6,FALSE)</f>
        <v>0.71706000000000003</v>
      </c>
      <c r="H2219" s="663">
        <f t="shared" si="584"/>
        <v>17.266804800000003</v>
      </c>
      <c r="I2219" s="420"/>
      <c r="J2219" s="420"/>
      <c r="K2219" s="421">
        <f t="shared" si="570"/>
        <v>0</v>
      </c>
      <c r="L2219" s="647"/>
      <c r="M2219" s="723"/>
      <c r="N2219" s="576">
        <f t="shared" si="579"/>
        <v>0</v>
      </c>
      <c r="O2219" s="577">
        <f t="shared" si="573"/>
        <v>0</v>
      </c>
      <c r="P2219" s="578">
        <f t="shared" si="574"/>
        <v>0</v>
      </c>
      <c r="Q2219" s="765"/>
      <c r="R2219" s="723"/>
      <c r="S2219" s="723"/>
      <c r="T2219" s="577">
        <f t="shared" si="571"/>
        <v>0</v>
      </c>
      <c r="U2219" s="578">
        <f t="shared" si="572"/>
        <v>0</v>
      </c>
      <c r="V2219" s="579"/>
      <c r="W2219" s="566" t="str">
        <f>IF(U2216&gt;0,"xx",IF(P2216&gt;0,"xy",""))</f>
        <v/>
      </c>
      <c r="X2219" s="586" t="str">
        <f t="shared" si="577"/>
        <v/>
      </c>
      <c r="Y2219" s="586" t="str">
        <f t="shared" si="531"/>
        <v/>
      </c>
      <c r="Z2219" s="586" t="str">
        <f t="shared" si="583"/>
        <v/>
      </c>
    </row>
    <row r="2220" spans="1:26" ht="12" hidden="1" thickBot="1" x14ac:dyDescent="0.25">
      <c r="A2220" s="567" t="s">
        <v>168</v>
      </c>
      <c r="B2220" s="644" t="s">
        <v>168</v>
      </c>
      <c r="C2220" s="645"/>
      <c r="D2220" s="422" t="s">
        <v>400</v>
      </c>
      <c r="E2220" s="423"/>
      <c r="F2220" s="424">
        <v>30</v>
      </c>
      <c r="G2220" s="425">
        <f>VLOOKUP(D2216,'[2]ENSAIOS DE ORÇAMENTO'!$C$3:$L$79,3,FALSE)</f>
        <v>0</v>
      </c>
      <c r="H2220" s="663">
        <f t="shared" si="584"/>
        <v>0</v>
      </c>
      <c r="I2220" s="420"/>
      <c r="J2220" s="420"/>
      <c r="K2220" s="421">
        <f t="shared" si="570"/>
        <v>0</v>
      </c>
      <c r="L2220" s="647"/>
      <c r="M2220" s="723"/>
      <c r="N2220" s="576">
        <f t="shared" si="579"/>
        <v>0</v>
      </c>
      <c r="O2220" s="577">
        <f t="shared" si="573"/>
        <v>0</v>
      </c>
      <c r="P2220" s="578">
        <f t="shared" si="574"/>
        <v>0</v>
      </c>
      <c r="Q2220" s="765"/>
      <c r="R2220" s="723"/>
      <c r="S2220" s="723"/>
      <c r="T2220" s="577">
        <f t="shared" si="571"/>
        <v>0</v>
      </c>
      <c r="U2220" s="578">
        <f t="shared" si="572"/>
        <v>0</v>
      </c>
      <c r="V2220" s="579"/>
      <c r="W2220" s="566" t="str">
        <f>IF(U2216&gt;0,"xx",IF(P2216&gt;0,"xy",""))</f>
        <v/>
      </c>
      <c r="X2220" s="586" t="str">
        <f t="shared" si="577"/>
        <v/>
      </c>
      <c r="Y2220" s="586" t="str">
        <f t="shared" si="531"/>
        <v/>
      </c>
      <c r="Z2220" s="586" t="str">
        <f t="shared" si="583"/>
        <v/>
      </c>
    </row>
    <row r="2221" spans="1:26" ht="12" hidden="1" thickBot="1" x14ac:dyDescent="0.25">
      <c r="A2221" s="567" t="s">
        <v>168</v>
      </c>
      <c r="B2221" s="644" t="s">
        <v>168</v>
      </c>
      <c r="C2221" s="645"/>
      <c r="D2221" s="422" t="s">
        <v>401</v>
      </c>
      <c r="E2221" s="423"/>
      <c r="F2221" s="424">
        <v>500</v>
      </c>
      <c r="G2221" s="425">
        <f>VLOOKUP(D2216,'[2]ENSAIOS DE ORÇAMENTO'!$C$3:$L$79,10,FALSE)</f>
        <v>0</v>
      </c>
      <c r="H2221" s="649">
        <f>IF(F2221&lt;=30,(0.78*F2221+7.82)*G2221,((0.78*30+7.82)+0.78*(F2221-30))*G2221)</f>
        <v>0</v>
      </c>
      <c r="I2221" s="420"/>
      <c r="J2221" s="420"/>
      <c r="K2221" s="421">
        <f t="shared" si="570"/>
        <v>0</v>
      </c>
      <c r="L2221" s="647"/>
      <c r="M2221" s="723"/>
      <c r="N2221" s="576">
        <f t="shared" si="579"/>
        <v>0</v>
      </c>
      <c r="O2221" s="577">
        <f t="shared" si="573"/>
        <v>0</v>
      </c>
      <c r="P2221" s="578">
        <f t="shared" si="574"/>
        <v>0</v>
      </c>
      <c r="Q2221" s="765"/>
      <c r="R2221" s="723"/>
      <c r="S2221" s="723"/>
      <c r="T2221" s="577">
        <f t="shared" si="571"/>
        <v>0</v>
      </c>
      <c r="U2221" s="578">
        <f t="shared" si="572"/>
        <v>0</v>
      </c>
      <c r="V2221" s="579"/>
      <c r="W2221" s="566" t="str">
        <f>IF(U2216&gt;0,"xx",IF(P2216&gt;0,"xy",""))</f>
        <v/>
      </c>
      <c r="X2221" s="586" t="str">
        <f t="shared" si="577"/>
        <v/>
      </c>
      <c r="Y2221" s="586" t="str">
        <f t="shared" si="531"/>
        <v/>
      </c>
      <c r="Z2221" s="586" t="str">
        <f t="shared" si="583"/>
        <v/>
      </c>
    </row>
    <row r="2222" spans="1:26" ht="12" hidden="1" thickBot="1" x14ac:dyDescent="0.25">
      <c r="A2222" s="567" t="s">
        <v>29</v>
      </c>
      <c r="B2222" s="644" t="s">
        <v>29</v>
      </c>
      <c r="C2222" s="645" t="s">
        <v>206</v>
      </c>
      <c r="D2222" s="422" t="s">
        <v>105</v>
      </c>
      <c r="E2222" s="423"/>
      <c r="F2222" s="424"/>
      <c r="G2222" s="425"/>
      <c r="H2222" s="651">
        <f>SUM(H2223:H2227)</f>
        <v>270.49536919999997</v>
      </c>
      <c r="I2222" s="420">
        <f>VLOOKUP(D2222,'[2]ENSAIOS DE ORÇAMENTO'!$C$3:$L$79,8,FALSE)</f>
        <v>2209.8910999999998</v>
      </c>
      <c r="J2222" s="420">
        <f>IF(ISBLANK(I2222),"",SUM(H2222:I2222))</f>
        <v>2480.3864691999997</v>
      </c>
      <c r="K2222" s="421">
        <f t="shared" si="570"/>
        <v>2946.95</v>
      </c>
      <c r="L2222" s="647" t="s">
        <v>21</v>
      </c>
      <c r="M2222" s="576"/>
      <c r="N2222" s="576">
        <f t="shared" si="579"/>
        <v>0</v>
      </c>
      <c r="O2222" s="577">
        <f t="shared" si="573"/>
        <v>0</v>
      </c>
      <c r="P2222" s="578">
        <f t="shared" si="574"/>
        <v>0</v>
      </c>
      <c r="Q2222" s="765"/>
      <c r="R2222" s="576">
        <f>M2222</f>
        <v>0</v>
      </c>
      <c r="S2222" s="576">
        <f>N2222</f>
        <v>0</v>
      </c>
      <c r="T2222" s="577">
        <f t="shared" si="571"/>
        <v>0</v>
      </c>
      <c r="U2222" s="578">
        <f t="shared" si="572"/>
        <v>0</v>
      </c>
      <c r="V2222" s="579"/>
      <c r="W2222" s="566"/>
      <c r="X2222" s="586" t="str">
        <f t="shared" si="577"/>
        <v/>
      </c>
      <c r="Y2222" s="586" t="str">
        <f t="shared" si="531"/>
        <v/>
      </c>
      <c r="Z2222" s="586" t="str">
        <f t="shared" si="583"/>
        <v/>
      </c>
    </row>
    <row r="2223" spans="1:26" ht="12" hidden="1" thickBot="1" x14ac:dyDescent="0.25">
      <c r="A2223" s="567" t="s">
        <v>168</v>
      </c>
      <c r="B2223" s="644" t="s">
        <v>168</v>
      </c>
      <c r="C2223" s="645"/>
      <c r="D2223" s="422" t="s">
        <v>212</v>
      </c>
      <c r="E2223" s="423"/>
      <c r="F2223" s="424">
        <v>500</v>
      </c>
      <c r="G2223" s="425">
        <f>VLOOKUP(D2222,'[2]ENSAIOS DE ORÇAMENTO'!$C$3:$L$79,4,FALSE)</f>
        <v>0.25757999999999998</v>
      </c>
      <c r="H2223" s="649">
        <f>IF(F2223&lt;=30,(0.78*F2223+7.82)*G2223,((0.78*30+7.82)+0.78*(F2223-30))*G2223)</f>
        <v>102.4704756</v>
      </c>
      <c r="I2223" s="420"/>
      <c r="J2223" s="420"/>
      <c r="K2223" s="421">
        <f t="shared" si="570"/>
        <v>0</v>
      </c>
      <c r="L2223" s="647"/>
      <c r="M2223" s="723"/>
      <c r="N2223" s="576">
        <f t="shared" si="579"/>
        <v>0</v>
      </c>
      <c r="O2223" s="577">
        <f t="shared" si="573"/>
        <v>0</v>
      </c>
      <c r="P2223" s="578">
        <f t="shared" si="574"/>
        <v>0</v>
      </c>
      <c r="Q2223" s="765"/>
      <c r="R2223" s="723"/>
      <c r="S2223" s="723"/>
      <c r="T2223" s="577">
        <f t="shared" si="571"/>
        <v>0</v>
      </c>
      <c r="U2223" s="578">
        <f t="shared" si="572"/>
        <v>0</v>
      </c>
      <c r="V2223" s="579"/>
      <c r="W2223" s="566" t="str">
        <f>IF(U2222&gt;0,"xx",IF(P2222&gt;0,"xy",""))</f>
        <v/>
      </c>
      <c r="X2223" s="586" t="str">
        <f t="shared" si="577"/>
        <v/>
      </c>
      <c r="Y2223" s="586" t="str">
        <f t="shared" si="531"/>
        <v/>
      </c>
      <c r="Z2223" s="586" t="str">
        <f t="shared" si="583"/>
        <v/>
      </c>
    </row>
    <row r="2224" spans="1:26" ht="12" hidden="1" thickBot="1" x14ac:dyDescent="0.25">
      <c r="A2224" s="567" t="s">
        <v>168</v>
      </c>
      <c r="B2224" s="644" t="s">
        <v>168</v>
      </c>
      <c r="C2224" s="645"/>
      <c r="D2224" s="422" t="s">
        <v>248</v>
      </c>
      <c r="E2224" s="423"/>
      <c r="F2224" s="424">
        <v>180</v>
      </c>
      <c r="G2224" s="425">
        <f>VLOOKUP(D2222,'[2]ENSAIOS DE ORÇAMENTO'!$C$3:$L$79,5,FALSE)</f>
        <v>0.75010999999999994</v>
      </c>
      <c r="H2224" s="663">
        <f t="shared" ref="H2224:H2226" si="585">IF(F2224&lt;=30,(1.07*F2224+2.68)*G2224,((1.07*30+2.68)+1.07*(F2224-30))*G2224)</f>
        <v>146.48148079999999</v>
      </c>
      <c r="I2224" s="420"/>
      <c r="J2224" s="420"/>
      <c r="K2224" s="421">
        <f t="shared" si="570"/>
        <v>0</v>
      </c>
      <c r="L2224" s="647"/>
      <c r="M2224" s="723"/>
      <c r="N2224" s="576">
        <f t="shared" si="579"/>
        <v>0</v>
      </c>
      <c r="O2224" s="577">
        <f t="shared" si="573"/>
        <v>0</v>
      </c>
      <c r="P2224" s="578">
        <f t="shared" si="574"/>
        <v>0</v>
      </c>
      <c r="Q2224" s="765"/>
      <c r="R2224" s="723"/>
      <c r="S2224" s="723"/>
      <c r="T2224" s="577">
        <f t="shared" si="571"/>
        <v>0</v>
      </c>
      <c r="U2224" s="578">
        <f t="shared" si="572"/>
        <v>0</v>
      </c>
      <c r="V2224" s="579"/>
      <c r="W2224" s="566" t="str">
        <f>IF(U2222&gt;0,"xx",IF(P2222&gt;0,"xy",""))</f>
        <v/>
      </c>
      <c r="X2224" s="586" t="str">
        <f t="shared" si="577"/>
        <v/>
      </c>
      <c r="Y2224" s="586" t="str">
        <f t="shared" si="531"/>
        <v/>
      </c>
      <c r="Z2224" s="586" t="str">
        <f t="shared" si="583"/>
        <v/>
      </c>
    </row>
    <row r="2225" spans="1:26" ht="12" hidden="1" thickBot="1" x14ac:dyDescent="0.25">
      <c r="A2225" s="567" t="s">
        <v>168</v>
      </c>
      <c r="B2225" s="644" t="s">
        <v>168</v>
      </c>
      <c r="C2225" s="645"/>
      <c r="D2225" s="422" t="s">
        <v>252</v>
      </c>
      <c r="E2225" s="423"/>
      <c r="F2225" s="424">
        <v>20</v>
      </c>
      <c r="G2225" s="425">
        <f>VLOOKUP(D2222,'[2]ENSAIOS DE ORÇAMENTO'!$C$3:$L$79,6,FALSE)</f>
        <v>0.89466000000000001</v>
      </c>
      <c r="H2225" s="663">
        <f t="shared" si="585"/>
        <v>21.543412800000002</v>
      </c>
      <c r="I2225" s="420"/>
      <c r="J2225" s="420"/>
      <c r="K2225" s="421">
        <f t="shared" si="570"/>
        <v>0</v>
      </c>
      <c r="L2225" s="647"/>
      <c r="M2225" s="723"/>
      <c r="N2225" s="576">
        <f t="shared" si="579"/>
        <v>0</v>
      </c>
      <c r="O2225" s="577">
        <f t="shared" si="573"/>
        <v>0</v>
      </c>
      <c r="P2225" s="578">
        <f t="shared" si="574"/>
        <v>0</v>
      </c>
      <c r="Q2225" s="765"/>
      <c r="R2225" s="723"/>
      <c r="S2225" s="723"/>
      <c r="T2225" s="577">
        <f t="shared" si="571"/>
        <v>0</v>
      </c>
      <c r="U2225" s="578">
        <f t="shared" si="572"/>
        <v>0</v>
      </c>
      <c r="V2225" s="579"/>
      <c r="W2225" s="566" t="str">
        <f>IF(U2222&gt;0,"xx",IF(P2222&gt;0,"xy",""))</f>
        <v/>
      </c>
      <c r="X2225" s="586" t="str">
        <f t="shared" si="577"/>
        <v/>
      </c>
      <c r="Y2225" s="586" t="str">
        <f t="shared" si="531"/>
        <v/>
      </c>
      <c r="Z2225" s="586" t="str">
        <f t="shared" si="583"/>
        <v/>
      </c>
    </row>
    <row r="2226" spans="1:26" ht="12" hidden="1" thickBot="1" x14ac:dyDescent="0.25">
      <c r="A2226" s="567" t="s">
        <v>168</v>
      </c>
      <c r="B2226" s="644" t="s">
        <v>168</v>
      </c>
      <c r="C2226" s="645"/>
      <c r="D2226" s="422" t="s">
        <v>400</v>
      </c>
      <c r="E2226" s="423"/>
      <c r="F2226" s="424">
        <v>30</v>
      </c>
      <c r="G2226" s="425">
        <f>VLOOKUP(D2222,'[2]ENSAIOS DE ORÇAMENTO'!$C$3:$L$79,3,FALSE)</f>
        <v>0</v>
      </c>
      <c r="H2226" s="663">
        <f t="shared" si="585"/>
        <v>0</v>
      </c>
      <c r="I2226" s="420"/>
      <c r="J2226" s="420"/>
      <c r="K2226" s="421">
        <f t="shared" si="570"/>
        <v>0</v>
      </c>
      <c r="L2226" s="647"/>
      <c r="M2226" s="723"/>
      <c r="N2226" s="576">
        <f t="shared" si="579"/>
        <v>0</v>
      </c>
      <c r="O2226" s="577">
        <f t="shared" si="573"/>
        <v>0</v>
      </c>
      <c r="P2226" s="578">
        <f t="shared" si="574"/>
        <v>0</v>
      </c>
      <c r="Q2226" s="765"/>
      <c r="R2226" s="723"/>
      <c r="S2226" s="723"/>
      <c r="T2226" s="577">
        <f t="shared" si="571"/>
        <v>0</v>
      </c>
      <c r="U2226" s="578">
        <f t="shared" si="572"/>
        <v>0</v>
      </c>
      <c r="V2226" s="579"/>
      <c r="W2226" s="566" t="str">
        <f>IF(U2222&gt;0,"xx",IF(P2222&gt;0,"xy",""))</f>
        <v/>
      </c>
      <c r="X2226" s="586" t="str">
        <f t="shared" si="577"/>
        <v/>
      </c>
      <c r="Y2226" s="586" t="str">
        <f t="shared" si="531"/>
        <v/>
      </c>
      <c r="Z2226" s="586" t="str">
        <f t="shared" si="583"/>
        <v/>
      </c>
    </row>
    <row r="2227" spans="1:26" ht="12" hidden="1" thickBot="1" x14ac:dyDescent="0.25">
      <c r="A2227" s="567" t="s">
        <v>168</v>
      </c>
      <c r="B2227" s="644" t="s">
        <v>168</v>
      </c>
      <c r="C2227" s="645"/>
      <c r="D2227" s="422" t="s">
        <v>401</v>
      </c>
      <c r="E2227" s="423"/>
      <c r="F2227" s="424">
        <v>500</v>
      </c>
      <c r="G2227" s="425">
        <f>VLOOKUP(D2222,'[2]ENSAIOS DE ORÇAMENTO'!$C$3:$L$79,10,FALSE)</f>
        <v>0</v>
      </c>
      <c r="H2227" s="649">
        <f>IF(F2227&lt;=30,(0.78*F2227+7.82)*G2227,((0.78*30+7.82)+0.78*(F2227-30))*G2227)</f>
        <v>0</v>
      </c>
      <c r="I2227" s="420"/>
      <c r="J2227" s="420"/>
      <c r="K2227" s="421">
        <f t="shared" si="570"/>
        <v>0</v>
      </c>
      <c r="L2227" s="647"/>
      <c r="M2227" s="723"/>
      <c r="N2227" s="576">
        <f t="shared" si="579"/>
        <v>0</v>
      </c>
      <c r="O2227" s="577">
        <f t="shared" si="573"/>
        <v>0</v>
      </c>
      <c r="P2227" s="578">
        <f t="shared" si="574"/>
        <v>0</v>
      </c>
      <c r="Q2227" s="765"/>
      <c r="R2227" s="723"/>
      <c r="S2227" s="723"/>
      <c r="T2227" s="577">
        <f t="shared" si="571"/>
        <v>0</v>
      </c>
      <c r="U2227" s="578">
        <f t="shared" si="572"/>
        <v>0</v>
      </c>
      <c r="V2227" s="579"/>
      <c r="W2227" s="566" t="str">
        <f>IF(U2222&gt;0,"xx",IF(P2222&gt;0,"xy",""))</f>
        <v/>
      </c>
      <c r="X2227" s="586" t="str">
        <f t="shared" si="577"/>
        <v/>
      </c>
      <c r="Y2227" s="586" t="str">
        <f t="shared" si="531"/>
        <v/>
      </c>
      <c r="Z2227" s="586" t="str">
        <f t="shared" si="583"/>
        <v/>
      </c>
    </row>
    <row r="2228" spans="1:26" ht="12" hidden="1" thickBot="1" x14ac:dyDescent="0.25">
      <c r="A2228" s="567" t="s">
        <v>30</v>
      </c>
      <c r="B2228" s="644" t="s">
        <v>30</v>
      </c>
      <c r="C2228" s="645" t="s">
        <v>206</v>
      </c>
      <c r="D2228" s="422" t="s">
        <v>106</v>
      </c>
      <c r="E2228" s="423"/>
      <c r="F2228" s="424"/>
      <c r="G2228" s="425"/>
      <c r="H2228" s="651">
        <f>SUM(H2229:H2233)</f>
        <v>358.33956200000006</v>
      </c>
      <c r="I2228" s="420">
        <f>VLOOKUP(D2228,'[2]ENSAIOS DE ORÇAMENTO'!$C$3:$L$79,8,FALSE)</f>
        <v>2403.1848999999997</v>
      </c>
      <c r="J2228" s="420">
        <f>IF(ISBLANK(I2228),"",SUM(H2228:I2228))</f>
        <v>2761.5244619999999</v>
      </c>
      <c r="K2228" s="421">
        <f t="shared" si="570"/>
        <v>3280.97</v>
      </c>
      <c r="L2228" s="647" t="s">
        <v>21</v>
      </c>
      <c r="M2228" s="576"/>
      <c r="N2228" s="576">
        <f t="shared" si="579"/>
        <v>0</v>
      </c>
      <c r="O2228" s="577">
        <f t="shared" si="573"/>
        <v>0</v>
      </c>
      <c r="P2228" s="578">
        <f t="shared" si="574"/>
        <v>0</v>
      </c>
      <c r="Q2228" s="765"/>
      <c r="R2228" s="576">
        <f>M2228</f>
        <v>0</v>
      </c>
      <c r="S2228" s="576">
        <f>N2228</f>
        <v>0</v>
      </c>
      <c r="T2228" s="577">
        <f t="shared" si="571"/>
        <v>0</v>
      </c>
      <c r="U2228" s="578">
        <f t="shared" si="572"/>
        <v>0</v>
      </c>
      <c r="V2228" s="579"/>
      <c r="W2228" s="566"/>
      <c r="X2228" s="586" t="str">
        <f t="shared" si="577"/>
        <v/>
      </c>
      <c r="Y2228" s="586" t="str">
        <f t="shared" si="531"/>
        <v/>
      </c>
      <c r="Z2228" s="586" t="str">
        <f t="shared" si="583"/>
        <v/>
      </c>
    </row>
    <row r="2229" spans="1:26" ht="12" hidden="1" thickBot="1" x14ac:dyDescent="0.25">
      <c r="A2229" s="567" t="s">
        <v>168</v>
      </c>
      <c r="B2229" s="644" t="s">
        <v>168</v>
      </c>
      <c r="C2229" s="645"/>
      <c r="D2229" s="422" t="s">
        <v>212</v>
      </c>
      <c r="E2229" s="423"/>
      <c r="F2229" s="424">
        <v>500</v>
      </c>
      <c r="G2229" s="425">
        <f>VLOOKUP(D2228,'[2]ENSAIOS DE ORÇAMENTO'!$C$3:$L$79,4,FALSE)</f>
        <v>0.34338000000000002</v>
      </c>
      <c r="H2229" s="649">
        <f>IF(F2229&lt;=30,(0.78*F2229+7.82)*G2229,((0.78*30+7.82)+0.78*(F2229-30))*G2229)</f>
        <v>136.60343160000002</v>
      </c>
      <c r="I2229" s="420"/>
      <c r="J2229" s="420"/>
      <c r="K2229" s="421">
        <f t="shared" si="570"/>
        <v>0</v>
      </c>
      <c r="L2229" s="647"/>
      <c r="M2229" s="723"/>
      <c r="N2229" s="576">
        <f t="shared" si="579"/>
        <v>0</v>
      </c>
      <c r="O2229" s="577">
        <f t="shared" si="573"/>
        <v>0</v>
      </c>
      <c r="P2229" s="578">
        <f t="shared" si="574"/>
        <v>0</v>
      </c>
      <c r="Q2229" s="765"/>
      <c r="R2229" s="723"/>
      <c r="S2229" s="723"/>
      <c r="T2229" s="577">
        <f t="shared" si="571"/>
        <v>0</v>
      </c>
      <c r="U2229" s="578">
        <f t="shared" si="572"/>
        <v>0</v>
      </c>
      <c r="V2229" s="579"/>
      <c r="W2229" s="566" t="str">
        <f>IF(U2228&gt;0,"xx",IF(P2228&gt;0,"xy",""))</f>
        <v/>
      </c>
      <c r="X2229" s="586" t="str">
        <f t="shared" si="577"/>
        <v/>
      </c>
      <c r="Y2229" s="586" t="str">
        <f t="shared" si="531"/>
        <v/>
      </c>
      <c r="Z2229" s="586" t="str">
        <f t="shared" si="583"/>
        <v/>
      </c>
    </row>
    <row r="2230" spans="1:26" ht="12" hidden="1" thickBot="1" x14ac:dyDescent="0.25">
      <c r="A2230" s="567" t="s">
        <v>168</v>
      </c>
      <c r="B2230" s="644" t="s">
        <v>168</v>
      </c>
      <c r="C2230" s="645"/>
      <c r="D2230" s="422" t="s">
        <v>248</v>
      </c>
      <c r="E2230" s="423"/>
      <c r="F2230" s="424">
        <v>180</v>
      </c>
      <c r="G2230" s="425">
        <f>VLOOKUP(D2228,'[2]ENSAIOS DE ORÇAMENTO'!$C$3:$L$79,5,FALSE)</f>
        <v>0.98957000000000006</v>
      </c>
      <c r="H2230" s="663">
        <f t="shared" ref="H2230:H2232" si="586">IF(F2230&lt;=30,(1.07*F2230+2.68)*G2230,((1.07*30+2.68)+1.07*(F2230-30))*G2230)</f>
        <v>193.24322960000001</v>
      </c>
      <c r="I2230" s="420"/>
      <c r="J2230" s="420"/>
      <c r="K2230" s="421">
        <f t="shared" si="570"/>
        <v>0</v>
      </c>
      <c r="L2230" s="647"/>
      <c r="M2230" s="723"/>
      <c r="N2230" s="576">
        <f t="shared" si="579"/>
        <v>0</v>
      </c>
      <c r="O2230" s="577">
        <f t="shared" si="573"/>
        <v>0</v>
      </c>
      <c r="P2230" s="578">
        <f t="shared" si="574"/>
        <v>0</v>
      </c>
      <c r="Q2230" s="765"/>
      <c r="R2230" s="723"/>
      <c r="S2230" s="723"/>
      <c r="T2230" s="577">
        <f t="shared" si="571"/>
        <v>0</v>
      </c>
      <c r="U2230" s="578">
        <f t="shared" si="572"/>
        <v>0</v>
      </c>
      <c r="V2230" s="579"/>
      <c r="W2230" s="566" t="str">
        <f>IF(U2228&gt;0,"xx",IF(P2228&gt;0,"xy",""))</f>
        <v/>
      </c>
      <c r="X2230" s="586" t="str">
        <f t="shared" si="577"/>
        <v/>
      </c>
      <c r="Y2230" s="586" t="str">
        <f t="shared" si="531"/>
        <v/>
      </c>
      <c r="Z2230" s="586" t="str">
        <f t="shared" si="583"/>
        <v/>
      </c>
    </row>
    <row r="2231" spans="1:26" ht="12" hidden="1" thickBot="1" x14ac:dyDescent="0.25">
      <c r="A2231" s="567" t="s">
        <v>168</v>
      </c>
      <c r="B2231" s="644" t="s">
        <v>168</v>
      </c>
      <c r="C2231" s="645"/>
      <c r="D2231" s="422" t="s">
        <v>252</v>
      </c>
      <c r="E2231" s="423"/>
      <c r="F2231" s="424">
        <v>20</v>
      </c>
      <c r="G2231" s="425">
        <f>VLOOKUP(D2228,'[2]ENSAIOS DE ORÇAMENTO'!$C$3:$L$79,6,FALSE)</f>
        <v>1.1832600000000002</v>
      </c>
      <c r="H2231" s="663">
        <f t="shared" si="586"/>
        <v>28.492900800000008</v>
      </c>
      <c r="I2231" s="420"/>
      <c r="J2231" s="420"/>
      <c r="K2231" s="421">
        <f t="shared" si="570"/>
        <v>0</v>
      </c>
      <c r="L2231" s="647"/>
      <c r="M2231" s="723"/>
      <c r="N2231" s="576">
        <f t="shared" si="579"/>
        <v>0</v>
      </c>
      <c r="O2231" s="577">
        <f t="shared" si="573"/>
        <v>0</v>
      </c>
      <c r="P2231" s="578">
        <f t="shared" si="574"/>
        <v>0</v>
      </c>
      <c r="Q2231" s="765"/>
      <c r="R2231" s="723"/>
      <c r="S2231" s="723"/>
      <c r="T2231" s="577">
        <f t="shared" si="571"/>
        <v>0</v>
      </c>
      <c r="U2231" s="578">
        <f t="shared" si="572"/>
        <v>0</v>
      </c>
      <c r="V2231" s="579"/>
      <c r="W2231" s="566" t="str">
        <f>IF(U2228&gt;0,"xx",IF(P2228&gt;0,"xy",""))</f>
        <v/>
      </c>
      <c r="X2231" s="586" t="str">
        <f t="shared" si="577"/>
        <v/>
      </c>
      <c r="Y2231" s="586" t="str">
        <f t="shared" si="531"/>
        <v/>
      </c>
      <c r="Z2231" s="586" t="str">
        <f t="shared" si="583"/>
        <v/>
      </c>
    </row>
    <row r="2232" spans="1:26" ht="12" hidden="1" thickBot="1" x14ac:dyDescent="0.25">
      <c r="A2232" s="567" t="s">
        <v>168</v>
      </c>
      <c r="B2232" s="644" t="s">
        <v>168</v>
      </c>
      <c r="C2232" s="645"/>
      <c r="D2232" s="422" t="s">
        <v>400</v>
      </c>
      <c r="E2232" s="423"/>
      <c r="F2232" s="424">
        <v>30</v>
      </c>
      <c r="G2232" s="425">
        <f>VLOOKUP(D2228,'[2]ENSAIOS DE ORÇAMENTO'!$C$3:$L$79,3,FALSE)</f>
        <v>0</v>
      </c>
      <c r="H2232" s="663">
        <f t="shared" si="586"/>
        <v>0</v>
      </c>
      <c r="I2232" s="420"/>
      <c r="J2232" s="420"/>
      <c r="K2232" s="421">
        <f t="shared" si="570"/>
        <v>0</v>
      </c>
      <c r="L2232" s="647"/>
      <c r="M2232" s="723"/>
      <c r="N2232" s="576">
        <f t="shared" si="579"/>
        <v>0</v>
      </c>
      <c r="O2232" s="577">
        <f t="shared" si="573"/>
        <v>0</v>
      </c>
      <c r="P2232" s="578">
        <f t="shared" si="574"/>
        <v>0</v>
      </c>
      <c r="Q2232" s="765"/>
      <c r="R2232" s="723"/>
      <c r="S2232" s="723"/>
      <c r="T2232" s="577">
        <f t="shared" si="571"/>
        <v>0</v>
      </c>
      <c r="U2232" s="578">
        <f t="shared" si="572"/>
        <v>0</v>
      </c>
      <c r="V2232" s="579"/>
      <c r="W2232" s="566" t="str">
        <f>IF(U2228&gt;0,"xx",IF(P2228&gt;0,"xy",""))</f>
        <v/>
      </c>
      <c r="X2232" s="586" t="str">
        <f t="shared" si="577"/>
        <v/>
      </c>
      <c r="Y2232" s="586" t="str">
        <f t="shared" si="531"/>
        <v/>
      </c>
      <c r="Z2232" s="586" t="str">
        <f t="shared" si="583"/>
        <v/>
      </c>
    </row>
    <row r="2233" spans="1:26" ht="12" hidden="1" thickBot="1" x14ac:dyDescent="0.25">
      <c r="A2233" s="567" t="s">
        <v>168</v>
      </c>
      <c r="B2233" s="644" t="s">
        <v>168</v>
      </c>
      <c r="C2233" s="645"/>
      <c r="D2233" s="422" t="s">
        <v>401</v>
      </c>
      <c r="E2233" s="423"/>
      <c r="F2233" s="424">
        <v>500</v>
      </c>
      <c r="G2233" s="425">
        <f>VLOOKUP(D2228,'[2]ENSAIOS DE ORÇAMENTO'!$C$3:$L$79,10,FALSE)</f>
        <v>0</v>
      </c>
      <c r="H2233" s="649">
        <f>IF(F2233&lt;=30,(0.78*F2233+7.82)*G2233,((0.78*30+7.82)+0.78*(F2233-30))*G2233)</f>
        <v>0</v>
      </c>
      <c r="I2233" s="420"/>
      <c r="J2233" s="420"/>
      <c r="K2233" s="421">
        <f t="shared" si="570"/>
        <v>0</v>
      </c>
      <c r="L2233" s="647"/>
      <c r="M2233" s="723"/>
      <c r="N2233" s="576">
        <f t="shared" si="579"/>
        <v>0</v>
      </c>
      <c r="O2233" s="577">
        <f t="shared" si="573"/>
        <v>0</v>
      </c>
      <c r="P2233" s="578">
        <f t="shared" si="574"/>
        <v>0</v>
      </c>
      <c r="Q2233" s="765"/>
      <c r="R2233" s="723"/>
      <c r="S2233" s="723"/>
      <c r="T2233" s="577">
        <f t="shared" si="571"/>
        <v>0</v>
      </c>
      <c r="U2233" s="578">
        <f t="shared" si="572"/>
        <v>0</v>
      </c>
      <c r="V2233" s="579"/>
      <c r="W2233" s="566" t="str">
        <f>IF(U2228&gt;0,"xx",IF(P2228&gt;0,"xy",""))</f>
        <v/>
      </c>
      <c r="X2233" s="586" t="str">
        <f t="shared" si="577"/>
        <v/>
      </c>
      <c r="Y2233" s="586" t="str">
        <f t="shared" si="531"/>
        <v/>
      </c>
      <c r="Z2233" s="586" t="str">
        <f t="shared" si="583"/>
        <v/>
      </c>
    </row>
    <row r="2234" spans="1:26" ht="12" hidden="1" thickBot="1" x14ac:dyDescent="0.25">
      <c r="A2234" s="567" t="s">
        <v>31</v>
      </c>
      <c r="B2234" s="644" t="s">
        <v>31</v>
      </c>
      <c r="C2234" s="645" t="s">
        <v>206</v>
      </c>
      <c r="D2234" s="422" t="s">
        <v>107</v>
      </c>
      <c r="E2234" s="423"/>
      <c r="F2234" s="424"/>
      <c r="G2234" s="425"/>
      <c r="H2234" s="651">
        <f>SUM(H2235:H2239)</f>
        <v>446.18375480000009</v>
      </c>
      <c r="I2234" s="420">
        <f>VLOOKUP(D2234,'[2]ENSAIOS DE ORÇAMENTO'!$C$3:$L$79,8,FALSE)</f>
        <v>2920.9871999999996</v>
      </c>
      <c r="J2234" s="420">
        <f>IF(ISBLANK(I2234),"",SUM(H2234:I2234))</f>
        <v>3367.1709547999999</v>
      </c>
      <c r="K2234" s="421">
        <f t="shared" si="570"/>
        <v>4000.54</v>
      </c>
      <c r="L2234" s="647" t="s">
        <v>21</v>
      </c>
      <c r="M2234" s="576"/>
      <c r="N2234" s="576">
        <f t="shared" si="579"/>
        <v>0</v>
      </c>
      <c r="O2234" s="577">
        <f t="shared" si="573"/>
        <v>0</v>
      </c>
      <c r="P2234" s="578">
        <f t="shared" si="574"/>
        <v>0</v>
      </c>
      <c r="Q2234" s="765"/>
      <c r="R2234" s="576">
        <f>M2234</f>
        <v>0</v>
      </c>
      <c r="S2234" s="576">
        <f>N2234</f>
        <v>0</v>
      </c>
      <c r="T2234" s="577">
        <f t="shared" si="571"/>
        <v>0</v>
      </c>
      <c r="U2234" s="578">
        <f t="shared" si="572"/>
        <v>0</v>
      </c>
      <c r="V2234" s="579"/>
      <c r="W2234" s="566"/>
      <c r="X2234" s="586" t="str">
        <f t="shared" si="577"/>
        <v/>
      </c>
      <c r="Y2234" s="586" t="str">
        <f t="shared" si="531"/>
        <v/>
      </c>
      <c r="Z2234" s="586" t="str">
        <f t="shared" si="583"/>
        <v/>
      </c>
    </row>
    <row r="2235" spans="1:26" ht="12" hidden="1" thickBot="1" x14ac:dyDescent="0.25">
      <c r="A2235" s="567" t="s">
        <v>168</v>
      </c>
      <c r="B2235" s="644" t="s">
        <v>168</v>
      </c>
      <c r="C2235" s="645"/>
      <c r="D2235" s="422" t="s">
        <v>212</v>
      </c>
      <c r="E2235" s="423"/>
      <c r="F2235" s="424">
        <v>500</v>
      </c>
      <c r="G2235" s="425">
        <f>VLOOKUP(D2234,'[2]ENSAIOS DE ORÇAMENTO'!$C$3:$L$79,4,FALSE)</f>
        <v>0.42918000000000001</v>
      </c>
      <c r="H2235" s="649">
        <f>IF(F2235&lt;=30,(0.78*F2235+7.82)*G2235,((0.78*30+7.82)+0.78*(F2235-30))*G2235)</f>
        <v>170.73638760000003</v>
      </c>
      <c r="I2235" s="420"/>
      <c r="J2235" s="420"/>
      <c r="K2235" s="421">
        <f t="shared" si="570"/>
        <v>0</v>
      </c>
      <c r="L2235" s="647"/>
      <c r="M2235" s="723"/>
      <c r="N2235" s="576">
        <f t="shared" si="579"/>
        <v>0</v>
      </c>
      <c r="O2235" s="577">
        <f t="shared" si="573"/>
        <v>0</v>
      </c>
      <c r="P2235" s="578">
        <f t="shared" si="574"/>
        <v>0</v>
      </c>
      <c r="Q2235" s="765"/>
      <c r="R2235" s="723"/>
      <c r="S2235" s="723"/>
      <c r="T2235" s="577">
        <f t="shared" si="571"/>
        <v>0</v>
      </c>
      <c r="U2235" s="578">
        <f t="shared" si="572"/>
        <v>0</v>
      </c>
      <c r="V2235" s="579"/>
      <c r="W2235" s="566" t="str">
        <f>IF(U2234&gt;0,"xx",IF(P2234&gt;0,"xy",""))</f>
        <v/>
      </c>
      <c r="X2235" s="586" t="str">
        <f t="shared" si="577"/>
        <v/>
      </c>
      <c r="Y2235" s="586" t="str">
        <f t="shared" si="531"/>
        <v/>
      </c>
      <c r="Z2235" s="586" t="str">
        <f t="shared" si="583"/>
        <v/>
      </c>
    </row>
    <row r="2236" spans="1:26" ht="12" hidden="1" thickBot="1" x14ac:dyDescent="0.25">
      <c r="A2236" s="567" t="s">
        <v>168</v>
      </c>
      <c r="B2236" s="644" t="s">
        <v>168</v>
      </c>
      <c r="C2236" s="645"/>
      <c r="D2236" s="422" t="s">
        <v>248</v>
      </c>
      <c r="E2236" s="423"/>
      <c r="F2236" s="424">
        <v>180</v>
      </c>
      <c r="G2236" s="425">
        <f>VLOOKUP(D2234,'[2]ENSAIOS DE ORÇAMENTO'!$C$3:$L$79,5,FALSE)</f>
        <v>1.2290300000000001</v>
      </c>
      <c r="H2236" s="663">
        <f t="shared" ref="H2236:H2238" si="587">IF(F2236&lt;=30,(1.07*F2236+2.68)*G2236,((1.07*30+2.68)+1.07*(F2236-30))*G2236)</f>
        <v>240.00497840000003</v>
      </c>
      <c r="I2236" s="420"/>
      <c r="J2236" s="420"/>
      <c r="K2236" s="421">
        <f t="shared" si="570"/>
        <v>0</v>
      </c>
      <c r="L2236" s="647"/>
      <c r="M2236" s="723"/>
      <c r="N2236" s="576">
        <f t="shared" si="579"/>
        <v>0</v>
      </c>
      <c r="O2236" s="577">
        <f t="shared" si="573"/>
        <v>0</v>
      </c>
      <c r="P2236" s="578">
        <f t="shared" si="574"/>
        <v>0</v>
      </c>
      <c r="Q2236" s="765"/>
      <c r="R2236" s="723"/>
      <c r="S2236" s="723"/>
      <c r="T2236" s="577">
        <f t="shared" si="571"/>
        <v>0</v>
      </c>
      <c r="U2236" s="578">
        <f t="shared" si="572"/>
        <v>0</v>
      </c>
      <c r="V2236" s="579"/>
      <c r="W2236" s="566" t="str">
        <f>IF(U2234&gt;0,"xx",IF(P2234&gt;0,"xy",""))</f>
        <v/>
      </c>
      <c r="X2236" s="586" t="str">
        <f t="shared" si="577"/>
        <v/>
      </c>
      <c r="Y2236" s="586" t="str">
        <f t="shared" si="531"/>
        <v/>
      </c>
      <c r="Z2236" s="586" t="str">
        <f t="shared" si="583"/>
        <v/>
      </c>
    </row>
    <row r="2237" spans="1:26" ht="12" hidden="1" thickBot="1" x14ac:dyDescent="0.25">
      <c r="A2237" s="567" t="s">
        <v>168</v>
      </c>
      <c r="B2237" s="644" t="s">
        <v>168</v>
      </c>
      <c r="C2237" s="645"/>
      <c r="D2237" s="422" t="s">
        <v>252</v>
      </c>
      <c r="E2237" s="423"/>
      <c r="F2237" s="424">
        <v>20</v>
      </c>
      <c r="G2237" s="425">
        <f>VLOOKUP(D2234,'[2]ENSAIOS DE ORÇAMENTO'!$C$3:$L$79,6,FALSE)</f>
        <v>1.4718600000000002</v>
      </c>
      <c r="H2237" s="663">
        <f t="shared" si="587"/>
        <v>35.442388800000003</v>
      </c>
      <c r="I2237" s="420"/>
      <c r="J2237" s="420"/>
      <c r="K2237" s="421">
        <f t="shared" si="570"/>
        <v>0</v>
      </c>
      <c r="L2237" s="647"/>
      <c r="M2237" s="723"/>
      <c r="N2237" s="576">
        <f t="shared" si="579"/>
        <v>0</v>
      </c>
      <c r="O2237" s="577">
        <f t="shared" si="573"/>
        <v>0</v>
      </c>
      <c r="P2237" s="578">
        <f t="shared" si="574"/>
        <v>0</v>
      </c>
      <c r="Q2237" s="765"/>
      <c r="R2237" s="723"/>
      <c r="S2237" s="723"/>
      <c r="T2237" s="577">
        <f t="shared" si="571"/>
        <v>0</v>
      </c>
      <c r="U2237" s="578">
        <f t="shared" si="572"/>
        <v>0</v>
      </c>
      <c r="V2237" s="579"/>
      <c r="W2237" s="566" t="str">
        <f>IF(U2234&gt;0,"xx",IF(P2234&gt;0,"xy",""))</f>
        <v/>
      </c>
      <c r="X2237" s="586" t="str">
        <f t="shared" si="577"/>
        <v/>
      </c>
      <c r="Y2237" s="586" t="str">
        <f t="shared" si="531"/>
        <v/>
      </c>
      <c r="Z2237" s="586" t="str">
        <f t="shared" si="583"/>
        <v/>
      </c>
    </row>
    <row r="2238" spans="1:26" ht="12" hidden="1" thickBot="1" x14ac:dyDescent="0.25">
      <c r="A2238" s="567" t="s">
        <v>168</v>
      </c>
      <c r="B2238" s="644" t="s">
        <v>168</v>
      </c>
      <c r="C2238" s="645"/>
      <c r="D2238" s="422" t="s">
        <v>400</v>
      </c>
      <c r="E2238" s="423"/>
      <c r="F2238" s="424">
        <v>30</v>
      </c>
      <c r="G2238" s="425">
        <f>VLOOKUP(D2234,'[2]ENSAIOS DE ORÇAMENTO'!$C$3:$L$79,3,FALSE)</f>
        <v>0</v>
      </c>
      <c r="H2238" s="663">
        <f t="shared" si="587"/>
        <v>0</v>
      </c>
      <c r="I2238" s="420"/>
      <c r="J2238" s="420"/>
      <c r="K2238" s="421">
        <f t="shared" si="570"/>
        <v>0</v>
      </c>
      <c r="L2238" s="647"/>
      <c r="M2238" s="723"/>
      <c r="N2238" s="576">
        <f t="shared" si="579"/>
        <v>0</v>
      </c>
      <c r="O2238" s="577">
        <f t="shared" si="573"/>
        <v>0</v>
      </c>
      <c r="P2238" s="578">
        <f t="shared" si="574"/>
        <v>0</v>
      </c>
      <c r="Q2238" s="765"/>
      <c r="R2238" s="723"/>
      <c r="S2238" s="723"/>
      <c r="T2238" s="577">
        <f t="shared" si="571"/>
        <v>0</v>
      </c>
      <c r="U2238" s="578">
        <f t="shared" si="572"/>
        <v>0</v>
      </c>
      <c r="V2238" s="579"/>
      <c r="W2238" s="566" t="str">
        <f>IF(U2234&gt;0,"xx",IF(P2234&gt;0,"xy",""))</f>
        <v/>
      </c>
      <c r="X2238" s="586" t="str">
        <f t="shared" si="577"/>
        <v/>
      </c>
      <c r="Y2238" s="586" t="str">
        <f t="shared" si="531"/>
        <v/>
      </c>
      <c r="Z2238" s="586" t="str">
        <f t="shared" si="583"/>
        <v/>
      </c>
    </row>
    <row r="2239" spans="1:26" ht="12" hidden="1" thickBot="1" x14ac:dyDescent="0.25">
      <c r="A2239" s="567" t="s">
        <v>168</v>
      </c>
      <c r="B2239" s="644" t="s">
        <v>168</v>
      </c>
      <c r="C2239" s="645"/>
      <c r="D2239" s="422" t="s">
        <v>401</v>
      </c>
      <c r="E2239" s="423"/>
      <c r="F2239" s="424">
        <v>500</v>
      </c>
      <c r="G2239" s="425">
        <f>VLOOKUP(D2234,'[2]ENSAIOS DE ORÇAMENTO'!$C$3:$L$79,10,FALSE)</f>
        <v>0</v>
      </c>
      <c r="H2239" s="649">
        <f>IF(F2239&lt;=30,(0.78*F2239+7.82)*G2239,((0.78*30+7.82)+0.78*(F2239-30))*G2239)</f>
        <v>0</v>
      </c>
      <c r="I2239" s="420"/>
      <c r="J2239" s="420"/>
      <c r="K2239" s="421">
        <f t="shared" si="570"/>
        <v>0</v>
      </c>
      <c r="L2239" s="647"/>
      <c r="M2239" s="723"/>
      <c r="N2239" s="576">
        <f t="shared" si="579"/>
        <v>0</v>
      </c>
      <c r="O2239" s="577">
        <f t="shared" si="573"/>
        <v>0</v>
      </c>
      <c r="P2239" s="578">
        <f t="shared" si="574"/>
        <v>0</v>
      </c>
      <c r="Q2239" s="765"/>
      <c r="R2239" s="723"/>
      <c r="S2239" s="723"/>
      <c r="T2239" s="577">
        <f t="shared" si="571"/>
        <v>0</v>
      </c>
      <c r="U2239" s="578">
        <f t="shared" si="572"/>
        <v>0</v>
      </c>
      <c r="V2239" s="579"/>
      <c r="W2239" s="566" t="str">
        <f>IF(U2234&gt;0,"xx",IF(P2234&gt;0,"xy",""))</f>
        <v/>
      </c>
      <c r="X2239" s="586" t="str">
        <f t="shared" si="577"/>
        <v/>
      </c>
      <c r="Y2239" s="586" t="str">
        <f t="shared" si="531"/>
        <v/>
      </c>
      <c r="Z2239" s="586" t="str">
        <f t="shared" si="583"/>
        <v/>
      </c>
    </row>
    <row r="2240" spans="1:26" ht="12" hidden="1" thickBot="1" x14ac:dyDescent="0.25">
      <c r="A2240" s="567" t="s">
        <v>32</v>
      </c>
      <c r="B2240" s="644" t="s">
        <v>32</v>
      </c>
      <c r="C2240" s="645" t="s">
        <v>206</v>
      </c>
      <c r="D2240" s="422" t="s">
        <v>101</v>
      </c>
      <c r="E2240" s="423"/>
      <c r="F2240" s="424"/>
      <c r="G2240" s="425"/>
      <c r="H2240" s="651">
        <f>SUM(H2241:H2245)</f>
        <v>391.64439700000003</v>
      </c>
      <c r="I2240" s="420">
        <f>VLOOKUP(D2240,'[2]ENSAIOS DE ORÇAMENTO'!$C$3:$L$79,8,FALSE)</f>
        <v>2648.3670199999997</v>
      </c>
      <c r="J2240" s="420">
        <f>IF(ISBLANK(I2240),"",SUM(H2240:I2240))</f>
        <v>3040.0114169999997</v>
      </c>
      <c r="K2240" s="421">
        <f t="shared" ref="K2240:K2303" si="588">IF(ISBLANK(I2240),0,ROUND(J2240*(1+$F$10)*(1+$F$11*E2240),2))</f>
        <v>3611.84</v>
      </c>
      <c r="L2240" s="647" t="s">
        <v>21</v>
      </c>
      <c r="M2240" s="576"/>
      <c r="N2240" s="576">
        <f t="shared" si="579"/>
        <v>0</v>
      </c>
      <c r="O2240" s="577">
        <f t="shared" si="573"/>
        <v>0</v>
      </c>
      <c r="P2240" s="578">
        <f t="shared" si="574"/>
        <v>0</v>
      </c>
      <c r="Q2240" s="765"/>
      <c r="R2240" s="576">
        <f>M2240</f>
        <v>0</v>
      </c>
      <c r="S2240" s="576">
        <f>N2240</f>
        <v>0</v>
      </c>
      <c r="T2240" s="577">
        <f t="shared" ref="T2240:T2303" si="589">IF(ISBLANK(R2240),0,ROUND(K2240*R2240,2))</f>
        <v>0</v>
      </c>
      <c r="U2240" s="578">
        <f t="shared" ref="U2240:U2303" si="590">IF(ISBLANK(R2240),0,ROUND(R2240*S2240,2))</f>
        <v>0</v>
      </c>
      <c r="V2240" s="579"/>
      <c r="W2240" s="566"/>
      <c r="X2240" s="586" t="str">
        <f t="shared" si="577"/>
        <v/>
      </c>
      <c r="Y2240" s="586" t="str">
        <f t="shared" si="531"/>
        <v/>
      </c>
      <c r="Z2240" s="586" t="str">
        <f t="shared" si="583"/>
        <v/>
      </c>
    </row>
    <row r="2241" spans="1:26" ht="12" hidden="1" thickBot="1" x14ac:dyDescent="0.25">
      <c r="A2241" s="567" t="s">
        <v>168</v>
      </c>
      <c r="B2241" s="644" t="s">
        <v>168</v>
      </c>
      <c r="C2241" s="645"/>
      <c r="D2241" s="422" t="s">
        <v>212</v>
      </c>
      <c r="E2241" s="423"/>
      <c r="F2241" s="424">
        <v>500</v>
      </c>
      <c r="G2241" s="425">
        <f>VLOOKUP(D2240,'[2]ENSAIOS DE ORÇAMENTO'!$C$3:$L$79,4,FALSE)</f>
        <v>0.2047668</v>
      </c>
      <c r="H2241" s="649">
        <f>IF(F2241&lt;=30,(0.78*F2241+7.82)*G2241,((0.78*30+7.82)+0.78*(F2241-30))*G2241)</f>
        <v>81.460328376000007</v>
      </c>
      <c r="I2241" s="420"/>
      <c r="J2241" s="420"/>
      <c r="K2241" s="421">
        <f t="shared" si="588"/>
        <v>0</v>
      </c>
      <c r="L2241" s="647"/>
      <c r="M2241" s="723"/>
      <c r="N2241" s="576">
        <f t="shared" si="579"/>
        <v>0</v>
      </c>
      <c r="O2241" s="577">
        <f t="shared" ref="O2241:O2304" si="591">IF(ISBLANK(M2241),0,ROUND(K2241*M2241,2))</f>
        <v>0</v>
      </c>
      <c r="P2241" s="578">
        <f t="shared" ref="P2241:P2304" si="592">IF(ISBLANK(N2241),0,ROUND(M2241*N2241,2))</f>
        <v>0</v>
      </c>
      <c r="Q2241" s="765"/>
      <c r="R2241" s="723"/>
      <c r="S2241" s="723"/>
      <c r="T2241" s="577">
        <f t="shared" si="589"/>
        <v>0</v>
      </c>
      <c r="U2241" s="578">
        <f t="shared" si="590"/>
        <v>0</v>
      </c>
      <c r="V2241" s="579"/>
      <c r="W2241" s="566" t="str">
        <f>IF(U2240&gt;0,"xx",IF(P2240&gt;0,"xy",""))</f>
        <v/>
      </c>
      <c r="X2241" s="586" t="str">
        <f t="shared" si="577"/>
        <v/>
      </c>
      <c r="Y2241" s="586" t="str">
        <f t="shared" si="531"/>
        <v/>
      </c>
      <c r="Z2241" s="586" t="str">
        <f t="shared" si="583"/>
        <v/>
      </c>
    </row>
    <row r="2242" spans="1:26" ht="12" hidden="1" thickBot="1" x14ac:dyDescent="0.25">
      <c r="A2242" s="567" t="s">
        <v>168</v>
      </c>
      <c r="B2242" s="644" t="s">
        <v>168</v>
      </c>
      <c r="C2242" s="645"/>
      <c r="D2242" s="422" t="s">
        <v>248</v>
      </c>
      <c r="E2242" s="423"/>
      <c r="F2242" s="424">
        <v>180</v>
      </c>
      <c r="G2242" s="425">
        <f>VLOOKUP(D2240,'[2]ENSAIOS DE ORÇAMENTO'!$C$3:$L$79,5,FALSE)</f>
        <v>1.1293030000000002</v>
      </c>
      <c r="H2242" s="663">
        <f t="shared" ref="H2242:H2244" si="593">IF(F2242&lt;=30,(1.07*F2242+2.68)*G2242,((1.07*30+2.68)+1.07*(F2242-30))*G2242)</f>
        <v>220.53028984000002</v>
      </c>
      <c r="I2242" s="420"/>
      <c r="J2242" s="420"/>
      <c r="K2242" s="421">
        <f t="shared" si="588"/>
        <v>0</v>
      </c>
      <c r="L2242" s="647"/>
      <c r="M2242" s="723"/>
      <c r="N2242" s="576">
        <f t="shared" si="579"/>
        <v>0</v>
      </c>
      <c r="O2242" s="577">
        <f t="shared" si="591"/>
        <v>0</v>
      </c>
      <c r="P2242" s="578">
        <f t="shared" si="592"/>
        <v>0</v>
      </c>
      <c r="Q2242" s="765"/>
      <c r="R2242" s="723"/>
      <c r="S2242" s="723"/>
      <c r="T2242" s="577">
        <f t="shared" si="589"/>
        <v>0</v>
      </c>
      <c r="U2242" s="578">
        <f t="shared" si="590"/>
        <v>0</v>
      </c>
      <c r="V2242" s="579"/>
      <c r="W2242" s="566" t="str">
        <f>IF(U2240&gt;0,"xx",IF(P2240&gt;0,"xy",""))</f>
        <v/>
      </c>
      <c r="X2242" s="586" t="str">
        <f t="shared" si="577"/>
        <v/>
      </c>
      <c r="Y2242" s="586" t="str">
        <f t="shared" si="531"/>
        <v/>
      </c>
      <c r="Z2242" s="586" t="str">
        <f t="shared" si="583"/>
        <v/>
      </c>
    </row>
    <row r="2243" spans="1:26" ht="12" hidden="1" thickBot="1" x14ac:dyDescent="0.25">
      <c r="A2243" s="567" t="s">
        <v>168</v>
      </c>
      <c r="B2243" s="644" t="s">
        <v>168</v>
      </c>
      <c r="C2243" s="645"/>
      <c r="D2243" s="422" t="s">
        <v>252</v>
      </c>
      <c r="E2243" s="423"/>
      <c r="F2243" s="424">
        <v>20</v>
      </c>
      <c r="G2243" s="425">
        <f>VLOOKUP(D2240,'[2]ENSAIOS DE ORÇAMENTO'!$C$3:$L$79,6,FALSE)</f>
        <v>0.38805600000000001</v>
      </c>
      <c r="H2243" s="663">
        <f t="shared" si="593"/>
        <v>9.344388480000001</v>
      </c>
      <c r="I2243" s="420"/>
      <c r="J2243" s="420"/>
      <c r="K2243" s="421">
        <f t="shared" si="588"/>
        <v>0</v>
      </c>
      <c r="L2243" s="647"/>
      <c r="M2243" s="723"/>
      <c r="N2243" s="576">
        <f t="shared" si="579"/>
        <v>0</v>
      </c>
      <c r="O2243" s="577">
        <f t="shared" si="591"/>
        <v>0</v>
      </c>
      <c r="P2243" s="578">
        <f t="shared" si="592"/>
        <v>0</v>
      </c>
      <c r="Q2243" s="765"/>
      <c r="R2243" s="723"/>
      <c r="S2243" s="723"/>
      <c r="T2243" s="577">
        <f t="shared" si="589"/>
        <v>0</v>
      </c>
      <c r="U2243" s="578">
        <f t="shared" si="590"/>
        <v>0</v>
      </c>
      <c r="V2243" s="579"/>
      <c r="W2243" s="566" t="str">
        <f>IF(U2240&gt;0,"xx",IF(P2240&gt;0,"xy",""))</f>
        <v/>
      </c>
      <c r="X2243" s="586" t="str">
        <f t="shared" si="577"/>
        <v/>
      </c>
      <c r="Y2243" s="586" t="str">
        <f t="shared" si="531"/>
        <v/>
      </c>
      <c r="Z2243" s="586" t="str">
        <f t="shared" si="583"/>
        <v/>
      </c>
    </row>
    <row r="2244" spans="1:26" ht="12" hidden="1" thickBot="1" x14ac:dyDescent="0.25">
      <c r="A2244" s="567" t="s">
        <v>168</v>
      </c>
      <c r="B2244" s="644" t="s">
        <v>168</v>
      </c>
      <c r="C2244" s="645"/>
      <c r="D2244" s="422" t="s">
        <v>400</v>
      </c>
      <c r="E2244" s="423"/>
      <c r="F2244" s="424">
        <v>30</v>
      </c>
      <c r="G2244" s="425">
        <f>VLOOKUP(D2240,'[2]ENSAIOS DE ORÇAMENTO'!$C$3:$L$79,3,FALSE)</f>
        <v>1.6716959999999998</v>
      </c>
      <c r="H2244" s="663">
        <f t="shared" si="593"/>
        <v>58.141586879999998</v>
      </c>
      <c r="I2244" s="420"/>
      <c r="J2244" s="420"/>
      <c r="K2244" s="421">
        <f t="shared" si="588"/>
        <v>0</v>
      </c>
      <c r="L2244" s="647"/>
      <c r="M2244" s="723"/>
      <c r="N2244" s="576">
        <f t="shared" si="579"/>
        <v>0</v>
      </c>
      <c r="O2244" s="577">
        <f t="shared" si="591"/>
        <v>0</v>
      </c>
      <c r="P2244" s="578">
        <f t="shared" si="592"/>
        <v>0</v>
      </c>
      <c r="Q2244" s="765"/>
      <c r="R2244" s="723"/>
      <c r="S2244" s="723"/>
      <c r="T2244" s="577">
        <f t="shared" si="589"/>
        <v>0</v>
      </c>
      <c r="U2244" s="578">
        <f t="shared" si="590"/>
        <v>0</v>
      </c>
      <c r="V2244" s="579"/>
      <c r="W2244" s="566" t="str">
        <f>IF(U2240&gt;0,"xx",IF(P2240&gt;0,"xy",""))</f>
        <v/>
      </c>
      <c r="X2244" s="586" t="str">
        <f t="shared" si="577"/>
        <v/>
      </c>
      <c r="Y2244" s="586" t="str">
        <f t="shared" si="531"/>
        <v/>
      </c>
      <c r="Z2244" s="586" t="str">
        <f t="shared" si="583"/>
        <v/>
      </c>
    </row>
    <row r="2245" spans="1:26" ht="12" hidden="1" thickBot="1" x14ac:dyDescent="0.25">
      <c r="A2245" s="567" t="s">
        <v>168</v>
      </c>
      <c r="B2245" s="644" t="s">
        <v>168</v>
      </c>
      <c r="C2245" s="645"/>
      <c r="D2245" s="422" t="s">
        <v>401</v>
      </c>
      <c r="E2245" s="423"/>
      <c r="F2245" s="424">
        <v>500</v>
      </c>
      <c r="G2245" s="425">
        <f>VLOOKUP(D2240,'[2]ENSAIOS DE ORÇAMENTO'!$C$3:$L$79,10,FALSE)</f>
        <v>5.5723200000000001E-2</v>
      </c>
      <c r="H2245" s="649">
        <f>IF(F2245&lt;=30,(0.78*F2245+7.82)*G2245,((0.78*30+7.82)+0.78*(F2245-30))*G2245)</f>
        <v>22.167803424000002</v>
      </c>
      <c r="I2245" s="420"/>
      <c r="J2245" s="420"/>
      <c r="K2245" s="421">
        <f t="shared" si="588"/>
        <v>0</v>
      </c>
      <c r="L2245" s="647"/>
      <c r="M2245" s="723"/>
      <c r="N2245" s="576">
        <f t="shared" si="579"/>
        <v>0</v>
      </c>
      <c r="O2245" s="577">
        <f t="shared" si="591"/>
        <v>0</v>
      </c>
      <c r="P2245" s="578">
        <f t="shared" si="592"/>
        <v>0</v>
      </c>
      <c r="Q2245" s="765"/>
      <c r="R2245" s="723"/>
      <c r="S2245" s="723"/>
      <c r="T2245" s="577">
        <f t="shared" si="589"/>
        <v>0</v>
      </c>
      <c r="U2245" s="578">
        <f t="shared" si="590"/>
        <v>0</v>
      </c>
      <c r="V2245" s="579"/>
      <c r="W2245" s="566" t="str">
        <f>IF(U2240&gt;0,"xx",IF(P2240&gt;0,"xy",""))</f>
        <v/>
      </c>
      <c r="X2245" s="586" t="str">
        <f t="shared" si="577"/>
        <v/>
      </c>
      <c r="Y2245" s="586" t="str">
        <f t="shared" si="531"/>
        <v/>
      </c>
      <c r="Z2245" s="586" t="str">
        <f t="shared" si="583"/>
        <v/>
      </c>
    </row>
    <row r="2246" spans="1:26" ht="12" hidden="1" thickBot="1" x14ac:dyDescent="0.25">
      <c r="A2246" s="567" t="s">
        <v>33</v>
      </c>
      <c r="B2246" s="644" t="s">
        <v>33</v>
      </c>
      <c r="C2246" s="645" t="s">
        <v>206</v>
      </c>
      <c r="D2246" s="422" t="s">
        <v>102</v>
      </c>
      <c r="E2246" s="423"/>
      <c r="F2246" s="424"/>
      <c r="G2246" s="425"/>
      <c r="H2246" s="651">
        <f>SUM(H2247:H2251)</f>
        <v>461.47875640000001</v>
      </c>
      <c r="I2246" s="420">
        <f>VLOOKUP(D2246,'[2]ENSAIOS DE ORÇAMENTO'!$C$3:$L$79,8,FALSE)</f>
        <v>2933.8990199999998</v>
      </c>
      <c r="J2246" s="420">
        <f>IF(ISBLANK(I2246),"",SUM(H2246:I2246))</f>
        <v>3395.3777763999997</v>
      </c>
      <c r="K2246" s="421">
        <f t="shared" si="588"/>
        <v>4034.05</v>
      </c>
      <c r="L2246" s="647" t="s">
        <v>21</v>
      </c>
      <c r="M2246" s="576"/>
      <c r="N2246" s="576">
        <f t="shared" si="579"/>
        <v>0</v>
      </c>
      <c r="O2246" s="577">
        <f t="shared" si="591"/>
        <v>0</v>
      </c>
      <c r="P2246" s="578">
        <f t="shared" si="592"/>
        <v>0</v>
      </c>
      <c r="Q2246" s="765"/>
      <c r="R2246" s="576">
        <f>M2246</f>
        <v>0</v>
      </c>
      <c r="S2246" s="576">
        <f>N2246</f>
        <v>0</v>
      </c>
      <c r="T2246" s="577">
        <f t="shared" si="589"/>
        <v>0</v>
      </c>
      <c r="U2246" s="578">
        <f t="shared" si="590"/>
        <v>0</v>
      </c>
      <c r="V2246" s="579"/>
      <c r="W2246" s="566"/>
      <c r="X2246" s="586" t="str">
        <f t="shared" si="577"/>
        <v/>
      </c>
      <c r="Y2246" s="586" t="str">
        <f t="shared" si="531"/>
        <v/>
      </c>
      <c r="Z2246" s="586" t="str">
        <f t="shared" si="583"/>
        <v/>
      </c>
    </row>
    <row r="2247" spans="1:26" ht="12" hidden="1" thickBot="1" x14ac:dyDescent="0.25">
      <c r="A2247" s="567" t="s">
        <v>168</v>
      </c>
      <c r="B2247" s="644" t="s">
        <v>168</v>
      </c>
      <c r="C2247" s="645"/>
      <c r="D2247" s="422" t="s">
        <v>212</v>
      </c>
      <c r="E2247" s="423"/>
      <c r="F2247" s="424">
        <v>500</v>
      </c>
      <c r="G2247" s="425">
        <f>VLOOKUP(D2246,'[2]ENSAIOS DE ORÇAMENTO'!$C$3:$L$79,4,FALSE)</f>
        <v>0.23381399999999999</v>
      </c>
      <c r="H2247" s="649">
        <f>IF(F2247&lt;=30,(0.78*F2247+7.82)*G2247,((0.78*30+7.82)+0.78*(F2247-30))*G2247)</f>
        <v>93.015885480000009</v>
      </c>
      <c r="I2247" s="420"/>
      <c r="J2247" s="420"/>
      <c r="K2247" s="421">
        <f t="shared" si="588"/>
        <v>0</v>
      </c>
      <c r="L2247" s="647"/>
      <c r="M2247" s="723"/>
      <c r="N2247" s="576">
        <f t="shared" si="579"/>
        <v>0</v>
      </c>
      <c r="O2247" s="577">
        <f t="shared" si="591"/>
        <v>0</v>
      </c>
      <c r="P2247" s="578">
        <f t="shared" si="592"/>
        <v>0</v>
      </c>
      <c r="Q2247" s="765"/>
      <c r="R2247" s="723"/>
      <c r="S2247" s="723"/>
      <c r="T2247" s="577">
        <f t="shared" si="589"/>
        <v>0</v>
      </c>
      <c r="U2247" s="578">
        <f t="shared" si="590"/>
        <v>0</v>
      </c>
      <c r="V2247" s="579"/>
      <c r="W2247" s="566" t="str">
        <f>IF(U2246&gt;0,"xx",IF(P2246&gt;0,"xy",""))</f>
        <v/>
      </c>
      <c r="X2247" s="586" t="str">
        <f t="shared" si="577"/>
        <v/>
      </c>
      <c r="Y2247" s="586" t="str">
        <f t="shared" si="531"/>
        <v/>
      </c>
      <c r="Z2247" s="586" t="str">
        <f t="shared" si="583"/>
        <v/>
      </c>
    </row>
    <row r="2248" spans="1:26" ht="12" hidden="1" thickBot="1" x14ac:dyDescent="0.25">
      <c r="A2248" s="567" t="s">
        <v>168</v>
      </c>
      <c r="B2248" s="644" t="s">
        <v>168</v>
      </c>
      <c r="C2248" s="645"/>
      <c r="D2248" s="422" t="s">
        <v>248</v>
      </c>
      <c r="E2248" s="423"/>
      <c r="F2248" s="424">
        <v>180</v>
      </c>
      <c r="G2248" s="425">
        <f>VLOOKUP(D2246,'[2]ENSAIOS DE ORÇAMENTO'!$C$3:$L$79,5,FALSE)</f>
        <v>1.324927</v>
      </c>
      <c r="H2248" s="663">
        <f t="shared" ref="H2248:H2250" si="594">IF(F2248&lt;=30,(1.07*F2248+2.68)*G2248,((1.07*30+2.68)+1.07*(F2248-30))*G2248)</f>
        <v>258.73174455999998</v>
      </c>
      <c r="I2248" s="420"/>
      <c r="J2248" s="420"/>
      <c r="K2248" s="421">
        <f t="shared" si="588"/>
        <v>0</v>
      </c>
      <c r="L2248" s="647"/>
      <c r="M2248" s="723"/>
      <c r="N2248" s="576">
        <f t="shared" si="579"/>
        <v>0</v>
      </c>
      <c r="O2248" s="577">
        <f t="shared" si="591"/>
        <v>0</v>
      </c>
      <c r="P2248" s="578">
        <f t="shared" si="592"/>
        <v>0</v>
      </c>
      <c r="Q2248" s="765"/>
      <c r="R2248" s="723"/>
      <c r="S2248" s="723"/>
      <c r="T2248" s="577">
        <f t="shared" si="589"/>
        <v>0</v>
      </c>
      <c r="U2248" s="578">
        <f t="shared" si="590"/>
        <v>0</v>
      </c>
      <c r="V2248" s="579"/>
      <c r="W2248" s="566" t="str">
        <f>IF(U2246&gt;0,"xx",IF(P2246&gt;0,"xy",""))</f>
        <v/>
      </c>
      <c r="X2248" s="586" t="str">
        <f t="shared" si="577"/>
        <v/>
      </c>
      <c r="Y2248" s="586" t="str">
        <f t="shared" si="531"/>
        <v/>
      </c>
      <c r="Z2248" s="586" t="str">
        <f t="shared" si="583"/>
        <v/>
      </c>
    </row>
    <row r="2249" spans="1:26" ht="12" hidden="1" thickBot="1" x14ac:dyDescent="0.25">
      <c r="A2249" s="567" t="s">
        <v>168</v>
      </c>
      <c r="B2249" s="644" t="s">
        <v>168</v>
      </c>
      <c r="C2249" s="645"/>
      <c r="D2249" s="422" t="s">
        <v>252</v>
      </c>
      <c r="E2249" s="423"/>
      <c r="F2249" s="424">
        <v>20</v>
      </c>
      <c r="G2249" s="425">
        <f>VLOOKUP(D2246,'[2]ENSAIOS DE ORÇAMENTO'!$C$3:$L$79,6,FALSE)</f>
        <v>0.38805600000000001</v>
      </c>
      <c r="H2249" s="663">
        <f t="shared" si="594"/>
        <v>9.344388480000001</v>
      </c>
      <c r="I2249" s="420"/>
      <c r="J2249" s="420"/>
      <c r="K2249" s="421">
        <f t="shared" si="588"/>
        <v>0</v>
      </c>
      <c r="L2249" s="647"/>
      <c r="M2249" s="723"/>
      <c r="N2249" s="576">
        <f t="shared" si="579"/>
        <v>0</v>
      </c>
      <c r="O2249" s="577">
        <f t="shared" si="591"/>
        <v>0</v>
      </c>
      <c r="P2249" s="578">
        <f t="shared" si="592"/>
        <v>0</v>
      </c>
      <c r="Q2249" s="765"/>
      <c r="R2249" s="723"/>
      <c r="S2249" s="723"/>
      <c r="T2249" s="577">
        <f t="shared" si="589"/>
        <v>0</v>
      </c>
      <c r="U2249" s="578">
        <f t="shared" si="590"/>
        <v>0</v>
      </c>
      <c r="V2249" s="579"/>
      <c r="W2249" s="566" t="str">
        <f>IF(U2246&gt;0,"xx",IF(P2246&gt;0,"xy",""))</f>
        <v/>
      </c>
      <c r="X2249" s="586" t="str">
        <f t="shared" si="577"/>
        <v/>
      </c>
      <c r="Y2249" s="586" t="str">
        <f t="shared" si="531"/>
        <v/>
      </c>
      <c r="Z2249" s="586" t="str">
        <f t="shared" si="583"/>
        <v/>
      </c>
    </row>
    <row r="2250" spans="1:26" ht="12" hidden="1" thickBot="1" x14ac:dyDescent="0.25">
      <c r="A2250" s="567" t="s">
        <v>168</v>
      </c>
      <c r="B2250" s="644" t="s">
        <v>168</v>
      </c>
      <c r="C2250" s="645"/>
      <c r="D2250" s="422" t="s">
        <v>400</v>
      </c>
      <c r="E2250" s="423"/>
      <c r="F2250" s="424">
        <v>30</v>
      </c>
      <c r="G2250" s="425">
        <f>VLOOKUP(D2246,'[2]ENSAIOS DE ORÇAMENTO'!$C$3:$L$79,3,FALSE)</f>
        <v>2.0896199999999996</v>
      </c>
      <c r="H2250" s="663">
        <f t="shared" si="594"/>
        <v>72.676983599999986</v>
      </c>
      <c r="I2250" s="420"/>
      <c r="J2250" s="420"/>
      <c r="K2250" s="421">
        <f t="shared" si="588"/>
        <v>0</v>
      </c>
      <c r="L2250" s="647"/>
      <c r="M2250" s="723"/>
      <c r="N2250" s="576">
        <f t="shared" si="579"/>
        <v>0</v>
      </c>
      <c r="O2250" s="577">
        <f t="shared" si="591"/>
        <v>0</v>
      </c>
      <c r="P2250" s="578">
        <f t="shared" si="592"/>
        <v>0</v>
      </c>
      <c r="Q2250" s="765"/>
      <c r="R2250" s="723"/>
      <c r="S2250" s="723"/>
      <c r="T2250" s="577">
        <f t="shared" si="589"/>
        <v>0</v>
      </c>
      <c r="U2250" s="578">
        <f t="shared" si="590"/>
        <v>0</v>
      </c>
      <c r="V2250" s="579"/>
      <c r="W2250" s="566" t="str">
        <f>IF(U2246&gt;0,"xx",IF(P2246&gt;0,"xy",""))</f>
        <v/>
      </c>
      <c r="X2250" s="586" t="str">
        <f t="shared" si="577"/>
        <v/>
      </c>
      <c r="Y2250" s="586" t="str">
        <f t="shared" si="531"/>
        <v/>
      </c>
      <c r="Z2250" s="586" t="str">
        <f t="shared" si="583"/>
        <v/>
      </c>
    </row>
    <row r="2251" spans="1:26" ht="12" hidden="1" thickBot="1" x14ac:dyDescent="0.25">
      <c r="A2251" s="567" t="s">
        <v>168</v>
      </c>
      <c r="B2251" s="644" t="s">
        <v>168</v>
      </c>
      <c r="C2251" s="645"/>
      <c r="D2251" s="422" t="s">
        <v>401</v>
      </c>
      <c r="E2251" s="423"/>
      <c r="F2251" s="424">
        <v>500</v>
      </c>
      <c r="G2251" s="425">
        <f>VLOOKUP(D2246,'[2]ENSAIOS DE ORÇAMENTO'!$C$3:$L$79,10,FALSE)</f>
        <v>6.9653999999999994E-2</v>
      </c>
      <c r="H2251" s="649">
        <f>IF(F2251&lt;=30,(0.78*F2251+7.82)*G2251,((0.78*30+7.82)+0.78*(F2251-30))*G2251)</f>
        <v>27.709754280000002</v>
      </c>
      <c r="I2251" s="420"/>
      <c r="J2251" s="420"/>
      <c r="K2251" s="421">
        <f t="shared" si="588"/>
        <v>0</v>
      </c>
      <c r="L2251" s="647"/>
      <c r="M2251" s="723"/>
      <c r="N2251" s="576">
        <f t="shared" si="579"/>
        <v>0</v>
      </c>
      <c r="O2251" s="577">
        <f t="shared" si="591"/>
        <v>0</v>
      </c>
      <c r="P2251" s="578">
        <f t="shared" si="592"/>
        <v>0</v>
      </c>
      <c r="Q2251" s="765"/>
      <c r="R2251" s="723"/>
      <c r="S2251" s="723"/>
      <c r="T2251" s="577">
        <f t="shared" si="589"/>
        <v>0</v>
      </c>
      <c r="U2251" s="578">
        <f t="shared" si="590"/>
        <v>0</v>
      </c>
      <c r="V2251" s="579"/>
      <c r="W2251" s="566" t="str">
        <f>IF(U2246&gt;0,"xx",IF(P2246&gt;0,"xy",""))</f>
        <v/>
      </c>
      <c r="X2251" s="586" t="str">
        <f t="shared" si="577"/>
        <v/>
      </c>
      <c r="Y2251" s="586" t="str">
        <f t="shared" si="531"/>
        <v/>
      </c>
      <c r="Z2251" s="586" t="str">
        <f t="shared" si="583"/>
        <v/>
      </c>
    </row>
    <row r="2252" spans="1:26" ht="12" hidden="1" thickBot="1" x14ac:dyDescent="0.25">
      <c r="A2252" s="567" t="s">
        <v>117</v>
      </c>
      <c r="B2252" s="644" t="s">
        <v>117</v>
      </c>
      <c r="C2252" s="645" t="s">
        <v>206</v>
      </c>
      <c r="D2252" s="422" t="s">
        <v>103</v>
      </c>
      <c r="E2252" s="423"/>
      <c r="F2252" s="424"/>
      <c r="G2252" s="425"/>
      <c r="H2252" s="651">
        <f>SUM(H2253:H2257)</f>
        <v>576.97404310000002</v>
      </c>
      <c r="I2252" s="420">
        <f>VLOOKUP(D2252,'[2]ENSAIOS DE ORÇAMENTO'!$C$3:$L$79,8,FALSE)</f>
        <v>3406.1250199999995</v>
      </c>
      <c r="J2252" s="420">
        <f>IF(ISBLANK(I2252),"",SUM(H2252:I2252))</f>
        <v>3983.0990630999995</v>
      </c>
      <c r="K2252" s="421">
        <f t="shared" si="588"/>
        <v>4732.32</v>
      </c>
      <c r="L2252" s="647" t="s">
        <v>21</v>
      </c>
      <c r="M2252" s="576"/>
      <c r="N2252" s="576">
        <f t="shared" si="579"/>
        <v>0</v>
      </c>
      <c r="O2252" s="577">
        <f t="shared" si="591"/>
        <v>0</v>
      </c>
      <c r="P2252" s="578">
        <f t="shared" si="592"/>
        <v>0</v>
      </c>
      <c r="Q2252" s="765"/>
      <c r="R2252" s="576">
        <f>M2252</f>
        <v>0</v>
      </c>
      <c r="S2252" s="576">
        <f>N2252</f>
        <v>0</v>
      </c>
      <c r="T2252" s="577">
        <f t="shared" si="589"/>
        <v>0</v>
      </c>
      <c r="U2252" s="578">
        <f t="shared" si="590"/>
        <v>0</v>
      </c>
      <c r="V2252" s="579"/>
      <c r="W2252" s="566"/>
      <c r="X2252" s="586" t="str">
        <f t="shared" si="577"/>
        <v/>
      </c>
      <c r="Y2252" s="586" t="str">
        <f t="shared" si="531"/>
        <v/>
      </c>
      <c r="Z2252" s="586" t="str">
        <f t="shared" si="583"/>
        <v/>
      </c>
    </row>
    <row r="2253" spans="1:26" ht="12" hidden="1" thickBot="1" x14ac:dyDescent="0.25">
      <c r="A2253" s="567" t="s">
        <v>168</v>
      </c>
      <c r="B2253" s="644" t="s">
        <v>168</v>
      </c>
      <c r="C2253" s="645"/>
      <c r="D2253" s="422" t="s">
        <v>212</v>
      </c>
      <c r="E2253" s="423"/>
      <c r="F2253" s="424">
        <v>500</v>
      </c>
      <c r="G2253" s="425">
        <f>VLOOKUP(D2252,'[2]ENSAIOS DE ORÇAMENTO'!$C$3:$L$79,4,FALSE)</f>
        <v>0.28185359999999998</v>
      </c>
      <c r="H2253" s="649">
        <f>IF(F2253&lt;=30,(0.78*F2253+7.82)*G2253,((0.78*30+7.82)+0.78*(F2253-30))*G2253)</f>
        <v>112.12699915200001</v>
      </c>
      <c r="I2253" s="420"/>
      <c r="J2253" s="420"/>
      <c r="K2253" s="421">
        <f t="shared" si="588"/>
        <v>0</v>
      </c>
      <c r="L2253" s="647"/>
      <c r="M2253" s="723"/>
      <c r="N2253" s="576">
        <f t="shared" si="579"/>
        <v>0</v>
      </c>
      <c r="O2253" s="577">
        <f t="shared" si="591"/>
        <v>0</v>
      </c>
      <c r="P2253" s="578">
        <f t="shared" si="592"/>
        <v>0</v>
      </c>
      <c r="Q2253" s="765"/>
      <c r="R2253" s="723"/>
      <c r="S2253" s="723"/>
      <c r="T2253" s="577">
        <f t="shared" si="589"/>
        <v>0</v>
      </c>
      <c r="U2253" s="578">
        <f t="shared" si="590"/>
        <v>0</v>
      </c>
      <c r="V2253" s="579"/>
      <c r="W2253" s="566" t="str">
        <f>IF(U2252&gt;0,"xx",IF(P2252&gt;0,"xy",""))</f>
        <v/>
      </c>
      <c r="X2253" s="586" t="str">
        <f t="shared" si="577"/>
        <v/>
      </c>
      <c r="Y2253" s="586" t="str">
        <f t="shared" si="531"/>
        <v/>
      </c>
      <c r="Z2253" s="586" t="str">
        <f t="shared" si="583"/>
        <v/>
      </c>
    </row>
    <row r="2254" spans="1:26" ht="12" hidden="1" thickBot="1" x14ac:dyDescent="0.25">
      <c r="A2254" s="567" t="s">
        <v>168</v>
      </c>
      <c r="B2254" s="644" t="s">
        <v>168</v>
      </c>
      <c r="C2254" s="645"/>
      <c r="D2254" s="422" t="s">
        <v>248</v>
      </c>
      <c r="E2254" s="423"/>
      <c r="F2254" s="424">
        <v>180</v>
      </c>
      <c r="G2254" s="425">
        <f>VLOOKUP(D2252,'[2]ENSAIOS DE ORÇAMENTO'!$C$3:$L$79,5,FALSE)</f>
        <v>1.6484590000000001</v>
      </c>
      <c r="H2254" s="663">
        <f t="shared" ref="H2254:H2256" si="595">IF(F2254&lt;=30,(1.07*F2254+2.68)*G2254,((1.07*30+2.68)+1.07*(F2254-30))*G2254)</f>
        <v>321.91107352</v>
      </c>
      <c r="I2254" s="420"/>
      <c r="J2254" s="420"/>
      <c r="K2254" s="421">
        <f t="shared" si="588"/>
        <v>0</v>
      </c>
      <c r="L2254" s="647"/>
      <c r="M2254" s="723"/>
      <c r="N2254" s="576">
        <f t="shared" si="579"/>
        <v>0</v>
      </c>
      <c r="O2254" s="577">
        <f t="shared" si="591"/>
        <v>0</v>
      </c>
      <c r="P2254" s="578">
        <f t="shared" si="592"/>
        <v>0</v>
      </c>
      <c r="Q2254" s="765"/>
      <c r="R2254" s="723"/>
      <c r="S2254" s="723"/>
      <c r="T2254" s="577">
        <f t="shared" si="589"/>
        <v>0</v>
      </c>
      <c r="U2254" s="578">
        <f t="shared" si="590"/>
        <v>0</v>
      </c>
      <c r="V2254" s="579"/>
      <c r="W2254" s="566" t="str">
        <f>IF(U2252&gt;0,"xx",IF(P2252&gt;0,"xy",""))</f>
        <v/>
      </c>
      <c r="X2254" s="586" t="str">
        <f t="shared" si="577"/>
        <v/>
      </c>
      <c r="Y2254" s="586" t="str">
        <f t="shared" si="531"/>
        <v/>
      </c>
      <c r="Z2254" s="586" t="str">
        <f t="shared" si="583"/>
        <v/>
      </c>
    </row>
    <row r="2255" spans="1:26" ht="12" hidden="1" thickBot="1" x14ac:dyDescent="0.25">
      <c r="A2255" s="567" t="s">
        <v>168</v>
      </c>
      <c r="B2255" s="644" t="s">
        <v>168</v>
      </c>
      <c r="C2255" s="645"/>
      <c r="D2255" s="422" t="s">
        <v>252</v>
      </c>
      <c r="E2255" s="423"/>
      <c r="F2255" s="424">
        <v>20</v>
      </c>
      <c r="G2255" s="425">
        <f>VLOOKUP(D2252,'[2]ENSAIOS DE ORÇAMENTO'!$C$3:$L$79,6,FALSE)</f>
        <v>0.38805600000000001</v>
      </c>
      <c r="H2255" s="663">
        <f t="shared" si="595"/>
        <v>9.344388480000001</v>
      </c>
      <c r="I2255" s="420"/>
      <c r="J2255" s="420"/>
      <c r="K2255" s="421">
        <f t="shared" si="588"/>
        <v>0</v>
      </c>
      <c r="L2255" s="647"/>
      <c r="M2255" s="723"/>
      <c r="N2255" s="576">
        <f t="shared" si="579"/>
        <v>0</v>
      </c>
      <c r="O2255" s="577">
        <f t="shared" si="591"/>
        <v>0</v>
      </c>
      <c r="P2255" s="578">
        <f t="shared" si="592"/>
        <v>0</v>
      </c>
      <c r="Q2255" s="765"/>
      <c r="R2255" s="723"/>
      <c r="S2255" s="723"/>
      <c r="T2255" s="577">
        <f t="shared" si="589"/>
        <v>0</v>
      </c>
      <c r="U2255" s="578">
        <f t="shared" si="590"/>
        <v>0</v>
      </c>
      <c r="V2255" s="579"/>
      <c r="W2255" s="566" t="str">
        <f>IF(U2252&gt;0,"xx",IF(P2252&gt;0,"xy",""))</f>
        <v/>
      </c>
      <c r="X2255" s="586" t="str">
        <f t="shared" si="577"/>
        <v/>
      </c>
      <c r="Y2255" s="586" t="str">
        <f t="shared" si="531"/>
        <v/>
      </c>
      <c r="Z2255" s="586" t="str">
        <f t="shared" si="583"/>
        <v/>
      </c>
    </row>
    <row r="2256" spans="1:26" ht="12" hidden="1" thickBot="1" x14ac:dyDescent="0.25">
      <c r="A2256" s="567" t="s">
        <v>168</v>
      </c>
      <c r="B2256" s="644" t="s">
        <v>168</v>
      </c>
      <c r="C2256" s="645"/>
      <c r="D2256" s="422" t="s">
        <v>400</v>
      </c>
      <c r="E2256" s="423"/>
      <c r="F2256" s="424">
        <v>30</v>
      </c>
      <c r="G2256" s="425">
        <f>VLOOKUP(D2252,'[2]ENSAIOS DE ORÇAMENTO'!$C$3:$L$79,3,FALSE)</f>
        <v>2.780802</v>
      </c>
      <c r="H2256" s="663">
        <f t="shared" si="595"/>
        <v>96.716293559999997</v>
      </c>
      <c r="I2256" s="420"/>
      <c r="J2256" s="420"/>
      <c r="K2256" s="421">
        <f t="shared" si="588"/>
        <v>0</v>
      </c>
      <c r="L2256" s="647"/>
      <c r="M2256" s="723"/>
      <c r="N2256" s="576">
        <f t="shared" si="579"/>
        <v>0</v>
      </c>
      <c r="O2256" s="577">
        <f t="shared" si="591"/>
        <v>0</v>
      </c>
      <c r="P2256" s="578">
        <f t="shared" si="592"/>
        <v>0</v>
      </c>
      <c r="Q2256" s="765"/>
      <c r="R2256" s="723"/>
      <c r="S2256" s="723"/>
      <c r="T2256" s="577">
        <f t="shared" si="589"/>
        <v>0</v>
      </c>
      <c r="U2256" s="578">
        <f t="shared" si="590"/>
        <v>0</v>
      </c>
      <c r="V2256" s="579"/>
      <c r="W2256" s="566" t="str">
        <f>IF(U2252&gt;0,"xx",IF(P2252&gt;0,"xy",""))</f>
        <v/>
      </c>
      <c r="X2256" s="586" t="str">
        <f t="shared" si="577"/>
        <v/>
      </c>
      <c r="Y2256" s="586" t="str">
        <f t="shared" si="531"/>
        <v/>
      </c>
      <c r="Z2256" s="586" t="str">
        <f t="shared" si="583"/>
        <v/>
      </c>
    </row>
    <row r="2257" spans="1:26" ht="12" hidden="1" thickBot="1" x14ac:dyDescent="0.25">
      <c r="A2257" s="567" t="s">
        <v>168</v>
      </c>
      <c r="B2257" s="644" t="s">
        <v>168</v>
      </c>
      <c r="C2257" s="645"/>
      <c r="D2257" s="422" t="s">
        <v>401</v>
      </c>
      <c r="E2257" s="423"/>
      <c r="F2257" s="424">
        <v>500</v>
      </c>
      <c r="G2257" s="425">
        <f>VLOOKUP(D2252,'[2]ENSAIOS DE ORÇAMENTO'!$C$3:$L$79,10,FALSE)</f>
        <v>9.2693399999999995E-2</v>
      </c>
      <c r="H2257" s="649">
        <f>IF(F2257&lt;=30,(0.78*F2257+7.82)*G2257,((0.78*30+7.82)+0.78*(F2257-30))*G2257)</f>
        <v>36.875288388000001</v>
      </c>
      <c r="I2257" s="420"/>
      <c r="J2257" s="420"/>
      <c r="K2257" s="421">
        <f t="shared" si="588"/>
        <v>0</v>
      </c>
      <c r="L2257" s="647"/>
      <c r="M2257" s="723"/>
      <c r="N2257" s="576">
        <f t="shared" si="579"/>
        <v>0</v>
      </c>
      <c r="O2257" s="577">
        <f t="shared" si="591"/>
        <v>0</v>
      </c>
      <c r="P2257" s="578">
        <f t="shared" si="592"/>
        <v>0</v>
      </c>
      <c r="Q2257" s="765"/>
      <c r="R2257" s="723"/>
      <c r="S2257" s="723"/>
      <c r="T2257" s="577">
        <f t="shared" si="589"/>
        <v>0</v>
      </c>
      <c r="U2257" s="578">
        <f t="shared" si="590"/>
        <v>0</v>
      </c>
      <c r="V2257" s="579"/>
      <c r="W2257" s="566" t="str">
        <f>IF(U2252&gt;0,"xx",IF(P2252&gt;0,"xy",""))</f>
        <v/>
      </c>
      <c r="X2257" s="586" t="str">
        <f t="shared" si="577"/>
        <v/>
      </c>
      <c r="Y2257" s="586" t="str">
        <f t="shared" si="531"/>
        <v/>
      </c>
      <c r="Z2257" s="586" t="str">
        <f t="shared" si="583"/>
        <v/>
      </c>
    </row>
    <row r="2258" spans="1:26" ht="12" hidden="1" thickBot="1" x14ac:dyDescent="0.25">
      <c r="A2258" s="567" t="s">
        <v>118</v>
      </c>
      <c r="B2258" s="644" t="s">
        <v>118</v>
      </c>
      <c r="C2258" s="645" t="s">
        <v>206</v>
      </c>
      <c r="D2258" s="422" t="s">
        <v>104</v>
      </c>
      <c r="E2258" s="423"/>
      <c r="F2258" s="424"/>
      <c r="G2258" s="425"/>
      <c r="H2258" s="651">
        <f>SUM(H2259:H2263)</f>
        <v>695.15526669999997</v>
      </c>
      <c r="I2258" s="420">
        <f>VLOOKUP(D2258,'[2]ENSAIOS DE ORÇAMENTO'!$C$3:$L$79,8,FALSE)</f>
        <v>3889.3330199999991</v>
      </c>
      <c r="J2258" s="420">
        <f>IF(ISBLANK(I2258),"",SUM(H2258:I2258))</f>
        <v>4584.4882866999988</v>
      </c>
      <c r="K2258" s="421">
        <f t="shared" si="588"/>
        <v>5446.83</v>
      </c>
      <c r="L2258" s="647" t="s">
        <v>21</v>
      </c>
      <c r="M2258" s="576"/>
      <c r="N2258" s="576">
        <f t="shared" si="579"/>
        <v>0</v>
      </c>
      <c r="O2258" s="577">
        <f t="shared" si="591"/>
        <v>0</v>
      </c>
      <c r="P2258" s="578">
        <f t="shared" si="592"/>
        <v>0</v>
      </c>
      <c r="Q2258" s="765"/>
      <c r="R2258" s="576">
        <f>M2258</f>
        <v>0</v>
      </c>
      <c r="S2258" s="576">
        <f>N2258</f>
        <v>0</v>
      </c>
      <c r="T2258" s="577">
        <f t="shared" si="589"/>
        <v>0</v>
      </c>
      <c r="U2258" s="578">
        <f t="shared" si="590"/>
        <v>0</v>
      </c>
      <c r="V2258" s="579"/>
      <c r="W2258" s="566"/>
      <c r="X2258" s="586" t="str">
        <f t="shared" si="577"/>
        <v/>
      </c>
      <c r="Y2258" s="586" t="str">
        <f t="shared" si="531"/>
        <v/>
      </c>
      <c r="Z2258" s="586" t="str">
        <f t="shared" si="583"/>
        <v/>
      </c>
    </row>
    <row r="2259" spans="1:26" ht="12" hidden="1" thickBot="1" x14ac:dyDescent="0.25">
      <c r="A2259" s="567" t="s">
        <v>168</v>
      </c>
      <c r="B2259" s="644" t="s">
        <v>168</v>
      </c>
      <c r="C2259" s="645"/>
      <c r="D2259" s="422" t="s">
        <v>212</v>
      </c>
      <c r="E2259" s="423"/>
      <c r="F2259" s="424">
        <v>500</v>
      </c>
      <c r="G2259" s="425">
        <f>VLOOKUP(D2258,'[2]ENSAIOS DE ORÇAMENTO'!$C$3:$L$79,4,FALSE)</f>
        <v>0.33101039999999993</v>
      </c>
      <c r="H2259" s="649">
        <f>IF(F2259&lt;=30,(0.78*F2259+7.82)*G2259,((0.78*30+7.82)+0.78*(F2259-30))*G2259)</f>
        <v>131.682557328</v>
      </c>
      <c r="I2259" s="420"/>
      <c r="J2259" s="420"/>
      <c r="K2259" s="421">
        <f t="shared" si="588"/>
        <v>0</v>
      </c>
      <c r="L2259" s="647"/>
      <c r="M2259" s="723"/>
      <c r="N2259" s="576">
        <f t="shared" si="579"/>
        <v>0</v>
      </c>
      <c r="O2259" s="577">
        <f t="shared" si="591"/>
        <v>0</v>
      </c>
      <c r="P2259" s="578">
        <f t="shared" si="592"/>
        <v>0</v>
      </c>
      <c r="Q2259" s="765"/>
      <c r="R2259" s="723"/>
      <c r="S2259" s="723"/>
      <c r="T2259" s="577">
        <f t="shared" si="589"/>
        <v>0</v>
      </c>
      <c r="U2259" s="578">
        <f t="shared" si="590"/>
        <v>0</v>
      </c>
      <c r="V2259" s="579"/>
      <c r="W2259" s="566" t="str">
        <f>IF(U2258&gt;0,"xx",IF(P2258&gt;0,"xy",""))</f>
        <v/>
      </c>
      <c r="X2259" s="586" t="str">
        <f t="shared" si="577"/>
        <v/>
      </c>
      <c r="Y2259" s="586" t="str">
        <f t="shared" si="531"/>
        <v/>
      </c>
      <c r="Z2259" s="586" t="str">
        <f t="shared" si="583"/>
        <v/>
      </c>
    </row>
    <row r="2260" spans="1:26" ht="12" hidden="1" thickBot="1" x14ac:dyDescent="0.25">
      <c r="A2260" s="567" t="s">
        <v>168</v>
      </c>
      <c r="B2260" s="644" t="s">
        <v>168</v>
      </c>
      <c r="C2260" s="645"/>
      <c r="D2260" s="422" t="s">
        <v>248</v>
      </c>
      <c r="E2260" s="423"/>
      <c r="F2260" s="424">
        <v>180</v>
      </c>
      <c r="G2260" s="425">
        <f>VLOOKUP(D2258,'[2]ENSAIOS DE ORÇAMENTO'!$C$3:$L$79,5,FALSE)</f>
        <v>1.9795149999999999</v>
      </c>
      <c r="H2260" s="663">
        <f t="shared" ref="H2260:H2262" si="596">IF(F2260&lt;=30,(1.07*F2260+2.68)*G2260,((1.07*30+2.68)+1.07*(F2260-30))*G2260)</f>
        <v>386.55968919999998</v>
      </c>
      <c r="I2260" s="420"/>
      <c r="J2260" s="420"/>
      <c r="K2260" s="421">
        <f t="shared" si="588"/>
        <v>0</v>
      </c>
      <c r="L2260" s="647"/>
      <c r="M2260" s="723"/>
      <c r="N2260" s="576">
        <f t="shared" ref="N2260:N2323" si="597">IF(M2260=0,0,K2260)</f>
        <v>0</v>
      </c>
      <c r="O2260" s="577">
        <f t="shared" si="591"/>
        <v>0</v>
      </c>
      <c r="P2260" s="578">
        <f t="shared" si="592"/>
        <v>0</v>
      </c>
      <c r="Q2260" s="765"/>
      <c r="R2260" s="723"/>
      <c r="S2260" s="723"/>
      <c r="T2260" s="577">
        <f t="shared" si="589"/>
        <v>0</v>
      </c>
      <c r="U2260" s="578">
        <f t="shared" si="590"/>
        <v>0</v>
      </c>
      <c r="V2260" s="579"/>
      <c r="W2260" s="566" t="str">
        <f>IF(U2258&gt;0,"xx",IF(P2258&gt;0,"xy",""))</f>
        <v/>
      </c>
      <c r="X2260" s="586" t="str">
        <f t="shared" si="577"/>
        <v/>
      </c>
      <c r="Y2260" s="586" t="str">
        <f t="shared" si="531"/>
        <v/>
      </c>
      <c r="Z2260" s="586" t="str">
        <f t="shared" si="583"/>
        <v/>
      </c>
    </row>
    <row r="2261" spans="1:26" ht="12" hidden="1" thickBot="1" x14ac:dyDescent="0.25">
      <c r="A2261" s="567" t="s">
        <v>168</v>
      </c>
      <c r="B2261" s="644" t="s">
        <v>168</v>
      </c>
      <c r="C2261" s="645"/>
      <c r="D2261" s="422" t="s">
        <v>252</v>
      </c>
      <c r="E2261" s="423"/>
      <c r="F2261" s="424">
        <v>20</v>
      </c>
      <c r="G2261" s="425">
        <f>VLOOKUP(D2258,'[2]ENSAIOS DE ORÇAMENTO'!$C$3:$L$79,6,FALSE)</f>
        <v>0.38805600000000001</v>
      </c>
      <c r="H2261" s="663">
        <f t="shared" si="596"/>
        <v>9.344388480000001</v>
      </c>
      <c r="I2261" s="420"/>
      <c r="J2261" s="420"/>
      <c r="K2261" s="421">
        <f t="shared" si="588"/>
        <v>0</v>
      </c>
      <c r="L2261" s="647"/>
      <c r="M2261" s="723"/>
      <c r="N2261" s="576">
        <f t="shared" si="597"/>
        <v>0</v>
      </c>
      <c r="O2261" s="577">
        <f t="shared" si="591"/>
        <v>0</v>
      </c>
      <c r="P2261" s="578">
        <f t="shared" si="592"/>
        <v>0</v>
      </c>
      <c r="Q2261" s="765"/>
      <c r="R2261" s="723"/>
      <c r="S2261" s="723"/>
      <c r="T2261" s="577">
        <f t="shared" si="589"/>
        <v>0</v>
      </c>
      <c r="U2261" s="578">
        <f t="shared" si="590"/>
        <v>0</v>
      </c>
      <c r="V2261" s="579"/>
      <c r="W2261" s="566" t="str">
        <f>IF(U2258&gt;0,"xx",IF(P2258&gt;0,"xy",""))</f>
        <v/>
      </c>
      <c r="X2261" s="586" t="str">
        <f t="shared" si="577"/>
        <v/>
      </c>
      <c r="Y2261" s="586" t="str">
        <f t="shared" si="531"/>
        <v/>
      </c>
      <c r="Z2261" s="586" t="str">
        <f t="shared" si="583"/>
        <v/>
      </c>
    </row>
    <row r="2262" spans="1:26" ht="12" hidden="1" thickBot="1" x14ac:dyDescent="0.25">
      <c r="A2262" s="567" t="s">
        <v>168</v>
      </c>
      <c r="B2262" s="644" t="s">
        <v>168</v>
      </c>
      <c r="C2262" s="645"/>
      <c r="D2262" s="422" t="s">
        <v>400</v>
      </c>
      <c r="E2262" s="423"/>
      <c r="F2262" s="424">
        <v>30</v>
      </c>
      <c r="G2262" s="425">
        <f>VLOOKUP(D2258,'[2]ENSAIOS DE ORÇAMENTO'!$C$3:$L$79,3,FALSE)</f>
        <v>3.4880579999999992</v>
      </c>
      <c r="H2262" s="663">
        <f t="shared" si="596"/>
        <v>121.31465723999997</v>
      </c>
      <c r="I2262" s="420"/>
      <c r="J2262" s="420"/>
      <c r="K2262" s="421">
        <f t="shared" si="588"/>
        <v>0</v>
      </c>
      <c r="L2262" s="647"/>
      <c r="M2262" s="723"/>
      <c r="N2262" s="576">
        <f t="shared" si="597"/>
        <v>0</v>
      </c>
      <c r="O2262" s="577">
        <f t="shared" si="591"/>
        <v>0</v>
      </c>
      <c r="P2262" s="578">
        <f t="shared" si="592"/>
        <v>0</v>
      </c>
      <c r="Q2262" s="765"/>
      <c r="R2262" s="723"/>
      <c r="S2262" s="723"/>
      <c r="T2262" s="577">
        <f t="shared" si="589"/>
        <v>0</v>
      </c>
      <c r="U2262" s="578">
        <f t="shared" si="590"/>
        <v>0</v>
      </c>
      <c r="V2262" s="579"/>
      <c r="W2262" s="566" t="str">
        <f>IF(U2258&gt;0,"xx",IF(P2258&gt;0,"xy",""))</f>
        <v/>
      </c>
      <c r="X2262" s="586" t="str">
        <f t="shared" si="577"/>
        <v/>
      </c>
      <c r="Y2262" s="586" t="str">
        <f t="shared" si="531"/>
        <v/>
      </c>
      <c r="Z2262" s="586" t="str">
        <f t="shared" si="583"/>
        <v/>
      </c>
    </row>
    <row r="2263" spans="1:26" ht="12" hidden="1" thickBot="1" x14ac:dyDescent="0.25">
      <c r="A2263" s="567" t="s">
        <v>168</v>
      </c>
      <c r="B2263" s="644" t="s">
        <v>168</v>
      </c>
      <c r="C2263" s="645"/>
      <c r="D2263" s="422" t="s">
        <v>401</v>
      </c>
      <c r="E2263" s="423"/>
      <c r="F2263" s="424">
        <v>500</v>
      </c>
      <c r="G2263" s="425">
        <f>VLOOKUP(D2258,'[2]ENSAIOS DE ORÇAMENTO'!$C$3:$L$79,10,FALSE)</f>
        <v>0.11626859999999997</v>
      </c>
      <c r="H2263" s="649">
        <f>IF(F2263&lt;=30,(0.78*F2263+7.82)*G2263,((0.78*30+7.82)+0.78*(F2263-30))*G2263)</f>
        <v>46.253974451999994</v>
      </c>
      <c r="I2263" s="420"/>
      <c r="J2263" s="420"/>
      <c r="K2263" s="421">
        <f t="shared" si="588"/>
        <v>0</v>
      </c>
      <c r="L2263" s="647"/>
      <c r="M2263" s="723"/>
      <c r="N2263" s="576">
        <f t="shared" si="597"/>
        <v>0</v>
      </c>
      <c r="O2263" s="577">
        <f t="shared" si="591"/>
        <v>0</v>
      </c>
      <c r="P2263" s="578">
        <f t="shared" si="592"/>
        <v>0</v>
      </c>
      <c r="Q2263" s="765"/>
      <c r="R2263" s="723"/>
      <c r="S2263" s="723"/>
      <c r="T2263" s="577">
        <f t="shared" si="589"/>
        <v>0</v>
      </c>
      <c r="U2263" s="578">
        <f t="shared" si="590"/>
        <v>0</v>
      </c>
      <c r="V2263" s="579"/>
      <c r="W2263" s="566" t="str">
        <f>IF(U2258&gt;0,"xx",IF(P2258&gt;0,"xy",""))</f>
        <v/>
      </c>
      <c r="X2263" s="586" t="str">
        <f t="shared" si="577"/>
        <v/>
      </c>
      <c r="Y2263" s="586" t="str">
        <f t="shared" si="531"/>
        <v/>
      </c>
      <c r="Z2263" s="586" t="str">
        <f t="shared" si="583"/>
        <v/>
      </c>
    </row>
    <row r="2264" spans="1:26" ht="12" hidden="1" thickBot="1" x14ac:dyDescent="0.25">
      <c r="A2264" s="567" t="s">
        <v>119</v>
      </c>
      <c r="B2264" s="644" t="s">
        <v>119</v>
      </c>
      <c r="C2264" s="645" t="s">
        <v>206</v>
      </c>
      <c r="D2264" s="422" t="s">
        <v>406</v>
      </c>
      <c r="E2264" s="423"/>
      <c r="F2264" s="424"/>
      <c r="G2264" s="425"/>
      <c r="H2264" s="651">
        <f>SUM(H2265:H2269)</f>
        <v>867.39781996000011</v>
      </c>
      <c r="I2264" s="420">
        <f>VLOOKUP(D2264,'[2]ENSAIOS DE ORÇAMENTO'!$C$3:$L$79,8,FALSE)</f>
        <v>2116.3516300000001</v>
      </c>
      <c r="J2264" s="420">
        <f>IF(ISBLANK(I2264),"",SUM(H2264:I2264))</f>
        <v>2983.7494499600002</v>
      </c>
      <c r="K2264" s="421">
        <f t="shared" si="588"/>
        <v>3544.99</v>
      </c>
      <c r="L2264" s="647" t="s">
        <v>21</v>
      </c>
      <c r="M2264" s="576"/>
      <c r="N2264" s="576">
        <f t="shared" si="597"/>
        <v>0</v>
      </c>
      <c r="O2264" s="577">
        <f t="shared" si="591"/>
        <v>0</v>
      </c>
      <c r="P2264" s="578">
        <f t="shared" si="592"/>
        <v>0</v>
      </c>
      <c r="Q2264" s="765"/>
      <c r="R2264" s="576">
        <f>M2264</f>
        <v>0</v>
      </c>
      <c r="S2264" s="576">
        <f>N2264</f>
        <v>0</v>
      </c>
      <c r="T2264" s="577">
        <f t="shared" si="589"/>
        <v>0</v>
      </c>
      <c r="U2264" s="578">
        <f t="shared" si="590"/>
        <v>0</v>
      </c>
      <c r="V2264" s="579"/>
      <c r="W2264" s="566"/>
      <c r="X2264" s="586" t="str">
        <f t="shared" si="577"/>
        <v/>
      </c>
      <c r="Y2264" s="586" t="str">
        <f t="shared" si="531"/>
        <v/>
      </c>
      <c r="Z2264" s="586" t="str">
        <f t="shared" si="583"/>
        <v/>
      </c>
    </row>
    <row r="2265" spans="1:26" ht="12" hidden="1" thickBot="1" x14ac:dyDescent="0.25">
      <c r="A2265" s="567" t="s">
        <v>168</v>
      </c>
      <c r="B2265" s="644" t="s">
        <v>168</v>
      </c>
      <c r="C2265" s="645"/>
      <c r="D2265" s="422" t="s">
        <v>212</v>
      </c>
      <c r="E2265" s="423"/>
      <c r="F2265" s="424">
        <v>500</v>
      </c>
      <c r="G2265" s="425">
        <f>VLOOKUP(D2264,'[2]ENSAIOS DE ORÇAMENTO'!$C$3:$L$79,4,FALSE)</f>
        <v>0.82205400000000006</v>
      </c>
      <c r="H2265" s="649">
        <f>IF(F2265&lt;=30,(0.78*F2265+7.82)*G2265,((0.78*30+7.82)+0.78*(F2265-30))*G2265)</f>
        <v>327.02952228000009</v>
      </c>
      <c r="I2265" s="420"/>
      <c r="J2265" s="420"/>
      <c r="K2265" s="421">
        <f t="shared" si="588"/>
        <v>0</v>
      </c>
      <c r="L2265" s="647"/>
      <c r="M2265" s="723"/>
      <c r="N2265" s="576">
        <f t="shared" si="597"/>
        <v>0</v>
      </c>
      <c r="O2265" s="577">
        <f t="shared" si="591"/>
        <v>0</v>
      </c>
      <c r="P2265" s="578">
        <f t="shared" si="592"/>
        <v>0</v>
      </c>
      <c r="Q2265" s="765"/>
      <c r="R2265" s="723"/>
      <c r="S2265" s="723"/>
      <c r="T2265" s="577">
        <f t="shared" si="589"/>
        <v>0</v>
      </c>
      <c r="U2265" s="578">
        <f t="shared" si="590"/>
        <v>0</v>
      </c>
      <c r="V2265" s="579"/>
      <c r="W2265" s="566" t="str">
        <f>IF(U2264&gt;0,"xx",IF(P2264&gt;0,"xy",""))</f>
        <v/>
      </c>
      <c r="X2265" s="586" t="str">
        <f t="shared" si="577"/>
        <v/>
      </c>
      <c r="Y2265" s="586" t="str">
        <f t="shared" si="531"/>
        <v/>
      </c>
      <c r="Z2265" s="586" t="str">
        <f t="shared" si="583"/>
        <v/>
      </c>
    </row>
    <row r="2266" spans="1:26" ht="12" hidden="1" thickBot="1" x14ac:dyDescent="0.25">
      <c r="A2266" s="567" t="s">
        <v>168</v>
      </c>
      <c r="B2266" s="644" t="s">
        <v>168</v>
      </c>
      <c r="C2266" s="645"/>
      <c r="D2266" s="422" t="s">
        <v>248</v>
      </c>
      <c r="E2266" s="423"/>
      <c r="F2266" s="424">
        <v>180</v>
      </c>
      <c r="G2266" s="425">
        <f>VLOOKUP(D2264,'[2]ENSAIOS DE ORÇAMENTO'!$C$3:$L$79,5,FALSE)</f>
        <v>2.4129430000000003</v>
      </c>
      <c r="H2266" s="663">
        <f t="shared" ref="H2266:H2268" si="598">IF(F2266&lt;=30,(1.07*F2266+2.68)*G2266,((1.07*30+2.68)+1.07*(F2266-30))*G2266)</f>
        <v>471.19950904000007</v>
      </c>
      <c r="I2266" s="420"/>
      <c r="J2266" s="420"/>
      <c r="K2266" s="421">
        <f t="shared" si="588"/>
        <v>0</v>
      </c>
      <c r="L2266" s="647"/>
      <c r="M2266" s="723"/>
      <c r="N2266" s="576">
        <f t="shared" si="597"/>
        <v>0</v>
      </c>
      <c r="O2266" s="577">
        <f t="shared" si="591"/>
        <v>0</v>
      </c>
      <c r="P2266" s="578">
        <f t="shared" si="592"/>
        <v>0</v>
      </c>
      <c r="Q2266" s="765"/>
      <c r="R2266" s="723"/>
      <c r="S2266" s="723"/>
      <c r="T2266" s="577">
        <f t="shared" si="589"/>
        <v>0</v>
      </c>
      <c r="U2266" s="578">
        <f t="shared" si="590"/>
        <v>0</v>
      </c>
      <c r="V2266" s="579"/>
      <c r="W2266" s="566" t="str">
        <f>IF(U2264&gt;0,"xx",IF(P2264&gt;0,"xy",""))</f>
        <v/>
      </c>
      <c r="X2266" s="586" t="str">
        <f t="shared" si="577"/>
        <v/>
      </c>
      <c r="Y2266" s="586" t="str">
        <f t="shared" si="531"/>
        <v/>
      </c>
      <c r="Z2266" s="586" t="str">
        <f t="shared" si="583"/>
        <v/>
      </c>
    </row>
    <row r="2267" spans="1:26" ht="12" hidden="1" thickBot="1" x14ac:dyDescent="0.25">
      <c r="A2267" s="567" t="s">
        <v>168</v>
      </c>
      <c r="B2267" s="644" t="s">
        <v>168</v>
      </c>
      <c r="C2267" s="645"/>
      <c r="D2267" s="422" t="s">
        <v>252</v>
      </c>
      <c r="E2267" s="423"/>
      <c r="F2267" s="424">
        <v>20</v>
      </c>
      <c r="G2267" s="425">
        <f>VLOOKUP(D2264,'[2]ENSAIOS DE ORÇAMENTO'!$C$3:$L$79,6,FALSE)</f>
        <v>2.8724580000000004</v>
      </c>
      <c r="H2267" s="663">
        <f t="shared" si="598"/>
        <v>69.168788640000017</v>
      </c>
      <c r="I2267" s="420"/>
      <c r="J2267" s="420"/>
      <c r="K2267" s="421">
        <f t="shared" si="588"/>
        <v>0</v>
      </c>
      <c r="L2267" s="647"/>
      <c r="M2267" s="723"/>
      <c r="N2267" s="576">
        <f t="shared" si="597"/>
        <v>0</v>
      </c>
      <c r="O2267" s="577">
        <f t="shared" si="591"/>
        <v>0</v>
      </c>
      <c r="P2267" s="578">
        <f t="shared" si="592"/>
        <v>0</v>
      </c>
      <c r="Q2267" s="765"/>
      <c r="R2267" s="723"/>
      <c r="S2267" s="723"/>
      <c r="T2267" s="577">
        <f t="shared" si="589"/>
        <v>0</v>
      </c>
      <c r="U2267" s="578">
        <f t="shared" si="590"/>
        <v>0</v>
      </c>
      <c r="V2267" s="579"/>
      <c r="W2267" s="566" t="str">
        <f>IF(U2264&gt;0,"xx",IF(P2264&gt;0,"xy",""))</f>
        <v/>
      </c>
      <c r="X2267" s="586" t="str">
        <f t="shared" si="577"/>
        <v/>
      </c>
      <c r="Y2267" s="586" t="str">
        <f t="shared" si="531"/>
        <v/>
      </c>
      <c r="Z2267" s="586" t="str">
        <f t="shared" si="583"/>
        <v/>
      </c>
    </row>
    <row r="2268" spans="1:26" ht="12" hidden="1" thickBot="1" x14ac:dyDescent="0.25">
      <c r="A2268" s="567" t="s">
        <v>168</v>
      </c>
      <c r="B2268" s="644" t="s">
        <v>168</v>
      </c>
      <c r="C2268" s="645"/>
      <c r="D2268" s="422" t="s">
        <v>400</v>
      </c>
      <c r="E2268" s="423"/>
      <c r="F2268" s="424">
        <v>30</v>
      </c>
      <c r="G2268" s="425">
        <f>VLOOKUP(D2264,'[2]ENSAIOS DE ORÇAMENTO'!$C$3:$L$79,3,FALSE)</f>
        <v>0</v>
      </c>
      <c r="H2268" s="663">
        <f t="shared" si="598"/>
        <v>0</v>
      </c>
      <c r="I2268" s="420"/>
      <c r="J2268" s="420"/>
      <c r="K2268" s="421">
        <f t="shared" si="588"/>
        <v>0</v>
      </c>
      <c r="L2268" s="647"/>
      <c r="M2268" s="723"/>
      <c r="N2268" s="576">
        <f t="shared" si="597"/>
        <v>0</v>
      </c>
      <c r="O2268" s="577">
        <f t="shared" si="591"/>
        <v>0</v>
      </c>
      <c r="P2268" s="578">
        <f t="shared" si="592"/>
        <v>0</v>
      </c>
      <c r="Q2268" s="765"/>
      <c r="R2268" s="723"/>
      <c r="S2268" s="723"/>
      <c r="T2268" s="577">
        <f t="shared" si="589"/>
        <v>0</v>
      </c>
      <c r="U2268" s="578">
        <f t="shared" si="590"/>
        <v>0</v>
      </c>
      <c r="V2268" s="579"/>
      <c r="W2268" s="566" t="str">
        <f>IF(U2264&gt;0,"xx",IF(P2264&gt;0,"xy",""))</f>
        <v/>
      </c>
      <c r="X2268" s="586" t="str">
        <f t="shared" si="577"/>
        <v/>
      </c>
      <c r="Y2268" s="586" t="str">
        <f t="shared" si="531"/>
        <v/>
      </c>
      <c r="Z2268" s="586" t="str">
        <f t="shared" si="583"/>
        <v/>
      </c>
    </row>
    <row r="2269" spans="1:26" ht="12" hidden="1" thickBot="1" x14ac:dyDescent="0.25">
      <c r="A2269" s="567" t="s">
        <v>168</v>
      </c>
      <c r="B2269" s="644" t="s">
        <v>168</v>
      </c>
      <c r="C2269" s="645"/>
      <c r="D2269" s="422" t="s">
        <v>401</v>
      </c>
      <c r="E2269" s="423"/>
      <c r="F2269" s="424">
        <v>500</v>
      </c>
      <c r="G2269" s="425">
        <f>VLOOKUP(D2264,'[2]ENSAIOS DE ORÇAMENTO'!$C$3:$L$79,10,FALSE)</f>
        <v>0</v>
      </c>
      <c r="H2269" s="649">
        <f>IF(F2269&lt;=30,(0.78*F2269+7.82)*G2269,((0.78*30+7.82)+0.78*(F2269-30))*G2269)</f>
        <v>0</v>
      </c>
      <c r="I2269" s="420"/>
      <c r="J2269" s="420"/>
      <c r="K2269" s="421">
        <f t="shared" si="588"/>
        <v>0</v>
      </c>
      <c r="L2269" s="647"/>
      <c r="M2269" s="723"/>
      <c r="N2269" s="576">
        <f t="shared" si="597"/>
        <v>0</v>
      </c>
      <c r="O2269" s="577">
        <f t="shared" si="591"/>
        <v>0</v>
      </c>
      <c r="P2269" s="578">
        <f t="shared" si="592"/>
        <v>0</v>
      </c>
      <c r="Q2269" s="765"/>
      <c r="R2269" s="723"/>
      <c r="S2269" s="723"/>
      <c r="T2269" s="577">
        <f t="shared" si="589"/>
        <v>0</v>
      </c>
      <c r="U2269" s="578">
        <f t="shared" si="590"/>
        <v>0</v>
      </c>
      <c r="V2269" s="579"/>
      <c r="W2269" s="566" t="str">
        <f>IF(U2264&gt;0,"xx",IF(P2264&gt;0,"xy",""))</f>
        <v/>
      </c>
      <c r="X2269" s="586" t="str">
        <f t="shared" si="577"/>
        <v/>
      </c>
      <c r="Y2269" s="586" t="str">
        <f t="shared" si="531"/>
        <v/>
      </c>
      <c r="Z2269" s="586" t="str">
        <f t="shared" si="583"/>
        <v/>
      </c>
    </row>
    <row r="2270" spans="1:26" ht="12" hidden="1" thickBot="1" x14ac:dyDescent="0.25">
      <c r="A2270" s="567" t="s">
        <v>120</v>
      </c>
      <c r="B2270" s="644" t="s">
        <v>120</v>
      </c>
      <c r="C2270" s="645" t="s">
        <v>206</v>
      </c>
      <c r="D2270" s="422" t="s">
        <v>407</v>
      </c>
      <c r="E2270" s="423"/>
      <c r="F2270" s="424"/>
      <c r="G2270" s="425"/>
      <c r="H2270" s="651">
        <f>SUM(H2271:H2275)</f>
        <v>1079.2374695200001</v>
      </c>
      <c r="I2270" s="420">
        <f>VLOOKUP(D2270,'[2]ENSAIOS DE ORÇAMENTO'!$C$3:$L$79,8,FALSE)</f>
        <v>2460.1564399999997</v>
      </c>
      <c r="J2270" s="420">
        <f>IF(ISBLANK(I2270),"",SUM(H2270:I2270))</f>
        <v>3539.3939095199999</v>
      </c>
      <c r="K2270" s="421">
        <f t="shared" si="588"/>
        <v>4205.1499999999996</v>
      </c>
      <c r="L2270" s="647" t="s">
        <v>21</v>
      </c>
      <c r="M2270" s="576"/>
      <c r="N2270" s="576">
        <f t="shared" si="597"/>
        <v>0</v>
      </c>
      <c r="O2270" s="577">
        <f t="shared" si="591"/>
        <v>0</v>
      </c>
      <c r="P2270" s="578">
        <f t="shared" si="592"/>
        <v>0</v>
      </c>
      <c r="Q2270" s="765"/>
      <c r="R2270" s="576">
        <f>M2270</f>
        <v>0</v>
      </c>
      <c r="S2270" s="576">
        <f>N2270</f>
        <v>0</v>
      </c>
      <c r="T2270" s="577">
        <f t="shared" si="589"/>
        <v>0</v>
      </c>
      <c r="U2270" s="578">
        <f t="shared" si="590"/>
        <v>0</v>
      </c>
      <c r="V2270" s="579"/>
      <c r="W2270" s="566"/>
      <c r="X2270" s="586" t="str">
        <f t="shared" si="577"/>
        <v/>
      </c>
      <c r="Y2270" s="586" t="str">
        <f t="shared" si="531"/>
        <v/>
      </c>
      <c r="Z2270" s="586" t="str">
        <f t="shared" si="583"/>
        <v/>
      </c>
    </row>
    <row r="2271" spans="1:26" ht="12" hidden="1" thickBot="1" x14ac:dyDescent="0.25">
      <c r="A2271" s="567" t="s">
        <v>168</v>
      </c>
      <c r="B2271" s="644" t="s">
        <v>168</v>
      </c>
      <c r="C2271" s="645"/>
      <c r="D2271" s="422" t="s">
        <v>212</v>
      </c>
      <c r="E2271" s="423"/>
      <c r="F2271" s="424">
        <v>500</v>
      </c>
      <c r="G2271" s="425">
        <f>VLOOKUP(D2270,'[2]ENSAIOS DE ORÇAMENTO'!$C$3:$L$79,4,FALSE)</f>
        <v>1.028964</v>
      </c>
      <c r="H2271" s="649">
        <f>IF(F2271&lt;=30,(0.78*F2271+7.82)*G2271,((0.78*30+7.82)+0.78*(F2271-30))*G2271)</f>
        <v>409.34245848000006</v>
      </c>
      <c r="I2271" s="420"/>
      <c r="J2271" s="420"/>
      <c r="K2271" s="421">
        <f t="shared" si="588"/>
        <v>0</v>
      </c>
      <c r="L2271" s="647"/>
      <c r="M2271" s="723"/>
      <c r="N2271" s="576">
        <f t="shared" si="597"/>
        <v>0</v>
      </c>
      <c r="O2271" s="577">
        <f t="shared" si="591"/>
        <v>0</v>
      </c>
      <c r="P2271" s="578">
        <f t="shared" si="592"/>
        <v>0</v>
      </c>
      <c r="Q2271" s="765"/>
      <c r="R2271" s="723"/>
      <c r="S2271" s="723"/>
      <c r="T2271" s="577">
        <f t="shared" si="589"/>
        <v>0</v>
      </c>
      <c r="U2271" s="578">
        <f t="shared" si="590"/>
        <v>0</v>
      </c>
      <c r="V2271" s="579"/>
      <c r="W2271" s="566" t="str">
        <f>IF(U2270&gt;0,"xx",IF(P2270&gt;0,"xy",""))</f>
        <v/>
      </c>
      <c r="X2271" s="586" t="str">
        <f t="shared" si="577"/>
        <v/>
      </c>
      <c r="Y2271" s="586" t="str">
        <f t="shared" si="531"/>
        <v/>
      </c>
      <c r="Z2271" s="586" t="str">
        <f t="shared" si="583"/>
        <v/>
      </c>
    </row>
    <row r="2272" spans="1:26" ht="12" hidden="1" thickBot="1" x14ac:dyDescent="0.25">
      <c r="A2272" s="567" t="s">
        <v>168</v>
      </c>
      <c r="B2272" s="644" t="s">
        <v>168</v>
      </c>
      <c r="C2272" s="645"/>
      <c r="D2272" s="422" t="s">
        <v>248</v>
      </c>
      <c r="E2272" s="423"/>
      <c r="F2272" s="424">
        <v>180</v>
      </c>
      <c r="G2272" s="425">
        <f>VLOOKUP(D2270,'[2]ENSAIOS DE ORÇAMENTO'!$C$3:$L$79,5,FALSE)</f>
        <v>2.9904099999999998</v>
      </c>
      <c r="H2272" s="663">
        <f t="shared" ref="H2272:H2274" si="599">IF(F2272&lt;=30,(1.07*F2272+2.68)*G2272,((1.07*30+2.68)+1.07*(F2272-30))*G2272)</f>
        <v>583.96726479999995</v>
      </c>
      <c r="I2272" s="420"/>
      <c r="J2272" s="420"/>
      <c r="K2272" s="421">
        <f t="shared" si="588"/>
        <v>0</v>
      </c>
      <c r="L2272" s="647"/>
      <c r="M2272" s="723"/>
      <c r="N2272" s="576">
        <f t="shared" si="597"/>
        <v>0</v>
      </c>
      <c r="O2272" s="577">
        <f t="shared" si="591"/>
        <v>0</v>
      </c>
      <c r="P2272" s="578">
        <f t="shared" si="592"/>
        <v>0</v>
      </c>
      <c r="Q2272" s="765"/>
      <c r="R2272" s="723"/>
      <c r="S2272" s="723"/>
      <c r="T2272" s="577">
        <f t="shared" si="589"/>
        <v>0</v>
      </c>
      <c r="U2272" s="578">
        <f t="shared" si="590"/>
        <v>0</v>
      </c>
      <c r="V2272" s="579"/>
      <c r="W2272" s="566" t="str">
        <f>IF(U2270&gt;0,"xx",IF(P2270&gt;0,"xy",""))</f>
        <v/>
      </c>
      <c r="X2272" s="586" t="str">
        <f t="shared" si="577"/>
        <v/>
      </c>
      <c r="Y2272" s="586" t="str">
        <f t="shared" si="531"/>
        <v/>
      </c>
      <c r="Z2272" s="586" t="str">
        <f t="shared" si="583"/>
        <v/>
      </c>
    </row>
    <row r="2273" spans="1:26" ht="12" hidden="1" thickBot="1" x14ac:dyDescent="0.25">
      <c r="A2273" s="567" t="s">
        <v>168</v>
      </c>
      <c r="B2273" s="644" t="s">
        <v>168</v>
      </c>
      <c r="C2273" s="645"/>
      <c r="D2273" s="422" t="s">
        <v>252</v>
      </c>
      <c r="E2273" s="423"/>
      <c r="F2273" s="424">
        <v>20</v>
      </c>
      <c r="G2273" s="425">
        <f>VLOOKUP(D2270,'[2]ENSAIOS DE ORÇAMENTO'!$C$3:$L$79,6,FALSE)</f>
        <v>3.5684279999999999</v>
      </c>
      <c r="H2273" s="663">
        <f t="shared" si="599"/>
        <v>85.927746240000005</v>
      </c>
      <c r="I2273" s="420"/>
      <c r="J2273" s="420"/>
      <c r="K2273" s="421">
        <f t="shared" si="588"/>
        <v>0</v>
      </c>
      <c r="L2273" s="647"/>
      <c r="M2273" s="723"/>
      <c r="N2273" s="576">
        <f t="shared" si="597"/>
        <v>0</v>
      </c>
      <c r="O2273" s="577">
        <f t="shared" si="591"/>
        <v>0</v>
      </c>
      <c r="P2273" s="578">
        <f t="shared" si="592"/>
        <v>0</v>
      </c>
      <c r="Q2273" s="765"/>
      <c r="R2273" s="723"/>
      <c r="S2273" s="723"/>
      <c r="T2273" s="577">
        <f t="shared" si="589"/>
        <v>0</v>
      </c>
      <c r="U2273" s="578">
        <f t="shared" si="590"/>
        <v>0</v>
      </c>
      <c r="V2273" s="579"/>
      <c r="W2273" s="566" t="str">
        <f>IF(U2270&gt;0,"xx",IF(P2270&gt;0,"xy",""))</f>
        <v/>
      </c>
      <c r="X2273" s="586" t="str">
        <f t="shared" si="577"/>
        <v/>
      </c>
      <c r="Y2273" s="586" t="str">
        <f t="shared" si="531"/>
        <v/>
      </c>
      <c r="Z2273" s="586" t="str">
        <f t="shared" si="583"/>
        <v/>
      </c>
    </row>
    <row r="2274" spans="1:26" ht="12" hidden="1" thickBot="1" x14ac:dyDescent="0.25">
      <c r="A2274" s="567" t="s">
        <v>168</v>
      </c>
      <c r="B2274" s="644" t="s">
        <v>168</v>
      </c>
      <c r="C2274" s="645"/>
      <c r="D2274" s="422" t="s">
        <v>400</v>
      </c>
      <c r="E2274" s="423"/>
      <c r="F2274" s="424">
        <v>30</v>
      </c>
      <c r="G2274" s="425">
        <f>VLOOKUP(D2270,'[2]ENSAIOS DE ORÇAMENTO'!$C$3:$L$79,3,FALSE)</f>
        <v>0</v>
      </c>
      <c r="H2274" s="663">
        <f t="shared" si="599"/>
        <v>0</v>
      </c>
      <c r="I2274" s="420"/>
      <c r="J2274" s="420"/>
      <c r="K2274" s="421">
        <f t="shared" si="588"/>
        <v>0</v>
      </c>
      <c r="L2274" s="647"/>
      <c r="M2274" s="723"/>
      <c r="N2274" s="576">
        <f t="shared" si="597"/>
        <v>0</v>
      </c>
      <c r="O2274" s="577">
        <f t="shared" si="591"/>
        <v>0</v>
      </c>
      <c r="P2274" s="578">
        <f t="shared" si="592"/>
        <v>0</v>
      </c>
      <c r="Q2274" s="765"/>
      <c r="R2274" s="723"/>
      <c r="S2274" s="723"/>
      <c r="T2274" s="577">
        <f t="shared" si="589"/>
        <v>0</v>
      </c>
      <c r="U2274" s="578">
        <f t="shared" si="590"/>
        <v>0</v>
      </c>
      <c r="V2274" s="579"/>
      <c r="W2274" s="566" t="str">
        <f>IF(U2270&gt;0,"xx",IF(P2270&gt;0,"xy",""))</f>
        <v/>
      </c>
      <c r="X2274" s="586" t="str">
        <f t="shared" si="577"/>
        <v/>
      </c>
      <c r="Y2274" s="586" t="str">
        <f t="shared" si="531"/>
        <v/>
      </c>
      <c r="Z2274" s="586" t="str">
        <f t="shared" si="583"/>
        <v/>
      </c>
    </row>
    <row r="2275" spans="1:26" ht="12" hidden="1" thickBot="1" x14ac:dyDescent="0.25">
      <c r="A2275" s="567" t="s">
        <v>168</v>
      </c>
      <c r="B2275" s="644" t="s">
        <v>168</v>
      </c>
      <c r="C2275" s="645"/>
      <c r="D2275" s="422" t="s">
        <v>401</v>
      </c>
      <c r="E2275" s="423"/>
      <c r="F2275" s="424">
        <v>500</v>
      </c>
      <c r="G2275" s="425">
        <f>VLOOKUP(D2270,'[2]ENSAIOS DE ORÇAMENTO'!$C$3:$L$79,10,FALSE)</f>
        <v>0</v>
      </c>
      <c r="H2275" s="649">
        <f>IF(F2275&lt;=30,(0.78*F2275+7.82)*G2275,((0.78*30+7.82)+0.78*(F2275-30))*G2275)</f>
        <v>0</v>
      </c>
      <c r="I2275" s="420"/>
      <c r="J2275" s="420"/>
      <c r="K2275" s="421">
        <f t="shared" si="588"/>
        <v>0</v>
      </c>
      <c r="L2275" s="647"/>
      <c r="M2275" s="723"/>
      <c r="N2275" s="576">
        <f t="shared" si="597"/>
        <v>0</v>
      </c>
      <c r="O2275" s="577">
        <f t="shared" si="591"/>
        <v>0</v>
      </c>
      <c r="P2275" s="578">
        <f t="shared" si="592"/>
        <v>0</v>
      </c>
      <c r="Q2275" s="765"/>
      <c r="R2275" s="723"/>
      <c r="S2275" s="723"/>
      <c r="T2275" s="577">
        <f t="shared" si="589"/>
        <v>0</v>
      </c>
      <c r="U2275" s="578">
        <f t="shared" si="590"/>
        <v>0</v>
      </c>
      <c r="V2275" s="579"/>
      <c r="W2275" s="566" t="str">
        <f>IF(U2270&gt;0,"xx",IF(P2270&gt;0,"xy",""))</f>
        <v/>
      </c>
      <c r="X2275" s="586" t="str">
        <f t="shared" si="577"/>
        <v/>
      </c>
      <c r="Y2275" s="586" t="str">
        <f t="shared" si="531"/>
        <v/>
      </c>
      <c r="Z2275" s="586" t="str">
        <f t="shared" si="583"/>
        <v/>
      </c>
    </row>
    <row r="2276" spans="1:26" ht="12" hidden="1" thickBot="1" x14ac:dyDescent="0.25">
      <c r="A2276" s="567" t="s">
        <v>121</v>
      </c>
      <c r="B2276" s="644" t="s">
        <v>121</v>
      </c>
      <c r="C2276" s="645" t="s">
        <v>206</v>
      </c>
      <c r="D2276" s="422" t="s">
        <v>408</v>
      </c>
      <c r="E2276" s="423"/>
      <c r="F2276" s="424"/>
      <c r="G2276" s="425"/>
      <c r="H2276" s="651">
        <f>SUM(H2277:H2281)</f>
        <v>1425.8841687999998</v>
      </c>
      <c r="I2276" s="420">
        <f>VLOOKUP(D2276,'[2]ENSAIOS DE ORÇAMENTO'!$C$3:$L$79,8,FALSE)</f>
        <v>3023.7116399999995</v>
      </c>
      <c r="J2276" s="420">
        <f>IF(ISBLANK(I2276),"",SUM(H2276:I2276))</f>
        <v>4449.5958087999988</v>
      </c>
      <c r="K2276" s="421">
        <f t="shared" si="588"/>
        <v>5286.56</v>
      </c>
      <c r="L2276" s="647" t="s">
        <v>21</v>
      </c>
      <c r="M2276" s="576"/>
      <c r="N2276" s="576">
        <f t="shared" si="597"/>
        <v>0</v>
      </c>
      <c r="O2276" s="577">
        <f t="shared" si="591"/>
        <v>0</v>
      </c>
      <c r="P2276" s="578">
        <f t="shared" si="592"/>
        <v>0</v>
      </c>
      <c r="Q2276" s="765"/>
      <c r="R2276" s="576">
        <f>M2276</f>
        <v>0</v>
      </c>
      <c r="S2276" s="576">
        <f>N2276</f>
        <v>0</v>
      </c>
      <c r="T2276" s="577">
        <f t="shared" si="589"/>
        <v>0</v>
      </c>
      <c r="U2276" s="578">
        <f t="shared" si="590"/>
        <v>0</v>
      </c>
      <c r="V2276" s="579"/>
      <c r="W2276" s="566"/>
      <c r="X2276" s="586" t="str">
        <f t="shared" si="577"/>
        <v/>
      </c>
      <c r="Y2276" s="586" t="str">
        <f t="shared" si="531"/>
        <v/>
      </c>
      <c r="Z2276" s="586" t="str">
        <f t="shared" si="583"/>
        <v/>
      </c>
    </row>
    <row r="2277" spans="1:26" ht="12" hidden="1" thickBot="1" x14ac:dyDescent="0.25">
      <c r="A2277" s="567" t="s">
        <v>168</v>
      </c>
      <c r="B2277" s="644" t="s">
        <v>168</v>
      </c>
      <c r="C2277" s="645"/>
      <c r="D2277" s="422" t="s">
        <v>212</v>
      </c>
      <c r="E2277" s="423"/>
      <c r="F2277" s="424">
        <v>500</v>
      </c>
      <c r="G2277" s="425">
        <f>VLOOKUP(D2276,'[2]ENSAIOS DE ORÇAMENTO'!$C$3:$L$79,4,FALSE)</f>
        <v>1.3675439999999999</v>
      </c>
      <c r="H2277" s="649">
        <f>IF(F2277&lt;=30,(0.78*F2277+7.82)*G2277,((0.78*30+7.82)+0.78*(F2277-30))*G2277)</f>
        <v>544.03635408000002</v>
      </c>
      <c r="I2277" s="420"/>
      <c r="J2277" s="420"/>
      <c r="K2277" s="421">
        <f t="shared" si="588"/>
        <v>0</v>
      </c>
      <c r="L2277" s="647"/>
      <c r="M2277" s="723"/>
      <c r="N2277" s="576">
        <f t="shared" si="597"/>
        <v>0</v>
      </c>
      <c r="O2277" s="577">
        <f t="shared" si="591"/>
        <v>0</v>
      </c>
      <c r="P2277" s="578">
        <f t="shared" si="592"/>
        <v>0</v>
      </c>
      <c r="Q2277" s="765"/>
      <c r="R2277" s="723"/>
      <c r="S2277" s="723"/>
      <c r="T2277" s="577">
        <f t="shared" si="589"/>
        <v>0</v>
      </c>
      <c r="U2277" s="578">
        <f t="shared" si="590"/>
        <v>0</v>
      </c>
      <c r="V2277" s="579"/>
      <c r="W2277" s="566" t="str">
        <f>IF(U2276&gt;0,"xx",IF(P2276&gt;0,"xy",""))</f>
        <v/>
      </c>
      <c r="X2277" s="586" t="str">
        <f t="shared" si="577"/>
        <v/>
      </c>
      <c r="Y2277" s="586" t="str">
        <f t="shared" si="531"/>
        <v/>
      </c>
      <c r="Z2277" s="586" t="str">
        <f t="shared" si="583"/>
        <v/>
      </c>
    </row>
    <row r="2278" spans="1:26" ht="12" hidden="1" thickBot="1" x14ac:dyDescent="0.25">
      <c r="A2278" s="567" t="s">
        <v>168</v>
      </c>
      <c r="B2278" s="644" t="s">
        <v>168</v>
      </c>
      <c r="C2278" s="645"/>
      <c r="D2278" s="422" t="s">
        <v>248</v>
      </c>
      <c r="E2278" s="423"/>
      <c r="F2278" s="424">
        <v>180</v>
      </c>
      <c r="G2278" s="425">
        <f>VLOOKUP(D2276,'[2]ENSAIOS DE ORÇAMENTO'!$C$3:$L$79,5,FALSE)</f>
        <v>3.9353559999999996</v>
      </c>
      <c r="H2278" s="663">
        <f t="shared" ref="H2278:H2280" si="600">IF(F2278&lt;=30,(1.07*F2278+2.68)*G2278,((1.07*30+2.68)+1.07*(F2278-30))*G2278)</f>
        <v>768.49631967999994</v>
      </c>
      <c r="I2278" s="420"/>
      <c r="J2278" s="420"/>
      <c r="K2278" s="421">
        <f t="shared" si="588"/>
        <v>0</v>
      </c>
      <c r="L2278" s="647"/>
      <c r="M2278" s="723"/>
      <c r="N2278" s="576">
        <f t="shared" si="597"/>
        <v>0</v>
      </c>
      <c r="O2278" s="577">
        <f t="shared" si="591"/>
        <v>0</v>
      </c>
      <c r="P2278" s="578">
        <f t="shared" si="592"/>
        <v>0</v>
      </c>
      <c r="Q2278" s="765"/>
      <c r="R2278" s="723"/>
      <c r="S2278" s="723"/>
      <c r="T2278" s="577">
        <f t="shared" si="589"/>
        <v>0</v>
      </c>
      <c r="U2278" s="578">
        <f t="shared" si="590"/>
        <v>0</v>
      </c>
      <c r="V2278" s="579"/>
      <c r="W2278" s="566" t="str">
        <f>IF(U2276&gt;0,"xx",IF(P2276&gt;0,"xy",""))</f>
        <v/>
      </c>
      <c r="X2278" s="586" t="str">
        <f t="shared" ref="X2278:X2346" si="601">IF(W2278="X","x",IF(W2278="xx","x",IF(W2278="xy","x",IF(W2278="y","x",IF(OR(P2278&gt;0,U2278&gt;0),"x","")))))</f>
        <v/>
      </c>
      <c r="Y2278" s="586" t="str">
        <f t="shared" si="531"/>
        <v/>
      </c>
      <c r="Z2278" s="586" t="str">
        <f t="shared" si="583"/>
        <v/>
      </c>
    </row>
    <row r="2279" spans="1:26" ht="12" hidden="1" thickBot="1" x14ac:dyDescent="0.25">
      <c r="A2279" s="567" t="s">
        <v>168</v>
      </c>
      <c r="B2279" s="644" t="s">
        <v>168</v>
      </c>
      <c r="C2279" s="645"/>
      <c r="D2279" s="422" t="s">
        <v>252</v>
      </c>
      <c r="E2279" s="423"/>
      <c r="F2279" s="424">
        <v>20</v>
      </c>
      <c r="G2279" s="425">
        <f>VLOOKUP(D2276,'[2]ENSAIOS DE ORÇAMENTO'!$C$3:$L$79,6,FALSE)</f>
        <v>4.7072880000000001</v>
      </c>
      <c r="H2279" s="663">
        <f t="shared" si="600"/>
        <v>113.35149504000002</v>
      </c>
      <c r="I2279" s="420"/>
      <c r="J2279" s="420"/>
      <c r="K2279" s="421">
        <f t="shared" si="588"/>
        <v>0</v>
      </c>
      <c r="L2279" s="647"/>
      <c r="M2279" s="723"/>
      <c r="N2279" s="576">
        <f t="shared" si="597"/>
        <v>0</v>
      </c>
      <c r="O2279" s="577">
        <f t="shared" si="591"/>
        <v>0</v>
      </c>
      <c r="P2279" s="578">
        <f t="shared" si="592"/>
        <v>0</v>
      </c>
      <c r="Q2279" s="765"/>
      <c r="R2279" s="723"/>
      <c r="S2279" s="723"/>
      <c r="T2279" s="577">
        <f t="shared" si="589"/>
        <v>0</v>
      </c>
      <c r="U2279" s="578">
        <f t="shared" si="590"/>
        <v>0</v>
      </c>
      <c r="V2279" s="579"/>
      <c r="W2279" s="566" t="str">
        <f>IF(U2276&gt;0,"xx",IF(P2276&gt;0,"xy",""))</f>
        <v/>
      </c>
      <c r="X2279" s="586" t="str">
        <f t="shared" si="601"/>
        <v/>
      </c>
      <c r="Y2279" s="586" t="str">
        <f t="shared" si="531"/>
        <v/>
      </c>
      <c r="Z2279" s="586" t="str">
        <f t="shared" si="583"/>
        <v/>
      </c>
    </row>
    <row r="2280" spans="1:26" ht="12" hidden="1" thickBot="1" x14ac:dyDescent="0.25">
      <c r="A2280" s="567" t="s">
        <v>168</v>
      </c>
      <c r="B2280" s="644" t="s">
        <v>168</v>
      </c>
      <c r="C2280" s="645"/>
      <c r="D2280" s="422" t="s">
        <v>400</v>
      </c>
      <c r="E2280" s="423"/>
      <c r="F2280" s="424">
        <v>30</v>
      </c>
      <c r="G2280" s="425">
        <f>VLOOKUP(D2276,'[2]ENSAIOS DE ORÇAMENTO'!$C$3:$L$79,3,FALSE)</f>
        <v>0</v>
      </c>
      <c r="H2280" s="663">
        <f t="shared" si="600"/>
        <v>0</v>
      </c>
      <c r="I2280" s="420"/>
      <c r="J2280" s="420"/>
      <c r="K2280" s="421">
        <f t="shared" si="588"/>
        <v>0</v>
      </c>
      <c r="L2280" s="647"/>
      <c r="M2280" s="723"/>
      <c r="N2280" s="576">
        <f t="shared" si="597"/>
        <v>0</v>
      </c>
      <c r="O2280" s="577">
        <f t="shared" si="591"/>
        <v>0</v>
      </c>
      <c r="P2280" s="578">
        <f t="shared" si="592"/>
        <v>0</v>
      </c>
      <c r="Q2280" s="765"/>
      <c r="R2280" s="723"/>
      <c r="S2280" s="723"/>
      <c r="T2280" s="577">
        <f t="shared" si="589"/>
        <v>0</v>
      </c>
      <c r="U2280" s="578">
        <f t="shared" si="590"/>
        <v>0</v>
      </c>
      <c r="V2280" s="579"/>
      <c r="W2280" s="566" t="str">
        <f>IF(U2276&gt;0,"xx",IF(P2276&gt;0,"xy",""))</f>
        <v/>
      </c>
      <c r="X2280" s="586" t="str">
        <f t="shared" si="601"/>
        <v/>
      </c>
      <c r="Y2280" s="586" t="str">
        <f t="shared" si="531"/>
        <v/>
      </c>
      <c r="Z2280" s="586" t="str">
        <f t="shared" ref="Z2280:Z2343" si="602">IF(W2280="X","x",IF(U2280&gt;0,"x",""))</f>
        <v/>
      </c>
    </row>
    <row r="2281" spans="1:26" ht="12" hidden="1" thickBot="1" x14ac:dyDescent="0.25">
      <c r="A2281" s="567" t="s">
        <v>168</v>
      </c>
      <c r="B2281" s="644" t="s">
        <v>168</v>
      </c>
      <c r="C2281" s="645"/>
      <c r="D2281" s="422" t="s">
        <v>401</v>
      </c>
      <c r="E2281" s="423"/>
      <c r="F2281" s="424">
        <v>500</v>
      </c>
      <c r="G2281" s="425">
        <f>VLOOKUP(D2276,'[2]ENSAIOS DE ORÇAMENTO'!$C$3:$L$79,10,FALSE)</f>
        <v>0</v>
      </c>
      <c r="H2281" s="649">
        <f>IF(F2281&lt;=30,(0.78*F2281+7.82)*G2281,((0.78*30+7.82)+0.78*(F2281-30))*G2281)</f>
        <v>0</v>
      </c>
      <c r="I2281" s="420"/>
      <c r="J2281" s="420"/>
      <c r="K2281" s="421">
        <f t="shared" si="588"/>
        <v>0</v>
      </c>
      <c r="L2281" s="647"/>
      <c r="M2281" s="723"/>
      <c r="N2281" s="576">
        <f t="shared" si="597"/>
        <v>0</v>
      </c>
      <c r="O2281" s="577">
        <f t="shared" si="591"/>
        <v>0</v>
      </c>
      <c r="P2281" s="578">
        <f t="shared" si="592"/>
        <v>0</v>
      </c>
      <c r="Q2281" s="765"/>
      <c r="R2281" s="723"/>
      <c r="S2281" s="723"/>
      <c r="T2281" s="577">
        <f t="shared" si="589"/>
        <v>0</v>
      </c>
      <c r="U2281" s="578">
        <f t="shared" si="590"/>
        <v>0</v>
      </c>
      <c r="V2281" s="579"/>
      <c r="W2281" s="566" t="str">
        <f>IF(U2276&gt;0,"xx",IF(P2276&gt;0,"xy",""))</f>
        <v/>
      </c>
      <c r="X2281" s="586" t="str">
        <f t="shared" si="601"/>
        <v/>
      </c>
      <c r="Y2281" s="586" t="str">
        <f t="shared" si="531"/>
        <v/>
      </c>
      <c r="Z2281" s="586" t="str">
        <f t="shared" si="602"/>
        <v/>
      </c>
    </row>
    <row r="2282" spans="1:26" ht="12" hidden="1" thickBot="1" x14ac:dyDescent="0.25">
      <c r="A2282" s="567" t="s">
        <v>122</v>
      </c>
      <c r="B2282" s="644" t="s">
        <v>122</v>
      </c>
      <c r="C2282" s="645" t="s">
        <v>206</v>
      </c>
      <c r="D2282" s="422" t="s">
        <v>409</v>
      </c>
      <c r="E2282" s="423"/>
      <c r="F2282" s="424"/>
      <c r="G2282" s="425"/>
      <c r="H2282" s="651">
        <f>SUM(H2283:H2287)</f>
        <v>1778.9502513999998</v>
      </c>
      <c r="I2282" s="420">
        <f>VLOOKUP(D2282,'[2]ENSAIOS DE ORÇAMENTO'!$C$3:$L$79,8,FALSE)</f>
        <v>3596.5333299999993</v>
      </c>
      <c r="J2282" s="420">
        <f>IF(ISBLANK(I2282),"",SUM(H2282:I2282))</f>
        <v>5375.4835813999989</v>
      </c>
      <c r="K2282" s="421">
        <f t="shared" si="588"/>
        <v>6386.61</v>
      </c>
      <c r="L2282" s="647" t="s">
        <v>21</v>
      </c>
      <c r="M2282" s="576"/>
      <c r="N2282" s="576">
        <f t="shared" si="597"/>
        <v>0</v>
      </c>
      <c r="O2282" s="577">
        <f t="shared" si="591"/>
        <v>0</v>
      </c>
      <c r="P2282" s="578">
        <f t="shared" si="592"/>
        <v>0</v>
      </c>
      <c r="Q2282" s="765"/>
      <c r="R2282" s="576">
        <f>M2282</f>
        <v>0</v>
      </c>
      <c r="S2282" s="576">
        <f>N2282</f>
        <v>0</v>
      </c>
      <c r="T2282" s="577">
        <f t="shared" si="589"/>
        <v>0</v>
      </c>
      <c r="U2282" s="578">
        <f t="shared" si="590"/>
        <v>0</v>
      </c>
      <c r="V2282" s="579"/>
      <c r="W2282" s="566"/>
      <c r="X2282" s="586" t="str">
        <f t="shared" si="601"/>
        <v/>
      </c>
      <c r="Y2282" s="586" t="str">
        <f t="shared" si="531"/>
        <v/>
      </c>
      <c r="Z2282" s="586" t="str">
        <f t="shared" si="602"/>
        <v/>
      </c>
    </row>
    <row r="2283" spans="1:26" ht="12" hidden="1" thickBot="1" x14ac:dyDescent="0.25">
      <c r="A2283" s="567" t="s">
        <v>168</v>
      </c>
      <c r="B2283" s="644" t="s">
        <v>168</v>
      </c>
      <c r="C2283" s="645"/>
      <c r="D2283" s="422" t="s">
        <v>212</v>
      </c>
      <c r="E2283" s="423"/>
      <c r="F2283" s="424">
        <v>500</v>
      </c>
      <c r="G2283" s="425">
        <f>VLOOKUP(D2282,'[2]ENSAIOS DE ORÇAMENTO'!$C$3:$L$79,4,FALSE)</f>
        <v>1.7123939999999997</v>
      </c>
      <c r="H2283" s="649">
        <f>IF(F2283&lt;=30,(0.78*F2283+7.82)*G2283,((0.78*30+7.82)+0.78*(F2283-30))*G2283)</f>
        <v>681.22458108000001</v>
      </c>
      <c r="I2283" s="420"/>
      <c r="J2283" s="420"/>
      <c r="K2283" s="421">
        <f t="shared" si="588"/>
        <v>0</v>
      </c>
      <c r="L2283" s="647"/>
      <c r="M2283" s="723"/>
      <c r="N2283" s="576">
        <f t="shared" si="597"/>
        <v>0</v>
      </c>
      <c r="O2283" s="577">
        <f t="shared" si="591"/>
        <v>0</v>
      </c>
      <c r="P2283" s="578">
        <f t="shared" si="592"/>
        <v>0</v>
      </c>
      <c r="Q2283" s="765"/>
      <c r="R2283" s="723"/>
      <c r="S2283" s="723"/>
      <c r="T2283" s="577">
        <f t="shared" si="589"/>
        <v>0</v>
      </c>
      <c r="U2283" s="578">
        <f t="shared" si="590"/>
        <v>0</v>
      </c>
      <c r="V2283" s="579"/>
      <c r="W2283" s="566" t="str">
        <f>IF(U2282&gt;0,"xx",IF(P2282&gt;0,"xy",""))</f>
        <v/>
      </c>
      <c r="X2283" s="586" t="str">
        <f t="shared" si="601"/>
        <v/>
      </c>
      <c r="Y2283" s="586" t="str">
        <f t="shared" si="531"/>
        <v/>
      </c>
      <c r="Z2283" s="586" t="str">
        <f t="shared" si="602"/>
        <v/>
      </c>
    </row>
    <row r="2284" spans="1:26" ht="12" hidden="1" thickBot="1" x14ac:dyDescent="0.25">
      <c r="A2284" s="567" t="s">
        <v>168</v>
      </c>
      <c r="B2284" s="644" t="s">
        <v>168</v>
      </c>
      <c r="C2284" s="645"/>
      <c r="D2284" s="422" t="s">
        <v>248</v>
      </c>
      <c r="E2284" s="423"/>
      <c r="F2284" s="424">
        <v>180</v>
      </c>
      <c r="G2284" s="425">
        <f>VLOOKUP(D2282,'[2]ENSAIOS DE ORÇAMENTO'!$C$3:$L$79,5,FALSE)</f>
        <v>4.8978009999999994</v>
      </c>
      <c r="H2284" s="663">
        <f t="shared" ref="H2284:H2286" si="603">IF(F2284&lt;=30,(1.07*F2284+2.68)*G2284,((1.07*30+2.68)+1.07*(F2284-30))*G2284)</f>
        <v>956.4425792799999</v>
      </c>
      <c r="I2284" s="420"/>
      <c r="J2284" s="420"/>
      <c r="K2284" s="421">
        <f t="shared" si="588"/>
        <v>0</v>
      </c>
      <c r="L2284" s="647"/>
      <c r="M2284" s="723"/>
      <c r="N2284" s="576">
        <f t="shared" si="597"/>
        <v>0</v>
      </c>
      <c r="O2284" s="577">
        <f t="shared" si="591"/>
        <v>0</v>
      </c>
      <c r="P2284" s="578">
        <f t="shared" si="592"/>
        <v>0</v>
      </c>
      <c r="Q2284" s="765"/>
      <c r="R2284" s="723"/>
      <c r="S2284" s="723"/>
      <c r="T2284" s="577">
        <f t="shared" si="589"/>
        <v>0</v>
      </c>
      <c r="U2284" s="578">
        <f t="shared" si="590"/>
        <v>0</v>
      </c>
      <c r="V2284" s="579"/>
      <c r="W2284" s="566" t="str">
        <f>IF(U2282&gt;0,"xx",IF(P2282&gt;0,"xy",""))</f>
        <v/>
      </c>
      <c r="X2284" s="586" t="str">
        <f t="shared" si="601"/>
        <v/>
      </c>
      <c r="Y2284" s="586" t="str">
        <f t="shared" si="531"/>
        <v/>
      </c>
      <c r="Z2284" s="586" t="str">
        <f t="shared" si="602"/>
        <v/>
      </c>
    </row>
    <row r="2285" spans="1:26" ht="12" hidden="1" thickBot="1" x14ac:dyDescent="0.25">
      <c r="A2285" s="567" t="s">
        <v>168</v>
      </c>
      <c r="B2285" s="644" t="s">
        <v>168</v>
      </c>
      <c r="C2285" s="645"/>
      <c r="D2285" s="422" t="s">
        <v>252</v>
      </c>
      <c r="E2285" s="423"/>
      <c r="F2285" s="424">
        <v>20</v>
      </c>
      <c r="G2285" s="425">
        <f>VLOOKUP(D2282,'[2]ENSAIOS DE ORÇAMENTO'!$C$3:$L$79,6,FALSE)</f>
        <v>5.8672380000000004</v>
      </c>
      <c r="H2285" s="663">
        <f t="shared" si="603"/>
        <v>141.28309104000002</v>
      </c>
      <c r="I2285" s="420"/>
      <c r="J2285" s="420"/>
      <c r="K2285" s="421">
        <f t="shared" si="588"/>
        <v>0</v>
      </c>
      <c r="L2285" s="647"/>
      <c r="M2285" s="723"/>
      <c r="N2285" s="576">
        <f t="shared" si="597"/>
        <v>0</v>
      </c>
      <c r="O2285" s="577">
        <f t="shared" si="591"/>
        <v>0</v>
      </c>
      <c r="P2285" s="578">
        <f t="shared" si="592"/>
        <v>0</v>
      </c>
      <c r="Q2285" s="765"/>
      <c r="R2285" s="723"/>
      <c r="S2285" s="723"/>
      <c r="T2285" s="577">
        <f t="shared" si="589"/>
        <v>0</v>
      </c>
      <c r="U2285" s="578">
        <f t="shared" si="590"/>
        <v>0</v>
      </c>
      <c r="V2285" s="579"/>
      <c r="W2285" s="566" t="str">
        <f>IF(U2282&gt;0,"xx",IF(P2282&gt;0,"xy",""))</f>
        <v/>
      </c>
      <c r="X2285" s="586" t="str">
        <f t="shared" si="601"/>
        <v/>
      </c>
      <c r="Y2285" s="586" t="str">
        <f t="shared" si="531"/>
        <v/>
      </c>
      <c r="Z2285" s="586" t="str">
        <f t="shared" si="602"/>
        <v/>
      </c>
    </row>
    <row r="2286" spans="1:26" ht="12" hidden="1" thickBot="1" x14ac:dyDescent="0.25">
      <c r="A2286" s="567" t="s">
        <v>168</v>
      </c>
      <c r="B2286" s="644" t="s">
        <v>168</v>
      </c>
      <c r="C2286" s="645"/>
      <c r="D2286" s="422" t="s">
        <v>400</v>
      </c>
      <c r="E2286" s="423"/>
      <c r="F2286" s="424">
        <v>30</v>
      </c>
      <c r="G2286" s="425">
        <f>VLOOKUP(D2282,'[2]ENSAIOS DE ORÇAMENTO'!$C$3:$L$79,3,FALSE)</f>
        <v>0</v>
      </c>
      <c r="H2286" s="663">
        <f t="shared" si="603"/>
        <v>0</v>
      </c>
      <c r="I2286" s="420"/>
      <c r="J2286" s="420"/>
      <c r="K2286" s="421">
        <f t="shared" si="588"/>
        <v>0</v>
      </c>
      <c r="L2286" s="647"/>
      <c r="M2286" s="723"/>
      <c r="N2286" s="576">
        <f t="shared" si="597"/>
        <v>0</v>
      </c>
      <c r="O2286" s="577">
        <f t="shared" si="591"/>
        <v>0</v>
      </c>
      <c r="P2286" s="578">
        <f t="shared" si="592"/>
        <v>0</v>
      </c>
      <c r="Q2286" s="765"/>
      <c r="R2286" s="723"/>
      <c r="S2286" s="723"/>
      <c r="T2286" s="577">
        <f t="shared" si="589"/>
        <v>0</v>
      </c>
      <c r="U2286" s="578">
        <f t="shared" si="590"/>
        <v>0</v>
      </c>
      <c r="V2286" s="579"/>
      <c r="W2286" s="566" t="str">
        <f>IF(U2282&gt;0,"xx",IF(P2282&gt;0,"xy",""))</f>
        <v/>
      </c>
      <c r="X2286" s="586" t="str">
        <f t="shared" si="601"/>
        <v/>
      </c>
      <c r="Y2286" s="586" t="str">
        <f t="shared" si="531"/>
        <v/>
      </c>
      <c r="Z2286" s="586" t="str">
        <f t="shared" si="602"/>
        <v/>
      </c>
    </row>
    <row r="2287" spans="1:26" ht="12" hidden="1" thickBot="1" x14ac:dyDescent="0.25">
      <c r="A2287" s="567" t="s">
        <v>168</v>
      </c>
      <c r="B2287" s="644" t="s">
        <v>168</v>
      </c>
      <c r="C2287" s="645"/>
      <c r="D2287" s="422" t="s">
        <v>401</v>
      </c>
      <c r="E2287" s="423"/>
      <c r="F2287" s="424">
        <v>500</v>
      </c>
      <c r="G2287" s="425">
        <f>VLOOKUP(D2282,'[2]ENSAIOS DE ORÇAMENTO'!$C$3:$L$79,10,FALSE)</f>
        <v>0</v>
      </c>
      <c r="H2287" s="649">
        <f>IF(F2287&lt;=30,(0.78*F2287+7.82)*G2287,((0.78*30+7.82)+0.78*(F2287-30))*G2287)</f>
        <v>0</v>
      </c>
      <c r="I2287" s="420"/>
      <c r="J2287" s="420"/>
      <c r="K2287" s="421">
        <f t="shared" si="588"/>
        <v>0</v>
      </c>
      <c r="L2287" s="647"/>
      <c r="M2287" s="723"/>
      <c r="N2287" s="576">
        <f t="shared" si="597"/>
        <v>0</v>
      </c>
      <c r="O2287" s="577">
        <f t="shared" si="591"/>
        <v>0</v>
      </c>
      <c r="P2287" s="578">
        <f t="shared" si="592"/>
        <v>0</v>
      </c>
      <c r="Q2287" s="765"/>
      <c r="R2287" s="723"/>
      <c r="S2287" s="723"/>
      <c r="T2287" s="577">
        <f t="shared" si="589"/>
        <v>0</v>
      </c>
      <c r="U2287" s="578">
        <f t="shared" si="590"/>
        <v>0</v>
      </c>
      <c r="V2287" s="579"/>
      <c r="W2287" s="566" t="str">
        <f>IF(U2282&gt;0,"xx",IF(P2282&gt;0,"xy",""))</f>
        <v/>
      </c>
      <c r="X2287" s="586" t="str">
        <f t="shared" si="601"/>
        <v/>
      </c>
      <c r="Y2287" s="586" t="str">
        <f t="shared" si="531"/>
        <v/>
      </c>
      <c r="Z2287" s="586" t="str">
        <f t="shared" si="602"/>
        <v/>
      </c>
    </row>
    <row r="2288" spans="1:26" ht="12" hidden="1" thickBot="1" x14ac:dyDescent="0.25">
      <c r="A2288" s="567" t="s">
        <v>34</v>
      </c>
      <c r="B2288" s="644" t="s">
        <v>34</v>
      </c>
      <c r="C2288" s="645" t="s">
        <v>206</v>
      </c>
      <c r="D2288" s="422" t="s">
        <v>112</v>
      </c>
      <c r="E2288" s="423"/>
      <c r="F2288" s="424"/>
      <c r="G2288" s="425"/>
      <c r="H2288" s="651">
        <f>SUM(H2289:H2293)</f>
        <v>411.23106836000005</v>
      </c>
      <c r="I2288" s="420">
        <f>VLOOKUP(D2288,'[2]ENSAIOS DE ORÇAMENTO'!$C$3:$L$79,8,FALSE)</f>
        <v>3513.1233299999994</v>
      </c>
      <c r="J2288" s="420">
        <f>IF(ISBLANK(I2288),"",SUM(H2288:I2288))</f>
        <v>3924.3543983599993</v>
      </c>
      <c r="K2288" s="421">
        <f t="shared" si="588"/>
        <v>4662.53</v>
      </c>
      <c r="L2288" s="647" t="s">
        <v>21</v>
      </c>
      <c r="M2288" s="576"/>
      <c r="N2288" s="576">
        <f t="shared" si="597"/>
        <v>0</v>
      </c>
      <c r="O2288" s="577">
        <f t="shared" si="591"/>
        <v>0</v>
      </c>
      <c r="P2288" s="578">
        <f t="shared" si="592"/>
        <v>0</v>
      </c>
      <c r="Q2288" s="765"/>
      <c r="R2288" s="576">
        <f>M2288</f>
        <v>0</v>
      </c>
      <c r="S2288" s="576">
        <f>N2288</f>
        <v>0</v>
      </c>
      <c r="T2288" s="577">
        <f t="shared" si="589"/>
        <v>0</v>
      </c>
      <c r="U2288" s="578">
        <f t="shared" si="590"/>
        <v>0</v>
      </c>
      <c r="V2288" s="579"/>
      <c r="W2288" s="566"/>
      <c r="X2288" s="586" t="str">
        <f t="shared" si="601"/>
        <v/>
      </c>
      <c r="Y2288" s="586" t="str">
        <f t="shared" si="531"/>
        <v/>
      </c>
      <c r="Z2288" s="586" t="str">
        <f t="shared" si="602"/>
        <v/>
      </c>
    </row>
    <row r="2289" spans="1:26" ht="12" hidden="1" thickBot="1" x14ac:dyDescent="0.25">
      <c r="A2289" s="567" t="s">
        <v>168</v>
      </c>
      <c r="B2289" s="644" t="s">
        <v>168</v>
      </c>
      <c r="C2289" s="645"/>
      <c r="D2289" s="422" t="s">
        <v>212</v>
      </c>
      <c r="E2289" s="423"/>
      <c r="F2289" s="424">
        <v>500</v>
      </c>
      <c r="G2289" s="425">
        <f>VLOOKUP(D2288,'[2]ENSAIOS DE ORÇAMENTO'!$C$3:$L$79,4,FALSE)</f>
        <v>0.38908200000000004</v>
      </c>
      <c r="H2289" s="649">
        <f>IF(F2289&lt;=30,(0.78*F2289+7.82)*G2289,((0.78*30+7.82)+0.78*(F2289-30))*G2289)</f>
        <v>154.78460124000003</v>
      </c>
      <c r="I2289" s="420"/>
      <c r="J2289" s="420"/>
      <c r="K2289" s="421">
        <f t="shared" si="588"/>
        <v>0</v>
      </c>
      <c r="L2289" s="647"/>
      <c r="M2289" s="723"/>
      <c r="N2289" s="576">
        <f t="shared" si="597"/>
        <v>0</v>
      </c>
      <c r="O2289" s="577">
        <f t="shared" si="591"/>
        <v>0</v>
      </c>
      <c r="P2289" s="578">
        <f t="shared" si="592"/>
        <v>0</v>
      </c>
      <c r="Q2289" s="765"/>
      <c r="R2289" s="723"/>
      <c r="S2289" s="723"/>
      <c r="T2289" s="577">
        <f t="shared" si="589"/>
        <v>0</v>
      </c>
      <c r="U2289" s="578">
        <f t="shared" si="590"/>
        <v>0</v>
      </c>
      <c r="V2289" s="579"/>
      <c r="W2289" s="566" t="str">
        <f>IF(U2288&gt;0,"xx",IF(P2288&gt;0,"xy",""))</f>
        <v/>
      </c>
      <c r="X2289" s="586" t="str">
        <f t="shared" si="601"/>
        <v/>
      </c>
      <c r="Y2289" s="586" t="str">
        <f t="shared" si="531"/>
        <v/>
      </c>
      <c r="Z2289" s="586" t="str">
        <f t="shared" si="602"/>
        <v/>
      </c>
    </row>
    <row r="2290" spans="1:26" ht="12" hidden="1" thickBot="1" x14ac:dyDescent="0.25">
      <c r="A2290" s="567" t="s">
        <v>168</v>
      </c>
      <c r="B2290" s="644" t="s">
        <v>168</v>
      </c>
      <c r="C2290" s="645"/>
      <c r="D2290" s="422" t="s">
        <v>248</v>
      </c>
      <c r="E2290" s="423"/>
      <c r="F2290" s="424">
        <v>180</v>
      </c>
      <c r="G2290" s="425">
        <f>VLOOKUP(D2288,'[2]ENSAIOS DE ORÇAMENTO'!$C$3:$L$79,5,FALSE)</f>
        <v>1.1452249999999999</v>
      </c>
      <c r="H2290" s="663">
        <f t="shared" ref="H2290:H2292" si="604">IF(F2290&lt;=30,(1.07*F2290+2.68)*G2290,((1.07*30+2.68)+1.07*(F2290-30))*G2290)</f>
        <v>223.63953799999999</v>
      </c>
      <c r="I2290" s="420"/>
      <c r="J2290" s="420"/>
      <c r="K2290" s="421">
        <f t="shared" si="588"/>
        <v>0</v>
      </c>
      <c r="L2290" s="647"/>
      <c r="M2290" s="723"/>
      <c r="N2290" s="576">
        <f t="shared" si="597"/>
        <v>0</v>
      </c>
      <c r="O2290" s="577">
        <f t="shared" si="591"/>
        <v>0</v>
      </c>
      <c r="P2290" s="578">
        <f t="shared" si="592"/>
        <v>0</v>
      </c>
      <c r="Q2290" s="765"/>
      <c r="R2290" s="723"/>
      <c r="S2290" s="723"/>
      <c r="T2290" s="577">
        <f t="shared" si="589"/>
        <v>0</v>
      </c>
      <c r="U2290" s="578">
        <f t="shared" si="590"/>
        <v>0</v>
      </c>
      <c r="V2290" s="579"/>
      <c r="W2290" s="566" t="str">
        <f>IF(U2288&gt;0,"xx",IF(P2288&gt;0,"xy",""))</f>
        <v/>
      </c>
      <c r="X2290" s="586" t="str">
        <f t="shared" si="601"/>
        <v/>
      </c>
      <c r="Y2290" s="586" t="str">
        <f t="shared" si="531"/>
        <v/>
      </c>
      <c r="Z2290" s="586" t="str">
        <f t="shared" si="602"/>
        <v/>
      </c>
    </row>
    <row r="2291" spans="1:26" ht="12" hidden="1" thickBot="1" x14ac:dyDescent="0.25">
      <c r="A2291" s="567" t="s">
        <v>168</v>
      </c>
      <c r="B2291" s="644" t="s">
        <v>168</v>
      </c>
      <c r="C2291" s="645"/>
      <c r="D2291" s="422" t="s">
        <v>252</v>
      </c>
      <c r="E2291" s="423"/>
      <c r="F2291" s="424">
        <v>20</v>
      </c>
      <c r="G2291" s="425">
        <f>VLOOKUP(D2288,'[2]ENSAIOS DE ORÇAMENTO'!$C$3:$L$79,6,FALSE)</f>
        <v>1.362414</v>
      </c>
      <c r="H2291" s="663">
        <f t="shared" si="604"/>
        <v>32.80692912</v>
      </c>
      <c r="I2291" s="420"/>
      <c r="J2291" s="420"/>
      <c r="K2291" s="421">
        <f t="shared" si="588"/>
        <v>0</v>
      </c>
      <c r="L2291" s="647"/>
      <c r="M2291" s="723"/>
      <c r="N2291" s="576">
        <f t="shared" si="597"/>
        <v>0</v>
      </c>
      <c r="O2291" s="577">
        <f t="shared" si="591"/>
        <v>0</v>
      </c>
      <c r="P2291" s="578">
        <f t="shared" si="592"/>
        <v>0</v>
      </c>
      <c r="Q2291" s="765"/>
      <c r="R2291" s="723"/>
      <c r="S2291" s="723"/>
      <c r="T2291" s="577">
        <f t="shared" si="589"/>
        <v>0</v>
      </c>
      <c r="U2291" s="578">
        <f t="shared" si="590"/>
        <v>0</v>
      </c>
      <c r="V2291" s="579"/>
      <c r="W2291" s="566" t="str">
        <f>IF(U2288&gt;0,"xx",IF(P2288&gt;0,"xy",""))</f>
        <v/>
      </c>
      <c r="X2291" s="586" t="str">
        <f t="shared" si="601"/>
        <v/>
      </c>
      <c r="Y2291" s="586" t="str">
        <f t="shared" si="531"/>
        <v/>
      </c>
      <c r="Z2291" s="586" t="str">
        <f t="shared" si="602"/>
        <v/>
      </c>
    </row>
    <row r="2292" spans="1:26" ht="12" hidden="1" thickBot="1" x14ac:dyDescent="0.25">
      <c r="A2292" s="567" t="s">
        <v>168</v>
      </c>
      <c r="B2292" s="644" t="s">
        <v>168</v>
      </c>
      <c r="C2292" s="645"/>
      <c r="D2292" s="422" t="s">
        <v>400</v>
      </c>
      <c r="E2292" s="423"/>
      <c r="F2292" s="424">
        <v>30</v>
      </c>
      <c r="G2292" s="425">
        <f>VLOOKUP(D2288,'[2]ENSAIOS DE ORÇAMENTO'!$C$3:$L$79,3,FALSE)</f>
        <v>0</v>
      </c>
      <c r="H2292" s="663">
        <f t="shared" si="604"/>
        <v>0</v>
      </c>
      <c r="I2292" s="420"/>
      <c r="J2292" s="420"/>
      <c r="K2292" s="421">
        <f t="shared" si="588"/>
        <v>0</v>
      </c>
      <c r="L2292" s="647"/>
      <c r="M2292" s="723"/>
      <c r="N2292" s="576">
        <f t="shared" si="597"/>
        <v>0</v>
      </c>
      <c r="O2292" s="577">
        <f t="shared" si="591"/>
        <v>0</v>
      </c>
      <c r="P2292" s="578">
        <f t="shared" si="592"/>
        <v>0</v>
      </c>
      <c r="Q2292" s="765"/>
      <c r="R2292" s="723"/>
      <c r="S2292" s="723"/>
      <c r="T2292" s="577">
        <f t="shared" si="589"/>
        <v>0</v>
      </c>
      <c r="U2292" s="578">
        <f t="shared" si="590"/>
        <v>0</v>
      </c>
      <c r="V2292" s="579"/>
      <c r="W2292" s="566" t="str">
        <f>IF(U2288&gt;0,"xx",IF(P2288&gt;0,"xy",""))</f>
        <v/>
      </c>
      <c r="X2292" s="586" t="str">
        <f t="shared" si="601"/>
        <v/>
      </c>
      <c r="Y2292" s="586" t="str">
        <f t="shared" si="531"/>
        <v/>
      </c>
      <c r="Z2292" s="586" t="str">
        <f t="shared" si="602"/>
        <v/>
      </c>
    </row>
    <row r="2293" spans="1:26" ht="12" hidden="1" thickBot="1" x14ac:dyDescent="0.25">
      <c r="A2293" s="567" t="s">
        <v>168</v>
      </c>
      <c r="B2293" s="644" t="s">
        <v>168</v>
      </c>
      <c r="C2293" s="645"/>
      <c r="D2293" s="422" t="s">
        <v>401</v>
      </c>
      <c r="E2293" s="423"/>
      <c r="F2293" s="424">
        <v>500</v>
      </c>
      <c r="G2293" s="425">
        <f>VLOOKUP(D2288,'[2]ENSAIOS DE ORÇAMENTO'!$C$3:$L$79,10,FALSE)</f>
        <v>0</v>
      </c>
      <c r="H2293" s="649">
        <f>IF(F2293&lt;=30,(0.78*F2293+7.82)*G2293,((0.78*30+7.82)+0.78*(F2293-30))*G2293)</f>
        <v>0</v>
      </c>
      <c r="I2293" s="420"/>
      <c r="J2293" s="420"/>
      <c r="K2293" s="421">
        <f t="shared" si="588"/>
        <v>0</v>
      </c>
      <c r="L2293" s="647"/>
      <c r="M2293" s="723"/>
      <c r="N2293" s="576">
        <f t="shared" si="597"/>
        <v>0</v>
      </c>
      <c r="O2293" s="577">
        <f t="shared" si="591"/>
        <v>0</v>
      </c>
      <c r="P2293" s="578">
        <f t="shared" si="592"/>
        <v>0</v>
      </c>
      <c r="Q2293" s="765"/>
      <c r="R2293" s="723"/>
      <c r="S2293" s="723"/>
      <c r="T2293" s="577">
        <f t="shared" si="589"/>
        <v>0</v>
      </c>
      <c r="U2293" s="578">
        <f t="shared" si="590"/>
        <v>0</v>
      </c>
      <c r="V2293" s="579"/>
      <c r="W2293" s="566" t="str">
        <f>IF(U2288&gt;0,"xx",IF(P2288&gt;0,"xy",""))</f>
        <v/>
      </c>
      <c r="X2293" s="586" t="str">
        <f t="shared" si="601"/>
        <v/>
      </c>
      <c r="Y2293" s="586" t="str">
        <f t="shared" si="531"/>
        <v/>
      </c>
      <c r="Z2293" s="586" t="str">
        <f t="shared" si="602"/>
        <v/>
      </c>
    </row>
    <row r="2294" spans="1:26" ht="12" hidden="1" thickBot="1" x14ac:dyDescent="0.25">
      <c r="A2294" s="567" t="s">
        <v>35</v>
      </c>
      <c r="B2294" s="644" t="s">
        <v>35</v>
      </c>
      <c r="C2294" s="645" t="s">
        <v>206</v>
      </c>
      <c r="D2294" s="422" t="s">
        <v>109</v>
      </c>
      <c r="E2294" s="423"/>
      <c r="F2294" s="424"/>
      <c r="G2294" s="425"/>
      <c r="H2294" s="651">
        <f>SUM(H2295:H2299)</f>
        <v>513.9412014799999</v>
      </c>
      <c r="I2294" s="420">
        <f>VLOOKUP(D2294,'[2]ENSAIOS DE ORÇAMENTO'!$C$3:$L$79,8,FALSE)</f>
        <v>4235.10509</v>
      </c>
      <c r="J2294" s="420">
        <f>IF(ISBLANK(I2294),"",SUM(H2294:I2294))</f>
        <v>4749.04629148</v>
      </c>
      <c r="K2294" s="421">
        <f t="shared" si="588"/>
        <v>5642.34</v>
      </c>
      <c r="L2294" s="647" t="s">
        <v>21</v>
      </c>
      <c r="M2294" s="576"/>
      <c r="N2294" s="576">
        <f t="shared" si="597"/>
        <v>0</v>
      </c>
      <c r="O2294" s="577">
        <f t="shared" si="591"/>
        <v>0</v>
      </c>
      <c r="P2294" s="578">
        <f t="shared" si="592"/>
        <v>0</v>
      </c>
      <c r="Q2294" s="765"/>
      <c r="R2294" s="576">
        <f>M2294</f>
        <v>0</v>
      </c>
      <c r="S2294" s="576">
        <f>N2294</f>
        <v>0</v>
      </c>
      <c r="T2294" s="577">
        <f t="shared" si="589"/>
        <v>0</v>
      </c>
      <c r="U2294" s="578">
        <f t="shared" si="590"/>
        <v>0</v>
      </c>
      <c r="V2294" s="579"/>
      <c r="W2294" s="566"/>
      <c r="X2294" s="586" t="str">
        <f t="shared" si="601"/>
        <v/>
      </c>
      <c r="Y2294" s="586" t="str">
        <f t="shared" si="531"/>
        <v/>
      </c>
      <c r="Z2294" s="586" t="str">
        <f t="shared" si="602"/>
        <v/>
      </c>
    </row>
    <row r="2295" spans="1:26" ht="12" hidden="1" thickBot="1" x14ac:dyDescent="0.25">
      <c r="A2295" s="567" t="s">
        <v>168</v>
      </c>
      <c r="B2295" s="644" t="s">
        <v>168</v>
      </c>
      <c r="C2295" s="645"/>
      <c r="D2295" s="422" t="s">
        <v>212</v>
      </c>
      <c r="E2295" s="423"/>
      <c r="F2295" s="424">
        <v>500</v>
      </c>
      <c r="G2295" s="425">
        <f>VLOOKUP(D2294,'[2]ENSAIOS DE ORÇAMENTO'!$C$3:$L$79,4,FALSE)</f>
        <v>0.48940199999999995</v>
      </c>
      <c r="H2295" s="649">
        <f>IF(F2295&lt;=30,(0.78*F2295+7.82)*G2295,((0.78*30+7.82)+0.78*(F2295-30))*G2295)</f>
        <v>194.69390364</v>
      </c>
      <c r="I2295" s="420"/>
      <c r="J2295" s="420"/>
      <c r="K2295" s="421">
        <f t="shared" si="588"/>
        <v>0</v>
      </c>
      <c r="L2295" s="647"/>
      <c r="M2295" s="723"/>
      <c r="N2295" s="576">
        <f t="shared" si="597"/>
        <v>0</v>
      </c>
      <c r="O2295" s="577">
        <f t="shared" si="591"/>
        <v>0</v>
      </c>
      <c r="P2295" s="578">
        <f t="shared" si="592"/>
        <v>0</v>
      </c>
      <c r="Q2295" s="765"/>
      <c r="R2295" s="723"/>
      <c r="S2295" s="723"/>
      <c r="T2295" s="577">
        <f t="shared" si="589"/>
        <v>0</v>
      </c>
      <c r="U2295" s="578">
        <f t="shared" si="590"/>
        <v>0</v>
      </c>
      <c r="V2295" s="579"/>
      <c r="W2295" s="566" t="str">
        <f>IF(U2294&gt;0,"xx",IF(P2294&gt;0,"xy",""))</f>
        <v/>
      </c>
      <c r="X2295" s="586" t="str">
        <f t="shared" si="601"/>
        <v/>
      </c>
      <c r="Y2295" s="586" t="str">
        <f t="shared" si="531"/>
        <v/>
      </c>
      <c r="Z2295" s="586" t="str">
        <f t="shared" si="602"/>
        <v/>
      </c>
    </row>
    <row r="2296" spans="1:26" ht="12" hidden="1" thickBot="1" x14ac:dyDescent="0.25">
      <c r="A2296" s="567" t="s">
        <v>168</v>
      </c>
      <c r="B2296" s="644" t="s">
        <v>168</v>
      </c>
      <c r="C2296" s="645"/>
      <c r="D2296" s="422" t="s">
        <v>248</v>
      </c>
      <c r="E2296" s="423"/>
      <c r="F2296" s="424">
        <v>180</v>
      </c>
      <c r="G2296" s="425">
        <f>VLOOKUP(D2294,'[2]ENSAIOS DE ORÇAMENTO'!$C$3:$L$79,5,FALSE)</f>
        <v>1.4252089999999999</v>
      </c>
      <c r="H2296" s="663">
        <f t="shared" ref="H2296:H2298" si="605">IF(F2296&lt;=30,(1.07*F2296+2.68)*G2296,((1.07*30+2.68)+1.07*(F2296-30))*G2296)</f>
        <v>278.31481351999997</v>
      </c>
      <c r="I2296" s="420"/>
      <c r="J2296" s="420"/>
      <c r="K2296" s="421">
        <f t="shared" si="588"/>
        <v>0</v>
      </c>
      <c r="L2296" s="647"/>
      <c r="M2296" s="723"/>
      <c r="N2296" s="576">
        <f t="shared" si="597"/>
        <v>0</v>
      </c>
      <c r="O2296" s="577">
        <f t="shared" si="591"/>
        <v>0</v>
      </c>
      <c r="P2296" s="578">
        <f t="shared" si="592"/>
        <v>0</v>
      </c>
      <c r="Q2296" s="765"/>
      <c r="R2296" s="723"/>
      <c r="S2296" s="723"/>
      <c r="T2296" s="577">
        <f t="shared" si="589"/>
        <v>0</v>
      </c>
      <c r="U2296" s="578">
        <f t="shared" si="590"/>
        <v>0</v>
      </c>
      <c r="V2296" s="579"/>
      <c r="W2296" s="566" t="str">
        <f>IF(U2294&gt;0,"xx",IF(P2294&gt;0,"xy",""))</f>
        <v/>
      </c>
      <c r="X2296" s="586" t="str">
        <f t="shared" si="601"/>
        <v/>
      </c>
      <c r="Y2296" s="586" t="str">
        <f t="shared" si="531"/>
        <v/>
      </c>
      <c r="Z2296" s="586" t="str">
        <f t="shared" si="602"/>
        <v/>
      </c>
    </row>
    <row r="2297" spans="1:26" ht="12" hidden="1" thickBot="1" x14ac:dyDescent="0.25">
      <c r="A2297" s="567" t="s">
        <v>168</v>
      </c>
      <c r="B2297" s="644" t="s">
        <v>168</v>
      </c>
      <c r="C2297" s="645"/>
      <c r="D2297" s="422" t="s">
        <v>252</v>
      </c>
      <c r="E2297" s="423"/>
      <c r="F2297" s="424">
        <v>20</v>
      </c>
      <c r="G2297" s="425">
        <f>VLOOKUP(D2294,'[2]ENSAIOS DE ORÇAMENTO'!$C$3:$L$79,6,FALSE)</f>
        <v>1.699854</v>
      </c>
      <c r="H2297" s="663">
        <f t="shared" si="605"/>
        <v>40.93248432</v>
      </c>
      <c r="I2297" s="420"/>
      <c r="J2297" s="420"/>
      <c r="K2297" s="421">
        <f t="shared" si="588"/>
        <v>0</v>
      </c>
      <c r="L2297" s="647"/>
      <c r="M2297" s="723"/>
      <c r="N2297" s="576">
        <f t="shared" si="597"/>
        <v>0</v>
      </c>
      <c r="O2297" s="577">
        <f t="shared" si="591"/>
        <v>0</v>
      </c>
      <c r="P2297" s="578">
        <f t="shared" si="592"/>
        <v>0</v>
      </c>
      <c r="Q2297" s="765"/>
      <c r="R2297" s="723"/>
      <c r="S2297" s="723"/>
      <c r="T2297" s="577">
        <f t="shared" si="589"/>
        <v>0</v>
      </c>
      <c r="U2297" s="578">
        <f t="shared" si="590"/>
        <v>0</v>
      </c>
      <c r="V2297" s="579"/>
      <c r="W2297" s="566" t="str">
        <f>IF(U2294&gt;0,"xx",IF(P2294&gt;0,"xy",""))</f>
        <v/>
      </c>
      <c r="X2297" s="586" t="str">
        <f t="shared" si="601"/>
        <v/>
      </c>
      <c r="Y2297" s="586" t="str">
        <f t="shared" si="531"/>
        <v/>
      </c>
      <c r="Z2297" s="586" t="str">
        <f t="shared" si="602"/>
        <v/>
      </c>
    </row>
    <row r="2298" spans="1:26" ht="12" hidden="1" thickBot="1" x14ac:dyDescent="0.25">
      <c r="A2298" s="567" t="s">
        <v>168</v>
      </c>
      <c r="B2298" s="644" t="s">
        <v>168</v>
      </c>
      <c r="C2298" s="645"/>
      <c r="D2298" s="422" t="s">
        <v>400</v>
      </c>
      <c r="E2298" s="423"/>
      <c r="F2298" s="424">
        <v>30</v>
      </c>
      <c r="G2298" s="425">
        <f>VLOOKUP(D2294,'[2]ENSAIOS DE ORÇAMENTO'!$C$3:$L$79,3,FALSE)</f>
        <v>0</v>
      </c>
      <c r="H2298" s="663">
        <f t="shared" si="605"/>
        <v>0</v>
      </c>
      <c r="I2298" s="420"/>
      <c r="J2298" s="420"/>
      <c r="K2298" s="421">
        <f t="shared" si="588"/>
        <v>0</v>
      </c>
      <c r="L2298" s="647"/>
      <c r="M2298" s="723"/>
      <c r="N2298" s="576">
        <f t="shared" si="597"/>
        <v>0</v>
      </c>
      <c r="O2298" s="577">
        <f t="shared" si="591"/>
        <v>0</v>
      </c>
      <c r="P2298" s="578">
        <f t="shared" si="592"/>
        <v>0</v>
      </c>
      <c r="Q2298" s="765"/>
      <c r="R2298" s="723"/>
      <c r="S2298" s="723"/>
      <c r="T2298" s="577">
        <f t="shared" si="589"/>
        <v>0</v>
      </c>
      <c r="U2298" s="578">
        <f t="shared" si="590"/>
        <v>0</v>
      </c>
      <c r="V2298" s="579"/>
      <c r="W2298" s="566" t="str">
        <f>IF(U2294&gt;0,"xx",IF(P2294&gt;0,"xy",""))</f>
        <v/>
      </c>
      <c r="X2298" s="586" t="str">
        <f t="shared" si="601"/>
        <v/>
      </c>
      <c r="Y2298" s="586" t="str">
        <f t="shared" si="531"/>
        <v/>
      </c>
      <c r="Z2298" s="586" t="str">
        <f t="shared" si="602"/>
        <v/>
      </c>
    </row>
    <row r="2299" spans="1:26" ht="12" hidden="1" thickBot="1" x14ac:dyDescent="0.25">
      <c r="A2299" s="567" t="s">
        <v>168</v>
      </c>
      <c r="B2299" s="644" t="s">
        <v>168</v>
      </c>
      <c r="C2299" s="645"/>
      <c r="D2299" s="422" t="s">
        <v>401</v>
      </c>
      <c r="E2299" s="423"/>
      <c r="F2299" s="424">
        <v>500</v>
      </c>
      <c r="G2299" s="425">
        <f>VLOOKUP(D2294,'[2]ENSAIOS DE ORÇAMENTO'!$C$3:$L$79,10,FALSE)</f>
        <v>0</v>
      </c>
      <c r="H2299" s="649">
        <f>IF(F2299&lt;=30,(0.78*F2299+7.82)*G2299,((0.78*30+7.82)+0.78*(F2299-30))*G2299)</f>
        <v>0</v>
      </c>
      <c r="I2299" s="420"/>
      <c r="J2299" s="420"/>
      <c r="K2299" s="421">
        <f t="shared" si="588"/>
        <v>0</v>
      </c>
      <c r="L2299" s="647"/>
      <c r="M2299" s="723"/>
      <c r="N2299" s="576">
        <f t="shared" si="597"/>
        <v>0</v>
      </c>
      <c r="O2299" s="577">
        <f t="shared" si="591"/>
        <v>0</v>
      </c>
      <c r="P2299" s="578">
        <f t="shared" si="592"/>
        <v>0</v>
      </c>
      <c r="Q2299" s="765"/>
      <c r="R2299" s="723"/>
      <c r="S2299" s="723"/>
      <c r="T2299" s="577">
        <f t="shared" si="589"/>
        <v>0</v>
      </c>
      <c r="U2299" s="578">
        <f t="shared" si="590"/>
        <v>0</v>
      </c>
      <c r="V2299" s="579"/>
      <c r="W2299" s="566" t="str">
        <f>IF(U2294&gt;0,"xx",IF(P2294&gt;0,"xy",""))</f>
        <v/>
      </c>
      <c r="X2299" s="586" t="str">
        <f t="shared" si="601"/>
        <v/>
      </c>
      <c r="Y2299" s="586" t="str">
        <f t="shared" si="531"/>
        <v/>
      </c>
      <c r="Z2299" s="586" t="str">
        <f t="shared" si="602"/>
        <v/>
      </c>
    </row>
    <row r="2300" spans="1:26" ht="12" hidden="1" thickBot="1" x14ac:dyDescent="0.25">
      <c r="A2300" s="567" t="s">
        <v>123</v>
      </c>
      <c r="B2300" s="644" t="s">
        <v>123</v>
      </c>
      <c r="C2300" s="645" t="s">
        <v>206</v>
      </c>
      <c r="D2300" s="422" t="s">
        <v>110</v>
      </c>
      <c r="E2300" s="423"/>
      <c r="F2300" s="424"/>
      <c r="G2300" s="425"/>
      <c r="H2300" s="651">
        <f>SUM(H2301:H2305)</f>
        <v>680.84516780000001</v>
      </c>
      <c r="I2300" s="420">
        <f>VLOOKUP(D2300,'[2]ENSAIOS DE ORÇAMENTO'!$C$3:$L$79,8,FALSE)</f>
        <v>4602.3633099999997</v>
      </c>
      <c r="J2300" s="420">
        <f>IF(ISBLANK(I2300),"",SUM(H2300:I2300))</f>
        <v>5283.2084777999999</v>
      </c>
      <c r="K2300" s="421">
        <f t="shared" si="588"/>
        <v>6276.98</v>
      </c>
      <c r="L2300" s="647" t="s">
        <v>21</v>
      </c>
      <c r="M2300" s="576"/>
      <c r="N2300" s="576">
        <f t="shared" si="597"/>
        <v>0</v>
      </c>
      <c r="O2300" s="577">
        <f t="shared" si="591"/>
        <v>0</v>
      </c>
      <c r="P2300" s="578">
        <f t="shared" si="592"/>
        <v>0</v>
      </c>
      <c r="Q2300" s="765"/>
      <c r="R2300" s="576">
        <f>M2300</f>
        <v>0</v>
      </c>
      <c r="S2300" s="576">
        <f>N2300</f>
        <v>0</v>
      </c>
      <c r="T2300" s="577">
        <f t="shared" si="589"/>
        <v>0</v>
      </c>
      <c r="U2300" s="578">
        <f t="shared" si="590"/>
        <v>0</v>
      </c>
      <c r="V2300" s="579"/>
      <c r="W2300" s="566"/>
      <c r="X2300" s="586" t="str">
        <f t="shared" si="601"/>
        <v/>
      </c>
      <c r="Y2300" s="586" t="str">
        <f t="shared" si="531"/>
        <v/>
      </c>
      <c r="Z2300" s="586" t="str">
        <f t="shared" si="602"/>
        <v/>
      </c>
    </row>
    <row r="2301" spans="1:26" ht="12" hidden="1" thickBot="1" x14ac:dyDescent="0.25">
      <c r="A2301" s="567" t="s">
        <v>168</v>
      </c>
      <c r="B2301" s="644" t="s">
        <v>168</v>
      </c>
      <c r="C2301" s="645"/>
      <c r="D2301" s="422" t="s">
        <v>212</v>
      </c>
      <c r="E2301" s="423"/>
      <c r="F2301" s="424">
        <v>500</v>
      </c>
      <c r="G2301" s="425">
        <f>VLOOKUP(D2300,'[2]ENSAIOS DE ORÇAMENTO'!$C$3:$L$79,4,FALSE)</f>
        <v>0.65242199999999995</v>
      </c>
      <c r="H2301" s="649">
        <f>IF(F2301&lt;=30,(0.78*F2301+7.82)*G2301,((0.78*30+7.82)+0.78*(F2301-30))*G2301)</f>
        <v>259.54652004000002</v>
      </c>
      <c r="I2301" s="420"/>
      <c r="J2301" s="420"/>
      <c r="K2301" s="421">
        <f t="shared" si="588"/>
        <v>0</v>
      </c>
      <c r="L2301" s="647"/>
      <c r="M2301" s="723"/>
      <c r="N2301" s="576">
        <f t="shared" si="597"/>
        <v>0</v>
      </c>
      <c r="O2301" s="577">
        <f t="shared" si="591"/>
        <v>0</v>
      </c>
      <c r="P2301" s="578">
        <f t="shared" si="592"/>
        <v>0</v>
      </c>
      <c r="Q2301" s="765"/>
      <c r="R2301" s="723"/>
      <c r="S2301" s="723"/>
      <c r="T2301" s="577">
        <f t="shared" si="589"/>
        <v>0</v>
      </c>
      <c r="U2301" s="578">
        <f t="shared" si="590"/>
        <v>0</v>
      </c>
      <c r="V2301" s="579"/>
      <c r="W2301" s="566" t="str">
        <f>IF(U2300&gt;0,"xx",IF(P2300&gt;0,"xy",""))</f>
        <v/>
      </c>
      <c r="X2301" s="586" t="str">
        <f t="shared" si="601"/>
        <v/>
      </c>
      <c r="Y2301" s="586" t="str">
        <f t="shared" si="531"/>
        <v/>
      </c>
      <c r="Z2301" s="586" t="str">
        <f t="shared" si="602"/>
        <v/>
      </c>
    </row>
    <row r="2302" spans="1:26" ht="12" hidden="1" thickBot="1" x14ac:dyDescent="0.25">
      <c r="A2302" s="567" t="s">
        <v>168</v>
      </c>
      <c r="B2302" s="644" t="s">
        <v>168</v>
      </c>
      <c r="C2302" s="645"/>
      <c r="D2302" s="422" t="s">
        <v>248</v>
      </c>
      <c r="E2302" s="423"/>
      <c r="F2302" s="424">
        <v>180</v>
      </c>
      <c r="G2302" s="425">
        <f>VLOOKUP(D2300,'[2]ENSAIOS DE ORÇAMENTO'!$C$3:$L$79,5,FALSE)</f>
        <v>1.8801829999999999</v>
      </c>
      <c r="H2302" s="663">
        <f t="shared" ref="H2302:H2304" si="606">IF(F2302&lt;=30,(1.07*F2302+2.68)*G2302,((1.07*30+2.68)+1.07*(F2302-30))*G2302)</f>
        <v>367.16213624</v>
      </c>
      <c r="I2302" s="420"/>
      <c r="J2302" s="420"/>
      <c r="K2302" s="421">
        <f t="shared" si="588"/>
        <v>0</v>
      </c>
      <c r="L2302" s="647"/>
      <c r="M2302" s="723"/>
      <c r="N2302" s="576">
        <f t="shared" si="597"/>
        <v>0</v>
      </c>
      <c r="O2302" s="577">
        <f t="shared" si="591"/>
        <v>0</v>
      </c>
      <c r="P2302" s="578">
        <f t="shared" si="592"/>
        <v>0</v>
      </c>
      <c r="Q2302" s="765"/>
      <c r="R2302" s="723"/>
      <c r="S2302" s="723"/>
      <c r="T2302" s="577">
        <f t="shared" si="589"/>
        <v>0</v>
      </c>
      <c r="U2302" s="578">
        <f t="shared" si="590"/>
        <v>0</v>
      </c>
      <c r="V2302" s="579"/>
      <c r="W2302" s="566" t="str">
        <f>IF(U2300&gt;0,"xx",IF(P2300&gt;0,"xy",""))</f>
        <v/>
      </c>
      <c r="X2302" s="586" t="str">
        <f t="shared" si="601"/>
        <v/>
      </c>
      <c r="Y2302" s="586" t="str">
        <f t="shared" si="531"/>
        <v/>
      </c>
      <c r="Z2302" s="586" t="str">
        <f t="shared" si="602"/>
        <v/>
      </c>
    </row>
    <row r="2303" spans="1:26" ht="12" hidden="1" thickBot="1" x14ac:dyDescent="0.25">
      <c r="A2303" s="567" t="s">
        <v>168</v>
      </c>
      <c r="B2303" s="644" t="s">
        <v>168</v>
      </c>
      <c r="C2303" s="645"/>
      <c r="D2303" s="422" t="s">
        <v>252</v>
      </c>
      <c r="E2303" s="423"/>
      <c r="F2303" s="424">
        <v>20</v>
      </c>
      <c r="G2303" s="425">
        <f>VLOOKUP(D2300,'[2]ENSAIOS DE ORÇAMENTO'!$C$3:$L$79,6,FALSE)</f>
        <v>2.2481940000000002</v>
      </c>
      <c r="H2303" s="663">
        <f t="shared" si="606"/>
        <v>54.136511520000013</v>
      </c>
      <c r="I2303" s="420"/>
      <c r="J2303" s="420"/>
      <c r="K2303" s="421">
        <f t="shared" si="588"/>
        <v>0</v>
      </c>
      <c r="L2303" s="647"/>
      <c r="M2303" s="723"/>
      <c r="N2303" s="576">
        <f t="shared" si="597"/>
        <v>0</v>
      </c>
      <c r="O2303" s="577">
        <f t="shared" si="591"/>
        <v>0</v>
      </c>
      <c r="P2303" s="578">
        <f t="shared" si="592"/>
        <v>0</v>
      </c>
      <c r="Q2303" s="765"/>
      <c r="R2303" s="723"/>
      <c r="S2303" s="723"/>
      <c r="T2303" s="577">
        <f t="shared" si="589"/>
        <v>0</v>
      </c>
      <c r="U2303" s="578">
        <f t="shared" si="590"/>
        <v>0</v>
      </c>
      <c r="V2303" s="579"/>
      <c r="W2303" s="566" t="str">
        <f>IF(U2300&gt;0,"xx",IF(P2300&gt;0,"xy",""))</f>
        <v/>
      </c>
      <c r="X2303" s="586" t="str">
        <f t="shared" si="601"/>
        <v/>
      </c>
      <c r="Y2303" s="586" t="str">
        <f t="shared" si="531"/>
        <v/>
      </c>
      <c r="Z2303" s="586" t="str">
        <f t="shared" si="602"/>
        <v/>
      </c>
    </row>
    <row r="2304" spans="1:26" ht="12" hidden="1" thickBot="1" x14ac:dyDescent="0.25">
      <c r="A2304" s="567" t="s">
        <v>168</v>
      </c>
      <c r="B2304" s="644" t="s">
        <v>168</v>
      </c>
      <c r="C2304" s="645"/>
      <c r="D2304" s="422" t="s">
        <v>400</v>
      </c>
      <c r="E2304" s="423"/>
      <c r="F2304" s="424">
        <v>30</v>
      </c>
      <c r="G2304" s="425">
        <f>VLOOKUP(D2300,'[2]ENSAIOS DE ORÇAMENTO'!$C$3:$L$79,3,FALSE)</f>
        <v>0</v>
      </c>
      <c r="H2304" s="663">
        <f t="shared" si="606"/>
        <v>0</v>
      </c>
      <c r="I2304" s="420"/>
      <c r="J2304" s="420"/>
      <c r="K2304" s="421">
        <f t="shared" ref="K2304:K2367" si="607">IF(ISBLANK(I2304),0,ROUND(J2304*(1+$F$10)*(1+$F$11*E2304),2))</f>
        <v>0</v>
      </c>
      <c r="L2304" s="647"/>
      <c r="M2304" s="723"/>
      <c r="N2304" s="576">
        <f t="shared" si="597"/>
        <v>0</v>
      </c>
      <c r="O2304" s="577">
        <f t="shared" si="591"/>
        <v>0</v>
      </c>
      <c r="P2304" s="578">
        <f t="shared" si="592"/>
        <v>0</v>
      </c>
      <c r="Q2304" s="765"/>
      <c r="R2304" s="723"/>
      <c r="S2304" s="723"/>
      <c r="T2304" s="577">
        <f t="shared" ref="T2304:T2367" si="608">IF(ISBLANK(R2304),0,ROUND(K2304*R2304,2))</f>
        <v>0</v>
      </c>
      <c r="U2304" s="578">
        <f t="shared" ref="U2304:U2367" si="609">IF(ISBLANK(R2304),0,ROUND(R2304*S2304,2))</f>
        <v>0</v>
      </c>
      <c r="V2304" s="579"/>
      <c r="W2304" s="566" t="str">
        <f>IF(U2300&gt;0,"xx",IF(P2300&gt;0,"xy",""))</f>
        <v/>
      </c>
      <c r="X2304" s="586" t="str">
        <f t="shared" si="601"/>
        <v/>
      </c>
      <c r="Y2304" s="586" t="str">
        <f t="shared" si="531"/>
        <v/>
      </c>
      <c r="Z2304" s="586" t="str">
        <f t="shared" si="602"/>
        <v/>
      </c>
    </row>
    <row r="2305" spans="1:26" ht="12" hidden="1" thickBot="1" x14ac:dyDescent="0.25">
      <c r="A2305" s="567" t="s">
        <v>168</v>
      </c>
      <c r="B2305" s="644" t="s">
        <v>168</v>
      </c>
      <c r="C2305" s="645"/>
      <c r="D2305" s="422" t="s">
        <v>401</v>
      </c>
      <c r="E2305" s="423"/>
      <c r="F2305" s="424">
        <v>500</v>
      </c>
      <c r="G2305" s="425">
        <f>VLOOKUP(D2300,'[2]ENSAIOS DE ORÇAMENTO'!$C$3:$L$79,10,FALSE)</f>
        <v>0</v>
      </c>
      <c r="H2305" s="649">
        <f>IF(F2305&lt;=30,(0.78*F2305+7.82)*G2305,((0.78*30+7.82)+0.78*(F2305-30))*G2305)</f>
        <v>0</v>
      </c>
      <c r="I2305" s="420"/>
      <c r="J2305" s="420"/>
      <c r="K2305" s="421">
        <f t="shared" si="607"/>
        <v>0</v>
      </c>
      <c r="L2305" s="647"/>
      <c r="M2305" s="723"/>
      <c r="N2305" s="576">
        <f t="shared" si="597"/>
        <v>0</v>
      </c>
      <c r="O2305" s="577">
        <f t="shared" ref="O2305:O2368" si="610">IF(ISBLANK(M2305),0,ROUND(K2305*M2305,2))</f>
        <v>0</v>
      </c>
      <c r="P2305" s="578">
        <f t="shared" ref="P2305:P2368" si="611">IF(ISBLANK(N2305),0,ROUND(M2305*N2305,2))</f>
        <v>0</v>
      </c>
      <c r="Q2305" s="765"/>
      <c r="R2305" s="723"/>
      <c r="S2305" s="723"/>
      <c r="T2305" s="577">
        <f t="shared" si="608"/>
        <v>0</v>
      </c>
      <c r="U2305" s="578">
        <f t="shared" si="609"/>
        <v>0</v>
      </c>
      <c r="V2305" s="579"/>
      <c r="W2305" s="566" t="str">
        <f>IF(U2300&gt;0,"xx",IF(P2300&gt;0,"xy",""))</f>
        <v/>
      </c>
      <c r="X2305" s="586" t="str">
        <f t="shared" si="601"/>
        <v/>
      </c>
      <c r="Y2305" s="586" t="str">
        <f t="shared" si="531"/>
        <v/>
      </c>
      <c r="Z2305" s="586" t="str">
        <f t="shared" si="602"/>
        <v/>
      </c>
    </row>
    <row r="2306" spans="1:26" ht="12" hidden="1" thickBot="1" x14ac:dyDescent="0.25">
      <c r="A2306" s="567" t="s">
        <v>124</v>
      </c>
      <c r="B2306" s="644" t="s">
        <v>124</v>
      </c>
      <c r="C2306" s="645" t="s">
        <v>206</v>
      </c>
      <c r="D2306" s="422" t="s">
        <v>111</v>
      </c>
      <c r="E2306" s="423"/>
      <c r="F2306" s="424"/>
      <c r="G2306" s="425"/>
      <c r="H2306" s="651">
        <f>SUM(H2307:H2311)</f>
        <v>847.74913412000001</v>
      </c>
      <c r="I2306" s="420">
        <f>VLOOKUP(D2306,'[2]ENSAIOS DE ORÇAMENTO'!$C$3:$L$79,8,FALSE)</f>
        <v>5586.1876799999991</v>
      </c>
      <c r="J2306" s="420">
        <f>IF(ISBLANK(I2306),"",SUM(H2306:I2306))</f>
        <v>6433.9368141199993</v>
      </c>
      <c r="K2306" s="421">
        <f t="shared" si="607"/>
        <v>7644.16</v>
      </c>
      <c r="L2306" s="647" t="s">
        <v>21</v>
      </c>
      <c r="M2306" s="576"/>
      <c r="N2306" s="576">
        <f t="shared" si="597"/>
        <v>0</v>
      </c>
      <c r="O2306" s="577">
        <f t="shared" si="610"/>
        <v>0</v>
      </c>
      <c r="P2306" s="578">
        <f t="shared" si="611"/>
        <v>0</v>
      </c>
      <c r="Q2306" s="765"/>
      <c r="R2306" s="576">
        <f>M2306</f>
        <v>0</v>
      </c>
      <c r="S2306" s="576">
        <f>N2306</f>
        <v>0</v>
      </c>
      <c r="T2306" s="577">
        <f t="shared" si="608"/>
        <v>0</v>
      </c>
      <c r="U2306" s="578">
        <f t="shared" si="609"/>
        <v>0</v>
      </c>
      <c r="V2306" s="579"/>
      <c r="W2306" s="566"/>
      <c r="X2306" s="586" t="str">
        <f t="shared" si="601"/>
        <v/>
      </c>
      <c r="Y2306" s="586" t="str">
        <f t="shared" si="531"/>
        <v/>
      </c>
      <c r="Z2306" s="586" t="str">
        <f t="shared" si="602"/>
        <v/>
      </c>
    </row>
    <row r="2307" spans="1:26" ht="12" hidden="1" thickBot="1" x14ac:dyDescent="0.25">
      <c r="A2307" s="567" t="s">
        <v>168</v>
      </c>
      <c r="B2307" s="644" t="s">
        <v>168</v>
      </c>
      <c r="C2307" s="645"/>
      <c r="D2307" s="422" t="s">
        <v>212</v>
      </c>
      <c r="E2307" s="423"/>
      <c r="F2307" s="424">
        <v>500</v>
      </c>
      <c r="G2307" s="425">
        <f>VLOOKUP(D2306,'[2]ENSAIOS DE ORÇAMENTO'!$C$3:$L$79,4,FALSE)</f>
        <v>0.81544199999999989</v>
      </c>
      <c r="H2307" s="649">
        <f>IF(F2307&lt;=30,(0.78*F2307+7.82)*G2307,((0.78*30+7.82)+0.78*(F2307-30))*G2307)</f>
        <v>324.39913644000001</v>
      </c>
      <c r="I2307" s="420"/>
      <c r="J2307" s="420"/>
      <c r="K2307" s="421">
        <f t="shared" si="607"/>
        <v>0</v>
      </c>
      <c r="L2307" s="647"/>
      <c r="M2307" s="723"/>
      <c r="N2307" s="576">
        <f t="shared" si="597"/>
        <v>0</v>
      </c>
      <c r="O2307" s="577">
        <f t="shared" si="610"/>
        <v>0</v>
      </c>
      <c r="P2307" s="578">
        <f t="shared" si="611"/>
        <v>0</v>
      </c>
      <c r="Q2307" s="765"/>
      <c r="R2307" s="723"/>
      <c r="S2307" s="723"/>
      <c r="T2307" s="577">
        <f t="shared" si="608"/>
        <v>0</v>
      </c>
      <c r="U2307" s="578">
        <f t="shared" si="609"/>
        <v>0</v>
      </c>
      <c r="V2307" s="579"/>
      <c r="W2307" s="566" t="str">
        <f>IF(U2306&gt;0,"xx",IF(P2306&gt;0,"xy",""))</f>
        <v/>
      </c>
      <c r="X2307" s="586" t="str">
        <f t="shared" si="601"/>
        <v/>
      </c>
      <c r="Y2307" s="586" t="str">
        <f t="shared" ref="Y2307:Y2375" si="612">IF(W2307="X","x",IF(W2307="y","x",IF(W2307="xx","x",IF(U2307&gt;0,"x",""))))</f>
        <v/>
      </c>
      <c r="Z2307" s="586" t="str">
        <f t="shared" si="602"/>
        <v/>
      </c>
    </row>
    <row r="2308" spans="1:26" ht="12" hidden="1" thickBot="1" x14ac:dyDescent="0.25">
      <c r="A2308" s="567" t="s">
        <v>168</v>
      </c>
      <c r="B2308" s="644" t="s">
        <v>168</v>
      </c>
      <c r="C2308" s="645"/>
      <c r="D2308" s="422" t="s">
        <v>248</v>
      </c>
      <c r="E2308" s="423"/>
      <c r="F2308" s="424">
        <v>180</v>
      </c>
      <c r="G2308" s="425">
        <f>VLOOKUP(D2306,'[2]ENSAIOS DE ORÇAMENTO'!$C$3:$L$79,5,FALSE)</f>
        <v>2.3351569999999997</v>
      </c>
      <c r="H2308" s="663">
        <f t="shared" ref="H2308:H2310" si="613">IF(F2308&lt;=30,(1.07*F2308+2.68)*G2308,((1.07*30+2.68)+1.07*(F2308-30))*G2308)</f>
        <v>456.00945895999996</v>
      </c>
      <c r="I2308" s="420"/>
      <c r="J2308" s="420"/>
      <c r="K2308" s="421">
        <f t="shared" si="607"/>
        <v>0</v>
      </c>
      <c r="L2308" s="647"/>
      <c r="M2308" s="723"/>
      <c r="N2308" s="576">
        <f t="shared" si="597"/>
        <v>0</v>
      </c>
      <c r="O2308" s="577">
        <f t="shared" si="610"/>
        <v>0</v>
      </c>
      <c r="P2308" s="578">
        <f t="shared" si="611"/>
        <v>0</v>
      </c>
      <c r="Q2308" s="765"/>
      <c r="R2308" s="723"/>
      <c r="S2308" s="723"/>
      <c r="T2308" s="577">
        <f t="shared" si="608"/>
        <v>0</v>
      </c>
      <c r="U2308" s="578">
        <f t="shared" si="609"/>
        <v>0</v>
      </c>
      <c r="V2308" s="579"/>
      <c r="W2308" s="566" t="str">
        <f>IF(U2306&gt;0,"xx",IF(P2306&gt;0,"xy",""))</f>
        <v/>
      </c>
      <c r="X2308" s="586" t="str">
        <f t="shared" si="601"/>
        <v/>
      </c>
      <c r="Y2308" s="586" t="str">
        <f t="shared" si="612"/>
        <v/>
      </c>
      <c r="Z2308" s="586" t="str">
        <f t="shared" si="602"/>
        <v/>
      </c>
    </row>
    <row r="2309" spans="1:26" ht="12" hidden="1" thickBot="1" x14ac:dyDescent="0.25">
      <c r="A2309" s="567" t="s">
        <v>168</v>
      </c>
      <c r="B2309" s="644" t="s">
        <v>168</v>
      </c>
      <c r="C2309" s="645"/>
      <c r="D2309" s="422" t="s">
        <v>252</v>
      </c>
      <c r="E2309" s="423"/>
      <c r="F2309" s="424">
        <v>20</v>
      </c>
      <c r="G2309" s="425">
        <f>VLOOKUP(D2306,'[2]ENSAIOS DE ORÇAMENTO'!$C$3:$L$79,6,FALSE)</f>
        <v>2.7965340000000003</v>
      </c>
      <c r="H2309" s="663">
        <f t="shared" si="613"/>
        <v>67.340538720000012</v>
      </c>
      <c r="I2309" s="420"/>
      <c r="J2309" s="420"/>
      <c r="K2309" s="421">
        <f t="shared" si="607"/>
        <v>0</v>
      </c>
      <c r="L2309" s="647"/>
      <c r="M2309" s="723"/>
      <c r="N2309" s="576">
        <f t="shared" si="597"/>
        <v>0</v>
      </c>
      <c r="O2309" s="577">
        <f t="shared" si="610"/>
        <v>0</v>
      </c>
      <c r="P2309" s="578">
        <f t="shared" si="611"/>
        <v>0</v>
      </c>
      <c r="Q2309" s="765"/>
      <c r="R2309" s="723"/>
      <c r="S2309" s="723"/>
      <c r="T2309" s="577">
        <f t="shared" si="608"/>
        <v>0</v>
      </c>
      <c r="U2309" s="578">
        <f t="shared" si="609"/>
        <v>0</v>
      </c>
      <c r="V2309" s="579"/>
      <c r="W2309" s="566" t="str">
        <f>IF(U2306&gt;0,"xx",IF(P2306&gt;0,"xy",""))</f>
        <v/>
      </c>
      <c r="X2309" s="586" t="str">
        <f t="shared" si="601"/>
        <v/>
      </c>
      <c r="Y2309" s="586" t="str">
        <f t="shared" si="612"/>
        <v/>
      </c>
      <c r="Z2309" s="586" t="str">
        <f t="shared" si="602"/>
        <v/>
      </c>
    </row>
    <row r="2310" spans="1:26" ht="12" hidden="1" thickBot="1" x14ac:dyDescent="0.25">
      <c r="A2310" s="567" t="s">
        <v>168</v>
      </c>
      <c r="B2310" s="644" t="s">
        <v>168</v>
      </c>
      <c r="C2310" s="645"/>
      <c r="D2310" s="422" t="s">
        <v>400</v>
      </c>
      <c r="E2310" s="423"/>
      <c r="F2310" s="424">
        <v>30</v>
      </c>
      <c r="G2310" s="425">
        <f>VLOOKUP(D2306,'[2]ENSAIOS DE ORÇAMENTO'!$C$3:$L$79,3,FALSE)</f>
        <v>0</v>
      </c>
      <c r="H2310" s="663">
        <f t="shared" si="613"/>
        <v>0</v>
      </c>
      <c r="I2310" s="420"/>
      <c r="J2310" s="420"/>
      <c r="K2310" s="421">
        <f t="shared" si="607"/>
        <v>0</v>
      </c>
      <c r="L2310" s="647"/>
      <c r="M2310" s="723"/>
      <c r="N2310" s="576">
        <f t="shared" si="597"/>
        <v>0</v>
      </c>
      <c r="O2310" s="577">
        <f t="shared" si="610"/>
        <v>0</v>
      </c>
      <c r="P2310" s="578">
        <f t="shared" si="611"/>
        <v>0</v>
      </c>
      <c r="Q2310" s="765"/>
      <c r="R2310" s="723"/>
      <c r="S2310" s="723"/>
      <c r="T2310" s="577">
        <f t="shared" si="608"/>
        <v>0</v>
      </c>
      <c r="U2310" s="578">
        <f t="shared" si="609"/>
        <v>0</v>
      </c>
      <c r="V2310" s="579"/>
      <c r="W2310" s="566" t="str">
        <f>IF(U2306&gt;0,"xx",IF(P2306&gt;0,"xy",""))</f>
        <v/>
      </c>
      <c r="X2310" s="586" t="str">
        <f t="shared" si="601"/>
        <v/>
      </c>
      <c r="Y2310" s="586" t="str">
        <f t="shared" si="612"/>
        <v/>
      </c>
      <c r="Z2310" s="586" t="str">
        <f t="shared" si="602"/>
        <v/>
      </c>
    </row>
    <row r="2311" spans="1:26" ht="12" hidden="1" thickBot="1" x14ac:dyDescent="0.25">
      <c r="A2311" s="567" t="s">
        <v>168</v>
      </c>
      <c r="B2311" s="644" t="s">
        <v>168</v>
      </c>
      <c r="C2311" s="645"/>
      <c r="D2311" s="422" t="s">
        <v>401</v>
      </c>
      <c r="E2311" s="423"/>
      <c r="F2311" s="424">
        <v>500</v>
      </c>
      <c r="G2311" s="425">
        <f>VLOOKUP(D2306,'[2]ENSAIOS DE ORÇAMENTO'!$C$3:$L$79,10,FALSE)</f>
        <v>0</v>
      </c>
      <c r="H2311" s="649">
        <f>IF(F2311&lt;=30,(0.78*F2311+7.82)*G2311,((0.78*30+7.82)+0.78*(F2311-30))*G2311)</f>
        <v>0</v>
      </c>
      <c r="I2311" s="420"/>
      <c r="J2311" s="420"/>
      <c r="K2311" s="421">
        <f t="shared" si="607"/>
        <v>0</v>
      </c>
      <c r="L2311" s="647"/>
      <c r="M2311" s="723"/>
      <c r="N2311" s="576">
        <f t="shared" si="597"/>
        <v>0</v>
      </c>
      <c r="O2311" s="577">
        <f t="shared" si="610"/>
        <v>0</v>
      </c>
      <c r="P2311" s="578">
        <f t="shared" si="611"/>
        <v>0</v>
      </c>
      <c r="Q2311" s="765"/>
      <c r="R2311" s="723"/>
      <c r="S2311" s="723"/>
      <c r="T2311" s="577">
        <f t="shared" si="608"/>
        <v>0</v>
      </c>
      <c r="U2311" s="578">
        <f t="shared" si="609"/>
        <v>0</v>
      </c>
      <c r="V2311" s="579"/>
      <c r="W2311" s="566" t="str">
        <f>IF(U2306&gt;0,"xx",IF(P2306&gt;0,"xy",""))</f>
        <v/>
      </c>
      <c r="X2311" s="586" t="str">
        <f t="shared" si="601"/>
        <v/>
      </c>
      <c r="Y2311" s="586" t="str">
        <f t="shared" si="612"/>
        <v/>
      </c>
      <c r="Z2311" s="586" t="str">
        <f t="shared" si="602"/>
        <v/>
      </c>
    </row>
    <row r="2312" spans="1:26" ht="12" hidden="1" thickBot="1" x14ac:dyDescent="0.25">
      <c r="A2312" s="567" t="s">
        <v>125</v>
      </c>
      <c r="B2312" s="644" t="s">
        <v>125</v>
      </c>
      <c r="C2312" s="645" t="s">
        <v>206</v>
      </c>
      <c r="D2312" s="422" t="s">
        <v>99</v>
      </c>
      <c r="E2312" s="423"/>
      <c r="F2312" s="424"/>
      <c r="G2312" s="425"/>
      <c r="H2312" s="651">
        <f>SUM(H2313:H2317)</f>
        <v>125.85055469670401</v>
      </c>
      <c r="I2312" s="420">
        <f>VLOOKUP(D2312,'[2]ENSAIOS DE ORÇAMENTO'!$C$3:$L$79,8,FALSE)</f>
        <v>441.20676012799993</v>
      </c>
      <c r="J2312" s="420">
        <f>IF(ISBLANK(I2312),"",SUM(H2312:I2312))</f>
        <v>567.05731482470389</v>
      </c>
      <c r="K2312" s="421">
        <f t="shared" si="607"/>
        <v>673.72</v>
      </c>
      <c r="L2312" s="647" t="s">
        <v>21</v>
      </c>
      <c r="M2312" s="576"/>
      <c r="N2312" s="576">
        <f t="shared" si="597"/>
        <v>0</v>
      </c>
      <c r="O2312" s="577">
        <f t="shared" si="610"/>
        <v>0</v>
      </c>
      <c r="P2312" s="578">
        <f t="shared" si="611"/>
        <v>0</v>
      </c>
      <c r="Q2312" s="765"/>
      <c r="R2312" s="576">
        <f>M2312</f>
        <v>0</v>
      </c>
      <c r="S2312" s="576">
        <f>N2312</f>
        <v>0</v>
      </c>
      <c r="T2312" s="577">
        <f t="shared" si="608"/>
        <v>0</v>
      </c>
      <c r="U2312" s="578">
        <f t="shared" si="609"/>
        <v>0</v>
      </c>
      <c r="V2312" s="579"/>
      <c r="W2312" s="566"/>
      <c r="X2312" s="586" t="str">
        <f t="shared" si="601"/>
        <v/>
      </c>
      <c r="Y2312" s="586" t="str">
        <f t="shared" si="612"/>
        <v/>
      </c>
      <c r="Z2312" s="586" t="str">
        <f t="shared" si="602"/>
        <v/>
      </c>
    </row>
    <row r="2313" spans="1:26" ht="12" hidden="1" thickBot="1" x14ac:dyDescent="0.25">
      <c r="A2313" s="567" t="s">
        <v>168</v>
      </c>
      <c r="B2313" s="644" t="s">
        <v>168</v>
      </c>
      <c r="C2313" s="645"/>
      <c r="D2313" s="422" t="s">
        <v>212</v>
      </c>
      <c r="E2313" s="423"/>
      <c r="F2313" s="424">
        <v>500</v>
      </c>
      <c r="G2313" s="425">
        <f>VLOOKUP(D2312,'[2]ENSAIOS DE ORÇAMENTO'!$C$3:$L$79,4,FALSE)</f>
        <v>9.9453823999999996E-2</v>
      </c>
      <c r="H2313" s="649">
        <f>IF(F2313&lt;=30,(0.78*F2313+7.82)*G2313,((0.78*30+7.82)+0.78*(F2313-30))*G2313)</f>
        <v>39.564720263680002</v>
      </c>
      <c r="I2313" s="420"/>
      <c r="J2313" s="420"/>
      <c r="K2313" s="421">
        <f t="shared" si="607"/>
        <v>0</v>
      </c>
      <c r="L2313" s="647"/>
      <c r="M2313" s="723"/>
      <c r="N2313" s="576">
        <f t="shared" si="597"/>
        <v>0</v>
      </c>
      <c r="O2313" s="577">
        <f t="shared" si="610"/>
        <v>0</v>
      </c>
      <c r="P2313" s="578">
        <f t="shared" si="611"/>
        <v>0</v>
      </c>
      <c r="Q2313" s="765"/>
      <c r="R2313" s="723"/>
      <c r="S2313" s="723"/>
      <c r="T2313" s="577">
        <f t="shared" si="608"/>
        <v>0</v>
      </c>
      <c r="U2313" s="578">
        <f t="shared" si="609"/>
        <v>0</v>
      </c>
      <c r="V2313" s="579"/>
      <c r="W2313" s="566" t="str">
        <f>IF(U2312&gt;0,"xx",IF(P2312&gt;0,"xy",""))</f>
        <v/>
      </c>
      <c r="X2313" s="586" t="str">
        <f t="shared" si="601"/>
        <v/>
      </c>
      <c r="Y2313" s="586" t="str">
        <f t="shared" si="612"/>
        <v/>
      </c>
      <c r="Z2313" s="586" t="str">
        <f t="shared" si="602"/>
        <v/>
      </c>
    </row>
    <row r="2314" spans="1:26" ht="12" hidden="1" thickBot="1" x14ac:dyDescent="0.25">
      <c r="A2314" s="567" t="s">
        <v>168</v>
      </c>
      <c r="B2314" s="644" t="s">
        <v>168</v>
      </c>
      <c r="C2314" s="645"/>
      <c r="D2314" s="422" t="s">
        <v>248</v>
      </c>
      <c r="E2314" s="423"/>
      <c r="F2314" s="424">
        <v>180</v>
      </c>
      <c r="G2314" s="425">
        <f>VLOOKUP(D2312,'[2]ENSAIOS DE ORÇAMENTO'!$C$3:$L$79,5,FALSE)</f>
        <v>0.3618486528</v>
      </c>
      <c r="H2314" s="663">
        <f t="shared" ref="H2314:H2316" si="614">IF(F2314&lt;=30,(1.07*F2314+2.68)*G2314,((1.07*30+2.68)+1.07*(F2314-30))*G2314)</f>
        <v>70.661804918784</v>
      </c>
      <c r="I2314" s="420"/>
      <c r="J2314" s="420"/>
      <c r="K2314" s="421">
        <f t="shared" si="607"/>
        <v>0</v>
      </c>
      <c r="L2314" s="647"/>
      <c r="M2314" s="723"/>
      <c r="N2314" s="576">
        <f t="shared" si="597"/>
        <v>0</v>
      </c>
      <c r="O2314" s="577">
        <f t="shared" si="610"/>
        <v>0</v>
      </c>
      <c r="P2314" s="578">
        <f t="shared" si="611"/>
        <v>0</v>
      </c>
      <c r="Q2314" s="765"/>
      <c r="R2314" s="723"/>
      <c r="S2314" s="723"/>
      <c r="T2314" s="577">
        <f t="shared" si="608"/>
        <v>0</v>
      </c>
      <c r="U2314" s="578">
        <f t="shared" si="609"/>
        <v>0</v>
      </c>
      <c r="V2314" s="579"/>
      <c r="W2314" s="566" t="str">
        <f>IF(U2312&gt;0,"xx",IF(P2312&gt;0,"xy",""))</f>
        <v/>
      </c>
      <c r="X2314" s="586" t="str">
        <f t="shared" si="601"/>
        <v/>
      </c>
      <c r="Y2314" s="586" t="str">
        <f t="shared" si="612"/>
        <v/>
      </c>
      <c r="Z2314" s="586" t="str">
        <f t="shared" si="602"/>
        <v/>
      </c>
    </row>
    <row r="2315" spans="1:26" ht="12" hidden="1" thickBot="1" x14ac:dyDescent="0.25">
      <c r="A2315" s="567" t="s">
        <v>168</v>
      </c>
      <c r="B2315" s="644" t="s">
        <v>168</v>
      </c>
      <c r="C2315" s="645"/>
      <c r="D2315" s="422" t="s">
        <v>252</v>
      </c>
      <c r="E2315" s="423"/>
      <c r="F2315" s="424">
        <v>20</v>
      </c>
      <c r="G2315" s="425">
        <f>VLOOKUP(D2312,'[2]ENSAIOS DE ORÇAMENTO'!$C$3:$L$79,6,FALSE)</f>
        <v>0.308576448</v>
      </c>
      <c r="H2315" s="663">
        <f t="shared" si="614"/>
        <v>7.4305208678400003</v>
      </c>
      <c r="I2315" s="420"/>
      <c r="J2315" s="420"/>
      <c r="K2315" s="421">
        <f t="shared" si="607"/>
        <v>0</v>
      </c>
      <c r="L2315" s="647"/>
      <c r="M2315" s="723"/>
      <c r="N2315" s="576">
        <f t="shared" si="597"/>
        <v>0</v>
      </c>
      <c r="O2315" s="577">
        <f t="shared" si="610"/>
        <v>0</v>
      </c>
      <c r="P2315" s="578">
        <f t="shared" si="611"/>
        <v>0</v>
      </c>
      <c r="Q2315" s="765"/>
      <c r="R2315" s="723"/>
      <c r="S2315" s="723"/>
      <c r="T2315" s="577">
        <f t="shared" si="608"/>
        <v>0</v>
      </c>
      <c r="U2315" s="578">
        <f t="shared" si="609"/>
        <v>0</v>
      </c>
      <c r="V2315" s="579"/>
      <c r="W2315" s="566" t="str">
        <f>IF(U2312&gt;0,"xx",IF(P2312&gt;0,"xy",""))</f>
        <v/>
      </c>
      <c r="X2315" s="586" t="str">
        <f t="shared" si="601"/>
        <v/>
      </c>
      <c r="Y2315" s="586" t="str">
        <f t="shared" si="612"/>
        <v/>
      </c>
      <c r="Z2315" s="586" t="str">
        <f t="shared" si="602"/>
        <v/>
      </c>
    </row>
    <row r="2316" spans="1:26" ht="12" hidden="1" thickBot="1" x14ac:dyDescent="0.25">
      <c r="A2316" s="567" t="s">
        <v>168</v>
      </c>
      <c r="B2316" s="644" t="s">
        <v>168</v>
      </c>
      <c r="C2316" s="645"/>
      <c r="D2316" s="422" t="s">
        <v>400</v>
      </c>
      <c r="E2316" s="423"/>
      <c r="F2316" s="424">
        <v>30</v>
      </c>
      <c r="G2316" s="425">
        <f>VLOOKUP(D2312,'[2]ENSAIOS DE ORÇAMENTO'!$C$3:$L$79,3,FALSE)</f>
        <v>0.17055359999999997</v>
      </c>
      <c r="H2316" s="663">
        <f t="shared" si="614"/>
        <v>5.931854207999999</v>
      </c>
      <c r="I2316" s="420"/>
      <c r="J2316" s="420"/>
      <c r="K2316" s="421">
        <f t="shared" si="607"/>
        <v>0</v>
      </c>
      <c r="L2316" s="647"/>
      <c r="M2316" s="723"/>
      <c r="N2316" s="576">
        <f t="shared" si="597"/>
        <v>0</v>
      </c>
      <c r="O2316" s="577">
        <f t="shared" si="610"/>
        <v>0</v>
      </c>
      <c r="P2316" s="578">
        <f t="shared" si="611"/>
        <v>0</v>
      </c>
      <c r="Q2316" s="765"/>
      <c r="R2316" s="723"/>
      <c r="S2316" s="723"/>
      <c r="T2316" s="577">
        <f t="shared" si="608"/>
        <v>0</v>
      </c>
      <c r="U2316" s="578">
        <f t="shared" si="609"/>
        <v>0</v>
      </c>
      <c r="V2316" s="579"/>
      <c r="W2316" s="566" t="str">
        <f>IF(U2312&gt;0,"xx",IF(P2312&gt;0,"xy",""))</f>
        <v/>
      </c>
      <c r="X2316" s="586" t="str">
        <f t="shared" si="601"/>
        <v/>
      </c>
      <c r="Y2316" s="586" t="str">
        <f t="shared" si="612"/>
        <v/>
      </c>
      <c r="Z2316" s="586" t="str">
        <f t="shared" si="602"/>
        <v/>
      </c>
    </row>
    <row r="2317" spans="1:26" ht="12" hidden="1" thickBot="1" x14ac:dyDescent="0.25">
      <c r="A2317" s="567" t="s">
        <v>168</v>
      </c>
      <c r="B2317" s="644" t="s">
        <v>168</v>
      </c>
      <c r="C2317" s="645"/>
      <c r="D2317" s="422" t="s">
        <v>401</v>
      </c>
      <c r="E2317" s="423"/>
      <c r="F2317" s="424">
        <v>500</v>
      </c>
      <c r="G2317" s="425">
        <f>VLOOKUP(D2312,'[2]ENSAIOS DE ORÇAMENTO'!$C$3:$L$79,10,FALSE)</f>
        <v>5.6851199999999992E-3</v>
      </c>
      <c r="H2317" s="649">
        <f>IF(F2317&lt;=30,(0.78*F2317+7.82)*G2317,((0.78*30+7.82)+0.78*(F2317-30))*G2317)</f>
        <v>2.2616544383999999</v>
      </c>
      <c r="I2317" s="420"/>
      <c r="J2317" s="420"/>
      <c r="K2317" s="421">
        <f t="shared" si="607"/>
        <v>0</v>
      </c>
      <c r="L2317" s="647"/>
      <c r="M2317" s="723"/>
      <c r="N2317" s="576">
        <f t="shared" si="597"/>
        <v>0</v>
      </c>
      <c r="O2317" s="577">
        <f t="shared" si="610"/>
        <v>0</v>
      </c>
      <c r="P2317" s="578">
        <f t="shared" si="611"/>
        <v>0</v>
      </c>
      <c r="Q2317" s="765"/>
      <c r="R2317" s="723"/>
      <c r="S2317" s="723"/>
      <c r="T2317" s="577">
        <f t="shared" si="608"/>
        <v>0</v>
      </c>
      <c r="U2317" s="578">
        <f t="shared" si="609"/>
        <v>0</v>
      </c>
      <c r="V2317" s="579"/>
      <c r="W2317" s="566" t="str">
        <f>IF(U2312&gt;0,"xx",IF(P2312&gt;0,"xy",""))</f>
        <v/>
      </c>
      <c r="X2317" s="586" t="str">
        <f t="shared" si="601"/>
        <v/>
      </c>
      <c r="Y2317" s="586" t="str">
        <f t="shared" si="612"/>
        <v/>
      </c>
      <c r="Z2317" s="586" t="str">
        <f t="shared" si="602"/>
        <v/>
      </c>
    </row>
    <row r="2318" spans="1:26" ht="12" hidden="1" thickBot="1" x14ac:dyDescent="0.25">
      <c r="A2318" s="567" t="s">
        <v>36</v>
      </c>
      <c r="B2318" s="644" t="s">
        <v>36</v>
      </c>
      <c r="C2318" s="645" t="s">
        <v>206</v>
      </c>
      <c r="D2318" s="422" t="s">
        <v>100</v>
      </c>
      <c r="E2318" s="423"/>
      <c r="F2318" s="424"/>
      <c r="G2318" s="425"/>
      <c r="H2318" s="651">
        <f>SUM(H2319:H2323)</f>
        <v>185.66531998528004</v>
      </c>
      <c r="I2318" s="420">
        <f>VLOOKUP(D2318,'[2]ENSAIOS DE ORÇAMENTO'!$C$3:$L$79,8,FALSE)</f>
        <v>672.43252495999991</v>
      </c>
      <c r="J2318" s="420">
        <f>IF(ISBLANK(I2318),"",SUM(H2318:I2318))</f>
        <v>858.09784494527992</v>
      </c>
      <c r="K2318" s="421">
        <f t="shared" si="607"/>
        <v>1019.51</v>
      </c>
      <c r="L2318" s="647" t="s">
        <v>21</v>
      </c>
      <c r="M2318" s="576"/>
      <c r="N2318" s="576">
        <f t="shared" si="597"/>
        <v>0</v>
      </c>
      <c r="O2318" s="577">
        <f t="shared" si="610"/>
        <v>0</v>
      </c>
      <c r="P2318" s="578">
        <f t="shared" si="611"/>
        <v>0</v>
      </c>
      <c r="Q2318" s="765"/>
      <c r="R2318" s="576">
        <f>M2318</f>
        <v>0</v>
      </c>
      <c r="S2318" s="576">
        <f>N2318</f>
        <v>0</v>
      </c>
      <c r="T2318" s="577">
        <f t="shared" si="608"/>
        <v>0</v>
      </c>
      <c r="U2318" s="578">
        <f t="shared" si="609"/>
        <v>0</v>
      </c>
      <c r="V2318" s="579"/>
      <c r="W2318" s="566"/>
      <c r="X2318" s="586" t="str">
        <f t="shared" si="601"/>
        <v/>
      </c>
      <c r="Y2318" s="586" t="str">
        <f t="shared" si="612"/>
        <v/>
      </c>
      <c r="Z2318" s="586" t="str">
        <f t="shared" si="602"/>
        <v/>
      </c>
    </row>
    <row r="2319" spans="1:26" ht="12" hidden="1" thickBot="1" x14ac:dyDescent="0.25">
      <c r="A2319" s="567" t="s">
        <v>168</v>
      </c>
      <c r="B2319" s="644" t="s">
        <v>168</v>
      </c>
      <c r="C2319" s="645"/>
      <c r="D2319" s="422" t="s">
        <v>212</v>
      </c>
      <c r="E2319" s="423"/>
      <c r="F2319" s="424">
        <v>500</v>
      </c>
      <c r="G2319" s="425">
        <f>VLOOKUP(D2318,'[2]ENSAIOS DE ORÇAMENTO'!$C$3:$L$79,4,FALSE)</f>
        <v>0.14735024000000002</v>
      </c>
      <c r="H2319" s="649">
        <f>IF(F2319&lt;=30,(0.78*F2319+7.82)*G2319,((0.78*30+7.82)+0.78*(F2319-30))*G2319)</f>
        <v>58.618872476800014</v>
      </c>
      <c r="I2319" s="420"/>
      <c r="J2319" s="420"/>
      <c r="K2319" s="421">
        <f t="shared" si="607"/>
        <v>0</v>
      </c>
      <c r="L2319" s="647"/>
      <c r="M2319" s="723"/>
      <c r="N2319" s="576">
        <f t="shared" si="597"/>
        <v>0</v>
      </c>
      <c r="O2319" s="577">
        <f t="shared" si="610"/>
        <v>0</v>
      </c>
      <c r="P2319" s="578">
        <f t="shared" si="611"/>
        <v>0</v>
      </c>
      <c r="Q2319" s="765"/>
      <c r="R2319" s="723"/>
      <c r="S2319" s="723"/>
      <c r="T2319" s="577">
        <f t="shared" si="608"/>
        <v>0</v>
      </c>
      <c r="U2319" s="578">
        <f t="shared" si="609"/>
        <v>0</v>
      </c>
      <c r="V2319" s="579"/>
      <c r="W2319" s="566" t="str">
        <f>IF(U2318&gt;0,"xx",IF(P2318&gt;0,"xy",""))</f>
        <v/>
      </c>
      <c r="X2319" s="586" t="str">
        <f t="shared" si="601"/>
        <v/>
      </c>
      <c r="Y2319" s="586" t="str">
        <f t="shared" si="612"/>
        <v/>
      </c>
      <c r="Z2319" s="586" t="str">
        <f t="shared" si="602"/>
        <v/>
      </c>
    </row>
    <row r="2320" spans="1:26" ht="12" hidden="1" thickBot="1" x14ac:dyDescent="0.25">
      <c r="A2320" s="567" t="s">
        <v>168</v>
      </c>
      <c r="B2320" s="644" t="s">
        <v>168</v>
      </c>
      <c r="C2320" s="645"/>
      <c r="D2320" s="422" t="s">
        <v>248</v>
      </c>
      <c r="E2320" s="423"/>
      <c r="F2320" s="424">
        <v>180</v>
      </c>
      <c r="G2320" s="425">
        <f>VLOOKUP(D2318,'[2]ENSAIOS DE ORÇAMENTO'!$C$3:$L$79,5,FALSE)</f>
        <v>0.52819569600000005</v>
      </c>
      <c r="H2320" s="663">
        <f t="shared" ref="H2320:H2322" si="615">IF(F2320&lt;=30,(1.07*F2320+2.68)*G2320,((1.07*30+2.68)+1.07*(F2320-30))*G2320)</f>
        <v>103.14605551488</v>
      </c>
      <c r="I2320" s="420"/>
      <c r="J2320" s="420"/>
      <c r="K2320" s="421">
        <f t="shared" si="607"/>
        <v>0</v>
      </c>
      <c r="L2320" s="647"/>
      <c r="M2320" s="723"/>
      <c r="N2320" s="576">
        <f t="shared" si="597"/>
        <v>0</v>
      </c>
      <c r="O2320" s="577">
        <f t="shared" si="610"/>
        <v>0</v>
      </c>
      <c r="P2320" s="578">
        <f t="shared" si="611"/>
        <v>0</v>
      </c>
      <c r="Q2320" s="765"/>
      <c r="R2320" s="723"/>
      <c r="S2320" s="723"/>
      <c r="T2320" s="577">
        <f t="shared" si="608"/>
        <v>0</v>
      </c>
      <c r="U2320" s="578">
        <f t="shared" si="609"/>
        <v>0</v>
      </c>
      <c r="V2320" s="579"/>
      <c r="W2320" s="566" t="str">
        <f>IF(U2318&gt;0,"xx",IF(P2318&gt;0,"xy",""))</f>
        <v/>
      </c>
      <c r="X2320" s="586" t="str">
        <f t="shared" si="601"/>
        <v/>
      </c>
      <c r="Y2320" s="586" t="str">
        <f t="shared" si="612"/>
        <v/>
      </c>
      <c r="Z2320" s="586" t="str">
        <f t="shared" si="602"/>
        <v/>
      </c>
    </row>
    <row r="2321" spans="1:26" ht="12" hidden="1" thickBot="1" x14ac:dyDescent="0.25">
      <c r="A2321" s="567" t="s">
        <v>168</v>
      </c>
      <c r="B2321" s="644" t="s">
        <v>168</v>
      </c>
      <c r="C2321" s="645"/>
      <c r="D2321" s="422" t="s">
        <v>252</v>
      </c>
      <c r="E2321" s="423"/>
      <c r="F2321" s="424">
        <v>20</v>
      </c>
      <c r="G2321" s="425">
        <f>VLOOKUP(D2318,'[2]ENSAIOS DE ORÇAMENTO'!$C$3:$L$79,6,FALSE)</f>
        <v>0.43353936000000004</v>
      </c>
      <c r="H2321" s="663">
        <f t="shared" si="615"/>
        <v>10.439627788800001</v>
      </c>
      <c r="I2321" s="420"/>
      <c r="J2321" s="420"/>
      <c r="K2321" s="421">
        <f t="shared" si="607"/>
        <v>0</v>
      </c>
      <c r="L2321" s="647"/>
      <c r="M2321" s="723"/>
      <c r="N2321" s="576">
        <f t="shared" si="597"/>
        <v>0</v>
      </c>
      <c r="O2321" s="577">
        <f t="shared" si="610"/>
        <v>0</v>
      </c>
      <c r="P2321" s="578">
        <f t="shared" si="611"/>
        <v>0</v>
      </c>
      <c r="Q2321" s="765"/>
      <c r="R2321" s="723"/>
      <c r="S2321" s="723"/>
      <c r="T2321" s="577">
        <f t="shared" si="608"/>
        <v>0</v>
      </c>
      <c r="U2321" s="578">
        <f t="shared" si="609"/>
        <v>0</v>
      </c>
      <c r="V2321" s="579"/>
      <c r="W2321" s="566" t="str">
        <f>IF(U2318&gt;0,"xx",IF(P2318&gt;0,"xy",""))</f>
        <v/>
      </c>
      <c r="X2321" s="586" t="str">
        <f t="shared" si="601"/>
        <v/>
      </c>
      <c r="Y2321" s="586" t="str">
        <f t="shared" si="612"/>
        <v/>
      </c>
      <c r="Z2321" s="586" t="str">
        <f t="shared" si="602"/>
        <v/>
      </c>
    </row>
    <row r="2322" spans="1:26" ht="12" hidden="1" thickBot="1" x14ac:dyDescent="0.25">
      <c r="A2322" s="567" t="s">
        <v>168</v>
      </c>
      <c r="B2322" s="644" t="s">
        <v>168</v>
      </c>
      <c r="C2322" s="645"/>
      <c r="D2322" s="422" t="s">
        <v>400</v>
      </c>
      <c r="E2322" s="423"/>
      <c r="F2322" s="424">
        <v>30</v>
      </c>
      <c r="G2322" s="425">
        <f>VLOOKUP(D2318,'[2]ENSAIOS DE ORÇAMENTO'!$C$3:$L$79,3,FALSE)</f>
        <v>0.28019519999999998</v>
      </c>
      <c r="H2322" s="663">
        <f t="shared" si="615"/>
        <v>9.7451890559999992</v>
      </c>
      <c r="I2322" s="420"/>
      <c r="J2322" s="420"/>
      <c r="K2322" s="421">
        <f t="shared" si="607"/>
        <v>0</v>
      </c>
      <c r="L2322" s="647"/>
      <c r="M2322" s="723"/>
      <c r="N2322" s="576">
        <f t="shared" si="597"/>
        <v>0</v>
      </c>
      <c r="O2322" s="577">
        <f t="shared" si="610"/>
        <v>0</v>
      </c>
      <c r="P2322" s="578">
        <f t="shared" si="611"/>
        <v>0</v>
      </c>
      <c r="Q2322" s="765"/>
      <c r="R2322" s="723"/>
      <c r="S2322" s="723"/>
      <c r="T2322" s="577">
        <f t="shared" si="608"/>
        <v>0</v>
      </c>
      <c r="U2322" s="578">
        <f t="shared" si="609"/>
        <v>0</v>
      </c>
      <c r="V2322" s="579"/>
      <c r="W2322" s="566" t="str">
        <f>IF(U2318&gt;0,"xx",IF(P2318&gt;0,"xy",""))</f>
        <v/>
      </c>
      <c r="X2322" s="586" t="str">
        <f t="shared" si="601"/>
        <v/>
      </c>
      <c r="Y2322" s="586" t="str">
        <f t="shared" si="612"/>
        <v/>
      </c>
      <c r="Z2322" s="586" t="str">
        <f t="shared" si="602"/>
        <v/>
      </c>
    </row>
    <row r="2323" spans="1:26" ht="12" hidden="1" thickBot="1" x14ac:dyDescent="0.25">
      <c r="A2323" s="567" t="s">
        <v>168</v>
      </c>
      <c r="B2323" s="644" t="s">
        <v>168</v>
      </c>
      <c r="C2323" s="645"/>
      <c r="D2323" s="422" t="s">
        <v>401</v>
      </c>
      <c r="E2323" s="423"/>
      <c r="F2323" s="424">
        <v>500</v>
      </c>
      <c r="G2323" s="425">
        <f>VLOOKUP(D2318,'[2]ENSAIOS DE ORÇAMENTO'!$C$3:$L$79,10,FALSE)</f>
        <v>9.3398400000000003E-3</v>
      </c>
      <c r="H2323" s="649">
        <f>IF(F2323&lt;=30,(0.78*F2323+7.82)*G2323,((0.78*30+7.82)+0.78*(F2323-30))*G2323)</f>
        <v>3.7155751488000006</v>
      </c>
      <c r="I2323" s="420"/>
      <c r="J2323" s="420"/>
      <c r="K2323" s="421">
        <f t="shared" si="607"/>
        <v>0</v>
      </c>
      <c r="L2323" s="647"/>
      <c r="M2323" s="723"/>
      <c r="N2323" s="576">
        <f t="shared" si="597"/>
        <v>0</v>
      </c>
      <c r="O2323" s="577">
        <f t="shared" si="610"/>
        <v>0</v>
      </c>
      <c r="P2323" s="578">
        <f t="shared" si="611"/>
        <v>0</v>
      </c>
      <c r="Q2323" s="765"/>
      <c r="R2323" s="723"/>
      <c r="S2323" s="723"/>
      <c r="T2323" s="577">
        <f t="shared" si="608"/>
        <v>0</v>
      </c>
      <c r="U2323" s="578">
        <f t="shared" si="609"/>
        <v>0</v>
      </c>
      <c r="V2323" s="579"/>
      <c r="W2323" s="566" t="str">
        <f>IF(U2318&gt;0,"xx",IF(P2318&gt;0,"xy",""))</f>
        <v/>
      </c>
      <c r="X2323" s="586" t="str">
        <f t="shared" si="601"/>
        <v/>
      </c>
      <c r="Y2323" s="586" t="str">
        <f t="shared" si="612"/>
        <v/>
      </c>
      <c r="Z2323" s="586" t="str">
        <f t="shared" si="602"/>
        <v/>
      </c>
    </row>
    <row r="2324" spans="1:26" ht="12" hidden="1" thickBot="1" x14ac:dyDescent="0.25">
      <c r="A2324" s="567" t="s">
        <v>37</v>
      </c>
      <c r="B2324" s="644" t="s">
        <v>37</v>
      </c>
      <c r="C2324" s="645" t="s">
        <v>206</v>
      </c>
      <c r="D2324" s="422" t="s">
        <v>73</v>
      </c>
      <c r="E2324" s="423"/>
      <c r="F2324" s="424"/>
      <c r="G2324" s="425"/>
      <c r="H2324" s="651">
        <f>SUM(H2325:H2329)</f>
        <v>338.40781276928004</v>
      </c>
      <c r="I2324" s="420">
        <f>VLOOKUP(D2324,'[2]ENSAIOS DE ORÇAMENTO'!$C$3:$L$79,8,FALSE)</f>
        <v>1254.8365582933334</v>
      </c>
      <c r="J2324" s="420">
        <f>IF(ISBLANK(I2324),"",SUM(H2324:I2324))</f>
        <v>1593.2443710626135</v>
      </c>
      <c r="K2324" s="421">
        <f t="shared" si="607"/>
        <v>1892.93</v>
      </c>
      <c r="L2324" s="647" t="s">
        <v>21</v>
      </c>
      <c r="M2324" s="576"/>
      <c r="N2324" s="576">
        <f t="shared" ref="N2324:N2387" si="616">IF(M2324=0,0,K2324)</f>
        <v>0</v>
      </c>
      <c r="O2324" s="577">
        <f t="shared" si="610"/>
        <v>0</v>
      </c>
      <c r="P2324" s="578">
        <f t="shared" si="611"/>
        <v>0</v>
      </c>
      <c r="Q2324" s="765"/>
      <c r="R2324" s="576">
        <f>M2324</f>
        <v>0</v>
      </c>
      <c r="S2324" s="576">
        <f>N2324</f>
        <v>0</v>
      </c>
      <c r="T2324" s="577">
        <f t="shared" si="608"/>
        <v>0</v>
      </c>
      <c r="U2324" s="578">
        <f t="shared" si="609"/>
        <v>0</v>
      </c>
      <c r="V2324" s="579"/>
      <c r="W2324" s="566"/>
      <c r="X2324" s="586" t="str">
        <f t="shared" si="601"/>
        <v/>
      </c>
      <c r="Y2324" s="586" t="str">
        <f t="shared" si="612"/>
        <v/>
      </c>
      <c r="Z2324" s="586" t="str">
        <f t="shared" si="602"/>
        <v/>
      </c>
    </row>
    <row r="2325" spans="1:26" ht="12" hidden="1" thickBot="1" x14ac:dyDescent="0.25">
      <c r="A2325" s="567" t="s">
        <v>168</v>
      </c>
      <c r="B2325" s="644" t="s">
        <v>168</v>
      </c>
      <c r="C2325" s="645"/>
      <c r="D2325" s="422" t="s">
        <v>212</v>
      </c>
      <c r="E2325" s="423"/>
      <c r="F2325" s="424">
        <v>500</v>
      </c>
      <c r="G2325" s="425">
        <f>VLOOKUP(D2324,'[2]ENSAIOS DE ORÇAMENTO'!$C$3:$L$79,4,FALSE)</f>
        <v>0.25613760000000002</v>
      </c>
      <c r="H2325" s="649">
        <f>IF(F2325&lt;=30,(0.78*F2325+7.82)*G2325,((0.78*30+7.82)+0.78*(F2325-30))*G2325)</f>
        <v>101.89666003200003</v>
      </c>
      <c r="I2325" s="420"/>
      <c r="J2325" s="420"/>
      <c r="K2325" s="421">
        <f t="shared" si="607"/>
        <v>0</v>
      </c>
      <c r="L2325" s="647"/>
      <c r="M2325" s="723"/>
      <c r="N2325" s="576">
        <f t="shared" si="616"/>
        <v>0</v>
      </c>
      <c r="O2325" s="577">
        <f t="shared" si="610"/>
        <v>0</v>
      </c>
      <c r="P2325" s="578">
        <f t="shared" si="611"/>
        <v>0</v>
      </c>
      <c r="Q2325" s="765"/>
      <c r="R2325" s="723"/>
      <c r="S2325" s="723"/>
      <c r="T2325" s="577">
        <f t="shared" si="608"/>
        <v>0</v>
      </c>
      <c r="U2325" s="578">
        <f t="shared" si="609"/>
        <v>0</v>
      </c>
      <c r="V2325" s="579"/>
      <c r="W2325" s="566" t="str">
        <f>IF(U2324&gt;0,"xx",IF(P2324&gt;0,"xy",""))</f>
        <v/>
      </c>
      <c r="X2325" s="586" t="str">
        <f t="shared" si="601"/>
        <v/>
      </c>
      <c r="Y2325" s="586" t="str">
        <f t="shared" si="612"/>
        <v/>
      </c>
      <c r="Z2325" s="586" t="str">
        <f t="shared" si="602"/>
        <v/>
      </c>
    </row>
    <row r="2326" spans="1:26" ht="12" hidden="1" thickBot="1" x14ac:dyDescent="0.25">
      <c r="A2326" s="567" t="s">
        <v>168</v>
      </c>
      <c r="B2326" s="644" t="s">
        <v>168</v>
      </c>
      <c r="C2326" s="645"/>
      <c r="D2326" s="422" t="s">
        <v>248</v>
      </c>
      <c r="E2326" s="423"/>
      <c r="F2326" s="424">
        <v>180</v>
      </c>
      <c r="G2326" s="425">
        <f>VLOOKUP(D2324,'[2]ENSAIOS DE ORÇAMENTO'!$C$3:$L$79,5,FALSE)</f>
        <v>0.95694329600000005</v>
      </c>
      <c r="H2326" s="663">
        <f t="shared" ref="H2326:H2328" si="617">IF(F2326&lt;=30,(1.07*F2326+2.68)*G2326,((1.07*30+2.68)+1.07*(F2326-30))*G2326)</f>
        <v>186.87188684288</v>
      </c>
      <c r="I2326" s="420"/>
      <c r="J2326" s="420"/>
      <c r="K2326" s="421">
        <f t="shared" si="607"/>
        <v>0</v>
      </c>
      <c r="L2326" s="647"/>
      <c r="M2326" s="723"/>
      <c r="N2326" s="576">
        <f t="shared" si="616"/>
        <v>0</v>
      </c>
      <c r="O2326" s="577">
        <f t="shared" si="610"/>
        <v>0</v>
      </c>
      <c r="P2326" s="578">
        <f t="shared" si="611"/>
        <v>0</v>
      </c>
      <c r="Q2326" s="765"/>
      <c r="R2326" s="723"/>
      <c r="S2326" s="723"/>
      <c r="T2326" s="577">
        <f t="shared" si="608"/>
        <v>0</v>
      </c>
      <c r="U2326" s="578">
        <f t="shared" si="609"/>
        <v>0</v>
      </c>
      <c r="V2326" s="579"/>
      <c r="W2326" s="566" t="str">
        <f>IF(U2324&gt;0,"xx",IF(P2324&gt;0,"xy",""))</f>
        <v/>
      </c>
      <c r="X2326" s="586" t="str">
        <f t="shared" si="601"/>
        <v/>
      </c>
      <c r="Y2326" s="586" t="str">
        <f t="shared" si="612"/>
        <v/>
      </c>
      <c r="Z2326" s="586" t="str">
        <f t="shared" si="602"/>
        <v/>
      </c>
    </row>
    <row r="2327" spans="1:26" ht="12" hidden="1" thickBot="1" x14ac:dyDescent="0.25">
      <c r="A2327" s="567" t="s">
        <v>168</v>
      </c>
      <c r="B2327" s="644" t="s">
        <v>168</v>
      </c>
      <c r="C2327" s="645"/>
      <c r="D2327" s="422" t="s">
        <v>252</v>
      </c>
      <c r="E2327" s="423"/>
      <c r="F2327" s="424">
        <v>20</v>
      </c>
      <c r="G2327" s="425">
        <f>VLOOKUP(D2324,'[2]ENSAIOS DE ORÇAMENTO'!$C$3:$L$79,6,FALSE)</f>
        <v>0.70038336000000012</v>
      </c>
      <c r="H2327" s="663">
        <f t="shared" si="617"/>
        <v>16.865231308800006</v>
      </c>
      <c r="I2327" s="420"/>
      <c r="J2327" s="420"/>
      <c r="K2327" s="421">
        <f t="shared" si="607"/>
        <v>0</v>
      </c>
      <c r="L2327" s="647"/>
      <c r="M2327" s="723"/>
      <c r="N2327" s="576">
        <f t="shared" si="616"/>
        <v>0</v>
      </c>
      <c r="O2327" s="577">
        <f t="shared" si="610"/>
        <v>0</v>
      </c>
      <c r="P2327" s="578">
        <f t="shared" si="611"/>
        <v>0</v>
      </c>
      <c r="Q2327" s="765"/>
      <c r="R2327" s="723"/>
      <c r="S2327" s="723"/>
      <c r="T2327" s="577">
        <f t="shared" si="608"/>
        <v>0</v>
      </c>
      <c r="U2327" s="578">
        <f t="shared" si="609"/>
        <v>0</v>
      </c>
      <c r="V2327" s="579"/>
      <c r="W2327" s="566" t="str">
        <f>IF(U2324&gt;0,"xx",IF(P2324&gt;0,"xy",""))</f>
        <v/>
      </c>
      <c r="X2327" s="586" t="str">
        <f t="shared" si="601"/>
        <v/>
      </c>
      <c r="Y2327" s="586" t="str">
        <f t="shared" si="612"/>
        <v/>
      </c>
      <c r="Z2327" s="586" t="str">
        <f t="shared" si="602"/>
        <v/>
      </c>
    </row>
    <row r="2328" spans="1:26" ht="12" hidden="1" thickBot="1" x14ac:dyDescent="0.25">
      <c r="A2328" s="567" t="s">
        <v>168</v>
      </c>
      <c r="B2328" s="644" t="s">
        <v>168</v>
      </c>
      <c r="C2328" s="645"/>
      <c r="D2328" s="422" t="s">
        <v>400</v>
      </c>
      <c r="E2328" s="423"/>
      <c r="F2328" s="424">
        <v>30</v>
      </c>
      <c r="G2328" s="425">
        <f>VLOOKUP(D2324,'[2]ENSAIOS DE ORÇAMENTO'!$C$3:$L$79,3,FALSE)</f>
        <v>0.6822144</v>
      </c>
      <c r="H2328" s="663">
        <f t="shared" si="617"/>
        <v>23.727416831999999</v>
      </c>
      <c r="I2328" s="420"/>
      <c r="J2328" s="420"/>
      <c r="K2328" s="421">
        <f t="shared" si="607"/>
        <v>0</v>
      </c>
      <c r="L2328" s="647"/>
      <c r="M2328" s="723"/>
      <c r="N2328" s="576">
        <f t="shared" si="616"/>
        <v>0</v>
      </c>
      <c r="O2328" s="577">
        <f t="shared" si="610"/>
        <v>0</v>
      </c>
      <c r="P2328" s="578">
        <f t="shared" si="611"/>
        <v>0</v>
      </c>
      <c r="Q2328" s="765"/>
      <c r="R2328" s="723"/>
      <c r="S2328" s="723"/>
      <c r="T2328" s="577">
        <f t="shared" si="608"/>
        <v>0</v>
      </c>
      <c r="U2328" s="578">
        <f t="shared" si="609"/>
        <v>0</v>
      </c>
      <c r="V2328" s="579"/>
      <c r="W2328" s="566" t="str">
        <f>IF(U2324&gt;0,"xx",IF(P2324&gt;0,"xy",""))</f>
        <v/>
      </c>
      <c r="X2328" s="586" t="str">
        <f t="shared" si="601"/>
        <v/>
      </c>
      <c r="Y2328" s="586" t="str">
        <f t="shared" si="612"/>
        <v/>
      </c>
      <c r="Z2328" s="586" t="str">
        <f t="shared" si="602"/>
        <v/>
      </c>
    </row>
    <row r="2329" spans="1:26" ht="12" hidden="1" thickBot="1" x14ac:dyDescent="0.25">
      <c r="A2329" s="567" t="s">
        <v>168</v>
      </c>
      <c r="B2329" s="644" t="s">
        <v>168</v>
      </c>
      <c r="C2329" s="645"/>
      <c r="D2329" s="422" t="s">
        <v>401</v>
      </c>
      <c r="E2329" s="423"/>
      <c r="F2329" s="424">
        <v>500</v>
      </c>
      <c r="G2329" s="425">
        <f>VLOOKUP(D2324,'[2]ENSAIOS DE ORÇAMENTO'!$C$3:$L$79,10,FALSE)</f>
        <v>2.274048E-2</v>
      </c>
      <c r="H2329" s="649">
        <f>IF(F2329&lt;=30,(0.78*F2329+7.82)*G2329,((0.78*30+7.82)+0.78*(F2329-30))*G2329)</f>
        <v>9.0466177536000014</v>
      </c>
      <c r="I2329" s="420"/>
      <c r="J2329" s="420"/>
      <c r="K2329" s="421">
        <f t="shared" si="607"/>
        <v>0</v>
      </c>
      <c r="L2329" s="647"/>
      <c r="M2329" s="723"/>
      <c r="N2329" s="576">
        <f t="shared" si="616"/>
        <v>0</v>
      </c>
      <c r="O2329" s="577">
        <f t="shared" si="610"/>
        <v>0</v>
      </c>
      <c r="P2329" s="578">
        <f t="shared" si="611"/>
        <v>0</v>
      </c>
      <c r="Q2329" s="765"/>
      <c r="R2329" s="723"/>
      <c r="S2329" s="723"/>
      <c r="T2329" s="577">
        <f t="shared" si="608"/>
        <v>0</v>
      </c>
      <c r="U2329" s="578">
        <f t="shared" si="609"/>
        <v>0</v>
      </c>
      <c r="V2329" s="579"/>
      <c r="W2329" s="566" t="str">
        <f>IF(U2324&gt;0,"xx",IF(P2324&gt;0,"xy",""))</f>
        <v/>
      </c>
      <c r="X2329" s="586" t="str">
        <f t="shared" si="601"/>
        <v/>
      </c>
      <c r="Y2329" s="586" t="str">
        <f t="shared" si="612"/>
        <v/>
      </c>
      <c r="Z2329" s="586" t="str">
        <f t="shared" si="602"/>
        <v/>
      </c>
    </row>
    <row r="2330" spans="1:26" ht="12" hidden="1" thickBot="1" x14ac:dyDescent="0.25">
      <c r="A2330" s="567" t="s">
        <v>38</v>
      </c>
      <c r="B2330" s="644" t="s">
        <v>38</v>
      </c>
      <c r="C2330" s="645" t="s">
        <v>206</v>
      </c>
      <c r="D2330" s="422" t="s">
        <v>74</v>
      </c>
      <c r="E2330" s="423"/>
      <c r="F2330" s="424"/>
      <c r="G2330" s="425"/>
      <c r="H2330" s="651">
        <f>SUM(H2331:H2335)</f>
        <v>442.79062149376</v>
      </c>
      <c r="I2330" s="420">
        <f>VLOOKUP(D2330,'[2]ENSAIOS DE ORÇAMENTO'!$C$3:$L$79,8,FALSE)</f>
        <v>1636.8346789866664</v>
      </c>
      <c r="J2330" s="420">
        <f>IF(ISBLANK(I2330),"",SUM(H2330:I2330))</f>
        <v>2079.6253004804266</v>
      </c>
      <c r="K2330" s="421">
        <f t="shared" si="607"/>
        <v>2470.8000000000002</v>
      </c>
      <c r="L2330" s="647" t="s">
        <v>21</v>
      </c>
      <c r="M2330" s="576"/>
      <c r="N2330" s="576">
        <f t="shared" si="616"/>
        <v>0</v>
      </c>
      <c r="O2330" s="577">
        <f t="shared" si="610"/>
        <v>0</v>
      </c>
      <c r="P2330" s="578">
        <f t="shared" si="611"/>
        <v>0</v>
      </c>
      <c r="Q2330" s="765"/>
      <c r="R2330" s="576">
        <f>M2330</f>
        <v>0</v>
      </c>
      <c r="S2330" s="576">
        <f>N2330</f>
        <v>0</v>
      </c>
      <c r="T2330" s="577">
        <f t="shared" si="608"/>
        <v>0</v>
      </c>
      <c r="U2330" s="578">
        <f t="shared" si="609"/>
        <v>0</v>
      </c>
      <c r="V2330" s="579"/>
      <c r="W2330" s="566"/>
      <c r="X2330" s="586" t="str">
        <f t="shared" si="601"/>
        <v/>
      </c>
      <c r="Y2330" s="586" t="str">
        <f t="shared" si="612"/>
        <v/>
      </c>
      <c r="Z2330" s="586" t="str">
        <f t="shared" si="602"/>
        <v/>
      </c>
    </row>
    <row r="2331" spans="1:26" ht="12" hidden="1" thickBot="1" x14ac:dyDescent="0.25">
      <c r="A2331" s="567" t="s">
        <v>168</v>
      </c>
      <c r="B2331" s="644" t="s">
        <v>168</v>
      </c>
      <c r="C2331" s="645"/>
      <c r="D2331" s="422" t="s">
        <v>212</v>
      </c>
      <c r="E2331" s="423"/>
      <c r="F2331" s="424">
        <v>500</v>
      </c>
      <c r="G2331" s="425">
        <f>VLOOKUP(D2330,'[2]ENSAIOS DE ORÇAMENTO'!$C$3:$L$79,4,FALSE)</f>
        <v>0.33109503999999995</v>
      </c>
      <c r="H2331" s="649">
        <f>IF(F2331&lt;=30,(0.78*F2331+7.82)*G2331,((0.78*30+7.82)+0.78*(F2331-30))*G2331)</f>
        <v>131.71622881280001</v>
      </c>
      <c r="I2331" s="420"/>
      <c r="J2331" s="420"/>
      <c r="K2331" s="421">
        <f t="shared" si="607"/>
        <v>0</v>
      </c>
      <c r="L2331" s="647"/>
      <c r="M2331" s="723"/>
      <c r="N2331" s="576">
        <f t="shared" si="616"/>
        <v>0</v>
      </c>
      <c r="O2331" s="577">
        <f t="shared" si="610"/>
        <v>0</v>
      </c>
      <c r="P2331" s="578">
        <f t="shared" si="611"/>
        <v>0</v>
      </c>
      <c r="Q2331" s="765"/>
      <c r="R2331" s="723"/>
      <c r="S2331" s="723"/>
      <c r="T2331" s="577">
        <f t="shared" si="608"/>
        <v>0</v>
      </c>
      <c r="U2331" s="578">
        <f t="shared" si="609"/>
        <v>0</v>
      </c>
      <c r="V2331" s="579"/>
      <c r="W2331" s="566" t="str">
        <f>IF(U2330&gt;0,"xx",IF(P2330&gt;0,"xy",""))</f>
        <v/>
      </c>
      <c r="X2331" s="586" t="str">
        <f t="shared" si="601"/>
        <v/>
      </c>
      <c r="Y2331" s="586" t="str">
        <f t="shared" si="612"/>
        <v/>
      </c>
      <c r="Z2331" s="586" t="str">
        <f t="shared" si="602"/>
        <v/>
      </c>
    </row>
    <row r="2332" spans="1:26" ht="12" hidden="1" thickBot="1" x14ac:dyDescent="0.25">
      <c r="A2332" s="567" t="s">
        <v>168</v>
      </c>
      <c r="B2332" s="644" t="s">
        <v>168</v>
      </c>
      <c r="C2332" s="645"/>
      <c r="D2332" s="422" t="s">
        <v>248</v>
      </c>
      <c r="E2332" s="423"/>
      <c r="F2332" s="424">
        <v>180</v>
      </c>
      <c r="G2332" s="425">
        <f>VLOOKUP(D2330,'[2]ENSAIOS DE ORÇAMENTO'!$C$3:$L$79,5,FALSE)</f>
        <v>1.2541824319999999</v>
      </c>
      <c r="H2332" s="663">
        <f t="shared" ref="H2332:H2334" si="618">IF(F2332&lt;=30,(1.07*F2332+2.68)*G2332,((1.07*30+2.68)+1.07*(F2332-30))*G2332)</f>
        <v>244.91674532095999</v>
      </c>
      <c r="I2332" s="420"/>
      <c r="J2332" s="420"/>
      <c r="K2332" s="421">
        <f t="shared" si="607"/>
        <v>0</v>
      </c>
      <c r="L2332" s="647"/>
      <c r="M2332" s="723"/>
      <c r="N2332" s="576">
        <f t="shared" si="616"/>
        <v>0</v>
      </c>
      <c r="O2332" s="577">
        <f t="shared" si="610"/>
        <v>0</v>
      </c>
      <c r="P2332" s="578">
        <f t="shared" si="611"/>
        <v>0</v>
      </c>
      <c r="Q2332" s="765"/>
      <c r="R2332" s="723"/>
      <c r="S2332" s="723"/>
      <c r="T2332" s="577">
        <f t="shared" si="608"/>
        <v>0</v>
      </c>
      <c r="U2332" s="578">
        <f t="shared" si="609"/>
        <v>0</v>
      </c>
      <c r="V2332" s="579"/>
      <c r="W2332" s="566" t="str">
        <f>IF(U2330&gt;0,"xx",IF(P2330&gt;0,"xy",""))</f>
        <v/>
      </c>
      <c r="X2332" s="586" t="str">
        <f t="shared" si="601"/>
        <v/>
      </c>
      <c r="Y2332" s="586" t="str">
        <f t="shared" si="612"/>
        <v/>
      </c>
      <c r="Z2332" s="586" t="str">
        <f t="shared" si="602"/>
        <v/>
      </c>
    </row>
    <row r="2333" spans="1:26" ht="12" hidden="1" thickBot="1" x14ac:dyDescent="0.25">
      <c r="A2333" s="567" t="s">
        <v>168</v>
      </c>
      <c r="B2333" s="644" t="s">
        <v>168</v>
      </c>
      <c r="C2333" s="645"/>
      <c r="D2333" s="422" t="s">
        <v>252</v>
      </c>
      <c r="E2333" s="423"/>
      <c r="F2333" s="424">
        <v>20</v>
      </c>
      <c r="G2333" s="425">
        <f>VLOOKUP(D2330,'[2]ENSAIOS DE ORÇAMENTO'!$C$3:$L$79,6,FALSE)</f>
        <v>0.89487311999999997</v>
      </c>
      <c r="H2333" s="663">
        <f t="shared" si="618"/>
        <v>21.5485447296</v>
      </c>
      <c r="I2333" s="420"/>
      <c r="J2333" s="420"/>
      <c r="K2333" s="421">
        <f t="shared" si="607"/>
        <v>0</v>
      </c>
      <c r="L2333" s="647"/>
      <c r="M2333" s="723"/>
      <c r="N2333" s="576">
        <f t="shared" si="616"/>
        <v>0</v>
      </c>
      <c r="O2333" s="577">
        <f t="shared" si="610"/>
        <v>0</v>
      </c>
      <c r="P2333" s="578">
        <f t="shared" si="611"/>
        <v>0</v>
      </c>
      <c r="Q2333" s="765"/>
      <c r="R2333" s="723"/>
      <c r="S2333" s="723"/>
      <c r="T2333" s="577">
        <f t="shared" si="608"/>
        <v>0</v>
      </c>
      <c r="U2333" s="578">
        <f t="shared" si="609"/>
        <v>0</v>
      </c>
      <c r="V2333" s="579"/>
      <c r="W2333" s="566" t="str">
        <f>IF(U2330&gt;0,"xx",IF(P2330&gt;0,"xy",""))</f>
        <v/>
      </c>
      <c r="X2333" s="586" t="str">
        <f t="shared" si="601"/>
        <v/>
      </c>
      <c r="Y2333" s="586" t="str">
        <f t="shared" si="612"/>
        <v/>
      </c>
      <c r="Z2333" s="586" t="str">
        <f t="shared" si="602"/>
        <v/>
      </c>
    </row>
    <row r="2334" spans="1:26" ht="12" hidden="1" thickBot="1" x14ac:dyDescent="0.25">
      <c r="A2334" s="567" t="s">
        <v>168</v>
      </c>
      <c r="B2334" s="644" t="s">
        <v>168</v>
      </c>
      <c r="C2334" s="645"/>
      <c r="D2334" s="422" t="s">
        <v>400</v>
      </c>
      <c r="E2334" s="423"/>
      <c r="F2334" s="424">
        <v>30</v>
      </c>
      <c r="G2334" s="425">
        <f>VLOOKUP(D2330,'[2]ENSAIOS DE ORÇAMENTO'!$C$3:$L$79,3,FALSE)</f>
        <v>0.92856959999999988</v>
      </c>
      <c r="H2334" s="663">
        <f t="shared" si="618"/>
        <v>32.295650687999995</v>
      </c>
      <c r="I2334" s="420"/>
      <c r="J2334" s="420"/>
      <c r="K2334" s="421">
        <f t="shared" si="607"/>
        <v>0</v>
      </c>
      <c r="L2334" s="647"/>
      <c r="M2334" s="723"/>
      <c r="N2334" s="576">
        <f t="shared" si="616"/>
        <v>0</v>
      </c>
      <c r="O2334" s="577">
        <f t="shared" si="610"/>
        <v>0</v>
      </c>
      <c r="P2334" s="578">
        <f t="shared" si="611"/>
        <v>0</v>
      </c>
      <c r="Q2334" s="765"/>
      <c r="R2334" s="723"/>
      <c r="S2334" s="723"/>
      <c r="T2334" s="577">
        <f t="shared" si="608"/>
        <v>0</v>
      </c>
      <c r="U2334" s="578">
        <f t="shared" si="609"/>
        <v>0</v>
      </c>
      <c r="V2334" s="579"/>
      <c r="W2334" s="566" t="str">
        <f>IF(U2330&gt;0,"xx",IF(P2330&gt;0,"xy",""))</f>
        <v/>
      </c>
      <c r="X2334" s="586" t="str">
        <f t="shared" si="601"/>
        <v/>
      </c>
      <c r="Y2334" s="586" t="str">
        <f t="shared" si="612"/>
        <v/>
      </c>
      <c r="Z2334" s="586" t="str">
        <f t="shared" si="602"/>
        <v/>
      </c>
    </row>
    <row r="2335" spans="1:26" ht="12" hidden="1" thickBot="1" x14ac:dyDescent="0.25">
      <c r="A2335" s="567" t="s">
        <v>168</v>
      </c>
      <c r="B2335" s="644" t="s">
        <v>168</v>
      </c>
      <c r="C2335" s="645"/>
      <c r="D2335" s="422" t="s">
        <v>401</v>
      </c>
      <c r="E2335" s="423"/>
      <c r="F2335" s="424">
        <v>500</v>
      </c>
      <c r="G2335" s="425">
        <f>VLOOKUP(D2330,'[2]ENSAIOS DE ORÇAMENTO'!$C$3:$L$79,10,FALSE)</f>
        <v>3.0952319999999998E-2</v>
      </c>
      <c r="H2335" s="649">
        <f>IF(F2335&lt;=30,(0.78*F2335+7.82)*G2335,((0.78*30+7.82)+0.78*(F2335-30))*G2335)</f>
        <v>12.3134519424</v>
      </c>
      <c r="I2335" s="420"/>
      <c r="J2335" s="420"/>
      <c r="K2335" s="421">
        <f t="shared" si="607"/>
        <v>0</v>
      </c>
      <c r="L2335" s="647"/>
      <c r="M2335" s="723"/>
      <c r="N2335" s="576">
        <f t="shared" si="616"/>
        <v>0</v>
      </c>
      <c r="O2335" s="577">
        <f t="shared" si="610"/>
        <v>0</v>
      </c>
      <c r="P2335" s="578">
        <f t="shared" si="611"/>
        <v>0</v>
      </c>
      <c r="Q2335" s="765"/>
      <c r="R2335" s="723"/>
      <c r="S2335" s="723"/>
      <c r="T2335" s="577">
        <f t="shared" si="608"/>
        <v>0</v>
      </c>
      <c r="U2335" s="578">
        <f t="shared" si="609"/>
        <v>0</v>
      </c>
      <c r="V2335" s="579"/>
      <c r="W2335" s="566" t="str">
        <f>IF(U2330&gt;0,"xx",IF(P2330&gt;0,"xy",""))</f>
        <v/>
      </c>
      <c r="X2335" s="586" t="str">
        <f t="shared" si="601"/>
        <v/>
      </c>
      <c r="Y2335" s="586" t="str">
        <f t="shared" si="612"/>
        <v/>
      </c>
      <c r="Z2335" s="586" t="str">
        <f t="shared" si="602"/>
        <v/>
      </c>
    </row>
    <row r="2336" spans="1:26" ht="12" hidden="1" thickBot="1" x14ac:dyDescent="0.25">
      <c r="A2336" s="567" t="s">
        <v>39</v>
      </c>
      <c r="B2336" s="644" t="s">
        <v>39</v>
      </c>
      <c r="C2336" s="645" t="s">
        <v>206</v>
      </c>
      <c r="D2336" s="422" t="s">
        <v>75</v>
      </c>
      <c r="E2336" s="423"/>
      <c r="F2336" s="424"/>
      <c r="G2336" s="425"/>
      <c r="H2336" s="651">
        <f>SUM(H2337:H2341)</f>
        <v>611.13990876224</v>
      </c>
      <c r="I2336" s="420">
        <f>VLOOKUP(D2336,'[2]ENSAIOS DE ORÇAMENTO'!$C$3:$L$79,8,FALSE)</f>
        <v>2254.8232410133337</v>
      </c>
      <c r="J2336" s="420">
        <f>IF(ISBLANK(I2336),"",SUM(H2336:I2336))</f>
        <v>2865.9631497755736</v>
      </c>
      <c r="K2336" s="421">
        <f t="shared" si="607"/>
        <v>3405.05</v>
      </c>
      <c r="L2336" s="647" t="s">
        <v>21</v>
      </c>
      <c r="M2336" s="576"/>
      <c r="N2336" s="576">
        <f t="shared" si="616"/>
        <v>0</v>
      </c>
      <c r="O2336" s="577">
        <f t="shared" si="610"/>
        <v>0</v>
      </c>
      <c r="P2336" s="578">
        <f t="shared" si="611"/>
        <v>0</v>
      </c>
      <c r="Q2336" s="765"/>
      <c r="R2336" s="576">
        <f>M2336</f>
        <v>0</v>
      </c>
      <c r="S2336" s="576">
        <f>N2336</f>
        <v>0</v>
      </c>
      <c r="T2336" s="577">
        <f t="shared" si="608"/>
        <v>0</v>
      </c>
      <c r="U2336" s="578">
        <f t="shared" si="609"/>
        <v>0</v>
      </c>
      <c r="V2336" s="579"/>
      <c r="W2336" s="566"/>
      <c r="X2336" s="586" t="str">
        <f t="shared" si="601"/>
        <v/>
      </c>
      <c r="Y2336" s="586" t="str">
        <f t="shared" si="612"/>
        <v/>
      </c>
      <c r="Z2336" s="586" t="str">
        <f t="shared" si="602"/>
        <v/>
      </c>
    </row>
    <row r="2337" spans="1:26" ht="12" hidden="1" thickBot="1" x14ac:dyDescent="0.25">
      <c r="A2337" s="567" t="s">
        <v>168</v>
      </c>
      <c r="B2337" s="644" t="s">
        <v>168</v>
      </c>
      <c r="C2337" s="645"/>
      <c r="D2337" s="422" t="s">
        <v>212</v>
      </c>
      <c r="E2337" s="423"/>
      <c r="F2337" s="424">
        <v>500</v>
      </c>
      <c r="G2337" s="425">
        <f>VLOOKUP(D2336,'[2]ENSAIOS DE ORÇAMENTO'!$C$3:$L$79,4,FALSE)</f>
        <v>0.45250179200000007</v>
      </c>
      <c r="H2337" s="649">
        <f>IF(F2337&lt;=30,(0.78*F2337+7.82)*G2337,((0.78*30+7.82)+0.78*(F2337-30))*G2337)</f>
        <v>180.01426289344005</v>
      </c>
      <c r="I2337" s="420"/>
      <c r="J2337" s="420"/>
      <c r="K2337" s="421">
        <f t="shared" si="607"/>
        <v>0</v>
      </c>
      <c r="L2337" s="647"/>
      <c r="M2337" s="723"/>
      <c r="N2337" s="576">
        <f t="shared" si="616"/>
        <v>0</v>
      </c>
      <c r="O2337" s="577">
        <f t="shared" si="610"/>
        <v>0</v>
      </c>
      <c r="P2337" s="578">
        <f t="shared" si="611"/>
        <v>0</v>
      </c>
      <c r="Q2337" s="765"/>
      <c r="R2337" s="723"/>
      <c r="S2337" s="723"/>
      <c r="T2337" s="577">
        <f t="shared" si="608"/>
        <v>0</v>
      </c>
      <c r="U2337" s="578">
        <f t="shared" si="609"/>
        <v>0</v>
      </c>
      <c r="V2337" s="579"/>
      <c r="W2337" s="566" t="str">
        <f>IF(U2336&gt;0,"xx",IF(P2336&gt;0,"xy",""))</f>
        <v/>
      </c>
      <c r="X2337" s="586" t="str">
        <f t="shared" si="601"/>
        <v/>
      </c>
      <c r="Y2337" s="586" t="str">
        <f t="shared" si="612"/>
        <v/>
      </c>
      <c r="Z2337" s="586" t="str">
        <f t="shared" si="602"/>
        <v/>
      </c>
    </row>
    <row r="2338" spans="1:26" ht="12" hidden="1" thickBot="1" x14ac:dyDescent="0.25">
      <c r="A2338" s="567" t="s">
        <v>168</v>
      </c>
      <c r="B2338" s="644" t="s">
        <v>168</v>
      </c>
      <c r="C2338" s="645"/>
      <c r="D2338" s="422" t="s">
        <v>248</v>
      </c>
      <c r="E2338" s="423"/>
      <c r="F2338" s="424">
        <v>180</v>
      </c>
      <c r="G2338" s="425">
        <f>VLOOKUP(D2336,'[2]ENSAIOS DE ORÇAMENTO'!$C$3:$L$79,5,FALSE)</f>
        <v>1.7334338080000002</v>
      </c>
      <c r="H2338" s="663">
        <f t="shared" ref="H2338:H2340" si="619">IF(F2338&lt;=30,(1.07*F2338+2.68)*G2338,((1.07*30+2.68)+1.07*(F2338-30))*G2338)</f>
        <v>338.50495402624006</v>
      </c>
      <c r="I2338" s="420"/>
      <c r="J2338" s="420"/>
      <c r="K2338" s="421">
        <f t="shared" si="607"/>
        <v>0</v>
      </c>
      <c r="L2338" s="647"/>
      <c r="M2338" s="723"/>
      <c r="N2338" s="576">
        <f t="shared" si="616"/>
        <v>0</v>
      </c>
      <c r="O2338" s="577">
        <f t="shared" si="610"/>
        <v>0</v>
      </c>
      <c r="P2338" s="578">
        <f t="shared" si="611"/>
        <v>0</v>
      </c>
      <c r="Q2338" s="765"/>
      <c r="R2338" s="723"/>
      <c r="S2338" s="723"/>
      <c r="T2338" s="577">
        <f t="shared" si="608"/>
        <v>0</v>
      </c>
      <c r="U2338" s="578">
        <f t="shared" si="609"/>
        <v>0</v>
      </c>
      <c r="V2338" s="579"/>
      <c r="W2338" s="566" t="str">
        <f>IF(U2336&gt;0,"xx",IF(P2336&gt;0,"xy",""))</f>
        <v/>
      </c>
      <c r="X2338" s="586" t="str">
        <f t="shared" si="601"/>
        <v/>
      </c>
      <c r="Y2338" s="586" t="str">
        <f t="shared" si="612"/>
        <v/>
      </c>
      <c r="Z2338" s="586" t="str">
        <f t="shared" si="602"/>
        <v/>
      </c>
    </row>
    <row r="2339" spans="1:26" ht="12" hidden="1" thickBot="1" x14ac:dyDescent="0.25">
      <c r="A2339" s="567" t="s">
        <v>168</v>
      </c>
      <c r="B2339" s="644" t="s">
        <v>168</v>
      </c>
      <c r="C2339" s="645"/>
      <c r="D2339" s="422" t="s">
        <v>252</v>
      </c>
      <c r="E2339" s="423"/>
      <c r="F2339" s="424">
        <v>20</v>
      </c>
      <c r="G2339" s="425">
        <f>VLOOKUP(D2336,'[2]ENSAIOS DE ORÇAMENTO'!$C$3:$L$79,6,FALSE)</f>
        <v>1.2150148800000002</v>
      </c>
      <c r="H2339" s="663">
        <f t="shared" si="619"/>
        <v>29.257558310400007</v>
      </c>
      <c r="I2339" s="420"/>
      <c r="J2339" s="420"/>
      <c r="K2339" s="421">
        <f t="shared" si="607"/>
        <v>0</v>
      </c>
      <c r="L2339" s="647"/>
      <c r="M2339" s="723"/>
      <c r="N2339" s="576">
        <f t="shared" si="616"/>
        <v>0</v>
      </c>
      <c r="O2339" s="577">
        <f t="shared" si="610"/>
        <v>0</v>
      </c>
      <c r="P2339" s="578">
        <f t="shared" si="611"/>
        <v>0</v>
      </c>
      <c r="Q2339" s="765"/>
      <c r="R2339" s="723"/>
      <c r="S2339" s="723"/>
      <c r="T2339" s="577">
        <f t="shared" si="608"/>
        <v>0</v>
      </c>
      <c r="U2339" s="578">
        <f t="shared" si="609"/>
        <v>0</v>
      </c>
      <c r="V2339" s="579"/>
      <c r="W2339" s="566" t="str">
        <f>IF(U2336&gt;0,"xx",IF(P2336&gt;0,"xy",""))</f>
        <v/>
      </c>
      <c r="X2339" s="586" t="str">
        <f t="shared" si="601"/>
        <v/>
      </c>
      <c r="Y2339" s="586" t="str">
        <f t="shared" si="612"/>
        <v/>
      </c>
      <c r="Z2339" s="586" t="str">
        <f t="shared" si="602"/>
        <v/>
      </c>
    </row>
    <row r="2340" spans="1:26" ht="12" hidden="1" thickBot="1" x14ac:dyDescent="0.25">
      <c r="A2340" s="567" t="s">
        <v>168</v>
      </c>
      <c r="B2340" s="644" t="s">
        <v>168</v>
      </c>
      <c r="C2340" s="645"/>
      <c r="D2340" s="422" t="s">
        <v>400</v>
      </c>
      <c r="E2340" s="423"/>
      <c r="F2340" s="424">
        <v>30</v>
      </c>
      <c r="G2340" s="425">
        <f>VLOOKUP(D2336,'[2]ENSAIOS DE ORÇAMENTO'!$C$3:$L$79,3,FALSE)</f>
        <v>1.3189478400000001</v>
      </c>
      <c r="H2340" s="663">
        <f t="shared" si="619"/>
        <v>45.873005875200008</v>
      </c>
      <c r="I2340" s="420"/>
      <c r="J2340" s="420"/>
      <c r="K2340" s="421">
        <f t="shared" si="607"/>
        <v>0</v>
      </c>
      <c r="L2340" s="647"/>
      <c r="M2340" s="723"/>
      <c r="N2340" s="576">
        <f t="shared" si="616"/>
        <v>0</v>
      </c>
      <c r="O2340" s="577">
        <f t="shared" si="610"/>
        <v>0</v>
      </c>
      <c r="P2340" s="578">
        <f t="shared" si="611"/>
        <v>0</v>
      </c>
      <c r="Q2340" s="765"/>
      <c r="R2340" s="723"/>
      <c r="S2340" s="723"/>
      <c r="T2340" s="577">
        <f t="shared" si="608"/>
        <v>0</v>
      </c>
      <c r="U2340" s="578">
        <f t="shared" si="609"/>
        <v>0</v>
      </c>
      <c r="V2340" s="579"/>
      <c r="W2340" s="566" t="str">
        <f>IF(U2336&gt;0,"xx",IF(P2336&gt;0,"xy",""))</f>
        <v/>
      </c>
      <c r="X2340" s="586" t="str">
        <f t="shared" si="601"/>
        <v/>
      </c>
      <c r="Y2340" s="586" t="str">
        <f t="shared" si="612"/>
        <v/>
      </c>
      <c r="Z2340" s="586" t="str">
        <f t="shared" si="602"/>
        <v/>
      </c>
    </row>
    <row r="2341" spans="1:26" ht="12" hidden="1" thickBot="1" x14ac:dyDescent="0.25">
      <c r="A2341" s="567" t="s">
        <v>168</v>
      </c>
      <c r="B2341" s="644" t="s">
        <v>168</v>
      </c>
      <c r="C2341" s="645"/>
      <c r="D2341" s="422" t="s">
        <v>401</v>
      </c>
      <c r="E2341" s="423"/>
      <c r="F2341" s="424">
        <v>500</v>
      </c>
      <c r="G2341" s="425">
        <f>VLOOKUP(D2336,'[2]ENSAIOS DE ORÇAMENTO'!$C$3:$L$79,10,FALSE)</f>
        <v>4.3964928000000007E-2</v>
      </c>
      <c r="H2341" s="649">
        <f>IF(F2341&lt;=30,(0.78*F2341+7.82)*G2341,((0.78*30+7.82)+0.78*(F2341-30))*G2341)</f>
        <v>17.490127656960006</v>
      </c>
      <c r="I2341" s="420"/>
      <c r="J2341" s="420"/>
      <c r="K2341" s="421">
        <f t="shared" si="607"/>
        <v>0</v>
      </c>
      <c r="L2341" s="647"/>
      <c r="M2341" s="723"/>
      <c r="N2341" s="576">
        <f t="shared" si="616"/>
        <v>0</v>
      </c>
      <c r="O2341" s="577">
        <f t="shared" si="610"/>
        <v>0</v>
      </c>
      <c r="P2341" s="578">
        <f t="shared" si="611"/>
        <v>0</v>
      </c>
      <c r="Q2341" s="765"/>
      <c r="R2341" s="723"/>
      <c r="S2341" s="723"/>
      <c r="T2341" s="577">
        <f t="shared" si="608"/>
        <v>0</v>
      </c>
      <c r="U2341" s="578">
        <f t="shared" si="609"/>
        <v>0</v>
      </c>
      <c r="V2341" s="579"/>
      <c r="W2341" s="566" t="str">
        <f>IF(U2336&gt;0,"xx",IF(P2336&gt;0,"xy",""))</f>
        <v/>
      </c>
      <c r="X2341" s="586" t="str">
        <f t="shared" si="601"/>
        <v/>
      </c>
      <c r="Y2341" s="586" t="str">
        <f t="shared" si="612"/>
        <v/>
      </c>
      <c r="Z2341" s="586" t="str">
        <f t="shared" si="602"/>
        <v/>
      </c>
    </row>
    <row r="2342" spans="1:26" ht="12" hidden="1" thickBot="1" x14ac:dyDescent="0.25">
      <c r="A2342" s="567" t="s">
        <v>126</v>
      </c>
      <c r="B2342" s="644" t="s">
        <v>126</v>
      </c>
      <c r="C2342" s="645" t="s">
        <v>206</v>
      </c>
      <c r="D2342" s="422" t="s">
        <v>410</v>
      </c>
      <c r="E2342" s="423"/>
      <c r="F2342" s="424"/>
      <c r="G2342" s="425"/>
      <c r="H2342" s="651">
        <f>SUM(H2343:H2347)</f>
        <v>142.4370791808</v>
      </c>
      <c r="I2342" s="420">
        <f>VLOOKUP(D2342,'[2]ENSAIOS DE ORÇAMENTO'!$C$3:$L$79,8,FALSE)</f>
        <v>429.51122421333332</v>
      </c>
      <c r="J2342" s="420">
        <f>IF(ISBLANK(I2342),"",SUM(H2342:I2342))</f>
        <v>571.94830339413329</v>
      </c>
      <c r="K2342" s="421">
        <f t="shared" si="607"/>
        <v>679.53</v>
      </c>
      <c r="L2342" s="647" t="s">
        <v>21</v>
      </c>
      <c r="M2342" s="576"/>
      <c r="N2342" s="576">
        <f t="shared" si="616"/>
        <v>0</v>
      </c>
      <c r="O2342" s="577">
        <f t="shared" si="610"/>
        <v>0</v>
      </c>
      <c r="P2342" s="578">
        <f t="shared" si="611"/>
        <v>0</v>
      </c>
      <c r="Q2342" s="765"/>
      <c r="R2342" s="576">
        <f>M2342</f>
        <v>0</v>
      </c>
      <c r="S2342" s="576">
        <f>N2342</f>
        <v>0</v>
      </c>
      <c r="T2342" s="577">
        <f t="shared" si="608"/>
        <v>0</v>
      </c>
      <c r="U2342" s="578">
        <f t="shared" si="609"/>
        <v>0</v>
      </c>
      <c r="V2342" s="579"/>
      <c r="W2342" s="566"/>
      <c r="X2342" s="586" t="str">
        <f t="shared" si="601"/>
        <v/>
      </c>
      <c r="Y2342" s="586" t="str">
        <f t="shared" si="612"/>
        <v/>
      </c>
      <c r="Z2342" s="586" t="str">
        <f t="shared" si="602"/>
        <v/>
      </c>
    </row>
    <row r="2343" spans="1:26" ht="12" hidden="1" thickBot="1" x14ac:dyDescent="0.25">
      <c r="A2343" s="567" t="s">
        <v>168</v>
      </c>
      <c r="B2343" s="644" t="s">
        <v>168</v>
      </c>
      <c r="C2343" s="645"/>
      <c r="D2343" s="422" t="s">
        <v>212</v>
      </c>
      <c r="E2343" s="423"/>
      <c r="F2343" s="424">
        <v>500</v>
      </c>
      <c r="G2343" s="425">
        <f>VLOOKUP(D2342,'[2]ENSAIOS DE ORÇAMENTO'!$C$3:$L$79,4,FALSE)</f>
        <v>0.1320288</v>
      </c>
      <c r="H2343" s="649">
        <f>IF(F2343&lt;=30,(0.78*F2343+7.82)*G2343,((0.78*30+7.82)+0.78*(F2343-30))*G2343)</f>
        <v>52.523697216000009</v>
      </c>
      <c r="I2343" s="420"/>
      <c r="J2343" s="420"/>
      <c r="K2343" s="421">
        <f t="shared" si="607"/>
        <v>0</v>
      </c>
      <c r="L2343" s="647"/>
      <c r="M2343" s="723"/>
      <c r="N2343" s="576">
        <f t="shared" si="616"/>
        <v>0</v>
      </c>
      <c r="O2343" s="577">
        <f t="shared" si="610"/>
        <v>0</v>
      </c>
      <c r="P2343" s="578">
        <f t="shared" si="611"/>
        <v>0</v>
      </c>
      <c r="Q2343" s="765"/>
      <c r="R2343" s="723"/>
      <c r="S2343" s="723"/>
      <c r="T2343" s="577">
        <f t="shared" si="608"/>
        <v>0</v>
      </c>
      <c r="U2343" s="578">
        <f t="shared" si="609"/>
        <v>0</v>
      </c>
      <c r="V2343" s="579"/>
      <c r="W2343" s="566" t="str">
        <f>IF(U2342&gt;0,"xx",IF(P2342&gt;0,"xy",""))</f>
        <v/>
      </c>
      <c r="X2343" s="586" t="str">
        <f t="shared" si="601"/>
        <v/>
      </c>
      <c r="Y2343" s="586" t="str">
        <f t="shared" si="612"/>
        <v/>
      </c>
      <c r="Z2343" s="586" t="str">
        <f t="shared" si="602"/>
        <v/>
      </c>
    </row>
    <row r="2344" spans="1:26" ht="12" hidden="1" thickBot="1" x14ac:dyDescent="0.25">
      <c r="A2344" s="567" t="s">
        <v>168</v>
      </c>
      <c r="B2344" s="644" t="s">
        <v>168</v>
      </c>
      <c r="C2344" s="645"/>
      <c r="D2344" s="422" t="s">
        <v>248</v>
      </c>
      <c r="E2344" s="423"/>
      <c r="F2344" s="424">
        <v>180</v>
      </c>
      <c r="G2344" s="425">
        <f>VLOOKUP(D2342,'[2]ENSAIOS DE ORÇAMENTO'!$C$3:$L$79,5,FALSE)</f>
        <v>0.40193856</v>
      </c>
      <c r="H2344" s="663">
        <f t="shared" ref="H2344:H2346" si="620">IF(F2344&lt;=30,(1.07*F2344+2.68)*G2344,((1.07*30+2.68)+1.07*(F2344-30))*G2344)</f>
        <v>78.490561996799997</v>
      </c>
      <c r="I2344" s="420"/>
      <c r="J2344" s="420"/>
      <c r="K2344" s="421">
        <f t="shared" si="607"/>
        <v>0</v>
      </c>
      <c r="L2344" s="647"/>
      <c r="M2344" s="723"/>
      <c r="N2344" s="576">
        <f t="shared" si="616"/>
        <v>0</v>
      </c>
      <c r="O2344" s="577">
        <f t="shared" si="610"/>
        <v>0</v>
      </c>
      <c r="P2344" s="578">
        <f t="shared" si="611"/>
        <v>0</v>
      </c>
      <c r="Q2344" s="765"/>
      <c r="R2344" s="723"/>
      <c r="S2344" s="723"/>
      <c r="T2344" s="577">
        <f t="shared" si="608"/>
        <v>0</v>
      </c>
      <c r="U2344" s="578">
        <f t="shared" si="609"/>
        <v>0</v>
      </c>
      <c r="V2344" s="579"/>
      <c r="W2344" s="566" t="str">
        <f>IF(U2342&gt;0,"xx",IF(P2342&gt;0,"xy",""))</f>
        <v/>
      </c>
      <c r="X2344" s="586" t="str">
        <f t="shared" si="601"/>
        <v/>
      </c>
      <c r="Y2344" s="586" t="str">
        <f t="shared" si="612"/>
        <v/>
      </c>
      <c r="Z2344" s="586" t="str">
        <f t="shared" ref="Z2344:Z2407" si="621">IF(W2344="X","x",IF(U2344&gt;0,"x",""))</f>
        <v/>
      </c>
    </row>
    <row r="2345" spans="1:26" ht="12" hidden="1" thickBot="1" x14ac:dyDescent="0.25">
      <c r="A2345" s="567" t="s">
        <v>168</v>
      </c>
      <c r="B2345" s="644" t="s">
        <v>168</v>
      </c>
      <c r="C2345" s="645"/>
      <c r="D2345" s="422" t="s">
        <v>252</v>
      </c>
      <c r="E2345" s="423"/>
      <c r="F2345" s="424">
        <v>20</v>
      </c>
      <c r="G2345" s="425">
        <f>VLOOKUP(D2342,'[2]ENSAIOS DE ORÇAMENTO'!$C$3:$L$79,6,FALSE)</f>
        <v>0.47436960000000006</v>
      </c>
      <c r="H2345" s="663">
        <f t="shared" si="620"/>
        <v>11.422819968000002</v>
      </c>
      <c r="I2345" s="420"/>
      <c r="J2345" s="420"/>
      <c r="K2345" s="421">
        <f t="shared" si="607"/>
        <v>0</v>
      </c>
      <c r="L2345" s="647"/>
      <c r="M2345" s="723"/>
      <c r="N2345" s="576">
        <f t="shared" si="616"/>
        <v>0</v>
      </c>
      <c r="O2345" s="577">
        <f t="shared" si="610"/>
        <v>0</v>
      </c>
      <c r="P2345" s="578">
        <f t="shared" si="611"/>
        <v>0</v>
      </c>
      <c r="Q2345" s="765"/>
      <c r="R2345" s="723"/>
      <c r="S2345" s="723"/>
      <c r="T2345" s="577">
        <f t="shared" si="608"/>
        <v>0</v>
      </c>
      <c r="U2345" s="578">
        <f t="shared" si="609"/>
        <v>0</v>
      </c>
      <c r="V2345" s="579"/>
      <c r="W2345" s="566" t="str">
        <f>IF(U2342&gt;0,"xx",IF(P2342&gt;0,"xy",""))</f>
        <v/>
      </c>
      <c r="X2345" s="586" t="str">
        <f t="shared" si="601"/>
        <v/>
      </c>
      <c r="Y2345" s="586" t="str">
        <f t="shared" si="612"/>
        <v/>
      </c>
      <c r="Z2345" s="586" t="str">
        <f t="shared" si="621"/>
        <v/>
      </c>
    </row>
    <row r="2346" spans="1:26" ht="12" hidden="1" thickBot="1" x14ac:dyDescent="0.25">
      <c r="A2346" s="567" t="s">
        <v>168</v>
      </c>
      <c r="B2346" s="644" t="s">
        <v>168</v>
      </c>
      <c r="C2346" s="645"/>
      <c r="D2346" s="422" t="s">
        <v>400</v>
      </c>
      <c r="E2346" s="423"/>
      <c r="F2346" s="424">
        <v>30</v>
      </c>
      <c r="G2346" s="425">
        <f>VLOOKUP(D2342,'[2]ENSAIOS DE ORÇAMENTO'!$C$3:$L$79,3,FALSE)</f>
        <v>0</v>
      </c>
      <c r="H2346" s="663">
        <f t="shared" si="620"/>
        <v>0</v>
      </c>
      <c r="I2346" s="420"/>
      <c r="J2346" s="420"/>
      <c r="K2346" s="421">
        <f t="shared" si="607"/>
        <v>0</v>
      </c>
      <c r="L2346" s="647"/>
      <c r="M2346" s="723"/>
      <c r="N2346" s="576">
        <f t="shared" si="616"/>
        <v>0</v>
      </c>
      <c r="O2346" s="577">
        <f t="shared" si="610"/>
        <v>0</v>
      </c>
      <c r="P2346" s="578">
        <f t="shared" si="611"/>
        <v>0</v>
      </c>
      <c r="Q2346" s="765"/>
      <c r="R2346" s="723"/>
      <c r="S2346" s="723"/>
      <c r="T2346" s="577">
        <f t="shared" si="608"/>
        <v>0</v>
      </c>
      <c r="U2346" s="578">
        <f t="shared" si="609"/>
        <v>0</v>
      </c>
      <c r="V2346" s="579"/>
      <c r="W2346" s="566" t="str">
        <f>IF(U2342&gt;0,"xx",IF(P2342&gt;0,"xy",""))</f>
        <v/>
      </c>
      <c r="X2346" s="586" t="str">
        <f t="shared" si="601"/>
        <v/>
      </c>
      <c r="Y2346" s="586" t="str">
        <f t="shared" si="612"/>
        <v/>
      </c>
      <c r="Z2346" s="586" t="str">
        <f t="shared" si="621"/>
        <v/>
      </c>
    </row>
    <row r="2347" spans="1:26" ht="12" hidden="1" thickBot="1" x14ac:dyDescent="0.25">
      <c r="A2347" s="567" t="s">
        <v>168</v>
      </c>
      <c r="B2347" s="644" t="s">
        <v>168</v>
      </c>
      <c r="C2347" s="645"/>
      <c r="D2347" s="422" t="s">
        <v>401</v>
      </c>
      <c r="E2347" s="423"/>
      <c r="F2347" s="424">
        <v>500</v>
      </c>
      <c r="G2347" s="425">
        <f>VLOOKUP(D2342,'[2]ENSAIOS DE ORÇAMENTO'!$C$3:$L$79,10,FALSE)</f>
        <v>0</v>
      </c>
      <c r="H2347" s="649">
        <f>IF(F2347&lt;=30,(0.78*F2347+7.82)*G2347,((0.78*30+7.82)+0.78*(F2347-30))*G2347)</f>
        <v>0</v>
      </c>
      <c r="I2347" s="420"/>
      <c r="J2347" s="420"/>
      <c r="K2347" s="421">
        <f t="shared" si="607"/>
        <v>0</v>
      </c>
      <c r="L2347" s="647"/>
      <c r="M2347" s="723"/>
      <c r="N2347" s="576">
        <f t="shared" si="616"/>
        <v>0</v>
      </c>
      <c r="O2347" s="577">
        <f t="shared" si="610"/>
        <v>0</v>
      </c>
      <c r="P2347" s="578">
        <f t="shared" si="611"/>
        <v>0</v>
      </c>
      <c r="Q2347" s="765"/>
      <c r="R2347" s="723"/>
      <c r="S2347" s="723"/>
      <c r="T2347" s="577">
        <f t="shared" si="608"/>
        <v>0</v>
      </c>
      <c r="U2347" s="578">
        <f t="shared" si="609"/>
        <v>0</v>
      </c>
      <c r="V2347" s="579"/>
      <c r="W2347" s="566" t="str">
        <f>IF(U2342&gt;0,"xx",IF(P2342&gt;0,"xy",""))</f>
        <v/>
      </c>
      <c r="X2347" s="586" t="str">
        <f t="shared" ref="X2347:X2410" si="622">IF(W2347="X","x",IF(W2347="xx","x",IF(W2347="xy","x",IF(W2347="y","x",IF(OR(P2347&gt;0,U2347&gt;0),"x","")))))</f>
        <v/>
      </c>
      <c r="Y2347" s="586" t="str">
        <f t="shared" si="612"/>
        <v/>
      </c>
      <c r="Z2347" s="586" t="str">
        <f t="shared" si="621"/>
        <v/>
      </c>
    </row>
    <row r="2348" spans="1:26" ht="12" hidden="1" thickBot="1" x14ac:dyDescent="0.25">
      <c r="A2348" s="567" t="s">
        <v>127</v>
      </c>
      <c r="B2348" s="644" t="s">
        <v>127</v>
      </c>
      <c r="C2348" s="645" t="s">
        <v>206</v>
      </c>
      <c r="D2348" s="422" t="s">
        <v>411</v>
      </c>
      <c r="E2348" s="423"/>
      <c r="F2348" s="424"/>
      <c r="G2348" s="425"/>
      <c r="H2348" s="651">
        <f>SUM(H2349:H2353)</f>
        <v>216.58095652680004</v>
      </c>
      <c r="I2348" s="420">
        <f>VLOOKUP(D2348,'[2]ENSAIOS DE ORÇAMENTO'!$C$3:$L$79,8,FALSE)</f>
        <v>657.68880203333333</v>
      </c>
      <c r="J2348" s="420">
        <f>IF(ISBLANK(I2348),"",SUM(H2348:I2348))</f>
        <v>874.26975856013337</v>
      </c>
      <c r="K2348" s="421">
        <f t="shared" si="607"/>
        <v>1038.72</v>
      </c>
      <c r="L2348" s="647" t="s">
        <v>21</v>
      </c>
      <c r="M2348" s="576"/>
      <c r="N2348" s="576">
        <f t="shared" si="616"/>
        <v>0</v>
      </c>
      <c r="O2348" s="577">
        <f t="shared" si="610"/>
        <v>0</v>
      </c>
      <c r="P2348" s="578">
        <f t="shared" si="611"/>
        <v>0</v>
      </c>
      <c r="Q2348" s="765"/>
      <c r="R2348" s="576">
        <f>M2348</f>
        <v>0</v>
      </c>
      <c r="S2348" s="576">
        <f>N2348</f>
        <v>0</v>
      </c>
      <c r="T2348" s="577">
        <f t="shared" si="608"/>
        <v>0</v>
      </c>
      <c r="U2348" s="578">
        <f t="shared" si="609"/>
        <v>0</v>
      </c>
      <c r="V2348" s="579"/>
      <c r="W2348" s="566"/>
      <c r="X2348" s="586" t="str">
        <f t="shared" si="622"/>
        <v/>
      </c>
      <c r="Y2348" s="586" t="str">
        <f t="shared" si="612"/>
        <v/>
      </c>
      <c r="Z2348" s="586" t="str">
        <f t="shared" si="621"/>
        <v/>
      </c>
    </row>
    <row r="2349" spans="1:26" ht="12" hidden="1" thickBot="1" x14ac:dyDescent="0.25">
      <c r="A2349" s="567" t="s">
        <v>168</v>
      </c>
      <c r="B2349" s="644" t="s">
        <v>168</v>
      </c>
      <c r="C2349" s="645"/>
      <c r="D2349" s="422" t="s">
        <v>212</v>
      </c>
      <c r="E2349" s="423"/>
      <c r="F2349" s="424">
        <v>500</v>
      </c>
      <c r="G2349" s="425">
        <f>VLOOKUP(D2348,'[2]ENSAIOS DE ORÇAMENTO'!$C$3:$L$79,4,FALSE)</f>
        <v>0.20444730000000003</v>
      </c>
      <c r="H2349" s="649">
        <f>IF(F2349&lt;=30,(0.78*F2349+7.82)*G2349,((0.78*30+7.82)+0.78*(F2349-30))*G2349)</f>
        <v>81.333224886000025</v>
      </c>
      <c r="I2349" s="420"/>
      <c r="J2349" s="420"/>
      <c r="K2349" s="421">
        <f t="shared" si="607"/>
        <v>0</v>
      </c>
      <c r="L2349" s="647"/>
      <c r="M2349" s="723"/>
      <c r="N2349" s="576">
        <f t="shared" si="616"/>
        <v>0</v>
      </c>
      <c r="O2349" s="577">
        <f t="shared" si="610"/>
        <v>0</v>
      </c>
      <c r="P2349" s="578">
        <f t="shared" si="611"/>
        <v>0</v>
      </c>
      <c r="Q2349" s="765"/>
      <c r="R2349" s="723"/>
      <c r="S2349" s="723"/>
      <c r="T2349" s="577">
        <f t="shared" si="608"/>
        <v>0</v>
      </c>
      <c r="U2349" s="578">
        <f t="shared" si="609"/>
        <v>0</v>
      </c>
      <c r="V2349" s="579"/>
      <c r="W2349" s="566" t="str">
        <f>IF(U2348&gt;0,"xx",IF(P2348&gt;0,"xy",""))</f>
        <v/>
      </c>
      <c r="X2349" s="586" t="str">
        <f t="shared" si="622"/>
        <v/>
      </c>
      <c r="Y2349" s="586" t="str">
        <f t="shared" si="612"/>
        <v/>
      </c>
      <c r="Z2349" s="586" t="str">
        <f t="shared" si="621"/>
        <v/>
      </c>
    </row>
    <row r="2350" spans="1:26" ht="12" hidden="1" thickBot="1" x14ac:dyDescent="0.25">
      <c r="A2350" s="567" t="s">
        <v>168</v>
      </c>
      <c r="B2350" s="644" t="s">
        <v>168</v>
      </c>
      <c r="C2350" s="645"/>
      <c r="D2350" s="422" t="s">
        <v>248</v>
      </c>
      <c r="E2350" s="423"/>
      <c r="F2350" s="424">
        <v>180</v>
      </c>
      <c r="G2350" s="425">
        <f>VLOOKUP(D2348,'[2]ENSAIOS DE ORÇAMENTO'!$C$3:$L$79,5,FALSE)</f>
        <v>0.60405201000000008</v>
      </c>
      <c r="H2350" s="663">
        <f t="shared" ref="H2350:H2352" si="623">IF(F2350&lt;=30,(1.07*F2350+2.68)*G2350,((1.07*30+2.68)+1.07*(F2350-30))*G2350)</f>
        <v>117.95927651280002</v>
      </c>
      <c r="I2350" s="420"/>
      <c r="J2350" s="420"/>
      <c r="K2350" s="421">
        <f t="shared" si="607"/>
        <v>0</v>
      </c>
      <c r="L2350" s="647"/>
      <c r="M2350" s="723"/>
      <c r="N2350" s="576">
        <f t="shared" si="616"/>
        <v>0</v>
      </c>
      <c r="O2350" s="577">
        <f t="shared" si="610"/>
        <v>0</v>
      </c>
      <c r="P2350" s="578">
        <f t="shared" si="611"/>
        <v>0</v>
      </c>
      <c r="Q2350" s="765"/>
      <c r="R2350" s="723"/>
      <c r="S2350" s="723"/>
      <c r="T2350" s="577">
        <f t="shared" si="608"/>
        <v>0</v>
      </c>
      <c r="U2350" s="578">
        <f t="shared" si="609"/>
        <v>0</v>
      </c>
      <c r="V2350" s="579"/>
      <c r="W2350" s="566" t="str">
        <f>IF(U2348&gt;0,"xx",IF(P2348&gt;0,"xy",""))</f>
        <v/>
      </c>
      <c r="X2350" s="586" t="str">
        <f t="shared" si="622"/>
        <v/>
      </c>
      <c r="Y2350" s="586" t="str">
        <f t="shared" si="612"/>
        <v/>
      </c>
      <c r="Z2350" s="586" t="str">
        <f t="shared" si="621"/>
        <v/>
      </c>
    </row>
    <row r="2351" spans="1:26" ht="12" hidden="1" thickBot="1" x14ac:dyDescent="0.25">
      <c r="A2351" s="567" t="s">
        <v>168</v>
      </c>
      <c r="B2351" s="644" t="s">
        <v>168</v>
      </c>
      <c r="C2351" s="645"/>
      <c r="D2351" s="422" t="s">
        <v>252</v>
      </c>
      <c r="E2351" s="423"/>
      <c r="F2351" s="424">
        <v>20</v>
      </c>
      <c r="G2351" s="425">
        <f>VLOOKUP(D2348,'[2]ENSAIOS DE ORÇAMENTO'!$C$3:$L$79,6,FALSE)</f>
        <v>0.71795910000000007</v>
      </c>
      <c r="H2351" s="663">
        <f t="shared" si="623"/>
        <v>17.288455128000003</v>
      </c>
      <c r="I2351" s="420"/>
      <c r="J2351" s="420"/>
      <c r="K2351" s="421">
        <f t="shared" si="607"/>
        <v>0</v>
      </c>
      <c r="L2351" s="647"/>
      <c r="M2351" s="723"/>
      <c r="N2351" s="576">
        <f t="shared" si="616"/>
        <v>0</v>
      </c>
      <c r="O2351" s="577">
        <f t="shared" si="610"/>
        <v>0</v>
      </c>
      <c r="P2351" s="578">
        <f t="shared" si="611"/>
        <v>0</v>
      </c>
      <c r="Q2351" s="765"/>
      <c r="R2351" s="723"/>
      <c r="S2351" s="723"/>
      <c r="T2351" s="577">
        <f t="shared" si="608"/>
        <v>0</v>
      </c>
      <c r="U2351" s="578">
        <f t="shared" si="609"/>
        <v>0</v>
      </c>
      <c r="V2351" s="579"/>
      <c r="W2351" s="566" t="str">
        <f>IF(U2348&gt;0,"xx",IF(P2348&gt;0,"xy",""))</f>
        <v/>
      </c>
      <c r="X2351" s="586" t="str">
        <f t="shared" si="622"/>
        <v/>
      </c>
      <c r="Y2351" s="586" t="str">
        <f t="shared" si="612"/>
        <v/>
      </c>
      <c r="Z2351" s="586" t="str">
        <f t="shared" si="621"/>
        <v/>
      </c>
    </row>
    <row r="2352" spans="1:26" ht="12" hidden="1" thickBot="1" x14ac:dyDescent="0.25">
      <c r="A2352" s="567" t="s">
        <v>168</v>
      </c>
      <c r="B2352" s="644" t="s">
        <v>168</v>
      </c>
      <c r="C2352" s="645"/>
      <c r="D2352" s="422" t="s">
        <v>400</v>
      </c>
      <c r="E2352" s="423"/>
      <c r="F2352" s="424">
        <v>30</v>
      </c>
      <c r="G2352" s="425">
        <f>VLOOKUP(D2348,'[2]ENSAIOS DE ORÇAMENTO'!$C$3:$L$79,3,FALSE)</f>
        <v>0</v>
      </c>
      <c r="H2352" s="663">
        <f t="shared" si="623"/>
        <v>0</v>
      </c>
      <c r="I2352" s="420"/>
      <c r="J2352" s="420"/>
      <c r="K2352" s="421">
        <f t="shared" si="607"/>
        <v>0</v>
      </c>
      <c r="L2352" s="647"/>
      <c r="M2352" s="723"/>
      <c r="N2352" s="576">
        <f t="shared" si="616"/>
        <v>0</v>
      </c>
      <c r="O2352" s="577">
        <f t="shared" si="610"/>
        <v>0</v>
      </c>
      <c r="P2352" s="578">
        <f t="shared" si="611"/>
        <v>0</v>
      </c>
      <c r="Q2352" s="765"/>
      <c r="R2352" s="723"/>
      <c r="S2352" s="723"/>
      <c r="T2352" s="577">
        <f t="shared" si="608"/>
        <v>0</v>
      </c>
      <c r="U2352" s="578">
        <f t="shared" si="609"/>
        <v>0</v>
      </c>
      <c r="V2352" s="579"/>
      <c r="W2352" s="566" t="str">
        <f>IF(U2348&gt;0,"xx",IF(P2348&gt;0,"xy",""))</f>
        <v/>
      </c>
      <c r="X2352" s="586" t="str">
        <f t="shared" si="622"/>
        <v/>
      </c>
      <c r="Y2352" s="586" t="str">
        <f t="shared" si="612"/>
        <v/>
      </c>
      <c r="Z2352" s="586" t="str">
        <f t="shared" si="621"/>
        <v/>
      </c>
    </row>
    <row r="2353" spans="1:26" ht="12" hidden="1" thickBot="1" x14ac:dyDescent="0.25">
      <c r="A2353" s="567" t="s">
        <v>168</v>
      </c>
      <c r="B2353" s="644" t="s">
        <v>168</v>
      </c>
      <c r="C2353" s="645"/>
      <c r="D2353" s="422" t="s">
        <v>401</v>
      </c>
      <c r="E2353" s="423"/>
      <c r="F2353" s="424">
        <v>500</v>
      </c>
      <c r="G2353" s="425">
        <f>VLOOKUP(D2348,'[2]ENSAIOS DE ORÇAMENTO'!$C$3:$L$79,10,FALSE)</f>
        <v>0</v>
      </c>
      <c r="H2353" s="649">
        <f>IF(F2353&lt;=30,(0.78*F2353+7.82)*G2353,((0.78*30+7.82)+0.78*(F2353-30))*G2353)</f>
        <v>0</v>
      </c>
      <c r="I2353" s="420"/>
      <c r="J2353" s="420"/>
      <c r="K2353" s="421">
        <f t="shared" si="607"/>
        <v>0</v>
      </c>
      <c r="L2353" s="647"/>
      <c r="M2353" s="723"/>
      <c r="N2353" s="576">
        <f t="shared" si="616"/>
        <v>0</v>
      </c>
      <c r="O2353" s="577">
        <f t="shared" si="610"/>
        <v>0</v>
      </c>
      <c r="P2353" s="578">
        <f t="shared" si="611"/>
        <v>0</v>
      </c>
      <c r="Q2353" s="765"/>
      <c r="R2353" s="723"/>
      <c r="S2353" s="723"/>
      <c r="T2353" s="577">
        <f t="shared" si="608"/>
        <v>0</v>
      </c>
      <c r="U2353" s="578">
        <f t="shared" si="609"/>
        <v>0</v>
      </c>
      <c r="V2353" s="579"/>
      <c r="W2353" s="566" t="str">
        <f>IF(U2348&gt;0,"xx",IF(P2348&gt;0,"xy",""))</f>
        <v/>
      </c>
      <c r="X2353" s="586" t="str">
        <f t="shared" si="622"/>
        <v/>
      </c>
      <c r="Y2353" s="586" t="str">
        <f t="shared" si="612"/>
        <v/>
      </c>
      <c r="Z2353" s="586" t="str">
        <f t="shared" si="621"/>
        <v/>
      </c>
    </row>
    <row r="2354" spans="1:26" ht="12" hidden="1" thickBot="1" x14ac:dyDescent="0.25">
      <c r="A2354" s="567" t="s">
        <v>128</v>
      </c>
      <c r="B2354" s="644" t="s">
        <v>128</v>
      </c>
      <c r="C2354" s="645" t="s">
        <v>206</v>
      </c>
      <c r="D2354" s="422" t="s">
        <v>412</v>
      </c>
      <c r="E2354" s="423"/>
      <c r="F2354" s="424"/>
      <c r="G2354" s="425"/>
      <c r="H2354" s="651">
        <f>SUM(H2355:H2359)</f>
        <v>402.09418051819995</v>
      </c>
      <c r="I2354" s="420">
        <f>VLOOKUP(D2354,'[2]ENSAIOS DE ORÇAMENTO'!$C$3:$L$79,8,FALSE)</f>
        <v>1151.1882539166666</v>
      </c>
      <c r="J2354" s="420">
        <f>IF(ISBLANK(I2354),"",SUM(H2354:I2354))</f>
        <v>1553.2824344348664</v>
      </c>
      <c r="K2354" s="421">
        <f t="shared" si="607"/>
        <v>1845.45</v>
      </c>
      <c r="L2354" s="647" t="s">
        <v>21</v>
      </c>
      <c r="M2354" s="576"/>
      <c r="N2354" s="576">
        <f t="shared" si="616"/>
        <v>0</v>
      </c>
      <c r="O2354" s="577">
        <f t="shared" si="610"/>
        <v>0</v>
      </c>
      <c r="P2354" s="578">
        <f t="shared" si="611"/>
        <v>0</v>
      </c>
      <c r="Q2354" s="765"/>
      <c r="R2354" s="576">
        <f>M2354</f>
        <v>0</v>
      </c>
      <c r="S2354" s="576">
        <f>N2354</f>
        <v>0</v>
      </c>
      <c r="T2354" s="577">
        <f t="shared" si="608"/>
        <v>0</v>
      </c>
      <c r="U2354" s="578">
        <f t="shared" si="609"/>
        <v>0</v>
      </c>
      <c r="V2354" s="579"/>
      <c r="W2354" s="566"/>
      <c r="X2354" s="586" t="str">
        <f t="shared" si="622"/>
        <v/>
      </c>
      <c r="Y2354" s="586" t="str">
        <f t="shared" si="612"/>
        <v/>
      </c>
      <c r="Z2354" s="586" t="str">
        <f t="shared" si="621"/>
        <v/>
      </c>
    </row>
    <row r="2355" spans="1:26" ht="12" hidden="1" thickBot="1" x14ac:dyDescent="0.25">
      <c r="A2355" s="567" t="s">
        <v>168</v>
      </c>
      <c r="B2355" s="644" t="s">
        <v>168</v>
      </c>
      <c r="C2355" s="645"/>
      <c r="D2355" s="422" t="s">
        <v>212</v>
      </c>
      <c r="E2355" s="423"/>
      <c r="F2355" s="424">
        <v>500</v>
      </c>
      <c r="G2355" s="425">
        <f>VLOOKUP(D2354,'[2]ENSAIOS DE ORÇAMENTO'!$C$3:$L$79,4,FALSE)</f>
        <v>0.38327894999999995</v>
      </c>
      <c r="H2355" s="649">
        <f>IF(F2355&lt;=30,(0.78*F2355+7.82)*G2355,((0.78*30+7.82)+0.78*(F2355-30))*G2355)</f>
        <v>152.47603188900001</v>
      </c>
      <c r="I2355" s="420"/>
      <c r="J2355" s="420"/>
      <c r="K2355" s="421">
        <f t="shared" si="607"/>
        <v>0</v>
      </c>
      <c r="L2355" s="647"/>
      <c r="M2355" s="723"/>
      <c r="N2355" s="576">
        <f t="shared" si="616"/>
        <v>0</v>
      </c>
      <c r="O2355" s="577">
        <f t="shared" si="610"/>
        <v>0</v>
      </c>
      <c r="P2355" s="578">
        <f t="shared" si="611"/>
        <v>0</v>
      </c>
      <c r="Q2355" s="765"/>
      <c r="R2355" s="723"/>
      <c r="S2355" s="723"/>
      <c r="T2355" s="577">
        <f t="shared" si="608"/>
        <v>0</v>
      </c>
      <c r="U2355" s="578">
        <f t="shared" si="609"/>
        <v>0</v>
      </c>
      <c r="V2355" s="579"/>
      <c r="W2355" s="566" t="str">
        <f>IF(U2354&gt;0,"xx",IF(P2354&gt;0,"xy",""))</f>
        <v/>
      </c>
      <c r="X2355" s="586" t="str">
        <f t="shared" si="622"/>
        <v/>
      </c>
      <c r="Y2355" s="586" t="str">
        <f t="shared" si="612"/>
        <v/>
      </c>
      <c r="Z2355" s="586" t="str">
        <f t="shared" si="621"/>
        <v/>
      </c>
    </row>
    <row r="2356" spans="1:26" ht="12" hidden="1" thickBot="1" x14ac:dyDescent="0.25">
      <c r="A2356" s="567" t="s">
        <v>168</v>
      </c>
      <c r="B2356" s="644" t="s">
        <v>168</v>
      </c>
      <c r="C2356" s="645"/>
      <c r="D2356" s="422" t="s">
        <v>248</v>
      </c>
      <c r="E2356" s="423"/>
      <c r="F2356" s="424">
        <v>180</v>
      </c>
      <c r="G2356" s="425">
        <f>VLOOKUP(D2354,'[2]ENSAIOS DE ORÇAMENTO'!$C$3:$L$79,5,FALSE)</f>
        <v>1.1143076149999998</v>
      </c>
      <c r="H2356" s="663">
        <f t="shared" ref="H2356:H2358" si="624">IF(F2356&lt;=30,(1.07*F2356+2.68)*G2356,((1.07*30+2.68)+1.07*(F2356-30))*G2356)</f>
        <v>217.60199105719994</v>
      </c>
      <c r="I2356" s="420"/>
      <c r="J2356" s="420"/>
      <c r="K2356" s="421">
        <f t="shared" si="607"/>
        <v>0</v>
      </c>
      <c r="L2356" s="647"/>
      <c r="M2356" s="723"/>
      <c r="N2356" s="576">
        <f t="shared" si="616"/>
        <v>0</v>
      </c>
      <c r="O2356" s="577">
        <f t="shared" si="610"/>
        <v>0</v>
      </c>
      <c r="P2356" s="578">
        <f t="shared" si="611"/>
        <v>0</v>
      </c>
      <c r="Q2356" s="765"/>
      <c r="R2356" s="723"/>
      <c r="S2356" s="723"/>
      <c r="T2356" s="577">
        <f t="shared" si="608"/>
        <v>0</v>
      </c>
      <c r="U2356" s="578">
        <f t="shared" si="609"/>
        <v>0</v>
      </c>
      <c r="V2356" s="579"/>
      <c r="W2356" s="566" t="str">
        <f>IF(U2354&gt;0,"xx",IF(P2354&gt;0,"xy",""))</f>
        <v/>
      </c>
      <c r="X2356" s="586" t="str">
        <f t="shared" si="622"/>
        <v/>
      </c>
      <c r="Y2356" s="586" t="str">
        <f t="shared" si="612"/>
        <v/>
      </c>
      <c r="Z2356" s="586" t="str">
        <f t="shared" si="621"/>
        <v/>
      </c>
    </row>
    <row r="2357" spans="1:26" ht="12" hidden="1" thickBot="1" x14ac:dyDescent="0.25">
      <c r="A2357" s="567" t="s">
        <v>168</v>
      </c>
      <c r="B2357" s="644" t="s">
        <v>168</v>
      </c>
      <c r="C2357" s="645"/>
      <c r="D2357" s="422" t="s">
        <v>252</v>
      </c>
      <c r="E2357" s="423"/>
      <c r="F2357" s="424">
        <v>20</v>
      </c>
      <c r="G2357" s="425">
        <f>VLOOKUP(D2354,'[2]ENSAIOS DE ORÇAMENTO'!$C$3:$L$79,6,FALSE)</f>
        <v>1.3295746499999999</v>
      </c>
      <c r="H2357" s="663">
        <f t="shared" si="624"/>
        <v>32.016157571999997</v>
      </c>
      <c r="I2357" s="420"/>
      <c r="J2357" s="420"/>
      <c r="K2357" s="421">
        <f t="shared" si="607"/>
        <v>0</v>
      </c>
      <c r="L2357" s="647"/>
      <c r="M2357" s="723"/>
      <c r="N2357" s="576">
        <f t="shared" si="616"/>
        <v>0</v>
      </c>
      <c r="O2357" s="577">
        <f t="shared" si="610"/>
        <v>0</v>
      </c>
      <c r="P2357" s="578">
        <f t="shared" si="611"/>
        <v>0</v>
      </c>
      <c r="Q2357" s="765"/>
      <c r="R2357" s="723"/>
      <c r="S2357" s="723"/>
      <c r="T2357" s="577">
        <f t="shared" si="608"/>
        <v>0</v>
      </c>
      <c r="U2357" s="578">
        <f t="shared" si="609"/>
        <v>0</v>
      </c>
      <c r="V2357" s="579"/>
      <c r="W2357" s="566" t="str">
        <f>IF(U2354&gt;0,"xx",IF(P2354&gt;0,"xy",""))</f>
        <v/>
      </c>
      <c r="X2357" s="586" t="str">
        <f t="shared" si="622"/>
        <v/>
      </c>
      <c r="Y2357" s="586" t="str">
        <f t="shared" si="612"/>
        <v/>
      </c>
      <c r="Z2357" s="586" t="str">
        <f t="shared" si="621"/>
        <v/>
      </c>
    </row>
    <row r="2358" spans="1:26" ht="12" hidden="1" thickBot="1" x14ac:dyDescent="0.25">
      <c r="A2358" s="567" t="s">
        <v>168</v>
      </c>
      <c r="B2358" s="644" t="s">
        <v>168</v>
      </c>
      <c r="C2358" s="645"/>
      <c r="D2358" s="422" t="s">
        <v>400</v>
      </c>
      <c r="E2358" s="423"/>
      <c r="F2358" s="424">
        <v>30</v>
      </c>
      <c r="G2358" s="425">
        <f>VLOOKUP(D2354,'[2]ENSAIOS DE ORÇAMENTO'!$C$3:$L$79,3,FALSE)</f>
        <v>0</v>
      </c>
      <c r="H2358" s="663">
        <f t="shared" si="624"/>
        <v>0</v>
      </c>
      <c r="I2358" s="420"/>
      <c r="J2358" s="420"/>
      <c r="K2358" s="421">
        <f t="shared" si="607"/>
        <v>0</v>
      </c>
      <c r="L2358" s="647"/>
      <c r="M2358" s="723"/>
      <c r="N2358" s="576">
        <f t="shared" si="616"/>
        <v>0</v>
      </c>
      <c r="O2358" s="577">
        <f t="shared" si="610"/>
        <v>0</v>
      </c>
      <c r="P2358" s="578">
        <f t="shared" si="611"/>
        <v>0</v>
      </c>
      <c r="Q2358" s="765"/>
      <c r="R2358" s="723"/>
      <c r="S2358" s="723"/>
      <c r="T2358" s="577">
        <f t="shared" si="608"/>
        <v>0</v>
      </c>
      <c r="U2358" s="578">
        <f t="shared" si="609"/>
        <v>0</v>
      </c>
      <c r="V2358" s="579"/>
      <c r="W2358" s="566" t="str">
        <f>IF(U2354&gt;0,"xx",IF(P2354&gt;0,"xy",""))</f>
        <v/>
      </c>
      <c r="X2358" s="586" t="str">
        <f t="shared" si="622"/>
        <v/>
      </c>
      <c r="Y2358" s="586" t="str">
        <f t="shared" si="612"/>
        <v/>
      </c>
      <c r="Z2358" s="586" t="str">
        <f t="shared" si="621"/>
        <v/>
      </c>
    </row>
    <row r="2359" spans="1:26" ht="12" hidden="1" thickBot="1" x14ac:dyDescent="0.25">
      <c r="A2359" s="567" t="s">
        <v>168</v>
      </c>
      <c r="B2359" s="644" t="s">
        <v>168</v>
      </c>
      <c r="C2359" s="645"/>
      <c r="D2359" s="422" t="s">
        <v>401</v>
      </c>
      <c r="E2359" s="423"/>
      <c r="F2359" s="424">
        <v>500</v>
      </c>
      <c r="G2359" s="425">
        <f>VLOOKUP(D2354,'[2]ENSAIOS DE ORÇAMENTO'!$C$3:$L$79,10,FALSE)</f>
        <v>0</v>
      </c>
      <c r="H2359" s="649">
        <f>IF(F2359&lt;=30,(0.78*F2359+7.82)*G2359,((0.78*30+7.82)+0.78*(F2359-30))*G2359)</f>
        <v>0</v>
      </c>
      <c r="I2359" s="420"/>
      <c r="J2359" s="420"/>
      <c r="K2359" s="421">
        <f t="shared" si="607"/>
        <v>0</v>
      </c>
      <c r="L2359" s="647"/>
      <c r="M2359" s="723"/>
      <c r="N2359" s="576">
        <f t="shared" si="616"/>
        <v>0</v>
      </c>
      <c r="O2359" s="577">
        <f t="shared" si="610"/>
        <v>0</v>
      </c>
      <c r="P2359" s="578">
        <f t="shared" si="611"/>
        <v>0</v>
      </c>
      <c r="Q2359" s="765"/>
      <c r="R2359" s="723"/>
      <c r="S2359" s="723"/>
      <c r="T2359" s="577">
        <f t="shared" si="608"/>
        <v>0</v>
      </c>
      <c r="U2359" s="578">
        <f t="shared" si="609"/>
        <v>0</v>
      </c>
      <c r="V2359" s="579"/>
      <c r="W2359" s="566" t="str">
        <f>IF(U2354&gt;0,"xx",IF(P2354&gt;0,"xy",""))</f>
        <v/>
      </c>
      <c r="X2359" s="586" t="str">
        <f t="shared" si="622"/>
        <v/>
      </c>
      <c r="Y2359" s="586" t="str">
        <f t="shared" si="612"/>
        <v/>
      </c>
      <c r="Z2359" s="586" t="str">
        <f t="shared" si="621"/>
        <v/>
      </c>
    </row>
    <row r="2360" spans="1:26" ht="12" hidden="1" thickBot="1" x14ac:dyDescent="0.25">
      <c r="A2360" s="567" t="s">
        <v>129</v>
      </c>
      <c r="B2360" s="644" t="s">
        <v>129</v>
      </c>
      <c r="C2360" s="645" t="s">
        <v>206</v>
      </c>
      <c r="D2360" s="422" t="s">
        <v>413</v>
      </c>
      <c r="E2360" s="423"/>
      <c r="F2360" s="424"/>
      <c r="G2360" s="425"/>
      <c r="H2360" s="651">
        <f>SUM(H2361:H2365)</f>
        <v>590.83642489520014</v>
      </c>
      <c r="I2360" s="420">
        <f>VLOOKUP(D2360,'[2]ENSAIOS DE ORÇAMENTO'!$C$3:$L$79,8,FALSE)</f>
        <v>1584.5382719333334</v>
      </c>
      <c r="J2360" s="420">
        <f>IF(ISBLANK(I2360),"",SUM(H2360:I2360))</f>
        <v>2175.3746968285336</v>
      </c>
      <c r="K2360" s="421">
        <f t="shared" si="607"/>
        <v>2584.56</v>
      </c>
      <c r="L2360" s="647" t="s">
        <v>21</v>
      </c>
      <c r="M2360" s="576"/>
      <c r="N2360" s="576">
        <f t="shared" si="616"/>
        <v>0</v>
      </c>
      <c r="O2360" s="577">
        <f t="shared" si="610"/>
        <v>0</v>
      </c>
      <c r="P2360" s="578">
        <f t="shared" si="611"/>
        <v>0</v>
      </c>
      <c r="Q2360" s="765"/>
      <c r="R2360" s="576">
        <f>M2360</f>
        <v>0</v>
      </c>
      <c r="S2360" s="576">
        <f>N2360</f>
        <v>0</v>
      </c>
      <c r="T2360" s="577">
        <f t="shared" si="608"/>
        <v>0</v>
      </c>
      <c r="U2360" s="578">
        <f t="shared" si="609"/>
        <v>0</v>
      </c>
      <c r="V2360" s="579"/>
      <c r="W2360" s="566"/>
      <c r="X2360" s="586" t="str">
        <f t="shared" si="622"/>
        <v/>
      </c>
      <c r="Y2360" s="586" t="str">
        <f t="shared" si="612"/>
        <v/>
      </c>
      <c r="Z2360" s="586" t="str">
        <f t="shared" si="621"/>
        <v/>
      </c>
    </row>
    <row r="2361" spans="1:26" ht="12" hidden="1" thickBot="1" x14ac:dyDescent="0.25">
      <c r="A2361" s="567" t="s">
        <v>168</v>
      </c>
      <c r="B2361" s="644" t="s">
        <v>168</v>
      </c>
      <c r="C2361" s="645"/>
      <c r="D2361" s="422" t="s">
        <v>212</v>
      </c>
      <c r="E2361" s="423"/>
      <c r="F2361" s="424">
        <v>500</v>
      </c>
      <c r="G2361" s="425">
        <f>VLOOKUP(D2360,'[2]ENSAIOS DE ORÇAMENTO'!$C$3:$L$79,4,FALSE)</f>
        <v>0.56408220000000009</v>
      </c>
      <c r="H2361" s="649">
        <f>IF(F2361&lt;=30,(0.78*F2361+7.82)*G2361,((0.78*30+7.82)+0.78*(F2361-30))*G2361)</f>
        <v>224.40318080400007</v>
      </c>
      <c r="I2361" s="420"/>
      <c r="J2361" s="420"/>
      <c r="K2361" s="421">
        <f t="shared" si="607"/>
        <v>0</v>
      </c>
      <c r="L2361" s="647"/>
      <c r="M2361" s="723"/>
      <c r="N2361" s="576">
        <f t="shared" si="616"/>
        <v>0</v>
      </c>
      <c r="O2361" s="577">
        <f t="shared" si="610"/>
        <v>0</v>
      </c>
      <c r="P2361" s="578">
        <f t="shared" si="611"/>
        <v>0</v>
      </c>
      <c r="Q2361" s="765"/>
      <c r="R2361" s="723"/>
      <c r="S2361" s="723"/>
      <c r="T2361" s="577">
        <f t="shared" si="608"/>
        <v>0</v>
      </c>
      <c r="U2361" s="578">
        <f t="shared" si="609"/>
        <v>0</v>
      </c>
      <c r="V2361" s="579"/>
      <c r="W2361" s="566" t="str">
        <f>IF(U2360&gt;0,"xx",IF(P2360&gt;0,"xy",""))</f>
        <v/>
      </c>
      <c r="X2361" s="586" t="str">
        <f t="shared" si="622"/>
        <v/>
      </c>
      <c r="Y2361" s="586" t="str">
        <f t="shared" si="612"/>
        <v/>
      </c>
      <c r="Z2361" s="586" t="str">
        <f t="shared" si="621"/>
        <v/>
      </c>
    </row>
    <row r="2362" spans="1:26" ht="12" hidden="1" thickBot="1" x14ac:dyDescent="0.25">
      <c r="A2362" s="567" t="s">
        <v>168</v>
      </c>
      <c r="B2362" s="644" t="s">
        <v>168</v>
      </c>
      <c r="C2362" s="645"/>
      <c r="D2362" s="422" t="s">
        <v>248</v>
      </c>
      <c r="E2362" s="423"/>
      <c r="F2362" s="424">
        <v>180</v>
      </c>
      <c r="G2362" s="425">
        <f>VLOOKUP(D2360,'[2]ENSAIOS DE ORÇAMENTO'!$C$3:$L$79,5,FALSE)</f>
        <v>1.6356421400000001</v>
      </c>
      <c r="H2362" s="663">
        <f t="shared" ref="H2362:H2364" si="625">IF(F2362&lt;=30,(1.07*F2362+2.68)*G2362,((1.07*30+2.68)+1.07*(F2362-30))*G2362)</f>
        <v>319.40819709920004</v>
      </c>
      <c r="I2362" s="420"/>
      <c r="J2362" s="420"/>
      <c r="K2362" s="421">
        <f t="shared" si="607"/>
        <v>0</v>
      </c>
      <c r="L2362" s="647"/>
      <c r="M2362" s="723"/>
      <c r="N2362" s="576">
        <f t="shared" si="616"/>
        <v>0</v>
      </c>
      <c r="O2362" s="577">
        <f t="shared" si="610"/>
        <v>0</v>
      </c>
      <c r="P2362" s="578">
        <f t="shared" si="611"/>
        <v>0</v>
      </c>
      <c r="Q2362" s="765"/>
      <c r="R2362" s="723"/>
      <c r="S2362" s="723"/>
      <c r="T2362" s="577">
        <f t="shared" si="608"/>
        <v>0</v>
      </c>
      <c r="U2362" s="578">
        <f t="shared" si="609"/>
        <v>0</v>
      </c>
      <c r="V2362" s="579"/>
      <c r="W2362" s="566" t="str">
        <f>IF(U2360&gt;0,"xx",IF(P2360&gt;0,"xy",""))</f>
        <v/>
      </c>
      <c r="X2362" s="586" t="str">
        <f t="shared" si="622"/>
        <v/>
      </c>
      <c r="Y2362" s="586" t="str">
        <f t="shared" si="612"/>
        <v/>
      </c>
      <c r="Z2362" s="586" t="str">
        <f t="shared" si="621"/>
        <v/>
      </c>
    </row>
    <row r="2363" spans="1:26" ht="12" hidden="1" thickBot="1" x14ac:dyDescent="0.25">
      <c r="A2363" s="567" t="s">
        <v>168</v>
      </c>
      <c r="B2363" s="644" t="s">
        <v>168</v>
      </c>
      <c r="C2363" s="645"/>
      <c r="D2363" s="422" t="s">
        <v>252</v>
      </c>
      <c r="E2363" s="423"/>
      <c r="F2363" s="424">
        <v>20</v>
      </c>
      <c r="G2363" s="425">
        <f>VLOOKUP(D2360,'[2]ENSAIOS DE ORÇAMENTO'!$C$3:$L$79,6,FALSE)</f>
        <v>1.9528674000000004</v>
      </c>
      <c r="H2363" s="663">
        <f t="shared" si="625"/>
        <v>47.025046992000014</v>
      </c>
      <c r="I2363" s="420"/>
      <c r="J2363" s="420"/>
      <c r="K2363" s="421">
        <f t="shared" si="607"/>
        <v>0</v>
      </c>
      <c r="L2363" s="647"/>
      <c r="M2363" s="723"/>
      <c r="N2363" s="576">
        <f t="shared" si="616"/>
        <v>0</v>
      </c>
      <c r="O2363" s="577">
        <f t="shared" si="610"/>
        <v>0</v>
      </c>
      <c r="P2363" s="578">
        <f t="shared" si="611"/>
        <v>0</v>
      </c>
      <c r="Q2363" s="765"/>
      <c r="R2363" s="723"/>
      <c r="S2363" s="723"/>
      <c r="T2363" s="577">
        <f t="shared" si="608"/>
        <v>0</v>
      </c>
      <c r="U2363" s="578">
        <f t="shared" si="609"/>
        <v>0</v>
      </c>
      <c r="V2363" s="579"/>
      <c r="W2363" s="566" t="str">
        <f>IF(U2360&gt;0,"xx",IF(P2360&gt;0,"xy",""))</f>
        <v/>
      </c>
      <c r="X2363" s="586" t="str">
        <f t="shared" si="622"/>
        <v/>
      </c>
      <c r="Y2363" s="586" t="str">
        <f t="shared" si="612"/>
        <v/>
      </c>
      <c r="Z2363" s="586" t="str">
        <f t="shared" si="621"/>
        <v/>
      </c>
    </row>
    <row r="2364" spans="1:26" ht="12" hidden="1" thickBot="1" x14ac:dyDescent="0.25">
      <c r="A2364" s="567" t="s">
        <v>168</v>
      </c>
      <c r="B2364" s="644" t="s">
        <v>168</v>
      </c>
      <c r="C2364" s="645"/>
      <c r="D2364" s="422" t="s">
        <v>400</v>
      </c>
      <c r="E2364" s="423"/>
      <c r="F2364" s="424">
        <v>30</v>
      </c>
      <c r="G2364" s="425">
        <f>VLOOKUP(D2360,'[2]ENSAIOS DE ORÇAMENTO'!$C$3:$L$79,3,FALSE)</f>
        <v>0</v>
      </c>
      <c r="H2364" s="663">
        <f t="shared" si="625"/>
        <v>0</v>
      </c>
      <c r="I2364" s="420"/>
      <c r="J2364" s="420"/>
      <c r="K2364" s="421">
        <f t="shared" si="607"/>
        <v>0</v>
      </c>
      <c r="L2364" s="647"/>
      <c r="M2364" s="723"/>
      <c r="N2364" s="576">
        <f t="shared" si="616"/>
        <v>0</v>
      </c>
      <c r="O2364" s="577">
        <f t="shared" si="610"/>
        <v>0</v>
      </c>
      <c r="P2364" s="578">
        <f t="shared" si="611"/>
        <v>0</v>
      </c>
      <c r="Q2364" s="765"/>
      <c r="R2364" s="723"/>
      <c r="S2364" s="723"/>
      <c r="T2364" s="577">
        <f t="shared" si="608"/>
        <v>0</v>
      </c>
      <c r="U2364" s="578">
        <f t="shared" si="609"/>
        <v>0</v>
      </c>
      <c r="V2364" s="579"/>
      <c r="W2364" s="566" t="str">
        <f>IF(U2360&gt;0,"xx",IF(P2360&gt;0,"xy",""))</f>
        <v/>
      </c>
      <c r="X2364" s="586" t="str">
        <f t="shared" si="622"/>
        <v/>
      </c>
      <c r="Y2364" s="586" t="str">
        <f t="shared" si="612"/>
        <v/>
      </c>
      <c r="Z2364" s="586" t="str">
        <f t="shared" si="621"/>
        <v/>
      </c>
    </row>
    <row r="2365" spans="1:26" ht="12" hidden="1" thickBot="1" x14ac:dyDescent="0.25">
      <c r="A2365" s="567" t="s">
        <v>168</v>
      </c>
      <c r="B2365" s="644" t="s">
        <v>168</v>
      </c>
      <c r="C2365" s="645"/>
      <c r="D2365" s="422" t="s">
        <v>401</v>
      </c>
      <c r="E2365" s="423"/>
      <c r="F2365" s="424">
        <v>500</v>
      </c>
      <c r="G2365" s="425">
        <f>VLOOKUP(D2360,'[2]ENSAIOS DE ORÇAMENTO'!$C$3:$L$79,10,FALSE)</f>
        <v>0</v>
      </c>
      <c r="H2365" s="649">
        <f>IF(F2365&lt;=30,(0.78*F2365+7.82)*G2365,((0.78*30+7.82)+0.78*(F2365-30))*G2365)</f>
        <v>0</v>
      </c>
      <c r="I2365" s="420"/>
      <c r="J2365" s="420"/>
      <c r="K2365" s="421">
        <f t="shared" si="607"/>
        <v>0</v>
      </c>
      <c r="L2365" s="647"/>
      <c r="M2365" s="723"/>
      <c r="N2365" s="576">
        <f t="shared" si="616"/>
        <v>0</v>
      </c>
      <c r="O2365" s="577">
        <f t="shared" si="610"/>
        <v>0</v>
      </c>
      <c r="P2365" s="578">
        <f t="shared" si="611"/>
        <v>0</v>
      </c>
      <c r="Q2365" s="765"/>
      <c r="R2365" s="723"/>
      <c r="S2365" s="723"/>
      <c r="T2365" s="577">
        <f t="shared" si="608"/>
        <v>0</v>
      </c>
      <c r="U2365" s="578">
        <f t="shared" si="609"/>
        <v>0</v>
      </c>
      <c r="V2365" s="579"/>
      <c r="W2365" s="566" t="str">
        <f>IF(U2360&gt;0,"xx",IF(P2360&gt;0,"xy",""))</f>
        <v/>
      </c>
      <c r="X2365" s="586" t="str">
        <f t="shared" si="622"/>
        <v/>
      </c>
      <c r="Y2365" s="586" t="str">
        <f t="shared" si="612"/>
        <v/>
      </c>
      <c r="Z2365" s="586" t="str">
        <f t="shared" si="621"/>
        <v/>
      </c>
    </row>
    <row r="2366" spans="1:26" ht="12" hidden="1" thickBot="1" x14ac:dyDescent="0.25">
      <c r="A2366" s="567" t="s">
        <v>130</v>
      </c>
      <c r="B2366" s="644" t="s">
        <v>130</v>
      </c>
      <c r="C2366" s="645" t="s">
        <v>206</v>
      </c>
      <c r="D2366" s="422" t="s">
        <v>414</v>
      </c>
      <c r="E2366" s="423"/>
      <c r="F2366" s="424"/>
      <c r="G2366" s="425"/>
      <c r="H2366" s="651">
        <f>SUM(H2367:H2371)</f>
        <v>817.23322366720015</v>
      </c>
      <c r="I2366" s="420">
        <f>VLOOKUP(D2366,'[2]ENSAIOS DE ORÇAMENTO'!$C$3:$L$79,8,FALSE)</f>
        <v>2167.3900512</v>
      </c>
      <c r="J2366" s="420">
        <f>IF(ISBLANK(I2366),"",SUM(H2366:I2366))</f>
        <v>2984.6232748672001</v>
      </c>
      <c r="K2366" s="421">
        <f t="shared" si="607"/>
        <v>3546.03</v>
      </c>
      <c r="L2366" s="647" t="s">
        <v>21</v>
      </c>
      <c r="M2366" s="576"/>
      <c r="N2366" s="576">
        <f t="shared" si="616"/>
        <v>0</v>
      </c>
      <c r="O2366" s="577">
        <f t="shared" si="610"/>
        <v>0</v>
      </c>
      <c r="P2366" s="578">
        <f t="shared" si="611"/>
        <v>0</v>
      </c>
      <c r="Q2366" s="765"/>
      <c r="R2366" s="576">
        <f>M2366</f>
        <v>0</v>
      </c>
      <c r="S2366" s="576">
        <f>N2366</f>
        <v>0</v>
      </c>
      <c r="T2366" s="577">
        <f t="shared" si="608"/>
        <v>0</v>
      </c>
      <c r="U2366" s="578">
        <f t="shared" si="609"/>
        <v>0</v>
      </c>
      <c r="V2366" s="579"/>
      <c r="W2366" s="566"/>
      <c r="X2366" s="586" t="str">
        <f t="shared" si="622"/>
        <v/>
      </c>
      <c r="Y2366" s="586" t="str">
        <f t="shared" si="612"/>
        <v/>
      </c>
      <c r="Z2366" s="586" t="str">
        <f t="shared" si="621"/>
        <v/>
      </c>
    </row>
    <row r="2367" spans="1:26" ht="12" hidden="1" thickBot="1" x14ac:dyDescent="0.25">
      <c r="A2367" s="567" t="s">
        <v>168</v>
      </c>
      <c r="B2367" s="644" t="s">
        <v>168</v>
      </c>
      <c r="C2367" s="645"/>
      <c r="D2367" s="422" t="s">
        <v>212</v>
      </c>
      <c r="E2367" s="423"/>
      <c r="F2367" s="424">
        <v>500</v>
      </c>
      <c r="G2367" s="425">
        <f>VLOOKUP(D2366,'[2]ENSAIOS DE ORÇAMENTO'!$C$3:$L$79,4,FALSE)</f>
        <v>0.77929919999999997</v>
      </c>
      <c r="H2367" s="649">
        <f>IF(F2367&lt;=30,(0.78*F2367+7.82)*G2367,((0.78*30+7.82)+0.78*(F2367-30))*G2367)</f>
        <v>310.02080774400002</v>
      </c>
      <c r="I2367" s="420"/>
      <c r="J2367" s="420"/>
      <c r="K2367" s="421">
        <f t="shared" si="607"/>
        <v>0</v>
      </c>
      <c r="L2367" s="647"/>
      <c r="M2367" s="723"/>
      <c r="N2367" s="576">
        <f t="shared" si="616"/>
        <v>0</v>
      </c>
      <c r="O2367" s="577">
        <f t="shared" si="610"/>
        <v>0</v>
      </c>
      <c r="P2367" s="578">
        <f t="shared" si="611"/>
        <v>0</v>
      </c>
      <c r="Q2367" s="765"/>
      <c r="R2367" s="723"/>
      <c r="S2367" s="723"/>
      <c r="T2367" s="577">
        <f t="shared" si="608"/>
        <v>0</v>
      </c>
      <c r="U2367" s="578">
        <f t="shared" si="609"/>
        <v>0</v>
      </c>
      <c r="V2367" s="579"/>
      <c r="W2367" s="566" t="str">
        <f>IF(U2366&gt;0,"xx",IF(P2366&gt;0,"xy",""))</f>
        <v/>
      </c>
      <c r="X2367" s="586" t="str">
        <f t="shared" si="622"/>
        <v/>
      </c>
      <c r="Y2367" s="586" t="str">
        <f t="shared" si="612"/>
        <v/>
      </c>
      <c r="Z2367" s="586" t="str">
        <f t="shared" si="621"/>
        <v/>
      </c>
    </row>
    <row r="2368" spans="1:26" ht="12" hidden="1" thickBot="1" x14ac:dyDescent="0.25">
      <c r="A2368" s="567" t="s">
        <v>168</v>
      </c>
      <c r="B2368" s="644" t="s">
        <v>168</v>
      </c>
      <c r="C2368" s="645"/>
      <c r="D2368" s="422" t="s">
        <v>248</v>
      </c>
      <c r="E2368" s="423"/>
      <c r="F2368" s="424">
        <v>180</v>
      </c>
      <c r="G2368" s="425">
        <f>VLOOKUP(D2366,'[2]ENSAIOS DE ORÇAMENTO'!$C$3:$L$79,5,FALSE)</f>
        <v>2.26417504</v>
      </c>
      <c r="H2368" s="663">
        <f t="shared" ref="H2368:H2370" si="626">IF(F2368&lt;=30,(1.07*F2368+2.68)*G2368,((1.07*30+2.68)+1.07*(F2368-30))*G2368)</f>
        <v>442.14810181120004</v>
      </c>
      <c r="I2368" s="420"/>
      <c r="J2368" s="420"/>
      <c r="K2368" s="421">
        <f t="shared" ref="K2368:K2431" si="627">IF(ISBLANK(I2368),0,ROUND(J2368*(1+$F$10)*(1+$F$11*E2368),2))</f>
        <v>0</v>
      </c>
      <c r="L2368" s="647"/>
      <c r="M2368" s="723"/>
      <c r="N2368" s="576">
        <f t="shared" si="616"/>
        <v>0</v>
      </c>
      <c r="O2368" s="577">
        <f t="shared" si="610"/>
        <v>0</v>
      </c>
      <c r="P2368" s="578">
        <f t="shared" si="611"/>
        <v>0</v>
      </c>
      <c r="Q2368" s="765"/>
      <c r="R2368" s="723"/>
      <c r="S2368" s="723"/>
      <c r="T2368" s="577">
        <f t="shared" ref="T2368:T2431" si="628">IF(ISBLANK(R2368),0,ROUND(K2368*R2368,2))</f>
        <v>0</v>
      </c>
      <c r="U2368" s="578">
        <f t="shared" ref="U2368:U2431" si="629">IF(ISBLANK(R2368),0,ROUND(R2368*S2368,2))</f>
        <v>0</v>
      </c>
      <c r="V2368" s="579"/>
      <c r="W2368" s="566" t="str">
        <f>IF(U2366&gt;0,"xx",IF(P2366&gt;0,"xy",""))</f>
        <v/>
      </c>
      <c r="X2368" s="586" t="str">
        <f t="shared" si="622"/>
        <v/>
      </c>
      <c r="Y2368" s="586" t="str">
        <f t="shared" si="612"/>
        <v/>
      </c>
      <c r="Z2368" s="586" t="str">
        <f t="shared" si="621"/>
        <v/>
      </c>
    </row>
    <row r="2369" spans="1:26" ht="12" hidden="1" thickBot="1" x14ac:dyDescent="0.25">
      <c r="A2369" s="567" t="s">
        <v>168</v>
      </c>
      <c r="B2369" s="644" t="s">
        <v>168</v>
      </c>
      <c r="C2369" s="645"/>
      <c r="D2369" s="422" t="s">
        <v>252</v>
      </c>
      <c r="E2369" s="423"/>
      <c r="F2369" s="424">
        <v>20</v>
      </c>
      <c r="G2369" s="425">
        <f>VLOOKUP(D2366,'[2]ENSAIOS DE ORÇAMENTO'!$C$3:$L$79,6,FALSE)</f>
        <v>2.7020064000000001</v>
      </c>
      <c r="H2369" s="663">
        <f t="shared" si="626"/>
        <v>65.064314112000005</v>
      </c>
      <c r="I2369" s="420"/>
      <c r="J2369" s="420"/>
      <c r="K2369" s="421">
        <f t="shared" si="627"/>
        <v>0</v>
      </c>
      <c r="L2369" s="647"/>
      <c r="M2369" s="723"/>
      <c r="N2369" s="576">
        <f t="shared" si="616"/>
        <v>0</v>
      </c>
      <c r="O2369" s="577">
        <f t="shared" ref="O2369:O2432" si="630">IF(ISBLANK(M2369),0,ROUND(K2369*M2369,2))</f>
        <v>0</v>
      </c>
      <c r="P2369" s="578">
        <f t="shared" ref="P2369:P2432" si="631">IF(ISBLANK(N2369),0,ROUND(M2369*N2369,2))</f>
        <v>0</v>
      </c>
      <c r="Q2369" s="765"/>
      <c r="R2369" s="723"/>
      <c r="S2369" s="723"/>
      <c r="T2369" s="577">
        <f t="shared" si="628"/>
        <v>0</v>
      </c>
      <c r="U2369" s="578">
        <f t="shared" si="629"/>
        <v>0</v>
      </c>
      <c r="V2369" s="579"/>
      <c r="W2369" s="566" t="str">
        <f>IF(U2366&gt;0,"xx",IF(P2366&gt;0,"xy",""))</f>
        <v/>
      </c>
      <c r="X2369" s="586" t="str">
        <f t="shared" si="622"/>
        <v/>
      </c>
      <c r="Y2369" s="586" t="str">
        <f t="shared" si="612"/>
        <v/>
      </c>
      <c r="Z2369" s="586" t="str">
        <f t="shared" si="621"/>
        <v/>
      </c>
    </row>
    <row r="2370" spans="1:26" ht="12" hidden="1" thickBot="1" x14ac:dyDescent="0.25">
      <c r="A2370" s="567" t="s">
        <v>168</v>
      </c>
      <c r="B2370" s="644" t="s">
        <v>168</v>
      </c>
      <c r="C2370" s="645"/>
      <c r="D2370" s="422" t="s">
        <v>400</v>
      </c>
      <c r="E2370" s="423"/>
      <c r="F2370" s="424">
        <v>30</v>
      </c>
      <c r="G2370" s="425">
        <f>VLOOKUP(D2366,'[2]ENSAIOS DE ORÇAMENTO'!$C$3:$L$79,3,FALSE)</f>
        <v>0</v>
      </c>
      <c r="H2370" s="663">
        <f t="shared" si="626"/>
        <v>0</v>
      </c>
      <c r="I2370" s="420"/>
      <c r="J2370" s="420"/>
      <c r="K2370" s="421">
        <f t="shared" si="627"/>
        <v>0</v>
      </c>
      <c r="L2370" s="647"/>
      <c r="M2370" s="723"/>
      <c r="N2370" s="576">
        <f t="shared" si="616"/>
        <v>0</v>
      </c>
      <c r="O2370" s="577">
        <f t="shared" si="630"/>
        <v>0</v>
      </c>
      <c r="P2370" s="578">
        <f t="shared" si="631"/>
        <v>0</v>
      </c>
      <c r="Q2370" s="765"/>
      <c r="R2370" s="723"/>
      <c r="S2370" s="723"/>
      <c r="T2370" s="577">
        <f t="shared" si="628"/>
        <v>0</v>
      </c>
      <c r="U2370" s="578">
        <f t="shared" si="629"/>
        <v>0</v>
      </c>
      <c r="V2370" s="579"/>
      <c r="W2370" s="566" t="str">
        <f>IF(U2366&gt;0,"xx",IF(P2366&gt;0,"xy",""))</f>
        <v/>
      </c>
      <c r="X2370" s="586" t="str">
        <f t="shared" si="622"/>
        <v/>
      </c>
      <c r="Y2370" s="586" t="str">
        <f t="shared" si="612"/>
        <v/>
      </c>
      <c r="Z2370" s="586" t="str">
        <f t="shared" si="621"/>
        <v/>
      </c>
    </row>
    <row r="2371" spans="1:26" ht="12" hidden="1" thickBot="1" x14ac:dyDescent="0.25">
      <c r="A2371" s="567" t="s">
        <v>168</v>
      </c>
      <c r="B2371" s="644" t="s">
        <v>168</v>
      </c>
      <c r="C2371" s="645"/>
      <c r="D2371" s="422" t="s">
        <v>401</v>
      </c>
      <c r="E2371" s="423"/>
      <c r="F2371" s="424">
        <v>500</v>
      </c>
      <c r="G2371" s="425">
        <f>VLOOKUP(D2366,'[2]ENSAIOS DE ORÇAMENTO'!$C$3:$L$79,10,FALSE)</f>
        <v>0</v>
      </c>
      <c r="H2371" s="649">
        <f>IF(F2371&lt;=30,(0.78*F2371+7.82)*G2371,((0.78*30+7.82)+0.78*(F2371-30))*G2371)</f>
        <v>0</v>
      </c>
      <c r="I2371" s="420"/>
      <c r="J2371" s="420"/>
      <c r="K2371" s="421">
        <f t="shared" si="627"/>
        <v>0</v>
      </c>
      <c r="L2371" s="647"/>
      <c r="M2371" s="723"/>
      <c r="N2371" s="576">
        <f t="shared" si="616"/>
        <v>0</v>
      </c>
      <c r="O2371" s="577">
        <f t="shared" si="630"/>
        <v>0</v>
      </c>
      <c r="P2371" s="578">
        <f t="shared" si="631"/>
        <v>0</v>
      </c>
      <c r="Q2371" s="765"/>
      <c r="R2371" s="723"/>
      <c r="S2371" s="723"/>
      <c r="T2371" s="577">
        <f t="shared" si="628"/>
        <v>0</v>
      </c>
      <c r="U2371" s="578">
        <f t="shared" si="629"/>
        <v>0</v>
      </c>
      <c r="V2371" s="579"/>
      <c r="W2371" s="566" t="str">
        <f>IF(U2366&gt;0,"xx",IF(P2366&gt;0,"xy",""))</f>
        <v/>
      </c>
      <c r="X2371" s="586" t="str">
        <f t="shared" si="622"/>
        <v/>
      </c>
      <c r="Y2371" s="586" t="str">
        <f t="shared" si="612"/>
        <v/>
      </c>
      <c r="Z2371" s="586" t="str">
        <f t="shared" si="621"/>
        <v/>
      </c>
    </row>
    <row r="2372" spans="1:26" ht="12" hidden="1" thickBot="1" x14ac:dyDescent="0.25">
      <c r="A2372" s="567" t="s">
        <v>131</v>
      </c>
      <c r="B2372" s="644" t="s">
        <v>131</v>
      </c>
      <c r="C2372" s="645" t="s">
        <v>206</v>
      </c>
      <c r="D2372" s="422" t="s">
        <v>415</v>
      </c>
      <c r="E2372" s="423"/>
      <c r="F2372" s="424"/>
      <c r="G2372" s="425"/>
      <c r="H2372" s="651">
        <f>SUM(H2373:H2377)</f>
        <v>146.76171636480004</v>
      </c>
      <c r="I2372" s="420">
        <f>VLOOKUP(D2372,'[2]ENSAIOS DE ORÇAMENTO'!$C$3:$L$79,8,FALSE)</f>
        <v>877.32228026666667</v>
      </c>
      <c r="J2372" s="420">
        <f>IF(ISBLANK(I2372),"",SUM(H2372:I2372))</f>
        <v>1024.0839966314668</v>
      </c>
      <c r="K2372" s="421">
        <f t="shared" si="627"/>
        <v>1216.71</v>
      </c>
      <c r="L2372" s="647" t="s">
        <v>21</v>
      </c>
      <c r="M2372" s="576"/>
      <c r="N2372" s="576">
        <f t="shared" si="616"/>
        <v>0</v>
      </c>
      <c r="O2372" s="577">
        <f t="shared" si="630"/>
        <v>0</v>
      </c>
      <c r="P2372" s="578">
        <f t="shared" si="631"/>
        <v>0</v>
      </c>
      <c r="Q2372" s="765"/>
      <c r="R2372" s="576">
        <f>M2372</f>
        <v>0</v>
      </c>
      <c r="S2372" s="576">
        <f>N2372</f>
        <v>0</v>
      </c>
      <c r="T2372" s="577">
        <f t="shared" si="628"/>
        <v>0</v>
      </c>
      <c r="U2372" s="578">
        <f t="shared" si="629"/>
        <v>0</v>
      </c>
      <c r="V2372" s="579"/>
      <c r="W2372" s="566"/>
      <c r="X2372" s="586" t="str">
        <f t="shared" si="622"/>
        <v/>
      </c>
      <c r="Y2372" s="586" t="str">
        <f t="shared" si="612"/>
        <v/>
      </c>
      <c r="Z2372" s="586" t="str">
        <f t="shared" si="621"/>
        <v/>
      </c>
    </row>
    <row r="2373" spans="1:26" ht="12" hidden="1" thickBot="1" x14ac:dyDescent="0.25">
      <c r="A2373" s="567" t="s">
        <v>168</v>
      </c>
      <c r="B2373" s="644" t="s">
        <v>168</v>
      </c>
      <c r="C2373" s="645"/>
      <c r="D2373" s="422" t="s">
        <v>212</v>
      </c>
      <c r="E2373" s="423"/>
      <c r="F2373" s="424">
        <v>500</v>
      </c>
      <c r="G2373" s="425">
        <f>VLOOKUP(D2372,'[2]ENSAIOS DE ORÇAMENTO'!$C$3:$L$79,4,FALSE)</f>
        <v>0.13625280000000003</v>
      </c>
      <c r="H2373" s="649">
        <f>IF(F2373&lt;=30,(0.78*F2373+7.82)*G2373,((0.78*30+7.82)+0.78*(F2373-30))*G2373)</f>
        <v>54.204088896000023</v>
      </c>
      <c r="I2373" s="420"/>
      <c r="J2373" s="420"/>
      <c r="K2373" s="421">
        <f t="shared" si="627"/>
        <v>0</v>
      </c>
      <c r="L2373" s="647"/>
      <c r="M2373" s="723"/>
      <c r="N2373" s="576">
        <f t="shared" si="616"/>
        <v>0</v>
      </c>
      <c r="O2373" s="577">
        <f t="shared" si="630"/>
        <v>0</v>
      </c>
      <c r="P2373" s="578">
        <f t="shared" si="631"/>
        <v>0</v>
      </c>
      <c r="Q2373" s="765"/>
      <c r="R2373" s="723"/>
      <c r="S2373" s="723"/>
      <c r="T2373" s="577">
        <f t="shared" si="628"/>
        <v>0</v>
      </c>
      <c r="U2373" s="578">
        <f t="shared" si="629"/>
        <v>0</v>
      </c>
      <c r="V2373" s="579"/>
      <c r="W2373" s="566" t="str">
        <f>IF(U2372&gt;0,"xx",IF(P2372&gt;0,"xy",""))</f>
        <v/>
      </c>
      <c r="X2373" s="586" t="str">
        <f t="shared" si="622"/>
        <v/>
      </c>
      <c r="Y2373" s="586" t="str">
        <f t="shared" si="612"/>
        <v/>
      </c>
      <c r="Z2373" s="586" t="str">
        <f t="shared" si="621"/>
        <v/>
      </c>
    </row>
    <row r="2374" spans="1:26" ht="12" hidden="1" thickBot="1" x14ac:dyDescent="0.25">
      <c r="A2374" s="567" t="s">
        <v>168</v>
      </c>
      <c r="B2374" s="644" t="s">
        <v>168</v>
      </c>
      <c r="C2374" s="645"/>
      <c r="D2374" s="422" t="s">
        <v>248</v>
      </c>
      <c r="E2374" s="423"/>
      <c r="F2374" s="424">
        <v>180</v>
      </c>
      <c r="G2374" s="425">
        <f>VLOOKUP(D2372,'[2]ENSAIOS DE ORÇAMENTO'!$C$3:$L$79,5,FALSE)</f>
        <v>0.41372736000000004</v>
      </c>
      <c r="H2374" s="663">
        <f t="shared" ref="H2374:H2376" si="632">IF(F2374&lt;=30,(1.07*F2374+2.68)*G2374,((1.07*30+2.68)+1.07*(F2374-30))*G2374)</f>
        <v>80.792678860800009</v>
      </c>
      <c r="I2374" s="420"/>
      <c r="J2374" s="420"/>
      <c r="K2374" s="421">
        <f t="shared" si="627"/>
        <v>0</v>
      </c>
      <c r="L2374" s="647"/>
      <c r="M2374" s="723"/>
      <c r="N2374" s="576">
        <f t="shared" si="616"/>
        <v>0</v>
      </c>
      <c r="O2374" s="577">
        <f t="shared" si="630"/>
        <v>0</v>
      </c>
      <c r="P2374" s="578">
        <f t="shared" si="631"/>
        <v>0</v>
      </c>
      <c r="Q2374" s="765"/>
      <c r="R2374" s="723"/>
      <c r="S2374" s="723"/>
      <c r="T2374" s="577">
        <f t="shared" si="628"/>
        <v>0</v>
      </c>
      <c r="U2374" s="578">
        <f t="shared" si="629"/>
        <v>0</v>
      </c>
      <c r="V2374" s="579"/>
      <c r="W2374" s="566" t="str">
        <f>IF(U2372&gt;0,"xx",IF(P2372&gt;0,"xy",""))</f>
        <v/>
      </c>
      <c r="X2374" s="586" t="str">
        <f t="shared" si="622"/>
        <v/>
      </c>
      <c r="Y2374" s="586" t="str">
        <f t="shared" si="612"/>
        <v/>
      </c>
      <c r="Z2374" s="586" t="str">
        <f t="shared" si="621"/>
        <v/>
      </c>
    </row>
    <row r="2375" spans="1:26" ht="12" hidden="1" thickBot="1" x14ac:dyDescent="0.25">
      <c r="A2375" s="567" t="s">
        <v>168</v>
      </c>
      <c r="B2375" s="644" t="s">
        <v>168</v>
      </c>
      <c r="C2375" s="645"/>
      <c r="D2375" s="422" t="s">
        <v>252</v>
      </c>
      <c r="E2375" s="423"/>
      <c r="F2375" s="424">
        <v>20</v>
      </c>
      <c r="G2375" s="425">
        <f>VLOOKUP(D2372,'[2]ENSAIOS DE ORÇAMENTO'!$C$3:$L$79,6,FALSE)</f>
        <v>0.48857760000000011</v>
      </c>
      <c r="H2375" s="663">
        <f t="shared" si="632"/>
        <v>11.764948608000003</v>
      </c>
      <c r="I2375" s="420"/>
      <c r="J2375" s="420"/>
      <c r="K2375" s="421">
        <f t="shared" si="627"/>
        <v>0</v>
      </c>
      <c r="L2375" s="647"/>
      <c r="M2375" s="723"/>
      <c r="N2375" s="576">
        <f t="shared" si="616"/>
        <v>0</v>
      </c>
      <c r="O2375" s="577">
        <f t="shared" si="630"/>
        <v>0</v>
      </c>
      <c r="P2375" s="578">
        <f t="shared" si="631"/>
        <v>0</v>
      </c>
      <c r="Q2375" s="765"/>
      <c r="R2375" s="723"/>
      <c r="S2375" s="723"/>
      <c r="T2375" s="577">
        <f t="shared" si="628"/>
        <v>0</v>
      </c>
      <c r="U2375" s="578">
        <f t="shared" si="629"/>
        <v>0</v>
      </c>
      <c r="V2375" s="579"/>
      <c r="W2375" s="566" t="str">
        <f>IF(U2372&gt;0,"xx",IF(P2372&gt;0,"xy",""))</f>
        <v/>
      </c>
      <c r="X2375" s="586" t="str">
        <f t="shared" si="622"/>
        <v/>
      </c>
      <c r="Y2375" s="586" t="str">
        <f t="shared" si="612"/>
        <v/>
      </c>
      <c r="Z2375" s="586" t="str">
        <f t="shared" si="621"/>
        <v/>
      </c>
    </row>
    <row r="2376" spans="1:26" ht="12" hidden="1" thickBot="1" x14ac:dyDescent="0.25">
      <c r="A2376" s="567" t="s">
        <v>168</v>
      </c>
      <c r="B2376" s="644" t="s">
        <v>168</v>
      </c>
      <c r="C2376" s="645"/>
      <c r="D2376" s="422" t="s">
        <v>400</v>
      </c>
      <c r="E2376" s="423"/>
      <c r="F2376" s="424">
        <v>30</v>
      </c>
      <c r="G2376" s="425">
        <f>VLOOKUP(D2372,'[2]ENSAIOS DE ORÇAMENTO'!$C$3:$L$79,3,FALSE)</f>
        <v>0</v>
      </c>
      <c r="H2376" s="663">
        <f t="shared" si="632"/>
        <v>0</v>
      </c>
      <c r="I2376" s="420"/>
      <c r="J2376" s="420"/>
      <c r="K2376" s="421">
        <f t="shared" si="627"/>
        <v>0</v>
      </c>
      <c r="L2376" s="647"/>
      <c r="M2376" s="723"/>
      <c r="N2376" s="576">
        <f t="shared" si="616"/>
        <v>0</v>
      </c>
      <c r="O2376" s="577">
        <f t="shared" si="630"/>
        <v>0</v>
      </c>
      <c r="P2376" s="578">
        <f t="shared" si="631"/>
        <v>0</v>
      </c>
      <c r="Q2376" s="765"/>
      <c r="R2376" s="723"/>
      <c r="S2376" s="723"/>
      <c r="T2376" s="577">
        <f t="shared" si="628"/>
        <v>0</v>
      </c>
      <c r="U2376" s="578">
        <f t="shared" si="629"/>
        <v>0</v>
      </c>
      <c r="V2376" s="579"/>
      <c r="W2376" s="566" t="str">
        <f>IF(U2372&gt;0,"xx",IF(P2372&gt;0,"xy",""))</f>
        <v/>
      </c>
      <c r="X2376" s="586" t="str">
        <f t="shared" si="622"/>
        <v/>
      </c>
      <c r="Y2376" s="586" t="str">
        <f t="shared" ref="Y2376:Y2439" si="633">IF(W2376="X","x",IF(W2376="y","x",IF(W2376="xx","x",IF(U2376&gt;0,"x",""))))</f>
        <v/>
      </c>
      <c r="Z2376" s="586" t="str">
        <f t="shared" si="621"/>
        <v/>
      </c>
    </row>
    <row r="2377" spans="1:26" ht="12" hidden="1" thickBot="1" x14ac:dyDescent="0.25">
      <c r="A2377" s="567" t="s">
        <v>168</v>
      </c>
      <c r="B2377" s="644" t="s">
        <v>168</v>
      </c>
      <c r="C2377" s="645"/>
      <c r="D2377" s="422" t="s">
        <v>401</v>
      </c>
      <c r="E2377" s="423"/>
      <c r="F2377" s="424">
        <v>500</v>
      </c>
      <c r="G2377" s="425">
        <f>VLOOKUP(D2372,'[2]ENSAIOS DE ORÇAMENTO'!$C$3:$L$79,10,FALSE)</f>
        <v>0</v>
      </c>
      <c r="H2377" s="649">
        <f>IF(F2377&lt;=30,(0.78*F2377+7.82)*G2377,((0.78*30+7.82)+0.78*(F2377-30))*G2377)</f>
        <v>0</v>
      </c>
      <c r="I2377" s="420"/>
      <c r="J2377" s="420"/>
      <c r="K2377" s="421">
        <f t="shared" si="627"/>
        <v>0</v>
      </c>
      <c r="L2377" s="647"/>
      <c r="M2377" s="723"/>
      <c r="N2377" s="576">
        <f t="shared" si="616"/>
        <v>0</v>
      </c>
      <c r="O2377" s="577">
        <f t="shared" si="630"/>
        <v>0</v>
      </c>
      <c r="P2377" s="578">
        <f t="shared" si="631"/>
        <v>0</v>
      </c>
      <c r="Q2377" s="765"/>
      <c r="R2377" s="723"/>
      <c r="S2377" s="723"/>
      <c r="T2377" s="577">
        <f t="shared" si="628"/>
        <v>0</v>
      </c>
      <c r="U2377" s="578">
        <f t="shared" si="629"/>
        <v>0</v>
      </c>
      <c r="V2377" s="579"/>
      <c r="W2377" s="566" t="str">
        <f>IF(U2372&gt;0,"xx",IF(P2372&gt;0,"xy",""))</f>
        <v/>
      </c>
      <c r="X2377" s="586" t="str">
        <f t="shared" si="622"/>
        <v/>
      </c>
      <c r="Y2377" s="586" t="str">
        <f t="shared" si="633"/>
        <v/>
      </c>
      <c r="Z2377" s="586" t="str">
        <f t="shared" si="621"/>
        <v/>
      </c>
    </row>
    <row r="2378" spans="1:26" ht="12" hidden="1" thickBot="1" x14ac:dyDescent="0.25">
      <c r="A2378" s="567" t="s">
        <v>40</v>
      </c>
      <c r="B2378" s="644" t="s">
        <v>40</v>
      </c>
      <c r="C2378" s="645" t="s">
        <v>206</v>
      </c>
      <c r="D2378" s="422" t="s">
        <v>416</v>
      </c>
      <c r="E2378" s="423"/>
      <c r="F2378" s="424"/>
      <c r="G2378" s="425"/>
      <c r="H2378" s="651">
        <f>SUM(H2379:H2383)</f>
        <v>223.47402276336004</v>
      </c>
      <c r="I2378" s="420">
        <f>VLOOKUP(D2378,'[2]ENSAIOS DE ORÇAMENTO'!$C$3:$L$79,8,FALSE)</f>
        <v>1386.7382591866667</v>
      </c>
      <c r="J2378" s="420">
        <f>IF(ISBLANK(I2378),"",SUM(H2378:I2378))</f>
        <v>1610.2122819500269</v>
      </c>
      <c r="K2378" s="421">
        <f t="shared" si="627"/>
        <v>1913.09</v>
      </c>
      <c r="L2378" s="647" t="s">
        <v>21</v>
      </c>
      <c r="M2378" s="576"/>
      <c r="N2378" s="576">
        <f t="shared" si="616"/>
        <v>0</v>
      </c>
      <c r="O2378" s="577">
        <f t="shared" si="630"/>
        <v>0</v>
      </c>
      <c r="P2378" s="578">
        <f t="shared" si="631"/>
        <v>0</v>
      </c>
      <c r="Q2378" s="765"/>
      <c r="R2378" s="576">
        <f>M2378</f>
        <v>0</v>
      </c>
      <c r="S2378" s="576">
        <f>N2378</f>
        <v>0</v>
      </c>
      <c r="T2378" s="577">
        <f t="shared" si="628"/>
        <v>0</v>
      </c>
      <c r="U2378" s="578">
        <f t="shared" si="629"/>
        <v>0</v>
      </c>
      <c r="V2378" s="579"/>
      <c r="W2378" s="566"/>
      <c r="X2378" s="586" t="str">
        <f t="shared" si="622"/>
        <v/>
      </c>
      <c r="Y2378" s="586" t="str">
        <f t="shared" si="633"/>
        <v/>
      </c>
      <c r="Z2378" s="586" t="str">
        <f t="shared" si="621"/>
        <v/>
      </c>
    </row>
    <row r="2379" spans="1:26" ht="12" hidden="1" thickBot="1" x14ac:dyDescent="0.25">
      <c r="A2379" s="567" t="s">
        <v>168</v>
      </c>
      <c r="B2379" s="644" t="s">
        <v>168</v>
      </c>
      <c r="C2379" s="645"/>
      <c r="D2379" s="422" t="s">
        <v>212</v>
      </c>
      <c r="E2379" s="423"/>
      <c r="F2379" s="424">
        <v>500</v>
      </c>
      <c r="G2379" s="425">
        <f>VLOOKUP(D2378,'[2]ENSAIOS DE ORÇAMENTO'!$C$3:$L$79,4,FALSE)</f>
        <v>0.21117996</v>
      </c>
      <c r="H2379" s="649">
        <f>IF(F2379&lt;=30,(0.78*F2379+7.82)*G2379,((0.78*30+7.82)+0.78*(F2379-30))*G2379)</f>
        <v>84.011611687200016</v>
      </c>
      <c r="I2379" s="420"/>
      <c r="J2379" s="420"/>
      <c r="K2379" s="421">
        <f t="shared" si="627"/>
        <v>0</v>
      </c>
      <c r="L2379" s="647"/>
      <c r="M2379" s="723"/>
      <c r="N2379" s="576">
        <f t="shared" si="616"/>
        <v>0</v>
      </c>
      <c r="O2379" s="577">
        <f t="shared" si="630"/>
        <v>0</v>
      </c>
      <c r="P2379" s="578">
        <f t="shared" si="631"/>
        <v>0</v>
      </c>
      <c r="Q2379" s="765"/>
      <c r="R2379" s="723"/>
      <c r="S2379" s="723"/>
      <c r="T2379" s="577">
        <f t="shared" si="628"/>
        <v>0</v>
      </c>
      <c r="U2379" s="578">
        <f t="shared" si="629"/>
        <v>0</v>
      </c>
      <c r="V2379" s="579"/>
      <c r="W2379" s="566" t="str">
        <f>IF(U2378&gt;0,"xx",IF(P2378&gt;0,"xy",""))</f>
        <v/>
      </c>
      <c r="X2379" s="586" t="str">
        <f t="shared" si="622"/>
        <v/>
      </c>
      <c r="Y2379" s="586" t="str">
        <f t="shared" si="633"/>
        <v/>
      </c>
      <c r="Z2379" s="586" t="str">
        <f t="shared" si="621"/>
        <v/>
      </c>
    </row>
    <row r="2380" spans="1:26" ht="12" hidden="1" thickBot="1" x14ac:dyDescent="0.25">
      <c r="A2380" s="567" t="s">
        <v>168</v>
      </c>
      <c r="B2380" s="644" t="s">
        <v>168</v>
      </c>
      <c r="C2380" s="645"/>
      <c r="D2380" s="422" t="s">
        <v>248</v>
      </c>
      <c r="E2380" s="423"/>
      <c r="F2380" s="424">
        <v>180</v>
      </c>
      <c r="G2380" s="425">
        <f>VLOOKUP(D2378,'[2]ENSAIOS DE ORÇAMENTO'!$C$3:$L$79,5,FALSE)</f>
        <v>0.62284225199999999</v>
      </c>
      <c r="H2380" s="663">
        <f t="shared" ref="H2380:H2382" si="634">IF(F2380&lt;=30,(1.07*F2380+2.68)*G2380,((1.07*30+2.68)+1.07*(F2380-30))*G2380)</f>
        <v>121.62863497056</v>
      </c>
      <c r="I2380" s="420"/>
      <c r="J2380" s="420"/>
      <c r="K2380" s="421">
        <f t="shared" si="627"/>
        <v>0</v>
      </c>
      <c r="L2380" s="647"/>
      <c r="M2380" s="723"/>
      <c r="N2380" s="576">
        <f t="shared" si="616"/>
        <v>0</v>
      </c>
      <c r="O2380" s="577">
        <f t="shared" si="630"/>
        <v>0</v>
      </c>
      <c r="P2380" s="578">
        <f t="shared" si="631"/>
        <v>0</v>
      </c>
      <c r="Q2380" s="765"/>
      <c r="R2380" s="723"/>
      <c r="S2380" s="723"/>
      <c r="T2380" s="577">
        <f t="shared" si="628"/>
        <v>0</v>
      </c>
      <c r="U2380" s="578">
        <f t="shared" si="629"/>
        <v>0</v>
      </c>
      <c r="V2380" s="579"/>
      <c r="W2380" s="566" t="str">
        <f>IF(U2378&gt;0,"xx",IF(P2378&gt;0,"xy",""))</f>
        <v/>
      </c>
      <c r="X2380" s="586" t="str">
        <f t="shared" si="622"/>
        <v/>
      </c>
      <c r="Y2380" s="586" t="str">
        <f t="shared" si="633"/>
        <v/>
      </c>
      <c r="Z2380" s="586" t="str">
        <f t="shared" si="621"/>
        <v/>
      </c>
    </row>
    <row r="2381" spans="1:26" ht="12" hidden="1" thickBot="1" x14ac:dyDescent="0.25">
      <c r="A2381" s="567" t="s">
        <v>168</v>
      </c>
      <c r="B2381" s="644" t="s">
        <v>168</v>
      </c>
      <c r="C2381" s="645"/>
      <c r="D2381" s="422" t="s">
        <v>252</v>
      </c>
      <c r="E2381" s="423"/>
      <c r="F2381" s="424">
        <v>20</v>
      </c>
      <c r="G2381" s="425">
        <f>VLOOKUP(D2378,'[2]ENSAIOS DE ORÇAMENTO'!$C$3:$L$79,6,FALSE)</f>
        <v>0.74060532000000001</v>
      </c>
      <c r="H2381" s="663">
        <f t="shared" si="634"/>
        <v>17.833776105600002</v>
      </c>
      <c r="I2381" s="420"/>
      <c r="J2381" s="420"/>
      <c r="K2381" s="421">
        <f t="shared" si="627"/>
        <v>0</v>
      </c>
      <c r="L2381" s="647"/>
      <c r="M2381" s="723"/>
      <c r="N2381" s="576">
        <f t="shared" si="616"/>
        <v>0</v>
      </c>
      <c r="O2381" s="577">
        <f t="shared" si="630"/>
        <v>0</v>
      </c>
      <c r="P2381" s="578">
        <f t="shared" si="631"/>
        <v>0</v>
      </c>
      <c r="Q2381" s="765"/>
      <c r="R2381" s="723"/>
      <c r="S2381" s="723"/>
      <c r="T2381" s="577">
        <f t="shared" si="628"/>
        <v>0</v>
      </c>
      <c r="U2381" s="578">
        <f t="shared" si="629"/>
        <v>0</v>
      </c>
      <c r="V2381" s="579"/>
      <c r="W2381" s="566" t="str">
        <f>IF(U2378&gt;0,"xx",IF(P2378&gt;0,"xy",""))</f>
        <v/>
      </c>
      <c r="X2381" s="586" t="str">
        <f t="shared" si="622"/>
        <v/>
      </c>
      <c r="Y2381" s="586" t="str">
        <f t="shared" si="633"/>
        <v/>
      </c>
      <c r="Z2381" s="586" t="str">
        <f t="shared" si="621"/>
        <v/>
      </c>
    </row>
    <row r="2382" spans="1:26" ht="12" hidden="1" thickBot="1" x14ac:dyDescent="0.25">
      <c r="A2382" s="567" t="s">
        <v>168</v>
      </c>
      <c r="B2382" s="644" t="s">
        <v>168</v>
      </c>
      <c r="C2382" s="645"/>
      <c r="D2382" s="422" t="s">
        <v>400</v>
      </c>
      <c r="E2382" s="423"/>
      <c r="F2382" s="424">
        <v>30</v>
      </c>
      <c r="G2382" s="425">
        <f>VLOOKUP(D2378,'[2]ENSAIOS DE ORÇAMENTO'!$C$3:$L$79,3,FALSE)</f>
        <v>0</v>
      </c>
      <c r="H2382" s="663">
        <f t="shared" si="634"/>
        <v>0</v>
      </c>
      <c r="I2382" s="420"/>
      <c r="J2382" s="420"/>
      <c r="K2382" s="421">
        <f t="shared" si="627"/>
        <v>0</v>
      </c>
      <c r="L2382" s="647"/>
      <c r="M2382" s="723"/>
      <c r="N2382" s="576">
        <f t="shared" si="616"/>
        <v>0</v>
      </c>
      <c r="O2382" s="577">
        <f t="shared" si="630"/>
        <v>0</v>
      </c>
      <c r="P2382" s="578">
        <f t="shared" si="631"/>
        <v>0</v>
      </c>
      <c r="Q2382" s="765"/>
      <c r="R2382" s="723"/>
      <c r="S2382" s="723"/>
      <c r="T2382" s="577">
        <f t="shared" si="628"/>
        <v>0</v>
      </c>
      <c r="U2382" s="578">
        <f t="shared" si="629"/>
        <v>0</v>
      </c>
      <c r="V2382" s="579"/>
      <c r="W2382" s="566" t="str">
        <f>IF(U2378&gt;0,"xx",IF(P2378&gt;0,"xy",""))</f>
        <v/>
      </c>
      <c r="X2382" s="586" t="str">
        <f t="shared" si="622"/>
        <v/>
      </c>
      <c r="Y2382" s="586" t="str">
        <f t="shared" si="633"/>
        <v/>
      </c>
      <c r="Z2382" s="586" t="str">
        <f t="shared" si="621"/>
        <v/>
      </c>
    </row>
    <row r="2383" spans="1:26" ht="12" hidden="1" thickBot="1" x14ac:dyDescent="0.25">
      <c r="A2383" s="567" t="s">
        <v>168</v>
      </c>
      <c r="B2383" s="644" t="s">
        <v>168</v>
      </c>
      <c r="C2383" s="645"/>
      <c r="D2383" s="422" t="s">
        <v>401</v>
      </c>
      <c r="E2383" s="423"/>
      <c r="F2383" s="424">
        <v>500</v>
      </c>
      <c r="G2383" s="425">
        <f>VLOOKUP(D2378,'[2]ENSAIOS DE ORÇAMENTO'!$C$3:$L$79,10,FALSE)</f>
        <v>0</v>
      </c>
      <c r="H2383" s="649">
        <f>IF(F2383&lt;=30,(0.78*F2383+7.82)*G2383,((0.78*30+7.82)+0.78*(F2383-30))*G2383)</f>
        <v>0</v>
      </c>
      <c r="I2383" s="420"/>
      <c r="J2383" s="420"/>
      <c r="K2383" s="421">
        <f t="shared" si="627"/>
        <v>0</v>
      </c>
      <c r="L2383" s="647"/>
      <c r="M2383" s="723"/>
      <c r="N2383" s="576">
        <f t="shared" si="616"/>
        <v>0</v>
      </c>
      <c r="O2383" s="577">
        <f t="shared" si="630"/>
        <v>0</v>
      </c>
      <c r="P2383" s="578">
        <f t="shared" si="631"/>
        <v>0</v>
      </c>
      <c r="Q2383" s="765"/>
      <c r="R2383" s="723"/>
      <c r="S2383" s="723"/>
      <c r="T2383" s="577">
        <f t="shared" si="628"/>
        <v>0</v>
      </c>
      <c r="U2383" s="578">
        <f t="shared" si="629"/>
        <v>0</v>
      </c>
      <c r="V2383" s="579"/>
      <c r="W2383" s="566" t="str">
        <f>IF(U2378&gt;0,"xx",IF(P2378&gt;0,"xy",""))</f>
        <v/>
      </c>
      <c r="X2383" s="586" t="str">
        <f t="shared" si="622"/>
        <v/>
      </c>
      <c r="Y2383" s="586" t="str">
        <f t="shared" si="633"/>
        <v/>
      </c>
      <c r="Z2383" s="586" t="str">
        <f t="shared" si="621"/>
        <v/>
      </c>
    </row>
    <row r="2384" spans="1:26" ht="12" hidden="1" thickBot="1" x14ac:dyDescent="0.25">
      <c r="A2384" s="567" t="s">
        <v>41</v>
      </c>
      <c r="B2384" s="644" t="s">
        <v>41</v>
      </c>
      <c r="C2384" s="645" t="s">
        <v>206</v>
      </c>
      <c r="D2384" s="422" t="s">
        <v>417</v>
      </c>
      <c r="E2384" s="423"/>
      <c r="F2384" s="424"/>
      <c r="G2384" s="425"/>
      <c r="H2384" s="651">
        <f>SUM(H2385:H2389)</f>
        <v>402.09418051819995</v>
      </c>
      <c r="I2384" s="420">
        <f>VLOOKUP(D2384,'[2]ENSAIOS DE ORÇAMENTO'!$C$3:$L$79,8,FALSE)</f>
        <v>2390.501674983333</v>
      </c>
      <c r="J2384" s="420">
        <f>IF(ISBLANK(I2384),"",SUM(H2384:I2384))</f>
        <v>2792.5958555015332</v>
      </c>
      <c r="K2384" s="421">
        <f t="shared" si="627"/>
        <v>3317.88</v>
      </c>
      <c r="L2384" s="647" t="s">
        <v>21</v>
      </c>
      <c r="M2384" s="576"/>
      <c r="N2384" s="576">
        <f t="shared" si="616"/>
        <v>0</v>
      </c>
      <c r="O2384" s="577">
        <f t="shared" si="630"/>
        <v>0</v>
      </c>
      <c r="P2384" s="578">
        <f t="shared" si="631"/>
        <v>0</v>
      </c>
      <c r="Q2384" s="765"/>
      <c r="R2384" s="576">
        <f>M2384</f>
        <v>0</v>
      </c>
      <c r="S2384" s="576">
        <f>N2384</f>
        <v>0</v>
      </c>
      <c r="T2384" s="577">
        <f t="shared" si="628"/>
        <v>0</v>
      </c>
      <c r="U2384" s="578">
        <f t="shared" si="629"/>
        <v>0</v>
      </c>
      <c r="V2384" s="579"/>
      <c r="W2384" s="566"/>
      <c r="X2384" s="586" t="str">
        <f t="shared" si="622"/>
        <v/>
      </c>
      <c r="Y2384" s="586" t="str">
        <f t="shared" si="633"/>
        <v/>
      </c>
      <c r="Z2384" s="586" t="str">
        <f t="shared" si="621"/>
        <v/>
      </c>
    </row>
    <row r="2385" spans="1:26" ht="12" hidden="1" thickBot="1" x14ac:dyDescent="0.25">
      <c r="A2385" s="567" t="s">
        <v>168</v>
      </c>
      <c r="B2385" s="644" t="s">
        <v>168</v>
      </c>
      <c r="C2385" s="645"/>
      <c r="D2385" s="422" t="s">
        <v>212</v>
      </c>
      <c r="E2385" s="423"/>
      <c r="F2385" s="424">
        <v>500</v>
      </c>
      <c r="G2385" s="425">
        <f>VLOOKUP(D2384,'[2]ENSAIOS DE ORÇAMENTO'!$C$3:$L$79,4,FALSE)</f>
        <v>0.38327894999999995</v>
      </c>
      <c r="H2385" s="649">
        <f>IF(F2385&lt;=30,(0.78*F2385+7.82)*G2385,((0.78*30+7.82)+0.78*(F2385-30))*G2385)</f>
        <v>152.47603188900001</v>
      </c>
      <c r="I2385" s="420"/>
      <c r="J2385" s="420"/>
      <c r="K2385" s="421">
        <f t="shared" si="627"/>
        <v>0</v>
      </c>
      <c r="L2385" s="647"/>
      <c r="M2385" s="723"/>
      <c r="N2385" s="576">
        <f t="shared" si="616"/>
        <v>0</v>
      </c>
      <c r="O2385" s="577">
        <f t="shared" si="630"/>
        <v>0</v>
      </c>
      <c r="P2385" s="578">
        <f t="shared" si="631"/>
        <v>0</v>
      </c>
      <c r="Q2385" s="765"/>
      <c r="R2385" s="723"/>
      <c r="S2385" s="723"/>
      <c r="T2385" s="577">
        <f t="shared" si="628"/>
        <v>0</v>
      </c>
      <c r="U2385" s="578">
        <f t="shared" si="629"/>
        <v>0</v>
      </c>
      <c r="V2385" s="579"/>
      <c r="W2385" s="566" t="str">
        <f>IF(U2384&gt;0,"xx",IF(P2384&gt;0,"xy",""))</f>
        <v/>
      </c>
      <c r="X2385" s="586" t="str">
        <f t="shared" si="622"/>
        <v/>
      </c>
      <c r="Y2385" s="586" t="str">
        <f t="shared" si="633"/>
        <v/>
      </c>
      <c r="Z2385" s="586" t="str">
        <f t="shared" si="621"/>
        <v/>
      </c>
    </row>
    <row r="2386" spans="1:26" ht="12" hidden="1" thickBot="1" x14ac:dyDescent="0.25">
      <c r="A2386" s="567" t="s">
        <v>168</v>
      </c>
      <c r="B2386" s="644" t="s">
        <v>168</v>
      </c>
      <c r="C2386" s="645"/>
      <c r="D2386" s="422" t="s">
        <v>248</v>
      </c>
      <c r="E2386" s="423"/>
      <c r="F2386" s="424">
        <v>180</v>
      </c>
      <c r="G2386" s="425">
        <f>VLOOKUP(D2384,'[2]ENSAIOS DE ORÇAMENTO'!$C$3:$L$79,5,FALSE)</f>
        <v>1.1143076149999998</v>
      </c>
      <c r="H2386" s="663">
        <f t="shared" ref="H2386:H2388" si="635">IF(F2386&lt;=30,(1.07*F2386+2.68)*G2386,((1.07*30+2.68)+1.07*(F2386-30))*G2386)</f>
        <v>217.60199105719994</v>
      </c>
      <c r="I2386" s="420"/>
      <c r="J2386" s="420"/>
      <c r="K2386" s="421">
        <f t="shared" si="627"/>
        <v>0</v>
      </c>
      <c r="L2386" s="647"/>
      <c r="M2386" s="723"/>
      <c r="N2386" s="576">
        <f t="shared" si="616"/>
        <v>0</v>
      </c>
      <c r="O2386" s="577">
        <f t="shared" si="630"/>
        <v>0</v>
      </c>
      <c r="P2386" s="578">
        <f t="shared" si="631"/>
        <v>0</v>
      </c>
      <c r="Q2386" s="765"/>
      <c r="R2386" s="723"/>
      <c r="S2386" s="723"/>
      <c r="T2386" s="577">
        <f t="shared" si="628"/>
        <v>0</v>
      </c>
      <c r="U2386" s="578">
        <f t="shared" si="629"/>
        <v>0</v>
      </c>
      <c r="V2386" s="579"/>
      <c r="W2386" s="566" t="str">
        <f>IF(U2384&gt;0,"xx",IF(P2384&gt;0,"xy",""))</f>
        <v/>
      </c>
      <c r="X2386" s="586" t="str">
        <f t="shared" si="622"/>
        <v/>
      </c>
      <c r="Y2386" s="586" t="str">
        <f t="shared" si="633"/>
        <v/>
      </c>
      <c r="Z2386" s="586" t="str">
        <f t="shared" si="621"/>
        <v/>
      </c>
    </row>
    <row r="2387" spans="1:26" ht="12" hidden="1" thickBot="1" x14ac:dyDescent="0.25">
      <c r="A2387" s="567" t="s">
        <v>168</v>
      </c>
      <c r="B2387" s="644" t="s">
        <v>168</v>
      </c>
      <c r="C2387" s="645"/>
      <c r="D2387" s="422" t="s">
        <v>252</v>
      </c>
      <c r="E2387" s="423"/>
      <c r="F2387" s="424">
        <v>20</v>
      </c>
      <c r="G2387" s="425">
        <f>VLOOKUP(D2384,'[2]ENSAIOS DE ORÇAMENTO'!$C$3:$L$79,6,FALSE)</f>
        <v>1.3295746499999999</v>
      </c>
      <c r="H2387" s="663">
        <f t="shared" si="635"/>
        <v>32.016157571999997</v>
      </c>
      <c r="I2387" s="420"/>
      <c r="J2387" s="420"/>
      <c r="K2387" s="421">
        <f t="shared" si="627"/>
        <v>0</v>
      </c>
      <c r="L2387" s="647"/>
      <c r="M2387" s="723"/>
      <c r="N2387" s="576">
        <f t="shared" si="616"/>
        <v>0</v>
      </c>
      <c r="O2387" s="577">
        <f t="shared" si="630"/>
        <v>0</v>
      </c>
      <c r="P2387" s="578">
        <f t="shared" si="631"/>
        <v>0</v>
      </c>
      <c r="Q2387" s="765"/>
      <c r="R2387" s="723"/>
      <c r="S2387" s="723"/>
      <c r="T2387" s="577">
        <f t="shared" si="628"/>
        <v>0</v>
      </c>
      <c r="U2387" s="578">
        <f t="shared" si="629"/>
        <v>0</v>
      </c>
      <c r="V2387" s="579"/>
      <c r="W2387" s="566" t="str">
        <f>IF(U2384&gt;0,"xx",IF(P2384&gt;0,"xy",""))</f>
        <v/>
      </c>
      <c r="X2387" s="586" t="str">
        <f t="shared" si="622"/>
        <v/>
      </c>
      <c r="Y2387" s="586" t="str">
        <f t="shared" si="633"/>
        <v/>
      </c>
      <c r="Z2387" s="586" t="str">
        <f t="shared" si="621"/>
        <v/>
      </c>
    </row>
    <row r="2388" spans="1:26" ht="12" hidden="1" thickBot="1" x14ac:dyDescent="0.25">
      <c r="A2388" s="567" t="s">
        <v>168</v>
      </c>
      <c r="B2388" s="644" t="s">
        <v>168</v>
      </c>
      <c r="C2388" s="645"/>
      <c r="D2388" s="422" t="s">
        <v>400</v>
      </c>
      <c r="E2388" s="423"/>
      <c r="F2388" s="424">
        <v>30</v>
      </c>
      <c r="G2388" s="425">
        <f>VLOOKUP(D2384,'[2]ENSAIOS DE ORÇAMENTO'!$C$3:$L$79,3,FALSE)</f>
        <v>0</v>
      </c>
      <c r="H2388" s="663">
        <f t="shared" si="635"/>
        <v>0</v>
      </c>
      <c r="I2388" s="420"/>
      <c r="J2388" s="420"/>
      <c r="K2388" s="421">
        <f t="shared" si="627"/>
        <v>0</v>
      </c>
      <c r="L2388" s="647"/>
      <c r="M2388" s="723"/>
      <c r="N2388" s="576">
        <f t="shared" ref="N2388:N2451" si="636">IF(M2388=0,0,K2388)</f>
        <v>0</v>
      </c>
      <c r="O2388" s="577">
        <f t="shared" si="630"/>
        <v>0</v>
      </c>
      <c r="P2388" s="578">
        <f t="shared" si="631"/>
        <v>0</v>
      </c>
      <c r="Q2388" s="765"/>
      <c r="R2388" s="723"/>
      <c r="S2388" s="723"/>
      <c r="T2388" s="577">
        <f t="shared" si="628"/>
        <v>0</v>
      </c>
      <c r="U2388" s="578">
        <f t="shared" si="629"/>
        <v>0</v>
      </c>
      <c r="V2388" s="579"/>
      <c r="W2388" s="566" t="str">
        <f>IF(U2384&gt;0,"xx",IF(P2384&gt;0,"xy",""))</f>
        <v/>
      </c>
      <c r="X2388" s="586" t="str">
        <f t="shared" si="622"/>
        <v/>
      </c>
      <c r="Y2388" s="586" t="str">
        <f t="shared" si="633"/>
        <v/>
      </c>
      <c r="Z2388" s="586" t="str">
        <f t="shared" si="621"/>
        <v/>
      </c>
    </row>
    <row r="2389" spans="1:26" ht="12" hidden="1" thickBot="1" x14ac:dyDescent="0.25">
      <c r="A2389" s="567" t="s">
        <v>168</v>
      </c>
      <c r="B2389" s="644" t="s">
        <v>168</v>
      </c>
      <c r="C2389" s="645"/>
      <c r="D2389" s="422" t="s">
        <v>401</v>
      </c>
      <c r="E2389" s="423"/>
      <c r="F2389" s="424">
        <v>500</v>
      </c>
      <c r="G2389" s="425">
        <f>VLOOKUP(D2384,'[2]ENSAIOS DE ORÇAMENTO'!$C$3:$L$79,10,FALSE)</f>
        <v>0</v>
      </c>
      <c r="H2389" s="649">
        <f>IF(F2389&lt;=30,(0.78*F2389+7.82)*G2389,((0.78*30+7.82)+0.78*(F2389-30))*G2389)</f>
        <v>0</v>
      </c>
      <c r="I2389" s="420"/>
      <c r="J2389" s="420"/>
      <c r="K2389" s="421">
        <f t="shared" si="627"/>
        <v>0</v>
      </c>
      <c r="L2389" s="647"/>
      <c r="M2389" s="723"/>
      <c r="N2389" s="576">
        <f t="shared" si="636"/>
        <v>0</v>
      </c>
      <c r="O2389" s="577">
        <f t="shared" si="630"/>
        <v>0</v>
      </c>
      <c r="P2389" s="578">
        <f t="shared" si="631"/>
        <v>0</v>
      </c>
      <c r="Q2389" s="765"/>
      <c r="R2389" s="723"/>
      <c r="S2389" s="723"/>
      <c r="T2389" s="577">
        <f t="shared" si="628"/>
        <v>0</v>
      </c>
      <c r="U2389" s="578">
        <f t="shared" si="629"/>
        <v>0</v>
      </c>
      <c r="V2389" s="579"/>
      <c r="W2389" s="566" t="str">
        <f>IF(U2384&gt;0,"xx",IF(P2384&gt;0,"xy",""))</f>
        <v/>
      </c>
      <c r="X2389" s="586" t="str">
        <f t="shared" si="622"/>
        <v/>
      </c>
      <c r="Y2389" s="586" t="str">
        <f t="shared" si="633"/>
        <v/>
      </c>
      <c r="Z2389" s="586" t="str">
        <f t="shared" si="621"/>
        <v/>
      </c>
    </row>
    <row r="2390" spans="1:26" ht="12" hidden="1" thickBot="1" x14ac:dyDescent="0.25">
      <c r="A2390" s="567" t="s">
        <v>42</v>
      </c>
      <c r="B2390" s="644" t="s">
        <v>42</v>
      </c>
      <c r="C2390" s="645" t="s">
        <v>206</v>
      </c>
      <c r="D2390" s="422" t="s">
        <v>418</v>
      </c>
      <c r="E2390" s="423"/>
      <c r="F2390" s="424"/>
      <c r="G2390" s="425"/>
      <c r="H2390" s="651">
        <f>SUM(H2391:H2395)</f>
        <v>590.83642489520014</v>
      </c>
      <c r="I2390" s="420">
        <f>VLOOKUP(D2390,'[2]ENSAIOS DE ORÇAMENTO'!$C$3:$L$79,8,FALSE)</f>
        <v>3484.3103660666666</v>
      </c>
      <c r="J2390" s="420">
        <f>IF(ISBLANK(I2390),"",SUM(H2390:I2390))</f>
        <v>4075.1467909618668</v>
      </c>
      <c r="K2390" s="421">
        <f t="shared" si="627"/>
        <v>4841.68</v>
      </c>
      <c r="L2390" s="647" t="s">
        <v>21</v>
      </c>
      <c r="M2390" s="576"/>
      <c r="N2390" s="576">
        <f t="shared" si="636"/>
        <v>0</v>
      </c>
      <c r="O2390" s="577">
        <f t="shared" si="630"/>
        <v>0</v>
      </c>
      <c r="P2390" s="578">
        <f t="shared" si="631"/>
        <v>0</v>
      </c>
      <c r="Q2390" s="765"/>
      <c r="R2390" s="576">
        <f>M2390</f>
        <v>0</v>
      </c>
      <c r="S2390" s="576">
        <f>N2390</f>
        <v>0</v>
      </c>
      <c r="T2390" s="577">
        <f t="shared" si="628"/>
        <v>0</v>
      </c>
      <c r="U2390" s="578">
        <f t="shared" si="629"/>
        <v>0</v>
      </c>
      <c r="V2390" s="579"/>
      <c r="W2390" s="566"/>
      <c r="X2390" s="586" t="str">
        <f t="shared" si="622"/>
        <v/>
      </c>
      <c r="Y2390" s="586" t="str">
        <f t="shared" si="633"/>
        <v/>
      </c>
      <c r="Z2390" s="586" t="str">
        <f t="shared" si="621"/>
        <v/>
      </c>
    </row>
    <row r="2391" spans="1:26" ht="12" hidden="1" thickBot="1" x14ac:dyDescent="0.25">
      <c r="A2391" s="567" t="s">
        <v>168</v>
      </c>
      <c r="B2391" s="644" t="s">
        <v>168</v>
      </c>
      <c r="C2391" s="645"/>
      <c r="D2391" s="422" t="s">
        <v>212</v>
      </c>
      <c r="E2391" s="423"/>
      <c r="F2391" s="424">
        <v>500</v>
      </c>
      <c r="G2391" s="425">
        <f>VLOOKUP(D2390,'[2]ENSAIOS DE ORÇAMENTO'!$C$3:$L$79,4,FALSE)</f>
        <v>0.56408220000000009</v>
      </c>
      <c r="H2391" s="649">
        <f>IF(F2391&lt;=30,(0.78*F2391+7.82)*G2391,((0.78*30+7.82)+0.78*(F2391-30))*G2391)</f>
        <v>224.40318080400007</v>
      </c>
      <c r="I2391" s="420"/>
      <c r="J2391" s="420"/>
      <c r="K2391" s="421">
        <f t="shared" si="627"/>
        <v>0</v>
      </c>
      <c r="L2391" s="647"/>
      <c r="M2391" s="723"/>
      <c r="N2391" s="576">
        <f t="shared" si="636"/>
        <v>0</v>
      </c>
      <c r="O2391" s="577">
        <f t="shared" si="630"/>
        <v>0</v>
      </c>
      <c r="P2391" s="578">
        <f t="shared" si="631"/>
        <v>0</v>
      </c>
      <c r="Q2391" s="765"/>
      <c r="R2391" s="723"/>
      <c r="S2391" s="723"/>
      <c r="T2391" s="577">
        <f t="shared" si="628"/>
        <v>0</v>
      </c>
      <c r="U2391" s="578">
        <f t="shared" si="629"/>
        <v>0</v>
      </c>
      <c r="V2391" s="579"/>
      <c r="W2391" s="566" t="str">
        <f>IF(U2390&gt;0,"xx",IF(P2390&gt;0,"xy",""))</f>
        <v/>
      </c>
      <c r="X2391" s="586" t="str">
        <f t="shared" si="622"/>
        <v/>
      </c>
      <c r="Y2391" s="586" t="str">
        <f t="shared" si="633"/>
        <v/>
      </c>
      <c r="Z2391" s="586" t="str">
        <f t="shared" si="621"/>
        <v/>
      </c>
    </row>
    <row r="2392" spans="1:26" ht="12" hidden="1" thickBot="1" x14ac:dyDescent="0.25">
      <c r="A2392" s="567" t="s">
        <v>168</v>
      </c>
      <c r="B2392" s="644" t="s">
        <v>168</v>
      </c>
      <c r="C2392" s="645"/>
      <c r="D2392" s="422" t="s">
        <v>248</v>
      </c>
      <c r="E2392" s="423"/>
      <c r="F2392" s="424">
        <v>180</v>
      </c>
      <c r="G2392" s="425">
        <f>VLOOKUP(D2390,'[2]ENSAIOS DE ORÇAMENTO'!$C$3:$L$79,5,FALSE)</f>
        <v>1.6356421400000001</v>
      </c>
      <c r="H2392" s="663">
        <f t="shared" ref="H2392:H2394" si="637">IF(F2392&lt;=30,(1.07*F2392+2.68)*G2392,((1.07*30+2.68)+1.07*(F2392-30))*G2392)</f>
        <v>319.40819709920004</v>
      </c>
      <c r="I2392" s="420"/>
      <c r="J2392" s="420"/>
      <c r="K2392" s="421">
        <f t="shared" si="627"/>
        <v>0</v>
      </c>
      <c r="L2392" s="647"/>
      <c r="M2392" s="723"/>
      <c r="N2392" s="576">
        <f t="shared" si="636"/>
        <v>0</v>
      </c>
      <c r="O2392" s="577">
        <f t="shared" si="630"/>
        <v>0</v>
      </c>
      <c r="P2392" s="578">
        <f t="shared" si="631"/>
        <v>0</v>
      </c>
      <c r="Q2392" s="765"/>
      <c r="R2392" s="723"/>
      <c r="S2392" s="723"/>
      <c r="T2392" s="577">
        <f t="shared" si="628"/>
        <v>0</v>
      </c>
      <c r="U2392" s="578">
        <f t="shared" si="629"/>
        <v>0</v>
      </c>
      <c r="V2392" s="579"/>
      <c r="W2392" s="566" t="str">
        <f>IF(U2390&gt;0,"xx",IF(P2390&gt;0,"xy",""))</f>
        <v/>
      </c>
      <c r="X2392" s="586" t="str">
        <f t="shared" si="622"/>
        <v/>
      </c>
      <c r="Y2392" s="586" t="str">
        <f t="shared" si="633"/>
        <v/>
      </c>
      <c r="Z2392" s="586" t="str">
        <f t="shared" si="621"/>
        <v/>
      </c>
    </row>
    <row r="2393" spans="1:26" ht="12" hidden="1" thickBot="1" x14ac:dyDescent="0.25">
      <c r="A2393" s="567" t="s">
        <v>168</v>
      </c>
      <c r="B2393" s="644" t="s">
        <v>168</v>
      </c>
      <c r="C2393" s="645"/>
      <c r="D2393" s="422" t="s">
        <v>252</v>
      </c>
      <c r="E2393" s="423"/>
      <c r="F2393" s="424">
        <v>20</v>
      </c>
      <c r="G2393" s="425">
        <f>VLOOKUP(D2390,'[2]ENSAIOS DE ORÇAMENTO'!$C$3:$L$79,6,FALSE)</f>
        <v>1.9528674000000004</v>
      </c>
      <c r="H2393" s="663">
        <f t="shared" si="637"/>
        <v>47.025046992000014</v>
      </c>
      <c r="I2393" s="420"/>
      <c r="J2393" s="420"/>
      <c r="K2393" s="421">
        <f t="shared" si="627"/>
        <v>0</v>
      </c>
      <c r="L2393" s="647"/>
      <c r="M2393" s="723"/>
      <c r="N2393" s="576">
        <f t="shared" si="636"/>
        <v>0</v>
      </c>
      <c r="O2393" s="577">
        <f t="shared" si="630"/>
        <v>0</v>
      </c>
      <c r="P2393" s="578">
        <f t="shared" si="631"/>
        <v>0</v>
      </c>
      <c r="Q2393" s="765"/>
      <c r="R2393" s="723"/>
      <c r="S2393" s="723"/>
      <c r="T2393" s="577">
        <f t="shared" si="628"/>
        <v>0</v>
      </c>
      <c r="U2393" s="578">
        <f t="shared" si="629"/>
        <v>0</v>
      </c>
      <c r="V2393" s="579"/>
      <c r="W2393" s="566" t="str">
        <f>IF(U2390&gt;0,"xx",IF(P2390&gt;0,"xy",""))</f>
        <v/>
      </c>
      <c r="X2393" s="586" t="str">
        <f t="shared" si="622"/>
        <v/>
      </c>
      <c r="Y2393" s="586" t="str">
        <f t="shared" si="633"/>
        <v/>
      </c>
      <c r="Z2393" s="586" t="str">
        <f t="shared" si="621"/>
        <v/>
      </c>
    </row>
    <row r="2394" spans="1:26" ht="12" hidden="1" thickBot="1" x14ac:dyDescent="0.25">
      <c r="A2394" s="567" t="s">
        <v>168</v>
      </c>
      <c r="B2394" s="644" t="s">
        <v>168</v>
      </c>
      <c r="C2394" s="645"/>
      <c r="D2394" s="422" t="s">
        <v>400</v>
      </c>
      <c r="E2394" s="423"/>
      <c r="F2394" s="424">
        <v>30</v>
      </c>
      <c r="G2394" s="425">
        <f>VLOOKUP(D2390,'[2]ENSAIOS DE ORÇAMENTO'!$C$3:$L$79,3,FALSE)</f>
        <v>0</v>
      </c>
      <c r="H2394" s="663">
        <f t="shared" si="637"/>
        <v>0</v>
      </c>
      <c r="I2394" s="420"/>
      <c r="J2394" s="420"/>
      <c r="K2394" s="421">
        <f t="shared" si="627"/>
        <v>0</v>
      </c>
      <c r="L2394" s="647"/>
      <c r="M2394" s="723"/>
      <c r="N2394" s="576">
        <f t="shared" si="636"/>
        <v>0</v>
      </c>
      <c r="O2394" s="577">
        <f t="shared" si="630"/>
        <v>0</v>
      </c>
      <c r="P2394" s="578">
        <f t="shared" si="631"/>
        <v>0</v>
      </c>
      <c r="Q2394" s="765"/>
      <c r="R2394" s="723"/>
      <c r="S2394" s="723"/>
      <c r="T2394" s="577">
        <f t="shared" si="628"/>
        <v>0</v>
      </c>
      <c r="U2394" s="578">
        <f t="shared" si="629"/>
        <v>0</v>
      </c>
      <c r="V2394" s="579"/>
      <c r="W2394" s="566" t="str">
        <f>IF(U2390&gt;0,"xx",IF(P2390&gt;0,"xy",""))</f>
        <v/>
      </c>
      <c r="X2394" s="586" t="str">
        <f t="shared" si="622"/>
        <v/>
      </c>
      <c r="Y2394" s="586" t="str">
        <f t="shared" si="633"/>
        <v/>
      </c>
      <c r="Z2394" s="586" t="str">
        <f t="shared" si="621"/>
        <v/>
      </c>
    </row>
    <row r="2395" spans="1:26" ht="12" hidden="1" thickBot="1" x14ac:dyDescent="0.25">
      <c r="A2395" s="567" t="s">
        <v>168</v>
      </c>
      <c r="B2395" s="644" t="s">
        <v>168</v>
      </c>
      <c r="C2395" s="645"/>
      <c r="D2395" s="422" t="s">
        <v>401</v>
      </c>
      <c r="E2395" s="423"/>
      <c r="F2395" s="424">
        <v>500</v>
      </c>
      <c r="G2395" s="425">
        <f>VLOOKUP(D2390,'[2]ENSAIOS DE ORÇAMENTO'!$C$3:$L$79,10,FALSE)</f>
        <v>0</v>
      </c>
      <c r="H2395" s="649">
        <f>IF(F2395&lt;=30,(0.78*F2395+7.82)*G2395,((0.78*30+7.82)+0.78*(F2395-30))*G2395)</f>
        <v>0</v>
      </c>
      <c r="I2395" s="420"/>
      <c r="J2395" s="420"/>
      <c r="K2395" s="421">
        <f t="shared" si="627"/>
        <v>0</v>
      </c>
      <c r="L2395" s="647"/>
      <c r="M2395" s="723"/>
      <c r="N2395" s="576">
        <f t="shared" si="636"/>
        <v>0</v>
      </c>
      <c r="O2395" s="577">
        <f t="shared" si="630"/>
        <v>0</v>
      </c>
      <c r="P2395" s="578">
        <f t="shared" si="631"/>
        <v>0</v>
      </c>
      <c r="Q2395" s="765"/>
      <c r="R2395" s="723"/>
      <c r="S2395" s="723"/>
      <c r="T2395" s="577">
        <f t="shared" si="628"/>
        <v>0</v>
      </c>
      <c r="U2395" s="578">
        <f t="shared" si="629"/>
        <v>0</v>
      </c>
      <c r="V2395" s="579"/>
      <c r="W2395" s="566" t="str">
        <f>IF(U2390&gt;0,"xx",IF(P2390&gt;0,"xy",""))</f>
        <v/>
      </c>
      <c r="X2395" s="586" t="str">
        <f t="shared" si="622"/>
        <v/>
      </c>
      <c r="Y2395" s="586" t="str">
        <f t="shared" si="633"/>
        <v/>
      </c>
      <c r="Z2395" s="586" t="str">
        <f t="shared" si="621"/>
        <v/>
      </c>
    </row>
    <row r="2396" spans="1:26" ht="12" hidden="1" thickBot="1" x14ac:dyDescent="0.25">
      <c r="A2396" s="567" t="s">
        <v>43</v>
      </c>
      <c r="B2396" s="644" t="s">
        <v>43</v>
      </c>
      <c r="C2396" s="645" t="s">
        <v>206</v>
      </c>
      <c r="D2396" s="422" t="s">
        <v>419</v>
      </c>
      <c r="E2396" s="423"/>
      <c r="F2396" s="424"/>
      <c r="G2396" s="425"/>
      <c r="H2396" s="651">
        <f>SUM(H2397:H2401)</f>
        <v>817.23322366720015</v>
      </c>
      <c r="I2396" s="420">
        <f>VLOOKUP(D2396,'[2]ENSAIOS DE ORÇAMENTO'!$C$3:$L$79,8,FALSE)</f>
        <v>4805.7457183999995</v>
      </c>
      <c r="J2396" s="420">
        <f>IF(ISBLANK(I2396),"",SUM(H2396:I2396))</f>
        <v>5622.9789420671996</v>
      </c>
      <c r="K2396" s="421">
        <f t="shared" si="627"/>
        <v>6680.66</v>
      </c>
      <c r="L2396" s="647" t="s">
        <v>21</v>
      </c>
      <c r="M2396" s="576"/>
      <c r="N2396" s="576">
        <f t="shared" si="636"/>
        <v>0</v>
      </c>
      <c r="O2396" s="577">
        <f t="shared" si="630"/>
        <v>0</v>
      </c>
      <c r="P2396" s="578">
        <f t="shared" si="631"/>
        <v>0</v>
      </c>
      <c r="Q2396" s="765"/>
      <c r="R2396" s="576">
        <f>M2396</f>
        <v>0</v>
      </c>
      <c r="S2396" s="576">
        <f>N2396</f>
        <v>0</v>
      </c>
      <c r="T2396" s="577">
        <f t="shared" si="628"/>
        <v>0</v>
      </c>
      <c r="U2396" s="578">
        <f t="shared" si="629"/>
        <v>0</v>
      </c>
      <c r="V2396" s="579"/>
      <c r="W2396" s="566"/>
      <c r="X2396" s="586" t="str">
        <f t="shared" si="622"/>
        <v/>
      </c>
      <c r="Y2396" s="586" t="str">
        <f t="shared" si="633"/>
        <v/>
      </c>
      <c r="Z2396" s="586" t="str">
        <f t="shared" si="621"/>
        <v/>
      </c>
    </row>
    <row r="2397" spans="1:26" ht="12" hidden="1" thickBot="1" x14ac:dyDescent="0.25">
      <c r="A2397" s="567" t="s">
        <v>168</v>
      </c>
      <c r="B2397" s="644" t="s">
        <v>168</v>
      </c>
      <c r="C2397" s="645"/>
      <c r="D2397" s="422" t="s">
        <v>212</v>
      </c>
      <c r="E2397" s="423"/>
      <c r="F2397" s="424">
        <v>500</v>
      </c>
      <c r="G2397" s="425">
        <f>VLOOKUP(D2396,'[2]ENSAIOS DE ORÇAMENTO'!$C$3:$L$79,4,FALSE)</f>
        <v>0.77929919999999997</v>
      </c>
      <c r="H2397" s="649">
        <f>IF(F2397&lt;=30,(0.78*F2397+7.82)*G2397,((0.78*30+7.82)+0.78*(F2397-30))*G2397)</f>
        <v>310.02080774400002</v>
      </c>
      <c r="I2397" s="420"/>
      <c r="J2397" s="420"/>
      <c r="K2397" s="421">
        <f t="shared" si="627"/>
        <v>0</v>
      </c>
      <c r="L2397" s="647"/>
      <c r="M2397" s="723"/>
      <c r="N2397" s="576">
        <f t="shared" si="636"/>
        <v>0</v>
      </c>
      <c r="O2397" s="577">
        <f t="shared" si="630"/>
        <v>0</v>
      </c>
      <c r="P2397" s="578">
        <f t="shared" si="631"/>
        <v>0</v>
      </c>
      <c r="Q2397" s="765"/>
      <c r="R2397" s="723"/>
      <c r="S2397" s="723"/>
      <c r="T2397" s="577">
        <f t="shared" si="628"/>
        <v>0</v>
      </c>
      <c r="U2397" s="578">
        <f t="shared" si="629"/>
        <v>0</v>
      </c>
      <c r="V2397" s="579"/>
      <c r="W2397" s="566" t="str">
        <f>IF(U2396&gt;0,"xx",IF(P2396&gt;0,"xy",""))</f>
        <v/>
      </c>
      <c r="X2397" s="586" t="str">
        <f t="shared" si="622"/>
        <v/>
      </c>
      <c r="Y2397" s="586" t="str">
        <f t="shared" si="633"/>
        <v/>
      </c>
      <c r="Z2397" s="586" t="str">
        <f t="shared" si="621"/>
        <v/>
      </c>
    </row>
    <row r="2398" spans="1:26" ht="12" hidden="1" thickBot="1" x14ac:dyDescent="0.25">
      <c r="A2398" s="567" t="s">
        <v>168</v>
      </c>
      <c r="B2398" s="644" t="s">
        <v>168</v>
      </c>
      <c r="C2398" s="645"/>
      <c r="D2398" s="422" t="s">
        <v>248</v>
      </c>
      <c r="E2398" s="423"/>
      <c r="F2398" s="424">
        <v>180</v>
      </c>
      <c r="G2398" s="425">
        <f>VLOOKUP(D2396,'[2]ENSAIOS DE ORÇAMENTO'!$C$3:$L$79,5,FALSE)</f>
        <v>2.26417504</v>
      </c>
      <c r="H2398" s="663">
        <f t="shared" ref="H2398:H2400" si="638">IF(F2398&lt;=30,(1.07*F2398+2.68)*G2398,((1.07*30+2.68)+1.07*(F2398-30))*G2398)</f>
        <v>442.14810181120004</v>
      </c>
      <c r="I2398" s="420"/>
      <c r="J2398" s="420"/>
      <c r="K2398" s="421">
        <f t="shared" si="627"/>
        <v>0</v>
      </c>
      <c r="L2398" s="647"/>
      <c r="M2398" s="723"/>
      <c r="N2398" s="576">
        <f t="shared" si="636"/>
        <v>0</v>
      </c>
      <c r="O2398" s="577">
        <f t="shared" si="630"/>
        <v>0</v>
      </c>
      <c r="P2398" s="578">
        <f t="shared" si="631"/>
        <v>0</v>
      </c>
      <c r="Q2398" s="765"/>
      <c r="R2398" s="723"/>
      <c r="S2398" s="723"/>
      <c r="T2398" s="577">
        <f t="shared" si="628"/>
        <v>0</v>
      </c>
      <c r="U2398" s="578">
        <f t="shared" si="629"/>
        <v>0</v>
      </c>
      <c r="V2398" s="579"/>
      <c r="W2398" s="566" t="str">
        <f>IF(U2396&gt;0,"xx",IF(P2396&gt;0,"xy",""))</f>
        <v/>
      </c>
      <c r="X2398" s="586" t="str">
        <f t="shared" si="622"/>
        <v/>
      </c>
      <c r="Y2398" s="586" t="str">
        <f t="shared" si="633"/>
        <v/>
      </c>
      <c r="Z2398" s="586" t="str">
        <f t="shared" si="621"/>
        <v/>
      </c>
    </row>
    <row r="2399" spans="1:26" ht="12" hidden="1" thickBot="1" x14ac:dyDescent="0.25">
      <c r="A2399" s="567" t="s">
        <v>168</v>
      </c>
      <c r="B2399" s="644" t="s">
        <v>168</v>
      </c>
      <c r="C2399" s="645"/>
      <c r="D2399" s="422" t="s">
        <v>252</v>
      </c>
      <c r="E2399" s="423"/>
      <c r="F2399" s="424">
        <v>20</v>
      </c>
      <c r="G2399" s="425">
        <f>VLOOKUP(D2396,'[2]ENSAIOS DE ORÇAMENTO'!$C$3:$L$79,6,FALSE)</f>
        <v>2.7020064000000001</v>
      </c>
      <c r="H2399" s="663">
        <f t="shared" si="638"/>
        <v>65.064314112000005</v>
      </c>
      <c r="I2399" s="420"/>
      <c r="J2399" s="420"/>
      <c r="K2399" s="421">
        <f t="shared" si="627"/>
        <v>0</v>
      </c>
      <c r="L2399" s="647"/>
      <c r="M2399" s="723"/>
      <c r="N2399" s="576">
        <f t="shared" si="636"/>
        <v>0</v>
      </c>
      <c r="O2399" s="577">
        <f t="shared" si="630"/>
        <v>0</v>
      </c>
      <c r="P2399" s="578">
        <f t="shared" si="631"/>
        <v>0</v>
      </c>
      <c r="Q2399" s="765"/>
      <c r="R2399" s="723"/>
      <c r="S2399" s="723"/>
      <c r="T2399" s="577">
        <f t="shared" si="628"/>
        <v>0</v>
      </c>
      <c r="U2399" s="578">
        <f t="shared" si="629"/>
        <v>0</v>
      </c>
      <c r="V2399" s="579"/>
      <c r="W2399" s="566" t="str">
        <f>IF(U2396&gt;0,"xx",IF(P2396&gt;0,"xy",""))</f>
        <v/>
      </c>
      <c r="X2399" s="586" t="str">
        <f t="shared" si="622"/>
        <v/>
      </c>
      <c r="Y2399" s="586" t="str">
        <f t="shared" si="633"/>
        <v/>
      </c>
      <c r="Z2399" s="586" t="str">
        <f t="shared" si="621"/>
        <v/>
      </c>
    </row>
    <row r="2400" spans="1:26" ht="12" hidden="1" thickBot="1" x14ac:dyDescent="0.25">
      <c r="A2400" s="567" t="s">
        <v>168</v>
      </c>
      <c r="B2400" s="644" t="s">
        <v>168</v>
      </c>
      <c r="C2400" s="645"/>
      <c r="D2400" s="422" t="s">
        <v>400</v>
      </c>
      <c r="E2400" s="423"/>
      <c r="F2400" s="424">
        <v>30</v>
      </c>
      <c r="G2400" s="425">
        <f>VLOOKUP(D2396,'[2]ENSAIOS DE ORÇAMENTO'!$C$3:$L$79,3,FALSE)</f>
        <v>0</v>
      </c>
      <c r="H2400" s="663">
        <f t="shared" si="638"/>
        <v>0</v>
      </c>
      <c r="I2400" s="420"/>
      <c r="J2400" s="420"/>
      <c r="K2400" s="421">
        <f t="shared" si="627"/>
        <v>0</v>
      </c>
      <c r="L2400" s="647"/>
      <c r="M2400" s="723"/>
      <c r="N2400" s="576">
        <f t="shared" si="636"/>
        <v>0</v>
      </c>
      <c r="O2400" s="577">
        <f t="shared" si="630"/>
        <v>0</v>
      </c>
      <c r="P2400" s="578">
        <f t="shared" si="631"/>
        <v>0</v>
      </c>
      <c r="Q2400" s="765"/>
      <c r="R2400" s="723"/>
      <c r="S2400" s="723"/>
      <c r="T2400" s="577">
        <f t="shared" si="628"/>
        <v>0</v>
      </c>
      <c r="U2400" s="578">
        <f t="shared" si="629"/>
        <v>0</v>
      </c>
      <c r="V2400" s="579"/>
      <c r="W2400" s="566" t="str">
        <f>IF(U2396&gt;0,"xx",IF(P2396&gt;0,"xy",""))</f>
        <v/>
      </c>
      <c r="X2400" s="586" t="str">
        <f t="shared" si="622"/>
        <v/>
      </c>
      <c r="Y2400" s="586" t="str">
        <f t="shared" si="633"/>
        <v/>
      </c>
      <c r="Z2400" s="586" t="str">
        <f t="shared" si="621"/>
        <v/>
      </c>
    </row>
    <row r="2401" spans="1:26" ht="12" hidden="1" thickBot="1" x14ac:dyDescent="0.25">
      <c r="A2401" s="567" t="s">
        <v>168</v>
      </c>
      <c r="B2401" s="644" t="s">
        <v>168</v>
      </c>
      <c r="C2401" s="645"/>
      <c r="D2401" s="422" t="s">
        <v>401</v>
      </c>
      <c r="E2401" s="423"/>
      <c r="F2401" s="424">
        <v>500</v>
      </c>
      <c r="G2401" s="425">
        <f>VLOOKUP(D2396,'[2]ENSAIOS DE ORÇAMENTO'!$C$3:$L$79,10,FALSE)</f>
        <v>0</v>
      </c>
      <c r="H2401" s="649">
        <f>IF(F2401&lt;=30,(0.78*F2401+7.82)*G2401,((0.78*30+7.82)+0.78*(F2401-30))*G2401)</f>
        <v>0</v>
      </c>
      <c r="I2401" s="420"/>
      <c r="J2401" s="420"/>
      <c r="K2401" s="421">
        <f t="shared" si="627"/>
        <v>0</v>
      </c>
      <c r="L2401" s="647"/>
      <c r="M2401" s="723"/>
      <c r="N2401" s="576">
        <f t="shared" si="636"/>
        <v>0</v>
      </c>
      <c r="O2401" s="577">
        <f t="shared" si="630"/>
        <v>0</v>
      </c>
      <c r="P2401" s="578">
        <f t="shared" si="631"/>
        <v>0</v>
      </c>
      <c r="Q2401" s="765"/>
      <c r="R2401" s="723"/>
      <c r="S2401" s="723"/>
      <c r="T2401" s="577">
        <f t="shared" si="628"/>
        <v>0</v>
      </c>
      <c r="U2401" s="578">
        <f t="shared" si="629"/>
        <v>0</v>
      </c>
      <c r="V2401" s="579"/>
      <c r="W2401" s="566" t="str">
        <f>IF(U2396&gt;0,"xx",IF(P2396&gt;0,"xy",""))</f>
        <v/>
      </c>
      <c r="X2401" s="586" t="str">
        <f t="shared" si="622"/>
        <v/>
      </c>
      <c r="Y2401" s="586" t="str">
        <f t="shared" si="633"/>
        <v/>
      </c>
      <c r="Z2401" s="586" t="str">
        <f t="shared" si="621"/>
        <v/>
      </c>
    </row>
    <row r="2402" spans="1:26" ht="12" hidden="1" thickBot="1" x14ac:dyDescent="0.25">
      <c r="A2402" s="567" t="s">
        <v>44</v>
      </c>
      <c r="B2402" s="644" t="s">
        <v>44</v>
      </c>
      <c r="C2402" s="645" t="s">
        <v>206</v>
      </c>
      <c r="D2402" s="422" t="s">
        <v>420</v>
      </c>
      <c r="E2402" s="423"/>
      <c r="F2402" s="424"/>
      <c r="G2402" s="425"/>
      <c r="H2402" s="651">
        <f>SUM(H2403:H2407)</f>
        <v>1267.4930508222001</v>
      </c>
      <c r="I2402" s="420">
        <f>VLOOKUP(D2402,'[2]ENSAIOS DE ORÇAMENTO'!$C$3:$L$79,8,FALSE)</f>
        <v>7260.3459926499991</v>
      </c>
      <c r="J2402" s="420">
        <f>IF(ISBLANK(I2402),"",SUM(H2402:I2402))</f>
        <v>8527.8390434721987</v>
      </c>
      <c r="K2402" s="421">
        <f t="shared" si="627"/>
        <v>10131.93</v>
      </c>
      <c r="L2402" s="647" t="s">
        <v>21</v>
      </c>
      <c r="M2402" s="576"/>
      <c r="N2402" s="576">
        <f t="shared" si="636"/>
        <v>0</v>
      </c>
      <c r="O2402" s="577">
        <f t="shared" si="630"/>
        <v>0</v>
      </c>
      <c r="P2402" s="578">
        <f t="shared" si="631"/>
        <v>0</v>
      </c>
      <c r="Q2402" s="765"/>
      <c r="R2402" s="576">
        <f>M2402</f>
        <v>0</v>
      </c>
      <c r="S2402" s="576">
        <f>N2402</f>
        <v>0</v>
      </c>
      <c r="T2402" s="577">
        <f t="shared" si="628"/>
        <v>0</v>
      </c>
      <c r="U2402" s="578">
        <f t="shared" si="629"/>
        <v>0</v>
      </c>
      <c r="V2402" s="579"/>
      <c r="W2402" s="566"/>
      <c r="X2402" s="586" t="str">
        <f t="shared" si="622"/>
        <v/>
      </c>
      <c r="Y2402" s="586" t="str">
        <f t="shared" si="633"/>
        <v/>
      </c>
      <c r="Z2402" s="586" t="str">
        <f t="shared" si="621"/>
        <v/>
      </c>
    </row>
    <row r="2403" spans="1:26" ht="12" hidden="1" thickBot="1" x14ac:dyDescent="0.25">
      <c r="A2403" s="567" t="s">
        <v>168</v>
      </c>
      <c r="B2403" s="644" t="s">
        <v>168</v>
      </c>
      <c r="C2403" s="645"/>
      <c r="D2403" s="422" t="s">
        <v>212</v>
      </c>
      <c r="E2403" s="423"/>
      <c r="F2403" s="424">
        <v>500</v>
      </c>
      <c r="G2403" s="425">
        <f>VLOOKUP(D2402,'[2]ENSAIOS DE ORÇAMENTO'!$C$3:$L$79,4,FALSE)</f>
        <v>1.2096229499999998</v>
      </c>
      <c r="H2403" s="649">
        <f>IF(F2403&lt;=30,(0.78*F2403+7.82)*G2403,((0.78*30+7.82)+0.78*(F2403-30))*G2403)</f>
        <v>481.21220196899998</v>
      </c>
      <c r="I2403" s="420"/>
      <c r="J2403" s="420"/>
      <c r="K2403" s="421">
        <f t="shared" si="627"/>
        <v>0</v>
      </c>
      <c r="L2403" s="647"/>
      <c r="M2403" s="723"/>
      <c r="N2403" s="576">
        <f t="shared" si="636"/>
        <v>0</v>
      </c>
      <c r="O2403" s="577">
        <f t="shared" si="630"/>
        <v>0</v>
      </c>
      <c r="P2403" s="578">
        <f t="shared" si="631"/>
        <v>0</v>
      </c>
      <c r="Q2403" s="765"/>
      <c r="R2403" s="723"/>
      <c r="S2403" s="723"/>
      <c r="T2403" s="577">
        <f t="shared" si="628"/>
        <v>0</v>
      </c>
      <c r="U2403" s="578">
        <f t="shared" si="629"/>
        <v>0</v>
      </c>
      <c r="V2403" s="579"/>
      <c r="W2403" s="566" t="str">
        <f>IF(U2402&gt;0,"xx",IF(P2402&gt;0,"xy",""))</f>
        <v/>
      </c>
      <c r="X2403" s="586" t="str">
        <f t="shared" si="622"/>
        <v/>
      </c>
      <c r="Y2403" s="586" t="str">
        <f t="shared" si="633"/>
        <v/>
      </c>
      <c r="Z2403" s="586" t="str">
        <f t="shared" si="621"/>
        <v/>
      </c>
    </row>
    <row r="2404" spans="1:26" ht="12" hidden="1" thickBot="1" x14ac:dyDescent="0.25">
      <c r="A2404" s="567" t="s">
        <v>168</v>
      </c>
      <c r="B2404" s="644" t="s">
        <v>168</v>
      </c>
      <c r="C2404" s="645"/>
      <c r="D2404" s="422" t="s">
        <v>248</v>
      </c>
      <c r="E2404" s="423"/>
      <c r="F2404" s="424">
        <v>180</v>
      </c>
      <c r="G2404" s="425">
        <f>VLOOKUP(D2402,'[2]ENSAIOS DE ORÇAMENTO'!$C$3:$L$79,5,FALSE)</f>
        <v>3.5097804149999998</v>
      </c>
      <c r="H2404" s="663">
        <f t="shared" ref="H2404:H2406" si="639">IF(F2404&lt;=30,(1.07*F2404+2.68)*G2404,((1.07*30+2.68)+1.07*(F2404-30))*G2404)</f>
        <v>685.38991944119994</v>
      </c>
      <c r="I2404" s="420"/>
      <c r="J2404" s="420"/>
      <c r="K2404" s="421">
        <f t="shared" si="627"/>
        <v>0</v>
      </c>
      <c r="L2404" s="647"/>
      <c r="M2404" s="723"/>
      <c r="N2404" s="576">
        <f t="shared" si="636"/>
        <v>0</v>
      </c>
      <c r="O2404" s="577">
        <f t="shared" si="630"/>
        <v>0</v>
      </c>
      <c r="P2404" s="578">
        <f t="shared" si="631"/>
        <v>0</v>
      </c>
      <c r="Q2404" s="765"/>
      <c r="R2404" s="723"/>
      <c r="S2404" s="723"/>
      <c r="T2404" s="577">
        <f t="shared" si="628"/>
        <v>0</v>
      </c>
      <c r="U2404" s="578">
        <f t="shared" si="629"/>
        <v>0</v>
      </c>
      <c r="V2404" s="579"/>
      <c r="W2404" s="566" t="str">
        <f>IF(U2402&gt;0,"xx",IF(P2402&gt;0,"xy",""))</f>
        <v/>
      </c>
      <c r="X2404" s="586" t="str">
        <f t="shared" si="622"/>
        <v/>
      </c>
      <c r="Y2404" s="586" t="str">
        <f t="shared" si="633"/>
        <v/>
      </c>
      <c r="Z2404" s="586" t="str">
        <f t="shared" si="621"/>
        <v/>
      </c>
    </row>
    <row r="2405" spans="1:26" ht="12" hidden="1" thickBot="1" x14ac:dyDescent="0.25">
      <c r="A2405" s="567" t="s">
        <v>168</v>
      </c>
      <c r="B2405" s="644" t="s">
        <v>168</v>
      </c>
      <c r="C2405" s="645"/>
      <c r="D2405" s="422" t="s">
        <v>252</v>
      </c>
      <c r="E2405" s="423"/>
      <c r="F2405" s="424">
        <v>20</v>
      </c>
      <c r="G2405" s="425">
        <f>VLOOKUP(D2402,'[2]ENSAIOS DE ORÇAMENTO'!$C$3:$L$79,6,FALSE)</f>
        <v>4.18982265</v>
      </c>
      <c r="H2405" s="663">
        <f t="shared" si="639"/>
        <v>100.89092941200001</v>
      </c>
      <c r="I2405" s="420"/>
      <c r="J2405" s="420"/>
      <c r="K2405" s="421">
        <f t="shared" si="627"/>
        <v>0</v>
      </c>
      <c r="L2405" s="647"/>
      <c r="M2405" s="723"/>
      <c r="N2405" s="576">
        <f t="shared" si="636"/>
        <v>0</v>
      </c>
      <c r="O2405" s="577">
        <f t="shared" si="630"/>
        <v>0</v>
      </c>
      <c r="P2405" s="578">
        <f t="shared" si="631"/>
        <v>0</v>
      </c>
      <c r="Q2405" s="765"/>
      <c r="R2405" s="723"/>
      <c r="S2405" s="723"/>
      <c r="T2405" s="577">
        <f t="shared" si="628"/>
        <v>0</v>
      </c>
      <c r="U2405" s="578">
        <f t="shared" si="629"/>
        <v>0</v>
      </c>
      <c r="V2405" s="579"/>
      <c r="W2405" s="566" t="str">
        <f>IF(U2402&gt;0,"xx",IF(P2402&gt;0,"xy",""))</f>
        <v/>
      </c>
      <c r="X2405" s="586" t="str">
        <f t="shared" si="622"/>
        <v/>
      </c>
      <c r="Y2405" s="586" t="str">
        <f t="shared" si="633"/>
        <v/>
      </c>
      <c r="Z2405" s="586" t="str">
        <f t="shared" si="621"/>
        <v/>
      </c>
    </row>
    <row r="2406" spans="1:26" ht="12" hidden="1" thickBot="1" x14ac:dyDescent="0.25">
      <c r="A2406" s="567" t="s">
        <v>168</v>
      </c>
      <c r="B2406" s="644" t="s">
        <v>168</v>
      </c>
      <c r="C2406" s="645"/>
      <c r="D2406" s="422" t="s">
        <v>400</v>
      </c>
      <c r="E2406" s="423"/>
      <c r="F2406" s="424">
        <v>30</v>
      </c>
      <c r="G2406" s="425">
        <f>VLOOKUP(D2402,'[2]ENSAIOS DE ORÇAMENTO'!$C$3:$L$79,3,FALSE)</f>
        <v>0</v>
      </c>
      <c r="H2406" s="663">
        <f t="shared" si="639"/>
        <v>0</v>
      </c>
      <c r="I2406" s="420"/>
      <c r="J2406" s="420"/>
      <c r="K2406" s="421">
        <f t="shared" si="627"/>
        <v>0</v>
      </c>
      <c r="L2406" s="647"/>
      <c r="M2406" s="723"/>
      <c r="N2406" s="576">
        <f t="shared" si="636"/>
        <v>0</v>
      </c>
      <c r="O2406" s="577">
        <f t="shared" si="630"/>
        <v>0</v>
      </c>
      <c r="P2406" s="578">
        <f t="shared" si="631"/>
        <v>0</v>
      </c>
      <c r="Q2406" s="765"/>
      <c r="R2406" s="723"/>
      <c r="S2406" s="723"/>
      <c r="T2406" s="577">
        <f t="shared" si="628"/>
        <v>0</v>
      </c>
      <c r="U2406" s="578">
        <f t="shared" si="629"/>
        <v>0</v>
      </c>
      <c r="V2406" s="579"/>
      <c r="W2406" s="566" t="str">
        <f>IF(U2402&gt;0,"xx",IF(P2402&gt;0,"xy",""))</f>
        <v/>
      </c>
      <c r="X2406" s="586" t="str">
        <f t="shared" si="622"/>
        <v/>
      </c>
      <c r="Y2406" s="586" t="str">
        <f t="shared" si="633"/>
        <v/>
      </c>
      <c r="Z2406" s="586" t="str">
        <f t="shared" si="621"/>
        <v/>
      </c>
    </row>
    <row r="2407" spans="1:26" ht="12" hidden="1" thickBot="1" x14ac:dyDescent="0.25">
      <c r="A2407" s="567" t="s">
        <v>168</v>
      </c>
      <c r="B2407" s="644" t="s">
        <v>168</v>
      </c>
      <c r="C2407" s="645"/>
      <c r="D2407" s="422" t="s">
        <v>401</v>
      </c>
      <c r="E2407" s="423"/>
      <c r="F2407" s="424">
        <v>500</v>
      </c>
      <c r="G2407" s="425">
        <f>VLOOKUP(D2402,'[2]ENSAIOS DE ORÇAMENTO'!$C$3:$L$79,10,FALSE)</f>
        <v>0</v>
      </c>
      <c r="H2407" s="649">
        <f>IF(F2407&lt;=30,(0.78*F2407+7.82)*G2407,((0.78*30+7.82)+0.78*(F2407-30))*G2407)</f>
        <v>0</v>
      </c>
      <c r="I2407" s="420"/>
      <c r="J2407" s="420"/>
      <c r="K2407" s="421">
        <f t="shared" si="627"/>
        <v>0</v>
      </c>
      <c r="L2407" s="647"/>
      <c r="M2407" s="723"/>
      <c r="N2407" s="576">
        <f t="shared" si="636"/>
        <v>0</v>
      </c>
      <c r="O2407" s="577">
        <f t="shared" si="630"/>
        <v>0</v>
      </c>
      <c r="P2407" s="578">
        <f t="shared" si="631"/>
        <v>0</v>
      </c>
      <c r="Q2407" s="765"/>
      <c r="R2407" s="723"/>
      <c r="S2407" s="723"/>
      <c r="T2407" s="577">
        <f t="shared" si="628"/>
        <v>0</v>
      </c>
      <c r="U2407" s="578">
        <f t="shared" si="629"/>
        <v>0</v>
      </c>
      <c r="V2407" s="579"/>
      <c r="W2407" s="566" t="str">
        <f>IF(U2402&gt;0,"xx",IF(P2402&gt;0,"xy",""))</f>
        <v/>
      </c>
      <c r="X2407" s="586" t="str">
        <f t="shared" si="622"/>
        <v/>
      </c>
      <c r="Y2407" s="586" t="str">
        <f t="shared" si="633"/>
        <v/>
      </c>
      <c r="Z2407" s="586" t="str">
        <f t="shared" si="621"/>
        <v/>
      </c>
    </row>
    <row r="2408" spans="1:26" ht="12" hidden="1" thickBot="1" x14ac:dyDescent="0.25">
      <c r="A2408" s="567" t="s">
        <v>45</v>
      </c>
      <c r="B2408" s="644" t="s">
        <v>45</v>
      </c>
      <c r="C2408" s="645" t="s">
        <v>206</v>
      </c>
      <c r="D2408" s="422" t="s">
        <v>421</v>
      </c>
      <c r="E2408" s="423"/>
      <c r="F2408" s="424"/>
      <c r="G2408" s="425"/>
      <c r="H2408" s="651">
        <f>SUM(H2409:H2413)</f>
        <v>1997.8318681182</v>
      </c>
      <c r="I2408" s="420">
        <f>VLOOKUP(D2408,'[2]ENSAIOS DE ORÇAMENTO'!$C$3:$L$79,8,FALSE)</f>
        <v>11469.066144649998</v>
      </c>
      <c r="J2408" s="420">
        <f>IF(ISBLANK(I2408),"",SUM(H2408:I2408))</f>
        <v>13466.898012768197</v>
      </c>
      <c r="K2408" s="421">
        <f t="shared" si="627"/>
        <v>16000.02</v>
      </c>
      <c r="L2408" s="647" t="s">
        <v>21</v>
      </c>
      <c r="M2408" s="576"/>
      <c r="N2408" s="576">
        <f t="shared" si="636"/>
        <v>0</v>
      </c>
      <c r="O2408" s="577">
        <f t="shared" si="630"/>
        <v>0</v>
      </c>
      <c r="P2408" s="578">
        <f t="shared" si="631"/>
        <v>0</v>
      </c>
      <c r="Q2408" s="765"/>
      <c r="R2408" s="576">
        <f>M2408</f>
        <v>0</v>
      </c>
      <c r="S2408" s="576">
        <f>N2408</f>
        <v>0</v>
      </c>
      <c r="T2408" s="577">
        <f t="shared" si="628"/>
        <v>0</v>
      </c>
      <c r="U2408" s="578">
        <f t="shared" si="629"/>
        <v>0</v>
      </c>
      <c r="V2408" s="579"/>
      <c r="W2408" s="566"/>
      <c r="X2408" s="586" t="str">
        <f t="shared" si="622"/>
        <v/>
      </c>
      <c r="Y2408" s="586" t="str">
        <f t="shared" si="633"/>
        <v/>
      </c>
      <c r="Z2408" s="586" t="str">
        <f t="shared" ref="Z2408:Z2471" si="640">IF(W2408="X","x",IF(U2408&gt;0,"x",""))</f>
        <v/>
      </c>
    </row>
    <row r="2409" spans="1:26" ht="12" hidden="1" thickBot="1" x14ac:dyDescent="0.25">
      <c r="A2409" s="567" t="s">
        <v>168</v>
      </c>
      <c r="B2409" s="644" t="s">
        <v>168</v>
      </c>
      <c r="C2409" s="645"/>
      <c r="D2409" s="422" t="s">
        <v>212</v>
      </c>
      <c r="E2409" s="423"/>
      <c r="F2409" s="424">
        <v>500</v>
      </c>
      <c r="G2409" s="425">
        <f>VLOOKUP(D2408,'[2]ENSAIOS DE ORÇAMENTO'!$C$3:$L$79,4,FALSE)</f>
        <v>1.9087789500000001</v>
      </c>
      <c r="H2409" s="649">
        <f>IF(F2409&lt;=30,(0.78*F2409+7.82)*G2409,((0.78*30+7.82)+0.78*(F2409-30))*G2409)</f>
        <v>759.35044188900008</v>
      </c>
      <c r="I2409" s="420"/>
      <c r="J2409" s="420"/>
      <c r="K2409" s="421">
        <f t="shared" si="627"/>
        <v>0</v>
      </c>
      <c r="L2409" s="647"/>
      <c r="M2409" s="723"/>
      <c r="N2409" s="576">
        <f t="shared" si="636"/>
        <v>0</v>
      </c>
      <c r="O2409" s="577">
        <f t="shared" si="630"/>
        <v>0</v>
      </c>
      <c r="P2409" s="578">
        <f t="shared" si="631"/>
        <v>0</v>
      </c>
      <c r="Q2409" s="765"/>
      <c r="R2409" s="723"/>
      <c r="S2409" s="723"/>
      <c r="T2409" s="577">
        <f t="shared" si="628"/>
        <v>0</v>
      </c>
      <c r="U2409" s="578">
        <f t="shared" si="629"/>
        <v>0</v>
      </c>
      <c r="V2409" s="579"/>
      <c r="W2409" s="566" t="str">
        <f>IF(U2408&gt;0,"xx",IF(P2408&gt;0,"xy",""))</f>
        <v/>
      </c>
      <c r="X2409" s="586" t="str">
        <f t="shared" si="622"/>
        <v/>
      </c>
      <c r="Y2409" s="586" t="str">
        <f t="shared" si="633"/>
        <v/>
      </c>
      <c r="Z2409" s="586" t="str">
        <f t="shared" si="640"/>
        <v/>
      </c>
    </row>
    <row r="2410" spans="1:26" ht="12" hidden="1" thickBot="1" x14ac:dyDescent="0.25">
      <c r="A2410" s="567" t="s">
        <v>168</v>
      </c>
      <c r="B2410" s="644" t="s">
        <v>168</v>
      </c>
      <c r="C2410" s="645"/>
      <c r="D2410" s="422" t="s">
        <v>248</v>
      </c>
      <c r="E2410" s="423"/>
      <c r="F2410" s="424">
        <v>180</v>
      </c>
      <c r="G2410" s="425">
        <f>VLOOKUP(D2408,'[2]ENSAIOS DE ORÇAMENTO'!$C$3:$L$79,5,FALSE)</f>
        <v>5.5279776150000002</v>
      </c>
      <c r="H2410" s="663">
        <f t="shared" ref="H2410:H2412" si="641">IF(F2410&lt;=30,(1.07*F2410+2.68)*G2410,((1.07*30+2.68)+1.07*(F2410-30))*G2410)</f>
        <v>1079.5034686572001</v>
      </c>
      <c r="I2410" s="420"/>
      <c r="J2410" s="420"/>
      <c r="K2410" s="421">
        <f t="shared" si="627"/>
        <v>0</v>
      </c>
      <c r="L2410" s="647"/>
      <c r="M2410" s="723"/>
      <c r="N2410" s="576">
        <f t="shared" si="636"/>
        <v>0</v>
      </c>
      <c r="O2410" s="577">
        <f t="shared" si="630"/>
        <v>0</v>
      </c>
      <c r="P2410" s="578">
        <f t="shared" si="631"/>
        <v>0</v>
      </c>
      <c r="Q2410" s="765"/>
      <c r="R2410" s="723"/>
      <c r="S2410" s="723"/>
      <c r="T2410" s="577">
        <f t="shared" si="628"/>
        <v>0</v>
      </c>
      <c r="U2410" s="578">
        <f t="shared" si="629"/>
        <v>0</v>
      </c>
      <c r="V2410" s="579"/>
      <c r="W2410" s="566" t="str">
        <f>IF(U2408&gt;0,"xx",IF(P2408&gt;0,"xy",""))</f>
        <v/>
      </c>
      <c r="X2410" s="586" t="str">
        <f t="shared" si="622"/>
        <v/>
      </c>
      <c r="Y2410" s="586" t="str">
        <f t="shared" si="633"/>
        <v/>
      </c>
      <c r="Z2410" s="586" t="str">
        <f t="shared" si="640"/>
        <v/>
      </c>
    </row>
    <row r="2411" spans="1:26" ht="12" hidden="1" thickBot="1" x14ac:dyDescent="0.25">
      <c r="A2411" s="567" t="s">
        <v>168</v>
      </c>
      <c r="B2411" s="644" t="s">
        <v>168</v>
      </c>
      <c r="C2411" s="645"/>
      <c r="D2411" s="422" t="s">
        <v>252</v>
      </c>
      <c r="E2411" s="423"/>
      <c r="F2411" s="424">
        <v>20</v>
      </c>
      <c r="G2411" s="425">
        <f>VLOOKUP(D2408,'[2]ENSAIOS DE ORÇAMENTO'!$C$3:$L$79,6,FALSE)</f>
        <v>6.6020746500000005</v>
      </c>
      <c r="H2411" s="663">
        <f t="shared" si="641"/>
        <v>158.97795757200004</v>
      </c>
      <c r="I2411" s="420"/>
      <c r="J2411" s="420"/>
      <c r="K2411" s="421">
        <f t="shared" si="627"/>
        <v>0</v>
      </c>
      <c r="L2411" s="647"/>
      <c r="M2411" s="723"/>
      <c r="N2411" s="576">
        <f t="shared" si="636"/>
        <v>0</v>
      </c>
      <c r="O2411" s="577">
        <f t="shared" si="630"/>
        <v>0</v>
      </c>
      <c r="P2411" s="578">
        <f t="shared" si="631"/>
        <v>0</v>
      </c>
      <c r="Q2411" s="765"/>
      <c r="R2411" s="723"/>
      <c r="S2411" s="723"/>
      <c r="T2411" s="577">
        <f t="shared" si="628"/>
        <v>0</v>
      </c>
      <c r="U2411" s="578">
        <f t="shared" si="629"/>
        <v>0</v>
      </c>
      <c r="V2411" s="579"/>
      <c r="W2411" s="566" t="str">
        <f>IF(U2408&gt;0,"xx",IF(P2408&gt;0,"xy",""))</f>
        <v/>
      </c>
      <c r="X2411" s="586" t="str">
        <f t="shared" ref="X2411:X2474" si="642">IF(W2411="X","x",IF(W2411="xx","x",IF(W2411="xy","x",IF(W2411="y","x",IF(OR(P2411&gt;0,U2411&gt;0),"x","")))))</f>
        <v/>
      </c>
      <c r="Y2411" s="586" t="str">
        <f t="shared" si="633"/>
        <v/>
      </c>
      <c r="Z2411" s="586" t="str">
        <f t="shared" si="640"/>
        <v/>
      </c>
    </row>
    <row r="2412" spans="1:26" ht="12" hidden="1" thickBot="1" x14ac:dyDescent="0.25">
      <c r="A2412" s="567" t="s">
        <v>168</v>
      </c>
      <c r="B2412" s="644" t="s">
        <v>168</v>
      </c>
      <c r="C2412" s="645"/>
      <c r="D2412" s="422" t="s">
        <v>400</v>
      </c>
      <c r="E2412" s="423"/>
      <c r="F2412" s="424">
        <v>30</v>
      </c>
      <c r="G2412" s="425">
        <f>VLOOKUP(D2408,'[2]ENSAIOS DE ORÇAMENTO'!$C$3:$L$79,3,FALSE)</f>
        <v>0</v>
      </c>
      <c r="H2412" s="663">
        <f t="shared" si="641"/>
        <v>0</v>
      </c>
      <c r="I2412" s="420"/>
      <c r="J2412" s="420"/>
      <c r="K2412" s="421">
        <f t="shared" si="627"/>
        <v>0</v>
      </c>
      <c r="L2412" s="647"/>
      <c r="M2412" s="723"/>
      <c r="N2412" s="576">
        <f t="shared" si="636"/>
        <v>0</v>
      </c>
      <c r="O2412" s="577">
        <f t="shared" si="630"/>
        <v>0</v>
      </c>
      <c r="P2412" s="578">
        <f t="shared" si="631"/>
        <v>0</v>
      </c>
      <c r="Q2412" s="765"/>
      <c r="R2412" s="723"/>
      <c r="S2412" s="723"/>
      <c r="T2412" s="577">
        <f t="shared" si="628"/>
        <v>0</v>
      </c>
      <c r="U2412" s="578">
        <f t="shared" si="629"/>
        <v>0</v>
      </c>
      <c r="V2412" s="579"/>
      <c r="W2412" s="566" t="str">
        <f>IF(U2408&gt;0,"xx",IF(P2408&gt;0,"xy",""))</f>
        <v/>
      </c>
      <c r="X2412" s="586" t="str">
        <f t="shared" si="642"/>
        <v/>
      </c>
      <c r="Y2412" s="586" t="str">
        <f t="shared" si="633"/>
        <v/>
      </c>
      <c r="Z2412" s="586" t="str">
        <f t="shared" si="640"/>
        <v/>
      </c>
    </row>
    <row r="2413" spans="1:26" ht="12" hidden="1" thickBot="1" x14ac:dyDescent="0.25">
      <c r="A2413" s="567" t="s">
        <v>168</v>
      </c>
      <c r="B2413" s="644" t="s">
        <v>168</v>
      </c>
      <c r="C2413" s="645"/>
      <c r="D2413" s="422" t="s">
        <v>401</v>
      </c>
      <c r="E2413" s="423"/>
      <c r="F2413" s="424">
        <v>500</v>
      </c>
      <c r="G2413" s="425">
        <f>VLOOKUP(D2408,'[2]ENSAIOS DE ORÇAMENTO'!$C$3:$L$79,10,FALSE)</f>
        <v>0</v>
      </c>
      <c r="H2413" s="649">
        <f>IF(F2413&lt;=30,(0.78*F2413+7.82)*G2413,((0.78*30+7.82)+0.78*(F2413-30))*G2413)</f>
        <v>0</v>
      </c>
      <c r="I2413" s="420"/>
      <c r="J2413" s="420"/>
      <c r="K2413" s="421">
        <f t="shared" si="627"/>
        <v>0</v>
      </c>
      <c r="L2413" s="647"/>
      <c r="M2413" s="723"/>
      <c r="N2413" s="576">
        <f t="shared" si="636"/>
        <v>0</v>
      </c>
      <c r="O2413" s="577">
        <f t="shared" si="630"/>
        <v>0</v>
      </c>
      <c r="P2413" s="578">
        <f t="shared" si="631"/>
        <v>0</v>
      </c>
      <c r="Q2413" s="765"/>
      <c r="R2413" s="723"/>
      <c r="S2413" s="723"/>
      <c r="T2413" s="577">
        <f t="shared" si="628"/>
        <v>0</v>
      </c>
      <c r="U2413" s="578">
        <f t="shared" si="629"/>
        <v>0</v>
      </c>
      <c r="V2413" s="579"/>
      <c r="W2413" s="566" t="str">
        <f>IF(U2408&gt;0,"xx",IF(P2408&gt;0,"xy",""))</f>
        <v/>
      </c>
      <c r="X2413" s="586" t="str">
        <f t="shared" si="642"/>
        <v/>
      </c>
      <c r="Y2413" s="586" t="str">
        <f t="shared" si="633"/>
        <v/>
      </c>
      <c r="Z2413" s="586" t="str">
        <f t="shared" si="640"/>
        <v/>
      </c>
    </row>
    <row r="2414" spans="1:26" ht="12" hidden="1" thickBot="1" x14ac:dyDescent="0.25">
      <c r="A2414" s="567" t="s">
        <v>133</v>
      </c>
      <c r="B2414" s="644" t="s">
        <v>133</v>
      </c>
      <c r="C2414" s="645" t="s">
        <v>206</v>
      </c>
      <c r="D2414" s="422" t="s">
        <v>145</v>
      </c>
      <c r="E2414" s="423"/>
      <c r="F2414" s="424"/>
      <c r="G2414" s="425"/>
      <c r="H2414" s="651">
        <f>SUM(H2415:H2419)</f>
        <v>425.22710196400004</v>
      </c>
      <c r="I2414" s="420">
        <f>VLOOKUP(D2414,'[2]ENSAIOS DE ORÇAMENTO'!$C$3:$L$79,8,FALSE)</f>
        <v>2164.1967759999998</v>
      </c>
      <c r="J2414" s="420">
        <f>IF(ISBLANK(I2414),"",SUM(H2414:I2414))</f>
        <v>2589.423877964</v>
      </c>
      <c r="K2414" s="421">
        <f t="shared" si="627"/>
        <v>3076.49</v>
      </c>
      <c r="L2414" s="647" t="s">
        <v>21</v>
      </c>
      <c r="M2414" s="576"/>
      <c r="N2414" s="576">
        <f t="shared" si="636"/>
        <v>0</v>
      </c>
      <c r="O2414" s="577">
        <f t="shared" si="630"/>
        <v>0</v>
      </c>
      <c r="P2414" s="578">
        <f t="shared" si="631"/>
        <v>0</v>
      </c>
      <c r="Q2414" s="765"/>
      <c r="R2414" s="576">
        <f>M2414</f>
        <v>0</v>
      </c>
      <c r="S2414" s="576">
        <f>N2414</f>
        <v>0</v>
      </c>
      <c r="T2414" s="577">
        <f t="shared" si="628"/>
        <v>0</v>
      </c>
      <c r="U2414" s="578">
        <f t="shared" si="629"/>
        <v>0</v>
      </c>
      <c r="V2414" s="579"/>
      <c r="W2414" s="566"/>
      <c r="X2414" s="586" t="str">
        <f t="shared" si="642"/>
        <v/>
      </c>
      <c r="Y2414" s="586" t="str">
        <f t="shared" si="633"/>
        <v/>
      </c>
      <c r="Z2414" s="586" t="str">
        <f t="shared" si="640"/>
        <v/>
      </c>
    </row>
    <row r="2415" spans="1:26" ht="12" hidden="1" thickBot="1" x14ac:dyDescent="0.25">
      <c r="A2415" s="567" t="s">
        <v>168</v>
      </c>
      <c r="B2415" s="644" t="s">
        <v>168</v>
      </c>
      <c r="C2415" s="645"/>
      <c r="D2415" s="422" t="s">
        <v>212</v>
      </c>
      <c r="E2415" s="423"/>
      <c r="F2415" s="424">
        <v>500</v>
      </c>
      <c r="G2415" s="425">
        <f>VLOOKUP(D2414,'[2]ENSAIOS DE ORÇAMENTO'!$C$3:$L$79,4,FALSE)</f>
        <v>0.35276220000000008</v>
      </c>
      <c r="H2415" s="649">
        <f>IF(F2415&lt;=30,(0.78*F2415+7.82)*G2415,((0.78*30+7.82)+0.78*(F2415-30))*G2415)</f>
        <v>140.33585840400005</v>
      </c>
      <c r="I2415" s="420"/>
      <c r="J2415" s="420"/>
      <c r="K2415" s="421">
        <f t="shared" si="627"/>
        <v>0</v>
      </c>
      <c r="L2415" s="647"/>
      <c r="M2415" s="723"/>
      <c r="N2415" s="576">
        <f t="shared" si="636"/>
        <v>0</v>
      </c>
      <c r="O2415" s="577">
        <f t="shared" si="630"/>
        <v>0</v>
      </c>
      <c r="P2415" s="578">
        <f t="shared" si="631"/>
        <v>0</v>
      </c>
      <c r="Q2415" s="765"/>
      <c r="R2415" s="723"/>
      <c r="S2415" s="723"/>
      <c r="T2415" s="577">
        <f t="shared" si="628"/>
        <v>0</v>
      </c>
      <c r="U2415" s="578">
        <f t="shared" si="629"/>
        <v>0</v>
      </c>
      <c r="V2415" s="579"/>
      <c r="W2415" s="566" t="str">
        <f>IF(U2414&gt;0,"xx",IF(P2414&gt;0,"xy",""))</f>
        <v/>
      </c>
      <c r="X2415" s="586" t="str">
        <f t="shared" si="642"/>
        <v/>
      </c>
      <c r="Y2415" s="586" t="str">
        <f t="shared" si="633"/>
        <v/>
      </c>
      <c r="Z2415" s="586" t="str">
        <f t="shared" si="640"/>
        <v/>
      </c>
    </row>
    <row r="2416" spans="1:26" ht="12" hidden="1" thickBot="1" x14ac:dyDescent="0.25">
      <c r="A2416" s="567" t="s">
        <v>168</v>
      </c>
      <c r="B2416" s="644" t="s">
        <v>168</v>
      </c>
      <c r="C2416" s="645"/>
      <c r="D2416" s="422" t="s">
        <v>248</v>
      </c>
      <c r="E2416" s="423"/>
      <c r="F2416" s="424">
        <v>180</v>
      </c>
      <c r="G2416" s="425">
        <f>VLOOKUP(D2414,'[2]ENSAIOS DE ORÇAMENTO'!$C$3:$L$79,5,FALSE)</f>
        <v>1.1888125000000003</v>
      </c>
      <c r="H2416" s="663">
        <f t="shared" ref="H2416:H2418" si="643">IF(F2416&lt;=30,(1.07*F2416+2.68)*G2416,((1.07*30+2.68)+1.07*(F2416-30))*G2416)</f>
        <v>232.15130500000006</v>
      </c>
      <c r="I2416" s="420"/>
      <c r="J2416" s="420"/>
      <c r="K2416" s="421">
        <f t="shared" si="627"/>
        <v>0</v>
      </c>
      <c r="L2416" s="647"/>
      <c r="M2416" s="723"/>
      <c r="N2416" s="576">
        <f t="shared" si="636"/>
        <v>0</v>
      </c>
      <c r="O2416" s="577">
        <f t="shared" si="630"/>
        <v>0</v>
      </c>
      <c r="P2416" s="578">
        <f t="shared" si="631"/>
        <v>0</v>
      </c>
      <c r="Q2416" s="765"/>
      <c r="R2416" s="723"/>
      <c r="S2416" s="723"/>
      <c r="T2416" s="577">
        <f t="shared" si="628"/>
        <v>0</v>
      </c>
      <c r="U2416" s="578">
        <f t="shared" si="629"/>
        <v>0</v>
      </c>
      <c r="V2416" s="579"/>
      <c r="W2416" s="566" t="str">
        <f>IF(U2414&gt;0,"xx",IF(P2414&gt;0,"xy",""))</f>
        <v/>
      </c>
      <c r="X2416" s="586" t="str">
        <f t="shared" si="642"/>
        <v/>
      </c>
      <c r="Y2416" s="586" t="str">
        <f t="shared" si="633"/>
        <v/>
      </c>
      <c r="Z2416" s="586" t="str">
        <f t="shared" si="640"/>
        <v/>
      </c>
    </row>
    <row r="2417" spans="1:26" ht="12" hidden="1" thickBot="1" x14ac:dyDescent="0.25">
      <c r="A2417" s="567" t="s">
        <v>168</v>
      </c>
      <c r="B2417" s="644" t="s">
        <v>168</v>
      </c>
      <c r="C2417" s="645"/>
      <c r="D2417" s="422" t="s">
        <v>252</v>
      </c>
      <c r="E2417" s="423"/>
      <c r="F2417" s="424">
        <v>20</v>
      </c>
      <c r="G2417" s="425">
        <f>VLOOKUP(D2414,'[2]ENSAIOS DE ORÇAMENTO'!$C$3:$L$79,6,FALSE)</f>
        <v>1.1100000000000001</v>
      </c>
      <c r="H2417" s="663">
        <f t="shared" si="643"/>
        <v>26.728800000000003</v>
      </c>
      <c r="I2417" s="420"/>
      <c r="J2417" s="420"/>
      <c r="K2417" s="421">
        <f t="shared" si="627"/>
        <v>0</v>
      </c>
      <c r="L2417" s="647"/>
      <c r="M2417" s="723"/>
      <c r="N2417" s="576">
        <f t="shared" si="636"/>
        <v>0</v>
      </c>
      <c r="O2417" s="577">
        <f t="shared" si="630"/>
        <v>0</v>
      </c>
      <c r="P2417" s="578">
        <f t="shared" si="631"/>
        <v>0</v>
      </c>
      <c r="Q2417" s="765"/>
      <c r="R2417" s="723"/>
      <c r="S2417" s="723"/>
      <c r="T2417" s="577">
        <f t="shared" si="628"/>
        <v>0</v>
      </c>
      <c r="U2417" s="578">
        <f t="shared" si="629"/>
        <v>0</v>
      </c>
      <c r="V2417" s="579"/>
      <c r="W2417" s="566" t="str">
        <f>IF(U2414&gt;0,"xx",IF(P2414&gt;0,"xy",""))</f>
        <v/>
      </c>
      <c r="X2417" s="586" t="str">
        <f t="shared" si="642"/>
        <v/>
      </c>
      <c r="Y2417" s="586" t="str">
        <f t="shared" si="633"/>
        <v/>
      </c>
      <c r="Z2417" s="586" t="str">
        <f t="shared" si="640"/>
        <v/>
      </c>
    </row>
    <row r="2418" spans="1:26" ht="12" hidden="1" thickBot="1" x14ac:dyDescent="0.25">
      <c r="A2418" s="567" t="s">
        <v>168</v>
      </c>
      <c r="B2418" s="644" t="s">
        <v>168</v>
      </c>
      <c r="C2418" s="645"/>
      <c r="D2418" s="422" t="s">
        <v>400</v>
      </c>
      <c r="E2418" s="423"/>
      <c r="F2418" s="424">
        <v>30</v>
      </c>
      <c r="G2418" s="425">
        <f>VLOOKUP(D2414,'[2]ENSAIOS DE ORÇAMENTO'!$C$3:$L$79,3,FALSE)</f>
        <v>0.54144000000000003</v>
      </c>
      <c r="H2418" s="663">
        <f t="shared" si="643"/>
        <v>18.831283200000001</v>
      </c>
      <c r="I2418" s="420"/>
      <c r="J2418" s="420"/>
      <c r="K2418" s="421">
        <f t="shared" si="627"/>
        <v>0</v>
      </c>
      <c r="L2418" s="647"/>
      <c r="M2418" s="723"/>
      <c r="N2418" s="576">
        <f t="shared" si="636"/>
        <v>0</v>
      </c>
      <c r="O2418" s="577">
        <f t="shared" si="630"/>
        <v>0</v>
      </c>
      <c r="P2418" s="578">
        <f t="shared" si="631"/>
        <v>0</v>
      </c>
      <c r="Q2418" s="765"/>
      <c r="R2418" s="723"/>
      <c r="S2418" s="723"/>
      <c r="T2418" s="577">
        <f t="shared" si="628"/>
        <v>0</v>
      </c>
      <c r="U2418" s="578">
        <f t="shared" si="629"/>
        <v>0</v>
      </c>
      <c r="V2418" s="579"/>
      <c r="W2418" s="566" t="str">
        <f>IF(U2414&gt;0,"xx",IF(P2414&gt;0,"xy",""))</f>
        <v/>
      </c>
      <c r="X2418" s="586" t="str">
        <f t="shared" si="642"/>
        <v/>
      </c>
      <c r="Y2418" s="586" t="str">
        <f t="shared" si="633"/>
        <v/>
      </c>
      <c r="Z2418" s="586" t="str">
        <f t="shared" si="640"/>
        <v/>
      </c>
    </row>
    <row r="2419" spans="1:26" ht="12" hidden="1" thickBot="1" x14ac:dyDescent="0.25">
      <c r="A2419" s="567" t="s">
        <v>168</v>
      </c>
      <c r="B2419" s="644" t="s">
        <v>168</v>
      </c>
      <c r="C2419" s="645"/>
      <c r="D2419" s="422" t="s">
        <v>401</v>
      </c>
      <c r="E2419" s="423"/>
      <c r="F2419" s="424">
        <v>500</v>
      </c>
      <c r="G2419" s="425">
        <f>VLOOKUP(D2414,'[2]ENSAIOS DE ORÇAMENTO'!$C$3:$L$79,10,FALSE)</f>
        <v>1.8048000000000002E-2</v>
      </c>
      <c r="H2419" s="649">
        <f>IF(F2419&lt;=30,(0.78*F2419+7.82)*G2419,((0.78*30+7.82)+0.78*(F2419-30))*G2419)</f>
        <v>7.1798553600000012</v>
      </c>
      <c r="I2419" s="420"/>
      <c r="J2419" s="420"/>
      <c r="K2419" s="421">
        <f t="shared" si="627"/>
        <v>0</v>
      </c>
      <c r="L2419" s="647"/>
      <c r="M2419" s="723"/>
      <c r="N2419" s="576">
        <f t="shared" si="636"/>
        <v>0</v>
      </c>
      <c r="O2419" s="577">
        <f t="shared" si="630"/>
        <v>0</v>
      </c>
      <c r="P2419" s="578">
        <f t="shared" si="631"/>
        <v>0</v>
      </c>
      <c r="Q2419" s="765"/>
      <c r="R2419" s="723"/>
      <c r="S2419" s="723"/>
      <c r="T2419" s="577">
        <f t="shared" si="628"/>
        <v>0</v>
      </c>
      <c r="U2419" s="578">
        <f t="shared" si="629"/>
        <v>0</v>
      </c>
      <c r="V2419" s="579"/>
      <c r="W2419" s="566" t="str">
        <f>IF(U2414&gt;0,"xx",IF(P2414&gt;0,"xy",""))</f>
        <v/>
      </c>
      <c r="X2419" s="586" t="str">
        <f t="shared" si="642"/>
        <v/>
      </c>
      <c r="Y2419" s="586" t="str">
        <f t="shared" si="633"/>
        <v/>
      </c>
      <c r="Z2419" s="586" t="str">
        <f t="shared" si="640"/>
        <v/>
      </c>
    </row>
    <row r="2420" spans="1:26" ht="12" hidden="1" thickBot="1" x14ac:dyDescent="0.25">
      <c r="A2420" s="567" t="s">
        <v>134</v>
      </c>
      <c r="B2420" s="644" t="s">
        <v>134</v>
      </c>
      <c r="C2420" s="645" t="s">
        <v>206</v>
      </c>
      <c r="D2420" s="422" t="s">
        <v>146</v>
      </c>
      <c r="E2420" s="423"/>
      <c r="F2420" s="424"/>
      <c r="G2420" s="425"/>
      <c r="H2420" s="651">
        <f>SUM(H2421:H2425)</f>
        <v>481.65120515199993</v>
      </c>
      <c r="I2420" s="420">
        <f>VLOOKUP(D2420,'[2]ENSAIOS DE ORÇAMENTO'!$C$3:$L$79,8,FALSE)</f>
        <v>2380.2442679999999</v>
      </c>
      <c r="J2420" s="420">
        <f>IF(ISBLANK(I2420),"",SUM(H2420:I2420))</f>
        <v>2861.8954731519998</v>
      </c>
      <c r="K2420" s="421">
        <f t="shared" si="627"/>
        <v>3400.22</v>
      </c>
      <c r="L2420" s="647" t="s">
        <v>21</v>
      </c>
      <c r="M2420" s="576"/>
      <c r="N2420" s="576">
        <f t="shared" si="636"/>
        <v>0</v>
      </c>
      <c r="O2420" s="577">
        <f t="shared" si="630"/>
        <v>0</v>
      </c>
      <c r="P2420" s="578">
        <f t="shared" si="631"/>
        <v>0</v>
      </c>
      <c r="Q2420" s="765"/>
      <c r="R2420" s="576">
        <f>M2420</f>
        <v>0</v>
      </c>
      <c r="S2420" s="576">
        <f>N2420</f>
        <v>0</v>
      </c>
      <c r="T2420" s="577">
        <f t="shared" si="628"/>
        <v>0</v>
      </c>
      <c r="U2420" s="578">
        <f t="shared" si="629"/>
        <v>0</v>
      </c>
      <c r="V2420" s="579"/>
      <c r="W2420" s="566"/>
      <c r="X2420" s="586" t="str">
        <f t="shared" si="642"/>
        <v/>
      </c>
      <c r="Y2420" s="586" t="str">
        <f t="shared" si="633"/>
        <v/>
      </c>
      <c r="Z2420" s="586" t="str">
        <f t="shared" si="640"/>
        <v/>
      </c>
    </row>
    <row r="2421" spans="1:26" ht="12" hidden="1" thickBot="1" x14ac:dyDescent="0.25">
      <c r="A2421" s="567" t="s">
        <v>168</v>
      </c>
      <c r="B2421" s="644" t="s">
        <v>168</v>
      </c>
      <c r="C2421" s="645"/>
      <c r="D2421" s="422" t="s">
        <v>212</v>
      </c>
      <c r="E2421" s="423"/>
      <c r="F2421" s="424">
        <v>500</v>
      </c>
      <c r="G2421" s="425">
        <f>VLOOKUP(D2420,'[2]ENSAIOS DE ORÇAMENTO'!$C$3:$L$79,4,FALSE)</f>
        <v>0.38489359999999995</v>
      </c>
      <c r="H2421" s="649">
        <f>IF(F2421&lt;=30,(0.78*F2421+7.82)*G2421,((0.78*30+7.82)+0.78*(F2421-30))*G2421)</f>
        <v>153.11837195199999</v>
      </c>
      <c r="I2421" s="420"/>
      <c r="J2421" s="420"/>
      <c r="K2421" s="421">
        <f t="shared" si="627"/>
        <v>0</v>
      </c>
      <c r="L2421" s="647"/>
      <c r="M2421" s="723"/>
      <c r="N2421" s="576">
        <f t="shared" si="636"/>
        <v>0</v>
      </c>
      <c r="O2421" s="577">
        <f t="shared" si="630"/>
        <v>0</v>
      </c>
      <c r="P2421" s="578">
        <f t="shared" si="631"/>
        <v>0</v>
      </c>
      <c r="Q2421" s="765"/>
      <c r="R2421" s="723"/>
      <c r="S2421" s="723"/>
      <c r="T2421" s="577">
        <f t="shared" si="628"/>
        <v>0</v>
      </c>
      <c r="U2421" s="578">
        <f t="shared" si="629"/>
        <v>0</v>
      </c>
      <c r="V2421" s="579"/>
      <c r="W2421" s="566" t="str">
        <f>IF(U2420&gt;0,"xx",IF(P2420&gt;0,"xy",""))</f>
        <v/>
      </c>
      <c r="X2421" s="586" t="str">
        <f t="shared" si="642"/>
        <v/>
      </c>
      <c r="Y2421" s="586" t="str">
        <f t="shared" si="633"/>
        <v/>
      </c>
      <c r="Z2421" s="586" t="str">
        <f t="shared" si="640"/>
        <v/>
      </c>
    </row>
    <row r="2422" spans="1:26" ht="12" hidden="1" thickBot="1" x14ac:dyDescent="0.25">
      <c r="A2422" s="567" t="s">
        <v>168</v>
      </c>
      <c r="B2422" s="644" t="s">
        <v>168</v>
      </c>
      <c r="C2422" s="645"/>
      <c r="D2422" s="422" t="s">
        <v>248</v>
      </c>
      <c r="E2422" s="423"/>
      <c r="F2422" s="424">
        <v>180</v>
      </c>
      <c r="G2422" s="425">
        <f>VLOOKUP(D2420,'[2]ENSAIOS DE ORÇAMENTO'!$C$3:$L$79,5,FALSE)</f>
        <v>1.3499699999999999</v>
      </c>
      <c r="H2422" s="663">
        <f t="shared" ref="H2422:H2424" si="644">IF(F2422&lt;=30,(1.07*F2422+2.68)*G2422,((1.07*30+2.68)+1.07*(F2422-30))*G2422)</f>
        <v>263.62214159999996</v>
      </c>
      <c r="I2422" s="420"/>
      <c r="J2422" s="420"/>
      <c r="K2422" s="421">
        <f t="shared" si="627"/>
        <v>0</v>
      </c>
      <c r="L2422" s="647"/>
      <c r="M2422" s="723"/>
      <c r="N2422" s="576">
        <f t="shared" si="636"/>
        <v>0</v>
      </c>
      <c r="O2422" s="577">
        <f t="shared" si="630"/>
        <v>0</v>
      </c>
      <c r="P2422" s="578">
        <f t="shared" si="631"/>
        <v>0</v>
      </c>
      <c r="Q2422" s="765"/>
      <c r="R2422" s="723"/>
      <c r="S2422" s="723"/>
      <c r="T2422" s="577">
        <f t="shared" si="628"/>
        <v>0</v>
      </c>
      <c r="U2422" s="578">
        <f t="shared" si="629"/>
        <v>0</v>
      </c>
      <c r="V2422" s="579"/>
      <c r="W2422" s="566" t="str">
        <f>IF(U2420&gt;0,"xx",IF(P2420&gt;0,"xy",""))</f>
        <v/>
      </c>
      <c r="X2422" s="586" t="str">
        <f t="shared" si="642"/>
        <v/>
      </c>
      <c r="Y2422" s="586" t="str">
        <f t="shared" si="633"/>
        <v/>
      </c>
      <c r="Z2422" s="586" t="str">
        <f t="shared" si="640"/>
        <v/>
      </c>
    </row>
    <row r="2423" spans="1:26" ht="12" hidden="1" thickBot="1" x14ac:dyDescent="0.25">
      <c r="A2423" s="567" t="s">
        <v>168</v>
      </c>
      <c r="B2423" s="644" t="s">
        <v>168</v>
      </c>
      <c r="C2423" s="645"/>
      <c r="D2423" s="422" t="s">
        <v>252</v>
      </c>
      <c r="E2423" s="423"/>
      <c r="F2423" s="424">
        <v>20</v>
      </c>
      <c r="G2423" s="425">
        <f>VLOOKUP(D2420,'[2]ENSAIOS DE ORÇAMENTO'!$C$3:$L$79,6,FALSE)</f>
        <v>1.1766000000000001</v>
      </c>
      <c r="H2423" s="663">
        <f t="shared" si="644"/>
        <v>28.332528000000003</v>
      </c>
      <c r="I2423" s="420"/>
      <c r="J2423" s="420"/>
      <c r="K2423" s="421">
        <f t="shared" si="627"/>
        <v>0</v>
      </c>
      <c r="L2423" s="647"/>
      <c r="M2423" s="723"/>
      <c r="N2423" s="576">
        <f t="shared" si="636"/>
        <v>0</v>
      </c>
      <c r="O2423" s="577">
        <f t="shared" si="630"/>
        <v>0</v>
      </c>
      <c r="P2423" s="578">
        <f t="shared" si="631"/>
        <v>0</v>
      </c>
      <c r="Q2423" s="765"/>
      <c r="R2423" s="723"/>
      <c r="S2423" s="723"/>
      <c r="T2423" s="577">
        <f t="shared" si="628"/>
        <v>0</v>
      </c>
      <c r="U2423" s="578">
        <f t="shared" si="629"/>
        <v>0</v>
      </c>
      <c r="V2423" s="579"/>
      <c r="W2423" s="566" t="str">
        <f>IF(U2420&gt;0,"xx",IF(P2420&gt;0,"xy",""))</f>
        <v/>
      </c>
      <c r="X2423" s="586" t="str">
        <f t="shared" si="642"/>
        <v/>
      </c>
      <c r="Y2423" s="586" t="str">
        <f t="shared" si="633"/>
        <v/>
      </c>
      <c r="Z2423" s="586" t="str">
        <f t="shared" si="640"/>
        <v/>
      </c>
    </row>
    <row r="2424" spans="1:26" ht="12" hidden="1" thickBot="1" x14ac:dyDescent="0.25">
      <c r="A2424" s="567" t="s">
        <v>168</v>
      </c>
      <c r="B2424" s="644" t="s">
        <v>168</v>
      </c>
      <c r="C2424" s="645"/>
      <c r="D2424" s="422" t="s">
        <v>400</v>
      </c>
      <c r="E2424" s="423"/>
      <c r="F2424" s="424">
        <v>30</v>
      </c>
      <c r="G2424" s="425">
        <f>VLOOKUP(D2420,'[2]ENSAIOS DE ORÇAMENTO'!$C$3:$L$79,3,FALSE)</f>
        <v>0.76139999999999997</v>
      </c>
      <c r="H2424" s="663">
        <f t="shared" si="644"/>
        <v>26.481491999999999</v>
      </c>
      <c r="I2424" s="420"/>
      <c r="J2424" s="420"/>
      <c r="K2424" s="421">
        <f t="shared" si="627"/>
        <v>0</v>
      </c>
      <c r="L2424" s="647"/>
      <c r="M2424" s="723"/>
      <c r="N2424" s="576">
        <f t="shared" si="636"/>
        <v>0</v>
      </c>
      <c r="O2424" s="577">
        <f t="shared" si="630"/>
        <v>0</v>
      </c>
      <c r="P2424" s="578">
        <f t="shared" si="631"/>
        <v>0</v>
      </c>
      <c r="Q2424" s="765"/>
      <c r="R2424" s="723"/>
      <c r="S2424" s="723"/>
      <c r="T2424" s="577">
        <f t="shared" si="628"/>
        <v>0</v>
      </c>
      <c r="U2424" s="578">
        <f t="shared" si="629"/>
        <v>0</v>
      </c>
      <c r="V2424" s="579"/>
      <c r="W2424" s="566" t="str">
        <f>IF(U2420&gt;0,"xx",IF(P2420&gt;0,"xy",""))</f>
        <v/>
      </c>
      <c r="X2424" s="586" t="str">
        <f t="shared" si="642"/>
        <v/>
      </c>
      <c r="Y2424" s="586" t="str">
        <f t="shared" si="633"/>
        <v/>
      </c>
      <c r="Z2424" s="586" t="str">
        <f t="shared" si="640"/>
        <v/>
      </c>
    </row>
    <row r="2425" spans="1:26" ht="12" hidden="1" thickBot="1" x14ac:dyDescent="0.25">
      <c r="A2425" s="567" t="s">
        <v>168</v>
      </c>
      <c r="B2425" s="644" t="s">
        <v>168</v>
      </c>
      <c r="C2425" s="645"/>
      <c r="D2425" s="422" t="s">
        <v>401</v>
      </c>
      <c r="E2425" s="423"/>
      <c r="F2425" s="424">
        <v>500</v>
      </c>
      <c r="G2425" s="425">
        <f>VLOOKUP(D2420,'[2]ENSAIOS DE ORÇAMENTO'!$C$3:$L$79,10,FALSE)</f>
        <v>2.538E-2</v>
      </c>
      <c r="H2425" s="649">
        <f>IF(F2425&lt;=30,(0.78*F2425+7.82)*G2425,((0.78*30+7.82)+0.78*(F2425-30))*G2425)</f>
        <v>10.096671600000001</v>
      </c>
      <c r="I2425" s="420"/>
      <c r="J2425" s="420"/>
      <c r="K2425" s="421">
        <f t="shared" si="627"/>
        <v>0</v>
      </c>
      <c r="L2425" s="647"/>
      <c r="M2425" s="723"/>
      <c r="N2425" s="576">
        <f t="shared" si="636"/>
        <v>0</v>
      </c>
      <c r="O2425" s="577">
        <f t="shared" si="630"/>
        <v>0</v>
      </c>
      <c r="P2425" s="578">
        <f t="shared" si="631"/>
        <v>0</v>
      </c>
      <c r="Q2425" s="765"/>
      <c r="R2425" s="723"/>
      <c r="S2425" s="723"/>
      <c r="T2425" s="577">
        <f t="shared" si="628"/>
        <v>0</v>
      </c>
      <c r="U2425" s="578">
        <f t="shared" si="629"/>
        <v>0</v>
      </c>
      <c r="V2425" s="579"/>
      <c r="W2425" s="566" t="str">
        <f>IF(U2420&gt;0,"xx",IF(P2420&gt;0,"xy",""))</f>
        <v/>
      </c>
      <c r="X2425" s="586" t="str">
        <f t="shared" si="642"/>
        <v/>
      </c>
      <c r="Y2425" s="586" t="str">
        <f t="shared" si="633"/>
        <v/>
      </c>
      <c r="Z2425" s="586" t="str">
        <f t="shared" si="640"/>
        <v/>
      </c>
    </row>
    <row r="2426" spans="1:26" ht="12" hidden="1" thickBot="1" x14ac:dyDescent="0.25">
      <c r="A2426" s="567" t="s">
        <v>135</v>
      </c>
      <c r="B2426" s="644" t="s">
        <v>135</v>
      </c>
      <c r="C2426" s="645" t="s">
        <v>206</v>
      </c>
      <c r="D2426" s="422" t="s">
        <v>147</v>
      </c>
      <c r="E2426" s="423"/>
      <c r="F2426" s="424"/>
      <c r="G2426" s="425"/>
      <c r="H2426" s="651">
        <f>SUM(H2427:H2431)</f>
        <v>563.58332972800008</v>
      </c>
      <c r="I2426" s="420">
        <f>VLOOKUP(D2426,'[2]ENSAIOS DE ORÇAMENTO'!$C$3:$L$79,8,FALSE)</f>
        <v>2700.9386520000003</v>
      </c>
      <c r="J2426" s="420">
        <f>IF(ISBLANK(I2426),"",SUM(H2426:I2426))</f>
        <v>3264.5219817280004</v>
      </c>
      <c r="K2426" s="421">
        <f t="shared" si="627"/>
        <v>3878.58</v>
      </c>
      <c r="L2426" s="647" t="s">
        <v>21</v>
      </c>
      <c r="M2426" s="576"/>
      <c r="N2426" s="576">
        <f t="shared" si="636"/>
        <v>0</v>
      </c>
      <c r="O2426" s="577">
        <f t="shared" si="630"/>
        <v>0</v>
      </c>
      <c r="P2426" s="578">
        <f t="shared" si="631"/>
        <v>0</v>
      </c>
      <c r="Q2426" s="765"/>
      <c r="R2426" s="576">
        <f>M2426</f>
        <v>0</v>
      </c>
      <c r="S2426" s="576">
        <f>N2426</f>
        <v>0</v>
      </c>
      <c r="T2426" s="577">
        <f t="shared" si="628"/>
        <v>0</v>
      </c>
      <c r="U2426" s="578">
        <f t="shared" si="629"/>
        <v>0</v>
      </c>
      <c r="V2426" s="579"/>
      <c r="W2426" s="566"/>
      <c r="X2426" s="586" t="str">
        <f t="shared" si="642"/>
        <v/>
      </c>
      <c r="Y2426" s="586" t="str">
        <f t="shared" si="633"/>
        <v/>
      </c>
      <c r="Z2426" s="586" t="str">
        <f t="shared" si="640"/>
        <v/>
      </c>
    </row>
    <row r="2427" spans="1:26" ht="12" hidden="1" thickBot="1" x14ac:dyDescent="0.25">
      <c r="A2427" s="567" t="s">
        <v>168</v>
      </c>
      <c r="B2427" s="644" t="s">
        <v>168</v>
      </c>
      <c r="C2427" s="645"/>
      <c r="D2427" s="422" t="s">
        <v>212</v>
      </c>
      <c r="E2427" s="423"/>
      <c r="F2427" s="424">
        <v>500</v>
      </c>
      <c r="G2427" s="425">
        <f>VLOOKUP(D2426,'[2]ENSAIOS DE ORÇAMENTO'!$C$3:$L$79,4,FALSE)</f>
        <v>0.43281240000000004</v>
      </c>
      <c r="H2427" s="649">
        <f>IF(F2427&lt;=30,(0.78*F2427+7.82)*G2427,((0.78*30+7.82)+0.78*(F2427-30))*G2427)</f>
        <v>172.18142896800003</v>
      </c>
      <c r="I2427" s="420"/>
      <c r="J2427" s="420"/>
      <c r="K2427" s="421">
        <f t="shared" si="627"/>
        <v>0</v>
      </c>
      <c r="L2427" s="647"/>
      <c r="M2427" s="723"/>
      <c r="N2427" s="576">
        <f t="shared" si="636"/>
        <v>0</v>
      </c>
      <c r="O2427" s="577">
        <f t="shared" si="630"/>
        <v>0</v>
      </c>
      <c r="P2427" s="578">
        <f t="shared" si="631"/>
        <v>0</v>
      </c>
      <c r="Q2427" s="765"/>
      <c r="R2427" s="723"/>
      <c r="S2427" s="723"/>
      <c r="T2427" s="577">
        <f t="shared" si="628"/>
        <v>0</v>
      </c>
      <c r="U2427" s="578">
        <f t="shared" si="629"/>
        <v>0</v>
      </c>
      <c r="V2427" s="579"/>
      <c r="W2427" s="566" t="str">
        <f>IF(U2426&gt;0,"xx",IF(P2426&gt;0,"xy",""))</f>
        <v/>
      </c>
      <c r="X2427" s="586" t="str">
        <f t="shared" si="642"/>
        <v/>
      </c>
      <c r="Y2427" s="586" t="str">
        <f t="shared" si="633"/>
        <v/>
      </c>
      <c r="Z2427" s="586" t="str">
        <f t="shared" si="640"/>
        <v/>
      </c>
    </row>
    <row r="2428" spans="1:26" ht="12" hidden="1" thickBot="1" x14ac:dyDescent="0.25">
      <c r="A2428" s="567" t="s">
        <v>168</v>
      </c>
      <c r="B2428" s="644" t="s">
        <v>168</v>
      </c>
      <c r="C2428" s="645"/>
      <c r="D2428" s="422" t="s">
        <v>248</v>
      </c>
      <c r="E2428" s="423"/>
      <c r="F2428" s="424">
        <v>180</v>
      </c>
      <c r="G2428" s="425">
        <f>VLOOKUP(D2426,'[2]ENSAIOS DE ORÇAMENTO'!$C$3:$L$79,5,FALSE)</f>
        <v>1.5797950000000001</v>
      </c>
      <c r="H2428" s="663">
        <f t="shared" ref="H2428:H2430" si="645">IF(F2428&lt;=30,(1.07*F2428+2.68)*G2428,((1.07*30+2.68)+1.07*(F2428-30))*G2428)</f>
        <v>308.50236760000001</v>
      </c>
      <c r="I2428" s="420"/>
      <c r="J2428" s="420"/>
      <c r="K2428" s="421">
        <f t="shared" si="627"/>
        <v>0</v>
      </c>
      <c r="L2428" s="647"/>
      <c r="M2428" s="723"/>
      <c r="N2428" s="576">
        <f t="shared" si="636"/>
        <v>0</v>
      </c>
      <c r="O2428" s="577">
        <f t="shared" si="630"/>
        <v>0</v>
      </c>
      <c r="P2428" s="578">
        <f t="shared" si="631"/>
        <v>0</v>
      </c>
      <c r="Q2428" s="765"/>
      <c r="R2428" s="723"/>
      <c r="S2428" s="723"/>
      <c r="T2428" s="577">
        <f t="shared" si="628"/>
        <v>0</v>
      </c>
      <c r="U2428" s="578">
        <f t="shared" si="629"/>
        <v>0</v>
      </c>
      <c r="V2428" s="579"/>
      <c r="W2428" s="566" t="str">
        <f>IF(U2426&gt;0,"xx",IF(P2426&gt;0,"xy",""))</f>
        <v/>
      </c>
      <c r="X2428" s="586" t="str">
        <f t="shared" si="642"/>
        <v/>
      </c>
      <c r="Y2428" s="586" t="str">
        <f t="shared" si="633"/>
        <v/>
      </c>
      <c r="Z2428" s="586" t="str">
        <f t="shared" si="640"/>
        <v/>
      </c>
    </row>
    <row r="2429" spans="1:26" ht="12" hidden="1" thickBot="1" x14ac:dyDescent="0.25">
      <c r="A2429" s="567" t="s">
        <v>168</v>
      </c>
      <c r="B2429" s="644" t="s">
        <v>168</v>
      </c>
      <c r="C2429" s="645"/>
      <c r="D2429" s="422" t="s">
        <v>252</v>
      </c>
      <c r="E2429" s="423"/>
      <c r="F2429" s="424">
        <v>20</v>
      </c>
      <c r="G2429" s="425">
        <f>VLOOKUP(D2426,'[2]ENSAIOS DE ORÇAMENTO'!$C$3:$L$79,6,FALSE)</f>
        <v>1.2654000000000003</v>
      </c>
      <c r="H2429" s="663">
        <f t="shared" si="645"/>
        <v>30.470832000000009</v>
      </c>
      <c r="I2429" s="420"/>
      <c r="J2429" s="420"/>
      <c r="K2429" s="421">
        <f t="shared" si="627"/>
        <v>0</v>
      </c>
      <c r="L2429" s="647"/>
      <c r="M2429" s="723"/>
      <c r="N2429" s="576">
        <f t="shared" si="636"/>
        <v>0</v>
      </c>
      <c r="O2429" s="577">
        <f t="shared" si="630"/>
        <v>0</v>
      </c>
      <c r="P2429" s="578">
        <f t="shared" si="631"/>
        <v>0</v>
      </c>
      <c r="Q2429" s="765"/>
      <c r="R2429" s="723"/>
      <c r="S2429" s="723"/>
      <c r="T2429" s="577">
        <f t="shared" si="628"/>
        <v>0</v>
      </c>
      <c r="U2429" s="578">
        <f t="shared" si="629"/>
        <v>0</v>
      </c>
      <c r="V2429" s="579"/>
      <c r="W2429" s="566" t="str">
        <f>IF(U2426&gt;0,"xx",IF(P2426&gt;0,"xy",""))</f>
        <v/>
      </c>
      <c r="X2429" s="586" t="str">
        <f t="shared" si="642"/>
        <v/>
      </c>
      <c r="Y2429" s="586" t="str">
        <f t="shared" si="633"/>
        <v/>
      </c>
      <c r="Z2429" s="586" t="str">
        <f t="shared" si="640"/>
        <v/>
      </c>
    </row>
    <row r="2430" spans="1:26" ht="12" hidden="1" thickBot="1" x14ac:dyDescent="0.25">
      <c r="A2430" s="567" t="s">
        <v>168</v>
      </c>
      <c r="B2430" s="644" t="s">
        <v>168</v>
      </c>
      <c r="C2430" s="645"/>
      <c r="D2430" s="422" t="s">
        <v>400</v>
      </c>
      <c r="E2430" s="423"/>
      <c r="F2430" s="424">
        <v>30</v>
      </c>
      <c r="G2430" s="425">
        <f>VLOOKUP(D2426,'[2]ENSAIOS DE ORÇAMENTO'!$C$3:$L$79,3,FALSE)</f>
        <v>1.09134</v>
      </c>
      <c r="H2430" s="663">
        <f t="shared" si="645"/>
        <v>37.956805199999998</v>
      </c>
      <c r="I2430" s="420"/>
      <c r="J2430" s="420"/>
      <c r="K2430" s="421">
        <f t="shared" si="627"/>
        <v>0</v>
      </c>
      <c r="L2430" s="647"/>
      <c r="M2430" s="723"/>
      <c r="N2430" s="576">
        <f t="shared" si="636"/>
        <v>0</v>
      </c>
      <c r="O2430" s="577">
        <f t="shared" si="630"/>
        <v>0</v>
      </c>
      <c r="P2430" s="578">
        <f t="shared" si="631"/>
        <v>0</v>
      </c>
      <c r="Q2430" s="765"/>
      <c r="R2430" s="723"/>
      <c r="S2430" s="723"/>
      <c r="T2430" s="577">
        <f t="shared" si="628"/>
        <v>0</v>
      </c>
      <c r="U2430" s="578">
        <f t="shared" si="629"/>
        <v>0</v>
      </c>
      <c r="V2430" s="579"/>
      <c r="W2430" s="566" t="str">
        <f>IF(U2426&gt;0,"xx",IF(P2426&gt;0,"xy",""))</f>
        <v/>
      </c>
      <c r="X2430" s="586" t="str">
        <f t="shared" si="642"/>
        <v/>
      </c>
      <c r="Y2430" s="586" t="str">
        <f t="shared" si="633"/>
        <v/>
      </c>
      <c r="Z2430" s="586" t="str">
        <f t="shared" si="640"/>
        <v/>
      </c>
    </row>
    <row r="2431" spans="1:26" ht="12" hidden="1" thickBot="1" x14ac:dyDescent="0.25">
      <c r="A2431" s="567" t="s">
        <v>168</v>
      </c>
      <c r="B2431" s="644" t="s">
        <v>168</v>
      </c>
      <c r="C2431" s="645"/>
      <c r="D2431" s="422" t="s">
        <v>401</v>
      </c>
      <c r="E2431" s="423"/>
      <c r="F2431" s="424">
        <v>500</v>
      </c>
      <c r="G2431" s="425">
        <f>VLOOKUP(D2426,'[2]ENSAIOS DE ORÇAMENTO'!$C$3:$L$79,10,FALSE)</f>
        <v>3.6378000000000001E-2</v>
      </c>
      <c r="H2431" s="649">
        <f>IF(F2431&lt;=30,(0.78*F2431+7.82)*G2431,((0.78*30+7.82)+0.78*(F2431-30))*G2431)</f>
        <v>14.471895960000001</v>
      </c>
      <c r="I2431" s="420"/>
      <c r="J2431" s="420"/>
      <c r="K2431" s="421">
        <f t="shared" si="627"/>
        <v>0</v>
      </c>
      <c r="L2431" s="647"/>
      <c r="M2431" s="723"/>
      <c r="N2431" s="576">
        <f t="shared" si="636"/>
        <v>0</v>
      </c>
      <c r="O2431" s="577">
        <f t="shared" si="630"/>
        <v>0</v>
      </c>
      <c r="P2431" s="578">
        <f t="shared" si="631"/>
        <v>0</v>
      </c>
      <c r="Q2431" s="765"/>
      <c r="R2431" s="723"/>
      <c r="S2431" s="723"/>
      <c r="T2431" s="577">
        <f t="shared" si="628"/>
        <v>0</v>
      </c>
      <c r="U2431" s="578">
        <f t="shared" si="629"/>
        <v>0</v>
      </c>
      <c r="V2431" s="579"/>
      <c r="W2431" s="566" t="str">
        <f>IF(U2426&gt;0,"xx",IF(P2426&gt;0,"xy",""))</f>
        <v/>
      </c>
      <c r="X2431" s="586" t="str">
        <f t="shared" si="642"/>
        <v/>
      </c>
      <c r="Y2431" s="586" t="str">
        <f t="shared" si="633"/>
        <v/>
      </c>
      <c r="Z2431" s="586" t="str">
        <f t="shared" si="640"/>
        <v/>
      </c>
    </row>
    <row r="2432" spans="1:26" ht="12" hidden="1" thickBot="1" x14ac:dyDescent="0.25">
      <c r="A2432" s="567" t="s">
        <v>46</v>
      </c>
      <c r="B2432" s="644" t="s">
        <v>46</v>
      </c>
      <c r="C2432" s="645" t="s">
        <v>206</v>
      </c>
      <c r="D2432" s="422" t="s">
        <v>148</v>
      </c>
      <c r="E2432" s="423"/>
      <c r="F2432" s="424"/>
      <c r="G2432" s="425"/>
      <c r="H2432" s="651">
        <f>SUM(H2433:H2437)</f>
        <v>615.54044991600006</v>
      </c>
      <c r="I2432" s="420">
        <f>VLOOKUP(D2432,'[2]ENSAIOS DE ORÇAMENTO'!$C$3:$L$79,8,FALSE)</f>
        <v>2907.1166439999997</v>
      </c>
      <c r="J2432" s="420">
        <f>IF(ISBLANK(I2432),"",SUM(H2432:I2432))</f>
        <v>3522.6570939159997</v>
      </c>
      <c r="K2432" s="421">
        <f t="shared" ref="K2432:K2495" si="646">IF(ISBLANK(I2432),0,ROUND(J2432*(1+$F$10)*(1+$F$11*E2432),2))</f>
        <v>4185.2700000000004</v>
      </c>
      <c r="L2432" s="647" t="s">
        <v>21</v>
      </c>
      <c r="M2432" s="576"/>
      <c r="N2432" s="576">
        <f t="shared" si="636"/>
        <v>0</v>
      </c>
      <c r="O2432" s="577">
        <f t="shared" si="630"/>
        <v>0</v>
      </c>
      <c r="P2432" s="578">
        <f t="shared" si="631"/>
        <v>0</v>
      </c>
      <c r="Q2432" s="765"/>
      <c r="R2432" s="576">
        <f>M2432</f>
        <v>0</v>
      </c>
      <c r="S2432" s="576">
        <f>N2432</f>
        <v>0</v>
      </c>
      <c r="T2432" s="577">
        <f t="shared" ref="T2432:T2495" si="647">IF(ISBLANK(R2432),0,ROUND(K2432*R2432,2))</f>
        <v>0</v>
      </c>
      <c r="U2432" s="578">
        <f t="shared" ref="U2432:U2495" si="648">IF(ISBLANK(R2432),0,ROUND(R2432*S2432,2))</f>
        <v>0</v>
      </c>
      <c r="V2432" s="579"/>
      <c r="W2432" s="566"/>
      <c r="X2432" s="586" t="str">
        <f t="shared" si="642"/>
        <v/>
      </c>
      <c r="Y2432" s="586" t="str">
        <f t="shared" si="633"/>
        <v/>
      </c>
      <c r="Z2432" s="586" t="str">
        <f t="shared" si="640"/>
        <v/>
      </c>
    </row>
    <row r="2433" spans="1:26" ht="12" hidden="1" thickBot="1" x14ac:dyDescent="0.25">
      <c r="A2433" s="567" t="s">
        <v>168</v>
      </c>
      <c r="B2433" s="644" t="s">
        <v>168</v>
      </c>
      <c r="C2433" s="645"/>
      <c r="D2433" s="422" t="s">
        <v>212</v>
      </c>
      <c r="E2433" s="423"/>
      <c r="F2433" s="424">
        <v>500</v>
      </c>
      <c r="G2433" s="425">
        <f>VLOOKUP(D2432,'[2]ENSAIOS DE ORÇAMENTO'!$C$3:$L$79,4,FALSE)</f>
        <v>0.46255580000000002</v>
      </c>
      <c r="H2433" s="649">
        <f>IF(F2433&lt;=30,(0.78*F2433+7.82)*G2433,((0.78*30+7.82)+0.78*(F2433-30))*G2433)</f>
        <v>184.01394835600004</v>
      </c>
      <c r="I2433" s="420"/>
      <c r="J2433" s="420"/>
      <c r="K2433" s="421">
        <f t="shared" si="646"/>
        <v>0</v>
      </c>
      <c r="L2433" s="647"/>
      <c r="M2433" s="723"/>
      <c r="N2433" s="576">
        <f t="shared" si="636"/>
        <v>0</v>
      </c>
      <c r="O2433" s="577">
        <f t="shared" ref="O2433:O2496" si="649">IF(ISBLANK(M2433),0,ROUND(K2433*M2433,2))</f>
        <v>0</v>
      </c>
      <c r="P2433" s="578">
        <f t="shared" ref="P2433:P2496" si="650">IF(ISBLANK(N2433),0,ROUND(M2433*N2433,2))</f>
        <v>0</v>
      </c>
      <c r="Q2433" s="765"/>
      <c r="R2433" s="723"/>
      <c r="S2433" s="723"/>
      <c r="T2433" s="577">
        <f t="shared" si="647"/>
        <v>0</v>
      </c>
      <c r="U2433" s="578">
        <f t="shared" si="648"/>
        <v>0</v>
      </c>
      <c r="V2433" s="579"/>
      <c r="W2433" s="566" t="str">
        <f>IF(U2432&gt;0,"xx",IF(P2432&gt;0,"xy",""))</f>
        <v/>
      </c>
      <c r="X2433" s="586" t="str">
        <f t="shared" si="642"/>
        <v/>
      </c>
      <c r="Y2433" s="586" t="str">
        <f t="shared" si="633"/>
        <v/>
      </c>
      <c r="Z2433" s="586" t="str">
        <f t="shared" si="640"/>
        <v/>
      </c>
    </row>
    <row r="2434" spans="1:26" ht="12" hidden="1" thickBot="1" x14ac:dyDescent="0.25">
      <c r="A2434" s="567" t="s">
        <v>168</v>
      </c>
      <c r="B2434" s="644" t="s">
        <v>168</v>
      </c>
      <c r="C2434" s="645"/>
      <c r="D2434" s="422" t="s">
        <v>248</v>
      </c>
      <c r="E2434" s="423"/>
      <c r="F2434" s="424">
        <v>180</v>
      </c>
      <c r="G2434" s="425">
        <f>VLOOKUP(D2432,'[2]ENSAIOS DE ORÇAMENTO'!$C$3:$L$79,5,FALSE)</f>
        <v>1.7263925000000002</v>
      </c>
      <c r="H2434" s="663">
        <f t="shared" ref="H2434:H2436" si="651">IF(F2434&lt;=30,(1.07*F2434+2.68)*G2434,((1.07*30+2.68)+1.07*(F2434-30))*G2434)</f>
        <v>337.12992740000004</v>
      </c>
      <c r="I2434" s="420"/>
      <c r="J2434" s="420"/>
      <c r="K2434" s="421">
        <f t="shared" si="646"/>
        <v>0</v>
      </c>
      <c r="L2434" s="647"/>
      <c r="M2434" s="723"/>
      <c r="N2434" s="576">
        <f t="shared" si="636"/>
        <v>0</v>
      </c>
      <c r="O2434" s="577">
        <f t="shared" si="649"/>
        <v>0</v>
      </c>
      <c r="P2434" s="578">
        <f t="shared" si="650"/>
        <v>0</v>
      </c>
      <c r="Q2434" s="765"/>
      <c r="R2434" s="723"/>
      <c r="S2434" s="723"/>
      <c r="T2434" s="577">
        <f t="shared" si="647"/>
        <v>0</v>
      </c>
      <c r="U2434" s="578">
        <f t="shared" si="648"/>
        <v>0</v>
      </c>
      <c r="V2434" s="579"/>
      <c r="W2434" s="566" t="str">
        <f>IF(U2432&gt;0,"xx",IF(P2432&gt;0,"xy",""))</f>
        <v/>
      </c>
      <c r="X2434" s="586" t="str">
        <f t="shared" si="642"/>
        <v/>
      </c>
      <c r="Y2434" s="586" t="str">
        <f t="shared" si="633"/>
        <v/>
      </c>
      <c r="Z2434" s="586" t="str">
        <f t="shared" si="640"/>
        <v/>
      </c>
    </row>
    <row r="2435" spans="1:26" ht="12" hidden="1" thickBot="1" x14ac:dyDescent="0.25">
      <c r="A2435" s="567" t="s">
        <v>168</v>
      </c>
      <c r="B2435" s="644" t="s">
        <v>168</v>
      </c>
      <c r="C2435" s="645"/>
      <c r="D2435" s="422" t="s">
        <v>252</v>
      </c>
      <c r="E2435" s="423"/>
      <c r="F2435" s="424">
        <v>20</v>
      </c>
      <c r="G2435" s="425">
        <f>VLOOKUP(D2432,'[2]ENSAIOS DE ORÇAMENTO'!$C$3:$L$79,6,FALSE)</f>
        <v>1.3209000000000002</v>
      </c>
      <c r="H2435" s="663">
        <f t="shared" si="651"/>
        <v>31.807272000000008</v>
      </c>
      <c r="I2435" s="420"/>
      <c r="J2435" s="420"/>
      <c r="K2435" s="421">
        <f t="shared" si="646"/>
        <v>0</v>
      </c>
      <c r="L2435" s="647"/>
      <c r="M2435" s="723"/>
      <c r="N2435" s="576">
        <f t="shared" si="636"/>
        <v>0</v>
      </c>
      <c r="O2435" s="577">
        <f t="shared" si="649"/>
        <v>0</v>
      </c>
      <c r="P2435" s="578">
        <f t="shared" si="650"/>
        <v>0</v>
      </c>
      <c r="Q2435" s="765"/>
      <c r="R2435" s="723"/>
      <c r="S2435" s="723"/>
      <c r="T2435" s="577">
        <f t="shared" si="647"/>
        <v>0</v>
      </c>
      <c r="U2435" s="578">
        <f t="shared" si="648"/>
        <v>0</v>
      </c>
      <c r="V2435" s="579"/>
      <c r="W2435" s="566" t="str">
        <f>IF(U2432&gt;0,"xx",IF(P2432&gt;0,"xy",""))</f>
        <v/>
      </c>
      <c r="X2435" s="586" t="str">
        <f t="shared" si="642"/>
        <v/>
      </c>
      <c r="Y2435" s="586" t="str">
        <f t="shared" si="633"/>
        <v/>
      </c>
      <c r="Z2435" s="586" t="str">
        <f t="shared" si="640"/>
        <v/>
      </c>
    </row>
    <row r="2436" spans="1:26" ht="12" hidden="1" thickBot="1" x14ac:dyDescent="0.25">
      <c r="A2436" s="567" t="s">
        <v>168</v>
      </c>
      <c r="B2436" s="644" t="s">
        <v>168</v>
      </c>
      <c r="C2436" s="645"/>
      <c r="D2436" s="422" t="s">
        <v>400</v>
      </c>
      <c r="E2436" s="423"/>
      <c r="F2436" s="424">
        <v>30</v>
      </c>
      <c r="G2436" s="425">
        <f>VLOOKUP(D2432,'[2]ENSAIOS DE ORÇAMENTO'!$C$3:$L$79,3,FALSE)</f>
        <v>1.30284</v>
      </c>
      <c r="H2436" s="663">
        <f t="shared" si="651"/>
        <v>45.312775200000004</v>
      </c>
      <c r="I2436" s="420"/>
      <c r="J2436" s="420"/>
      <c r="K2436" s="421">
        <f t="shared" si="646"/>
        <v>0</v>
      </c>
      <c r="L2436" s="647"/>
      <c r="M2436" s="723"/>
      <c r="N2436" s="576">
        <f t="shared" si="636"/>
        <v>0</v>
      </c>
      <c r="O2436" s="577">
        <f t="shared" si="649"/>
        <v>0</v>
      </c>
      <c r="P2436" s="578">
        <f t="shared" si="650"/>
        <v>0</v>
      </c>
      <c r="Q2436" s="765"/>
      <c r="R2436" s="723"/>
      <c r="S2436" s="723"/>
      <c r="T2436" s="577">
        <f t="shared" si="647"/>
        <v>0</v>
      </c>
      <c r="U2436" s="578">
        <f t="shared" si="648"/>
        <v>0</v>
      </c>
      <c r="V2436" s="579"/>
      <c r="W2436" s="566" t="str">
        <f>IF(U2432&gt;0,"xx",IF(P2432&gt;0,"xy",""))</f>
        <v/>
      </c>
      <c r="X2436" s="586" t="str">
        <f t="shared" si="642"/>
        <v/>
      </c>
      <c r="Y2436" s="586" t="str">
        <f t="shared" si="633"/>
        <v/>
      </c>
      <c r="Z2436" s="586" t="str">
        <f t="shared" si="640"/>
        <v/>
      </c>
    </row>
    <row r="2437" spans="1:26" ht="12" hidden="1" thickBot="1" x14ac:dyDescent="0.25">
      <c r="A2437" s="567" t="s">
        <v>168</v>
      </c>
      <c r="B2437" s="644" t="s">
        <v>168</v>
      </c>
      <c r="C2437" s="645"/>
      <c r="D2437" s="422" t="s">
        <v>401</v>
      </c>
      <c r="E2437" s="423"/>
      <c r="F2437" s="424">
        <v>500</v>
      </c>
      <c r="G2437" s="425">
        <f>VLOOKUP(D2432,'[2]ENSAIOS DE ORÇAMENTO'!$C$3:$L$79,10,FALSE)</f>
        <v>4.3428000000000001E-2</v>
      </c>
      <c r="H2437" s="649">
        <f>IF(F2437&lt;=30,(0.78*F2437+7.82)*G2437,((0.78*30+7.82)+0.78*(F2437-30))*G2437)</f>
        <v>17.276526960000002</v>
      </c>
      <c r="I2437" s="420"/>
      <c r="J2437" s="420"/>
      <c r="K2437" s="421">
        <f t="shared" si="646"/>
        <v>0</v>
      </c>
      <c r="L2437" s="647"/>
      <c r="M2437" s="723"/>
      <c r="N2437" s="576">
        <f t="shared" si="636"/>
        <v>0</v>
      </c>
      <c r="O2437" s="577">
        <f t="shared" si="649"/>
        <v>0</v>
      </c>
      <c r="P2437" s="578">
        <f t="shared" si="650"/>
        <v>0</v>
      </c>
      <c r="Q2437" s="765"/>
      <c r="R2437" s="723"/>
      <c r="S2437" s="723"/>
      <c r="T2437" s="577">
        <f t="shared" si="647"/>
        <v>0</v>
      </c>
      <c r="U2437" s="578">
        <f t="shared" si="648"/>
        <v>0</v>
      </c>
      <c r="V2437" s="579"/>
      <c r="W2437" s="566" t="str">
        <f>IF(U2432&gt;0,"xx",IF(P2432&gt;0,"xy",""))</f>
        <v/>
      </c>
      <c r="X2437" s="586" t="str">
        <f t="shared" si="642"/>
        <v/>
      </c>
      <c r="Y2437" s="586" t="str">
        <f t="shared" si="633"/>
        <v/>
      </c>
      <c r="Z2437" s="586" t="str">
        <f t="shared" si="640"/>
        <v/>
      </c>
    </row>
    <row r="2438" spans="1:26" ht="12" hidden="1" thickBot="1" x14ac:dyDescent="0.25">
      <c r="A2438" s="567" t="s">
        <v>132</v>
      </c>
      <c r="B2438" s="644" t="s">
        <v>132</v>
      </c>
      <c r="C2438" s="645" t="s">
        <v>206</v>
      </c>
      <c r="D2438" s="422" t="s">
        <v>149</v>
      </c>
      <c r="E2438" s="423"/>
      <c r="F2438" s="424"/>
      <c r="G2438" s="425"/>
      <c r="H2438" s="651">
        <f>SUM(H2439:H2443)</f>
        <v>691.04061969200018</v>
      </c>
      <c r="I2438" s="420">
        <f>VLOOKUP(D2438,'[2]ENSAIOS DE ORÇAMENTO'!$C$3:$L$79,8,FALSE)</f>
        <v>3218.8444279999999</v>
      </c>
      <c r="J2438" s="420">
        <f>IF(ISBLANK(I2438),"",SUM(H2438:I2438))</f>
        <v>3909.8850476920002</v>
      </c>
      <c r="K2438" s="421">
        <f t="shared" si="646"/>
        <v>4645.33</v>
      </c>
      <c r="L2438" s="647" t="s">
        <v>21</v>
      </c>
      <c r="M2438" s="576"/>
      <c r="N2438" s="576">
        <f t="shared" si="636"/>
        <v>0</v>
      </c>
      <c r="O2438" s="577">
        <f t="shared" si="649"/>
        <v>0</v>
      </c>
      <c r="P2438" s="578">
        <f t="shared" si="650"/>
        <v>0</v>
      </c>
      <c r="Q2438" s="765"/>
      <c r="R2438" s="576">
        <f>M2438</f>
        <v>0</v>
      </c>
      <c r="S2438" s="576">
        <f>N2438</f>
        <v>0</v>
      </c>
      <c r="T2438" s="577">
        <f t="shared" si="647"/>
        <v>0</v>
      </c>
      <c r="U2438" s="578">
        <f t="shared" si="648"/>
        <v>0</v>
      </c>
      <c r="V2438" s="579"/>
      <c r="W2438" s="566"/>
      <c r="X2438" s="586" t="str">
        <f t="shared" si="642"/>
        <v/>
      </c>
      <c r="Y2438" s="586" t="str">
        <f t="shared" si="633"/>
        <v/>
      </c>
      <c r="Z2438" s="586" t="str">
        <f t="shared" si="640"/>
        <v/>
      </c>
    </row>
    <row r="2439" spans="1:26" ht="12" hidden="1" thickBot="1" x14ac:dyDescent="0.25">
      <c r="A2439" s="567" t="s">
        <v>168</v>
      </c>
      <c r="B2439" s="644" t="s">
        <v>168</v>
      </c>
      <c r="C2439" s="645"/>
      <c r="D2439" s="422" t="s">
        <v>212</v>
      </c>
      <c r="E2439" s="423"/>
      <c r="F2439" s="424">
        <v>500</v>
      </c>
      <c r="G2439" s="425">
        <f>VLOOKUP(D2438,'[2]ENSAIOS DE ORÇAMENTO'!$C$3:$L$79,4,FALSE)</f>
        <v>0.50537460000000012</v>
      </c>
      <c r="H2439" s="649">
        <f>IF(F2439&lt;=30,(0.78*F2439+7.82)*G2439,((0.78*30+7.82)+0.78*(F2439-30))*G2439)</f>
        <v>201.04812337200008</v>
      </c>
      <c r="I2439" s="420"/>
      <c r="J2439" s="420"/>
      <c r="K2439" s="421">
        <f t="shared" si="646"/>
        <v>0</v>
      </c>
      <c r="L2439" s="647"/>
      <c r="M2439" s="723"/>
      <c r="N2439" s="576">
        <f t="shared" si="636"/>
        <v>0</v>
      </c>
      <c r="O2439" s="577">
        <f t="shared" si="649"/>
        <v>0</v>
      </c>
      <c r="P2439" s="578">
        <f t="shared" si="650"/>
        <v>0</v>
      </c>
      <c r="Q2439" s="765"/>
      <c r="R2439" s="723"/>
      <c r="S2439" s="723"/>
      <c r="T2439" s="577">
        <f t="shared" si="647"/>
        <v>0</v>
      </c>
      <c r="U2439" s="578">
        <f t="shared" si="648"/>
        <v>0</v>
      </c>
      <c r="V2439" s="579"/>
      <c r="W2439" s="566" t="str">
        <f>IF(U2438&gt;0,"xx",IF(P2438&gt;0,"xy",""))</f>
        <v/>
      </c>
      <c r="X2439" s="586" t="str">
        <f t="shared" si="642"/>
        <v/>
      </c>
      <c r="Y2439" s="586" t="str">
        <f t="shared" si="633"/>
        <v/>
      </c>
      <c r="Z2439" s="586" t="str">
        <f t="shared" si="640"/>
        <v/>
      </c>
    </row>
    <row r="2440" spans="1:26" ht="12" hidden="1" thickBot="1" x14ac:dyDescent="0.25">
      <c r="A2440" s="567" t="s">
        <v>168</v>
      </c>
      <c r="B2440" s="644" t="s">
        <v>168</v>
      </c>
      <c r="C2440" s="645"/>
      <c r="D2440" s="422" t="s">
        <v>248</v>
      </c>
      <c r="E2440" s="423"/>
      <c r="F2440" s="424">
        <v>180</v>
      </c>
      <c r="G2440" s="425">
        <f>VLOOKUP(D2438,'[2]ENSAIOS DE ORÇAMENTO'!$C$3:$L$79,5,FALSE)</f>
        <v>1.9364075000000001</v>
      </c>
      <c r="H2440" s="663">
        <f t="shared" ref="H2440:H2442" si="652">IF(F2440&lt;=30,(1.07*F2440+2.68)*G2440,((1.07*30+2.68)+1.07*(F2440-30))*G2440)</f>
        <v>378.14165660000003</v>
      </c>
      <c r="I2440" s="420"/>
      <c r="J2440" s="420"/>
      <c r="K2440" s="421">
        <f t="shared" si="646"/>
        <v>0</v>
      </c>
      <c r="L2440" s="647"/>
      <c r="M2440" s="723"/>
      <c r="N2440" s="576">
        <f t="shared" si="636"/>
        <v>0</v>
      </c>
      <c r="O2440" s="577">
        <f t="shared" si="649"/>
        <v>0</v>
      </c>
      <c r="P2440" s="578">
        <f t="shared" si="650"/>
        <v>0</v>
      </c>
      <c r="Q2440" s="765"/>
      <c r="R2440" s="723"/>
      <c r="S2440" s="723"/>
      <c r="T2440" s="577">
        <f t="shared" si="647"/>
        <v>0</v>
      </c>
      <c r="U2440" s="578">
        <f t="shared" si="648"/>
        <v>0</v>
      </c>
      <c r="V2440" s="579"/>
      <c r="W2440" s="566" t="str">
        <f>IF(U2438&gt;0,"xx",IF(P2438&gt;0,"xy",""))</f>
        <v/>
      </c>
      <c r="X2440" s="586" t="str">
        <f t="shared" si="642"/>
        <v/>
      </c>
      <c r="Y2440" s="586" t="str">
        <f t="shared" ref="Y2440:Y2503" si="653">IF(W2440="X","x",IF(W2440="y","x",IF(W2440="xx","x",IF(U2440&gt;0,"x",""))))</f>
        <v/>
      </c>
      <c r="Z2440" s="586" t="str">
        <f t="shared" si="640"/>
        <v/>
      </c>
    </row>
    <row r="2441" spans="1:26" ht="12" hidden="1" thickBot="1" x14ac:dyDescent="0.25">
      <c r="A2441" s="567" t="s">
        <v>168</v>
      </c>
      <c r="B2441" s="644" t="s">
        <v>168</v>
      </c>
      <c r="C2441" s="645"/>
      <c r="D2441" s="422" t="s">
        <v>252</v>
      </c>
      <c r="E2441" s="423"/>
      <c r="F2441" s="424">
        <v>20</v>
      </c>
      <c r="G2441" s="425">
        <f>VLOOKUP(D2438,'[2]ENSAIOS DE ORÇAMENTO'!$C$3:$L$79,6,FALSE)</f>
        <v>1.3875000000000002</v>
      </c>
      <c r="H2441" s="663">
        <f t="shared" si="652"/>
        <v>33.411000000000008</v>
      </c>
      <c r="I2441" s="420"/>
      <c r="J2441" s="420"/>
      <c r="K2441" s="421">
        <f t="shared" si="646"/>
        <v>0</v>
      </c>
      <c r="L2441" s="647"/>
      <c r="M2441" s="723"/>
      <c r="N2441" s="576">
        <f t="shared" si="636"/>
        <v>0</v>
      </c>
      <c r="O2441" s="577">
        <f t="shared" si="649"/>
        <v>0</v>
      </c>
      <c r="P2441" s="578">
        <f t="shared" si="650"/>
        <v>0</v>
      </c>
      <c r="Q2441" s="765"/>
      <c r="R2441" s="723"/>
      <c r="S2441" s="723"/>
      <c r="T2441" s="577">
        <f t="shared" si="647"/>
        <v>0</v>
      </c>
      <c r="U2441" s="578">
        <f t="shared" si="648"/>
        <v>0</v>
      </c>
      <c r="V2441" s="579"/>
      <c r="W2441" s="566" t="str">
        <f>IF(U2438&gt;0,"xx",IF(P2438&gt;0,"xy",""))</f>
        <v/>
      </c>
      <c r="X2441" s="586" t="str">
        <f t="shared" si="642"/>
        <v/>
      </c>
      <c r="Y2441" s="586" t="str">
        <f t="shared" si="653"/>
        <v/>
      </c>
      <c r="Z2441" s="586" t="str">
        <f t="shared" si="640"/>
        <v/>
      </c>
    </row>
    <row r="2442" spans="1:26" ht="12" hidden="1" thickBot="1" x14ac:dyDescent="0.25">
      <c r="A2442" s="567" t="s">
        <v>168</v>
      </c>
      <c r="B2442" s="644" t="s">
        <v>168</v>
      </c>
      <c r="C2442" s="645"/>
      <c r="D2442" s="422" t="s">
        <v>400</v>
      </c>
      <c r="E2442" s="423"/>
      <c r="F2442" s="424">
        <v>30</v>
      </c>
      <c r="G2442" s="425">
        <f>VLOOKUP(D2438,'[2]ENSAIOS DE ORÇAMENTO'!$C$3:$L$79,3,FALSE)</f>
        <v>1.6327799999999999</v>
      </c>
      <c r="H2442" s="663">
        <f t="shared" si="652"/>
        <v>56.788088399999999</v>
      </c>
      <c r="I2442" s="420"/>
      <c r="J2442" s="420"/>
      <c r="K2442" s="421">
        <f t="shared" si="646"/>
        <v>0</v>
      </c>
      <c r="L2442" s="647"/>
      <c r="M2442" s="723"/>
      <c r="N2442" s="576">
        <f t="shared" si="636"/>
        <v>0</v>
      </c>
      <c r="O2442" s="577">
        <f t="shared" si="649"/>
        <v>0</v>
      </c>
      <c r="P2442" s="578">
        <f t="shared" si="650"/>
        <v>0</v>
      </c>
      <c r="Q2442" s="765"/>
      <c r="R2442" s="723"/>
      <c r="S2442" s="723"/>
      <c r="T2442" s="577">
        <f t="shared" si="647"/>
        <v>0</v>
      </c>
      <c r="U2442" s="578">
        <f t="shared" si="648"/>
        <v>0</v>
      </c>
      <c r="V2442" s="579"/>
      <c r="W2442" s="566" t="str">
        <f>IF(U2438&gt;0,"xx",IF(P2438&gt;0,"xy",""))</f>
        <v/>
      </c>
      <c r="X2442" s="586" t="str">
        <f t="shared" si="642"/>
        <v/>
      </c>
      <c r="Y2442" s="586" t="str">
        <f t="shared" si="653"/>
        <v/>
      </c>
      <c r="Z2442" s="586" t="str">
        <f t="shared" si="640"/>
        <v/>
      </c>
    </row>
    <row r="2443" spans="1:26" ht="12" hidden="1" thickBot="1" x14ac:dyDescent="0.25">
      <c r="A2443" s="567" t="s">
        <v>168</v>
      </c>
      <c r="B2443" s="644" t="s">
        <v>168</v>
      </c>
      <c r="C2443" s="645"/>
      <c r="D2443" s="422" t="s">
        <v>401</v>
      </c>
      <c r="E2443" s="423"/>
      <c r="F2443" s="424">
        <v>500</v>
      </c>
      <c r="G2443" s="425">
        <f>VLOOKUP(D2438,'[2]ENSAIOS DE ORÇAMENTO'!$C$3:$L$79,10,FALSE)</f>
        <v>5.4425999999999995E-2</v>
      </c>
      <c r="H2443" s="649">
        <f>IF(F2443&lt;=30,(0.78*F2443+7.82)*G2443,((0.78*30+7.82)+0.78*(F2443-30))*G2443)</f>
        <v>21.651751320000002</v>
      </c>
      <c r="I2443" s="420"/>
      <c r="J2443" s="420"/>
      <c r="K2443" s="421">
        <f t="shared" si="646"/>
        <v>0</v>
      </c>
      <c r="L2443" s="647"/>
      <c r="M2443" s="723"/>
      <c r="N2443" s="576">
        <f t="shared" si="636"/>
        <v>0</v>
      </c>
      <c r="O2443" s="577">
        <f t="shared" si="649"/>
        <v>0</v>
      </c>
      <c r="P2443" s="578">
        <f t="shared" si="650"/>
        <v>0</v>
      </c>
      <c r="Q2443" s="765"/>
      <c r="R2443" s="723"/>
      <c r="S2443" s="723"/>
      <c r="T2443" s="577">
        <f t="shared" si="647"/>
        <v>0</v>
      </c>
      <c r="U2443" s="578">
        <f t="shared" si="648"/>
        <v>0</v>
      </c>
      <c r="V2443" s="579"/>
      <c r="W2443" s="566" t="str">
        <f>IF(U2438&gt;0,"xx",IF(P2438&gt;0,"xy",""))</f>
        <v/>
      </c>
      <c r="X2443" s="586" t="str">
        <f t="shared" si="642"/>
        <v/>
      </c>
      <c r="Y2443" s="586" t="str">
        <f t="shared" si="653"/>
        <v/>
      </c>
      <c r="Z2443" s="586" t="str">
        <f t="shared" si="640"/>
        <v/>
      </c>
    </row>
    <row r="2444" spans="1:26" ht="12" hidden="1" thickBot="1" x14ac:dyDescent="0.25">
      <c r="A2444" s="567" t="s">
        <v>136</v>
      </c>
      <c r="B2444" s="644" t="s">
        <v>136</v>
      </c>
      <c r="C2444" s="645" t="s">
        <v>206</v>
      </c>
      <c r="D2444" s="422" t="s">
        <v>150</v>
      </c>
      <c r="E2444" s="423"/>
      <c r="F2444" s="424"/>
      <c r="G2444" s="425"/>
      <c r="H2444" s="651">
        <f>SUM(H2445:H2449)</f>
        <v>409.16457640000004</v>
      </c>
      <c r="I2444" s="420">
        <f>VLOOKUP(D2444,'[2]ENSAIOS DE ORÇAMENTO'!$C$3:$L$79,8,FALSE)</f>
        <v>1400.2775500000002</v>
      </c>
      <c r="J2444" s="420">
        <f>IF(ISBLANK(I2444),"",SUM(H2444:I2444))</f>
        <v>1809.4421264000002</v>
      </c>
      <c r="K2444" s="421">
        <f t="shared" si="646"/>
        <v>2149.8000000000002</v>
      </c>
      <c r="L2444" s="647" t="s">
        <v>21</v>
      </c>
      <c r="M2444" s="576"/>
      <c r="N2444" s="576">
        <f t="shared" si="636"/>
        <v>0</v>
      </c>
      <c r="O2444" s="577">
        <f t="shared" si="649"/>
        <v>0</v>
      </c>
      <c r="P2444" s="578">
        <f t="shared" si="650"/>
        <v>0</v>
      </c>
      <c r="Q2444" s="765"/>
      <c r="R2444" s="576">
        <f>M2444</f>
        <v>0</v>
      </c>
      <c r="S2444" s="576">
        <f>N2444</f>
        <v>0</v>
      </c>
      <c r="T2444" s="577">
        <f t="shared" si="647"/>
        <v>0</v>
      </c>
      <c r="U2444" s="578">
        <f t="shared" si="648"/>
        <v>0</v>
      </c>
      <c r="V2444" s="579"/>
      <c r="W2444" s="566"/>
      <c r="X2444" s="586" t="str">
        <f t="shared" si="642"/>
        <v/>
      </c>
      <c r="Y2444" s="586" t="str">
        <f t="shared" si="653"/>
        <v/>
      </c>
      <c r="Z2444" s="586" t="str">
        <f t="shared" si="640"/>
        <v/>
      </c>
    </row>
    <row r="2445" spans="1:26" ht="12" hidden="1" thickBot="1" x14ac:dyDescent="0.25">
      <c r="A2445" s="567" t="s">
        <v>168</v>
      </c>
      <c r="B2445" s="644" t="s">
        <v>168</v>
      </c>
      <c r="C2445" s="645"/>
      <c r="D2445" s="422" t="s">
        <v>212</v>
      </c>
      <c r="E2445" s="423"/>
      <c r="F2445" s="424">
        <v>500</v>
      </c>
      <c r="G2445" s="425">
        <f>VLOOKUP(D2444,'[2]ENSAIOS DE ORÇAMENTO'!$C$3:$L$79,4,FALSE)</f>
        <v>0.38250000000000006</v>
      </c>
      <c r="H2445" s="649">
        <f>IF(F2445&lt;=30,(0.78*F2445+7.82)*G2445,((0.78*30+7.82)+0.78*(F2445-30))*G2445)</f>
        <v>152.16615000000004</v>
      </c>
      <c r="I2445" s="420"/>
      <c r="J2445" s="420"/>
      <c r="K2445" s="421">
        <f t="shared" si="646"/>
        <v>0</v>
      </c>
      <c r="L2445" s="647"/>
      <c r="M2445" s="723"/>
      <c r="N2445" s="576">
        <f t="shared" si="636"/>
        <v>0</v>
      </c>
      <c r="O2445" s="577">
        <f t="shared" si="649"/>
        <v>0</v>
      </c>
      <c r="P2445" s="578">
        <f t="shared" si="650"/>
        <v>0</v>
      </c>
      <c r="Q2445" s="765"/>
      <c r="R2445" s="723"/>
      <c r="S2445" s="723"/>
      <c r="T2445" s="577">
        <f t="shared" si="647"/>
        <v>0</v>
      </c>
      <c r="U2445" s="578">
        <f t="shared" si="648"/>
        <v>0</v>
      </c>
      <c r="V2445" s="579"/>
      <c r="W2445" s="566" t="str">
        <f>IF(U2444&gt;0,"xx",IF(P2444&gt;0,"xy",""))</f>
        <v/>
      </c>
      <c r="X2445" s="586" t="str">
        <f t="shared" si="642"/>
        <v/>
      </c>
      <c r="Y2445" s="586" t="str">
        <f t="shared" si="653"/>
        <v/>
      </c>
      <c r="Z2445" s="586" t="str">
        <f t="shared" si="640"/>
        <v/>
      </c>
    </row>
    <row r="2446" spans="1:26" ht="12" hidden="1" thickBot="1" x14ac:dyDescent="0.25">
      <c r="A2446" s="567" t="s">
        <v>168</v>
      </c>
      <c r="B2446" s="644" t="s">
        <v>168</v>
      </c>
      <c r="C2446" s="645"/>
      <c r="D2446" s="422" t="s">
        <v>248</v>
      </c>
      <c r="E2446" s="423"/>
      <c r="F2446" s="424">
        <v>180</v>
      </c>
      <c r="G2446" s="425">
        <f>VLOOKUP(D2444,'[2]ENSAIOS DE ORÇAMENTO'!$C$3:$L$79,5,FALSE)</f>
        <v>1.1483800000000002</v>
      </c>
      <c r="H2446" s="663">
        <f t="shared" ref="H2446:H2448" si="654">IF(F2446&lt;=30,(1.07*F2446+2.68)*G2446,((1.07*30+2.68)+1.07*(F2446-30))*G2446)</f>
        <v>224.25564640000005</v>
      </c>
      <c r="I2446" s="420"/>
      <c r="J2446" s="420"/>
      <c r="K2446" s="421">
        <f t="shared" si="646"/>
        <v>0</v>
      </c>
      <c r="L2446" s="647"/>
      <c r="M2446" s="723"/>
      <c r="N2446" s="576">
        <f t="shared" si="636"/>
        <v>0</v>
      </c>
      <c r="O2446" s="577">
        <f t="shared" si="649"/>
        <v>0</v>
      </c>
      <c r="P2446" s="578">
        <f t="shared" si="650"/>
        <v>0</v>
      </c>
      <c r="Q2446" s="765"/>
      <c r="R2446" s="723"/>
      <c r="S2446" s="723"/>
      <c r="T2446" s="577">
        <f t="shared" si="647"/>
        <v>0</v>
      </c>
      <c r="U2446" s="578">
        <f t="shared" si="648"/>
        <v>0</v>
      </c>
      <c r="V2446" s="579"/>
      <c r="W2446" s="566" t="str">
        <f>IF(U2444&gt;0,"xx",IF(P2444&gt;0,"xy",""))</f>
        <v/>
      </c>
      <c r="X2446" s="586" t="str">
        <f t="shared" si="642"/>
        <v/>
      </c>
      <c r="Y2446" s="586" t="str">
        <f t="shared" si="653"/>
        <v/>
      </c>
      <c r="Z2446" s="586" t="str">
        <f t="shared" si="640"/>
        <v/>
      </c>
    </row>
    <row r="2447" spans="1:26" ht="12" hidden="1" thickBot="1" x14ac:dyDescent="0.25">
      <c r="A2447" s="567" t="s">
        <v>168</v>
      </c>
      <c r="B2447" s="644" t="s">
        <v>168</v>
      </c>
      <c r="C2447" s="645"/>
      <c r="D2447" s="422" t="s">
        <v>252</v>
      </c>
      <c r="E2447" s="423"/>
      <c r="F2447" s="424">
        <v>20</v>
      </c>
      <c r="G2447" s="425">
        <f>VLOOKUP(D2444,'[2]ENSAIOS DE ORÇAMENTO'!$C$3:$L$79,6,FALSE)</f>
        <v>1.35975</v>
      </c>
      <c r="H2447" s="663">
        <f t="shared" si="654"/>
        <v>32.742780000000003</v>
      </c>
      <c r="I2447" s="420"/>
      <c r="J2447" s="420"/>
      <c r="K2447" s="421">
        <f t="shared" si="646"/>
        <v>0</v>
      </c>
      <c r="L2447" s="647"/>
      <c r="M2447" s="723"/>
      <c r="N2447" s="576">
        <f t="shared" si="636"/>
        <v>0</v>
      </c>
      <c r="O2447" s="577">
        <f t="shared" si="649"/>
        <v>0</v>
      </c>
      <c r="P2447" s="578">
        <f t="shared" si="650"/>
        <v>0</v>
      </c>
      <c r="Q2447" s="765"/>
      <c r="R2447" s="723"/>
      <c r="S2447" s="723"/>
      <c r="T2447" s="577">
        <f t="shared" si="647"/>
        <v>0</v>
      </c>
      <c r="U2447" s="578">
        <f t="shared" si="648"/>
        <v>0</v>
      </c>
      <c r="V2447" s="579"/>
      <c r="W2447" s="566" t="str">
        <f>IF(U2444&gt;0,"xx",IF(P2444&gt;0,"xy",""))</f>
        <v/>
      </c>
      <c r="X2447" s="586" t="str">
        <f t="shared" si="642"/>
        <v/>
      </c>
      <c r="Y2447" s="586" t="str">
        <f t="shared" si="653"/>
        <v/>
      </c>
      <c r="Z2447" s="586" t="str">
        <f t="shared" si="640"/>
        <v/>
      </c>
    </row>
    <row r="2448" spans="1:26" ht="12" hidden="1" thickBot="1" x14ac:dyDescent="0.25">
      <c r="A2448" s="567" t="s">
        <v>168</v>
      </c>
      <c r="B2448" s="644" t="s">
        <v>168</v>
      </c>
      <c r="C2448" s="645"/>
      <c r="D2448" s="422" t="s">
        <v>400</v>
      </c>
      <c r="E2448" s="423"/>
      <c r="F2448" s="424">
        <v>30</v>
      </c>
      <c r="G2448" s="425">
        <f>VLOOKUP(D2444,'[2]ENSAIOS DE ORÇAMENTO'!$C$3:$L$79,3,FALSE)</f>
        <v>0</v>
      </c>
      <c r="H2448" s="663">
        <f t="shared" si="654"/>
        <v>0</v>
      </c>
      <c r="I2448" s="420"/>
      <c r="J2448" s="420"/>
      <c r="K2448" s="421">
        <f t="shared" si="646"/>
        <v>0</v>
      </c>
      <c r="L2448" s="647"/>
      <c r="M2448" s="723"/>
      <c r="N2448" s="576">
        <f t="shared" si="636"/>
        <v>0</v>
      </c>
      <c r="O2448" s="577">
        <f t="shared" si="649"/>
        <v>0</v>
      </c>
      <c r="P2448" s="578">
        <f t="shared" si="650"/>
        <v>0</v>
      </c>
      <c r="Q2448" s="765"/>
      <c r="R2448" s="723"/>
      <c r="S2448" s="723"/>
      <c r="T2448" s="577">
        <f t="shared" si="647"/>
        <v>0</v>
      </c>
      <c r="U2448" s="578">
        <f t="shared" si="648"/>
        <v>0</v>
      </c>
      <c r="V2448" s="579"/>
      <c r="W2448" s="566" t="str">
        <f>IF(U2444&gt;0,"xx",IF(P2444&gt;0,"xy",""))</f>
        <v/>
      </c>
      <c r="X2448" s="586" t="str">
        <f t="shared" si="642"/>
        <v/>
      </c>
      <c r="Y2448" s="586" t="str">
        <f t="shared" si="653"/>
        <v/>
      </c>
      <c r="Z2448" s="586" t="str">
        <f t="shared" si="640"/>
        <v/>
      </c>
    </row>
    <row r="2449" spans="1:26" ht="12" hidden="1" thickBot="1" x14ac:dyDescent="0.25">
      <c r="A2449" s="567" t="s">
        <v>168</v>
      </c>
      <c r="B2449" s="644" t="s">
        <v>168</v>
      </c>
      <c r="C2449" s="645"/>
      <c r="D2449" s="422" t="s">
        <v>401</v>
      </c>
      <c r="E2449" s="423"/>
      <c r="F2449" s="424">
        <v>500</v>
      </c>
      <c r="G2449" s="425">
        <f>VLOOKUP(D2444,'[2]ENSAIOS DE ORÇAMENTO'!$C$3:$L$79,10,FALSE)</f>
        <v>0</v>
      </c>
      <c r="H2449" s="649">
        <f>IF(F2449&lt;=30,(0.78*F2449+7.82)*G2449,((0.78*30+7.82)+0.78*(F2449-30))*G2449)</f>
        <v>0</v>
      </c>
      <c r="I2449" s="420"/>
      <c r="J2449" s="420"/>
      <c r="K2449" s="421">
        <f t="shared" si="646"/>
        <v>0</v>
      </c>
      <c r="L2449" s="647"/>
      <c r="M2449" s="723"/>
      <c r="N2449" s="576">
        <f t="shared" si="636"/>
        <v>0</v>
      </c>
      <c r="O2449" s="577">
        <f t="shared" si="649"/>
        <v>0</v>
      </c>
      <c r="P2449" s="578">
        <f t="shared" si="650"/>
        <v>0</v>
      </c>
      <c r="Q2449" s="765"/>
      <c r="R2449" s="723"/>
      <c r="S2449" s="723"/>
      <c r="T2449" s="577">
        <f t="shared" si="647"/>
        <v>0</v>
      </c>
      <c r="U2449" s="578">
        <f t="shared" si="648"/>
        <v>0</v>
      </c>
      <c r="V2449" s="579"/>
      <c r="W2449" s="566" t="str">
        <f>IF(U2444&gt;0,"xx",IF(P2444&gt;0,"xy",""))</f>
        <v/>
      </c>
      <c r="X2449" s="586" t="str">
        <f t="shared" si="642"/>
        <v/>
      </c>
      <c r="Y2449" s="586" t="str">
        <f t="shared" si="653"/>
        <v/>
      </c>
      <c r="Z2449" s="586" t="str">
        <f t="shared" si="640"/>
        <v/>
      </c>
    </row>
    <row r="2450" spans="1:26" ht="12" hidden="1" thickBot="1" x14ac:dyDescent="0.25">
      <c r="A2450" s="567" t="s">
        <v>137</v>
      </c>
      <c r="B2450" s="644" t="s">
        <v>137</v>
      </c>
      <c r="C2450" s="645" t="s">
        <v>206</v>
      </c>
      <c r="D2450" s="422" t="s">
        <v>151</v>
      </c>
      <c r="E2450" s="423"/>
      <c r="F2450" s="424"/>
      <c r="G2450" s="425"/>
      <c r="H2450" s="651">
        <f>SUM(H2451:H2455)</f>
        <v>459.84391840000006</v>
      </c>
      <c r="I2450" s="420">
        <f>VLOOKUP(D2450,'[2]ENSAIOS DE ORÇAMENTO'!$C$3:$L$79,8,FALSE)</f>
        <v>1488.1440499999999</v>
      </c>
      <c r="J2450" s="420">
        <f>IF(ISBLANK(I2450),"",SUM(H2450:I2450))</f>
        <v>1947.9879684</v>
      </c>
      <c r="K2450" s="421">
        <f t="shared" si="646"/>
        <v>2314.4</v>
      </c>
      <c r="L2450" s="647" t="s">
        <v>21</v>
      </c>
      <c r="M2450" s="576"/>
      <c r="N2450" s="576">
        <f t="shared" si="636"/>
        <v>0</v>
      </c>
      <c r="O2450" s="577">
        <f t="shared" si="649"/>
        <v>0</v>
      </c>
      <c r="P2450" s="578">
        <f t="shared" si="650"/>
        <v>0</v>
      </c>
      <c r="Q2450" s="765"/>
      <c r="R2450" s="576">
        <f>M2450</f>
        <v>0</v>
      </c>
      <c r="S2450" s="576">
        <f>N2450</f>
        <v>0</v>
      </c>
      <c r="T2450" s="577">
        <f t="shared" si="647"/>
        <v>0</v>
      </c>
      <c r="U2450" s="578">
        <f t="shared" si="648"/>
        <v>0</v>
      </c>
      <c r="V2450" s="579"/>
      <c r="W2450" s="566"/>
      <c r="X2450" s="586" t="str">
        <f t="shared" si="642"/>
        <v/>
      </c>
      <c r="Y2450" s="586" t="str">
        <f t="shared" si="653"/>
        <v/>
      </c>
      <c r="Z2450" s="586" t="str">
        <f t="shared" si="640"/>
        <v/>
      </c>
    </row>
    <row r="2451" spans="1:26" ht="12" hidden="1" thickBot="1" x14ac:dyDescent="0.25">
      <c r="A2451" s="567" t="s">
        <v>168</v>
      </c>
      <c r="B2451" s="644" t="s">
        <v>168</v>
      </c>
      <c r="C2451" s="645"/>
      <c r="D2451" s="422" t="s">
        <v>212</v>
      </c>
      <c r="E2451" s="423"/>
      <c r="F2451" s="424">
        <v>500</v>
      </c>
      <c r="G2451" s="425">
        <f>VLOOKUP(D2450,'[2]ENSAIOS DE ORÇAMENTO'!$C$3:$L$79,4,FALSE)</f>
        <v>0.43200000000000005</v>
      </c>
      <c r="H2451" s="649">
        <f>IF(F2451&lt;=30,(0.78*F2451+7.82)*G2451,((0.78*30+7.82)+0.78*(F2451-30))*G2451)</f>
        <v>171.85824000000005</v>
      </c>
      <c r="I2451" s="420"/>
      <c r="J2451" s="420"/>
      <c r="K2451" s="421">
        <f t="shared" si="646"/>
        <v>0</v>
      </c>
      <c r="L2451" s="647"/>
      <c r="M2451" s="723"/>
      <c r="N2451" s="576">
        <f t="shared" si="636"/>
        <v>0</v>
      </c>
      <c r="O2451" s="577">
        <f t="shared" si="649"/>
        <v>0</v>
      </c>
      <c r="P2451" s="578">
        <f t="shared" si="650"/>
        <v>0</v>
      </c>
      <c r="Q2451" s="765"/>
      <c r="R2451" s="723"/>
      <c r="S2451" s="723"/>
      <c r="T2451" s="577">
        <f t="shared" si="647"/>
        <v>0</v>
      </c>
      <c r="U2451" s="578">
        <f t="shared" si="648"/>
        <v>0</v>
      </c>
      <c r="V2451" s="579"/>
      <c r="W2451" s="566" t="str">
        <f>IF(U2450&gt;0,"xx",IF(P2450&gt;0,"xy",""))</f>
        <v/>
      </c>
      <c r="X2451" s="586" t="str">
        <f t="shared" si="642"/>
        <v/>
      </c>
      <c r="Y2451" s="586" t="str">
        <f t="shared" si="653"/>
        <v/>
      </c>
      <c r="Z2451" s="586" t="str">
        <f t="shared" si="640"/>
        <v/>
      </c>
    </row>
    <row r="2452" spans="1:26" ht="12" hidden="1" thickBot="1" x14ac:dyDescent="0.25">
      <c r="A2452" s="567" t="s">
        <v>168</v>
      </c>
      <c r="B2452" s="644" t="s">
        <v>168</v>
      </c>
      <c r="C2452" s="645"/>
      <c r="D2452" s="422" t="s">
        <v>248</v>
      </c>
      <c r="E2452" s="423"/>
      <c r="F2452" s="424">
        <v>180</v>
      </c>
      <c r="G2452" s="425">
        <f>VLOOKUP(D2450,'[2]ENSAIOS DE ORÇAMENTO'!$C$3:$L$79,5,FALSE)</f>
        <v>1.28653</v>
      </c>
      <c r="H2452" s="663">
        <f t="shared" ref="H2452:H2454" si="655">IF(F2452&lt;=30,(1.07*F2452+2.68)*G2452,((1.07*30+2.68)+1.07*(F2452-30))*G2452)</f>
        <v>251.2335784</v>
      </c>
      <c r="I2452" s="420"/>
      <c r="J2452" s="420"/>
      <c r="K2452" s="421">
        <f t="shared" si="646"/>
        <v>0</v>
      </c>
      <c r="L2452" s="647"/>
      <c r="M2452" s="723"/>
      <c r="N2452" s="576">
        <f t="shared" ref="N2452:N2515" si="656">IF(M2452=0,0,K2452)</f>
        <v>0</v>
      </c>
      <c r="O2452" s="577">
        <f t="shared" si="649"/>
        <v>0</v>
      </c>
      <c r="P2452" s="578">
        <f t="shared" si="650"/>
        <v>0</v>
      </c>
      <c r="Q2452" s="765"/>
      <c r="R2452" s="723"/>
      <c r="S2452" s="723"/>
      <c r="T2452" s="577">
        <f t="shared" si="647"/>
        <v>0</v>
      </c>
      <c r="U2452" s="578">
        <f t="shared" si="648"/>
        <v>0</v>
      </c>
      <c r="V2452" s="579"/>
      <c r="W2452" s="566" t="str">
        <f>IF(U2450&gt;0,"xx",IF(P2450&gt;0,"xy",""))</f>
        <v/>
      </c>
      <c r="X2452" s="586" t="str">
        <f t="shared" si="642"/>
        <v/>
      </c>
      <c r="Y2452" s="586" t="str">
        <f t="shared" si="653"/>
        <v/>
      </c>
      <c r="Z2452" s="586" t="str">
        <f t="shared" si="640"/>
        <v/>
      </c>
    </row>
    <row r="2453" spans="1:26" ht="12" hidden="1" thickBot="1" x14ac:dyDescent="0.25">
      <c r="A2453" s="567" t="s">
        <v>168</v>
      </c>
      <c r="B2453" s="644" t="s">
        <v>168</v>
      </c>
      <c r="C2453" s="645"/>
      <c r="D2453" s="422" t="s">
        <v>252</v>
      </c>
      <c r="E2453" s="423"/>
      <c r="F2453" s="424">
        <v>20</v>
      </c>
      <c r="G2453" s="425">
        <f>VLOOKUP(D2450,'[2]ENSAIOS DE ORÇAMENTO'!$C$3:$L$79,6,FALSE)</f>
        <v>1.5262500000000001</v>
      </c>
      <c r="H2453" s="663">
        <f t="shared" si="655"/>
        <v>36.752100000000006</v>
      </c>
      <c r="I2453" s="420"/>
      <c r="J2453" s="420"/>
      <c r="K2453" s="421">
        <f t="shared" si="646"/>
        <v>0</v>
      </c>
      <c r="L2453" s="647"/>
      <c r="M2453" s="723"/>
      <c r="N2453" s="576">
        <f t="shared" si="656"/>
        <v>0</v>
      </c>
      <c r="O2453" s="577">
        <f t="shared" si="649"/>
        <v>0</v>
      </c>
      <c r="P2453" s="578">
        <f t="shared" si="650"/>
        <v>0</v>
      </c>
      <c r="Q2453" s="765"/>
      <c r="R2453" s="723"/>
      <c r="S2453" s="723"/>
      <c r="T2453" s="577">
        <f t="shared" si="647"/>
        <v>0</v>
      </c>
      <c r="U2453" s="578">
        <f t="shared" si="648"/>
        <v>0</v>
      </c>
      <c r="V2453" s="579"/>
      <c r="W2453" s="566" t="str">
        <f>IF(U2450&gt;0,"xx",IF(P2450&gt;0,"xy",""))</f>
        <v/>
      </c>
      <c r="X2453" s="586" t="str">
        <f t="shared" si="642"/>
        <v/>
      </c>
      <c r="Y2453" s="586" t="str">
        <f t="shared" si="653"/>
        <v/>
      </c>
      <c r="Z2453" s="586" t="str">
        <f t="shared" si="640"/>
        <v/>
      </c>
    </row>
    <row r="2454" spans="1:26" ht="12" hidden="1" thickBot="1" x14ac:dyDescent="0.25">
      <c r="A2454" s="567" t="s">
        <v>168</v>
      </c>
      <c r="B2454" s="644" t="s">
        <v>168</v>
      </c>
      <c r="C2454" s="645"/>
      <c r="D2454" s="422" t="s">
        <v>400</v>
      </c>
      <c r="E2454" s="423"/>
      <c r="F2454" s="424">
        <v>30</v>
      </c>
      <c r="G2454" s="425">
        <f>VLOOKUP(D2450,'[2]ENSAIOS DE ORÇAMENTO'!$C$3:$L$79,3,FALSE)</f>
        <v>0</v>
      </c>
      <c r="H2454" s="663">
        <f t="shared" si="655"/>
        <v>0</v>
      </c>
      <c r="I2454" s="420"/>
      <c r="J2454" s="420"/>
      <c r="K2454" s="421">
        <f t="shared" si="646"/>
        <v>0</v>
      </c>
      <c r="L2454" s="647"/>
      <c r="M2454" s="723"/>
      <c r="N2454" s="576">
        <f t="shared" si="656"/>
        <v>0</v>
      </c>
      <c r="O2454" s="577">
        <f t="shared" si="649"/>
        <v>0</v>
      </c>
      <c r="P2454" s="578">
        <f t="shared" si="650"/>
        <v>0</v>
      </c>
      <c r="Q2454" s="765"/>
      <c r="R2454" s="723"/>
      <c r="S2454" s="723"/>
      <c r="T2454" s="577">
        <f t="shared" si="647"/>
        <v>0</v>
      </c>
      <c r="U2454" s="578">
        <f t="shared" si="648"/>
        <v>0</v>
      </c>
      <c r="V2454" s="579"/>
      <c r="W2454" s="566" t="str">
        <f>IF(U2450&gt;0,"xx",IF(P2450&gt;0,"xy",""))</f>
        <v/>
      </c>
      <c r="X2454" s="586" t="str">
        <f t="shared" si="642"/>
        <v/>
      </c>
      <c r="Y2454" s="586" t="str">
        <f t="shared" si="653"/>
        <v/>
      </c>
      <c r="Z2454" s="586" t="str">
        <f t="shared" si="640"/>
        <v/>
      </c>
    </row>
    <row r="2455" spans="1:26" ht="12" hidden="1" thickBot="1" x14ac:dyDescent="0.25">
      <c r="A2455" s="567" t="s">
        <v>168</v>
      </c>
      <c r="B2455" s="644" t="s">
        <v>168</v>
      </c>
      <c r="C2455" s="645"/>
      <c r="D2455" s="422" t="s">
        <v>401</v>
      </c>
      <c r="E2455" s="423"/>
      <c r="F2455" s="424">
        <v>500</v>
      </c>
      <c r="G2455" s="425">
        <f>VLOOKUP(D2450,'[2]ENSAIOS DE ORÇAMENTO'!$C$3:$L$79,10,FALSE)</f>
        <v>0</v>
      </c>
      <c r="H2455" s="649">
        <f>IF(F2455&lt;=30,(0.78*F2455+7.82)*G2455,((0.78*30+7.82)+0.78*(F2455-30))*G2455)</f>
        <v>0</v>
      </c>
      <c r="I2455" s="420"/>
      <c r="J2455" s="420"/>
      <c r="K2455" s="421">
        <f t="shared" si="646"/>
        <v>0</v>
      </c>
      <c r="L2455" s="647"/>
      <c r="M2455" s="723"/>
      <c r="N2455" s="576">
        <f t="shared" si="656"/>
        <v>0</v>
      </c>
      <c r="O2455" s="577">
        <f t="shared" si="649"/>
        <v>0</v>
      </c>
      <c r="P2455" s="578">
        <f t="shared" si="650"/>
        <v>0</v>
      </c>
      <c r="Q2455" s="765"/>
      <c r="R2455" s="723"/>
      <c r="S2455" s="723"/>
      <c r="T2455" s="577">
        <f t="shared" si="647"/>
        <v>0</v>
      </c>
      <c r="U2455" s="578">
        <f t="shared" si="648"/>
        <v>0</v>
      </c>
      <c r="V2455" s="579"/>
      <c r="W2455" s="566" t="str">
        <f>IF(U2450&gt;0,"xx",IF(P2450&gt;0,"xy",""))</f>
        <v/>
      </c>
      <c r="X2455" s="586" t="str">
        <f t="shared" si="642"/>
        <v/>
      </c>
      <c r="Y2455" s="586" t="str">
        <f t="shared" si="653"/>
        <v/>
      </c>
      <c r="Z2455" s="586" t="str">
        <f t="shared" si="640"/>
        <v/>
      </c>
    </row>
    <row r="2456" spans="1:26" ht="12" hidden="1" thickBot="1" x14ac:dyDescent="0.25">
      <c r="A2456" s="567" t="s">
        <v>138</v>
      </c>
      <c r="B2456" s="644" t="s">
        <v>138</v>
      </c>
      <c r="C2456" s="645" t="s">
        <v>206</v>
      </c>
      <c r="D2456" s="422" t="s">
        <v>152</v>
      </c>
      <c r="E2456" s="423"/>
      <c r="F2456" s="424"/>
      <c r="G2456" s="425"/>
      <c r="H2456" s="651">
        <f>SUM(H2457:H2461)</f>
        <v>534.17362000000003</v>
      </c>
      <c r="I2456" s="420">
        <f>VLOOKUP(D2456,'[2]ENSAIOS DE ORÇAMENTO'!$C$3:$L$79,8,FALSE)</f>
        <v>1617.5052500000002</v>
      </c>
      <c r="J2456" s="420">
        <f>IF(ISBLANK(I2456),"",SUM(H2456:I2456))</f>
        <v>2151.6788700000002</v>
      </c>
      <c r="K2456" s="421">
        <f t="shared" si="646"/>
        <v>2556.41</v>
      </c>
      <c r="L2456" s="647" t="s">
        <v>21</v>
      </c>
      <c r="M2456" s="576"/>
      <c r="N2456" s="576">
        <f t="shared" si="656"/>
        <v>0</v>
      </c>
      <c r="O2456" s="577">
        <f t="shared" si="649"/>
        <v>0</v>
      </c>
      <c r="P2456" s="578">
        <f t="shared" si="650"/>
        <v>0</v>
      </c>
      <c r="Q2456" s="765"/>
      <c r="R2456" s="576">
        <f>M2456</f>
        <v>0</v>
      </c>
      <c r="S2456" s="576">
        <f>N2456</f>
        <v>0</v>
      </c>
      <c r="T2456" s="577">
        <f t="shared" si="647"/>
        <v>0</v>
      </c>
      <c r="U2456" s="578">
        <f t="shared" si="648"/>
        <v>0</v>
      </c>
      <c r="V2456" s="579"/>
      <c r="W2456" s="566"/>
      <c r="X2456" s="586" t="str">
        <f t="shared" si="642"/>
        <v/>
      </c>
      <c r="Y2456" s="586" t="str">
        <f t="shared" si="653"/>
        <v/>
      </c>
      <c r="Z2456" s="586" t="str">
        <f t="shared" si="640"/>
        <v/>
      </c>
    </row>
    <row r="2457" spans="1:26" ht="12" hidden="1" thickBot="1" x14ac:dyDescent="0.25">
      <c r="A2457" s="567" t="s">
        <v>168</v>
      </c>
      <c r="B2457" s="644" t="s">
        <v>168</v>
      </c>
      <c r="C2457" s="645"/>
      <c r="D2457" s="422" t="s">
        <v>212</v>
      </c>
      <c r="E2457" s="423"/>
      <c r="F2457" s="424">
        <v>500</v>
      </c>
      <c r="G2457" s="425">
        <f>VLOOKUP(D2456,'[2]ENSAIOS DE ORÇAMENTO'!$C$3:$L$79,4,FALSE)</f>
        <v>0.50459999999999994</v>
      </c>
      <c r="H2457" s="649">
        <f>IF(F2457&lt;=30,(0.78*F2457+7.82)*G2457,((0.78*30+7.82)+0.78*(F2457-30))*G2457)</f>
        <v>200.73997199999999</v>
      </c>
      <c r="I2457" s="420"/>
      <c r="J2457" s="420"/>
      <c r="K2457" s="421">
        <f t="shared" si="646"/>
        <v>0</v>
      </c>
      <c r="L2457" s="647"/>
      <c r="M2457" s="723"/>
      <c r="N2457" s="576">
        <f t="shared" si="656"/>
        <v>0</v>
      </c>
      <c r="O2457" s="577">
        <f t="shared" si="649"/>
        <v>0</v>
      </c>
      <c r="P2457" s="578">
        <f t="shared" si="650"/>
        <v>0</v>
      </c>
      <c r="Q2457" s="765"/>
      <c r="R2457" s="723"/>
      <c r="S2457" s="723"/>
      <c r="T2457" s="577">
        <f t="shared" si="647"/>
        <v>0</v>
      </c>
      <c r="U2457" s="578">
        <f t="shared" si="648"/>
        <v>0</v>
      </c>
      <c r="V2457" s="579"/>
      <c r="W2457" s="566" t="str">
        <f>IF(U2456&gt;0,"xx",IF(P2456&gt;0,"xy",""))</f>
        <v/>
      </c>
      <c r="X2457" s="586" t="str">
        <f t="shared" si="642"/>
        <v/>
      </c>
      <c r="Y2457" s="586" t="str">
        <f t="shared" si="653"/>
        <v/>
      </c>
      <c r="Z2457" s="586" t="str">
        <f t="shared" si="640"/>
        <v/>
      </c>
    </row>
    <row r="2458" spans="1:26" ht="12" hidden="1" thickBot="1" x14ac:dyDescent="0.25">
      <c r="A2458" s="567" t="s">
        <v>168</v>
      </c>
      <c r="B2458" s="644" t="s">
        <v>168</v>
      </c>
      <c r="C2458" s="645"/>
      <c r="D2458" s="422" t="s">
        <v>248</v>
      </c>
      <c r="E2458" s="423"/>
      <c r="F2458" s="424">
        <v>180</v>
      </c>
      <c r="G2458" s="425">
        <f>VLOOKUP(D2456,'[2]ENSAIOS DE ORÇAMENTO'!$C$3:$L$79,5,FALSE)</f>
        <v>1.48915</v>
      </c>
      <c r="H2458" s="663">
        <f t="shared" ref="H2458:H2460" si="657">IF(F2458&lt;=30,(1.07*F2458+2.68)*G2458,((1.07*30+2.68)+1.07*(F2458-30))*G2458)</f>
        <v>290.80121200000002</v>
      </c>
      <c r="I2458" s="420"/>
      <c r="J2458" s="420"/>
      <c r="K2458" s="421">
        <f t="shared" si="646"/>
        <v>0</v>
      </c>
      <c r="L2458" s="647"/>
      <c r="M2458" s="723"/>
      <c r="N2458" s="576">
        <f t="shared" si="656"/>
        <v>0</v>
      </c>
      <c r="O2458" s="577">
        <f t="shared" si="649"/>
        <v>0</v>
      </c>
      <c r="P2458" s="578">
        <f t="shared" si="650"/>
        <v>0</v>
      </c>
      <c r="Q2458" s="765"/>
      <c r="R2458" s="723"/>
      <c r="S2458" s="723"/>
      <c r="T2458" s="577">
        <f t="shared" si="647"/>
        <v>0</v>
      </c>
      <c r="U2458" s="578">
        <f t="shared" si="648"/>
        <v>0</v>
      </c>
      <c r="V2458" s="579"/>
      <c r="W2458" s="566" t="str">
        <f>IF(U2456&gt;0,"xx",IF(P2456&gt;0,"xy",""))</f>
        <v/>
      </c>
      <c r="X2458" s="586" t="str">
        <f t="shared" si="642"/>
        <v/>
      </c>
      <c r="Y2458" s="586" t="str">
        <f t="shared" si="653"/>
        <v/>
      </c>
      <c r="Z2458" s="586" t="str">
        <f t="shared" si="640"/>
        <v/>
      </c>
    </row>
    <row r="2459" spans="1:26" ht="12" hidden="1" thickBot="1" x14ac:dyDescent="0.25">
      <c r="A2459" s="567" t="s">
        <v>168</v>
      </c>
      <c r="B2459" s="644" t="s">
        <v>168</v>
      </c>
      <c r="C2459" s="645"/>
      <c r="D2459" s="422" t="s">
        <v>252</v>
      </c>
      <c r="E2459" s="423"/>
      <c r="F2459" s="424">
        <v>20</v>
      </c>
      <c r="G2459" s="425">
        <f>VLOOKUP(D2456,'[2]ENSAIOS DE ORÇAMENTO'!$C$3:$L$79,6,FALSE)</f>
        <v>1.7704500000000001</v>
      </c>
      <c r="H2459" s="663">
        <f t="shared" si="657"/>
        <v>42.632436000000006</v>
      </c>
      <c r="I2459" s="420"/>
      <c r="J2459" s="420"/>
      <c r="K2459" s="421">
        <f t="shared" si="646"/>
        <v>0</v>
      </c>
      <c r="L2459" s="647"/>
      <c r="M2459" s="723"/>
      <c r="N2459" s="576">
        <f t="shared" si="656"/>
        <v>0</v>
      </c>
      <c r="O2459" s="577">
        <f t="shared" si="649"/>
        <v>0</v>
      </c>
      <c r="P2459" s="578">
        <f t="shared" si="650"/>
        <v>0</v>
      </c>
      <c r="Q2459" s="765"/>
      <c r="R2459" s="723"/>
      <c r="S2459" s="723"/>
      <c r="T2459" s="577">
        <f t="shared" si="647"/>
        <v>0</v>
      </c>
      <c r="U2459" s="578">
        <f t="shared" si="648"/>
        <v>0</v>
      </c>
      <c r="V2459" s="579"/>
      <c r="W2459" s="566" t="str">
        <f>IF(U2456&gt;0,"xx",IF(P2456&gt;0,"xy",""))</f>
        <v/>
      </c>
      <c r="X2459" s="586" t="str">
        <f t="shared" si="642"/>
        <v/>
      </c>
      <c r="Y2459" s="586" t="str">
        <f t="shared" si="653"/>
        <v/>
      </c>
      <c r="Z2459" s="586" t="str">
        <f t="shared" si="640"/>
        <v/>
      </c>
    </row>
    <row r="2460" spans="1:26" ht="12" hidden="1" thickBot="1" x14ac:dyDescent="0.25">
      <c r="A2460" s="567" t="s">
        <v>168</v>
      </c>
      <c r="B2460" s="644" t="s">
        <v>168</v>
      </c>
      <c r="C2460" s="645"/>
      <c r="D2460" s="422" t="s">
        <v>400</v>
      </c>
      <c r="E2460" s="423"/>
      <c r="F2460" s="424">
        <v>30</v>
      </c>
      <c r="G2460" s="425">
        <f>VLOOKUP(D2456,'[2]ENSAIOS DE ORÇAMENTO'!$C$3:$L$79,3,FALSE)</f>
        <v>0</v>
      </c>
      <c r="H2460" s="663">
        <f t="shared" si="657"/>
        <v>0</v>
      </c>
      <c r="I2460" s="420"/>
      <c r="J2460" s="420"/>
      <c r="K2460" s="421">
        <f t="shared" si="646"/>
        <v>0</v>
      </c>
      <c r="L2460" s="647"/>
      <c r="M2460" s="723"/>
      <c r="N2460" s="576">
        <f t="shared" si="656"/>
        <v>0</v>
      </c>
      <c r="O2460" s="577">
        <f t="shared" si="649"/>
        <v>0</v>
      </c>
      <c r="P2460" s="578">
        <f t="shared" si="650"/>
        <v>0</v>
      </c>
      <c r="Q2460" s="765"/>
      <c r="R2460" s="723"/>
      <c r="S2460" s="723"/>
      <c r="T2460" s="577">
        <f t="shared" si="647"/>
        <v>0</v>
      </c>
      <c r="U2460" s="578">
        <f t="shared" si="648"/>
        <v>0</v>
      </c>
      <c r="V2460" s="579"/>
      <c r="W2460" s="566" t="str">
        <f>IF(U2456&gt;0,"xx",IF(P2456&gt;0,"xy",""))</f>
        <v/>
      </c>
      <c r="X2460" s="586" t="str">
        <f t="shared" si="642"/>
        <v/>
      </c>
      <c r="Y2460" s="586" t="str">
        <f t="shared" si="653"/>
        <v/>
      </c>
      <c r="Z2460" s="586" t="str">
        <f t="shared" si="640"/>
        <v/>
      </c>
    </row>
    <row r="2461" spans="1:26" ht="12" hidden="1" thickBot="1" x14ac:dyDescent="0.25">
      <c r="A2461" s="567" t="s">
        <v>168</v>
      </c>
      <c r="B2461" s="644" t="s">
        <v>168</v>
      </c>
      <c r="C2461" s="645"/>
      <c r="D2461" s="422" t="s">
        <v>401</v>
      </c>
      <c r="E2461" s="423"/>
      <c r="F2461" s="424">
        <v>500</v>
      </c>
      <c r="G2461" s="425">
        <f>VLOOKUP(D2456,'[2]ENSAIOS DE ORÇAMENTO'!$C$3:$L$79,10,FALSE)</f>
        <v>0</v>
      </c>
      <c r="H2461" s="649">
        <f>IF(F2461&lt;=30,(0.78*F2461+7.82)*G2461,((0.78*30+7.82)+0.78*(F2461-30))*G2461)</f>
        <v>0</v>
      </c>
      <c r="I2461" s="420"/>
      <c r="J2461" s="420"/>
      <c r="K2461" s="421">
        <f t="shared" si="646"/>
        <v>0</v>
      </c>
      <c r="L2461" s="647"/>
      <c r="M2461" s="723"/>
      <c r="N2461" s="576">
        <f t="shared" si="656"/>
        <v>0</v>
      </c>
      <c r="O2461" s="577">
        <f t="shared" si="649"/>
        <v>0</v>
      </c>
      <c r="P2461" s="578">
        <f t="shared" si="650"/>
        <v>0</v>
      </c>
      <c r="Q2461" s="765"/>
      <c r="R2461" s="723"/>
      <c r="S2461" s="723"/>
      <c r="T2461" s="577">
        <f t="shared" si="647"/>
        <v>0</v>
      </c>
      <c r="U2461" s="578">
        <f t="shared" si="648"/>
        <v>0</v>
      </c>
      <c r="V2461" s="579"/>
      <c r="W2461" s="566" t="str">
        <f>IF(U2456&gt;0,"xx",IF(P2456&gt;0,"xy",""))</f>
        <v/>
      </c>
      <c r="X2461" s="586" t="str">
        <f t="shared" si="642"/>
        <v/>
      </c>
      <c r="Y2461" s="586" t="str">
        <f t="shared" si="653"/>
        <v/>
      </c>
      <c r="Z2461" s="586" t="str">
        <f t="shared" si="640"/>
        <v/>
      </c>
    </row>
    <row r="2462" spans="1:26" ht="12" hidden="1" thickBot="1" x14ac:dyDescent="0.25">
      <c r="A2462" s="567" t="s">
        <v>139</v>
      </c>
      <c r="B2462" s="644" t="s">
        <v>139</v>
      </c>
      <c r="C2462" s="645" t="s">
        <v>206</v>
      </c>
      <c r="D2462" s="422" t="s">
        <v>153</v>
      </c>
      <c r="E2462" s="423"/>
      <c r="F2462" s="424"/>
      <c r="G2462" s="425"/>
      <c r="H2462" s="651">
        <f>SUM(H2463:H2467)</f>
        <v>676.95186200000012</v>
      </c>
      <c r="I2462" s="420">
        <f>VLOOKUP(D2462,'[2]ENSAIOS DE ORÇAMENTO'!$C$3:$L$79,8,FALSE)</f>
        <v>1834.5810000000001</v>
      </c>
      <c r="J2462" s="420">
        <f>IF(ISBLANK(I2462),"",SUM(H2462:I2462))</f>
        <v>2511.532862</v>
      </c>
      <c r="K2462" s="421">
        <f t="shared" si="646"/>
        <v>2983.95</v>
      </c>
      <c r="L2462" s="647" t="s">
        <v>21</v>
      </c>
      <c r="M2462" s="576"/>
      <c r="N2462" s="576">
        <f t="shared" si="656"/>
        <v>0</v>
      </c>
      <c r="O2462" s="577">
        <f t="shared" si="649"/>
        <v>0</v>
      </c>
      <c r="P2462" s="578">
        <f t="shared" si="650"/>
        <v>0</v>
      </c>
      <c r="Q2462" s="765"/>
      <c r="R2462" s="576">
        <f>M2462</f>
        <v>0</v>
      </c>
      <c r="S2462" s="576">
        <f>N2462</f>
        <v>0</v>
      </c>
      <c r="T2462" s="577">
        <f t="shared" si="647"/>
        <v>0</v>
      </c>
      <c r="U2462" s="578">
        <f t="shared" si="648"/>
        <v>0</v>
      </c>
      <c r="V2462" s="579"/>
      <c r="W2462" s="566"/>
      <c r="X2462" s="586" t="str">
        <f t="shared" si="642"/>
        <v/>
      </c>
      <c r="Y2462" s="586" t="str">
        <f t="shared" si="653"/>
        <v/>
      </c>
      <c r="Z2462" s="586" t="str">
        <f t="shared" si="640"/>
        <v/>
      </c>
    </row>
    <row r="2463" spans="1:26" ht="12" hidden="1" thickBot="1" x14ac:dyDescent="0.25">
      <c r="A2463" s="567" t="s">
        <v>168</v>
      </c>
      <c r="B2463" s="644" t="s">
        <v>168</v>
      </c>
      <c r="C2463" s="645"/>
      <c r="D2463" s="422" t="s">
        <v>212</v>
      </c>
      <c r="E2463" s="423"/>
      <c r="F2463" s="424">
        <v>500</v>
      </c>
      <c r="G2463" s="425">
        <f>VLOOKUP(D2462,'[2]ENSAIOS DE ORÇAMENTO'!$C$3:$L$79,4,FALSE)</f>
        <v>0.6411</v>
      </c>
      <c r="H2463" s="649">
        <f>IF(F2463&lt;=30,(0.78*F2463+7.82)*G2463,((0.78*30+7.82)+0.78*(F2463-30))*G2463)</f>
        <v>255.04240200000004</v>
      </c>
      <c r="I2463" s="420"/>
      <c r="J2463" s="420"/>
      <c r="K2463" s="421">
        <f t="shared" si="646"/>
        <v>0</v>
      </c>
      <c r="L2463" s="647"/>
      <c r="M2463" s="723"/>
      <c r="N2463" s="576">
        <f t="shared" si="656"/>
        <v>0</v>
      </c>
      <c r="O2463" s="577">
        <f t="shared" si="649"/>
        <v>0</v>
      </c>
      <c r="P2463" s="578">
        <f t="shared" si="650"/>
        <v>0</v>
      </c>
      <c r="Q2463" s="765"/>
      <c r="R2463" s="723"/>
      <c r="S2463" s="723"/>
      <c r="T2463" s="577">
        <f t="shared" si="647"/>
        <v>0</v>
      </c>
      <c r="U2463" s="578">
        <f t="shared" si="648"/>
        <v>0</v>
      </c>
      <c r="V2463" s="579"/>
      <c r="W2463" s="566" t="str">
        <f>IF(U2462&gt;0,"xx",IF(P2462&gt;0,"xy",""))</f>
        <v/>
      </c>
      <c r="X2463" s="586" t="str">
        <f t="shared" si="642"/>
        <v/>
      </c>
      <c r="Y2463" s="586" t="str">
        <f t="shared" si="653"/>
        <v/>
      </c>
      <c r="Z2463" s="586" t="str">
        <f t="shared" si="640"/>
        <v/>
      </c>
    </row>
    <row r="2464" spans="1:26" ht="12" hidden="1" thickBot="1" x14ac:dyDescent="0.25">
      <c r="A2464" s="567" t="s">
        <v>168</v>
      </c>
      <c r="B2464" s="644" t="s">
        <v>168</v>
      </c>
      <c r="C2464" s="645"/>
      <c r="D2464" s="422" t="s">
        <v>248</v>
      </c>
      <c r="E2464" s="423"/>
      <c r="F2464" s="424">
        <v>180</v>
      </c>
      <c r="G2464" s="425">
        <f>VLOOKUP(D2462,'[2]ENSAIOS DE ORÇAMENTO'!$C$3:$L$79,5,FALSE)</f>
        <v>1.8840500000000002</v>
      </c>
      <c r="H2464" s="663">
        <f t="shared" ref="H2464:H2466" si="658">IF(F2464&lt;=30,(1.07*F2464+2.68)*G2464,((1.07*30+2.68)+1.07*(F2464-30))*G2464)</f>
        <v>367.91728400000005</v>
      </c>
      <c r="I2464" s="420"/>
      <c r="J2464" s="420"/>
      <c r="K2464" s="421">
        <f t="shared" si="646"/>
        <v>0</v>
      </c>
      <c r="L2464" s="647"/>
      <c r="M2464" s="723"/>
      <c r="N2464" s="576">
        <f t="shared" si="656"/>
        <v>0</v>
      </c>
      <c r="O2464" s="577">
        <f t="shared" si="649"/>
        <v>0</v>
      </c>
      <c r="P2464" s="578">
        <f t="shared" si="650"/>
        <v>0</v>
      </c>
      <c r="Q2464" s="765"/>
      <c r="R2464" s="723"/>
      <c r="S2464" s="723"/>
      <c r="T2464" s="577">
        <f t="shared" si="647"/>
        <v>0</v>
      </c>
      <c r="U2464" s="578">
        <f t="shared" si="648"/>
        <v>0</v>
      </c>
      <c r="V2464" s="579"/>
      <c r="W2464" s="566" t="str">
        <f>IF(U2462&gt;0,"xx",IF(P2462&gt;0,"xy",""))</f>
        <v/>
      </c>
      <c r="X2464" s="586" t="str">
        <f t="shared" si="642"/>
        <v/>
      </c>
      <c r="Y2464" s="586" t="str">
        <f t="shared" si="653"/>
        <v/>
      </c>
      <c r="Z2464" s="586" t="str">
        <f t="shared" si="640"/>
        <v/>
      </c>
    </row>
    <row r="2465" spans="1:26" ht="12" hidden="1" thickBot="1" x14ac:dyDescent="0.25">
      <c r="A2465" s="567" t="s">
        <v>168</v>
      </c>
      <c r="B2465" s="644" t="s">
        <v>168</v>
      </c>
      <c r="C2465" s="645"/>
      <c r="D2465" s="422" t="s">
        <v>252</v>
      </c>
      <c r="E2465" s="423"/>
      <c r="F2465" s="424">
        <v>20</v>
      </c>
      <c r="G2465" s="425">
        <f>VLOOKUP(D2462,'[2]ENSAIOS DE ORÇAMENTO'!$C$3:$L$79,6,FALSE)</f>
        <v>2.2422</v>
      </c>
      <c r="H2465" s="663">
        <f t="shared" si="658"/>
        <v>53.992176000000001</v>
      </c>
      <c r="I2465" s="420"/>
      <c r="J2465" s="420"/>
      <c r="K2465" s="421">
        <f t="shared" si="646"/>
        <v>0</v>
      </c>
      <c r="L2465" s="647"/>
      <c r="M2465" s="723"/>
      <c r="N2465" s="576">
        <f t="shared" si="656"/>
        <v>0</v>
      </c>
      <c r="O2465" s="577">
        <f t="shared" si="649"/>
        <v>0</v>
      </c>
      <c r="P2465" s="578">
        <f t="shared" si="650"/>
        <v>0</v>
      </c>
      <c r="Q2465" s="765"/>
      <c r="R2465" s="723"/>
      <c r="S2465" s="723"/>
      <c r="T2465" s="577">
        <f t="shared" si="647"/>
        <v>0</v>
      </c>
      <c r="U2465" s="578">
        <f t="shared" si="648"/>
        <v>0</v>
      </c>
      <c r="V2465" s="579"/>
      <c r="W2465" s="566" t="str">
        <f>IF(U2462&gt;0,"xx",IF(P2462&gt;0,"xy",""))</f>
        <v/>
      </c>
      <c r="X2465" s="586" t="str">
        <f t="shared" si="642"/>
        <v/>
      </c>
      <c r="Y2465" s="586" t="str">
        <f t="shared" si="653"/>
        <v/>
      </c>
      <c r="Z2465" s="586" t="str">
        <f t="shared" si="640"/>
        <v/>
      </c>
    </row>
    <row r="2466" spans="1:26" ht="12" hidden="1" thickBot="1" x14ac:dyDescent="0.25">
      <c r="A2466" s="567" t="s">
        <v>168</v>
      </c>
      <c r="B2466" s="644" t="s">
        <v>168</v>
      </c>
      <c r="C2466" s="645"/>
      <c r="D2466" s="422" t="s">
        <v>400</v>
      </c>
      <c r="E2466" s="423"/>
      <c r="F2466" s="424">
        <v>30</v>
      </c>
      <c r="G2466" s="425">
        <f>VLOOKUP(D2462,'[2]ENSAIOS DE ORÇAMENTO'!$C$3:$L$79,3,FALSE)</f>
        <v>0</v>
      </c>
      <c r="H2466" s="663">
        <f t="shared" si="658"/>
        <v>0</v>
      </c>
      <c r="I2466" s="420"/>
      <c r="J2466" s="420"/>
      <c r="K2466" s="421">
        <f t="shared" si="646"/>
        <v>0</v>
      </c>
      <c r="L2466" s="647"/>
      <c r="M2466" s="723"/>
      <c r="N2466" s="576">
        <f t="shared" si="656"/>
        <v>0</v>
      </c>
      <c r="O2466" s="577">
        <f t="shared" si="649"/>
        <v>0</v>
      </c>
      <c r="P2466" s="578">
        <f t="shared" si="650"/>
        <v>0</v>
      </c>
      <c r="Q2466" s="765"/>
      <c r="R2466" s="723"/>
      <c r="S2466" s="723"/>
      <c r="T2466" s="577">
        <f t="shared" si="647"/>
        <v>0</v>
      </c>
      <c r="U2466" s="578">
        <f t="shared" si="648"/>
        <v>0</v>
      </c>
      <c r="V2466" s="579"/>
      <c r="W2466" s="566" t="str">
        <f>IF(U2462&gt;0,"xx",IF(P2462&gt;0,"xy",""))</f>
        <v/>
      </c>
      <c r="X2466" s="586" t="str">
        <f t="shared" si="642"/>
        <v/>
      </c>
      <c r="Y2466" s="586" t="str">
        <f t="shared" si="653"/>
        <v/>
      </c>
      <c r="Z2466" s="586" t="str">
        <f t="shared" si="640"/>
        <v/>
      </c>
    </row>
    <row r="2467" spans="1:26" ht="12" hidden="1" thickBot="1" x14ac:dyDescent="0.25">
      <c r="A2467" s="567" t="s">
        <v>168</v>
      </c>
      <c r="B2467" s="644" t="s">
        <v>168</v>
      </c>
      <c r="C2467" s="645"/>
      <c r="D2467" s="422" t="s">
        <v>401</v>
      </c>
      <c r="E2467" s="423"/>
      <c r="F2467" s="424">
        <v>500</v>
      </c>
      <c r="G2467" s="425">
        <f>VLOOKUP(D2462,'[2]ENSAIOS DE ORÇAMENTO'!$C$3:$L$79,10,FALSE)</f>
        <v>0</v>
      </c>
      <c r="H2467" s="649">
        <f>IF(F2467&lt;=30,(0.78*F2467+7.82)*G2467,((0.78*30+7.82)+0.78*(F2467-30))*G2467)</f>
        <v>0</v>
      </c>
      <c r="I2467" s="420"/>
      <c r="J2467" s="420"/>
      <c r="K2467" s="421">
        <f t="shared" si="646"/>
        <v>0</v>
      </c>
      <c r="L2467" s="647"/>
      <c r="M2467" s="723"/>
      <c r="N2467" s="576">
        <f t="shared" si="656"/>
        <v>0</v>
      </c>
      <c r="O2467" s="577">
        <f t="shared" si="649"/>
        <v>0</v>
      </c>
      <c r="P2467" s="578">
        <f t="shared" si="650"/>
        <v>0</v>
      </c>
      <c r="Q2467" s="765"/>
      <c r="R2467" s="723"/>
      <c r="S2467" s="723"/>
      <c r="T2467" s="577">
        <f t="shared" si="647"/>
        <v>0</v>
      </c>
      <c r="U2467" s="578">
        <f t="shared" si="648"/>
        <v>0</v>
      </c>
      <c r="V2467" s="579"/>
      <c r="W2467" s="566" t="str">
        <f>IF(U2462&gt;0,"xx",IF(P2462&gt;0,"xy",""))</f>
        <v/>
      </c>
      <c r="X2467" s="586" t="str">
        <f t="shared" si="642"/>
        <v/>
      </c>
      <c r="Y2467" s="586" t="str">
        <f t="shared" si="653"/>
        <v/>
      </c>
      <c r="Z2467" s="586" t="str">
        <f t="shared" si="640"/>
        <v/>
      </c>
    </row>
    <row r="2468" spans="1:26" ht="12" hidden="1" thickBot="1" x14ac:dyDescent="0.25">
      <c r="A2468" s="567" t="s">
        <v>140</v>
      </c>
      <c r="B2468" s="644" t="s">
        <v>140</v>
      </c>
      <c r="C2468" s="645" t="s">
        <v>206</v>
      </c>
      <c r="D2468" s="422" t="s">
        <v>154</v>
      </c>
      <c r="E2468" s="423"/>
      <c r="F2468" s="424"/>
      <c r="G2468" s="425"/>
      <c r="H2468" s="651">
        <f>SUM(H2469:H2473)</f>
        <v>848.91637639999999</v>
      </c>
      <c r="I2468" s="420">
        <f>VLOOKUP(D2468,'[2]ENSAIOS DE ORÇAMENTO'!$C$3:$L$79,8,FALSE)</f>
        <v>2093.32645</v>
      </c>
      <c r="J2468" s="420">
        <f>IF(ISBLANK(I2468),"",SUM(H2468:I2468))</f>
        <v>2942.2428264</v>
      </c>
      <c r="K2468" s="421">
        <f t="shared" si="646"/>
        <v>3495.68</v>
      </c>
      <c r="L2468" s="647" t="s">
        <v>21</v>
      </c>
      <c r="M2468" s="576"/>
      <c r="N2468" s="576">
        <f t="shared" si="656"/>
        <v>0</v>
      </c>
      <c r="O2468" s="577">
        <f t="shared" si="649"/>
        <v>0</v>
      </c>
      <c r="P2468" s="578">
        <f t="shared" si="650"/>
        <v>0</v>
      </c>
      <c r="Q2468" s="765"/>
      <c r="R2468" s="576">
        <f>M2468</f>
        <v>0</v>
      </c>
      <c r="S2468" s="576">
        <f>N2468</f>
        <v>0</v>
      </c>
      <c r="T2468" s="577">
        <f t="shared" si="647"/>
        <v>0</v>
      </c>
      <c r="U2468" s="578">
        <f t="shared" si="648"/>
        <v>0</v>
      </c>
      <c r="V2468" s="579"/>
      <c r="W2468" s="566"/>
      <c r="X2468" s="586" t="str">
        <f t="shared" si="642"/>
        <v/>
      </c>
      <c r="Y2468" s="586" t="str">
        <f t="shared" si="653"/>
        <v/>
      </c>
      <c r="Z2468" s="586" t="str">
        <f t="shared" si="640"/>
        <v/>
      </c>
    </row>
    <row r="2469" spans="1:26" ht="12" hidden="1" thickBot="1" x14ac:dyDescent="0.25">
      <c r="A2469" s="567" t="s">
        <v>168</v>
      </c>
      <c r="B2469" s="644" t="s">
        <v>168</v>
      </c>
      <c r="C2469" s="645"/>
      <c r="D2469" s="422" t="s">
        <v>212</v>
      </c>
      <c r="E2469" s="423"/>
      <c r="F2469" s="424">
        <v>500</v>
      </c>
      <c r="G2469" s="425">
        <f>VLOOKUP(D2468,'[2]ENSAIOS DE ORÇAMENTO'!$C$3:$L$79,4,FALSE)</f>
        <v>0.80657999999999996</v>
      </c>
      <c r="H2469" s="649">
        <f>IF(F2469&lt;=30,(0.78*F2469+7.82)*G2469,((0.78*30+7.82)+0.78*(F2469-30))*G2469)</f>
        <v>320.87365560000001</v>
      </c>
      <c r="I2469" s="420"/>
      <c r="J2469" s="420"/>
      <c r="K2469" s="421">
        <f t="shared" si="646"/>
        <v>0</v>
      </c>
      <c r="L2469" s="647"/>
      <c r="M2469" s="723"/>
      <c r="N2469" s="576">
        <f t="shared" si="656"/>
        <v>0</v>
      </c>
      <c r="O2469" s="577">
        <f t="shared" si="649"/>
        <v>0</v>
      </c>
      <c r="P2469" s="578">
        <f t="shared" si="650"/>
        <v>0</v>
      </c>
      <c r="Q2469" s="765"/>
      <c r="R2469" s="723"/>
      <c r="S2469" s="723"/>
      <c r="T2469" s="577">
        <f t="shared" si="647"/>
        <v>0</v>
      </c>
      <c r="U2469" s="578">
        <f t="shared" si="648"/>
        <v>0</v>
      </c>
      <c r="V2469" s="579"/>
      <c r="W2469" s="566" t="str">
        <f>IF(U2468&gt;0,"xx",IF(P2468&gt;0,"xy",""))</f>
        <v/>
      </c>
      <c r="X2469" s="586" t="str">
        <f t="shared" si="642"/>
        <v/>
      </c>
      <c r="Y2469" s="586" t="str">
        <f t="shared" si="653"/>
        <v/>
      </c>
      <c r="Z2469" s="586" t="str">
        <f t="shared" si="640"/>
        <v/>
      </c>
    </row>
    <row r="2470" spans="1:26" ht="12" hidden="1" thickBot="1" x14ac:dyDescent="0.25">
      <c r="A2470" s="567" t="s">
        <v>168</v>
      </c>
      <c r="B2470" s="644" t="s">
        <v>168</v>
      </c>
      <c r="C2470" s="645"/>
      <c r="D2470" s="422" t="s">
        <v>248</v>
      </c>
      <c r="E2470" s="423"/>
      <c r="F2470" s="424">
        <v>180</v>
      </c>
      <c r="G2470" s="425">
        <f>VLOOKUP(D2468,'[2]ENSAIOS DE ORÇAMENTO'!$C$3:$L$79,5,FALSE)</f>
        <v>2.3575999999999997</v>
      </c>
      <c r="H2470" s="663">
        <f t="shared" ref="H2470:H2472" si="659">IF(F2470&lt;=30,(1.07*F2470+2.68)*G2470,((1.07*30+2.68)+1.07*(F2470-30))*G2470)</f>
        <v>460.39212799999996</v>
      </c>
      <c r="I2470" s="420"/>
      <c r="J2470" s="420"/>
      <c r="K2470" s="421">
        <f t="shared" si="646"/>
        <v>0</v>
      </c>
      <c r="L2470" s="647"/>
      <c r="M2470" s="723"/>
      <c r="N2470" s="576">
        <f t="shared" si="656"/>
        <v>0</v>
      </c>
      <c r="O2470" s="577">
        <f t="shared" si="649"/>
        <v>0</v>
      </c>
      <c r="P2470" s="578">
        <f t="shared" si="650"/>
        <v>0</v>
      </c>
      <c r="Q2470" s="765"/>
      <c r="R2470" s="723"/>
      <c r="S2470" s="723"/>
      <c r="T2470" s="577">
        <f t="shared" si="647"/>
        <v>0</v>
      </c>
      <c r="U2470" s="578">
        <f t="shared" si="648"/>
        <v>0</v>
      </c>
      <c r="V2470" s="579"/>
      <c r="W2470" s="566" t="str">
        <f>IF(U2468&gt;0,"xx",IF(P2468&gt;0,"xy",""))</f>
        <v/>
      </c>
      <c r="X2470" s="586" t="str">
        <f t="shared" si="642"/>
        <v/>
      </c>
      <c r="Y2470" s="586" t="str">
        <f t="shared" si="653"/>
        <v/>
      </c>
      <c r="Z2470" s="586" t="str">
        <f t="shared" si="640"/>
        <v/>
      </c>
    </row>
    <row r="2471" spans="1:26" ht="12" hidden="1" thickBot="1" x14ac:dyDescent="0.25">
      <c r="A2471" s="567" t="s">
        <v>168</v>
      </c>
      <c r="B2471" s="644" t="s">
        <v>168</v>
      </c>
      <c r="C2471" s="645"/>
      <c r="D2471" s="422" t="s">
        <v>252</v>
      </c>
      <c r="E2471" s="423"/>
      <c r="F2471" s="424">
        <v>20</v>
      </c>
      <c r="G2471" s="425">
        <f>VLOOKUP(D2468,'[2]ENSAIOS DE ORÇAMENTO'!$C$3:$L$79,6,FALSE)</f>
        <v>2.8094099999999997</v>
      </c>
      <c r="H2471" s="663">
        <f t="shared" si="659"/>
        <v>67.650592799999998</v>
      </c>
      <c r="I2471" s="420"/>
      <c r="J2471" s="420"/>
      <c r="K2471" s="421">
        <f t="shared" si="646"/>
        <v>0</v>
      </c>
      <c r="L2471" s="647"/>
      <c r="M2471" s="723"/>
      <c r="N2471" s="576">
        <f t="shared" si="656"/>
        <v>0</v>
      </c>
      <c r="O2471" s="577">
        <f t="shared" si="649"/>
        <v>0</v>
      </c>
      <c r="P2471" s="578">
        <f t="shared" si="650"/>
        <v>0</v>
      </c>
      <c r="Q2471" s="765"/>
      <c r="R2471" s="723"/>
      <c r="S2471" s="723"/>
      <c r="T2471" s="577">
        <f t="shared" si="647"/>
        <v>0</v>
      </c>
      <c r="U2471" s="578">
        <f t="shared" si="648"/>
        <v>0</v>
      </c>
      <c r="V2471" s="579"/>
      <c r="W2471" s="566" t="str">
        <f>IF(U2468&gt;0,"xx",IF(P2468&gt;0,"xy",""))</f>
        <v/>
      </c>
      <c r="X2471" s="586" t="str">
        <f t="shared" si="642"/>
        <v/>
      </c>
      <c r="Y2471" s="586" t="str">
        <f t="shared" si="653"/>
        <v/>
      </c>
      <c r="Z2471" s="586" t="str">
        <f t="shared" si="640"/>
        <v/>
      </c>
    </row>
    <row r="2472" spans="1:26" ht="12" hidden="1" thickBot="1" x14ac:dyDescent="0.25">
      <c r="A2472" s="567" t="s">
        <v>168</v>
      </c>
      <c r="B2472" s="644" t="s">
        <v>168</v>
      </c>
      <c r="C2472" s="645"/>
      <c r="D2472" s="422" t="s">
        <v>400</v>
      </c>
      <c r="E2472" s="423"/>
      <c r="F2472" s="424">
        <v>30</v>
      </c>
      <c r="G2472" s="425">
        <f>VLOOKUP(D2468,'[2]ENSAIOS DE ORÇAMENTO'!$C$3:$L$79,3,FALSE)</f>
        <v>0</v>
      </c>
      <c r="H2472" s="663">
        <f t="shared" si="659"/>
        <v>0</v>
      </c>
      <c r="I2472" s="420"/>
      <c r="J2472" s="420"/>
      <c r="K2472" s="421">
        <f t="shared" si="646"/>
        <v>0</v>
      </c>
      <c r="L2472" s="647"/>
      <c r="M2472" s="723"/>
      <c r="N2472" s="576">
        <f t="shared" si="656"/>
        <v>0</v>
      </c>
      <c r="O2472" s="577">
        <f t="shared" si="649"/>
        <v>0</v>
      </c>
      <c r="P2472" s="578">
        <f t="shared" si="650"/>
        <v>0</v>
      </c>
      <c r="Q2472" s="765"/>
      <c r="R2472" s="723"/>
      <c r="S2472" s="723"/>
      <c r="T2472" s="577">
        <f t="shared" si="647"/>
        <v>0</v>
      </c>
      <c r="U2472" s="578">
        <f t="shared" si="648"/>
        <v>0</v>
      </c>
      <c r="V2472" s="579"/>
      <c r="W2472" s="566" t="str">
        <f>IF(U2468&gt;0,"xx",IF(P2468&gt;0,"xy",""))</f>
        <v/>
      </c>
      <c r="X2472" s="586" t="str">
        <f t="shared" si="642"/>
        <v/>
      </c>
      <c r="Y2472" s="586" t="str">
        <f t="shared" si="653"/>
        <v/>
      </c>
      <c r="Z2472" s="586" t="str">
        <f t="shared" ref="Z2472:Z2535" si="660">IF(W2472="X","x",IF(U2472&gt;0,"x",""))</f>
        <v/>
      </c>
    </row>
    <row r="2473" spans="1:26" ht="12" hidden="1" thickBot="1" x14ac:dyDescent="0.25">
      <c r="A2473" s="567" t="s">
        <v>168</v>
      </c>
      <c r="B2473" s="644" t="s">
        <v>168</v>
      </c>
      <c r="C2473" s="645"/>
      <c r="D2473" s="422" t="s">
        <v>401</v>
      </c>
      <c r="E2473" s="423"/>
      <c r="F2473" s="424">
        <v>500</v>
      </c>
      <c r="G2473" s="425">
        <f>VLOOKUP(D2468,'[2]ENSAIOS DE ORÇAMENTO'!$C$3:$L$79,10,FALSE)</f>
        <v>0</v>
      </c>
      <c r="H2473" s="649">
        <f>IF(F2473&lt;=30,(0.78*F2473+7.82)*G2473,((0.78*30+7.82)+0.78*(F2473-30))*G2473)</f>
        <v>0</v>
      </c>
      <c r="I2473" s="420"/>
      <c r="J2473" s="420"/>
      <c r="K2473" s="421">
        <f t="shared" si="646"/>
        <v>0</v>
      </c>
      <c r="L2473" s="647"/>
      <c r="M2473" s="723"/>
      <c r="N2473" s="576">
        <f t="shared" si="656"/>
        <v>0</v>
      </c>
      <c r="O2473" s="577">
        <f t="shared" si="649"/>
        <v>0</v>
      </c>
      <c r="P2473" s="578">
        <f t="shared" si="650"/>
        <v>0</v>
      </c>
      <c r="Q2473" s="765"/>
      <c r="R2473" s="723"/>
      <c r="S2473" s="723"/>
      <c r="T2473" s="577">
        <f t="shared" si="647"/>
        <v>0</v>
      </c>
      <c r="U2473" s="578">
        <f t="shared" si="648"/>
        <v>0</v>
      </c>
      <c r="V2473" s="579"/>
      <c r="W2473" s="566" t="str">
        <f>IF(U2468&gt;0,"xx",IF(P2468&gt;0,"xy",""))</f>
        <v/>
      </c>
      <c r="X2473" s="586" t="str">
        <f t="shared" si="642"/>
        <v/>
      </c>
      <c r="Y2473" s="586" t="str">
        <f t="shared" si="653"/>
        <v/>
      </c>
      <c r="Z2473" s="586" t="str">
        <f t="shared" si="660"/>
        <v/>
      </c>
    </row>
    <row r="2474" spans="1:26" ht="12" hidden="1" thickBot="1" x14ac:dyDescent="0.25">
      <c r="A2474" s="567" t="s">
        <v>141</v>
      </c>
      <c r="B2474" s="644" t="s">
        <v>141</v>
      </c>
      <c r="C2474" s="645" t="s">
        <v>206</v>
      </c>
      <c r="D2474" s="422" t="s">
        <v>155</v>
      </c>
      <c r="E2474" s="423"/>
      <c r="F2474" s="424"/>
      <c r="G2474" s="425"/>
      <c r="H2474" s="651">
        <f>SUM(H2475:H2479)</f>
        <v>409.16457640000004</v>
      </c>
      <c r="I2474" s="420">
        <f>VLOOKUP(D2474,'[2]ENSAIOS DE ORÇAMENTO'!$C$3:$L$79,8,FALSE)</f>
        <v>3091.6861699999999</v>
      </c>
      <c r="J2474" s="420">
        <f>IF(ISBLANK(I2474),"",SUM(H2474:I2474))</f>
        <v>3500.8507463999999</v>
      </c>
      <c r="K2474" s="421">
        <f t="shared" si="646"/>
        <v>4159.3599999999997</v>
      </c>
      <c r="L2474" s="647" t="s">
        <v>21</v>
      </c>
      <c r="M2474" s="576"/>
      <c r="N2474" s="576">
        <f t="shared" si="656"/>
        <v>0</v>
      </c>
      <c r="O2474" s="577">
        <f t="shared" si="649"/>
        <v>0</v>
      </c>
      <c r="P2474" s="578">
        <f t="shared" si="650"/>
        <v>0</v>
      </c>
      <c r="Q2474" s="765"/>
      <c r="R2474" s="576">
        <f>M2474</f>
        <v>0</v>
      </c>
      <c r="S2474" s="576">
        <f>N2474</f>
        <v>0</v>
      </c>
      <c r="T2474" s="577">
        <f t="shared" si="647"/>
        <v>0</v>
      </c>
      <c r="U2474" s="578">
        <f t="shared" si="648"/>
        <v>0</v>
      </c>
      <c r="V2474" s="579"/>
      <c r="W2474" s="566"/>
      <c r="X2474" s="586" t="str">
        <f t="shared" si="642"/>
        <v/>
      </c>
      <c r="Y2474" s="586" t="str">
        <f t="shared" si="653"/>
        <v/>
      </c>
      <c r="Z2474" s="586" t="str">
        <f t="shared" si="660"/>
        <v/>
      </c>
    </row>
    <row r="2475" spans="1:26" ht="12" hidden="1" thickBot="1" x14ac:dyDescent="0.25">
      <c r="A2475" s="567" t="s">
        <v>168</v>
      </c>
      <c r="B2475" s="644" t="s">
        <v>168</v>
      </c>
      <c r="C2475" s="645"/>
      <c r="D2475" s="422" t="s">
        <v>212</v>
      </c>
      <c r="E2475" s="423"/>
      <c r="F2475" s="424">
        <v>500</v>
      </c>
      <c r="G2475" s="425">
        <f>VLOOKUP(D2474,'[2]ENSAIOS DE ORÇAMENTO'!$C$3:$L$79,4,FALSE)</f>
        <v>0.38250000000000006</v>
      </c>
      <c r="H2475" s="649">
        <f>IF(F2475&lt;=30,(0.78*F2475+7.82)*G2475,((0.78*30+7.82)+0.78*(F2475-30))*G2475)</f>
        <v>152.16615000000004</v>
      </c>
      <c r="I2475" s="420"/>
      <c r="J2475" s="420"/>
      <c r="K2475" s="421">
        <f t="shared" si="646"/>
        <v>0</v>
      </c>
      <c r="L2475" s="647"/>
      <c r="M2475" s="723"/>
      <c r="N2475" s="576">
        <f t="shared" si="656"/>
        <v>0</v>
      </c>
      <c r="O2475" s="577">
        <f t="shared" si="649"/>
        <v>0</v>
      </c>
      <c r="P2475" s="578">
        <f t="shared" si="650"/>
        <v>0</v>
      </c>
      <c r="Q2475" s="765"/>
      <c r="R2475" s="723"/>
      <c r="S2475" s="723"/>
      <c r="T2475" s="577">
        <f t="shared" si="647"/>
        <v>0</v>
      </c>
      <c r="U2475" s="578">
        <f t="shared" si="648"/>
        <v>0</v>
      </c>
      <c r="V2475" s="579"/>
      <c r="W2475" s="566" t="str">
        <f>IF(U2474&gt;0,"xx",IF(P2474&gt;0,"xy",""))</f>
        <v/>
      </c>
      <c r="X2475" s="586" t="str">
        <f t="shared" ref="X2475:X2538" si="661">IF(W2475="X","x",IF(W2475="xx","x",IF(W2475="xy","x",IF(W2475="y","x",IF(OR(P2475&gt;0,U2475&gt;0),"x","")))))</f>
        <v/>
      </c>
      <c r="Y2475" s="586" t="str">
        <f t="shared" si="653"/>
        <v/>
      </c>
      <c r="Z2475" s="586" t="str">
        <f t="shared" si="660"/>
        <v/>
      </c>
    </row>
    <row r="2476" spans="1:26" ht="12" hidden="1" thickBot="1" x14ac:dyDescent="0.25">
      <c r="A2476" s="567" t="s">
        <v>168</v>
      </c>
      <c r="B2476" s="644" t="s">
        <v>168</v>
      </c>
      <c r="C2476" s="645"/>
      <c r="D2476" s="422" t="s">
        <v>248</v>
      </c>
      <c r="E2476" s="423"/>
      <c r="F2476" s="424">
        <v>180</v>
      </c>
      <c r="G2476" s="425">
        <f>VLOOKUP(D2474,'[2]ENSAIOS DE ORÇAMENTO'!$C$3:$L$79,5,FALSE)</f>
        <v>1.1483800000000002</v>
      </c>
      <c r="H2476" s="663">
        <f t="shared" ref="H2476:H2478" si="662">IF(F2476&lt;=30,(1.07*F2476+2.68)*G2476,((1.07*30+2.68)+1.07*(F2476-30))*G2476)</f>
        <v>224.25564640000005</v>
      </c>
      <c r="I2476" s="420"/>
      <c r="J2476" s="420"/>
      <c r="K2476" s="421">
        <f t="shared" si="646"/>
        <v>0</v>
      </c>
      <c r="L2476" s="647"/>
      <c r="M2476" s="723"/>
      <c r="N2476" s="576">
        <f t="shared" si="656"/>
        <v>0</v>
      </c>
      <c r="O2476" s="577">
        <f t="shared" si="649"/>
        <v>0</v>
      </c>
      <c r="P2476" s="578">
        <f t="shared" si="650"/>
        <v>0</v>
      </c>
      <c r="Q2476" s="765"/>
      <c r="R2476" s="723"/>
      <c r="S2476" s="723"/>
      <c r="T2476" s="577">
        <f t="shared" si="647"/>
        <v>0</v>
      </c>
      <c r="U2476" s="578">
        <f t="shared" si="648"/>
        <v>0</v>
      </c>
      <c r="V2476" s="579"/>
      <c r="W2476" s="566" t="str">
        <f>IF(U2474&gt;0,"xx",IF(P2474&gt;0,"xy",""))</f>
        <v/>
      </c>
      <c r="X2476" s="586" t="str">
        <f t="shared" si="661"/>
        <v/>
      </c>
      <c r="Y2476" s="586" t="str">
        <f t="shared" si="653"/>
        <v/>
      </c>
      <c r="Z2476" s="586" t="str">
        <f t="shared" si="660"/>
        <v/>
      </c>
    </row>
    <row r="2477" spans="1:26" ht="12" hidden="1" thickBot="1" x14ac:dyDescent="0.25">
      <c r="A2477" s="567" t="s">
        <v>168</v>
      </c>
      <c r="B2477" s="644" t="s">
        <v>168</v>
      </c>
      <c r="C2477" s="645"/>
      <c r="D2477" s="422" t="s">
        <v>252</v>
      </c>
      <c r="E2477" s="423"/>
      <c r="F2477" s="424">
        <v>20</v>
      </c>
      <c r="G2477" s="425">
        <f>VLOOKUP(D2474,'[2]ENSAIOS DE ORÇAMENTO'!$C$3:$L$79,6,FALSE)</f>
        <v>1.35975</v>
      </c>
      <c r="H2477" s="663">
        <f t="shared" si="662"/>
        <v>32.742780000000003</v>
      </c>
      <c r="I2477" s="420"/>
      <c r="J2477" s="420"/>
      <c r="K2477" s="421">
        <f t="shared" si="646"/>
        <v>0</v>
      </c>
      <c r="L2477" s="647"/>
      <c r="M2477" s="723"/>
      <c r="N2477" s="576">
        <f t="shared" si="656"/>
        <v>0</v>
      </c>
      <c r="O2477" s="577">
        <f t="shared" si="649"/>
        <v>0</v>
      </c>
      <c r="P2477" s="578">
        <f t="shared" si="650"/>
        <v>0</v>
      </c>
      <c r="Q2477" s="765"/>
      <c r="R2477" s="723"/>
      <c r="S2477" s="723"/>
      <c r="T2477" s="577">
        <f t="shared" si="647"/>
        <v>0</v>
      </c>
      <c r="U2477" s="578">
        <f t="shared" si="648"/>
        <v>0</v>
      </c>
      <c r="V2477" s="579"/>
      <c r="W2477" s="566" t="str">
        <f>IF(U2474&gt;0,"xx",IF(P2474&gt;0,"xy",""))</f>
        <v/>
      </c>
      <c r="X2477" s="586" t="str">
        <f t="shared" si="661"/>
        <v/>
      </c>
      <c r="Y2477" s="586" t="str">
        <f t="shared" si="653"/>
        <v/>
      </c>
      <c r="Z2477" s="586" t="str">
        <f t="shared" si="660"/>
        <v/>
      </c>
    </row>
    <row r="2478" spans="1:26" ht="12" hidden="1" thickBot="1" x14ac:dyDescent="0.25">
      <c r="A2478" s="567" t="s">
        <v>168</v>
      </c>
      <c r="B2478" s="644" t="s">
        <v>168</v>
      </c>
      <c r="C2478" s="645"/>
      <c r="D2478" s="422" t="s">
        <v>400</v>
      </c>
      <c r="E2478" s="423"/>
      <c r="F2478" s="424">
        <v>30</v>
      </c>
      <c r="G2478" s="425">
        <f>VLOOKUP(D2474,'[2]ENSAIOS DE ORÇAMENTO'!$C$3:$L$79,3,FALSE)</f>
        <v>0</v>
      </c>
      <c r="H2478" s="663">
        <f t="shared" si="662"/>
        <v>0</v>
      </c>
      <c r="I2478" s="420"/>
      <c r="J2478" s="420"/>
      <c r="K2478" s="421">
        <f t="shared" si="646"/>
        <v>0</v>
      </c>
      <c r="L2478" s="647"/>
      <c r="M2478" s="723"/>
      <c r="N2478" s="576">
        <f t="shared" si="656"/>
        <v>0</v>
      </c>
      <c r="O2478" s="577">
        <f t="shared" si="649"/>
        <v>0</v>
      </c>
      <c r="P2478" s="578">
        <f t="shared" si="650"/>
        <v>0</v>
      </c>
      <c r="Q2478" s="765"/>
      <c r="R2478" s="723"/>
      <c r="S2478" s="723"/>
      <c r="T2478" s="577">
        <f t="shared" si="647"/>
        <v>0</v>
      </c>
      <c r="U2478" s="578">
        <f t="shared" si="648"/>
        <v>0</v>
      </c>
      <c r="V2478" s="579"/>
      <c r="W2478" s="566" t="str">
        <f>IF(U2474&gt;0,"xx",IF(P2474&gt;0,"xy",""))</f>
        <v/>
      </c>
      <c r="X2478" s="586" t="str">
        <f t="shared" si="661"/>
        <v/>
      </c>
      <c r="Y2478" s="586" t="str">
        <f t="shared" si="653"/>
        <v/>
      </c>
      <c r="Z2478" s="586" t="str">
        <f t="shared" si="660"/>
        <v/>
      </c>
    </row>
    <row r="2479" spans="1:26" ht="12" hidden="1" thickBot="1" x14ac:dyDescent="0.25">
      <c r="A2479" s="567" t="s">
        <v>168</v>
      </c>
      <c r="B2479" s="644" t="s">
        <v>168</v>
      </c>
      <c r="C2479" s="645"/>
      <c r="D2479" s="422" t="s">
        <v>401</v>
      </c>
      <c r="E2479" s="423"/>
      <c r="F2479" s="424">
        <v>500</v>
      </c>
      <c r="G2479" s="425">
        <f>VLOOKUP(D2474,'[2]ENSAIOS DE ORÇAMENTO'!$C$3:$L$79,10,FALSE)</f>
        <v>0</v>
      </c>
      <c r="H2479" s="649">
        <f>IF(F2479&lt;=30,(0.78*F2479+7.82)*G2479,((0.78*30+7.82)+0.78*(F2479-30))*G2479)</f>
        <v>0</v>
      </c>
      <c r="I2479" s="420"/>
      <c r="J2479" s="420"/>
      <c r="K2479" s="421">
        <f t="shared" si="646"/>
        <v>0</v>
      </c>
      <c r="L2479" s="647"/>
      <c r="M2479" s="723"/>
      <c r="N2479" s="576">
        <f t="shared" si="656"/>
        <v>0</v>
      </c>
      <c r="O2479" s="577">
        <f t="shared" si="649"/>
        <v>0</v>
      </c>
      <c r="P2479" s="578">
        <f t="shared" si="650"/>
        <v>0</v>
      </c>
      <c r="Q2479" s="765"/>
      <c r="R2479" s="723"/>
      <c r="S2479" s="723"/>
      <c r="T2479" s="577">
        <f t="shared" si="647"/>
        <v>0</v>
      </c>
      <c r="U2479" s="578">
        <f t="shared" si="648"/>
        <v>0</v>
      </c>
      <c r="V2479" s="579"/>
      <c r="W2479" s="566" t="str">
        <f>IF(U2474&gt;0,"xx",IF(P2474&gt;0,"xy",""))</f>
        <v/>
      </c>
      <c r="X2479" s="586" t="str">
        <f t="shared" si="661"/>
        <v/>
      </c>
      <c r="Y2479" s="586" t="str">
        <f t="shared" si="653"/>
        <v/>
      </c>
      <c r="Z2479" s="586" t="str">
        <f t="shared" si="660"/>
        <v/>
      </c>
    </row>
    <row r="2480" spans="1:26" ht="12" hidden="1" thickBot="1" x14ac:dyDescent="0.25">
      <c r="A2480" s="567" t="s">
        <v>142</v>
      </c>
      <c r="B2480" s="644" t="s">
        <v>142</v>
      </c>
      <c r="C2480" s="645" t="s">
        <v>206</v>
      </c>
      <c r="D2480" s="422" t="s">
        <v>156</v>
      </c>
      <c r="E2480" s="423"/>
      <c r="F2480" s="424"/>
      <c r="G2480" s="425"/>
      <c r="H2480" s="651">
        <f>SUM(H2481:H2485)</f>
        <v>459.84391840000006</v>
      </c>
      <c r="I2480" s="420">
        <f>VLOOKUP(D2480,'[2]ENSAIOS DE ORÇAMENTO'!$C$3:$L$79,8,FALSE)</f>
        <v>3420.3953949999996</v>
      </c>
      <c r="J2480" s="420">
        <f>IF(ISBLANK(I2480),"",SUM(H2480:I2480))</f>
        <v>3880.2393133999994</v>
      </c>
      <c r="K2480" s="421">
        <f t="shared" si="646"/>
        <v>4610.1099999999997</v>
      </c>
      <c r="L2480" s="647" t="s">
        <v>21</v>
      </c>
      <c r="M2480" s="576"/>
      <c r="N2480" s="576">
        <f t="shared" si="656"/>
        <v>0</v>
      </c>
      <c r="O2480" s="577">
        <f t="shared" si="649"/>
        <v>0</v>
      </c>
      <c r="P2480" s="578">
        <f t="shared" si="650"/>
        <v>0</v>
      </c>
      <c r="Q2480" s="765"/>
      <c r="R2480" s="576">
        <f>M2480</f>
        <v>0</v>
      </c>
      <c r="S2480" s="576">
        <f>N2480</f>
        <v>0</v>
      </c>
      <c r="T2480" s="577">
        <f t="shared" si="647"/>
        <v>0</v>
      </c>
      <c r="U2480" s="578">
        <f t="shared" si="648"/>
        <v>0</v>
      </c>
      <c r="V2480" s="579"/>
      <c r="W2480" s="566"/>
      <c r="X2480" s="586" t="str">
        <f t="shared" si="661"/>
        <v/>
      </c>
      <c r="Y2480" s="586" t="str">
        <f t="shared" si="653"/>
        <v/>
      </c>
      <c r="Z2480" s="586" t="str">
        <f t="shared" si="660"/>
        <v/>
      </c>
    </row>
    <row r="2481" spans="1:26" ht="12" hidden="1" thickBot="1" x14ac:dyDescent="0.25">
      <c r="A2481" s="567" t="s">
        <v>168</v>
      </c>
      <c r="B2481" s="644" t="s">
        <v>168</v>
      </c>
      <c r="C2481" s="645"/>
      <c r="D2481" s="422" t="s">
        <v>212</v>
      </c>
      <c r="E2481" s="423"/>
      <c r="F2481" s="424">
        <v>500</v>
      </c>
      <c r="G2481" s="425">
        <f>VLOOKUP(D2480,'[2]ENSAIOS DE ORÇAMENTO'!$C$3:$L$79,4,FALSE)</f>
        <v>0.43200000000000005</v>
      </c>
      <c r="H2481" s="649">
        <f>IF(F2481&lt;=30,(0.78*F2481+7.82)*G2481,((0.78*30+7.82)+0.78*(F2481-30))*G2481)</f>
        <v>171.85824000000005</v>
      </c>
      <c r="I2481" s="420"/>
      <c r="J2481" s="420"/>
      <c r="K2481" s="421">
        <f t="shared" si="646"/>
        <v>0</v>
      </c>
      <c r="L2481" s="647"/>
      <c r="M2481" s="723"/>
      <c r="N2481" s="576">
        <f t="shared" si="656"/>
        <v>0</v>
      </c>
      <c r="O2481" s="577">
        <f t="shared" si="649"/>
        <v>0</v>
      </c>
      <c r="P2481" s="578">
        <f t="shared" si="650"/>
        <v>0</v>
      </c>
      <c r="Q2481" s="765"/>
      <c r="R2481" s="723"/>
      <c r="S2481" s="723"/>
      <c r="T2481" s="577">
        <f t="shared" si="647"/>
        <v>0</v>
      </c>
      <c r="U2481" s="578">
        <f t="shared" si="648"/>
        <v>0</v>
      </c>
      <c r="V2481" s="579"/>
      <c r="W2481" s="566" t="str">
        <f>IF(U2480&gt;0,"xx",IF(P2480&gt;0,"xy",""))</f>
        <v/>
      </c>
      <c r="X2481" s="586" t="str">
        <f t="shared" si="661"/>
        <v/>
      </c>
      <c r="Y2481" s="586" t="str">
        <f t="shared" si="653"/>
        <v/>
      </c>
      <c r="Z2481" s="586" t="str">
        <f t="shared" si="660"/>
        <v/>
      </c>
    </row>
    <row r="2482" spans="1:26" ht="12" hidden="1" thickBot="1" x14ac:dyDescent="0.25">
      <c r="A2482" s="567" t="s">
        <v>168</v>
      </c>
      <c r="B2482" s="644" t="s">
        <v>168</v>
      </c>
      <c r="C2482" s="645"/>
      <c r="D2482" s="422" t="s">
        <v>248</v>
      </c>
      <c r="E2482" s="423"/>
      <c r="F2482" s="424">
        <v>180</v>
      </c>
      <c r="G2482" s="425">
        <f>VLOOKUP(D2480,'[2]ENSAIOS DE ORÇAMENTO'!$C$3:$L$79,5,FALSE)</f>
        <v>1.28653</v>
      </c>
      <c r="H2482" s="663">
        <f t="shared" ref="H2482:H2484" si="663">IF(F2482&lt;=30,(1.07*F2482+2.68)*G2482,((1.07*30+2.68)+1.07*(F2482-30))*G2482)</f>
        <v>251.2335784</v>
      </c>
      <c r="I2482" s="420"/>
      <c r="J2482" s="420"/>
      <c r="K2482" s="421">
        <f t="shared" si="646"/>
        <v>0</v>
      </c>
      <c r="L2482" s="647"/>
      <c r="M2482" s="723"/>
      <c r="N2482" s="576">
        <f t="shared" si="656"/>
        <v>0</v>
      </c>
      <c r="O2482" s="577">
        <f t="shared" si="649"/>
        <v>0</v>
      </c>
      <c r="P2482" s="578">
        <f t="shared" si="650"/>
        <v>0</v>
      </c>
      <c r="Q2482" s="765"/>
      <c r="R2482" s="723"/>
      <c r="S2482" s="723"/>
      <c r="T2482" s="577">
        <f t="shared" si="647"/>
        <v>0</v>
      </c>
      <c r="U2482" s="578">
        <f t="shared" si="648"/>
        <v>0</v>
      </c>
      <c r="V2482" s="579"/>
      <c r="W2482" s="566" t="str">
        <f>IF(U2480&gt;0,"xx",IF(P2480&gt;0,"xy",""))</f>
        <v/>
      </c>
      <c r="X2482" s="586" t="str">
        <f t="shared" si="661"/>
        <v/>
      </c>
      <c r="Y2482" s="586" t="str">
        <f t="shared" si="653"/>
        <v/>
      </c>
      <c r="Z2482" s="586" t="str">
        <f t="shared" si="660"/>
        <v/>
      </c>
    </row>
    <row r="2483" spans="1:26" ht="12" hidden="1" thickBot="1" x14ac:dyDescent="0.25">
      <c r="A2483" s="567" t="s">
        <v>168</v>
      </c>
      <c r="B2483" s="644" t="s">
        <v>168</v>
      </c>
      <c r="C2483" s="645"/>
      <c r="D2483" s="422" t="s">
        <v>252</v>
      </c>
      <c r="E2483" s="423"/>
      <c r="F2483" s="424">
        <v>20</v>
      </c>
      <c r="G2483" s="425">
        <f>VLOOKUP(D2480,'[2]ENSAIOS DE ORÇAMENTO'!$C$3:$L$79,6,FALSE)</f>
        <v>1.5262500000000001</v>
      </c>
      <c r="H2483" s="663">
        <f t="shared" si="663"/>
        <v>36.752100000000006</v>
      </c>
      <c r="I2483" s="420"/>
      <c r="J2483" s="420"/>
      <c r="K2483" s="421">
        <f t="shared" si="646"/>
        <v>0</v>
      </c>
      <c r="L2483" s="647"/>
      <c r="M2483" s="723"/>
      <c r="N2483" s="576">
        <f t="shared" si="656"/>
        <v>0</v>
      </c>
      <c r="O2483" s="577">
        <f t="shared" si="649"/>
        <v>0</v>
      </c>
      <c r="P2483" s="578">
        <f t="shared" si="650"/>
        <v>0</v>
      </c>
      <c r="Q2483" s="765"/>
      <c r="R2483" s="723"/>
      <c r="S2483" s="723"/>
      <c r="T2483" s="577">
        <f t="shared" si="647"/>
        <v>0</v>
      </c>
      <c r="U2483" s="578">
        <f t="shared" si="648"/>
        <v>0</v>
      </c>
      <c r="V2483" s="579"/>
      <c r="W2483" s="566" t="str">
        <f>IF(U2480&gt;0,"xx",IF(P2480&gt;0,"xy",""))</f>
        <v/>
      </c>
      <c r="X2483" s="586" t="str">
        <f t="shared" si="661"/>
        <v/>
      </c>
      <c r="Y2483" s="586" t="str">
        <f t="shared" si="653"/>
        <v/>
      </c>
      <c r="Z2483" s="586" t="str">
        <f t="shared" si="660"/>
        <v/>
      </c>
    </row>
    <row r="2484" spans="1:26" ht="12" hidden="1" thickBot="1" x14ac:dyDescent="0.25">
      <c r="A2484" s="567" t="s">
        <v>168</v>
      </c>
      <c r="B2484" s="644" t="s">
        <v>168</v>
      </c>
      <c r="C2484" s="645"/>
      <c r="D2484" s="422" t="s">
        <v>400</v>
      </c>
      <c r="E2484" s="423"/>
      <c r="F2484" s="424">
        <v>30</v>
      </c>
      <c r="G2484" s="425">
        <f>VLOOKUP(D2480,'[2]ENSAIOS DE ORÇAMENTO'!$C$3:$L$79,3,FALSE)</f>
        <v>0</v>
      </c>
      <c r="H2484" s="663">
        <f t="shared" si="663"/>
        <v>0</v>
      </c>
      <c r="I2484" s="420"/>
      <c r="J2484" s="420"/>
      <c r="K2484" s="421">
        <f t="shared" si="646"/>
        <v>0</v>
      </c>
      <c r="L2484" s="647"/>
      <c r="M2484" s="723"/>
      <c r="N2484" s="576">
        <f t="shared" si="656"/>
        <v>0</v>
      </c>
      <c r="O2484" s="577">
        <f t="shared" si="649"/>
        <v>0</v>
      </c>
      <c r="P2484" s="578">
        <f t="shared" si="650"/>
        <v>0</v>
      </c>
      <c r="Q2484" s="765"/>
      <c r="R2484" s="723"/>
      <c r="S2484" s="723"/>
      <c r="T2484" s="577">
        <f t="shared" si="647"/>
        <v>0</v>
      </c>
      <c r="U2484" s="578">
        <f t="shared" si="648"/>
        <v>0</v>
      </c>
      <c r="V2484" s="579"/>
      <c r="W2484" s="566" t="str">
        <f>IF(U2480&gt;0,"xx",IF(P2480&gt;0,"xy",""))</f>
        <v/>
      </c>
      <c r="X2484" s="586" t="str">
        <f t="shared" si="661"/>
        <v/>
      </c>
      <c r="Y2484" s="586" t="str">
        <f t="shared" si="653"/>
        <v/>
      </c>
      <c r="Z2484" s="586" t="str">
        <f t="shared" si="660"/>
        <v/>
      </c>
    </row>
    <row r="2485" spans="1:26" ht="12" hidden="1" thickBot="1" x14ac:dyDescent="0.25">
      <c r="A2485" s="567" t="s">
        <v>168</v>
      </c>
      <c r="B2485" s="644" t="s">
        <v>168</v>
      </c>
      <c r="C2485" s="645"/>
      <c r="D2485" s="422" t="s">
        <v>401</v>
      </c>
      <c r="E2485" s="423"/>
      <c r="F2485" s="424">
        <v>500</v>
      </c>
      <c r="G2485" s="425">
        <f>VLOOKUP(D2480,'[2]ENSAIOS DE ORÇAMENTO'!$C$3:$L$79,10,FALSE)</f>
        <v>0</v>
      </c>
      <c r="H2485" s="649">
        <f>IF(F2485&lt;=30,(0.78*F2485+7.82)*G2485,((0.78*30+7.82)+0.78*(F2485-30))*G2485)</f>
        <v>0</v>
      </c>
      <c r="I2485" s="420"/>
      <c r="J2485" s="420"/>
      <c r="K2485" s="421">
        <f t="shared" si="646"/>
        <v>0</v>
      </c>
      <c r="L2485" s="647"/>
      <c r="M2485" s="723"/>
      <c r="N2485" s="576">
        <f t="shared" si="656"/>
        <v>0</v>
      </c>
      <c r="O2485" s="577">
        <f t="shared" si="649"/>
        <v>0</v>
      </c>
      <c r="P2485" s="578">
        <f t="shared" si="650"/>
        <v>0</v>
      </c>
      <c r="Q2485" s="765"/>
      <c r="R2485" s="723"/>
      <c r="S2485" s="723"/>
      <c r="T2485" s="577">
        <f t="shared" si="647"/>
        <v>0</v>
      </c>
      <c r="U2485" s="578">
        <f t="shared" si="648"/>
        <v>0</v>
      </c>
      <c r="V2485" s="579"/>
      <c r="W2485" s="566" t="str">
        <f>IF(U2480&gt;0,"xx",IF(P2480&gt;0,"xy",""))</f>
        <v/>
      </c>
      <c r="X2485" s="586" t="str">
        <f t="shared" si="661"/>
        <v/>
      </c>
      <c r="Y2485" s="586" t="str">
        <f t="shared" si="653"/>
        <v/>
      </c>
      <c r="Z2485" s="586" t="str">
        <f t="shared" si="660"/>
        <v/>
      </c>
    </row>
    <row r="2486" spans="1:26" ht="12" hidden="1" thickBot="1" x14ac:dyDescent="0.25">
      <c r="A2486" s="567" t="s">
        <v>143</v>
      </c>
      <c r="B2486" s="644" t="s">
        <v>143</v>
      </c>
      <c r="C2486" s="645" t="s">
        <v>206</v>
      </c>
      <c r="D2486" s="422" t="s">
        <v>157</v>
      </c>
      <c r="E2486" s="423"/>
      <c r="F2486" s="424"/>
      <c r="G2486" s="425"/>
      <c r="H2486" s="651">
        <f>SUM(H2487:H2491)</f>
        <v>534.17362000000003</v>
      </c>
      <c r="I2486" s="420">
        <f>VLOOKUP(D2486,'[2]ENSAIOS DE ORÇAMENTO'!$C$3:$L$79,8,FALSE)</f>
        <v>3903.4829249999993</v>
      </c>
      <c r="J2486" s="420">
        <f>IF(ISBLANK(I2486),"",SUM(H2486:I2486))</f>
        <v>4437.6565449999998</v>
      </c>
      <c r="K2486" s="421">
        <f t="shared" si="646"/>
        <v>5272.38</v>
      </c>
      <c r="L2486" s="647" t="s">
        <v>21</v>
      </c>
      <c r="M2486" s="576"/>
      <c r="N2486" s="576">
        <f t="shared" si="656"/>
        <v>0</v>
      </c>
      <c r="O2486" s="577">
        <f t="shared" si="649"/>
        <v>0</v>
      </c>
      <c r="P2486" s="578">
        <f t="shared" si="650"/>
        <v>0</v>
      </c>
      <c r="Q2486" s="765"/>
      <c r="R2486" s="576">
        <f>M2486</f>
        <v>0</v>
      </c>
      <c r="S2486" s="576">
        <f>N2486</f>
        <v>0</v>
      </c>
      <c r="T2486" s="577">
        <f t="shared" si="647"/>
        <v>0</v>
      </c>
      <c r="U2486" s="578">
        <f t="shared" si="648"/>
        <v>0</v>
      </c>
      <c r="V2486" s="579"/>
      <c r="W2486" s="566"/>
      <c r="X2486" s="586" t="str">
        <f t="shared" si="661"/>
        <v/>
      </c>
      <c r="Y2486" s="586" t="str">
        <f t="shared" si="653"/>
        <v/>
      </c>
      <c r="Z2486" s="586" t="str">
        <f t="shared" si="660"/>
        <v/>
      </c>
    </row>
    <row r="2487" spans="1:26" ht="12" hidden="1" thickBot="1" x14ac:dyDescent="0.25">
      <c r="A2487" s="567" t="s">
        <v>168</v>
      </c>
      <c r="B2487" s="644" t="s">
        <v>168</v>
      </c>
      <c r="C2487" s="645"/>
      <c r="D2487" s="422" t="s">
        <v>212</v>
      </c>
      <c r="E2487" s="423"/>
      <c r="F2487" s="424">
        <v>500</v>
      </c>
      <c r="G2487" s="425">
        <f>VLOOKUP(D2486,'[2]ENSAIOS DE ORÇAMENTO'!$C$3:$L$79,4,FALSE)</f>
        <v>0.50459999999999994</v>
      </c>
      <c r="H2487" s="649">
        <f>IF(F2487&lt;=30,(0.78*F2487+7.82)*G2487,((0.78*30+7.82)+0.78*(F2487-30))*G2487)</f>
        <v>200.73997199999999</v>
      </c>
      <c r="I2487" s="420"/>
      <c r="J2487" s="420"/>
      <c r="K2487" s="421">
        <f t="shared" si="646"/>
        <v>0</v>
      </c>
      <c r="L2487" s="647"/>
      <c r="M2487" s="723"/>
      <c r="N2487" s="576">
        <f t="shared" si="656"/>
        <v>0</v>
      </c>
      <c r="O2487" s="577">
        <f t="shared" si="649"/>
        <v>0</v>
      </c>
      <c r="P2487" s="578">
        <f t="shared" si="650"/>
        <v>0</v>
      </c>
      <c r="Q2487" s="765"/>
      <c r="R2487" s="723"/>
      <c r="S2487" s="723"/>
      <c r="T2487" s="577">
        <f t="shared" si="647"/>
        <v>0</v>
      </c>
      <c r="U2487" s="578">
        <f t="shared" si="648"/>
        <v>0</v>
      </c>
      <c r="V2487" s="579"/>
      <c r="W2487" s="566" t="str">
        <f>IF(U2486&gt;0,"xx",IF(P2486&gt;0,"xy",""))</f>
        <v/>
      </c>
      <c r="X2487" s="586" t="str">
        <f t="shared" si="661"/>
        <v/>
      </c>
      <c r="Y2487" s="586" t="str">
        <f t="shared" si="653"/>
        <v/>
      </c>
      <c r="Z2487" s="586" t="str">
        <f t="shared" si="660"/>
        <v/>
      </c>
    </row>
    <row r="2488" spans="1:26" ht="12" hidden="1" thickBot="1" x14ac:dyDescent="0.25">
      <c r="A2488" s="567" t="s">
        <v>168</v>
      </c>
      <c r="B2488" s="644" t="s">
        <v>168</v>
      </c>
      <c r="C2488" s="645"/>
      <c r="D2488" s="422" t="s">
        <v>248</v>
      </c>
      <c r="E2488" s="423"/>
      <c r="F2488" s="424">
        <v>180</v>
      </c>
      <c r="G2488" s="425">
        <f>VLOOKUP(D2486,'[2]ENSAIOS DE ORÇAMENTO'!$C$3:$L$79,5,FALSE)</f>
        <v>1.48915</v>
      </c>
      <c r="H2488" s="663">
        <f t="shared" ref="H2488:H2490" si="664">IF(F2488&lt;=30,(1.07*F2488+2.68)*G2488,((1.07*30+2.68)+1.07*(F2488-30))*G2488)</f>
        <v>290.80121200000002</v>
      </c>
      <c r="I2488" s="420"/>
      <c r="J2488" s="420"/>
      <c r="K2488" s="421">
        <f t="shared" si="646"/>
        <v>0</v>
      </c>
      <c r="L2488" s="647"/>
      <c r="M2488" s="723"/>
      <c r="N2488" s="576">
        <f t="shared" si="656"/>
        <v>0</v>
      </c>
      <c r="O2488" s="577">
        <f t="shared" si="649"/>
        <v>0</v>
      </c>
      <c r="P2488" s="578">
        <f t="shared" si="650"/>
        <v>0</v>
      </c>
      <c r="Q2488" s="765"/>
      <c r="R2488" s="723"/>
      <c r="S2488" s="723"/>
      <c r="T2488" s="577">
        <f t="shared" si="647"/>
        <v>0</v>
      </c>
      <c r="U2488" s="578">
        <f t="shared" si="648"/>
        <v>0</v>
      </c>
      <c r="V2488" s="579"/>
      <c r="W2488" s="566" t="str">
        <f>IF(U2486&gt;0,"xx",IF(P2486&gt;0,"xy",""))</f>
        <v/>
      </c>
      <c r="X2488" s="586" t="str">
        <f t="shared" si="661"/>
        <v/>
      </c>
      <c r="Y2488" s="586" t="str">
        <f t="shared" si="653"/>
        <v/>
      </c>
      <c r="Z2488" s="586" t="str">
        <f t="shared" si="660"/>
        <v/>
      </c>
    </row>
    <row r="2489" spans="1:26" ht="12" hidden="1" thickBot="1" x14ac:dyDescent="0.25">
      <c r="A2489" s="567" t="s">
        <v>168</v>
      </c>
      <c r="B2489" s="644" t="s">
        <v>168</v>
      </c>
      <c r="C2489" s="645"/>
      <c r="D2489" s="422" t="s">
        <v>252</v>
      </c>
      <c r="E2489" s="423"/>
      <c r="F2489" s="424">
        <v>20</v>
      </c>
      <c r="G2489" s="425">
        <f>VLOOKUP(D2486,'[2]ENSAIOS DE ORÇAMENTO'!$C$3:$L$79,6,FALSE)</f>
        <v>1.7704500000000001</v>
      </c>
      <c r="H2489" s="663">
        <f t="shared" si="664"/>
        <v>42.632436000000006</v>
      </c>
      <c r="I2489" s="420"/>
      <c r="J2489" s="420"/>
      <c r="K2489" s="421">
        <f t="shared" si="646"/>
        <v>0</v>
      </c>
      <c r="L2489" s="647"/>
      <c r="M2489" s="723"/>
      <c r="N2489" s="576">
        <f t="shared" si="656"/>
        <v>0</v>
      </c>
      <c r="O2489" s="577">
        <f t="shared" si="649"/>
        <v>0</v>
      </c>
      <c r="P2489" s="578">
        <f t="shared" si="650"/>
        <v>0</v>
      </c>
      <c r="Q2489" s="765"/>
      <c r="R2489" s="723"/>
      <c r="S2489" s="723"/>
      <c r="T2489" s="577">
        <f t="shared" si="647"/>
        <v>0</v>
      </c>
      <c r="U2489" s="578">
        <f t="shared" si="648"/>
        <v>0</v>
      </c>
      <c r="V2489" s="579"/>
      <c r="W2489" s="566" t="str">
        <f>IF(U2486&gt;0,"xx",IF(P2486&gt;0,"xy",""))</f>
        <v/>
      </c>
      <c r="X2489" s="586" t="str">
        <f t="shared" si="661"/>
        <v/>
      </c>
      <c r="Y2489" s="586" t="str">
        <f t="shared" si="653"/>
        <v/>
      </c>
      <c r="Z2489" s="586" t="str">
        <f t="shared" si="660"/>
        <v/>
      </c>
    </row>
    <row r="2490" spans="1:26" ht="12" hidden="1" thickBot="1" x14ac:dyDescent="0.25">
      <c r="A2490" s="567" t="s">
        <v>168</v>
      </c>
      <c r="B2490" s="644" t="s">
        <v>168</v>
      </c>
      <c r="C2490" s="645"/>
      <c r="D2490" s="422" t="s">
        <v>400</v>
      </c>
      <c r="E2490" s="423"/>
      <c r="F2490" s="424">
        <v>30</v>
      </c>
      <c r="G2490" s="425">
        <f>VLOOKUP(D2486,'[2]ENSAIOS DE ORÇAMENTO'!$C$3:$L$79,3,FALSE)</f>
        <v>0</v>
      </c>
      <c r="H2490" s="663">
        <f t="shared" si="664"/>
        <v>0</v>
      </c>
      <c r="I2490" s="420"/>
      <c r="J2490" s="420"/>
      <c r="K2490" s="421">
        <f t="shared" si="646"/>
        <v>0</v>
      </c>
      <c r="L2490" s="647"/>
      <c r="M2490" s="723"/>
      <c r="N2490" s="576">
        <f t="shared" si="656"/>
        <v>0</v>
      </c>
      <c r="O2490" s="577">
        <f t="shared" si="649"/>
        <v>0</v>
      </c>
      <c r="P2490" s="578">
        <f t="shared" si="650"/>
        <v>0</v>
      </c>
      <c r="Q2490" s="765"/>
      <c r="R2490" s="723"/>
      <c r="S2490" s="723"/>
      <c r="T2490" s="577">
        <f t="shared" si="647"/>
        <v>0</v>
      </c>
      <c r="U2490" s="578">
        <f t="shared" si="648"/>
        <v>0</v>
      </c>
      <c r="V2490" s="579"/>
      <c r="W2490" s="566" t="str">
        <f>IF(U2486&gt;0,"xx",IF(P2486&gt;0,"xy",""))</f>
        <v/>
      </c>
      <c r="X2490" s="586" t="str">
        <f t="shared" si="661"/>
        <v/>
      </c>
      <c r="Y2490" s="586" t="str">
        <f t="shared" si="653"/>
        <v/>
      </c>
      <c r="Z2490" s="586" t="str">
        <f t="shared" si="660"/>
        <v/>
      </c>
    </row>
    <row r="2491" spans="1:26" ht="12" hidden="1" thickBot="1" x14ac:dyDescent="0.25">
      <c r="A2491" s="567" t="s">
        <v>168</v>
      </c>
      <c r="B2491" s="644" t="s">
        <v>168</v>
      </c>
      <c r="C2491" s="645"/>
      <c r="D2491" s="422" t="s">
        <v>401</v>
      </c>
      <c r="E2491" s="423"/>
      <c r="F2491" s="424">
        <v>500</v>
      </c>
      <c r="G2491" s="425">
        <f>VLOOKUP(D2486,'[2]ENSAIOS DE ORÇAMENTO'!$C$3:$L$79,10,FALSE)</f>
        <v>0</v>
      </c>
      <c r="H2491" s="649">
        <f>IF(F2491&lt;=30,(0.78*F2491+7.82)*G2491,((0.78*30+7.82)+0.78*(F2491-30))*G2491)</f>
        <v>0</v>
      </c>
      <c r="I2491" s="420"/>
      <c r="J2491" s="420"/>
      <c r="K2491" s="421">
        <f t="shared" si="646"/>
        <v>0</v>
      </c>
      <c r="L2491" s="647"/>
      <c r="M2491" s="723"/>
      <c r="N2491" s="576">
        <f t="shared" si="656"/>
        <v>0</v>
      </c>
      <c r="O2491" s="577">
        <f t="shared" si="649"/>
        <v>0</v>
      </c>
      <c r="P2491" s="578">
        <f t="shared" si="650"/>
        <v>0</v>
      </c>
      <c r="Q2491" s="765"/>
      <c r="R2491" s="723"/>
      <c r="S2491" s="723"/>
      <c r="T2491" s="577">
        <f t="shared" si="647"/>
        <v>0</v>
      </c>
      <c r="U2491" s="578">
        <f t="shared" si="648"/>
        <v>0</v>
      </c>
      <c r="V2491" s="579"/>
      <c r="W2491" s="566" t="str">
        <f>IF(U2486&gt;0,"xx",IF(P2486&gt;0,"xy",""))</f>
        <v/>
      </c>
      <c r="X2491" s="586" t="str">
        <f t="shared" si="661"/>
        <v/>
      </c>
      <c r="Y2491" s="586" t="str">
        <f t="shared" si="653"/>
        <v/>
      </c>
      <c r="Z2491" s="586" t="str">
        <f t="shared" si="660"/>
        <v/>
      </c>
    </row>
    <row r="2492" spans="1:26" ht="12" hidden="1" thickBot="1" x14ac:dyDescent="0.25">
      <c r="A2492" s="567" t="s">
        <v>47</v>
      </c>
      <c r="B2492" s="644" t="s">
        <v>47</v>
      </c>
      <c r="C2492" s="645" t="s">
        <v>206</v>
      </c>
      <c r="D2492" s="422" t="s">
        <v>158</v>
      </c>
      <c r="E2492" s="423"/>
      <c r="F2492" s="424"/>
      <c r="G2492" s="425"/>
      <c r="H2492" s="651">
        <f>SUM(H2493:H2497)</f>
        <v>676.95186200000012</v>
      </c>
      <c r="I2492" s="420">
        <f>VLOOKUP(D2492,'[2]ENSAIOS DE ORÇAMENTO'!$C$3:$L$79,8,FALSE)</f>
        <v>4735.3472749999992</v>
      </c>
      <c r="J2492" s="420">
        <f>IF(ISBLANK(I2492),"",SUM(H2492:I2492))</f>
        <v>5412.2991369999991</v>
      </c>
      <c r="K2492" s="421">
        <f t="shared" si="646"/>
        <v>6430.35</v>
      </c>
      <c r="L2492" s="647" t="s">
        <v>21</v>
      </c>
      <c r="M2492" s="576"/>
      <c r="N2492" s="576">
        <f t="shared" si="656"/>
        <v>0</v>
      </c>
      <c r="O2492" s="577">
        <f t="shared" si="649"/>
        <v>0</v>
      </c>
      <c r="P2492" s="578">
        <f t="shared" si="650"/>
        <v>0</v>
      </c>
      <c r="Q2492" s="765"/>
      <c r="R2492" s="576">
        <f>M2492</f>
        <v>0</v>
      </c>
      <c r="S2492" s="576">
        <f>N2492</f>
        <v>0</v>
      </c>
      <c r="T2492" s="577">
        <f t="shared" si="647"/>
        <v>0</v>
      </c>
      <c r="U2492" s="578">
        <f t="shared" si="648"/>
        <v>0</v>
      </c>
      <c r="V2492" s="579"/>
      <c r="W2492" s="566"/>
      <c r="X2492" s="586" t="str">
        <f t="shared" si="661"/>
        <v/>
      </c>
      <c r="Y2492" s="586" t="str">
        <f t="shared" si="653"/>
        <v/>
      </c>
      <c r="Z2492" s="586" t="str">
        <f t="shared" si="660"/>
        <v/>
      </c>
    </row>
    <row r="2493" spans="1:26" ht="12" hidden="1" thickBot="1" x14ac:dyDescent="0.25">
      <c r="A2493" s="567" t="s">
        <v>168</v>
      </c>
      <c r="B2493" s="644" t="s">
        <v>168</v>
      </c>
      <c r="C2493" s="645"/>
      <c r="D2493" s="422" t="s">
        <v>212</v>
      </c>
      <c r="E2493" s="423"/>
      <c r="F2493" s="424">
        <v>500</v>
      </c>
      <c r="G2493" s="425">
        <f>VLOOKUP(D2492,'[2]ENSAIOS DE ORÇAMENTO'!$C$3:$L$79,4,FALSE)</f>
        <v>0.6411</v>
      </c>
      <c r="H2493" s="649">
        <f>IF(F2493&lt;=30,(0.78*F2493+7.82)*G2493,((0.78*30+7.82)+0.78*(F2493-30))*G2493)</f>
        <v>255.04240200000004</v>
      </c>
      <c r="I2493" s="420"/>
      <c r="J2493" s="420"/>
      <c r="K2493" s="421">
        <f t="shared" si="646"/>
        <v>0</v>
      </c>
      <c r="L2493" s="647"/>
      <c r="M2493" s="723"/>
      <c r="N2493" s="576">
        <f t="shared" si="656"/>
        <v>0</v>
      </c>
      <c r="O2493" s="577">
        <f t="shared" si="649"/>
        <v>0</v>
      </c>
      <c r="P2493" s="578">
        <f t="shared" si="650"/>
        <v>0</v>
      </c>
      <c r="Q2493" s="765"/>
      <c r="R2493" s="723"/>
      <c r="S2493" s="723"/>
      <c r="T2493" s="577">
        <f t="shared" si="647"/>
        <v>0</v>
      </c>
      <c r="U2493" s="578">
        <f t="shared" si="648"/>
        <v>0</v>
      </c>
      <c r="V2493" s="579"/>
      <c r="W2493" s="566" t="str">
        <f>IF(U2492&gt;0,"xx",IF(P2492&gt;0,"xy",""))</f>
        <v/>
      </c>
      <c r="X2493" s="586" t="str">
        <f t="shared" si="661"/>
        <v/>
      </c>
      <c r="Y2493" s="586" t="str">
        <f t="shared" si="653"/>
        <v/>
      </c>
      <c r="Z2493" s="586" t="str">
        <f t="shared" si="660"/>
        <v/>
      </c>
    </row>
    <row r="2494" spans="1:26" ht="12" hidden="1" thickBot="1" x14ac:dyDescent="0.25">
      <c r="A2494" s="567" t="s">
        <v>168</v>
      </c>
      <c r="B2494" s="644" t="s">
        <v>168</v>
      </c>
      <c r="C2494" s="645"/>
      <c r="D2494" s="422" t="s">
        <v>248</v>
      </c>
      <c r="E2494" s="423"/>
      <c r="F2494" s="424">
        <v>180</v>
      </c>
      <c r="G2494" s="425">
        <f>VLOOKUP(D2492,'[2]ENSAIOS DE ORÇAMENTO'!$C$3:$L$79,5,FALSE)</f>
        <v>1.8840500000000002</v>
      </c>
      <c r="H2494" s="663">
        <f t="shared" ref="H2494:H2496" si="665">IF(F2494&lt;=30,(1.07*F2494+2.68)*G2494,((1.07*30+2.68)+1.07*(F2494-30))*G2494)</f>
        <v>367.91728400000005</v>
      </c>
      <c r="I2494" s="420"/>
      <c r="J2494" s="420"/>
      <c r="K2494" s="421">
        <f t="shared" si="646"/>
        <v>0</v>
      </c>
      <c r="L2494" s="647"/>
      <c r="M2494" s="723"/>
      <c r="N2494" s="576">
        <f t="shared" si="656"/>
        <v>0</v>
      </c>
      <c r="O2494" s="577">
        <f t="shared" si="649"/>
        <v>0</v>
      </c>
      <c r="P2494" s="578">
        <f t="shared" si="650"/>
        <v>0</v>
      </c>
      <c r="Q2494" s="765"/>
      <c r="R2494" s="723"/>
      <c r="S2494" s="723"/>
      <c r="T2494" s="577">
        <f t="shared" si="647"/>
        <v>0</v>
      </c>
      <c r="U2494" s="578">
        <f t="shared" si="648"/>
        <v>0</v>
      </c>
      <c r="V2494" s="579"/>
      <c r="W2494" s="566" t="str">
        <f>IF(U2492&gt;0,"xx",IF(P2492&gt;0,"xy",""))</f>
        <v/>
      </c>
      <c r="X2494" s="586" t="str">
        <f t="shared" si="661"/>
        <v/>
      </c>
      <c r="Y2494" s="586" t="str">
        <f t="shared" si="653"/>
        <v/>
      </c>
      <c r="Z2494" s="586" t="str">
        <f t="shared" si="660"/>
        <v/>
      </c>
    </row>
    <row r="2495" spans="1:26" ht="12" hidden="1" thickBot="1" x14ac:dyDescent="0.25">
      <c r="A2495" s="567" t="s">
        <v>168</v>
      </c>
      <c r="B2495" s="644" t="s">
        <v>168</v>
      </c>
      <c r="C2495" s="645"/>
      <c r="D2495" s="422" t="s">
        <v>252</v>
      </c>
      <c r="E2495" s="423"/>
      <c r="F2495" s="424">
        <v>20</v>
      </c>
      <c r="G2495" s="425">
        <f>VLOOKUP(D2492,'[2]ENSAIOS DE ORÇAMENTO'!$C$3:$L$79,6,FALSE)</f>
        <v>2.2422</v>
      </c>
      <c r="H2495" s="663">
        <f t="shared" si="665"/>
        <v>53.992176000000001</v>
      </c>
      <c r="I2495" s="420"/>
      <c r="J2495" s="420"/>
      <c r="K2495" s="421">
        <f t="shared" si="646"/>
        <v>0</v>
      </c>
      <c r="L2495" s="647"/>
      <c r="M2495" s="723"/>
      <c r="N2495" s="576">
        <f t="shared" si="656"/>
        <v>0</v>
      </c>
      <c r="O2495" s="577">
        <f t="shared" si="649"/>
        <v>0</v>
      </c>
      <c r="P2495" s="578">
        <f t="shared" si="650"/>
        <v>0</v>
      </c>
      <c r="Q2495" s="765"/>
      <c r="R2495" s="723"/>
      <c r="S2495" s="723"/>
      <c r="T2495" s="577">
        <f t="shared" si="647"/>
        <v>0</v>
      </c>
      <c r="U2495" s="578">
        <f t="shared" si="648"/>
        <v>0</v>
      </c>
      <c r="V2495" s="579"/>
      <c r="W2495" s="566" t="str">
        <f>IF(U2492&gt;0,"xx",IF(P2492&gt;0,"xy",""))</f>
        <v/>
      </c>
      <c r="X2495" s="586" t="str">
        <f t="shared" si="661"/>
        <v/>
      </c>
      <c r="Y2495" s="586" t="str">
        <f t="shared" si="653"/>
        <v/>
      </c>
      <c r="Z2495" s="586" t="str">
        <f t="shared" si="660"/>
        <v/>
      </c>
    </row>
    <row r="2496" spans="1:26" ht="12" hidden="1" thickBot="1" x14ac:dyDescent="0.25">
      <c r="A2496" s="567" t="s">
        <v>168</v>
      </c>
      <c r="B2496" s="644" t="s">
        <v>168</v>
      </c>
      <c r="C2496" s="645"/>
      <c r="D2496" s="422" t="s">
        <v>400</v>
      </c>
      <c r="E2496" s="423"/>
      <c r="F2496" s="424">
        <v>30</v>
      </c>
      <c r="G2496" s="425">
        <f>VLOOKUP(D2492,'[2]ENSAIOS DE ORÇAMENTO'!$C$3:$L$79,3,FALSE)</f>
        <v>0</v>
      </c>
      <c r="H2496" s="663">
        <f t="shared" si="665"/>
        <v>0</v>
      </c>
      <c r="I2496" s="420"/>
      <c r="J2496" s="420"/>
      <c r="K2496" s="421">
        <f t="shared" ref="K2496:K2559" si="666">IF(ISBLANK(I2496),0,ROUND(J2496*(1+$F$10)*(1+$F$11*E2496),2))</f>
        <v>0</v>
      </c>
      <c r="L2496" s="647"/>
      <c r="M2496" s="723"/>
      <c r="N2496" s="576">
        <f t="shared" si="656"/>
        <v>0</v>
      </c>
      <c r="O2496" s="577">
        <f t="shared" si="649"/>
        <v>0</v>
      </c>
      <c r="P2496" s="578">
        <f t="shared" si="650"/>
        <v>0</v>
      </c>
      <c r="Q2496" s="765"/>
      <c r="R2496" s="723"/>
      <c r="S2496" s="723"/>
      <c r="T2496" s="577">
        <f t="shared" ref="T2496:T2559" si="667">IF(ISBLANK(R2496),0,ROUND(K2496*R2496,2))</f>
        <v>0</v>
      </c>
      <c r="U2496" s="578">
        <f t="shared" ref="U2496:U2559" si="668">IF(ISBLANK(R2496),0,ROUND(R2496*S2496,2))</f>
        <v>0</v>
      </c>
      <c r="V2496" s="579"/>
      <c r="W2496" s="566" t="str">
        <f>IF(U2492&gt;0,"xx",IF(P2492&gt;0,"xy",""))</f>
        <v/>
      </c>
      <c r="X2496" s="586" t="str">
        <f t="shared" si="661"/>
        <v/>
      </c>
      <c r="Y2496" s="586" t="str">
        <f t="shared" si="653"/>
        <v/>
      </c>
      <c r="Z2496" s="586" t="str">
        <f t="shared" si="660"/>
        <v/>
      </c>
    </row>
    <row r="2497" spans="1:26" ht="12" hidden="1" thickBot="1" x14ac:dyDescent="0.25">
      <c r="A2497" s="567" t="s">
        <v>168</v>
      </c>
      <c r="B2497" s="644" t="s">
        <v>168</v>
      </c>
      <c r="C2497" s="645"/>
      <c r="D2497" s="422" t="s">
        <v>401</v>
      </c>
      <c r="E2497" s="423"/>
      <c r="F2497" s="424">
        <v>500</v>
      </c>
      <c r="G2497" s="425">
        <f>VLOOKUP(D2492,'[2]ENSAIOS DE ORÇAMENTO'!$C$3:$L$79,10,FALSE)</f>
        <v>0</v>
      </c>
      <c r="H2497" s="649">
        <f>IF(F2497&lt;=30,(0.78*F2497+7.82)*G2497,((0.78*30+7.82)+0.78*(F2497-30))*G2497)</f>
        <v>0</v>
      </c>
      <c r="I2497" s="420"/>
      <c r="J2497" s="420"/>
      <c r="K2497" s="421">
        <f t="shared" si="666"/>
        <v>0</v>
      </c>
      <c r="L2497" s="647"/>
      <c r="M2497" s="723"/>
      <c r="N2497" s="576">
        <f t="shared" si="656"/>
        <v>0</v>
      </c>
      <c r="O2497" s="577">
        <f t="shared" ref="O2497:O2560" si="669">IF(ISBLANK(M2497),0,ROUND(K2497*M2497,2))</f>
        <v>0</v>
      </c>
      <c r="P2497" s="578">
        <f t="shared" ref="P2497:P2560" si="670">IF(ISBLANK(N2497),0,ROUND(M2497*N2497,2))</f>
        <v>0</v>
      </c>
      <c r="Q2497" s="765"/>
      <c r="R2497" s="723"/>
      <c r="S2497" s="723"/>
      <c r="T2497" s="577">
        <f t="shared" si="667"/>
        <v>0</v>
      </c>
      <c r="U2497" s="578">
        <f t="shared" si="668"/>
        <v>0</v>
      </c>
      <c r="V2497" s="579"/>
      <c r="W2497" s="566" t="str">
        <f>IF(U2492&gt;0,"xx",IF(P2492&gt;0,"xy",""))</f>
        <v/>
      </c>
      <c r="X2497" s="586" t="str">
        <f t="shared" si="661"/>
        <v/>
      </c>
      <c r="Y2497" s="586" t="str">
        <f t="shared" si="653"/>
        <v/>
      </c>
      <c r="Z2497" s="586" t="str">
        <f t="shared" si="660"/>
        <v/>
      </c>
    </row>
    <row r="2498" spans="1:26" ht="12" hidden="1" thickBot="1" x14ac:dyDescent="0.25">
      <c r="A2498" s="567" t="s">
        <v>144</v>
      </c>
      <c r="B2498" s="644" t="s">
        <v>144</v>
      </c>
      <c r="C2498" s="645" t="s">
        <v>206</v>
      </c>
      <c r="D2498" s="422" t="s">
        <v>159</v>
      </c>
      <c r="E2498" s="423"/>
      <c r="F2498" s="424"/>
      <c r="G2498" s="425"/>
      <c r="H2498" s="651">
        <f>SUM(H2499:H2503)</f>
        <v>848.91637639999999</v>
      </c>
      <c r="I2498" s="420">
        <f>VLOOKUP(D2498,'[2]ENSAIOS DE ORÇAMENTO'!$C$3:$L$79,8,FALSE)</f>
        <v>5743.9725599999983</v>
      </c>
      <c r="J2498" s="420">
        <f>IF(ISBLANK(I2498),"",SUM(H2498:I2498))</f>
        <v>6592.8889363999988</v>
      </c>
      <c r="K2498" s="421">
        <f t="shared" si="666"/>
        <v>7833.01</v>
      </c>
      <c r="L2498" s="647" t="s">
        <v>21</v>
      </c>
      <c r="M2498" s="576"/>
      <c r="N2498" s="576">
        <f t="shared" si="656"/>
        <v>0</v>
      </c>
      <c r="O2498" s="577">
        <f t="shared" si="669"/>
        <v>0</v>
      </c>
      <c r="P2498" s="578">
        <f t="shared" si="670"/>
        <v>0</v>
      </c>
      <c r="Q2498" s="765"/>
      <c r="R2498" s="576">
        <f>M2498</f>
        <v>0</v>
      </c>
      <c r="S2498" s="576">
        <f>N2498</f>
        <v>0</v>
      </c>
      <c r="T2498" s="577">
        <f t="shared" si="667"/>
        <v>0</v>
      </c>
      <c r="U2498" s="578">
        <f t="shared" si="668"/>
        <v>0</v>
      </c>
      <c r="V2498" s="579"/>
      <c r="W2498" s="566"/>
      <c r="X2498" s="586" t="str">
        <f t="shared" si="661"/>
        <v/>
      </c>
      <c r="Y2498" s="586" t="str">
        <f t="shared" si="653"/>
        <v/>
      </c>
      <c r="Z2498" s="586" t="str">
        <f t="shared" si="660"/>
        <v/>
      </c>
    </row>
    <row r="2499" spans="1:26" ht="12" hidden="1" thickBot="1" x14ac:dyDescent="0.25">
      <c r="A2499" s="567" t="s">
        <v>168</v>
      </c>
      <c r="B2499" s="644" t="s">
        <v>168</v>
      </c>
      <c r="C2499" s="645"/>
      <c r="D2499" s="422" t="s">
        <v>212</v>
      </c>
      <c r="E2499" s="423"/>
      <c r="F2499" s="424">
        <v>500</v>
      </c>
      <c r="G2499" s="425">
        <f>VLOOKUP(D2498,'[2]ENSAIOS DE ORÇAMENTO'!$C$3:$L$79,4,FALSE)</f>
        <v>0.80657999999999996</v>
      </c>
      <c r="H2499" s="649">
        <f>IF(F2499&lt;=30,(0.78*F2499+7.82)*G2499,((0.78*30+7.82)+0.78*(F2499-30))*G2499)</f>
        <v>320.87365560000001</v>
      </c>
      <c r="I2499" s="420"/>
      <c r="J2499" s="420"/>
      <c r="K2499" s="421">
        <f t="shared" si="666"/>
        <v>0</v>
      </c>
      <c r="L2499" s="647"/>
      <c r="M2499" s="723"/>
      <c r="N2499" s="576">
        <f t="shared" si="656"/>
        <v>0</v>
      </c>
      <c r="O2499" s="577">
        <f t="shared" si="669"/>
        <v>0</v>
      </c>
      <c r="P2499" s="578">
        <f t="shared" si="670"/>
        <v>0</v>
      </c>
      <c r="Q2499" s="765"/>
      <c r="R2499" s="723"/>
      <c r="S2499" s="723"/>
      <c r="T2499" s="577">
        <f t="shared" si="667"/>
        <v>0</v>
      </c>
      <c r="U2499" s="578">
        <f t="shared" si="668"/>
        <v>0</v>
      </c>
      <c r="V2499" s="579"/>
      <c r="W2499" s="566" t="str">
        <f>IF(U2498&gt;0,"xx",IF(P2498&gt;0,"xy",""))</f>
        <v/>
      </c>
      <c r="X2499" s="586" t="str">
        <f t="shared" si="661"/>
        <v/>
      </c>
      <c r="Y2499" s="586" t="str">
        <f t="shared" si="653"/>
        <v/>
      </c>
      <c r="Z2499" s="586" t="str">
        <f t="shared" si="660"/>
        <v/>
      </c>
    </row>
    <row r="2500" spans="1:26" ht="12" hidden="1" thickBot="1" x14ac:dyDescent="0.25">
      <c r="A2500" s="567" t="s">
        <v>168</v>
      </c>
      <c r="B2500" s="644" t="s">
        <v>168</v>
      </c>
      <c r="C2500" s="645"/>
      <c r="D2500" s="422" t="s">
        <v>248</v>
      </c>
      <c r="E2500" s="423"/>
      <c r="F2500" s="424">
        <v>180</v>
      </c>
      <c r="G2500" s="425">
        <f>VLOOKUP(D2498,'[2]ENSAIOS DE ORÇAMENTO'!$C$3:$L$79,5,FALSE)</f>
        <v>2.3575999999999997</v>
      </c>
      <c r="H2500" s="663">
        <f t="shared" ref="H2500:H2502" si="671">IF(F2500&lt;=30,(1.07*F2500+2.68)*G2500,((1.07*30+2.68)+1.07*(F2500-30))*G2500)</f>
        <v>460.39212799999996</v>
      </c>
      <c r="I2500" s="420"/>
      <c r="J2500" s="420"/>
      <c r="K2500" s="421">
        <f t="shared" si="666"/>
        <v>0</v>
      </c>
      <c r="L2500" s="647"/>
      <c r="M2500" s="723"/>
      <c r="N2500" s="576">
        <f t="shared" si="656"/>
        <v>0</v>
      </c>
      <c r="O2500" s="577">
        <f t="shared" si="669"/>
        <v>0</v>
      </c>
      <c r="P2500" s="578">
        <f t="shared" si="670"/>
        <v>0</v>
      </c>
      <c r="Q2500" s="765"/>
      <c r="R2500" s="723"/>
      <c r="S2500" s="723"/>
      <c r="T2500" s="577">
        <f t="shared" si="667"/>
        <v>0</v>
      </c>
      <c r="U2500" s="578">
        <f t="shared" si="668"/>
        <v>0</v>
      </c>
      <c r="V2500" s="579"/>
      <c r="W2500" s="566" t="str">
        <f>IF(U2498&gt;0,"xx",IF(P2498&gt;0,"xy",""))</f>
        <v/>
      </c>
      <c r="X2500" s="586" t="str">
        <f t="shared" si="661"/>
        <v/>
      </c>
      <c r="Y2500" s="586" t="str">
        <f t="shared" si="653"/>
        <v/>
      </c>
      <c r="Z2500" s="586" t="str">
        <f t="shared" si="660"/>
        <v/>
      </c>
    </row>
    <row r="2501" spans="1:26" ht="12" hidden="1" thickBot="1" x14ac:dyDescent="0.25">
      <c r="A2501" s="567" t="s">
        <v>168</v>
      </c>
      <c r="B2501" s="644" t="s">
        <v>168</v>
      </c>
      <c r="C2501" s="645"/>
      <c r="D2501" s="422" t="s">
        <v>252</v>
      </c>
      <c r="E2501" s="423"/>
      <c r="F2501" s="424">
        <v>20</v>
      </c>
      <c r="G2501" s="425">
        <f>VLOOKUP(D2498,'[2]ENSAIOS DE ORÇAMENTO'!$C$3:$L$79,6,FALSE)</f>
        <v>2.8094099999999997</v>
      </c>
      <c r="H2501" s="663">
        <f t="shared" si="671"/>
        <v>67.650592799999998</v>
      </c>
      <c r="I2501" s="420"/>
      <c r="J2501" s="420"/>
      <c r="K2501" s="421">
        <f t="shared" si="666"/>
        <v>0</v>
      </c>
      <c r="L2501" s="647"/>
      <c r="M2501" s="723"/>
      <c r="N2501" s="576">
        <f t="shared" si="656"/>
        <v>0</v>
      </c>
      <c r="O2501" s="577">
        <f t="shared" si="669"/>
        <v>0</v>
      </c>
      <c r="P2501" s="578">
        <f t="shared" si="670"/>
        <v>0</v>
      </c>
      <c r="Q2501" s="765"/>
      <c r="R2501" s="723"/>
      <c r="S2501" s="723"/>
      <c r="T2501" s="577">
        <f t="shared" si="667"/>
        <v>0</v>
      </c>
      <c r="U2501" s="578">
        <f t="shared" si="668"/>
        <v>0</v>
      </c>
      <c r="V2501" s="579"/>
      <c r="W2501" s="566" t="str">
        <f>IF(U2498&gt;0,"xx",IF(P2498&gt;0,"xy",""))</f>
        <v/>
      </c>
      <c r="X2501" s="586" t="str">
        <f t="shared" si="661"/>
        <v/>
      </c>
      <c r="Y2501" s="586" t="str">
        <f t="shared" si="653"/>
        <v/>
      </c>
      <c r="Z2501" s="586" t="str">
        <f t="shared" si="660"/>
        <v/>
      </c>
    </row>
    <row r="2502" spans="1:26" ht="12" hidden="1" thickBot="1" x14ac:dyDescent="0.25">
      <c r="A2502" s="567" t="s">
        <v>168</v>
      </c>
      <c r="B2502" s="644" t="s">
        <v>168</v>
      </c>
      <c r="C2502" s="645"/>
      <c r="D2502" s="422" t="s">
        <v>400</v>
      </c>
      <c r="E2502" s="423"/>
      <c r="F2502" s="424">
        <v>30</v>
      </c>
      <c r="G2502" s="425">
        <f>VLOOKUP(D2498,'[2]ENSAIOS DE ORÇAMENTO'!$C$3:$L$79,3,FALSE)</f>
        <v>0</v>
      </c>
      <c r="H2502" s="663">
        <f t="shared" si="671"/>
        <v>0</v>
      </c>
      <c r="I2502" s="420"/>
      <c r="J2502" s="420"/>
      <c r="K2502" s="421">
        <f t="shared" si="666"/>
        <v>0</v>
      </c>
      <c r="L2502" s="647"/>
      <c r="M2502" s="723"/>
      <c r="N2502" s="576">
        <f t="shared" si="656"/>
        <v>0</v>
      </c>
      <c r="O2502" s="577">
        <f t="shared" si="669"/>
        <v>0</v>
      </c>
      <c r="P2502" s="578">
        <f t="shared" si="670"/>
        <v>0</v>
      </c>
      <c r="Q2502" s="765"/>
      <c r="R2502" s="723"/>
      <c r="S2502" s="723"/>
      <c r="T2502" s="577">
        <f t="shared" si="667"/>
        <v>0</v>
      </c>
      <c r="U2502" s="578">
        <f t="shared" si="668"/>
        <v>0</v>
      </c>
      <c r="V2502" s="579"/>
      <c r="W2502" s="566" t="str">
        <f>IF(U2498&gt;0,"xx",IF(P2498&gt;0,"xy",""))</f>
        <v/>
      </c>
      <c r="X2502" s="586" t="str">
        <f t="shared" si="661"/>
        <v/>
      </c>
      <c r="Y2502" s="586" t="str">
        <f t="shared" si="653"/>
        <v/>
      </c>
      <c r="Z2502" s="586" t="str">
        <f t="shared" si="660"/>
        <v/>
      </c>
    </row>
    <row r="2503" spans="1:26" ht="12" hidden="1" thickBot="1" x14ac:dyDescent="0.25">
      <c r="A2503" s="567" t="s">
        <v>168</v>
      </c>
      <c r="B2503" s="644" t="s">
        <v>168</v>
      </c>
      <c r="C2503" s="645"/>
      <c r="D2503" s="422" t="s">
        <v>401</v>
      </c>
      <c r="E2503" s="423"/>
      <c r="F2503" s="424">
        <v>500</v>
      </c>
      <c r="G2503" s="425">
        <f>VLOOKUP(D2498,'[2]ENSAIOS DE ORÇAMENTO'!$C$3:$L$79,10,FALSE)</f>
        <v>0</v>
      </c>
      <c r="H2503" s="649">
        <f>IF(F2503&lt;=30,(0.78*F2503+7.82)*G2503,((0.78*30+7.82)+0.78*(F2503-30))*G2503)</f>
        <v>0</v>
      </c>
      <c r="I2503" s="420"/>
      <c r="J2503" s="420"/>
      <c r="K2503" s="421">
        <f t="shared" si="666"/>
        <v>0</v>
      </c>
      <c r="L2503" s="647"/>
      <c r="M2503" s="723"/>
      <c r="N2503" s="576">
        <f t="shared" si="656"/>
        <v>0</v>
      </c>
      <c r="O2503" s="577">
        <f t="shared" si="669"/>
        <v>0</v>
      </c>
      <c r="P2503" s="578">
        <f t="shared" si="670"/>
        <v>0</v>
      </c>
      <c r="Q2503" s="765"/>
      <c r="R2503" s="723"/>
      <c r="S2503" s="723"/>
      <c r="T2503" s="577">
        <f t="shared" si="667"/>
        <v>0</v>
      </c>
      <c r="U2503" s="578">
        <f t="shared" si="668"/>
        <v>0</v>
      </c>
      <c r="V2503" s="579"/>
      <c r="W2503" s="566" t="str">
        <f>IF(U2498&gt;0,"xx",IF(P2498&gt;0,"xy",""))</f>
        <v/>
      </c>
      <c r="X2503" s="586" t="str">
        <f t="shared" si="661"/>
        <v/>
      </c>
      <c r="Y2503" s="586" t="str">
        <f t="shared" si="653"/>
        <v/>
      </c>
      <c r="Z2503" s="586" t="str">
        <f t="shared" si="660"/>
        <v/>
      </c>
    </row>
    <row r="2504" spans="1:26" ht="12" hidden="1" thickBot="1" x14ac:dyDescent="0.25">
      <c r="A2504" s="567" t="s">
        <v>48</v>
      </c>
      <c r="B2504" s="644" t="s">
        <v>48</v>
      </c>
      <c r="C2504" s="645" t="s">
        <v>206</v>
      </c>
      <c r="D2504" s="422" t="s">
        <v>160</v>
      </c>
      <c r="E2504" s="423"/>
      <c r="F2504" s="424"/>
      <c r="G2504" s="425"/>
      <c r="H2504" s="651">
        <f>SUM(H2505:H2509)</f>
        <v>945.5083653800001</v>
      </c>
      <c r="I2504" s="420">
        <f>VLOOKUP(D2504,'[2]ENSAIOS DE ORÇAMENTO'!$C$3:$L$79,8,FALSE)</f>
        <v>6301.7848786111099</v>
      </c>
      <c r="J2504" s="420">
        <f>IF(ISBLANK(I2504),"",SUM(H2504:I2504))</f>
        <v>7247.2932439911101</v>
      </c>
      <c r="K2504" s="421">
        <f t="shared" si="666"/>
        <v>8610.51</v>
      </c>
      <c r="L2504" s="647" t="s">
        <v>21</v>
      </c>
      <c r="M2504" s="576"/>
      <c r="N2504" s="576">
        <f t="shared" si="656"/>
        <v>0</v>
      </c>
      <c r="O2504" s="577">
        <f t="shared" si="669"/>
        <v>0</v>
      </c>
      <c r="P2504" s="578">
        <f t="shared" si="670"/>
        <v>0</v>
      </c>
      <c r="Q2504" s="765"/>
      <c r="R2504" s="576">
        <f>M2504</f>
        <v>0</v>
      </c>
      <c r="S2504" s="576">
        <f>N2504</f>
        <v>0</v>
      </c>
      <c r="T2504" s="577">
        <f t="shared" si="667"/>
        <v>0</v>
      </c>
      <c r="U2504" s="578">
        <f t="shared" si="668"/>
        <v>0</v>
      </c>
      <c r="V2504" s="579"/>
      <c r="W2504" s="566"/>
      <c r="X2504" s="586" t="str">
        <f t="shared" si="661"/>
        <v/>
      </c>
      <c r="Y2504" s="586" t="str">
        <f t="shared" ref="Y2504:Y2567" si="672">IF(W2504="X","x",IF(W2504="y","x",IF(W2504="xx","x",IF(U2504&gt;0,"x",""))))</f>
        <v/>
      </c>
      <c r="Z2504" s="586" t="str">
        <f t="shared" si="660"/>
        <v/>
      </c>
    </row>
    <row r="2505" spans="1:26" ht="12" hidden="1" thickBot="1" x14ac:dyDescent="0.25">
      <c r="A2505" s="567" t="s">
        <v>168</v>
      </c>
      <c r="B2505" s="644" t="s">
        <v>168</v>
      </c>
      <c r="C2505" s="645"/>
      <c r="D2505" s="422" t="s">
        <v>212</v>
      </c>
      <c r="E2505" s="423"/>
      <c r="F2505" s="424">
        <v>500</v>
      </c>
      <c r="G2505" s="425">
        <f>VLOOKUP(D2504,'[2]ENSAIOS DE ORÇAMENTO'!$C$3:$L$79,4,FALSE)</f>
        <v>0.89753699999999992</v>
      </c>
      <c r="H2505" s="649">
        <f>IF(F2505&lt;=30,(0.78*F2505+7.82)*G2505,((0.78*30+7.82)+0.78*(F2505-30))*G2505)</f>
        <v>357.05816934000001</v>
      </c>
      <c r="I2505" s="420"/>
      <c r="J2505" s="420"/>
      <c r="K2505" s="421">
        <f t="shared" si="666"/>
        <v>0</v>
      </c>
      <c r="L2505" s="647"/>
      <c r="M2505" s="723"/>
      <c r="N2505" s="576">
        <f t="shared" si="656"/>
        <v>0</v>
      </c>
      <c r="O2505" s="577">
        <f t="shared" si="669"/>
        <v>0</v>
      </c>
      <c r="P2505" s="578">
        <f t="shared" si="670"/>
        <v>0</v>
      </c>
      <c r="Q2505" s="765"/>
      <c r="R2505" s="723"/>
      <c r="S2505" s="723"/>
      <c r="T2505" s="577">
        <f t="shared" si="667"/>
        <v>0</v>
      </c>
      <c r="U2505" s="578">
        <f t="shared" si="668"/>
        <v>0</v>
      </c>
      <c r="V2505" s="579"/>
      <c r="W2505" s="566" t="str">
        <f>IF(U2504&gt;0,"xx",IF(P2504&gt;0,"xy",""))</f>
        <v/>
      </c>
      <c r="X2505" s="586" t="str">
        <f t="shared" si="661"/>
        <v/>
      </c>
      <c r="Y2505" s="586" t="str">
        <f t="shared" si="672"/>
        <v/>
      </c>
      <c r="Z2505" s="586" t="str">
        <f t="shared" si="660"/>
        <v/>
      </c>
    </row>
    <row r="2506" spans="1:26" ht="12" hidden="1" thickBot="1" x14ac:dyDescent="0.25">
      <c r="A2506" s="567" t="s">
        <v>168</v>
      </c>
      <c r="B2506" s="644" t="s">
        <v>168</v>
      </c>
      <c r="C2506" s="645"/>
      <c r="D2506" s="422" t="s">
        <v>248</v>
      </c>
      <c r="E2506" s="423"/>
      <c r="F2506" s="424">
        <v>180</v>
      </c>
      <c r="G2506" s="425">
        <f>VLOOKUP(D2504,'[2]ENSAIOS DE ORÇAMENTO'!$C$3:$L$79,5,FALSE)</f>
        <v>2.6274289999999998</v>
      </c>
      <c r="H2506" s="663">
        <f t="shared" ref="H2506:H2508" si="673">IF(F2506&lt;=30,(1.07*F2506+2.68)*G2506,((1.07*30+2.68)+1.07*(F2506-30))*G2506)</f>
        <v>513.08433511999999</v>
      </c>
      <c r="I2506" s="420"/>
      <c r="J2506" s="420"/>
      <c r="K2506" s="421">
        <f t="shared" si="666"/>
        <v>0</v>
      </c>
      <c r="L2506" s="647"/>
      <c r="M2506" s="723"/>
      <c r="N2506" s="576">
        <f t="shared" si="656"/>
        <v>0</v>
      </c>
      <c r="O2506" s="577">
        <f t="shared" si="669"/>
        <v>0</v>
      </c>
      <c r="P2506" s="578">
        <f t="shared" si="670"/>
        <v>0</v>
      </c>
      <c r="Q2506" s="765"/>
      <c r="R2506" s="723"/>
      <c r="S2506" s="723"/>
      <c r="T2506" s="577">
        <f t="shared" si="667"/>
        <v>0</v>
      </c>
      <c r="U2506" s="578">
        <f t="shared" si="668"/>
        <v>0</v>
      </c>
      <c r="V2506" s="579"/>
      <c r="W2506" s="566" t="str">
        <f>IF(U2504&gt;0,"xx",IF(P2504&gt;0,"xy",""))</f>
        <v/>
      </c>
      <c r="X2506" s="586" t="str">
        <f t="shared" si="661"/>
        <v/>
      </c>
      <c r="Y2506" s="586" t="str">
        <f t="shared" si="672"/>
        <v/>
      </c>
      <c r="Z2506" s="586" t="str">
        <f t="shared" si="660"/>
        <v/>
      </c>
    </row>
    <row r="2507" spans="1:26" ht="12" hidden="1" thickBot="1" x14ac:dyDescent="0.25">
      <c r="A2507" s="567" t="s">
        <v>168</v>
      </c>
      <c r="B2507" s="644" t="s">
        <v>168</v>
      </c>
      <c r="C2507" s="645"/>
      <c r="D2507" s="422" t="s">
        <v>252</v>
      </c>
      <c r="E2507" s="423"/>
      <c r="F2507" s="424">
        <v>20</v>
      </c>
      <c r="G2507" s="425">
        <f>VLOOKUP(D2504,'[2]ENSAIOS DE ORÇAMENTO'!$C$3:$L$79,6,FALSE)</f>
        <v>3.1298114999999997</v>
      </c>
      <c r="H2507" s="663">
        <f t="shared" si="673"/>
        <v>75.365860920000003</v>
      </c>
      <c r="I2507" s="420"/>
      <c r="J2507" s="420"/>
      <c r="K2507" s="421">
        <f t="shared" si="666"/>
        <v>0</v>
      </c>
      <c r="L2507" s="647"/>
      <c r="M2507" s="723"/>
      <c r="N2507" s="576">
        <f t="shared" si="656"/>
        <v>0</v>
      </c>
      <c r="O2507" s="577">
        <f t="shared" si="669"/>
        <v>0</v>
      </c>
      <c r="P2507" s="578">
        <f t="shared" si="670"/>
        <v>0</v>
      </c>
      <c r="Q2507" s="765"/>
      <c r="R2507" s="723"/>
      <c r="S2507" s="723"/>
      <c r="T2507" s="577">
        <f t="shared" si="667"/>
        <v>0</v>
      </c>
      <c r="U2507" s="578">
        <f t="shared" si="668"/>
        <v>0</v>
      </c>
      <c r="V2507" s="579"/>
      <c r="W2507" s="566" t="str">
        <f>IF(U2504&gt;0,"xx",IF(P2504&gt;0,"xy",""))</f>
        <v/>
      </c>
      <c r="X2507" s="586" t="str">
        <f t="shared" si="661"/>
        <v/>
      </c>
      <c r="Y2507" s="586" t="str">
        <f t="shared" si="672"/>
        <v/>
      </c>
      <c r="Z2507" s="586" t="str">
        <f t="shared" si="660"/>
        <v/>
      </c>
    </row>
    <row r="2508" spans="1:26" ht="12" hidden="1" thickBot="1" x14ac:dyDescent="0.25">
      <c r="A2508" s="567" t="s">
        <v>168</v>
      </c>
      <c r="B2508" s="644" t="s">
        <v>168</v>
      </c>
      <c r="C2508" s="645"/>
      <c r="D2508" s="422" t="s">
        <v>400</v>
      </c>
      <c r="E2508" s="423"/>
      <c r="F2508" s="424">
        <v>30</v>
      </c>
      <c r="G2508" s="425">
        <f>VLOOKUP(D2504,'[2]ENSAIOS DE ORÇAMENTO'!$C$3:$L$79,3,FALSE)</f>
        <v>0</v>
      </c>
      <c r="H2508" s="663">
        <f t="shared" si="673"/>
        <v>0</v>
      </c>
      <c r="I2508" s="420"/>
      <c r="J2508" s="420"/>
      <c r="K2508" s="421">
        <f t="shared" si="666"/>
        <v>0</v>
      </c>
      <c r="L2508" s="647"/>
      <c r="M2508" s="723"/>
      <c r="N2508" s="576">
        <f t="shared" si="656"/>
        <v>0</v>
      </c>
      <c r="O2508" s="577">
        <f t="shared" si="669"/>
        <v>0</v>
      </c>
      <c r="P2508" s="578">
        <f t="shared" si="670"/>
        <v>0</v>
      </c>
      <c r="Q2508" s="765"/>
      <c r="R2508" s="723"/>
      <c r="S2508" s="723"/>
      <c r="T2508" s="577">
        <f t="shared" si="667"/>
        <v>0</v>
      </c>
      <c r="U2508" s="578">
        <f t="shared" si="668"/>
        <v>0</v>
      </c>
      <c r="V2508" s="579"/>
      <c r="W2508" s="566" t="str">
        <f>IF(U2504&gt;0,"xx",IF(P2504&gt;0,"xy",""))</f>
        <v/>
      </c>
      <c r="X2508" s="586" t="str">
        <f t="shared" si="661"/>
        <v/>
      </c>
      <c r="Y2508" s="586" t="str">
        <f t="shared" si="672"/>
        <v/>
      </c>
      <c r="Z2508" s="586" t="str">
        <f t="shared" si="660"/>
        <v/>
      </c>
    </row>
    <row r="2509" spans="1:26" ht="12" hidden="1" thickBot="1" x14ac:dyDescent="0.25">
      <c r="A2509" s="567" t="s">
        <v>168</v>
      </c>
      <c r="B2509" s="644" t="s">
        <v>168</v>
      </c>
      <c r="C2509" s="645"/>
      <c r="D2509" s="422" t="s">
        <v>401</v>
      </c>
      <c r="E2509" s="423"/>
      <c r="F2509" s="424">
        <v>500</v>
      </c>
      <c r="G2509" s="425">
        <f>VLOOKUP(D2504,'[2]ENSAIOS DE ORÇAMENTO'!$C$3:$L$79,10,FALSE)</f>
        <v>0</v>
      </c>
      <c r="H2509" s="649">
        <f>IF(F2509&lt;=30,(0.78*F2509+7.82)*G2509,((0.78*30+7.82)+0.78*(F2509-30))*G2509)</f>
        <v>0</v>
      </c>
      <c r="I2509" s="420"/>
      <c r="J2509" s="420"/>
      <c r="K2509" s="421">
        <f t="shared" si="666"/>
        <v>0</v>
      </c>
      <c r="L2509" s="647"/>
      <c r="M2509" s="723"/>
      <c r="N2509" s="576">
        <f t="shared" si="656"/>
        <v>0</v>
      </c>
      <c r="O2509" s="577">
        <f t="shared" si="669"/>
        <v>0</v>
      </c>
      <c r="P2509" s="578">
        <f t="shared" si="670"/>
        <v>0</v>
      </c>
      <c r="Q2509" s="765"/>
      <c r="R2509" s="723"/>
      <c r="S2509" s="723"/>
      <c r="T2509" s="577">
        <f t="shared" si="667"/>
        <v>0</v>
      </c>
      <c r="U2509" s="578">
        <f t="shared" si="668"/>
        <v>0</v>
      </c>
      <c r="V2509" s="579"/>
      <c r="W2509" s="566" t="str">
        <f>IF(U2504&gt;0,"xx",IF(P2504&gt;0,"xy",""))</f>
        <v/>
      </c>
      <c r="X2509" s="586" t="str">
        <f t="shared" si="661"/>
        <v/>
      </c>
      <c r="Y2509" s="586" t="str">
        <f t="shared" si="672"/>
        <v/>
      </c>
      <c r="Z2509" s="586" t="str">
        <f t="shared" si="660"/>
        <v/>
      </c>
    </row>
    <row r="2510" spans="1:26" ht="12" hidden="1" thickBot="1" x14ac:dyDescent="0.25">
      <c r="A2510" s="567" t="s">
        <v>49</v>
      </c>
      <c r="B2510" s="644" t="s">
        <v>49</v>
      </c>
      <c r="C2510" s="645" t="s">
        <v>206</v>
      </c>
      <c r="D2510" s="422" t="s">
        <v>161</v>
      </c>
      <c r="E2510" s="423"/>
      <c r="F2510" s="424"/>
      <c r="G2510" s="425"/>
      <c r="H2510" s="651">
        <f>SUM(H2511:H2515)</f>
        <v>1175.1788129870001</v>
      </c>
      <c r="I2510" s="420">
        <f>VLOOKUP(D2510,'[2]ENSAIOS DE ORÇAMENTO'!$C$3:$L$79,8,FALSE)</f>
        <v>7680.4985115138879</v>
      </c>
      <c r="J2510" s="420">
        <f>IF(ISBLANK(I2510),"",SUM(H2510:I2510))</f>
        <v>8855.6773245008881</v>
      </c>
      <c r="K2510" s="421">
        <f t="shared" si="666"/>
        <v>10521.43</v>
      </c>
      <c r="L2510" s="647" t="s">
        <v>21</v>
      </c>
      <c r="M2510" s="576"/>
      <c r="N2510" s="576">
        <f t="shared" si="656"/>
        <v>0</v>
      </c>
      <c r="O2510" s="577">
        <f t="shared" si="669"/>
        <v>0</v>
      </c>
      <c r="P2510" s="578">
        <f t="shared" si="670"/>
        <v>0</v>
      </c>
      <c r="Q2510" s="765"/>
      <c r="R2510" s="576">
        <f>M2510</f>
        <v>0</v>
      </c>
      <c r="S2510" s="576">
        <f>N2510</f>
        <v>0</v>
      </c>
      <c r="T2510" s="577">
        <f t="shared" si="667"/>
        <v>0</v>
      </c>
      <c r="U2510" s="578">
        <f t="shared" si="668"/>
        <v>0</v>
      </c>
      <c r="V2510" s="579"/>
      <c r="W2510" s="566"/>
      <c r="X2510" s="586" t="str">
        <f t="shared" si="661"/>
        <v/>
      </c>
      <c r="Y2510" s="586" t="str">
        <f t="shared" si="672"/>
        <v/>
      </c>
      <c r="Z2510" s="586" t="str">
        <f t="shared" si="660"/>
        <v/>
      </c>
    </row>
    <row r="2511" spans="1:26" ht="12" hidden="1" thickBot="1" x14ac:dyDescent="0.25">
      <c r="A2511" s="567" t="s">
        <v>168</v>
      </c>
      <c r="B2511" s="644" t="s">
        <v>168</v>
      </c>
      <c r="C2511" s="645"/>
      <c r="D2511" s="422" t="s">
        <v>212</v>
      </c>
      <c r="E2511" s="423"/>
      <c r="F2511" s="424">
        <v>500</v>
      </c>
      <c r="G2511" s="425">
        <f>VLOOKUP(D2510,'[2]ENSAIOS DE ORÇAMENTO'!$C$3:$L$79,4,FALSE)</f>
        <v>1.1179675499999999</v>
      </c>
      <c r="H2511" s="649">
        <f>IF(F2511&lt;=30,(0.78*F2511+7.82)*G2511,((0.78*30+7.82)+0.78*(F2511-30))*G2511)</f>
        <v>444.74985074100005</v>
      </c>
      <c r="I2511" s="420"/>
      <c r="J2511" s="420"/>
      <c r="K2511" s="421">
        <f t="shared" si="666"/>
        <v>0</v>
      </c>
      <c r="L2511" s="647"/>
      <c r="M2511" s="723"/>
      <c r="N2511" s="576">
        <f t="shared" si="656"/>
        <v>0</v>
      </c>
      <c r="O2511" s="577">
        <f t="shared" si="669"/>
        <v>0</v>
      </c>
      <c r="P2511" s="578">
        <f t="shared" si="670"/>
        <v>0</v>
      </c>
      <c r="Q2511" s="765"/>
      <c r="R2511" s="723"/>
      <c r="S2511" s="723"/>
      <c r="T2511" s="577">
        <f t="shared" si="667"/>
        <v>0</v>
      </c>
      <c r="U2511" s="578">
        <f t="shared" si="668"/>
        <v>0</v>
      </c>
      <c r="V2511" s="579"/>
      <c r="W2511" s="566" t="str">
        <f>IF(U2510&gt;0,"xx",IF(P2510&gt;0,"xy",""))</f>
        <v/>
      </c>
      <c r="X2511" s="586" t="str">
        <f t="shared" si="661"/>
        <v/>
      </c>
      <c r="Y2511" s="586" t="str">
        <f t="shared" si="672"/>
        <v/>
      </c>
      <c r="Z2511" s="586" t="str">
        <f t="shared" si="660"/>
        <v/>
      </c>
    </row>
    <row r="2512" spans="1:26" ht="12" hidden="1" thickBot="1" x14ac:dyDescent="0.25">
      <c r="A2512" s="567" t="s">
        <v>168</v>
      </c>
      <c r="B2512" s="644" t="s">
        <v>168</v>
      </c>
      <c r="C2512" s="645"/>
      <c r="D2512" s="422" t="s">
        <v>248</v>
      </c>
      <c r="E2512" s="423"/>
      <c r="F2512" s="424">
        <v>180</v>
      </c>
      <c r="G2512" s="425">
        <f>VLOOKUP(D2510,'[2]ENSAIOS DE ORÇAMENTO'!$C$3:$L$79,5,FALSE)</f>
        <v>3.2610033499999997</v>
      </c>
      <c r="H2512" s="663">
        <f t="shared" ref="H2512:H2514" si="674">IF(F2512&lt;=30,(1.07*F2512+2.68)*G2512,((1.07*30+2.68)+1.07*(F2512-30))*G2512)</f>
        <v>636.8087341879999</v>
      </c>
      <c r="I2512" s="420"/>
      <c r="J2512" s="420"/>
      <c r="K2512" s="421">
        <f t="shared" si="666"/>
        <v>0</v>
      </c>
      <c r="L2512" s="647"/>
      <c r="M2512" s="723"/>
      <c r="N2512" s="576">
        <f t="shared" si="656"/>
        <v>0</v>
      </c>
      <c r="O2512" s="577">
        <f t="shared" si="669"/>
        <v>0</v>
      </c>
      <c r="P2512" s="578">
        <f t="shared" si="670"/>
        <v>0</v>
      </c>
      <c r="Q2512" s="765"/>
      <c r="R2512" s="723"/>
      <c r="S2512" s="723"/>
      <c r="T2512" s="577">
        <f t="shared" si="667"/>
        <v>0</v>
      </c>
      <c r="U2512" s="578">
        <f t="shared" si="668"/>
        <v>0</v>
      </c>
      <c r="V2512" s="579"/>
      <c r="W2512" s="566" t="str">
        <f>IF(U2510&gt;0,"xx",IF(P2510&gt;0,"xy",""))</f>
        <v/>
      </c>
      <c r="X2512" s="586" t="str">
        <f t="shared" si="661"/>
        <v/>
      </c>
      <c r="Y2512" s="586" t="str">
        <f t="shared" si="672"/>
        <v/>
      </c>
      <c r="Z2512" s="586" t="str">
        <f t="shared" si="660"/>
        <v/>
      </c>
    </row>
    <row r="2513" spans="1:26" ht="12" hidden="1" thickBot="1" x14ac:dyDescent="0.25">
      <c r="A2513" s="567" t="s">
        <v>168</v>
      </c>
      <c r="B2513" s="644" t="s">
        <v>168</v>
      </c>
      <c r="C2513" s="645"/>
      <c r="D2513" s="422" t="s">
        <v>252</v>
      </c>
      <c r="E2513" s="423"/>
      <c r="F2513" s="424">
        <v>20</v>
      </c>
      <c r="G2513" s="425">
        <f>VLOOKUP(D2510,'[2]ENSAIOS DE ORÇAMENTO'!$C$3:$L$79,6,FALSE)</f>
        <v>3.8878832249999999</v>
      </c>
      <c r="H2513" s="663">
        <f t="shared" si="674"/>
        <v>93.620228058000009</v>
      </c>
      <c r="I2513" s="420"/>
      <c r="J2513" s="420"/>
      <c r="K2513" s="421">
        <f t="shared" si="666"/>
        <v>0</v>
      </c>
      <c r="L2513" s="647"/>
      <c r="M2513" s="723"/>
      <c r="N2513" s="576">
        <f t="shared" si="656"/>
        <v>0</v>
      </c>
      <c r="O2513" s="577">
        <f t="shared" si="669"/>
        <v>0</v>
      </c>
      <c r="P2513" s="578">
        <f t="shared" si="670"/>
        <v>0</v>
      </c>
      <c r="Q2513" s="765"/>
      <c r="R2513" s="723"/>
      <c r="S2513" s="723"/>
      <c r="T2513" s="577">
        <f t="shared" si="667"/>
        <v>0</v>
      </c>
      <c r="U2513" s="578">
        <f t="shared" si="668"/>
        <v>0</v>
      </c>
      <c r="V2513" s="579"/>
      <c r="W2513" s="566" t="str">
        <f>IF(U2510&gt;0,"xx",IF(P2510&gt;0,"xy",""))</f>
        <v/>
      </c>
      <c r="X2513" s="586" t="str">
        <f t="shared" si="661"/>
        <v/>
      </c>
      <c r="Y2513" s="586" t="str">
        <f t="shared" si="672"/>
        <v/>
      </c>
      <c r="Z2513" s="586" t="str">
        <f t="shared" si="660"/>
        <v/>
      </c>
    </row>
    <row r="2514" spans="1:26" ht="12" hidden="1" thickBot="1" x14ac:dyDescent="0.25">
      <c r="A2514" s="567" t="s">
        <v>168</v>
      </c>
      <c r="B2514" s="644" t="s">
        <v>168</v>
      </c>
      <c r="C2514" s="645"/>
      <c r="D2514" s="422" t="s">
        <v>400</v>
      </c>
      <c r="E2514" s="423"/>
      <c r="F2514" s="424">
        <v>30</v>
      </c>
      <c r="G2514" s="425">
        <f>VLOOKUP(D2510,'[2]ENSAIOS DE ORÇAMENTO'!$C$3:$L$79,3,FALSE)</f>
        <v>0</v>
      </c>
      <c r="H2514" s="663">
        <f t="shared" si="674"/>
        <v>0</v>
      </c>
      <c r="I2514" s="420"/>
      <c r="J2514" s="420"/>
      <c r="K2514" s="421">
        <f t="shared" si="666"/>
        <v>0</v>
      </c>
      <c r="L2514" s="647"/>
      <c r="M2514" s="723"/>
      <c r="N2514" s="576">
        <f t="shared" si="656"/>
        <v>0</v>
      </c>
      <c r="O2514" s="577">
        <f t="shared" si="669"/>
        <v>0</v>
      </c>
      <c r="P2514" s="578">
        <f t="shared" si="670"/>
        <v>0</v>
      </c>
      <c r="Q2514" s="765"/>
      <c r="R2514" s="723"/>
      <c r="S2514" s="723"/>
      <c r="T2514" s="577">
        <f t="shared" si="667"/>
        <v>0</v>
      </c>
      <c r="U2514" s="578">
        <f t="shared" si="668"/>
        <v>0</v>
      </c>
      <c r="V2514" s="579"/>
      <c r="W2514" s="566" t="str">
        <f>IF(U2510&gt;0,"xx",IF(P2510&gt;0,"xy",""))</f>
        <v/>
      </c>
      <c r="X2514" s="586" t="str">
        <f t="shared" si="661"/>
        <v/>
      </c>
      <c r="Y2514" s="586" t="str">
        <f t="shared" si="672"/>
        <v/>
      </c>
      <c r="Z2514" s="586" t="str">
        <f t="shared" si="660"/>
        <v/>
      </c>
    </row>
    <row r="2515" spans="1:26" ht="12" hidden="1" thickBot="1" x14ac:dyDescent="0.25">
      <c r="A2515" s="567" t="s">
        <v>168</v>
      </c>
      <c r="B2515" s="644" t="s">
        <v>168</v>
      </c>
      <c r="C2515" s="645"/>
      <c r="D2515" s="422" t="s">
        <v>401</v>
      </c>
      <c r="E2515" s="423"/>
      <c r="F2515" s="424">
        <v>500</v>
      </c>
      <c r="G2515" s="425">
        <f>VLOOKUP(D2510,'[2]ENSAIOS DE ORÇAMENTO'!$C$3:$L$79,10,FALSE)</f>
        <v>0</v>
      </c>
      <c r="H2515" s="649">
        <f>IF(F2515&lt;=30,(0.78*F2515+7.82)*G2515,((0.78*30+7.82)+0.78*(F2515-30))*G2515)</f>
        <v>0</v>
      </c>
      <c r="I2515" s="420"/>
      <c r="J2515" s="420"/>
      <c r="K2515" s="421">
        <f t="shared" si="666"/>
        <v>0</v>
      </c>
      <c r="L2515" s="647"/>
      <c r="M2515" s="723"/>
      <c r="N2515" s="576">
        <f t="shared" si="656"/>
        <v>0</v>
      </c>
      <c r="O2515" s="577">
        <f t="shared" si="669"/>
        <v>0</v>
      </c>
      <c r="P2515" s="578">
        <f t="shared" si="670"/>
        <v>0</v>
      </c>
      <c r="Q2515" s="765"/>
      <c r="R2515" s="723"/>
      <c r="S2515" s="723"/>
      <c r="T2515" s="577">
        <f t="shared" si="667"/>
        <v>0</v>
      </c>
      <c r="U2515" s="578">
        <f t="shared" si="668"/>
        <v>0</v>
      </c>
      <c r="V2515" s="579"/>
      <c r="W2515" s="566" t="str">
        <f>IF(U2510&gt;0,"xx",IF(P2510&gt;0,"xy",""))</f>
        <v/>
      </c>
      <c r="X2515" s="586" t="str">
        <f t="shared" si="661"/>
        <v/>
      </c>
      <c r="Y2515" s="586" t="str">
        <f t="shared" si="672"/>
        <v/>
      </c>
      <c r="Z2515" s="586" t="str">
        <f t="shared" si="660"/>
        <v/>
      </c>
    </row>
    <row r="2516" spans="1:26" ht="12" hidden="1" thickBot="1" x14ac:dyDescent="0.25">
      <c r="A2516" s="567" t="s">
        <v>50</v>
      </c>
      <c r="B2516" s="644" t="s">
        <v>50</v>
      </c>
      <c r="C2516" s="645" t="s">
        <v>206</v>
      </c>
      <c r="D2516" s="422" t="s">
        <v>422</v>
      </c>
      <c r="E2516" s="423"/>
      <c r="F2516" s="424"/>
      <c r="G2516" s="425"/>
      <c r="H2516" s="651">
        <f>SUM(H2517:H2521)</f>
        <v>115.21103748000003</v>
      </c>
      <c r="I2516" s="420">
        <f>VLOOKUP(D2516,'[2]ENSAIOS DE ORÇAMENTO'!$C$3:$L$79,8,FALSE)</f>
        <v>707.76571000000001</v>
      </c>
      <c r="J2516" s="420">
        <f>IF(ISBLANK(I2516),"",SUM(H2516:I2516))</f>
        <v>822.97674748000009</v>
      </c>
      <c r="K2516" s="421">
        <f t="shared" si="666"/>
        <v>977.78</v>
      </c>
      <c r="L2516" s="647" t="s">
        <v>21</v>
      </c>
      <c r="M2516" s="576"/>
      <c r="N2516" s="576">
        <f t="shared" ref="N2516:N2579" si="675">IF(M2516=0,0,K2516)</f>
        <v>0</v>
      </c>
      <c r="O2516" s="577">
        <f t="shared" si="669"/>
        <v>0</v>
      </c>
      <c r="P2516" s="578">
        <f t="shared" si="670"/>
        <v>0</v>
      </c>
      <c r="Q2516" s="765"/>
      <c r="R2516" s="576">
        <f>M2516</f>
        <v>0</v>
      </c>
      <c r="S2516" s="576">
        <f>N2516</f>
        <v>0</v>
      </c>
      <c r="T2516" s="577">
        <f t="shared" si="667"/>
        <v>0</v>
      </c>
      <c r="U2516" s="578">
        <f t="shared" si="668"/>
        <v>0</v>
      </c>
      <c r="V2516" s="579"/>
      <c r="W2516" s="566"/>
      <c r="X2516" s="586" t="str">
        <f t="shared" si="661"/>
        <v/>
      </c>
      <c r="Y2516" s="586" t="str">
        <f t="shared" si="672"/>
        <v/>
      </c>
      <c r="Z2516" s="586" t="str">
        <f t="shared" si="660"/>
        <v/>
      </c>
    </row>
    <row r="2517" spans="1:26" ht="12" hidden="1" thickBot="1" x14ac:dyDescent="0.25">
      <c r="A2517" s="567" t="s">
        <v>168</v>
      </c>
      <c r="B2517" s="644" t="s">
        <v>168</v>
      </c>
      <c r="C2517" s="645"/>
      <c r="D2517" s="422" t="s">
        <v>212</v>
      </c>
      <c r="E2517" s="423"/>
      <c r="F2517" s="424">
        <v>500</v>
      </c>
      <c r="G2517" s="425">
        <f>VLOOKUP(D2516,'[2]ENSAIOS DE ORÇAMENTO'!$C$3:$L$79,4,FALSE)</f>
        <v>0.11253000000000002</v>
      </c>
      <c r="H2517" s="649">
        <f>IF(F2517&lt;=30,(0.78*F2517+7.82)*G2517,((0.78*30+7.82)+0.78*(F2517-30))*G2517)</f>
        <v>44.766684600000012</v>
      </c>
      <c r="I2517" s="420"/>
      <c r="J2517" s="420"/>
      <c r="K2517" s="421">
        <f t="shared" si="666"/>
        <v>0</v>
      </c>
      <c r="L2517" s="647"/>
      <c r="M2517" s="723"/>
      <c r="N2517" s="576">
        <f t="shared" si="675"/>
        <v>0</v>
      </c>
      <c r="O2517" s="577">
        <f t="shared" si="669"/>
        <v>0</v>
      </c>
      <c r="P2517" s="578">
        <f t="shared" si="670"/>
        <v>0</v>
      </c>
      <c r="Q2517" s="765"/>
      <c r="R2517" s="723"/>
      <c r="S2517" s="723"/>
      <c r="T2517" s="577">
        <f t="shared" si="667"/>
        <v>0</v>
      </c>
      <c r="U2517" s="578">
        <f t="shared" si="668"/>
        <v>0</v>
      </c>
      <c r="V2517" s="579"/>
      <c r="W2517" s="566" t="str">
        <f>IF(U2516&gt;0,"xx",IF(P2516&gt;0,"xy",""))</f>
        <v/>
      </c>
      <c r="X2517" s="586" t="str">
        <f t="shared" si="661"/>
        <v/>
      </c>
      <c r="Y2517" s="586" t="str">
        <f t="shared" si="672"/>
        <v/>
      </c>
      <c r="Z2517" s="586" t="str">
        <f t="shared" si="660"/>
        <v/>
      </c>
    </row>
    <row r="2518" spans="1:26" ht="12" hidden="1" thickBot="1" x14ac:dyDescent="0.25">
      <c r="A2518" s="567" t="s">
        <v>168</v>
      </c>
      <c r="B2518" s="644" t="s">
        <v>168</v>
      </c>
      <c r="C2518" s="645"/>
      <c r="D2518" s="422" t="s">
        <v>248</v>
      </c>
      <c r="E2518" s="423"/>
      <c r="F2518" s="424">
        <v>180</v>
      </c>
      <c r="G2518" s="425">
        <f>VLOOKUP(D2516,'[2]ENSAIOS DE ORÇAMENTO'!$C$3:$L$79,5,FALSE)</f>
        <v>0.31406100000000003</v>
      </c>
      <c r="H2518" s="663">
        <f t="shared" ref="H2518:H2520" si="676">IF(F2518&lt;=30,(1.07*F2518+2.68)*G2518,((1.07*30+2.68)+1.07*(F2518-30))*G2518)</f>
        <v>61.32983208000001</v>
      </c>
      <c r="I2518" s="420"/>
      <c r="J2518" s="420"/>
      <c r="K2518" s="421">
        <f t="shared" si="666"/>
        <v>0</v>
      </c>
      <c r="L2518" s="647"/>
      <c r="M2518" s="723"/>
      <c r="N2518" s="576">
        <f t="shared" si="675"/>
        <v>0</v>
      </c>
      <c r="O2518" s="577">
        <f t="shared" si="669"/>
        <v>0</v>
      </c>
      <c r="P2518" s="578">
        <f t="shared" si="670"/>
        <v>0</v>
      </c>
      <c r="Q2518" s="765"/>
      <c r="R2518" s="723"/>
      <c r="S2518" s="723"/>
      <c r="T2518" s="577">
        <f t="shared" si="667"/>
        <v>0</v>
      </c>
      <c r="U2518" s="578">
        <f t="shared" si="668"/>
        <v>0</v>
      </c>
      <c r="V2518" s="579"/>
      <c r="W2518" s="566" t="str">
        <f>IF(U2516&gt;0,"xx",IF(P2516&gt;0,"xy",""))</f>
        <v/>
      </c>
      <c r="X2518" s="586" t="str">
        <f t="shared" si="661"/>
        <v/>
      </c>
      <c r="Y2518" s="586" t="str">
        <f t="shared" si="672"/>
        <v/>
      </c>
      <c r="Z2518" s="586" t="str">
        <f t="shared" si="660"/>
        <v/>
      </c>
    </row>
    <row r="2519" spans="1:26" ht="12" hidden="1" thickBot="1" x14ac:dyDescent="0.25">
      <c r="A2519" s="567" t="s">
        <v>168</v>
      </c>
      <c r="B2519" s="644" t="s">
        <v>168</v>
      </c>
      <c r="C2519" s="645"/>
      <c r="D2519" s="422" t="s">
        <v>252</v>
      </c>
      <c r="E2519" s="423"/>
      <c r="F2519" s="424">
        <v>20</v>
      </c>
      <c r="G2519" s="425">
        <f>VLOOKUP(D2516,'[2]ENSAIOS DE ORÇAMENTO'!$C$3:$L$79,6,FALSE)</f>
        <v>0.37851000000000007</v>
      </c>
      <c r="H2519" s="663">
        <f t="shared" si="676"/>
        <v>9.1145208000000029</v>
      </c>
      <c r="I2519" s="420"/>
      <c r="J2519" s="420"/>
      <c r="K2519" s="421">
        <f t="shared" si="666"/>
        <v>0</v>
      </c>
      <c r="L2519" s="647"/>
      <c r="M2519" s="723"/>
      <c r="N2519" s="576">
        <f t="shared" si="675"/>
        <v>0</v>
      </c>
      <c r="O2519" s="577">
        <f t="shared" si="669"/>
        <v>0</v>
      </c>
      <c r="P2519" s="578">
        <f t="shared" si="670"/>
        <v>0</v>
      </c>
      <c r="Q2519" s="765"/>
      <c r="R2519" s="723"/>
      <c r="S2519" s="723"/>
      <c r="T2519" s="577">
        <f t="shared" si="667"/>
        <v>0</v>
      </c>
      <c r="U2519" s="578">
        <f t="shared" si="668"/>
        <v>0</v>
      </c>
      <c r="V2519" s="579"/>
      <c r="W2519" s="566" t="str">
        <f>IF(U2516&gt;0,"xx",IF(P2516&gt;0,"xy",""))</f>
        <v/>
      </c>
      <c r="X2519" s="586" t="str">
        <f t="shared" si="661"/>
        <v/>
      </c>
      <c r="Y2519" s="586" t="str">
        <f t="shared" si="672"/>
        <v/>
      </c>
      <c r="Z2519" s="586" t="str">
        <f t="shared" si="660"/>
        <v/>
      </c>
    </row>
    <row r="2520" spans="1:26" ht="12" hidden="1" thickBot="1" x14ac:dyDescent="0.25">
      <c r="A2520" s="567" t="s">
        <v>168</v>
      </c>
      <c r="B2520" s="644" t="s">
        <v>168</v>
      </c>
      <c r="C2520" s="645"/>
      <c r="D2520" s="422" t="s">
        <v>400</v>
      </c>
      <c r="E2520" s="423"/>
      <c r="F2520" s="424">
        <v>30</v>
      </c>
      <c r="G2520" s="425">
        <f>VLOOKUP(D2516,'[2]ENSAIOS DE ORÇAMENTO'!$C$3:$L$79,3,FALSE)</f>
        <v>0</v>
      </c>
      <c r="H2520" s="663">
        <f t="shared" si="676"/>
        <v>0</v>
      </c>
      <c r="I2520" s="420"/>
      <c r="J2520" s="420"/>
      <c r="K2520" s="421">
        <f t="shared" si="666"/>
        <v>0</v>
      </c>
      <c r="L2520" s="647"/>
      <c r="M2520" s="723"/>
      <c r="N2520" s="576">
        <f t="shared" si="675"/>
        <v>0</v>
      </c>
      <c r="O2520" s="577">
        <f t="shared" si="669"/>
        <v>0</v>
      </c>
      <c r="P2520" s="578">
        <f t="shared" si="670"/>
        <v>0</v>
      </c>
      <c r="Q2520" s="765"/>
      <c r="R2520" s="723"/>
      <c r="S2520" s="723"/>
      <c r="T2520" s="577">
        <f t="shared" si="667"/>
        <v>0</v>
      </c>
      <c r="U2520" s="578">
        <f t="shared" si="668"/>
        <v>0</v>
      </c>
      <c r="V2520" s="579"/>
      <c r="W2520" s="566" t="str">
        <f>IF(U2516&gt;0,"xx",IF(P2516&gt;0,"xy",""))</f>
        <v/>
      </c>
      <c r="X2520" s="586" t="str">
        <f t="shared" si="661"/>
        <v/>
      </c>
      <c r="Y2520" s="586" t="str">
        <f t="shared" si="672"/>
        <v/>
      </c>
      <c r="Z2520" s="586" t="str">
        <f t="shared" si="660"/>
        <v/>
      </c>
    </row>
    <row r="2521" spans="1:26" ht="12" hidden="1" thickBot="1" x14ac:dyDescent="0.25">
      <c r="A2521" s="567" t="s">
        <v>168</v>
      </c>
      <c r="B2521" s="644" t="s">
        <v>168</v>
      </c>
      <c r="C2521" s="645"/>
      <c r="D2521" s="422" t="s">
        <v>401</v>
      </c>
      <c r="E2521" s="423"/>
      <c r="F2521" s="424">
        <v>500</v>
      </c>
      <c r="G2521" s="425">
        <f>VLOOKUP(D2516,'[2]ENSAIOS DE ORÇAMENTO'!$C$3:$L$79,10,FALSE)</f>
        <v>0</v>
      </c>
      <c r="H2521" s="649">
        <f>IF(F2521&lt;=30,(0.78*F2521+7.82)*G2521,((0.78*30+7.82)+0.78*(F2521-30))*G2521)</f>
        <v>0</v>
      </c>
      <c r="I2521" s="420"/>
      <c r="J2521" s="420"/>
      <c r="K2521" s="421">
        <f t="shared" si="666"/>
        <v>0</v>
      </c>
      <c r="L2521" s="647"/>
      <c r="M2521" s="723"/>
      <c r="N2521" s="576">
        <f t="shared" si="675"/>
        <v>0</v>
      </c>
      <c r="O2521" s="577">
        <f t="shared" si="669"/>
        <v>0</v>
      </c>
      <c r="P2521" s="578">
        <f t="shared" si="670"/>
        <v>0</v>
      </c>
      <c r="Q2521" s="765"/>
      <c r="R2521" s="723"/>
      <c r="S2521" s="723"/>
      <c r="T2521" s="577">
        <f t="shared" si="667"/>
        <v>0</v>
      </c>
      <c r="U2521" s="578">
        <f t="shared" si="668"/>
        <v>0</v>
      </c>
      <c r="V2521" s="579"/>
      <c r="W2521" s="566" t="str">
        <f>IF(U2516&gt;0,"xx",IF(P2516&gt;0,"xy",""))</f>
        <v/>
      </c>
      <c r="X2521" s="586" t="str">
        <f t="shared" si="661"/>
        <v/>
      </c>
      <c r="Y2521" s="586" t="str">
        <f t="shared" si="672"/>
        <v/>
      </c>
      <c r="Z2521" s="586" t="str">
        <f t="shared" si="660"/>
        <v/>
      </c>
    </row>
    <row r="2522" spans="1:26" ht="12" hidden="1" thickBot="1" x14ac:dyDescent="0.25">
      <c r="A2522" s="567" t="s">
        <v>51</v>
      </c>
      <c r="B2522" s="644" t="s">
        <v>51</v>
      </c>
      <c r="C2522" s="645" t="s">
        <v>206</v>
      </c>
      <c r="D2522" s="422" t="s">
        <v>423</v>
      </c>
      <c r="E2522" s="423"/>
      <c r="F2522" s="424"/>
      <c r="G2522" s="425"/>
      <c r="H2522" s="651">
        <f>SUM(H2523:H2527)</f>
        <v>125.34690588000004</v>
      </c>
      <c r="I2522" s="420">
        <f>VLOOKUP(D2522,'[2]ENSAIOS DE ORÇAMENTO'!$C$3:$L$79,8,FALSE)</f>
        <v>802.57491000000005</v>
      </c>
      <c r="J2522" s="420">
        <f>IF(ISBLANK(I2522),"",SUM(H2522:I2522))</f>
        <v>927.92181588000005</v>
      </c>
      <c r="K2522" s="421">
        <f t="shared" si="666"/>
        <v>1102.46</v>
      </c>
      <c r="L2522" s="647" t="s">
        <v>21</v>
      </c>
      <c r="M2522" s="576"/>
      <c r="N2522" s="576">
        <f t="shared" si="675"/>
        <v>0</v>
      </c>
      <c r="O2522" s="577">
        <f t="shared" si="669"/>
        <v>0</v>
      </c>
      <c r="P2522" s="578">
        <f t="shared" si="670"/>
        <v>0</v>
      </c>
      <c r="Q2522" s="765"/>
      <c r="R2522" s="576">
        <f>M2522</f>
        <v>0</v>
      </c>
      <c r="S2522" s="576">
        <f>N2522</f>
        <v>0</v>
      </c>
      <c r="T2522" s="577">
        <f t="shared" si="667"/>
        <v>0</v>
      </c>
      <c r="U2522" s="578">
        <f t="shared" si="668"/>
        <v>0</v>
      </c>
      <c r="V2522" s="579"/>
      <c r="W2522" s="566"/>
      <c r="X2522" s="586" t="str">
        <f t="shared" si="661"/>
        <v/>
      </c>
      <c r="Y2522" s="586" t="str">
        <f t="shared" si="672"/>
        <v/>
      </c>
      <c r="Z2522" s="586" t="str">
        <f t="shared" si="660"/>
        <v/>
      </c>
    </row>
    <row r="2523" spans="1:26" ht="12" hidden="1" thickBot="1" x14ac:dyDescent="0.25">
      <c r="A2523" s="567" t="s">
        <v>168</v>
      </c>
      <c r="B2523" s="644" t="s">
        <v>168</v>
      </c>
      <c r="C2523" s="645"/>
      <c r="D2523" s="422" t="s">
        <v>212</v>
      </c>
      <c r="E2523" s="423"/>
      <c r="F2523" s="424">
        <v>500</v>
      </c>
      <c r="G2523" s="425">
        <f>VLOOKUP(D2522,'[2]ENSAIOS DE ORÇAMENTO'!$C$3:$L$79,4,FALSE)</f>
        <v>0.12243000000000002</v>
      </c>
      <c r="H2523" s="649">
        <f>IF(F2523&lt;=30,(0.78*F2523+7.82)*G2523,((0.78*30+7.82)+0.78*(F2523-30))*G2523)</f>
        <v>48.705102600000018</v>
      </c>
      <c r="I2523" s="420"/>
      <c r="J2523" s="420"/>
      <c r="K2523" s="421">
        <f t="shared" si="666"/>
        <v>0</v>
      </c>
      <c r="L2523" s="647"/>
      <c r="M2523" s="723"/>
      <c r="N2523" s="576">
        <f t="shared" si="675"/>
        <v>0</v>
      </c>
      <c r="O2523" s="577">
        <f>IF(ISBLANK(M2523),0,ROUND(K2523*M2523,2))</f>
        <v>0</v>
      </c>
      <c r="P2523" s="578">
        <f t="shared" si="670"/>
        <v>0</v>
      </c>
      <c r="Q2523" s="765"/>
      <c r="R2523" s="723"/>
      <c r="S2523" s="723"/>
      <c r="T2523" s="577">
        <f t="shared" si="667"/>
        <v>0</v>
      </c>
      <c r="U2523" s="578">
        <f t="shared" si="668"/>
        <v>0</v>
      </c>
      <c r="V2523" s="579"/>
      <c r="W2523" s="566" t="str">
        <f>IF(U2522&gt;0,"xx",IF(P2522&gt;0,"xy",""))</f>
        <v/>
      </c>
      <c r="X2523" s="586" t="str">
        <f t="shared" si="661"/>
        <v/>
      </c>
      <c r="Y2523" s="586" t="str">
        <f t="shared" si="672"/>
        <v/>
      </c>
      <c r="Z2523" s="586" t="str">
        <f t="shared" si="660"/>
        <v/>
      </c>
    </row>
    <row r="2524" spans="1:26" ht="12" hidden="1" thickBot="1" x14ac:dyDescent="0.25">
      <c r="A2524" s="567" t="s">
        <v>168</v>
      </c>
      <c r="B2524" s="644" t="s">
        <v>168</v>
      </c>
      <c r="C2524" s="645"/>
      <c r="D2524" s="422" t="s">
        <v>248</v>
      </c>
      <c r="E2524" s="423"/>
      <c r="F2524" s="424">
        <v>180</v>
      </c>
      <c r="G2524" s="425">
        <f>VLOOKUP(D2522,'[2]ENSAIOS DE ORÇAMENTO'!$C$3:$L$79,5,FALSE)</f>
        <v>0.34169100000000008</v>
      </c>
      <c r="H2524" s="663">
        <f t="shared" ref="H2524:H2526" si="677">IF(F2524&lt;=30,(1.07*F2524+2.68)*G2524,((1.07*30+2.68)+1.07*(F2524-30))*G2524)</f>
        <v>66.725418480000016</v>
      </c>
      <c r="I2524" s="420"/>
      <c r="J2524" s="420"/>
      <c r="K2524" s="421">
        <f t="shared" si="666"/>
        <v>0</v>
      </c>
      <c r="L2524" s="647"/>
      <c r="M2524" s="723"/>
      <c r="N2524" s="576">
        <f t="shared" si="675"/>
        <v>0</v>
      </c>
      <c r="O2524" s="577">
        <f t="shared" si="669"/>
        <v>0</v>
      </c>
      <c r="P2524" s="578">
        <f t="shared" si="670"/>
        <v>0</v>
      </c>
      <c r="Q2524" s="765"/>
      <c r="R2524" s="723"/>
      <c r="S2524" s="723"/>
      <c r="T2524" s="577">
        <f t="shared" si="667"/>
        <v>0</v>
      </c>
      <c r="U2524" s="578">
        <f t="shared" si="668"/>
        <v>0</v>
      </c>
      <c r="V2524" s="579"/>
      <c r="W2524" s="566" t="str">
        <f>IF(U2522&gt;0,"xx",IF(P2522&gt;0,"xy",""))</f>
        <v/>
      </c>
      <c r="X2524" s="586" t="str">
        <f t="shared" si="661"/>
        <v/>
      </c>
      <c r="Y2524" s="586" t="str">
        <f t="shared" si="672"/>
        <v/>
      </c>
      <c r="Z2524" s="586" t="str">
        <f t="shared" si="660"/>
        <v/>
      </c>
    </row>
    <row r="2525" spans="1:26" ht="12" hidden="1" thickBot="1" x14ac:dyDescent="0.25">
      <c r="A2525" s="567" t="s">
        <v>168</v>
      </c>
      <c r="B2525" s="644" t="s">
        <v>168</v>
      </c>
      <c r="C2525" s="645"/>
      <c r="D2525" s="422" t="s">
        <v>252</v>
      </c>
      <c r="E2525" s="423"/>
      <c r="F2525" s="424">
        <v>20</v>
      </c>
      <c r="G2525" s="425">
        <f>VLOOKUP(D2522,'[2]ENSAIOS DE ORÇAMENTO'!$C$3:$L$79,6,FALSE)</f>
        <v>0.41181000000000012</v>
      </c>
      <c r="H2525" s="663">
        <f t="shared" si="677"/>
        <v>9.916384800000003</v>
      </c>
      <c r="I2525" s="420"/>
      <c r="J2525" s="420"/>
      <c r="K2525" s="421">
        <f t="shared" si="666"/>
        <v>0</v>
      </c>
      <c r="L2525" s="647"/>
      <c r="M2525" s="723"/>
      <c r="N2525" s="576">
        <f t="shared" si="675"/>
        <v>0</v>
      </c>
      <c r="O2525" s="577">
        <f t="shared" si="669"/>
        <v>0</v>
      </c>
      <c r="P2525" s="578">
        <f t="shared" si="670"/>
        <v>0</v>
      </c>
      <c r="Q2525" s="765"/>
      <c r="R2525" s="723"/>
      <c r="S2525" s="723"/>
      <c r="T2525" s="577">
        <f t="shared" si="667"/>
        <v>0</v>
      </c>
      <c r="U2525" s="578">
        <f t="shared" si="668"/>
        <v>0</v>
      </c>
      <c r="V2525" s="579"/>
      <c r="W2525" s="566" t="str">
        <f>IF(U2522&gt;0,"xx",IF(P2522&gt;0,"xy",""))</f>
        <v/>
      </c>
      <c r="X2525" s="586" t="str">
        <f t="shared" si="661"/>
        <v/>
      </c>
      <c r="Y2525" s="586" t="str">
        <f t="shared" si="672"/>
        <v/>
      </c>
      <c r="Z2525" s="586" t="str">
        <f t="shared" si="660"/>
        <v/>
      </c>
    </row>
    <row r="2526" spans="1:26" ht="12" hidden="1" thickBot="1" x14ac:dyDescent="0.25">
      <c r="A2526" s="567" t="s">
        <v>168</v>
      </c>
      <c r="B2526" s="644" t="s">
        <v>168</v>
      </c>
      <c r="C2526" s="645"/>
      <c r="D2526" s="422" t="s">
        <v>400</v>
      </c>
      <c r="E2526" s="423"/>
      <c r="F2526" s="424">
        <v>30</v>
      </c>
      <c r="G2526" s="425">
        <f>VLOOKUP(D2522,'[2]ENSAIOS DE ORÇAMENTO'!$C$3:$L$79,3,FALSE)</f>
        <v>0</v>
      </c>
      <c r="H2526" s="663">
        <f t="shared" si="677"/>
        <v>0</v>
      </c>
      <c r="I2526" s="420"/>
      <c r="J2526" s="420"/>
      <c r="K2526" s="421">
        <f t="shared" si="666"/>
        <v>0</v>
      </c>
      <c r="L2526" s="647"/>
      <c r="M2526" s="723"/>
      <c r="N2526" s="576">
        <f t="shared" si="675"/>
        <v>0</v>
      </c>
      <c r="O2526" s="577">
        <f t="shared" si="669"/>
        <v>0</v>
      </c>
      <c r="P2526" s="578">
        <f t="shared" si="670"/>
        <v>0</v>
      </c>
      <c r="Q2526" s="765"/>
      <c r="R2526" s="723"/>
      <c r="S2526" s="723"/>
      <c r="T2526" s="577">
        <f t="shared" si="667"/>
        <v>0</v>
      </c>
      <c r="U2526" s="578">
        <f t="shared" si="668"/>
        <v>0</v>
      </c>
      <c r="V2526" s="579"/>
      <c r="W2526" s="566" t="str">
        <f>IF(U2522&gt;0,"xx",IF(P2522&gt;0,"xy",""))</f>
        <v/>
      </c>
      <c r="X2526" s="586" t="str">
        <f t="shared" si="661"/>
        <v/>
      </c>
      <c r="Y2526" s="586" t="str">
        <f t="shared" si="672"/>
        <v/>
      </c>
      <c r="Z2526" s="586" t="str">
        <f t="shared" si="660"/>
        <v/>
      </c>
    </row>
    <row r="2527" spans="1:26" ht="12" hidden="1" thickBot="1" x14ac:dyDescent="0.25">
      <c r="A2527" s="567" t="s">
        <v>168</v>
      </c>
      <c r="B2527" s="644" t="s">
        <v>168</v>
      </c>
      <c r="C2527" s="645"/>
      <c r="D2527" s="422" t="s">
        <v>401</v>
      </c>
      <c r="E2527" s="423"/>
      <c r="F2527" s="424">
        <v>500</v>
      </c>
      <c r="G2527" s="425">
        <f>VLOOKUP(D2522,'[2]ENSAIOS DE ORÇAMENTO'!$C$3:$L$79,10,FALSE)</f>
        <v>0</v>
      </c>
      <c r="H2527" s="649">
        <f>IF(F2527&lt;=30,(0.78*F2527+7.82)*G2527,((0.78*30+7.82)+0.78*(F2527-30))*G2527)</f>
        <v>0</v>
      </c>
      <c r="I2527" s="420"/>
      <c r="J2527" s="420"/>
      <c r="K2527" s="421">
        <f t="shared" si="666"/>
        <v>0</v>
      </c>
      <c r="L2527" s="647"/>
      <c r="M2527" s="723"/>
      <c r="N2527" s="576">
        <f t="shared" si="675"/>
        <v>0</v>
      </c>
      <c r="O2527" s="577">
        <f t="shared" si="669"/>
        <v>0</v>
      </c>
      <c r="P2527" s="578">
        <f t="shared" si="670"/>
        <v>0</v>
      </c>
      <c r="Q2527" s="765"/>
      <c r="R2527" s="723"/>
      <c r="S2527" s="723"/>
      <c r="T2527" s="577">
        <f t="shared" si="667"/>
        <v>0</v>
      </c>
      <c r="U2527" s="578">
        <f t="shared" si="668"/>
        <v>0</v>
      </c>
      <c r="V2527" s="579"/>
      <c r="W2527" s="566" t="str">
        <f>IF(U2522&gt;0,"xx",IF(P2522&gt;0,"xy",""))</f>
        <v/>
      </c>
      <c r="X2527" s="586" t="str">
        <f t="shared" si="661"/>
        <v/>
      </c>
      <c r="Y2527" s="586" t="str">
        <f t="shared" si="672"/>
        <v/>
      </c>
      <c r="Z2527" s="586" t="str">
        <f t="shared" si="660"/>
        <v/>
      </c>
    </row>
    <row r="2528" spans="1:26" ht="12" hidden="1" thickBot="1" x14ac:dyDescent="0.25">
      <c r="A2528" s="567" t="s">
        <v>52</v>
      </c>
      <c r="B2528" s="644" t="s">
        <v>52</v>
      </c>
      <c r="C2528" s="645" t="s">
        <v>206</v>
      </c>
      <c r="D2528" s="422" t="s">
        <v>424</v>
      </c>
      <c r="E2528" s="423"/>
      <c r="F2528" s="424"/>
      <c r="G2528" s="425"/>
      <c r="H2528" s="651">
        <f>SUM(H2529:H2533)</f>
        <v>135.48277428</v>
      </c>
      <c r="I2528" s="420">
        <f>VLOOKUP(D2528,'[2]ENSAIOS DE ORÇAMENTO'!$C$3:$L$79,8,FALSE)</f>
        <v>915.5098099999999</v>
      </c>
      <c r="J2528" s="420">
        <f>IF(ISBLANK(I2528),"",SUM(H2528:I2528))</f>
        <v>1050.9925842799998</v>
      </c>
      <c r="K2528" s="421">
        <f t="shared" si="666"/>
        <v>1248.68</v>
      </c>
      <c r="L2528" s="647" t="s">
        <v>21</v>
      </c>
      <c r="M2528" s="576"/>
      <c r="N2528" s="576">
        <f t="shared" si="675"/>
        <v>0</v>
      </c>
      <c r="O2528" s="577">
        <f t="shared" si="669"/>
        <v>0</v>
      </c>
      <c r="P2528" s="578">
        <f t="shared" si="670"/>
        <v>0</v>
      </c>
      <c r="Q2528" s="765"/>
      <c r="R2528" s="576">
        <f>M2528</f>
        <v>0</v>
      </c>
      <c r="S2528" s="576">
        <f>N2528</f>
        <v>0</v>
      </c>
      <c r="T2528" s="577">
        <f t="shared" si="667"/>
        <v>0</v>
      </c>
      <c r="U2528" s="578">
        <f t="shared" si="668"/>
        <v>0</v>
      </c>
      <c r="V2528" s="579"/>
      <c r="W2528" s="566"/>
      <c r="X2528" s="586" t="str">
        <f t="shared" si="661"/>
        <v/>
      </c>
      <c r="Y2528" s="586" t="str">
        <f t="shared" si="672"/>
        <v/>
      </c>
      <c r="Z2528" s="586" t="str">
        <f t="shared" si="660"/>
        <v/>
      </c>
    </row>
    <row r="2529" spans="1:26" ht="12" hidden="1" thickBot="1" x14ac:dyDescent="0.25">
      <c r="A2529" s="567" t="s">
        <v>168</v>
      </c>
      <c r="B2529" s="644" t="s">
        <v>168</v>
      </c>
      <c r="C2529" s="645"/>
      <c r="D2529" s="422" t="s">
        <v>212</v>
      </c>
      <c r="E2529" s="423"/>
      <c r="F2529" s="424">
        <v>500</v>
      </c>
      <c r="G2529" s="425">
        <f>VLOOKUP(D2528,'[2]ENSAIOS DE ORÇAMENTO'!$C$3:$L$79,4,FALSE)</f>
        <v>0.13233</v>
      </c>
      <c r="H2529" s="649">
        <f>IF(F2529&lt;=30,(0.78*F2529+7.82)*G2529,((0.78*30+7.82)+0.78*(F2529-30))*G2529)</f>
        <v>52.643520600000009</v>
      </c>
      <c r="I2529" s="420"/>
      <c r="J2529" s="420"/>
      <c r="K2529" s="421">
        <f t="shared" si="666"/>
        <v>0</v>
      </c>
      <c r="L2529" s="647"/>
      <c r="M2529" s="723"/>
      <c r="N2529" s="576">
        <f t="shared" si="675"/>
        <v>0</v>
      </c>
      <c r="O2529" s="577">
        <f t="shared" si="669"/>
        <v>0</v>
      </c>
      <c r="P2529" s="578">
        <f t="shared" si="670"/>
        <v>0</v>
      </c>
      <c r="Q2529" s="765"/>
      <c r="R2529" s="723"/>
      <c r="S2529" s="723"/>
      <c r="T2529" s="577">
        <f t="shared" si="667"/>
        <v>0</v>
      </c>
      <c r="U2529" s="578">
        <f t="shared" si="668"/>
        <v>0</v>
      </c>
      <c r="V2529" s="579"/>
      <c r="W2529" s="566" t="str">
        <f>IF(U2528&gt;0,"xx",IF(P2528&gt;0,"xy",""))</f>
        <v/>
      </c>
      <c r="X2529" s="586" t="str">
        <f t="shared" si="661"/>
        <v/>
      </c>
      <c r="Y2529" s="586" t="str">
        <f t="shared" si="672"/>
        <v/>
      </c>
      <c r="Z2529" s="586" t="str">
        <f t="shared" si="660"/>
        <v/>
      </c>
    </row>
    <row r="2530" spans="1:26" ht="12" hidden="1" thickBot="1" x14ac:dyDescent="0.25">
      <c r="A2530" s="567" t="s">
        <v>168</v>
      </c>
      <c r="B2530" s="644" t="s">
        <v>168</v>
      </c>
      <c r="C2530" s="645"/>
      <c r="D2530" s="422" t="s">
        <v>248</v>
      </c>
      <c r="E2530" s="423"/>
      <c r="F2530" s="424">
        <v>180</v>
      </c>
      <c r="G2530" s="425">
        <f>VLOOKUP(D2528,'[2]ENSAIOS DE ORÇAMENTO'!$C$3:$L$79,5,FALSE)</f>
        <v>0.36932100000000001</v>
      </c>
      <c r="H2530" s="663">
        <f t="shared" ref="H2530:H2532" si="678">IF(F2530&lt;=30,(1.07*F2530+2.68)*G2530,((1.07*30+2.68)+1.07*(F2530-30))*G2530)</f>
        <v>72.121004880000001</v>
      </c>
      <c r="I2530" s="420"/>
      <c r="J2530" s="420"/>
      <c r="K2530" s="421">
        <f t="shared" si="666"/>
        <v>0</v>
      </c>
      <c r="L2530" s="647"/>
      <c r="M2530" s="723"/>
      <c r="N2530" s="576">
        <f t="shared" si="675"/>
        <v>0</v>
      </c>
      <c r="O2530" s="577">
        <f t="shared" si="669"/>
        <v>0</v>
      </c>
      <c r="P2530" s="578">
        <f t="shared" si="670"/>
        <v>0</v>
      </c>
      <c r="Q2530" s="765"/>
      <c r="R2530" s="723"/>
      <c r="S2530" s="723"/>
      <c r="T2530" s="577">
        <f t="shared" si="667"/>
        <v>0</v>
      </c>
      <c r="U2530" s="578">
        <f t="shared" si="668"/>
        <v>0</v>
      </c>
      <c r="V2530" s="579"/>
      <c r="W2530" s="566" t="str">
        <f>IF(U2528&gt;0,"xx",IF(P2528&gt;0,"xy",""))</f>
        <v/>
      </c>
      <c r="X2530" s="586" t="str">
        <f t="shared" si="661"/>
        <v/>
      </c>
      <c r="Y2530" s="586" t="str">
        <f t="shared" si="672"/>
        <v/>
      </c>
      <c r="Z2530" s="586" t="str">
        <f t="shared" si="660"/>
        <v/>
      </c>
    </row>
    <row r="2531" spans="1:26" ht="12" hidden="1" thickBot="1" x14ac:dyDescent="0.25">
      <c r="A2531" s="567" t="s">
        <v>168</v>
      </c>
      <c r="B2531" s="644" t="s">
        <v>168</v>
      </c>
      <c r="C2531" s="645"/>
      <c r="D2531" s="422" t="s">
        <v>252</v>
      </c>
      <c r="E2531" s="423"/>
      <c r="F2531" s="424">
        <v>20</v>
      </c>
      <c r="G2531" s="425">
        <f>VLOOKUP(D2528,'[2]ENSAIOS DE ORÇAMENTO'!$C$3:$L$79,6,FALSE)</f>
        <v>0.44511000000000006</v>
      </c>
      <c r="H2531" s="663">
        <f t="shared" si="678"/>
        <v>10.718248800000003</v>
      </c>
      <c r="I2531" s="420"/>
      <c r="J2531" s="420"/>
      <c r="K2531" s="421">
        <f t="shared" si="666"/>
        <v>0</v>
      </c>
      <c r="L2531" s="647"/>
      <c r="M2531" s="723"/>
      <c r="N2531" s="576">
        <f t="shared" si="675"/>
        <v>0</v>
      </c>
      <c r="O2531" s="577">
        <f t="shared" si="669"/>
        <v>0</v>
      </c>
      <c r="P2531" s="578">
        <f t="shared" si="670"/>
        <v>0</v>
      </c>
      <c r="Q2531" s="765"/>
      <c r="R2531" s="723"/>
      <c r="S2531" s="723"/>
      <c r="T2531" s="577">
        <f t="shared" si="667"/>
        <v>0</v>
      </c>
      <c r="U2531" s="578">
        <f t="shared" si="668"/>
        <v>0</v>
      </c>
      <c r="V2531" s="579"/>
      <c r="W2531" s="566" t="str">
        <f>IF(U2528&gt;0,"xx",IF(P2528&gt;0,"xy",""))</f>
        <v/>
      </c>
      <c r="X2531" s="586" t="str">
        <f t="shared" si="661"/>
        <v/>
      </c>
      <c r="Y2531" s="586" t="str">
        <f t="shared" si="672"/>
        <v/>
      </c>
      <c r="Z2531" s="586" t="str">
        <f t="shared" si="660"/>
        <v/>
      </c>
    </row>
    <row r="2532" spans="1:26" ht="12" hidden="1" thickBot="1" x14ac:dyDescent="0.25">
      <c r="A2532" s="567" t="s">
        <v>168</v>
      </c>
      <c r="B2532" s="644" t="s">
        <v>168</v>
      </c>
      <c r="C2532" s="645"/>
      <c r="D2532" s="422" t="s">
        <v>400</v>
      </c>
      <c r="E2532" s="423"/>
      <c r="F2532" s="424">
        <v>30</v>
      </c>
      <c r="G2532" s="425">
        <f>VLOOKUP(D2528,'[2]ENSAIOS DE ORÇAMENTO'!$C$3:$L$79,3,FALSE)</f>
        <v>0</v>
      </c>
      <c r="H2532" s="663">
        <f t="shared" si="678"/>
        <v>0</v>
      </c>
      <c r="I2532" s="420"/>
      <c r="J2532" s="420"/>
      <c r="K2532" s="421">
        <f t="shared" si="666"/>
        <v>0</v>
      </c>
      <c r="L2532" s="647"/>
      <c r="M2532" s="723"/>
      <c r="N2532" s="576">
        <f t="shared" si="675"/>
        <v>0</v>
      </c>
      <c r="O2532" s="577">
        <f t="shared" si="669"/>
        <v>0</v>
      </c>
      <c r="P2532" s="578">
        <f t="shared" si="670"/>
        <v>0</v>
      </c>
      <c r="Q2532" s="765"/>
      <c r="R2532" s="723"/>
      <c r="S2532" s="723"/>
      <c r="T2532" s="577">
        <f t="shared" si="667"/>
        <v>0</v>
      </c>
      <c r="U2532" s="578">
        <f t="shared" si="668"/>
        <v>0</v>
      </c>
      <c r="V2532" s="579"/>
      <c r="W2532" s="566" t="str">
        <f>IF(U2528&gt;0,"xx",IF(P2528&gt;0,"xy",""))</f>
        <v/>
      </c>
      <c r="X2532" s="586" t="str">
        <f t="shared" si="661"/>
        <v/>
      </c>
      <c r="Y2532" s="586" t="str">
        <f t="shared" si="672"/>
        <v/>
      </c>
      <c r="Z2532" s="586" t="str">
        <f t="shared" si="660"/>
        <v/>
      </c>
    </row>
    <row r="2533" spans="1:26" ht="12" hidden="1" thickBot="1" x14ac:dyDescent="0.25">
      <c r="A2533" s="567" t="s">
        <v>168</v>
      </c>
      <c r="B2533" s="644" t="s">
        <v>168</v>
      </c>
      <c r="C2533" s="645"/>
      <c r="D2533" s="422" t="s">
        <v>401</v>
      </c>
      <c r="E2533" s="423"/>
      <c r="F2533" s="424">
        <v>500</v>
      </c>
      <c r="G2533" s="425">
        <f>VLOOKUP(D2528,'[2]ENSAIOS DE ORÇAMENTO'!$C$3:$L$79,10,FALSE)</f>
        <v>0</v>
      </c>
      <c r="H2533" s="649">
        <f>IF(F2533&lt;=30,(0.78*F2533+7.82)*G2533,((0.78*30+7.82)+0.78*(F2533-30))*G2533)</f>
        <v>0</v>
      </c>
      <c r="I2533" s="420"/>
      <c r="J2533" s="420"/>
      <c r="K2533" s="421">
        <f t="shared" si="666"/>
        <v>0</v>
      </c>
      <c r="L2533" s="647"/>
      <c r="M2533" s="723"/>
      <c r="N2533" s="576">
        <f t="shared" si="675"/>
        <v>0</v>
      </c>
      <c r="O2533" s="577">
        <f t="shared" si="669"/>
        <v>0</v>
      </c>
      <c r="P2533" s="578">
        <f t="shared" si="670"/>
        <v>0</v>
      </c>
      <c r="Q2533" s="765"/>
      <c r="R2533" s="723"/>
      <c r="S2533" s="723"/>
      <c r="T2533" s="577">
        <f t="shared" si="667"/>
        <v>0</v>
      </c>
      <c r="U2533" s="578">
        <f t="shared" si="668"/>
        <v>0</v>
      </c>
      <c r="V2533" s="579"/>
      <c r="W2533" s="566" t="str">
        <f>IF(U2528&gt;0,"xx",IF(P2528&gt;0,"xy",""))</f>
        <v/>
      </c>
      <c r="X2533" s="586" t="str">
        <f t="shared" si="661"/>
        <v/>
      </c>
      <c r="Y2533" s="586" t="str">
        <f t="shared" si="672"/>
        <v/>
      </c>
      <c r="Z2533" s="586" t="str">
        <f t="shared" si="660"/>
        <v/>
      </c>
    </row>
    <row r="2534" spans="1:26" ht="12" hidden="1" thickBot="1" x14ac:dyDescent="0.25">
      <c r="A2534" s="567" t="s">
        <v>53</v>
      </c>
      <c r="B2534" s="644" t="s">
        <v>53</v>
      </c>
      <c r="C2534" s="645" t="s">
        <v>206</v>
      </c>
      <c r="D2534" s="422" t="s">
        <v>425</v>
      </c>
      <c r="E2534" s="423"/>
      <c r="F2534" s="424"/>
      <c r="G2534" s="425"/>
      <c r="H2534" s="651">
        <f>SUM(H2535:H2539)</f>
        <v>526.38599499999998</v>
      </c>
      <c r="I2534" s="420">
        <f>VLOOKUP(D2534,'[2]ENSAIOS DE ORÇAMENTO'!$C$3:$L$79,8,FALSE)</f>
        <v>911.90959999999995</v>
      </c>
      <c r="J2534" s="420">
        <f>IF(ISBLANK(I2534),"",SUM(H2534:I2534))</f>
        <v>1438.295595</v>
      </c>
      <c r="K2534" s="421">
        <f t="shared" si="666"/>
        <v>1708.84</v>
      </c>
      <c r="L2534" s="647" t="s">
        <v>21</v>
      </c>
      <c r="M2534" s="576"/>
      <c r="N2534" s="576">
        <f t="shared" si="675"/>
        <v>0</v>
      </c>
      <c r="O2534" s="577">
        <f t="shared" si="669"/>
        <v>0</v>
      </c>
      <c r="P2534" s="578">
        <f t="shared" si="670"/>
        <v>0</v>
      </c>
      <c r="Q2534" s="765"/>
      <c r="R2534" s="576">
        <f>M2534</f>
        <v>0</v>
      </c>
      <c r="S2534" s="576">
        <f>N2534</f>
        <v>0</v>
      </c>
      <c r="T2534" s="577">
        <f t="shared" si="667"/>
        <v>0</v>
      </c>
      <c r="U2534" s="578">
        <f t="shared" si="668"/>
        <v>0</v>
      </c>
      <c r="V2534" s="579"/>
      <c r="W2534" s="566"/>
      <c r="X2534" s="586" t="str">
        <f t="shared" si="661"/>
        <v/>
      </c>
      <c r="Y2534" s="586" t="str">
        <f t="shared" si="672"/>
        <v/>
      </c>
      <c r="Z2534" s="586" t="str">
        <f t="shared" si="660"/>
        <v/>
      </c>
    </row>
    <row r="2535" spans="1:26" ht="12" hidden="1" thickBot="1" x14ac:dyDescent="0.25">
      <c r="A2535" s="567" t="s">
        <v>168</v>
      </c>
      <c r="B2535" s="644" t="s">
        <v>168</v>
      </c>
      <c r="C2535" s="645"/>
      <c r="D2535" s="422" t="s">
        <v>212</v>
      </c>
      <c r="E2535" s="423"/>
      <c r="F2535" s="424">
        <v>500</v>
      </c>
      <c r="G2535" s="425">
        <f>VLOOKUP(D2534,'[2]ENSAIOS DE ORÇAMENTO'!$C$3:$L$79,4,FALSE)</f>
        <v>0.38417000000000001</v>
      </c>
      <c r="H2535" s="649">
        <f>IF(F2535&lt;=30,(0.78*F2535+7.82)*G2535,((0.78*30+7.82)+0.78*(F2535-30))*G2535)</f>
        <v>152.83050940000001</v>
      </c>
      <c r="I2535" s="420"/>
      <c r="J2535" s="420"/>
      <c r="K2535" s="421">
        <f t="shared" si="666"/>
        <v>0</v>
      </c>
      <c r="L2535" s="647"/>
      <c r="M2535" s="723"/>
      <c r="N2535" s="576">
        <f t="shared" si="675"/>
        <v>0</v>
      </c>
      <c r="O2535" s="577">
        <f t="shared" si="669"/>
        <v>0</v>
      </c>
      <c r="P2535" s="578">
        <f t="shared" si="670"/>
        <v>0</v>
      </c>
      <c r="Q2535" s="765"/>
      <c r="R2535" s="723"/>
      <c r="S2535" s="723"/>
      <c r="T2535" s="577">
        <f t="shared" si="667"/>
        <v>0</v>
      </c>
      <c r="U2535" s="578">
        <f t="shared" si="668"/>
        <v>0</v>
      </c>
      <c r="V2535" s="579"/>
      <c r="W2535" s="566" t="str">
        <f>IF(U2534&gt;0,"xx",IF(P2534&gt;0,"xy",""))</f>
        <v/>
      </c>
      <c r="X2535" s="586" t="str">
        <f t="shared" si="661"/>
        <v/>
      </c>
      <c r="Y2535" s="586" t="str">
        <f t="shared" si="672"/>
        <v/>
      </c>
      <c r="Z2535" s="586" t="str">
        <f t="shared" si="660"/>
        <v/>
      </c>
    </row>
    <row r="2536" spans="1:26" ht="12" hidden="1" thickBot="1" x14ac:dyDescent="0.25">
      <c r="A2536" s="567" t="s">
        <v>168</v>
      </c>
      <c r="B2536" s="644" t="s">
        <v>168</v>
      </c>
      <c r="C2536" s="645"/>
      <c r="D2536" s="422" t="s">
        <v>248</v>
      </c>
      <c r="E2536" s="423"/>
      <c r="F2536" s="424">
        <v>180</v>
      </c>
      <c r="G2536" s="425">
        <f>VLOOKUP(D2534,'[2]ENSAIOS DE ORÇAMENTO'!$C$3:$L$79,5,FALSE)</f>
        <v>1.55436</v>
      </c>
      <c r="H2536" s="663">
        <f t="shared" ref="H2536:H2538" si="679">IF(F2536&lt;=30,(1.07*F2536+2.68)*G2536,((1.07*30+2.68)+1.07*(F2536-30))*G2536)</f>
        <v>303.5354208</v>
      </c>
      <c r="I2536" s="420"/>
      <c r="J2536" s="420"/>
      <c r="K2536" s="421">
        <f t="shared" si="666"/>
        <v>0</v>
      </c>
      <c r="L2536" s="647"/>
      <c r="M2536" s="723"/>
      <c r="N2536" s="576">
        <f t="shared" si="675"/>
        <v>0</v>
      </c>
      <c r="O2536" s="577">
        <f t="shared" si="669"/>
        <v>0</v>
      </c>
      <c r="P2536" s="578">
        <f t="shared" si="670"/>
        <v>0</v>
      </c>
      <c r="Q2536" s="765"/>
      <c r="R2536" s="723"/>
      <c r="S2536" s="723"/>
      <c r="T2536" s="577">
        <f t="shared" si="667"/>
        <v>0</v>
      </c>
      <c r="U2536" s="578">
        <f t="shared" si="668"/>
        <v>0</v>
      </c>
      <c r="V2536" s="579"/>
      <c r="W2536" s="566" t="str">
        <f>IF(U2534&gt;0,"xx",IF(P2534&gt;0,"xy",""))</f>
        <v/>
      </c>
      <c r="X2536" s="586" t="str">
        <f t="shared" si="661"/>
        <v/>
      </c>
      <c r="Y2536" s="586" t="str">
        <f t="shared" si="672"/>
        <v/>
      </c>
      <c r="Z2536" s="586" t="str">
        <f t="shared" ref="Z2536:Z2599" si="680">IF(W2536="X","x",IF(U2536&gt;0,"x",""))</f>
        <v/>
      </c>
    </row>
    <row r="2537" spans="1:26" ht="12" hidden="1" thickBot="1" x14ac:dyDescent="0.25">
      <c r="A2537" s="567" t="s">
        <v>168</v>
      </c>
      <c r="B2537" s="644" t="s">
        <v>168</v>
      </c>
      <c r="C2537" s="645"/>
      <c r="D2537" s="422" t="s">
        <v>252</v>
      </c>
      <c r="E2537" s="423"/>
      <c r="F2537" s="424">
        <v>20</v>
      </c>
      <c r="G2537" s="425">
        <f>VLOOKUP(D2534,'[2]ENSAIOS DE ORÇAMENTO'!$C$3:$L$79,6,FALSE)</f>
        <v>2.9078100000000004</v>
      </c>
      <c r="H2537" s="663">
        <f t="shared" si="679"/>
        <v>70.020064800000014</v>
      </c>
      <c r="I2537" s="420"/>
      <c r="J2537" s="420"/>
      <c r="K2537" s="421">
        <f t="shared" si="666"/>
        <v>0</v>
      </c>
      <c r="L2537" s="647"/>
      <c r="M2537" s="723"/>
      <c r="N2537" s="576">
        <f t="shared" si="675"/>
        <v>0</v>
      </c>
      <c r="O2537" s="577">
        <f t="shared" si="669"/>
        <v>0</v>
      </c>
      <c r="P2537" s="578">
        <f t="shared" si="670"/>
        <v>0</v>
      </c>
      <c r="Q2537" s="765"/>
      <c r="R2537" s="723"/>
      <c r="S2537" s="723"/>
      <c r="T2537" s="577">
        <f t="shared" si="667"/>
        <v>0</v>
      </c>
      <c r="U2537" s="578">
        <f t="shared" si="668"/>
        <v>0</v>
      </c>
      <c r="V2537" s="579"/>
      <c r="W2537" s="566" t="str">
        <f>IF(U2534&gt;0,"xx",IF(P2534&gt;0,"xy",""))</f>
        <v/>
      </c>
      <c r="X2537" s="586" t="str">
        <f t="shared" si="661"/>
        <v/>
      </c>
      <c r="Y2537" s="586" t="str">
        <f t="shared" si="672"/>
        <v/>
      </c>
      <c r="Z2537" s="586" t="str">
        <f t="shared" si="680"/>
        <v/>
      </c>
    </row>
    <row r="2538" spans="1:26" ht="12" hidden="1" thickBot="1" x14ac:dyDescent="0.25">
      <c r="A2538" s="567" t="s">
        <v>168</v>
      </c>
      <c r="B2538" s="644" t="s">
        <v>168</v>
      </c>
      <c r="C2538" s="645"/>
      <c r="D2538" s="422" t="s">
        <v>400</v>
      </c>
      <c r="E2538" s="423"/>
      <c r="F2538" s="424">
        <v>30</v>
      </c>
      <c r="G2538" s="425">
        <f>VLOOKUP(D2534,'[2]ENSAIOS DE ORÇAMENTO'!$C$3:$L$79,3,FALSE)</f>
        <v>0</v>
      </c>
      <c r="H2538" s="663">
        <f t="shared" si="679"/>
        <v>0</v>
      </c>
      <c r="I2538" s="420"/>
      <c r="J2538" s="420"/>
      <c r="K2538" s="421">
        <f t="shared" si="666"/>
        <v>0</v>
      </c>
      <c r="L2538" s="647"/>
      <c r="M2538" s="723"/>
      <c r="N2538" s="576">
        <f t="shared" si="675"/>
        <v>0</v>
      </c>
      <c r="O2538" s="577">
        <f t="shared" si="669"/>
        <v>0</v>
      </c>
      <c r="P2538" s="578">
        <f t="shared" si="670"/>
        <v>0</v>
      </c>
      <c r="Q2538" s="765"/>
      <c r="R2538" s="723"/>
      <c r="S2538" s="723"/>
      <c r="T2538" s="577">
        <f t="shared" si="667"/>
        <v>0</v>
      </c>
      <c r="U2538" s="578">
        <f t="shared" si="668"/>
        <v>0</v>
      </c>
      <c r="V2538" s="579"/>
      <c r="W2538" s="566" t="str">
        <f>IF(U2534&gt;0,"xx",IF(P2534&gt;0,"xy",""))</f>
        <v/>
      </c>
      <c r="X2538" s="586" t="str">
        <f t="shared" si="661"/>
        <v/>
      </c>
      <c r="Y2538" s="586" t="str">
        <f t="shared" si="672"/>
        <v/>
      </c>
      <c r="Z2538" s="586" t="str">
        <f t="shared" si="680"/>
        <v/>
      </c>
    </row>
    <row r="2539" spans="1:26" ht="12" hidden="1" thickBot="1" x14ac:dyDescent="0.25">
      <c r="A2539" s="567" t="s">
        <v>168</v>
      </c>
      <c r="B2539" s="644" t="s">
        <v>168</v>
      </c>
      <c r="C2539" s="645"/>
      <c r="D2539" s="422" t="s">
        <v>401</v>
      </c>
      <c r="E2539" s="423"/>
      <c r="F2539" s="424">
        <v>500</v>
      </c>
      <c r="G2539" s="425">
        <f>VLOOKUP(D2534,'[2]ENSAIOS DE ORÇAMENTO'!$C$3:$L$79,10,FALSE)</f>
        <v>0</v>
      </c>
      <c r="H2539" s="649">
        <f>IF(F2539&lt;=30,(0.78*F2539+7.82)*G2539,((0.78*30+7.82)+0.78*(F2539-30))*G2539)</f>
        <v>0</v>
      </c>
      <c r="I2539" s="420"/>
      <c r="J2539" s="420"/>
      <c r="K2539" s="421">
        <f t="shared" si="666"/>
        <v>0</v>
      </c>
      <c r="L2539" s="647"/>
      <c r="M2539" s="723"/>
      <c r="N2539" s="576">
        <f t="shared" si="675"/>
        <v>0</v>
      </c>
      <c r="O2539" s="577">
        <f t="shared" si="669"/>
        <v>0</v>
      </c>
      <c r="P2539" s="578">
        <f t="shared" si="670"/>
        <v>0</v>
      </c>
      <c r="Q2539" s="765"/>
      <c r="R2539" s="723"/>
      <c r="S2539" s="723"/>
      <c r="T2539" s="577">
        <f t="shared" si="667"/>
        <v>0</v>
      </c>
      <c r="U2539" s="578">
        <f t="shared" si="668"/>
        <v>0</v>
      </c>
      <c r="V2539" s="579"/>
      <c r="W2539" s="566" t="str">
        <f>IF(U2534&gt;0,"xx",IF(P2534&gt;0,"xy",""))</f>
        <v/>
      </c>
      <c r="X2539" s="586" t="str">
        <f t="shared" ref="X2539:X2602" si="681">IF(W2539="X","x",IF(W2539="xx","x",IF(W2539="xy","x",IF(W2539="y","x",IF(OR(P2539&gt;0,U2539&gt;0),"x","")))))</f>
        <v/>
      </c>
      <c r="Y2539" s="586" t="str">
        <f t="shared" si="672"/>
        <v/>
      </c>
      <c r="Z2539" s="586" t="str">
        <f t="shared" si="680"/>
        <v/>
      </c>
    </row>
    <row r="2540" spans="1:26" ht="12" hidden="1" thickBot="1" x14ac:dyDescent="0.25">
      <c r="A2540" s="567" t="s">
        <v>53</v>
      </c>
      <c r="B2540" s="644" t="s">
        <v>53</v>
      </c>
      <c r="C2540" s="645" t="s">
        <v>206</v>
      </c>
      <c r="D2540" s="422" t="s">
        <v>426</v>
      </c>
      <c r="E2540" s="423"/>
      <c r="F2540" s="424"/>
      <c r="G2540" s="425"/>
      <c r="H2540" s="651">
        <f>SUM(H2541:H2545)</f>
        <v>649.61370900000009</v>
      </c>
      <c r="I2540" s="420">
        <f>VLOOKUP(D2540,'[2]ENSAIOS DE ORÇAMENTO'!$C$3:$L$79,8,FALSE)</f>
        <v>1106.2313666666669</v>
      </c>
      <c r="J2540" s="420">
        <f>IF(ISBLANK(I2540),"",SUM(H2540:I2540))</f>
        <v>1755.8450756666671</v>
      </c>
      <c r="K2540" s="421">
        <f t="shared" si="666"/>
        <v>2086.12</v>
      </c>
      <c r="L2540" s="647" t="s">
        <v>21</v>
      </c>
      <c r="M2540" s="576"/>
      <c r="N2540" s="576">
        <f t="shared" si="675"/>
        <v>0</v>
      </c>
      <c r="O2540" s="577">
        <f t="shared" si="669"/>
        <v>0</v>
      </c>
      <c r="P2540" s="578">
        <f t="shared" si="670"/>
        <v>0</v>
      </c>
      <c r="Q2540" s="765"/>
      <c r="R2540" s="576">
        <f>M2540</f>
        <v>0</v>
      </c>
      <c r="S2540" s="576">
        <f>N2540</f>
        <v>0</v>
      </c>
      <c r="T2540" s="577">
        <f t="shared" si="667"/>
        <v>0</v>
      </c>
      <c r="U2540" s="578">
        <f t="shared" si="668"/>
        <v>0</v>
      </c>
      <c r="V2540" s="579"/>
      <c r="W2540" s="566"/>
      <c r="X2540" s="586" t="str">
        <f t="shared" si="681"/>
        <v/>
      </c>
      <c r="Y2540" s="586" t="str">
        <f t="shared" si="672"/>
        <v/>
      </c>
      <c r="Z2540" s="586" t="str">
        <f t="shared" si="680"/>
        <v/>
      </c>
    </row>
    <row r="2541" spans="1:26" ht="12" hidden="1" thickBot="1" x14ac:dyDescent="0.25">
      <c r="A2541" s="567" t="s">
        <v>168</v>
      </c>
      <c r="B2541" s="644" t="s">
        <v>168</v>
      </c>
      <c r="C2541" s="645"/>
      <c r="D2541" s="422" t="s">
        <v>212</v>
      </c>
      <c r="E2541" s="423"/>
      <c r="F2541" s="424">
        <v>500</v>
      </c>
      <c r="G2541" s="425">
        <f>VLOOKUP(D2540,'[2]ENSAIOS DE ORÇAMENTO'!$C$3:$L$79,4,FALSE)</f>
        <v>0.47295000000000004</v>
      </c>
      <c r="H2541" s="649">
        <f>IF(F2541&lt;=30,(0.78*F2541+7.82)*G2541,((0.78*30+7.82)+0.78*(F2541-30))*G2541)</f>
        <v>188.14896900000005</v>
      </c>
      <c r="I2541" s="420"/>
      <c r="J2541" s="420"/>
      <c r="K2541" s="421">
        <f t="shared" si="666"/>
        <v>0</v>
      </c>
      <c r="L2541" s="647"/>
      <c r="M2541" s="723"/>
      <c r="N2541" s="576">
        <f t="shared" si="675"/>
        <v>0</v>
      </c>
      <c r="O2541" s="577">
        <f t="shared" si="669"/>
        <v>0</v>
      </c>
      <c r="P2541" s="578">
        <f t="shared" si="670"/>
        <v>0</v>
      </c>
      <c r="Q2541" s="765"/>
      <c r="R2541" s="723"/>
      <c r="S2541" s="723"/>
      <c r="T2541" s="577">
        <f t="shared" si="667"/>
        <v>0</v>
      </c>
      <c r="U2541" s="578">
        <f t="shared" si="668"/>
        <v>0</v>
      </c>
      <c r="V2541" s="579"/>
      <c r="W2541" s="566" t="str">
        <f>IF(U2540&gt;0,"xx",IF(P2540&gt;0,"xy",""))</f>
        <v/>
      </c>
      <c r="X2541" s="586" t="str">
        <f t="shared" si="681"/>
        <v/>
      </c>
      <c r="Y2541" s="586" t="str">
        <f t="shared" si="672"/>
        <v/>
      </c>
      <c r="Z2541" s="586" t="str">
        <f t="shared" si="680"/>
        <v/>
      </c>
    </row>
    <row r="2542" spans="1:26" ht="12" hidden="1" thickBot="1" x14ac:dyDescent="0.25">
      <c r="A2542" s="567" t="s">
        <v>168</v>
      </c>
      <c r="B2542" s="644" t="s">
        <v>168</v>
      </c>
      <c r="C2542" s="645"/>
      <c r="D2542" s="422" t="s">
        <v>248</v>
      </c>
      <c r="E2542" s="423"/>
      <c r="F2542" s="424">
        <v>180</v>
      </c>
      <c r="G2542" s="425">
        <f>VLOOKUP(D2540,'[2]ENSAIOS DE ORÇAMENTO'!$C$3:$L$79,5,FALSE)</f>
        <v>1.9178999999999999</v>
      </c>
      <c r="H2542" s="663">
        <f t="shared" ref="H2542:H2544" si="682">IF(F2542&lt;=30,(1.07*F2542+2.68)*G2542,((1.07*30+2.68)+1.07*(F2542-30))*G2542)</f>
        <v>374.527512</v>
      </c>
      <c r="I2542" s="420"/>
      <c r="J2542" s="420"/>
      <c r="K2542" s="421">
        <f t="shared" si="666"/>
        <v>0</v>
      </c>
      <c r="L2542" s="647"/>
      <c r="M2542" s="723"/>
      <c r="N2542" s="576">
        <f t="shared" si="675"/>
        <v>0</v>
      </c>
      <c r="O2542" s="577">
        <f t="shared" si="669"/>
        <v>0</v>
      </c>
      <c r="P2542" s="578">
        <f t="shared" si="670"/>
        <v>0</v>
      </c>
      <c r="Q2542" s="765"/>
      <c r="R2542" s="723"/>
      <c r="S2542" s="723"/>
      <c r="T2542" s="577">
        <f t="shared" si="667"/>
        <v>0</v>
      </c>
      <c r="U2542" s="578">
        <f t="shared" si="668"/>
        <v>0</v>
      </c>
      <c r="V2542" s="579"/>
      <c r="W2542" s="566" t="str">
        <f>IF(U2540&gt;0,"xx",IF(P2540&gt;0,"xy",""))</f>
        <v/>
      </c>
      <c r="X2542" s="586" t="str">
        <f t="shared" si="681"/>
        <v/>
      </c>
      <c r="Y2542" s="586" t="str">
        <f t="shared" si="672"/>
        <v/>
      </c>
      <c r="Z2542" s="586" t="str">
        <f t="shared" si="680"/>
        <v/>
      </c>
    </row>
    <row r="2543" spans="1:26" ht="12" hidden="1" thickBot="1" x14ac:dyDescent="0.25">
      <c r="A2543" s="567" t="s">
        <v>168</v>
      </c>
      <c r="B2543" s="644" t="s">
        <v>168</v>
      </c>
      <c r="C2543" s="645"/>
      <c r="D2543" s="422" t="s">
        <v>252</v>
      </c>
      <c r="E2543" s="423"/>
      <c r="F2543" s="424">
        <v>20</v>
      </c>
      <c r="G2543" s="425">
        <f>VLOOKUP(D2540,'[2]ENSAIOS DE ORÇAMENTO'!$C$3:$L$79,6,FALSE)</f>
        <v>3.6103500000000004</v>
      </c>
      <c r="H2543" s="663">
        <f t="shared" si="682"/>
        <v>86.937228000000019</v>
      </c>
      <c r="I2543" s="420"/>
      <c r="J2543" s="420"/>
      <c r="K2543" s="421">
        <f t="shared" si="666"/>
        <v>0</v>
      </c>
      <c r="L2543" s="647"/>
      <c r="M2543" s="723"/>
      <c r="N2543" s="576">
        <f t="shared" si="675"/>
        <v>0</v>
      </c>
      <c r="O2543" s="577">
        <f t="shared" si="669"/>
        <v>0</v>
      </c>
      <c r="P2543" s="578">
        <f t="shared" si="670"/>
        <v>0</v>
      </c>
      <c r="Q2543" s="765"/>
      <c r="R2543" s="723"/>
      <c r="S2543" s="723"/>
      <c r="T2543" s="577">
        <f t="shared" si="667"/>
        <v>0</v>
      </c>
      <c r="U2543" s="578">
        <f t="shared" si="668"/>
        <v>0</v>
      </c>
      <c r="V2543" s="579"/>
      <c r="W2543" s="566" t="str">
        <f>IF(U2540&gt;0,"xx",IF(P2540&gt;0,"xy",""))</f>
        <v/>
      </c>
      <c r="X2543" s="586" t="str">
        <f t="shared" si="681"/>
        <v/>
      </c>
      <c r="Y2543" s="586" t="str">
        <f t="shared" si="672"/>
        <v/>
      </c>
      <c r="Z2543" s="586" t="str">
        <f t="shared" si="680"/>
        <v/>
      </c>
    </row>
    <row r="2544" spans="1:26" ht="12" hidden="1" thickBot="1" x14ac:dyDescent="0.25">
      <c r="A2544" s="567" t="s">
        <v>168</v>
      </c>
      <c r="B2544" s="644" t="s">
        <v>168</v>
      </c>
      <c r="C2544" s="645"/>
      <c r="D2544" s="422" t="s">
        <v>400</v>
      </c>
      <c r="E2544" s="423"/>
      <c r="F2544" s="424">
        <v>30</v>
      </c>
      <c r="G2544" s="425">
        <f>VLOOKUP(D2540,'[2]ENSAIOS DE ORÇAMENTO'!$C$3:$L$79,3,FALSE)</f>
        <v>0</v>
      </c>
      <c r="H2544" s="663">
        <f t="shared" si="682"/>
        <v>0</v>
      </c>
      <c r="I2544" s="420"/>
      <c r="J2544" s="420"/>
      <c r="K2544" s="421">
        <f t="shared" si="666"/>
        <v>0</v>
      </c>
      <c r="L2544" s="647"/>
      <c r="M2544" s="723"/>
      <c r="N2544" s="576">
        <f t="shared" si="675"/>
        <v>0</v>
      </c>
      <c r="O2544" s="577">
        <f t="shared" si="669"/>
        <v>0</v>
      </c>
      <c r="P2544" s="578">
        <f t="shared" si="670"/>
        <v>0</v>
      </c>
      <c r="Q2544" s="765"/>
      <c r="R2544" s="723"/>
      <c r="S2544" s="723"/>
      <c r="T2544" s="577">
        <f t="shared" si="667"/>
        <v>0</v>
      </c>
      <c r="U2544" s="578">
        <f t="shared" si="668"/>
        <v>0</v>
      </c>
      <c r="V2544" s="579"/>
      <c r="W2544" s="566" t="str">
        <f>IF(U2540&gt;0,"xx",IF(P2540&gt;0,"xy",""))</f>
        <v/>
      </c>
      <c r="X2544" s="586" t="str">
        <f t="shared" si="681"/>
        <v/>
      </c>
      <c r="Y2544" s="586" t="str">
        <f t="shared" si="672"/>
        <v/>
      </c>
      <c r="Z2544" s="586" t="str">
        <f t="shared" si="680"/>
        <v/>
      </c>
    </row>
    <row r="2545" spans="1:26" ht="12" hidden="1" thickBot="1" x14ac:dyDescent="0.25">
      <c r="A2545" s="567" t="s">
        <v>168</v>
      </c>
      <c r="B2545" s="644" t="s">
        <v>168</v>
      </c>
      <c r="C2545" s="645"/>
      <c r="D2545" s="422" t="s">
        <v>401</v>
      </c>
      <c r="E2545" s="423"/>
      <c r="F2545" s="424">
        <v>500</v>
      </c>
      <c r="G2545" s="425">
        <f>VLOOKUP(D2540,'[2]ENSAIOS DE ORÇAMENTO'!$C$3:$L$79,10,FALSE)</f>
        <v>0</v>
      </c>
      <c r="H2545" s="649">
        <f>IF(F2545&lt;=30,(0.78*F2545+7.82)*G2545,((0.78*30+7.82)+0.78*(F2545-30))*G2545)</f>
        <v>0</v>
      </c>
      <c r="I2545" s="420"/>
      <c r="J2545" s="420"/>
      <c r="K2545" s="421">
        <f t="shared" si="666"/>
        <v>0</v>
      </c>
      <c r="L2545" s="647"/>
      <c r="M2545" s="723"/>
      <c r="N2545" s="576">
        <f t="shared" si="675"/>
        <v>0</v>
      </c>
      <c r="O2545" s="577">
        <f t="shared" si="669"/>
        <v>0</v>
      </c>
      <c r="P2545" s="578">
        <f t="shared" si="670"/>
        <v>0</v>
      </c>
      <c r="Q2545" s="765"/>
      <c r="R2545" s="723"/>
      <c r="S2545" s="723"/>
      <c r="T2545" s="577">
        <f t="shared" si="667"/>
        <v>0</v>
      </c>
      <c r="U2545" s="578">
        <f t="shared" si="668"/>
        <v>0</v>
      </c>
      <c r="V2545" s="579"/>
      <c r="W2545" s="566" t="str">
        <f>IF(U2540&gt;0,"xx",IF(P2540&gt;0,"xy",""))</f>
        <v/>
      </c>
      <c r="X2545" s="586" t="str">
        <f t="shared" si="681"/>
        <v/>
      </c>
      <c r="Y2545" s="586" t="str">
        <f t="shared" si="672"/>
        <v/>
      </c>
      <c r="Z2545" s="586" t="str">
        <f t="shared" si="680"/>
        <v/>
      </c>
    </row>
    <row r="2546" spans="1:26" ht="12" hidden="1" thickBot="1" x14ac:dyDescent="0.25">
      <c r="A2546" s="567" t="s">
        <v>53</v>
      </c>
      <c r="B2546" s="644" t="s">
        <v>53</v>
      </c>
      <c r="C2546" s="645" t="s">
        <v>206</v>
      </c>
      <c r="D2546" s="422" t="s">
        <v>427</v>
      </c>
      <c r="E2546" s="423"/>
      <c r="F2546" s="424"/>
      <c r="G2546" s="425"/>
      <c r="H2546" s="651">
        <f>SUM(H2547:H2551)</f>
        <v>1038.335276</v>
      </c>
      <c r="I2546" s="420">
        <f>VLOOKUP(D2546,'[2]ENSAIOS DE ORÇAMENTO'!$C$3:$L$79,8,FALSE)</f>
        <v>1730.68758</v>
      </c>
      <c r="J2546" s="420">
        <f>IF(ISBLANK(I2546),"",SUM(H2546:I2546))</f>
        <v>2769.022856</v>
      </c>
      <c r="K2546" s="421">
        <f t="shared" si="666"/>
        <v>3289.88</v>
      </c>
      <c r="L2546" s="647" t="s">
        <v>21</v>
      </c>
      <c r="M2546" s="576"/>
      <c r="N2546" s="576">
        <f t="shared" si="675"/>
        <v>0</v>
      </c>
      <c r="O2546" s="577">
        <f t="shared" si="669"/>
        <v>0</v>
      </c>
      <c r="P2546" s="578">
        <f t="shared" si="670"/>
        <v>0</v>
      </c>
      <c r="Q2546" s="765"/>
      <c r="R2546" s="576">
        <f>M2546</f>
        <v>0</v>
      </c>
      <c r="S2546" s="576">
        <f>N2546</f>
        <v>0</v>
      </c>
      <c r="T2546" s="577">
        <f t="shared" si="667"/>
        <v>0</v>
      </c>
      <c r="U2546" s="578">
        <f t="shared" si="668"/>
        <v>0</v>
      </c>
      <c r="V2546" s="579"/>
      <c r="W2546" s="566"/>
      <c r="X2546" s="586" t="str">
        <f t="shared" si="681"/>
        <v/>
      </c>
      <c r="Y2546" s="586" t="str">
        <f t="shared" si="672"/>
        <v/>
      </c>
      <c r="Z2546" s="586" t="str">
        <f t="shared" si="680"/>
        <v/>
      </c>
    </row>
    <row r="2547" spans="1:26" ht="12" hidden="1" thickBot="1" x14ac:dyDescent="0.25">
      <c r="A2547" s="567" t="s">
        <v>168</v>
      </c>
      <c r="B2547" s="644" t="s">
        <v>168</v>
      </c>
      <c r="C2547" s="645"/>
      <c r="D2547" s="422" t="s">
        <v>212</v>
      </c>
      <c r="E2547" s="423"/>
      <c r="F2547" s="424">
        <v>500</v>
      </c>
      <c r="G2547" s="425">
        <f>VLOOKUP(D2546,'[2]ENSAIOS DE ORÇAMENTO'!$C$3:$L$79,4,FALSE)</f>
        <v>0.75196000000000007</v>
      </c>
      <c r="H2547" s="649">
        <f>IF(F2547&lt;=30,(0.78*F2547+7.82)*G2547,((0.78*30+7.82)+0.78*(F2547-30))*G2547)</f>
        <v>299.14472720000009</v>
      </c>
      <c r="I2547" s="420"/>
      <c r="J2547" s="420"/>
      <c r="K2547" s="421">
        <f t="shared" si="666"/>
        <v>0</v>
      </c>
      <c r="L2547" s="647"/>
      <c r="M2547" s="723"/>
      <c r="N2547" s="576">
        <f t="shared" si="675"/>
        <v>0</v>
      </c>
      <c r="O2547" s="577">
        <f t="shared" si="669"/>
        <v>0</v>
      </c>
      <c r="P2547" s="578">
        <f t="shared" si="670"/>
        <v>0</v>
      </c>
      <c r="Q2547" s="765"/>
      <c r="R2547" s="723"/>
      <c r="S2547" s="723"/>
      <c r="T2547" s="577">
        <f t="shared" si="667"/>
        <v>0</v>
      </c>
      <c r="U2547" s="578">
        <f t="shared" si="668"/>
        <v>0</v>
      </c>
      <c r="V2547" s="579"/>
      <c r="W2547" s="566" t="str">
        <f>IF(U2546&gt;0,"xx",IF(P2546&gt;0,"xy",""))</f>
        <v/>
      </c>
      <c r="X2547" s="586" t="str">
        <f t="shared" si="681"/>
        <v/>
      </c>
      <c r="Y2547" s="586" t="str">
        <f t="shared" si="672"/>
        <v/>
      </c>
      <c r="Z2547" s="586" t="str">
        <f t="shared" si="680"/>
        <v/>
      </c>
    </row>
    <row r="2548" spans="1:26" ht="12" hidden="1" thickBot="1" x14ac:dyDescent="0.25">
      <c r="A2548" s="567" t="s">
        <v>168</v>
      </c>
      <c r="B2548" s="644" t="s">
        <v>168</v>
      </c>
      <c r="C2548" s="645"/>
      <c r="D2548" s="422" t="s">
        <v>248</v>
      </c>
      <c r="E2548" s="423"/>
      <c r="F2548" s="424">
        <v>180</v>
      </c>
      <c r="G2548" s="425">
        <f>VLOOKUP(D2546,'[2]ENSAIOS DE ORÇAMENTO'!$C$3:$L$79,5,FALSE)</f>
        <v>3.0643799999999999</v>
      </c>
      <c r="H2548" s="663">
        <f t="shared" ref="H2548:H2550" si="683">IF(F2548&lt;=30,(1.07*F2548+2.68)*G2548,((1.07*30+2.68)+1.07*(F2548-30))*G2548)</f>
        <v>598.41212640000003</v>
      </c>
      <c r="I2548" s="420"/>
      <c r="J2548" s="420"/>
      <c r="K2548" s="421">
        <f t="shared" si="666"/>
        <v>0</v>
      </c>
      <c r="L2548" s="647"/>
      <c r="M2548" s="723"/>
      <c r="N2548" s="576">
        <f t="shared" si="675"/>
        <v>0</v>
      </c>
      <c r="O2548" s="577">
        <f t="shared" si="669"/>
        <v>0</v>
      </c>
      <c r="P2548" s="578">
        <f t="shared" si="670"/>
        <v>0</v>
      </c>
      <c r="Q2548" s="765"/>
      <c r="R2548" s="723"/>
      <c r="S2548" s="723"/>
      <c r="T2548" s="577">
        <f t="shared" si="667"/>
        <v>0</v>
      </c>
      <c r="U2548" s="578">
        <f t="shared" si="668"/>
        <v>0</v>
      </c>
      <c r="V2548" s="579"/>
      <c r="W2548" s="566" t="str">
        <f>IF(U2546&gt;0,"xx",IF(P2546&gt;0,"xy",""))</f>
        <v/>
      </c>
      <c r="X2548" s="586" t="str">
        <f t="shared" si="681"/>
        <v/>
      </c>
      <c r="Y2548" s="586" t="str">
        <f t="shared" si="672"/>
        <v/>
      </c>
      <c r="Z2548" s="586" t="str">
        <f t="shared" si="680"/>
        <v/>
      </c>
    </row>
    <row r="2549" spans="1:26" ht="12" hidden="1" thickBot="1" x14ac:dyDescent="0.25">
      <c r="A2549" s="567" t="s">
        <v>168</v>
      </c>
      <c r="B2549" s="644" t="s">
        <v>168</v>
      </c>
      <c r="C2549" s="645"/>
      <c r="D2549" s="422" t="s">
        <v>252</v>
      </c>
      <c r="E2549" s="423"/>
      <c r="F2549" s="424">
        <v>20</v>
      </c>
      <c r="G2549" s="425">
        <f>VLOOKUP(D2546,'[2]ENSAIOS DE ORÇAMENTO'!$C$3:$L$79,6,FALSE)</f>
        <v>5.8462800000000001</v>
      </c>
      <c r="H2549" s="663">
        <f t="shared" si="683"/>
        <v>140.77842240000001</v>
      </c>
      <c r="I2549" s="420"/>
      <c r="J2549" s="420"/>
      <c r="K2549" s="421">
        <f t="shared" si="666"/>
        <v>0</v>
      </c>
      <c r="L2549" s="647"/>
      <c r="M2549" s="723"/>
      <c r="N2549" s="576">
        <f t="shared" si="675"/>
        <v>0</v>
      </c>
      <c r="O2549" s="577">
        <f t="shared" si="669"/>
        <v>0</v>
      </c>
      <c r="P2549" s="578">
        <f t="shared" si="670"/>
        <v>0</v>
      </c>
      <c r="Q2549" s="765"/>
      <c r="R2549" s="723"/>
      <c r="S2549" s="723"/>
      <c r="T2549" s="577">
        <f t="shared" si="667"/>
        <v>0</v>
      </c>
      <c r="U2549" s="578">
        <f t="shared" si="668"/>
        <v>0</v>
      </c>
      <c r="V2549" s="579"/>
      <c r="W2549" s="566" t="str">
        <f>IF(U2546&gt;0,"xx",IF(P2546&gt;0,"xy",""))</f>
        <v/>
      </c>
      <c r="X2549" s="586" t="str">
        <f t="shared" si="681"/>
        <v/>
      </c>
      <c r="Y2549" s="586" t="str">
        <f t="shared" si="672"/>
        <v/>
      </c>
      <c r="Z2549" s="586" t="str">
        <f t="shared" si="680"/>
        <v/>
      </c>
    </row>
    <row r="2550" spans="1:26" ht="12" hidden="1" thickBot="1" x14ac:dyDescent="0.25">
      <c r="A2550" s="567" t="s">
        <v>168</v>
      </c>
      <c r="B2550" s="644" t="s">
        <v>168</v>
      </c>
      <c r="C2550" s="645"/>
      <c r="D2550" s="422" t="s">
        <v>400</v>
      </c>
      <c r="E2550" s="423"/>
      <c r="F2550" s="424">
        <v>30</v>
      </c>
      <c r="G2550" s="425">
        <f>VLOOKUP(D2546,'[2]ENSAIOS DE ORÇAMENTO'!$C$3:$L$79,3,FALSE)</f>
        <v>0</v>
      </c>
      <c r="H2550" s="663">
        <f t="shared" si="683"/>
        <v>0</v>
      </c>
      <c r="I2550" s="420"/>
      <c r="J2550" s="420"/>
      <c r="K2550" s="421">
        <f t="shared" si="666"/>
        <v>0</v>
      </c>
      <c r="L2550" s="647"/>
      <c r="M2550" s="723"/>
      <c r="N2550" s="576">
        <f t="shared" si="675"/>
        <v>0</v>
      </c>
      <c r="O2550" s="577">
        <f t="shared" si="669"/>
        <v>0</v>
      </c>
      <c r="P2550" s="578">
        <f t="shared" si="670"/>
        <v>0</v>
      </c>
      <c r="Q2550" s="765"/>
      <c r="R2550" s="723"/>
      <c r="S2550" s="723"/>
      <c r="T2550" s="577">
        <f t="shared" si="667"/>
        <v>0</v>
      </c>
      <c r="U2550" s="578">
        <f t="shared" si="668"/>
        <v>0</v>
      </c>
      <c r="V2550" s="579"/>
      <c r="W2550" s="566" t="str">
        <f>IF(U2546&gt;0,"xx",IF(P2546&gt;0,"xy",""))</f>
        <v/>
      </c>
      <c r="X2550" s="586" t="str">
        <f t="shared" si="681"/>
        <v/>
      </c>
      <c r="Y2550" s="586" t="str">
        <f t="shared" si="672"/>
        <v/>
      </c>
      <c r="Z2550" s="586" t="str">
        <f t="shared" si="680"/>
        <v/>
      </c>
    </row>
    <row r="2551" spans="1:26" ht="12" hidden="1" thickBot="1" x14ac:dyDescent="0.25">
      <c r="A2551" s="567" t="s">
        <v>168</v>
      </c>
      <c r="B2551" s="644" t="s">
        <v>168</v>
      </c>
      <c r="C2551" s="645"/>
      <c r="D2551" s="422" t="s">
        <v>401</v>
      </c>
      <c r="E2551" s="423"/>
      <c r="F2551" s="424">
        <v>500</v>
      </c>
      <c r="G2551" s="425">
        <f>VLOOKUP(D2546,'[2]ENSAIOS DE ORÇAMENTO'!$C$3:$L$79,10,FALSE)</f>
        <v>0</v>
      </c>
      <c r="H2551" s="649">
        <f>IF(F2551&lt;=30,(0.78*F2551+7.82)*G2551,((0.78*30+7.82)+0.78*(F2551-30))*G2551)</f>
        <v>0</v>
      </c>
      <c r="I2551" s="420"/>
      <c r="J2551" s="420"/>
      <c r="K2551" s="421">
        <f t="shared" si="666"/>
        <v>0</v>
      </c>
      <c r="L2551" s="647"/>
      <c r="M2551" s="723"/>
      <c r="N2551" s="576">
        <f t="shared" si="675"/>
        <v>0</v>
      </c>
      <c r="O2551" s="577">
        <f t="shared" si="669"/>
        <v>0</v>
      </c>
      <c r="P2551" s="578">
        <f t="shared" si="670"/>
        <v>0</v>
      </c>
      <c r="Q2551" s="765"/>
      <c r="R2551" s="723"/>
      <c r="S2551" s="723"/>
      <c r="T2551" s="577">
        <f t="shared" si="667"/>
        <v>0</v>
      </c>
      <c r="U2551" s="578">
        <f t="shared" si="668"/>
        <v>0</v>
      </c>
      <c r="V2551" s="579"/>
      <c r="W2551" s="566" t="str">
        <f>IF(U2546&gt;0,"xx",IF(P2546&gt;0,"xy",""))</f>
        <v/>
      </c>
      <c r="X2551" s="586" t="str">
        <f t="shared" si="681"/>
        <v/>
      </c>
      <c r="Y2551" s="586" t="str">
        <f t="shared" si="672"/>
        <v/>
      </c>
      <c r="Z2551" s="586" t="str">
        <f t="shared" si="680"/>
        <v/>
      </c>
    </row>
    <row r="2552" spans="1:26" ht="12" hidden="1" thickBot="1" x14ac:dyDescent="0.25">
      <c r="A2552" s="567" t="s">
        <v>53</v>
      </c>
      <c r="B2552" s="644" t="s">
        <v>53</v>
      </c>
      <c r="C2552" s="645" t="s">
        <v>206</v>
      </c>
      <c r="D2552" s="422" t="s">
        <v>163</v>
      </c>
      <c r="E2552" s="423"/>
      <c r="F2552" s="424"/>
      <c r="G2552" s="425"/>
      <c r="H2552" s="651">
        <f>SUM(H2553:H2557)</f>
        <v>1505.7755270000002</v>
      </c>
      <c r="I2552" s="420">
        <f>VLOOKUP(D2552,'[2]ENSAIOS DE ORÇAMENTO'!$C$3:$L$79,8,FALSE)</f>
        <v>2471.9100133333332</v>
      </c>
      <c r="J2552" s="420">
        <f>IF(ISBLANK(I2552),"",SUM(H2552:I2552))</f>
        <v>3977.6855403333334</v>
      </c>
      <c r="K2552" s="421">
        <f t="shared" si="666"/>
        <v>4725.8900000000003</v>
      </c>
      <c r="L2552" s="647" t="s">
        <v>21</v>
      </c>
      <c r="M2552" s="576"/>
      <c r="N2552" s="576">
        <f t="shared" si="675"/>
        <v>0</v>
      </c>
      <c r="O2552" s="577">
        <f t="shared" si="669"/>
        <v>0</v>
      </c>
      <c r="P2552" s="578">
        <f t="shared" si="670"/>
        <v>0</v>
      </c>
      <c r="Q2552" s="765"/>
      <c r="R2552" s="576">
        <f>M2552</f>
        <v>0</v>
      </c>
      <c r="S2552" s="576">
        <f>N2552</f>
        <v>0</v>
      </c>
      <c r="T2552" s="577">
        <f t="shared" si="667"/>
        <v>0</v>
      </c>
      <c r="U2552" s="578">
        <f t="shared" si="668"/>
        <v>0</v>
      </c>
      <c r="V2552" s="579"/>
      <c r="W2552" s="566"/>
      <c r="X2552" s="586" t="str">
        <f t="shared" si="681"/>
        <v/>
      </c>
      <c r="Y2552" s="586" t="str">
        <f t="shared" si="672"/>
        <v/>
      </c>
      <c r="Z2552" s="586" t="str">
        <f t="shared" si="680"/>
        <v/>
      </c>
    </row>
    <row r="2553" spans="1:26" ht="12" hidden="1" thickBot="1" x14ac:dyDescent="0.25">
      <c r="A2553" s="567" t="s">
        <v>168</v>
      </c>
      <c r="B2553" s="644" t="s">
        <v>168</v>
      </c>
      <c r="C2553" s="645"/>
      <c r="D2553" s="422" t="s">
        <v>212</v>
      </c>
      <c r="E2553" s="423"/>
      <c r="F2553" s="424">
        <v>500</v>
      </c>
      <c r="G2553" s="425">
        <f>VLOOKUP(D2552,'[2]ENSAIOS DE ORÇAMENTO'!$C$3:$L$79,4,FALSE)</f>
        <v>1.08901</v>
      </c>
      <c r="H2553" s="649">
        <f>IF(F2553&lt;=30,(0.78*F2553+7.82)*G2553,((0.78*30+7.82)+0.78*(F2553-30))*G2553)</f>
        <v>433.22995820000006</v>
      </c>
      <c r="I2553" s="420"/>
      <c r="J2553" s="420"/>
      <c r="K2553" s="421">
        <f t="shared" si="666"/>
        <v>0</v>
      </c>
      <c r="L2553" s="647"/>
      <c r="M2553" s="723"/>
      <c r="N2553" s="576">
        <f t="shared" si="675"/>
        <v>0</v>
      </c>
      <c r="O2553" s="577">
        <f t="shared" si="669"/>
        <v>0</v>
      </c>
      <c r="P2553" s="578">
        <f t="shared" si="670"/>
        <v>0</v>
      </c>
      <c r="Q2553" s="765"/>
      <c r="R2553" s="723"/>
      <c r="S2553" s="723"/>
      <c r="T2553" s="577">
        <f t="shared" si="667"/>
        <v>0</v>
      </c>
      <c r="U2553" s="578">
        <f t="shared" si="668"/>
        <v>0</v>
      </c>
      <c r="V2553" s="579"/>
      <c r="W2553" s="566" t="str">
        <f>IF(U2552&gt;0,"xx",IF(P2552&gt;0,"xy",""))</f>
        <v/>
      </c>
      <c r="X2553" s="586" t="str">
        <f t="shared" si="681"/>
        <v/>
      </c>
      <c r="Y2553" s="586" t="str">
        <f t="shared" si="672"/>
        <v/>
      </c>
      <c r="Z2553" s="586" t="str">
        <f t="shared" si="680"/>
        <v/>
      </c>
    </row>
    <row r="2554" spans="1:26" ht="12" hidden="1" thickBot="1" x14ac:dyDescent="0.25">
      <c r="A2554" s="567" t="s">
        <v>168</v>
      </c>
      <c r="B2554" s="644" t="s">
        <v>168</v>
      </c>
      <c r="C2554" s="645"/>
      <c r="D2554" s="422" t="s">
        <v>248</v>
      </c>
      <c r="E2554" s="423"/>
      <c r="F2554" s="424">
        <v>180</v>
      </c>
      <c r="G2554" s="425">
        <f>VLOOKUP(D2552,'[2]ENSAIOS DE ORÇAMENTO'!$C$3:$L$79,5,FALSE)</f>
        <v>4.4434800000000001</v>
      </c>
      <c r="H2554" s="663">
        <f t="shared" ref="H2554:H2556" si="684">IF(F2554&lt;=30,(1.07*F2554+2.68)*G2554,((1.07*30+2.68)+1.07*(F2554-30))*G2554)</f>
        <v>867.72277440000005</v>
      </c>
      <c r="I2554" s="420"/>
      <c r="J2554" s="420"/>
      <c r="K2554" s="421">
        <f t="shared" si="666"/>
        <v>0</v>
      </c>
      <c r="L2554" s="647"/>
      <c r="M2554" s="723"/>
      <c r="N2554" s="576">
        <f t="shared" si="675"/>
        <v>0</v>
      </c>
      <c r="O2554" s="577">
        <f t="shared" si="669"/>
        <v>0</v>
      </c>
      <c r="P2554" s="578">
        <f t="shared" si="670"/>
        <v>0</v>
      </c>
      <c r="Q2554" s="765"/>
      <c r="R2554" s="723"/>
      <c r="S2554" s="723"/>
      <c r="T2554" s="577">
        <f t="shared" si="667"/>
        <v>0</v>
      </c>
      <c r="U2554" s="578">
        <f t="shared" si="668"/>
        <v>0</v>
      </c>
      <c r="V2554" s="579"/>
      <c r="W2554" s="566" t="str">
        <f>IF(U2552&gt;0,"xx",IF(P2552&gt;0,"xy",""))</f>
        <v/>
      </c>
      <c r="X2554" s="586" t="str">
        <f t="shared" si="681"/>
        <v/>
      </c>
      <c r="Y2554" s="586" t="str">
        <f t="shared" si="672"/>
        <v/>
      </c>
      <c r="Z2554" s="586" t="str">
        <f t="shared" si="680"/>
        <v/>
      </c>
    </row>
    <row r="2555" spans="1:26" ht="12" hidden="1" thickBot="1" x14ac:dyDescent="0.25">
      <c r="A2555" s="567" t="s">
        <v>168</v>
      </c>
      <c r="B2555" s="644" t="s">
        <v>168</v>
      </c>
      <c r="C2555" s="645"/>
      <c r="D2555" s="422" t="s">
        <v>252</v>
      </c>
      <c r="E2555" s="423"/>
      <c r="F2555" s="424">
        <v>20</v>
      </c>
      <c r="G2555" s="425">
        <f>VLOOKUP(D2552,'[2]ENSAIOS DE ORÇAMENTO'!$C$3:$L$79,6,FALSE)</f>
        <v>8.5059300000000011</v>
      </c>
      <c r="H2555" s="663">
        <f t="shared" si="684"/>
        <v>204.82279440000005</v>
      </c>
      <c r="I2555" s="420"/>
      <c r="J2555" s="420"/>
      <c r="K2555" s="421">
        <f t="shared" si="666"/>
        <v>0</v>
      </c>
      <c r="L2555" s="647"/>
      <c r="M2555" s="723"/>
      <c r="N2555" s="576">
        <f t="shared" si="675"/>
        <v>0</v>
      </c>
      <c r="O2555" s="577">
        <f t="shared" si="669"/>
        <v>0</v>
      </c>
      <c r="P2555" s="578">
        <f t="shared" si="670"/>
        <v>0</v>
      </c>
      <c r="Q2555" s="765"/>
      <c r="R2555" s="723"/>
      <c r="S2555" s="723"/>
      <c r="T2555" s="577">
        <f t="shared" si="667"/>
        <v>0</v>
      </c>
      <c r="U2555" s="578">
        <f t="shared" si="668"/>
        <v>0</v>
      </c>
      <c r="V2555" s="579"/>
      <c r="W2555" s="566" t="str">
        <f>IF(U2552&gt;0,"xx",IF(P2552&gt;0,"xy",""))</f>
        <v/>
      </c>
      <c r="X2555" s="586" t="str">
        <f t="shared" si="681"/>
        <v/>
      </c>
      <c r="Y2555" s="586" t="str">
        <f t="shared" si="672"/>
        <v/>
      </c>
      <c r="Z2555" s="586" t="str">
        <f t="shared" si="680"/>
        <v/>
      </c>
    </row>
    <row r="2556" spans="1:26" ht="12" hidden="1" thickBot="1" x14ac:dyDescent="0.25">
      <c r="A2556" s="567" t="s">
        <v>168</v>
      </c>
      <c r="B2556" s="644" t="s">
        <v>168</v>
      </c>
      <c r="C2556" s="645"/>
      <c r="D2556" s="422" t="s">
        <v>400</v>
      </c>
      <c r="E2556" s="423"/>
      <c r="F2556" s="424">
        <v>30</v>
      </c>
      <c r="G2556" s="425">
        <f>VLOOKUP(D2552,'[2]ENSAIOS DE ORÇAMENTO'!$C$3:$L$79,3,FALSE)</f>
        <v>0</v>
      </c>
      <c r="H2556" s="663">
        <f t="shared" si="684"/>
        <v>0</v>
      </c>
      <c r="I2556" s="420"/>
      <c r="J2556" s="420"/>
      <c r="K2556" s="421">
        <f t="shared" si="666"/>
        <v>0</v>
      </c>
      <c r="L2556" s="647"/>
      <c r="M2556" s="723"/>
      <c r="N2556" s="576">
        <f t="shared" si="675"/>
        <v>0</v>
      </c>
      <c r="O2556" s="577">
        <f t="shared" si="669"/>
        <v>0</v>
      </c>
      <c r="P2556" s="578">
        <f t="shared" si="670"/>
        <v>0</v>
      </c>
      <c r="Q2556" s="765"/>
      <c r="R2556" s="723"/>
      <c r="S2556" s="723"/>
      <c r="T2556" s="577">
        <f t="shared" si="667"/>
        <v>0</v>
      </c>
      <c r="U2556" s="578">
        <f t="shared" si="668"/>
        <v>0</v>
      </c>
      <c r="V2556" s="579"/>
      <c r="W2556" s="566" t="str">
        <f>IF(U2552&gt;0,"xx",IF(P2552&gt;0,"xy",""))</f>
        <v/>
      </c>
      <c r="X2556" s="586" t="str">
        <f t="shared" si="681"/>
        <v/>
      </c>
      <c r="Y2556" s="586" t="str">
        <f t="shared" si="672"/>
        <v/>
      </c>
      <c r="Z2556" s="586" t="str">
        <f t="shared" si="680"/>
        <v/>
      </c>
    </row>
    <row r="2557" spans="1:26" ht="12" hidden="1" thickBot="1" x14ac:dyDescent="0.25">
      <c r="A2557" s="567" t="s">
        <v>168</v>
      </c>
      <c r="B2557" s="644" t="s">
        <v>168</v>
      </c>
      <c r="C2557" s="645"/>
      <c r="D2557" s="422" t="s">
        <v>401</v>
      </c>
      <c r="E2557" s="423"/>
      <c r="F2557" s="424">
        <v>500</v>
      </c>
      <c r="G2557" s="425">
        <f>VLOOKUP(D2552,'[2]ENSAIOS DE ORÇAMENTO'!$C$3:$L$79,10,FALSE)</f>
        <v>0</v>
      </c>
      <c r="H2557" s="649">
        <f>IF(F2557&lt;=30,(0.78*F2557+7.82)*G2557,((0.78*30+7.82)+0.78*(F2557-30))*G2557)</f>
        <v>0</v>
      </c>
      <c r="I2557" s="420"/>
      <c r="J2557" s="420"/>
      <c r="K2557" s="421">
        <f t="shared" si="666"/>
        <v>0</v>
      </c>
      <c r="L2557" s="647"/>
      <c r="M2557" s="723"/>
      <c r="N2557" s="576">
        <f t="shared" si="675"/>
        <v>0</v>
      </c>
      <c r="O2557" s="577">
        <f t="shared" si="669"/>
        <v>0</v>
      </c>
      <c r="P2557" s="578">
        <f t="shared" si="670"/>
        <v>0</v>
      </c>
      <c r="Q2557" s="765"/>
      <c r="R2557" s="723"/>
      <c r="S2557" s="723"/>
      <c r="T2557" s="577">
        <f t="shared" si="667"/>
        <v>0</v>
      </c>
      <c r="U2557" s="578">
        <f t="shared" si="668"/>
        <v>0</v>
      </c>
      <c r="V2557" s="579"/>
      <c r="W2557" s="566" t="str">
        <f>IF(U2552&gt;0,"xx",IF(P2552&gt;0,"xy",""))</f>
        <v/>
      </c>
      <c r="X2557" s="586" t="str">
        <f t="shared" si="681"/>
        <v/>
      </c>
      <c r="Y2557" s="586" t="str">
        <f t="shared" si="672"/>
        <v/>
      </c>
      <c r="Z2557" s="586" t="str">
        <f t="shared" si="680"/>
        <v/>
      </c>
    </row>
    <row r="2558" spans="1:26" ht="12" hidden="1" thickBot="1" x14ac:dyDescent="0.25">
      <c r="A2558" s="567" t="s">
        <v>53</v>
      </c>
      <c r="B2558" s="644" t="s">
        <v>53</v>
      </c>
      <c r="C2558" s="645" t="s">
        <v>206</v>
      </c>
      <c r="D2558" s="422" t="s">
        <v>164</v>
      </c>
      <c r="E2558" s="423"/>
      <c r="F2558" s="424"/>
      <c r="G2558" s="425"/>
      <c r="H2558" s="651">
        <f>SUM(H2559:H2563)</f>
        <v>2044.4262430000003</v>
      </c>
      <c r="I2558" s="420">
        <f>VLOOKUP(D2558,'[2]ENSAIOS DE ORÇAMENTO'!$C$3:$L$79,8,FALSE)</f>
        <v>3327.3276800000003</v>
      </c>
      <c r="J2558" s="420">
        <f>IF(ISBLANK(I2558),"",SUM(H2558:I2558))</f>
        <v>5371.7539230000002</v>
      </c>
      <c r="K2558" s="421">
        <f t="shared" si="666"/>
        <v>6382.18</v>
      </c>
      <c r="L2558" s="647" t="s">
        <v>21</v>
      </c>
      <c r="M2558" s="576"/>
      <c r="N2558" s="576">
        <f t="shared" si="675"/>
        <v>0</v>
      </c>
      <c r="O2558" s="577">
        <f t="shared" si="669"/>
        <v>0</v>
      </c>
      <c r="P2558" s="578">
        <f t="shared" si="670"/>
        <v>0</v>
      </c>
      <c r="Q2558" s="765"/>
      <c r="R2558" s="576">
        <f>M2558</f>
        <v>0</v>
      </c>
      <c r="S2558" s="576">
        <f>N2558</f>
        <v>0</v>
      </c>
      <c r="T2558" s="577">
        <f t="shared" si="667"/>
        <v>0</v>
      </c>
      <c r="U2558" s="578">
        <f t="shared" si="668"/>
        <v>0</v>
      </c>
      <c r="V2558" s="579"/>
      <c r="W2558" s="566"/>
      <c r="X2558" s="586" t="str">
        <f t="shared" si="681"/>
        <v/>
      </c>
      <c r="Y2558" s="586" t="str">
        <f t="shared" si="672"/>
        <v/>
      </c>
      <c r="Z2558" s="586" t="str">
        <f t="shared" si="680"/>
        <v/>
      </c>
    </row>
    <row r="2559" spans="1:26" ht="12" hidden="1" thickBot="1" x14ac:dyDescent="0.25">
      <c r="A2559" s="567" t="s">
        <v>168</v>
      </c>
      <c r="B2559" s="644" t="s">
        <v>168</v>
      </c>
      <c r="C2559" s="645"/>
      <c r="D2559" s="422" t="s">
        <v>212</v>
      </c>
      <c r="E2559" s="423"/>
      <c r="F2559" s="424">
        <v>500</v>
      </c>
      <c r="G2559" s="425">
        <f>VLOOKUP(D2558,'[2]ENSAIOS DE ORÇAMENTO'!$C$3:$L$79,4,FALSE)</f>
        <v>1.4740100000000003</v>
      </c>
      <c r="H2559" s="649">
        <f>IF(F2559&lt;=30,(0.78*F2559+7.82)*G2559,((0.78*30+7.82)+0.78*(F2559-30))*G2559)</f>
        <v>586.39065820000019</v>
      </c>
      <c r="I2559" s="420"/>
      <c r="J2559" s="420"/>
      <c r="K2559" s="421">
        <f t="shared" si="666"/>
        <v>0</v>
      </c>
      <c r="L2559" s="647"/>
      <c r="M2559" s="723"/>
      <c r="N2559" s="576">
        <f t="shared" si="675"/>
        <v>0</v>
      </c>
      <c r="O2559" s="577">
        <f t="shared" si="669"/>
        <v>0</v>
      </c>
      <c r="P2559" s="578">
        <f t="shared" si="670"/>
        <v>0</v>
      </c>
      <c r="Q2559" s="765"/>
      <c r="R2559" s="723"/>
      <c r="S2559" s="723"/>
      <c r="T2559" s="577">
        <f t="shared" si="667"/>
        <v>0</v>
      </c>
      <c r="U2559" s="578">
        <f t="shared" si="668"/>
        <v>0</v>
      </c>
      <c r="V2559" s="579"/>
      <c r="W2559" s="566" t="str">
        <f>IF(U2558&gt;0,"xx",IF(P2558&gt;0,"xy",""))</f>
        <v/>
      </c>
      <c r="X2559" s="586" t="str">
        <f t="shared" si="681"/>
        <v/>
      </c>
      <c r="Y2559" s="586" t="str">
        <f t="shared" si="672"/>
        <v/>
      </c>
      <c r="Z2559" s="586" t="str">
        <f t="shared" si="680"/>
        <v/>
      </c>
    </row>
    <row r="2560" spans="1:26" ht="12" hidden="1" thickBot="1" x14ac:dyDescent="0.25">
      <c r="A2560" s="567" t="s">
        <v>168</v>
      </c>
      <c r="B2560" s="644" t="s">
        <v>168</v>
      </c>
      <c r="C2560" s="645"/>
      <c r="D2560" s="422" t="s">
        <v>248</v>
      </c>
      <c r="E2560" s="423"/>
      <c r="F2560" s="424">
        <v>180</v>
      </c>
      <c r="G2560" s="425">
        <f>VLOOKUP(D2558,'[2]ENSAIOS DE ORÇAMENTO'!$C$3:$L$79,5,FALSE)</f>
        <v>6.0316799999999997</v>
      </c>
      <c r="H2560" s="663">
        <f t="shared" ref="H2560:H2562" si="685">IF(F2560&lt;=30,(1.07*F2560+2.68)*G2560,((1.07*30+2.68)+1.07*(F2560-30))*G2560)</f>
        <v>1177.8664704</v>
      </c>
      <c r="I2560" s="420"/>
      <c r="J2560" s="420"/>
      <c r="K2560" s="421">
        <f t="shared" ref="K2560:K2623" si="686">IF(ISBLANK(I2560),0,ROUND(J2560*(1+$F$10)*(1+$F$11*E2560),2))</f>
        <v>0</v>
      </c>
      <c r="L2560" s="647"/>
      <c r="M2560" s="723"/>
      <c r="N2560" s="576">
        <f t="shared" si="675"/>
        <v>0</v>
      </c>
      <c r="O2560" s="577">
        <f t="shared" si="669"/>
        <v>0</v>
      </c>
      <c r="P2560" s="578">
        <f t="shared" si="670"/>
        <v>0</v>
      </c>
      <c r="Q2560" s="765"/>
      <c r="R2560" s="723"/>
      <c r="S2560" s="723"/>
      <c r="T2560" s="577">
        <f t="shared" ref="T2560:T2623" si="687">IF(ISBLANK(R2560),0,ROUND(K2560*R2560,2))</f>
        <v>0</v>
      </c>
      <c r="U2560" s="578">
        <f t="shared" ref="U2560:U2623" si="688">IF(ISBLANK(R2560),0,ROUND(R2560*S2560,2))</f>
        <v>0</v>
      </c>
      <c r="V2560" s="579"/>
      <c r="W2560" s="566" t="str">
        <f>IF(U2558&gt;0,"xx",IF(P2558&gt;0,"xy",""))</f>
        <v/>
      </c>
      <c r="X2560" s="586" t="str">
        <f t="shared" si="681"/>
        <v/>
      </c>
      <c r="Y2560" s="586" t="str">
        <f t="shared" si="672"/>
        <v/>
      </c>
      <c r="Z2560" s="586" t="str">
        <f t="shared" si="680"/>
        <v/>
      </c>
    </row>
    <row r="2561" spans="1:26" ht="12" hidden="1" thickBot="1" x14ac:dyDescent="0.25">
      <c r="A2561" s="567" t="s">
        <v>168</v>
      </c>
      <c r="B2561" s="644" t="s">
        <v>168</v>
      </c>
      <c r="C2561" s="645"/>
      <c r="D2561" s="422" t="s">
        <v>252</v>
      </c>
      <c r="E2561" s="423"/>
      <c r="F2561" s="424">
        <v>20</v>
      </c>
      <c r="G2561" s="425">
        <f>VLOOKUP(D2558,'[2]ENSAIOS DE ORÇAMENTO'!$C$3:$L$79,6,FALSE)</f>
        <v>11.634930000000001</v>
      </c>
      <c r="H2561" s="663">
        <f t="shared" si="685"/>
        <v>280.16911440000001</v>
      </c>
      <c r="I2561" s="420"/>
      <c r="J2561" s="420"/>
      <c r="K2561" s="421">
        <f t="shared" si="686"/>
        <v>0</v>
      </c>
      <c r="L2561" s="647"/>
      <c r="M2561" s="723"/>
      <c r="N2561" s="576">
        <f t="shared" si="675"/>
        <v>0</v>
      </c>
      <c r="O2561" s="577">
        <f t="shared" ref="O2561:O2624" si="689">IF(ISBLANK(M2561),0,ROUND(K2561*M2561,2))</f>
        <v>0</v>
      </c>
      <c r="P2561" s="578">
        <f t="shared" ref="P2561:P2624" si="690">IF(ISBLANK(N2561),0,ROUND(M2561*N2561,2))</f>
        <v>0</v>
      </c>
      <c r="Q2561" s="765"/>
      <c r="R2561" s="723"/>
      <c r="S2561" s="723"/>
      <c r="T2561" s="577">
        <f t="shared" si="687"/>
        <v>0</v>
      </c>
      <c r="U2561" s="578">
        <f t="shared" si="688"/>
        <v>0</v>
      </c>
      <c r="V2561" s="579"/>
      <c r="W2561" s="566" t="str">
        <f>IF(U2558&gt;0,"xx",IF(P2558&gt;0,"xy",""))</f>
        <v/>
      </c>
      <c r="X2561" s="586" t="str">
        <f t="shared" si="681"/>
        <v/>
      </c>
      <c r="Y2561" s="586" t="str">
        <f t="shared" si="672"/>
        <v/>
      </c>
      <c r="Z2561" s="586" t="str">
        <f t="shared" si="680"/>
        <v/>
      </c>
    </row>
    <row r="2562" spans="1:26" ht="12" hidden="1" thickBot="1" x14ac:dyDescent="0.25">
      <c r="A2562" s="567" t="s">
        <v>168</v>
      </c>
      <c r="B2562" s="644" t="s">
        <v>168</v>
      </c>
      <c r="C2562" s="645"/>
      <c r="D2562" s="422" t="s">
        <v>400</v>
      </c>
      <c r="E2562" s="423"/>
      <c r="F2562" s="424">
        <v>30</v>
      </c>
      <c r="G2562" s="425">
        <f>VLOOKUP(D2558,'[2]ENSAIOS DE ORÇAMENTO'!$C$3:$L$79,3,FALSE)</f>
        <v>0</v>
      </c>
      <c r="H2562" s="663">
        <f t="shared" si="685"/>
        <v>0</v>
      </c>
      <c r="I2562" s="420"/>
      <c r="J2562" s="420"/>
      <c r="K2562" s="421">
        <f t="shared" si="686"/>
        <v>0</v>
      </c>
      <c r="L2562" s="647"/>
      <c r="M2562" s="723"/>
      <c r="N2562" s="576">
        <f t="shared" si="675"/>
        <v>0</v>
      </c>
      <c r="O2562" s="577">
        <f t="shared" si="689"/>
        <v>0</v>
      </c>
      <c r="P2562" s="578">
        <f t="shared" si="690"/>
        <v>0</v>
      </c>
      <c r="Q2562" s="765"/>
      <c r="R2562" s="723"/>
      <c r="S2562" s="723"/>
      <c r="T2562" s="577">
        <f t="shared" si="687"/>
        <v>0</v>
      </c>
      <c r="U2562" s="578">
        <f t="shared" si="688"/>
        <v>0</v>
      </c>
      <c r="V2562" s="579"/>
      <c r="W2562" s="566" t="str">
        <f>IF(U2558&gt;0,"xx",IF(P2558&gt;0,"xy",""))</f>
        <v/>
      </c>
      <c r="X2562" s="586" t="str">
        <f t="shared" si="681"/>
        <v/>
      </c>
      <c r="Y2562" s="586" t="str">
        <f t="shared" si="672"/>
        <v/>
      </c>
      <c r="Z2562" s="586" t="str">
        <f t="shared" si="680"/>
        <v/>
      </c>
    </row>
    <row r="2563" spans="1:26" ht="12" hidden="1" thickBot="1" x14ac:dyDescent="0.25">
      <c r="A2563" s="567" t="s">
        <v>168</v>
      </c>
      <c r="B2563" s="644" t="s">
        <v>168</v>
      </c>
      <c r="C2563" s="645"/>
      <c r="D2563" s="422" t="s">
        <v>401</v>
      </c>
      <c r="E2563" s="423"/>
      <c r="F2563" s="424">
        <v>500</v>
      </c>
      <c r="G2563" s="425">
        <f>VLOOKUP(D2558,'[2]ENSAIOS DE ORÇAMENTO'!$C$3:$L$79,10,FALSE)</f>
        <v>0</v>
      </c>
      <c r="H2563" s="649">
        <f>IF(F2563&lt;=30,(0.78*F2563+7.82)*G2563,((0.78*30+7.82)+0.78*(F2563-30))*G2563)</f>
        <v>0</v>
      </c>
      <c r="I2563" s="420"/>
      <c r="J2563" s="420"/>
      <c r="K2563" s="421">
        <f t="shared" si="686"/>
        <v>0</v>
      </c>
      <c r="L2563" s="647"/>
      <c r="M2563" s="723"/>
      <c r="N2563" s="576">
        <f t="shared" si="675"/>
        <v>0</v>
      </c>
      <c r="O2563" s="577">
        <f t="shared" si="689"/>
        <v>0</v>
      </c>
      <c r="P2563" s="578">
        <f t="shared" si="690"/>
        <v>0</v>
      </c>
      <c r="Q2563" s="765"/>
      <c r="R2563" s="723"/>
      <c r="S2563" s="723"/>
      <c r="T2563" s="577">
        <f t="shared" si="687"/>
        <v>0</v>
      </c>
      <c r="U2563" s="578">
        <f t="shared" si="688"/>
        <v>0</v>
      </c>
      <c r="V2563" s="579"/>
      <c r="W2563" s="566" t="str">
        <f>IF(U2558&gt;0,"xx",IF(P2558&gt;0,"xy",""))</f>
        <v/>
      </c>
      <c r="X2563" s="586" t="str">
        <f t="shared" si="681"/>
        <v/>
      </c>
      <c r="Y2563" s="586" t="str">
        <f t="shared" si="672"/>
        <v/>
      </c>
      <c r="Z2563" s="586" t="str">
        <f t="shared" si="680"/>
        <v/>
      </c>
    </row>
    <row r="2564" spans="1:26" ht="12" hidden="1" thickBot="1" x14ac:dyDescent="0.25">
      <c r="A2564" s="567" t="s">
        <v>53</v>
      </c>
      <c r="B2564" s="644" t="s">
        <v>53</v>
      </c>
      <c r="C2564" s="645" t="s">
        <v>206</v>
      </c>
      <c r="D2564" s="422" t="s">
        <v>165</v>
      </c>
      <c r="E2564" s="423"/>
      <c r="F2564" s="424"/>
      <c r="G2564" s="425"/>
      <c r="H2564" s="651">
        <f>SUM(H2565:H2569)</f>
        <v>3375.5045890000001</v>
      </c>
      <c r="I2564" s="420">
        <f>VLOOKUP(D2564,'[2]ENSAIOS DE ORÇAMENTO'!$C$3:$L$79,8,FALSE)</f>
        <v>5392.3903933333331</v>
      </c>
      <c r="J2564" s="420">
        <f>IF(ISBLANK(I2564),"",SUM(H2564:I2564))</f>
        <v>8767.8949823333332</v>
      </c>
      <c r="K2564" s="421">
        <f t="shared" si="686"/>
        <v>10417.14</v>
      </c>
      <c r="L2564" s="647" t="s">
        <v>21</v>
      </c>
      <c r="M2564" s="576"/>
      <c r="N2564" s="576">
        <f t="shared" si="675"/>
        <v>0</v>
      </c>
      <c r="O2564" s="577">
        <f t="shared" si="689"/>
        <v>0</v>
      </c>
      <c r="P2564" s="578">
        <f t="shared" si="690"/>
        <v>0</v>
      </c>
      <c r="Q2564" s="765"/>
      <c r="R2564" s="576">
        <f>M2564</f>
        <v>0</v>
      </c>
      <c r="S2564" s="576">
        <f>N2564</f>
        <v>0</v>
      </c>
      <c r="T2564" s="577">
        <f t="shared" si="687"/>
        <v>0</v>
      </c>
      <c r="U2564" s="578">
        <f t="shared" si="688"/>
        <v>0</v>
      </c>
      <c r="V2564" s="579"/>
      <c r="W2564" s="566"/>
      <c r="X2564" s="586" t="str">
        <f t="shared" si="681"/>
        <v/>
      </c>
      <c r="Y2564" s="586" t="str">
        <f t="shared" si="672"/>
        <v/>
      </c>
      <c r="Z2564" s="586" t="str">
        <f t="shared" si="680"/>
        <v/>
      </c>
    </row>
    <row r="2565" spans="1:26" ht="12" hidden="1" thickBot="1" x14ac:dyDescent="0.25">
      <c r="A2565" s="567" t="s">
        <v>168</v>
      </c>
      <c r="B2565" s="644" t="s">
        <v>168</v>
      </c>
      <c r="C2565" s="645"/>
      <c r="D2565" s="422" t="s">
        <v>212</v>
      </c>
      <c r="E2565" s="423"/>
      <c r="F2565" s="424">
        <v>500</v>
      </c>
      <c r="G2565" s="425">
        <f>VLOOKUP(D2564,'[2]ENSAIOS DE ORÇAMENTO'!$C$3:$L$79,4,FALSE)</f>
        <v>2.41967</v>
      </c>
      <c r="H2565" s="649">
        <f>IF(F2565&lt;=30,(0.78*F2565+7.82)*G2565,((0.78*30+7.82)+0.78*(F2565-30))*G2565)</f>
        <v>962.59311940000009</v>
      </c>
      <c r="I2565" s="420"/>
      <c r="J2565" s="420"/>
      <c r="K2565" s="421">
        <f t="shared" si="686"/>
        <v>0</v>
      </c>
      <c r="L2565" s="647"/>
      <c r="M2565" s="723"/>
      <c r="N2565" s="576">
        <f t="shared" si="675"/>
        <v>0</v>
      </c>
      <c r="O2565" s="577">
        <f t="shared" si="689"/>
        <v>0</v>
      </c>
      <c r="P2565" s="578">
        <f t="shared" si="690"/>
        <v>0</v>
      </c>
      <c r="Q2565" s="765"/>
      <c r="R2565" s="723"/>
      <c r="S2565" s="723"/>
      <c r="T2565" s="577">
        <f t="shared" si="687"/>
        <v>0</v>
      </c>
      <c r="U2565" s="578">
        <f t="shared" si="688"/>
        <v>0</v>
      </c>
      <c r="V2565" s="579"/>
      <c r="W2565" s="566" t="str">
        <f>IF(U2564&gt;0,"xx",IF(P2564&gt;0,"xy",""))</f>
        <v/>
      </c>
      <c r="X2565" s="586" t="str">
        <f t="shared" si="681"/>
        <v/>
      </c>
      <c r="Y2565" s="586" t="str">
        <f t="shared" si="672"/>
        <v/>
      </c>
      <c r="Z2565" s="586" t="str">
        <f t="shared" si="680"/>
        <v/>
      </c>
    </row>
    <row r="2566" spans="1:26" ht="12" hidden="1" thickBot="1" x14ac:dyDescent="0.25">
      <c r="A2566" s="567" t="s">
        <v>168</v>
      </c>
      <c r="B2566" s="644" t="s">
        <v>168</v>
      </c>
      <c r="C2566" s="645"/>
      <c r="D2566" s="422" t="s">
        <v>248</v>
      </c>
      <c r="E2566" s="423"/>
      <c r="F2566" s="424">
        <v>180</v>
      </c>
      <c r="G2566" s="425">
        <f>VLOOKUP(D2564,'[2]ENSAIOS DE ORÇAMENTO'!$C$3:$L$79,5,FALSE)</f>
        <v>9.9546600000000005</v>
      </c>
      <c r="H2566" s="663">
        <f t="shared" ref="H2566:H2568" si="691">IF(F2566&lt;=30,(1.07*F2566+2.68)*G2566,((1.07*30+2.68)+1.07*(F2566-30))*G2566)</f>
        <v>1943.9460048000001</v>
      </c>
      <c r="I2566" s="420"/>
      <c r="J2566" s="420"/>
      <c r="K2566" s="421">
        <f t="shared" si="686"/>
        <v>0</v>
      </c>
      <c r="L2566" s="647"/>
      <c r="M2566" s="723"/>
      <c r="N2566" s="576">
        <f t="shared" si="675"/>
        <v>0</v>
      </c>
      <c r="O2566" s="577">
        <f t="shared" si="689"/>
        <v>0</v>
      </c>
      <c r="P2566" s="578">
        <f t="shared" si="690"/>
        <v>0</v>
      </c>
      <c r="Q2566" s="765"/>
      <c r="R2566" s="723"/>
      <c r="S2566" s="723"/>
      <c r="T2566" s="577">
        <f t="shared" si="687"/>
        <v>0</v>
      </c>
      <c r="U2566" s="578">
        <f t="shared" si="688"/>
        <v>0</v>
      </c>
      <c r="V2566" s="579"/>
      <c r="W2566" s="566" t="str">
        <f>IF(U2564&gt;0,"xx",IF(P2564&gt;0,"xy",""))</f>
        <v/>
      </c>
      <c r="X2566" s="586" t="str">
        <f t="shared" si="681"/>
        <v/>
      </c>
      <c r="Y2566" s="586" t="str">
        <f t="shared" si="672"/>
        <v/>
      </c>
      <c r="Z2566" s="586" t="str">
        <f t="shared" si="680"/>
        <v/>
      </c>
    </row>
    <row r="2567" spans="1:26" ht="12" hidden="1" thickBot="1" x14ac:dyDescent="0.25">
      <c r="A2567" s="567" t="s">
        <v>168</v>
      </c>
      <c r="B2567" s="644" t="s">
        <v>168</v>
      </c>
      <c r="C2567" s="645"/>
      <c r="D2567" s="422" t="s">
        <v>252</v>
      </c>
      <c r="E2567" s="423"/>
      <c r="F2567" s="424">
        <v>20</v>
      </c>
      <c r="G2567" s="425">
        <f>VLOOKUP(D2564,'[2]ENSAIOS DE ORÇAMENTO'!$C$3:$L$79,6,FALSE)</f>
        <v>19.47531</v>
      </c>
      <c r="H2567" s="663">
        <f t="shared" si="691"/>
        <v>468.96546480000006</v>
      </c>
      <c r="I2567" s="420"/>
      <c r="J2567" s="420"/>
      <c r="K2567" s="421">
        <f t="shared" si="686"/>
        <v>0</v>
      </c>
      <c r="L2567" s="647"/>
      <c r="M2567" s="723"/>
      <c r="N2567" s="576">
        <f t="shared" si="675"/>
        <v>0</v>
      </c>
      <c r="O2567" s="577">
        <f t="shared" si="689"/>
        <v>0</v>
      </c>
      <c r="P2567" s="578">
        <f t="shared" si="690"/>
        <v>0</v>
      </c>
      <c r="Q2567" s="765"/>
      <c r="R2567" s="723"/>
      <c r="S2567" s="723"/>
      <c r="T2567" s="577">
        <f t="shared" si="687"/>
        <v>0</v>
      </c>
      <c r="U2567" s="578">
        <f t="shared" si="688"/>
        <v>0</v>
      </c>
      <c r="V2567" s="579"/>
      <c r="W2567" s="566" t="str">
        <f>IF(U2564&gt;0,"xx",IF(P2564&gt;0,"xy",""))</f>
        <v/>
      </c>
      <c r="X2567" s="586" t="str">
        <f t="shared" si="681"/>
        <v/>
      </c>
      <c r="Y2567" s="586" t="str">
        <f t="shared" si="672"/>
        <v/>
      </c>
      <c r="Z2567" s="586" t="str">
        <f t="shared" si="680"/>
        <v/>
      </c>
    </row>
    <row r="2568" spans="1:26" ht="12" hidden="1" thickBot="1" x14ac:dyDescent="0.25">
      <c r="A2568" s="567" t="s">
        <v>168</v>
      </c>
      <c r="B2568" s="644" t="s">
        <v>168</v>
      </c>
      <c r="C2568" s="645"/>
      <c r="D2568" s="422" t="s">
        <v>400</v>
      </c>
      <c r="E2568" s="423"/>
      <c r="F2568" s="424">
        <v>30</v>
      </c>
      <c r="G2568" s="425">
        <f>VLOOKUP(D2564,'[2]ENSAIOS DE ORÇAMENTO'!$C$3:$L$79,3,FALSE)</f>
        <v>0</v>
      </c>
      <c r="H2568" s="663">
        <f t="shared" si="691"/>
        <v>0</v>
      </c>
      <c r="I2568" s="420"/>
      <c r="J2568" s="420"/>
      <c r="K2568" s="421">
        <f t="shared" si="686"/>
        <v>0</v>
      </c>
      <c r="L2568" s="647"/>
      <c r="M2568" s="723"/>
      <c r="N2568" s="576">
        <f t="shared" si="675"/>
        <v>0</v>
      </c>
      <c r="O2568" s="577">
        <f t="shared" si="689"/>
        <v>0</v>
      </c>
      <c r="P2568" s="578">
        <f t="shared" si="690"/>
        <v>0</v>
      </c>
      <c r="Q2568" s="765"/>
      <c r="R2568" s="723"/>
      <c r="S2568" s="723"/>
      <c r="T2568" s="577">
        <f t="shared" si="687"/>
        <v>0</v>
      </c>
      <c r="U2568" s="578">
        <f t="shared" si="688"/>
        <v>0</v>
      </c>
      <c r="V2568" s="579"/>
      <c r="W2568" s="566" t="str">
        <f>IF(U2564&gt;0,"xx",IF(P2564&gt;0,"xy",""))</f>
        <v/>
      </c>
      <c r="X2568" s="586" t="str">
        <f t="shared" si="681"/>
        <v/>
      </c>
      <c r="Y2568" s="586" t="str">
        <f t="shared" ref="Y2568:Y2631" si="692">IF(W2568="X","x",IF(W2568="y","x",IF(W2568="xx","x",IF(U2568&gt;0,"x",""))))</f>
        <v/>
      </c>
      <c r="Z2568" s="586" t="str">
        <f t="shared" si="680"/>
        <v/>
      </c>
    </row>
    <row r="2569" spans="1:26" ht="12" hidden="1" thickBot="1" x14ac:dyDescent="0.25">
      <c r="A2569" s="567" t="s">
        <v>168</v>
      </c>
      <c r="B2569" s="644" t="s">
        <v>168</v>
      </c>
      <c r="C2569" s="645"/>
      <c r="D2569" s="422" t="s">
        <v>401</v>
      </c>
      <c r="E2569" s="423"/>
      <c r="F2569" s="424">
        <v>500</v>
      </c>
      <c r="G2569" s="425">
        <f>VLOOKUP(D2564,'[2]ENSAIOS DE ORÇAMENTO'!$C$3:$L$79,10,FALSE)</f>
        <v>0</v>
      </c>
      <c r="H2569" s="649">
        <f>IF(F2569&lt;=30,(0.78*F2569+7.82)*G2569,((0.78*30+7.82)+0.78*(F2569-30))*G2569)</f>
        <v>0</v>
      </c>
      <c r="I2569" s="420"/>
      <c r="J2569" s="420"/>
      <c r="K2569" s="421">
        <f t="shared" si="686"/>
        <v>0</v>
      </c>
      <c r="L2569" s="647"/>
      <c r="M2569" s="723"/>
      <c r="N2569" s="576">
        <f t="shared" si="675"/>
        <v>0</v>
      </c>
      <c r="O2569" s="577">
        <f t="shared" si="689"/>
        <v>0</v>
      </c>
      <c r="P2569" s="578">
        <f t="shared" si="690"/>
        <v>0</v>
      </c>
      <c r="Q2569" s="765"/>
      <c r="R2569" s="723"/>
      <c r="S2569" s="723"/>
      <c r="T2569" s="577">
        <f t="shared" si="687"/>
        <v>0</v>
      </c>
      <c r="U2569" s="578">
        <f t="shared" si="688"/>
        <v>0</v>
      </c>
      <c r="V2569" s="579"/>
      <c r="W2569" s="566" t="str">
        <f>IF(U2564&gt;0,"xx",IF(P2564&gt;0,"xy",""))</f>
        <v/>
      </c>
      <c r="X2569" s="586" t="str">
        <f t="shared" si="681"/>
        <v/>
      </c>
      <c r="Y2569" s="586" t="str">
        <f t="shared" si="692"/>
        <v/>
      </c>
      <c r="Z2569" s="586" t="str">
        <f t="shared" si="680"/>
        <v/>
      </c>
    </row>
    <row r="2570" spans="1:26" ht="12" hidden="1" thickBot="1" x14ac:dyDescent="0.25">
      <c r="A2570" s="567" t="s">
        <v>428</v>
      </c>
      <c r="B2570" s="644" t="s">
        <v>428</v>
      </c>
      <c r="C2570" s="645" t="s">
        <v>206</v>
      </c>
      <c r="D2570" s="422" t="str">
        <f>'[2]ENSAIOS DE ORÇAMENTO'!C70</f>
        <v>ENSAIO DE ORÇAMENTO 1</v>
      </c>
      <c r="E2570" s="423"/>
      <c r="F2570" s="424"/>
      <c r="G2570" s="425"/>
      <c r="H2570" s="651">
        <f>SUM(H2571:H2575)</f>
        <v>0</v>
      </c>
      <c r="I2570" s="420">
        <f>VLOOKUP(D2570,'[2]ENSAIOS DE ORÇAMENTO'!$C$3:$L$79,8,FALSE)</f>
        <v>0</v>
      </c>
      <c r="J2570" s="420">
        <f t="shared" ref="J2570:J2588" si="693">IF(ISBLANK(I2570),"",SUM(H2570:I2570))</f>
        <v>0</v>
      </c>
      <c r="K2570" s="421">
        <f t="shared" si="686"/>
        <v>0</v>
      </c>
      <c r="L2570" s="647" t="s">
        <v>21</v>
      </c>
      <c r="M2570" s="576"/>
      <c r="N2570" s="576">
        <f t="shared" si="675"/>
        <v>0</v>
      </c>
      <c r="O2570" s="577">
        <f t="shared" si="689"/>
        <v>0</v>
      </c>
      <c r="P2570" s="578">
        <f t="shared" si="690"/>
        <v>0</v>
      </c>
      <c r="Q2570" s="765"/>
      <c r="R2570" s="576">
        <f>M2570</f>
        <v>0</v>
      </c>
      <c r="S2570" s="576">
        <f>N2570</f>
        <v>0</v>
      </c>
      <c r="T2570" s="577">
        <f t="shared" si="687"/>
        <v>0</v>
      </c>
      <c r="U2570" s="578">
        <f t="shared" si="688"/>
        <v>0</v>
      </c>
      <c r="V2570" s="579"/>
      <c r="W2570" s="566"/>
      <c r="X2570" s="586" t="str">
        <f t="shared" si="681"/>
        <v/>
      </c>
      <c r="Y2570" s="586" t="str">
        <f t="shared" si="692"/>
        <v/>
      </c>
      <c r="Z2570" s="586" t="str">
        <f t="shared" si="680"/>
        <v/>
      </c>
    </row>
    <row r="2571" spans="1:26" ht="12" hidden="1" thickBot="1" x14ac:dyDescent="0.25">
      <c r="A2571" s="567" t="s">
        <v>168</v>
      </c>
      <c r="B2571" s="644" t="s">
        <v>168</v>
      </c>
      <c r="C2571" s="645"/>
      <c r="D2571" s="451" t="s">
        <v>212</v>
      </c>
      <c r="E2571" s="423"/>
      <c r="F2571" s="424">
        <v>500</v>
      </c>
      <c r="G2571" s="425">
        <f>VLOOKUP(D2570,'[2]ENSAIOS DE ORÇAMENTO'!$C$3:$L$79,4,FALSE)</f>
        <v>0</v>
      </c>
      <c r="H2571" s="649">
        <f>IF(F2571&lt;=30,(0.78*F2571+7.82)*G2571,((0.78*30+7.82)+0.78*(F2571-30))*G2571)</f>
        <v>0</v>
      </c>
      <c r="I2571" s="420"/>
      <c r="J2571" s="420" t="str">
        <f t="shared" si="693"/>
        <v/>
      </c>
      <c r="K2571" s="421">
        <f t="shared" si="686"/>
        <v>0</v>
      </c>
      <c r="L2571" s="668" t="s">
        <v>614</v>
      </c>
      <c r="M2571" s="669"/>
      <c r="N2571" s="576">
        <f t="shared" si="675"/>
        <v>0</v>
      </c>
      <c r="O2571" s="577">
        <f t="shared" si="689"/>
        <v>0</v>
      </c>
      <c r="P2571" s="578">
        <f t="shared" si="690"/>
        <v>0</v>
      </c>
      <c r="Q2571" s="765"/>
      <c r="R2571" s="669"/>
      <c r="S2571" s="670"/>
      <c r="T2571" s="577">
        <f t="shared" si="687"/>
        <v>0</v>
      </c>
      <c r="U2571" s="578">
        <f t="shared" si="688"/>
        <v>0</v>
      </c>
      <c r="V2571" s="579"/>
      <c r="W2571" s="637" t="str">
        <f>IF(U2570&gt;0,"xx",IF(P2570&gt;0,"xy",""))</f>
        <v/>
      </c>
      <c r="X2571" s="586" t="str">
        <f t="shared" si="681"/>
        <v/>
      </c>
      <c r="Y2571" s="586" t="str">
        <f t="shared" si="692"/>
        <v/>
      </c>
      <c r="Z2571" s="586" t="str">
        <f t="shared" si="680"/>
        <v/>
      </c>
    </row>
    <row r="2572" spans="1:26" ht="12" hidden="1" thickBot="1" x14ac:dyDescent="0.25">
      <c r="A2572" s="567" t="s">
        <v>168</v>
      </c>
      <c r="B2572" s="644" t="s">
        <v>168</v>
      </c>
      <c r="C2572" s="645"/>
      <c r="D2572" s="451" t="s">
        <v>248</v>
      </c>
      <c r="E2572" s="423"/>
      <c r="F2572" s="424">
        <v>180</v>
      </c>
      <c r="G2572" s="425">
        <f>VLOOKUP(D2570,'[2]ENSAIOS DE ORÇAMENTO'!$C$3:$L$79,5,FALSE)</f>
        <v>0</v>
      </c>
      <c r="H2572" s="663">
        <f t="shared" ref="H2572:H2574" si="694">IF(F2572&lt;=30,(1.07*F2572+2.68)*G2572,((1.07*30+2.68)+1.07*(F2572-30))*G2572)</f>
        <v>0</v>
      </c>
      <c r="I2572" s="420"/>
      <c r="J2572" s="420" t="str">
        <f t="shared" si="693"/>
        <v/>
      </c>
      <c r="K2572" s="421">
        <f t="shared" si="686"/>
        <v>0</v>
      </c>
      <c r="L2572" s="668" t="s">
        <v>614</v>
      </c>
      <c r="M2572" s="669"/>
      <c r="N2572" s="576">
        <f t="shared" si="675"/>
        <v>0</v>
      </c>
      <c r="O2572" s="577">
        <f t="shared" si="689"/>
        <v>0</v>
      </c>
      <c r="P2572" s="578">
        <f t="shared" si="690"/>
        <v>0</v>
      </c>
      <c r="Q2572" s="765"/>
      <c r="R2572" s="669"/>
      <c r="S2572" s="670"/>
      <c r="T2572" s="577">
        <f t="shared" si="687"/>
        <v>0</v>
      </c>
      <c r="U2572" s="578">
        <f t="shared" si="688"/>
        <v>0</v>
      </c>
      <c r="V2572" s="579"/>
      <c r="W2572" s="637" t="str">
        <f>IF(U2570&gt;0,"xx",IF(P2570&gt;0,"xy",""))</f>
        <v/>
      </c>
      <c r="X2572" s="586" t="str">
        <f t="shared" si="681"/>
        <v/>
      </c>
      <c r="Y2572" s="586" t="str">
        <f t="shared" si="692"/>
        <v/>
      </c>
      <c r="Z2572" s="586" t="str">
        <f t="shared" si="680"/>
        <v/>
      </c>
    </row>
    <row r="2573" spans="1:26" ht="12" hidden="1" thickBot="1" x14ac:dyDescent="0.25">
      <c r="A2573" s="567" t="s">
        <v>168</v>
      </c>
      <c r="B2573" s="644" t="s">
        <v>168</v>
      </c>
      <c r="C2573" s="645"/>
      <c r="D2573" s="451" t="s">
        <v>252</v>
      </c>
      <c r="E2573" s="423"/>
      <c r="F2573" s="424">
        <v>20</v>
      </c>
      <c r="G2573" s="425">
        <f>VLOOKUP(D2570,'[2]ENSAIOS DE ORÇAMENTO'!$C$3:$L$79,6,FALSE)</f>
        <v>0</v>
      </c>
      <c r="H2573" s="663">
        <f t="shared" si="694"/>
        <v>0</v>
      </c>
      <c r="I2573" s="420"/>
      <c r="J2573" s="420" t="str">
        <f t="shared" si="693"/>
        <v/>
      </c>
      <c r="K2573" s="421">
        <f t="shared" si="686"/>
        <v>0</v>
      </c>
      <c r="L2573" s="668" t="s">
        <v>614</v>
      </c>
      <c r="M2573" s="669"/>
      <c r="N2573" s="576">
        <f t="shared" si="675"/>
        <v>0</v>
      </c>
      <c r="O2573" s="577">
        <f t="shared" si="689"/>
        <v>0</v>
      </c>
      <c r="P2573" s="578">
        <f t="shared" si="690"/>
        <v>0</v>
      </c>
      <c r="Q2573" s="765"/>
      <c r="R2573" s="669"/>
      <c r="S2573" s="670"/>
      <c r="T2573" s="577">
        <f t="shared" si="687"/>
        <v>0</v>
      </c>
      <c r="U2573" s="578">
        <f t="shared" si="688"/>
        <v>0</v>
      </c>
      <c r="V2573" s="579"/>
      <c r="W2573" s="637" t="str">
        <f>IF(U2570&gt;0,"xx",IF(P2570&gt;0,"xy",""))</f>
        <v/>
      </c>
      <c r="X2573" s="586" t="str">
        <f t="shared" si="681"/>
        <v/>
      </c>
      <c r="Y2573" s="586" t="str">
        <f t="shared" si="692"/>
        <v/>
      </c>
      <c r="Z2573" s="586" t="str">
        <f t="shared" si="680"/>
        <v/>
      </c>
    </row>
    <row r="2574" spans="1:26" ht="12" hidden="1" thickBot="1" x14ac:dyDescent="0.25">
      <c r="A2574" s="567" t="s">
        <v>168</v>
      </c>
      <c r="B2574" s="644" t="s">
        <v>168</v>
      </c>
      <c r="C2574" s="645"/>
      <c r="D2574" s="451" t="s">
        <v>400</v>
      </c>
      <c r="E2574" s="423"/>
      <c r="F2574" s="424">
        <v>30</v>
      </c>
      <c r="G2574" s="425">
        <f>VLOOKUP(D2570,'[2]ENSAIOS DE ORÇAMENTO'!$C$3:$L$79,3,FALSE)</f>
        <v>0</v>
      </c>
      <c r="H2574" s="663">
        <f t="shared" si="694"/>
        <v>0</v>
      </c>
      <c r="I2574" s="420"/>
      <c r="J2574" s="420" t="str">
        <f t="shared" si="693"/>
        <v/>
      </c>
      <c r="K2574" s="421">
        <f t="shared" si="686"/>
        <v>0</v>
      </c>
      <c r="L2574" s="668" t="s">
        <v>614</v>
      </c>
      <c r="M2574" s="669"/>
      <c r="N2574" s="576">
        <f t="shared" si="675"/>
        <v>0</v>
      </c>
      <c r="O2574" s="577">
        <f t="shared" si="689"/>
        <v>0</v>
      </c>
      <c r="P2574" s="578">
        <f t="shared" si="690"/>
        <v>0</v>
      </c>
      <c r="Q2574" s="765"/>
      <c r="R2574" s="669"/>
      <c r="S2574" s="670"/>
      <c r="T2574" s="577">
        <f t="shared" si="687"/>
        <v>0</v>
      </c>
      <c r="U2574" s="578">
        <f t="shared" si="688"/>
        <v>0</v>
      </c>
      <c r="V2574" s="579"/>
      <c r="W2574" s="637" t="str">
        <f>IF(U2570&gt;0,"xx",IF(P2570&gt;0,"xy",""))</f>
        <v/>
      </c>
      <c r="X2574" s="586" t="str">
        <f t="shared" si="681"/>
        <v/>
      </c>
      <c r="Y2574" s="586" t="str">
        <f t="shared" si="692"/>
        <v/>
      </c>
      <c r="Z2574" s="586" t="str">
        <f t="shared" si="680"/>
        <v/>
      </c>
    </row>
    <row r="2575" spans="1:26" ht="12" hidden="1" thickBot="1" x14ac:dyDescent="0.25">
      <c r="A2575" s="567" t="s">
        <v>168</v>
      </c>
      <c r="B2575" s="644" t="s">
        <v>168</v>
      </c>
      <c r="C2575" s="645"/>
      <c r="D2575" s="451" t="s">
        <v>401</v>
      </c>
      <c r="E2575" s="423"/>
      <c r="F2575" s="424">
        <v>500</v>
      </c>
      <c r="G2575" s="425">
        <f>VLOOKUP(D2570,'[2]ENSAIOS DE ORÇAMENTO'!$C$3:$L$79,10,FALSE)</f>
        <v>0</v>
      </c>
      <c r="H2575" s="649">
        <f>IF(F2575&lt;=30,(0.78*F2575+7.82)*G2575,((0.78*30+7.82)+0.78*(F2575-30))*G2575)</f>
        <v>0</v>
      </c>
      <c r="I2575" s="420"/>
      <c r="J2575" s="420" t="str">
        <f t="shared" si="693"/>
        <v/>
      </c>
      <c r="K2575" s="421">
        <f t="shared" si="686"/>
        <v>0</v>
      </c>
      <c r="L2575" s="668" t="s">
        <v>614</v>
      </c>
      <c r="M2575" s="669"/>
      <c r="N2575" s="576">
        <f t="shared" si="675"/>
        <v>0</v>
      </c>
      <c r="O2575" s="577">
        <f t="shared" si="689"/>
        <v>0</v>
      </c>
      <c r="P2575" s="578">
        <f t="shared" si="690"/>
        <v>0</v>
      </c>
      <c r="Q2575" s="765"/>
      <c r="R2575" s="669"/>
      <c r="S2575" s="670"/>
      <c r="T2575" s="577">
        <f t="shared" si="687"/>
        <v>0</v>
      </c>
      <c r="U2575" s="578">
        <f t="shared" si="688"/>
        <v>0</v>
      </c>
      <c r="V2575" s="579"/>
      <c r="W2575" s="637" t="str">
        <f>IF(U2570&gt;0,"xx",IF(P2570&gt;0,"xy",""))</f>
        <v/>
      </c>
      <c r="X2575" s="586" t="str">
        <f t="shared" si="681"/>
        <v/>
      </c>
      <c r="Y2575" s="586" t="str">
        <f t="shared" si="692"/>
        <v/>
      </c>
      <c r="Z2575" s="586" t="str">
        <f t="shared" si="680"/>
        <v/>
      </c>
    </row>
    <row r="2576" spans="1:26" ht="12" hidden="1" thickBot="1" x14ac:dyDescent="0.25">
      <c r="A2576" s="567" t="s">
        <v>429</v>
      </c>
      <c r="B2576" s="644" t="s">
        <v>429</v>
      </c>
      <c r="C2576" s="645" t="s">
        <v>206</v>
      </c>
      <c r="D2576" s="422" t="str">
        <f>'[2]ENSAIOS DE ORÇAMENTO'!C71</f>
        <v>ENSAIO DE ORÇAMENTO 2</v>
      </c>
      <c r="E2576" s="423"/>
      <c r="F2576" s="424"/>
      <c r="G2576" s="425"/>
      <c r="H2576" s="651">
        <f>SUM(H2577:H2581)</f>
        <v>0</v>
      </c>
      <c r="I2576" s="420">
        <f>VLOOKUP(D2576,'[2]ENSAIOS DE ORÇAMENTO'!$C$3:$L$79,8,FALSE)</f>
        <v>0</v>
      </c>
      <c r="J2576" s="420">
        <f t="shared" si="693"/>
        <v>0</v>
      </c>
      <c r="K2576" s="421">
        <f t="shared" si="686"/>
        <v>0</v>
      </c>
      <c r="L2576" s="647" t="s">
        <v>21</v>
      </c>
      <c r="M2576" s="576"/>
      <c r="N2576" s="576">
        <f t="shared" si="675"/>
        <v>0</v>
      </c>
      <c r="O2576" s="577">
        <f t="shared" si="689"/>
        <v>0</v>
      </c>
      <c r="P2576" s="578">
        <f t="shared" si="690"/>
        <v>0</v>
      </c>
      <c r="Q2576" s="765"/>
      <c r="R2576" s="576">
        <f>M2576</f>
        <v>0</v>
      </c>
      <c r="S2576" s="576">
        <f>N2576</f>
        <v>0</v>
      </c>
      <c r="T2576" s="577">
        <f t="shared" si="687"/>
        <v>0</v>
      </c>
      <c r="U2576" s="578">
        <f t="shared" si="688"/>
        <v>0</v>
      </c>
      <c r="V2576" s="579"/>
      <c r="W2576" s="566"/>
      <c r="X2576" s="586" t="str">
        <f t="shared" si="681"/>
        <v/>
      </c>
      <c r="Y2576" s="586" t="str">
        <f t="shared" si="692"/>
        <v/>
      </c>
      <c r="Z2576" s="586" t="str">
        <f t="shared" si="680"/>
        <v/>
      </c>
    </row>
    <row r="2577" spans="1:26" ht="12" hidden="1" thickBot="1" x14ac:dyDescent="0.25">
      <c r="A2577" s="567" t="s">
        <v>168</v>
      </c>
      <c r="B2577" s="644" t="s">
        <v>168</v>
      </c>
      <c r="C2577" s="645"/>
      <c r="D2577" s="451" t="s">
        <v>212</v>
      </c>
      <c r="E2577" s="423"/>
      <c r="F2577" s="424">
        <v>500</v>
      </c>
      <c r="G2577" s="425">
        <f>VLOOKUP(D2576,'[2]ENSAIOS DE ORÇAMENTO'!$C$3:$L$79,4,FALSE)</f>
        <v>0</v>
      </c>
      <c r="H2577" s="649">
        <f>IF(F2577&lt;=30,(0.78*F2577+7.82)*G2577,((0.78*30+7.82)+0.78*(F2577-30))*G2577)</f>
        <v>0</v>
      </c>
      <c r="I2577" s="420"/>
      <c r="J2577" s="420" t="str">
        <f t="shared" si="693"/>
        <v/>
      </c>
      <c r="K2577" s="421">
        <f t="shared" si="686"/>
        <v>0</v>
      </c>
      <c r="L2577" s="668" t="s">
        <v>614</v>
      </c>
      <c r="M2577" s="669"/>
      <c r="N2577" s="576">
        <f t="shared" si="675"/>
        <v>0</v>
      </c>
      <c r="O2577" s="577">
        <f t="shared" si="689"/>
        <v>0</v>
      </c>
      <c r="P2577" s="578">
        <f t="shared" si="690"/>
        <v>0</v>
      </c>
      <c r="Q2577" s="765"/>
      <c r="R2577" s="669"/>
      <c r="S2577" s="670"/>
      <c r="T2577" s="577">
        <f t="shared" si="687"/>
        <v>0</v>
      </c>
      <c r="U2577" s="578">
        <f t="shared" si="688"/>
        <v>0</v>
      </c>
      <c r="V2577" s="579"/>
      <c r="W2577" s="637" t="str">
        <f>IF(U2576&gt;0,"xx",IF(P2576&gt;0,"xy",""))</f>
        <v/>
      </c>
      <c r="X2577" s="586" t="str">
        <f t="shared" si="681"/>
        <v/>
      </c>
      <c r="Y2577" s="586" t="str">
        <f t="shared" si="692"/>
        <v/>
      </c>
      <c r="Z2577" s="586" t="str">
        <f t="shared" si="680"/>
        <v/>
      </c>
    </row>
    <row r="2578" spans="1:26" ht="12" hidden="1" thickBot="1" x14ac:dyDescent="0.25">
      <c r="A2578" s="567" t="s">
        <v>168</v>
      </c>
      <c r="B2578" s="644" t="s">
        <v>168</v>
      </c>
      <c r="C2578" s="645"/>
      <c r="D2578" s="451" t="s">
        <v>248</v>
      </c>
      <c r="E2578" s="423"/>
      <c r="F2578" s="424">
        <v>180</v>
      </c>
      <c r="G2578" s="425">
        <f>VLOOKUP(D2576,'[2]ENSAIOS DE ORÇAMENTO'!$C$3:$L$79,5,FALSE)</f>
        <v>0</v>
      </c>
      <c r="H2578" s="663">
        <f t="shared" ref="H2578:H2580" si="695">IF(F2578&lt;=30,(1.07*F2578+2.68)*G2578,((1.07*30+2.68)+1.07*(F2578-30))*G2578)</f>
        <v>0</v>
      </c>
      <c r="I2578" s="420"/>
      <c r="J2578" s="420" t="str">
        <f t="shared" si="693"/>
        <v/>
      </c>
      <c r="K2578" s="421">
        <f t="shared" si="686"/>
        <v>0</v>
      </c>
      <c r="L2578" s="668" t="s">
        <v>614</v>
      </c>
      <c r="M2578" s="669"/>
      <c r="N2578" s="576">
        <f t="shared" si="675"/>
        <v>0</v>
      </c>
      <c r="O2578" s="577">
        <f t="shared" si="689"/>
        <v>0</v>
      </c>
      <c r="P2578" s="578">
        <f t="shared" si="690"/>
        <v>0</v>
      </c>
      <c r="Q2578" s="765"/>
      <c r="R2578" s="669"/>
      <c r="S2578" s="670"/>
      <c r="T2578" s="577">
        <f t="shared" si="687"/>
        <v>0</v>
      </c>
      <c r="U2578" s="578">
        <f t="shared" si="688"/>
        <v>0</v>
      </c>
      <c r="V2578" s="579"/>
      <c r="W2578" s="637" t="str">
        <f>IF(U2576&gt;0,"xx",IF(P2576&gt;0,"xy",""))</f>
        <v/>
      </c>
      <c r="X2578" s="586" t="str">
        <f t="shared" si="681"/>
        <v/>
      </c>
      <c r="Y2578" s="586" t="str">
        <f t="shared" si="692"/>
        <v/>
      </c>
      <c r="Z2578" s="586" t="str">
        <f t="shared" si="680"/>
        <v/>
      </c>
    </row>
    <row r="2579" spans="1:26" ht="12" hidden="1" thickBot="1" x14ac:dyDescent="0.25">
      <c r="A2579" s="567" t="s">
        <v>168</v>
      </c>
      <c r="B2579" s="644" t="s">
        <v>168</v>
      </c>
      <c r="C2579" s="645"/>
      <c r="D2579" s="451" t="s">
        <v>252</v>
      </c>
      <c r="E2579" s="423"/>
      <c r="F2579" s="424">
        <v>20</v>
      </c>
      <c r="G2579" s="425">
        <f>VLOOKUP(D2576,'[2]ENSAIOS DE ORÇAMENTO'!$C$3:$L$79,6,FALSE)</f>
        <v>0</v>
      </c>
      <c r="H2579" s="663">
        <f t="shared" si="695"/>
        <v>0</v>
      </c>
      <c r="I2579" s="420"/>
      <c r="J2579" s="420" t="str">
        <f t="shared" si="693"/>
        <v/>
      </c>
      <c r="K2579" s="421">
        <f t="shared" si="686"/>
        <v>0</v>
      </c>
      <c r="L2579" s="668" t="s">
        <v>614</v>
      </c>
      <c r="M2579" s="669"/>
      <c r="N2579" s="576">
        <f t="shared" si="675"/>
        <v>0</v>
      </c>
      <c r="O2579" s="577">
        <f t="shared" si="689"/>
        <v>0</v>
      </c>
      <c r="P2579" s="578">
        <f t="shared" si="690"/>
        <v>0</v>
      </c>
      <c r="Q2579" s="765"/>
      <c r="R2579" s="669"/>
      <c r="S2579" s="670"/>
      <c r="T2579" s="577">
        <f t="shared" si="687"/>
        <v>0</v>
      </c>
      <c r="U2579" s="578">
        <f t="shared" si="688"/>
        <v>0</v>
      </c>
      <c r="V2579" s="579"/>
      <c r="W2579" s="637" t="str">
        <f>IF(U2576&gt;0,"xx",IF(P2576&gt;0,"xy",""))</f>
        <v/>
      </c>
      <c r="X2579" s="586" t="str">
        <f t="shared" si="681"/>
        <v/>
      </c>
      <c r="Y2579" s="586" t="str">
        <f t="shared" si="692"/>
        <v/>
      </c>
      <c r="Z2579" s="586" t="str">
        <f t="shared" si="680"/>
        <v/>
      </c>
    </row>
    <row r="2580" spans="1:26" ht="12" hidden="1" thickBot="1" x14ac:dyDescent="0.25">
      <c r="A2580" s="567" t="s">
        <v>168</v>
      </c>
      <c r="B2580" s="644" t="s">
        <v>168</v>
      </c>
      <c r="C2580" s="645"/>
      <c r="D2580" s="451" t="s">
        <v>400</v>
      </c>
      <c r="E2580" s="423"/>
      <c r="F2580" s="424">
        <v>30</v>
      </c>
      <c r="G2580" s="425">
        <f>VLOOKUP(D2576,'[2]ENSAIOS DE ORÇAMENTO'!$C$3:$L$79,3,FALSE)</f>
        <v>0</v>
      </c>
      <c r="H2580" s="663">
        <f t="shared" si="695"/>
        <v>0</v>
      </c>
      <c r="I2580" s="420"/>
      <c r="J2580" s="420" t="str">
        <f t="shared" si="693"/>
        <v/>
      </c>
      <c r="K2580" s="421">
        <f t="shared" si="686"/>
        <v>0</v>
      </c>
      <c r="L2580" s="668" t="s">
        <v>614</v>
      </c>
      <c r="M2580" s="669"/>
      <c r="N2580" s="576">
        <f t="shared" ref="N2580:N2643" si="696">IF(M2580=0,0,K2580)</f>
        <v>0</v>
      </c>
      <c r="O2580" s="577">
        <f t="shared" si="689"/>
        <v>0</v>
      </c>
      <c r="P2580" s="578">
        <f t="shared" si="690"/>
        <v>0</v>
      </c>
      <c r="Q2580" s="765"/>
      <c r="R2580" s="669"/>
      <c r="S2580" s="670"/>
      <c r="T2580" s="577">
        <f t="shared" si="687"/>
        <v>0</v>
      </c>
      <c r="U2580" s="578">
        <f t="shared" si="688"/>
        <v>0</v>
      </c>
      <c r="V2580" s="579"/>
      <c r="W2580" s="637" t="str">
        <f>IF(U2576&gt;0,"xx",IF(P2576&gt;0,"xy",""))</f>
        <v/>
      </c>
      <c r="X2580" s="586" t="str">
        <f t="shared" si="681"/>
        <v/>
      </c>
      <c r="Y2580" s="586" t="str">
        <f t="shared" si="692"/>
        <v/>
      </c>
      <c r="Z2580" s="586" t="str">
        <f t="shared" si="680"/>
        <v/>
      </c>
    </row>
    <row r="2581" spans="1:26" ht="12" hidden="1" thickBot="1" x14ac:dyDescent="0.25">
      <c r="A2581" s="567" t="s">
        <v>168</v>
      </c>
      <c r="B2581" s="644" t="s">
        <v>168</v>
      </c>
      <c r="C2581" s="645"/>
      <c r="D2581" s="451" t="s">
        <v>401</v>
      </c>
      <c r="E2581" s="423"/>
      <c r="F2581" s="424">
        <v>500</v>
      </c>
      <c r="G2581" s="425">
        <f>VLOOKUP(D2576,'[2]ENSAIOS DE ORÇAMENTO'!$C$3:$L$79,10,FALSE)</f>
        <v>0</v>
      </c>
      <c r="H2581" s="649">
        <f>IF(F2581&lt;=30,(0.78*F2581+7.82)*G2581,((0.78*30+7.82)+0.78*(F2581-30))*G2581)</f>
        <v>0</v>
      </c>
      <c r="I2581" s="420"/>
      <c r="J2581" s="420" t="str">
        <f t="shared" si="693"/>
        <v/>
      </c>
      <c r="K2581" s="421">
        <f t="shared" si="686"/>
        <v>0</v>
      </c>
      <c r="L2581" s="668" t="s">
        <v>614</v>
      </c>
      <c r="M2581" s="669"/>
      <c r="N2581" s="576">
        <f t="shared" si="696"/>
        <v>0</v>
      </c>
      <c r="O2581" s="577">
        <f t="shared" si="689"/>
        <v>0</v>
      </c>
      <c r="P2581" s="578">
        <f t="shared" si="690"/>
        <v>0</v>
      </c>
      <c r="Q2581" s="765"/>
      <c r="R2581" s="669"/>
      <c r="S2581" s="670"/>
      <c r="T2581" s="577">
        <f t="shared" si="687"/>
        <v>0</v>
      </c>
      <c r="U2581" s="578">
        <f t="shared" si="688"/>
        <v>0</v>
      </c>
      <c r="V2581" s="579"/>
      <c r="W2581" s="637" t="str">
        <f>IF(U2576&gt;0,"xx",IF(P2576&gt;0,"xy",""))</f>
        <v/>
      </c>
      <c r="X2581" s="586" t="str">
        <f t="shared" si="681"/>
        <v/>
      </c>
      <c r="Y2581" s="586" t="str">
        <f t="shared" si="692"/>
        <v/>
      </c>
      <c r="Z2581" s="586" t="str">
        <f t="shared" si="680"/>
        <v/>
      </c>
    </row>
    <row r="2582" spans="1:26" ht="12" hidden="1" thickBot="1" x14ac:dyDescent="0.25">
      <c r="A2582" s="567" t="s">
        <v>430</v>
      </c>
      <c r="B2582" s="644" t="s">
        <v>430</v>
      </c>
      <c r="C2582" s="645" t="s">
        <v>206</v>
      </c>
      <c r="D2582" s="422" t="str">
        <f>'[2]ENSAIOS DE ORÇAMENTO'!C72</f>
        <v>ENSAIO DE ORÇAMENTO 3</v>
      </c>
      <c r="E2582" s="423"/>
      <c r="F2582" s="424"/>
      <c r="G2582" s="425"/>
      <c r="H2582" s="651">
        <f>SUM(H2583:H2587)</f>
        <v>0</v>
      </c>
      <c r="I2582" s="420">
        <f>VLOOKUP(D2582,'[2]ENSAIOS DE ORÇAMENTO'!$C$3:$L$79,8,FALSE)</f>
        <v>0</v>
      </c>
      <c r="J2582" s="420">
        <f t="shared" si="693"/>
        <v>0</v>
      </c>
      <c r="K2582" s="421">
        <f t="shared" si="686"/>
        <v>0</v>
      </c>
      <c r="L2582" s="647" t="s">
        <v>21</v>
      </c>
      <c r="M2582" s="576"/>
      <c r="N2582" s="576">
        <f t="shared" si="696"/>
        <v>0</v>
      </c>
      <c r="O2582" s="577">
        <f t="shared" si="689"/>
        <v>0</v>
      </c>
      <c r="P2582" s="578">
        <f t="shared" si="690"/>
        <v>0</v>
      </c>
      <c r="Q2582" s="765"/>
      <c r="R2582" s="576">
        <f>M2582</f>
        <v>0</v>
      </c>
      <c r="S2582" s="576">
        <f>N2582</f>
        <v>0</v>
      </c>
      <c r="T2582" s="577">
        <f t="shared" si="687"/>
        <v>0</v>
      </c>
      <c r="U2582" s="578">
        <f t="shared" si="688"/>
        <v>0</v>
      </c>
      <c r="V2582" s="579"/>
      <c r="W2582" s="566"/>
      <c r="X2582" s="586" t="str">
        <f t="shared" si="681"/>
        <v/>
      </c>
      <c r="Y2582" s="586" t="str">
        <f t="shared" si="692"/>
        <v/>
      </c>
      <c r="Z2582" s="586" t="str">
        <f t="shared" si="680"/>
        <v/>
      </c>
    </row>
    <row r="2583" spans="1:26" ht="12" hidden="1" thickBot="1" x14ac:dyDescent="0.25">
      <c r="A2583" s="567" t="s">
        <v>168</v>
      </c>
      <c r="B2583" s="644" t="s">
        <v>168</v>
      </c>
      <c r="C2583" s="645"/>
      <c r="D2583" s="451" t="s">
        <v>212</v>
      </c>
      <c r="E2583" s="423"/>
      <c r="F2583" s="424">
        <v>500</v>
      </c>
      <c r="G2583" s="425">
        <f>VLOOKUP(D2582,'[2]ENSAIOS DE ORÇAMENTO'!$C$3:$L$79,4,FALSE)</f>
        <v>0</v>
      </c>
      <c r="H2583" s="649">
        <f>IF(F2583&lt;=30,(0.78*F2583+7.82)*G2583,((0.78*30+7.82)+0.78*(F2583-30))*G2583)</f>
        <v>0</v>
      </c>
      <c r="I2583" s="420"/>
      <c r="J2583" s="420" t="str">
        <f t="shared" si="693"/>
        <v/>
      </c>
      <c r="K2583" s="421">
        <f t="shared" si="686"/>
        <v>0</v>
      </c>
      <c r="L2583" s="668" t="s">
        <v>614</v>
      </c>
      <c r="M2583" s="669"/>
      <c r="N2583" s="576">
        <f t="shared" si="696"/>
        <v>0</v>
      </c>
      <c r="O2583" s="577">
        <f t="shared" si="689"/>
        <v>0</v>
      </c>
      <c r="P2583" s="578">
        <f t="shared" si="690"/>
        <v>0</v>
      </c>
      <c r="Q2583" s="765"/>
      <c r="R2583" s="669"/>
      <c r="S2583" s="670"/>
      <c r="T2583" s="577">
        <f t="shared" si="687"/>
        <v>0</v>
      </c>
      <c r="U2583" s="578">
        <f t="shared" si="688"/>
        <v>0</v>
      </c>
      <c r="V2583" s="579"/>
      <c r="W2583" s="637" t="str">
        <f>IF(U2582&gt;0,"xx",IF(P2582&gt;0,"xy",""))</f>
        <v/>
      </c>
      <c r="X2583" s="586" t="str">
        <f t="shared" si="681"/>
        <v/>
      </c>
      <c r="Y2583" s="586" t="str">
        <f t="shared" si="692"/>
        <v/>
      </c>
      <c r="Z2583" s="586" t="str">
        <f t="shared" si="680"/>
        <v/>
      </c>
    </row>
    <row r="2584" spans="1:26" ht="12" hidden="1" thickBot="1" x14ac:dyDescent="0.25">
      <c r="A2584" s="567" t="s">
        <v>168</v>
      </c>
      <c r="B2584" s="644" t="s">
        <v>168</v>
      </c>
      <c r="C2584" s="645"/>
      <c r="D2584" s="451" t="s">
        <v>248</v>
      </c>
      <c r="E2584" s="423"/>
      <c r="F2584" s="424">
        <v>180</v>
      </c>
      <c r="G2584" s="425">
        <f>VLOOKUP(D2582,'[2]ENSAIOS DE ORÇAMENTO'!$C$3:$L$79,5,FALSE)</f>
        <v>0</v>
      </c>
      <c r="H2584" s="663">
        <f t="shared" ref="H2584:H2586" si="697">IF(F2584&lt;=30,(1.07*F2584+2.68)*G2584,((1.07*30+2.68)+1.07*(F2584-30))*G2584)</f>
        <v>0</v>
      </c>
      <c r="I2584" s="420"/>
      <c r="J2584" s="420" t="str">
        <f t="shared" si="693"/>
        <v/>
      </c>
      <c r="K2584" s="421">
        <f t="shared" si="686"/>
        <v>0</v>
      </c>
      <c r="L2584" s="668" t="s">
        <v>614</v>
      </c>
      <c r="M2584" s="669"/>
      <c r="N2584" s="576">
        <f t="shared" si="696"/>
        <v>0</v>
      </c>
      <c r="O2584" s="577">
        <f t="shared" si="689"/>
        <v>0</v>
      </c>
      <c r="P2584" s="578">
        <f t="shared" si="690"/>
        <v>0</v>
      </c>
      <c r="Q2584" s="765"/>
      <c r="R2584" s="669"/>
      <c r="S2584" s="670"/>
      <c r="T2584" s="577">
        <f t="shared" si="687"/>
        <v>0</v>
      </c>
      <c r="U2584" s="578">
        <f t="shared" si="688"/>
        <v>0</v>
      </c>
      <c r="V2584" s="579"/>
      <c r="W2584" s="637" t="str">
        <f>IF(U2582&gt;0,"xx",IF(P2582&gt;0,"xy",""))</f>
        <v/>
      </c>
      <c r="X2584" s="586" t="str">
        <f t="shared" si="681"/>
        <v/>
      </c>
      <c r="Y2584" s="586" t="str">
        <f t="shared" si="692"/>
        <v/>
      </c>
      <c r="Z2584" s="586" t="str">
        <f t="shared" si="680"/>
        <v/>
      </c>
    </row>
    <row r="2585" spans="1:26" ht="12" hidden="1" thickBot="1" x14ac:dyDescent="0.25">
      <c r="A2585" s="567" t="s">
        <v>168</v>
      </c>
      <c r="B2585" s="644" t="s">
        <v>168</v>
      </c>
      <c r="C2585" s="645"/>
      <c r="D2585" s="451" t="s">
        <v>252</v>
      </c>
      <c r="E2585" s="423"/>
      <c r="F2585" s="424">
        <v>20</v>
      </c>
      <c r="G2585" s="425">
        <f>VLOOKUP(D2582,'[2]ENSAIOS DE ORÇAMENTO'!$C$3:$L$79,6,FALSE)</f>
        <v>0</v>
      </c>
      <c r="H2585" s="663">
        <f t="shared" si="697"/>
        <v>0</v>
      </c>
      <c r="I2585" s="420"/>
      <c r="J2585" s="420" t="str">
        <f t="shared" si="693"/>
        <v/>
      </c>
      <c r="K2585" s="421">
        <f t="shared" si="686"/>
        <v>0</v>
      </c>
      <c r="L2585" s="668" t="s">
        <v>614</v>
      </c>
      <c r="M2585" s="669"/>
      <c r="N2585" s="576">
        <f t="shared" si="696"/>
        <v>0</v>
      </c>
      <c r="O2585" s="577">
        <f t="shared" si="689"/>
        <v>0</v>
      </c>
      <c r="P2585" s="578">
        <f t="shared" si="690"/>
        <v>0</v>
      </c>
      <c r="Q2585" s="765"/>
      <c r="R2585" s="669"/>
      <c r="S2585" s="670"/>
      <c r="T2585" s="577">
        <f t="shared" si="687"/>
        <v>0</v>
      </c>
      <c r="U2585" s="578">
        <f t="shared" si="688"/>
        <v>0</v>
      </c>
      <c r="V2585" s="579"/>
      <c r="W2585" s="637" t="str">
        <f>IF(U2582&gt;0,"xx",IF(P2582&gt;0,"xy",""))</f>
        <v/>
      </c>
      <c r="X2585" s="586" t="str">
        <f t="shared" si="681"/>
        <v/>
      </c>
      <c r="Y2585" s="586" t="str">
        <f t="shared" si="692"/>
        <v/>
      </c>
      <c r="Z2585" s="586" t="str">
        <f t="shared" si="680"/>
        <v/>
      </c>
    </row>
    <row r="2586" spans="1:26" ht="12" hidden="1" thickBot="1" x14ac:dyDescent="0.25">
      <c r="A2586" s="567" t="s">
        <v>168</v>
      </c>
      <c r="B2586" s="644" t="s">
        <v>168</v>
      </c>
      <c r="C2586" s="645"/>
      <c r="D2586" s="451" t="s">
        <v>400</v>
      </c>
      <c r="E2586" s="423"/>
      <c r="F2586" s="424">
        <v>30</v>
      </c>
      <c r="G2586" s="425">
        <f>VLOOKUP(D2582,'[2]ENSAIOS DE ORÇAMENTO'!$C$3:$L$79,3,FALSE)</f>
        <v>0</v>
      </c>
      <c r="H2586" s="663">
        <f t="shared" si="697"/>
        <v>0</v>
      </c>
      <c r="I2586" s="420"/>
      <c r="J2586" s="420" t="str">
        <f t="shared" si="693"/>
        <v/>
      </c>
      <c r="K2586" s="421">
        <f t="shared" si="686"/>
        <v>0</v>
      </c>
      <c r="L2586" s="668" t="s">
        <v>614</v>
      </c>
      <c r="M2586" s="669"/>
      <c r="N2586" s="576">
        <f t="shared" si="696"/>
        <v>0</v>
      </c>
      <c r="O2586" s="577">
        <f t="shared" si="689"/>
        <v>0</v>
      </c>
      <c r="P2586" s="578">
        <f t="shared" si="690"/>
        <v>0</v>
      </c>
      <c r="Q2586" s="765"/>
      <c r="R2586" s="669"/>
      <c r="S2586" s="670"/>
      <c r="T2586" s="577">
        <f t="shared" si="687"/>
        <v>0</v>
      </c>
      <c r="U2586" s="578">
        <f t="shared" si="688"/>
        <v>0</v>
      </c>
      <c r="V2586" s="579"/>
      <c r="W2586" s="637" t="str">
        <f>IF(U2582&gt;0,"xx",IF(P2582&gt;0,"xy",""))</f>
        <v/>
      </c>
      <c r="X2586" s="586" t="str">
        <f t="shared" si="681"/>
        <v/>
      </c>
      <c r="Y2586" s="586" t="str">
        <f t="shared" si="692"/>
        <v/>
      </c>
      <c r="Z2586" s="586" t="str">
        <f t="shared" si="680"/>
        <v/>
      </c>
    </row>
    <row r="2587" spans="1:26" ht="12" hidden="1" thickBot="1" x14ac:dyDescent="0.25">
      <c r="A2587" s="567" t="s">
        <v>168</v>
      </c>
      <c r="B2587" s="644" t="s">
        <v>168</v>
      </c>
      <c r="C2587" s="645"/>
      <c r="D2587" s="451" t="s">
        <v>401</v>
      </c>
      <c r="E2587" s="423"/>
      <c r="F2587" s="424">
        <v>500</v>
      </c>
      <c r="G2587" s="425">
        <f>VLOOKUP(D2582,'[2]ENSAIOS DE ORÇAMENTO'!$C$3:$L$79,10,FALSE)</f>
        <v>0</v>
      </c>
      <c r="H2587" s="649">
        <f>IF(F2587&lt;=30,(0.78*F2587+7.82)*G2587,((0.78*30+7.82)+0.78*(F2587-30))*G2587)</f>
        <v>0</v>
      </c>
      <c r="I2587" s="420"/>
      <c r="J2587" s="420" t="str">
        <f t="shared" si="693"/>
        <v/>
      </c>
      <c r="K2587" s="421">
        <f t="shared" si="686"/>
        <v>0</v>
      </c>
      <c r="L2587" s="668" t="s">
        <v>614</v>
      </c>
      <c r="M2587" s="669"/>
      <c r="N2587" s="576">
        <f t="shared" si="696"/>
        <v>0</v>
      </c>
      <c r="O2587" s="577">
        <f t="shared" si="689"/>
        <v>0</v>
      </c>
      <c r="P2587" s="578">
        <f t="shared" si="690"/>
        <v>0</v>
      </c>
      <c r="Q2587" s="765"/>
      <c r="R2587" s="669"/>
      <c r="S2587" s="670"/>
      <c r="T2587" s="577">
        <f t="shared" si="687"/>
        <v>0</v>
      </c>
      <c r="U2587" s="578">
        <f t="shared" si="688"/>
        <v>0</v>
      </c>
      <c r="V2587" s="579"/>
      <c r="W2587" s="637" t="str">
        <f>IF(U2582&gt;0,"xx",IF(P2582&gt;0,"xy",""))</f>
        <v/>
      </c>
      <c r="X2587" s="586" t="str">
        <f t="shared" si="681"/>
        <v/>
      </c>
      <c r="Y2587" s="586" t="str">
        <f t="shared" si="692"/>
        <v/>
      </c>
      <c r="Z2587" s="586" t="str">
        <f t="shared" si="680"/>
        <v/>
      </c>
    </row>
    <row r="2588" spans="1:26" ht="12" hidden="1" thickBot="1" x14ac:dyDescent="0.25">
      <c r="A2588" s="567" t="s">
        <v>431</v>
      </c>
      <c r="B2588" s="644" t="s">
        <v>431</v>
      </c>
      <c r="C2588" s="645" t="s">
        <v>206</v>
      </c>
      <c r="D2588" s="422" t="str">
        <f>'[2]ENSAIOS DE ORÇAMENTO'!C73</f>
        <v>ENSAIO DE ORÇAMENTO 4</v>
      </c>
      <c r="E2588" s="423"/>
      <c r="F2588" s="424"/>
      <c r="G2588" s="425"/>
      <c r="H2588" s="651">
        <f>SUM(H2589:H2593)</f>
        <v>0</v>
      </c>
      <c r="I2588" s="420">
        <f>VLOOKUP(D2588,'[2]ENSAIOS DE ORÇAMENTO'!$C$3:$L$79,8,FALSE)</f>
        <v>0</v>
      </c>
      <c r="J2588" s="420">
        <f t="shared" si="693"/>
        <v>0</v>
      </c>
      <c r="K2588" s="421">
        <f t="shared" si="686"/>
        <v>0</v>
      </c>
      <c r="L2588" s="647" t="s">
        <v>21</v>
      </c>
      <c r="M2588" s="576"/>
      <c r="N2588" s="576">
        <f t="shared" si="696"/>
        <v>0</v>
      </c>
      <c r="O2588" s="577">
        <f t="shared" si="689"/>
        <v>0</v>
      </c>
      <c r="P2588" s="578">
        <f t="shared" si="690"/>
        <v>0</v>
      </c>
      <c r="Q2588" s="765"/>
      <c r="R2588" s="576">
        <f>M2588</f>
        <v>0</v>
      </c>
      <c r="S2588" s="576">
        <f>N2588</f>
        <v>0</v>
      </c>
      <c r="T2588" s="577">
        <f t="shared" si="687"/>
        <v>0</v>
      </c>
      <c r="U2588" s="578">
        <f t="shared" si="688"/>
        <v>0</v>
      </c>
      <c r="V2588" s="579"/>
      <c r="W2588" s="566"/>
      <c r="X2588" s="586" t="str">
        <f t="shared" si="681"/>
        <v/>
      </c>
      <c r="Y2588" s="586" t="str">
        <f t="shared" si="692"/>
        <v/>
      </c>
      <c r="Z2588" s="586" t="str">
        <f t="shared" si="680"/>
        <v/>
      </c>
    </row>
    <row r="2589" spans="1:26" ht="12" hidden="1" thickBot="1" x14ac:dyDescent="0.25">
      <c r="A2589" s="567" t="s">
        <v>168</v>
      </c>
      <c r="B2589" s="644" t="s">
        <v>168</v>
      </c>
      <c r="C2589" s="645"/>
      <c r="D2589" s="451" t="s">
        <v>212</v>
      </c>
      <c r="E2589" s="423"/>
      <c r="F2589" s="424">
        <v>500</v>
      </c>
      <c r="G2589" s="425">
        <f>VLOOKUP(D2588,'[2]ENSAIOS DE ORÇAMENTO'!$C$3:$L$79,4,FALSE)</f>
        <v>0</v>
      </c>
      <c r="H2589" s="649">
        <f>IF(F2589&lt;=30,(0.78*F2589+7.82)*G2589,((0.78*30+7.82)+0.78*(F2589-30))*G2589)</f>
        <v>0</v>
      </c>
      <c r="I2589" s="420"/>
      <c r="J2589" s="420" t="str">
        <f t="shared" ref="J2589:J2628" si="698">IF(ISBLANK(I2589),"",SUM(H2589:I2589))</f>
        <v/>
      </c>
      <c r="K2589" s="421">
        <f t="shared" si="686"/>
        <v>0</v>
      </c>
      <c r="L2589" s="668" t="s">
        <v>614</v>
      </c>
      <c r="M2589" s="669"/>
      <c r="N2589" s="576">
        <f t="shared" si="696"/>
        <v>0</v>
      </c>
      <c r="O2589" s="577">
        <f t="shared" si="689"/>
        <v>0</v>
      </c>
      <c r="P2589" s="578">
        <f t="shared" si="690"/>
        <v>0</v>
      </c>
      <c r="Q2589" s="765"/>
      <c r="R2589" s="669"/>
      <c r="S2589" s="670"/>
      <c r="T2589" s="577">
        <f t="shared" si="687"/>
        <v>0</v>
      </c>
      <c r="U2589" s="578">
        <f t="shared" si="688"/>
        <v>0</v>
      </c>
      <c r="V2589" s="579"/>
      <c r="W2589" s="637" t="str">
        <f>IF(U2588&gt;0,"xx",IF(P2588&gt;0,"xy",""))</f>
        <v/>
      </c>
      <c r="X2589" s="586" t="str">
        <f t="shared" si="681"/>
        <v/>
      </c>
      <c r="Y2589" s="586" t="str">
        <f t="shared" si="692"/>
        <v/>
      </c>
      <c r="Z2589" s="586" t="str">
        <f t="shared" si="680"/>
        <v/>
      </c>
    </row>
    <row r="2590" spans="1:26" ht="12" hidden="1" thickBot="1" x14ac:dyDescent="0.25">
      <c r="A2590" s="567" t="s">
        <v>168</v>
      </c>
      <c r="B2590" s="644" t="s">
        <v>168</v>
      </c>
      <c r="C2590" s="645"/>
      <c r="D2590" s="451" t="s">
        <v>248</v>
      </c>
      <c r="E2590" s="423"/>
      <c r="F2590" s="424">
        <v>180</v>
      </c>
      <c r="G2590" s="425">
        <f>VLOOKUP(D2588,'[2]ENSAIOS DE ORÇAMENTO'!$C$3:$L$79,5,FALSE)</f>
        <v>0</v>
      </c>
      <c r="H2590" s="663">
        <f t="shared" ref="H2590:H2592" si="699">IF(F2590&lt;=30,(1.07*F2590+2.68)*G2590,((1.07*30+2.68)+1.07*(F2590-30))*G2590)</f>
        <v>0</v>
      </c>
      <c r="I2590" s="420"/>
      <c r="J2590" s="420" t="str">
        <f t="shared" si="698"/>
        <v/>
      </c>
      <c r="K2590" s="421">
        <f t="shared" si="686"/>
        <v>0</v>
      </c>
      <c r="L2590" s="668" t="s">
        <v>614</v>
      </c>
      <c r="M2590" s="669"/>
      <c r="N2590" s="576">
        <f t="shared" si="696"/>
        <v>0</v>
      </c>
      <c r="O2590" s="577">
        <f t="shared" si="689"/>
        <v>0</v>
      </c>
      <c r="P2590" s="578">
        <f t="shared" si="690"/>
        <v>0</v>
      </c>
      <c r="Q2590" s="765"/>
      <c r="R2590" s="669"/>
      <c r="S2590" s="670"/>
      <c r="T2590" s="577">
        <f t="shared" si="687"/>
        <v>0</v>
      </c>
      <c r="U2590" s="578">
        <f t="shared" si="688"/>
        <v>0</v>
      </c>
      <c r="V2590" s="579"/>
      <c r="W2590" s="637" t="str">
        <f>IF(U2588&gt;0,"xx",IF(P2588&gt;0,"xy",""))</f>
        <v/>
      </c>
      <c r="X2590" s="586" t="str">
        <f t="shared" si="681"/>
        <v/>
      </c>
      <c r="Y2590" s="586" t="str">
        <f t="shared" si="692"/>
        <v/>
      </c>
      <c r="Z2590" s="586" t="str">
        <f t="shared" si="680"/>
        <v/>
      </c>
    </row>
    <row r="2591" spans="1:26" ht="12" hidden="1" thickBot="1" x14ac:dyDescent="0.25">
      <c r="A2591" s="567" t="s">
        <v>168</v>
      </c>
      <c r="B2591" s="644" t="s">
        <v>168</v>
      </c>
      <c r="C2591" s="645"/>
      <c r="D2591" s="451" t="s">
        <v>252</v>
      </c>
      <c r="E2591" s="423"/>
      <c r="F2591" s="424">
        <v>20</v>
      </c>
      <c r="G2591" s="425">
        <f>VLOOKUP(D2588,'[2]ENSAIOS DE ORÇAMENTO'!$C$3:$L$79,6,FALSE)</f>
        <v>0</v>
      </c>
      <c r="H2591" s="663">
        <f t="shared" si="699"/>
        <v>0</v>
      </c>
      <c r="I2591" s="420"/>
      <c r="J2591" s="420" t="str">
        <f t="shared" si="698"/>
        <v/>
      </c>
      <c r="K2591" s="421">
        <f t="shared" si="686"/>
        <v>0</v>
      </c>
      <c r="L2591" s="668" t="s">
        <v>614</v>
      </c>
      <c r="M2591" s="669"/>
      <c r="N2591" s="576">
        <f t="shared" si="696"/>
        <v>0</v>
      </c>
      <c r="O2591" s="577">
        <f t="shared" si="689"/>
        <v>0</v>
      </c>
      <c r="P2591" s="578">
        <f t="shared" si="690"/>
        <v>0</v>
      </c>
      <c r="Q2591" s="765"/>
      <c r="R2591" s="669"/>
      <c r="S2591" s="670"/>
      <c r="T2591" s="577">
        <f t="shared" si="687"/>
        <v>0</v>
      </c>
      <c r="U2591" s="578">
        <f t="shared" si="688"/>
        <v>0</v>
      </c>
      <c r="V2591" s="579"/>
      <c r="W2591" s="637" t="str">
        <f>IF(U2588&gt;0,"xx",IF(P2588&gt;0,"xy",""))</f>
        <v/>
      </c>
      <c r="X2591" s="586" t="str">
        <f t="shared" si="681"/>
        <v/>
      </c>
      <c r="Y2591" s="586" t="str">
        <f t="shared" si="692"/>
        <v/>
      </c>
      <c r="Z2591" s="586" t="str">
        <f t="shared" si="680"/>
        <v/>
      </c>
    </row>
    <row r="2592" spans="1:26" ht="12" hidden="1" thickBot="1" x14ac:dyDescent="0.25">
      <c r="A2592" s="567" t="s">
        <v>168</v>
      </c>
      <c r="B2592" s="644" t="s">
        <v>168</v>
      </c>
      <c r="C2592" s="645"/>
      <c r="D2592" s="451" t="s">
        <v>400</v>
      </c>
      <c r="E2592" s="423"/>
      <c r="F2592" s="424">
        <v>30</v>
      </c>
      <c r="G2592" s="425">
        <f>VLOOKUP(D2588,'[2]ENSAIOS DE ORÇAMENTO'!$C$3:$L$79,3,FALSE)</f>
        <v>0</v>
      </c>
      <c r="H2592" s="663">
        <f t="shared" si="699"/>
        <v>0</v>
      </c>
      <c r="I2592" s="420"/>
      <c r="J2592" s="420" t="str">
        <f t="shared" si="698"/>
        <v/>
      </c>
      <c r="K2592" s="421">
        <f t="shared" si="686"/>
        <v>0</v>
      </c>
      <c r="L2592" s="668" t="s">
        <v>614</v>
      </c>
      <c r="M2592" s="669"/>
      <c r="N2592" s="576">
        <f t="shared" si="696"/>
        <v>0</v>
      </c>
      <c r="O2592" s="577">
        <f t="shared" si="689"/>
        <v>0</v>
      </c>
      <c r="P2592" s="578">
        <f t="shared" si="690"/>
        <v>0</v>
      </c>
      <c r="Q2592" s="765"/>
      <c r="R2592" s="669"/>
      <c r="S2592" s="670"/>
      <c r="T2592" s="577">
        <f t="shared" si="687"/>
        <v>0</v>
      </c>
      <c r="U2592" s="578">
        <f t="shared" si="688"/>
        <v>0</v>
      </c>
      <c r="V2592" s="579"/>
      <c r="W2592" s="637" t="str">
        <f>IF(U2588&gt;0,"xx",IF(P2588&gt;0,"xy",""))</f>
        <v/>
      </c>
      <c r="X2592" s="586" t="str">
        <f t="shared" si="681"/>
        <v/>
      </c>
      <c r="Y2592" s="586" t="str">
        <f t="shared" si="692"/>
        <v/>
      </c>
      <c r="Z2592" s="586" t="str">
        <f t="shared" si="680"/>
        <v/>
      </c>
    </row>
    <row r="2593" spans="1:26" ht="12" hidden="1" thickBot="1" x14ac:dyDescent="0.25">
      <c r="A2593" s="567" t="s">
        <v>168</v>
      </c>
      <c r="B2593" s="644" t="s">
        <v>168</v>
      </c>
      <c r="C2593" s="645"/>
      <c r="D2593" s="451" t="s">
        <v>401</v>
      </c>
      <c r="E2593" s="423"/>
      <c r="F2593" s="424">
        <v>500</v>
      </c>
      <c r="G2593" s="425">
        <f>VLOOKUP(D2588,'[2]ENSAIOS DE ORÇAMENTO'!$C$3:$L$79,10,FALSE)</f>
        <v>0</v>
      </c>
      <c r="H2593" s="649">
        <f>IF(F2593&lt;=30,(0.78*F2593+7.82)*G2593,((0.78*30+7.82)+0.78*(F2593-30))*G2593)</f>
        <v>0</v>
      </c>
      <c r="I2593" s="420"/>
      <c r="J2593" s="420" t="str">
        <f t="shared" si="698"/>
        <v/>
      </c>
      <c r="K2593" s="421">
        <f t="shared" si="686"/>
        <v>0</v>
      </c>
      <c r="L2593" s="668" t="s">
        <v>614</v>
      </c>
      <c r="M2593" s="669"/>
      <c r="N2593" s="576">
        <f t="shared" si="696"/>
        <v>0</v>
      </c>
      <c r="O2593" s="577">
        <f t="shared" si="689"/>
        <v>0</v>
      </c>
      <c r="P2593" s="578">
        <f t="shared" si="690"/>
        <v>0</v>
      </c>
      <c r="Q2593" s="765"/>
      <c r="R2593" s="669"/>
      <c r="S2593" s="670"/>
      <c r="T2593" s="577">
        <f t="shared" si="687"/>
        <v>0</v>
      </c>
      <c r="U2593" s="578">
        <f t="shared" si="688"/>
        <v>0</v>
      </c>
      <c r="V2593" s="579"/>
      <c r="W2593" s="637" t="str">
        <f>IF(U2588&gt;0,"xx",IF(P2588&gt;0,"xy",""))</f>
        <v/>
      </c>
      <c r="X2593" s="586" t="str">
        <f t="shared" si="681"/>
        <v/>
      </c>
      <c r="Y2593" s="586" t="str">
        <f t="shared" si="692"/>
        <v/>
      </c>
      <c r="Z2593" s="586" t="str">
        <f t="shared" si="680"/>
        <v/>
      </c>
    </row>
    <row r="2594" spans="1:26" ht="12" hidden="1" thickBot="1" x14ac:dyDescent="0.25">
      <c r="A2594" s="567" t="s">
        <v>432</v>
      </c>
      <c r="B2594" s="644" t="s">
        <v>432</v>
      </c>
      <c r="C2594" s="645" t="s">
        <v>206</v>
      </c>
      <c r="D2594" s="422" t="str">
        <f>'[2]ENSAIOS DE ORÇAMENTO'!C74</f>
        <v>ENSAIO DE ORÇAMENTO 5</v>
      </c>
      <c r="E2594" s="423"/>
      <c r="F2594" s="424"/>
      <c r="G2594" s="425"/>
      <c r="H2594" s="651">
        <f>SUM(H2595:H2599)</f>
        <v>0</v>
      </c>
      <c r="I2594" s="420">
        <f>VLOOKUP(D2594,'[2]ENSAIOS DE ORÇAMENTO'!$C$3:$L$79,8,FALSE)</f>
        <v>0</v>
      </c>
      <c r="J2594" s="420">
        <f t="shared" si="698"/>
        <v>0</v>
      </c>
      <c r="K2594" s="421">
        <f t="shared" si="686"/>
        <v>0</v>
      </c>
      <c r="L2594" s="647" t="s">
        <v>21</v>
      </c>
      <c r="M2594" s="576"/>
      <c r="N2594" s="576">
        <f t="shared" si="696"/>
        <v>0</v>
      </c>
      <c r="O2594" s="577">
        <f t="shared" si="689"/>
        <v>0</v>
      </c>
      <c r="P2594" s="578">
        <f t="shared" si="690"/>
        <v>0</v>
      </c>
      <c r="Q2594" s="765"/>
      <c r="R2594" s="576">
        <f>M2594</f>
        <v>0</v>
      </c>
      <c r="S2594" s="576">
        <f>N2594</f>
        <v>0</v>
      </c>
      <c r="T2594" s="577">
        <f t="shared" si="687"/>
        <v>0</v>
      </c>
      <c r="U2594" s="578">
        <f t="shared" si="688"/>
        <v>0</v>
      </c>
      <c r="V2594" s="579"/>
      <c r="W2594" s="566"/>
      <c r="X2594" s="586" t="str">
        <f t="shared" si="681"/>
        <v/>
      </c>
      <c r="Y2594" s="586" t="str">
        <f t="shared" si="692"/>
        <v/>
      </c>
      <c r="Z2594" s="586" t="str">
        <f t="shared" si="680"/>
        <v/>
      </c>
    </row>
    <row r="2595" spans="1:26" ht="12" hidden="1" thickBot="1" x14ac:dyDescent="0.25">
      <c r="A2595" s="567" t="s">
        <v>168</v>
      </c>
      <c r="B2595" s="644" t="s">
        <v>168</v>
      </c>
      <c r="C2595" s="645"/>
      <c r="D2595" s="451" t="s">
        <v>212</v>
      </c>
      <c r="E2595" s="423"/>
      <c r="F2595" s="424">
        <v>500</v>
      </c>
      <c r="G2595" s="425">
        <f>VLOOKUP(D2594,'[2]ENSAIOS DE ORÇAMENTO'!$C$3:$L$79,4,FALSE)</f>
        <v>0</v>
      </c>
      <c r="H2595" s="649">
        <f>IF(F2595&lt;=30,(0.78*F2595+7.82)*G2595,((0.78*30+7.82)+0.78*(F2595-30))*G2595)</f>
        <v>0</v>
      </c>
      <c r="I2595" s="420"/>
      <c r="J2595" s="420" t="str">
        <f t="shared" si="698"/>
        <v/>
      </c>
      <c r="K2595" s="421">
        <f t="shared" si="686"/>
        <v>0</v>
      </c>
      <c r="L2595" s="668" t="s">
        <v>614</v>
      </c>
      <c r="M2595" s="669"/>
      <c r="N2595" s="576">
        <f t="shared" si="696"/>
        <v>0</v>
      </c>
      <c r="O2595" s="577">
        <f t="shared" si="689"/>
        <v>0</v>
      </c>
      <c r="P2595" s="578">
        <f t="shared" si="690"/>
        <v>0</v>
      </c>
      <c r="Q2595" s="765"/>
      <c r="R2595" s="669"/>
      <c r="S2595" s="670"/>
      <c r="T2595" s="577">
        <f t="shared" si="687"/>
        <v>0</v>
      </c>
      <c r="U2595" s="578">
        <f t="shared" si="688"/>
        <v>0</v>
      </c>
      <c r="V2595" s="579"/>
      <c r="W2595" s="637" t="str">
        <f>IF(U2594&gt;0,"xx",IF(P2594&gt;0,"xy",""))</f>
        <v/>
      </c>
      <c r="X2595" s="586" t="str">
        <f t="shared" si="681"/>
        <v/>
      </c>
      <c r="Y2595" s="586" t="str">
        <f t="shared" si="692"/>
        <v/>
      </c>
      <c r="Z2595" s="586" t="str">
        <f t="shared" si="680"/>
        <v/>
      </c>
    </row>
    <row r="2596" spans="1:26" ht="12" hidden="1" thickBot="1" x14ac:dyDescent="0.25">
      <c r="A2596" s="567" t="s">
        <v>168</v>
      </c>
      <c r="B2596" s="644" t="s">
        <v>168</v>
      </c>
      <c r="C2596" s="645"/>
      <c r="D2596" s="451" t="s">
        <v>248</v>
      </c>
      <c r="E2596" s="423"/>
      <c r="F2596" s="424">
        <v>180</v>
      </c>
      <c r="G2596" s="425">
        <f>VLOOKUP(D2594,'[2]ENSAIOS DE ORÇAMENTO'!$C$3:$L$79,5,FALSE)</f>
        <v>0</v>
      </c>
      <c r="H2596" s="663">
        <f t="shared" ref="H2596:H2598" si="700">IF(F2596&lt;=30,(1.07*F2596+2.68)*G2596,((1.07*30+2.68)+1.07*(F2596-30))*G2596)</f>
        <v>0</v>
      </c>
      <c r="I2596" s="420"/>
      <c r="J2596" s="420" t="str">
        <f t="shared" si="698"/>
        <v/>
      </c>
      <c r="K2596" s="421">
        <f t="shared" si="686"/>
        <v>0</v>
      </c>
      <c r="L2596" s="668" t="s">
        <v>614</v>
      </c>
      <c r="M2596" s="669"/>
      <c r="N2596" s="576">
        <f t="shared" si="696"/>
        <v>0</v>
      </c>
      <c r="O2596" s="577">
        <f t="shared" si="689"/>
        <v>0</v>
      </c>
      <c r="P2596" s="578">
        <f t="shared" si="690"/>
        <v>0</v>
      </c>
      <c r="Q2596" s="765"/>
      <c r="R2596" s="669"/>
      <c r="S2596" s="670"/>
      <c r="T2596" s="577">
        <f t="shared" si="687"/>
        <v>0</v>
      </c>
      <c r="U2596" s="578">
        <f t="shared" si="688"/>
        <v>0</v>
      </c>
      <c r="V2596" s="579"/>
      <c r="W2596" s="637" t="str">
        <f>IF(U2594&gt;0,"xx",IF(P2594&gt;0,"xy",""))</f>
        <v/>
      </c>
      <c r="X2596" s="586" t="str">
        <f t="shared" si="681"/>
        <v/>
      </c>
      <c r="Y2596" s="586" t="str">
        <f t="shared" si="692"/>
        <v/>
      </c>
      <c r="Z2596" s="586" t="str">
        <f t="shared" si="680"/>
        <v/>
      </c>
    </row>
    <row r="2597" spans="1:26" ht="12" hidden="1" thickBot="1" x14ac:dyDescent="0.25">
      <c r="A2597" s="567" t="s">
        <v>168</v>
      </c>
      <c r="B2597" s="644" t="s">
        <v>168</v>
      </c>
      <c r="C2597" s="645"/>
      <c r="D2597" s="451" t="s">
        <v>252</v>
      </c>
      <c r="E2597" s="423"/>
      <c r="F2597" s="424">
        <v>20</v>
      </c>
      <c r="G2597" s="425">
        <f>VLOOKUP(D2594,'[2]ENSAIOS DE ORÇAMENTO'!$C$3:$L$79,6,FALSE)</f>
        <v>0</v>
      </c>
      <c r="H2597" s="663">
        <f t="shared" si="700"/>
        <v>0</v>
      </c>
      <c r="I2597" s="420"/>
      <c r="J2597" s="420" t="str">
        <f t="shared" si="698"/>
        <v/>
      </c>
      <c r="K2597" s="421">
        <f t="shared" si="686"/>
        <v>0</v>
      </c>
      <c r="L2597" s="668" t="s">
        <v>614</v>
      </c>
      <c r="M2597" s="669"/>
      <c r="N2597" s="576">
        <f t="shared" si="696"/>
        <v>0</v>
      </c>
      <c r="O2597" s="577">
        <f t="shared" si="689"/>
        <v>0</v>
      </c>
      <c r="P2597" s="578">
        <f t="shared" si="690"/>
        <v>0</v>
      </c>
      <c r="Q2597" s="765"/>
      <c r="R2597" s="669"/>
      <c r="S2597" s="670"/>
      <c r="T2597" s="577">
        <f t="shared" si="687"/>
        <v>0</v>
      </c>
      <c r="U2597" s="578">
        <f t="shared" si="688"/>
        <v>0</v>
      </c>
      <c r="V2597" s="579"/>
      <c r="W2597" s="637" t="str">
        <f>IF(U2594&gt;0,"xx",IF(P2594&gt;0,"xy",""))</f>
        <v/>
      </c>
      <c r="X2597" s="586" t="str">
        <f t="shared" si="681"/>
        <v/>
      </c>
      <c r="Y2597" s="586" t="str">
        <f t="shared" si="692"/>
        <v/>
      </c>
      <c r="Z2597" s="586" t="str">
        <f t="shared" si="680"/>
        <v/>
      </c>
    </row>
    <row r="2598" spans="1:26" ht="12" hidden="1" thickBot="1" x14ac:dyDescent="0.25">
      <c r="A2598" s="567" t="s">
        <v>168</v>
      </c>
      <c r="B2598" s="644" t="s">
        <v>168</v>
      </c>
      <c r="C2598" s="645"/>
      <c r="D2598" s="451" t="s">
        <v>400</v>
      </c>
      <c r="E2598" s="423"/>
      <c r="F2598" s="424">
        <v>30</v>
      </c>
      <c r="G2598" s="425">
        <f>VLOOKUP(D2594,'[2]ENSAIOS DE ORÇAMENTO'!$C$3:$L$79,3,FALSE)</f>
        <v>0</v>
      </c>
      <c r="H2598" s="663">
        <f t="shared" si="700"/>
        <v>0</v>
      </c>
      <c r="I2598" s="420"/>
      <c r="J2598" s="420" t="str">
        <f t="shared" si="698"/>
        <v/>
      </c>
      <c r="K2598" s="421">
        <f t="shared" si="686"/>
        <v>0</v>
      </c>
      <c r="L2598" s="647" t="s">
        <v>614</v>
      </c>
      <c r="M2598" s="669"/>
      <c r="N2598" s="576">
        <f t="shared" si="696"/>
        <v>0</v>
      </c>
      <c r="O2598" s="577">
        <f t="shared" si="689"/>
        <v>0</v>
      </c>
      <c r="P2598" s="578">
        <f t="shared" si="690"/>
        <v>0</v>
      </c>
      <c r="Q2598" s="765"/>
      <c r="R2598" s="669"/>
      <c r="S2598" s="670"/>
      <c r="T2598" s="577">
        <f t="shared" si="687"/>
        <v>0</v>
      </c>
      <c r="U2598" s="578">
        <f t="shared" si="688"/>
        <v>0</v>
      </c>
      <c r="V2598" s="579"/>
      <c r="W2598" s="566" t="str">
        <f>IF(U2594&gt;0,"xx",IF(P2594&gt;0,"xy",""))</f>
        <v/>
      </c>
      <c r="X2598" s="586" t="str">
        <f t="shared" si="681"/>
        <v/>
      </c>
      <c r="Y2598" s="586" t="str">
        <f t="shared" si="692"/>
        <v/>
      </c>
      <c r="Z2598" s="586" t="str">
        <f t="shared" si="680"/>
        <v/>
      </c>
    </row>
    <row r="2599" spans="1:26" ht="12" hidden="1" thickBot="1" x14ac:dyDescent="0.25">
      <c r="A2599" s="567" t="s">
        <v>168</v>
      </c>
      <c r="B2599" s="644" t="s">
        <v>168</v>
      </c>
      <c r="C2599" s="645"/>
      <c r="D2599" s="451" t="s">
        <v>401</v>
      </c>
      <c r="E2599" s="423"/>
      <c r="F2599" s="424">
        <v>500</v>
      </c>
      <c r="G2599" s="425">
        <f>VLOOKUP(D2594,'[2]ENSAIOS DE ORÇAMENTO'!$C$3:$L$79,10,FALSE)</f>
        <v>0</v>
      </c>
      <c r="H2599" s="649">
        <f>IF(F2599&lt;=30,(0.78*F2599+7.82)*G2599,((0.78*30+7.82)+0.78*(F2599-30))*G2599)</f>
        <v>0</v>
      </c>
      <c r="I2599" s="420"/>
      <c r="J2599" s="420" t="str">
        <f t="shared" si="698"/>
        <v/>
      </c>
      <c r="K2599" s="421">
        <f t="shared" si="686"/>
        <v>0</v>
      </c>
      <c r="L2599" s="668" t="s">
        <v>614</v>
      </c>
      <c r="M2599" s="669"/>
      <c r="N2599" s="576">
        <f t="shared" si="696"/>
        <v>0</v>
      </c>
      <c r="O2599" s="577">
        <f t="shared" si="689"/>
        <v>0</v>
      </c>
      <c r="P2599" s="578">
        <f t="shared" si="690"/>
        <v>0</v>
      </c>
      <c r="Q2599" s="765"/>
      <c r="R2599" s="669"/>
      <c r="S2599" s="670"/>
      <c r="T2599" s="577">
        <f t="shared" si="687"/>
        <v>0</v>
      </c>
      <c r="U2599" s="578">
        <f t="shared" si="688"/>
        <v>0</v>
      </c>
      <c r="V2599" s="579"/>
      <c r="W2599" s="637" t="str">
        <f>IF(U2594&gt;0,"xx",IF(P2594&gt;0,"xy",""))</f>
        <v/>
      </c>
      <c r="X2599" s="586" t="str">
        <f t="shared" si="681"/>
        <v/>
      </c>
      <c r="Y2599" s="586" t="str">
        <f t="shared" si="692"/>
        <v/>
      </c>
      <c r="Z2599" s="586" t="str">
        <f t="shared" si="680"/>
        <v/>
      </c>
    </row>
    <row r="2600" spans="1:26" ht="12" hidden="1" thickBot="1" x14ac:dyDescent="0.25">
      <c r="A2600" s="567" t="s">
        <v>433</v>
      </c>
      <c r="B2600" s="644" t="s">
        <v>433</v>
      </c>
      <c r="C2600" s="645" t="s">
        <v>206</v>
      </c>
      <c r="D2600" s="422" t="str">
        <f>'[2]ENSAIOS DE ORÇAMENTO'!C75</f>
        <v>ENSAIO DE ORÇAMENTO 6</v>
      </c>
      <c r="E2600" s="423"/>
      <c r="F2600" s="424"/>
      <c r="G2600" s="425"/>
      <c r="H2600" s="651">
        <f>SUM(H2601:H2605)</f>
        <v>0</v>
      </c>
      <c r="I2600" s="420">
        <f>VLOOKUP(D2600,'[2]ENSAIOS DE ORÇAMENTO'!$C$3:$L$79,8,FALSE)</f>
        <v>0</v>
      </c>
      <c r="J2600" s="420">
        <f t="shared" si="698"/>
        <v>0</v>
      </c>
      <c r="K2600" s="421">
        <f t="shared" si="686"/>
        <v>0</v>
      </c>
      <c r="L2600" s="647" t="s">
        <v>21</v>
      </c>
      <c r="M2600" s="576"/>
      <c r="N2600" s="576">
        <f t="shared" si="696"/>
        <v>0</v>
      </c>
      <c r="O2600" s="577">
        <f t="shared" si="689"/>
        <v>0</v>
      </c>
      <c r="P2600" s="578">
        <f t="shared" si="690"/>
        <v>0</v>
      </c>
      <c r="Q2600" s="765"/>
      <c r="R2600" s="576">
        <f>M2600</f>
        <v>0</v>
      </c>
      <c r="S2600" s="576">
        <f>N2600</f>
        <v>0</v>
      </c>
      <c r="T2600" s="577">
        <f t="shared" si="687"/>
        <v>0</v>
      </c>
      <c r="U2600" s="578">
        <f t="shared" si="688"/>
        <v>0</v>
      </c>
      <c r="V2600" s="579"/>
      <c r="W2600" s="566"/>
      <c r="X2600" s="586" t="str">
        <f t="shared" si="681"/>
        <v/>
      </c>
      <c r="Y2600" s="586" t="str">
        <f t="shared" si="692"/>
        <v/>
      </c>
      <c r="Z2600" s="586" t="str">
        <f t="shared" ref="Z2600:Z2663" si="701">IF(W2600="X","x",IF(U2600&gt;0,"x",""))</f>
        <v/>
      </c>
    </row>
    <row r="2601" spans="1:26" ht="12" hidden="1" thickBot="1" x14ac:dyDescent="0.25">
      <c r="A2601" s="567" t="s">
        <v>168</v>
      </c>
      <c r="B2601" s="644" t="s">
        <v>168</v>
      </c>
      <c r="C2601" s="645"/>
      <c r="D2601" s="451" t="s">
        <v>212</v>
      </c>
      <c r="E2601" s="423"/>
      <c r="F2601" s="424">
        <v>500</v>
      </c>
      <c r="G2601" s="425">
        <f>VLOOKUP(D2600,'[2]ENSAIOS DE ORÇAMENTO'!$C$3:$L$79,4,FALSE)</f>
        <v>0</v>
      </c>
      <c r="H2601" s="649">
        <f>IF(F2601&lt;=30,(0.78*F2601+7.82)*G2601,((0.78*30+7.82)+0.78*(F2601-30))*G2601)</f>
        <v>0</v>
      </c>
      <c r="I2601" s="420"/>
      <c r="J2601" s="420" t="str">
        <f t="shared" si="698"/>
        <v/>
      </c>
      <c r="K2601" s="421">
        <f t="shared" si="686"/>
        <v>0</v>
      </c>
      <c r="L2601" s="668" t="s">
        <v>614</v>
      </c>
      <c r="M2601" s="669"/>
      <c r="N2601" s="576">
        <f t="shared" si="696"/>
        <v>0</v>
      </c>
      <c r="O2601" s="577">
        <f t="shared" si="689"/>
        <v>0</v>
      </c>
      <c r="P2601" s="578">
        <f t="shared" si="690"/>
        <v>0</v>
      </c>
      <c r="Q2601" s="765"/>
      <c r="R2601" s="669"/>
      <c r="S2601" s="670"/>
      <c r="T2601" s="577">
        <f t="shared" si="687"/>
        <v>0</v>
      </c>
      <c r="U2601" s="578">
        <f t="shared" si="688"/>
        <v>0</v>
      </c>
      <c r="V2601" s="579"/>
      <c r="W2601" s="637" t="str">
        <f>IF(U2600&gt;0,"xx",IF(P2600&gt;0,"xy",""))</f>
        <v/>
      </c>
      <c r="X2601" s="586" t="str">
        <f t="shared" si="681"/>
        <v/>
      </c>
      <c r="Y2601" s="586" t="str">
        <f t="shared" si="692"/>
        <v/>
      </c>
      <c r="Z2601" s="586" t="str">
        <f t="shared" si="701"/>
        <v/>
      </c>
    </row>
    <row r="2602" spans="1:26" ht="12" hidden="1" thickBot="1" x14ac:dyDescent="0.25">
      <c r="A2602" s="567" t="s">
        <v>168</v>
      </c>
      <c r="B2602" s="644" t="s">
        <v>168</v>
      </c>
      <c r="C2602" s="645"/>
      <c r="D2602" s="451" t="s">
        <v>248</v>
      </c>
      <c r="E2602" s="423"/>
      <c r="F2602" s="424">
        <v>180</v>
      </c>
      <c r="G2602" s="425">
        <f>VLOOKUP(D2600,'[2]ENSAIOS DE ORÇAMENTO'!$C$3:$L$79,5,FALSE)</f>
        <v>0</v>
      </c>
      <c r="H2602" s="663">
        <f t="shared" ref="H2602:H2604" si="702">IF(F2602&lt;=30,(1.07*F2602+2.68)*G2602,((1.07*30+2.68)+1.07*(F2602-30))*G2602)</f>
        <v>0</v>
      </c>
      <c r="I2602" s="420"/>
      <c r="J2602" s="420" t="str">
        <f t="shared" si="698"/>
        <v/>
      </c>
      <c r="K2602" s="421">
        <f t="shared" si="686"/>
        <v>0</v>
      </c>
      <c r="L2602" s="668" t="s">
        <v>614</v>
      </c>
      <c r="M2602" s="669"/>
      <c r="N2602" s="576">
        <f t="shared" si="696"/>
        <v>0</v>
      </c>
      <c r="O2602" s="577">
        <f t="shared" si="689"/>
        <v>0</v>
      </c>
      <c r="P2602" s="578">
        <f t="shared" si="690"/>
        <v>0</v>
      </c>
      <c r="Q2602" s="765"/>
      <c r="R2602" s="669"/>
      <c r="S2602" s="670"/>
      <c r="T2602" s="577">
        <f t="shared" si="687"/>
        <v>0</v>
      </c>
      <c r="U2602" s="578">
        <f t="shared" si="688"/>
        <v>0</v>
      </c>
      <c r="V2602" s="579"/>
      <c r="W2602" s="637" t="str">
        <f>IF(U2600&gt;0,"xx",IF(P2600&gt;0,"xy",""))</f>
        <v/>
      </c>
      <c r="X2602" s="586" t="str">
        <f t="shared" si="681"/>
        <v/>
      </c>
      <c r="Y2602" s="586" t="str">
        <f t="shared" si="692"/>
        <v/>
      </c>
      <c r="Z2602" s="586" t="str">
        <f t="shared" si="701"/>
        <v/>
      </c>
    </row>
    <row r="2603" spans="1:26" ht="12" hidden="1" thickBot="1" x14ac:dyDescent="0.25">
      <c r="A2603" s="567" t="s">
        <v>168</v>
      </c>
      <c r="B2603" s="644" t="s">
        <v>168</v>
      </c>
      <c r="C2603" s="645"/>
      <c r="D2603" s="451" t="s">
        <v>252</v>
      </c>
      <c r="E2603" s="423"/>
      <c r="F2603" s="424">
        <v>20</v>
      </c>
      <c r="G2603" s="425">
        <f>VLOOKUP(D2600,'[2]ENSAIOS DE ORÇAMENTO'!$C$3:$L$79,6,FALSE)</f>
        <v>0</v>
      </c>
      <c r="H2603" s="663">
        <f t="shared" si="702"/>
        <v>0</v>
      </c>
      <c r="I2603" s="420"/>
      <c r="J2603" s="420" t="str">
        <f t="shared" si="698"/>
        <v/>
      </c>
      <c r="K2603" s="421">
        <f t="shared" si="686"/>
        <v>0</v>
      </c>
      <c r="L2603" s="668" t="s">
        <v>614</v>
      </c>
      <c r="M2603" s="669"/>
      <c r="N2603" s="576">
        <f t="shared" si="696"/>
        <v>0</v>
      </c>
      <c r="O2603" s="577">
        <f t="shared" si="689"/>
        <v>0</v>
      </c>
      <c r="P2603" s="578">
        <f t="shared" si="690"/>
        <v>0</v>
      </c>
      <c r="Q2603" s="765"/>
      <c r="R2603" s="669"/>
      <c r="S2603" s="670"/>
      <c r="T2603" s="577">
        <f t="shared" si="687"/>
        <v>0</v>
      </c>
      <c r="U2603" s="578">
        <f t="shared" si="688"/>
        <v>0</v>
      </c>
      <c r="V2603" s="579"/>
      <c r="W2603" s="637" t="str">
        <f>IF(U2600&gt;0,"xx",IF(P2600&gt;0,"xy",""))</f>
        <v/>
      </c>
      <c r="X2603" s="586" t="str">
        <f t="shared" ref="X2603:X2666" si="703">IF(W2603="X","x",IF(W2603="xx","x",IF(W2603="xy","x",IF(W2603="y","x",IF(OR(P2603&gt;0,U2603&gt;0),"x","")))))</f>
        <v/>
      </c>
      <c r="Y2603" s="586" t="str">
        <f t="shared" si="692"/>
        <v/>
      </c>
      <c r="Z2603" s="586" t="str">
        <f t="shared" si="701"/>
        <v/>
      </c>
    </row>
    <row r="2604" spans="1:26" ht="12" hidden="1" thickBot="1" x14ac:dyDescent="0.25">
      <c r="A2604" s="567" t="s">
        <v>168</v>
      </c>
      <c r="B2604" s="644" t="s">
        <v>168</v>
      </c>
      <c r="C2604" s="645"/>
      <c r="D2604" s="451" t="s">
        <v>400</v>
      </c>
      <c r="E2604" s="423"/>
      <c r="F2604" s="424">
        <v>30</v>
      </c>
      <c r="G2604" s="425">
        <f>VLOOKUP(D2600,'[2]ENSAIOS DE ORÇAMENTO'!$C$3:$L$79,3,FALSE)</f>
        <v>0</v>
      </c>
      <c r="H2604" s="663">
        <f t="shared" si="702"/>
        <v>0</v>
      </c>
      <c r="I2604" s="420"/>
      <c r="J2604" s="420" t="str">
        <f t="shared" si="698"/>
        <v/>
      </c>
      <c r="K2604" s="421">
        <f t="shared" si="686"/>
        <v>0</v>
      </c>
      <c r="L2604" s="668" t="s">
        <v>614</v>
      </c>
      <c r="M2604" s="669"/>
      <c r="N2604" s="576">
        <f t="shared" si="696"/>
        <v>0</v>
      </c>
      <c r="O2604" s="577">
        <f t="shared" si="689"/>
        <v>0</v>
      </c>
      <c r="P2604" s="578">
        <f t="shared" si="690"/>
        <v>0</v>
      </c>
      <c r="Q2604" s="765"/>
      <c r="R2604" s="669"/>
      <c r="S2604" s="670"/>
      <c r="T2604" s="577">
        <f t="shared" si="687"/>
        <v>0</v>
      </c>
      <c r="U2604" s="578">
        <f t="shared" si="688"/>
        <v>0</v>
      </c>
      <c r="V2604" s="579"/>
      <c r="W2604" s="637" t="str">
        <f>IF(U2600&gt;0,"xx",IF(P2600&gt;0,"xy",""))</f>
        <v/>
      </c>
      <c r="X2604" s="586" t="str">
        <f t="shared" si="703"/>
        <v/>
      </c>
      <c r="Y2604" s="586" t="str">
        <f t="shared" si="692"/>
        <v/>
      </c>
      <c r="Z2604" s="586" t="str">
        <f t="shared" si="701"/>
        <v/>
      </c>
    </row>
    <row r="2605" spans="1:26" ht="12" hidden="1" thickBot="1" x14ac:dyDescent="0.25">
      <c r="A2605" s="567" t="s">
        <v>168</v>
      </c>
      <c r="B2605" s="644" t="s">
        <v>168</v>
      </c>
      <c r="C2605" s="645"/>
      <c r="D2605" s="451" t="s">
        <v>401</v>
      </c>
      <c r="E2605" s="423"/>
      <c r="F2605" s="424">
        <v>500</v>
      </c>
      <c r="G2605" s="425">
        <f>VLOOKUP(D2600,'[2]ENSAIOS DE ORÇAMENTO'!$C$3:$L$79,10,FALSE)</f>
        <v>0</v>
      </c>
      <c r="H2605" s="649">
        <f>IF(F2605&lt;=30,(0.78*F2605+7.82)*G2605,((0.78*30+7.82)+0.78*(F2605-30))*G2605)</f>
        <v>0</v>
      </c>
      <c r="I2605" s="420"/>
      <c r="J2605" s="420" t="str">
        <f t="shared" si="698"/>
        <v/>
      </c>
      <c r="K2605" s="421">
        <f t="shared" si="686"/>
        <v>0</v>
      </c>
      <c r="L2605" s="668" t="s">
        <v>614</v>
      </c>
      <c r="M2605" s="669"/>
      <c r="N2605" s="576">
        <f t="shared" si="696"/>
        <v>0</v>
      </c>
      <c r="O2605" s="577">
        <f t="shared" si="689"/>
        <v>0</v>
      </c>
      <c r="P2605" s="578">
        <f t="shared" si="690"/>
        <v>0</v>
      </c>
      <c r="Q2605" s="765"/>
      <c r="R2605" s="669"/>
      <c r="S2605" s="670"/>
      <c r="T2605" s="577">
        <f t="shared" si="687"/>
        <v>0</v>
      </c>
      <c r="U2605" s="578">
        <f t="shared" si="688"/>
        <v>0</v>
      </c>
      <c r="V2605" s="579"/>
      <c r="W2605" s="637" t="str">
        <f>IF(U2600&gt;0,"xx",IF(P2600&gt;0,"xy",""))</f>
        <v/>
      </c>
      <c r="X2605" s="586" t="str">
        <f t="shared" si="703"/>
        <v/>
      </c>
      <c r="Y2605" s="586" t="str">
        <f t="shared" si="692"/>
        <v/>
      </c>
      <c r="Z2605" s="586" t="str">
        <f t="shared" si="701"/>
        <v/>
      </c>
    </row>
    <row r="2606" spans="1:26" ht="12" hidden="1" thickBot="1" x14ac:dyDescent="0.25">
      <c r="A2606" s="567" t="s">
        <v>434</v>
      </c>
      <c r="B2606" s="644" t="s">
        <v>434</v>
      </c>
      <c r="C2606" s="645" t="s">
        <v>206</v>
      </c>
      <c r="D2606" s="422" t="str">
        <f>'[2]ENSAIOS DE ORÇAMENTO'!C76</f>
        <v>ENSAIO DE ORÇAMENTO 7</v>
      </c>
      <c r="E2606" s="423"/>
      <c r="F2606" s="424"/>
      <c r="G2606" s="425"/>
      <c r="H2606" s="651">
        <f>SUM(H2607:H2611)</f>
        <v>0</v>
      </c>
      <c r="I2606" s="420">
        <f>VLOOKUP(D2606,'[2]ENSAIOS DE ORÇAMENTO'!$C$3:$L$79,8,FALSE)</f>
        <v>0</v>
      </c>
      <c r="J2606" s="420">
        <f t="shared" si="698"/>
        <v>0</v>
      </c>
      <c r="K2606" s="421">
        <f t="shared" si="686"/>
        <v>0</v>
      </c>
      <c r="L2606" s="647" t="s">
        <v>21</v>
      </c>
      <c r="M2606" s="576"/>
      <c r="N2606" s="576">
        <f t="shared" si="696"/>
        <v>0</v>
      </c>
      <c r="O2606" s="577">
        <f t="shared" si="689"/>
        <v>0</v>
      </c>
      <c r="P2606" s="578">
        <f t="shared" si="690"/>
        <v>0</v>
      </c>
      <c r="Q2606" s="765"/>
      <c r="R2606" s="576">
        <f>M2606</f>
        <v>0</v>
      </c>
      <c r="S2606" s="576">
        <f>N2606</f>
        <v>0</v>
      </c>
      <c r="T2606" s="577">
        <f t="shared" si="687"/>
        <v>0</v>
      </c>
      <c r="U2606" s="578">
        <f t="shared" si="688"/>
        <v>0</v>
      </c>
      <c r="V2606" s="579"/>
      <c r="W2606" s="566"/>
      <c r="X2606" s="586" t="str">
        <f t="shared" si="703"/>
        <v/>
      </c>
      <c r="Y2606" s="586" t="str">
        <f t="shared" si="692"/>
        <v/>
      </c>
      <c r="Z2606" s="586" t="str">
        <f t="shared" si="701"/>
        <v/>
      </c>
    </row>
    <row r="2607" spans="1:26" ht="12" hidden="1" thickBot="1" x14ac:dyDescent="0.25">
      <c r="A2607" s="567" t="s">
        <v>168</v>
      </c>
      <c r="B2607" s="644" t="s">
        <v>168</v>
      </c>
      <c r="C2607" s="645"/>
      <c r="D2607" s="451" t="s">
        <v>212</v>
      </c>
      <c r="E2607" s="423"/>
      <c r="F2607" s="424">
        <v>500</v>
      </c>
      <c r="G2607" s="425">
        <f>VLOOKUP(D2606,'[2]ENSAIOS DE ORÇAMENTO'!$C$3:$L$79,4,FALSE)</f>
        <v>0</v>
      </c>
      <c r="H2607" s="649">
        <f>IF(F2607&lt;=30,(0.78*F2607+7.82)*G2607,((0.78*30+7.82)+0.78*(F2607-30))*G2607)</f>
        <v>0</v>
      </c>
      <c r="I2607" s="420"/>
      <c r="J2607" s="420" t="str">
        <f t="shared" si="698"/>
        <v/>
      </c>
      <c r="K2607" s="421">
        <f t="shared" si="686"/>
        <v>0</v>
      </c>
      <c r="L2607" s="668" t="s">
        <v>614</v>
      </c>
      <c r="M2607" s="669"/>
      <c r="N2607" s="576">
        <f t="shared" si="696"/>
        <v>0</v>
      </c>
      <c r="O2607" s="577">
        <f t="shared" si="689"/>
        <v>0</v>
      </c>
      <c r="P2607" s="578">
        <f t="shared" si="690"/>
        <v>0</v>
      </c>
      <c r="Q2607" s="765"/>
      <c r="R2607" s="669"/>
      <c r="S2607" s="670"/>
      <c r="T2607" s="577">
        <f t="shared" si="687"/>
        <v>0</v>
      </c>
      <c r="U2607" s="578">
        <f t="shared" si="688"/>
        <v>0</v>
      </c>
      <c r="V2607" s="579"/>
      <c r="W2607" s="637" t="str">
        <f>IF(U2606&gt;0,"xx",IF(P2606&gt;0,"xy",""))</f>
        <v/>
      </c>
      <c r="X2607" s="586" t="str">
        <f t="shared" si="703"/>
        <v/>
      </c>
      <c r="Y2607" s="586" t="str">
        <f t="shared" si="692"/>
        <v/>
      </c>
      <c r="Z2607" s="586" t="str">
        <f t="shared" si="701"/>
        <v/>
      </c>
    </row>
    <row r="2608" spans="1:26" ht="12" hidden="1" thickBot="1" x14ac:dyDescent="0.25">
      <c r="A2608" s="567" t="s">
        <v>168</v>
      </c>
      <c r="B2608" s="644" t="s">
        <v>168</v>
      </c>
      <c r="C2608" s="645"/>
      <c r="D2608" s="451" t="s">
        <v>248</v>
      </c>
      <c r="E2608" s="423"/>
      <c r="F2608" s="424">
        <v>180</v>
      </c>
      <c r="G2608" s="425">
        <f>VLOOKUP(D2606,'[2]ENSAIOS DE ORÇAMENTO'!$C$3:$L$79,5,FALSE)</f>
        <v>0</v>
      </c>
      <c r="H2608" s="663">
        <f t="shared" ref="H2608:H2610" si="704">IF(F2608&lt;=30,(1.07*F2608+2.68)*G2608,((1.07*30+2.68)+1.07*(F2608-30))*G2608)</f>
        <v>0</v>
      </c>
      <c r="I2608" s="420"/>
      <c r="J2608" s="420" t="str">
        <f t="shared" si="698"/>
        <v/>
      </c>
      <c r="K2608" s="421">
        <f t="shared" si="686"/>
        <v>0</v>
      </c>
      <c r="L2608" s="668" t="s">
        <v>614</v>
      </c>
      <c r="M2608" s="669"/>
      <c r="N2608" s="576">
        <f t="shared" si="696"/>
        <v>0</v>
      </c>
      <c r="O2608" s="577">
        <f t="shared" si="689"/>
        <v>0</v>
      </c>
      <c r="P2608" s="578">
        <f t="shared" si="690"/>
        <v>0</v>
      </c>
      <c r="Q2608" s="765"/>
      <c r="R2608" s="669"/>
      <c r="S2608" s="670"/>
      <c r="T2608" s="577">
        <f t="shared" si="687"/>
        <v>0</v>
      </c>
      <c r="U2608" s="578">
        <f t="shared" si="688"/>
        <v>0</v>
      </c>
      <c r="V2608" s="579"/>
      <c r="W2608" s="637" t="str">
        <f>IF(U2606&gt;0,"xx",IF(P2606&gt;0,"xy",""))</f>
        <v/>
      </c>
      <c r="X2608" s="586" t="str">
        <f t="shared" si="703"/>
        <v/>
      </c>
      <c r="Y2608" s="586" t="str">
        <f t="shared" si="692"/>
        <v/>
      </c>
      <c r="Z2608" s="586" t="str">
        <f t="shared" si="701"/>
        <v/>
      </c>
    </row>
    <row r="2609" spans="1:26" ht="12" hidden="1" thickBot="1" x14ac:dyDescent="0.25">
      <c r="A2609" s="567" t="s">
        <v>168</v>
      </c>
      <c r="B2609" s="644" t="s">
        <v>168</v>
      </c>
      <c r="C2609" s="645"/>
      <c r="D2609" s="451" t="s">
        <v>252</v>
      </c>
      <c r="E2609" s="423"/>
      <c r="F2609" s="424">
        <v>20</v>
      </c>
      <c r="G2609" s="425">
        <f>VLOOKUP(D2606,'[2]ENSAIOS DE ORÇAMENTO'!$C$3:$L$79,6,FALSE)</f>
        <v>0</v>
      </c>
      <c r="H2609" s="663">
        <f t="shared" si="704"/>
        <v>0</v>
      </c>
      <c r="I2609" s="420"/>
      <c r="J2609" s="420" t="str">
        <f t="shared" si="698"/>
        <v/>
      </c>
      <c r="K2609" s="421">
        <f t="shared" si="686"/>
        <v>0</v>
      </c>
      <c r="L2609" s="668" t="s">
        <v>614</v>
      </c>
      <c r="M2609" s="669"/>
      <c r="N2609" s="576">
        <f t="shared" si="696"/>
        <v>0</v>
      </c>
      <c r="O2609" s="577">
        <f t="shared" si="689"/>
        <v>0</v>
      </c>
      <c r="P2609" s="578">
        <f t="shared" si="690"/>
        <v>0</v>
      </c>
      <c r="Q2609" s="765"/>
      <c r="R2609" s="669"/>
      <c r="S2609" s="670"/>
      <c r="T2609" s="577">
        <f t="shared" si="687"/>
        <v>0</v>
      </c>
      <c r="U2609" s="578">
        <f t="shared" si="688"/>
        <v>0</v>
      </c>
      <c r="V2609" s="579"/>
      <c r="W2609" s="637" t="str">
        <f>IF(U2606&gt;0,"xx",IF(P2606&gt;0,"xy",""))</f>
        <v/>
      </c>
      <c r="X2609" s="586" t="str">
        <f t="shared" si="703"/>
        <v/>
      </c>
      <c r="Y2609" s="586" t="str">
        <f t="shared" si="692"/>
        <v/>
      </c>
      <c r="Z2609" s="586" t="str">
        <f t="shared" si="701"/>
        <v/>
      </c>
    </row>
    <row r="2610" spans="1:26" ht="12" hidden="1" thickBot="1" x14ac:dyDescent="0.25">
      <c r="A2610" s="567" t="s">
        <v>168</v>
      </c>
      <c r="B2610" s="644" t="s">
        <v>168</v>
      </c>
      <c r="C2610" s="645"/>
      <c r="D2610" s="451" t="s">
        <v>400</v>
      </c>
      <c r="E2610" s="423"/>
      <c r="F2610" s="424">
        <v>30</v>
      </c>
      <c r="G2610" s="425">
        <f>VLOOKUP(D2606,'[2]ENSAIOS DE ORÇAMENTO'!$C$3:$L$79,3,FALSE)</f>
        <v>0</v>
      </c>
      <c r="H2610" s="663">
        <f t="shared" si="704"/>
        <v>0</v>
      </c>
      <c r="I2610" s="420"/>
      <c r="J2610" s="420" t="str">
        <f t="shared" si="698"/>
        <v/>
      </c>
      <c r="K2610" s="421">
        <f t="shared" si="686"/>
        <v>0</v>
      </c>
      <c r="L2610" s="668" t="s">
        <v>614</v>
      </c>
      <c r="M2610" s="669"/>
      <c r="N2610" s="576">
        <f t="shared" si="696"/>
        <v>0</v>
      </c>
      <c r="O2610" s="577">
        <f t="shared" si="689"/>
        <v>0</v>
      </c>
      <c r="P2610" s="578">
        <f t="shared" si="690"/>
        <v>0</v>
      </c>
      <c r="Q2610" s="765"/>
      <c r="R2610" s="669"/>
      <c r="S2610" s="670"/>
      <c r="T2610" s="577">
        <f t="shared" si="687"/>
        <v>0</v>
      </c>
      <c r="U2610" s="578">
        <f t="shared" si="688"/>
        <v>0</v>
      </c>
      <c r="V2610" s="579"/>
      <c r="W2610" s="637" t="str">
        <f>IF(U2606&gt;0,"xx",IF(P2606&gt;0,"xy",""))</f>
        <v/>
      </c>
      <c r="X2610" s="586" t="str">
        <f t="shared" si="703"/>
        <v/>
      </c>
      <c r="Y2610" s="586" t="str">
        <f t="shared" si="692"/>
        <v/>
      </c>
      <c r="Z2610" s="586" t="str">
        <f t="shared" si="701"/>
        <v/>
      </c>
    </row>
    <row r="2611" spans="1:26" ht="12" hidden="1" thickBot="1" x14ac:dyDescent="0.25">
      <c r="A2611" s="567" t="s">
        <v>168</v>
      </c>
      <c r="B2611" s="644" t="s">
        <v>168</v>
      </c>
      <c r="C2611" s="645"/>
      <c r="D2611" s="451" t="s">
        <v>401</v>
      </c>
      <c r="E2611" s="423"/>
      <c r="F2611" s="424">
        <v>500</v>
      </c>
      <c r="G2611" s="425">
        <f>VLOOKUP(D2606,'[2]ENSAIOS DE ORÇAMENTO'!$C$3:$L$79,10,FALSE)</f>
        <v>0</v>
      </c>
      <c r="H2611" s="649">
        <f>IF(F2611&lt;=30,(0.78*F2611+7.82)*G2611,((0.78*30+7.82)+0.78*(F2611-30))*G2611)</f>
        <v>0</v>
      </c>
      <c r="I2611" s="420"/>
      <c r="J2611" s="420" t="str">
        <f t="shared" si="698"/>
        <v/>
      </c>
      <c r="K2611" s="421">
        <f t="shared" si="686"/>
        <v>0</v>
      </c>
      <c r="L2611" s="668" t="s">
        <v>614</v>
      </c>
      <c r="M2611" s="669"/>
      <c r="N2611" s="576">
        <f t="shared" si="696"/>
        <v>0</v>
      </c>
      <c r="O2611" s="577">
        <f t="shared" si="689"/>
        <v>0</v>
      </c>
      <c r="P2611" s="578">
        <f t="shared" si="690"/>
        <v>0</v>
      </c>
      <c r="Q2611" s="765"/>
      <c r="R2611" s="669"/>
      <c r="S2611" s="670"/>
      <c r="T2611" s="577">
        <f t="shared" si="687"/>
        <v>0</v>
      </c>
      <c r="U2611" s="578">
        <f t="shared" si="688"/>
        <v>0</v>
      </c>
      <c r="V2611" s="579"/>
      <c r="W2611" s="637" t="str">
        <f>IF(U2606&gt;0,"xx",IF(P2606&gt;0,"xy",""))</f>
        <v/>
      </c>
      <c r="X2611" s="586" t="str">
        <f t="shared" si="703"/>
        <v/>
      </c>
      <c r="Y2611" s="586" t="str">
        <f t="shared" si="692"/>
        <v/>
      </c>
      <c r="Z2611" s="586" t="str">
        <f t="shared" si="701"/>
        <v/>
      </c>
    </row>
    <row r="2612" spans="1:26" ht="12" hidden="1" thickBot="1" x14ac:dyDescent="0.25">
      <c r="A2612" s="567" t="s">
        <v>435</v>
      </c>
      <c r="B2612" s="644" t="s">
        <v>435</v>
      </c>
      <c r="C2612" s="645" t="s">
        <v>206</v>
      </c>
      <c r="D2612" s="422" t="str">
        <f>'[2]ENSAIOS DE ORÇAMENTO'!C77</f>
        <v>ENSAIO DE ORÇAMENTO 8</v>
      </c>
      <c r="E2612" s="423"/>
      <c r="F2612" s="424"/>
      <c r="G2612" s="425"/>
      <c r="H2612" s="651">
        <f>SUM(H2613:H2617)</f>
        <v>0</v>
      </c>
      <c r="I2612" s="420">
        <f>VLOOKUP(D2612,'[2]ENSAIOS DE ORÇAMENTO'!$C$3:$L$79,8,FALSE)</f>
        <v>0</v>
      </c>
      <c r="J2612" s="420">
        <f t="shared" si="698"/>
        <v>0</v>
      </c>
      <c r="K2612" s="421">
        <f t="shared" si="686"/>
        <v>0</v>
      </c>
      <c r="L2612" s="647" t="s">
        <v>21</v>
      </c>
      <c r="M2612" s="576"/>
      <c r="N2612" s="576">
        <f t="shared" si="696"/>
        <v>0</v>
      </c>
      <c r="O2612" s="577">
        <f t="shared" si="689"/>
        <v>0</v>
      </c>
      <c r="P2612" s="578">
        <f t="shared" si="690"/>
        <v>0</v>
      </c>
      <c r="Q2612" s="765"/>
      <c r="R2612" s="576">
        <f t="shared" ref="R2612:S2673" si="705">M2612</f>
        <v>0</v>
      </c>
      <c r="S2612" s="576">
        <f>N2612</f>
        <v>0</v>
      </c>
      <c r="T2612" s="577">
        <f t="shared" si="687"/>
        <v>0</v>
      </c>
      <c r="U2612" s="578">
        <f t="shared" si="688"/>
        <v>0</v>
      </c>
      <c r="V2612" s="579"/>
      <c r="W2612" s="566"/>
      <c r="X2612" s="586" t="str">
        <f t="shared" si="703"/>
        <v/>
      </c>
      <c r="Y2612" s="586" t="str">
        <f t="shared" si="692"/>
        <v/>
      </c>
      <c r="Z2612" s="586" t="str">
        <f t="shared" si="701"/>
        <v/>
      </c>
    </row>
    <row r="2613" spans="1:26" ht="12" hidden="1" thickBot="1" x14ac:dyDescent="0.25">
      <c r="A2613" s="567" t="s">
        <v>168</v>
      </c>
      <c r="B2613" s="644" t="s">
        <v>168</v>
      </c>
      <c r="C2613" s="645"/>
      <c r="D2613" s="451" t="s">
        <v>212</v>
      </c>
      <c r="E2613" s="423"/>
      <c r="F2613" s="424">
        <v>500</v>
      </c>
      <c r="G2613" s="425">
        <f>VLOOKUP(D2612,'[2]ENSAIOS DE ORÇAMENTO'!$C$3:$L$79,4,FALSE)</f>
        <v>0</v>
      </c>
      <c r="H2613" s="649">
        <f>IF(F2613&lt;=30,(0.78*F2613+7.82)*G2613,((0.78*30+7.82)+0.78*(F2613-30))*G2613)</f>
        <v>0</v>
      </c>
      <c r="I2613" s="420"/>
      <c r="J2613" s="420" t="str">
        <f t="shared" si="698"/>
        <v/>
      </c>
      <c r="K2613" s="421">
        <f t="shared" si="686"/>
        <v>0</v>
      </c>
      <c r="L2613" s="668" t="s">
        <v>614</v>
      </c>
      <c r="M2613" s="669"/>
      <c r="N2613" s="576">
        <f t="shared" si="696"/>
        <v>0</v>
      </c>
      <c r="O2613" s="577">
        <f t="shared" si="689"/>
        <v>0</v>
      </c>
      <c r="P2613" s="578">
        <f t="shared" si="690"/>
        <v>0</v>
      </c>
      <c r="Q2613" s="765"/>
      <c r="R2613" s="669"/>
      <c r="S2613" s="670"/>
      <c r="T2613" s="577">
        <f t="shared" si="687"/>
        <v>0</v>
      </c>
      <c r="U2613" s="578">
        <f t="shared" si="688"/>
        <v>0</v>
      </c>
      <c r="V2613" s="579"/>
      <c r="W2613" s="637" t="str">
        <f>IF(U2612&gt;0,"xx",IF(P2612&gt;0,"xy",""))</f>
        <v/>
      </c>
      <c r="X2613" s="586" t="str">
        <f t="shared" si="703"/>
        <v/>
      </c>
      <c r="Y2613" s="586" t="str">
        <f t="shared" si="692"/>
        <v/>
      </c>
      <c r="Z2613" s="586" t="str">
        <f t="shared" si="701"/>
        <v/>
      </c>
    </row>
    <row r="2614" spans="1:26" ht="12" hidden="1" thickBot="1" x14ac:dyDescent="0.25">
      <c r="A2614" s="567" t="s">
        <v>168</v>
      </c>
      <c r="B2614" s="644" t="s">
        <v>168</v>
      </c>
      <c r="C2614" s="645"/>
      <c r="D2614" s="451" t="s">
        <v>248</v>
      </c>
      <c r="E2614" s="423"/>
      <c r="F2614" s="424">
        <v>180</v>
      </c>
      <c r="G2614" s="425">
        <f>VLOOKUP(D2612,'[2]ENSAIOS DE ORÇAMENTO'!$C$3:$L$79,5,FALSE)</f>
        <v>0</v>
      </c>
      <c r="H2614" s="663">
        <f t="shared" ref="H2614:H2616" si="706">IF(F2614&lt;=30,(1.07*F2614+2.68)*G2614,((1.07*30+2.68)+1.07*(F2614-30))*G2614)</f>
        <v>0</v>
      </c>
      <c r="I2614" s="420"/>
      <c r="J2614" s="420" t="str">
        <f t="shared" si="698"/>
        <v/>
      </c>
      <c r="K2614" s="421">
        <f t="shared" si="686"/>
        <v>0</v>
      </c>
      <c r="L2614" s="668" t="s">
        <v>614</v>
      </c>
      <c r="M2614" s="669"/>
      <c r="N2614" s="576">
        <f t="shared" si="696"/>
        <v>0</v>
      </c>
      <c r="O2614" s="577">
        <f t="shared" si="689"/>
        <v>0</v>
      </c>
      <c r="P2614" s="578">
        <f t="shared" si="690"/>
        <v>0</v>
      </c>
      <c r="Q2614" s="765"/>
      <c r="R2614" s="669"/>
      <c r="S2614" s="670"/>
      <c r="T2614" s="577">
        <f t="shared" si="687"/>
        <v>0</v>
      </c>
      <c r="U2614" s="578">
        <f t="shared" si="688"/>
        <v>0</v>
      </c>
      <c r="V2614" s="579"/>
      <c r="W2614" s="637" t="str">
        <f>IF(U2612&gt;0,"xx",IF(P2612&gt;0,"xy",""))</f>
        <v/>
      </c>
      <c r="X2614" s="586" t="str">
        <f t="shared" si="703"/>
        <v/>
      </c>
      <c r="Y2614" s="586" t="str">
        <f t="shared" si="692"/>
        <v/>
      </c>
      <c r="Z2614" s="586" t="str">
        <f t="shared" si="701"/>
        <v/>
      </c>
    </row>
    <row r="2615" spans="1:26" ht="12" hidden="1" thickBot="1" x14ac:dyDescent="0.25">
      <c r="A2615" s="567" t="s">
        <v>168</v>
      </c>
      <c r="B2615" s="644" t="s">
        <v>168</v>
      </c>
      <c r="C2615" s="645"/>
      <c r="D2615" s="451" t="s">
        <v>252</v>
      </c>
      <c r="E2615" s="423"/>
      <c r="F2615" s="424">
        <v>20</v>
      </c>
      <c r="G2615" s="425">
        <f>VLOOKUP(D2612,'[2]ENSAIOS DE ORÇAMENTO'!$C$3:$L$79,6,FALSE)</f>
        <v>0</v>
      </c>
      <c r="H2615" s="663">
        <f t="shared" si="706"/>
        <v>0</v>
      </c>
      <c r="I2615" s="420"/>
      <c r="J2615" s="420" t="str">
        <f t="shared" si="698"/>
        <v/>
      </c>
      <c r="K2615" s="421">
        <f t="shared" si="686"/>
        <v>0</v>
      </c>
      <c r="L2615" s="668" t="s">
        <v>614</v>
      </c>
      <c r="M2615" s="669"/>
      <c r="N2615" s="576">
        <f t="shared" si="696"/>
        <v>0</v>
      </c>
      <c r="O2615" s="577">
        <f t="shared" si="689"/>
        <v>0</v>
      </c>
      <c r="P2615" s="578">
        <f t="shared" si="690"/>
        <v>0</v>
      </c>
      <c r="Q2615" s="765"/>
      <c r="R2615" s="669"/>
      <c r="S2615" s="670"/>
      <c r="T2615" s="577">
        <f t="shared" si="687"/>
        <v>0</v>
      </c>
      <c r="U2615" s="578">
        <f t="shared" si="688"/>
        <v>0</v>
      </c>
      <c r="V2615" s="579"/>
      <c r="W2615" s="637" t="str">
        <f>IF(U2612&gt;0,"xx",IF(P2612&gt;0,"xy",""))</f>
        <v/>
      </c>
      <c r="X2615" s="586" t="str">
        <f t="shared" si="703"/>
        <v/>
      </c>
      <c r="Y2615" s="586" t="str">
        <f t="shared" si="692"/>
        <v/>
      </c>
      <c r="Z2615" s="586" t="str">
        <f t="shared" si="701"/>
        <v/>
      </c>
    </row>
    <row r="2616" spans="1:26" ht="12" hidden="1" thickBot="1" x14ac:dyDescent="0.25">
      <c r="A2616" s="567" t="s">
        <v>168</v>
      </c>
      <c r="B2616" s="644" t="s">
        <v>168</v>
      </c>
      <c r="C2616" s="645"/>
      <c r="D2616" s="451" t="s">
        <v>400</v>
      </c>
      <c r="E2616" s="423"/>
      <c r="F2616" s="424">
        <v>30</v>
      </c>
      <c r="G2616" s="425">
        <f>VLOOKUP(D2612,'[2]ENSAIOS DE ORÇAMENTO'!$C$3:$L$79,3,FALSE)</f>
        <v>0</v>
      </c>
      <c r="H2616" s="663">
        <f t="shared" si="706"/>
        <v>0</v>
      </c>
      <c r="I2616" s="420"/>
      <c r="J2616" s="420" t="str">
        <f t="shared" si="698"/>
        <v/>
      </c>
      <c r="K2616" s="421">
        <f t="shared" si="686"/>
        <v>0</v>
      </c>
      <c r="L2616" s="668" t="s">
        <v>614</v>
      </c>
      <c r="M2616" s="669"/>
      <c r="N2616" s="576">
        <f t="shared" si="696"/>
        <v>0</v>
      </c>
      <c r="O2616" s="577">
        <f t="shared" si="689"/>
        <v>0</v>
      </c>
      <c r="P2616" s="578">
        <f t="shared" si="690"/>
        <v>0</v>
      </c>
      <c r="Q2616" s="765"/>
      <c r="R2616" s="669"/>
      <c r="S2616" s="670"/>
      <c r="T2616" s="577">
        <f t="shared" si="687"/>
        <v>0</v>
      </c>
      <c r="U2616" s="578">
        <f t="shared" si="688"/>
        <v>0</v>
      </c>
      <c r="V2616" s="579"/>
      <c r="W2616" s="637" t="str">
        <f>IF(U2612&gt;0,"xx",IF(P2612&gt;0,"xy",""))</f>
        <v/>
      </c>
      <c r="X2616" s="586" t="str">
        <f t="shared" si="703"/>
        <v/>
      </c>
      <c r="Y2616" s="586" t="str">
        <f t="shared" si="692"/>
        <v/>
      </c>
      <c r="Z2616" s="586" t="str">
        <f t="shared" si="701"/>
        <v/>
      </c>
    </row>
    <row r="2617" spans="1:26" ht="12" hidden="1" thickBot="1" x14ac:dyDescent="0.25">
      <c r="A2617" s="567" t="s">
        <v>168</v>
      </c>
      <c r="B2617" s="644" t="s">
        <v>168</v>
      </c>
      <c r="C2617" s="645"/>
      <c r="D2617" s="451" t="s">
        <v>401</v>
      </c>
      <c r="E2617" s="423"/>
      <c r="F2617" s="424">
        <v>500</v>
      </c>
      <c r="G2617" s="425">
        <f>VLOOKUP(D2612,'[2]ENSAIOS DE ORÇAMENTO'!$C$3:$L$79,10,FALSE)</f>
        <v>0</v>
      </c>
      <c r="H2617" s="649">
        <f>IF(F2617&lt;=30,(0.78*F2617+7.82)*G2617,((0.78*30+7.82)+0.78*(F2617-30))*G2617)</f>
        <v>0</v>
      </c>
      <c r="I2617" s="420"/>
      <c r="J2617" s="420" t="str">
        <f t="shared" si="698"/>
        <v/>
      </c>
      <c r="K2617" s="421">
        <f t="shared" si="686"/>
        <v>0</v>
      </c>
      <c r="L2617" s="668" t="s">
        <v>614</v>
      </c>
      <c r="M2617" s="669"/>
      <c r="N2617" s="576">
        <f t="shared" si="696"/>
        <v>0</v>
      </c>
      <c r="O2617" s="577">
        <f t="shared" si="689"/>
        <v>0</v>
      </c>
      <c r="P2617" s="578">
        <f t="shared" si="690"/>
        <v>0</v>
      </c>
      <c r="Q2617" s="765"/>
      <c r="R2617" s="669"/>
      <c r="S2617" s="670"/>
      <c r="T2617" s="577">
        <f t="shared" si="687"/>
        <v>0</v>
      </c>
      <c r="U2617" s="578">
        <f t="shared" si="688"/>
        <v>0</v>
      </c>
      <c r="V2617" s="579"/>
      <c r="W2617" s="637" t="str">
        <f>IF(U2612&gt;0,"xx",IF(P2612&gt;0,"xy",""))</f>
        <v/>
      </c>
      <c r="X2617" s="586" t="str">
        <f t="shared" si="703"/>
        <v/>
      </c>
      <c r="Y2617" s="586" t="str">
        <f t="shared" si="692"/>
        <v/>
      </c>
      <c r="Z2617" s="586" t="str">
        <f t="shared" si="701"/>
        <v/>
      </c>
    </row>
    <row r="2618" spans="1:26" ht="12" hidden="1" thickBot="1" x14ac:dyDescent="0.25">
      <c r="A2618" s="567" t="s">
        <v>436</v>
      </c>
      <c r="B2618" s="644" t="s">
        <v>436</v>
      </c>
      <c r="C2618" s="645" t="s">
        <v>206</v>
      </c>
      <c r="D2618" s="422" t="str">
        <f>'[2]ENSAIOS DE ORÇAMENTO'!C78</f>
        <v>ENSAIO DE ORÇAMENTO 9</v>
      </c>
      <c r="E2618" s="423"/>
      <c r="F2618" s="424"/>
      <c r="G2618" s="425"/>
      <c r="H2618" s="651">
        <f>SUM(H2619:H2623)</f>
        <v>0</v>
      </c>
      <c r="I2618" s="420">
        <f>VLOOKUP(D2618,'[2]ENSAIOS DE ORÇAMENTO'!$C$3:$L$79,8,FALSE)</f>
        <v>0</v>
      </c>
      <c r="J2618" s="420">
        <f t="shared" si="698"/>
        <v>0</v>
      </c>
      <c r="K2618" s="421">
        <f t="shared" si="686"/>
        <v>0</v>
      </c>
      <c r="L2618" s="647" t="s">
        <v>21</v>
      </c>
      <c r="M2618" s="576"/>
      <c r="N2618" s="576">
        <f t="shared" si="696"/>
        <v>0</v>
      </c>
      <c r="O2618" s="577">
        <f t="shared" si="689"/>
        <v>0</v>
      </c>
      <c r="P2618" s="578">
        <f t="shared" si="690"/>
        <v>0</v>
      </c>
      <c r="Q2618" s="765"/>
      <c r="R2618" s="576">
        <f t="shared" si="705"/>
        <v>0</v>
      </c>
      <c r="S2618" s="576">
        <f>N2618</f>
        <v>0</v>
      </c>
      <c r="T2618" s="577">
        <f t="shared" si="687"/>
        <v>0</v>
      </c>
      <c r="U2618" s="578">
        <f t="shared" si="688"/>
        <v>0</v>
      </c>
      <c r="V2618" s="579"/>
      <c r="W2618" s="566"/>
      <c r="X2618" s="586" t="str">
        <f t="shared" si="703"/>
        <v/>
      </c>
      <c r="Y2618" s="586" t="str">
        <f t="shared" si="692"/>
        <v/>
      </c>
      <c r="Z2618" s="586" t="str">
        <f t="shared" si="701"/>
        <v/>
      </c>
    </row>
    <row r="2619" spans="1:26" ht="12" hidden="1" thickBot="1" x14ac:dyDescent="0.25">
      <c r="A2619" s="567" t="s">
        <v>168</v>
      </c>
      <c r="B2619" s="644" t="s">
        <v>168</v>
      </c>
      <c r="C2619" s="645"/>
      <c r="D2619" s="451" t="s">
        <v>212</v>
      </c>
      <c r="E2619" s="423"/>
      <c r="F2619" s="424">
        <v>500</v>
      </c>
      <c r="G2619" s="425">
        <f>VLOOKUP(D2618,'[2]ENSAIOS DE ORÇAMENTO'!$C$3:$L$79,4,FALSE)</f>
        <v>0</v>
      </c>
      <c r="H2619" s="649">
        <f>IF(F2619&lt;=30,(0.78*F2619+7.82)*G2619,((0.78*30+7.82)+0.78*(F2619-30))*G2619)</f>
        <v>0</v>
      </c>
      <c r="I2619" s="420"/>
      <c r="J2619" s="420" t="str">
        <f t="shared" si="698"/>
        <v/>
      </c>
      <c r="K2619" s="421">
        <f t="shared" si="686"/>
        <v>0</v>
      </c>
      <c r="L2619" s="668" t="s">
        <v>614</v>
      </c>
      <c r="M2619" s="669"/>
      <c r="N2619" s="576">
        <f t="shared" si="696"/>
        <v>0</v>
      </c>
      <c r="O2619" s="577">
        <f t="shared" si="689"/>
        <v>0</v>
      </c>
      <c r="P2619" s="578">
        <f t="shared" si="690"/>
        <v>0</v>
      </c>
      <c r="Q2619" s="765"/>
      <c r="R2619" s="669"/>
      <c r="S2619" s="670"/>
      <c r="T2619" s="577">
        <f t="shared" si="687"/>
        <v>0</v>
      </c>
      <c r="U2619" s="578">
        <f t="shared" si="688"/>
        <v>0</v>
      </c>
      <c r="V2619" s="579"/>
      <c r="W2619" s="637" t="str">
        <f>IF(U2618&gt;0,"xx",IF(P2618&gt;0,"xy",""))</f>
        <v/>
      </c>
      <c r="X2619" s="586" t="str">
        <f t="shared" si="703"/>
        <v/>
      </c>
      <c r="Y2619" s="586" t="str">
        <f t="shared" si="692"/>
        <v/>
      </c>
      <c r="Z2619" s="586" t="str">
        <f t="shared" si="701"/>
        <v/>
      </c>
    </row>
    <row r="2620" spans="1:26" ht="12" hidden="1" thickBot="1" x14ac:dyDescent="0.25">
      <c r="A2620" s="567" t="s">
        <v>168</v>
      </c>
      <c r="B2620" s="644" t="s">
        <v>168</v>
      </c>
      <c r="C2620" s="645"/>
      <c r="D2620" s="451" t="s">
        <v>248</v>
      </c>
      <c r="E2620" s="423"/>
      <c r="F2620" s="424">
        <v>180</v>
      </c>
      <c r="G2620" s="425">
        <f>VLOOKUP(D2618,'[2]ENSAIOS DE ORÇAMENTO'!$C$3:$L$79,5,FALSE)</f>
        <v>0</v>
      </c>
      <c r="H2620" s="663">
        <f t="shared" ref="H2620:H2622" si="707">IF(F2620&lt;=30,(1.07*F2620+2.68)*G2620,((1.07*30+2.68)+1.07*(F2620-30))*G2620)</f>
        <v>0</v>
      </c>
      <c r="I2620" s="420"/>
      <c r="J2620" s="420" t="str">
        <f t="shared" si="698"/>
        <v/>
      </c>
      <c r="K2620" s="421">
        <f t="shared" si="686"/>
        <v>0</v>
      </c>
      <c r="L2620" s="668" t="s">
        <v>614</v>
      </c>
      <c r="M2620" s="669"/>
      <c r="N2620" s="576">
        <f t="shared" si="696"/>
        <v>0</v>
      </c>
      <c r="O2620" s="577">
        <f t="shared" si="689"/>
        <v>0</v>
      </c>
      <c r="P2620" s="578">
        <f t="shared" si="690"/>
        <v>0</v>
      </c>
      <c r="Q2620" s="765"/>
      <c r="R2620" s="669"/>
      <c r="S2620" s="670"/>
      <c r="T2620" s="577">
        <f t="shared" si="687"/>
        <v>0</v>
      </c>
      <c r="U2620" s="578">
        <f t="shared" si="688"/>
        <v>0</v>
      </c>
      <c r="V2620" s="579"/>
      <c r="W2620" s="637" t="str">
        <f>IF(U2618&gt;0,"xx",IF(P2618&gt;0,"xy",""))</f>
        <v/>
      </c>
      <c r="X2620" s="586" t="str">
        <f t="shared" si="703"/>
        <v/>
      </c>
      <c r="Y2620" s="586" t="str">
        <f t="shared" si="692"/>
        <v/>
      </c>
      <c r="Z2620" s="586" t="str">
        <f t="shared" si="701"/>
        <v/>
      </c>
    </row>
    <row r="2621" spans="1:26" ht="12" hidden="1" thickBot="1" x14ac:dyDescent="0.25">
      <c r="A2621" s="567" t="s">
        <v>168</v>
      </c>
      <c r="B2621" s="644" t="s">
        <v>168</v>
      </c>
      <c r="C2621" s="645"/>
      <c r="D2621" s="451" t="s">
        <v>252</v>
      </c>
      <c r="E2621" s="423"/>
      <c r="F2621" s="424">
        <v>20</v>
      </c>
      <c r="G2621" s="425">
        <f>VLOOKUP(D2618,'[2]ENSAIOS DE ORÇAMENTO'!$C$3:$L$79,6,FALSE)</f>
        <v>0</v>
      </c>
      <c r="H2621" s="663">
        <f t="shared" si="707"/>
        <v>0</v>
      </c>
      <c r="I2621" s="420"/>
      <c r="J2621" s="420" t="str">
        <f t="shared" si="698"/>
        <v/>
      </c>
      <c r="K2621" s="421">
        <f t="shared" si="686"/>
        <v>0</v>
      </c>
      <c r="L2621" s="668" t="s">
        <v>614</v>
      </c>
      <c r="M2621" s="669"/>
      <c r="N2621" s="576">
        <f t="shared" si="696"/>
        <v>0</v>
      </c>
      <c r="O2621" s="577">
        <f t="shared" si="689"/>
        <v>0</v>
      </c>
      <c r="P2621" s="578">
        <f t="shared" si="690"/>
        <v>0</v>
      </c>
      <c r="Q2621" s="765"/>
      <c r="R2621" s="669"/>
      <c r="S2621" s="670"/>
      <c r="T2621" s="577">
        <f t="shared" si="687"/>
        <v>0</v>
      </c>
      <c r="U2621" s="578">
        <f t="shared" si="688"/>
        <v>0</v>
      </c>
      <c r="V2621" s="579"/>
      <c r="W2621" s="637" t="str">
        <f>IF(U2618&gt;0,"xx",IF(P2618&gt;0,"xy",""))</f>
        <v/>
      </c>
      <c r="X2621" s="586" t="str">
        <f t="shared" si="703"/>
        <v/>
      </c>
      <c r="Y2621" s="586" t="str">
        <f t="shared" si="692"/>
        <v/>
      </c>
      <c r="Z2621" s="586" t="str">
        <f t="shared" si="701"/>
        <v/>
      </c>
    </row>
    <row r="2622" spans="1:26" ht="12" hidden="1" thickBot="1" x14ac:dyDescent="0.25">
      <c r="A2622" s="567" t="s">
        <v>168</v>
      </c>
      <c r="B2622" s="644" t="s">
        <v>168</v>
      </c>
      <c r="C2622" s="645"/>
      <c r="D2622" s="451" t="s">
        <v>400</v>
      </c>
      <c r="E2622" s="423"/>
      <c r="F2622" s="424">
        <v>30</v>
      </c>
      <c r="G2622" s="425">
        <f>VLOOKUP(D2618,'[2]ENSAIOS DE ORÇAMENTO'!$C$3:$L$79,3,FALSE)</f>
        <v>0</v>
      </c>
      <c r="H2622" s="663">
        <f t="shared" si="707"/>
        <v>0</v>
      </c>
      <c r="I2622" s="420"/>
      <c r="J2622" s="420" t="str">
        <f t="shared" si="698"/>
        <v/>
      </c>
      <c r="K2622" s="421">
        <f t="shared" si="686"/>
        <v>0</v>
      </c>
      <c r="L2622" s="668" t="s">
        <v>614</v>
      </c>
      <c r="M2622" s="669"/>
      <c r="N2622" s="576">
        <f t="shared" si="696"/>
        <v>0</v>
      </c>
      <c r="O2622" s="577">
        <f t="shared" si="689"/>
        <v>0</v>
      </c>
      <c r="P2622" s="578">
        <f t="shared" si="690"/>
        <v>0</v>
      </c>
      <c r="Q2622" s="765"/>
      <c r="R2622" s="669"/>
      <c r="S2622" s="670"/>
      <c r="T2622" s="577">
        <f t="shared" si="687"/>
        <v>0</v>
      </c>
      <c r="U2622" s="578">
        <f t="shared" si="688"/>
        <v>0</v>
      </c>
      <c r="V2622" s="579"/>
      <c r="W2622" s="637" t="str">
        <f>IF(U2618&gt;0,"xx",IF(P2618&gt;0,"xy",""))</f>
        <v/>
      </c>
      <c r="X2622" s="586" t="str">
        <f t="shared" si="703"/>
        <v/>
      </c>
      <c r="Y2622" s="586" t="str">
        <f t="shared" si="692"/>
        <v/>
      </c>
      <c r="Z2622" s="586" t="str">
        <f t="shared" si="701"/>
        <v/>
      </c>
    </row>
    <row r="2623" spans="1:26" ht="12" hidden="1" thickBot="1" x14ac:dyDescent="0.25">
      <c r="A2623" s="567" t="s">
        <v>168</v>
      </c>
      <c r="B2623" s="644" t="s">
        <v>168</v>
      </c>
      <c r="C2623" s="645"/>
      <c r="D2623" s="451" t="s">
        <v>401</v>
      </c>
      <c r="E2623" s="423"/>
      <c r="F2623" s="424">
        <v>500</v>
      </c>
      <c r="G2623" s="425">
        <f>VLOOKUP(D2618,'[2]ENSAIOS DE ORÇAMENTO'!$C$3:$L$79,10,FALSE)</f>
        <v>0</v>
      </c>
      <c r="H2623" s="649">
        <f>IF(F2623&lt;=30,(0.78*F2623+7.82)*G2623,((0.78*30+7.82)+0.78*(F2623-30))*G2623)</f>
        <v>0</v>
      </c>
      <c r="I2623" s="420"/>
      <c r="J2623" s="420" t="str">
        <f t="shared" si="698"/>
        <v/>
      </c>
      <c r="K2623" s="421">
        <f t="shared" si="686"/>
        <v>0</v>
      </c>
      <c r="L2623" s="668" t="s">
        <v>614</v>
      </c>
      <c r="M2623" s="669"/>
      <c r="N2623" s="576">
        <f t="shared" si="696"/>
        <v>0</v>
      </c>
      <c r="O2623" s="577">
        <f t="shared" si="689"/>
        <v>0</v>
      </c>
      <c r="P2623" s="578">
        <f t="shared" si="690"/>
        <v>0</v>
      </c>
      <c r="Q2623" s="765"/>
      <c r="R2623" s="669"/>
      <c r="S2623" s="670"/>
      <c r="T2623" s="577">
        <f t="shared" si="687"/>
        <v>0</v>
      </c>
      <c r="U2623" s="578">
        <f t="shared" si="688"/>
        <v>0</v>
      </c>
      <c r="V2623" s="579"/>
      <c r="W2623" s="637" t="str">
        <f>IF(U2618&gt;0,"xx",IF(P2618&gt;0,"xy",""))</f>
        <v/>
      </c>
      <c r="X2623" s="586" t="str">
        <f t="shared" si="703"/>
        <v/>
      </c>
      <c r="Y2623" s="586" t="str">
        <f t="shared" si="692"/>
        <v/>
      </c>
      <c r="Z2623" s="586" t="str">
        <f t="shared" si="701"/>
        <v/>
      </c>
    </row>
    <row r="2624" spans="1:26" ht="12" hidden="1" thickBot="1" x14ac:dyDescent="0.25">
      <c r="A2624" s="567" t="s">
        <v>437</v>
      </c>
      <c r="B2624" s="644" t="s">
        <v>437</v>
      </c>
      <c r="C2624" s="645" t="s">
        <v>206</v>
      </c>
      <c r="D2624" s="422" t="str">
        <f>'[2]ENSAIOS DE ORÇAMENTO'!C79</f>
        <v>ENSAIO DE ORÇAMENTO 10</v>
      </c>
      <c r="E2624" s="423"/>
      <c r="F2624" s="424"/>
      <c r="G2624" s="425"/>
      <c r="H2624" s="651">
        <f>SUM(H2625:H2629)</f>
        <v>0</v>
      </c>
      <c r="I2624" s="420">
        <f>VLOOKUP(D2624,'[2]ENSAIOS DE ORÇAMENTO'!$C$3:$L$79,8,FALSE)</f>
        <v>0</v>
      </c>
      <c r="J2624" s="420">
        <f t="shared" si="698"/>
        <v>0</v>
      </c>
      <c r="K2624" s="421">
        <f t="shared" ref="K2624:K2629" si="708">IF(ISBLANK(I2624),0,ROUND(J2624*(1+$F$10)*(1+$F$11*E2624),2))</f>
        <v>0</v>
      </c>
      <c r="L2624" s="647" t="s">
        <v>21</v>
      </c>
      <c r="M2624" s="576"/>
      <c r="N2624" s="576">
        <f t="shared" si="696"/>
        <v>0</v>
      </c>
      <c r="O2624" s="577">
        <f t="shared" si="689"/>
        <v>0</v>
      </c>
      <c r="P2624" s="578">
        <f t="shared" si="690"/>
        <v>0</v>
      </c>
      <c r="Q2624" s="765"/>
      <c r="R2624" s="576">
        <f t="shared" si="705"/>
        <v>0</v>
      </c>
      <c r="S2624" s="576">
        <f>N2624</f>
        <v>0</v>
      </c>
      <c r="T2624" s="577">
        <f t="shared" ref="T2624:T2673" si="709">IF(ISBLANK(R2624),0,ROUND(K2624*R2624,2))</f>
        <v>0</v>
      </c>
      <c r="U2624" s="578">
        <f t="shared" ref="U2624:U2673" si="710">IF(ISBLANK(R2624),0,ROUND(R2624*S2624,2))</f>
        <v>0</v>
      </c>
      <c r="V2624" s="579"/>
      <c r="W2624" s="566"/>
      <c r="X2624" s="586" t="str">
        <f t="shared" si="703"/>
        <v/>
      </c>
      <c r="Y2624" s="586" t="str">
        <f t="shared" si="692"/>
        <v/>
      </c>
      <c r="Z2624" s="586" t="str">
        <f t="shared" si="701"/>
        <v/>
      </c>
    </row>
    <row r="2625" spans="1:26" ht="12" hidden="1" thickBot="1" x14ac:dyDescent="0.25">
      <c r="A2625" s="567" t="s">
        <v>168</v>
      </c>
      <c r="B2625" s="644" t="s">
        <v>168</v>
      </c>
      <c r="C2625" s="645"/>
      <c r="D2625" s="451" t="s">
        <v>212</v>
      </c>
      <c r="E2625" s="423"/>
      <c r="F2625" s="424">
        <v>500</v>
      </c>
      <c r="G2625" s="425">
        <f>VLOOKUP(D2624,'[2]ENSAIOS DE ORÇAMENTO'!$C$3:$L$79,4,FALSE)</f>
        <v>0</v>
      </c>
      <c r="H2625" s="649">
        <f>IF(F2625&lt;=30,(0.78*F2625+7.82)*G2625,((0.78*30+7.82)+0.78*(F2625-30))*G2625)</f>
        <v>0</v>
      </c>
      <c r="I2625" s="420"/>
      <c r="J2625" s="420" t="str">
        <f t="shared" si="698"/>
        <v/>
      </c>
      <c r="K2625" s="421">
        <f t="shared" si="708"/>
        <v>0</v>
      </c>
      <c r="L2625" s="668" t="s">
        <v>614</v>
      </c>
      <c r="M2625" s="669"/>
      <c r="N2625" s="576">
        <f t="shared" si="696"/>
        <v>0</v>
      </c>
      <c r="O2625" s="577">
        <f t="shared" ref="O2625:O2673" si="711">IF(ISBLANK(M2625),0,ROUND(K2625*M2625,2))</f>
        <v>0</v>
      </c>
      <c r="P2625" s="578">
        <f t="shared" ref="P2625:P2673" si="712">IF(ISBLANK(N2625),0,ROUND(M2625*N2625,2))</f>
        <v>0</v>
      </c>
      <c r="Q2625" s="765"/>
      <c r="R2625" s="669"/>
      <c r="S2625" s="670"/>
      <c r="T2625" s="577">
        <f t="shared" si="709"/>
        <v>0</v>
      </c>
      <c r="U2625" s="578">
        <f t="shared" si="710"/>
        <v>0</v>
      </c>
      <c r="V2625" s="579"/>
      <c r="W2625" s="637" t="str">
        <f>IF(U2624&gt;0,"xx",IF(P2624&gt;0,"xy",""))</f>
        <v/>
      </c>
      <c r="X2625" s="586" t="str">
        <f t="shared" si="703"/>
        <v/>
      </c>
      <c r="Y2625" s="586" t="str">
        <f t="shared" si="692"/>
        <v/>
      </c>
      <c r="Z2625" s="586" t="str">
        <f t="shared" si="701"/>
        <v/>
      </c>
    </row>
    <row r="2626" spans="1:26" ht="12" hidden="1" thickBot="1" x14ac:dyDescent="0.25">
      <c r="A2626" s="567" t="s">
        <v>168</v>
      </c>
      <c r="B2626" s="644" t="s">
        <v>168</v>
      </c>
      <c r="C2626" s="645"/>
      <c r="D2626" s="451" t="s">
        <v>248</v>
      </c>
      <c r="E2626" s="423"/>
      <c r="F2626" s="424">
        <v>180</v>
      </c>
      <c r="G2626" s="425">
        <f>VLOOKUP(D2624,'[2]ENSAIOS DE ORÇAMENTO'!$C$3:$L$79,5,FALSE)</f>
        <v>0</v>
      </c>
      <c r="H2626" s="663">
        <f t="shared" ref="H2626:H2628" si="713">IF(F2626&lt;=30,(1.07*F2626+2.68)*G2626,((1.07*30+2.68)+1.07*(F2626-30))*G2626)</f>
        <v>0</v>
      </c>
      <c r="I2626" s="420"/>
      <c r="J2626" s="420" t="str">
        <f t="shared" si="698"/>
        <v/>
      </c>
      <c r="K2626" s="421">
        <f t="shared" si="708"/>
        <v>0</v>
      </c>
      <c r="L2626" s="668" t="s">
        <v>614</v>
      </c>
      <c r="M2626" s="669"/>
      <c r="N2626" s="576">
        <f t="shared" si="696"/>
        <v>0</v>
      </c>
      <c r="O2626" s="577">
        <f t="shared" si="711"/>
        <v>0</v>
      </c>
      <c r="P2626" s="578">
        <f t="shared" si="712"/>
        <v>0</v>
      </c>
      <c r="Q2626" s="765"/>
      <c r="R2626" s="669"/>
      <c r="S2626" s="670"/>
      <c r="T2626" s="577">
        <f t="shared" si="709"/>
        <v>0</v>
      </c>
      <c r="U2626" s="578">
        <f t="shared" si="710"/>
        <v>0</v>
      </c>
      <c r="V2626" s="579"/>
      <c r="W2626" s="637" t="str">
        <f>IF(U2624&gt;0,"xx",IF(P2624&gt;0,"xy",""))</f>
        <v/>
      </c>
      <c r="X2626" s="586" t="str">
        <f t="shared" si="703"/>
        <v/>
      </c>
      <c r="Y2626" s="586" t="str">
        <f t="shared" si="692"/>
        <v/>
      </c>
      <c r="Z2626" s="586" t="str">
        <f t="shared" si="701"/>
        <v/>
      </c>
    </row>
    <row r="2627" spans="1:26" ht="12" hidden="1" thickBot="1" x14ac:dyDescent="0.25">
      <c r="A2627" s="567" t="s">
        <v>168</v>
      </c>
      <c r="B2627" s="644" t="s">
        <v>168</v>
      </c>
      <c r="C2627" s="645"/>
      <c r="D2627" s="451" t="s">
        <v>252</v>
      </c>
      <c r="E2627" s="423"/>
      <c r="F2627" s="424">
        <v>20</v>
      </c>
      <c r="G2627" s="425">
        <f>VLOOKUP(D2624,'[2]ENSAIOS DE ORÇAMENTO'!$C$3:$L$79,6,FALSE)</f>
        <v>0</v>
      </c>
      <c r="H2627" s="663">
        <f t="shared" si="713"/>
        <v>0</v>
      </c>
      <c r="I2627" s="420"/>
      <c r="J2627" s="420" t="str">
        <f t="shared" si="698"/>
        <v/>
      </c>
      <c r="K2627" s="421">
        <f t="shared" si="708"/>
        <v>0</v>
      </c>
      <c r="L2627" s="668" t="s">
        <v>614</v>
      </c>
      <c r="M2627" s="669"/>
      <c r="N2627" s="576">
        <f t="shared" si="696"/>
        <v>0</v>
      </c>
      <c r="O2627" s="577">
        <f t="shared" si="711"/>
        <v>0</v>
      </c>
      <c r="P2627" s="578">
        <f t="shared" si="712"/>
        <v>0</v>
      </c>
      <c r="Q2627" s="765"/>
      <c r="R2627" s="669"/>
      <c r="S2627" s="670"/>
      <c r="T2627" s="577">
        <f t="shared" si="709"/>
        <v>0</v>
      </c>
      <c r="U2627" s="578">
        <f t="shared" si="710"/>
        <v>0</v>
      </c>
      <c r="V2627" s="579"/>
      <c r="W2627" s="637" t="str">
        <f>IF(U2624&gt;0,"xx",IF(P2624&gt;0,"xy",""))</f>
        <v/>
      </c>
      <c r="X2627" s="586" t="str">
        <f t="shared" si="703"/>
        <v/>
      </c>
      <c r="Y2627" s="586" t="str">
        <f t="shared" si="692"/>
        <v/>
      </c>
      <c r="Z2627" s="586" t="str">
        <f t="shared" si="701"/>
        <v/>
      </c>
    </row>
    <row r="2628" spans="1:26" ht="12" hidden="1" thickBot="1" x14ac:dyDescent="0.25">
      <c r="A2628" s="567" t="s">
        <v>168</v>
      </c>
      <c r="B2628" s="644" t="s">
        <v>168</v>
      </c>
      <c r="C2628" s="645"/>
      <c r="D2628" s="451" t="s">
        <v>400</v>
      </c>
      <c r="E2628" s="423"/>
      <c r="F2628" s="424">
        <v>30</v>
      </c>
      <c r="G2628" s="425">
        <f>VLOOKUP(D2624,'[2]ENSAIOS DE ORÇAMENTO'!$C$3:$L$79,3,FALSE)</f>
        <v>0</v>
      </c>
      <c r="H2628" s="663">
        <f t="shared" si="713"/>
        <v>0</v>
      </c>
      <c r="I2628" s="420"/>
      <c r="J2628" s="420" t="str">
        <f t="shared" si="698"/>
        <v/>
      </c>
      <c r="K2628" s="421">
        <f t="shared" si="708"/>
        <v>0</v>
      </c>
      <c r="L2628" s="668" t="s">
        <v>614</v>
      </c>
      <c r="M2628" s="669"/>
      <c r="N2628" s="576">
        <f t="shared" si="696"/>
        <v>0</v>
      </c>
      <c r="O2628" s="577">
        <f t="shared" si="711"/>
        <v>0</v>
      </c>
      <c r="P2628" s="578">
        <f t="shared" si="712"/>
        <v>0</v>
      </c>
      <c r="Q2628" s="765"/>
      <c r="R2628" s="669"/>
      <c r="S2628" s="670"/>
      <c r="T2628" s="577">
        <f t="shared" si="709"/>
        <v>0</v>
      </c>
      <c r="U2628" s="578">
        <f t="shared" si="710"/>
        <v>0</v>
      </c>
      <c r="V2628" s="579"/>
      <c r="W2628" s="637" t="str">
        <f>IF(U2624&gt;0,"xx",IF(P2624&gt;0,"xy",""))</f>
        <v/>
      </c>
      <c r="X2628" s="586" t="str">
        <f t="shared" si="703"/>
        <v/>
      </c>
      <c r="Y2628" s="586" t="str">
        <f t="shared" si="692"/>
        <v/>
      </c>
      <c r="Z2628" s="586" t="str">
        <f t="shared" si="701"/>
        <v/>
      </c>
    </row>
    <row r="2629" spans="1:26" ht="12" hidden="1" thickBot="1" x14ac:dyDescent="0.25">
      <c r="A2629" s="567" t="s">
        <v>168</v>
      </c>
      <c r="B2629" s="644" t="s">
        <v>168</v>
      </c>
      <c r="C2629" s="645"/>
      <c r="D2629" s="451" t="s">
        <v>401</v>
      </c>
      <c r="E2629" s="423"/>
      <c r="F2629" s="424">
        <v>500</v>
      </c>
      <c r="G2629" s="425">
        <f>VLOOKUP(D2624,'[2]ENSAIOS DE ORÇAMENTO'!$C$3:$L$79,10,FALSE)</f>
        <v>0</v>
      </c>
      <c r="H2629" s="649">
        <f>IF(F2629&lt;=30,(0.78*F2629+7.82)*G2629,((0.78*30+7.82)+0.78*(F2629-30))*G2629)</f>
        <v>0</v>
      </c>
      <c r="I2629" s="420"/>
      <c r="J2629" s="420" t="str">
        <f>IF(ISBLANK(I2629),"",SUM(H2629:I2629))</f>
        <v/>
      </c>
      <c r="K2629" s="421">
        <f t="shared" si="708"/>
        <v>0</v>
      </c>
      <c r="L2629" s="668" t="s">
        <v>614</v>
      </c>
      <c r="M2629" s="669"/>
      <c r="N2629" s="576">
        <f t="shared" si="696"/>
        <v>0</v>
      </c>
      <c r="O2629" s="577">
        <f t="shared" si="711"/>
        <v>0</v>
      </c>
      <c r="P2629" s="578">
        <f t="shared" si="712"/>
        <v>0</v>
      </c>
      <c r="Q2629" s="765"/>
      <c r="R2629" s="669"/>
      <c r="S2629" s="670"/>
      <c r="T2629" s="577">
        <f t="shared" si="709"/>
        <v>0</v>
      </c>
      <c r="U2629" s="578">
        <f t="shared" si="710"/>
        <v>0</v>
      </c>
      <c r="V2629" s="579"/>
      <c r="W2629" s="637" t="str">
        <f>IF(U2624&gt;0,"xx",IF(P2624&gt;0,"xy",""))</f>
        <v/>
      </c>
      <c r="X2629" s="586" t="str">
        <f t="shared" si="703"/>
        <v/>
      </c>
      <c r="Y2629" s="586" t="str">
        <f t="shared" si="692"/>
        <v/>
      </c>
      <c r="Z2629" s="586" t="str">
        <f t="shared" si="701"/>
        <v/>
      </c>
    </row>
    <row r="2630" spans="1:26" ht="12" hidden="1" thickBot="1" x14ac:dyDescent="0.25">
      <c r="A2630" s="652" t="s">
        <v>187</v>
      </c>
      <c r="B2630" s="653" t="s">
        <v>187</v>
      </c>
      <c r="C2630" s="654"/>
      <c r="D2630" s="427" t="s">
        <v>448</v>
      </c>
      <c r="E2630" s="491"/>
      <c r="F2630" s="655"/>
      <c r="G2630" s="656"/>
      <c r="H2630" s="657"/>
      <c r="I2630" s="429"/>
      <c r="J2630" s="429"/>
      <c r="K2630" s="429"/>
      <c r="L2630" s="429" t="s">
        <v>614</v>
      </c>
      <c r="M2630" s="657"/>
      <c r="N2630" s="576">
        <f t="shared" si="696"/>
        <v>0</v>
      </c>
      <c r="O2630" s="429">
        <f t="shared" si="711"/>
        <v>0</v>
      </c>
      <c r="P2630" s="658">
        <f t="shared" si="712"/>
        <v>0</v>
      </c>
      <c r="Q2630" s="765"/>
      <c r="R2630" s="657"/>
      <c r="S2630" s="429"/>
      <c r="T2630" s="429">
        <f t="shared" si="709"/>
        <v>0</v>
      </c>
      <c r="U2630" s="658">
        <f t="shared" si="710"/>
        <v>0</v>
      </c>
      <c r="V2630" s="579"/>
      <c r="W2630" s="637" t="str">
        <f>IF(OR(SUM(P2631:P2661)&gt;0,SUM(U2631:U2661)&gt;0),"y","")</f>
        <v/>
      </c>
      <c r="X2630" s="586" t="str">
        <f t="shared" si="703"/>
        <v/>
      </c>
      <c r="Y2630" s="586" t="str">
        <f t="shared" si="692"/>
        <v/>
      </c>
      <c r="Z2630" s="586" t="str">
        <f t="shared" si="701"/>
        <v/>
      </c>
    </row>
    <row r="2631" spans="1:26" ht="12" hidden="1" thickBot="1" x14ac:dyDescent="0.25">
      <c r="A2631" s="652" t="s">
        <v>187</v>
      </c>
      <c r="B2631" s="572" t="s">
        <v>187</v>
      </c>
      <c r="C2631" s="573" t="s">
        <v>187</v>
      </c>
      <c r="D2631" s="574"/>
      <c r="E2631" s="575"/>
      <c r="F2631" s="436"/>
      <c r="G2631" s="431"/>
      <c r="H2631" s="430"/>
      <c r="I2631" s="432"/>
      <c r="J2631" s="433"/>
      <c r="K2631" s="434">
        <f t="shared" ref="K2631:K2661" si="714">IF(ISBLANK(J2631),0,ROUND(J2631*(1+$F$10)*(1+$F$11*E2631),2))</f>
        <v>0</v>
      </c>
      <c r="L2631" s="435" t="s">
        <v>614</v>
      </c>
      <c r="M2631" s="587"/>
      <c r="N2631" s="576">
        <f t="shared" si="696"/>
        <v>0</v>
      </c>
      <c r="O2631" s="577">
        <f t="shared" si="711"/>
        <v>0</v>
      </c>
      <c r="P2631" s="578">
        <f t="shared" si="712"/>
        <v>0</v>
      </c>
      <c r="Q2631" s="765"/>
      <c r="R2631" s="650">
        <f t="shared" si="705"/>
        <v>0</v>
      </c>
      <c r="S2631" s="587">
        <f t="shared" si="705"/>
        <v>0</v>
      </c>
      <c r="T2631" s="577">
        <f t="shared" si="709"/>
        <v>0</v>
      </c>
      <c r="U2631" s="578">
        <f t="shared" si="710"/>
        <v>0</v>
      </c>
      <c r="V2631" s="579"/>
      <c r="W2631" s="566"/>
      <c r="X2631" s="586" t="str">
        <f t="shared" si="703"/>
        <v/>
      </c>
      <c r="Y2631" s="586" t="str">
        <f t="shared" si="692"/>
        <v/>
      </c>
      <c r="Z2631" s="586" t="str">
        <f t="shared" si="701"/>
        <v/>
      </c>
    </row>
    <row r="2632" spans="1:26" ht="12" hidden="1" thickBot="1" x14ac:dyDescent="0.25">
      <c r="A2632" s="652" t="s">
        <v>187</v>
      </c>
      <c r="B2632" s="572" t="s">
        <v>187</v>
      </c>
      <c r="C2632" s="573" t="s">
        <v>187</v>
      </c>
      <c r="D2632" s="574"/>
      <c r="E2632" s="575"/>
      <c r="F2632" s="436"/>
      <c r="G2632" s="431"/>
      <c r="H2632" s="430"/>
      <c r="I2632" s="432"/>
      <c r="J2632" s="433"/>
      <c r="K2632" s="437">
        <f t="shared" si="714"/>
        <v>0</v>
      </c>
      <c r="L2632" s="435" t="s">
        <v>614</v>
      </c>
      <c r="M2632" s="576"/>
      <c r="N2632" s="576">
        <f t="shared" si="696"/>
        <v>0</v>
      </c>
      <c r="O2632" s="577">
        <f t="shared" si="711"/>
        <v>0</v>
      </c>
      <c r="P2632" s="578">
        <f t="shared" si="712"/>
        <v>0</v>
      </c>
      <c r="Q2632" s="765"/>
      <c r="R2632" s="576">
        <f t="shared" si="705"/>
        <v>0</v>
      </c>
      <c r="S2632" s="576">
        <f t="shared" si="705"/>
        <v>0</v>
      </c>
      <c r="T2632" s="577">
        <f t="shared" si="709"/>
        <v>0</v>
      </c>
      <c r="U2632" s="659">
        <f t="shared" si="710"/>
        <v>0</v>
      </c>
      <c r="V2632" s="579"/>
      <c r="W2632" s="566"/>
      <c r="X2632" s="586" t="str">
        <f t="shared" si="703"/>
        <v/>
      </c>
      <c r="Y2632" s="586" t="str">
        <f t="shared" ref="Y2632:Y2696" si="715">IF(W2632="X","x",IF(W2632="y","x",IF(W2632="xx","x",IF(U2632&gt;0,"x",""))))</f>
        <v/>
      </c>
      <c r="Z2632" s="586" t="str">
        <f t="shared" si="701"/>
        <v/>
      </c>
    </row>
    <row r="2633" spans="1:26" ht="12" hidden="1" thickBot="1" x14ac:dyDescent="0.25">
      <c r="A2633" s="652" t="s">
        <v>187</v>
      </c>
      <c r="B2633" s="572" t="s">
        <v>187</v>
      </c>
      <c r="C2633" s="573" t="s">
        <v>187</v>
      </c>
      <c r="D2633" s="580"/>
      <c r="E2633" s="575"/>
      <c r="F2633" s="436"/>
      <c r="G2633" s="431"/>
      <c r="H2633" s="430"/>
      <c r="I2633" s="432"/>
      <c r="J2633" s="433"/>
      <c r="K2633" s="437">
        <f t="shared" si="714"/>
        <v>0</v>
      </c>
      <c r="L2633" s="435" t="s">
        <v>614</v>
      </c>
      <c r="M2633" s="576"/>
      <c r="N2633" s="576">
        <f t="shared" si="696"/>
        <v>0</v>
      </c>
      <c r="O2633" s="577">
        <f t="shared" si="711"/>
        <v>0</v>
      </c>
      <c r="P2633" s="578">
        <f t="shared" si="712"/>
        <v>0</v>
      </c>
      <c r="Q2633" s="765"/>
      <c r="R2633" s="576">
        <f t="shared" si="705"/>
        <v>0</v>
      </c>
      <c r="S2633" s="576">
        <f t="shared" si="705"/>
        <v>0</v>
      </c>
      <c r="T2633" s="577">
        <f t="shared" si="709"/>
        <v>0</v>
      </c>
      <c r="U2633" s="578">
        <f t="shared" si="710"/>
        <v>0</v>
      </c>
      <c r="V2633" s="579"/>
      <c r="W2633" s="566"/>
      <c r="X2633" s="586" t="str">
        <f t="shared" si="703"/>
        <v/>
      </c>
      <c r="Y2633" s="586" t="str">
        <f t="shared" si="715"/>
        <v/>
      </c>
      <c r="Z2633" s="586" t="str">
        <f t="shared" si="701"/>
        <v/>
      </c>
    </row>
    <row r="2634" spans="1:26" ht="12" hidden="1" thickBot="1" x14ac:dyDescent="0.25">
      <c r="A2634" s="652" t="s">
        <v>187</v>
      </c>
      <c r="B2634" s="572" t="s">
        <v>187</v>
      </c>
      <c r="C2634" s="573" t="s">
        <v>187</v>
      </c>
      <c r="D2634" s="580"/>
      <c r="E2634" s="575"/>
      <c r="F2634" s="436"/>
      <c r="G2634" s="431"/>
      <c r="H2634" s="430"/>
      <c r="I2634" s="432"/>
      <c r="J2634" s="433"/>
      <c r="K2634" s="437">
        <f t="shared" si="714"/>
        <v>0</v>
      </c>
      <c r="L2634" s="435" t="s">
        <v>614</v>
      </c>
      <c r="M2634" s="576"/>
      <c r="N2634" s="576">
        <f t="shared" si="696"/>
        <v>0</v>
      </c>
      <c r="O2634" s="577">
        <f t="shared" si="711"/>
        <v>0</v>
      </c>
      <c r="P2634" s="578">
        <f t="shared" si="712"/>
        <v>0</v>
      </c>
      <c r="Q2634" s="765"/>
      <c r="R2634" s="576">
        <f t="shared" si="705"/>
        <v>0</v>
      </c>
      <c r="S2634" s="576">
        <f t="shared" si="705"/>
        <v>0</v>
      </c>
      <c r="T2634" s="577">
        <f t="shared" si="709"/>
        <v>0</v>
      </c>
      <c r="U2634" s="578">
        <f t="shared" si="710"/>
        <v>0</v>
      </c>
      <c r="V2634" s="579"/>
      <c r="W2634" s="566"/>
      <c r="X2634" s="586" t="str">
        <f t="shared" si="703"/>
        <v/>
      </c>
      <c r="Y2634" s="586" t="str">
        <f t="shared" si="715"/>
        <v/>
      </c>
      <c r="Z2634" s="586" t="str">
        <f t="shared" si="701"/>
        <v/>
      </c>
    </row>
    <row r="2635" spans="1:26" ht="12" hidden="1" thickBot="1" x14ac:dyDescent="0.25">
      <c r="A2635" s="652" t="s">
        <v>187</v>
      </c>
      <c r="B2635" s="572" t="s">
        <v>187</v>
      </c>
      <c r="C2635" s="573" t="s">
        <v>187</v>
      </c>
      <c r="D2635" s="580"/>
      <c r="E2635" s="575"/>
      <c r="F2635" s="436"/>
      <c r="G2635" s="431"/>
      <c r="H2635" s="430"/>
      <c r="I2635" s="432"/>
      <c r="J2635" s="433"/>
      <c r="K2635" s="437">
        <f t="shared" si="714"/>
        <v>0</v>
      </c>
      <c r="L2635" s="435" t="s">
        <v>614</v>
      </c>
      <c r="M2635" s="576"/>
      <c r="N2635" s="576">
        <f t="shared" si="696"/>
        <v>0</v>
      </c>
      <c r="O2635" s="577">
        <f t="shared" si="711"/>
        <v>0</v>
      </c>
      <c r="P2635" s="578">
        <f t="shared" si="712"/>
        <v>0</v>
      </c>
      <c r="Q2635" s="765"/>
      <c r="R2635" s="576">
        <f t="shared" si="705"/>
        <v>0</v>
      </c>
      <c r="S2635" s="576">
        <f t="shared" si="705"/>
        <v>0</v>
      </c>
      <c r="T2635" s="577">
        <f t="shared" si="709"/>
        <v>0</v>
      </c>
      <c r="U2635" s="578">
        <f t="shared" si="710"/>
        <v>0</v>
      </c>
      <c r="V2635" s="579"/>
      <c r="W2635" s="566"/>
      <c r="X2635" s="586" t="str">
        <f t="shared" si="703"/>
        <v/>
      </c>
      <c r="Y2635" s="586" t="str">
        <f t="shared" si="715"/>
        <v/>
      </c>
      <c r="Z2635" s="586" t="str">
        <f t="shared" si="701"/>
        <v/>
      </c>
    </row>
    <row r="2636" spans="1:26" ht="12" hidden="1" thickBot="1" x14ac:dyDescent="0.25">
      <c r="A2636" s="652" t="s">
        <v>187</v>
      </c>
      <c r="B2636" s="572" t="s">
        <v>187</v>
      </c>
      <c r="C2636" s="573" t="s">
        <v>187</v>
      </c>
      <c r="D2636" s="580"/>
      <c r="E2636" s="575"/>
      <c r="F2636" s="436"/>
      <c r="G2636" s="431"/>
      <c r="H2636" s="430"/>
      <c r="I2636" s="432"/>
      <c r="J2636" s="433"/>
      <c r="K2636" s="437">
        <f t="shared" si="714"/>
        <v>0</v>
      </c>
      <c r="L2636" s="435" t="s">
        <v>614</v>
      </c>
      <c r="M2636" s="576"/>
      <c r="N2636" s="576">
        <f t="shared" si="696"/>
        <v>0</v>
      </c>
      <c r="O2636" s="577">
        <f t="shared" si="711"/>
        <v>0</v>
      </c>
      <c r="P2636" s="578">
        <f t="shared" si="712"/>
        <v>0</v>
      </c>
      <c r="Q2636" s="765"/>
      <c r="R2636" s="576">
        <f t="shared" si="705"/>
        <v>0</v>
      </c>
      <c r="S2636" s="576">
        <f t="shared" si="705"/>
        <v>0</v>
      </c>
      <c r="T2636" s="577">
        <f t="shared" si="709"/>
        <v>0</v>
      </c>
      <c r="U2636" s="578">
        <f t="shared" si="710"/>
        <v>0</v>
      </c>
      <c r="V2636" s="579"/>
      <c r="W2636" s="566"/>
      <c r="X2636" s="586" t="str">
        <f t="shared" si="703"/>
        <v/>
      </c>
      <c r="Y2636" s="586" t="str">
        <f t="shared" si="715"/>
        <v/>
      </c>
      <c r="Z2636" s="586" t="str">
        <f t="shared" si="701"/>
        <v/>
      </c>
    </row>
    <row r="2637" spans="1:26" ht="12" hidden="1" thickBot="1" x14ac:dyDescent="0.25">
      <c r="A2637" s="652" t="s">
        <v>187</v>
      </c>
      <c r="B2637" s="572" t="s">
        <v>187</v>
      </c>
      <c r="C2637" s="573" t="s">
        <v>187</v>
      </c>
      <c r="D2637" s="580"/>
      <c r="E2637" s="575"/>
      <c r="F2637" s="436"/>
      <c r="G2637" s="431"/>
      <c r="H2637" s="430"/>
      <c r="I2637" s="432"/>
      <c r="J2637" s="433"/>
      <c r="K2637" s="437">
        <f t="shared" si="714"/>
        <v>0</v>
      </c>
      <c r="L2637" s="435" t="s">
        <v>614</v>
      </c>
      <c r="M2637" s="576"/>
      <c r="N2637" s="576">
        <f t="shared" si="696"/>
        <v>0</v>
      </c>
      <c r="O2637" s="577">
        <f t="shared" si="711"/>
        <v>0</v>
      </c>
      <c r="P2637" s="578">
        <f t="shared" si="712"/>
        <v>0</v>
      </c>
      <c r="Q2637" s="765"/>
      <c r="R2637" s="576">
        <f t="shared" si="705"/>
        <v>0</v>
      </c>
      <c r="S2637" s="576">
        <f t="shared" si="705"/>
        <v>0</v>
      </c>
      <c r="T2637" s="577">
        <f t="shared" si="709"/>
        <v>0</v>
      </c>
      <c r="U2637" s="578">
        <f t="shared" si="710"/>
        <v>0</v>
      </c>
      <c r="V2637" s="579"/>
      <c r="W2637" s="566"/>
      <c r="X2637" s="586" t="str">
        <f t="shared" si="703"/>
        <v/>
      </c>
      <c r="Y2637" s="586" t="str">
        <f t="shared" si="715"/>
        <v/>
      </c>
      <c r="Z2637" s="586" t="str">
        <f t="shared" si="701"/>
        <v/>
      </c>
    </row>
    <row r="2638" spans="1:26" ht="12" hidden="1" thickBot="1" x14ac:dyDescent="0.25">
      <c r="A2638" s="652" t="s">
        <v>187</v>
      </c>
      <c r="B2638" s="572" t="s">
        <v>187</v>
      </c>
      <c r="C2638" s="573" t="s">
        <v>187</v>
      </c>
      <c r="D2638" s="580"/>
      <c r="E2638" s="575"/>
      <c r="F2638" s="436"/>
      <c r="G2638" s="431"/>
      <c r="H2638" s="430"/>
      <c r="I2638" s="432"/>
      <c r="J2638" s="433"/>
      <c r="K2638" s="437">
        <f t="shared" si="714"/>
        <v>0</v>
      </c>
      <c r="L2638" s="435" t="s">
        <v>614</v>
      </c>
      <c r="M2638" s="576"/>
      <c r="N2638" s="576">
        <f t="shared" si="696"/>
        <v>0</v>
      </c>
      <c r="O2638" s="577">
        <f t="shared" si="711"/>
        <v>0</v>
      </c>
      <c r="P2638" s="578">
        <f t="shared" si="712"/>
        <v>0</v>
      </c>
      <c r="Q2638" s="765"/>
      <c r="R2638" s="576">
        <f t="shared" si="705"/>
        <v>0</v>
      </c>
      <c r="S2638" s="576">
        <f t="shared" si="705"/>
        <v>0</v>
      </c>
      <c r="T2638" s="577">
        <f t="shared" si="709"/>
        <v>0</v>
      </c>
      <c r="U2638" s="578">
        <f t="shared" si="710"/>
        <v>0</v>
      </c>
      <c r="V2638" s="579"/>
      <c r="W2638" s="566"/>
      <c r="X2638" s="586" t="str">
        <f t="shared" si="703"/>
        <v/>
      </c>
      <c r="Y2638" s="586" t="str">
        <f t="shared" si="715"/>
        <v/>
      </c>
      <c r="Z2638" s="586" t="str">
        <f t="shared" si="701"/>
        <v/>
      </c>
    </row>
    <row r="2639" spans="1:26" ht="12" hidden="1" thickBot="1" x14ac:dyDescent="0.25">
      <c r="A2639" s="652" t="s">
        <v>187</v>
      </c>
      <c r="B2639" s="572" t="s">
        <v>187</v>
      </c>
      <c r="C2639" s="573" t="s">
        <v>187</v>
      </c>
      <c r="D2639" s="580"/>
      <c r="E2639" s="575"/>
      <c r="F2639" s="436"/>
      <c r="G2639" s="431"/>
      <c r="H2639" s="430"/>
      <c r="I2639" s="432"/>
      <c r="J2639" s="433"/>
      <c r="K2639" s="437">
        <f t="shared" si="714"/>
        <v>0</v>
      </c>
      <c r="L2639" s="435" t="s">
        <v>614</v>
      </c>
      <c r="M2639" s="576"/>
      <c r="N2639" s="576">
        <f t="shared" si="696"/>
        <v>0</v>
      </c>
      <c r="O2639" s="577">
        <f t="shared" si="711"/>
        <v>0</v>
      </c>
      <c r="P2639" s="578">
        <f t="shared" si="712"/>
        <v>0</v>
      </c>
      <c r="Q2639" s="765"/>
      <c r="R2639" s="576">
        <f t="shared" si="705"/>
        <v>0</v>
      </c>
      <c r="S2639" s="576">
        <f t="shared" si="705"/>
        <v>0</v>
      </c>
      <c r="T2639" s="577">
        <f t="shared" si="709"/>
        <v>0</v>
      </c>
      <c r="U2639" s="578">
        <f t="shared" si="710"/>
        <v>0</v>
      </c>
      <c r="V2639" s="579"/>
      <c r="W2639" s="566"/>
      <c r="X2639" s="586" t="str">
        <f t="shared" si="703"/>
        <v/>
      </c>
      <c r="Y2639" s="586" t="str">
        <f t="shared" si="715"/>
        <v/>
      </c>
      <c r="Z2639" s="586" t="str">
        <f t="shared" si="701"/>
        <v/>
      </c>
    </row>
    <row r="2640" spans="1:26" ht="12" hidden="1" thickBot="1" x14ac:dyDescent="0.25">
      <c r="A2640" s="652" t="s">
        <v>187</v>
      </c>
      <c r="B2640" s="572" t="s">
        <v>187</v>
      </c>
      <c r="C2640" s="573" t="s">
        <v>187</v>
      </c>
      <c r="D2640" s="580"/>
      <c r="E2640" s="575"/>
      <c r="F2640" s="436"/>
      <c r="G2640" s="431"/>
      <c r="H2640" s="430"/>
      <c r="I2640" s="432"/>
      <c r="J2640" s="433"/>
      <c r="K2640" s="437">
        <f t="shared" si="714"/>
        <v>0</v>
      </c>
      <c r="L2640" s="435" t="s">
        <v>614</v>
      </c>
      <c r="M2640" s="576"/>
      <c r="N2640" s="576">
        <f t="shared" si="696"/>
        <v>0</v>
      </c>
      <c r="O2640" s="577">
        <f t="shared" si="711"/>
        <v>0</v>
      </c>
      <c r="P2640" s="578">
        <f t="shared" si="712"/>
        <v>0</v>
      </c>
      <c r="Q2640" s="765"/>
      <c r="R2640" s="576">
        <f t="shared" si="705"/>
        <v>0</v>
      </c>
      <c r="S2640" s="576">
        <f t="shared" si="705"/>
        <v>0</v>
      </c>
      <c r="T2640" s="577">
        <f t="shared" si="709"/>
        <v>0</v>
      </c>
      <c r="U2640" s="578">
        <f t="shared" si="710"/>
        <v>0</v>
      </c>
      <c r="V2640" s="579"/>
      <c r="W2640" s="566"/>
      <c r="X2640" s="586" t="str">
        <f t="shared" si="703"/>
        <v/>
      </c>
      <c r="Y2640" s="586" t="str">
        <f t="shared" si="715"/>
        <v/>
      </c>
      <c r="Z2640" s="586" t="str">
        <f t="shared" si="701"/>
        <v/>
      </c>
    </row>
    <row r="2641" spans="1:26" ht="12" hidden="1" thickBot="1" x14ac:dyDescent="0.25">
      <c r="A2641" s="652" t="s">
        <v>187</v>
      </c>
      <c r="B2641" s="572" t="s">
        <v>187</v>
      </c>
      <c r="C2641" s="573" t="s">
        <v>187</v>
      </c>
      <c r="D2641" s="580"/>
      <c r="E2641" s="575"/>
      <c r="F2641" s="436"/>
      <c r="G2641" s="431"/>
      <c r="H2641" s="430"/>
      <c r="I2641" s="432"/>
      <c r="J2641" s="433"/>
      <c r="K2641" s="437">
        <f t="shared" si="714"/>
        <v>0</v>
      </c>
      <c r="L2641" s="435" t="s">
        <v>614</v>
      </c>
      <c r="M2641" s="576"/>
      <c r="N2641" s="576">
        <f t="shared" si="696"/>
        <v>0</v>
      </c>
      <c r="O2641" s="577">
        <f t="shared" si="711"/>
        <v>0</v>
      </c>
      <c r="P2641" s="578">
        <f t="shared" si="712"/>
        <v>0</v>
      </c>
      <c r="Q2641" s="765"/>
      <c r="R2641" s="576">
        <f t="shared" si="705"/>
        <v>0</v>
      </c>
      <c r="S2641" s="576">
        <f t="shared" si="705"/>
        <v>0</v>
      </c>
      <c r="T2641" s="577">
        <f t="shared" si="709"/>
        <v>0</v>
      </c>
      <c r="U2641" s="578">
        <f t="shared" si="710"/>
        <v>0</v>
      </c>
      <c r="V2641" s="579"/>
      <c r="W2641" s="566"/>
      <c r="X2641" s="586" t="str">
        <f t="shared" si="703"/>
        <v/>
      </c>
      <c r="Y2641" s="586" t="str">
        <f t="shared" si="715"/>
        <v/>
      </c>
      <c r="Z2641" s="586" t="str">
        <f t="shared" si="701"/>
        <v/>
      </c>
    </row>
    <row r="2642" spans="1:26" ht="12" hidden="1" thickBot="1" x14ac:dyDescent="0.25">
      <c r="A2642" s="652" t="s">
        <v>187</v>
      </c>
      <c r="B2642" s="572" t="s">
        <v>187</v>
      </c>
      <c r="C2642" s="573" t="s">
        <v>187</v>
      </c>
      <c r="D2642" s="580"/>
      <c r="E2642" s="575"/>
      <c r="F2642" s="436"/>
      <c r="G2642" s="431"/>
      <c r="H2642" s="430"/>
      <c r="I2642" s="432"/>
      <c r="J2642" s="433"/>
      <c r="K2642" s="437">
        <f t="shared" si="714"/>
        <v>0</v>
      </c>
      <c r="L2642" s="435" t="s">
        <v>614</v>
      </c>
      <c r="M2642" s="576"/>
      <c r="N2642" s="576">
        <f t="shared" si="696"/>
        <v>0</v>
      </c>
      <c r="O2642" s="577">
        <f t="shared" si="711"/>
        <v>0</v>
      </c>
      <c r="P2642" s="578">
        <f t="shared" si="712"/>
        <v>0</v>
      </c>
      <c r="Q2642" s="765"/>
      <c r="R2642" s="576">
        <f t="shared" si="705"/>
        <v>0</v>
      </c>
      <c r="S2642" s="576">
        <f t="shared" si="705"/>
        <v>0</v>
      </c>
      <c r="T2642" s="577">
        <f t="shared" si="709"/>
        <v>0</v>
      </c>
      <c r="U2642" s="578">
        <f t="shared" si="710"/>
        <v>0</v>
      </c>
      <c r="V2642" s="579"/>
      <c r="W2642" s="566"/>
      <c r="X2642" s="586" t="str">
        <f t="shared" si="703"/>
        <v/>
      </c>
      <c r="Y2642" s="586" t="str">
        <f t="shared" si="715"/>
        <v/>
      </c>
      <c r="Z2642" s="586" t="str">
        <f t="shared" si="701"/>
        <v/>
      </c>
    </row>
    <row r="2643" spans="1:26" ht="12" hidden="1" thickBot="1" x14ac:dyDescent="0.25">
      <c r="A2643" s="652" t="s">
        <v>187</v>
      </c>
      <c r="B2643" s="572" t="s">
        <v>187</v>
      </c>
      <c r="C2643" s="573" t="s">
        <v>187</v>
      </c>
      <c r="D2643" s="580"/>
      <c r="E2643" s="575"/>
      <c r="F2643" s="436"/>
      <c r="G2643" s="431"/>
      <c r="H2643" s="430"/>
      <c r="I2643" s="432"/>
      <c r="J2643" s="433"/>
      <c r="K2643" s="437">
        <f t="shared" si="714"/>
        <v>0</v>
      </c>
      <c r="L2643" s="435" t="s">
        <v>614</v>
      </c>
      <c r="M2643" s="576"/>
      <c r="N2643" s="576">
        <f t="shared" si="696"/>
        <v>0</v>
      </c>
      <c r="O2643" s="577">
        <f t="shared" si="711"/>
        <v>0</v>
      </c>
      <c r="P2643" s="578">
        <f t="shared" si="712"/>
        <v>0</v>
      </c>
      <c r="Q2643" s="765"/>
      <c r="R2643" s="576">
        <f t="shared" si="705"/>
        <v>0</v>
      </c>
      <c r="S2643" s="576">
        <f t="shared" si="705"/>
        <v>0</v>
      </c>
      <c r="T2643" s="577">
        <f t="shared" si="709"/>
        <v>0</v>
      </c>
      <c r="U2643" s="578">
        <f t="shared" si="710"/>
        <v>0</v>
      </c>
      <c r="V2643" s="579"/>
      <c r="W2643" s="566"/>
      <c r="X2643" s="586" t="str">
        <f t="shared" si="703"/>
        <v/>
      </c>
      <c r="Y2643" s="586" t="str">
        <f t="shared" si="715"/>
        <v/>
      </c>
      <c r="Z2643" s="586" t="str">
        <f t="shared" si="701"/>
        <v/>
      </c>
    </row>
    <row r="2644" spans="1:26" ht="12" hidden="1" thickBot="1" x14ac:dyDescent="0.25">
      <c r="A2644" s="652" t="s">
        <v>187</v>
      </c>
      <c r="B2644" s="572" t="s">
        <v>187</v>
      </c>
      <c r="C2644" s="573" t="s">
        <v>187</v>
      </c>
      <c r="D2644" s="580"/>
      <c r="E2644" s="575"/>
      <c r="F2644" s="436"/>
      <c r="G2644" s="431"/>
      <c r="H2644" s="430"/>
      <c r="I2644" s="432"/>
      <c r="J2644" s="433"/>
      <c r="K2644" s="437">
        <f t="shared" si="714"/>
        <v>0</v>
      </c>
      <c r="L2644" s="435" t="s">
        <v>614</v>
      </c>
      <c r="M2644" s="576"/>
      <c r="N2644" s="576">
        <f t="shared" ref="N2644:N2707" si="716">IF(M2644=0,0,K2644)</f>
        <v>0</v>
      </c>
      <c r="O2644" s="577">
        <f t="shared" si="711"/>
        <v>0</v>
      </c>
      <c r="P2644" s="578">
        <f t="shared" si="712"/>
        <v>0</v>
      </c>
      <c r="Q2644" s="765"/>
      <c r="R2644" s="576">
        <f t="shared" si="705"/>
        <v>0</v>
      </c>
      <c r="S2644" s="576">
        <f t="shared" si="705"/>
        <v>0</v>
      </c>
      <c r="T2644" s="577">
        <f t="shared" si="709"/>
        <v>0</v>
      </c>
      <c r="U2644" s="578">
        <f t="shared" si="710"/>
        <v>0</v>
      </c>
      <c r="V2644" s="579"/>
      <c r="W2644" s="566"/>
      <c r="X2644" s="586" t="str">
        <f t="shared" si="703"/>
        <v/>
      </c>
      <c r="Y2644" s="586" t="str">
        <f t="shared" si="715"/>
        <v/>
      </c>
      <c r="Z2644" s="586" t="str">
        <f t="shared" si="701"/>
        <v/>
      </c>
    </row>
    <row r="2645" spans="1:26" ht="12" hidden="1" thickBot="1" x14ac:dyDescent="0.25">
      <c r="A2645" s="652" t="s">
        <v>187</v>
      </c>
      <c r="B2645" s="572" t="s">
        <v>187</v>
      </c>
      <c r="C2645" s="573" t="s">
        <v>187</v>
      </c>
      <c r="D2645" s="580"/>
      <c r="E2645" s="575"/>
      <c r="F2645" s="436"/>
      <c r="G2645" s="431"/>
      <c r="H2645" s="430"/>
      <c r="I2645" s="432"/>
      <c r="J2645" s="433"/>
      <c r="K2645" s="437">
        <f t="shared" si="714"/>
        <v>0</v>
      </c>
      <c r="L2645" s="435" t="s">
        <v>614</v>
      </c>
      <c r="M2645" s="576"/>
      <c r="N2645" s="576">
        <f t="shared" si="716"/>
        <v>0</v>
      </c>
      <c r="O2645" s="577">
        <f t="shared" si="711"/>
        <v>0</v>
      </c>
      <c r="P2645" s="578">
        <f t="shared" si="712"/>
        <v>0</v>
      </c>
      <c r="Q2645" s="765"/>
      <c r="R2645" s="576">
        <f t="shared" si="705"/>
        <v>0</v>
      </c>
      <c r="S2645" s="576">
        <f t="shared" si="705"/>
        <v>0</v>
      </c>
      <c r="T2645" s="577">
        <f t="shared" si="709"/>
        <v>0</v>
      </c>
      <c r="U2645" s="578">
        <f t="shared" si="710"/>
        <v>0</v>
      </c>
      <c r="V2645" s="579"/>
      <c r="W2645" s="566"/>
      <c r="X2645" s="586" t="str">
        <f t="shared" si="703"/>
        <v/>
      </c>
      <c r="Y2645" s="586" t="str">
        <f t="shared" si="715"/>
        <v/>
      </c>
      <c r="Z2645" s="586" t="str">
        <f t="shared" si="701"/>
        <v/>
      </c>
    </row>
    <row r="2646" spans="1:26" ht="12" hidden="1" thickBot="1" x14ac:dyDescent="0.25">
      <c r="A2646" s="652" t="s">
        <v>187</v>
      </c>
      <c r="B2646" s="572" t="s">
        <v>187</v>
      </c>
      <c r="C2646" s="573" t="s">
        <v>187</v>
      </c>
      <c r="D2646" s="580"/>
      <c r="E2646" s="575"/>
      <c r="F2646" s="436"/>
      <c r="G2646" s="431"/>
      <c r="H2646" s="430"/>
      <c r="I2646" s="432"/>
      <c r="J2646" s="433"/>
      <c r="K2646" s="437">
        <f t="shared" si="714"/>
        <v>0</v>
      </c>
      <c r="L2646" s="435" t="s">
        <v>614</v>
      </c>
      <c r="M2646" s="576"/>
      <c r="N2646" s="576">
        <f t="shared" si="716"/>
        <v>0</v>
      </c>
      <c r="O2646" s="577">
        <f t="shared" si="711"/>
        <v>0</v>
      </c>
      <c r="P2646" s="578">
        <f t="shared" si="712"/>
        <v>0</v>
      </c>
      <c r="Q2646" s="765"/>
      <c r="R2646" s="576">
        <f t="shared" si="705"/>
        <v>0</v>
      </c>
      <c r="S2646" s="576">
        <f t="shared" si="705"/>
        <v>0</v>
      </c>
      <c r="T2646" s="577">
        <f t="shared" si="709"/>
        <v>0</v>
      </c>
      <c r="U2646" s="578">
        <f t="shared" si="710"/>
        <v>0</v>
      </c>
      <c r="V2646" s="579"/>
      <c r="W2646" s="566"/>
      <c r="X2646" s="586" t="str">
        <f t="shared" si="703"/>
        <v/>
      </c>
      <c r="Y2646" s="586" t="str">
        <f t="shared" si="715"/>
        <v/>
      </c>
      <c r="Z2646" s="586" t="str">
        <f t="shared" si="701"/>
        <v/>
      </c>
    </row>
    <row r="2647" spans="1:26" ht="12" hidden="1" thickBot="1" x14ac:dyDescent="0.25">
      <c r="A2647" s="652" t="s">
        <v>187</v>
      </c>
      <c r="B2647" s="572" t="s">
        <v>187</v>
      </c>
      <c r="C2647" s="573" t="s">
        <v>187</v>
      </c>
      <c r="D2647" s="580"/>
      <c r="E2647" s="575"/>
      <c r="F2647" s="436"/>
      <c r="G2647" s="431"/>
      <c r="H2647" s="430"/>
      <c r="I2647" s="432"/>
      <c r="J2647" s="433"/>
      <c r="K2647" s="437">
        <f t="shared" si="714"/>
        <v>0</v>
      </c>
      <c r="L2647" s="435" t="s">
        <v>614</v>
      </c>
      <c r="M2647" s="576"/>
      <c r="N2647" s="576">
        <f t="shared" si="716"/>
        <v>0</v>
      </c>
      <c r="O2647" s="577">
        <f t="shared" si="711"/>
        <v>0</v>
      </c>
      <c r="P2647" s="578">
        <f t="shared" si="712"/>
        <v>0</v>
      </c>
      <c r="Q2647" s="765"/>
      <c r="R2647" s="576">
        <f t="shared" si="705"/>
        <v>0</v>
      </c>
      <c r="S2647" s="576">
        <f t="shared" si="705"/>
        <v>0</v>
      </c>
      <c r="T2647" s="577">
        <f t="shared" si="709"/>
        <v>0</v>
      </c>
      <c r="U2647" s="578">
        <f t="shared" si="710"/>
        <v>0</v>
      </c>
      <c r="V2647" s="579"/>
      <c r="W2647" s="566"/>
      <c r="X2647" s="586" t="str">
        <f t="shared" si="703"/>
        <v/>
      </c>
      <c r="Y2647" s="586" t="str">
        <f t="shared" si="715"/>
        <v/>
      </c>
      <c r="Z2647" s="586" t="str">
        <f t="shared" si="701"/>
        <v/>
      </c>
    </row>
    <row r="2648" spans="1:26" ht="12" hidden="1" thickBot="1" x14ac:dyDescent="0.25">
      <c r="A2648" s="652" t="s">
        <v>187</v>
      </c>
      <c r="B2648" s="572" t="s">
        <v>187</v>
      </c>
      <c r="C2648" s="573" t="s">
        <v>187</v>
      </c>
      <c r="D2648" s="580"/>
      <c r="E2648" s="575"/>
      <c r="F2648" s="436"/>
      <c r="G2648" s="431"/>
      <c r="H2648" s="430"/>
      <c r="I2648" s="432"/>
      <c r="J2648" s="433"/>
      <c r="K2648" s="437">
        <f t="shared" si="714"/>
        <v>0</v>
      </c>
      <c r="L2648" s="435" t="s">
        <v>614</v>
      </c>
      <c r="M2648" s="576"/>
      <c r="N2648" s="576">
        <f t="shared" si="716"/>
        <v>0</v>
      </c>
      <c r="O2648" s="577">
        <f t="shared" si="711"/>
        <v>0</v>
      </c>
      <c r="P2648" s="578">
        <f t="shared" si="712"/>
        <v>0</v>
      </c>
      <c r="Q2648" s="765"/>
      <c r="R2648" s="576">
        <f t="shared" si="705"/>
        <v>0</v>
      </c>
      <c r="S2648" s="576">
        <f t="shared" si="705"/>
        <v>0</v>
      </c>
      <c r="T2648" s="577">
        <f t="shared" si="709"/>
        <v>0</v>
      </c>
      <c r="U2648" s="578">
        <f t="shared" si="710"/>
        <v>0</v>
      </c>
      <c r="V2648" s="579"/>
      <c r="W2648" s="566"/>
      <c r="X2648" s="586" t="str">
        <f t="shared" si="703"/>
        <v/>
      </c>
      <c r="Y2648" s="586" t="str">
        <f t="shared" si="715"/>
        <v/>
      </c>
      <c r="Z2648" s="586" t="str">
        <f t="shared" si="701"/>
        <v/>
      </c>
    </row>
    <row r="2649" spans="1:26" ht="12" hidden="1" thickBot="1" x14ac:dyDescent="0.25">
      <c r="A2649" s="652" t="s">
        <v>187</v>
      </c>
      <c r="B2649" s="572" t="s">
        <v>187</v>
      </c>
      <c r="C2649" s="573" t="s">
        <v>187</v>
      </c>
      <c r="D2649" s="580"/>
      <c r="E2649" s="575"/>
      <c r="F2649" s="436"/>
      <c r="G2649" s="431"/>
      <c r="H2649" s="430"/>
      <c r="I2649" s="432"/>
      <c r="J2649" s="433"/>
      <c r="K2649" s="437">
        <f t="shared" si="714"/>
        <v>0</v>
      </c>
      <c r="L2649" s="435" t="s">
        <v>614</v>
      </c>
      <c r="M2649" s="576"/>
      <c r="N2649" s="576">
        <f t="shared" si="716"/>
        <v>0</v>
      </c>
      <c r="O2649" s="577">
        <f t="shared" si="711"/>
        <v>0</v>
      </c>
      <c r="P2649" s="578">
        <f t="shared" si="712"/>
        <v>0</v>
      </c>
      <c r="Q2649" s="765"/>
      <c r="R2649" s="576">
        <f t="shared" si="705"/>
        <v>0</v>
      </c>
      <c r="S2649" s="576">
        <f t="shared" si="705"/>
        <v>0</v>
      </c>
      <c r="T2649" s="577">
        <f t="shared" si="709"/>
        <v>0</v>
      </c>
      <c r="U2649" s="578">
        <f t="shared" si="710"/>
        <v>0</v>
      </c>
      <c r="V2649" s="579"/>
      <c r="W2649" s="566"/>
      <c r="X2649" s="586" t="str">
        <f t="shared" si="703"/>
        <v/>
      </c>
      <c r="Y2649" s="586" t="str">
        <f t="shared" si="715"/>
        <v/>
      </c>
      <c r="Z2649" s="586" t="str">
        <f t="shared" si="701"/>
        <v/>
      </c>
    </row>
    <row r="2650" spans="1:26" ht="12" hidden="1" thickBot="1" x14ac:dyDescent="0.25">
      <c r="A2650" s="652" t="s">
        <v>187</v>
      </c>
      <c r="B2650" s="572" t="s">
        <v>187</v>
      </c>
      <c r="C2650" s="573" t="s">
        <v>187</v>
      </c>
      <c r="D2650" s="580"/>
      <c r="E2650" s="575"/>
      <c r="F2650" s="436"/>
      <c r="G2650" s="431"/>
      <c r="H2650" s="430"/>
      <c r="I2650" s="432"/>
      <c r="J2650" s="433"/>
      <c r="K2650" s="437">
        <f t="shared" si="714"/>
        <v>0</v>
      </c>
      <c r="L2650" s="435" t="s">
        <v>614</v>
      </c>
      <c r="M2650" s="576"/>
      <c r="N2650" s="576">
        <f t="shared" si="716"/>
        <v>0</v>
      </c>
      <c r="O2650" s="577">
        <f t="shared" si="711"/>
        <v>0</v>
      </c>
      <c r="P2650" s="578">
        <f t="shared" si="712"/>
        <v>0</v>
      </c>
      <c r="Q2650" s="765"/>
      <c r="R2650" s="576">
        <f t="shared" si="705"/>
        <v>0</v>
      </c>
      <c r="S2650" s="576">
        <f t="shared" si="705"/>
        <v>0</v>
      </c>
      <c r="T2650" s="577">
        <f t="shared" si="709"/>
        <v>0</v>
      </c>
      <c r="U2650" s="578">
        <f t="shared" si="710"/>
        <v>0</v>
      </c>
      <c r="V2650" s="579"/>
      <c r="W2650" s="566"/>
      <c r="X2650" s="586" t="str">
        <f t="shared" si="703"/>
        <v/>
      </c>
      <c r="Y2650" s="586" t="str">
        <f t="shared" si="715"/>
        <v/>
      </c>
      <c r="Z2650" s="586" t="str">
        <f t="shared" si="701"/>
        <v/>
      </c>
    </row>
    <row r="2651" spans="1:26" ht="12" hidden="1" thickBot="1" x14ac:dyDescent="0.25">
      <c r="A2651" s="652" t="s">
        <v>187</v>
      </c>
      <c r="B2651" s="572" t="s">
        <v>187</v>
      </c>
      <c r="C2651" s="573" t="s">
        <v>187</v>
      </c>
      <c r="D2651" s="580"/>
      <c r="E2651" s="575"/>
      <c r="F2651" s="436"/>
      <c r="G2651" s="431"/>
      <c r="H2651" s="430"/>
      <c r="I2651" s="432"/>
      <c r="J2651" s="433"/>
      <c r="K2651" s="437">
        <f t="shared" si="714"/>
        <v>0</v>
      </c>
      <c r="L2651" s="435" t="s">
        <v>614</v>
      </c>
      <c r="M2651" s="576"/>
      <c r="N2651" s="576">
        <f t="shared" si="716"/>
        <v>0</v>
      </c>
      <c r="O2651" s="577">
        <f t="shared" si="711"/>
        <v>0</v>
      </c>
      <c r="P2651" s="578">
        <f t="shared" si="712"/>
        <v>0</v>
      </c>
      <c r="Q2651" s="765"/>
      <c r="R2651" s="576">
        <f t="shared" si="705"/>
        <v>0</v>
      </c>
      <c r="S2651" s="576">
        <f t="shared" si="705"/>
        <v>0</v>
      </c>
      <c r="T2651" s="577">
        <f t="shared" si="709"/>
        <v>0</v>
      </c>
      <c r="U2651" s="578">
        <f t="shared" si="710"/>
        <v>0</v>
      </c>
      <c r="V2651" s="579"/>
      <c r="W2651" s="566"/>
      <c r="X2651" s="586" t="str">
        <f t="shared" si="703"/>
        <v/>
      </c>
      <c r="Y2651" s="586" t="str">
        <f t="shared" si="715"/>
        <v/>
      </c>
      <c r="Z2651" s="586" t="str">
        <f t="shared" si="701"/>
        <v/>
      </c>
    </row>
    <row r="2652" spans="1:26" ht="12" hidden="1" thickBot="1" x14ac:dyDescent="0.25">
      <c r="A2652" s="652" t="s">
        <v>187</v>
      </c>
      <c r="B2652" s="572" t="s">
        <v>187</v>
      </c>
      <c r="C2652" s="573" t="s">
        <v>187</v>
      </c>
      <c r="D2652" s="580"/>
      <c r="E2652" s="575"/>
      <c r="F2652" s="436"/>
      <c r="G2652" s="431"/>
      <c r="H2652" s="430"/>
      <c r="I2652" s="432"/>
      <c r="J2652" s="433"/>
      <c r="K2652" s="437">
        <f t="shared" si="714"/>
        <v>0</v>
      </c>
      <c r="L2652" s="435" t="s">
        <v>614</v>
      </c>
      <c r="M2652" s="576"/>
      <c r="N2652" s="576">
        <f t="shared" si="716"/>
        <v>0</v>
      </c>
      <c r="O2652" s="577">
        <f t="shared" si="711"/>
        <v>0</v>
      </c>
      <c r="P2652" s="578">
        <f t="shared" si="712"/>
        <v>0</v>
      </c>
      <c r="Q2652" s="765"/>
      <c r="R2652" s="576">
        <f t="shared" si="705"/>
        <v>0</v>
      </c>
      <c r="S2652" s="576">
        <f t="shared" si="705"/>
        <v>0</v>
      </c>
      <c r="T2652" s="577">
        <f t="shared" si="709"/>
        <v>0</v>
      </c>
      <c r="U2652" s="578">
        <f t="shared" si="710"/>
        <v>0</v>
      </c>
      <c r="V2652" s="579"/>
      <c r="W2652" s="566"/>
      <c r="X2652" s="586" t="str">
        <f t="shared" si="703"/>
        <v/>
      </c>
      <c r="Y2652" s="586" t="str">
        <f t="shared" si="715"/>
        <v/>
      </c>
      <c r="Z2652" s="586" t="str">
        <f t="shared" si="701"/>
        <v/>
      </c>
    </row>
    <row r="2653" spans="1:26" ht="12" hidden="1" thickBot="1" x14ac:dyDescent="0.25">
      <c r="A2653" s="652" t="s">
        <v>187</v>
      </c>
      <c r="B2653" s="572" t="s">
        <v>187</v>
      </c>
      <c r="C2653" s="573" t="s">
        <v>187</v>
      </c>
      <c r="D2653" s="580"/>
      <c r="E2653" s="575"/>
      <c r="F2653" s="436"/>
      <c r="G2653" s="431"/>
      <c r="H2653" s="430"/>
      <c r="I2653" s="432"/>
      <c r="J2653" s="433"/>
      <c r="K2653" s="437">
        <f t="shared" si="714"/>
        <v>0</v>
      </c>
      <c r="L2653" s="435" t="s">
        <v>614</v>
      </c>
      <c r="M2653" s="576"/>
      <c r="N2653" s="576">
        <f t="shared" si="716"/>
        <v>0</v>
      </c>
      <c r="O2653" s="577">
        <f t="shared" si="711"/>
        <v>0</v>
      </c>
      <c r="P2653" s="578">
        <f t="shared" si="712"/>
        <v>0</v>
      </c>
      <c r="Q2653" s="765"/>
      <c r="R2653" s="576">
        <f t="shared" si="705"/>
        <v>0</v>
      </c>
      <c r="S2653" s="576">
        <f t="shared" si="705"/>
        <v>0</v>
      </c>
      <c r="T2653" s="577">
        <f t="shared" si="709"/>
        <v>0</v>
      </c>
      <c r="U2653" s="578">
        <f t="shared" si="710"/>
        <v>0</v>
      </c>
      <c r="V2653" s="579"/>
      <c r="W2653" s="566"/>
      <c r="X2653" s="586" t="str">
        <f t="shared" si="703"/>
        <v/>
      </c>
      <c r="Y2653" s="586" t="str">
        <f t="shared" si="715"/>
        <v/>
      </c>
      <c r="Z2653" s="586" t="str">
        <f t="shared" si="701"/>
        <v/>
      </c>
    </row>
    <row r="2654" spans="1:26" ht="12" hidden="1" thickBot="1" x14ac:dyDescent="0.25">
      <c r="A2654" s="652" t="s">
        <v>187</v>
      </c>
      <c r="B2654" s="572" t="s">
        <v>187</v>
      </c>
      <c r="C2654" s="573" t="s">
        <v>187</v>
      </c>
      <c r="D2654" s="580"/>
      <c r="E2654" s="575"/>
      <c r="F2654" s="436"/>
      <c r="G2654" s="431"/>
      <c r="H2654" s="430"/>
      <c r="I2654" s="432"/>
      <c r="J2654" s="433"/>
      <c r="K2654" s="437">
        <f t="shared" si="714"/>
        <v>0</v>
      </c>
      <c r="L2654" s="435" t="s">
        <v>614</v>
      </c>
      <c r="M2654" s="576"/>
      <c r="N2654" s="576">
        <f t="shared" si="716"/>
        <v>0</v>
      </c>
      <c r="O2654" s="577">
        <f t="shared" si="711"/>
        <v>0</v>
      </c>
      <c r="P2654" s="578">
        <f t="shared" si="712"/>
        <v>0</v>
      </c>
      <c r="Q2654" s="765"/>
      <c r="R2654" s="576">
        <f t="shared" si="705"/>
        <v>0</v>
      </c>
      <c r="S2654" s="576">
        <f t="shared" si="705"/>
        <v>0</v>
      </c>
      <c r="T2654" s="577">
        <f t="shared" si="709"/>
        <v>0</v>
      </c>
      <c r="U2654" s="578">
        <f t="shared" si="710"/>
        <v>0</v>
      </c>
      <c r="V2654" s="579"/>
      <c r="W2654" s="566"/>
      <c r="X2654" s="586" t="str">
        <f t="shared" si="703"/>
        <v/>
      </c>
      <c r="Y2654" s="586" t="str">
        <f t="shared" si="715"/>
        <v/>
      </c>
      <c r="Z2654" s="586" t="str">
        <f t="shared" si="701"/>
        <v/>
      </c>
    </row>
    <row r="2655" spans="1:26" ht="12" hidden="1" thickBot="1" x14ac:dyDescent="0.25">
      <c r="A2655" s="652" t="s">
        <v>187</v>
      </c>
      <c r="B2655" s="572" t="s">
        <v>187</v>
      </c>
      <c r="C2655" s="573" t="s">
        <v>187</v>
      </c>
      <c r="D2655" s="580"/>
      <c r="E2655" s="575"/>
      <c r="F2655" s="436"/>
      <c r="G2655" s="431"/>
      <c r="H2655" s="430"/>
      <c r="I2655" s="432"/>
      <c r="J2655" s="433"/>
      <c r="K2655" s="437">
        <f t="shared" si="714"/>
        <v>0</v>
      </c>
      <c r="L2655" s="435" t="s">
        <v>614</v>
      </c>
      <c r="M2655" s="576"/>
      <c r="N2655" s="576">
        <f t="shared" si="716"/>
        <v>0</v>
      </c>
      <c r="O2655" s="577">
        <f t="shared" si="711"/>
        <v>0</v>
      </c>
      <c r="P2655" s="578">
        <f t="shared" si="712"/>
        <v>0</v>
      </c>
      <c r="Q2655" s="765"/>
      <c r="R2655" s="576">
        <f t="shared" si="705"/>
        <v>0</v>
      </c>
      <c r="S2655" s="576">
        <f t="shared" si="705"/>
        <v>0</v>
      </c>
      <c r="T2655" s="577">
        <f t="shared" si="709"/>
        <v>0</v>
      </c>
      <c r="U2655" s="578">
        <f t="shared" si="710"/>
        <v>0</v>
      </c>
      <c r="V2655" s="579"/>
      <c r="W2655" s="566"/>
      <c r="X2655" s="586" t="str">
        <f t="shared" si="703"/>
        <v/>
      </c>
      <c r="Y2655" s="586" t="str">
        <f t="shared" si="715"/>
        <v/>
      </c>
      <c r="Z2655" s="586" t="str">
        <f t="shared" si="701"/>
        <v/>
      </c>
    </row>
    <row r="2656" spans="1:26" ht="12" hidden="1" thickBot="1" x14ac:dyDescent="0.25">
      <c r="A2656" s="652" t="s">
        <v>187</v>
      </c>
      <c r="B2656" s="572" t="s">
        <v>187</v>
      </c>
      <c r="C2656" s="573" t="s">
        <v>187</v>
      </c>
      <c r="D2656" s="580"/>
      <c r="E2656" s="575"/>
      <c r="F2656" s="436"/>
      <c r="G2656" s="431"/>
      <c r="H2656" s="430"/>
      <c r="I2656" s="432"/>
      <c r="J2656" s="433"/>
      <c r="K2656" s="437">
        <f t="shared" si="714"/>
        <v>0</v>
      </c>
      <c r="L2656" s="435" t="s">
        <v>614</v>
      </c>
      <c r="M2656" s="576"/>
      <c r="N2656" s="576">
        <f t="shared" si="716"/>
        <v>0</v>
      </c>
      <c r="O2656" s="577">
        <f t="shared" si="711"/>
        <v>0</v>
      </c>
      <c r="P2656" s="578">
        <f t="shared" si="712"/>
        <v>0</v>
      </c>
      <c r="Q2656" s="765"/>
      <c r="R2656" s="576">
        <f t="shared" si="705"/>
        <v>0</v>
      </c>
      <c r="S2656" s="576">
        <f t="shared" si="705"/>
        <v>0</v>
      </c>
      <c r="T2656" s="577">
        <f t="shared" si="709"/>
        <v>0</v>
      </c>
      <c r="U2656" s="578">
        <f t="shared" si="710"/>
        <v>0</v>
      </c>
      <c r="V2656" s="579"/>
      <c r="W2656" s="566"/>
      <c r="X2656" s="586" t="str">
        <f t="shared" si="703"/>
        <v/>
      </c>
      <c r="Y2656" s="586" t="str">
        <f t="shared" si="715"/>
        <v/>
      </c>
      <c r="Z2656" s="586" t="str">
        <f t="shared" si="701"/>
        <v/>
      </c>
    </row>
    <row r="2657" spans="1:26" ht="12" hidden="1" thickBot="1" x14ac:dyDescent="0.25">
      <c r="A2657" s="652" t="s">
        <v>187</v>
      </c>
      <c r="B2657" s="572" t="s">
        <v>187</v>
      </c>
      <c r="C2657" s="573" t="s">
        <v>187</v>
      </c>
      <c r="D2657" s="580"/>
      <c r="E2657" s="575"/>
      <c r="F2657" s="436"/>
      <c r="G2657" s="431"/>
      <c r="H2657" s="430"/>
      <c r="I2657" s="432"/>
      <c r="J2657" s="433"/>
      <c r="K2657" s="437">
        <f t="shared" si="714"/>
        <v>0</v>
      </c>
      <c r="L2657" s="435" t="s">
        <v>614</v>
      </c>
      <c r="M2657" s="576"/>
      <c r="N2657" s="576">
        <f t="shared" si="716"/>
        <v>0</v>
      </c>
      <c r="O2657" s="577">
        <f t="shared" si="711"/>
        <v>0</v>
      </c>
      <c r="P2657" s="578">
        <f t="shared" si="712"/>
        <v>0</v>
      </c>
      <c r="Q2657" s="765"/>
      <c r="R2657" s="576">
        <f t="shared" si="705"/>
        <v>0</v>
      </c>
      <c r="S2657" s="576">
        <f t="shared" si="705"/>
        <v>0</v>
      </c>
      <c r="T2657" s="577">
        <f t="shared" si="709"/>
        <v>0</v>
      </c>
      <c r="U2657" s="578">
        <f t="shared" si="710"/>
        <v>0</v>
      </c>
      <c r="V2657" s="579"/>
      <c r="W2657" s="566"/>
      <c r="X2657" s="586" t="str">
        <f t="shared" si="703"/>
        <v/>
      </c>
      <c r="Y2657" s="586" t="str">
        <f t="shared" si="715"/>
        <v/>
      </c>
      <c r="Z2657" s="586" t="str">
        <f t="shared" si="701"/>
        <v/>
      </c>
    </row>
    <row r="2658" spans="1:26" ht="12" hidden="1" thickBot="1" x14ac:dyDescent="0.25">
      <c r="A2658" s="652" t="s">
        <v>187</v>
      </c>
      <c r="B2658" s="572" t="s">
        <v>187</v>
      </c>
      <c r="C2658" s="573" t="s">
        <v>187</v>
      </c>
      <c r="D2658" s="580"/>
      <c r="E2658" s="575"/>
      <c r="F2658" s="436"/>
      <c r="G2658" s="431"/>
      <c r="H2658" s="430"/>
      <c r="I2658" s="432"/>
      <c r="J2658" s="433"/>
      <c r="K2658" s="437">
        <f t="shared" si="714"/>
        <v>0</v>
      </c>
      <c r="L2658" s="435" t="s">
        <v>614</v>
      </c>
      <c r="M2658" s="576"/>
      <c r="N2658" s="576">
        <f t="shared" si="716"/>
        <v>0</v>
      </c>
      <c r="O2658" s="577">
        <f t="shared" si="711"/>
        <v>0</v>
      </c>
      <c r="P2658" s="578">
        <f t="shared" si="712"/>
        <v>0</v>
      </c>
      <c r="Q2658" s="765"/>
      <c r="R2658" s="576">
        <f t="shared" si="705"/>
        <v>0</v>
      </c>
      <c r="S2658" s="576">
        <f t="shared" si="705"/>
        <v>0</v>
      </c>
      <c r="T2658" s="577">
        <f t="shared" si="709"/>
        <v>0</v>
      </c>
      <c r="U2658" s="578">
        <f t="shared" si="710"/>
        <v>0</v>
      </c>
      <c r="V2658" s="579"/>
      <c r="W2658" s="566"/>
      <c r="X2658" s="586" t="str">
        <f t="shared" si="703"/>
        <v/>
      </c>
      <c r="Y2658" s="586" t="str">
        <f t="shared" si="715"/>
        <v/>
      </c>
      <c r="Z2658" s="586" t="str">
        <f t="shared" si="701"/>
        <v/>
      </c>
    </row>
    <row r="2659" spans="1:26" ht="12" hidden="1" thickBot="1" x14ac:dyDescent="0.25">
      <c r="A2659" s="652" t="s">
        <v>187</v>
      </c>
      <c r="B2659" s="572" t="s">
        <v>187</v>
      </c>
      <c r="C2659" s="573" t="s">
        <v>187</v>
      </c>
      <c r="D2659" s="580"/>
      <c r="E2659" s="575"/>
      <c r="F2659" s="436"/>
      <c r="G2659" s="431"/>
      <c r="H2659" s="430"/>
      <c r="I2659" s="432"/>
      <c r="J2659" s="433"/>
      <c r="K2659" s="437">
        <f t="shared" si="714"/>
        <v>0</v>
      </c>
      <c r="L2659" s="435" t="s">
        <v>614</v>
      </c>
      <c r="M2659" s="576"/>
      <c r="N2659" s="576">
        <f t="shared" si="716"/>
        <v>0</v>
      </c>
      <c r="O2659" s="577">
        <f t="shared" si="711"/>
        <v>0</v>
      </c>
      <c r="P2659" s="578">
        <f t="shared" si="712"/>
        <v>0</v>
      </c>
      <c r="Q2659" s="765"/>
      <c r="R2659" s="576">
        <f t="shared" si="705"/>
        <v>0</v>
      </c>
      <c r="S2659" s="576">
        <f t="shared" si="705"/>
        <v>0</v>
      </c>
      <c r="T2659" s="577">
        <f t="shared" si="709"/>
        <v>0</v>
      </c>
      <c r="U2659" s="578">
        <f t="shared" si="710"/>
        <v>0</v>
      </c>
      <c r="V2659" s="579"/>
      <c r="W2659" s="566"/>
      <c r="X2659" s="586" t="str">
        <f t="shared" si="703"/>
        <v/>
      </c>
      <c r="Y2659" s="586" t="str">
        <f t="shared" si="715"/>
        <v/>
      </c>
      <c r="Z2659" s="586" t="str">
        <f t="shared" si="701"/>
        <v/>
      </c>
    </row>
    <row r="2660" spans="1:26" ht="12" hidden="1" thickBot="1" x14ac:dyDescent="0.25">
      <c r="A2660" s="652" t="s">
        <v>187</v>
      </c>
      <c r="B2660" s="572" t="s">
        <v>187</v>
      </c>
      <c r="C2660" s="573" t="s">
        <v>187</v>
      </c>
      <c r="D2660" s="580"/>
      <c r="E2660" s="575"/>
      <c r="F2660" s="436"/>
      <c r="G2660" s="431"/>
      <c r="H2660" s="430"/>
      <c r="I2660" s="432"/>
      <c r="J2660" s="433"/>
      <c r="K2660" s="437">
        <f t="shared" si="714"/>
        <v>0</v>
      </c>
      <c r="L2660" s="435" t="s">
        <v>614</v>
      </c>
      <c r="M2660" s="576"/>
      <c r="N2660" s="576">
        <f t="shared" si="716"/>
        <v>0</v>
      </c>
      <c r="O2660" s="577">
        <f t="shared" si="711"/>
        <v>0</v>
      </c>
      <c r="P2660" s="578">
        <f t="shared" si="712"/>
        <v>0</v>
      </c>
      <c r="Q2660" s="765"/>
      <c r="R2660" s="576">
        <f t="shared" si="705"/>
        <v>0</v>
      </c>
      <c r="S2660" s="576">
        <f t="shared" si="705"/>
        <v>0</v>
      </c>
      <c r="T2660" s="577">
        <f t="shared" si="709"/>
        <v>0</v>
      </c>
      <c r="U2660" s="578">
        <f t="shared" si="710"/>
        <v>0</v>
      </c>
      <c r="V2660" s="579"/>
      <c r="W2660" s="566"/>
      <c r="X2660" s="586" t="str">
        <f t="shared" si="703"/>
        <v/>
      </c>
      <c r="Y2660" s="586" t="str">
        <f t="shared" si="715"/>
        <v/>
      </c>
      <c r="Z2660" s="586" t="str">
        <f t="shared" si="701"/>
        <v/>
      </c>
    </row>
    <row r="2661" spans="1:26" ht="12" hidden="1" thickBot="1" x14ac:dyDescent="0.25">
      <c r="A2661" s="652" t="s">
        <v>187</v>
      </c>
      <c r="B2661" s="572" t="s">
        <v>187</v>
      </c>
      <c r="C2661" s="573" t="s">
        <v>187</v>
      </c>
      <c r="D2661" s="583"/>
      <c r="E2661" s="575"/>
      <c r="F2661" s="436"/>
      <c r="G2661" s="431"/>
      <c r="H2661" s="430"/>
      <c r="I2661" s="432"/>
      <c r="J2661" s="433"/>
      <c r="K2661" s="437">
        <f t="shared" si="714"/>
        <v>0</v>
      </c>
      <c r="L2661" s="435" t="s">
        <v>614</v>
      </c>
      <c r="M2661" s="576"/>
      <c r="N2661" s="576">
        <f t="shared" si="716"/>
        <v>0</v>
      </c>
      <c r="O2661" s="577">
        <f t="shared" si="711"/>
        <v>0</v>
      </c>
      <c r="P2661" s="578">
        <f t="shared" si="712"/>
        <v>0</v>
      </c>
      <c r="Q2661" s="765"/>
      <c r="R2661" s="576">
        <f t="shared" si="705"/>
        <v>0</v>
      </c>
      <c r="S2661" s="576">
        <f t="shared" si="705"/>
        <v>0</v>
      </c>
      <c r="T2661" s="577">
        <f t="shared" si="709"/>
        <v>0</v>
      </c>
      <c r="U2661" s="578">
        <f t="shared" si="710"/>
        <v>0</v>
      </c>
      <c r="V2661" s="579"/>
      <c r="W2661" s="566"/>
      <c r="X2661" s="586" t="str">
        <f t="shared" si="703"/>
        <v/>
      </c>
      <c r="Y2661" s="586" t="str">
        <f t="shared" si="715"/>
        <v/>
      </c>
      <c r="Z2661" s="586" t="str">
        <f t="shared" si="701"/>
        <v/>
      </c>
    </row>
    <row r="2662" spans="1:26" ht="45.75" thickBot="1" x14ac:dyDescent="0.25">
      <c r="A2662" s="652" t="s">
        <v>187</v>
      </c>
      <c r="B2662" s="664" t="s">
        <v>595</v>
      </c>
      <c r="C2662" s="665"/>
      <c r="D2662" s="666" t="s">
        <v>1719</v>
      </c>
      <c r="E2662" s="724"/>
      <c r="F2662" s="632"/>
      <c r="G2662" s="633"/>
      <c r="H2662" s="634"/>
      <c r="I2662" s="409"/>
      <c r="J2662" s="409"/>
      <c r="K2662" s="409"/>
      <c r="L2662" s="409" t="s">
        <v>614</v>
      </c>
      <c r="M2662" s="634"/>
      <c r="N2662" s="797"/>
      <c r="O2662" s="409">
        <f t="shared" si="711"/>
        <v>0</v>
      </c>
      <c r="P2662" s="635">
        <f t="shared" si="712"/>
        <v>0</v>
      </c>
      <c r="Q2662" s="635">
        <f>SUM(P2663:P2707)</f>
        <v>1808.4100000000003</v>
      </c>
      <c r="R2662" s="634"/>
      <c r="S2662" s="409"/>
      <c r="T2662" s="409">
        <f t="shared" si="709"/>
        <v>0</v>
      </c>
      <c r="U2662" s="635">
        <f t="shared" si="710"/>
        <v>0</v>
      </c>
      <c r="V2662" s="636">
        <f>SUM(U2663:U2707)</f>
        <v>1808.4100000000003</v>
      </c>
      <c r="W2662" s="637" t="str">
        <f>IF(OR(Q2662&gt;0,V2662&gt;0),"X","")</f>
        <v>X</v>
      </c>
      <c r="X2662" s="586" t="str">
        <f t="shared" si="703"/>
        <v>x</v>
      </c>
      <c r="Y2662" s="586" t="str">
        <f t="shared" si="715"/>
        <v>x</v>
      </c>
      <c r="Z2662" s="586" t="str">
        <f t="shared" si="701"/>
        <v>x</v>
      </c>
    </row>
    <row r="2663" spans="1:26" s="567" customFormat="1" hidden="1" x14ac:dyDescent="0.2">
      <c r="A2663" s="652" t="s">
        <v>187</v>
      </c>
      <c r="B2663" s="644" t="s">
        <v>641</v>
      </c>
      <c r="C2663" s="645" t="s">
        <v>612</v>
      </c>
      <c r="D2663" s="422" t="s">
        <v>596</v>
      </c>
      <c r="E2663" s="423"/>
      <c r="F2663" s="424">
        <v>0</v>
      </c>
      <c r="G2663" s="425">
        <v>0</v>
      </c>
      <c r="H2663" s="651">
        <v>0</v>
      </c>
      <c r="I2663" s="420">
        <v>116.98</v>
      </c>
      <c r="J2663" s="420">
        <f>IF(ISBLANK(I2663),"",SUM(H2663:I2663))</f>
        <v>116.98</v>
      </c>
      <c r="K2663" s="421">
        <f t="shared" ref="K2663:K2675" si="717">IF(ISBLANK(I2663),0,ROUND(J2663*(1+$F$10)*(1+$F$11*E2663),2))</f>
        <v>138.97999999999999</v>
      </c>
      <c r="L2663" s="647" t="s">
        <v>21</v>
      </c>
      <c r="M2663" s="576"/>
      <c r="N2663" s="576">
        <f t="shared" si="716"/>
        <v>0</v>
      </c>
      <c r="O2663" s="577">
        <f t="shared" si="711"/>
        <v>0</v>
      </c>
      <c r="P2663" s="578">
        <f t="shared" si="712"/>
        <v>0</v>
      </c>
      <c r="Q2663" s="765"/>
      <c r="R2663" s="576">
        <f t="shared" si="705"/>
        <v>0</v>
      </c>
      <c r="S2663" s="576">
        <f t="shared" si="705"/>
        <v>0</v>
      </c>
      <c r="T2663" s="577">
        <f t="shared" si="709"/>
        <v>0</v>
      </c>
      <c r="U2663" s="578">
        <f t="shared" si="710"/>
        <v>0</v>
      </c>
      <c r="V2663" s="579"/>
      <c r="W2663" s="566"/>
      <c r="X2663" s="586" t="str">
        <f t="shared" si="703"/>
        <v/>
      </c>
      <c r="Y2663" s="586" t="str">
        <f t="shared" si="715"/>
        <v/>
      </c>
      <c r="Z2663" s="586" t="str">
        <f t="shared" si="701"/>
        <v/>
      </c>
    </row>
    <row r="2664" spans="1:26" s="567" customFormat="1" hidden="1" x14ac:dyDescent="0.2">
      <c r="A2664" s="652" t="s">
        <v>187</v>
      </c>
      <c r="B2664" s="644" t="s">
        <v>641</v>
      </c>
      <c r="C2664" s="645" t="s">
        <v>612</v>
      </c>
      <c r="D2664" s="422" t="s">
        <v>597</v>
      </c>
      <c r="E2664" s="423"/>
      <c r="F2664" s="424">
        <v>0</v>
      </c>
      <c r="G2664" s="425">
        <v>0</v>
      </c>
      <c r="H2664" s="651">
        <v>0</v>
      </c>
      <c r="I2664" s="420">
        <v>116.98</v>
      </c>
      <c r="J2664" s="420">
        <f t="shared" ref="J2664:J2671" si="718">IF(ISBLANK(I2664),"",SUM(H2664:I2664))</f>
        <v>116.98</v>
      </c>
      <c r="K2664" s="421">
        <f t="shared" si="717"/>
        <v>138.97999999999999</v>
      </c>
      <c r="L2664" s="647" t="s">
        <v>21</v>
      </c>
      <c r="M2664" s="576"/>
      <c r="N2664" s="576">
        <f t="shared" si="716"/>
        <v>0</v>
      </c>
      <c r="O2664" s="577">
        <f t="shared" si="711"/>
        <v>0</v>
      </c>
      <c r="P2664" s="578">
        <f t="shared" si="712"/>
        <v>0</v>
      </c>
      <c r="Q2664" s="765"/>
      <c r="R2664" s="576">
        <f t="shared" si="705"/>
        <v>0</v>
      </c>
      <c r="S2664" s="576">
        <f t="shared" si="705"/>
        <v>0</v>
      </c>
      <c r="T2664" s="577">
        <f t="shared" si="709"/>
        <v>0</v>
      </c>
      <c r="U2664" s="578">
        <f t="shared" si="710"/>
        <v>0</v>
      </c>
      <c r="V2664" s="579"/>
      <c r="W2664" s="566"/>
      <c r="X2664" s="586" t="str">
        <f t="shared" si="703"/>
        <v/>
      </c>
      <c r="Y2664" s="586" t="str">
        <f t="shared" si="715"/>
        <v/>
      </c>
      <c r="Z2664" s="586" t="str">
        <f t="shared" ref="Z2664:Z2707" si="719">IF(W2664="X","x",IF(U2664&gt;0,"x",""))</f>
        <v/>
      </c>
    </row>
    <row r="2665" spans="1:26" s="567" customFormat="1" ht="22.5" hidden="1" x14ac:dyDescent="0.2">
      <c r="A2665" s="652" t="s">
        <v>187</v>
      </c>
      <c r="B2665" s="644" t="s">
        <v>641</v>
      </c>
      <c r="C2665" s="645" t="s">
        <v>612</v>
      </c>
      <c r="D2665" s="422" t="s">
        <v>598</v>
      </c>
      <c r="E2665" s="423"/>
      <c r="F2665" s="424">
        <v>0</v>
      </c>
      <c r="G2665" s="425"/>
      <c r="H2665" s="651"/>
      <c r="I2665" s="420">
        <v>116.98</v>
      </c>
      <c r="J2665" s="420">
        <f t="shared" si="718"/>
        <v>116.98</v>
      </c>
      <c r="K2665" s="421">
        <f t="shared" si="717"/>
        <v>138.97999999999999</v>
      </c>
      <c r="L2665" s="647" t="s">
        <v>21</v>
      </c>
      <c r="M2665" s="576"/>
      <c r="N2665" s="576">
        <f t="shared" si="716"/>
        <v>0</v>
      </c>
      <c r="O2665" s="577">
        <f t="shared" si="711"/>
        <v>0</v>
      </c>
      <c r="P2665" s="578">
        <f t="shared" si="712"/>
        <v>0</v>
      </c>
      <c r="Q2665" s="765"/>
      <c r="R2665" s="576">
        <f t="shared" si="705"/>
        <v>0</v>
      </c>
      <c r="S2665" s="576">
        <f t="shared" si="705"/>
        <v>0</v>
      </c>
      <c r="T2665" s="577">
        <f t="shared" si="709"/>
        <v>0</v>
      </c>
      <c r="U2665" s="578">
        <f t="shared" si="710"/>
        <v>0</v>
      </c>
      <c r="V2665" s="579"/>
      <c r="W2665" s="566"/>
      <c r="X2665" s="586" t="str">
        <f t="shared" si="703"/>
        <v/>
      </c>
      <c r="Y2665" s="586" t="str">
        <f t="shared" si="715"/>
        <v/>
      </c>
      <c r="Z2665" s="586" t="str">
        <f t="shared" si="719"/>
        <v/>
      </c>
    </row>
    <row r="2666" spans="1:26" s="567" customFormat="1" hidden="1" x14ac:dyDescent="0.2">
      <c r="A2666" s="652" t="s">
        <v>187</v>
      </c>
      <c r="B2666" s="644" t="s">
        <v>641</v>
      </c>
      <c r="C2666" s="645" t="s">
        <v>612</v>
      </c>
      <c r="D2666" s="422" t="s">
        <v>599</v>
      </c>
      <c r="E2666" s="423"/>
      <c r="F2666" s="424">
        <v>0</v>
      </c>
      <c r="G2666" s="425"/>
      <c r="H2666" s="651"/>
      <c r="I2666" s="420">
        <v>116.98</v>
      </c>
      <c r="J2666" s="420">
        <f t="shared" si="718"/>
        <v>116.98</v>
      </c>
      <c r="K2666" s="421">
        <f t="shared" si="717"/>
        <v>138.97999999999999</v>
      </c>
      <c r="L2666" s="647" t="s">
        <v>21</v>
      </c>
      <c r="M2666" s="576"/>
      <c r="N2666" s="576">
        <f t="shared" si="716"/>
        <v>0</v>
      </c>
      <c r="O2666" s="577">
        <f t="shared" si="711"/>
        <v>0</v>
      </c>
      <c r="P2666" s="578">
        <f t="shared" si="712"/>
        <v>0</v>
      </c>
      <c r="Q2666" s="765"/>
      <c r="R2666" s="576">
        <f t="shared" si="705"/>
        <v>0</v>
      </c>
      <c r="S2666" s="576">
        <f t="shared" si="705"/>
        <v>0</v>
      </c>
      <c r="T2666" s="577">
        <f t="shared" si="709"/>
        <v>0</v>
      </c>
      <c r="U2666" s="578">
        <f t="shared" si="710"/>
        <v>0</v>
      </c>
      <c r="V2666" s="579"/>
      <c r="W2666" s="566"/>
      <c r="X2666" s="586" t="str">
        <f t="shared" si="703"/>
        <v/>
      </c>
      <c r="Y2666" s="586" t="str">
        <f t="shared" si="715"/>
        <v/>
      </c>
      <c r="Z2666" s="586" t="str">
        <f t="shared" si="719"/>
        <v/>
      </c>
    </row>
    <row r="2667" spans="1:26" s="567" customFormat="1" hidden="1" x14ac:dyDescent="0.2">
      <c r="A2667" s="652" t="s">
        <v>187</v>
      </c>
      <c r="B2667" s="644" t="s">
        <v>642</v>
      </c>
      <c r="C2667" s="645" t="s">
        <v>612</v>
      </c>
      <c r="D2667" s="422" t="s">
        <v>600</v>
      </c>
      <c r="E2667" s="423"/>
      <c r="F2667" s="424"/>
      <c r="G2667" s="425"/>
      <c r="H2667" s="651"/>
      <c r="I2667" s="420">
        <v>119.27</v>
      </c>
      <c r="J2667" s="420">
        <f t="shared" si="718"/>
        <v>119.27</v>
      </c>
      <c r="K2667" s="421">
        <f t="shared" si="717"/>
        <v>141.69999999999999</v>
      </c>
      <c r="L2667" s="647" t="s">
        <v>21</v>
      </c>
      <c r="M2667" s="576"/>
      <c r="N2667" s="576">
        <f t="shared" si="716"/>
        <v>0</v>
      </c>
      <c r="O2667" s="577">
        <f t="shared" si="711"/>
        <v>0</v>
      </c>
      <c r="P2667" s="578">
        <f t="shared" si="712"/>
        <v>0</v>
      </c>
      <c r="Q2667" s="765"/>
      <c r="R2667" s="576">
        <f t="shared" si="705"/>
        <v>0</v>
      </c>
      <c r="S2667" s="576">
        <f t="shared" si="705"/>
        <v>0</v>
      </c>
      <c r="T2667" s="577">
        <f t="shared" si="709"/>
        <v>0</v>
      </c>
      <c r="U2667" s="578">
        <f t="shared" si="710"/>
        <v>0</v>
      </c>
      <c r="V2667" s="579"/>
      <c r="W2667" s="566"/>
      <c r="X2667" s="586" t="str">
        <f t="shared" ref="X2667:X2707" si="720">IF(W2667="X","x",IF(W2667="xx","x",IF(W2667="xy","x",IF(W2667="y","x",IF(OR(P2667&gt;0,U2667&gt;0),"x","")))))</f>
        <v/>
      </c>
      <c r="Y2667" s="586" t="str">
        <f t="shared" si="715"/>
        <v/>
      </c>
      <c r="Z2667" s="586" t="str">
        <f t="shared" si="719"/>
        <v/>
      </c>
    </row>
    <row r="2668" spans="1:26" s="567" customFormat="1" x14ac:dyDescent="0.2">
      <c r="A2668" s="652" t="s">
        <v>187</v>
      </c>
      <c r="B2668" s="644" t="s">
        <v>601</v>
      </c>
      <c r="C2668" s="645" t="s">
        <v>643</v>
      </c>
      <c r="D2668" s="451" t="s">
        <v>602</v>
      </c>
      <c r="E2668" s="423"/>
      <c r="F2668" s="424"/>
      <c r="G2668" s="425"/>
      <c r="H2668" s="651"/>
      <c r="I2668" s="420">
        <v>78.64</v>
      </c>
      <c r="J2668" s="420">
        <f t="shared" si="718"/>
        <v>78.64</v>
      </c>
      <c r="K2668" s="421">
        <f t="shared" si="717"/>
        <v>93.43</v>
      </c>
      <c r="L2668" s="647" t="s">
        <v>21</v>
      </c>
      <c r="M2668" s="576">
        <v>4</v>
      </c>
      <c r="N2668" s="576">
        <f t="shared" si="716"/>
        <v>93.43</v>
      </c>
      <c r="O2668" s="577">
        <f t="shared" si="711"/>
        <v>373.72</v>
      </c>
      <c r="P2668" s="578">
        <f t="shared" si="712"/>
        <v>373.72</v>
      </c>
      <c r="Q2668" s="765"/>
      <c r="R2668" s="576">
        <f t="shared" si="705"/>
        <v>4</v>
      </c>
      <c r="S2668" s="576">
        <f t="shared" si="705"/>
        <v>93.43</v>
      </c>
      <c r="T2668" s="577">
        <f t="shared" si="709"/>
        <v>373.72</v>
      </c>
      <c r="U2668" s="578">
        <f t="shared" si="710"/>
        <v>373.72</v>
      </c>
      <c r="V2668" s="579"/>
      <c r="W2668" s="566"/>
      <c r="X2668" s="586" t="str">
        <f t="shared" si="720"/>
        <v>x</v>
      </c>
      <c r="Y2668" s="586" t="str">
        <f t="shared" si="715"/>
        <v>x</v>
      </c>
      <c r="Z2668" s="586" t="str">
        <f t="shared" si="719"/>
        <v>x</v>
      </c>
    </row>
    <row r="2669" spans="1:26" s="567" customFormat="1" hidden="1" x14ac:dyDescent="0.2">
      <c r="A2669" s="652" t="s">
        <v>187</v>
      </c>
      <c r="B2669" s="644" t="s">
        <v>603</v>
      </c>
      <c r="C2669" s="645" t="s">
        <v>643</v>
      </c>
      <c r="D2669" s="451" t="s">
        <v>604</v>
      </c>
      <c r="E2669" s="423"/>
      <c r="F2669" s="424"/>
      <c r="G2669" s="425"/>
      <c r="H2669" s="651"/>
      <c r="I2669" s="420">
        <v>46.05</v>
      </c>
      <c r="J2669" s="420">
        <f t="shared" si="718"/>
        <v>46.05</v>
      </c>
      <c r="K2669" s="421">
        <f t="shared" si="717"/>
        <v>54.71</v>
      </c>
      <c r="L2669" s="647" t="s">
        <v>21</v>
      </c>
      <c r="M2669" s="576"/>
      <c r="N2669" s="576">
        <f t="shared" si="716"/>
        <v>0</v>
      </c>
      <c r="O2669" s="577">
        <f t="shared" si="711"/>
        <v>0</v>
      </c>
      <c r="P2669" s="578">
        <f t="shared" si="712"/>
        <v>0</v>
      </c>
      <c r="Q2669" s="765"/>
      <c r="R2669" s="576">
        <f t="shared" si="705"/>
        <v>0</v>
      </c>
      <c r="S2669" s="576">
        <f t="shared" si="705"/>
        <v>0</v>
      </c>
      <c r="T2669" s="577">
        <f t="shared" si="709"/>
        <v>0</v>
      </c>
      <c r="U2669" s="578">
        <f t="shared" si="710"/>
        <v>0</v>
      </c>
      <c r="V2669" s="579"/>
      <c r="W2669" s="566"/>
      <c r="X2669" s="586" t="str">
        <f t="shared" si="720"/>
        <v/>
      </c>
      <c r="Y2669" s="586" t="str">
        <f t="shared" si="715"/>
        <v/>
      </c>
      <c r="Z2669" s="586" t="str">
        <f t="shared" si="719"/>
        <v/>
      </c>
    </row>
    <row r="2670" spans="1:26" s="567" customFormat="1" x14ac:dyDescent="0.2">
      <c r="A2670" s="652" t="s">
        <v>187</v>
      </c>
      <c r="B2670" s="644" t="s">
        <v>674</v>
      </c>
      <c r="C2670" s="645" t="s">
        <v>612</v>
      </c>
      <c r="D2670" s="451" t="s">
        <v>605</v>
      </c>
      <c r="E2670" s="423"/>
      <c r="F2670" s="424"/>
      <c r="G2670" s="425"/>
      <c r="H2670" s="651"/>
      <c r="I2670" s="420">
        <v>141.66</v>
      </c>
      <c r="J2670" s="420">
        <f t="shared" si="718"/>
        <v>141.66</v>
      </c>
      <c r="K2670" s="421">
        <f t="shared" si="717"/>
        <v>168.31</v>
      </c>
      <c r="L2670" s="647" t="s">
        <v>21</v>
      </c>
      <c r="M2670" s="576">
        <v>3</v>
      </c>
      <c r="N2670" s="576">
        <f t="shared" si="716"/>
        <v>168.31</v>
      </c>
      <c r="O2670" s="577">
        <f t="shared" si="711"/>
        <v>504.93</v>
      </c>
      <c r="P2670" s="578">
        <f t="shared" si="712"/>
        <v>504.93</v>
      </c>
      <c r="Q2670" s="765"/>
      <c r="R2670" s="576">
        <f t="shared" si="705"/>
        <v>3</v>
      </c>
      <c r="S2670" s="576">
        <f t="shared" si="705"/>
        <v>168.31</v>
      </c>
      <c r="T2670" s="577">
        <f t="shared" si="709"/>
        <v>504.93</v>
      </c>
      <c r="U2670" s="578">
        <f t="shared" si="710"/>
        <v>504.93</v>
      </c>
      <c r="V2670" s="579"/>
      <c r="W2670" s="566"/>
      <c r="X2670" s="586" t="str">
        <f t="shared" si="720"/>
        <v>x</v>
      </c>
      <c r="Y2670" s="586" t="str">
        <f t="shared" si="715"/>
        <v>x</v>
      </c>
      <c r="Z2670" s="586" t="str">
        <f t="shared" si="719"/>
        <v>x</v>
      </c>
    </row>
    <row r="2671" spans="1:26" s="567" customFormat="1" x14ac:dyDescent="0.2">
      <c r="A2671" s="652" t="s">
        <v>187</v>
      </c>
      <c r="B2671" s="644" t="s">
        <v>606</v>
      </c>
      <c r="C2671" s="645" t="s">
        <v>643</v>
      </c>
      <c r="D2671" s="422" t="s">
        <v>607</v>
      </c>
      <c r="E2671" s="423"/>
      <c r="F2671" s="424"/>
      <c r="G2671" s="425"/>
      <c r="H2671" s="651"/>
      <c r="I2671" s="420">
        <v>82.87</v>
      </c>
      <c r="J2671" s="420">
        <f t="shared" si="718"/>
        <v>82.87</v>
      </c>
      <c r="K2671" s="421">
        <f t="shared" si="717"/>
        <v>98.46</v>
      </c>
      <c r="L2671" s="647" t="s">
        <v>21</v>
      </c>
      <c r="M2671" s="576">
        <v>3</v>
      </c>
      <c r="N2671" s="576">
        <f t="shared" si="716"/>
        <v>98.46</v>
      </c>
      <c r="O2671" s="577">
        <f t="shared" si="711"/>
        <v>295.38</v>
      </c>
      <c r="P2671" s="578">
        <f t="shared" si="712"/>
        <v>295.38</v>
      </c>
      <c r="Q2671" s="765"/>
      <c r="R2671" s="576">
        <f t="shared" si="705"/>
        <v>3</v>
      </c>
      <c r="S2671" s="576">
        <f t="shared" si="705"/>
        <v>98.46</v>
      </c>
      <c r="T2671" s="577">
        <f t="shared" si="709"/>
        <v>295.38</v>
      </c>
      <c r="U2671" s="578">
        <f t="shared" si="710"/>
        <v>295.38</v>
      </c>
      <c r="V2671" s="579"/>
      <c r="W2671" s="566"/>
      <c r="X2671" s="586" t="str">
        <f t="shared" si="720"/>
        <v>x</v>
      </c>
      <c r="Y2671" s="586" t="str">
        <f t="shared" si="715"/>
        <v>x</v>
      </c>
      <c r="Z2671" s="586" t="str">
        <f t="shared" si="719"/>
        <v>x</v>
      </c>
    </row>
    <row r="2672" spans="1:26" s="567" customFormat="1" x14ac:dyDescent="0.2">
      <c r="A2672" s="652" t="s">
        <v>187</v>
      </c>
      <c r="B2672" s="644" t="s">
        <v>608</v>
      </c>
      <c r="C2672" s="645" t="s">
        <v>643</v>
      </c>
      <c r="D2672" s="422" t="s">
        <v>609</v>
      </c>
      <c r="E2672" s="423"/>
      <c r="F2672" s="424"/>
      <c r="G2672" s="425"/>
      <c r="H2672" s="651"/>
      <c r="I2672" s="420">
        <v>67.53</v>
      </c>
      <c r="J2672" s="420">
        <f>IF(ISBLANK(I2672),"",SUM(H2672:I2672))</f>
        <v>67.53</v>
      </c>
      <c r="K2672" s="421">
        <f t="shared" si="717"/>
        <v>80.23</v>
      </c>
      <c r="L2672" s="647" t="s">
        <v>21</v>
      </c>
      <c r="M2672" s="576">
        <v>3</v>
      </c>
      <c r="N2672" s="576">
        <f t="shared" si="716"/>
        <v>80.23</v>
      </c>
      <c r="O2672" s="577">
        <f t="shared" si="711"/>
        <v>240.69</v>
      </c>
      <c r="P2672" s="578">
        <f t="shared" si="712"/>
        <v>240.69</v>
      </c>
      <c r="Q2672" s="765"/>
      <c r="R2672" s="576">
        <f t="shared" si="705"/>
        <v>3</v>
      </c>
      <c r="S2672" s="576">
        <f t="shared" si="705"/>
        <v>80.23</v>
      </c>
      <c r="T2672" s="577">
        <f t="shared" si="709"/>
        <v>240.69</v>
      </c>
      <c r="U2672" s="578">
        <f t="shared" si="710"/>
        <v>240.69</v>
      </c>
      <c r="V2672" s="579"/>
      <c r="W2672" s="566"/>
      <c r="X2672" s="586" t="str">
        <f>IF(W2672="X","x",IF(W2672="xx","x",IF(W2672="xy","x",IF(W2672="y","x",IF(OR(P2672&gt;0,U2672&gt;0),"x","")))))</f>
        <v>x</v>
      </c>
      <c r="Y2672" s="586" t="str">
        <f>IF(W2672="X","x",IF(W2672="y","x",IF(W2672="xx","x",IF(U2672&gt;0,"x",""))))</f>
        <v>x</v>
      </c>
      <c r="Z2672" s="586" t="str">
        <f>IF(W2672="X","x",IF(U2672&gt;0,"x",""))</f>
        <v>x</v>
      </c>
    </row>
    <row r="2673" spans="1:26" s="567" customFormat="1" hidden="1" x14ac:dyDescent="0.2">
      <c r="A2673" s="652" t="s">
        <v>187</v>
      </c>
      <c r="B2673" s="644" t="s">
        <v>1518</v>
      </c>
      <c r="C2673" s="645" t="s">
        <v>643</v>
      </c>
      <c r="D2673" s="422" t="s">
        <v>1720</v>
      </c>
      <c r="E2673" s="423"/>
      <c r="F2673" s="424"/>
      <c r="G2673" s="425"/>
      <c r="H2673" s="651"/>
      <c r="I2673" s="420">
        <v>182.39</v>
      </c>
      <c r="J2673" s="420">
        <f>IF(ISBLANK(I2673),"",SUM(H2673:I2673))</f>
        <v>182.39</v>
      </c>
      <c r="K2673" s="421">
        <f t="shared" si="717"/>
        <v>216.7</v>
      </c>
      <c r="L2673" s="647" t="s">
        <v>21</v>
      </c>
      <c r="M2673" s="576"/>
      <c r="N2673" s="576">
        <f t="shared" si="716"/>
        <v>0</v>
      </c>
      <c r="O2673" s="577">
        <f t="shared" si="711"/>
        <v>0</v>
      </c>
      <c r="P2673" s="578">
        <f t="shared" si="712"/>
        <v>0</v>
      </c>
      <c r="Q2673" s="765"/>
      <c r="R2673" s="576">
        <f t="shared" si="705"/>
        <v>0</v>
      </c>
      <c r="S2673" s="576">
        <f t="shared" si="705"/>
        <v>0</v>
      </c>
      <c r="T2673" s="577">
        <f t="shared" si="709"/>
        <v>0</v>
      </c>
      <c r="U2673" s="578">
        <f t="shared" si="710"/>
        <v>0</v>
      </c>
      <c r="V2673" s="579"/>
      <c r="W2673" s="566"/>
      <c r="X2673" s="586" t="str">
        <f t="shared" si="720"/>
        <v/>
      </c>
      <c r="Y2673" s="586" t="str">
        <f t="shared" si="715"/>
        <v/>
      </c>
      <c r="Z2673" s="586" t="str">
        <f t="shared" si="719"/>
        <v/>
      </c>
    </row>
    <row r="2674" spans="1:26" s="567" customFormat="1" ht="12" thickBot="1" x14ac:dyDescent="0.25">
      <c r="A2674" s="652" t="s">
        <v>187</v>
      </c>
      <c r="B2674" s="725" t="s">
        <v>645</v>
      </c>
      <c r="C2674" s="645" t="s">
        <v>612</v>
      </c>
      <c r="D2674" s="422" t="s">
        <v>1721</v>
      </c>
      <c r="E2674" s="423"/>
      <c r="F2674" s="424"/>
      <c r="G2674" s="425"/>
      <c r="H2674" s="651"/>
      <c r="I2674" s="420">
        <v>110.45</v>
      </c>
      <c r="J2674" s="420">
        <f>IF(ISBLANK(I2674),"",SUM(H2674:I2674))</f>
        <v>110.45</v>
      </c>
      <c r="K2674" s="421">
        <f t="shared" si="717"/>
        <v>131.22999999999999</v>
      </c>
      <c r="L2674" s="647" t="s">
        <v>21</v>
      </c>
      <c r="M2674" s="576">
        <v>3</v>
      </c>
      <c r="N2674" s="576">
        <f t="shared" si="716"/>
        <v>131.22999999999999</v>
      </c>
      <c r="O2674" s="577">
        <f>IF(ISBLANK(M2674),0,ROUND(K2674*M2674,2))</f>
        <v>393.69</v>
      </c>
      <c r="P2674" s="578">
        <f>IF(ISBLANK(N2674),0,ROUND(M2674*N2674,2))</f>
        <v>393.69</v>
      </c>
      <c r="Q2674" s="765"/>
      <c r="R2674" s="576">
        <f>M2674</f>
        <v>3</v>
      </c>
      <c r="S2674" s="576">
        <f t="shared" ref="S2674:S2675" si="721">N2674</f>
        <v>131.22999999999999</v>
      </c>
      <c r="T2674" s="577">
        <f>IF(ISBLANK(R2674),0,ROUND(K2674*R2674,2))</f>
        <v>393.69</v>
      </c>
      <c r="U2674" s="578">
        <f>IF(ISBLANK(R2674),0,ROUND(R2674*S2674,2))</f>
        <v>393.69</v>
      </c>
      <c r="V2674" s="579"/>
      <c r="W2674" s="566"/>
      <c r="X2674" s="586" t="str">
        <f t="shared" si="720"/>
        <v>x</v>
      </c>
      <c r="Y2674" s="586" t="str">
        <f t="shared" si="715"/>
        <v>x</v>
      </c>
      <c r="Z2674" s="586" t="str">
        <f t="shared" si="719"/>
        <v>x</v>
      </c>
    </row>
    <row r="2675" spans="1:26" s="567" customFormat="1" ht="12" hidden="1" thickBot="1" x14ac:dyDescent="0.25">
      <c r="A2675" s="652" t="s">
        <v>187</v>
      </c>
      <c r="B2675" s="644" t="s">
        <v>644</v>
      </c>
      <c r="C2675" s="645" t="s">
        <v>612</v>
      </c>
      <c r="D2675" s="422" t="s">
        <v>1722</v>
      </c>
      <c r="E2675" s="423"/>
      <c r="F2675" s="424"/>
      <c r="G2675" s="425"/>
      <c r="H2675" s="663"/>
      <c r="I2675" s="420">
        <v>4850.2</v>
      </c>
      <c r="J2675" s="420">
        <f>IF(ISBLANK(I2675),"",SUM(H2675:I2675))</f>
        <v>4850.2</v>
      </c>
      <c r="K2675" s="421">
        <f t="shared" si="717"/>
        <v>5762.52</v>
      </c>
      <c r="L2675" s="647" t="s">
        <v>611</v>
      </c>
      <c r="M2675" s="576"/>
      <c r="N2675" s="576">
        <f t="shared" si="716"/>
        <v>0</v>
      </c>
      <c r="O2675" s="577">
        <f>IF(ISBLANK(M2675),0,ROUND(K2675*M2675,2))</f>
        <v>0</v>
      </c>
      <c r="P2675" s="578">
        <f>IF(ISBLANK(N2675),0,ROUND(M2675*N2675,2))</f>
        <v>0</v>
      </c>
      <c r="Q2675" s="765"/>
      <c r="R2675" s="576">
        <f>M2675</f>
        <v>0</v>
      </c>
      <c r="S2675" s="576">
        <f t="shared" si="721"/>
        <v>0</v>
      </c>
      <c r="T2675" s="577">
        <f>IF(ISBLANK(R2675),0,ROUND(K2675*R2675,2))</f>
        <v>0</v>
      </c>
      <c r="U2675" s="578">
        <f>IF(ISBLANK(R2675),0,ROUND(R2675*S2675,2))</f>
        <v>0</v>
      </c>
      <c r="V2675" s="579"/>
      <c r="W2675" s="566"/>
      <c r="X2675" s="586" t="str">
        <f t="shared" si="720"/>
        <v/>
      </c>
      <c r="Y2675" s="586" t="str">
        <f t="shared" si="715"/>
        <v/>
      </c>
      <c r="Z2675" s="586" t="str">
        <f t="shared" si="719"/>
        <v/>
      </c>
    </row>
    <row r="2676" spans="1:26" ht="12" hidden="1" thickBot="1" x14ac:dyDescent="0.25">
      <c r="A2676" s="652" t="s">
        <v>187</v>
      </c>
      <c r="B2676" s="653" t="s">
        <v>187</v>
      </c>
      <c r="C2676" s="654"/>
      <c r="D2676" s="427" t="s">
        <v>610</v>
      </c>
      <c r="E2676" s="428"/>
      <c r="F2676" s="655"/>
      <c r="G2676" s="656"/>
      <c r="H2676" s="657"/>
      <c r="I2676" s="429"/>
      <c r="J2676" s="429"/>
      <c r="K2676" s="429"/>
      <c r="L2676" s="429" t="s">
        <v>614</v>
      </c>
      <c r="M2676" s="657"/>
      <c r="N2676" s="576">
        <f t="shared" si="716"/>
        <v>0</v>
      </c>
      <c r="O2676" s="429"/>
      <c r="P2676" s="658"/>
      <c r="Q2676" s="765"/>
      <c r="R2676" s="657"/>
      <c r="S2676" s="429"/>
      <c r="T2676" s="429"/>
      <c r="U2676" s="658"/>
      <c r="V2676" s="579"/>
      <c r="W2676" s="637" t="str">
        <f>IF(OR(SUM(P2677:P2707)&gt;0,SUM(U2677:U2707)&gt;0),"y","")</f>
        <v/>
      </c>
      <c r="X2676" s="586" t="str">
        <f t="shared" si="720"/>
        <v/>
      </c>
      <c r="Y2676" s="586" t="str">
        <f t="shared" si="715"/>
        <v/>
      </c>
      <c r="Z2676" s="586" t="str">
        <f t="shared" si="719"/>
        <v/>
      </c>
    </row>
    <row r="2677" spans="1:26" ht="12" hidden="1" thickBot="1" x14ac:dyDescent="0.25">
      <c r="A2677" s="652" t="s">
        <v>187</v>
      </c>
      <c r="B2677" s="572" t="s">
        <v>187</v>
      </c>
      <c r="C2677" s="573" t="s">
        <v>187</v>
      </c>
      <c r="D2677" s="574"/>
      <c r="E2677" s="575"/>
      <c r="F2677" s="436"/>
      <c r="G2677" s="431"/>
      <c r="H2677" s="430"/>
      <c r="I2677" s="432"/>
      <c r="J2677" s="433"/>
      <c r="K2677" s="437">
        <f>IF(ISBLANK(J2677),0,ROUND(J2677*(1+$F$10)*(1+$F$11*E2677),2))</f>
        <v>0</v>
      </c>
      <c r="L2677" s="435" t="s">
        <v>614</v>
      </c>
      <c r="M2677" s="587"/>
      <c r="N2677" s="576">
        <f t="shared" si="716"/>
        <v>0</v>
      </c>
      <c r="O2677" s="577">
        <f>IF(ISBLANK(M2677),0,ROUND(K2677*M2677,2))</f>
        <v>0</v>
      </c>
      <c r="P2677" s="578">
        <f t="shared" ref="P2677:P2707" si="722">IF(ISBLANK(N2677),0,ROUND(M2677*N2677,2))</f>
        <v>0</v>
      </c>
      <c r="Q2677" s="765"/>
      <c r="R2677" s="650">
        <f t="shared" ref="R2677:S2707" si="723">M2677</f>
        <v>0</v>
      </c>
      <c r="S2677" s="587">
        <f t="shared" si="723"/>
        <v>0</v>
      </c>
      <c r="T2677" s="577">
        <f t="shared" ref="T2677:T2707" si="724">IF(ISBLANK(R2677),0,ROUND(K2677*R2677,2))</f>
        <v>0</v>
      </c>
      <c r="U2677" s="578">
        <f t="shared" ref="U2677:U2707" si="725">IF(ISBLANK(R2677),0,ROUND(R2677*S2677,2))</f>
        <v>0</v>
      </c>
      <c r="V2677" s="579"/>
      <c r="W2677" s="566"/>
      <c r="X2677" s="586" t="str">
        <f t="shared" si="720"/>
        <v/>
      </c>
      <c r="Y2677" s="586" t="str">
        <f t="shared" si="715"/>
        <v/>
      </c>
      <c r="Z2677" s="586" t="str">
        <f t="shared" si="719"/>
        <v/>
      </c>
    </row>
    <row r="2678" spans="1:26" ht="12" hidden="1" thickBot="1" x14ac:dyDescent="0.25">
      <c r="A2678" s="652" t="s">
        <v>187</v>
      </c>
      <c r="B2678" s="589"/>
      <c r="C2678" s="573"/>
      <c r="D2678" s="574"/>
      <c r="E2678" s="575"/>
      <c r="F2678" s="436"/>
      <c r="G2678" s="431"/>
      <c r="H2678" s="430"/>
      <c r="I2678" s="432"/>
      <c r="J2678" s="433"/>
      <c r="K2678" s="437">
        <f>IF(ISBLANK(J2678),0,ROUND(J2678*(1+$F$10)*(1+$F$11*E2678),2))</f>
        <v>0</v>
      </c>
      <c r="L2678" s="435" t="s">
        <v>614</v>
      </c>
      <c r="M2678" s="576"/>
      <c r="N2678" s="576">
        <f t="shared" si="716"/>
        <v>0</v>
      </c>
      <c r="O2678" s="577">
        <f>IF(ISBLANK(M2678),0,ROUND(K2678*M2678,2))</f>
        <v>0</v>
      </c>
      <c r="P2678" s="578">
        <f t="shared" si="722"/>
        <v>0</v>
      </c>
      <c r="Q2678" s="765"/>
      <c r="R2678" s="576">
        <f t="shared" si="723"/>
        <v>0</v>
      </c>
      <c r="S2678" s="576">
        <f t="shared" si="723"/>
        <v>0</v>
      </c>
      <c r="T2678" s="577">
        <f t="shared" si="724"/>
        <v>0</v>
      </c>
      <c r="U2678" s="659">
        <f t="shared" si="725"/>
        <v>0</v>
      </c>
      <c r="V2678" s="579"/>
      <c r="W2678" s="566"/>
      <c r="X2678" s="586" t="str">
        <f t="shared" si="720"/>
        <v/>
      </c>
      <c r="Y2678" s="586" t="str">
        <f t="shared" si="715"/>
        <v/>
      </c>
      <c r="Z2678" s="586" t="str">
        <f t="shared" si="719"/>
        <v/>
      </c>
    </row>
    <row r="2679" spans="1:26" ht="12" hidden="1" thickBot="1" x14ac:dyDescent="0.25">
      <c r="A2679" s="652" t="s">
        <v>187</v>
      </c>
      <c r="B2679" s="589" t="s">
        <v>187</v>
      </c>
      <c r="C2679" s="573" t="s">
        <v>187</v>
      </c>
      <c r="D2679" s="580"/>
      <c r="E2679" s="575"/>
      <c r="F2679" s="436"/>
      <c r="G2679" s="431"/>
      <c r="H2679" s="430"/>
      <c r="I2679" s="432"/>
      <c r="J2679" s="433"/>
      <c r="K2679" s="437">
        <f>IF(ISBLANK(J2679),0,ROUND(J2679*(1+$F$10)*(1+$F$11*E2679),2))</f>
        <v>0</v>
      </c>
      <c r="L2679" s="435" t="s">
        <v>614</v>
      </c>
      <c r="M2679" s="576"/>
      <c r="N2679" s="576">
        <f t="shared" si="716"/>
        <v>0</v>
      </c>
      <c r="O2679" s="577">
        <f t="shared" ref="O2679:O2707" si="726">IF(ISBLANK(M2679),0,ROUND(K2679*M2679,2))</f>
        <v>0</v>
      </c>
      <c r="P2679" s="578">
        <f t="shared" si="722"/>
        <v>0</v>
      </c>
      <c r="Q2679" s="765"/>
      <c r="R2679" s="576">
        <f t="shared" si="723"/>
        <v>0</v>
      </c>
      <c r="S2679" s="576">
        <f t="shared" si="723"/>
        <v>0</v>
      </c>
      <c r="T2679" s="577">
        <f t="shared" si="724"/>
        <v>0</v>
      </c>
      <c r="U2679" s="578">
        <f t="shared" si="725"/>
        <v>0</v>
      </c>
      <c r="V2679" s="579"/>
      <c r="W2679" s="566"/>
      <c r="X2679" s="586" t="str">
        <f t="shared" si="720"/>
        <v/>
      </c>
      <c r="Y2679" s="586" t="str">
        <f t="shared" si="715"/>
        <v/>
      </c>
      <c r="Z2679" s="586" t="str">
        <f t="shared" si="719"/>
        <v/>
      </c>
    </row>
    <row r="2680" spans="1:26" ht="12" hidden="1" thickBot="1" x14ac:dyDescent="0.25">
      <c r="A2680" s="652" t="s">
        <v>187</v>
      </c>
      <c r="B2680" s="589" t="s">
        <v>187</v>
      </c>
      <c r="C2680" s="573" t="s">
        <v>187</v>
      </c>
      <c r="D2680" s="580"/>
      <c r="E2680" s="575"/>
      <c r="F2680" s="436"/>
      <c r="G2680" s="431"/>
      <c r="H2680" s="430"/>
      <c r="I2680" s="432"/>
      <c r="J2680" s="433"/>
      <c r="K2680" s="437">
        <f t="shared" ref="K2680:K2707" si="727">IF(ISBLANK(J2680),0,ROUND(J2680*(1+$F$10)*(1+$F$11*E2680),2))</f>
        <v>0</v>
      </c>
      <c r="L2680" s="435" t="s">
        <v>614</v>
      </c>
      <c r="M2680" s="576"/>
      <c r="N2680" s="576">
        <f t="shared" si="716"/>
        <v>0</v>
      </c>
      <c r="O2680" s="577">
        <f t="shared" si="726"/>
        <v>0</v>
      </c>
      <c r="P2680" s="578">
        <f t="shared" si="722"/>
        <v>0</v>
      </c>
      <c r="Q2680" s="765"/>
      <c r="R2680" s="576">
        <f t="shared" si="723"/>
        <v>0</v>
      </c>
      <c r="S2680" s="576">
        <f t="shared" si="723"/>
        <v>0</v>
      </c>
      <c r="T2680" s="577">
        <f t="shared" si="724"/>
        <v>0</v>
      </c>
      <c r="U2680" s="578">
        <f t="shared" si="725"/>
        <v>0</v>
      </c>
      <c r="V2680" s="579"/>
      <c r="W2680" s="566"/>
      <c r="X2680" s="586" t="str">
        <f t="shared" si="720"/>
        <v/>
      </c>
      <c r="Y2680" s="586" t="str">
        <f t="shared" si="715"/>
        <v/>
      </c>
      <c r="Z2680" s="586" t="str">
        <f t="shared" si="719"/>
        <v/>
      </c>
    </row>
    <row r="2681" spans="1:26" ht="12" hidden="1" thickBot="1" x14ac:dyDescent="0.25">
      <c r="A2681" s="652" t="s">
        <v>187</v>
      </c>
      <c r="B2681" s="589" t="s">
        <v>187</v>
      </c>
      <c r="C2681" s="573" t="s">
        <v>187</v>
      </c>
      <c r="D2681" s="580"/>
      <c r="E2681" s="575"/>
      <c r="F2681" s="436"/>
      <c r="G2681" s="431"/>
      <c r="H2681" s="430"/>
      <c r="I2681" s="432"/>
      <c r="J2681" s="433"/>
      <c r="K2681" s="437">
        <f t="shared" si="727"/>
        <v>0</v>
      </c>
      <c r="L2681" s="435" t="s">
        <v>614</v>
      </c>
      <c r="M2681" s="576"/>
      <c r="N2681" s="576">
        <f t="shared" si="716"/>
        <v>0</v>
      </c>
      <c r="O2681" s="577">
        <f t="shared" si="726"/>
        <v>0</v>
      </c>
      <c r="P2681" s="578">
        <f t="shared" si="722"/>
        <v>0</v>
      </c>
      <c r="Q2681" s="765"/>
      <c r="R2681" s="576">
        <f t="shared" si="723"/>
        <v>0</v>
      </c>
      <c r="S2681" s="576">
        <f t="shared" si="723"/>
        <v>0</v>
      </c>
      <c r="T2681" s="577">
        <f t="shared" si="724"/>
        <v>0</v>
      </c>
      <c r="U2681" s="578">
        <f t="shared" si="725"/>
        <v>0</v>
      </c>
      <c r="V2681" s="579"/>
      <c r="W2681" s="566"/>
      <c r="X2681" s="586" t="str">
        <f t="shared" si="720"/>
        <v/>
      </c>
      <c r="Y2681" s="586" t="str">
        <f t="shared" si="715"/>
        <v/>
      </c>
      <c r="Z2681" s="586" t="str">
        <f t="shared" si="719"/>
        <v/>
      </c>
    </row>
    <row r="2682" spans="1:26" ht="12" hidden="1" thickBot="1" x14ac:dyDescent="0.25">
      <c r="A2682" s="652" t="s">
        <v>187</v>
      </c>
      <c r="B2682" s="589" t="s">
        <v>187</v>
      </c>
      <c r="C2682" s="573" t="s">
        <v>187</v>
      </c>
      <c r="D2682" s="580"/>
      <c r="E2682" s="575"/>
      <c r="F2682" s="436"/>
      <c r="G2682" s="431"/>
      <c r="H2682" s="430"/>
      <c r="I2682" s="432"/>
      <c r="J2682" s="433"/>
      <c r="K2682" s="437">
        <f t="shared" si="727"/>
        <v>0</v>
      </c>
      <c r="L2682" s="435" t="s">
        <v>614</v>
      </c>
      <c r="M2682" s="576"/>
      <c r="N2682" s="576">
        <f t="shared" si="716"/>
        <v>0</v>
      </c>
      <c r="O2682" s="577">
        <f t="shared" si="726"/>
        <v>0</v>
      </c>
      <c r="P2682" s="578">
        <f t="shared" si="722"/>
        <v>0</v>
      </c>
      <c r="Q2682" s="765"/>
      <c r="R2682" s="576">
        <f t="shared" si="723"/>
        <v>0</v>
      </c>
      <c r="S2682" s="576">
        <f t="shared" si="723"/>
        <v>0</v>
      </c>
      <c r="T2682" s="577">
        <f t="shared" si="724"/>
        <v>0</v>
      </c>
      <c r="U2682" s="578">
        <f t="shared" si="725"/>
        <v>0</v>
      </c>
      <c r="V2682" s="579"/>
      <c r="W2682" s="566"/>
      <c r="X2682" s="586" t="str">
        <f t="shared" si="720"/>
        <v/>
      </c>
      <c r="Y2682" s="586" t="str">
        <f t="shared" si="715"/>
        <v/>
      </c>
      <c r="Z2682" s="586" t="str">
        <f t="shared" si="719"/>
        <v/>
      </c>
    </row>
    <row r="2683" spans="1:26" ht="12" hidden="1" thickBot="1" x14ac:dyDescent="0.25">
      <c r="A2683" s="652" t="s">
        <v>187</v>
      </c>
      <c r="B2683" s="589" t="s">
        <v>187</v>
      </c>
      <c r="C2683" s="573" t="s">
        <v>187</v>
      </c>
      <c r="D2683" s="580"/>
      <c r="E2683" s="575"/>
      <c r="F2683" s="436"/>
      <c r="G2683" s="431"/>
      <c r="H2683" s="430"/>
      <c r="I2683" s="432"/>
      <c r="J2683" s="433"/>
      <c r="K2683" s="437">
        <f t="shared" si="727"/>
        <v>0</v>
      </c>
      <c r="L2683" s="435" t="s">
        <v>614</v>
      </c>
      <c r="M2683" s="576"/>
      <c r="N2683" s="576">
        <f t="shared" si="716"/>
        <v>0</v>
      </c>
      <c r="O2683" s="577">
        <f t="shared" si="726"/>
        <v>0</v>
      </c>
      <c r="P2683" s="578">
        <f t="shared" si="722"/>
        <v>0</v>
      </c>
      <c r="Q2683" s="765"/>
      <c r="R2683" s="576">
        <f t="shared" si="723"/>
        <v>0</v>
      </c>
      <c r="S2683" s="576">
        <f t="shared" si="723"/>
        <v>0</v>
      </c>
      <c r="T2683" s="577">
        <f t="shared" si="724"/>
        <v>0</v>
      </c>
      <c r="U2683" s="578">
        <f t="shared" si="725"/>
        <v>0</v>
      </c>
      <c r="V2683" s="579"/>
      <c r="W2683" s="566"/>
      <c r="X2683" s="586" t="str">
        <f t="shared" si="720"/>
        <v/>
      </c>
      <c r="Y2683" s="586" t="str">
        <f t="shared" si="715"/>
        <v/>
      </c>
      <c r="Z2683" s="586" t="str">
        <f t="shared" si="719"/>
        <v/>
      </c>
    </row>
    <row r="2684" spans="1:26" ht="12" hidden="1" thickBot="1" x14ac:dyDescent="0.25">
      <c r="A2684" s="652" t="s">
        <v>187</v>
      </c>
      <c r="B2684" s="589" t="s">
        <v>187</v>
      </c>
      <c r="C2684" s="573" t="s">
        <v>187</v>
      </c>
      <c r="D2684" s="580"/>
      <c r="E2684" s="575"/>
      <c r="F2684" s="436"/>
      <c r="G2684" s="431"/>
      <c r="H2684" s="430"/>
      <c r="I2684" s="432"/>
      <c r="J2684" s="433"/>
      <c r="K2684" s="437">
        <f t="shared" si="727"/>
        <v>0</v>
      </c>
      <c r="L2684" s="435" t="s">
        <v>614</v>
      </c>
      <c r="M2684" s="576"/>
      <c r="N2684" s="576">
        <f t="shared" si="716"/>
        <v>0</v>
      </c>
      <c r="O2684" s="577">
        <f t="shared" si="726"/>
        <v>0</v>
      </c>
      <c r="P2684" s="578">
        <f t="shared" si="722"/>
        <v>0</v>
      </c>
      <c r="Q2684" s="765"/>
      <c r="R2684" s="576">
        <f t="shared" si="723"/>
        <v>0</v>
      </c>
      <c r="S2684" s="576">
        <f t="shared" si="723"/>
        <v>0</v>
      </c>
      <c r="T2684" s="577">
        <f t="shared" si="724"/>
        <v>0</v>
      </c>
      <c r="U2684" s="578">
        <f t="shared" si="725"/>
        <v>0</v>
      </c>
      <c r="V2684" s="579"/>
      <c r="W2684" s="566"/>
      <c r="X2684" s="586" t="str">
        <f t="shared" si="720"/>
        <v/>
      </c>
      <c r="Y2684" s="586" t="str">
        <f t="shared" si="715"/>
        <v/>
      </c>
      <c r="Z2684" s="586" t="str">
        <f t="shared" si="719"/>
        <v/>
      </c>
    </row>
    <row r="2685" spans="1:26" ht="12" hidden="1" thickBot="1" x14ac:dyDescent="0.25">
      <c r="A2685" s="652" t="s">
        <v>187</v>
      </c>
      <c r="B2685" s="589" t="s">
        <v>187</v>
      </c>
      <c r="C2685" s="573" t="s">
        <v>187</v>
      </c>
      <c r="D2685" s="580"/>
      <c r="E2685" s="575"/>
      <c r="F2685" s="436"/>
      <c r="G2685" s="431"/>
      <c r="H2685" s="430"/>
      <c r="I2685" s="432"/>
      <c r="J2685" s="433"/>
      <c r="K2685" s="437">
        <f t="shared" si="727"/>
        <v>0</v>
      </c>
      <c r="L2685" s="435" t="s">
        <v>614</v>
      </c>
      <c r="M2685" s="576"/>
      <c r="N2685" s="576">
        <f t="shared" si="716"/>
        <v>0</v>
      </c>
      <c r="O2685" s="577">
        <f t="shared" si="726"/>
        <v>0</v>
      </c>
      <c r="P2685" s="578">
        <f t="shared" si="722"/>
        <v>0</v>
      </c>
      <c r="Q2685" s="765"/>
      <c r="R2685" s="576">
        <f t="shared" si="723"/>
        <v>0</v>
      </c>
      <c r="S2685" s="576">
        <f t="shared" si="723"/>
        <v>0</v>
      </c>
      <c r="T2685" s="577">
        <f t="shared" si="724"/>
        <v>0</v>
      </c>
      <c r="U2685" s="578">
        <f t="shared" si="725"/>
        <v>0</v>
      </c>
      <c r="V2685" s="579"/>
      <c r="W2685" s="566"/>
      <c r="X2685" s="586" t="str">
        <f t="shared" si="720"/>
        <v/>
      </c>
      <c r="Y2685" s="586" t="str">
        <f t="shared" si="715"/>
        <v/>
      </c>
      <c r="Z2685" s="586" t="str">
        <f t="shared" si="719"/>
        <v/>
      </c>
    </row>
    <row r="2686" spans="1:26" ht="12" hidden="1" thickBot="1" x14ac:dyDescent="0.25">
      <c r="A2686" s="652" t="s">
        <v>187</v>
      </c>
      <c r="B2686" s="589" t="s">
        <v>187</v>
      </c>
      <c r="C2686" s="573" t="s">
        <v>187</v>
      </c>
      <c r="D2686" s="580"/>
      <c r="E2686" s="575"/>
      <c r="F2686" s="436"/>
      <c r="G2686" s="431"/>
      <c r="H2686" s="430"/>
      <c r="I2686" s="432"/>
      <c r="J2686" s="433"/>
      <c r="K2686" s="437">
        <f t="shared" si="727"/>
        <v>0</v>
      </c>
      <c r="L2686" s="435" t="s">
        <v>614</v>
      </c>
      <c r="M2686" s="576"/>
      <c r="N2686" s="576">
        <f t="shared" si="716"/>
        <v>0</v>
      </c>
      <c r="O2686" s="577">
        <f t="shared" si="726"/>
        <v>0</v>
      </c>
      <c r="P2686" s="578">
        <f t="shared" si="722"/>
        <v>0</v>
      </c>
      <c r="Q2686" s="765"/>
      <c r="R2686" s="576">
        <f t="shared" si="723"/>
        <v>0</v>
      </c>
      <c r="S2686" s="576">
        <f t="shared" si="723"/>
        <v>0</v>
      </c>
      <c r="T2686" s="577">
        <f t="shared" si="724"/>
        <v>0</v>
      </c>
      <c r="U2686" s="578">
        <f t="shared" si="725"/>
        <v>0</v>
      </c>
      <c r="V2686" s="579"/>
      <c r="W2686" s="566"/>
      <c r="X2686" s="586" t="str">
        <f t="shared" si="720"/>
        <v/>
      </c>
      <c r="Y2686" s="586" t="str">
        <f t="shared" si="715"/>
        <v/>
      </c>
      <c r="Z2686" s="586" t="str">
        <f t="shared" si="719"/>
        <v/>
      </c>
    </row>
    <row r="2687" spans="1:26" ht="12" hidden="1" thickBot="1" x14ac:dyDescent="0.25">
      <c r="A2687" s="652" t="s">
        <v>187</v>
      </c>
      <c r="B2687" s="589" t="s">
        <v>187</v>
      </c>
      <c r="C2687" s="573" t="s">
        <v>187</v>
      </c>
      <c r="D2687" s="580"/>
      <c r="E2687" s="575"/>
      <c r="F2687" s="436"/>
      <c r="G2687" s="431"/>
      <c r="H2687" s="430"/>
      <c r="I2687" s="432"/>
      <c r="J2687" s="433"/>
      <c r="K2687" s="437">
        <f t="shared" si="727"/>
        <v>0</v>
      </c>
      <c r="L2687" s="435" t="s">
        <v>614</v>
      </c>
      <c r="M2687" s="576"/>
      <c r="N2687" s="576">
        <f t="shared" si="716"/>
        <v>0</v>
      </c>
      <c r="O2687" s="577">
        <f t="shared" si="726"/>
        <v>0</v>
      </c>
      <c r="P2687" s="578">
        <f t="shared" si="722"/>
        <v>0</v>
      </c>
      <c r="Q2687" s="765"/>
      <c r="R2687" s="576">
        <f t="shared" si="723"/>
        <v>0</v>
      </c>
      <c r="S2687" s="576">
        <f t="shared" si="723"/>
        <v>0</v>
      </c>
      <c r="T2687" s="577">
        <f t="shared" si="724"/>
        <v>0</v>
      </c>
      <c r="U2687" s="578">
        <f t="shared" si="725"/>
        <v>0</v>
      </c>
      <c r="V2687" s="579"/>
      <c r="W2687" s="566"/>
      <c r="X2687" s="586" t="str">
        <f t="shared" si="720"/>
        <v/>
      </c>
      <c r="Y2687" s="586" t="str">
        <f t="shared" si="715"/>
        <v/>
      </c>
      <c r="Z2687" s="586" t="str">
        <f t="shared" si="719"/>
        <v/>
      </c>
    </row>
    <row r="2688" spans="1:26" ht="12" hidden="1" thickBot="1" x14ac:dyDescent="0.25">
      <c r="A2688" s="726" t="s">
        <v>174</v>
      </c>
      <c r="B2688" s="589" t="s">
        <v>187</v>
      </c>
      <c r="C2688" s="573" t="s">
        <v>187</v>
      </c>
      <c r="D2688" s="580"/>
      <c r="E2688" s="575"/>
      <c r="F2688" s="436"/>
      <c r="G2688" s="431"/>
      <c r="H2688" s="430"/>
      <c r="I2688" s="432"/>
      <c r="J2688" s="433"/>
      <c r="K2688" s="437">
        <f t="shared" si="727"/>
        <v>0</v>
      </c>
      <c r="L2688" s="435" t="s">
        <v>614</v>
      </c>
      <c r="M2688" s="576"/>
      <c r="N2688" s="576">
        <f t="shared" si="716"/>
        <v>0</v>
      </c>
      <c r="O2688" s="577">
        <f t="shared" si="726"/>
        <v>0</v>
      </c>
      <c r="P2688" s="578">
        <f t="shared" si="722"/>
        <v>0</v>
      </c>
      <c r="Q2688" s="765"/>
      <c r="R2688" s="576">
        <f t="shared" si="723"/>
        <v>0</v>
      </c>
      <c r="S2688" s="576">
        <f t="shared" si="723"/>
        <v>0</v>
      </c>
      <c r="T2688" s="577">
        <f t="shared" si="724"/>
        <v>0</v>
      </c>
      <c r="U2688" s="578">
        <f t="shared" si="725"/>
        <v>0</v>
      </c>
      <c r="V2688" s="579"/>
      <c r="W2688" s="566"/>
      <c r="X2688" s="586" t="str">
        <f t="shared" si="720"/>
        <v/>
      </c>
      <c r="Y2688" s="586" t="str">
        <f t="shared" si="715"/>
        <v/>
      </c>
      <c r="Z2688" s="586" t="str">
        <f t="shared" si="719"/>
        <v/>
      </c>
    </row>
    <row r="2689" spans="1:26" ht="12" hidden="1" thickBot="1" x14ac:dyDescent="0.25">
      <c r="A2689" s="726" t="s">
        <v>174</v>
      </c>
      <c r="B2689" s="589" t="s">
        <v>187</v>
      </c>
      <c r="C2689" s="573" t="s">
        <v>187</v>
      </c>
      <c r="D2689" s="580"/>
      <c r="E2689" s="575"/>
      <c r="F2689" s="436"/>
      <c r="G2689" s="431"/>
      <c r="H2689" s="430"/>
      <c r="I2689" s="432"/>
      <c r="J2689" s="433"/>
      <c r="K2689" s="437">
        <f t="shared" si="727"/>
        <v>0</v>
      </c>
      <c r="L2689" s="435" t="s">
        <v>614</v>
      </c>
      <c r="M2689" s="576"/>
      <c r="N2689" s="576">
        <f t="shared" si="716"/>
        <v>0</v>
      </c>
      <c r="O2689" s="577">
        <f t="shared" si="726"/>
        <v>0</v>
      </c>
      <c r="P2689" s="578">
        <f t="shared" si="722"/>
        <v>0</v>
      </c>
      <c r="Q2689" s="765"/>
      <c r="R2689" s="576">
        <f t="shared" si="723"/>
        <v>0</v>
      </c>
      <c r="S2689" s="576">
        <f t="shared" si="723"/>
        <v>0</v>
      </c>
      <c r="T2689" s="577">
        <f t="shared" si="724"/>
        <v>0</v>
      </c>
      <c r="U2689" s="578">
        <f t="shared" si="725"/>
        <v>0</v>
      </c>
      <c r="V2689" s="579"/>
      <c r="W2689" s="566"/>
      <c r="X2689" s="586" t="str">
        <f t="shared" si="720"/>
        <v/>
      </c>
      <c r="Y2689" s="586" t="str">
        <f t="shared" si="715"/>
        <v/>
      </c>
      <c r="Z2689" s="586" t="str">
        <f t="shared" si="719"/>
        <v/>
      </c>
    </row>
    <row r="2690" spans="1:26" ht="12" hidden="1" thickBot="1" x14ac:dyDescent="0.25">
      <c r="A2690" s="726" t="s">
        <v>174</v>
      </c>
      <c r="B2690" s="589" t="s">
        <v>187</v>
      </c>
      <c r="C2690" s="573" t="s">
        <v>187</v>
      </c>
      <c r="D2690" s="580"/>
      <c r="E2690" s="575"/>
      <c r="F2690" s="436"/>
      <c r="G2690" s="431"/>
      <c r="H2690" s="430"/>
      <c r="I2690" s="432"/>
      <c r="J2690" s="433"/>
      <c r="K2690" s="437">
        <f t="shared" si="727"/>
        <v>0</v>
      </c>
      <c r="L2690" s="435" t="s">
        <v>614</v>
      </c>
      <c r="M2690" s="576"/>
      <c r="N2690" s="576">
        <f t="shared" si="716"/>
        <v>0</v>
      </c>
      <c r="O2690" s="577">
        <f t="shared" si="726"/>
        <v>0</v>
      </c>
      <c r="P2690" s="578">
        <f t="shared" si="722"/>
        <v>0</v>
      </c>
      <c r="Q2690" s="765"/>
      <c r="R2690" s="576">
        <f t="shared" si="723"/>
        <v>0</v>
      </c>
      <c r="S2690" s="576">
        <f t="shared" si="723"/>
        <v>0</v>
      </c>
      <c r="T2690" s="577">
        <f t="shared" si="724"/>
        <v>0</v>
      </c>
      <c r="U2690" s="578">
        <f t="shared" si="725"/>
        <v>0</v>
      </c>
      <c r="V2690" s="579"/>
      <c r="W2690" s="566"/>
      <c r="X2690" s="586" t="str">
        <f t="shared" si="720"/>
        <v/>
      </c>
      <c r="Y2690" s="586" t="str">
        <f t="shared" si="715"/>
        <v/>
      </c>
      <c r="Z2690" s="586" t="str">
        <f t="shared" si="719"/>
        <v/>
      </c>
    </row>
    <row r="2691" spans="1:26" ht="12" hidden="1" thickBot="1" x14ac:dyDescent="0.25">
      <c r="A2691" s="726" t="s">
        <v>174</v>
      </c>
      <c r="B2691" s="589" t="s">
        <v>187</v>
      </c>
      <c r="C2691" s="573" t="s">
        <v>187</v>
      </c>
      <c r="D2691" s="580"/>
      <c r="E2691" s="575"/>
      <c r="F2691" s="436"/>
      <c r="G2691" s="431"/>
      <c r="H2691" s="430"/>
      <c r="I2691" s="432"/>
      <c r="J2691" s="433"/>
      <c r="K2691" s="437">
        <f t="shared" si="727"/>
        <v>0</v>
      </c>
      <c r="L2691" s="435" t="s">
        <v>614</v>
      </c>
      <c r="M2691" s="576"/>
      <c r="N2691" s="576">
        <f t="shared" si="716"/>
        <v>0</v>
      </c>
      <c r="O2691" s="577">
        <f t="shared" si="726"/>
        <v>0</v>
      </c>
      <c r="P2691" s="578">
        <f t="shared" si="722"/>
        <v>0</v>
      </c>
      <c r="Q2691" s="765"/>
      <c r="R2691" s="576">
        <f t="shared" si="723"/>
        <v>0</v>
      </c>
      <c r="S2691" s="576">
        <f t="shared" si="723"/>
        <v>0</v>
      </c>
      <c r="T2691" s="577">
        <f t="shared" si="724"/>
        <v>0</v>
      </c>
      <c r="U2691" s="578">
        <f t="shared" si="725"/>
        <v>0</v>
      </c>
      <c r="V2691" s="579"/>
      <c r="W2691" s="566"/>
      <c r="X2691" s="586" t="str">
        <f t="shared" si="720"/>
        <v/>
      </c>
      <c r="Y2691" s="586" t="str">
        <f t="shared" si="715"/>
        <v/>
      </c>
      <c r="Z2691" s="586" t="str">
        <f t="shared" si="719"/>
        <v/>
      </c>
    </row>
    <row r="2692" spans="1:26" ht="12" hidden="1" thickBot="1" x14ac:dyDescent="0.25">
      <c r="A2692" s="726" t="s">
        <v>174</v>
      </c>
      <c r="B2692" s="589" t="s">
        <v>187</v>
      </c>
      <c r="C2692" s="573" t="s">
        <v>187</v>
      </c>
      <c r="D2692" s="580"/>
      <c r="E2692" s="575"/>
      <c r="F2692" s="436"/>
      <c r="G2692" s="431"/>
      <c r="H2692" s="430"/>
      <c r="I2692" s="432"/>
      <c r="J2692" s="433"/>
      <c r="K2692" s="437">
        <f t="shared" si="727"/>
        <v>0</v>
      </c>
      <c r="L2692" s="435" t="s">
        <v>614</v>
      </c>
      <c r="M2692" s="576"/>
      <c r="N2692" s="576">
        <f t="shared" si="716"/>
        <v>0</v>
      </c>
      <c r="O2692" s="577">
        <f t="shared" si="726"/>
        <v>0</v>
      </c>
      <c r="P2692" s="578">
        <f t="shared" si="722"/>
        <v>0</v>
      </c>
      <c r="Q2692" s="765"/>
      <c r="R2692" s="576">
        <f t="shared" si="723"/>
        <v>0</v>
      </c>
      <c r="S2692" s="576">
        <f t="shared" si="723"/>
        <v>0</v>
      </c>
      <c r="T2692" s="577">
        <f t="shared" si="724"/>
        <v>0</v>
      </c>
      <c r="U2692" s="578">
        <f t="shared" si="725"/>
        <v>0</v>
      </c>
      <c r="V2692" s="579"/>
      <c r="W2692" s="566"/>
      <c r="X2692" s="586" t="str">
        <f t="shared" si="720"/>
        <v/>
      </c>
      <c r="Y2692" s="586" t="str">
        <f t="shared" si="715"/>
        <v/>
      </c>
      <c r="Z2692" s="586" t="str">
        <f t="shared" si="719"/>
        <v/>
      </c>
    </row>
    <row r="2693" spans="1:26" ht="12" hidden="1" thickBot="1" x14ac:dyDescent="0.25">
      <c r="A2693" s="726" t="s">
        <v>174</v>
      </c>
      <c r="B2693" s="589" t="s">
        <v>187</v>
      </c>
      <c r="C2693" s="573" t="s">
        <v>187</v>
      </c>
      <c r="D2693" s="580"/>
      <c r="E2693" s="575"/>
      <c r="F2693" s="436"/>
      <c r="G2693" s="431"/>
      <c r="H2693" s="430"/>
      <c r="I2693" s="432"/>
      <c r="J2693" s="433"/>
      <c r="K2693" s="437">
        <f t="shared" si="727"/>
        <v>0</v>
      </c>
      <c r="L2693" s="435" t="s">
        <v>614</v>
      </c>
      <c r="M2693" s="576"/>
      <c r="N2693" s="576">
        <f t="shared" si="716"/>
        <v>0</v>
      </c>
      <c r="O2693" s="577">
        <f t="shared" si="726"/>
        <v>0</v>
      </c>
      <c r="P2693" s="578">
        <f t="shared" si="722"/>
        <v>0</v>
      </c>
      <c r="Q2693" s="765"/>
      <c r="R2693" s="576">
        <f t="shared" si="723"/>
        <v>0</v>
      </c>
      <c r="S2693" s="576">
        <f t="shared" si="723"/>
        <v>0</v>
      </c>
      <c r="T2693" s="577">
        <f t="shared" si="724"/>
        <v>0</v>
      </c>
      <c r="U2693" s="578">
        <f t="shared" si="725"/>
        <v>0</v>
      </c>
      <c r="V2693" s="579"/>
      <c r="W2693" s="566"/>
      <c r="X2693" s="586" t="str">
        <f t="shared" si="720"/>
        <v/>
      </c>
      <c r="Y2693" s="586" t="str">
        <f t="shared" si="715"/>
        <v/>
      </c>
      <c r="Z2693" s="586" t="str">
        <f t="shared" si="719"/>
        <v/>
      </c>
    </row>
    <row r="2694" spans="1:26" ht="12" hidden="1" thickBot="1" x14ac:dyDescent="0.25">
      <c r="A2694" s="726" t="s">
        <v>174</v>
      </c>
      <c r="B2694" s="589" t="s">
        <v>187</v>
      </c>
      <c r="C2694" s="573" t="s">
        <v>187</v>
      </c>
      <c r="D2694" s="580"/>
      <c r="E2694" s="575"/>
      <c r="F2694" s="436"/>
      <c r="G2694" s="431"/>
      <c r="H2694" s="430"/>
      <c r="I2694" s="432"/>
      <c r="J2694" s="433"/>
      <c r="K2694" s="437">
        <f t="shared" si="727"/>
        <v>0</v>
      </c>
      <c r="L2694" s="435" t="s">
        <v>614</v>
      </c>
      <c r="M2694" s="576"/>
      <c r="N2694" s="576">
        <f t="shared" si="716"/>
        <v>0</v>
      </c>
      <c r="O2694" s="577">
        <f t="shared" si="726"/>
        <v>0</v>
      </c>
      <c r="P2694" s="578">
        <f t="shared" si="722"/>
        <v>0</v>
      </c>
      <c r="Q2694" s="765"/>
      <c r="R2694" s="576">
        <f t="shared" si="723"/>
        <v>0</v>
      </c>
      <c r="S2694" s="576">
        <f t="shared" si="723"/>
        <v>0</v>
      </c>
      <c r="T2694" s="577">
        <f t="shared" si="724"/>
        <v>0</v>
      </c>
      <c r="U2694" s="578">
        <f t="shared" si="725"/>
        <v>0</v>
      </c>
      <c r="V2694" s="579"/>
      <c r="W2694" s="566"/>
      <c r="X2694" s="586" t="str">
        <f t="shared" si="720"/>
        <v/>
      </c>
      <c r="Y2694" s="586" t="str">
        <f t="shared" si="715"/>
        <v/>
      </c>
      <c r="Z2694" s="586" t="str">
        <f t="shared" si="719"/>
        <v/>
      </c>
    </row>
    <row r="2695" spans="1:26" ht="12" hidden="1" thickBot="1" x14ac:dyDescent="0.25">
      <c r="A2695" s="726" t="s">
        <v>174</v>
      </c>
      <c r="B2695" s="589" t="s">
        <v>187</v>
      </c>
      <c r="C2695" s="573" t="s">
        <v>187</v>
      </c>
      <c r="D2695" s="580"/>
      <c r="E2695" s="575"/>
      <c r="F2695" s="436"/>
      <c r="G2695" s="431"/>
      <c r="H2695" s="430"/>
      <c r="I2695" s="432"/>
      <c r="J2695" s="433"/>
      <c r="K2695" s="437">
        <f t="shared" si="727"/>
        <v>0</v>
      </c>
      <c r="L2695" s="435" t="s">
        <v>614</v>
      </c>
      <c r="M2695" s="576"/>
      <c r="N2695" s="576">
        <f t="shared" si="716"/>
        <v>0</v>
      </c>
      <c r="O2695" s="577">
        <f t="shared" si="726"/>
        <v>0</v>
      </c>
      <c r="P2695" s="578">
        <f t="shared" si="722"/>
        <v>0</v>
      </c>
      <c r="Q2695" s="765"/>
      <c r="R2695" s="576">
        <f t="shared" si="723"/>
        <v>0</v>
      </c>
      <c r="S2695" s="576">
        <f t="shared" si="723"/>
        <v>0</v>
      </c>
      <c r="T2695" s="577">
        <f t="shared" si="724"/>
        <v>0</v>
      </c>
      <c r="U2695" s="578">
        <f t="shared" si="725"/>
        <v>0</v>
      </c>
      <c r="V2695" s="579"/>
      <c r="W2695" s="566"/>
      <c r="X2695" s="586" t="str">
        <f t="shared" si="720"/>
        <v/>
      </c>
      <c r="Y2695" s="586" t="str">
        <f t="shared" si="715"/>
        <v/>
      </c>
      <c r="Z2695" s="586" t="str">
        <f t="shared" si="719"/>
        <v/>
      </c>
    </row>
    <row r="2696" spans="1:26" ht="12" hidden="1" thickBot="1" x14ac:dyDescent="0.25">
      <c r="A2696" s="726" t="s">
        <v>174</v>
      </c>
      <c r="B2696" s="589" t="s">
        <v>187</v>
      </c>
      <c r="C2696" s="573" t="s">
        <v>187</v>
      </c>
      <c r="D2696" s="580"/>
      <c r="E2696" s="575"/>
      <c r="F2696" s="436"/>
      <c r="G2696" s="431"/>
      <c r="H2696" s="430"/>
      <c r="I2696" s="432"/>
      <c r="J2696" s="433"/>
      <c r="K2696" s="437">
        <f t="shared" si="727"/>
        <v>0</v>
      </c>
      <c r="L2696" s="435" t="s">
        <v>614</v>
      </c>
      <c r="M2696" s="576"/>
      <c r="N2696" s="576">
        <f t="shared" si="716"/>
        <v>0</v>
      </c>
      <c r="O2696" s="577">
        <f t="shared" si="726"/>
        <v>0</v>
      </c>
      <c r="P2696" s="578">
        <f t="shared" si="722"/>
        <v>0</v>
      </c>
      <c r="Q2696" s="765"/>
      <c r="R2696" s="576">
        <f t="shared" si="723"/>
        <v>0</v>
      </c>
      <c r="S2696" s="576">
        <f t="shared" si="723"/>
        <v>0</v>
      </c>
      <c r="T2696" s="577">
        <f t="shared" si="724"/>
        <v>0</v>
      </c>
      <c r="U2696" s="578">
        <f t="shared" si="725"/>
        <v>0</v>
      </c>
      <c r="V2696" s="579"/>
      <c r="W2696" s="566"/>
      <c r="X2696" s="586" t="str">
        <f t="shared" si="720"/>
        <v/>
      </c>
      <c r="Y2696" s="586" t="str">
        <f t="shared" si="715"/>
        <v/>
      </c>
      <c r="Z2696" s="586" t="str">
        <f t="shared" si="719"/>
        <v/>
      </c>
    </row>
    <row r="2697" spans="1:26" ht="12" hidden="1" thickBot="1" x14ac:dyDescent="0.25">
      <c r="A2697" s="726" t="s">
        <v>174</v>
      </c>
      <c r="B2697" s="589" t="s">
        <v>187</v>
      </c>
      <c r="C2697" s="573" t="s">
        <v>187</v>
      </c>
      <c r="D2697" s="580"/>
      <c r="E2697" s="575"/>
      <c r="F2697" s="436"/>
      <c r="G2697" s="431"/>
      <c r="H2697" s="430"/>
      <c r="I2697" s="432"/>
      <c r="J2697" s="433"/>
      <c r="K2697" s="437">
        <f t="shared" si="727"/>
        <v>0</v>
      </c>
      <c r="L2697" s="435" t="s">
        <v>614</v>
      </c>
      <c r="M2697" s="576"/>
      <c r="N2697" s="576">
        <f t="shared" si="716"/>
        <v>0</v>
      </c>
      <c r="O2697" s="577">
        <f t="shared" si="726"/>
        <v>0</v>
      </c>
      <c r="P2697" s="578">
        <f t="shared" si="722"/>
        <v>0</v>
      </c>
      <c r="Q2697" s="765"/>
      <c r="R2697" s="576">
        <f t="shared" si="723"/>
        <v>0</v>
      </c>
      <c r="S2697" s="576">
        <f t="shared" si="723"/>
        <v>0</v>
      </c>
      <c r="T2697" s="577">
        <f t="shared" si="724"/>
        <v>0</v>
      </c>
      <c r="U2697" s="578">
        <f t="shared" si="725"/>
        <v>0</v>
      </c>
      <c r="V2697" s="579"/>
      <c r="W2697" s="566"/>
      <c r="X2697" s="586" t="str">
        <f t="shared" si="720"/>
        <v/>
      </c>
      <c r="Y2697" s="586" t="str">
        <f t="shared" ref="Y2697:Y2707" si="728">IF(W2697="X","x",IF(W2697="y","x",IF(W2697="xx","x",IF(U2697&gt;0,"x",""))))</f>
        <v/>
      </c>
      <c r="Z2697" s="586" t="str">
        <f t="shared" si="719"/>
        <v/>
      </c>
    </row>
    <row r="2698" spans="1:26" ht="12" hidden="1" thickBot="1" x14ac:dyDescent="0.25">
      <c r="A2698" s="726" t="s">
        <v>174</v>
      </c>
      <c r="B2698" s="589" t="s">
        <v>187</v>
      </c>
      <c r="C2698" s="573" t="s">
        <v>187</v>
      </c>
      <c r="D2698" s="580"/>
      <c r="E2698" s="575"/>
      <c r="F2698" s="436"/>
      <c r="G2698" s="431"/>
      <c r="H2698" s="430"/>
      <c r="I2698" s="432"/>
      <c r="J2698" s="433"/>
      <c r="K2698" s="437">
        <f t="shared" si="727"/>
        <v>0</v>
      </c>
      <c r="L2698" s="435" t="s">
        <v>614</v>
      </c>
      <c r="M2698" s="576"/>
      <c r="N2698" s="576">
        <f t="shared" si="716"/>
        <v>0</v>
      </c>
      <c r="O2698" s="577">
        <f t="shared" si="726"/>
        <v>0</v>
      </c>
      <c r="P2698" s="578">
        <f t="shared" si="722"/>
        <v>0</v>
      </c>
      <c r="Q2698" s="765"/>
      <c r="R2698" s="576">
        <f t="shared" si="723"/>
        <v>0</v>
      </c>
      <c r="S2698" s="576">
        <f t="shared" si="723"/>
        <v>0</v>
      </c>
      <c r="T2698" s="577">
        <f t="shared" si="724"/>
        <v>0</v>
      </c>
      <c r="U2698" s="578">
        <f t="shared" si="725"/>
        <v>0</v>
      </c>
      <c r="V2698" s="579"/>
      <c r="W2698" s="566"/>
      <c r="X2698" s="586" t="str">
        <f t="shared" si="720"/>
        <v/>
      </c>
      <c r="Y2698" s="586" t="str">
        <f t="shared" si="728"/>
        <v/>
      </c>
      <c r="Z2698" s="586" t="str">
        <f t="shared" si="719"/>
        <v/>
      </c>
    </row>
    <row r="2699" spans="1:26" ht="12" hidden="1" thickBot="1" x14ac:dyDescent="0.25">
      <c r="A2699" s="652" t="s">
        <v>187</v>
      </c>
      <c r="B2699" s="589" t="s">
        <v>187</v>
      </c>
      <c r="C2699" s="573" t="s">
        <v>187</v>
      </c>
      <c r="D2699" s="580"/>
      <c r="E2699" s="575"/>
      <c r="F2699" s="436"/>
      <c r="G2699" s="431"/>
      <c r="H2699" s="430"/>
      <c r="I2699" s="432"/>
      <c r="J2699" s="433"/>
      <c r="K2699" s="437">
        <f t="shared" si="727"/>
        <v>0</v>
      </c>
      <c r="L2699" s="435" t="s">
        <v>614</v>
      </c>
      <c r="M2699" s="576"/>
      <c r="N2699" s="576">
        <f t="shared" si="716"/>
        <v>0</v>
      </c>
      <c r="O2699" s="577">
        <f t="shared" si="726"/>
        <v>0</v>
      </c>
      <c r="P2699" s="578">
        <f t="shared" si="722"/>
        <v>0</v>
      </c>
      <c r="Q2699" s="765"/>
      <c r="R2699" s="576">
        <f t="shared" si="723"/>
        <v>0</v>
      </c>
      <c r="S2699" s="576">
        <f t="shared" si="723"/>
        <v>0</v>
      </c>
      <c r="T2699" s="577">
        <f t="shared" si="724"/>
        <v>0</v>
      </c>
      <c r="U2699" s="578">
        <f t="shared" si="725"/>
        <v>0</v>
      </c>
      <c r="V2699" s="579"/>
      <c r="W2699" s="566"/>
      <c r="X2699" s="586" t="str">
        <f t="shared" si="720"/>
        <v/>
      </c>
      <c r="Y2699" s="586" t="str">
        <f t="shared" si="728"/>
        <v/>
      </c>
      <c r="Z2699" s="586" t="str">
        <f t="shared" si="719"/>
        <v/>
      </c>
    </row>
    <row r="2700" spans="1:26" ht="12" hidden="1" thickBot="1" x14ac:dyDescent="0.25">
      <c r="A2700" s="652" t="s">
        <v>187</v>
      </c>
      <c r="B2700" s="589" t="s">
        <v>187</v>
      </c>
      <c r="C2700" s="573" t="s">
        <v>187</v>
      </c>
      <c r="D2700" s="580"/>
      <c r="E2700" s="575"/>
      <c r="F2700" s="436"/>
      <c r="G2700" s="431"/>
      <c r="H2700" s="430"/>
      <c r="I2700" s="432"/>
      <c r="J2700" s="433"/>
      <c r="K2700" s="437">
        <f t="shared" si="727"/>
        <v>0</v>
      </c>
      <c r="L2700" s="435" t="s">
        <v>614</v>
      </c>
      <c r="M2700" s="576"/>
      <c r="N2700" s="576">
        <f t="shared" si="716"/>
        <v>0</v>
      </c>
      <c r="O2700" s="577">
        <f t="shared" si="726"/>
        <v>0</v>
      </c>
      <c r="P2700" s="578">
        <f t="shared" si="722"/>
        <v>0</v>
      </c>
      <c r="Q2700" s="765"/>
      <c r="R2700" s="576">
        <f>M2700</f>
        <v>0</v>
      </c>
      <c r="S2700" s="576">
        <f>N2700</f>
        <v>0</v>
      </c>
      <c r="T2700" s="577">
        <f t="shared" si="724"/>
        <v>0</v>
      </c>
      <c r="U2700" s="578">
        <f t="shared" si="725"/>
        <v>0</v>
      </c>
      <c r="V2700" s="579"/>
      <c r="W2700" s="566"/>
      <c r="X2700" s="586" t="str">
        <f t="shared" si="720"/>
        <v/>
      </c>
      <c r="Y2700" s="586" t="str">
        <f t="shared" si="728"/>
        <v/>
      </c>
      <c r="Z2700" s="586" t="str">
        <f t="shared" si="719"/>
        <v/>
      </c>
    </row>
    <row r="2701" spans="1:26" ht="12" hidden="1" thickBot="1" x14ac:dyDescent="0.25">
      <c r="A2701" s="652" t="s">
        <v>187</v>
      </c>
      <c r="B2701" s="589" t="s">
        <v>187</v>
      </c>
      <c r="C2701" s="573" t="s">
        <v>187</v>
      </c>
      <c r="D2701" s="580"/>
      <c r="E2701" s="575"/>
      <c r="F2701" s="436"/>
      <c r="G2701" s="431"/>
      <c r="H2701" s="430"/>
      <c r="I2701" s="432"/>
      <c r="J2701" s="433"/>
      <c r="K2701" s="437">
        <f t="shared" si="727"/>
        <v>0</v>
      </c>
      <c r="L2701" s="435" t="s">
        <v>614</v>
      </c>
      <c r="M2701" s="576"/>
      <c r="N2701" s="576">
        <f t="shared" si="716"/>
        <v>0</v>
      </c>
      <c r="O2701" s="577">
        <f t="shared" si="726"/>
        <v>0</v>
      </c>
      <c r="P2701" s="578">
        <f t="shared" si="722"/>
        <v>0</v>
      </c>
      <c r="Q2701" s="765"/>
      <c r="R2701" s="576">
        <f>M2701</f>
        <v>0</v>
      </c>
      <c r="S2701" s="576">
        <f>N2701</f>
        <v>0</v>
      </c>
      <c r="T2701" s="577">
        <f t="shared" si="724"/>
        <v>0</v>
      </c>
      <c r="U2701" s="578">
        <f t="shared" si="725"/>
        <v>0</v>
      </c>
      <c r="V2701" s="579"/>
      <c r="W2701" s="566"/>
      <c r="X2701" s="586" t="str">
        <f t="shared" si="720"/>
        <v/>
      </c>
      <c r="Y2701" s="586" t="str">
        <f t="shared" si="728"/>
        <v/>
      </c>
      <c r="Z2701" s="586" t="str">
        <f t="shared" si="719"/>
        <v/>
      </c>
    </row>
    <row r="2702" spans="1:26" ht="12" hidden="1" thickBot="1" x14ac:dyDescent="0.25">
      <c r="A2702" s="652" t="s">
        <v>187</v>
      </c>
      <c r="B2702" s="589" t="s">
        <v>187</v>
      </c>
      <c r="C2702" s="573" t="s">
        <v>187</v>
      </c>
      <c r="D2702" s="580"/>
      <c r="E2702" s="575"/>
      <c r="F2702" s="436"/>
      <c r="G2702" s="431"/>
      <c r="H2702" s="430"/>
      <c r="I2702" s="432"/>
      <c r="J2702" s="433"/>
      <c r="K2702" s="437">
        <f t="shared" si="727"/>
        <v>0</v>
      </c>
      <c r="L2702" s="435" t="s">
        <v>614</v>
      </c>
      <c r="M2702" s="576"/>
      <c r="N2702" s="576">
        <f t="shared" si="716"/>
        <v>0</v>
      </c>
      <c r="O2702" s="577">
        <f t="shared" si="726"/>
        <v>0</v>
      </c>
      <c r="P2702" s="578">
        <f t="shared" si="722"/>
        <v>0</v>
      </c>
      <c r="Q2702" s="765"/>
      <c r="R2702" s="576">
        <f t="shared" si="723"/>
        <v>0</v>
      </c>
      <c r="S2702" s="576">
        <f t="shared" si="723"/>
        <v>0</v>
      </c>
      <c r="T2702" s="577">
        <f t="shared" si="724"/>
        <v>0</v>
      </c>
      <c r="U2702" s="578">
        <f t="shared" si="725"/>
        <v>0</v>
      </c>
      <c r="V2702" s="579"/>
      <c r="W2702" s="566"/>
      <c r="X2702" s="586" t="str">
        <f t="shared" si="720"/>
        <v/>
      </c>
      <c r="Y2702" s="586" t="str">
        <f t="shared" si="728"/>
        <v/>
      </c>
      <c r="Z2702" s="586" t="str">
        <f t="shared" si="719"/>
        <v/>
      </c>
    </row>
    <row r="2703" spans="1:26" ht="12" hidden="1" thickBot="1" x14ac:dyDescent="0.25">
      <c r="A2703" s="652" t="s">
        <v>187</v>
      </c>
      <c r="B2703" s="589" t="s">
        <v>187</v>
      </c>
      <c r="C2703" s="573" t="s">
        <v>187</v>
      </c>
      <c r="D2703" s="580"/>
      <c r="E2703" s="575"/>
      <c r="F2703" s="436"/>
      <c r="G2703" s="431"/>
      <c r="H2703" s="430"/>
      <c r="I2703" s="432"/>
      <c r="J2703" s="433"/>
      <c r="K2703" s="437">
        <f t="shared" si="727"/>
        <v>0</v>
      </c>
      <c r="L2703" s="435" t="s">
        <v>614</v>
      </c>
      <c r="M2703" s="576"/>
      <c r="N2703" s="576">
        <f t="shared" si="716"/>
        <v>0</v>
      </c>
      <c r="O2703" s="577">
        <f t="shared" si="726"/>
        <v>0</v>
      </c>
      <c r="P2703" s="578">
        <f t="shared" si="722"/>
        <v>0</v>
      </c>
      <c r="Q2703" s="765"/>
      <c r="R2703" s="576">
        <f t="shared" si="723"/>
        <v>0</v>
      </c>
      <c r="S2703" s="576">
        <f t="shared" si="723"/>
        <v>0</v>
      </c>
      <c r="T2703" s="577">
        <f t="shared" si="724"/>
        <v>0</v>
      </c>
      <c r="U2703" s="578">
        <f t="shared" si="725"/>
        <v>0</v>
      </c>
      <c r="V2703" s="579"/>
      <c r="W2703" s="566"/>
      <c r="X2703" s="586" t="str">
        <f t="shared" si="720"/>
        <v/>
      </c>
      <c r="Y2703" s="586" t="str">
        <f t="shared" si="728"/>
        <v/>
      </c>
      <c r="Z2703" s="586" t="str">
        <f t="shared" si="719"/>
        <v/>
      </c>
    </row>
    <row r="2704" spans="1:26" ht="12" hidden="1" thickBot="1" x14ac:dyDescent="0.25">
      <c r="A2704" s="652" t="s">
        <v>187</v>
      </c>
      <c r="B2704" s="589" t="s">
        <v>187</v>
      </c>
      <c r="C2704" s="573" t="s">
        <v>187</v>
      </c>
      <c r="D2704" s="580"/>
      <c r="E2704" s="575"/>
      <c r="F2704" s="436"/>
      <c r="G2704" s="431"/>
      <c r="H2704" s="430"/>
      <c r="I2704" s="432"/>
      <c r="J2704" s="433"/>
      <c r="K2704" s="437">
        <f t="shared" si="727"/>
        <v>0</v>
      </c>
      <c r="L2704" s="435" t="s">
        <v>614</v>
      </c>
      <c r="M2704" s="576"/>
      <c r="N2704" s="576">
        <f t="shared" si="716"/>
        <v>0</v>
      </c>
      <c r="O2704" s="577">
        <f t="shared" si="726"/>
        <v>0</v>
      </c>
      <c r="P2704" s="578">
        <f t="shared" si="722"/>
        <v>0</v>
      </c>
      <c r="Q2704" s="765"/>
      <c r="R2704" s="576">
        <f t="shared" si="723"/>
        <v>0</v>
      </c>
      <c r="S2704" s="576">
        <f t="shared" si="723"/>
        <v>0</v>
      </c>
      <c r="T2704" s="577">
        <f t="shared" si="724"/>
        <v>0</v>
      </c>
      <c r="U2704" s="578">
        <f t="shared" si="725"/>
        <v>0</v>
      </c>
      <c r="V2704" s="579"/>
      <c r="W2704" s="566"/>
      <c r="X2704" s="586" t="str">
        <f t="shared" si="720"/>
        <v/>
      </c>
      <c r="Y2704" s="586" t="str">
        <f t="shared" si="728"/>
        <v/>
      </c>
      <c r="Z2704" s="586" t="str">
        <f t="shared" si="719"/>
        <v/>
      </c>
    </row>
    <row r="2705" spans="1:26" ht="12" hidden="1" thickBot="1" x14ac:dyDescent="0.25">
      <c r="A2705" s="652" t="s">
        <v>187</v>
      </c>
      <c r="B2705" s="589" t="s">
        <v>187</v>
      </c>
      <c r="C2705" s="573" t="s">
        <v>187</v>
      </c>
      <c r="D2705" s="580"/>
      <c r="E2705" s="575"/>
      <c r="F2705" s="436"/>
      <c r="G2705" s="431"/>
      <c r="H2705" s="430"/>
      <c r="I2705" s="432"/>
      <c r="J2705" s="433"/>
      <c r="K2705" s="437">
        <f t="shared" si="727"/>
        <v>0</v>
      </c>
      <c r="L2705" s="435" t="s">
        <v>614</v>
      </c>
      <c r="M2705" s="576"/>
      <c r="N2705" s="576">
        <f t="shared" si="716"/>
        <v>0</v>
      </c>
      <c r="O2705" s="577">
        <f t="shared" si="726"/>
        <v>0</v>
      </c>
      <c r="P2705" s="578">
        <f t="shared" si="722"/>
        <v>0</v>
      </c>
      <c r="Q2705" s="765"/>
      <c r="R2705" s="576">
        <f t="shared" si="723"/>
        <v>0</v>
      </c>
      <c r="S2705" s="576">
        <f t="shared" si="723"/>
        <v>0</v>
      </c>
      <c r="T2705" s="577">
        <f t="shared" si="724"/>
        <v>0</v>
      </c>
      <c r="U2705" s="578">
        <f t="shared" si="725"/>
        <v>0</v>
      </c>
      <c r="V2705" s="579"/>
      <c r="W2705" s="566"/>
      <c r="X2705" s="586" t="str">
        <f t="shared" si="720"/>
        <v/>
      </c>
      <c r="Y2705" s="586" t="str">
        <f t="shared" si="728"/>
        <v/>
      </c>
      <c r="Z2705" s="586" t="str">
        <f t="shared" si="719"/>
        <v/>
      </c>
    </row>
    <row r="2706" spans="1:26" ht="12" hidden="1" thickBot="1" x14ac:dyDescent="0.25">
      <c r="A2706" s="652" t="s">
        <v>187</v>
      </c>
      <c r="B2706" s="589" t="s">
        <v>187</v>
      </c>
      <c r="C2706" s="573" t="s">
        <v>187</v>
      </c>
      <c r="D2706" s="580"/>
      <c r="E2706" s="575"/>
      <c r="F2706" s="436"/>
      <c r="G2706" s="431"/>
      <c r="H2706" s="430"/>
      <c r="I2706" s="432"/>
      <c r="J2706" s="433"/>
      <c r="K2706" s="437">
        <f t="shared" si="727"/>
        <v>0</v>
      </c>
      <c r="L2706" s="435" t="s">
        <v>614</v>
      </c>
      <c r="M2706" s="576"/>
      <c r="N2706" s="576">
        <f t="shared" si="716"/>
        <v>0</v>
      </c>
      <c r="O2706" s="577">
        <f t="shared" si="726"/>
        <v>0</v>
      </c>
      <c r="P2706" s="578">
        <f t="shared" si="722"/>
        <v>0</v>
      </c>
      <c r="Q2706" s="765"/>
      <c r="R2706" s="576">
        <f t="shared" si="723"/>
        <v>0</v>
      </c>
      <c r="S2706" s="576">
        <f t="shared" si="723"/>
        <v>0</v>
      </c>
      <c r="T2706" s="577">
        <f t="shared" si="724"/>
        <v>0</v>
      </c>
      <c r="U2706" s="578">
        <f t="shared" si="725"/>
        <v>0</v>
      </c>
      <c r="V2706" s="579"/>
      <c r="W2706" s="566"/>
      <c r="X2706" s="586" t="str">
        <f t="shared" si="720"/>
        <v/>
      </c>
      <c r="Y2706" s="586" t="str">
        <f t="shared" si="728"/>
        <v/>
      </c>
      <c r="Z2706" s="586" t="str">
        <f t="shared" si="719"/>
        <v/>
      </c>
    </row>
    <row r="2707" spans="1:26" ht="12" hidden="1" thickBot="1" x14ac:dyDescent="0.25">
      <c r="A2707" s="652" t="s">
        <v>187</v>
      </c>
      <c r="B2707" s="786" t="s">
        <v>187</v>
      </c>
      <c r="C2707" s="582" t="s">
        <v>187</v>
      </c>
      <c r="D2707" s="583"/>
      <c r="E2707" s="787"/>
      <c r="F2707" s="788"/>
      <c r="G2707" s="789"/>
      <c r="H2707" s="790"/>
      <c r="I2707" s="791"/>
      <c r="J2707" s="792"/>
      <c r="K2707" s="793">
        <f t="shared" si="727"/>
        <v>0</v>
      </c>
      <c r="L2707" s="794" t="s">
        <v>614</v>
      </c>
      <c r="M2707" s="696"/>
      <c r="N2707" s="696">
        <f t="shared" si="716"/>
        <v>0</v>
      </c>
      <c r="O2707" s="693">
        <f t="shared" si="726"/>
        <v>0</v>
      </c>
      <c r="P2707" s="694">
        <f t="shared" si="722"/>
        <v>0</v>
      </c>
      <c r="Q2707" s="765"/>
      <c r="R2707" s="576">
        <f t="shared" si="723"/>
        <v>0</v>
      </c>
      <c r="S2707" s="576">
        <f t="shared" si="723"/>
        <v>0</v>
      </c>
      <c r="T2707" s="577">
        <f t="shared" si="724"/>
        <v>0</v>
      </c>
      <c r="U2707" s="578">
        <f t="shared" si="725"/>
        <v>0</v>
      </c>
      <c r="V2707" s="579"/>
      <c r="W2707" s="566"/>
      <c r="X2707" s="586" t="str">
        <f t="shared" si="720"/>
        <v/>
      </c>
      <c r="Y2707" s="586" t="str">
        <f t="shared" si="728"/>
        <v/>
      </c>
      <c r="Z2707" s="586" t="str">
        <f t="shared" si="719"/>
        <v/>
      </c>
    </row>
    <row r="2708" spans="1:26" ht="1.35" hidden="1" customHeight="1" thickBot="1" x14ac:dyDescent="0.25">
      <c r="A2708" s="652" t="s">
        <v>187</v>
      </c>
      <c r="B2708" s="727" t="s">
        <v>174</v>
      </c>
      <c r="C2708" s="728"/>
      <c r="D2708" s="729"/>
      <c r="E2708" s="730"/>
      <c r="F2708" s="731"/>
      <c r="G2708" s="732"/>
      <c r="H2708" s="733"/>
      <c r="I2708" s="734"/>
      <c r="J2708" s="734"/>
      <c r="K2708" s="735"/>
      <c r="L2708" s="736"/>
      <c r="M2708" s="737"/>
      <c r="N2708" s="738"/>
      <c r="O2708" s="739"/>
      <c r="P2708" s="739"/>
      <c r="Q2708" s="739"/>
      <c r="R2708" s="737"/>
      <c r="S2708" s="738"/>
      <c r="T2708" s="739"/>
      <c r="U2708" s="740"/>
      <c r="V2708" s="643"/>
      <c r="W2708" s="741"/>
      <c r="X2708" s="742"/>
      <c r="Y2708" s="742"/>
      <c r="Z2708" s="742"/>
    </row>
    <row r="2709" spans="1:26" ht="5.45" hidden="1" customHeight="1" thickBot="1" x14ac:dyDescent="0.25">
      <c r="A2709" s="652" t="s">
        <v>187</v>
      </c>
      <c r="B2709" s="743" t="s">
        <v>174</v>
      </c>
      <c r="C2709" s="744"/>
      <c r="D2709" s="745"/>
      <c r="E2709" s="746"/>
      <c r="F2709" s="495"/>
      <c r="G2709" s="494"/>
      <c r="H2709" s="496"/>
      <c r="I2709" s="496"/>
      <c r="J2709" s="496"/>
      <c r="K2709" s="747"/>
      <c r="L2709" s="496"/>
      <c r="M2709" s="748"/>
      <c r="N2709" s="748"/>
      <c r="O2709" s="674"/>
      <c r="P2709" s="674"/>
      <c r="Q2709" s="674"/>
      <c r="R2709" s="748"/>
      <c r="S2709" s="748"/>
      <c r="T2709" s="674"/>
      <c r="U2709" s="674"/>
      <c r="V2709" s="749"/>
      <c r="W2709" s="741" t="s">
        <v>174</v>
      </c>
      <c r="X2709" s="742"/>
      <c r="Y2709" s="742"/>
      <c r="Z2709" s="742"/>
    </row>
    <row r="2710" spans="1:26" ht="13.35" customHeight="1" thickBot="1" x14ac:dyDescent="0.25">
      <c r="A2710" s="652" t="s">
        <v>187</v>
      </c>
      <c r="B2710" s="750" t="s">
        <v>174</v>
      </c>
      <c r="C2710" s="751"/>
      <c r="D2710" s="492" t="s">
        <v>505</v>
      </c>
      <c r="E2710" s="493"/>
      <c r="F2710" s="495"/>
      <c r="G2710" s="494"/>
      <c r="H2710" s="496"/>
      <c r="I2710" s="496"/>
      <c r="J2710" s="496" t="str">
        <f>IF(ISBLANK(I2710),"",SUM(H2710:I2710))</f>
        <v/>
      </c>
      <c r="K2710" s="496"/>
      <c r="L2710" s="496"/>
      <c r="M2710" s="752"/>
      <c r="N2710" s="753"/>
      <c r="O2710" s="635">
        <f>SUBTOTAL(9,O18:O2708)</f>
        <v>199411.85</v>
      </c>
      <c r="P2710" s="636">
        <f>SUBTOTAL(9,P18:P2708)</f>
        <v>199411.85</v>
      </c>
      <c r="Q2710" s="634">
        <f>SUBTOTAL(9,Q18:Q2708)</f>
        <v>199411.85000000003</v>
      </c>
      <c r="R2710" s="754"/>
      <c r="S2710" s="755"/>
      <c r="T2710" s="635">
        <f>SUBTOTAL(9,T18:T2708)</f>
        <v>199411.85</v>
      </c>
      <c r="U2710" s="636">
        <f>SUBTOTAL(9,U18:U2708)</f>
        <v>199411.85</v>
      </c>
      <c r="V2710" s="636">
        <f>SUBTOTAL(9,V18:V2708)</f>
        <v>199411.85000000003</v>
      </c>
      <c r="W2710" s="741" t="s">
        <v>174</v>
      </c>
      <c r="X2710" s="756" t="s">
        <v>174</v>
      </c>
      <c r="Y2710" s="756"/>
      <c r="Z2710" s="756" t="s">
        <v>174</v>
      </c>
    </row>
    <row r="2711" spans="1:26" ht="5.45" hidden="1" customHeight="1" thickBot="1" x14ac:dyDescent="0.25">
      <c r="A2711" s="652" t="s">
        <v>187</v>
      </c>
      <c r="B2711" s="750" t="s">
        <v>174</v>
      </c>
      <c r="C2711" s="751"/>
      <c r="D2711" s="757"/>
      <c r="E2711" s="746"/>
      <c r="F2711" s="495"/>
      <c r="G2711" s="494"/>
      <c r="H2711" s="496"/>
      <c r="I2711" s="496"/>
      <c r="J2711" s="496"/>
      <c r="K2711" s="747"/>
      <c r="L2711" s="496"/>
      <c r="M2711" s="748"/>
      <c r="N2711" s="748"/>
      <c r="O2711" s="674"/>
      <c r="P2711" s="674"/>
      <c r="Q2711" s="674"/>
      <c r="R2711" s="748"/>
      <c r="S2711" s="748"/>
      <c r="T2711" s="674"/>
      <c r="U2711" s="674"/>
      <c r="V2711" s="749"/>
      <c r="W2711" s="741" t="s">
        <v>174</v>
      </c>
      <c r="X2711" s="758"/>
      <c r="Y2711" s="586"/>
      <c r="Z2711" s="586"/>
    </row>
    <row r="2712" spans="1:26" ht="13.35" customHeight="1" thickBot="1" x14ac:dyDescent="0.25">
      <c r="A2712" s="652" t="s">
        <v>187</v>
      </c>
      <c r="B2712" s="750" t="s">
        <v>174</v>
      </c>
      <c r="C2712" s="751"/>
      <c r="D2712" s="492" t="s">
        <v>585</v>
      </c>
      <c r="E2712" s="759"/>
      <c r="F2712" s="495"/>
      <c r="G2712" s="494"/>
      <c r="H2712" s="496"/>
      <c r="I2712" s="496"/>
      <c r="J2712" s="496" t="str">
        <f t="shared" ref="J2712:J2717" si="729">IF(ISBLANK(I2712),"",SUM(H2712:I2712))</f>
        <v/>
      </c>
      <c r="K2712" s="496"/>
      <c r="L2712" s="496"/>
      <c r="M2712" s="752"/>
      <c r="N2712" s="753"/>
      <c r="O2712" s="760">
        <f>SUM(O18:O582)</f>
        <v>165453.20000000001</v>
      </c>
      <c r="P2712" s="760">
        <f>SUM(P18:P582)</f>
        <v>165453.20000000001</v>
      </c>
      <c r="Q2712" s="760">
        <f>SUM(Q18:Q582)</f>
        <v>165453.20000000001</v>
      </c>
      <c r="R2712" s="754"/>
      <c r="S2712" s="761"/>
      <c r="T2712" s="636">
        <f>SUM(T18:T582)</f>
        <v>165453.20000000001</v>
      </c>
      <c r="U2712" s="760">
        <f>SUM(U18:U582)</f>
        <v>165453.20000000001</v>
      </c>
      <c r="V2712" s="760">
        <f>SUM(V18:V582)</f>
        <v>165453.20000000001</v>
      </c>
      <c r="W2712" s="741"/>
      <c r="X2712" s="586" t="s">
        <v>174</v>
      </c>
      <c r="Y2712" s="586"/>
      <c r="Z2712" s="586"/>
    </row>
    <row r="2713" spans="1:26" ht="13.35" customHeight="1" thickBot="1" x14ac:dyDescent="0.25">
      <c r="A2713" s="652" t="s">
        <v>187</v>
      </c>
      <c r="B2713" s="750" t="s">
        <v>174</v>
      </c>
      <c r="C2713" s="751"/>
      <c r="D2713" s="492" t="s">
        <v>589</v>
      </c>
      <c r="E2713" s="759"/>
      <c r="F2713" s="495"/>
      <c r="G2713" s="494"/>
      <c r="H2713" s="496"/>
      <c r="I2713" s="496"/>
      <c r="J2713" s="496" t="str">
        <f t="shared" si="729"/>
        <v/>
      </c>
      <c r="K2713" s="496"/>
      <c r="L2713" s="496"/>
      <c r="M2713" s="752"/>
      <c r="N2713" s="753"/>
      <c r="O2713" s="635">
        <f>SUM(O583:O839)</f>
        <v>32150.239999999998</v>
      </c>
      <c r="P2713" s="635">
        <f>SUM(P583:P839)</f>
        <v>32150.239999999998</v>
      </c>
      <c r="Q2713" s="635">
        <f>SUM(Q583:Q839)</f>
        <v>32150.239999999998</v>
      </c>
      <c r="R2713" s="754"/>
      <c r="S2713" s="762"/>
      <c r="T2713" s="636">
        <f>SUM(T583:T839)</f>
        <v>32150.239999999998</v>
      </c>
      <c r="U2713" s="635">
        <f>SUM(U583:U839)</f>
        <v>32150.239999999998</v>
      </c>
      <c r="V2713" s="635">
        <f>SUM(V583:V839)</f>
        <v>32150.239999999998</v>
      </c>
      <c r="W2713" s="741" t="s">
        <v>174</v>
      </c>
      <c r="X2713" s="586" t="s">
        <v>174</v>
      </c>
      <c r="Y2713" s="586"/>
      <c r="Z2713" s="586"/>
    </row>
    <row r="2714" spans="1:26" ht="13.35" customHeight="1" thickBot="1" x14ac:dyDescent="0.25">
      <c r="A2714" s="652" t="s">
        <v>187</v>
      </c>
      <c r="B2714" s="750" t="s">
        <v>174</v>
      </c>
      <c r="C2714" s="751"/>
      <c r="D2714" s="492" t="s">
        <v>586</v>
      </c>
      <c r="E2714" s="759"/>
      <c r="F2714" s="495"/>
      <c r="G2714" s="494"/>
      <c r="H2714" s="496"/>
      <c r="I2714" s="496"/>
      <c r="J2714" s="496" t="str">
        <f t="shared" si="729"/>
        <v/>
      </c>
      <c r="K2714" s="496"/>
      <c r="L2714" s="496"/>
      <c r="M2714" s="752"/>
      <c r="N2714" s="753"/>
      <c r="O2714" s="635">
        <f>SUM(O840:O1689)</f>
        <v>0</v>
      </c>
      <c r="P2714" s="635">
        <f>SUM(P840:P1689)</f>
        <v>0</v>
      </c>
      <c r="Q2714" s="635">
        <f>SUM(Q840:Q1689)</f>
        <v>0</v>
      </c>
      <c r="R2714" s="754"/>
      <c r="S2714" s="762"/>
      <c r="T2714" s="636">
        <f>SUM(T840:T1689)</f>
        <v>0</v>
      </c>
      <c r="U2714" s="635">
        <f>SUM(U840:U1689)</f>
        <v>0</v>
      </c>
      <c r="V2714" s="635">
        <f>SUM(V840:V1689)</f>
        <v>0</v>
      </c>
      <c r="W2714" s="741" t="s">
        <v>174</v>
      </c>
      <c r="X2714" s="586" t="s">
        <v>174</v>
      </c>
      <c r="Y2714" s="586"/>
      <c r="Z2714" s="586"/>
    </row>
    <row r="2715" spans="1:26" ht="13.35" customHeight="1" thickBot="1" x14ac:dyDescent="0.25">
      <c r="A2715" s="652" t="s">
        <v>187</v>
      </c>
      <c r="B2715" s="750" t="s">
        <v>174</v>
      </c>
      <c r="C2715" s="751"/>
      <c r="D2715" s="492" t="s">
        <v>587</v>
      </c>
      <c r="E2715" s="759"/>
      <c r="F2715" s="495"/>
      <c r="G2715" s="494"/>
      <c r="H2715" s="496"/>
      <c r="I2715" s="496"/>
      <c r="J2715" s="496" t="str">
        <f t="shared" si="729"/>
        <v/>
      </c>
      <c r="K2715" s="496"/>
      <c r="L2715" s="496"/>
      <c r="M2715" s="752"/>
      <c r="N2715" s="753"/>
      <c r="O2715" s="635">
        <f>SUM(O1690:O1784)</f>
        <v>0</v>
      </c>
      <c r="P2715" s="635">
        <f>SUM(P1690:P1784)</f>
        <v>0</v>
      </c>
      <c r="Q2715" s="635">
        <f>SUM(Q1690:Q1784)</f>
        <v>0</v>
      </c>
      <c r="R2715" s="754"/>
      <c r="S2715" s="762"/>
      <c r="T2715" s="636">
        <f>SUM(T1690:T1784)</f>
        <v>0</v>
      </c>
      <c r="U2715" s="635">
        <f>SUM(U1690:U1784)</f>
        <v>0</v>
      </c>
      <c r="V2715" s="635">
        <f>SUM(V1690:V1784)</f>
        <v>0</v>
      </c>
      <c r="W2715" s="741" t="s">
        <v>174</v>
      </c>
      <c r="X2715" s="586" t="s">
        <v>174</v>
      </c>
      <c r="Y2715" s="586"/>
      <c r="Z2715" s="586"/>
    </row>
    <row r="2716" spans="1:26" ht="13.35" customHeight="1" thickBot="1" x14ac:dyDescent="0.25">
      <c r="A2716" s="652" t="s">
        <v>187</v>
      </c>
      <c r="B2716" s="750" t="s">
        <v>174</v>
      </c>
      <c r="C2716" s="751"/>
      <c r="D2716" s="492" t="s">
        <v>588</v>
      </c>
      <c r="E2716" s="759"/>
      <c r="F2716" s="495"/>
      <c r="G2716" s="494"/>
      <c r="H2716" s="496"/>
      <c r="I2716" s="496"/>
      <c r="J2716" s="496" t="str">
        <f t="shared" si="729"/>
        <v/>
      </c>
      <c r="K2716" s="496"/>
      <c r="L2716" s="496"/>
      <c r="M2716" s="752"/>
      <c r="N2716" s="753"/>
      <c r="O2716" s="635">
        <f>SUM(O1785:O2661)</f>
        <v>0</v>
      </c>
      <c r="P2716" s="635">
        <f>SUM(P1785:P2661)</f>
        <v>0</v>
      </c>
      <c r="Q2716" s="635">
        <f>SUM(Q1785:Q2661)</f>
        <v>0</v>
      </c>
      <c r="R2716" s="634"/>
      <c r="S2716" s="409"/>
      <c r="T2716" s="635">
        <f>SUM(T1785:T2661)</f>
        <v>0</v>
      </c>
      <c r="U2716" s="635">
        <f>SUM(U1785:U2661)</f>
        <v>0</v>
      </c>
      <c r="V2716" s="635">
        <f>SUM(V1785:V2661)</f>
        <v>0</v>
      </c>
      <c r="W2716" s="741" t="s">
        <v>174</v>
      </c>
      <c r="X2716" s="586" t="s">
        <v>174</v>
      </c>
      <c r="Y2716" s="586"/>
      <c r="Z2716" s="586"/>
    </row>
    <row r="2717" spans="1:26" ht="13.35" customHeight="1" thickBot="1" x14ac:dyDescent="0.25">
      <c r="A2717" s="652" t="s">
        <v>187</v>
      </c>
      <c r="B2717" s="750" t="s">
        <v>174</v>
      </c>
      <c r="C2717" s="751"/>
      <c r="D2717" s="492" t="s">
        <v>613</v>
      </c>
      <c r="E2717" s="759"/>
      <c r="F2717" s="495"/>
      <c r="G2717" s="494"/>
      <c r="H2717" s="496"/>
      <c r="I2717" s="496"/>
      <c r="J2717" s="496" t="str">
        <f t="shared" si="729"/>
        <v/>
      </c>
      <c r="K2717" s="496"/>
      <c r="L2717" s="496"/>
      <c r="M2717" s="752"/>
      <c r="N2717" s="753"/>
      <c r="O2717" s="635">
        <f>SUM(O2662:O2707)</f>
        <v>1808.4100000000003</v>
      </c>
      <c r="P2717" s="635">
        <f>SUM(P2662:P2707)</f>
        <v>1808.4100000000003</v>
      </c>
      <c r="Q2717" s="635">
        <f>SUM(Q2662:Q2707)</f>
        <v>1808.4100000000003</v>
      </c>
      <c r="R2717" s="634"/>
      <c r="S2717" s="409"/>
      <c r="T2717" s="636">
        <f>SUM(T2662:T2707)</f>
        <v>1808.4100000000003</v>
      </c>
      <c r="U2717" s="635">
        <f>SUM(U2662:U2707)</f>
        <v>1808.4100000000003</v>
      </c>
      <c r="V2717" s="635">
        <f>SUM(V2662:V2707)</f>
        <v>1808.4100000000003</v>
      </c>
      <c r="W2717" s="741" t="s">
        <v>174</v>
      </c>
      <c r="X2717" s="586" t="s">
        <v>174</v>
      </c>
      <c r="Y2717" s="586"/>
      <c r="Z2717" s="586"/>
    </row>
    <row r="2718" spans="1:26" x14ac:dyDescent="0.2">
      <c r="K2718" s="592"/>
    </row>
    <row r="2719" spans="1:26" x14ac:dyDescent="0.2">
      <c r="D2719" s="593" t="s">
        <v>187</v>
      </c>
      <c r="K2719" s="592"/>
    </row>
    <row r="2720" spans="1:26" ht="9" customHeight="1" x14ac:dyDescent="0.2"/>
    <row r="2721" spans="4:7" x14ac:dyDescent="0.2">
      <c r="D2721" s="593" t="s">
        <v>2099</v>
      </c>
    </row>
    <row r="2723" spans="4:7" x14ac:dyDescent="0.2">
      <c r="G2723" s="591" t="s">
        <v>1581</v>
      </c>
    </row>
  </sheetData>
  <sheetProtection formatCells="0" insertRows="0" sort="0" autoFilter="0"/>
  <autoFilter ref="A17:Z2717">
    <filterColumn colId="23">
      <customFilters>
        <customFilter operator="notEqual" val=" "/>
      </customFilters>
    </filterColumn>
  </autoFilter>
  <pageMargins left="1.1811023622047245" right="0.78740157480314965" top="1.1811023622047245" bottom="1.1811023622047245" header="0.31496062992125984" footer="0.51181102362204722"/>
  <pageSetup paperSize="9" scale="36" fitToHeight="0" orientation="portrait" r:id="rId1"/>
  <headerFooter alignWithMargins="0">
    <oddHeader>&amp;C&amp;"Arial,Negrito"&amp;12&amp;F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Z2723"/>
  <sheetViews>
    <sheetView showGridLines="0" showZeros="0" topLeftCell="D235" zoomScaleNormal="100" zoomScaleSheetLayoutView="50" workbookViewId="0">
      <selection activeCell="AB592" sqref="AB592"/>
    </sheetView>
  </sheetViews>
  <sheetFormatPr defaultColWidth="21.6640625" defaultRowHeight="11.25" x14ac:dyDescent="0.2"/>
  <cols>
    <col min="1" max="1" width="15.6640625" style="568" hidden="1" customWidth="1"/>
    <col min="2" max="2" width="13" style="590" customWidth="1"/>
    <col min="3" max="3" width="15.5" style="590" customWidth="1"/>
    <col min="4" max="4" width="93.33203125" style="568" customWidth="1"/>
    <col min="5" max="5" width="0.6640625" style="568" customWidth="1"/>
    <col min="6" max="6" width="15.1640625" style="591" customWidth="1"/>
    <col min="7" max="7" width="15.6640625" style="591" bestFit="1" customWidth="1"/>
    <col min="8" max="9" width="10.83203125" style="568" customWidth="1"/>
    <col min="10" max="11" width="14.83203125" style="568" customWidth="1"/>
    <col min="12" max="12" width="6.5" style="568" customWidth="1"/>
    <col min="13" max="14" width="14.6640625" style="568" customWidth="1"/>
    <col min="15" max="16" width="18.83203125" style="568" customWidth="1"/>
    <col min="17" max="17" width="20.6640625" style="568" customWidth="1"/>
    <col min="18" max="19" width="15.33203125" style="568" hidden="1" customWidth="1"/>
    <col min="20" max="22" width="22.5" style="568" hidden="1" customWidth="1"/>
    <col min="23" max="23" width="4.6640625" style="594" customWidth="1"/>
    <col min="24" max="26" width="4.6640625" style="568" customWidth="1"/>
    <col min="27" max="16384" width="21.6640625" style="568"/>
  </cols>
  <sheetData>
    <row r="1" spans="1:26" x14ac:dyDescent="0.2">
      <c r="A1" s="567" t="s">
        <v>2056</v>
      </c>
      <c r="B1" s="503"/>
      <c r="C1" s="504"/>
      <c r="D1" s="505"/>
      <c r="E1" s="387"/>
      <c r="F1" s="506" t="s">
        <v>2107</v>
      </c>
      <c r="G1" s="507"/>
      <c r="H1" s="391"/>
      <c r="I1" s="388"/>
      <c r="J1" s="389"/>
      <c r="K1" s="389"/>
      <c r="L1" s="390" t="s">
        <v>454</v>
      </c>
      <c r="M1" s="508"/>
      <c r="N1" s="508"/>
      <c r="O1" s="391"/>
      <c r="P1" s="509"/>
      <c r="Q1" s="509"/>
      <c r="R1" s="602" t="s">
        <v>454</v>
      </c>
      <c r="S1" s="603"/>
      <c r="T1" s="604"/>
      <c r="U1" s="605" t="s">
        <v>454</v>
      </c>
      <c r="V1" s="606"/>
      <c r="W1" s="566"/>
      <c r="X1" s="567"/>
      <c r="Y1" s="567"/>
      <c r="Z1" s="567"/>
    </row>
    <row r="2" spans="1:26" x14ac:dyDescent="0.2">
      <c r="A2" s="567" t="s">
        <v>173</v>
      </c>
      <c r="B2" s="392" t="s">
        <v>173</v>
      </c>
      <c r="C2" s="766"/>
      <c r="D2" s="510"/>
      <c r="E2" s="767"/>
      <c r="F2" s="768" t="s">
        <v>2106</v>
      </c>
      <c r="G2" s="396"/>
      <c r="H2" s="609"/>
      <c r="I2" s="769"/>
      <c r="J2" s="393"/>
      <c r="K2" s="769"/>
      <c r="L2" s="769"/>
      <c r="M2" s="769"/>
      <c r="N2" s="770"/>
      <c r="O2" s="771"/>
      <c r="P2" s="511"/>
      <c r="Q2" s="511"/>
      <c r="R2" s="607"/>
      <c r="S2" s="608"/>
      <c r="T2" s="609"/>
      <c r="U2" s="567"/>
      <c r="V2" s="610"/>
      <c r="W2" s="566"/>
      <c r="X2" s="567"/>
      <c r="Y2" s="567"/>
      <c r="Z2" s="567"/>
    </row>
    <row r="3" spans="1:26" x14ac:dyDescent="0.2">
      <c r="A3" s="567"/>
      <c r="B3" s="512"/>
      <c r="C3" s="772"/>
      <c r="D3" s="394" t="s">
        <v>455</v>
      </c>
      <c r="E3" s="773"/>
      <c r="F3" s="774" t="s">
        <v>455</v>
      </c>
      <c r="G3" s="513"/>
      <c r="H3" s="775"/>
      <c r="I3" s="776"/>
      <c r="J3" s="393"/>
      <c r="K3" s="777"/>
      <c r="L3" s="394" t="s">
        <v>455</v>
      </c>
      <c r="M3" s="777"/>
      <c r="N3" s="777"/>
      <c r="O3" s="775"/>
      <c r="P3" s="514"/>
      <c r="Q3" s="514"/>
      <c r="R3" s="394" t="s">
        <v>455</v>
      </c>
      <c r="S3" s="608"/>
      <c r="T3" s="609"/>
      <c r="U3" s="567"/>
      <c r="V3" s="610"/>
      <c r="W3" s="566"/>
      <c r="X3" s="567"/>
      <c r="Y3" s="567"/>
      <c r="Z3" s="567"/>
    </row>
    <row r="4" spans="1:26" x14ac:dyDescent="0.2">
      <c r="A4" s="567" t="s">
        <v>174</v>
      </c>
      <c r="B4" s="515" t="s">
        <v>174</v>
      </c>
      <c r="C4" s="778"/>
      <c r="D4" s="395" t="s">
        <v>175</v>
      </c>
      <c r="E4" s="779" t="s">
        <v>0</v>
      </c>
      <c r="F4" s="780"/>
      <c r="G4" s="396"/>
      <c r="H4" s="775"/>
      <c r="I4" s="776"/>
      <c r="J4" s="393"/>
      <c r="K4" s="777"/>
      <c r="L4" s="777"/>
      <c r="M4" s="777"/>
      <c r="N4" s="777"/>
      <c r="O4" s="775"/>
      <c r="P4" s="514"/>
      <c r="Q4" s="514"/>
      <c r="R4" s="611"/>
      <c r="S4" s="608"/>
      <c r="T4" s="609"/>
      <c r="U4" s="567"/>
      <c r="V4" s="610"/>
      <c r="W4" s="566"/>
      <c r="X4" s="567"/>
      <c r="Y4" s="567"/>
      <c r="Z4" s="567"/>
    </row>
    <row r="5" spans="1:26" x14ac:dyDescent="0.2">
      <c r="A5" s="567" t="s">
        <v>174</v>
      </c>
      <c r="B5" s="515" t="s">
        <v>174</v>
      </c>
      <c r="C5" s="778"/>
      <c r="D5" s="395" t="s">
        <v>1</v>
      </c>
      <c r="E5" s="779" t="s">
        <v>0</v>
      </c>
      <c r="F5" s="780" t="s">
        <v>669</v>
      </c>
      <c r="G5" s="396"/>
      <c r="H5" s="775"/>
      <c r="I5" s="776"/>
      <c r="J5" s="393"/>
      <c r="K5" s="777"/>
      <c r="L5" s="777"/>
      <c r="M5" s="777"/>
      <c r="N5" s="777"/>
      <c r="O5" s="775"/>
      <c r="P5" s="514"/>
      <c r="Q5" s="514"/>
      <c r="R5" s="611"/>
      <c r="S5" s="608"/>
      <c r="T5" s="609"/>
      <c r="U5" s="567"/>
      <c r="V5" s="610"/>
      <c r="W5" s="566"/>
      <c r="X5" s="567"/>
      <c r="Y5" s="567"/>
      <c r="Z5" s="567"/>
    </row>
    <row r="6" spans="1:26" x14ac:dyDescent="0.2">
      <c r="A6" s="567" t="s">
        <v>174</v>
      </c>
      <c r="B6" s="515" t="s">
        <v>174</v>
      </c>
      <c r="C6" s="778"/>
      <c r="D6" s="395" t="s">
        <v>2</v>
      </c>
      <c r="E6" s="779" t="s">
        <v>0</v>
      </c>
      <c r="F6" s="780"/>
      <c r="G6" s="396"/>
      <c r="H6" s="775"/>
      <c r="I6" s="776"/>
      <c r="J6" s="393"/>
      <c r="K6" s="777"/>
      <c r="L6" s="777"/>
      <c r="M6" s="777"/>
      <c r="N6" s="777"/>
      <c r="O6" s="775"/>
      <c r="P6" s="514"/>
      <c r="Q6" s="514"/>
      <c r="R6" s="611"/>
      <c r="S6" s="608"/>
      <c r="T6" s="609"/>
      <c r="U6" s="567"/>
      <c r="V6" s="610"/>
      <c r="W6" s="566"/>
      <c r="X6" s="567"/>
      <c r="Y6" s="567"/>
      <c r="Z6" s="567"/>
    </row>
    <row r="7" spans="1:26" x14ac:dyDescent="0.2">
      <c r="A7" s="567" t="s">
        <v>174</v>
      </c>
      <c r="B7" s="515" t="s">
        <v>174</v>
      </c>
      <c r="C7" s="778"/>
      <c r="D7" s="395" t="s">
        <v>3</v>
      </c>
      <c r="E7" s="779" t="s">
        <v>0</v>
      </c>
      <c r="F7" s="780"/>
      <c r="G7" s="396"/>
      <c r="H7" s="775"/>
      <c r="I7" s="776"/>
      <c r="J7" s="393"/>
      <c r="K7" s="777"/>
      <c r="L7" s="777"/>
      <c r="M7" s="777"/>
      <c r="N7" s="777"/>
      <c r="O7" s="775"/>
      <c r="P7" s="514"/>
      <c r="Q7" s="514"/>
      <c r="R7" s="611"/>
      <c r="S7" s="608"/>
      <c r="T7" s="609"/>
      <c r="U7" s="567"/>
      <c r="V7" s="610"/>
      <c r="W7" s="566"/>
      <c r="X7" s="567"/>
      <c r="Y7" s="567"/>
      <c r="Z7" s="567"/>
    </row>
    <row r="8" spans="1:26" ht="12" thickBot="1" x14ac:dyDescent="0.25">
      <c r="A8" s="567"/>
      <c r="B8" s="516"/>
      <c r="C8" s="781"/>
      <c r="D8" s="395" t="s">
        <v>4</v>
      </c>
      <c r="E8" s="779" t="s">
        <v>0</v>
      </c>
      <c r="F8" s="780"/>
      <c r="G8" s="396"/>
      <c r="H8" s="775"/>
      <c r="I8" s="776"/>
      <c r="J8" s="393"/>
      <c r="K8" s="777"/>
      <c r="L8" s="777"/>
      <c r="M8" s="777"/>
      <c r="N8" s="777"/>
      <c r="O8" s="775"/>
      <c r="P8" s="514"/>
      <c r="Q8" s="514"/>
      <c r="R8" s="611"/>
      <c r="S8" s="608"/>
      <c r="T8" s="609"/>
      <c r="U8" s="567"/>
      <c r="V8" s="610"/>
      <c r="W8" s="566"/>
      <c r="X8" s="567"/>
      <c r="Y8" s="567"/>
      <c r="Z8" s="567"/>
    </row>
    <row r="9" spans="1:26" ht="12" thickBot="1" x14ac:dyDescent="0.25">
      <c r="A9" s="567"/>
      <c r="B9" s="515"/>
      <c r="C9" s="778"/>
      <c r="D9" s="395" t="s">
        <v>2057</v>
      </c>
      <c r="E9" s="779" t="s">
        <v>0</v>
      </c>
      <c r="F9" s="397">
        <f>'BDI Pavimentação'!B17</f>
        <v>0.15279999999999999</v>
      </c>
      <c r="G9" s="396"/>
      <c r="H9" s="775"/>
      <c r="I9" s="776"/>
      <c r="J9" s="393"/>
      <c r="K9" s="777"/>
      <c r="L9" s="777"/>
      <c r="M9" s="777"/>
      <c r="N9" s="777"/>
      <c r="O9" s="775"/>
      <c r="P9" s="514"/>
      <c r="Q9" s="514"/>
      <c r="R9" s="611"/>
      <c r="S9" s="608"/>
      <c r="T9" s="609"/>
      <c r="U9" s="567"/>
      <c r="V9" s="610"/>
      <c r="W9" s="566"/>
      <c r="X9" s="567"/>
      <c r="Y9" s="567"/>
      <c r="Z9" s="567"/>
    </row>
    <row r="10" spans="1:26" ht="12" thickBot="1" x14ac:dyDescent="0.25">
      <c r="A10" s="567"/>
      <c r="B10" s="515"/>
      <c r="C10" s="778"/>
      <c r="D10" s="395" t="s">
        <v>618</v>
      </c>
      <c r="E10" s="779" t="s">
        <v>0</v>
      </c>
      <c r="F10" s="398">
        <f>'BDI Pavimentação'!B15</f>
        <v>0.18809999999999999</v>
      </c>
      <c r="G10" s="396"/>
      <c r="H10" s="775"/>
      <c r="I10" s="776"/>
      <c r="J10" s="393"/>
      <c r="K10" s="777"/>
      <c r="L10" s="777"/>
      <c r="M10" s="777"/>
      <c r="N10" s="777"/>
      <c r="O10" s="775"/>
      <c r="P10" s="514"/>
      <c r="Q10" s="514"/>
      <c r="R10" s="611"/>
      <c r="S10" s="608"/>
      <c r="T10" s="609"/>
      <c r="U10" s="567"/>
      <c r="V10" s="610"/>
      <c r="W10" s="566"/>
      <c r="X10" s="567"/>
      <c r="Y10" s="567"/>
      <c r="Z10" s="567"/>
    </row>
    <row r="11" spans="1:26" ht="12" thickBot="1" x14ac:dyDescent="0.25">
      <c r="A11" s="567"/>
      <c r="B11" s="517"/>
      <c r="C11" s="518"/>
      <c r="D11" s="399" t="s">
        <v>162</v>
      </c>
      <c r="E11" s="400" t="s">
        <v>0</v>
      </c>
      <c r="F11" s="401"/>
      <c r="G11" s="402"/>
      <c r="H11" s="406"/>
      <c r="I11" s="403"/>
      <c r="J11" s="404"/>
      <c r="K11" s="405"/>
      <c r="L11" s="405"/>
      <c r="M11" s="405"/>
      <c r="N11" s="405"/>
      <c r="O11" s="406"/>
      <c r="P11" s="519"/>
      <c r="Q11" s="519"/>
      <c r="R11" s="612"/>
      <c r="S11" s="613"/>
      <c r="T11" s="614"/>
      <c r="U11" s="615"/>
      <c r="V11" s="616"/>
      <c r="W11" s="566"/>
      <c r="X11" s="567"/>
      <c r="Y11" s="567"/>
      <c r="Z11" s="567"/>
    </row>
    <row r="12" spans="1:26" s="601" customFormat="1" ht="25.35" customHeight="1" thickBot="1" x14ac:dyDescent="0.35">
      <c r="A12" s="600"/>
      <c r="B12" s="502" t="s">
        <v>180</v>
      </c>
      <c r="C12" s="595"/>
      <c r="D12" s="596"/>
      <c r="E12" s="596"/>
      <c r="F12" s="597"/>
      <c r="G12" s="598"/>
      <c r="H12" s="596"/>
      <c r="I12" s="596"/>
      <c r="J12" s="596"/>
      <c r="K12" s="596"/>
      <c r="L12" s="596"/>
      <c r="M12" s="596"/>
      <c r="N12" s="596"/>
      <c r="O12" s="596"/>
      <c r="P12" s="763"/>
      <c r="Q12" s="596"/>
      <c r="R12" s="596"/>
      <c r="S12" s="596"/>
      <c r="T12" s="596"/>
      <c r="U12" s="596"/>
      <c r="V12" s="763"/>
      <c r="W12" s="599"/>
      <c r="X12" s="600"/>
      <c r="Y12" s="600"/>
      <c r="Z12" s="600"/>
    </row>
    <row r="13" spans="1:26" ht="14.1" customHeight="1" x14ac:dyDescent="0.2">
      <c r="A13" s="567"/>
      <c r="B13" s="520" t="s">
        <v>182</v>
      </c>
      <c r="C13" s="521"/>
      <c r="D13" s="802" t="s">
        <v>2109</v>
      </c>
      <c r="E13" s="522"/>
      <c r="F13" s="795" t="s">
        <v>183</v>
      </c>
      <c r="G13" s="523" t="s">
        <v>2110</v>
      </c>
      <c r="H13" s="524"/>
      <c r="I13" s="525"/>
      <c r="J13" s="525"/>
      <c r="K13" s="525"/>
      <c r="L13" s="526"/>
      <c r="M13" s="526"/>
      <c r="N13" s="526"/>
      <c r="O13" s="526"/>
      <c r="P13" s="782"/>
      <c r="Q13" s="526"/>
      <c r="R13" s="526"/>
      <c r="S13" s="526"/>
      <c r="T13" s="526"/>
      <c r="U13" s="617" t="s">
        <v>183</v>
      </c>
      <c r="V13" s="618"/>
      <c r="W13" s="566"/>
      <c r="X13" s="567"/>
      <c r="Y13" s="567"/>
      <c r="Z13" s="567"/>
    </row>
    <row r="14" spans="1:26" ht="14.1" customHeight="1" x14ac:dyDescent="0.2">
      <c r="A14" s="567"/>
      <c r="B14" s="527" t="s">
        <v>679</v>
      </c>
      <c r="C14" s="528"/>
      <c r="D14" s="803" t="s">
        <v>2111</v>
      </c>
      <c r="E14" s="529"/>
      <c r="F14" s="796" t="s">
        <v>185</v>
      </c>
      <c r="G14" s="530" t="s">
        <v>547</v>
      </c>
      <c r="H14" s="531"/>
      <c r="I14" s="532"/>
      <c r="J14" s="532"/>
      <c r="K14" s="532"/>
      <c r="L14" s="533"/>
      <c r="M14" s="533"/>
      <c r="N14" s="533"/>
      <c r="O14" s="533"/>
      <c r="P14" s="783"/>
      <c r="Q14" s="533"/>
      <c r="R14" s="533"/>
      <c r="S14" s="533"/>
      <c r="T14" s="533"/>
      <c r="U14" s="619" t="s">
        <v>184</v>
      </c>
      <c r="V14" s="620"/>
      <c r="W14" s="566"/>
      <c r="X14" s="567"/>
      <c r="Y14" s="567"/>
      <c r="Z14" s="567"/>
    </row>
    <row r="15" spans="1:26" ht="14.1" customHeight="1" thickBot="1" x14ac:dyDescent="0.25">
      <c r="A15" s="567"/>
      <c r="B15" s="534" t="s">
        <v>765</v>
      </c>
      <c r="C15" s="535"/>
      <c r="D15" s="804" t="s">
        <v>2117</v>
      </c>
      <c r="E15" s="536"/>
      <c r="F15" s="537"/>
      <c r="G15" s="538"/>
      <c r="H15" s="539"/>
      <c r="I15" s="540"/>
      <c r="J15" s="540"/>
      <c r="K15" s="540"/>
      <c r="L15" s="541"/>
      <c r="M15" s="541"/>
      <c r="N15" s="541"/>
      <c r="O15" s="541"/>
      <c r="P15" s="621"/>
      <c r="Q15" s="541"/>
      <c r="R15" s="541"/>
      <c r="S15" s="541"/>
      <c r="T15" s="541"/>
      <c r="U15" s="541"/>
      <c r="V15" s="621"/>
      <c r="W15" s="566"/>
      <c r="X15" s="567"/>
      <c r="Y15" s="567"/>
      <c r="Z15" s="567"/>
    </row>
    <row r="16" spans="1:26" ht="12" thickBot="1" x14ac:dyDescent="0.25">
      <c r="A16" s="567"/>
      <c r="B16" s="542" t="s">
        <v>449</v>
      </c>
      <c r="C16" s="543" t="s">
        <v>678</v>
      </c>
      <c r="D16" s="544" t="s">
        <v>176</v>
      </c>
      <c r="E16" s="545"/>
      <c r="F16" s="546" t="s">
        <v>5</v>
      </c>
      <c r="G16" s="407" t="s">
        <v>6</v>
      </c>
      <c r="H16" s="547" t="s">
        <v>7</v>
      </c>
      <c r="I16" s="548"/>
      <c r="J16" s="549"/>
      <c r="K16" s="548"/>
      <c r="L16" s="550" t="s">
        <v>179</v>
      </c>
      <c r="M16" s="551" t="s">
        <v>8</v>
      </c>
      <c r="N16" s="552"/>
      <c r="O16" s="552"/>
      <c r="P16" s="784"/>
      <c r="Q16" s="552"/>
      <c r="R16" s="622" t="s">
        <v>2058</v>
      </c>
      <c r="S16" s="623"/>
      <c r="T16" s="623"/>
      <c r="U16" s="624"/>
      <c r="V16" s="624"/>
      <c r="W16" s="569" t="s">
        <v>450</v>
      </c>
      <c r="X16" s="569"/>
      <c r="Y16" s="570"/>
      <c r="Z16" s="570"/>
    </row>
    <row r="17" spans="1:26" ht="38.25" thickBot="1" x14ac:dyDescent="0.25">
      <c r="A17" s="625" t="s">
        <v>2059</v>
      </c>
      <c r="B17" s="553" t="s">
        <v>187</v>
      </c>
      <c r="C17" s="554"/>
      <c r="D17" s="408" t="s">
        <v>2060</v>
      </c>
      <c r="E17" s="555"/>
      <c r="F17" s="556" t="s">
        <v>177</v>
      </c>
      <c r="G17" s="557" t="s">
        <v>178</v>
      </c>
      <c r="H17" s="558" t="s">
        <v>9</v>
      </c>
      <c r="I17" s="559" t="s">
        <v>10</v>
      </c>
      <c r="J17" s="559" t="s">
        <v>11</v>
      </c>
      <c r="K17" s="560" t="s">
        <v>12</v>
      </c>
      <c r="L17" s="561"/>
      <c r="M17" s="562" t="s">
        <v>13</v>
      </c>
      <c r="N17" s="563" t="s">
        <v>14</v>
      </c>
      <c r="O17" s="564" t="s">
        <v>744</v>
      </c>
      <c r="P17" s="565" t="s">
        <v>15</v>
      </c>
      <c r="Q17" s="764" t="s">
        <v>181</v>
      </c>
      <c r="R17" s="562" t="s">
        <v>13</v>
      </c>
      <c r="S17" s="626" t="s">
        <v>14</v>
      </c>
      <c r="T17" s="564" t="s">
        <v>744</v>
      </c>
      <c r="U17" s="565" t="s">
        <v>15</v>
      </c>
      <c r="V17" s="627" t="s">
        <v>181</v>
      </c>
      <c r="W17" s="571" t="s">
        <v>451</v>
      </c>
      <c r="X17" s="571" t="s">
        <v>2061</v>
      </c>
      <c r="Y17" s="571" t="s">
        <v>2062</v>
      </c>
      <c r="Z17" s="571" t="s">
        <v>453</v>
      </c>
    </row>
    <row r="18" spans="1:26" ht="12" hidden="1" thickBot="1" x14ac:dyDescent="0.25">
      <c r="A18" s="567" t="s">
        <v>547</v>
      </c>
      <c r="B18" s="628" t="s">
        <v>547</v>
      </c>
      <c r="C18" s="629"/>
      <c r="D18" s="630" t="s">
        <v>463</v>
      </c>
      <c r="E18" s="631"/>
      <c r="F18" s="632"/>
      <c r="G18" s="633"/>
      <c r="H18" s="634"/>
      <c r="I18" s="409"/>
      <c r="J18" s="409"/>
      <c r="K18" s="409"/>
      <c r="L18" s="409" t="s">
        <v>614</v>
      </c>
      <c r="M18" s="634"/>
      <c r="N18" s="409"/>
      <c r="O18" s="409"/>
      <c r="P18" s="635"/>
      <c r="Q18" s="635">
        <f>SUM(P19:P67)</f>
        <v>0</v>
      </c>
      <c r="R18" s="634"/>
      <c r="S18" s="409"/>
      <c r="T18" s="409"/>
      <c r="U18" s="635"/>
      <c r="V18" s="636">
        <f>SUM(U19:U67)</f>
        <v>0</v>
      </c>
      <c r="W18" s="637" t="str">
        <f>IF(OR(Q18&gt;0,V18&gt;0),"X","")</f>
        <v/>
      </c>
      <c r="X18" s="586" t="str">
        <f t="shared" ref="X18:X89" si="0">IF(W18="X","x",IF(W18="xx","x",IF(W18="xy","x",IF(W18="y","x",IF(OR(P18&gt;0,U18&gt;0),"x","")))))</f>
        <v/>
      </c>
      <c r="Y18" s="586" t="str">
        <f t="shared" ref="Y18:Y83" si="1">IF(W18="X","x",IF(W18="y","x",IF(W18="xx","x",IF(U18&gt;0,"x",""))))</f>
        <v/>
      </c>
      <c r="Z18" s="586" t="str">
        <f t="shared" ref="Z18:Z83" si="2">IF(W18="X","x",IF(U18&gt;0,"x",""))</f>
        <v/>
      </c>
    </row>
    <row r="19" spans="1:26" ht="12" hidden="1" thickBot="1" x14ac:dyDescent="0.25">
      <c r="A19" s="567">
        <v>831000</v>
      </c>
      <c r="B19" s="638" t="s">
        <v>1723</v>
      </c>
      <c r="C19" s="639" t="s">
        <v>206</v>
      </c>
      <c r="D19" s="410" t="s">
        <v>280</v>
      </c>
      <c r="E19" s="411"/>
      <c r="F19" s="412"/>
      <c r="G19" s="413"/>
      <c r="H19" s="640">
        <v>0</v>
      </c>
      <c r="I19" s="414">
        <v>41.120000000000005</v>
      </c>
      <c r="J19" s="414">
        <f t="shared" ref="J19:J41" si="3">IF(ISBLANK(I19),"",SUM(H19:I19))</f>
        <v>41.120000000000005</v>
      </c>
      <c r="K19" s="415">
        <f t="shared" ref="K19:K39" si="4">IF(ISBLANK(I19),0,ROUND(J19*(1+$F$10)*(1+$F$11*E19),2))</f>
        <v>48.85</v>
      </c>
      <c r="L19" s="641" t="s">
        <v>19</v>
      </c>
      <c r="M19" s="576"/>
      <c r="N19" s="576">
        <f>IF(M19=0,0,K19)</f>
        <v>0</v>
      </c>
      <c r="O19" s="642">
        <f>IF(ISBLANK(M19),0,ROUND(K19*M19,2))</f>
        <v>0</v>
      </c>
      <c r="P19" s="578">
        <f>IF(ISBLANK(N19),0,ROUND(M19*N19,2))</f>
        <v>0</v>
      </c>
      <c r="Q19" s="765"/>
      <c r="R19" s="576">
        <f>M19</f>
        <v>0</v>
      </c>
      <c r="S19" s="576">
        <f>N19</f>
        <v>0</v>
      </c>
      <c r="T19" s="577">
        <f>IF(ISBLANK(R19),0,ROUND(K19*R19,2))</f>
        <v>0</v>
      </c>
      <c r="U19" s="578">
        <f>IF(ISBLANK(R19),0,ROUND(R19*S19,2))</f>
        <v>0</v>
      </c>
      <c r="V19" s="643"/>
      <c r="W19" s="566"/>
      <c r="X19" s="586" t="str">
        <f t="shared" si="0"/>
        <v/>
      </c>
      <c r="Y19" s="586" t="str">
        <f t="shared" si="1"/>
        <v/>
      </c>
      <c r="Z19" s="586" t="str">
        <f t="shared" si="2"/>
        <v/>
      </c>
    </row>
    <row r="20" spans="1:26" ht="12" hidden="1" thickBot="1" x14ac:dyDescent="0.25">
      <c r="A20" s="567">
        <v>830000</v>
      </c>
      <c r="B20" s="644" t="s">
        <v>1724</v>
      </c>
      <c r="C20" s="645" t="s">
        <v>206</v>
      </c>
      <c r="D20" s="416" t="s">
        <v>281</v>
      </c>
      <c r="E20" s="417"/>
      <c r="F20" s="418"/>
      <c r="G20" s="419"/>
      <c r="H20" s="646">
        <v>0</v>
      </c>
      <c r="I20" s="414">
        <v>34.14</v>
      </c>
      <c r="J20" s="420">
        <f t="shared" si="3"/>
        <v>34.14</v>
      </c>
      <c r="K20" s="421">
        <f t="shared" si="4"/>
        <v>40.56</v>
      </c>
      <c r="L20" s="647" t="s">
        <v>19</v>
      </c>
      <c r="M20" s="576"/>
      <c r="N20" s="576">
        <f t="shared" ref="N20:N83" si="5">IF(M20=0,0,K20)</f>
        <v>0</v>
      </c>
      <c r="O20" s="642">
        <f t="shared" ref="O20:O87" si="6">IF(ISBLANK(M20),0,ROUND(K20*M20,2))</f>
        <v>0</v>
      </c>
      <c r="P20" s="578">
        <f t="shared" ref="P20:P87" si="7">IF(ISBLANK(N20),0,ROUND(M20*N20,2))</f>
        <v>0</v>
      </c>
      <c r="Q20" s="765"/>
      <c r="R20" s="576">
        <f t="shared" ref="R20:S87" si="8">M20</f>
        <v>0</v>
      </c>
      <c r="S20" s="576">
        <f t="shared" si="8"/>
        <v>0</v>
      </c>
      <c r="T20" s="577">
        <f t="shared" ref="T20:T87" si="9">IF(ISBLANK(R20),0,ROUND(K20*R20,2))</f>
        <v>0</v>
      </c>
      <c r="U20" s="578">
        <f t="shared" ref="U20:U87" si="10">IF(ISBLANK(R20),0,ROUND(R20*S20,2))</f>
        <v>0</v>
      </c>
      <c r="V20" s="579"/>
      <c r="W20" s="566"/>
      <c r="X20" s="586" t="str">
        <f t="shared" si="0"/>
        <v/>
      </c>
      <c r="Y20" s="586" t="str">
        <f t="shared" si="1"/>
        <v/>
      </c>
      <c r="Z20" s="586" t="str">
        <f t="shared" si="2"/>
        <v/>
      </c>
    </row>
    <row r="21" spans="1:26" ht="12" hidden="1" thickBot="1" x14ac:dyDescent="0.25">
      <c r="A21" s="648">
        <v>606600</v>
      </c>
      <c r="B21" s="644" t="s">
        <v>1725</v>
      </c>
      <c r="C21" s="645" t="s">
        <v>206</v>
      </c>
      <c r="D21" s="422" t="s">
        <v>200</v>
      </c>
      <c r="E21" s="423"/>
      <c r="F21" s="424"/>
      <c r="G21" s="419"/>
      <c r="H21" s="646"/>
      <c r="I21" s="414">
        <v>300.33999999999997</v>
      </c>
      <c r="J21" s="420">
        <f t="shared" si="3"/>
        <v>300.33999999999997</v>
      </c>
      <c r="K21" s="421">
        <f t="shared" si="4"/>
        <v>356.83</v>
      </c>
      <c r="L21" s="647" t="s">
        <v>16</v>
      </c>
      <c r="M21" s="576"/>
      <c r="N21" s="576">
        <f t="shared" si="5"/>
        <v>0</v>
      </c>
      <c r="O21" s="642">
        <f t="shared" si="6"/>
        <v>0</v>
      </c>
      <c r="P21" s="578">
        <f t="shared" si="7"/>
        <v>0</v>
      </c>
      <c r="Q21" s="765"/>
      <c r="R21" s="576">
        <f t="shared" si="8"/>
        <v>0</v>
      </c>
      <c r="S21" s="576">
        <f t="shared" si="8"/>
        <v>0</v>
      </c>
      <c r="T21" s="577">
        <f t="shared" si="9"/>
        <v>0</v>
      </c>
      <c r="U21" s="578">
        <f t="shared" si="10"/>
        <v>0</v>
      </c>
      <c r="V21" s="579"/>
      <c r="W21" s="566"/>
      <c r="X21" s="586" t="str">
        <f t="shared" si="0"/>
        <v/>
      </c>
      <c r="Y21" s="586" t="str">
        <f t="shared" si="1"/>
        <v/>
      </c>
      <c r="Z21" s="586" t="str">
        <f t="shared" si="2"/>
        <v/>
      </c>
    </row>
    <row r="22" spans="1:26" ht="12" hidden="1" thickBot="1" x14ac:dyDescent="0.25">
      <c r="A22" s="648">
        <v>606700</v>
      </c>
      <c r="B22" s="644" t="s">
        <v>1726</v>
      </c>
      <c r="C22" s="645" t="s">
        <v>206</v>
      </c>
      <c r="D22" s="422" t="s">
        <v>199</v>
      </c>
      <c r="E22" s="423"/>
      <c r="F22" s="424"/>
      <c r="G22" s="419"/>
      <c r="H22" s="646"/>
      <c r="I22" s="414">
        <v>143.94</v>
      </c>
      <c r="J22" s="420">
        <f t="shared" si="3"/>
        <v>143.94</v>
      </c>
      <c r="K22" s="421">
        <f t="shared" si="4"/>
        <v>171.02</v>
      </c>
      <c r="L22" s="647" t="s">
        <v>16</v>
      </c>
      <c r="M22" s="576"/>
      <c r="N22" s="576">
        <f t="shared" si="5"/>
        <v>0</v>
      </c>
      <c r="O22" s="577">
        <f t="shared" si="6"/>
        <v>0</v>
      </c>
      <c r="P22" s="578">
        <f t="shared" si="7"/>
        <v>0</v>
      </c>
      <c r="Q22" s="765"/>
      <c r="R22" s="576">
        <f t="shared" si="8"/>
        <v>0</v>
      </c>
      <c r="S22" s="576">
        <f t="shared" si="8"/>
        <v>0</v>
      </c>
      <c r="T22" s="577">
        <f t="shared" si="9"/>
        <v>0</v>
      </c>
      <c r="U22" s="578">
        <f t="shared" si="10"/>
        <v>0</v>
      </c>
      <c r="V22" s="579"/>
      <c r="W22" s="566"/>
      <c r="X22" s="586" t="str">
        <f t="shared" si="0"/>
        <v/>
      </c>
      <c r="Y22" s="586" t="str">
        <f t="shared" si="1"/>
        <v/>
      </c>
      <c r="Z22" s="586" t="str">
        <f t="shared" si="2"/>
        <v/>
      </c>
    </row>
    <row r="23" spans="1:26" ht="12" hidden="1" thickBot="1" x14ac:dyDescent="0.25">
      <c r="A23" s="567">
        <v>512000</v>
      </c>
      <c r="B23" s="644">
        <v>512000</v>
      </c>
      <c r="C23" s="645" t="s">
        <v>206</v>
      </c>
      <c r="D23" s="422" t="s">
        <v>201</v>
      </c>
      <c r="E23" s="423"/>
      <c r="F23" s="424">
        <v>1</v>
      </c>
      <c r="G23" s="425">
        <v>1.86</v>
      </c>
      <c r="H23" s="649">
        <f>IF(F23&lt;=30,(1.07*F23+2.68)*G23,((1.07*30+2.68)+1.07*(F23-30))*G23)</f>
        <v>6.9750000000000005</v>
      </c>
      <c r="I23" s="414">
        <v>59.38</v>
      </c>
      <c r="J23" s="420">
        <f t="shared" si="3"/>
        <v>66.355000000000004</v>
      </c>
      <c r="K23" s="421">
        <f t="shared" si="4"/>
        <v>78.84</v>
      </c>
      <c r="L23" s="647" t="s">
        <v>16</v>
      </c>
      <c r="M23" s="576"/>
      <c r="N23" s="576">
        <f t="shared" si="5"/>
        <v>0</v>
      </c>
      <c r="O23" s="577">
        <f t="shared" si="6"/>
        <v>0</v>
      </c>
      <c r="P23" s="578">
        <f t="shared" si="7"/>
        <v>0</v>
      </c>
      <c r="Q23" s="765"/>
      <c r="R23" s="576">
        <f t="shared" si="8"/>
        <v>0</v>
      </c>
      <c r="S23" s="576">
        <f t="shared" si="8"/>
        <v>0</v>
      </c>
      <c r="T23" s="577">
        <f t="shared" si="9"/>
        <v>0</v>
      </c>
      <c r="U23" s="578">
        <f t="shared" si="10"/>
        <v>0</v>
      </c>
      <c r="V23" s="579"/>
      <c r="W23" s="566"/>
      <c r="X23" s="586" t="str">
        <f t="shared" si="0"/>
        <v/>
      </c>
      <c r="Y23" s="586" t="str">
        <f t="shared" si="1"/>
        <v/>
      </c>
      <c r="Z23" s="586" t="str">
        <f t="shared" si="2"/>
        <v/>
      </c>
    </row>
    <row r="24" spans="1:26" ht="12" hidden="1" thickBot="1" x14ac:dyDescent="0.25">
      <c r="A24" s="567">
        <v>512050</v>
      </c>
      <c r="B24" s="644">
        <v>512050</v>
      </c>
      <c r="C24" s="645" t="s">
        <v>206</v>
      </c>
      <c r="D24" s="422" t="s">
        <v>592</v>
      </c>
      <c r="E24" s="423"/>
      <c r="F24" s="424">
        <v>1</v>
      </c>
      <c r="G24" s="425">
        <v>1.86</v>
      </c>
      <c r="H24" s="649">
        <f t="shared" ref="H24:H28" si="11">IF(F24&lt;=30,(1.07*F24+2.68)*G24,((1.07*30+2.68)+1.07*(F24-30))*G24)</f>
        <v>6.9750000000000005</v>
      </c>
      <c r="I24" s="414">
        <v>41.37</v>
      </c>
      <c r="J24" s="420">
        <f t="shared" si="3"/>
        <v>48.344999999999999</v>
      </c>
      <c r="K24" s="421">
        <f t="shared" si="4"/>
        <v>57.44</v>
      </c>
      <c r="L24" s="647" t="s">
        <v>16</v>
      </c>
      <c r="M24" s="576"/>
      <c r="N24" s="576">
        <f t="shared" si="5"/>
        <v>0</v>
      </c>
      <c r="O24" s="577">
        <f t="shared" si="6"/>
        <v>0</v>
      </c>
      <c r="P24" s="578">
        <f t="shared" si="7"/>
        <v>0</v>
      </c>
      <c r="Q24" s="765"/>
      <c r="R24" s="576">
        <f t="shared" si="8"/>
        <v>0</v>
      </c>
      <c r="S24" s="576">
        <f t="shared" si="8"/>
        <v>0</v>
      </c>
      <c r="T24" s="577">
        <f t="shared" si="9"/>
        <v>0</v>
      </c>
      <c r="U24" s="578">
        <f t="shared" si="10"/>
        <v>0</v>
      </c>
      <c r="V24" s="579"/>
      <c r="W24" s="566"/>
      <c r="X24" s="586" t="str">
        <f t="shared" si="0"/>
        <v/>
      </c>
      <c r="Y24" s="586" t="str">
        <f t="shared" si="1"/>
        <v/>
      </c>
      <c r="Z24" s="586" t="str">
        <f t="shared" si="2"/>
        <v/>
      </c>
    </row>
    <row r="25" spans="1:26" ht="12" hidden="1" thickBot="1" x14ac:dyDescent="0.25">
      <c r="A25" s="567">
        <v>810250</v>
      </c>
      <c r="B25" s="644" t="s">
        <v>486</v>
      </c>
      <c r="C25" s="645" t="s">
        <v>206</v>
      </c>
      <c r="D25" s="422" t="s">
        <v>488</v>
      </c>
      <c r="E25" s="423"/>
      <c r="F25" s="424">
        <v>10</v>
      </c>
      <c r="G25" s="425">
        <f>ROUND(0.017*2.34,4)</f>
        <v>3.9800000000000002E-2</v>
      </c>
      <c r="H25" s="649">
        <f t="shared" si="11"/>
        <v>0.53252400000000011</v>
      </c>
      <c r="I25" s="420">
        <v>19.262602000000001</v>
      </c>
      <c r="J25" s="420">
        <f t="shared" si="3"/>
        <v>19.795126</v>
      </c>
      <c r="K25" s="421">
        <f t="shared" si="4"/>
        <v>23.52</v>
      </c>
      <c r="L25" s="647" t="s">
        <v>19</v>
      </c>
      <c r="M25" s="576"/>
      <c r="N25" s="576">
        <f t="shared" si="5"/>
        <v>0</v>
      </c>
      <c r="O25" s="577">
        <f t="shared" si="6"/>
        <v>0</v>
      </c>
      <c r="P25" s="578">
        <f t="shared" si="7"/>
        <v>0</v>
      </c>
      <c r="Q25" s="765"/>
      <c r="R25" s="576">
        <f t="shared" si="8"/>
        <v>0</v>
      </c>
      <c r="S25" s="576">
        <f t="shared" si="8"/>
        <v>0</v>
      </c>
      <c r="T25" s="577">
        <f t="shared" si="9"/>
        <v>0</v>
      </c>
      <c r="U25" s="578">
        <f t="shared" si="10"/>
        <v>0</v>
      </c>
      <c r="V25" s="579"/>
      <c r="W25" s="566"/>
      <c r="X25" s="586" t="str">
        <f t="shared" si="0"/>
        <v/>
      </c>
      <c r="Y25" s="586" t="str">
        <f t="shared" si="1"/>
        <v/>
      </c>
      <c r="Z25" s="586" t="str">
        <f t="shared" si="2"/>
        <v/>
      </c>
    </row>
    <row r="26" spans="1:26" ht="12" hidden="1" thickBot="1" x14ac:dyDescent="0.25">
      <c r="A26" s="567">
        <v>810250</v>
      </c>
      <c r="B26" s="644" t="s">
        <v>487</v>
      </c>
      <c r="C26" s="645" t="s">
        <v>206</v>
      </c>
      <c r="D26" s="422" t="s">
        <v>616</v>
      </c>
      <c r="E26" s="423"/>
      <c r="F26" s="424">
        <v>10</v>
      </c>
      <c r="G26" s="425">
        <f>ROUND(0.01125*2.34,4)</f>
        <v>2.63E-2</v>
      </c>
      <c r="H26" s="649">
        <f t="shared" si="11"/>
        <v>0.35189400000000004</v>
      </c>
      <c r="I26" s="420">
        <v>12.672704</v>
      </c>
      <c r="J26" s="420">
        <f t="shared" si="3"/>
        <v>13.024597999999999</v>
      </c>
      <c r="K26" s="421">
        <f t="shared" si="4"/>
        <v>15.47</v>
      </c>
      <c r="L26" s="647" t="s">
        <v>19</v>
      </c>
      <c r="M26" s="576"/>
      <c r="N26" s="576">
        <f t="shared" si="5"/>
        <v>0</v>
      </c>
      <c r="O26" s="577">
        <f t="shared" si="6"/>
        <v>0</v>
      </c>
      <c r="P26" s="578">
        <f t="shared" si="7"/>
        <v>0</v>
      </c>
      <c r="Q26" s="765"/>
      <c r="R26" s="576">
        <f t="shared" si="8"/>
        <v>0</v>
      </c>
      <c r="S26" s="576">
        <f t="shared" si="8"/>
        <v>0</v>
      </c>
      <c r="T26" s="577">
        <f t="shared" si="9"/>
        <v>0</v>
      </c>
      <c r="U26" s="578">
        <f t="shared" si="10"/>
        <v>0</v>
      </c>
      <c r="V26" s="579"/>
      <c r="W26" s="566"/>
      <c r="X26" s="586" t="str">
        <f t="shared" si="0"/>
        <v/>
      </c>
      <c r="Y26" s="586" t="str">
        <f t="shared" si="1"/>
        <v/>
      </c>
      <c r="Z26" s="586" t="str">
        <f t="shared" si="2"/>
        <v/>
      </c>
    </row>
    <row r="27" spans="1:26" ht="12" hidden="1" thickBot="1" x14ac:dyDescent="0.25">
      <c r="A27" s="567">
        <v>810250</v>
      </c>
      <c r="B27" s="644" t="s">
        <v>489</v>
      </c>
      <c r="C27" s="645" t="s">
        <v>206</v>
      </c>
      <c r="D27" s="422" t="s">
        <v>490</v>
      </c>
      <c r="E27" s="423"/>
      <c r="F27" s="424">
        <v>10</v>
      </c>
      <c r="G27" s="425">
        <f>ROUND(0.014*2.34,4)</f>
        <v>3.2800000000000003E-2</v>
      </c>
      <c r="H27" s="649">
        <f t="shared" si="11"/>
        <v>0.43886400000000009</v>
      </c>
      <c r="I27" s="420">
        <v>15.770599499999998</v>
      </c>
      <c r="J27" s="420">
        <f t="shared" si="3"/>
        <v>16.209463499999998</v>
      </c>
      <c r="K27" s="421">
        <f t="shared" si="4"/>
        <v>19.260000000000002</v>
      </c>
      <c r="L27" s="647" t="s">
        <v>19</v>
      </c>
      <c r="M27" s="576"/>
      <c r="N27" s="576">
        <f t="shared" si="5"/>
        <v>0</v>
      </c>
      <c r="O27" s="577">
        <f t="shared" si="6"/>
        <v>0</v>
      </c>
      <c r="P27" s="578">
        <f t="shared" si="7"/>
        <v>0</v>
      </c>
      <c r="Q27" s="765"/>
      <c r="R27" s="576">
        <f t="shared" si="8"/>
        <v>0</v>
      </c>
      <c r="S27" s="576">
        <f t="shared" si="8"/>
        <v>0</v>
      </c>
      <c r="T27" s="577">
        <f t="shared" si="9"/>
        <v>0</v>
      </c>
      <c r="U27" s="578">
        <f t="shared" si="10"/>
        <v>0</v>
      </c>
      <c r="V27" s="579"/>
      <c r="W27" s="566"/>
      <c r="X27" s="586" t="str">
        <f t="shared" si="0"/>
        <v/>
      </c>
      <c r="Y27" s="586" t="str">
        <f t="shared" si="1"/>
        <v/>
      </c>
      <c r="Z27" s="586" t="str">
        <f t="shared" si="2"/>
        <v/>
      </c>
    </row>
    <row r="28" spans="1:26" ht="12" hidden="1" thickBot="1" x14ac:dyDescent="0.25">
      <c r="A28" s="567" t="s">
        <v>2063</v>
      </c>
      <c r="B28" s="644" t="s">
        <v>1520</v>
      </c>
      <c r="C28" s="645" t="s">
        <v>484</v>
      </c>
      <c r="D28" s="422" t="s">
        <v>491</v>
      </c>
      <c r="E28" s="423"/>
      <c r="F28" s="424">
        <v>10</v>
      </c>
      <c r="G28" s="425">
        <f>ROUND(0.012*1.8,4)</f>
        <v>2.1600000000000001E-2</v>
      </c>
      <c r="H28" s="649">
        <f t="shared" si="11"/>
        <v>0.28900800000000004</v>
      </c>
      <c r="I28" s="420">
        <v>41.73</v>
      </c>
      <c r="J28" s="420">
        <f t="shared" si="3"/>
        <v>42.019007999999999</v>
      </c>
      <c r="K28" s="421">
        <f t="shared" si="4"/>
        <v>49.92</v>
      </c>
      <c r="L28" s="647" t="s">
        <v>19</v>
      </c>
      <c r="M28" s="576"/>
      <c r="N28" s="576">
        <f t="shared" si="5"/>
        <v>0</v>
      </c>
      <c r="O28" s="577">
        <f t="shared" si="6"/>
        <v>0</v>
      </c>
      <c r="P28" s="578">
        <f t="shared" si="7"/>
        <v>0</v>
      </c>
      <c r="Q28" s="765"/>
      <c r="R28" s="576">
        <f t="shared" si="8"/>
        <v>0</v>
      </c>
      <c r="S28" s="576">
        <f t="shared" si="8"/>
        <v>0</v>
      </c>
      <c r="T28" s="577">
        <f t="shared" si="9"/>
        <v>0</v>
      </c>
      <c r="U28" s="578">
        <f t="shared" si="10"/>
        <v>0</v>
      </c>
      <c r="V28" s="579"/>
      <c r="W28" s="566"/>
      <c r="X28" s="586" t="str">
        <f t="shared" si="0"/>
        <v/>
      </c>
      <c r="Y28" s="586" t="str">
        <f t="shared" si="1"/>
        <v/>
      </c>
      <c r="Z28" s="586" t="str">
        <f t="shared" si="2"/>
        <v/>
      </c>
    </row>
    <row r="29" spans="1:26" ht="12" hidden="1" thickBot="1" x14ac:dyDescent="0.25">
      <c r="A29" s="567">
        <v>600310</v>
      </c>
      <c r="B29" s="644" t="s">
        <v>1521</v>
      </c>
      <c r="C29" s="645" t="s">
        <v>206</v>
      </c>
      <c r="D29" s="416" t="s">
        <v>474</v>
      </c>
      <c r="E29" s="417"/>
      <c r="F29" s="418"/>
      <c r="G29" s="419"/>
      <c r="H29" s="646"/>
      <c r="I29" s="420">
        <v>138.22</v>
      </c>
      <c r="J29" s="420">
        <f t="shared" si="3"/>
        <v>138.22</v>
      </c>
      <c r="K29" s="421">
        <f t="shared" si="4"/>
        <v>164.22</v>
      </c>
      <c r="L29" s="647" t="s">
        <v>21</v>
      </c>
      <c r="M29" s="576"/>
      <c r="N29" s="576">
        <f t="shared" si="5"/>
        <v>0</v>
      </c>
      <c r="O29" s="577">
        <f t="shared" si="6"/>
        <v>0</v>
      </c>
      <c r="P29" s="578">
        <f t="shared" si="7"/>
        <v>0</v>
      </c>
      <c r="Q29" s="765"/>
      <c r="R29" s="576">
        <f t="shared" si="8"/>
        <v>0</v>
      </c>
      <c r="S29" s="576">
        <f t="shared" si="8"/>
        <v>0</v>
      </c>
      <c r="T29" s="577">
        <f t="shared" si="9"/>
        <v>0</v>
      </c>
      <c r="U29" s="578">
        <f t="shared" si="10"/>
        <v>0</v>
      </c>
      <c r="V29" s="579"/>
      <c r="W29" s="566"/>
      <c r="X29" s="586" t="str">
        <f t="shared" si="0"/>
        <v/>
      </c>
      <c r="Y29" s="586" t="str">
        <f t="shared" si="1"/>
        <v/>
      </c>
      <c r="Z29" s="586" t="str">
        <f t="shared" si="2"/>
        <v/>
      </c>
    </row>
    <row r="30" spans="1:26" ht="12" hidden="1" thickBot="1" x14ac:dyDescent="0.25">
      <c r="A30" s="567">
        <v>800900</v>
      </c>
      <c r="B30" s="644" t="s">
        <v>1522</v>
      </c>
      <c r="C30" s="645" t="s">
        <v>206</v>
      </c>
      <c r="D30" s="416" t="s">
        <v>475</v>
      </c>
      <c r="E30" s="417"/>
      <c r="F30" s="418"/>
      <c r="G30" s="419"/>
      <c r="H30" s="646"/>
      <c r="I30" s="420">
        <v>13.34</v>
      </c>
      <c r="J30" s="420">
        <f t="shared" si="3"/>
        <v>13.34</v>
      </c>
      <c r="K30" s="421">
        <f t="shared" si="4"/>
        <v>15.85</v>
      </c>
      <c r="L30" s="647" t="s">
        <v>18</v>
      </c>
      <c r="M30" s="576"/>
      <c r="N30" s="576">
        <f t="shared" si="5"/>
        <v>0</v>
      </c>
      <c r="O30" s="577">
        <f t="shared" si="6"/>
        <v>0</v>
      </c>
      <c r="P30" s="578">
        <f t="shared" si="7"/>
        <v>0</v>
      </c>
      <c r="Q30" s="765"/>
      <c r="R30" s="576">
        <f t="shared" si="8"/>
        <v>0</v>
      </c>
      <c r="S30" s="576">
        <f t="shared" si="8"/>
        <v>0</v>
      </c>
      <c r="T30" s="577">
        <f t="shared" si="9"/>
        <v>0</v>
      </c>
      <c r="U30" s="578">
        <f t="shared" si="10"/>
        <v>0</v>
      </c>
      <c r="V30" s="579"/>
      <c r="W30" s="566"/>
      <c r="X30" s="586" t="str">
        <f t="shared" si="0"/>
        <v/>
      </c>
      <c r="Y30" s="586" t="str">
        <f t="shared" si="1"/>
        <v/>
      </c>
      <c r="Z30" s="586" t="str">
        <f t="shared" si="2"/>
        <v/>
      </c>
    </row>
    <row r="31" spans="1:26" ht="12" hidden="1" thickBot="1" x14ac:dyDescent="0.25">
      <c r="A31" s="567">
        <v>801100</v>
      </c>
      <c r="B31" s="644" t="s">
        <v>1523</v>
      </c>
      <c r="C31" s="645" t="s">
        <v>206</v>
      </c>
      <c r="D31" s="416" t="s">
        <v>293</v>
      </c>
      <c r="E31" s="417"/>
      <c r="F31" s="418"/>
      <c r="G31" s="419"/>
      <c r="H31" s="646"/>
      <c r="I31" s="420">
        <v>19.09</v>
      </c>
      <c r="J31" s="420">
        <f t="shared" si="3"/>
        <v>19.09</v>
      </c>
      <c r="K31" s="421">
        <f t="shared" si="4"/>
        <v>22.68</v>
      </c>
      <c r="L31" s="647" t="s">
        <v>18</v>
      </c>
      <c r="M31" s="576"/>
      <c r="N31" s="576">
        <f t="shared" si="5"/>
        <v>0</v>
      </c>
      <c r="O31" s="577">
        <f t="shared" si="6"/>
        <v>0</v>
      </c>
      <c r="P31" s="578">
        <f t="shared" si="7"/>
        <v>0</v>
      </c>
      <c r="Q31" s="765"/>
      <c r="R31" s="650">
        <f t="shared" si="8"/>
        <v>0</v>
      </c>
      <c r="S31" s="587">
        <f t="shared" si="8"/>
        <v>0</v>
      </c>
      <c r="T31" s="577">
        <f t="shared" si="9"/>
        <v>0</v>
      </c>
      <c r="U31" s="578">
        <f t="shared" si="10"/>
        <v>0</v>
      </c>
      <c r="V31" s="579"/>
      <c r="W31" s="566"/>
      <c r="X31" s="586" t="str">
        <f t="shared" si="0"/>
        <v/>
      </c>
      <c r="Y31" s="586" t="str">
        <f t="shared" si="1"/>
        <v/>
      </c>
      <c r="Z31" s="586" t="str">
        <f t="shared" si="2"/>
        <v/>
      </c>
    </row>
    <row r="32" spans="1:26" ht="12" hidden="1" thickBot="1" x14ac:dyDescent="0.25">
      <c r="A32" s="567">
        <v>600510</v>
      </c>
      <c r="B32" s="644" t="s">
        <v>1524</v>
      </c>
      <c r="C32" s="645" t="s">
        <v>206</v>
      </c>
      <c r="D32" s="416" t="s">
        <v>476</v>
      </c>
      <c r="E32" s="417"/>
      <c r="F32" s="418"/>
      <c r="G32" s="419"/>
      <c r="H32" s="646"/>
      <c r="I32" s="420">
        <v>2.39</v>
      </c>
      <c r="J32" s="420">
        <f t="shared" si="3"/>
        <v>2.39</v>
      </c>
      <c r="K32" s="421">
        <f t="shared" si="4"/>
        <v>2.84</v>
      </c>
      <c r="L32" s="647" t="s">
        <v>19</v>
      </c>
      <c r="M32" s="576"/>
      <c r="N32" s="576">
        <f t="shared" si="5"/>
        <v>0</v>
      </c>
      <c r="O32" s="577">
        <f t="shared" si="6"/>
        <v>0</v>
      </c>
      <c r="P32" s="578">
        <f t="shared" si="7"/>
        <v>0</v>
      </c>
      <c r="Q32" s="765"/>
      <c r="R32" s="650">
        <f t="shared" si="8"/>
        <v>0</v>
      </c>
      <c r="S32" s="587">
        <f t="shared" si="8"/>
        <v>0</v>
      </c>
      <c r="T32" s="577">
        <f>IF(ISBLANK(R32),0,ROUND(K32*R32,2))</f>
        <v>0</v>
      </c>
      <c r="U32" s="578">
        <f>IF(ISBLANK(R32),0,ROUND(R32*S32,2))</f>
        <v>0</v>
      </c>
      <c r="V32" s="579"/>
      <c r="W32" s="566"/>
      <c r="X32" s="586" t="str">
        <f t="shared" si="0"/>
        <v/>
      </c>
      <c r="Y32" s="586" t="str">
        <f t="shared" si="1"/>
        <v/>
      </c>
      <c r="Z32" s="586" t="str">
        <f t="shared" si="2"/>
        <v/>
      </c>
    </row>
    <row r="33" spans="1:26" ht="23.25" hidden="1" thickBot="1" x14ac:dyDescent="0.25">
      <c r="A33" s="567" t="s">
        <v>800</v>
      </c>
      <c r="B33" s="644" t="s">
        <v>800</v>
      </c>
      <c r="C33" s="645" t="s">
        <v>1525</v>
      </c>
      <c r="D33" s="422" t="s">
        <v>801</v>
      </c>
      <c r="E33" s="423"/>
      <c r="F33" s="424"/>
      <c r="G33" s="425"/>
      <c r="H33" s="651"/>
      <c r="I33" s="420">
        <v>3199.34</v>
      </c>
      <c r="J33" s="420">
        <f t="shared" si="3"/>
        <v>3199.34</v>
      </c>
      <c r="K33" s="421">
        <f>IF(ISBLANK(I33),0,ROUND(J33*(1+$F$10)*(1+$F$11*E33),2))</f>
        <v>3801.14</v>
      </c>
      <c r="L33" s="647" t="s">
        <v>21</v>
      </c>
      <c r="M33" s="576"/>
      <c r="N33" s="576">
        <f t="shared" si="5"/>
        <v>0</v>
      </c>
      <c r="O33" s="577">
        <f t="shared" si="6"/>
        <v>0</v>
      </c>
      <c r="P33" s="578">
        <f t="shared" si="7"/>
        <v>0</v>
      </c>
      <c r="Q33" s="765"/>
      <c r="R33" s="650">
        <f t="shared" si="8"/>
        <v>0</v>
      </c>
      <c r="S33" s="587">
        <f t="shared" si="8"/>
        <v>0</v>
      </c>
      <c r="T33" s="577">
        <f t="shared" si="9"/>
        <v>0</v>
      </c>
      <c r="U33" s="578">
        <f t="shared" si="10"/>
        <v>0</v>
      </c>
      <c r="V33" s="579"/>
      <c r="W33" s="637"/>
      <c r="X33" s="586" t="str">
        <f>IF(W33="X","x",IF(W33="xx","x",IF(W33="xy","x",IF(W33="y","x",IF(OR(P33&gt;0,U33&gt;0),"x","")))))</f>
        <v/>
      </c>
      <c r="Y33" s="586" t="str">
        <f>IF(W33="X","x",IF(W33="y","x",IF(W33="xx","x",IF(U33&gt;0,"x",""))))</f>
        <v/>
      </c>
      <c r="Z33" s="586" t="str">
        <f>IF(W33="X","x",IF(U33&gt;0,"x",""))</f>
        <v/>
      </c>
    </row>
    <row r="34" spans="1:26" ht="23.25" hidden="1" thickBot="1" x14ac:dyDescent="0.25">
      <c r="A34" s="567" t="s">
        <v>2064</v>
      </c>
      <c r="B34" s="644" t="s">
        <v>1592</v>
      </c>
      <c r="C34" s="645" t="s">
        <v>1525</v>
      </c>
      <c r="D34" s="422" t="s">
        <v>803</v>
      </c>
      <c r="E34" s="423"/>
      <c r="F34" s="424"/>
      <c r="G34" s="425"/>
      <c r="H34" s="651"/>
      <c r="I34" s="420">
        <v>1752.27</v>
      </c>
      <c r="J34" s="420">
        <f t="shared" si="3"/>
        <v>1752.27</v>
      </c>
      <c r="K34" s="421">
        <f>IF(ISBLANK(I34),0,ROUND(J34*(1+$F$10)*(1+$F$11*E34),2))</f>
        <v>2081.87</v>
      </c>
      <c r="L34" s="647" t="s">
        <v>21</v>
      </c>
      <c r="M34" s="576"/>
      <c r="N34" s="576">
        <f t="shared" si="5"/>
        <v>0</v>
      </c>
      <c r="O34" s="577">
        <f t="shared" si="6"/>
        <v>0</v>
      </c>
      <c r="P34" s="578">
        <f t="shared" si="7"/>
        <v>0</v>
      </c>
      <c r="Q34" s="765"/>
      <c r="R34" s="650">
        <f t="shared" si="8"/>
        <v>0</v>
      </c>
      <c r="S34" s="587">
        <f t="shared" si="8"/>
        <v>0</v>
      </c>
      <c r="T34" s="577">
        <f t="shared" si="9"/>
        <v>0</v>
      </c>
      <c r="U34" s="578">
        <f t="shared" si="10"/>
        <v>0</v>
      </c>
      <c r="V34" s="579"/>
      <c r="W34" s="637"/>
      <c r="X34" s="586" t="str">
        <f>IF(W34="X","x",IF(W34="xx","x",IF(W34="xy","x",IF(W34="y","x",IF(OR(P34&gt;0,U34&gt;0),"x","")))))</f>
        <v/>
      </c>
      <c r="Y34" s="586" t="str">
        <f>IF(W34="X","x",IF(W34="y","x",IF(W34="xx","x",IF(U34&gt;0,"x",""))))</f>
        <v/>
      </c>
      <c r="Z34" s="586" t="str">
        <f>IF(W34="X","x",IF(U34&gt;0,"x",""))</f>
        <v/>
      </c>
    </row>
    <row r="35" spans="1:26" ht="12" hidden="1" thickBot="1" x14ac:dyDescent="0.25">
      <c r="A35" s="567" t="s">
        <v>802</v>
      </c>
      <c r="B35" s="644" t="s">
        <v>802</v>
      </c>
      <c r="C35" s="645" t="s">
        <v>1525</v>
      </c>
      <c r="D35" s="422" t="s">
        <v>1526</v>
      </c>
      <c r="E35" s="423"/>
      <c r="F35" s="424"/>
      <c r="G35" s="425"/>
      <c r="H35" s="651"/>
      <c r="I35" s="420">
        <v>112.45</v>
      </c>
      <c r="J35" s="420">
        <f t="shared" si="3"/>
        <v>112.45</v>
      </c>
      <c r="K35" s="421">
        <f>IF(ISBLANK(I35),0,ROUND(J35*(1+$F$10)*(1+$F$11*E35),2))</f>
        <v>133.6</v>
      </c>
      <c r="L35" s="647" t="s">
        <v>21</v>
      </c>
      <c r="M35" s="576"/>
      <c r="N35" s="576">
        <f t="shared" si="5"/>
        <v>0</v>
      </c>
      <c r="O35" s="577">
        <f t="shared" si="6"/>
        <v>0</v>
      </c>
      <c r="P35" s="578">
        <f t="shared" si="7"/>
        <v>0</v>
      </c>
      <c r="Q35" s="765"/>
      <c r="R35" s="650">
        <f t="shared" si="8"/>
        <v>0</v>
      </c>
      <c r="S35" s="587">
        <f t="shared" si="8"/>
        <v>0</v>
      </c>
      <c r="T35" s="577">
        <f t="shared" si="9"/>
        <v>0</v>
      </c>
      <c r="U35" s="578">
        <f t="shared" si="10"/>
        <v>0</v>
      </c>
      <c r="V35" s="579"/>
      <c r="W35" s="637"/>
      <c r="X35" s="586" t="str">
        <f>IF(W35="X","x",IF(W35="xx","x",IF(W35="xy","x",IF(W35="y","x",IF(OR(P35&gt;0,U35&gt;0),"x","")))))</f>
        <v/>
      </c>
      <c r="Y35" s="586" t="str">
        <f>IF(W35="X","x",IF(W35="y","x",IF(W35="xx","x",IF(U35&gt;0,"x",""))))</f>
        <v/>
      </c>
      <c r="Z35" s="586" t="str">
        <f>IF(W35="X","x",IF(U35&gt;0,"x",""))</f>
        <v/>
      </c>
    </row>
    <row r="36" spans="1:26" ht="12" hidden="1" thickBot="1" x14ac:dyDescent="0.25">
      <c r="A36" s="567">
        <v>841000</v>
      </c>
      <c r="B36" s="644" t="s">
        <v>1527</v>
      </c>
      <c r="C36" s="645" t="s">
        <v>206</v>
      </c>
      <c r="D36" s="416" t="s">
        <v>477</v>
      </c>
      <c r="E36" s="417"/>
      <c r="F36" s="418"/>
      <c r="G36" s="419"/>
      <c r="H36" s="646"/>
      <c r="I36" s="420">
        <v>11.64</v>
      </c>
      <c r="J36" s="420">
        <f t="shared" si="3"/>
        <v>11.64</v>
      </c>
      <c r="K36" s="421">
        <f t="shared" si="4"/>
        <v>13.83</v>
      </c>
      <c r="L36" s="647" t="s">
        <v>19</v>
      </c>
      <c r="M36" s="576"/>
      <c r="N36" s="576">
        <f t="shared" si="5"/>
        <v>0</v>
      </c>
      <c r="O36" s="577">
        <f t="shared" si="6"/>
        <v>0</v>
      </c>
      <c r="P36" s="578">
        <f t="shared" si="7"/>
        <v>0</v>
      </c>
      <c r="Q36" s="765"/>
      <c r="R36" s="650">
        <f t="shared" si="8"/>
        <v>0</v>
      </c>
      <c r="S36" s="587">
        <f t="shared" si="8"/>
        <v>0</v>
      </c>
      <c r="T36" s="577">
        <f t="shared" si="9"/>
        <v>0</v>
      </c>
      <c r="U36" s="578">
        <f t="shared" si="10"/>
        <v>0</v>
      </c>
      <c r="V36" s="579"/>
      <c r="W36" s="566"/>
      <c r="X36" s="586" t="str">
        <f t="shared" si="0"/>
        <v/>
      </c>
      <c r="Y36" s="586" t="str">
        <f t="shared" si="1"/>
        <v/>
      </c>
      <c r="Z36" s="586" t="str">
        <f t="shared" si="2"/>
        <v/>
      </c>
    </row>
    <row r="37" spans="1:26" ht="12" hidden="1" thickBot="1" x14ac:dyDescent="0.25">
      <c r="A37" s="567">
        <v>840000</v>
      </c>
      <c r="B37" s="644" t="s">
        <v>1528</v>
      </c>
      <c r="C37" s="645" t="s">
        <v>206</v>
      </c>
      <c r="D37" s="416" t="s">
        <v>279</v>
      </c>
      <c r="E37" s="417"/>
      <c r="F37" s="418"/>
      <c r="G37" s="419"/>
      <c r="H37" s="646"/>
      <c r="I37" s="420">
        <v>32.15</v>
      </c>
      <c r="J37" s="420">
        <f t="shared" si="3"/>
        <v>32.15</v>
      </c>
      <c r="K37" s="421">
        <f t="shared" si="4"/>
        <v>38.200000000000003</v>
      </c>
      <c r="L37" s="647" t="s">
        <v>19</v>
      </c>
      <c r="M37" s="576"/>
      <c r="N37" s="576">
        <f t="shared" si="5"/>
        <v>0</v>
      </c>
      <c r="O37" s="577">
        <f t="shared" si="6"/>
        <v>0</v>
      </c>
      <c r="P37" s="578">
        <f t="shared" si="7"/>
        <v>0</v>
      </c>
      <c r="Q37" s="765"/>
      <c r="R37" s="650">
        <f t="shared" si="8"/>
        <v>0</v>
      </c>
      <c r="S37" s="587">
        <f t="shared" si="8"/>
        <v>0</v>
      </c>
      <c r="T37" s="577">
        <f t="shared" si="9"/>
        <v>0</v>
      </c>
      <c r="U37" s="578">
        <f t="shared" si="10"/>
        <v>0</v>
      </c>
      <c r="V37" s="579"/>
      <c r="W37" s="566"/>
      <c r="X37" s="586" t="str">
        <f t="shared" si="0"/>
        <v/>
      </c>
      <c r="Y37" s="586" t="str">
        <f t="shared" si="1"/>
        <v/>
      </c>
      <c r="Z37" s="586" t="str">
        <f t="shared" si="2"/>
        <v/>
      </c>
    </row>
    <row r="38" spans="1:26" ht="12" hidden="1" thickBot="1" x14ac:dyDescent="0.25">
      <c r="A38" s="567">
        <v>100981</v>
      </c>
      <c r="B38" s="644">
        <v>100981</v>
      </c>
      <c r="C38" s="645" t="s">
        <v>670</v>
      </c>
      <c r="D38" s="416" t="s">
        <v>590</v>
      </c>
      <c r="E38" s="417"/>
      <c r="F38" s="418"/>
      <c r="G38" s="419"/>
      <c r="H38" s="646"/>
      <c r="I38" s="420">
        <v>8.75</v>
      </c>
      <c r="J38" s="420">
        <f t="shared" si="3"/>
        <v>8.75</v>
      </c>
      <c r="K38" s="421">
        <f t="shared" si="4"/>
        <v>10.4</v>
      </c>
      <c r="L38" s="647" t="s">
        <v>16</v>
      </c>
      <c r="M38" s="576"/>
      <c r="N38" s="576">
        <f t="shared" si="5"/>
        <v>0</v>
      </c>
      <c r="O38" s="577">
        <f t="shared" si="6"/>
        <v>0</v>
      </c>
      <c r="P38" s="578">
        <f t="shared" si="7"/>
        <v>0</v>
      </c>
      <c r="Q38" s="765"/>
      <c r="R38" s="650">
        <f t="shared" si="8"/>
        <v>0</v>
      </c>
      <c r="S38" s="587">
        <f t="shared" si="8"/>
        <v>0</v>
      </c>
      <c r="T38" s="577">
        <f t="shared" si="9"/>
        <v>0</v>
      </c>
      <c r="U38" s="578">
        <f t="shared" si="10"/>
        <v>0</v>
      </c>
      <c r="V38" s="579"/>
      <c r="W38" s="566"/>
      <c r="X38" s="586" t="str">
        <f t="shared" si="0"/>
        <v/>
      </c>
      <c r="Y38" s="586" t="str">
        <f t="shared" si="1"/>
        <v/>
      </c>
      <c r="Z38" s="586" t="str">
        <f t="shared" si="2"/>
        <v/>
      </c>
    </row>
    <row r="39" spans="1:26" ht="12" hidden="1" thickBot="1" x14ac:dyDescent="0.25">
      <c r="A39" s="567">
        <v>97623</v>
      </c>
      <c r="B39" s="644" t="s">
        <v>1594</v>
      </c>
      <c r="C39" s="645" t="s">
        <v>670</v>
      </c>
      <c r="D39" s="416" t="s">
        <v>1595</v>
      </c>
      <c r="E39" s="417"/>
      <c r="F39" s="418"/>
      <c r="G39" s="419"/>
      <c r="H39" s="646"/>
      <c r="I39" s="420">
        <v>175.28</v>
      </c>
      <c r="J39" s="420">
        <f t="shared" si="3"/>
        <v>175.28</v>
      </c>
      <c r="K39" s="421">
        <f t="shared" si="4"/>
        <v>208.25</v>
      </c>
      <c r="L39" s="647" t="s">
        <v>16</v>
      </c>
      <c r="M39" s="576"/>
      <c r="N39" s="576">
        <f t="shared" si="5"/>
        <v>0</v>
      </c>
      <c r="O39" s="577">
        <f t="shared" si="6"/>
        <v>0</v>
      </c>
      <c r="P39" s="578">
        <f t="shared" si="7"/>
        <v>0</v>
      </c>
      <c r="Q39" s="765"/>
      <c r="R39" s="650">
        <f t="shared" si="8"/>
        <v>0</v>
      </c>
      <c r="S39" s="587">
        <f t="shared" si="8"/>
        <v>0</v>
      </c>
      <c r="T39" s="577">
        <f t="shared" si="9"/>
        <v>0</v>
      </c>
      <c r="U39" s="578">
        <f t="shared" si="10"/>
        <v>0</v>
      </c>
      <c r="V39" s="579"/>
      <c r="W39" s="566"/>
      <c r="X39" s="586" t="str">
        <f t="shared" si="0"/>
        <v/>
      </c>
      <c r="Y39" s="586" t="str">
        <f t="shared" si="1"/>
        <v/>
      </c>
      <c r="Z39" s="586" t="str">
        <f t="shared" si="2"/>
        <v/>
      </c>
    </row>
    <row r="40" spans="1:26" ht="12" hidden="1" thickBot="1" x14ac:dyDescent="0.25">
      <c r="A40" s="567">
        <v>97624</v>
      </c>
      <c r="B40" s="644" t="s">
        <v>1596</v>
      </c>
      <c r="C40" s="645" t="s">
        <v>670</v>
      </c>
      <c r="D40" s="416" t="s">
        <v>1597</v>
      </c>
      <c r="E40" s="417"/>
      <c r="F40" s="418"/>
      <c r="G40" s="419"/>
      <c r="H40" s="646"/>
      <c r="I40" s="420">
        <v>107.58</v>
      </c>
      <c r="J40" s="420">
        <f t="shared" si="3"/>
        <v>107.58</v>
      </c>
      <c r="K40" s="421">
        <f>IF(ISBLANK(I40),0,ROUND(J40*(1+$F$10)*(1+$F$11*E40),2))</f>
        <v>127.82</v>
      </c>
      <c r="L40" s="647" t="s">
        <v>16</v>
      </c>
      <c r="M40" s="576"/>
      <c r="N40" s="576">
        <f t="shared" si="5"/>
        <v>0</v>
      </c>
      <c r="O40" s="577">
        <f>IF(ISBLANK(M40),0,ROUND(K40*M40,2))</f>
        <v>0</v>
      </c>
      <c r="P40" s="578">
        <f>IF(ISBLANK(N40),0,ROUND(M40*N40,2))</f>
        <v>0</v>
      </c>
      <c r="Q40" s="765"/>
      <c r="R40" s="650">
        <f>M40</f>
        <v>0</v>
      </c>
      <c r="S40" s="587">
        <f t="shared" si="8"/>
        <v>0</v>
      </c>
      <c r="T40" s="577">
        <f>IF(ISBLANK(R40),0,ROUND(K40*R40,2))</f>
        <v>0</v>
      </c>
      <c r="U40" s="578">
        <f>IF(ISBLANK(R40),0,ROUND(R40*S40,2))</f>
        <v>0</v>
      </c>
      <c r="V40" s="579"/>
      <c r="W40" s="566"/>
      <c r="X40" s="586" t="str">
        <f>IF(W40="X","x",IF(W40="xx","x",IF(W40="xy","x",IF(W40="y","x",IF(OR(P40&gt;0,U40&gt;0),"x","")))))</f>
        <v/>
      </c>
      <c r="Y40" s="586" t="str">
        <f>IF(W40="X","x",IF(W40="y","x",IF(W40="xx","x",IF(U40&gt;0,"x",""))))</f>
        <v/>
      </c>
      <c r="Z40" s="586" t="str">
        <f>IF(W40="X","x",IF(U40&gt;0,"x",""))</f>
        <v/>
      </c>
    </row>
    <row r="41" spans="1:26" ht="12" hidden="1" thickBot="1" x14ac:dyDescent="0.25">
      <c r="A41" s="567">
        <v>606500</v>
      </c>
      <c r="B41" s="644" t="s">
        <v>1727</v>
      </c>
      <c r="C41" s="645" t="s">
        <v>206</v>
      </c>
      <c r="D41" s="416" t="s">
        <v>501</v>
      </c>
      <c r="E41" s="417"/>
      <c r="F41" s="418"/>
      <c r="G41" s="419"/>
      <c r="H41" s="646"/>
      <c r="I41" s="420">
        <v>169.87</v>
      </c>
      <c r="J41" s="420">
        <f t="shared" si="3"/>
        <v>169.87</v>
      </c>
      <c r="K41" s="421">
        <f>IF(ISBLANK(I41),0,ROUND(J41*(1+$F$10)*(1+$F$11*E41),2))</f>
        <v>201.82</v>
      </c>
      <c r="L41" s="647" t="s">
        <v>16</v>
      </c>
      <c r="M41" s="576"/>
      <c r="N41" s="576">
        <f t="shared" si="5"/>
        <v>0</v>
      </c>
      <c r="O41" s="577">
        <f t="shared" si="6"/>
        <v>0</v>
      </c>
      <c r="P41" s="578">
        <f t="shared" si="7"/>
        <v>0</v>
      </c>
      <c r="Q41" s="765"/>
      <c r="R41" s="650">
        <f t="shared" si="8"/>
        <v>0</v>
      </c>
      <c r="S41" s="587">
        <f t="shared" si="8"/>
        <v>0</v>
      </c>
      <c r="T41" s="577">
        <f t="shared" si="9"/>
        <v>0</v>
      </c>
      <c r="U41" s="578">
        <f t="shared" si="10"/>
        <v>0</v>
      </c>
      <c r="V41" s="579"/>
      <c r="W41" s="566"/>
      <c r="X41" s="586" t="str">
        <f t="shared" si="0"/>
        <v/>
      </c>
      <c r="Y41" s="586" t="str">
        <f t="shared" si="1"/>
        <v/>
      </c>
      <c r="Z41" s="586" t="str">
        <f t="shared" si="2"/>
        <v/>
      </c>
    </row>
    <row r="42" spans="1:26" ht="12" hidden="1" thickBot="1" x14ac:dyDescent="0.25">
      <c r="A42" s="652" t="s">
        <v>187</v>
      </c>
      <c r="B42" s="653" t="s">
        <v>187</v>
      </c>
      <c r="C42" s="654"/>
      <c r="D42" s="427" t="s">
        <v>464</v>
      </c>
      <c r="E42" s="428"/>
      <c r="F42" s="655"/>
      <c r="G42" s="656"/>
      <c r="H42" s="657"/>
      <c r="I42" s="429"/>
      <c r="J42" s="429"/>
      <c r="K42" s="429"/>
      <c r="L42" s="429" t="s">
        <v>614</v>
      </c>
      <c r="M42" s="657"/>
      <c r="N42" s="576">
        <f t="shared" si="5"/>
        <v>0</v>
      </c>
      <c r="O42" s="429">
        <f t="shared" si="6"/>
        <v>0</v>
      </c>
      <c r="P42" s="658">
        <f t="shared" si="7"/>
        <v>0</v>
      </c>
      <c r="Q42" s="765"/>
      <c r="R42" s="657"/>
      <c r="S42" s="429"/>
      <c r="T42" s="429">
        <f t="shared" si="9"/>
        <v>0</v>
      </c>
      <c r="U42" s="658">
        <f t="shared" si="10"/>
        <v>0</v>
      </c>
      <c r="V42" s="579"/>
      <c r="W42" s="637" t="str">
        <f>IF(OR(SUM(P43:P67)&gt;0,SUM(U43:U67)&gt;0),"y","")</f>
        <v/>
      </c>
      <c r="X42" s="586" t="str">
        <f t="shared" si="0"/>
        <v/>
      </c>
      <c r="Y42" s="586" t="str">
        <f t="shared" si="1"/>
        <v/>
      </c>
      <c r="Z42" s="586" t="str">
        <f t="shared" si="2"/>
        <v/>
      </c>
    </row>
    <row r="43" spans="1:26" ht="12" hidden="1" thickBot="1" x14ac:dyDescent="0.25">
      <c r="A43" s="652" t="s">
        <v>187</v>
      </c>
      <c r="B43" s="572" t="s">
        <v>187</v>
      </c>
      <c r="C43" s="573" t="s">
        <v>187</v>
      </c>
      <c r="D43" s="574"/>
      <c r="E43" s="575"/>
      <c r="F43" s="436"/>
      <c r="G43" s="431"/>
      <c r="H43" s="430"/>
      <c r="I43" s="432"/>
      <c r="J43" s="433"/>
      <c r="K43" s="434">
        <f t="shared" ref="K43:K67" si="12">IF(ISBLANK(J43),0,ROUND(J43*(1+$F$10)*(1+$F$11*E43),2))</f>
        <v>0</v>
      </c>
      <c r="L43" s="435" t="s">
        <v>614</v>
      </c>
      <c r="M43" s="576"/>
      <c r="N43" s="576">
        <f t="shared" si="5"/>
        <v>0</v>
      </c>
      <c r="O43" s="577">
        <f t="shared" si="6"/>
        <v>0</v>
      </c>
      <c r="P43" s="578">
        <f t="shared" si="7"/>
        <v>0</v>
      </c>
      <c r="Q43" s="765"/>
      <c r="R43" s="576">
        <f t="shared" si="8"/>
        <v>0</v>
      </c>
      <c r="S43" s="576">
        <f t="shared" si="8"/>
        <v>0</v>
      </c>
      <c r="T43" s="577">
        <f t="shared" si="9"/>
        <v>0</v>
      </c>
      <c r="U43" s="578">
        <f t="shared" si="10"/>
        <v>0</v>
      </c>
      <c r="V43" s="579"/>
      <c r="W43" s="566"/>
      <c r="X43" s="586" t="str">
        <f t="shared" si="0"/>
        <v/>
      </c>
      <c r="Y43" s="586" t="str">
        <f t="shared" si="1"/>
        <v/>
      </c>
      <c r="Z43" s="586" t="str">
        <f t="shared" si="2"/>
        <v/>
      </c>
    </row>
    <row r="44" spans="1:26" ht="12" hidden="1" thickBot="1" x14ac:dyDescent="0.25">
      <c r="A44" s="652" t="s">
        <v>187</v>
      </c>
      <c r="B44" s="572" t="s">
        <v>187</v>
      </c>
      <c r="C44" s="573" t="s">
        <v>187</v>
      </c>
      <c r="D44" s="580"/>
      <c r="E44" s="575"/>
      <c r="F44" s="436"/>
      <c r="G44" s="431"/>
      <c r="H44" s="430"/>
      <c r="I44" s="432"/>
      <c r="J44" s="433"/>
      <c r="K44" s="437">
        <f t="shared" si="12"/>
        <v>0</v>
      </c>
      <c r="L44" s="435" t="s">
        <v>614</v>
      </c>
      <c r="M44" s="576"/>
      <c r="N44" s="576">
        <f t="shared" si="5"/>
        <v>0</v>
      </c>
      <c r="O44" s="577">
        <f t="shared" si="6"/>
        <v>0</v>
      </c>
      <c r="P44" s="578">
        <f t="shared" si="7"/>
        <v>0</v>
      </c>
      <c r="Q44" s="765"/>
      <c r="R44" s="576">
        <f t="shared" si="8"/>
        <v>0</v>
      </c>
      <c r="S44" s="576">
        <f t="shared" si="8"/>
        <v>0</v>
      </c>
      <c r="T44" s="577">
        <f t="shared" si="9"/>
        <v>0</v>
      </c>
      <c r="U44" s="659">
        <f t="shared" si="10"/>
        <v>0</v>
      </c>
      <c r="V44" s="579"/>
      <c r="W44" s="566"/>
      <c r="X44" s="586" t="str">
        <f t="shared" si="0"/>
        <v/>
      </c>
      <c r="Y44" s="586" t="str">
        <f t="shared" si="1"/>
        <v/>
      </c>
      <c r="Z44" s="586" t="str">
        <f t="shared" si="2"/>
        <v/>
      </c>
    </row>
    <row r="45" spans="1:26" ht="12" hidden="1" thickBot="1" x14ac:dyDescent="0.25">
      <c r="A45" s="652" t="s">
        <v>187</v>
      </c>
      <c r="B45" s="572" t="s">
        <v>187</v>
      </c>
      <c r="C45" s="573" t="s">
        <v>187</v>
      </c>
      <c r="D45" s="580"/>
      <c r="E45" s="575"/>
      <c r="F45" s="436"/>
      <c r="G45" s="431"/>
      <c r="H45" s="430"/>
      <c r="I45" s="432"/>
      <c r="J45" s="433"/>
      <c r="K45" s="437">
        <f t="shared" si="12"/>
        <v>0</v>
      </c>
      <c r="L45" s="435" t="s">
        <v>614</v>
      </c>
      <c r="M45" s="576"/>
      <c r="N45" s="576">
        <f t="shared" si="5"/>
        <v>0</v>
      </c>
      <c r="O45" s="577">
        <f t="shared" si="6"/>
        <v>0</v>
      </c>
      <c r="P45" s="578">
        <f t="shared" si="7"/>
        <v>0</v>
      </c>
      <c r="Q45" s="765"/>
      <c r="R45" s="576">
        <f t="shared" si="8"/>
        <v>0</v>
      </c>
      <c r="S45" s="576">
        <f t="shared" si="8"/>
        <v>0</v>
      </c>
      <c r="T45" s="577">
        <f t="shared" si="9"/>
        <v>0</v>
      </c>
      <c r="U45" s="578">
        <f t="shared" si="10"/>
        <v>0</v>
      </c>
      <c r="V45" s="579"/>
      <c r="W45" s="566"/>
      <c r="X45" s="586" t="str">
        <f t="shared" si="0"/>
        <v/>
      </c>
      <c r="Y45" s="586" t="str">
        <f t="shared" si="1"/>
        <v/>
      </c>
      <c r="Z45" s="586" t="str">
        <f t="shared" si="2"/>
        <v/>
      </c>
    </row>
    <row r="46" spans="1:26" ht="12" hidden="1" thickBot="1" x14ac:dyDescent="0.25">
      <c r="A46" s="652" t="s">
        <v>187</v>
      </c>
      <c r="B46" s="572" t="s">
        <v>187</v>
      </c>
      <c r="C46" s="573" t="s">
        <v>187</v>
      </c>
      <c r="D46" s="580"/>
      <c r="E46" s="575"/>
      <c r="F46" s="436"/>
      <c r="G46" s="431"/>
      <c r="H46" s="430"/>
      <c r="I46" s="432"/>
      <c r="J46" s="433"/>
      <c r="K46" s="437">
        <f t="shared" si="12"/>
        <v>0</v>
      </c>
      <c r="L46" s="435" t="s">
        <v>614</v>
      </c>
      <c r="M46" s="576"/>
      <c r="N46" s="576">
        <f t="shared" si="5"/>
        <v>0</v>
      </c>
      <c r="O46" s="577">
        <f t="shared" si="6"/>
        <v>0</v>
      </c>
      <c r="P46" s="578">
        <f t="shared" si="7"/>
        <v>0</v>
      </c>
      <c r="Q46" s="765"/>
      <c r="R46" s="576">
        <f t="shared" si="8"/>
        <v>0</v>
      </c>
      <c r="S46" s="576">
        <f t="shared" si="8"/>
        <v>0</v>
      </c>
      <c r="T46" s="577">
        <f t="shared" si="9"/>
        <v>0</v>
      </c>
      <c r="U46" s="578">
        <f t="shared" si="10"/>
        <v>0</v>
      </c>
      <c r="V46" s="579"/>
      <c r="W46" s="566"/>
      <c r="X46" s="586" t="str">
        <f t="shared" si="0"/>
        <v/>
      </c>
      <c r="Y46" s="586" t="str">
        <f t="shared" si="1"/>
        <v/>
      </c>
      <c r="Z46" s="586" t="str">
        <f t="shared" si="2"/>
        <v/>
      </c>
    </row>
    <row r="47" spans="1:26" ht="12" hidden="1" thickBot="1" x14ac:dyDescent="0.25">
      <c r="A47" s="652" t="s">
        <v>187</v>
      </c>
      <c r="B47" s="572" t="s">
        <v>187</v>
      </c>
      <c r="C47" s="573" t="s">
        <v>187</v>
      </c>
      <c r="D47" s="580"/>
      <c r="E47" s="575"/>
      <c r="F47" s="436"/>
      <c r="G47" s="431"/>
      <c r="H47" s="430"/>
      <c r="I47" s="432"/>
      <c r="J47" s="433"/>
      <c r="K47" s="437">
        <f t="shared" si="12"/>
        <v>0</v>
      </c>
      <c r="L47" s="435" t="s">
        <v>614</v>
      </c>
      <c r="M47" s="576"/>
      <c r="N47" s="576">
        <f t="shared" si="5"/>
        <v>0</v>
      </c>
      <c r="O47" s="577">
        <f t="shared" si="6"/>
        <v>0</v>
      </c>
      <c r="P47" s="578">
        <f t="shared" si="7"/>
        <v>0</v>
      </c>
      <c r="Q47" s="765"/>
      <c r="R47" s="576">
        <f t="shared" si="8"/>
        <v>0</v>
      </c>
      <c r="S47" s="576">
        <f t="shared" si="8"/>
        <v>0</v>
      </c>
      <c r="T47" s="577">
        <f t="shared" si="9"/>
        <v>0</v>
      </c>
      <c r="U47" s="578">
        <f t="shared" si="10"/>
        <v>0</v>
      </c>
      <c r="V47" s="579"/>
      <c r="W47" s="566"/>
      <c r="X47" s="586" t="str">
        <f t="shared" si="0"/>
        <v/>
      </c>
      <c r="Y47" s="586" t="str">
        <f t="shared" si="1"/>
        <v/>
      </c>
      <c r="Z47" s="586" t="str">
        <f t="shared" si="2"/>
        <v/>
      </c>
    </row>
    <row r="48" spans="1:26" ht="12" hidden="1" thickBot="1" x14ac:dyDescent="0.25">
      <c r="A48" s="652" t="s">
        <v>187</v>
      </c>
      <c r="B48" s="572" t="s">
        <v>187</v>
      </c>
      <c r="C48" s="573" t="s">
        <v>187</v>
      </c>
      <c r="D48" s="580"/>
      <c r="E48" s="575"/>
      <c r="F48" s="436"/>
      <c r="G48" s="431"/>
      <c r="H48" s="430"/>
      <c r="I48" s="432"/>
      <c r="J48" s="433"/>
      <c r="K48" s="437">
        <f t="shared" si="12"/>
        <v>0</v>
      </c>
      <c r="L48" s="435" t="s">
        <v>614</v>
      </c>
      <c r="M48" s="576"/>
      <c r="N48" s="576">
        <f t="shared" si="5"/>
        <v>0</v>
      </c>
      <c r="O48" s="577">
        <f t="shared" si="6"/>
        <v>0</v>
      </c>
      <c r="P48" s="578">
        <f t="shared" si="7"/>
        <v>0</v>
      </c>
      <c r="Q48" s="765"/>
      <c r="R48" s="576">
        <f t="shared" si="8"/>
        <v>0</v>
      </c>
      <c r="S48" s="576">
        <f t="shared" si="8"/>
        <v>0</v>
      </c>
      <c r="T48" s="577">
        <f t="shared" si="9"/>
        <v>0</v>
      </c>
      <c r="U48" s="578">
        <f t="shared" si="10"/>
        <v>0</v>
      </c>
      <c r="V48" s="579"/>
      <c r="W48" s="566"/>
      <c r="X48" s="586" t="str">
        <f t="shared" si="0"/>
        <v/>
      </c>
      <c r="Y48" s="586" t="str">
        <f t="shared" si="1"/>
        <v/>
      </c>
      <c r="Z48" s="586" t="str">
        <f t="shared" si="2"/>
        <v/>
      </c>
    </row>
    <row r="49" spans="1:26" ht="12" hidden="1" thickBot="1" x14ac:dyDescent="0.25">
      <c r="A49" s="652" t="s">
        <v>187</v>
      </c>
      <c r="B49" s="572" t="s">
        <v>187</v>
      </c>
      <c r="C49" s="573" t="s">
        <v>187</v>
      </c>
      <c r="D49" s="580"/>
      <c r="E49" s="575"/>
      <c r="F49" s="436"/>
      <c r="G49" s="431"/>
      <c r="H49" s="430"/>
      <c r="I49" s="432"/>
      <c r="J49" s="433"/>
      <c r="K49" s="437">
        <f t="shared" si="12"/>
        <v>0</v>
      </c>
      <c r="L49" s="435" t="s">
        <v>614</v>
      </c>
      <c r="M49" s="576"/>
      <c r="N49" s="576">
        <f t="shared" si="5"/>
        <v>0</v>
      </c>
      <c r="O49" s="577">
        <f t="shared" si="6"/>
        <v>0</v>
      </c>
      <c r="P49" s="578">
        <f t="shared" si="7"/>
        <v>0</v>
      </c>
      <c r="Q49" s="765"/>
      <c r="R49" s="576">
        <f t="shared" si="8"/>
        <v>0</v>
      </c>
      <c r="S49" s="576">
        <f t="shared" si="8"/>
        <v>0</v>
      </c>
      <c r="T49" s="577">
        <f t="shared" si="9"/>
        <v>0</v>
      </c>
      <c r="U49" s="578">
        <f t="shared" si="10"/>
        <v>0</v>
      </c>
      <c r="V49" s="579"/>
      <c r="W49" s="566"/>
      <c r="X49" s="586" t="str">
        <f t="shared" si="0"/>
        <v/>
      </c>
      <c r="Y49" s="586" t="str">
        <f t="shared" si="1"/>
        <v/>
      </c>
      <c r="Z49" s="586" t="str">
        <f t="shared" si="2"/>
        <v/>
      </c>
    </row>
    <row r="50" spans="1:26" ht="12" hidden="1" thickBot="1" x14ac:dyDescent="0.25">
      <c r="A50" s="652" t="s">
        <v>187</v>
      </c>
      <c r="B50" s="572" t="s">
        <v>187</v>
      </c>
      <c r="C50" s="573" t="s">
        <v>187</v>
      </c>
      <c r="D50" s="580"/>
      <c r="E50" s="575"/>
      <c r="F50" s="436"/>
      <c r="G50" s="431"/>
      <c r="H50" s="430"/>
      <c r="I50" s="432"/>
      <c r="J50" s="433"/>
      <c r="K50" s="437">
        <f t="shared" si="12"/>
        <v>0</v>
      </c>
      <c r="L50" s="435" t="s">
        <v>614</v>
      </c>
      <c r="M50" s="576"/>
      <c r="N50" s="576">
        <f t="shared" si="5"/>
        <v>0</v>
      </c>
      <c r="O50" s="577">
        <f t="shared" si="6"/>
        <v>0</v>
      </c>
      <c r="P50" s="578">
        <f t="shared" si="7"/>
        <v>0</v>
      </c>
      <c r="Q50" s="765"/>
      <c r="R50" s="576">
        <f t="shared" si="8"/>
        <v>0</v>
      </c>
      <c r="S50" s="576">
        <f t="shared" si="8"/>
        <v>0</v>
      </c>
      <c r="T50" s="577">
        <f t="shared" si="9"/>
        <v>0</v>
      </c>
      <c r="U50" s="578">
        <f t="shared" si="10"/>
        <v>0</v>
      </c>
      <c r="V50" s="579"/>
      <c r="W50" s="566"/>
      <c r="X50" s="586" t="str">
        <f t="shared" si="0"/>
        <v/>
      </c>
      <c r="Y50" s="586" t="str">
        <f t="shared" si="1"/>
        <v/>
      </c>
      <c r="Z50" s="586" t="str">
        <f t="shared" si="2"/>
        <v/>
      </c>
    </row>
    <row r="51" spans="1:26" ht="12" hidden="1" thickBot="1" x14ac:dyDescent="0.25">
      <c r="A51" s="652" t="s">
        <v>187</v>
      </c>
      <c r="B51" s="572" t="s">
        <v>187</v>
      </c>
      <c r="C51" s="573" t="s">
        <v>187</v>
      </c>
      <c r="D51" s="580"/>
      <c r="E51" s="575"/>
      <c r="F51" s="436"/>
      <c r="G51" s="431"/>
      <c r="H51" s="430"/>
      <c r="I51" s="432"/>
      <c r="J51" s="433"/>
      <c r="K51" s="437">
        <f t="shared" si="12"/>
        <v>0</v>
      </c>
      <c r="L51" s="435" t="s">
        <v>614</v>
      </c>
      <c r="M51" s="576"/>
      <c r="N51" s="576">
        <f t="shared" si="5"/>
        <v>0</v>
      </c>
      <c r="O51" s="577">
        <f t="shared" si="6"/>
        <v>0</v>
      </c>
      <c r="P51" s="578">
        <f t="shared" si="7"/>
        <v>0</v>
      </c>
      <c r="Q51" s="765"/>
      <c r="R51" s="576">
        <f t="shared" si="8"/>
        <v>0</v>
      </c>
      <c r="S51" s="576">
        <f t="shared" si="8"/>
        <v>0</v>
      </c>
      <c r="T51" s="577">
        <f t="shared" si="9"/>
        <v>0</v>
      </c>
      <c r="U51" s="578">
        <f t="shared" si="10"/>
        <v>0</v>
      </c>
      <c r="V51" s="579"/>
      <c r="W51" s="566"/>
      <c r="X51" s="586" t="str">
        <f t="shared" si="0"/>
        <v/>
      </c>
      <c r="Y51" s="586" t="str">
        <f t="shared" si="1"/>
        <v/>
      </c>
      <c r="Z51" s="586" t="str">
        <f t="shared" si="2"/>
        <v/>
      </c>
    </row>
    <row r="52" spans="1:26" ht="12" hidden="1" thickBot="1" x14ac:dyDescent="0.25">
      <c r="A52" s="652" t="s">
        <v>187</v>
      </c>
      <c r="B52" s="572" t="s">
        <v>187</v>
      </c>
      <c r="C52" s="573" t="s">
        <v>187</v>
      </c>
      <c r="D52" s="580"/>
      <c r="E52" s="575"/>
      <c r="F52" s="436"/>
      <c r="G52" s="431"/>
      <c r="H52" s="430"/>
      <c r="I52" s="432"/>
      <c r="J52" s="433"/>
      <c r="K52" s="437">
        <f t="shared" si="12"/>
        <v>0</v>
      </c>
      <c r="L52" s="435" t="s">
        <v>614</v>
      </c>
      <c r="M52" s="576"/>
      <c r="N52" s="576">
        <f t="shared" si="5"/>
        <v>0</v>
      </c>
      <c r="O52" s="577">
        <f t="shared" si="6"/>
        <v>0</v>
      </c>
      <c r="P52" s="578">
        <f t="shared" si="7"/>
        <v>0</v>
      </c>
      <c r="Q52" s="765"/>
      <c r="R52" s="576">
        <f t="shared" si="8"/>
        <v>0</v>
      </c>
      <c r="S52" s="576">
        <f t="shared" si="8"/>
        <v>0</v>
      </c>
      <c r="T52" s="577">
        <f t="shared" si="9"/>
        <v>0</v>
      </c>
      <c r="U52" s="578">
        <f t="shared" si="10"/>
        <v>0</v>
      </c>
      <c r="V52" s="579"/>
      <c r="W52" s="566"/>
      <c r="X52" s="586" t="str">
        <f t="shared" si="0"/>
        <v/>
      </c>
      <c r="Y52" s="586" t="str">
        <f t="shared" si="1"/>
        <v/>
      </c>
      <c r="Z52" s="586" t="str">
        <f t="shared" si="2"/>
        <v/>
      </c>
    </row>
    <row r="53" spans="1:26" ht="12" hidden="1" thickBot="1" x14ac:dyDescent="0.25">
      <c r="A53" s="652" t="s">
        <v>187</v>
      </c>
      <c r="B53" s="572" t="s">
        <v>187</v>
      </c>
      <c r="C53" s="573" t="s">
        <v>187</v>
      </c>
      <c r="D53" s="580"/>
      <c r="E53" s="575"/>
      <c r="F53" s="436"/>
      <c r="G53" s="431"/>
      <c r="H53" s="430"/>
      <c r="I53" s="432"/>
      <c r="J53" s="433"/>
      <c r="K53" s="437">
        <f t="shared" si="12"/>
        <v>0</v>
      </c>
      <c r="L53" s="435" t="s">
        <v>614</v>
      </c>
      <c r="M53" s="576"/>
      <c r="N53" s="576">
        <f t="shared" si="5"/>
        <v>0</v>
      </c>
      <c r="O53" s="577">
        <f t="shared" si="6"/>
        <v>0</v>
      </c>
      <c r="P53" s="578">
        <f t="shared" si="7"/>
        <v>0</v>
      </c>
      <c r="Q53" s="765"/>
      <c r="R53" s="576">
        <f t="shared" si="8"/>
        <v>0</v>
      </c>
      <c r="S53" s="576">
        <f t="shared" si="8"/>
        <v>0</v>
      </c>
      <c r="T53" s="577">
        <f t="shared" si="9"/>
        <v>0</v>
      </c>
      <c r="U53" s="578">
        <f t="shared" si="10"/>
        <v>0</v>
      </c>
      <c r="V53" s="579"/>
      <c r="W53" s="566"/>
      <c r="X53" s="586" t="str">
        <f t="shared" si="0"/>
        <v/>
      </c>
      <c r="Y53" s="586" t="str">
        <f t="shared" si="1"/>
        <v/>
      </c>
      <c r="Z53" s="586" t="str">
        <f t="shared" si="2"/>
        <v/>
      </c>
    </row>
    <row r="54" spans="1:26" ht="12" hidden="1" thickBot="1" x14ac:dyDescent="0.25">
      <c r="A54" s="652" t="s">
        <v>187</v>
      </c>
      <c r="B54" s="572" t="s">
        <v>187</v>
      </c>
      <c r="C54" s="573" t="s">
        <v>187</v>
      </c>
      <c r="D54" s="580"/>
      <c r="E54" s="575"/>
      <c r="F54" s="436"/>
      <c r="G54" s="431"/>
      <c r="H54" s="430"/>
      <c r="I54" s="432"/>
      <c r="J54" s="433"/>
      <c r="K54" s="437">
        <f t="shared" si="12"/>
        <v>0</v>
      </c>
      <c r="L54" s="435" t="s">
        <v>614</v>
      </c>
      <c r="M54" s="576"/>
      <c r="N54" s="576">
        <f t="shared" si="5"/>
        <v>0</v>
      </c>
      <c r="O54" s="577">
        <f t="shared" si="6"/>
        <v>0</v>
      </c>
      <c r="P54" s="578">
        <f t="shared" si="7"/>
        <v>0</v>
      </c>
      <c r="Q54" s="765"/>
      <c r="R54" s="576">
        <f t="shared" si="8"/>
        <v>0</v>
      </c>
      <c r="S54" s="576">
        <f t="shared" si="8"/>
        <v>0</v>
      </c>
      <c r="T54" s="577">
        <f t="shared" si="9"/>
        <v>0</v>
      </c>
      <c r="U54" s="578">
        <f t="shared" si="10"/>
        <v>0</v>
      </c>
      <c r="V54" s="579"/>
      <c r="W54" s="566"/>
      <c r="X54" s="586" t="str">
        <f t="shared" si="0"/>
        <v/>
      </c>
      <c r="Y54" s="586" t="str">
        <f t="shared" si="1"/>
        <v/>
      </c>
      <c r="Z54" s="586" t="str">
        <f t="shared" si="2"/>
        <v/>
      </c>
    </row>
    <row r="55" spans="1:26" ht="12" hidden="1" thickBot="1" x14ac:dyDescent="0.25">
      <c r="A55" s="652" t="s">
        <v>187</v>
      </c>
      <c r="B55" s="572" t="s">
        <v>187</v>
      </c>
      <c r="C55" s="573" t="s">
        <v>187</v>
      </c>
      <c r="D55" s="580"/>
      <c r="E55" s="575"/>
      <c r="F55" s="436"/>
      <c r="G55" s="431"/>
      <c r="H55" s="430"/>
      <c r="I55" s="432"/>
      <c r="J55" s="433"/>
      <c r="K55" s="437">
        <f t="shared" si="12"/>
        <v>0</v>
      </c>
      <c r="L55" s="435" t="s">
        <v>614</v>
      </c>
      <c r="M55" s="576"/>
      <c r="N55" s="576">
        <f t="shared" si="5"/>
        <v>0</v>
      </c>
      <c r="O55" s="577">
        <f t="shared" si="6"/>
        <v>0</v>
      </c>
      <c r="P55" s="578">
        <f t="shared" si="7"/>
        <v>0</v>
      </c>
      <c r="Q55" s="765"/>
      <c r="R55" s="576">
        <f t="shared" si="8"/>
        <v>0</v>
      </c>
      <c r="S55" s="576">
        <f t="shared" si="8"/>
        <v>0</v>
      </c>
      <c r="T55" s="577">
        <f t="shared" si="9"/>
        <v>0</v>
      </c>
      <c r="U55" s="578">
        <f t="shared" si="10"/>
        <v>0</v>
      </c>
      <c r="V55" s="579"/>
      <c r="W55" s="566"/>
      <c r="X55" s="586" t="str">
        <f t="shared" si="0"/>
        <v/>
      </c>
      <c r="Y55" s="586" t="str">
        <f t="shared" si="1"/>
        <v/>
      </c>
      <c r="Z55" s="586" t="str">
        <f t="shared" si="2"/>
        <v/>
      </c>
    </row>
    <row r="56" spans="1:26" ht="12" hidden="1" thickBot="1" x14ac:dyDescent="0.25">
      <c r="A56" s="652" t="s">
        <v>187</v>
      </c>
      <c r="B56" s="572" t="s">
        <v>187</v>
      </c>
      <c r="C56" s="573" t="s">
        <v>187</v>
      </c>
      <c r="D56" s="580"/>
      <c r="E56" s="575"/>
      <c r="F56" s="436"/>
      <c r="G56" s="431"/>
      <c r="H56" s="430"/>
      <c r="I56" s="432"/>
      <c r="J56" s="433"/>
      <c r="K56" s="437">
        <f t="shared" si="12"/>
        <v>0</v>
      </c>
      <c r="L56" s="435" t="s">
        <v>614</v>
      </c>
      <c r="M56" s="576"/>
      <c r="N56" s="576">
        <f t="shared" si="5"/>
        <v>0</v>
      </c>
      <c r="O56" s="577">
        <f t="shared" si="6"/>
        <v>0</v>
      </c>
      <c r="P56" s="578">
        <f t="shared" si="7"/>
        <v>0</v>
      </c>
      <c r="Q56" s="765"/>
      <c r="R56" s="576">
        <f t="shared" si="8"/>
        <v>0</v>
      </c>
      <c r="S56" s="576">
        <f t="shared" si="8"/>
        <v>0</v>
      </c>
      <c r="T56" s="577">
        <f t="shared" si="9"/>
        <v>0</v>
      </c>
      <c r="U56" s="578">
        <f t="shared" si="10"/>
        <v>0</v>
      </c>
      <c r="V56" s="579"/>
      <c r="W56" s="566"/>
      <c r="X56" s="586" t="str">
        <f t="shared" si="0"/>
        <v/>
      </c>
      <c r="Y56" s="586" t="str">
        <f t="shared" si="1"/>
        <v/>
      </c>
      <c r="Z56" s="586" t="str">
        <f t="shared" si="2"/>
        <v/>
      </c>
    </row>
    <row r="57" spans="1:26" ht="12" hidden="1" thickBot="1" x14ac:dyDescent="0.25">
      <c r="A57" s="652" t="s">
        <v>187</v>
      </c>
      <c r="B57" s="572" t="s">
        <v>187</v>
      </c>
      <c r="C57" s="573" t="s">
        <v>187</v>
      </c>
      <c r="D57" s="580"/>
      <c r="E57" s="575"/>
      <c r="F57" s="436"/>
      <c r="G57" s="431"/>
      <c r="H57" s="430"/>
      <c r="I57" s="432"/>
      <c r="J57" s="433"/>
      <c r="K57" s="437">
        <f t="shared" si="12"/>
        <v>0</v>
      </c>
      <c r="L57" s="435" t="s">
        <v>614</v>
      </c>
      <c r="M57" s="576"/>
      <c r="N57" s="576">
        <f t="shared" si="5"/>
        <v>0</v>
      </c>
      <c r="O57" s="577">
        <f t="shared" si="6"/>
        <v>0</v>
      </c>
      <c r="P57" s="578">
        <f t="shared" si="7"/>
        <v>0</v>
      </c>
      <c r="Q57" s="765"/>
      <c r="R57" s="576">
        <f t="shared" si="8"/>
        <v>0</v>
      </c>
      <c r="S57" s="576">
        <f t="shared" si="8"/>
        <v>0</v>
      </c>
      <c r="T57" s="577">
        <f t="shared" si="9"/>
        <v>0</v>
      </c>
      <c r="U57" s="578">
        <f t="shared" si="10"/>
        <v>0</v>
      </c>
      <c r="V57" s="579"/>
      <c r="W57" s="566"/>
      <c r="X57" s="586" t="str">
        <f t="shared" si="0"/>
        <v/>
      </c>
      <c r="Y57" s="586" t="str">
        <f t="shared" si="1"/>
        <v/>
      </c>
      <c r="Z57" s="586" t="str">
        <f t="shared" si="2"/>
        <v/>
      </c>
    </row>
    <row r="58" spans="1:26" ht="12" hidden="1" thickBot="1" x14ac:dyDescent="0.25">
      <c r="A58" s="652" t="s">
        <v>187</v>
      </c>
      <c r="B58" s="572" t="s">
        <v>187</v>
      </c>
      <c r="C58" s="573" t="s">
        <v>187</v>
      </c>
      <c r="D58" s="580"/>
      <c r="E58" s="575"/>
      <c r="F58" s="436"/>
      <c r="G58" s="431"/>
      <c r="H58" s="430"/>
      <c r="I58" s="432"/>
      <c r="J58" s="433"/>
      <c r="K58" s="437">
        <f t="shared" si="12"/>
        <v>0</v>
      </c>
      <c r="L58" s="435" t="s">
        <v>614</v>
      </c>
      <c r="M58" s="576"/>
      <c r="N58" s="576">
        <f t="shared" si="5"/>
        <v>0</v>
      </c>
      <c r="O58" s="577">
        <f t="shared" si="6"/>
        <v>0</v>
      </c>
      <c r="P58" s="578">
        <f t="shared" si="7"/>
        <v>0</v>
      </c>
      <c r="Q58" s="765"/>
      <c r="R58" s="576">
        <f t="shared" si="8"/>
        <v>0</v>
      </c>
      <c r="S58" s="576">
        <f t="shared" si="8"/>
        <v>0</v>
      </c>
      <c r="T58" s="577">
        <f t="shared" si="9"/>
        <v>0</v>
      </c>
      <c r="U58" s="578">
        <f t="shared" si="10"/>
        <v>0</v>
      </c>
      <c r="V58" s="579"/>
      <c r="W58" s="566"/>
      <c r="X58" s="586" t="str">
        <f t="shared" si="0"/>
        <v/>
      </c>
      <c r="Y58" s="586" t="str">
        <f t="shared" si="1"/>
        <v/>
      </c>
      <c r="Z58" s="586" t="str">
        <f t="shared" si="2"/>
        <v/>
      </c>
    </row>
    <row r="59" spans="1:26" ht="12" hidden="1" thickBot="1" x14ac:dyDescent="0.25">
      <c r="A59" s="652" t="s">
        <v>187</v>
      </c>
      <c r="B59" s="572" t="s">
        <v>187</v>
      </c>
      <c r="C59" s="573" t="s">
        <v>187</v>
      </c>
      <c r="D59" s="580"/>
      <c r="E59" s="575"/>
      <c r="F59" s="436"/>
      <c r="G59" s="431"/>
      <c r="H59" s="430"/>
      <c r="I59" s="432"/>
      <c r="J59" s="433"/>
      <c r="K59" s="437">
        <f t="shared" si="12"/>
        <v>0</v>
      </c>
      <c r="L59" s="435" t="s">
        <v>614</v>
      </c>
      <c r="M59" s="576"/>
      <c r="N59" s="576">
        <f t="shared" si="5"/>
        <v>0</v>
      </c>
      <c r="O59" s="577">
        <f t="shared" si="6"/>
        <v>0</v>
      </c>
      <c r="P59" s="578">
        <f t="shared" si="7"/>
        <v>0</v>
      </c>
      <c r="Q59" s="765"/>
      <c r="R59" s="576">
        <f t="shared" si="8"/>
        <v>0</v>
      </c>
      <c r="S59" s="576">
        <f t="shared" si="8"/>
        <v>0</v>
      </c>
      <c r="T59" s="577">
        <f t="shared" si="9"/>
        <v>0</v>
      </c>
      <c r="U59" s="578">
        <f t="shared" si="10"/>
        <v>0</v>
      </c>
      <c r="V59" s="579"/>
      <c r="W59" s="566"/>
      <c r="X59" s="586" t="str">
        <f t="shared" si="0"/>
        <v/>
      </c>
      <c r="Y59" s="586" t="str">
        <f t="shared" si="1"/>
        <v/>
      </c>
      <c r="Z59" s="586" t="str">
        <f t="shared" si="2"/>
        <v/>
      </c>
    </row>
    <row r="60" spans="1:26" ht="12" hidden="1" thickBot="1" x14ac:dyDescent="0.25">
      <c r="A60" s="652" t="s">
        <v>187</v>
      </c>
      <c r="B60" s="572" t="s">
        <v>187</v>
      </c>
      <c r="C60" s="573" t="s">
        <v>187</v>
      </c>
      <c r="D60" s="580"/>
      <c r="E60" s="575"/>
      <c r="F60" s="436"/>
      <c r="G60" s="431"/>
      <c r="H60" s="430"/>
      <c r="I60" s="432"/>
      <c r="J60" s="433"/>
      <c r="K60" s="437">
        <f t="shared" si="12"/>
        <v>0</v>
      </c>
      <c r="L60" s="435" t="s">
        <v>614</v>
      </c>
      <c r="M60" s="576"/>
      <c r="N60" s="576">
        <f t="shared" si="5"/>
        <v>0</v>
      </c>
      <c r="O60" s="577">
        <f t="shared" si="6"/>
        <v>0</v>
      </c>
      <c r="P60" s="578">
        <f t="shared" si="7"/>
        <v>0</v>
      </c>
      <c r="Q60" s="765"/>
      <c r="R60" s="576">
        <f t="shared" si="8"/>
        <v>0</v>
      </c>
      <c r="S60" s="576">
        <f t="shared" si="8"/>
        <v>0</v>
      </c>
      <c r="T60" s="577">
        <f t="shared" si="9"/>
        <v>0</v>
      </c>
      <c r="U60" s="578">
        <f t="shared" si="10"/>
        <v>0</v>
      </c>
      <c r="V60" s="579"/>
      <c r="W60" s="566"/>
      <c r="X60" s="586" t="str">
        <f t="shared" si="0"/>
        <v/>
      </c>
      <c r="Y60" s="586" t="str">
        <f t="shared" si="1"/>
        <v/>
      </c>
      <c r="Z60" s="586" t="str">
        <f t="shared" si="2"/>
        <v/>
      </c>
    </row>
    <row r="61" spans="1:26" ht="12" hidden="1" thickBot="1" x14ac:dyDescent="0.25">
      <c r="A61" s="652" t="s">
        <v>187</v>
      </c>
      <c r="B61" s="572" t="s">
        <v>187</v>
      </c>
      <c r="C61" s="573" t="s">
        <v>187</v>
      </c>
      <c r="D61" s="580"/>
      <c r="E61" s="575"/>
      <c r="F61" s="436"/>
      <c r="G61" s="431"/>
      <c r="H61" s="430"/>
      <c r="I61" s="432"/>
      <c r="J61" s="433"/>
      <c r="K61" s="437">
        <f t="shared" si="12"/>
        <v>0</v>
      </c>
      <c r="L61" s="435" t="s">
        <v>614</v>
      </c>
      <c r="M61" s="576"/>
      <c r="N61" s="576">
        <f t="shared" si="5"/>
        <v>0</v>
      </c>
      <c r="O61" s="577">
        <f t="shared" si="6"/>
        <v>0</v>
      </c>
      <c r="P61" s="578">
        <f t="shared" si="7"/>
        <v>0</v>
      </c>
      <c r="Q61" s="765"/>
      <c r="R61" s="576">
        <f t="shared" si="8"/>
        <v>0</v>
      </c>
      <c r="S61" s="576">
        <f t="shared" si="8"/>
        <v>0</v>
      </c>
      <c r="T61" s="577">
        <f t="shared" si="9"/>
        <v>0</v>
      </c>
      <c r="U61" s="578">
        <f t="shared" si="10"/>
        <v>0</v>
      </c>
      <c r="V61" s="579"/>
      <c r="W61" s="566"/>
      <c r="X61" s="586" t="str">
        <f t="shared" si="0"/>
        <v/>
      </c>
      <c r="Y61" s="586" t="str">
        <f t="shared" si="1"/>
        <v/>
      </c>
      <c r="Z61" s="586" t="str">
        <f t="shared" si="2"/>
        <v/>
      </c>
    </row>
    <row r="62" spans="1:26" ht="12" hidden="1" thickBot="1" x14ac:dyDescent="0.25">
      <c r="A62" s="652" t="s">
        <v>187</v>
      </c>
      <c r="B62" s="572" t="s">
        <v>187</v>
      </c>
      <c r="C62" s="573" t="s">
        <v>187</v>
      </c>
      <c r="D62" s="580"/>
      <c r="E62" s="575"/>
      <c r="F62" s="436"/>
      <c r="G62" s="431"/>
      <c r="H62" s="430"/>
      <c r="I62" s="432"/>
      <c r="J62" s="433"/>
      <c r="K62" s="437">
        <f t="shared" si="12"/>
        <v>0</v>
      </c>
      <c r="L62" s="435" t="s">
        <v>614</v>
      </c>
      <c r="M62" s="576"/>
      <c r="N62" s="576">
        <f t="shared" si="5"/>
        <v>0</v>
      </c>
      <c r="O62" s="577">
        <f t="shared" si="6"/>
        <v>0</v>
      </c>
      <c r="P62" s="578">
        <f t="shared" si="7"/>
        <v>0</v>
      </c>
      <c r="Q62" s="765"/>
      <c r="R62" s="576">
        <f t="shared" si="8"/>
        <v>0</v>
      </c>
      <c r="S62" s="576">
        <f t="shared" si="8"/>
        <v>0</v>
      </c>
      <c r="T62" s="577">
        <f t="shared" si="9"/>
        <v>0</v>
      </c>
      <c r="U62" s="578">
        <f t="shared" si="10"/>
        <v>0</v>
      </c>
      <c r="V62" s="579"/>
      <c r="W62" s="566"/>
      <c r="X62" s="586" t="str">
        <f t="shared" si="0"/>
        <v/>
      </c>
      <c r="Y62" s="586" t="str">
        <f t="shared" si="1"/>
        <v/>
      </c>
      <c r="Z62" s="586" t="str">
        <f t="shared" si="2"/>
        <v/>
      </c>
    </row>
    <row r="63" spans="1:26" ht="12" hidden="1" thickBot="1" x14ac:dyDescent="0.25">
      <c r="A63" s="652" t="s">
        <v>187</v>
      </c>
      <c r="B63" s="572" t="s">
        <v>187</v>
      </c>
      <c r="C63" s="573" t="s">
        <v>187</v>
      </c>
      <c r="D63" s="580"/>
      <c r="E63" s="575"/>
      <c r="F63" s="436"/>
      <c r="G63" s="431"/>
      <c r="H63" s="430"/>
      <c r="I63" s="432"/>
      <c r="J63" s="433"/>
      <c r="K63" s="437">
        <f t="shared" si="12"/>
        <v>0</v>
      </c>
      <c r="L63" s="435" t="s">
        <v>614</v>
      </c>
      <c r="M63" s="576"/>
      <c r="N63" s="576">
        <f t="shared" si="5"/>
        <v>0</v>
      </c>
      <c r="O63" s="577">
        <f t="shared" si="6"/>
        <v>0</v>
      </c>
      <c r="P63" s="578">
        <f t="shared" si="7"/>
        <v>0</v>
      </c>
      <c r="Q63" s="765"/>
      <c r="R63" s="576">
        <f t="shared" si="8"/>
        <v>0</v>
      </c>
      <c r="S63" s="576">
        <f t="shared" si="8"/>
        <v>0</v>
      </c>
      <c r="T63" s="577">
        <f t="shared" si="9"/>
        <v>0</v>
      </c>
      <c r="U63" s="578">
        <f t="shared" si="10"/>
        <v>0</v>
      </c>
      <c r="V63" s="579"/>
      <c r="W63" s="566"/>
      <c r="X63" s="586" t="str">
        <f t="shared" si="0"/>
        <v/>
      </c>
      <c r="Y63" s="586" t="str">
        <f t="shared" si="1"/>
        <v/>
      </c>
      <c r="Z63" s="586" t="str">
        <f t="shared" si="2"/>
        <v/>
      </c>
    </row>
    <row r="64" spans="1:26" ht="12" hidden="1" thickBot="1" x14ac:dyDescent="0.25">
      <c r="A64" s="652" t="s">
        <v>187</v>
      </c>
      <c r="B64" s="572" t="s">
        <v>187</v>
      </c>
      <c r="C64" s="573" t="s">
        <v>187</v>
      </c>
      <c r="D64" s="580"/>
      <c r="E64" s="575"/>
      <c r="F64" s="436"/>
      <c r="G64" s="431"/>
      <c r="H64" s="430"/>
      <c r="I64" s="432"/>
      <c r="J64" s="433"/>
      <c r="K64" s="437">
        <f t="shared" si="12"/>
        <v>0</v>
      </c>
      <c r="L64" s="435" t="s">
        <v>614</v>
      </c>
      <c r="M64" s="576"/>
      <c r="N64" s="576">
        <f t="shared" si="5"/>
        <v>0</v>
      </c>
      <c r="O64" s="577">
        <f t="shared" si="6"/>
        <v>0</v>
      </c>
      <c r="P64" s="578">
        <f t="shared" si="7"/>
        <v>0</v>
      </c>
      <c r="Q64" s="765"/>
      <c r="R64" s="576">
        <f t="shared" si="8"/>
        <v>0</v>
      </c>
      <c r="S64" s="576">
        <f t="shared" si="8"/>
        <v>0</v>
      </c>
      <c r="T64" s="577">
        <f t="shared" si="9"/>
        <v>0</v>
      </c>
      <c r="U64" s="578">
        <f t="shared" si="10"/>
        <v>0</v>
      </c>
      <c r="V64" s="579"/>
      <c r="W64" s="566"/>
      <c r="X64" s="586" t="str">
        <f t="shared" si="0"/>
        <v/>
      </c>
      <c r="Y64" s="586" t="str">
        <f t="shared" si="1"/>
        <v/>
      </c>
      <c r="Z64" s="586" t="str">
        <f t="shared" si="2"/>
        <v/>
      </c>
    </row>
    <row r="65" spans="1:26" ht="12" hidden="1" thickBot="1" x14ac:dyDescent="0.25">
      <c r="A65" s="652" t="s">
        <v>187</v>
      </c>
      <c r="B65" s="572" t="s">
        <v>187</v>
      </c>
      <c r="C65" s="573" t="s">
        <v>187</v>
      </c>
      <c r="D65" s="580"/>
      <c r="E65" s="575"/>
      <c r="F65" s="436"/>
      <c r="G65" s="431"/>
      <c r="H65" s="430"/>
      <c r="I65" s="432"/>
      <c r="J65" s="433"/>
      <c r="K65" s="437">
        <f t="shared" si="12"/>
        <v>0</v>
      </c>
      <c r="L65" s="435" t="s">
        <v>614</v>
      </c>
      <c r="M65" s="576"/>
      <c r="N65" s="576">
        <f t="shared" si="5"/>
        <v>0</v>
      </c>
      <c r="O65" s="577">
        <f t="shared" si="6"/>
        <v>0</v>
      </c>
      <c r="P65" s="578">
        <f t="shared" si="7"/>
        <v>0</v>
      </c>
      <c r="Q65" s="765"/>
      <c r="R65" s="576">
        <f t="shared" si="8"/>
        <v>0</v>
      </c>
      <c r="S65" s="576">
        <f t="shared" si="8"/>
        <v>0</v>
      </c>
      <c r="T65" s="577">
        <f t="shared" si="9"/>
        <v>0</v>
      </c>
      <c r="U65" s="578">
        <f t="shared" si="10"/>
        <v>0</v>
      </c>
      <c r="V65" s="579"/>
      <c r="W65" s="566"/>
      <c r="X65" s="586" t="str">
        <f t="shared" si="0"/>
        <v/>
      </c>
      <c r="Y65" s="586" t="str">
        <f t="shared" si="1"/>
        <v/>
      </c>
      <c r="Z65" s="586" t="str">
        <f t="shared" si="2"/>
        <v/>
      </c>
    </row>
    <row r="66" spans="1:26" ht="12" hidden="1" thickBot="1" x14ac:dyDescent="0.25">
      <c r="A66" s="652" t="s">
        <v>187</v>
      </c>
      <c r="B66" s="572" t="s">
        <v>187</v>
      </c>
      <c r="C66" s="573" t="s">
        <v>187</v>
      </c>
      <c r="D66" s="580"/>
      <c r="E66" s="575"/>
      <c r="F66" s="436"/>
      <c r="G66" s="431"/>
      <c r="H66" s="430"/>
      <c r="I66" s="432"/>
      <c r="J66" s="433"/>
      <c r="K66" s="437">
        <f t="shared" si="12"/>
        <v>0</v>
      </c>
      <c r="L66" s="435" t="s">
        <v>614</v>
      </c>
      <c r="M66" s="576"/>
      <c r="N66" s="576">
        <f t="shared" si="5"/>
        <v>0</v>
      </c>
      <c r="O66" s="577">
        <f t="shared" si="6"/>
        <v>0</v>
      </c>
      <c r="P66" s="578">
        <f t="shared" si="7"/>
        <v>0</v>
      </c>
      <c r="Q66" s="765"/>
      <c r="R66" s="576">
        <f t="shared" si="8"/>
        <v>0</v>
      </c>
      <c r="S66" s="576">
        <f t="shared" si="8"/>
        <v>0</v>
      </c>
      <c r="T66" s="577">
        <f t="shared" si="9"/>
        <v>0</v>
      </c>
      <c r="U66" s="578">
        <f t="shared" si="10"/>
        <v>0</v>
      </c>
      <c r="V66" s="579"/>
      <c r="W66" s="566"/>
      <c r="X66" s="586" t="str">
        <f t="shared" si="0"/>
        <v/>
      </c>
      <c r="Y66" s="586" t="str">
        <f t="shared" si="1"/>
        <v/>
      </c>
      <c r="Z66" s="586" t="str">
        <f t="shared" si="2"/>
        <v/>
      </c>
    </row>
    <row r="67" spans="1:26" ht="12" hidden="1" thickBot="1" x14ac:dyDescent="0.25">
      <c r="A67" s="652" t="s">
        <v>187</v>
      </c>
      <c r="B67" s="581" t="s">
        <v>187</v>
      </c>
      <c r="C67" s="582" t="s">
        <v>187</v>
      </c>
      <c r="D67" s="583"/>
      <c r="E67" s="584"/>
      <c r="F67" s="438"/>
      <c r="G67" s="439"/>
      <c r="H67" s="440"/>
      <c r="I67" s="441"/>
      <c r="J67" s="442"/>
      <c r="K67" s="443">
        <f t="shared" si="12"/>
        <v>0</v>
      </c>
      <c r="L67" s="444" t="s">
        <v>614</v>
      </c>
      <c r="M67" s="576"/>
      <c r="N67" s="576">
        <f t="shared" si="5"/>
        <v>0</v>
      </c>
      <c r="O67" s="585">
        <f t="shared" si="6"/>
        <v>0</v>
      </c>
      <c r="P67" s="660">
        <f t="shared" si="7"/>
        <v>0</v>
      </c>
      <c r="Q67" s="765"/>
      <c r="R67" s="576">
        <f t="shared" si="8"/>
        <v>0</v>
      </c>
      <c r="S67" s="576">
        <f t="shared" si="8"/>
        <v>0</v>
      </c>
      <c r="T67" s="585">
        <f t="shared" si="9"/>
        <v>0</v>
      </c>
      <c r="U67" s="660">
        <f t="shared" si="10"/>
        <v>0</v>
      </c>
      <c r="V67" s="579"/>
      <c r="W67" s="566"/>
      <c r="X67" s="586" t="str">
        <f t="shared" si="0"/>
        <v/>
      </c>
      <c r="Y67" s="586" t="str">
        <f t="shared" si="1"/>
        <v/>
      </c>
      <c r="Z67" s="586" t="str">
        <f t="shared" si="2"/>
        <v/>
      </c>
    </row>
    <row r="68" spans="1:26" ht="12" hidden="1" thickBot="1" x14ac:dyDescent="0.25">
      <c r="A68" s="567" t="s">
        <v>189</v>
      </c>
      <c r="B68" s="628" t="s">
        <v>189</v>
      </c>
      <c r="C68" s="629"/>
      <c r="D68" s="630" t="s">
        <v>459</v>
      </c>
      <c r="E68" s="631"/>
      <c r="F68" s="632"/>
      <c r="G68" s="633"/>
      <c r="H68" s="634"/>
      <c r="I68" s="409"/>
      <c r="J68" s="409"/>
      <c r="K68" s="409"/>
      <c r="L68" s="409" t="s">
        <v>614</v>
      </c>
      <c r="M68" s="634"/>
      <c r="N68" s="797"/>
      <c r="O68" s="409">
        <f t="shared" si="6"/>
        <v>0</v>
      </c>
      <c r="P68" s="635">
        <f t="shared" si="7"/>
        <v>0</v>
      </c>
      <c r="Q68" s="635">
        <f>SUM(P69:P115)</f>
        <v>0</v>
      </c>
      <c r="R68" s="634"/>
      <c r="S68" s="409"/>
      <c r="T68" s="409">
        <f t="shared" si="9"/>
        <v>0</v>
      </c>
      <c r="U68" s="635">
        <f t="shared" si="10"/>
        <v>0</v>
      </c>
      <c r="V68" s="636">
        <f>SUM(U69:U115)</f>
        <v>0</v>
      </c>
      <c r="W68" s="637" t="str">
        <f>IF(OR(Q68&gt;0,V68&gt;0),"X","")</f>
        <v/>
      </c>
      <c r="X68" s="586" t="str">
        <f t="shared" si="0"/>
        <v/>
      </c>
      <c r="Y68" s="586" t="str">
        <f t="shared" si="1"/>
        <v/>
      </c>
      <c r="Z68" s="586" t="str">
        <f t="shared" si="2"/>
        <v/>
      </c>
    </row>
    <row r="69" spans="1:26" ht="12" hidden="1" thickBot="1" x14ac:dyDescent="0.25">
      <c r="A69" s="567">
        <v>400500</v>
      </c>
      <c r="B69" s="644" t="s">
        <v>1535</v>
      </c>
      <c r="C69" s="639" t="s">
        <v>206</v>
      </c>
      <c r="D69" s="445" t="s">
        <v>198</v>
      </c>
      <c r="E69" s="446"/>
      <c r="F69" s="447">
        <v>20</v>
      </c>
      <c r="G69" s="448">
        <v>1.73</v>
      </c>
      <c r="H69" s="661">
        <f>IF(F69&lt;=30,(1.07*F69+2.68)*G69,((1.07*30+2.68)+1.07*(F69-30))*G69)</f>
        <v>41.6584</v>
      </c>
      <c r="I69" s="414">
        <v>80.100000000000009</v>
      </c>
      <c r="J69" s="414">
        <f t="shared" ref="J69:J89" si="13">IF(ISBLANK(I69),"",SUM(H69:I69))</f>
        <v>121.75840000000001</v>
      </c>
      <c r="K69" s="415">
        <f t="shared" ref="K69:K89" si="14">IF(ISBLANK(I69),0,ROUND(J69*(1+$F$10)*(1+$F$11*E69),2))</f>
        <v>144.66</v>
      </c>
      <c r="L69" s="641" t="s">
        <v>16</v>
      </c>
      <c r="M69" s="576"/>
      <c r="N69" s="576">
        <f t="shared" si="5"/>
        <v>0</v>
      </c>
      <c r="O69" s="642">
        <f t="shared" si="6"/>
        <v>0</v>
      </c>
      <c r="P69" s="578">
        <f t="shared" si="7"/>
        <v>0</v>
      </c>
      <c r="Q69" s="765"/>
      <c r="R69" s="576">
        <f t="shared" si="8"/>
        <v>0</v>
      </c>
      <c r="S69" s="576">
        <f t="shared" si="8"/>
        <v>0</v>
      </c>
      <c r="T69" s="577">
        <f t="shared" si="9"/>
        <v>0</v>
      </c>
      <c r="U69" s="578">
        <f t="shared" si="10"/>
        <v>0</v>
      </c>
      <c r="V69" s="643"/>
      <c r="W69" s="566"/>
      <c r="X69" s="586" t="str">
        <f t="shared" si="0"/>
        <v/>
      </c>
      <c r="Y69" s="586" t="str">
        <f t="shared" si="1"/>
        <v/>
      </c>
      <c r="Z69" s="586" t="str">
        <f t="shared" si="2"/>
        <v/>
      </c>
    </row>
    <row r="70" spans="1:26" ht="12" hidden="1" thickBot="1" x14ac:dyDescent="0.25">
      <c r="A70" s="567">
        <v>401200</v>
      </c>
      <c r="B70" s="644">
        <v>401200</v>
      </c>
      <c r="C70" s="645" t="s">
        <v>206</v>
      </c>
      <c r="D70" s="422" t="s">
        <v>195</v>
      </c>
      <c r="E70" s="423"/>
      <c r="F70" s="424"/>
      <c r="G70" s="425"/>
      <c r="H70" s="649"/>
      <c r="I70" s="414">
        <v>1.61</v>
      </c>
      <c r="J70" s="420">
        <f t="shared" si="13"/>
        <v>1.61</v>
      </c>
      <c r="K70" s="421">
        <f t="shared" si="14"/>
        <v>1.91</v>
      </c>
      <c r="L70" s="647" t="s">
        <v>16</v>
      </c>
      <c r="M70" s="576"/>
      <c r="N70" s="576">
        <f t="shared" si="5"/>
        <v>0</v>
      </c>
      <c r="O70" s="642">
        <f t="shared" si="6"/>
        <v>0</v>
      </c>
      <c r="P70" s="578">
        <f t="shared" si="7"/>
        <v>0</v>
      </c>
      <c r="Q70" s="765"/>
      <c r="R70" s="576">
        <f t="shared" si="8"/>
        <v>0</v>
      </c>
      <c r="S70" s="576">
        <f t="shared" si="8"/>
        <v>0</v>
      </c>
      <c r="T70" s="577">
        <f t="shared" si="9"/>
        <v>0</v>
      </c>
      <c r="U70" s="578">
        <f t="shared" si="10"/>
        <v>0</v>
      </c>
      <c r="V70" s="579"/>
      <c r="W70" s="566"/>
      <c r="X70" s="586" t="str">
        <f t="shared" si="0"/>
        <v/>
      </c>
      <c r="Y70" s="586" t="str">
        <f t="shared" si="1"/>
        <v/>
      </c>
      <c r="Z70" s="586" t="str">
        <f t="shared" si="2"/>
        <v/>
      </c>
    </row>
    <row r="71" spans="1:26" ht="12" hidden="1" thickBot="1" x14ac:dyDescent="0.25">
      <c r="A71" s="567">
        <v>401000</v>
      </c>
      <c r="B71" s="644">
        <v>401000</v>
      </c>
      <c r="C71" s="645" t="s">
        <v>206</v>
      </c>
      <c r="D71" s="422" t="s">
        <v>197</v>
      </c>
      <c r="E71" s="423"/>
      <c r="F71" s="424"/>
      <c r="G71" s="425"/>
      <c r="H71" s="649"/>
      <c r="I71" s="414">
        <v>6.9</v>
      </c>
      <c r="J71" s="420">
        <f t="shared" si="13"/>
        <v>6.9</v>
      </c>
      <c r="K71" s="421">
        <f t="shared" si="14"/>
        <v>8.1999999999999993</v>
      </c>
      <c r="L71" s="647" t="s">
        <v>16</v>
      </c>
      <c r="M71" s="576"/>
      <c r="N71" s="576">
        <f t="shared" si="5"/>
        <v>0</v>
      </c>
      <c r="O71" s="642">
        <f t="shared" si="6"/>
        <v>0</v>
      </c>
      <c r="P71" s="578">
        <f t="shared" si="7"/>
        <v>0</v>
      </c>
      <c r="Q71" s="765"/>
      <c r="R71" s="576">
        <f t="shared" si="8"/>
        <v>0</v>
      </c>
      <c r="S71" s="576">
        <f t="shared" si="8"/>
        <v>0</v>
      </c>
      <c r="T71" s="577">
        <f t="shared" si="9"/>
        <v>0</v>
      </c>
      <c r="U71" s="578">
        <f t="shared" si="10"/>
        <v>0</v>
      </c>
      <c r="V71" s="579"/>
      <c r="W71" s="566"/>
      <c r="X71" s="586" t="str">
        <f t="shared" si="0"/>
        <v/>
      </c>
      <c r="Y71" s="586" t="str">
        <f t="shared" si="1"/>
        <v/>
      </c>
      <c r="Z71" s="586" t="str">
        <f t="shared" si="2"/>
        <v/>
      </c>
    </row>
    <row r="72" spans="1:26" ht="12" hidden="1" thickBot="1" x14ac:dyDescent="0.25">
      <c r="A72" s="567">
        <v>401950</v>
      </c>
      <c r="B72" s="644">
        <v>401950</v>
      </c>
      <c r="C72" s="645" t="s">
        <v>206</v>
      </c>
      <c r="D72" s="422" t="s">
        <v>196</v>
      </c>
      <c r="E72" s="423"/>
      <c r="F72" s="424"/>
      <c r="G72" s="425"/>
      <c r="H72" s="649"/>
      <c r="I72" s="414">
        <v>5.72</v>
      </c>
      <c r="J72" s="420">
        <f t="shared" si="13"/>
        <v>5.72</v>
      </c>
      <c r="K72" s="421">
        <f t="shared" si="14"/>
        <v>6.8</v>
      </c>
      <c r="L72" s="647" t="s">
        <v>16</v>
      </c>
      <c r="M72" s="576"/>
      <c r="N72" s="576">
        <f t="shared" si="5"/>
        <v>0</v>
      </c>
      <c r="O72" s="577">
        <f t="shared" si="6"/>
        <v>0</v>
      </c>
      <c r="P72" s="578">
        <f t="shared" si="7"/>
        <v>0</v>
      </c>
      <c r="Q72" s="765"/>
      <c r="R72" s="576">
        <f t="shared" si="8"/>
        <v>0</v>
      </c>
      <c r="S72" s="576">
        <f t="shared" si="8"/>
        <v>0</v>
      </c>
      <c r="T72" s="577">
        <f t="shared" si="9"/>
        <v>0</v>
      </c>
      <c r="U72" s="578">
        <f t="shared" si="10"/>
        <v>0</v>
      </c>
      <c r="V72" s="579"/>
      <c r="W72" s="566"/>
      <c r="X72" s="586" t="str">
        <f t="shared" si="0"/>
        <v/>
      </c>
      <c r="Y72" s="586" t="str">
        <f t="shared" si="1"/>
        <v/>
      </c>
      <c r="Z72" s="586" t="str">
        <f t="shared" si="2"/>
        <v/>
      </c>
    </row>
    <row r="73" spans="1:26" ht="12" hidden="1" thickBot="1" x14ac:dyDescent="0.25">
      <c r="A73" s="567">
        <v>400000</v>
      </c>
      <c r="B73" s="644">
        <v>400000</v>
      </c>
      <c r="C73" s="645" t="s">
        <v>206</v>
      </c>
      <c r="D73" s="422" t="s">
        <v>191</v>
      </c>
      <c r="E73" s="423"/>
      <c r="F73" s="424"/>
      <c r="G73" s="425"/>
      <c r="H73" s="649"/>
      <c r="I73" s="414">
        <v>1.1599999999999999</v>
      </c>
      <c r="J73" s="420">
        <f t="shared" si="13"/>
        <v>1.1599999999999999</v>
      </c>
      <c r="K73" s="421">
        <f t="shared" si="14"/>
        <v>1.38</v>
      </c>
      <c r="L73" s="647" t="s">
        <v>18</v>
      </c>
      <c r="M73" s="576"/>
      <c r="N73" s="576">
        <f t="shared" si="5"/>
        <v>0</v>
      </c>
      <c r="O73" s="577">
        <f t="shared" si="6"/>
        <v>0</v>
      </c>
      <c r="P73" s="578">
        <f t="shared" si="7"/>
        <v>0</v>
      </c>
      <c r="Q73" s="765"/>
      <c r="R73" s="576">
        <f t="shared" si="8"/>
        <v>0</v>
      </c>
      <c r="S73" s="576">
        <f t="shared" si="8"/>
        <v>0</v>
      </c>
      <c r="T73" s="577">
        <f t="shared" si="9"/>
        <v>0</v>
      </c>
      <c r="U73" s="578">
        <f t="shared" si="10"/>
        <v>0</v>
      </c>
      <c r="V73" s="579"/>
      <c r="W73" s="637"/>
      <c r="X73" s="586" t="str">
        <f t="shared" si="0"/>
        <v/>
      </c>
      <c r="Y73" s="586" t="str">
        <f t="shared" si="1"/>
        <v/>
      </c>
      <c r="Z73" s="586" t="str">
        <f t="shared" si="2"/>
        <v/>
      </c>
    </row>
    <row r="74" spans="1:26" ht="12" hidden="1" thickBot="1" x14ac:dyDescent="0.25">
      <c r="A74" s="567">
        <v>400300</v>
      </c>
      <c r="B74" s="644">
        <v>400300</v>
      </c>
      <c r="C74" s="645" t="s">
        <v>206</v>
      </c>
      <c r="D74" s="422" t="s">
        <v>192</v>
      </c>
      <c r="E74" s="423"/>
      <c r="F74" s="424"/>
      <c r="G74" s="425"/>
      <c r="H74" s="649"/>
      <c r="I74" s="414">
        <v>49.76</v>
      </c>
      <c r="J74" s="420">
        <f t="shared" si="13"/>
        <v>49.76</v>
      </c>
      <c r="K74" s="421">
        <f t="shared" si="14"/>
        <v>59.12</v>
      </c>
      <c r="L74" s="647" t="s">
        <v>21</v>
      </c>
      <c r="M74" s="576"/>
      <c r="N74" s="576">
        <f t="shared" si="5"/>
        <v>0</v>
      </c>
      <c r="O74" s="577">
        <f t="shared" si="6"/>
        <v>0</v>
      </c>
      <c r="P74" s="578">
        <f t="shared" si="7"/>
        <v>0</v>
      </c>
      <c r="Q74" s="765"/>
      <c r="R74" s="576">
        <f t="shared" si="8"/>
        <v>0</v>
      </c>
      <c r="S74" s="576">
        <f t="shared" si="8"/>
        <v>0</v>
      </c>
      <c r="T74" s="577">
        <f t="shared" si="9"/>
        <v>0</v>
      </c>
      <c r="U74" s="578">
        <f t="shared" si="10"/>
        <v>0</v>
      </c>
      <c r="V74" s="579"/>
      <c r="W74" s="637"/>
      <c r="X74" s="586" t="str">
        <f t="shared" si="0"/>
        <v/>
      </c>
      <c r="Y74" s="586" t="str">
        <f t="shared" si="1"/>
        <v/>
      </c>
      <c r="Z74" s="586" t="str">
        <f t="shared" si="2"/>
        <v/>
      </c>
    </row>
    <row r="75" spans="1:26" ht="12" hidden="1" thickBot="1" x14ac:dyDescent="0.25">
      <c r="A75" s="567">
        <v>511130</v>
      </c>
      <c r="B75" s="644" t="s">
        <v>1529</v>
      </c>
      <c r="C75" s="645" t="s">
        <v>206</v>
      </c>
      <c r="D75" s="422" t="s">
        <v>479</v>
      </c>
      <c r="E75" s="423"/>
      <c r="F75" s="424"/>
      <c r="G75" s="425"/>
      <c r="H75" s="649"/>
      <c r="I75" s="414">
        <v>1.27</v>
      </c>
      <c r="J75" s="420">
        <f t="shared" si="13"/>
        <v>1.27</v>
      </c>
      <c r="K75" s="421">
        <f t="shared" si="14"/>
        <v>1.51</v>
      </c>
      <c r="L75" s="647" t="s">
        <v>16</v>
      </c>
      <c r="M75" s="576"/>
      <c r="N75" s="576">
        <f t="shared" si="5"/>
        <v>0</v>
      </c>
      <c r="O75" s="577">
        <f t="shared" si="6"/>
        <v>0</v>
      </c>
      <c r="P75" s="578">
        <f t="shared" si="7"/>
        <v>0</v>
      </c>
      <c r="Q75" s="765"/>
      <c r="R75" s="576">
        <f t="shared" si="8"/>
        <v>0</v>
      </c>
      <c r="S75" s="576">
        <f t="shared" si="8"/>
        <v>0</v>
      </c>
      <c r="T75" s="577">
        <f t="shared" si="9"/>
        <v>0</v>
      </c>
      <c r="U75" s="578">
        <f t="shared" si="10"/>
        <v>0</v>
      </c>
      <c r="V75" s="579"/>
      <c r="W75" s="662"/>
      <c r="X75" s="586" t="str">
        <f t="shared" si="0"/>
        <v/>
      </c>
      <c r="Y75" s="586" t="str">
        <f t="shared" si="1"/>
        <v/>
      </c>
      <c r="Z75" s="586" t="str">
        <f t="shared" si="2"/>
        <v/>
      </c>
    </row>
    <row r="76" spans="1:26" ht="12" hidden="1" thickBot="1" x14ac:dyDescent="0.25">
      <c r="A76" s="567">
        <v>501000</v>
      </c>
      <c r="B76" s="644">
        <v>501000</v>
      </c>
      <c r="C76" s="645" t="s">
        <v>206</v>
      </c>
      <c r="D76" s="422" t="s">
        <v>478</v>
      </c>
      <c r="E76" s="423"/>
      <c r="F76" s="424">
        <v>2</v>
      </c>
      <c r="G76" s="425">
        <v>1.8</v>
      </c>
      <c r="H76" s="649">
        <f>IF(F76&lt;=30,(1.07*F76+2.68)*G76,((1.07*30+2.68)+1.07*(F76-30))*G76)</f>
        <v>8.6760000000000002</v>
      </c>
      <c r="I76" s="414">
        <v>6.18</v>
      </c>
      <c r="J76" s="420">
        <f t="shared" si="13"/>
        <v>14.856</v>
      </c>
      <c r="K76" s="421">
        <f t="shared" si="14"/>
        <v>17.649999999999999</v>
      </c>
      <c r="L76" s="647" t="s">
        <v>16</v>
      </c>
      <c r="M76" s="576"/>
      <c r="N76" s="576">
        <f t="shared" si="5"/>
        <v>0</v>
      </c>
      <c r="O76" s="577">
        <f t="shared" si="6"/>
        <v>0</v>
      </c>
      <c r="P76" s="578">
        <f t="shared" si="7"/>
        <v>0</v>
      </c>
      <c r="Q76" s="765"/>
      <c r="R76" s="576">
        <f t="shared" si="8"/>
        <v>0</v>
      </c>
      <c r="S76" s="576">
        <f t="shared" si="8"/>
        <v>0</v>
      </c>
      <c r="T76" s="577">
        <f t="shared" si="9"/>
        <v>0</v>
      </c>
      <c r="U76" s="578">
        <f t="shared" si="10"/>
        <v>0</v>
      </c>
      <c r="V76" s="579"/>
      <c r="W76" s="662"/>
      <c r="X76" s="586" t="str">
        <f t="shared" si="0"/>
        <v/>
      </c>
      <c r="Y76" s="586" t="str">
        <f t="shared" si="1"/>
        <v/>
      </c>
      <c r="Z76" s="586" t="str">
        <f t="shared" si="2"/>
        <v/>
      </c>
    </row>
    <row r="77" spans="1:26" ht="12" hidden="1" thickBot="1" x14ac:dyDescent="0.25">
      <c r="A77" s="567">
        <v>101114</v>
      </c>
      <c r="B77" s="644">
        <v>101114</v>
      </c>
      <c r="C77" s="645" t="s">
        <v>670</v>
      </c>
      <c r="D77" s="422" t="s">
        <v>1706</v>
      </c>
      <c r="E77" s="423"/>
      <c r="F77" s="424"/>
      <c r="G77" s="425">
        <v>0</v>
      </c>
      <c r="H77" s="649"/>
      <c r="I77" s="414">
        <v>4.12</v>
      </c>
      <c r="J77" s="420">
        <f t="shared" si="13"/>
        <v>4.12</v>
      </c>
      <c r="K77" s="421">
        <f t="shared" si="14"/>
        <v>4.8899999999999997</v>
      </c>
      <c r="L77" s="647" t="s">
        <v>16</v>
      </c>
      <c r="M77" s="576"/>
      <c r="N77" s="576">
        <f t="shared" si="5"/>
        <v>0</v>
      </c>
      <c r="O77" s="577">
        <f t="shared" si="6"/>
        <v>0</v>
      </c>
      <c r="P77" s="578">
        <f t="shared" si="7"/>
        <v>0</v>
      </c>
      <c r="Q77" s="765"/>
      <c r="R77" s="576">
        <f t="shared" si="8"/>
        <v>0</v>
      </c>
      <c r="S77" s="576">
        <f t="shared" si="8"/>
        <v>0</v>
      </c>
      <c r="T77" s="577">
        <f t="shared" si="9"/>
        <v>0</v>
      </c>
      <c r="U77" s="578">
        <f t="shared" si="10"/>
        <v>0</v>
      </c>
      <c r="V77" s="579"/>
      <c r="W77" s="566"/>
      <c r="X77" s="586" t="str">
        <f t="shared" si="0"/>
        <v/>
      </c>
      <c r="Y77" s="586" t="str">
        <f t="shared" si="1"/>
        <v/>
      </c>
      <c r="Z77" s="586" t="str">
        <f t="shared" si="2"/>
        <v/>
      </c>
    </row>
    <row r="78" spans="1:26" ht="12" hidden="1" thickBot="1" x14ac:dyDescent="0.25">
      <c r="A78" s="567">
        <v>101119</v>
      </c>
      <c r="B78" s="644">
        <v>101119</v>
      </c>
      <c r="C78" s="645" t="s">
        <v>670</v>
      </c>
      <c r="D78" s="422" t="s">
        <v>1707</v>
      </c>
      <c r="E78" s="423"/>
      <c r="F78" s="424"/>
      <c r="G78" s="425"/>
      <c r="H78" s="649"/>
      <c r="I78" s="414">
        <v>7.87</v>
      </c>
      <c r="J78" s="420">
        <f t="shared" si="13"/>
        <v>7.87</v>
      </c>
      <c r="K78" s="421">
        <f t="shared" si="14"/>
        <v>9.35</v>
      </c>
      <c r="L78" s="647" t="s">
        <v>16</v>
      </c>
      <c r="M78" s="576"/>
      <c r="N78" s="576">
        <f t="shared" si="5"/>
        <v>0</v>
      </c>
      <c r="O78" s="577">
        <f t="shared" si="6"/>
        <v>0</v>
      </c>
      <c r="P78" s="578">
        <f t="shared" si="7"/>
        <v>0</v>
      </c>
      <c r="Q78" s="765"/>
      <c r="R78" s="576">
        <f t="shared" si="8"/>
        <v>0</v>
      </c>
      <c r="S78" s="576">
        <f t="shared" si="8"/>
        <v>0</v>
      </c>
      <c r="T78" s="577">
        <f t="shared" si="9"/>
        <v>0</v>
      </c>
      <c r="U78" s="578">
        <f t="shared" si="10"/>
        <v>0</v>
      </c>
      <c r="V78" s="579"/>
      <c r="W78" s="566"/>
      <c r="X78" s="586" t="str">
        <f t="shared" si="0"/>
        <v/>
      </c>
      <c r="Y78" s="586" t="str">
        <f t="shared" si="1"/>
        <v/>
      </c>
      <c r="Z78" s="586" t="str">
        <f t="shared" si="2"/>
        <v/>
      </c>
    </row>
    <row r="79" spans="1:26" ht="12" hidden="1" thickBot="1" x14ac:dyDescent="0.25">
      <c r="A79" s="567">
        <v>430010</v>
      </c>
      <c r="B79" s="644">
        <v>430210</v>
      </c>
      <c r="C79" s="645" t="s">
        <v>206</v>
      </c>
      <c r="D79" s="422" t="s">
        <v>1708</v>
      </c>
      <c r="E79" s="423"/>
      <c r="F79" s="424"/>
      <c r="G79" s="425"/>
      <c r="H79" s="649"/>
      <c r="I79" s="414">
        <v>25.16</v>
      </c>
      <c r="J79" s="420">
        <f>IF(ISBLANK(I79),"",SUM(H79:I79))</f>
        <v>25.16</v>
      </c>
      <c r="K79" s="421">
        <f>IF(ISBLANK(I79),0,ROUND(J79*(1+$F$10)*(1+$F$11*E79),2))</f>
        <v>29.89</v>
      </c>
      <c r="L79" s="647" t="s">
        <v>16</v>
      </c>
      <c r="M79" s="576"/>
      <c r="N79" s="576">
        <f t="shared" si="5"/>
        <v>0</v>
      </c>
      <c r="O79" s="577">
        <f>IF(ISBLANK(M79),0,ROUND(K79*M79,2))</f>
        <v>0</v>
      </c>
      <c r="P79" s="578">
        <f>IF(ISBLANK(N79),0,ROUND(M79*N79,2))</f>
        <v>0</v>
      </c>
      <c r="Q79" s="765"/>
      <c r="R79" s="576">
        <f>M79</f>
        <v>0</v>
      </c>
      <c r="S79" s="576">
        <f>N79</f>
        <v>0</v>
      </c>
      <c r="T79" s="577">
        <f>IF(ISBLANK(R79),0,ROUND(K79*R79,2))</f>
        <v>0</v>
      </c>
      <c r="U79" s="578">
        <f>IF(ISBLANK(R79),0,ROUND(R79*S79,2))</f>
        <v>0</v>
      </c>
      <c r="V79" s="579"/>
      <c r="W79" s="566"/>
      <c r="X79" s="586" t="str">
        <f>IF(W79="X","x",IF(W79="xx","x",IF(W79="xy","x",IF(W79="y","x",IF(OR(P79&gt;0,U79&gt;0),"x","")))))</f>
        <v/>
      </c>
      <c r="Y79" s="586" t="str">
        <f>IF(W79="X","x",IF(W79="y","x",IF(W79="xx","x",IF(U79&gt;0,"x",""))))</f>
        <v/>
      </c>
      <c r="Z79" s="586" t="str">
        <f>IF(W79="X","x",IF(U79&gt;0,"x",""))</f>
        <v/>
      </c>
    </row>
    <row r="80" spans="1:26" ht="12" hidden="1" thickBot="1" x14ac:dyDescent="0.25">
      <c r="A80" s="567" t="s">
        <v>1709</v>
      </c>
      <c r="B80" s="644" t="s">
        <v>1709</v>
      </c>
      <c r="C80" s="645" t="s">
        <v>1705</v>
      </c>
      <c r="D80" s="422" t="s">
        <v>1710</v>
      </c>
      <c r="E80" s="423"/>
      <c r="F80" s="424"/>
      <c r="G80" s="425"/>
      <c r="H80" s="649"/>
      <c r="I80" s="420">
        <v>0.87</v>
      </c>
      <c r="J80" s="420">
        <f>IF(ISBLANK(I80),"",SUM(H80:I80))</f>
        <v>0.87</v>
      </c>
      <c r="K80" s="421">
        <f>IF(ISBLANK(I80),0,ROUND(J80*(1+$F$10)*(1+$F$11*E80),2))</f>
        <v>1.03</v>
      </c>
      <c r="L80" s="647" t="s">
        <v>2065</v>
      </c>
      <c r="M80" s="576"/>
      <c r="N80" s="576">
        <f t="shared" si="5"/>
        <v>0</v>
      </c>
      <c r="O80" s="577">
        <f>IF(ISBLANK(M80),0,ROUND(K80*M80,2))</f>
        <v>0</v>
      </c>
      <c r="P80" s="578">
        <f>IF(ISBLANK(N80),0,ROUND(M80*N80,2))</f>
        <v>0</v>
      </c>
      <c r="Q80" s="765"/>
      <c r="R80" s="576">
        <f>M80</f>
        <v>0</v>
      </c>
      <c r="S80" s="576">
        <f>N80</f>
        <v>0</v>
      </c>
      <c r="T80" s="577">
        <f>IF(ISBLANK(R80),0,ROUND(K80*R80,2))</f>
        <v>0</v>
      </c>
      <c r="U80" s="578">
        <f>IF(ISBLANK(R80),0,ROUND(R80*S80,2))</f>
        <v>0</v>
      </c>
      <c r="V80" s="579"/>
      <c r="W80" s="566"/>
      <c r="X80" s="586" t="str">
        <f>IF(W80="X","x",IF(W80="xx","x",IF(W80="xy","x",IF(W80="y","x",IF(OR(P80&gt;0,U80&gt;0),"x","")))))</f>
        <v/>
      </c>
      <c r="Y80" s="586" t="str">
        <f>IF(W80="X","x",IF(W80="y","x",IF(W80="xx","x",IF(U80&gt;0,"x",""))))</f>
        <v/>
      </c>
      <c r="Z80" s="586" t="str">
        <f>IF(W80="X","x",IF(U80&gt;0,"x",""))</f>
        <v/>
      </c>
    </row>
    <row r="81" spans="1:26" ht="12" hidden="1" thickBot="1" x14ac:dyDescent="0.25">
      <c r="A81" s="567">
        <v>520100</v>
      </c>
      <c r="B81" s="644" t="s">
        <v>1728</v>
      </c>
      <c r="C81" s="645" t="s">
        <v>206</v>
      </c>
      <c r="D81" s="422" t="s">
        <v>1711</v>
      </c>
      <c r="E81" s="423"/>
      <c r="F81" s="424"/>
      <c r="G81" s="425">
        <v>0</v>
      </c>
      <c r="H81" s="649"/>
      <c r="I81" s="414">
        <v>5.62</v>
      </c>
      <c r="J81" s="420">
        <f t="shared" si="13"/>
        <v>5.62</v>
      </c>
      <c r="K81" s="421">
        <f t="shared" si="14"/>
        <v>6.68</v>
      </c>
      <c r="L81" s="647" t="s">
        <v>16</v>
      </c>
      <c r="M81" s="576"/>
      <c r="N81" s="576">
        <f t="shared" si="5"/>
        <v>0</v>
      </c>
      <c r="O81" s="577">
        <f t="shared" si="6"/>
        <v>0</v>
      </c>
      <c r="P81" s="578">
        <f t="shared" si="7"/>
        <v>0</v>
      </c>
      <c r="Q81" s="765"/>
      <c r="R81" s="576">
        <f t="shared" si="8"/>
        <v>0</v>
      </c>
      <c r="S81" s="576">
        <f t="shared" si="8"/>
        <v>0</v>
      </c>
      <c r="T81" s="577">
        <f t="shared" si="9"/>
        <v>0</v>
      </c>
      <c r="U81" s="578">
        <f t="shared" si="10"/>
        <v>0</v>
      </c>
      <c r="V81" s="579"/>
      <c r="W81" s="566"/>
      <c r="X81" s="586" t="str">
        <f t="shared" si="0"/>
        <v/>
      </c>
      <c r="Y81" s="586" t="str">
        <f t="shared" si="1"/>
        <v/>
      </c>
      <c r="Z81" s="586" t="str">
        <f t="shared" si="2"/>
        <v/>
      </c>
    </row>
    <row r="82" spans="1:26" ht="12" hidden="1" thickBot="1" x14ac:dyDescent="0.25">
      <c r="A82" s="567">
        <v>520200</v>
      </c>
      <c r="B82" s="644" t="s">
        <v>1729</v>
      </c>
      <c r="C82" s="645" t="s">
        <v>206</v>
      </c>
      <c r="D82" s="422" t="s">
        <v>1712</v>
      </c>
      <c r="E82" s="423"/>
      <c r="F82" s="424"/>
      <c r="G82" s="425"/>
      <c r="H82" s="649"/>
      <c r="I82" s="414">
        <v>6.87</v>
      </c>
      <c r="J82" s="420">
        <f t="shared" si="13"/>
        <v>6.87</v>
      </c>
      <c r="K82" s="421">
        <f t="shared" si="14"/>
        <v>8.16</v>
      </c>
      <c r="L82" s="647" t="s">
        <v>16</v>
      </c>
      <c r="M82" s="576"/>
      <c r="N82" s="576">
        <f t="shared" si="5"/>
        <v>0</v>
      </c>
      <c r="O82" s="577">
        <f t="shared" si="6"/>
        <v>0</v>
      </c>
      <c r="P82" s="578">
        <f t="shared" si="7"/>
        <v>0</v>
      </c>
      <c r="Q82" s="765"/>
      <c r="R82" s="576">
        <f t="shared" si="8"/>
        <v>0</v>
      </c>
      <c r="S82" s="576">
        <f t="shared" si="8"/>
        <v>0</v>
      </c>
      <c r="T82" s="577">
        <f t="shared" si="9"/>
        <v>0</v>
      </c>
      <c r="U82" s="578">
        <f t="shared" si="10"/>
        <v>0</v>
      </c>
      <c r="V82" s="579"/>
      <c r="W82" s="566"/>
      <c r="X82" s="586" t="str">
        <f t="shared" si="0"/>
        <v/>
      </c>
      <c r="Y82" s="586" t="str">
        <f t="shared" si="1"/>
        <v/>
      </c>
      <c r="Z82" s="586" t="str">
        <f t="shared" si="2"/>
        <v/>
      </c>
    </row>
    <row r="83" spans="1:26" ht="12" hidden="1" thickBot="1" x14ac:dyDescent="0.25">
      <c r="A83" s="567">
        <v>431010</v>
      </c>
      <c r="B83" s="644">
        <v>431010</v>
      </c>
      <c r="C83" s="645" t="s">
        <v>206</v>
      </c>
      <c r="D83" s="422" t="s">
        <v>1713</v>
      </c>
      <c r="E83" s="423"/>
      <c r="F83" s="424"/>
      <c r="G83" s="425">
        <v>0</v>
      </c>
      <c r="H83" s="649"/>
      <c r="I83" s="414">
        <v>40.54</v>
      </c>
      <c r="J83" s="420">
        <f t="shared" si="13"/>
        <v>40.54</v>
      </c>
      <c r="K83" s="421">
        <f t="shared" si="14"/>
        <v>48.17</v>
      </c>
      <c r="L83" s="647" t="s">
        <v>16</v>
      </c>
      <c r="M83" s="576"/>
      <c r="N83" s="576">
        <f t="shared" si="5"/>
        <v>0</v>
      </c>
      <c r="O83" s="577">
        <f t="shared" si="6"/>
        <v>0</v>
      </c>
      <c r="P83" s="578">
        <f t="shared" si="7"/>
        <v>0</v>
      </c>
      <c r="Q83" s="765"/>
      <c r="R83" s="576">
        <f t="shared" si="8"/>
        <v>0</v>
      </c>
      <c r="S83" s="576">
        <f t="shared" si="8"/>
        <v>0</v>
      </c>
      <c r="T83" s="577">
        <f t="shared" si="9"/>
        <v>0</v>
      </c>
      <c r="U83" s="578">
        <f t="shared" si="10"/>
        <v>0</v>
      </c>
      <c r="V83" s="579"/>
      <c r="W83" s="566"/>
      <c r="X83" s="586" t="str">
        <f t="shared" si="0"/>
        <v/>
      </c>
      <c r="Y83" s="586" t="str">
        <f t="shared" si="1"/>
        <v/>
      </c>
      <c r="Z83" s="586" t="str">
        <f t="shared" si="2"/>
        <v/>
      </c>
    </row>
    <row r="84" spans="1:26" ht="12" hidden="1" thickBot="1" x14ac:dyDescent="0.25">
      <c r="A84" s="567">
        <v>520100</v>
      </c>
      <c r="B84" s="644" t="s">
        <v>1530</v>
      </c>
      <c r="C84" s="645" t="s">
        <v>206</v>
      </c>
      <c r="D84" s="422" t="s">
        <v>1730</v>
      </c>
      <c r="E84" s="423"/>
      <c r="F84" s="424">
        <v>2</v>
      </c>
      <c r="G84" s="425">
        <v>1.5</v>
      </c>
      <c r="H84" s="649">
        <f>IF(F84&lt;=30,(1.07*F84+2.68)*G84,((1.07*30+2.68)+1.07*(F84-30))*G84)</f>
        <v>7.23</v>
      </c>
      <c r="I84" s="414">
        <v>5.62</v>
      </c>
      <c r="J84" s="420">
        <f t="shared" si="13"/>
        <v>12.850000000000001</v>
      </c>
      <c r="K84" s="421">
        <f t="shared" si="14"/>
        <v>15.27</v>
      </c>
      <c r="L84" s="647" t="s">
        <v>16</v>
      </c>
      <c r="M84" s="576"/>
      <c r="N84" s="576">
        <f t="shared" ref="N84:N147" si="15">IF(M84=0,0,K84)</f>
        <v>0</v>
      </c>
      <c r="O84" s="577">
        <f t="shared" si="6"/>
        <v>0</v>
      </c>
      <c r="P84" s="578">
        <f t="shared" si="7"/>
        <v>0</v>
      </c>
      <c r="Q84" s="765"/>
      <c r="R84" s="576">
        <f t="shared" si="8"/>
        <v>0</v>
      </c>
      <c r="S84" s="576">
        <f t="shared" si="8"/>
        <v>0</v>
      </c>
      <c r="T84" s="577">
        <f t="shared" si="9"/>
        <v>0</v>
      </c>
      <c r="U84" s="578">
        <f t="shared" si="10"/>
        <v>0</v>
      </c>
      <c r="V84" s="579"/>
      <c r="W84" s="566"/>
      <c r="X84" s="586" t="str">
        <f t="shared" si="0"/>
        <v/>
      </c>
      <c r="Y84" s="586" t="str">
        <f t="shared" ref="Y84:Y141" si="16">IF(W84="X","x",IF(W84="y","x",IF(W84="xx","x",IF(U84&gt;0,"x",""))))</f>
        <v/>
      </c>
      <c r="Z84" s="586" t="str">
        <f t="shared" ref="Z84:Z155" si="17">IF(W84="X","x",IF(U84&gt;0,"x",""))</f>
        <v/>
      </c>
    </row>
    <row r="85" spans="1:26" ht="12" hidden="1" thickBot="1" x14ac:dyDescent="0.25">
      <c r="A85" s="567">
        <v>520200</v>
      </c>
      <c r="B85" s="644" t="s">
        <v>1531</v>
      </c>
      <c r="C85" s="645" t="s">
        <v>206</v>
      </c>
      <c r="D85" s="422" t="s">
        <v>1731</v>
      </c>
      <c r="E85" s="423"/>
      <c r="F85" s="424">
        <v>2</v>
      </c>
      <c r="G85" s="425">
        <v>1.5</v>
      </c>
      <c r="H85" s="649">
        <f>IF(F85&lt;=30,(1.07*F85+2.68)*G85,((1.07*30+2.68)+1.07*(F85-30))*G85)</f>
        <v>7.23</v>
      </c>
      <c r="I85" s="414">
        <v>6.87</v>
      </c>
      <c r="J85" s="420">
        <f t="shared" si="13"/>
        <v>14.100000000000001</v>
      </c>
      <c r="K85" s="421">
        <f t="shared" si="14"/>
        <v>16.75</v>
      </c>
      <c r="L85" s="647" t="s">
        <v>16</v>
      </c>
      <c r="M85" s="576"/>
      <c r="N85" s="576">
        <f t="shared" si="15"/>
        <v>0</v>
      </c>
      <c r="O85" s="577">
        <f t="shared" si="6"/>
        <v>0</v>
      </c>
      <c r="P85" s="578">
        <f t="shared" si="7"/>
        <v>0</v>
      </c>
      <c r="Q85" s="765"/>
      <c r="R85" s="576">
        <f t="shared" si="8"/>
        <v>0</v>
      </c>
      <c r="S85" s="576">
        <f t="shared" si="8"/>
        <v>0</v>
      </c>
      <c r="T85" s="577">
        <f t="shared" si="9"/>
        <v>0</v>
      </c>
      <c r="U85" s="578">
        <f t="shared" si="10"/>
        <v>0</v>
      </c>
      <c r="V85" s="579"/>
      <c r="W85" s="566"/>
      <c r="X85" s="586" t="str">
        <f t="shared" si="0"/>
        <v/>
      </c>
      <c r="Y85" s="586" t="str">
        <f t="shared" si="16"/>
        <v/>
      </c>
      <c r="Z85" s="586" t="str">
        <f t="shared" si="17"/>
        <v/>
      </c>
    </row>
    <row r="86" spans="1:26" ht="12" hidden="1" thickBot="1" x14ac:dyDescent="0.25">
      <c r="A86" s="567">
        <v>521300</v>
      </c>
      <c r="B86" s="644">
        <v>521300</v>
      </c>
      <c r="C86" s="645" t="s">
        <v>206</v>
      </c>
      <c r="D86" s="422" t="s">
        <v>1714</v>
      </c>
      <c r="E86" s="423"/>
      <c r="F86" s="424">
        <v>2</v>
      </c>
      <c r="G86" s="425">
        <v>1.5</v>
      </c>
      <c r="H86" s="649">
        <f>IF(F86&lt;=30,(1.07*F86+2.68)*G86,((1.07*30+2.68)+1.07*(F86-30))*G86)</f>
        <v>7.23</v>
      </c>
      <c r="I86" s="414">
        <v>42.56</v>
      </c>
      <c r="J86" s="420">
        <f>IF(ISBLANK(I86),"",SUM(H86:I86))</f>
        <v>49.790000000000006</v>
      </c>
      <c r="K86" s="421">
        <f>IF(ISBLANK(I86),0,ROUND(J86*(1+$F$10)*(1+$F$11*E86),2))</f>
        <v>59.16</v>
      </c>
      <c r="L86" s="647" t="s">
        <v>16</v>
      </c>
      <c r="M86" s="576"/>
      <c r="N86" s="576">
        <f t="shared" si="15"/>
        <v>0</v>
      </c>
      <c r="O86" s="577">
        <f>IF(ISBLANK(M86),0,ROUND(K86*M86,2))</f>
        <v>0</v>
      </c>
      <c r="P86" s="578">
        <f>IF(ISBLANK(N86),0,ROUND(M86*N86,2))</f>
        <v>0</v>
      </c>
      <c r="Q86" s="765"/>
      <c r="R86" s="576">
        <f>M86</f>
        <v>0</v>
      </c>
      <c r="S86" s="576">
        <f>N86</f>
        <v>0</v>
      </c>
      <c r="T86" s="577">
        <f>IF(ISBLANK(R86),0,ROUND(K86*R86,2))</f>
        <v>0</v>
      </c>
      <c r="U86" s="578">
        <f>IF(ISBLANK(R86),0,ROUND(R86*S86,2))</f>
        <v>0</v>
      </c>
      <c r="V86" s="579"/>
      <c r="W86" s="566"/>
      <c r="X86" s="586" t="str">
        <f>IF(W86="X","x",IF(W86="xx","x",IF(W86="xy","x",IF(W86="y","x",IF(OR(P86&gt;0,U86&gt;0),"x","")))))</f>
        <v/>
      </c>
      <c r="Y86" s="586" t="str">
        <f>IF(W86="X","x",IF(W86="y","x",IF(W86="xx","x",IF(U86&gt;0,"x",""))))</f>
        <v/>
      </c>
      <c r="Z86" s="586" t="str">
        <f>IF(W86="X","x",IF(U86&gt;0,"x",""))</f>
        <v/>
      </c>
    </row>
    <row r="87" spans="1:26" ht="12" hidden="1" thickBot="1" x14ac:dyDescent="0.25">
      <c r="A87" s="567">
        <v>411000</v>
      </c>
      <c r="B87" s="644">
        <v>411000</v>
      </c>
      <c r="C87" s="645" t="s">
        <v>206</v>
      </c>
      <c r="D87" s="422" t="s">
        <v>194</v>
      </c>
      <c r="E87" s="423"/>
      <c r="F87" s="424"/>
      <c r="G87" s="425"/>
      <c r="H87" s="649"/>
      <c r="I87" s="414">
        <v>9.8699999999999992</v>
      </c>
      <c r="J87" s="420">
        <f t="shared" si="13"/>
        <v>9.8699999999999992</v>
      </c>
      <c r="K87" s="421">
        <f t="shared" si="14"/>
        <v>11.73</v>
      </c>
      <c r="L87" s="647" t="s">
        <v>16</v>
      </c>
      <c r="M87" s="576"/>
      <c r="N87" s="576">
        <f t="shared" si="15"/>
        <v>0</v>
      </c>
      <c r="O87" s="577">
        <f t="shared" si="6"/>
        <v>0</v>
      </c>
      <c r="P87" s="578">
        <f t="shared" si="7"/>
        <v>0</v>
      </c>
      <c r="Q87" s="765"/>
      <c r="R87" s="576">
        <f t="shared" si="8"/>
        <v>0</v>
      </c>
      <c r="S87" s="576">
        <f t="shared" si="8"/>
        <v>0</v>
      </c>
      <c r="T87" s="577">
        <f t="shared" si="9"/>
        <v>0</v>
      </c>
      <c r="U87" s="578">
        <f t="shared" si="10"/>
        <v>0</v>
      </c>
      <c r="V87" s="579"/>
      <c r="W87" s="662"/>
      <c r="X87" s="586" t="str">
        <f t="shared" si="0"/>
        <v/>
      </c>
      <c r="Y87" s="586" t="str">
        <f t="shared" si="16"/>
        <v/>
      </c>
      <c r="Z87" s="586" t="str">
        <f t="shared" si="17"/>
        <v/>
      </c>
    </row>
    <row r="88" spans="1:26" ht="12" hidden="1" thickBot="1" x14ac:dyDescent="0.25">
      <c r="A88" s="567">
        <v>420200</v>
      </c>
      <c r="B88" s="644">
        <v>420200</v>
      </c>
      <c r="C88" s="645" t="s">
        <v>206</v>
      </c>
      <c r="D88" s="422" t="s">
        <v>591</v>
      </c>
      <c r="E88" s="423"/>
      <c r="F88" s="424">
        <v>2</v>
      </c>
      <c r="G88" s="425">
        <v>0.5</v>
      </c>
      <c r="H88" s="649">
        <f>IF(F88&lt;=30,(1.07*F88+2.68)*G88,((1.07*30+2.68)+1.07*(F88-30))*G88)</f>
        <v>2.41</v>
      </c>
      <c r="I88" s="414">
        <v>11.79</v>
      </c>
      <c r="J88" s="420">
        <f>IF(ISBLANK(I88),"",SUM(H88:I88))*0.9</f>
        <v>12.78</v>
      </c>
      <c r="K88" s="421">
        <f t="shared" si="14"/>
        <v>15.18</v>
      </c>
      <c r="L88" s="647" t="s">
        <v>16</v>
      </c>
      <c r="M88" s="576"/>
      <c r="N88" s="576">
        <f t="shared" si="15"/>
        <v>0</v>
      </c>
      <c r="O88" s="577">
        <f t="shared" ref="O88:O158" si="18">IF(ISBLANK(M88),0,ROUND(K88*M88,2))</f>
        <v>0</v>
      </c>
      <c r="P88" s="578">
        <f t="shared" ref="P88:P158" si="19">IF(ISBLANK(N88),0,ROUND(M88*N88,2))</f>
        <v>0</v>
      </c>
      <c r="Q88" s="765"/>
      <c r="R88" s="576">
        <f t="shared" ref="R88:S156" si="20">M88</f>
        <v>0</v>
      </c>
      <c r="S88" s="576">
        <f t="shared" si="20"/>
        <v>0</v>
      </c>
      <c r="T88" s="577">
        <f t="shared" ref="T88:T158" si="21">IF(ISBLANK(R88),0,ROUND(K88*R88,2))</f>
        <v>0</v>
      </c>
      <c r="U88" s="578">
        <f t="shared" ref="U88:U158" si="22">IF(ISBLANK(R88),0,ROUND(R88*S88,2))</f>
        <v>0</v>
      </c>
      <c r="V88" s="579"/>
      <c r="W88" s="662"/>
      <c r="X88" s="586" t="str">
        <f t="shared" si="0"/>
        <v/>
      </c>
      <c r="Y88" s="586" t="str">
        <f t="shared" si="16"/>
        <v/>
      </c>
      <c r="Z88" s="586" t="str">
        <f t="shared" si="17"/>
        <v/>
      </c>
    </row>
    <row r="89" spans="1:26" ht="12" hidden="1" thickBot="1" x14ac:dyDescent="0.25">
      <c r="A89" s="567">
        <v>404000</v>
      </c>
      <c r="B89" s="644">
        <v>404000</v>
      </c>
      <c r="C89" s="645" t="s">
        <v>206</v>
      </c>
      <c r="D89" s="422" t="s">
        <v>193</v>
      </c>
      <c r="E89" s="423"/>
      <c r="F89" s="424">
        <v>2</v>
      </c>
      <c r="G89" s="425">
        <v>1.5</v>
      </c>
      <c r="H89" s="649">
        <f>IF(F89&lt;=30,(1.07*F89+2.68)*G89,((1.07*30+2.68)+1.07*(F89-30))*G89)</f>
        <v>7.23</v>
      </c>
      <c r="I89" s="414">
        <v>11.8</v>
      </c>
      <c r="J89" s="420">
        <f t="shared" si="13"/>
        <v>19.03</v>
      </c>
      <c r="K89" s="421">
        <f t="shared" si="14"/>
        <v>22.61</v>
      </c>
      <c r="L89" s="647" t="s">
        <v>16</v>
      </c>
      <c r="M89" s="576"/>
      <c r="N89" s="576">
        <f t="shared" si="15"/>
        <v>0</v>
      </c>
      <c r="O89" s="577">
        <f t="shared" si="18"/>
        <v>0</v>
      </c>
      <c r="P89" s="578">
        <f t="shared" si="19"/>
        <v>0</v>
      </c>
      <c r="Q89" s="765"/>
      <c r="R89" s="576">
        <f t="shared" si="20"/>
        <v>0</v>
      </c>
      <c r="S89" s="576">
        <f t="shared" si="20"/>
        <v>0</v>
      </c>
      <c r="T89" s="577">
        <f t="shared" si="21"/>
        <v>0</v>
      </c>
      <c r="U89" s="578">
        <f t="shared" si="22"/>
        <v>0</v>
      </c>
      <c r="V89" s="579"/>
      <c r="W89" s="662"/>
      <c r="X89" s="586" t="str">
        <f t="shared" si="0"/>
        <v/>
      </c>
      <c r="Y89" s="586" t="str">
        <f t="shared" si="16"/>
        <v/>
      </c>
      <c r="Z89" s="586" t="str">
        <f t="shared" si="17"/>
        <v/>
      </c>
    </row>
    <row r="90" spans="1:26" ht="12" hidden="1" thickBot="1" x14ac:dyDescent="0.25">
      <c r="A90" s="652" t="s">
        <v>187</v>
      </c>
      <c r="B90" s="653" t="s">
        <v>187</v>
      </c>
      <c r="C90" s="654"/>
      <c r="D90" s="427" t="s">
        <v>186</v>
      </c>
      <c r="E90" s="428"/>
      <c r="F90" s="655"/>
      <c r="G90" s="656"/>
      <c r="H90" s="663"/>
      <c r="I90" s="429"/>
      <c r="J90" s="429"/>
      <c r="K90" s="429"/>
      <c r="L90" s="429" t="s">
        <v>614</v>
      </c>
      <c r="M90" s="657"/>
      <c r="N90" s="576">
        <f t="shared" si="15"/>
        <v>0</v>
      </c>
      <c r="O90" s="429">
        <f t="shared" si="18"/>
        <v>0</v>
      </c>
      <c r="P90" s="658">
        <f t="shared" si="19"/>
        <v>0</v>
      </c>
      <c r="Q90" s="765"/>
      <c r="R90" s="657"/>
      <c r="S90" s="429"/>
      <c r="T90" s="429">
        <f t="shared" si="21"/>
        <v>0</v>
      </c>
      <c r="U90" s="658">
        <f t="shared" si="22"/>
        <v>0</v>
      </c>
      <c r="V90" s="579"/>
      <c r="W90" s="637" t="str">
        <f>IF(OR(SUM(P91:P115)&gt;0,SUM(U91:U115)&gt;0),"y","")</f>
        <v/>
      </c>
      <c r="X90" s="586" t="str">
        <f t="shared" ref="X90:X160" si="23">IF(W90="X","x",IF(W90="xx","x",IF(W90="xy","x",IF(W90="y","x",IF(OR(P90&gt;0,U90&gt;0),"x","")))))</f>
        <v/>
      </c>
      <c r="Y90" s="586" t="str">
        <f t="shared" si="16"/>
        <v/>
      </c>
      <c r="Z90" s="586" t="str">
        <f t="shared" si="17"/>
        <v/>
      </c>
    </row>
    <row r="91" spans="1:26" ht="12" hidden="1" thickBot="1" x14ac:dyDescent="0.25">
      <c r="A91" s="652" t="s">
        <v>187</v>
      </c>
      <c r="B91" s="572" t="s">
        <v>187</v>
      </c>
      <c r="C91" s="573" t="s">
        <v>187</v>
      </c>
      <c r="D91" s="574"/>
      <c r="E91" s="575"/>
      <c r="F91" s="436"/>
      <c r="G91" s="431"/>
      <c r="H91" s="426"/>
      <c r="I91" s="432"/>
      <c r="J91" s="433"/>
      <c r="K91" s="434">
        <f t="shared" ref="K91:K115" si="24">IF(ISBLANK(J91),0,ROUND(J91*(1+$F$10)*(1+$F$11*E91),2))</f>
        <v>0</v>
      </c>
      <c r="L91" s="435" t="s">
        <v>614</v>
      </c>
      <c r="M91" s="587"/>
      <c r="N91" s="576">
        <f t="shared" si="15"/>
        <v>0</v>
      </c>
      <c r="O91" s="577">
        <f t="shared" si="18"/>
        <v>0</v>
      </c>
      <c r="P91" s="578">
        <f t="shared" si="19"/>
        <v>0</v>
      </c>
      <c r="Q91" s="765"/>
      <c r="R91" s="650">
        <f t="shared" si="20"/>
        <v>0</v>
      </c>
      <c r="S91" s="587">
        <f t="shared" si="20"/>
        <v>0</v>
      </c>
      <c r="T91" s="577">
        <f t="shared" si="21"/>
        <v>0</v>
      </c>
      <c r="U91" s="578">
        <f t="shared" si="22"/>
        <v>0</v>
      </c>
      <c r="V91" s="579"/>
      <c r="W91" s="566"/>
      <c r="X91" s="586" t="str">
        <f t="shared" si="23"/>
        <v/>
      </c>
      <c r="Y91" s="586" t="str">
        <f t="shared" si="16"/>
        <v/>
      </c>
      <c r="Z91" s="586" t="str">
        <f t="shared" si="17"/>
        <v/>
      </c>
    </row>
    <row r="92" spans="1:26" ht="12" hidden="1" thickBot="1" x14ac:dyDescent="0.25">
      <c r="A92" s="652" t="s">
        <v>187</v>
      </c>
      <c r="B92" s="572" t="s">
        <v>187</v>
      </c>
      <c r="C92" s="573" t="s">
        <v>187</v>
      </c>
      <c r="D92" s="580"/>
      <c r="E92" s="575"/>
      <c r="F92" s="436"/>
      <c r="G92" s="431"/>
      <c r="H92" s="426"/>
      <c r="I92" s="432"/>
      <c r="J92" s="433"/>
      <c r="K92" s="437">
        <f t="shared" si="24"/>
        <v>0</v>
      </c>
      <c r="L92" s="435" t="s">
        <v>614</v>
      </c>
      <c r="M92" s="576"/>
      <c r="N92" s="576">
        <f t="shared" si="15"/>
        <v>0</v>
      </c>
      <c r="O92" s="577">
        <f t="shared" si="18"/>
        <v>0</v>
      </c>
      <c r="P92" s="578">
        <f t="shared" si="19"/>
        <v>0</v>
      </c>
      <c r="Q92" s="765"/>
      <c r="R92" s="576">
        <f t="shared" si="20"/>
        <v>0</v>
      </c>
      <c r="S92" s="576">
        <f t="shared" si="20"/>
        <v>0</v>
      </c>
      <c r="T92" s="577">
        <f t="shared" si="21"/>
        <v>0</v>
      </c>
      <c r="U92" s="659">
        <f t="shared" si="22"/>
        <v>0</v>
      </c>
      <c r="V92" s="579"/>
      <c r="W92" s="566"/>
      <c r="X92" s="586" t="str">
        <f t="shared" si="23"/>
        <v/>
      </c>
      <c r="Y92" s="586" t="str">
        <f t="shared" si="16"/>
        <v/>
      </c>
      <c r="Z92" s="586" t="str">
        <f t="shared" si="17"/>
        <v/>
      </c>
    </row>
    <row r="93" spans="1:26" ht="12" hidden="1" thickBot="1" x14ac:dyDescent="0.25">
      <c r="A93" s="652" t="s">
        <v>187</v>
      </c>
      <c r="B93" s="572" t="s">
        <v>187</v>
      </c>
      <c r="C93" s="573" t="s">
        <v>187</v>
      </c>
      <c r="D93" s="580"/>
      <c r="E93" s="575"/>
      <c r="F93" s="436"/>
      <c r="G93" s="431"/>
      <c r="H93" s="426"/>
      <c r="I93" s="432"/>
      <c r="J93" s="433"/>
      <c r="K93" s="437">
        <f t="shared" si="24"/>
        <v>0</v>
      </c>
      <c r="L93" s="435" t="s">
        <v>614</v>
      </c>
      <c r="M93" s="576"/>
      <c r="N93" s="576">
        <f t="shared" si="15"/>
        <v>0</v>
      </c>
      <c r="O93" s="577">
        <f t="shared" si="18"/>
        <v>0</v>
      </c>
      <c r="P93" s="578">
        <f t="shared" si="19"/>
        <v>0</v>
      </c>
      <c r="Q93" s="765"/>
      <c r="R93" s="576">
        <f t="shared" si="20"/>
        <v>0</v>
      </c>
      <c r="S93" s="576">
        <f t="shared" si="20"/>
        <v>0</v>
      </c>
      <c r="T93" s="577">
        <f t="shared" si="21"/>
        <v>0</v>
      </c>
      <c r="U93" s="578">
        <f t="shared" si="22"/>
        <v>0</v>
      </c>
      <c r="V93" s="579"/>
      <c r="W93" s="566"/>
      <c r="X93" s="586" t="str">
        <f t="shared" si="23"/>
        <v/>
      </c>
      <c r="Y93" s="586" t="str">
        <f t="shared" si="16"/>
        <v/>
      </c>
      <c r="Z93" s="586" t="str">
        <f t="shared" si="17"/>
        <v/>
      </c>
    </row>
    <row r="94" spans="1:26" ht="12" hidden="1" thickBot="1" x14ac:dyDescent="0.25">
      <c r="A94" s="652" t="s">
        <v>187</v>
      </c>
      <c r="B94" s="572" t="s">
        <v>187</v>
      </c>
      <c r="C94" s="573" t="s">
        <v>187</v>
      </c>
      <c r="D94" s="580"/>
      <c r="E94" s="575"/>
      <c r="F94" s="436"/>
      <c r="G94" s="431"/>
      <c r="H94" s="426"/>
      <c r="I94" s="432"/>
      <c r="J94" s="433"/>
      <c r="K94" s="437">
        <f t="shared" si="24"/>
        <v>0</v>
      </c>
      <c r="L94" s="435" t="s">
        <v>614</v>
      </c>
      <c r="M94" s="576"/>
      <c r="N94" s="576">
        <f t="shared" si="15"/>
        <v>0</v>
      </c>
      <c r="O94" s="577">
        <f t="shared" si="18"/>
        <v>0</v>
      </c>
      <c r="P94" s="578">
        <f t="shared" si="19"/>
        <v>0</v>
      </c>
      <c r="Q94" s="765"/>
      <c r="R94" s="576">
        <f t="shared" si="20"/>
        <v>0</v>
      </c>
      <c r="S94" s="576">
        <f t="shared" si="20"/>
        <v>0</v>
      </c>
      <c r="T94" s="577">
        <f t="shared" si="21"/>
        <v>0</v>
      </c>
      <c r="U94" s="578">
        <f t="shared" si="22"/>
        <v>0</v>
      </c>
      <c r="V94" s="579"/>
      <c r="W94" s="566"/>
      <c r="X94" s="586" t="str">
        <f t="shared" si="23"/>
        <v/>
      </c>
      <c r="Y94" s="586" t="str">
        <f t="shared" si="16"/>
        <v/>
      </c>
      <c r="Z94" s="586" t="str">
        <f t="shared" si="17"/>
        <v/>
      </c>
    </row>
    <row r="95" spans="1:26" ht="12" hidden="1" thickBot="1" x14ac:dyDescent="0.25">
      <c r="A95" s="652" t="s">
        <v>187</v>
      </c>
      <c r="B95" s="572" t="s">
        <v>187</v>
      </c>
      <c r="C95" s="573" t="s">
        <v>187</v>
      </c>
      <c r="D95" s="580"/>
      <c r="E95" s="575"/>
      <c r="F95" s="436"/>
      <c r="G95" s="431"/>
      <c r="H95" s="426"/>
      <c r="I95" s="432"/>
      <c r="J95" s="433"/>
      <c r="K95" s="437">
        <f t="shared" si="24"/>
        <v>0</v>
      </c>
      <c r="L95" s="435" t="s">
        <v>614</v>
      </c>
      <c r="M95" s="576"/>
      <c r="N95" s="576">
        <f t="shared" si="15"/>
        <v>0</v>
      </c>
      <c r="O95" s="577">
        <f t="shared" si="18"/>
        <v>0</v>
      </c>
      <c r="P95" s="578">
        <f t="shared" si="19"/>
        <v>0</v>
      </c>
      <c r="Q95" s="765"/>
      <c r="R95" s="576">
        <f t="shared" si="20"/>
        <v>0</v>
      </c>
      <c r="S95" s="576">
        <f t="shared" si="20"/>
        <v>0</v>
      </c>
      <c r="T95" s="577">
        <f t="shared" si="21"/>
        <v>0</v>
      </c>
      <c r="U95" s="578">
        <f t="shared" si="22"/>
        <v>0</v>
      </c>
      <c r="V95" s="579"/>
      <c r="W95" s="566"/>
      <c r="X95" s="586" t="str">
        <f t="shared" si="23"/>
        <v/>
      </c>
      <c r="Y95" s="586" t="str">
        <f t="shared" si="16"/>
        <v/>
      </c>
      <c r="Z95" s="586" t="str">
        <f t="shared" si="17"/>
        <v/>
      </c>
    </row>
    <row r="96" spans="1:26" ht="12" hidden="1" thickBot="1" x14ac:dyDescent="0.25">
      <c r="A96" s="652" t="s">
        <v>187</v>
      </c>
      <c r="B96" s="572" t="s">
        <v>187</v>
      </c>
      <c r="C96" s="573" t="s">
        <v>187</v>
      </c>
      <c r="D96" s="580"/>
      <c r="E96" s="575"/>
      <c r="F96" s="436"/>
      <c r="G96" s="431"/>
      <c r="H96" s="426"/>
      <c r="I96" s="432"/>
      <c r="J96" s="433"/>
      <c r="K96" s="437">
        <f t="shared" si="24"/>
        <v>0</v>
      </c>
      <c r="L96" s="435" t="s">
        <v>614</v>
      </c>
      <c r="M96" s="576"/>
      <c r="N96" s="576">
        <f t="shared" si="15"/>
        <v>0</v>
      </c>
      <c r="O96" s="577">
        <f t="shared" si="18"/>
        <v>0</v>
      </c>
      <c r="P96" s="578">
        <f t="shared" si="19"/>
        <v>0</v>
      </c>
      <c r="Q96" s="765"/>
      <c r="R96" s="576">
        <f t="shared" si="20"/>
        <v>0</v>
      </c>
      <c r="S96" s="576">
        <f t="shared" si="20"/>
        <v>0</v>
      </c>
      <c r="T96" s="577">
        <f t="shared" si="21"/>
        <v>0</v>
      </c>
      <c r="U96" s="578">
        <f t="shared" si="22"/>
        <v>0</v>
      </c>
      <c r="V96" s="579"/>
      <c r="W96" s="566"/>
      <c r="X96" s="586" t="str">
        <f t="shared" si="23"/>
        <v/>
      </c>
      <c r="Y96" s="586" t="str">
        <f t="shared" si="16"/>
        <v/>
      </c>
      <c r="Z96" s="586" t="str">
        <f t="shared" si="17"/>
        <v/>
      </c>
    </row>
    <row r="97" spans="1:26" ht="12" hidden="1" thickBot="1" x14ac:dyDescent="0.25">
      <c r="A97" s="652" t="s">
        <v>187</v>
      </c>
      <c r="B97" s="572" t="s">
        <v>187</v>
      </c>
      <c r="C97" s="573" t="s">
        <v>187</v>
      </c>
      <c r="D97" s="580"/>
      <c r="E97" s="575"/>
      <c r="F97" s="436"/>
      <c r="G97" s="431"/>
      <c r="H97" s="426"/>
      <c r="I97" s="432"/>
      <c r="J97" s="433"/>
      <c r="K97" s="437">
        <f t="shared" si="24"/>
        <v>0</v>
      </c>
      <c r="L97" s="435" t="s">
        <v>614</v>
      </c>
      <c r="M97" s="576"/>
      <c r="N97" s="576">
        <f t="shared" si="15"/>
        <v>0</v>
      </c>
      <c r="O97" s="577">
        <f t="shared" si="18"/>
        <v>0</v>
      </c>
      <c r="P97" s="578">
        <f t="shared" si="19"/>
        <v>0</v>
      </c>
      <c r="Q97" s="765"/>
      <c r="R97" s="576">
        <f t="shared" si="20"/>
        <v>0</v>
      </c>
      <c r="S97" s="576">
        <f t="shared" si="20"/>
        <v>0</v>
      </c>
      <c r="T97" s="577">
        <f t="shared" si="21"/>
        <v>0</v>
      </c>
      <c r="U97" s="578">
        <f t="shared" si="22"/>
        <v>0</v>
      </c>
      <c r="V97" s="579"/>
      <c r="W97" s="566"/>
      <c r="X97" s="586" t="str">
        <f t="shared" si="23"/>
        <v/>
      </c>
      <c r="Y97" s="586" t="str">
        <f t="shared" si="16"/>
        <v/>
      </c>
      <c r="Z97" s="586" t="str">
        <f t="shared" si="17"/>
        <v/>
      </c>
    </row>
    <row r="98" spans="1:26" ht="12" hidden="1" thickBot="1" x14ac:dyDescent="0.25">
      <c r="A98" s="652" t="s">
        <v>187</v>
      </c>
      <c r="B98" s="572" t="s">
        <v>187</v>
      </c>
      <c r="C98" s="573" t="s">
        <v>187</v>
      </c>
      <c r="D98" s="580"/>
      <c r="E98" s="575"/>
      <c r="F98" s="436"/>
      <c r="G98" s="431"/>
      <c r="H98" s="426"/>
      <c r="I98" s="432"/>
      <c r="J98" s="433"/>
      <c r="K98" s="437">
        <f t="shared" si="24"/>
        <v>0</v>
      </c>
      <c r="L98" s="435" t="s">
        <v>614</v>
      </c>
      <c r="M98" s="576"/>
      <c r="N98" s="576">
        <f t="shared" si="15"/>
        <v>0</v>
      </c>
      <c r="O98" s="577">
        <f t="shared" si="18"/>
        <v>0</v>
      </c>
      <c r="P98" s="578">
        <f t="shared" si="19"/>
        <v>0</v>
      </c>
      <c r="Q98" s="765"/>
      <c r="R98" s="576">
        <f t="shared" si="20"/>
        <v>0</v>
      </c>
      <c r="S98" s="576">
        <f t="shared" si="20"/>
        <v>0</v>
      </c>
      <c r="T98" s="577">
        <f t="shared" si="21"/>
        <v>0</v>
      </c>
      <c r="U98" s="578">
        <f t="shared" si="22"/>
        <v>0</v>
      </c>
      <c r="V98" s="579"/>
      <c r="W98" s="566"/>
      <c r="X98" s="586" t="str">
        <f t="shared" si="23"/>
        <v/>
      </c>
      <c r="Y98" s="586" t="str">
        <f t="shared" si="16"/>
        <v/>
      </c>
      <c r="Z98" s="586" t="str">
        <f t="shared" si="17"/>
        <v/>
      </c>
    </row>
    <row r="99" spans="1:26" ht="12" hidden="1" thickBot="1" x14ac:dyDescent="0.25">
      <c r="A99" s="652" t="s">
        <v>187</v>
      </c>
      <c r="B99" s="572" t="s">
        <v>187</v>
      </c>
      <c r="C99" s="573" t="s">
        <v>187</v>
      </c>
      <c r="D99" s="580"/>
      <c r="E99" s="575"/>
      <c r="F99" s="436"/>
      <c r="G99" s="431"/>
      <c r="H99" s="426"/>
      <c r="I99" s="432"/>
      <c r="J99" s="433"/>
      <c r="K99" s="437">
        <f t="shared" si="24"/>
        <v>0</v>
      </c>
      <c r="L99" s="435" t="s">
        <v>614</v>
      </c>
      <c r="M99" s="576"/>
      <c r="N99" s="576">
        <f t="shared" si="15"/>
        <v>0</v>
      </c>
      <c r="O99" s="577">
        <f t="shared" si="18"/>
        <v>0</v>
      </c>
      <c r="P99" s="578">
        <f t="shared" si="19"/>
        <v>0</v>
      </c>
      <c r="Q99" s="765"/>
      <c r="R99" s="576">
        <f t="shared" si="20"/>
        <v>0</v>
      </c>
      <c r="S99" s="576">
        <f t="shared" si="20"/>
        <v>0</v>
      </c>
      <c r="T99" s="577">
        <f t="shared" si="21"/>
        <v>0</v>
      </c>
      <c r="U99" s="578">
        <f t="shared" si="22"/>
        <v>0</v>
      </c>
      <c r="V99" s="579"/>
      <c r="W99" s="566"/>
      <c r="X99" s="586" t="str">
        <f t="shared" si="23"/>
        <v/>
      </c>
      <c r="Y99" s="586" t="str">
        <f t="shared" si="16"/>
        <v/>
      </c>
      <c r="Z99" s="586" t="str">
        <f t="shared" si="17"/>
        <v/>
      </c>
    </row>
    <row r="100" spans="1:26" ht="12" hidden="1" thickBot="1" x14ac:dyDescent="0.25">
      <c r="A100" s="652" t="s">
        <v>187</v>
      </c>
      <c r="B100" s="572" t="s">
        <v>187</v>
      </c>
      <c r="C100" s="573" t="s">
        <v>187</v>
      </c>
      <c r="D100" s="580"/>
      <c r="E100" s="575"/>
      <c r="F100" s="436"/>
      <c r="G100" s="431"/>
      <c r="H100" s="426"/>
      <c r="I100" s="432"/>
      <c r="J100" s="433"/>
      <c r="K100" s="437">
        <f t="shared" si="24"/>
        <v>0</v>
      </c>
      <c r="L100" s="435" t="s">
        <v>614</v>
      </c>
      <c r="M100" s="576"/>
      <c r="N100" s="576">
        <f t="shared" si="15"/>
        <v>0</v>
      </c>
      <c r="O100" s="577">
        <f t="shared" si="18"/>
        <v>0</v>
      </c>
      <c r="P100" s="578">
        <f t="shared" si="19"/>
        <v>0</v>
      </c>
      <c r="Q100" s="765"/>
      <c r="R100" s="576">
        <f t="shared" si="20"/>
        <v>0</v>
      </c>
      <c r="S100" s="576">
        <f t="shared" si="20"/>
        <v>0</v>
      </c>
      <c r="T100" s="577">
        <f t="shared" si="21"/>
        <v>0</v>
      </c>
      <c r="U100" s="578">
        <f t="shared" si="22"/>
        <v>0</v>
      </c>
      <c r="V100" s="579"/>
      <c r="W100" s="566"/>
      <c r="X100" s="586" t="str">
        <f t="shared" si="23"/>
        <v/>
      </c>
      <c r="Y100" s="586" t="str">
        <f t="shared" si="16"/>
        <v/>
      </c>
      <c r="Z100" s="586" t="str">
        <f t="shared" si="17"/>
        <v/>
      </c>
    </row>
    <row r="101" spans="1:26" ht="12" hidden="1" thickBot="1" x14ac:dyDescent="0.25">
      <c r="A101" s="652" t="s">
        <v>187</v>
      </c>
      <c r="B101" s="572" t="s">
        <v>187</v>
      </c>
      <c r="C101" s="573" t="s">
        <v>187</v>
      </c>
      <c r="D101" s="580"/>
      <c r="E101" s="575"/>
      <c r="F101" s="436"/>
      <c r="G101" s="431"/>
      <c r="H101" s="426"/>
      <c r="I101" s="432"/>
      <c r="J101" s="433"/>
      <c r="K101" s="437">
        <f t="shared" si="24"/>
        <v>0</v>
      </c>
      <c r="L101" s="435" t="s">
        <v>614</v>
      </c>
      <c r="M101" s="576"/>
      <c r="N101" s="576">
        <f t="shared" si="15"/>
        <v>0</v>
      </c>
      <c r="O101" s="577">
        <f t="shared" si="18"/>
        <v>0</v>
      </c>
      <c r="P101" s="578">
        <f t="shared" si="19"/>
        <v>0</v>
      </c>
      <c r="Q101" s="765"/>
      <c r="R101" s="576">
        <f t="shared" si="20"/>
        <v>0</v>
      </c>
      <c r="S101" s="576">
        <f t="shared" si="20"/>
        <v>0</v>
      </c>
      <c r="T101" s="577">
        <f t="shared" si="21"/>
        <v>0</v>
      </c>
      <c r="U101" s="578">
        <f t="shared" si="22"/>
        <v>0</v>
      </c>
      <c r="V101" s="579"/>
      <c r="W101" s="566"/>
      <c r="X101" s="586" t="str">
        <f t="shared" si="23"/>
        <v/>
      </c>
      <c r="Y101" s="586" t="str">
        <f t="shared" si="16"/>
        <v/>
      </c>
      <c r="Z101" s="586" t="str">
        <f t="shared" si="17"/>
        <v/>
      </c>
    </row>
    <row r="102" spans="1:26" ht="12" hidden="1" thickBot="1" x14ac:dyDescent="0.25">
      <c r="A102" s="652" t="s">
        <v>187</v>
      </c>
      <c r="B102" s="572" t="s">
        <v>187</v>
      </c>
      <c r="C102" s="573" t="s">
        <v>187</v>
      </c>
      <c r="D102" s="580"/>
      <c r="E102" s="575"/>
      <c r="F102" s="436"/>
      <c r="G102" s="431"/>
      <c r="H102" s="426"/>
      <c r="I102" s="432"/>
      <c r="J102" s="433"/>
      <c r="K102" s="437">
        <f t="shared" si="24"/>
        <v>0</v>
      </c>
      <c r="L102" s="435" t="s">
        <v>614</v>
      </c>
      <c r="M102" s="576"/>
      <c r="N102" s="576">
        <f t="shared" si="15"/>
        <v>0</v>
      </c>
      <c r="O102" s="577">
        <f t="shared" si="18"/>
        <v>0</v>
      </c>
      <c r="P102" s="578">
        <f t="shared" si="19"/>
        <v>0</v>
      </c>
      <c r="Q102" s="765"/>
      <c r="R102" s="576">
        <f t="shared" si="20"/>
        <v>0</v>
      </c>
      <c r="S102" s="576">
        <f t="shared" si="20"/>
        <v>0</v>
      </c>
      <c r="T102" s="577">
        <f t="shared" si="21"/>
        <v>0</v>
      </c>
      <c r="U102" s="578">
        <f t="shared" si="22"/>
        <v>0</v>
      </c>
      <c r="V102" s="579"/>
      <c r="W102" s="566"/>
      <c r="X102" s="586" t="str">
        <f t="shared" si="23"/>
        <v/>
      </c>
      <c r="Y102" s="586" t="str">
        <f t="shared" si="16"/>
        <v/>
      </c>
      <c r="Z102" s="586" t="str">
        <f t="shared" si="17"/>
        <v/>
      </c>
    </row>
    <row r="103" spans="1:26" ht="12" hidden="1" thickBot="1" x14ac:dyDescent="0.25">
      <c r="A103" s="652" t="s">
        <v>187</v>
      </c>
      <c r="B103" s="572" t="s">
        <v>187</v>
      </c>
      <c r="C103" s="573" t="s">
        <v>187</v>
      </c>
      <c r="D103" s="580"/>
      <c r="E103" s="575"/>
      <c r="F103" s="436"/>
      <c r="G103" s="431"/>
      <c r="H103" s="426"/>
      <c r="I103" s="432"/>
      <c r="J103" s="433"/>
      <c r="K103" s="437">
        <f t="shared" si="24"/>
        <v>0</v>
      </c>
      <c r="L103" s="435" t="s">
        <v>614</v>
      </c>
      <c r="M103" s="576"/>
      <c r="N103" s="576">
        <f t="shared" si="15"/>
        <v>0</v>
      </c>
      <c r="O103" s="577">
        <f t="shared" si="18"/>
        <v>0</v>
      </c>
      <c r="P103" s="578">
        <f t="shared" si="19"/>
        <v>0</v>
      </c>
      <c r="Q103" s="765"/>
      <c r="R103" s="576">
        <f t="shared" si="20"/>
        <v>0</v>
      </c>
      <c r="S103" s="576">
        <f t="shared" si="20"/>
        <v>0</v>
      </c>
      <c r="T103" s="577">
        <f t="shared" si="21"/>
        <v>0</v>
      </c>
      <c r="U103" s="578">
        <f t="shared" si="22"/>
        <v>0</v>
      </c>
      <c r="V103" s="579"/>
      <c r="W103" s="566"/>
      <c r="X103" s="586" t="str">
        <f t="shared" si="23"/>
        <v/>
      </c>
      <c r="Y103" s="586" t="str">
        <f t="shared" si="16"/>
        <v/>
      </c>
      <c r="Z103" s="586" t="str">
        <f t="shared" si="17"/>
        <v/>
      </c>
    </row>
    <row r="104" spans="1:26" ht="12" hidden="1" thickBot="1" x14ac:dyDescent="0.25">
      <c r="A104" s="652" t="s">
        <v>187</v>
      </c>
      <c r="B104" s="572" t="s">
        <v>187</v>
      </c>
      <c r="C104" s="573" t="s">
        <v>187</v>
      </c>
      <c r="D104" s="580"/>
      <c r="E104" s="575"/>
      <c r="F104" s="436"/>
      <c r="G104" s="431"/>
      <c r="H104" s="426"/>
      <c r="I104" s="432"/>
      <c r="J104" s="433"/>
      <c r="K104" s="437">
        <f t="shared" si="24"/>
        <v>0</v>
      </c>
      <c r="L104" s="435" t="s">
        <v>614</v>
      </c>
      <c r="M104" s="576"/>
      <c r="N104" s="576">
        <f t="shared" si="15"/>
        <v>0</v>
      </c>
      <c r="O104" s="577">
        <f t="shared" si="18"/>
        <v>0</v>
      </c>
      <c r="P104" s="578">
        <f t="shared" si="19"/>
        <v>0</v>
      </c>
      <c r="Q104" s="765"/>
      <c r="R104" s="576">
        <f t="shared" si="20"/>
        <v>0</v>
      </c>
      <c r="S104" s="576">
        <f t="shared" si="20"/>
        <v>0</v>
      </c>
      <c r="T104" s="577">
        <f t="shared" si="21"/>
        <v>0</v>
      </c>
      <c r="U104" s="578">
        <f t="shared" si="22"/>
        <v>0</v>
      </c>
      <c r="V104" s="579"/>
      <c r="W104" s="566"/>
      <c r="X104" s="586" t="str">
        <f t="shared" si="23"/>
        <v/>
      </c>
      <c r="Y104" s="586" t="str">
        <f t="shared" si="16"/>
        <v/>
      </c>
      <c r="Z104" s="586" t="str">
        <f t="shared" si="17"/>
        <v/>
      </c>
    </row>
    <row r="105" spans="1:26" ht="12" hidden="1" thickBot="1" x14ac:dyDescent="0.25">
      <c r="A105" s="652" t="s">
        <v>187</v>
      </c>
      <c r="B105" s="572" t="s">
        <v>187</v>
      </c>
      <c r="C105" s="573" t="s">
        <v>187</v>
      </c>
      <c r="D105" s="580"/>
      <c r="E105" s="575"/>
      <c r="F105" s="436"/>
      <c r="G105" s="431"/>
      <c r="H105" s="426"/>
      <c r="I105" s="432"/>
      <c r="J105" s="433"/>
      <c r="K105" s="437">
        <f t="shared" si="24"/>
        <v>0</v>
      </c>
      <c r="L105" s="435" t="s">
        <v>614</v>
      </c>
      <c r="M105" s="576"/>
      <c r="N105" s="576">
        <f t="shared" si="15"/>
        <v>0</v>
      </c>
      <c r="O105" s="577">
        <f t="shared" si="18"/>
        <v>0</v>
      </c>
      <c r="P105" s="578">
        <f t="shared" si="19"/>
        <v>0</v>
      </c>
      <c r="Q105" s="765"/>
      <c r="R105" s="576">
        <f t="shared" si="20"/>
        <v>0</v>
      </c>
      <c r="S105" s="576">
        <f t="shared" si="20"/>
        <v>0</v>
      </c>
      <c r="T105" s="577">
        <f t="shared" si="21"/>
        <v>0</v>
      </c>
      <c r="U105" s="578">
        <f t="shared" si="22"/>
        <v>0</v>
      </c>
      <c r="V105" s="579"/>
      <c r="W105" s="566"/>
      <c r="X105" s="586" t="str">
        <f t="shared" si="23"/>
        <v/>
      </c>
      <c r="Y105" s="586" t="str">
        <f t="shared" si="16"/>
        <v/>
      </c>
      <c r="Z105" s="586" t="str">
        <f t="shared" si="17"/>
        <v/>
      </c>
    </row>
    <row r="106" spans="1:26" ht="12" hidden="1" thickBot="1" x14ac:dyDescent="0.25">
      <c r="A106" s="652" t="s">
        <v>187</v>
      </c>
      <c r="B106" s="572" t="s">
        <v>187</v>
      </c>
      <c r="C106" s="573" t="s">
        <v>187</v>
      </c>
      <c r="D106" s="580"/>
      <c r="E106" s="575"/>
      <c r="F106" s="436"/>
      <c r="G106" s="431"/>
      <c r="H106" s="426"/>
      <c r="I106" s="432"/>
      <c r="J106" s="433"/>
      <c r="K106" s="437">
        <f t="shared" si="24"/>
        <v>0</v>
      </c>
      <c r="L106" s="435" t="s">
        <v>614</v>
      </c>
      <c r="M106" s="576"/>
      <c r="N106" s="576">
        <f t="shared" si="15"/>
        <v>0</v>
      </c>
      <c r="O106" s="577">
        <f t="shared" si="18"/>
        <v>0</v>
      </c>
      <c r="P106" s="578">
        <f t="shared" si="19"/>
        <v>0</v>
      </c>
      <c r="Q106" s="765"/>
      <c r="R106" s="576">
        <f t="shared" si="20"/>
        <v>0</v>
      </c>
      <c r="S106" s="576">
        <f t="shared" si="20"/>
        <v>0</v>
      </c>
      <c r="T106" s="577">
        <f t="shared" si="21"/>
        <v>0</v>
      </c>
      <c r="U106" s="578">
        <f t="shared" si="22"/>
        <v>0</v>
      </c>
      <c r="V106" s="579"/>
      <c r="W106" s="566"/>
      <c r="X106" s="586" t="str">
        <f t="shared" si="23"/>
        <v/>
      </c>
      <c r="Y106" s="586" t="str">
        <f t="shared" si="16"/>
        <v/>
      </c>
      <c r="Z106" s="586" t="str">
        <f t="shared" si="17"/>
        <v/>
      </c>
    </row>
    <row r="107" spans="1:26" ht="12" hidden="1" thickBot="1" x14ac:dyDescent="0.25">
      <c r="A107" s="652" t="s">
        <v>187</v>
      </c>
      <c r="B107" s="572" t="s">
        <v>187</v>
      </c>
      <c r="C107" s="573" t="s">
        <v>187</v>
      </c>
      <c r="D107" s="580"/>
      <c r="E107" s="575"/>
      <c r="F107" s="436"/>
      <c r="G107" s="431"/>
      <c r="H107" s="426"/>
      <c r="I107" s="432"/>
      <c r="J107" s="433"/>
      <c r="K107" s="437">
        <f t="shared" si="24"/>
        <v>0</v>
      </c>
      <c r="L107" s="435" t="s">
        <v>614</v>
      </c>
      <c r="M107" s="576"/>
      <c r="N107" s="576">
        <f t="shared" si="15"/>
        <v>0</v>
      </c>
      <c r="O107" s="577">
        <f t="shared" si="18"/>
        <v>0</v>
      </c>
      <c r="P107" s="578">
        <f t="shared" si="19"/>
        <v>0</v>
      </c>
      <c r="Q107" s="765"/>
      <c r="R107" s="576">
        <f t="shared" si="20"/>
        <v>0</v>
      </c>
      <c r="S107" s="576">
        <f t="shared" si="20"/>
        <v>0</v>
      </c>
      <c r="T107" s="577">
        <f t="shared" si="21"/>
        <v>0</v>
      </c>
      <c r="U107" s="578">
        <f t="shared" si="22"/>
        <v>0</v>
      </c>
      <c r="V107" s="579"/>
      <c r="W107" s="566"/>
      <c r="X107" s="586" t="str">
        <f t="shared" si="23"/>
        <v/>
      </c>
      <c r="Y107" s="586" t="str">
        <f t="shared" si="16"/>
        <v/>
      </c>
      <c r="Z107" s="586" t="str">
        <f t="shared" si="17"/>
        <v/>
      </c>
    </row>
    <row r="108" spans="1:26" ht="12" hidden="1" thickBot="1" x14ac:dyDescent="0.25">
      <c r="A108" s="652" t="s">
        <v>187</v>
      </c>
      <c r="B108" s="572" t="s">
        <v>187</v>
      </c>
      <c r="C108" s="573" t="s">
        <v>187</v>
      </c>
      <c r="D108" s="580"/>
      <c r="E108" s="575"/>
      <c r="F108" s="436"/>
      <c r="G108" s="431"/>
      <c r="H108" s="426"/>
      <c r="I108" s="432"/>
      <c r="J108" s="433"/>
      <c r="K108" s="437">
        <f t="shared" si="24"/>
        <v>0</v>
      </c>
      <c r="L108" s="435" t="s">
        <v>614</v>
      </c>
      <c r="M108" s="576"/>
      <c r="N108" s="576">
        <f t="shared" si="15"/>
        <v>0</v>
      </c>
      <c r="O108" s="577">
        <f t="shared" si="18"/>
        <v>0</v>
      </c>
      <c r="P108" s="578">
        <f t="shared" si="19"/>
        <v>0</v>
      </c>
      <c r="Q108" s="765"/>
      <c r="R108" s="576">
        <f t="shared" si="20"/>
        <v>0</v>
      </c>
      <c r="S108" s="576">
        <f t="shared" si="20"/>
        <v>0</v>
      </c>
      <c r="T108" s="577">
        <f t="shared" si="21"/>
        <v>0</v>
      </c>
      <c r="U108" s="578">
        <f t="shared" si="22"/>
        <v>0</v>
      </c>
      <c r="V108" s="579"/>
      <c r="W108" s="566"/>
      <c r="X108" s="586" t="str">
        <f t="shared" si="23"/>
        <v/>
      </c>
      <c r="Y108" s="586" t="str">
        <f t="shared" si="16"/>
        <v/>
      </c>
      <c r="Z108" s="586" t="str">
        <f t="shared" si="17"/>
        <v/>
      </c>
    </row>
    <row r="109" spans="1:26" ht="12" hidden="1" thickBot="1" x14ac:dyDescent="0.25">
      <c r="A109" s="652" t="s">
        <v>187</v>
      </c>
      <c r="B109" s="572" t="s">
        <v>187</v>
      </c>
      <c r="C109" s="573" t="s">
        <v>187</v>
      </c>
      <c r="D109" s="580"/>
      <c r="E109" s="575"/>
      <c r="F109" s="436"/>
      <c r="G109" s="431"/>
      <c r="H109" s="426"/>
      <c r="I109" s="432"/>
      <c r="J109" s="433"/>
      <c r="K109" s="437">
        <f t="shared" si="24"/>
        <v>0</v>
      </c>
      <c r="L109" s="435" t="s">
        <v>614</v>
      </c>
      <c r="M109" s="576"/>
      <c r="N109" s="576">
        <f t="shared" si="15"/>
        <v>0</v>
      </c>
      <c r="O109" s="577">
        <f t="shared" si="18"/>
        <v>0</v>
      </c>
      <c r="P109" s="578">
        <f t="shared" si="19"/>
        <v>0</v>
      </c>
      <c r="Q109" s="765"/>
      <c r="R109" s="576">
        <f t="shared" si="20"/>
        <v>0</v>
      </c>
      <c r="S109" s="576">
        <f t="shared" si="20"/>
        <v>0</v>
      </c>
      <c r="T109" s="577">
        <f t="shared" si="21"/>
        <v>0</v>
      </c>
      <c r="U109" s="578">
        <f t="shared" si="22"/>
        <v>0</v>
      </c>
      <c r="V109" s="579"/>
      <c r="W109" s="566"/>
      <c r="X109" s="586" t="str">
        <f t="shared" si="23"/>
        <v/>
      </c>
      <c r="Y109" s="586" t="str">
        <f t="shared" si="16"/>
        <v/>
      </c>
      <c r="Z109" s="586" t="str">
        <f t="shared" si="17"/>
        <v/>
      </c>
    </row>
    <row r="110" spans="1:26" ht="12" hidden="1" thickBot="1" x14ac:dyDescent="0.25">
      <c r="A110" s="652" t="s">
        <v>187</v>
      </c>
      <c r="B110" s="572" t="s">
        <v>187</v>
      </c>
      <c r="C110" s="573" t="s">
        <v>187</v>
      </c>
      <c r="D110" s="580"/>
      <c r="E110" s="575"/>
      <c r="F110" s="436"/>
      <c r="G110" s="431"/>
      <c r="H110" s="426"/>
      <c r="I110" s="432"/>
      <c r="J110" s="433"/>
      <c r="K110" s="437">
        <f t="shared" si="24"/>
        <v>0</v>
      </c>
      <c r="L110" s="435" t="s">
        <v>614</v>
      </c>
      <c r="M110" s="576"/>
      <c r="N110" s="576">
        <f t="shared" si="15"/>
        <v>0</v>
      </c>
      <c r="O110" s="577">
        <f t="shared" si="18"/>
        <v>0</v>
      </c>
      <c r="P110" s="578">
        <f t="shared" si="19"/>
        <v>0</v>
      </c>
      <c r="Q110" s="765"/>
      <c r="R110" s="576">
        <f t="shared" si="20"/>
        <v>0</v>
      </c>
      <c r="S110" s="576">
        <f t="shared" si="20"/>
        <v>0</v>
      </c>
      <c r="T110" s="577">
        <f t="shared" si="21"/>
        <v>0</v>
      </c>
      <c r="U110" s="578">
        <f t="shared" si="22"/>
        <v>0</v>
      </c>
      <c r="V110" s="579"/>
      <c r="W110" s="566"/>
      <c r="X110" s="586" t="str">
        <f t="shared" si="23"/>
        <v/>
      </c>
      <c r="Y110" s="586" t="str">
        <f t="shared" si="16"/>
        <v/>
      </c>
      <c r="Z110" s="586" t="str">
        <f t="shared" si="17"/>
        <v/>
      </c>
    </row>
    <row r="111" spans="1:26" ht="12" hidden="1" thickBot="1" x14ac:dyDescent="0.25">
      <c r="A111" s="652" t="s">
        <v>187</v>
      </c>
      <c r="B111" s="572" t="s">
        <v>187</v>
      </c>
      <c r="C111" s="573" t="s">
        <v>187</v>
      </c>
      <c r="D111" s="580"/>
      <c r="E111" s="575"/>
      <c r="F111" s="436"/>
      <c r="G111" s="431"/>
      <c r="H111" s="426"/>
      <c r="I111" s="432"/>
      <c r="J111" s="433"/>
      <c r="K111" s="437">
        <f t="shared" si="24"/>
        <v>0</v>
      </c>
      <c r="L111" s="435" t="s">
        <v>614</v>
      </c>
      <c r="M111" s="576"/>
      <c r="N111" s="576">
        <f t="shared" si="15"/>
        <v>0</v>
      </c>
      <c r="O111" s="577">
        <f t="shared" si="18"/>
        <v>0</v>
      </c>
      <c r="P111" s="578">
        <f t="shared" si="19"/>
        <v>0</v>
      </c>
      <c r="Q111" s="765"/>
      <c r="R111" s="576">
        <f t="shared" si="20"/>
        <v>0</v>
      </c>
      <c r="S111" s="576">
        <f t="shared" si="20"/>
        <v>0</v>
      </c>
      <c r="T111" s="577">
        <f t="shared" si="21"/>
        <v>0</v>
      </c>
      <c r="U111" s="578">
        <f t="shared" si="22"/>
        <v>0</v>
      </c>
      <c r="V111" s="579"/>
      <c r="W111" s="566"/>
      <c r="X111" s="586" t="str">
        <f t="shared" si="23"/>
        <v/>
      </c>
      <c r="Y111" s="586" t="str">
        <f t="shared" si="16"/>
        <v/>
      </c>
      <c r="Z111" s="586" t="str">
        <f t="shared" si="17"/>
        <v/>
      </c>
    </row>
    <row r="112" spans="1:26" ht="12" hidden="1" thickBot="1" x14ac:dyDescent="0.25">
      <c r="A112" s="652" t="s">
        <v>187</v>
      </c>
      <c r="B112" s="572" t="s">
        <v>187</v>
      </c>
      <c r="C112" s="573" t="s">
        <v>187</v>
      </c>
      <c r="D112" s="580"/>
      <c r="E112" s="575"/>
      <c r="F112" s="436"/>
      <c r="G112" s="431"/>
      <c r="H112" s="426"/>
      <c r="I112" s="432"/>
      <c r="J112" s="433"/>
      <c r="K112" s="437">
        <f t="shared" si="24"/>
        <v>0</v>
      </c>
      <c r="L112" s="435" t="s">
        <v>614</v>
      </c>
      <c r="M112" s="576"/>
      <c r="N112" s="576">
        <f t="shared" si="15"/>
        <v>0</v>
      </c>
      <c r="O112" s="577">
        <f t="shared" si="18"/>
        <v>0</v>
      </c>
      <c r="P112" s="578">
        <f t="shared" si="19"/>
        <v>0</v>
      </c>
      <c r="Q112" s="765"/>
      <c r="R112" s="576">
        <f t="shared" si="20"/>
        <v>0</v>
      </c>
      <c r="S112" s="576">
        <f t="shared" si="20"/>
        <v>0</v>
      </c>
      <c r="T112" s="577">
        <f t="shared" si="21"/>
        <v>0</v>
      </c>
      <c r="U112" s="578">
        <f t="shared" si="22"/>
        <v>0</v>
      </c>
      <c r="V112" s="579"/>
      <c r="W112" s="566"/>
      <c r="X112" s="586" t="str">
        <f t="shared" si="23"/>
        <v/>
      </c>
      <c r="Y112" s="586" t="str">
        <f t="shared" si="16"/>
        <v/>
      </c>
      <c r="Z112" s="586" t="str">
        <f t="shared" si="17"/>
        <v/>
      </c>
    </row>
    <row r="113" spans="1:26" ht="12" hidden="1" thickBot="1" x14ac:dyDescent="0.25">
      <c r="A113" s="652" t="s">
        <v>187</v>
      </c>
      <c r="B113" s="572" t="s">
        <v>187</v>
      </c>
      <c r="C113" s="573" t="s">
        <v>187</v>
      </c>
      <c r="D113" s="580"/>
      <c r="E113" s="575"/>
      <c r="F113" s="436"/>
      <c r="G113" s="431"/>
      <c r="H113" s="426"/>
      <c r="I113" s="432"/>
      <c r="J113" s="433"/>
      <c r="K113" s="437">
        <f t="shared" si="24"/>
        <v>0</v>
      </c>
      <c r="L113" s="435" t="s">
        <v>614</v>
      </c>
      <c r="M113" s="576"/>
      <c r="N113" s="576">
        <f t="shared" si="15"/>
        <v>0</v>
      </c>
      <c r="O113" s="577">
        <f t="shared" si="18"/>
        <v>0</v>
      </c>
      <c r="P113" s="578">
        <f t="shared" si="19"/>
        <v>0</v>
      </c>
      <c r="Q113" s="765"/>
      <c r="R113" s="576">
        <f t="shared" si="20"/>
        <v>0</v>
      </c>
      <c r="S113" s="576">
        <f t="shared" si="20"/>
        <v>0</v>
      </c>
      <c r="T113" s="577">
        <f t="shared" si="21"/>
        <v>0</v>
      </c>
      <c r="U113" s="578">
        <f t="shared" si="22"/>
        <v>0</v>
      </c>
      <c r="V113" s="579"/>
      <c r="W113" s="566"/>
      <c r="X113" s="586" t="str">
        <f t="shared" si="23"/>
        <v/>
      </c>
      <c r="Y113" s="586" t="str">
        <f t="shared" si="16"/>
        <v/>
      </c>
      <c r="Z113" s="586" t="str">
        <f t="shared" si="17"/>
        <v/>
      </c>
    </row>
    <row r="114" spans="1:26" ht="12" hidden="1" thickBot="1" x14ac:dyDescent="0.25">
      <c r="A114" s="652" t="s">
        <v>187</v>
      </c>
      <c r="B114" s="572" t="s">
        <v>187</v>
      </c>
      <c r="C114" s="573" t="s">
        <v>187</v>
      </c>
      <c r="D114" s="580"/>
      <c r="E114" s="575"/>
      <c r="F114" s="436"/>
      <c r="G114" s="431"/>
      <c r="H114" s="426"/>
      <c r="I114" s="432"/>
      <c r="J114" s="433"/>
      <c r="K114" s="437">
        <f t="shared" si="24"/>
        <v>0</v>
      </c>
      <c r="L114" s="435" t="s">
        <v>614</v>
      </c>
      <c r="M114" s="576"/>
      <c r="N114" s="576">
        <f t="shared" si="15"/>
        <v>0</v>
      </c>
      <c r="O114" s="577">
        <f t="shared" si="18"/>
        <v>0</v>
      </c>
      <c r="P114" s="578">
        <f t="shared" si="19"/>
        <v>0</v>
      </c>
      <c r="Q114" s="765"/>
      <c r="R114" s="576">
        <f t="shared" si="20"/>
        <v>0</v>
      </c>
      <c r="S114" s="576">
        <f t="shared" si="20"/>
        <v>0</v>
      </c>
      <c r="T114" s="577">
        <f t="shared" si="21"/>
        <v>0</v>
      </c>
      <c r="U114" s="578">
        <f t="shared" si="22"/>
        <v>0</v>
      </c>
      <c r="V114" s="579"/>
      <c r="W114" s="566"/>
      <c r="X114" s="586" t="str">
        <f t="shared" si="23"/>
        <v/>
      </c>
      <c r="Y114" s="586" t="str">
        <f t="shared" si="16"/>
        <v/>
      </c>
      <c r="Z114" s="586" t="str">
        <f t="shared" si="17"/>
        <v/>
      </c>
    </row>
    <row r="115" spans="1:26" ht="12" hidden="1" thickBot="1" x14ac:dyDescent="0.25">
      <c r="A115" s="652" t="s">
        <v>187</v>
      </c>
      <c r="B115" s="581" t="s">
        <v>187</v>
      </c>
      <c r="C115" s="582" t="s">
        <v>187</v>
      </c>
      <c r="D115" s="583"/>
      <c r="E115" s="584"/>
      <c r="F115" s="438"/>
      <c r="G115" s="439"/>
      <c r="H115" s="426"/>
      <c r="I115" s="441"/>
      <c r="J115" s="442"/>
      <c r="K115" s="443">
        <f t="shared" si="24"/>
        <v>0</v>
      </c>
      <c r="L115" s="444" t="s">
        <v>614</v>
      </c>
      <c r="M115" s="576"/>
      <c r="N115" s="576">
        <f t="shared" si="15"/>
        <v>0</v>
      </c>
      <c r="O115" s="585">
        <f t="shared" si="18"/>
        <v>0</v>
      </c>
      <c r="P115" s="660">
        <f t="shared" si="19"/>
        <v>0</v>
      </c>
      <c r="Q115" s="765"/>
      <c r="R115" s="576">
        <f t="shared" si="20"/>
        <v>0</v>
      </c>
      <c r="S115" s="576">
        <f t="shared" si="20"/>
        <v>0</v>
      </c>
      <c r="T115" s="585">
        <f t="shared" si="21"/>
        <v>0</v>
      </c>
      <c r="U115" s="660">
        <f t="shared" si="22"/>
        <v>0</v>
      </c>
      <c r="V115" s="579"/>
      <c r="W115" s="566"/>
      <c r="X115" s="586" t="str">
        <f t="shared" si="23"/>
        <v/>
      </c>
      <c r="Y115" s="586" t="str">
        <f t="shared" si="16"/>
        <v/>
      </c>
      <c r="Z115" s="586" t="str">
        <f t="shared" si="17"/>
        <v/>
      </c>
    </row>
    <row r="116" spans="1:26" ht="12" hidden="1" thickBot="1" x14ac:dyDescent="0.25">
      <c r="A116" s="567" t="s">
        <v>207</v>
      </c>
      <c r="B116" s="664" t="s">
        <v>207</v>
      </c>
      <c r="C116" s="665"/>
      <c r="D116" s="666" t="s">
        <v>465</v>
      </c>
      <c r="E116" s="631"/>
      <c r="F116" s="632"/>
      <c r="G116" s="633"/>
      <c r="H116" s="409"/>
      <c r="I116" s="409"/>
      <c r="J116" s="409"/>
      <c r="K116" s="409"/>
      <c r="L116" s="409" t="s">
        <v>614</v>
      </c>
      <c r="M116" s="634"/>
      <c r="N116" s="797"/>
      <c r="O116" s="409">
        <f t="shared" si="18"/>
        <v>0</v>
      </c>
      <c r="P116" s="635">
        <f t="shared" si="19"/>
        <v>0</v>
      </c>
      <c r="Q116" s="635">
        <f>SUM(P117:P226)</f>
        <v>0</v>
      </c>
      <c r="R116" s="634"/>
      <c r="S116" s="409"/>
      <c r="T116" s="409">
        <f t="shared" si="21"/>
        <v>0</v>
      </c>
      <c r="U116" s="635">
        <f t="shared" si="22"/>
        <v>0</v>
      </c>
      <c r="V116" s="636">
        <f>SUM(U117:U226)</f>
        <v>0</v>
      </c>
      <c r="W116" s="637" t="str">
        <f>IF(OR(Q116&gt;0,V116&gt;0),"X","")</f>
        <v/>
      </c>
      <c r="X116" s="586" t="str">
        <f t="shared" si="23"/>
        <v/>
      </c>
      <c r="Y116" s="586" t="str">
        <f t="shared" si="16"/>
        <v/>
      </c>
      <c r="Z116" s="586" t="str">
        <f t="shared" si="17"/>
        <v/>
      </c>
    </row>
    <row r="117" spans="1:26" ht="12" hidden="1" thickBot="1" x14ac:dyDescent="0.25">
      <c r="A117" s="567">
        <v>520100</v>
      </c>
      <c r="B117" s="644" t="s">
        <v>1732</v>
      </c>
      <c r="C117" s="645" t="s">
        <v>206</v>
      </c>
      <c r="D117" s="422" t="s">
        <v>285</v>
      </c>
      <c r="E117" s="423"/>
      <c r="F117" s="418">
        <v>0.5</v>
      </c>
      <c r="G117" s="419">
        <f>1.5*1.4</f>
        <v>2.0999999999999996</v>
      </c>
      <c r="H117" s="667">
        <f>IF(F117&lt;=30,(1.07*F117+2.68)*G117,((1.07*30+2.68)+1.07*(F117-30))*G117)</f>
        <v>6.7514999999999992</v>
      </c>
      <c r="I117" s="449">
        <v>13.587999999999999</v>
      </c>
      <c r="J117" s="420">
        <f t="shared" ref="J117:J123" si="25">IF(ISBLANK(I117),"",SUM(H117:I117))</f>
        <v>20.339499999999997</v>
      </c>
      <c r="K117" s="421">
        <f t="shared" ref="K117:K180" si="26">IF(ISBLANK(I117),0,ROUND(J117*(1+$F$10)*(1+$F$11*E117),2))</f>
        <v>24.17</v>
      </c>
      <c r="L117" s="647" t="s">
        <v>16</v>
      </c>
      <c r="M117" s="576"/>
      <c r="N117" s="576">
        <f t="shared" si="15"/>
        <v>0</v>
      </c>
      <c r="O117" s="577">
        <f t="shared" si="18"/>
        <v>0</v>
      </c>
      <c r="P117" s="578">
        <f t="shared" si="19"/>
        <v>0</v>
      </c>
      <c r="Q117" s="765"/>
      <c r="R117" s="576">
        <f t="shared" si="20"/>
        <v>0</v>
      </c>
      <c r="S117" s="576">
        <f t="shared" si="20"/>
        <v>0</v>
      </c>
      <c r="T117" s="577">
        <f t="shared" si="21"/>
        <v>0</v>
      </c>
      <c r="U117" s="578">
        <f t="shared" si="22"/>
        <v>0</v>
      </c>
      <c r="V117" s="579"/>
      <c r="W117" s="566"/>
      <c r="X117" s="586" t="str">
        <f t="shared" si="23"/>
        <v/>
      </c>
      <c r="Y117" s="586" t="str">
        <f t="shared" si="16"/>
        <v/>
      </c>
      <c r="Z117" s="586" t="str">
        <f t="shared" si="17"/>
        <v/>
      </c>
    </row>
    <row r="118" spans="1:26" ht="12" hidden="1" thickBot="1" x14ac:dyDescent="0.25">
      <c r="A118" s="567">
        <v>520100</v>
      </c>
      <c r="B118" s="644" t="s">
        <v>1733</v>
      </c>
      <c r="C118" s="645" t="s">
        <v>206</v>
      </c>
      <c r="D118" s="422" t="s">
        <v>286</v>
      </c>
      <c r="E118" s="423"/>
      <c r="F118" s="418">
        <v>15</v>
      </c>
      <c r="G118" s="419">
        <f>1.5*1.4</f>
        <v>2.0999999999999996</v>
      </c>
      <c r="H118" s="667">
        <f>IF(F118&lt;=30,(1.07*F118+2.68)*G118,((1.07*30+2.68)+1.07*(F118-30))*G118)</f>
        <v>39.332999999999991</v>
      </c>
      <c r="I118" s="449">
        <v>13.587999999999999</v>
      </c>
      <c r="J118" s="420">
        <f t="shared" si="25"/>
        <v>52.920999999999992</v>
      </c>
      <c r="K118" s="421">
        <f t="shared" si="26"/>
        <v>62.88</v>
      </c>
      <c r="L118" s="647" t="s">
        <v>16</v>
      </c>
      <c r="M118" s="576"/>
      <c r="N118" s="576">
        <f t="shared" si="15"/>
        <v>0</v>
      </c>
      <c r="O118" s="577">
        <f t="shared" si="18"/>
        <v>0</v>
      </c>
      <c r="P118" s="578">
        <f t="shared" si="19"/>
        <v>0</v>
      </c>
      <c r="Q118" s="765"/>
      <c r="R118" s="576">
        <f t="shared" si="20"/>
        <v>0</v>
      </c>
      <c r="S118" s="576">
        <f t="shared" si="20"/>
        <v>0</v>
      </c>
      <c r="T118" s="577">
        <f t="shared" si="21"/>
        <v>0</v>
      </c>
      <c r="U118" s="578">
        <f t="shared" si="22"/>
        <v>0</v>
      </c>
      <c r="V118" s="579"/>
      <c r="W118" s="566"/>
      <c r="X118" s="586" t="str">
        <f t="shared" si="23"/>
        <v/>
      </c>
      <c r="Y118" s="586" t="str">
        <f t="shared" si="16"/>
        <v/>
      </c>
      <c r="Z118" s="586" t="str">
        <f t="shared" si="17"/>
        <v/>
      </c>
    </row>
    <row r="119" spans="1:26" ht="12" hidden="1" thickBot="1" x14ac:dyDescent="0.25">
      <c r="A119" s="567">
        <v>532100</v>
      </c>
      <c r="B119" s="644">
        <v>532100</v>
      </c>
      <c r="C119" s="645" t="s">
        <v>206</v>
      </c>
      <c r="D119" s="422" t="s">
        <v>204</v>
      </c>
      <c r="E119" s="423"/>
      <c r="F119" s="418">
        <v>20</v>
      </c>
      <c r="G119" s="425">
        <v>2.1</v>
      </c>
      <c r="H119" s="667">
        <f t="shared" ref="H119:H122" si="27">IF(F119&lt;=30,(1.07*F119+2.68)*G119,((1.07*30+2.68)+1.07*(F119-30))*G119)</f>
        <v>50.568000000000005</v>
      </c>
      <c r="I119" s="420">
        <v>88.86</v>
      </c>
      <c r="J119" s="420">
        <f t="shared" si="25"/>
        <v>139.428</v>
      </c>
      <c r="K119" s="421">
        <f t="shared" si="26"/>
        <v>165.65</v>
      </c>
      <c r="L119" s="647" t="s">
        <v>16</v>
      </c>
      <c r="M119" s="576"/>
      <c r="N119" s="576">
        <f t="shared" si="15"/>
        <v>0</v>
      </c>
      <c r="O119" s="577">
        <f t="shared" si="18"/>
        <v>0</v>
      </c>
      <c r="P119" s="578">
        <f t="shared" si="19"/>
        <v>0</v>
      </c>
      <c r="Q119" s="765"/>
      <c r="R119" s="576">
        <f t="shared" si="20"/>
        <v>0</v>
      </c>
      <c r="S119" s="576">
        <f t="shared" si="20"/>
        <v>0</v>
      </c>
      <c r="T119" s="577">
        <f t="shared" si="21"/>
        <v>0</v>
      </c>
      <c r="U119" s="578">
        <f t="shared" si="22"/>
        <v>0</v>
      </c>
      <c r="V119" s="579"/>
      <c r="W119" s="566"/>
      <c r="X119" s="586" t="str">
        <f t="shared" si="23"/>
        <v/>
      </c>
      <c r="Y119" s="586" t="str">
        <f t="shared" si="16"/>
        <v/>
      </c>
      <c r="Z119" s="586" t="str">
        <f t="shared" si="17"/>
        <v/>
      </c>
    </row>
    <row r="120" spans="1:26" ht="12" hidden="1" thickBot="1" x14ac:dyDescent="0.25">
      <c r="A120" s="567">
        <v>452010</v>
      </c>
      <c r="B120" s="450">
        <v>452010</v>
      </c>
      <c r="C120" s="473" t="s">
        <v>206</v>
      </c>
      <c r="D120" s="422" t="s">
        <v>210</v>
      </c>
      <c r="E120" s="423"/>
      <c r="F120" s="418">
        <v>15</v>
      </c>
      <c r="G120" s="419">
        <v>1.98</v>
      </c>
      <c r="H120" s="667">
        <f t="shared" si="27"/>
        <v>37.0854</v>
      </c>
      <c r="I120" s="420">
        <v>15.73</v>
      </c>
      <c r="J120" s="420">
        <f t="shared" si="25"/>
        <v>52.815399999999997</v>
      </c>
      <c r="K120" s="421">
        <f t="shared" si="26"/>
        <v>62.75</v>
      </c>
      <c r="L120" s="647" t="s">
        <v>16</v>
      </c>
      <c r="M120" s="576"/>
      <c r="N120" s="576">
        <f t="shared" si="15"/>
        <v>0</v>
      </c>
      <c r="O120" s="577">
        <f t="shared" si="18"/>
        <v>0</v>
      </c>
      <c r="P120" s="578">
        <f t="shared" si="19"/>
        <v>0</v>
      </c>
      <c r="Q120" s="765"/>
      <c r="R120" s="576">
        <f t="shared" si="20"/>
        <v>0</v>
      </c>
      <c r="S120" s="576">
        <f t="shared" si="20"/>
        <v>0</v>
      </c>
      <c r="T120" s="577">
        <f t="shared" si="21"/>
        <v>0</v>
      </c>
      <c r="U120" s="578">
        <f t="shared" si="22"/>
        <v>0</v>
      </c>
      <c r="V120" s="579"/>
      <c r="W120" s="566"/>
      <c r="X120" s="586" t="str">
        <f t="shared" si="23"/>
        <v/>
      </c>
      <c r="Y120" s="586" t="str">
        <f t="shared" si="16"/>
        <v/>
      </c>
      <c r="Z120" s="586" t="str">
        <f t="shared" si="17"/>
        <v/>
      </c>
    </row>
    <row r="121" spans="1:26" ht="12" hidden="1" thickBot="1" x14ac:dyDescent="0.25">
      <c r="A121" s="567">
        <v>532500</v>
      </c>
      <c r="B121" s="644" t="s">
        <v>1734</v>
      </c>
      <c r="C121" s="645" t="s">
        <v>206</v>
      </c>
      <c r="D121" s="451" t="s">
        <v>340</v>
      </c>
      <c r="E121" s="423"/>
      <c r="F121" s="424">
        <v>20</v>
      </c>
      <c r="G121" s="425">
        <v>1.7250000000000001</v>
      </c>
      <c r="H121" s="667">
        <f t="shared" si="27"/>
        <v>41.538000000000004</v>
      </c>
      <c r="I121" s="420">
        <v>97.26</v>
      </c>
      <c r="J121" s="420">
        <f t="shared" si="25"/>
        <v>138.798</v>
      </c>
      <c r="K121" s="421">
        <f t="shared" si="26"/>
        <v>164.91</v>
      </c>
      <c r="L121" s="647" t="s">
        <v>16</v>
      </c>
      <c r="M121" s="576"/>
      <c r="N121" s="576">
        <f t="shared" si="15"/>
        <v>0</v>
      </c>
      <c r="O121" s="577">
        <f t="shared" si="18"/>
        <v>0</v>
      </c>
      <c r="P121" s="578">
        <f t="shared" si="19"/>
        <v>0</v>
      </c>
      <c r="Q121" s="765"/>
      <c r="R121" s="576">
        <f t="shared" si="20"/>
        <v>0</v>
      </c>
      <c r="S121" s="576">
        <f t="shared" si="20"/>
        <v>0</v>
      </c>
      <c r="T121" s="577">
        <f t="shared" si="21"/>
        <v>0</v>
      </c>
      <c r="U121" s="578">
        <f t="shared" si="22"/>
        <v>0</v>
      </c>
      <c r="V121" s="579"/>
      <c r="W121" s="566"/>
      <c r="X121" s="586" t="str">
        <f t="shared" si="23"/>
        <v/>
      </c>
      <c r="Y121" s="586" t="str">
        <f t="shared" si="16"/>
        <v/>
      </c>
      <c r="Z121" s="586" t="str">
        <f t="shared" si="17"/>
        <v/>
      </c>
    </row>
    <row r="122" spans="1:26" ht="14.45" hidden="1" customHeight="1" x14ac:dyDescent="0.2">
      <c r="A122" s="567">
        <v>603900</v>
      </c>
      <c r="B122" s="644" t="s">
        <v>1735</v>
      </c>
      <c r="C122" s="645" t="s">
        <v>206</v>
      </c>
      <c r="D122" s="451" t="s">
        <v>341</v>
      </c>
      <c r="E122" s="423"/>
      <c r="F122" s="424">
        <v>20</v>
      </c>
      <c r="G122" s="425">
        <v>1.5</v>
      </c>
      <c r="H122" s="667">
        <f t="shared" si="27"/>
        <v>36.120000000000005</v>
      </c>
      <c r="I122" s="420">
        <v>124.3</v>
      </c>
      <c r="J122" s="420">
        <f t="shared" si="25"/>
        <v>160.42000000000002</v>
      </c>
      <c r="K122" s="421">
        <f t="shared" si="26"/>
        <v>190.6</v>
      </c>
      <c r="L122" s="647" t="s">
        <v>16</v>
      </c>
      <c r="M122" s="576"/>
      <c r="N122" s="576">
        <f t="shared" si="15"/>
        <v>0</v>
      </c>
      <c r="O122" s="577">
        <f t="shared" si="18"/>
        <v>0</v>
      </c>
      <c r="P122" s="578">
        <f t="shared" si="19"/>
        <v>0</v>
      </c>
      <c r="Q122" s="765"/>
      <c r="R122" s="576">
        <f t="shared" si="20"/>
        <v>0</v>
      </c>
      <c r="S122" s="576">
        <f t="shared" si="20"/>
        <v>0</v>
      </c>
      <c r="T122" s="577">
        <f t="shared" si="21"/>
        <v>0</v>
      </c>
      <c r="U122" s="578">
        <f t="shared" si="22"/>
        <v>0</v>
      </c>
      <c r="V122" s="579"/>
      <c r="W122" s="566"/>
      <c r="X122" s="586" t="str">
        <f t="shared" si="23"/>
        <v/>
      </c>
      <c r="Y122" s="586" t="str">
        <f t="shared" si="16"/>
        <v/>
      </c>
      <c r="Z122" s="586" t="str">
        <f t="shared" si="17"/>
        <v/>
      </c>
    </row>
    <row r="123" spans="1:26" ht="12" hidden="1" thickBot="1" x14ac:dyDescent="0.25">
      <c r="A123" s="567">
        <v>605000</v>
      </c>
      <c r="B123" s="644" t="s">
        <v>1736</v>
      </c>
      <c r="C123" s="645" t="s">
        <v>206</v>
      </c>
      <c r="D123" s="422" t="s">
        <v>274</v>
      </c>
      <c r="E123" s="423"/>
      <c r="F123" s="424"/>
      <c r="G123" s="425"/>
      <c r="H123" s="649">
        <f>SUM(H124:H126)</f>
        <v>305.33319999999998</v>
      </c>
      <c r="I123" s="420">
        <v>408.95</v>
      </c>
      <c r="J123" s="420">
        <f t="shared" si="25"/>
        <v>714.28319999999997</v>
      </c>
      <c r="K123" s="421">
        <f t="shared" si="26"/>
        <v>848.64</v>
      </c>
      <c r="L123" s="647" t="s">
        <v>16</v>
      </c>
      <c r="M123" s="576"/>
      <c r="N123" s="576">
        <f t="shared" si="15"/>
        <v>0</v>
      </c>
      <c r="O123" s="577">
        <f t="shared" si="18"/>
        <v>0</v>
      </c>
      <c r="P123" s="578">
        <f t="shared" si="19"/>
        <v>0</v>
      </c>
      <c r="Q123" s="765"/>
      <c r="R123" s="576">
        <f t="shared" si="20"/>
        <v>0</v>
      </c>
      <c r="S123" s="576">
        <f t="shared" si="20"/>
        <v>0</v>
      </c>
      <c r="T123" s="577">
        <f t="shared" si="21"/>
        <v>0</v>
      </c>
      <c r="U123" s="578">
        <f t="shared" si="22"/>
        <v>0</v>
      </c>
      <c r="V123" s="579"/>
      <c r="W123" s="566"/>
      <c r="X123" s="586" t="str">
        <f t="shared" si="23"/>
        <v/>
      </c>
      <c r="Y123" s="586" t="str">
        <f t="shared" si="16"/>
        <v/>
      </c>
      <c r="Z123" s="586" t="str">
        <f t="shared" si="17"/>
        <v/>
      </c>
    </row>
    <row r="124" spans="1:26" ht="12" hidden="1" thickBot="1" x14ac:dyDescent="0.25">
      <c r="A124" s="567" t="s">
        <v>168</v>
      </c>
      <c r="B124" s="644" t="s">
        <v>168</v>
      </c>
      <c r="C124" s="645"/>
      <c r="D124" s="451" t="s">
        <v>212</v>
      </c>
      <c r="E124" s="423"/>
      <c r="F124" s="424">
        <v>500</v>
      </c>
      <c r="G124" s="425">
        <v>0.18</v>
      </c>
      <c r="H124" s="649">
        <f>IF(F124&lt;=30,(0.78*F124+7.82)*G124,((0.78*30+7.82)+0.78*(F124-30))*G124)</f>
        <v>71.607600000000005</v>
      </c>
      <c r="I124" s="420">
        <v>0</v>
      </c>
      <c r="J124" s="420"/>
      <c r="K124" s="421">
        <f t="shared" si="26"/>
        <v>0</v>
      </c>
      <c r="L124" s="668" t="s">
        <v>614</v>
      </c>
      <c r="M124" s="669"/>
      <c r="N124" s="576">
        <f t="shared" si="15"/>
        <v>0</v>
      </c>
      <c r="O124" s="577">
        <f t="shared" si="18"/>
        <v>0</v>
      </c>
      <c r="P124" s="578">
        <f t="shared" si="19"/>
        <v>0</v>
      </c>
      <c r="Q124" s="765"/>
      <c r="R124" s="669"/>
      <c r="S124" s="670"/>
      <c r="T124" s="577">
        <f t="shared" si="21"/>
        <v>0</v>
      </c>
      <c r="U124" s="578">
        <f t="shared" si="22"/>
        <v>0</v>
      </c>
      <c r="V124" s="579"/>
      <c r="W124" s="637" t="str">
        <f>IF(U123&gt;0,"xx",IF(P123&gt;0,"xy",""))</f>
        <v/>
      </c>
      <c r="X124" s="586" t="str">
        <f t="shared" si="23"/>
        <v/>
      </c>
      <c r="Y124" s="586" t="str">
        <f t="shared" si="16"/>
        <v/>
      </c>
      <c r="Z124" s="586" t="str">
        <f t="shared" si="17"/>
        <v/>
      </c>
    </row>
    <row r="125" spans="1:26" ht="12" hidden="1" thickBot="1" x14ac:dyDescent="0.25">
      <c r="A125" s="567" t="s">
        <v>168</v>
      </c>
      <c r="B125" s="644" t="s">
        <v>168</v>
      </c>
      <c r="C125" s="645"/>
      <c r="D125" s="451" t="s">
        <v>248</v>
      </c>
      <c r="E125" s="423"/>
      <c r="F125" s="424">
        <v>180</v>
      </c>
      <c r="G125" s="425">
        <v>1.06</v>
      </c>
      <c r="H125" s="649">
        <f t="shared" ref="H125:H130" si="28">IF(F125&lt;=30,(1.07*F125+2.68)*G125,((1.07*30+2.68)+1.07*(F125-30))*G125)</f>
        <v>206.99680000000001</v>
      </c>
      <c r="I125" s="420">
        <v>0</v>
      </c>
      <c r="J125" s="420"/>
      <c r="K125" s="421">
        <f t="shared" si="26"/>
        <v>0</v>
      </c>
      <c r="L125" s="668" t="s">
        <v>614</v>
      </c>
      <c r="M125" s="669"/>
      <c r="N125" s="576">
        <f t="shared" si="15"/>
        <v>0</v>
      </c>
      <c r="O125" s="577">
        <f t="shared" si="18"/>
        <v>0</v>
      </c>
      <c r="P125" s="578">
        <f t="shared" si="19"/>
        <v>0</v>
      </c>
      <c r="Q125" s="765"/>
      <c r="R125" s="669"/>
      <c r="S125" s="670"/>
      <c r="T125" s="577">
        <f t="shared" si="21"/>
        <v>0</v>
      </c>
      <c r="U125" s="578">
        <f t="shared" si="22"/>
        <v>0</v>
      </c>
      <c r="V125" s="579"/>
      <c r="W125" s="637" t="str">
        <f>IF(U123&gt;0,"xx",IF(P123&gt;0,"xy",""))</f>
        <v/>
      </c>
      <c r="X125" s="586" t="str">
        <f t="shared" si="23"/>
        <v/>
      </c>
      <c r="Y125" s="586" t="str">
        <f t="shared" si="16"/>
        <v/>
      </c>
      <c r="Z125" s="586" t="str">
        <f t="shared" si="17"/>
        <v/>
      </c>
    </row>
    <row r="126" spans="1:26" ht="12" hidden="1" thickBot="1" x14ac:dyDescent="0.25">
      <c r="A126" s="567" t="s">
        <v>168</v>
      </c>
      <c r="B126" s="644" t="s">
        <v>168</v>
      </c>
      <c r="C126" s="645"/>
      <c r="D126" s="451" t="s">
        <v>252</v>
      </c>
      <c r="E126" s="423"/>
      <c r="F126" s="424">
        <v>20</v>
      </c>
      <c r="G126" s="425">
        <v>1.1100000000000001</v>
      </c>
      <c r="H126" s="649">
        <f t="shared" si="28"/>
        <v>26.728800000000003</v>
      </c>
      <c r="I126" s="420">
        <v>0</v>
      </c>
      <c r="J126" s="420"/>
      <c r="K126" s="421">
        <f t="shared" si="26"/>
        <v>0</v>
      </c>
      <c r="L126" s="668" t="s">
        <v>614</v>
      </c>
      <c r="M126" s="669"/>
      <c r="N126" s="576">
        <f t="shared" si="15"/>
        <v>0</v>
      </c>
      <c r="O126" s="577">
        <f t="shared" si="18"/>
        <v>0</v>
      </c>
      <c r="P126" s="578">
        <f t="shared" si="19"/>
        <v>0</v>
      </c>
      <c r="Q126" s="765"/>
      <c r="R126" s="669"/>
      <c r="S126" s="670"/>
      <c r="T126" s="577">
        <f t="shared" si="21"/>
        <v>0</v>
      </c>
      <c r="U126" s="578">
        <f t="shared" si="22"/>
        <v>0</v>
      </c>
      <c r="V126" s="579"/>
      <c r="W126" s="637" t="str">
        <f>IF(U123&gt;0,"xx",IF(P123&gt;0,"xy",""))</f>
        <v/>
      </c>
      <c r="X126" s="586" t="str">
        <f t="shared" si="23"/>
        <v/>
      </c>
      <c r="Y126" s="586" t="str">
        <f t="shared" si="16"/>
        <v/>
      </c>
      <c r="Z126" s="586" t="str">
        <f t="shared" si="17"/>
        <v/>
      </c>
    </row>
    <row r="127" spans="1:26" ht="12" hidden="1" thickBot="1" x14ac:dyDescent="0.25">
      <c r="A127" s="567">
        <v>400500</v>
      </c>
      <c r="B127" s="644" t="s">
        <v>1607</v>
      </c>
      <c r="C127" s="645" t="s">
        <v>206</v>
      </c>
      <c r="D127" s="422" t="s">
        <v>1608</v>
      </c>
      <c r="E127" s="423"/>
      <c r="F127" s="424">
        <v>20</v>
      </c>
      <c r="G127" s="425">
        <v>1.73</v>
      </c>
      <c r="H127" s="667">
        <f t="shared" si="28"/>
        <v>41.6584</v>
      </c>
      <c r="I127" s="420">
        <v>80.100000000000009</v>
      </c>
      <c r="J127" s="420">
        <f>IF(ISBLANK(I127),"",SUM(H127:I127))</f>
        <v>121.75840000000001</v>
      </c>
      <c r="K127" s="421">
        <f t="shared" si="26"/>
        <v>144.66</v>
      </c>
      <c r="L127" s="647" t="s">
        <v>16</v>
      </c>
      <c r="M127" s="576"/>
      <c r="N127" s="576">
        <f t="shared" si="15"/>
        <v>0</v>
      </c>
      <c r="O127" s="577">
        <f t="shared" si="18"/>
        <v>0</v>
      </c>
      <c r="P127" s="578">
        <f t="shared" si="19"/>
        <v>0</v>
      </c>
      <c r="Q127" s="765"/>
      <c r="R127" s="576">
        <f t="shared" si="20"/>
        <v>0</v>
      </c>
      <c r="S127" s="576">
        <f t="shared" si="20"/>
        <v>0</v>
      </c>
      <c r="T127" s="577">
        <f t="shared" si="21"/>
        <v>0</v>
      </c>
      <c r="U127" s="578">
        <f t="shared" si="22"/>
        <v>0</v>
      </c>
      <c r="V127" s="579"/>
      <c r="W127" s="566"/>
      <c r="X127" s="586" t="str">
        <f t="shared" si="23"/>
        <v/>
      </c>
      <c r="Y127" s="586" t="str">
        <f t="shared" si="16"/>
        <v/>
      </c>
      <c r="Z127" s="586" t="str">
        <f t="shared" si="17"/>
        <v/>
      </c>
    </row>
    <row r="128" spans="1:26" ht="12" hidden="1" thickBot="1" x14ac:dyDescent="0.25">
      <c r="A128" s="567">
        <v>532500</v>
      </c>
      <c r="B128" s="644" t="s">
        <v>1604</v>
      </c>
      <c r="C128" s="645" t="s">
        <v>206</v>
      </c>
      <c r="D128" s="422" t="s">
        <v>1609</v>
      </c>
      <c r="E128" s="423"/>
      <c r="F128" s="424">
        <v>20</v>
      </c>
      <c r="G128" s="425">
        <v>1.7250000000000001</v>
      </c>
      <c r="H128" s="667">
        <f t="shared" si="28"/>
        <v>41.538000000000004</v>
      </c>
      <c r="I128" s="420">
        <v>97.26</v>
      </c>
      <c r="J128" s="420">
        <f>IF(ISBLANK(I128),"",SUM(H128:I128))</f>
        <v>138.798</v>
      </c>
      <c r="K128" s="421">
        <f>IF(ISBLANK(I128),0,ROUND(J128*(1+$F$10)*(1+$F$11*E128),2))</f>
        <v>164.91</v>
      </c>
      <c r="L128" s="647" t="s">
        <v>16</v>
      </c>
      <c r="M128" s="576"/>
      <c r="N128" s="576">
        <f t="shared" si="15"/>
        <v>0</v>
      </c>
      <c r="O128" s="577">
        <f>IF(ISBLANK(M128),0,ROUND(K128*M128,2))</f>
        <v>0</v>
      </c>
      <c r="P128" s="578">
        <f>IF(ISBLANK(N128),0,ROUND(M128*N128,2))</f>
        <v>0</v>
      </c>
      <c r="Q128" s="765"/>
      <c r="R128" s="576">
        <f>M128</f>
        <v>0</v>
      </c>
      <c r="S128" s="576">
        <f>N128</f>
        <v>0</v>
      </c>
      <c r="T128" s="577">
        <f>IF(ISBLANK(R128),0,ROUND(K128*R128,2))</f>
        <v>0</v>
      </c>
      <c r="U128" s="578">
        <f>IF(ISBLANK(R128),0,ROUND(R128*S128,2))</f>
        <v>0</v>
      </c>
      <c r="V128" s="579"/>
      <c r="W128" s="566"/>
      <c r="X128" s="586" t="str">
        <f>IF(W128="X","x",IF(W128="xx","x",IF(W128="xy","x",IF(W128="y","x",IF(OR(P128&gt;0,U128&gt;0),"x","")))))</f>
        <v/>
      </c>
      <c r="Y128" s="586" t="str">
        <f>IF(W128="X","x",IF(W128="y","x",IF(W128="xx","x",IF(U128&gt;0,"x",""))))</f>
        <v/>
      </c>
      <c r="Z128" s="586" t="str">
        <f>IF(W128="X","x",IF(U128&gt;0,"x",""))</f>
        <v/>
      </c>
    </row>
    <row r="129" spans="1:26" ht="12" hidden="1" thickBot="1" x14ac:dyDescent="0.25">
      <c r="A129" s="567">
        <v>532600</v>
      </c>
      <c r="B129" s="644" t="s">
        <v>1536</v>
      </c>
      <c r="C129" s="645" t="s">
        <v>206</v>
      </c>
      <c r="D129" s="422" t="s">
        <v>1610</v>
      </c>
      <c r="E129" s="423"/>
      <c r="F129" s="418">
        <v>15</v>
      </c>
      <c r="G129" s="425">
        <f>ROUND(1.5*1.5,4)</f>
        <v>2.25</v>
      </c>
      <c r="H129" s="667">
        <f t="shared" si="28"/>
        <v>42.142499999999998</v>
      </c>
      <c r="I129" s="420">
        <v>15.533333333333335</v>
      </c>
      <c r="J129" s="420">
        <f>IF(ISBLANK(I129),"",SUM(H129:I129))</f>
        <v>57.67583333333333</v>
      </c>
      <c r="K129" s="421">
        <f t="shared" si="26"/>
        <v>68.52</v>
      </c>
      <c r="L129" s="647" t="s">
        <v>16</v>
      </c>
      <c r="M129" s="576"/>
      <c r="N129" s="576">
        <f t="shared" si="15"/>
        <v>0</v>
      </c>
      <c r="O129" s="577">
        <f t="shared" si="18"/>
        <v>0</v>
      </c>
      <c r="P129" s="578">
        <f t="shared" si="19"/>
        <v>0</v>
      </c>
      <c r="Q129" s="765"/>
      <c r="R129" s="576">
        <f t="shared" si="20"/>
        <v>0</v>
      </c>
      <c r="S129" s="576">
        <f t="shared" si="20"/>
        <v>0</v>
      </c>
      <c r="T129" s="577">
        <f t="shared" si="21"/>
        <v>0</v>
      </c>
      <c r="U129" s="578">
        <f t="shared" si="22"/>
        <v>0</v>
      </c>
      <c r="V129" s="579"/>
      <c r="W129" s="566"/>
      <c r="X129" s="586" t="str">
        <f t="shared" si="23"/>
        <v/>
      </c>
      <c r="Y129" s="586" t="str">
        <f t="shared" si="16"/>
        <v/>
      </c>
      <c r="Z129" s="586" t="str">
        <f t="shared" si="17"/>
        <v/>
      </c>
    </row>
    <row r="130" spans="1:26" ht="12" hidden="1" thickBot="1" x14ac:dyDescent="0.25">
      <c r="A130" s="567">
        <v>603900</v>
      </c>
      <c r="B130" s="644" t="s">
        <v>1606</v>
      </c>
      <c r="C130" s="645" t="s">
        <v>206</v>
      </c>
      <c r="D130" s="422" t="s">
        <v>1611</v>
      </c>
      <c r="E130" s="423"/>
      <c r="F130" s="424">
        <v>20</v>
      </c>
      <c r="G130" s="425">
        <v>1.5</v>
      </c>
      <c r="H130" s="667">
        <f t="shared" si="28"/>
        <v>36.120000000000005</v>
      </c>
      <c r="I130" s="420">
        <v>124.3</v>
      </c>
      <c r="J130" s="420">
        <f>IF(ISBLANK(I130),"",SUM(H130:I130))</f>
        <v>160.42000000000002</v>
      </c>
      <c r="K130" s="421">
        <f t="shared" si="26"/>
        <v>190.6</v>
      </c>
      <c r="L130" s="647" t="s">
        <v>16</v>
      </c>
      <c r="M130" s="576"/>
      <c r="N130" s="576">
        <f t="shared" si="15"/>
        <v>0</v>
      </c>
      <c r="O130" s="577">
        <f t="shared" si="18"/>
        <v>0</v>
      </c>
      <c r="P130" s="578">
        <f t="shared" si="19"/>
        <v>0</v>
      </c>
      <c r="Q130" s="765"/>
      <c r="R130" s="576">
        <f t="shared" si="20"/>
        <v>0</v>
      </c>
      <c r="S130" s="576">
        <f t="shared" si="20"/>
        <v>0</v>
      </c>
      <c r="T130" s="577">
        <f t="shared" si="21"/>
        <v>0</v>
      </c>
      <c r="U130" s="578">
        <f t="shared" si="22"/>
        <v>0</v>
      </c>
      <c r="V130" s="579"/>
      <c r="W130" s="566"/>
      <c r="X130" s="586" t="str">
        <f t="shared" si="23"/>
        <v/>
      </c>
      <c r="Y130" s="586" t="str">
        <f t="shared" si="16"/>
        <v/>
      </c>
      <c r="Z130" s="586" t="str">
        <f t="shared" si="17"/>
        <v/>
      </c>
    </row>
    <row r="131" spans="1:26" ht="12" hidden="1" thickBot="1" x14ac:dyDescent="0.25">
      <c r="A131" s="567">
        <v>511130</v>
      </c>
      <c r="B131" s="644" t="s">
        <v>1532</v>
      </c>
      <c r="C131" s="645" t="s">
        <v>206</v>
      </c>
      <c r="D131" s="422" t="s">
        <v>480</v>
      </c>
      <c r="E131" s="423"/>
      <c r="F131" s="424"/>
      <c r="G131" s="425"/>
      <c r="H131" s="649"/>
      <c r="I131" s="449">
        <v>1.27</v>
      </c>
      <c r="J131" s="420">
        <f t="shared" ref="J131:J140" si="29">IF(ISBLANK(I131),"",SUM(H131:I131))</f>
        <v>1.27</v>
      </c>
      <c r="K131" s="421">
        <f t="shared" si="26"/>
        <v>1.51</v>
      </c>
      <c r="L131" s="647" t="s">
        <v>16</v>
      </c>
      <c r="M131" s="576"/>
      <c r="N131" s="576">
        <f t="shared" si="15"/>
        <v>0</v>
      </c>
      <c r="O131" s="577">
        <f t="shared" si="18"/>
        <v>0</v>
      </c>
      <c r="P131" s="578">
        <f t="shared" si="19"/>
        <v>0</v>
      </c>
      <c r="Q131" s="765"/>
      <c r="R131" s="576">
        <f t="shared" si="20"/>
        <v>0</v>
      </c>
      <c r="S131" s="576">
        <f t="shared" si="20"/>
        <v>0</v>
      </c>
      <c r="T131" s="577">
        <f t="shared" si="21"/>
        <v>0</v>
      </c>
      <c r="U131" s="578">
        <f t="shared" si="22"/>
        <v>0</v>
      </c>
      <c r="V131" s="579"/>
      <c r="W131" s="662"/>
      <c r="X131" s="586" t="str">
        <f t="shared" si="23"/>
        <v/>
      </c>
      <c r="Y131" s="586" t="str">
        <f t="shared" si="16"/>
        <v/>
      </c>
      <c r="Z131" s="586" t="str">
        <f t="shared" si="17"/>
        <v/>
      </c>
    </row>
    <row r="132" spans="1:26" ht="12" hidden="1" thickBot="1" x14ac:dyDescent="0.25">
      <c r="A132" s="567">
        <v>533500</v>
      </c>
      <c r="B132" s="644" t="s">
        <v>1737</v>
      </c>
      <c r="C132" s="645" t="s">
        <v>206</v>
      </c>
      <c r="D132" s="422" t="s">
        <v>481</v>
      </c>
      <c r="E132" s="423"/>
      <c r="F132" s="418">
        <v>15</v>
      </c>
      <c r="G132" s="419">
        <v>1.95</v>
      </c>
      <c r="H132" s="667">
        <f t="shared" ref="H132:H133" si="30">IF(F132&lt;=30,(1.07*F132+2.68)*G132,((1.07*30+2.68)+1.07*(F132-30))*G132)</f>
        <v>36.523499999999999</v>
      </c>
      <c r="I132" s="420">
        <v>26.299999999999997</v>
      </c>
      <c r="J132" s="420">
        <f t="shared" si="29"/>
        <v>62.823499999999996</v>
      </c>
      <c r="K132" s="421">
        <f t="shared" si="26"/>
        <v>74.64</v>
      </c>
      <c r="L132" s="647" t="s">
        <v>16</v>
      </c>
      <c r="M132" s="576"/>
      <c r="N132" s="576">
        <f t="shared" si="15"/>
        <v>0</v>
      </c>
      <c r="O132" s="577">
        <f t="shared" si="18"/>
        <v>0</v>
      </c>
      <c r="P132" s="578">
        <f t="shared" si="19"/>
        <v>0</v>
      </c>
      <c r="Q132" s="765"/>
      <c r="R132" s="576">
        <f t="shared" si="20"/>
        <v>0</v>
      </c>
      <c r="S132" s="576">
        <f t="shared" si="20"/>
        <v>0</v>
      </c>
      <c r="T132" s="577">
        <f t="shared" si="21"/>
        <v>0</v>
      </c>
      <c r="U132" s="578">
        <f t="shared" si="22"/>
        <v>0</v>
      </c>
      <c r="V132" s="579"/>
      <c r="W132" s="566"/>
      <c r="X132" s="586" t="str">
        <f t="shared" si="23"/>
        <v/>
      </c>
      <c r="Y132" s="586" t="str">
        <f t="shared" si="16"/>
        <v/>
      </c>
      <c r="Z132" s="586" t="str">
        <f t="shared" si="17"/>
        <v/>
      </c>
    </row>
    <row r="133" spans="1:26" ht="12" hidden="1" thickBot="1" x14ac:dyDescent="0.25">
      <c r="A133" s="567">
        <v>533100</v>
      </c>
      <c r="B133" s="644" t="s">
        <v>1738</v>
      </c>
      <c r="C133" s="645" t="s">
        <v>206</v>
      </c>
      <c r="D133" s="422" t="s">
        <v>482</v>
      </c>
      <c r="E133" s="423"/>
      <c r="F133" s="418">
        <v>15</v>
      </c>
      <c r="G133" s="419">
        <v>1.98</v>
      </c>
      <c r="H133" s="667">
        <f t="shared" si="30"/>
        <v>37.0854</v>
      </c>
      <c r="I133" s="420">
        <v>31.15</v>
      </c>
      <c r="J133" s="420">
        <f t="shared" si="29"/>
        <v>68.235399999999998</v>
      </c>
      <c r="K133" s="421">
        <f t="shared" si="26"/>
        <v>81.069999999999993</v>
      </c>
      <c r="L133" s="647" t="s">
        <v>16</v>
      </c>
      <c r="M133" s="576"/>
      <c r="N133" s="576">
        <f t="shared" si="15"/>
        <v>0</v>
      </c>
      <c r="O133" s="577">
        <f t="shared" si="18"/>
        <v>0</v>
      </c>
      <c r="P133" s="578">
        <f t="shared" si="19"/>
        <v>0</v>
      </c>
      <c r="Q133" s="765"/>
      <c r="R133" s="576">
        <f t="shared" si="20"/>
        <v>0</v>
      </c>
      <c r="S133" s="576">
        <f t="shared" si="20"/>
        <v>0</v>
      </c>
      <c r="T133" s="577">
        <f t="shared" si="21"/>
        <v>0</v>
      </c>
      <c r="U133" s="578">
        <f t="shared" si="22"/>
        <v>0</v>
      </c>
      <c r="V133" s="579"/>
      <c r="W133" s="566"/>
      <c r="X133" s="586" t="str">
        <f t="shared" si="23"/>
        <v/>
      </c>
      <c r="Y133" s="586" t="str">
        <f t="shared" si="16"/>
        <v/>
      </c>
      <c r="Z133" s="586" t="str">
        <f t="shared" si="17"/>
        <v/>
      </c>
    </row>
    <row r="134" spans="1:26" ht="12" hidden="1" thickBot="1" x14ac:dyDescent="0.25">
      <c r="A134" s="567">
        <v>511100</v>
      </c>
      <c r="B134" s="644" t="s">
        <v>1538</v>
      </c>
      <c r="C134" s="645" t="s">
        <v>206</v>
      </c>
      <c r="D134" s="422" t="s">
        <v>203</v>
      </c>
      <c r="E134" s="423"/>
      <c r="F134" s="418"/>
      <c r="G134" s="425">
        <v>0</v>
      </c>
      <c r="H134" s="667">
        <v>0</v>
      </c>
      <c r="I134" s="420">
        <v>4.33</v>
      </c>
      <c r="J134" s="420">
        <f t="shared" si="29"/>
        <v>4.33</v>
      </c>
      <c r="K134" s="421">
        <f t="shared" si="26"/>
        <v>5.14</v>
      </c>
      <c r="L134" s="647" t="s">
        <v>18</v>
      </c>
      <c r="M134" s="576"/>
      <c r="N134" s="576">
        <f t="shared" si="15"/>
        <v>0</v>
      </c>
      <c r="O134" s="577">
        <f t="shared" si="18"/>
        <v>0</v>
      </c>
      <c r="P134" s="578">
        <f t="shared" si="19"/>
        <v>0</v>
      </c>
      <c r="Q134" s="765"/>
      <c r="R134" s="576">
        <f t="shared" si="20"/>
        <v>0</v>
      </c>
      <c r="S134" s="576">
        <f t="shared" si="20"/>
        <v>0</v>
      </c>
      <c r="T134" s="577">
        <f t="shared" si="21"/>
        <v>0</v>
      </c>
      <c r="U134" s="578">
        <f t="shared" si="22"/>
        <v>0</v>
      </c>
      <c r="V134" s="579"/>
      <c r="W134" s="566"/>
      <c r="X134" s="586" t="str">
        <f t="shared" si="23"/>
        <v/>
      </c>
      <c r="Y134" s="586" t="str">
        <f t="shared" si="16"/>
        <v/>
      </c>
      <c r="Z134" s="586" t="str">
        <f t="shared" si="17"/>
        <v/>
      </c>
    </row>
    <row r="135" spans="1:26" ht="12" hidden="1" thickBot="1" x14ac:dyDescent="0.25">
      <c r="A135" s="567">
        <v>511000</v>
      </c>
      <c r="B135" s="644" t="s">
        <v>1533</v>
      </c>
      <c r="C135" s="645" t="s">
        <v>206</v>
      </c>
      <c r="D135" s="422" t="s">
        <v>190</v>
      </c>
      <c r="E135" s="423"/>
      <c r="F135" s="418">
        <v>0</v>
      </c>
      <c r="G135" s="425"/>
      <c r="H135" s="667">
        <v>0</v>
      </c>
      <c r="I135" s="420">
        <v>4.95</v>
      </c>
      <c r="J135" s="420">
        <f t="shared" si="29"/>
        <v>4.95</v>
      </c>
      <c r="K135" s="421">
        <f t="shared" si="26"/>
        <v>5.88</v>
      </c>
      <c r="L135" s="647" t="s">
        <v>18</v>
      </c>
      <c r="M135" s="576"/>
      <c r="N135" s="576">
        <f t="shared" si="15"/>
        <v>0</v>
      </c>
      <c r="O135" s="577">
        <f t="shared" si="18"/>
        <v>0</v>
      </c>
      <c r="P135" s="578">
        <f t="shared" si="19"/>
        <v>0</v>
      </c>
      <c r="Q135" s="765"/>
      <c r="R135" s="576">
        <f t="shared" si="20"/>
        <v>0</v>
      </c>
      <c r="S135" s="576">
        <f t="shared" si="20"/>
        <v>0</v>
      </c>
      <c r="T135" s="577">
        <f t="shared" si="21"/>
        <v>0</v>
      </c>
      <c r="U135" s="578">
        <f t="shared" si="22"/>
        <v>0</v>
      </c>
      <c r="V135" s="579"/>
      <c r="W135" s="566"/>
      <c r="X135" s="586" t="str">
        <f t="shared" si="23"/>
        <v/>
      </c>
      <c r="Y135" s="586" t="str">
        <f t="shared" si="16"/>
        <v/>
      </c>
      <c r="Z135" s="586" t="str">
        <f t="shared" si="17"/>
        <v/>
      </c>
    </row>
    <row r="136" spans="1:26" ht="12" hidden="1" thickBot="1" x14ac:dyDescent="0.25">
      <c r="A136" s="567">
        <v>511300</v>
      </c>
      <c r="B136" s="644" t="s">
        <v>1540</v>
      </c>
      <c r="C136" s="645" t="s">
        <v>206</v>
      </c>
      <c r="D136" s="422" t="s">
        <v>202</v>
      </c>
      <c r="E136" s="423"/>
      <c r="F136" s="418">
        <v>0</v>
      </c>
      <c r="G136" s="425">
        <v>0</v>
      </c>
      <c r="H136" s="667">
        <v>0</v>
      </c>
      <c r="I136" s="420">
        <v>0.3</v>
      </c>
      <c r="J136" s="420">
        <f t="shared" si="29"/>
        <v>0.3</v>
      </c>
      <c r="K136" s="421">
        <f t="shared" si="26"/>
        <v>0.36</v>
      </c>
      <c r="L136" s="647" t="s">
        <v>18</v>
      </c>
      <c r="M136" s="576"/>
      <c r="N136" s="576">
        <f t="shared" si="15"/>
        <v>0</v>
      </c>
      <c r="O136" s="577">
        <f t="shared" si="18"/>
        <v>0</v>
      </c>
      <c r="P136" s="578">
        <f t="shared" si="19"/>
        <v>0</v>
      </c>
      <c r="Q136" s="765"/>
      <c r="R136" s="576">
        <f t="shared" si="20"/>
        <v>0</v>
      </c>
      <c r="S136" s="576">
        <f t="shared" si="20"/>
        <v>0</v>
      </c>
      <c r="T136" s="577">
        <f t="shared" si="21"/>
        <v>0</v>
      </c>
      <c r="U136" s="578">
        <f t="shared" si="22"/>
        <v>0</v>
      </c>
      <c r="V136" s="579"/>
      <c r="W136" s="566"/>
      <c r="X136" s="586" t="str">
        <f t="shared" si="23"/>
        <v/>
      </c>
      <c r="Y136" s="586" t="str">
        <f t="shared" si="16"/>
        <v/>
      </c>
      <c r="Z136" s="586" t="str">
        <f t="shared" si="17"/>
        <v/>
      </c>
    </row>
    <row r="137" spans="1:26" ht="12" hidden="1" thickBot="1" x14ac:dyDescent="0.25">
      <c r="A137" s="671">
        <v>100576</v>
      </c>
      <c r="B137" s="644" t="s">
        <v>1614</v>
      </c>
      <c r="C137" s="645" t="s">
        <v>670</v>
      </c>
      <c r="D137" s="422" t="s">
        <v>205</v>
      </c>
      <c r="E137" s="423"/>
      <c r="F137" s="418">
        <v>0</v>
      </c>
      <c r="G137" s="425"/>
      <c r="H137" s="667">
        <v>0</v>
      </c>
      <c r="I137" s="420">
        <v>2.4300000000000002</v>
      </c>
      <c r="J137" s="420">
        <f>IF(ISBLANK(I137),"",SUM(H137:I137))</f>
        <v>2.4300000000000002</v>
      </c>
      <c r="K137" s="421">
        <f t="shared" si="26"/>
        <v>2.89</v>
      </c>
      <c r="L137" s="647" t="s">
        <v>18</v>
      </c>
      <c r="M137" s="576"/>
      <c r="N137" s="576">
        <f t="shared" si="15"/>
        <v>0</v>
      </c>
      <c r="O137" s="577">
        <f t="shared" si="18"/>
        <v>0</v>
      </c>
      <c r="P137" s="578">
        <f t="shared" si="19"/>
        <v>0</v>
      </c>
      <c r="Q137" s="765"/>
      <c r="R137" s="576">
        <f t="shared" si="20"/>
        <v>0</v>
      </c>
      <c r="S137" s="576">
        <f t="shared" si="20"/>
        <v>0</v>
      </c>
      <c r="T137" s="577">
        <f t="shared" si="21"/>
        <v>0</v>
      </c>
      <c r="U137" s="578">
        <f t="shared" si="22"/>
        <v>0</v>
      </c>
      <c r="V137" s="579"/>
      <c r="W137" s="566"/>
      <c r="X137" s="586" t="str">
        <f t="shared" si="23"/>
        <v/>
      </c>
      <c r="Y137" s="586" t="str">
        <f t="shared" si="16"/>
        <v/>
      </c>
      <c r="Z137" s="586" t="str">
        <f t="shared" si="17"/>
        <v/>
      </c>
    </row>
    <row r="138" spans="1:26" ht="12" hidden="1" thickBot="1" x14ac:dyDescent="0.25">
      <c r="A138" s="567">
        <v>450000</v>
      </c>
      <c r="B138" s="450">
        <v>450000</v>
      </c>
      <c r="C138" s="473" t="s">
        <v>206</v>
      </c>
      <c r="D138" s="422" t="s">
        <v>209</v>
      </c>
      <c r="E138" s="423"/>
      <c r="F138" s="418">
        <v>15</v>
      </c>
      <c r="G138" s="419">
        <v>1.98</v>
      </c>
      <c r="H138" s="649">
        <f t="shared" ref="H138:H140" si="31">IF(F138&lt;=30,(1.07*F138+2.68)*G138,((1.07*30+2.68)+1.07*(F138-30))*G138)</f>
        <v>37.0854</v>
      </c>
      <c r="I138" s="420">
        <v>15.73</v>
      </c>
      <c r="J138" s="420">
        <f t="shared" si="29"/>
        <v>52.815399999999997</v>
      </c>
      <c r="K138" s="421">
        <f t="shared" si="26"/>
        <v>62.75</v>
      </c>
      <c r="L138" s="647" t="s">
        <v>16</v>
      </c>
      <c r="M138" s="576"/>
      <c r="N138" s="576">
        <f t="shared" si="15"/>
        <v>0</v>
      </c>
      <c r="O138" s="577">
        <f t="shared" si="18"/>
        <v>0</v>
      </c>
      <c r="P138" s="578">
        <f t="shared" si="19"/>
        <v>0</v>
      </c>
      <c r="Q138" s="765"/>
      <c r="R138" s="576">
        <f t="shared" si="20"/>
        <v>0</v>
      </c>
      <c r="S138" s="576">
        <f t="shared" si="20"/>
        <v>0</v>
      </c>
      <c r="T138" s="577">
        <f t="shared" si="21"/>
        <v>0</v>
      </c>
      <c r="U138" s="578">
        <f t="shared" si="22"/>
        <v>0</v>
      </c>
      <c r="V138" s="579"/>
      <c r="W138" s="566"/>
      <c r="X138" s="586" t="str">
        <f t="shared" si="23"/>
        <v/>
      </c>
      <c r="Y138" s="586" t="str">
        <f t="shared" si="16"/>
        <v/>
      </c>
      <c r="Z138" s="586" t="str">
        <f t="shared" si="17"/>
        <v/>
      </c>
    </row>
    <row r="139" spans="1:26" ht="12" hidden="1" thickBot="1" x14ac:dyDescent="0.25">
      <c r="A139" s="567">
        <v>541000</v>
      </c>
      <c r="B139" s="644">
        <v>541000</v>
      </c>
      <c r="C139" s="645" t="s">
        <v>206</v>
      </c>
      <c r="D139" s="422" t="s">
        <v>211</v>
      </c>
      <c r="E139" s="423"/>
      <c r="F139" s="424">
        <v>15</v>
      </c>
      <c r="G139" s="425">
        <v>2.02</v>
      </c>
      <c r="H139" s="649">
        <f t="shared" si="31"/>
        <v>37.834600000000002</v>
      </c>
      <c r="I139" s="420">
        <v>29.46</v>
      </c>
      <c r="J139" s="420">
        <f t="shared" si="29"/>
        <v>67.294600000000003</v>
      </c>
      <c r="K139" s="421">
        <f t="shared" si="26"/>
        <v>79.95</v>
      </c>
      <c r="L139" s="647" t="s">
        <v>16</v>
      </c>
      <c r="M139" s="576"/>
      <c r="N139" s="576">
        <f t="shared" si="15"/>
        <v>0</v>
      </c>
      <c r="O139" s="577">
        <f t="shared" si="18"/>
        <v>0</v>
      </c>
      <c r="P139" s="578">
        <f t="shared" si="19"/>
        <v>0</v>
      </c>
      <c r="Q139" s="765"/>
      <c r="R139" s="576">
        <f t="shared" si="20"/>
        <v>0</v>
      </c>
      <c r="S139" s="576">
        <f t="shared" si="20"/>
        <v>0</v>
      </c>
      <c r="T139" s="577">
        <f t="shared" si="21"/>
        <v>0</v>
      </c>
      <c r="U139" s="578">
        <f t="shared" si="22"/>
        <v>0</v>
      </c>
      <c r="V139" s="579"/>
      <c r="W139" s="566"/>
      <c r="X139" s="586" t="str">
        <f t="shared" si="23"/>
        <v/>
      </c>
      <c r="Y139" s="586" t="str">
        <f t="shared" si="16"/>
        <v/>
      </c>
      <c r="Z139" s="586" t="str">
        <f t="shared" si="17"/>
        <v/>
      </c>
    </row>
    <row r="140" spans="1:26" ht="12" hidden="1" thickBot="1" x14ac:dyDescent="0.25">
      <c r="A140" s="567">
        <v>533100</v>
      </c>
      <c r="B140" s="644" t="s">
        <v>1739</v>
      </c>
      <c r="C140" s="645" t="s">
        <v>206</v>
      </c>
      <c r="D140" s="422" t="s">
        <v>208</v>
      </c>
      <c r="E140" s="423"/>
      <c r="F140" s="418">
        <v>15</v>
      </c>
      <c r="G140" s="419">
        <v>2.1</v>
      </c>
      <c r="H140" s="649">
        <f t="shared" si="31"/>
        <v>39.333000000000006</v>
      </c>
      <c r="I140" s="420">
        <v>31.15</v>
      </c>
      <c r="J140" s="420">
        <f t="shared" si="29"/>
        <v>70.483000000000004</v>
      </c>
      <c r="K140" s="421">
        <f t="shared" si="26"/>
        <v>83.74</v>
      </c>
      <c r="L140" s="647" t="s">
        <v>16</v>
      </c>
      <c r="M140" s="576"/>
      <c r="N140" s="576">
        <f t="shared" si="15"/>
        <v>0</v>
      </c>
      <c r="O140" s="577">
        <f t="shared" si="18"/>
        <v>0</v>
      </c>
      <c r="P140" s="578">
        <f t="shared" si="19"/>
        <v>0</v>
      </c>
      <c r="Q140" s="765"/>
      <c r="R140" s="576">
        <f t="shared" si="20"/>
        <v>0</v>
      </c>
      <c r="S140" s="576">
        <f t="shared" si="20"/>
        <v>0</v>
      </c>
      <c r="T140" s="577">
        <f t="shared" si="21"/>
        <v>0</v>
      </c>
      <c r="U140" s="578">
        <f t="shared" si="22"/>
        <v>0</v>
      </c>
      <c r="V140" s="579"/>
      <c r="W140" s="566"/>
      <c r="X140" s="586" t="str">
        <f t="shared" si="23"/>
        <v/>
      </c>
      <c r="Y140" s="586" t="str">
        <f t="shared" si="16"/>
        <v/>
      </c>
      <c r="Z140" s="586" t="str">
        <f t="shared" si="17"/>
        <v/>
      </c>
    </row>
    <row r="141" spans="1:26" ht="12" hidden="1" thickBot="1" x14ac:dyDescent="0.25">
      <c r="A141" s="567">
        <v>542000</v>
      </c>
      <c r="B141" s="644">
        <v>542000</v>
      </c>
      <c r="C141" s="645" t="s">
        <v>206</v>
      </c>
      <c r="D141" s="422" t="s">
        <v>1900</v>
      </c>
      <c r="E141" s="423"/>
      <c r="F141" s="418"/>
      <c r="G141" s="425"/>
      <c r="H141" s="667">
        <f>SUM(H142:H143)</f>
        <v>49.613330000000005</v>
      </c>
      <c r="I141" s="420">
        <v>58.740000000000009</v>
      </c>
      <c r="J141" s="420">
        <f>IF(ISBLANK(I141),"",SUM(H141:I141))</f>
        <v>108.35333000000001</v>
      </c>
      <c r="K141" s="421">
        <f t="shared" si="26"/>
        <v>128.72999999999999</v>
      </c>
      <c r="L141" s="647" t="s">
        <v>16</v>
      </c>
      <c r="M141" s="576"/>
      <c r="N141" s="576">
        <f t="shared" si="15"/>
        <v>0</v>
      </c>
      <c r="O141" s="577">
        <f t="shared" si="18"/>
        <v>0</v>
      </c>
      <c r="P141" s="578">
        <f t="shared" si="19"/>
        <v>0</v>
      </c>
      <c r="Q141" s="765"/>
      <c r="R141" s="576">
        <f t="shared" si="20"/>
        <v>0</v>
      </c>
      <c r="S141" s="576">
        <f t="shared" si="20"/>
        <v>0</v>
      </c>
      <c r="T141" s="577">
        <f t="shared" si="21"/>
        <v>0</v>
      </c>
      <c r="U141" s="578">
        <f t="shared" si="22"/>
        <v>0</v>
      </c>
      <c r="V141" s="579"/>
      <c r="W141" s="566"/>
      <c r="X141" s="586" t="str">
        <f t="shared" si="23"/>
        <v/>
      </c>
      <c r="Y141" s="586" t="str">
        <f t="shared" si="16"/>
        <v/>
      </c>
      <c r="Z141" s="586" t="str">
        <f t="shared" si="17"/>
        <v/>
      </c>
    </row>
    <row r="142" spans="1:26" ht="12" hidden="1" thickBot="1" x14ac:dyDescent="0.25">
      <c r="A142" s="567" t="s">
        <v>168</v>
      </c>
      <c r="B142" s="644" t="s">
        <v>168</v>
      </c>
      <c r="C142" s="645"/>
      <c r="D142" s="451" t="s">
        <v>212</v>
      </c>
      <c r="E142" s="423"/>
      <c r="F142" s="424">
        <v>500</v>
      </c>
      <c r="G142" s="425">
        <v>3.6999999999999998E-2</v>
      </c>
      <c r="H142" s="649">
        <f>IF(F142&lt;=30,(0.78*F142+7.82)*G142,((0.78*30+7.82)+0.78*(F142-30))*G142)</f>
        <v>14.719340000000001</v>
      </c>
      <c r="I142" s="420">
        <v>0</v>
      </c>
      <c r="J142" s="420"/>
      <c r="K142" s="421">
        <f t="shared" si="26"/>
        <v>0</v>
      </c>
      <c r="L142" s="647" t="s">
        <v>614</v>
      </c>
      <c r="M142" s="669"/>
      <c r="N142" s="576">
        <f t="shared" si="15"/>
        <v>0</v>
      </c>
      <c r="O142" s="577">
        <f t="shared" si="18"/>
        <v>0</v>
      </c>
      <c r="P142" s="578">
        <f t="shared" si="19"/>
        <v>0</v>
      </c>
      <c r="Q142" s="765"/>
      <c r="R142" s="669"/>
      <c r="S142" s="670"/>
      <c r="T142" s="577">
        <f t="shared" si="21"/>
        <v>0</v>
      </c>
      <c r="U142" s="578">
        <f t="shared" si="22"/>
        <v>0</v>
      </c>
      <c r="V142" s="579"/>
      <c r="W142" s="637" t="str">
        <f>IF(U141&gt;0,"xx",IF(P141&gt;0,"xy",""))</f>
        <v/>
      </c>
      <c r="X142" s="586" t="str">
        <f t="shared" si="23"/>
        <v/>
      </c>
      <c r="Y142" s="586" t="str">
        <f>IF(W142="X","x",IF(W142="y","x",IF(W142="xx","x",IF(U142&gt;0,"x",""))))</f>
        <v/>
      </c>
      <c r="Z142" s="586" t="str">
        <f t="shared" si="17"/>
        <v/>
      </c>
    </row>
    <row r="143" spans="1:26" ht="12" hidden="1" thickBot="1" x14ac:dyDescent="0.25">
      <c r="A143" s="567" t="s">
        <v>168</v>
      </c>
      <c r="B143" s="644" t="s">
        <v>168</v>
      </c>
      <c r="C143" s="645"/>
      <c r="D143" s="451" t="s">
        <v>213</v>
      </c>
      <c r="E143" s="423"/>
      <c r="F143" s="418">
        <v>15</v>
      </c>
      <c r="G143" s="425">
        <v>1.863</v>
      </c>
      <c r="H143" s="649">
        <f t="shared" ref="H143" si="32">IF(F143&lt;=30,(1.07*F143+2.68)*G143,((1.07*30+2.68)+1.07*(F143-30))*G143)</f>
        <v>34.893990000000002</v>
      </c>
      <c r="I143" s="420">
        <v>0</v>
      </c>
      <c r="J143" s="420"/>
      <c r="K143" s="421">
        <f t="shared" si="26"/>
        <v>0</v>
      </c>
      <c r="L143" s="647" t="s">
        <v>614</v>
      </c>
      <c r="M143" s="669"/>
      <c r="N143" s="576">
        <f t="shared" si="15"/>
        <v>0</v>
      </c>
      <c r="O143" s="577">
        <f t="shared" si="18"/>
        <v>0</v>
      </c>
      <c r="P143" s="578">
        <f t="shared" si="19"/>
        <v>0</v>
      </c>
      <c r="Q143" s="765"/>
      <c r="R143" s="669"/>
      <c r="S143" s="670"/>
      <c r="T143" s="577">
        <f t="shared" si="21"/>
        <v>0</v>
      </c>
      <c r="U143" s="578">
        <f t="shared" si="22"/>
        <v>0</v>
      </c>
      <c r="V143" s="579"/>
      <c r="W143" s="637" t="str">
        <f>IF(U141&gt;0,"xx",IF(P141&gt;0,"xy",""))</f>
        <v/>
      </c>
      <c r="X143" s="586" t="str">
        <f t="shared" si="23"/>
        <v/>
      </c>
      <c r="Y143" s="586" t="str">
        <f t="shared" ref="Y143:Y210" si="33">IF(W143="X","x",IF(W143="y","x",IF(W143="xx","x",IF(U143&gt;0,"x",""))))</f>
        <v/>
      </c>
      <c r="Z143" s="586" t="str">
        <f t="shared" si="17"/>
        <v/>
      </c>
    </row>
    <row r="144" spans="1:26" ht="12" hidden="1" thickBot="1" x14ac:dyDescent="0.25">
      <c r="A144" s="567">
        <v>543000</v>
      </c>
      <c r="B144" s="644">
        <v>543000</v>
      </c>
      <c r="C144" s="645" t="s">
        <v>206</v>
      </c>
      <c r="D144" s="422" t="s">
        <v>1901</v>
      </c>
      <c r="E144" s="423"/>
      <c r="F144" s="418"/>
      <c r="G144" s="425"/>
      <c r="H144" s="667">
        <f>SUM(H145:H146)</f>
        <v>56.436949999999996</v>
      </c>
      <c r="I144" s="420">
        <v>72.12</v>
      </c>
      <c r="J144" s="420">
        <f>IF(ISBLANK(I144),"",SUM(H144:I144))</f>
        <v>128.55695</v>
      </c>
      <c r="K144" s="421">
        <f t="shared" si="26"/>
        <v>152.74</v>
      </c>
      <c r="L144" s="647" t="s">
        <v>16</v>
      </c>
      <c r="M144" s="576"/>
      <c r="N144" s="576">
        <f t="shared" si="15"/>
        <v>0</v>
      </c>
      <c r="O144" s="577">
        <f t="shared" si="18"/>
        <v>0</v>
      </c>
      <c r="P144" s="578">
        <f t="shared" si="19"/>
        <v>0</v>
      </c>
      <c r="Q144" s="765"/>
      <c r="R144" s="576">
        <f t="shared" si="20"/>
        <v>0</v>
      </c>
      <c r="S144" s="576">
        <f t="shared" si="20"/>
        <v>0</v>
      </c>
      <c r="T144" s="577">
        <f t="shared" si="21"/>
        <v>0</v>
      </c>
      <c r="U144" s="578">
        <f t="shared" si="22"/>
        <v>0</v>
      </c>
      <c r="V144" s="579"/>
      <c r="W144" s="566"/>
      <c r="X144" s="586" t="str">
        <f t="shared" si="23"/>
        <v/>
      </c>
      <c r="Y144" s="586" t="str">
        <f t="shared" si="33"/>
        <v/>
      </c>
      <c r="Z144" s="586" t="str">
        <f t="shared" si="17"/>
        <v/>
      </c>
    </row>
    <row r="145" spans="1:26" ht="12" hidden="1" thickBot="1" x14ac:dyDescent="0.25">
      <c r="A145" s="567" t="s">
        <v>168</v>
      </c>
      <c r="B145" s="644" t="s">
        <v>168</v>
      </c>
      <c r="C145" s="645"/>
      <c r="D145" s="451" t="s">
        <v>212</v>
      </c>
      <c r="E145" s="423"/>
      <c r="F145" s="424">
        <v>500</v>
      </c>
      <c r="G145" s="425">
        <v>5.5E-2</v>
      </c>
      <c r="H145" s="649">
        <f>IF(F145&lt;=30,(0.78*F145+7.82)*G145,((0.78*30+7.82)+0.78*(F145-30))*G145)</f>
        <v>21.880100000000002</v>
      </c>
      <c r="I145" s="420">
        <v>0</v>
      </c>
      <c r="J145" s="420"/>
      <c r="K145" s="421">
        <f t="shared" si="26"/>
        <v>0</v>
      </c>
      <c r="L145" s="647" t="s">
        <v>614</v>
      </c>
      <c r="M145" s="669"/>
      <c r="N145" s="576">
        <f t="shared" si="15"/>
        <v>0</v>
      </c>
      <c r="O145" s="577">
        <f t="shared" si="18"/>
        <v>0</v>
      </c>
      <c r="P145" s="578">
        <f t="shared" si="19"/>
        <v>0</v>
      </c>
      <c r="Q145" s="765"/>
      <c r="R145" s="669"/>
      <c r="S145" s="670"/>
      <c r="T145" s="577">
        <f t="shared" si="21"/>
        <v>0</v>
      </c>
      <c r="U145" s="578">
        <f t="shared" si="22"/>
        <v>0</v>
      </c>
      <c r="V145" s="579"/>
      <c r="W145" s="637" t="str">
        <f>IF(U144&gt;0,"xx",IF(P144&gt;0,"xy",""))</f>
        <v/>
      </c>
      <c r="X145" s="586" t="str">
        <f t="shared" si="23"/>
        <v/>
      </c>
      <c r="Y145" s="586" t="str">
        <f t="shared" si="33"/>
        <v/>
      </c>
      <c r="Z145" s="586" t="str">
        <f t="shared" si="17"/>
        <v/>
      </c>
    </row>
    <row r="146" spans="1:26" ht="12" hidden="1" thickBot="1" x14ac:dyDescent="0.25">
      <c r="A146" s="567" t="s">
        <v>168</v>
      </c>
      <c r="B146" s="644" t="s">
        <v>168</v>
      </c>
      <c r="C146" s="645"/>
      <c r="D146" s="451" t="s">
        <v>213</v>
      </c>
      <c r="E146" s="423"/>
      <c r="F146" s="418">
        <v>15</v>
      </c>
      <c r="G146" s="425">
        <v>1.845</v>
      </c>
      <c r="H146" s="649">
        <f t="shared" ref="H146" si="34">IF(F146&lt;=30,(1.07*F146+2.68)*G146,((1.07*30+2.68)+1.07*(F146-30))*G146)</f>
        <v>34.556849999999997</v>
      </c>
      <c r="I146" s="420">
        <v>0</v>
      </c>
      <c r="J146" s="420"/>
      <c r="K146" s="421">
        <f t="shared" si="26"/>
        <v>0</v>
      </c>
      <c r="L146" s="647" t="s">
        <v>614</v>
      </c>
      <c r="M146" s="669"/>
      <c r="N146" s="576">
        <f t="shared" si="15"/>
        <v>0</v>
      </c>
      <c r="O146" s="577">
        <f t="shared" si="18"/>
        <v>0</v>
      </c>
      <c r="P146" s="578">
        <f t="shared" si="19"/>
        <v>0</v>
      </c>
      <c r="Q146" s="765"/>
      <c r="R146" s="669"/>
      <c r="S146" s="670"/>
      <c r="T146" s="577">
        <f t="shared" si="21"/>
        <v>0</v>
      </c>
      <c r="U146" s="578">
        <f t="shared" si="22"/>
        <v>0</v>
      </c>
      <c r="V146" s="579"/>
      <c r="W146" s="637" t="str">
        <f>IF(U144&gt;0,"xx",IF(P144&gt;0,"xy",""))</f>
        <v/>
      </c>
      <c r="X146" s="586" t="str">
        <f t="shared" si="23"/>
        <v/>
      </c>
      <c r="Y146" s="586" t="str">
        <f t="shared" si="33"/>
        <v/>
      </c>
      <c r="Z146" s="586" t="str">
        <f t="shared" si="17"/>
        <v/>
      </c>
    </row>
    <row r="147" spans="1:26" ht="12" hidden="1" thickBot="1" x14ac:dyDescent="0.25">
      <c r="A147" s="567">
        <v>544000</v>
      </c>
      <c r="B147" s="644">
        <v>544000</v>
      </c>
      <c r="C147" s="645" t="s">
        <v>206</v>
      </c>
      <c r="D147" s="422" t="s">
        <v>1902</v>
      </c>
      <c r="E147" s="423"/>
      <c r="F147" s="418"/>
      <c r="G147" s="425"/>
      <c r="H147" s="667">
        <f>SUM(H148:H149)</f>
        <v>61.565889999999996</v>
      </c>
      <c r="I147" s="420">
        <v>76.599999999999994</v>
      </c>
      <c r="J147" s="420">
        <f>IF(ISBLANK(I147),"",SUM(H147:I147))</f>
        <v>138.16588999999999</v>
      </c>
      <c r="K147" s="421">
        <f t="shared" si="26"/>
        <v>164.15</v>
      </c>
      <c r="L147" s="647" t="s">
        <v>16</v>
      </c>
      <c r="M147" s="576"/>
      <c r="N147" s="576">
        <f t="shared" si="15"/>
        <v>0</v>
      </c>
      <c r="O147" s="577">
        <f t="shared" si="18"/>
        <v>0</v>
      </c>
      <c r="P147" s="578">
        <f t="shared" si="19"/>
        <v>0</v>
      </c>
      <c r="Q147" s="765"/>
      <c r="R147" s="576">
        <f t="shared" si="20"/>
        <v>0</v>
      </c>
      <c r="S147" s="576">
        <f t="shared" si="20"/>
        <v>0</v>
      </c>
      <c r="T147" s="577">
        <f t="shared" si="21"/>
        <v>0</v>
      </c>
      <c r="U147" s="578">
        <f t="shared" si="22"/>
        <v>0</v>
      </c>
      <c r="V147" s="579"/>
      <c r="W147" s="566"/>
      <c r="X147" s="586" t="str">
        <f t="shared" si="23"/>
        <v/>
      </c>
      <c r="Y147" s="586" t="str">
        <f t="shared" si="33"/>
        <v/>
      </c>
      <c r="Z147" s="586" t="str">
        <f t="shared" si="17"/>
        <v/>
      </c>
    </row>
    <row r="148" spans="1:26" ht="12" hidden="1" thickBot="1" x14ac:dyDescent="0.25">
      <c r="A148" s="567" t="s">
        <v>168</v>
      </c>
      <c r="B148" s="644" t="s">
        <v>168</v>
      </c>
      <c r="C148" s="645"/>
      <c r="D148" s="451" t="s">
        <v>212</v>
      </c>
      <c r="E148" s="423"/>
      <c r="F148" s="424">
        <v>500</v>
      </c>
      <c r="G148" s="425">
        <v>7.0999999999999994E-2</v>
      </c>
      <c r="H148" s="649">
        <f>IF(F148&lt;=30,(0.78*F148+7.82)*G148,((0.78*30+7.82)+0.78*(F148-30))*G148)</f>
        <v>28.24522</v>
      </c>
      <c r="I148" s="420">
        <v>0</v>
      </c>
      <c r="J148" s="420"/>
      <c r="K148" s="421">
        <f t="shared" si="26"/>
        <v>0</v>
      </c>
      <c r="L148" s="647" t="s">
        <v>614</v>
      </c>
      <c r="M148" s="669"/>
      <c r="N148" s="576">
        <f t="shared" ref="N148:N211" si="35">IF(M148=0,0,K148)</f>
        <v>0</v>
      </c>
      <c r="O148" s="577">
        <f t="shared" si="18"/>
        <v>0</v>
      </c>
      <c r="P148" s="578">
        <f t="shared" si="19"/>
        <v>0</v>
      </c>
      <c r="Q148" s="765"/>
      <c r="R148" s="669"/>
      <c r="S148" s="670"/>
      <c r="T148" s="577">
        <f t="shared" si="21"/>
        <v>0</v>
      </c>
      <c r="U148" s="578">
        <f t="shared" si="22"/>
        <v>0</v>
      </c>
      <c r="V148" s="579"/>
      <c r="W148" s="637" t="str">
        <f>IF(U147&gt;0,"xx",IF(P147&gt;0,"xy",""))</f>
        <v/>
      </c>
      <c r="X148" s="586" t="str">
        <f t="shared" si="23"/>
        <v/>
      </c>
      <c r="Y148" s="586" t="str">
        <f t="shared" si="33"/>
        <v/>
      </c>
      <c r="Z148" s="586" t="str">
        <f t="shared" si="17"/>
        <v/>
      </c>
    </row>
    <row r="149" spans="1:26" ht="12" hidden="1" thickBot="1" x14ac:dyDescent="0.25">
      <c r="A149" s="567" t="s">
        <v>168</v>
      </c>
      <c r="B149" s="644" t="s">
        <v>168</v>
      </c>
      <c r="C149" s="645"/>
      <c r="D149" s="451" t="s">
        <v>213</v>
      </c>
      <c r="E149" s="423"/>
      <c r="F149" s="418">
        <v>15</v>
      </c>
      <c r="G149" s="425">
        <v>1.7789999999999999</v>
      </c>
      <c r="H149" s="649">
        <f t="shared" ref="H149" si="36">IF(F149&lt;=30,(1.07*F149+2.68)*G149,((1.07*30+2.68)+1.07*(F149-30))*G149)</f>
        <v>33.32067</v>
      </c>
      <c r="I149" s="420">
        <v>0</v>
      </c>
      <c r="J149" s="420"/>
      <c r="K149" s="421">
        <f t="shared" si="26"/>
        <v>0</v>
      </c>
      <c r="L149" s="647" t="s">
        <v>614</v>
      </c>
      <c r="M149" s="669"/>
      <c r="N149" s="576">
        <f t="shared" si="35"/>
        <v>0</v>
      </c>
      <c r="O149" s="577">
        <f t="shared" si="18"/>
        <v>0</v>
      </c>
      <c r="P149" s="578">
        <f t="shared" si="19"/>
        <v>0</v>
      </c>
      <c r="Q149" s="765"/>
      <c r="R149" s="669"/>
      <c r="S149" s="670"/>
      <c r="T149" s="577">
        <f t="shared" si="21"/>
        <v>0</v>
      </c>
      <c r="U149" s="578">
        <f t="shared" si="22"/>
        <v>0</v>
      </c>
      <c r="V149" s="579"/>
      <c r="W149" s="637" t="str">
        <f>IF(U147&gt;0,"xx",IF(P147&gt;0,"xy",""))</f>
        <v/>
      </c>
      <c r="X149" s="586" t="str">
        <f t="shared" si="23"/>
        <v/>
      </c>
      <c r="Y149" s="586" t="str">
        <f t="shared" si="33"/>
        <v/>
      </c>
      <c r="Z149" s="586" t="str">
        <f t="shared" si="17"/>
        <v/>
      </c>
    </row>
    <row r="150" spans="1:26" ht="12" hidden="1" thickBot="1" x14ac:dyDescent="0.25">
      <c r="A150" s="567">
        <v>545000</v>
      </c>
      <c r="B150" s="644">
        <v>545000</v>
      </c>
      <c r="C150" s="645" t="s">
        <v>206</v>
      </c>
      <c r="D150" s="422" t="s">
        <v>1903</v>
      </c>
      <c r="E150" s="423"/>
      <c r="F150" s="418"/>
      <c r="G150" s="425"/>
      <c r="H150" s="667">
        <f>SUM(H151:H152)</f>
        <v>68.010420000000011</v>
      </c>
      <c r="I150" s="420">
        <v>88.69</v>
      </c>
      <c r="J150" s="420">
        <f>IF(ISBLANK(I150),"",SUM(H150:I150))</f>
        <v>156.70042000000001</v>
      </c>
      <c r="K150" s="421">
        <f t="shared" si="26"/>
        <v>186.18</v>
      </c>
      <c r="L150" s="647" t="s">
        <v>16</v>
      </c>
      <c r="M150" s="576"/>
      <c r="N150" s="576">
        <f t="shared" si="35"/>
        <v>0</v>
      </c>
      <c r="O150" s="577">
        <f t="shared" si="18"/>
        <v>0</v>
      </c>
      <c r="P150" s="578">
        <f t="shared" si="19"/>
        <v>0</v>
      </c>
      <c r="Q150" s="765"/>
      <c r="R150" s="576">
        <f t="shared" si="20"/>
        <v>0</v>
      </c>
      <c r="S150" s="576">
        <f t="shared" si="20"/>
        <v>0</v>
      </c>
      <c r="T150" s="577">
        <f t="shared" si="21"/>
        <v>0</v>
      </c>
      <c r="U150" s="578">
        <f t="shared" si="22"/>
        <v>0</v>
      </c>
      <c r="V150" s="579"/>
      <c r="W150" s="566"/>
      <c r="X150" s="586" t="str">
        <f t="shared" si="23"/>
        <v/>
      </c>
      <c r="Y150" s="586" t="str">
        <f t="shared" si="33"/>
        <v/>
      </c>
      <c r="Z150" s="586" t="str">
        <f t="shared" si="17"/>
        <v/>
      </c>
    </row>
    <row r="151" spans="1:26" ht="12" hidden="1" thickBot="1" x14ac:dyDescent="0.25">
      <c r="A151" s="567" t="s">
        <v>168</v>
      </c>
      <c r="B151" s="644" t="s">
        <v>168</v>
      </c>
      <c r="C151" s="645"/>
      <c r="D151" s="451" t="s">
        <v>212</v>
      </c>
      <c r="E151" s="423"/>
      <c r="F151" s="424">
        <v>500</v>
      </c>
      <c r="G151" s="425">
        <v>8.7999999999999995E-2</v>
      </c>
      <c r="H151" s="649">
        <f>IF(F151&lt;=30,(0.78*F151+7.82)*G151,((0.78*30+7.82)+0.78*(F151-30))*G151)</f>
        <v>35.008160000000004</v>
      </c>
      <c r="I151" s="420">
        <v>0</v>
      </c>
      <c r="J151" s="420"/>
      <c r="K151" s="421">
        <f t="shared" si="26"/>
        <v>0</v>
      </c>
      <c r="L151" s="647" t="s">
        <v>614</v>
      </c>
      <c r="M151" s="669"/>
      <c r="N151" s="576">
        <f t="shared" si="35"/>
        <v>0</v>
      </c>
      <c r="O151" s="577">
        <f t="shared" si="18"/>
        <v>0</v>
      </c>
      <c r="P151" s="578">
        <f t="shared" si="19"/>
        <v>0</v>
      </c>
      <c r="Q151" s="765"/>
      <c r="R151" s="669"/>
      <c r="S151" s="670"/>
      <c r="T151" s="577">
        <f t="shared" si="21"/>
        <v>0</v>
      </c>
      <c r="U151" s="578">
        <f t="shared" si="22"/>
        <v>0</v>
      </c>
      <c r="V151" s="579"/>
      <c r="W151" s="637" t="str">
        <f>IF(U150&gt;0,"xx",IF(P150&gt;0,"xy",""))</f>
        <v/>
      </c>
      <c r="X151" s="586" t="str">
        <f t="shared" si="23"/>
        <v/>
      </c>
      <c r="Y151" s="586" t="str">
        <f t="shared" si="33"/>
        <v/>
      </c>
      <c r="Z151" s="586" t="str">
        <f t="shared" si="17"/>
        <v/>
      </c>
    </row>
    <row r="152" spans="1:26" ht="12" hidden="1" thickBot="1" x14ac:dyDescent="0.25">
      <c r="A152" s="567" t="s">
        <v>168</v>
      </c>
      <c r="B152" s="644" t="s">
        <v>168</v>
      </c>
      <c r="C152" s="645"/>
      <c r="D152" s="451" t="s">
        <v>213</v>
      </c>
      <c r="E152" s="423"/>
      <c r="F152" s="418">
        <v>15</v>
      </c>
      <c r="G152" s="425">
        <v>1.762</v>
      </c>
      <c r="H152" s="649">
        <f t="shared" ref="H152" si="37">IF(F152&lt;=30,(1.07*F152+2.68)*G152,((1.07*30+2.68)+1.07*(F152-30))*G152)</f>
        <v>33.00226</v>
      </c>
      <c r="I152" s="420">
        <v>0</v>
      </c>
      <c r="J152" s="420"/>
      <c r="K152" s="421">
        <f t="shared" si="26"/>
        <v>0</v>
      </c>
      <c r="L152" s="647" t="s">
        <v>614</v>
      </c>
      <c r="M152" s="669"/>
      <c r="N152" s="576">
        <f t="shared" si="35"/>
        <v>0</v>
      </c>
      <c r="O152" s="577">
        <f t="shared" si="18"/>
        <v>0</v>
      </c>
      <c r="P152" s="578">
        <f t="shared" si="19"/>
        <v>0</v>
      </c>
      <c r="Q152" s="765"/>
      <c r="R152" s="669"/>
      <c r="S152" s="670"/>
      <c r="T152" s="577">
        <f t="shared" si="21"/>
        <v>0</v>
      </c>
      <c r="U152" s="578">
        <f t="shared" si="22"/>
        <v>0</v>
      </c>
      <c r="V152" s="579"/>
      <c r="W152" s="637" t="str">
        <f>IF(U150&gt;0,"xx",IF(P150&gt;0,"xy",""))</f>
        <v/>
      </c>
      <c r="X152" s="586" t="str">
        <f t="shared" si="23"/>
        <v/>
      </c>
      <c r="Y152" s="586" t="str">
        <f t="shared" si="33"/>
        <v/>
      </c>
      <c r="Z152" s="586" t="str">
        <f t="shared" si="17"/>
        <v/>
      </c>
    </row>
    <row r="153" spans="1:26" ht="12" hidden="1" thickBot="1" x14ac:dyDescent="0.25">
      <c r="A153" s="567">
        <v>546000</v>
      </c>
      <c r="B153" s="644">
        <v>546000</v>
      </c>
      <c r="C153" s="645" t="s">
        <v>206</v>
      </c>
      <c r="D153" s="422" t="s">
        <v>1904</v>
      </c>
      <c r="E153" s="423"/>
      <c r="F153" s="418"/>
      <c r="G153" s="425"/>
      <c r="H153" s="667">
        <f>SUM(H154:H155)</f>
        <v>74.454949999999997</v>
      </c>
      <c r="I153" s="420">
        <v>100.75</v>
      </c>
      <c r="J153" s="420">
        <f>IF(ISBLANK(I153),"",SUM(H153:I153))</f>
        <v>175.20495</v>
      </c>
      <c r="K153" s="421">
        <f t="shared" si="26"/>
        <v>208.16</v>
      </c>
      <c r="L153" s="647" t="s">
        <v>16</v>
      </c>
      <c r="M153" s="576"/>
      <c r="N153" s="576">
        <f t="shared" si="35"/>
        <v>0</v>
      </c>
      <c r="O153" s="577">
        <f t="shared" si="18"/>
        <v>0</v>
      </c>
      <c r="P153" s="578">
        <f t="shared" si="19"/>
        <v>0</v>
      </c>
      <c r="Q153" s="765"/>
      <c r="R153" s="576">
        <f t="shared" si="20"/>
        <v>0</v>
      </c>
      <c r="S153" s="576">
        <f t="shared" si="20"/>
        <v>0</v>
      </c>
      <c r="T153" s="577">
        <f t="shared" si="21"/>
        <v>0</v>
      </c>
      <c r="U153" s="578">
        <f t="shared" si="22"/>
        <v>0</v>
      </c>
      <c r="V153" s="579"/>
      <c r="W153" s="566"/>
      <c r="X153" s="586" t="str">
        <f t="shared" si="23"/>
        <v/>
      </c>
      <c r="Y153" s="586" t="str">
        <f t="shared" si="33"/>
        <v/>
      </c>
      <c r="Z153" s="586" t="str">
        <f t="shared" si="17"/>
        <v/>
      </c>
    </row>
    <row r="154" spans="1:26" ht="12" hidden="1" thickBot="1" x14ac:dyDescent="0.25">
      <c r="A154" s="567" t="s">
        <v>168</v>
      </c>
      <c r="B154" s="644" t="s">
        <v>168</v>
      </c>
      <c r="C154" s="645"/>
      <c r="D154" s="451" t="s">
        <v>212</v>
      </c>
      <c r="E154" s="423"/>
      <c r="F154" s="424">
        <v>500</v>
      </c>
      <c r="G154" s="425">
        <v>0.105</v>
      </c>
      <c r="H154" s="649">
        <f>IF(F154&lt;=30,(0.78*F154+7.82)*G154,((0.78*30+7.82)+0.78*(F154-30))*G154)</f>
        <v>41.771100000000004</v>
      </c>
      <c r="I154" s="420"/>
      <c r="J154" s="420"/>
      <c r="K154" s="421">
        <f t="shared" si="26"/>
        <v>0</v>
      </c>
      <c r="L154" s="647" t="s">
        <v>614</v>
      </c>
      <c r="M154" s="669"/>
      <c r="N154" s="576">
        <f t="shared" si="35"/>
        <v>0</v>
      </c>
      <c r="O154" s="577">
        <f t="shared" si="18"/>
        <v>0</v>
      </c>
      <c r="P154" s="578">
        <f t="shared" si="19"/>
        <v>0</v>
      </c>
      <c r="Q154" s="765"/>
      <c r="R154" s="669"/>
      <c r="S154" s="670"/>
      <c r="T154" s="577">
        <f t="shared" si="21"/>
        <v>0</v>
      </c>
      <c r="U154" s="578">
        <f t="shared" si="22"/>
        <v>0</v>
      </c>
      <c r="V154" s="579"/>
      <c r="W154" s="637" t="str">
        <f>IF(U153&gt;0,"xx",IF(P153&gt;0,"xy",""))</f>
        <v/>
      </c>
      <c r="X154" s="586" t="str">
        <f t="shared" si="23"/>
        <v/>
      </c>
      <c r="Y154" s="586" t="str">
        <f t="shared" si="33"/>
        <v/>
      </c>
      <c r="Z154" s="586" t="str">
        <f t="shared" si="17"/>
        <v/>
      </c>
    </row>
    <row r="155" spans="1:26" ht="12" hidden="1" thickBot="1" x14ac:dyDescent="0.25">
      <c r="A155" s="567" t="s">
        <v>168</v>
      </c>
      <c r="B155" s="644" t="s">
        <v>168</v>
      </c>
      <c r="C155" s="645"/>
      <c r="D155" s="451" t="s">
        <v>213</v>
      </c>
      <c r="E155" s="423"/>
      <c r="F155" s="418">
        <v>15</v>
      </c>
      <c r="G155" s="425">
        <v>1.7450000000000001</v>
      </c>
      <c r="H155" s="649">
        <f t="shared" ref="H155" si="38">IF(F155&lt;=30,(1.07*F155+2.68)*G155,((1.07*30+2.68)+1.07*(F155-30))*G155)</f>
        <v>32.68385</v>
      </c>
      <c r="I155" s="420"/>
      <c r="J155" s="420"/>
      <c r="K155" s="421">
        <f t="shared" si="26"/>
        <v>0</v>
      </c>
      <c r="L155" s="647" t="s">
        <v>614</v>
      </c>
      <c r="M155" s="669"/>
      <c r="N155" s="576">
        <f t="shared" si="35"/>
        <v>0</v>
      </c>
      <c r="O155" s="577">
        <f t="shared" si="18"/>
        <v>0</v>
      </c>
      <c r="P155" s="578">
        <f t="shared" si="19"/>
        <v>0</v>
      </c>
      <c r="Q155" s="765"/>
      <c r="R155" s="669"/>
      <c r="S155" s="670"/>
      <c r="T155" s="577">
        <f t="shared" si="21"/>
        <v>0</v>
      </c>
      <c r="U155" s="578">
        <f t="shared" si="22"/>
        <v>0</v>
      </c>
      <c r="V155" s="579"/>
      <c r="W155" s="637" t="str">
        <f>IF(U153&gt;0,"xx",IF(P153&gt;0,"xy",""))</f>
        <v/>
      </c>
      <c r="X155" s="586" t="str">
        <f t="shared" si="23"/>
        <v/>
      </c>
      <c r="Y155" s="586" t="str">
        <f t="shared" si="33"/>
        <v/>
      </c>
      <c r="Z155" s="586" t="str">
        <f t="shared" si="17"/>
        <v/>
      </c>
    </row>
    <row r="156" spans="1:26" ht="12" hidden="1" thickBot="1" x14ac:dyDescent="0.25">
      <c r="A156" s="567">
        <v>547000</v>
      </c>
      <c r="B156" s="644">
        <v>547000</v>
      </c>
      <c r="C156" s="645" t="s">
        <v>206</v>
      </c>
      <c r="D156" s="422" t="s">
        <v>1905</v>
      </c>
      <c r="E156" s="423"/>
      <c r="F156" s="418"/>
      <c r="G156" s="425"/>
      <c r="H156" s="667">
        <f>SUM(H157:H158)</f>
        <v>80.501660000000001</v>
      </c>
      <c r="I156" s="420">
        <v>113.74000000000001</v>
      </c>
      <c r="J156" s="420">
        <f>IF(ISBLANK(I156),"",SUM(H156:I156))</f>
        <v>194.24166000000002</v>
      </c>
      <c r="K156" s="421">
        <f t="shared" si="26"/>
        <v>230.78</v>
      </c>
      <c r="L156" s="647" t="s">
        <v>16</v>
      </c>
      <c r="M156" s="576"/>
      <c r="N156" s="576">
        <f t="shared" si="35"/>
        <v>0</v>
      </c>
      <c r="O156" s="577">
        <f t="shared" si="18"/>
        <v>0</v>
      </c>
      <c r="P156" s="578">
        <f t="shared" si="19"/>
        <v>0</v>
      </c>
      <c r="Q156" s="765"/>
      <c r="R156" s="576">
        <f t="shared" si="20"/>
        <v>0</v>
      </c>
      <c r="S156" s="576">
        <f t="shared" si="20"/>
        <v>0</v>
      </c>
      <c r="T156" s="577">
        <f t="shared" si="21"/>
        <v>0</v>
      </c>
      <c r="U156" s="578">
        <f t="shared" si="22"/>
        <v>0</v>
      </c>
      <c r="V156" s="579"/>
      <c r="W156" s="566"/>
      <c r="X156" s="586" t="str">
        <f t="shared" si="23"/>
        <v/>
      </c>
      <c r="Y156" s="586" t="str">
        <f t="shared" si="33"/>
        <v/>
      </c>
      <c r="Z156" s="586" t="str">
        <f t="shared" ref="Z156:Z220" si="39">IF(W156="X","x",IF(U156&gt;0,"x",""))</f>
        <v/>
      </c>
    </row>
    <row r="157" spans="1:26" ht="12" hidden="1" thickBot="1" x14ac:dyDescent="0.25">
      <c r="A157" s="567" t="s">
        <v>168</v>
      </c>
      <c r="B157" s="644" t="s">
        <v>168</v>
      </c>
      <c r="C157" s="645"/>
      <c r="D157" s="451" t="s">
        <v>212</v>
      </c>
      <c r="E157" s="423"/>
      <c r="F157" s="424">
        <v>500</v>
      </c>
      <c r="G157" s="425">
        <v>0.121</v>
      </c>
      <c r="H157" s="649">
        <f>IF(F157&lt;=30,(0.78*F157+7.82)*G157,((0.78*30+7.82)+0.78*(F157-30))*G157)</f>
        <v>48.136220000000002</v>
      </c>
      <c r="I157" s="420"/>
      <c r="J157" s="420"/>
      <c r="K157" s="421">
        <f t="shared" si="26"/>
        <v>0</v>
      </c>
      <c r="L157" s="647" t="s">
        <v>614</v>
      </c>
      <c r="M157" s="669"/>
      <c r="N157" s="576">
        <f t="shared" si="35"/>
        <v>0</v>
      </c>
      <c r="O157" s="577">
        <f t="shared" si="18"/>
        <v>0</v>
      </c>
      <c r="P157" s="578">
        <f t="shared" si="19"/>
        <v>0</v>
      </c>
      <c r="Q157" s="765"/>
      <c r="R157" s="669"/>
      <c r="S157" s="670"/>
      <c r="T157" s="577">
        <f t="shared" si="21"/>
        <v>0</v>
      </c>
      <c r="U157" s="578">
        <f t="shared" si="22"/>
        <v>0</v>
      </c>
      <c r="V157" s="579"/>
      <c r="W157" s="637" t="str">
        <f>IF(U156&gt;0,"xx",IF(P156&gt;0,"xy",""))</f>
        <v/>
      </c>
      <c r="X157" s="586" t="str">
        <f t="shared" si="23"/>
        <v/>
      </c>
      <c r="Y157" s="586" t="str">
        <f t="shared" si="33"/>
        <v/>
      </c>
      <c r="Z157" s="586" t="str">
        <f t="shared" si="39"/>
        <v/>
      </c>
    </row>
    <row r="158" spans="1:26" ht="12" hidden="1" thickBot="1" x14ac:dyDescent="0.25">
      <c r="A158" s="567" t="s">
        <v>168</v>
      </c>
      <c r="B158" s="644" t="s">
        <v>168</v>
      </c>
      <c r="C158" s="645"/>
      <c r="D158" s="451" t="s">
        <v>213</v>
      </c>
      <c r="E158" s="423"/>
      <c r="F158" s="418">
        <v>15</v>
      </c>
      <c r="G158" s="425">
        <v>1.728</v>
      </c>
      <c r="H158" s="649">
        <f t="shared" ref="H158" si="40">IF(F158&lt;=30,(1.07*F158+2.68)*G158,((1.07*30+2.68)+1.07*(F158-30))*G158)</f>
        <v>32.36544</v>
      </c>
      <c r="I158" s="420"/>
      <c r="J158" s="420"/>
      <c r="K158" s="421">
        <f t="shared" si="26"/>
        <v>0</v>
      </c>
      <c r="L158" s="647" t="s">
        <v>614</v>
      </c>
      <c r="M158" s="669"/>
      <c r="N158" s="576">
        <f t="shared" si="35"/>
        <v>0</v>
      </c>
      <c r="O158" s="577">
        <f t="shared" si="18"/>
        <v>0</v>
      </c>
      <c r="P158" s="578">
        <f t="shared" si="19"/>
        <v>0</v>
      </c>
      <c r="Q158" s="765"/>
      <c r="R158" s="669"/>
      <c r="S158" s="670"/>
      <c r="T158" s="577">
        <f t="shared" si="21"/>
        <v>0</v>
      </c>
      <c r="U158" s="578">
        <f t="shared" si="22"/>
        <v>0</v>
      </c>
      <c r="V158" s="579"/>
      <c r="W158" s="637" t="str">
        <f>IF(U156&gt;0,"xx",IF(P156&gt;0,"xy",""))</f>
        <v/>
      </c>
      <c r="X158" s="586" t="str">
        <f t="shared" si="23"/>
        <v/>
      </c>
      <c r="Y158" s="586" t="str">
        <f t="shared" si="33"/>
        <v/>
      </c>
      <c r="Z158" s="586" t="str">
        <f t="shared" si="39"/>
        <v/>
      </c>
    </row>
    <row r="159" spans="1:26" ht="12" hidden="1" thickBot="1" x14ac:dyDescent="0.25">
      <c r="A159" s="567">
        <v>542100</v>
      </c>
      <c r="B159" s="644">
        <v>542100</v>
      </c>
      <c r="C159" s="645" t="s">
        <v>206</v>
      </c>
      <c r="D159" s="422" t="s">
        <v>1906</v>
      </c>
      <c r="E159" s="423"/>
      <c r="F159" s="418"/>
      <c r="G159" s="425"/>
      <c r="H159" s="667">
        <f>SUM(H160:H162)</f>
        <v>55.101230000000001</v>
      </c>
      <c r="I159" s="420">
        <v>61.81</v>
      </c>
      <c r="J159" s="420">
        <f>IF(ISBLANK(I159),"",SUM(H159:I159))</f>
        <v>116.91123</v>
      </c>
      <c r="K159" s="421">
        <f t="shared" si="26"/>
        <v>138.9</v>
      </c>
      <c r="L159" s="647" t="s">
        <v>16</v>
      </c>
      <c r="M159" s="576"/>
      <c r="N159" s="576">
        <f t="shared" si="35"/>
        <v>0</v>
      </c>
      <c r="O159" s="577">
        <f t="shared" ref="O159:O223" si="41">IF(ISBLANK(M159),0,ROUND(K159*M159,2))</f>
        <v>0</v>
      </c>
      <c r="P159" s="578">
        <f t="shared" ref="P159:P223" si="42">IF(ISBLANK(N159),0,ROUND(M159*N159,2))</f>
        <v>0</v>
      </c>
      <c r="Q159" s="765"/>
      <c r="R159" s="576">
        <f t="shared" ref="R159:S223" si="43">M159</f>
        <v>0</v>
      </c>
      <c r="S159" s="576">
        <f t="shared" si="43"/>
        <v>0</v>
      </c>
      <c r="T159" s="577">
        <f t="shared" ref="T159:T223" si="44">IF(ISBLANK(R159),0,ROUND(K159*R159,2))</f>
        <v>0</v>
      </c>
      <c r="U159" s="578">
        <f t="shared" ref="U159:U223" si="45">IF(ISBLANK(R159),0,ROUND(R159*S159,2))</f>
        <v>0</v>
      </c>
      <c r="V159" s="579"/>
      <c r="W159" s="566"/>
      <c r="X159" s="586" t="str">
        <f t="shared" si="23"/>
        <v/>
      </c>
      <c r="Y159" s="586" t="str">
        <f t="shared" si="33"/>
        <v/>
      </c>
      <c r="Z159" s="586" t="str">
        <f t="shared" si="39"/>
        <v/>
      </c>
    </row>
    <row r="160" spans="1:26" ht="12" hidden="1" thickBot="1" x14ac:dyDescent="0.25">
      <c r="A160" s="567" t="s">
        <v>168</v>
      </c>
      <c r="B160" s="644" t="s">
        <v>168</v>
      </c>
      <c r="C160" s="645"/>
      <c r="D160" s="451" t="s">
        <v>212</v>
      </c>
      <c r="E160" s="423"/>
      <c r="F160" s="424">
        <v>500</v>
      </c>
      <c r="G160" s="425">
        <v>3.6999999999999998E-2</v>
      </c>
      <c r="H160" s="649">
        <f>IF(F160&lt;=30,(0.78*F160+7.82)*G160,((0.78*30+7.82)+0.78*(F160-30))*G160)</f>
        <v>14.719340000000001</v>
      </c>
      <c r="I160" s="420"/>
      <c r="J160" s="420"/>
      <c r="K160" s="421">
        <f t="shared" si="26"/>
        <v>0</v>
      </c>
      <c r="L160" s="647" t="s">
        <v>614</v>
      </c>
      <c r="M160" s="669"/>
      <c r="N160" s="576">
        <f t="shared" si="35"/>
        <v>0</v>
      </c>
      <c r="O160" s="577">
        <f t="shared" si="41"/>
        <v>0</v>
      </c>
      <c r="P160" s="578">
        <f t="shared" si="42"/>
        <v>0</v>
      </c>
      <c r="Q160" s="765"/>
      <c r="R160" s="669"/>
      <c r="S160" s="670"/>
      <c r="T160" s="577">
        <f t="shared" si="44"/>
        <v>0</v>
      </c>
      <c r="U160" s="578">
        <f t="shared" si="45"/>
        <v>0</v>
      </c>
      <c r="V160" s="579"/>
      <c r="W160" s="637" t="str">
        <f>IF(U159&gt;0,"xx",IF(P159&gt;0,"xy",""))</f>
        <v/>
      </c>
      <c r="X160" s="586" t="str">
        <f t="shared" si="23"/>
        <v/>
      </c>
      <c r="Y160" s="586" t="str">
        <f t="shared" si="33"/>
        <v/>
      </c>
      <c r="Z160" s="586" t="str">
        <f t="shared" si="39"/>
        <v/>
      </c>
    </row>
    <row r="161" spans="1:26" ht="12" hidden="1" thickBot="1" x14ac:dyDescent="0.25">
      <c r="A161" s="567" t="s">
        <v>168</v>
      </c>
      <c r="B161" s="644" t="s">
        <v>168</v>
      </c>
      <c r="C161" s="645"/>
      <c r="D161" s="451" t="s">
        <v>213</v>
      </c>
      <c r="E161" s="423"/>
      <c r="F161" s="418">
        <v>10</v>
      </c>
      <c r="G161" s="425">
        <v>1.9</v>
      </c>
      <c r="H161" s="649">
        <f t="shared" ref="H161:H162" si="46">IF(F161&lt;=30,(1.07*F161+2.68)*G161,((1.07*30+2.68)+1.07*(F161-30))*G161)</f>
        <v>25.422000000000001</v>
      </c>
      <c r="I161" s="420"/>
      <c r="J161" s="420"/>
      <c r="K161" s="421">
        <f t="shared" si="26"/>
        <v>0</v>
      </c>
      <c r="L161" s="647" t="s">
        <v>614</v>
      </c>
      <c r="M161" s="669"/>
      <c r="N161" s="576">
        <f t="shared" si="35"/>
        <v>0</v>
      </c>
      <c r="O161" s="577">
        <f t="shared" si="41"/>
        <v>0</v>
      </c>
      <c r="P161" s="578">
        <f t="shared" si="42"/>
        <v>0</v>
      </c>
      <c r="Q161" s="765"/>
      <c r="R161" s="669"/>
      <c r="S161" s="670"/>
      <c r="T161" s="577">
        <f t="shared" si="44"/>
        <v>0</v>
      </c>
      <c r="U161" s="578">
        <f t="shared" si="45"/>
        <v>0</v>
      </c>
      <c r="V161" s="579"/>
      <c r="W161" s="637" t="str">
        <f>IF(U159&gt;0,"xx",IF(P159&gt;0,"xy",""))</f>
        <v/>
      </c>
      <c r="X161" s="586" t="str">
        <f t="shared" ref="X161:X225" si="47">IF(W161="X","x",IF(W161="xx","x",IF(W161="xy","x",IF(W161="y","x",IF(OR(P161&gt;0,U161&gt;0),"x","")))))</f>
        <v/>
      </c>
      <c r="Y161" s="586" t="str">
        <f t="shared" si="33"/>
        <v/>
      </c>
      <c r="Z161" s="586" t="str">
        <f t="shared" si="39"/>
        <v/>
      </c>
    </row>
    <row r="162" spans="1:26" ht="12" hidden="1" thickBot="1" x14ac:dyDescent="0.25">
      <c r="A162" s="567" t="s">
        <v>168</v>
      </c>
      <c r="B162" s="644" t="s">
        <v>168</v>
      </c>
      <c r="C162" s="645"/>
      <c r="D162" s="451" t="s">
        <v>214</v>
      </c>
      <c r="E162" s="423"/>
      <c r="F162" s="418">
        <v>5</v>
      </c>
      <c r="G162" s="425">
        <v>1.863</v>
      </c>
      <c r="H162" s="649">
        <f t="shared" si="46"/>
        <v>14.959890000000001</v>
      </c>
      <c r="I162" s="420"/>
      <c r="J162" s="420"/>
      <c r="K162" s="421">
        <f t="shared" si="26"/>
        <v>0</v>
      </c>
      <c r="L162" s="647" t="s">
        <v>614</v>
      </c>
      <c r="M162" s="669"/>
      <c r="N162" s="576">
        <f t="shared" si="35"/>
        <v>0</v>
      </c>
      <c r="O162" s="577">
        <f t="shared" si="41"/>
        <v>0</v>
      </c>
      <c r="P162" s="578">
        <f t="shared" si="42"/>
        <v>0</v>
      </c>
      <c r="Q162" s="765"/>
      <c r="R162" s="669"/>
      <c r="S162" s="670"/>
      <c r="T162" s="577">
        <f t="shared" si="44"/>
        <v>0</v>
      </c>
      <c r="U162" s="578">
        <f t="shared" si="45"/>
        <v>0</v>
      </c>
      <c r="V162" s="579"/>
      <c r="W162" s="637" t="str">
        <f>IF($U$141&gt;0,"xx",IF($P$141&gt;0,"xy",""))</f>
        <v/>
      </c>
      <c r="X162" s="586" t="str">
        <f t="shared" si="47"/>
        <v/>
      </c>
      <c r="Y162" s="586" t="str">
        <f t="shared" si="33"/>
        <v/>
      </c>
      <c r="Z162" s="586" t="str">
        <f t="shared" si="39"/>
        <v/>
      </c>
    </row>
    <row r="163" spans="1:26" ht="12" hidden="1" thickBot="1" x14ac:dyDescent="0.25">
      <c r="A163" s="567">
        <v>543100</v>
      </c>
      <c r="B163" s="644">
        <v>543100</v>
      </c>
      <c r="C163" s="645" t="s">
        <v>206</v>
      </c>
      <c r="D163" s="422" t="s">
        <v>1907</v>
      </c>
      <c r="E163" s="423"/>
      <c r="F163" s="418"/>
      <c r="G163" s="425"/>
      <c r="H163" s="667">
        <f>SUM(H164:H166)</f>
        <v>62.117450000000005</v>
      </c>
      <c r="I163" s="420">
        <v>72.209999999999994</v>
      </c>
      <c r="J163" s="420">
        <f>IF(ISBLANK(I163),"",SUM(H163:I163))</f>
        <v>134.32745</v>
      </c>
      <c r="K163" s="421">
        <f t="shared" si="26"/>
        <v>159.59</v>
      </c>
      <c r="L163" s="647" t="s">
        <v>16</v>
      </c>
      <c r="M163" s="576"/>
      <c r="N163" s="576">
        <f t="shared" si="35"/>
        <v>0</v>
      </c>
      <c r="O163" s="577">
        <f t="shared" si="41"/>
        <v>0</v>
      </c>
      <c r="P163" s="578">
        <f t="shared" si="42"/>
        <v>0</v>
      </c>
      <c r="Q163" s="765"/>
      <c r="R163" s="576">
        <f t="shared" si="43"/>
        <v>0</v>
      </c>
      <c r="S163" s="576">
        <f t="shared" si="43"/>
        <v>0</v>
      </c>
      <c r="T163" s="577">
        <f t="shared" si="44"/>
        <v>0</v>
      </c>
      <c r="U163" s="578">
        <f t="shared" si="45"/>
        <v>0</v>
      </c>
      <c r="V163" s="579"/>
      <c r="W163" s="566"/>
      <c r="X163" s="586" t="str">
        <f t="shared" si="47"/>
        <v/>
      </c>
      <c r="Y163" s="586" t="str">
        <f t="shared" si="33"/>
        <v/>
      </c>
      <c r="Z163" s="586" t="str">
        <f t="shared" si="39"/>
        <v/>
      </c>
    </row>
    <row r="164" spans="1:26" ht="12" hidden="1" thickBot="1" x14ac:dyDescent="0.25">
      <c r="A164" s="567" t="s">
        <v>168</v>
      </c>
      <c r="B164" s="644" t="s">
        <v>168</v>
      </c>
      <c r="C164" s="645"/>
      <c r="D164" s="451" t="s">
        <v>212</v>
      </c>
      <c r="E164" s="423"/>
      <c r="F164" s="424">
        <v>500</v>
      </c>
      <c r="G164" s="425">
        <v>5.5E-2</v>
      </c>
      <c r="H164" s="649">
        <f>IF(F164&lt;=30,(0.78*F164+7.82)*G164,((0.78*30+7.82)+0.78*(F164-30))*G164)</f>
        <v>21.880100000000002</v>
      </c>
      <c r="I164" s="420"/>
      <c r="J164" s="420"/>
      <c r="K164" s="421">
        <f t="shared" si="26"/>
        <v>0</v>
      </c>
      <c r="L164" s="647" t="s">
        <v>614</v>
      </c>
      <c r="M164" s="669"/>
      <c r="N164" s="576">
        <f t="shared" si="35"/>
        <v>0</v>
      </c>
      <c r="O164" s="577">
        <f t="shared" si="41"/>
        <v>0</v>
      </c>
      <c r="P164" s="578">
        <f t="shared" si="42"/>
        <v>0</v>
      </c>
      <c r="Q164" s="765"/>
      <c r="R164" s="669"/>
      <c r="S164" s="670"/>
      <c r="T164" s="577">
        <f t="shared" si="44"/>
        <v>0</v>
      </c>
      <c r="U164" s="578">
        <f t="shared" si="45"/>
        <v>0</v>
      </c>
      <c r="V164" s="579"/>
      <c r="W164" s="637" t="str">
        <f>IF(U163&gt;0,"xx",IF(P163&gt;0,"xy",""))</f>
        <v/>
      </c>
      <c r="X164" s="586" t="str">
        <f t="shared" si="47"/>
        <v/>
      </c>
      <c r="Y164" s="586" t="str">
        <f t="shared" si="33"/>
        <v/>
      </c>
      <c r="Z164" s="586" t="str">
        <f t="shared" si="39"/>
        <v/>
      </c>
    </row>
    <row r="165" spans="1:26" ht="12" hidden="1" thickBot="1" x14ac:dyDescent="0.25">
      <c r="A165" s="567" t="s">
        <v>168</v>
      </c>
      <c r="B165" s="644" t="s">
        <v>168</v>
      </c>
      <c r="C165" s="645"/>
      <c r="D165" s="451" t="s">
        <v>213</v>
      </c>
      <c r="E165" s="423"/>
      <c r="F165" s="418">
        <v>10</v>
      </c>
      <c r="G165" s="425">
        <v>1.9</v>
      </c>
      <c r="H165" s="649">
        <f t="shared" ref="H165:H166" si="48">IF(F165&lt;=30,(1.07*F165+2.68)*G165,((1.07*30+2.68)+1.07*(F165-30))*G165)</f>
        <v>25.422000000000001</v>
      </c>
      <c r="I165" s="420"/>
      <c r="J165" s="420"/>
      <c r="K165" s="421">
        <f t="shared" si="26"/>
        <v>0</v>
      </c>
      <c r="L165" s="647" t="s">
        <v>614</v>
      </c>
      <c r="M165" s="669"/>
      <c r="N165" s="576">
        <f t="shared" si="35"/>
        <v>0</v>
      </c>
      <c r="O165" s="577">
        <f t="shared" si="41"/>
        <v>0</v>
      </c>
      <c r="P165" s="578">
        <f t="shared" si="42"/>
        <v>0</v>
      </c>
      <c r="Q165" s="765"/>
      <c r="R165" s="669"/>
      <c r="S165" s="670"/>
      <c r="T165" s="577">
        <f t="shared" si="44"/>
        <v>0</v>
      </c>
      <c r="U165" s="578">
        <f t="shared" si="45"/>
        <v>0</v>
      </c>
      <c r="V165" s="579"/>
      <c r="W165" s="637" t="str">
        <f>IF(U163&gt;0,"xx",IF(P163&gt;0,"xy",""))</f>
        <v/>
      </c>
      <c r="X165" s="586" t="str">
        <f t="shared" si="47"/>
        <v/>
      </c>
      <c r="Y165" s="586" t="str">
        <f t="shared" si="33"/>
        <v/>
      </c>
      <c r="Z165" s="586" t="str">
        <f t="shared" si="39"/>
        <v/>
      </c>
    </row>
    <row r="166" spans="1:26" ht="12" hidden="1" thickBot="1" x14ac:dyDescent="0.25">
      <c r="A166" s="567" t="s">
        <v>168</v>
      </c>
      <c r="B166" s="644" t="s">
        <v>168</v>
      </c>
      <c r="C166" s="645"/>
      <c r="D166" s="451" t="s">
        <v>214</v>
      </c>
      <c r="E166" s="423"/>
      <c r="F166" s="418">
        <v>5</v>
      </c>
      <c r="G166" s="425">
        <v>1.845</v>
      </c>
      <c r="H166" s="649">
        <f t="shared" si="48"/>
        <v>14.815350000000002</v>
      </c>
      <c r="I166" s="420"/>
      <c r="J166" s="420"/>
      <c r="K166" s="421">
        <f t="shared" si="26"/>
        <v>0</v>
      </c>
      <c r="L166" s="647" t="s">
        <v>614</v>
      </c>
      <c r="M166" s="669"/>
      <c r="N166" s="576">
        <f t="shared" si="35"/>
        <v>0</v>
      </c>
      <c r="O166" s="577">
        <f t="shared" si="41"/>
        <v>0</v>
      </c>
      <c r="P166" s="578">
        <f t="shared" si="42"/>
        <v>0</v>
      </c>
      <c r="Q166" s="765"/>
      <c r="R166" s="669"/>
      <c r="S166" s="670"/>
      <c r="T166" s="577">
        <f t="shared" si="44"/>
        <v>0</v>
      </c>
      <c r="U166" s="578">
        <f t="shared" si="45"/>
        <v>0</v>
      </c>
      <c r="V166" s="579"/>
      <c r="W166" s="637" t="str">
        <f>IF($U$141&gt;0,"xx",IF($P$141&gt;0,"xy",""))</f>
        <v/>
      </c>
      <c r="X166" s="586" t="str">
        <f t="shared" si="47"/>
        <v/>
      </c>
      <c r="Y166" s="586" t="str">
        <f t="shared" si="33"/>
        <v/>
      </c>
      <c r="Z166" s="586" t="str">
        <f t="shared" si="39"/>
        <v/>
      </c>
    </row>
    <row r="167" spans="1:26" ht="12" hidden="1" thickBot="1" x14ac:dyDescent="0.25">
      <c r="A167" s="567">
        <v>544100</v>
      </c>
      <c r="B167" s="644">
        <v>544100</v>
      </c>
      <c r="C167" s="645" t="s">
        <v>206</v>
      </c>
      <c r="D167" s="422" t="s">
        <v>1908</v>
      </c>
      <c r="E167" s="423"/>
      <c r="F167" s="418"/>
      <c r="G167" s="425"/>
      <c r="H167" s="667">
        <f>SUM(H168:H170)</f>
        <v>67.283590000000004</v>
      </c>
      <c r="I167" s="420">
        <v>74.149999999999991</v>
      </c>
      <c r="J167" s="420">
        <f>IF(ISBLANK(I167),"",SUM(H167:I167))</f>
        <v>141.43358999999998</v>
      </c>
      <c r="K167" s="421">
        <f t="shared" si="26"/>
        <v>168.04</v>
      </c>
      <c r="L167" s="647" t="s">
        <v>16</v>
      </c>
      <c r="M167" s="576"/>
      <c r="N167" s="576">
        <f t="shared" si="35"/>
        <v>0</v>
      </c>
      <c r="O167" s="577">
        <f t="shared" si="41"/>
        <v>0</v>
      </c>
      <c r="P167" s="578">
        <f t="shared" si="42"/>
        <v>0</v>
      </c>
      <c r="Q167" s="765"/>
      <c r="R167" s="576">
        <f t="shared" si="43"/>
        <v>0</v>
      </c>
      <c r="S167" s="576">
        <f t="shared" si="43"/>
        <v>0</v>
      </c>
      <c r="T167" s="577">
        <f t="shared" si="44"/>
        <v>0</v>
      </c>
      <c r="U167" s="578">
        <f t="shared" si="45"/>
        <v>0</v>
      </c>
      <c r="V167" s="579"/>
      <c r="W167" s="566"/>
      <c r="X167" s="586" t="str">
        <f t="shared" si="47"/>
        <v/>
      </c>
      <c r="Y167" s="586" t="str">
        <f t="shared" si="33"/>
        <v/>
      </c>
      <c r="Z167" s="586" t="str">
        <f t="shared" si="39"/>
        <v/>
      </c>
    </row>
    <row r="168" spans="1:26" ht="12" hidden="1" thickBot="1" x14ac:dyDescent="0.25">
      <c r="A168" s="567" t="s">
        <v>168</v>
      </c>
      <c r="B168" s="644" t="s">
        <v>168</v>
      </c>
      <c r="C168" s="645"/>
      <c r="D168" s="451" t="s">
        <v>212</v>
      </c>
      <c r="E168" s="423"/>
      <c r="F168" s="424">
        <v>500</v>
      </c>
      <c r="G168" s="425">
        <v>7.0999999999999994E-2</v>
      </c>
      <c r="H168" s="649">
        <f>IF(F168&lt;=30,(0.78*F168+7.82)*G168,((0.78*30+7.82)+0.78*(F168-30))*G168)</f>
        <v>28.24522</v>
      </c>
      <c r="I168" s="420"/>
      <c r="J168" s="420"/>
      <c r="K168" s="421">
        <f t="shared" si="26"/>
        <v>0</v>
      </c>
      <c r="L168" s="647" t="s">
        <v>614</v>
      </c>
      <c r="M168" s="669"/>
      <c r="N168" s="576">
        <f t="shared" si="35"/>
        <v>0</v>
      </c>
      <c r="O168" s="577">
        <f t="shared" si="41"/>
        <v>0</v>
      </c>
      <c r="P168" s="578">
        <f t="shared" si="42"/>
        <v>0</v>
      </c>
      <c r="Q168" s="765"/>
      <c r="R168" s="669"/>
      <c r="S168" s="670"/>
      <c r="T168" s="577">
        <f t="shared" si="44"/>
        <v>0</v>
      </c>
      <c r="U168" s="578">
        <f t="shared" si="45"/>
        <v>0</v>
      </c>
      <c r="V168" s="579"/>
      <c r="W168" s="637" t="str">
        <f>IF(U167&gt;0,"xx",IF(P167&gt;0,"xy",""))</f>
        <v/>
      </c>
      <c r="X168" s="586" t="str">
        <f t="shared" si="47"/>
        <v/>
      </c>
      <c r="Y168" s="586" t="str">
        <f t="shared" si="33"/>
        <v/>
      </c>
      <c r="Z168" s="586" t="str">
        <f t="shared" si="39"/>
        <v/>
      </c>
    </row>
    <row r="169" spans="1:26" ht="12" hidden="1" thickBot="1" x14ac:dyDescent="0.25">
      <c r="A169" s="567" t="s">
        <v>168</v>
      </c>
      <c r="B169" s="644" t="s">
        <v>168</v>
      </c>
      <c r="C169" s="645"/>
      <c r="D169" s="451" t="s">
        <v>213</v>
      </c>
      <c r="E169" s="423"/>
      <c r="F169" s="418">
        <v>10</v>
      </c>
      <c r="G169" s="425">
        <v>1.85</v>
      </c>
      <c r="H169" s="649">
        <f t="shared" ref="H169:H170" si="49">IF(F169&lt;=30,(1.07*F169+2.68)*G169,((1.07*30+2.68)+1.07*(F169-30))*G169)</f>
        <v>24.753000000000004</v>
      </c>
      <c r="I169" s="420"/>
      <c r="J169" s="420"/>
      <c r="K169" s="421">
        <f t="shared" si="26"/>
        <v>0</v>
      </c>
      <c r="L169" s="647" t="s">
        <v>614</v>
      </c>
      <c r="M169" s="669"/>
      <c r="N169" s="576">
        <f t="shared" si="35"/>
        <v>0</v>
      </c>
      <c r="O169" s="577">
        <f t="shared" si="41"/>
        <v>0</v>
      </c>
      <c r="P169" s="578">
        <f t="shared" si="42"/>
        <v>0</v>
      </c>
      <c r="Q169" s="765"/>
      <c r="R169" s="669"/>
      <c r="S169" s="670"/>
      <c r="T169" s="577">
        <f t="shared" si="44"/>
        <v>0</v>
      </c>
      <c r="U169" s="578">
        <f t="shared" si="45"/>
        <v>0</v>
      </c>
      <c r="V169" s="579"/>
      <c r="W169" s="637" t="str">
        <f>IF(U167&gt;0,"xx",IF(P167&gt;0,"xy",""))</f>
        <v/>
      </c>
      <c r="X169" s="586" t="str">
        <f t="shared" si="47"/>
        <v/>
      </c>
      <c r="Y169" s="586" t="str">
        <f t="shared" si="33"/>
        <v/>
      </c>
      <c r="Z169" s="586" t="str">
        <f t="shared" si="39"/>
        <v/>
      </c>
    </row>
    <row r="170" spans="1:26" ht="12" hidden="1" thickBot="1" x14ac:dyDescent="0.25">
      <c r="A170" s="567" t="s">
        <v>168</v>
      </c>
      <c r="B170" s="644" t="s">
        <v>168</v>
      </c>
      <c r="C170" s="645"/>
      <c r="D170" s="451" t="s">
        <v>214</v>
      </c>
      <c r="E170" s="423"/>
      <c r="F170" s="418">
        <v>5</v>
      </c>
      <c r="G170" s="425">
        <v>1.7789999999999999</v>
      </c>
      <c r="H170" s="649">
        <f t="shared" si="49"/>
        <v>14.285370000000002</v>
      </c>
      <c r="I170" s="420"/>
      <c r="J170" s="420"/>
      <c r="K170" s="421">
        <f t="shared" si="26"/>
        <v>0</v>
      </c>
      <c r="L170" s="647" t="s">
        <v>614</v>
      </c>
      <c r="M170" s="669"/>
      <c r="N170" s="576">
        <f t="shared" si="35"/>
        <v>0</v>
      </c>
      <c r="O170" s="577">
        <f t="shared" si="41"/>
        <v>0</v>
      </c>
      <c r="P170" s="578">
        <f t="shared" si="42"/>
        <v>0</v>
      </c>
      <c r="Q170" s="765"/>
      <c r="R170" s="669"/>
      <c r="S170" s="670"/>
      <c r="T170" s="577">
        <f t="shared" si="44"/>
        <v>0</v>
      </c>
      <c r="U170" s="578">
        <f t="shared" si="45"/>
        <v>0</v>
      </c>
      <c r="V170" s="579"/>
      <c r="W170" s="637" t="str">
        <f>IF($U$141&gt;0,"xx",IF($P$141&gt;0,"xy",""))</f>
        <v/>
      </c>
      <c r="X170" s="586" t="str">
        <f t="shared" si="47"/>
        <v/>
      </c>
      <c r="Y170" s="586" t="str">
        <f t="shared" si="33"/>
        <v/>
      </c>
      <c r="Z170" s="586" t="str">
        <f t="shared" si="39"/>
        <v/>
      </c>
    </row>
    <row r="171" spans="1:26" ht="12" hidden="1" thickBot="1" x14ac:dyDescent="0.25">
      <c r="A171" s="567">
        <v>545100</v>
      </c>
      <c r="B171" s="644">
        <v>545100</v>
      </c>
      <c r="C171" s="645" t="s">
        <v>206</v>
      </c>
      <c r="D171" s="422" t="s">
        <v>1909</v>
      </c>
      <c r="E171" s="423"/>
      <c r="F171" s="418"/>
      <c r="G171" s="425"/>
      <c r="H171" s="667">
        <f>SUM(H172:H174)</f>
        <v>73.910020000000003</v>
      </c>
      <c r="I171" s="420">
        <v>83.97999999999999</v>
      </c>
      <c r="J171" s="420">
        <f>IF(ISBLANK(I171),"",SUM(H171:I171))</f>
        <v>157.89001999999999</v>
      </c>
      <c r="K171" s="421">
        <f t="shared" si="26"/>
        <v>187.59</v>
      </c>
      <c r="L171" s="647" t="s">
        <v>16</v>
      </c>
      <c r="M171" s="576"/>
      <c r="N171" s="576">
        <f t="shared" si="35"/>
        <v>0</v>
      </c>
      <c r="O171" s="577">
        <f t="shared" si="41"/>
        <v>0</v>
      </c>
      <c r="P171" s="578">
        <f t="shared" si="42"/>
        <v>0</v>
      </c>
      <c r="Q171" s="765"/>
      <c r="R171" s="576">
        <f t="shared" si="43"/>
        <v>0</v>
      </c>
      <c r="S171" s="576">
        <f t="shared" si="43"/>
        <v>0</v>
      </c>
      <c r="T171" s="577">
        <f t="shared" si="44"/>
        <v>0</v>
      </c>
      <c r="U171" s="578">
        <f t="shared" si="45"/>
        <v>0</v>
      </c>
      <c r="V171" s="579"/>
      <c r="W171" s="566"/>
      <c r="X171" s="586" t="str">
        <f t="shared" si="47"/>
        <v/>
      </c>
      <c r="Y171" s="586" t="str">
        <f t="shared" si="33"/>
        <v/>
      </c>
      <c r="Z171" s="586" t="str">
        <f t="shared" si="39"/>
        <v/>
      </c>
    </row>
    <row r="172" spans="1:26" ht="12" hidden="1" thickBot="1" x14ac:dyDescent="0.25">
      <c r="A172" s="567" t="s">
        <v>168</v>
      </c>
      <c r="B172" s="644" t="s">
        <v>168</v>
      </c>
      <c r="C172" s="645"/>
      <c r="D172" s="451" t="s">
        <v>212</v>
      </c>
      <c r="E172" s="423"/>
      <c r="F172" s="424">
        <v>500</v>
      </c>
      <c r="G172" s="425">
        <v>8.7999999999999995E-2</v>
      </c>
      <c r="H172" s="649">
        <f>IF(F172&lt;=30,(0.78*F172+7.82)*G172,((0.78*30+7.82)+0.78*(F172-30))*G172)</f>
        <v>35.008160000000004</v>
      </c>
      <c r="I172" s="420">
        <v>0</v>
      </c>
      <c r="J172" s="420"/>
      <c r="K172" s="421">
        <f t="shared" si="26"/>
        <v>0</v>
      </c>
      <c r="L172" s="647" t="s">
        <v>614</v>
      </c>
      <c r="M172" s="669"/>
      <c r="N172" s="576">
        <f t="shared" si="35"/>
        <v>0</v>
      </c>
      <c r="O172" s="577">
        <f t="shared" si="41"/>
        <v>0</v>
      </c>
      <c r="P172" s="578">
        <f t="shared" si="42"/>
        <v>0</v>
      </c>
      <c r="Q172" s="765"/>
      <c r="R172" s="669"/>
      <c r="S172" s="670"/>
      <c r="T172" s="577">
        <f t="shared" si="44"/>
        <v>0</v>
      </c>
      <c r="U172" s="578">
        <f t="shared" si="45"/>
        <v>0</v>
      </c>
      <c r="V172" s="579"/>
      <c r="W172" s="637" t="str">
        <f>IF(U171&gt;0,"xx",IF(P171&gt;0,"xy",""))</f>
        <v/>
      </c>
      <c r="X172" s="586" t="str">
        <f t="shared" si="47"/>
        <v/>
      </c>
      <c r="Y172" s="586" t="str">
        <f t="shared" si="33"/>
        <v/>
      </c>
      <c r="Z172" s="586" t="str">
        <f t="shared" si="39"/>
        <v/>
      </c>
    </row>
    <row r="173" spans="1:26" ht="12" hidden="1" thickBot="1" x14ac:dyDescent="0.25">
      <c r="A173" s="567" t="s">
        <v>168</v>
      </c>
      <c r="B173" s="644" t="s">
        <v>168</v>
      </c>
      <c r="C173" s="645"/>
      <c r="D173" s="451" t="s">
        <v>213</v>
      </c>
      <c r="E173" s="423"/>
      <c r="F173" s="418">
        <v>10</v>
      </c>
      <c r="G173" s="425">
        <v>1.85</v>
      </c>
      <c r="H173" s="649">
        <f t="shared" ref="H173:H174" si="50">IF(F173&lt;=30,(1.07*F173+2.68)*G173,((1.07*30+2.68)+1.07*(F173-30))*G173)</f>
        <v>24.753000000000004</v>
      </c>
      <c r="I173" s="420">
        <v>0</v>
      </c>
      <c r="J173" s="420"/>
      <c r="K173" s="421">
        <f t="shared" si="26"/>
        <v>0</v>
      </c>
      <c r="L173" s="647" t="s">
        <v>614</v>
      </c>
      <c r="M173" s="669"/>
      <c r="N173" s="576">
        <f t="shared" si="35"/>
        <v>0</v>
      </c>
      <c r="O173" s="577">
        <f t="shared" si="41"/>
        <v>0</v>
      </c>
      <c r="P173" s="578">
        <f t="shared" si="42"/>
        <v>0</v>
      </c>
      <c r="Q173" s="765"/>
      <c r="R173" s="669"/>
      <c r="S173" s="670"/>
      <c r="T173" s="577">
        <f t="shared" si="44"/>
        <v>0</v>
      </c>
      <c r="U173" s="578">
        <f t="shared" si="45"/>
        <v>0</v>
      </c>
      <c r="V173" s="579"/>
      <c r="W173" s="637" t="str">
        <f>IF(U171&gt;0,"xx",IF(P171&gt;0,"xy",""))</f>
        <v/>
      </c>
      <c r="X173" s="586" t="str">
        <f t="shared" si="47"/>
        <v/>
      </c>
      <c r="Y173" s="586" t="str">
        <f t="shared" si="33"/>
        <v/>
      </c>
      <c r="Z173" s="586" t="str">
        <f t="shared" si="39"/>
        <v/>
      </c>
    </row>
    <row r="174" spans="1:26" ht="12" hidden="1" thickBot="1" x14ac:dyDescent="0.25">
      <c r="A174" s="567" t="s">
        <v>168</v>
      </c>
      <c r="B174" s="644" t="s">
        <v>168</v>
      </c>
      <c r="C174" s="645"/>
      <c r="D174" s="451" t="s">
        <v>214</v>
      </c>
      <c r="E174" s="423"/>
      <c r="F174" s="418">
        <v>5</v>
      </c>
      <c r="G174" s="425">
        <v>1.762</v>
      </c>
      <c r="H174" s="649">
        <f t="shared" si="50"/>
        <v>14.148860000000003</v>
      </c>
      <c r="I174" s="420">
        <v>0</v>
      </c>
      <c r="J174" s="420"/>
      <c r="K174" s="421">
        <f t="shared" si="26"/>
        <v>0</v>
      </c>
      <c r="L174" s="647" t="s">
        <v>614</v>
      </c>
      <c r="M174" s="669"/>
      <c r="N174" s="576">
        <f t="shared" si="35"/>
        <v>0</v>
      </c>
      <c r="O174" s="577">
        <f t="shared" si="41"/>
        <v>0</v>
      </c>
      <c r="P174" s="578">
        <f t="shared" si="42"/>
        <v>0</v>
      </c>
      <c r="Q174" s="765"/>
      <c r="R174" s="669"/>
      <c r="S174" s="670"/>
      <c r="T174" s="577">
        <f t="shared" si="44"/>
        <v>0</v>
      </c>
      <c r="U174" s="578">
        <f t="shared" si="45"/>
        <v>0</v>
      </c>
      <c r="V174" s="579"/>
      <c r="W174" s="637" t="str">
        <f>IF($U$141&gt;0,"xx",IF($P$141&gt;0,"xy",""))</f>
        <v/>
      </c>
      <c r="X174" s="586" t="str">
        <f t="shared" si="47"/>
        <v/>
      </c>
      <c r="Y174" s="586" t="str">
        <f t="shared" si="33"/>
        <v/>
      </c>
      <c r="Z174" s="586" t="str">
        <f t="shared" si="39"/>
        <v/>
      </c>
    </row>
    <row r="175" spans="1:26" ht="12" hidden="1" thickBot="1" x14ac:dyDescent="0.25">
      <c r="A175" s="567">
        <v>546100</v>
      </c>
      <c r="B175" s="644">
        <v>546100</v>
      </c>
      <c r="C175" s="645" t="s">
        <v>206</v>
      </c>
      <c r="D175" s="422" t="s">
        <v>1910</v>
      </c>
      <c r="E175" s="423"/>
      <c r="F175" s="418"/>
      <c r="G175" s="425"/>
      <c r="H175" s="667">
        <f>SUM(H176:H178)</f>
        <v>80.536450000000002</v>
      </c>
      <c r="I175" s="420">
        <v>93.79</v>
      </c>
      <c r="J175" s="420">
        <f>IF(ISBLANK(I175),"",SUM(H175:I175))</f>
        <v>174.32645000000002</v>
      </c>
      <c r="K175" s="421">
        <f t="shared" si="26"/>
        <v>207.12</v>
      </c>
      <c r="L175" s="647" t="s">
        <v>16</v>
      </c>
      <c r="M175" s="576"/>
      <c r="N175" s="576">
        <f t="shared" si="35"/>
        <v>0</v>
      </c>
      <c r="O175" s="577">
        <f t="shared" si="41"/>
        <v>0</v>
      </c>
      <c r="P175" s="578">
        <f t="shared" si="42"/>
        <v>0</v>
      </c>
      <c r="Q175" s="765"/>
      <c r="R175" s="576">
        <f t="shared" si="43"/>
        <v>0</v>
      </c>
      <c r="S175" s="576">
        <f t="shared" si="43"/>
        <v>0</v>
      </c>
      <c r="T175" s="577">
        <f t="shared" si="44"/>
        <v>0</v>
      </c>
      <c r="U175" s="578">
        <f t="shared" si="45"/>
        <v>0</v>
      </c>
      <c r="V175" s="579"/>
      <c r="W175" s="566"/>
      <c r="X175" s="586" t="str">
        <f t="shared" si="47"/>
        <v/>
      </c>
      <c r="Y175" s="586" t="str">
        <f t="shared" si="33"/>
        <v/>
      </c>
      <c r="Z175" s="586" t="str">
        <f t="shared" si="39"/>
        <v/>
      </c>
    </row>
    <row r="176" spans="1:26" ht="12" hidden="1" thickBot="1" x14ac:dyDescent="0.25">
      <c r="A176" s="567" t="s">
        <v>168</v>
      </c>
      <c r="B176" s="644" t="s">
        <v>168</v>
      </c>
      <c r="C176" s="645"/>
      <c r="D176" s="451" t="s">
        <v>212</v>
      </c>
      <c r="E176" s="423"/>
      <c r="F176" s="424">
        <v>500</v>
      </c>
      <c r="G176" s="425">
        <v>0.105</v>
      </c>
      <c r="H176" s="649">
        <f>IF(F176&lt;=30,(0.78*F176+7.82)*G176,((0.78*30+7.82)+0.78*(F176-30))*G176)</f>
        <v>41.771100000000004</v>
      </c>
      <c r="I176" s="420">
        <v>0</v>
      </c>
      <c r="J176" s="420"/>
      <c r="K176" s="421">
        <f t="shared" si="26"/>
        <v>0</v>
      </c>
      <c r="L176" s="647" t="s">
        <v>614</v>
      </c>
      <c r="M176" s="669"/>
      <c r="N176" s="576">
        <f t="shared" si="35"/>
        <v>0</v>
      </c>
      <c r="O176" s="577">
        <f t="shared" si="41"/>
        <v>0</v>
      </c>
      <c r="P176" s="578">
        <f t="shared" si="42"/>
        <v>0</v>
      </c>
      <c r="Q176" s="765"/>
      <c r="R176" s="669"/>
      <c r="S176" s="670"/>
      <c r="T176" s="577">
        <f t="shared" si="44"/>
        <v>0</v>
      </c>
      <c r="U176" s="578">
        <f t="shared" si="45"/>
        <v>0</v>
      </c>
      <c r="V176" s="579"/>
      <c r="W176" s="637" t="str">
        <f>IF(U175&gt;0,"xx",IF(P175&gt;0,"xy",""))</f>
        <v/>
      </c>
      <c r="X176" s="586" t="str">
        <f t="shared" si="47"/>
        <v/>
      </c>
      <c r="Y176" s="586" t="str">
        <f t="shared" si="33"/>
        <v/>
      </c>
      <c r="Z176" s="586" t="str">
        <f t="shared" si="39"/>
        <v/>
      </c>
    </row>
    <row r="177" spans="1:26" ht="12" hidden="1" thickBot="1" x14ac:dyDescent="0.25">
      <c r="A177" s="567" t="s">
        <v>168</v>
      </c>
      <c r="B177" s="644" t="s">
        <v>168</v>
      </c>
      <c r="C177" s="645"/>
      <c r="D177" s="451" t="s">
        <v>213</v>
      </c>
      <c r="E177" s="423"/>
      <c r="F177" s="418">
        <v>10</v>
      </c>
      <c r="G177" s="425">
        <v>1.85</v>
      </c>
      <c r="H177" s="649">
        <f t="shared" ref="H177:H178" si="51">IF(F177&lt;=30,(1.07*F177+2.68)*G177,((1.07*30+2.68)+1.07*(F177-30))*G177)</f>
        <v>24.753000000000004</v>
      </c>
      <c r="I177" s="420">
        <v>0</v>
      </c>
      <c r="J177" s="420"/>
      <c r="K177" s="421">
        <f t="shared" si="26"/>
        <v>0</v>
      </c>
      <c r="L177" s="647" t="s">
        <v>614</v>
      </c>
      <c r="M177" s="669"/>
      <c r="N177" s="576">
        <f t="shared" si="35"/>
        <v>0</v>
      </c>
      <c r="O177" s="577">
        <f t="shared" si="41"/>
        <v>0</v>
      </c>
      <c r="P177" s="578">
        <f t="shared" si="42"/>
        <v>0</v>
      </c>
      <c r="Q177" s="765"/>
      <c r="R177" s="669"/>
      <c r="S177" s="670"/>
      <c r="T177" s="577">
        <f t="shared" si="44"/>
        <v>0</v>
      </c>
      <c r="U177" s="578">
        <f t="shared" si="45"/>
        <v>0</v>
      </c>
      <c r="V177" s="579"/>
      <c r="W177" s="637" t="str">
        <f>IF(U175&gt;0,"xx",IF(P175&gt;0,"xy",""))</f>
        <v/>
      </c>
      <c r="X177" s="586" t="str">
        <f t="shared" si="47"/>
        <v/>
      </c>
      <c r="Y177" s="586" t="str">
        <f t="shared" si="33"/>
        <v/>
      </c>
      <c r="Z177" s="586" t="str">
        <f t="shared" si="39"/>
        <v/>
      </c>
    </row>
    <row r="178" spans="1:26" ht="12" hidden="1" thickBot="1" x14ac:dyDescent="0.25">
      <c r="A178" s="567" t="s">
        <v>168</v>
      </c>
      <c r="B178" s="644" t="s">
        <v>168</v>
      </c>
      <c r="C178" s="645"/>
      <c r="D178" s="451" t="s">
        <v>214</v>
      </c>
      <c r="E178" s="423"/>
      <c r="F178" s="418">
        <v>5</v>
      </c>
      <c r="G178" s="425">
        <v>1.7450000000000001</v>
      </c>
      <c r="H178" s="649">
        <f t="shared" si="51"/>
        <v>14.012350000000003</v>
      </c>
      <c r="I178" s="420">
        <v>0</v>
      </c>
      <c r="J178" s="420"/>
      <c r="K178" s="421">
        <f t="shared" si="26"/>
        <v>0</v>
      </c>
      <c r="L178" s="647" t="s">
        <v>614</v>
      </c>
      <c r="M178" s="669"/>
      <c r="N178" s="576">
        <f t="shared" si="35"/>
        <v>0</v>
      </c>
      <c r="O178" s="577">
        <f t="shared" si="41"/>
        <v>0</v>
      </c>
      <c r="P178" s="578">
        <f t="shared" si="42"/>
        <v>0</v>
      </c>
      <c r="Q178" s="765"/>
      <c r="R178" s="669"/>
      <c r="S178" s="670"/>
      <c r="T178" s="577">
        <f t="shared" si="44"/>
        <v>0</v>
      </c>
      <c r="U178" s="578">
        <f t="shared" si="45"/>
        <v>0</v>
      </c>
      <c r="V178" s="579"/>
      <c r="W178" s="637" t="str">
        <f>IF($U$141&gt;0,"xx",IF($P$141&gt;0,"xy",""))</f>
        <v/>
      </c>
      <c r="X178" s="586" t="str">
        <f t="shared" si="47"/>
        <v/>
      </c>
      <c r="Y178" s="586" t="str">
        <f t="shared" si="33"/>
        <v/>
      </c>
      <c r="Z178" s="586" t="str">
        <f t="shared" si="39"/>
        <v/>
      </c>
    </row>
    <row r="179" spans="1:26" ht="12" hidden="1" thickBot="1" x14ac:dyDescent="0.25">
      <c r="A179" s="567">
        <v>547100</v>
      </c>
      <c r="B179" s="644">
        <v>547100</v>
      </c>
      <c r="C179" s="645" t="s">
        <v>206</v>
      </c>
      <c r="D179" s="422" t="s">
        <v>1911</v>
      </c>
      <c r="E179" s="423"/>
      <c r="F179" s="418"/>
      <c r="G179" s="425"/>
      <c r="H179" s="667">
        <f>SUM(H180:H182)</f>
        <v>86.765060000000005</v>
      </c>
      <c r="I179" s="420">
        <v>103.03999999999999</v>
      </c>
      <c r="J179" s="420">
        <f>IF(ISBLANK(I179),"",SUM(H179:I179))</f>
        <v>189.80506</v>
      </c>
      <c r="K179" s="421">
        <f t="shared" si="26"/>
        <v>225.51</v>
      </c>
      <c r="L179" s="647" t="s">
        <v>16</v>
      </c>
      <c r="M179" s="576"/>
      <c r="N179" s="576">
        <f t="shared" si="35"/>
        <v>0</v>
      </c>
      <c r="O179" s="577">
        <f t="shared" si="41"/>
        <v>0</v>
      </c>
      <c r="P179" s="578">
        <f t="shared" si="42"/>
        <v>0</v>
      </c>
      <c r="Q179" s="765"/>
      <c r="R179" s="576">
        <f t="shared" si="43"/>
        <v>0</v>
      </c>
      <c r="S179" s="576">
        <f t="shared" si="43"/>
        <v>0</v>
      </c>
      <c r="T179" s="577">
        <f t="shared" si="44"/>
        <v>0</v>
      </c>
      <c r="U179" s="578">
        <f t="shared" si="45"/>
        <v>0</v>
      </c>
      <c r="V179" s="579"/>
      <c r="W179" s="566"/>
      <c r="X179" s="586" t="str">
        <f t="shared" si="47"/>
        <v/>
      </c>
      <c r="Y179" s="586" t="str">
        <f t="shared" si="33"/>
        <v/>
      </c>
      <c r="Z179" s="586" t="str">
        <f t="shared" si="39"/>
        <v/>
      </c>
    </row>
    <row r="180" spans="1:26" ht="12" hidden="1" thickBot="1" x14ac:dyDescent="0.25">
      <c r="A180" s="567" t="s">
        <v>168</v>
      </c>
      <c r="B180" s="644" t="s">
        <v>168</v>
      </c>
      <c r="C180" s="645"/>
      <c r="D180" s="451" t="s">
        <v>212</v>
      </c>
      <c r="E180" s="423"/>
      <c r="F180" s="424">
        <v>500</v>
      </c>
      <c r="G180" s="425">
        <v>0.121</v>
      </c>
      <c r="H180" s="649">
        <f>IF(F180&lt;=30,(0.78*F180+7.82)*G180,((0.78*30+7.82)+0.78*(F180-30))*G180)</f>
        <v>48.136220000000002</v>
      </c>
      <c r="I180" s="420">
        <v>0</v>
      </c>
      <c r="J180" s="420"/>
      <c r="K180" s="421">
        <f t="shared" si="26"/>
        <v>0</v>
      </c>
      <c r="L180" s="647" t="s">
        <v>614</v>
      </c>
      <c r="M180" s="669"/>
      <c r="N180" s="576">
        <f t="shared" si="35"/>
        <v>0</v>
      </c>
      <c r="O180" s="577">
        <f t="shared" si="41"/>
        <v>0</v>
      </c>
      <c r="P180" s="578">
        <f t="shared" si="42"/>
        <v>0</v>
      </c>
      <c r="Q180" s="765"/>
      <c r="R180" s="669"/>
      <c r="S180" s="670"/>
      <c r="T180" s="577">
        <f t="shared" si="44"/>
        <v>0</v>
      </c>
      <c r="U180" s="578">
        <f t="shared" si="45"/>
        <v>0</v>
      </c>
      <c r="V180" s="579"/>
      <c r="W180" s="637" t="str">
        <f>IF(U179&gt;0,"xx",IF(P179&gt;0,"xy",""))</f>
        <v/>
      </c>
      <c r="X180" s="586" t="str">
        <f t="shared" si="47"/>
        <v/>
      </c>
      <c r="Y180" s="586" t="str">
        <f t="shared" si="33"/>
        <v/>
      </c>
      <c r="Z180" s="586" t="str">
        <f t="shared" si="39"/>
        <v/>
      </c>
    </row>
    <row r="181" spans="1:26" ht="12" hidden="1" thickBot="1" x14ac:dyDescent="0.25">
      <c r="A181" s="567" t="s">
        <v>168</v>
      </c>
      <c r="B181" s="644" t="s">
        <v>168</v>
      </c>
      <c r="C181" s="645"/>
      <c r="D181" s="451" t="s">
        <v>213</v>
      </c>
      <c r="E181" s="423"/>
      <c r="F181" s="418">
        <v>10</v>
      </c>
      <c r="G181" s="425">
        <v>1.85</v>
      </c>
      <c r="H181" s="649">
        <f t="shared" ref="H181:H188" si="52">IF(F181&lt;=30,(1.07*F181+2.68)*G181,((1.07*30+2.68)+1.07*(F181-30))*G181)</f>
        <v>24.753000000000004</v>
      </c>
      <c r="I181" s="420">
        <v>0</v>
      </c>
      <c r="J181" s="420"/>
      <c r="K181" s="421">
        <f t="shared" ref="K181:K200" si="53">IF(ISBLANK(I181),0,ROUND(J181*(1+$F$10)*(1+$F$11*E181),2))</f>
        <v>0</v>
      </c>
      <c r="L181" s="647" t="s">
        <v>614</v>
      </c>
      <c r="M181" s="669"/>
      <c r="N181" s="576">
        <f t="shared" si="35"/>
        <v>0</v>
      </c>
      <c r="O181" s="577">
        <f t="shared" si="41"/>
        <v>0</v>
      </c>
      <c r="P181" s="578">
        <f t="shared" si="42"/>
        <v>0</v>
      </c>
      <c r="Q181" s="765"/>
      <c r="R181" s="669"/>
      <c r="S181" s="670"/>
      <c r="T181" s="577">
        <f t="shared" si="44"/>
        <v>0</v>
      </c>
      <c r="U181" s="578">
        <f t="shared" si="45"/>
        <v>0</v>
      </c>
      <c r="V181" s="579"/>
      <c r="W181" s="637" t="str">
        <f>IF(U179&gt;0,"xx",IF(P179&gt;0,"xy",""))</f>
        <v/>
      </c>
      <c r="X181" s="586" t="str">
        <f t="shared" si="47"/>
        <v/>
      </c>
      <c r="Y181" s="586" t="str">
        <f t="shared" si="33"/>
        <v/>
      </c>
      <c r="Z181" s="586" t="str">
        <f t="shared" si="39"/>
        <v/>
      </c>
    </row>
    <row r="182" spans="1:26" ht="12" hidden="1" thickBot="1" x14ac:dyDescent="0.25">
      <c r="A182" s="567" t="s">
        <v>168</v>
      </c>
      <c r="B182" s="644" t="s">
        <v>168</v>
      </c>
      <c r="C182" s="645"/>
      <c r="D182" s="451" t="s">
        <v>214</v>
      </c>
      <c r="E182" s="423"/>
      <c r="F182" s="418">
        <v>5</v>
      </c>
      <c r="G182" s="425">
        <v>1.728</v>
      </c>
      <c r="H182" s="649">
        <f t="shared" si="52"/>
        <v>13.875840000000002</v>
      </c>
      <c r="I182" s="420">
        <v>0</v>
      </c>
      <c r="J182" s="420"/>
      <c r="K182" s="421">
        <f t="shared" si="53"/>
        <v>0</v>
      </c>
      <c r="L182" s="647" t="s">
        <v>614</v>
      </c>
      <c r="M182" s="669"/>
      <c r="N182" s="576">
        <f t="shared" si="35"/>
        <v>0</v>
      </c>
      <c r="O182" s="577">
        <f t="shared" si="41"/>
        <v>0</v>
      </c>
      <c r="P182" s="578">
        <f t="shared" si="42"/>
        <v>0</v>
      </c>
      <c r="Q182" s="765"/>
      <c r="R182" s="669"/>
      <c r="S182" s="670"/>
      <c r="T182" s="577">
        <f t="shared" si="44"/>
        <v>0</v>
      </c>
      <c r="U182" s="578">
        <f t="shared" si="45"/>
        <v>0</v>
      </c>
      <c r="V182" s="579"/>
      <c r="W182" s="637" t="str">
        <f>IF($U$141&gt;0,"xx",IF($P$141&gt;0,"xy",""))</f>
        <v/>
      </c>
      <c r="X182" s="586" t="str">
        <f t="shared" si="47"/>
        <v/>
      </c>
      <c r="Y182" s="586" t="str">
        <f t="shared" si="33"/>
        <v/>
      </c>
      <c r="Z182" s="586" t="str">
        <f t="shared" si="39"/>
        <v/>
      </c>
    </row>
    <row r="183" spans="1:26" ht="12" hidden="1" thickBot="1" x14ac:dyDescent="0.25">
      <c r="A183" s="567">
        <v>530200</v>
      </c>
      <c r="B183" s="644" t="s">
        <v>1740</v>
      </c>
      <c r="C183" s="645" t="s">
        <v>206</v>
      </c>
      <c r="D183" s="422" t="s">
        <v>215</v>
      </c>
      <c r="E183" s="423"/>
      <c r="F183" s="418">
        <v>20</v>
      </c>
      <c r="G183" s="419">
        <v>2.2000000000000002</v>
      </c>
      <c r="H183" s="649">
        <f t="shared" si="52"/>
        <v>52.976000000000006</v>
      </c>
      <c r="I183" s="420">
        <v>94.56</v>
      </c>
      <c r="J183" s="420">
        <f>IF(ISBLANK(I183),"",SUM(H183:I183))</f>
        <v>147.536</v>
      </c>
      <c r="K183" s="421">
        <f t="shared" si="53"/>
        <v>175.29</v>
      </c>
      <c r="L183" s="647" t="s">
        <v>16</v>
      </c>
      <c r="M183" s="576"/>
      <c r="N183" s="576">
        <f t="shared" si="35"/>
        <v>0</v>
      </c>
      <c r="O183" s="577">
        <f t="shared" si="41"/>
        <v>0</v>
      </c>
      <c r="P183" s="578">
        <f t="shared" si="42"/>
        <v>0</v>
      </c>
      <c r="Q183" s="765"/>
      <c r="R183" s="576">
        <f t="shared" si="43"/>
        <v>0</v>
      </c>
      <c r="S183" s="576">
        <f t="shared" si="43"/>
        <v>0</v>
      </c>
      <c r="T183" s="577">
        <f t="shared" si="44"/>
        <v>0</v>
      </c>
      <c r="U183" s="578">
        <f t="shared" si="45"/>
        <v>0</v>
      </c>
      <c r="V183" s="579"/>
      <c r="W183" s="566"/>
      <c r="X183" s="586" t="str">
        <f t="shared" si="47"/>
        <v/>
      </c>
      <c r="Y183" s="586" t="str">
        <f t="shared" si="33"/>
        <v/>
      </c>
      <c r="Z183" s="586" t="str">
        <f t="shared" si="39"/>
        <v/>
      </c>
    </row>
    <row r="184" spans="1:26" ht="12" hidden="1" thickBot="1" x14ac:dyDescent="0.25">
      <c r="A184" s="567" t="s">
        <v>2066</v>
      </c>
      <c r="B184" s="644" t="s">
        <v>1569</v>
      </c>
      <c r="C184" s="645" t="s">
        <v>484</v>
      </c>
      <c r="D184" s="422" t="s">
        <v>633</v>
      </c>
      <c r="E184" s="423"/>
      <c r="F184" s="418">
        <v>10</v>
      </c>
      <c r="G184" s="419">
        <v>1.95</v>
      </c>
      <c r="H184" s="649">
        <f t="shared" si="52"/>
        <v>26.091000000000001</v>
      </c>
      <c r="I184" s="420">
        <v>72.11</v>
      </c>
      <c r="J184" s="420">
        <f>IF(ISBLANK(I184),"",SUM(H184:I184))</f>
        <v>98.200999999999993</v>
      </c>
      <c r="K184" s="421">
        <f t="shared" si="53"/>
        <v>116.67</v>
      </c>
      <c r="L184" s="647" t="s">
        <v>16</v>
      </c>
      <c r="M184" s="576"/>
      <c r="N184" s="576">
        <f t="shared" si="35"/>
        <v>0</v>
      </c>
      <c r="O184" s="577">
        <f t="shared" si="41"/>
        <v>0</v>
      </c>
      <c r="P184" s="578">
        <f t="shared" si="42"/>
        <v>0</v>
      </c>
      <c r="Q184" s="765"/>
      <c r="R184" s="576">
        <f t="shared" si="43"/>
        <v>0</v>
      </c>
      <c r="S184" s="576">
        <f t="shared" si="43"/>
        <v>0</v>
      </c>
      <c r="T184" s="577">
        <f t="shared" si="44"/>
        <v>0</v>
      </c>
      <c r="U184" s="578">
        <f t="shared" si="45"/>
        <v>0</v>
      </c>
      <c r="V184" s="579"/>
      <c r="W184" s="566"/>
      <c r="X184" s="586" t="str">
        <f t="shared" si="47"/>
        <v/>
      </c>
      <c r="Y184" s="586" t="str">
        <f t="shared" si="33"/>
        <v/>
      </c>
      <c r="Z184" s="586" t="str">
        <f t="shared" si="39"/>
        <v/>
      </c>
    </row>
    <row r="185" spans="1:26" ht="12" hidden="1" thickBot="1" x14ac:dyDescent="0.25">
      <c r="A185" s="567" t="s">
        <v>2067</v>
      </c>
      <c r="B185" s="644" t="s">
        <v>1570</v>
      </c>
      <c r="C185" s="645" t="s">
        <v>484</v>
      </c>
      <c r="D185" s="422" t="s">
        <v>634</v>
      </c>
      <c r="E185" s="423"/>
      <c r="F185" s="418">
        <v>11</v>
      </c>
      <c r="G185" s="419">
        <v>2.1</v>
      </c>
      <c r="H185" s="649">
        <f t="shared" si="52"/>
        <v>30.345000000000002</v>
      </c>
      <c r="I185" s="420">
        <v>88.65</v>
      </c>
      <c r="J185" s="420">
        <f>IF(ISBLANK(I185),"",SUM(H185:I185))</f>
        <v>118.995</v>
      </c>
      <c r="K185" s="421">
        <f t="shared" si="53"/>
        <v>141.38</v>
      </c>
      <c r="L185" s="647" t="s">
        <v>16</v>
      </c>
      <c r="M185" s="576"/>
      <c r="N185" s="576">
        <f t="shared" si="35"/>
        <v>0</v>
      </c>
      <c r="O185" s="577">
        <f t="shared" si="41"/>
        <v>0</v>
      </c>
      <c r="P185" s="578">
        <f t="shared" si="42"/>
        <v>0</v>
      </c>
      <c r="Q185" s="765"/>
      <c r="R185" s="576">
        <f t="shared" si="43"/>
        <v>0</v>
      </c>
      <c r="S185" s="576">
        <f t="shared" si="43"/>
        <v>0</v>
      </c>
      <c r="T185" s="577">
        <f t="shared" si="44"/>
        <v>0</v>
      </c>
      <c r="U185" s="578">
        <f t="shared" si="45"/>
        <v>0</v>
      </c>
      <c r="V185" s="579"/>
      <c r="W185" s="566"/>
      <c r="X185" s="586" t="str">
        <f t="shared" si="47"/>
        <v/>
      </c>
      <c r="Y185" s="586" t="str">
        <f t="shared" si="33"/>
        <v/>
      </c>
      <c r="Z185" s="586" t="str">
        <f t="shared" si="39"/>
        <v/>
      </c>
    </row>
    <row r="186" spans="1:26" ht="12" hidden="1" thickBot="1" x14ac:dyDescent="0.25">
      <c r="A186" s="567">
        <v>530200</v>
      </c>
      <c r="B186" s="644" t="s">
        <v>1741</v>
      </c>
      <c r="C186" s="645" t="s">
        <v>206</v>
      </c>
      <c r="D186" s="422" t="s">
        <v>483</v>
      </c>
      <c r="E186" s="423"/>
      <c r="F186" s="418">
        <v>20</v>
      </c>
      <c r="G186" s="419">
        <v>2.2000000000000002</v>
      </c>
      <c r="H186" s="649">
        <f t="shared" si="52"/>
        <v>52.976000000000006</v>
      </c>
      <c r="I186" s="420">
        <v>94.56</v>
      </c>
      <c r="J186" s="420">
        <f>IF(ISBLANK(I186),"",SUM(H186:I186))</f>
        <v>147.536</v>
      </c>
      <c r="K186" s="421">
        <f t="shared" si="53"/>
        <v>175.29</v>
      </c>
      <c r="L186" s="647" t="s">
        <v>16</v>
      </c>
      <c r="M186" s="576"/>
      <c r="N186" s="576">
        <f t="shared" si="35"/>
        <v>0</v>
      </c>
      <c r="O186" s="577">
        <f t="shared" si="41"/>
        <v>0</v>
      </c>
      <c r="P186" s="578">
        <f t="shared" si="42"/>
        <v>0</v>
      </c>
      <c r="Q186" s="765"/>
      <c r="R186" s="576">
        <f t="shared" si="43"/>
        <v>0</v>
      </c>
      <c r="S186" s="576">
        <f t="shared" si="43"/>
        <v>0</v>
      </c>
      <c r="T186" s="577">
        <f t="shared" si="44"/>
        <v>0</v>
      </c>
      <c r="U186" s="578">
        <f t="shared" si="45"/>
        <v>0</v>
      </c>
      <c r="V186" s="579"/>
      <c r="W186" s="566"/>
      <c r="X186" s="586" t="str">
        <f t="shared" si="47"/>
        <v/>
      </c>
      <c r="Y186" s="586" t="str">
        <f t="shared" si="33"/>
        <v/>
      </c>
      <c r="Z186" s="586" t="str">
        <f t="shared" si="39"/>
        <v/>
      </c>
    </row>
    <row r="187" spans="1:26" ht="12" hidden="1" thickBot="1" x14ac:dyDescent="0.25">
      <c r="A187" s="567">
        <v>516200</v>
      </c>
      <c r="B187" s="644">
        <v>516200</v>
      </c>
      <c r="C187" s="645" t="s">
        <v>206</v>
      </c>
      <c r="D187" s="422" t="s">
        <v>228</v>
      </c>
      <c r="E187" s="423"/>
      <c r="F187" s="418">
        <v>20</v>
      </c>
      <c r="G187" s="419">
        <v>1.95</v>
      </c>
      <c r="H187" s="649">
        <f t="shared" si="52"/>
        <v>46.956000000000003</v>
      </c>
      <c r="I187" s="420">
        <v>100.78</v>
      </c>
      <c r="J187" s="420">
        <f>IF(ISBLANK(I187),"",SUM(H187:I187))*0.85</f>
        <v>125.57559999999999</v>
      </c>
      <c r="K187" s="421">
        <f t="shared" si="53"/>
        <v>149.19999999999999</v>
      </c>
      <c r="L187" s="647" t="s">
        <v>16</v>
      </c>
      <c r="M187" s="576"/>
      <c r="N187" s="576">
        <f t="shared" si="35"/>
        <v>0</v>
      </c>
      <c r="O187" s="577">
        <f t="shared" si="41"/>
        <v>0</v>
      </c>
      <c r="P187" s="578">
        <f t="shared" si="42"/>
        <v>0</v>
      </c>
      <c r="Q187" s="765"/>
      <c r="R187" s="576">
        <f t="shared" si="43"/>
        <v>0</v>
      </c>
      <c r="S187" s="576">
        <f t="shared" si="43"/>
        <v>0</v>
      </c>
      <c r="T187" s="577">
        <f t="shared" si="44"/>
        <v>0</v>
      </c>
      <c r="U187" s="578">
        <f t="shared" si="45"/>
        <v>0</v>
      </c>
      <c r="V187" s="579"/>
      <c r="W187" s="566"/>
      <c r="X187" s="586" t="str">
        <f t="shared" si="47"/>
        <v/>
      </c>
      <c r="Y187" s="586" t="str">
        <f t="shared" si="33"/>
        <v/>
      </c>
      <c r="Z187" s="586" t="str">
        <f t="shared" si="39"/>
        <v/>
      </c>
    </row>
    <row r="188" spans="1:26" ht="12" hidden="1" thickBot="1" x14ac:dyDescent="0.25">
      <c r="A188" s="567">
        <v>531000</v>
      </c>
      <c r="B188" s="644" t="s">
        <v>1742</v>
      </c>
      <c r="C188" s="645" t="s">
        <v>206</v>
      </c>
      <c r="D188" s="422" t="s">
        <v>216</v>
      </c>
      <c r="E188" s="423"/>
      <c r="F188" s="418">
        <v>20</v>
      </c>
      <c r="G188" s="425">
        <v>2.4</v>
      </c>
      <c r="H188" s="649">
        <f t="shared" si="52"/>
        <v>57.792000000000002</v>
      </c>
      <c r="I188" s="420">
        <v>127.37</v>
      </c>
      <c r="J188" s="420">
        <f>IF(ISBLANK(I188),"",SUM(H188:I188))</f>
        <v>185.16200000000001</v>
      </c>
      <c r="K188" s="421">
        <f t="shared" si="53"/>
        <v>219.99</v>
      </c>
      <c r="L188" s="647" t="s">
        <v>16</v>
      </c>
      <c r="M188" s="576"/>
      <c r="N188" s="576">
        <f t="shared" si="35"/>
        <v>0</v>
      </c>
      <c r="O188" s="577">
        <f t="shared" si="41"/>
        <v>0</v>
      </c>
      <c r="P188" s="578">
        <f t="shared" si="42"/>
        <v>0</v>
      </c>
      <c r="Q188" s="765"/>
      <c r="R188" s="576">
        <f t="shared" si="43"/>
        <v>0</v>
      </c>
      <c r="S188" s="576">
        <f t="shared" si="43"/>
        <v>0</v>
      </c>
      <c r="T188" s="577">
        <f t="shared" si="44"/>
        <v>0</v>
      </c>
      <c r="U188" s="578">
        <f t="shared" si="45"/>
        <v>0</v>
      </c>
      <c r="V188" s="579"/>
      <c r="W188" s="566"/>
      <c r="X188" s="586" t="str">
        <f t="shared" si="47"/>
        <v/>
      </c>
      <c r="Y188" s="586" t="str">
        <f t="shared" si="33"/>
        <v/>
      </c>
      <c r="Z188" s="586" t="str">
        <f t="shared" si="39"/>
        <v/>
      </c>
    </row>
    <row r="189" spans="1:26" ht="12" hidden="1" thickBot="1" x14ac:dyDescent="0.25">
      <c r="A189" s="567">
        <v>531120</v>
      </c>
      <c r="B189" s="644">
        <v>531120</v>
      </c>
      <c r="C189" s="645" t="s">
        <v>206</v>
      </c>
      <c r="D189" s="422" t="s">
        <v>222</v>
      </c>
      <c r="E189" s="423"/>
      <c r="F189" s="418"/>
      <c r="G189" s="425"/>
      <c r="H189" s="667">
        <f>SUM(H190:H192)</f>
        <v>102.41472000000002</v>
      </c>
      <c r="I189" s="420">
        <v>183.97</v>
      </c>
      <c r="J189" s="420">
        <f>IF(ISBLANK(I189),"",SUM(H189:I189))*0.9</f>
        <v>257.74624800000004</v>
      </c>
      <c r="K189" s="421">
        <f t="shared" si="53"/>
        <v>306.23</v>
      </c>
      <c r="L189" s="647" t="s">
        <v>16</v>
      </c>
      <c r="M189" s="576"/>
      <c r="N189" s="576">
        <f t="shared" si="35"/>
        <v>0</v>
      </c>
      <c r="O189" s="577">
        <f t="shared" si="41"/>
        <v>0</v>
      </c>
      <c r="P189" s="578">
        <f t="shared" si="42"/>
        <v>0</v>
      </c>
      <c r="Q189" s="765"/>
      <c r="R189" s="576">
        <f t="shared" si="43"/>
        <v>0</v>
      </c>
      <c r="S189" s="576">
        <f t="shared" si="43"/>
        <v>0</v>
      </c>
      <c r="T189" s="577">
        <f t="shared" si="44"/>
        <v>0</v>
      </c>
      <c r="U189" s="578">
        <f t="shared" si="45"/>
        <v>0</v>
      </c>
      <c r="V189" s="579"/>
      <c r="W189" s="566"/>
      <c r="X189" s="586" t="str">
        <f t="shared" si="47"/>
        <v/>
      </c>
      <c r="Y189" s="586" t="str">
        <f t="shared" si="33"/>
        <v/>
      </c>
      <c r="Z189" s="586" t="str">
        <f t="shared" si="39"/>
        <v/>
      </c>
    </row>
    <row r="190" spans="1:26" ht="12" hidden="1" thickBot="1" x14ac:dyDescent="0.25">
      <c r="A190" s="567" t="s">
        <v>168</v>
      </c>
      <c r="B190" s="644" t="s">
        <v>168</v>
      </c>
      <c r="C190" s="645"/>
      <c r="D190" s="451" t="s">
        <v>212</v>
      </c>
      <c r="E190" s="423"/>
      <c r="F190" s="424">
        <v>500</v>
      </c>
      <c r="G190" s="425">
        <v>9.6000000000000002E-2</v>
      </c>
      <c r="H190" s="649">
        <f>IF(F190&lt;=30,(0.78*F190+7.82)*G190,((0.78*30+7.82)+0.78*(F190-30))*G190)</f>
        <v>38.190720000000006</v>
      </c>
      <c r="I190" s="420">
        <v>0</v>
      </c>
      <c r="J190" s="420"/>
      <c r="K190" s="421">
        <f t="shared" si="53"/>
        <v>0</v>
      </c>
      <c r="L190" s="647" t="s">
        <v>614</v>
      </c>
      <c r="M190" s="669"/>
      <c r="N190" s="576">
        <f t="shared" si="35"/>
        <v>0</v>
      </c>
      <c r="O190" s="577">
        <f t="shared" si="41"/>
        <v>0</v>
      </c>
      <c r="P190" s="578">
        <f t="shared" si="42"/>
        <v>0</v>
      </c>
      <c r="Q190" s="765"/>
      <c r="R190" s="669"/>
      <c r="S190" s="670"/>
      <c r="T190" s="577">
        <f t="shared" si="44"/>
        <v>0</v>
      </c>
      <c r="U190" s="578">
        <f t="shared" si="45"/>
        <v>0</v>
      </c>
      <c r="V190" s="579"/>
      <c r="W190" s="637" t="str">
        <f>IF(U189&gt;0,"xx",IF(P189&gt;0,"xy",""))</f>
        <v/>
      </c>
      <c r="X190" s="586" t="str">
        <f t="shared" si="47"/>
        <v/>
      </c>
      <c r="Y190" s="586" t="str">
        <f t="shared" si="33"/>
        <v/>
      </c>
      <c r="Z190" s="586" t="str">
        <f t="shared" si="39"/>
        <v/>
      </c>
    </row>
    <row r="191" spans="1:26" ht="12" hidden="1" thickBot="1" x14ac:dyDescent="0.25">
      <c r="A191" s="567" t="s">
        <v>168</v>
      </c>
      <c r="B191" s="644" t="s">
        <v>168</v>
      </c>
      <c r="C191" s="645"/>
      <c r="D191" s="451" t="s">
        <v>223</v>
      </c>
      <c r="E191" s="423"/>
      <c r="F191" s="418"/>
      <c r="G191" s="425">
        <v>2.4</v>
      </c>
      <c r="H191" s="649">
        <f t="shared" ref="H191:H200" si="54">IF(F191&lt;=30,(1.07*F191+2.68)*G191,((1.07*30+2.68)+1.07*(F191-30))*G191)</f>
        <v>6.4320000000000004</v>
      </c>
      <c r="I191" s="420">
        <v>0</v>
      </c>
      <c r="J191" s="420"/>
      <c r="K191" s="421">
        <f t="shared" si="53"/>
        <v>0</v>
      </c>
      <c r="L191" s="647" t="s">
        <v>614</v>
      </c>
      <c r="M191" s="669"/>
      <c r="N191" s="576">
        <f t="shared" si="35"/>
        <v>0</v>
      </c>
      <c r="O191" s="577">
        <f t="shared" si="41"/>
        <v>0</v>
      </c>
      <c r="P191" s="578">
        <f t="shared" si="42"/>
        <v>0</v>
      </c>
      <c r="Q191" s="765"/>
      <c r="R191" s="669"/>
      <c r="S191" s="670"/>
      <c r="T191" s="577">
        <f t="shared" si="44"/>
        <v>0</v>
      </c>
      <c r="U191" s="578">
        <f t="shared" si="45"/>
        <v>0</v>
      </c>
      <c r="V191" s="579"/>
      <c r="W191" s="637" t="str">
        <f>IF(U189&gt;0,"xx",IF(P189&gt;0,"xy",""))</f>
        <v/>
      </c>
      <c r="X191" s="586" t="str">
        <f t="shared" si="47"/>
        <v/>
      </c>
      <c r="Y191" s="586" t="str">
        <f t="shared" si="33"/>
        <v/>
      </c>
      <c r="Z191" s="586" t="str">
        <f t="shared" si="39"/>
        <v/>
      </c>
    </row>
    <row r="192" spans="1:26" ht="12" hidden="1" thickBot="1" x14ac:dyDescent="0.25">
      <c r="A192" s="567" t="s">
        <v>168</v>
      </c>
      <c r="B192" s="644" t="s">
        <v>168</v>
      </c>
      <c r="C192" s="645"/>
      <c r="D192" s="451" t="s">
        <v>224</v>
      </c>
      <c r="E192" s="423"/>
      <c r="F192" s="418">
        <v>20</v>
      </c>
      <c r="G192" s="425">
        <v>2.4</v>
      </c>
      <c r="H192" s="649">
        <f t="shared" si="54"/>
        <v>57.792000000000002</v>
      </c>
      <c r="I192" s="420">
        <v>0</v>
      </c>
      <c r="J192" s="420"/>
      <c r="K192" s="421">
        <f t="shared" si="53"/>
        <v>0</v>
      </c>
      <c r="L192" s="647" t="s">
        <v>614</v>
      </c>
      <c r="M192" s="669"/>
      <c r="N192" s="576">
        <f t="shared" si="35"/>
        <v>0</v>
      </c>
      <c r="O192" s="577">
        <f t="shared" si="41"/>
        <v>0</v>
      </c>
      <c r="P192" s="578">
        <f t="shared" si="42"/>
        <v>0</v>
      </c>
      <c r="Q192" s="765"/>
      <c r="R192" s="669"/>
      <c r="S192" s="670"/>
      <c r="T192" s="577">
        <f t="shared" si="44"/>
        <v>0</v>
      </c>
      <c r="U192" s="578">
        <f t="shared" si="45"/>
        <v>0</v>
      </c>
      <c r="V192" s="579"/>
      <c r="W192" s="637" t="str">
        <f>IF($U$141&gt;0,"xx",IF($P$141&gt;0,"xy",""))</f>
        <v/>
      </c>
      <c r="X192" s="586" t="str">
        <f t="shared" si="47"/>
        <v/>
      </c>
      <c r="Y192" s="586" t="str">
        <f t="shared" si="33"/>
        <v/>
      </c>
      <c r="Z192" s="586" t="str">
        <f t="shared" si="39"/>
        <v/>
      </c>
    </row>
    <row r="193" spans="1:26" ht="12" hidden="1" thickBot="1" x14ac:dyDescent="0.25">
      <c r="A193" s="567">
        <v>531350</v>
      </c>
      <c r="B193" s="644">
        <v>531350</v>
      </c>
      <c r="C193" s="645" t="s">
        <v>206</v>
      </c>
      <c r="D193" s="422" t="s">
        <v>217</v>
      </c>
      <c r="E193" s="423"/>
      <c r="F193" s="418"/>
      <c r="G193" s="419"/>
      <c r="H193" s="667">
        <f>SUM(H194:H195)</f>
        <v>48.882400000000004</v>
      </c>
      <c r="I193" s="420">
        <v>103.35</v>
      </c>
      <c r="J193" s="420">
        <f>IF(ISBLANK(I193),"",SUM(H193:I193))</f>
        <v>152.23239999999998</v>
      </c>
      <c r="K193" s="421">
        <f t="shared" si="53"/>
        <v>180.87</v>
      </c>
      <c r="L193" s="647" t="s">
        <v>16</v>
      </c>
      <c r="M193" s="576"/>
      <c r="N193" s="576">
        <f t="shared" si="35"/>
        <v>0</v>
      </c>
      <c r="O193" s="577">
        <f t="shared" si="41"/>
        <v>0</v>
      </c>
      <c r="P193" s="578">
        <f t="shared" si="42"/>
        <v>0</v>
      </c>
      <c r="Q193" s="765"/>
      <c r="R193" s="576">
        <f t="shared" si="43"/>
        <v>0</v>
      </c>
      <c r="S193" s="576">
        <f t="shared" si="43"/>
        <v>0</v>
      </c>
      <c r="T193" s="577">
        <f t="shared" si="44"/>
        <v>0</v>
      </c>
      <c r="U193" s="578">
        <f t="shared" si="45"/>
        <v>0</v>
      </c>
      <c r="V193" s="579"/>
      <c r="W193" s="566"/>
      <c r="X193" s="586" t="str">
        <f t="shared" si="47"/>
        <v/>
      </c>
      <c r="Y193" s="586" t="str">
        <f t="shared" si="33"/>
        <v/>
      </c>
      <c r="Z193" s="586" t="str">
        <f t="shared" si="39"/>
        <v/>
      </c>
    </row>
    <row r="194" spans="1:26" ht="12" hidden="1" thickBot="1" x14ac:dyDescent="0.25">
      <c r="A194" s="567" t="s">
        <v>168</v>
      </c>
      <c r="B194" s="644" t="s">
        <v>168</v>
      </c>
      <c r="C194" s="645"/>
      <c r="D194" s="451" t="s">
        <v>218</v>
      </c>
      <c r="E194" s="423"/>
      <c r="F194" s="418">
        <v>20</v>
      </c>
      <c r="G194" s="419">
        <v>1.35</v>
      </c>
      <c r="H194" s="649">
        <f t="shared" si="54"/>
        <v>32.508000000000003</v>
      </c>
      <c r="I194" s="420">
        <v>0</v>
      </c>
      <c r="J194" s="420"/>
      <c r="K194" s="421">
        <f t="shared" si="53"/>
        <v>0</v>
      </c>
      <c r="L194" s="647" t="s">
        <v>614</v>
      </c>
      <c r="M194" s="669"/>
      <c r="N194" s="576">
        <f t="shared" si="35"/>
        <v>0</v>
      </c>
      <c r="O194" s="577">
        <f t="shared" si="41"/>
        <v>0</v>
      </c>
      <c r="P194" s="578">
        <f t="shared" si="42"/>
        <v>0</v>
      </c>
      <c r="Q194" s="765"/>
      <c r="R194" s="669"/>
      <c r="S194" s="670"/>
      <c r="T194" s="577">
        <f t="shared" si="44"/>
        <v>0</v>
      </c>
      <c r="U194" s="578">
        <f t="shared" si="45"/>
        <v>0</v>
      </c>
      <c r="V194" s="579"/>
      <c r="W194" s="637" t="str">
        <f>IF(U193&gt;0,"xx",IF(P193&gt;0,"xy",""))</f>
        <v/>
      </c>
      <c r="X194" s="586" t="str">
        <f t="shared" si="47"/>
        <v/>
      </c>
      <c r="Y194" s="586" t="str">
        <f t="shared" si="33"/>
        <v/>
      </c>
      <c r="Z194" s="586" t="str">
        <f t="shared" si="39"/>
        <v/>
      </c>
    </row>
    <row r="195" spans="1:26" ht="12" hidden="1" thickBot="1" x14ac:dyDescent="0.25">
      <c r="A195" s="567" t="s">
        <v>168</v>
      </c>
      <c r="B195" s="644" t="s">
        <v>168</v>
      </c>
      <c r="C195" s="645"/>
      <c r="D195" s="451" t="s">
        <v>219</v>
      </c>
      <c r="E195" s="423"/>
      <c r="F195" s="418">
        <v>20</v>
      </c>
      <c r="G195" s="419">
        <v>0.68</v>
      </c>
      <c r="H195" s="649">
        <f t="shared" si="54"/>
        <v>16.374400000000001</v>
      </c>
      <c r="I195" s="420">
        <v>0</v>
      </c>
      <c r="J195" s="420"/>
      <c r="K195" s="421">
        <f t="shared" si="53"/>
        <v>0</v>
      </c>
      <c r="L195" s="647" t="s">
        <v>614</v>
      </c>
      <c r="M195" s="669"/>
      <c r="N195" s="576">
        <f t="shared" si="35"/>
        <v>0</v>
      </c>
      <c r="O195" s="577">
        <f t="shared" si="41"/>
        <v>0</v>
      </c>
      <c r="P195" s="578">
        <f t="shared" si="42"/>
        <v>0</v>
      </c>
      <c r="Q195" s="765"/>
      <c r="R195" s="669"/>
      <c r="S195" s="670"/>
      <c r="T195" s="577">
        <f t="shared" si="44"/>
        <v>0</v>
      </c>
      <c r="U195" s="578">
        <f t="shared" si="45"/>
        <v>0</v>
      </c>
      <c r="V195" s="579"/>
      <c r="W195" s="637" t="str">
        <f>IF(U193&gt;0,"xx",IF(P193&gt;0,"xy",""))</f>
        <v/>
      </c>
      <c r="X195" s="586" t="str">
        <f t="shared" si="47"/>
        <v/>
      </c>
      <c r="Y195" s="586" t="str">
        <f t="shared" si="33"/>
        <v/>
      </c>
      <c r="Z195" s="586" t="str">
        <f t="shared" si="39"/>
        <v/>
      </c>
    </row>
    <row r="196" spans="1:26" ht="12" hidden="1" thickBot="1" x14ac:dyDescent="0.25">
      <c r="A196" s="567">
        <v>531300</v>
      </c>
      <c r="B196" s="644">
        <v>531300</v>
      </c>
      <c r="C196" s="645" t="s">
        <v>206</v>
      </c>
      <c r="D196" s="422" t="s">
        <v>220</v>
      </c>
      <c r="E196" s="423"/>
      <c r="F196" s="418"/>
      <c r="G196" s="419"/>
      <c r="H196" s="667">
        <f>SUM(H197:H198)</f>
        <v>48.882400000000004</v>
      </c>
      <c r="I196" s="420">
        <v>106.52999999999999</v>
      </c>
      <c r="J196" s="420">
        <f>IF(ISBLANK(I196),"",SUM(H196:I196))</f>
        <v>155.41239999999999</v>
      </c>
      <c r="K196" s="421">
        <f t="shared" si="53"/>
        <v>184.65</v>
      </c>
      <c r="L196" s="647" t="s">
        <v>16</v>
      </c>
      <c r="M196" s="576"/>
      <c r="N196" s="576">
        <f t="shared" si="35"/>
        <v>0</v>
      </c>
      <c r="O196" s="577">
        <f t="shared" si="41"/>
        <v>0</v>
      </c>
      <c r="P196" s="578">
        <f t="shared" si="42"/>
        <v>0</v>
      </c>
      <c r="Q196" s="765"/>
      <c r="R196" s="576">
        <f t="shared" si="43"/>
        <v>0</v>
      </c>
      <c r="S196" s="576">
        <f t="shared" si="43"/>
        <v>0</v>
      </c>
      <c r="T196" s="577">
        <f t="shared" si="44"/>
        <v>0</v>
      </c>
      <c r="U196" s="578">
        <f t="shared" si="45"/>
        <v>0</v>
      </c>
      <c r="V196" s="579"/>
      <c r="W196" s="566"/>
      <c r="X196" s="586" t="str">
        <f t="shared" si="47"/>
        <v/>
      </c>
      <c r="Y196" s="586" t="str">
        <f t="shared" si="33"/>
        <v/>
      </c>
      <c r="Z196" s="586" t="str">
        <f t="shared" si="39"/>
        <v/>
      </c>
    </row>
    <row r="197" spans="1:26" ht="12" hidden="1" thickBot="1" x14ac:dyDescent="0.25">
      <c r="A197" s="567" t="s">
        <v>168</v>
      </c>
      <c r="B197" s="644" t="s">
        <v>168</v>
      </c>
      <c r="C197" s="645"/>
      <c r="D197" s="451" t="s">
        <v>218</v>
      </c>
      <c r="E197" s="423"/>
      <c r="F197" s="418">
        <v>20</v>
      </c>
      <c r="G197" s="419">
        <v>1.35</v>
      </c>
      <c r="H197" s="649">
        <f t="shared" si="54"/>
        <v>32.508000000000003</v>
      </c>
      <c r="I197" s="420">
        <v>0</v>
      </c>
      <c r="J197" s="420"/>
      <c r="K197" s="421">
        <f t="shared" si="53"/>
        <v>0</v>
      </c>
      <c r="L197" s="647" t="s">
        <v>614</v>
      </c>
      <c r="M197" s="669"/>
      <c r="N197" s="576">
        <f t="shared" si="35"/>
        <v>0</v>
      </c>
      <c r="O197" s="577">
        <f t="shared" si="41"/>
        <v>0</v>
      </c>
      <c r="P197" s="578">
        <f t="shared" si="42"/>
        <v>0</v>
      </c>
      <c r="Q197" s="765"/>
      <c r="R197" s="669"/>
      <c r="S197" s="670"/>
      <c r="T197" s="577">
        <f t="shared" si="44"/>
        <v>0</v>
      </c>
      <c r="U197" s="578">
        <f t="shared" si="45"/>
        <v>0</v>
      </c>
      <c r="V197" s="579"/>
      <c r="W197" s="637" t="str">
        <f>IF(U196&gt;0,"xx",IF(P196&gt;0,"xy",""))</f>
        <v/>
      </c>
      <c r="X197" s="586" t="str">
        <f t="shared" si="47"/>
        <v/>
      </c>
      <c r="Y197" s="586" t="str">
        <f t="shared" si="33"/>
        <v/>
      </c>
      <c r="Z197" s="586" t="str">
        <f t="shared" si="39"/>
        <v/>
      </c>
    </row>
    <row r="198" spans="1:26" ht="12" hidden="1" thickBot="1" x14ac:dyDescent="0.25">
      <c r="A198" s="567" t="s">
        <v>168</v>
      </c>
      <c r="B198" s="644" t="s">
        <v>168</v>
      </c>
      <c r="C198" s="645"/>
      <c r="D198" s="451" t="s">
        <v>219</v>
      </c>
      <c r="E198" s="423"/>
      <c r="F198" s="418">
        <v>20</v>
      </c>
      <c r="G198" s="419">
        <v>0.68</v>
      </c>
      <c r="H198" s="649">
        <f t="shared" si="54"/>
        <v>16.374400000000001</v>
      </c>
      <c r="I198" s="420">
        <v>0</v>
      </c>
      <c r="J198" s="420"/>
      <c r="K198" s="421">
        <f t="shared" si="53"/>
        <v>0</v>
      </c>
      <c r="L198" s="647" t="s">
        <v>614</v>
      </c>
      <c r="M198" s="669"/>
      <c r="N198" s="576">
        <f t="shared" si="35"/>
        <v>0</v>
      </c>
      <c r="O198" s="577">
        <f t="shared" si="41"/>
        <v>0</v>
      </c>
      <c r="P198" s="578">
        <f t="shared" si="42"/>
        <v>0</v>
      </c>
      <c r="Q198" s="765"/>
      <c r="R198" s="669"/>
      <c r="S198" s="670"/>
      <c r="T198" s="577">
        <f t="shared" si="44"/>
        <v>0</v>
      </c>
      <c r="U198" s="578">
        <f t="shared" si="45"/>
        <v>0</v>
      </c>
      <c r="V198" s="579"/>
      <c r="W198" s="637" t="str">
        <f>IF(U196&gt;0,"xx",IF(P196&gt;0,"xy",""))</f>
        <v/>
      </c>
      <c r="X198" s="586" t="str">
        <f t="shared" si="47"/>
        <v/>
      </c>
      <c r="Y198" s="586" t="str">
        <f t="shared" si="33"/>
        <v/>
      </c>
      <c r="Z198" s="586" t="str">
        <f t="shared" si="39"/>
        <v/>
      </c>
    </row>
    <row r="199" spans="1:26" ht="12" hidden="1" thickBot="1" x14ac:dyDescent="0.25">
      <c r="A199" s="567">
        <v>532000</v>
      </c>
      <c r="B199" s="644">
        <v>532000</v>
      </c>
      <c r="C199" s="645"/>
      <c r="D199" s="422" t="s">
        <v>221</v>
      </c>
      <c r="E199" s="423"/>
      <c r="F199" s="424">
        <v>20</v>
      </c>
      <c r="G199" s="425">
        <v>2.2000000000000002</v>
      </c>
      <c r="H199" s="649">
        <f t="shared" si="54"/>
        <v>52.976000000000006</v>
      </c>
      <c r="I199" s="420">
        <v>120.07</v>
      </c>
      <c r="J199" s="420">
        <f>IF(ISBLANK(I199),"",SUM(H199:I199))</f>
        <v>173.04599999999999</v>
      </c>
      <c r="K199" s="421">
        <f>IF(ISBLANK(I199),0,ROUND(J199*(1+$F$10)*(1+$F$11*E199),2))</f>
        <v>205.6</v>
      </c>
      <c r="L199" s="647" t="s">
        <v>16</v>
      </c>
      <c r="M199" s="587"/>
      <c r="N199" s="576">
        <f t="shared" si="35"/>
        <v>0</v>
      </c>
      <c r="O199" s="577">
        <f>IF(ISBLANK(M199),0,ROUND(K199*M199,2))</f>
        <v>0</v>
      </c>
      <c r="P199" s="578">
        <f>IF(ISBLANK(N199),0,ROUND(M199*N199,2))</f>
        <v>0</v>
      </c>
      <c r="Q199" s="765"/>
      <c r="R199" s="650">
        <f>M199</f>
        <v>0</v>
      </c>
      <c r="S199" s="587">
        <f>N199</f>
        <v>0</v>
      </c>
      <c r="T199" s="577">
        <f>IF(ISBLANK(R199),0,ROUND(K199*R199,2))</f>
        <v>0</v>
      </c>
      <c r="U199" s="578">
        <f>IF(ISBLANK(R199),0,ROUND(R199*S199,2))</f>
        <v>0</v>
      </c>
      <c r="V199" s="579"/>
      <c r="W199" s="566"/>
      <c r="X199" s="586" t="str">
        <f>IF(W199="X","x",IF(W199="xx","x",IF(W199="xy","x",IF(W199="y","x",IF(OR(P199&gt;0,U199&gt;0),"x","")))))</f>
        <v/>
      </c>
      <c r="Y199" s="586" t="str">
        <f>IF(W199="X","x",IF(W199="y","x",IF(W199="xx","x",IF(U199&gt;0,"x",""))))</f>
        <v/>
      </c>
      <c r="Z199" s="586" t="str">
        <f>IF(W199="X","x",IF(U199&gt;0,"x",""))</f>
        <v/>
      </c>
    </row>
    <row r="200" spans="1:26" ht="23.25" hidden="1" thickBot="1" x14ac:dyDescent="0.25">
      <c r="A200" s="567">
        <v>96398</v>
      </c>
      <c r="B200" s="644">
        <v>96398</v>
      </c>
      <c r="C200" s="645" t="s">
        <v>670</v>
      </c>
      <c r="D200" s="422" t="s">
        <v>1882</v>
      </c>
      <c r="E200" s="423"/>
      <c r="F200" s="424">
        <v>20</v>
      </c>
      <c r="G200" s="425">
        <v>2.4</v>
      </c>
      <c r="H200" s="649">
        <f t="shared" si="54"/>
        <v>57.792000000000002</v>
      </c>
      <c r="I200" s="420">
        <v>243.38</v>
      </c>
      <c r="J200" s="420">
        <f>IF(ISBLANK(I200),"",SUM(H200:I200))</f>
        <v>301.17200000000003</v>
      </c>
      <c r="K200" s="421">
        <f t="shared" si="53"/>
        <v>357.82</v>
      </c>
      <c r="L200" s="647" t="s">
        <v>16</v>
      </c>
      <c r="M200" s="587"/>
      <c r="N200" s="576">
        <f t="shared" si="35"/>
        <v>0</v>
      </c>
      <c r="O200" s="577">
        <f t="shared" si="41"/>
        <v>0</v>
      </c>
      <c r="P200" s="578">
        <f t="shared" si="42"/>
        <v>0</v>
      </c>
      <c r="Q200" s="765"/>
      <c r="R200" s="650">
        <f t="shared" si="43"/>
        <v>0</v>
      </c>
      <c r="S200" s="587">
        <f t="shared" si="43"/>
        <v>0</v>
      </c>
      <c r="T200" s="577">
        <f t="shared" si="44"/>
        <v>0</v>
      </c>
      <c r="U200" s="578">
        <f t="shared" si="45"/>
        <v>0</v>
      </c>
      <c r="V200" s="579"/>
      <c r="W200" s="566"/>
      <c r="X200" s="586" t="str">
        <f t="shared" si="47"/>
        <v/>
      </c>
      <c r="Y200" s="586" t="str">
        <f t="shared" si="33"/>
        <v/>
      </c>
      <c r="Z200" s="586" t="str">
        <f t="shared" si="39"/>
        <v/>
      </c>
    </row>
    <row r="201" spans="1:26" ht="12" hidden="1" thickBot="1" x14ac:dyDescent="0.25">
      <c r="A201" s="652" t="s">
        <v>187</v>
      </c>
      <c r="B201" s="653" t="s">
        <v>187</v>
      </c>
      <c r="C201" s="654"/>
      <c r="D201" s="427" t="s">
        <v>466</v>
      </c>
      <c r="E201" s="491"/>
      <c r="F201" s="655"/>
      <c r="G201" s="656"/>
      <c r="H201" s="672"/>
      <c r="I201" s="429"/>
      <c r="J201" s="429"/>
      <c r="K201" s="429"/>
      <c r="L201" s="673" t="s">
        <v>614</v>
      </c>
      <c r="M201" s="657"/>
      <c r="N201" s="576">
        <f t="shared" si="35"/>
        <v>0</v>
      </c>
      <c r="O201" s="429">
        <f t="shared" si="41"/>
        <v>0</v>
      </c>
      <c r="P201" s="658">
        <f t="shared" si="42"/>
        <v>0</v>
      </c>
      <c r="Q201" s="765"/>
      <c r="R201" s="657"/>
      <c r="S201" s="429"/>
      <c r="T201" s="429">
        <f t="shared" si="44"/>
        <v>0</v>
      </c>
      <c r="U201" s="658">
        <f t="shared" si="45"/>
        <v>0</v>
      </c>
      <c r="V201" s="579"/>
      <c r="W201" s="637" t="str">
        <f>IF(OR(SUM(P202:P226)&gt;0,SUM(U202:U226)&gt;0),"y","")</f>
        <v/>
      </c>
      <c r="X201" s="586" t="str">
        <f t="shared" si="47"/>
        <v/>
      </c>
      <c r="Y201" s="586" t="str">
        <f t="shared" si="33"/>
        <v/>
      </c>
      <c r="Z201" s="586" t="str">
        <f t="shared" si="39"/>
        <v/>
      </c>
    </row>
    <row r="202" spans="1:26" ht="12" hidden="1" thickBot="1" x14ac:dyDescent="0.25">
      <c r="A202" s="652" t="s">
        <v>187</v>
      </c>
      <c r="B202" s="572" t="s">
        <v>187</v>
      </c>
      <c r="C202" s="573" t="s">
        <v>187</v>
      </c>
      <c r="D202" s="574"/>
      <c r="E202" s="575"/>
      <c r="F202" s="436"/>
      <c r="G202" s="431"/>
      <c r="H202" s="436"/>
      <c r="I202" s="432"/>
      <c r="J202" s="433"/>
      <c r="K202" s="434">
        <f t="shared" ref="K202:K226" si="55">IF(ISBLANK(J202),0,ROUND(J202*(1+$F$10)*(1+$F$11*E202),2))</f>
        <v>0</v>
      </c>
      <c r="L202" s="452" t="s">
        <v>614</v>
      </c>
      <c r="M202" s="587"/>
      <c r="N202" s="576">
        <f t="shared" si="35"/>
        <v>0</v>
      </c>
      <c r="O202" s="577">
        <f t="shared" si="41"/>
        <v>0</v>
      </c>
      <c r="P202" s="578">
        <f t="shared" si="42"/>
        <v>0</v>
      </c>
      <c r="Q202" s="765"/>
      <c r="R202" s="650">
        <f t="shared" si="43"/>
        <v>0</v>
      </c>
      <c r="S202" s="587">
        <f t="shared" si="43"/>
        <v>0</v>
      </c>
      <c r="T202" s="577">
        <f t="shared" si="44"/>
        <v>0</v>
      </c>
      <c r="U202" s="578">
        <f t="shared" si="45"/>
        <v>0</v>
      </c>
      <c r="V202" s="579"/>
      <c r="W202" s="566"/>
      <c r="X202" s="586" t="str">
        <f t="shared" si="47"/>
        <v/>
      </c>
      <c r="Y202" s="586" t="str">
        <f t="shared" si="33"/>
        <v/>
      </c>
      <c r="Z202" s="586" t="str">
        <f t="shared" si="39"/>
        <v/>
      </c>
    </row>
    <row r="203" spans="1:26" ht="12" hidden="1" thickBot="1" x14ac:dyDescent="0.25">
      <c r="A203" s="652" t="s">
        <v>187</v>
      </c>
      <c r="B203" s="572" t="s">
        <v>187</v>
      </c>
      <c r="C203" s="573" t="s">
        <v>187</v>
      </c>
      <c r="D203" s="580"/>
      <c r="E203" s="575"/>
      <c r="F203" s="436"/>
      <c r="G203" s="431"/>
      <c r="H203" s="436"/>
      <c r="I203" s="432"/>
      <c r="J203" s="433"/>
      <c r="K203" s="437">
        <f t="shared" si="55"/>
        <v>0</v>
      </c>
      <c r="L203" s="452" t="s">
        <v>614</v>
      </c>
      <c r="M203" s="576"/>
      <c r="N203" s="576">
        <f t="shared" si="35"/>
        <v>0</v>
      </c>
      <c r="O203" s="577">
        <f t="shared" si="41"/>
        <v>0</v>
      </c>
      <c r="P203" s="578">
        <f t="shared" si="42"/>
        <v>0</v>
      </c>
      <c r="Q203" s="765"/>
      <c r="R203" s="576">
        <f t="shared" si="43"/>
        <v>0</v>
      </c>
      <c r="S203" s="576">
        <f t="shared" si="43"/>
        <v>0</v>
      </c>
      <c r="T203" s="577">
        <f t="shared" si="44"/>
        <v>0</v>
      </c>
      <c r="U203" s="659">
        <f t="shared" si="45"/>
        <v>0</v>
      </c>
      <c r="V203" s="579"/>
      <c r="W203" s="566"/>
      <c r="X203" s="586" t="str">
        <f t="shared" si="47"/>
        <v/>
      </c>
      <c r="Y203" s="586" t="str">
        <f t="shared" si="33"/>
        <v/>
      </c>
      <c r="Z203" s="586" t="str">
        <f t="shared" si="39"/>
        <v/>
      </c>
    </row>
    <row r="204" spans="1:26" ht="12" hidden="1" thickBot="1" x14ac:dyDescent="0.25">
      <c r="A204" s="652" t="s">
        <v>187</v>
      </c>
      <c r="B204" s="572" t="s">
        <v>187</v>
      </c>
      <c r="C204" s="573" t="s">
        <v>187</v>
      </c>
      <c r="D204" s="580"/>
      <c r="E204" s="575"/>
      <c r="F204" s="436"/>
      <c r="G204" s="431"/>
      <c r="H204" s="430"/>
      <c r="I204" s="432"/>
      <c r="J204" s="433"/>
      <c r="K204" s="437">
        <f t="shared" si="55"/>
        <v>0</v>
      </c>
      <c r="L204" s="452" t="s">
        <v>614</v>
      </c>
      <c r="M204" s="576"/>
      <c r="N204" s="576">
        <f t="shared" si="35"/>
        <v>0</v>
      </c>
      <c r="O204" s="577">
        <f t="shared" si="41"/>
        <v>0</v>
      </c>
      <c r="P204" s="578">
        <f t="shared" si="42"/>
        <v>0</v>
      </c>
      <c r="Q204" s="765"/>
      <c r="R204" s="576">
        <f t="shared" si="43"/>
        <v>0</v>
      </c>
      <c r="S204" s="576">
        <f t="shared" si="43"/>
        <v>0</v>
      </c>
      <c r="T204" s="577">
        <f t="shared" si="44"/>
        <v>0</v>
      </c>
      <c r="U204" s="578">
        <f t="shared" si="45"/>
        <v>0</v>
      </c>
      <c r="V204" s="579"/>
      <c r="W204" s="566"/>
      <c r="X204" s="586" t="str">
        <f t="shared" si="47"/>
        <v/>
      </c>
      <c r="Y204" s="586" t="str">
        <f t="shared" si="33"/>
        <v/>
      </c>
      <c r="Z204" s="586" t="str">
        <f t="shared" si="39"/>
        <v/>
      </c>
    </row>
    <row r="205" spans="1:26" ht="12" hidden="1" thickBot="1" x14ac:dyDescent="0.25">
      <c r="A205" s="652" t="s">
        <v>187</v>
      </c>
      <c r="B205" s="572" t="s">
        <v>187</v>
      </c>
      <c r="C205" s="573" t="s">
        <v>187</v>
      </c>
      <c r="D205" s="580"/>
      <c r="E205" s="575"/>
      <c r="F205" s="436"/>
      <c r="G205" s="431"/>
      <c r="H205" s="430"/>
      <c r="I205" s="432"/>
      <c r="J205" s="433"/>
      <c r="K205" s="437">
        <f t="shared" si="55"/>
        <v>0</v>
      </c>
      <c r="L205" s="452" t="s">
        <v>614</v>
      </c>
      <c r="M205" s="576"/>
      <c r="N205" s="576">
        <f t="shared" si="35"/>
        <v>0</v>
      </c>
      <c r="O205" s="577">
        <f t="shared" si="41"/>
        <v>0</v>
      </c>
      <c r="P205" s="578">
        <f t="shared" si="42"/>
        <v>0</v>
      </c>
      <c r="Q205" s="765"/>
      <c r="R205" s="576">
        <f t="shared" si="43"/>
        <v>0</v>
      </c>
      <c r="S205" s="576">
        <f t="shared" si="43"/>
        <v>0</v>
      </c>
      <c r="T205" s="577">
        <f t="shared" si="44"/>
        <v>0</v>
      </c>
      <c r="U205" s="578">
        <f t="shared" si="45"/>
        <v>0</v>
      </c>
      <c r="V205" s="579"/>
      <c r="W205" s="566"/>
      <c r="X205" s="586" t="str">
        <f t="shared" si="47"/>
        <v/>
      </c>
      <c r="Y205" s="586" t="str">
        <f t="shared" si="33"/>
        <v/>
      </c>
      <c r="Z205" s="586" t="str">
        <f t="shared" si="39"/>
        <v/>
      </c>
    </row>
    <row r="206" spans="1:26" ht="12" hidden="1" thickBot="1" x14ac:dyDescent="0.25">
      <c r="A206" s="652" t="s">
        <v>187</v>
      </c>
      <c r="B206" s="572" t="s">
        <v>187</v>
      </c>
      <c r="C206" s="573" t="s">
        <v>187</v>
      </c>
      <c r="D206" s="580"/>
      <c r="E206" s="575"/>
      <c r="F206" s="436"/>
      <c r="G206" s="431"/>
      <c r="H206" s="430"/>
      <c r="I206" s="432"/>
      <c r="J206" s="433"/>
      <c r="K206" s="437">
        <f t="shared" si="55"/>
        <v>0</v>
      </c>
      <c r="L206" s="452" t="s">
        <v>614</v>
      </c>
      <c r="M206" s="576"/>
      <c r="N206" s="576">
        <f t="shared" si="35"/>
        <v>0</v>
      </c>
      <c r="O206" s="577">
        <f t="shared" si="41"/>
        <v>0</v>
      </c>
      <c r="P206" s="578">
        <f t="shared" si="42"/>
        <v>0</v>
      </c>
      <c r="Q206" s="765"/>
      <c r="R206" s="576">
        <f t="shared" si="43"/>
        <v>0</v>
      </c>
      <c r="S206" s="576">
        <f t="shared" si="43"/>
        <v>0</v>
      </c>
      <c r="T206" s="577">
        <f t="shared" si="44"/>
        <v>0</v>
      </c>
      <c r="U206" s="578">
        <f t="shared" si="45"/>
        <v>0</v>
      </c>
      <c r="V206" s="579"/>
      <c r="W206" s="566"/>
      <c r="X206" s="586" t="str">
        <f t="shared" si="47"/>
        <v/>
      </c>
      <c r="Y206" s="586" t="str">
        <f t="shared" si="33"/>
        <v/>
      </c>
      <c r="Z206" s="586" t="str">
        <f t="shared" si="39"/>
        <v/>
      </c>
    </row>
    <row r="207" spans="1:26" ht="12" hidden="1" thickBot="1" x14ac:dyDescent="0.25">
      <c r="A207" s="652" t="s">
        <v>187</v>
      </c>
      <c r="B207" s="572" t="s">
        <v>187</v>
      </c>
      <c r="C207" s="573" t="s">
        <v>187</v>
      </c>
      <c r="D207" s="580"/>
      <c r="E207" s="575"/>
      <c r="F207" s="436"/>
      <c r="G207" s="431"/>
      <c r="H207" s="430"/>
      <c r="I207" s="432"/>
      <c r="J207" s="433"/>
      <c r="K207" s="437">
        <f t="shared" si="55"/>
        <v>0</v>
      </c>
      <c r="L207" s="452" t="s">
        <v>614</v>
      </c>
      <c r="M207" s="576"/>
      <c r="N207" s="576">
        <f t="shared" si="35"/>
        <v>0</v>
      </c>
      <c r="O207" s="577">
        <f t="shared" si="41"/>
        <v>0</v>
      </c>
      <c r="P207" s="578">
        <f t="shared" si="42"/>
        <v>0</v>
      </c>
      <c r="Q207" s="765"/>
      <c r="R207" s="576">
        <f t="shared" si="43"/>
        <v>0</v>
      </c>
      <c r="S207" s="576">
        <f t="shared" si="43"/>
        <v>0</v>
      </c>
      <c r="T207" s="577">
        <f t="shared" si="44"/>
        <v>0</v>
      </c>
      <c r="U207" s="578">
        <f t="shared" si="45"/>
        <v>0</v>
      </c>
      <c r="V207" s="579"/>
      <c r="W207" s="566"/>
      <c r="X207" s="586" t="str">
        <f t="shared" si="47"/>
        <v/>
      </c>
      <c r="Y207" s="586" t="str">
        <f t="shared" si="33"/>
        <v/>
      </c>
      <c r="Z207" s="586" t="str">
        <f t="shared" si="39"/>
        <v/>
      </c>
    </row>
    <row r="208" spans="1:26" ht="12" hidden="1" thickBot="1" x14ac:dyDescent="0.25">
      <c r="A208" s="652" t="s">
        <v>187</v>
      </c>
      <c r="B208" s="572" t="s">
        <v>187</v>
      </c>
      <c r="C208" s="573" t="s">
        <v>187</v>
      </c>
      <c r="D208" s="580"/>
      <c r="E208" s="575"/>
      <c r="F208" s="436"/>
      <c r="G208" s="431"/>
      <c r="H208" s="430"/>
      <c r="I208" s="432"/>
      <c r="J208" s="433"/>
      <c r="K208" s="437">
        <f t="shared" si="55"/>
        <v>0</v>
      </c>
      <c r="L208" s="452" t="s">
        <v>614</v>
      </c>
      <c r="M208" s="576"/>
      <c r="N208" s="576">
        <f t="shared" si="35"/>
        <v>0</v>
      </c>
      <c r="O208" s="577">
        <f t="shared" si="41"/>
        <v>0</v>
      </c>
      <c r="P208" s="578">
        <f t="shared" si="42"/>
        <v>0</v>
      </c>
      <c r="Q208" s="765"/>
      <c r="R208" s="576">
        <f t="shared" si="43"/>
        <v>0</v>
      </c>
      <c r="S208" s="576">
        <f t="shared" si="43"/>
        <v>0</v>
      </c>
      <c r="T208" s="577">
        <f t="shared" si="44"/>
        <v>0</v>
      </c>
      <c r="U208" s="578">
        <f t="shared" si="45"/>
        <v>0</v>
      </c>
      <c r="V208" s="579"/>
      <c r="W208" s="566"/>
      <c r="X208" s="586" t="str">
        <f t="shared" si="47"/>
        <v/>
      </c>
      <c r="Y208" s="586" t="str">
        <f t="shared" si="33"/>
        <v/>
      </c>
      <c r="Z208" s="586" t="str">
        <f t="shared" si="39"/>
        <v/>
      </c>
    </row>
    <row r="209" spans="1:26" ht="12" hidden="1" thickBot="1" x14ac:dyDescent="0.25">
      <c r="A209" s="652" t="s">
        <v>187</v>
      </c>
      <c r="B209" s="572" t="s">
        <v>187</v>
      </c>
      <c r="C209" s="573" t="s">
        <v>187</v>
      </c>
      <c r="D209" s="580"/>
      <c r="E209" s="575"/>
      <c r="F209" s="436"/>
      <c r="G209" s="431"/>
      <c r="H209" s="430"/>
      <c r="I209" s="432"/>
      <c r="J209" s="433"/>
      <c r="K209" s="437">
        <f t="shared" si="55"/>
        <v>0</v>
      </c>
      <c r="L209" s="452" t="s">
        <v>614</v>
      </c>
      <c r="M209" s="576"/>
      <c r="N209" s="576">
        <f t="shared" si="35"/>
        <v>0</v>
      </c>
      <c r="O209" s="577">
        <f t="shared" si="41"/>
        <v>0</v>
      </c>
      <c r="P209" s="578">
        <f t="shared" si="42"/>
        <v>0</v>
      </c>
      <c r="Q209" s="765"/>
      <c r="R209" s="576">
        <f t="shared" si="43"/>
        <v>0</v>
      </c>
      <c r="S209" s="576">
        <f t="shared" si="43"/>
        <v>0</v>
      </c>
      <c r="T209" s="577">
        <f t="shared" si="44"/>
        <v>0</v>
      </c>
      <c r="U209" s="578">
        <f t="shared" si="45"/>
        <v>0</v>
      </c>
      <c r="V209" s="579"/>
      <c r="W209" s="566"/>
      <c r="X209" s="586" t="str">
        <f t="shared" si="47"/>
        <v/>
      </c>
      <c r="Y209" s="586" t="str">
        <f t="shared" si="33"/>
        <v/>
      </c>
      <c r="Z209" s="586" t="str">
        <f t="shared" si="39"/>
        <v/>
      </c>
    </row>
    <row r="210" spans="1:26" ht="12" hidden="1" thickBot="1" x14ac:dyDescent="0.25">
      <c r="A210" s="652" t="s">
        <v>187</v>
      </c>
      <c r="B210" s="572" t="s">
        <v>187</v>
      </c>
      <c r="C210" s="573" t="s">
        <v>187</v>
      </c>
      <c r="D210" s="580"/>
      <c r="E210" s="575"/>
      <c r="F210" s="436"/>
      <c r="G210" s="431"/>
      <c r="H210" s="430"/>
      <c r="I210" s="432"/>
      <c r="J210" s="433"/>
      <c r="K210" s="437">
        <f t="shared" si="55"/>
        <v>0</v>
      </c>
      <c r="L210" s="452" t="s">
        <v>614</v>
      </c>
      <c r="M210" s="576"/>
      <c r="N210" s="576">
        <f t="shared" si="35"/>
        <v>0</v>
      </c>
      <c r="O210" s="577">
        <f t="shared" si="41"/>
        <v>0</v>
      </c>
      <c r="P210" s="578">
        <f t="shared" si="42"/>
        <v>0</v>
      </c>
      <c r="Q210" s="765"/>
      <c r="R210" s="576">
        <f t="shared" si="43"/>
        <v>0</v>
      </c>
      <c r="S210" s="576">
        <f t="shared" si="43"/>
        <v>0</v>
      </c>
      <c r="T210" s="577">
        <f t="shared" si="44"/>
        <v>0</v>
      </c>
      <c r="U210" s="578">
        <f t="shared" si="45"/>
        <v>0</v>
      </c>
      <c r="V210" s="579"/>
      <c r="W210" s="566"/>
      <c r="X210" s="586" t="str">
        <f t="shared" si="47"/>
        <v/>
      </c>
      <c r="Y210" s="586" t="str">
        <f t="shared" si="33"/>
        <v/>
      </c>
      <c r="Z210" s="586" t="str">
        <f t="shared" si="39"/>
        <v/>
      </c>
    </row>
    <row r="211" spans="1:26" ht="12" hidden="1" thickBot="1" x14ac:dyDescent="0.25">
      <c r="A211" s="652" t="s">
        <v>187</v>
      </c>
      <c r="B211" s="572" t="s">
        <v>187</v>
      </c>
      <c r="C211" s="573" t="s">
        <v>187</v>
      </c>
      <c r="D211" s="580"/>
      <c r="E211" s="575"/>
      <c r="F211" s="436"/>
      <c r="G211" s="431"/>
      <c r="H211" s="430"/>
      <c r="I211" s="432"/>
      <c r="J211" s="433"/>
      <c r="K211" s="437">
        <f t="shared" si="55"/>
        <v>0</v>
      </c>
      <c r="L211" s="452" t="s">
        <v>614</v>
      </c>
      <c r="M211" s="576"/>
      <c r="N211" s="576">
        <f t="shared" si="35"/>
        <v>0</v>
      </c>
      <c r="O211" s="577">
        <f t="shared" si="41"/>
        <v>0</v>
      </c>
      <c r="P211" s="578">
        <f t="shared" si="42"/>
        <v>0</v>
      </c>
      <c r="Q211" s="765"/>
      <c r="R211" s="576">
        <f t="shared" si="43"/>
        <v>0</v>
      </c>
      <c r="S211" s="576">
        <f t="shared" si="43"/>
        <v>0</v>
      </c>
      <c r="T211" s="577">
        <f t="shared" si="44"/>
        <v>0</v>
      </c>
      <c r="U211" s="578">
        <f t="shared" si="45"/>
        <v>0</v>
      </c>
      <c r="V211" s="579"/>
      <c r="W211" s="566"/>
      <c r="X211" s="586" t="str">
        <f t="shared" si="47"/>
        <v/>
      </c>
      <c r="Y211" s="586" t="str">
        <f t="shared" ref="Y211:Y274" si="56">IF(W211="X","x",IF(W211="y","x",IF(W211="xx","x",IF(U211&gt;0,"x",""))))</f>
        <v/>
      </c>
      <c r="Z211" s="586" t="str">
        <f t="shared" si="39"/>
        <v/>
      </c>
    </row>
    <row r="212" spans="1:26" ht="12" hidden="1" thickBot="1" x14ac:dyDescent="0.25">
      <c r="A212" s="652" t="s">
        <v>187</v>
      </c>
      <c r="B212" s="572" t="s">
        <v>187</v>
      </c>
      <c r="C212" s="573" t="s">
        <v>187</v>
      </c>
      <c r="D212" s="580"/>
      <c r="E212" s="575"/>
      <c r="F212" s="436"/>
      <c r="G212" s="431"/>
      <c r="H212" s="430"/>
      <c r="I212" s="432"/>
      <c r="J212" s="433"/>
      <c r="K212" s="437">
        <f t="shared" si="55"/>
        <v>0</v>
      </c>
      <c r="L212" s="452" t="s">
        <v>614</v>
      </c>
      <c r="M212" s="576"/>
      <c r="N212" s="576">
        <f t="shared" ref="N212:N275" si="57">IF(M212=0,0,K212)</f>
        <v>0</v>
      </c>
      <c r="O212" s="577">
        <f t="shared" si="41"/>
        <v>0</v>
      </c>
      <c r="P212" s="578">
        <f t="shared" si="42"/>
        <v>0</v>
      </c>
      <c r="Q212" s="765"/>
      <c r="R212" s="576">
        <f t="shared" si="43"/>
        <v>0</v>
      </c>
      <c r="S212" s="576">
        <f t="shared" si="43"/>
        <v>0</v>
      </c>
      <c r="T212" s="577">
        <f t="shared" si="44"/>
        <v>0</v>
      </c>
      <c r="U212" s="578">
        <f t="shared" si="45"/>
        <v>0</v>
      </c>
      <c r="V212" s="579"/>
      <c r="W212" s="566"/>
      <c r="X212" s="586" t="str">
        <f t="shared" si="47"/>
        <v/>
      </c>
      <c r="Y212" s="586" t="str">
        <f t="shared" si="56"/>
        <v/>
      </c>
      <c r="Z212" s="586" t="str">
        <f t="shared" si="39"/>
        <v/>
      </c>
    </row>
    <row r="213" spans="1:26" ht="12" hidden="1" thickBot="1" x14ac:dyDescent="0.25">
      <c r="A213" s="652" t="s">
        <v>187</v>
      </c>
      <c r="B213" s="572" t="s">
        <v>187</v>
      </c>
      <c r="C213" s="573" t="s">
        <v>187</v>
      </c>
      <c r="D213" s="580"/>
      <c r="E213" s="575"/>
      <c r="F213" s="436"/>
      <c r="G213" s="431"/>
      <c r="H213" s="430"/>
      <c r="I213" s="432"/>
      <c r="J213" s="433"/>
      <c r="K213" s="437">
        <f t="shared" si="55"/>
        <v>0</v>
      </c>
      <c r="L213" s="452" t="s">
        <v>614</v>
      </c>
      <c r="M213" s="576"/>
      <c r="N213" s="576">
        <f t="shared" si="57"/>
        <v>0</v>
      </c>
      <c r="O213" s="577">
        <f t="shared" si="41"/>
        <v>0</v>
      </c>
      <c r="P213" s="578">
        <f t="shared" si="42"/>
        <v>0</v>
      </c>
      <c r="Q213" s="765"/>
      <c r="R213" s="576">
        <f t="shared" si="43"/>
        <v>0</v>
      </c>
      <c r="S213" s="576">
        <f t="shared" si="43"/>
        <v>0</v>
      </c>
      <c r="T213" s="577">
        <f t="shared" si="44"/>
        <v>0</v>
      </c>
      <c r="U213" s="578">
        <f t="shared" si="45"/>
        <v>0</v>
      </c>
      <c r="V213" s="579"/>
      <c r="W213" s="566"/>
      <c r="X213" s="586" t="str">
        <f t="shared" si="47"/>
        <v/>
      </c>
      <c r="Y213" s="586" t="str">
        <f t="shared" si="56"/>
        <v/>
      </c>
      <c r="Z213" s="586" t="str">
        <f t="shared" si="39"/>
        <v/>
      </c>
    </row>
    <row r="214" spans="1:26" ht="12" hidden="1" thickBot="1" x14ac:dyDescent="0.25">
      <c r="A214" s="652" t="s">
        <v>187</v>
      </c>
      <c r="B214" s="572" t="s">
        <v>187</v>
      </c>
      <c r="C214" s="573" t="s">
        <v>187</v>
      </c>
      <c r="D214" s="580"/>
      <c r="E214" s="575"/>
      <c r="F214" s="436"/>
      <c r="G214" s="431"/>
      <c r="H214" s="430"/>
      <c r="I214" s="432"/>
      <c r="J214" s="433"/>
      <c r="K214" s="437">
        <f t="shared" si="55"/>
        <v>0</v>
      </c>
      <c r="L214" s="452" t="s">
        <v>614</v>
      </c>
      <c r="M214" s="576"/>
      <c r="N214" s="576">
        <f t="shared" si="57"/>
        <v>0</v>
      </c>
      <c r="O214" s="577">
        <f t="shared" si="41"/>
        <v>0</v>
      </c>
      <c r="P214" s="578">
        <f t="shared" si="42"/>
        <v>0</v>
      </c>
      <c r="Q214" s="765"/>
      <c r="R214" s="576">
        <f t="shared" si="43"/>
        <v>0</v>
      </c>
      <c r="S214" s="576">
        <f t="shared" si="43"/>
        <v>0</v>
      </c>
      <c r="T214" s="577">
        <f t="shared" si="44"/>
        <v>0</v>
      </c>
      <c r="U214" s="578">
        <f t="shared" si="45"/>
        <v>0</v>
      </c>
      <c r="V214" s="579"/>
      <c r="W214" s="566"/>
      <c r="X214" s="586" t="str">
        <f t="shared" si="47"/>
        <v/>
      </c>
      <c r="Y214" s="586" t="str">
        <f t="shared" si="56"/>
        <v/>
      </c>
      <c r="Z214" s="586" t="str">
        <f t="shared" si="39"/>
        <v/>
      </c>
    </row>
    <row r="215" spans="1:26" ht="12" hidden="1" thickBot="1" x14ac:dyDescent="0.25">
      <c r="A215" s="652" t="s">
        <v>187</v>
      </c>
      <c r="B215" s="572" t="s">
        <v>187</v>
      </c>
      <c r="C215" s="573" t="s">
        <v>187</v>
      </c>
      <c r="D215" s="580"/>
      <c r="E215" s="575"/>
      <c r="F215" s="436"/>
      <c r="G215" s="431"/>
      <c r="H215" s="430"/>
      <c r="I215" s="432"/>
      <c r="J215" s="433"/>
      <c r="K215" s="437">
        <f t="shared" si="55"/>
        <v>0</v>
      </c>
      <c r="L215" s="452" t="s">
        <v>614</v>
      </c>
      <c r="M215" s="576"/>
      <c r="N215" s="576">
        <f t="shared" si="57"/>
        <v>0</v>
      </c>
      <c r="O215" s="577">
        <f t="shared" si="41"/>
        <v>0</v>
      </c>
      <c r="P215" s="578">
        <f t="shared" si="42"/>
        <v>0</v>
      </c>
      <c r="Q215" s="765"/>
      <c r="R215" s="576">
        <f t="shared" si="43"/>
        <v>0</v>
      </c>
      <c r="S215" s="576">
        <f t="shared" si="43"/>
        <v>0</v>
      </c>
      <c r="T215" s="577">
        <f t="shared" si="44"/>
        <v>0</v>
      </c>
      <c r="U215" s="578">
        <f t="shared" si="45"/>
        <v>0</v>
      </c>
      <c r="V215" s="579"/>
      <c r="W215" s="566"/>
      <c r="X215" s="586" t="str">
        <f t="shared" si="47"/>
        <v/>
      </c>
      <c r="Y215" s="586" t="str">
        <f t="shared" si="56"/>
        <v/>
      </c>
      <c r="Z215" s="586" t="str">
        <f t="shared" si="39"/>
        <v/>
      </c>
    </row>
    <row r="216" spans="1:26" ht="12" hidden="1" thickBot="1" x14ac:dyDescent="0.25">
      <c r="A216" s="652" t="s">
        <v>187</v>
      </c>
      <c r="B216" s="572" t="s">
        <v>187</v>
      </c>
      <c r="C216" s="573" t="s">
        <v>187</v>
      </c>
      <c r="D216" s="580"/>
      <c r="E216" s="575"/>
      <c r="F216" s="436"/>
      <c r="G216" s="431"/>
      <c r="H216" s="430"/>
      <c r="I216" s="432"/>
      <c r="J216" s="433"/>
      <c r="K216" s="437">
        <f t="shared" si="55"/>
        <v>0</v>
      </c>
      <c r="L216" s="452" t="s">
        <v>614</v>
      </c>
      <c r="M216" s="576"/>
      <c r="N216" s="576">
        <f t="shared" si="57"/>
        <v>0</v>
      </c>
      <c r="O216" s="577">
        <f t="shared" si="41"/>
        <v>0</v>
      </c>
      <c r="P216" s="578">
        <f t="shared" si="42"/>
        <v>0</v>
      </c>
      <c r="Q216" s="765"/>
      <c r="R216" s="576">
        <f t="shared" si="43"/>
        <v>0</v>
      </c>
      <c r="S216" s="576">
        <f t="shared" si="43"/>
        <v>0</v>
      </c>
      <c r="T216" s="577">
        <f t="shared" si="44"/>
        <v>0</v>
      </c>
      <c r="U216" s="578">
        <f t="shared" si="45"/>
        <v>0</v>
      </c>
      <c r="V216" s="579"/>
      <c r="W216" s="566"/>
      <c r="X216" s="586" t="str">
        <f t="shared" si="47"/>
        <v/>
      </c>
      <c r="Y216" s="586" t="str">
        <f t="shared" si="56"/>
        <v/>
      </c>
      <c r="Z216" s="586" t="str">
        <f t="shared" si="39"/>
        <v/>
      </c>
    </row>
    <row r="217" spans="1:26" ht="12" hidden="1" thickBot="1" x14ac:dyDescent="0.25">
      <c r="A217" s="652" t="s">
        <v>187</v>
      </c>
      <c r="B217" s="572" t="s">
        <v>187</v>
      </c>
      <c r="C217" s="573" t="s">
        <v>187</v>
      </c>
      <c r="D217" s="580"/>
      <c r="E217" s="575"/>
      <c r="F217" s="436"/>
      <c r="G217" s="431"/>
      <c r="H217" s="430"/>
      <c r="I217" s="432"/>
      <c r="J217" s="433"/>
      <c r="K217" s="437">
        <f t="shared" si="55"/>
        <v>0</v>
      </c>
      <c r="L217" s="452" t="s">
        <v>614</v>
      </c>
      <c r="M217" s="576"/>
      <c r="N217" s="576">
        <f t="shared" si="57"/>
        <v>0</v>
      </c>
      <c r="O217" s="577">
        <f t="shared" si="41"/>
        <v>0</v>
      </c>
      <c r="P217" s="578">
        <f t="shared" si="42"/>
        <v>0</v>
      </c>
      <c r="Q217" s="765"/>
      <c r="R217" s="576">
        <f t="shared" si="43"/>
        <v>0</v>
      </c>
      <c r="S217" s="576">
        <f t="shared" si="43"/>
        <v>0</v>
      </c>
      <c r="T217" s="577">
        <f t="shared" si="44"/>
        <v>0</v>
      </c>
      <c r="U217" s="578">
        <f t="shared" si="45"/>
        <v>0</v>
      </c>
      <c r="V217" s="579"/>
      <c r="W217" s="566"/>
      <c r="X217" s="586" t="str">
        <f t="shared" si="47"/>
        <v/>
      </c>
      <c r="Y217" s="586" t="str">
        <f t="shared" si="56"/>
        <v/>
      </c>
      <c r="Z217" s="586" t="str">
        <f t="shared" si="39"/>
        <v/>
      </c>
    </row>
    <row r="218" spans="1:26" ht="12" hidden="1" thickBot="1" x14ac:dyDescent="0.25">
      <c r="A218" s="652" t="s">
        <v>187</v>
      </c>
      <c r="B218" s="572" t="s">
        <v>187</v>
      </c>
      <c r="C218" s="573" t="s">
        <v>187</v>
      </c>
      <c r="D218" s="580"/>
      <c r="E218" s="575"/>
      <c r="F218" s="436"/>
      <c r="G218" s="431"/>
      <c r="H218" s="430"/>
      <c r="I218" s="432"/>
      <c r="J218" s="433"/>
      <c r="K218" s="437">
        <f t="shared" si="55"/>
        <v>0</v>
      </c>
      <c r="L218" s="452" t="s">
        <v>614</v>
      </c>
      <c r="M218" s="576"/>
      <c r="N218" s="576">
        <f t="shared" si="57"/>
        <v>0</v>
      </c>
      <c r="O218" s="577">
        <f t="shared" si="41"/>
        <v>0</v>
      </c>
      <c r="P218" s="578">
        <f t="shared" si="42"/>
        <v>0</v>
      </c>
      <c r="Q218" s="765"/>
      <c r="R218" s="576">
        <f t="shared" si="43"/>
        <v>0</v>
      </c>
      <c r="S218" s="576">
        <f t="shared" si="43"/>
        <v>0</v>
      </c>
      <c r="T218" s="577">
        <f t="shared" si="44"/>
        <v>0</v>
      </c>
      <c r="U218" s="578">
        <f t="shared" si="45"/>
        <v>0</v>
      </c>
      <c r="V218" s="579"/>
      <c r="W218" s="566"/>
      <c r="X218" s="586" t="str">
        <f t="shared" si="47"/>
        <v/>
      </c>
      <c r="Y218" s="586" t="str">
        <f t="shared" si="56"/>
        <v/>
      </c>
      <c r="Z218" s="586" t="str">
        <f t="shared" si="39"/>
        <v/>
      </c>
    </row>
    <row r="219" spans="1:26" ht="12" hidden="1" thickBot="1" x14ac:dyDescent="0.25">
      <c r="A219" s="652" t="s">
        <v>187</v>
      </c>
      <c r="B219" s="572" t="s">
        <v>187</v>
      </c>
      <c r="C219" s="573" t="s">
        <v>187</v>
      </c>
      <c r="D219" s="580"/>
      <c r="E219" s="575"/>
      <c r="F219" s="436"/>
      <c r="G219" s="431"/>
      <c r="H219" s="430"/>
      <c r="I219" s="432"/>
      <c r="J219" s="433"/>
      <c r="K219" s="437">
        <f t="shared" si="55"/>
        <v>0</v>
      </c>
      <c r="L219" s="452" t="s">
        <v>614</v>
      </c>
      <c r="M219" s="576"/>
      <c r="N219" s="576">
        <f t="shared" si="57"/>
        <v>0</v>
      </c>
      <c r="O219" s="577">
        <f t="shared" si="41"/>
        <v>0</v>
      </c>
      <c r="P219" s="578">
        <f t="shared" si="42"/>
        <v>0</v>
      </c>
      <c r="Q219" s="765"/>
      <c r="R219" s="576">
        <f t="shared" si="43"/>
        <v>0</v>
      </c>
      <c r="S219" s="576">
        <f t="shared" si="43"/>
        <v>0</v>
      </c>
      <c r="T219" s="577">
        <f t="shared" si="44"/>
        <v>0</v>
      </c>
      <c r="U219" s="578">
        <f t="shared" si="45"/>
        <v>0</v>
      </c>
      <c r="V219" s="579"/>
      <c r="W219" s="566"/>
      <c r="X219" s="586" t="str">
        <f t="shared" si="47"/>
        <v/>
      </c>
      <c r="Y219" s="586" t="str">
        <f t="shared" si="56"/>
        <v/>
      </c>
      <c r="Z219" s="586" t="str">
        <f t="shared" si="39"/>
        <v/>
      </c>
    </row>
    <row r="220" spans="1:26" ht="12" hidden="1" thickBot="1" x14ac:dyDescent="0.25">
      <c r="A220" s="652" t="s">
        <v>187</v>
      </c>
      <c r="B220" s="572" t="s">
        <v>187</v>
      </c>
      <c r="C220" s="573" t="s">
        <v>187</v>
      </c>
      <c r="D220" s="580"/>
      <c r="E220" s="575"/>
      <c r="F220" s="436"/>
      <c r="G220" s="431"/>
      <c r="H220" s="430"/>
      <c r="I220" s="432"/>
      <c r="J220" s="433"/>
      <c r="K220" s="437">
        <f t="shared" si="55"/>
        <v>0</v>
      </c>
      <c r="L220" s="452" t="s">
        <v>614</v>
      </c>
      <c r="M220" s="576"/>
      <c r="N220" s="576">
        <f t="shared" si="57"/>
        <v>0</v>
      </c>
      <c r="O220" s="577">
        <f t="shared" si="41"/>
        <v>0</v>
      </c>
      <c r="P220" s="578">
        <f t="shared" si="42"/>
        <v>0</v>
      </c>
      <c r="Q220" s="765"/>
      <c r="R220" s="576">
        <f t="shared" si="43"/>
        <v>0</v>
      </c>
      <c r="S220" s="576">
        <f t="shared" si="43"/>
        <v>0</v>
      </c>
      <c r="T220" s="577">
        <f t="shared" si="44"/>
        <v>0</v>
      </c>
      <c r="U220" s="578">
        <f t="shared" si="45"/>
        <v>0</v>
      </c>
      <c r="V220" s="579"/>
      <c r="W220" s="566"/>
      <c r="X220" s="586" t="str">
        <f t="shared" si="47"/>
        <v/>
      </c>
      <c r="Y220" s="586" t="str">
        <f t="shared" si="56"/>
        <v/>
      </c>
      <c r="Z220" s="586" t="str">
        <f t="shared" si="39"/>
        <v/>
      </c>
    </row>
    <row r="221" spans="1:26" ht="12" hidden="1" thickBot="1" x14ac:dyDescent="0.25">
      <c r="A221" s="652" t="s">
        <v>187</v>
      </c>
      <c r="B221" s="572" t="s">
        <v>187</v>
      </c>
      <c r="C221" s="573" t="s">
        <v>187</v>
      </c>
      <c r="D221" s="580"/>
      <c r="E221" s="575"/>
      <c r="F221" s="436"/>
      <c r="G221" s="431"/>
      <c r="H221" s="430"/>
      <c r="I221" s="432"/>
      <c r="J221" s="433"/>
      <c r="K221" s="437">
        <f t="shared" si="55"/>
        <v>0</v>
      </c>
      <c r="L221" s="452" t="s">
        <v>614</v>
      </c>
      <c r="M221" s="576"/>
      <c r="N221" s="576">
        <f t="shared" si="57"/>
        <v>0</v>
      </c>
      <c r="O221" s="577">
        <f t="shared" si="41"/>
        <v>0</v>
      </c>
      <c r="P221" s="578">
        <f t="shared" si="42"/>
        <v>0</v>
      </c>
      <c r="Q221" s="765"/>
      <c r="R221" s="576">
        <f t="shared" si="43"/>
        <v>0</v>
      </c>
      <c r="S221" s="576">
        <f t="shared" si="43"/>
        <v>0</v>
      </c>
      <c r="T221" s="577">
        <f t="shared" si="44"/>
        <v>0</v>
      </c>
      <c r="U221" s="578">
        <f t="shared" si="45"/>
        <v>0</v>
      </c>
      <c r="V221" s="579"/>
      <c r="W221" s="566"/>
      <c r="X221" s="586" t="str">
        <f t="shared" si="47"/>
        <v/>
      </c>
      <c r="Y221" s="586" t="str">
        <f t="shared" si="56"/>
        <v/>
      </c>
      <c r="Z221" s="586" t="str">
        <f t="shared" ref="Z221:Z284" si="58">IF(W221="X","x",IF(U221&gt;0,"x",""))</f>
        <v/>
      </c>
    </row>
    <row r="222" spans="1:26" ht="12" hidden="1" thickBot="1" x14ac:dyDescent="0.25">
      <c r="A222" s="652" t="s">
        <v>187</v>
      </c>
      <c r="B222" s="572" t="s">
        <v>187</v>
      </c>
      <c r="C222" s="573" t="s">
        <v>187</v>
      </c>
      <c r="D222" s="580"/>
      <c r="E222" s="575"/>
      <c r="F222" s="436"/>
      <c r="G222" s="431"/>
      <c r="H222" s="430"/>
      <c r="I222" s="432"/>
      <c r="J222" s="433"/>
      <c r="K222" s="437">
        <f t="shared" si="55"/>
        <v>0</v>
      </c>
      <c r="L222" s="452" t="s">
        <v>614</v>
      </c>
      <c r="M222" s="576"/>
      <c r="N222" s="576">
        <f t="shared" si="57"/>
        <v>0</v>
      </c>
      <c r="O222" s="577">
        <f t="shared" si="41"/>
        <v>0</v>
      </c>
      <c r="P222" s="578">
        <f t="shared" si="42"/>
        <v>0</v>
      </c>
      <c r="Q222" s="765"/>
      <c r="R222" s="576">
        <f t="shared" si="43"/>
        <v>0</v>
      </c>
      <c r="S222" s="576">
        <f t="shared" si="43"/>
        <v>0</v>
      </c>
      <c r="T222" s="577">
        <f t="shared" si="44"/>
        <v>0</v>
      </c>
      <c r="U222" s="578">
        <f t="shared" si="45"/>
        <v>0</v>
      </c>
      <c r="V222" s="579"/>
      <c r="W222" s="566"/>
      <c r="X222" s="586" t="str">
        <f t="shared" si="47"/>
        <v/>
      </c>
      <c r="Y222" s="586" t="str">
        <f t="shared" si="56"/>
        <v/>
      </c>
      <c r="Z222" s="586" t="str">
        <f t="shared" si="58"/>
        <v/>
      </c>
    </row>
    <row r="223" spans="1:26" ht="12" hidden="1" thickBot="1" x14ac:dyDescent="0.25">
      <c r="A223" s="652" t="s">
        <v>187</v>
      </c>
      <c r="B223" s="572" t="s">
        <v>187</v>
      </c>
      <c r="C223" s="573" t="s">
        <v>187</v>
      </c>
      <c r="D223" s="580"/>
      <c r="E223" s="575"/>
      <c r="F223" s="436"/>
      <c r="G223" s="431"/>
      <c r="H223" s="430"/>
      <c r="I223" s="432"/>
      <c r="J223" s="433"/>
      <c r="K223" s="437">
        <f t="shared" si="55"/>
        <v>0</v>
      </c>
      <c r="L223" s="452" t="s">
        <v>614</v>
      </c>
      <c r="M223" s="576"/>
      <c r="N223" s="576">
        <f t="shared" si="57"/>
        <v>0</v>
      </c>
      <c r="O223" s="577">
        <f t="shared" si="41"/>
        <v>0</v>
      </c>
      <c r="P223" s="578">
        <f t="shared" si="42"/>
        <v>0</v>
      </c>
      <c r="Q223" s="765"/>
      <c r="R223" s="576">
        <f t="shared" si="43"/>
        <v>0</v>
      </c>
      <c r="S223" s="576">
        <f t="shared" si="43"/>
        <v>0</v>
      </c>
      <c r="T223" s="577">
        <f t="shared" si="44"/>
        <v>0</v>
      </c>
      <c r="U223" s="578">
        <f t="shared" si="45"/>
        <v>0</v>
      </c>
      <c r="V223" s="579"/>
      <c r="W223" s="566"/>
      <c r="X223" s="586" t="str">
        <f t="shared" si="47"/>
        <v/>
      </c>
      <c r="Y223" s="586" t="str">
        <f t="shared" si="56"/>
        <v/>
      </c>
      <c r="Z223" s="586" t="str">
        <f t="shared" si="58"/>
        <v/>
      </c>
    </row>
    <row r="224" spans="1:26" ht="12" hidden="1" thickBot="1" x14ac:dyDescent="0.25">
      <c r="A224" s="652" t="s">
        <v>187</v>
      </c>
      <c r="B224" s="572" t="s">
        <v>187</v>
      </c>
      <c r="C224" s="573" t="s">
        <v>187</v>
      </c>
      <c r="D224" s="580"/>
      <c r="E224" s="575"/>
      <c r="F224" s="436"/>
      <c r="G224" s="431"/>
      <c r="H224" s="430"/>
      <c r="I224" s="432"/>
      <c r="J224" s="433"/>
      <c r="K224" s="437">
        <f t="shared" si="55"/>
        <v>0</v>
      </c>
      <c r="L224" s="452" t="s">
        <v>614</v>
      </c>
      <c r="M224" s="576"/>
      <c r="N224" s="576">
        <f t="shared" si="57"/>
        <v>0</v>
      </c>
      <c r="O224" s="577">
        <f t="shared" ref="O224:O287" si="59">IF(ISBLANK(M224),0,ROUND(K224*M224,2))</f>
        <v>0</v>
      </c>
      <c r="P224" s="578">
        <f t="shared" ref="P224:P287" si="60">IF(ISBLANK(N224),0,ROUND(M224*N224,2))</f>
        <v>0</v>
      </c>
      <c r="Q224" s="765"/>
      <c r="R224" s="576">
        <f>M224</f>
        <v>0</v>
      </c>
      <c r="S224" s="576">
        <f t="shared" ref="S224:S284" si="61">N224</f>
        <v>0</v>
      </c>
      <c r="T224" s="577">
        <f t="shared" ref="T224:T287" si="62">IF(ISBLANK(R224),0,ROUND(K224*R224,2))</f>
        <v>0</v>
      </c>
      <c r="U224" s="578">
        <f t="shared" ref="U224:U287" si="63">IF(ISBLANK(R224),0,ROUND(R224*S224,2))</f>
        <v>0</v>
      </c>
      <c r="V224" s="579"/>
      <c r="W224" s="566"/>
      <c r="X224" s="586" t="str">
        <f t="shared" si="47"/>
        <v/>
      </c>
      <c r="Y224" s="586" t="str">
        <f t="shared" si="56"/>
        <v/>
      </c>
      <c r="Z224" s="586" t="str">
        <f t="shared" si="58"/>
        <v/>
      </c>
    </row>
    <row r="225" spans="1:26" ht="12" hidden="1" thickBot="1" x14ac:dyDescent="0.25">
      <c r="A225" s="652" t="s">
        <v>187</v>
      </c>
      <c r="B225" s="572" t="s">
        <v>187</v>
      </c>
      <c r="C225" s="573" t="s">
        <v>187</v>
      </c>
      <c r="D225" s="580"/>
      <c r="E225" s="575"/>
      <c r="F225" s="436"/>
      <c r="G225" s="431"/>
      <c r="H225" s="430"/>
      <c r="I225" s="432"/>
      <c r="J225" s="433"/>
      <c r="K225" s="437">
        <f t="shared" si="55"/>
        <v>0</v>
      </c>
      <c r="L225" s="452" t="s">
        <v>614</v>
      </c>
      <c r="M225" s="576"/>
      <c r="N225" s="576">
        <f t="shared" si="57"/>
        <v>0</v>
      </c>
      <c r="O225" s="577">
        <f t="shared" si="59"/>
        <v>0</v>
      </c>
      <c r="P225" s="578">
        <f t="shared" si="60"/>
        <v>0</v>
      </c>
      <c r="Q225" s="765"/>
      <c r="R225" s="576">
        <f>M225</f>
        <v>0</v>
      </c>
      <c r="S225" s="576">
        <f t="shared" si="61"/>
        <v>0</v>
      </c>
      <c r="T225" s="577">
        <f t="shared" si="62"/>
        <v>0</v>
      </c>
      <c r="U225" s="578">
        <f t="shared" si="63"/>
        <v>0</v>
      </c>
      <c r="V225" s="579"/>
      <c r="W225" s="566"/>
      <c r="X225" s="586" t="str">
        <f t="shared" si="47"/>
        <v/>
      </c>
      <c r="Y225" s="586" t="str">
        <f t="shared" si="56"/>
        <v/>
      </c>
      <c r="Z225" s="586" t="str">
        <f t="shared" si="58"/>
        <v/>
      </c>
    </row>
    <row r="226" spans="1:26" ht="12" hidden="1" thickBot="1" x14ac:dyDescent="0.25">
      <c r="A226" s="652" t="s">
        <v>187</v>
      </c>
      <c r="B226" s="581" t="s">
        <v>187</v>
      </c>
      <c r="C226" s="582" t="s">
        <v>187</v>
      </c>
      <c r="D226" s="583"/>
      <c r="E226" s="584"/>
      <c r="F226" s="438"/>
      <c r="G226" s="439"/>
      <c r="H226" s="440"/>
      <c r="I226" s="441"/>
      <c r="J226" s="442"/>
      <c r="K226" s="443">
        <f t="shared" si="55"/>
        <v>0</v>
      </c>
      <c r="L226" s="453" t="s">
        <v>614</v>
      </c>
      <c r="M226" s="576"/>
      <c r="N226" s="576">
        <f t="shared" si="57"/>
        <v>0</v>
      </c>
      <c r="O226" s="585">
        <f t="shared" si="59"/>
        <v>0</v>
      </c>
      <c r="P226" s="660">
        <f t="shared" si="60"/>
        <v>0</v>
      </c>
      <c r="Q226" s="765"/>
      <c r="R226" s="576">
        <f>M226</f>
        <v>0</v>
      </c>
      <c r="S226" s="576">
        <f t="shared" si="61"/>
        <v>0</v>
      </c>
      <c r="T226" s="585">
        <f t="shared" si="62"/>
        <v>0</v>
      </c>
      <c r="U226" s="660">
        <f t="shared" si="63"/>
        <v>0</v>
      </c>
      <c r="V226" s="579"/>
      <c r="W226" s="566"/>
      <c r="X226" s="586" t="str">
        <f t="shared" ref="X226:X289" si="64">IF(W226="X","x",IF(W226="xx","x",IF(W226="xy","x",IF(W226="y","x",IF(OR(P226&gt;0,U226&gt;0),"x","")))))</f>
        <v/>
      </c>
      <c r="Y226" s="586" t="str">
        <f t="shared" si="56"/>
        <v/>
      </c>
      <c r="Z226" s="586" t="str">
        <f t="shared" si="58"/>
        <v/>
      </c>
    </row>
    <row r="227" spans="1:26" ht="12" thickBot="1" x14ac:dyDescent="0.25">
      <c r="A227" s="567" t="s">
        <v>225</v>
      </c>
      <c r="B227" s="664" t="s">
        <v>225</v>
      </c>
      <c r="C227" s="665"/>
      <c r="D227" s="666" t="s">
        <v>460</v>
      </c>
      <c r="E227" s="631"/>
      <c r="F227" s="632"/>
      <c r="G227" s="633"/>
      <c r="H227" s="634"/>
      <c r="I227" s="409"/>
      <c r="J227" s="409"/>
      <c r="K227" s="409"/>
      <c r="L227" s="674" t="s">
        <v>614</v>
      </c>
      <c r="M227" s="634"/>
      <c r="N227" s="797"/>
      <c r="O227" s="409">
        <f t="shared" si="59"/>
        <v>0</v>
      </c>
      <c r="P227" s="635">
        <f t="shared" si="60"/>
        <v>0</v>
      </c>
      <c r="Q227" s="635">
        <f>SUM(P228:P527)</f>
        <v>121429.54999999999</v>
      </c>
      <c r="R227" s="634"/>
      <c r="S227" s="409"/>
      <c r="T227" s="409">
        <f t="shared" si="62"/>
        <v>0</v>
      </c>
      <c r="U227" s="635">
        <f t="shared" si="63"/>
        <v>0</v>
      </c>
      <c r="V227" s="636">
        <f>SUM(U228:U527)</f>
        <v>121429.54999999999</v>
      </c>
      <c r="W227" s="637" t="str">
        <f>IF(OR(Q227&gt;0,V227&gt;0),"X","")</f>
        <v>X</v>
      </c>
      <c r="X227" s="586" t="str">
        <f t="shared" si="64"/>
        <v>x</v>
      </c>
      <c r="Y227" s="586" t="str">
        <f t="shared" si="56"/>
        <v>x</v>
      </c>
      <c r="Z227" s="586" t="str">
        <f t="shared" si="58"/>
        <v>x</v>
      </c>
    </row>
    <row r="228" spans="1:26" ht="12" thickBot="1" x14ac:dyDescent="0.25">
      <c r="A228" s="567" t="s">
        <v>1743</v>
      </c>
      <c r="B228" s="454" t="s">
        <v>1743</v>
      </c>
      <c r="C228" s="455" t="s">
        <v>484</v>
      </c>
      <c r="D228" s="456" t="s">
        <v>237</v>
      </c>
      <c r="E228" s="457"/>
      <c r="F228" s="458"/>
      <c r="G228" s="459"/>
      <c r="H228" s="675"/>
      <c r="I228" s="460">
        <v>0.5</v>
      </c>
      <c r="J228" s="460">
        <f>IF(ISBLANK(I228),"",SUM(H228:I228))</f>
        <v>0.5</v>
      </c>
      <c r="K228" s="676">
        <f t="shared" ref="K228:K249" si="65">IF(ISBLANK(I228),0,ROUND(J228*(1+$F$10)*(1+$F$11*E228),2))</f>
        <v>0.59</v>
      </c>
      <c r="L228" s="677" t="s">
        <v>18</v>
      </c>
      <c r="M228" s="678">
        <v>1305.5999999999999</v>
      </c>
      <c r="N228" s="798">
        <f t="shared" si="57"/>
        <v>0.59</v>
      </c>
      <c r="O228" s="679">
        <f t="shared" si="59"/>
        <v>770.3</v>
      </c>
      <c r="P228" s="680">
        <f t="shared" si="60"/>
        <v>770.3</v>
      </c>
      <c r="Q228" s="765"/>
      <c r="R228" s="576">
        <f>M228</f>
        <v>1305.5999999999999</v>
      </c>
      <c r="S228" s="576">
        <f t="shared" si="61"/>
        <v>0.59</v>
      </c>
      <c r="T228" s="577">
        <f t="shared" si="62"/>
        <v>770.3</v>
      </c>
      <c r="U228" s="578">
        <f t="shared" si="63"/>
        <v>770.3</v>
      </c>
      <c r="V228" s="579"/>
      <c r="W228" s="566"/>
      <c r="X228" s="586" t="str">
        <f t="shared" si="64"/>
        <v>x</v>
      </c>
      <c r="Y228" s="586" t="str">
        <f t="shared" si="56"/>
        <v>x</v>
      </c>
      <c r="Z228" s="586" t="str">
        <f t="shared" si="58"/>
        <v>x</v>
      </c>
    </row>
    <row r="229" spans="1:26" ht="12" hidden="1" thickBot="1" x14ac:dyDescent="0.25">
      <c r="A229" s="567">
        <v>560100</v>
      </c>
      <c r="B229" s="461" t="s">
        <v>1744</v>
      </c>
      <c r="C229" s="462" t="s">
        <v>206</v>
      </c>
      <c r="D229" s="463" t="s">
        <v>1573</v>
      </c>
      <c r="E229" s="464"/>
      <c r="F229" s="465" t="s">
        <v>667</v>
      </c>
      <c r="G229" s="466">
        <v>1.1999999999999999E-3</v>
      </c>
      <c r="H229" s="681"/>
      <c r="I229" s="467">
        <v>0.5</v>
      </c>
      <c r="J229" s="467">
        <f>I229</f>
        <v>0.5</v>
      </c>
      <c r="K229" s="682">
        <f t="shared" si="65"/>
        <v>0.59</v>
      </c>
      <c r="L229" s="683" t="s">
        <v>18</v>
      </c>
      <c r="M229" s="684"/>
      <c r="N229" s="576">
        <f t="shared" si="57"/>
        <v>0</v>
      </c>
      <c r="O229" s="642">
        <f t="shared" si="59"/>
        <v>0</v>
      </c>
      <c r="P229" s="659">
        <f t="shared" si="60"/>
        <v>0</v>
      </c>
      <c r="Q229" s="765"/>
      <c r="R229" s="685">
        <f>M229</f>
        <v>0</v>
      </c>
      <c r="S229" s="686">
        <f t="shared" si="61"/>
        <v>0</v>
      </c>
      <c r="T229" s="687">
        <f t="shared" si="62"/>
        <v>0</v>
      </c>
      <c r="U229" s="688">
        <f t="shared" si="63"/>
        <v>0</v>
      </c>
      <c r="V229" s="579"/>
      <c r="W229" s="566"/>
      <c r="X229" s="586" t="str">
        <f t="shared" si="64"/>
        <v/>
      </c>
      <c r="Y229" s="586" t="str">
        <f t="shared" si="56"/>
        <v/>
      </c>
      <c r="Z229" s="586" t="str">
        <f t="shared" si="58"/>
        <v/>
      </c>
    </row>
    <row r="230" spans="1:26" ht="12" hidden="1" thickBot="1" x14ac:dyDescent="0.25">
      <c r="A230" s="567">
        <v>589420</v>
      </c>
      <c r="B230" s="468" t="s">
        <v>1745</v>
      </c>
      <c r="C230" s="689" t="s">
        <v>1746</v>
      </c>
      <c r="D230" s="469" t="s">
        <v>745</v>
      </c>
      <c r="E230" s="470"/>
      <c r="F230" s="471">
        <v>500</v>
      </c>
      <c r="G230" s="785">
        <v>1</v>
      </c>
      <c r="H230" s="663">
        <f>(0.84*F230+41.45)*G230</f>
        <v>461.45</v>
      </c>
      <c r="I230" s="472">
        <v>3820</v>
      </c>
      <c r="J230" s="472">
        <f>IF(ISBLANK(I230),"",I230*(1+$F$9)/(1+$F$10))+H230</f>
        <v>4167.952819627978</v>
      </c>
      <c r="K230" s="690">
        <f t="shared" si="65"/>
        <v>4951.9399999999996</v>
      </c>
      <c r="L230" s="691" t="s">
        <v>20</v>
      </c>
      <c r="M230" s="692">
        <f>ROUND(M229*G229,2)</f>
        <v>0</v>
      </c>
      <c r="N230" s="799">
        <f t="shared" si="57"/>
        <v>0</v>
      </c>
      <c r="O230" s="693">
        <f t="shared" si="59"/>
        <v>0</v>
      </c>
      <c r="P230" s="694">
        <f t="shared" si="60"/>
        <v>0</v>
      </c>
      <c r="Q230" s="765"/>
      <c r="R230" s="695">
        <f>ROUND(R229*G229,2)</f>
        <v>0</v>
      </c>
      <c r="S230" s="696">
        <f t="shared" si="61"/>
        <v>0</v>
      </c>
      <c r="T230" s="693">
        <f t="shared" si="62"/>
        <v>0</v>
      </c>
      <c r="U230" s="694">
        <f t="shared" si="63"/>
        <v>0</v>
      </c>
      <c r="V230" s="579"/>
      <c r="W230" s="566"/>
      <c r="X230" s="586" t="str">
        <f>IF(W230="X","x",IF(W230="xx","x",IF(W230="xy","x",IF(W230="y","x",IF(OR(P230&gt;0,U230&gt;0),"x","")))))</f>
        <v/>
      </c>
      <c r="Y230" s="586" t="str">
        <f>IF(W230="X","x",IF(W230="y","x",IF(W230="xx","x",IF(U230&gt;0,"x",""))))</f>
        <v/>
      </c>
      <c r="Z230" s="586" t="str">
        <f>IF(W230="X","x",IF(U230&gt;0,"x",""))</f>
        <v/>
      </c>
    </row>
    <row r="231" spans="1:26" ht="12" hidden="1" thickBot="1" x14ac:dyDescent="0.25">
      <c r="A231" s="567">
        <v>560100</v>
      </c>
      <c r="B231" s="461" t="s">
        <v>1747</v>
      </c>
      <c r="C231" s="462" t="s">
        <v>206</v>
      </c>
      <c r="D231" s="463" t="s">
        <v>646</v>
      </c>
      <c r="E231" s="464"/>
      <c r="F231" s="465" t="s">
        <v>667</v>
      </c>
      <c r="G231" s="466">
        <v>1.1000000000000001E-3</v>
      </c>
      <c r="H231" s="681"/>
      <c r="I231" s="467">
        <v>0.5</v>
      </c>
      <c r="J231" s="467">
        <f>IF(ISBLANK(I231),"",SUM(H231:I231))</f>
        <v>0.5</v>
      </c>
      <c r="K231" s="682">
        <f t="shared" si="65"/>
        <v>0.59</v>
      </c>
      <c r="L231" s="683" t="s">
        <v>18</v>
      </c>
      <c r="M231" s="684"/>
      <c r="N231" s="576">
        <f t="shared" si="57"/>
        <v>0</v>
      </c>
      <c r="O231" s="642">
        <f t="shared" si="59"/>
        <v>0</v>
      </c>
      <c r="P231" s="659">
        <f t="shared" si="60"/>
        <v>0</v>
      </c>
      <c r="Q231" s="765"/>
      <c r="R231" s="685">
        <f>M231</f>
        <v>0</v>
      </c>
      <c r="S231" s="686">
        <f t="shared" si="61"/>
        <v>0</v>
      </c>
      <c r="T231" s="687">
        <f t="shared" si="62"/>
        <v>0</v>
      </c>
      <c r="U231" s="688">
        <f t="shared" si="63"/>
        <v>0</v>
      </c>
      <c r="V231" s="579"/>
      <c r="W231" s="566"/>
      <c r="X231" s="586" t="str">
        <f t="shared" si="64"/>
        <v/>
      </c>
      <c r="Y231" s="586" t="str">
        <f t="shared" si="56"/>
        <v/>
      </c>
      <c r="Z231" s="586" t="str">
        <f t="shared" si="58"/>
        <v/>
      </c>
    </row>
    <row r="232" spans="1:26" ht="12" hidden="1" thickBot="1" x14ac:dyDescent="0.25">
      <c r="A232" s="567">
        <v>589190</v>
      </c>
      <c r="B232" s="468" t="s">
        <v>1748</v>
      </c>
      <c r="C232" s="689" t="s">
        <v>1746</v>
      </c>
      <c r="D232" s="469" t="s">
        <v>746</v>
      </c>
      <c r="E232" s="470"/>
      <c r="F232" s="471">
        <v>500</v>
      </c>
      <c r="G232" s="785">
        <v>1</v>
      </c>
      <c r="H232" s="663">
        <f>(0.84*F232+41.45)*G232</f>
        <v>461.45</v>
      </c>
      <c r="I232" s="472">
        <v>4040</v>
      </c>
      <c r="J232" s="472">
        <f>IF(ISBLANK(I232),"",I232*(1+$F$9)/(1+$F$10))+H232</f>
        <v>4381.4163328002696</v>
      </c>
      <c r="K232" s="690">
        <f t="shared" si="65"/>
        <v>5205.5600000000004</v>
      </c>
      <c r="L232" s="691" t="s">
        <v>20</v>
      </c>
      <c r="M232" s="692">
        <f>ROUND(M231*G231,2)</f>
        <v>0</v>
      </c>
      <c r="N232" s="799">
        <f t="shared" si="57"/>
        <v>0</v>
      </c>
      <c r="O232" s="693">
        <f t="shared" si="59"/>
        <v>0</v>
      </c>
      <c r="P232" s="694">
        <f t="shared" si="60"/>
        <v>0</v>
      </c>
      <c r="Q232" s="765"/>
      <c r="R232" s="695">
        <f>ROUND(R231*G231,2)</f>
        <v>0</v>
      </c>
      <c r="S232" s="696">
        <f t="shared" si="61"/>
        <v>0</v>
      </c>
      <c r="T232" s="693">
        <f t="shared" si="62"/>
        <v>0</v>
      </c>
      <c r="U232" s="694">
        <f t="shared" si="63"/>
        <v>0</v>
      </c>
      <c r="V232" s="579"/>
      <c r="W232" s="566"/>
      <c r="X232" s="586" t="str">
        <f t="shared" si="64"/>
        <v/>
      </c>
      <c r="Y232" s="586" t="str">
        <f t="shared" si="56"/>
        <v/>
      </c>
      <c r="Z232" s="586" t="str">
        <f t="shared" si="58"/>
        <v/>
      </c>
    </row>
    <row r="233" spans="1:26" ht="12" hidden="1" thickBot="1" x14ac:dyDescent="0.25">
      <c r="A233" s="567">
        <v>560400</v>
      </c>
      <c r="B233" s="461" t="s">
        <v>1749</v>
      </c>
      <c r="C233" s="462" t="s">
        <v>206</v>
      </c>
      <c r="D233" s="463" t="s">
        <v>647</v>
      </c>
      <c r="E233" s="464"/>
      <c r="F233" s="465" t="s">
        <v>667</v>
      </c>
      <c r="G233" s="466">
        <v>1.1999999999999999E-3</v>
      </c>
      <c r="H233" s="681"/>
      <c r="I233" s="467">
        <v>0.5</v>
      </c>
      <c r="J233" s="467">
        <f>IF(ISBLANK(I233),"",SUM(H233:I233))</f>
        <v>0.5</v>
      </c>
      <c r="K233" s="682">
        <f t="shared" si="65"/>
        <v>0.59</v>
      </c>
      <c r="L233" s="683" t="s">
        <v>18</v>
      </c>
      <c r="M233" s="684"/>
      <c r="N233" s="576">
        <f t="shared" si="57"/>
        <v>0</v>
      </c>
      <c r="O233" s="642">
        <f t="shared" si="59"/>
        <v>0</v>
      </c>
      <c r="P233" s="659">
        <f t="shared" si="60"/>
        <v>0</v>
      </c>
      <c r="Q233" s="765"/>
      <c r="R233" s="685">
        <f>M233</f>
        <v>0</v>
      </c>
      <c r="S233" s="686">
        <f t="shared" si="61"/>
        <v>0</v>
      </c>
      <c r="T233" s="687">
        <f t="shared" si="62"/>
        <v>0</v>
      </c>
      <c r="U233" s="688">
        <f t="shared" si="63"/>
        <v>0</v>
      </c>
      <c r="V233" s="579"/>
      <c r="W233" s="566"/>
      <c r="X233" s="586" t="str">
        <f t="shared" si="64"/>
        <v/>
      </c>
      <c r="Y233" s="586" t="str">
        <f t="shared" si="56"/>
        <v/>
      </c>
      <c r="Z233" s="586" t="str">
        <f t="shared" si="58"/>
        <v/>
      </c>
    </row>
    <row r="234" spans="1:26" ht="12" hidden="1" thickBot="1" x14ac:dyDescent="0.25">
      <c r="A234" s="567">
        <v>589100</v>
      </c>
      <c r="B234" s="468" t="s">
        <v>1750</v>
      </c>
      <c r="C234" s="689" t="s">
        <v>1746</v>
      </c>
      <c r="D234" s="469" t="s">
        <v>653</v>
      </c>
      <c r="E234" s="470"/>
      <c r="F234" s="471">
        <v>500</v>
      </c>
      <c r="G234" s="785">
        <v>1</v>
      </c>
      <c r="H234" s="663">
        <f>(0.84*F234+41.45)*G234</f>
        <v>461.45</v>
      </c>
      <c r="I234" s="472">
        <v>6629</v>
      </c>
      <c r="J234" s="472">
        <f>IF(ISBLANK(I234),"",I234*(1+$F$9)/(1+$F$10))+H234</f>
        <v>6893.4937673596505</v>
      </c>
      <c r="K234" s="690">
        <f t="shared" si="65"/>
        <v>8190.16</v>
      </c>
      <c r="L234" s="691" t="s">
        <v>20</v>
      </c>
      <c r="M234" s="692">
        <f>ROUND(M233*G233,2)</f>
        <v>0</v>
      </c>
      <c r="N234" s="799">
        <f t="shared" si="57"/>
        <v>0</v>
      </c>
      <c r="O234" s="693">
        <f t="shared" si="59"/>
        <v>0</v>
      </c>
      <c r="P234" s="694">
        <f t="shared" si="60"/>
        <v>0</v>
      </c>
      <c r="Q234" s="765"/>
      <c r="R234" s="695">
        <f>ROUND(R233*G233,2)</f>
        <v>0</v>
      </c>
      <c r="S234" s="696">
        <f t="shared" si="61"/>
        <v>0</v>
      </c>
      <c r="T234" s="693">
        <f t="shared" si="62"/>
        <v>0</v>
      </c>
      <c r="U234" s="694">
        <f t="shared" si="63"/>
        <v>0</v>
      </c>
      <c r="V234" s="579"/>
      <c r="W234" s="566"/>
      <c r="X234" s="586" t="str">
        <f>IF(W234="X","x",IF(W234="xx","x",IF(W234="xy","x",IF(W234="y","x",IF(OR(P234&gt;0,U234&gt;0),"x","")))))</f>
        <v/>
      </c>
      <c r="Y234" s="586" t="str">
        <f>IF(W234="X","x",IF(W234="y","x",IF(W234="xx","x",IF(U234&gt;0,"x",""))))</f>
        <v/>
      </c>
      <c r="Z234" s="586" t="str">
        <f>IF(W234="X","x",IF(U234&gt;0,"x",""))</f>
        <v/>
      </c>
    </row>
    <row r="235" spans="1:26" x14ac:dyDescent="0.2">
      <c r="A235" s="567">
        <v>561100</v>
      </c>
      <c r="B235" s="461" t="s">
        <v>1751</v>
      </c>
      <c r="C235" s="462" t="s">
        <v>206</v>
      </c>
      <c r="D235" s="463" t="s">
        <v>747</v>
      </c>
      <c r="E235" s="464"/>
      <c r="F235" s="465" t="s">
        <v>667</v>
      </c>
      <c r="G235" s="466">
        <v>5.0000000000000001E-4</v>
      </c>
      <c r="H235" s="681"/>
      <c r="I235" s="467">
        <v>0.34</v>
      </c>
      <c r="J235" s="467">
        <f>IF(ISBLANK(I235),"",SUM(H235:I235))</f>
        <v>0.34</v>
      </c>
      <c r="K235" s="682">
        <f t="shared" si="65"/>
        <v>0.4</v>
      </c>
      <c r="L235" s="683" t="s">
        <v>18</v>
      </c>
      <c r="M235" s="684">
        <v>2611.1999999999998</v>
      </c>
      <c r="N235" s="576">
        <f t="shared" si="57"/>
        <v>0.4</v>
      </c>
      <c r="O235" s="642">
        <f t="shared" si="59"/>
        <v>1044.48</v>
      </c>
      <c r="P235" s="659">
        <f t="shared" si="60"/>
        <v>1044.48</v>
      </c>
      <c r="Q235" s="765"/>
      <c r="R235" s="685">
        <f>M235</f>
        <v>2611.1999999999998</v>
      </c>
      <c r="S235" s="686">
        <f t="shared" si="61"/>
        <v>0.4</v>
      </c>
      <c r="T235" s="687">
        <f t="shared" si="62"/>
        <v>1044.48</v>
      </c>
      <c r="U235" s="688">
        <f t="shared" si="63"/>
        <v>1044.48</v>
      </c>
      <c r="V235" s="579"/>
      <c r="W235" s="566"/>
      <c r="X235" s="586" t="str">
        <f t="shared" si="64"/>
        <v>x</v>
      </c>
      <c r="Y235" s="586" t="str">
        <f t="shared" si="56"/>
        <v>x</v>
      </c>
      <c r="Z235" s="586" t="str">
        <f t="shared" si="58"/>
        <v>x</v>
      </c>
    </row>
    <row r="236" spans="1:26" ht="12" thickBot="1" x14ac:dyDescent="0.25">
      <c r="A236" s="567">
        <v>589420</v>
      </c>
      <c r="B236" s="468" t="s">
        <v>1752</v>
      </c>
      <c r="C236" s="689" t="s">
        <v>1746</v>
      </c>
      <c r="D236" s="469" t="s">
        <v>748</v>
      </c>
      <c r="E236" s="470"/>
      <c r="F236" s="807">
        <v>465</v>
      </c>
      <c r="G236" s="697">
        <v>1</v>
      </c>
      <c r="H236" s="663">
        <f>(0.84*F236+41.45)*G236</f>
        <v>432.04999999999995</v>
      </c>
      <c r="I236" s="472">
        <v>3820</v>
      </c>
      <c r="J236" s="472">
        <f>IF(ISBLANK(I236),"",I236*(1+$F$9)/(1+$F$10))+H236</f>
        <v>4138.5528196279774</v>
      </c>
      <c r="K236" s="690">
        <f t="shared" si="65"/>
        <v>4917.01</v>
      </c>
      <c r="L236" s="691" t="s">
        <v>20</v>
      </c>
      <c r="M236" s="692">
        <f>ROUND(M235*G235,2)</f>
        <v>1.31</v>
      </c>
      <c r="N236" s="799">
        <f t="shared" si="57"/>
        <v>4917.01</v>
      </c>
      <c r="O236" s="693">
        <f t="shared" si="59"/>
        <v>6441.28</v>
      </c>
      <c r="P236" s="694">
        <f t="shared" si="60"/>
        <v>6441.28</v>
      </c>
      <c r="Q236" s="765"/>
      <c r="R236" s="695">
        <f>ROUND(R235*G235,2)</f>
        <v>1.31</v>
      </c>
      <c r="S236" s="696">
        <f t="shared" si="61"/>
        <v>4917.01</v>
      </c>
      <c r="T236" s="693">
        <f t="shared" si="62"/>
        <v>6441.28</v>
      </c>
      <c r="U236" s="694">
        <f t="shared" si="63"/>
        <v>6441.28</v>
      </c>
      <c r="V236" s="579"/>
      <c r="W236" s="566"/>
      <c r="X236" s="586" t="str">
        <f>IF(W236="X","x",IF(W236="xx","x",IF(W236="xy","x",IF(W236="y","x",IF(OR(P236&gt;0,U236&gt;0),"x","")))))</f>
        <v>x</v>
      </c>
      <c r="Y236" s="586" t="str">
        <f>IF(W236="X","x",IF(W236="y","x",IF(W236="xx","x",IF(U236&gt;0,"x",""))))</f>
        <v>x</v>
      </c>
      <c r="Z236" s="586" t="str">
        <f>IF(W236="X","x",IF(U236&gt;0,"x",""))</f>
        <v>x</v>
      </c>
    </row>
    <row r="237" spans="1:26" ht="12" hidden="1" thickBot="1" x14ac:dyDescent="0.25">
      <c r="A237" s="567">
        <v>521450</v>
      </c>
      <c r="B237" s="450" t="s">
        <v>1753</v>
      </c>
      <c r="C237" s="473" t="s">
        <v>206</v>
      </c>
      <c r="D237" s="422" t="s">
        <v>238</v>
      </c>
      <c r="E237" s="423"/>
      <c r="F237" s="424">
        <v>20</v>
      </c>
      <c r="G237" s="413">
        <v>0.3</v>
      </c>
      <c r="H237" s="681">
        <f t="shared" ref="H237:H238" si="66">IF(F237&lt;=30,(1.07*F237+2.68)*G237,((1.07*30+2.68)+1.07*(F237-30))*G237)</f>
        <v>7.2240000000000002</v>
      </c>
      <c r="I237" s="420">
        <v>24.94</v>
      </c>
      <c r="J237" s="420">
        <f t="shared" ref="J237:J253" si="67">IF(ISBLANK(I237),"",SUM(H237:I237))</f>
        <v>32.164000000000001</v>
      </c>
      <c r="K237" s="421">
        <f t="shared" si="65"/>
        <v>38.21</v>
      </c>
      <c r="L237" s="647" t="s">
        <v>18</v>
      </c>
      <c r="M237" s="576"/>
      <c r="N237" s="576">
        <f t="shared" si="57"/>
        <v>0</v>
      </c>
      <c r="O237" s="577">
        <f t="shared" si="59"/>
        <v>0</v>
      </c>
      <c r="P237" s="578">
        <f t="shared" si="60"/>
        <v>0</v>
      </c>
      <c r="Q237" s="765"/>
      <c r="R237" s="576">
        <f t="shared" ref="R237:R255" si="68">M237</f>
        <v>0</v>
      </c>
      <c r="S237" s="576">
        <f t="shared" si="61"/>
        <v>0</v>
      </c>
      <c r="T237" s="577">
        <f t="shared" si="62"/>
        <v>0</v>
      </c>
      <c r="U237" s="578">
        <f t="shared" si="63"/>
        <v>0</v>
      </c>
      <c r="V237" s="579"/>
      <c r="W237" s="566"/>
      <c r="X237" s="586" t="str">
        <f t="shared" si="64"/>
        <v/>
      </c>
      <c r="Y237" s="586" t="str">
        <f t="shared" si="56"/>
        <v/>
      </c>
      <c r="Z237" s="586" t="str">
        <f t="shared" si="58"/>
        <v/>
      </c>
    </row>
    <row r="238" spans="1:26" ht="12" hidden="1" thickBot="1" x14ac:dyDescent="0.25">
      <c r="A238" s="567">
        <v>535200</v>
      </c>
      <c r="B238" s="644" t="s">
        <v>1542</v>
      </c>
      <c r="C238" s="645" t="s">
        <v>206</v>
      </c>
      <c r="D238" s="422" t="s">
        <v>239</v>
      </c>
      <c r="E238" s="423"/>
      <c r="F238" s="424">
        <v>20</v>
      </c>
      <c r="G238" s="419">
        <v>7.6999999999999999E-2</v>
      </c>
      <c r="H238" s="663">
        <f t="shared" si="66"/>
        <v>1.85416</v>
      </c>
      <c r="I238" s="420">
        <v>10.85</v>
      </c>
      <c r="J238" s="420">
        <f t="shared" si="67"/>
        <v>12.70416</v>
      </c>
      <c r="K238" s="421">
        <f t="shared" si="65"/>
        <v>15.09</v>
      </c>
      <c r="L238" s="647" t="s">
        <v>19</v>
      </c>
      <c r="M238" s="576"/>
      <c r="N238" s="576">
        <f t="shared" si="57"/>
        <v>0</v>
      </c>
      <c r="O238" s="577">
        <f t="shared" si="59"/>
        <v>0</v>
      </c>
      <c r="P238" s="578">
        <f t="shared" si="60"/>
        <v>0</v>
      </c>
      <c r="Q238" s="765"/>
      <c r="R238" s="576">
        <f t="shared" si="68"/>
        <v>0</v>
      </c>
      <c r="S238" s="576">
        <f t="shared" si="61"/>
        <v>0</v>
      </c>
      <c r="T238" s="577">
        <f t="shared" si="62"/>
        <v>0</v>
      </c>
      <c r="U238" s="578">
        <f t="shared" si="63"/>
        <v>0</v>
      </c>
      <c r="V238" s="579"/>
      <c r="W238" s="566"/>
      <c r="X238" s="586" t="str">
        <f t="shared" si="64"/>
        <v/>
      </c>
      <c r="Y238" s="586" t="str">
        <f t="shared" si="56"/>
        <v/>
      </c>
      <c r="Z238" s="586" t="str">
        <f t="shared" si="58"/>
        <v/>
      </c>
    </row>
    <row r="239" spans="1:26" ht="12" hidden="1" thickBot="1" x14ac:dyDescent="0.25">
      <c r="A239" s="567">
        <v>521450</v>
      </c>
      <c r="B239" s="644" t="s">
        <v>1543</v>
      </c>
      <c r="C239" s="645" t="s">
        <v>206</v>
      </c>
      <c r="D239" s="422" t="s">
        <v>485</v>
      </c>
      <c r="E239" s="423"/>
      <c r="F239" s="424"/>
      <c r="G239" s="419"/>
      <c r="H239" s="651"/>
      <c r="I239" s="420">
        <v>9.42</v>
      </c>
      <c r="J239" s="420">
        <f t="shared" si="67"/>
        <v>9.42</v>
      </c>
      <c r="K239" s="421">
        <f t="shared" si="65"/>
        <v>11.19</v>
      </c>
      <c r="L239" s="647" t="s">
        <v>18</v>
      </c>
      <c r="M239" s="576"/>
      <c r="N239" s="576">
        <f t="shared" si="57"/>
        <v>0</v>
      </c>
      <c r="O239" s="577">
        <f t="shared" si="59"/>
        <v>0</v>
      </c>
      <c r="P239" s="578">
        <f t="shared" si="60"/>
        <v>0</v>
      </c>
      <c r="Q239" s="765"/>
      <c r="R239" s="576">
        <f t="shared" si="68"/>
        <v>0</v>
      </c>
      <c r="S239" s="576">
        <f t="shared" si="61"/>
        <v>0</v>
      </c>
      <c r="T239" s="577">
        <f t="shared" si="62"/>
        <v>0</v>
      </c>
      <c r="U239" s="578">
        <f t="shared" si="63"/>
        <v>0</v>
      </c>
      <c r="V239" s="579"/>
      <c r="W239" s="566"/>
      <c r="X239" s="586" t="str">
        <f t="shared" si="64"/>
        <v/>
      </c>
      <c r="Y239" s="586" t="str">
        <f t="shared" si="56"/>
        <v/>
      </c>
      <c r="Z239" s="586" t="str">
        <f t="shared" si="58"/>
        <v/>
      </c>
    </row>
    <row r="240" spans="1:26" ht="12" hidden="1" thickBot="1" x14ac:dyDescent="0.25">
      <c r="A240" s="567">
        <v>521450</v>
      </c>
      <c r="B240" s="644" t="s">
        <v>1544</v>
      </c>
      <c r="C240" s="645" t="s">
        <v>206</v>
      </c>
      <c r="D240" s="422" t="s">
        <v>240</v>
      </c>
      <c r="E240" s="423"/>
      <c r="F240" s="424"/>
      <c r="G240" s="419"/>
      <c r="H240" s="651"/>
      <c r="I240" s="420">
        <v>13.188000000000001</v>
      </c>
      <c r="J240" s="420">
        <f t="shared" si="67"/>
        <v>13.188000000000001</v>
      </c>
      <c r="K240" s="421">
        <f t="shared" si="65"/>
        <v>15.67</v>
      </c>
      <c r="L240" s="647" t="s">
        <v>18</v>
      </c>
      <c r="M240" s="576"/>
      <c r="N240" s="576">
        <f t="shared" si="57"/>
        <v>0</v>
      </c>
      <c r="O240" s="577">
        <f t="shared" si="59"/>
        <v>0</v>
      </c>
      <c r="P240" s="578">
        <f t="shared" si="60"/>
        <v>0</v>
      </c>
      <c r="Q240" s="765"/>
      <c r="R240" s="576">
        <f t="shared" si="68"/>
        <v>0</v>
      </c>
      <c r="S240" s="576">
        <f t="shared" si="61"/>
        <v>0</v>
      </c>
      <c r="T240" s="577">
        <f t="shared" si="62"/>
        <v>0</v>
      </c>
      <c r="U240" s="578">
        <f t="shared" si="63"/>
        <v>0</v>
      </c>
      <c r="V240" s="579"/>
      <c r="W240" s="566"/>
      <c r="X240" s="586" t="str">
        <f t="shared" si="64"/>
        <v/>
      </c>
      <c r="Y240" s="586" t="str">
        <f t="shared" si="56"/>
        <v/>
      </c>
      <c r="Z240" s="586" t="str">
        <f t="shared" si="58"/>
        <v/>
      </c>
    </row>
    <row r="241" spans="1:26" ht="12" hidden="1" thickBot="1" x14ac:dyDescent="0.25">
      <c r="A241" s="567">
        <v>535000</v>
      </c>
      <c r="B241" s="644" t="s">
        <v>1754</v>
      </c>
      <c r="C241" s="645" t="s">
        <v>206</v>
      </c>
      <c r="D241" s="422" t="s">
        <v>241</v>
      </c>
      <c r="E241" s="423"/>
      <c r="F241" s="424">
        <v>20</v>
      </c>
      <c r="G241" s="425">
        <v>0.27200000000000002</v>
      </c>
      <c r="H241" s="663">
        <f t="shared" ref="H241:H258" si="69">IF(F241&lt;=30,(1.07*F241+2.68)*G241,((1.07*30+2.68)+1.07*(F241-30))*G241)</f>
        <v>6.5497600000000009</v>
      </c>
      <c r="I241" s="420">
        <v>105.75</v>
      </c>
      <c r="J241" s="420">
        <f t="shared" si="67"/>
        <v>112.29976000000001</v>
      </c>
      <c r="K241" s="421">
        <f t="shared" si="65"/>
        <v>133.41999999999999</v>
      </c>
      <c r="L241" s="647" t="s">
        <v>18</v>
      </c>
      <c r="M241" s="576"/>
      <c r="N241" s="576">
        <f t="shared" si="57"/>
        <v>0</v>
      </c>
      <c r="O241" s="577">
        <f t="shared" si="59"/>
        <v>0</v>
      </c>
      <c r="P241" s="578">
        <f t="shared" si="60"/>
        <v>0</v>
      </c>
      <c r="Q241" s="765"/>
      <c r="R241" s="576">
        <f t="shared" si="68"/>
        <v>0</v>
      </c>
      <c r="S241" s="576">
        <f t="shared" si="61"/>
        <v>0</v>
      </c>
      <c r="T241" s="577">
        <f t="shared" si="62"/>
        <v>0</v>
      </c>
      <c r="U241" s="578">
        <f t="shared" si="63"/>
        <v>0</v>
      </c>
      <c r="V241" s="579"/>
      <c r="W241" s="566"/>
      <c r="X241" s="586" t="str">
        <f t="shared" si="64"/>
        <v/>
      </c>
      <c r="Y241" s="586" t="str">
        <f t="shared" si="56"/>
        <v/>
      </c>
      <c r="Z241" s="586" t="str">
        <f t="shared" si="58"/>
        <v/>
      </c>
    </row>
    <row r="242" spans="1:26" ht="12" hidden="1" thickBot="1" x14ac:dyDescent="0.25">
      <c r="A242" s="567">
        <v>863000</v>
      </c>
      <c r="B242" s="644" t="s">
        <v>1549</v>
      </c>
      <c r="C242" s="645" t="s">
        <v>206</v>
      </c>
      <c r="D242" s="422" t="s">
        <v>242</v>
      </c>
      <c r="E242" s="423"/>
      <c r="F242" s="424">
        <v>20</v>
      </c>
      <c r="G242" s="425">
        <f>2*0.04</f>
        <v>0.08</v>
      </c>
      <c r="H242" s="663">
        <f t="shared" si="69"/>
        <v>1.9264000000000001</v>
      </c>
      <c r="I242" s="420">
        <v>58.207999999999998</v>
      </c>
      <c r="J242" s="420">
        <f t="shared" si="67"/>
        <v>60.134399999999999</v>
      </c>
      <c r="K242" s="421">
        <f t="shared" si="65"/>
        <v>71.45</v>
      </c>
      <c r="L242" s="647" t="s">
        <v>18</v>
      </c>
      <c r="M242" s="576"/>
      <c r="N242" s="576">
        <f t="shared" si="57"/>
        <v>0</v>
      </c>
      <c r="O242" s="577">
        <f t="shared" si="59"/>
        <v>0</v>
      </c>
      <c r="P242" s="578">
        <f t="shared" si="60"/>
        <v>0</v>
      </c>
      <c r="Q242" s="765"/>
      <c r="R242" s="576">
        <f t="shared" si="68"/>
        <v>0</v>
      </c>
      <c r="S242" s="576">
        <f t="shared" si="61"/>
        <v>0</v>
      </c>
      <c r="T242" s="577">
        <f t="shared" si="62"/>
        <v>0</v>
      </c>
      <c r="U242" s="578">
        <f t="shared" si="63"/>
        <v>0</v>
      </c>
      <c r="V242" s="579"/>
      <c r="W242" s="566"/>
      <c r="X242" s="586" t="str">
        <f t="shared" si="64"/>
        <v/>
      </c>
      <c r="Y242" s="586" t="str">
        <f t="shared" si="56"/>
        <v/>
      </c>
      <c r="Z242" s="586" t="str">
        <f t="shared" si="58"/>
        <v/>
      </c>
    </row>
    <row r="243" spans="1:26" ht="12" hidden="1" thickBot="1" x14ac:dyDescent="0.25">
      <c r="A243" s="567">
        <v>863000</v>
      </c>
      <c r="B243" s="644" t="s">
        <v>1550</v>
      </c>
      <c r="C243" s="645" t="s">
        <v>206</v>
      </c>
      <c r="D243" s="422" t="s">
        <v>243</v>
      </c>
      <c r="E243" s="423"/>
      <c r="F243" s="424">
        <v>20</v>
      </c>
      <c r="G243" s="425">
        <f>2*0.05</f>
        <v>0.1</v>
      </c>
      <c r="H243" s="663">
        <f t="shared" si="69"/>
        <v>2.4080000000000004</v>
      </c>
      <c r="I243" s="420">
        <v>65.48</v>
      </c>
      <c r="J243" s="420">
        <f t="shared" si="67"/>
        <v>67.888000000000005</v>
      </c>
      <c r="K243" s="421">
        <f t="shared" si="65"/>
        <v>80.66</v>
      </c>
      <c r="L243" s="647" t="s">
        <v>18</v>
      </c>
      <c r="M243" s="576"/>
      <c r="N243" s="576">
        <f t="shared" si="57"/>
        <v>0</v>
      </c>
      <c r="O243" s="577">
        <f t="shared" si="59"/>
        <v>0</v>
      </c>
      <c r="P243" s="578">
        <f t="shared" si="60"/>
        <v>0</v>
      </c>
      <c r="Q243" s="765"/>
      <c r="R243" s="576">
        <f t="shared" si="68"/>
        <v>0</v>
      </c>
      <c r="S243" s="576">
        <f t="shared" si="61"/>
        <v>0</v>
      </c>
      <c r="T243" s="577">
        <f t="shared" si="62"/>
        <v>0</v>
      </c>
      <c r="U243" s="578">
        <f t="shared" si="63"/>
        <v>0</v>
      </c>
      <c r="V243" s="579"/>
      <c r="W243" s="566"/>
      <c r="X243" s="586" t="str">
        <f t="shared" si="64"/>
        <v/>
      </c>
      <c r="Y243" s="586" t="str">
        <f t="shared" si="56"/>
        <v/>
      </c>
      <c r="Z243" s="586" t="str">
        <f t="shared" si="58"/>
        <v/>
      </c>
    </row>
    <row r="244" spans="1:26" ht="12" hidden="1" thickBot="1" x14ac:dyDescent="0.25">
      <c r="A244" s="567">
        <v>534906</v>
      </c>
      <c r="B244" s="644" t="s">
        <v>1551</v>
      </c>
      <c r="C244" s="645" t="s">
        <v>206</v>
      </c>
      <c r="D244" s="422" t="s">
        <v>244</v>
      </c>
      <c r="E244" s="423"/>
      <c r="F244" s="424">
        <v>20</v>
      </c>
      <c r="G244" s="425">
        <f>2*0.06</f>
        <v>0.12</v>
      </c>
      <c r="H244" s="663">
        <f t="shared" si="69"/>
        <v>2.8896000000000002</v>
      </c>
      <c r="I244" s="420">
        <v>72.759999999999991</v>
      </c>
      <c r="J244" s="420">
        <f t="shared" si="67"/>
        <v>75.649599999999992</v>
      </c>
      <c r="K244" s="421">
        <f t="shared" si="65"/>
        <v>89.88</v>
      </c>
      <c r="L244" s="647" t="s">
        <v>18</v>
      </c>
      <c r="M244" s="576"/>
      <c r="N244" s="576">
        <f t="shared" si="57"/>
        <v>0</v>
      </c>
      <c r="O244" s="577">
        <f t="shared" si="59"/>
        <v>0</v>
      </c>
      <c r="P244" s="578">
        <f t="shared" si="60"/>
        <v>0</v>
      </c>
      <c r="Q244" s="765"/>
      <c r="R244" s="576">
        <f t="shared" si="68"/>
        <v>0</v>
      </c>
      <c r="S244" s="576">
        <f t="shared" si="61"/>
        <v>0</v>
      </c>
      <c r="T244" s="577">
        <f t="shared" si="62"/>
        <v>0</v>
      </c>
      <c r="U244" s="578">
        <f t="shared" si="63"/>
        <v>0</v>
      </c>
      <c r="V244" s="579"/>
      <c r="W244" s="566"/>
      <c r="X244" s="586" t="str">
        <f t="shared" si="64"/>
        <v/>
      </c>
      <c r="Y244" s="586" t="str">
        <f t="shared" si="56"/>
        <v/>
      </c>
      <c r="Z244" s="586" t="str">
        <f t="shared" si="58"/>
        <v/>
      </c>
    </row>
    <row r="245" spans="1:26" ht="12" hidden="1" thickBot="1" x14ac:dyDescent="0.25">
      <c r="A245" s="567">
        <v>534906</v>
      </c>
      <c r="B245" s="644" t="s">
        <v>1552</v>
      </c>
      <c r="C245" s="645" t="s">
        <v>206</v>
      </c>
      <c r="D245" s="422" t="s">
        <v>245</v>
      </c>
      <c r="E245" s="423"/>
      <c r="F245" s="424">
        <v>20</v>
      </c>
      <c r="G245" s="425">
        <f>2*0.07</f>
        <v>0.14000000000000001</v>
      </c>
      <c r="H245" s="663">
        <f t="shared" si="69"/>
        <v>3.3712000000000004</v>
      </c>
      <c r="I245" s="420">
        <v>78.16</v>
      </c>
      <c r="J245" s="420">
        <f t="shared" si="67"/>
        <v>81.531199999999998</v>
      </c>
      <c r="K245" s="421">
        <f t="shared" si="65"/>
        <v>96.87</v>
      </c>
      <c r="L245" s="647" t="s">
        <v>18</v>
      </c>
      <c r="M245" s="576"/>
      <c r="N245" s="576">
        <f t="shared" si="57"/>
        <v>0</v>
      </c>
      <c r="O245" s="577">
        <f t="shared" si="59"/>
        <v>0</v>
      </c>
      <c r="P245" s="578">
        <f t="shared" si="60"/>
        <v>0</v>
      </c>
      <c r="Q245" s="765"/>
      <c r="R245" s="576">
        <f t="shared" si="68"/>
        <v>0</v>
      </c>
      <c r="S245" s="576">
        <f t="shared" si="61"/>
        <v>0</v>
      </c>
      <c r="T245" s="577">
        <f t="shared" si="62"/>
        <v>0</v>
      </c>
      <c r="U245" s="578">
        <f t="shared" si="63"/>
        <v>0</v>
      </c>
      <c r="V245" s="579"/>
      <c r="W245" s="566"/>
      <c r="X245" s="586" t="str">
        <f t="shared" si="64"/>
        <v/>
      </c>
      <c r="Y245" s="586" t="str">
        <f t="shared" si="56"/>
        <v/>
      </c>
      <c r="Z245" s="586" t="str">
        <f t="shared" si="58"/>
        <v/>
      </c>
    </row>
    <row r="246" spans="1:26" ht="12" hidden="1" thickBot="1" x14ac:dyDescent="0.25">
      <c r="A246" s="567">
        <v>534906</v>
      </c>
      <c r="B246" s="644" t="s">
        <v>172</v>
      </c>
      <c r="C246" s="645" t="s">
        <v>206</v>
      </c>
      <c r="D246" s="422" t="s">
        <v>246</v>
      </c>
      <c r="E246" s="423"/>
      <c r="F246" s="424">
        <v>20</v>
      </c>
      <c r="G246" s="425">
        <f>2*0.08</f>
        <v>0.16</v>
      </c>
      <c r="H246" s="663">
        <f t="shared" si="69"/>
        <v>3.8528000000000002</v>
      </c>
      <c r="I246" s="420">
        <v>83.56</v>
      </c>
      <c r="J246" s="420">
        <f t="shared" si="67"/>
        <v>87.412800000000004</v>
      </c>
      <c r="K246" s="421">
        <f t="shared" si="65"/>
        <v>103.86</v>
      </c>
      <c r="L246" s="647" t="s">
        <v>18</v>
      </c>
      <c r="M246" s="576"/>
      <c r="N246" s="576">
        <f t="shared" si="57"/>
        <v>0</v>
      </c>
      <c r="O246" s="577">
        <f t="shared" si="59"/>
        <v>0</v>
      </c>
      <c r="P246" s="578">
        <f t="shared" si="60"/>
        <v>0</v>
      </c>
      <c r="Q246" s="765"/>
      <c r="R246" s="576">
        <f t="shared" si="68"/>
        <v>0</v>
      </c>
      <c r="S246" s="576">
        <f t="shared" si="61"/>
        <v>0</v>
      </c>
      <c r="T246" s="577">
        <f t="shared" si="62"/>
        <v>0</v>
      </c>
      <c r="U246" s="578">
        <f t="shared" si="63"/>
        <v>0</v>
      </c>
      <c r="V246" s="579"/>
      <c r="W246" s="566"/>
      <c r="X246" s="586" t="str">
        <f t="shared" si="64"/>
        <v/>
      </c>
      <c r="Y246" s="586" t="str">
        <f t="shared" si="56"/>
        <v/>
      </c>
      <c r="Z246" s="586" t="str">
        <f t="shared" si="58"/>
        <v/>
      </c>
    </row>
    <row r="247" spans="1:26" ht="12" hidden="1" thickBot="1" x14ac:dyDescent="0.25">
      <c r="A247" s="567">
        <v>534906</v>
      </c>
      <c r="B247" s="644" t="s">
        <v>229</v>
      </c>
      <c r="C247" s="645" t="s">
        <v>206</v>
      </c>
      <c r="D247" s="422" t="s">
        <v>247</v>
      </c>
      <c r="E247" s="423"/>
      <c r="F247" s="424">
        <v>20</v>
      </c>
      <c r="G247" s="425">
        <f>2*0.1</f>
        <v>0.2</v>
      </c>
      <c r="H247" s="663">
        <f t="shared" si="69"/>
        <v>4.8160000000000007</v>
      </c>
      <c r="I247" s="420">
        <v>94.614793103448264</v>
      </c>
      <c r="J247" s="420">
        <f t="shared" si="67"/>
        <v>99.430793103448266</v>
      </c>
      <c r="K247" s="421">
        <f t="shared" si="65"/>
        <v>118.13</v>
      </c>
      <c r="L247" s="647" t="s">
        <v>18</v>
      </c>
      <c r="M247" s="576"/>
      <c r="N247" s="576">
        <f t="shared" si="57"/>
        <v>0</v>
      </c>
      <c r="O247" s="577">
        <f t="shared" si="59"/>
        <v>0</v>
      </c>
      <c r="P247" s="578">
        <f t="shared" si="60"/>
        <v>0</v>
      </c>
      <c r="Q247" s="765"/>
      <c r="R247" s="576">
        <f t="shared" si="68"/>
        <v>0</v>
      </c>
      <c r="S247" s="576">
        <f t="shared" si="61"/>
        <v>0</v>
      </c>
      <c r="T247" s="577">
        <f t="shared" si="62"/>
        <v>0</v>
      </c>
      <c r="U247" s="578">
        <f t="shared" si="63"/>
        <v>0</v>
      </c>
      <c r="V247" s="579"/>
      <c r="W247" s="566"/>
      <c r="X247" s="586" t="str">
        <f t="shared" si="64"/>
        <v/>
      </c>
      <c r="Y247" s="586" t="str">
        <f t="shared" si="56"/>
        <v/>
      </c>
      <c r="Z247" s="586" t="str">
        <f t="shared" si="58"/>
        <v/>
      </c>
    </row>
    <row r="248" spans="1:26" ht="12" hidden="1" thickBot="1" x14ac:dyDescent="0.25">
      <c r="A248" s="567">
        <v>534906</v>
      </c>
      <c r="B248" s="644" t="s">
        <v>230</v>
      </c>
      <c r="C248" s="645" t="s">
        <v>206</v>
      </c>
      <c r="D248" s="422" t="s">
        <v>805</v>
      </c>
      <c r="E248" s="423"/>
      <c r="F248" s="424">
        <v>20</v>
      </c>
      <c r="G248" s="425">
        <v>0.14000000000000001</v>
      </c>
      <c r="H248" s="663">
        <f t="shared" si="69"/>
        <v>3.3712000000000004</v>
      </c>
      <c r="I248" s="420">
        <v>72.759999999999991</v>
      </c>
      <c r="J248" s="420">
        <f t="shared" si="67"/>
        <v>76.131199999999993</v>
      </c>
      <c r="K248" s="421">
        <f t="shared" si="65"/>
        <v>90.45</v>
      </c>
      <c r="L248" s="647" t="s">
        <v>18</v>
      </c>
      <c r="M248" s="576"/>
      <c r="N248" s="576">
        <f t="shared" si="57"/>
        <v>0</v>
      </c>
      <c r="O248" s="577">
        <f t="shared" si="59"/>
        <v>0</v>
      </c>
      <c r="P248" s="578">
        <f t="shared" si="60"/>
        <v>0</v>
      </c>
      <c r="Q248" s="765"/>
      <c r="R248" s="576">
        <f t="shared" si="68"/>
        <v>0</v>
      </c>
      <c r="S248" s="576">
        <f t="shared" si="61"/>
        <v>0</v>
      </c>
      <c r="T248" s="577">
        <f t="shared" si="62"/>
        <v>0</v>
      </c>
      <c r="U248" s="578">
        <f t="shared" si="63"/>
        <v>0</v>
      </c>
      <c r="V248" s="579"/>
      <c r="W248" s="566"/>
      <c r="X248" s="586" t="str">
        <f t="shared" si="64"/>
        <v/>
      </c>
      <c r="Y248" s="586" t="str">
        <f t="shared" si="56"/>
        <v/>
      </c>
      <c r="Z248" s="586" t="str">
        <f t="shared" si="58"/>
        <v/>
      </c>
    </row>
    <row r="249" spans="1:26" ht="12" hidden="1" thickBot="1" x14ac:dyDescent="0.25">
      <c r="A249" s="567">
        <v>534906</v>
      </c>
      <c r="B249" s="644" t="s">
        <v>231</v>
      </c>
      <c r="C249" s="645" t="s">
        <v>206</v>
      </c>
      <c r="D249" s="422" t="s">
        <v>806</v>
      </c>
      <c r="E249" s="423"/>
      <c r="F249" s="424">
        <v>20</v>
      </c>
      <c r="G249" s="425">
        <v>0.14000000000000001</v>
      </c>
      <c r="H249" s="663">
        <f t="shared" si="69"/>
        <v>3.3712000000000004</v>
      </c>
      <c r="I249" s="420">
        <v>80.040000000000006</v>
      </c>
      <c r="J249" s="420">
        <f t="shared" si="67"/>
        <v>83.411200000000008</v>
      </c>
      <c r="K249" s="421">
        <f t="shared" si="65"/>
        <v>99.1</v>
      </c>
      <c r="L249" s="647" t="s">
        <v>18</v>
      </c>
      <c r="M249" s="576"/>
      <c r="N249" s="576">
        <f t="shared" si="57"/>
        <v>0</v>
      </c>
      <c r="O249" s="577">
        <f t="shared" si="59"/>
        <v>0</v>
      </c>
      <c r="P249" s="578">
        <f t="shared" si="60"/>
        <v>0</v>
      </c>
      <c r="Q249" s="765"/>
      <c r="R249" s="576">
        <f t="shared" si="68"/>
        <v>0</v>
      </c>
      <c r="S249" s="576">
        <f t="shared" si="61"/>
        <v>0</v>
      </c>
      <c r="T249" s="577">
        <f t="shared" si="62"/>
        <v>0</v>
      </c>
      <c r="U249" s="578">
        <f t="shared" si="63"/>
        <v>0</v>
      </c>
      <c r="V249" s="579"/>
      <c r="W249" s="566"/>
      <c r="X249" s="586" t="str">
        <f t="shared" si="64"/>
        <v/>
      </c>
      <c r="Y249" s="586" t="str">
        <f t="shared" si="56"/>
        <v/>
      </c>
      <c r="Z249" s="586" t="str">
        <f t="shared" si="58"/>
        <v/>
      </c>
    </row>
    <row r="250" spans="1:26" ht="12" hidden="1" thickBot="1" x14ac:dyDescent="0.25">
      <c r="A250" s="567">
        <v>534908</v>
      </c>
      <c r="B250" s="644" t="s">
        <v>169</v>
      </c>
      <c r="C250" s="645" t="s">
        <v>206</v>
      </c>
      <c r="D250" s="422" t="s">
        <v>807</v>
      </c>
      <c r="E250" s="423"/>
      <c r="F250" s="424">
        <v>20</v>
      </c>
      <c r="G250" s="425">
        <v>0.18</v>
      </c>
      <c r="H250" s="663">
        <f t="shared" si="69"/>
        <v>4.3344000000000005</v>
      </c>
      <c r="I250" s="420">
        <v>83.56</v>
      </c>
      <c r="J250" s="420">
        <f t="shared" si="67"/>
        <v>87.894400000000005</v>
      </c>
      <c r="K250" s="421">
        <f>IF(ISBLANK(I250),0,ROUNDDOWN(J250*(1+$F$10)*(1+$F$11*E250),2))</f>
        <v>104.42</v>
      </c>
      <c r="L250" s="647" t="s">
        <v>18</v>
      </c>
      <c r="M250" s="576"/>
      <c r="N250" s="576">
        <f t="shared" si="57"/>
        <v>0</v>
      </c>
      <c r="O250" s="577">
        <f t="shared" si="59"/>
        <v>0</v>
      </c>
      <c r="P250" s="578">
        <f t="shared" si="60"/>
        <v>0</v>
      </c>
      <c r="Q250" s="765"/>
      <c r="R250" s="576">
        <f t="shared" si="68"/>
        <v>0</v>
      </c>
      <c r="S250" s="576">
        <f t="shared" si="61"/>
        <v>0</v>
      </c>
      <c r="T250" s="577">
        <f t="shared" si="62"/>
        <v>0</v>
      </c>
      <c r="U250" s="578">
        <f t="shared" si="63"/>
        <v>0</v>
      </c>
      <c r="V250" s="579"/>
      <c r="W250" s="566"/>
      <c r="X250" s="586" t="str">
        <f t="shared" si="64"/>
        <v/>
      </c>
      <c r="Y250" s="586" t="str">
        <f t="shared" si="56"/>
        <v/>
      </c>
      <c r="Z250" s="586" t="str">
        <f t="shared" si="58"/>
        <v/>
      </c>
    </row>
    <row r="251" spans="1:26" ht="12" hidden="1" thickBot="1" x14ac:dyDescent="0.25">
      <c r="A251" s="567">
        <v>534908</v>
      </c>
      <c r="B251" s="644" t="s">
        <v>170</v>
      </c>
      <c r="C251" s="645" t="s">
        <v>206</v>
      </c>
      <c r="D251" s="422" t="s">
        <v>808</v>
      </c>
      <c r="E251" s="423"/>
      <c r="F251" s="424">
        <v>20</v>
      </c>
      <c r="G251" s="425">
        <v>0.18</v>
      </c>
      <c r="H251" s="663">
        <f t="shared" si="69"/>
        <v>4.3344000000000005</v>
      </c>
      <c r="I251" s="420">
        <v>91.92</v>
      </c>
      <c r="J251" s="420">
        <f t="shared" si="67"/>
        <v>96.254400000000004</v>
      </c>
      <c r="K251" s="421">
        <f t="shared" ref="K251:K314" si="70">IF(ISBLANK(I251),0,ROUND(J251*(1+$F$10)*(1+$F$11*E251),2))</f>
        <v>114.36</v>
      </c>
      <c r="L251" s="647" t="s">
        <v>18</v>
      </c>
      <c r="M251" s="576"/>
      <c r="N251" s="576">
        <f t="shared" si="57"/>
        <v>0</v>
      </c>
      <c r="O251" s="577">
        <f t="shared" si="59"/>
        <v>0</v>
      </c>
      <c r="P251" s="578">
        <f t="shared" si="60"/>
        <v>0</v>
      </c>
      <c r="Q251" s="765"/>
      <c r="R251" s="576">
        <f t="shared" si="68"/>
        <v>0</v>
      </c>
      <c r="S251" s="576">
        <f t="shared" si="61"/>
        <v>0</v>
      </c>
      <c r="T251" s="577">
        <f t="shared" si="62"/>
        <v>0</v>
      </c>
      <c r="U251" s="578">
        <f t="shared" si="63"/>
        <v>0</v>
      </c>
      <c r="V251" s="579"/>
      <c r="W251" s="566"/>
      <c r="X251" s="586" t="str">
        <f t="shared" si="64"/>
        <v/>
      </c>
      <c r="Y251" s="586" t="str">
        <f t="shared" si="56"/>
        <v/>
      </c>
      <c r="Z251" s="586" t="str">
        <f t="shared" si="58"/>
        <v/>
      </c>
    </row>
    <row r="252" spans="1:26" ht="12" hidden="1" thickBot="1" x14ac:dyDescent="0.25">
      <c r="A252" s="567">
        <v>534908</v>
      </c>
      <c r="B252" s="644" t="s">
        <v>171</v>
      </c>
      <c r="C252" s="645" t="s">
        <v>206</v>
      </c>
      <c r="D252" s="422" t="s">
        <v>809</v>
      </c>
      <c r="E252" s="423"/>
      <c r="F252" s="424">
        <v>20</v>
      </c>
      <c r="G252" s="425">
        <v>0.22</v>
      </c>
      <c r="H252" s="663">
        <f t="shared" si="69"/>
        <v>5.2976000000000001</v>
      </c>
      <c r="I252" s="420">
        <v>94.614793103448264</v>
      </c>
      <c r="J252" s="420">
        <f t="shared" si="67"/>
        <v>99.912393103448267</v>
      </c>
      <c r="K252" s="421">
        <f t="shared" si="70"/>
        <v>118.71</v>
      </c>
      <c r="L252" s="647" t="s">
        <v>18</v>
      </c>
      <c r="M252" s="576"/>
      <c r="N252" s="576">
        <f t="shared" si="57"/>
        <v>0</v>
      </c>
      <c r="O252" s="577">
        <f t="shared" si="59"/>
        <v>0</v>
      </c>
      <c r="P252" s="578">
        <f t="shared" si="60"/>
        <v>0</v>
      </c>
      <c r="Q252" s="765"/>
      <c r="R252" s="576">
        <f t="shared" si="68"/>
        <v>0</v>
      </c>
      <c r="S252" s="576">
        <f t="shared" si="61"/>
        <v>0</v>
      </c>
      <c r="T252" s="577">
        <f t="shared" si="62"/>
        <v>0</v>
      </c>
      <c r="U252" s="578">
        <f t="shared" si="63"/>
        <v>0</v>
      </c>
      <c r="V252" s="579"/>
      <c r="W252" s="566"/>
      <c r="X252" s="586" t="str">
        <f t="shared" si="64"/>
        <v/>
      </c>
      <c r="Y252" s="586" t="str">
        <f t="shared" si="56"/>
        <v/>
      </c>
      <c r="Z252" s="586" t="str">
        <f t="shared" si="58"/>
        <v/>
      </c>
    </row>
    <row r="253" spans="1:26" ht="12" hidden="1" thickBot="1" x14ac:dyDescent="0.25">
      <c r="A253" s="567">
        <v>534908</v>
      </c>
      <c r="B253" s="644" t="s">
        <v>232</v>
      </c>
      <c r="C253" s="645" t="s">
        <v>206</v>
      </c>
      <c r="D253" s="422" t="s">
        <v>810</v>
      </c>
      <c r="E253" s="423"/>
      <c r="F253" s="424">
        <v>20</v>
      </c>
      <c r="G253" s="425">
        <v>0.22</v>
      </c>
      <c r="H253" s="663">
        <f t="shared" si="69"/>
        <v>5.2976000000000001</v>
      </c>
      <c r="I253" s="420">
        <v>104.08</v>
      </c>
      <c r="J253" s="420">
        <f t="shared" si="67"/>
        <v>109.3776</v>
      </c>
      <c r="K253" s="421">
        <f t="shared" si="70"/>
        <v>129.94999999999999</v>
      </c>
      <c r="L253" s="647" t="s">
        <v>18</v>
      </c>
      <c r="M253" s="576"/>
      <c r="N253" s="576">
        <f t="shared" si="57"/>
        <v>0</v>
      </c>
      <c r="O253" s="577">
        <f t="shared" si="59"/>
        <v>0</v>
      </c>
      <c r="P253" s="578">
        <f t="shared" si="60"/>
        <v>0</v>
      </c>
      <c r="Q253" s="765"/>
      <c r="R253" s="576">
        <f t="shared" si="68"/>
        <v>0</v>
      </c>
      <c r="S253" s="576">
        <f t="shared" si="61"/>
        <v>0</v>
      </c>
      <c r="T253" s="577">
        <f t="shared" si="62"/>
        <v>0</v>
      </c>
      <c r="U253" s="578">
        <f t="shared" si="63"/>
        <v>0</v>
      </c>
      <c r="V253" s="579"/>
      <c r="W253" s="566"/>
      <c r="X253" s="586" t="str">
        <f t="shared" si="64"/>
        <v/>
      </c>
      <c r="Y253" s="586" t="str">
        <f t="shared" si="56"/>
        <v/>
      </c>
      <c r="Z253" s="586" t="str">
        <f t="shared" si="58"/>
        <v/>
      </c>
    </row>
    <row r="254" spans="1:26" ht="12" hidden="1" thickBot="1" x14ac:dyDescent="0.25">
      <c r="A254" s="671">
        <v>101090</v>
      </c>
      <c r="B254" s="698" t="s">
        <v>1553</v>
      </c>
      <c r="C254" s="699" t="s">
        <v>670</v>
      </c>
      <c r="D254" s="456" t="s">
        <v>811</v>
      </c>
      <c r="E254" s="457"/>
      <c r="F254" s="458">
        <v>20</v>
      </c>
      <c r="G254" s="474">
        <v>0.3</v>
      </c>
      <c r="H254" s="675">
        <f t="shared" si="69"/>
        <v>7.2240000000000002</v>
      </c>
      <c r="I254" s="460">
        <v>177.63</v>
      </c>
      <c r="J254" s="460">
        <f>IF(ISBLANK(I254),"",SUM(H254:I254))</f>
        <v>184.85399999999998</v>
      </c>
      <c r="K254" s="676">
        <f t="shared" si="70"/>
        <v>219.63</v>
      </c>
      <c r="L254" s="677" t="s">
        <v>18</v>
      </c>
      <c r="M254" s="700"/>
      <c r="N254" s="799">
        <f t="shared" si="57"/>
        <v>0</v>
      </c>
      <c r="O254" s="585">
        <f t="shared" si="59"/>
        <v>0</v>
      </c>
      <c r="P254" s="660">
        <f t="shared" si="60"/>
        <v>0</v>
      </c>
      <c r="Q254" s="765"/>
      <c r="R254" s="588">
        <f t="shared" si="68"/>
        <v>0</v>
      </c>
      <c r="S254" s="588">
        <f t="shared" si="61"/>
        <v>0</v>
      </c>
      <c r="T254" s="585">
        <f t="shared" si="62"/>
        <v>0</v>
      </c>
      <c r="U254" s="660">
        <f t="shared" si="63"/>
        <v>0</v>
      </c>
      <c r="V254" s="579"/>
      <c r="W254" s="566"/>
      <c r="X254" s="586" t="str">
        <f t="shared" si="64"/>
        <v/>
      </c>
      <c r="Y254" s="586" t="str">
        <f t="shared" si="56"/>
        <v/>
      </c>
      <c r="Z254" s="586" t="str">
        <f t="shared" si="58"/>
        <v/>
      </c>
    </row>
    <row r="255" spans="1:26" ht="12" hidden="1" thickBot="1" x14ac:dyDescent="0.25">
      <c r="A255" s="671">
        <v>562100</v>
      </c>
      <c r="B255" s="701" t="s">
        <v>1565</v>
      </c>
      <c r="C255" s="702" t="s">
        <v>206</v>
      </c>
      <c r="D255" s="463" t="s">
        <v>648</v>
      </c>
      <c r="E255" s="464"/>
      <c r="F255" s="465" t="s">
        <v>649</v>
      </c>
      <c r="G255" s="466">
        <v>1.5E-3</v>
      </c>
      <c r="H255" s="681">
        <f>SUM(H256:H258)</f>
        <v>0.58577400000000002</v>
      </c>
      <c r="I255" s="467">
        <v>3</v>
      </c>
      <c r="J255" s="467">
        <f>IF(ISBLANK(I255),"",SUM(H255:I255))</f>
        <v>3.5857739999999998</v>
      </c>
      <c r="K255" s="682">
        <f t="shared" si="70"/>
        <v>4.26</v>
      </c>
      <c r="L255" s="683" t="s">
        <v>18</v>
      </c>
      <c r="M255" s="685"/>
      <c r="N255" s="576">
        <f t="shared" si="57"/>
        <v>0</v>
      </c>
      <c r="O255" s="687">
        <f t="shared" si="59"/>
        <v>0</v>
      </c>
      <c r="P255" s="688">
        <f t="shared" si="60"/>
        <v>0</v>
      </c>
      <c r="Q255" s="765"/>
      <c r="R255" s="685">
        <f t="shared" si="68"/>
        <v>0</v>
      </c>
      <c r="S255" s="686">
        <f t="shared" si="61"/>
        <v>0</v>
      </c>
      <c r="T255" s="687">
        <f t="shared" si="62"/>
        <v>0</v>
      </c>
      <c r="U255" s="688">
        <f t="shared" si="63"/>
        <v>0</v>
      </c>
      <c r="V255" s="579"/>
      <c r="W255" s="566"/>
      <c r="X255" s="586" t="str">
        <f t="shared" si="64"/>
        <v/>
      </c>
      <c r="Y255" s="586" t="str">
        <f t="shared" si="56"/>
        <v/>
      </c>
      <c r="Z255" s="586" t="str">
        <f t="shared" si="58"/>
        <v/>
      </c>
    </row>
    <row r="256" spans="1:26" ht="12" hidden="1" thickBot="1" x14ac:dyDescent="0.25">
      <c r="A256" s="671" t="s">
        <v>168</v>
      </c>
      <c r="B256" s="644" t="s">
        <v>168</v>
      </c>
      <c r="C256" s="645"/>
      <c r="D256" s="475" t="s">
        <v>248</v>
      </c>
      <c r="E256" s="423"/>
      <c r="F256" s="424">
        <v>180</v>
      </c>
      <c r="G256" s="476" t="s">
        <v>86</v>
      </c>
      <c r="H256" s="663">
        <f t="shared" si="69"/>
        <v>0.48820000000000002</v>
      </c>
      <c r="I256" s="420">
        <v>0</v>
      </c>
      <c r="J256" s="420"/>
      <c r="K256" s="421">
        <f t="shared" si="70"/>
        <v>0</v>
      </c>
      <c r="L256" s="647" t="s">
        <v>614</v>
      </c>
      <c r="M256" s="703"/>
      <c r="N256" s="576">
        <f t="shared" si="57"/>
        <v>0</v>
      </c>
      <c r="O256" s="577">
        <f t="shared" si="59"/>
        <v>0</v>
      </c>
      <c r="P256" s="578">
        <f t="shared" si="60"/>
        <v>0</v>
      </c>
      <c r="Q256" s="765"/>
      <c r="R256" s="703"/>
      <c r="S256" s="670"/>
      <c r="T256" s="577">
        <f t="shared" si="62"/>
        <v>0</v>
      </c>
      <c r="U256" s="578">
        <f t="shared" si="63"/>
        <v>0</v>
      </c>
      <c r="V256" s="579"/>
      <c r="W256" s="637" t="str">
        <f>IF(U255&gt;0,"xx",IF(P255&gt;0,"xy",""))</f>
        <v/>
      </c>
      <c r="X256" s="586" t="str">
        <f t="shared" si="64"/>
        <v/>
      </c>
      <c r="Y256" s="586" t="str">
        <f t="shared" si="56"/>
        <v/>
      </c>
      <c r="Z256" s="586" t="str">
        <f t="shared" si="58"/>
        <v/>
      </c>
    </row>
    <row r="257" spans="1:26" ht="12" hidden="1" thickBot="1" x14ac:dyDescent="0.25">
      <c r="A257" s="671" t="s">
        <v>168</v>
      </c>
      <c r="B257" s="644" t="s">
        <v>168</v>
      </c>
      <c r="C257" s="645"/>
      <c r="D257" s="475" t="s">
        <v>249</v>
      </c>
      <c r="E257" s="423"/>
      <c r="F257" s="424">
        <v>500</v>
      </c>
      <c r="G257" s="476" t="s">
        <v>87</v>
      </c>
      <c r="H257" s="649">
        <f>IF(F257&lt;=30,(0.78*F257+7.82)*G257,((0.78*30+7.82)+0.78*(F257-30))*G257)</f>
        <v>3.9782000000000005E-2</v>
      </c>
      <c r="I257" s="420">
        <v>0</v>
      </c>
      <c r="J257" s="420"/>
      <c r="K257" s="421">
        <f t="shared" si="70"/>
        <v>0</v>
      </c>
      <c r="L257" s="647" t="s">
        <v>614</v>
      </c>
      <c r="M257" s="703"/>
      <c r="N257" s="576">
        <f t="shared" si="57"/>
        <v>0</v>
      </c>
      <c r="O257" s="577">
        <f t="shared" si="59"/>
        <v>0</v>
      </c>
      <c r="P257" s="578">
        <f t="shared" si="60"/>
        <v>0</v>
      </c>
      <c r="Q257" s="765"/>
      <c r="R257" s="703"/>
      <c r="S257" s="670"/>
      <c r="T257" s="577">
        <f t="shared" si="62"/>
        <v>0</v>
      </c>
      <c r="U257" s="578">
        <f t="shared" si="63"/>
        <v>0</v>
      </c>
      <c r="V257" s="579"/>
      <c r="W257" s="637" t="str">
        <f>IF(U255&gt;0,"xx",IF(P255&gt;0,"xy",""))</f>
        <v/>
      </c>
      <c r="X257" s="586" t="str">
        <f t="shared" si="64"/>
        <v/>
      </c>
      <c r="Y257" s="586" t="str">
        <f t="shared" si="56"/>
        <v/>
      </c>
      <c r="Z257" s="586" t="str">
        <f t="shared" si="58"/>
        <v/>
      </c>
    </row>
    <row r="258" spans="1:26" ht="12" hidden="1" thickBot="1" x14ac:dyDescent="0.25">
      <c r="A258" s="671" t="s">
        <v>168</v>
      </c>
      <c r="B258" s="644" t="s">
        <v>168</v>
      </c>
      <c r="C258" s="645"/>
      <c r="D258" s="475" t="s">
        <v>250</v>
      </c>
      <c r="E258" s="423"/>
      <c r="F258" s="424">
        <v>20</v>
      </c>
      <c r="G258" s="425" t="s">
        <v>88</v>
      </c>
      <c r="H258" s="663">
        <f t="shared" si="69"/>
        <v>5.7791999999999996E-2</v>
      </c>
      <c r="I258" s="420">
        <v>0</v>
      </c>
      <c r="J258" s="420"/>
      <c r="K258" s="421">
        <f t="shared" si="70"/>
        <v>0</v>
      </c>
      <c r="L258" s="647" t="s">
        <v>614</v>
      </c>
      <c r="M258" s="703"/>
      <c r="N258" s="576">
        <f t="shared" si="57"/>
        <v>0</v>
      </c>
      <c r="O258" s="577">
        <f t="shared" si="59"/>
        <v>0</v>
      </c>
      <c r="P258" s="578">
        <f t="shared" si="60"/>
        <v>0</v>
      </c>
      <c r="Q258" s="765"/>
      <c r="R258" s="703"/>
      <c r="S258" s="670"/>
      <c r="T258" s="577">
        <f t="shared" si="62"/>
        <v>0</v>
      </c>
      <c r="U258" s="578">
        <f t="shared" si="63"/>
        <v>0</v>
      </c>
      <c r="V258" s="579"/>
      <c r="W258" s="637" t="str">
        <f>IF(U255&gt;0,"xx",IF(P255&gt;0,"xy",""))</f>
        <v/>
      </c>
      <c r="X258" s="586" t="str">
        <f>IF(W258="X","x",IF(W258="xx","x",IF(W258="xy","x",IF(W258="y","x",IF(OR(P258&gt;0,U258&gt;0),"x","")))))</f>
        <v/>
      </c>
      <c r="Y258" s="586" t="str">
        <f>IF(W258="X","x",IF(W258="y","x",IF(W258="xx","x",IF(U258&gt;0,"x",""))))</f>
        <v/>
      </c>
      <c r="Z258" s="586" t="str">
        <f>IF(W258="X","x",IF(U258&gt;0,"x",""))</f>
        <v/>
      </c>
    </row>
    <row r="259" spans="1:26" ht="12" hidden="1" thickBot="1" x14ac:dyDescent="0.25">
      <c r="A259" s="671">
        <v>589170</v>
      </c>
      <c r="B259" s="704" t="s">
        <v>1755</v>
      </c>
      <c r="C259" s="689" t="s">
        <v>1746</v>
      </c>
      <c r="D259" s="469" t="s">
        <v>749</v>
      </c>
      <c r="E259" s="470"/>
      <c r="F259" s="478">
        <v>500</v>
      </c>
      <c r="G259" s="479">
        <v>1</v>
      </c>
      <c r="H259" s="663">
        <f>(0.84*F259+41.45)*G259</f>
        <v>461.45</v>
      </c>
      <c r="I259" s="472">
        <v>4205</v>
      </c>
      <c r="J259" s="472">
        <f>IF(ISBLANK(I259),"",I259*(1+$F$9)/(1+$F$10))+H259</f>
        <v>4541.5139676794888</v>
      </c>
      <c r="K259" s="690">
        <f t="shared" si="70"/>
        <v>5395.77</v>
      </c>
      <c r="L259" s="691" t="s">
        <v>20</v>
      </c>
      <c r="M259" s="692">
        <f>ROUND(M255*G255,2)</f>
        <v>0</v>
      </c>
      <c r="N259" s="799">
        <f t="shared" si="57"/>
        <v>0</v>
      </c>
      <c r="O259" s="693">
        <f t="shared" si="59"/>
        <v>0</v>
      </c>
      <c r="P259" s="694">
        <f t="shared" si="60"/>
        <v>0</v>
      </c>
      <c r="Q259" s="765"/>
      <c r="R259" s="695">
        <f>ROUND(R255*G255,2)</f>
        <v>0</v>
      </c>
      <c r="S259" s="705">
        <f t="shared" si="61"/>
        <v>0</v>
      </c>
      <c r="T259" s="693">
        <f t="shared" si="62"/>
        <v>0</v>
      </c>
      <c r="U259" s="694">
        <f t="shared" si="63"/>
        <v>0</v>
      </c>
      <c r="V259" s="579"/>
      <c r="W259" s="637" t="str">
        <f>IF(U255&gt;0,"xx",IF(P255&gt;0,"xy",""))</f>
        <v/>
      </c>
      <c r="X259" s="586" t="str">
        <f t="shared" si="64"/>
        <v/>
      </c>
      <c r="Y259" s="586" t="str">
        <f t="shared" si="56"/>
        <v/>
      </c>
      <c r="Z259" s="586" t="str">
        <f t="shared" si="58"/>
        <v/>
      </c>
    </row>
    <row r="260" spans="1:26" ht="12" hidden="1" thickBot="1" x14ac:dyDescent="0.25">
      <c r="A260" s="671">
        <v>562100</v>
      </c>
      <c r="B260" s="701" t="s">
        <v>1566</v>
      </c>
      <c r="C260" s="702" t="s">
        <v>206</v>
      </c>
      <c r="D260" s="463" t="s">
        <v>651</v>
      </c>
      <c r="E260" s="464"/>
      <c r="F260" s="465" t="s">
        <v>649</v>
      </c>
      <c r="G260" s="466">
        <v>1.8E-3</v>
      </c>
      <c r="H260" s="681">
        <f>SUM(H261:H263)</f>
        <v>0.87941999999999998</v>
      </c>
      <c r="I260" s="467">
        <v>3</v>
      </c>
      <c r="J260" s="467">
        <f>IF(ISBLANK(I260),"",SUM(H260:I260))</f>
        <v>3.8794200000000001</v>
      </c>
      <c r="K260" s="682">
        <f t="shared" si="70"/>
        <v>4.6100000000000003</v>
      </c>
      <c r="L260" s="683" t="s">
        <v>18</v>
      </c>
      <c r="M260" s="685"/>
      <c r="N260" s="576">
        <f t="shared" si="57"/>
        <v>0</v>
      </c>
      <c r="O260" s="687">
        <f t="shared" si="59"/>
        <v>0</v>
      </c>
      <c r="P260" s="688">
        <f t="shared" si="60"/>
        <v>0</v>
      </c>
      <c r="Q260" s="765"/>
      <c r="R260" s="685">
        <f>M260</f>
        <v>0</v>
      </c>
      <c r="S260" s="686">
        <f t="shared" si="61"/>
        <v>0</v>
      </c>
      <c r="T260" s="687">
        <f t="shared" si="62"/>
        <v>0</v>
      </c>
      <c r="U260" s="688">
        <f t="shared" si="63"/>
        <v>0</v>
      </c>
      <c r="V260" s="579"/>
      <c r="W260" s="566"/>
      <c r="X260" s="586" t="str">
        <f t="shared" si="64"/>
        <v/>
      </c>
      <c r="Y260" s="586" t="str">
        <f t="shared" si="56"/>
        <v/>
      </c>
      <c r="Z260" s="586" t="str">
        <f t="shared" si="58"/>
        <v/>
      </c>
    </row>
    <row r="261" spans="1:26" ht="12" hidden="1" thickBot="1" x14ac:dyDescent="0.25">
      <c r="A261" s="671" t="s">
        <v>168</v>
      </c>
      <c r="B261" s="644" t="s">
        <v>168</v>
      </c>
      <c r="C261" s="645"/>
      <c r="D261" s="475" t="s">
        <v>248</v>
      </c>
      <c r="E261" s="423"/>
      <c r="F261" s="424">
        <v>180</v>
      </c>
      <c r="G261" s="476" t="s">
        <v>89</v>
      </c>
      <c r="H261" s="663">
        <f t="shared" ref="H261:H263" si="71">IF(F261&lt;=30,(1.07*F261+2.68)*G261,((1.07*30+2.68)+1.07*(F261-30))*G261)</f>
        <v>0.74206400000000006</v>
      </c>
      <c r="I261" s="420">
        <v>0</v>
      </c>
      <c r="J261" s="420"/>
      <c r="K261" s="421">
        <f t="shared" si="70"/>
        <v>0</v>
      </c>
      <c r="L261" s="647" t="s">
        <v>614</v>
      </c>
      <c r="M261" s="703"/>
      <c r="N261" s="576">
        <f t="shared" si="57"/>
        <v>0</v>
      </c>
      <c r="O261" s="577">
        <f t="shared" si="59"/>
        <v>0</v>
      </c>
      <c r="P261" s="578">
        <f t="shared" si="60"/>
        <v>0</v>
      </c>
      <c r="Q261" s="765"/>
      <c r="R261" s="703"/>
      <c r="S261" s="670"/>
      <c r="T261" s="577">
        <f t="shared" si="62"/>
        <v>0</v>
      </c>
      <c r="U261" s="578">
        <f t="shared" si="63"/>
        <v>0</v>
      </c>
      <c r="V261" s="579"/>
      <c r="W261" s="637" t="str">
        <f>IF(U260&gt;0,"xx",IF(P260&gt;0,"xy",""))</f>
        <v/>
      </c>
      <c r="X261" s="586" t="str">
        <f t="shared" si="64"/>
        <v/>
      </c>
      <c r="Y261" s="586" t="str">
        <f t="shared" si="56"/>
        <v/>
      </c>
      <c r="Z261" s="586" t="str">
        <f t="shared" si="58"/>
        <v/>
      </c>
    </row>
    <row r="262" spans="1:26" ht="12" hidden="1" thickBot="1" x14ac:dyDescent="0.25">
      <c r="A262" s="671" t="s">
        <v>168</v>
      </c>
      <c r="B262" s="644" t="s">
        <v>168</v>
      </c>
      <c r="C262" s="645"/>
      <c r="D262" s="475" t="s">
        <v>249</v>
      </c>
      <c r="E262" s="423"/>
      <c r="F262" s="424">
        <v>500</v>
      </c>
      <c r="G262" s="476" t="s">
        <v>90</v>
      </c>
      <c r="H262" s="649">
        <f>IF(F262&lt;=30,(0.78*F262+7.82)*G262,((0.78*30+7.82)+0.78*(F262-30))*G262)</f>
        <v>7.956400000000001E-2</v>
      </c>
      <c r="I262" s="420">
        <v>0</v>
      </c>
      <c r="J262" s="420"/>
      <c r="K262" s="421">
        <f t="shared" si="70"/>
        <v>0</v>
      </c>
      <c r="L262" s="647" t="s">
        <v>614</v>
      </c>
      <c r="M262" s="703"/>
      <c r="N262" s="576">
        <f t="shared" si="57"/>
        <v>0</v>
      </c>
      <c r="O262" s="577">
        <f t="shared" si="59"/>
        <v>0</v>
      </c>
      <c r="P262" s="578">
        <f t="shared" si="60"/>
        <v>0</v>
      </c>
      <c r="Q262" s="765"/>
      <c r="R262" s="703"/>
      <c r="S262" s="670"/>
      <c r="T262" s="577">
        <f t="shared" si="62"/>
        <v>0</v>
      </c>
      <c r="U262" s="578">
        <f t="shared" si="63"/>
        <v>0</v>
      </c>
      <c r="V262" s="579"/>
      <c r="W262" s="637" t="str">
        <f>IF(U260&gt;0,"xx",IF(P260&gt;0,"xy",""))</f>
        <v/>
      </c>
      <c r="X262" s="586" t="str">
        <f t="shared" si="64"/>
        <v/>
      </c>
      <c r="Y262" s="586" t="str">
        <f t="shared" si="56"/>
        <v/>
      </c>
      <c r="Z262" s="586" t="str">
        <f t="shared" si="58"/>
        <v/>
      </c>
    </row>
    <row r="263" spans="1:26" ht="12" hidden="1" thickBot="1" x14ac:dyDescent="0.25">
      <c r="A263" s="671" t="s">
        <v>168</v>
      </c>
      <c r="B263" s="644" t="s">
        <v>168</v>
      </c>
      <c r="C263" s="645"/>
      <c r="D263" s="451" t="s">
        <v>250</v>
      </c>
      <c r="E263" s="423"/>
      <c r="F263" s="424">
        <v>20</v>
      </c>
      <c r="G263" s="425" t="s">
        <v>88</v>
      </c>
      <c r="H263" s="663">
        <f t="shared" si="71"/>
        <v>5.7791999999999996E-2</v>
      </c>
      <c r="I263" s="420">
        <v>0</v>
      </c>
      <c r="J263" s="420"/>
      <c r="K263" s="421">
        <f t="shared" si="70"/>
        <v>0</v>
      </c>
      <c r="L263" s="647" t="s">
        <v>614</v>
      </c>
      <c r="M263" s="703"/>
      <c r="N263" s="576">
        <f t="shared" si="57"/>
        <v>0</v>
      </c>
      <c r="O263" s="577">
        <f t="shared" si="59"/>
        <v>0</v>
      </c>
      <c r="P263" s="578">
        <f t="shared" si="60"/>
        <v>0</v>
      </c>
      <c r="Q263" s="765"/>
      <c r="R263" s="703"/>
      <c r="S263" s="670"/>
      <c r="T263" s="577">
        <f t="shared" si="62"/>
        <v>0</v>
      </c>
      <c r="U263" s="578">
        <f t="shared" si="63"/>
        <v>0</v>
      </c>
      <c r="V263" s="579"/>
      <c r="W263" s="637" t="str">
        <f>IF(U260&gt;0,"xx",IF(P260&gt;0,"xy",""))</f>
        <v/>
      </c>
      <c r="X263" s="586" t="str">
        <f>IF(W263="X","x",IF(W263="xx","x",IF(W263="xy","x",IF(W263="y","x",IF(OR(P263&gt;0,U263&gt;0),"x","")))))</f>
        <v/>
      </c>
      <c r="Y263" s="586" t="str">
        <f>IF(W263="X","x",IF(W263="y","x",IF(W263="xx","x",IF(U263&gt;0,"x",""))))</f>
        <v/>
      </c>
      <c r="Z263" s="586" t="str">
        <f>IF(W263="X","x",IF(U263&gt;0,"x",""))</f>
        <v/>
      </c>
    </row>
    <row r="264" spans="1:26" ht="12" hidden="1" thickBot="1" x14ac:dyDescent="0.25">
      <c r="A264" s="671">
        <v>589170</v>
      </c>
      <c r="B264" s="638" t="s">
        <v>1756</v>
      </c>
      <c r="C264" s="480" t="s">
        <v>1746</v>
      </c>
      <c r="D264" s="706" t="s">
        <v>750</v>
      </c>
      <c r="E264" s="446"/>
      <c r="F264" s="478">
        <v>500</v>
      </c>
      <c r="G264" s="479">
        <v>1</v>
      </c>
      <c r="H264" s="663">
        <f>(0.84*F264+41.45)*G264</f>
        <v>461.45</v>
      </c>
      <c r="I264" s="472">
        <v>4205</v>
      </c>
      <c r="J264" s="472">
        <f>IF(ISBLANK(I264),"",I264*(1+$F$9)/(1+$F$10))+H264</f>
        <v>4541.5139676794888</v>
      </c>
      <c r="K264" s="415">
        <f t="shared" si="70"/>
        <v>5395.77</v>
      </c>
      <c r="L264" s="691" t="s">
        <v>20</v>
      </c>
      <c r="M264" s="692">
        <f>ROUND(M260*G260,2)</f>
        <v>0</v>
      </c>
      <c r="N264" s="799">
        <f t="shared" si="57"/>
        <v>0</v>
      </c>
      <c r="O264" s="693">
        <f>IF(ISBLANK(M264),0,ROUND(K264*M264,2))</f>
        <v>0</v>
      </c>
      <c r="P264" s="694">
        <f>IF(ISBLANK(N264),0,ROUND(M264*N264,2))</f>
        <v>0</v>
      </c>
      <c r="Q264" s="765"/>
      <c r="R264" s="695">
        <f>ROUND(R260*G260,2)</f>
        <v>0</v>
      </c>
      <c r="S264" s="705">
        <f t="shared" si="61"/>
        <v>0</v>
      </c>
      <c r="T264" s="693">
        <f t="shared" si="62"/>
        <v>0</v>
      </c>
      <c r="U264" s="694">
        <f t="shared" si="63"/>
        <v>0</v>
      </c>
      <c r="V264" s="579"/>
      <c r="W264" s="637" t="str">
        <f>IF(U260&gt;0,"xx",IF(P260&gt;0,"xy",""))</f>
        <v/>
      </c>
      <c r="X264" s="586" t="str">
        <f t="shared" si="64"/>
        <v/>
      </c>
      <c r="Y264" s="586" t="str">
        <f t="shared" si="56"/>
        <v/>
      </c>
      <c r="Z264" s="586" t="str">
        <f t="shared" si="58"/>
        <v/>
      </c>
    </row>
    <row r="265" spans="1:26" ht="12" hidden="1" thickBot="1" x14ac:dyDescent="0.25">
      <c r="A265" s="671">
        <v>562200</v>
      </c>
      <c r="B265" s="701" t="s">
        <v>1567</v>
      </c>
      <c r="C265" s="702" t="s">
        <v>206</v>
      </c>
      <c r="D265" s="463" t="s">
        <v>652</v>
      </c>
      <c r="E265" s="464"/>
      <c r="F265" s="465" t="s">
        <v>649</v>
      </c>
      <c r="G265" s="466">
        <v>2E-3</v>
      </c>
      <c r="H265" s="681">
        <f>SUM(H266:H268)</f>
        <v>1.3938440000000001</v>
      </c>
      <c r="I265" s="467">
        <v>4.01</v>
      </c>
      <c r="J265" s="467">
        <f>IF(ISBLANK(I265),"",SUM(H265:I265))</f>
        <v>5.4038439999999994</v>
      </c>
      <c r="K265" s="682">
        <f t="shared" si="70"/>
        <v>6.42</v>
      </c>
      <c r="L265" s="683" t="s">
        <v>18</v>
      </c>
      <c r="M265" s="685"/>
      <c r="N265" s="576">
        <f t="shared" si="57"/>
        <v>0</v>
      </c>
      <c r="O265" s="687">
        <f t="shared" si="59"/>
        <v>0</v>
      </c>
      <c r="P265" s="688">
        <f t="shared" si="60"/>
        <v>0</v>
      </c>
      <c r="Q265" s="765"/>
      <c r="R265" s="685">
        <f>M265</f>
        <v>0</v>
      </c>
      <c r="S265" s="686">
        <f t="shared" si="61"/>
        <v>0</v>
      </c>
      <c r="T265" s="687">
        <f t="shared" si="62"/>
        <v>0</v>
      </c>
      <c r="U265" s="688">
        <f t="shared" si="63"/>
        <v>0</v>
      </c>
      <c r="V265" s="579"/>
      <c r="W265" s="566"/>
      <c r="X265" s="586" t="str">
        <f t="shared" si="64"/>
        <v/>
      </c>
      <c r="Y265" s="586" t="str">
        <f t="shared" si="56"/>
        <v/>
      </c>
      <c r="Z265" s="586" t="str">
        <f t="shared" si="58"/>
        <v/>
      </c>
    </row>
    <row r="266" spans="1:26" ht="12" hidden="1" thickBot="1" x14ac:dyDescent="0.25">
      <c r="A266" s="671" t="s">
        <v>168</v>
      </c>
      <c r="B266" s="644" t="s">
        <v>168</v>
      </c>
      <c r="C266" s="645"/>
      <c r="D266" s="475" t="s">
        <v>248</v>
      </c>
      <c r="E266" s="423"/>
      <c r="F266" s="424">
        <v>180</v>
      </c>
      <c r="G266" s="476" t="s">
        <v>91</v>
      </c>
      <c r="H266" s="663">
        <f t="shared" ref="H266:H268" si="72">IF(F266&lt;=30,(1.07*F266+2.68)*G266,((1.07*30+2.68)+1.07*(F266-30))*G266)</f>
        <v>1.210736</v>
      </c>
      <c r="I266" s="420">
        <v>0</v>
      </c>
      <c r="J266" s="420"/>
      <c r="K266" s="421">
        <f t="shared" si="70"/>
        <v>0</v>
      </c>
      <c r="L266" s="647"/>
      <c r="M266" s="703"/>
      <c r="N266" s="576">
        <f t="shared" si="57"/>
        <v>0</v>
      </c>
      <c r="O266" s="577">
        <f t="shared" si="59"/>
        <v>0</v>
      </c>
      <c r="P266" s="578">
        <f t="shared" si="60"/>
        <v>0</v>
      </c>
      <c r="Q266" s="765"/>
      <c r="R266" s="703"/>
      <c r="S266" s="670"/>
      <c r="T266" s="577">
        <f t="shared" si="62"/>
        <v>0</v>
      </c>
      <c r="U266" s="578">
        <f t="shared" si="63"/>
        <v>0</v>
      </c>
      <c r="V266" s="579"/>
      <c r="W266" s="637" t="str">
        <f>IF(U265&gt;0,"xx",IF(P265&gt;0,"xy",""))</f>
        <v/>
      </c>
      <c r="X266" s="586" t="str">
        <f t="shared" si="64"/>
        <v/>
      </c>
      <c r="Y266" s="586" t="str">
        <f t="shared" si="56"/>
        <v/>
      </c>
      <c r="Z266" s="586" t="str">
        <f t="shared" si="58"/>
        <v/>
      </c>
    </row>
    <row r="267" spans="1:26" ht="12" hidden="1" thickBot="1" x14ac:dyDescent="0.25">
      <c r="A267" s="671" t="s">
        <v>168</v>
      </c>
      <c r="B267" s="644" t="s">
        <v>168</v>
      </c>
      <c r="C267" s="645"/>
      <c r="D267" s="475" t="s">
        <v>249</v>
      </c>
      <c r="E267" s="423"/>
      <c r="F267" s="424">
        <v>500</v>
      </c>
      <c r="G267" s="476" t="s">
        <v>90</v>
      </c>
      <c r="H267" s="649">
        <f>IF(F267&lt;=30,(0.78*F267+7.82)*G267,((0.78*30+7.82)+0.78*(F267-30))*G267)</f>
        <v>7.956400000000001E-2</v>
      </c>
      <c r="I267" s="420">
        <v>0</v>
      </c>
      <c r="J267" s="420"/>
      <c r="K267" s="421">
        <f t="shared" si="70"/>
        <v>0</v>
      </c>
      <c r="L267" s="647" t="s">
        <v>614</v>
      </c>
      <c r="M267" s="703"/>
      <c r="N267" s="576">
        <f t="shared" si="57"/>
        <v>0</v>
      </c>
      <c r="O267" s="577">
        <f t="shared" si="59"/>
        <v>0</v>
      </c>
      <c r="P267" s="578"/>
      <c r="Q267" s="765"/>
      <c r="R267" s="703"/>
      <c r="S267" s="670"/>
      <c r="T267" s="577">
        <f t="shared" si="62"/>
        <v>0</v>
      </c>
      <c r="U267" s="578">
        <f t="shared" si="63"/>
        <v>0</v>
      </c>
      <c r="V267" s="579"/>
      <c r="W267" s="637" t="str">
        <f>IF(U265&gt;0,"xx",IF(P265&gt;0,"xy",""))</f>
        <v/>
      </c>
      <c r="X267" s="586" t="str">
        <f t="shared" si="64"/>
        <v/>
      </c>
      <c r="Y267" s="586" t="str">
        <f t="shared" si="56"/>
        <v/>
      </c>
      <c r="Z267" s="586" t="str">
        <f t="shared" si="58"/>
        <v/>
      </c>
    </row>
    <row r="268" spans="1:26" ht="12" hidden="1" thickBot="1" x14ac:dyDescent="0.25">
      <c r="A268" s="671" t="s">
        <v>168</v>
      </c>
      <c r="B268" s="644" t="s">
        <v>168</v>
      </c>
      <c r="C268" s="645"/>
      <c r="D268" s="451" t="s">
        <v>250</v>
      </c>
      <c r="E268" s="423"/>
      <c r="F268" s="424">
        <v>20</v>
      </c>
      <c r="G268" s="425" t="s">
        <v>92</v>
      </c>
      <c r="H268" s="663">
        <f t="shared" si="72"/>
        <v>0.10354400000000001</v>
      </c>
      <c r="I268" s="420">
        <v>0</v>
      </c>
      <c r="J268" s="420"/>
      <c r="K268" s="421">
        <f t="shared" si="70"/>
        <v>0</v>
      </c>
      <c r="L268" s="647" t="s">
        <v>614</v>
      </c>
      <c r="M268" s="703"/>
      <c r="N268" s="576">
        <f t="shared" si="57"/>
        <v>0</v>
      </c>
      <c r="O268" s="577">
        <f t="shared" si="59"/>
        <v>0</v>
      </c>
      <c r="P268" s="578">
        <f t="shared" si="60"/>
        <v>0</v>
      </c>
      <c r="Q268" s="765"/>
      <c r="R268" s="703"/>
      <c r="S268" s="670"/>
      <c r="T268" s="577">
        <f t="shared" si="62"/>
        <v>0</v>
      </c>
      <c r="U268" s="578">
        <f t="shared" si="63"/>
        <v>0</v>
      </c>
      <c r="V268" s="579"/>
      <c r="W268" s="637" t="str">
        <f>IF(U265&gt;0,"xx",IF(P265&gt;0,"xy",""))</f>
        <v/>
      </c>
      <c r="X268" s="586" t="str">
        <f>IF(W268="X","x",IF(W268="xx","x",IF(W268="xy","x",IF(W268="y","x",IF(OR(P268&gt;0,U268&gt;0),"x","")))))</f>
        <v/>
      </c>
      <c r="Y268" s="586" t="str">
        <f>IF(W268="X","x",IF(W268="y","x",IF(W268="xx","x",IF(U268&gt;0,"x",""))))</f>
        <v/>
      </c>
      <c r="Z268" s="586" t="str">
        <f>IF(W268="X","x",IF(U268&gt;0,"x",""))</f>
        <v/>
      </c>
    </row>
    <row r="269" spans="1:26" ht="12" hidden="1" thickBot="1" x14ac:dyDescent="0.25">
      <c r="A269" s="671">
        <v>589170</v>
      </c>
      <c r="B269" s="638" t="s">
        <v>1757</v>
      </c>
      <c r="C269" s="480" t="s">
        <v>1746</v>
      </c>
      <c r="D269" s="706" t="s">
        <v>751</v>
      </c>
      <c r="E269" s="446"/>
      <c r="F269" s="478">
        <v>500</v>
      </c>
      <c r="G269" s="479">
        <v>1</v>
      </c>
      <c r="H269" s="663">
        <f>(0.84*F269+41.45)*G269</f>
        <v>461.45</v>
      </c>
      <c r="I269" s="472">
        <v>4205</v>
      </c>
      <c r="J269" s="472">
        <f>IF(ISBLANK(I269),"",I269*(1+$F$9)/(1+$F$10))+H269</f>
        <v>4541.5139676794888</v>
      </c>
      <c r="K269" s="415">
        <f t="shared" si="70"/>
        <v>5395.77</v>
      </c>
      <c r="L269" s="691" t="s">
        <v>20</v>
      </c>
      <c r="M269" s="692">
        <f>ROUND(M265*G265,2)</f>
        <v>0</v>
      </c>
      <c r="N269" s="799">
        <f t="shared" si="57"/>
        <v>0</v>
      </c>
      <c r="O269" s="693">
        <f>IF(ISBLANK(M269),0,ROUND(K269*M269,2))</f>
        <v>0</v>
      </c>
      <c r="P269" s="694">
        <f>IF(ISBLANK(N269),0,ROUND(M269*N269,2))</f>
        <v>0</v>
      </c>
      <c r="Q269" s="765"/>
      <c r="R269" s="695">
        <f>ROUND(R265*G265,2)</f>
        <v>0</v>
      </c>
      <c r="S269" s="705">
        <f t="shared" si="61"/>
        <v>0</v>
      </c>
      <c r="T269" s="693">
        <f t="shared" si="62"/>
        <v>0</v>
      </c>
      <c r="U269" s="694">
        <f t="shared" si="63"/>
        <v>0</v>
      </c>
      <c r="V269" s="579"/>
      <c r="W269" s="637" t="str">
        <f>IF(U265&gt;0,"xx",IF(P265&gt;0,"xy",""))</f>
        <v/>
      </c>
      <c r="X269" s="586" t="str">
        <f t="shared" si="64"/>
        <v/>
      </c>
      <c r="Y269" s="586" t="str">
        <f t="shared" si="56"/>
        <v/>
      </c>
      <c r="Z269" s="586" t="str">
        <f t="shared" si="58"/>
        <v/>
      </c>
    </row>
    <row r="270" spans="1:26" ht="12" hidden="1" thickBot="1" x14ac:dyDescent="0.25">
      <c r="A270" s="671">
        <v>562200</v>
      </c>
      <c r="B270" s="701" t="s">
        <v>1568</v>
      </c>
      <c r="C270" s="702" t="s">
        <v>206</v>
      </c>
      <c r="D270" s="463" t="s">
        <v>650</v>
      </c>
      <c r="E270" s="464"/>
      <c r="F270" s="465" t="s">
        <v>649</v>
      </c>
      <c r="G270" s="466">
        <v>2.5999999999999999E-3</v>
      </c>
      <c r="H270" s="681">
        <f>SUM(H271:H273)</f>
        <v>2.6804160000000001</v>
      </c>
      <c r="I270" s="467">
        <v>4.01</v>
      </c>
      <c r="J270" s="467">
        <f>IF(ISBLANK(I270),"",SUM(H270:I270))</f>
        <v>6.6904159999999999</v>
      </c>
      <c r="K270" s="682">
        <f t="shared" si="70"/>
        <v>7.95</v>
      </c>
      <c r="L270" s="683" t="s">
        <v>18</v>
      </c>
      <c r="M270" s="685"/>
      <c r="N270" s="576">
        <f t="shared" si="57"/>
        <v>0</v>
      </c>
      <c r="O270" s="687">
        <f t="shared" si="59"/>
        <v>0</v>
      </c>
      <c r="P270" s="688">
        <f t="shared" si="60"/>
        <v>0</v>
      </c>
      <c r="Q270" s="765"/>
      <c r="R270" s="685">
        <f>M270</f>
        <v>0</v>
      </c>
      <c r="S270" s="686">
        <f t="shared" si="61"/>
        <v>0</v>
      </c>
      <c r="T270" s="687">
        <f t="shared" si="62"/>
        <v>0</v>
      </c>
      <c r="U270" s="688">
        <f t="shared" si="63"/>
        <v>0</v>
      </c>
      <c r="V270" s="579"/>
      <c r="W270" s="566"/>
      <c r="X270" s="586" t="str">
        <f t="shared" si="64"/>
        <v/>
      </c>
      <c r="Y270" s="586" t="str">
        <f t="shared" si="56"/>
        <v/>
      </c>
      <c r="Z270" s="586" t="str">
        <f t="shared" si="58"/>
        <v/>
      </c>
    </row>
    <row r="271" spans="1:26" ht="12" hidden="1" thickBot="1" x14ac:dyDescent="0.25">
      <c r="A271" s="671" t="s">
        <v>168</v>
      </c>
      <c r="B271" s="644" t="s">
        <v>168</v>
      </c>
      <c r="C271" s="645"/>
      <c r="D271" s="475" t="s">
        <v>248</v>
      </c>
      <c r="E271" s="423"/>
      <c r="F271" s="424">
        <v>180</v>
      </c>
      <c r="G271" s="476" t="s">
        <v>93</v>
      </c>
      <c r="H271" s="663">
        <f t="shared" ref="H271:H273" si="73">IF(F271&lt;=30,(1.07*F271+2.68)*G271,((1.07*30+2.68)+1.07*(F271-30))*G271)</f>
        <v>2.3238320000000003</v>
      </c>
      <c r="I271" s="420">
        <v>0</v>
      </c>
      <c r="J271" s="420"/>
      <c r="K271" s="421">
        <f t="shared" si="70"/>
        <v>0</v>
      </c>
      <c r="L271" s="647" t="s">
        <v>614</v>
      </c>
      <c r="M271" s="703"/>
      <c r="N271" s="576">
        <f t="shared" si="57"/>
        <v>0</v>
      </c>
      <c r="O271" s="577">
        <f t="shared" si="59"/>
        <v>0</v>
      </c>
      <c r="P271" s="578">
        <f t="shared" si="60"/>
        <v>0</v>
      </c>
      <c r="Q271" s="765"/>
      <c r="R271" s="703"/>
      <c r="S271" s="670"/>
      <c r="T271" s="577">
        <f t="shared" si="62"/>
        <v>0</v>
      </c>
      <c r="U271" s="578">
        <f t="shared" si="63"/>
        <v>0</v>
      </c>
      <c r="V271" s="579"/>
      <c r="W271" s="637" t="str">
        <f>IF(U270&gt;0,"xx",IF(P270&gt;0,"xy",""))</f>
        <v/>
      </c>
      <c r="X271" s="586" t="str">
        <f t="shared" si="64"/>
        <v/>
      </c>
      <c r="Y271" s="586" t="str">
        <f t="shared" si="56"/>
        <v/>
      </c>
      <c r="Z271" s="586" t="str">
        <f t="shared" si="58"/>
        <v/>
      </c>
    </row>
    <row r="272" spans="1:26" ht="12" hidden="1" thickBot="1" x14ac:dyDescent="0.25">
      <c r="A272" s="671" t="s">
        <v>168</v>
      </c>
      <c r="B272" s="644" t="s">
        <v>168</v>
      </c>
      <c r="C272" s="645"/>
      <c r="D272" s="475" t="s">
        <v>249</v>
      </c>
      <c r="E272" s="423"/>
      <c r="F272" s="424">
        <v>500</v>
      </c>
      <c r="G272" s="476" t="s">
        <v>94</v>
      </c>
      <c r="H272" s="649">
        <f>IF(F272&lt;=30,(0.78*F272+7.82)*G272,((0.78*30+7.82)+0.78*(F272-30))*G272)</f>
        <v>0.15912800000000002</v>
      </c>
      <c r="I272" s="420">
        <v>0</v>
      </c>
      <c r="J272" s="420"/>
      <c r="K272" s="421">
        <f t="shared" si="70"/>
        <v>0</v>
      </c>
      <c r="L272" s="647" t="s">
        <v>614</v>
      </c>
      <c r="M272" s="703"/>
      <c r="N272" s="576">
        <f t="shared" si="57"/>
        <v>0</v>
      </c>
      <c r="O272" s="577">
        <f t="shared" si="59"/>
        <v>0</v>
      </c>
      <c r="P272" s="578">
        <f t="shared" si="60"/>
        <v>0</v>
      </c>
      <c r="Q272" s="765"/>
      <c r="R272" s="703"/>
      <c r="S272" s="670"/>
      <c r="T272" s="577">
        <f t="shared" si="62"/>
        <v>0</v>
      </c>
      <c r="U272" s="578">
        <f t="shared" si="63"/>
        <v>0</v>
      </c>
      <c r="V272" s="579"/>
      <c r="W272" s="637" t="str">
        <f>IF(U270&gt;0,"xx",IF(P270&gt;0,"xy",""))</f>
        <v/>
      </c>
      <c r="X272" s="586" t="str">
        <f t="shared" si="64"/>
        <v/>
      </c>
      <c r="Y272" s="586" t="str">
        <f t="shared" si="56"/>
        <v/>
      </c>
      <c r="Z272" s="586" t="str">
        <f t="shared" si="58"/>
        <v/>
      </c>
    </row>
    <row r="273" spans="1:26" ht="12" hidden="1" thickBot="1" x14ac:dyDescent="0.25">
      <c r="A273" s="671" t="s">
        <v>168</v>
      </c>
      <c r="B273" s="644" t="s">
        <v>168</v>
      </c>
      <c r="C273" s="645"/>
      <c r="D273" s="451" t="s">
        <v>250</v>
      </c>
      <c r="E273" s="423"/>
      <c r="F273" s="424">
        <v>20</v>
      </c>
      <c r="G273" s="425" t="s">
        <v>95</v>
      </c>
      <c r="H273" s="663">
        <f t="shared" si="73"/>
        <v>0.19745600000000002</v>
      </c>
      <c r="I273" s="420">
        <v>0</v>
      </c>
      <c r="J273" s="420"/>
      <c r="K273" s="421">
        <f t="shared" si="70"/>
        <v>0</v>
      </c>
      <c r="L273" s="647" t="s">
        <v>614</v>
      </c>
      <c r="M273" s="703"/>
      <c r="N273" s="576">
        <f t="shared" si="57"/>
        <v>0</v>
      </c>
      <c r="O273" s="577">
        <f t="shared" si="59"/>
        <v>0</v>
      </c>
      <c r="P273" s="578">
        <f t="shared" si="60"/>
        <v>0</v>
      </c>
      <c r="Q273" s="765"/>
      <c r="R273" s="703"/>
      <c r="S273" s="670"/>
      <c r="T273" s="577">
        <f t="shared" si="62"/>
        <v>0</v>
      </c>
      <c r="U273" s="578">
        <f t="shared" si="63"/>
        <v>0</v>
      </c>
      <c r="V273" s="579"/>
      <c r="W273" s="637" t="str">
        <f>IF(U270&gt;0,"xx",IF(P270&gt;0,"xy",""))</f>
        <v/>
      </c>
      <c r="X273" s="586" t="str">
        <f>IF(W273="X","x",IF(W273="xx","x",IF(W273="xy","x",IF(W273="y","x",IF(OR(P273&gt;0,U273&gt;0),"x","")))))</f>
        <v/>
      </c>
      <c r="Y273" s="586" t="str">
        <f t="shared" si="56"/>
        <v/>
      </c>
      <c r="Z273" s="586" t="str">
        <f>IF(W273="X","x",IF(U273&gt;0,"x",""))</f>
        <v/>
      </c>
    </row>
    <row r="274" spans="1:26" ht="12" hidden="1" thickBot="1" x14ac:dyDescent="0.25">
      <c r="A274" s="671">
        <v>589170</v>
      </c>
      <c r="B274" s="707" t="s">
        <v>1758</v>
      </c>
      <c r="C274" s="689" t="s">
        <v>1746</v>
      </c>
      <c r="D274" s="708" t="s">
        <v>752</v>
      </c>
      <c r="E274" s="481"/>
      <c r="F274" s="478">
        <v>500</v>
      </c>
      <c r="G274" s="479">
        <v>1</v>
      </c>
      <c r="H274" s="663">
        <f>(0.84*F274+41.45)*G274</f>
        <v>461.45</v>
      </c>
      <c r="I274" s="472">
        <v>4205</v>
      </c>
      <c r="J274" s="472">
        <f>IF(ISBLANK(I274),"",I274*(1+$F$9)/(1+$F$10))+H274</f>
        <v>4541.5139676794888</v>
      </c>
      <c r="K274" s="709">
        <f t="shared" si="70"/>
        <v>5395.77</v>
      </c>
      <c r="L274" s="691" t="s">
        <v>20</v>
      </c>
      <c r="M274" s="692">
        <f>ROUND(M270*G270,2)</f>
        <v>0</v>
      </c>
      <c r="N274" s="799">
        <f t="shared" si="57"/>
        <v>0</v>
      </c>
      <c r="O274" s="693">
        <f>IF(ISBLANK(M274),0,ROUND(K274*M274,2))</f>
        <v>0</v>
      </c>
      <c r="P274" s="694">
        <f>IF(ISBLANK(N274),0,ROUND(M274*N274,2))</f>
        <v>0</v>
      </c>
      <c r="Q274" s="765"/>
      <c r="R274" s="695">
        <f>ROUND(R270*G270,2)</f>
        <v>0</v>
      </c>
      <c r="S274" s="710">
        <f t="shared" si="61"/>
        <v>0</v>
      </c>
      <c r="T274" s="693">
        <f t="shared" si="62"/>
        <v>0</v>
      </c>
      <c r="U274" s="694">
        <f t="shared" si="63"/>
        <v>0</v>
      </c>
      <c r="V274" s="579"/>
      <c r="W274" s="637" t="str">
        <f>IF(U270&gt;0,"xx",IF(P270&gt;0,"xy",""))</f>
        <v/>
      </c>
      <c r="X274" s="586" t="str">
        <f t="shared" si="64"/>
        <v/>
      </c>
      <c r="Y274" s="586" t="str">
        <f t="shared" si="56"/>
        <v/>
      </c>
      <c r="Z274" s="586" t="str">
        <f t="shared" si="58"/>
        <v/>
      </c>
    </row>
    <row r="275" spans="1:26" ht="12" hidden="1" thickBot="1" x14ac:dyDescent="0.25">
      <c r="A275" s="671">
        <v>587000</v>
      </c>
      <c r="B275" s="701">
        <v>587000</v>
      </c>
      <c r="C275" s="702" t="s">
        <v>206</v>
      </c>
      <c r="D275" s="463" t="s">
        <v>251</v>
      </c>
      <c r="E275" s="464"/>
      <c r="F275" s="465" t="s">
        <v>661</v>
      </c>
      <c r="G275" s="466">
        <v>1.5E-3</v>
      </c>
      <c r="H275" s="681">
        <f>SUM(H276:H276)</f>
        <v>0.36120000000000002</v>
      </c>
      <c r="I275" s="467">
        <v>4.46</v>
      </c>
      <c r="J275" s="467">
        <f>IF(ISBLANK(I275),"",SUM(H275:I275))</f>
        <v>4.8212000000000002</v>
      </c>
      <c r="K275" s="682">
        <f t="shared" si="70"/>
        <v>5.73</v>
      </c>
      <c r="L275" s="683" t="s">
        <v>18</v>
      </c>
      <c r="M275" s="685"/>
      <c r="N275" s="576">
        <f t="shared" si="57"/>
        <v>0</v>
      </c>
      <c r="O275" s="687">
        <f t="shared" si="59"/>
        <v>0</v>
      </c>
      <c r="P275" s="688">
        <f t="shared" si="60"/>
        <v>0</v>
      </c>
      <c r="Q275" s="765"/>
      <c r="R275" s="685">
        <f>M275</f>
        <v>0</v>
      </c>
      <c r="S275" s="686">
        <f t="shared" si="61"/>
        <v>0</v>
      </c>
      <c r="T275" s="687">
        <f t="shared" si="62"/>
        <v>0</v>
      </c>
      <c r="U275" s="688">
        <f t="shared" si="63"/>
        <v>0</v>
      </c>
      <c r="V275" s="579"/>
      <c r="W275" s="566"/>
      <c r="X275" s="586" t="str">
        <f t="shared" si="64"/>
        <v/>
      </c>
      <c r="Y275" s="586" t="str">
        <f t="shared" ref="Y275:Y338" si="74">IF(W275="X","x",IF(W275="y","x",IF(W275="xx","x",IF(U275&gt;0,"x",""))))</f>
        <v/>
      </c>
      <c r="Z275" s="586" t="str">
        <f t="shared" si="58"/>
        <v/>
      </c>
    </row>
    <row r="276" spans="1:26" ht="12" hidden="1" thickBot="1" x14ac:dyDescent="0.25">
      <c r="A276" s="671" t="s">
        <v>168</v>
      </c>
      <c r="B276" s="644" t="s">
        <v>168</v>
      </c>
      <c r="C276" s="645"/>
      <c r="D276" s="451" t="s">
        <v>252</v>
      </c>
      <c r="E276" s="423"/>
      <c r="F276" s="418">
        <v>20</v>
      </c>
      <c r="G276" s="419">
        <v>1.4999999999999999E-2</v>
      </c>
      <c r="H276" s="663">
        <f t="shared" ref="H276" si="75">IF(F276&lt;=30,(1.07*F276+2.68)*G276,((1.07*30+2.68)+1.07*(F276-30))*G276)</f>
        <v>0.36120000000000002</v>
      </c>
      <c r="I276" s="420">
        <v>0</v>
      </c>
      <c r="J276" s="420"/>
      <c r="K276" s="421">
        <f t="shared" si="70"/>
        <v>0</v>
      </c>
      <c r="L276" s="647" t="s">
        <v>614</v>
      </c>
      <c r="M276" s="703"/>
      <c r="N276" s="576">
        <f t="shared" ref="N276:N339" si="76">IF(M276=0,0,K276)</f>
        <v>0</v>
      </c>
      <c r="O276" s="577">
        <f t="shared" si="59"/>
        <v>0</v>
      </c>
      <c r="P276" s="578">
        <f t="shared" si="60"/>
        <v>0</v>
      </c>
      <c r="Q276" s="765"/>
      <c r="R276" s="703"/>
      <c r="S276" s="670"/>
      <c r="T276" s="577">
        <f t="shared" si="62"/>
        <v>0</v>
      </c>
      <c r="U276" s="578">
        <f t="shared" si="63"/>
        <v>0</v>
      </c>
      <c r="V276" s="579"/>
      <c r="W276" s="637" t="str">
        <f>IF(U275&gt;0,"xx",IF(P275&gt;0,"xy",""))</f>
        <v/>
      </c>
      <c r="X276" s="586" t="str">
        <f>IF(W276="X","x",IF(W276="xx","x",IF(W276="xy","x",IF(W276="y","x",IF(OR(P276&gt;0,U276&gt;0),"x","")))))</f>
        <v/>
      </c>
      <c r="Y276" s="586" t="str">
        <f t="shared" si="74"/>
        <v/>
      </c>
      <c r="Z276" s="586" t="str">
        <f>IF(W276="X","x",IF(U276&gt;0,"x",""))</f>
        <v/>
      </c>
    </row>
    <row r="277" spans="1:26" ht="12" hidden="1" thickBot="1" x14ac:dyDescent="0.25">
      <c r="A277" s="671">
        <v>589520</v>
      </c>
      <c r="B277" s="704" t="s">
        <v>1759</v>
      </c>
      <c r="C277" s="689" t="s">
        <v>1746</v>
      </c>
      <c r="D277" s="477" t="s">
        <v>753</v>
      </c>
      <c r="E277" s="470"/>
      <c r="F277" s="478">
        <v>500</v>
      </c>
      <c r="G277" s="479">
        <v>1</v>
      </c>
      <c r="H277" s="663">
        <f>(0.84*F277+41.45)*G277</f>
        <v>461.45</v>
      </c>
      <c r="I277" s="472">
        <v>4168</v>
      </c>
      <c r="J277" s="472">
        <f>IF(ISBLANK(I277),"",I277*(1+$F$9)/(1+$F$10))+H277</f>
        <v>4505.6132859186937</v>
      </c>
      <c r="K277" s="690">
        <f t="shared" si="70"/>
        <v>5353.12</v>
      </c>
      <c r="L277" s="691" t="s">
        <v>20</v>
      </c>
      <c r="M277" s="692">
        <f>ROUND(M275*G275,2)</f>
        <v>0</v>
      </c>
      <c r="N277" s="799">
        <f t="shared" si="76"/>
        <v>0</v>
      </c>
      <c r="O277" s="693">
        <f>IF(ISBLANK(M277),0,ROUND(K277*M277,2))</f>
        <v>0</v>
      </c>
      <c r="P277" s="694">
        <f>IF(ISBLANK(N277),0,ROUND(M277*N277,2))</f>
        <v>0</v>
      </c>
      <c r="Q277" s="765"/>
      <c r="R277" s="695">
        <f>ROUND(R275*G275,2)</f>
        <v>0</v>
      </c>
      <c r="S277" s="711">
        <f t="shared" si="61"/>
        <v>0</v>
      </c>
      <c r="T277" s="693">
        <f t="shared" si="62"/>
        <v>0</v>
      </c>
      <c r="U277" s="694">
        <f t="shared" si="63"/>
        <v>0</v>
      </c>
      <c r="V277" s="579"/>
      <c r="W277" s="637" t="str">
        <f>IF(U275&gt;0,"xx",IF(P275&gt;0,"xy",""))</f>
        <v/>
      </c>
      <c r="X277" s="586" t="str">
        <f t="shared" si="64"/>
        <v/>
      </c>
      <c r="Y277" s="586" t="str">
        <f t="shared" si="74"/>
        <v/>
      </c>
      <c r="Z277" s="586" t="str">
        <f t="shared" si="58"/>
        <v/>
      </c>
    </row>
    <row r="278" spans="1:26" ht="12" hidden="1" thickBot="1" x14ac:dyDescent="0.25">
      <c r="A278" s="671">
        <v>583100</v>
      </c>
      <c r="B278" s="701" t="s">
        <v>1615</v>
      </c>
      <c r="C278" s="702" t="s">
        <v>206</v>
      </c>
      <c r="D278" s="482" t="s">
        <v>253</v>
      </c>
      <c r="E278" s="464"/>
      <c r="F278" s="465" t="s">
        <v>661</v>
      </c>
      <c r="G278" s="466">
        <v>3.0999999999999999E-3</v>
      </c>
      <c r="H278" s="681">
        <f>SUM(H279:H279)</f>
        <v>0.63330400000000009</v>
      </c>
      <c r="I278" s="467">
        <v>6.69</v>
      </c>
      <c r="J278" s="467">
        <f>IF(ISBLANK(I278),"",SUM(H278:I278))</f>
        <v>7.3233040000000003</v>
      </c>
      <c r="K278" s="682">
        <f t="shared" si="70"/>
        <v>8.6999999999999993</v>
      </c>
      <c r="L278" s="683" t="s">
        <v>18</v>
      </c>
      <c r="M278" s="685"/>
      <c r="N278" s="576">
        <f t="shared" si="76"/>
        <v>0</v>
      </c>
      <c r="O278" s="687">
        <f t="shared" si="59"/>
        <v>0</v>
      </c>
      <c r="P278" s="688">
        <f t="shared" si="60"/>
        <v>0</v>
      </c>
      <c r="Q278" s="765"/>
      <c r="R278" s="685">
        <f>M278</f>
        <v>0</v>
      </c>
      <c r="S278" s="686">
        <f t="shared" si="61"/>
        <v>0</v>
      </c>
      <c r="T278" s="687">
        <f t="shared" si="62"/>
        <v>0</v>
      </c>
      <c r="U278" s="688">
        <f t="shared" si="63"/>
        <v>0</v>
      </c>
      <c r="V278" s="579"/>
      <c r="W278" s="566"/>
      <c r="X278" s="586" t="str">
        <f>IF(W278="X","x",IF(W278="xx","x",IF(W278="xy","x",IF(W278="y","x",IF(OR(P278&gt;0,U278&gt;0),"x","")))))</f>
        <v/>
      </c>
      <c r="Y278" s="586" t="str">
        <f t="shared" si="74"/>
        <v/>
      </c>
      <c r="Z278" s="586" t="str">
        <f t="shared" si="58"/>
        <v/>
      </c>
    </row>
    <row r="279" spans="1:26" ht="12" hidden="1" thickBot="1" x14ac:dyDescent="0.25">
      <c r="A279" s="671" t="s">
        <v>168</v>
      </c>
      <c r="B279" s="644" t="s">
        <v>168</v>
      </c>
      <c r="C279" s="645"/>
      <c r="D279" s="483" t="s">
        <v>252</v>
      </c>
      <c r="E279" s="423"/>
      <c r="F279" s="418">
        <v>20</v>
      </c>
      <c r="G279" s="425">
        <v>2.63E-2</v>
      </c>
      <c r="H279" s="663">
        <f t="shared" ref="H279" si="77">IF(F279&lt;=30,(1.07*F279+2.68)*G279,((1.07*30+2.68)+1.07*(F279-30))*G279)</f>
        <v>0.63330400000000009</v>
      </c>
      <c r="I279" s="420">
        <v>0</v>
      </c>
      <c r="J279" s="420"/>
      <c r="K279" s="421">
        <f t="shared" si="70"/>
        <v>0</v>
      </c>
      <c r="L279" s="647" t="s">
        <v>614</v>
      </c>
      <c r="M279" s="703"/>
      <c r="N279" s="576">
        <f t="shared" si="76"/>
        <v>0</v>
      </c>
      <c r="O279" s="577">
        <f t="shared" si="59"/>
        <v>0</v>
      </c>
      <c r="P279" s="578">
        <f t="shared" si="60"/>
        <v>0</v>
      </c>
      <c r="Q279" s="765"/>
      <c r="R279" s="703"/>
      <c r="S279" s="670"/>
      <c r="T279" s="577">
        <f t="shared" si="62"/>
        <v>0</v>
      </c>
      <c r="U279" s="578">
        <f t="shared" si="63"/>
        <v>0</v>
      </c>
      <c r="V279" s="579"/>
      <c r="W279" s="637" t="str">
        <f>IF(U278&gt;0,"xx",IF(P278&gt;0,"xy",""))</f>
        <v/>
      </c>
      <c r="X279" s="586" t="str">
        <f>IF(W279="X","x",IF(W279="xx","x",IF(W279="xy","x",IF(W279="y","x",IF(OR(P279&gt;0,U279&gt;0),"x","")))))</f>
        <v/>
      </c>
      <c r="Y279" s="586" t="str">
        <f t="shared" si="74"/>
        <v/>
      </c>
      <c r="Z279" s="586" t="str">
        <f t="shared" si="58"/>
        <v/>
      </c>
    </row>
    <row r="280" spans="1:26" ht="12" hidden="1" thickBot="1" x14ac:dyDescent="0.25">
      <c r="A280" s="671">
        <v>589520</v>
      </c>
      <c r="B280" s="704" t="s">
        <v>1760</v>
      </c>
      <c r="C280" s="689" t="s">
        <v>1746</v>
      </c>
      <c r="D280" s="712" t="s">
        <v>754</v>
      </c>
      <c r="E280" s="470"/>
      <c r="F280" s="478">
        <v>500</v>
      </c>
      <c r="G280" s="479">
        <v>1</v>
      </c>
      <c r="H280" s="663">
        <f>(0.84*F280+41.45)*G280</f>
        <v>461.45</v>
      </c>
      <c r="I280" s="472">
        <v>4168</v>
      </c>
      <c r="J280" s="472">
        <f>IF(ISBLANK(I280),"",I280*(1+$F$9)/(1+$F$10))+H280</f>
        <v>4505.6132859186937</v>
      </c>
      <c r="K280" s="690">
        <f t="shared" si="70"/>
        <v>5353.12</v>
      </c>
      <c r="L280" s="691" t="s">
        <v>20</v>
      </c>
      <c r="M280" s="692">
        <f>ROUND(M278*G278,2)</f>
        <v>0</v>
      </c>
      <c r="N280" s="799">
        <f t="shared" si="76"/>
        <v>0</v>
      </c>
      <c r="O280" s="693">
        <f t="shared" si="59"/>
        <v>0</v>
      </c>
      <c r="P280" s="694">
        <f t="shared" si="60"/>
        <v>0</v>
      </c>
      <c r="Q280" s="765"/>
      <c r="R280" s="695">
        <f>ROUND(R278*G278,2)</f>
        <v>0</v>
      </c>
      <c r="S280" s="711">
        <f t="shared" si="61"/>
        <v>0</v>
      </c>
      <c r="T280" s="693">
        <f t="shared" si="62"/>
        <v>0</v>
      </c>
      <c r="U280" s="694">
        <f t="shared" si="63"/>
        <v>0</v>
      </c>
      <c r="V280" s="579"/>
      <c r="W280" s="637" t="str">
        <f>IF(U278&gt;0,"xx",IF(P278&gt;0,"xy",""))</f>
        <v/>
      </c>
      <c r="X280" s="586" t="str">
        <f>IF(W280="X","x",IF(W280="xx","x",IF(W280="xy","x",IF(W280="y","x",IF(OR(P280&gt;0,U280&gt;0),"x","")))))</f>
        <v/>
      </c>
      <c r="Y280" s="586" t="str">
        <f t="shared" si="74"/>
        <v/>
      </c>
      <c r="Z280" s="586" t="str">
        <f t="shared" si="58"/>
        <v/>
      </c>
    </row>
    <row r="281" spans="1:26" ht="12" hidden="1" thickBot="1" x14ac:dyDescent="0.25">
      <c r="A281" s="671">
        <v>583100</v>
      </c>
      <c r="B281" s="701" t="s">
        <v>1616</v>
      </c>
      <c r="C281" s="702" t="s">
        <v>206</v>
      </c>
      <c r="D281" s="482" t="s">
        <v>254</v>
      </c>
      <c r="E281" s="464"/>
      <c r="F281" s="465" t="s">
        <v>661</v>
      </c>
      <c r="G281" s="466">
        <v>3.3999999999999998E-3</v>
      </c>
      <c r="H281" s="681">
        <f>SUM(H282:H282)</f>
        <v>0.73444000000000009</v>
      </c>
      <c r="I281" s="467">
        <v>6.69</v>
      </c>
      <c r="J281" s="467">
        <f>IF(ISBLANK(I281),"",SUM(H281:I281))</f>
        <v>7.4244400000000006</v>
      </c>
      <c r="K281" s="682">
        <f t="shared" si="70"/>
        <v>8.82</v>
      </c>
      <c r="L281" s="683" t="s">
        <v>18</v>
      </c>
      <c r="M281" s="685"/>
      <c r="N281" s="576">
        <f t="shared" si="76"/>
        <v>0</v>
      </c>
      <c r="O281" s="687">
        <f t="shared" si="59"/>
        <v>0</v>
      </c>
      <c r="P281" s="688">
        <f t="shared" si="60"/>
        <v>0</v>
      </c>
      <c r="Q281" s="765"/>
      <c r="R281" s="685">
        <f>M281</f>
        <v>0</v>
      </c>
      <c r="S281" s="686">
        <f t="shared" si="61"/>
        <v>0</v>
      </c>
      <c r="T281" s="687">
        <f t="shared" si="62"/>
        <v>0</v>
      </c>
      <c r="U281" s="688">
        <f t="shared" si="63"/>
        <v>0</v>
      </c>
      <c r="V281" s="579"/>
      <c r="W281" s="566"/>
      <c r="X281" s="586" t="str">
        <f t="shared" si="64"/>
        <v/>
      </c>
      <c r="Y281" s="586" t="str">
        <f t="shared" si="74"/>
        <v/>
      </c>
      <c r="Z281" s="586" t="str">
        <f t="shared" si="58"/>
        <v/>
      </c>
    </row>
    <row r="282" spans="1:26" ht="12" hidden="1" thickBot="1" x14ac:dyDescent="0.25">
      <c r="A282" s="671" t="s">
        <v>168</v>
      </c>
      <c r="B282" s="644" t="s">
        <v>168</v>
      </c>
      <c r="C282" s="645"/>
      <c r="D282" s="483" t="s">
        <v>252</v>
      </c>
      <c r="E282" s="423"/>
      <c r="F282" s="418">
        <v>20</v>
      </c>
      <c r="G282" s="425">
        <v>3.0499999999999999E-2</v>
      </c>
      <c r="H282" s="663">
        <f t="shared" ref="H282" si="78">IF(F282&lt;=30,(1.07*F282+2.68)*G282,((1.07*30+2.68)+1.07*(F282-30))*G282)</f>
        <v>0.73444000000000009</v>
      </c>
      <c r="I282" s="420">
        <v>0</v>
      </c>
      <c r="J282" s="420"/>
      <c r="K282" s="421">
        <f t="shared" si="70"/>
        <v>0</v>
      </c>
      <c r="L282" s="647" t="s">
        <v>614</v>
      </c>
      <c r="M282" s="703"/>
      <c r="N282" s="576">
        <f t="shared" si="76"/>
        <v>0</v>
      </c>
      <c r="O282" s="577">
        <f t="shared" si="59"/>
        <v>0</v>
      </c>
      <c r="P282" s="578">
        <f t="shared" si="60"/>
        <v>0</v>
      </c>
      <c r="Q282" s="765"/>
      <c r="R282" s="703"/>
      <c r="S282" s="670"/>
      <c r="T282" s="577">
        <f t="shared" si="62"/>
        <v>0</v>
      </c>
      <c r="U282" s="578">
        <f t="shared" si="63"/>
        <v>0</v>
      </c>
      <c r="V282" s="579"/>
      <c r="W282" s="637" t="str">
        <f>IF(U281&gt;0,"xx",IF(P281&gt;0,"xy",""))</f>
        <v/>
      </c>
      <c r="X282" s="586" t="str">
        <f>IF(W282="X","x",IF(W282="xx","x",IF(W282="xy","x",IF(W282="y","x",IF(OR(P282&gt;0,U282&gt;0),"x","")))))</f>
        <v/>
      </c>
      <c r="Y282" s="586" t="str">
        <f t="shared" si="74"/>
        <v/>
      </c>
      <c r="Z282" s="586" t="str">
        <f t="shared" si="58"/>
        <v/>
      </c>
    </row>
    <row r="283" spans="1:26" ht="12" hidden="1" thickBot="1" x14ac:dyDescent="0.25">
      <c r="A283" s="671">
        <v>589520</v>
      </c>
      <c r="B283" s="704" t="s">
        <v>1761</v>
      </c>
      <c r="C283" s="689" t="s">
        <v>1746</v>
      </c>
      <c r="D283" s="712" t="s">
        <v>1574</v>
      </c>
      <c r="E283" s="470"/>
      <c r="F283" s="478">
        <v>500</v>
      </c>
      <c r="G283" s="479">
        <v>1</v>
      </c>
      <c r="H283" s="663">
        <f>(0.84*F283+41.45)*G283</f>
        <v>461.45</v>
      </c>
      <c r="I283" s="472">
        <v>4168</v>
      </c>
      <c r="J283" s="472">
        <f>IF(ISBLANK(I283),"",I283*(1+$F$9)/(1+$F$10))+H283</f>
        <v>4505.6132859186937</v>
      </c>
      <c r="K283" s="690">
        <f t="shared" si="70"/>
        <v>5353.12</v>
      </c>
      <c r="L283" s="691" t="s">
        <v>20</v>
      </c>
      <c r="M283" s="692">
        <f>ROUND(M281*G281,2)</f>
        <v>0</v>
      </c>
      <c r="N283" s="588">
        <f t="shared" si="76"/>
        <v>0</v>
      </c>
      <c r="O283" s="693">
        <f t="shared" si="59"/>
        <v>0</v>
      </c>
      <c r="P283" s="694">
        <f t="shared" si="60"/>
        <v>0</v>
      </c>
      <c r="Q283" s="765"/>
      <c r="R283" s="695">
        <f>ROUND(R281*G281,2)</f>
        <v>0</v>
      </c>
      <c r="S283" s="711">
        <f t="shared" si="61"/>
        <v>0</v>
      </c>
      <c r="T283" s="693">
        <f t="shared" si="62"/>
        <v>0</v>
      </c>
      <c r="U283" s="694">
        <f t="shared" si="63"/>
        <v>0</v>
      </c>
      <c r="V283" s="579"/>
      <c r="W283" s="637" t="str">
        <f>IF(U281&gt;0,"xx",IF(P281&gt;0,"xy",""))</f>
        <v/>
      </c>
      <c r="X283" s="586" t="str">
        <f t="shared" si="64"/>
        <v/>
      </c>
      <c r="Y283" s="586" t="str">
        <f t="shared" si="74"/>
        <v/>
      </c>
      <c r="Z283" s="586" t="str">
        <f t="shared" si="58"/>
        <v/>
      </c>
    </row>
    <row r="284" spans="1:26" ht="12" hidden="1" thickBot="1" x14ac:dyDescent="0.25">
      <c r="A284" s="671">
        <v>583100</v>
      </c>
      <c r="B284" s="701" t="s">
        <v>1617</v>
      </c>
      <c r="C284" s="702" t="s">
        <v>206</v>
      </c>
      <c r="D284" s="482" t="s">
        <v>255</v>
      </c>
      <c r="E284" s="464"/>
      <c r="F284" s="465" t="s">
        <v>661</v>
      </c>
      <c r="G284" s="466">
        <v>3.8E-3</v>
      </c>
      <c r="H284" s="681">
        <f>SUM(H285:H285)</f>
        <v>0.88614400000000004</v>
      </c>
      <c r="I284" s="467">
        <v>6.69</v>
      </c>
      <c r="J284" s="467">
        <f>IF(ISBLANK(I284),"",SUM(H284:I284))</f>
        <v>7.5761440000000002</v>
      </c>
      <c r="K284" s="682">
        <f t="shared" si="70"/>
        <v>9</v>
      </c>
      <c r="L284" s="683" t="s">
        <v>18</v>
      </c>
      <c r="M284" s="685"/>
      <c r="N284" s="686">
        <f t="shared" si="76"/>
        <v>0</v>
      </c>
      <c r="O284" s="687">
        <f t="shared" si="59"/>
        <v>0</v>
      </c>
      <c r="P284" s="688">
        <f t="shared" si="60"/>
        <v>0</v>
      </c>
      <c r="Q284" s="765"/>
      <c r="R284" s="685">
        <f>M284</f>
        <v>0</v>
      </c>
      <c r="S284" s="686">
        <f t="shared" si="61"/>
        <v>0</v>
      </c>
      <c r="T284" s="687">
        <f t="shared" si="62"/>
        <v>0</v>
      </c>
      <c r="U284" s="688">
        <f t="shared" si="63"/>
        <v>0</v>
      </c>
      <c r="V284" s="579"/>
      <c r="W284" s="566"/>
      <c r="X284" s="586" t="str">
        <f t="shared" si="64"/>
        <v/>
      </c>
      <c r="Y284" s="586" t="str">
        <f t="shared" si="74"/>
        <v/>
      </c>
      <c r="Z284" s="586" t="str">
        <f t="shared" si="58"/>
        <v/>
      </c>
    </row>
    <row r="285" spans="1:26" ht="12" hidden="1" thickBot="1" x14ac:dyDescent="0.25">
      <c r="A285" s="671" t="s">
        <v>168</v>
      </c>
      <c r="B285" s="644" t="s">
        <v>168</v>
      </c>
      <c r="C285" s="645"/>
      <c r="D285" s="483" t="s">
        <v>252</v>
      </c>
      <c r="E285" s="423"/>
      <c r="F285" s="418">
        <v>20</v>
      </c>
      <c r="G285" s="425">
        <v>3.6799999999999999E-2</v>
      </c>
      <c r="H285" s="663">
        <f t="shared" ref="H285" si="79">IF(F285&lt;=30,(1.07*F285+2.68)*G285,((1.07*30+2.68)+1.07*(F285-30))*G285)</f>
        <v>0.88614400000000004</v>
      </c>
      <c r="I285" s="420">
        <v>0</v>
      </c>
      <c r="J285" s="420"/>
      <c r="K285" s="421">
        <f t="shared" si="70"/>
        <v>0</v>
      </c>
      <c r="L285" s="647" t="s">
        <v>614</v>
      </c>
      <c r="M285" s="703"/>
      <c r="N285" s="576">
        <f t="shared" si="76"/>
        <v>0</v>
      </c>
      <c r="O285" s="577">
        <f t="shared" si="59"/>
        <v>0</v>
      </c>
      <c r="P285" s="578">
        <f t="shared" si="60"/>
        <v>0</v>
      </c>
      <c r="Q285" s="765"/>
      <c r="R285" s="703"/>
      <c r="S285" s="670"/>
      <c r="T285" s="577">
        <f t="shared" si="62"/>
        <v>0</v>
      </c>
      <c r="U285" s="578">
        <f t="shared" si="63"/>
        <v>0</v>
      </c>
      <c r="V285" s="579"/>
      <c r="W285" s="637" t="str">
        <f>IF(U284&gt;0,"xx",IF(P284&gt;0,"xy",""))</f>
        <v/>
      </c>
      <c r="X285" s="586" t="str">
        <f t="shared" si="64"/>
        <v/>
      </c>
      <c r="Y285" s="586" t="str">
        <f t="shared" si="74"/>
        <v/>
      </c>
      <c r="Z285" s="586" t="str">
        <f t="shared" ref="Z285:Z348" si="80">IF(W285="X","x",IF(U285&gt;0,"x",""))</f>
        <v/>
      </c>
    </row>
    <row r="286" spans="1:26" ht="12" hidden="1" thickBot="1" x14ac:dyDescent="0.25">
      <c r="A286" s="671">
        <v>589520</v>
      </c>
      <c r="B286" s="704" t="s">
        <v>1762</v>
      </c>
      <c r="C286" s="689" t="s">
        <v>1746</v>
      </c>
      <c r="D286" s="712" t="s">
        <v>755</v>
      </c>
      <c r="E286" s="470"/>
      <c r="F286" s="478">
        <v>500</v>
      </c>
      <c r="G286" s="479">
        <v>1</v>
      </c>
      <c r="H286" s="663">
        <f>(0.84*F286+41.45)*G286</f>
        <v>461.45</v>
      </c>
      <c r="I286" s="472">
        <v>4168</v>
      </c>
      <c r="J286" s="472">
        <f>IF(ISBLANK(I286),"",I286*(1+$F$9)/(1+$F$10))+H286</f>
        <v>4505.6132859186937</v>
      </c>
      <c r="K286" s="690">
        <f t="shared" si="70"/>
        <v>5353.12</v>
      </c>
      <c r="L286" s="691" t="s">
        <v>20</v>
      </c>
      <c r="M286" s="692">
        <f>ROUND(M284*G284,2)</f>
        <v>0</v>
      </c>
      <c r="N286" s="696">
        <f t="shared" si="76"/>
        <v>0</v>
      </c>
      <c r="O286" s="693">
        <f t="shared" si="59"/>
        <v>0</v>
      </c>
      <c r="P286" s="694">
        <f t="shared" si="60"/>
        <v>0</v>
      </c>
      <c r="Q286" s="765"/>
      <c r="R286" s="695">
        <f>ROUND(R284*G284,2)</f>
        <v>0</v>
      </c>
      <c r="S286" s="711">
        <f>N286</f>
        <v>0</v>
      </c>
      <c r="T286" s="693">
        <f t="shared" si="62"/>
        <v>0</v>
      </c>
      <c r="U286" s="694">
        <f t="shared" si="63"/>
        <v>0</v>
      </c>
      <c r="V286" s="579"/>
      <c r="W286" s="637" t="str">
        <f>IF(U284&gt;0,"xx",IF(P284&gt;0,"xy",""))</f>
        <v/>
      </c>
      <c r="X286" s="586" t="str">
        <f t="shared" si="64"/>
        <v/>
      </c>
      <c r="Y286" s="586" t="str">
        <f t="shared" si="74"/>
        <v/>
      </c>
      <c r="Z286" s="586" t="str">
        <f t="shared" si="80"/>
        <v/>
      </c>
    </row>
    <row r="287" spans="1:26" ht="12" hidden="1" thickBot="1" x14ac:dyDescent="0.25">
      <c r="A287" s="671">
        <v>584200</v>
      </c>
      <c r="B287" s="701" t="s">
        <v>1618</v>
      </c>
      <c r="C287" s="702" t="s">
        <v>206</v>
      </c>
      <c r="D287" s="482" t="s">
        <v>256</v>
      </c>
      <c r="E287" s="464"/>
      <c r="F287" s="465" t="s">
        <v>661</v>
      </c>
      <c r="G287" s="466">
        <v>3.3E-3</v>
      </c>
      <c r="H287" s="681">
        <f>SUM(H288:H288)</f>
        <v>0.68387200000000015</v>
      </c>
      <c r="I287" s="467">
        <v>8.33</v>
      </c>
      <c r="J287" s="467">
        <f>IF(ISBLANK(I287),"",SUM(H287:I287))</f>
        <v>9.013872000000001</v>
      </c>
      <c r="K287" s="682">
        <f t="shared" si="70"/>
        <v>10.71</v>
      </c>
      <c r="L287" s="683" t="s">
        <v>18</v>
      </c>
      <c r="M287" s="685"/>
      <c r="N287" s="576">
        <f t="shared" si="76"/>
        <v>0</v>
      </c>
      <c r="O287" s="687">
        <f t="shared" si="59"/>
        <v>0</v>
      </c>
      <c r="P287" s="688">
        <f t="shared" si="60"/>
        <v>0</v>
      </c>
      <c r="Q287" s="765"/>
      <c r="R287" s="685">
        <f>M287</f>
        <v>0</v>
      </c>
      <c r="S287" s="686">
        <f>N287</f>
        <v>0</v>
      </c>
      <c r="T287" s="687">
        <f t="shared" si="62"/>
        <v>0</v>
      </c>
      <c r="U287" s="688">
        <f t="shared" si="63"/>
        <v>0</v>
      </c>
      <c r="V287" s="579"/>
      <c r="W287" s="566"/>
      <c r="X287" s="586" t="str">
        <f t="shared" si="64"/>
        <v/>
      </c>
      <c r="Y287" s="586" t="str">
        <f t="shared" si="74"/>
        <v/>
      </c>
      <c r="Z287" s="586" t="str">
        <f t="shared" si="80"/>
        <v/>
      </c>
    </row>
    <row r="288" spans="1:26" ht="12" hidden="1" thickBot="1" x14ac:dyDescent="0.25">
      <c r="A288" s="671" t="s">
        <v>168</v>
      </c>
      <c r="B288" s="644" t="s">
        <v>168</v>
      </c>
      <c r="C288" s="645"/>
      <c r="D288" s="483" t="s">
        <v>252</v>
      </c>
      <c r="E288" s="423"/>
      <c r="F288" s="418">
        <v>20</v>
      </c>
      <c r="G288" s="425">
        <v>2.8400000000000002E-2</v>
      </c>
      <c r="H288" s="663">
        <f t="shared" ref="H288" si="81">IF(F288&lt;=30,(1.07*F288+2.68)*G288,((1.07*30+2.68)+1.07*(F288-30))*G288)</f>
        <v>0.68387200000000015</v>
      </c>
      <c r="I288" s="420">
        <v>0</v>
      </c>
      <c r="J288" s="420"/>
      <c r="K288" s="421">
        <f t="shared" si="70"/>
        <v>0</v>
      </c>
      <c r="L288" s="647" t="s">
        <v>614</v>
      </c>
      <c r="M288" s="703"/>
      <c r="N288" s="576">
        <f t="shared" si="76"/>
        <v>0</v>
      </c>
      <c r="O288" s="577">
        <f t="shared" ref="O288:O363" si="82">IF(ISBLANK(M288),0,ROUND(K288*M288,2))</f>
        <v>0</v>
      </c>
      <c r="P288" s="578">
        <f t="shared" ref="P288:P363" si="83">IF(ISBLANK(N288),0,ROUND(M288*N288,2))</f>
        <v>0</v>
      </c>
      <c r="Q288" s="765"/>
      <c r="R288" s="703"/>
      <c r="S288" s="670"/>
      <c r="T288" s="577">
        <f t="shared" ref="T288:T363" si="84">IF(ISBLANK(R288),0,ROUND(K288*R288,2))</f>
        <v>0</v>
      </c>
      <c r="U288" s="578">
        <f t="shared" ref="U288:U363" si="85">IF(ISBLANK(R288),0,ROUND(R288*S288,2))</f>
        <v>0</v>
      </c>
      <c r="V288" s="579"/>
      <c r="W288" s="637" t="str">
        <f>IF(U287&gt;0,"xx",IF(P287&gt;0,"xy",""))</f>
        <v/>
      </c>
      <c r="X288" s="586" t="str">
        <f t="shared" si="64"/>
        <v/>
      </c>
      <c r="Y288" s="586" t="str">
        <f t="shared" si="74"/>
        <v/>
      </c>
      <c r="Z288" s="586" t="str">
        <f t="shared" si="80"/>
        <v/>
      </c>
    </row>
    <row r="289" spans="1:26" ht="12" hidden="1" thickBot="1" x14ac:dyDescent="0.25">
      <c r="A289" s="671">
        <v>589520</v>
      </c>
      <c r="B289" s="704" t="s">
        <v>1763</v>
      </c>
      <c r="C289" s="689" t="s">
        <v>1746</v>
      </c>
      <c r="D289" s="712" t="s">
        <v>756</v>
      </c>
      <c r="E289" s="470"/>
      <c r="F289" s="478">
        <v>500</v>
      </c>
      <c r="G289" s="479">
        <v>1</v>
      </c>
      <c r="H289" s="663">
        <f>(0.84*F289+41.45)*G289</f>
        <v>461.45</v>
      </c>
      <c r="I289" s="472">
        <v>4168</v>
      </c>
      <c r="J289" s="472">
        <f>IF(ISBLANK(I289),"",I289*(1+$F$9)/(1+$F$10))+H289</f>
        <v>4505.6132859186937</v>
      </c>
      <c r="K289" s="690">
        <f t="shared" si="70"/>
        <v>5353.12</v>
      </c>
      <c r="L289" s="691" t="s">
        <v>20</v>
      </c>
      <c r="M289" s="692">
        <f>ROUND(M287*G287,2)</f>
        <v>0</v>
      </c>
      <c r="N289" s="588">
        <f t="shared" si="76"/>
        <v>0</v>
      </c>
      <c r="O289" s="693">
        <f t="shared" si="82"/>
        <v>0</v>
      </c>
      <c r="P289" s="694">
        <f t="shared" si="83"/>
        <v>0</v>
      </c>
      <c r="Q289" s="765"/>
      <c r="R289" s="695">
        <f>ROUND(R287*G287,2)</f>
        <v>0</v>
      </c>
      <c r="S289" s="711">
        <f>N289</f>
        <v>0</v>
      </c>
      <c r="T289" s="693">
        <f t="shared" si="84"/>
        <v>0</v>
      </c>
      <c r="U289" s="694">
        <f t="shared" si="85"/>
        <v>0</v>
      </c>
      <c r="V289" s="579"/>
      <c r="W289" s="637" t="str">
        <f>IF(U287&gt;0,"xx",IF(P287&gt;0,"xy",""))</f>
        <v/>
      </c>
      <c r="X289" s="586" t="str">
        <f t="shared" si="64"/>
        <v/>
      </c>
      <c r="Y289" s="586" t="str">
        <f t="shared" si="74"/>
        <v/>
      </c>
      <c r="Z289" s="586" t="str">
        <f t="shared" si="80"/>
        <v/>
      </c>
    </row>
    <row r="290" spans="1:26" ht="12" hidden="1" thickBot="1" x14ac:dyDescent="0.25">
      <c r="A290" s="671">
        <v>584200</v>
      </c>
      <c r="B290" s="701" t="s">
        <v>1619</v>
      </c>
      <c r="C290" s="702" t="s">
        <v>206</v>
      </c>
      <c r="D290" s="482" t="s">
        <v>257</v>
      </c>
      <c r="E290" s="464"/>
      <c r="F290" s="465" t="s">
        <v>661</v>
      </c>
      <c r="G290" s="466">
        <v>3.8E-3</v>
      </c>
      <c r="H290" s="681">
        <f>SUM(H291:H291)</f>
        <v>0.8355760000000001</v>
      </c>
      <c r="I290" s="467">
        <v>8.33</v>
      </c>
      <c r="J290" s="467">
        <f>IF(ISBLANK(I290),"",SUM(H290:I290))</f>
        <v>9.1655759999999997</v>
      </c>
      <c r="K290" s="682">
        <f t="shared" si="70"/>
        <v>10.89</v>
      </c>
      <c r="L290" s="683" t="s">
        <v>18</v>
      </c>
      <c r="M290" s="685"/>
      <c r="N290" s="686">
        <f t="shared" si="76"/>
        <v>0</v>
      </c>
      <c r="O290" s="687">
        <f t="shared" si="82"/>
        <v>0</v>
      </c>
      <c r="P290" s="688">
        <f t="shared" si="83"/>
        <v>0</v>
      </c>
      <c r="Q290" s="765"/>
      <c r="R290" s="685">
        <f>M290</f>
        <v>0</v>
      </c>
      <c r="S290" s="686">
        <f>N290</f>
        <v>0</v>
      </c>
      <c r="T290" s="687">
        <f t="shared" si="84"/>
        <v>0</v>
      </c>
      <c r="U290" s="688">
        <f t="shared" si="85"/>
        <v>0</v>
      </c>
      <c r="V290" s="579"/>
      <c r="W290" s="566"/>
      <c r="X290" s="586" t="str">
        <f t="shared" ref="X290:X353" si="86">IF(W290="X","x",IF(W290="xx","x",IF(W290="xy","x",IF(W290="y","x",IF(OR(P290&gt;0,U290&gt;0),"x","")))))</f>
        <v/>
      </c>
      <c r="Y290" s="586" t="str">
        <f t="shared" si="74"/>
        <v/>
      </c>
      <c r="Z290" s="586" t="str">
        <f t="shared" si="80"/>
        <v/>
      </c>
    </row>
    <row r="291" spans="1:26" ht="12" hidden="1" thickBot="1" x14ac:dyDescent="0.25">
      <c r="A291" s="671" t="s">
        <v>168</v>
      </c>
      <c r="B291" s="644" t="s">
        <v>168</v>
      </c>
      <c r="C291" s="645"/>
      <c r="D291" s="483" t="s">
        <v>252</v>
      </c>
      <c r="E291" s="423"/>
      <c r="F291" s="418">
        <v>20</v>
      </c>
      <c r="G291" s="425">
        <v>3.4700000000000002E-2</v>
      </c>
      <c r="H291" s="663">
        <f t="shared" ref="H291" si="87">IF(F291&lt;=30,(1.07*F291+2.68)*G291,((1.07*30+2.68)+1.07*(F291-30))*G291)</f>
        <v>0.8355760000000001</v>
      </c>
      <c r="I291" s="420">
        <v>0</v>
      </c>
      <c r="J291" s="420"/>
      <c r="K291" s="421">
        <f t="shared" si="70"/>
        <v>0</v>
      </c>
      <c r="L291" s="647" t="s">
        <v>614</v>
      </c>
      <c r="M291" s="703"/>
      <c r="N291" s="576">
        <f t="shared" si="76"/>
        <v>0</v>
      </c>
      <c r="O291" s="577">
        <f t="shared" si="82"/>
        <v>0</v>
      </c>
      <c r="P291" s="578">
        <f t="shared" si="83"/>
        <v>0</v>
      </c>
      <c r="Q291" s="765"/>
      <c r="R291" s="703"/>
      <c r="S291" s="670"/>
      <c r="T291" s="577">
        <f t="shared" si="84"/>
        <v>0</v>
      </c>
      <c r="U291" s="578">
        <f t="shared" si="85"/>
        <v>0</v>
      </c>
      <c r="V291" s="579"/>
      <c r="W291" s="637" t="str">
        <f>IF(U290&gt;0,"xx",IF(P290&gt;0,"xy",""))</f>
        <v/>
      </c>
      <c r="X291" s="586" t="str">
        <f t="shared" si="86"/>
        <v/>
      </c>
      <c r="Y291" s="586" t="str">
        <f t="shared" si="74"/>
        <v/>
      </c>
      <c r="Z291" s="586" t="str">
        <f t="shared" si="80"/>
        <v/>
      </c>
    </row>
    <row r="292" spans="1:26" ht="12" hidden="1" thickBot="1" x14ac:dyDescent="0.25">
      <c r="A292" s="671">
        <v>589520</v>
      </c>
      <c r="B292" s="704" t="s">
        <v>1764</v>
      </c>
      <c r="C292" s="689" t="s">
        <v>1746</v>
      </c>
      <c r="D292" s="712" t="s">
        <v>654</v>
      </c>
      <c r="E292" s="470"/>
      <c r="F292" s="478">
        <v>500</v>
      </c>
      <c r="G292" s="479">
        <v>1</v>
      </c>
      <c r="H292" s="663">
        <f>(0.84*F292+41.45)*G292</f>
        <v>461.45</v>
      </c>
      <c r="I292" s="472">
        <v>4168</v>
      </c>
      <c r="J292" s="472">
        <f>IF(ISBLANK(I292),"",I292*(1+$F$9)/(1+$F$10))+H292</f>
        <v>4505.6132859186937</v>
      </c>
      <c r="K292" s="690">
        <f t="shared" si="70"/>
        <v>5353.12</v>
      </c>
      <c r="L292" s="691" t="s">
        <v>20</v>
      </c>
      <c r="M292" s="692">
        <f>ROUND(M290*G290,2)</f>
        <v>0</v>
      </c>
      <c r="N292" s="696">
        <f t="shared" si="76"/>
        <v>0</v>
      </c>
      <c r="O292" s="693">
        <f t="shared" si="82"/>
        <v>0</v>
      </c>
      <c r="P292" s="694">
        <f t="shared" si="83"/>
        <v>0</v>
      </c>
      <c r="Q292" s="765"/>
      <c r="R292" s="695">
        <f>ROUND(R290*G290,2)</f>
        <v>0</v>
      </c>
      <c r="S292" s="711">
        <f>N292</f>
        <v>0</v>
      </c>
      <c r="T292" s="693">
        <f t="shared" si="84"/>
        <v>0</v>
      </c>
      <c r="U292" s="694">
        <f t="shared" si="85"/>
        <v>0</v>
      </c>
      <c r="V292" s="579"/>
      <c r="W292" s="637" t="str">
        <f>IF(U290&gt;0,"xx",IF(P290&gt;0,"xy",""))</f>
        <v/>
      </c>
      <c r="X292" s="586" t="str">
        <f t="shared" si="86"/>
        <v/>
      </c>
      <c r="Y292" s="586" t="str">
        <f t="shared" si="74"/>
        <v/>
      </c>
      <c r="Z292" s="586" t="str">
        <f t="shared" si="80"/>
        <v/>
      </c>
    </row>
    <row r="293" spans="1:26" ht="12" hidden="1" thickBot="1" x14ac:dyDescent="0.25">
      <c r="A293" s="671">
        <v>584200</v>
      </c>
      <c r="B293" s="701" t="s">
        <v>1620</v>
      </c>
      <c r="C293" s="702" t="s">
        <v>206</v>
      </c>
      <c r="D293" s="482" t="s">
        <v>258</v>
      </c>
      <c r="E293" s="464"/>
      <c r="F293" s="465" t="s">
        <v>661</v>
      </c>
      <c r="G293" s="466">
        <v>4.0000000000000001E-3</v>
      </c>
      <c r="H293" s="681">
        <f>SUM(H294:H294)</f>
        <v>1.1558400000000002</v>
      </c>
      <c r="I293" s="467">
        <v>8.33</v>
      </c>
      <c r="J293" s="467">
        <f>IF(ISBLANK(I293),"",SUM(H293:I293))</f>
        <v>9.4858399999999996</v>
      </c>
      <c r="K293" s="682">
        <f t="shared" si="70"/>
        <v>11.27</v>
      </c>
      <c r="L293" s="683" t="s">
        <v>18</v>
      </c>
      <c r="M293" s="685"/>
      <c r="N293" s="576">
        <f t="shared" si="76"/>
        <v>0</v>
      </c>
      <c r="O293" s="687">
        <f t="shared" si="82"/>
        <v>0</v>
      </c>
      <c r="P293" s="688">
        <f t="shared" si="83"/>
        <v>0</v>
      </c>
      <c r="Q293" s="765"/>
      <c r="R293" s="685">
        <f>M293</f>
        <v>0</v>
      </c>
      <c r="S293" s="686">
        <f>N293</f>
        <v>0</v>
      </c>
      <c r="T293" s="687">
        <f t="shared" si="84"/>
        <v>0</v>
      </c>
      <c r="U293" s="688">
        <f t="shared" si="85"/>
        <v>0</v>
      </c>
      <c r="V293" s="579"/>
      <c r="W293" s="566"/>
      <c r="X293" s="586" t="str">
        <f t="shared" si="86"/>
        <v/>
      </c>
      <c r="Y293" s="586" t="str">
        <f t="shared" si="74"/>
        <v/>
      </c>
      <c r="Z293" s="586" t="str">
        <f t="shared" si="80"/>
        <v/>
      </c>
    </row>
    <row r="294" spans="1:26" ht="12" hidden="1" thickBot="1" x14ac:dyDescent="0.25">
      <c r="A294" s="671" t="s">
        <v>168</v>
      </c>
      <c r="B294" s="644" t="s">
        <v>168</v>
      </c>
      <c r="C294" s="645"/>
      <c r="D294" s="483" t="s">
        <v>252</v>
      </c>
      <c r="E294" s="423"/>
      <c r="F294" s="418">
        <v>20</v>
      </c>
      <c r="G294" s="425">
        <v>4.8000000000000001E-2</v>
      </c>
      <c r="H294" s="663">
        <f t="shared" ref="H294" si="88">IF(F294&lt;=30,(1.07*F294+2.68)*G294,((1.07*30+2.68)+1.07*(F294-30))*G294)</f>
        <v>1.1558400000000002</v>
      </c>
      <c r="I294" s="420">
        <v>0</v>
      </c>
      <c r="J294" s="420"/>
      <c r="K294" s="421">
        <f t="shared" si="70"/>
        <v>0</v>
      </c>
      <c r="L294" s="647" t="s">
        <v>614</v>
      </c>
      <c r="M294" s="703"/>
      <c r="N294" s="576">
        <f t="shared" si="76"/>
        <v>0</v>
      </c>
      <c r="O294" s="577">
        <f t="shared" si="82"/>
        <v>0</v>
      </c>
      <c r="P294" s="578">
        <f t="shared" si="83"/>
        <v>0</v>
      </c>
      <c r="Q294" s="765"/>
      <c r="R294" s="703"/>
      <c r="S294" s="670"/>
      <c r="T294" s="577">
        <f t="shared" si="84"/>
        <v>0</v>
      </c>
      <c r="U294" s="578">
        <f t="shared" si="85"/>
        <v>0</v>
      </c>
      <c r="V294" s="579"/>
      <c r="W294" s="637" t="str">
        <f>IF(U293&gt;0,"xx",IF(P293&gt;0,"xy",""))</f>
        <v/>
      </c>
      <c r="X294" s="586" t="str">
        <f t="shared" si="86"/>
        <v/>
      </c>
      <c r="Y294" s="586" t="str">
        <f t="shared" si="74"/>
        <v/>
      </c>
      <c r="Z294" s="586" t="str">
        <f t="shared" si="80"/>
        <v/>
      </c>
    </row>
    <row r="295" spans="1:26" ht="12" hidden="1" thickBot="1" x14ac:dyDescent="0.25">
      <c r="A295" s="671">
        <v>589520</v>
      </c>
      <c r="B295" s="704" t="s">
        <v>1765</v>
      </c>
      <c r="C295" s="689" t="s">
        <v>1746</v>
      </c>
      <c r="D295" s="712" t="s">
        <v>757</v>
      </c>
      <c r="E295" s="470"/>
      <c r="F295" s="478">
        <v>500</v>
      </c>
      <c r="G295" s="479">
        <v>1</v>
      </c>
      <c r="H295" s="663">
        <f>(0.84*F295+41.45)*G295</f>
        <v>461.45</v>
      </c>
      <c r="I295" s="472">
        <v>4168</v>
      </c>
      <c r="J295" s="472">
        <f>IF(ISBLANK(I295),"",I295*(1+$F$9)/(1+$F$10))+H295</f>
        <v>4505.6132859186937</v>
      </c>
      <c r="K295" s="690">
        <f t="shared" si="70"/>
        <v>5353.12</v>
      </c>
      <c r="L295" s="691" t="s">
        <v>20</v>
      </c>
      <c r="M295" s="692">
        <f>ROUND(M293*G293,2)</f>
        <v>0</v>
      </c>
      <c r="N295" s="588">
        <f t="shared" si="76"/>
        <v>0</v>
      </c>
      <c r="O295" s="693">
        <f t="shared" si="82"/>
        <v>0</v>
      </c>
      <c r="P295" s="694">
        <f t="shared" si="83"/>
        <v>0</v>
      </c>
      <c r="Q295" s="765"/>
      <c r="R295" s="695">
        <f>ROUND(R293*G293,2)</f>
        <v>0</v>
      </c>
      <c r="S295" s="711">
        <f>N295</f>
        <v>0</v>
      </c>
      <c r="T295" s="693">
        <f t="shared" si="84"/>
        <v>0</v>
      </c>
      <c r="U295" s="694">
        <f t="shared" si="85"/>
        <v>0</v>
      </c>
      <c r="V295" s="579"/>
      <c r="W295" s="637" t="str">
        <f>IF(U293&gt;0,"xx",IF(P293&gt;0,"xy",""))</f>
        <v/>
      </c>
      <c r="X295" s="586" t="str">
        <f t="shared" si="86"/>
        <v/>
      </c>
      <c r="Y295" s="586" t="str">
        <f t="shared" si="74"/>
        <v/>
      </c>
      <c r="Z295" s="586" t="str">
        <f t="shared" si="80"/>
        <v/>
      </c>
    </row>
    <row r="296" spans="1:26" ht="12" hidden="1" thickBot="1" x14ac:dyDescent="0.25">
      <c r="A296" s="671">
        <v>564000</v>
      </c>
      <c r="B296" s="701">
        <v>564000</v>
      </c>
      <c r="C296" s="702" t="s">
        <v>206</v>
      </c>
      <c r="D296" s="482" t="s">
        <v>259</v>
      </c>
      <c r="E296" s="464"/>
      <c r="F296" s="465" t="s">
        <v>661</v>
      </c>
      <c r="G296" s="466">
        <v>0.125</v>
      </c>
      <c r="H296" s="681">
        <f>SUM(H297:H297)</f>
        <v>52.976000000000006</v>
      </c>
      <c r="I296" s="467">
        <v>118.24000000000001</v>
      </c>
      <c r="J296" s="467">
        <f>IF(ISBLANK(I296),"",SUM(H296:I296))</f>
        <v>171.21600000000001</v>
      </c>
      <c r="K296" s="682">
        <f t="shared" si="70"/>
        <v>203.42</v>
      </c>
      <c r="L296" s="683" t="s">
        <v>16</v>
      </c>
      <c r="M296" s="685"/>
      <c r="N296" s="686">
        <f t="shared" si="76"/>
        <v>0</v>
      </c>
      <c r="O296" s="687">
        <f t="shared" si="82"/>
        <v>0</v>
      </c>
      <c r="P296" s="688">
        <f t="shared" si="83"/>
        <v>0</v>
      </c>
      <c r="Q296" s="765"/>
      <c r="R296" s="685">
        <f>M296</f>
        <v>0</v>
      </c>
      <c r="S296" s="686">
        <f>N296</f>
        <v>0</v>
      </c>
      <c r="T296" s="687">
        <f t="shared" si="84"/>
        <v>0</v>
      </c>
      <c r="U296" s="688">
        <f t="shared" si="85"/>
        <v>0</v>
      </c>
      <c r="V296" s="579"/>
      <c r="W296" s="566"/>
      <c r="X296" s="586" t="str">
        <f t="shared" si="86"/>
        <v/>
      </c>
      <c r="Y296" s="586" t="str">
        <f t="shared" si="74"/>
        <v/>
      </c>
      <c r="Z296" s="586" t="str">
        <f t="shared" si="80"/>
        <v/>
      </c>
    </row>
    <row r="297" spans="1:26" ht="12" hidden="1" thickBot="1" x14ac:dyDescent="0.25">
      <c r="A297" s="671" t="s">
        <v>168</v>
      </c>
      <c r="B297" s="644" t="s">
        <v>168</v>
      </c>
      <c r="C297" s="645"/>
      <c r="D297" s="483" t="s">
        <v>252</v>
      </c>
      <c r="E297" s="423"/>
      <c r="F297" s="418">
        <v>20</v>
      </c>
      <c r="G297" s="425">
        <v>2.2000000000000002</v>
      </c>
      <c r="H297" s="663">
        <f t="shared" ref="H297" si="89">IF(F297&lt;=30,(1.07*F297+2.68)*G297,((1.07*30+2.68)+1.07*(F297-30))*G297)</f>
        <v>52.976000000000006</v>
      </c>
      <c r="I297" s="420">
        <v>0</v>
      </c>
      <c r="J297" s="420"/>
      <c r="K297" s="421">
        <f t="shared" si="70"/>
        <v>0</v>
      </c>
      <c r="L297" s="647" t="s">
        <v>614</v>
      </c>
      <c r="M297" s="703"/>
      <c r="N297" s="576">
        <f t="shared" si="76"/>
        <v>0</v>
      </c>
      <c r="O297" s="577">
        <f t="shared" si="82"/>
        <v>0</v>
      </c>
      <c r="P297" s="578">
        <f t="shared" si="83"/>
        <v>0</v>
      </c>
      <c r="Q297" s="765"/>
      <c r="R297" s="703"/>
      <c r="S297" s="670"/>
      <c r="T297" s="577">
        <f t="shared" si="84"/>
        <v>0</v>
      </c>
      <c r="U297" s="578">
        <f t="shared" si="85"/>
        <v>0</v>
      </c>
      <c r="V297" s="579"/>
      <c r="W297" s="637" t="str">
        <f>IF(U296&gt;0,"xx",IF(P296&gt;0,"xy",""))</f>
        <v/>
      </c>
      <c r="X297" s="586" t="str">
        <f t="shared" si="86"/>
        <v/>
      </c>
      <c r="Y297" s="586" t="str">
        <f t="shared" si="74"/>
        <v/>
      </c>
      <c r="Z297" s="586" t="str">
        <f t="shared" si="80"/>
        <v/>
      </c>
    </row>
    <row r="298" spans="1:26" ht="12" hidden="1" thickBot="1" x14ac:dyDescent="0.25">
      <c r="A298" s="671">
        <v>589520</v>
      </c>
      <c r="B298" s="704" t="s">
        <v>1766</v>
      </c>
      <c r="C298" s="689" t="s">
        <v>1746</v>
      </c>
      <c r="D298" s="712" t="s">
        <v>758</v>
      </c>
      <c r="E298" s="470"/>
      <c r="F298" s="478">
        <v>500</v>
      </c>
      <c r="G298" s="479">
        <v>1</v>
      </c>
      <c r="H298" s="663">
        <f>(0.84*F298+41.45)*G298</f>
        <v>461.45</v>
      </c>
      <c r="I298" s="472">
        <v>4168</v>
      </c>
      <c r="J298" s="472">
        <f>IF(ISBLANK(I298),"",I298*(1+$F$9)/(1+$F$10))+H298</f>
        <v>4505.6132859186937</v>
      </c>
      <c r="K298" s="690">
        <f t="shared" si="70"/>
        <v>5353.12</v>
      </c>
      <c r="L298" s="691" t="s">
        <v>20</v>
      </c>
      <c r="M298" s="692">
        <f>ROUND(M296*G296,2)</f>
        <v>0</v>
      </c>
      <c r="N298" s="696">
        <f t="shared" si="76"/>
        <v>0</v>
      </c>
      <c r="O298" s="693">
        <f t="shared" si="82"/>
        <v>0</v>
      </c>
      <c r="P298" s="694">
        <f t="shared" si="83"/>
        <v>0</v>
      </c>
      <c r="Q298" s="765"/>
      <c r="R298" s="695">
        <f>ROUND(R296*G296,2)</f>
        <v>0</v>
      </c>
      <c r="S298" s="711">
        <f>N298</f>
        <v>0</v>
      </c>
      <c r="T298" s="693">
        <f t="shared" si="84"/>
        <v>0</v>
      </c>
      <c r="U298" s="694">
        <f t="shared" si="85"/>
        <v>0</v>
      </c>
      <c r="V298" s="579"/>
      <c r="W298" s="637" t="str">
        <f>IF(U296&gt;0,"xx",IF(P296&gt;0,"xy",""))</f>
        <v/>
      </c>
      <c r="X298" s="586" t="str">
        <f t="shared" si="86"/>
        <v/>
      </c>
      <c r="Y298" s="586" t="str">
        <f t="shared" si="74"/>
        <v/>
      </c>
      <c r="Z298" s="586" t="str">
        <f t="shared" si="80"/>
        <v/>
      </c>
    </row>
    <row r="299" spans="1:26" ht="12" hidden="1" thickBot="1" x14ac:dyDescent="0.25">
      <c r="A299" s="671">
        <v>564300</v>
      </c>
      <c r="B299" s="701">
        <v>564300</v>
      </c>
      <c r="C299" s="702" t="s">
        <v>206</v>
      </c>
      <c r="D299" s="482" t="s">
        <v>260</v>
      </c>
      <c r="E299" s="464"/>
      <c r="F299" s="465" t="s">
        <v>662</v>
      </c>
      <c r="G299" s="466">
        <v>0.1</v>
      </c>
      <c r="H299" s="681">
        <f>SUM(H300:H300)</f>
        <v>52.976000000000006</v>
      </c>
      <c r="I299" s="467">
        <v>126.49</v>
      </c>
      <c r="J299" s="467">
        <f>IF(ISBLANK(I299),"",SUM(H299:I299))</f>
        <v>179.46600000000001</v>
      </c>
      <c r="K299" s="682">
        <f t="shared" si="70"/>
        <v>213.22</v>
      </c>
      <c r="L299" s="683" t="s">
        <v>16</v>
      </c>
      <c r="M299" s="685"/>
      <c r="N299" s="576">
        <f t="shared" si="76"/>
        <v>0</v>
      </c>
      <c r="O299" s="687">
        <f t="shared" si="82"/>
        <v>0</v>
      </c>
      <c r="P299" s="688">
        <f t="shared" si="83"/>
        <v>0</v>
      </c>
      <c r="Q299" s="765"/>
      <c r="R299" s="685">
        <f>M299</f>
        <v>0</v>
      </c>
      <c r="S299" s="686">
        <f>N299</f>
        <v>0</v>
      </c>
      <c r="T299" s="687">
        <f t="shared" si="84"/>
        <v>0</v>
      </c>
      <c r="U299" s="688">
        <f t="shared" si="85"/>
        <v>0</v>
      </c>
      <c r="V299" s="579"/>
      <c r="W299" s="566"/>
      <c r="X299" s="586" t="str">
        <f t="shared" si="86"/>
        <v/>
      </c>
      <c r="Y299" s="586" t="str">
        <f t="shared" si="74"/>
        <v/>
      </c>
      <c r="Z299" s="586" t="str">
        <f t="shared" si="80"/>
        <v/>
      </c>
    </row>
    <row r="300" spans="1:26" ht="12" hidden="1" thickBot="1" x14ac:dyDescent="0.25">
      <c r="A300" s="671" t="s">
        <v>168</v>
      </c>
      <c r="B300" s="644" t="s">
        <v>168</v>
      </c>
      <c r="C300" s="645"/>
      <c r="D300" s="483" t="s">
        <v>252</v>
      </c>
      <c r="E300" s="423"/>
      <c r="F300" s="418">
        <v>20</v>
      </c>
      <c r="G300" s="425">
        <v>2.2000000000000002</v>
      </c>
      <c r="H300" s="663">
        <f t="shared" ref="H300" si="90">IF(F300&lt;=30,(1.07*F300+2.68)*G300,((1.07*30+2.68)+1.07*(F300-30))*G300)</f>
        <v>52.976000000000006</v>
      </c>
      <c r="I300" s="420">
        <v>0</v>
      </c>
      <c r="J300" s="420"/>
      <c r="K300" s="421">
        <f t="shared" si="70"/>
        <v>0</v>
      </c>
      <c r="L300" s="647" t="s">
        <v>614</v>
      </c>
      <c r="M300" s="703"/>
      <c r="N300" s="576">
        <f t="shared" si="76"/>
        <v>0</v>
      </c>
      <c r="O300" s="577">
        <f t="shared" si="82"/>
        <v>0</v>
      </c>
      <c r="P300" s="578">
        <f t="shared" si="83"/>
        <v>0</v>
      </c>
      <c r="Q300" s="765"/>
      <c r="R300" s="703"/>
      <c r="S300" s="670"/>
      <c r="T300" s="577">
        <f t="shared" si="84"/>
        <v>0</v>
      </c>
      <c r="U300" s="578">
        <f t="shared" si="85"/>
        <v>0</v>
      </c>
      <c r="V300" s="579"/>
      <c r="W300" s="637" t="str">
        <f>IF(U299&gt;0,"xx",IF(P299&gt;0,"xy",""))</f>
        <v/>
      </c>
      <c r="X300" s="586" t="str">
        <f t="shared" si="86"/>
        <v/>
      </c>
      <c r="Y300" s="586" t="str">
        <f t="shared" si="74"/>
        <v/>
      </c>
      <c r="Z300" s="586" t="str">
        <f t="shared" si="80"/>
        <v/>
      </c>
    </row>
    <row r="301" spans="1:26" ht="12" hidden="1" thickBot="1" x14ac:dyDescent="0.25">
      <c r="A301" s="671">
        <v>589000</v>
      </c>
      <c r="B301" s="704" t="s">
        <v>1767</v>
      </c>
      <c r="C301" s="689" t="s">
        <v>1746</v>
      </c>
      <c r="D301" s="712" t="s">
        <v>655</v>
      </c>
      <c r="E301" s="470"/>
      <c r="F301" s="478">
        <v>500</v>
      </c>
      <c r="G301" s="479">
        <v>1</v>
      </c>
      <c r="H301" s="663">
        <f>(0.84*F301+41.45)*G301</f>
        <v>461.45</v>
      </c>
      <c r="I301" s="472">
        <v>5725</v>
      </c>
      <c r="J301" s="472">
        <f>IF(ISBLANK(I301),"",I301*(1+$F$9)/(1+$F$10))+H301</f>
        <v>6016.3527859607784</v>
      </c>
      <c r="K301" s="690">
        <f t="shared" si="70"/>
        <v>7148.03</v>
      </c>
      <c r="L301" s="691" t="s">
        <v>20</v>
      </c>
      <c r="M301" s="692">
        <f>ROUND(M299*G299,2)</f>
        <v>0</v>
      </c>
      <c r="N301" s="588">
        <f t="shared" si="76"/>
        <v>0</v>
      </c>
      <c r="O301" s="693">
        <f t="shared" si="82"/>
        <v>0</v>
      </c>
      <c r="P301" s="694">
        <f t="shared" si="83"/>
        <v>0</v>
      </c>
      <c r="Q301" s="765"/>
      <c r="R301" s="695">
        <f>ROUND(R299*G299,2)</f>
        <v>0</v>
      </c>
      <c r="S301" s="711">
        <f>N301</f>
        <v>0</v>
      </c>
      <c r="T301" s="693">
        <f t="shared" si="84"/>
        <v>0</v>
      </c>
      <c r="U301" s="694">
        <f t="shared" si="85"/>
        <v>0</v>
      </c>
      <c r="V301" s="579"/>
      <c r="W301" s="637" t="str">
        <f>IF(U299&gt;0,"xx",IF(P299&gt;0,"xy",""))</f>
        <v/>
      </c>
      <c r="X301" s="586" t="str">
        <f t="shared" si="86"/>
        <v/>
      </c>
      <c r="Y301" s="586" t="str">
        <f t="shared" si="74"/>
        <v/>
      </c>
      <c r="Z301" s="586" t="str">
        <f t="shared" si="80"/>
        <v/>
      </c>
    </row>
    <row r="302" spans="1:26" ht="12" hidden="1" thickBot="1" x14ac:dyDescent="0.25">
      <c r="A302" s="671">
        <v>563100</v>
      </c>
      <c r="B302" s="701" t="s">
        <v>1634</v>
      </c>
      <c r="C302" s="702" t="s">
        <v>206</v>
      </c>
      <c r="D302" s="484" t="s">
        <v>261</v>
      </c>
      <c r="E302" s="464"/>
      <c r="F302" s="465" t="s">
        <v>661</v>
      </c>
      <c r="G302" s="466">
        <v>5.0000000000000001E-4</v>
      </c>
      <c r="H302" s="681">
        <f>SUM(H303:H303)</f>
        <v>0.16856000000000002</v>
      </c>
      <c r="I302" s="467">
        <v>1.25</v>
      </c>
      <c r="J302" s="467">
        <f>IF(ISBLANK(I302),"",SUM(H302:I302))</f>
        <v>1.41856</v>
      </c>
      <c r="K302" s="682">
        <f t="shared" si="70"/>
        <v>1.69</v>
      </c>
      <c r="L302" s="683" t="s">
        <v>18</v>
      </c>
      <c r="M302" s="685"/>
      <c r="N302" s="686">
        <f t="shared" si="76"/>
        <v>0</v>
      </c>
      <c r="O302" s="687">
        <f t="shared" si="82"/>
        <v>0</v>
      </c>
      <c r="P302" s="688">
        <f t="shared" si="83"/>
        <v>0</v>
      </c>
      <c r="Q302" s="765"/>
      <c r="R302" s="685">
        <f>M302</f>
        <v>0</v>
      </c>
      <c r="S302" s="686">
        <f>N302</f>
        <v>0</v>
      </c>
      <c r="T302" s="687">
        <f t="shared" si="84"/>
        <v>0</v>
      </c>
      <c r="U302" s="688">
        <f t="shared" si="85"/>
        <v>0</v>
      </c>
      <c r="V302" s="579"/>
      <c r="W302" s="566"/>
      <c r="X302" s="586" t="str">
        <f t="shared" si="86"/>
        <v/>
      </c>
      <c r="Y302" s="586" t="str">
        <f t="shared" si="74"/>
        <v/>
      </c>
      <c r="Z302" s="586" t="str">
        <f t="shared" si="80"/>
        <v/>
      </c>
    </row>
    <row r="303" spans="1:26" ht="12" hidden="1" thickBot="1" x14ac:dyDescent="0.25">
      <c r="A303" s="671" t="s">
        <v>168</v>
      </c>
      <c r="B303" s="644" t="s">
        <v>168</v>
      </c>
      <c r="C303" s="645"/>
      <c r="D303" s="713" t="s">
        <v>252</v>
      </c>
      <c r="E303" s="423"/>
      <c r="F303" s="418">
        <v>20</v>
      </c>
      <c r="G303" s="425">
        <v>7.0000000000000001E-3</v>
      </c>
      <c r="H303" s="663">
        <f t="shared" ref="H303" si="91">IF(F303&lt;=30,(1.07*F303+2.68)*G303,((1.07*30+2.68)+1.07*(F303-30))*G303)</f>
        <v>0.16856000000000002</v>
      </c>
      <c r="I303" s="420">
        <v>0</v>
      </c>
      <c r="J303" s="420"/>
      <c r="K303" s="421">
        <f t="shared" si="70"/>
        <v>0</v>
      </c>
      <c r="L303" s="647" t="s">
        <v>614</v>
      </c>
      <c r="M303" s="703"/>
      <c r="N303" s="576">
        <f t="shared" si="76"/>
        <v>0</v>
      </c>
      <c r="O303" s="577">
        <f t="shared" si="82"/>
        <v>0</v>
      </c>
      <c r="P303" s="578">
        <f t="shared" si="83"/>
        <v>0</v>
      </c>
      <c r="Q303" s="765"/>
      <c r="R303" s="703"/>
      <c r="S303" s="670"/>
      <c r="T303" s="577">
        <f t="shared" si="84"/>
        <v>0</v>
      </c>
      <c r="U303" s="578">
        <f t="shared" si="85"/>
        <v>0</v>
      </c>
      <c r="V303" s="579"/>
      <c r="W303" s="637" t="str">
        <f>IF(U302&gt;0,"xx",IF(P302&gt;0,"xy",""))</f>
        <v/>
      </c>
      <c r="X303" s="586" t="str">
        <f t="shared" si="86"/>
        <v/>
      </c>
      <c r="Y303" s="586" t="str">
        <f t="shared" si="74"/>
        <v/>
      </c>
      <c r="Z303" s="586" t="str">
        <f t="shared" si="80"/>
        <v/>
      </c>
    </row>
    <row r="304" spans="1:26" ht="12" hidden="1" thickBot="1" x14ac:dyDescent="0.25">
      <c r="A304" s="671">
        <v>589520</v>
      </c>
      <c r="B304" s="704" t="s">
        <v>1768</v>
      </c>
      <c r="C304" s="689" t="s">
        <v>1746</v>
      </c>
      <c r="D304" s="477" t="s">
        <v>656</v>
      </c>
      <c r="E304" s="470"/>
      <c r="F304" s="478">
        <v>500</v>
      </c>
      <c r="G304" s="479">
        <v>1</v>
      </c>
      <c r="H304" s="663">
        <f>(0.84*F304+41.45)*G304</f>
        <v>461.45</v>
      </c>
      <c r="I304" s="472">
        <v>4168</v>
      </c>
      <c r="J304" s="472">
        <f>IF(ISBLANK(I304),"",I304*(1+$F$9)/(1+$F$10))+H304</f>
        <v>4505.6132859186937</v>
      </c>
      <c r="K304" s="690">
        <f t="shared" si="70"/>
        <v>5353.12</v>
      </c>
      <c r="L304" s="691" t="s">
        <v>20</v>
      </c>
      <c r="M304" s="692">
        <f>ROUND(M302*G302,2)</f>
        <v>0</v>
      </c>
      <c r="N304" s="696">
        <f t="shared" si="76"/>
        <v>0</v>
      </c>
      <c r="O304" s="693">
        <f t="shared" si="82"/>
        <v>0</v>
      </c>
      <c r="P304" s="694">
        <f t="shared" si="83"/>
        <v>0</v>
      </c>
      <c r="Q304" s="765"/>
      <c r="R304" s="695">
        <f>ROUND(R302*G302,2)</f>
        <v>0</v>
      </c>
      <c r="S304" s="711">
        <f>N304</f>
        <v>0</v>
      </c>
      <c r="T304" s="693">
        <f t="shared" si="84"/>
        <v>0</v>
      </c>
      <c r="U304" s="694">
        <f t="shared" si="85"/>
        <v>0</v>
      </c>
      <c r="V304" s="579"/>
      <c r="W304" s="637" t="str">
        <f>IF(U302&gt;0,"xx",IF(P302&gt;0,"xy",""))</f>
        <v/>
      </c>
      <c r="X304" s="586" t="str">
        <f t="shared" si="86"/>
        <v/>
      </c>
      <c r="Y304" s="586" t="str">
        <f t="shared" si="74"/>
        <v/>
      </c>
      <c r="Z304" s="586" t="str">
        <f t="shared" si="80"/>
        <v/>
      </c>
    </row>
    <row r="305" spans="1:26" ht="12" hidden="1" thickBot="1" x14ac:dyDescent="0.25">
      <c r="A305" s="671">
        <v>534000</v>
      </c>
      <c r="B305" s="701" t="s">
        <v>672</v>
      </c>
      <c r="C305" s="702" t="s">
        <v>206</v>
      </c>
      <c r="D305" s="463" t="s">
        <v>1912</v>
      </c>
      <c r="E305" s="464"/>
      <c r="F305" s="465" t="s">
        <v>663</v>
      </c>
      <c r="G305" s="466">
        <v>0.08</v>
      </c>
      <c r="H305" s="681">
        <f>SUM(H306:H309)</f>
        <v>65.029280000000014</v>
      </c>
      <c r="I305" s="467">
        <v>138.26</v>
      </c>
      <c r="J305" s="467">
        <f>IF(ISBLANK(I305),"",SUM(H305:I305))</f>
        <v>203.28928000000002</v>
      </c>
      <c r="K305" s="682">
        <f t="shared" si="70"/>
        <v>241.53</v>
      </c>
      <c r="L305" s="683" t="s">
        <v>16</v>
      </c>
      <c r="M305" s="685"/>
      <c r="N305" s="576">
        <f t="shared" si="76"/>
        <v>0</v>
      </c>
      <c r="O305" s="687">
        <f t="shared" si="82"/>
        <v>0</v>
      </c>
      <c r="P305" s="688">
        <f t="shared" si="83"/>
        <v>0</v>
      </c>
      <c r="Q305" s="765"/>
      <c r="R305" s="685">
        <f>M305</f>
        <v>0</v>
      </c>
      <c r="S305" s="686">
        <f>N305</f>
        <v>0</v>
      </c>
      <c r="T305" s="687">
        <f t="shared" si="84"/>
        <v>0</v>
      </c>
      <c r="U305" s="688">
        <f t="shared" si="85"/>
        <v>0</v>
      </c>
      <c r="V305" s="579"/>
      <c r="W305" s="566"/>
      <c r="X305" s="586" t="str">
        <f t="shared" si="86"/>
        <v/>
      </c>
      <c r="Y305" s="586" t="str">
        <f t="shared" si="74"/>
        <v/>
      </c>
      <c r="Z305" s="586" t="str">
        <f t="shared" si="80"/>
        <v/>
      </c>
    </row>
    <row r="306" spans="1:26" ht="12" hidden="1" thickBot="1" x14ac:dyDescent="0.25">
      <c r="A306" s="671" t="s">
        <v>168</v>
      </c>
      <c r="B306" s="644" t="s">
        <v>168</v>
      </c>
      <c r="C306" s="645"/>
      <c r="D306" s="451" t="s">
        <v>248</v>
      </c>
      <c r="E306" s="423"/>
      <c r="F306" s="424">
        <v>180</v>
      </c>
      <c r="G306" s="425"/>
      <c r="H306" s="663">
        <f t="shared" ref="H306:H308" si="92">IF(F306&lt;=30,(1.07*F306+2.68)*G306,((1.07*30+2.68)+1.07*(F306-30))*G306)</f>
        <v>0</v>
      </c>
      <c r="I306" s="420">
        <v>0</v>
      </c>
      <c r="J306" s="420">
        <f>IF(ISBLANK(I306),"",SUM(H306:I306))</f>
        <v>0</v>
      </c>
      <c r="K306" s="421">
        <f t="shared" si="70"/>
        <v>0</v>
      </c>
      <c r="L306" s="647" t="s">
        <v>614</v>
      </c>
      <c r="M306" s="703"/>
      <c r="N306" s="576">
        <f t="shared" si="76"/>
        <v>0</v>
      </c>
      <c r="O306" s="577">
        <f t="shared" si="82"/>
        <v>0</v>
      </c>
      <c r="P306" s="578">
        <f t="shared" si="83"/>
        <v>0</v>
      </c>
      <c r="Q306" s="765"/>
      <c r="R306" s="703"/>
      <c r="S306" s="670"/>
      <c r="T306" s="577">
        <f t="shared" si="84"/>
        <v>0</v>
      </c>
      <c r="U306" s="578">
        <f t="shared" si="85"/>
        <v>0</v>
      </c>
      <c r="V306" s="579"/>
      <c r="W306" s="637" t="str">
        <f>IF(U305&gt;0,"xx",IF(P305&gt;0,"xy",""))</f>
        <v/>
      </c>
      <c r="X306" s="586" t="str">
        <f t="shared" si="86"/>
        <v/>
      </c>
      <c r="Y306" s="586" t="str">
        <f t="shared" si="74"/>
        <v/>
      </c>
      <c r="Z306" s="586" t="str">
        <f t="shared" si="80"/>
        <v/>
      </c>
    </row>
    <row r="307" spans="1:26" ht="12" hidden="1" thickBot="1" x14ac:dyDescent="0.25">
      <c r="A307" s="671" t="s">
        <v>168</v>
      </c>
      <c r="B307" s="644" t="s">
        <v>168</v>
      </c>
      <c r="C307" s="645"/>
      <c r="D307" s="451" t="s">
        <v>249</v>
      </c>
      <c r="E307" s="423"/>
      <c r="F307" s="424">
        <v>500</v>
      </c>
      <c r="G307" s="425"/>
      <c r="H307" s="649">
        <f>IF(F307&lt;=30,(0.78*F307+7.82)*G307,((0.78*30+7.82)+0.78*(F307-30))*G307)</f>
        <v>0</v>
      </c>
      <c r="I307" s="420">
        <v>0</v>
      </c>
      <c r="J307" s="420">
        <f>IF(ISBLANK(I307),"",SUM(H307:I307))</f>
        <v>0</v>
      </c>
      <c r="K307" s="421">
        <f t="shared" si="70"/>
        <v>0</v>
      </c>
      <c r="L307" s="647" t="s">
        <v>614</v>
      </c>
      <c r="M307" s="703"/>
      <c r="N307" s="576">
        <f t="shared" si="76"/>
        <v>0</v>
      </c>
      <c r="O307" s="577">
        <f t="shared" si="82"/>
        <v>0</v>
      </c>
      <c r="P307" s="578">
        <f t="shared" si="83"/>
        <v>0</v>
      </c>
      <c r="Q307" s="765"/>
      <c r="R307" s="703"/>
      <c r="S307" s="670"/>
      <c r="T307" s="577">
        <f t="shared" si="84"/>
        <v>0</v>
      </c>
      <c r="U307" s="578">
        <f t="shared" si="85"/>
        <v>0</v>
      </c>
      <c r="V307" s="579"/>
      <c r="W307" s="637" t="str">
        <f>IF(U305&gt;0,"xx",IF(P305&gt;0,"xy",""))</f>
        <v/>
      </c>
      <c r="X307" s="586" t="str">
        <f>IF(W307="X","x",IF(W307="xx","x",IF(W307="xy","x",IF(W307="y","x",IF(OR(P307&gt;0,U307&gt;0),"x","")))))</f>
        <v/>
      </c>
      <c r="Y307" s="586" t="str">
        <f>IF(W307="X","x",IF(W307="y","x",IF(W307="xx","x",IF(U307&gt;0,"x",""))))</f>
        <v/>
      </c>
      <c r="Z307" s="586" t="str">
        <f>IF(W307="X","x",IF(U307&gt;0,"x",""))</f>
        <v/>
      </c>
    </row>
    <row r="308" spans="1:26" ht="12" hidden="1" thickBot="1" x14ac:dyDescent="0.25">
      <c r="A308" s="671" t="s">
        <v>168</v>
      </c>
      <c r="B308" s="644" t="s">
        <v>168</v>
      </c>
      <c r="C308" s="645"/>
      <c r="D308" s="451" t="s">
        <v>262</v>
      </c>
      <c r="E308" s="423"/>
      <c r="F308" s="424">
        <v>0.2</v>
      </c>
      <c r="G308" s="425">
        <v>2.12</v>
      </c>
      <c r="H308" s="663">
        <f t="shared" si="92"/>
        <v>6.1352800000000007</v>
      </c>
      <c r="I308" s="420">
        <v>0</v>
      </c>
      <c r="J308" s="420"/>
      <c r="K308" s="421">
        <f t="shared" si="70"/>
        <v>0</v>
      </c>
      <c r="L308" s="647" t="s">
        <v>614</v>
      </c>
      <c r="M308" s="703"/>
      <c r="N308" s="576">
        <f t="shared" si="76"/>
        <v>0</v>
      </c>
      <c r="O308" s="577">
        <f t="shared" si="82"/>
        <v>0</v>
      </c>
      <c r="P308" s="578">
        <f t="shared" si="83"/>
        <v>0</v>
      </c>
      <c r="Q308" s="765"/>
      <c r="R308" s="703"/>
      <c r="S308" s="670"/>
      <c r="T308" s="577">
        <f t="shared" si="84"/>
        <v>0</v>
      </c>
      <c r="U308" s="578">
        <f t="shared" si="85"/>
        <v>0</v>
      </c>
      <c r="V308" s="579"/>
      <c r="W308" s="637" t="str">
        <f>IF(U305&gt;0,"xx",IF(P305&gt;0,"xy",""))</f>
        <v/>
      </c>
      <c r="X308" s="586" t="str">
        <f>IF(W308="X","x",IF(W308="xx","x",IF(W308="xy","x",IF(W308="y","x",IF(OR(P308&gt;0,U308&gt;0),"x","")))))</f>
        <v/>
      </c>
      <c r="Y308" s="586" t="str">
        <f>IF(W308="X","x",IF(W308="y","x",IF(W308="xx","x",IF(U308&gt;0,"x",""))))</f>
        <v/>
      </c>
      <c r="Z308" s="586" t="str">
        <f>IF(W308="X","x",IF(U308&gt;0,"x",""))</f>
        <v/>
      </c>
    </row>
    <row r="309" spans="1:26" ht="12" hidden="1" thickBot="1" x14ac:dyDescent="0.25">
      <c r="A309" s="671" t="s">
        <v>168</v>
      </c>
      <c r="B309" s="644" t="s">
        <v>168</v>
      </c>
      <c r="C309" s="645"/>
      <c r="D309" s="451" t="s">
        <v>263</v>
      </c>
      <c r="E309" s="423"/>
      <c r="F309" s="424">
        <v>20</v>
      </c>
      <c r="G309" s="425">
        <f>SUM(G305:G308)</f>
        <v>2.2000000000000002</v>
      </c>
      <c r="H309" s="651">
        <f>IF(F309&lt;=30,(1.07*F309+5.37)*G309,((1.07*30+5.37)+1.07*(F309-30))*G309)</f>
        <v>58.894000000000013</v>
      </c>
      <c r="I309" s="420">
        <v>0</v>
      </c>
      <c r="J309" s="420"/>
      <c r="K309" s="421">
        <f t="shared" si="70"/>
        <v>0</v>
      </c>
      <c r="L309" s="647" t="s">
        <v>614</v>
      </c>
      <c r="M309" s="703"/>
      <c r="N309" s="576">
        <f t="shared" si="76"/>
        <v>0</v>
      </c>
      <c r="O309" s="577">
        <f t="shared" si="82"/>
        <v>0</v>
      </c>
      <c r="P309" s="578">
        <f t="shared" si="83"/>
        <v>0</v>
      </c>
      <c r="Q309" s="765"/>
      <c r="R309" s="703"/>
      <c r="S309" s="670"/>
      <c r="T309" s="577">
        <f t="shared" si="84"/>
        <v>0</v>
      </c>
      <c r="U309" s="578">
        <f t="shared" si="85"/>
        <v>0</v>
      </c>
      <c r="V309" s="579"/>
      <c r="W309" s="637" t="str">
        <f>IF(U305&gt;0,"xx",IF(P305&gt;0,"xy",""))</f>
        <v/>
      </c>
      <c r="X309" s="586" t="str">
        <f t="shared" si="86"/>
        <v/>
      </c>
      <c r="Y309" s="586" t="str">
        <f t="shared" si="74"/>
        <v/>
      </c>
      <c r="Z309" s="586" t="str">
        <f t="shared" si="80"/>
        <v/>
      </c>
    </row>
    <row r="310" spans="1:26" ht="12" hidden="1" thickBot="1" x14ac:dyDescent="0.25">
      <c r="A310" s="671">
        <v>589320</v>
      </c>
      <c r="B310" s="704" t="s">
        <v>1769</v>
      </c>
      <c r="C310" s="689" t="s">
        <v>1746</v>
      </c>
      <c r="D310" s="477" t="s">
        <v>812</v>
      </c>
      <c r="E310" s="470"/>
      <c r="F310" s="478">
        <v>500</v>
      </c>
      <c r="G310" s="479">
        <v>1</v>
      </c>
      <c r="H310" s="663">
        <f>(0.84*F310+41.45)*G310</f>
        <v>461.45</v>
      </c>
      <c r="I310" s="472">
        <v>4680</v>
      </c>
      <c r="J310" s="472">
        <f>IF(ISBLANK(I310),"",I310*(1+$F$9)/(1+$F$10))+H310</f>
        <v>5002.4010983923918</v>
      </c>
      <c r="K310" s="690">
        <f t="shared" si="70"/>
        <v>5943.35</v>
      </c>
      <c r="L310" s="691" t="s">
        <v>20</v>
      </c>
      <c r="M310" s="692">
        <f>ROUND(M305*G305,2)</f>
        <v>0</v>
      </c>
      <c r="N310" s="799">
        <f t="shared" si="76"/>
        <v>0</v>
      </c>
      <c r="O310" s="693">
        <f t="shared" si="82"/>
        <v>0</v>
      </c>
      <c r="P310" s="694">
        <f t="shared" si="83"/>
        <v>0</v>
      </c>
      <c r="Q310" s="765"/>
      <c r="R310" s="695">
        <f>ROUND(R305*G305,2)</f>
        <v>0</v>
      </c>
      <c r="S310" s="711">
        <f>N310</f>
        <v>0</v>
      </c>
      <c r="T310" s="693">
        <f t="shared" si="84"/>
        <v>0</v>
      </c>
      <c r="U310" s="694">
        <f t="shared" si="85"/>
        <v>0</v>
      </c>
      <c r="V310" s="579"/>
      <c r="W310" s="637" t="str">
        <f>IF(U305&gt;0,"xx",IF(P305&gt;0,"xy",""))</f>
        <v/>
      </c>
      <c r="X310" s="586" t="str">
        <f t="shared" si="86"/>
        <v/>
      </c>
      <c r="Y310" s="586" t="str">
        <f t="shared" si="74"/>
        <v/>
      </c>
      <c r="Z310" s="586" t="str">
        <f t="shared" si="80"/>
        <v/>
      </c>
    </row>
    <row r="311" spans="1:26" ht="12" hidden="1" thickBot="1" x14ac:dyDescent="0.25">
      <c r="A311" s="671">
        <v>534000</v>
      </c>
      <c r="B311" s="701" t="s">
        <v>673</v>
      </c>
      <c r="C311" s="702" t="s">
        <v>206</v>
      </c>
      <c r="D311" s="463" t="s">
        <v>1913</v>
      </c>
      <c r="E311" s="464"/>
      <c r="F311" s="465" t="s">
        <v>663</v>
      </c>
      <c r="G311" s="466">
        <v>0.08</v>
      </c>
      <c r="H311" s="681">
        <f>SUM(H312:H315)</f>
        <v>65.029280000000014</v>
      </c>
      <c r="I311" s="467">
        <v>138.26</v>
      </c>
      <c r="J311" s="467">
        <f>IF(ISBLANK(I311),"",SUM(H311:I311))</f>
        <v>203.28928000000002</v>
      </c>
      <c r="K311" s="682">
        <f t="shared" si="70"/>
        <v>241.53</v>
      </c>
      <c r="L311" s="683" t="s">
        <v>16</v>
      </c>
      <c r="M311" s="685"/>
      <c r="N311" s="576">
        <f t="shared" si="76"/>
        <v>0</v>
      </c>
      <c r="O311" s="687">
        <f t="shared" si="82"/>
        <v>0</v>
      </c>
      <c r="P311" s="688">
        <f t="shared" si="83"/>
        <v>0</v>
      </c>
      <c r="Q311" s="765"/>
      <c r="R311" s="685">
        <f>M311</f>
        <v>0</v>
      </c>
      <c r="S311" s="686">
        <f>N311</f>
        <v>0</v>
      </c>
      <c r="T311" s="687">
        <f t="shared" si="84"/>
        <v>0</v>
      </c>
      <c r="U311" s="688">
        <f t="shared" si="85"/>
        <v>0</v>
      </c>
      <c r="V311" s="579"/>
      <c r="W311" s="566"/>
      <c r="X311" s="586" t="str">
        <f t="shared" si="86"/>
        <v/>
      </c>
      <c r="Y311" s="586" t="str">
        <f t="shared" si="74"/>
        <v/>
      </c>
      <c r="Z311" s="586" t="str">
        <f t="shared" si="80"/>
        <v/>
      </c>
    </row>
    <row r="312" spans="1:26" ht="12" hidden="1" thickBot="1" x14ac:dyDescent="0.25">
      <c r="A312" s="671" t="s">
        <v>168</v>
      </c>
      <c r="B312" s="644" t="s">
        <v>168</v>
      </c>
      <c r="C312" s="645"/>
      <c r="D312" s="451" t="s">
        <v>248</v>
      </c>
      <c r="E312" s="423"/>
      <c r="F312" s="424">
        <v>180</v>
      </c>
      <c r="G312" s="425"/>
      <c r="H312" s="663">
        <f t="shared" ref="H312:H314" si="93">IF(F312&lt;=30,(1.07*F312+2.68)*G312,((1.07*30+2.68)+1.07*(F312-30))*G312)</f>
        <v>0</v>
      </c>
      <c r="I312" s="420">
        <v>0</v>
      </c>
      <c r="J312" s="420">
        <f>IF(ISBLANK(I312),"",SUM(H312:I312))</f>
        <v>0</v>
      </c>
      <c r="K312" s="421">
        <f t="shared" si="70"/>
        <v>0</v>
      </c>
      <c r="L312" s="647" t="s">
        <v>614</v>
      </c>
      <c r="M312" s="703"/>
      <c r="N312" s="576">
        <f t="shared" si="76"/>
        <v>0</v>
      </c>
      <c r="O312" s="577">
        <f t="shared" si="82"/>
        <v>0</v>
      </c>
      <c r="P312" s="578">
        <f t="shared" si="83"/>
        <v>0</v>
      </c>
      <c r="Q312" s="765"/>
      <c r="R312" s="703"/>
      <c r="S312" s="670"/>
      <c r="T312" s="577">
        <f t="shared" si="84"/>
        <v>0</v>
      </c>
      <c r="U312" s="578">
        <f t="shared" si="85"/>
        <v>0</v>
      </c>
      <c r="V312" s="579"/>
      <c r="W312" s="637" t="str">
        <f>IF(U311&gt;0,"xx",IF(P311&gt;0,"xy",""))</f>
        <v/>
      </c>
      <c r="X312" s="586" t="str">
        <f t="shared" si="86"/>
        <v/>
      </c>
      <c r="Y312" s="586" t="str">
        <f t="shared" si="74"/>
        <v/>
      </c>
      <c r="Z312" s="586" t="str">
        <f t="shared" si="80"/>
        <v/>
      </c>
    </row>
    <row r="313" spans="1:26" ht="12" hidden="1" thickBot="1" x14ac:dyDescent="0.25">
      <c r="A313" s="671" t="s">
        <v>168</v>
      </c>
      <c r="B313" s="644" t="s">
        <v>168</v>
      </c>
      <c r="C313" s="645"/>
      <c r="D313" s="451" t="s">
        <v>249</v>
      </c>
      <c r="E313" s="423"/>
      <c r="F313" s="424">
        <v>500</v>
      </c>
      <c r="G313" s="425"/>
      <c r="H313" s="649">
        <f>IF(F313&lt;=30,(0.78*F313+7.82)*G313,((0.78*30+7.82)+0.78*(F313-30))*G313)</f>
        <v>0</v>
      </c>
      <c r="I313" s="420">
        <v>0</v>
      </c>
      <c r="J313" s="420">
        <f>IF(ISBLANK(I313),"",SUM(H313:I313))</f>
        <v>0</v>
      </c>
      <c r="K313" s="421">
        <f t="shared" si="70"/>
        <v>0</v>
      </c>
      <c r="L313" s="647" t="s">
        <v>614</v>
      </c>
      <c r="M313" s="703"/>
      <c r="N313" s="576">
        <f t="shared" si="76"/>
        <v>0</v>
      </c>
      <c r="O313" s="577">
        <f t="shared" si="82"/>
        <v>0</v>
      </c>
      <c r="P313" s="578">
        <f t="shared" si="83"/>
        <v>0</v>
      </c>
      <c r="Q313" s="765"/>
      <c r="R313" s="703"/>
      <c r="S313" s="670"/>
      <c r="T313" s="577">
        <f t="shared" si="84"/>
        <v>0</v>
      </c>
      <c r="U313" s="578">
        <f t="shared" si="85"/>
        <v>0</v>
      </c>
      <c r="V313" s="579"/>
      <c r="W313" s="637" t="str">
        <f>IF(U311&gt;0,"xx",IF(P311&gt;0,"xy",""))</f>
        <v/>
      </c>
      <c r="X313" s="586" t="str">
        <f>IF(W313="X","x",IF(W313="xx","x",IF(W313="xy","x",IF(W313="y","x",IF(OR(P313&gt;0,U313&gt;0),"x","")))))</f>
        <v/>
      </c>
      <c r="Y313" s="586" t="str">
        <f>IF(W313="X","x",IF(W313="y","x",IF(W313="xx","x",IF(U313&gt;0,"x",""))))</f>
        <v/>
      </c>
      <c r="Z313" s="586" t="str">
        <f>IF(W313="X","x",IF(U313&gt;0,"x",""))</f>
        <v/>
      </c>
    </row>
    <row r="314" spans="1:26" ht="12" hidden="1" thickBot="1" x14ac:dyDescent="0.25">
      <c r="A314" s="671" t="s">
        <v>168</v>
      </c>
      <c r="B314" s="644" t="s">
        <v>168</v>
      </c>
      <c r="C314" s="645"/>
      <c r="D314" s="451" t="s">
        <v>262</v>
      </c>
      <c r="E314" s="423"/>
      <c r="F314" s="424">
        <v>0.2</v>
      </c>
      <c r="G314" s="425">
        <v>2.12</v>
      </c>
      <c r="H314" s="663">
        <f t="shared" si="93"/>
        <v>6.1352800000000007</v>
      </c>
      <c r="I314" s="420">
        <v>0</v>
      </c>
      <c r="J314" s="420"/>
      <c r="K314" s="421">
        <f t="shared" si="70"/>
        <v>0</v>
      </c>
      <c r="L314" s="647" t="s">
        <v>614</v>
      </c>
      <c r="M314" s="703"/>
      <c r="N314" s="576">
        <f t="shared" si="76"/>
        <v>0</v>
      </c>
      <c r="O314" s="577">
        <f t="shared" si="82"/>
        <v>0</v>
      </c>
      <c r="P314" s="578">
        <f t="shared" si="83"/>
        <v>0</v>
      </c>
      <c r="Q314" s="765"/>
      <c r="R314" s="703"/>
      <c r="S314" s="670"/>
      <c r="T314" s="577">
        <f t="shared" si="84"/>
        <v>0</v>
      </c>
      <c r="U314" s="578">
        <f t="shared" si="85"/>
        <v>0</v>
      </c>
      <c r="V314" s="579"/>
      <c r="W314" s="637" t="str">
        <f>IF(U311&gt;0,"xx",IF(P311&gt;0,"xy",""))</f>
        <v/>
      </c>
      <c r="X314" s="586" t="str">
        <f>IF(W314="X","x",IF(W314="xx","x",IF(W314="xy","x",IF(W314="y","x",IF(OR(P314&gt;0,U314&gt;0),"x","")))))</f>
        <v/>
      </c>
      <c r="Y314" s="586" t="str">
        <f>IF(W314="X","x",IF(W314="y","x",IF(W314="xx","x",IF(U314&gt;0,"x",""))))</f>
        <v/>
      </c>
      <c r="Z314" s="586" t="str">
        <f>IF(W314="X","x",IF(U314&gt;0,"x",""))</f>
        <v/>
      </c>
    </row>
    <row r="315" spans="1:26" ht="12" hidden="1" thickBot="1" x14ac:dyDescent="0.25">
      <c r="A315" s="671" t="s">
        <v>168</v>
      </c>
      <c r="B315" s="644" t="s">
        <v>168</v>
      </c>
      <c r="C315" s="645"/>
      <c r="D315" s="451" t="s">
        <v>263</v>
      </c>
      <c r="E315" s="423"/>
      <c r="F315" s="424">
        <v>20</v>
      </c>
      <c r="G315" s="425">
        <f>SUM(G311:G314)</f>
        <v>2.2000000000000002</v>
      </c>
      <c r="H315" s="651">
        <f>IF(F315&lt;=30,(1.07*F315+5.37)*G315,((1.07*30+5.37)+1.07*(F315-30))*G315)</f>
        <v>58.894000000000013</v>
      </c>
      <c r="I315" s="420">
        <v>0</v>
      </c>
      <c r="J315" s="420"/>
      <c r="K315" s="421">
        <f t="shared" ref="K315:K378" si="94">IF(ISBLANK(I315),0,ROUND(J315*(1+$F$10)*(1+$F$11*E315),2))</f>
        <v>0</v>
      </c>
      <c r="L315" s="647" t="s">
        <v>614</v>
      </c>
      <c r="M315" s="703"/>
      <c r="N315" s="576">
        <f t="shared" si="76"/>
        <v>0</v>
      </c>
      <c r="O315" s="577">
        <f t="shared" si="82"/>
        <v>0</v>
      </c>
      <c r="P315" s="578">
        <f t="shared" si="83"/>
        <v>0</v>
      </c>
      <c r="Q315" s="765"/>
      <c r="R315" s="703"/>
      <c r="S315" s="670"/>
      <c r="T315" s="577">
        <f t="shared" si="84"/>
        <v>0</v>
      </c>
      <c r="U315" s="578">
        <f t="shared" si="85"/>
        <v>0</v>
      </c>
      <c r="V315" s="579"/>
      <c r="W315" s="637" t="str">
        <f>IF(U311&gt;0,"xx",IF(P311&gt;0,"xy",""))</f>
        <v/>
      </c>
      <c r="X315" s="586" t="str">
        <f t="shared" si="86"/>
        <v/>
      </c>
      <c r="Y315" s="586" t="str">
        <f t="shared" si="74"/>
        <v/>
      </c>
      <c r="Z315" s="586" t="str">
        <f t="shared" si="80"/>
        <v/>
      </c>
    </row>
    <row r="316" spans="1:26" ht="12" hidden="1" thickBot="1" x14ac:dyDescent="0.25">
      <c r="A316" s="671">
        <v>589320</v>
      </c>
      <c r="B316" s="704" t="s">
        <v>1770</v>
      </c>
      <c r="C316" s="689" t="s">
        <v>1746</v>
      </c>
      <c r="D316" s="477" t="s">
        <v>812</v>
      </c>
      <c r="E316" s="470"/>
      <c r="F316" s="478">
        <v>500</v>
      </c>
      <c r="G316" s="479">
        <v>1</v>
      </c>
      <c r="H316" s="663">
        <f>(0.84*F316+41.45)*G316</f>
        <v>461.45</v>
      </c>
      <c r="I316" s="472">
        <v>4680</v>
      </c>
      <c r="J316" s="472">
        <f>IF(ISBLANK(I316),"",I316*(1+$F$9)/(1+$F$10))+H316</f>
        <v>5002.4010983923918</v>
      </c>
      <c r="K316" s="690">
        <f t="shared" si="94"/>
        <v>5943.35</v>
      </c>
      <c r="L316" s="691" t="s">
        <v>20</v>
      </c>
      <c r="M316" s="692">
        <f>ROUND(M311*G311,2)</f>
        <v>0</v>
      </c>
      <c r="N316" s="588">
        <f t="shared" si="76"/>
        <v>0</v>
      </c>
      <c r="O316" s="693">
        <f>IF(ISBLANK(M316),0,ROUND(K316*M316,2))</f>
        <v>0</v>
      </c>
      <c r="P316" s="694">
        <f>IF(ISBLANK(N316),0,ROUND(M316*N316,2))</f>
        <v>0</v>
      </c>
      <c r="Q316" s="765"/>
      <c r="R316" s="695">
        <f>ROUND(R311*G311,2)</f>
        <v>0</v>
      </c>
      <c r="S316" s="711">
        <f>N316</f>
        <v>0</v>
      </c>
      <c r="T316" s="693">
        <f t="shared" si="84"/>
        <v>0</v>
      </c>
      <c r="U316" s="694">
        <f t="shared" si="85"/>
        <v>0</v>
      </c>
      <c r="V316" s="579"/>
      <c r="W316" s="637" t="str">
        <f>IF(U311&gt;0,"xx",IF(P311&gt;0,"xy",""))</f>
        <v/>
      </c>
      <c r="X316" s="586" t="str">
        <f t="shared" si="86"/>
        <v/>
      </c>
      <c r="Y316" s="586" t="str">
        <f t="shared" si="74"/>
        <v/>
      </c>
      <c r="Z316" s="586" t="str">
        <f t="shared" si="80"/>
        <v/>
      </c>
    </row>
    <row r="317" spans="1:26" ht="12" hidden="1" thickBot="1" x14ac:dyDescent="0.25">
      <c r="A317" s="671">
        <v>534000</v>
      </c>
      <c r="B317" s="701" t="s">
        <v>1576</v>
      </c>
      <c r="C317" s="702" t="s">
        <v>206</v>
      </c>
      <c r="D317" s="463" t="s">
        <v>1914</v>
      </c>
      <c r="E317" s="464"/>
      <c r="F317" s="465" t="s">
        <v>663</v>
      </c>
      <c r="G317" s="466">
        <v>0.08</v>
      </c>
      <c r="H317" s="681">
        <f>SUM(H318:H321)</f>
        <v>65.029280000000014</v>
      </c>
      <c r="I317" s="467">
        <v>138.26</v>
      </c>
      <c r="J317" s="467">
        <f>IF(ISBLANK(I317),"",SUM(H317:I317))</f>
        <v>203.28928000000002</v>
      </c>
      <c r="K317" s="682">
        <f t="shared" si="94"/>
        <v>241.53</v>
      </c>
      <c r="L317" s="683" t="s">
        <v>16</v>
      </c>
      <c r="M317" s="685"/>
      <c r="N317" s="686">
        <f t="shared" si="76"/>
        <v>0</v>
      </c>
      <c r="O317" s="687">
        <f t="shared" si="82"/>
        <v>0</v>
      </c>
      <c r="P317" s="688">
        <f t="shared" si="83"/>
        <v>0</v>
      </c>
      <c r="Q317" s="765"/>
      <c r="R317" s="685">
        <f>M317</f>
        <v>0</v>
      </c>
      <c r="S317" s="686">
        <f>N317</f>
        <v>0</v>
      </c>
      <c r="T317" s="687">
        <f t="shared" si="84"/>
        <v>0</v>
      </c>
      <c r="U317" s="688">
        <f t="shared" si="85"/>
        <v>0</v>
      </c>
      <c r="V317" s="579"/>
      <c r="W317" s="566"/>
      <c r="X317" s="586" t="str">
        <f t="shared" si="86"/>
        <v/>
      </c>
      <c r="Y317" s="586" t="str">
        <f t="shared" si="74"/>
        <v/>
      </c>
      <c r="Z317" s="586" t="str">
        <f t="shared" si="80"/>
        <v/>
      </c>
    </row>
    <row r="318" spans="1:26" ht="12" hidden="1" thickBot="1" x14ac:dyDescent="0.25">
      <c r="A318" s="671" t="s">
        <v>168</v>
      </c>
      <c r="B318" s="644" t="s">
        <v>168</v>
      </c>
      <c r="C318" s="645"/>
      <c r="D318" s="451" t="s">
        <v>248</v>
      </c>
      <c r="E318" s="423"/>
      <c r="F318" s="424">
        <v>180</v>
      </c>
      <c r="G318" s="425"/>
      <c r="H318" s="663">
        <f t="shared" ref="H318:H320" si="95">IF(F318&lt;=30,(1.07*F318+2.68)*G318,((1.07*30+2.68)+1.07*(F318-30))*G318)</f>
        <v>0</v>
      </c>
      <c r="I318" s="420">
        <v>0</v>
      </c>
      <c r="J318" s="420">
        <f>IF(ISBLANK(I318),"",SUM(H318:I318))</f>
        <v>0</v>
      </c>
      <c r="K318" s="421">
        <f t="shared" si="94"/>
        <v>0</v>
      </c>
      <c r="L318" s="647" t="s">
        <v>614</v>
      </c>
      <c r="M318" s="703"/>
      <c r="N318" s="576">
        <f t="shared" si="76"/>
        <v>0</v>
      </c>
      <c r="O318" s="577">
        <f t="shared" si="82"/>
        <v>0</v>
      </c>
      <c r="P318" s="578">
        <f t="shared" si="83"/>
        <v>0</v>
      </c>
      <c r="Q318" s="765"/>
      <c r="R318" s="703"/>
      <c r="S318" s="670"/>
      <c r="T318" s="577">
        <f t="shared" si="84"/>
        <v>0</v>
      </c>
      <c r="U318" s="578">
        <f t="shared" si="85"/>
        <v>0</v>
      </c>
      <c r="V318" s="579"/>
      <c r="W318" s="637" t="str">
        <f>IF(U317&gt;0,"xx",IF(P317&gt;0,"xy",""))</f>
        <v/>
      </c>
      <c r="X318" s="586" t="str">
        <f t="shared" si="86"/>
        <v/>
      </c>
      <c r="Y318" s="586" t="str">
        <f t="shared" si="74"/>
        <v/>
      </c>
      <c r="Z318" s="586" t="str">
        <f t="shared" si="80"/>
        <v/>
      </c>
    </row>
    <row r="319" spans="1:26" ht="12" hidden="1" thickBot="1" x14ac:dyDescent="0.25">
      <c r="A319" s="671" t="s">
        <v>168</v>
      </c>
      <c r="B319" s="644" t="s">
        <v>168</v>
      </c>
      <c r="C319" s="645"/>
      <c r="D319" s="451" t="s">
        <v>249</v>
      </c>
      <c r="E319" s="423"/>
      <c r="F319" s="424">
        <v>500</v>
      </c>
      <c r="G319" s="425"/>
      <c r="H319" s="649">
        <f>IF(F319&lt;=30,(0.78*F319+7.82)*G319,((0.78*30+7.82)+0.78*(F319-30))*G319)</f>
        <v>0</v>
      </c>
      <c r="I319" s="420">
        <v>0</v>
      </c>
      <c r="J319" s="420">
        <f>IF(ISBLANK(I319),"",SUM(H319:I319))</f>
        <v>0</v>
      </c>
      <c r="K319" s="421">
        <f t="shared" si="94"/>
        <v>0</v>
      </c>
      <c r="L319" s="647" t="s">
        <v>614</v>
      </c>
      <c r="M319" s="703"/>
      <c r="N319" s="576">
        <f t="shared" si="76"/>
        <v>0</v>
      </c>
      <c r="O319" s="577">
        <f t="shared" si="82"/>
        <v>0</v>
      </c>
      <c r="P319" s="578">
        <f t="shared" si="83"/>
        <v>0</v>
      </c>
      <c r="Q319" s="765"/>
      <c r="R319" s="703"/>
      <c r="S319" s="670"/>
      <c r="T319" s="577">
        <f t="shared" si="84"/>
        <v>0</v>
      </c>
      <c r="U319" s="578">
        <f t="shared" si="85"/>
        <v>0</v>
      </c>
      <c r="V319" s="579"/>
      <c r="W319" s="637" t="str">
        <f>IF(U317&gt;0,"xx",IF(P317&gt;0,"xy",""))</f>
        <v/>
      </c>
      <c r="X319" s="586" t="str">
        <f t="shared" si="86"/>
        <v/>
      </c>
      <c r="Y319" s="586" t="str">
        <f t="shared" si="74"/>
        <v/>
      </c>
      <c r="Z319" s="586" t="str">
        <f t="shared" si="80"/>
        <v/>
      </c>
    </row>
    <row r="320" spans="1:26" ht="12" hidden="1" thickBot="1" x14ac:dyDescent="0.25">
      <c r="A320" s="671" t="s">
        <v>168</v>
      </c>
      <c r="B320" s="644" t="s">
        <v>168</v>
      </c>
      <c r="C320" s="645"/>
      <c r="D320" s="451" t="s">
        <v>262</v>
      </c>
      <c r="E320" s="423"/>
      <c r="F320" s="424">
        <v>0.2</v>
      </c>
      <c r="G320" s="425">
        <v>2.12</v>
      </c>
      <c r="H320" s="663">
        <f t="shared" si="95"/>
        <v>6.1352800000000007</v>
      </c>
      <c r="I320" s="420">
        <v>0</v>
      </c>
      <c r="J320" s="420"/>
      <c r="K320" s="421">
        <f t="shared" si="94"/>
        <v>0</v>
      </c>
      <c r="L320" s="647" t="s">
        <v>614</v>
      </c>
      <c r="M320" s="703"/>
      <c r="N320" s="576">
        <f t="shared" si="76"/>
        <v>0</v>
      </c>
      <c r="O320" s="577">
        <f t="shared" si="82"/>
        <v>0</v>
      </c>
      <c r="P320" s="578">
        <f t="shared" si="83"/>
        <v>0</v>
      </c>
      <c r="Q320" s="765"/>
      <c r="R320" s="703"/>
      <c r="S320" s="670"/>
      <c r="T320" s="577">
        <f t="shared" si="84"/>
        <v>0</v>
      </c>
      <c r="U320" s="578">
        <f t="shared" si="85"/>
        <v>0</v>
      </c>
      <c r="V320" s="579"/>
      <c r="W320" s="637" t="str">
        <f>IF(U317&gt;0,"xx",IF(P317&gt;0,"xy",""))</f>
        <v/>
      </c>
      <c r="X320" s="586" t="str">
        <f t="shared" si="86"/>
        <v/>
      </c>
      <c r="Y320" s="586" t="str">
        <f t="shared" si="74"/>
        <v/>
      </c>
      <c r="Z320" s="586" t="str">
        <f t="shared" si="80"/>
        <v/>
      </c>
    </row>
    <row r="321" spans="1:26" ht="12" hidden="1" thickBot="1" x14ac:dyDescent="0.25">
      <c r="A321" s="671" t="s">
        <v>168</v>
      </c>
      <c r="B321" s="644" t="s">
        <v>168</v>
      </c>
      <c r="C321" s="645"/>
      <c r="D321" s="451" t="s">
        <v>263</v>
      </c>
      <c r="E321" s="423"/>
      <c r="F321" s="424">
        <v>20</v>
      </c>
      <c r="G321" s="425">
        <f>SUM(G317:G320)</f>
        <v>2.2000000000000002</v>
      </c>
      <c r="H321" s="651">
        <f>IF(F321&lt;=30,(1.07*F321+5.37)*G321,((1.07*30+5.37)+1.07*(F321-30))*G321)</f>
        <v>58.894000000000013</v>
      </c>
      <c r="I321" s="420">
        <v>0</v>
      </c>
      <c r="J321" s="420"/>
      <c r="K321" s="421">
        <f t="shared" si="94"/>
        <v>0</v>
      </c>
      <c r="L321" s="647" t="s">
        <v>614</v>
      </c>
      <c r="M321" s="703"/>
      <c r="N321" s="576">
        <f t="shared" si="76"/>
        <v>0</v>
      </c>
      <c r="O321" s="577">
        <f t="shared" si="82"/>
        <v>0</v>
      </c>
      <c r="P321" s="578">
        <f t="shared" si="83"/>
        <v>0</v>
      </c>
      <c r="Q321" s="765"/>
      <c r="R321" s="703"/>
      <c r="S321" s="670"/>
      <c r="T321" s="577">
        <f t="shared" si="84"/>
        <v>0</v>
      </c>
      <c r="U321" s="578">
        <f t="shared" si="85"/>
        <v>0</v>
      </c>
      <c r="V321" s="579"/>
      <c r="W321" s="637" t="str">
        <f>IF(U317&gt;0,"xx",IF(P317&gt;0,"xy",""))</f>
        <v/>
      </c>
      <c r="X321" s="586" t="str">
        <f t="shared" si="86"/>
        <v/>
      </c>
      <c r="Y321" s="586" t="str">
        <f t="shared" si="74"/>
        <v/>
      </c>
      <c r="Z321" s="586" t="str">
        <f t="shared" si="80"/>
        <v/>
      </c>
    </row>
    <row r="322" spans="1:26" ht="12" hidden="1" thickBot="1" x14ac:dyDescent="0.25">
      <c r="A322" s="671">
        <v>589320</v>
      </c>
      <c r="B322" s="704" t="s">
        <v>1771</v>
      </c>
      <c r="C322" s="689" t="s">
        <v>1746</v>
      </c>
      <c r="D322" s="477" t="s">
        <v>812</v>
      </c>
      <c r="E322" s="470"/>
      <c r="F322" s="478">
        <v>500</v>
      </c>
      <c r="G322" s="479">
        <v>1</v>
      </c>
      <c r="H322" s="663">
        <f>(0.84*F322+41.45)*G322</f>
        <v>461.45</v>
      </c>
      <c r="I322" s="472">
        <v>4680</v>
      </c>
      <c r="J322" s="472">
        <f>IF(ISBLANK(I322),"",I322*(1+$F$9)/(1+$F$10))+H322</f>
        <v>5002.4010983923918</v>
      </c>
      <c r="K322" s="690">
        <f t="shared" si="94"/>
        <v>5943.35</v>
      </c>
      <c r="L322" s="691" t="s">
        <v>20</v>
      </c>
      <c r="M322" s="692">
        <f>ROUND(M317*G317,2)</f>
        <v>0</v>
      </c>
      <c r="N322" s="696">
        <f t="shared" si="76"/>
        <v>0</v>
      </c>
      <c r="O322" s="693">
        <f>IF(ISBLANK(M322),0,ROUND(K322*M322,2))</f>
        <v>0</v>
      </c>
      <c r="P322" s="694">
        <f>IF(ISBLANK(N322),0,ROUND(M322*N322,2))</f>
        <v>0</v>
      </c>
      <c r="Q322" s="765"/>
      <c r="R322" s="695">
        <f>ROUND(R317*G317,2)</f>
        <v>0</v>
      </c>
      <c r="S322" s="711">
        <f>N322</f>
        <v>0</v>
      </c>
      <c r="T322" s="693">
        <f t="shared" si="84"/>
        <v>0</v>
      </c>
      <c r="U322" s="694">
        <f t="shared" si="85"/>
        <v>0</v>
      </c>
      <c r="V322" s="579"/>
      <c r="W322" s="637" t="str">
        <f>IF(U317&gt;0,"xx",IF(P317&gt;0,"xy",""))</f>
        <v/>
      </c>
      <c r="X322" s="586" t="str">
        <f t="shared" si="86"/>
        <v/>
      </c>
      <c r="Y322" s="586" t="str">
        <f t="shared" si="74"/>
        <v/>
      </c>
      <c r="Z322" s="586" t="str">
        <f t="shared" si="80"/>
        <v/>
      </c>
    </row>
    <row r="323" spans="1:26" ht="12" hidden="1" thickBot="1" x14ac:dyDescent="0.25">
      <c r="A323" s="671">
        <v>534300</v>
      </c>
      <c r="B323" s="701" t="s">
        <v>1621</v>
      </c>
      <c r="C323" s="702" t="s">
        <v>206</v>
      </c>
      <c r="D323" s="463" t="s">
        <v>1913</v>
      </c>
      <c r="E323" s="464"/>
      <c r="F323" s="465" t="s">
        <v>663</v>
      </c>
      <c r="G323" s="466">
        <v>0.11</v>
      </c>
      <c r="H323" s="681">
        <f>SUM(H324:H327)</f>
        <v>64.942459999999997</v>
      </c>
      <c r="I323" s="467">
        <v>136.76</v>
      </c>
      <c r="J323" s="467">
        <f>IF(ISBLANK(I323),"",SUM(H323:I323))</f>
        <v>201.70245999999997</v>
      </c>
      <c r="K323" s="682">
        <f t="shared" si="94"/>
        <v>239.64</v>
      </c>
      <c r="L323" s="683" t="s">
        <v>16</v>
      </c>
      <c r="M323" s="685"/>
      <c r="N323" s="576">
        <f t="shared" si="76"/>
        <v>0</v>
      </c>
      <c r="O323" s="687">
        <f t="shared" ref="O323:O334" si="96">IF(ISBLANK(M323),0,ROUND(K323*M323,2))</f>
        <v>0</v>
      </c>
      <c r="P323" s="688">
        <f t="shared" ref="P323:P334" si="97">IF(ISBLANK(N323),0,ROUND(M323*N323,2))</f>
        <v>0</v>
      </c>
      <c r="Q323" s="765"/>
      <c r="R323" s="685">
        <f>M323</f>
        <v>0</v>
      </c>
      <c r="S323" s="686">
        <f>N323</f>
        <v>0</v>
      </c>
      <c r="T323" s="687">
        <f t="shared" si="84"/>
        <v>0</v>
      </c>
      <c r="U323" s="688">
        <f t="shared" si="85"/>
        <v>0</v>
      </c>
      <c r="V323" s="579"/>
      <c r="W323" s="566"/>
      <c r="X323" s="586" t="str">
        <f t="shared" si="86"/>
        <v/>
      </c>
      <c r="Y323" s="586" t="str">
        <f t="shared" si="74"/>
        <v/>
      </c>
      <c r="Z323" s="586" t="str">
        <f t="shared" si="80"/>
        <v/>
      </c>
    </row>
    <row r="324" spans="1:26" ht="12" hidden="1" thickBot="1" x14ac:dyDescent="0.25">
      <c r="A324" s="671" t="s">
        <v>168</v>
      </c>
      <c r="B324" s="644" t="s">
        <v>168</v>
      </c>
      <c r="C324" s="645"/>
      <c r="D324" s="451" t="s">
        <v>248</v>
      </c>
      <c r="E324" s="423"/>
      <c r="F324" s="424">
        <v>180</v>
      </c>
      <c r="G324" s="425"/>
      <c r="H324" s="663">
        <f t="shared" ref="H324:H326" si="98">IF(F324&lt;=30,(1.07*F324+2.68)*G324,((1.07*30+2.68)+1.07*(F324-30))*G324)</f>
        <v>0</v>
      </c>
      <c r="I324" s="420">
        <v>0</v>
      </c>
      <c r="J324" s="420">
        <f>IF(ISBLANK(I324),"",SUM(H324:I324))</f>
        <v>0</v>
      </c>
      <c r="K324" s="421">
        <f t="shared" si="94"/>
        <v>0</v>
      </c>
      <c r="L324" s="647" t="s">
        <v>614</v>
      </c>
      <c r="M324" s="703"/>
      <c r="N324" s="576">
        <f t="shared" si="76"/>
        <v>0</v>
      </c>
      <c r="O324" s="577">
        <f t="shared" si="96"/>
        <v>0</v>
      </c>
      <c r="P324" s="578">
        <f t="shared" si="97"/>
        <v>0</v>
      </c>
      <c r="Q324" s="765"/>
      <c r="R324" s="703"/>
      <c r="S324" s="670"/>
      <c r="T324" s="577">
        <f t="shared" si="84"/>
        <v>0</v>
      </c>
      <c r="U324" s="578">
        <f t="shared" si="85"/>
        <v>0</v>
      </c>
      <c r="V324" s="579"/>
      <c r="W324" s="637" t="str">
        <f>IF(U323&gt;0,"xx",IF(P323&gt;0,"xy",""))</f>
        <v/>
      </c>
      <c r="X324" s="586" t="str">
        <f t="shared" si="86"/>
        <v/>
      </c>
      <c r="Y324" s="586" t="str">
        <f t="shared" si="74"/>
        <v/>
      </c>
      <c r="Z324" s="586" t="str">
        <f t="shared" si="80"/>
        <v/>
      </c>
    </row>
    <row r="325" spans="1:26" ht="12" hidden="1" thickBot="1" x14ac:dyDescent="0.25">
      <c r="A325" s="671" t="s">
        <v>168</v>
      </c>
      <c r="B325" s="644" t="s">
        <v>168</v>
      </c>
      <c r="C325" s="645"/>
      <c r="D325" s="451" t="s">
        <v>249</v>
      </c>
      <c r="E325" s="423"/>
      <c r="F325" s="424">
        <v>500</v>
      </c>
      <c r="G325" s="425"/>
      <c r="H325" s="649">
        <f>IF(F325&lt;=30,(0.78*F325+7.82)*G325,((0.78*30+7.82)+0.78*(F325-30))*G325)</f>
        <v>0</v>
      </c>
      <c r="I325" s="420">
        <v>0</v>
      </c>
      <c r="J325" s="420">
        <f>IF(ISBLANK(I325),"",SUM(H325:I325))</f>
        <v>0</v>
      </c>
      <c r="K325" s="421">
        <f t="shared" si="94"/>
        <v>0</v>
      </c>
      <c r="L325" s="647" t="s">
        <v>614</v>
      </c>
      <c r="M325" s="703"/>
      <c r="N325" s="576">
        <f t="shared" si="76"/>
        <v>0</v>
      </c>
      <c r="O325" s="577">
        <f t="shared" si="96"/>
        <v>0</v>
      </c>
      <c r="P325" s="578">
        <f t="shared" si="97"/>
        <v>0</v>
      </c>
      <c r="Q325" s="765"/>
      <c r="R325" s="703"/>
      <c r="S325" s="670"/>
      <c r="T325" s="577">
        <f t="shared" si="84"/>
        <v>0</v>
      </c>
      <c r="U325" s="578">
        <f t="shared" si="85"/>
        <v>0</v>
      </c>
      <c r="V325" s="579"/>
      <c r="W325" s="637" t="str">
        <f>IF(U323&gt;0,"xx",IF(P323&gt;0,"xy",""))</f>
        <v/>
      </c>
      <c r="X325" s="586" t="str">
        <f t="shared" si="86"/>
        <v/>
      </c>
      <c r="Y325" s="586" t="str">
        <f t="shared" si="74"/>
        <v/>
      </c>
      <c r="Z325" s="586" t="str">
        <f t="shared" si="80"/>
        <v/>
      </c>
    </row>
    <row r="326" spans="1:26" ht="12" hidden="1" thickBot="1" x14ac:dyDescent="0.25">
      <c r="A326" s="671" t="s">
        <v>168</v>
      </c>
      <c r="B326" s="644" t="s">
        <v>168</v>
      </c>
      <c r="C326" s="645"/>
      <c r="D326" s="451" t="s">
        <v>262</v>
      </c>
      <c r="E326" s="423"/>
      <c r="F326" s="424">
        <v>0.2</v>
      </c>
      <c r="G326" s="425">
        <v>2.09</v>
      </c>
      <c r="H326" s="663">
        <f t="shared" si="98"/>
        <v>6.0484599999999995</v>
      </c>
      <c r="I326" s="420">
        <v>0</v>
      </c>
      <c r="J326" s="420"/>
      <c r="K326" s="421">
        <f t="shared" si="94"/>
        <v>0</v>
      </c>
      <c r="L326" s="647" t="s">
        <v>614</v>
      </c>
      <c r="M326" s="703"/>
      <c r="N326" s="576">
        <f t="shared" si="76"/>
        <v>0</v>
      </c>
      <c r="O326" s="577">
        <f t="shared" si="96"/>
        <v>0</v>
      </c>
      <c r="P326" s="578">
        <f t="shared" si="97"/>
        <v>0</v>
      </c>
      <c r="Q326" s="765"/>
      <c r="R326" s="703"/>
      <c r="S326" s="670"/>
      <c r="T326" s="577">
        <f t="shared" si="84"/>
        <v>0</v>
      </c>
      <c r="U326" s="578">
        <f t="shared" si="85"/>
        <v>0</v>
      </c>
      <c r="V326" s="579"/>
      <c r="W326" s="637" t="str">
        <f>IF(U323&gt;0,"xx",IF(P323&gt;0,"xy",""))</f>
        <v/>
      </c>
      <c r="X326" s="586" t="str">
        <f t="shared" si="86"/>
        <v/>
      </c>
      <c r="Y326" s="586" t="str">
        <f t="shared" si="74"/>
        <v/>
      </c>
      <c r="Z326" s="586" t="str">
        <f t="shared" si="80"/>
        <v/>
      </c>
    </row>
    <row r="327" spans="1:26" ht="12" hidden="1" thickBot="1" x14ac:dyDescent="0.25">
      <c r="A327" s="671" t="s">
        <v>168</v>
      </c>
      <c r="B327" s="644" t="s">
        <v>168</v>
      </c>
      <c r="C327" s="645"/>
      <c r="D327" s="451" t="s">
        <v>263</v>
      </c>
      <c r="E327" s="423"/>
      <c r="F327" s="424">
        <v>20</v>
      </c>
      <c r="G327" s="425">
        <f>SUM(G323:G326)</f>
        <v>2.1999999999999997</v>
      </c>
      <c r="H327" s="651">
        <f>IF(F327&lt;=30,(1.07*F327+5.37)*G327,((1.07*30+5.37)+1.07*(F327-30))*G327)</f>
        <v>58.893999999999998</v>
      </c>
      <c r="I327" s="420">
        <v>0</v>
      </c>
      <c r="J327" s="420"/>
      <c r="K327" s="421">
        <f>IF(ISBLANK(I327),0,ROUND(J327*(1+$F$10)*(1+$F$11*E327),2))</f>
        <v>0</v>
      </c>
      <c r="L327" s="647" t="s">
        <v>614</v>
      </c>
      <c r="M327" s="703"/>
      <c r="N327" s="576">
        <f t="shared" si="76"/>
        <v>0</v>
      </c>
      <c r="O327" s="577">
        <f t="shared" si="96"/>
        <v>0</v>
      </c>
      <c r="P327" s="578">
        <f t="shared" si="97"/>
        <v>0</v>
      </c>
      <c r="Q327" s="765"/>
      <c r="R327" s="703"/>
      <c r="S327" s="670"/>
      <c r="T327" s="577">
        <f t="shared" si="84"/>
        <v>0</v>
      </c>
      <c r="U327" s="578">
        <f t="shared" si="85"/>
        <v>0</v>
      </c>
      <c r="V327" s="579"/>
      <c r="W327" s="637" t="str">
        <f>IF(U323&gt;0,"xx",IF(P323&gt;0,"xy",""))</f>
        <v/>
      </c>
      <c r="X327" s="586" t="str">
        <f t="shared" si="86"/>
        <v/>
      </c>
      <c r="Y327" s="586" t="str">
        <f t="shared" si="74"/>
        <v/>
      </c>
      <c r="Z327" s="586" t="str">
        <f t="shared" si="80"/>
        <v/>
      </c>
    </row>
    <row r="328" spans="1:26" ht="12" hidden="1" thickBot="1" x14ac:dyDescent="0.25">
      <c r="A328" s="671">
        <v>589320</v>
      </c>
      <c r="B328" s="704" t="s">
        <v>1772</v>
      </c>
      <c r="C328" s="689" t="s">
        <v>1746</v>
      </c>
      <c r="D328" s="477" t="s">
        <v>812</v>
      </c>
      <c r="E328" s="470"/>
      <c r="F328" s="478">
        <v>500</v>
      </c>
      <c r="G328" s="479">
        <v>1</v>
      </c>
      <c r="H328" s="663">
        <f>(0.84*F328+41.45)*G328</f>
        <v>461.45</v>
      </c>
      <c r="I328" s="472">
        <v>4680</v>
      </c>
      <c r="J328" s="472">
        <f>IF(ISBLANK(I328),"",I328*(1+$F$9)/(1+$F$10))+H328</f>
        <v>5002.4010983923918</v>
      </c>
      <c r="K328" s="690">
        <f>IF(ISBLANK(I328),0,ROUND(J328*(1+$F$10)*(1+$F$11*E328),2))</f>
        <v>5943.35</v>
      </c>
      <c r="L328" s="691" t="s">
        <v>20</v>
      </c>
      <c r="M328" s="692">
        <f>ROUND(M323*G323,2)</f>
        <v>0</v>
      </c>
      <c r="N328" s="588">
        <f t="shared" si="76"/>
        <v>0</v>
      </c>
      <c r="O328" s="693">
        <f t="shared" si="96"/>
        <v>0</v>
      </c>
      <c r="P328" s="694">
        <f t="shared" si="97"/>
        <v>0</v>
      </c>
      <c r="Q328" s="765"/>
      <c r="R328" s="695">
        <f>ROUND(R323*G323,2)</f>
        <v>0</v>
      </c>
      <c r="S328" s="711">
        <f>N328</f>
        <v>0</v>
      </c>
      <c r="T328" s="693">
        <f t="shared" si="84"/>
        <v>0</v>
      </c>
      <c r="U328" s="694">
        <f t="shared" si="85"/>
        <v>0</v>
      </c>
      <c r="V328" s="579"/>
      <c r="W328" s="637" t="str">
        <f>IF(U323&gt;0,"xx",IF(P323&gt;0,"xy",""))</f>
        <v/>
      </c>
      <c r="X328" s="586" t="str">
        <f t="shared" si="86"/>
        <v/>
      </c>
      <c r="Y328" s="586" t="str">
        <f t="shared" si="74"/>
        <v/>
      </c>
      <c r="Z328" s="586" t="str">
        <f t="shared" si="80"/>
        <v/>
      </c>
    </row>
    <row r="329" spans="1:26" ht="12" hidden="1" thickBot="1" x14ac:dyDescent="0.25">
      <c r="A329" s="671">
        <v>534300</v>
      </c>
      <c r="B329" s="701" t="s">
        <v>1622</v>
      </c>
      <c r="C329" s="702" t="s">
        <v>206</v>
      </c>
      <c r="D329" s="463" t="s">
        <v>1920</v>
      </c>
      <c r="E329" s="464"/>
      <c r="F329" s="465" t="s">
        <v>663</v>
      </c>
      <c r="G329" s="466">
        <v>0.11</v>
      </c>
      <c r="H329" s="681">
        <f>SUM(H330:H333)</f>
        <v>64.942459999999997</v>
      </c>
      <c r="I329" s="467">
        <v>136.76</v>
      </c>
      <c r="J329" s="467">
        <f>IF(ISBLANK(I329),"",SUM(H329:I329))</f>
        <v>201.70245999999997</v>
      </c>
      <c r="K329" s="682">
        <f t="shared" ref="K329:K334" si="99">IF(ISBLANK(I329),0,ROUND(J329*(1+$F$10)*(1+$F$11*E329),2))</f>
        <v>239.64</v>
      </c>
      <c r="L329" s="683" t="s">
        <v>16</v>
      </c>
      <c r="M329" s="685"/>
      <c r="N329" s="686">
        <f t="shared" si="76"/>
        <v>0</v>
      </c>
      <c r="O329" s="687">
        <f t="shared" si="96"/>
        <v>0</v>
      </c>
      <c r="P329" s="688">
        <f t="shared" si="97"/>
        <v>0</v>
      </c>
      <c r="Q329" s="765"/>
      <c r="R329" s="685">
        <f>M329</f>
        <v>0</v>
      </c>
      <c r="S329" s="686">
        <f>N329</f>
        <v>0</v>
      </c>
      <c r="T329" s="687">
        <f t="shared" si="84"/>
        <v>0</v>
      </c>
      <c r="U329" s="688">
        <f t="shared" si="85"/>
        <v>0</v>
      </c>
      <c r="V329" s="579"/>
      <c r="W329" s="566"/>
      <c r="X329" s="586" t="str">
        <f t="shared" si="86"/>
        <v/>
      </c>
      <c r="Y329" s="586" t="str">
        <f t="shared" si="74"/>
        <v/>
      </c>
      <c r="Z329" s="586" t="str">
        <f t="shared" si="80"/>
        <v/>
      </c>
    </row>
    <row r="330" spans="1:26" ht="12" hidden="1" thickBot="1" x14ac:dyDescent="0.25">
      <c r="A330" s="671" t="s">
        <v>168</v>
      </c>
      <c r="B330" s="644" t="s">
        <v>168</v>
      </c>
      <c r="C330" s="645"/>
      <c r="D330" s="451" t="s">
        <v>248</v>
      </c>
      <c r="E330" s="423"/>
      <c r="F330" s="424">
        <v>180</v>
      </c>
      <c r="G330" s="425"/>
      <c r="H330" s="663">
        <f t="shared" ref="H330:H332" si="100">IF(F330&lt;=30,(1.07*F330+2.68)*G330,((1.07*30+2.68)+1.07*(F330-30))*G330)</f>
        <v>0</v>
      </c>
      <c r="I330" s="420">
        <v>0</v>
      </c>
      <c r="J330" s="420"/>
      <c r="K330" s="421">
        <f t="shared" si="99"/>
        <v>0</v>
      </c>
      <c r="L330" s="647" t="s">
        <v>614</v>
      </c>
      <c r="M330" s="703"/>
      <c r="N330" s="576">
        <f t="shared" si="76"/>
        <v>0</v>
      </c>
      <c r="O330" s="577">
        <f t="shared" si="96"/>
        <v>0</v>
      </c>
      <c r="P330" s="578">
        <f t="shared" si="97"/>
        <v>0</v>
      </c>
      <c r="Q330" s="765"/>
      <c r="R330" s="703"/>
      <c r="S330" s="670"/>
      <c r="T330" s="577">
        <f t="shared" si="84"/>
        <v>0</v>
      </c>
      <c r="U330" s="578">
        <f t="shared" si="85"/>
        <v>0</v>
      </c>
      <c r="V330" s="579"/>
      <c r="W330" s="637" t="str">
        <f>IF(U329&gt;0,"xx",IF(P329&gt;0,"xy",""))</f>
        <v/>
      </c>
      <c r="X330" s="586" t="str">
        <f t="shared" si="86"/>
        <v/>
      </c>
      <c r="Y330" s="586" t="str">
        <f t="shared" si="74"/>
        <v/>
      </c>
      <c r="Z330" s="586" t="str">
        <f t="shared" si="80"/>
        <v/>
      </c>
    </row>
    <row r="331" spans="1:26" ht="12" hidden="1" thickBot="1" x14ac:dyDescent="0.25">
      <c r="A331" s="671" t="s">
        <v>168</v>
      </c>
      <c r="B331" s="644" t="s">
        <v>168</v>
      </c>
      <c r="C331" s="645"/>
      <c r="D331" s="451" t="s">
        <v>249</v>
      </c>
      <c r="E331" s="423"/>
      <c r="F331" s="424">
        <v>500</v>
      </c>
      <c r="G331" s="425"/>
      <c r="H331" s="649">
        <f>IF(F331&lt;=30,(0.78*F331+7.82)*G331,((0.78*30+7.82)+0.78*(F331-30))*G331)</f>
        <v>0</v>
      </c>
      <c r="I331" s="420">
        <v>0</v>
      </c>
      <c r="J331" s="420">
        <f>IF(ISBLANK(I331),"",SUM(H331:I331))</f>
        <v>0</v>
      </c>
      <c r="K331" s="421">
        <f t="shared" si="99"/>
        <v>0</v>
      </c>
      <c r="L331" s="647" t="s">
        <v>614</v>
      </c>
      <c r="M331" s="703"/>
      <c r="N331" s="576">
        <f t="shared" si="76"/>
        <v>0</v>
      </c>
      <c r="O331" s="577">
        <f t="shared" si="96"/>
        <v>0</v>
      </c>
      <c r="P331" s="578">
        <f t="shared" si="97"/>
        <v>0</v>
      </c>
      <c r="Q331" s="765"/>
      <c r="R331" s="703"/>
      <c r="S331" s="670"/>
      <c r="T331" s="577">
        <f t="shared" si="84"/>
        <v>0</v>
      </c>
      <c r="U331" s="578">
        <f t="shared" si="85"/>
        <v>0</v>
      </c>
      <c r="V331" s="579"/>
      <c r="W331" s="637" t="str">
        <f>IF(U329&gt;0,"xx",IF(P329&gt;0,"xy",""))</f>
        <v/>
      </c>
      <c r="X331" s="586" t="str">
        <f t="shared" si="86"/>
        <v/>
      </c>
      <c r="Y331" s="586" t="str">
        <f t="shared" si="74"/>
        <v/>
      </c>
      <c r="Z331" s="586" t="str">
        <f t="shared" si="80"/>
        <v/>
      </c>
    </row>
    <row r="332" spans="1:26" ht="12" hidden="1" thickBot="1" x14ac:dyDescent="0.25">
      <c r="A332" s="671" t="s">
        <v>168</v>
      </c>
      <c r="B332" s="644" t="s">
        <v>168</v>
      </c>
      <c r="C332" s="645"/>
      <c r="D332" s="451" t="s">
        <v>262</v>
      </c>
      <c r="E332" s="423"/>
      <c r="F332" s="424">
        <v>0.2</v>
      </c>
      <c r="G332" s="425">
        <v>2.09</v>
      </c>
      <c r="H332" s="663">
        <f t="shared" si="100"/>
        <v>6.0484599999999995</v>
      </c>
      <c r="I332" s="420">
        <v>0</v>
      </c>
      <c r="J332" s="420"/>
      <c r="K332" s="421">
        <f t="shared" si="99"/>
        <v>0</v>
      </c>
      <c r="L332" s="647" t="s">
        <v>614</v>
      </c>
      <c r="M332" s="703"/>
      <c r="N332" s="576">
        <f t="shared" si="76"/>
        <v>0</v>
      </c>
      <c r="O332" s="577">
        <f t="shared" si="96"/>
        <v>0</v>
      </c>
      <c r="P332" s="578">
        <f t="shared" si="97"/>
        <v>0</v>
      </c>
      <c r="Q332" s="765"/>
      <c r="R332" s="703"/>
      <c r="S332" s="670"/>
      <c r="T332" s="577">
        <f t="shared" si="84"/>
        <v>0</v>
      </c>
      <c r="U332" s="578">
        <f t="shared" si="85"/>
        <v>0</v>
      </c>
      <c r="V332" s="579"/>
      <c r="W332" s="637" t="str">
        <f>IF(U329&gt;0,"xx",IF(P329&gt;0,"xy",""))</f>
        <v/>
      </c>
      <c r="X332" s="586" t="str">
        <f t="shared" si="86"/>
        <v/>
      </c>
      <c r="Y332" s="586" t="str">
        <f t="shared" si="74"/>
        <v/>
      </c>
      <c r="Z332" s="586" t="str">
        <f t="shared" si="80"/>
        <v/>
      </c>
    </row>
    <row r="333" spans="1:26" ht="12" hidden="1" thickBot="1" x14ac:dyDescent="0.25">
      <c r="A333" s="671" t="s">
        <v>168</v>
      </c>
      <c r="B333" s="644" t="s">
        <v>168</v>
      </c>
      <c r="C333" s="645"/>
      <c r="D333" s="451" t="s">
        <v>263</v>
      </c>
      <c r="E333" s="423"/>
      <c r="F333" s="424">
        <v>20</v>
      </c>
      <c r="G333" s="425">
        <f>SUM(G329:G332)</f>
        <v>2.1999999999999997</v>
      </c>
      <c r="H333" s="651">
        <f>IF(F333&lt;=30,(1.07*F333+5.37)*G333,((1.07*30+5.37)+1.07*(F333-30))*G333)</f>
        <v>58.893999999999998</v>
      </c>
      <c r="I333" s="420">
        <v>0</v>
      </c>
      <c r="J333" s="420"/>
      <c r="K333" s="421">
        <f t="shared" si="99"/>
        <v>0</v>
      </c>
      <c r="L333" s="647" t="s">
        <v>614</v>
      </c>
      <c r="M333" s="703"/>
      <c r="N333" s="576">
        <f t="shared" si="76"/>
        <v>0</v>
      </c>
      <c r="O333" s="577">
        <f t="shared" si="96"/>
        <v>0</v>
      </c>
      <c r="P333" s="578">
        <f t="shared" si="97"/>
        <v>0</v>
      </c>
      <c r="Q333" s="765"/>
      <c r="R333" s="703"/>
      <c r="S333" s="670"/>
      <c r="T333" s="577">
        <f t="shared" si="84"/>
        <v>0</v>
      </c>
      <c r="U333" s="578">
        <f t="shared" si="85"/>
        <v>0</v>
      </c>
      <c r="V333" s="579"/>
      <c r="W333" s="637" t="str">
        <f>IF(U329&gt;0,"xx",IF(P329&gt;0,"xy",""))</f>
        <v/>
      </c>
      <c r="X333" s="586" t="str">
        <f t="shared" si="86"/>
        <v/>
      </c>
      <c r="Y333" s="586" t="str">
        <f t="shared" si="74"/>
        <v/>
      </c>
      <c r="Z333" s="586" t="str">
        <f t="shared" si="80"/>
        <v/>
      </c>
    </row>
    <row r="334" spans="1:26" ht="12" hidden="1" thickBot="1" x14ac:dyDescent="0.25">
      <c r="A334" s="671">
        <v>589320</v>
      </c>
      <c r="B334" s="704" t="s">
        <v>1773</v>
      </c>
      <c r="C334" s="689" t="s">
        <v>1746</v>
      </c>
      <c r="D334" s="477" t="s">
        <v>813</v>
      </c>
      <c r="E334" s="470"/>
      <c r="F334" s="478">
        <v>500</v>
      </c>
      <c r="G334" s="479">
        <v>1</v>
      </c>
      <c r="H334" s="663">
        <f>(0.84*F334+41.45)*G334</f>
        <v>461.45</v>
      </c>
      <c r="I334" s="472">
        <v>4680</v>
      </c>
      <c r="J334" s="472">
        <f>IF(ISBLANK(I334),"",I334*(1+$F$9)/(1+$F$10))+H334</f>
        <v>5002.4010983923918</v>
      </c>
      <c r="K334" s="690">
        <f t="shared" si="99"/>
        <v>5943.35</v>
      </c>
      <c r="L334" s="691" t="s">
        <v>20</v>
      </c>
      <c r="M334" s="692">
        <f>ROUND(M329*G329,2)</f>
        <v>0</v>
      </c>
      <c r="N334" s="696">
        <f t="shared" si="76"/>
        <v>0</v>
      </c>
      <c r="O334" s="693">
        <f t="shared" si="96"/>
        <v>0</v>
      </c>
      <c r="P334" s="694">
        <f t="shared" si="97"/>
        <v>0</v>
      </c>
      <c r="Q334" s="765"/>
      <c r="R334" s="695">
        <f>ROUND(R329*G329,2)</f>
        <v>0</v>
      </c>
      <c r="S334" s="711">
        <f>N334</f>
        <v>0</v>
      </c>
      <c r="T334" s="693">
        <f t="shared" si="84"/>
        <v>0</v>
      </c>
      <c r="U334" s="694">
        <f t="shared" si="85"/>
        <v>0</v>
      </c>
      <c r="V334" s="579"/>
      <c r="W334" s="637" t="str">
        <f>IF(U329&gt;0,"xx",IF(P329&gt;0,"xy",""))</f>
        <v/>
      </c>
      <c r="X334" s="586" t="str">
        <f t="shared" si="86"/>
        <v/>
      </c>
      <c r="Y334" s="586" t="str">
        <f t="shared" si="74"/>
        <v/>
      </c>
      <c r="Z334" s="586" t="str">
        <f t="shared" si="80"/>
        <v/>
      </c>
    </row>
    <row r="335" spans="1:26" ht="12" hidden="1" thickBot="1" x14ac:dyDescent="0.25">
      <c r="A335" s="671">
        <v>534300</v>
      </c>
      <c r="B335" s="701" t="s">
        <v>1623</v>
      </c>
      <c r="C335" s="702" t="s">
        <v>206</v>
      </c>
      <c r="D335" s="463" t="s">
        <v>1919</v>
      </c>
      <c r="E335" s="464"/>
      <c r="F335" s="465" t="s">
        <v>663</v>
      </c>
      <c r="G335" s="466">
        <v>0.14000000000000001</v>
      </c>
      <c r="H335" s="681">
        <f>SUM(H336:H339)</f>
        <v>119.76626000000002</v>
      </c>
      <c r="I335" s="467">
        <v>136.76</v>
      </c>
      <c r="J335" s="467">
        <f>IF(ISBLANK(I335),"",SUM(H335:I335))</f>
        <v>256.52625999999998</v>
      </c>
      <c r="K335" s="682">
        <f t="shared" si="94"/>
        <v>304.77999999999997</v>
      </c>
      <c r="L335" s="683" t="s">
        <v>16</v>
      </c>
      <c r="M335" s="685"/>
      <c r="N335" s="576">
        <f t="shared" si="76"/>
        <v>0</v>
      </c>
      <c r="O335" s="687">
        <f t="shared" si="82"/>
        <v>0</v>
      </c>
      <c r="P335" s="688">
        <f t="shared" si="83"/>
        <v>0</v>
      </c>
      <c r="Q335" s="765"/>
      <c r="R335" s="685">
        <f>M335</f>
        <v>0</v>
      </c>
      <c r="S335" s="686">
        <f>N335</f>
        <v>0</v>
      </c>
      <c r="T335" s="687">
        <f t="shared" si="84"/>
        <v>0</v>
      </c>
      <c r="U335" s="688">
        <f t="shared" si="85"/>
        <v>0</v>
      </c>
      <c r="V335" s="579"/>
      <c r="W335" s="566"/>
      <c r="X335" s="586" t="str">
        <f t="shared" si="86"/>
        <v/>
      </c>
      <c r="Y335" s="586" t="str">
        <f t="shared" si="74"/>
        <v/>
      </c>
      <c r="Z335" s="586" t="str">
        <f t="shared" si="80"/>
        <v/>
      </c>
    </row>
    <row r="336" spans="1:26" ht="12" hidden="1" thickBot="1" x14ac:dyDescent="0.25">
      <c r="A336" s="671" t="s">
        <v>168</v>
      </c>
      <c r="B336" s="644" t="s">
        <v>168</v>
      </c>
      <c r="C336" s="645"/>
      <c r="D336" s="451" t="s">
        <v>248</v>
      </c>
      <c r="E336" s="423"/>
      <c r="F336" s="424">
        <v>180</v>
      </c>
      <c r="G336" s="425">
        <v>0.27</v>
      </c>
      <c r="H336" s="663">
        <f t="shared" ref="H336:H338" si="101">IF(F336&lt;=30,(1.07*F336+2.68)*G336,((1.07*30+2.68)+1.07*(F336-30))*G336)</f>
        <v>52.725600000000007</v>
      </c>
      <c r="I336" s="420">
        <v>0</v>
      </c>
      <c r="J336" s="420"/>
      <c r="K336" s="421">
        <f t="shared" si="94"/>
        <v>0</v>
      </c>
      <c r="L336" s="647" t="s">
        <v>614</v>
      </c>
      <c r="M336" s="703"/>
      <c r="N336" s="576">
        <f t="shared" si="76"/>
        <v>0</v>
      </c>
      <c r="O336" s="577">
        <f t="shared" si="82"/>
        <v>0</v>
      </c>
      <c r="P336" s="578">
        <f t="shared" si="83"/>
        <v>0</v>
      </c>
      <c r="Q336" s="765"/>
      <c r="R336" s="703"/>
      <c r="S336" s="670"/>
      <c r="T336" s="577">
        <f t="shared" si="84"/>
        <v>0</v>
      </c>
      <c r="U336" s="578">
        <f t="shared" si="85"/>
        <v>0</v>
      </c>
      <c r="V336" s="579"/>
      <c r="W336" s="637" t="str">
        <f>IF(U335&gt;0,"xx",IF(P335&gt;0,"xy",""))</f>
        <v/>
      </c>
      <c r="X336" s="586" t="str">
        <f t="shared" si="86"/>
        <v/>
      </c>
      <c r="Y336" s="586" t="str">
        <f t="shared" si="74"/>
        <v/>
      </c>
      <c r="Z336" s="586" t="str">
        <f t="shared" si="80"/>
        <v/>
      </c>
    </row>
    <row r="337" spans="1:26" ht="12" hidden="1" thickBot="1" x14ac:dyDescent="0.25">
      <c r="A337" s="671" t="s">
        <v>168</v>
      </c>
      <c r="B337" s="644" t="s">
        <v>168</v>
      </c>
      <c r="C337" s="645"/>
      <c r="D337" s="451" t="s">
        <v>249</v>
      </c>
      <c r="E337" s="423"/>
      <c r="F337" s="424">
        <v>500</v>
      </c>
      <c r="G337" s="425"/>
      <c r="H337" s="649">
        <f>IF(F337&lt;=30,(0.78*F337+7.82)*G337,((0.78*30+7.82)+0.78*(F337-30))*G337)</f>
        <v>0</v>
      </c>
      <c r="I337" s="420">
        <v>0</v>
      </c>
      <c r="J337" s="420">
        <f>IF(ISBLANK(I337),"",SUM(H337:I337))</f>
        <v>0</v>
      </c>
      <c r="K337" s="421">
        <f t="shared" si="94"/>
        <v>0</v>
      </c>
      <c r="L337" s="647" t="s">
        <v>614</v>
      </c>
      <c r="M337" s="703"/>
      <c r="N337" s="576">
        <f t="shared" si="76"/>
        <v>0</v>
      </c>
      <c r="O337" s="577">
        <f t="shared" si="82"/>
        <v>0</v>
      </c>
      <c r="P337" s="578">
        <f t="shared" si="83"/>
        <v>0</v>
      </c>
      <c r="Q337" s="765"/>
      <c r="R337" s="703"/>
      <c r="S337" s="670"/>
      <c r="T337" s="577">
        <f t="shared" si="84"/>
        <v>0</v>
      </c>
      <c r="U337" s="578">
        <f t="shared" si="85"/>
        <v>0</v>
      </c>
      <c r="V337" s="579"/>
      <c r="W337" s="637" t="str">
        <f>IF(U335&gt;0,"xx",IF(P335&gt;0,"xy",""))</f>
        <v/>
      </c>
      <c r="X337" s="586" t="str">
        <f t="shared" si="86"/>
        <v/>
      </c>
      <c r="Y337" s="586" t="str">
        <f t="shared" si="74"/>
        <v/>
      </c>
      <c r="Z337" s="586" t="str">
        <f t="shared" si="80"/>
        <v/>
      </c>
    </row>
    <row r="338" spans="1:26" ht="12" hidden="1" thickBot="1" x14ac:dyDescent="0.25">
      <c r="A338" s="671" t="s">
        <v>168</v>
      </c>
      <c r="B338" s="644" t="s">
        <v>168</v>
      </c>
      <c r="C338" s="645"/>
      <c r="D338" s="451" t="s">
        <v>262</v>
      </c>
      <c r="E338" s="423"/>
      <c r="F338" s="424">
        <v>0.2</v>
      </c>
      <c r="G338" s="425">
        <v>1.89</v>
      </c>
      <c r="H338" s="663">
        <f t="shared" si="101"/>
        <v>5.4696600000000002</v>
      </c>
      <c r="I338" s="420">
        <v>0</v>
      </c>
      <c r="J338" s="420"/>
      <c r="K338" s="421">
        <f t="shared" si="94"/>
        <v>0</v>
      </c>
      <c r="L338" s="647" t="s">
        <v>614</v>
      </c>
      <c r="M338" s="703"/>
      <c r="N338" s="576">
        <f t="shared" si="76"/>
        <v>0</v>
      </c>
      <c r="O338" s="577">
        <f t="shared" si="82"/>
        <v>0</v>
      </c>
      <c r="P338" s="578">
        <f t="shared" si="83"/>
        <v>0</v>
      </c>
      <c r="Q338" s="765"/>
      <c r="R338" s="703"/>
      <c r="S338" s="670"/>
      <c r="T338" s="577">
        <f t="shared" si="84"/>
        <v>0</v>
      </c>
      <c r="U338" s="578">
        <f t="shared" si="85"/>
        <v>0</v>
      </c>
      <c r="V338" s="579"/>
      <c r="W338" s="637" t="str">
        <f>IF(U335&gt;0,"xx",IF(P335&gt;0,"xy",""))</f>
        <v/>
      </c>
      <c r="X338" s="586" t="str">
        <f t="shared" si="86"/>
        <v/>
      </c>
      <c r="Y338" s="586" t="str">
        <f t="shared" si="74"/>
        <v/>
      </c>
      <c r="Z338" s="586" t="str">
        <f t="shared" si="80"/>
        <v/>
      </c>
    </row>
    <row r="339" spans="1:26" ht="12" hidden="1" thickBot="1" x14ac:dyDescent="0.25">
      <c r="A339" s="671" t="s">
        <v>168</v>
      </c>
      <c r="B339" s="644" t="s">
        <v>168</v>
      </c>
      <c r="C339" s="645"/>
      <c r="D339" s="451" t="s">
        <v>263</v>
      </c>
      <c r="E339" s="423"/>
      <c r="F339" s="424">
        <v>20</v>
      </c>
      <c r="G339" s="425">
        <f>SUM(G335:G338)</f>
        <v>2.2999999999999998</v>
      </c>
      <c r="H339" s="651">
        <f>IF(F339&lt;=30,(1.07*F339+5.37)*G339,((1.07*30+5.37)+1.07*(F339-30))*G339)</f>
        <v>61.571000000000005</v>
      </c>
      <c r="I339" s="420">
        <v>0</v>
      </c>
      <c r="J339" s="420"/>
      <c r="K339" s="421">
        <f t="shared" si="94"/>
        <v>0</v>
      </c>
      <c r="L339" s="647" t="s">
        <v>614</v>
      </c>
      <c r="M339" s="703"/>
      <c r="N339" s="576">
        <f t="shared" si="76"/>
        <v>0</v>
      </c>
      <c r="O339" s="577">
        <f t="shared" si="82"/>
        <v>0</v>
      </c>
      <c r="P339" s="578">
        <f t="shared" si="83"/>
        <v>0</v>
      </c>
      <c r="Q339" s="765"/>
      <c r="R339" s="703"/>
      <c r="S339" s="670"/>
      <c r="T339" s="577">
        <f t="shared" si="84"/>
        <v>0</v>
      </c>
      <c r="U339" s="578">
        <f t="shared" si="85"/>
        <v>0</v>
      </c>
      <c r="V339" s="579"/>
      <c r="W339" s="637" t="str">
        <f>IF(U335&gt;0,"xx",IF(P335&gt;0,"xy",""))</f>
        <v/>
      </c>
      <c r="X339" s="586" t="str">
        <f t="shared" si="86"/>
        <v/>
      </c>
      <c r="Y339" s="586" t="str">
        <f t="shared" ref="Y339:Y402" si="102">IF(W339="X","x",IF(W339="y","x",IF(W339="xx","x",IF(U339&gt;0,"x",""))))</f>
        <v/>
      </c>
      <c r="Z339" s="586" t="str">
        <f t="shared" si="80"/>
        <v/>
      </c>
    </row>
    <row r="340" spans="1:26" ht="12" hidden="1" thickBot="1" x14ac:dyDescent="0.25">
      <c r="A340" s="671">
        <v>589320</v>
      </c>
      <c r="B340" s="704" t="s">
        <v>1774</v>
      </c>
      <c r="C340" s="689" t="s">
        <v>1746</v>
      </c>
      <c r="D340" s="477" t="s">
        <v>813</v>
      </c>
      <c r="E340" s="470"/>
      <c r="F340" s="478">
        <v>500</v>
      </c>
      <c r="G340" s="479">
        <v>1</v>
      </c>
      <c r="H340" s="663">
        <f>(0.84*F340+41.45)*G340</f>
        <v>461.45</v>
      </c>
      <c r="I340" s="472">
        <v>4680</v>
      </c>
      <c r="J340" s="472">
        <f>IF(ISBLANK(I340),"",I340*(1+$F$9)/(1+$F$10))+H340</f>
        <v>5002.4010983923918</v>
      </c>
      <c r="K340" s="690">
        <f t="shared" si="94"/>
        <v>5943.35</v>
      </c>
      <c r="L340" s="691" t="s">
        <v>20</v>
      </c>
      <c r="M340" s="692">
        <f>ROUND(M335*G335,2)</f>
        <v>0</v>
      </c>
      <c r="N340" s="588">
        <f t="shared" ref="N340:N403" si="103">IF(M340=0,0,K340)</f>
        <v>0</v>
      </c>
      <c r="O340" s="693">
        <f>IF(ISBLANK(M340),0,ROUND(K340*M340,2))</f>
        <v>0</v>
      </c>
      <c r="P340" s="694">
        <f>IF(ISBLANK(N340),0,ROUND(M340*N340,2))</f>
        <v>0</v>
      </c>
      <c r="Q340" s="765"/>
      <c r="R340" s="695">
        <f>ROUND(R335*G335,2)</f>
        <v>0</v>
      </c>
      <c r="S340" s="711">
        <f>N340</f>
        <v>0</v>
      </c>
      <c r="T340" s="693">
        <f t="shared" si="84"/>
        <v>0</v>
      </c>
      <c r="U340" s="694">
        <f t="shared" si="85"/>
        <v>0</v>
      </c>
      <c r="V340" s="579"/>
      <c r="W340" s="637" t="str">
        <f>IF(U335&gt;0,"xx",IF(P335&gt;0,"xy",""))</f>
        <v/>
      </c>
      <c r="X340" s="586" t="str">
        <f t="shared" si="86"/>
        <v/>
      </c>
      <c r="Y340" s="586" t="str">
        <f t="shared" si="102"/>
        <v/>
      </c>
      <c r="Z340" s="586" t="str">
        <f t="shared" si="80"/>
        <v/>
      </c>
    </row>
    <row r="341" spans="1:26" ht="12" hidden="1" thickBot="1" x14ac:dyDescent="0.25">
      <c r="A341" s="671">
        <v>534300</v>
      </c>
      <c r="B341" s="701" t="s">
        <v>1577</v>
      </c>
      <c r="C341" s="702" t="s">
        <v>206</v>
      </c>
      <c r="D341" s="463" t="s">
        <v>1920</v>
      </c>
      <c r="E341" s="464"/>
      <c r="F341" s="465" t="s">
        <v>663</v>
      </c>
      <c r="G341" s="466">
        <v>0.14000000000000001</v>
      </c>
      <c r="H341" s="681">
        <f>SUM(H342:H345)</f>
        <v>119.76626000000002</v>
      </c>
      <c r="I341" s="467">
        <v>136.76</v>
      </c>
      <c r="J341" s="467">
        <f>IF(ISBLANK(I341),"",SUM(H341:I341))</f>
        <v>256.52625999999998</v>
      </c>
      <c r="K341" s="682">
        <f t="shared" si="94"/>
        <v>304.77999999999997</v>
      </c>
      <c r="L341" s="683" t="s">
        <v>16</v>
      </c>
      <c r="M341" s="685"/>
      <c r="N341" s="686">
        <f t="shared" si="103"/>
        <v>0</v>
      </c>
      <c r="O341" s="687">
        <f t="shared" si="82"/>
        <v>0</v>
      </c>
      <c r="P341" s="688">
        <f t="shared" si="83"/>
        <v>0</v>
      </c>
      <c r="Q341" s="765"/>
      <c r="R341" s="685">
        <f>M341</f>
        <v>0</v>
      </c>
      <c r="S341" s="686">
        <f>N341</f>
        <v>0</v>
      </c>
      <c r="T341" s="687">
        <f t="shared" si="84"/>
        <v>0</v>
      </c>
      <c r="U341" s="688">
        <f t="shared" si="85"/>
        <v>0</v>
      </c>
      <c r="V341" s="579"/>
      <c r="W341" s="566"/>
      <c r="X341" s="586" t="str">
        <f t="shared" si="86"/>
        <v/>
      </c>
      <c r="Y341" s="586" t="str">
        <f t="shared" si="102"/>
        <v/>
      </c>
      <c r="Z341" s="586" t="str">
        <f t="shared" si="80"/>
        <v/>
      </c>
    </row>
    <row r="342" spans="1:26" ht="12" hidden="1" thickBot="1" x14ac:dyDescent="0.25">
      <c r="A342" s="671" t="s">
        <v>168</v>
      </c>
      <c r="B342" s="644" t="s">
        <v>168</v>
      </c>
      <c r="C342" s="645"/>
      <c r="D342" s="451" t="s">
        <v>248</v>
      </c>
      <c r="E342" s="423"/>
      <c r="F342" s="424">
        <v>180</v>
      </c>
      <c r="G342" s="425">
        <v>0.27</v>
      </c>
      <c r="H342" s="663">
        <f t="shared" ref="H342:H344" si="104">IF(F342&lt;=30,(1.07*F342+2.68)*G342,((1.07*30+2.68)+1.07*(F342-30))*G342)</f>
        <v>52.725600000000007</v>
      </c>
      <c r="I342" s="420">
        <v>0</v>
      </c>
      <c r="J342" s="420"/>
      <c r="K342" s="421">
        <f t="shared" si="94"/>
        <v>0</v>
      </c>
      <c r="L342" s="647" t="s">
        <v>614</v>
      </c>
      <c r="M342" s="703"/>
      <c r="N342" s="576">
        <f t="shared" si="103"/>
        <v>0</v>
      </c>
      <c r="O342" s="577">
        <f t="shared" si="82"/>
        <v>0</v>
      </c>
      <c r="P342" s="578">
        <f t="shared" si="83"/>
        <v>0</v>
      </c>
      <c r="Q342" s="765"/>
      <c r="R342" s="703"/>
      <c r="S342" s="670"/>
      <c r="T342" s="577">
        <f t="shared" si="84"/>
        <v>0</v>
      </c>
      <c r="U342" s="578">
        <f t="shared" si="85"/>
        <v>0</v>
      </c>
      <c r="V342" s="579"/>
      <c r="W342" s="637" t="str">
        <f>IF(U341&gt;0,"xx",IF(P341&gt;0,"xy",""))</f>
        <v/>
      </c>
      <c r="X342" s="586" t="str">
        <f t="shared" si="86"/>
        <v/>
      </c>
      <c r="Y342" s="586" t="str">
        <f t="shared" si="102"/>
        <v/>
      </c>
      <c r="Z342" s="586" t="str">
        <f t="shared" si="80"/>
        <v/>
      </c>
    </row>
    <row r="343" spans="1:26" ht="12" hidden="1" thickBot="1" x14ac:dyDescent="0.25">
      <c r="A343" s="671" t="s">
        <v>168</v>
      </c>
      <c r="B343" s="644" t="s">
        <v>168</v>
      </c>
      <c r="C343" s="645"/>
      <c r="D343" s="451" t="s">
        <v>249</v>
      </c>
      <c r="E343" s="423"/>
      <c r="F343" s="424">
        <v>500</v>
      </c>
      <c r="G343" s="425"/>
      <c r="H343" s="649">
        <f>IF(F343&lt;=30,(0.78*F343+7.82)*G343,((0.78*30+7.82)+0.78*(F343-30))*G343)</f>
        <v>0</v>
      </c>
      <c r="I343" s="420">
        <v>0</v>
      </c>
      <c r="J343" s="420">
        <f>IF(ISBLANK(I343),"",SUM(H343:I343))</f>
        <v>0</v>
      </c>
      <c r="K343" s="421">
        <f t="shared" si="94"/>
        <v>0</v>
      </c>
      <c r="L343" s="647" t="s">
        <v>614</v>
      </c>
      <c r="M343" s="703"/>
      <c r="N343" s="576">
        <f t="shared" si="103"/>
        <v>0</v>
      </c>
      <c r="O343" s="577">
        <f t="shared" si="82"/>
        <v>0</v>
      </c>
      <c r="P343" s="578">
        <f t="shared" si="83"/>
        <v>0</v>
      </c>
      <c r="Q343" s="765"/>
      <c r="R343" s="703"/>
      <c r="S343" s="670"/>
      <c r="T343" s="577">
        <f t="shared" si="84"/>
        <v>0</v>
      </c>
      <c r="U343" s="578">
        <f t="shared" si="85"/>
        <v>0</v>
      </c>
      <c r="V343" s="579"/>
      <c r="W343" s="637" t="str">
        <f>IF(U341&gt;0,"xx",IF(P341&gt;0,"xy",""))</f>
        <v/>
      </c>
      <c r="X343" s="586" t="str">
        <f>IF(W343="X","x",IF(W343="xx","x",IF(W343="xy","x",IF(W343="y","x",IF(OR(P343&gt;0,U343&gt;0),"x","")))))</f>
        <v/>
      </c>
      <c r="Y343" s="586" t="str">
        <f>IF(W343="X","x",IF(W343="y","x",IF(W343="xx","x",IF(U343&gt;0,"x",""))))</f>
        <v/>
      </c>
      <c r="Z343" s="586" t="str">
        <f>IF(W343="X","x",IF(U343&gt;0,"x",""))</f>
        <v/>
      </c>
    </row>
    <row r="344" spans="1:26" ht="12" hidden="1" thickBot="1" x14ac:dyDescent="0.25">
      <c r="A344" s="671" t="s">
        <v>168</v>
      </c>
      <c r="B344" s="644" t="s">
        <v>168</v>
      </c>
      <c r="C344" s="645"/>
      <c r="D344" s="451" t="s">
        <v>262</v>
      </c>
      <c r="E344" s="423"/>
      <c r="F344" s="424">
        <v>0.2</v>
      </c>
      <c r="G344" s="425">
        <v>1.89</v>
      </c>
      <c r="H344" s="663">
        <f t="shared" si="104"/>
        <v>5.4696600000000002</v>
      </c>
      <c r="I344" s="420">
        <v>0</v>
      </c>
      <c r="J344" s="420"/>
      <c r="K344" s="421">
        <f t="shared" si="94"/>
        <v>0</v>
      </c>
      <c r="L344" s="647" t="s">
        <v>614</v>
      </c>
      <c r="M344" s="703"/>
      <c r="N344" s="576">
        <f t="shared" si="103"/>
        <v>0</v>
      </c>
      <c r="O344" s="577">
        <f t="shared" si="82"/>
        <v>0</v>
      </c>
      <c r="P344" s="578">
        <f t="shared" si="83"/>
        <v>0</v>
      </c>
      <c r="Q344" s="765"/>
      <c r="R344" s="703"/>
      <c r="S344" s="670"/>
      <c r="T344" s="577">
        <f t="shared" si="84"/>
        <v>0</v>
      </c>
      <c r="U344" s="578">
        <f t="shared" si="85"/>
        <v>0</v>
      </c>
      <c r="V344" s="579"/>
      <c r="W344" s="637" t="str">
        <f>IF(U341&gt;0,"xx",IF(P341&gt;0,"xy",""))</f>
        <v/>
      </c>
      <c r="X344" s="586" t="str">
        <f>IF(W344="X","x",IF(W344="xx","x",IF(W344="xy","x",IF(W344="y","x",IF(OR(P344&gt;0,U344&gt;0),"x","")))))</f>
        <v/>
      </c>
      <c r="Y344" s="586" t="str">
        <f>IF(W344="X","x",IF(W344="y","x",IF(W344="xx","x",IF(U344&gt;0,"x",""))))</f>
        <v/>
      </c>
      <c r="Z344" s="586" t="str">
        <f>IF(W344="X","x",IF(U344&gt;0,"x",""))</f>
        <v/>
      </c>
    </row>
    <row r="345" spans="1:26" ht="12" hidden="1" thickBot="1" x14ac:dyDescent="0.25">
      <c r="A345" s="671" t="s">
        <v>168</v>
      </c>
      <c r="B345" s="644" t="s">
        <v>168</v>
      </c>
      <c r="C345" s="645"/>
      <c r="D345" s="451" t="s">
        <v>263</v>
      </c>
      <c r="E345" s="423"/>
      <c r="F345" s="424">
        <v>20</v>
      </c>
      <c r="G345" s="425">
        <f>SUM(G341:G344)</f>
        <v>2.2999999999999998</v>
      </c>
      <c r="H345" s="651">
        <f>IF(F345&lt;=30,(1.07*F345+5.37)*G345,((1.07*30+5.37)+1.07*(F345-30))*G345)</f>
        <v>61.571000000000005</v>
      </c>
      <c r="I345" s="420">
        <v>0</v>
      </c>
      <c r="J345" s="420"/>
      <c r="K345" s="421">
        <f t="shared" si="94"/>
        <v>0</v>
      </c>
      <c r="L345" s="647" t="s">
        <v>614</v>
      </c>
      <c r="M345" s="703"/>
      <c r="N345" s="576">
        <f t="shared" si="103"/>
        <v>0</v>
      </c>
      <c r="O345" s="577">
        <f t="shared" si="82"/>
        <v>0</v>
      </c>
      <c r="P345" s="578">
        <f t="shared" si="83"/>
        <v>0</v>
      </c>
      <c r="Q345" s="765"/>
      <c r="R345" s="703"/>
      <c r="S345" s="670"/>
      <c r="T345" s="577">
        <f t="shared" si="84"/>
        <v>0</v>
      </c>
      <c r="U345" s="578">
        <f t="shared" si="85"/>
        <v>0</v>
      </c>
      <c r="V345" s="579"/>
      <c r="W345" s="637" t="str">
        <f>IF(U341&gt;0,"xx",IF(P341&gt;0,"xy",""))</f>
        <v/>
      </c>
      <c r="X345" s="586" t="str">
        <f t="shared" si="86"/>
        <v/>
      </c>
      <c r="Y345" s="586" t="str">
        <f t="shared" si="102"/>
        <v/>
      </c>
      <c r="Z345" s="586" t="str">
        <f t="shared" si="80"/>
        <v/>
      </c>
    </row>
    <row r="346" spans="1:26" ht="12" hidden="1" thickBot="1" x14ac:dyDescent="0.25">
      <c r="A346" s="671">
        <v>589320</v>
      </c>
      <c r="B346" s="704" t="s">
        <v>1775</v>
      </c>
      <c r="C346" s="689" t="s">
        <v>1746</v>
      </c>
      <c r="D346" s="477" t="s">
        <v>813</v>
      </c>
      <c r="E346" s="470"/>
      <c r="F346" s="478">
        <v>500</v>
      </c>
      <c r="G346" s="479">
        <v>1</v>
      </c>
      <c r="H346" s="663">
        <f>(0.84*F346+41.45)*G346</f>
        <v>461.45</v>
      </c>
      <c r="I346" s="472">
        <v>4680</v>
      </c>
      <c r="J346" s="472">
        <f>IF(ISBLANK(I346),"",I346*(1+$F$9)/(1+$F$10))+H346</f>
        <v>5002.4010983923918</v>
      </c>
      <c r="K346" s="690">
        <f t="shared" si="94"/>
        <v>5943.35</v>
      </c>
      <c r="L346" s="691" t="s">
        <v>20</v>
      </c>
      <c r="M346" s="692">
        <f>ROUND(M341*G341,2)</f>
        <v>0</v>
      </c>
      <c r="N346" s="696">
        <f t="shared" si="103"/>
        <v>0</v>
      </c>
      <c r="O346" s="693">
        <f>IF(ISBLANK(M346),0,ROUND(K346*M346,2))</f>
        <v>0</v>
      </c>
      <c r="P346" s="694">
        <f>IF(ISBLANK(N346),0,ROUND(M346*N346,2))</f>
        <v>0</v>
      </c>
      <c r="Q346" s="765"/>
      <c r="R346" s="695">
        <f>ROUND(R341*G341,2)</f>
        <v>0</v>
      </c>
      <c r="S346" s="711">
        <f>N346</f>
        <v>0</v>
      </c>
      <c r="T346" s="693">
        <f t="shared" si="84"/>
        <v>0</v>
      </c>
      <c r="U346" s="694">
        <f t="shared" si="85"/>
        <v>0</v>
      </c>
      <c r="V346" s="579"/>
      <c r="W346" s="637" t="str">
        <f>IF(U341&gt;0,"xx",IF(P341&gt;0,"xy",""))</f>
        <v/>
      </c>
      <c r="X346" s="586" t="str">
        <f t="shared" si="86"/>
        <v/>
      </c>
      <c r="Y346" s="586" t="str">
        <f t="shared" si="102"/>
        <v/>
      </c>
      <c r="Z346" s="586" t="str">
        <f t="shared" si="80"/>
        <v/>
      </c>
    </row>
    <row r="347" spans="1:26" ht="12" hidden="1" thickBot="1" x14ac:dyDescent="0.25">
      <c r="A347" s="671">
        <v>534300</v>
      </c>
      <c r="B347" s="701" t="s">
        <v>1578</v>
      </c>
      <c r="C347" s="702" t="s">
        <v>206</v>
      </c>
      <c r="D347" s="463" t="s">
        <v>1915</v>
      </c>
      <c r="E347" s="464"/>
      <c r="F347" s="465" t="s">
        <v>663</v>
      </c>
      <c r="G347" s="466">
        <v>0.18240000000000001</v>
      </c>
      <c r="H347" s="681">
        <f>SUM(H348:H351)</f>
        <v>214.06262820000001</v>
      </c>
      <c r="I347" s="467">
        <v>136.76</v>
      </c>
      <c r="J347" s="467">
        <f>IF(ISBLANK(I347),"",SUM(H347:I347))</f>
        <v>350.8226282</v>
      </c>
      <c r="K347" s="682">
        <f t="shared" si="94"/>
        <v>416.81</v>
      </c>
      <c r="L347" s="683" t="s">
        <v>16</v>
      </c>
      <c r="M347" s="685"/>
      <c r="N347" s="576">
        <f t="shared" si="103"/>
        <v>0</v>
      </c>
      <c r="O347" s="687">
        <f t="shared" si="82"/>
        <v>0</v>
      </c>
      <c r="P347" s="688">
        <f t="shared" si="83"/>
        <v>0</v>
      </c>
      <c r="Q347" s="765"/>
      <c r="R347" s="685">
        <f>M347</f>
        <v>0</v>
      </c>
      <c r="S347" s="686">
        <f>N347</f>
        <v>0</v>
      </c>
      <c r="T347" s="687">
        <f t="shared" si="84"/>
        <v>0</v>
      </c>
      <c r="U347" s="688">
        <f t="shared" si="85"/>
        <v>0</v>
      </c>
      <c r="V347" s="579"/>
      <c r="W347" s="566"/>
      <c r="X347" s="586" t="str">
        <f t="shared" si="86"/>
        <v/>
      </c>
      <c r="Y347" s="586" t="str">
        <f t="shared" si="102"/>
        <v/>
      </c>
      <c r="Z347" s="586" t="str">
        <f t="shared" si="80"/>
        <v/>
      </c>
    </row>
    <row r="348" spans="1:26" ht="12" hidden="1" thickBot="1" x14ac:dyDescent="0.25">
      <c r="A348" s="671" t="s">
        <v>168</v>
      </c>
      <c r="B348" s="644" t="s">
        <v>168</v>
      </c>
      <c r="C348" s="645"/>
      <c r="D348" s="451" t="s">
        <v>248</v>
      </c>
      <c r="E348" s="423"/>
      <c r="F348" s="424">
        <v>180</v>
      </c>
      <c r="G348" s="425">
        <v>0.56969999999999998</v>
      </c>
      <c r="H348" s="663">
        <f t="shared" ref="H348:H350" si="105">IF(F348&lt;=30,(1.07*F348+2.68)*G348,((1.07*30+2.68)+1.07*(F348-30))*G348)</f>
        <v>111.25101599999999</v>
      </c>
      <c r="I348" s="420">
        <v>0</v>
      </c>
      <c r="J348" s="420"/>
      <c r="K348" s="421">
        <f t="shared" si="94"/>
        <v>0</v>
      </c>
      <c r="L348" s="647" t="s">
        <v>614</v>
      </c>
      <c r="M348" s="703"/>
      <c r="N348" s="576">
        <f t="shared" si="103"/>
        <v>0</v>
      </c>
      <c r="O348" s="577">
        <f t="shared" si="82"/>
        <v>0</v>
      </c>
      <c r="P348" s="578">
        <f t="shared" si="83"/>
        <v>0</v>
      </c>
      <c r="Q348" s="765"/>
      <c r="R348" s="703"/>
      <c r="S348" s="670"/>
      <c r="T348" s="577">
        <f t="shared" si="84"/>
        <v>0</v>
      </c>
      <c r="U348" s="578">
        <f t="shared" si="85"/>
        <v>0</v>
      </c>
      <c r="V348" s="579"/>
      <c r="W348" s="637" t="str">
        <f>IF(U347&gt;0,"xx",IF(P347&gt;0,"xy",""))</f>
        <v/>
      </c>
      <c r="X348" s="586" t="str">
        <f t="shared" si="86"/>
        <v/>
      </c>
      <c r="Y348" s="586" t="str">
        <f t="shared" si="102"/>
        <v/>
      </c>
      <c r="Z348" s="586" t="str">
        <f t="shared" si="80"/>
        <v/>
      </c>
    </row>
    <row r="349" spans="1:26" ht="12" hidden="1" thickBot="1" x14ac:dyDescent="0.25">
      <c r="A349" s="671" t="s">
        <v>168</v>
      </c>
      <c r="B349" s="644" t="s">
        <v>168</v>
      </c>
      <c r="C349" s="645"/>
      <c r="D349" s="451" t="s">
        <v>249</v>
      </c>
      <c r="E349" s="423"/>
      <c r="F349" s="424">
        <v>500</v>
      </c>
      <c r="G349" s="425">
        <v>8.7599999999999997E-2</v>
      </c>
      <c r="H349" s="649">
        <f>IF(F349&lt;=30,(0.78*F349+7.82)*G349,((0.78*30+7.82)+0.78*(F349-30))*G349)</f>
        <v>34.849032000000001</v>
      </c>
      <c r="I349" s="420">
        <v>0</v>
      </c>
      <c r="J349" s="420"/>
      <c r="K349" s="421">
        <f t="shared" si="94"/>
        <v>0</v>
      </c>
      <c r="L349" s="647" t="s">
        <v>614</v>
      </c>
      <c r="M349" s="703"/>
      <c r="N349" s="576">
        <f t="shared" si="103"/>
        <v>0</v>
      </c>
      <c r="O349" s="577">
        <f t="shared" si="82"/>
        <v>0</v>
      </c>
      <c r="P349" s="578">
        <f t="shared" si="83"/>
        <v>0</v>
      </c>
      <c r="Q349" s="765"/>
      <c r="R349" s="703"/>
      <c r="S349" s="670"/>
      <c r="T349" s="577">
        <f t="shared" si="84"/>
        <v>0</v>
      </c>
      <c r="U349" s="578">
        <f t="shared" si="85"/>
        <v>0</v>
      </c>
      <c r="V349" s="579"/>
      <c r="W349" s="637" t="str">
        <f>IF(U347&gt;0,"xx",IF(P347&gt;0,"xy",""))</f>
        <v/>
      </c>
      <c r="X349" s="586" t="str">
        <f t="shared" si="86"/>
        <v/>
      </c>
      <c r="Y349" s="586" t="str">
        <f t="shared" si="102"/>
        <v/>
      </c>
      <c r="Z349" s="586" t="str">
        <f t="shared" ref="Z349:Z412" si="106">IF(W349="X","x",IF(U349&gt;0,"x",""))</f>
        <v/>
      </c>
    </row>
    <row r="350" spans="1:26" ht="12" hidden="1" thickBot="1" x14ac:dyDescent="0.25">
      <c r="A350" s="671" t="s">
        <v>168</v>
      </c>
      <c r="B350" s="644" t="s">
        <v>168</v>
      </c>
      <c r="C350" s="645"/>
      <c r="D350" s="451" t="s">
        <v>262</v>
      </c>
      <c r="E350" s="423"/>
      <c r="F350" s="424">
        <v>0.2</v>
      </c>
      <c r="G350" s="425">
        <v>1.5333000000000001</v>
      </c>
      <c r="H350" s="663">
        <f t="shared" si="105"/>
        <v>4.4373702000000002</v>
      </c>
      <c r="I350" s="420">
        <v>0</v>
      </c>
      <c r="J350" s="420"/>
      <c r="K350" s="421">
        <f t="shared" si="94"/>
        <v>0</v>
      </c>
      <c r="L350" s="647" t="s">
        <v>614</v>
      </c>
      <c r="M350" s="703"/>
      <c r="N350" s="576">
        <f t="shared" si="103"/>
        <v>0</v>
      </c>
      <c r="O350" s="577">
        <f t="shared" si="82"/>
        <v>0</v>
      </c>
      <c r="P350" s="578">
        <f t="shared" si="83"/>
        <v>0</v>
      </c>
      <c r="Q350" s="765"/>
      <c r="R350" s="703"/>
      <c r="S350" s="670"/>
      <c r="T350" s="577">
        <f t="shared" si="84"/>
        <v>0</v>
      </c>
      <c r="U350" s="578">
        <f t="shared" si="85"/>
        <v>0</v>
      </c>
      <c r="V350" s="579"/>
      <c r="W350" s="637" t="str">
        <f>IF(U347&gt;0,"xx",IF(P347&gt;0,"xy",""))</f>
        <v/>
      </c>
      <c r="X350" s="586" t="str">
        <f t="shared" si="86"/>
        <v/>
      </c>
      <c r="Y350" s="586" t="str">
        <f t="shared" si="102"/>
        <v/>
      </c>
      <c r="Z350" s="586" t="str">
        <f t="shared" si="106"/>
        <v/>
      </c>
    </row>
    <row r="351" spans="1:26" ht="12" hidden="1" thickBot="1" x14ac:dyDescent="0.25">
      <c r="A351" s="671" t="s">
        <v>168</v>
      </c>
      <c r="B351" s="644" t="s">
        <v>168</v>
      </c>
      <c r="C351" s="645"/>
      <c r="D351" s="451" t="s">
        <v>263</v>
      </c>
      <c r="E351" s="423"/>
      <c r="F351" s="424">
        <v>20</v>
      </c>
      <c r="G351" s="425">
        <f>SUM(G347:G350)</f>
        <v>2.3730000000000002</v>
      </c>
      <c r="H351" s="651">
        <f>IF(F351&lt;=30,(1.07*F351+5.37)*G351,((1.07*30+5.37)+1.07*(F351-30))*G351)</f>
        <v>63.525210000000015</v>
      </c>
      <c r="I351" s="420">
        <v>0</v>
      </c>
      <c r="J351" s="420"/>
      <c r="K351" s="421">
        <f t="shared" si="94"/>
        <v>0</v>
      </c>
      <c r="L351" s="647" t="s">
        <v>614</v>
      </c>
      <c r="M351" s="703"/>
      <c r="N351" s="576">
        <f t="shared" si="103"/>
        <v>0</v>
      </c>
      <c r="O351" s="577">
        <f t="shared" si="82"/>
        <v>0</v>
      </c>
      <c r="P351" s="578">
        <f t="shared" si="83"/>
        <v>0</v>
      </c>
      <c r="Q351" s="765"/>
      <c r="R351" s="703"/>
      <c r="S351" s="670"/>
      <c r="T351" s="577">
        <f t="shared" si="84"/>
        <v>0</v>
      </c>
      <c r="U351" s="578">
        <f t="shared" si="85"/>
        <v>0</v>
      </c>
      <c r="V351" s="579"/>
      <c r="W351" s="637" t="str">
        <f>IF(U347&gt;0,"xx",IF(P347&gt;0,"xy",""))</f>
        <v/>
      </c>
      <c r="X351" s="586" t="str">
        <f t="shared" si="86"/>
        <v/>
      </c>
      <c r="Y351" s="586" t="str">
        <f t="shared" si="102"/>
        <v/>
      </c>
      <c r="Z351" s="586" t="str">
        <f t="shared" si="106"/>
        <v/>
      </c>
    </row>
    <row r="352" spans="1:26" ht="12" hidden="1" thickBot="1" x14ac:dyDescent="0.25">
      <c r="A352" s="671">
        <v>589320</v>
      </c>
      <c r="B352" s="704" t="s">
        <v>1776</v>
      </c>
      <c r="C352" s="689" t="s">
        <v>1746</v>
      </c>
      <c r="D352" s="477" t="s">
        <v>1575</v>
      </c>
      <c r="E352" s="470"/>
      <c r="F352" s="478">
        <v>500</v>
      </c>
      <c r="G352" s="479">
        <v>1</v>
      </c>
      <c r="H352" s="663">
        <f>(0.84*F352+41.45)*G352</f>
        <v>461.45</v>
      </c>
      <c r="I352" s="472">
        <v>4680</v>
      </c>
      <c r="J352" s="472">
        <f>IF(ISBLANK(I352),"",I352*(1+$F$9)/(1+$F$10))+H352</f>
        <v>5002.4010983923918</v>
      </c>
      <c r="K352" s="690">
        <f t="shared" si="94"/>
        <v>5943.35</v>
      </c>
      <c r="L352" s="691" t="s">
        <v>20</v>
      </c>
      <c r="M352" s="692">
        <f>ROUND(M347*G347,2)</f>
        <v>0</v>
      </c>
      <c r="N352" s="588">
        <f t="shared" si="103"/>
        <v>0</v>
      </c>
      <c r="O352" s="693">
        <f>IF(ISBLANK(M352),0,ROUND(K352*M352,2))</f>
        <v>0</v>
      </c>
      <c r="P352" s="694">
        <f>IF(ISBLANK(N352),0,ROUND(M352*N352,2))</f>
        <v>0</v>
      </c>
      <c r="Q352" s="765"/>
      <c r="R352" s="695">
        <f>ROUND(R347*G347,2)</f>
        <v>0</v>
      </c>
      <c r="S352" s="711">
        <f>N352</f>
        <v>0</v>
      </c>
      <c r="T352" s="693">
        <f t="shared" si="84"/>
        <v>0</v>
      </c>
      <c r="U352" s="694">
        <f t="shared" si="85"/>
        <v>0</v>
      </c>
      <c r="V352" s="579"/>
      <c r="W352" s="637" t="str">
        <f>IF(U347&gt;0,"xx",IF(P347&gt;0,"xy",""))</f>
        <v/>
      </c>
      <c r="X352" s="586" t="str">
        <f t="shared" si="86"/>
        <v/>
      </c>
      <c r="Y352" s="586" t="str">
        <f t="shared" si="102"/>
        <v/>
      </c>
      <c r="Z352" s="586" t="str">
        <f t="shared" si="106"/>
        <v/>
      </c>
    </row>
    <row r="353" spans="1:26" ht="12" hidden="1" thickBot="1" x14ac:dyDescent="0.25">
      <c r="A353" s="671">
        <v>570300</v>
      </c>
      <c r="B353" s="701" t="s">
        <v>1624</v>
      </c>
      <c r="C353" s="702" t="s">
        <v>206</v>
      </c>
      <c r="D353" s="485" t="s">
        <v>814</v>
      </c>
      <c r="E353" s="464"/>
      <c r="F353" s="465" t="s">
        <v>662</v>
      </c>
      <c r="G353" s="466">
        <v>0.04</v>
      </c>
      <c r="H353" s="681">
        <f>SUM(H354:H357)</f>
        <v>36.552130000000005</v>
      </c>
      <c r="I353" s="467">
        <v>190.4</v>
      </c>
      <c r="J353" s="467">
        <f>IF(ISBLANK(I353),"",SUM(H353:I353))</f>
        <v>226.95213000000001</v>
      </c>
      <c r="K353" s="682">
        <f t="shared" si="94"/>
        <v>269.64</v>
      </c>
      <c r="L353" s="683" t="s">
        <v>20</v>
      </c>
      <c r="M353" s="685"/>
      <c r="N353" s="686">
        <f t="shared" si="103"/>
        <v>0</v>
      </c>
      <c r="O353" s="687">
        <f t="shared" si="82"/>
        <v>0</v>
      </c>
      <c r="P353" s="688">
        <f t="shared" si="83"/>
        <v>0</v>
      </c>
      <c r="Q353" s="765"/>
      <c r="R353" s="685">
        <f>M353</f>
        <v>0</v>
      </c>
      <c r="S353" s="686">
        <f>N353</f>
        <v>0</v>
      </c>
      <c r="T353" s="687">
        <f t="shared" si="84"/>
        <v>0</v>
      </c>
      <c r="U353" s="688">
        <f t="shared" si="85"/>
        <v>0</v>
      </c>
      <c r="V353" s="579"/>
      <c r="W353" s="566"/>
      <c r="X353" s="586" t="str">
        <f t="shared" si="86"/>
        <v/>
      </c>
      <c r="Y353" s="586" t="str">
        <f t="shared" si="102"/>
        <v/>
      </c>
      <c r="Z353" s="586" t="str">
        <f t="shared" si="106"/>
        <v/>
      </c>
    </row>
    <row r="354" spans="1:26" ht="12" hidden="1" thickBot="1" x14ac:dyDescent="0.25">
      <c r="A354" s="671" t="s">
        <v>168</v>
      </c>
      <c r="B354" s="644" t="s">
        <v>168</v>
      </c>
      <c r="C354" s="645"/>
      <c r="D354" s="451" t="s">
        <v>248</v>
      </c>
      <c r="E354" s="423"/>
      <c r="F354" s="424">
        <v>180</v>
      </c>
      <c r="G354" s="425">
        <v>0</v>
      </c>
      <c r="H354" s="663">
        <f t="shared" ref="H354:H356" si="107">IF(F354&lt;=30,(1.07*F354+2.68)*G354,((1.07*30+2.68)+1.07*(F354-30))*G354)</f>
        <v>0</v>
      </c>
      <c r="I354" s="420">
        <v>0</v>
      </c>
      <c r="J354" s="420">
        <f>IF(ISBLANK(I354),"",SUM(H354:I354))</f>
        <v>0</v>
      </c>
      <c r="K354" s="421">
        <f t="shared" si="94"/>
        <v>0</v>
      </c>
      <c r="L354" s="647" t="s">
        <v>614</v>
      </c>
      <c r="M354" s="703"/>
      <c r="N354" s="576">
        <f t="shared" si="103"/>
        <v>0</v>
      </c>
      <c r="O354" s="577">
        <f t="shared" si="82"/>
        <v>0</v>
      </c>
      <c r="P354" s="578">
        <f t="shared" si="83"/>
        <v>0</v>
      </c>
      <c r="Q354" s="765"/>
      <c r="R354" s="703"/>
      <c r="S354" s="670"/>
      <c r="T354" s="577">
        <f t="shared" si="84"/>
        <v>0</v>
      </c>
      <c r="U354" s="578">
        <f t="shared" si="85"/>
        <v>0</v>
      </c>
      <c r="V354" s="579"/>
      <c r="W354" s="637" t="str">
        <f>IF(U353&gt;0,"xx",IF(P353&gt;0,"xy",""))</f>
        <v/>
      </c>
      <c r="X354" s="586" t="str">
        <f t="shared" ref="X354:X417" si="108">IF(W354="X","x",IF(W354="xx","x",IF(W354="xy","x",IF(W354="y","x",IF(OR(P354&gt;0,U354&gt;0),"x","")))))</f>
        <v/>
      </c>
      <c r="Y354" s="586" t="str">
        <f t="shared" si="102"/>
        <v/>
      </c>
      <c r="Z354" s="586" t="str">
        <f t="shared" si="106"/>
        <v/>
      </c>
    </row>
    <row r="355" spans="1:26" ht="12" hidden="1" thickBot="1" x14ac:dyDescent="0.25">
      <c r="A355" s="671" t="s">
        <v>168</v>
      </c>
      <c r="B355" s="644" t="s">
        <v>168</v>
      </c>
      <c r="C355" s="645"/>
      <c r="D355" s="451" t="s">
        <v>249</v>
      </c>
      <c r="E355" s="423"/>
      <c r="F355" s="424">
        <v>500</v>
      </c>
      <c r="G355" s="425">
        <v>1.4999999999999999E-2</v>
      </c>
      <c r="H355" s="649">
        <f>IF(F355&lt;=30,(0.78*F355+7.82)*G355,((0.78*30+7.82)+0.78*(F355-30))*G355)</f>
        <v>5.9673000000000007</v>
      </c>
      <c r="I355" s="420">
        <v>0</v>
      </c>
      <c r="J355" s="420"/>
      <c r="K355" s="421">
        <f t="shared" si="94"/>
        <v>0</v>
      </c>
      <c r="L355" s="647" t="s">
        <v>614</v>
      </c>
      <c r="M355" s="703"/>
      <c r="N355" s="576">
        <f t="shared" si="103"/>
        <v>0</v>
      </c>
      <c r="O355" s="577">
        <f t="shared" si="82"/>
        <v>0</v>
      </c>
      <c r="P355" s="578">
        <f t="shared" si="83"/>
        <v>0</v>
      </c>
      <c r="Q355" s="765"/>
      <c r="R355" s="703"/>
      <c r="S355" s="670"/>
      <c r="T355" s="577">
        <f t="shared" si="84"/>
        <v>0</v>
      </c>
      <c r="U355" s="578">
        <f t="shared" si="85"/>
        <v>0</v>
      </c>
      <c r="V355" s="579"/>
      <c r="W355" s="637" t="str">
        <f>IF(U353&gt;0,"xx",IF(P353&gt;0,"xy",""))</f>
        <v/>
      </c>
      <c r="X355" s="586" t="str">
        <f t="shared" si="108"/>
        <v/>
      </c>
      <c r="Y355" s="586" t="str">
        <f t="shared" si="102"/>
        <v/>
      </c>
      <c r="Z355" s="586" t="str">
        <f t="shared" si="106"/>
        <v/>
      </c>
    </row>
    <row r="356" spans="1:26" ht="12" hidden="1" thickBot="1" x14ac:dyDescent="0.25">
      <c r="A356" s="671" t="s">
        <v>168</v>
      </c>
      <c r="B356" s="644" t="s">
        <v>168</v>
      </c>
      <c r="C356" s="645"/>
      <c r="D356" s="451" t="s">
        <v>262</v>
      </c>
      <c r="E356" s="423"/>
      <c r="F356" s="424">
        <v>0.2</v>
      </c>
      <c r="G356" s="425">
        <v>0.94499999999999995</v>
      </c>
      <c r="H356" s="663">
        <f t="shared" si="107"/>
        <v>2.7348300000000001</v>
      </c>
      <c r="I356" s="420">
        <v>0</v>
      </c>
      <c r="J356" s="420"/>
      <c r="K356" s="421">
        <f t="shared" si="94"/>
        <v>0</v>
      </c>
      <c r="L356" s="647" t="s">
        <v>614</v>
      </c>
      <c r="M356" s="703"/>
      <c r="N356" s="576">
        <f t="shared" si="103"/>
        <v>0</v>
      </c>
      <c r="O356" s="577">
        <f t="shared" si="82"/>
        <v>0</v>
      </c>
      <c r="P356" s="578">
        <f t="shared" si="83"/>
        <v>0</v>
      </c>
      <c r="Q356" s="765"/>
      <c r="R356" s="703"/>
      <c r="S356" s="670"/>
      <c r="T356" s="577">
        <f t="shared" si="84"/>
        <v>0</v>
      </c>
      <c r="U356" s="578">
        <f t="shared" si="85"/>
        <v>0</v>
      </c>
      <c r="V356" s="579"/>
      <c r="W356" s="637" t="str">
        <f>IF(U353&gt;0,"xx",IF(P353&gt;0,"xy",""))</f>
        <v/>
      </c>
      <c r="X356" s="586" t="str">
        <f t="shared" si="108"/>
        <v/>
      </c>
      <c r="Y356" s="586" t="str">
        <f t="shared" si="102"/>
        <v/>
      </c>
      <c r="Z356" s="586" t="str">
        <f t="shared" si="106"/>
        <v/>
      </c>
    </row>
    <row r="357" spans="1:26" ht="12" hidden="1" thickBot="1" x14ac:dyDescent="0.25">
      <c r="A357" s="671" t="s">
        <v>168</v>
      </c>
      <c r="B357" s="644" t="s">
        <v>168</v>
      </c>
      <c r="C357" s="645"/>
      <c r="D357" s="451" t="s">
        <v>263</v>
      </c>
      <c r="E357" s="423"/>
      <c r="F357" s="424">
        <v>20</v>
      </c>
      <c r="G357" s="425">
        <v>1</v>
      </c>
      <c r="H357" s="651">
        <f>IF(F357&lt;=30,(1.07*F357+6.45)*G357,((1.07*30+6.45)+1.07*(F357-30))*G357)</f>
        <v>27.85</v>
      </c>
      <c r="I357" s="420">
        <v>0</v>
      </c>
      <c r="J357" s="420"/>
      <c r="K357" s="421">
        <f t="shared" si="94"/>
        <v>0</v>
      </c>
      <c r="L357" s="647" t="s">
        <v>614</v>
      </c>
      <c r="M357" s="703"/>
      <c r="N357" s="576">
        <f t="shared" si="103"/>
        <v>0</v>
      </c>
      <c r="O357" s="577">
        <f t="shared" si="82"/>
        <v>0</v>
      </c>
      <c r="P357" s="578">
        <f t="shared" si="83"/>
        <v>0</v>
      </c>
      <c r="Q357" s="765"/>
      <c r="R357" s="703"/>
      <c r="S357" s="670"/>
      <c r="T357" s="577">
        <f t="shared" si="84"/>
        <v>0</v>
      </c>
      <c r="U357" s="578">
        <f t="shared" si="85"/>
        <v>0</v>
      </c>
      <c r="V357" s="579"/>
      <c r="W357" s="637" t="str">
        <f>IF(U353&gt;0,"xx",IF(P353&gt;0,"xy",""))</f>
        <v/>
      </c>
      <c r="X357" s="586" t="str">
        <f t="shared" si="108"/>
        <v/>
      </c>
      <c r="Y357" s="586" t="str">
        <f t="shared" si="102"/>
        <v/>
      </c>
      <c r="Z357" s="586" t="str">
        <f t="shared" si="106"/>
        <v/>
      </c>
    </row>
    <row r="358" spans="1:26" ht="12" hidden="1" thickBot="1" x14ac:dyDescent="0.25">
      <c r="A358" s="671">
        <v>589000</v>
      </c>
      <c r="B358" s="707" t="s">
        <v>1777</v>
      </c>
      <c r="C358" s="554" t="s">
        <v>1746</v>
      </c>
      <c r="D358" s="477" t="s">
        <v>657</v>
      </c>
      <c r="E358" s="481"/>
      <c r="F358" s="486">
        <v>500</v>
      </c>
      <c r="G358" s="479">
        <v>1</v>
      </c>
      <c r="H358" s="663">
        <f>(0.94*F358+46.06)*G358</f>
        <v>516.05999999999995</v>
      </c>
      <c r="I358" s="472">
        <v>5725</v>
      </c>
      <c r="J358" s="472">
        <f>IF(ISBLANK(I358),"",I358*(1+$F$9)/(1+$F$10))+H358</f>
        <v>6070.962785960779</v>
      </c>
      <c r="K358" s="709">
        <f t="shared" si="94"/>
        <v>7212.91</v>
      </c>
      <c r="L358" s="561" t="s">
        <v>20</v>
      </c>
      <c r="M358" s="692">
        <f>ROUND(M353*G353,2)</f>
        <v>0</v>
      </c>
      <c r="N358" s="696">
        <f t="shared" si="103"/>
        <v>0</v>
      </c>
      <c r="O358" s="693">
        <f>IF(ISBLANK(M358),0,ROUND(K358*M358,2))</f>
        <v>0</v>
      </c>
      <c r="P358" s="694">
        <f>IF(ISBLANK(N358),0,ROUND(M358*N358,2))</f>
        <v>0</v>
      </c>
      <c r="Q358" s="765"/>
      <c r="R358" s="695">
        <f>ROUND(R353*G353,2)</f>
        <v>0</v>
      </c>
      <c r="S358" s="711">
        <f>N358</f>
        <v>0</v>
      </c>
      <c r="T358" s="693">
        <f t="shared" si="84"/>
        <v>0</v>
      </c>
      <c r="U358" s="694">
        <f t="shared" si="85"/>
        <v>0</v>
      </c>
      <c r="V358" s="579"/>
      <c r="W358" s="637" t="str">
        <f>IF(U353&gt;0,"xx",IF(P353&gt;0,"xy",""))</f>
        <v/>
      </c>
      <c r="X358" s="586" t="str">
        <f t="shared" si="108"/>
        <v/>
      </c>
      <c r="Y358" s="586" t="str">
        <f t="shared" si="102"/>
        <v/>
      </c>
      <c r="Z358" s="586" t="str">
        <f t="shared" si="106"/>
        <v/>
      </c>
    </row>
    <row r="359" spans="1:26" ht="12" hidden="1" thickBot="1" x14ac:dyDescent="0.25">
      <c r="A359" s="671">
        <v>570310</v>
      </c>
      <c r="B359" s="701" t="s">
        <v>1625</v>
      </c>
      <c r="C359" s="702" t="s">
        <v>206</v>
      </c>
      <c r="D359" s="485" t="s">
        <v>815</v>
      </c>
      <c r="E359" s="464"/>
      <c r="F359" s="465" t="s">
        <v>662</v>
      </c>
      <c r="G359" s="466">
        <v>0.04</v>
      </c>
      <c r="H359" s="681">
        <f>SUM(H360:H363)</f>
        <v>36.552130000000005</v>
      </c>
      <c r="I359" s="467">
        <v>168.63</v>
      </c>
      <c r="J359" s="467">
        <f>IF(ISBLANK(I359),"",SUM(H359:I359))</f>
        <v>205.18213</v>
      </c>
      <c r="K359" s="682">
        <f t="shared" si="94"/>
        <v>243.78</v>
      </c>
      <c r="L359" s="683" t="s">
        <v>20</v>
      </c>
      <c r="M359" s="685"/>
      <c r="N359" s="576">
        <f t="shared" si="103"/>
        <v>0</v>
      </c>
      <c r="O359" s="687">
        <f t="shared" si="82"/>
        <v>0</v>
      </c>
      <c r="P359" s="688">
        <f t="shared" si="83"/>
        <v>0</v>
      </c>
      <c r="Q359" s="765"/>
      <c r="R359" s="685">
        <f>M359</f>
        <v>0</v>
      </c>
      <c r="S359" s="686">
        <f>N359</f>
        <v>0</v>
      </c>
      <c r="T359" s="687">
        <f t="shared" si="84"/>
        <v>0</v>
      </c>
      <c r="U359" s="688">
        <f t="shared" si="85"/>
        <v>0</v>
      </c>
      <c r="V359" s="579"/>
      <c r="W359" s="566"/>
      <c r="X359" s="586" t="str">
        <f t="shared" si="108"/>
        <v/>
      </c>
      <c r="Y359" s="586" t="str">
        <f t="shared" si="102"/>
        <v/>
      </c>
      <c r="Z359" s="586" t="str">
        <f t="shared" si="106"/>
        <v/>
      </c>
    </row>
    <row r="360" spans="1:26" ht="12" hidden="1" thickBot="1" x14ac:dyDescent="0.25">
      <c r="A360" s="671" t="s">
        <v>168</v>
      </c>
      <c r="B360" s="644" t="s">
        <v>168</v>
      </c>
      <c r="C360" s="645"/>
      <c r="D360" s="451" t="s">
        <v>248</v>
      </c>
      <c r="E360" s="423"/>
      <c r="F360" s="424">
        <v>180</v>
      </c>
      <c r="G360" s="425">
        <v>0</v>
      </c>
      <c r="H360" s="663">
        <f t="shared" ref="H360:H362" si="109">IF(F360&lt;=30,(1.07*F360+2.68)*G360,((1.07*30+2.68)+1.07*(F360-30))*G360)</f>
        <v>0</v>
      </c>
      <c r="I360" s="420">
        <v>0</v>
      </c>
      <c r="J360" s="420">
        <f>IF(ISBLANK(I360),"",SUM(H360:I360))</f>
        <v>0</v>
      </c>
      <c r="K360" s="421">
        <f t="shared" si="94"/>
        <v>0</v>
      </c>
      <c r="L360" s="647" t="s">
        <v>614</v>
      </c>
      <c r="M360" s="703"/>
      <c r="N360" s="576">
        <f t="shared" si="103"/>
        <v>0</v>
      </c>
      <c r="O360" s="577">
        <f t="shared" si="82"/>
        <v>0</v>
      </c>
      <c r="P360" s="578">
        <f t="shared" si="83"/>
        <v>0</v>
      </c>
      <c r="Q360" s="765"/>
      <c r="R360" s="703"/>
      <c r="S360" s="670"/>
      <c r="T360" s="577">
        <f t="shared" si="84"/>
        <v>0</v>
      </c>
      <c r="U360" s="578">
        <f t="shared" si="85"/>
        <v>0</v>
      </c>
      <c r="V360" s="579"/>
      <c r="W360" s="637" t="str">
        <f>IF(U359&gt;0,"xx",IF(P359&gt;0,"xy",""))</f>
        <v/>
      </c>
      <c r="X360" s="586" t="str">
        <f t="shared" si="108"/>
        <v/>
      </c>
      <c r="Y360" s="586" t="str">
        <f t="shared" si="102"/>
        <v/>
      </c>
      <c r="Z360" s="586" t="str">
        <f t="shared" si="106"/>
        <v/>
      </c>
    </row>
    <row r="361" spans="1:26" ht="12" hidden="1" thickBot="1" x14ac:dyDescent="0.25">
      <c r="A361" s="671" t="s">
        <v>168</v>
      </c>
      <c r="B361" s="644" t="s">
        <v>168</v>
      </c>
      <c r="C361" s="645"/>
      <c r="D361" s="451" t="s">
        <v>249</v>
      </c>
      <c r="E361" s="423"/>
      <c r="F361" s="424">
        <v>500</v>
      </c>
      <c r="G361" s="425">
        <v>1.4999999999999999E-2</v>
      </c>
      <c r="H361" s="649">
        <f>IF(F361&lt;=30,(0.78*F361+7.82)*G361,((0.78*30+7.82)+0.78*(F361-30))*G361)</f>
        <v>5.9673000000000007</v>
      </c>
      <c r="I361" s="420">
        <v>0</v>
      </c>
      <c r="J361" s="420"/>
      <c r="K361" s="421">
        <f t="shared" si="94"/>
        <v>0</v>
      </c>
      <c r="L361" s="647" t="s">
        <v>614</v>
      </c>
      <c r="M361" s="703"/>
      <c r="N361" s="576">
        <f t="shared" si="103"/>
        <v>0</v>
      </c>
      <c r="O361" s="577">
        <f t="shared" si="82"/>
        <v>0</v>
      </c>
      <c r="P361" s="578">
        <f t="shared" si="83"/>
        <v>0</v>
      </c>
      <c r="Q361" s="765"/>
      <c r="R361" s="703"/>
      <c r="S361" s="670"/>
      <c r="T361" s="577">
        <f t="shared" si="84"/>
        <v>0</v>
      </c>
      <c r="U361" s="578">
        <f t="shared" si="85"/>
        <v>0</v>
      </c>
      <c r="V361" s="579"/>
      <c r="W361" s="637" t="str">
        <f>IF(U359&gt;0,"xx",IF(P359&gt;0,"xy",""))</f>
        <v/>
      </c>
      <c r="X361" s="586" t="str">
        <f t="shared" si="108"/>
        <v/>
      </c>
      <c r="Y361" s="586" t="str">
        <f t="shared" si="102"/>
        <v/>
      </c>
      <c r="Z361" s="586" t="str">
        <f t="shared" si="106"/>
        <v/>
      </c>
    </row>
    <row r="362" spans="1:26" ht="12" hidden="1" thickBot="1" x14ac:dyDescent="0.25">
      <c r="A362" s="671" t="s">
        <v>168</v>
      </c>
      <c r="B362" s="644" t="s">
        <v>168</v>
      </c>
      <c r="C362" s="645"/>
      <c r="D362" s="451" t="s">
        <v>262</v>
      </c>
      <c r="E362" s="423"/>
      <c r="F362" s="424">
        <v>0.2</v>
      </c>
      <c r="G362" s="425">
        <v>0.94499999999999995</v>
      </c>
      <c r="H362" s="663">
        <f t="shared" si="109"/>
        <v>2.7348300000000001</v>
      </c>
      <c r="I362" s="420">
        <v>0</v>
      </c>
      <c r="J362" s="420"/>
      <c r="K362" s="421">
        <f t="shared" si="94"/>
        <v>0</v>
      </c>
      <c r="L362" s="647" t="s">
        <v>614</v>
      </c>
      <c r="M362" s="703"/>
      <c r="N362" s="576">
        <f t="shared" si="103"/>
        <v>0</v>
      </c>
      <c r="O362" s="577">
        <f t="shared" si="82"/>
        <v>0</v>
      </c>
      <c r="P362" s="578">
        <f t="shared" si="83"/>
        <v>0</v>
      </c>
      <c r="Q362" s="765"/>
      <c r="R362" s="703"/>
      <c r="S362" s="670"/>
      <c r="T362" s="577">
        <f t="shared" si="84"/>
        <v>0</v>
      </c>
      <c r="U362" s="578">
        <f t="shared" si="85"/>
        <v>0</v>
      </c>
      <c r="V362" s="579"/>
      <c r="W362" s="637" t="str">
        <f>IF(U359&gt;0,"xx",IF(P359&gt;0,"xy",""))</f>
        <v/>
      </c>
      <c r="X362" s="586" t="str">
        <f t="shared" si="108"/>
        <v/>
      </c>
      <c r="Y362" s="586" t="str">
        <f t="shared" si="102"/>
        <v/>
      </c>
      <c r="Z362" s="586" t="str">
        <f t="shared" si="106"/>
        <v/>
      </c>
    </row>
    <row r="363" spans="1:26" ht="12" hidden="1" thickBot="1" x14ac:dyDescent="0.25">
      <c r="A363" s="671" t="s">
        <v>168</v>
      </c>
      <c r="B363" s="644" t="s">
        <v>168</v>
      </c>
      <c r="C363" s="645"/>
      <c r="D363" s="451" t="s">
        <v>263</v>
      </c>
      <c r="E363" s="423"/>
      <c r="F363" s="424">
        <v>20</v>
      </c>
      <c r="G363" s="425">
        <f>SUM(G359:G362)</f>
        <v>1</v>
      </c>
      <c r="H363" s="651">
        <f>IF(F363&lt;=30,(1.07*F363+6.45)*G363,((1.07*30+6.45)+1.07*(F363-30))*G363)</f>
        <v>27.85</v>
      </c>
      <c r="I363" s="420">
        <v>0</v>
      </c>
      <c r="J363" s="420"/>
      <c r="K363" s="421">
        <f t="shared" si="94"/>
        <v>0</v>
      </c>
      <c r="L363" s="647" t="s">
        <v>614</v>
      </c>
      <c r="M363" s="703"/>
      <c r="N363" s="576">
        <f t="shared" si="103"/>
        <v>0</v>
      </c>
      <c r="O363" s="577">
        <f t="shared" si="82"/>
        <v>0</v>
      </c>
      <c r="P363" s="578">
        <f t="shared" si="83"/>
        <v>0</v>
      </c>
      <c r="Q363" s="765"/>
      <c r="R363" s="703"/>
      <c r="S363" s="670"/>
      <c r="T363" s="577">
        <f t="shared" si="84"/>
        <v>0</v>
      </c>
      <c r="U363" s="578">
        <f t="shared" si="85"/>
        <v>0</v>
      </c>
      <c r="V363" s="579"/>
      <c r="W363" s="637" t="str">
        <f>IF(U359&gt;0,"xx",IF(P359&gt;0,"xy",""))</f>
        <v/>
      </c>
      <c r="X363" s="586" t="str">
        <f t="shared" si="108"/>
        <v/>
      </c>
      <c r="Y363" s="586" t="str">
        <f t="shared" si="102"/>
        <v/>
      </c>
      <c r="Z363" s="586" t="str">
        <f t="shared" si="106"/>
        <v/>
      </c>
    </row>
    <row r="364" spans="1:26" ht="12" hidden="1" thickBot="1" x14ac:dyDescent="0.25">
      <c r="A364" s="671">
        <v>589000</v>
      </c>
      <c r="B364" s="704" t="s">
        <v>1778</v>
      </c>
      <c r="C364" s="689" t="s">
        <v>1746</v>
      </c>
      <c r="D364" s="477" t="s">
        <v>658</v>
      </c>
      <c r="E364" s="470"/>
      <c r="F364" s="486">
        <v>500</v>
      </c>
      <c r="G364" s="479">
        <v>1</v>
      </c>
      <c r="H364" s="663">
        <f>(0.94*F364+46.06)*G364</f>
        <v>516.05999999999995</v>
      </c>
      <c r="I364" s="472">
        <v>5725</v>
      </c>
      <c r="J364" s="472">
        <f>IF(ISBLANK(I364),"",I364*(1+$F$9)/(1+$F$10))+H364</f>
        <v>6070.962785960779</v>
      </c>
      <c r="K364" s="690">
        <f t="shared" si="94"/>
        <v>7212.91</v>
      </c>
      <c r="L364" s="691" t="s">
        <v>20</v>
      </c>
      <c r="M364" s="692">
        <f>ROUND(M359*G359,2)</f>
        <v>0</v>
      </c>
      <c r="N364" s="588">
        <f t="shared" si="103"/>
        <v>0</v>
      </c>
      <c r="O364" s="693">
        <f>IF(ISBLANK(M364),0,ROUND(K364*M364,2))</f>
        <v>0</v>
      </c>
      <c r="P364" s="694">
        <f>IF(ISBLANK(N364),0,ROUND(M364*N364,2))</f>
        <v>0</v>
      </c>
      <c r="Q364" s="765"/>
      <c r="R364" s="695">
        <f>ROUND(R359*G359,2)</f>
        <v>0</v>
      </c>
      <c r="S364" s="711">
        <f>N364</f>
        <v>0</v>
      </c>
      <c r="T364" s="693">
        <f t="shared" ref="T364:T427" si="110">IF(ISBLANK(R364),0,ROUND(K364*R364,2))</f>
        <v>0</v>
      </c>
      <c r="U364" s="694">
        <f t="shared" ref="U364:U427" si="111">IF(ISBLANK(R364),0,ROUND(R364*S364,2))</f>
        <v>0</v>
      </c>
      <c r="V364" s="579"/>
      <c r="W364" s="637" t="str">
        <f>IF(U359&gt;0,"xx",IF(P359&gt;0,"xy",""))</f>
        <v/>
      </c>
      <c r="X364" s="586" t="str">
        <f t="shared" si="108"/>
        <v/>
      </c>
      <c r="Y364" s="586" t="str">
        <f t="shared" si="102"/>
        <v/>
      </c>
      <c r="Z364" s="586" t="str">
        <f t="shared" si="106"/>
        <v/>
      </c>
    </row>
    <row r="365" spans="1:26" ht="12" hidden="1" thickBot="1" x14ac:dyDescent="0.25">
      <c r="A365" s="671">
        <v>570140</v>
      </c>
      <c r="B365" s="701">
        <v>570140</v>
      </c>
      <c r="C365" s="702" t="s">
        <v>206</v>
      </c>
      <c r="D365" s="485" t="s">
        <v>671</v>
      </c>
      <c r="E365" s="464"/>
      <c r="F365" s="465" t="s">
        <v>662</v>
      </c>
      <c r="G365" s="466">
        <v>0.05</v>
      </c>
      <c r="H365" s="681">
        <f>SUM(H366:H369)</f>
        <v>55.975445399999998</v>
      </c>
      <c r="I365" s="467">
        <v>287.22000000000003</v>
      </c>
      <c r="J365" s="467">
        <f>IF(ISBLANK(I365),"",SUM(H365:I365))</f>
        <v>343.19544540000004</v>
      </c>
      <c r="K365" s="682">
        <f t="shared" si="94"/>
        <v>407.75</v>
      </c>
      <c r="L365" s="683" t="s">
        <v>20</v>
      </c>
      <c r="M365" s="685"/>
      <c r="N365" s="686">
        <f t="shared" si="103"/>
        <v>0</v>
      </c>
      <c r="O365" s="687">
        <f t="shared" ref="O365:O428" si="112">IF(ISBLANK(M365),0,ROUND(K365*M365,2))</f>
        <v>0</v>
      </c>
      <c r="P365" s="688">
        <f t="shared" ref="P365:P428" si="113">IF(ISBLANK(N365),0,ROUND(M365*N365,2))</f>
        <v>0</v>
      </c>
      <c r="Q365" s="765"/>
      <c r="R365" s="685">
        <f>M365</f>
        <v>0</v>
      </c>
      <c r="S365" s="686">
        <f>N365</f>
        <v>0</v>
      </c>
      <c r="T365" s="687">
        <f t="shared" si="110"/>
        <v>0</v>
      </c>
      <c r="U365" s="688">
        <f t="shared" si="111"/>
        <v>0</v>
      </c>
      <c r="V365" s="579"/>
      <c r="W365" s="566"/>
      <c r="X365" s="586" t="str">
        <f t="shared" si="108"/>
        <v/>
      </c>
      <c r="Y365" s="586" t="str">
        <f t="shared" si="102"/>
        <v/>
      </c>
      <c r="Z365" s="586" t="str">
        <f t="shared" si="106"/>
        <v/>
      </c>
    </row>
    <row r="366" spans="1:26" ht="12" hidden="1" thickBot="1" x14ac:dyDescent="0.25">
      <c r="A366" s="671" t="s">
        <v>168</v>
      </c>
      <c r="B366" s="644" t="s">
        <v>168</v>
      </c>
      <c r="C366" s="645"/>
      <c r="D366" s="451" t="s">
        <v>248</v>
      </c>
      <c r="E366" s="423"/>
      <c r="F366" s="424">
        <v>180</v>
      </c>
      <c r="G366" s="425">
        <v>0.1007</v>
      </c>
      <c r="H366" s="663">
        <f t="shared" ref="H366:H368" si="114">IF(F366&lt;=30,(1.07*F366+2.68)*G366,((1.07*30+2.68)+1.07*(F366-30))*G366)</f>
        <v>19.664695999999999</v>
      </c>
      <c r="I366" s="420">
        <v>0</v>
      </c>
      <c r="J366" s="420"/>
      <c r="K366" s="421">
        <f t="shared" si="94"/>
        <v>0</v>
      </c>
      <c r="L366" s="668" t="s">
        <v>614</v>
      </c>
      <c r="M366" s="703"/>
      <c r="N366" s="576">
        <f t="shared" si="103"/>
        <v>0</v>
      </c>
      <c r="O366" s="577">
        <f t="shared" si="112"/>
        <v>0</v>
      </c>
      <c r="P366" s="578">
        <f t="shared" si="113"/>
        <v>0</v>
      </c>
      <c r="Q366" s="765"/>
      <c r="R366" s="703"/>
      <c r="S366" s="670"/>
      <c r="T366" s="577">
        <f t="shared" si="110"/>
        <v>0</v>
      </c>
      <c r="U366" s="578">
        <f t="shared" si="111"/>
        <v>0</v>
      </c>
      <c r="V366" s="579"/>
      <c r="W366" s="637" t="str">
        <f>IF(U365&gt;0,"xx",IF(P365&gt;0,"xy",""))</f>
        <v/>
      </c>
      <c r="X366" s="586" t="str">
        <f t="shared" si="108"/>
        <v/>
      </c>
      <c r="Y366" s="586" t="str">
        <f t="shared" si="102"/>
        <v/>
      </c>
      <c r="Z366" s="586" t="str">
        <f t="shared" si="106"/>
        <v/>
      </c>
    </row>
    <row r="367" spans="1:26" ht="12" hidden="1" thickBot="1" x14ac:dyDescent="0.25">
      <c r="A367" s="671" t="s">
        <v>168</v>
      </c>
      <c r="B367" s="644" t="s">
        <v>168</v>
      </c>
      <c r="C367" s="645"/>
      <c r="D367" s="451" t="s">
        <v>249</v>
      </c>
      <c r="E367" s="423"/>
      <c r="F367" s="424">
        <v>500</v>
      </c>
      <c r="G367" s="425">
        <v>1.52E-2</v>
      </c>
      <c r="H367" s="649">
        <f>IF(F367&lt;=30,(0.78*F367+7.82)*G367,((0.78*30+7.82)+0.78*(F367-30))*G367)</f>
        <v>6.0468640000000011</v>
      </c>
      <c r="I367" s="420">
        <v>0</v>
      </c>
      <c r="J367" s="420"/>
      <c r="K367" s="421">
        <f t="shared" si="94"/>
        <v>0</v>
      </c>
      <c r="L367" s="668" t="s">
        <v>614</v>
      </c>
      <c r="M367" s="703"/>
      <c r="N367" s="576">
        <f t="shared" si="103"/>
        <v>0</v>
      </c>
      <c r="O367" s="577">
        <f t="shared" si="112"/>
        <v>0</v>
      </c>
      <c r="P367" s="578">
        <f t="shared" si="113"/>
        <v>0</v>
      </c>
      <c r="Q367" s="765"/>
      <c r="R367" s="703"/>
      <c r="S367" s="670"/>
      <c r="T367" s="577">
        <f t="shared" si="110"/>
        <v>0</v>
      </c>
      <c r="U367" s="578">
        <f t="shared" si="111"/>
        <v>0</v>
      </c>
      <c r="V367" s="579"/>
      <c r="W367" s="637" t="str">
        <f>IF(U365&gt;0,"xx",IF(P365&gt;0,"xy",""))</f>
        <v/>
      </c>
      <c r="X367" s="586" t="str">
        <f t="shared" si="108"/>
        <v/>
      </c>
      <c r="Y367" s="586" t="str">
        <f t="shared" si="102"/>
        <v/>
      </c>
      <c r="Z367" s="586" t="str">
        <f t="shared" si="106"/>
        <v/>
      </c>
    </row>
    <row r="368" spans="1:26" ht="12" hidden="1" thickBot="1" x14ac:dyDescent="0.25">
      <c r="A368" s="671" t="s">
        <v>168</v>
      </c>
      <c r="B368" s="644" t="s">
        <v>168</v>
      </c>
      <c r="C368" s="645"/>
      <c r="D368" s="451" t="s">
        <v>262</v>
      </c>
      <c r="E368" s="423"/>
      <c r="F368" s="424">
        <v>0.2</v>
      </c>
      <c r="G368" s="425">
        <v>0.83409999999999995</v>
      </c>
      <c r="H368" s="663">
        <f t="shared" si="114"/>
        <v>2.4138853999999998</v>
      </c>
      <c r="I368" s="420">
        <v>0</v>
      </c>
      <c r="J368" s="420"/>
      <c r="K368" s="421">
        <f t="shared" si="94"/>
        <v>0</v>
      </c>
      <c r="L368" s="668" t="s">
        <v>614</v>
      </c>
      <c r="M368" s="703"/>
      <c r="N368" s="576">
        <f t="shared" si="103"/>
        <v>0</v>
      </c>
      <c r="O368" s="577">
        <f t="shared" si="112"/>
        <v>0</v>
      </c>
      <c r="P368" s="578">
        <f t="shared" si="113"/>
        <v>0</v>
      </c>
      <c r="Q368" s="765"/>
      <c r="R368" s="703"/>
      <c r="S368" s="670"/>
      <c r="T368" s="577">
        <f t="shared" si="110"/>
        <v>0</v>
      </c>
      <c r="U368" s="578">
        <f t="shared" si="111"/>
        <v>0</v>
      </c>
      <c r="V368" s="579"/>
      <c r="W368" s="637" t="str">
        <f>IF(U365&gt;0,"xx",IF(P365&gt;0,"xy",""))</f>
        <v/>
      </c>
      <c r="X368" s="586" t="str">
        <f t="shared" si="108"/>
        <v/>
      </c>
      <c r="Y368" s="586" t="str">
        <f t="shared" si="102"/>
        <v/>
      </c>
      <c r="Z368" s="586" t="str">
        <f t="shared" si="106"/>
        <v/>
      </c>
    </row>
    <row r="369" spans="1:26" ht="12" hidden="1" thickBot="1" x14ac:dyDescent="0.25">
      <c r="A369" s="671" t="s">
        <v>168</v>
      </c>
      <c r="B369" s="644" t="s">
        <v>168</v>
      </c>
      <c r="C369" s="645"/>
      <c r="D369" s="451" t="s">
        <v>263</v>
      </c>
      <c r="E369" s="423"/>
      <c r="F369" s="424">
        <v>20</v>
      </c>
      <c r="G369" s="425">
        <f>SUM(G365:G368)</f>
        <v>1</v>
      </c>
      <c r="H369" s="651">
        <f>IF(F369&lt;=30,(1.07*F369+6.45)*G369,((1.07*30+6.45)+1.07*(F369-30))*G369)</f>
        <v>27.85</v>
      </c>
      <c r="I369" s="420">
        <v>0</v>
      </c>
      <c r="J369" s="420"/>
      <c r="K369" s="421">
        <f t="shared" si="94"/>
        <v>0</v>
      </c>
      <c r="L369" s="668" t="s">
        <v>614</v>
      </c>
      <c r="M369" s="703"/>
      <c r="N369" s="576">
        <f t="shared" si="103"/>
        <v>0</v>
      </c>
      <c r="O369" s="577">
        <f t="shared" si="112"/>
        <v>0</v>
      </c>
      <c r="P369" s="578">
        <f t="shared" si="113"/>
        <v>0</v>
      </c>
      <c r="Q369" s="765"/>
      <c r="R369" s="703"/>
      <c r="S369" s="670"/>
      <c r="T369" s="577">
        <f t="shared" si="110"/>
        <v>0</v>
      </c>
      <c r="U369" s="578">
        <f t="shared" si="111"/>
        <v>0</v>
      </c>
      <c r="V369" s="579"/>
      <c r="W369" s="637" t="str">
        <f>IF(U365&gt;0,"xx",IF(P365&gt;0,"xy",""))</f>
        <v/>
      </c>
      <c r="X369" s="586" t="str">
        <f t="shared" si="108"/>
        <v/>
      </c>
      <c r="Y369" s="586" t="str">
        <f t="shared" si="102"/>
        <v/>
      </c>
      <c r="Z369" s="586" t="str">
        <f t="shared" si="106"/>
        <v/>
      </c>
    </row>
    <row r="370" spans="1:26" ht="12" hidden="1" thickBot="1" x14ac:dyDescent="0.25">
      <c r="A370" s="671">
        <v>589000</v>
      </c>
      <c r="B370" s="704" t="s">
        <v>1779</v>
      </c>
      <c r="C370" s="689" t="s">
        <v>1746</v>
      </c>
      <c r="D370" s="477" t="s">
        <v>659</v>
      </c>
      <c r="E370" s="470"/>
      <c r="F370" s="478">
        <v>500</v>
      </c>
      <c r="G370" s="479">
        <v>1</v>
      </c>
      <c r="H370" s="663">
        <f>(0.94*F370+46.06)*G370</f>
        <v>516.05999999999995</v>
      </c>
      <c r="I370" s="472">
        <v>5725</v>
      </c>
      <c r="J370" s="472">
        <f>IF(ISBLANK(I370),"",I370*(1+$F$9)/(1+$F$10))+H370</f>
        <v>6070.962785960779</v>
      </c>
      <c r="K370" s="690">
        <f t="shared" si="94"/>
        <v>7212.91</v>
      </c>
      <c r="L370" s="691" t="s">
        <v>20</v>
      </c>
      <c r="M370" s="692">
        <f>ROUND(M365*G365,2)</f>
        <v>0</v>
      </c>
      <c r="N370" s="696">
        <f t="shared" si="103"/>
        <v>0</v>
      </c>
      <c r="O370" s="693">
        <f t="shared" si="112"/>
        <v>0</v>
      </c>
      <c r="P370" s="694">
        <f t="shared" si="113"/>
        <v>0</v>
      </c>
      <c r="Q370" s="765"/>
      <c r="R370" s="695">
        <f>ROUND(R365*G365,2)</f>
        <v>0</v>
      </c>
      <c r="S370" s="711">
        <f>N370</f>
        <v>0</v>
      </c>
      <c r="T370" s="693">
        <f t="shared" si="110"/>
        <v>0</v>
      </c>
      <c r="U370" s="694">
        <f t="shared" si="111"/>
        <v>0</v>
      </c>
      <c r="V370" s="579"/>
      <c r="W370" s="637" t="str">
        <f>IF(U365&gt;0,"xx",IF(P365&gt;0,"xy",""))</f>
        <v/>
      </c>
      <c r="X370" s="586" t="str">
        <f t="shared" si="108"/>
        <v/>
      </c>
      <c r="Y370" s="586" t="str">
        <f t="shared" si="102"/>
        <v/>
      </c>
      <c r="Z370" s="586" t="str">
        <f t="shared" si="106"/>
        <v/>
      </c>
    </row>
    <row r="371" spans="1:26" ht="12" hidden="1" thickBot="1" x14ac:dyDescent="0.25">
      <c r="A371" s="671">
        <v>570170</v>
      </c>
      <c r="B371" s="701">
        <v>570170</v>
      </c>
      <c r="C371" s="702" t="s">
        <v>206</v>
      </c>
      <c r="D371" s="485" t="s">
        <v>2068</v>
      </c>
      <c r="E371" s="464"/>
      <c r="F371" s="465" t="s">
        <v>662</v>
      </c>
      <c r="G371" s="466">
        <v>0.05</v>
      </c>
      <c r="H371" s="681">
        <f>SUM(H372:H375)</f>
        <v>55.975445399999998</v>
      </c>
      <c r="I371" s="467">
        <v>223.8</v>
      </c>
      <c r="J371" s="467">
        <f>IF(ISBLANK(I371),"",SUM(H371:I371))</f>
        <v>279.77544540000002</v>
      </c>
      <c r="K371" s="682">
        <f t="shared" si="94"/>
        <v>332.4</v>
      </c>
      <c r="L371" s="683" t="s">
        <v>20</v>
      </c>
      <c r="M371" s="685"/>
      <c r="N371" s="576">
        <f t="shared" si="103"/>
        <v>0</v>
      </c>
      <c r="O371" s="687">
        <f t="shared" si="112"/>
        <v>0</v>
      </c>
      <c r="P371" s="688">
        <f t="shared" si="113"/>
        <v>0</v>
      </c>
      <c r="Q371" s="765"/>
      <c r="R371" s="685">
        <f>M371</f>
        <v>0</v>
      </c>
      <c r="S371" s="686">
        <f>N371</f>
        <v>0</v>
      </c>
      <c r="T371" s="687">
        <f t="shared" si="110"/>
        <v>0</v>
      </c>
      <c r="U371" s="688">
        <f t="shared" si="111"/>
        <v>0</v>
      </c>
      <c r="V371" s="579"/>
      <c r="W371" s="566"/>
      <c r="X371" s="586" t="str">
        <f t="shared" si="108"/>
        <v/>
      </c>
      <c r="Y371" s="586" t="str">
        <f t="shared" si="102"/>
        <v/>
      </c>
      <c r="Z371" s="586" t="str">
        <f t="shared" si="106"/>
        <v/>
      </c>
    </row>
    <row r="372" spans="1:26" ht="12" hidden="1" thickBot="1" x14ac:dyDescent="0.25">
      <c r="A372" s="671" t="s">
        <v>168</v>
      </c>
      <c r="B372" s="644" t="s">
        <v>168</v>
      </c>
      <c r="C372" s="645"/>
      <c r="D372" s="451" t="s">
        <v>248</v>
      </c>
      <c r="E372" s="423"/>
      <c r="F372" s="424">
        <v>180</v>
      </c>
      <c r="G372" s="425">
        <v>0.1007</v>
      </c>
      <c r="H372" s="663">
        <f t="shared" ref="H372:H374" si="115">IF(F372&lt;=30,(1.07*F372+2.68)*G372,((1.07*30+2.68)+1.07*(F372-30))*G372)</f>
        <v>19.664695999999999</v>
      </c>
      <c r="I372" s="420">
        <v>0</v>
      </c>
      <c r="J372" s="420"/>
      <c r="K372" s="421">
        <f t="shared" si="94"/>
        <v>0</v>
      </c>
      <c r="L372" s="668" t="s">
        <v>614</v>
      </c>
      <c r="M372" s="703"/>
      <c r="N372" s="576">
        <f t="shared" si="103"/>
        <v>0</v>
      </c>
      <c r="O372" s="577">
        <f t="shared" si="112"/>
        <v>0</v>
      </c>
      <c r="P372" s="578">
        <f t="shared" si="113"/>
        <v>0</v>
      </c>
      <c r="Q372" s="765"/>
      <c r="R372" s="703"/>
      <c r="S372" s="670"/>
      <c r="T372" s="577">
        <f t="shared" si="110"/>
        <v>0</v>
      </c>
      <c r="U372" s="578">
        <f t="shared" si="111"/>
        <v>0</v>
      </c>
      <c r="V372" s="579"/>
      <c r="W372" s="637" t="str">
        <f>IF(U371&gt;0,"xx",IF(P371&gt;0,"xy",""))</f>
        <v/>
      </c>
      <c r="X372" s="586" t="str">
        <f t="shared" si="108"/>
        <v/>
      </c>
      <c r="Y372" s="586" t="str">
        <f t="shared" si="102"/>
        <v/>
      </c>
      <c r="Z372" s="586" t="str">
        <f t="shared" si="106"/>
        <v/>
      </c>
    </row>
    <row r="373" spans="1:26" ht="12" hidden="1" thickBot="1" x14ac:dyDescent="0.25">
      <c r="A373" s="671" t="s">
        <v>168</v>
      </c>
      <c r="B373" s="644" t="s">
        <v>168</v>
      </c>
      <c r="C373" s="645"/>
      <c r="D373" s="451" t="s">
        <v>249</v>
      </c>
      <c r="E373" s="423"/>
      <c r="F373" s="424">
        <v>500</v>
      </c>
      <c r="G373" s="425">
        <v>1.52E-2</v>
      </c>
      <c r="H373" s="649">
        <f>IF(F373&lt;=30,(0.78*F373+7.82)*G373,((0.78*30+7.82)+0.78*(F373-30))*G373)</f>
        <v>6.0468640000000011</v>
      </c>
      <c r="I373" s="420">
        <v>0</v>
      </c>
      <c r="J373" s="420"/>
      <c r="K373" s="421">
        <f t="shared" si="94"/>
        <v>0</v>
      </c>
      <c r="L373" s="668" t="s">
        <v>614</v>
      </c>
      <c r="M373" s="703"/>
      <c r="N373" s="576">
        <f t="shared" si="103"/>
        <v>0</v>
      </c>
      <c r="O373" s="577">
        <f t="shared" si="112"/>
        <v>0</v>
      </c>
      <c r="P373" s="578">
        <f t="shared" si="113"/>
        <v>0</v>
      </c>
      <c r="Q373" s="765"/>
      <c r="R373" s="703"/>
      <c r="S373" s="670"/>
      <c r="T373" s="577">
        <f t="shared" si="110"/>
        <v>0</v>
      </c>
      <c r="U373" s="578">
        <f t="shared" si="111"/>
        <v>0</v>
      </c>
      <c r="V373" s="579"/>
      <c r="W373" s="637" t="str">
        <f>IF(U371&gt;0,"xx",IF(P371&gt;0,"xy",""))</f>
        <v/>
      </c>
      <c r="X373" s="586" t="str">
        <f t="shared" si="108"/>
        <v/>
      </c>
      <c r="Y373" s="586" t="str">
        <f t="shared" si="102"/>
        <v/>
      </c>
      <c r="Z373" s="586" t="str">
        <f t="shared" si="106"/>
        <v/>
      </c>
    </row>
    <row r="374" spans="1:26" ht="12" hidden="1" thickBot="1" x14ac:dyDescent="0.25">
      <c r="A374" s="671" t="s">
        <v>168</v>
      </c>
      <c r="B374" s="644" t="s">
        <v>168</v>
      </c>
      <c r="C374" s="645"/>
      <c r="D374" s="451" t="s">
        <v>262</v>
      </c>
      <c r="E374" s="423"/>
      <c r="F374" s="424">
        <v>0.2</v>
      </c>
      <c r="G374" s="425">
        <v>0.83409999999999995</v>
      </c>
      <c r="H374" s="663">
        <f t="shared" si="115"/>
        <v>2.4138853999999998</v>
      </c>
      <c r="I374" s="420">
        <v>0</v>
      </c>
      <c r="J374" s="420"/>
      <c r="K374" s="421">
        <f t="shared" si="94"/>
        <v>0</v>
      </c>
      <c r="L374" s="668" t="s">
        <v>614</v>
      </c>
      <c r="M374" s="703"/>
      <c r="N374" s="576">
        <f t="shared" si="103"/>
        <v>0</v>
      </c>
      <c r="O374" s="577">
        <f t="shared" si="112"/>
        <v>0</v>
      </c>
      <c r="P374" s="578">
        <f t="shared" si="113"/>
        <v>0</v>
      </c>
      <c r="Q374" s="765"/>
      <c r="R374" s="703"/>
      <c r="S374" s="670"/>
      <c r="T374" s="577">
        <f t="shared" si="110"/>
        <v>0</v>
      </c>
      <c r="U374" s="578">
        <f t="shared" si="111"/>
        <v>0</v>
      </c>
      <c r="V374" s="579"/>
      <c r="W374" s="637" t="str">
        <f>IF(U371&gt;0,"xx",IF(P371&gt;0,"xy",""))</f>
        <v/>
      </c>
      <c r="X374" s="586" t="str">
        <f t="shared" si="108"/>
        <v/>
      </c>
      <c r="Y374" s="586" t="str">
        <f t="shared" si="102"/>
        <v/>
      </c>
      <c r="Z374" s="586" t="str">
        <f t="shared" si="106"/>
        <v/>
      </c>
    </row>
    <row r="375" spans="1:26" ht="12" hidden="1" thickBot="1" x14ac:dyDescent="0.25">
      <c r="A375" s="671" t="s">
        <v>168</v>
      </c>
      <c r="B375" s="644" t="s">
        <v>168</v>
      </c>
      <c r="C375" s="645"/>
      <c r="D375" s="451" t="s">
        <v>263</v>
      </c>
      <c r="E375" s="423"/>
      <c r="F375" s="424">
        <v>20</v>
      </c>
      <c r="G375" s="425">
        <f>SUM(G371:G374)</f>
        <v>1</v>
      </c>
      <c r="H375" s="651">
        <f>IF(F375&lt;=30,(1.07*F375+6.45)*G375,((1.07*30+6.45)+1.07*(F375-30))*G375)</f>
        <v>27.85</v>
      </c>
      <c r="I375" s="420">
        <v>0</v>
      </c>
      <c r="J375" s="420"/>
      <c r="K375" s="421">
        <f t="shared" si="94"/>
        <v>0</v>
      </c>
      <c r="L375" s="668" t="s">
        <v>614</v>
      </c>
      <c r="M375" s="703"/>
      <c r="N375" s="576">
        <f t="shared" si="103"/>
        <v>0</v>
      </c>
      <c r="O375" s="577">
        <f t="shared" si="112"/>
        <v>0</v>
      </c>
      <c r="P375" s="578">
        <f t="shared" si="113"/>
        <v>0</v>
      </c>
      <c r="Q375" s="765"/>
      <c r="R375" s="703"/>
      <c r="S375" s="670"/>
      <c r="T375" s="577">
        <f t="shared" si="110"/>
        <v>0</v>
      </c>
      <c r="U375" s="578">
        <f t="shared" si="111"/>
        <v>0</v>
      </c>
      <c r="V375" s="579"/>
      <c r="W375" s="637" t="str">
        <f>IF(U371&gt;0,"xx",IF(P371&gt;0,"xy",""))</f>
        <v/>
      </c>
      <c r="X375" s="586" t="str">
        <f t="shared" si="108"/>
        <v/>
      </c>
      <c r="Y375" s="586" t="str">
        <f t="shared" si="102"/>
        <v/>
      </c>
      <c r="Z375" s="586" t="str">
        <f t="shared" si="106"/>
        <v/>
      </c>
    </row>
    <row r="376" spans="1:26" ht="12" hidden="1" thickBot="1" x14ac:dyDescent="0.25">
      <c r="A376" s="671">
        <v>589000</v>
      </c>
      <c r="B376" s="704" t="s">
        <v>1780</v>
      </c>
      <c r="C376" s="689" t="s">
        <v>1746</v>
      </c>
      <c r="D376" s="477" t="s">
        <v>659</v>
      </c>
      <c r="E376" s="470"/>
      <c r="F376" s="478">
        <v>500</v>
      </c>
      <c r="G376" s="479">
        <v>1</v>
      </c>
      <c r="H376" s="663">
        <f>(0.94*F376+46.06)*G376</f>
        <v>516.05999999999995</v>
      </c>
      <c r="I376" s="472">
        <v>5725</v>
      </c>
      <c r="J376" s="472">
        <f>IF(ISBLANK(I376),"",I376*(1+$F$9)/(1+$F$10))+H376</f>
        <v>6070.962785960779</v>
      </c>
      <c r="K376" s="690">
        <f t="shared" si="94"/>
        <v>7212.91</v>
      </c>
      <c r="L376" s="691" t="s">
        <v>20</v>
      </c>
      <c r="M376" s="692">
        <f>ROUND(M371*G371,2)</f>
        <v>0</v>
      </c>
      <c r="N376" s="588">
        <f t="shared" si="103"/>
        <v>0</v>
      </c>
      <c r="O376" s="693">
        <f t="shared" si="112"/>
        <v>0</v>
      </c>
      <c r="P376" s="694">
        <f t="shared" si="113"/>
        <v>0</v>
      </c>
      <c r="Q376" s="765"/>
      <c r="R376" s="695">
        <f>ROUND(R371*G371,2)</f>
        <v>0</v>
      </c>
      <c r="S376" s="711">
        <f>N376</f>
        <v>0</v>
      </c>
      <c r="T376" s="693">
        <f t="shared" si="110"/>
        <v>0</v>
      </c>
      <c r="U376" s="694">
        <f t="shared" si="111"/>
        <v>0</v>
      </c>
      <c r="V376" s="579"/>
      <c r="W376" s="637" t="str">
        <f>IF(U371&gt;0,"xx",IF(P371&gt;0,"xy",""))</f>
        <v/>
      </c>
      <c r="X376" s="586" t="str">
        <f t="shared" si="108"/>
        <v/>
      </c>
      <c r="Y376" s="586" t="str">
        <f t="shared" si="102"/>
        <v/>
      </c>
      <c r="Z376" s="586" t="str">
        <f t="shared" si="106"/>
        <v/>
      </c>
    </row>
    <row r="377" spans="1:26" ht="12" hidden="1" thickBot="1" x14ac:dyDescent="0.25">
      <c r="A377" s="671">
        <v>570200</v>
      </c>
      <c r="B377" s="701">
        <v>570200</v>
      </c>
      <c r="C377" s="702" t="s">
        <v>206</v>
      </c>
      <c r="D377" s="463" t="s">
        <v>1916</v>
      </c>
      <c r="E377" s="464"/>
      <c r="F377" s="465" t="s">
        <v>662</v>
      </c>
      <c r="G377" s="466">
        <v>4.4999999999999998E-2</v>
      </c>
      <c r="H377" s="681">
        <f>SUM(H378:H381)</f>
        <v>33.499560000000002</v>
      </c>
      <c r="I377" s="467">
        <v>193.88</v>
      </c>
      <c r="J377" s="467">
        <f>IF(ISBLANK(I377),"",SUM(H377:I377))</f>
        <v>227.37956</v>
      </c>
      <c r="K377" s="682">
        <f t="shared" si="94"/>
        <v>270.14999999999998</v>
      </c>
      <c r="L377" s="683" t="s">
        <v>20</v>
      </c>
      <c r="M377" s="685"/>
      <c r="N377" s="686">
        <f t="shared" si="103"/>
        <v>0</v>
      </c>
      <c r="O377" s="687">
        <f t="shared" si="112"/>
        <v>0</v>
      </c>
      <c r="P377" s="688">
        <f t="shared" si="113"/>
        <v>0</v>
      </c>
      <c r="Q377" s="765"/>
      <c r="R377" s="685">
        <f>M377</f>
        <v>0</v>
      </c>
      <c r="S377" s="686">
        <f>N377</f>
        <v>0</v>
      </c>
      <c r="T377" s="687">
        <f t="shared" si="110"/>
        <v>0</v>
      </c>
      <c r="U377" s="688">
        <f t="shared" si="111"/>
        <v>0</v>
      </c>
      <c r="V377" s="579"/>
      <c r="W377" s="566"/>
      <c r="X377" s="586" t="str">
        <f t="shared" si="108"/>
        <v/>
      </c>
      <c r="Y377" s="586" t="str">
        <f t="shared" si="102"/>
        <v/>
      </c>
      <c r="Z377" s="586" t="str">
        <f t="shared" si="106"/>
        <v/>
      </c>
    </row>
    <row r="378" spans="1:26" ht="12" hidden="1" thickBot="1" x14ac:dyDescent="0.25">
      <c r="A378" s="671" t="s">
        <v>168</v>
      </c>
      <c r="B378" s="644" t="s">
        <v>168</v>
      </c>
      <c r="C378" s="645"/>
      <c r="D378" s="451" t="s">
        <v>248</v>
      </c>
      <c r="E378" s="423"/>
      <c r="F378" s="424">
        <v>180</v>
      </c>
      <c r="G378" s="425">
        <v>1.4999999999999999E-2</v>
      </c>
      <c r="H378" s="663">
        <f t="shared" ref="H378:H380" si="116">IF(F378&lt;=30,(1.07*F378+2.68)*G378,((1.07*30+2.68)+1.07*(F378-30))*G378)</f>
        <v>2.9291999999999998</v>
      </c>
      <c r="I378" s="420">
        <v>0</v>
      </c>
      <c r="J378" s="420"/>
      <c r="K378" s="421">
        <f t="shared" si="94"/>
        <v>0</v>
      </c>
      <c r="L378" s="668" t="s">
        <v>614</v>
      </c>
      <c r="M378" s="703"/>
      <c r="N378" s="576">
        <f t="shared" si="103"/>
        <v>0</v>
      </c>
      <c r="O378" s="577">
        <f t="shared" si="112"/>
        <v>0</v>
      </c>
      <c r="P378" s="578">
        <f t="shared" si="113"/>
        <v>0</v>
      </c>
      <c r="Q378" s="765"/>
      <c r="R378" s="703"/>
      <c r="S378" s="670"/>
      <c r="T378" s="577">
        <f t="shared" si="110"/>
        <v>0</v>
      </c>
      <c r="U378" s="578">
        <f t="shared" si="111"/>
        <v>0</v>
      </c>
      <c r="V378" s="579"/>
      <c r="W378" s="637" t="str">
        <f>IF(U377&gt;0,"xx",IF(P377&gt;0,"xy",""))</f>
        <v/>
      </c>
      <c r="X378" s="586" t="str">
        <f t="shared" si="108"/>
        <v/>
      </c>
      <c r="Y378" s="586" t="str">
        <f t="shared" si="102"/>
        <v/>
      </c>
      <c r="Z378" s="586" t="str">
        <f t="shared" si="106"/>
        <v/>
      </c>
    </row>
    <row r="379" spans="1:26" ht="12" hidden="1" thickBot="1" x14ac:dyDescent="0.25">
      <c r="A379" s="671" t="s">
        <v>168</v>
      </c>
      <c r="B379" s="644" t="s">
        <v>168</v>
      </c>
      <c r="C379" s="645"/>
      <c r="D379" s="451" t="s">
        <v>249</v>
      </c>
      <c r="E379" s="423"/>
      <c r="F379" s="424">
        <v>500</v>
      </c>
      <c r="G379" s="425"/>
      <c r="H379" s="649">
        <f>IF(F379&lt;=30,(0.78*F379+7.82)*G379,((0.78*30+7.82)+0.78*(F379-30))*G379)</f>
        <v>0</v>
      </c>
      <c r="I379" s="420">
        <v>0</v>
      </c>
      <c r="J379" s="420">
        <f>IF(ISBLANK(I379),"",SUM(H379:I379))</f>
        <v>0</v>
      </c>
      <c r="K379" s="421">
        <f t="shared" ref="K379:K442" si="117">IF(ISBLANK(I379),0,ROUND(J379*(1+$F$10)*(1+$F$11*E379),2))</f>
        <v>0</v>
      </c>
      <c r="L379" s="668" t="s">
        <v>614</v>
      </c>
      <c r="M379" s="703"/>
      <c r="N379" s="576">
        <f t="shared" si="103"/>
        <v>0</v>
      </c>
      <c r="O379" s="577">
        <f t="shared" si="112"/>
        <v>0</v>
      </c>
      <c r="P379" s="578">
        <f t="shared" si="113"/>
        <v>0</v>
      </c>
      <c r="Q379" s="765"/>
      <c r="R379" s="703"/>
      <c r="S379" s="670"/>
      <c r="T379" s="577">
        <f t="shared" si="110"/>
        <v>0</v>
      </c>
      <c r="U379" s="578">
        <f t="shared" si="111"/>
        <v>0</v>
      </c>
      <c r="V379" s="579"/>
      <c r="W379" s="637" t="str">
        <f>IF(U377&gt;0,"xx",IF(P377&gt;0,"xy",""))</f>
        <v/>
      </c>
      <c r="X379" s="586" t="str">
        <f t="shared" si="108"/>
        <v/>
      </c>
      <c r="Y379" s="586" t="str">
        <f t="shared" si="102"/>
        <v/>
      </c>
      <c r="Z379" s="586" t="str">
        <f t="shared" si="106"/>
        <v/>
      </c>
    </row>
    <row r="380" spans="1:26" ht="12" hidden="1" thickBot="1" x14ac:dyDescent="0.25">
      <c r="A380" s="671" t="s">
        <v>168</v>
      </c>
      <c r="B380" s="644" t="s">
        <v>168</v>
      </c>
      <c r="C380" s="645"/>
      <c r="D380" s="451" t="s">
        <v>262</v>
      </c>
      <c r="E380" s="423"/>
      <c r="F380" s="424">
        <v>0.2</v>
      </c>
      <c r="G380" s="425">
        <v>0.94</v>
      </c>
      <c r="H380" s="663">
        <f t="shared" si="116"/>
        <v>2.7203599999999999</v>
      </c>
      <c r="I380" s="420">
        <v>0</v>
      </c>
      <c r="J380" s="420"/>
      <c r="K380" s="421">
        <f t="shared" si="117"/>
        <v>0</v>
      </c>
      <c r="L380" s="668" t="s">
        <v>614</v>
      </c>
      <c r="M380" s="703"/>
      <c r="N380" s="576">
        <f t="shared" si="103"/>
        <v>0</v>
      </c>
      <c r="O380" s="577">
        <f t="shared" si="112"/>
        <v>0</v>
      </c>
      <c r="P380" s="578">
        <f t="shared" si="113"/>
        <v>0</v>
      </c>
      <c r="Q380" s="765"/>
      <c r="R380" s="703"/>
      <c r="S380" s="670"/>
      <c r="T380" s="577">
        <f t="shared" si="110"/>
        <v>0</v>
      </c>
      <c r="U380" s="578">
        <f t="shared" si="111"/>
        <v>0</v>
      </c>
      <c r="V380" s="579"/>
      <c r="W380" s="637" t="str">
        <f>IF(U377&gt;0,"xx",IF(P377&gt;0,"xy",""))</f>
        <v/>
      </c>
      <c r="X380" s="586" t="str">
        <f t="shared" si="108"/>
        <v/>
      </c>
      <c r="Y380" s="586" t="str">
        <f t="shared" si="102"/>
        <v/>
      </c>
      <c r="Z380" s="586" t="str">
        <f t="shared" si="106"/>
        <v/>
      </c>
    </row>
    <row r="381" spans="1:26" ht="12" hidden="1" thickBot="1" x14ac:dyDescent="0.25">
      <c r="A381" s="671" t="s">
        <v>168</v>
      </c>
      <c r="B381" s="644" t="s">
        <v>168</v>
      </c>
      <c r="C381" s="645"/>
      <c r="D381" s="451" t="s">
        <v>263</v>
      </c>
      <c r="E381" s="423"/>
      <c r="F381" s="424">
        <v>20</v>
      </c>
      <c r="G381" s="425">
        <f>SUM(G377:G380)</f>
        <v>1</v>
      </c>
      <c r="H381" s="651">
        <f>IF(F381&lt;=30,(1.07*F381+6.45)*G381,((1.07*30+6.45)+1.07*(F381-30))*G381)</f>
        <v>27.85</v>
      </c>
      <c r="I381" s="420">
        <v>0</v>
      </c>
      <c r="J381" s="420"/>
      <c r="K381" s="421">
        <f t="shared" si="117"/>
        <v>0</v>
      </c>
      <c r="L381" s="668" t="s">
        <v>614</v>
      </c>
      <c r="M381" s="703"/>
      <c r="N381" s="576">
        <f t="shared" si="103"/>
        <v>0</v>
      </c>
      <c r="O381" s="577">
        <f t="shared" si="112"/>
        <v>0</v>
      </c>
      <c r="P381" s="578">
        <f t="shared" si="113"/>
        <v>0</v>
      </c>
      <c r="Q381" s="765"/>
      <c r="R381" s="703"/>
      <c r="S381" s="670"/>
      <c r="T381" s="577">
        <f t="shared" si="110"/>
        <v>0</v>
      </c>
      <c r="U381" s="578">
        <f t="shared" si="111"/>
        <v>0</v>
      </c>
      <c r="V381" s="579"/>
      <c r="W381" s="637" t="str">
        <f>IF(U377&gt;0,"xx",IF(P377&gt;0,"xy",""))</f>
        <v/>
      </c>
      <c r="X381" s="586" t="str">
        <f t="shared" si="108"/>
        <v/>
      </c>
      <c r="Y381" s="586" t="str">
        <f t="shared" si="102"/>
        <v/>
      </c>
      <c r="Z381" s="586" t="str">
        <f t="shared" si="106"/>
        <v/>
      </c>
    </row>
    <row r="382" spans="1:26" ht="12" hidden="1" thickBot="1" x14ac:dyDescent="0.25">
      <c r="A382" s="671">
        <v>589000</v>
      </c>
      <c r="B382" s="704" t="s">
        <v>1781</v>
      </c>
      <c r="C382" s="689" t="s">
        <v>1746</v>
      </c>
      <c r="D382" s="477" t="s">
        <v>659</v>
      </c>
      <c r="E382" s="470"/>
      <c r="F382" s="478">
        <v>500</v>
      </c>
      <c r="G382" s="479">
        <v>1</v>
      </c>
      <c r="H382" s="663">
        <f>(0.94*F382+46.06)*G382</f>
        <v>516.05999999999995</v>
      </c>
      <c r="I382" s="472">
        <v>5725</v>
      </c>
      <c r="J382" s="472">
        <f>IF(ISBLANK(I382),"",I382*(1+$F$9)/(1+$F$10))+H382</f>
        <v>6070.962785960779</v>
      </c>
      <c r="K382" s="690">
        <f t="shared" si="117"/>
        <v>7212.91</v>
      </c>
      <c r="L382" s="691" t="s">
        <v>20</v>
      </c>
      <c r="M382" s="692">
        <f>ROUND(M377*G377,2)</f>
        <v>0</v>
      </c>
      <c r="N382" s="696">
        <f t="shared" si="103"/>
        <v>0</v>
      </c>
      <c r="O382" s="693">
        <f t="shared" si="112"/>
        <v>0</v>
      </c>
      <c r="P382" s="694">
        <f t="shared" si="113"/>
        <v>0</v>
      </c>
      <c r="Q382" s="765"/>
      <c r="R382" s="695">
        <f>ROUND(R377*G377,2)</f>
        <v>0</v>
      </c>
      <c r="S382" s="711">
        <f>N382</f>
        <v>0</v>
      </c>
      <c r="T382" s="693">
        <f t="shared" si="110"/>
        <v>0</v>
      </c>
      <c r="U382" s="694">
        <f t="shared" si="111"/>
        <v>0</v>
      </c>
      <c r="V382" s="579"/>
      <c r="W382" s="637" t="str">
        <f>IF(U377&gt;0,"xx",IF(P377&gt;0,"xy",""))</f>
        <v/>
      </c>
      <c r="X382" s="586" t="str">
        <f t="shared" si="108"/>
        <v/>
      </c>
      <c r="Y382" s="586" t="str">
        <f t="shared" si="102"/>
        <v/>
      </c>
      <c r="Z382" s="586" t="str">
        <f t="shared" si="106"/>
        <v/>
      </c>
    </row>
    <row r="383" spans="1:26" ht="12" hidden="1" thickBot="1" x14ac:dyDescent="0.25">
      <c r="A383" s="671">
        <v>570210</v>
      </c>
      <c r="B383" s="701">
        <v>570210</v>
      </c>
      <c r="C383" s="702" t="s">
        <v>206</v>
      </c>
      <c r="D383" s="463" t="s">
        <v>1917</v>
      </c>
      <c r="E383" s="464"/>
      <c r="F383" s="465" t="s">
        <v>662</v>
      </c>
      <c r="G383" s="466">
        <v>4.4999999999999998E-2</v>
      </c>
      <c r="H383" s="681">
        <f>SUM(H384:H387)</f>
        <v>33.499560000000002</v>
      </c>
      <c r="I383" s="467">
        <v>172.14</v>
      </c>
      <c r="J383" s="467">
        <f>IF(ISBLANK(I383),"",SUM(H383:I383))</f>
        <v>205.63955999999999</v>
      </c>
      <c r="K383" s="682">
        <f t="shared" si="117"/>
        <v>244.32</v>
      </c>
      <c r="L383" s="683" t="s">
        <v>20</v>
      </c>
      <c r="M383" s="685"/>
      <c r="N383" s="576">
        <f t="shared" si="103"/>
        <v>0</v>
      </c>
      <c r="O383" s="687">
        <f t="shared" si="112"/>
        <v>0</v>
      </c>
      <c r="P383" s="688">
        <f t="shared" si="113"/>
        <v>0</v>
      </c>
      <c r="Q383" s="765"/>
      <c r="R383" s="685">
        <f>M383</f>
        <v>0</v>
      </c>
      <c r="S383" s="686">
        <f>N383</f>
        <v>0</v>
      </c>
      <c r="T383" s="687">
        <f t="shared" si="110"/>
        <v>0</v>
      </c>
      <c r="U383" s="688">
        <f t="shared" si="111"/>
        <v>0</v>
      </c>
      <c r="V383" s="579"/>
      <c r="W383" s="566"/>
      <c r="X383" s="586" t="str">
        <f t="shared" si="108"/>
        <v/>
      </c>
      <c r="Y383" s="586" t="str">
        <f t="shared" si="102"/>
        <v/>
      </c>
      <c r="Z383" s="586" t="str">
        <f t="shared" si="106"/>
        <v/>
      </c>
    </row>
    <row r="384" spans="1:26" ht="12" hidden="1" thickBot="1" x14ac:dyDescent="0.25">
      <c r="A384" s="671" t="s">
        <v>168</v>
      </c>
      <c r="B384" s="644" t="s">
        <v>168</v>
      </c>
      <c r="C384" s="645"/>
      <c r="D384" s="451" t="s">
        <v>248</v>
      </c>
      <c r="E384" s="423"/>
      <c r="F384" s="424">
        <v>180</v>
      </c>
      <c r="G384" s="425">
        <v>1.4999999999999999E-2</v>
      </c>
      <c r="H384" s="663">
        <f t="shared" ref="H384:H386" si="118">IF(F384&lt;=30,(1.07*F384+2.68)*G384,((1.07*30+2.68)+1.07*(F384-30))*G384)</f>
        <v>2.9291999999999998</v>
      </c>
      <c r="I384" s="420">
        <v>0</v>
      </c>
      <c r="J384" s="420"/>
      <c r="K384" s="421">
        <f t="shared" si="117"/>
        <v>0</v>
      </c>
      <c r="L384" s="668" t="s">
        <v>614</v>
      </c>
      <c r="M384" s="703"/>
      <c r="N384" s="576">
        <f t="shared" si="103"/>
        <v>0</v>
      </c>
      <c r="O384" s="577">
        <f t="shared" si="112"/>
        <v>0</v>
      </c>
      <c r="P384" s="578">
        <f t="shared" si="113"/>
        <v>0</v>
      </c>
      <c r="Q384" s="765"/>
      <c r="R384" s="703"/>
      <c r="S384" s="670"/>
      <c r="T384" s="577">
        <f t="shared" si="110"/>
        <v>0</v>
      </c>
      <c r="U384" s="578">
        <f t="shared" si="111"/>
        <v>0</v>
      </c>
      <c r="V384" s="579"/>
      <c r="W384" s="637" t="str">
        <f>IF(U383&gt;0,"xx",IF(P383&gt;0,"xy",""))</f>
        <v/>
      </c>
      <c r="X384" s="586" t="str">
        <f t="shared" si="108"/>
        <v/>
      </c>
      <c r="Y384" s="586" t="str">
        <f t="shared" si="102"/>
        <v/>
      </c>
      <c r="Z384" s="586" t="str">
        <f t="shared" si="106"/>
        <v/>
      </c>
    </row>
    <row r="385" spans="1:26" ht="12" hidden="1" thickBot="1" x14ac:dyDescent="0.25">
      <c r="A385" s="671" t="s">
        <v>168</v>
      </c>
      <c r="B385" s="644" t="s">
        <v>168</v>
      </c>
      <c r="C385" s="645"/>
      <c r="D385" s="451" t="s">
        <v>249</v>
      </c>
      <c r="E385" s="423"/>
      <c r="F385" s="424">
        <v>500</v>
      </c>
      <c r="G385" s="425"/>
      <c r="H385" s="649">
        <f>IF(F385&lt;=30,(0.78*F385+7.82)*G385,((0.78*30+7.82)+0.78*(F385-30))*G385)</f>
        <v>0</v>
      </c>
      <c r="I385" s="420">
        <v>0</v>
      </c>
      <c r="J385" s="420">
        <f>IF(ISBLANK(I385),"",SUM(H385:I385))</f>
        <v>0</v>
      </c>
      <c r="K385" s="421">
        <f t="shared" si="117"/>
        <v>0</v>
      </c>
      <c r="L385" s="668" t="s">
        <v>614</v>
      </c>
      <c r="M385" s="703"/>
      <c r="N385" s="576">
        <f t="shared" si="103"/>
        <v>0</v>
      </c>
      <c r="O385" s="577">
        <f t="shared" si="112"/>
        <v>0</v>
      </c>
      <c r="P385" s="578">
        <f t="shared" si="113"/>
        <v>0</v>
      </c>
      <c r="Q385" s="765"/>
      <c r="R385" s="703"/>
      <c r="S385" s="670"/>
      <c r="T385" s="577">
        <f t="shared" si="110"/>
        <v>0</v>
      </c>
      <c r="U385" s="578">
        <f t="shared" si="111"/>
        <v>0</v>
      </c>
      <c r="V385" s="579"/>
      <c r="W385" s="637" t="str">
        <f>IF(U383&gt;0,"xx",IF(P383&gt;0,"xy",""))</f>
        <v/>
      </c>
      <c r="X385" s="586" t="str">
        <f t="shared" si="108"/>
        <v/>
      </c>
      <c r="Y385" s="586" t="str">
        <f t="shared" si="102"/>
        <v/>
      </c>
      <c r="Z385" s="586" t="str">
        <f t="shared" si="106"/>
        <v/>
      </c>
    </row>
    <row r="386" spans="1:26" ht="12" hidden="1" thickBot="1" x14ac:dyDescent="0.25">
      <c r="A386" s="671" t="s">
        <v>168</v>
      </c>
      <c r="B386" s="644" t="s">
        <v>168</v>
      </c>
      <c r="C386" s="645"/>
      <c r="D386" s="451" t="s">
        <v>262</v>
      </c>
      <c r="E386" s="423"/>
      <c r="F386" s="424">
        <v>0.2</v>
      </c>
      <c r="G386" s="425">
        <v>0.94</v>
      </c>
      <c r="H386" s="663">
        <f t="shared" si="118"/>
        <v>2.7203599999999999</v>
      </c>
      <c r="I386" s="420">
        <v>0</v>
      </c>
      <c r="J386" s="420"/>
      <c r="K386" s="421">
        <f t="shared" si="117"/>
        <v>0</v>
      </c>
      <c r="L386" s="668" t="s">
        <v>614</v>
      </c>
      <c r="M386" s="703"/>
      <c r="N386" s="576">
        <f t="shared" si="103"/>
        <v>0</v>
      </c>
      <c r="O386" s="577">
        <f t="shared" si="112"/>
        <v>0</v>
      </c>
      <c r="P386" s="578">
        <f t="shared" si="113"/>
        <v>0</v>
      </c>
      <c r="Q386" s="765"/>
      <c r="R386" s="703"/>
      <c r="S386" s="670"/>
      <c r="T386" s="577">
        <f t="shared" si="110"/>
        <v>0</v>
      </c>
      <c r="U386" s="578">
        <f t="shared" si="111"/>
        <v>0</v>
      </c>
      <c r="V386" s="579"/>
      <c r="W386" s="637" t="str">
        <f>IF(U383&gt;0,"xx",IF(P383&gt;0,"xy",""))</f>
        <v/>
      </c>
      <c r="X386" s="586" t="str">
        <f t="shared" si="108"/>
        <v/>
      </c>
      <c r="Y386" s="586" t="str">
        <f t="shared" si="102"/>
        <v/>
      </c>
      <c r="Z386" s="586" t="str">
        <f t="shared" si="106"/>
        <v/>
      </c>
    </row>
    <row r="387" spans="1:26" ht="12" hidden="1" thickBot="1" x14ac:dyDescent="0.25">
      <c r="A387" s="671" t="s">
        <v>168</v>
      </c>
      <c r="B387" s="644" t="s">
        <v>168</v>
      </c>
      <c r="C387" s="645"/>
      <c r="D387" s="451" t="s">
        <v>263</v>
      </c>
      <c r="E387" s="423"/>
      <c r="F387" s="424">
        <v>20</v>
      </c>
      <c r="G387" s="425">
        <f>SUM(G383:G386)</f>
        <v>1</v>
      </c>
      <c r="H387" s="651">
        <f>IF(F387&lt;=30,(1.07*F387+6.45)*G387,((1.07*30+6.45)+1.07*(F387-30))*G387)</f>
        <v>27.85</v>
      </c>
      <c r="I387" s="420">
        <v>0</v>
      </c>
      <c r="J387" s="420"/>
      <c r="K387" s="421">
        <f t="shared" si="117"/>
        <v>0</v>
      </c>
      <c r="L387" s="668" t="s">
        <v>614</v>
      </c>
      <c r="M387" s="703"/>
      <c r="N387" s="576">
        <f t="shared" si="103"/>
        <v>0</v>
      </c>
      <c r="O387" s="577">
        <f t="shared" si="112"/>
        <v>0</v>
      </c>
      <c r="P387" s="578">
        <f t="shared" si="113"/>
        <v>0</v>
      </c>
      <c r="Q387" s="765"/>
      <c r="R387" s="703"/>
      <c r="S387" s="670"/>
      <c r="T387" s="577">
        <f t="shared" si="110"/>
        <v>0</v>
      </c>
      <c r="U387" s="578">
        <f t="shared" si="111"/>
        <v>0</v>
      </c>
      <c r="V387" s="579"/>
      <c r="W387" s="637" t="str">
        <f>IF(U383&gt;0,"xx",IF(P383&gt;0,"xy",""))</f>
        <v/>
      </c>
      <c r="X387" s="586" t="str">
        <f t="shared" si="108"/>
        <v/>
      </c>
      <c r="Y387" s="586" t="str">
        <f t="shared" si="102"/>
        <v/>
      </c>
      <c r="Z387" s="586" t="str">
        <f t="shared" si="106"/>
        <v/>
      </c>
    </row>
    <row r="388" spans="1:26" ht="12" hidden="1" thickBot="1" x14ac:dyDescent="0.25">
      <c r="A388" s="671">
        <v>589000</v>
      </c>
      <c r="B388" s="704" t="s">
        <v>1782</v>
      </c>
      <c r="C388" s="689" t="s">
        <v>1746</v>
      </c>
      <c r="D388" s="477" t="s">
        <v>659</v>
      </c>
      <c r="E388" s="470"/>
      <c r="F388" s="478">
        <v>500</v>
      </c>
      <c r="G388" s="479">
        <v>1</v>
      </c>
      <c r="H388" s="663">
        <f>(0.94*F388+46.06)*G388</f>
        <v>516.05999999999995</v>
      </c>
      <c r="I388" s="472">
        <v>5725</v>
      </c>
      <c r="J388" s="472">
        <f>IF(ISBLANK(I388),"",I388*(1+$F$9)/(1+$F$10))+H388</f>
        <v>6070.962785960779</v>
      </c>
      <c r="K388" s="690">
        <f t="shared" si="117"/>
        <v>7212.91</v>
      </c>
      <c r="L388" s="691" t="s">
        <v>20</v>
      </c>
      <c r="M388" s="692">
        <f>ROUND(M383*G383,2)</f>
        <v>0</v>
      </c>
      <c r="N388" s="588">
        <f t="shared" si="103"/>
        <v>0</v>
      </c>
      <c r="O388" s="693">
        <f t="shared" si="112"/>
        <v>0</v>
      </c>
      <c r="P388" s="694">
        <f t="shared" si="113"/>
        <v>0</v>
      </c>
      <c r="Q388" s="765"/>
      <c r="R388" s="695">
        <f>ROUND(R383*G383,2)</f>
        <v>0</v>
      </c>
      <c r="S388" s="711">
        <f>N388</f>
        <v>0</v>
      </c>
      <c r="T388" s="693">
        <f t="shared" si="110"/>
        <v>0</v>
      </c>
      <c r="U388" s="694">
        <f t="shared" si="111"/>
        <v>0</v>
      </c>
      <c r="V388" s="579"/>
      <c r="W388" s="637" t="str">
        <f>IF(U383&gt;0,"xx",IF(P383&gt;0,"xy",""))</f>
        <v/>
      </c>
      <c r="X388" s="586" t="str">
        <f t="shared" si="108"/>
        <v/>
      </c>
      <c r="Y388" s="586" t="str">
        <f t="shared" si="102"/>
        <v/>
      </c>
      <c r="Z388" s="586" t="str">
        <f t="shared" si="106"/>
        <v/>
      </c>
    </row>
    <row r="389" spans="1:26" x14ac:dyDescent="0.2">
      <c r="A389" s="671">
        <v>570000</v>
      </c>
      <c r="B389" s="701" t="s">
        <v>1783</v>
      </c>
      <c r="C389" s="702" t="s">
        <v>206</v>
      </c>
      <c r="D389" s="463" t="s">
        <v>1918</v>
      </c>
      <c r="E389" s="464"/>
      <c r="F389" s="465" t="s">
        <v>662</v>
      </c>
      <c r="G389" s="466">
        <v>5.7000000000000002E-2</v>
      </c>
      <c r="H389" s="681">
        <f>SUM(H390:H393)</f>
        <v>64.300032000000002</v>
      </c>
      <c r="I389" s="467">
        <v>201.51</v>
      </c>
      <c r="J389" s="467">
        <f>IF(ISBLANK(I389),"",SUM(H389:I389))</f>
        <v>265.81003199999998</v>
      </c>
      <c r="K389" s="682">
        <f t="shared" si="117"/>
        <v>315.81</v>
      </c>
      <c r="L389" s="683" t="s">
        <v>20</v>
      </c>
      <c r="M389" s="685">
        <v>65.28</v>
      </c>
      <c r="N389" s="686">
        <f t="shared" si="103"/>
        <v>315.81</v>
      </c>
      <c r="O389" s="687">
        <f t="shared" si="112"/>
        <v>20616.080000000002</v>
      </c>
      <c r="P389" s="688">
        <f t="shared" si="113"/>
        <v>20616.080000000002</v>
      </c>
      <c r="Q389" s="765"/>
      <c r="R389" s="685">
        <f>M389</f>
        <v>65.28</v>
      </c>
      <c r="S389" s="686">
        <f>N389</f>
        <v>315.81</v>
      </c>
      <c r="T389" s="687">
        <f t="shared" si="110"/>
        <v>20616.080000000002</v>
      </c>
      <c r="U389" s="688">
        <f t="shared" si="111"/>
        <v>20616.080000000002</v>
      </c>
      <c r="V389" s="579"/>
      <c r="W389" s="566"/>
      <c r="X389" s="586" t="str">
        <f t="shared" si="108"/>
        <v>x</v>
      </c>
      <c r="Y389" s="586" t="str">
        <f t="shared" si="102"/>
        <v>x</v>
      </c>
      <c r="Z389" s="586" t="str">
        <f t="shared" si="106"/>
        <v>x</v>
      </c>
    </row>
    <row r="390" spans="1:26" x14ac:dyDescent="0.2">
      <c r="A390" s="671" t="s">
        <v>168</v>
      </c>
      <c r="B390" s="644" t="s">
        <v>168</v>
      </c>
      <c r="C390" s="645"/>
      <c r="D390" s="451" t="s">
        <v>248</v>
      </c>
      <c r="E390" s="423"/>
      <c r="F390" s="805">
        <v>260</v>
      </c>
      <c r="G390" s="425">
        <v>0.1</v>
      </c>
      <c r="H390" s="663">
        <f t="shared" ref="H390:H392" si="119">IF(F390&lt;=30,(1.07*F390+2.68)*G390,((1.07*30+2.68)+1.07*(F390-30))*G390)</f>
        <v>28.088000000000001</v>
      </c>
      <c r="I390" s="420">
        <v>0</v>
      </c>
      <c r="J390" s="420"/>
      <c r="K390" s="421">
        <f t="shared" si="117"/>
        <v>0</v>
      </c>
      <c r="L390" s="647" t="s">
        <v>614</v>
      </c>
      <c r="M390" s="703"/>
      <c r="N390" s="576">
        <f t="shared" si="103"/>
        <v>0</v>
      </c>
      <c r="O390" s="577">
        <f t="shared" si="112"/>
        <v>0</v>
      </c>
      <c r="P390" s="578">
        <f t="shared" si="113"/>
        <v>0</v>
      </c>
      <c r="Q390" s="765"/>
      <c r="R390" s="703"/>
      <c r="S390" s="670"/>
      <c r="T390" s="577">
        <f t="shared" si="110"/>
        <v>0</v>
      </c>
      <c r="U390" s="578">
        <f t="shared" si="111"/>
        <v>0</v>
      </c>
      <c r="V390" s="579"/>
      <c r="W390" s="637" t="str">
        <f>IF(U389&gt;0,"xx",IF(P389&gt;0,"xy",""))</f>
        <v>xx</v>
      </c>
      <c r="X390" s="586" t="str">
        <f t="shared" si="108"/>
        <v>x</v>
      </c>
      <c r="Y390" s="586" t="str">
        <f t="shared" si="102"/>
        <v>x</v>
      </c>
      <c r="Z390" s="586" t="str">
        <f t="shared" si="106"/>
        <v/>
      </c>
    </row>
    <row r="391" spans="1:26" x14ac:dyDescent="0.2">
      <c r="A391" s="671" t="s">
        <v>168</v>
      </c>
      <c r="B391" s="644" t="s">
        <v>168</v>
      </c>
      <c r="C391" s="645"/>
      <c r="D391" s="451" t="s">
        <v>249</v>
      </c>
      <c r="E391" s="423"/>
      <c r="F391" s="805">
        <v>445</v>
      </c>
      <c r="G391" s="425">
        <v>1.4999999999999999E-2</v>
      </c>
      <c r="H391" s="649">
        <f>IF(F391&lt;=30,(0.78*F391+7.82)*G391,((0.78*30+7.82)+0.78*(F391-30))*G391)</f>
        <v>5.3238000000000003</v>
      </c>
      <c r="I391" s="420">
        <v>0</v>
      </c>
      <c r="J391" s="420"/>
      <c r="K391" s="421">
        <f t="shared" si="117"/>
        <v>0</v>
      </c>
      <c r="L391" s="647" t="s">
        <v>614</v>
      </c>
      <c r="M391" s="703"/>
      <c r="N391" s="576">
        <f t="shared" si="103"/>
        <v>0</v>
      </c>
      <c r="O391" s="577">
        <f t="shared" si="112"/>
        <v>0</v>
      </c>
      <c r="P391" s="578">
        <f t="shared" si="113"/>
        <v>0</v>
      </c>
      <c r="Q391" s="765"/>
      <c r="R391" s="703"/>
      <c r="S391" s="670"/>
      <c r="T391" s="577">
        <f t="shared" si="110"/>
        <v>0</v>
      </c>
      <c r="U391" s="578">
        <f t="shared" si="111"/>
        <v>0</v>
      </c>
      <c r="V391" s="579"/>
      <c r="W391" s="637" t="str">
        <f>IF(U389&gt;0,"xx",IF(P389&gt;0,"xy",""))</f>
        <v>xx</v>
      </c>
      <c r="X391" s="586" t="str">
        <f t="shared" si="108"/>
        <v>x</v>
      </c>
      <c r="Y391" s="586" t="str">
        <f t="shared" si="102"/>
        <v>x</v>
      </c>
      <c r="Z391" s="586" t="str">
        <f t="shared" si="106"/>
        <v/>
      </c>
    </row>
    <row r="392" spans="1:26" x14ac:dyDescent="0.2">
      <c r="A392" s="671" t="s">
        <v>168</v>
      </c>
      <c r="B392" s="644" t="s">
        <v>168</v>
      </c>
      <c r="C392" s="645"/>
      <c r="D392" s="451" t="s">
        <v>262</v>
      </c>
      <c r="E392" s="423"/>
      <c r="F392" s="805">
        <v>0.2</v>
      </c>
      <c r="G392" s="425">
        <v>0.82799999999999996</v>
      </c>
      <c r="H392" s="663">
        <f t="shared" si="119"/>
        <v>2.3962319999999999</v>
      </c>
      <c r="I392" s="420">
        <v>0</v>
      </c>
      <c r="J392" s="420"/>
      <c r="K392" s="421">
        <f t="shared" si="117"/>
        <v>0</v>
      </c>
      <c r="L392" s="647" t="s">
        <v>614</v>
      </c>
      <c r="M392" s="703"/>
      <c r="N392" s="576">
        <f t="shared" si="103"/>
        <v>0</v>
      </c>
      <c r="O392" s="577">
        <f t="shared" si="112"/>
        <v>0</v>
      </c>
      <c r="P392" s="578">
        <f t="shared" si="113"/>
        <v>0</v>
      </c>
      <c r="Q392" s="765"/>
      <c r="R392" s="703"/>
      <c r="S392" s="670"/>
      <c r="T392" s="577">
        <f t="shared" si="110"/>
        <v>0</v>
      </c>
      <c r="U392" s="578">
        <f t="shared" si="111"/>
        <v>0</v>
      </c>
      <c r="V392" s="579"/>
      <c r="W392" s="637" t="str">
        <f>IF(U389&gt;0,"xx",IF(P389&gt;0,"xy",""))</f>
        <v>xx</v>
      </c>
      <c r="X392" s="586" t="str">
        <f t="shared" si="108"/>
        <v>x</v>
      </c>
      <c r="Y392" s="586" t="str">
        <f t="shared" si="102"/>
        <v>x</v>
      </c>
      <c r="Z392" s="586" t="str">
        <f t="shared" si="106"/>
        <v/>
      </c>
    </row>
    <row r="393" spans="1:26" x14ac:dyDescent="0.2">
      <c r="A393" s="671" t="s">
        <v>168</v>
      </c>
      <c r="B393" s="644" t="s">
        <v>168</v>
      </c>
      <c r="C393" s="645"/>
      <c r="D393" s="451" t="s">
        <v>263</v>
      </c>
      <c r="E393" s="423"/>
      <c r="F393" s="805">
        <v>20.6</v>
      </c>
      <c r="G393" s="425">
        <f>SUM(G389:G392)</f>
        <v>1</v>
      </c>
      <c r="H393" s="651">
        <f>IF(F393&lt;=30,(1.07*F393+6.45)*G393,((1.07*30+6.45)+1.07*(F393-30))*G393)</f>
        <v>28.492000000000001</v>
      </c>
      <c r="I393" s="420">
        <v>0</v>
      </c>
      <c r="J393" s="420"/>
      <c r="K393" s="421">
        <f t="shared" si="117"/>
        <v>0</v>
      </c>
      <c r="L393" s="647" t="s">
        <v>614</v>
      </c>
      <c r="M393" s="703"/>
      <c r="N393" s="576">
        <f t="shared" si="103"/>
        <v>0</v>
      </c>
      <c r="O393" s="577">
        <f t="shared" si="112"/>
        <v>0</v>
      </c>
      <c r="P393" s="578">
        <f t="shared" si="113"/>
        <v>0</v>
      </c>
      <c r="Q393" s="765"/>
      <c r="R393" s="703"/>
      <c r="S393" s="670"/>
      <c r="T393" s="577">
        <f t="shared" si="110"/>
        <v>0</v>
      </c>
      <c r="U393" s="578">
        <f t="shared" si="111"/>
        <v>0</v>
      </c>
      <c r="V393" s="579"/>
      <c r="W393" s="637" t="str">
        <f>IF(U389&gt;0,"xx",IF(P389&gt;0,"xy",""))</f>
        <v>xx</v>
      </c>
      <c r="X393" s="586" t="str">
        <f t="shared" si="108"/>
        <v>x</v>
      </c>
      <c r="Y393" s="586" t="str">
        <f t="shared" si="102"/>
        <v>x</v>
      </c>
      <c r="Z393" s="586" t="str">
        <f t="shared" si="106"/>
        <v/>
      </c>
    </row>
    <row r="394" spans="1:26" ht="12" thickBot="1" x14ac:dyDescent="0.25">
      <c r="A394" s="671">
        <v>589000</v>
      </c>
      <c r="B394" s="704" t="s">
        <v>1784</v>
      </c>
      <c r="C394" s="689" t="s">
        <v>1746</v>
      </c>
      <c r="D394" s="477" t="s">
        <v>659</v>
      </c>
      <c r="E394" s="470"/>
      <c r="F394" s="806">
        <v>465</v>
      </c>
      <c r="G394" s="479">
        <v>1</v>
      </c>
      <c r="H394" s="663">
        <f>(0.94*F394+46.06)*G394</f>
        <v>483.15999999999997</v>
      </c>
      <c r="I394" s="472">
        <v>5725</v>
      </c>
      <c r="J394" s="472">
        <f>IF(ISBLANK(I394),"",I394*(1+$F$9)/(1+$F$10))+H394</f>
        <v>6038.0627859607785</v>
      </c>
      <c r="K394" s="690">
        <f t="shared" si="117"/>
        <v>7173.82</v>
      </c>
      <c r="L394" s="691" t="s">
        <v>20</v>
      </c>
      <c r="M394" s="692">
        <f>ROUND(M389*G389,2)</f>
        <v>3.72</v>
      </c>
      <c r="N394" s="696">
        <f t="shared" si="103"/>
        <v>7173.82</v>
      </c>
      <c r="O394" s="693">
        <f t="shared" si="112"/>
        <v>26686.61</v>
      </c>
      <c r="P394" s="694">
        <f t="shared" si="113"/>
        <v>26686.61</v>
      </c>
      <c r="Q394" s="765"/>
      <c r="R394" s="695">
        <f>ROUND(R389*G389,2)</f>
        <v>3.72</v>
      </c>
      <c r="S394" s="711">
        <f>N394</f>
        <v>7173.82</v>
      </c>
      <c r="T394" s="693">
        <f t="shared" si="110"/>
        <v>26686.61</v>
      </c>
      <c r="U394" s="694">
        <f t="shared" si="111"/>
        <v>26686.61</v>
      </c>
      <c r="V394" s="579"/>
      <c r="W394" s="637" t="str">
        <f>IF(U389&gt;0,"xx",IF(P389&gt;0,"xy",""))</f>
        <v>xx</v>
      </c>
      <c r="X394" s="586" t="str">
        <f t="shared" si="108"/>
        <v>x</v>
      </c>
      <c r="Y394" s="586" t="str">
        <f t="shared" si="102"/>
        <v>x</v>
      </c>
      <c r="Z394" s="586" t="str">
        <f t="shared" si="106"/>
        <v>x</v>
      </c>
    </row>
    <row r="395" spans="1:26" x14ac:dyDescent="0.2">
      <c r="A395" s="671">
        <v>570000</v>
      </c>
      <c r="B395" s="701" t="s">
        <v>1785</v>
      </c>
      <c r="C395" s="702" t="s">
        <v>206</v>
      </c>
      <c r="D395" s="463" t="s">
        <v>2100</v>
      </c>
      <c r="E395" s="464"/>
      <c r="F395" s="465" t="s">
        <v>662</v>
      </c>
      <c r="G395" s="466">
        <v>0.05</v>
      </c>
      <c r="H395" s="681">
        <f>SUM(H396:H399)</f>
        <v>64.585285400000004</v>
      </c>
      <c r="I395" s="467">
        <v>201.51</v>
      </c>
      <c r="J395" s="467">
        <f>IF(ISBLANK(I395),"",SUM(H395:I395))</f>
        <v>266.09528539999997</v>
      </c>
      <c r="K395" s="682">
        <f t="shared" si="117"/>
        <v>316.14999999999998</v>
      </c>
      <c r="L395" s="683" t="s">
        <v>20</v>
      </c>
      <c r="M395" s="685">
        <v>97.62</v>
      </c>
      <c r="N395" s="576">
        <f t="shared" si="103"/>
        <v>316.14999999999998</v>
      </c>
      <c r="O395" s="687">
        <f t="shared" si="112"/>
        <v>30862.560000000001</v>
      </c>
      <c r="P395" s="688">
        <f t="shared" si="113"/>
        <v>30862.560000000001</v>
      </c>
      <c r="Q395" s="765"/>
      <c r="R395" s="685">
        <f>M395</f>
        <v>97.62</v>
      </c>
      <c r="S395" s="686">
        <f>N395</f>
        <v>316.14999999999998</v>
      </c>
      <c r="T395" s="687">
        <f t="shared" si="110"/>
        <v>30862.560000000001</v>
      </c>
      <c r="U395" s="688">
        <f t="shared" si="111"/>
        <v>30862.560000000001</v>
      </c>
      <c r="V395" s="579"/>
      <c r="W395" s="566"/>
      <c r="X395" s="586" t="str">
        <f t="shared" si="108"/>
        <v>x</v>
      </c>
      <c r="Y395" s="586" t="str">
        <f t="shared" si="102"/>
        <v>x</v>
      </c>
      <c r="Z395" s="586" t="str">
        <f t="shared" si="106"/>
        <v>x</v>
      </c>
    </row>
    <row r="396" spans="1:26" x14ac:dyDescent="0.2">
      <c r="A396" s="671" t="s">
        <v>168</v>
      </c>
      <c r="B396" s="644" t="s">
        <v>168</v>
      </c>
      <c r="C396" s="645"/>
      <c r="D396" s="451" t="s">
        <v>248</v>
      </c>
      <c r="E396" s="423"/>
      <c r="F396" s="805">
        <v>260</v>
      </c>
      <c r="G396" s="425">
        <v>0.1007</v>
      </c>
      <c r="H396" s="663">
        <f t="shared" ref="H396:H398" si="120">IF(F396&lt;=30,(1.07*F396+2.68)*G396,((1.07*30+2.68)+1.07*(F396-30))*G396)</f>
        <v>28.284616</v>
      </c>
      <c r="I396" s="420">
        <v>0</v>
      </c>
      <c r="J396" s="420"/>
      <c r="K396" s="421">
        <f t="shared" si="117"/>
        <v>0</v>
      </c>
      <c r="L396" s="647" t="s">
        <v>614</v>
      </c>
      <c r="M396" s="703"/>
      <c r="N396" s="576">
        <f t="shared" si="103"/>
        <v>0</v>
      </c>
      <c r="O396" s="577">
        <f t="shared" si="112"/>
        <v>0</v>
      </c>
      <c r="P396" s="578">
        <f t="shared" si="113"/>
        <v>0</v>
      </c>
      <c r="Q396" s="765"/>
      <c r="R396" s="703"/>
      <c r="S396" s="670"/>
      <c r="T396" s="577">
        <f t="shared" si="110"/>
        <v>0</v>
      </c>
      <c r="U396" s="578">
        <f t="shared" si="111"/>
        <v>0</v>
      </c>
      <c r="V396" s="579"/>
      <c r="W396" s="637" t="str">
        <f>IF(U395&gt;0,"xx",IF(P395&gt;0,"xy",""))</f>
        <v>xx</v>
      </c>
      <c r="X396" s="586" t="str">
        <f t="shared" si="108"/>
        <v>x</v>
      </c>
      <c r="Y396" s="586" t="str">
        <f t="shared" si="102"/>
        <v>x</v>
      </c>
      <c r="Z396" s="586" t="str">
        <f t="shared" si="106"/>
        <v/>
      </c>
    </row>
    <row r="397" spans="1:26" x14ac:dyDescent="0.2">
      <c r="A397" s="671" t="s">
        <v>168</v>
      </c>
      <c r="B397" s="644" t="s">
        <v>168</v>
      </c>
      <c r="C397" s="645"/>
      <c r="D397" s="451" t="s">
        <v>249</v>
      </c>
      <c r="E397" s="423"/>
      <c r="F397" s="805">
        <v>445</v>
      </c>
      <c r="G397" s="425">
        <v>1.52E-2</v>
      </c>
      <c r="H397" s="649">
        <f>IF(F397&lt;=30,(0.78*F397+7.82)*G397,((0.78*30+7.82)+0.78*(F397-30))*G397)</f>
        <v>5.3947840000000005</v>
      </c>
      <c r="I397" s="420">
        <v>0</v>
      </c>
      <c r="J397" s="420"/>
      <c r="K397" s="421">
        <f t="shared" si="117"/>
        <v>0</v>
      </c>
      <c r="L397" s="647" t="s">
        <v>614</v>
      </c>
      <c r="M397" s="703"/>
      <c r="N397" s="576">
        <f t="shared" si="103"/>
        <v>0</v>
      </c>
      <c r="O397" s="577">
        <f t="shared" si="112"/>
        <v>0</v>
      </c>
      <c r="P397" s="578">
        <f t="shared" si="113"/>
        <v>0</v>
      </c>
      <c r="Q397" s="765"/>
      <c r="R397" s="703"/>
      <c r="S397" s="670"/>
      <c r="T397" s="577">
        <f t="shared" si="110"/>
        <v>0</v>
      </c>
      <c r="U397" s="578">
        <f t="shared" si="111"/>
        <v>0</v>
      </c>
      <c r="V397" s="579"/>
      <c r="W397" s="637" t="str">
        <f>IF(U395&gt;0,"xx",IF(P395&gt;0,"xy",""))</f>
        <v>xx</v>
      </c>
      <c r="X397" s="586" t="str">
        <f t="shared" si="108"/>
        <v>x</v>
      </c>
      <c r="Y397" s="586" t="str">
        <f t="shared" si="102"/>
        <v>x</v>
      </c>
      <c r="Z397" s="586" t="str">
        <f t="shared" si="106"/>
        <v/>
      </c>
    </row>
    <row r="398" spans="1:26" x14ac:dyDescent="0.2">
      <c r="A398" s="671" t="s">
        <v>168</v>
      </c>
      <c r="B398" s="644" t="s">
        <v>168</v>
      </c>
      <c r="C398" s="645"/>
      <c r="D398" s="451" t="s">
        <v>262</v>
      </c>
      <c r="E398" s="423"/>
      <c r="F398" s="805">
        <v>0.2</v>
      </c>
      <c r="G398" s="425">
        <v>0.83409999999999995</v>
      </c>
      <c r="H398" s="663">
        <f t="shared" si="120"/>
        <v>2.4138853999999998</v>
      </c>
      <c r="I398" s="420">
        <v>0</v>
      </c>
      <c r="J398" s="420"/>
      <c r="K398" s="421">
        <f t="shared" si="117"/>
        <v>0</v>
      </c>
      <c r="L398" s="647" t="s">
        <v>614</v>
      </c>
      <c r="M398" s="703"/>
      <c r="N398" s="576">
        <f t="shared" si="103"/>
        <v>0</v>
      </c>
      <c r="O398" s="577">
        <f t="shared" si="112"/>
        <v>0</v>
      </c>
      <c r="P398" s="578">
        <f t="shared" si="113"/>
        <v>0</v>
      </c>
      <c r="Q398" s="765"/>
      <c r="R398" s="703"/>
      <c r="S398" s="670"/>
      <c r="T398" s="577">
        <f t="shared" si="110"/>
        <v>0</v>
      </c>
      <c r="U398" s="578">
        <f t="shared" si="111"/>
        <v>0</v>
      </c>
      <c r="V398" s="579"/>
      <c r="W398" s="637" t="str">
        <f>IF(U395&gt;0,"xx",IF(P395&gt;0,"xy",""))</f>
        <v>xx</v>
      </c>
      <c r="X398" s="586" t="str">
        <f t="shared" si="108"/>
        <v>x</v>
      </c>
      <c r="Y398" s="586" t="str">
        <f t="shared" si="102"/>
        <v>x</v>
      </c>
      <c r="Z398" s="586" t="str">
        <f t="shared" si="106"/>
        <v/>
      </c>
    </row>
    <row r="399" spans="1:26" x14ac:dyDescent="0.2">
      <c r="A399" s="671" t="s">
        <v>168</v>
      </c>
      <c r="B399" s="644" t="s">
        <v>168</v>
      </c>
      <c r="C399" s="645"/>
      <c r="D399" s="451" t="s">
        <v>263</v>
      </c>
      <c r="E399" s="423"/>
      <c r="F399" s="805">
        <v>20.6</v>
      </c>
      <c r="G399" s="425">
        <f>SUM(G395:G398)</f>
        <v>1</v>
      </c>
      <c r="H399" s="651">
        <f>IF(F399&lt;=30,(1.07*F399+6.45)*G399,((1.07*30+6.45)+1.07*(F399-30))*G399)</f>
        <v>28.492000000000001</v>
      </c>
      <c r="I399" s="420">
        <v>0</v>
      </c>
      <c r="J399" s="420"/>
      <c r="K399" s="421">
        <f t="shared" si="117"/>
        <v>0</v>
      </c>
      <c r="L399" s="647" t="s">
        <v>614</v>
      </c>
      <c r="M399" s="703"/>
      <c r="N399" s="576">
        <f t="shared" si="103"/>
        <v>0</v>
      </c>
      <c r="O399" s="577">
        <f t="shared" si="112"/>
        <v>0</v>
      </c>
      <c r="P399" s="578">
        <f t="shared" si="113"/>
        <v>0</v>
      </c>
      <c r="Q399" s="765"/>
      <c r="R399" s="703"/>
      <c r="S399" s="670"/>
      <c r="T399" s="577">
        <f t="shared" si="110"/>
        <v>0</v>
      </c>
      <c r="U399" s="578">
        <f t="shared" si="111"/>
        <v>0</v>
      </c>
      <c r="V399" s="579"/>
      <c r="W399" s="637" t="str">
        <f>IF(U395&gt;0,"xx",IF(P395&gt;0,"xy",""))</f>
        <v>xx</v>
      </c>
      <c r="X399" s="586" t="str">
        <f t="shared" si="108"/>
        <v>x</v>
      </c>
      <c r="Y399" s="586" t="str">
        <f t="shared" si="102"/>
        <v>x</v>
      </c>
      <c r="Z399" s="586" t="str">
        <f t="shared" si="106"/>
        <v/>
      </c>
    </row>
    <row r="400" spans="1:26" ht="12" thickBot="1" x14ac:dyDescent="0.25">
      <c r="A400" s="671">
        <v>589000</v>
      </c>
      <c r="B400" s="704" t="s">
        <v>1786</v>
      </c>
      <c r="C400" s="689" t="s">
        <v>1746</v>
      </c>
      <c r="D400" s="477" t="s">
        <v>659</v>
      </c>
      <c r="E400" s="470"/>
      <c r="F400" s="806">
        <v>465</v>
      </c>
      <c r="G400" s="479">
        <v>1</v>
      </c>
      <c r="H400" s="663">
        <f>(0.94*F400+46.06)*G400</f>
        <v>483.15999999999997</v>
      </c>
      <c r="I400" s="472">
        <v>5725</v>
      </c>
      <c r="J400" s="472">
        <f>IF(ISBLANK(I400),"",I400*(1+$F$9)/(1+$F$10))+H400</f>
        <v>6038.0627859607785</v>
      </c>
      <c r="K400" s="690">
        <f t="shared" si="117"/>
        <v>7173.82</v>
      </c>
      <c r="L400" s="691" t="s">
        <v>20</v>
      </c>
      <c r="M400" s="692">
        <f>ROUND(M395*G395,2)</f>
        <v>4.88</v>
      </c>
      <c r="N400" s="588">
        <f t="shared" si="103"/>
        <v>7173.82</v>
      </c>
      <c r="O400" s="693">
        <f t="shared" si="112"/>
        <v>35008.239999999998</v>
      </c>
      <c r="P400" s="694">
        <f t="shared" si="113"/>
        <v>35008.239999999998</v>
      </c>
      <c r="Q400" s="765"/>
      <c r="R400" s="695">
        <f>ROUND(R395*G395,2)</f>
        <v>4.88</v>
      </c>
      <c r="S400" s="711">
        <f>N400</f>
        <v>7173.82</v>
      </c>
      <c r="T400" s="693">
        <f t="shared" si="110"/>
        <v>35008.239999999998</v>
      </c>
      <c r="U400" s="694">
        <f t="shared" si="111"/>
        <v>35008.239999999998</v>
      </c>
      <c r="V400" s="579"/>
      <c r="W400" s="637" t="str">
        <f>IF(U395&gt;0,"xx",IF(P395&gt;0,"xy",""))</f>
        <v>xx</v>
      </c>
      <c r="X400" s="586" t="str">
        <f t="shared" si="108"/>
        <v>x</v>
      </c>
      <c r="Y400" s="586" t="str">
        <f t="shared" si="102"/>
        <v>x</v>
      </c>
      <c r="Z400" s="586" t="str">
        <f t="shared" si="106"/>
        <v>x</v>
      </c>
    </row>
    <row r="401" spans="1:26" ht="12" hidden="1" thickBot="1" x14ac:dyDescent="0.25">
      <c r="A401" s="671">
        <v>570000</v>
      </c>
      <c r="B401" s="701" t="s">
        <v>1787</v>
      </c>
      <c r="C401" s="702" t="s">
        <v>206</v>
      </c>
      <c r="D401" s="463" t="s">
        <v>2101</v>
      </c>
      <c r="E401" s="464"/>
      <c r="F401" s="465" t="s">
        <v>662</v>
      </c>
      <c r="G401" s="466">
        <v>5.5E-2</v>
      </c>
      <c r="H401" s="681">
        <f>SUM(H402:H405)</f>
        <v>55.825289800000007</v>
      </c>
      <c r="I401" s="467">
        <v>201.51</v>
      </c>
      <c r="J401" s="467">
        <f>IF(ISBLANK(I401),"",SUM(H401:I401))</f>
        <v>257.3352898</v>
      </c>
      <c r="K401" s="682">
        <f t="shared" si="117"/>
        <v>305.74</v>
      </c>
      <c r="L401" s="683" t="s">
        <v>20</v>
      </c>
      <c r="M401" s="685"/>
      <c r="N401" s="686">
        <f t="shared" si="103"/>
        <v>0</v>
      </c>
      <c r="O401" s="687">
        <f t="shared" si="112"/>
        <v>0</v>
      </c>
      <c r="P401" s="688">
        <f t="shared" si="113"/>
        <v>0</v>
      </c>
      <c r="Q401" s="765"/>
      <c r="R401" s="685">
        <f>M401</f>
        <v>0</v>
      </c>
      <c r="S401" s="686">
        <f>N401</f>
        <v>0</v>
      </c>
      <c r="T401" s="687">
        <f t="shared" si="110"/>
        <v>0</v>
      </c>
      <c r="U401" s="688">
        <f t="shared" si="111"/>
        <v>0</v>
      </c>
      <c r="V401" s="579"/>
      <c r="W401" s="566"/>
      <c r="X401" s="586" t="str">
        <f t="shared" si="108"/>
        <v/>
      </c>
      <c r="Y401" s="586" t="str">
        <f t="shared" si="102"/>
        <v/>
      </c>
      <c r="Z401" s="586" t="str">
        <f t="shared" si="106"/>
        <v/>
      </c>
    </row>
    <row r="402" spans="1:26" ht="12" hidden="1" thickBot="1" x14ac:dyDescent="0.25">
      <c r="A402" s="671" t="s">
        <v>168</v>
      </c>
      <c r="B402" s="644" t="s">
        <v>168</v>
      </c>
      <c r="C402" s="645"/>
      <c r="D402" s="451" t="s">
        <v>248</v>
      </c>
      <c r="E402" s="423"/>
      <c r="F402" s="424">
        <v>180</v>
      </c>
      <c r="G402" s="425">
        <v>0.1002</v>
      </c>
      <c r="H402" s="663">
        <f t="shared" ref="H402:H404" si="121">IF(F402&lt;=30,(1.07*F402+2.68)*G402,((1.07*30+2.68)+1.07*(F402-30))*G402)</f>
        <v>19.567056000000001</v>
      </c>
      <c r="I402" s="420">
        <v>0</v>
      </c>
      <c r="J402" s="420"/>
      <c r="K402" s="421">
        <f t="shared" si="117"/>
        <v>0</v>
      </c>
      <c r="L402" s="647" t="s">
        <v>614</v>
      </c>
      <c r="M402" s="703"/>
      <c r="N402" s="576">
        <f t="shared" si="103"/>
        <v>0</v>
      </c>
      <c r="O402" s="577">
        <f t="shared" si="112"/>
        <v>0</v>
      </c>
      <c r="P402" s="578">
        <f t="shared" si="113"/>
        <v>0</v>
      </c>
      <c r="Q402" s="765"/>
      <c r="R402" s="703"/>
      <c r="S402" s="670"/>
      <c r="T402" s="577">
        <f t="shared" si="110"/>
        <v>0</v>
      </c>
      <c r="U402" s="578">
        <f t="shared" si="111"/>
        <v>0</v>
      </c>
      <c r="V402" s="579"/>
      <c r="W402" s="637" t="str">
        <f>IF(U401&gt;0,"xx",IF(P401&gt;0,"xy",""))</f>
        <v/>
      </c>
      <c r="X402" s="586" t="str">
        <f t="shared" si="108"/>
        <v/>
      </c>
      <c r="Y402" s="586" t="str">
        <f t="shared" si="102"/>
        <v/>
      </c>
      <c r="Z402" s="586" t="str">
        <f t="shared" si="106"/>
        <v/>
      </c>
    </row>
    <row r="403" spans="1:26" ht="12" hidden="1" thickBot="1" x14ac:dyDescent="0.25">
      <c r="A403" s="671" t="s">
        <v>168</v>
      </c>
      <c r="B403" s="644" t="s">
        <v>168</v>
      </c>
      <c r="C403" s="645"/>
      <c r="D403" s="451" t="s">
        <v>249</v>
      </c>
      <c r="E403" s="423"/>
      <c r="F403" s="424">
        <v>500</v>
      </c>
      <c r="G403" s="425">
        <v>1.5100000000000001E-2</v>
      </c>
      <c r="H403" s="649">
        <f>IF(F403&lt;=30,(0.78*F403+7.82)*G403,((0.78*30+7.82)+0.78*(F403-30))*G403)</f>
        <v>6.0070820000000014</v>
      </c>
      <c r="I403" s="420">
        <v>0</v>
      </c>
      <c r="J403" s="420"/>
      <c r="K403" s="421">
        <f t="shared" si="117"/>
        <v>0</v>
      </c>
      <c r="L403" s="647" t="s">
        <v>614</v>
      </c>
      <c r="M403" s="703"/>
      <c r="N403" s="576">
        <f t="shared" si="103"/>
        <v>0</v>
      </c>
      <c r="O403" s="577">
        <f t="shared" si="112"/>
        <v>0</v>
      </c>
      <c r="P403" s="578">
        <f t="shared" si="113"/>
        <v>0</v>
      </c>
      <c r="Q403" s="765"/>
      <c r="R403" s="703"/>
      <c r="S403" s="670"/>
      <c r="T403" s="577">
        <f t="shared" si="110"/>
        <v>0</v>
      </c>
      <c r="U403" s="578">
        <f t="shared" si="111"/>
        <v>0</v>
      </c>
      <c r="V403" s="579"/>
      <c r="W403" s="637" t="str">
        <f>IF(U401&gt;0,"xx",IF(P401&gt;0,"xy",""))</f>
        <v/>
      </c>
      <c r="X403" s="586" t="str">
        <f t="shared" si="108"/>
        <v/>
      </c>
      <c r="Y403" s="586" t="str">
        <f t="shared" ref="Y403:Y466" si="122">IF(W403="X","x",IF(W403="y","x",IF(W403="xx","x",IF(U403&gt;0,"x",""))))</f>
        <v/>
      </c>
      <c r="Z403" s="586" t="str">
        <f t="shared" si="106"/>
        <v/>
      </c>
    </row>
    <row r="404" spans="1:26" ht="12" hidden="1" thickBot="1" x14ac:dyDescent="0.25">
      <c r="A404" s="671" t="s">
        <v>168</v>
      </c>
      <c r="B404" s="644" t="s">
        <v>168</v>
      </c>
      <c r="C404" s="645"/>
      <c r="D404" s="451" t="s">
        <v>262</v>
      </c>
      <c r="E404" s="423"/>
      <c r="F404" s="424">
        <v>0.2</v>
      </c>
      <c r="G404" s="425">
        <v>0.82969999999999999</v>
      </c>
      <c r="H404" s="663">
        <f t="shared" si="121"/>
        <v>2.4011518000000001</v>
      </c>
      <c r="I404" s="420">
        <v>0</v>
      </c>
      <c r="J404" s="420"/>
      <c r="K404" s="421">
        <f t="shared" si="117"/>
        <v>0</v>
      </c>
      <c r="L404" s="647" t="s">
        <v>614</v>
      </c>
      <c r="M404" s="703"/>
      <c r="N404" s="576">
        <f t="shared" ref="N404:N467" si="123">IF(M404=0,0,K404)</f>
        <v>0</v>
      </c>
      <c r="O404" s="577">
        <f t="shared" si="112"/>
        <v>0</v>
      </c>
      <c r="P404" s="578">
        <f t="shared" si="113"/>
        <v>0</v>
      </c>
      <c r="Q404" s="765"/>
      <c r="R404" s="703"/>
      <c r="S404" s="670"/>
      <c r="T404" s="577">
        <f t="shared" si="110"/>
        <v>0</v>
      </c>
      <c r="U404" s="578">
        <f t="shared" si="111"/>
        <v>0</v>
      </c>
      <c r="V404" s="579"/>
      <c r="W404" s="637" t="str">
        <f>IF(U401&gt;0,"xx",IF(P401&gt;0,"xy",""))</f>
        <v/>
      </c>
      <c r="X404" s="586" t="str">
        <f t="shared" si="108"/>
        <v/>
      </c>
      <c r="Y404" s="586" t="str">
        <f t="shared" si="122"/>
        <v/>
      </c>
      <c r="Z404" s="586" t="str">
        <f t="shared" si="106"/>
        <v/>
      </c>
    </row>
    <row r="405" spans="1:26" ht="12" hidden="1" thickBot="1" x14ac:dyDescent="0.25">
      <c r="A405" s="671" t="s">
        <v>168</v>
      </c>
      <c r="B405" s="644" t="s">
        <v>168</v>
      </c>
      <c r="C405" s="645"/>
      <c r="D405" s="451" t="s">
        <v>263</v>
      </c>
      <c r="E405" s="423"/>
      <c r="F405" s="424">
        <v>20</v>
      </c>
      <c r="G405" s="425">
        <f>SUM(G401:G404)</f>
        <v>1</v>
      </c>
      <c r="H405" s="651">
        <f>IF(F405&lt;=30,(1.07*F405+6.45)*G405,((1.07*30+6.45)+1.07*(F405-30))*G405)</f>
        <v>27.85</v>
      </c>
      <c r="I405" s="420">
        <v>0</v>
      </c>
      <c r="J405" s="420"/>
      <c r="K405" s="421">
        <f t="shared" si="117"/>
        <v>0</v>
      </c>
      <c r="L405" s="647" t="s">
        <v>614</v>
      </c>
      <c r="M405" s="703"/>
      <c r="N405" s="576">
        <f t="shared" si="123"/>
        <v>0</v>
      </c>
      <c r="O405" s="577">
        <f t="shared" si="112"/>
        <v>0</v>
      </c>
      <c r="P405" s="578">
        <f t="shared" si="113"/>
        <v>0</v>
      </c>
      <c r="Q405" s="765"/>
      <c r="R405" s="703"/>
      <c r="S405" s="670"/>
      <c r="T405" s="577">
        <f t="shared" si="110"/>
        <v>0</v>
      </c>
      <c r="U405" s="578">
        <f t="shared" si="111"/>
        <v>0</v>
      </c>
      <c r="V405" s="579"/>
      <c r="W405" s="637" t="str">
        <f>IF(U401&gt;0,"xx",IF(P401&gt;0,"xy",""))</f>
        <v/>
      </c>
      <c r="X405" s="586" t="str">
        <f t="shared" si="108"/>
        <v/>
      </c>
      <c r="Y405" s="586" t="str">
        <f t="shared" si="122"/>
        <v/>
      </c>
      <c r="Z405" s="586" t="str">
        <f t="shared" si="106"/>
        <v/>
      </c>
    </row>
    <row r="406" spans="1:26" ht="12" hidden="1" thickBot="1" x14ac:dyDescent="0.25">
      <c r="A406" s="671">
        <v>589000</v>
      </c>
      <c r="B406" s="704" t="s">
        <v>1788</v>
      </c>
      <c r="C406" s="689" t="s">
        <v>1746</v>
      </c>
      <c r="D406" s="477" t="s">
        <v>659</v>
      </c>
      <c r="E406" s="470"/>
      <c r="F406" s="478">
        <v>500</v>
      </c>
      <c r="G406" s="479">
        <v>1</v>
      </c>
      <c r="H406" s="663">
        <f>(0.94*F406+46.06)*G406</f>
        <v>516.05999999999995</v>
      </c>
      <c r="I406" s="472">
        <v>5725</v>
      </c>
      <c r="J406" s="472">
        <f>IF(ISBLANK(I406),"",I406*(1+$F$9)/(1+$F$10))+H406</f>
        <v>6070.962785960779</v>
      </c>
      <c r="K406" s="690">
        <f t="shared" si="117"/>
        <v>7212.91</v>
      </c>
      <c r="L406" s="691" t="s">
        <v>20</v>
      </c>
      <c r="M406" s="692">
        <f>ROUND(M401*G401,2)</f>
        <v>0</v>
      </c>
      <c r="N406" s="696">
        <f t="shared" si="123"/>
        <v>0</v>
      </c>
      <c r="O406" s="693">
        <f t="shared" si="112"/>
        <v>0</v>
      </c>
      <c r="P406" s="694">
        <f t="shared" si="113"/>
        <v>0</v>
      </c>
      <c r="Q406" s="765"/>
      <c r="R406" s="695">
        <f>ROUND(R401*G401,2)</f>
        <v>0</v>
      </c>
      <c r="S406" s="711">
        <f>N406</f>
        <v>0</v>
      </c>
      <c r="T406" s="693">
        <f t="shared" si="110"/>
        <v>0</v>
      </c>
      <c r="U406" s="694">
        <f t="shared" si="111"/>
        <v>0</v>
      </c>
      <c r="V406" s="579"/>
      <c r="W406" s="637" t="str">
        <f>IF(U401&gt;0,"xx",IF(P401&gt;0,"xy",""))</f>
        <v/>
      </c>
      <c r="X406" s="586" t="str">
        <f t="shared" si="108"/>
        <v/>
      </c>
      <c r="Y406" s="586" t="str">
        <f t="shared" si="122"/>
        <v/>
      </c>
      <c r="Z406" s="586" t="str">
        <f t="shared" si="106"/>
        <v/>
      </c>
    </row>
    <row r="407" spans="1:26" ht="12" hidden="1" thickBot="1" x14ac:dyDescent="0.25">
      <c r="A407" s="671">
        <v>570000</v>
      </c>
      <c r="B407" s="701" t="s">
        <v>1789</v>
      </c>
      <c r="C407" s="702" t="s">
        <v>206</v>
      </c>
      <c r="D407" s="463" t="s">
        <v>2102</v>
      </c>
      <c r="E407" s="464"/>
      <c r="F407" s="465" t="s">
        <v>662</v>
      </c>
      <c r="G407" s="466">
        <v>5.7000000000000002E-2</v>
      </c>
      <c r="H407" s="681">
        <f>SUM(H408:H411)</f>
        <v>55.741532000000007</v>
      </c>
      <c r="I407" s="467">
        <v>201.51</v>
      </c>
      <c r="J407" s="467">
        <f>IF(ISBLANK(I407),"",SUM(H407:I407))</f>
        <v>257.251532</v>
      </c>
      <c r="K407" s="682">
        <f t="shared" si="117"/>
        <v>305.64</v>
      </c>
      <c r="L407" s="683" t="s">
        <v>20</v>
      </c>
      <c r="M407" s="685"/>
      <c r="N407" s="576">
        <f t="shared" si="123"/>
        <v>0</v>
      </c>
      <c r="O407" s="687">
        <f t="shared" si="112"/>
        <v>0</v>
      </c>
      <c r="P407" s="688">
        <f t="shared" si="113"/>
        <v>0</v>
      </c>
      <c r="Q407" s="765"/>
      <c r="R407" s="685">
        <f>M407</f>
        <v>0</v>
      </c>
      <c r="S407" s="686">
        <f>N407</f>
        <v>0</v>
      </c>
      <c r="T407" s="687">
        <f t="shared" si="110"/>
        <v>0</v>
      </c>
      <c r="U407" s="688">
        <f t="shared" si="111"/>
        <v>0</v>
      </c>
      <c r="V407" s="579"/>
      <c r="W407" s="566"/>
      <c r="X407" s="586" t="str">
        <f t="shared" si="108"/>
        <v/>
      </c>
      <c r="Y407" s="586" t="str">
        <f t="shared" si="122"/>
        <v/>
      </c>
      <c r="Z407" s="586" t="str">
        <f t="shared" si="106"/>
        <v/>
      </c>
    </row>
    <row r="408" spans="1:26" ht="12" hidden="1" thickBot="1" x14ac:dyDescent="0.25">
      <c r="A408" s="671" t="s">
        <v>168</v>
      </c>
      <c r="B408" s="644" t="s">
        <v>168</v>
      </c>
      <c r="C408" s="645"/>
      <c r="D408" s="451" t="s">
        <v>248</v>
      </c>
      <c r="E408" s="423"/>
      <c r="F408" s="424">
        <v>180</v>
      </c>
      <c r="G408" s="425">
        <v>0.1</v>
      </c>
      <c r="H408" s="663">
        <f t="shared" ref="H408:H410" si="124">IF(F408&lt;=30,(1.07*F408+2.68)*G408,((1.07*30+2.68)+1.07*(F408-30))*G408)</f>
        <v>19.528000000000002</v>
      </c>
      <c r="I408" s="420">
        <v>0</v>
      </c>
      <c r="J408" s="420"/>
      <c r="K408" s="421">
        <f t="shared" si="117"/>
        <v>0</v>
      </c>
      <c r="L408" s="647" t="s">
        <v>614</v>
      </c>
      <c r="M408" s="703"/>
      <c r="N408" s="576">
        <f t="shared" si="123"/>
        <v>0</v>
      </c>
      <c r="O408" s="577">
        <f t="shared" si="112"/>
        <v>0</v>
      </c>
      <c r="P408" s="578">
        <f t="shared" si="113"/>
        <v>0</v>
      </c>
      <c r="Q408" s="765"/>
      <c r="R408" s="703"/>
      <c r="S408" s="670"/>
      <c r="T408" s="577">
        <f t="shared" si="110"/>
        <v>0</v>
      </c>
      <c r="U408" s="578">
        <f t="shared" si="111"/>
        <v>0</v>
      </c>
      <c r="V408" s="579"/>
      <c r="W408" s="637" t="str">
        <f>IF(U407&gt;0,"xx",IF(P407&gt;0,"xy",""))</f>
        <v/>
      </c>
      <c r="X408" s="586" t="str">
        <f t="shared" si="108"/>
        <v/>
      </c>
      <c r="Y408" s="586" t="str">
        <f t="shared" si="122"/>
        <v/>
      </c>
      <c r="Z408" s="586" t="str">
        <f t="shared" si="106"/>
        <v/>
      </c>
    </row>
    <row r="409" spans="1:26" ht="12" hidden="1" thickBot="1" x14ac:dyDescent="0.25">
      <c r="A409" s="671" t="s">
        <v>168</v>
      </c>
      <c r="B409" s="644" t="s">
        <v>168</v>
      </c>
      <c r="C409" s="645"/>
      <c r="D409" s="451" t="s">
        <v>249</v>
      </c>
      <c r="E409" s="423"/>
      <c r="F409" s="424">
        <v>500</v>
      </c>
      <c r="G409" s="425">
        <v>1.4999999999999999E-2</v>
      </c>
      <c r="H409" s="649">
        <f>IF(F409&lt;=30,(0.78*F409+7.82)*G409,((0.78*30+7.82)+0.78*(F409-30))*G409)</f>
        <v>5.9673000000000007</v>
      </c>
      <c r="I409" s="420">
        <v>0</v>
      </c>
      <c r="J409" s="420"/>
      <c r="K409" s="421">
        <f t="shared" si="117"/>
        <v>0</v>
      </c>
      <c r="L409" s="647" t="s">
        <v>614</v>
      </c>
      <c r="M409" s="703"/>
      <c r="N409" s="576">
        <f t="shared" si="123"/>
        <v>0</v>
      </c>
      <c r="O409" s="577">
        <f t="shared" si="112"/>
        <v>0</v>
      </c>
      <c r="P409" s="578">
        <f t="shared" si="113"/>
        <v>0</v>
      </c>
      <c r="Q409" s="765"/>
      <c r="R409" s="703"/>
      <c r="S409" s="670"/>
      <c r="T409" s="577">
        <f t="shared" si="110"/>
        <v>0</v>
      </c>
      <c r="U409" s="578">
        <f t="shared" si="111"/>
        <v>0</v>
      </c>
      <c r="V409" s="579"/>
      <c r="W409" s="637" t="str">
        <f>IF(U407&gt;0,"xx",IF(P407&gt;0,"xy",""))</f>
        <v/>
      </c>
      <c r="X409" s="586" t="str">
        <f t="shared" si="108"/>
        <v/>
      </c>
      <c r="Y409" s="586" t="str">
        <f t="shared" si="122"/>
        <v/>
      </c>
      <c r="Z409" s="586" t="str">
        <f t="shared" si="106"/>
        <v/>
      </c>
    </row>
    <row r="410" spans="1:26" ht="12" hidden="1" thickBot="1" x14ac:dyDescent="0.25">
      <c r="A410" s="671" t="s">
        <v>168</v>
      </c>
      <c r="B410" s="644" t="s">
        <v>168</v>
      </c>
      <c r="C410" s="645"/>
      <c r="D410" s="451" t="s">
        <v>262</v>
      </c>
      <c r="E410" s="423"/>
      <c r="F410" s="424">
        <v>0.2</v>
      </c>
      <c r="G410" s="425">
        <v>0.82799999999999996</v>
      </c>
      <c r="H410" s="663">
        <f t="shared" si="124"/>
        <v>2.3962319999999999</v>
      </c>
      <c r="I410" s="420">
        <v>0</v>
      </c>
      <c r="J410" s="420"/>
      <c r="K410" s="421">
        <f t="shared" si="117"/>
        <v>0</v>
      </c>
      <c r="L410" s="647" t="s">
        <v>614</v>
      </c>
      <c r="M410" s="703"/>
      <c r="N410" s="576">
        <f t="shared" si="123"/>
        <v>0</v>
      </c>
      <c r="O410" s="577">
        <f t="shared" si="112"/>
        <v>0</v>
      </c>
      <c r="P410" s="578">
        <f t="shared" si="113"/>
        <v>0</v>
      </c>
      <c r="Q410" s="765"/>
      <c r="R410" s="703"/>
      <c r="S410" s="670"/>
      <c r="T410" s="577">
        <f t="shared" si="110"/>
        <v>0</v>
      </c>
      <c r="U410" s="578">
        <f t="shared" si="111"/>
        <v>0</v>
      </c>
      <c r="V410" s="579"/>
      <c r="W410" s="637" t="str">
        <f>IF(U407&gt;0,"xx",IF(P407&gt;0,"xy",""))</f>
        <v/>
      </c>
      <c r="X410" s="586" t="str">
        <f t="shared" si="108"/>
        <v/>
      </c>
      <c r="Y410" s="586" t="str">
        <f t="shared" si="122"/>
        <v/>
      </c>
      <c r="Z410" s="586" t="str">
        <f t="shared" si="106"/>
        <v/>
      </c>
    </row>
    <row r="411" spans="1:26" ht="12" hidden="1" thickBot="1" x14ac:dyDescent="0.25">
      <c r="A411" s="671" t="s">
        <v>168</v>
      </c>
      <c r="B411" s="644" t="s">
        <v>168</v>
      </c>
      <c r="C411" s="645"/>
      <c r="D411" s="451" t="s">
        <v>263</v>
      </c>
      <c r="E411" s="423"/>
      <c r="F411" s="424">
        <v>20</v>
      </c>
      <c r="G411" s="425">
        <f>SUM(G407:G410)</f>
        <v>1</v>
      </c>
      <c r="H411" s="651">
        <f>IF(F411&lt;=30,(1.07*F411+6.45)*G411,((1.07*30+6.45)+1.07*(F411-30))*G411)</f>
        <v>27.85</v>
      </c>
      <c r="I411" s="420">
        <v>0</v>
      </c>
      <c r="J411" s="420"/>
      <c r="K411" s="421">
        <f t="shared" si="117"/>
        <v>0</v>
      </c>
      <c r="L411" s="647" t="s">
        <v>614</v>
      </c>
      <c r="M411" s="703"/>
      <c r="N411" s="576">
        <f t="shared" si="123"/>
        <v>0</v>
      </c>
      <c r="O411" s="577">
        <f t="shared" si="112"/>
        <v>0</v>
      </c>
      <c r="P411" s="578">
        <f t="shared" si="113"/>
        <v>0</v>
      </c>
      <c r="Q411" s="765"/>
      <c r="R411" s="703"/>
      <c r="S411" s="670"/>
      <c r="T411" s="577">
        <f t="shared" si="110"/>
        <v>0</v>
      </c>
      <c r="U411" s="578">
        <f t="shared" si="111"/>
        <v>0</v>
      </c>
      <c r="V411" s="579"/>
      <c r="W411" s="637" t="str">
        <f>IF(U407&gt;0,"xx",IF(P407&gt;0,"xy",""))</f>
        <v/>
      </c>
      <c r="X411" s="586" t="str">
        <f t="shared" si="108"/>
        <v/>
      </c>
      <c r="Y411" s="586" t="str">
        <f t="shared" si="122"/>
        <v/>
      </c>
      <c r="Z411" s="586" t="str">
        <f t="shared" si="106"/>
        <v/>
      </c>
    </row>
    <row r="412" spans="1:26" ht="12" hidden="1" thickBot="1" x14ac:dyDescent="0.25">
      <c r="A412" s="671">
        <v>589000</v>
      </c>
      <c r="B412" s="704" t="s">
        <v>1790</v>
      </c>
      <c r="C412" s="689" t="s">
        <v>1746</v>
      </c>
      <c r="D412" s="477" t="s">
        <v>659</v>
      </c>
      <c r="E412" s="470"/>
      <c r="F412" s="478">
        <v>500</v>
      </c>
      <c r="G412" s="479">
        <v>1</v>
      </c>
      <c r="H412" s="663">
        <f>(0.94*F412+46.06)*G412</f>
        <v>516.05999999999995</v>
      </c>
      <c r="I412" s="472">
        <v>5725</v>
      </c>
      <c r="J412" s="472">
        <f>IF(ISBLANK(I412),"",I412*(1+$F$9)/(1+$F$10))+H412</f>
        <v>6070.962785960779</v>
      </c>
      <c r="K412" s="690">
        <f t="shared" si="117"/>
        <v>7212.91</v>
      </c>
      <c r="L412" s="691" t="s">
        <v>20</v>
      </c>
      <c r="M412" s="692">
        <f>ROUND(M407*G407,2)</f>
        <v>0</v>
      </c>
      <c r="N412" s="588">
        <f t="shared" si="123"/>
        <v>0</v>
      </c>
      <c r="O412" s="693">
        <f t="shared" si="112"/>
        <v>0</v>
      </c>
      <c r="P412" s="694">
        <f t="shared" si="113"/>
        <v>0</v>
      </c>
      <c r="Q412" s="765"/>
      <c r="R412" s="695">
        <f>ROUND(R407*G407,2)</f>
        <v>0</v>
      </c>
      <c r="S412" s="711">
        <f>N412</f>
        <v>0</v>
      </c>
      <c r="T412" s="693">
        <f t="shared" si="110"/>
        <v>0</v>
      </c>
      <c r="U412" s="694">
        <f t="shared" si="111"/>
        <v>0</v>
      </c>
      <c r="V412" s="579"/>
      <c r="W412" s="637" t="str">
        <f>IF(U407&gt;0,"xx",IF(P407&gt;0,"xy",""))</f>
        <v/>
      </c>
      <c r="X412" s="586" t="str">
        <f t="shared" si="108"/>
        <v/>
      </c>
      <c r="Y412" s="586" t="str">
        <f t="shared" si="122"/>
        <v/>
      </c>
      <c r="Z412" s="586" t="str">
        <f t="shared" si="106"/>
        <v/>
      </c>
    </row>
    <row r="413" spans="1:26" ht="12" hidden="1" thickBot="1" x14ac:dyDescent="0.25">
      <c r="A413" s="671">
        <v>570400</v>
      </c>
      <c r="B413" s="701" t="s">
        <v>1791</v>
      </c>
      <c r="C413" s="702" t="s">
        <v>206</v>
      </c>
      <c r="D413" s="463" t="s">
        <v>2103</v>
      </c>
      <c r="E413" s="464"/>
      <c r="F413" s="465" t="s">
        <v>662</v>
      </c>
      <c r="G413" s="466">
        <v>0.05</v>
      </c>
      <c r="H413" s="681">
        <f>SUM(H414:H417)</f>
        <v>55.975445399999998</v>
      </c>
      <c r="I413" s="467">
        <v>180.27999999999997</v>
      </c>
      <c r="J413" s="467">
        <f>IF(ISBLANK(I413),"",SUM(H413:I413))</f>
        <v>236.25544539999999</v>
      </c>
      <c r="K413" s="682">
        <f t="shared" si="117"/>
        <v>280.7</v>
      </c>
      <c r="L413" s="683" t="s">
        <v>20</v>
      </c>
      <c r="M413" s="685"/>
      <c r="N413" s="686">
        <f t="shared" si="123"/>
        <v>0</v>
      </c>
      <c r="O413" s="687">
        <f t="shared" si="112"/>
        <v>0</v>
      </c>
      <c r="P413" s="688">
        <f t="shared" si="113"/>
        <v>0</v>
      </c>
      <c r="Q413" s="765"/>
      <c r="R413" s="685">
        <f>M413</f>
        <v>0</v>
      </c>
      <c r="S413" s="686">
        <f>N413</f>
        <v>0</v>
      </c>
      <c r="T413" s="687">
        <f t="shared" si="110"/>
        <v>0</v>
      </c>
      <c r="U413" s="688">
        <f t="shared" si="111"/>
        <v>0</v>
      </c>
      <c r="V413" s="579"/>
      <c r="W413" s="566"/>
      <c r="X413" s="586" t="str">
        <f t="shared" si="108"/>
        <v/>
      </c>
      <c r="Y413" s="586" t="str">
        <f t="shared" si="122"/>
        <v/>
      </c>
      <c r="Z413" s="586" t="str">
        <f t="shared" ref="Z413:Z476" si="125">IF(W413="X","x",IF(U413&gt;0,"x",""))</f>
        <v/>
      </c>
    </row>
    <row r="414" spans="1:26" ht="12" hidden="1" thickBot="1" x14ac:dyDescent="0.25">
      <c r="A414" s="671" t="s">
        <v>168</v>
      </c>
      <c r="B414" s="644" t="s">
        <v>168</v>
      </c>
      <c r="C414" s="645"/>
      <c r="D414" s="451" t="s">
        <v>248</v>
      </c>
      <c r="E414" s="423"/>
      <c r="F414" s="424">
        <v>180</v>
      </c>
      <c r="G414" s="425">
        <v>0.1007</v>
      </c>
      <c r="H414" s="663">
        <f t="shared" ref="H414:H416" si="126">IF(F414&lt;=30,(1.07*F414+2.68)*G414,((1.07*30+2.68)+1.07*(F414-30))*G414)</f>
        <v>19.664695999999999</v>
      </c>
      <c r="I414" s="420">
        <v>0</v>
      </c>
      <c r="J414" s="420"/>
      <c r="K414" s="421">
        <f t="shared" si="117"/>
        <v>0</v>
      </c>
      <c r="L414" s="647" t="s">
        <v>614</v>
      </c>
      <c r="M414" s="703"/>
      <c r="N414" s="576">
        <f t="shared" si="123"/>
        <v>0</v>
      </c>
      <c r="O414" s="577">
        <f t="shared" si="112"/>
        <v>0</v>
      </c>
      <c r="P414" s="578">
        <f t="shared" si="113"/>
        <v>0</v>
      </c>
      <c r="Q414" s="765"/>
      <c r="R414" s="703"/>
      <c r="S414" s="670"/>
      <c r="T414" s="577">
        <f t="shared" si="110"/>
        <v>0</v>
      </c>
      <c r="U414" s="578">
        <f t="shared" si="111"/>
        <v>0</v>
      </c>
      <c r="V414" s="579"/>
      <c r="W414" s="637" t="str">
        <f>IF(U413&gt;0,"xx",IF(P413&gt;0,"xy",""))</f>
        <v/>
      </c>
      <c r="X414" s="586" t="str">
        <f t="shared" si="108"/>
        <v/>
      </c>
      <c r="Y414" s="586" t="str">
        <f>IF(W414="X","x",IF(W414="y","x",IF(W414="xx","x",IF(U414&gt;0,"x",""))))</f>
        <v/>
      </c>
      <c r="Z414" s="586" t="str">
        <f t="shared" si="125"/>
        <v/>
      </c>
    </row>
    <row r="415" spans="1:26" ht="12" hidden="1" thickBot="1" x14ac:dyDescent="0.25">
      <c r="A415" s="671" t="s">
        <v>168</v>
      </c>
      <c r="B415" s="644" t="s">
        <v>168</v>
      </c>
      <c r="C415" s="645"/>
      <c r="D415" s="451" t="s">
        <v>249</v>
      </c>
      <c r="E415" s="423"/>
      <c r="F415" s="424">
        <v>500</v>
      </c>
      <c r="G415" s="425">
        <v>1.52E-2</v>
      </c>
      <c r="H415" s="649">
        <f>IF(F415&lt;=30,(0.78*F415+7.82)*G415,((0.78*30+7.82)+0.78*(F415-30))*G415)</f>
        <v>6.0468640000000011</v>
      </c>
      <c r="I415" s="420">
        <v>0</v>
      </c>
      <c r="J415" s="420"/>
      <c r="K415" s="421">
        <f t="shared" si="117"/>
        <v>0</v>
      </c>
      <c r="L415" s="647" t="s">
        <v>614</v>
      </c>
      <c r="M415" s="703"/>
      <c r="N415" s="576">
        <f t="shared" si="123"/>
        <v>0</v>
      </c>
      <c r="O415" s="577">
        <f t="shared" si="112"/>
        <v>0</v>
      </c>
      <c r="P415" s="578">
        <f t="shared" si="113"/>
        <v>0</v>
      </c>
      <c r="Q415" s="765"/>
      <c r="R415" s="703"/>
      <c r="S415" s="670"/>
      <c r="T415" s="577">
        <f t="shared" si="110"/>
        <v>0</v>
      </c>
      <c r="U415" s="578">
        <f t="shared" si="111"/>
        <v>0</v>
      </c>
      <c r="V415" s="579"/>
      <c r="W415" s="637" t="str">
        <f>IF(U413&gt;0,"xx",IF(P413&gt;0,"xy",""))</f>
        <v/>
      </c>
      <c r="X415" s="586" t="str">
        <f t="shared" si="108"/>
        <v/>
      </c>
      <c r="Y415" s="586" t="str">
        <f>IF(W415="X","x",IF(W415="y","x",IF(W415="xx","x",IF(U415&gt;0,"x",""))))</f>
        <v/>
      </c>
      <c r="Z415" s="586" t="str">
        <f t="shared" si="125"/>
        <v/>
      </c>
    </row>
    <row r="416" spans="1:26" ht="12" hidden="1" thickBot="1" x14ac:dyDescent="0.25">
      <c r="A416" s="671" t="s">
        <v>168</v>
      </c>
      <c r="B416" s="644" t="s">
        <v>168</v>
      </c>
      <c r="C416" s="645"/>
      <c r="D416" s="451" t="s">
        <v>262</v>
      </c>
      <c r="E416" s="423"/>
      <c r="F416" s="424">
        <v>0.2</v>
      </c>
      <c r="G416" s="425">
        <v>0.83409999999999995</v>
      </c>
      <c r="H416" s="663">
        <f t="shared" si="126"/>
        <v>2.4138853999999998</v>
      </c>
      <c r="I416" s="420">
        <v>0</v>
      </c>
      <c r="J416" s="420"/>
      <c r="K416" s="421">
        <f t="shared" si="117"/>
        <v>0</v>
      </c>
      <c r="L416" s="647" t="s">
        <v>614</v>
      </c>
      <c r="M416" s="703"/>
      <c r="N416" s="576">
        <f t="shared" si="123"/>
        <v>0</v>
      </c>
      <c r="O416" s="577">
        <f t="shared" si="112"/>
        <v>0</v>
      </c>
      <c r="P416" s="578">
        <f t="shared" si="113"/>
        <v>0</v>
      </c>
      <c r="Q416" s="765"/>
      <c r="R416" s="703"/>
      <c r="S416" s="670"/>
      <c r="T416" s="577">
        <f t="shared" si="110"/>
        <v>0</v>
      </c>
      <c r="U416" s="578">
        <f t="shared" si="111"/>
        <v>0</v>
      </c>
      <c r="V416" s="579"/>
      <c r="W416" s="637" t="str">
        <f>IF(U413&gt;0,"xx",IF(P413&gt;0,"xy",""))</f>
        <v/>
      </c>
      <c r="X416" s="586" t="str">
        <f t="shared" si="108"/>
        <v/>
      </c>
      <c r="Y416" s="586" t="str">
        <f>IF(W416="X","x",IF(W416="y","x",IF(W416="xx","x",IF(U416&gt;0,"x",""))))</f>
        <v/>
      </c>
      <c r="Z416" s="586" t="str">
        <f t="shared" si="125"/>
        <v/>
      </c>
    </row>
    <row r="417" spans="1:26" ht="12" hidden="1" thickBot="1" x14ac:dyDescent="0.25">
      <c r="A417" s="671" t="s">
        <v>168</v>
      </c>
      <c r="B417" s="644" t="s">
        <v>168</v>
      </c>
      <c r="C417" s="645"/>
      <c r="D417" s="451" t="s">
        <v>263</v>
      </c>
      <c r="E417" s="423"/>
      <c r="F417" s="424">
        <v>20</v>
      </c>
      <c r="G417" s="425">
        <f>SUM(G413:G416)</f>
        <v>1</v>
      </c>
      <c r="H417" s="651">
        <f>IF(F417&lt;=30,(1.07*F417+6.45)*G417,((1.07*30+6.45)+1.07*(F417-30))*G417)</f>
        <v>27.85</v>
      </c>
      <c r="I417" s="420">
        <v>0</v>
      </c>
      <c r="J417" s="420"/>
      <c r="K417" s="421">
        <f t="shared" si="117"/>
        <v>0</v>
      </c>
      <c r="L417" s="647" t="s">
        <v>614</v>
      </c>
      <c r="M417" s="703"/>
      <c r="N417" s="576">
        <f t="shared" si="123"/>
        <v>0</v>
      </c>
      <c r="O417" s="577">
        <f t="shared" si="112"/>
        <v>0</v>
      </c>
      <c r="P417" s="578">
        <f t="shared" si="113"/>
        <v>0</v>
      </c>
      <c r="Q417" s="765"/>
      <c r="R417" s="703"/>
      <c r="S417" s="670"/>
      <c r="T417" s="577">
        <f t="shared" si="110"/>
        <v>0</v>
      </c>
      <c r="U417" s="578">
        <f t="shared" si="111"/>
        <v>0</v>
      </c>
      <c r="V417" s="579"/>
      <c r="W417" s="637" t="str">
        <f>IF(U413&gt;0,"xx",IF(P413&gt;0,"xy",""))</f>
        <v/>
      </c>
      <c r="X417" s="586" t="str">
        <f t="shared" si="108"/>
        <v/>
      </c>
      <c r="Y417" s="586" t="str">
        <f>IF(W417="X","x",IF(W417="y","x",IF(W417="xx","x",IF(U417&gt;0,"x",""))))</f>
        <v/>
      </c>
      <c r="Z417" s="586" t="str">
        <f t="shared" si="125"/>
        <v/>
      </c>
    </row>
    <row r="418" spans="1:26" ht="12" hidden="1" thickBot="1" x14ac:dyDescent="0.25">
      <c r="A418" s="671">
        <v>589000</v>
      </c>
      <c r="B418" s="704" t="s">
        <v>1792</v>
      </c>
      <c r="C418" s="689" t="s">
        <v>1746</v>
      </c>
      <c r="D418" s="477" t="s">
        <v>660</v>
      </c>
      <c r="E418" s="470"/>
      <c r="F418" s="478">
        <v>500</v>
      </c>
      <c r="G418" s="479">
        <v>1</v>
      </c>
      <c r="H418" s="663">
        <f>(0.94*F418+46.06)*G418</f>
        <v>516.05999999999995</v>
      </c>
      <c r="I418" s="472">
        <v>5725</v>
      </c>
      <c r="J418" s="472">
        <f>IF(ISBLANK(I418),"",I418*(1+$F$9)/(1+$F$10))+H418</f>
        <v>6070.962785960779</v>
      </c>
      <c r="K418" s="690">
        <f t="shared" si="117"/>
        <v>7212.91</v>
      </c>
      <c r="L418" s="691" t="s">
        <v>20</v>
      </c>
      <c r="M418" s="692">
        <f>ROUND(M413*G413,2)</f>
        <v>0</v>
      </c>
      <c r="N418" s="696">
        <f t="shared" si="123"/>
        <v>0</v>
      </c>
      <c r="O418" s="693">
        <f t="shared" si="112"/>
        <v>0</v>
      </c>
      <c r="P418" s="694">
        <f t="shared" si="113"/>
        <v>0</v>
      </c>
      <c r="Q418" s="765"/>
      <c r="R418" s="695">
        <f>ROUND(R413*G413,2)</f>
        <v>0</v>
      </c>
      <c r="S418" s="711">
        <f>N418</f>
        <v>0</v>
      </c>
      <c r="T418" s="693">
        <f t="shared" si="110"/>
        <v>0</v>
      </c>
      <c r="U418" s="694">
        <f t="shared" si="111"/>
        <v>0</v>
      </c>
      <c r="V418" s="579"/>
      <c r="W418" s="637" t="str">
        <f>IF(U413&gt;0,"xx",IF(P413&gt;0,"xy",""))</f>
        <v/>
      </c>
      <c r="X418" s="586" t="str">
        <f t="shared" ref="X418:X481" si="127">IF(W418="X","x",IF(W418="xx","x",IF(W418="xy","x",IF(W418="y","x",IF(OR(P418&gt;0,U418&gt;0),"x","")))))</f>
        <v/>
      </c>
      <c r="Y418" s="586" t="str">
        <f t="shared" si="122"/>
        <v/>
      </c>
      <c r="Z418" s="586" t="str">
        <f t="shared" si="125"/>
        <v/>
      </c>
    </row>
    <row r="419" spans="1:26" ht="12" hidden="1" thickBot="1" x14ac:dyDescent="0.25">
      <c r="A419" s="671">
        <v>570400</v>
      </c>
      <c r="B419" s="701" t="s">
        <v>1793</v>
      </c>
      <c r="C419" s="702" t="s">
        <v>206</v>
      </c>
      <c r="D419" s="463" t="s">
        <v>2104</v>
      </c>
      <c r="E419" s="464"/>
      <c r="F419" s="465" t="s">
        <v>662</v>
      </c>
      <c r="G419" s="466">
        <v>5.5E-2</v>
      </c>
      <c r="H419" s="681">
        <f>SUM(H420:H423)</f>
        <v>55.825289800000007</v>
      </c>
      <c r="I419" s="467">
        <v>180.27999999999997</v>
      </c>
      <c r="J419" s="467">
        <f>IF(ISBLANK(I419),"",SUM(H419:I419))</f>
        <v>236.10528979999998</v>
      </c>
      <c r="K419" s="682">
        <f t="shared" si="117"/>
        <v>280.52</v>
      </c>
      <c r="L419" s="683" t="s">
        <v>20</v>
      </c>
      <c r="M419" s="685"/>
      <c r="N419" s="576">
        <f t="shared" si="123"/>
        <v>0</v>
      </c>
      <c r="O419" s="687">
        <f t="shared" si="112"/>
        <v>0</v>
      </c>
      <c r="P419" s="688">
        <f t="shared" si="113"/>
        <v>0</v>
      </c>
      <c r="Q419" s="765"/>
      <c r="R419" s="685">
        <f>M419</f>
        <v>0</v>
      </c>
      <c r="S419" s="686">
        <f>N419</f>
        <v>0</v>
      </c>
      <c r="T419" s="687">
        <f t="shared" si="110"/>
        <v>0</v>
      </c>
      <c r="U419" s="688">
        <f t="shared" si="111"/>
        <v>0</v>
      </c>
      <c r="V419" s="579"/>
      <c r="W419" s="566"/>
      <c r="X419" s="586" t="str">
        <f t="shared" si="127"/>
        <v/>
      </c>
      <c r="Y419" s="586" t="str">
        <f t="shared" si="122"/>
        <v/>
      </c>
      <c r="Z419" s="586" t="str">
        <f t="shared" si="125"/>
        <v/>
      </c>
    </row>
    <row r="420" spans="1:26" ht="12" hidden="1" thickBot="1" x14ac:dyDescent="0.25">
      <c r="A420" s="671" t="s">
        <v>168</v>
      </c>
      <c r="B420" s="644" t="s">
        <v>168</v>
      </c>
      <c r="C420" s="645"/>
      <c r="D420" s="451" t="s">
        <v>248</v>
      </c>
      <c r="E420" s="423"/>
      <c r="F420" s="424">
        <v>180</v>
      </c>
      <c r="G420" s="425">
        <v>0.1002</v>
      </c>
      <c r="H420" s="663">
        <f t="shared" ref="H420:H422" si="128">IF(F420&lt;=30,(1.07*F420+2.68)*G420,((1.07*30+2.68)+1.07*(F420-30))*G420)</f>
        <v>19.567056000000001</v>
      </c>
      <c r="I420" s="420">
        <v>0</v>
      </c>
      <c r="J420" s="420"/>
      <c r="K420" s="421">
        <f t="shared" si="117"/>
        <v>0</v>
      </c>
      <c r="L420" s="647" t="s">
        <v>614</v>
      </c>
      <c r="M420" s="703"/>
      <c r="N420" s="576">
        <f t="shared" si="123"/>
        <v>0</v>
      </c>
      <c r="O420" s="577">
        <f t="shared" si="112"/>
        <v>0</v>
      </c>
      <c r="P420" s="578">
        <f t="shared" si="113"/>
        <v>0</v>
      </c>
      <c r="Q420" s="765"/>
      <c r="R420" s="703"/>
      <c r="S420" s="670"/>
      <c r="T420" s="577">
        <f t="shared" si="110"/>
        <v>0</v>
      </c>
      <c r="U420" s="578">
        <f t="shared" si="111"/>
        <v>0</v>
      </c>
      <c r="V420" s="579"/>
      <c r="W420" s="637" t="str">
        <f>IF(U419&gt;0,"xx",IF(P419&gt;0,"xy",""))</f>
        <v/>
      </c>
      <c r="X420" s="586" t="str">
        <f t="shared" si="127"/>
        <v/>
      </c>
      <c r="Y420" s="586" t="str">
        <f t="shared" si="122"/>
        <v/>
      </c>
      <c r="Z420" s="586" t="str">
        <f t="shared" si="125"/>
        <v/>
      </c>
    </row>
    <row r="421" spans="1:26" ht="12" hidden="1" thickBot="1" x14ac:dyDescent="0.25">
      <c r="A421" s="671" t="s">
        <v>168</v>
      </c>
      <c r="B421" s="644" t="s">
        <v>168</v>
      </c>
      <c r="C421" s="645"/>
      <c r="D421" s="451" t="s">
        <v>249</v>
      </c>
      <c r="E421" s="423"/>
      <c r="F421" s="424">
        <v>500</v>
      </c>
      <c r="G421" s="425">
        <v>1.5100000000000001E-2</v>
      </c>
      <c r="H421" s="649">
        <f>IF(F421&lt;=30,(0.78*F421+7.82)*G421,((0.78*30+7.82)+0.78*(F421-30))*G421)</f>
        <v>6.0070820000000014</v>
      </c>
      <c r="I421" s="420">
        <v>0</v>
      </c>
      <c r="J421" s="420"/>
      <c r="K421" s="421">
        <f t="shared" si="117"/>
        <v>0</v>
      </c>
      <c r="L421" s="647" t="s">
        <v>614</v>
      </c>
      <c r="M421" s="703"/>
      <c r="N421" s="576">
        <f t="shared" si="123"/>
        <v>0</v>
      </c>
      <c r="O421" s="577">
        <f t="shared" si="112"/>
        <v>0</v>
      </c>
      <c r="P421" s="578">
        <f t="shared" si="113"/>
        <v>0</v>
      </c>
      <c r="Q421" s="765"/>
      <c r="R421" s="703"/>
      <c r="S421" s="670"/>
      <c r="T421" s="577">
        <f t="shared" si="110"/>
        <v>0</v>
      </c>
      <c r="U421" s="578">
        <f t="shared" si="111"/>
        <v>0</v>
      </c>
      <c r="V421" s="579"/>
      <c r="W421" s="637" t="str">
        <f>IF(U419&gt;0,"xx",IF(P419&gt;0,"xy",""))</f>
        <v/>
      </c>
      <c r="X421" s="586" t="str">
        <f t="shared" si="127"/>
        <v/>
      </c>
      <c r="Y421" s="586" t="str">
        <f t="shared" si="122"/>
        <v/>
      </c>
      <c r="Z421" s="586" t="str">
        <f t="shared" si="125"/>
        <v/>
      </c>
    </row>
    <row r="422" spans="1:26" ht="12" hidden="1" thickBot="1" x14ac:dyDescent="0.25">
      <c r="A422" s="671" t="s">
        <v>168</v>
      </c>
      <c r="B422" s="644" t="s">
        <v>168</v>
      </c>
      <c r="C422" s="645"/>
      <c r="D422" s="451" t="s">
        <v>262</v>
      </c>
      <c r="E422" s="423"/>
      <c r="F422" s="424">
        <v>0.2</v>
      </c>
      <c r="G422" s="425">
        <v>0.82969999999999999</v>
      </c>
      <c r="H422" s="663">
        <f t="shared" si="128"/>
        <v>2.4011518000000001</v>
      </c>
      <c r="I422" s="420">
        <v>0</v>
      </c>
      <c r="J422" s="420"/>
      <c r="K422" s="421">
        <f t="shared" si="117"/>
        <v>0</v>
      </c>
      <c r="L422" s="647" t="s">
        <v>614</v>
      </c>
      <c r="M422" s="703"/>
      <c r="N422" s="576">
        <f t="shared" si="123"/>
        <v>0</v>
      </c>
      <c r="O422" s="577">
        <f t="shared" si="112"/>
        <v>0</v>
      </c>
      <c r="P422" s="578">
        <f t="shared" si="113"/>
        <v>0</v>
      </c>
      <c r="Q422" s="765"/>
      <c r="R422" s="703"/>
      <c r="S422" s="670"/>
      <c r="T422" s="577">
        <f t="shared" si="110"/>
        <v>0</v>
      </c>
      <c r="U422" s="578">
        <f t="shared" si="111"/>
        <v>0</v>
      </c>
      <c r="V422" s="579"/>
      <c r="W422" s="637" t="str">
        <f>IF(U419&gt;0,"xx",IF(P419&gt;0,"xy",""))</f>
        <v/>
      </c>
      <c r="X422" s="586" t="str">
        <f t="shared" si="127"/>
        <v/>
      </c>
      <c r="Y422" s="586" t="str">
        <f t="shared" si="122"/>
        <v/>
      </c>
      <c r="Z422" s="586" t="str">
        <f t="shared" si="125"/>
        <v/>
      </c>
    </row>
    <row r="423" spans="1:26" ht="12" hidden="1" thickBot="1" x14ac:dyDescent="0.25">
      <c r="A423" s="671" t="s">
        <v>168</v>
      </c>
      <c r="B423" s="644" t="s">
        <v>168</v>
      </c>
      <c r="C423" s="645"/>
      <c r="D423" s="451" t="s">
        <v>263</v>
      </c>
      <c r="E423" s="423"/>
      <c r="F423" s="424">
        <v>20</v>
      </c>
      <c r="G423" s="425">
        <f>SUM(G419:G422)</f>
        <v>1</v>
      </c>
      <c r="H423" s="651">
        <f>IF(F423&lt;=30,(1.07*F423+6.45)*G423,((1.07*30+6.45)+1.07*(F423-30))*G423)</f>
        <v>27.85</v>
      </c>
      <c r="I423" s="420">
        <v>0</v>
      </c>
      <c r="J423" s="420"/>
      <c r="K423" s="421">
        <f t="shared" si="117"/>
        <v>0</v>
      </c>
      <c r="L423" s="647" t="s">
        <v>614</v>
      </c>
      <c r="M423" s="703"/>
      <c r="N423" s="576">
        <f t="shared" si="123"/>
        <v>0</v>
      </c>
      <c r="O423" s="577">
        <f t="shared" si="112"/>
        <v>0</v>
      </c>
      <c r="P423" s="578">
        <f t="shared" si="113"/>
        <v>0</v>
      </c>
      <c r="Q423" s="765"/>
      <c r="R423" s="703"/>
      <c r="S423" s="670"/>
      <c r="T423" s="577">
        <f t="shared" si="110"/>
        <v>0</v>
      </c>
      <c r="U423" s="578">
        <f t="shared" si="111"/>
        <v>0</v>
      </c>
      <c r="V423" s="579"/>
      <c r="W423" s="637" t="str">
        <f>IF(U419&gt;0,"xx",IF(P419&gt;0,"xy",""))</f>
        <v/>
      </c>
      <c r="X423" s="586" t="str">
        <f t="shared" si="127"/>
        <v/>
      </c>
      <c r="Y423" s="586" t="str">
        <f t="shared" si="122"/>
        <v/>
      </c>
      <c r="Z423" s="586" t="str">
        <f t="shared" si="125"/>
        <v/>
      </c>
    </row>
    <row r="424" spans="1:26" ht="12" hidden="1" thickBot="1" x14ac:dyDescent="0.25">
      <c r="A424" s="671">
        <v>589000</v>
      </c>
      <c r="B424" s="704" t="s">
        <v>1794</v>
      </c>
      <c r="C424" s="689" t="s">
        <v>1746</v>
      </c>
      <c r="D424" s="477" t="s">
        <v>660</v>
      </c>
      <c r="E424" s="470"/>
      <c r="F424" s="478">
        <v>500</v>
      </c>
      <c r="G424" s="479">
        <v>1</v>
      </c>
      <c r="H424" s="663">
        <f>(0.94*F424+46.06)*G424</f>
        <v>516.05999999999995</v>
      </c>
      <c r="I424" s="472">
        <v>5725</v>
      </c>
      <c r="J424" s="472">
        <f>IF(ISBLANK(I424),"",I424*(1+$F$9)/(1+$F$10))+H424</f>
        <v>6070.962785960779</v>
      </c>
      <c r="K424" s="690">
        <f t="shared" si="117"/>
        <v>7212.91</v>
      </c>
      <c r="L424" s="691" t="s">
        <v>20</v>
      </c>
      <c r="M424" s="692">
        <f>ROUND(M419*G419,2)</f>
        <v>0</v>
      </c>
      <c r="N424" s="588">
        <f t="shared" si="123"/>
        <v>0</v>
      </c>
      <c r="O424" s="693">
        <f t="shared" si="112"/>
        <v>0</v>
      </c>
      <c r="P424" s="694">
        <f t="shared" si="113"/>
        <v>0</v>
      </c>
      <c r="Q424" s="765"/>
      <c r="R424" s="695">
        <f>ROUND(R419*G419,2)</f>
        <v>0</v>
      </c>
      <c r="S424" s="711">
        <f>N424</f>
        <v>0</v>
      </c>
      <c r="T424" s="693">
        <f t="shared" si="110"/>
        <v>0</v>
      </c>
      <c r="U424" s="694">
        <f t="shared" si="111"/>
        <v>0</v>
      </c>
      <c r="V424" s="579"/>
      <c r="W424" s="637" t="str">
        <f>IF(U419&gt;0,"xx",IF(P419&gt;0,"xy",""))</f>
        <v/>
      </c>
      <c r="X424" s="586" t="str">
        <f t="shared" si="127"/>
        <v/>
      </c>
      <c r="Y424" s="586" t="str">
        <f t="shared" si="122"/>
        <v/>
      </c>
      <c r="Z424" s="586" t="str">
        <f t="shared" si="125"/>
        <v/>
      </c>
    </row>
    <row r="425" spans="1:26" ht="12" hidden="1" thickBot="1" x14ac:dyDescent="0.25">
      <c r="A425" s="671">
        <v>570400</v>
      </c>
      <c r="B425" s="701" t="s">
        <v>1795</v>
      </c>
      <c r="C425" s="702" t="s">
        <v>206</v>
      </c>
      <c r="D425" s="463" t="s">
        <v>2105</v>
      </c>
      <c r="E425" s="464"/>
      <c r="F425" s="465" t="s">
        <v>662</v>
      </c>
      <c r="G425" s="466">
        <v>5.7000000000000002E-2</v>
      </c>
      <c r="H425" s="681">
        <f>SUM(H426:H429)</f>
        <v>55.741532000000007</v>
      </c>
      <c r="I425" s="467">
        <v>180.27999999999997</v>
      </c>
      <c r="J425" s="467">
        <f>IF(ISBLANK(I425),"",SUM(H425:I425))</f>
        <v>236.02153199999998</v>
      </c>
      <c r="K425" s="682">
        <f t="shared" si="117"/>
        <v>280.42</v>
      </c>
      <c r="L425" s="683" t="s">
        <v>20</v>
      </c>
      <c r="M425" s="685"/>
      <c r="N425" s="686">
        <f t="shared" si="123"/>
        <v>0</v>
      </c>
      <c r="O425" s="687">
        <f t="shared" si="112"/>
        <v>0</v>
      </c>
      <c r="P425" s="688">
        <f t="shared" si="113"/>
        <v>0</v>
      </c>
      <c r="Q425" s="765"/>
      <c r="R425" s="685">
        <f>M425</f>
        <v>0</v>
      </c>
      <c r="S425" s="686">
        <f>N425</f>
        <v>0</v>
      </c>
      <c r="T425" s="687">
        <f t="shared" si="110"/>
        <v>0</v>
      </c>
      <c r="U425" s="688">
        <f t="shared" si="111"/>
        <v>0</v>
      </c>
      <c r="V425" s="579"/>
      <c r="W425" s="566"/>
      <c r="X425" s="586" t="str">
        <f t="shared" si="127"/>
        <v/>
      </c>
      <c r="Y425" s="586" t="str">
        <f t="shared" si="122"/>
        <v/>
      </c>
      <c r="Z425" s="586" t="str">
        <f t="shared" si="125"/>
        <v/>
      </c>
    </row>
    <row r="426" spans="1:26" ht="12" hidden="1" thickBot="1" x14ac:dyDescent="0.25">
      <c r="A426" s="671" t="s">
        <v>168</v>
      </c>
      <c r="B426" s="644" t="s">
        <v>168</v>
      </c>
      <c r="C426" s="645"/>
      <c r="D426" s="451" t="s">
        <v>248</v>
      </c>
      <c r="E426" s="423"/>
      <c r="F426" s="424">
        <v>180</v>
      </c>
      <c r="G426" s="425">
        <v>0.1</v>
      </c>
      <c r="H426" s="663">
        <f t="shared" ref="H426:H428" si="129">IF(F426&lt;=30,(1.07*F426+2.68)*G426,((1.07*30+2.68)+1.07*(F426-30))*G426)</f>
        <v>19.528000000000002</v>
      </c>
      <c r="I426" s="420">
        <v>0</v>
      </c>
      <c r="J426" s="420"/>
      <c r="K426" s="421">
        <f t="shared" si="117"/>
        <v>0</v>
      </c>
      <c r="L426" s="647" t="s">
        <v>614</v>
      </c>
      <c r="M426" s="703"/>
      <c r="N426" s="576">
        <f t="shared" si="123"/>
        <v>0</v>
      </c>
      <c r="O426" s="577">
        <f t="shared" si="112"/>
        <v>0</v>
      </c>
      <c r="P426" s="578">
        <f t="shared" si="113"/>
        <v>0</v>
      </c>
      <c r="Q426" s="765"/>
      <c r="R426" s="703"/>
      <c r="S426" s="670"/>
      <c r="T426" s="577">
        <f t="shared" si="110"/>
        <v>0</v>
      </c>
      <c r="U426" s="578">
        <f t="shared" si="111"/>
        <v>0</v>
      </c>
      <c r="V426" s="579"/>
      <c r="W426" s="637" t="str">
        <f>IF(U425&gt;0,"xx",IF(P425&gt;0,"xy",""))</f>
        <v/>
      </c>
      <c r="X426" s="586" t="str">
        <f t="shared" si="127"/>
        <v/>
      </c>
      <c r="Y426" s="586" t="str">
        <f t="shared" si="122"/>
        <v/>
      </c>
      <c r="Z426" s="586" t="str">
        <f t="shared" si="125"/>
        <v/>
      </c>
    </row>
    <row r="427" spans="1:26" ht="12" hidden="1" thickBot="1" x14ac:dyDescent="0.25">
      <c r="A427" s="671" t="s">
        <v>168</v>
      </c>
      <c r="B427" s="644" t="s">
        <v>168</v>
      </c>
      <c r="C427" s="645"/>
      <c r="D427" s="451" t="s">
        <v>249</v>
      </c>
      <c r="E427" s="423"/>
      <c r="F427" s="424">
        <v>500</v>
      </c>
      <c r="G427" s="425">
        <v>1.4999999999999999E-2</v>
      </c>
      <c r="H427" s="649">
        <f>IF(F427&lt;=30,(0.78*F427+7.82)*G427,((0.78*30+7.82)+0.78*(F427-30))*G427)</f>
        <v>5.9673000000000007</v>
      </c>
      <c r="I427" s="420">
        <v>0</v>
      </c>
      <c r="J427" s="420"/>
      <c r="K427" s="421">
        <f t="shared" si="117"/>
        <v>0</v>
      </c>
      <c r="L427" s="647" t="s">
        <v>614</v>
      </c>
      <c r="M427" s="703"/>
      <c r="N427" s="576">
        <f t="shared" si="123"/>
        <v>0</v>
      </c>
      <c r="O427" s="577">
        <f t="shared" si="112"/>
        <v>0</v>
      </c>
      <c r="P427" s="578">
        <f t="shared" si="113"/>
        <v>0</v>
      </c>
      <c r="Q427" s="765"/>
      <c r="R427" s="703"/>
      <c r="S427" s="670"/>
      <c r="T427" s="577">
        <f t="shared" si="110"/>
        <v>0</v>
      </c>
      <c r="U427" s="578">
        <f t="shared" si="111"/>
        <v>0</v>
      </c>
      <c r="V427" s="579"/>
      <c r="W427" s="637" t="str">
        <f>IF(U425&gt;0,"xx",IF(P425&gt;0,"xy",""))</f>
        <v/>
      </c>
      <c r="X427" s="586" t="str">
        <f t="shared" si="127"/>
        <v/>
      </c>
      <c r="Y427" s="586" t="str">
        <f t="shared" si="122"/>
        <v/>
      </c>
      <c r="Z427" s="586" t="str">
        <f t="shared" si="125"/>
        <v/>
      </c>
    </row>
    <row r="428" spans="1:26" ht="12" hidden="1" thickBot="1" x14ac:dyDescent="0.25">
      <c r="A428" s="671" t="s">
        <v>168</v>
      </c>
      <c r="B428" s="644" t="s">
        <v>168</v>
      </c>
      <c r="C428" s="645"/>
      <c r="D428" s="451" t="s">
        <v>262</v>
      </c>
      <c r="E428" s="423"/>
      <c r="F428" s="424">
        <v>0.2</v>
      </c>
      <c r="G428" s="425">
        <v>0.82799999999999996</v>
      </c>
      <c r="H428" s="663">
        <f t="shared" si="129"/>
        <v>2.3962319999999999</v>
      </c>
      <c r="I428" s="420">
        <v>0</v>
      </c>
      <c r="J428" s="420"/>
      <c r="K428" s="421">
        <f t="shared" si="117"/>
        <v>0</v>
      </c>
      <c r="L428" s="647" t="s">
        <v>614</v>
      </c>
      <c r="M428" s="703"/>
      <c r="N428" s="576">
        <f t="shared" si="123"/>
        <v>0</v>
      </c>
      <c r="O428" s="577">
        <f t="shared" si="112"/>
        <v>0</v>
      </c>
      <c r="P428" s="578">
        <f t="shared" si="113"/>
        <v>0</v>
      </c>
      <c r="Q428" s="765"/>
      <c r="R428" s="703"/>
      <c r="S428" s="670"/>
      <c r="T428" s="577">
        <f t="shared" ref="T428:T548" si="130">IF(ISBLANK(R428),0,ROUND(K428*R428,2))</f>
        <v>0</v>
      </c>
      <c r="U428" s="578">
        <f t="shared" ref="U428:U548" si="131">IF(ISBLANK(R428),0,ROUND(R428*S428,2))</f>
        <v>0</v>
      </c>
      <c r="V428" s="579"/>
      <c r="W428" s="637" t="str">
        <f>IF(U425&gt;0,"xx",IF(P425&gt;0,"xy",""))</f>
        <v/>
      </c>
      <c r="X428" s="586" t="str">
        <f t="shared" si="127"/>
        <v/>
      </c>
      <c r="Y428" s="586" t="str">
        <f t="shared" si="122"/>
        <v/>
      </c>
      <c r="Z428" s="586" t="str">
        <f t="shared" si="125"/>
        <v/>
      </c>
    </row>
    <row r="429" spans="1:26" ht="12" hidden="1" thickBot="1" x14ac:dyDescent="0.25">
      <c r="A429" s="671" t="s">
        <v>168</v>
      </c>
      <c r="B429" s="644" t="s">
        <v>168</v>
      </c>
      <c r="C429" s="645"/>
      <c r="D429" s="451" t="s">
        <v>263</v>
      </c>
      <c r="E429" s="423"/>
      <c r="F429" s="424">
        <v>20</v>
      </c>
      <c r="G429" s="425">
        <f>SUM(G425:G428)</f>
        <v>1</v>
      </c>
      <c r="H429" s="651">
        <f>IF(F429&lt;=30,(1.07*F429+6.45)*G429,((1.07*30+6.45)+1.07*(F429-30))*G429)</f>
        <v>27.85</v>
      </c>
      <c r="I429" s="420">
        <v>0</v>
      </c>
      <c r="J429" s="420"/>
      <c r="K429" s="421">
        <f t="shared" si="117"/>
        <v>0</v>
      </c>
      <c r="L429" s="647" t="s">
        <v>614</v>
      </c>
      <c r="M429" s="703"/>
      <c r="N429" s="576">
        <f t="shared" si="123"/>
        <v>0</v>
      </c>
      <c r="O429" s="577">
        <f t="shared" ref="O429:O549" si="132">IF(ISBLANK(M429),0,ROUND(K429*M429,2))</f>
        <v>0</v>
      </c>
      <c r="P429" s="578">
        <f t="shared" ref="P429:P549" si="133">IF(ISBLANK(N429),0,ROUND(M429*N429,2))</f>
        <v>0</v>
      </c>
      <c r="Q429" s="765"/>
      <c r="R429" s="703"/>
      <c r="S429" s="670"/>
      <c r="T429" s="577">
        <f t="shared" si="130"/>
        <v>0</v>
      </c>
      <c r="U429" s="578">
        <f t="shared" si="131"/>
        <v>0</v>
      </c>
      <c r="V429" s="579"/>
      <c r="W429" s="637" t="str">
        <f>IF(U425&gt;0,"xx",IF(P425&gt;0,"xy",""))</f>
        <v/>
      </c>
      <c r="X429" s="586" t="str">
        <f t="shared" si="127"/>
        <v/>
      </c>
      <c r="Y429" s="586" t="str">
        <f t="shared" si="122"/>
        <v/>
      </c>
      <c r="Z429" s="586" t="str">
        <f t="shared" si="125"/>
        <v/>
      </c>
    </row>
    <row r="430" spans="1:26" ht="12" hidden="1" thickBot="1" x14ac:dyDescent="0.25">
      <c r="A430" s="671">
        <v>589000</v>
      </c>
      <c r="B430" s="704" t="s">
        <v>1796</v>
      </c>
      <c r="C430" s="689" t="s">
        <v>1746</v>
      </c>
      <c r="D430" s="477" t="s">
        <v>660</v>
      </c>
      <c r="E430" s="470"/>
      <c r="F430" s="478">
        <v>500</v>
      </c>
      <c r="G430" s="479">
        <v>1</v>
      </c>
      <c r="H430" s="663">
        <f>(0.94*F430+46.06)*G430</f>
        <v>516.05999999999995</v>
      </c>
      <c r="I430" s="472">
        <v>5725</v>
      </c>
      <c r="J430" s="472">
        <f>IF(ISBLANK(I430),"",I430*(1+$F$9)/(1+$F$10))+H430</f>
        <v>6070.962785960779</v>
      </c>
      <c r="K430" s="690">
        <f t="shared" si="117"/>
        <v>7212.91</v>
      </c>
      <c r="L430" s="691" t="s">
        <v>20</v>
      </c>
      <c r="M430" s="692">
        <f>ROUND(M425*G425,2)</f>
        <v>0</v>
      </c>
      <c r="N430" s="696">
        <f t="shared" si="123"/>
        <v>0</v>
      </c>
      <c r="O430" s="693">
        <f t="shared" si="132"/>
        <v>0</v>
      </c>
      <c r="P430" s="694">
        <f t="shared" si="133"/>
        <v>0</v>
      </c>
      <c r="Q430" s="765"/>
      <c r="R430" s="695">
        <f>ROUND(R425*G425,2)</f>
        <v>0</v>
      </c>
      <c r="S430" s="711">
        <f>N430</f>
        <v>0</v>
      </c>
      <c r="T430" s="693">
        <f t="shared" si="130"/>
        <v>0</v>
      </c>
      <c r="U430" s="694">
        <f t="shared" si="131"/>
        <v>0</v>
      </c>
      <c r="V430" s="579"/>
      <c r="W430" s="637" t="str">
        <f>IF(U425&gt;0,"xx",IF(P425&gt;0,"xy",""))</f>
        <v/>
      </c>
      <c r="X430" s="586" t="str">
        <f t="shared" si="127"/>
        <v/>
      </c>
      <c r="Y430" s="586" t="str">
        <f t="shared" si="122"/>
        <v/>
      </c>
      <c r="Z430" s="586" t="str">
        <f t="shared" si="125"/>
        <v/>
      </c>
    </row>
    <row r="431" spans="1:26" ht="26.25" hidden="1" customHeight="1" x14ac:dyDescent="0.2">
      <c r="A431" s="671">
        <v>570360</v>
      </c>
      <c r="B431" s="701">
        <v>570360</v>
      </c>
      <c r="C431" s="702" t="s">
        <v>206</v>
      </c>
      <c r="D431" s="463" t="s">
        <v>264</v>
      </c>
      <c r="E431" s="464"/>
      <c r="F431" s="487" t="s">
        <v>664</v>
      </c>
      <c r="G431" s="466">
        <v>5.8999999999999997E-2</v>
      </c>
      <c r="H431" s="681">
        <f>SUM(H432:H435)</f>
        <v>55.735744000000004</v>
      </c>
      <c r="I431" s="467">
        <v>189.82</v>
      </c>
      <c r="J431" s="467">
        <f>IF(ISBLANK(I431),"",SUM(H431:I431))</f>
        <v>245.555744</v>
      </c>
      <c r="K431" s="682">
        <f t="shared" si="117"/>
        <v>291.74</v>
      </c>
      <c r="L431" s="683" t="s">
        <v>20</v>
      </c>
      <c r="M431" s="685"/>
      <c r="N431" s="576">
        <f t="shared" si="123"/>
        <v>0</v>
      </c>
      <c r="O431" s="687">
        <f t="shared" si="132"/>
        <v>0</v>
      </c>
      <c r="P431" s="688">
        <f t="shared" si="133"/>
        <v>0</v>
      </c>
      <c r="Q431" s="765"/>
      <c r="R431" s="685">
        <f>M431</f>
        <v>0</v>
      </c>
      <c r="S431" s="686">
        <f>N431</f>
        <v>0</v>
      </c>
      <c r="T431" s="687">
        <f t="shared" si="130"/>
        <v>0</v>
      </c>
      <c r="U431" s="688">
        <f t="shared" si="131"/>
        <v>0</v>
      </c>
      <c r="V431" s="579"/>
      <c r="W431" s="566"/>
      <c r="X431" s="586" t="str">
        <f t="shared" si="127"/>
        <v/>
      </c>
      <c r="Y431" s="586" t="str">
        <f t="shared" si="122"/>
        <v/>
      </c>
      <c r="Z431" s="586" t="str">
        <f t="shared" si="125"/>
        <v/>
      </c>
    </row>
    <row r="432" spans="1:26" ht="12" hidden="1" thickBot="1" x14ac:dyDescent="0.25">
      <c r="A432" s="671" t="s">
        <v>168</v>
      </c>
      <c r="B432" s="644" t="s">
        <v>168</v>
      </c>
      <c r="C432" s="645"/>
      <c r="D432" s="451" t="s">
        <v>248</v>
      </c>
      <c r="E432" s="423"/>
      <c r="F432" s="424">
        <v>180</v>
      </c>
      <c r="G432" s="425">
        <v>0.1</v>
      </c>
      <c r="H432" s="663">
        <f t="shared" ref="H432:H434" si="134">IF(F432&lt;=30,(1.07*F432+2.68)*G432,((1.07*30+2.68)+1.07*(F432-30))*G432)</f>
        <v>19.528000000000002</v>
      </c>
      <c r="I432" s="420">
        <v>0</v>
      </c>
      <c r="J432" s="420"/>
      <c r="K432" s="421">
        <f t="shared" si="117"/>
        <v>0</v>
      </c>
      <c r="L432" s="647" t="s">
        <v>614</v>
      </c>
      <c r="M432" s="703"/>
      <c r="N432" s="576">
        <f t="shared" si="123"/>
        <v>0</v>
      </c>
      <c r="O432" s="577">
        <f t="shared" si="132"/>
        <v>0</v>
      </c>
      <c r="P432" s="578">
        <f t="shared" si="133"/>
        <v>0</v>
      </c>
      <c r="Q432" s="765"/>
      <c r="R432" s="703"/>
      <c r="S432" s="670"/>
      <c r="T432" s="577">
        <f t="shared" si="130"/>
        <v>0</v>
      </c>
      <c r="U432" s="578">
        <f t="shared" si="131"/>
        <v>0</v>
      </c>
      <c r="V432" s="579"/>
      <c r="W432" s="637" t="str">
        <f>IF(U431&gt;0,"xx",IF(P431&gt;0,"xy",""))</f>
        <v/>
      </c>
      <c r="X432" s="586" t="str">
        <f t="shared" si="127"/>
        <v/>
      </c>
      <c r="Y432" s="586" t="str">
        <f>IF(W432="X","x",IF(W432="y","x",IF(W432="xx","x",IF(U432&gt;0,"x",""))))</f>
        <v/>
      </c>
      <c r="Z432" s="586" t="str">
        <f t="shared" si="125"/>
        <v/>
      </c>
    </row>
    <row r="433" spans="1:26" ht="12" hidden="1" thickBot="1" x14ac:dyDescent="0.25">
      <c r="A433" s="671" t="s">
        <v>168</v>
      </c>
      <c r="B433" s="644" t="s">
        <v>168</v>
      </c>
      <c r="C433" s="645"/>
      <c r="D433" s="451" t="s">
        <v>249</v>
      </c>
      <c r="E433" s="423"/>
      <c r="F433" s="424">
        <v>500</v>
      </c>
      <c r="G433" s="425">
        <v>1.4999999999999999E-2</v>
      </c>
      <c r="H433" s="649">
        <f>IF(F433&lt;=30,(0.78*F433+7.82)*G433,((0.78*30+7.82)+0.78*(F433-30))*G433)</f>
        <v>5.9673000000000007</v>
      </c>
      <c r="I433" s="420">
        <v>0</v>
      </c>
      <c r="J433" s="420"/>
      <c r="K433" s="421">
        <f t="shared" si="117"/>
        <v>0</v>
      </c>
      <c r="L433" s="647" t="s">
        <v>614</v>
      </c>
      <c r="M433" s="703"/>
      <c r="N433" s="576">
        <f t="shared" si="123"/>
        <v>0</v>
      </c>
      <c r="O433" s="577">
        <f t="shared" si="132"/>
        <v>0</v>
      </c>
      <c r="P433" s="578">
        <f t="shared" si="133"/>
        <v>0</v>
      </c>
      <c r="Q433" s="765"/>
      <c r="R433" s="703"/>
      <c r="S433" s="670"/>
      <c r="T433" s="577">
        <f t="shared" si="130"/>
        <v>0</v>
      </c>
      <c r="U433" s="578">
        <f t="shared" si="131"/>
        <v>0</v>
      </c>
      <c r="V433" s="579"/>
      <c r="W433" s="637" t="str">
        <f>IF(U431&gt;0,"xx",IF(P431&gt;0,"xy",""))</f>
        <v/>
      </c>
      <c r="X433" s="586" t="str">
        <f t="shared" si="127"/>
        <v/>
      </c>
      <c r="Y433" s="586" t="str">
        <f>IF(W433="X","x",IF(W433="y","x",IF(W433="xx","x",IF(U433&gt;0,"x",""))))</f>
        <v/>
      </c>
      <c r="Z433" s="586" t="str">
        <f t="shared" si="125"/>
        <v/>
      </c>
    </row>
    <row r="434" spans="1:26" ht="12" hidden="1" thickBot="1" x14ac:dyDescent="0.25">
      <c r="A434" s="671" t="s">
        <v>168</v>
      </c>
      <c r="B434" s="644" t="s">
        <v>168</v>
      </c>
      <c r="C434" s="645"/>
      <c r="D434" s="451" t="s">
        <v>262</v>
      </c>
      <c r="E434" s="423"/>
      <c r="F434" s="424">
        <v>0.2</v>
      </c>
      <c r="G434" s="425">
        <v>0.82599999999999996</v>
      </c>
      <c r="H434" s="663">
        <f t="shared" si="134"/>
        <v>2.390444</v>
      </c>
      <c r="I434" s="420">
        <v>0</v>
      </c>
      <c r="J434" s="420"/>
      <c r="K434" s="421">
        <f t="shared" si="117"/>
        <v>0</v>
      </c>
      <c r="L434" s="647" t="s">
        <v>614</v>
      </c>
      <c r="M434" s="703"/>
      <c r="N434" s="576">
        <f t="shared" si="123"/>
        <v>0</v>
      </c>
      <c r="O434" s="577">
        <f t="shared" si="132"/>
        <v>0</v>
      </c>
      <c r="P434" s="578">
        <f t="shared" si="133"/>
        <v>0</v>
      </c>
      <c r="Q434" s="765"/>
      <c r="R434" s="703"/>
      <c r="S434" s="670"/>
      <c r="T434" s="577">
        <f t="shared" si="130"/>
        <v>0</v>
      </c>
      <c r="U434" s="578">
        <f t="shared" si="131"/>
        <v>0</v>
      </c>
      <c r="V434" s="579"/>
      <c r="W434" s="637" t="str">
        <f>IF(U431&gt;0,"xx",IF(P431&gt;0,"xy",""))</f>
        <v/>
      </c>
      <c r="X434" s="586" t="str">
        <f t="shared" si="127"/>
        <v/>
      </c>
      <c r="Y434" s="586" t="str">
        <f>IF(W434="X","x",IF(W434="y","x",IF(W434="xx","x",IF(U434&gt;0,"x",""))))</f>
        <v/>
      </c>
      <c r="Z434" s="586" t="str">
        <f t="shared" si="125"/>
        <v/>
      </c>
    </row>
    <row r="435" spans="1:26" ht="12" hidden="1" thickBot="1" x14ac:dyDescent="0.25">
      <c r="A435" s="671" t="s">
        <v>168</v>
      </c>
      <c r="B435" s="644" t="s">
        <v>168</v>
      </c>
      <c r="C435" s="645"/>
      <c r="D435" s="451" t="s">
        <v>263</v>
      </c>
      <c r="E435" s="423"/>
      <c r="F435" s="424">
        <v>20</v>
      </c>
      <c r="G435" s="425">
        <f>SUM(G431:G434)</f>
        <v>1</v>
      </c>
      <c r="H435" s="651">
        <f>IF(F435&lt;=30,(1.07*F435+6.45)*G435,((1.07*30+6.45)+1.07*(F435-30))*G435)</f>
        <v>27.85</v>
      </c>
      <c r="I435" s="420">
        <v>0</v>
      </c>
      <c r="J435" s="420"/>
      <c r="K435" s="421">
        <f t="shared" si="117"/>
        <v>0</v>
      </c>
      <c r="L435" s="647" t="s">
        <v>614</v>
      </c>
      <c r="M435" s="703"/>
      <c r="N435" s="576">
        <f t="shared" si="123"/>
        <v>0</v>
      </c>
      <c r="O435" s="577">
        <f t="shared" si="132"/>
        <v>0</v>
      </c>
      <c r="P435" s="578">
        <f t="shared" si="133"/>
        <v>0</v>
      </c>
      <c r="Q435" s="765"/>
      <c r="R435" s="703"/>
      <c r="S435" s="670"/>
      <c r="T435" s="577">
        <f t="shared" si="130"/>
        <v>0</v>
      </c>
      <c r="U435" s="578">
        <f t="shared" si="131"/>
        <v>0</v>
      </c>
      <c r="V435" s="579"/>
      <c r="W435" s="637" t="str">
        <f>IF(U431&gt;0,"xx",IF(P431&gt;0,"xy",""))</f>
        <v/>
      </c>
      <c r="X435" s="586" t="str">
        <f t="shared" si="127"/>
        <v/>
      </c>
      <c r="Y435" s="586" t="str">
        <f>IF(W435="X","x",IF(W435="y","x",IF(W435="xx","x",IF(U435&gt;0,"x",""))))</f>
        <v/>
      </c>
      <c r="Z435" s="586" t="str">
        <f t="shared" si="125"/>
        <v/>
      </c>
    </row>
    <row r="436" spans="1:26" ht="12" hidden="1" thickBot="1" x14ac:dyDescent="0.25">
      <c r="A436" s="671">
        <v>589040</v>
      </c>
      <c r="B436" s="704">
        <v>589040</v>
      </c>
      <c r="C436" s="689" t="s">
        <v>1746</v>
      </c>
      <c r="D436" s="477" t="s">
        <v>2069</v>
      </c>
      <c r="E436" s="470"/>
      <c r="F436" s="478">
        <v>500</v>
      </c>
      <c r="G436" s="479">
        <v>1</v>
      </c>
      <c r="H436" s="663">
        <f>(0.94*F436+46.06)*G436</f>
        <v>516.05999999999995</v>
      </c>
      <c r="I436" s="472">
        <v>7130</v>
      </c>
      <c r="J436" s="472">
        <f>IF(ISBLANK(I436),"",I436*(1+$F$9)/(1+$F$10))+H436</f>
        <v>7434.2184041747332</v>
      </c>
      <c r="K436" s="690">
        <f t="shared" si="117"/>
        <v>8832.59</v>
      </c>
      <c r="L436" s="691" t="s">
        <v>20</v>
      </c>
      <c r="M436" s="692">
        <f>ROUND(M431*G431,2)</f>
        <v>0</v>
      </c>
      <c r="N436" s="588">
        <f t="shared" si="123"/>
        <v>0</v>
      </c>
      <c r="O436" s="693">
        <f t="shared" si="132"/>
        <v>0</v>
      </c>
      <c r="P436" s="694">
        <f t="shared" si="133"/>
        <v>0</v>
      </c>
      <c r="Q436" s="765"/>
      <c r="R436" s="695">
        <f>ROUND(R431*G431,2)</f>
        <v>0</v>
      </c>
      <c r="S436" s="711">
        <f>N436</f>
        <v>0</v>
      </c>
      <c r="T436" s="693">
        <f t="shared" si="130"/>
        <v>0</v>
      </c>
      <c r="U436" s="694">
        <f t="shared" si="131"/>
        <v>0</v>
      </c>
      <c r="V436" s="579"/>
      <c r="W436" s="637" t="str">
        <f>IF(U431&gt;0,"xx",IF(P431&gt;0,"xy",""))</f>
        <v/>
      </c>
      <c r="X436" s="586" t="str">
        <f t="shared" si="127"/>
        <v/>
      </c>
      <c r="Y436" s="586" t="str">
        <f t="shared" si="122"/>
        <v/>
      </c>
      <c r="Z436" s="586" t="str">
        <f t="shared" si="125"/>
        <v/>
      </c>
    </row>
    <row r="437" spans="1:26" ht="23.25" hidden="1" thickBot="1" x14ac:dyDescent="0.25">
      <c r="A437" s="567">
        <v>570350</v>
      </c>
      <c r="B437" s="701">
        <v>570350</v>
      </c>
      <c r="C437" s="702" t="s">
        <v>206</v>
      </c>
      <c r="D437" s="463" t="s">
        <v>1704</v>
      </c>
      <c r="E437" s="464"/>
      <c r="F437" s="487" t="s">
        <v>665</v>
      </c>
      <c r="G437" s="466">
        <v>0.06</v>
      </c>
      <c r="H437" s="681">
        <f>SUM(H438:H441)</f>
        <v>55.732850000000006</v>
      </c>
      <c r="I437" s="467">
        <v>200.61</v>
      </c>
      <c r="J437" s="467">
        <f>IF(ISBLANK(I437),"",SUM(H437:I437))</f>
        <v>256.34285</v>
      </c>
      <c r="K437" s="682">
        <f t="shared" si="117"/>
        <v>304.56</v>
      </c>
      <c r="L437" s="683" t="s">
        <v>666</v>
      </c>
      <c r="M437" s="685"/>
      <c r="N437" s="686">
        <f t="shared" si="123"/>
        <v>0</v>
      </c>
      <c r="O437" s="687">
        <f t="shared" si="132"/>
        <v>0</v>
      </c>
      <c r="P437" s="688">
        <f t="shared" si="133"/>
        <v>0</v>
      </c>
      <c r="Q437" s="765"/>
      <c r="R437" s="685">
        <f>M437</f>
        <v>0</v>
      </c>
      <c r="S437" s="686">
        <f>N437</f>
        <v>0</v>
      </c>
      <c r="T437" s="687">
        <f t="shared" si="130"/>
        <v>0</v>
      </c>
      <c r="U437" s="688">
        <f t="shared" si="131"/>
        <v>0</v>
      </c>
      <c r="V437" s="579"/>
      <c r="W437" s="566"/>
      <c r="X437" s="586" t="str">
        <f t="shared" si="127"/>
        <v/>
      </c>
      <c r="Y437" s="586" t="str">
        <f t="shared" si="122"/>
        <v/>
      </c>
      <c r="Z437" s="586" t="str">
        <f t="shared" si="125"/>
        <v/>
      </c>
    </row>
    <row r="438" spans="1:26" ht="12" hidden="1" thickBot="1" x14ac:dyDescent="0.25">
      <c r="A438" s="567" t="s">
        <v>168</v>
      </c>
      <c r="B438" s="644" t="s">
        <v>168</v>
      </c>
      <c r="C438" s="645"/>
      <c r="D438" s="451" t="s">
        <v>248</v>
      </c>
      <c r="E438" s="423"/>
      <c r="F438" s="424">
        <v>180</v>
      </c>
      <c r="G438" s="425">
        <v>0.1</v>
      </c>
      <c r="H438" s="663">
        <f t="shared" ref="H438:H440" si="135">IF(F438&lt;=30,(1.07*F438+2.68)*G438,((1.07*30+2.68)+1.07*(F438-30))*G438)</f>
        <v>19.528000000000002</v>
      </c>
      <c r="I438" s="420">
        <v>0</v>
      </c>
      <c r="J438" s="420"/>
      <c r="K438" s="421">
        <f t="shared" si="117"/>
        <v>0</v>
      </c>
      <c r="L438" s="647" t="s">
        <v>614</v>
      </c>
      <c r="M438" s="703"/>
      <c r="N438" s="576">
        <f t="shared" si="123"/>
        <v>0</v>
      </c>
      <c r="O438" s="577">
        <f t="shared" si="132"/>
        <v>0</v>
      </c>
      <c r="P438" s="578">
        <f t="shared" si="133"/>
        <v>0</v>
      </c>
      <c r="Q438" s="765"/>
      <c r="R438" s="703"/>
      <c r="S438" s="670"/>
      <c r="T438" s="577">
        <f t="shared" si="130"/>
        <v>0</v>
      </c>
      <c r="U438" s="578">
        <f t="shared" si="131"/>
        <v>0</v>
      </c>
      <c r="V438" s="579"/>
      <c r="W438" s="637" t="str">
        <f>IF(U437&gt;0,"xx",IF(P437&gt;0,"xy",""))</f>
        <v/>
      </c>
      <c r="X438" s="586" t="str">
        <f t="shared" si="127"/>
        <v/>
      </c>
      <c r="Y438" s="586" t="str">
        <f t="shared" si="122"/>
        <v/>
      </c>
      <c r="Z438" s="586" t="str">
        <f t="shared" si="125"/>
        <v/>
      </c>
    </row>
    <row r="439" spans="1:26" ht="12" hidden="1" thickBot="1" x14ac:dyDescent="0.25">
      <c r="A439" s="567" t="s">
        <v>168</v>
      </c>
      <c r="B439" s="644" t="s">
        <v>168</v>
      </c>
      <c r="C439" s="645"/>
      <c r="D439" s="451" t="s">
        <v>249</v>
      </c>
      <c r="E439" s="423"/>
      <c r="F439" s="424">
        <v>500</v>
      </c>
      <c r="G439" s="425">
        <v>1.4999999999999999E-2</v>
      </c>
      <c r="H439" s="649">
        <f>IF(F439&lt;=30,(0.78*F439+7.82)*G439,((0.78*30+7.82)+0.78*(F439-30))*G439)</f>
        <v>5.9673000000000007</v>
      </c>
      <c r="I439" s="420">
        <v>0</v>
      </c>
      <c r="J439" s="420"/>
      <c r="K439" s="421">
        <f t="shared" si="117"/>
        <v>0</v>
      </c>
      <c r="L439" s="647" t="s">
        <v>614</v>
      </c>
      <c r="M439" s="703"/>
      <c r="N439" s="576">
        <f t="shared" si="123"/>
        <v>0</v>
      </c>
      <c r="O439" s="577">
        <f t="shared" si="132"/>
        <v>0</v>
      </c>
      <c r="P439" s="578">
        <f t="shared" si="133"/>
        <v>0</v>
      </c>
      <c r="Q439" s="765"/>
      <c r="R439" s="703"/>
      <c r="S439" s="670"/>
      <c r="T439" s="577">
        <f t="shared" si="130"/>
        <v>0</v>
      </c>
      <c r="U439" s="578">
        <f t="shared" si="131"/>
        <v>0</v>
      </c>
      <c r="V439" s="579"/>
      <c r="W439" s="637" t="str">
        <f>IF(U437&gt;0,"xx",IF(P437&gt;0,"xy",""))</f>
        <v/>
      </c>
      <c r="X439" s="586" t="str">
        <f t="shared" si="127"/>
        <v/>
      </c>
      <c r="Y439" s="586" t="str">
        <f t="shared" si="122"/>
        <v/>
      </c>
      <c r="Z439" s="586" t="str">
        <f t="shared" si="125"/>
        <v/>
      </c>
    </row>
    <row r="440" spans="1:26" ht="12" hidden="1" thickBot="1" x14ac:dyDescent="0.25">
      <c r="A440" s="567" t="s">
        <v>168</v>
      </c>
      <c r="B440" s="644" t="s">
        <v>168</v>
      </c>
      <c r="C440" s="645"/>
      <c r="D440" s="451" t="s">
        <v>262</v>
      </c>
      <c r="E440" s="423"/>
      <c r="F440" s="424">
        <v>0.2</v>
      </c>
      <c r="G440" s="425">
        <v>0.82499999999999996</v>
      </c>
      <c r="H440" s="663">
        <f t="shared" si="135"/>
        <v>2.3875500000000001</v>
      </c>
      <c r="I440" s="420">
        <v>0</v>
      </c>
      <c r="J440" s="420"/>
      <c r="K440" s="421">
        <f t="shared" si="117"/>
        <v>0</v>
      </c>
      <c r="L440" s="647" t="s">
        <v>614</v>
      </c>
      <c r="M440" s="703"/>
      <c r="N440" s="576">
        <f t="shared" si="123"/>
        <v>0</v>
      </c>
      <c r="O440" s="577">
        <f t="shared" si="132"/>
        <v>0</v>
      </c>
      <c r="P440" s="578">
        <f t="shared" si="133"/>
        <v>0</v>
      </c>
      <c r="Q440" s="765"/>
      <c r="R440" s="703"/>
      <c r="S440" s="670"/>
      <c r="T440" s="577">
        <f t="shared" si="130"/>
        <v>0</v>
      </c>
      <c r="U440" s="578">
        <f t="shared" si="131"/>
        <v>0</v>
      </c>
      <c r="V440" s="579"/>
      <c r="W440" s="637" t="str">
        <f>IF(U437&gt;0,"xx",IF(P437&gt;0,"xy",""))</f>
        <v/>
      </c>
      <c r="X440" s="586" t="str">
        <f t="shared" si="127"/>
        <v/>
      </c>
      <c r="Y440" s="586" t="str">
        <f t="shared" si="122"/>
        <v/>
      </c>
      <c r="Z440" s="586" t="str">
        <f t="shared" si="125"/>
        <v/>
      </c>
    </row>
    <row r="441" spans="1:26" ht="12" hidden="1" thickBot="1" x14ac:dyDescent="0.25">
      <c r="A441" s="567" t="s">
        <v>168</v>
      </c>
      <c r="B441" s="644" t="s">
        <v>168</v>
      </c>
      <c r="C441" s="645"/>
      <c r="D441" s="451" t="s">
        <v>263</v>
      </c>
      <c r="E441" s="423"/>
      <c r="F441" s="424">
        <v>20</v>
      </c>
      <c r="G441" s="425">
        <f>SUM(G437:G440)</f>
        <v>1</v>
      </c>
      <c r="H441" s="651">
        <f>IF(F441&lt;=30,(1.07*F441+6.45)*G441,((1.07*30+6.45)+1.07*(F441-30))*G441)</f>
        <v>27.85</v>
      </c>
      <c r="I441" s="420">
        <v>0</v>
      </c>
      <c r="J441" s="420"/>
      <c r="K441" s="421">
        <f t="shared" si="117"/>
        <v>0</v>
      </c>
      <c r="L441" s="647" t="s">
        <v>614</v>
      </c>
      <c r="M441" s="703"/>
      <c r="N441" s="576">
        <f t="shared" si="123"/>
        <v>0</v>
      </c>
      <c r="O441" s="577">
        <f t="shared" si="132"/>
        <v>0</v>
      </c>
      <c r="P441" s="578">
        <f t="shared" si="133"/>
        <v>0</v>
      </c>
      <c r="Q441" s="765"/>
      <c r="R441" s="703"/>
      <c r="S441" s="670"/>
      <c r="T441" s="577">
        <f t="shared" si="130"/>
        <v>0</v>
      </c>
      <c r="U441" s="578">
        <f t="shared" si="131"/>
        <v>0</v>
      </c>
      <c r="V441" s="579"/>
      <c r="W441" s="637" t="str">
        <f>IF(U437&gt;0,"xx",IF(P437&gt;0,"xy",""))</f>
        <v/>
      </c>
      <c r="X441" s="586" t="str">
        <f t="shared" si="127"/>
        <v/>
      </c>
      <c r="Y441" s="586" t="str">
        <f t="shared" si="122"/>
        <v/>
      </c>
      <c r="Z441" s="586" t="str">
        <f t="shared" si="125"/>
        <v/>
      </c>
    </row>
    <row r="442" spans="1:26" ht="12" hidden="1" thickBot="1" x14ac:dyDescent="0.25">
      <c r="A442" s="567">
        <v>589050</v>
      </c>
      <c r="B442" s="704">
        <v>589050</v>
      </c>
      <c r="C442" s="689" t="s">
        <v>1746</v>
      </c>
      <c r="D442" s="477" t="s">
        <v>1797</v>
      </c>
      <c r="E442" s="470"/>
      <c r="F442" s="478">
        <v>500</v>
      </c>
      <c r="G442" s="479">
        <v>1</v>
      </c>
      <c r="H442" s="663">
        <f>(0.94*F442+46.06)*G442</f>
        <v>516.05999999999995</v>
      </c>
      <c r="I442" s="472">
        <v>5662</v>
      </c>
      <c r="J442" s="472">
        <f>IF(ISBLANK(I442),"",I442*(1+$F$9)/(1+$F$10))+H442</f>
        <v>6009.8345980978047</v>
      </c>
      <c r="K442" s="690">
        <f t="shared" si="117"/>
        <v>7140.28</v>
      </c>
      <c r="L442" s="691" t="s">
        <v>20</v>
      </c>
      <c r="M442" s="692">
        <f>ROUND(M437*G437,2)</f>
        <v>0</v>
      </c>
      <c r="N442" s="696">
        <f t="shared" si="123"/>
        <v>0</v>
      </c>
      <c r="O442" s="693">
        <f t="shared" si="132"/>
        <v>0</v>
      </c>
      <c r="P442" s="694">
        <f t="shared" si="133"/>
        <v>0</v>
      </c>
      <c r="Q442" s="765"/>
      <c r="R442" s="695">
        <f>ROUND(R437*G437,2)</f>
        <v>0</v>
      </c>
      <c r="S442" s="711">
        <f>N442</f>
        <v>0</v>
      </c>
      <c r="T442" s="693">
        <f t="shared" si="130"/>
        <v>0</v>
      </c>
      <c r="U442" s="694">
        <f t="shared" si="131"/>
        <v>0</v>
      </c>
      <c r="V442" s="579"/>
      <c r="W442" s="637" t="str">
        <f>IF(U437&gt;0,"xx",IF(P437&gt;0,"xy",""))</f>
        <v/>
      </c>
      <c r="X442" s="586" t="str">
        <f t="shared" si="127"/>
        <v/>
      </c>
      <c r="Y442" s="586" t="str">
        <f t="shared" si="122"/>
        <v/>
      </c>
      <c r="Z442" s="586" t="str">
        <f t="shared" si="125"/>
        <v/>
      </c>
    </row>
    <row r="443" spans="1:26" ht="12" hidden="1" thickBot="1" x14ac:dyDescent="0.25">
      <c r="A443" s="671">
        <v>502615</v>
      </c>
      <c r="B443" s="701">
        <v>502615</v>
      </c>
      <c r="C443" s="702" t="s">
        <v>206</v>
      </c>
      <c r="D443" s="463" t="s">
        <v>2070</v>
      </c>
      <c r="E443" s="464"/>
      <c r="F443" s="465"/>
      <c r="G443" s="466"/>
      <c r="H443" s="681">
        <f>SUM(H444:H447)</f>
        <v>394.23356000000001</v>
      </c>
      <c r="I443" s="467">
        <v>304.24</v>
      </c>
      <c r="J443" s="467">
        <f t="shared" ref="J443:J477" si="136">IF(ISBLANK(I443),"",SUM(H443:I443))</f>
        <v>698.47356000000002</v>
      </c>
      <c r="K443" s="682">
        <f t="shared" ref="K443:K501" si="137">IF(ISBLANK(I443),0,ROUND(J443*(1+$F$10)*(1+$F$11*E443),2))</f>
        <v>829.86</v>
      </c>
      <c r="L443" s="683" t="s">
        <v>16</v>
      </c>
      <c r="M443" s="686"/>
      <c r="N443" s="576">
        <f t="shared" si="123"/>
        <v>0</v>
      </c>
      <c r="O443" s="687">
        <f t="shared" si="132"/>
        <v>0</v>
      </c>
      <c r="P443" s="688">
        <f t="shared" si="133"/>
        <v>0</v>
      </c>
      <c r="Q443" s="765"/>
      <c r="R443" s="685">
        <f t="shared" ref="R443:S477" si="138">M443</f>
        <v>0</v>
      </c>
      <c r="S443" s="686">
        <f>N443</f>
        <v>0</v>
      </c>
      <c r="T443" s="687">
        <f t="shared" si="130"/>
        <v>0</v>
      </c>
      <c r="U443" s="688">
        <f t="shared" si="131"/>
        <v>0</v>
      </c>
      <c r="V443" s="579"/>
      <c r="W443" s="566"/>
      <c r="X443" s="586" t="str">
        <f t="shared" si="127"/>
        <v/>
      </c>
      <c r="Y443" s="586" t="str">
        <f t="shared" si="122"/>
        <v/>
      </c>
      <c r="Z443" s="586" t="str">
        <f t="shared" si="125"/>
        <v/>
      </c>
    </row>
    <row r="444" spans="1:26" ht="12" hidden="1" thickBot="1" x14ac:dyDescent="0.25">
      <c r="A444" s="567" t="s">
        <v>168</v>
      </c>
      <c r="B444" s="644" t="s">
        <v>168</v>
      </c>
      <c r="C444" s="645"/>
      <c r="D444" s="451" t="s">
        <v>212</v>
      </c>
      <c r="E444" s="423"/>
      <c r="F444" s="424">
        <v>500</v>
      </c>
      <c r="G444" s="425">
        <v>0.33</v>
      </c>
      <c r="H444" s="649">
        <f>IF(F444&lt;=30,(0.78*F444+7.82)*G444,((0.78*30+7.82)+0.78*(F444-30))*G444)</f>
        <v>131.28060000000002</v>
      </c>
      <c r="I444" s="420">
        <v>0</v>
      </c>
      <c r="J444" s="420"/>
      <c r="K444" s="421">
        <f t="shared" si="137"/>
        <v>0</v>
      </c>
      <c r="L444" s="668" t="s">
        <v>614</v>
      </c>
      <c r="M444" s="669"/>
      <c r="N444" s="576">
        <f t="shared" si="123"/>
        <v>0</v>
      </c>
      <c r="O444" s="577">
        <f>IF(ISBLANK(M444),0,ROUND(K444*M444,2))</f>
        <v>0</v>
      </c>
      <c r="P444" s="578">
        <f>IF(ISBLANK(N444),0,ROUND(M444*N444,2))</f>
        <v>0</v>
      </c>
      <c r="Q444" s="765"/>
      <c r="R444" s="669"/>
      <c r="S444" s="670"/>
      <c r="T444" s="577">
        <f>IF(ISBLANK(R444),0,ROUND(K444*R444,2))</f>
        <v>0</v>
      </c>
      <c r="U444" s="578">
        <f>IF(ISBLANK(R444),0,ROUND(R444*S444,2))</f>
        <v>0</v>
      </c>
      <c r="V444" s="579"/>
      <c r="W444" s="637" t="str">
        <f>IF(U443&gt;0,"xx",IF(P443&gt;0,"xy",""))</f>
        <v/>
      </c>
      <c r="X444" s="586" t="str">
        <f t="shared" si="127"/>
        <v/>
      </c>
      <c r="Y444" s="586" t="str">
        <f>IF(W444="X","x",IF(W444="y","x",IF(W444="xx","x",IF(U444&gt;0,"x",""))))</f>
        <v/>
      </c>
      <c r="Z444" s="586" t="str">
        <f>IF(W444="X","x",IF(U444&gt;0,"x",""))</f>
        <v/>
      </c>
    </row>
    <row r="445" spans="1:26" ht="12" hidden="1" thickBot="1" x14ac:dyDescent="0.25">
      <c r="A445" s="567" t="s">
        <v>168</v>
      </c>
      <c r="B445" s="644" t="s">
        <v>168</v>
      </c>
      <c r="C445" s="645"/>
      <c r="D445" s="451" t="s">
        <v>248</v>
      </c>
      <c r="E445" s="423"/>
      <c r="F445" s="424">
        <v>180</v>
      </c>
      <c r="G445" s="425">
        <v>0.92100000000000004</v>
      </c>
      <c r="H445" s="663">
        <f t="shared" ref="H445:H447" si="139">IF(F445&lt;=30,(1.07*F445+2.68)*G445,((1.07*30+2.68)+1.07*(F445-30))*G445)</f>
        <v>179.85288</v>
      </c>
      <c r="I445" s="420">
        <v>0</v>
      </c>
      <c r="J445" s="420"/>
      <c r="K445" s="421">
        <f t="shared" si="137"/>
        <v>0</v>
      </c>
      <c r="L445" s="668" t="s">
        <v>614</v>
      </c>
      <c r="M445" s="669"/>
      <c r="N445" s="576">
        <f t="shared" si="123"/>
        <v>0</v>
      </c>
      <c r="O445" s="577">
        <f>IF(ISBLANK(M445),0,ROUND(K445*M445,2))</f>
        <v>0</v>
      </c>
      <c r="P445" s="578">
        <f>IF(ISBLANK(N445),0,ROUND(M445*N445,2))</f>
        <v>0</v>
      </c>
      <c r="Q445" s="765"/>
      <c r="R445" s="669"/>
      <c r="S445" s="670"/>
      <c r="T445" s="577">
        <f>IF(ISBLANK(R445),0,ROUND(K445*R445,2))</f>
        <v>0</v>
      </c>
      <c r="U445" s="578">
        <f>IF(ISBLANK(R445),0,ROUND(R445*S445,2))</f>
        <v>0</v>
      </c>
      <c r="V445" s="579"/>
      <c r="W445" s="637" t="str">
        <f>IF(U443&gt;0,"xx",IF(P443&gt;0,"xy",""))</f>
        <v/>
      </c>
      <c r="X445" s="586" t="str">
        <f t="shared" si="127"/>
        <v/>
      </c>
      <c r="Y445" s="586" t="str">
        <f>IF(W445="X","x",IF(W445="y","x",IF(W445="xx","x",IF(U445&gt;0,"x",""))))</f>
        <v/>
      </c>
      <c r="Z445" s="586" t="str">
        <f>IF(W445="X","x",IF(U445&gt;0,"x",""))</f>
        <v/>
      </c>
    </row>
    <row r="446" spans="1:26" ht="12" hidden="1" thickBot="1" x14ac:dyDescent="0.25">
      <c r="A446" s="567" t="s">
        <v>168</v>
      </c>
      <c r="B446" s="644" t="s">
        <v>168</v>
      </c>
      <c r="C446" s="645"/>
      <c r="D446" s="451" t="s">
        <v>252</v>
      </c>
      <c r="E446" s="423"/>
      <c r="F446" s="424">
        <v>20</v>
      </c>
      <c r="G446" s="425">
        <v>1.1000000000000001</v>
      </c>
      <c r="H446" s="663">
        <f t="shared" si="139"/>
        <v>26.488000000000003</v>
      </c>
      <c r="I446" s="420">
        <v>0</v>
      </c>
      <c r="J446" s="420"/>
      <c r="K446" s="421">
        <f t="shared" si="137"/>
        <v>0</v>
      </c>
      <c r="L446" s="668" t="s">
        <v>614</v>
      </c>
      <c r="M446" s="669"/>
      <c r="N446" s="576">
        <f t="shared" si="123"/>
        <v>0</v>
      </c>
      <c r="O446" s="577">
        <f>IF(ISBLANK(M446),0,ROUND(K446*M446,2))</f>
        <v>0</v>
      </c>
      <c r="P446" s="578">
        <f>IF(ISBLANK(N446),0,ROUND(M446*N446,2))</f>
        <v>0</v>
      </c>
      <c r="Q446" s="765"/>
      <c r="R446" s="669"/>
      <c r="S446" s="670"/>
      <c r="T446" s="577">
        <f>IF(ISBLANK(R446),0,ROUND(K446*R446,2))</f>
        <v>0</v>
      </c>
      <c r="U446" s="578">
        <f>IF(ISBLANK(R446),0,ROUND(R446*S446,2))</f>
        <v>0</v>
      </c>
      <c r="V446" s="579"/>
      <c r="W446" s="637" t="str">
        <f>IF(U443&gt;0,"xx",IF(P443&gt;0,"xy",""))</f>
        <v/>
      </c>
      <c r="X446" s="586" t="str">
        <f t="shared" si="127"/>
        <v/>
      </c>
      <c r="Y446" s="586" t="str">
        <f>IF(W446="X","x",IF(W446="y","x",IF(W446="xx","x",IF(U446&gt;0,"x",""))))</f>
        <v/>
      </c>
      <c r="Z446" s="586" t="str">
        <f>IF(W446="X","x",IF(U446&gt;0,"x",""))</f>
        <v/>
      </c>
    </row>
    <row r="447" spans="1:26" ht="12" hidden="1" thickBot="1" x14ac:dyDescent="0.25">
      <c r="A447" s="567" t="s">
        <v>168</v>
      </c>
      <c r="B447" s="644" t="s">
        <v>168</v>
      </c>
      <c r="C447" s="645"/>
      <c r="D447" s="451" t="s">
        <v>263</v>
      </c>
      <c r="E447" s="423"/>
      <c r="F447" s="424">
        <v>20</v>
      </c>
      <c r="G447" s="425">
        <f>SUM(G443:G446)</f>
        <v>2.351</v>
      </c>
      <c r="H447" s="651">
        <f t="shared" si="139"/>
        <v>56.612080000000006</v>
      </c>
      <c r="I447" s="420">
        <v>0</v>
      </c>
      <c r="J447" s="420"/>
      <c r="K447" s="421">
        <f>IF(ISBLANK(I447),0,ROUND(J447*(1+$F$10)*(1+$F$11*E447),2))</f>
        <v>0</v>
      </c>
      <c r="L447" s="647" t="s">
        <v>614</v>
      </c>
      <c r="M447" s="703"/>
      <c r="N447" s="576">
        <f t="shared" si="123"/>
        <v>0</v>
      </c>
      <c r="O447" s="577">
        <f>IF(ISBLANK(M447),0,ROUND(K447*M447,2))</f>
        <v>0</v>
      </c>
      <c r="P447" s="578">
        <f>IF(ISBLANK(N447),0,ROUND(M447*N447,2))</f>
        <v>0</v>
      </c>
      <c r="Q447" s="765"/>
      <c r="R447" s="703"/>
      <c r="S447" s="670"/>
      <c r="T447" s="577">
        <f>IF(ISBLANK(R447),0,ROUND(K447*R447,2))</f>
        <v>0</v>
      </c>
      <c r="U447" s="578">
        <f>IF(ISBLANK(R447),0,ROUND(R447*S447,2))</f>
        <v>0</v>
      </c>
      <c r="V447" s="579"/>
      <c r="W447" s="637" t="str">
        <f>IF(U443&gt;0,"xx",IF(P443&gt;0,"xy",""))</f>
        <v/>
      </c>
      <c r="X447" s="586" t="str">
        <f t="shared" si="127"/>
        <v/>
      </c>
      <c r="Y447" s="586" t="str">
        <f>IF(W447="X","x",IF(W447="y","x",IF(W447="xx","x",IF(U447&gt;0,"x",""))))</f>
        <v/>
      </c>
      <c r="Z447" s="586" t="str">
        <f>IF(W447="X","x",IF(U447&gt;0,"x",""))</f>
        <v/>
      </c>
    </row>
    <row r="448" spans="1:26" ht="12" hidden="1" thickBot="1" x14ac:dyDescent="0.25">
      <c r="A448" s="671">
        <v>502605</v>
      </c>
      <c r="B448" s="644">
        <v>502605</v>
      </c>
      <c r="C448" s="645" t="s">
        <v>206</v>
      </c>
      <c r="D448" s="422" t="s">
        <v>2071</v>
      </c>
      <c r="E448" s="423"/>
      <c r="F448" s="424"/>
      <c r="G448" s="425"/>
      <c r="H448" s="663">
        <f>SUM(H449:H452)</f>
        <v>294.44720000000001</v>
      </c>
      <c r="I448" s="420">
        <v>179.75</v>
      </c>
      <c r="J448" s="420">
        <f t="shared" si="136"/>
        <v>474.19720000000001</v>
      </c>
      <c r="K448" s="421">
        <f t="shared" si="137"/>
        <v>563.39</v>
      </c>
      <c r="L448" s="647" t="s">
        <v>16</v>
      </c>
      <c r="M448" s="587"/>
      <c r="N448" s="576">
        <f t="shared" si="123"/>
        <v>0</v>
      </c>
      <c r="O448" s="577">
        <f t="shared" si="132"/>
        <v>0</v>
      </c>
      <c r="P448" s="578">
        <f t="shared" si="133"/>
        <v>0</v>
      </c>
      <c r="Q448" s="765"/>
      <c r="R448" s="650">
        <f t="shared" si="138"/>
        <v>0</v>
      </c>
      <c r="S448" s="587">
        <f>N448</f>
        <v>0</v>
      </c>
      <c r="T448" s="577">
        <f t="shared" si="130"/>
        <v>0</v>
      </c>
      <c r="U448" s="578">
        <f t="shared" si="131"/>
        <v>0</v>
      </c>
      <c r="V448" s="579"/>
      <c r="W448" s="566"/>
      <c r="X448" s="586" t="str">
        <f t="shared" si="127"/>
        <v/>
      </c>
      <c r="Y448" s="586" t="str">
        <f t="shared" si="122"/>
        <v/>
      </c>
      <c r="Z448" s="586" t="str">
        <f t="shared" si="125"/>
        <v/>
      </c>
    </row>
    <row r="449" spans="1:26" ht="12" hidden="1" thickBot="1" x14ac:dyDescent="0.25">
      <c r="A449" s="567" t="s">
        <v>168</v>
      </c>
      <c r="B449" s="644" t="s">
        <v>168</v>
      </c>
      <c r="C449" s="645"/>
      <c r="D449" s="451" t="s">
        <v>212</v>
      </c>
      <c r="E449" s="423"/>
      <c r="F449" s="424">
        <v>500</v>
      </c>
      <c r="G449" s="425">
        <v>0.12</v>
      </c>
      <c r="H449" s="649">
        <f>IF(F449&lt;=30,(0.78*F449+7.82)*G449,((0.78*30+7.82)+0.78*(F449-30))*G449)</f>
        <v>47.738400000000006</v>
      </c>
      <c r="I449" s="420">
        <v>0</v>
      </c>
      <c r="J449" s="420"/>
      <c r="K449" s="421">
        <f>IF(ISBLANK(I449),0,ROUND(J449*(1+$F$10)*(1+$F$11*E449),2))</f>
        <v>0</v>
      </c>
      <c r="L449" s="668" t="s">
        <v>614</v>
      </c>
      <c r="M449" s="669"/>
      <c r="N449" s="576">
        <f t="shared" si="123"/>
        <v>0</v>
      </c>
      <c r="O449" s="577">
        <f t="shared" si="132"/>
        <v>0</v>
      </c>
      <c r="P449" s="578">
        <f t="shared" si="133"/>
        <v>0</v>
      </c>
      <c r="Q449" s="765"/>
      <c r="R449" s="669"/>
      <c r="S449" s="670"/>
      <c r="T449" s="577">
        <f t="shared" si="130"/>
        <v>0</v>
      </c>
      <c r="U449" s="578">
        <f t="shared" si="131"/>
        <v>0</v>
      </c>
      <c r="V449" s="579"/>
      <c r="W449" s="637" t="str">
        <f>IF(U448&gt;0,"xx",IF(P448&gt;0,"xy",""))</f>
        <v/>
      </c>
      <c r="X449" s="586" t="str">
        <f>IF(W449="X","x",IF(W449="xx","x",IF(W449="xy","x",IF(W449="y","x",IF(OR(P449&gt;0,U449&gt;0),"x","")))))</f>
        <v/>
      </c>
      <c r="Y449" s="586" t="str">
        <f t="shared" si="122"/>
        <v/>
      </c>
      <c r="Z449" s="586" t="str">
        <f t="shared" si="125"/>
        <v/>
      </c>
    </row>
    <row r="450" spans="1:26" ht="12" hidden="1" thickBot="1" x14ac:dyDescent="0.25">
      <c r="A450" s="567" t="s">
        <v>168</v>
      </c>
      <c r="B450" s="644" t="s">
        <v>168</v>
      </c>
      <c r="C450" s="645"/>
      <c r="D450" s="451" t="s">
        <v>248</v>
      </c>
      <c r="E450" s="423"/>
      <c r="F450" s="424">
        <v>180</v>
      </c>
      <c r="G450" s="425">
        <v>0.87</v>
      </c>
      <c r="H450" s="663">
        <f t="shared" ref="H450:H452" si="140">IF(F450&lt;=30,(1.07*F450+2.68)*G450,((1.07*30+2.68)+1.07*(F450-30))*G450)</f>
        <v>169.89359999999999</v>
      </c>
      <c r="I450" s="420">
        <v>0</v>
      </c>
      <c r="J450" s="420"/>
      <c r="K450" s="421">
        <f>IF(ISBLANK(I450),0,ROUND(J450*(1+$F$10)*(1+$F$11*E450),2))</f>
        <v>0</v>
      </c>
      <c r="L450" s="668" t="s">
        <v>614</v>
      </c>
      <c r="M450" s="669"/>
      <c r="N450" s="576">
        <f t="shared" si="123"/>
        <v>0</v>
      </c>
      <c r="O450" s="577">
        <f t="shared" si="132"/>
        <v>0</v>
      </c>
      <c r="P450" s="578">
        <f t="shared" si="133"/>
        <v>0</v>
      </c>
      <c r="Q450" s="765"/>
      <c r="R450" s="669"/>
      <c r="S450" s="670"/>
      <c r="T450" s="577">
        <f t="shared" si="130"/>
        <v>0</v>
      </c>
      <c r="U450" s="578">
        <f t="shared" si="131"/>
        <v>0</v>
      </c>
      <c r="V450" s="579"/>
      <c r="W450" s="637" t="str">
        <f>IF(U448&gt;0,"xx",IF(P448&gt;0,"xy",""))</f>
        <v/>
      </c>
      <c r="X450" s="586" t="str">
        <f>IF(W450="X","x",IF(W450="xx","x",IF(W450="xy","x",IF(W450="y","x",IF(OR(P450&gt;0,U450&gt;0),"x","")))))</f>
        <v/>
      </c>
      <c r="Y450" s="586" t="str">
        <f t="shared" si="122"/>
        <v/>
      </c>
      <c r="Z450" s="586" t="str">
        <f t="shared" si="125"/>
        <v/>
      </c>
    </row>
    <row r="451" spans="1:26" ht="12" hidden="1" thickBot="1" x14ac:dyDescent="0.25">
      <c r="A451" s="567" t="s">
        <v>168</v>
      </c>
      <c r="B451" s="644" t="s">
        <v>168</v>
      </c>
      <c r="C451" s="645"/>
      <c r="D451" s="451" t="s">
        <v>252</v>
      </c>
      <c r="E451" s="423"/>
      <c r="F451" s="424">
        <v>20</v>
      </c>
      <c r="G451" s="425">
        <v>1.1000000000000001</v>
      </c>
      <c r="H451" s="663">
        <f t="shared" si="140"/>
        <v>26.488000000000003</v>
      </c>
      <c r="I451" s="420">
        <v>0</v>
      </c>
      <c r="J451" s="420"/>
      <c r="K451" s="421">
        <f>IF(ISBLANK(I451),0,ROUND(J451*(1+$F$10)*(1+$F$11*E451),2))</f>
        <v>0</v>
      </c>
      <c r="L451" s="668" t="s">
        <v>614</v>
      </c>
      <c r="M451" s="669"/>
      <c r="N451" s="576">
        <f t="shared" si="123"/>
        <v>0</v>
      </c>
      <c r="O451" s="577">
        <f t="shared" si="132"/>
        <v>0</v>
      </c>
      <c r="P451" s="578">
        <f t="shared" si="133"/>
        <v>0</v>
      </c>
      <c r="Q451" s="765"/>
      <c r="R451" s="669"/>
      <c r="S451" s="670"/>
      <c r="T451" s="577">
        <f t="shared" si="130"/>
        <v>0</v>
      </c>
      <c r="U451" s="578">
        <f t="shared" si="131"/>
        <v>0</v>
      </c>
      <c r="V451" s="579"/>
      <c r="W451" s="637" t="str">
        <f>IF(U448&gt;0,"xx",IF(P448&gt;0,"xy",""))</f>
        <v/>
      </c>
      <c r="X451" s="586" t="str">
        <f>IF(W451="X","x",IF(W451="xx","x",IF(W451="xy","x",IF(W451="y","x",IF(OR(P451&gt;0,U451&gt;0),"x","")))))</f>
        <v/>
      </c>
      <c r="Y451" s="586" t="str">
        <f t="shared" si="122"/>
        <v/>
      </c>
      <c r="Z451" s="586" t="str">
        <f t="shared" si="125"/>
        <v/>
      </c>
    </row>
    <row r="452" spans="1:26" ht="12" hidden="1" thickBot="1" x14ac:dyDescent="0.25">
      <c r="A452" s="567" t="s">
        <v>168</v>
      </c>
      <c r="B452" s="644" t="s">
        <v>168</v>
      </c>
      <c r="C452" s="645"/>
      <c r="D452" s="451" t="s">
        <v>263</v>
      </c>
      <c r="E452" s="423"/>
      <c r="F452" s="424">
        <v>20</v>
      </c>
      <c r="G452" s="425">
        <f>SUM(G448:G451)</f>
        <v>2.09</v>
      </c>
      <c r="H452" s="651">
        <f t="shared" si="140"/>
        <v>50.327199999999998</v>
      </c>
      <c r="I452" s="420">
        <v>0</v>
      </c>
      <c r="J452" s="420"/>
      <c r="K452" s="421">
        <f>IF(ISBLANK(I452),0,ROUND(J452*(1+$F$10)*(1+$F$11*E452),2))</f>
        <v>0</v>
      </c>
      <c r="L452" s="647" t="s">
        <v>614</v>
      </c>
      <c r="M452" s="703"/>
      <c r="N452" s="576">
        <f t="shared" si="123"/>
        <v>0</v>
      </c>
      <c r="O452" s="577">
        <f t="shared" si="132"/>
        <v>0</v>
      </c>
      <c r="P452" s="578">
        <f t="shared" si="133"/>
        <v>0</v>
      </c>
      <c r="Q452" s="765"/>
      <c r="R452" s="703"/>
      <c r="S452" s="670"/>
      <c r="T452" s="577">
        <f t="shared" si="130"/>
        <v>0</v>
      </c>
      <c r="U452" s="578">
        <f t="shared" si="131"/>
        <v>0</v>
      </c>
      <c r="V452" s="579"/>
      <c r="W452" s="637" t="str">
        <f>IF(U448&gt;0,"xx",IF(P448&gt;0,"xy",""))</f>
        <v/>
      </c>
      <c r="X452" s="586" t="str">
        <f>IF(W452="X","x",IF(W452="xx","x",IF(W452="xy","x",IF(W452="y","x",IF(OR(P452&gt;0,U452&gt;0),"x","")))))</f>
        <v/>
      </c>
      <c r="Y452" s="586" t="str">
        <f t="shared" si="122"/>
        <v/>
      </c>
      <c r="Z452" s="586" t="str">
        <f t="shared" si="125"/>
        <v/>
      </c>
    </row>
    <row r="453" spans="1:26" ht="12" hidden="1" thickBot="1" x14ac:dyDescent="0.25">
      <c r="A453" s="671">
        <v>505185</v>
      </c>
      <c r="B453" s="644">
        <v>505185</v>
      </c>
      <c r="C453" s="645" t="s">
        <v>206</v>
      </c>
      <c r="D453" s="422" t="s">
        <v>2072</v>
      </c>
      <c r="E453" s="423"/>
      <c r="F453" s="424"/>
      <c r="G453" s="425"/>
      <c r="H453" s="663">
        <f>SUM(H454:H457)</f>
        <v>361.9212</v>
      </c>
      <c r="I453" s="420">
        <v>233.15</v>
      </c>
      <c r="J453" s="420">
        <f t="shared" si="136"/>
        <v>595.07119999999998</v>
      </c>
      <c r="K453" s="421">
        <f t="shared" si="137"/>
        <v>707</v>
      </c>
      <c r="L453" s="647" t="s">
        <v>16</v>
      </c>
      <c r="M453" s="587"/>
      <c r="N453" s="576">
        <f t="shared" si="123"/>
        <v>0</v>
      </c>
      <c r="O453" s="577">
        <f t="shared" si="132"/>
        <v>0</v>
      </c>
      <c r="P453" s="578">
        <f t="shared" si="133"/>
        <v>0</v>
      </c>
      <c r="Q453" s="765"/>
      <c r="R453" s="650">
        <f t="shared" si="138"/>
        <v>0</v>
      </c>
      <c r="S453" s="587">
        <f>N453</f>
        <v>0</v>
      </c>
      <c r="T453" s="577">
        <f t="shared" si="130"/>
        <v>0</v>
      </c>
      <c r="U453" s="578">
        <f t="shared" si="131"/>
        <v>0</v>
      </c>
      <c r="V453" s="579"/>
      <c r="W453" s="566"/>
      <c r="X453" s="586" t="str">
        <f t="shared" si="127"/>
        <v/>
      </c>
      <c r="Y453" s="586" t="str">
        <f t="shared" si="122"/>
        <v/>
      </c>
      <c r="Z453" s="586" t="str">
        <f t="shared" si="125"/>
        <v/>
      </c>
    </row>
    <row r="454" spans="1:26" ht="12" hidden="1" thickBot="1" x14ac:dyDescent="0.25">
      <c r="A454" s="567" t="s">
        <v>168</v>
      </c>
      <c r="B454" s="644" t="s">
        <v>168</v>
      </c>
      <c r="C454" s="645"/>
      <c r="D454" s="451" t="s">
        <v>212</v>
      </c>
      <c r="E454" s="423"/>
      <c r="F454" s="424">
        <v>500</v>
      </c>
      <c r="G454" s="425">
        <v>0.18</v>
      </c>
      <c r="H454" s="649">
        <f>IF(F454&lt;=30,(0.78*F454+7.82)*G454,((0.78*30+7.82)+0.78*(F454-30))*G454)</f>
        <v>71.607600000000005</v>
      </c>
      <c r="I454" s="420">
        <v>0</v>
      </c>
      <c r="J454" s="420"/>
      <c r="K454" s="421">
        <f t="shared" si="137"/>
        <v>0</v>
      </c>
      <c r="L454" s="668" t="s">
        <v>614</v>
      </c>
      <c r="M454" s="669"/>
      <c r="N454" s="576">
        <f t="shared" si="123"/>
        <v>0</v>
      </c>
      <c r="O454" s="577">
        <f>IF(ISBLANK(M454),0,ROUND(K454*M454,2))</f>
        <v>0</v>
      </c>
      <c r="P454" s="578">
        <f>IF(ISBLANK(N454),0,ROUND(M454*N454,2))</f>
        <v>0</v>
      </c>
      <c r="Q454" s="765"/>
      <c r="R454" s="669"/>
      <c r="S454" s="670"/>
      <c r="T454" s="577">
        <f>IF(ISBLANK(R454),0,ROUND(K454*R454,2))</f>
        <v>0</v>
      </c>
      <c r="U454" s="578">
        <f>IF(ISBLANK(R454),0,ROUND(R454*S454,2))</f>
        <v>0</v>
      </c>
      <c r="V454" s="579"/>
      <c r="W454" s="637" t="str">
        <f>IF(U453&gt;0,"xx",IF(P453&gt;0,"xy",""))</f>
        <v/>
      </c>
      <c r="X454" s="586" t="str">
        <f t="shared" si="127"/>
        <v/>
      </c>
      <c r="Y454" s="586" t="str">
        <f>IF(W454="X","x",IF(W454="y","x",IF(W454="xx","x",IF(U454&gt;0,"x",""))))</f>
        <v/>
      </c>
      <c r="Z454" s="586" t="str">
        <f>IF(W454="X","x",IF(U454&gt;0,"x",""))</f>
        <v/>
      </c>
    </row>
    <row r="455" spans="1:26" ht="12" hidden="1" thickBot="1" x14ac:dyDescent="0.25">
      <c r="A455" s="567" t="s">
        <v>168</v>
      </c>
      <c r="B455" s="644" t="s">
        <v>168</v>
      </c>
      <c r="C455" s="645"/>
      <c r="D455" s="451" t="s">
        <v>248</v>
      </c>
      <c r="E455" s="423"/>
      <c r="F455" s="424">
        <v>180</v>
      </c>
      <c r="G455" s="425">
        <v>1.06</v>
      </c>
      <c r="H455" s="663">
        <f t="shared" ref="H455:H457" si="141">IF(F455&lt;=30,(1.07*F455+2.68)*G455,((1.07*30+2.68)+1.07*(F455-30))*G455)</f>
        <v>206.99680000000001</v>
      </c>
      <c r="I455" s="420">
        <v>0</v>
      </c>
      <c r="J455" s="420"/>
      <c r="K455" s="421">
        <f t="shared" si="137"/>
        <v>0</v>
      </c>
      <c r="L455" s="668" t="s">
        <v>614</v>
      </c>
      <c r="M455" s="669"/>
      <c r="N455" s="576">
        <f t="shared" si="123"/>
        <v>0</v>
      </c>
      <c r="O455" s="577">
        <f>IF(ISBLANK(M455),0,ROUND(K455*M455,2))</f>
        <v>0</v>
      </c>
      <c r="P455" s="578">
        <f>IF(ISBLANK(N455),0,ROUND(M455*N455,2))</f>
        <v>0</v>
      </c>
      <c r="Q455" s="765"/>
      <c r="R455" s="669"/>
      <c r="S455" s="670"/>
      <c r="T455" s="577">
        <f>IF(ISBLANK(R455),0,ROUND(K455*R455,2))</f>
        <v>0</v>
      </c>
      <c r="U455" s="578">
        <f>IF(ISBLANK(R455),0,ROUND(R455*S455,2))</f>
        <v>0</v>
      </c>
      <c r="V455" s="579"/>
      <c r="W455" s="637" t="str">
        <f>IF(U453&gt;0,"xx",IF(P453&gt;0,"xy",""))</f>
        <v/>
      </c>
      <c r="X455" s="586" t="str">
        <f t="shared" si="127"/>
        <v/>
      </c>
      <c r="Y455" s="586" t="str">
        <f>IF(W455="X","x",IF(W455="y","x",IF(W455="xx","x",IF(U455&gt;0,"x",""))))</f>
        <v/>
      </c>
      <c r="Z455" s="586" t="str">
        <f>IF(W455="X","x",IF(U455&gt;0,"x",""))</f>
        <v/>
      </c>
    </row>
    <row r="456" spans="1:26" ht="12" hidden="1" thickBot="1" x14ac:dyDescent="0.25">
      <c r="A456" s="567" t="s">
        <v>168</v>
      </c>
      <c r="B456" s="644" t="s">
        <v>168</v>
      </c>
      <c r="C456" s="645"/>
      <c r="D456" s="451" t="s">
        <v>252</v>
      </c>
      <c r="E456" s="423"/>
      <c r="F456" s="424">
        <v>20</v>
      </c>
      <c r="G456" s="425">
        <v>1.1100000000000001</v>
      </c>
      <c r="H456" s="663">
        <f t="shared" si="141"/>
        <v>26.728800000000003</v>
      </c>
      <c r="I456" s="420">
        <v>0</v>
      </c>
      <c r="J456" s="420"/>
      <c r="K456" s="421">
        <f t="shared" si="137"/>
        <v>0</v>
      </c>
      <c r="L456" s="668" t="s">
        <v>614</v>
      </c>
      <c r="M456" s="669"/>
      <c r="N456" s="576">
        <f t="shared" si="123"/>
        <v>0</v>
      </c>
      <c r="O456" s="577">
        <f>IF(ISBLANK(M456),0,ROUND(K456*M456,2))</f>
        <v>0</v>
      </c>
      <c r="P456" s="578">
        <f>IF(ISBLANK(N456),0,ROUND(M456*N456,2))</f>
        <v>0</v>
      </c>
      <c r="Q456" s="765"/>
      <c r="R456" s="669"/>
      <c r="S456" s="670"/>
      <c r="T456" s="577">
        <f>IF(ISBLANK(R456),0,ROUND(K456*R456,2))</f>
        <v>0</v>
      </c>
      <c r="U456" s="578">
        <f>IF(ISBLANK(R456),0,ROUND(R456*S456,2))</f>
        <v>0</v>
      </c>
      <c r="V456" s="579"/>
      <c r="W456" s="637" t="str">
        <f>IF(U453&gt;0,"xx",IF(P453&gt;0,"xy",""))</f>
        <v/>
      </c>
      <c r="X456" s="586" t="str">
        <f t="shared" si="127"/>
        <v/>
      </c>
      <c r="Y456" s="586" t="str">
        <f>IF(W456="X","x",IF(W456="y","x",IF(W456="xx","x",IF(U456&gt;0,"x",""))))</f>
        <v/>
      </c>
      <c r="Z456" s="586" t="str">
        <f>IF(W456="X","x",IF(U456&gt;0,"x",""))</f>
        <v/>
      </c>
    </row>
    <row r="457" spans="1:26" ht="12" hidden="1" thickBot="1" x14ac:dyDescent="0.25">
      <c r="A457" s="567" t="s">
        <v>168</v>
      </c>
      <c r="B457" s="644" t="s">
        <v>168</v>
      </c>
      <c r="C457" s="645"/>
      <c r="D457" s="451" t="s">
        <v>263</v>
      </c>
      <c r="E457" s="423"/>
      <c r="F457" s="424">
        <v>20</v>
      </c>
      <c r="G457" s="425">
        <f>SUM(G453:G456)</f>
        <v>2.35</v>
      </c>
      <c r="H457" s="663">
        <f t="shared" si="141"/>
        <v>56.588000000000008</v>
      </c>
      <c r="I457" s="420">
        <v>0</v>
      </c>
      <c r="J457" s="420"/>
      <c r="K457" s="421">
        <f t="shared" si="137"/>
        <v>0</v>
      </c>
      <c r="L457" s="647" t="s">
        <v>614</v>
      </c>
      <c r="M457" s="703"/>
      <c r="N457" s="576">
        <f t="shared" si="123"/>
        <v>0</v>
      </c>
      <c r="O457" s="577">
        <f>IF(ISBLANK(M457),0,ROUND(K457*M457,2))</f>
        <v>0</v>
      </c>
      <c r="P457" s="578">
        <f>IF(ISBLANK(N457),0,ROUND(M457*N457,2))</f>
        <v>0</v>
      </c>
      <c r="Q457" s="765"/>
      <c r="R457" s="703"/>
      <c r="S457" s="670"/>
      <c r="T457" s="577">
        <f>IF(ISBLANK(R457),0,ROUND(K457*R457,2))</f>
        <v>0</v>
      </c>
      <c r="U457" s="578">
        <f>IF(ISBLANK(R457),0,ROUND(R457*S457,2))</f>
        <v>0</v>
      </c>
      <c r="V457" s="579"/>
      <c r="W457" s="637" t="str">
        <f>IF(U453&gt;0,"xx",IF(P453&gt;0,"xy",""))</f>
        <v/>
      </c>
      <c r="X457" s="586" t="str">
        <f t="shared" si="127"/>
        <v/>
      </c>
      <c r="Y457" s="586" t="str">
        <f>IF(W457="X","x",IF(W457="y","x",IF(W457="xx","x",IF(U457&gt;0,"x",""))))</f>
        <v/>
      </c>
      <c r="Z457" s="586" t="str">
        <f>IF(W457="X","x",IF(U457&gt;0,"x",""))</f>
        <v/>
      </c>
    </row>
    <row r="458" spans="1:26" ht="12" hidden="1" thickBot="1" x14ac:dyDescent="0.25">
      <c r="A458" s="671">
        <v>505415</v>
      </c>
      <c r="B458" s="644">
        <v>505415</v>
      </c>
      <c r="C458" s="645" t="s">
        <v>206</v>
      </c>
      <c r="D458" s="422" t="s">
        <v>2073</v>
      </c>
      <c r="E458" s="423"/>
      <c r="F458" s="424"/>
      <c r="G458" s="425"/>
      <c r="H458" s="663">
        <f t="shared" ref="H458:H467" si="142">IF(F458&lt;=30,(0.87*F458+2.18)*G458,((0.87*30+2.18)+0.87*(F458-30))*G458)</f>
        <v>0</v>
      </c>
      <c r="I458" s="420">
        <v>7.83</v>
      </c>
      <c r="J458" s="420">
        <f t="shared" si="136"/>
        <v>7.83</v>
      </c>
      <c r="K458" s="421">
        <f t="shared" si="137"/>
        <v>9.3000000000000007</v>
      </c>
      <c r="L458" s="647" t="s">
        <v>18</v>
      </c>
      <c r="M458" s="587"/>
      <c r="N458" s="576">
        <f t="shared" si="123"/>
        <v>0</v>
      </c>
      <c r="O458" s="577">
        <f t="shared" si="132"/>
        <v>0</v>
      </c>
      <c r="P458" s="578">
        <f t="shared" si="133"/>
        <v>0</v>
      </c>
      <c r="Q458" s="765"/>
      <c r="R458" s="650">
        <f t="shared" si="138"/>
        <v>0</v>
      </c>
      <c r="S458" s="587">
        <f t="shared" si="138"/>
        <v>0</v>
      </c>
      <c r="T458" s="577">
        <f t="shared" si="130"/>
        <v>0</v>
      </c>
      <c r="U458" s="578">
        <f t="shared" si="131"/>
        <v>0</v>
      </c>
      <c r="V458" s="579"/>
      <c r="W458" s="566"/>
      <c r="X458" s="586" t="str">
        <f t="shared" si="127"/>
        <v/>
      </c>
      <c r="Y458" s="586" t="str">
        <f t="shared" si="122"/>
        <v/>
      </c>
      <c r="Z458" s="586" t="str">
        <f t="shared" si="125"/>
        <v/>
      </c>
    </row>
    <row r="459" spans="1:26" ht="12" hidden="1" thickBot="1" x14ac:dyDescent="0.25">
      <c r="A459" s="671">
        <v>505416</v>
      </c>
      <c r="B459" s="644">
        <v>505416</v>
      </c>
      <c r="C459" s="645" t="s">
        <v>206</v>
      </c>
      <c r="D459" s="422" t="s">
        <v>2074</v>
      </c>
      <c r="E459" s="423"/>
      <c r="F459" s="424"/>
      <c r="G459" s="425"/>
      <c r="H459" s="663">
        <f t="shared" si="142"/>
        <v>0</v>
      </c>
      <c r="I459" s="420">
        <v>10.27</v>
      </c>
      <c r="J459" s="420">
        <f t="shared" si="136"/>
        <v>10.27</v>
      </c>
      <c r="K459" s="421">
        <f t="shared" si="137"/>
        <v>12.2</v>
      </c>
      <c r="L459" s="647" t="s">
        <v>18</v>
      </c>
      <c r="M459" s="587"/>
      <c r="N459" s="576">
        <f t="shared" si="123"/>
        <v>0</v>
      </c>
      <c r="O459" s="577">
        <f t="shared" si="132"/>
        <v>0</v>
      </c>
      <c r="P459" s="578">
        <f t="shared" si="133"/>
        <v>0</v>
      </c>
      <c r="Q459" s="765"/>
      <c r="R459" s="650">
        <f t="shared" si="138"/>
        <v>0</v>
      </c>
      <c r="S459" s="587">
        <f t="shared" si="138"/>
        <v>0</v>
      </c>
      <c r="T459" s="577">
        <f t="shared" si="130"/>
        <v>0</v>
      </c>
      <c r="U459" s="578">
        <f t="shared" si="131"/>
        <v>0</v>
      </c>
      <c r="V459" s="579"/>
      <c r="W459" s="566"/>
      <c r="X459" s="586" t="str">
        <f t="shared" si="127"/>
        <v/>
      </c>
      <c r="Y459" s="586" t="str">
        <f t="shared" si="122"/>
        <v/>
      </c>
      <c r="Z459" s="586" t="str">
        <f t="shared" si="125"/>
        <v/>
      </c>
    </row>
    <row r="460" spans="1:26" ht="12" hidden="1" thickBot="1" x14ac:dyDescent="0.25">
      <c r="A460" s="671">
        <v>5111000</v>
      </c>
      <c r="B460" s="644">
        <v>5111000</v>
      </c>
      <c r="C460" s="645" t="s">
        <v>206</v>
      </c>
      <c r="D460" s="422" t="s">
        <v>2075</v>
      </c>
      <c r="E460" s="423"/>
      <c r="F460" s="424"/>
      <c r="G460" s="425"/>
      <c r="H460" s="663">
        <f t="shared" si="142"/>
        <v>0</v>
      </c>
      <c r="I460" s="420">
        <v>3.75</v>
      </c>
      <c r="J460" s="420">
        <f t="shared" si="136"/>
        <v>3.75</v>
      </c>
      <c r="K460" s="421">
        <f t="shared" si="137"/>
        <v>4.46</v>
      </c>
      <c r="L460" s="647" t="s">
        <v>18</v>
      </c>
      <c r="M460" s="587"/>
      <c r="N460" s="576">
        <f t="shared" si="123"/>
        <v>0</v>
      </c>
      <c r="O460" s="577">
        <f t="shared" si="132"/>
        <v>0</v>
      </c>
      <c r="P460" s="578">
        <f t="shared" si="133"/>
        <v>0</v>
      </c>
      <c r="Q460" s="765"/>
      <c r="R460" s="650">
        <f t="shared" si="138"/>
        <v>0</v>
      </c>
      <c r="S460" s="587">
        <f t="shared" si="138"/>
        <v>0</v>
      </c>
      <c r="T460" s="577">
        <f t="shared" si="130"/>
        <v>0</v>
      </c>
      <c r="U460" s="578">
        <f t="shared" si="131"/>
        <v>0</v>
      </c>
      <c r="V460" s="579"/>
      <c r="W460" s="566"/>
      <c r="X460" s="586" t="str">
        <f t="shared" si="127"/>
        <v/>
      </c>
      <c r="Y460" s="586" t="str">
        <f t="shared" si="122"/>
        <v/>
      </c>
      <c r="Z460" s="586" t="str">
        <f t="shared" si="125"/>
        <v/>
      </c>
    </row>
    <row r="461" spans="1:26" ht="12" hidden="1" thickBot="1" x14ac:dyDescent="0.25">
      <c r="A461" s="671">
        <v>504840</v>
      </c>
      <c r="B461" s="644">
        <v>504840</v>
      </c>
      <c r="C461" s="645" t="s">
        <v>206</v>
      </c>
      <c r="D461" s="422" t="s">
        <v>2076</v>
      </c>
      <c r="E461" s="423"/>
      <c r="F461" s="424"/>
      <c r="G461" s="425"/>
      <c r="H461" s="663">
        <f t="shared" si="142"/>
        <v>0</v>
      </c>
      <c r="I461" s="420">
        <v>40.18</v>
      </c>
      <c r="J461" s="420">
        <f t="shared" si="136"/>
        <v>40.18</v>
      </c>
      <c r="K461" s="421">
        <f t="shared" si="137"/>
        <v>47.74</v>
      </c>
      <c r="L461" s="647" t="s">
        <v>23</v>
      </c>
      <c r="M461" s="587"/>
      <c r="N461" s="576">
        <f t="shared" si="123"/>
        <v>0</v>
      </c>
      <c r="O461" s="577">
        <f t="shared" si="132"/>
        <v>0</v>
      </c>
      <c r="P461" s="578">
        <f t="shared" si="133"/>
        <v>0</v>
      </c>
      <c r="Q461" s="765"/>
      <c r="R461" s="650">
        <f t="shared" si="138"/>
        <v>0</v>
      </c>
      <c r="S461" s="587">
        <f t="shared" si="138"/>
        <v>0</v>
      </c>
      <c r="T461" s="577">
        <f t="shared" si="130"/>
        <v>0</v>
      </c>
      <c r="U461" s="578">
        <f t="shared" si="131"/>
        <v>0</v>
      </c>
      <c r="V461" s="579"/>
      <c r="W461" s="566"/>
      <c r="X461" s="586" t="str">
        <f t="shared" si="127"/>
        <v/>
      </c>
      <c r="Y461" s="586" t="str">
        <f t="shared" si="122"/>
        <v/>
      </c>
      <c r="Z461" s="586" t="str">
        <f t="shared" si="125"/>
        <v/>
      </c>
    </row>
    <row r="462" spans="1:26" ht="12" hidden="1" thickBot="1" x14ac:dyDescent="0.25">
      <c r="A462" s="671">
        <v>503110</v>
      </c>
      <c r="B462" s="644">
        <v>503110</v>
      </c>
      <c r="C462" s="645" t="s">
        <v>206</v>
      </c>
      <c r="D462" s="422" t="s">
        <v>2077</v>
      </c>
      <c r="E462" s="423"/>
      <c r="F462" s="424"/>
      <c r="G462" s="425"/>
      <c r="H462" s="663">
        <f t="shared" si="142"/>
        <v>0</v>
      </c>
      <c r="I462" s="420">
        <v>2.54</v>
      </c>
      <c r="J462" s="420">
        <f t="shared" si="136"/>
        <v>2.54</v>
      </c>
      <c r="K462" s="421">
        <f t="shared" si="137"/>
        <v>3.02</v>
      </c>
      <c r="L462" s="647" t="s">
        <v>18</v>
      </c>
      <c r="M462" s="587"/>
      <c r="N462" s="576">
        <f t="shared" si="123"/>
        <v>0</v>
      </c>
      <c r="O462" s="577">
        <f t="shared" si="132"/>
        <v>0</v>
      </c>
      <c r="P462" s="578">
        <f t="shared" si="133"/>
        <v>0</v>
      </c>
      <c r="Q462" s="765"/>
      <c r="R462" s="650">
        <f t="shared" si="138"/>
        <v>0</v>
      </c>
      <c r="S462" s="587">
        <f t="shared" si="138"/>
        <v>0</v>
      </c>
      <c r="T462" s="577">
        <f t="shared" si="130"/>
        <v>0</v>
      </c>
      <c r="U462" s="578">
        <f t="shared" si="131"/>
        <v>0</v>
      </c>
      <c r="V462" s="579"/>
      <c r="W462" s="566"/>
      <c r="X462" s="586" t="str">
        <f t="shared" si="127"/>
        <v/>
      </c>
      <c r="Y462" s="586" t="str">
        <f t="shared" si="122"/>
        <v/>
      </c>
      <c r="Z462" s="586" t="str">
        <f t="shared" si="125"/>
        <v/>
      </c>
    </row>
    <row r="463" spans="1:26" ht="12" hidden="1" thickBot="1" x14ac:dyDescent="0.25">
      <c r="A463" s="671">
        <v>507215</v>
      </c>
      <c r="B463" s="644">
        <v>507215</v>
      </c>
      <c r="C463" s="645" t="s">
        <v>206</v>
      </c>
      <c r="D463" s="422" t="s">
        <v>2078</v>
      </c>
      <c r="E463" s="423"/>
      <c r="F463" s="424"/>
      <c r="G463" s="425"/>
      <c r="H463" s="663">
        <f t="shared" si="142"/>
        <v>0</v>
      </c>
      <c r="I463" s="420">
        <v>8.5</v>
      </c>
      <c r="J463" s="420">
        <f t="shared" si="136"/>
        <v>8.5</v>
      </c>
      <c r="K463" s="421">
        <f t="shared" si="137"/>
        <v>10.1</v>
      </c>
      <c r="L463" s="647" t="s">
        <v>23</v>
      </c>
      <c r="M463" s="587"/>
      <c r="N463" s="576">
        <f t="shared" si="123"/>
        <v>0</v>
      </c>
      <c r="O463" s="577">
        <f t="shared" si="132"/>
        <v>0</v>
      </c>
      <c r="P463" s="578">
        <f t="shared" si="133"/>
        <v>0</v>
      </c>
      <c r="Q463" s="765"/>
      <c r="R463" s="650">
        <f t="shared" si="138"/>
        <v>0</v>
      </c>
      <c r="S463" s="587">
        <f t="shared" si="138"/>
        <v>0</v>
      </c>
      <c r="T463" s="577">
        <f t="shared" si="130"/>
        <v>0</v>
      </c>
      <c r="U463" s="578">
        <f t="shared" si="131"/>
        <v>0</v>
      </c>
      <c r="V463" s="579"/>
      <c r="W463" s="566"/>
      <c r="X463" s="586" t="str">
        <f t="shared" si="127"/>
        <v/>
      </c>
      <c r="Y463" s="586" t="str">
        <f t="shared" si="122"/>
        <v/>
      </c>
      <c r="Z463" s="586" t="str">
        <f t="shared" si="125"/>
        <v/>
      </c>
    </row>
    <row r="464" spans="1:26" ht="12" hidden="1" thickBot="1" x14ac:dyDescent="0.25">
      <c r="A464" s="671">
        <v>507210</v>
      </c>
      <c r="B464" s="644">
        <v>507210</v>
      </c>
      <c r="C464" s="645" t="s">
        <v>206</v>
      </c>
      <c r="D464" s="422" t="s">
        <v>2079</v>
      </c>
      <c r="E464" s="423"/>
      <c r="F464" s="424"/>
      <c r="G464" s="425"/>
      <c r="H464" s="663">
        <f t="shared" si="142"/>
        <v>0</v>
      </c>
      <c r="I464" s="420">
        <v>8.59</v>
      </c>
      <c r="J464" s="420">
        <f t="shared" si="136"/>
        <v>8.59</v>
      </c>
      <c r="K464" s="421">
        <f t="shared" si="137"/>
        <v>10.210000000000001</v>
      </c>
      <c r="L464" s="647" t="s">
        <v>23</v>
      </c>
      <c r="M464" s="587"/>
      <c r="N464" s="576">
        <f t="shared" si="123"/>
        <v>0</v>
      </c>
      <c r="O464" s="577">
        <f t="shared" si="132"/>
        <v>0</v>
      </c>
      <c r="P464" s="578">
        <f t="shared" si="133"/>
        <v>0</v>
      </c>
      <c r="Q464" s="765"/>
      <c r="R464" s="650">
        <f t="shared" si="138"/>
        <v>0</v>
      </c>
      <c r="S464" s="587">
        <f t="shared" si="138"/>
        <v>0</v>
      </c>
      <c r="T464" s="577">
        <f t="shared" si="130"/>
        <v>0</v>
      </c>
      <c r="U464" s="578">
        <f t="shared" si="131"/>
        <v>0</v>
      </c>
      <c r="V464" s="579"/>
      <c r="W464" s="566"/>
      <c r="X464" s="586" t="str">
        <f t="shared" si="127"/>
        <v/>
      </c>
      <c r="Y464" s="586" t="str">
        <f t="shared" si="122"/>
        <v/>
      </c>
      <c r="Z464" s="586" t="str">
        <f t="shared" si="125"/>
        <v/>
      </c>
    </row>
    <row r="465" spans="1:26" ht="12" hidden="1" thickBot="1" x14ac:dyDescent="0.25">
      <c r="A465" s="671">
        <v>507220</v>
      </c>
      <c r="B465" s="644">
        <v>507220</v>
      </c>
      <c r="C465" s="645" t="s">
        <v>206</v>
      </c>
      <c r="D465" s="422" t="s">
        <v>2080</v>
      </c>
      <c r="E465" s="423"/>
      <c r="F465" s="424"/>
      <c r="G465" s="425"/>
      <c r="H465" s="663">
        <f t="shared" si="142"/>
        <v>0</v>
      </c>
      <c r="I465" s="420">
        <v>13.020000000000001</v>
      </c>
      <c r="J465" s="420">
        <f t="shared" si="136"/>
        <v>13.020000000000001</v>
      </c>
      <c r="K465" s="421">
        <f t="shared" si="137"/>
        <v>15.47</v>
      </c>
      <c r="L465" s="647" t="s">
        <v>23</v>
      </c>
      <c r="M465" s="587"/>
      <c r="N465" s="576">
        <f t="shared" si="123"/>
        <v>0</v>
      </c>
      <c r="O465" s="577">
        <f t="shared" si="132"/>
        <v>0</v>
      </c>
      <c r="P465" s="578">
        <f t="shared" si="133"/>
        <v>0</v>
      </c>
      <c r="Q465" s="765"/>
      <c r="R465" s="650">
        <f t="shared" si="138"/>
        <v>0</v>
      </c>
      <c r="S465" s="587">
        <f t="shared" si="138"/>
        <v>0</v>
      </c>
      <c r="T465" s="577">
        <f t="shared" si="130"/>
        <v>0</v>
      </c>
      <c r="U465" s="578">
        <f t="shared" si="131"/>
        <v>0</v>
      </c>
      <c r="V465" s="579"/>
      <c r="W465" s="566"/>
      <c r="X465" s="586" t="str">
        <f t="shared" si="127"/>
        <v/>
      </c>
      <c r="Y465" s="586" t="str">
        <f t="shared" si="122"/>
        <v/>
      </c>
      <c r="Z465" s="586" t="str">
        <f t="shared" si="125"/>
        <v/>
      </c>
    </row>
    <row r="466" spans="1:26" ht="12" hidden="1" thickBot="1" x14ac:dyDescent="0.25">
      <c r="A466" s="671">
        <v>507225</v>
      </c>
      <c r="B466" s="644">
        <v>507225</v>
      </c>
      <c r="C466" s="645" t="s">
        <v>206</v>
      </c>
      <c r="D466" s="422" t="s">
        <v>2081</v>
      </c>
      <c r="E466" s="423"/>
      <c r="F466" s="424"/>
      <c r="G466" s="425"/>
      <c r="H466" s="663">
        <f t="shared" si="142"/>
        <v>0</v>
      </c>
      <c r="I466" s="420">
        <v>14.93</v>
      </c>
      <c r="J466" s="420">
        <f t="shared" si="136"/>
        <v>14.93</v>
      </c>
      <c r="K466" s="421">
        <f t="shared" si="137"/>
        <v>17.739999999999998</v>
      </c>
      <c r="L466" s="647" t="s">
        <v>23</v>
      </c>
      <c r="M466" s="587"/>
      <c r="N466" s="576">
        <f t="shared" si="123"/>
        <v>0</v>
      </c>
      <c r="O466" s="577">
        <f t="shared" si="132"/>
        <v>0</v>
      </c>
      <c r="P466" s="578">
        <f t="shared" si="133"/>
        <v>0</v>
      </c>
      <c r="Q466" s="765"/>
      <c r="R466" s="650">
        <f t="shared" si="138"/>
        <v>0</v>
      </c>
      <c r="S466" s="587">
        <f t="shared" si="138"/>
        <v>0</v>
      </c>
      <c r="T466" s="577">
        <f t="shared" si="130"/>
        <v>0</v>
      </c>
      <c r="U466" s="578">
        <f t="shared" si="131"/>
        <v>0</v>
      </c>
      <c r="V466" s="579"/>
      <c r="W466" s="566"/>
      <c r="X466" s="586" t="str">
        <f t="shared" si="127"/>
        <v/>
      </c>
      <c r="Y466" s="586" t="str">
        <f t="shared" si="122"/>
        <v/>
      </c>
      <c r="Z466" s="586" t="str">
        <f t="shared" si="125"/>
        <v/>
      </c>
    </row>
    <row r="467" spans="1:26" ht="12" hidden="1" thickBot="1" x14ac:dyDescent="0.25">
      <c r="A467" s="671">
        <v>507232</v>
      </c>
      <c r="B467" s="644">
        <v>507232</v>
      </c>
      <c r="C467" s="645" t="s">
        <v>206</v>
      </c>
      <c r="D467" s="422" t="s">
        <v>2082</v>
      </c>
      <c r="E467" s="423"/>
      <c r="F467" s="424"/>
      <c r="G467" s="425"/>
      <c r="H467" s="663">
        <f t="shared" si="142"/>
        <v>0</v>
      </c>
      <c r="I467" s="420">
        <v>16.63</v>
      </c>
      <c r="J467" s="420">
        <f t="shared" si="136"/>
        <v>16.63</v>
      </c>
      <c r="K467" s="421">
        <f t="shared" si="137"/>
        <v>19.760000000000002</v>
      </c>
      <c r="L467" s="647" t="s">
        <v>23</v>
      </c>
      <c r="M467" s="587"/>
      <c r="N467" s="576">
        <f t="shared" si="123"/>
        <v>0</v>
      </c>
      <c r="O467" s="577">
        <f t="shared" si="132"/>
        <v>0</v>
      </c>
      <c r="P467" s="578">
        <f t="shared" si="133"/>
        <v>0</v>
      </c>
      <c r="Q467" s="765"/>
      <c r="R467" s="650">
        <f t="shared" si="138"/>
        <v>0</v>
      </c>
      <c r="S467" s="587">
        <f t="shared" si="138"/>
        <v>0</v>
      </c>
      <c r="T467" s="577">
        <f t="shared" si="130"/>
        <v>0</v>
      </c>
      <c r="U467" s="578">
        <f t="shared" si="131"/>
        <v>0</v>
      </c>
      <c r="V467" s="579"/>
      <c r="W467" s="566"/>
      <c r="X467" s="586" t="str">
        <f t="shared" si="127"/>
        <v/>
      </c>
      <c r="Y467" s="586" t="str">
        <f t="shared" ref="Y467:Y599" si="143">IF(W467="X","x",IF(W467="y","x",IF(W467="xx","x",IF(U467&gt;0,"x",""))))</f>
        <v/>
      </c>
      <c r="Z467" s="586" t="str">
        <f t="shared" si="125"/>
        <v/>
      </c>
    </row>
    <row r="468" spans="1:26" ht="12" hidden="1" thickBot="1" x14ac:dyDescent="0.25">
      <c r="A468" s="671">
        <v>504920</v>
      </c>
      <c r="B468" s="644">
        <v>504920</v>
      </c>
      <c r="C468" s="645" t="s">
        <v>206</v>
      </c>
      <c r="D468" s="422" t="s">
        <v>2083</v>
      </c>
      <c r="E468" s="423"/>
      <c r="F468" s="424">
        <v>20</v>
      </c>
      <c r="G468" s="425">
        <v>1.1000000000000001E-3</v>
      </c>
      <c r="H468" s="649">
        <f>IF(F468&lt;=30,(0.78*F468+7.82)*G468,((0.78*30+7.82)+0.78*(F468-30))*G468)</f>
        <v>2.5762000000000004E-2</v>
      </c>
      <c r="I468" s="420">
        <v>12.120000000000001</v>
      </c>
      <c r="J468" s="420">
        <f t="shared" si="136"/>
        <v>12.145762000000001</v>
      </c>
      <c r="K468" s="421">
        <f t="shared" si="137"/>
        <v>14.43</v>
      </c>
      <c r="L468" s="647" t="s">
        <v>23</v>
      </c>
      <c r="M468" s="587"/>
      <c r="N468" s="576">
        <f t="shared" ref="N468:N531" si="144">IF(M468=0,0,K468)</f>
        <v>0</v>
      </c>
      <c r="O468" s="577">
        <f t="shared" si="132"/>
        <v>0</v>
      </c>
      <c r="P468" s="578">
        <f t="shared" si="133"/>
        <v>0</v>
      </c>
      <c r="Q468" s="765"/>
      <c r="R468" s="650">
        <f t="shared" si="138"/>
        <v>0</v>
      </c>
      <c r="S468" s="587">
        <f t="shared" si="138"/>
        <v>0</v>
      </c>
      <c r="T468" s="577">
        <f t="shared" si="130"/>
        <v>0</v>
      </c>
      <c r="U468" s="578">
        <f t="shared" si="131"/>
        <v>0</v>
      </c>
      <c r="V468" s="579"/>
      <c r="W468" s="566"/>
      <c r="X468" s="586" t="str">
        <f t="shared" si="127"/>
        <v/>
      </c>
      <c r="Y468" s="586" t="str">
        <f t="shared" si="143"/>
        <v/>
      </c>
      <c r="Z468" s="586" t="str">
        <f t="shared" si="125"/>
        <v/>
      </c>
    </row>
    <row r="469" spans="1:26" ht="12" hidden="1" thickBot="1" x14ac:dyDescent="0.25">
      <c r="A469" s="671">
        <v>502660</v>
      </c>
      <c r="B469" s="644">
        <v>502660</v>
      </c>
      <c r="C469" s="645" t="s">
        <v>206</v>
      </c>
      <c r="D469" s="422" t="s">
        <v>2084</v>
      </c>
      <c r="E469" s="423"/>
      <c r="F469" s="424"/>
      <c r="G469" s="425"/>
      <c r="H469" s="663">
        <f t="shared" ref="H469:H471" si="145">IF(F469&lt;=30,(1.07*F469+2.68)*G469,((1.07*30+2.68)+1.07*(F469-30))*G469)</f>
        <v>0</v>
      </c>
      <c r="I469" s="420">
        <v>14.75</v>
      </c>
      <c r="J469" s="420">
        <f t="shared" si="136"/>
        <v>14.75</v>
      </c>
      <c r="K469" s="421">
        <f t="shared" si="137"/>
        <v>17.52</v>
      </c>
      <c r="L469" s="647" t="s">
        <v>19</v>
      </c>
      <c r="M469" s="587"/>
      <c r="N469" s="576">
        <f t="shared" si="144"/>
        <v>0</v>
      </c>
      <c r="O469" s="577">
        <f t="shared" si="132"/>
        <v>0</v>
      </c>
      <c r="P469" s="578">
        <f t="shared" si="133"/>
        <v>0</v>
      </c>
      <c r="Q469" s="765"/>
      <c r="R469" s="650">
        <f t="shared" si="138"/>
        <v>0</v>
      </c>
      <c r="S469" s="587">
        <f t="shared" si="138"/>
        <v>0</v>
      </c>
      <c r="T469" s="577">
        <f t="shared" si="130"/>
        <v>0</v>
      </c>
      <c r="U469" s="578">
        <f t="shared" si="131"/>
        <v>0</v>
      </c>
      <c r="V469" s="579"/>
      <c r="W469" s="566"/>
      <c r="X469" s="586" t="str">
        <f t="shared" si="127"/>
        <v/>
      </c>
      <c r="Y469" s="586" t="str">
        <f t="shared" si="143"/>
        <v/>
      </c>
      <c r="Z469" s="586" t="str">
        <f t="shared" si="125"/>
        <v/>
      </c>
    </row>
    <row r="470" spans="1:26" ht="12" hidden="1" thickBot="1" x14ac:dyDescent="0.25">
      <c r="A470" s="671">
        <v>502680</v>
      </c>
      <c r="B470" s="644">
        <v>502680</v>
      </c>
      <c r="C470" s="645" t="s">
        <v>206</v>
      </c>
      <c r="D470" s="422" t="s">
        <v>2085</v>
      </c>
      <c r="E470" s="423"/>
      <c r="F470" s="424"/>
      <c r="G470" s="425"/>
      <c r="H470" s="663">
        <f t="shared" si="145"/>
        <v>0</v>
      </c>
      <c r="I470" s="420">
        <v>13.29</v>
      </c>
      <c r="J470" s="420">
        <f t="shared" si="136"/>
        <v>13.29</v>
      </c>
      <c r="K470" s="421">
        <f t="shared" si="137"/>
        <v>15.79</v>
      </c>
      <c r="L470" s="647" t="s">
        <v>19</v>
      </c>
      <c r="M470" s="587"/>
      <c r="N470" s="576">
        <f t="shared" si="144"/>
        <v>0</v>
      </c>
      <c r="O470" s="577">
        <f t="shared" si="132"/>
        <v>0</v>
      </c>
      <c r="P470" s="578">
        <f t="shared" si="133"/>
        <v>0</v>
      </c>
      <c r="Q470" s="765"/>
      <c r="R470" s="650">
        <f t="shared" si="138"/>
        <v>0</v>
      </c>
      <c r="S470" s="587">
        <f t="shared" si="138"/>
        <v>0</v>
      </c>
      <c r="T470" s="577">
        <f t="shared" si="130"/>
        <v>0</v>
      </c>
      <c r="U470" s="578">
        <f t="shared" si="131"/>
        <v>0</v>
      </c>
      <c r="V470" s="579"/>
      <c r="W470" s="566"/>
      <c r="X470" s="586" t="str">
        <f t="shared" si="127"/>
        <v/>
      </c>
      <c r="Y470" s="586" t="str">
        <f t="shared" si="143"/>
        <v/>
      </c>
      <c r="Z470" s="586" t="str">
        <f t="shared" si="125"/>
        <v/>
      </c>
    </row>
    <row r="471" spans="1:26" ht="12" hidden="1" thickBot="1" x14ac:dyDescent="0.25">
      <c r="A471" s="671">
        <v>502670</v>
      </c>
      <c r="B471" s="644">
        <v>502670</v>
      </c>
      <c r="C471" s="645" t="s">
        <v>206</v>
      </c>
      <c r="D471" s="422" t="s">
        <v>2086</v>
      </c>
      <c r="E471" s="423"/>
      <c r="F471" s="424"/>
      <c r="G471" s="425"/>
      <c r="H471" s="651">
        <f t="shared" si="145"/>
        <v>0</v>
      </c>
      <c r="I471" s="420">
        <v>17.82</v>
      </c>
      <c r="J471" s="420">
        <f t="shared" si="136"/>
        <v>17.82</v>
      </c>
      <c r="K471" s="421">
        <f t="shared" si="137"/>
        <v>21.17</v>
      </c>
      <c r="L471" s="647" t="s">
        <v>19</v>
      </c>
      <c r="M471" s="587"/>
      <c r="N471" s="576">
        <f t="shared" si="144"/>
        <v>0</v>
      </c>
      <c r="O471" s="577">
        <f t="shared" si="132"/>
        <v>0</v>
      </c>
      <c r="P471" s="578">
        <f t="shared" si="133"/>
        <v>0</v>
      </c>
      <c r="Q471" s="765"/>
      <c r="R471" s="650">
        <f t="shared" si="138"/>
        <v>0</v>
      </c>
      <c r="S471" s="587">
        <f t="shared" si="138"/>
        <v>0</v>
      </c>
      <c r="T471" s="577">
        <f t="shared" si="130"/>
        <v>0</v>
      </c>
      <c r="U471" s="578">
        <f t="shared" si="131"/>
        <v>0</v>
      </c>
      <c r="V471" s="579"/>
      <c r="W471" s="566"/>
      <c r="X471" s="586" t="str">
        <f t="shared" si="127"/>
        <v/>
      </c>
      <c r="Y471" s="586" t="str">
        <f t="shared" si="143"/>
        <v/>
      </c>
      <c r="Z471" s="586" t="str">
        <f t="shared" si="125"/>
        <v/>
      </c>
    </row>
    <row r="472" spans="1:26" ht="12" hidden="1" thickBot="1" x14ac:dyDescent="0.25">
      <c r="A472" s="671">
        <v>502645</v>
      </c>
      <c r="B472" s="644">
        <v>502645</v>
      </c>
      <c r="C472" s="645" t="s">
        <v>206</v>
      </c>
      <c r="D472" s="422" t="s">
        <v>2087</v>
      </c>
      <c r="E472" s="423"/>
      <c r="F472" s="424"/>
      <c r="G472" s="425"/>
      <c r="H472" s="663">
        <f>SUM(H473:H476)</f>
        <v>367.73024000000004</v>
      </c>
      <c r="I472" s="420">
        <v>317.57000000000005</v>
      </c>
      <c r="J472" s="420">
        <f t="shared" si="136"/>
        <v>685.30024000000003</v>
      </c>
      <c r="K472" s="421">
        <f t="shared" si="137"/>
        <v>814.21</v>
      </c>
      <c r="L472" s="647" t="s">
        <v>16</v>
      </c>
      <c r="M472" s="587"/>
      <c r="N472" s="576">
        <f t="shared" si="144"/>
        <v>0</v>
      </c>
      <c r="O472" s="577">
        <f t="shared" si="132"/>
        <v>0</v>
      </c>
      <c r="P472" s="578">
        <f t="shared" si="133"/>
        <v>0</v>
      </c>
      <c r="Q472" s="765"/>
      <c r="R472" s="650">
        <f t="shared" si="138"/>
        <v>0</v>
      </c>
      <c r="S472" s="587">
        <f t="shared" si="138"/>
        <v>0</v>
      </c>
      <c r="T472" s="577">
        <f t="shared" si="130"/>
        <v>0</v>
      </c>
      <c r="U472" s="578">
        <f t="shared" si="131"/>
        <v>0</v>
      </c>
      <c r="V472" s="579"/>
      <c r="W472" s="566"/>
      <c r="X472" s="586" t="str">
        <f t="shared" si="127"/>
        <v/>
      </c>
      <c r="Y472" s="586" t="str">
        <f t="shared" si="143"/>
        <v/>
      </c>
      <c r="Z472" s="586" t="str">
        <f t="shared" si="125"/>
        <v/>
      </c>
    </row>
    <row r="473" spans="1:26" ht="12" hidden="1" thickBot="1" x14ac:dyDescent="0.25">
      <c r="A473" s="567" t="s">
        <v>168</v>
      </c>
      <c r="B473" s="644" t="s">
        <v>168</v>
      </c>
      <c r="C473" s="645"/>
      <c r="D473" s="451" t="s">
        <v>212</v>
      </c>
      <c r="E473" s="423"/>
      <c r="F473" s="424">
        <v>500</v>
      </c>
      <c r="G473" s="425">
        <v>0.38</v>
      </c>
      <c r="H473" s="649">
        <f>IF(F473&lt;=30,(0.78*F473+7.82)*G473,((0.78*30+7.82)+0.78*(F473-30))*G473)</f>
        <v>151.17160000000001</v>
      </c>
      <c r="I473" s="420">
        <v>0</v>
      </c>
      <c r="J473" s="420"/>
      <c r="K473" s="421">
        <f>IF(ISBLANK(I473),0,ROUND(J473*(1+$F$10)*(1+$F$11*E473),2))</f>
        <v>0</v>
      </c>
      <c r="L473" s="668"/>
      <c r="M473" s="669"/>
      <c r="N473" s="576">
        <f t="shared" si="144"/>
        <v>0</v>
      </c>
      <c r="O473" s="577">
        <f t="shared" si="132"/>
        <v>0</v>
      </c>
      <c r="P473" s="578">
        <f t="shared" si="133"/>
        <v>0</v>
      </c>
      <c r="Q473" s="765"/>
      <c r="R473" s="669"/>
      <c r="S473" s="670"/>
      <c r="T473" s="577">
        <f t="shared" si="130"/>
        <v>0</v>
      </c>
      <c r="U473" s="578">
        <f t="shared" si="131"/>
        <v>0</v>
      </c>
      <c r="V473" s="579"/>
      <c r="W473" s="637" t="str">
        <f>IF(U472&gt;0,"xx",IF(P472&gt;0,"xy",""))</f>
        <v/>
      </c>
      <c r="X473" s="586" t="str">
        <f>IF(W473="X","x",IF(W473="xx","x",IF(W473="xy","x",IF(W473="y","x",IF(OR(P473&gt;0,U473&gt;0),"x","")))))</f>
        <v/>
      </c>
      <c r="Y473" s="586" t="str">
        <f t="shared" si="143"/>
        <v/>
      </c>
      <c r="Z473" s="586" t="str">
        <f t="shared" si="125"/>
        <v/>
      </c>
    </row>
    <row r="474" spans="1:26" ht="12" hidden="1" thickBot="1" x14ac:dyDescent="0.25">
      <c r="A474" s="567" t="s">
        <v>168</v>
      </c>
      <c r="B474" s="644" t="s">
        <v>168</v>
      </c>
      <c r="C474" s="645"/>
      <c r="D474" s="451" t="s">
        <v>248</v>
      </c>
      <c r="E474" s="423"/>
      <c r="F474" s="424">
        <v>180</v>
      </c>
      <c r="G474" s="425">
        <v>0.70050000000000001</v>
      </c>
      <c r="H474" s="663">
        <f t="shared" ref="H474:H476" si="146">IF(F474&lt;=30,(1.07*F474+2.68)*G474,((1.07*30+2.68)+1.07*(F474-30))*G474)</f>
        <v>136.79364000000001</v>
      </c>
      <c r="I474" s="420">
        <v>0</v>
      </c>
      <c r="J474" s="420"/>
      <c r="K474" s="421">
        <f>IF(ISBLANK(I474),0,ROUND(J474*(1+$F$10)*(1+$F$11*E474),2))</f>
        <v>0</v>
      </c>
      <c r="L474" s="668" t="s">
        <v>614</v>
      </c>
      <c r="M474" s="669"/>
      <c r="N474" s="576">
        <f t="shared" si="144"/>
        <v>0</v>
      </c>
      <c r="O474" s="577">
        <f t="shared" si="132"/>
        <v>0</v>
      </c>
      <c r="P474" s="578">
        <f t="shared" si="133"/>
        <v>0</v>
      </c>
      <c r="Q474" s="765"/>
      <c r="R474" s="669"/>
      <c r="S474" s="670"/>
      <c r="T474" s="577">
        <f t="shared" si="130"/>
        <v>0</v>
      </c>
      <c r="U474" s="578">
        <f t="shared" si="131"/>
        <v>0</v>
      </c>
      <c r="V474" s="579"/>
      <c r="W474" s="637" t="str">
        <f>IF(U472&gt;0,"xx",IF(P472&gt;0,"xy",""))</f>
        <v/>
      </c>
      <c r="X474" s="586" t="str">
        <f>IF(W474="X","x",IF(W474="xx","x",IF(W474="xy","x",IF(W474="y","x",IF(OR(P474&gt;0,U474&gt;0),"x","")))))</f>
        <v/>
      </c>
      <c r="Y474" s="586" t="str">
        <f t="shared" si="143"/>
        <v/>
      </c>
      <c r="Z474" s="586" t="str">
        <f t="shared" si="125"/>
        <v/>
      </c>
    </row>
    <row r="475" spans="1:26" ht="12" hidden="1" thickBot="1" x14ac:dyDescent="0.25">
      <c r="A475" s="567" t="s">
        <v>168</v>
      </c>
      <c r="B475" s="644" t="s">
        <v>168</v>
      </c>
      <c r="C475" s="645"/>
      <c r="D475" s="451" t="s">
        <v>252</v>
      </c>
      <c r="E475" s="423"/>
      <c r="F475" s="424">
        <v>20</v>
      </c>
      <c r="G475" s="425">
        <v>1.1160000000000001</v>
      </c>
      <c r="H475" s="663">
        <f t="shared" si="146"/>
        <v>26.873280000000005</v>
      </c>
      <c r="I475" s="420">
        <v>0</v>
      </c>
      <c r="J475" s="420"/>
      <c r="K475" s="421">
        <f>IF(ISBLANK(I475),0,ROUND(J475*(1+$F$10)*(1+$F$11*E475),2))</f>
        <v>0</v>
      </c>
      <c r="L475" s="668" t="s">
        <v>614</v>
      </c>
      <c r="M475" s="669"/>
      <c r="N475" s="576">
        <f t="shared" si="144"/>
        <v>0</v>
      </c>
      <c r="O475" s="577">
        <f t="shared" si="132"/>
        <v>0</v>
      </c>
      <c r="P475" s="578">
        <f t="shared" si="133"/>
        <v>0</v>
      </c>
      <c r="Q475" s="765"/>
      <c r="R475" s="669"/>
      <c r="S475" s="670"/>
      <c r="T475" s="577">
        <f t="shared" si="130"/>
        <v>0</v>
      </c>
      <c r="U475" s="578">
        <f t="shared" si="131"/>
        <v>0</v>
      </c>
      <c r="V475" s="579"/>
      <c r="W475" s="637" t="str">
        <f>IF(U472&gt;0,"xx",IF(P472&gt;0,"xy",""))</f>
        <v/>
      </c>
      <c r="X475" s="586" t="str">
        <f>IF(W475="X","x",IF(W475="xx","x",IF(W475="xy","x",IF(W475="y","x",IF(OR(P475&gt;0,U475&gt;0),"x","")))))</f>
        <v/>
      </c>
      <c r="Y475" s="586" t="str">
        <f t="shared" si="143"/>
        <v/>
      </c>
      <c r="Z475" s="586" t="str">
        <f t="shared" si="125"/>
        <v/>
      </c>
    </row>
    <row r="476" spans="1:26" ht="12" hidden="1" thickBot="1" x14ac:dyDescent="0.25">
      <c r="A476" s="567" t="s">
        <v>168</v>
      </c>
      <c r="B476" s="644" t="s">
        <v>168</v>
      </c>
      <c r="C476" s="645"/>
      <c r="D476" s="451" t="s">
        <v>263</v>
      </c>
      <c r="E476" s="423"/>
      <c r="F476" s="424">
        <v>20</v>
      </c>
      <c r="G476" s="425">
        <f>SUM(G472:G475)</f>
        <v>2.1965000000000003</v>
      </c>
      <c r="H476" s="651">
        <f t="shared" si="146"/>
        <v>52.891720000000014</v>
      </c>
      <c r="I476" s="420">
        <v>0</v>
      </c>
      <c r="J476" s="420"/>
      <c r="K476" s="421">
        <f>IF(ISBLANK(I476),0,ROUND(J476*(1+$F$10)*(1+$F$11*E476),2))</f>
        <v>0</v>
      </c>
      <c r="L476" s="647" t="s">
        <v>614</v>
      </c>
      <c r="M476" s="703"/>
      <c r="N476" s="576">
        <f t="shared" si="144"/>
        <v>0</v>
      </c>
      <c r="O476" s="577">
        <f t="shared" si="132"/>
        <v>0</v>
      </c>
      <c r="P476" s="578">
        <f t="shared" si="133"/>
        <v>0</v>
      </c>
      <c r="Q476" s="765"/>
      <c r="R476" s="703"/>
      <c r="S476" s="670"/>
      <c r="T476" s="577">
        <f t="shared" si="130"/>
        <v>0</v>
      </c>
      <c r="U476" s="578">
        <f t="shared" si="131"/>
        <v>0</v>
      </c>
      <c r="V476" s="579"/>
      <c r="W476" s="637" t="str">
        <f>IF(U472&gt;0,"xx",IF(P472&gt;0,"xy",""))</f>
        <v/>
      </c>
      <c r="X476" s="586" t="str">
        <f>IF(W476="X","x",IF(W476="xx","x",IF(W476="xy","x",IF(W476="y","x",IF(OR(P476&gt;0,U476&gt;0),"x","")))))</f>
        <v/>
      </c>
      <c r="Y476" s="586" t="str">
        <f t="shared" si="143"/>
        <v/>
      </c>
      <c r="Z476" s="586" t="str">
        <f t="shared" si="125"/>
        <v/>
      </c>
    </row>
    <row r="477" spans="1:26" ht="12" hidden="1" thickBot="1" x14ac:dyDescent="0.25">
      <c r="A477" s="671">
        <v>502646</v>
      </c>
      <c r="B477" s="644">
        <v>502646</v>
      </c>
      <c r="C477" s="645" t="s">
        <v>206</v>
      </c>
      <c r="D477" s="422" t="s">
        <v>2088</v>
      </c>
      <c r="E477" s="423"/>
      <c r="F477" s="424"/>
      <c r="G477" s="425"/>
      <c r="H477" s="663">
        <f>SUM(H478:H481)</f>
        <v>367.73024000000004</v>
      </c>
      <c r="I477" s="420">
        <v>370.74</v>
      </c>
      <c r="J477" s="420">
        <f t="shared" si="136"/>
        <v>738.4702400000001</v>
      </c>
      <c r="K477" s="421">
        <f t="shared" si="137"/>
        <v>877.38</v>
      </c>
      <c r="L477" s="647" t="s">
        <v>16</v>
      </c>
      <c r="M477" s="587"/>
      <c r="N477" s="576">
        <f t="shared" si="144"/>
        <v>0</v>
      </c>
      <c r="O477" s="577">
        <f t="shared" si="132"/>
        <v>0</v>
      </c>
      <c r="P477" s="578">
        <f t="shared" si="133"/>
        <v>0</v>
      </c>
      <c r="Q477" s="765"/>
      <c r="R477" s="650">
        <f t="shared" si="138"/>
        <v>0</v>
      </c>
      <c r="S477" s="587">
        <f>N477</f>
        <v>0</v>
      </c>
      <c r="T477" s="577">
        <f t="shared" si="130"/>
        <v>0</v>
      </c>
      <c r="U477" s="578">
        <f t="shared" si="131"/>
        <v>0</v>
      </c>
      <c r="V477" s="579"/>
      <c r="W477" s="566"/>
      <c r="X477" s="586" t="str">
        <f t="shared" si="127"/>
        <v/>
      </c>
      <c r="Y477" s="586" t="str">
        <f t="shared" si="143"/>
        <v/>
      </c>
      <c r="Z477" s="586" t="str">
        <f t="shared" ref="Z477:Z589" si="147">IF(W477="X","x",IF(U477&gt;0,"x",""))</f>
        <v/>
      </c>
    </row>
    <row r="478" spans="1:26" ht="12" hidden="1" thickBot="1" x14ac:dyDescent="0.25">
      <c r="A478" s="567" t="s">
        <v>168</v>
      </c>
      <c r="B478" s="644" t="s">
        <v>168</v>
      </c>
      <c r="C478" s="645"/>
      <c r="D478" s="451" t="s">
        <v>212</v>
      </c>
      <c r="E478" s="423"/>
      <c r="F478" s="424">
        <v>500</v>
      </c>
      <c r="G478" s="425">
        <v>0.38</v>
      </c>
      <c r="H478" s="649">
        <f>IF(F478&lt;=30,(0.78*F478+7.82)*G478,((0.78*30+7.82)+0.78*(F478-30))*G478)</f>
        <v>151.17160000000001</v>
      </c>
      <c r="I478" s="420">
        <v>0</v>
      </c>
      <c r="J478" s="420"/>
      <c r="K478" s="421">
        <f t="shared" si="137"/>
        <v>0</v>
      </c>
      <c r="L478" s="668" t="s">
        <v>614</v>
      </c>
      <c r="M478" s="669"/>
      <c r="N478" s="576">
        <f t="shared" si="144"/>
        <v>0</v>
      </c>
      <c r="O478" s="577">
        <f>IF(ISBLANK(M478),0,ROUND(K478*M478,2))</f>
        <v>0</v>
      </c>
      <c r="P478" s="578">
        <f>IF(ISBLANK(N478),0,ROUND(M478*N478,2))</f>
        <v>0</v>
      </c>
      <c r="Q478" s="765"/>
      <c r="R478" s="669"/>
      <c r="S478" s="670"/>
      <c r="T478" s="577">
        <f>IF(ISBLANK(R478),0,ROUND(K478*R478,2))</f>
        <v>0</v>
      </c>
      <c r="U478" s="578">
        <f>IF(ISBLANK(R478),0,ROUND(R478*S478,2))</f>
        <v>0</v>
      </c>
      <c r="V478" s="579"/>
      <c r="W478" s="637" t="str">
        <f>IF(U477&gt;0,"xx",IF(P477&gt;0,"xy",""))</f>
        <v/>
      </c>
      <c r="X478" s="586" t="str">
        <f t="shared" si="127"/>
        <v/>
      </c>
      <c r="Y478" s="586" t="str">
        <f>IF(W478="X","x",IF(W478="y","x",IF(W478="xx","x",IF(U478&gt;0,"x",""))))</f>
        <v/>
      </c>
      <c r="Z478" s="586" t="str">
        <f>IF(W478="X","x",IF(U478&gt;0,"x",""))</f>
        <v/>
      </c>
    </row>
    <row r="479" spans="1:26" ht="12" hidden="1" thickBot="1" x14ac:dyDescent="0.25">
      <c r="A479" s="567" t="s">
        <v>168</v>
      </c>
      <c r="B479" s="644" t="s">
        <v>168</v>
      </c>
      <c r="C479" s="645"/>
      <c r="D479" s="451" t="s">
        <v>248</v>
      </c>
      <c r="E479" s="423"/>
      <c r="F479" s="424">
        <v>180</v>
      </c>
      <c r="G479" s="425">
        <v>0.70050000000000001</v>
      </c>
      <c r="H479" s="663">
        <f t="shared" ref="H479:H490" si="148">IF(F479&lt;=30,(1.07*F479+2.68)*G479,((1.07*30+2.68)+1.07*(F479-30))*G479)</f>
        <v>136.79364000000001</v>
      </c>
      <c r="I479" s="420">
        <v>0</v>
      </c>
      <c r="J479" s="420"/>
      <c r="K479" s="421">
        <f t="shared" si="137"/>
        <v>0</v>
      </c>
      <c r="L479" s="668" t="s">
        <v>614</v>
      </c>
      <c r="M479" s="669"/>
      <c r="N479" s="576">
        <f t="shared" si="144"/>
        <v>0</v>
      </c>
      <c r="O479" s="577">
        <f>IF(ISBLANK(M479),0,ROUND(K479*M479,2))</f>
        <v>0</v>
      </c>
      <c r="P479" s="578">
        <f>IF(ISBLANK(N479),0,ROUND(M479*N479,2))</f>
        <v>0</v>
      </c>
      <c r="Q479" s="765"/>
      <c r="R479" s="669"/>
      <c r="S479" s="670"/>
      <c r="T479" s="577">
        <f>IF(ISBLANK(R479),0,ROUND(K479*R479,2))</f>
        <v>0</v>
      </c>
      <c r="U479" s="578">
        <f>IF(ISBLANK(R479),0,ROUND(R479*S479,2))</f>
        <v>0</v>
      </c>
      <c r="V479" s="579"/>
      <c r="W479" s="637" t="str">
        <f>IF(U477&gt;0,"xx",IF(P477&gt;0,"xy",""))</f>
        <v/>
      </c>
      <c r="X479" s="586" t="str">
        <f t="shared" si="127"/>
        <v/>
      </c>
      <c r="Y479" s="586" t="str">
        <f>IF(W479="X","x",IF(W479="y","x",IF(W479="xx","x",IF(U479&gt;0,"x",""))))</f>
        <v/>
      </c>
      <c r="Z479" s="586" t="str">
        <f>IF(W479="X","x",IF(U479&gt;0,"x",""))</f>
        <v/>
      </c>
    </row>
    <row r="480" spans="1:26" ht="12" hidden="1" thickBot="1" x14ac:dyDescent="0.25">
      <c r="A480" s="567" t="s">
        <v>168</v>
      </c>
      <c r="B480" s="644" t="s">
        <v>168</v>
      </c>
      <c r="C480" s="645"/>
      <c r="D480" s="451" t="s">
        <v>252</v>
      </c>
      <c r="E480" s="423"/>
      <c r="F480" s="424">
        <v>20</v>
      </c>
      <c r="G480" s="425">
        <v>1.1160000000000001</v>
      </c>
      <c r="H480" s="663">
        <f t="shared" si="148"/>
        <v>26.873280000000005</v>
      </c>
      <c r="I480" s="420">
        <v>0</v>
      </c>
      <c r="J480" s="420"/>
      <c r="K480" s="421">
        <f t="shared" si="137"/>
        <v>0</v>
      </c>
      <c r="L480" s="647" t="s">
        <v>614</v>
      </c>
      <c r="M480" s="703"/>
      <c r="N480" s="576">
        <f t="shared" si="144"/>
        <v>0</v>
      </c>
      <c r="O480" s="577">
        <f>IF(ISBLANK(M480),0,ROUND(K480*M480,2))</f>
        <v>0</v>
      </c>
      <c r="P480" s="578">
        <f>IF(ISBLANK(N480),0,ROUND(M480*N480,2))</f>
        <v>0</v>
      </c>
      <c r="Q480" s="765"/>
      <c r="R480" s="703"/>
      <c r="S480" s="670"/>
      <c r="T480" s="577">
        <f>IF(ISBLANK(R480),0,ROUND(K480*R480,2))</f>
        <v>0</v>
      </c>
      <c r="U480" s="578">
        <f>IF(ISBLANK(R480),0,ROUND(R480*S480,2))</f>
        <v>0</v>
      </c>
      <c r="V480" s="579"/>
      <c r="W480" s="637" t="str">
        <f>IF(U476&gt;0,"xx",IF(P476&gt;0,"xy",""))</f>
        <v/>
      </c>
      <c r="X480" s="586" t="str">
        <f t="shared" si="127"/>
        <v/>
      </c>
      <c r="Y480" s="586" t="str">
        <f>IF(W480="X","x",IF(W480="y","x",IF(W480="xx","x",IF(U480&gt;0,"x",""))))</f>
        <v/>
      </c>
      <c r="Z480" s="586" t="str">
        <f>IF(W480="X","x",IF(U480&gt;0,"x",""))</f>
        <v/>
      </c>
    </row>
    <row r="481" spans="1:26" ht="12" hidden="1" thickBot="1" x14ac:dyDescent="0.25">
      <c r="A481" s="567" t="s">
        <v>168</v>
      </c>
      <c r="B481" s="704" t="s">
        <v>168</v>
      </c>
      <c r="C481" s="689"/>
      <c r="D481" s="477" t="s">
        <v>263</v>
      </c>
      <c r="E481" s="470"/>
      <c r="F481" s="478">
        <v>20</v>
      </c>
      <c r="G481" s="479">
        <f>SUM(G477:G480)</f>
        <v>2.1965000000000003</v>
      </c>
      <c r="H481" s="714">
        <f t="shared" si="148"/>
        <v>52.891720000000014</v>
      </c>
      <c r="I481" s="472">
        <v>0</v>
      </c>
      <c r="J481" s="472"/>
      <c r="K481" s="690">
        <f t="shared" si="137"/>
        <v>0</v>
      </c>
      <c r="L481" s="715" t="s">
        <v>614</v>
      </c>
      <c r="M481" s="716"/>
      <c r="N481" s="799">
        <f t="shared" si="144"/>
        <v>0</v>
      </c>
      <c r="O481" s="693">
        <f>IF(ISBLANK(M481),0,ROUND(K481*M481,2))</f>
        <v>0</v>
      </c>
      <c r="P481" s="694">
        <f>IF(ISBLANK(N481),0,ROUND(M481*N481,2))</f>
        <v>0</v>
      </c>
      <c r="Q481" s="765"/>
      <c r="R481" s="717"/>
      <c r="S481" s="711"/>
      <c r="T481" s="693">
        <f>IF(ISBLANK(R481),0,ROUND(K481*R481,2))</f>
        <v>0</v>
      </c>
      <c r="U481" s="694">
        <f>IF(ISBLANK(R481),0,ROUND(R481*S481,2))</f>
        <v>0</v>
      </c>
      <c r="V481" s="579"/>
      <c r="W481" s="637" t="str">
        <f>IF(U477&gt;0,"xx",IF(P477&gt;0,"xy",""))</f>
        <v/>
      </c>
      <c r="X481" s="586" t="str">
        <f t="shared" si="127"/>
        <v/>
      </c>
      <c r="Y481" s="586" t="str">
        <f>IF(W481="X","x",IF(W481="y","x",IF(W481="xx","x",IF(U481&gt;0,"x",""))))</f>
        <v/>
      </c>
      <c r="Z481" s="586" t="str">
        <f>IF(W481="X","x",IF(U481&gt;0,"x",""))</f>
        <v/>
      </c>
    </row>
    <row r="482" spans="1:26" ht="45.75" hidden="1" thickBot="1" x14ac:dyDescent="0.25">
      <c r="A482" s="671">
        <v>97104</v>
      </c>
      <c r="B482" s="638">
        <v>97104</v>
      </c>
      <c r="C482" s="639" t="s">
        <v>670</v>
      </c>
      <c r="D482" s="445" t="s">
        <v>1883</v>
      </c>
      <c r="E482" s="446"/>
      <c r="F482" s="447">
        <v>20</v>
      </c>
      <c r="G482" s="448">
        <f>2.4*0.15</f>
        <v>0.36</v>
      </c>
      <c r="H482" s="663">
        <f t="shared" si="148"/>
        <v>8.6688000000000009</v>
      </c>
      <c r="I482" s="414">
        <v>112.49</v>
      </c>
      <c r="J482" s="414">
        <f t="shared" ref="J482:J499" si="149">IF(ISBLANK(I482),"",SUM(H482:I482))</f>
        <v>121.1588</v>
      </c>
      <c r="K482" s="415">
        <f t="shared" si="137"/>
        <v>143.94999999999999</v>
      </c>
      <c r="L482" s="641" t="s">
        <v>18</v>
      </c>
      <c r="M482" s="576"/>
      <c r="N482" s="576">
        <f t="shared" si="144"/>
        <v>0</v>
      </c>
      <c r="O482" s="642">
        <f t="shared" ref="O482:O499" si="150">IF(ISBLANK(M482),0,ROUND(K482*M482,2))</f>
        <v>0</v>
      </c>
      <c r="P482" s="659">
        <f t="shared" ref="P482:P499" si="151">IF(ISBLANK(N482),0,ROUND(M482*N482,2))</f>
        <v>0</v>
      </c>
      <c r="Q482" s="765"/>
      <c r="R482" s="684">
        <f t="shared" ref="R482:S499" si="152">M482</f>
        <v>0</v>
      </c>
      <c r="S482" s="576">
        <f t="shared" si="152"/>
        <v>0</v>
      </c>
      <c r="T482" s="642">
        <f t="shared" ref="T482:T499" si="153">IF(ISBLANK(R482),0,ROUND(K482*R482,2))</f>
        <v>0</v>
      </c>
      <c r="U482" s="659">
        <f t="shared" ref="U482:U499" si="154">IF(ISBLANK(R482),0,ROUND(R482*S482,2))</f>
        <v>0</v>
      </c>
      <c r="V482" s="579"/>
      <c r="W482" s="566"/>
      <c r="X482" s="586" t="str">
        <f t="shared" ref="X482:X545" si="155">IF(W482="X","x",IF(W482="xx","x",IF(W482="xy","x",IF(W482="y","x",IF(OR(P482&gt;0,U482&gt;0),"x","")))))</f>
        <v/>
      </c>
      <c r="Y482" s="586" t="str">
        <f t="shared" ref="Y482:Y499" si="156">IF(W482="X","x",IF(W482="y","x",IF(W482="xx","x",IF(U482&gt;0,"x",""))))</f>
        <v/>
      </c>
      <c r="Z482" s="586" t="str">
        <f t="shared" ref="Z482:Z499" si="157">IF(W482="X","x",IF(U482&gt;0,"x",""))</f>
        <v/>
      </c>
    </row>
    <row r="483" spans="1:26" ht="45.75" hidden="1" thickBot="1" x14ac:dyDescent="0.25">
      <c r="A483" s="671">
        <v>97105</v>
      </c>
      <c r="B483" s="644">
        <v>97105</v>
      </c>
      <c r="C483" s="645" t="s">
        <v>670</v>
      </c>
      <c r="D483" s="422" t="s">
        <v>1884</v>
      </c>
      <c r="E483" s="423"/>
      <c r="F483" s="424">
        <v>20</v>
      </c>
      <c r="G483" s="425">
        <f>2.4*0.175</f>
        <v>0.42</v>
      </c>
      <c r="H483" s="663">
        <f t="shared" si="148"/>
        <v>10.1136</v>
      </c>
      <c r="I483" s="420">
        <v>126.29</v>
      </c>
      <c r="J483" s="420">
        <f t="shared" si="149"/>
        <v>136.40360000000001</v>
      </c>
      <c r="K483" s="421">
        <f t="shared" si="137"/>
        <v>162.06</v>
      </c>
      <c r="L483" s="647" t="s">
        <v>18</v>
      </c>
      <c r="M483" s="587"/>
      <c r="N483" s="576">
        <f t="shared" si="144"/>
        <v>0</v>
      </c>
      <c r="O483" s="577">
        <f t="shared" si="150"/>
        <v>0</v>
      </c>
      <c r="P483" s="578">
        <f t="shared" si="151"/>
        <v>0</v>
      </c>
      <c r="Q483" s="765"/>
      <c r="R483" s="650">
        <f t="shared" si="152"/>
        <v>0</v>
      </c>
      <c r="S483" s="587">
        <f t="shared" si="152"/>
        <v>0</v>
      </c>
      <c r="T483" s="577">
        <f t="shared" si="153"/>
        <v>0</v>
      </c>
      <c r="U483" s="578">
        <f t="shared" si="154"/>
        <v>0</v>
      </c>
      <c r="V483" s="579"/>
      <c r="W483" s="566"/>
      <c r="X483" s="586" t="str">
        <f t="shared" si="155"/>
        <v/>
      </c>
      <c r="Y483" s="586" t="str">
        <f t="shared" si="156"/>
        <v/>
      </c>
      <c r="Z483" s="586" t="str">
        <f t="shared" si="157"/>
        <v/>
      </c>
    </row>
    <row r="484" spans="1:26" ht="45.75" hidden="1" thickBot="1" x14ac:dyDescent="0.25">
      <c r="A484" s="671">
        <v>97106</v>
      </c>
      <c r="B484" s="644">
        <v>97106</v>
      </c>
      <c r="C484" s="645" t="s">
        <v>670</v>
      </c>
      <c r="D484" s="422" t="s">
        <v>1885</v>
      </c>
      <c r="E484" s="423"/>
      <c r="F484" s="424">
        <v>20</v>
      </c>
      <c r="G484" s="425">
        <f>2.4*0.2</f>
        <v>0.48</v>
      </c>
      <c r="H484" s="663">
        <f t="shared" si="148"/>
        <v>11.558400000000001</v>
      </c>
      <c r="I484" s="420">
        <v>139.05000000000001</v>
      </c>
      <c r="J484" s="420">
        <f t="shared" si="149"/>
        <v>150.60840000000002</v>
      </c>
      <c r="K484" s="421">
        <f t="shared" si="137"/>
        <v>178.94</v>
      </c>
      <c r="L484" s="647" t="s">
        <v>18</v>
      </c>
      <c r="M484" s="587"/>
      <c r="N484" s="576">
        <f t="shared" si="144"/>
        <v>0</v>
      </c>
      <c r="O484" s="577">
        <f t="shared" si="150"/>
        <v>0</v>
      </c>
      <c r="P484" s="578">
        <f t="shared" si="151"/>
        <v>0</v>
      </c>
      <c r="Q484" s="765"/>
      <c r="R484" s="650">
        <f t="shared" si="152"/>
        <v>0</v>
      </c>
      <c r="S484" s="587">
        <f t="shared" si="152"/>
        <v>0</v>
      </c>
      <c r="T484" s="577">
        <f t="shared" si="153"/>
        <v>0</v>
      </c>
      <c r="U484" s="578">
        <f t="shared" si="154"/>
        <v>0</v>
      </c>
      <c r="V484" s="579"/>
      <c r="W484" s="566"/>
      <c r="X484" s="586" t="str">
        <f t="shared" si="155"/>
        <v/>
      </c>
      <c r="Y484" s="586" t="str">
        <f t="shared" si="156"/>
        <v/>
      </c>
      <c r="Z484" s="586" t="str">
        <f t="shared" si="157"/>
        <v/>
      </c>
    </row>
    <row r="485" spans="1:26" ht="45.75" hidden="1" thickBot="1" x14ac:dyDescent="0.25">
      <c r="A485" s="671">
        <v>97107</v>
      </c>
      <c r="B485" s="644">
        <v>97107</v>
      </c>
      <c r="C485" s="645" t="s">
        <v>670</v>
      </c>
      <c r="D485" s="422" t="s">
        <v>1886</v>
      </c>
      <c r="E485" s="423"/>
      <c r="F485" s="424">
        <v>20</v>
      </c>
      <c r="G485" s="425">
        <f>2.4*0.225</f>
        <v>0.54</v>
      </c>
      <c r="H485" s="663">
        <f t="shared" si="148"/>
        <v>13.003200000000001</v>
      </c>
      <c r="I485" s="420">
        <v>159.53</v>
      </c>
      <c r="J485" s="420">
        <f t="shared" si="149"/>
        <v>172.53319999999999</v>
      </c>
      <c r="K485" s="421">
        <f t="shared" si="137"/>
        <v>204.99</v>
      </c>
      <c r="L485" s="647" t="s">
        <v>18</v>
      </c>
      <c r="M485" s="587"/>
      <c r="N485" s="576">
        <f t="shared" si="144"/>
        <v>0</v>
      </c>
      <c r="O485" s="577">
        <f t="shared" si="150"/>
        <v>0</v>
      </c>
      <c r="P485" s="578">
        <f t="shared" si="151"/>
        <v>0</v>
      </c>
      <c r="Q485" s="765"/>
      <c r="R485" s="650">
        <f t="shared" si="152"/>
        <v>0</v>
      </c>
      <c r="S485" s="587">
        <f t="shared" si="152"/>
        <v>0</v>
      </c>
      <c r="T485" s="577">
        <f t="shared" si="153"/>
        <v>0</v>
      </c>
      <c r="U485" s="578">
        <f t="shared" si="154"/>
        <v>0</v>
      </c>
      <c r="V485" s="579"/>
      <c r="W485" s="566"/>
      <c r="X485" s="586" t="str">
        <f t="shared" si="155"/>
        <v/>
      </c>
      <c r="Y485" s="586" t="str">
        <f t="shared" si="156"/>
        <v/>
      </c>
      <c r="Z485" s="586" t="str">
        <f t="shared" si="157"/>
        <v/>
      </c>
    </row>
    <row r="486" spans="1:26" ht="45.75" hidden="1" thickBot="1" x14ac:dyDescent="0.25">
      <c r="A486" s="671">
        <v>97108</v>
      </c>
      <c r="B486" s="644">
        <v>97108</v>
      </c>
      <c r="C486" s="645" t="s">
        <v>670</v>
      </c>
      <c r="D486" s="422" t="s">
        <v>1887</v>
      </c>
      <c r="E486" s="423"/>
      <c r="F486" s="424">
        <v>20</v>
      </c>
      <c r="G486" s="425">
        <f>2.4*0.25</f>
        <v>0.6</v>
      </c>
      <c r="H486" s="663">
        <f t="shared" si="148"/>
        <v>14.448</v>
      </c>
      <c r="I486" s="420">
        <v>183.65</v>
      </c>
      <c r="J486" s="420">
        <f t="shared" si="149"/>
        <v>198.09800000000001</v>
      </c>
      <c r="K486" s="421">
        <f t="shared" si="137"/>
        <v>235.36</v>
      </c>
      <c r="L486" s="647" t="s">
        <v>18</v>
      </c>
      <c r="M486" s="587"/>
      <c r="N486" s="576">
        <f t="shared" si="144"/>
        <v>0</v>
      </c>
      <c r="O486" s="577">
        <f t="shared" si="150"/>
        <v>0</v>
      </c>
      <c r="P486" s="578">
        <f t="shared" si="151"/>
        <v>0</v>
      </c>
      <c r="Q486" s="765"/>
      <c r="R486" s="650">
        <f t="shared" si="152"/>
        <v>0</v>
      </c>
      <c r="S486" s="587">
        <f t="shared" si="152"/>
        <v>0</v>
      </c>
      <c r="T486" s="577">
        <f t="shared" si="153"/>
        <v>0</v>
      </c>
      <c r="U486" s="578">
        <f t="shared" si="154"/>
        <v>0</v>
      </c>
      <c r="V486" s="579"/>
      <c r="W486" s="566"/>
      <c r="X486" s="586" t="str">
        <f t="shared" si="155"/>
        <v/>
      </c>
      <c r="Y486" s="586" t="str">
        <f t="shared" si="156"/>
        <v/>
      </c>
      <c r="Z486" s="586" t="str">
        <f t="shared" si="157"/>
        <v/>
      </c>
    </row>
    <row r="487" spans="1:26" ht="45.75" hidden="1" thickBot="1" x14ac:dyDescent="0.25">
      <c r="A487" s="671">
        <v>97109</v>
      </c>
      <c r="B487" s="644">
        <v>97109</v>
      </c>
      <c r="C487" s="645" t="s">
        <v>670</v>
      </c>
      <c r="D487" s="422" t="s">
        <v>1888</v>
      </c>
      <c r="E487" s="423"/>
      <c r="F487" s="424">
        <v>20</v>
      </c>
      <c r="G487" s="425">
        <f>2.4*0.275</f>
        <v>0.66</v>
      </c>
      <c r="H487" s="663">
        <f t="shared" si="148"/>
        <v>15.892800000000001</v>
      </c>
      <c r="I487" s="420">
        <v>203.4</v>
      </c>
      <c r="J487" s="420">
        <f t="shared" si="149"/>
        <v>219.2928</v>
      </c>
      <c r="K487" s="421">
        <f t="shared" si="137"/>
        <v>260.54000000000002</v>
      </c>
      <c r="L487" s="647" t="s">
        <v>18</v>
      </c>
      <c r="M487" s="587"/>
      <c r="N487" s="576">
        <f t="shared" si="144"/>
        <v>0</v>
      </c>
      <c r="O487" s="577">
        <f t="shared" si="150"/>
        <v>0</v>
      </c>
      <c r="P487" s="578">
        <f t="shared" si="151"/>
        <v>0</v>
      </c>
      <c r="Q487" s="765"/>
      <c r="R487" s="650">
        <f t="shared" si="152"/>
        <v>0</v>
      </c>
      <c r="S487" s="587">
        <f t="shared" si="152"/>
        <v>0</v>
      </c>
      <c r="T487" s="577">
        <f t="shared" si="153"/>
        <v>0</v>
      </c>
      <c r="U487" s="578">
        <f t="shared" si="154"/>
        <v>0</v>
      </c>
      <c r="V487" s="579"/>
      <c r="W487" s="566"/>
      <c r="X487" s="586" t="str">
        <f t="shared" si="155"/>
        <v/>
      </c>
      <c r="Y487" s="586" t="str">
        <f t="shared" si="156"/>
        <v/>
      </c>
      <c r="Z487" s="586" t="str">
        <f t="shared" si="157"/>
        <v/>
      </c>
    </row>
    <row r="488" spans="1:26" ht="23.25" hidden="1" thickBot="1" x14ac:dyDescent="0.25">
      <c r="A488" s="671">
        <v>97111</v>
      </c>
      <c r="B488" s="644">
        <v>97111</v>
      </c>
      <c r="C488" s="645" t="s">
        <v>670</v>
      </c>
      <c r="D488" s="422" t="s">
        <v>2089</v>
      </c>
      <c r="E488" s="423"/>
      <c r="F488" s="424">
        <v>20</v>
      </c>
      <c r="G488" s="425">
        <f>2.4*0.125</f>
        <v>0.3</v>
      </c>
      <c r="H488" s="663">
        <f t="shared" si="148"/>
        <v>7.2240000000000002</v>
      </c>
      <c r="I488" s="420">
        <v>294.31</v>
      </c>
      <c r="J488" s="420">
        <f t="shared" si="149"/>
        <v>301.53399999999999</v>
      </c>
      <c r="K488" s="421">
        <f t="shared" si="137"/>
        <v>358.25</v>
      </c>
      <c r="L488" s="647" t="s">
        <v>18</v>
      </c>
      <c r="M488" s="587"/>
      <c r="N488" s="576">
        <f t="shared" si="144"/>
        <v>0</v>
      </c>
      <c r="O488" s="577">
        <f t="shared" si="150"/>
        <v>0</v>
      </c>
      <c r="P488" s="578">
        <f t="shared" si="151"/>
        <v>0</v>
      </c>
      <c r="Q488" s="765"/>
      <c r="R488" s="650">
        <f t="shared" si="152"/>
        <v>0</v>
      </c>
      <c r="S488" s="587">
        <f t="shared" si="152"/>
        <v>0</v>
      </c>
      <c r="T488" s="577">
        <f t="shared" si="153"/>
        <v>0</v>
      </c>
      <c r="U488" s="578">
        <f t="shared" si="154"/>
        <v>0</v>
      </c>
      <c r="V488" s="579"/>
      <c r="W488" s="566"/>
      <c r="X488" s="586" t="str">
        <f t="shared" si="155"/>
        <v/>
      </c>
      <c r="Y488" s="586" t="str">
        <f t="shared" si="156"/>
        <v/>
      </c>
      <c r="Z488" s="586" t="str">
        <f t="shared" si="157"/>
        <v/>
      </c>
    </row>
    <row r="489" spans="1:26" ht="23.25" hidden="1" thickBot="1" x14ac:dyDescent="0.25">
      <c r="A489" s="671">
        <v>97112</v>
      </c>
      <c r="B489" s="644">
        <v>97112</v>
      </c>
      <c r="C489" s="645" t="s">
        <v>670</v>
      </c>
      <c r="D489" s="422" t="s">
        <v>2090</v>
      </c>
      <c r="E489" s="423"/>
      <c r="F489" s="424">
        <v>20</v>
      </c>
      <c r="G489" s="425">
        <f>2.4*0.15</f>
        <v>0.36</v>
      </c>
      <c r="H489" s="663">
        <f t="shared" si="148"/>
        <v>8.6688000000000009</v>
      </c>
      <c r="I489" s="420">
        <v>239.41</v>
      </c>
      <c r="J489" s="420">
        <f t="shared" si="149"/>
        <v>248.0788</v>
      </c>
      <c r="K489" s="421">
        <f t="shared" si="137"/>
        <v>294.74</v>
      </c>
      <c r="L489" s="647" t="s">
        <v>18</v>
      </c>
      <c r="M489" s="587"/>
      <c r="N489" s="576">
        <f t="shared" si="144"/>
        <v>0</v>
      </c>
      <c r="O489" s="577">
        <f t="shared" si="150"/>
        <v>0</v>
      </c>
      <c r="P489" s="578">
        <f t="shared" si="151"/>
        <v>0</v>
      </c>
      <c r="Q489" s="765"/>
      <c r="R489" s="650">
        <f t="shared" si="152"/>
        <v>0</v>
      </c>
      <c r="S489" s="587">
        <f t="shared" si="152"/>
        <v>0</v>
      </c>
      <c r="T489" s="577">
        <f t="shared" si="153"/>
        <v>0</v>
      </c>
      <c r="U489" s="578">
        <f t="shared" si="154"/>
        <v>0</v>
      </c>
      <c r="V489" s="579"/>
      <c r="W489" s="566"/>
      <c r="X489" s="586" t="str">
        <f t="shared" si="155"/>
        <v/>
      </c>
      <c r="Y489" s="586" t="str">
        <f t="shared" si="156"/>
        <v/>
      </c>
      <c r="Z489" s="586" t="str">
        <f t="shared" si="157"/>
        <v/>
      </c>
    </row>
    <row r="490" spans="1:26" ht="23.25" hidden="1" thickBot="1" x14ac:dyDescent="0.25">
      <c r="A490" s="671">
        <v>97112</v>
      </c>
      <c r="B490" s="644">
        <v>97112</v>
      </c>
      <c r="C490" s="645" t="s">
        <v>670</v>
      </c>
      <c r="D490" s="422" t="s">
        <v>2090</v>
      </c>
      <c r="E490" s="423"/>
      <c r="F490" s="424">
        <v>20</v>
      </c>
      <c r="G490" s="425">
        <f>2.4*0.175</f>
        <v>0.42</v>
      </c>
      <c r="H490" s="663">
        <f t="shared" si="148"/>
        <v>10.1136</v>
      </c>
      <c r="I490" s="420">
        <v>239.41</v>
      </c>
      <c r="J490" s="420">
        <f t="shared" si="149"/>
        <v>249.52359999999999</v>
      </c>
      <c r="K490" s="421">
        <f t="shared" si="137"/>
        <v>296.45999999999998</v>
      </c>
      <c r="L490" s="647" t="s">
        <v>18</v>
      </c>
      <c r="M490" s="587"/>
      <c r="N490" s="576">
        <f t="shared" si="144"/>
        <v>0</v>
      </c>
      <c r="O490" s="577">
        <f t="shared" si="150"/>
        <v>0</v>
      </c>
      <c r="P490" s="578">
        <f t="shared" si="151"/>
        <v>0</v>
      </c>
      <c r="Q490" s="765"/>
      <c r="R490" s="650">
        <f t="shared" si="152"/>
        <v>0</v>
      </c>
      <c r="S490" s="587">
        <f t="shared" si="152"/>
        <v>0</v>
      </c>
      <c r="T490" s="577">
        <f t="shared" si="153"/>
        <v>0</v>
      </c>
      <c r="U490" s="578">
        <f t="shared" si="154"/>
        <v>0</v>
      </c>
      <c r="V490" s="579"/>
      <c r="W490" s="566"/>
      <c r="X490" s="586" t="str">
        <f t="shared" si="155"/>
        <v/>
      </c>
      <c r="Y490" s="586" t="str">
        <f t="shared" si="156"/>
        <v/>
      </c>
      <c r="Z490" s="586" t="str">
        <f t="shared" si="157"/>
        <v/>
      </c>
    </row>
    <row r="491" spans="1:26" ht="34.5" hidden="1" thickBot="1" x14ac:dyDescent="0.25">
      <c r="A491" s="671">
        <v>97113</v>
      </c>
      <c r="B491" s="644">
        <v>97113</v>
      </c>
      <c r="C491" s="645" t="s">
        <v>670</v>
      </c>
      <c r="D491" s="422" t="s">
        <v>1889</v>
      </c>
      <c r="E491" s="423"/>
      <c r="F491" s="424"/>
      <c r="G491" s="425"/>
      <c r="H491" s="663">
        <f t="shared" ref="H491:H499" si="158">IF(F491&lt;=30,(0.87*F491+2.18)*G491,((0.87*30+2.18)+0.87*(F491-30))*G491)</f>
        <v>0</v>
      </c>
      <c r="I491" s="420">
        <v>2.65</v>
      </c>
      <c r="J491" s="420">
        <f t="shared" si="149"/>
        <v>2.65</v>
      </c>
      <c r="K491" s="421">
        <f t="shared" si="137"/>
        <v>3.15</v>
      </c>
      <c r="L491" s="647" t="s">
        <v>18</v>
      </c>
      <c r="M491" s="587"/>
      <c r="N491" s="576">
        <f t="shared" si="144"/>
        <v>0</v>
      </c>
      <c r="O491" s="577">
        <f t="shared" si="150"/>
        <v>0</v>
      </c>
      <c r="P491" s="578">
        <f t="shared" si="151"/>
        <v>0</v>
      </c>
      <c r="Q491" s="765"/>
      <c r="R491" s="650">
        <f t="shared" si="152"/>
        <v>0</v>
      </c>
      <c r="S491" s="587">
        <f t="shared" si="152"/>
        <v>0</v>
      </c>
      <c r="T491" s="577">
        <f t="shared" si="153"/>
        <v>0</v>
      </c>
      <c r="U491" s="578">
        <f t="shared" si="154"/>
        <v>0</v>
      </c>
      <c r="V491" s="579"/>
      <c r="W491" s="566"/>
      <c r="X491" s="586" t="str">
        <f t="shared" si="155"/>
        <v/>
      </c>
      <c r="Y491" s="586" t="str">
        <f t="shared" si="156"/>
        <v/>
      </c>
      <c r="Z491" s="586" t="str">
        <f t="shared" si="157"/>
        <v/>
      </c>
    </row>
    <row r="492" spans="1:26" ht="12" hidden="1" thickBot="1" x14ac:dyDescent="0.25">
      <c r="A492" s="671">
        <v>97114</v>
      </c>
      <c r="B492" s="644">
        <v>97114</v>
      </c>
      <c r="C492" s="645" t="s">
        <v>670</v>
      </c>
      <c r="D492" s="422" t="s">
        <v>1890</v>
      </c>
      <c r="E492" s="423"/>
      <c r="F492" s="424"/>
      <c r="G492" s="425"/>
      <c r="H492" s="663">
        <f t="shared" si="158"/>
        <v>0</v>
      </c>
      <c r="I492" s="420">
        <v>0.39</v>
      </c>
      <c r="J492" s="420">
        <f t="shared" si="149"/>
        <v>0.39</v>
      </c>
      <c r="K492" s="421">
        <f t="shared" si="137"/>
        <v>0.46</v>
      </c>
      <c r="L492" s="647" t="s">
        <v>19</v>
      </c>
      <c r="M492" s="587"/>
      <c r="N492" s="576">
        <f t="shared" si="144"/>
        <v>0</v>
      </c>
      <c r="O492" s="577">
        <f t="shared" si="150"/>
        <v>0</v>
      </c>
      <c r="P492" s="578">
        <f t="shared" si="151"/>
        <v>0</v>
      </c>
      <c r="Q492" s="765"/>
      <c r="R492" s="650">
        <f t="shared" si="152"/>
        <v>0</v>
      </c>
      <c r="S492" s="587">
        <f t="shared" si="152"/>
        <v>0</v>
      </c>
      <c r="T492" s="577">
        <f t="shared" si="153"/>
        <v>0</v>
      </c>
      <c r="U492" s="578">
        <f t="shared" si="154"/>
        <v>0</v>
      </c>
      <c r="V492" s="579"/>
      <c r="W492" s="566"/>
      <c r="X492" s="586" t="str">
        <f t="shared" si="155"/>
        <v/>
      </c>
      <c r="Y492" s="586" t="str">
        <f t="shared" si="156"/>
        <v/>
      </c>
      <c r="Z492" s="586" t="str">
        <f t="shared" si="157"/>
        <v/>
      </c>
    </row>
    <row r="493" spans="1:26" ht="23.25" hidden="1" thickBot="1" x14ac:dyDescent="0.25">
      <c r="A493" s="671">
        <v>97115</v>
      </c>
      <c r="B493" s="644">
        <v>97115</v>
      </c>
      <c r="C493" s="645" t="s">
        <v>670</v>
      </c>
      <c r="D493" s="422" t="s">
        <v>1891</v>
      </c>
      <c r="E493" s="423"/>
      <c r="F493" s="424"/>
      <c r="G493" s="425"/>
      <c r="H493" s="663">
        <f t="shared" si="158"/>
        <v>0</v>
      </c>
      <c r="I493" s="420">
        <v>50.55</v>
      </c>
      <c r="J493" s="420">
        <f t="shared" si="149"/>
        <v>50.55</v>
      </c>
      <c r="K493" s="421">
        <f t="shared" si="137"/>
        <v>60.06</v>
      </c>
      <c r="L493" s="647" t="s">
        <v>23</v>
      </c>
      <c r="M493" s="587"/>
      <c r="N493" s="576">
        <f t="shared" si="144"/>
        <v>0</v>
      </c>
      <c r="O493" s="577">
        <f t="shared" si="150"/>
        <v>0</v>
      </c>
      <c r="P493" s="578">
        <f t="shared" si="151"/>
        <v>0</v>
      </c>
      <c r="Q493" s="765"/>
      <c r="R493" s="650">
        <f t="shared" si="152"/>
        <v>0</v>
      </c>
      <c r="S493" s="587">
        <f t="shared" si="152"/>
        <v>0</v>
      </c>
      <c r="T493" s="577">
        <f t="shared" si="153"/>
        <v>0</v>
      </c>
      <c r="U493" s="578">
        <f t="shared" si="154"/>
        <v>0</v>
      </c>
      <c r="V493" s="579"/>
      <c r="W493" s="566"/>
      <c r="X493" s="586" t="str">
        <f t="shared" si="155"/>
        <v/>
      </c>
      <c r="Y493" s="586" t="str">
        <f t="shared" si="156"/>
        <v/>
      </c>
      <c r="Z493" s="586" t="str">
        <f t="shared" si="157"/>
        <v/>
      </c>
    </row>
    <row r="494" spans="1:26" ht="23.25" hidden="1" thickBot="1" x14ac:dyDescent="0.25">
      <c r="A494" s="671">
        <v>97116</v>
      </c>
      <c r="B494" s="644">
        <v>97116</v>
      </c>
      <c r="C494" s="645" t="s">
        <v>670</v>
      </c>
      <c r="D494" s="422" t="s">
        <v>1892</v>
      </c>
      <c r="E494" s="423"/>
      <c r="F494" s="424"/>
      <c r="G494" s="425"/>
      <c r="H494" s="663">
        <f t="shared" si="158"/>
        <v>0</v>
      </c>
      <c r="I494" s="420">
        <v>26.8</v>
      </c>
      <c r="J494" s="420">
        <f t="shared" si="149"/>
        <v>26.8</v>
      </c>
      <c r="K494" s="421">
        <f t="shared" si="137"/>
        <v>31.84</v>
      </c>
      <c r="L494" s="647" t="s">
        <v>23</v>
      </c>
      <c r="M494" s="587"/>
      <c r="N494" s="576">
        <f t="shared" si="144"/>
        <v>0</v>
      </c>
      <c r="O494" s="577">
        <f t="shared" si="150"/>
        <v>0</v>
      </c>
      <c r="P494" s="578">
        <f t="shared" si="151"/>
        <v>0</v>
      </c>
      <c r="Q494" s="765"/>
      <c r="R494" s="650">
        <f t="shared" si="152"/>
        <v>0</v>
      </c>
      <c r="S494" s="587">
        <f t="shared" si="152"/>
        <v>0</v>
      </c>
      <c r="T494" s="577">
        <f t="shared" si="153"/>
        <v>0</v>
      </c>
      <c r="U494" s="578">
        <f t="shared" si="154"/>
        <v>0</v>
      </c>
      <c r="V494" s="579"/>
      <c r="W494" s="566"/>
      <c r="X494" s="586" t="str">
        <f t="shared" si="155"/>
        <v/>
      </c>
      <c r="Y494" s="586" t="str">
        <f t="shared" si="156"/>
        <v/>
      </c>
      <c r="Z494" s="586" t="str">
        <f t="shared" si="157"/>
        <v/>
      </c>
    </row>
    <row r="495" spans="1:26" ht="23.25" hidden="1" thickBot="1" x14ac:dyDescent="0.25">
      <c r="A495" s="671">
        <v>97117</v>
      </c>
      <c r="B495" s="644">
        <v>97117</v>
      </c>
      <c r="C495" s="645" t="s">
        <v>670</v>
      </c>
      <c r="D495" s="422" t="s">
        <v>1893</v>
      </c>
      <c r="E495" s="423"/>
      <c r="F495" s="424"/>
      <c r="G495" s="425"/>
      <c r="H495" s="663">
        <f t="shared" si="158"/>
        <v>0</v>
      </c>
      <c r="I495" s="420">
        <v>23.38</v>
      </c>
      <c r="J495" s="420">
        <f t="shared" si="149"/>
        <v>23.38</v>
      </c>
      <c r="K495" s="421">
        <f t="shared" si="137"/>
        <v>27.78</v>
      </c>
      <c r="L495" s="647" t="s">
        <v>23</v>
      </c>
      <c r="M495" s="587"/>
      <c r="N495" s="576">
        <f t="shared" si="144"/>
        <v>0</v>
      </c>
      <c r="O495" s="577">
        <f t="shared" si="150"/>
        <v>0</v>
      </c>
      <c r="P495" s="578">
        <f t="shared" si="151"/>
        <v>0</v>
      </c>
      <c r="Q495" s="765"/>
      <c r="R495" s="650">
        <f t="shared" si="152"/>
        <v>0</v>
      </c>
      <c r="S495" s="587">
        <f t="shared" si="152"/>
        <v>0</v>
      </c>
      <c r="T495" s="577">
        <f t="shared" si="153"/>
        <v>0</v>
      </c>
      <c r="U495" s="578">
        <f t="shared" si="154"/>
        <v>0</v>
      </c>
      <c r="V495" s="579"/>
      <c r="W495" s="566"/>
      <c r="X495" s="586" t="str">
        <f t="shared" si="155"/>
        <v/>
      </c>
      <c r="Y495" s="586" t="str">
        <f t="shared" si="156"/>
        <v/>
      </c>
      <c r="Z495" s="586" t="str">
        <f t="shared" si="157"/>
        <v/>
      </c>
    </row>
    <row r="496" spans="1:26" ht="23.25" hidden="1" thickBot="1" x14ac:dyDescent="0.25">
      <c r="A496" s="671">
        <v>97118</v>
      </c>
      <c r="B496" s="644">
        <v>97118</v>
      </c>
      <c r="C496" s="645" t="s">
        <v>670</v>
      </c>
      <c r="D496" s="422" t="s">
        <v>1894</v>
      </c>
      <c r="E496" s="423"/>
      <c r="F496" s="424"/>
      <c r="G496" s="425"/>
      <c r="H496" s="663">
        <f t="shared" si="158"/>
        <v>0</v>
      </c>
      <c r="I496" s="420">
        <v>19.36</v>
      </c>
      <c r="J496" s="420">
        <f t="shared" si="149"/>
        <v>19.36</v>
      </c>
      <c r="K496" s="421">
        <f t="shared" si="137"/>
        <v>23</v>
      </c>
      <c r="L496" s="647" t="s">
        <v>23</v>
      </c>
      <c r="M496" s="587"/>
      <c r="N496" s="576">
        <f t="shared" si="144"/>
        <v>0</v>
      </c>
      <c r="O496" s="577">
        <f t="shared" si="150"/>
        <v>0</v>
      </c>
      <c r="P496" s="578">
        <f t="shared" si="151"/>
        <v>0</v>
      </c>
      <c r="Q496" s="765"/>
      <c r="R496" s="650">
        <f t="shared" si="152"/>
        <v>0</v>
      </c>
      <c r="S496" s="587">
        <f t="shared" si="152"/>
        <v>0</v>
      </c>
      <c r="T496" s="577">
        <f t="shared" si="153"/>
        <v>0</v>
      </c>
      <c r="U496" s="578">
        <f t="shared" si="154"/>
        <v>0</v>
      </c>
      <c r="V496" s="579"/>
      <c r="W496" s="566"/>
      <c r="X496" s="586" t="str">
        <f t="shared" si="155"/>
        <v/>
      </c>
      <c r="Y496" s="586" t="str">
        <f t="shared" si="156"/>
        <v/>
      </c>
      <c r="Z496" s="586" t="str">
        <f t="shared" si="157"/>
        <v/>
      </c>
    </row>
    <row r="497" spans="1:26" ht="23.25" hidden="1" thickBot="1" x14ac:dyDescent="0.25">
      <c r="A497" s="671">
        <v>97119</v>
      </c>
      <c r="B497" s="644">
        <v>97119</v>
      </c>
      <c r="C497" s="645" t="s">
        <v>670</v>
      </c>
      <c r="D497" s="422" t="s">
        <v>1895</v>
      </c>
      <c r="E497" s="423"/>
      <c r="F497" s="424"/>
      <c r="G497" s="425"/>
      <c r="H497" s="663">
        <f t="shared" si="158"/>
        <v>0</v>
      </c>
      <c r="I497" s="420">
        <v>17.440000000000001</v>
      </c>
      <c r="J497" s="420">
        <f t="shared" si="149"/>
        <v>17.440000000000001</v>
      </c>
      <c r="K497" s="421">
        <f t="shared" si="137"/>
        <v>20.72</v>
      </c>
      <c r="L497" s="647" t="s">
        <v>23</v>
      </c>
      <c r="M497" s="587"/>
      <c r="N497" s="576">
        <f t="shared" si="144"/>
        <v>0</v>
      </c>
      <c r="O497" s="577">
        <f t="shared" si="150"/>
        <v>0</v>
      </c>
      <c r="P497" s="578">
        <f t="shared" si="151"/>
        <v>0</v>
      </c>
      <c r="Q497" s="765"/>
      <c r="R497" s="650">
        <f t="shared" si="152"/>
        <v>0</v>
      </c>
      <c r="S497" s="587">
        <f t="shared" si="152"/>
        <v>0</v>
      </c>
      <c r="T497" s="577">
        <f t="shared" si="153"/>
        <v>0</v>
      </c>
      <c r="U497" s="578">
        <f t="shared" si="154"/>
        <v>0</v>
      </c>
      <c r="V497" s="579"/>
      <c r="W497" s="566"/>
      <c r="X497" s="586" t="str">
        <f t="shared" si="155"/>
        <v/>
      </c>
      <c r="Y497" s="586" t="str">
        <f t="shared" si="156"/>
        <v/>
      </c>
      <c r="Z497" s="586" t="str">
        <f t="shared" si="157"/>
        <v/>
      </c>
    </row>
    <row r="498" spans="1:26" ht="23.25" hidden="1" thickBot="1" x14ac:dyDescent="0.25">
      <c r="A498" s="671">
        <v>97120</v>
      </c>
      <c r="B498" s="644">
        <v>97120</v>
      </c>
      <c r="C498" s="645" t="s">
        <v>670</v>
      </c>
      <c r="D498" s="422" t="s">
        <v>1896</v>
      </c>
      <c r="E498" s="423"/>
      <c r="F498" s="424"/>
      <c r="G498" s="425"/>
      <c r="H498" s="663">
        <f t="shared" si="158"/>
        <v>0</v>
      </c>
      <c r="I498" s="420">
        <v>11.08</v>
      </c>
      <c r="J498" s="420">
        <f t="shared" si="149"/>
        <v>11.08</v>
      </c>
      <c r="K498" s="421">
        <f t="shared" si="137"/>
        <v>13.16</v>
      </c>
      <c r="L498" s="647" t="s">
        <v>23</v>
      </c>
      <c r="M498" s="587"/>
      <c r="N498" s="576">
        <f t="shared" si="144"/>
        <v>0</v>
      </c>
      <c r="O498" s="577">
        <f t="shared" si="150"/>
        <v>0</v>
      </c>
      <c r="P498" s="578">
        <f t="shared" si="151"/>
        <v>0</v>
      </c>
      <c r="Q498" s="765"/>
      <c r="R498" s="650">
        <f t="shared" si="152"/>
        <v>0</v>
      </c>
      <c r="S498" s="587">
        <f t="shared" si="152"/>
        <v>0</v>
      </c>
      <c r="T498" s="577">
        <f t="shared" si="153"/>
        <v>0</v>
      </c>
      <c r="U498" s="578">
        <f t="shared" si="154"/>
        <v>0</v>
      </c>
      <c r="V498" s="579"/>
      <c r="W498" s="566"/>
      <c r="X498" s="586" t="str">
        <f t="shared" si="155"/>
        <v/>
      </c>
      <c r="Y498" s="586" t="str">
        <f t="shared" si="156"/>
        <v/>
      </c>
      <c r="Z498" s="586" t="str">
        <f t="shared" si="157"/>
        <v/>
      </c>
    </row>
    <row r="499" spans="1:26" ht="12" hidden="1" thickBot="1" x14ac:dyDescent="0.25">
      <c r="A499" s="671">
        <v>96395</v>
      </c>
      <c r="B499" s="644">
        <v>96395</v>
      </c>
      <c r="C499" s="645" t="s">
        <v>670</v>
      </c>
      <c r="D499" s="422" t="s">
        <v>1897</v>
      </c>
      <c r="E499" s="423"/>
      <c r="F499" s="424"/>
      <c r="G499" s="425"/>
      <c r="H499" s="651">
        <f t="shared" si="158"/>
        <v>0</v>
      </c>
      <c r="I499" s="420">
        <v>230.49</v>
      </c>
      <c r="J499" s="420">
        <f t="shared" si="149"/>
        <v>230.49</v>
      </c>
      <c r="K499" s="421">
        <f t="shared" si="137"/>
        <v>273.85000000000002</v>
      </c>
      <c r="L499" s="647" t="s">
        <v>16</v>
      </c>
      <c r="M499" s="587"/>
      <c r="N499" s="576">
        <f t="shared" si="144"/>
        <v>0</v>
      </c>
      <c r="O499" s="577">
        <f t="shared" si="150"/>
        <v>0</v>
      </c>
      <c r="P499" s="578">
        <f t="shared" si="151"/>
        <v>0</v>
      </c>
      <c r="Q499" s="765"/>
      <c r="R499" s="650">
        <f t="shared" si="152"/>
        <v>0</v>
      </c>
      <c r="S499" s="587">
        <f t="shared" si="152"/>
        <v>0</v>
      </c>
      <c r="T499" s="577">
        <f t="shared" si="153"/>
        <v>0</v>
      </c>
      <c r="U499" s="578">
        <f t="shared" si="154"/>
        <v>0</v>
      </c>
      <c r="V499" s="579"/>
      <c r="W499" s="566"/>
      <c r="X499" s="586" t="str">
        <f t="shared" si="155"/>
        <v/>
      </c>
      <c r="Y499" s="586" t="str">
        <f t="shared" si="156"/>
        <v/>
      </c>
      <c r="Z499" s="586" t="str">
        <f t="shared" si="157"/>
        <v/>
      </c>
    </row>
    <row r="500" spans="1:26" ht="12" hidden="1" thickBot="1" x14ac:dyDescent="0.25">
      <c r="A500" s="671">
        <v>505000</v>
      </c>
      <c r="B500" s="638">
        <v>505000</v>
      </c>
      <c r="C500" s="639" t="s">
        <v>206</v>
      </c>
      <c r="D500" s="445" t="s">
        <v>265</v>
      </c>
      <c r="E500" s="446"/>
      <c r="F500" s="800">
        <v>20</v>
      </c>
      <c r="G500" s="448">
        <v>2.4</v>
      </c>
      <c r="H500" s="663">
        <f t="shared" ref="H500:H501" si="159">IF(F500&lt;=30,(1.07*F500+2.68)*G500,((1.07*30+2.68)+1.07*(F500-30))*G500)</f>
        <v>57.792000000000002</v>
      </c>
      <c r="I500" s="414">
        <v>225.74</v>
      </c>
      <c r="J500" s="414">
        <f>IF(ISBLANK(I500),"",SUM(H500:I500))</f>
        <v>283.53200000000004</v>
      </c>
      <c r="K500" s="415">
        <f t="shared" si="137"/>
        <v>336.86</v>
      </c>
      <c r="L500" s="641" t="s">
        <v>16</v>
      </c>
      <c r="M500" s="576"/>
      <c r="N500" s="576">
        <f t="shared" si="144"/>
        <v>0</v>
      </c>
      <c r="O500" s="642">
        <f t="shared" si="132"/>
        <v>0</v>
      </c>
      <c r="P500" s="659">
        <f t="shared" si="133"/>
        <v>0</v>
      </c>
      <c r="Q500" s="765"/>
      <c r="R500" s="576">
        <f>M500</f>
        <v>0</v>
      </c>
      <c r="S500" s="576">
        <f>N500</f>
        <v>0</v>
      </c>
      <c r="T500" s="642">
        <f t="shared" si="130"/>
        <v>0</v>
      </c>
      <c r="U500" s="659">
        <f t="shared" si="131"/>
        <v>0</v>
      </c>
      <c r="V500" s="579"/>
      <c r="W500" s="566"/>
      <c r="X500" s="586" t="str">
        <f t="shared" si="155"/>
        <v/>
      </c>
      <c r="Y500" s="586" t="str">
        <f t="shared" si="143"/>
        <v/>
      </c>
      <c r="Z500" s="586" t="str">
        <f t="shared" si="147"/>
        <v/>
      </c>
    </row>
    <row r="501" spans="1:26" ht="12" hidden="1" thickBot="1" x14ac:dyDescent="0.25">
      <c r="A501" s="671">
        <v>505100</v>
      </c>
      <c r="B501" s="644">
        <v>505100</v>
      </c>
      <c r="C501" s="645" t="s">
        <v>206</v>
      </c>
      <c r="D501" s="422" t="s">
        <v>266</v>
      </c>
      <c r="E501" s="423"/>
      <c r="F501" s="424">
        <v>20</v>
      </c>
      <c r="G501" s="425">
        <v>2.4</v>
      </c>
      <c r="H501" s="663">
        <f t="shared" si="159"/>
        <v>57.792000000000002</v>
      </c>
      <c r="I501" s="420">
        <v>289.12</v>
      </c>
      <c r="J501" s="420">
        <f>IF(ISBLANK(I501),"",SUM(H501:I501))</f>
        <v>346.91200000000003</v>
      </c>
      <c r="K501" s="421">
        <f t="shared" si="137"/>
        <v>412.17</v>
      </c>
      <c r="L501" s="647" t="s">
        <v>16</v>
      </c>
      <c r="M501" s="587"/>
      <c r="N501" s="576">
        <f t="shared" si="144"/>
        <v>0</v>
      </c>
      <c r="O501" s="577">
        <f t="shared" si="132"/>
        <v>0</v>
      </c>
      <c r="P501" s="578">
        <f t="shared" si="133"/>
        <v>0</v>
      </c>
      <c r="Q501" s="765"/>
      <c r="R501" s="650">
        <f>M501</f>
        <v>0</v>
      </c>
      <c r="S501" s="587">
        <f>N501</f>
        <v>0</v>
      </c>
      <c r="T501" s="577">
        <f t="shared" si="130"/>
        <v>0</v>
      </c>
      <c r="U501" s="578">
        <f t="shared" si="131"/>
        <v>0</v>
      </c>
      <c r="V501" s="579"/>
      <c r="W501" s="566"/>
      <c r="X501" s="586" t="str">
        <f t="shared" si="155"/>
        <v/>
      </c>
      <c r="Y501" s="586" t="str">
        <f t="shared" si="143"/>
        <v/>
      </c>
      <c r="Z501" s="586" t="str">
        <f t="shared" si="147"/>
        <v/>
      </c>
    </row>
    <row r="502" spans="1:26" ht="12" hidden="1" thickBot="1" x14ac:dyDescent="0.25">
      <c r="A502" s="671" t="s">
        <v>187</v>
      </c>
      <c r="B502" s="653" t="s">
        <v>187</v>
      </c>
      <c r="C502" s="654"/>
      <c r="D502" s="427" t="s">
        <v>226</v>
      </c>
      <c r="E502" s="491"/>
      <c r="F502" s="655"/>
      <c r="G502" s="656"/>
      <c r="H502" s="657"/>
      <c r="I502" s="429"/>
      <c r="J502" s="429"/>
      <c r="K502" s="429"/>
      <c r="L502" s="429" t="s">
        <v>614</v>
      </c>
      <c r="M502" s="657"/>
      <c r="N502" s="576">
        <f t="shared" si="144"/>
        <v>0</v>
      </c>
      <c r="O502" s="429">
        <f t="shared" si="132"/>
        <v>0</v>
      </c>
      <c r="P502" s="658">
        <f t="shared" si="133"/>
        <v>0</v>
      </c>
      <c r="Q502" s="765"/>
      <c r="R502" s="657"/>
      <c r="S502" s="429"/>
      <c r="T502" s="429">
        <f t="shared" si="130"/>
        <v>0</v>
      </c>
      <c r="U502" s="658">
        <f t="shared" si="131"/>
        <v>0</v>
      </c>
      <c r="V502" s="579"/>
      <c r="W502" s="637" t="str">
        <f>IF(OR(SUM(P503:P527)&gt;0,SUM(U503:U527)&gt;0),"y","")</f>
        <v/>
      </c>
      <c r="X502" s="586" t="str">
        <f t="shared" si="155"/>
        <v/>
      </c>
      <c r="Y502" s="586" t="str">
        <f t="shared" si="143"/>
        <v/>
      </c>
      <c r="Z502" s="586" t="str">
        <f t="shared" si="147"/>
        <v/>
      </c>
    </row>
    <row r="503" spans="1:26" ht="12" hidden="1" thickBot="1" x14ac:dyDescent="0.25">
      <c r="A503" s="671" t="s">
        <v>187</v>
      </c>
      <c r="B503" s="572" t="s">
        <v>187</v>
      </c>
      <c r="C503" s="573" t="s">
        <v>187</v>
      </c>
      <c r="D503" s="574"/>
      <c r="E503" s="575"/>
      <c r="F503" s="436"/>
      <c r="G503" s="431"/>
      <c r="H503" s="430"/>
      <c r="I503" s="432"/>
      <c r="J503" s="433"/>
      <c r="K503" s="434">
        <f t="shared" ref="K503:K527" si="160">IF(ISBLANK(J503),0,ROUND(J503*(1+$F$10)*(1+$F$11*E503),2))</f>
        <v>0</v>
      </c>
      <c r="L503" s="435" t="s">
        <v>614</v>
      </c>
      <c r="M503" s="587"/>
      <c r="N503" s="576">
        <f t="shared" si="144"/>
        <v>0</v>
      </c>
      <c r="O503" s="577">
        <f t="shared" si="132"/>
        <v>0</v>
      </c>
      <c r="P503" s="578">
        <f t="shared" si="133"/>
        <v>0</v>
      </c>
      <c r="Q503" s="765"/>
      <c r="R503" s="650">
        <f t="shared" ref="R503:S527" si="161">M503</f>
        <v>0</v>
      </c>
      <c r="S503" s="587">
        <f t="shared" si="161"/>
        <v>0</v>
      </c>
      <c r="T503" s="577">
        <f t="shared" si="130"/>
        <v>0</v>
      </c>
      <c r="U503" s="578">
        <f t="shared" si="131"/>
        <v>0</v>
      </c>
      <c r="V503" s="579"/>
      <c r="W503" s="566"/>
      <c r="X503" s="586" t="str">
        <f t="shared" si="155"/>
        <v/>
      </c>
      <c r="Y503" s="586" t="str">
        <f t="shared" si="143"/>
        <v/>
      </c>
      <c r="Z503" s="586" t="str">
        <f t="shared" si="147"/>
        <v/>
      </c>
    </row>
    <row r="504" spans="1:26" ht="12" hidden="1" thickBot="1" x14ac:dyDescent="0.25">
      <c r="A504" s="671" t="s">
        <v>187</v>
      </c>
      <c r="B504" s="572" t="s">
        <v>187</v>
      </c>
      <c r="C504" s="573" t="s">
        <v>187</v>
      </c>
      <c r="D504" s="580"/>
      <c r="E504" s="575"/>
      <c r="F504" s="436"/>
      <c r="G504" s="431"/>
      <c r="H504" s="430"/>
      <c r="I504" s="432"/>
      <c r="J504" s="433"/>
      <c r="K504" s="437">
        <f t="shared" si="160"/>
        <v>0</v>
      </c>
      <c r="L504" s="435" t="s">
        <v>614</v>
      </c>
      <c r="M504" s="576"/>
      <c r="N504" s="576">
        <f t="shared" si="144"/>
        <v>0</v>
      </c>
      <c r="O504" s="577">
        <f t="shared" si="132"/>
        <v>0</v>
      </c>
      <c r="P504" s="578">
        <f t="shared" si="133"/>
        <v>0</v>
      </c>
      <c r="Q504" s="765"/>
      <c r="R504" s="576">
        <f t="shared" si="161"/>
        <v>0</v>
      </c>
      <c r="S504" s="576">
        <f t="shared" si="161"/>
        <v>0</v>
      </c>
      <c r="T504" s="577">
        <f t="shared" si="130"/>
        <v>0</v>
      </c>
      <c r="U504" s="659">
        <f t="shared" si="131"/>
        <v>0</v>
      </c>
      <c r="V504" s="579"/>
      <c r="W504" s="566"/>
      <c r="X504" s="586" t="str">
        <f t="shared" si="155"/>
        <v/>
      </c>
      <c r="Y504" s="586" t="str">
        <f t="shared" si="143"/>
        <v/>
      </c>
      <c r="Z504" s="586" t="str">
        <f t="shared" si="147"/>
        <v/>
      </c>
    </row>
    <row r="505" spans="1:26" ht="12" hidden="1" thickBot="1" x14ac:dyDescent="0.25">
      <c r="A505" s="671" t="s">
        <v>187</v>
      </c>
      <c r="B505" s="572" t="s">
        <v>187</v>
      </c>
      <c r="C505" s="573" t="s">
        <v>187</v>
      </c>
      <c r="D505" s="580"/>
      <c r="E505" s="575"/>
      <c r="F505" s="436"/>
      <c r="G505" s="431"/>
      <c r="H505" s="430"/>
      <c r="I505" s="432"/>
      <c r="J505" s="433"/>
      <c r="K505" s="437">
        <f t="shared" si="160"/>
        <v>0</v>
      </c>
      <c r="L505" s="435" t="s">
        <v>614</v>
      </c>
      <c r="M505" s="576"/>
      <c r="N505" s="576">
        <f t="shared" si="144"/>
        <v>0</v>
      </c>
      <c r="O505" s="577">
        <f t="shared" si="132"/>
        <v>0</v>
      </c>
      <c r="P505" s="578">
        <f t="shared" si="133"/>
        <v>0</v>
      </c>
      <c r="Q505" s="765"/>
      <c r="R505" s="576">
        <f t="shared" si="161"/>
        <v>0</v>
      </c>
      <c r="S505" s="576">
        <f t="shared" si="161"/>
        <v>0</v>
      </c>
      <c r="T505" s="577">
        <f t="shared" si="130"/>
        <v>0</v>
      </c>
      <c r="U505" s="578">
        <f t="shared" si="131"/>
        <v>0</v>
      </c>
      <c r="V505" s="579"/>
      <c r="W505" s="566"/>
      <c r="X505" s="586" t="str">
        <f t="shared" si="155"/>
        <v/>
      </c>
      <c r="Y505" s="586" t="str">
        <f t="shared" si="143"/>
        <v/>
      </c>
      <c r="Z505" s="586" t="str">
        <f t="shared" si="147"/>
        <v/>
      </c>
    </row>
    <row r="506" spans="1:26" ht="12" hidden="1" thickBot="1" x14ac:dyDescent="0.25">
      <c r="A506" s="671" t="s">
        <v>187</v>
      </c>
      <c r="B506" s="572" t="s">
        <v>187</v>
      </c>
      <c r="C506" s="573" t="s">
        <v>187</v>
      </c>
      <c r="D506" s="580"/>
      <c r="E506" s="575"/>
      <c r="F506" s="436"/>
      <c r="G506" s="431"/>
      <c r="H506" s="430"/>
      <c r="I506" s="432"/>
      <c r="J506" s="433"/>
      <c r="K506" s="437">
        <f t="shared" si="160"/>
        <v>0</v>
      </c>
      <c r="L506" s="435" t="s">
        <v>614</v>
      </c>
      <c r="M506" s="576"/>
      <c r="N506" s="576">
        <f t="shared" si="144"/>
        <v>0</v>
      </c>
      <c r="O506" s="577">
        <f t="shared" si="132"/>
        <v>0</v>
      </c>
      <c r="P506" s="578">
        <f t="shared" si="133"/>
        <v>0</v>
      </c>
      <c r="Q506" s="765"/>
      <c r="R506" s="576">
        <f t="shared" si="161"/>
        <v>0</v>
      </c>
      <c r="S506" s="576">
        <f t="shared" si="161"/>
        <v>0</v>
      </c>
      <c r="T506" s="577">
        <f t="shared" si="130"/>
        <v>0</v>
      </c>
      <c r="U506" s="578">
        <f t="shared" si="131"/>
        <v>0</v>
      </c>
      <c r="V506" s="579"/>
      <c r="W506" s="566"/>
      <c r="X506" s="586" t="str">
        <f t="shared" si="155"/>
        <v/>
      </c>
      <c r="Y506" s="586" t="str">
        <f t="shared" si="143"/>
        <v/>
      </c>
      <c r="Z506" s="586" t="str">
        <f t="shared" si="147"/>
        <v/>
      </c>
    </row>
    <row r="507" spans="1:26" ht="12" hidden="1" thickBot="1" x14ac:dyDescent="0.25">
      <c r="A507" s="671" t="s">
        <v>187</v>
      </c>
      <c r="B507" s="572" t="s">
        <v>187</v>
      </c>
      <c r="C507" s="573" t="s">
        <v>187</v>
      </c>
      <c r="D507" s="580"/>
      <c r="E507" s="575"/>
      <c r="F507" s="436"/>
      <c r="G507" s="431"/>
      <c r="H507" s="430"/>
      <c r="I507" s="432"/>
      <c r="J507" s="433"/>
      <c r="K507" s="437">
        <f t="shared" si="160"/>
        <v>0</v>
      </c>
      <c r="L507" s="435" t="s">
        <v>614</v>
      </c>
      <c r="M507" s="576"/>
      <c r="N507" s="576">
        <f t="shared" si="144"/>
        <v>0</v>
      </c>
      <c r="O507" s="577">
        <f t="shared" si="132"/>
        <v>0</v>
      </c>
      <c r="P507" s="578">
        <f t="shared" si="133"/>
        <v>0</v>
      </c>
      <c r="Q507" s="765"/>
      <c r="R507" s="576">
        <f t="shared" si="161"/>
        <v>0</v>
      </c>
      <c r="S507" s="576">
        <f t="shared" si="161"/>
        <v>0</v>
      </c>
      <c r="T507" s="577">
        <f t="shared" si="130"/>
        <v>0</v>
      </c>
      <c r="U507" s="578">
        <f t="shared" si="131"/>
        <v>0</v>
      </c>
      <c r="V507" s="579"/>
      <c r="W507" s="566"/>
      <c r="X507" s="586" t="str">
        <f t="shared" si="155"/>
        <v/>
      </c>
      <c r="Y507" s="586" t="str">
        <f t="shared" si="143"/>
        <v/>
      </c>
      <c r="Z507" s="586" t="str">
        <f t="shared" si="147"/>
        <v/>
      </c>
    </row>
    <row r="508" spans="1:26" ht="12" hidden="1" thickBot="1" x14ac:dyDescent="0.25">
      <c r="A508" s="671" t="s">
        <v>187</v>
      </c>
      <c r="B508" s="572" t="s">
        <v>187</v>
      </c>
      <c r="C508" s="573" t="s">
        <v>187</v>
      </c>
      <c r="D508" s="580"/>
      <c r="E508" s="575"/>
      <c r="F508" s="436"/>
      <c r="G508" s="431"/>
      <c r="H508" s="430"/>
      <c r="I508" s="432"/>
      <c r="J508" s="433"/>
      <c r="K508" s="437">
        <f t="shared" si="160"/>
        <v>0</v>
      </c>
      <c r="L508" s="435" t="s">
        <v>614</v>
      </c>
      <c r="M508" s="576"/>
      <c r="N508" s="576">
        <f t="shared" si="144"/>
        <v>0</v>
      </c>
      <c r="O508" s="577">
        <f t="shared" si="132"/>
        <v>0</v>
      </c>
      <c r="P508" s="578">
        <f t="shared" si="133"/>
        <v>0</v>
      </c>
      <c r="Q508" s="765"/>
      <c r="R508" s="576">
        <f t="shared" si="161"/>
        <v>0</v>
      </c>
      <c r="S508" s="576">
        <f t="shared" si="161"/>
        <v>0</v>
      </c>
      <c r="T508" s="577">
        <f t="shared" si="130"/>
        <v>0</v>
      </c>
      <c r="U508" s="578">
        <f t="shared" si="131"/>
        <v>0</v>
      </c>
      <c r="V508" s="579"/>
      <c r="W508" s="566"/>
      <c r="X508" s="586" t="str">
        <f t="shared" si="155"/>
        <v/>
      </c>
      <c r="Y508" s="586" t="str">
        <f t="shared" si="143"/>
        <v/>
      </c>
      <c r="Z508" s="586" t="str">
        <f t="shared" si="147"/>
        <v/>
      </c>
    </row>
    <row r="509" spans="1:26" ht="12" hidden="1" thickBot="1" x14ac:dyDescent="0.25">
      <c r="A509" s="671" t="s">
        <v>187</v>
      </c>
      <c r="B509" s="572" t="s">
        <v>187</v>
      </c>
      <c r="C509" s="573" t="s">
        <v>187</v>
      </c>
      <c r="D509" s="580"/>
      <c r="E509" s="575"/>
      <c r="F509" s="436"/>
      <c r="G509" s="431"/>
      <c r="H509" s="430"/>
      <c r="I509" s="432"/>
      <c r="J509" s="433"/>
      <c r="K509" s="437">
        <f t="shared" si="160"/>
        <v>0</v>
      </c>
      <c r="L509" s="435" t="s">
        <v>614</v>
      </c>
      <c r="M509" s="576"/>
      <c r="N509" s="576">
        <f t="shared" si="144"/>
        <v>0</v>
      </c>
      <c r="O509" s="577">
        <f t="shared" si="132"/>
        <v>0</v>
      </c>
      <c r="P509" s="578">
        <f t="shared" si="133"/>
        <v>0</v>
      </c>
      <c r="Q509" s="765"/>
      <c r="R509" s="576">
        <f t="shared" si="161"/>
        <v>0</v>
      </c>
      <c r="S509" s="576">
        <f t="shared" si="161"/>
        <v>0</v>
      </c>
      <c r="T509" s="577">
        <f t="shared" si="130"/>
        <v>0</v>
      </c>
      <c r="U509" s="578">
        <f t="shared" si="131"/>
        <v>0</v>
      </c>
      <c r="V509" s="579"/>
      <c r="W509" s="566"/>
      <c r="X509" s="586" t="str">
        <f t="shared" si="155"/>
        <v/>
      </c>
      <c r="Y509" s="586" t="str">
        <f t="shared" si="143"/>
        <v/>
      </c>
      <c r="Z509" s="586" t="str">
        <f t="shared" si="147"/>
        <v/>
      </c>
    </row>
    <row r="510" spans="1:26" ht="12" hidden="1" thickBot="1" x14ac:dyDescent="0.25">
      <c r="A510" s="671" t="s">
        <v>187</v>
      </c>
      <c r="B510" s="572" t="s">
        <v>187</v>
      </c>
      <c r="C510" s="573" t="s">
        <v>187</v>
      </c>
      <c r="D510" s="580"/>
      <c r="E510" s="575"/>
      <c r="F510" s="436"/>
      <c r="G510" s="431"/>
      <c r="H510" s="430"/>
      <c r="I510" s="432"/>
      <c r="J510" s="433"/>
      <c r="K510" s="437">
        <f t="shared" si="160"/>
        <v>0</v>
      </c>
      <c r="L510" s="435" t="s">
        <v>614</v>
      </c>
      <c r="M510" s="576"/>
      <c r="N510" s="576">
        <f t="shared" si="144"/>
        <v>0</v>
      </c>
      <c r="O510" s="577">
        <f t="shared" si="132"/>
        <v>0</v>
      </c>
      <c r="P510" s="578">
        <f t="shared" si="133"/>
        <v>0</v>
      </c>
      <c r="Q510" s="765"/>
      <c r="R510" s="576">
        <f t="shared" si="161"/>
        <v>0</v>
      </c>
      <c r="S510" s="576">
        <f t="shared" si="161"/>
        <v>0</v>
      </c>
      <c r="T510" s="577">
        <f t="shared" si="130"/>
        <v>0</v>
      </c>
      <c r="U510" s="578">
        <f t="shared" si="131"/>
        <v>0</v>
      </c>
      <c r="V510" s="579"/>
      <c r="W510" s="566"/>
      <c r="X510" s="586" t="str">
        <f t="shared" si="155"/>
        <v/>
      </c>
      <c r="Y510" s="586" t="str">
        <f t="shared" si="143"/>
        <v/>
      </c>
      <c r="Z510" s="586" t="str">
        <f t="shared" si="147"/>
        <v/>
      </c>
    </row>
    <row r="511" spans="1:26" ht="12" hidden="1" thickBot="1" x14ac:dyDescent="0.25">
      <c r="A511" s="671" t="s">
        <v>187</v>
      </c>
      <c r="B511" s="572" t="s">
        <v>187</v>
      </c>
      <c r="C511" s="573" t="s">
        <v>187</v>
      </c>
      <c r="D511" s="580"/>
      <c r="E511" s="575"/>
      <c r="F511" s="436"/>
      <c r="G511" s="431"/>
      <c r="H511" s="430"/>
      <c r="I511" s="432"/>
      <c r="J511" s="433"/>
      <c r="K511" s="437">
        <f t="shared" si="160"/>
        <v>0</v>
      </c>
      <c r="L511" s="435" t="s">
        <v>614</v>
      </c>
      <c r="M511" s="576"/>
      <c r="N511" s="576">
        <f t="shared" si="144"/>
        <v>0</v>
      </c>
      <c r="O511" s="577">
        <f t="shared" si="132"/>
        <v>0</v>
      </c>
      <c r="P511" s="578">
        <f t="shared" si="133"/>
        <v>0</v>
      </c>
      <c r="Q511" s="765"/>
      <c r="R511" s="576">
        <f t="shared" si="161"/>
        <v>0</v>
      </c>
      <c r="S511" s="576">
        <f t="shared" si="161"/>
        <v>0</v>
      </c>
      <c r="T511" s="577">
        <f t="shared" si="130"/>
        <v>0</v>
      </c>
      <c r="U511" s="578">
        <f t="shared" si="131"/>
        <v>0</v>
      </c>
      <c r="V511" s="579"/>
      <c r="W511" s="566"/>
      <c r="X511" s="586" t="str">
        <f t="shared" si="155"/>
        <v/>
      </c>
      <c r="Y511" s="586" t="str">
        <f t="shared" si="143"/>
        <v/>
      </c>
      <c r="Z511" s="586" t="str">
        <f t="shared" si="147"/>
        <v/>
      </c>
    </row>
    <row r="512" spans="1:26" ht="12" hidden="1" thickBot="1" x14ac:dyDescent="0.25">
      <c r="A512" s="671" t="s">
        <v>187</v>
      </c>
      <c r="B512" s="572" t="s">
        <v>187</v>
      </c>
      <c r="C512" s="573" t="s">
        <v>187</v>
      </c>
      <c r="D512" s="580"/>
      <c r="E512" s="575"/>
      <c r="F512" s="436"/>
      <c r="G512" s="431"/>
      <c r="H512" s="430"/>
      <c r="I512" s="432"/>
      <c r="J512" s="433"/>
      <c r="K512" s="437">
        <f t="shared" si="160"/>
        <v>0</v>
      </c>
      <c r="L512" s="435" t="s">
        <v>614</v>
      </c>
      <c r="M512" s="576"/>
      <c r="N512" s="576">
        <f t="shared" si="144"/>
        <v>0</v>
      </c>
      <c r="O512" s="577">
        <f t="shared" si="132"/>
        <v>0</v>
      </c>
      <c r="P512" s="578">
        <f t="shared" si="133"/>
        <v>0</v>
      </c>
      <c r="Q512" s="765"/>
      <c r="R512" s="576">
        <f t="shared" si="161"/>
        <v>0</v>
      </c>
      <c r="S512" s="576">
        <f t="shared" si="161"/>
        <v>0</v>
      </c>
      <c r="T512" s="577">
        <f t="shared" si="130"/>
        <v>0</v>
      </c>
      <c r="U512" s="578">
        <f t="shared" si="131"/>
        <v>0</v>
      </c>
      <c r="V512" s="579"/>
      <c r="W512" s="566"/>
      <c r="X512" s="586" t="str">
        <f t="shared" si="155"/>
        <v/>
      </c>
      <c r="Y512" s="586" t="str">
        <f t="shared" si="143"/>
        <v/>
      </c>
      <c r="Z512" s="586" t="str">
        <f t="shared" si="147"/>
        <v/>
      </c>
    </row>
    <row r="513" spans="1:26" ht="12" hidden="1" thickBot="1" x14ac:dyDescent="0.25">
      <c r="A513" s="671" t="s">
        <v>187</v>
      </c>
      <c r="B513" s="572" t="s">
        <v>187</v>
      </c>
      <c r="C513" s="573" t="s">
        <v>187</v>
      </c>
      <c r="D513" s="580"/>
      <c r="E513" s="575"/>
      <c r="F513" s="436"/>
      <c r="G513" s="431"/>
      <c r="H513" s="430"/>
      <c r="I513" s="432"/>
      <c r="J513" s="433"/>
      <c r="K513" s="437">
        <f t="shared" si="160"/>
        <v>0</v>
      </c>
      <c r="L513" s="435" t="s">
        <v>614</v>
      </c>
      <c r="M513" s="576"/>
      <c r="N513" s="576">
        <f t="shared" si="144"/>
        <v>0</v>
      </c>
      <c r="O513" s="577">
        <f t="shared" si="132"/>
        <v>0</v>
      </c>
      <c r="P513" s="578">
        <f t="shared" si="133"/>
        <v>0</v>
      </c>
      <c r="Q513" s="765"/>
      <c r="R513" s="576">
        <f t="shared" si="161"/>
        <v>0</v>
      </c>
      <c r="S513" s="576">
        <f t="shared" si="161"/>
        <v>0</v>
      </c>
      <c r="T513" s="577">
        <f t="shared" si="130"/>
        <v>0</v>
      </c>
      <c r="U513" s="578">
        <f t="shared" si="131"/>
        <v>0</v>
      </c>
      <c r="V513" s="579"/>
      <c r="W513" s="566"/>
      <c r="X513" s="586" t="str">
        <f t="shared" si="155"/>
        <v/>
      </c>
      <c r="Y513" s="586" t="str">
        <f t="shared" si="143"/>
        <v/>
      </c>
      <c r="Z513" s="586" t="str">
        <f t="shared" si="147"/>
        <v/>
      </c>
    </row>
    <row r="514" spans="1:26" ht="12" hidden="1" thickBot="1" x14ac:dyDescent="0.25">
      <c r="A514" s="671" t="s">
        <v>187</v>
      </c>
      <c r="B514" s="572" t="s">
        <v>187</v>
      </c>
      <c r="C514" s="573" t="s">
        <v>187</v>
      </c>
      <c r="D514" s="580"/>
      <c r="E514" s="575"/>
      <c r="F514" s="436"/>
      <c r="G514" s="431"/>
      <c r="H514" s="430"/>
      <c r="I514" s="432"/>
      <c r="J514" s="433"/>
      <c r="K514" s="437">
        <f t="shared" si="160"/>
        <v>0</v>
      </c>
      <c r="L514" s="435" t="s">
        <v>614</v>
      </c>
      <c r="M514" s="576"/>
      <c r="N514" s="576">
        <f t="shared" si="144"/>
        <v>0</v>
      </c>
      <c r="O514" s="577">
        <f t="shared" si="132"/>
        <v>0</v>
      </c>
      <c r="P514" s="578">
        <f t="shared" si="133"/>
        <v>0</v>
      </c>
      <c r="Q514" s="765"/>
      <c r="R514" s="576">
        <f t="shared" si="161"/>
        <v>0</v>
      </c>
      <c r="S514" s="576">
        <f t="shared" si="161"/>
        <v>0</v>
      </c>
      <c r="T514" s="577">
        <f t="shared" si="130"/>
        <v>0</v>
      </c>
      <c r="U514" s="578">
        <f t="shared" si="131"/>
        <v>0</v>
      </c>
      <c r="V514" s="579"/>
      <c r="W514" s="566"/>
      <c r="X514" s="586" t="str">
        <f t="shared" si="155"/>
        <v/>
      </c>
      <c r="Y514" s="586" t="str">
        <f t="shared" si="143"/>
        <v/>
      </c>
      <c r="Z514" s="586" t="str">
        <f t="shared" si="147"/>
        <v/>
      </c>
    </row>
    <row r="515" spans="1:26" ht="12" hidden="1" thickBot="1" x14ac:dyDescent="0.25">
      <c r="A515" s="671" t="s">
        <v>187</v>
      </c>
      <c r="B515" s="572" t="s">
        <v>187</v>
      </c>
      <c r="C515" s="573" t="s">
        <v>187</v>
      </c>
      <c r="D515" s="580"/>
      <c r="E515" s="575"/>
      <c r="F515" s="436"/>
      <c r="G515" s="431"/>
      <c r="H515" s="430"/>
      <c r="I515" s="432"/>
      <c r="J515" s="433"/>
      <c r="K515" s="437">
        <f t="shared" si="160"/>
        <v>0</v>
      </c>
      <c r="L515" s="435" t="s">
        <v>614</v>
      </c>
      <c r="M515" s="576"/>
      <c r="N515" s="576">
        <f t="shared" si="144"/>
        <v>0</v>
      </c>
      <c r="O515" s="577">
        <f t="shared" si="132"/>
        <v>0</v>
      </c>
      <c r="P515" s="578">
        <f t="shared" si="133"/>
        <v>0</v>
      </c>
      <c r="Q515" s="765"/>
      <c r="R515" s="576">
        <f t="shared" si="161"/>
        <v>0</v>
      </c>
      <c r="S515" s="576">
        <f t="shared" si="161"/>
        <v>0</v>
      </c>
      <c r="T515" s="577">
        <f t="shared" si="130"/>
        <v>0</v>
      </c>
      <c r="U515" s="578">
        <f t="shared" si="131"/>
        <v>0</v>
      </c>
      <c r="V515" s="579"/>
      <c r="W515" s="566"/>
      <c r="X515" s="586" t="str">
        <f t="shared" si="155"/>
        <v/>
      </c>
      <c r="Y515" s="586" t="str">
        <f t="shared" si="143"/>
        <v/>
      </c>
      <c r="Z515" s="586" t="str">
        <f t="shared" si="147"/>
        <v/>
      </c>
    </row>
    <row r="516" spans="1:26" ht="12" hidden="1" thickBot="1" x14ac:dyDescent="0.25">
      <c r="A516" s="671" t="s">
        <v>187</v>
      </c>
      <c r="B516" s="572" t="s">
        <v>187</v>
      </c>
      <c r="C516" s="573" t="s">
        <v>187</v>
      </c>
      <c r="D516" s="580"/>
      <c r="E516" s="575"/>
      <c r="F516" s="436"/>
      <c r="G516" s="431"/>
      <c r="H516" s="430"/>
      <c r="I516" s="432"/>
      <c r="J516" s="433"/>
      <c r="K516" s="437">
        <f t="shared" si="160"/>
        <v>0</v>
      </c>
      <c r="L516" s="435" t="s">
        <v>614</v>
      </c>
      <c r="M516" s="576"/>
      <c r="N516" s="576">
        <f t="shared" si="144"/>
        <v>0</v>
      </c>
      <c r="O516" s="577">
        <f t="shared" si="132"/>
        <v>0</v>
      </c>
      <c r="P516" s="578">
        <f t="shared" si="133"/>
        <v>0</v>
      </c>
      <c r="Q516" s="765"/>
      <c r="R516" s="576">
        <f t="shared" si="161"/>
        <v>0</v>
      </c>
      <c r="S516" s="576">
        <f t="shared" si="161"/>
        <v>0</v>
      </c>
      <c r="T516" s="577">
        <f t="shared" si="130"/>
        <v>0</v>
      </c>
      <c r="U516" s="578">
        <f t="shared" si="131"/>
        <v>0</v>
      </c>
      <c r="V516" s="579"/>
      <c r="W516" s="566"/>
      <c r="X516" s="586" t="str">
        <f t="shared" si="155"/>
        <v/>
      </c>
      <c r="Y516" s="586" t="str">
        <f t="shared" si="143"/>
        <v/>
      </c>
      <c r="Z516" s="586" t="str">
        <f t="shared" si="147"/>
        <v/>
      </c>
    </row>
    <row r="517" spans="1:26" ht="12" hidden="1" thickBot="1" x14ac:dyDescent="0.25">
      <c r="A517" s="671" t="s">
        <v>187</v>
      </c>
      <c r="B517" s="572" t="s">
        <v>187</v>
      </c>
      <c r="C517" s="573" t="s">
        <v>187</v>
      </c>
      <c r="D517" s="580"/>
      <c r="E517" s="575"/>
      <c r="F517" s="436"/>
      <c r="G517" s="431"/>
      <c r="H517" s="430"/>
      <c r="I517" s="432"/>
      <c r="J517" s="433"/>
      <c r="K517" s="437">
        <f t="shared" si="160"/>
        <v>0</v>
      </c>
      <c r="L517" s="435" t="s">
        <v>614</v>
      </c>
      <c r="M517" s="576"/>
      <c r="N517" s="576">
        <f t="shared" si="144"/>
        <v>0</v>
      </c>
      <c r="O517" s="577">
        <f t="shared" si="132"/>
        <v>0</v>
      </c>
      <c r="P517" s="578">
        <f t="shared" si="133"/>
        <v>0</v>
      </c>
      <c r="Q517" s="765"/>
      <c r="R517" s="576">
        <f t="shared" si="161"/>
        <v>0</v>
      </c>
      <c r="S517" s="576">
        <f t="shared" si="161"/>
        <v>0</v>
      </c>
      <c r="T517" s="577">
        <f t="shared" si="130"/>
        <v>0</v>
      </c>
      <c r="U517" s="578">
        <f t="shared" si="131"/>
        <v>0</v>
      </c>
      <c r="V517" s="579"/>
      <c r="W517" s="566"/>
      <c r="X517" s="586" t="str">
        <f t="shared" si="155"/>
        <v/>
      </c>
      <c r="Y517" s="586" t="str">
        <f t="shared" si="143"/>
        <v/>
      </c>
      <c r="Z517" s="586" t="str">
        <f t="shared" si="147"/>
        <v/>
      </c>
    </row>
    <row r="518" spans="1:26" ht="12" hidden="1" thickBot="1" x14ac:dyDescent="0.25">
      <c r="A518" s="671" t="s">
        <v>187</v>
      </c>
      <c r="B518" s="572" t="s">
        <v>187</v>
      </c>
      <c r="C518" s="573" t="s">
        <v>187</v>
      </c>
      <c r="D518" s="580"/>
      <c r="E518" s="575"/>
      <c r="F518" s="436"/>
      <c r="G518" s="431"/>
      <c r="H518" s="430"/>
      <c r="I518" s="432"/>
      <c r="J518" s="433"/>
      <c r="K518" s="437">
        <f t="shared" si="160"/>
        <v>0</v>
      </c>
      <c r="L518" s="435" t="s">
        <v>614</v>
      </c>
      <c r="M518" s="576"/>
      <c r="N518" s="576">
        <f t="shared" si="144"/>
        <v>0</v>
      </c>
      <c r="O518" s="577">
        <f t="shared" si="132"/>
        <v>0</v>
      </c>
      <c r="P518" s="578">
        <f t="shared" si="133"/>
        <v>0</v>
      </c>
      <c r="Q518" s="765"/>
      <c r="R518" s="576">
        <f t="shared" si="161"/>
        <v>0</v>
      </c>
      <c r="S518" s="576">
        <f t="shared" si="161"/>
        <v>0</v>
      </c>
      <c r="T518" s="577">
        <f t="shared" si="130"/>
        <v>0</v>
      </c>
      <c r="U518" s="578">
        <f t="shared" si="131"/>
        <v>0</v>
      </c>
      <c r="V518" s="579"/>
      <c r="W518" s="566"/>
      <c r="X518" s="586" t="str">
        <f t="shared" si="155"/>
        <v/>
      </c>
      <c r="Y518" s="586" t="str">
        <f t="shared" si="143"/>
        <v/>
      </c>
      <c r="Z518" s="586" t="str">
        <f t="shared" si="147"/>
        <v/>
      </c>
    </row>
    <row r="519" spans="1:26" ht="12" hidden="1" thickBot="1" x14ac:dyDescent="0.25">
      <c r="A519" s="671" t="s">
        <v>187</v>
      </c>
      <c r="B519" s="572" t="s">
        <v>187</v>
      </c>
      <c r="C519" s="573" t="s">
        <v>187</v>
      </c>
      <c r="D519" s="580"/>
      <c r="E519" s="575"/>
      <c r="F519" s="436"/>
      <c r="G519" s="431"/>
      <c r="H519" s="430"/>
      <c r="I519" s="432"/>
      <c r="J519" s="433"/>
      <c r="K519" s="437">
        <f t="shared" si="160"/>
        <v>0</v>
      </c>
      <c r="L519" s="435" t="s">
        <v>614</v>
      </c>
      <c r="M519" s="576"/>
      <c r="N519" s="576">
        <f t="shared" si="144"/>
        <v>0</v>
      </c>
      <c r="O519" s="577">
        <f t="shared" si="132"/>
        <v>0</v>
      </c>
      <c r="P519" s="578">
        <f t="shared" si="133"/>
        <v>0</v>
      </c>
      <c r="Q519" s="765"/>
      <c r="R519" s="576">
        <f t="shared" si="161"/>
        <v>0</v>
      </c>
      <c r="S519" s="576">
        <f t="shared" si="161"/>
        <v>0</v>
      </c>
      <c r="T519" s="577">
        <f t="shared" si="130"/>
        <v>0</v>
      </c>
      <c r="U519" s="578">
        <f t="shared" si="131"/>
        <v>0</v>
      </c>
      <c r="V519" s="579"/>
      <c r="W519" s="566"/>
      <c r="X519" s="586" t="str">
        <f t="shared" si="155"/>
        <v/>
      </c>
      <c r="Y519" s="586" t="str">
        <f t="shared" si="143"/>
        <v/>
      </c>
      <c r="Z519" s="586" t="str">
        <f t="shared" si="147"/>
        <v/>
      </c>
    </row>
    <row r="520" spans="1:26" ht="12" hidden="1" thickBot="1" x14ac:dyDescent="0.25">
      <c r="A520" s="671" t="s">
        <v>187</v>
      </c>
      <c r="B520" s="572" t="s">
        <v>187</v>
      </c>
      <c r="C520" s="573" t="s">
        <v>187</v>
      </c>
      <c r="D520" s="580"/>
      <c r="E520" s="575"/>
      <c r="F520" s="436"/>
      <c r="G520" s="431"/>
      <c r="H520" s="430"/>
      <c r="I520" s="432"/>
      <c r="J520" s="433"/>
      <c r="K520" s="437">
        <f t="shared" si="160"/>
        <v>0</v>
      </c>
      <c r="L520" s="435" t="s">
        <v>614</v>
      </c>
      <c r="M520" s="576"/>
      <c r="N520" s="576">
        <f t="shared" si="144"/>
        <v>0</v>
      </c>
      <c r="O520" s="577">
        <f t="shared" si="132"/>
        <v>0</v>
      </c>
      <c r="P520" s="578">
        <f t="shared" si="133"/>
        <v>0</v>
      </c>
      <c r="Q520" s="765"/>
      <c r="R520" s="576">
        <f t="shared" si="161"/>
        <v>0</v>
      </c>
      <c r="S520" s="576">
        <f t="shared" si="161"/>
        <v>0</v>
      </c>
      <c r="T520" s="577">
        <f t="shared" si="130"/>
        <v>0</v>
      </c>
      <c r="U520" s="578">
        <f t="shared" si="131"/>
        <v>0</v>
      </c>
      <c r="V520" s="579"/>
      <c r="W520" s="566"/>
      <c r="X520" s="586" t="str">
        <f t="shared" si="155"/>
        <v/>
      </c>
      <c r="Y520" s="586" t="str">
        <f t="shared" si="143"/>
        <v/>
      </c>
      <c r="Z520" s="586" t="str">
        <f t="shared" si="147"/>
        <v/>
      </c>
    </row>
    <row r="521" spans="1:26" ht="12" hidden="1" thickBot="1" x14ac:dyDescent="0.25">
      <c r="A521" s="671" t="s">
        <v>187</v>
      </c>
      <c r="B521" s="572" t="s">
        <v>187</v>
      </c>
      <c r="C521" s="573" t="s">
        <v>187</v>
      </c>
      <c r="D521" s="580"/>
      <c r="E521" s="575"/>
      <c r="F521" s="436"/>
      <c r="G521" s="431"/>
      <c r="H521" s="430"/>
      <c r="I521" s="432"/>
      <c r="J521" s="433"/>
      <c r="K521" s="437">
        <f t="shared" si="160"/>
        <v>0</v>
      </c>
      <c r="L521" s="435" t="s">
        <v>614</v>
      </c>
      <c r="M521" s="576"/>
      <c r="N521" s="576">
        <f t="shared" si="144"/>
        <v>0</v>
      </c>
      <c r="O521" s="577">
        <f t="shared" si="132"/>
        <v>0</v>
      </c>
      <c r="P521" s="578">
        <f t="shared" si="133"/>
        <v>0</v>
      </c>
      <c r="Q521" s="765"/>
      <c r="R521" s="576">
        <f t="shared" si="161"/>
        <v>0</v>
      </c>
      <c r="S521" s="576">
        <f t="shared" si="161"/>
        <v>0</v>
      </c>
      <c r="T521" s="577">
        <f t="shared" si="130"/>
        <v>0</v>
      </c>
      <c r="U521" s="578">
        <f t="shared" si="131"/>
        <v>0</v>
      </c>
      <c r="V521" s="579"/>
      <c r="W521" s="566"/>
      <c r="X521" s="586" t="str">
        <f t="shared" si="155"/>
        <v/>
      </c>
      <c r="Y521" s="586" t="str">
        <f t="shared" si="143"/>
        <v/>
      </c>
      <c r="Z521" s="586" t="str">
        <f t="shared" si="147"/>
        <v/>
      </c>
    </row>
    <row r="522" spans="1:26" ht="12" hidden="1" thickBot="1" x14ac:dyDescent="0.25">
      <c r="A522" s="671" t="s">
        <v>187</v>
      </c>
      <c r="B522" s="572" t="s">
        <v>187</v>
      </c>
      <c r="C522" s="573" t="s">
        <v>187</v>
      </c>
      <c r="D522" s="580"/>
      <c r="E522" s="575"/>
      <c r="F522" s="436"/>
      <c r="G522" s="431"/>
      <c r="H522" s="430"/>
      <c r="I522" s="432"/>
      <c r="J522" s="433"/>
      <c r="K522" s="437">
        <f t="shared" si="160"/>
        <v>0</v>
      </c>
      <c r="L522" s="435" t="s">
        <v>614</v>
      </c>
      <c r="M522" s="576"/>
      <c r="N522" s="576">
        <f t="shared" si="144"/>
        <v>0</v>
      </c>
      <c r="O522" s="577">
        <f t="shared" si="132"/>
        <v>0</v>
      </c>
      <c r="P522" s="578">
        <f t="shared" si="133"/>
        <v>0</v>
      </c>
      <c r="Q522" s="765"/>
      <c r="R522" s="576">
        <f t="shared" si="161"/>
        <v>0</v>
      </c>
      <c r="S522" s="576">
        <f t="shared" si="161"/>
        <v>0</v>
      </c>
      <c r="T522" s="577">
        <f t="shared" si="130"/>
        <v>0</v>
      </c>
      <c r="U522" s="578">
        <f t="shared" si="131"/>
        <v>0</v>
      </c>
      <c r="V522" s="579"/>
      <c r="W522" s="566"/>
      <c r="X522" s="586" t="str">
        <f t="shared" si="155"/>
        <v/>
      </c>
      <c r="Y522" s="586" t="str">
        <f t="shared" si="143"/>
        <v/>
      </c>
      <c r="Z522" s="586" t="str">
        <f t="shared" si="147"/>
        <v/>
      </c>
    </row>
    <row r="523" spans="1:26" ht="12" hidden="1" thickBot="1" x14ac:dyDescent="0.25">
      <c r="A523" s="671" t="s">
        <v>187</v>
      </c>
      <c r="B523" s="572" t="s">
        <v>187</v>
      </c>
      <c r="C523" s="573" t="s">
        <v>187</v>
      </c>
      <c r="D523" s="580"/>
      <c r="E523" s="575"/>
      <c r="F523" s="436"/>
      <c r="G523" s="431"/>
      <c r="H523" s="430"/>
      <c r="I523" s="432"/>
      <c r="J523" s="433"/>
      <c r="K523" s="437">
        <f t="shared" si="160"/>
        <v>0</v>
      </c>
      <c r="L523" s="435" t="s">
        <v>614</v>
      </c>
      <c r="M523" s="576"/>
      <c r="N523" s="576">
        <f t="shared" si="144"/>
        <v>0</v>
      </c>
      <c r="O523" s="577">
        <f t="shared" si="132"/>
        <v>0</v>
      </c>
      <c r="P523" s="578">
        <f t="shared" si="133"/>
        <v>0</v>
      </c>
      <c r="Q523" s="765"/>
      <c r="R523" s="576">
        <f t="shared" si="161"/>
        <v>0</v>
      </c>
      <c r="S523" s="576">
        <f t="shared" si="161"/>
        <v>0</v>
      </c>
      <c r="T523" s="577">
        <f t="shared" si="130"/>
        <v>0</v>
      </c>
      <c r="U523" s="578">
        <f t="shared" si="131"/>
        <v>0</v>
      </c>
      <c r="V523" s="579"/>
      <c r="W523" s="566"/>
      <c r="X523" s="586" t="str">
        <f t="shared" si="155"/>
        <v/>
      </c>
      <c r="Y523" s="586" t="str">
        <f t="shared" si="143"/>
        <v/>
      </c>
      <c r="Z523" s="586" t="str">
        <f t="shared" si="147"/>
        <v/>
      </c>
    </row>
    <row r="524" spans="1:26" ht="12" hidden="1" thickBot="1" x14ac:dyDescent="0.25">
      <c r="A524" s="671" t="s">
        <v>187</v>
      </c>
      <c r="B524" s="572" t="s">
        <v>187</v>
      </c>
      <c r="C524" s="573" t="s">
        <v>187</v>
      </c>
      <c r="D524" s="580"/>
      <c r="E524" s="575"/>
      <c r="F524" s="436"/>
      <c r="G524" s="431"/>
      <c r="H524" s="430"/>
      <c r="I524" s="432"/>
      <c r="J524" s="433"/>
      <c r="K524" s="437">
        <f t="shared" si="160"/>
        <v>0</v>
      </c>
      <c r="L524" s="435" t="s">
        <v>614</v>
      </c>
      <c r="M524" s="576"/>
      <c r="N524" s="576">
        <f t="shared" si="144"/>
        <v>0</v>
      </c>
      <c r="O524" s="577">
        <f t="shared" si="132"/>
        <v>0</v>
      </c>
      <c r="P524" s="578">
        <f t="shared" si="133"/>
        <v>0</v>
      </c>
      <c r="Q524" s="765"/>
      <c r="R524" s="576">
        <f t="shared" si="161"/>
        <v>0</v>
      </c>
      <c r="S524" s="576">
        <f t="shared" si="161"/>
        <v>0</v>
      </c>
      <c r="T524" s="577">
        <f t="shared" si="130"/>
        <v>0</v>
      </c>
      <c r="U524" s="578">
        <f t="shared" si="131"/>
        <v>0</v>
      </c>
      <c r="V524" s="579"/>
      <c r="W524" s="566"/>
      <c r="X524" s="586" t="str">
        <f t="shared" si="155"/>
        <v/>
      </c>
      <c r="Y524" s="586" t="str">
        <f t="shared" si="143"/>
        <v/>
      </c>
      <c r="Z524" s="586" t="str">
        <f t="shared" si="147"/>
        <v/>
      </c>
    </row>
    <row r="525" spans="1:26" ht="12" hidden="1" thickBot="1" x14ac:dyDescent="0.25">
      <c r="A525" s="671" t="s">
        <v>187</v>
      </c>
      <c r="B525" s="572" t="s">
        <v>187</v>
      </c>
      <c r="C525" s="573" t="s">
        <v>187</v>
      </c>
      <c r="D525" s="580"/>
      <c r="E525" s="575"/>
      <c r="F525" s="436"/>
      <c r="G525" s="431"/>
      <c r="H525" s="430"/>
      <c r="I525" s="432"/>
      <c r="J525" s="433"/>
      <c r="K525" s="437">
        <f t="shared" si="160"/>
        <v>0</v>
      </c>
      <c r="L525" s="435" t="s">
        <v>614</v>
      </c>
      <c r="M525" s="576"/>
      <c r="N525" s="576">
        <f t="shared" si="144"/>
        <v>0</v>
      </c>
      <c r="O525" s="577">
        <f t="shared" si="132"/>
        <v>0</v>
      </c>
      <c r="P525" s="578">
        <f t="shared" si="133"/>
        <v>0</v>
      </c>
      <c r="Q525" s="765"/>
      <c r="R525" s="576">
        <f t="shared" si="161"/>
        <v>0</v>
      </c>
      <c r="S525" s="576">
        <f t="shared" si="161"/>
        <v>0</v>
      </c>
      <c r="T525" s="577">
        <f t="shared" si="130"/>
        <v>0</v>
      </c>
      <c r="U525" s="578">
        <f t="shared" si="131"/>
        <v>0</v>
      </c>
      <c r="V525" s="579"/>
      <c r="W525" s="566"/>
      <c r="X525" s="586" t="str">
        <f t="shared" si="155"/>
        <v/>
      </c>
      <c r="Y525" s="586" t="str">
        <f t="shared" si="143"/>
        <v/>
      </c>
      <c r="Z525" s="586" t="str">
        <f t="shared" si="147"/>
        <v/>
      </c>
    </row>
    <row r="526" spans="1:26" ht="12" hidden="1" thickBot="1" x14ac:dyDescent="0.25">
      <c r="A526" s="671" t="s">
        <v>187</v>
      </c>
      <c r="B526" s="572" t="s">
        <v>187</v>
      </c>
      <c r="C526" s="573" t="s">
        <v>187</v>
      </c>
      <c r="D526" s="580"/>
      <c r="E526" s="575"/>
      <c r="F526" s="436"/>
      <c r="G526" s="431"/>
      <c r="H526" s="430"/>
      <c r="I526" s="432"/>
      <c r="J526" s="433"/>
      <c r="K526" s="437">
        <f t="shared" si="160"/>
        <v>0</v>
      </c>
      <c r="L526" s="435" t="s">
        <v>614</v>
      </c>
      <c r="M526" s="576"/>
      <c r="N526" s="576">
        <f t="shared" si="144"/>
        <v>0</v>
      </c>
      <c r="O526" s="577">
        <f t="shared" si="132"/>
        <v>0</v>
      </c>
      <c r="P526" s="578">
        <f t="shared" si="133"/>
        <v>0</v>
      </c>
      <c r="Q526" s="765"/>
      <c r="R526" s="576">
        <f t="shared" si="161"/>
        <v>0</v>
      </c>
      <c r="S526" s="576">
        <f t="shared" si="161"/>
        <v>0</v>
      </c>
      <c r="T526" s="577">
        <f t="shared" si="130"/>
        <v>0</v>
      </c>
      <c r="U526" s="578">
        <f t="shared" si="131"/>
        <v>0</v>
      </c>
      <c r="V526" s="579"/>
      <c r="W526" s="566"/>
      <c r="X526" s="586" t="str">
        <f t="shared" si="155"/>
        <v/>
      </c>
      <c r="Y526" s="586" t="str">
        <f t="shared" si="143"/>
        <v/>
      </c>
      <c r="Z526" s="586" t="str">
        <f t="shared" si="147"/>
        <v/>
      </c>
    </row>
    <row r="527" spans="1:26" ht="12" hidden="1" thickBot="1" x14ac:dyDescent="0.25">
      <c r="A527" s="671" t="s">
        <v>187</v>
      </c>
      <c r="B527" s="581" t="s">
        <v>187</v>
      </c>
      <c r="C527" s="582" t="s">
        <v>187</v>
      </c>
      <c r="D527" s="583"/>
      <c r="E527" s="584"/>
      <c r="F527" s="438"/>
      <c r="G527" s="439"/>
      <c r="H527" s="440"/>
      <c r="I527" s="441"/>
      <c r="J527" s="442"/>
      <c r="K527" s="443">
        <f t="shared" si="160"/>
        <v>0</v>
      </c>
      <c r="L527" s="444" t="s">
        <v>614</v>
      </c>
      <c r="M527" s="576"/>
      <c r="N527" s="576">
        <f t="shared" si="144"/>
        <v>0</v>
      </c>
      <c r="O527" s="585">
        <f t="shared" si="132"/>
        <v>0</v>
      </c>
      <c r="P527" s="660">
        <f t="shared" si="133"/>
        <v>0</v>
      </c>
      <c r="Q527" s="765"/>
      <c r="R527" s="576">
        <f t="shared" si="161"/>
        <v>0</v>
      </c>
      <c r="S527" s="576">
        <f t="shared" si="161"/>
        <v>0</v>
      </c>
      <c r="T527" s="585">
        <f t="shared" si="130"/>
        <v>0</v>
      </c>
      <c r="U527" s="660">
        <f t="shared" si="131"/>
        <v>0</v>
      </c>
      <c r="V527" s="579"/>
      <c r="W527" s="566"/>
      <c r="X527" s="586" t="str">
        <f t="shared" si="155"/>
        <v/>
      </c>
      <c r="Y527" s="586" t="str">
        <f t="shared" si="143"/>
        <v/>
      </c>
      <c r="Z527" s="586" t="str">
        <f t="shared" si="147"/>
        <v/>
      </c>
    </row>
    <row r="528" spans="1:26" ht="12" hidden="1" thickBot="1" x14ac:dyDescent="0.25">
      <c r="A528" s="671" t="s">
        <v>188</v>
      </c>
      <c r="B528" s="664" t="s">
        <v>188</v>
      </c>
      <c r="C528" s="665"/>
      <c r="D528" s="666" t="s">
        <v>461</v>
      </c>
      <c r="E528" s="631"/>
      <c r="F528" s="632"/>
      <c r="G528" s="633"/>
      <c r="H528" s="634"/>
      <c r="I528" s="409"/>
      <c r="J528" s="409"/>
      <c r="K528" s="409"/>
      <c r="L528" s="409" t="s">
        <v>614</v>
      </c>
      <c r="M528" s="634"/>
      <c r="N528" s="797"/>
      <c r="O528" s="409">
        <f t="shared" si="132"/>
        <v>0</v>
      </c>
      <c r="P528" s="635">
        <f t="shared" si="133"/>
        <v>0</v>
      </c>
      <c r="Q528" s="635">
        <f>SUM(P529:P582)</f>
        <v>0</v>
      </c>
      <c r="R528" s="634"/>
      <c r="S528" s="409"/>
      <c r="T528" s="409">
        <f t="shared" si="130"/>
        <v>0</v>
      </c>
      <c r="U528" s="635">
        <f t="shared" si="131"/>
        <v>0</v>
      </c>
      <c r="V528" s="636">
        <f>SUM(U529:U582)</f>
        <v>0</v>
      </c>
      <c r="W528" s="637" t="str">
        <f>IF(OR(Q528&gt;0,V528&gt;0),"X","")</f>
        <v/>
      </c>
      <c r="X528" s="586" t="str">
        <f t="shared" si="155"/>
        <v/>
      </c>
      <c r="Y528" s="586" t="str">
        <f t="shared" si="143"/>
        <v/>
      </c>
      <c r="Z528" s="586" t="str">
        <f t="shared" si="147"/>
        <v/>
      </c>
    </row>
    <row r="529" spans="1:26" ht="12" hidden="1" thickBot="1" x14ac:dyDescent="0.25">
      <c r="A529" s="567" t="s">
        <v>816</v>
      </c>
      <c r="B529" s="454" t="s">
        <v>816</v>
      </c>
      <c r="C529" s="645" t="s">
        <v>484</v>
      </c>
      <c r="D529" s="422" t="s">
        <v>817</v>
      </c>
      <c r="E529" s="423"/>
      <c r="F529" s="424"/>
      <c r="G529" s="425"/>
      <c r="H529" s="651"/>
      <c r="I529" s="420">
        <v>12.4</v>
      </c>
      <c r="J529" s="420">
        <f>IF(ISBLANK(I529),"",SUM(H529:I529))</f>
        <v>12.4</v>
      </c>
      <c r="K529" s="421">
        <f t="shared" ref="K529:K556" si="162">IF(ISBLANK(I529),0,ROUND(J529*(1+$F$10)*(1+$F$11*E529),2))</f>
        <v>14.73</v>
      </c>
      <c r="L529" s="647" t="s">
        <v>19</v>
      </c>
      <c r="M529" s="576"/>
      <c r="N529" s="576">
        <f t="shared" si="144"/>
        <v>0</v>
      </c>
      <c r="O529" s="577">
        <f t="shared" si="132"/>
        <v>0</v>
      </c>
      <c r="P529" s="578">
        <f t="shared" si="133"/>
        <v>0</v>
      </c>
      <c r="Q529" s="765"/>
      <c r="R529" s="576">
        <f t="shared" ref="R529:S532" si="163">M529</f>
        <v>0</v>
      </c>
      <c r="S529" s="576">
        <f t="shared" si="163"/>
        <v>0</v>
      </c>
      <c r="T529" s="577">
        <f t="shared" si="130"/>
        <v>0</v>
      </c>
      <c r="U529" s="578">
        <f t="shared" si="131"/>
        <v>0</v>
      </c>
      <c r="V529" s="579"/>
      <c r="W529" s="566"/>
      <c r="X529" s="586" t="str">
        <f t="shared" si="155"/>
        <v/>
      </c>
      <c r="Y529" s="586" t="str">
        <f t="shared" si="143"/>
        <v/>
      </c>
      <c r="Z529" s="586" t="str">
        <f t="shared" si="147"/>
        <v/>
      </c>
    </row>
    <row r="530" spans="1:26" ht="12" hidden="1" thickBot="1" x14ac:dyDescent="0.25">
      <c r="A530" s="567" t="s">
        <v>818</v>
      </c>
      <c r="B530" s="454" t="s">
        <v>818</v>
      </c>
      <c r="C530" s="645" t="s">
        <v>484</v>
      </c>
      <c r="D530" s="416" t="s">
        <v>819</v>
      </c>
      <c r="E530" s="417"/>
      <c r="F530" s="418"/>
      <c r="G530" s="419"/>
      <c r="H530" s="646"/>
      <c r="I530" s="420">
        <v>37.18</v>
      </c>
      <c r="J530" s="420">
        <f>IF(ISBLANK(I530),"",SUM(H530:I530))</f>
        <v>37.18</v>
      </c>
      <c r="K530" s="421">
        <f t="shared" si="162"/>
        <v>44.17</v>
      </c>
      <c r="L530" s="647" t="s">
        <v>19</v>
      </c>
      <c r="M530" s="576"/>
      <c r="N530" s="576">
        <f t="shared" si="144"/>
        <v>0</v>
      </c>
      <c r="O530" s="577">
        <f t="shared" si="132"/>
        <v>0</v>
      </c>
      <c r="P530" s="578">
        <f t="shared" si="133"/>
        <v>0</v>
      </c>
      <c r="Q530" s="765"/>
      <c r="R530" s="650">
        <f t="shared" si="163"/>
        <v>0</v>
      </c>
      <c r="S530" s="587">
        <f t="shared" si="163"/>
        <v>0</v>
      </c>
      <c r="T530" s="577">
        <f t="shared" si="130"/>
        <v>0</v>
      </c>
      <c r="U530" s="578">
        <f t="shared" si="131"/>
        <v>0</v>
      </c>
      <c r="V530" s="579"/>
      <c r="W530" s="566"/>
      <c r="X530" s="586" t="str">
        <f t="shared" si="155"/>
        <v/>
      </c>
      <c r="Y530" s="586" t="str">
        <f t="shared" si="143"/>
        <v/>
      </c>
      <c r="Z530" s="586" t="str">
        <f t="shared" si="147"/>
        <v/>
      </c>
    </row>
    <row r="531" spans="1:26" ht="12" hidden="1" thickBot="1" x14ac:dyDescent="0.25">
      <c r="A531" s="567">
        <v>535200</v>
      </c>
      <c r="B531" s="644" t="s">
        <v>1798</v>
      </c>
      <c r="C531" s="645" t="s">
        <v>206</v>
      </c>
      <c r="D531" s="422" t="s">
        <v>239</v>
      </c>
      <c r="E531" s="423"/>
      <c r="F531" s="424">
        <v>20</v>
      </c>
      <c r="G531" s="419">
        <v>7.6999999999999999E-2</v>
      </c>
      <c r="H531" s="663">
        <f t="shared" ref="H531" si="164">IF(F531&lt;=30,(1.07*F531+2.68)*G531,((1.07*30+2.68)+1.07*(F531-30))*G531)</f>
        <v>1.85416</v>
      </c>
      <c r="I531" s="420">
        <v>10.85</v>
      </c>
      <c r="J531" s="420">
        <f>IF(ISBLANK(I531),"",SUM(H531:I531))</f>
        <v>12.70416</v>
      </c>
      <c r="K531" s="421">
        <f t="shared" si="162"/>
        <v>15.09</v>
      </c>
      <c r="L531" s="647" t="s">
        <v>19</v>
      </c>
      <c r="M531" s="576"/>
      <c r="N531" s="576">
        <f t="shared" si="144"/>
        <v>0</v>
      </c>
      <c r="O531" s="577">
        <f t="shared" si="132"/>
        <v>0</v>
      </c>
      <c r="P531" s="578">
        <f t="shared" si="133"/>
        <v>0</v>
      </c>
      <c r="Q531" s="765"/>
      <c r="R531" s="576">
        <f t="shared" si="163"/>
        <v>0</v>
      </c>
      <c r="S531" s="576">
        <f t="shared" si="163"/>
        <v>0</v>
      </c>
      <c r="T531" s="577">
        <f t="shared" si="130"/>
        <v>0</v>
      </c>
      <c r="U531" s="578">
        <f t="shared" si="131"/>
        <v>0</v>
      </c>
      <c r="V531" s="579"/>
      <c r="W531" s="566"/>
      <c r="X531" s="586" t="str">
        <f t="shared" si="155"/>
        <v/>
      </c>
      <c r="Y531" s="586" t="str">
        <f t="shared" si="143"/>
        <v/>
      </c>
      <c r="Z531" s="586" t="str">
        <f t="shared" si="147"/>
        <v/>
      </c>
    </row>
    <row r="532" spans="1:26" ht="12" hidden="1" thickBot="1" x14ac:dyDescent="0.25">
      <c r="A532" s="567">
        <v>810100</v>
      </c>
      <c r="B532" s="644">
        <v>810100</v>
      </c>
      <c r="C532" s="645" t="s">
        <v>206</v>
      </c>
      <c r="D532" s="422" t="s">
        <v>267</v>
      </c>
      <c r="E532" s="423"/>
      <c r="F532" s="424"/>
      <c r="G532" s="425"/>
      <c r="H532" s="651">
        <f>SUM(H533:H535)</f>
        <v>33.124932000000001</v>
      </c>
      <c r="I532" s="420">
        <v>63.339999999999996</v>
      </c>
      <c r="J532" s="420">
        <f>IF(ISBLANK(I532),"",SUM(H532:I532))</f>
        <v>96.464932000000005</v>
      </c>
      <c r="K532" s="421">
        <f t="shared" si="162"/>
        <v>114.61</v>
      </c>
      <c r="L532" s="647" t="s">
        <v>19</v>
      </c>
      <c r="M532" s="576"/>
      <c r="N532" s="576">
        <f t="shared" ref="N532:N595" si="165">IF(M532=0,0,K532)</f>
        <v>0</v>
      </c>
      <c r="O532" s="577">
        <f t="shared" si="132"/>
        <v>0</v>
      </c>
      <c r="P532" s="578">
        <f t="shared" si="133"/>
        <v>0</v>
      </c>
      <c r="Q532" s="765"/>
      <c r="R532" s="576">
        <f t="shared" si="163"/>
        <v>0</v>
      </c>
      <c r="S532" s="576">
        <f t="shared" si="163"/>
        <v>0</v>
      </c>
      <c r="T532" s="577">
        <f t="shared" si="130"/>
        <v>0</v>
      </c>
      <c r="U532" s="578">
        <f t="shared" si="131"/>
        <v>0</v>
      </c>
      <c r="V532" s="579"/>
      <c r="W532" s="566"/>
      <c r="X532" s="586" t="str">
        <f t="shared" si="155"/>
        <v/>
      </c>
      <c r="Y532" s="586" t="str">
        <f t="shared" si="143"/>
        <v/>
      </c>
      <c r="Z532" s="586" t="str">
        <f t="shared" si="147"/>
        <v/>
      </c>
    </row>
    <row r="533" spans="1:26" ht="12" hidden="1" thickBot="1" x14ac:dyDescent="0.25">
      <c r="A533" s="567" t="s">
        <v>168</v>
      </c>
      <c r="B533" s="644" t="s">
        <v>168</v>
      </c>
      <c r="C533" s="645"/>
      <c r="D533" s="451" t="s">
        <v>212</v>
      </c>
      <c r="E533" s="423"/>
      <c r="F533" s="424">
        <v>500</v>
      </c>
      <c r="G533" s="425">
        <f>ROUND(0.103*0.27,4)</f>
        <v>2.7799999999999998E-2</v>
      </c>
      <c r="H533" s="649">
        <f>IF(F533&lt;=30,(0.78*F533+7.82)*G533,((0.78*30+7.82)+0.78*(F533-30))*G533)</f>
        <v>11.059396000000001</v>
      </c>
      <c r="I533" s="420">
        <v>0</v>
      </c>
      <c r="J533" s="420"/>
      <c r="K533" s="421">
        <f t="shared" si="162"/>
        <v>0</v>
      </c>
      <c r="L533" s="668" t="s">
        <v>614</v>
      </c>
      <c r="M533" s="669"/>
      <c r="N533" s="576">
        <f t="shared" si="165"/>
        <v>0</v>
      </c>
      <c r="O533" s="577">
        <f t="shared" si="132"/>
        <v>0</v>
      </c>
      <c r="P533" s="578">
        <f t="shared" si="133"/>
        <v>0</v>
      </c>
      <c r="Q533" s="765"/>
      <c r="R533" s="669"/>
      <c r="S533" s="670"/>
      <c r="T533" s="577">
        <f t="shared" si="130"/>
        <v>0</v>
      </c>
      <c r="U533" s="578">
        <f t="shared" si="131"/>
        <v>0</v>
      </c>
      <c r="V533" s="579"/>
      <c r="W533" s="637" t="str">
        <f>IF(U532&gt;0,"xx",IF(P532&gt;0,"xy",""))</f>
        <v/>
      </c>
      <c r="X533" s="586" t="str">
        <f t="shared" si="155"/>
        <v/>
      </c>
      <c r="Y533" s="586" t="str">
        <f t="shared" si="143"/>
        <v/>
      </c>
      <c r="Z533" s="586" t="str">
        <f t="shared" si="147"/>
        <v/>
      </c>
    </row>
    <row r="534" spans="1:26" ht="12" hidden="1" thickBot="1" x14ac:dyDescent="0.25">
      <c r="A534" s="567" t="s">
        <v>168</v>
      </c>
      <c r="B534" s="644" t="s">
        <v>168</v>
      </c>
      <c r="C534" s="645"/>
      <c r="D534" s="451" t="s">
        <v>248</v>
      </c>
      <c r="E534" s="423"/>
      <c r="F534" s="424">
        <v>180</v>
      </c>
      <c r="G534" s="425">
        <f>ROUND(0.103*0.96,4)</f>
        <v>9.8900000000000002E-2</v>
      </c>
      <c r="H534" s="663">
        <f t="shared" ref="H534:H536" si="166">IF(F534&lt;=30,(1.07*F534+2.68)*G534,((1.07*30+2.68)+1.07*(F534-30))*G534)</f>
        <v>19.313192000000001</v>
      </c>
      <c r="I534" s="420">
        <v>0</v>
      </c>
      <c r="J534" s="420"/>
      <c r="K534" s="421">
        <f t="shared" si="162"/>
        <v>0</v>
      </c>
      <c r="L534" s="668" t="s">
        <v>614</v>
      </c>
      <c r="M534" s="669"/>
      <c r="N534" s="576">
        <f t="shared" si="165"/>
        <v>0</v>
      </c>
      <c r="O534" s="577">
        <f t="shared" si="132"/>
        <v>0</v>
      </c>
      <c r="P534" s="578">
        <f t="shared" si="133"/>
        <v>0</v>
      </c>
      <c r="Q534" s="765"/>
      <c r="R534" s="669"/>
      <c r="S534" s="670"/>
      <c r="T534" s="577">
        <f t="shared" si="130"/>
        <v>0</v>
      </c>
      <c r="U534" s="578">
        <f t="shared" si="131"/>
        <v>0</v>
      </c>
      <c r="V534" s="579"/>
      <c r="W534" s="637" t="str">
        <f>IF(U532&gt;0,"xx",IF(P532&gt;0,"xy",""))</f>
        <v/>
      </c>
      <c r="X534" s="586" t="str">
        <f t="shared" si="155"/>
        <v/>
      </c>
      <c r="Y534" s="586" t="str">
        <f t="shared" si="143"/>
        <v/>
      </c>
      <c r="Z534" s="586" t="str">
        <f t="shared" si="147"/>
        <v/>
      </c>
    </row>
    <row r="535" spans="1:26" ht="12" hidden="1" thickBot="1" x14ac:dyDescent="0.25">
      <c r="A535" s="567" t="s">
        <v>168</v>
      </c>
      <c r="B535" s="644" t="s">
        <v>168</v>
      </c>
      <c r="C535" s="645"/>
      <c r="D535" s="451" t="s">
        <v>252</v>
      </c>
      <c r="E535" s="423"/>
      <c r="F535" s="424">
        <v>20</v>
      </c>
      <c r="G535" s="425">
        <f>ROUND(0.103*1.11,4)</f>
        <v>0.1143</v>
      </c>
      <c r="H535" s="663">
        <f t="shared" si="166"/>
        <v>2.7523440000000003</v>
      </c>
      <c r="I535" s="420">
        <v>0</v>
      </c>
      <c r="J535" s="420"/>
      <c r="K535" s="421">
        <f t="shared" si="162"/>
        <v>0</v>
      </c>
      <c r="L535" s="668" t="s">
        <v>614</v>
      </c>
      <c r="M535" s="669"/>
      <c r="N535" s="576">
        <f t="shared" si="165"/>
        <v>0</v>
      </c>
      <c r="O535" s="577">
        <f t="shared" si="132"/>
        <v>0</v>
      </c>
      <c r="P535" s="578">
        <f t="shared" si="133"/>
        <v>0</v>
      </c>
      <c r="Q535" s="765"/>
      <c r="R535" s="669"/>
      <c r="S535" s="670"/>
      <c r="T535" s="577">
        <f t="shared" si="130"/>
        <v>0</v>
      </c>
      <c r="U535" s="578">
        <f t="shared" si="131"/>
        <v>0</v>
      </c>
      <c r="V535" s="579"/>
      <c r="W535" s="637" t="str">
        <f>IF(U532&gt;0,"xx",IF(P532&gt;0,"xy",""))</f>
        <v/>
      </c>
      <c r="X535" s="586" t="str">
        <f t="shared" si="155"/>
        <v/>
      </c>
      <c r="Y535" s="586" t="str">
        <f t="shared" si="143"/>
        <v/>
      </c>
      <c r="Z535" s="586" t="str">
        <f t="shared" si="147"/>
        <v/>
      </c>
    </row>
    <row r="536" spans="1:26" ht="12" hidden="1" thickBot="1" x14ac:dyDescent="0.25">
      <c r="A536" s="567">
        <v>810050</v>
      </c>
      <c r="B536" s="644">
        <v>810050</v>
      </c>
      <c r="C536" s="645" t="s">
        <v>206</v>
      </c>
      <c r="D536" s="422" t="s">
        <v>268</v>
      </c>
      <c r="E536" s="423"/>
      <c r="F536" s="424">
        <v>10</v>
      </c>
      <c r="G536" s="425">
        <f>0.0278+0.0988+0.1143</f>
        <v>0.2409</v>
      </c>
      <c r="H536" s="663">
        <f t="shared" si="166"/>
        <v>3.2232420000000004</v>
      </c>
      <c r="I536" s="420">
        <v>100.00999999999999</v>
      </c>
      <c r="J536" s="420">
        <f>IF(ISBLANK(I536),"",SUM(H536:I536))</f>
        <v>103.23324199999999</v>
      </c>
      <c r="K536" s="421">
        <f t="shared" si="162"/>
        <v>122.65</v>
      </c>
      <c r="L536" s="647" t="s">
        <v>19</v>
      </c>
      <c r="M536" s="576"/>
      <c r="N536" s="576">
        <f t="shared" si="165"/>
        <v>0</v>
      </c>
      <c r="O536" s="577">
        <f t="shared" si="132"/>
        <v>0</v>
      </c>
      <c r="P536" s="578">
        <f t="shared" si="133"/>
        <v>0</v>
      </c>
      <c r="Q536" s="765"/>
      <c r="R536" s="576">
        <f>M536</f>
        <v>0</v>
      </c>
      <c r="S536" s="576">
        <f t="shared" ref="S536:S593" si="167">N536</f>
        <v>0</v>
      </c>
      <c r="T536" s="577">
        <f t="shared" si="130"/>
        <v>0</v>
      </c>
      <c r="U536" s="578">
        <f t="shared" si="131"/>
        <v>0</v>
      </c>
      <c r="V536" s="579"/>
      <c r="W536" s="637"/>
      <c r="X536" s="586" t="str">
        <f t="shared" si="155"/>
        <v/>
      </c>
      <c r="Y536" s="586" t="str">
        <f t="shared" si="143"/>
        <v/>
      </c>
      <c r="Z536" s="586" t="str">
        <f t="shared" si="147"/>
        <v/>
      </c>
    </row>
    <row r="537" spans="1:26" ht="12" hidden="1" thickBot="1" x14ac:dyDescent="0.25">
      <c r="A537" s="567">
        <v>810200</v>
      </c>
      <c r="B537" s="644">
        <v>810200</v>
      </c>
      <c r="C537" s="645" t="s">
        <v>206</v>
      </c>
      <c r="D537" s="422" t="s">
        <v>269</v>
      </c>
      <c r="E537" s="423"/>
      <c r="F537" s="424"/>
      <c r="G537" s="425"/>
      <c r="H537" s="651">
        <f>SUM(H538:H540)</f>
        <v>13.487278</v>
      </c>
      <c r="I537" s="420">
        <v>27.46</v>
      </c>
      <c r="J537" s="420">
        <f>IF(ISBLANK(I537),"",SUM(H537:I537))</f>
        <v>40.947277999999997</v>
      </c>
      <c r="K537" s="421">
        <f t="shared" si="162"/>
        <v>48.65</v>
      </c>
      <c r="L537" s="647" t="s">
        <v>19</v>
      </c>
      <c r="M537" s="576"/>
      <c r="N537" s="576">
        <f t="shared" si="165"/>
        <v>0</v>
      </c>
      <c r="O537" s="577">
        <f t="shared" si="132"/>
        <v>0</v>
      </c>
      <c r="P537" s="578">
        <f t="shared" si="133"/>
        <v>0</v>
      </c>
      <c r="Q537" s="765"/>
      <c r="R537" s="576">
        <f>M537</f>
        <v>0</v>
      </c>
      <c r="S537" s="576">
        <f t="shared" si="167"/>
        <v>0</v>
      </c>
      <c r="T537" s="577">
        <f t="shared" si="130"/>
        <v>0</v>
      </c>
      <c r="U537" s="578">
        <f t="shared" si="131"/>
        <v>0</v>
      </c>
      <c r="V537" s="579"/>
      <c r="W537" s="637"/>
      <c r="X537" s="586" t="str">
        <f t="shared" si="155"/>
        <v/>
      </c>
      <c r="Y537" s="586" t="str">
        <f t="shared" si="143"/>
        <v/>
      </c>
      <c r="Z537" s="586" t="str">
        <f t="shared" si="147"/>
        <v/>
      </c>
    </row>
    <row r="538" spans="1:26" ht="12" hidden="1" thickBot="1" x14ac:dyDescent="0.25">
      <c r="A538" s="567" t="s">
        <v>168</v>
      </c>
      <c r="B538" s="644" t="s">
        <v>168</v>
      </c>
      <c r="C538" s="645"/>
      <c r="D538" s="451" t="s">
        <v>212</v>
      </c>
      <c r="E538" s="423"/>
      <c r="F538" s="424">
        <v>500</v>
      </c>
      <c r="G538" s="425">
        <f>ROUND(0.042*0.27,4)</f>
        <v>1.1299999999999999E-2</v>
      </c>
      <c r="H538" s="649">
        <f>IF(F538&lt;=30,(0.78*F538+7.82)*G538,((0.78*30+7.82)+0.78*(F538-30))*G538)</f>
        <v>4.4953660000000006</v>
      </c>
      <c r="I538" s="420">
        <v>0</v>
      </c>
      <c r="J538" s="420"/>
      <c r="K538" s="421">
        <f t="shared" si="162"/>
        <v>0</v>
      </c>
      <c r="L538" s="668" t="s">
        <v>614</v>
      </c>
      <c r="M538" s="669"/>
      <c r="N538" s="576">
        <f t="shared" si="165"/>
        <v>0</v>
      </c>
      <c r="O538" s="577">
        <f t="shared" si="132"/>
        <v>0</v>
      </c>
      <c r="P538" s="578">
        <f t="shared" si="133"/>
        <v>0</v>
      </c>
      <c r="Q538" s="765"/>
      <c r="R538" s="669"/>
      <c r="S538" s="670"/>
      <c r="T538" s="577">
        <f t="shared" si="130"/>
        <v>0</v>
      </c>
      <c r="U538" s="578">
        <f t="shared" si="131"/>
        <v>0</v>
      </c>
      <c r="V538" s="579"/>
      <c r="W538" s="637" t="str">
        <f>IF(U537&gt;0,"xx",IF(P537&gt;0,"xy",""))</f>
        <v/>
      </c>
      <c r="X538" s="586" t="str">
        <f t="shared" si="155"/>
        <v/>
      </c>
      <c r="Y538" s="586" t="str">
        <f t="shared" si="143"/>
        <v/>
      </c>
      <c r="Z538" s="586" t="str">
        <f t="shared" si="147"/>
        <v/>
      </c>
    </row>
    <row r="539" spans="1:26" ht="12" hidden="1" thickBot="1" x14ac:dyDescent="0.25">
      <c r="A539" s="567" t="s">
        <v>168</v>
      </c>
      <c r="B539" s="644" t="s">
        <v>168</v>
      </c>
      <c r="C539" s="645"/>
      <c r="D539" s="451" t="s">
        <v>248</v>
      </c>
      <c r="E539" s="423"/>
      <c r="F539" s="424">
        <v>180</v>
      </c>
      <c r="G539" s="425">
        <f>ROUND(0.042*0.96,4)</f>
        <v>4.0300000000000002E-2</v>
      </c>
      <c r="H539" s="663">
        <f t="shared" ref="H539:H541" si="168">IF(F539&lt;=30,(1.07*F539+2.68)*G539,((1.07*30+2.68)+1.07*(F539-30))*G539)</f>
        <v>7.8697840000000001</v>
      </c>
      <c r="I539" s="420">
        <v>0</v>
      </c>
      <c r="J539" s="420"/>
      <c r="K539" s="421">
        <f t="shared" si="162"/>
        <v>0</v>
      </c>
      <c r="L539" s="668" t="s">
        <v>614</v>
      </c>
      <c r="M539" s="669"/>
      <c r="N539" s="576">
        <f t="shared" si="165"/>
        <v>0</v>
      </c>
      <c r="O539" s="577">
        <f t="shared" si="132"/>
        <v>0</v>
      </c>
      <c r="P539" s="578">
        <f t="shared" si="133"/>
        <v>0</v>
      </c>
      <c r="Q539" s="765"/>
      <c r="R539" s="669"/>
      <c r="S539" s="670"/>
      <c r="T539" s="577">
        <f t="shared" si="130"/>
        <v>0</v>
      </c>
      <c r="U539" s="578">
        <f t="shared" si="131"/>
        <v>0</v>
      </c>
      <c r="V539" s="579"/>
      <c r="W539" s="637" t="str">
        <f>IF(U537&gt;0,"xx",IF(P537&gt;0,"xy",""))</f>
        <v/>
      </c>
      <c r="X539" s="586" t="str">
        <f t="shared" si="155"/>
        <v/>
      </c>
      <c r="Y539" s="586" t="str">
        <f t="shared" si="143"/>
        <v/>
      </c>
      <c r="Z539" s="586" t="str">
        <f t="shared" si="147"/>
        <v/>
      </c>
    </row>
    <row r="540" spans="1:26" ht="12" hidden="1" thickBot="1" x14ac:dyDescent="0.25">
      <c r="A540" s="567" t="s">
        <v>168</v>
      </c>
      <c r="B540" s="644" t="s">
        <v>168</v>
      </c>
      <c r="C540" s="645"/>
      <c r="D540" s="451" t="s">
        <v>252</v>
      </c>
      <c r="E540" s="423"/>
      <c r="F540" s="424">
        <v>20</v>
      </c>
      <c r="G540" s="425">
        <f>ROUND(0.042*1.11,4)</f>
        <v>4.6600000000000003E-2</v>
      </c>
      <c r="H540" s="663">
        <f t="shared" si="168"/>
        <v>1.1221280000000002</v>
      </c>
      <c r="I540" s="420">
        <v>0</v>
      </c>
      <c r="J540" s="420"/>
      <c r="K540" s="421">
        <f t="shared" si="162"/>
        <v>0</v>
      </c>
      <c r="L540" s="668" t="s">
        <v>614</v>
      </c>
      <c r="M540" s="669"/>
      <c r="N540" s="576">
        <f t="shared" si="165"/>
        <v>0</v>
      </c>
      <c r="O540" s="577">
        <f t="shared" si="132"/>
        <v>0</v>
      </c>
      <c r="P540" s="578">
        <f t="shared" si="133"/>
        <v>0</v>
      </c>
      <c r="Q540" s="765"/>
      <c r="R540" s="669"/>
      <c r="S540" s="670"/>
      <c r="T540" s="577">
        <f t="shared" si="130"/>
        <v>0</v>
      </c>
      <c r="U540" s="578">
        <f t="shared" si="131"/>
        <v>0</v>
      </c>
      <c r="V540" s="579"/>
      <c r="W540" s="637" t="str">
        <f>IF(U537&gt;0,"xx",IF(P537&gt;0,"xy",""))</f>
        <v/>
      </c>
      <c r="X540" s="586" t="str">
        <f t="shared" si="155"/>
        <v/>
      </c>
      <c r="Y540" s="586" t="str">
        <f t="shared" si="143"/>
        <v/>
      </c>
      <c r="Z540" s="586" t="str">
        <f t="shared" si="147"/>
        <v/>
      </c>
    </row>
    <row r="541" spans="1:26" ht="12" hidden="1" thickBot="1" x14ac:dyDescent="0.25">
      <c r="A541" s="567">
        <v>810150</v>
      </c>
      <c r="B541" s="644">
        <v>810150</v>
      </c>
      <c r="C541" s="645" t="s">
        <v>206</v>
      </c>
      <c r="D541" s="422" t="s">
        <v>270</v>
      </c>
      <c r="E541" s="423"/>
      <c r="F541" s="424">
        <v>10</v>
      </c>
      <c r="G541" s="425">
        <v>9.8199999999999996E-2</v>
      </c>
      <c r="H541" s="663">
        <f t="shared" si="168"/>
        <v>1.3139160000000001</v>
      </c>
      <c r="I541" s="420">
        <v>46.42</v>
      </c>
      <c r="J541" s="420">
        <f>IF(ISBLANK(I541),"",SUM(H541:I541))</f>
        <v>47.733916000000001</v>
      </c>
      <c r="K541" s="421">
        <f t="shared" si="162"/>
        <v>56.71</v>
      </c>
      <c r="L541" s="647" t="s">
        <v>19</v>
      </c>
      <c r="M541" s="576"/>
      <c r="N541" s="576">
        <f t="shared" si="165"/>
        <v>0</v>
      </c>
      <c r="O541" s="577">
        <f t="shared" si="132"/>
        <v>0</v>
      </c>
      <c r="P541" s="578">
        <f t="shared" si="133"/>
        <v>0</v>
      </c>
      <c r="Q541" s="765"/>
      <c r="R541" s="576">
        <f>M541</f>
        <v>0</v>
      </c>
      <c r="S541" s="576">
        <f t="shared" si="167"/>
        <v>0</v>
      </c>
      <c r="T541" s="577">
        <f t="shared" si="130"/>
        <v>0</v>
      </c>
      <c r="U541" s="578">
        <f t="shared" si="131"/>
        <v>0</v>
      </c>
      <c r="V541" s="579"/>
      <c r="W541" s="566"/>
      <c r="X541" s="586" t="str">
        <f t="shared" si="155"/>
        <v/>
      </c>
      <c r="Y541" s="586" t="str">
        <f t="shared" si="143"/>
        <v/>
      </c>
      <c r="Z541" s="586" t="str">
        <f t="shared" si="147"/>
        <v/>
      </c>
    </row>
    <row r="542" spans="1:26" ht="12" hidden="1" thickBot="1" x14ac:dyDescent="0.25">
      <c r="A542" s="567">
        <v>810700</v>
      </c>
      <c r="B542" s="644">
        <v>810700</v>
      </c>
      <c r="C542" s="645" t="s">
        <v>206</v>
      </c>
      <c r="D542" s="422" t="s">
        <v>271</v>
      </c>
      <c r="E542" s="423"/>
      <c r="F542" s="424"/>
      <c r="G542" s="425"/>
      <c r="H542" s="651">
        <f>SUM(H543:H545)</f>
        <v>9.9893840000000012</v>
      </c>
      <c r="I542" s="420">
        <v>22.45</v>
      </c>
      <c r="J542" s="420">
        <f>IF(ISBLANK(I542),"",SUM(H542:I542))</f>
        <v>32.439384000000004</v>
      </c>
      <c r="K542" s="421">
        <f t="shared" si="162"/>
        <v>38.54</v>
      </c>
      <c r="L542" s="647" t="s">
        <v>19</v>
      </c>
      <c r="M542" s="576"/>
      <c r="N542" s="576">
        <f t="shared" si="165"/>
        <v>0</v>
      </c>
      <c r="O542" s="577">
        <f t="shared" si="132"/>
        <v>0</v>
      </c>
      <c r="P542" s="578">
        <f t="shared" si="133"/>
        <v>0</v>
      </c>
      <c r="Q542" s="765"/>
      <c r="R542" s="576">
        <f>M542</f>
        <v>0</v>
      </c>
      <c r="S542" s="576">
        <f t="shared" si="167"/>
        <v>0</v>
      </c>
      <c r="T542" s="577">
        <f t="shared" si="130"/>
        <v>0</v>
      </c>
      <c r="U542" s="578">
        <f t="shared" si="131"/>
        <v>0</v>
      </c>
      <c r="V542" s="579"/>
      <c r="W542" s="566"/>
      <c r="X542" s="586" t="str">
        <f t="shared" si="155"/>
        <v/>
      </c>
      <c r="Y542" s="586" t="str">
        <f t="shared" si="143"/>
        <v/>
      </c>
      <c r="Z542" s="586" t="str">
        <f t="shared" si="147"/>
        <v/>
      </c>
    </row>
    <row r="543" spans="1:26" ht="12" hidden="1" thickBot="1" x14ac:dyDescent="0.25">
      <c r="A543" s="567" t="s">
        <v>168</v>
      </c>
      <c r="B543" s="644" t="s">
        <v>168</v>
      </c>
      <c r="C543" s="645"/>
      <c r="D543" s="451" t="s">
        <v>212</v>
      </c>
      <c r="E543" s="423"/>
      <c r="F543" s="424">
        <v>500</v>
      </c>
      <c r="G543" s="425">
        <f>ROUND(0.031*0.27,4)</f>
        <v>8.3999999999999995E-3</v>
      </c>
      <c r="H543" s="649">
        <f>IF(F543&lt;=30,(0.78*F543+7.82)*G543,((0.78*30+7.82)+0.78*(F543-30))*G543)</f>
        <v>3.3416880000000004</v>
      </c>
      <c r="I543" s="420">
        <v>0</v>
      </c>
      <c r="J543" s="420"/>
      <c r="K543" s="421">
        <f t="shared" si="162"/>
        <v>0</v>
      </c>
      <c r="L543" s="668" t="s">
        <v>614</v>
      </c>
      <c r="M543" s="669"/>
      <c r="N543" s="576">
        <f t="shared" si="165"/>
        <v>0</v>
      </c>
      <c r="O543" s="577">
        <f t="shared" si="132"/>
        <v>0</v>
      </c>
      <c r="P543" s="578">
        <f t="shared" si="133"/>
        <v>0</v>
      </c>
      <c r="Q543" s="765"/>
      <c r="R543" s="669"/>
      <c r="S543" s="670"/>
      <c r="T543" s="577">
        <f t="shared" si="130"/>
        <v>0</v>
      </c>
      <c r="U543" s="578">
        <f t="shared" si="131"/>
        <v>0</v>
      </c>
      <c r="V543" s="579"/>
      <c r="W543" s="637" t="str">
        <f>IF(U542&gt;0,"xx",IF(P542&gt;0,"xy",""))</f>
        <v/>
      </c>
      <c r="X543" s="586" t="str">
        <f t="shared" si="155"/>
        <v/>
      </c>
      <c r="Y543" s="586" t="str">
        <f t="shared" si="143"/>
        <v/>
      </c>
      <c r="Z543" s="586" t="str">
        <f t="shared" si="147"/>
        <v/>
      </c>
    </row>
    <row r="544" spans="1:26" ht="12" hidden="1" thickBot="1" x14ac:dyDescent="0.25">
      <c r="A544" s="567" t="s">
        <v>168</v>
      </c>
      <c r="B544" s="644" t="s">
        <v>168</v>
      </c>
      <c r="C544" s="645"/>
      <c r="D544" s="451" t="s">
        <v>248</v>
      </c>
      <c r="E544" s="423"/>
      <c r="F544" s="424">
        <v>180</v>
      </c>
      <c r="G544" s="425">
        <f>ROUND(0.031*0.96,4)</f>
        <v>2.98E-2</v>
      </c>
      <c r="H544" s="663">
        <f t="shared" ref="H544:H546" si="169">IF(F544&lt;=30,(1.07*F544+2.68)*G544,((1.07*30+2.68)+1.07*(F544-30))*G544)</f>
        <v>5.8193440000000001</v>
      </c>
      <c r="I544" s="420">
        <v>0</v>
      </c>
      <c r="J544" s="420"/>
      <c r="K544" s="421">
        <f t="shared" si="162"/>
        <v>0</v>
      </c>
      <c r="L544" s="668" t="s">
        <v>614</v>
      </c>
      <c r="M544" s="669"/>
      <c r="N544" s="576">
        <f t="shared" si="165"/>
        <v>0</v>
      </c>
      <c r="O544" s="577">
        <f t="shared" si="132"/>
        <v>0</v>
      </c>
      <c r="P544" s="578">
        <f t="shared" si="133"/>
        <v>0</v>
      </c>
      <c r="Q544" s="765"/>
      <c r="R544" s="669"/>
      <c r="S544" s="670"/>
      <c r="T544" s="577">
        <f t="shared" si="130"/>
        <v>0</v>
      </c>
      <c r="U544" s="578">
        <f t="shared" si="131"/>
        <v>0</v>
      </c>
      <c r="V544" s="579"/>
      <c r="W544" s="637" t="str">
        <f>IF(U542&gt;0,"xx",IF(P542&gt;0,"xy",""))</f>
        <v/>
      </c>
      <c r="X544" s="586" t="str">
        <f t="shared" si="155"/>
        <v/>
      </c>
      <c r="Y544" s="586" t="str">
        <f t="shared" si="143"/>
        <v/>
      </c>
      <c r="Z544" s="586" t="str">
        <f t="shared" si="147"/>
        <v/>
      </c>
    </row>
    <row r="545" spans="1:26" ht="12" hidden="1" thickBot="1" x14ac:dyDescent="0.25">
      <c r="A545" s="567" t="s">
        <v>168</v>
      </c>
      <c r="B545" s="644" t="s">
        <v>168</v>
      </c>
      <c r="C545" s="645"/>
      <c r="D545" s="451" t="s">
        <v>252</v>
      </c>
      <c r="E545" s="423"/>
      <c r="F545" s="424">
        <v>20</v>
      </c>
      <c r="G545" s="425">
        <f>ROUND(0.031*1.11,4)</f>
        <v>3.44E-2</v>
      </c>
      <c r="H545" s="663">
        <f t="shared" si="169"/>
        <v>0.82835200000000009</v>
      </c>
      <c r="I545" s="420">
        <v>0</v>
      </c>
      <c r="J545" s="420"/>
      <c r="K545" s="421">
        <f t="shared" si="162"/>
        <v>0</v>
      </c>
      <c r="L545" s="668" t="s">
        <v>614</v>
      </c>
      <c r="M545" s="669"/>
      <c r="N545" s="576">
        <f t="shared" si="165"/>
        <v>0</v>
      </c>
      <c r="O545" s="577">
        <f t="shared" si="132"/>
        <v>0</v>
      </c>
      <c r="P545" s="578">
        <f t="shared" si="133"/>
        <v>0</v>
      </c>
      <c r="Q545" s="765"/>
      <c r="R545" s="669"/>
      <c r="S545" s="670"/>
      <c r="T545" s="577">
        <f t="shared" si="130"/>
        <v>0</v>
      </c>
      <c r="U545" s="578">
        <f t="shared" si="131"/>
        <v>0</v>
      </c>
      <c r="V545" s="579"/>
      <c r="W545" s="637" t="str">
        <f>IF(U542&gt;0,"xx",IF(P542&gt;0,"xy",""))</f>
        <v/>
      </c>
      <c r="X545" s="586" t="str">
        <f t="shared" si="155"/>
        <v/>
      </c>
      <c r="Y545" s="586" t="str">
        <f t="shared" si="143"/>
        <v/>
      </c>
      <c r="Z545" s="586" t="str">
        <f t="shared" si="147"/>
        <v/>
      </c>
    </row>
    <row r="546" spans="1:26" ht="12" hidden="1" thickBot="1" x14ac:dyDescent="0.25">
      <c r="A546" s="567">
        <v>810650</v>
      </c>
      <c r="B546" s="644">
        <v>810650</v>
      </c>
      <c r="C546" s="645" t="s">
        <v>206</v>
      </c>
      <c r="D546" s="422" t="s">
        <v>1799</v>
      </c>
      <c r="E546" s="423"/>
      <c r="F546" s="424">
        <v>10</v>
      </c>
      <c r="G546" s="425">
        <v>7.2599999999999998E-2</v>
      </c>
      <c r="H546" s="663">
        <f t="shared" si="169"/>
        <v>0.97138800000000003</v>
      </c>
      <c r="I546" s="420">
        <v>39.090000000000003</v>
      </c>
      <c r="J546" s="420">
        <f>IF(ISBLANK(I546),"",SUM(H546:I546))</f>
        <v>40.061388000000001</v>
      </c>
      <c r="K546" s="421">
        <f t="shared" si="162"/>
        <v>47.6</v>
      </c>
      <c r="L546" s="647" t="s">
        <v>19</v>
      </c>
      <c r="M546" s="576"/>
      <c r="N546" s="576">
        <f t="shared" si="165"/>
        <v>0</v>
      </c>
      <c r="O546" s="577">
        <f t="shared" si="132"/>
        <v>0</v>
      </c>
      <c r="P546" s="578">
        <f t="shared" si="133"/>
        <v>0</v>
      </c>
      <c r="Q546" s="765"/>
      <c r="R546" s="576">
        <f>M546</f>
        <v>0</v>
      </c>
      <c r="S546" s="576">
        <f t="shared" si="167"/>
        <v>0</v>
      </c>
      <c r="T546" s="577">
        <f t="shared" si="130"/>
        <v>0</v>
      </c>
      <c r="U546" s="578">
        <f t="shared" si="131"/>
        <v>0</v>
      </c>
      <c r="V546" s="579"/>
      <c r="W546" s="566"/>
      <c r="X546" s="586" t="str">
        <f t="shared" ref="X546:X609" si="170">IF(W546="X","x",IF(W546="xx","x",IF(W546="xy","x",IF(W546="y","x",IF(OR(P546&gt;0,U546&gt;0),"x","")))))</f>
        <v/>
      </c>
      <c r="Y546" s="586" t="str">
        <f t="shared" si="143"/>
        <v/>
      </c>
      <c r="Z546" s="586" t="str">
        <f t="shared" si="147"/>
        <v/>
      </c>
    </row>
    <row r="547" spans="1:26" ht="12" hidden="1" thickBot="1" x14ac:dyDescent="0.25">
      <c r="A547" s="567">
        <v>810300</v>
      </c>
      <c r="B547" s="644">
        <v>810300</v>
      </c>
      <c r="C547" s="645" t="s">
        <v>206</v>
      </c>
      <c r="D547" s="422" t="s">
        <v>272</v>
      </c>
      <c r="E547" s="423"/>
      <c r="F547" s="424"/>
      <c r="G547" s="425"/>
      <c r="H547" s="651">
        <f>SUM(H548:H550)</f>
        <v>10.933888</v>
      </c>
      <c r="I547" s="420">
        <v>21.66</v>
      </c>
      <c r="J547" s="420">
        <f>IF(ISBLANK(I547),"",SUM(H547:I547))</f>
        <v>32.593888</v>
      </c>
      <c r="K547" s="421">
        <f t="shared" si="162"/>
        <v>38.72</v>
      </c>
      <c r="L547" s="647" t="s">
        <v>19</v>
      </c>
      <c r="M547" s="576"/>
      <c r="N547" s="576">
        <f t="shared" si="165"/>
        <v>0</v>
      </c>
      <c r="O547" s="577">
        <f t="shared" si="132"/>
        <v>0</v>
      </c>
      <c r="P547" s="578">
        <f t="shared" si="133"/>
        <v>0</v>
      </c>
      <c r="Q547" s="765"/>
      <c r="R547" s="576">
        <f>M547</f>
        <v>0</v>
      </c>
      <c r="S547" s="576">
        <f t="shared" si="167"/>
        <v>0</v>
      </c>
      <c r="T547" s="577">
        <f t="shared" si="130"/>
        <v>0</v>
      </c>
      <c r="U547" s="578">
        <f t="shared" si="131"/>
        <v>0</v>
      </c>
      <c r="V547" s="579"/>
      <c r="W547" s="566"/>
      <c r="X547" s="586" t="str">
        <f t="shared" si="170"/>
        <v/>
      </c>
      <c r="Y547" s="586" t="str">
        <f t="shared" si="143"/>
        <v/>
      </c>
      <c r="Z547" s="586" t="str">
        <f t="shared" si="147"/>
        <v/>
      </c>
    </row>
    <row r="548" spans="1:26" ht="12" hidden="1" thickBot="1" x14ac:dyDescent="0.25">
      <c r="A548" s="567" t="s">
        <v>168</v>
      </c>
      <c r="B548" s="644" t="s">
        <v>168</v>
      </c>
      <c r="C548" s="645"/>
      <c r="D548" s="451" t="s">
        <v>212</v>
      </c>
      <c r="E548" s="423"/>
      <c r="F548" s="424">
        <v>500</v>
      </c>
      <c r="G548" s="425">
        <f>ROUND(0.034*0.27,4)</f>
        <v>9.1999999999999998E-3</v>
      </c>
      <c r="H548" s="649">
        <f>IF(F548&lt;=30,(0.78*F548+7.82)*G548,((0.78*30+7.82)+0.78*(F548-30))*G548)</f>
        <v>3.6599440000000003</v>
      </c>
      <c r="I548" s="420">
        <v>0</v>
      </c>
      <c r="J548" s="420"/>
      <c r="K548" s="421">
        <f t="shared" si="162"/>
        <v>0</v>
      </c>
      <c r="L548" s="668" t="s">
        <v>614</v>
      </c>
      <c r="M548" s="669"/>
      <c r="N548" s="576">
        <f t="shared" si="165"/>
        <v>0</v>
      </c>
      <c r="O548" s="577">
        <f t="shared" si="132"/>
        <v>0</v>
      </c>
      <c r="P548" s="578">
        <f t="shared" si="133"/>
        <v>0</v>
      </c>
      <c r="Q548" s="765"/>
      <c r="R548" s="669"/>
      <c r="S548" s="670"/>
      <c r="T548" s="577">
        <f t="shared" si="130"/>
        <v>0</v>
      </c>
      <c r="U548" s="578">
        <f t="shared" si="131"/>
        <v>0</v>
      </c>
      <c r="V548" s="579"/>
      <c r="W548" s="637" t="str">
        <f>IF(U547&gt;0,"xx",IF(P547&gt;0,"xy",""))</f>
        <v/>
      </c>
      <c r="X548" s="586" t="str">
        <f t="shared" si="170"/>
        <v/>
      </c>
      <c r="Y548" s="586" t="str">
        <f t="shared" si="143"/>
        <v/>
      </c>
      <c r="Z548" s="586" t="str">
        <f t="shared" si="147"/>
        <v/>
      </c>
    </row>
    <row r="549" spans="1:26" ht="12" hidden="1" thickBot="1" x14ac:dyDescent="0.25">
      <c r="A549" s="567" t="s">
        <v>168</v>
      </c>
      <c r="B549" s="644" t="s">
        <v>168</v>
      </c>
      <c r="C549" s="645"/>
      <c r="D549" s="451" t="s">
        <v>248</v>
      </c>
      <c r="E549" s="423"/>
      <c r="F549" s="424">
        <v>180</v>
      </c>
      <c r="G549" s="425">
        <f>ROUND(0.034*0.96,4)</f>
        <v>3.2599999999999997E-2</v>
      </c>
      <c r="H549" s="663">
        <f t="shared" ref="H549:H551" si="171">IF(F549&lt;=30,(1.07*F549+2.68)*G549,((1.07*30+2.68)+1.07*(F549-30))*G549)</f>
        <v>6.3661279999999998</v>
      </c>
      <c r="I549" s="420">
        <v>0</v>
      </c>
      <c r="J549" s="420"/>
      <c r="K549" s="421">
        <f t="shared" si="162"/>
        <v>0</v>
      </c>
      <c r="L549" s="668" t="s">
        <v>614</v>
      </c>
      <c r="M549" s="669"/>
      <c r="N549" s="576">
        <f t="shared" si="165"/>
        <v>0</v>
      </c>
      <c r="O549" s="577">
        <f t="shared" si="132"/>
        <v>0</v>
      </c>
      <c r="P549" s="578">
        <f t="shared" si="133"/>
        <v>0</v>
      </c>
      <c r="Q549" s="765"/>
      <c r="R549" s="669"/>
      <c r="S549" s="670"/>
      <c r="T549" s="577">
        <f t="shared" ref="T549:T615" si="172">IF(ISBLANK(R549),0,ROUND(K549*R549,2))</f>
        <v>0</v>
      </c>
      <c r="U549" s="578">
        <f t="shared" ref="U549:U615" si="173">IF(ISBLANK(R549),0,ROUND(R549*S549,2))</f>
        <v>0</v>
      </c>
      <c r="V549" s="579"/>
      <c r="W549" s="637" t="str">
        <f>IF(U547&gt;0,"xx",IF(P547&gt;0,"xy",""))</f>
        <v/>
      </c>
      <c r="X549" s="586" t="str">
        <f t="shared" si="170"/>
        <v/>
      </c>
      <c r="Y549" s="586" t="str">
        <f t="shared" si="143"/>
        <v/>
      </c>
      <c r="Z549" s="586" t="str">
        <f t="shared" si="147"/>
        <v/>
      </c>
    </row>
    <row r="550" spans="1:26" ht="12" hidden="1" thickBot="1" x14ac:dyDescent="0.25">
      <c r="A550" s="567" t="s">
        <v>168</v>
      </c>
      <c r="B550" s="644" t="s">
        <v>168</v>
      </c>
      <c r="C550" s="645"/>
      <c r="D550" s="451" t="s">
        <v>252</v>
      </c>
      <c r="E550" s="423"/>
      <c r="F550" s="424">
        <v>20</v>
      </c>
      <c r="G550" s="425">
        <f>ROUND(0.034*1.11,4)</f>
        <v>3.7699999999999997E-2</v>
      </c>
      <c r="H550" s="663">
        <f t="shared" si="171"/>
        <v>0.90781599999999996</v>
      </c>
      <c r="I550" s="420">
        <v>0</v>
      </c>
      <c r="J550" s="420"/>
      <c r="K550" s="421">
        <f t="shared" si="162"/>
        <v>0</v>
      </c>
      <c r="L550" s="668" t="s">
        <v>614</v>
      </c>
      <c r="M550" s="669"/>
      <c r="N550" s="576">
        <f t="shared" si="165"/>
        <v>0</v>
      </c>
      <c r="O550" s="577">
        <f t="shared" ref="O550:O616" si="174">IF(ISBLANK(M550),0,ROUND(K550*M550,2))</f>
        <v>0</v>
      </c>
      <c r="P550" s="578">
        <f t="shared" ref="P550:P616" si="175">IF(ISBLANK(N550),0,ROUND(M550*N550,2))</f>
        <v>0</v>
      </c>
      <c r="Q550" s="765"/>
      <c r="R550" s="669"/>
      <c r="S550" s="670"/>
      <c r="T550" s="577">
        <f t="shared" si="172"/>
        <v>0</v>
      </c>
      <c r="U550" s="578">
        <f t="shared" si="173"/>
        <v>0</v>
      </c>
      <c r="V550" s="579"/>
      <c r="W550" s="637" t="str">
        <f>IF(U547&gt;0,"xx",IF(P547&gt;0,"xy",""))</f>
        <v/>
      </c>
      <c r="X550" s="586" t="str">
        <f t="shared" si="170"/>
        <v/>
      </c>
      <c r="Y550" s="586" t="str">
        <f t="shared" si="143"/>
        <v/>
      </c>
      <c r="Z550" s="586" t="str">
        <f t="shared" si="147"/>
        <v/>
      </c>
    </row>
    <row r="551" spans="1:26" ht="12" hidden="1" thickBot="1" x14ac:dyDescent="0.25">
      <c r="A551" s="567">
        <v>810250</v>
      </c>
      <c r="B551" s="644" t="s">
        <v>1800</v>
      </c>
      <c r="C551" s="645" t="s">
        <v>206</v>
      </c>
      <c r="D551" s="422" t="s">
        <v>1801</v>
      </c>
      <c r="E551" s="423"/>
      <c r="F551" s="424">
        <v>10</v>
      </c>
      <c r="G551" s="425">
        <v>7.9500000000000001E-2</v>
      </c>
      <c r="H551" s="663">
        <f t="shared" si="171"/>
        <v>1.0637100000000002</v>
      </c>
      <c r="I551" s="420">
        <v>38.299999999999997</v>
      </c>
      <c r="J551" s="420">
        <f>IF(ISBLANK(I551),"",SUM(H551:I551))</f>
        <v>39.363709999999998</v>
      </c>
      <c r="K551" s="421">
        <f t="shared" si="162"/>
        <v>46.77</v>
      </c>
      <c r="L551" s="647" t="s">
        <v>19</v>
      </c>
      <c r="M551" s="576"/>
      <c r="N551" s="576">
        <f t="shared" si="165"/>
        <v>0</v>
      </c>
      <c r="O551" s="577">
        <f t="shared" si="174"/>
        <v>0</v>
      </c>
      <c r="P551" s="578">
        <f t="shared" si="175"/>
        <v>0</v>
      </c>
      <c r="Q551" s="765"/>
      <c r="R551" s="576">
        <f t="shared" ref="R551:S613" si="176">M551</f>
        <v>0</v>
      </c>
      <c r="S551" s="576">
        <f t="shared" si="167"/>
        <v>0</v>
      </c>
      <c r="T551" s="577">
        <f t="shared" si="172"/>
        <v>0</v>
      </c>
      <c r="U551" s="578">
        <f t="shared" si="173"/>
        <v>0</v>
      </c>
      <c r="V551" s="579"/>
      <c r="W551" s="566"/>
      <c r="X551" s="586" t="str">
        <f t="shared" si="170"/>
        <v/>
      </c>
      <c r="Y551" s="586" t="str">
        <f t="shared" si="143"/>
        <v/>
      </c>
      <c r="Z551" s="586" t="str">
        <f t="shared" si="147"/>
        <v/>
      </c>
    </row>
    <row r="552" spans="1:26" ht="12" hidden="1" thickBot="1" x14ac:dyDescent="0.25">
      <c r="A552" s="567">
        <v>810400</v>
      </c>
      <c r="B552" s="644">
        <v>810400</v>
      </c>
      <c r="C552" s="645" t="s">
        <v>206</v>
      </c>
      <c r="D552" s="422" t="s">
        <v>1802</v>
      </c>
      <c r="E552" s="423"/>
      <c r="F552" s="424"/>
      <c r="G552" s="425"/>
      <c r="H552" s="651">
        <f>SUM(H553:H555)</f>
        <v>23.135548</v>
      </c>
      <c r="I552" s="420">
        <v>40.36</v>
      </c>
      <c r="J552" s="420">
        <f>IF(ISBLANK(I552),"",SUM(H552:I552))</f>
        <v>63.495547999999999</v>
      </c>
      <c r="K552" s="421">
        <f t="shared" si="162"/>
        <v>75.44</v>
      </c>
      <c r="L552" s="647" t="s">
        <v>19</v>
      </c>
      <c r="M552" s="576"/>
      <c r="N552" s="576">
        <f t="shared" si="165"/>
        <v>0</v>
      </c>
      <c r="O552" s="577">
        <f t="shared" si="174"/>
        <v>0</v>
      </c>
      <c r="P552" s="578">
        <f t="shared" si="175"/>
        <v>0</v>
      </c>
      <c r="Q552" s="765"/>
      <c r="R552" s="576">
        <f t="shared" si="176"/>
        <v>0</v>
      </c>
      <c r="S552" s="576">
        <f t="shared" si="167"/>
        <v>0</v>
      </c>
      <c r="T552" s="577">
        <f t="shared" si="172"/>
        <v>0</v>
      </c>
      <c r="U552" s="578">
        <f t="shared" si="173"/>
        <v>0</v>
      </c>
      <c r="V552" s="579"/>
      <c r="W552" s="566"/>
      <c r="X552" s="586" t="str">
        <f t="shared" si="170"/>
        <v/>
      </c>
      <c r="Y552" s="586" t="str">
        <f t="shared" si="143"/>
        <v/>
      </c>
      <c r="Z552" s="586" t="str">
        <f t="shared" si="147"/>
        <v/>
      </c>
    </row>
    <row r="553" spans="1:26" ht="12" hidden="1" thickBot="1" x14ac:dyDescent="0.25">
      <c r="A553" s="567" t="s">
        <v>168</v>
      </c>
      <c r="B553" s="644" t="s">
        <v>168</v>
      </c>
      <c r="C553" s="645"/>
      <c r="D553" s="451" t="s">
        <v>212</v>
      </c>
      <c r="E553" s="423"/>
      <c r="F553" s="424">
        <v>500</v>
      </c>
      <c r="G553" s="425">
        <f>ROUND(0.072*0.27,4)</f>
        <v>1.9400000000000001E-2</v>
      </c>
      <c r="H553" s="649">
        <f>IF(F553&lt;=30,(0.78*F553+7.82)*G553,((0.78*30+7.82)+0.78*(F553-30))*G553)</f>
        <v>7.7177080000000009</v>
      </c>
      <c r="I553" s="420">
        <v>0</v>
      </c>
      <c r="J553" s="420"/>
      <c r="K553" s="421">
        <f t="shared" si="162"/>
        <v>0</v>
      </c>
      <c r="L553" s="668" t="s">
        <v>614</v>
      </c>
      <c r="M553" s="669"/>
      <c r="N553" s="576">
        <f t="shared" si="165"/>
        <v>0</v>
      </c>
      <c r="O553" s="577">
        <f t="shared" si="174"/>
        <v>0</v>
      </c>
      <c r="P553" s="578">
        <f t="shared" si="175"/>
        <v>0</v>
      </c>
      <c r="Q553" s="765"/>
      <c r="R553" s="669"/>
      <c r="S553" s="670"/>
      <c r="T553" s="577">
        <f t="shared" si="172"/>
        <v>0</v>
      </c>
      <c r="U553" s="578">
        <f t="shared" si="173"/>
        <v>0</v>
      </c>
      <c r="V553" s="579"/>
      <c r="W553" s="637" t="str">
        <f>IF(U552&gt;0,"xx",IF(P552&gt;0,"xy",""))</f>
        <v/>
      </c>
      <c r="X553" s="586" t="str">
        <f t="shared" si="170"/>
        <v/>
      </c>
      <c r="Y553" s="586" t="str">
        <f t="shared" si="143"/>
        <v/>
      </c>
      <c r="Z553" s="586" t="str">
        <f t="shared" si="147"/>
        <v/>
      </c>
    </row>
    <row r="554" spans="1:26" ht="12" hidden="1" thickBot="1" x14ac:dyDescent="0.25">
      <c r="A554" s="567" t="s">
        <v>168</v>
      </c>
      <c r="B554" s="644" t="s">
        <v>168</v>
      </c>
      <c r="C554" s="645"/>
      <c r="D554" s="451" t="s">
        <v>248</v>
      </c>
      <c r="E554" s="423"/>
      <c r="F554" s="424">
        <v>180</v>
      </c>
      <c r="G554" s="425">
        <f>ROUND(0.072*0.96,4)</f>
        <v>6.9099999999999995E-2</v>
      </c>
      <c r="H554" s="663">
        <f t="shared" ref="H554:H556" si="177">IF(F554&lt;=30,(1.07*F554+2.68)*G554,((1.07*30+2.68)+1.07*(F554-30))*G554)</f>
        <v>13.493848</v>
      </c>
      <c r="I554" s="420">
        <v>0</v>
      </c>
      <c r="J554" s="420"/>
      <c r="K554" s="421">
        <f t="shared" si="162"/>
        <v>0</v>
      </c>
      <c r="L554" s="668" t="s">
        <v>614</v>
      </c>
      <c r="M554" s="669"/>
      <c r="N554" s="576">
        <f t="shared" si="165"/>
        <v>0</v>
      </c>
      <c r="O554" s="577">
        <f t="shared" si="174"/>
        <v>0</v>
      </c>
      <c r="P554" s="578">
        <f t="shared" si="175"/>
        <v>0</v>
      </c>
      <c r="Q554" s="765"/>
      <c r="R554" s="669"/>
      <c r="S554" s="670"/>
      <c r="T554" s="577">
        <f t="shared" si="172"/>
        <v>0</v>
      </c>
      <c r="U554" s="578">
        <f t="shared" si="173"/>
        <v>0</v>
      </c>
      <c r="V554" s="579"/>
      <c r="W554" s="637" t="str">
        <f>IF(U552&gt;0,"xx",IF(P552&gt;0,"xy",""))</f>
        <v/>
      </c>
      <c r="X554" s="586" t="str">
        <f t="shared" si="170"/>
        <v/>
      </c>
      <c r="Y554" s="586" t="str">
        <f t="shared" si="143"/>
        <v/>
      </c>
      <c r="Z554" s="586" t="str">
        <f t="shared" si="147"/>
        <v/>
      </c>
    </row>
    <row r="555" spans="1:26" ht="12" hidden="1" thickBot="1" x14ac:dyDescent="0.25">
      <c r="A555" s="567" t="s">
        <v>168</v>
      </c>
      <c r="B555" s="644" t="s">
        <v>168</v>
      </c>
      <c r="C555" s="645"/>
      <c r="D555" s="451" t="s">
        <v>252</v>
      </c>
      <c r="E555" s="423"/>
      <c r="F555" s="424">
        <v>20</v>
      </c>
      <c r="G555" s="425">
        <f>ROUND(0.072*1.11,4)</f>
        <v>7.9899999999999999E-2</v>
      </c>
      <c r="H555" s="663">
        <f t="shared" si="177"/>
        <v>1.9239920000000001</v>
      </c>
      <c r="I555" s="420">
        <v>0</v>
      </c>
      <c r="J555" s="420"/>
      <c r="K555" s="421">
        <f t="shared" si="162"/>
        <v>0</v>
      </c>
      <c r="L555" s="668" t="s">
        <v>614</v>
      </c>
      <c r="M555" s="669"/>
      <c r="N555" s="576">
        <f t="shared" si="165"/>
        <v>0</v>
      </c>
      <c r="O555" s="577">
        <f t="shared" si="174"/>
        <v>0</v>
      </c>
      <c r="P555" s="578">
        <f t="shared" si="175"/>
        <v>0</v>
      </c>
      <c r="Q555" s="765"/>
      <c r="R555" s="669"/>
      <c r="S555" s="670"/>
      <c r="T555" s="577">
        <f t="shared" si="172"/>
        <v>0</v>
      </c>
      <c r="U555" s="578">
        <f t="shared" si="173"/>
        <v>0</v>
      </c>
      <c r="V555" s="579"/>
      <c r="W555" s="637" t="str">
        <f>IF(U552&gt;0,"xx",IF(P552&gt;0,"xy",""))</f>
        <v/>
      </c>
      <c r="X555" s="586" t="str">
        <f t="shared" si="170"/>
        <v/>
      </c>
      <c r="Y555" s="586" t="str">
        <f t="shared" si="143"/>
        <v/>
      </c>
      <c r="Z555" s="586" t="str">
        <f t="shared" si="147"/>
        <v/>
      </c>
    </row>
    <row r="556" spans="1:26" ht="12" hidden="1" thickBot="1" x14ac:dyDescent="0.25">
      <c r="A556" s="567">
        <v>810350</v>
      </c>
      <c r="B556" s="644">
        <v>810350</v>
      </c>
      <c r="C556" s="645" t="s">
        <v>206</v>
      </c>
      <c r="D556" s="422" t="s">
        <v>1803</v>
      </c>
      <c r="E556" s="423"/>
      <c r="F556" s="424">
        <v>10</v>
      </c>
      <c r="G556" s="425">
        <v>0.16839999999999999</v>
      </c>
      <c r="H556" s="663">
        <f t="shared" si="177"/>
        <v>2.2531919999999999</v>
      </c>
      <c r="I556" s="420">
        <v>61.83</v>
      </c>
      <c r="J556" s="420">
        <f>IF(ISBLANK(I556),"",SUM(H556:I556))</f>
        <v>64.083191999999997</v>
      </c>
      <c r="K556" s="421">
        <f t="shared" si="162"/>
        <v>76.14</v>
      </c>
      <c r="L556" s="647" t="s">
        <v>19</v>
      </c>
      <c r="M556" s="587"/>
      <c r="N556" s="576">
        <f t="shared" si="165"/>
        <v>0</v>
      </c>
      <c r="O556" s="577">
        <f t="shared" si="174"/>
        <v>0</v>
      </c>
      <c r="P556" s="578">
        <f t="shared" si="175"/>
        <v>0</v>
      </c>
      <c r="Q556" s="765"/>
      <c r="R556" s="650">
        <f t="shared" si="176"/>
        <v>0</v>
      </c>
      <c r="S556" s="587">
        <f t="shared" si="167"/>
        <v>0</v>
      </c>
      <c r="T556" s="577">
        <f t="shared" si="172"/>
        <v>0</v>
      </c>
      <c r="U556" s="578">
        <f t="shared" si="173"/>
        <v>0</v>
      </c>
      <c r="V556" s="579"/>
      <c r="W556" s="566"/>
      <c r="X556" s="586" t="str">
        <f t="shared" si="170"/>
        <v/>
      </c>
      <c r="Y556" s="586" t="str">
        <f t="shared" si="143"/>
        <v/>
      </c>
      <c r="Z556" s="586" t="str">
        <f t="shared" si="147"/>
        <v/>
      </c>
    </row>
    <row r="557" spans="1:26" ht="12" hidden="1" thickBot="1" x14ac:dyDescent="0.25">
      <c r="A557" s="652" t="s">
        <v>187</v>
      </c>
      <c r="B557" s="653" t="s">
        <v>187</v>
      </c>
      <c r="C557" s="654"/>
      <c r="D557" s="427" t="s">
        <v>235</v>
      </c>
      <c r="E557" s="428"/>
      <c r="F557" s="655"/>
      <c r="G557" s="656"/>
      <c r="H557" s="657"/>
      <c r="I557" s="429"/>
      <c r="J557" s="429"/>
      <c r="K557" s="429"/>
      <c r="L557" s="429" t="s">
        <v>614</v>
      </c>
      <c r="M557" s="657"/>
      <c r="N557" s="576">
        <f t="shared" si="165"/>
        <v>0</v>
      </c>
      <c r="O557" s="429">
        <f t="shared" si="174"/>
        <v>0</v>
      </c>
      <c r="P557" s="658">
        <f t="shared" si="175"/>
        <v>0</v>
      </c>
      <c r="Q557" s="765"/>
      <c r="R557" s="657"/>
      <c r="S557" s="429"/>
      <c r="T557" s="429">
        <f t="shared" si="172"/>
        <v>0</v>
      </c>
      <c r="U557" s="658">
        <f t="shared" si="173"/>
        <v>0</v>
      </c>
      <c r="V557" s="579"/>
      <c r="W557" s="637" t="str">
        <f>IF(OR(SUM(P558:P582)&gt;0,SUM(U558:U582)&gt;0),"y","")</f>
        <v/>
      </c>
      <c r="X557" s="586" t="str">
        <f t="shared" si="170"/>
        <v/>
      </c>
      <c r="Y557" s="586" t="str">
        <f t="shared" si="143"/>
        <v/>
      </c>
      <c r="Z557" s="586" t="str">
        <f t="shared" si="147"/>
        <v/>
      </c>
    </row>
    <row r="558" spans="1:26" ht="12" hidden="1" thickBot="1" x14ac:dyDescent="0.25">
      <c r="A558" s="652" t="s">
        <v>187</v>
      </c>
      <c r="B558" s="572" t="s">
        <v>187</v>
      </c>
      <c r="C558" s="573" t="s">
        <v>187</v>
      </c>
      <c r="D558" s="574"/>
      <c r="E558" s="575"/>
      <c r="F558" s="436"/>
      <c r="G558" s="431"/>
      <c r="H558" s="430"/>
      <c r="I558" s="432"/>
      <c r="J558" s="433"/>
      <c r="K558" s="434">
        <f t="shared" ref="K558:K582" si="178">IF(ISBLANK(J558),0,ROUND(J558*(1+$F$10)*(1+$F$11*E558),2))</f>
        <v>0</v>
      </c>
      <c r="L558" s="435" t="s">
        <v>614</v>
      </c>
      <c r="M558" s="587"/>
      <c r="N558" s="576">
        <f t="shared" si="165"/>
        <v>0</v>
      </c>
      <c r="O558" s="577">
        <f t="shared" si="174"/>
        <v>0</v>
      </c>
      <c r="P558" s="578">
        <f t="shared" si="175"/>
        <v>0</v>
      </c>
      <c r="Q558" s="765"/>
      <c r="R558" s="650">
        <f t="shared" si="176"/>
        <v>0</v>
      </c>
      <c r="S558" s="587">
        <f t="shared" si="167"/>
        <v>0</v>
      </c>
      <c r="T558" s="577">
        <f t="shared" si="172"/>
        <v>0</v>
      </c>
      <c r="U558" s="578">
        <f t="shared" si="173"/>
        <v>0</v>
      </c>
      <c r="V558" s="579"/>
      <c r="W558" s="566"/>
      <c r="X558" s="586" t="str">
        <f t="shared" si="170"/>
        <v/>
      </c>
      <c r="Y558" s="586" t="str">
        <f t="shared" si="143"/>
        <v/>
      </c>
      <c r="Z558" s="586" t="str">
        <f t="shared" si="147"/>
        <v/>
      </c>
    </row>
    <row r="559" spans="1:26" ht="12" hidden="1" thickBot="1" x14ac:dyDescent="0.25">
      <c r="A559" s="652" t="s">
        <v>187</v>
      </c>
      <c r="B559" s="572" t="s">
        <v>187</v>
      </c>
      <c r="C559" s="573" t="s">
        <v>187</v>
      </c>
      <c r="D559" s="580"/>
      <c r="E559" s="575"/>
      <c r="F559" s="436"/>
      <c r="G559" s="431"/>
      <c r="H559" s="430"/>
      <c r="I559" s="432"/>
      <c r="J559" s="433"/>
      <c r="K559" s="437">
        <f t="shared" si="178"/>
        <v>0</v>
      </c>
      <c r="L559" s="435" t="s">
        <v>614</v>
      </c>
      <c r="M559" s="576"/>
      <c r="N559" s="576">
        <f t="shared" si="165"/>
        <v>0</v>
      </c>
      <c r="O559" s="577">
        <f t="shared" si="174"/>
        <v>0</v>
      </c>
      <c r="P559" s="578">
        <f t="shared" si="175"/>
        <v>0</v>
      </c>
      <c r="Q559" s="765"/>
      <c r="R559" s="576">
        <f t="shared" si="176"/>
        <v>0</v>
      </c>
      <c r="S559" s="576">
        <f t="shared" si="167"/>
        <v>0</v>
      </c>
      <c r="T559" s="577">
        <f t="shared" si="172"/>
        <v>0</v>
      </c>
      <c r="U559" s="659">
        <f t="shared" si="173"/>
        <v>0</v>
      </c>
      <c r="V559" s="579"/>
      <c r="W559" s="566"/>
      <c r="X559" s="586" t="str">
        <f t="shared" si="170"/>
        <v/>
      </c>
      <c r="Y559" s="586" t="str">
        <f t="shared" si="143"/>
        <v/>
      </c>
      <c r="Z559" s="586" t="str">
        <f t="shared" si="147"/>
        <v/>
      </c>
    </row>
    <row r="560" spans="1:26" ht="12" hidden="1" thickBot="1" x14ac:dyDescent="0.25">
      <c r="A560" s="652" t="s">
        <v>187</v>
      </c>
      <c r="B560" s="572" t="s">
        <v>187</v>
      </c>
      <c r="C560" s="573" t="s">
        <v>187</v>
      </c>
      <c r="D560" s="580"/>
      <c r="E560" s="575"/>
      <c r="F560" s="436"/>
      <c r="G560" s="431"/>
      <c r="H560" s="430"/>
      <c r="I560" s="432"/>
      <c r="J560" s="433"/>
      <c r="K560" s="437">
        <f t="shared" si="178"/>
        <v>0</v>
      </c>
      <c r="L560" s="435" t="s">
        <v>614</v>
      </c>
      <c r="M560" s="576"/>
      <c r="N560" s="576">
        <f t="shared" si="165"/>
        <v>0</v>
      </c>
      <c r="O560" s="577">
        <f t="shared" si="174"/>
        <v>0</v>
      </c>
      <c r="P560" s="578">
        <f t="shared" si="175"/>
        <v>0</v>
      </c>
      <c r="Q560" s="765"/>
      <c r="R560" s="576">
        <f t="shared" si="176"/>
        <v>0</v>
      </c>
      <c r="S560" s="576">
        <f t="shared" si="167"/>
        <v>0</v>
      </c>
      <c r="T560" s="577">
        <f t="shared" si="172"/>
        <v>0</v>
      </c>
      <c r="U560" s="578">
        <f t="shared" si="173"/>
        <v>0</v>
      </c>
      <c r="V560" s="579"/>
      <c r="W560" s="566"/>
      <c r="X560" s="586" t="str">
        <f t="shared" si="170"/>
        <v/>
      </c>
      <c r="Y560" s="586" t="str">
        <f t="shared" si="143"/>
        <v/>
      </c>
      <c r="Z560" s="586" t="str">
        <f t="shared" si="147"/>
        <v/>
      </c>
    </row>
    <row r="561" spans="1:26" ht="12" hidden="1" thickBot="1" x14ac:dyDescent="0.25">
      <c r="A561" s="652" t="s">
        <v>187</v>
      </c>
      <c r="B561" s="572" t="s">
        <v>187</v>
      </c>
      <c r="C561" s="573" t="s">
        <v>187</v>
      </c>
      <c r="D561" s="580"/>
      <c r="E561" s="575"/>
      <c r="F561" s="436"/>
      <c r="G561" s="431"/>
      <c r="H561" s="430"/>
      <c r="I561" s="432"/>
      <c r="J561" s="433"/>
      <c r="K561" s="437">
        <f t="shared" si="178"/>
        <v>0</v>
      </c>
      <c r="L561" s="435" t="s">
        <v>614</v>
      </c>
      <c r="M561" s="576"/>
      <c r="N561" s="576">
        <f t="shared" si="165"/>
        <v>0</v>
      </c>
      <c r="O561" s="577">
        <f t="shared" si="174"/>
        <v>0</v>
      </c>
      <c r="P561" s="578">
        <f t="shared" si="175"/>
        <v>0</v>
      </c>
      <c r="Q561" s="765"/>
      <c r="R561" s="576">
        <f t="shared" si="176"/>
        <v>0</v>
      </c>
      <c r="S561" s="576">
        <f t="shared" si="167"/>
        <v>0</v>
      </c>
      <c r="T561" s="577">
        <f t="shared" si="172"/>
        <v>0</v>
      </c>
      <c r="U561" s="578">
        <f t="shared" si="173"/>
        <v>0</v>
      </c>
      <c r="V561" s="579"/>
      <c r="W561" s="566"/>
      <c r="X561" s="586" t="str">
        <f t="shared" si="170"/>
        <v/>
      </c>
      <c r="Y561" s="586" t="str">
        <f t="shared" si="143"/>
        <v/>
      </c>
      <c r="Z561" s="586" t="str">
        <f t="shared" si="147"/>
        <v/>
      </c>
    </row>
    <row r="562" spans="1:26" ht="12" hidden="1" thickBot="1" x14ac:dyDescent="0.25">
      <c r="A562" s="652" t="s">
        <v>187</v>
      </c>
      <c r="B562" s="572" t="s">
        <v>187</v>
      </c>
      <c r="C562" s="573" t="s">
        <v>187</v>
      </c>
      <c r="D562" s="580"/>
      <c r="E562" s="575"/>
      <c r="F562" s="436"/>
      <c r="G562" s="431"/>
      <c r="H562" s="430"/>
      <c r="I562" s="432"/>
      <c r="J562" s="433"/>
      <c r="K562" s="437">
        <f t="shared" si="178"/>
        <v>0</v>
      </c>
      <c r="L562" s="435" t="s">
        <v>614</v>
      </c>
      <c r="M562" s="576"/>
      <c r="N562" s="576">
        <f t="shared" si="165"/>
        <v>0</v>
      </c>
      <c r="O562" s="577">
        <f t="shared" si="174"/>
        <v>0</v>
      </c>
      <c r="P562" s="578">
        <f t="shared" si="175"/>
        <v>0</v>
      </c>
      <c r="Q562" s="765"/>
      <c r="R562" s="576">
        <f t="shared" si="176"/>
        <v>0</v>
      </c>
      <c r="S562" s="576">
        <f t="shared" si="167"/>
        <v>0</v>
      </c>
      <c r="T562" s="577">
        <f t="shared" si="172"/>
        <v>0</v>
      </c>
      <c r="U562" s="578">
        <f t="shared" si="173"/>
        <v>0</v>
      </c>
      <c r="V562" s="579"/>
      <c r="W562" s="566"/>
      <c r="X562" s="586" t="str">
        <f t="shared" si="170"/>
        <v/>
      </c>
      <c r="Y562" s="586" t="str">
        <f t="shared" si="143"/>
        <v/>
      </c>
      <c r="Z562" s="586" t="str">
        <f t="shared" si="147"/>
        <v/>
      </c>
    </row>
    <row r="563" spans="1:26" ht="12" hidden="1" thickBot="1" x14ac:dyDescent="0.25">
      <c r="A563" s="652" t="s">
        <v>187</v>
      </c>
      <c r="B563" s="572" t="s">
        <v>187</v>
      </c>
      <c r="C563" s="573" t="s">
        <v>187</v>
      </c>
      <c r="D563" s="580"/>
      <c r="E563" s="575"/>
      <c r="F563" s="436"/>
      <c r="G563" s="431"/>
      <c r="H563" s="430"/>
      <c r="I563" s="432"/>
      <c r="J563" s="433"/>
      <c r="K563" s="437">
        <f t="shared" si="178"/>
        <v>0</v>
      </c>
      <c r="L563" s="435" t="s">
        <v>614</v>
      </c>
      <c r="M563" s="576"/>
      <c r="N563" s="576">
        <f t="shared" si="165"/>
        <v>0</v>
      </c>
      <c r="O563" s="577">
        <f t="shared" si="174"/>
        <v>0</v>
      </c>
      <c r="P563" s="578">
        <f t="shared" si="175"/>
        <v>0</v>
      </c>
      <c r="Q563" s="765"/>
      <c r="R563" s="576">
        <f t="shared" si="176"/>
        <v>0</v>
      </c>
      <c r="S563" s="576">
        <f t="shared" si="167"/>
        <v>0</v>
      </c>
      <c r="T563" s="577">
        <f t="shared" si="172"/>
        <v>0</v>
      </c>
      <c r="U563" s="578">
        <f t="shared" si="173"/>
        <v>0</v>
      </c>
      <c r="V563" s="579"/>
      <c r="W563" s="566"/>
      <c r="X563" s="586" t="str">
        <f t="shared" si="170"/>
        <v/>
      </c>
      <c r="Y563" s="586" t="str">
        <f t="shared" si="143"/>
        <v/>
      </c>
      <c r="Z563" s="586" t="str">
        <f t="shared" si="147"/>
        <v/>
      </c>
    </row>
    <row r="564" spans="1:26" ht="12" hidden="1" thickBot="1" x14ac:dyDescent="0.25">
      <c r="A564" s="652" t="s">
        <v>187</v>
      </c>
      <c r="B564" s="572" t="s">
        <v>187</v>
      </c>
      <c r="C564" s="573" t="s">
        <v>187</v>
      </c>
      <c r="D564" s="580"/>
      <c r="E564" s="575"/>
      <c r="F564" s="436"/>
      <c r="G564" s="431"/>
      <c r="H564" s="430"/>
      <c r="I564" s="432"/>
      <c r="J564" s="433"/>
      <c r="K564" s="437">
        <f t="shared" si="178"/>
        <v>0</v>
      </c>
      <c r="L564" s="435" t="s">
        <v>614</v>
      </c>
      <c r="M564" s="576"/>
      <c r="N564" s="576">
        <f t="shared" si="165"/>
        <v>0</v>
      </c>
      <c r="O564" s="577">
        <f t="shared" si="174"/>
        <v>0</v>
      </c>
      <c r="P564" s="578">
        <f t="shared" si="175"/>
        <v>0</v>
      </c>
      <c r="Q564" s="765"/>
      <c r="R564" s="576">
        <f t="shared" si="176"/>
        <v>0</v>
      </c>
      <c r="S564" s="576">
        <f t="shared" si="167"/>
        <v>0</v>
      </c>
      <c r="T564" s="577">
        <f t="shared" si="172"/>
        <v>0</v>
      </c>
      <c r="U564" s="578">
        <f t="shared" si="173"/>
        <v>0</v>
      </c>
      <c r="V564" s="579"/>
      <c r="W564" s="566"/>
      <c r="X564" s="586" t="str">
        <f t="shared" si="170"/>
        <v/>
      </c>
      <c r="Y564" s="586" t="str">
        <f t="shared" si="143"/>
        <v/>
      </c>
      <c r="Z564" s="586" t="str">
        <f t="shared" si="147"/>
        <v/>
      </c>
    </row>
    <row r="565" spans="1:26" ht="12" hidden="1" thickBot="1" x14ac:dyDescent="0.25">
      <c r="A565" s="652" t="s">
        <v>187</v>
      </c>
      <c r="B565" s="572" t="s">
        <v>187</v>
      </c>
      <c r="C565" s="573" t="s">
        <v>187</v>
      </c>
      <c r="D565" s="580"/>
      <c r="E565" s="575"/>
      <c r="F565" s="436"/>
      <c r="G565" s="431"/>
      <c r="H565" s="430"/>
      <c r="I565" s="432"/>
      <c r="J565" s="433"/>
      <c r="K565" s="437">
        <f t="shared" si="178"/>
        <v>0</v>
      </c>
      <c r="L565" s="435" t="s">
        <v>614</v>
      </c>
      <c r="M565" s="576"/>
      <c r="N565" s="576">
        <f t="shared" si="165"/>
        <v>0</v>
      </c>
      <c r="O565" s="577">
        <f t="shared" si="174"/>
        <v>0</v>
      </c>
      <c r="P565" s="578">
        <f t="shared" si="175"/>
        <v>0</v>
      </c>
      <c r="Q565" s="765"/>
      <c r="R565" s="576">
        <f t="shared" si="176"/>
        <v>0</v>
      </c>
      <c r="S565" s="576">
        <f t="shared" si="167"/>
        <v>0</v>
      </c>
      <c r="T565" s="577">
        <f t="shared" si="172"/>
        <v>0</v>
      </c>
      <c r="U565" s="578">
        <f t="shared" si="173"/>
        <v>0</v>
      </c>
      <c r="V565" s="579"/>
      <c r="W565" s="566"/>
      <c r="X565" s="586" t="str">
        <f t="shared" si="170"/>
        <v/>
      </c>
      <c r="Y565" s="586" t="str">
        <f t="shared" si="143"/>
        <v/>
      </c>
      <c r="Z565" s="586" t="str">
        <f t="shared" si="147"/>
        <v/>
      </c>
    </row>
    <row r="566" spans="1:26" ht="12" hidden="1" thickBot="1" x14ac:dyDescent="0.25">
      <c r="A566" s="652" t="s">
        <v>187</v>
      </c>
      <c r="B566" s="572" t="s">
        <v>187</v>
      </c>
      <c r="C566" s="573" t="s">
        <v>187</v>
      </c>
      <c r="D566" s="580"/>
      <c r="E566" s="575"/>
      <c r="F566" s="436"/>
      <c r="G566" s="431"/>
      <c r="H566" s="430"/>
      <c r="I566" s="432"/>
      <c r="J566" s="433"/>
      <c r="K566" s="437">
        <f t="shared" si="178"/>
        <v>0</v>
      </c>
      <c r="L566" s="435" t="s">
        <v>614</v>
      </c>
      <c r="M566" s="576"/>
      <c r="N566" s="576">
        <f t="shared" si="165"/>
        <v>0</v>
      </c>
      <c r="O566" s="577">
        <f t="shared" si="174"/>
        <v>0</v>
      </c>
      <c r="P566" s="578">
        <f t="shared" si="175"/>
        <v>0</v>
      </c>
      <c r="Q566" s="765"/>
      <c r="R566" s="576">
        <f t="shared" si="176"/>
        <v>0</v>
      </c>
      <c r="S566" s="576">
        <f t="shared" si="167"/>
        <v>0</v>
      </c>
      <c r="T566" s="577">
        <f t="shared" si="172"/>
        <v>0</v>
      </c>
      <c r="U566" s="578">
        <f t="shared" si="173"/>
        <v>0</v>
      </c>
      <c r="V566" s="579"/>
      <c r="W566" s="566"/>
      <c r="X566" s="586" t="str">
        <f t="shared" si="170"/>
        <v/>
      </c>
      <c r="Y566" s="586" t="str">
        <f t="shared" si="143"/>
        <v/>
      </c>
      <c r="Z566" s="586" t="str">
        <f t="shared" si="147"/>
        <v/>
      </c>
    </row>
    <row r="567" spans="1:26" ht="12" hidden="1" thickBot="1" x14ac:dyDescent="0.25">
      <c r="A567" s="652" t="s">
        <v>187</v>
      </c>
      <c r="B567" s="572" t="s">
        <v>187</v>
      </c>
      <c r="C567" s="573" t="s">
        <v>187</v>
      </c>
      <c r="D567" s="580"/>
      <c r="E567" s="575"/>
      <c r="F567" s="436"/>
      <c r="G567" s="431"/>
      <c r="H567" s="430"/>
      <c r="I567" s="432"/>
      <c r="J567" s="433"/>
      <c r="K567" s="437">
        <f t="shared" si="178"/>
        <v>0</v>
      </c>
      <c r="L567" s="435" t="s">
        <v>614</v>
      </c>
      <c r="M567" s="576"/>
      <c r="N567" s="576">
        <f t="shared" si="165"/>
        <v>0</v>
      </c>
      <c r="O567" s="577">
        <f t="shared" si="174"/>
        <v>0</v>
      </c>
      <c r="P567" s="578">
        <f t="shared" si="175"/>
        <v>0</v>
      </c>
      <c r="Q567" s="765"/>
      <c r="R567" s="576">
        <f t="shared" si="176"/>
        <v>0</v>
      </c>
      <c r="S567" s="576">
        <f t="shared" si="167"/>
        <v>0</v>
      </c>
      <c r="T567" s="577">
        <f t="shared" si="172"/>
        <v>0</v>
      </c>
      <c r="U567" s="578">
        <f t="shared" si="173"/>
        <v>0</v>
      </c>
      <c r="V567" s="579"/>
      <c r="W567" s="566"/>
      <c r="X567" s="586" t="str">
        <f t="shared" si="170"/>
        <v/>
      </c>
      <c r="Y567" s="586" t="str">
        <f t="shared" si="143"/>
        <v/>
      </c>
      <c r="Z567" s="586" t="str">
        <f t="shared" si="147"/>
        <v/>
      </c>
    </row>
    <row r="568" spans="1:26" ht="12" hidden="1" thickBot="1" x14ac:dyDescent="0.25">
      <c r="A568" s="652" t="s">
        <v>187</v>
      </c>
      <c r="B568" s="572" t="s">
        <v>187</v>
      </c>
      <c r="C568" s="573" t="s">
        <v>187</v>
      </c>
      <c r="D568" s="580"/>
      <c r="E568" s="575"/>
      <c r="F568" s="436"/>
      <c r="G568" s="431"/>
      <c r="H568" s="430"/>
      <c r="I568" s="432"/>
      <c r="J568" s="433"/>
      <c r="K568" s="437">
        <f t="shared" si="178"/>
        <v>0</v>
      </c>
      <c r="L568" s="435" t="s">
        <v>614</v>
      </c>
      <c r="M568" s="576"/>
      <c r="N568" s="576">
        <f t="shared" si="165"/>
        <v>0</v>
      </c>
      <c r="O568" s="577">
        <f t="shared" si="174"/>
        <v>0</v>
      </c>
      <c r="P568" s="578">
        <f t="shared" si="175"/>
        <v>0</v>
      </c>
      <c r="Q568" s="765"/>
      <c r="R568" s="576">
        <f t="shared" si="176"/>
        <v>0</v>
      </c>
      <c r="S568" s="576">
        <f t="shared" si="167"/>
        <v>0</v>
      </c>
      <c r="T568" s="577">
        <f t="shared" si="172"/>
        <v>0</v>
      </c>
      <c r="U568" s="578">
        <f t="shared" si="173"/>
        <v>0</v>
      </c>
      <c r="V568" s="579"/>
      <c r="W568" s="566"/>
      <c r="X568" s="586" t="str">
        <f t="shared" si="170"/>
        <v/>
      </c>
      <c r="Y568" s="586" t="str">
        <f t="shared" si="143"/>
        <v/>
      </c>
      <c r="Z568" s="586" t="str">
        <f t="shared" si="147"/>
        <v/>
      </c>
    </row>
    <row r="569" spans="1:26" ht="12" hidden="1" thickBot="1" x14ac:dyDescent="0.25">
      <c r="A569" s="652" t="s">
        <v>187</v>
      </c>
      <c r="B569" s="572" t="s">
        <v>187</v>
      </c>
      <c r="C569" s="573" t="s">
        <v>187</v>
      </c>
      <c r="D569" s="580"/>
      <c r="E569" s="575"/>
      <c r="F569" s="436"/>
      <c r="G569" s="431"/>
      <c r="H569" s="430"/>
      <c r="I569" s="432"/>
      <c r="J569" s="433"/>
      <c r="K569" s="437">
        <f t="shared" si="178"/>
        <v>0</v>
      </c>
      <c r="L569" s="435" t="s">
        <v>614</v>
      </c>
      <c r="M569" s="576"/>
      <c r="N569" s="576">
        <f t="shared" si="165"/>
        <v>0</v>
      </c>
      <c r="O569" s="577">
        <f t="shared" si="174"/>
        <v>0</v>
      </c>
      <c r="P569" s="578">
        <f t="shared" si="175"/>
        <v>0</v>
      </c>
      <c r="Q569" s="765"/>
      <c r="R569" s="576">
        <f t="shared" si="176"/>
        <v>0</v>
      </c>
      <c r="S569" s="576">
        <f t="shared" si="167"/>
        <v>0</v>
      </c>
      <c r="T569" s="577">
        <f t="shared" si="172"/>
        <v>0</v>
      </c>
      <c r="U569" s="578">
        <f t="shared" si="173"/>
        <v>0</v>
      </c>
      <c r="V569" s="579"/>
      <c r="W569" s="566"/>
      <c r="X569" s="586" t="str">
        <f t="shared" si="170"/>
        <v/>
      </c>
      <c r="Y569" s="586" t="str">
        <f t="shared" si="143"/>
        <v/>
      </c>
      <c r="Z569" s="586" t="str">
        <f t="shared" si="147"/>
        <v/>
      </c>
    </row>
    <row r="570" spans="1:26" ht="12" hidden="1" thickBot="1" x14ac:dyDescent="0.25">
      <c r="A570" s="652" t="s">
        <v>187</v>
      </c>
      <c r="B570" s="572" t="s">
        <v>187</v>
      </c>
      <c r="C570" s="573" t="s">
        <v>187</v>
      </c>
      <c r="D570" s="580"/>
      <c r="E570" s="575"/>
      <c r="F570" s="436"/>
      <c r="G570" s="431"/>
      <c r="H570" s="430"/>
      <c r="I570" s="432"/>
      <c r="J570" s="433"/>
      <c r="K570" s="437">
        <f t="shared" si="178"/>
        <v>0</v>
      </c>
      <c r="L570" s="435" t="s">
        <v>614</v>
      </c>
      <c r="M570" s="576"/>
      <c r="N570" s="576">
        <f t="shared" si="165"/>
        <v>0</v>
      </c>
      <c r="O570" s="577">
        <f t="shared" si="174"/>
        <v>0</v>
      </c>
      <c r="P570" s="578">
        <f t="shared" si="175"/>
        <v>0</v>
      </c>
      <c r="Q570" s="765"/>
      <c r="R570" s="576">
        <f t="shared" si="176"/>
        <v>0</v>
      </c>
      <c r="S570" s="576">
        <f t="shared" si="167"/>
        <v>0</v>
      </c>
      <c r="T570" s="577">
        <f t="shared" si="172"/>
        <v>0</v>
      </c>
      <c r="U570" s="578">
        <f t="shared" si="173"/>
        <v>0</v>
      </c>
      <c r="V570" s="579"/>
      <c r="W570" s="566"/>
      <c r="X570" s="586" t="str">
        <f t="shared" si="170"/>
        <v/>
      </c>
      <c r="Y570" s="586" t="str">
        <f t="shared" si="143"/>
        <v/>
      </c>
      <c r="Z570" s="586" t="str">
        <f t="shared" si="147"/>
        <v/>
      </c>
    </row>
    <row r="571" spans="1:26" ht="12" hidden="1" thickBot="1" x14ac:dyDescent="0.25">
      <c r="A571" s="652" t="s">
        <v>187</v>
      </c>
      <c r="B571" s="572" t="s">
        <v>187</v>
      </c>
      <c r="C571" s="573" t="s">
        <v>187</v>
      </c>
      <c r="D571" s="580"/>
      <c r="E571" s="575"/>
      <c r="F571" s="436"/>
      <c r="G571" s="431"/>
      <c r="H571" s="430"/>
      <c r="I571" s="432"/>
      <c r="J571" s="433"/>
      <c r="K571" s="437">
        <f t="shared" si="178"/>
        <v>0</v>
      </c>
      <c r="L571" s="435" t="s">
        <v>614</v>
      </c>
      <c r="M571" s="576"/>
      <c r="N571" s="576">
        <f t="shared" si="165"/>
        <v>0</v>
      </c>
      <c r="O571" s="577">
        <f t="shared" si="174"/>
        <v>0</v>
      </c>
      <c r="P571" s="578">
        <f t="shared" si="175"/>
        <v>0</v>
      </c>
      <c r="Q571" s="765"/>
      <c r="R571" s="576">
        <f t="shared" si="176"/>
        <v>0</v>
      </c>
      <c r="S571" s="576">
        <f t="shared" si="167"/>
        <v>0</v>
      </c>
      <c r="T571" s="577">
        <f t="shared" si="172"/>
        <v>0</v>
      </c>
      <c r="U571" s="578">
        <f t="shared" si="173"/>
        <v>0</v>
      </c>
      <c r="V571" s="579"/>
      <c r="W571" s="566"/>
      <c r="X571" s="586" t="str">
        <f t="shared" si="170"/>
        <v/>
      </c>
      <c r="Y571" s="586" t="str">
        <f t="shared" si="143"/>
        <v/>
      </c>
      <c r="Z571" s="586" t="str">
        <f t="shared" si="147"/>
        <v/>
      </c>
    </row>
    <row r="572" spans="1:26" ht="12" hidden="1" thickBot="1" x14ac:dyDescent="0.25">
      <c r="A572" s="652" t="s">
        <v>187</v>
      </c>
      <c r="B572" s="572" t="s">
        <v>187</v>
      </c>
      <c r="C572" s="573" t="s">
        <v>187</v>
      </c>
      <c r="D572" s="580"/>
      <c r="E572" s="575"/>
      <c r="F572" s="436"/>
      <c r="G572" s="431"/>
      <c r="H572" s="430"/>
      <c r="I572" s="432"/>
      <c r="J572" s="433"/>
      <c r="K572" s="437">
        <f t="shared" si="178"/>
        <v>0</v>
      </c>
      <c r="L572" s="435" t="s">
        <v>614</v>
      </c>
      <c r="M572" s="576"/>
      <c r="N572" s="576">
        <f t="shared" si="165"/>
        <v>0</v>
      </c>
      <c r="O572" s="577">
        <f t="shared" si="174"/>
        <v>0</v>
      </c>
      <c r="P572" s="578">
        <f t="shared" si="175"/>
        <v>0</v>
      </c>
      <c r="Q572" s="765"/>
      <c r="R572" s="576">
        <f t="shared" si="176"/>
        <v>0</v>
      </c>
      <c r="S572" s="576">
        <f t="shared" si="167"/>
        <v>0</v>
      </c>
      <c r="T572" s="577">
        <f t="shared" si="172"/>
        <v>0</v>
      </c>
      <c r="U572" s="578">
        <f t="shared" si="173"/>
        <v>0</v>
      </c>
      <c r="V572" s="579"/>
      <c r="W572" s="566"/>
      <c r="X572" s="586" t="str">
        <f t="shared" si="170"/>
        <v/>
      </c>
      <c r="Y572" s="586" t="str">
        <f t="shared" si="143"/>
        <v/>
      </c>
      <c r="Z572" s="586" t="str">
        <f t="shared" si="147"/>
        <v/>
      </c>
    </row>
    <row r="573" spans="1:26" ht="12" hidden="1" thickBot="1" x14ac:dyDescent="0.25">
      <c r="A573" s="652" t="s">
        <v>187</v>
      </c>
      <c r="B573" s="572" t="s">
        <v>187</v>
      </c>
      <c r="C573" s="573" t="s">
        <v>187</v>
      </c>
      <c r="D573" s="580"/>
      <c r="E573" s="575"/>
      <c r="F573" s="436"/>
      <c r="G573" s="431"/>
      <c r="H573" s="430"/>
      <c r="I573" s="432"/>
      <c r="J573" s="433"/>
      <c r="K573" s="437">
        <f t="shared" si="178"/>
        <v>0</v>
      </c>
      <c r="L573" s="435" t="s">
        <v>614</v>
      </c>
      <c r="M573" s="576"/>
      <c r="N573" s="576">
        <f t="shared" si="165"/>
        <v>0</v>
      </c>
      <c r="O573" s="577">
        <f t="shared" si="174"/>
        <v>0</v>
      </c>
      <c r="P573" s="578">
        <f t="shared" si="175"/>
        <v>0</v>
      </c>
      <c r="Q573" s="765"/>
      <c r="R573" s="576">
        <f t="shared" si="176"/>
        <v>0</v>
      </c>
      <c r="S573" s="576">
        <f t="shared" si="167"/>
        <v>0</v>
      </c>
      <c r="T573" s="577">
        <f t="shared" si="172"/>
        <v>0</v>
      </c>
      <c r="U573" s="578">
        <f t="shared" si="173"/>
        <v>0</v>
      </c>
      <c r="V573" s="579"/>
      <c r="W573" s="566"/>
      <c r="X573" s="586" t="str">
        <f t="shared" si="170"/>
        <v/>
      </c>
      <c r="Y573" s="586" t="str">
        <f t="shared" si="143"/>
        <v/>
      </c>
      <c r="Z573" s="586" t="str">
        <f t="shared" si="147"/>
        <v/>
      </c>
    </row>
    <row r="574" spans="1:26" ht="12" hidden="1" thickBot="1" x14ac:dyDescent="0.25">
      <c r="A574" s="652" t="s">
        <v>187</v>
      </c>
      <c r="B574" s="572" t="s">
        <v>187</v>
      </c>
      <c r="C574" s="573" t="s">
        <v>187</v>
      </c>
      <c r="D574" s="580"/>
      <c r="E574" s="575"/>
      <c r="F574" s="436"/>
      <c r="G574" s="431"/>
      <c r="H574" s="430"/>
      <c r="I574" s="432"/>
      <c r="J574" s="433"/>
      <c r="K574" s="437">
        <f t="shared" si="178"/>
        <v>0</v>
      </c>
      <c r="L574" s="435" t="s">
        <v>614</v>
      </c>
      <c r="M574" s="576"/>
      <c r="N574" s="576">
        <f t="shared" si="165"/>
        <v>0</v>
      </c>
      <c r="O574" s="577">
        <f t="shared" si="174"/>
        <v>0</v>
      </c>
      <c r="P574" s="578">
        <f t="shared" si="175"/>
        <v>0</v>
      </c>
      <c r="Q574" s="765"/>
      <c r="R574" s="576">
        <f t="shared" si="176"/>
        <v>0</v>
      </c>
      <c r="S574" s="576">
        <f t="shared" si="167"/>
        <v>0</v>
      </c>
      <c r="T574" s="577">
        <f t="shared" si="172"/>
        <v>0</v>
      </c>
      <c r="U574" s="578">
        <f t="shared" si="173"/>
        <v>0</v>
      </c>
      <c r="V574" s="579"/>
      <c r="W574" s="566"/>
      <c r="X574" s="586" t="str">
        <f t="shared" si="170"/>
        <v/>
      </c>
      <c r="Y574" s="586" t="str">
        <f t="shared" si="143"/>
        <v/>
      </c>
      <c r="Z574" s="586" t="str">
        <f t="shared" si="147"/>
        <v/>
      </c>
    </row>
    <row r="575" spans="1:26" ht="12" hidden="1" thickBot="1" x14ac:dyDescent="0.25">
      <c r="A575" s="652" t="s">
        <v>187</v>
      </c>
      <c r="B575" s="572" t="s">
        <v>187</v>
      </c>
      <c r="C575" s="573" t="s">
        <v>187</v>
      </c>
      <c r="D575" s="580"/>
      <c r="E575" s="575"/>
      <c r="F575" s="436"/>
      <c r="G575" s="431"/>
      <c r="H575" s="430"/>
      <c r="I575" s="432"/>
      <c r="J575" s="433"/>
      <c r="K575" s="437">
        <f t="shared" si="178"/>
        <v>0</v>
      </c>
      <c r="L575" s="435" t="s">
        <v>614</v>
      </c>
      <c r="M575" s="576"/>
      <c r="N575" s="576">
        <f t="shared" si="165"/>
        <v>0</v>
      </c>
      <c r="O575" s="577">
        <f t="shared" si="174"/>
        <v>0</v>
      </c>
      <c r="P575" s="578">
        <f t="shared" si="175"/>
        <v>0</v>
      </c>
      <c r="Q575" s="765"/>
      <c r="R575" s="576">
        <f t="shared" si="176"/>
        <v>0</v>
      </c>
      <c r="S575" s="576">
        <f t="shared" si="167"/>
        <v>0</v>
      </c>
      <c r="T575" s="577">
        <f t="shared" si="172"/>
        <v>0</v>
      </c>
      <c r="U575" s="578">
        <f t="shared" si="173"/>
        <v>0</v>
      </c>
      <c r="V575" s="579"/>
      <c r="W575" s="566"/>
      <c r="X575" s="586" t="str">
        <f t="shared" si="170"/>
        <v/>
      </c>
      <c r="Y575" s="586" t="str">
        <f t="shared" si="143"/>
        <v/>
      </c>
      <c r="Z575" s="586" t="str">
        <f t="shared" si="147"/>
        <v/>
      </c>
    </row>
    <row r="576" spans="1:26" ht="12" hidden="1" thickBot="1" x14ac:dyDescent="0.25">
      <c r="A576" s="652" t="s">
        <v>187</v>
      </c>
      <c r="B576" s="572" t="s">
        <v>187</v>
      </c>
      <c r="C576" s="573" t="s">
        <v>187</v>
      </c>
      <c r="D576" s="580"/>
      <c r="E576" s="575"/>
      <c r="F576" s="436"/>
      <c r="G576" s="431"/>
      <c r="H576" s="430"/>
      <c r="I576" s="432"/>
      <c r="J576" s="433"/>
      <c r="K576" s="437">
        <f t="shared" si="178"/>
        <v>0</v>
      </c>
      <c r="L576" s="435" t="s">
        <v>614</v>
      </c>
      <c r="M576" s="576"/>
      <c r="N576" s="576">
        <f t="shared" si="165"/>
        <v>0</v>
      </c>
      <c r="O576" s="577">
        <f t="shared" si="174"/>
        <v>0</v>
      </c>
      <c r="P576" s="578">
        <f t="shared" si="175"/>
        <v>0</v>
      </c>
      <c r="Q576" s="765"/>
      <c r="R576" s="576">
        <f t="shared" si="176"/>
        <v>0</v>
      </c>
      <c r="S576" s="576">
        <f t="shared" si="167"/>
        <v>0</v>
      </c>
      <c r="T576" s="577">
        <f t="shared" si="172"/>
        <v>0</v>
      </c>
      <c r="U576" s="578">
        <f t="shared" si="173"/>
        <v>0</v>
      </c>
      <c r="V576" s="579"/>
      <c r="W576" s="566"/>
      <c r="X576" s="586" t="str">
        <f t="shared" si="170"/>
        <v/>
      </c>
      <c r="Y576" s="586" t="str">
        <f t="shared" si="143"/>
        <v/>
      </c>
      <c r="Z576" s="586" t="str">
        <f t="shared" si="147"/>
        <v/>
      </c>
    </row>
    <row r="577" spans="1:26" ht="12" hidden="1" thickBot="1" x14ac:dyDescent="0.25">
      <c r="A577" s="652" t="s">
        <v>187</v>
      </c>
      <c r="B577" s="572" t="s">
        <v>187</v>
      </c>
      <c r="C577" s="573" t="s">
        <v>187</v>
      </c>
      <c r="D577" s="580"/>
      <c r="E577" s="575"/>
      <c r="F577" s="436"/>
      <c r="G577" s="431"/>
      <c r="H577" s="430"/>
      <c r="I577" s="432"/>
      <c r="J577" s="433"/>
      <c r="K577" s="437">
        <f t="shared" si="178"/>
        <v>0</v>
      </c>
      <c r="L577" s="435" t="s">
        <v>614</v>
      </c>
      <c r="M577" s="576"/>
      <c r="N577" s="576">
        <f t="shared" si="165"/>
        <v>0</v>
      </c>
      <c r="O577" s="577">
        <f t="shared" si="174"/>
        <v>0</v>
      </c>
      <c r="P577" s="578">
        <f t="shared" si="175"/>
        <v>0</v>
      </c>
      <c r="Q577" s="765"/>
      <c r="R577" s="576">
        <f t="shared" si="176"/>
        <v>0</v>
      </c>
      <c r="S577" s="576">
        <f t="shared" si="167"/>
        <v>0</v>
      </c>
      <c r="T577" s="577">
        <f t="shared" si="172"/>
        <v>0</v>
      </c>
      <c r="U577" s="578">
        <f t="shared" si="173"/>
        <v>0</v>
      </c>
      <c r="V577" s="579"/>
      <c r="W577" s="566"/>
      <c r="X577" s="586" t="str">
        <f t="shared" si="170"/>
        <v/>
      </c>
      <c r="Y577" s="586" t="str">
        <f t="shared" si="143"/>
        <v/>
      </c>
      <c r="Z577" s="586" t="str">
        <f t="shared" si="147"/>
        <v/>
      </c>
    </row>
    <row r="578" spans="1:26" ht="12" hidden="1" thickBot="1" x14ac:dyDescent="0.25">
      <c r="A578" s="652" t="s">
        <v>187</v>
      </c>
      <c r="B578" s="572" t="s">
        <v>187</v>
      </c>
      <c r="C578" s="573" t="s">
        <v>187</v>
      </c>
      <c r="D578" s="580"/>
      <c r="E578" s="575"/>
      <c r="F578" s="436"/>
      <c r="G578" s="431"/>
      <c r="H578" s="430"/>
      <c r="I578" s="432"/>
      <c r="J578" s="433"/>
      <c r="K578" s="437">
        <f t="shared" si="178"/>
        <v>0</v>
      </c>
      <c r="L578" s="435" t="s">
        <v>614</v>
      </c>
      <c r="M578" s="576"/>
      <c r="N578" s="576">
        <f t="shared" si="165"/>
        <v>0</v>
      </c>
      <c r="O578" s="577">
        <f t="shared" si="174"/>
        <v>0</v>
      </c>
      <c r="P578" s="578">
        <f t="shared" si="175"/>
        <v>0</v>
      </c>
      <c r="Q578" s="765"/>
      <c r="R578" s="576">
        <f t="shared" si="176"/>
        <v>0</v>
      </c>
      <c r="S578" s="576">
        <f t="shared" si="167"/>
        <v>0</v>
      </c>
      <c r="T578" s="577">
        <f t="shared" si="172"/>
        <v>0</v>
      </c>
      <c r="U578" s="578">
        <f t="shared" si="173"/>
        <v>0</v>
      </c>
      <c r="V578" s="579"/>
      <c r="W578" s="566"/>
      <c r="X578" s="586" t="str">
        <f t="shared" si="170"/>
        <v/>
      </c>
      <c r="Y578" s="586" t="str">
        <f t="shared" si="143"/>
        <v/>
      </c>
      <c r="Z578" s="586" t="str">
        <f t="shared" si="147"/>
        <v/>
      </c>
    </row>
    <row r="579" spans="1:26" ht="12" hidden="1" thickBot="1" x14ac:dyDescent="0.25">
      <c r="A579" s="652" t="s">
        <v>187</v>
      </c>
      <c r="B579" s="572" t="s">
        <v>187</v>
      </c>
      <c r="C579" s="573" t="s">
        <v>187</v>
      </c>
      <c r="D579" s="580"/>
      <c r="E579" s="575"/>
      <c r="F579" s="436"/>
      <c r="G579" s="431"/>
      <c r="H579" s="430"/>
      <c r="I579" s="432"/>
      <c r="J579" s="433"/>
      <c r="K579" s="437">
        <f t="shared" si="178"/>
        <v>0</v>
      </c>
      <c r="L579" s="435" t="s">
        <v>614</v>
      </c>
      <c r="M579" s="576"/>
      <c r="N579" s="576">
        <f t="shared" si="165"/>
        <v>0</v>
      </c>
      <c r="O579" s="577">
        <f t="shared" si="174"/>
        <v>0</v>
      </c>
      <c r="P579" s="578">
        <f t="shared" si="175"/>
        <v>0</v>
      </c>
      <c r="Q579" s="765"/>
      <c r="R579" s="576">
        <f t="shared" si="176"/>
        <v>0</v>
      </c>
      <c r="S579" s="576">
        <f t="shared" si="167"/>
        <v>0</v>
      </c>
      <c r="T579" s="577">
        <f t="shared" si="172"/>
        <v>0</v>
      </c>
      <c r="U579" s="578">
        <f t="shared" si="173"/>
        <v>0</v>
      </c>
      <c r="V579" s="579"/>
      <c r="W579" s="566"/>
      <c r="X579" s="586" t="str">
        <f t="shared" si="170"/>
        <v/>
      </c>
      <c r="Y579" s="586" t="str">
        <f t="shared" si="143"/>
        <v/>
      </c>
      <c r="Z579" s="586" t="str">
        <f t="shared" si="147"/>
        <v/>
      </c>
    </row>
    <row r="580" spans="1:26" ht="12" hidden="1" thickBot="1" x14ac:dyDescent="0.25">
      <c r="A580" s="652" t="s">
        <v>187</v>
      </c>
      <c r="B580" s="572" t="s">
        <v>187</v>
      </c>
      <c r="C580" s="573" t="s">
        <v>187</v>
      </c>
      <c r="D580" s="580"/>
      <c r="E580" s="575"/>
      <c r="F580" s="436"/>
      <c r="G580" s="431"/>
      <c r="H580" s="430"/>
      <c r="I580" s="432"/>
      <c r="J580" s="433"/>
      <c r="K580" s="437">
        <f t="shared" si="178"/>
        <v>0</v>
      </c>
      <c r="L580" s="435" t="s">
        <v>614</v>
      </c>
      <c r="M580" s="576"/>
      <c r="N580" s="576">
        <f t="shared" si="165"/>
        <v>0</v>
      </c>
      <c r="O580" s="577">
        <f t="shared" si="174"/>
        <v>0</v>
      </c>
      <c r="P580" s="578">
        <f t="shared" si="175"/>
        <v>0</v>
      </c>
      <c r="Q580" s="765"/>
      <c r="R580" s="576">
        <f t="shared" si="176"/>
        <v>0</v>
      </c>
      <c r="S580" s="576">
        <f t="shared" si="167"/>
        <v>0</v>
      </c>
      <c r="T580" s="577">
        <f t="shared" si="172"/>
        <v>0</v>
      </c>
      <c r="U580" s="578">
        <f t="shared" si="173"/>
        <v>0</v>
      </c>
      <c r="V580" s="579"/>
      <c r="W580" s="566"/>
      <c r="X580" s="586" t="str">
        <f t="shared" si="170"/>
        <v/>
      </c>
      <c r="Y580" s="586" t="str">
        <f t="shared" si="143"/>
        <v/>
      </c>
      <c r="Z580" s="586" t="str">
        <f t="shared" si="147"/>
        <v/>
      </c>
    </row>
    <row r="581" spans="1:26" ht="12" hidden="1" thickBot="1" x14ac:dyDescent="0.25">
      <c r="A581" s="652" t="s">
        <v>187</v>
      </c>
      <c r="B581" s="572" t="s">
        <v>187</v>
      </c>
      <c r="C581" s="573" t="s">
        <v>187</v>
      </c>
      <c r="D581" s="580"/>
      <c r="E581" s="575"/>
      <c r="F581" s="436"/>
      <c r="G581" s="431"/>
      <c r="H581" s="430"/>
      <c r="I581" s="432"/>
      <c r="J581" s="433"/>
      <c r="K581" s="437">
        <f t="shared" si="178"/>
        <v>0</v>
      </c>
      <c r="L581" s="435" t="s">
        <v>614</v>
      </c>
      <c r="M581" s="576"/>
      <c r="N581" s="576">
        <f t="shared" si="165"/>
        <v>0</v>
      </c>
      <c r="O581" s="577">
        <f t="shared" si="174"/>
        <v>0</v>
      </c>
      <c r="P581" s="578">
        <f t="shared" si="175"/>
        <v>0</v>
      </c>
      <c r="Q581" s="765"/>
      <c r="R581" s="576">
        <f t="shared" si="176"/>
        <v>0</v>
      </c>
      <c r="S581" s="576">
        <f t="shared" si="167"/>
        <v>0</v>
      </c>
      <c r="T581" s="577">
        <f t="shared" si="172"/>
        <v>0</v>
      </c>
      <c r="U581" s="578">
        <f t="shared" si="173"/>
        <v>0</v>
      </c>
      <c r="V581" s="579"/>
      <c r="W581" s="566"/>
      <c r="X581" s="586" t="str">
        <f t="shared" si="170"/>
        <v/>
      </c>
      <c r="Y581" s="586" t="str">
        <f t="shared" si="143"/>
        <v/>
      </c>
      <c r="Z581" s="586" t="str">
        <f t="shared" si="147"/>
        <v/>
      </c>
    </row>
    <row r="582" spans="1:26" ht="12" hidden="1" thickBot="1" x14ac:dyDescent="0.25">
      <c r="A582" s="652" t="s">
        <v>187</v>
      </c>
      <c r="B582" s="581" t="s">
        <v>187</v>
      </c>
      <c r="C582" s="582" t="s">
        <v>187</v>
      </c>
      <c r="D582" s="583"/>
      <c r="E582" s="584"/>
      <c r="F582" s="438"/>
      <c r="G582" s="439"/>
      <c r="H582" s="440"/>
      <c r="I582" s="441"/>
      <c r="J582" s="442"/>
      <c r="K582" s="443">
        <f t="shared" si="178"/>
        <v>0</v>
      </c>
      <c r="L582" s="444" t="s">
        <v>614</v>
      </c>
      <c r="M582" s="588"/>
      <c r="N582" s="576">
        <f t="shared" si="165"/>
        <v>0</v>
      </c>
      <c r="O582" s="585">
        <f t="shared" si="174"/>
        <v>0</v>
      </c>
      <c r="P582" s="660">
        <f t="shared" si="175"/>
        <v>0</v>
      </c>
      <c r="Q582" s="765"/>
      <c r="R582" s="576">
        <f t="shared" si="176"/>
        <v>0</v>
      </c>
      <c r="S582" s="576">
        <f t="shared" si="167"/>
        <v>0</v>
      </c>
      <c r="T582" s="585">
        <f t="shared" si="172"/>
        <v>0</v>
      </c>
      <c r="U582" s="660">
        <f t="shared" si="173"/>
        <v>0</v>
      </c>
      <c r="V582" s="579"/>
      <c r="W582" s="566"/>
      <c r="X582" s="586" t="str">
        <f t="shared" si="170"/>
        <v/>
      </c>
      <c r="Y582" s="586" t="str">
        <f t="shared" si="143"/>
        <v/>
      </c>
      <c r="Z582" s="586" t="str">
        <f t="shared" si="147"/>
        <v/>
      </c>
    </row>
    <row r="583" spans="1:26" ht="12" thickBot="1" x14ac:dyDescent="0.25">
      <c r="A583" s="567" t="s">
        <v>227</v>
      </c>
      <c r="B583" s="664" t="s">
        <v>227</v>
      </c>
      <c r="C583" s="665"/>
      <c r="D583" s="666" t="s">
        <v>668</v>
      </c>
      <c r="E583" s="631"/>
      <c r="F583" s="632"/>
      <c r="G583" s="633"/>
      <c r="H583" s="634"/>
      <c r="I583" s="409"/>
      <c r="J583" s="409"/>
      <c r="K583" s="409"/>
      <c r="L583" s="409" t="s">
        <v>614</v>
      </c>
      <c r="M583" s="634"/>
      <c r="N583" s="797"/>
      <c r="O583" s="409">
        <f t="shared" si="174"/>
        <v>0</v>
      </c>
      <c r="P583" s="635">
        <f t="shared" si="175"/>
        <v>0</v>
      </c>
      <c r="Q583" s="635">
        <f>SUM(P584:P779)</f>
        <v>20288.37</v>
      </c>
      <c r="R583" s="634"/>
      <c r="S583" s="409"/>
      <c r="T583" s="409">
        <f t="shared" si="172"/>
        <v>0</v>
      </c>
      <c r="U583" s="635">
        <f t="shared" si="173"/>
        <v>0</v>
      </c>
      <c r="V583" s="636">
        <f>SUM(U584:U779)</f>
        <v>20288.37</v>
      </c>
      <c r="W583" s="637" t="str">
        <f>IF(OR(Q583&gt;0,V583&gt;0),"X","")</f>
        <v>X</v>
      </c>
      <c r="X583" s="586" t="str">
        <f t="shared" si="170"/>
        <v>x</v>
      </c>
      <c r="Y583" s="586" t="str">
        <f t="shared" si="143"/>
        <v>x</v>
      </c>
      <c r="Z583" s="586" t="str">
        <f t="shared" si="147"/>
        <v>x</v>
      </c>
    </row>
    <row r="584" spans="1:26" hidden="1" x14ac:dyDescent="0.2">
      <c r="A584" s="567">
        <v>810250</v>
      </c>
      <c r="B584" s="644" t="s">
        <v>1584</v>
      </c>
      <c r="C584" s="645" t="s">
        <v>206</v>
      </c>
      <c r="D584" s="422" t="s">
        <v>488</v>
      </c>
      <c r="E584" s="423"/>
      <c r="F584" s="424">
        <v>10</v>
      </c>
      <c r="G584" s="425">
        <f>ROUND(0.017*2.34,4)</f>
        <v>3.9800000000000002E-2</v>
      </c>
      <c r="H584" s="663">
        <f t="shared" ref="H584:H587" si="179">IF(F584&lt;=30,(1.07*F584+2.68)*G584,((1.07*30+2.68)+1.07*(F584-30))*G584)</f>
        <v>0.53252400000000011</v>
      </c>
      <c r="I584" s="420">
        <v>19.262602000000001</v>
      </c>
      <c r="J584" s="420">
        <f t="shared" ref="J584:J593" si="180">IF(ISBLANK(I584),"",SUM(H584:I584))</f>
        <v>19.795126</v>
      </c>
      <c r="K584" s="421">
        <f t="shared" ref="K584:K647" si="181">IF(ISBLANK(I584),0,ROUND(J584*(1+$F$10)*(1+$F$11*E584),2))</f>
        <v>23.52</v>
      </c>
      <c r="L584" s="647" t="s">
        <v>19</v>
      </c>
      <c r="M584" s="576"/>
      <c r="N584" s="576">
        <f t="shared" si="165"/>
        <v>0</v>
      </c>
      <c r="O584" s="642">
        <f t="shared" si="174"/>
        <v>0</v>
      </c>
      <c r="P584" s="659">
        <f t="shared" si="175"/>
        <v>0</v>
      </c>
      <c r="Q584" s="765"/>
      <c r="R584" s="576">
        <f t="shared" si="176"/>
        <v>0</v>
      </c>
      <c r="S584" s="576">
        <f t="shared" si="167"/>
        <v>0</v>
      </c>
      <c r="T584" s="577">
        <f t="shared" si="172"/>
        <v>0</v>
      </c>
      <c r="U584" s="578">
        <f t="shared" si="173"/>
        <v>0</v>
      </c>
      <c r="V584" s="579"/>
      <c r="W584" s="566"/>
      <c r="X584" s="586" t="str">
        <f t="shared" si="170"/>
        <v/>
      </c>
      <c r="Y584" s="586" t="str">
        <f t="shared" si="143"/>
        <v/>
      </c>
      <c r="Z584" s="586" t="str">
        <f t="shared" si="147"/>
        <v/>
      </c>
    </row>
    <row r="585" spans="1:26" hidden="1" x14ac:dyDescent="0.2">
      <c r="A585" s="567">
        <v>810250</v>
      </c>
      <c r="B585" s="644" t="s">
        <v>1585</v>
      </c>
      <c r="C585" s="645" t="s">
        <v>206</v>
      </c>
      <c r="D585" s="422" t="s">
        <v>616</v>
      </c>
      <c r="E585" s="423"/>
      <c r="F585" s="424">
        <v>10</v>
      </c>
      <c r="G585" s="425">
        <f>ROUND(0.01125*2.34,4)</f>
        <v>2.63E-2</v>
      </c>
      <c r="H585" s="663">
        <f t="shared" si="179"/>
        <v>0.35189400000000004</v>
      </c>
      <c r="I585" s="420">
        <v>12.672704</v>
      </c>
      <c r="J585" s="420">
        <f t="shared" si="180"/>
        <v>13.024597999999999</v>
      </c>
      <c r="K585" s="421">
        <f t="shared" si="181"/>
        <v>15.47</v>
      </c>
      <c r="L585" s="647" t="s">
        <v>19</v>
      </c>
      <c r="M585" s="576"/>
      <c r="N585" s="576">
        <f t="shared" si="165"/>
        <v>0</v>
      </c>
      <c r="O585" s="577">
        <f t="shared" si="174"/>
        <v>0</v>
      </c>
      <c r="P585" s="578">
        <f t="shared" si="175"/>
        <v>0</v>
      </c>
      <c r="Q585" s="765"/>
      <c r="R585" s="576">
        <f t="shared" si="176"/>
        <v>0</v>
      </c>
      <c r="S585" s="576">
        <f t="shared" si="167"/>
        <v>0</v>
      </c>
      <c r="T585" s="577">
        <f t="shared" si="172"/>
        <v>0</v>
      </c>
      <c r="U585" s="578">
        <f t="shared" si="173"/>
        <v>0</v>
      </c>
      <c r="V585" s="579"/>
      <c r="W585" s="566"/>
      <c r="X585" s="586" t="str">
        <f t="shared" si="170"/>
        <v/>
      </c>
      <c r="Y585" s="586" t="str">
        <f t="shared" si="143"/>
        <v/>
      </c>
      <c r="Z585" s="586" t="str">
        <f t="shared" si="147"/>
        <v/>
      </c>
    </row>
    <row r="586" spans="1:26" hidden="1" x14ac:dyDescent="0.2">
      <c r="A586" s="567">
        <v>810250</v>
      </c>
      <c r="B586" s="644" t="s">
        <v>1586</v>
      </c>
      <c r="C586" s="645" t="s">
        <v>206</v>
      </c>
      <c r="D586" s="422" t="s">
        <v>490</v>
      </c>
      <c r="E586" s="423"/>
      <c r="F586" s="424">
        <v>10</v>
      </c>
      <c r="G586" s="425">
        <f>ROUND(0.014*2.34,4)</f>
        <v>3.2800000000000003E-2</v>
      </c>
      <c r="H586" s="663">
        <f t="shared" si="179"/>
        <v>0.43886400000000009</v>
      </c>
      <c r="I586" s="420">
        <v>15.770599499999998</v>
      </c>
      <c r="J586" s="420">
        <f t="shared" si="180"/>
        <v>16.209463499999998</v>
      </c>
      <c r="K586" s="421">
        <f t="shared" si="181"/>
        <v>19.260000000000002</v>
      </c>
      <c r="L586" s="647" t="s">
        <v>19</v>
      </c>
      <c r="M586" s="576"/>
      <c r="N586" s="576">
        <f t="shared" si="165"/>
        <v>0</v>
      </c>
      <c r="O586" s="577">
        <f t="shared" si="174"/>
        <v>0</v>
      </c>
      <c r="P586" s="578">
        <f t="shared" si="175"/>
        <v>0</v>
      </c>
      <c r="Q586" s="765"/>
      <c r="R586" s="576">
        <f t="shared" si="176"/>
        <v>0</v>
      </c>
      <c r="S586" s="576">
        <f t="shared" si="167"/>
        <v>0</v>
      </c>
      <c r="T586" s="577">
        <f t="shared" si="172"/>
        <v>0</v>
      </c>
      <c r="U586" s="578">
        <f t="shared" si="173"/>
        <v>0</v>
      </c>
      <c r="V586" s="579"/>
      <c r="W586" s="566"/>
      <c r="X586" s="586" t="str">
        <f t="shared" si="170"/>
        <v/>
      </c>
      <c r="Y586" s="586" t="str">
        <f t="shared" si="143"/>
        <v/>
      </c>
      <c r="Z586" s="586" t="str">
        <f t="shared" si="147"/>
        <v/>
      </c>
    </row>
    <row r="587" spans="1:26" hidden="1" x14ac:dyDescent="0.2">
      <c r="A587" s="567" t="s">
        <v>2063</v>
      </c>
      <c r="B587" s="644" t="s">
        <v>1587</v>
      </c>
      <c r="C587" s="645" t="s">
        <v>484</v>
      </c>
      <c r="D587" s="422" t="s">
        <v>491</v>
      </c>
      <c r="E587" s="423"/>
      <c r="F587" s="424">
        <v>10</v>
      </c>
      <c r="G587" s="425">
        <f>ROUND(0.012*1.8,4)</f>
        <v>2.1600000000000001E-2</v>
      </c>
      <c r="H587" s="663">
        <f t="shared" si="179"/>
        <v>0.28900800000000004</v>
      </c>
      <c r="I587" s="420">
        <v>41.73</v>
      </c>
      <c r="J587" s="420">
        <f t="shared" si="180"/>
        <v>42.019007999999999</v>
      </c>
      <c r="K587" s="421">
        <f t="shared" si="181"/>
        <v>49.92</v>
      </c>
      <c r="L587" s="647" t="s">
        <v>19</v>
      </c>
      <c r="M587" s="576"/>
      <c r="N587" s="576">
        <f t="shared" si="165"/>
        <v>0</v>
      </c>
      <c r="O587" s="577">
        <f t="shared" si="174"/>
        <v>0</v>
      </c>
      <c r="P587" s="578">
        <f t="shared" si="175"/>
        <v>0</v>
      </c>
      <c r="Q587" s="765"/>
      <c r="R587" s="576">
        <f t="shared" si="176"/>
        <v>0</v>
      </c>
      <c r="S587" s="576">
        <f t="shared" si="167"/>
        <v>0</v>
      </c>
      <c r="T587" s="577">
        <f t="shared" si="172"/>
        <v>0</v>
      </c>
      <c r="U587" s="578">
        <f t="shared" si="173"/>
        <v>0</v>
      </c>
      <c r="V587" s="579"/>
      <c r="W587" s="566"/>
      <c r="X587" s="586" t="str">
        <f t="shared" si="170"/>
        <v/>
      </c>
      <c r="Y587" s="586" t="str">
        <f t="shared" si="143"/>
        <v/>
      </c>
      <c r="Z587" s="586" t="str">
        <f t="shared" si="147"/>
        <v/>
      </c>
    </row>
    <row r="588" spans="1:26" hidden="1" x14ac:dyDescent="0.2">
      <c r="A588" s="567">
        <v>606700</v>
      </c>
      <c r="B588" s="644" t="s">
        <v>1804</v>
      </c>
      <c r="C588" s="645" t="s">
        <v>206</v>
      </c>
      <c r="D588" s="422" t="s">
        <v>273</v>
      </c>
      <c r="E588" s="423"/>
      <c r="F588" s="424">
        <v>0</v>
      </c>
      <c r="G588" s="425"/>
      <c r="H588" s="651">
        <f t="shared" ref="H588:H589" si="182">IF(F588&lt;=30,(0.87*F588+2.18)*G588,((0.87*30+2.18)+0.87*(F588-30))*G588)</f>
        <v>0</v>
      </c>
      <c r="I588" s="420">
        <v>143.94</v>
      </c>
      <c r="J588" s="420">
        <f t="shared" si="180"/>
        <v>143.94</v>
      </c>
      <c r="K588" s="421">
        <f t="shared" si="181"/>
        <v>171.02</v>
      </c>
      <c r="L588" s="647" t="s">
        <v>16</v>
      </c>
      <c r="M588" s="576"/>
      <c r="N588" s="576">
        <f t="shared" si="165"/>
        <v>0</v>
      </c>
      <c r="O588" s="577">
        <f t="shared" si="174"/>
        <v>0</v>
      </c>
      <c r="P588" s="578">
        <f t="shared" si="175"/>
        <v>0</v>
      </c>
      <c r="Q588" s="765"/>
      <c r="R588" s="576">
        <f t="shared" si="176"/>
        <v>0</v>
      </c>
      <c r="S588" s="576">
        <f t="shared" si="167"/>
        <v>0</v>
      </c>
      <c r="T588" s="577">
        <f t="shared" si="172"/>
        <v>0</v>
      </c>
      <c r="U588" s="578">
        <f t="shared" si="173"/>
        <v>0</v>
      </c>
      <c r="V588" s="579"/>
      <c r="W588" s="566"/>
      <c r="X588" s="586" t="str">
        <f t="shared" si="170"/>
        <v/>
      </c>
      <c r="Y588" s="586" t="str">
        <f t="shared" si="143"/>
        <v/>
      </c>
      <c r="Z588" s="586" t="str">
        <f t="shared" si="147"/>
        <v/>
      </c>
    </row>
    <row r="589" spans="1:26" hidden="1" x14ac:dyDescent="0.2">
      <c r="A589" s="567">
        <v>606600</v>
      </c>
      <c r="B589" s="644" t="s">
        <v>1805</v>
      </c>
      <c r="C589" s="645" t="s">
        <v>206</v>
      </c>
      <c r="D589" s="422" t="s">
        <v>820</v>
      </c>
      <c r="E589" s="423"/>
      <c r="F589" s="424">
        <v>0</v>
      </c>
      <c r="G589" s="425"/>
      <c r="H589" s="651">
        <f t="shared" si="182"/>
        <v>0</v>
      </c>
      <c r="I589" s="420">
        <v>300.33999999999997</v>
      </c>
      <c r="J589" s="420">
        <f t="shared" si="180"/>
        <v>300.33999999999997</v>
      </c>
      <c r="K589" s="421">
        <f t="shared" si="181"/>
        <v>356.83</v>
      </c>
      <c r="L589" s="647" t="s">
        <v>16</v>
      </c>
      <c r="M589" s="576"/>
      <c r="N589" s="576">
        <f t="shared" si="165"/>
        <v>0</v>
      </c>
      <c r="O589" s="577">
        <f t="shared" si="174"/>
        <v>0</v>
      </c>
      <c r="P589" s="578">
        <f t="shared" si="175"/>
        <v>0</v>
      </c>
      <c r="Q589" s="765"/>
      <c r="R589" s="576">
        <f t="shared" si="176"/>
        <v>0</v>
      </c>
      <c r="S589" s="576">
        <f t="shared" si="167"/>
        <v>0</v>
      </c>
      <c r="T589" s="577">
        <f t="shared" si="172"/>
        <v>0</v>
      </c>
      <c r="U589" s="578">
        <f t="shared" si="173"/>
        <v>0</v>
      </c>
      <c r="V589" s="579"/>
      <c r="W589" s="566"/>
      <c r="X589" s="586" t="str">
        <f t="shared" si="170"/>
        <v/>
      </c>
      <c r="Y589" s="586" t="str">
        <f t="shared" si="143"/>
        <v/>
      </c>
      <c r="Z589" s="586" t="str">
        <f t="shared" si="147"/>
        <v/>
      </c>
    </row>
    <row r="590" spans="1:26" x14ac:dyDescent="0.2">
      <c r="A590" s="671">
        <v>100576</v>
      </c>
      <c r="B590" s="644" t="s">
        <v>1806</v>
      </c>
      <c r="C590" s="645" t="s">
        <v>670</v>
      </c>
      <c r="D590" s="422" t="s">
        <v>205</v>
      </c>
      <c r="E590" s="423"/>
      <c r="F590" s="418">
        <v>0</v>
      </c>
      <c r="G590" s="425"/>
      <c r="H590" s="651">
        <f>IF(F590&lt;=30,(0.62*F590+6.29)*G590,((0.62*30+6.29)+0.62*(F590-30))*G590)</f>
        <v>0</v>
      </c>
      <c r="I590" s="420">
        <v>2.4300000000000002</v>
      </c>
      <c r="J590" s="420">
        <f t="shared" si="180"/>
        <v>2.4300000000000002</v>
      </c>
      <c r="K590" s="421">
        <f t="shared" si="181"/>
        <v>2.89</v>
      </c>
      <c r="L590" s="647" t="s">
        <v>18</v>
      </c>
      <c r="M590" s="576">
        <v>326.39999999999998</v>
      </c>
      <c r="N590" s="576">
        <f t="shared" si="165"/>
        <v>2.89</v>
      </c>
      <c r="O590" s="577">
        <f t="shared" si="174"/>
        <v>943.3</v>
      </c>
      <c r="P590" s="578">
        <f t="shared" si="175"/>
        <v>943.3</v>
      </c>
      <c r="Q590" s="765"/>
      <c r="R590" s="576">
        <f t="shared" si="176"/>
        <v>326.39999999999998</v>
      </c>
      <c r="S590" s="576">
        <f t="shared" si="167"/>
        <v>2.89</v>
      </c>
      <c r="T590" s="577">
        <f t="shared" si="172"/>
        <v>943.3</v>
      </c>
      <c r="U590" s="578">
        <f t="shared" si="173"/>
        <v>943.3</v>
      </c>
      <c r="V590" s="579"/>
      <c r="W590" s="566"/>
      <c r="X590" s="586" t="str">
        <f t="shared" si="170"/>
        <v>x</v>
      </c>
      <c r="Y590" s="586" t="str">
        <f t="shared" si="143"/>
        <v>x</v>
      </c>
      <c r="Z590" s="586" t="str">
        <f t="shared" ref="Z590:Z656" si="183">IF(W590="X","x",IF(U590&gt;0,"x",""))</f>
        <v>x</v>
      </c>
    </row>
    <row r="591" spans="1:26" hidden="1" x14ac:dyDescent="0.2">
      <c r="A591" s="567">
        <v>532500</v>
      </c>
      <c r="B591" s="644" t="s">
        <v>1807</v>
      </c>
      <c r="C591" s="645" t="s">
        <v>206</v>
      </c>
      <c r="D591" s="451" t="s">
        <v>340</v>
      </c>
      <c r="E591" s="423"/>
      <c r="F591" s="424">
        <v>20</v>
      </c>
      <c r="G591" s="425">
        <v>1.7250000000000001</v>
      </c>
      <c r="H591" s="663">
        <f t="shared" ref="H591:H592" si="184">IF(F591&lt;=30,(1.07*F591+2.68)*G591,((1.07*30+2.68)+1.07*(F591-30))*G591)</f>
        <v>41.538000000000004</v>
      </c>
      <c r="I591" s="420">
        <v>97.26</v>
      </c>
      <c r="J591" s="420">
        <f t="shared" si="180"/>
        <v>138.798</v>
      </c>
      <c r="K591" s="421">
        <f t="shared" si="181"/>
        <v>164.91</v>
      </c>
      <c r="L591" s="647" t="s">
        <v>16</v>
      </c>
      <c r="M591" s="576"/>
      <c r="N591" s="576">
        <f t="shared" si="165"/>
        <v>0</v>
      </c>
      <c r="O591" s="577">
        <f t="shared" si="174"/>
        <v>0</v>
      </c>
      <c r="P591" s="578">
        <f t="shared" si="175"/>
        <v>0</v>
      </c>
      <c r="Q591" s="765"/>
      <c r="R591" s="576">
        <f t="shared" si="176"/>
        <v>0</v>
      </c>
      <c r="S591" s="576">
        <f t="shared" si="167"/>
        <v>0</v>
      </c>
      <c r="T591" s="577">
        <f t="shared" si="172"/>
        <v>0</v>
      </c>
      <c r="U591" s="578">
        <f t="shared" si="173"/>
        <v>0</v>
      </c>
      <c r="V591" s="579"/>
      <c r="W591" s="566"/>
      <c r="X591" s="586" t="str">
        <f t="shared" si="170"/>
        <v/>
      </c>
      <c r="Y591" s="586" t="str">
        <f t="shared" si="143"/>
        <v/>
      </c>
      <c r="Z591" s="586" t="str">
        <f t="shared" si="183"/>
        <v/>
      </c>
    </row>
    <row r="592" spans="1:26" ht="14.45" customHeight="1" x14ac:dyDescent="0.2">
      <c r="A592" s="567">
        <v>603900</v>
      </c>
      <c r="B592" s="644" t="s">
        <v>1808</v>
      </c>
      <c r="C592" s="645" t="s">
        <v>206</v>
      </c>
      <c r="D592" s="451" t="s">
        <v>341</v>
      </c>
      <c r="E592" s="423"/>
      <c r="F592" s="424">
        <v>20</v>
      </c>
      <c r="G592" s="425">
        <v>1.5</v>
      </c>
      <c r="H592" s="663">
        <f t="shared" si="184"/>
        <v>36.120000000000005</v>
      </c>
      <c r="I592" s="420">
        <v>124.3</v>
      </c>
      <c r="J592" s="420">
        <f t="shared" si="180"/>
        <v>160.42000000000002</v>
      </c>
      <c r="K592" s="421">
        <f t="shared" si="181"/>
        <v>190.6</v>
      </c>
      <c r="L592" s="647" t="s">
        <v>16</v>
      </c>
      <c r="M592" s="576">
        <f>M590*0.03</f>
        <v>9.7919999999999998</v>
      </c>
      <c r="N592" s="576">
        <f t="shared" si="165"/>
        <v>190.6</v>
      </c>
      <c r="O592" s="577">
        <f t="shared" si="174"/>
        <v>1866.36</v>
      </c>
      <c r="P592" s="578">
        <f t="shared" si="175"/>
        <v>1866.36</v>
      </c>
      <c r="Q592" s="765"/>
      <c r="R592" s="576">
        <f t="shared" si="176"/>
        <v>9.7919999999999998</v>
      </c>
      <c r="S592" s="576">
        <f t="shared" si="167"/>
        <v>190.6</v>
      </c>
      <c r="T592" s="577">
        <f t="shared" si="172"/>
        <v>1866.36</v>
      </c>
      <c r="U592" s="578">
        <f t="shared" si="173"/>
        <v>1866.36</v>
      </c>
      <c r="V592" s="579"/>
      <c r="W592" s="566"/>
      <c r="X592" s="586" t="str">
        <f t="shared" si="170"/>
        <v>x</v>
      </c>
      <c r="Y592" s="586" t="str">
        <f t="shared" si="143"/>
        <v>x</v>
      </c>
      <c r="Z592" s="586" t="str">
        <f t="shared" si="183"/>
        <v>x</v>
      </c>
    </row>
    <row r="593" spans="1:26" hidden="1" x14ac:dyDescent="0.2">
      <c r="A593" s="567">
        <v>605000</v>
      </c>
      <c r="B593" s="644" t="s">
        <v>1809</v>
      </c>
      <c r="C593" s="645" t="s">
        <v>206</v>
      </c>
      <c r="D593" s="422" t="s">
        <v>274</v>
      </c>
      <c r="E593" s="423"/>
      <c r="F593" s="424"/>
      <c r="G593" s="425"/>
      <c r="H593" s="651">
        <f>SUM(H594:H596)</f>
        <v>305.33319999999998</v>
      </c>
      <c r="I593" s="420">
        <v>408.95</v>
      </c>
      <c r="J593" s="420">
        <f t="shared" si="180"/>
        <v>714.28319999999997</v>
      </c>
      <c r="K593" s="421">
        <f t="shared" si="181"/>
        <v>848.64</v>
      </c>
      <c r="L593" s="647" t="s">
        <v>16</v>
      </c>
      <c r="M593" s="576"/>
      <c r="N593" s="576">
        <f t="shared" si="165"/>
        <v>0</v>
      </c>
      <c r="O593" s="577">
        <f t="shared" si="174"/>
        <v>0</v>
      </c>
      <c r="P593" s="578">
        <f t="shared" si="175"/>
        <v>0</v>
      </c>
      <c r="Q593" s="765"/>
      <c r="R593" s="576">
        <f t="shared" si="176"/>
        <v>0</v>
      </c>
      <c r="S593" s="576">
        <f t="shared" si="167"/>
        <v>0</v>
      </c>
      <c r="T593" s="577">
        <f t="shared" si="172"/>
        <v>0</v>
      </c>
      <c r="U593" s="578">
        <f t="shared" si="173"/>
        <v>0</v>
      </c>
      <c r="V593" s="579"/>
      <c r="W593" s="566"/>
      <c r="X593" s="586" t="str">
        <f t="shared" si="170"/>
        <v/>
      </c>
      <c r="Y593" s="586" t="str">
        <f t="shared" si="143"/>
        <v/>
      </c>
      <c r="Z593" s="586" t="str">
        <f t="shared" si="183"/>
        <v/>
      </c>
    </row>
    <row r="594" spans="1:26" hidden="1" x14ac:dyDescent="0.2">
      <c r="A594" s="567" t="s">
        <v>168</v>
      </c>
      <c r="B594" s="644" t="s">
        <v>168</v>
      </c>
      <c r="C594" s="645"/>
      <c r="D594" s="451" t="s">
        <v>212</v>
      </c>
      <c r="E594" s="423"/>
      <c r="F594" s="424">
        <v>500</v>
      </c>
      <c r="G594" s="425">
        <v>0.18</v>
      </c>
      <c r="H594" s="649">
        <f>IF(F594&lt;=30,(0.78*F594+7.82)*G594,((0.78*30+7.82)+0.78*(F594-30))*G594)</f>
        <v>71.607600000000005</v>
      </c>
      <c r="I594" s="420">
        <v>0</v>
      </c>
      <c r="J594" s="420"/>
      <c r="K594" s="421">
        <f t="shared" si="181"/>
        <v>0</v>
      </c>
      <c r="L594" s="668" t="s">
        <v>614</v>
      </c>
      <c r="M594" s="669"/>
      <c r="N594" s="576">
        <f t="shared" si="165"/>
        <v>0</v>
      </c>
      <c r="O594" s="577">
        <f t="shared" si="174"/>
        <v>0</v>
      </c>
      <c r="P594" s="578">
        <f t="shared" si="175"/>
        <v>0</v>
      </c>
      <c r="Q594" s="765"/>
      <c r="R594" s="669"/>
      <c r="S594" s="670"/>
      <c r="T594" s="577">
        <f t="shared" si="172"/>
        <v>0</v>
      </c>
      <c r="U594" s="578">
        <f t="shared" si="173"/>
        <v>0</v>
      </c>
      <c r="V594" s="579"/>
      <c r="W594" s="637" t="str">
        <f>IF(U593&gt;0,"xx",IF(P593&gt;0,"xy",""))</f>
        <v/>
      </c>
      <c r="X594" s="586" t="str">
        <f t="shared" si="170"/>
        <v/>
      </c>
      <c r="Y594" s="586" t="str">
        <f t="shared" si="143"/>
        <v/>
      </c>
      <c r="Z594" s="586" t="str">
        <f t="shared" si="183"/>
        <v/>
      </c>
    </row>
    <row r="595" spans="1:26" hidden="1" x14ac:dyDescent="0.2">
      <c r="A595" s="567" t="s">
        <v>168</v>
      </c>
      <c r="B595" s="644" t="s">
        <v>168</v>
      </c>
      <c r="C595" s="645"/>
      <c r="D595" s="451" t="s">
        <v>248</v>
      </c>
      <c r="E595" s="423"/>
      <c r="F595" s="424">
        <v>180</v>
      </c>
      <c r="G595" s="425">
        <v>1.06</v>
      </c>
      <c r="H595" s="663">
        <f t="shared" ref="H595:H600" si="185">IF(F595&lt;=30,(1.07*F595+2.68)*G595,((1.07*30+2.68)+1.07*(F595-30))*G595)</f>
        <v>206.99680000000001</v>
      </c>
      <c r="I595" s="420">
        <v>0</v>
      </c>
      <c r="J595" s="420"/>
      <c r="K595" s="421">
        <f t="shared" si="181"/>
        <v>0</v>
      </c>
      <c r="L595" s="668" t="s">
        <v>614</v>
      </c>
      <c r="M595" s="669"/>
      <c r="N595" s="576">
        <f t="shared" si="165"/>
        <v>0</v>
      </c>
      <c r="O595" s="577">
        <f t="shared" si="174"/>
        <v>0</v>
      </c>
      <c r="P595" s="578">
        <f t="shared" si="175"/>
        <v>0</v>
      </c>
      <c r="Q595" s="765"/>
      <c r="R595" s="669"/>
      <c r="S595" s="670"/>
      <c r="T595" s="577">
        <f t="shared" si="172"/>
        <v>0</v>
      </c>
      <c r="U595" s="578">
        <f t="shared" si="173"/>
        <v>0</v>
      </c>
      <c r="V595" s="579"/>
      <c r="W595" s="637" t="str">
        <f>IF(U593&gt;0,"xx",IF(P593&gt;0,"xy",""))</f>
        <v/>
      </c>
      <c r="X595" s="586" t="str">
        <f t="shared" si="170"/>
        <v/>
      </c>
      <c r="Y595" s="586" t="str">
        <f t="shared" si="143"/>
        <v/>
      </c>
      <c r="Z595" s="586" t="str">
        <f t="shared" si="183"/>
        <v/>
      </c>
    </row>
    <row r="596" spans="1:26" hidden="1" x14ac:dyDescent="0.2">
      <c r="A596" s="567" t="s">
        <v>168</v>
      </c>
      <c r="B596" s="644" t="s">
        <v>168</v>
      </c>
      <c r="C596" s="645"/>
      <c r="D596" s="451" t="s">
        <v>252</v>
      </c>
      <c r="E596" s="423"/>
      <c r="F596" s="424">
        <v>20</v>
      </c>
      <c r="G596" s="425">
        <v>1.1100000000000001</v>
      </c>
      <c r="H596" s="663">
        <f t="shared" si="185"/>
        <v>26.728800000000003</v>
      </c>
      <c r="I596" s="420">
        <v>0</v>
      </c>
      <c r="J596" s="420"/>
      <c r="K596" s="421">
        <f t="shared" si="181"/>
        <v>0</v>
      </c>
      <c r="L596" s="668" t="s">
        <v>614</v>
      </c>
      <c r="M596" s="669"/>
      <c r="N596" s="576">
        <f t="shared" ref="N596:N659" si="186">IF(M596=0,0,K596)</f>
        <v>0</v>
      </c>
      <c r="O596" s="577">
        <f t="shared" si="174"/>
        <v>0</v>
      </c>
      <c r="P596" s="578">
        <f t="shared" si="175"/>
        <v>0</v>
      </c>
      <c r="Q596" s="765"/>
      <c r="R596" s="669"/>
      <c r="S596" s="670"/>
      <c r="T596" s="577">
        <f t="shared" si="172"/>
        <v>0</v>
      </c>
      <c r="U596" s="578">
        <f t="shared" si="173"/>
        <v>0</v>
      </c>
      <c r="V596" s="579"/>
      <c r="W596" s="637" t="str">
        <f>IF(U593&gt;0,"xx",IF(P593&gt;0,"xy",""))</f>
        <v/>
      </c>
      <c r="X596" s="586" t="str">
        <f t="shared" si="170"/>
        <v/>
      </c>
      <c r="Y596" s="586" t="str">
        <f t="shared" si="143"/>
        <v/>
      </c>
      <c r="Z596" s="586" t="str">
        <f t="shared" si="183"/>
        <v/>
      </c>
    </row>
    <row r="597" spans="1:26" hidden="1" x14ac:dyDescent="0.2">
      <c r="A597" s="567">
        <v>400500</v>
      </c>
      <c r="B597" s="644" t="s">
        <v>1612</v>
      </c>
      <c r="C597" s="645" t="s">
        <v>206</v>
      </c>
      <c r="D597" s="422" t="s">
        <v>1608</v>
      </c>
      <c r="E597" s="423"/>
      <c r="F597" s="424">
        <v>20</v>
      </c>
      <c r="G597" s="425">
        <v>1.73</v>
      </c>
      <c r="H597" s="663">
        <f t="shared" si="185"/>
        <v>41.6584</v>
      </c>
      <c r="I597" s="420">
        <v>80.100000000000009</v>
      </c>
      <c r="J597" s="420">
        <f t="shared" ref="J597:J617" si="187">IF(ISBLANK(I597),"",SUM(H597:I597))</f>
        <v>121.75840000000001</v>
      </c>
      <c r="K597" s="421">
        <f t="shared" si="181"/>
        <v>144.66</v>
      </c>
      <c r="L597" s="647" t="s">
        <v>16</v>
      </c>
      <c r="M597" s="576"/>
      <c r="N597" s="576">
        <f t="shared" si="186"/>
        <v>0</v>
      </c>
      <c r="O597" s="577">
        <f t="shared" si="174"/>
        <v>0</v>
      </c>
      <c r="P597" s="578">
        <f t="shared" si="175"/>
        <v>0</v>
      </c>
      <c r="Q597" s="765"/>
      <c r="R597" s="576">
        <f t="shared" ref="R597:S609" si="188">M597</f>
        <v>0</v>
      </c>
      <c r="S597" s="576">
        <f t="shared" si="188"/>
        <v>0</v>
      </c>
      <c r="T597" s="577">
        <f t="shared" si="172"/>
        <v>0</v>
      </c>
      <c r="U597" s="578">
        <f t="shared" si="173"/>
        <v>0</v>
      </c>
      <c r="V597" s="579"/>
      <c r="W597" s="566"/>
      <c r="X597" s="586" t="str">
        <f t="shared" si="170"/>
        <v/>
      </c>
      <c r="Y597" s="586" t="str">
        <f t="shared" si="143"/>
        <v/>
      </c>
      <c r="Z597" s="586" t="str">
        <f t="shared" si="183"/>
        <v/>
      </c>
    </row>
    <row r="598" spans="1:26" hidden="1" x14ac:dyDescent="0.2">
      <c r="A598" s="567">
        <v>532500</v>
      </c>
      <c r="B598" s="644" t="s">
        <v>1605</v>
      </c>
      <c r="C598" s="645" t="s">
        <v>206</v>
      </c>
      <c r="D598" s="422" t="s">
        <v>1609</v>
      </c>
      <c r="E598" s="423"/>
      <c r="F598" s="424">
        <v>20</v>
      </c>
      <c r="G598" s="425">
        <v>1.7250000000000001</v>
      </c>
      <c r="H598" s="663">
        <f t="shared" si="185"/>
        <v>41.538000000000004</v>
      </c>
      <c r="I598" s="420">
        <v>97.26</v>
      </c>
      <c r="J598" s="420">
        <f t="shared" si="187"/>
        <v>138.798</v>
      </c>
      <c r="K598" s="421">
        <f t="shared" si="181"/>
        <v>164.91</v>
      </c>
      <c r="L598" s="647" t="s">
        <v>16</v>
      </c>
      <c r="M598" s="576"/>
      <c r="N598" s="576">
        <f t="shared" si="186"/>
        <v>0</v>
      </c>
      <c r="O598" s="577">
        <f t="shared" si="174"/>
        <v>0</v>
      </c>
      <c r="P598" s="578">
        <f t="shared" si="175"/>
        <v>0</v>
      </c>
      <c r="Q598" s="765"/>
      <c r="R598" s="576">
        <f t="shared" si="188"/>
        <v>0</v>
      </c>
      <c r="S598" s="576">
        <f t="shared" si="188"/>
        <v>0</v>
      </c>
      <c r="T598" s="577">
        <f t="shared" si="172"/>
        <v>0</v>
      </c>
      <c r="U598" s="578">
        <f t="shared" si="173"/>
        <v>0</v>
      </c>
      <c r="V598" s="579"/>
      <c r="W598" s="566"/>
      <c r="X598" s="586" t="str">
        <f t="shared" si="170"/>
        <v/>
      </c>
      <c r="Y598" s="586" t="str">
        <f t="shared" si="143"/>
        <v/>
      </c>
      <c r="Z598" s="586" t="str">
        <f t="shared" si="183"/>
        <v/>
      </c>
    </row>
    <row r="599" spans="1:26" hidden="1" x14ac:dyDescent="0.2">
      <c r="A599" s="567">
        <v>532600</v>
      </c>
      <c r="B599" s="644" t="s">
        <v>1537</v>
      </c>
      <c r="C599" s="645" t="s">
        <v>206</v>
      </c>
      <c r="D599" s="422" t="s">
        <v>1610</v>
      </c>
      <c r="E599" s="423"/>
      <c r="F599" s="418">
        <v>15</v>
      </c>
      <c r="G599" s="425">
        <f>ROUND(1.5*1.5,4)</f>
        <v>2.25</v>
      </c>
      <c r="H599" s="663">
        <f t="shared" si="185"/>
        <v>42.142499999999998</v>
      </c>
      <c r="I599" s="420">
        <v>15.533333333333335</v>
      </c>
      <c r="J599" s="420">
        <f t="shared" si="187"/>
        <v>57.67583333333333</v>
      </c>
      <c r="K599" s="421">
        <f t="shared" si="181"/>
        <v>68.52</v>
      </c>
      <c r="L599" s="647" t="s">
        <v>16</v>
      </c>
      <c r="M599" s="576"/>
      <c r="N599" s="576">
        <f t="shared" si="186"/>
        <v>0</v>
      </c>
      <c r="O599" s="577">
        <f t="shared" si="174"/>
        <v>0</v>
      </c>
      <c r="P599" s="578">
        <f t="shared" si="175"/>
        <v>0</v>
      </c>
      <c r="Q599" s="765"/>
      <c r="R599" s="576">
        <f t="shared" si="188"/>
        <v>0</v>
      </c>
      <c r="S599" s="576">
        <f t="shared" si="188"/>
        <v>0</v>
      </c>
      <c r="T599" s="577">
        <f t="shared" si="172"/>
        <v>0</v>
      </c>
      <c r="U599" s="578">
        <f t="shared" si="173"/>
        <v>0</v>
      </c>
      <c r="V599" s="579"/>
      <c r="W599" s="566"/>
      <c r="X599" s="586" t="str">
        <f t="shared" si="170"/>
        <v/>
      </c>
      <c r="Y599" s="586" t="str">
        <f t="shared" si="143"/>
        <v/>
      </c>
      <c r="Z599" s="586" t="str">
        <f t="shared" si="183"/>
        <v/>
      </c>
    </row>
    <row r="600" spans="1:26" hidden="1" x14ac:dyDescent="0.2">
      <c r="A600" s="567">
        <v>603900</v>
      </c>
      <c r="B600" s="644" t="s">
        <v>1613</v>
      </c>
      <c r="C600" s="645" t="s">
        <v>206</v>
      </c>
      <c r="D600" s="422" t="s">
        <v>1611</v>
      </c>
      <c r="E600" s="423"/>
      <c r="F600" s="424">
        <v>20</v>
      </c>
      <c r="G600" s="425">
        <v>1.5</v>
      </c>
      <c r="H600" s="663">
        <f t="shared" si="185"/>
        <v>36.120000000000005</v>
      </c>
      <c r="I600" s="420">
        <v>124.3</v>
      </c>
      <c r="J600" s="420">
        <f t="shared" si="187"/>
        <v>160.42000000000002</v>
      </c>
      <c r="K600" s="421">
        <f t="shared" si="181"/>
        <v>190.6</v>
      </c>
      <c r="L600" s="647" t="s">
        <v>16</v>
      </c>
      <c r="M600" s="576"/>
      <c r="N600" s="576">
        <f t="shared" si="186"/>
        <v>0</v>
      </c>
      <c r="O600" s="577">
        <f t="shared" si="174"/>
        <v>0</v>
      </c>
      <c r="P600" s="578">
        <f t="shared" si="175"/>
        <v>0</v>
      </c>
      <c r="Q600" s="765"/>
      <c r="R600" s="576">
        <f t="shared" si="188"/>
        <v>0</v>
      </c>
      <c r="S600" s="576">
        <f t="shared" si="188"/>
        <v>0</v>
      </c>
      <c r="T600" s="577">
        <f t="shared" si="172"/>
        <v>0</v>
      </c>
      <c r="U600" s="578">
        <f t="shared" si="173"/>
        <v>0</v>
      </c>
      <c r="V600" s="579"/>
      <c r="W600" s="566"/>
      <c r="X600" s="586" t="str">
        <f t="shared" si="170"/>
        <v/>
      </c>
      <c r="Y600" s="586" t="str">
        <f t="shared" ref="Y600:Y866" si="189">IF(W600="X","x",IF(W600="y","x",IF(W600="xx","x",IF(U600&gt;0,"x",""))))</f>
        <v/>
      </c>
      <c r="Z600" s="586" t="str">
        <f t="shared" si="183"/>
        <v/>
      </c>
    </row>
    <row r="601" spans="1:26" hidden="1" x14ac:dyDescent="0.2">
      <c r="A601" s="567">
        <v>601100</v>
      </c>
      <c r="B601" s="644" t="s">
        <v>1626</v>
      </c>
      <c r="C601" s="645" t="s">
        <v>206</v>
      </c>
      <c r="D601" s="422" t="s">
        <v>275</v>
      </c>
      <c r="E601" s="423"/>
      <c r="F601" s="424"/>
      <c r="G601" s="425"/>
      <c r="H601" s="651">
        <f>IF(F601&lt;=30,(0.62*F601+6.29)*G601,((0.62*30+6.29)+0.62*(F601-30))*G601)</f>
        <v>0</v>
      </c>
      <c r="I601" s="420">
        <v>50.31</v>
      </c>
      <c r="J601" s="420">
        <f t="shared" si="187"/>
        <v>50.31</v>
      </c>
      <c r="K601" s="421">
        <f t="shared" si="181"/>
        <v>59.77</v>
      </c>
      <c r="L601" s="647" t="s">
        <v>16</v>
      </c>
      <c r="M601" s="576"/>
      <c r="N601" s="576">
        <f t="shared" si="186"/>
        <v>0</v>
      </c>
      <c r="O601" s="577">
        <f t="shared" si="174"/>
        <v>0</v>
      </c>
      <c r="P601" s="578">
        <f t="shared" si="175"/>
        <v>0</v>
      </c>
      <c r="Q601" s="765"/>
      <c r="R601" s="576">
        <f t="shared" si="176"/>
        <v>0</v>
      </c>
      <c r="S601" s="576">
        <f t="shared" si="188"/>
        <v>0</v>
      </c>
      <c r="T601" s="577">
        <f t="shared" si="172"/>
        <v>0</v>
      </c>
      <c r="U601" s="578">
        <f t="shared" si="173"/>
        <v>0</v>
      </c>
      <c r="V601" s="579"/>
      <c r="W601" s="566"/>
      <c r="X601" s="586" t="str">
        <f t="shared" si="170"/>
        <v/>
      </c>
      <c r="Y601" s="586" t="str">
        <f t="shared" si="189"/>
        <v/>
      </c>
      <c r="Z601" s="586" t="str">
        <f t="shared" si="183"/>
        <v/>
      </c>
    </row>
    <row r="602" spans="1:26" hidden="1" x14ac:dyDescent="0.2">
      <c r="A602" s="567">
        <v>602000</v>
      </c>
      <c r="B602" s="644" t="s">
        <v>2091</v>
      </c>
      <c r="C602" s="645" t="s">
        <v>206</v>
      </c>
      <c r="D602" s="422" t="s">
        <v>2092</v>
      </c>
      <c r="E602" s="423"/>
      <c r="F602" s="424"/>
      <c r="G602" s="425"/>
      <c r="H602" s="651">
        <f>IF(F602&lt;=30,(0.62*F602+6.29)*G602,((0.62*30+6.29)+0.62*(F602-30))*G602)</f>
        <v>0</v>
      </c>
      <c r="I602" s="420">
        <v>58.84</v>
      </c>
      <c r="J602" s="420">
        <f t="shared" si="187"/>
        <v>58.84</v>
      </c>
      <c r="K602" s="421">
        <f t="shared" si="181"/>
        <v>69.91</v>
      </c>
      <c r="L602" s="647" t="s">
        <v>18</v>
      </c>
      <c r="M602" s="576"/>
      <c r="N602" s="576">
        <f t="shared" si="186"/>
        <v>0</v>
      </c>
      <c r="O602" s="577">
        <f t="shared" si="174"/>
        <v>0</v>
      </c>
      <c r="P602" s="578">
        <f t="shared" si="175"/>
        <v>0</v>
      </c>
      <c r="Q602" s="765"/>
      <c r="R602" s="576">
        <f t="shared" si="176"/>
        <v>0</v>
      </c>
      <c r="S602" s="576">
        <f t="shared" si="188"/>
        <v>0</v>
      </c>
      <c r="T602" s="577">
        <f t="shared" si="172"/>
        <v>0</v>
      </c>
      <c r="U602" s="578">
        <f t="shared" si="173"/>
        <v>0</v>
      </c>
      <c r="V602" s="579"/>
      <c r="W602" s="566"/>
      <c r="X602" s="586" t="str">
        <f t="shared" si="170"/>
        <v/>
      </c>
      <c r="Y602" s="586" t="str">
        <f t="shared" si="189"/>
        <v/>
      </c>
      <c r="Z602" s="586" t="str">
        <f t="shared" si="183"/>
        <v/>
      </c>
    </row>
    <row r="603" spans="1:26" hidden="1" x14ac:dyDescent="0.2">
      <c r="A603" s="567">
        <v>603000</v>
      </c>
      <c r="B603" s="644" t="s">
        <v>1810</v>
      </c>
      <c r="C603" s="645" t="s">
        <v>206</v>
      </c>
      <c r="D603" s="422" t="s">
        <v>276</v>
      </c>
      <c r="E603" s="423"/>
      <c r="F603" s="424"/>
      <c r="G603" s="425"/>
      <c r="H603" s="651">
        <f>IF(F603&lt;=30,(0.62*F603+6.29)*G603,((0.62*30+6.29)+0.62*(F603-30))*G603)</f>
        <v>0</v>
      </c>
      <c r="I603" s="420">
        <v>17.84</v>
      </c>
      <c r="J603" s="420">
        <f t="shared" si="187"/>
        <v>17.84</v>
      </c>
      <c r="K603" s="421">
        <f t="shared" si="181"/>
        <v>21.2</v>
      </c>
      <c r="L603" s="647" t="s">
        <v>23</v>
      </c>
      <c r="M603" s="576"/>
      <c r="N603" s="576">
        <f t="shared" si="186"/>
        <v>0</v>
      </c>
      <c r="O603" s="577">
        <f t="shared" si="174"/>
        <v>0</v>
      </c>
      <c r="P603" s="578">
        <f t="shared" si="175"/>
        <v>0</v>
      </c>
      <c r="Q603" s="765"/>
      <c r="R603" s="576">
        <f t="shared" si="176"/>
        <v>0</v>
      </c>
      <c r="S603" s="576">
        <f t="shared" si="188"/>
        <v>0</v>
      </c>
      <c r="T603" s="577">
        <f t="shared" si="172"/>
        <v>0</v>
      </c>
      <c r="U603" s="578">
        <f t="shared" si="173"/>
        <v>0</v>
      </c>
      <c r="V603" s="579"/>
      <c r="W603" s="566"/>
      <c r="X603" s="586" t="str">
        <f t="shared" si="170"/>
        <v/>
      </c>
      <c r="Y603" s="586" t="str">
        <f t="shared" si="189"/>
        <v/>
      </c>
      <c r="Z603" s="586" t="str">
        <f t="shared" si="183"/>
        <v/>
      </c>
    </row>
    <row r="604" spans="1:26" hidden="1" x14ac:dyDescent="0.2">
      <c r="A604" s="567">
        <v>603300</v>
      </c>
      <c r="B604" s="644" t="s">
        <v>1811</v>
      </c>
      <c r="C604" s="645" t="s">
        <v>206</v>
      </c>
      <c r="D604" s="422" t="s">
        <v>277</v>
      </c>
      <c r="E604" s="423"/>
      <c r="F604" s="424"/>
      <c r="G604" s="425"/>
      <c r="H604" s="651">
        <f>IF(F604&lt;=30,(0.62*F604+6.29)*G604,((0.62*30+6.29)+0.62*(F604-30))*G604)</f>
        <v>0</v>
      </c>
      <c r="I604" s="420">
        <v>19.490000000000002</v>
      </c>
      <c r="J604" s="420">
        <f t="shared" si="187"/>
        <v>19.490000000000002</v>
      </c>
      <c r="K604" s="421">
        <f t="shared" si="181"/>
        <v>23.16</v>
      </c>
      <c r="L604" s="647" t="s">
        <v>23</v>
      </c>
      <c r="M604" s="576"/>
      <c r="N604" s="576">
        <f t="shared" si="186"/>
        <v>0</v>
      </c>
      <c r="O604" s="577">
        <f t="shared" si="174"/>
        <v>0</v>
      </c>
      <c r="P604" s="578">
        <f t="shared" si="175"/>
        <v>0</v>
      </c>
      <c r="Q604" s="765"/>
      <c r="R604" s="576">
        <f t="shared" si="176"/>
        <v>0</v>
      </c>
      <c r="S604" s="576">
        <f t="shared" si="188"/>
        <v>0</v>
      </c>
      <c r="T604" s="577">
        <f t="shared" si="172"/>
        <v>0</v>
      </c>
      <c r="U604" s="578">
        <f t="shared" si="173"/>
        <v>0</v>
      </c>
      <c r="V604" s="579"/>
      <c r="W604" s="566"/>
      <c r="X604" s="586" t="str">
        <f t="shared" si="170"/>
        <v/>
      </c>
      <c r="Y604" s="586" t="str">
        <f t="shared" si="189"/>
        <v/>
      </c>
      <c r="Z604" s="586" t="str">
        <f t="shared" si="183"/>
        <v/>
      </c>
    </row>
    <row r="605" spans="1:26" x14ac:dyDescent="0.2">
      <c r="A605" s="567">
        <v>605000</v>
      </c>
      <c r="B605" s="644" t="s">
        <v>1812</v>
      </c>
      <c r="C605" s="645" t="s">
        <v>206</v>
      </c>
      <c r="D605" s="422" t="s">
        <v>278</v>
      </c>
      <c r="E605" s="423"/>
      <c r="F605" s="424"/>
      <c r="G605" s="425"/>
      <c r="H605" s="651">
        <f>SUM(H606:H608)*0.05</f>
        <v>0.91282350000000001</v>
      </c>
      <c r="I605" s="420">
        <v>25.819500000000001</v>
      </c>
      <c r="J605" s="420">
        <f t="shared" si="187"/>
        <v>26.7323235</v>
      </c>
      <c r="K605" s="421">
        <f t="shared" si="181"/>
        <v>31.76</v>
      </c>
      <c r="L605" s="647" t="s">
        <v>18</v>
      </c>
      <c r="M605" s="576">
        <f>ROUND(M590-M748-(M742*5.94),2)</f>
        <v>248.24</v>
      </c>
      <c r="N605" s="576">
        <f t="shared" si="186"/>
        <v>31.76</v>
      </c>
      <c r="O605" s="577">
        <f t="shared" si="174"/>
        <v>7884.1</v>
      </c>
      <c r="P605" s="578">
        <f t="shared" si="175"/>
        <v>7884.1</v>
      </c>
      <c r="Q605" s="765"/>
      <c r="R605" s="576">
        <f t="shared" si="176"/>
        <v>248.24</v>
      </c>
      <c r="S605" s="576">
        <f t="shared" si="188"/>
        <v>31.76</v>
      </c>
      <c r="T605" s="577">
        <f t="shared" si="172"/>
        <v>7884.1</v>
      </c>
      <c r="U605" s="578">
        <f t="shared" si="173"/>
        <v>7884.1</v>
      </c>
      <c r="V605" s="579"/>
      <c r="W605" s="566"/>
      <c r="X605" s="586" t="str">
        <f t="shared" si="170"/>
        <v>x</v>
      </c>
      <c r="Y605" s="586" t="str">
        <f t="shared" si="189"/>
        <v>x</v>
      </c>
      <c r="Z605" s="586" t="str">
        <f t="shared" si="183"/>
        <v>x</v>
      </c>
    </row>
    <row r="606" spans="1:26" x14ac:dyDescent="0.2">
      <c r="A606" s="567" t="s">
        <v>168</v>
      </c>
      <c r="B606" s="644" t="s">
        <v>168</v>
      </c>
      <c r="C606" s="645"/>
      <c r="D606" s="451" t="s">
        <v>212</v>
      </c>
      <c r="E606" s="423"/>
      <c r="F606" s="805">
        <v>414</v>
      </c>
      <c r="G606" s="425">
        <f>ROUND(0.27*0.05,4)</f>
        <v>1.35E-2</v>
      </c>
      <c r="H606" s="649">
        <f>IF(F606&lt;=30,(0.78*F606+7.82)*G606,((0.78*30+7.82)+0.78*(F606-30))*G606)</f>
        <v>4.4649900000000002</v>
      </c>
      <c r="I606" s="420"/>
      <c r="J606" s="420" t="str">
        <f t="shared" si="187"/>
        <v/>
      </c>
      <c r="K606" s="421">
        <f t="shared" si="181"/>
        <v>0</v>
      </c>
      <c r="L606" s="668" t="s">
        <v>614</v>
      </c>
      <c r="M606" s="669"/>
      <c r="N606" s="576">
        <f t="shared" si="186"/>
        <v>0</v>
      </c>
      <c r="O606" s="577">
        <f t="shared" si="174"/>
        <v>0</v>
      </c>
      <c r="P606" s="578">
        <f t="shared" si="175"/>
        <v>0</v>
      </c>
      <c r="Q606" s="765"/>
      <c r="R606" s="669"/>
      <c r="S606" s="670"/>
      <c r="T606" s="577">
        <f t="shared" si="172"/>
        <v>0</v>
      </c>
      <c r="U606" s="578">
        <f t="shared" si="173"/>
        <v>0</v>
      </c>
      <c r="V606" s="579"/>
      <c r="W606" s="637" t="str">
        <f>IF(U605&gt;0,"xx",IF(P605&gt;0,"xy",""))</f>
        <v>xx</v>
      </c>
      <c r="X606" s="586" t="str">
        <f t="shared" si="170"/>
        <v>x</v>
      </c>
      <c r="Y606" s="586" t="str">
        <f t="shared" si="189"/>
        <v>x</v>
      </c>
      <c r="Z606" s="586" t="str">
        <f t="shared" si="183"/>
        <v/>
      </c>
    </row>
    <row r="607" spans="1:26" x14ac:dyDescent="0.2">
      <c r="A607" s="567" t="s">
        <v>168</v>
      </c>
      <c r="B607" s="644" t="s">
        <v>168</v>
      </c>
      <c r="C607" s="645"/>
      <c r="D607" s="451" t="s">
        <v>248</v>
      </c>
      <c r="E607" s="423"/>
      <c r="F607" s="805">
        <v>240</v>
      </c>
      <c r="G607" s="425">
        <f>ROUND(0.96*0.05,4)</f>
        <v>4.8000000000000001E-2</v>
      </c>
      <c r="H607" s="663">
        <f t="shared" ref="H607:H608" si="190">IF(F607&lt;=30,(1.07*F607+2.68)*G607,((1.07*30+2.68)+1.07*(F607-30))*G607)</f>
        <v>12.45504</v>
      </c>
      <c r="I607" s="420"/>
      <c r="J607" s="420" t="str">
        <f t="shared" si="187"/>
        <v/>
      </c>
      <c r="K607" s="421">
        <f t="shared" si="181"/>
        <v>0</v>
      </c>
      <c r="L607" s="668" t="s">
        <v>614</v>
      </c>
      <c r="M607" s="669"/>
      <c r="N607" s="576">
        <f t="shared" si="186"/>
        <v>0</v>
      </c>
      <c r="O607" s="577">
        <f t="shared" si="174"/>
        <v>0</v>
      </c>
      <c r="P607" s="578">
        <f t="shared" si="175"/>
        <v>0</v>
      </c>
      <c r="Q607" s="765"/>
      <c r="R607" s="669"/>
      <c r="S607" s="670"/>
      <c r="T607" s="577">
        <f t="shared" si="172"/>
        <v>0</v>
      </c>
      <c r="U607" s="578">
        <f t="shared" si="173"/>
        <v>0</v>
      </c>
      <c r="V607" s="579"/>
      <c r="W607" s="637" t="str">
        <f>IF(U605&gt;0,"xx",IF(P605&gt;0,"xy",""))</f>
        <v>xx</v>
      </c>
      <c r="X607" s="586" t="str">
        <f t="shared" si="170"/>
        <v>x</v>
      </c>
      <c r="Y607" s="586" t="str">
        <f t="shared" si="189"/>
        <v>x</v>
      </c>
      <c r="Z607" s="586" t="str">
        <f t="shared" si="183"/>
        <v/>
      </c>
    </row>
    <row r="608" spans="1:26" x14ac:dyDescent="0.2">
      <c r="A608" s="567" t="s">
        <v>168</v>
      </c>
      <c r="B608" s="644" t="s">
        <v>168</v>
      </c>
      <c r="C608" s="645"/>
      <c r="D608" s="451" t="s">
        <v>252</v>
      </c>
      <c r="E608" s="423"/>
      <c r="F608" s="805">
        <v>20</v>
      </c>
      <c r="G608" s="425">
        <f>ROUND(1.11*0.05,4)</f>
        <v>5.5500000000000001E-2</v>
      </c>
      <c r="H608" s="663">
        <f t="shared" si="190"/>
        <v>1.3364400000000001</v>
      </c>
      <c r="I608" s="420"/>
      <c r="J608" s="420" t="str">
        <f t="shared" si="187"/>
        <v/>
      </c>
      <c r="K608" s="421">
        <f t="shared" si="181"/>
        <v>0</v>
      </c>
      <c r="L608" s="668" t="s">
        <v>614</v>
      </c>
      <c r="M608" s="669"/>
      <c r="N608" s="576">
        <f t="shared" si="186"/>
        <v>0</v>
      </c>
      <c r="O608" s="577">
        <f t="shared" si="174"/>
        <v>0</v>
      </c>
      <c r="P608" s="578">
        <f t="shared" si="175"/>
        <v>0</v>
      </c>
      <c r="Q608" s="765"/>
      <c r="R608" s="669"/>
      <c r="S608" s="670"/>
      <c r="T608" s="577">
        <f t="shared" si="172"/>
        <v>0</v>
      </c>
      <c r="U608" s="578">
        <f t="shared" si="173"/>
        <v>0</v>
      </c>
      <c r="V608" s="579"/>
      <c r="W608" s="637" t="str">
        <f>IF(U605&gt;0,"xx",IF(P605&gt;0,"xy",""))</f>
        <v>xx</v>
      </c>
      <c r="X608" s="586" t="str">
        <f t="shared" si="170"/>
        <v>x</v>
      </c>
      <c r="Y608" s="586" t="str">
        <f t="shared" si="189"/>
        <v>x</v>
      </c>
      <c r="Z608" s="586" t="str">
        <f t="shared" si="183"/>
        <v/>
      </c>
    </row>
    <row r="609" spans="1:26" hidden="1" x14ac:dyDescent="0.2">
      <c r="A609" s="567">
        <v>605000</v>
      </c>
      <c r="B609" s="644" t="s">
        <v>1813</v>
      </c>
      <c r="C609" s="645" t="s">
        <v>206</v>
      </c>
      <c r="D609" s="422" t="s">
        <v>621</v>
      </c>
      <c r="E609" s="423"/>
      <c r="F609" s="424"/>
      <c r="G609" s="425"/>
      <c r="H609" s="651">
        <f>SUM(H610:H612)*0.05</f>
        <v>0.9648270000000001</v>
      </c>
      <c r="I609" s="420">
        <v>30.497399999999999</v>
      </c>
      <c r="J609" s="420">
        <f t="shared" si="187"/>
        <v>31.462226999999999</v>
      </c>
      <c r="K609" s="421">
        <f t="shared" si="181"/>
        <v>37.380000000000003</v>
      </c>
      <c r="L609" s="647" t="s">
        <v>18</v>
      </c>
      <c r="M609" s="576"/>
      <c r="N609" s="576">
        <f t="shared" si="186"/>
        <v>0</v>
      </c>
      <c r="O609" s="577">
        <f t="shared" si="174"/>
        <v>0</v>
      </c>
      <c r="P609" s="578">
        <f t="shared" si="175"/>
        <v>0</v>
      </c>
      <c r="Q609" s="765"/>
      <c r="R609" s="576">
        <f t="shared" si="176"/>
        <v>0</v>
      </c>
      <c r="S609" s="576">
        <f t="shared" si="188"/>
        <v>0</v>
      </c>
      <c r="T609" s="577">
        <f t="shared" si="172"/>
        <v>0</v>
      </c>
      <c r="U609" s="578">
        <f t="shared" si="173"/>
        <v>0</v>
      </c>
      <c r="V609" s="579"/>
      <c r="W609" s="566"/>
      <c r="X609" s="586" t="str">
        <f t="shared" si="170"/>
        <v/>
      </c>
      <c r="Y609" s="586" t="str">
        <f t="shared" si="189"/>
        <v/>
      </c>
      <c r="Z609" s="586" t="str">
        <f t="shared" si="183"/>
        <v/>
      </c>
    </row>
    <row r="610" spans="1:26" hidden="1" x14ac:dyDescent="0.2">
      <c r="A610" s="567" t="s">
        <v>168</v>
      </c>
      <c r="B610" s="644" t="s">
        <v>168</v>
      </c>
      <c r="C610" s="645"/>
      <c r="D610" s="451" t="s">
        <v>212</v>
      </c>
      <c r="E610" s="423"/>
      <c r="F610" s="424">
        <v>500</v>
      </c>
      <c r="G610" s="425">
        <f>ROUND(0.27*0.06,4)</f>
        <v>1.6199999999999999E-2</v>
      </c>
      <c r="H610" s="649">
        <f>IF(F610&lt;=30,(0.78*F610+7.82)*G610,((0.78*30+7.82)+0.78*(F610-30))*G610)</f>
        <v>6.4446840000000005</v>
      </c>
      <c r="I610" s="420"/>
      <c r="J610" s="420" t="str">
        <f t="shared" si="187"/>
        <v/>
      </c>
      <c r="K610" s="421">
        <f t="shared" si="181"/>
        <v>0</v>
      </c>
      <c r="L610" s="668" t="s">
        <v>614</v>
      </c>
      <c r="M610" s="669"/>
      <c r="N610" s="576">
        <f t="shared" si="186"/>
        <v>0</v>
      </c>
      <c r="O610" s="577">
        <f t="shared" si="174"/>
        <v>0</v>
      </c>
      <c r="P610" s="578">
        <f t="shared" si="175"/>
        <v>0</v>
      </c>
      <c r="Q610" s="765"/>
      <c r="R610" s="669"/>
      <c r="S610" s="670"/>
      <c r="T610" s="577">
        <f t="shared" si="172"/>
        <v>0</v>
      </c>
      <c r="U610" s="578">
        <f t="shared" si="173"/>
        <v>0</v>
      </c>
      <c r="V610" s="579"/>
      <c r="W610" s="637" t="str">
        <f>IF(U609&gt;0,"xx",IF(P609&gt;0,"xy",""))</f>
        <v/>
      </c>
      <c r="X610" s="586" t="str">
        <f t="shared" ref="X610:X763" si="191">IF(W610="X","x",IF(W610="xx","x",IF(W610="xy","x",IF(W610="y","x",IF(OR(P610&gt;0,U610&gt;0),"x","")))))</f>
        <v/>
      </c>
      <c r="Y610" s="586" t="str">
        <f t="shared" si="189"/>
        <v/>
      </c>
      <c r="Z610" s="586" t="str">
        <f t="shared" si="183"/>
        <v/>
      </c>
    </row>
    <row r="611" spans="1:26" hidden="1" x14ac:dyDescent="0.2">
      <c r="A611" s="567" t="s">
        <v>168</v>
      </c>
      <c r="B611" s="644" t="s">
        <v>168</v>
      </c>
      <c r="C611" s="645"/>
      <c r="D611" s="451" t="s">
        <v>248</v>
      </c>
      <c r="E611" s="423"/>
      <c r="F611" s="424">
        <v>180</v>
      </c>
      <c r="G611" s="425">
        <f>ROUND(0.96*0.06,4)</f>
        <v>5.7599999999999998E-2</v>
      </c>
      <c r="H611" s="663">
        <f t="shared" ref="H611:H612" si="192">IF(F611&lt;=30,(1.07*F611+2.68)*G611,((1.07*30+2.68)+1.07*(F611-30))*G611)</f>
        <v>11.248127999999999</v>
      </c>
      <c r="I611" s="420"/>
      <c r="J611" s="420" t="str">
        <f t="shared" si="187"/>
        <v/>
      </c>
      <c r="K611" s="421">
        <f t="shared" si="181"/>
        <v>0</v>
      </c>
      <c r="L611" s="668" t="s">
        <v>614</v>
      </c>
      <c r="M611" s="669"/>
      <c r="N611" s="576">
        <f t="shared" si="186"/>
        <v>0</v>
      </c>
      <c r="O611" s="577">
        <f t="shared" si="174"/>
        <v>0</v>
      </c>
      <c r="P611" s="578">
        <f t="shared" si="175"/>
        <v>0</v>
      </c>
      <c r="Q611" s="765"/>
      <c r="R611" s="669"/>
      <c r="S611" s="670"/>
      <c r="T611" s="577">
        <f t="shared" si="172"/>
        <v>0</v>
      </c>
      <c r="U611" s="578">
        <f t="shared" si="173"/>
        <v>0</v>
      </c>
      <c r="V611" s="579"/>
      <c r="W611" s="637" t="str">
        <f>IF(U609&gt;0,"xx",IF(P609&gt;0,"xy",""))</f>
        <v/>
      </c>
      <c r="X611" s="586" t="str">
        <f t="shared" si="191"/>
        <v/>
      </c>
      <c r="Y611" s="586" t="str">
        <f t="shared" si="189"/>
        <v/>
      </c>
      <c r="Z611" s="586" t="str">
        <f t="shared" si="183"/>
        <v/>
      </c>
    </row>
    <row r="612" spans="1:26" hidden="1" x14ac:dyDescent="0.2">
      <c r="A612" s="567" t="s">
        <v>168</v>
      </c>
      <c r="B612" s="644" t="s">
        <v>168</v>
      </c>
      <c r="C612" s="645"/>
      <c r="D612" s="451" t="s">
        <v>252</v>
      </c>
      <c r="E612" s="423"/>
      <c r="F612" s="424">
        <v>20</v>
      </c>
      <c r="G612" s="425">
        <f>ROUND(1.11*0.06,4)</f>
        <v>6.6600000000000006E-2</v>
      </c>
      <c r="H612" s="663">
        <f t="shared" si="192"/>
        <v>1.6037280000000003</v>
      </c>
      <c r="I612" s="420"/>
      <c r="J612" s="420" t="str">
        <f t="shared" si="187"/>
        <v/>
      </c>
      <c r="K612" s="421">
        <f t="shared" si="181"/>
        <v>0</v>
      </c>
      <c r="L612" s="668" t="s">
        <v>614</v>
      </c>
      <c r="M612" s="669"/>
      <c r="N612" s="576">
        <f t="shared" si="186"/>
        <v>0</v>
      </c>
      <c r="O612" s="577">
        <f t="shared" si="174"/>
        <v>0</v>
      </c>
      <c r="P612" s="578">
        <f t="shared" si="175"/>
        <v>0</v>
      </c>
      <c r="Q612" s="765"/>
      <c r="R612" s="669"/>
      <c r="S612" s="670"/>
      <c r="T612" s="577">
        <f t="shared" si="172"/>
        <v>0</v>
      </c>
      <c r="U612" s="578">
        <f t="shared" si="173"/>
        <v>0</v>
      </c>
      <c r="V612" s="579"/>
      <c r="W612" s="637" t="str">
        <f>IF(U609&gt;0,"xx",IF(P609&gt;0,"xy",""))</f>
        <v/>
      </c>
      <c r="X612" s="586" t="str">
        <f t="shared" si="191"/>
        <v/>
      </c>
      <c r="Y612" s="586" t="str">
        <f t="shared" si="189"/>
        <v/>
      </c>
      <c r="Z612" s="586" t="str">
        <f t="shared" si="183"/>
        <v/>
      </c>
    </row>
    <row r="613" spans="1:26" hidden="1" x14ac:dyDescent="0.2">
      <c r="A613" s="567">
        <v>605000</v>
      </c>
      <c r="B613" s="644" t="s">
        <v>1814</v>
      </c>
      <c r="C613" s="645" t="s">
        <v>206</v>
      </c>
      <c r="D613" s="422" t="s">
        <v>622</v>
      </c>
      <c r="E613" s="423"/>
      <c r="F613" s="424"/>
      <c r="G613" s="425"/>
      <c r="H613" s="651">
        <f>SUM(H614:H616)*0.05</f>
        <v>1.1256315000000001</v>
      </c>
      <c r="I613" s="420">
        <v>35.1753</v>
      </c>
      <c r="J613" s="420">
        <f t="shared" si="187"/>
        <v>36.300931499999997</v>
      </c>
      <c r="K613" s="421">
        <f t="shared" si="181"/>
        <v>43.13</v>
      </c>
      <c r="L613" s="647" t="s">
        <v>18</v>
      </c>
      <c r="M613" s="576"/>
      <c r="N613" s="576">
        <f t="shared" si="186"/>
        <v>0</v>
      </c>
      <c r="O613" s="577">
        <f t="shared" si="174"/>
        <v>0</v>
      </c>
      <c r="P613" s="578">
        <f t="shared" si="175"/>
        <v>0</v>
      </c>
      <c r="Q613" s="765"/>
      <c r="R613" s="576">
        <f t="shared" si="176"/>
        <v>0</v>
      </c>
      <c r="S613" s="576">
        <f t="shared" si="176"/>
        <v>0</v>
      </c>
      <c r="T613" s="577">
        <f t="shared" si="172"/>
        <v>0</v>
      </c>
      <c r="U613" s="578">
        <f t="shared" si="173"/>
        <v>0</v>
      </c>
      <c r="V613" s="579"/>
      <c r="W613" s="566"/>
      <c r="X613" s="586" t="str">
        <f t="shared" si="191"/>
        <v/>
      </c>
      <c r="Y613" s="586" t="str">
        <f t="shared" si="189"/>
        <v/>
      </c>
      <c r="Z613" s="586" t="str">
        <f t="shared" si="183"/>
        <v/>
      </c>
    </row>
    <row r="614" spans="1:26" hidden="1" x14ac:dyDescent="0.2">
      <c r="A614" s="567" t="s">
        <v>168</v>
      </c>
      <c r="B614" s="644" t="s">
        <v>168</v>
      </c>
      <c r="C614" s="645"/>
      <c r="D614" s="451" t="s">
        <v>212</v>
      </c>
      <c r="E614" s="423"/>
      <c r="F614" s="424">
        <v>500</v>
      </c>
      <c r="G614" s="425">
        <f>ROUND(0.27*0.07,4)</f>
        <v>1.89E-2</v>
      </c>
      <c r="H614" s="649">
        <f>IF(F614&lt;=30,(0.78*F614+7.82)*G614,((0.78*30+7.82)+0.78*(F614-30))*G614)</f>
        <v>7.5187980000000012</v>
      </c>
      <c r="I614" s="420"/>
      <c r="J614" s="420" t="str">
        <f t="shared" si="187"/>
        <v/>
      </c>
      <c r="K614" s="421">
        <f t="shared" si="181"/>
        <v>0</v>
      </c>
      <c r="L614" s="668" t="s">
        <v>614</v>
      </c>
      <c r="M614" s="669"/>
      <c r="N614" s="576">
        <f t="shared" si="186"/>
        <v>0</v>
      </c>
      <c r="O614" s="577">
        <f t="shared" si="174"/>
        <v>0</v>
      </c>
      <c r="P614" s="578">
        <f t="shared" si="175"/>
        <v>0</v>
      </c>
      <c r="Q614" s="765"/>
      <c r="R614" s="669"/>
      <c r="S614" s="670"/>
      <c r="T614" s="577">
        <f t="shared" si="172"/>
        <v>0</v>
      </c>
      <c r="U614" s="578">
        <f t="shared" si="173"/>
        <v>0</v>
      </c>
      <c r="V614" s="579"/>
      <c r="W614" s="637" t="str">
        <f>IF(U613&gt;0,"xx",IF(P613&gt;0,"xy",""))</f>
        <v/>
      </c>
      <c r="X614" s="586" t="str">
        <f t="shared" si="191"/>
        <v/>
      </c>
      <c r="Y614" s="586" t="str">
        <f t="shared" si="189"/>
        <v/>
      </c>
      <c r="Z614" s="586" t="str">
        <f t="shared" si="183"/>
        <v/>
      </c>
    </row>
    <row r="615" spans="1:26" hidden="1" x14ac:dyDescent="0.2">
      <c r="A615" s="567" t="s">
        <v>168</v>
      </c>
      <c r="B615" s="644" t="s">
        <v>168</v>
      </c>
      <c r="C615" s="645"/>
      <c r="D615" s="451" t="s">
        <v>248</v>
      </c>
      <c r="E615" s="423"/>
      <c r="F615" s="424">
        <v>180</v>
      </c>
      <c r="G615" s="425">
        <f>ROUND(0.96*0.07,4)</f>
        <v>6.7199999999999996E-2</v>
      </c>
      <c r="H615" s="663">
        <f t="shared" ref="H615:H616" si="193">IF(F615&lt;=30,(1.07*F615+2.68)*G615,((1.07*30+2.68)+1.07*(F615-30))*G615)</f>
        <v>13.122815999999998</v>
      </c>
      <c r="I615" s="420"/>
      <c r="J615" s="420" t="str">
        <f t="shared" si="187"/>
        <v/>
      </c>
      <c r="K615" s="421">
        <f t="shared" si="181"/>
        <v>0</v>
      </c>
      <c r="L615" s="668" t="s">
        <v>614</v>
      </c>
      <c r="M615" s="669"/>
      <c r="N615" s="576">
        <f t="shared" si="186"/>
        <v>0</v>
      </c>
      <c r="O615" s="577">
        <f t="shared" si="174"/>
        <v>0</v>
      </c>
      <c r="P615" s="578">
        <f t="shared" si="175"/>
        <v>0</v>
      </c>
      <c r="Q615" s="765"/>
      <c r="R615" s="669"/>
      <c r="S615" s="670"/>
      <c r="T615" s="577">
        <f t="shared" si="172"/>
        <v>0</v>
      </c>
      <c r="U615" s="578">
        <f t="shared" si="173"/>
        <v>0</v>
      </c>
      <c r="V615" s="579"/>
      <c r="W615" s="637" t="str">
        <f>IF(U613&gt;0,"xx",IF(P613&gt;0,"xy",""))</f>
        <v/>
      </c>
      <c r="X615" s="586" t="str">
        <f t="shared" si="191"/>
        <v/>
      </c>
      <c r="Y615" s="586" t="str">
        <f t="shared" si="189"/>
        <v/>
      </c>
      <c r="Z615" s="586" t="str">
        <f t="shared" si="183"/>
        <v/>
      </c>
    </row>
    <row r="616" spans="1:26" hidden="1" x14ac:dyDescent="0.2">
      <c r="A616" s="567" t="s">
        <v>168</v>
      </c>
      <c r="B616" s="644" t="s">
        <v>168</v>
      </c>
      <c r="C616" s="645"/>
      <c r="D616" s="451" t="s">
        <v>252</v>
      </c>
      <c r="E616" s="423"/>
      <c r="F616" s="424">
        <v>20</v>
      </c>
      <c r="G616" s="425">
        <f>ROUND(1.11*0.07,4)</f>
        <v>7.7700000000000005E-2</v>
      </c>
      <c r="H616" s="663">
        <f t="shared" si="193"/>
        <v>1.8710160000000002</v>
      </c>
      <c r="I616" s="420"/>
      <c r="J616" s="420" t="str">
        <f t="shared" si="187"/>
        <v/>
      </c>
      <c r="K616" s="421">
        <f t="shared" si="181"/>
        <v>0</v>
      </c>
      <c r="L616" s="668" t="s">
        <v>614</v>
      </c>
      <c r="M616" s="669"/>
      <c r="N616" s="576">
        <f t="shared" si="186"/>
        <v>0</v>
      </c>
      <c r="O616" s="577">
        <f t="shared" si="174"/>
        <v>0</v>
      </c>
      <c r="P616" s="578">
        <f t="shared" si="175"/>
        <v>0</v>
      </c>
      <c r="Q616" s="765"/>
      <c r="R616" s="669"/>
      <c r="S616" s="670"/>
      <c r="T616" s="577">
        <f t="shared" ref="T616:T691" si="194">IF(ISBLANK(R616),0,ROUND(K616*R616,2))</f>
        <v>0</v>
      </c>
      <c r="U616" s="578">
        <f t="shared" ref="U616:U691" si="195">IF(ISBLANK(R616),0,ROUND(R616*S616,2))</f>
        <v>0</v>
      </c>
      <c r="V616" s="579"/>
      <c r="W616" s="637" t="str">
        <f>IF(U613&gt;0,"xx",IF(P613&gt;0,"xy",""))</f>
        <v/>
      </c>
      <c r="X616" s="586" t="str">
        <f t="shared" si="191"/>
        <v/>
      </c>
      <c r="Y616" s="586" t="str">
        <f t="shared" si="189"/>
        <v/>
      </c>
      <c r="Z616" s="586" t="str">
        <f t="shared" si="183"/>
        <v/>
      </c>
    </row>
    <row r="617" spans="1:26" hidden="1" x14ac:dyDescent="0.2">
      <c r="A617" s="567">
        <v>605000</v>
      </c>
      <c r="B617" s="644" t="s">
        <v>1815</v>
      </c>
      <c r="C617" s="645" t="s">
        <v>206</v>
      </c>
      <c r="D617" s="422" t="s">
        <v>631</v>
      </c>
      <c r="E617" s="423"/>
      <c r="F617" s="424"/>
      <c r="G617" s="425"/>
      <c r="H617" s="651">
        <f>SUM(H618:H620)*0.05</f>
        <v>1.2864360000000001</v>
      </c>
      <c r="I617" s="420">
        <v>39.853200000000001</v>
      </c>
      <c r="J617" s="420">
        <f t="shared" si="187"/>
        <v>41.139636000000003</v>
      </c>
      <c r="K617" s="421">
        <f t="shared" si="181"/>
        <v>48.88</v>
      </c>
      <c r="L617" s="647" t="s">
        <v>18</v>
      </c>
      <c r="M617" s="576"/>
      <c r="N617" s="576">
        <f t="shared" si="186"/>
        <v>0</v>
      </c>
      <c r="O617" s="577">
        <f t="shared" ref="O617:O692" si="196">IF(ISBLANK(M617),0,ROUND(K617*M617,2))</f>
        <v>0</v>
      </c>
      <c r="P617" s="578">
        <f t="shared" ref="P617:P692" si="197">IF(ISBLANK(N617),0,ROUND(M617*N617,2))</f>
        <v>0</v>
      </c>
      <c r="Q617" s="765"/>
      <c r="R617" s="576">
        <f>M617</f>
        <v>0</v>
      </c>
      <c r="S617" s="576">
        <f t="shared" ref="S617:S662" si="198">N617</f>
        <v>0</v>
      </c>
      <c r="T617" s="577">
        <f t="shared" si="194"/>
        <v>0</v>
      </c>
      <c r="U617" s="578">
        <f t="shared" si="195"/>
        <v>0</v>
      </c>
      <c r="V617" s="579"/>
      <c r="W617" s="566"/>
      <c r="X617" s="586" t="str">
        <f t="shared" si="191"/>
        <v/>
      </c>
      <c r="Y617" s="586" t="str">
        <f t="shared" si="189"/>
        <v/>
      </c>
      <c r="Z617" s="586" t="str">
        <f t="shared" si="183"/>
        <v/>
      </c>
    </row>
    <row r="618" spans="1:26" hidden="1" x14ac:dyDescent="0.2">
      <c r="A618" s="567" t="s">
        <v>168</v>
      </c>
      <c r="B618" s="644" t="s">
        <v>168</v>
      </c>
      <c r="C618" s="645"/>
      <c r="D618" s="451" t="s">
        <v>212</v>
      </c>
      <c r="E618" s="423"/>
      <c r="F618" s="424">
        <v>500</v>
      </c>
      <c r="G618" s="425">
        <f>ROUND(0.27*0.08,4)</f>
        <v>2.1600000000000001E-2</v>
      </c>
      <c r="H618" s="649">
        <f>IF(F618&lt;=30,(0.78*F618+7.82)*G618,((0.78*30+7.82)+0.78*(F618-30))*G618)</f>
        <v>8.5929120000000019</v>
      </c>
      <c r="I618" s="420">
        <v>0</v>
      </c>
      <c r="J618" s="420"/>
      <c r="K618" s="421">
        <f t="shared" si="181"/>
        <v>0</v>
      </c>
      <c r="L618" s="668" t="s">
        <v>614</v>
      </c>
      <c r="M618" s="669"/>
      <c r="N618" s="576">
        <f t="shared" si="186"/>
        <v>0</v>
      </c>
      <c r="O618" s="577">
        <f t="shared" si="196"/>
        <v>0</v>
      </c>
      <c r="P618" s="578">
        <f t="shared" si="197"/>
        <v>0</v>
      </c>
      <c r="Q618" s="765"/>
      <c r="R618" s="669"/>
      <c r="S618" s="670"/>
      <c r="T618" s="577">
        <f t="shared" si="194"/>
        <v>0</v>
      </c>
      <c r="U618" s="578">
        <f t="shared" si="195"/>
        <v>0</v>
      </c>
      <c r="V618" s="579"/>
      <c r="W618" s="637" t="str">
        <f>IF(U617&gt;0,"xx",IF(P617&gt;0,"xy",""))</f>
        <v/>
      </c>
      <c r="X618" s="586" t="str">
        <f t="shared" si="191"/>
        <v/>
      </c>
      <c r="Y618" s="586" t="str">
        <f t="shared" si="189"/>
        <v/>
      </c>
      <c r="Z618" s="586" t="str">
        <f t="shared" si="183"/>
        <v/>
      </c>
    </row>
    <row r="619" spans="1:26" hidden="1" x14ac:dyDescent="0.2">
      <c r="A619" s="567" t="s">
        <v>168</v>
      </c>
      <c r="B619" s="644" t="s">
        <v>168</v>
      </c>
      <c r="C619" s="645"/>
      <c r="D619" s="451" t="s">
        <v>248</v>
      </c>
      <c r="E619" s="423"/>
      <c r="F619" s="424">
        <v>180</v>
      </c>
      <c r="G619" s="425">
        <f>ROUND(0.96*0.08,4)</f>
        <v>7.6799999999999993E-2</v>
      </c>
      <c r="H619" s="663">
        <f t="shared" ref="H619:H620" si="199">IF(F619&lt;=30,(1.07*F619+2.68)*G619,((1.07*30+2.68)+1.07*(F619-30))*G619)</f>
        <v>14.997503999999999</v>
      </c>
      <c r="I619" s="420">
        <v>0</v>
      </c>
      <c r="J619" s="420"/>
      <c r="K619" s="421">
        <f t="shared" si="181"/>
        <v>0</v>
      </c>
      <c r="L619" s="668" t="s">
        <v>614</v>
      </c>
      <c r="M619" s="669"/>
      <c r="N619" s="576">
        <f t="shared" si="186"/>
        <v>0</v>
      </c>
      <c r="O619" s="577">
        <f t="shared" si="196"/>
        <v>0</v>
      </c>
      <c r="P619" s="578">
        <f t="shared" si="197"/>
        <v>0</v>
      </c>
      <c r="Q619" s="765"/>
      <c r="R619" s="669"/>
      <c r="S619" s="670"/>
      <c r="T619" s="577">
        <f t="shared" si="194"/>
        <v>0</v>
      </c>
      <c r="U619" s="578">
        <f t="shared" si="195"/>
        <v>0</v>
      </c>
      <c r="V619" s="579"/>
      <c r="W619" s="637" t="str">
        <f>IF(U617&gt;0,"xx",IF(P617&gt;0,"xy",""))</f>
        <v/>
      </c>
      <c r="X619" s="586" t="str">
        <f t="shared" si="191"/>
        <v/>
      </c>
      <c r="Y619" s="586" t="str">
        <f t="shared" si="189"/>
        <v/>
      </c>
      <c r="Z619" s="586" t="str">
        <f t="shared" si="183"/>
        <v/>
      </c>
    </row>
    <row r="620" spans="1:26" hidden="1" x14ac:dyDescent="0.2">
      <c r="A620" s="567" t="s">
        <v>168</v>
      </c>
      <c r="B620" s="644" t="s">
        <v>168</v>
      </c>
      <c r="C620" s="645"/>
      <c r="D620" s="451" t="s">
        <v>252</v>
      </c>
      <c r="E620" s="423"/>
      <c r="F620" s="424">
        <v>20</v>
      </c>
      <c r="G620" s="425">
        <f>ROUND(1.11*0.08,4)</f>
        <v>8.8800000000000004E-2</v>
      </c>
      <c r="H620" s="663">
        <f t="shared" si="199"/>
        <v>2.1383040000000002</v>
      </c>
      <c r="I620" s="420">
        <v>0</v>
      </c>
      <c r="J620" s="420"/>
      <c r="K620" s="421">
        <f t="shared" si="181"/>
        <v>0</v>
      </c>
      <c r="L620" s="668" t="s">
        <v>614</v>
      </c>
      <c r="M620" s="669"/>
      <c r="N620" s="576">
        <f t="shared" si="186"/>
        <v>0</v>
      </c>
      <c r="O620" s="577">
        <f t="shared" si="196"/>
        <v>0</v>
      </c>
      <c r="P620" s="578">
        <f t="shared" si="197"/>
        <v>0</v>
      </c>
      <c r="Q620" s="765"/>
      <c r="R620" s="669"/>
      <c r="S620" s="670"/>
      <c r="T620" s="577">
        <f t="shared" si="194"/>
        <v>0</v>
      </c>
      <c r="U620" s="578">
        <f t="shared" si="195"/>
        <v>0</v>
      </c>
      <c r="V620" s="579"/>
      <c r="W620" s="637" t="str">
        <f>IF(U617&gt;0,"xx",IF(P617&gt;0,"xy",""))</f>
        <v/>
      </c>
      <c r="X620" s="586" t="str">
        <f t="shared" si="191"/>
        <v/>
      </c>
      <c r="Y620" s="586" t="str">
        <f t="shared" si="189"/>
        <v/>
      </c>
      <c r="Z620" s="586" t="str">
        <f t="shared" si="183"/>
        <v/>
      </c>
    </row>
    <row r="621" spans="1:26" hidden="1" x14ac:dyDescent="0.2">
      <c r="A621" s="567">
        <v>511000</v>
      </c>
      <c r="B621" s="644" t="s">
        <v>1534</v>
      </c>
      <c r="C621" s="645" t="s">
        <v>206</v>
      </c>
      <c r="D621" s="422" t="s">
        <v>283</v>
      </c>
      <c r="E621" s="423"/>
      <c r="F621" s="424">
        <v>0</v>
      </c>
      <c r="G621" s="425"/>
      <c r="H621" s="651">
        <f>IF(F621&lt;=30,(0.62*F621+6.29)*G621,((0.62*30+6.29)+0.62*(F621-30))*G621)</f>
        <v>0</v>
      </c>
      <c r="I621" s="420">
        <v>4.95</v>
      </c>
      <c r="J621" s="420">
        <f t="shared" ref="J621:J626" si="200">IF(ISBLANK(I621),"",SUM(H621:I621))</f>
        <v>4.95</v>
      </c>
      <c r="K621" s="421">
        <f t="shared" si="181"/>
        <v>5.88</v>
      </c>
      <c r="L621" s="647" t="s">
        <v>18</v>
      </c>
      <c r="M621" s="576"/>
      <c r="N621" s="576">
        <f t="shared" si="186"/>
        <v>0</v>
      </c>
      <c r="O621" s="577">
        <f t="shared" si="196"/>
        <v>0</v>
      </c>
      <c r="P621" s="578">
        <f t="shared" si="197"/>
        <v>0</v>
      </c>
      <c r="Q621" s="765"/>
      <c r="R621" s="576">
        <f t="shared" ref="R621:R633" si="201">M621</f>
        <v>0</v>
      </c>
      <c r="S621" s="576">
        <f t="shared" si="198"/>
        <v>0</v>
      </c>
      <c r="T621" s="577">
        <f t="shared" si="194"/>
        <v>0</v>
      </c>
      <c r="U621" s="578">
        <f t="shared" si="195"/>
        <v>0</v>
      </c>
      <c r="V621" s="579"/>
      <c r="W621" s="566"/>
      <c r="X621" s="586" t="str">
        <f t="shared" si="191"/>
        <v/>
      </c>
      <c r="Y621" s="586" t="str">
        <f t="shared" si="189"/>
        <v/>
      </c>
      <c r="Z621" s="586" t="str">
        <f t="shared" si="183"/>
        <v/>
      </c>
    </row>
    <row r="622" spans="1:26" hidden="1" x14ac:dyDescent="0.2">
      <c r="A622" s="567">
        <v>511100</v>
      </c>
      <c r="B622" s="644" t="s">
        <v>1539</v>
      </c>
      <c r="C622" s="645" t="s">
        <v>206</v>
      </c>
      <c r="D622" s="422" t="s">
        <v>284</v>
      </c>
      <c r="E622" s="423"/>
      <c r="F622" s="424">
        <v>0</v>
      </c>
      <c r="G622" s="425">
        <v>0</v>
      </c>
      <c r="H622" s="651">
        <f>IF(F622&lt;=30,(0.62*F622+6.29)*G622,((0.62*30+6.29)+0.62*(F622-30))*G622)</f>
        <v>0</v>
      </c>
      <c r="I622" s="420">
        <v>4.33</v>
      </c>
      <c r="J622" s="420">
        <f t="shared" si="200"/>
        <v>4.33</v>
      </c>
      <c r="K622" s="421">
        <f t="shared" si="181"/>
        <v>5.14</v>
      </c>
      <c r="L622" s="647" t="s">
        <v>18</v>
      </c>
      <c r="M622" s="576"/>
      <c r="N622" s="576">
        <f t="shared" si="186"/>
        <v>0</v>
      </c>
      <c r="O622" s="577">
        <f t="shared" si="196"/>
        <v>0</v>
      </c>
      <c r="P622" s="578">
        <f t="shared" si="197"/>
        <v>0</v>
      </c>
      <c r="Q622" s="765"/>
      <c r="R622" s="576">
        <f t="shared" si="201"/>
        <v>0</v>
      </c>
      <c r="S622" s="576">
        <f t="shared" si="198"/>
        <v>0</v>
      </c>
      <c r="T622" s="577">
        <f t="shared" si="194"/>
        <v>0</v>
      </c>
      <c r="U622" s="578">
        <f t="shared" si="195"/>
        <v>0</v>
      </c>
      <c r="V622" s="579"/>
      <c r="W622" s="566"/>
      <c r="X622" s="586" t="str">
        <f t="shared" si="191"/>
        <v/>
      </c>
      <c r="Y622" s="586" t="str">
        <f t="shared" si="189"/>
        <v/>
      </c>
      <c r="Z622" s="586" t="str">
        <f t="shared" si="183"/>
        <v/>
      </c>
    </row>
    <row r="623" spans="1:26" hidden="1" x14ac:dyDescent="0.2">
      <c r="A623" s="567">
        <v>520100</v>
      </c>
      <c r="B623" s="644" t="s">
        <v>1816</v>
      </c>
      <c r="C623" s="645" t="s">
        <v>206</v>
      </c>
      <c r="D623" s="422" t="s">
        <v>285</v>
      </c>
      <c r="E623" s="423"/>
      <c r="F623" s="418">
        <v>0.5</v>
      </c>
      <c r="G623" s="419">
        <f>1.5*1.4</f>
        <v>2.0999999999999996</v>
      </c>
      <c r="H623" s="663">
        <f t="shared" ref="H623:H632" si="202">IF(F623&lt;=30,(1.07*F623+2.68)*G623,((1.07*30+2.68)+1.07*(F623-30))*G623)</f>
        <v>6.7514999999999992</v>
      </c>
      <c r="I623" s="449">
        <v>13.587999999999999</v>
      </c>
      <c r="J623" s="420">
        <f t="shared" si="200"/>
        <v>20.339499999999997</v>
      </c>
      <c r="K623" s="421">
        <f t="shared" si="181"/>
        <v>24.17</v>
      </c>
      <c r="L623" s="647" t="s">
        <v>16</v>
      </c>
      <c r="M623" s="576"/>
      <c r="N623" s="576">
        <f t="shared" si="186"/>
        <v>0</v>
      </c>
      <c r="O623" s="577">
        <f t="shared" si="196"/>
        <v>0</v>
      </c>
      <c r="P623" s="578">
        <f t="shared" si="197"/>
        <v>0</v>
      </c>
      <c r="Q623" s="765"/>
      <c r="R623" s="576">
        <f t="shared" si="201"/>
        <v>0</v>
      </c>
      <c r="S623" s="576">
        <f t="shared" si="198"/>
        <v>0</v>
      </c>
      <c r="T623" s="577">
        <f t="shared" si="194"/>
        <v>0</v>
      </c>
      <c r="U623" s="578">
        <f t="shared" si="195"/>
        <v>0</v>
      </c>
      <c r="V623" s="579"/>
      <c r="W623" s="566"/>
      <c r="X623" s="586" t="str">
        <f t="shared" si="191"/>
        <v/>
      </c>
      <c r="Y623" s="586" t="str">
        <f t="shared" si="189"/>
        <v/>
      </c>
      <c r="Z623" s="586" t="str">
        <f t="shared" si="183"/>
        <v/>
      </c>
    </row>
    <row r="624" spans="1:26" hidden="1" x14ac:dyDescent="0.2">
      <c r="A624" s="567">
        <v>520100</v>
      </c>
      <c r="B624" s="644" t="s">
        <v>1817</v>
      </c>
      <c r="C624" s="645" t="s">
        <v>206</v>
      </c>
      <c r="D624" s="422" t="s">
        <v>286</v>
      </c>
      <c r="E624" s="423"/>
      <c r="F624" s="418">
        <v>15</v>
      </c>
      <c r="G624" s="419">
        <f>1.5*1.4</f>
        <v>2.0999999999999996</v>
      </c>
      <c r="H624" s="663">
        <f t="shared" si="202"/>
        <v>39.332999999999991</v>
      </c>
      <c r="I624" s="449">
        <v>13.587999999999999</v>
      </c>
      <c r="J624" s="420">
        <f t="shared" si="200"/>
        <v>52.920999999999992</v>
      </c>
      <c r="K624" s="421">
        <f t="shared" si="181"/>
        <v>62.88</v>
      </c>
      <c r="L624" s="647" t="s">
        <v>16</v>
      </c>
      <c r="M624" s="576"/>
      <c r="N624" s="576">
        <f t="shared" si="186"/>
        <v>0</v>
      </c>
      <c r="O624" s="577">
        <f t="shared" si="196"/>
        <v>0</v>
      </c>
      <c r="P624" s="578">
        <f t="shared" si="197"/>
        <v>0</v>
      </c>
      <c r="Q624" s="765"/>
      <c r="R624" s="576">
        <f t="shared" si="201"/>
        <v>0</v>
      </c>
      <c r="S624" s="576">
        <f t="shared" si="198"/>
        <v>0</v>
      </c>
      <c r="T624" s="577">
        <f t="shared" si="194"/>
        <v>0</v>
      </c>
      <c r="U624" s="578">
        <f t="shared" si="195"/>
        <v>0</v>
      </c>
      <c r="V624" s="579"/>
      <c r="W624" s="566"/>
      <c r="X624" s="586" t="str">
        <f t="shared" si="191"/>
        <v/>
      </c>
      <c r="Y624" s="586" t="str">
        <f t="shared" si="189"/>
        <v/>
      </c>
      <c r="Z624" s="586" t="str">
        <f t="shared" si="183"/>
        <v/>
      </c>
    </row>
    <row r="625" spans="1:26" hidden="1" x14ac:dyDescent="0.2">
      <c r="A625" s="567">
        <v>533500</v>
      </c>
      <c r="B625" s="644" t="s">
        <v>1818</v>
      </c>
      <c r="C625" s="645" t="s">
        <v>206</v>
      </c>
      <c r="D625" s="422" t="s">
        <v>481</v>
      </c>
      <c r="E625" s="423"/>
      <c r="F625" s="418">
        <v>15</v>
      </c>
      <c r="G625" s="419">
        <v>1.95</v>
      </c>
      <c r="H625" s="663">
        <f t="shared" si="202"/>
        <v>36.523499999999999</v>
      </c>
      <c r="I625" s="420">
        <v>26.299999999999997</v>
      </c>
      <c r="J625" s="420">
        <f t="shared" si="200"/>
        <v>62.823499999999996</v>
      </c>
      <c r="K625" s="421">
        <f t="shared" si="181"/>
        <v>74.64</v>
      </c>
      <c r="L625" s="647" t="s">
        <v>16</v>
      </c>
      <c r="M625" s="576"/>
      <c r="N625" s="576">
        <f t="shared" si="186"/>
        <v>0</v>
      </c>
      <c r="O625" s="577">
        <f t="shared" si="196"/>
        <v>0</v>
      </c>
      <c r="P625" s="578">
        <f t="shared" si="197"/>
        <v>0</v>
      </c>
      <c r="Q625" s="765"/>
      <c r="R625" s="576">
        <f t="shared" si="201"/>
        <v>0</v>
      </c>
      <c r="S625" s="576">
        <f t="shared" si="198"/>
        <v>0</v>
      </c>
      <c r="T625" s="577">
        <f t="shared" si="194"/>
        <v>0</v>
      </c>
      <c r="U625" s="578">
        <f t="shared" si="195"/>
        <v>0</v>
      </c>
      <c r="V625" s="579"/>
      <c r="W625" s="566"/>
      <c r="X625" s="586" t="str">
        <f t="shared" si="191"/>
        <v/>
      </c>
      <c r="Y625" s="586" t="str">
        <f t="shared" si="189"/>
        <v/>
      </c>
      <c r="Z625" s="586" t="str">
        <f t="shared" si="183"/>
        <v/>
      </c>
    </row>
    <row r="626" spans="1:26" hidden="1" x14ac:dyDescent="0.2">
      <c r="A626" s="567">
        <v>533100</v>
      </c>
      <c r="B626" s="644" t="s">
        <v>1819</v>
      </c>
      <c r="C626" s="645" t="s">
        <v>206</v>
      </c>
      <c r="D626" s="422" t="s">
        <v>492</v>
      </c>
      <c r="E626" s="423"/>
      <c r="F626" s="418">
        <v>15</v>
      </c>
      <c r="G626" s="419">
        <v>1.98</v>
      </c>
      <c r="H626" s="663">
        <f t="shared" si="202"/>
        <v>37.0854</v>
      </c>
      <c r="I626" s="420">
        <v>31.15</v>
      </c>
      <c r="J626" s="420">
        <f t="shared" si="200"/>
        <v>68.235399999999998</v>
      </c>
      <c r="K626" s="421">
        <f t="shared" si="181"/>
        <v>81.069999999999993</v>
      </c>
      <c r="L626" s="647" t="s">
        <v>16</v>
      </c>
      <c r="M626" s="576"/>
      <c r="N626" s="576">
        <f t="shared" si="186"/>
        <v>0</v>
      </c>
      <c r="O626" s="577">
        <f t="shared" si="196"/>
        <v>0</v>
      </c>
      <c r="P626" s="578">
        <f t="shared" si="197"/>
        <v>0</v>
      </c>
      <c r="Q626" s="765"/>
      <c r="R626" s="576">
        <f t="shared" si="201"/>
        <v>0</v>
      </c>
      <c r="S626" s="576">
        <f t="shared" si="198"/>
        <v>0</v>
      </c>
      <c r="T626" s="577">
        <f t="shared" si="194"/>
        <v>0</v>
      </c>
      <c r="U626" s="578">
        <f t="shared" si="195"/>
        <v>0</v>
      </c>
      <c r="V626" s="579"/>
      <c r="W626" s="566"/>
      <c r="X626" s="586" t="str">
        <f t="shared" si="191"/>
        <v/>
      </c>
      <c r="Y626" s="586" t="str">
        <f t="shared" si="189"/>
        <v/>
      </c>
      <c r="Z626" s="586" t="str">
        <f t="shared" si="183"/>
        <v/>
      </c>
    </row>
    <row r="627" spans="1:26" hidden="1" x14ac:dyDescent="0.2">
      <c r="A627" s="567">
        <v>533100</v>
      </c>
      <c r="B627" s="644" t="s">
        <v>1820</v>
      </c>
      <c r="C627" s="645" t="s">
        <v>206</v>
      </c>
      <c r="D627" s="422" t="s">
        <v>287</v>
      </c>
      <c r="E627" s="423"/>
      <c r="F627" s="418">
        <v>15</v>
      </c>
      <c r="G627" s="419">
        <v>2.1</v>
      </c>
      <c r="H627" s="663">
        <f t="shared" si="202"/>
        <v>39.333000000000006</v>
      </c>
      <c r="I627" s="420">
        <v>31.15</v>
      </c>
      <c r="J627" s="420">
        <f t="shared" ref="J627:J632" si="203">IF(ISBLANK(I627),"",SUM(H627:I627))</f>
        <v>70.483000000000004</v>
      </c>
      <c r="K627" s="421">
        <f t="shared" si="181"/>
        <v>83.74</v>
      </c>
      <c r="L627" s="647" t="s">
        <v>16</v>
      </c>
      <c r="M627" s="576"/>
      <c r="N627" s="576">
        <f t="shared" si="186"/>
        <v>0</v>
      </c>
      <c r="O627" s="577">
        <f t="shared" si="196"/>
        <v>0</v>
      </c>
      <c r="P627" s="578">
        <f t="shared" si="197"/>
        <v>0</v>
      </c>
      <c r="Q627" s="765"/>
      <c r="R627" s="576">
        <f t="shared" si="201"/>
        <v>0</v>
      </c>
      <c r="S627" s="576">
        <f t="shared" si="198"/>
        <v>0</v>
      </c>
      <c r="T627" s="577">
        <f t="shared" si="194"/>
        <v>0</v>
      </c>
      <c r="U627" s="578">
        <f t="shared" si="195"/>
        <v>0</v>
      </c>
      <c r="V627" s="579"/>
      <c r="W627" s="566"/>
      <c r="X627" s="586" t="str">
        <f t="shared" si="191"/>
        <v/>
      </c>
      <c r="Y627" s="586" t="str">
        <f t="shared" si="189"/>
        <v/>
      </c>
      <c r="Z627" s="586" t="str">
        <f t="shared" si="183"/>
        <v/>
      </c>
    </row>
    <row r="628" spans="1:26" hidden="1" x14ac:dyDescent="0.2">
      <c r="A628" s="567">
        <v>530200</v>
      </c>
      <c r="B628" s="644" t="s">
        <v>1821</v>
      </c>
      <c r="C628" s="645" t="s">
        <v>206</v>
      </c>
      <c r="D628" s="422" t="s">
        <v>236</v>
      </c>
      <c r="E628" s="423"/>
      <c r="F628" s="418">
        <v>20</v>
      </c>
      <c r="G628" s="419">
        <v>2.2000000000000002</v>
      </c>
      <c r="H628" s="663">
        <f t="shared" si="202"/>
        <v>52.976000000000006</v>
      </c>
      <c r="I628" s="420">
        <v>94.56</v>
      </c>
      <c r="J628" s="420">
        <f t="shared" si="203"/>
        <v>147.536</v>
      </c>
      <c r="K628" s="421">
        <f t="shared" si="181"/>
        <v>175.29</v>
      </c>
      <c r="L628" s="647" t="s">
        <v>16</v>
      </c>
      <c r="M628" s="576"/>
      <c r="N628" s="576">
        <f t="shared" si="186"/>
        <v>0</v>
      </c>
      <c r="O628" s="577">
        <f t="shared" si="196"/>
        <v>0</v>
      </c>
      <c r="P628" s="578">
        <f t="shared" si="197"/>
        <v>0</v>
      </c>
      <c r="Q628" s="765"/>
      <c r="R628" s="576">
        <f t="shared" si="201"/>
        <v>0</v>
      </c>
      <c r="S628" s="576">
        <f t="shared" si="198"/>
        <v>0</v>
      </c>
      <c r="T628" s="577">
        <f t="shared" si="194"/>
        <v>0</v>
      </c>
      <c r="U628" s="578">
        <f t="shared" si="195"/>
        <v>0</v>
      </c>
      <c r="V628" s="579"/>
      <c r="W628" s="566"/>
      <c r="X628" s="586" t="str">
        <f t="shared" si="191"/>
        <v/>
      </c>
      <c r="Y628" s="586" t="str">
        <f t="shared" si="189"/>
        <v/>
      </c>
      <c r="Z628" s="586" t="str">
        <f t="shared" si="183"/>
        <v/>
      </c>
    </row>
    <row r="629" spans="1:26" hidden="1" x14ac:dyDescent="0.2">
      <c r="A629" s="567" t="s">
        <v>2066</v>
      </c>
      <c r="B629" s="644" t="s">
        <v>1571</v>
      </c>
      <c r="C629" s="645" t="s">
        <v>484</v>
      </c>
      <c r="D629" s="422" t="s">
        <v>633</v>
      </c>
      <c r="E629" s="423"/>
      <c r="F629" s="418">
        <v>10</v>
      </c>
      <c r="G629" s="419">
        <v>1.95</v>
      </c>
      <c r="H629" s="663">
        <f t="shared" si="202"/>
        <v>26.091000000000001</v>
      </c>
      <c r="I629" s="420">
        <v>72.11</v>
      </c>
      <c r="J629" s="420">
        <f t="shared" si="203"/>
        <v>98.200999999999993</v>
      </c>
      <c r="K629" s="421">
        <f t="shared" si="181"/>
        <v>116.67</v>
      </c>
      <c r="L629" s="647" t="s">
        <v>16</v>
      </c>
      <c r="M629" s="576"/>
      <c r="N629" s="576">
        <f t="shared" si="186"/>
        <v>0</v>
      </c>
      <c r="O629" s="577">
        <f t="shared" si="196"/>
        <v>0</v>
      </c>
      <c r="P629" s="578">
        <f t="shared" si="197"/>
        <v>0</v>
      </c>
      <c r="Q629" s="765"/>
      <c r="R629" s="576">
        <f t="shared" si="201"/>
        <v>0</v>
      </c>
      <c r="S629" s="576">
        <f t="shared" si="198"/>
        <v>0</v>
      </c>
      <c r="T629" s="577">
        <f t="shared" si="194"/>
        <v>0</v>
      </c>
      <c r="U629" s="578">
        <f t="shared" si="195"/>
        <v>0</v>
      </c>
      <c r="V629" s="579"/>
      <c r="W629" s="566"/>
      <c r="X629" s="586" t="str">
        <f t="shared" si="191"/>
        <v/>
      </c>
      <c r="Y629" s="586" t="str">
        <f t="shared" si="189"/>
        <v/>
      </c>
      <c r="Z629" s="586" t="str">
        <f t="shared" si="183"/>
        <v/>
      </c>
    </row>
    <row r="630" spans="1:26" hidden="1" x14ac:dyDescent="0.2">
      <c r="A630" s="567" t="s">
        <v>2067</v>
      </c>
      <c r="B630" s="644" t="s">
        <v>1572</v>
      </c>
      <c r="C630" s="645" t="s">
        <v>484</v>
      </c>
      <c r="D630" s="422" t="s">
        <v>634</v>
      </c>
      <c r="E630" s="423"/>
      <c r="F630" s="418">
        <v>11</v>
      </c>
      <c r="G630" s="419">
        <v>2.1</v>
      </c>
      <c r="H630" s="663">
        <f t="shared" si="202"/>
        <v>30.345000000000002</v>
      </c>
      <c r="I630" s="420">
        <v>88.65</v>
      </c>
      <c r="J630" s="420">
        <f t="shared" si="203"/>
        <v>118.995</v>
      </c>
      <c r="K630" s="421">
        <f t="shared" si="181"/>
        <v>141.38</v>
      </c>
      <c r="L630" s="647" t="s">
        <v>16</v>
      </c>
      <c r="M630" s="576"/>
      <c r="N630" s="576">
        <f t="shared" si="186"/>
        <v>0</v>
      </c>
      <c r="O630" s="577">
        <f t="shared" si="196"/>
        <v>0</v>
      </c>
      <c r="P630" s="578">
        <f t="shared" si="197"/>
        <v>0</v>
      </c>
      <c r="Q630" s="765"/>
      <c r="R630" s="576">
        <f t="shared" si="201"/>
        <v>0</v>
      </c>
      <c r="S630" s="576">
        <f t="shared" si="198"/>
        <v>0</v>
      </c>
      <c r="T630" s="577">
        <f t="shared" si="194"/>
        <v>0</v>
      </c>
      <c r="U630" s="578">
        <f t="shared" si="195"/>
        <v>0</v>
      </c>
      <c r="V630" s="579"/>
      <c r="W630" s="566"/>
      <c r="X630" s="586" t="str">
        <f t="shared" si="191"/>
        <v/>
      </c>
      <c r="Y630" s="586" t="str">
        <f t="shared" si="189"/>
        <v/>
      </c>
      <c r="Z630" s="586" t="str">
        <f t="shared" si="183"/>
        <v/>
      </c>
    </row>
    <row r="631" spans="1:26" hidden="1" x14ac:dyDescent="0.2">
      <c r="A631" s="567">
        <v>530200</v>
      </c>
      <c r="B631" s="644" t="s">
        <v>1822</v>
      </c>
      <c r="C631" s="645" t="s">
        <v>206</v>
      </c>
      <c r="D631" s="422" t="s">
        <v>493</v>
      </c>
      <c r="E631" s="423"/>
      <c r="F631" s="418">
        <v>20</v>
      </c>
      <c r="G631" s="419">
        <v>2.2000000000000002</v>
      </c>
      <c r="H631" s="663">
        <f t="shared" si="202"/>
        <v>52.976000000000006</v>
      </c>
      <c r="I631" s="420">
        <v>94.56</v>
      </c>
      <c r="J631" s="420">
        <f t="shared" si="203"/>
        <v>147.536</v>
      </c>
      <c r="K631" s="421">
        <f t="shared" si="181"/>
        <v>175.29</v>
      </c>
      <c r="L631" s="647" t="s">
        <v>16</v>
      </c>
      <c r="M631" s="576"/>
      <c r="N631" s="576">
        <f t="shared" si="186"/>
        <v>0</v>
      </c>
      <c r="O631" s="577">
        <f t="shared" si="196"/>
        <v>0</v>
      </c>
      <c r="P631" s="578">
        <f t="shared" si="197"/>
        <v>0</v>
      </c>
      <c r="Q631" s="765"/>
      <c r="R631" s="576">
        <f t="shared" si="201"/>
        <v>0</v>
      </c>
      <c r="S631" s="576">
        <f t="shared" si="198"/>
        <v>0</v>
      </c>
      <c r="T631" s="577">
        <f t="shared" si="194"/>
        <v>0</v>
      </c>
      <c r="U631" s="578">
        <f t="shared" si="195"/>
        <v>0</v>
      </c>
      <c r="V631" s="579"/>
      <c r="W631" s="566"/>
      <c r="X631" s="586" t="str">
        <f t="shared" si="191"/>
        <v/>
      </c>
      <c r="Y631" s="586" t="str">
        <f t="shared" si="189"/>
        <v/>
      </c>
      <c r="Z631" s="586" t="str">
        <f t="shared" si="183"/>
        <v/>
      </c>
    </row>
    <row r="632" spans="1:26" hidden="1" x14ac:dyDescent="0.2">
      <c r="A632" s="567">
        <v>531000</v>
      </c>
      <c r="B632" s="644" t="s">
        <v>1823</v>
      </c>
      <c r="C632" s="645" t="s">
        <v>206</v>
      </c>
      <c r="D632" s="422" t="s">
        <v>288</v>
      </c>
      <c r="E632" s="423"/>
      <c r="F632" s="424">
        <v>20</v>
      </c>
      <c r="G632" s="425">
        <v>2.4</v>
      </c>
      <c r="H632" s="651">
        <f t="shared" si="202"/>
        <v>57.792000000000002</v>
      </c>
      <c r="I632" s="420">
        <v>127.37</v>
      </c>
      <c r="J632" s="420">
        <f t="shared" si="203"/>
        <v>185.16200000000001</v>
      </c>
      <c r="K632" s="421">
        <f t="shared" si="181"/>
        <v>219.99</v>
      </c>
      <c r="L632" s="647" t="s">
        <v>16</v>
      </c>
      <c r="M632" s="700"/>
      <c r="N632" s="588">
        <f t="shared" si="186"/>
        <v>0</v>
      </c>
      <c r="O632" s="585">
        <f t="shared" si="196"/>
        <v>0</v>
      </c>
      <c r="P632" s="660">
        <f t="shared" si="197"/>
        <v>0</v>
      </c>
      <c r="Q632" s="765"/>
      <c r="R632" s="576">
        <f t="shared" si="201"/>
        <v>0</v>
      </c>
      <c r="S632" s="576">
        <f t="shared" si="198"/>
        <v>0</v>
      </c>
      <c r="T632" s="577">
        <f t="shared" si="194"/>
        <v>0</v>
      </c>
      <c r="U632" s="578">
        <f t="shared" si="195"/>
        <v>0</v>
      </c>
      <c r="V632" s="579"/>
      <c r="W632" s="566"/>
      <c r="X632" s="586" t="str">
        <f t="shared" si="191"/>
        <v/>
      </c>
      <c r="Y632" s="586" t="str">
        <f t="shared" si="189"/>
        <v/>
      </c>
      <c r="Z632" s="586" t="str">
        <f t="shared" si="183"/>
        <v/>
      </c>
    </row>
    <row r="633" spans="1:26" hidden="1" x14ac:dyDescent="0.2">
      <c r="A633" s="567">
        <v>560100</v>
      </c>
      <c r="B633" s="461" t="s">
        <v>1824</v>
      </c>
      <c r="C633" s="462" t="s">
        <v>206</v>
      </c>
      <c r="D633" s="463" t="s">
        <v>1573</v>
      </c>
      <c r="E633" s="464"/>
      <c r="F633" s="465" t="s">
        <v>667</v>
      </c>
      <c r="G633" s="466">
        <v>1.1999999999999999E-3</v>
      </c>
      <c r="H633" s="681"/>
      <c r="I633" s="467">
        <v>0.5</v>
      </c>
      <c r="J633" s="467">
        <f>I633</f>
        <v>0.5</v>
      </c>
      <c r="K633" s="682">
        <f t="shared" si="181"/>
        <v>0.59</v>
      </c>
      <c r="L633" s="683" t="s">
        <v>18</v>
      </c>
      <c r="M633" s="685"/>
      <c r="N633" s="686">
        <f t="shared" si="186"/>
        <v>0</v>
      </c>
      <c r="O633" s="687">
        <f t="shared" si="196"/>
        <v>0</v>
      </c>
      <c r="P633" s="688">
        <f t="shared" si="197"/>
        <v>0</v>
      </c>
      <c r="Q633" s="765"/>
      <c r="R633" s="685">
        <f t="shared" si="201"/>
        <v>0</v>
      </c>
      <c r="S633" s="686">
        <f t="shared" si="198"/>
        <v>0</v>
      </c>
      <c r="T633" s="687">
        <f t="shared" si="194"/>
        <v>0</v>
      </c>
      <c r="U633" s="688">
        <f t="shared" si="195"/>
        <v>0</v>
      </c>
      <c r="V633" s="579"/>
      <c r="W633" s="566"/>
      <c r="X633" s="586" t="str">
        <f t="shared" si="191"/>
        <v/>
      </c>
      <c r="Y633" s="586" t="str">
        <f t="shared" si="189"/>
        <v/>
      </c>
      <c r="Z633" s="586" t="str">
        <f t="shared" si="183"/>
        <v/>
      </c>
    </row>
    <row r="634" spans="1:26" ht="12" hidden="1" thickBot="1" x14ac:dyDescent="0.25">
      <c r="A634" s="567">
        <v>589420</v>
      </c>
      <c r="B634" s="468" t="s">
        <v>1825</v>
      </c>
      <c r="C634" s="488" t="s">
        <v>1746</v>
      </c>
      <c r="D634" s="469" t="s">
        <v>745</v>
      </c>
      <c r="E634" s="470"/>
      <c r="F634" s="471">
        <v>500</v>
      </c>
      <c r="G634" s="785">
        <v>1</v>
      </c>
      <c r="H634" s="663">
        <f>(0.84*F634+41.45)*G634</f>
        <v>461.45</v>
      </c>
      <c r="I634" s="472">
        <v>3820</v>
      </c>
      <c r="J634" s="472">
        <f>IF(ISBLANK(I634),"",I634*(1+$F$9)/(1+$F$10))+H634</f>
        <v>4167.952819627978</v>
      </c>
      <c r="K634" s="690">
        <f t="shared" si="181"/>
        <v>4951.9399999999996</v>
      </c>
      <c r="L634" s="691" t="s">
        <v>20</v>
      </c>
      <c r="M634" s="692">
        <f>ROUND(M633*G633,2)</f>
        <v>0</v>
      </c>
      <c r="N634" s="696">
        <f t="shared" si="186"/>
        <v>0</v>
      </c>
      <c r="O634" s="693">
        <f t="shared" si="196"/>
        <v>0</v>
      </c>
      <c r="P634" s="694">
        <f t="shared" si="197"/>
        <v>0</v>
      </c>
      <c r="Q634" s="765"/>
      <c r="R634" s="695">
        <f>ROUND(R633*G633,2)</f>
        <v>0</v>
      </c>
      <c r="S634" s="696">
        <f t="shared" si="198"/>
        <v>0</v>
      </c>
      <c r="T634" s="693">
        <f t="shared" si="194"/>
        <v>0</v>
      </c>
      <c r="U634" s="694">
        <f t="shared" si="195"/>
        <v>0</v>
      </c>
      <c r="V634" s="579"/>
      <c r="W634" s="566"/>
      <c r="X634" s="586" t="str">
        <f t="shared" si="191"/>
        <v/>
      </c>
      <c r="Y634" s="586" t="str">
        <f t="shared" si="189"/>
        <v/>
      </c>
      <c r="Z634" s="586" t="str">
        <f t="shared" si="183"/>
        <v/>
      </c>
    </row>
    <row r="635" spans="1:26" hidden="1" x14ac:dyDescent="0.2">
      <c r="A635" s="567">
        <v>560100</v>
      </c>
      <c r="B635" s="461" t="s">
        <v>1826</v>
      </c>
      <c r="C635" s="462" t="s">
        <v>206</v>
      </c>
      <c r="D635" s="463" t="s">
        <v>646</v>
      </c>
      <c r="E635" s="464"/>
      <c r="F635" s="465" t="s">
        <v>667</v>
      </c>
      <c r="G635" s="466">
        <v>1.1000000000000001E-3</v>
      </c>
      <c r="H635" s="681"/>
      <c r="I635" s="467">
        <v>0.5</v>
      </c>
      <c r="J635" s="467">
        <f>IF(ISBLANK(I635),"",SUM(H635:I635))</f>
        <v>0.5</v>
      </c>
      <c r="K635" s="682">
        <f t="shared" si="181"/>
        <v>0.59</v>
      </c>
      <c r="L635" s="683" t="s">
        <v>18</v>
      </c>
      <c r="M635" s="685"/>
      <c r="N635" s="576">
        <f t="shared" si="186"/>
        <v>0</v>
      </c>
      <c r="O635" s="687">
        <f t="shared" si="196"/>
        <v>0</v>
      </c>
      <c r="P635" s="688">
        <f t="shared" si="197"/>
        <v>0</v>
      </c>
      <c r="Q635" s="765"/>
      <c r="R635" s="685">
        <f>M635</f>
        <v>0</v>
      </c>
      <c r="S635" s="686">
        <f t="shared" si="198"/>
        <v>0</v>
      </c>
      <c r="T635" s="687">
        <f t="shared" si="194"/>
        <v>0</v>
      </c>
      <c r="U635" s="688">
        <f t="shared" si="195"/>
        <v>0</v>
      </c>
      <c r="V635" s="579"/>
      <c r="W635" s="566"/>
      <c r="X635" s="586" t="str">
        <f t="shared" si="191"/>
        <v/>
      </c>
      <c r="Y635" s="586" t="str">
        <f t="shared" si="189"/>
        <v/>
      </c>
      <c r="Z635" s="586" t="str">
        <f t="shared" si="183"/>
        <v/>
      </c>
    </row>
    <row r="636" spans="1:26" ht="12" hidden="1" thickBot="1" x14ac:dyDescent="0.25">
      <c r="A636" s="567">
        <v>589190</v>
      </c>
      <c r="B636" s="468" t="s">
        <v>1827</v>
      </c>
      <c r="C636" s="488" t="s">
        <v>1746</v>
      </c>
      <c r="D636" s="469" t="s">
        <v>746</v>
      </c>
      <c r="E636" s="470"/>
      <c r="F636" s="471">
        <v>500</v>
      </c>
      <c r="G636" s="785">
        <v>1</v>
      </c>
      <c r="H636" s="663">
        <f>(0.84*F636+41.45)*G636</f>
        <v>461.45</v>
      </c>
      <c r="I636" s="472">
        <v>4040</v>
      </c>
      <c r="J636" s="472">
        <f>IF(ISBLANK(I636),"",I636*(1+$F$9)/(1+$F$10))+H636</f>
        <v>4381.4163328002696</v>
      </c>
      <c r="K636" s="690">
        <f t="shared" si="181"/>
        <v>5205.5600000000004</v>
      </c>
      <c r="L636" s="691" t="s">
        <v>20</v>
      </c>
      <c r="M636" s="692">
        <f>ROUND(M635*G635,2)</f>
        <v>0</v>
      </c>
      <c r="N636" s="588">
        <f t="shared" si="186"/>
        <v>0</v>
      </c>
      <c r="O636" s="693">
        <f t="shared" si="196"/>
        <v>0</v>
      </c>
      <c r="P636" s="694">
        <f t="shared" si="197"/>
        <v>0</v>
      </c>
      <c r="Q636" s="765"/>
      <c r="R636" s="695">
        <f>ROUND(R635*G635,2)</f>
        <v>0</v>
      </c>
      <c r="S636" s="696">
        <f t="shared" si="198"/>
        <v>0</v>
      </c>
      <c r="T636" s="693">
        <f t="shared" si="194"/>
        <v>0</v>
      </c>
      <c r="U636" s="694">
        <f t="shared" si="195"/>
        <v>0</v>
      </c>
      <c r="V636" s="579"/>
      <c r="W636" s="566"/>
      <c r="X636" s="586" t="str">
        <f t="shared" si="191"/>
        <v/>
      </c>
      <c r="Y636" s="586" t="str">
        <f t="shared" si="189"/>
        <v/>
      </c>
      <c r="Z636" s="586" t="str">
        <f t="shared" si="183"/>
        <v/>
      </c>
    </row>
    <row r="637" spans="1:26" hidden="1" x14ac:dyDescent="0.2">
      <c r="A637" s="567">
        <v>560400</v>
      </c>
      <c r="B637" s="461" t="s">
        <v>1828</v>
      </c>
      <c r="C637" s="462" t="s">
        <v>206</v>
      </c>
      <c r="D637" s="463" t="s">
        <v>647</v>
      </c>
      <c r="E637" s="464"/>
      <c r="F637" s="465" t="s">
        <v>667</v>
      </c>
      <c r="G637" s="466">
        <v>1.1999999999999999E-3</v>
      </c>
      <c r="H637" s="681"/>
      <c r="I637" s="467">
        <v>0.5</v>
      </c>
      <c r="J637" s="467">
        <f>IF(ISBLANK(I637),"",SUM(H637:I637))</f>
        <v>0.5</v>
      </c>
      <c r="K637" s="682">
        <f t="shared" si="181"/>
        <v>0.59</v>
      </c>
      <c r="L637" s="683" t="s">
        <v>18</v>
      </c>
      <c r="M637" s="685"/>
      <c r="N637" s="686">
        <f t="shared" si="186"/>
        <v>0</v>
      </c>
      <c r="O637" s="687">
        <f t="shared" si="196"/>
        <v>0</v>
      </c>
      <c r="P637" s="688">
        <f t="shared" si="197"/>
        <v>0</v>
      </c>
      <c r="Q637" s="765"/>
      <c r="R637" s="685">
        <f>M637</f>
        <v>0</v>
      </c>
      <c r="S637" s="686">
        <f t="shared" si="198"/>
        <v>0</v>
      </c>
      <c r="T637" s="687">
        <f t="shared" si="194"/>
        <v>0</v>
      </c>
      <c r="U637" s="688">
        <f t="shared" si="195"/>
        <v>0</v>
      </c>
      <c r="V637" s="579"/>
      <c r="W637" s="566"/>
      <c r="X637" s="586" t="str">
        <f t="shared" si="191"/>
        <v/>
      </c>
      <c r="Y637" s="586" t="str">
        <f t="shared" si="189"/>
        <v/>
      </c>
      <c r="Z637" s="586" t="str">
        <f t="shared" si="183"/>
        <v/>
      </c>
    </row>
    <row r="638" spans="1:26" ht="12" hidden="1" thickBot="1" x14ac:dyDescent="0.25">
      <c r="A638" s="567">
        <v>589100</v>
      </c>
      <c r="B638" s="468" t="s">
        <v>1829</v>
      </c>
      <c r="C638" s="488" t="s">
        <v>1746</v>
      </c>
      <c r="D638" s="469" t="s">
        <v>653</v>
      </c>
      <c r="E638" s="470"/>
      <c r="F638" s="471">
        <v>500</v>
      </c>
      <c r="G638" s="785">
        <v>1</v>
      </c>
      <c r="H638" s="663">
        <f>(0.84*F638+41.45)*G638</f>
        <v>461.45</v>
      </c>
      <c r="I638" s="472">
        <v>6629</v>
      </c>
      <c r="J638" s="472">
        <f>IF(ISBLANK(I638),"",I638*(1+$F$9)/(1+$F$10))+H638</f>
        <v>6893.4937673596505</v>
      </c>
      <c r="K638" s="690">
        <f t="shared" si="181"/>
        <v>8190.16</v>
      </c>
      <c r="L638" s="691" t="s">
        <v>20</v>
      </c>
      <c r="M638" s="692">
        <f>ROUND(M637*G637,2)</f>
        <v>0</v>
      </c>
      <c r="N638" s="696">
        <f t="shared" si="186"/>
        <v>0</v>
      </c>
      <c r="O638" s="693">
        <f t="shared" si="196"/>
        <v>0</v>
      </c>
      <c r="P638" s="694">
        <f t="shared" si="197"/>
        <v>0</v>
      </c>
      <c r="Q638" s="765"/>
      <c r="R638" s="695">
        <f>ROUND(R637*G637,2)</f>
        <v>0</v>
      </c>
      <c r="S638" s="696">
        <f t="shared" si="198"/>
        <v>0</v>
      </c>
      <c r="T638" s="693">
        <f t="shared" si="194"/>
        <v>0</v>
      </c>
      <c r="U638" s="694">
        <f t="shared" si="195"/>
        <v>0</v>
      </c>
      <c r="V638" s="579"/>
      <c r="W638" s="566"/>
      <c r="X638" s="586" t="str">
        <f t="shared" si="191"/>
        <v/>
      </c>
      <c r="Y638" s="586" t="str">
        <f t="shared" si="189"/>
        <v/>
      </c>
      <c r="Z638" s="586" t="str">
        <f t="shared" si="183"/>
        <v/>
      </c>
    </row>
    <row r="639" spans="1:26" hidden="1" x14ac:dyDescent="0.2">
      <c r="A639" s="567">
        <v>561100</v>
      </c>
      <c r="B639" s="461" t="s">
        <v>1830</v>
      </c>
      <c r="C639" s="462" t="s">
        <v>206</v>
      </c>
      <c r="D639" s="463" t="s">
        <v>747</v>
      </c>
      <c r="E639" s="464"/>
      <c r="F639" s="465" t="s">
        <v>667</v>
      </c>
      <c r="G639" s="466">
        <v>5.0000000000000001E-4</v>
      </c>
      <c r="H639" s="681"/>
      <c r="I639" s="467">
        <v>0.34</v>
      </c>
      <c r="J639" s="467">
        <f>IF(ISBLANK(I639),"",SUM(H639:I639))</f>
        <v>0.34</v>
      </c>
      <c r="K639" s="682">
        <f t="shared" si="181"/>
        <v>0.4</v>
      </c>
      <c r="L639" s="683" t="s">
        <v>18</v>
      </c>
      <c r="M639" s="685"/>
      <c r="N639" s="576">
        <f t="shared" si="186"/>
        <v>0</v>
      </c>
      <c r="O639" s="687">
        <f t="shared" si="196"/>
        <v>0</v>
      </c>
      <c r="P639" s="688">
        <f t="shared" si="197"/>
        <v>0</v>
      </c>
      <c r="Q639" s="765"/>
      <c r="R639" s="685">
        <f>M639</f>
        <v>0</v>
      </c>
      <c r="S639" s="686">
        <f t="shared" si="198"/>
        <v>0</v>
      </c>
      <c r="T639" s="687">
        <f t="shared" si="194"/>
        <v>0</v>
      </c>
      <c r="U639" s="688">
        <f t="shared" si="195"/>
        <v>0</v>
      </c>
      <c r="V639" s="579"/>
      <c r="W639" s="566"/>
      <c r="X639" s="586" t="str">
        <f t="shared" si="191"/>
        <v/>
      </c>
      <c r="Y639" s="586" t="str">
        <f t="shared" si="189"/>
        <v/>
      </c>
      <c r="Z639" s="586" t="str">
        <f t="shared" si="183"/>
        <v/>
      </c>
    </row>
    <row r="640" spans="1:26" ht="12" hidden="1" thickBot="1" x14ac:dyDescent="0.25">
      <c r="A640" s="567">
        <v>589420</v>
      </c>
      <c r="B640" s="468" t="s">
        <v>1831</v>
      </c>
      <c r="C640" s="488" t="s">
        <v>1746</v>
      </c>
      <c r="D640" s="469" t="s">
        <v>821</v>
      </c>
      <c r="E640" s="470"/>
      <c r="F640" s="471">
        <v>500</v>
      </c>
      <c r="G640" s="697">
        <v>1</v>
      </c>
      <c r="H640" s="663">
        <f>(0.84*F640+41.45)*G640</f>
        <v>461.45</v>
      </c>
      <c r="I640" s="472">
        <v>3820</v>
      </c>
      <c r="J640" s="472">
        <f>IF(ISBLANK(I640),"",I640*(1+$F$9)/(1+$F$10))+H640</f>
        <v>4167.952819627978</v>
      </c>
      <c r="K640" s="690">
        <f t="shared" si="181"/>
        <v>4951.9399999999996</v>
      </c>
      <c r="L640" s="691" t="s">
        <v>20</v>
      </c>
      <c r="M640" s="692">
        <f>ROUND(M639*G639,2)</f>
        <v>0</v>
      </c>
      <c r="N640" s="588">
        <f t="shared" si="186"/>
        <v>0</v>
      </c>
      <c r="O640" s="693">
        <f t="shared" si="196"/>
        <v>0</v>
      </c>
      <c r="P640" s="694">
        <f t="shared" si="197"/>
        <v>0</v>
      </c>
      <c r="Q640" s="765"/>
      <c r="R640" s="695">
        <f>ROUND(R639*G639,2)</f>
        <v>0</v>
      </c>
      <c r="S640" s="696">
        <f t="shared" si="198"/>
        <v>0</v>
      </c>
      <c r="T640" s="693">
        <f t="shared" si="194"/>
        <v>0</v>
      </c>
      <c r="U640" s="694">
        <f t="shared" si="195"/>
        <v>0</v>
      </c>
      <c r="V640" s="579"/>
      <c r="W640" s="566"/>
      <c r="X640" s="586" t="str">
        <f t="shared" si="191"/>
        <v/>
      </c>
      <c r="Y640" s="586" t="str">
        <f t="shared" si="189"/>
        <v/>
      </c>
      <c r="Z640" s="586" t="str">
        <f t="shared" si="183"/>
        <v/>
      </c>
    </row>
    <row r="641" spans="1:26" hidden="1" x14ac:dyDescent="0.2">
      <c r="A641" s="567">
        <v>563100</v>
      </c>
      <c r="B641" s="701" t="s">
        <v>1832</v>
      </c>
      <c r="C641" s="702" t="s">
        <v>206</v>
      </c>
      <c r="D641" s="463" t="s">
        <v>261</v>
      </c>
      <c r="E641" s="464"/>
      <c r="F641" s="465" t="s">
        <v>661</v>
      </c>
      <c r="G641" s="466">
        <v>5.0000000000000001E-4</v>
      </c>
      <c r="H641" s="681">
        <f>SUM(H642)</f>
        <v>0.13705999999999999</v>
      </c>
      <c r="I641" s="467">
        <v>1.25</v>
      </c>
      <c r="J641" s="467">
        <f>IF(ISBLANK(I641),"",SUM(H641:I641))</f>
        <v>1.38706</v>
      </c>
      <c r="K641" s="682">
        <f t="shared" si="181"/>
        <v>1.65</v>
      </c>
      <c r="L641" s="683" t="s">
        <v>18</v>
      </c>
      <c r="M641" s="685"/>
      <c r="N641" s="686">
        <f t="shared" si="186"/>
        <v>0</v>
      </c>
      <c r="O641" s="687">
        <f t="shared" si="196"/>
        <v>0</v>
      </c>
      <c r="P641" s="688">
        <f t="shared" si="197"/>
        <v>0</v>
      </c>
      <c r="Q641" s="765"/>
      <c r="R641" s="685">
        <f>M641</f>
        <v>0</v>
      </c>
      <c r="S641" s="686">
        <f t="shared" si="198"/>
        <v>0</v>
      </c>
      <c r="T641" s="687">
        <f t="shared" si="194"/>
        <v>0</v>
      </c>
      <c r="U641" s="688">
        <f t="shared" si="195"/>
        <v>0</v>
      </c>
      <c r="V641" s="579"/>
      <c r="W641" s="566"/>
      <c r="X641" s="586" t="str">
        <f t="shared" si="191"/>
        <v/>
      </c>
      <c r="Y641" s="586" t="str">
        <f t="shared" si="189"/>
        <v/>
      </c>
      <c r="Z641" s="586" t="str">
        <f t="shared" si="183"/>
        <v/>
      </c>
    </row>
    <row r="642" spans="1:26" hidden="1" x14ac:dyDescent="0.2">
      <c r="A642" s="567" t="s">
        <v>168</v>
      </c>
      <c r="B642" s="644" t="s">
        <v>168</v>
      </c>
      <c r="C642" s="645"/>
      <c r="D642" s="451" t="s">
        <v>252</v>
      </c>
      <c r="E642" s="423"/>
      <c r="F642" s="418">
        <v>20</v>
      </c>
      <c r="G642" s="425">
        <v>7.0000000000000001E-3</v>
      </c>
      <c r="H642" s="663">
        <f>IF(F642&lt;=30,(0.87*F642+2.18)*G642,((0.87*30+2.18)+0.87*(F642-30))*G642)</f>
        <v>0.13705999999999999</v>
      </c>
      <c r="I642" s="420">
        <v>0</v>
      </c>
      <c r="J642" s="420"/>
      <c r="K642" s="421">
        <f t="shared" si="181"/>
        <v>0</v>
      </c>
      <c r="L642" s="668" t="s">
        <v>614</v>
      </c>
      <c r="M642" s="703"/>
      <c r="N642" s="576">
        <f t="shared" si="186"/>
        <v>0</v>
      </c>
      <c r="O642" s="577">
        <f t="shared" si="196"/>
        <v>0</v>
      </c>
      <c r="P642" s="578">
        <f t="shared" si="197"/>
        <v>0</v>
      </c>
      <c r="Q642" s="765"/>
      <c r="R642" s="703"/>
      <c r="S642" s="670"/>
      <c r="T642" s="577">
        <f t="shared" si="194"/>
        <v>0</v>
      </c>
      <c r="U642" s="578">
        <f t="shared" si="195"/>
        <v>0</v>
      </c>
      <c r="V642" s="579"/>
      <c r="W642" s="637" t="str">
        <f>IF(U641&gt;0,"xx",IF(P641&gt;0,"xy",""))</f>
        <v/>
      </c>
      <c r="X642" s="586" t="str">
        <f t="shared" si="191"/>
        <v/>
      </c>
      <c r="Y642" s="586" t="str">
        <f t="shared" si="189"/>
        <v/>
      </c>
      <c r="Z642" s="586" t="str">
        <f t="shared" si="183"/>
        <v/>
      </c>
    </row>
    <row r="643" spans="1:26" ht="12" hidden="1" thickBot="1" x14ac:dyDescent="0.25">
      <c r="A643" s="567">
        <v>589520</v>
      </c>
      <c r="B643" s="704" t="s">
        <v>1833</v>
      </c>
      <c r="C643" s="689" t="s">
        <v>1746</v>
      </c>
      <c r="D643" s="477" t="s">
        <v>656</v>
      </c>
      <c r="E643" s="470"/>
      <c r="F643" s="478">
        <v>500</v>
      </c>
      <c r="G643" s="479">
        <v>1</v>
      </c>
      <c r="H643" s="663">
        <f>(0.84*F643+41.45)*G643</f>
        <v>461.45</v>
      </c>
      <c r="I643" s="472">
        <v>4680</v>
      </c>
      <c r="J643" s="472">
        <f>IF(ISBLANK(I643),"",I643*(1+$F$9)/(1+$F$10))+H643</f>
        <v>5002.4010983923918</v>
      </c>
      <c r="K643" s="690">
        <f t="shared" si="181"/>
        <v>5943.35</v>
      </c>
      <c r="L643" s="691" t="s">
        <v>20</v>
      </c>
      <c r="M643" s="692">
        <f>ROUND(M641*G641,2)</f>
        <v>0</v>
      </c>
      <c r="N643" s="696">
        <f t="shared" si="186"/>
        <v>0</v>
      </c>
      <c r="O643" s="693">
        <f>IF(ISBLANK(M643),0,ROUND(K643*M643,2))</f>
        <v>0</v>
      </c>
      <c r="P643" s="694">
        <f>IF(ISBLANK(N643),0,ROUND(M643*N643,2))</f>
        <v>0</v>
      </c>
      <c r="Q643" s="765"/>
      <c r="R643" s="695">
        <f>ROUND(R641*G641,2)</f>
        <v>0</v>
      </c>
      <c r="S643" s="718">
        <f t="shared" si="198"/>
        <v>0</v>
      </c>
      <c r="T643" s="693">
        <f t="shared" si="194"/>
        <v>0</v>
      </c>
      <c r="U643" s="694">
        <f t="shared" si="195"/>
        <v>0</v>
      </c>
      <c r="V643" s="579"/>
      <c r="W643" s="637" t="str">
        <f>IF(U641&gt;0,"xx",IF(P641&gt;0,"xy",""))</f>
        <v/>
      </c>
      <c r="X643" s="586" t="str">
        <f t="shared" si="191"/>
        <v/>
      </c>
      <c r="Y643" s="586" t="str">
        <f t="shared" si="189"/>
        <v/>
      </c>
      <c r="Z643" s="586" t="str">
        <f t="shared" si="183"/>
        <v/>
      </c>
    </row>
    <row r="644" spans="1:26" hidden="1" x14ac:dyDescent="0.2">
      <c r="A644" s="567">
        <v>534000</v>
      </c>
      <c r="B644" s="701" t="s">
        <v>1834</v>
      </c>
      <c r="C644" s="702" t="s">
        <v>206</v>
      </c>
      <c r="D644" s="463" t="s">
        <v>1912</v>
      </c>
      <c r="E644" s="464"/>
      <c r="F644" s="465" t="s">
        <v>663</v>
      </c>
      <c r="G644" s="466">
        <v>0.08</v>
      </c>
      <c r="H644" s="681">
        <f>SUM(H645:H648)</f>
        <v>59.111280000000008</v>
      </c>
      <c r="I644" s="467">
        <v>138.26</v>
      </c>
      <c r="J644" s="467">
        <f>IF(ISBLANK(I644),"",SUM(H644:I644))</f>
        <v>197.37128000000001</v>
      </c>
      <c r="K644" s="682">
        <f t="shared" si="181"/>
        <v>234.5</v>
      </c>
      <c r="L644" s="683" t="s">
        <v>16</v>
      </c>
      <c r="M644" s="685"/>
      <c r="N644" s="576">
        <f t="shared" si="186"/>
        <v>0</v>
      </c>
      <c r="O644" s="687">
        <f t="shared" si="196"/>
        <v>0</v>
      </c>
      <c r="P644" s="688">
        <f t="shared" si="197"/>
        <v>0</v>
      </c>
      <c r="Q644" s="765"/>
      <c r="R644" s="685">
        <f>M644</f>
        <v>0</v>
      </c>
      <c r="S644" s="686">
        <f t="shared" si="198"/>
        <v>0</v>
      </c>
      <c r="T644" s="687">
        <f t="shared" si="194"/>
        <v>0</v>
      </c>
      <c r="U644" s="688">
        <f t="shared" si="195"/>
        <v>0</v>
      </c>
      <c r="V644" s="579"/>
      <c r="W644" s="566"/>
      <c r="X644" s="586" t="str">
        <f t="shared" si="191"/>
        <v/>
      </c>
      <c r="Y644" s="586" t="str">
        <f t="shared" si="189"/>
        <v/>
      </c>
      <c r="Z644" s="586" t="str">
        <f t="shared" si="183"/>
        <v/>
      </c>
    </row>
    <row r="645" spans="1:26" hidden="1" x14ac:dyDescent="0.2">
      <c r="A645" s="567" t="s">
        <v>168</v>
      </c>
      <c r="B645" s="644" t="s">
        <v>168</v>
      </c>
      <c r="C645" s="645"/>
      <c r="D645" s="451" t="s">
        <v>248</v>
      </c>
      <c r="E645" s="423"/>
      <c r="F645" s="424">
        <v>180</v>
      </c>
      <c r="G645" s="425"/>
      <c r="H645" s="651">
        <f t="shared" ref="H645:H648" si="204">IF(F645&lt;=30,(1.07*F645+2.68)*G645,((1.07*30+2.68)+1.07*(F645-30))*G645)</f>
        <v>0</v>
      </c>
      <c r="I645" s="420">
        <v>0</v>
      </c>
      <c r="J645" s="420">
        <f>IF(ISBLANK(I645),"",SUM(H645:I645))</f>
        <v>0</v>
      </c>
      <c r="K645" s="421">
        <f t="shared" si="181"/>
        <v>0</v>
      </c>
      <c r="L645" s="647" t="s">
        <v>614</v>
      </c>
      <c r="M645" s="703"/>
      <c r="N645" s="576">
        <f t="shared" si="186"/>
        <v>0</v>
      </c>
      <c r="O645" s="577">
        <f t="shared" si="196"/>
        <v>0</v>
      </c>
      <c r="P645" s="578">
        <f t="shared" si="197"/>
        <v>0</v>
      </c>
      <c r="Q645" s="765"/>
      <c r="R645" s="703"/>
      <c r="S645" s="670"/>
      <c r="T645" s="577">
        <f t="shared" si="194"/>
        <v>0</v>
      </c>
      <c r="U645" s="578">
        <f t="shared" si="195"/>
        <v>0</v>
      </c>
      <c r="V645" s="579"/>
      <c r="W645" s="637" t="str">
        <f>IF(U644&gt;0,"xx",IF(P644&gt;0,"xy",""))</f>
        <v/>
      </c>
      <c r="X645" s="586" t="str">
        <f t="shared" si="191"/>
        <v/>
      </c>
      <c r="Y645" s="586" t="str">
        <f t="shared" si="189"/>
        <v/>
      </c>
      <c r="Z645" s="586" t="str">
        <f t="shared" si="183"/>
        <v/>
      </c>
    </row>
    <row r="646" spans="1:26" hidden="1" x14ac:dyDescent="0.2">
      <c r="A646" s="567" t="s">
        <v>168</v>
      </c>
      <c r="B646" s="644" t="s">
        <v>168</v>
      </c>
      <c r="C646" s="645"/>
      <c r="D646" s="451" t="s">
        <v>249</v>
      </c>
      <c r="E646" s="423"/>
      <c r="F646" s="424">
        <v>500</v>
      </c>
      <c r="G646" s="425"/>
      <c r="H646" s="649">
        <f>IF(F646&lt;=30,(0.78*F646+7.82)*G646,((0.78*30+7.82)+0.78*(F646-30))*G646)</f>
        <v>0</v>
      </c>
      <c r="I646" s="420">
        <v>0</v>
      </c>
      <c r="J646" s="420">
        <f>IF(ISBLANK(I646),"",SUM(H646:I646))</f>
        <v>0</v>
      </c>
      <c r="K646" s="421">
        <f t="shared" si="181"/>
        <v>0</v>
      </c>
      <c r="L646" s="647" t="s">
        <v>614</v>
      </c>
      <c r="M646" s="703"/>
      <c r="N646" s="576">
        <f t="shared" si="186"/>
        <v>0</v>
      </c>
      <c r="O646" s="577">
        <f t="shared" si="196"/>
        <v>0</v>
      </c>
      <c r="P646" s="578">
        <f t="shared" si="197"/>
        <v>0</v>
      </c>
      <c r="Q646" s="765"/>
      <c r="R646" s="703"/>
      <c r="S646" s="670"/>
      <c r="T646" s="577">
        <f t="shared" si="194"/>
        <v>0</v>
      </c>
      <c r="U646" s="578">
        <f t="shared" si="195"/>
        <v>0</v>
      </c>
      <c r="V646" s="579"/>
      <c r="W646" s="637" t="str">
        <f>IF(U644&gt;0,"xx",IF(P644&gt;0,"xy",""))</f>
        <v/>
      </c>
      <c r="X646" s="586" t="str">
        <f>IF(W646="X","x",IF(W646="xx","x",IF(W646="xy","x",IF(W646="y","x",IF(OR(P646&gt;0,U646&gt;0),"x","")))))</f>
        <v/>
      </c>
      <c r="Y646" s="586" t="str">
        <f>IF(W646="X","x",IF(W646="y","x",IF(W646="xx","x",IF(U646&gt;0,"x",""))))</f>
        <v/>
      </c>
      <c r="Z646" s="586" t="str">
        <f>IF(W646="X","x",IF(U646&gt;0,"x",""))</f>
        <v/>
      </c>
    </row>
    <row r="647" spans="1:26" hidden="1" x14ac:dyDescent="0.2">
      <c r="A647" s="567" t="s">
        <v>168</v>
      </c>
      <c r="B647" s="644" t="s">
        <v>168</v>
      </c>
      <c r="C647" s="645"/>
      <c r="D647" s="451" t="s">
        <v>262</v>
      </c>
      <c r="E647" s="423"/>
      <c r="F647" s="424">
        <v>0.2</v>
      </c>
      <c r="G647" s="425">
        <v>2.12</v>
      </c>
      <c r="H647" s="651">
        <f t="shared" si="204"/>
        <v>6.1352800000000007</v>
      </c>
      <c r="I647" s="420">
        <v>0</v>
      </c>
      <c r="J647" s="420"/>
      <c r="K647" s="421">
        <f t="shared" si="181"/>
        <v>0</v>
      </c>
      <c r="L647" s="647" t="s">
        <v>614</v>
      </c>
      <c r="M647" s="703"/>
      <c r="N647" s="576">
        <f t="shared" si="186"/>
        <v>0</v>
      </c>
      <c r="O647" s="577">
        <f t="shared" si="196"/>
        <v>0</v>
      </c>
      <c r="P647" s="578">
        <f t="shared" si="197"/>
        <v>0</v>
      </c>
      <c r="Q647" s="765"/>
      <c r="R647" s="703"/>
      <c r="S647" s="670"/>
      <c r="T647" s="577">
        <f t="shared" si="194"/>
        <v>0</v>
      </c>
      <c r="U647" s="578">
        <f t="shared" si="195"/>
        <v>0</v>
      </c>
      <c r="V647" s="579"/>
      <c r="W647" s="637" t="str">
        <f>IF(U644&gt;0,"xx",IF(P644&gt;0,"xy",""))</f>
        <v/>
      </c>
      <c r="X647" s="586" t="str">
        <f>IF(W647="X","x",IF(W647="xx","x",IF(W647="xy","x",IF(W647="y","x",IF(OR(P647&gt;0,U647&gt;0),"x","")))))</f>
        <v/>
      </c>
      <c r="Y647" s="586" t="str">
        <f>IF(W647="X","x",IF(W647="y","x",IF(W647="xx","x",IF(U647&gt;0,"x",""))))</f>
        <v/>
      </c>
      <c r="Z647" s="586" t="str">
        <f>IF(W647="X","x",IF(U647&gt;0,"x",""))</f>
        <v/>
      </c>
    </row>
    <row r="648" spans="1:26" hidden="1" x14ac:dyDescent="0.2">
      <c r="A648" s="567" t="s">
        <v>168</v>
      </c>
      <c r="B648" s="644" t="s">
        <v>168</v>
      </c>
      <c r="C648" s="645"/>
      <c r="D648" s="451" t="s">
        <v>263</v>
      </c>
      <c r="E648" s="423"/>
      <c r="F648" s="424">
        <v>20</v>
      </c>
      <c r="G648" s="425">
        <f>SUM(G644:G647)</f>
        <v>2.2000000000000002</v>
      </c>
      <c r="H648" s="651">
        <f t="shared" si="204"/>
        <v>52.976000000000006</v>
      </c>
      <c r="I648" s="420">
        <v>0</v>
      </c>
      <c r="J648" s="420"/>
      <c r="K648" s="421">
        <f t="shared" ref="K648:K711" si="205">IF(ISBLANK(I648),0,ROUND(J648*(1+$F$10)*(1+$F$11*E648),2))</f>
        <v>0</v>
      </c>
      <c r="L648" s="647" t="s">
        <v>614</v>
      </c>
      <c r="M648" s="703"/>
      <c r="N648" s="576">
        <f t="shared" si="186"/>
        <v>0</v>
      </c>
      <c r="O648" s="577">
        <f t="shared" si="196"/>
        <v>0</v>
      </c>
      <c r="P648" s="578">
        <f t="shared" si="197"/>
        <v>0</v>
      </c>
      <c r="Q648" s="765"/>
      <c r="R648" s="703"/>
      <c r="S648" s="670"/>
      <c r="T648" s="577">
        <f t="shared" si="194"/>
        <v>0</v>
      </c>
      <c r="U648" s="578">
        <f t="shared" si="195"/>
        <v>0</v>
      </c>
      <c r="V648" s="579"/>
      <c r="W648" s="637" t="str">
        <f>IF(U644&gt;0,"xx",IF(P644&gt;0,"xy",""))</f>
        <v/>
      </c>
      <c r="X648" s="586" t="str">
        <f t="shared" si="191"/>
        <v/>
      </c>
      <c r="Y648" s="586" t="str">
        <f t="shared" si="189"/>
        <v/>
      </c>
      <c r="Z648" s="586" t="str">
        <f t="shared" si="183"/>
        <v/>
      </c>
    </row>
    <row r="649" spans="1:26" ht="12" hidden="1" thickBot="1" x14ac:dyDescent="0.25">
      <c r="A649" s="567">
        <v>589320</v>
      </c>
      <c r="B649" s="704" t="s">
        <v>1835</v>
      </c>
      <c r="C649" s="689" t="s">
        <v>1746</v>
      </c>
      <c r="D649" s="477" t="s">
        <v>812</v>
      </c>
      <c r="E649" s="470"/>
      <c r="F649" s="478">
        <v>500</v>
      </c>
      <c r="G649" s="479">
        <v>1</v>
      </c>
      <c r="H649" s="663">
        <f>(0.84*F649+41.45)*G649</f>
        <v>461.45</v>
      </c>
      <c r="I649" s="472">
        <v>4680</v>
      </c>
      <c r="J649" s="472">
        <f>IF(ISBLANK(I649),"",I649*(1+$F$9)/(1+$F$10))+H649</f>
        <v>5002.4010983923918</v>
      </c>
      <c r="K649" s="690">
        <f t="shared" si="205"/>
        <v>5943.35</v>
      </c>
      <c r="L649" s="691" t="s">
        <v>20</v>
      </c>
      <c r="M649" s="692">
        <f>ROUND(M644*G644,2)</f>
        <v>0</v>
      </c>
      <c r="N649" s="588">
        <f t="shared" si="186"/>
        <v>0</v>
      </c>
      <c r="O649" s="693">
        <f t="shared" si="196"/>
        <v>0</v>
      </c>
      <c r="P649" s="694">
        <f t="shared" si="197"/>
        <v>0</v>
      </c>
      <c r="Q649" s="765"/>
      <c r="R649" s="719">
        <f>ROUND(R644*G644,2)</f>
        <v>0</v>
      </c>
      <c r="S649" s="720">
        <f>N649</f>
        <v>0</v>
      </c>
      <c r="T649" s="693">
        <f t="shared" si="194"/>
        <v>0</v>
      </c>
      <c r="U649" s="694">
        <f t="shared" si="195"/>
        <v>0</v>
      </c>
      <c r="V649" s="579"/>
      <c r="W649" s="637" t="str">
        <f>IF(U644&gt;0,"xx",IF(P644&gt;0,"xy",""))</f>
        <v/>
      </c>
      <c r="X649" s="586" t="str">
        <f t="shared" si="191"/>
        <v/>
      </c>
      <c r="Y649" s="586" t="str">
        <f t="shared" si="189"/>
        <v/>
      </c>
      <c r="Z649" s="586" t="str">
        <f t="shared" si="183"/>
        <v/>
      </c>
    </row>
    <row r="650" spans="1:26" hidden="1" x14ac:dyDescent="0.2">
      <c r="A650" s="567">
        <v>534000</v>
      </c>
      <c r="B650" s="701" t="s">
        <v>1836</v>
      </c>
      <c r="C650" s="702" t="s">
        <v>206</v>
      </c>
      <c r="D650" s="463" t="s">
        <v>1913</v>
      </c>
      <c r="E650" s="464"/>
      <c r="F650" s="465" t="s">
        <v>663</v>
      </c>
      <c r="G650" s="466">
        <v>0.08</v>
      </c>
      <c r="H650" s="681">
        <f>SUM(H651:H654)</f>
        <v>59.111280000000008</v>
      </c>
      <c r="I650" s="467">
        <v>138.26</v>
      </c>
      <c r="J650" s="467">
        <f>IF(ISBLANK(I650),"",SUM(H650:I650))</f>
        <v>197.37128000000001</v>
      </c>
      <c r="K650" s="682">
        <f t="shared" si="205"/>
        <v>234.5</v>
      </c>
      <c r="L650" s="683" t="s">
        <v>16</v>
      </c>
      <c r="M650" s="685"/>
      <c r="N650" s="686">
        <f t="shared" si="186"/>
        <v>0</v>
      </c>
      <c r="O650" s="687">
        <f t="shared" si="196"/>
        <v>0</v>
      </c>
      <c r="P650" s="688">
        <f t="shared" si="197"/>
        <v>0</v>
      </c>
      <c r="Q650" s="765"/>
      <c r="R650" s="685">
        <f>M650</f>
        <v>0</v>
      </c>
      <c r="S650" s="686">
        <f t="shared" si="198"/>
        <v>0</v>
      </c>
      <c r="T650" s="687">
        <f t="shared" si="194"/>
        <v>0</v>
      </c>
      <c r="U650" s="688">
        <f t="shared" si="195"/>
        <v>0</v>
      </c>
      <c r="V650" s="579"/>
      <c r="W650" s="566"/>
      <c r="X650" s="586" t="str">
        <f t="shared" si="191"/>
        <v/>
      </c>
      <c r="Y650" s="586" t="str">
        <f t="shared" si="189"/>
        <v/>
      </c>
      <c r="Z650" s="586" t="str">
        <f t="shared" si="183"/>
        <v/>
      </c>
    </row>
    <row r="651" spans="1:26" hidden="1" x14ac:dyDescent="0.2">
      <c r="A651" s="567" t="s">
        <v>168</v>
      </c>
      <c r="B651" s="644" t="s">
        <v>168</v>
      </c>
      <c r="C651" s="645"/>
      <c r="D651" s="451" t="s">
        <v>248</v>
      </c>
      <c r="E651" s="423"/>
      <c r="F651" s="424">
        <v>180</v>
      </c>
      <c r="G651" s="425"/>
      <c r="H651" s="651">
        <f t="shared" ref="H651:H654" si="206">IF(F651&lt;=30,(1.07*F651+2.68)*G651,((1.07*30+2.68)+1.07*(F651-30))*G651)</f>
        <v>0</v>
      </c>
      <c r="I651" s="420">
        <v>0</v>
      </c>
      <c r="J651" s="420">
        <f>IF(ISBLANK(I651),"",SUM(H651:I651))</f>
        <v>0</v>
      </c>
      <c r="K651" s="421">
        <f t="shared" si="205"/>
        <v>0</v>
      </c>
      <c r="L651" s="647" t="s">
        <v>614</v>
      </c>
      <c r="M651" s="703"/>
      <c r="N651" s="576">
        <f t="shared" si="186"/>
        <v>0</v>
      </c>
      <c r="O651" s="577">
        <f t="shared" si="196"/>
        <v>0</v>
      </c>
      <c r="P651" s="578">
        <f t="shared" si="197"/>
        <v>0</v>
      </c>
      <c r="Q651" s="765"/>
      <c r="R651" s="703"/>
      <c r="S651" s="670"/>
      <c r="T651" s="577">
        <f t="shared" si="194"/>
        <v>0</v>
      </c>
      <c r="U651" s="578">
        <f t="shared" si="195"/>
        <v>0</v>
      </c>
      <c r="V651" s="579"/>
      <c r="W651" s="637" t="str">
        <f>IF(U650&gt;0,"xx",IF(P650&gt;0,"xy",""))</f>
        <v/>
      </c>
      <c r="X651" s="586" t="str">
        <f t="shared" si="191"/>
        <v/>
      </c>
      <c r="Y651" s="586" t="str">
        <f t="shared" si="189"/>
        <v/>
      </c>
      <c r="Z651" s="586" t="str">
        <f t="shared" si="183"/>
        <v/>
      </c>
    </row>
    <row r="652" spans="1:26" hidden="1" x14ac:dyDescent="0.2">
      <c r="A652" s="567" t="s">
        <v>168</v>
      </c>
      <c r="B652" s="644" t="s">
        <v>168</v>
      </c>
      <c r="C652" s="645"/>
      <c r="D652" s="451" t="s">
        <v>249</v>
      </c>
      <c r="E652" s="423"/>
      <c r="F652" s="424">
        <v>500</v>
      </c>
      <c r="G652" s="425"/>
      <c r="H652" s="649">
        <f>IF(F652&lt;=30,(0.78*F652+7.82)*G652,((0.78*30+7.82)+0.78*(F652-30))*G652)</f>
        <v>0</v>
      </c>
      <c r="I652" s="420">
        <v>0</v>
      </c>
      <c r="J652" s="420">
        <f>IF(ISBLANK(I652),"",SUM(H652:I652))</f>
        <v>0</v>
      </c>
      <c r="K652" s="421">
        <f t="shared" si="205"/>
        <v>0</v>
      </c>
      <c r="L652" s="647" t="s">
        <v>614</v>
      </c>
      <c r="M652" s="703"/>
      <c r="N652" s="576">
        <f t="shared" si="186"/>
        <v>0</v>
      </c>
      <c r="O652" s="577">
        <f t="shared" si="196"/>
        <v>0</v>
      </c>
      <c r="P652" s="578">
        <f t="shared" si="197"/>
        <v>0</v>
      </c>
      <c r="Q652" s="765"/>
      <c r="R652" s="703"/>
      <c r="S652" s="670"/>
      <c r="T652" s="577">
        <f t="shared" si="194"/>
        <v>0</v>
      </c>
      <c r="U652" s="578">
        <f t="shared" si="195"/>
        <v>0</v>
      </c>
      <c r="V652" s="579"/>
      <c r="W652" s="637" t="str">
        <f>IF(U650&gt;0,"xx",IF(P650&gt;0,"xy",""))</f>
        <v/>
      </c>
      <c r="X652" s="586" t="str">
        <f>IF(W652="X","x",IF(W652="xx","x",IF(W652="xy","x",IF(W652="y","x",IF(OR(P652&gt;0,U652&gt;0),"x","")))))</f>
        <v/>
      </c>
      <c r="Y652" s="586" t="str">
        <f>IF(W652="X","x",IF(W652="y","x",IF(W652="xx","x",IF(U652&gt;0,"x",""))))</f>
        <v/>
      </c>
      <c r="Z652" s="586" t="str">
        <f>IF(W652="X","x",IF(U652&gt;0,"x",""))</f>
        <v/>
      </c>
    </row>
    <row r="653" spans="1:26" hidden="1" x14ac:dyDescent="0.2">
      <c r="A653" s="567" t="s">
        <v>168</v>
      </c>
      <c r="B653" s="644" t="s">
        <v>168</v>
      </c>
      <c r="C653" s="645"/>
      <c r="D653" s="451" t="s">
        <v>262</v>
      </c>
      <c r="E653" s="423"/>
      <c r="F653" s="424">
        <v>0.2</v>
      </c>
      <c r="G653" s="425">
        <v>2.12</v>
      </c>
      <c r="H653" s="651">
        <f t="shared" si="206"/>
        <v>6.1352800000000007</v>
      </c>
      <c r="I653" s="420">
        <v>0</v>
      </c>
      <c r="J653" s="420"/>
      <c r="K653" s="421">
        <f t="shared" si="205"/>
        <v>0</v>
      </c>
      <c r="L653" s="647" t="s">
        <v>614</v>
      </c>
      <c r="M653" s="703"/>
      <c r="N653" s="576">
        <f t="shared" si="186"/>
        <v>0</v>
      </c>
      <c r="O653" s="577">
        <f t="shared" si="196"/>
        <v>0</v>
      </c>
      <c r="P653" s="578">
        <f t="shared" si="197"/>
        <v>0</v>
      </c>
      <c r="Q653" s="765"/>
      <c r="R653" s="703"/>
      <c r="S653" s="670"/>
      <c r="T653" s="577">
        <f t="shared" si="194"/>
        <v>0</v>
      </c>
      <c r="U653" s="578">
        <f t="shared" si="195"/>
        <v>0</v>
      </c>
      <c r="V653" s="579"/>
      <c r="W653" s="637" t="str">
        <f>IF(U650&gt;0,"xx",IF(P650&gt;0,"xy",""))</f>
        <v/>
      </c>
      <c r="X653" s="586" t="str">
        <f>IF(W653="X","x",IF(W653="xx","x",IF(W653="xy","x",IF(W653="y","x",IF(OR(P653&gt;0,U653&gt;0),"x","")))))</f>
        <v/>
      </c>
      <c r="Y653" s="586" t="str">
        <f>IF(W653="X","x",IF(W653="y","x",IF(W653="xx","x",IF(U653&gt;0,"x",""))))</f>
        <v/>
      </c>
      <c r="Z653" s="586" t="str">
        <f>IF(W653="X","x",IF(U653&gt;0,"x",""))</f>
        <v/>
      </c>
    </row>
    <row r="654" spans="1:26" hidden="1" x14ac:dyDescent="0.2">
      <c r="A654" s="567" t="s">
        <v>168</v>
      </c>
      <c r="B654" s="644" t="s">
        <v>168</v>
      </c>
      <c r="C654" s="645"/>
      <c r="D654" s="451" t="s">
        <v>263</v>
      </c>
      <c r="E654" s="423"/>
      <c r="F654" s="424">
        <v>20</v>
      </c>
      <c r="G654" s="425">
        <f>SUM(G650:G653)</f>
        <v>2.2000000000000002</v>
      </c>
      <c r="H654" s="651">
        <f t="shared" si="206"/>
        <v>52.976000000000006</v>
      </c>
      <c r="I654" s="420">
        <v>0</v>
      </c>
      <c r="J654" s="420"/>
      <c r="K654" s="421">
        <f t="shared" si="205"/>
        <v>0</v>
      </c>
      <c r="L654" s="647" t="s">
        <v>614</v>
      </c>
      <c r="M654" s="703"/>
      <c r="N654" s="576">
        <f t="shared" si="186"/>
        <v>0</v>
      </c>
      <c r="O654" s="577">
        <f t="shared" si="196"/>
        <v>0</v>
      </c>
      <c r="P654" s="578">
        <f t="shared" si="197"/>
        <v>0</v>
      </c>
      <c r="Q654" s="765"/>
      <c r="R654" s="703"/>
      <c r="S654" s="670"/>
      <c r="T654" s="577">
        <f t="shared" si="194"/>
        <v>0</v>
      </c>
      <c r="U654" s="578">
        <f t="shared" si="195"/>
        <v>0</v>
      </c>
      <c r="V654" s="579"/>
      <c r="W654" s="637" t="str">
        <f>IF(U650&gt;0,"xx",IF(P650&gt;0,"xy",""))</f>
        <v/>
      </c>
      <c r="X654" s="586" t="str">
        <f t="shared" si="191"/>
        <v/>
      </c>
      <c r="Y654" s="586" t="str">
        <f t="shared" si="189"/>
        <v/>
      </c>
      <c r="Z654" s="586" t="str">
        <f t="shared" si="183"/>
        <v/>
      </c>
    </row>
    <row r="655" spans="1:26" ht="12" hidden="1" thickBot="1" x14ac:dyDescent="0.25">
      <c r="A655" s="567">
        <v>589320</v>
      </c>
      <c r="B655" s="704" t="s">
        <v>1837</v>
      </c>
      <c r="C655" s="689" t="s">
        <v>1746</v>
      </c>
      <c r="D655" s="477" t="s">
        <v>812</v>
      </c>
      <c r="E655" s="470"/>
      <c r="F655" s="478">
        <v>500</v>
      </c>
      <c r="G655" s="479">
        <v>1</v>
      </c>
      <c r="H655" s="663">
        <f>(0.84*F655+41.45)*G655</f>
        <v>461.45</v>
      </c>
      <c r="I655" s="472">
        <v>4680</v>
      </c>
      <c r="J655" s="472">
        <f>IF(ISBLANK(I655),"",I655*(1+$F$9)/(1+$F$10))+H655</f>
        <v>5002.4010983923918</v>
      </c>
      <c r="K655" s="690">
        <f t="shared" si="205"/>
        <v>5943.35</v>
      </c>
      <c r="L655" s="691" t="s">
        <v>20</v>
      </c>
      <c r="M655" s="692">
        <f>ROUND(M650*G650,2)</f>
        <v>0</v>
      </c>
      <c r="N655" s="696">
        <f t="shared" si="186"/>
        <v>0</v>
      </c>
      <c r="O655" s="693">
        <f t="shared" si="196"/>
        <v>0</v>
      </c>
      <c r="P655" s="694">
        <f t="shared" si="197"/>
        <v>0</v>
      </c>
      <c r="Q655" s="765"/>
      <c r="R655" s="719">
        <f>ROUND(R650*G650,2)</f>
        <v>0</v>
      </c>
      <c r="S655" s="720">
        <f>N655</f>
        <v>0</v>
      </c>
      <c r="T655" s="693">
        <f t="shared" si="194"/>
        <v>0</v>
      </c>
      <c r="U655" s="694">
        <f t="shared" si="195"/>
        <v>0</v>
      </c>
      <c r="V655" s="579"/>
      <c r="W655" s="637" t="str">
        <f>IF(U650&gt;0,"xx",IF(P650&gt;0,"xy",""))</f>
        <v/>
      </c>
      <c r="X655" s="586" t="str">
        <f t="shared" si="191"/>
        <v/>
      </c>
      <c r="Y655" s="586" t="str">
        <f t="shared" si="189"/>
        <v/>
      </c>
      <c r="Z655" s="586" t="str">
        <f t="shared" si="183"/>
        <v/>
      </c>
    </row>
    <row r="656" spans="1:26" hidden="1" x14ac:dyDescent="0.2">
      <c r="A656" s="567">
        <v>534000</v>
      </c>
      <c r="B656" s="701" t="s">
        <v>1838</v>
      </c>
      <c r="C656" s="702" t="s">
        <v>206</v>
      </c>
      <c r="D656" s="463" t="s">
        <v>1914</v>
      </c>
      <c r="E656" s="464"/>
      <c r="F656" s="465" t="s">
        <v>663</v>
      </c>
      <c r="G656" s="466">
        <v>0.08</v>
      </c>
      <c r="H656" s="681">
        <f>SUM(H657:H660)</f>
        <v>59.111280000000008</v>
      </c>
      <c r="I656" s="467">
        <v>138.26</v>
      </c>
      <c r="J656" s="467">
        <f>IF(ISBLANK(I656),"",SUM(H656:I656))</f>
        <v>197.37128000000001</v>
      </c>
      <c r="K656" s="682">
        <f t="shared" si="205"/>
        <v>234.5</v>
      </c>
      <c r="L656" s="683" t="s">
        <v>16</v>
      </c>
      <c r="M656" s="685"/>
      <c r="N656" s="576">
        <f t="shared" si="186"/>
        <v>0</v>
      </c>
      <c r="O656" s="687">
        <f t="shared" si="196"/>
        <v>0</v>
      </c>
      <c r="P656" s="688">
        <f t="shared" si="197"/>
        <v>0</v>
      </c>
      <c r="Q656" s="765"/>
      <c r="R656" s="685">
        <f>M656</f>
        <v>0</v>
      </c>
      <c r="S656" s="686">
        <f t="shared" si="198"/>
        <v>0</v>
      </c>
      <c r="T656" s="687">
        <f t="shared" si="194"/>
        <v>0</v>
      </c>
      <c r="U656" s="688">
        <f t="shared" si="195"/>
        <v>0</v>
      </c>
      <c r="V656" s="579"/>
      <c r="W656" s="566"/>
      <c r="X656" s="586" t="str">
        <f t="shared" si="191"/>
        <v/>
      </c>
      <c r="Y656" s="586" t="str">
        <f t="shared" si="189"/>
        <v/>
      </c>
      <c r="Z656" s="586" t="str">
        <f t="shared" si="183"/>
        <v/>
      </c>
    </row>
    <row r="657" spans="1:26" hidden="1" x14ac:dyDescent="0.2">
      <c r="A657" s="567" t="s">
        <v>168</v>
      </c>
      <c r="B657" s="644" t="s">
        <v>168</v>
      </c>
      <c r="C657" s="645"/>
      <c r="D657" s="451" t="s">
        <v>248</v>
      </c>
      <c r="E657" s="423"/>
      <c r="F657" s="424">
        <v>180</v>
      </c>
      <c r="G657" s="425"/>
      <c r="H657" s="651">
        <f t="shared" ref="H657:H660" si="207">IF(F657&lt;=30,(1.07*F657+2.68)*G657,((1.07*30+2.68)+1.07*(F657-30))*G657)</f>
        <v>0</v>
      </c>
      <c r="I657" s="420">
        <v>0</v>
      </c>
      <c r="J657" s="420">
        <f>IF(ISBLANK(I657),"",SUM(H657:I657))</f>
        <v>0</v>
      </c>
      <c r="K657" s="421">
        <f t="shared" si="205"/>
        <v>0</v>
      </c>
      <c r="L657" s="647" t="s">
        <v>614</v>
      </c>
      <c r="M657" s="703"/>
      <c r="N657" s="576">
        <f t="shared" si="186"/>
        <v>0</v>
      </c>
      <c r="O657" s="577">
        <f t="shared" si="196"/>
        <v>0</v>
      </c>
      <c r="P657" s="578">
        <f t="shared" si="197"/>
        <v>0</v>
      </c>
      <c r="Q657" s="765"/>
      <c r="R657" s="703"/>
      <c r="S657" s="670"/>
      <c r="T657" s="577">
        <f t="shared" si="194"/>
        <v>0</v>
      </c>
      <c r="U657" s="578">
        <f t="shared" si="195"/>
        <v>0</v>
      </c>
      <c r="V657" s="579"/>
      <c r="W657" s="637" t="str">
        <f>IF(U656&gt;0,"xx",IF(P656&gt;0,"xy",""))</f>
        <v/>
      </c>
      <c r="X657" s="586" t="str">
        <f t="shared" si="191"/>
        <v/>
      </c>
      <c r="Y657" s="586" t="str">
        <f t="shared" si="189"/>
        <v/>
      </c>
      <c r="Z657" s="586" t="str">
        <f t="shared" ref="Z657:Z765" si="208">IF(W657="X","x",IF(U657&gt;0,"x",""))</f>
        <v/>
      </c>
    </row>
    <row r="658" spans="1:26" hidden="1" x14ac:dyDescent="0.2">
      <c r="A658" s="567" t="s">
        <v>168</v>
      </c>
      <c r="B658" s="644" t="s">
        <v>168</v>
      </c>
      <c r="C658" s="645"/>
      <c r="D658" s="451" t="s">
        <v>249</v>
      </c>
      <c r="E658" s="423"/>
      <c r="F658" s="424">
        <v>500</v>
      </c>
      <c r="G658" s="425"/>
      <c r="H658" s="649">
        <f>IF(F658&lt;=30,(0.78*F658+7.82)*G658,((0.78*30+7.82)+0.78*(F658-30))*G658)</f>
        <v>0</v>
      </c>
      <c r="I658" s="420">
        <v>0</v>
      </c>
      <c r="J658" s="420">
        <f>IF(ISBLANK(I658),"",SUM(H658:I658))</f>
        <v>0</v>
      </c>
      <c r="K658" s="421">
        <f t="shared" si="205"/>
        <v>0</v>
      </c>
      <c r="L658" s="647" t="s">
        <v>614</v>
      </c>
      <c r="M658" s="703"/>
      <c r="N658" s="576">
        <f t="shared" si="186"/>
        <v>0</v>
      </c>
      <c r="O658" s="577">
        <f t="shared" si="196"/>
        <v>0</v>
      </c>
      <c r="P658" s="578">
        <f t="shared" si="197"/>
        <v>0</v>
      </c>
      <c r="Q658" s="765"/>
      <c r="R658" s="703"/>
      <c r="S658" s="670"/>
      <c r="T658" s="577">
        <f t="shared" si="194"/>
        <v>0</v>
      </c>
      <c r="U658" s="578">
        <f t="shared" si="195"/>
        <v>0</v>
      </c>
      <c r="V658" s="579"/>
      <c r="W658" s="637" t="str">
        <f>IF(U656&gt;0,"xx",IF(P656&gt;0,"xy",""))</f>
        <v/>
      </c>
      <c r="X658" s="586" t="str">
        <f>IF(W658="X","x",IF(W658="xx","x",IF(W658="xy","x",IF(W658="y","x",IF(OR(P658&gt;0,U658&gt;0),"x","")))))</f>
        <v/>
      </c>
      <c r="Y658" s="586" t="str">
        <f>IF(W658="X","x",IF(W658="y","x",IF(W658="xx","x",IF(U658&gt;0,"x",""))))</f>
        <v/>
      </c>
      <c r="Z658" s="586" t="str">
        <f>IF(W658="X","x",IF(U658&gt;0,"x",""))</f>
        <v/>
      </c>
    </row>
    <row r="659" spans="1:26" hidden="1" x14ac:dyDescent="0.2">
      <c r="A659" s="567" t="s">
        <v>168</v>
      </c>
      <c r="B659" s="644" t="s">
        <v>168</v>
      </c>
      <c r="C659" s="645"/>
      <c r="D659" s="451" t="s">
        <v>262</v>
      </c>
      <c r="E659" s="423"/>
      <c r="F659" s="424">
        <v>0.2</v>
      </c>
      <c r="G659" s="425">
        <v>2.12</v>
      </c>
      <c r="H659" s="651">
        <f t="shared" si="207"/>
        <v>6.1352800000000007</v>
      </c>
      <c r="I659" s="420">
        <v>0</v>
      </c>
      <c r="J659" s="420"/>
      <c r="K659" s="421">
        <f t="shared" si="205"/>
        <v>0</v>
      </c>
      <c r="L659" s="647" t="s">
        <v>614</v>
      </c>
      <c r="M659" s="703"/>
      <c r="N659" s="576">
        <f t="shared" si="186"/>
        <v>0</v>
      </c>
      <c r="O659" s="577">
        <f t="shared" si="196"/>
        <v>0</v>
      </c>
      <c r="P659" s="578">
        <f t="shared" si="197"/>
        <v>0</v>
      </c>
      <c r="Q659" s="765"/>
      <c r="R659" s="703"/>
      <c r="S659" s="670"/>
      <c r="T659" s="577">
        <f t="shared" si="194"/>
        <v>0</v>
      </c>
      <c r="U659" s="578">
        <f t="shared" si="195"/>
        <v>0</v>
      </c>
      <c r="V659" s="579"/>
      <c r="W659" s="637" t="str">
        <f>IF(U656&gt;0,"xx",IF(P656&gt;0,"xy",""))</f>
        <v/>
      </c>
      <c r="X659" s="586" t="str">
        <f>IF(W659="X","x",IF(W659="xx","x",IF(W659="xy","x",IF(W659="y","x",IF(OR(P659&gt;0,U659&gt;0),"x","")))))</f>
        <v/>
      </c>
      <c r="Y659" s="586" t="str">
        <f>IF(W659="X","x",IF(W659="y","x",IF(W659="xx","x",IF(U659&gt;0,"x",""))))</f>
        <v/>
      </c>
      <c r="Z659" s="586" t="str">
        <f>IF(W659="X","x",IF(U659&gt;0,"x",""))</f>
        <v/>
      </c>
    </row>
    <row r="660" spans="1:26" hidden="1" x14ac:dyDescent="0.2">
      <c r="A660" s="567" t="s">
        <v>168</v>
      </c>
      <c r="B660" s="644" t="s">
        <v>168</v>
      </c>
      <c r="C660" s="645"/>
      <c r="D660" s="451" t="s">
        <v>263</v>
      </c>
      <c r="E660" s="423"/>
      <c r="F660" s="424">
        <v>20</v>
      </c>
      <c r="G660" s="425">
        <f>SUM(G656:G659)</f>
        <v>2.2000000000000002</v>
      </c>
      <c r="H660" s="651">
        <f t="shared" si="207"/>
        <v>52.976000000000006</v>
      </c>
      <c r="I660" s="420">
        <v>0</v>
      </c>
      <c r="J660" s="420"/>
      <c r="K660" s="421">
        <f t="shared" si="205"/>
        <v>0</v>
      </c>
      <c r="L660" s="647" t="s">
        <v>614</v>
      </c>
      <c r="M660" s="703"/>
      <c r="N660" s="576">
        <f t="shared" ref="N660:N723" si="209">IF(M660=0,0,K660)</f>
        <v>0</v>
      </c>
      <c r="O660" s="577">
        <f t="shared" si="196"/>
        <v>0</v>
      </c>
      <c r="P660" s="578">
        <f t="shared" si="197"/>
        <v>0</v>
      </c>
      <c r="Q660" s="765"/>
      <c r="R660" s="703"/>
      <c r="S660" s="670"/>
      <c r="T660" s="577">
        <f t="shared" si="194"/>
        <v>0</v>
      </c>
      <c r="U660" s="578">
        <f t="shared" si="195"/>
        <v>0</v>
      </c>
      <c r="V660" s="579"/>
      <c r="W660" s="637" t="str">
        <f>IF(U656&gt;0,"xx",IF(P656&gt;0,"xy",""))</f>
        <v/>
      </c>
      <c r="X660" s="586" t="str">
        <f t="shared" si="191"/>
        <v/>
      </c>
      <c r="Y660" s="586" t="str">
        <f t="shared" si="189"/>
        <v/>
      </c>
      <c r="Z660" s="586" t="str">
        <f t="shared" si="208"/>
        <v/>
      </c>
    </row>
    <row r="661" spans="1:26" ht="12" hidden="1" thickBot="1" x14ac:dyDescent="0.25">
      <c r="A661" s="567">
        <v>589320</v>
      </c>
      <c r="B661" s="704" t="s">
        <v>1839</v>
      </c>
      <c r="C661" s="689" t="s">
        <v>1746</v>
      </c>
      <c r="D661" s="477" t="s">
        <v>812</v>
      </c>
      <c r="E661" s="470"/>
      <c r="F661" s="478">
        <v>500</v>
      </c>
      <c r="G661" s="479">
        <v>1</v>
      </c>
      <c r="H661" s="663">
        <f>(0.84*F661+41.45)*G661</f>
        <v>461.45</v>
      </c>
      <c r="I661" s="472">
        <v>4680</v>
      </c>
      <c r="J661" s="472">
        <f>IF(ISBLANK(I661),"",I661*(1+$F$9)/(1+$F$10))+H661</f>
        <v>5002.4010983923918</v>
      </c>
      <c r="K661" s="690">
        <f t="shared" si="205"/>
        <v>5943.35</v>
      </c>
      <c r="L661" s="691" t="s">
        <v>20</v>
      </c>
      <c r="M661" s="692">
        <f>ROUND(M656*G656,2)</f>
        <v>0</v>
      </c>
      <c r="N661" s="588">
        <f t="shared" si="209"/>
        <v>0</v>
      </c>
      <c r="O661" s="693">
        <f t="shared" si="196"/>
        <v>0</v>
      </c>
      <c r="P661" s="694">
        <f t="shared" si="197"/>
        <v>0</v>
      </c>
      <c r="Q661" s="765"/>
      <c r="R661" s="719">
        <f>ROUND(R656*G656,2)</f>
        <v>0</v>
      </c>
      <c r="S661" s="720">
        <f>N661</f>
        <v>0</v>
      </c>
      <c r="T661" s="693">
        <f t="shared" si="194"/>
        <v>0</v>
      </c>
      <c r="U661" s="694">
        <f t="shared" si="195"/>
        <v>0</v>
      </c>
      <c r="V661" s="579"/>
      <c r="W661" s="637" t="str">
        <f>IF(U656&gt;0,"xx",IF(P656&gt;0,"xy",""))</f>
        <v/>
      </c>
      <c r="X661" s="586" t="str">
        <f t="shared" si="191"/>
        <v/>
      </c>
      <c r="Y661" s="586" t="str">
        <f t="shared" si="189"/>
        <v/>
      </c>
      <c r="Z661" s="586" t="str">
        <f t="shared" si="208"/>
        <v/>
      </c>
    </row>
    <row r="662" spans="1:26" hidden="1" x14ac:dyDescent="0.2">
      <c r="A662" s="671">
        <v>534300</v>
      </c>
      <c r="B662" s="701" t="s">
        <v>1840</v>
      </c>
      <c r="C662" s="702" t="s">
        <v>206</v>
      </c>
      <c r="D662" s="463" t="s">
        <v>1919</v>
      </c>
      <c r="E662" s="464"/>
      <c r="F662" s="465" t="s">
        <v>663</v>
      </c>
      <c r="G662" s="466">
        <v>0.11</v>
      </c>
      <c r="H662" s="681">
        <f>SUM(H663:H666)</f>
        <v>59.024459999999998</v>
      </c>
      <c r="I662" s="467">
        <v>136.76</v>
      </c>
      <c r="J662" s="467">
        <f>IF(ISBLANK(I662),"",SUM(H662:I662))</f>
        <v>195.78446</v>
      </c>
      <c r="K662" s="682">
        <f t="shared" si="205"/>
        <v>232.61</v>
      </c>
      <c r="L662" s="683" t="s">
        <v>16</v>
      </c>
      <c r="M662" s="685"/>
      <c r="N662" s="686">
        <f t="shared" si="209"/>
        <v>0</v>
      </c>
      <c r="O662" s="687">
        <f t="shared" si="196"/>
        <v>0</v>
      </c>
      <c r="P662" s="688">
        <f t="shared" si="197"/>
        <v>0</v>
      </c>
      <c r="Q662" s="765"/>
      <c r="R662" s="685">
        <f>M662</f>
        <v>0</v>
      </c>
      <c r="S662" s="686">
        <f t="shared" si="198"/>
        <v>0</v>
      </c>
      <c r="T662" s="687">
        <f t="shared" si="194"/>
        <v>0</v>
      </c>
      <c r="U662" s="688">
        <f t="shared" si="195"/>
        <v>0</v>
      </c>
      <c r="V662" s="579"/>
      <c r="W662" s="566"/>
      <c r="X662" s="586" t="str">
        <f t="shared" si="191"/>
        <v/>
      </c>
      <c r="Y662" s="586" t="str">
        <f t="shared" si="189"/>
        <v/>
      </c>
      <c r="Z662" s="586" t="str">
        <f t="shared" si="208"/>
        <v/>
      </c>
    </row>
    <row r="663" spans="1:26" hidden="1" x14ac:dyDescent="0.2">
      <c r="A663" s="671" t="s">
        <v>168</v>
      </c>
      <c r="B663" s="644" t="s">
        <v>168</v>
      </c>
      <c r="C663" s="645"/>
      <c r="D663" s="451" t="s">
        <v>248</v>
      </c>
      <c r="E663" s="423"/>
      <c r="F663" s="424">
        <v>180</v>
      </c>
      <c r="G663" s="425"/>
      <c r="H663" s="651">
        <f t="shared" ref="H663:H666" si="210">IF(F663&lt;=30,(1.07*F663+2.68)*G663,((1.07*30+2.68)+1.07*(F663-30))*G663)</f>
        <v>0</v>
      </c>
      <c r="I663" s="420">
        <v>0</v>
      </c>
      <c r="J663" s="420"/>
      <c r="K663" s="421">
        <f t="shared" si="205"/>
        <v>0</v>
      </c>
      <c r="L663" s="647" t="s">
        <v>614</v>
      </c>
      <c r="M663" s="703"/>
      <c r="N663" s="576">
        <f t="shared" si="209"/>
        <v>0</v>
      </c>
      <c r="O663" s="577">
        <f t="shared" si="196"/>
        <v>0</v>
      </c>
      <c r="P663" s="578">
        <f t="shared" si="197"/>
        <v>0</v>
      </c>
      <c r="Q663" s="765"/>
      <c r="R663" s="703"/>
      <c r="S663" s="670"/>
      <c r="T663" s="577">
        <f t="shared" si="194"/>
        <v>0</v>
      </c>
      <c r="U663" s="578">
        <f t="shared" si="195"/>
        <v>0</v>
      </c>
      <c r="V663" s="579"/>
      <c r="W663" s="637" t="str">
        <f>IF(U662&gt;0,"xx",IF(P662&gt;0,"xy",""))</f>
        <v/>
      </c>
      <c r="X663" s="586" t="str">
        <f t="shared" si="191"/>
        <v/>
      </c>
      <c r="Y663" s="586" t="str">
        <f t="shared" si="189"/>
        <v/>
      </c>
      <c r="Z663" s="586" t="str">
        <f t="shared" si="208"/>
        <v/>
      </c>
    </row>
    <row r="664" spans="1:26" hidden="1" x14ac:dyDescent="0.2">
      <c r="A664" s="671" t="s">
        <v>168</v>
      </c>
      <c r="B664" s="644" t="s">
        <v>168</v>
      </c>
      <c r="C664" s="645"/>
      <c r="D664" s="451" t="s">
        <v>249</v>
      </c>
      <c r="E664" s="423"/>
      <c r="F664" s="424">
        <v>500</v>
      </c>
      <c r="G664" s="425"/>
      <c r="H664" s="649">
        <f>IF(F664&lt;=30,(0.78*F664+7.82)*G664,((0.78*30+7.82)+0.78*(F664-30))*G664)</f>
        <v>0</v>
      </c>
      <c r="I664" s="420">
        <v>0</v>
      </c>
      <c r="J664" s="420">
        <f>IF(ISBLANK(I664),"",SUM(H664:I664))</f>
        <v>0</v>
      </c>
      <c r="K664" s="421">
        <f t="shared" si="205"/>
        <v>0</v>
      </c>
      <c r="L664" s="647" t="s">
        <v>614</v>
      </c>
      <c r="M664" s="703"/>
      <c r="N664" s="576">
        <f t="shared" si="209"/>
        <v>0</v>
      </c>
      <c r="O664" s="577">
        <f t="shared" si="196"/>
        <v>0</v>
      </c>
      <c r="P664" s="578">
        <f t="shared" si="197"/>
        <v>0</v>
      </c>
      <c r="Q664" s="765"/>
      <c r="R664" s="703"/>
      <c r="S664" s="670"/>
      <c r="T664" s="577">
        <f t="shared" si="194"/>
        <v>0</v>
      </c>
      <c r="U664" s="578">
        <f t="shared" si="195"/>
        <v>0</v>
      </c>
      <c r="V664" s="579"/>
      <c r="W664" s="637" t="str">
        <f>IF(U662&gt;0,"xx",IF(P662&gt;0,"xy",""))</f>
        <v/>
      </c>
      <c r="X664" s="586" t="str">
        <f t="shared" si="191"/>
        <v/>
      </c>
      <c r="Y664" s="586" t="str">
        <f t="shared" si="189"/>
        <v/>
      </c>
      <c r="Z664" s="586" t="str">
        <f t="shared" si="208"/>
        <v/>
      </c>
    </row>
    <row r="665" spans="1:26" hidden="1" x14ac:dyDescent="0.2">
      <c r="A665" s="671" t="s">
        <v>168</v>
      </c>
      <c r="B665" s="644" t="s">
        <v>168</v>
      </c>
      <c r="C665" s="645"/>
      <c r="D665" s="451" t="s">
        <v>262</v>
      </c>
      <c r="E665" s="423"/>
      <c r="F665" s="424">
        <v>0.2</v>
      </c>
      <c r="G665" s="425">
        <v>2.09</v>
      </c>
      <c r="H665" s="651">
        <f t="shared" si="210"/>
        <v>6.0484599999999995</v>
      </c>
      <c r="I665" s="420">
        <v>0</v>
      </c>
      <c r="J665" s="420"/>
      <c r="K665" s="421">
        <f t="shared" si="205"/>
        <v>0</v>
      </c>
      <c r="L665" s="647" t="s">
        <v>614</v>
      </c>
      <c r="M665" s="703"/>
      <c r="N665" s="576">
        <f t="shared" si="209"/>
        <v>0</v>
      </c>
      <c r="O665" s="577">
        <f t="shared" si="196"/>
        <v>0</v>
      </c>
      <c r="P665" s="578">
        <f t="shared" si="197"/>
        <v>0</v>
      </c>
      <c r="Q665" s="765"/>
      <c r="R665" s="703"/>
      <c r="S665" s="670"/>
      <c r="T665" s="577">
        <f t="shared" si="194"/>
        <v>0</v>
      </c>
      <c r="U665" s="578">
        <f t="shared" si="195"/>
        <v>0</v>
      </c>
      <c r="V665" s="579"/>
      <c r="W665" s="637" t="str">
        <f>IF(U662&gt;0,"xx",IF(P662&gt;0,"xy",""))</f>
        <v/>
      </c>
      <c r="X665" s="586" t="str">
        <f t="shared" si="191"/>
        <v/>
      </c>
      <c r="Y665" s="586" t="str">
        <f t="shared" si="189"/>
        <v/>
      </c>
      <c r="Z665" s="586" t="str">
        <f t="shared" si="208"/>
        <v/>
      </c>
    </row>
    <row r="666" spans="1:26" hidden="1" x14ac:dyDescent="0.2">
      <c r="A666" s="671" t="s">
        <v>168</v>
      </c>
      <c r="B666" s="644" t="s">
        <v>168</v>
      </c>
      <c r="C666" s="645"/>
      <c r="D666" s="451" t="s">
        <v>263</v>
      </c>
      <c r="E666" s="423"/>
      <c r="F666" s="424">
        <v>20</v>
      </c>
      <c r="G666" s="425">
        <f>SUM(G662:G665)</f>
        <v>2.1999999999999997</v>
      </c>
      <c r="H666" s="651">
        <f t="shared" si="210"/>
        <v>52.975999999999999</v>
      </c>
      <c r="I666" s="420">
        <v>0</v>
      </c>
      <c r="J666" s="420"/>
      <c r="K666" s="421">
        <f t="shared" si="205"/>
        <v>0</v>
      </c>
      <c r="L666" s="647" t="s">
        <v>614</v>
      </c>
      <c r="M666" s="703"/>
      <c r="N666" s="576">
        <f t="shared" si="209"/>
        <v>0</v>
      </c>
      <c r="O666" s="577">
        <f t="shared" si="196"/>
        <v>0</v>
      </c>
      <c r="P666" s="578">
        <f t="shared" si="197"/>
        <v>0</v>
      </c>
      <c r="Q666" s="765"/>
      <c r="R666" s="703"/>
      <c r="S666" s="670"/>
      <c r="T666" s="577">
        <f t="shared" si="194"/>
        <v>0</v>
      </c>
      <c r="U666" s="578">
        <f t="shared" si="195"/>
        <v>0</v>
      </c>
      <c r="V666" s="579"/>
      <c r="W666" s="637" t="str">
        <f>IF(U662&gt;0,"xx",IF(P662&gt;0,"xy",""))</f>
        <v/>
      </c>
      <c r="X666" s="586" t="str">
        <f t="shared" si="191"/>
        <v/>
      </c>
      <c r="Y666" s="586" t="str">
        <f t="shared" si="189"/>
        <v/>
      </c>
      <c r="Z666" s="586" t="str">
        <f t="shared" si="208"/>
        <v/>
      </c>
    </row>
    <row r="667" spans="1:26" ht="12" hidden="1" thickBot="1" x14ac:dyDescent="0.25">
      <c r="A667" s="671">
        <v>589320</v>
      </c>
      <c r="B667" s="704" t="s">
        <v>1841</v>
      </c>
      <c r="C667" s="689" t="s">
        <v>1746</v>
      </c>
      <c r="D667" s="477" t="s">
        <v>813</v>
      </c>
      <c r="E667" s="470"/>
      <c r="F667" s="478">
        <v>500</v>
      </c>
      <c r="G667" s="479">
        <v>1</v>
      </c>
      <c r="H667" s="663">
        <f>(0.84*F667+41.45)*G667</f>
        <v>461.45</v>
      </c>
      <c r="I667" s="472">
        <v>4680</v>
      </c>
      <c r="J667" s="472">
        <f>IF(ISBLANK(I667),"",I667*(1+$F$9)/(1+$F$10))+H667</f>
        <v>5002.4010983923918</v>
      </c>
      <c r="K667" s="690">
        <f t="shared" si="205"/>
        <v>5943.35</v>
      </c>
      <c r="L667" s="691" t="s">
        <v>20</v>
      </c>
      <c r="M667" s="692">
        <f>ROUND(M662*G662,2)</f>
        <v>0</v>
      </c>
      <c r="N667" s="696">
        <f t="shared" si="209"/>
        <v>0</v>
      </c>
      <c r="O667" s="693">
        <f t="shared" si="196"/>
        <v>0</v>
      </c>
      <c r="P667" s="694">
        <f t="shared" si="197"/>
        <v>0</v>
      </c>
      <c r="Q667" s="765"/>
      <c r="R667" s="719">
        <f>ROUND(R662*G662,2)</f>
        <v>0</v>
      </c>
      <c r="S667" s="720">
        <f>N667</f>
        <v>0</v>
      </c>
      <c r="T667" s="693">
        <f t="shared" si="194"/>
        <v>0</v>
      </c>
      <c r="U667" s="694">
        <f t="shared" si="195"/>
        <v>0</v>
      </c>
      <c r="V667" s="579"/>
      <c r="W667" s="637" t="str">
        <f>IF(U662&gt;0,"xx",IF(P662&gt;0,"xy",""))</f>
        <v/>
      </c>
      <c r="X667" s="586" t="str">
        <f t="shared" si="191"/>
        <v/>
      </c>
      <c r="Y667" s="586" t="str">
        <f t="shared" si="189"/>
        <v/>
      </c>
      <c r="Z667" s="586" t="str">
        <f t="shared" si="208"/>
        <v/>
      </c>
    </row>
    <row r="668" spans="1:26" hidden="1" x14ac:dyDescent="0.2">
      <c r="A668" s="671">
        <v>534300</v>
      </c>
      <c r="B668" s="701" t="s">
        <v>1842</v>
      </c>
      <c r="C668" s="702" t="s">
        <v>206</v>
      </c>
      <c r="D668" s="463" t="s">
        <v>1920</v>
      </c>
      <c r="E668" s="464"/>
      <c r="F668" s="465" t="s">
        <v>663</v>
      </c>
      <c r="G668" s="466">
        <v>0.11</v>
      </c>
      <c r="H668" s="681">
        <f>SUM(H669:H672)</f>
        <v>59.024459999999998</v>
      </c>
      <c r="I668" s="467">
        <v>136.76</v>
      </c>
      <c r="J668" s="467">
        <f>IF(ISBLANK(I668),"",SUM(H668:I668))</f>
        <v>195.78446</v>
      </c>
      <c r="K668" s="682">
        <f t="shared" si="205"/>
        <v>232.61</v>
      </c>
      <c r="L668" s="683" t="s">
        <v>16</v>
      </c>
      <c r="M668" s="685"/>
      <c r="N668" s="576">
        <f t="shared" si="209"/>
        <v>0</v>
      </c>
      <c r="O668" s="687">
        <f t="shared" si="196"/>
        <v>0</v>
      </c>
      <c r="P668" s="688">
        <f t="shared" si="197"/>
        <v>0</v>
      </c>
      <c r="Q668" s="765"/>
      <c r="R668" s="685">
        <f>M668</f>
        <v>0</v>
      </c>
      <c r="S668" s="686">
        <f>N668</f>
        <v>0</v>
      </c>
      <c r="T668" s="687">
        <f t="shared" si="194"/>
        <v>0</v>
      </c>
      <c r="U668" s="688">
        <f t="shared" si="195"/>
        <v>0</v>
      </c>
      <c r="V668" s="579"/>
      <c r="W668" s="566"/>
      <c r="X668" s="586" t="str">
        <f t="shared" si="191"/>
        <v/>
      </c>
      <c r="Y668" s="586" t="str">
        <f t="shared" si="189"/>
        <v/>
      </c>
      <c r="Z668" s="586" t="str">
        <f t="shared" si="208"/>
        <v/>
      </c>
    </row>
    <row r="669" spans="1:26" hidden="1" x14ac:dyDescent="0.2">
      <c r="A669" s="671" t="s">
        <v>168</v>
      </c>
      <c r="B669" s="644" t="s">
        <v>168</v>
      </c>
      <c r="C669" s="645"/>
      <c r="D669" s="451" t="s">
        <v>248</v>
      </c>
      <c r="E669" s="423"/>
      <c r="F669" s="424">
        <v>180</v>
      </c>
      <c r="G669" s="425"/>
      <c r="H669" s="651">
        <f t="shared" ref="H669:H672" si="211">IF(F669&lt;=30,(1.07*F669+2.68)*G669,((1.07*30+2.68)+1.07*(F669-30))*G669)</f>
        <v>0</v>
      </c>
      <c r="I669" s="420">
        <v>0</v>
      </c>
      <c r="J669" s="420"/>
      <c r="K669" s="421">
        <f t="shared" si="205"/>
        <v>0</v>
      </c>
      <c r="L669" s="647" t="s">
        <v>614</v>
      </c>
      <c r="M669" s="703"/>
      <c r="N669" s="576">
        <f t="shared" si="209"/>
        <v>0</v>
      </c>
      <c r="O669" s="577">
        <f t="shared" si="196"/>
        <v>0</v>
      </c>
      <c r="P669" s="578">
        <f t="shared" si="197"/>
        <v>0</v>
      </c>
      <c r="Q669" s="765"/>
      <c r="R669" s="703"/>
      <c r="S669" s="670"/>
      <c r="T669" s="577">
        <f t="shared" si="194"/>
        <v>0</v>
      </c>
      <c r="U669" s="578">
        <f t="shared" si="195"/>
        <v>0</v>
      </c>
      <c r="V669" s="579"/>
      <c r="W669" s="637" t="str">
        <f>IF(U668&gt;0,"xx",IF(P668&gt;0,"xy",""))</f>
        <v/>
      </c>
      <c r="X669" s="586" t="str">
        <f t="shared" si="191"/>
        <v/>
      </c>
      <c r="Y669" s="586" t="str">
        <f t="shared" si="189"/>
        <v/>
      </c>
      <c r="Z669" s="586" t="str">
        <f t="shared" si="208"/>
        <v/>
      </c>
    </row>
    <row r="670" spans="1:26" hidden="1" x14ac:dyDescent="0.2">
      <c r="A670" s="671" t="s">
        <v>168</v>
      </c>
      <c r="B670" s="644" t="s">
        <v>168</v>
      </c>
      <c r="C670" s="645"/>
      <c r="D670" s="451" t="s">
        <v>249</v>
      </c>
      <c r="E670" s="423"/>
      <c r="F670" s="424">
        <v>500</v>
      </c>
      <c r="G670" s="425"/>
      <c r="H670" s="649">
        <f>IF(F670&lt;=30,(0.78*F670+7.82)*G670,((0.78*30+7.82)+0.78*(F670-30))*G670)</f>
        <v>0</v>
      </c>
      <c r="I670" s="420">
        <v>0</v>
      </c>
      <c r="J670" s="420">
        <f>IF(ISBLANK(I670),"",SUM(H670:I670))</f>
        <v>0</v>
      </c>
      <c r="K670" s="421">
        <f t="shared" si="205"/>
        <v>0</v>
      </c>
      <c r="L670" s="647" t="s">
        <v>614</v>
      </c>
      <c r="M670" s="703"/>
      <c r="N670" s="576">
        <f t="shared" si="209"/>
        <v>0</v>
      </c>
      <c r="O670" s="577">
        <f t="shared" si="196"/>
        <v>0</v>
      </c>
      <c r="P670" s="578">
        <f t="shared" si="197"/>
        <v>0</v>
      </c>
      <c r="Q670" s="765"/>
      <c r="R670" s="703"/>
      <c r="S670" s="670"/>
      <c r="T670" s="577">
        <f t="shared" si="194"/>
        <v>0</v>
      </c>
      <c r="U670" s="578">
        <f t="shared" si="195"/>
        <v>0</v>
      </c>
      <c r="V670" s="579"/>
      <c r="W670" s="637" t="str">
        <f>IF(U668&gt;0,"xx",IF(P668&gt;0,"xy",""))</f>
        <v/>
      </c>
      <c r="X670" s="586" t="str">
        <f t="shared" si="191"/>
        <v/>
      </c>
      <c r="Y670" s="586" t="str">
        <f t="shared" si="189"/>
        <v/>
      </c>
      <c r="Z670" s="586" t="str">
        <f t="shared" si="208"/>
        <v/>
      </c>
    </row>
    <row r="671" spans="1:26" hidden="1" x14ac:dyDescent="0.2">
      <c r="A671" s="671" t="s">
        <v>168</v>
      </c>
      <c r="B671" s="644" t="s">
        <v>168</v>
      </c>
      <c r="C671" s="645"/>
      <c r="D671" s="451" t="s">
        <v>262</v>
      </c>
      <c r="E671" s="423"/>
      <c r="F671" s="424">
        <v>0.2</v>
      </c>
      <c r="G671" s="425">
        <v>2.09</v>
      </c>
      <c r="H671" s="651">
        <f t="shared" si="211"/>
        <v>6.0484599999999995</v>
      </c>
      <c r="I671" s="420">
        <v>0</v>
      </c>
      <c r="J671" s="420"/>
      <c r="K671" s="421">
        <f t="shared" si="205"/>
        <v>0</v>
      </c>
      <c r="L671" s="647" t="s">
        <v>614</v>
      </c>
      <c r="M671" s="703"/>
      <c r="N671" s="576">
        <f t="shared" si="209"/>
        <v>0</v>
      </c>
      <c r="O671" s="577">
        <f t="shared" si="196"/>
        <v>0</v>
      </c>
      <c r="P671" s="578">
        <f t="shared" si="197"/>
        <v>0</v>
      </c>
      <c r="Q671" s="765"/>
      <c r="R671" s="703"/>
      <c r="S671" s="670"/>
      <c r="T671" s="577">
        <f t="shared" si="194"/>
        <v>0</v>
      </c>
      <c r="U671" s="578">
        <f t="shared" si="195"/>
        <v>0</v>
      </c>
      <c r="V671" s="579"/>
      <c r="W671" s="637" t="str">
        <f>IF(U668&gt;0,"xx",IF(P668&gt;0,"xy",""))</f>
        <v/>
      </c>
      <c r="X671" s="586" t="str">
        <f t="shared" si="191"/>
        <v/>
      </c>
      <c r="Y671" s="586" t="str">
        <f t="shared" si="189"/>
        <v/>
      </c>
      <c r="Z671" s="586" t="str">
        <f t="shared" si="208"/>
        <v/>
      </c>
    </row>
    <row r="672" spans="1:26" hidden="1" x14ac:dyDescent="0.2">
      <c r="A672" s="671" t="s">
        <v>168</v>
      </c>
      <c r="B672" s="644" t="s">
        <v>168</v>
      </c>
      <c r="C672" s="645"/>
      <c r="D672" s="451" t="s">
        <v>263</v>
      </c>
      <c r="E672" s="423"/>
      <c r="F672" s="424">
        <v>20</v>
      </c>
      <c r="G672" s="425">
        <f>SUM(G668:G671)</f>
        <v>2.1999999999999997</v>
      </c>
      <c r="H672" s="651">
        <f t="shared" si="211"/>
        <v>52.975999999999999</v>
      </c>
      <c r="I672" s="420">
        <v>0</v>
      </c>
      <c r="J672" s="420"/>
      <c r="K672" s="421">
        <f t="shared" si="205"/>
        <v>0</v>
      </c>
      <c r="L672" s="647" t="s">
        <v>614</v>
      </c>
      <c r="M672" s="703"/>
      <c r="N672" s="576">
        <f t="shared" si="209"/>
        <v>0</v>
      </c>
      <c r="O672" s="577">
        <f t="shared" si="196"/>
        <v>0</v>
      </c>
      <c r="P672" s="578">
        <f t="shared" si="197"/>
        <v>0</v>
      </c>
      <c r="Q672" s="765"/>
      <c r="R672" s="703"/>
      <c r="S672" s="670"/>
      <c r="T672" s="577">
        <f t="shared" si="194"/>
        <v>0</v>
      </c>
      <c r="U672" s="578">
        <f t="shared" si="195"/>
        <v>0</v>
      </c>
      <c r="V672" s="579"/>
      <c r="W672" s="637" t="str">
        <f>IF(U668&gt;0,"xx",IF(P668&gt;0,"xy",""))</f>
        <v/>
      </c>
      <c r="X672" s="586" t="str">
        <f t="shared" si="191"/>
        <v/>
      </c>
      <c r="Y672" s="586" t="str">
        <f t="shared" si="189"/>
        <v/>
      </c>
      <c r="Z672" s="586" t="str">
        <f t="shared" si="208"/>
        <v/>
      </c>
    </row>
    <row r="673" spans="1:26" ht="12" hidden="1" thickBot="1" x14ac:dyDescent="0.25">
      <c r="A673" s="671">
        <v>589320</v>
      </c>
      <c r="B673" s="704" t="s">
        <v>1843</v>
      </c>
      <c r="C673" s="689" t="s">
        <v>1746</v>
      </c>
      <c r="D673" s="477" t="s">
        <v>813</v>
      </c>
      <c r="E673" s="470"/>
      <c r="F673" s="478">
        <v>500</v>
      </c>
      <c r="G673" s="479">
        <v>1</v>
      </c>
      <c r="H673" s="663">
        <f>(0.84*F673+41.45)*G673</f>
        <v>461.45</v>
      </c>
      <c r="I673" s="472">
        <v>4680</v>
      </c>
      <c r="J673" s="472">
        <f>IF(ISBLANK(I673),"",I673*(1+$F$9)/(1+$F$10))+H673</f>
        <v>5002.4010983923918</v>
      </c>
      <c r="K673" s="690">
        <f t="shared" si="205"/>
        <v>5943.35</v>
      </c>
      <c r="L673" s="691" t="s">
        <v>20</v>
      </c>
      <c r="M673" s="692">
        <f>ROUND(M668*G668,2)</f>
        <v>0</v>
      </c>
      <c r="N673" s="588">
        <f t="shared" si="209"/>
        <v>0</v>
      </c>
      <c r="O673" s="693">
        <f t="shared" si="196"/>
        <v>0</v>
      </c>
      <c r="P673" s="694">
        <f t="shared" si="197"/>
        <v>0</v>
      </c>
      <c r="Q673" s="765"/>
      <c r="R673" s="719">
        <f>ROUND(R668*G668,2)</f>
        <v>0</v>
      </c>
      <c r="S673" s="720">
        <f>N673</f>
        <v>0</v>
      </c>
      <c r="T673" s="693">
        <f t="shared" si="194"/>
        <v>0</v>
      </c>
      <c r="U673" s="694">
        <f t="shared" si="195"/>
        <v>0</v>
      </c>
      <c r="V673" s="579"/>
      <c r="W673" s="637" t="str">
        <f>IF(U668&gt;0,"xx",IF(P668&gt;0,"xy",""))</f>
        <v/>
      </c>
      <c r="X673" s="586" t="str">
        <f t="shared" si="191"/>
        <v/>
      </c>
      <c r="Y673" s="586" t="str">
        <f t="shared" si="189"/>
        <v/>
      </c>
      <c r="Z673" s="586" t="str">
        <f t="shared" si="208"/>
        <v/>
      </c>
    </row>
    <row r="674" spans="1:26" hidden="1" x14ac:dyDescent="0.2">
      <c r="A674" s="567">
        <v>534300</v>
      </c>
      <c r="B674" s="701" t="s">
        <v>1844</v>
      </c>
      <c r="C674" s="702" t="s">
        <v>206</v>
      </c>
      <c r="D674" s="463" t="s">
        <v>1919</v>
      </c>
      <c r="E674" s="464"/>
      <c r="F674" s="465" t="s">
        <v>663</v>
      </c>
      <c r="G674" s="466">
        <v>0.14000000000000001</v>
      </c>
      <c r="H674" s="681">
        <f>SUM(H675:H678)</f>
        <v>113.57926</v>
      </c>
      <c r="I674" s="467">
        <v>136.76</v>
      </c>
      <c r="J674" s="467">
        <f>IF(ISBLANK(I674),"",SUM(H674:I674))</f>
        <v>250.33926</v>
      </c>
      <c r="K674" s="682">
        <f t="shared" si="205"/>
        <v>297.43</v>
      </c>
      <c r="L674" s="683" t="s">
        <v>16</v>
      </c>
      <c r="M674" s="685"/>
      <c r="N674" s="686">
        <f t="shared" si="209"/>
        <v>0</v>
      </c>
      <c r="O674" s="687">
        <f t="shared" si="196"/>
        <v>0</v>
      </c>
      <c r="P674" s="688">
        <f t="shared" si="197"/>
        <v>0</v>
      </c>
      <c r="Q674" s="765"/>
      <c r="R674" s="685">
        <f>M674</f>
        <v>0</v>
      </c>
      <c r="S674" s="686">
        <f>N674</f>
        <v>0</v>
      </c>
      <c r="T674" s="687">
        <f t="shared" si="194"/>
        <v>0</v>
      </c>
      <c r="U674" s="688">
        <f t="shared" si="195"/>
        <v>0</v>
      </c>
      <c r="V674" s="579"/>
      <c r="W674" s="566"/>
      <c r="X674" s="586" t="str">
        <f t="shared" si="191"/>
        <v/>
      </c>
      <c r="Y674" s="586" t="str">
        <f t="shared" si="189"/>
        <v/>
      </c>
      <c r="Z674" s="586" t="str">
        <f t="shared" si="208"/>
        <v/>
      </c>
    </row>
    <row r="675" spans="1:26" hidden="1" x14ac:dyDescent="0.2">
      <c r="A675" s="567" t="s">
        <v>168</v>
      </c>
      <c r="B675" s="644" t="s">
        <v>168</v>
      </c>
      <c r="C675" s="645"/>
      <c r="D675" s="451" t="s">
        <v>248</v>
      </c>
      <c r="E675" s="423"/>
      <c r="F675" s="424">
        <v>180</v>
      </c>
      <c r="G675" s="425">
        <v>0.27</v>
      </c>
      <c r="H675" s="651">
        <f t="shared" ref="H675:H678" si="212">IF(F675&lt;=30,(1.07*F675+2.68)*G675,((1.07*30+2.68)+1.07*(F675-30))*G675)</f>
        <v>52.725600000000007</v>
      </c>
      <c r="I675" s="420">
        <v>0</v>
      </c>
      <c r="J675" s="420"/>
      <c r="K675" s="421">
        <f t="shared" si="205"/>
        <v>0</v>
      </c>
      <c r="L675" s="647" t="s">
        <v>614</v>
      </c>
      <c r="M675" s="703"/>
      <c r="N675" s="576">
        <f t="shared" si="209"/>
        <v>0</v>
      </c>
      <c r="O675" s="577">
        <f t="shared" si="196"/>
        <v>0</v>
      </c>
      <c r="P675" s="578">
        <f t="shared" si="197"/>
        <v>0</v>
      </c>
      <c r="Q675" s="765"/>
      <c r="R675" s="703"/>
      <c r="S675" s="670"/>
      <c r="T675" s="577">
        <f t="shared" si="194"/>
        <v>0</v>
      </c>
      <c r="U675" s="578">
        <f t="shared" si="195"/>
        <v>0</v>
      </c>
      <c r="V675" s="579"/>
      <c r="W675" s="637" t="str">
        <f>IF(U674&gt;0,"xx",IF(P674&gt;0,"xy",""))</f>
        <v/>
      </c>
      <c r="X675" s="586" t="str">
        <f t="shared" si="191"/>
        <v/>
      </c>
      <c r="Y675" s="586" t="str">
        <f t="shared" si="189"/>
        <v/>
      </c>
      <c r="Z675" s="586" t="str">
        <f t="shared" si="208"/>
        <v/>
      </c>
    </row>
    <row r="676" spans="1:26" hidden="1" x14ac:dyDescent="0.2">
      <c r="A676" s="567" t="s">
        <v>168</v>
      </c>
      <c r="B676" s="644" t="s">
        <v>168</v>
      </c>
      <c r="C676" s="645"/>
      <c r="D676" s="451" t="s">
        <v>249</v>
      </c>
      <c r="E676" s="423"/>
      <c r="F676" s="424">
        <v>500</v>
      </c>
      <c r="G676" s="425"/>
      <c r="H676" s="649">
        <f>IF(F676&lt;=30,(0.78*F676+7.82)*G676,((0.78*30+7.82)+0.78*(F676-30))*G676)</f>
        <v>0</v>
      </c>
      <c r="I676" s="420">
        <v>0</v>
      </c>
      <c r="J676" s="420">
        <f>IF(ISBLANK(I676),"",SUM(H676:I676))</f>
        <v>0</v>
      </c>
      <c r="K676" s="421">
        <f t="shared" si="205"/>
        <v>0</v>
      </c>
      <c r="L676" s="647" t="s">
        <v>614</v>
      </c>
      <c r="M676" s="703"/>
      <c r="N676" s="576">
        <f t="shared" si="209"/>
        <v>0</v>
      </c>
      <c r="O676" s="577">
        <f t="shared" si="196"/>
        <v>0</v>
      </c>
      <c r="P676" s="578">
        <f t="shared" si="197"/>
        <v>0</v>
      </c>
      <c r="Q676" s="765"/>
      <c r="R676" s="703"/>
      <c r="S676" s="670"/>
      <c r="T676" s="577">
        <f t="shared" si="194"/>
        <v>0</v>
      </c>
      <c r="U676" s="578">
        <f t="shared" si="195"/>
        <v>0</v>
      </c>
      <c r="V676" s="579"/>
      <c r="W676" s="637" t="str">
        <f>IF(U674&gt;0,"xx",IF(P674&gt;0,"xy",""))</f>
        <v/>
      </c>
      <c r="X676" s="586" t="str">
        <f>IF(W676="X","x",IF(W676="xx","x",IF(W676="xy","x",IF(W676="y","x",IF(OR(P676&gt;0,U676&gt;0),"x","")))))</f>
        <v/>
      </c>
      <c r="Y676" s="586" t="str">
        <f>IF(W676="X","x",IF(W676="y","x",IF(W676="xx","x",IF(U676&gt;0,"x",""))))</f>
        <v/>
      </c>
      <c r="Z676" s="586" t="str">
        <f>IF(W676="X","x",IF(U676&gt;0,"x",""))</f>
        <v/>
      </c>
    </row>
    <row r="677" spans="1:26" hidden="1" x14ac:dyDescent="0.2">
      <c r="A677" s="567" t="s">
        <v>168</v>
      </c>
      <c r="B677" s="644" t="s">
        <v>168</v>
      </c>
      <c r="C677" s="645"/>
      <c r="D677" s="451" t="s">
        <v>262</v>
      </c>
      <c r="E677" s="423"/>
      <c r="F677" s="424">
        <v>0.2</v>
      </c>
      <c r="G677" s="425">
        <v>1.89</v>
      </c>
      <c r="H677" s="651">
        <f t="shared" si="212"/>
        <v>5.4696600000000002</v>
      </c>
      <c r="I677" s="420">
        <v>0</v>
      </c>
      <c r="J677" s="420"/>
      <c r="K677" s="421">
        <f t="shared" si="205"/>
        <v>0</v>
      </c>
      <c r="L677" s="647" t="s">
        <v>614</v>
      </c>
      <c r="M677" s="703"/>
      <c r="N677" s="576">
        <f t="shared" si="209"/>
        <v>0</v>
      </c>
      <c r="O677" s="577">
        <f t="shared" si="196"/>
        <v>0</v>
      </c>
      <c r="P677" s="578">
        <f t="shared" si="197"/>
        <v>0</v>
      </c>
      <c r="Q677" s="765"/>
      <c r="R677" s="703"/>
      <c r="S677" s="670"/>
      <c r="T677" s="577">
        <f t="shared" si="194"/>
        <v>0</v>
      </c>
      <c r="U677" s="578">
        <f t="shared" si="195"/>
        <v>0</v>
      </c>
      <c r="V677" s="579"/>
      <c r="W677" s="637" t="str">
        <f>IF(U674&gt;0,"xx",IF(P674&gt;0,"xy",""))</f>
        <v/>
      </c>
      <c r="X677" s="586" t="str">
        <f>IF(W677="X","x",IF(W677="xx","x",IF(W677="xy","x",IF(W677="y","x",IF(OR(P677&gt;0,U677&gt;0),"x","")))))</f>
        <v/>
      </c>
      <c r="Y677" s="586" t="str">
        <f>IF(W677="X","x",IF(W677="y","x",IF(W677="xx","x",IF(U677&gt;0,"x",""))))</f>
        <v/>
      </c>
      <c r="Z677" s="586" t="str">
        <f>IF(W677="X","x",IF(U677&gt;0,"x",""))</f>
        <v/>
      </c>
    </row>
    <row r="678" spans="1:26" hidden="1" x14ac:dyDescent="0.2">
      <c r="A678" s="567" t="s">
        <v>168</v>
      </c>
      <c r="B678" s="644" t="s">
        <v>168</v>
      </c>
      <c r="C678" s="645"/>
      <c r="D678" s="451" t="s">
        <v>263</v>
      </c>
      <c r="E678" s="423"/>
      <c r="F678" s="424">
        <v>20</v>
      </c>
      <c r="G678" s="425">
        <f>SUM(G674:G677)</f>
        <v>2.2999999999999998</v>
      </c>
      <c r="H678" s="651">
        <f t="shared" si="212"/>
        <v>55.384</v>
      </c>
      <c r="I678" s="420">
        <v>0</v>
      </c>
      <c r="J678" s="420"/>
      <c r="K678" s="421">
        <f t="shared" si="205"/>
        <v>0</v>
      </c>
      <c r="L678" s="647" t="s">
        <v>614</v>
      </c>
      <c r="M678" s="703"/>
      <c r="N678" s="576">
        <f t="shared" si="209"/>
        <v>0</v>
      </c>
      <c r="O678" s="577">
        <f>IF(ISBLANK(M678),0,ROUND(K678*M678,2))</f>
        <v>0</v>
      </c>
      <c r="P678" s="578">
        <f>IF(ISBLANK(N678),0,ROUND(M678*N678,2))</f>
        <v>0</v>
      </c>
      <c r="Q678" s="765"/>
      <c r="R678" s="703"/>
      <c r="S678" s="670"/>
      <c r="T678" s="577">
        <f t="shared" si="194"/>
        <v>0</v>
      </c>
      <c r="U678" s="578">
        <f t="shared" si="195"/>
        <v>0</v>
      </c>
      <c r="V678" s="579"/>
      <c r="W678" s="637" t="str">
        <f>IF(U674&gt;0,"xx",IF(P674&gt;0,"xy",""))</f>
        <v/>
      </c>
      <c r="X678" s="586" t="str">
        <f t="shared" si="191"/>
        <v/>
      </c>
      <c r="Y678" s="586" t="str">
        <f t="shared" si="189"/>
        <v/>
      </c>
      <c r="Z678" s="586" t="str">
        <f t="shared" si="208"/>
        <v/>
      </c>
    </row>
    <row r="679" spans="1:26" ht="12" hidden="1" thickBot="1" x14ac:dyDescent="0.25">
      <c r="A679" s="567">
        <v>589320</v>
      </c>
      <c r="B679" s="704" t="s">
        <v>1845</v>
      </c>
      <c r="C679" s="689" t="s">
        <v>1746</v>
      </c>
      <c r="D679" s="477" t="s">
        <v>813</v>
      </c>
      <c r="E679" s="470"/>
      <c r="F679" s="478">
        <v>500</v>
      </c>
      <c r="G679" s="479">
        <v>1</v>
      </c>
      <c r="H679" s="663">
        <f>(0.84*F679+41.45)*G679</f>
        <v>461.45</v>
      </c>
      <c r="I679" s="472">
        <v>4680</v>
      </c>
      <c r="J679" s="472">
        <f>IF(ISBLANK(I679),"",I679*(1+$F$9)/(1+$F$10))+H679</f>
        <v>5002.4010983923918</v>
      </c>
      <c r="K679" s="690">
        <f t="shared" si="205"/>
        <v>5943.35</v>
      </c>
      <c r="L679" s="691" t="s">
        <v>20</v>
      </c>
      <c r="M679" s="692">
        <f>ROUND(M674*G674,2)</f>
        <v>0</v>
      </c>
      <c r="N679" s="696">
        <f t="shared" si="209"/>
        <v>0</v>
      </c>
      <c r="O679" s="693">
        <f>IF(ISBLANK(M679),0,ROUND(K679*M679,2))</f>
        <v>0</v>
      </c>
      <c r="P679" s="694">
        <f>IF(ISBLANK(N679),0,ROUND(M679*N679,2))</f>
        <v>0</v>
      </c>
      <c r="Q679" s="765"/>
      <c r="R679" s="719">
        <f>ROUND(R674*G674,2)</f>
        <v>0</v>
      </c>
      <c r="S679" s="720">
        <f>N679</f>
        <v>0</v>
      </c>
      <c r="T679" s="693">
        <f t="shared" si="194"/>
        <v>0</v>
      </c>
      <c r="U679" s="694">
        <f t="shared" si="195"/>
        <v>0</v>
      </c>
      <c r="V679" s="579"/>
      <c r="W679" s="637" t="str">
        <f>IF(U674&gt;0,"xx",IF(P674&gt;0,"xy",""))</f>
        <v/>
      </c>
      <c r="X679" s="586" t="str">
        <f t="shared" si="191"/>
        <v/>
      </c>
      <c r="Y679" s="586" t="str">
        <f t="shared" si="189"/>
        <v/>
      </c>
      <c r="Z679" s="586" t="str">
        <f t="shared" si="208"/>
        <v/>
      </c>
    </row>
    <row r="680" spans="1:26" hidden="1" x14ac:dyDescent="0.2">
      <c r="A680" s="567">
        <v>534300</v>
      </c>
      <c r="B680" s="701" t="s">
        <v>1846</v>
      </c>
      <c r="C680" s="702" t="s">
        <v>206</v>
      </c>
      <c r="D680" s="463" t="s">
        <v>1920</v>
      </c>
      <c r="E680" s="464"/>
      <c r="F680" s="465" t="s">
        <v>663</v>
      </c>
      <c r="G680" s="466">
        <v>0.14000000000000001</v>
      </c>
      <c r="H680" s="681">
        <f>SUM(H681:H684)</f>
        <v>113.57926</v>
      </c>
      <c r="I680" s="467">
        <v>136.76</v>
      </c>
      <c r="J680" s="467">
        <f>IF(ISBLANK(I680),"",SUM(H680:I680))</f>
        <v>250.33926</v>
      </c>
      <c r="K680" s="682">
        <f t="shared" si="205"/>
        <v>297.43</v>
      </c>
      <c r="L680" s="683" t="s">
        <v>16</v>
      </c>
      <c r="M680" s="685"/>
      <c r="N680" s="686">
        <f t="shared" si="209"/>
        <v>0</v>
      </c>
      <c r="O680" s="687">
        <f t="shared" si="196"/>
        <v>0</v>
      </c>
      <c r="P680" s="688">
        <f t="shared" si="197"/>
        <v>0</v>
      </c>
      <c r="Q680" s="765"/>
      <c r="R680" s="685">
        <f>M680</f>
        <v>0</v>
      </c>
      <c r="S680" s="686">
        <f>N680</f>
        <v>0</v>
      </c>
      <c r="T680" s="687">
        <f t="shared" si="194"/>
        <v>0</v>
      </c>
      <c r="U680" s="688">
        <f t="shared" si="195"/>
        <v>0</v>
      </c>
      <c r="V680" s="579"/>
      <c r="W680" s="566"/>
      <c r="X680" s="586" t="str">
        <f t="shared" si="191"/>
        <v/>
      </c>
      <c r="Y680" s="586" t="str">
        <f t="shared" si="189"/>
        <v/>
      </c>
      <c r="Z680" s="586" t="str">
        <f t="shared" si="208"/>
        <v/>
      </c>
    </row>
    <row r="681" spans="1:26" hidden="1" x14ac:dyDescent="0.2">
      <c r="A681" s="567" t="s">
        <v>168</v>
      </c>
      <c r="B681" s="644" t="s">
        <v>168</v>
      </c>
      <c r="C681" s="645"/>
      <c r="D681" s="451" t="s">
        <v>248</v>
      </c>
      <c r="E681" s="423"/>
      <c r="F681" s="424">
        <v>180</v>
      </c>
      <c r="G681" s="425">
        <v>0.27</v>
      </c>
      <c r="H681" s="651">
        <f t="shared" ref="H681:H684" si="213">IF(F681&lt;=30,(1.07*F681+2.68)*G681,((1.07*30+2.68)+1.07*(F681-30))*G681)</f>
        <v>52.725600000000007</v>
      </c>
      <c r="I681" s="420">
        <v>0</v>
      </c>
      <c r="J681" s="420"/>
      <c r="K681" s="421">
        <f t="shared" si="205"/>
        <v>0</v>
      </c>
      <c r="L681" s="647" t="s">
        <v>614</v>
      </c>
      <c r="M681" s="801"/>
      <c r="N681" s="576">
        <f t="shared" si="209"/>
        <v>0</v>
      </c>
      <c r="O681" s="642">
        <f t="shared" si="196"/>
        <v>0</v>
      </c>
      <c r="P681" s="659">
        <f t="shared" si="197"/>
        <v>0</v>
      </c>
      <c r="Q681" s="765"/>
      <c r="R681" s="703"/>
      <c r="S681" s="670"/>
      <c r="T681" s="577">
        <f t="shared" si="194"/>
        <v>0</v>
      </c>
      <c r="U681" s="578">
        <f t="shared" si="195"/>
        <v>0</v>
      </c>
      <c r="V681" s="579"/>
      <c r="W681" s="637" t="str">
        <f>IF(U680&gt;0,"xx",IF(P680&gt;0,"xy",""))</f>
        <v/>
      </c>
      <c r="X681" s="586" t="str">
        <f t="shared" si="191"/>
        <v/>
      </c>
      <c r="Y681" s="586" t="str">
        <f t="shared" si="189"/>
        <v/>
      </c>
      <c r="Z681" s="586" t="str">
        <f t="shared" si="208"/>
        <v/>
      </c>
    </row>
    <row r="682" spans="1:26" hidden="1" x14ac:dyDescent="0.2">
      <c r="A682" s="567" t="s">
        <v>168</v>
      </c>
      <c r="B682" s="644" t="s">
        <v>168</v>
      </c>
      <c r="C682" s="645"/>
      <c r="D682" s="451" t="s">
        <v>249</v>
      </c>
      <c r="E682" s="423"/>
      <c r="F682" s="424">
        <v>500</v>
      </c>
      <c r="G682" s="425"/>
      <c r="H682" s="649">
        <f>IF(F682&lt;=30,(0.78*F682+7.82)*G682,((0.78*30+7.82)+0.78*(F682-30))*G682)</f>
        <v>0</v>
      </c>
      <c r="I682" s="420">
        <v>0</v>
      </c>
      <c r="J682" s="420">
        <f>IF(ISBLANK(I682),"",SUM(H682:I682))</f>
        <v>0</v>
      </c>
      <c r="K682" s="421">
        <f t="shared" si="205"/>
        <v>0</v>
      </c>
      <c r="L682" s="647" t="s">
        <v>614</v>
      </c>
      <c r="M682" s="703"/>
      <c r="N682" s="576">
        <f t="shared" si="209"/>
        <v>0</v>
      </c>
      <c r="O682" s="577">
        <f t="shared" si="196"/>
        <v>0</v>
      </c>
      <c r="P682" s="578">
        <f t="shared" si="197"/>
        <v>0</v>
      </c>
      <c r="Q682" s="765"/>
      <c r="R682" s="703"/>
      <c r="S682" s="670"/>
      <c r="T682" s="577">
        <f t="shared" si="194"/>
        <v>0</v>
      </c>
      <c r="U682" s="578">
        <f t="shared" si="195"/>
        <v>0</v>
      </c>
      <c r="V682" s="579"/>
      <c r="W682" s="637" t="str">
        <f>IF(U680&gt;0,"xx",IF(P680&gt;0,"xy",""))</f>
        <v/>
      </c>
      <c r="X682" s="586" t="str">
        <f>IF(W682="X","x",IF(W682="xx","x",IF(W682="xy","x",IF(W682="y","x",IF(OR(P682&gt;0,U682&gt;0),"x","")))))</f>
        <v/>
      </c>
      <c r="Y682" s="586" t="str">
        <f>IF(W682="X","x",IF(W682="y","x",IF(W682="xx","x",IF(U682&gt;0,"x",""))))</f>
        <v/>
      </c>
      <c r="Z682" s="586" t="str">
        <f>IF(W682="X","x",IF(U682&gt;0,"x",""))</f>
        <v/>
      </c>
    </row>
    <row r="683" spans="1:26" hidden="1" x14ac:dyDescent="0.2">
      <c r="A683" s="567" t="s">
        <v>168</v>
      </c>
      <c r="B683" s="644" t="s">
        <v>168</v>
      </c>
      <c r="C683" s="645"/>
      <c r="D683" s="451" t="s">
        <v>262</v>
      </c>
      <c r="E683" s="423"/>
      <c r="F683" s="424">
        <v>0.2</v>
      </c>
      <c r="G683" s="425">
        <v>1.89</v>
      </c>
      <c r="H683" s="651">
        <f t="shared" si="213"/>
        <v>5.4696600000000002</v>
      </c>
      <c r="I683" s="420">
        <v>0</v>
      </c>
      <c r="J683" s="420"/>
      <c r="K683" s="421">
        <f t="shared" si="205"/>
        <v>0</v>
      </c>
      <c r="L683" s="647" t="s">
        <v>614</v>
      </c>
      <c r="M683" s="703"/>
      <c r="N683" s="576">
        <f t="shared" si="209"/>
        <v>0</v>
      </c>
      <c r="O683" s="577">
        <f t="shared" si="196"/>
        <v>0</v>
      </c>
      <c r="P683" s="578">
        <f t="shared" si="197"/>
        <v>0</v>
      </c>
      <c r="Q683" s="765"/>
      <c r="R683" s="703"/>
      <c r="S683" s="670"/>
      <c r="T683" s="577">
        <f t="shared" si="194"/>
        <v>0</v>
      </c>
      <c r="U683" s="578">
        <f t="shared" si="195"/>
        <v>0</v>
      </c>
      <c r="V683" s="579"/>
      <c r="W683" s="637" t="str">
        <f>IF(U680&gt;0,"xx",IF(P680&gt;0,"xy",""))</f>
        <v/>
      </c>
      <c r="X683" s="586" t="str">
        <f>IF(W683="X","x",IF(W683="xx","x",IF(W683="xy","x",IF(W683="y","x",IF(OR(P683&gt;0,U683&gt;0),"x","")))))</f>
        <v/>
      </c>
      <c r="Y683" s="586" t="str">
        <f>IF(W683="X","x",IF(W683="y","x",IF(W683="xx","x",IF(U683&gt;0,"x",""))))</f>
        <v/>
      </c>
      <c r="Z683" s="586" t="str">
        <f>IF(W683="X","x",IF(U683&gt;0,"x",""))</f>
        <v/>
      </c>
    </row>
    <row r="684" spans="1:26" hidden="1" x14ac:dyDescent="0.2">
      <c r="A684" s="567" t="s">
        <v>168</v>
      </c>
      <c r="B684" s="644" t="s">
        <v>168</v>
      </c>
      <c r="C684" s="645"/>
      <c r="D684" s="451" t="s">
        <v>263</v>
      </c>
      <c r="E684" s="423"/>
      <c r="F684" s="424">
        <v>20</v>
      </c>
      <c r="G684" s="425">
        <f>SUM(G680:G683)</f>
        <v>2.2999999999999998</v>
      </c>
      <c r="H684" s="651">
        <f t="shared" si="213"/>
        <v>55.384</v>
      </c>
      <c r="I684" s="420">
        <v>0</v>
      </c>
      <c r="J684" s="420"/>
      <c r="K684" s="421">
        <f t="shared" si="205"/>
        <v>0</v>
      </c>
      <c r="L684" s="647" t="s">
        <v>614</v>
      </c>
      <c r="M684" s="703"/>
      <c r="N684" s="576">
        <f t="shared" si="209"/>
        <v>0</v>
      </c>
      <c r="O684" s="577">
        <f t="shared" si="196"/>
        <v>0</v>
      </c>
      <c r="P684" s="578">
        <f t="shared" si="197"/>
        <v>0</v>
      </c>
      <c r="Q684" s="765"/>
      <c r="R684" s="703"/>
      <c r="S684" s="670"/>
      <c r="T684" s="577">
        <f t="shared" si="194"/>
        <v>0</v>
      </c>
      <c r="U684" s="578">
        <f t="shared" si="195"/>
        <v>0</v>
      </c>
      <c r="V684" s="579"/>
      <c r="W684" s="637" t="str">
        <f>IF(U680&gt;0,"xx",IF(P680&gt;0,"xy",""))</f>
        <v/>
      </c>
      <c r="X684" s="586" t="str">
        <f t="shared" si="191"/>
        <v/>
      </c>
      <c r="Y684" s="586" t="str">
        <f t="shared" si="189"/>
        <v/>
      </c>
      <c r="Z684" s="586" t="str">
        <f t="shared" si="208"/>
        <v/>
      </c>
    </row>
    <row r="685" spans="1:26" ht="12" hidden="1" thickBot="1" x14ac:dyDescent="0.25">
      <c r="A685" s="567">
        <v>589320</v>
      </c>
      <c r="B685" s="704" t="s">
        <v>1847</v>
      </c>
      <c r="C685" s="689" t="s">
        <v>1746</v>
      </c>
      <c r="D685" s="477" t="s">
        <v>813</v>
      </c>
      <c r="E685" s="470"/>
      <c r="F685" s="478">
        <v>500</v>
      </c>
      <c r="G685" s="479">
        <v>1</v>
      </c>
      <c r="H685" s="663">
        <f>(0.84*F685+41.45)*G685</f>
        <v>461.45</v>
      </c>
      <c r="I685" s="472">
        <v>4680</v>
      </c>
      <c r="J685" s="472">
        <f>IF(ISBLANK(I685),"",I685*(1+$F$9)/(1+$F$10))+H685</f>
        <v>5002.4010983923918</v>
      </c>
      <c r="K685" s="690">
        <f t="shared" si="205"/>
        <v>5943.35</v>
      </c>
      <c r="L685" s="691" t="s">
        <v>20</v>
      </c>
      <c r="M685" s="692">
        <f>ROUND(M680*G680,2)</f>
        <v>0</v>
      </c>
      <c r="N685" s="588">
        <f t="shared" si="209"/>
        <v>0</v>
      </c>
      <c r="O685" s="693">
        <f t="shared" si="196"/>
        <v>0</v>
      </c>
      <c r="P685" s="694">
        <f t="shared" si="197"/>
        <v>0</v>
      </c>
      <c r="Q685" s="765"/>
      <c r="R685" s="719">
        <f>ROUND(R680*G680,2)</f>
        <v>0</v>
      </c>
      <c r="S685" s="720">
        <f>N685</f>
        <v>0</v>
      </c>
      <c r="T685" s="693">
        <f t="shared" si="194"/>
        <v>0</v>
      </c>
      <c r="U685" s="694">
        <f t="shared" si="195"/>
        <v>0</v>
      </c>
      <c r="V685" s="579"/>
      <c r="W685" s="637" t="str">
        <f>IF(U680&gt;0,"xx",IF(P680&gt;0,"xy",""))</f>
        <v/>
      </c>
      <c r="X685" s="586" t="str">
        <f t="shared" si="191"/>
        <v/>
      </c>
      <c r="Y685" s="586" t="str">
        <f t="shared" si="189"/>
        <v/>
      </c>
      <c r="Z685" s="586" t="str">
        <f t="shared" si="208"/>
        <v/>
      </c>
    </row>
    <row r="686" spans="1:26" hidden="1" x14ac:dyDescent="0.2">
      <c r="A686" s="671">
        <v>534300</v>
      </c>
      <c r="B686" s="701" t="s">
        <v>1848</v>
      </c>
      <c r="C686" s="702" t="s">
        <v>206</v>
      </c>
      <c r="D686" s="463" t="s">
        <v>1915</v>
      </c>
      <c r="E686" s="464"/>
      <c r="F686" s="465" t="s">
        <v>663</v>
      </c>
      <c r="G686" s="466">
        <v>0.18240000000000001</v>
      </c>
      <c r="H686" s="681">
        <f>SUM(H687:H690)</f>
        <v>207.67925819999999</v>
      </c>
      <c r="I686" s="467">
        <v>136.76</v>
      </c>
      <c r="J686" s="467">
        <f>IF(ISBLANK(I686),"",SUM(H686:I686))</f>
        <v>344.43925819999998</v>
      </c>
      <c r="K686" s="682">
        <f t="shared" si="205"/>
        <v>409.23</v>
      </c>
      <c r="L686" s="683" t="s">
        <v>16</v>
      </c>
      <c r="M686" s="685"/>
      <c r="N686" s="686">
        <f t="shared" si="209"/>
        <v>0</v>
      </c>
      <c r="O686" s="687">
        <f t="shared" si="196"/>
        <v>0</v>
      </c>
      <c r="P686" s="688">
        <f t="shared" si="197"/>
        <v>0</v>
      </c>
      <c r="Q686" s="765"/>
      <c r="R686" s="685">
        <f>M686</f>
        <v>0</v>
      </c>
      <c r="S686" s="686">
        <f>N686</f>
        <v>0</v>
      </c>
      <c r="T686" s="687">
        <f t="shared" si="194"/>
        <v>0</v>
      </c>
      <c r="U686" s="688">
        <f t="shared" si="195"/>
        <v>0</v>
      </c>
      <c r="V686" s="579"/>
      <c r="W686" s="566"/>
      <c r="X686" s="586" t="str">
        <f t="shared" si="191"/>
        <v/>
      </c>
      <c r="Y686" s="586" t="str">
        <f t="shared" si="189"/>
        <v/>
      </c>
      <c r="Z686" s="586" t="str">
        <f t="shared" si="208"/>
        <v/>
      </c>
    </row>
    <row r="687" spans="1:26" hidden="1" x14ac:dyDescent="0.2">
      <c r="A687" s="671" t="s">
        <v>168</v>
      </c>
      <c r="B687" s="644" t="s">
        <v>168</v>
      </c>
      <c r="C687" s="645"/>
      <c r="D687" s="451" t="s">
        <v>248</v>
      </c>
      <c r="E687" s="423"/>
      <c r="F687" s="424">
        <v>180</v>
      </c>
      <c r="G687" s="425">
        <v>0.56969999999999998</v>
      </c>
      <c r="H687" s="651">
        <f t="shared" ref="H687:H690" si="214">IF(F687&lt;=30,(1.07*F687+2.68)*G687,((1.07*30+2.68)+1.07*(F687-30))*G687)</f>
        <v>111.25101599999999</v>
      </c>
      <c r="I687" s="420">
        <v>0</v>
      </c>
      <c r="J687" s="420"/>
      <c r="K687" s="421">
        <f t="shared" si="205"/>
        <v>0</v>
      </c>
      <c r="L687" s="647" t="s">
        <v>614</v>
      </c>
      <c r="M687" s="703"/>
      <c r="N687" s="576">
        <f t="shared" si="209"/>
        <v>0</v>
      </c>
      <c r="O687" s="577">
        <f t="shared" si="196"/>
        <v>0</v>
      </c>
      <c r="P687" s="578">
        <f t="shared" si="197"/>
        <v>0</v>
      </c>
      <c r="Q687" s="765"/>
      <c r="R687" s="703"/>
      <c r="S687" s="670"/>
      <c r="T687" s="577">
        <f t="shared" si="194"/>
        <v>0</v>
      </c>
      <c r="U687" s="578">
        <f t="shared" si="195"/>
        <v>0</v>
      </c>
      <c r="V687" s="579"/>
      <c r="W687" s="637" t="str">
        <f>IF(U686&gt;0,"xx",IF(P686&gt;0,"xy",""))</f>
        <v/>
      </c>
      <c r="X687" s="586" t="str">
        <f t="shared" si="191"/>
        <v/>
      </c>
      <c r="Y687" s="586" t="str">
        <f t="shared" si="189"/>
        <v/>
      </c>
      <c r="Z687" s="586" t="str">
        <f t="shared" si="208"/>
        <v/>
      </c>
    </row>
    <row r="688" spans="1:26" hidden="1" x14ac:dyDescent="0.2">
      <c r="A688" s="671" t="s">
        <v>168</v>
      </c>
      <c r="B688" s="644" t="s">
        <v>168</v>
      </c>
      <c r="C688" s="645"/>
      <c r="D688" s="451" t="s">
        <v>249</v>
      </c>
      <c r="E688" s="423"/>
      <c r="F688" s="424">
        <v>500</v>
      </c>
      <c r="G688" s="425">
        <v>8.7599999999999997E-2</v>
      </c>
      <c r="H688" s="649">
        <f>IF(F688&lt;=30,(0.78*F688+7.82)*G688,((0.78*30+7.82)+0.78*(F688-30))*G688)</f>
        <v>34.849032000000001</v>
      </c>
      <c r="I688" s="420">
        <v>0</v>
      </c>
      <c r="J688" s="420"/>
      <c r="K688" s="421">
        <f t="shared" si="205"/>
        <v>0</v>
      </c>
      <c r="L688" s="647" t="s">
        <v>614</v>
      </c>
      <c r="M688" s="703"/>
      <c r="N688" s="576">
        <f t="shared" si="209"/>
        <v>0</v>
      </c>
      <c r="O688" s="577">
        <f t="shared" si="196"/>
        <v>0</v>
      </c>
      <c r="P688" s="578">
        <f t="shared" si="197"/>
        <v>0</v>
      </c>
      <c r="Q688" s="765"/>
      <c r="R688" s="703"/>
      <c r="S688" s="670"/>
      <c r="T688" s="577">
        <f t="shared" si="194"/>
        <v>0</v>
      </c>
      <c r="U688" s="578">
        <f t="shared" si="195"/>
        <v>0</v>
      </c>
      <c r="V688" s="579"/>
      <c r="W688" s="637" t="str">
        <f>IF(U686&gt;0,"xx",IF(P686&gt;0,"xy",""))</f>
        <v/>
      </c>
      <c r="X688" s="586" t="str">
        <f t="shared" si="191"/>
        <v/>
      </c>
      <c r="Y688" s="586" t="str">
        <f t="shared" si="189"/>
        <v/>
      </c>
      <c r="Z688" s="586" t="str">
        <f t="shared" si="208"/>
        <v/>
      </c>
    </row>
    <row r="689" spans="1:26" hidden="1" x14ac:dyDescent="0.2">
      <c r="A689" s="671" t="s">
        <v>168</v>
      </c>
      <c r="B689" s="644" t="s">
        <v>168</v>
      </c>
      <c r="C689" s="645"/>
      <c r="D689" s="451" t="s">
        <v>262</v>
      </c>
      <c r="E689" s="423"/>
      <c r="F689" s="424">
        <v>0.2</v>
      </c>
      <c r="G689" s="425">
        <v>1.5333000000000001</v>
      </c>
      <c r="H689" s="651">
        <f t="shared" si="214"/>
        <v>4.4373702000000002</v>
      </c>
      <c r="I689" s="420">
        <v>0</v>
      </c>
      <c r="J689" s="420"/>
      <c r="K689" s="421">
        <f t="shared" si="205"/>
        <v>0</v>
      </c>
      <c r="L689" s="647" t="s">
        <v>614</v>
      </c>
      <c r="M689" s="703"/>
      <c r="N689" s="576">
        <f t="shared" si="209"/>
        <v>0</v>
      </c>
      <c r="O689" s="577">
        <f t="shared" si="196"/>
        <v>0</v>
      </c>
      <c r="P689" s="578">
        <f t="shared" si="197"/>
        <v>0</v>
      </c>
      <c r="Q689" s="765"/>
      <c r="R689" s="703"/>
      <c r="S689" s="670"/>
      <c r="T689" s="577">
        <f t="shared" si="194"/>
        <v>0</v>
      </c>
      <c r="U689" s="578">
        <f t="shared" si="195"/>
        <v>0</v>
      </c>
      <c r="V689" s="579"/>
      <c r="W689" s="637" t="str">
        <f>IF(U686&gt;0,"xx",IF(P686&gt;0,"xy",""))</f>
        <v/>
      </c>
      <c r="X689" s="586" t="str">
        <f t="shared" si="191"/>
        <v/>
      </c>
      <c r="Y689" s="586" t="str">
        <f t="shared" si="189"/>
        <v/>
      </c>
      <c r="Z689" s="586" t="str">
        <f t="shared" si="208"/>
        <v/>
      </c>
    </row>
    <row r="690" spans="1:26" hidden="1" x14ac:dyDescent="0.2">
      <c r="A690" s="671" t="s">
        <v>168</v>
      </c>
      <c r="B690" s="644" t="s">
        <v>168</v>
      </c>
      <c r="C690" s="645"/>
      <c r="D690" s="451" t="s">
        <v>263</v>
      </c>
      <c r="E690" s="423"/>
      <c r="F690" s="424">
        <v>20</v>
      </c>
      <c r="G690" s="425">
        <f>SUM(G686:G689)</f>
        <v>2.3730000000000002</v>
      </c>
      <c r="H690" s="651">
        <f t="shared" si="214"/>
        <v>57.141840000000009</v>
      </c>
      <c r="I690" s="420">
        <v>0</v>
      </c>
      <c r="J690" s="420"/>
      <c r="K690" s="421">
        <f t="shared" si="205"/>
        <v>0</v>
      </c>
      <c r="L690" s="647" t="s">
        <v>614</v>
      </c>
      <c r="M690" s="703"/>
      <c r="N690" s="576">
        <f t="shared" si="209"/>
        <v>0</v>
      </c>
      <c r="O690" s="577">
        <f t="shared" si="196"/>
        <v>0</v>
      </c>
      <c r="P690" s="578">
        <f t="shared" si="197"/>
        <v>0</v>
      </c>
      <c r="Q690" s="765"/>
      <c r="R690" s="703"/>
      <c r="S690" s="670"/>
      <c r="T690" s="577">
        <f t="shared" si="194"/>
        <v>0</v>
      </c>
      <c r="U690" s="578">
        <f t="shared" si="195"/>
        <v>0</v>
      </c>
      <c r="V690" s="579"/>
      <c r="W690" s="637" t="str">
        <f>IF(U686&gt;0,"xx",IF(P686&gt;0,"xy",""))</f>
        <v/>
      </c>
      <c r="X690" s="586" t="str">
        <f t="shared" si="191"/>
        <v/>
      </c>
      <c r="Y690" s="586" t="str">
        <f t="shared" si="189"/>
        <v/>
      </c>
      <c r="Z690" s="586" t="str">
        <f t="shared" si="208"/>
        <v/>
      </c>
    </row>
    <row r="691" spans="1:26" ht="12" hidden="1" thickBot="1" x14ac:dyDescent="0.25">
      <c r="A691" s="671">
        <v>589320</v>
      </c>
      <c r="B691" s="704" t="s">
        <v>1849</v>
      </c>
      <c r="C691" s="689" t="s">
        <v>1746</v>
      </c>
      <c r="D691" s="477" t="s">
        <v>1575</v>
      </c>
      <c r="E691" s="470"/>
      <c r="F691" s="478">
        <v>500</v>
      </c>
      <c r="G691" s="479">
        <v>1</v>
      </c>
      <c r="H691" s="663">
        <f>(0.84*F691+41.45)*G691</f>
        <v>461.45</v>
      </c>
      <c r="I691" s="472">
        <v>4680</v>
      </c>
      <c r="J691" s="472">
        <f>IF(ISBLANK(I691),"",I691*(1+$F$9)/(1+$F$10))+H691</f>
        <v>5002.4010983923918</v>
      </c>
      <c r="K691" s="690">
        <f t="shared" si="205"/>
        <v>5943.35</v>
      </c>
      <c r="L691" s="691" t="s">
        <v>20</v>
      </c>
      <c r="M691" s="692">
        <f>ROUND(M686*G686,2)</f>
        <v>0</v>
      </c>
      <c r="N691" s="696">
        <f t="shared" si="209"/>
        <v>0</v>
      </c>
      <c r="O691" s="693">
        <f t="shared" si="196"/>
        <v>0</v>
      </c>
      <c r="P691" s="694">
        <f t="shared" si="197"/>
        <v>0</v>
      </c>
      <c r="Q691" s="765"/>
      <c r="R691" s="719">
        <f>ROUND(R686*G686,2)</f>
        <v>0</v>
      </c>
      <c r="S691" s="720">
        <f>N691</f>
        <v>0</v>
      </c>
      <c r="T691" s="693">
        <f t="shared" si="194"/>
        <v>0</v>
      </c>
      <c r="U691" s="694">
        <f t="shared" si="195"/>
        <v>0</v>
      </c>
      <c r="V691" s="579"/>
      <c r="W691" s="637" t="str">
        <f>IF(U686&gt;0,"xx",IF(P686&gt;0,"xy",""))</f>
        <v/>
      </c>
      <c r="X691" s="586" t="str">
        <f t="shared" si="191"/>
        <v/>
      </c>
      <c r="Y691" s="586" t="str">
        <f t="shared" si="189"/>
        <v/>
      </c>
      <c r="Z691" s="586" t="str">
        <f t="shared" si="208"/>
        <v/>
      </c>
    </row>
    <row r="692" spans="1:26" hidden="1" x14ac:dyDescent="0.2">
      <c r="A692" s="671">
        <v>570300</v>
      </c>
      <c r="B692" s="701" t="s">
        <v>1850</v>
      </c>
      <c r="C692" s="702" t="s">
        <v>206</v>
      </c>
      <c r="D692" s="485" t="s">
        <v>814</v>
      </c>
      <c r="E692" s="464"/>
      <c r="F692" s="465" t="s">
        <v>662</v>
      </c>
      <c r="G692" s="466">
        <v>0.04</v>
      </c>
      <c r="H692" s="681">
        <f>SUM(H693:H696)</f>
        <v>36.552130000000005</v>
      </c>
      <c r="I692" s="467">
        <v>190.4</v>
      </c>
      <c r="J692" s="467">
        <f>IF(ISBLANK(I692),"",SUM(H692:I692))</f>
        <v>226.95213000000001</v>
      </c>
      <c r="K692" s="682">
        <f t="shared" si="205"/>
        <v>269.64</v>
      </c>
      <c r="L692" s="683" t="s">
        <v>20</v>
      </c>
      <c r="M692" s="685"/>
      <c r="N692" s="576">
        <f t="shared" si="209"/>
        <v>0</v>
      </c>
      <c r="O692" s="687">
        <f t="shared" si="196"/>
        <v>0</v>
      </c>
      <c r="P692" s="688">
        <f t="shared" si="197"/>
        <v>0</v>
      </c>
      <c r="Q692" s="765"/>
      <c r="R692" s="685">
        <f t="shared" ref="R692:R755" si="215">M692</f>
        <v>0</v>
      </c>
      <c r="S692" s="686">
        <f>N692</f>
        <v>0</v>
      </c>
      <c r="T692" s="687">
        <f t="shared" ref="T692:T755" si="216">IF(ISBLANK(R692),0,ROUND(K692*R692,2))</f>
        <v>0</v>
      </c>
      <c r="U692" s="688">
        <f t="shared" ref="U692:U755" si="217">IF(ISBLANK(R692),0,ROUND(R692*S692,2))</f>
        <v>0</v>
      </c>
      <c r="V692" s="579"/>
      <c r="W692" s="566"/>
      <c r="X692" s="586" t="str">
        <f t="shared" si="191"/>
        <v/>
      </c>
      <c r="Y692" s="586" t="str">
        <f t="shared" si="189"/>
        <v/>
      </c>
      <c r="Z692" s="586" t="str">
        <f t="shared" si="208"/>
        <v/>
      </c>
    </row>
    <row r="693" spans="1:26" hidden="1" x14ac:dyDescent="0.2">
      <c r="A693" s="671" t="s">
        <v>168</v>
      </c>
      <c r="B693" s="644" t="s">
        <v>168</v>
      </c>
      <c r="C693" s="645"/>
      <c r="D693" s="451" t="s">
        <v>248</v>
      </c>
      <c r="E693" s="423"/>
      <c r="F693" s="424">
        <v>180</v>
      </c>
      <c r="G693" s="425">
        <v>0</v>
      </c>
      <c r="H693" s="663">
        <f t="shared" ref="H693:H695" si="218">IF(F693&lt;=30,(1.07*F693+2.68)*G693,((1.07*30+2.68)+1.07*(F693-30))*G693)</f>
        <v>0</v>
      </c>
      <c r="I693" s="420">
        <v>0</v>
      </c>
      <c r="J693" s="420">
        <f>IF(ISBLANK(I693),"",SUM(H693:I693))</f>
        <v>0</v>
      </c>
      <c r="K693" s="421">
        <f t="shared" si="205"/>
        <v>0</v>
      </c>
      <c r="L693" s="647" t="s">
        <v>614</v>
      </c>
      <c r="M693" s="703"/>
      <c r="N693" s="576">
        <f t="shared" si="209"/>
        <v>0</v>
      </c>
      <c r="O693" s="577">
        <f t="shared" ref="O693:O756" si="219">IF(ISBLANK(M693),0,ROUND(K693*M693,2))</f>
        <v>0</v>
      </c>
      <c r="P693" s="578">
        <f t="shared" ref="P693:P756" si="220">IF(ISBLANK(N693),0,ROUND(M693*N693,2))</f>
        <v>0</v>
      </c>
      <c r="Q693" s="765"/>
      <c r="R693" s="703"/>
      <c r="S693" s="670"/>
      <c r="T693" s="577">
        <f t="shared" si="216"/>
        <v>0</v>
      </c>
      <c r="U693" s="578">
        <f t="shared" si="217"/>
        <v>0</v>
      </c>
      <c r="V693" s="579"/>
      <c r="W693" s="637" t="str">
        <f>IF(U692&gt;0,"xx",IF(P692&gt;0,"xy",""))</f>
        <v/>
      </c>
      <c r="X693" s="586" t="str">
        <f t="shared" si="191"/>
        <v/>
      </c>
      <c r="Y693" s="586" t="str">
        <f t="shared" si="189"/>
        <v/>
      </c>
      <c r="Z693" s="586" t="str">
        <f t="shared" si="208"/>
        <v/>
      </c>
    </row>
    <row r="694" spans="1:26" hidden="1" x14ac:dyDescent="0.2">
      <c r="A694" s="671" t="s">
        <v>168</v>
      </c>
      <c r="B694" s="644" t="s">
        <v>168</v>
      </c>
      <c r="C694" s="645"/>
      <c r="D694" s="451" t="s">
        <v>249</v>
      </c>
      <c r="E694" s="423"/>
      <c r="F694" s="424">
        <v>500</v>
      </c>
      <c r="G694" s="425">
        <v>1.4999999999999999E-2</v>
      </c>
      <c r="H694" s="649">
        <f>IF(F694&lt;=30,(0.78*F694+7.82)*G694,((0.78*30+7.82)+0.78*(F694-30))*G694)</f>
        <v>5.9673000000000007</v>
      </c>
      <c r="I694" s="420">
        <v>0</v>
      </c>
      <c r="J694" s="420"/>
      <c r="K694" s="421">
        <f t="shared" si="205"/>
        <v>0</v>
      </c>
      <c r="L694" s="647" t="s">
        <v>614</v>
      </c>
      <c r="M694" s="703"/>
      <c r="N694" s="576">
        <f t="shared" si="209"/>
        <v>0</v>
      </c>
      <c r="O694" s="577">
        <f t="shared" si="219"/>
        <v>0</v>
      </c>
      <c r="P694" s="578">
        <f t="shared" si="220"/>
        <v>0</v>
      </c>
      <c r="Q694" s="765"/>
      <c r="R694" s="703"/>
      <c r="S694" s="670"/>
      <c r="T694" s="577">
        <f t="shared" si="216"/>
        <v>0</v>
      </c>
      <c r="U694" s="578">
        <f t="shared" si="217"/>
        <v>0</v>
      </c>
      <c r="V694" s="579"/>
      <c r="W694" s="637" t="str">
        <f>IF(U692&gt;0,"xx",IF(P692&gt;0,"xy",""))</f>
        <v/>
      </c>
      <c r="X694" s="586" t="str">
        <f t="shared" si="191"/>
        <v/>
      </c>
      <c r="Y694" s="586" t="str">
        <f t="shared" si="189"/>
        <v/>
      </c>
      <c r="Z694" s="586" t="str">
        <f t="shared" si="208"/>
        <v/>
      </c>
    </row>
    <row r="695" spans="1:26" hidden="1" x14ac:dyDescent="0.2">
      <c r="A695" s="671" t="s">
        <v>168</v>
      </c>
      <c r="B695" s="644" t="s">
        <v>168</v>
      </c>
      <c r="C695" s="645"/>
      <c r="D695" s="451" t="s">
        <v>262</v>
      </c>
      <c r="E695" s="423"/>
      <c r="F695" s="424">
        <v>0.2</v>
      </c>
      <c r="G695" s="425">
        <v>0.94499999999999995</v>
      </c>
      <c r="H695" s="663">
        <f t="shared" si="218"/>
        <v>2.7348300000000001</v>
      </c>
      <c r="I695" s="420">
        <v>0</v>
      </c>
      <c r="J695" s="420"/>
      <c r="K695" s="421">
        <f t="shared" si="205"/>
        <v>0</v>
      </c>
      <c r="L695" s="647" t="s">
        <v>614</v>
      </c>
      <c r="M695" s="703"/>
      <c r="N695" s="576">
        <f t="shared" si="209"/>
        <v>0</v>
      </c>
      <c r="O695" s="577">
        <f t="shared" si="219"/>
        <v>0</v>
      </c>
      <c r="P695" s="578">
        <f t="shared" si="220"/>
        <v>0</v>
      </c>
      <c r="Q695" s="765"/>
      <c r="R695" s="703"/>
      <c r="S695" s="670"/>
      <c r="T695" s="577">
        <f t="shared" si="216"/>
        <v>0</v>
      </c>
      <c r="U695" s="578">
        <f t="shared" si="217"/>
        <v>0</v>
      </c>
      <c r="V695" s="579"/>
      <c r="W695" s="637" t="str">
        <f>IF(U692&gt;0,"xx",IF(P692&gt;0,"xy",""))</f>
        <v/>
      </c>
      <c r="X695" s="586" t="str">
        <f t="shared" si="191"/>
        <v/>
      </c>
      <c r="Y695" s="586" t="str">
        <f t="shared" si="189"/>
        <v/>
      </c>
      <c r="Z695" s="586" t="str">
        <f t="shared" si="208"/>
        <v/>
      </c>
    </row>
    <row r="696" spans="1:26" hidden="1" x14ac:dyDescent="0.2">
      <c r="A696" s="671" t="s">
        <v>168</v>
      </c>
      <c r="B696" s="644" t="s">
        <v>168</v>
      </c>
      <c r="C696" s="645"/>
      <c r="D696" s="451" t="s">
        <v>263</v>
      </c>
      <c r="E696" s="423"/>
      <c r="F696" s="424">
        <v>20</v>
      </c>
      <c r="G696" s="425">
        <v>1</v>
      </c>
      <c r="H696" s="651">
        <f>IF(F696&lt;=30,(1.07*F696+6.45)*G696,((1.07*30+6.45)+1.07*(F696-30))*G696)</f>
        <v>27.85</v>
      </c>
      <c r="I696" s="420">
        <v>0</v>
      </c>
      <c r="J696" s="420"/>
      <c r="K696" s="421">
        <f t="shared" si="205"/>
        <v>0</v>
      </c>
      <c r="L696" s="647" t="s">
        <v>614</v>
      </c>
      <c r="M696" s="703"/>
      <c r="N696" s="576">
        <f t="shared" si="209"/>
        <v>0</v>
      </c>
      <c r="O696" s="577">
        <f t="shared" si="219"/>
        <v>0</v>
      </c>
      <c r="P696" s="578">
        <f t="shared" si="220"/>
        <v>0</v>
      </c>
      <c r="Q696" s="765"/>
      <c r="R696" s="703"/>
      <c r="S696" s="670"/>
      <c r="T696" s="577">
        <f t="shared" si="216"/>
        <v>0</v>
      </c>
      <c r="U696" s="578">
        <f t="shared" si="217"/>
        <v>0</v>
      </c>
      <c r="V696" s="579"/>
      <c r="W696" s="637" t="str">
        <f>IF(U692&gt;0,"xx",IF(P692&gt;0,"xy",""))</f>
        <v/>
      </c>
      <c r="X696" s="586" t="str">
        <f t="shared" si="191"/>
        <v/>
      </c>
      <c r="Y696" s="586" t="str">
        <f t="shared" si="189"/>
        <v/>
      </c>
      <c r="Z696" s="586" t="str">
        <f t="shared" si="208"/>
        <v/>
      </c>
    </row>
    <row r="697" spans="1:26" ht="12" hidden="1" thickBot="1" x14ac:dyDescent="0.25">
      <c r="A697" s="671">
        <v>589000</v>
      </c>
      <c r="B697" s="707" t="s">
        <v>1851</v>
      </c>
      <c r="C697" s="554" t="s">
        <v>1746</v>
      </c>
      <c r="D697" s="477" t="s">
        <v>657</v>
      </c>
      <c r="E697" s="481"/>
      <c r="F697" s="486">
        <v>500</v>
      </c>
      <c r="G697" s="479">
        <v>1</v>
      </c>
      <c r="H697" s="663">
        <f>(0.94*F697+46.06)*G697</f>
        <v>516.05999999999995</v>
      </c>
      <c r="I697" s="472">
        <v>5725</v>
      </c>
      <c r="J697" s="472">
        <f>IF(ISBLANK(I697),"",I697*(1+$F$9)/(1+$F$10))+H697</f>
        <v>6070.962785960779</v>
      </c>
      <c r="K697" s="709">
        <f t="shared" si="205"/>
        <v>7212.91</v>
      </c>
      <c r="L697" s="561" t="s">
        <v>20</v>
      </c>
      <c r="M697" s="692">
        <f>ROUND(M692*G692,2)</f>
        <v>0</v>
      </c>
      <c r="N697" s="588">
        <f t="shared" si="209"/>
        <v>0</v>
      </c>
      <c r="O697" s="693">
        <f>IF(ISBLANK(M697),0,ROUND(K697*M697,2))</f>
        <v>0</v>
      </c>
      <c r="P697" s="694">
        <f>IF(ISBLANK(N697),0,ROUND(M697*N697,2))</f>
        <v>0</v>
      </c>
      <c r="Q697" s="765"/>
      <c r="R697" s="719">
        <f>ROUND(R692*G692,2)</f>
        <v>0</v>
      </c>
      <c r="S697" s="720">
        <f>N697</f>
        <v>0</v>
      </c>
      <c r="T697" s="693">
        <f t="shared" si="216"/>
        <v>0</v>
      </c>
      <c r="U697" s="694">
        <f t="shared" si="217"/>
        <v>0</v>
      </c>
      <c r="V697" s="579"/>
      <c r="W697" s="637" t="str">
        <f>IF(U692&gt;0,"xx",IF(P692&gt;0,"xy",""))</f>
        <v/>
      </c>
      <c r="X697" s="586" t="str">
        <f t="shared" si="191"/>
        <v/>
      </c>
      <c r="Y697" s="586" t="str">
        <f t="shared" si="189"/>
        <v/>
      </c>
      <c r="Z697" s="586" t="str">
        <f t="shared" si="208"/>
        <v/>
      </c>
    </row>
    <row r="698" spans="1:26" hidden="1" x14ac:dyDescent="0.2">
      <c r="A698" s="671">
        <v>570310</v>
      </c>
      <c r="B698" s="701" t="s">
        <v>1852</v>
      </c>
      <c r="C698" s="702" t="s">
        <v>206</v>
      </c>
      <c r="D698" s="485" t="s">
        <v>815</v>
      </c>
      <c r="E698" s="464"/>
      <c r="F698" s="465" t="s">
        <v>662</v>
      </c>
      <c r="G698" s="466">
        <v>0.04</v>
      </c>
      <c r="H698" s="681">
        <f>SUM(H699:H702)</f>
        <v>36.552130000000005</v>
      </c>
      <c r="I698" s="467">
        <v>168.63</v>
      </c>
      <c r="J698" s="467">
        <f>IF(ISBLANK(I698),"",SUM(H698:I698))</f>
        <v>205.18213</v>
      </c>
      <c r="K698" s="682">
        <f t="shared" si="205"/>
        <v>243.78</v>
      </c>
      <c r="L698" s="683" t="s">
        <v>20</v>
      </c>
      <c r="M698" s="685"/>
      <c r="N698" s="686">
        <f t="shared" si="209"/>
        <v>0</v>
      </c>
      <c r="O698" s="687">
        <f t="shared" si="219"/>
        <v>0</v>
      </c>
      <c r="P698" s="688">
        <f t="shared" si="220"/>
        <v>0</v>
      </c>
      <c r="Q698" s="765"/>
      <c r="R698" s="685">
        <f t="shared" si="215"/>
        <v>0</v>
      </c>
      <c r="S698" s="686">
        <f>N698</f>
        <v>0</v>
      </c>
      <c r="T698" s="687">
        <f t="shared" si="216"/>
        <v>0</v>
      </c>
      <c r="U698" s="688">
        <f t="shared" si="217"/>
        <v>0</v>
      </c>
      <c r="V698" s="579"/>
      <c r="W698" s="566"/>
      <c r="X698" s="586" t="str">
        <f t="shared" si="191"/>
        <v/>
      </c>
      <c r="Y698" s="586" t="str">
        <f t="shared" si="189"/>
        <v/>
      </c>
      <c r="Z698" s="586" t="str">
        <f t="shared" si="208"/>
        <v/>
      </c>
    </row>
    <row r="699" spans="1:26" hidden="1" x14ac:dyDescent="0.2">
      <c r="A699" s="671" t="s">
        <v>168</v>
      </c>
      <c r="B699" s="644" t="s">
        <v>168</v>
      </c>
      <c r="C699" s="645"/>
      <c r="D699" s="451" t="s">
        <v>248</v>
      </c>
      <c r="E699" s="423"/>
      <c r="F699" s="424">
        <v>180</v>
      </c>
      <c r="G699" s="425">
        <v>0</v>
      </c>
      <c r="H699" s="663">
        <f t="shared" ref="H699:H701" si="221">IF(F699&lt;=30,(1.07*F699+2.68)*G699,((1.07*30+2.68)+1.07*(F699-30))*G699)</f>
        <v>0</v>
      </c>
      <c r="I699" s="420">
        <v>0</v>
      </c>
      <c r="J699" s="420">
        <f>IF(ISBLANK(I699),"",SUM(H699:I699))</f>
        <v>0</v>
      </c>
      <c r="K699" s="421">
        <f t="shared" si="205"/>
        <v>0</v>
      </c>
      <c r="L699" s="647" t="s">
        <v>614</v>
      </c>
      <c r="M699" s="703"/>
      <c r="N699" s="576">
        <f t="shared" si="209"/>
        <v>0</v>
      </c>
      <c r="O699" s="577">
        <f t="shared" si="219"/>
        <v>0</v>
      </c>
      <c r="P699" s="578">
        <f t="shared" si="220"/>
        <v>0</v>
      </c>
      <c r="Q699" s="765"/>
      <c r="R699" s="703"/>
      <c r="S699" s="670"/>
      <c r="T699" s="577">
        <f t="shared" si="216"/>
        <v>0</v>
      </c>
      <c r="U699" s="578">
        <f t="shared" si="217"/>
        <v>0</v>
      </c>
      <c r="V699" s="579"/>
      <c r="W699" s="637" t="str">
        <f>IF(U698&gt;0,"xx",IF(P698&gt;0,"xy",""))</f>
        <v/>
      </c>
      <c r="X699" s="586" t="str">
        <f t="shared" si="191"/>
        <v/>
      </c>
      <c r="Y699" s="586" t="str">
        <f t="shared" si="189"/>
        <v/>
      </c>
      <c r="Z699" s="586" t="str">
        <f t="shared" si="208"/>
        <v/>
      </c>
    </row>
    <row r="700" spans="1:26" hidden="1" x14ac:dyDescent="0.2">
      <c r="A700" s="671" t="s">
        <v>168</v>
      </c>
      <c r="B700" s="644" t="s">
        <v>168</v>
      </c>
      <c r="C700" s="645"/>
      <c r="D700" s="451" t="s">
        <v>249</v>
      </c>
      <c r="E700" s="423"/>
      <c r="F700" s="424">
        <v>500</v>
      </c>
      <c r="G700" s="425">
        <v>1.4999999999999999E-2</v>
      </c>
      <c r="H700" s="649">
        <f>IF(F700&lt;=30,(0.78*F700+7.82)*G700,((0.78*30+7.82)+0.78*(F700-30))*G700)</f>
        <v>5.9673000000000007</v>
      </c>
      <c r="I700" s="420">
        <v>0</v>
      </c>
      <c r="J700" s="420"/>
      <c r="K700" s="421">
        <f t="shared" si="205"/>
        <v>0</v>
      </c>
      <c r="L700" s="647" t="s">
        <v>614</v>
      </c>
      <c r="M700" s="703"/>
      <c r="N700" s="576">
        <f t="shared" si="209"/>
        <v>0</v>
      </c>
      <c r="O700" s="577">
        <f t="shared" si="219"/>
        <v>0</v>
      </c>
      <c r="P700" s="578">
        <f t="shared" si="220"/>
        <v>0</v>
      </c>
      <c r="Q700" s="765"/>
      <c r="R700" s="703"/>
      <c r="S700" s="670"/>
      <c r="T700" s="577">
        <f t="shared" si="216"/>
        <v>0</v>
      </c>
      <c r="U700" s="578">
        <f t="shared" si="217"/>
        <v>0</v>
      </c>
      <c r="V700" s="579"/>
      <c r="W700" s="637" t="str">
        <f>IF(U698&gt;0,"xx",IF(P698&gt;0,"xy",""))</f>
        <v/>
      </c>
      <c r="X700" s="586" t="str">
        <f t="shared" si="191"/>
        <v/>
      </c>
      <c r="Y700" s="586" t="str">
        <f t="shared" si="189"/>
        <v/>
      </c>
      <c r="Z700" s="586" t="str">
        <f t="shared" si="208"/>
        <v/>
      </c>
    </row>
    <row r="701" spans="1:26" hidden="1" x14ac:dyDescent="0.2">
      <c r="A701" s="671" t="s">
        <v>168</v>
      </c>
      <c r="B701" s="644" t="s">
        <v>168</v>
      </c>
      <c r="C701" s="645"/>
      <c r="D701" s="451" t="s">
        <v>262</v>
      </c>
      <c r="E701" s="423"/>
      <c r="F701" s="424">
        <v>0.2</v>
      </c>
      <c r="G701" s="425">
        <v>0.94499999999999995</v>
      </c>
      <c r="H701" s="663">
        <f t="shared" si="221"/>
        <v>2.7348300000000001</v>
      </c>
      <c r="I701" s="420">
        <v>0</v>
      </c>
      <c r="J701" s="420"/>
      <c r="K701" s="421">
        <f t="shared" si="205"/>
        <v>0</v>
      </c>
      <c r="L701" s="647" t="s">
        <v>614</v>
      </c>
      <c r="M701" s="703"/>
      <c r="N701" s="576">
        <f t="shared" si="209"/>
        <v>0</v>
      </c>
      <c r="O701" s="577">
        <f t="shared" si="219"/>
        <v>0</v>
      </c>
      <c r="P701" s="578">
        <f t="shared" si="220"/>
        <v>0</v>
      </c>
      <c r="Q701" s="765"/>
      <c r="R701" s="703"/>
      <c r="S701" s="670"/>
      <c r="T701" s="577">
        <f t="shared" si="216"/>
        <v>0</v>
      </c>
      <c r="U701" s="578">
        <f t="shared" si="217"/>
        <v>0</v>
      </c>
      <c r="V701" s="579"/>
      <c r="W701" s="637" t="str">
        <f>IF(U698&gt;0,"xx",IF(P698&gt;0,"xy",""))</f>
        <v/>
      </c>
      <c r="X701" s="586" t="str">
        <f t="shared" si="191"/>
        <v/>
      </c>
      <c r="Y701" s="586" t="str">
        <f t="shared" si="189"/>
        <v/>
      </c>
      <c r="Z701" s="586" t="str">
        <f t="shared" si="208"/>
        <v/>
      </c>
    </row>
    <row r="702" spans="1:26" hidden="1" x14ac:dyDescent="0.2">
      <c r="A702" s="671" t="s">
        <v>168</v>
      </c>
      <c r="B702" s="644" t="s">
        <v>168</v>
      </c>
      <c r="C702" s="645"/>
      <c r="D702" s="451" t="s">
        <v>263</v>
      </c>
      <c r="E702" s="423"/>
      <c r="F702" s="424">
        <v>20</v>
      </c>
      <c r="G702" s="425">
        <f>SUM(G698:G701)</f>
        <v>1</v>
      </c>
      <c r="H702" s="651">
        <f>IF(F702&lt;=30,(1.07*F702+6.45)*G702,((1.07*30+6.45)+1.07*(F702-30))*G702)</f>
        <v>27.85</v>
      </c>
      <c r="I702" s="420">
        <v>0</v>
      </c>
      <c r="J702" s="420"/>
      <c r="K702" s="421">
        <f t="shared" si="205"/>
        <v>0</v>
      </c>
      <c r="L702" s="647" t="s">
        <v>614</v>
      </c>
      <c r="M702" s="703"/>
      <c r="N702" s="576">
        <f t="shared" si="209"/>
        <v>0</v>
      </c>
      <c r="O702" s="577">
        <f t="shared" si="219"/>
        <v>0</v>
      </c>
      <c r="P702" s="578">
        <f t="shared" si="220"/>
        <v>0</v>
      </c>
      <c r="Q702" s="765"/>
      <c r="R702" s="703"/>
      <c r="S702" s="670"/>
      <c r="T702" s="577">
        <f t="shared" si="216"/>
        <v>0</v>
      </c>
      <c r="U702" s="578">
        <f t="shared" si="217"/>
        <v>0</v>
      </c>
      <c r="V702" s="579"/>
      <c r="W702" s="637" t="str">
        <f>IF(U698&gt;0,"xx",IF(P698&gt;0,"xy",""))</f>
        <v/>
      </c>
      <c r="X702" s="586" t="str">
        <f t="shared" si="191"/>
        <v/>
      </c>
      <c r="Y702" s="586" t="str">
        <f t="shared" si="189"/>
        <v/>
      </c>
      <c r="Z702" s="586" t="str">
        <f t="shared" si="208"/>
        <v/>
      </c>
    </row>
    <row r="703" spans="1:26" ht="12" hidden="1" thickBot="1" x14ac:dyDescent="0.25">
      <c r="A703" s="671">
        <v>589000</v>
      </c>
      <c r="B703" s="704" t="s">
        <v>1853</v>
      </c>
      <c r="C703" s="689" t="s">
        <v>1746</v>
      </c>
      <c r="D703" s="477" t="s">
        <v>658</v>
      </c>
      <c r="E703" s="470"/>
      <c r="F703" s="486">
        <v>500</v>
      </c>
      <c r="G703" s="479">
        <v>1</v>
      </c>
      <c r="H703" s="663">
        <f>(0.94*F703+46.06)*G703</f>
        <v>516.05999999999995</v>
      </c>
      <c r="I703" s="472">
        <v>5725</v>
      </c>
      <c r="J703" s="472">
        <f>IF(ISBLANK(I703),"",I703*(1+$F$9)/(1+$F$10))+H703</f>
        <v>6070.962785960779</v>
      </c>
      <c r="K703" s="690">
        <f t="shared" si="205"/>
        <v>7212.91</v>
      </c>
      <c r="L703" s="691" t="s">
        <v>20</v>
      </c>
      <c r="M703" s="692">
        <f>ROUND(M698*G698,2)</f>
        <v>0</v>
      </c>
      <c r="N703" s="696">
        <f t="shared" si="209"/>
        <v>0</v>
      </c>
      <c r="O703" s="693">
        <f>IF(ISBLANK(M703),0,ROUND(K703*M703,2))</f>
        <v>0</v>
      </c>
      <c r="P703" s="694">
        <f>IF(ISBLANK(N703),0,ROUND(M703*N703,2))</f>
        <v>0</v>
      </c>
      <c r="Q703" s="765"/>
      <c r="R703" s="719">
        <f>ROUND(R698*G698,2)</f>
        <v>0</v>
      </c>
      <c r="S703" s="720">
        <f>N703</f>
        <v>0</v>
      </c>
      <c r="T703" s="693">
        <f t="shared" si="216"/>
        <v>0</v>
      </c>
      <c r="U703" s="694">
        <f t="shared" si="217"/>
        <v>0</v>
      </c>
      <c r="V703" s="579"/>
      <c r="W703" s="637" t="str">
        <f>IF(U698&gt;0,"xx",IF(P698&gt;0,"xy",""))</f>
        <v/>
      </c>
      <c r="X703" s="586" t="str">
        <f t="shared" si="191"/>
        <v/>
      </c>
      <c r="Y703" s="586" t="str">
        <f t="shared" si="189"/>
        <v/>
      </c>
      <c r="Z703" s="586" t="str">
        <f t="shared" si="208"/>
        <v/>
      </c>
    </row>
    <row r="704" spans="1:26" hidden="1" x14ac:dyDescent="0.2">
      <c r="A704" s="567">
        <v>570000</v>
      </c>
      <c r="B704" s="701" t="s">
        <v>1854</v>
      </c>
      <c r="C704" s="702" t="s">
        <v>206</v>
      </c>
      <c r="D704" s="463" t="s">
        <v>1921</v>
      </c>
      <c r="E704" s="464"/>
      <c r="F704" s="465" t="s">
        <v>662</v>
      </c>
      <c r="G704" s="466">
        <v>5.7000000000000002E-2</v>
      </c>
      <c r="H704" s="681">
        <f>SUM(H705:H708)</f>
        <v>55.741532000000007</v>
      </c>
      <c r="I704" s="467">
        <v>201.51</v>
      </c>
      <c r="J704" s="467">
        <f>IF(ISBLANK(I704),"",SUM(H704:I704))</f>
        <v>257.251532</v>
      </c>
      <c r="K704" s="682">
        <f t="shared" si="205"/>
        <v>305.64</v>
      </c>
      <c r="L704" s="683" t="s">
        <v>20</v>
      </c>
      <c r="M704" s="685"/>
      <c r="N704" s="576">
        <f t="shared" si="209"/>
        <v>0</v>
      </c>
      <c r="O704" s="687">
        <f t="shared" si="219"/>
        <v>0</v>
      </c>
      <c r="P704" s="688">
        <f t="shared" si="220"/>
        <v>0</v>
      </c>
      <c r="Q704" s="765"/>
      <c r="R704" s="685">
        <f t="shared" si="215"/>
        <v>0</v>
      </c>
      <c r="S704" s="686">
        <f>N704</f>
        <v>0</v>
      </c>
      <c r="T704" s="687">
        <f t="shared" si="216"/>
        <v>0</v>
      </c>
      <c r="U704" s="688">
        <f t="shared" si="217"/>
        <v>0</v>
      </c>
      <c r="V704" s="579"/>
      <c r="W704" s="566"/>
      <c r="X704" s="586" t="str">
        <f t="shared" si="191"/>
        <v/>
      </c>
      <c r="Y704" s="586" t="str">
        <f t="shared" si="189"/>
        <v/>
      </c>
      <c r="Z704" s="586" t="str">
        <f t="shared" si="208"/>
        <v/>
      </c>
    </row>
    <row r="705" spans="1:26" hidden="1" x14ac:dyDescent="0.2">
      <c r="A705" s="567" t="s">
        <v>168</v>
      </c>
      <c r="B705" s="644" t="s">
        <v>168</v>
      </c>
      <c r="C705" s="645"/>
      <c r="D705" s="451" t="s">
        <v>248</v>
      </c>
      <c r="E705" s="423"/>
      <c r="F705" s="424">
        <v>180</v>
      </c>
      <c r="G705" s="425">
        <v>0.1</v>
      </c>
      <c r="H705" s="663">
        <f t="shared" ref="H705:H707" si="222">IF(F705&lt;=30,(1.07*F705+2.68)*G705,((1.07*30+2.68)+1.07*(F705-30))*G705)</f>
        <v>19.528000000000002</v>
      </c>
      <c r="I705" s="420">
        <v>0</v>
      </c>
      <c r="J705" s="420"/>
      <c r="K705" s="421">
        <f t="shared" si="205"/>
        <v>0</v>
      </c>
      <c r="L705" s="647" t="s">
        <v>614</v>
      </c>
      <c r="M705" s="703"/>
      <c r="N705" s="576">
        <f t="shared" si="209"/>
        <v>0</v>
      </c>
      <c r="O705" s="577">
        <f t="shared" si="219"/>
        <v>0</v>
      </c>
      <c r="P705" s="578">
        <f t="shared" si="220"/>
        <v>0</v>
      </c>
      <c r="Q705" s="765"/>
      <c r="R705" s="703"/>
      <c r="S705" s="670"/>
      <c r="T705" s="577">
        <f t="shared" si="216"/>
        <v>0</v>
      </c>
      <c r="U705" s="578">
        <f t="shared" si="217"/>
        <v>0</v>
      </c>
      <c r="V705" s="579"/>
      <c r="W705" s="637" t="str">
        <f>IF(U704&gt;0,"xx",IF(P704&gt;0,"xy",""))</f>
        <v/>
      </c>
      <c r="X705" s="586" t="str">
        <f t="shared" si="191"/>
        <v/>
      </c>
      <c r="Y705" s="586" t="str">
        <f t="shared" si="189"/>
        <v/>
      </c>
      <c r="Z705" s="586" t="str">
        <f t="shared" si="208"/>
        <v/>
      </c>
    </row>
    <row r="706" spans="1:26" hidden="1" x14ac:dyDescent="0.2">
      <c r="A706" s="567" t="s">
        <v>168</v>
      </c>
      <c r="B706" s="644" t="s">
        <v>168</v>
      </c>
      <c r="C706" s="645"/>
      <c r="D706" s="451" t="s">
        <v>249</v>
      </c>
      <c r="E706" s="423"/>
      <c r="F706" s="424">
        <v>500</v>
      </c>
      <c r="G706" s="425">
        <v>1.4999999999999999E-2</v>
      </c>
      <c r="H706" s="649">
        <f>IF(F706&lt;=30,(0.78*F706+7.82)*G706,((0.78*30+7.82)+0.78*(F706-30))*G706)</f>
        <v>5.9673000000000007</v>
      </c>
      <c r="I706" s="420">
        <v>0</v>
      </c>
      <c r="J706" s="420"/>
      <c r="K706" s="421">
        <f t="shared" si="205"/>
        <v>0</v>
      </c>
      <c r="L706" s="647" t="s">
        <v>614</v>
      </c>
      <c r="M706" s="703"/>
      <c r="N706" s="576">
        <f t="shared" si="209"/>
        <v>0</v>
      </c>
      <c r="O706" s="577">
        <f t="shared" si="219"/>
        <v>0</v>
      </c>
      <c r="P706" s="578">
        <f t="shared" si="220"/>
        <v>0</v>
      </c>
      <c r="Q706" s="765"/>
      <c r="R706" s="703"/>
      <c r="S706" s="670"/>
      <c r="T706" s="577">
        <f t="shared" si="216"/>
        <v>0</v>
      </c>
      <c r="U706" s="578">
        <f t="shared" si="217"/>
        <v>0</v>
      </c>
      <c r="V706" s="579"/>
      <c r="W706" s="637" t="str">
        <f>IF(U704&gt;0,"xx",IF(P704&gt;0,"xy",""))</f>
        <v/>
      </c>
      <c r="X706" s="586" t="str">
        <f t="shared" si="191"/>
        <v/>
      </c>
      <c r="Y706" s="586" t="str">
        <f t="shared" si="189"/>
        <v/>
      </c>
      <c r="Z706" s="586" t="str">
        <f t="shared" si="208"/>
        <v/>
      </c>
    </row>
    <row r="707" spans="1:26" hidden="1" x14ac:dyDescent="0.2">
      <c r="A707" s="567" t="s">
        <v>168</v>
      </c>
      <c r="B707" s="644" t="s">
        <v>168</v>
      </c>
      <c r="C707" s="645"/>
      <c r="D707" s="451" t="s">
        <v>262</v>
      </c>
      <c r="E707" s="423"/>
      <c r="F707" s="424">
        <v>0.2</v>
      </c>
      <c r="G707" s="425">
        <v>0.82799999999999996</v>
      </c>
      <c r="H707" s="663">
        <f t="shared" si="222"/>
        <v>2.3962319999999999</v>
      </c>
      <c r="I707" s="420">
        <v>0</v>
      </c>
      <c r="J707" s="420"/>
      <c r="K707" s="421">
        <f t="shared" si="205"/>
        <v>0</v>
      </c>
      <c r="L707" s="647" t="s">
        <v>614</v>
      </c>
      <c r="M707" s="703"/>
      <c r="N707" s="576">
        <f t="shared" si="209"/>
        <v>0</v>
      </c>
      <c r="O707" s="577">
        <f t="shared" si="219"/>
        <v>0</v>
      </c>
      <c r="P707" s="578">
        <f t="shared" si="220"/>
        <v>0</v>
      </c>
      <c r="Q707" s="765"/>
      <c r="R707" s="703"/>
      <c r="S707" s="670"/>
      <c r="T707" s="577">
        <f t="shared" si="216"/>
        <v>0</v>
      </c>
      <c r="U707" s="578">
        <f t="shared" si="217"/>
        <v>0</v>
      </c>
      <c r="V707" s="579"/>
      <c r="W707" s="637" t="str">
        <f>IF(U704&gt;0,"xx",IF(P704&gt;0,"xy",""))</f>
        <v/>
      </c>
      <c r="X707" s="586" t="str">
        <f t="shared" si="191"/>
        <v/>
      </c>
      <c r="Y707" s="586" t="str">
        <f t="shared" si="189"/>
        <v/>
      </c>
      <c r="Z707" s="586" t="str">
        <f t="shared" si="208"/>
        <v/>
      </c>
    </row>
    <row r="708" spans="1:26" hidden="1" x14ac:dyDescent="0.2">
      <c r="A708" s="567" t="s">
        <v>168</v>
      </c>
      <c r="B708" s="644" t="s">
        <v>168</v>
      </c>
      <c r="C708" s="645"/>
      <c r="D708" s="451" t="s">
        <v>263</v>
      </c>
      <c r="E708" s="423"/>
      <c r="F708" s="424">
        <v>20</v>
      </c>
      <c r="G708" s="425">
        <f>SUM(G704:G707)</f>
        <v>1</v>
      </c>
      <c r="H708" s="651">
        <f>IF(F708&lt;=30,(1.07*F708+6.45)*G708,((1.07*30+6.45)+1.07*(F708-30))*G708)</f>
        <v>27.85</v>
      </c>
      <c r="I708" s="420">
        <v>0</v>
      </c>
      <c r="J708" s="420"/>
      <c r="K708" s="421">
        <f t="shared" si="205"/>
        <v>0</v>
      </c>
      <c r="L708" s="647" t="s">
        <v>614</v>
      </c>
      <c r="M708" s="703"/>
      <c r="N708" s="576">
        <f t="shared" si="209"/>
        <v>0</v>
      </c>
      <c r="O708" s="577">
        <f t="shared" si="219"/>
        <v>0</v>
      </c>
      <c r="P708" s="578">
        <f t="shared" si="220"/>
        <v>0</v>
      </c>
      <c r="Q708" s="765"/>
      <c r="R708" s="703"/>
      <c r="S708" s="670"/>
      <c r="T708" s="577">
        <f t="shared" si="216"/>
        <v>0</v>
      </c>
      <c r="U708" s="578">
        <f t="shared" si="217"/>
        <v>0</v>
      </c>
      <c r="V708" s="579"/>
      <c r="W708" s="637" t="str">
        <f>IF(U704&gt;0,"xx",IF(P704&gt;0,"xy",""))</f>
        <v/>
      </c>
      <c r="X708" s="586" t="str">
        <f t="shared" si="191"/>
        <v/>
      </c>
      <c r="Y708" s="586" t="str">
        <f t="shared" si="189"/>
        <v/>
      </c>
      <c r="Z708" s="586" t="str">
        <f t="shared" si="208"/>
        <v/>
      </c>
    </row>
    <row r="709" spans="1:26" ht="12" hidden="1" thickBot="1" x14ac:dyDescent="0.25">
      <c r="A709" s="567">
        <v>589000</v>
      </c>
      <c r="B709" s="704" t="s">
        <v>1855</v>
      </c>
      <c r="C709" s="689" t="s">
        <v>1746</v>
      </c>
      <c r="D709" s="477" t="s">
        <v>659</v>
      </c>
      <c r="E709" s="470"/>
      <c r="F709" s="478">
        <v>500</v>
      </c>
      <c r="G709" s="479">
        <v>1</v>
      </c>
      <c r="H709" s="663">
        <f>(0.94*F709+46.06)*G709</f>
        <v>516.05999999999995</v>
      </c>
      <c r="I709" s="472">
        <v>5725</v>
      </c>
      <c r="J709" s="472">
        <f>IF(ISBLANK(I709),"",I709*(1+$F$9)/(1+$F$10))+H709</f>
        <v>6070.962785960779</v>
      </c>
      <c r="K709" s="690">
        <f t="shared" si="205"/>
        <v>7212.91</v>
      </c>
      <c r="L709" s="691" t="s">
        <v>20</v>
      </c>
      <c r="M709" s="692">
        <f>ROUND(M704*G704,2)</f>
        <v>0</v>
      </c>
      <c r="N709" s="588">
        <f t="shared" si="209"/>
        <v>0</v>
      </c>
      <c r="O709" s="693">
        <f>IF(ISBLANK(M709),0,ROUND(K709*M709,2))</f>
        <v>0</v>
      </c>
      <c r="P709" s="694">
        <f>IF(ISBLANK(N709),0,ROUND(M709*N709,2))</f>
        <v>0</v>
      </c>
      <c r="Q709" s="765"/>
      <c r="R709" s="719">
        <f>ROUND(R704*G704,2)</f>
        <v>0</v>
      </c>
      <c r="S709" s="720">
        <f>N709</f>
        <v>0</v>
      </c>
      <c r="T709" s="693">
        <f t="shared" si="216"/>
        <v>0</v>
      </c>
      <c r="U709" s="694">
        <f t="shared" si="217"/>
        <v>0</v>
      </c>
      <c r="V709" s="579"/>
      <c r="W709" s="637" t="str">
        <f>IF(U704&gt;0,"xx",IF(P704&gt;0,"xy",""))</f>
        <v/>
      </c>
      <c r="X709" s="586" t="str">
        <f t="shared" si="191"/>
        <v/>
      </c>
      <c r="Y709" s="586" t="str">
        <f t="shared" si="189"/>
        <v/>
      </c>
      <c r="Z709" s="586" t="str">
        <f t="shared" si="208"/>
        <v/>
      </c>
    </row>
    <row r="710" spans="1:26" hidden="1" x14ac:dyDescent="0.2">
      <c r="A710" s="567">
        <v>570400</v>
      </c>
      <c r="B710" s="701" t="s">
        <v>1856</v>
      </c>
      <c r="C710" s="702" t="s">
        <v>206</v>
      </c>
      <c r="D710" s="463" t="s">
        <v>1922</v>
      </c>
      <c r="E710" s="464"/>
      <c r="F710" s="465" t="s">
        <v>662</v>
      </c>
      <c r="G710" s="466">
        <v>5.7000000000000002E-2</v>
      </c>
      <c r="H710" s="681">
        <f>SUM(H711:H714)</f>
        <v>55.741532000000007</v>
      </c>
      <c r="I710" s="467">
        <v>180.27999999999997</v>
      </c>
      <c r="J710" s="467">
        <f>IF(ISBLANK(I710),"",SUM(H710:I710))</f>
        <v>236.02153199999998</v>
      </c>
      <c r="K710" s="682">
        <f t="shared" si="205"/>
        <v>280.42</v>
      </c>
      <c r="L710" s="683" t="s">
        <v>20</v>
      </c>
      <c r="M710" s="685"/>
      <c r="N710" s="686">
        <f t="shared" si="209"/>
        <v>0</v>
      </c>
      <c r="O710" s="687">
        <f t="shared" si="219"/>
        <v>0</v>
      </c>
      <c r="P710" s="688">
        <f t="shared" si="220"/>
        <v>0</v>
      </c>
      <c r="Q710" s="765"/>
      <c r="R710" s="685">
        <f t="shared" si="215"/>
        <v>0</v>
      </c>
      <c r="S710" s="686">
        <f>N710</f>
        <v>0</v>
      </c>
      <c r="T710" s="687">
        <f t="shared" si="216"/>
        <v>0</v>
      </c>
      <c r="U710" s="688">
        <f t="shared" si="217"/>
        <v>0</v>
      </c>
      <c r="V710" s="579"/>
      <c r="W710" s="566"/>
      <c r="X710" s="586" t="str">
        <f t="shared" si="191"/>
        <v/>
      </c>
      <c r="Y710" s="586" t="str">
        <f t="shared" si="189"/>
        <v/>
      </c>
      <c r="Z710" s="586" t="str">
        <f t="shared" si="208"/>
        <v/>
      </c>
    </row>
    <row r="711" spans="1:26" hidden="1" x14ac:dyDescent="0.2">
      <c r="A711" s="567" t="s">
        <v>168</v>
      </c>
      <c r="B711" s="644" t="s">
        <v>168</v>
      </c>
      <c r="C711" s="645"/>
      <c r="D711" s="451" t="s">
        <v>248</v>
      </c>
      <c r="E711" s="423"/>
      <c r="F711" s="424">
        <v>180</v>
      </c>
      <c r="G711" s="425">
        <v>0.1</v>
      </c>
      <c r="H711" s="663">
        <f t="shared" ref="H711:H713" si="223">IF(F711&lt;=30,(1.07*F711+2.68)*G711,((1.07*30+2.68)+1.07*(F711-30))*G711)</f>
        <v>19.528000000000002</v>
      </c>
      <c r="I711" s="420">
        <v>0</v>
      </c>
      <c r="J711" s="420"/>
      <c r="K711" s="421">
        <f t="shared" si="205"/>
        <v>0</v>
      </c>
      <c r="L711" s="647" t="s">
        <v>614</v>
      </c>
      <c r="M711" s="703"/>
      <c r="N711" s="576">
        <f t="shared" si="209"/>
        <v>0</v>
      </c>
      <c r="O711" s="577">
        <f t="shared" si="219"/>
        <v>0</v>
      </c>
      <c r="P711" s="578">
        <f t="shared" si="220"/>
        <v>0</v>
      </c>
      <c r="Q711" s="765"/>
      <c r="R711" s="703"/>
      <c r="S711" s="670"/>
      <c r="T711" s="577">
        <f t="shared" si="216"/>
        <v>0</v>
      </c>
      <c r="U711" s="578">
        <f t="shared" si="217"/>
        <v>0</v>
      </c>
      <c r="V711" s="579"/>
      <c r="W711" s="637" t="str">
        <f>IF(U710&gt;0,"xx",IF(P710&gt;0,"xy",""))</f>
        <v/>
      </c>
      <c r="X711" s="586" t="str">
        <f t="shared" si="191"/>
        <v/>
      </c>
      <c r="Y711" s="586" t="str">
        <f t="shared" si="189"/>
        <v/>
      </c>
      <c r="Z711" s="586" t="str">
        <f t="shared" si="208"/>
        <v/>
      </c>
    </row>
    <row r="712" spans="1:26" hidden="1" x14ac:dyDescent="0.2">
      <c r="A712" s="567" t="s">
        <v>168</v>
      </c>
      <c r="B712" s="644" t="s">
        <v>168</v>
      </c>
      <c r="C712" s="645"/>
      <c r="D712" s="451" t="s">
        <v>249</v>
      </c>
      <c r="E712" s="423"/>
      <c r="F712" s="424">
        <v>500</v>
      </c>
      <c r="G712" s="425">
        <v>1.4999999999999999E-2</v>
      </c>
      <c r="H712" s="649">
        <f>IF(F712&lt;=30,(0.78*F712+7.82)*G712,((0.78*30+7.82)+0.78*(F712-30))*G712)</f>
        <v>5.9673000000000007</v>
      </c>
      <c r="I712" s="420">
        <v>0</v>
      </c>
      <c r="J712" s="420"/>
      <c r="K712" s="421">
        <f t="shared" ref="K712:K746" si="224">IF(ISBLANK(I712),0,ROUND(J712*(1+$F$10)*(1+$F$11*E712),2))</f>
        <v>0</v>
      </c>
      <c r="L712" s="647" t="s">
        <v>614</v>
      </c>
      <c r="M712" s="703"/>
      <c r="N712" s="576">
        <f t="shared" si="209"/>
        <v>0</v>
      </c>
      <c r="O712" s="577">
        <f t="shared" si="219"/>
        <v>0</v>
      </c>
      <c r="P712" s="578">
        <f t="shared" si="220"/>
        <v>0</v>
      </c>
      <c r="Q712" s="765"/>
      <c r="R712" s="703"/>
      <c r="S712" s="670"/>
      <c r="T712" s="577">
        <f t="shared" si="216"/>
        <v>0</v>
      </c>
      <c r="U712" s="578">
        <f t="shared" si="217"/>
        <v>0</v>
      </c>
      <c r="V712" s="579"/>
      <c r="W712" s="637" t="str">
        <f>IF(U710&gt;0,"xx",IF(P710&gt;0,"xy",""))</f>
        <v/>
      </c>
      <c r="X712" s="586" t="str">
        <f t="shared" si="191"/>
        <v/>
      </c>
      <c r="Y712" s="586" t="str">
        <f t="shared" si="189"/>
        <v/>
      </c>
      <c r="Z712" s="586" t="str">
        <f t="shared" si="208"/>
        <v/>
      </c>
    </row>
    <row r="713" spans="1:26" hidden="1" x14ac:dyDescent="0.2">
      <c r="A713" s="567" t="s">
        <v>168</v>
      </c>
      <c r="B713" s="644" t="s">
        <v>168</v>
      </c>
      <c r="C713" s="645"/>
      <c r="D713" s="451" t="s">
        <v>262</v>
      </c>
      <c r="E713" s="423"/>
      <c r="F713" s="424">
        <v>0.2</v>
      </c>
      <c r="G713" s="425">
        <v>0.82799999999999996</v>
      </c>
      <c r="H713" s="663">
        <f t="shared" si="223"/>
        <v>2.3962319999999999</v>
      </c>
      <c r="I713" s="420">
        <v>0</v>
      </c>
      <c r="J713" s="420"/>
      <c r="K713" s="421">
        <f t="shared" si="224"/>
        <v>0</v>
      </c>
      <c r="L713" s="647" t="s">
        <v>614</v>
      </c>
      <c r="M713" s="703"/>
      <c r="N713" s="576">
        <f t="shared" si="209"/>
        <v>0</v>
      </c>
      <c r="O713" s="577">
        <f t="shared" si="219"/>
        <v>0</v>
      </c>
      <c r="P713" s="578">
        <f t="shared" si="220"/>
        <v>0</v>
      </c>
      <c r="Q713" s="765"/>
      <c r="R713" s="703"/>
      <c r="S713" s="670"/>
      <c r="T713" s="577">
        <f t="shared" si="216"/>
        <v>0</v>
      </c>
      <c r="U713" s="578">
        <f t="shared" si="217"/>
        <v>0</v>
      </c>
      <c r="V713" s="579"/>
      <c r="W713" s="637" t="str">
        <f>IF(U710&gt;0,"xx",IF(P710&gt;0,"xy",""))</f>
        <v/>
      </c>
      <c r="X713" s="586" t="str">
        <f t="shared" si="191"/>
        <v/>
      </c>
      <c r="Y713" s="586" t="str">
        <f t="shared" si="189"/>
        <v/>
      </c>
      <c r="Z713" s="586" t="str">
        <f t="shared" si="208"/>
        <v/>
      </c>
    </row>
    <row r="714" spans="1:26" hidden="1" x14ac:dyDescent="0.2">
      <c r="A714" s="567" t="s">
        <v>168</v>
      </c>
      <c r="B714" s="644" t="s">
        <v>168</v>
      </c>
      <c r="C714" s="645"/>
      <c r="D714" s="451" t="s">
        <v>263</v>
      </c>
      <c r="E714" s="423"/>
      <c r="F714" s="424">
        <v>20</v>
      </c>
      <c r="G714" s="425">
        <f>SUM(G710:G713)</f>
        <v>1</v>
      </c>
      <c r="H714" s="651">
        <f>IF(F714&lt;=30,(1.07*F714+6.45)*G714,((1.07*30+6.45)+1.07*(F714-30))*G714)</f>
        <v>27.85</v>
      </c>
      <c r="I714" s="420">
        <v>0</v>
      </c>
      <c r="J714" s="420"/>
      <c r="K714" s="421">
        <f t="shared" si="224"/>
        <v>0</v>
      </c>
      <c r="L714" s="647" t="s">
        <v>614</v>
      </c>
      <c r="M714" s="703"/>
      <c r="N714" s="576">
        <f t="shared" si="209"/>
        <v>0</v>
      </c>
      <c r="O714" s="577">
        <f t="shared" si="219"/>
        <v>0</v>
      </c>
      <c r="P714" s="578">
        <f t="shared" si="220"/>
        <v>0</v>
      </c>
      <c r="Q714" s="765"/>
      <c r="R714" s="703"/>
      <c r="S714" s="670"/>
      <c r="T714" s="577">
        <f t="shared" si="216"/>
        <v>0</v>
      </c>
      <c r="U714" s="578">
        <f t="shared" si="217"/>
        <v>0</v>
      </c>
      <c r="V714" s="579"/>
      <c r="W714" s="637" t="str">
        <f>IF(U710&gt;0,"xx",IF(P710&gt;0,"xy",""))</f>
        <v/>
      </c>
      <c r="X714" s="586" t="str">
        <f t="shared" si="191"/>
        <v/>
      </c>
      <c r="Y714" s="586" t="str">
        <f t="shared" si="189"/>
        <v/>
      </c>
      <c r="Z714" s="586" t="str">
        <f t="shared" si="208"/>
        <v/>
      </c>
    </row>
    <row r="715" spans="1:26" ht="12" hidden="1" thickBot="1" x14ac:dyDescent="0.25">
      <c r="A715" s="567">
        <v>589000</v>
      </c>
      <c r="B715" s="704" t="s">
        <v>1857</v>
      </c>
      <c r="C715" s="689" t="s">
        <v>1746</v>
      </c>
      <c r="D715" s="477" t="s">
        <v>660</v>
      </c>
      <c r="E715" s="470"/>
      <c r="F715" s="478">
        <v>500</v>
      </c>
      <c r="G715" s="479">
        <v>1</v>
      </c>
      <c r="H715" s="663">
        <f>(0.94*F715+46.06)*G715</f>
        <v>516.05999999999995</v>
      </c>
      <c r="I715" s="472">
        <v>5725</v>
      </c>
      <c r="J715" s="472">
        <f>IF(ISBLANK(I715),"",I715*(1+$F$9)/(1+$F$10))+H715</f>
        <v>6070.962785960779</v>
      </c>
      <c r="K715" s="690">
        <f t="shared" si="224"/>
        <v>7212.91</v>
      </c>
      <c r="L715" s="691" t="s">
        <v>20</v>
      </c>
      <c r="M715" s="692">
        <f>ROUND(M710*G710,2)</f>
        <v>0</v>
      </c>
      <c r="N715" s="696">
        <f t="shared" si="209"/>
        <v>0</v>
      </c>
      <c r="O715" s="693">
        <f t="shared" si="219"/>
        <v>0</v>
      </c>
      <c r="P715" s="694">
        <f t="shared" si="220"/>
        <v>0</v>
      </c>
      <c r="Q715" s="765"/>
      <c r="R715" s="719">
        <f>ROUND(R710*G710,2)</f>
        <v>0</v>
      </c>
      <c r="S715" s="720">
        <f t="shared" ref="S715:S778" si="225">N715</f>
        <v>0</v>
      </c>
      <c r="T715" s="693">
        <f t="shared" si="216"/>
        <v>0</v>
      </c>
      <c r="U715" s="694">
        <f t="shared" si="217"/>
        <v>0</v>
      </c>
      <c r="V715" s="579"/>
      <c r="W715" s="637" t="str">
        <f>IF(U710&gt;0,"xx",IF(P710&gt;0,"xy",""))</f>
        <v/>
      </c>
      <c r="X715" s="586" t="str">
        <f t="shared" si="191"/>
        <v/>
      </c>
      <c r="Y715" s="586" t="str">
        <f t="shared" si="189"/>
        <v/>
      </c>
      <c r="Z715" s="586" t="str">
        <f t="shared" si="208"/>
        <v/>
      </c>
    </row>
    <row r="716" spans="1:26" hidden="1" x14ac:dyDescent="0.2">
      <c r="A716" s="567">
        <v>521450</v>
      </c>
      <c r="B716" s="450" t="s">
        <v>1858</v>
      </c>
      <c r="C716" s="473" t="s">
        <v>206</v>
      </c>
      <c r="D716" s="422" t="s">
        <v>289</v>
      </c>
      <c r="E716" s="423"/>
      <c r="F716" s="424">
        <v>20</v>
      </c>
      <c r="G716" s="419">
        <v>0.3</v>
      </c>
      <c r="H716" s="663">
        <f t="shared" ref="H716:H717" si="226">IF(F716&lt;=30,(1.07*F716+2.68)*G716,((1.07*30+2.68)+1.07*(F716-30))*G716)</f>
        <v>7.2240000000000002</v>
      </c>
      <c r="I716" s="420">
        <v>24.94</v>
      </c>
      <c r="J716" s="420">
        <f t="shared" ref="J716:J732" si="227">IF(ISBLANK(I716),"",SUM(H716:I716))</f>
        <v>32.164000000000001</v>
      </c>
      <c r="K716" s="421">
        <f t="shared" si="224"/>
        <v>38.21</v>
      </c>
      <c r="L716" s="647" t="s">
        <v>18</v>
      </c>
      <c r="M716" s="576"/>
      <c r="N716" s="576">
        <f t="shared" si="209"/>
        <v>0</v>
      </c>
      <c r="O716" s="642">
        <f t="shared" si="219"/>
        <v>0</v>
      </c>
      <c r="P716" s="659">
        <f t="shared" si="220"/>
        <v>0</v>
      </c>
      <c r="Q716" s="765"/>
      <c r="R716" s="576">
        <f t="shared" si="215"/>
        <v>0</v>
      </c>
      <c r="S716" s="576">
        <f t="shared" si="225"/>
        <v>0</v>
      </c>
      <c r="T716" s="577">
        <f t="shared" si="216"/>
        <v>0</v>
      </c>
      <c r="U716" s="578">
        <f t="shared" si="217"/>
        <v>0</v>
      </c>
      <c r="V716" s="579"/>
      <c r="W716" s="566"/>
      <c r="X716" s="586" t="str">
        <f t="shared" si="191"/>
        <v/>
      </c>
      <c r="Y716" s="586" t="str">
        <f t="shared" si="189"/>
        <v/>
      </c>
      <c r="Z716" s="586" t="str">
        <f t="shared" si="208"/>
        <v/>
      </c>
    </row>
    <row r="717" spans="1:26" hidden="1" x14ac:dyDescent="0.2">
      <c r="A717" s="567">
        <v>535200</v>
      </c>
      <c r="B717" s="644" t="s">
        <v>1859</v>
      </c>
      <c r="C717" s="645" t="s">
        <v>206</v>
      </c>
      <c r="D717" s="422" t="s">
        <v>290</v>
      </c>
      <c r="E717" s="423"/>
      <c r="F717" s="424">
        <v>20</v>
      </c>
      <c r="G717" s="419">
        <v>7.6999999999999999E-2</v>
      </c>
      <c r="H717" s="663">
        <f t="shared" si="226"/>
        <v>1.85416</v>
      </c>
      <c r="I717" s="420">
        <v>10.85</v>
      </c>
      <c r="J717" s="420">
        <f t="shared" si="227"/>
        <v>12.70416</v>
      </c>
      <c r="K717" s="421">
        <f t="shared" si="224"/>
        <v>15.09</v>
      </c>
      <c r="L717" s="647" t="s">
        <v>19</v>
      </c>
      <c r="M717" s="576"/>
      <c r="N717" s="576">
        <f t="shared" si="209"/>
        <v>0</v>
      </c>
      <c r="O717" s="577">
        <f t="shared" si="219"/>
        <v>0</v>
      </c>
      <c r="P717" s="578">
        <f t="shared" si="220"/>
        <v>0</v>
      </c>
      <c r="Q717" s="765"/>
      <c r="R717" s="576">
        <f t="shared" si="215"/>
        <v>0</v>
      </c>
      <c r="S717" s="576">
        <f t="shared" si="225"/>
        <v>0</v>
      </c>
      <c r="T717" s="577">
        <f t="shared" si="216"/>
        <v>0</v>
      </c>
      <c r="U717" s="578">
        <f t="shared" si="217"/>
        <v>0</v>
      </c>
      <c r="V717" s="579"/>
      <c r="W717" s="566"/>
      <c r="X717" s="586" t="str">
        <f t="shared" si="191"/>
        <v/>
      </c>
      <c r="Y717" s="586" t="str">
        <f t="shared" si="189"/>
        <v/>
      </c>
      <c r="Z717" s="586" t="str">
        <f t="shared" si="208"/>
        <v/>
      </c>
    </row>
    <row r="718" spans="1:26" hidden="1" x14ac:dyDescent="0.2">
      <c r="A718" s="567">
        <v>521450</v>
      </c>
      <c r="B718" s="644" t="s">
        <v>1545</v>
      </c>
      <c r="C718" s="645" t="s">
        <v>206</v>
      </c>
      <c r="D718" s="422" t="s">
        <v>291</v>
      </c>
      <c r="E718" s="423"/>
      <c r="F718" s="424"/>
      <c r="G718" s="419"/>
      <c r="H718" s="651">
        <f t="shared" ref="H718:H719" si="228">IF(F718&lt;=30,(0.62*F718+6.29)*G718,((0.62*30+6.29)+0.62*(F718-30))*G718)</f>
        <v>0</v>
      </c>
      <c r="I718" s="420">
        <v>9.42</v>
      </c>
      <c r="J718" s="420">
        <f t="shared" si="227"/>
        <v>9.42</v>
      </c>
      <c r="K718" s="421">
        <f t="shared" si="224"/>
        <v>11.19</v>
      </c>
      <c r="L718" s="647" t="s">
        <v>18</v>
      </c>
      <c r="M718" s="576"/>
      <c r="N718" s="576">
        <f t="shared" si="209"/>
        <v>0</v>
      </c>
      <c r="O718" s="577">
        <f t="shared" si="219"/>
        <v>0</v>
      </c>
      <c r="P718" s="578">
        <f t="shared" si="220"/>
        <v>0</v>
      </c>
      <c r="Q718" s="765"/>
      <c r="R718" s="576">
        <f t="shared" si="215"/>
        <v>0</v>
      </c>
      <c r="S718" s="576">
        <f t="shared" si="225"/>
        <v>0</v>
      </c>
      <c r="T718" s="577">
        <f t="shared" si="216"/>
        <v>0</v>
      </c>
      <c r="U718" s="578">
        <f t="shared" si="217"/>
        <v>0</v>
      </c>
      <c r="V718" s="579"/>
      <c r="W718" s="566"/>
      <c r="X718" s="586" t="str">
        <f t="shared" si="191"/>
        <v/>
      </c>
      <c r="Y718" s="586" t="str">
        <f t="shared" si="189"/>
        <v/>
      </c>
      <c r="Z718" s="586" t="str">
        <f t="shared" si="208"/>
        <v/>
      </c>
    </row>
    <row r="719" spans="1:26" hidden="1" x14ac:dyDescent="0.2">
      <c r="A719" s="567">
        <v>521450</v>
      </c>
      <c r="B719" s="644" t="s">
        <v>1546</v>
      </c>
      <c r="C719" s="645" t="s">
        <v>206</v>
      </c>
      <c r="D719" s="422" t="s">
        <v>292</v>
      </c>
      <c r="E719" s="423"/>
      <c r="F719" s="424"/>
      <c r="G719" s="419"/>
      <c r="H719" s="651">
        <f t="shared" si="228"/>
        <v>0</v>
      </c>
      <c r="I719" s="420">
        <v>13.188000000000001</v>
      </c>
      <c r="J719" s="420">
        <f t="shared" si="227"/>
        <v>13.188000000000001</v>
      </c>
      <c r="K719" s="421">
        <f t="shared" si="224"/>
        <v>15.67</v>
      </c>
      <c r="L719" s="647" t="s">
        <v>18</v>
      </c>
      <c r="M719" s="576"/>
      <c r="N719" s="576">
        <f t="shared" si="209"/>
        <v>0</v>
      </c>
      <c r="O719" s="577">
        <f t="shared" si="219"/>
        <v>0</v>
      </c>
      <c r="P719" s="578">
        <f t="shared" si="220"/>
        <v>0</v>
      </c>
      <c r="Q719" s="765"/>
      <c r="R719" s="576">
        <f t="shared" si="215"/>
        <v>0</v>
      </c>
      <c r="S719" s="576">
        <f t="shared" si="225"/>
        <v>0</v>
      </c>
      <c r="T719" s="577">
        <f t="shared" si="216"/>
        <v>0</v>
      </c>
      <c r="U719" s="578">
        <f t="shared" si="217"/>
        <v>0</v>
      </c>
      <c r="V719" s="579"/>
      <c r="W719" s="566"/>
      <c r="X719" s="586" t="str">
        <f t="shared" si="191"/>
        <v/>
      </c>
      <c r="Y719" s="586" t="str">
        <f t="shared" si="189"/>
        <v/>
      </c>
      <c r="Z719" s="586" t="str">
        <f t="shared" si="208"/>
        <v/>
      </c>
    </row>
    <row r="720" spans="1:26" hidden="1" x14ac:dyDescent="0.2">
      <c r="A720" s="567">
        <v>535000</v>
      </c>
      <c r="B720" s="644" t="s">
        <v>1860</v>
      </c>
      <c r="C720" s="645" t="s">
        <v>206</v>
      </c>
      <c r="D720" s="422" t="s">
        <v>241</v>
      </c>
      <c r="E720" s="423"/>
      <c r="F720" s="424">
        <v>20</v>
      </c>
      <c r="G720" s="425">
        <v>0.27200000000000002</v>
      </c>
      <c r="H720" s="663">
        <f t="shared" ref="H720:H733" si="229">IF(F720&lt;=30,(1.07*F720+2.68)*G720,((1.07*30+2.68)+1.07*(F720-30))*G720)</f>
        <v>6.5497600000000009</v>
      </c>
      <c r="I720" s="420">
        <v>105.75</v>
      </c>
      <c r="J720" s="420">
        <f t="shared" si="227"/>
        <v>112.29976000000001</v>
      </c>
      <c r="K720" s="421">
        <f t="shared" si="224"/>
        <v>133.41999999999999</v>
      </c>
      <c r="L720" s="647" t="s">
        <v>18</v>
      </c>
      <c r="M720" s="576"/>
      <c r="N720" s="576">
        <f t="shared" si="209"/>
        <v>0</v>
      </c>
      <c r="O720" s="577">
        <f t="shared" si="219"/>
        <v>0</v>
      </c>
      <c r="P720" s="578">
        <f t="shared" si="220"/>
        <v>0</v>
      </c>
      <c r="Q720" s="765"/>
      <c r="R720" s="576">
        <f t="shared" si="215"/>
        <v>0</v>
      </c>
      <c r="S720" s="576">
        <f t="shared" si="225"/>
        <v>0</v>
      </c>
      <c r="T720" s="577">
        <f t="shared" si="216"/>
        <v>0</v>
      </c>
      <c r="U720" s="578">
        <f t="shared" si="217"/>
        <v>0</v>
      </c>
      <c r="V720" s="579"/>
      <c r="W720" s="566"/>
      <c r="X720" s="586" t="str">
        <f t="shared" si="191"/>
        <v/>
      </c>
      <c r="Y720" s="586" t="str">
        <f t="shared" si="189"/>
        <v/>
      </c>
      <c r="Z720" s="586" t="str">
        <f t="shared" si="208"/>
        <v/>
      </c>
    </row>
    <row r="721" spans="1:26" hidden="1" x14ac:dyDescent="0.2">
      <c r="A721" s="567">
        <v>863000</v>
      </c>
      <c r="B721" s="644" t="s">
        <v>1554</v>
      </c>
      <c r="C721" s="645" t="s">
        <v>206</v>
      </c>
      <c r="D721" s="422" t="s">
        <v>242</v>
      </c>
      <c r="E721" s="423"/>
      <c r="F721" s="424">
        <v>20</v>
      </c>
      <c r="G721" s="425">
        <f>2*0.04</f>
        <v>0.08</v>
      </c>
      <c r="H721" s="663">
        <f t="shared" si="229"/>
        <v>1.9264000000000001</v>
      </c>
      <c r="I721" s="420">
        <v>58.207999999999998</v>
      </c>
      <c r="J721" s="420">
        <f t="shared" si="227"/>
        <v>60.134399999999999</v>
      </c>
      <c r="K721" s="421">
        <f t="shared" si="224"/>
        <v>71.45</v>
      </c>
      <c r="L721" s="647" t="s">
        <v>18</v>
      </c>
      <c r="M721" s="576"/>
      <c r="N721" s="576">
        <f t="shared" si="209"/>
        <v>0</v>
      </c>
      <c r="O721" s="577">
        <f t="shared" si="219"/>
        <v>0</v>
      </c>
      <c r="P721" s="578">
        <f t="shared" si="220"/>
        <v>0</v>
      </c>
      <c r="Q721" s="765"/>
      <c r="R721" s="576">
        <f t="shared" si="215"/>
        <v>0</v>
      </c>
      <c r="S721" s="576">
        <f t="shared" si="225"/>
        <v>0</v>
      </c>
      <c r="T721" s="577">
        <f t="shared" si="216"/>
        <v>0</v>
      </c>
      <c r="U721" s="578">
        <f t="shared" si="217"/>
        <v>0</v>
      </c>
      <c r="V721" s="579"/>
      <c r="W721" s="566"/>
      <c r="X721" s="586" t="str">
        <f t="shared" si="191"/>
        <v/>
      </c>
      <c r="Y721" s="586" t="str">
        <f t="shared" si="189"/>
        <v/>
      </c>
      <c r="Z721" s="586" t="str">
        <f t="shared" si="208"/>
        <v/>
      </c>
    </row>
    <row r="722" spans="1:26" hidden="1" x14ac:dyDescent="0.2">
      <c r="A722" s="567">
        <v>863000</v>
      </c>
      <c r="B722" s="644" t="s">
        <v>1555</v>
      </c>
      <c r="C722" s="645" t="s">
        <v>206</v>
      </c>
      <c r="D722" s="422" t="s">
        <v>243</v>
      </c>
      <c r="E722" s="423"/>
      <c r="F722" s="424">
        <v>20</v>
      </c>
      <c r="G722" s="425">
        <f>2*0.05</f>
        <v>0.1</v>
      </c>
      <c r="H722" s="663">
        <f t="shared" si="229"/>
        <v>2.4080000000000004</v>
      </c>
      <c r="I722" s="420">
        <v>65.48</v>
      </c>
      <c r="J722" s="420">
        <f t="shared" si="227"/>
        <v>67.888000000000005</v>
      </c>
      <c r="K722" s="421">
        <f t="shared" si="224"/>
        <v>80.66</v>
      </c>
      <c r="L722" s="647" t="s">
        <v>18</v>
      </c>
      <c r="M722" s="576"/>
      <c r="N722" s="576">
        <f t="shared" si="209"/>
        <v>0</v>
      </c>
      <c r="O722" s="577">
        <f t="shared" si="219"/>
        <v>0</v>
      </c>
      <c r="P722" s="578">
        <f t="shared" si="220"/>
        <v>0</v>
      </c>
      <c r="Q722" s="765"/>
      <c r="R722" s="576">
        <f t="shared" si="215"/>
        <v>0</v>
      </c>
      <c r="S722" s="576">
        <f t="shared" si="225"/>
        <v>0</v>
      </c>
      <c r="T722" s="577">
        <f t="shared" si="216"/>
        <v>0</v>
      </c>
      <c r="U722" s="578">
        <f t="shared" si="217"/>
        <v>0</v>
      </c>
      <c r="V722" s="579"/>
      <c r="W722" s="566"/>
      <c r="X722" s="586" t="str">
        <f t="shared" si="191"/>
        <v/>
      </c>
      <c r="Y722" s="586" t="str">
        <f t="shared" si="189"/>
        <v/>
      </c>
      <c r="Z722" s="586" t="str">
        <f t="shared" si="208"/>
        <v/>
      </c>
    </row>
    <row r="723" spans="1:26" hidden="1" x14ac:dyDescent="0.2">
      <c r="A723" s="567">
        <v>534906</v>
      </c>
      <c r="B723" s="644" t="s">
        <v>1556</v>
      </c>
      <c r="C723" s="645" t="s">
        <v>206</v>
      </c>
      <c r="D723" s="422" t="s">
        <v>244</v>
      </c>
      <c r="E723" s="423"/>
      <c r="F723" s="424">
        <v>20</v>
      </c>
      <c r="G723" s="425">
        <f>2*0.06</f>
        <v>0.12</v>
      </c>
      <c r="H723" s="663">
        <f t="shared" si="229"/>
        <v>2.8896000000000002</v>
      </c>
      <c r="I723" s="420">
        <v>72.759999999999991</v>
      </c>
      <c r="J723" s="420">
        <f t="shared" si="227"/>
        <v>75.649599999999992</v>
      </c>
      <c r="K723" s="421">
        <f t="shared" si="224"/>
        <v>89.88</v>
      </c>
      <c r="L723" s="647" t="s">
        <v>18</v>
      </c>
      <c r="M723" s="576"/>
      <c r="N723" s="576">
        <f t="shared" si="209"/>
        <v>0</v>
      </c>
      <c r="O723" s="577">
        <f t="shared" si="219"/>
        <v>0</v>
      </c>
      <c r="P723" s="578">
        <f t="shared" si="220"/>
        <v>0</v>
      </c>
      <c r="Q723" s="765"/>
      <c r="R723" s="576">
        <f t="shared" si="215"/>
        <v>0</v>
      </c>
      <c r="S723" s="576">
        <f t="shared" si="225"/>
        <v>0</v>
      </c>
      <c r="T723" s="577">
        <f t="shared" si="216"/>
        <v>0</v>
      </c>
      <c r="U723" s="578">
        <f t="shared" si="217"/>
        <v>0</v>
      </c>
      <c r="V723" s="579"/>
      <c r="W723" s="566"/>
      <c r="X723" s="586" t="str">
        <f t="shared" si="191"/>
        <v/>
      </c>
      <c r="Y723" s="586" t="str">
        <f t="shared" si="189"/>
        <v/>
      </c>
      <c r="Z723" s="586" t="str">
        <f t="shared" si="208"/>
        <v/>
      </c>
    </row>
    <row r="724" spans="1:26" hidden="1" x14ac:dyDescent="0.2">
      <c r="A724" s="567">
        <v>534906</v>
      </c>
      <c r="B724" s="644" t="s">
        <v>1557</v>
      </c>
      <c r="C724" s="645" t="s">
        <v>206</v>
      </c>
      <c r="D724" s="422" t="s">
        <v>245</v>
      </c>
      <c r="E724" s="423"/>
      <c r="F724" s="424">
        <v>20</v>
      </c>
      <c r="G724" s="425">
        <f>2*0.07</f>
        <v>0.14000000000000001</v>
      </c>
      <c r="H724" s="663">
        <f t="shared" si="229"/>
        <v>3.3712000000000004</v>
      </c>
      <c r="I724" s="420">
        <v>78.16</v>
      </c>
      <c r="J724" s="420">
        <f t="shared" si="227"/>
        <v>81.531199999999998</v>
      </c>
      <c r="K724" s="421">
        <f t="shared" si="224"/>
        <v>96.87</v>
      </c>
      <c r="L724" s="647" t="s">
        <v>18</v>
      </c>
      <c r="M724" s="576"/>
      <c r="N724" s="576">
        <f t="shared" ref="N724:N787" si="230">IF(M724=0,0,K724)</f>
        <v>0</v>
      </c>
      <c r="O724" s="577">
        <f t="shared" si="219"/>
        <v>0</v>
      </c>
      <c r="P724" s="578">
        <f t="shared" si="220"/>
        <v>0</v>
      </c>
      <c r="Q724" s="765"/>
      <c r="R724" s="576">
        <f t="shared" si="215"/>
        <v>0</v>
      </c>
      <c r="S724" s="576">
        <f t="shared" si="225"/>
        <v>0</v>
      </c>
      <c r="T724" s="577">
        <f t="shared" si="216"/>
        <v>0</v>
      </c>
      <c r="U724" s="578">
        <f t="shared" si="217"/>
        <v>0</v>
      </c>
      <c r="V724" s="579"/>
      <c r="W724" s="566"/>
      <c r="X724" s="586" t="str">
        <f t="shared" si="191"/>
        <v/>
      </c>
      <c r="Y724" s="586" t="str">
        <f t="shared" si="189"/>
        <v/>
      </c>
      <c r="Z724" s="586" t="str">
        <f t="shared" si="208"/>
        <v/>
      </c>
    </row>
    <row r="725" spans="1:26" hidden="1" x14ac:dyDescent="0.2">
      <c r="A725" s="567">
        <v>534906</v>
      </c>
      <c r="B725" s="644" t="s">
        <v>1558</v>
      </c>
      <c r="C725" s="645" t="s">
        <v>206</v>
      </c>
      <c r="D725" s="422" t="s">
        <v>246</v>
      </c>
      <c r="E725" s="423"/>
      <c r="F725" s="424">
        <v>20</v>
      </c>
      <c r="G725" s="425">
        <f>2*0.08</f>
        <v>0.16</v>
      </c>
      <c r="H725" s="663">
        <f t="shared" si="229"/>
        <v>3.8528000000000002</v>
      </c>
      <c r="I725" s="420">
        <v>83.56</v>
      </c>
      <c r="J725" s="420">
        <f t="shared" si="227"/>
        <v>87.412800000000004</v>
      </c>
      <c r="K725" s="421">
        <f t="shared" si="224"/>
        <v>103.86</v>
      </c>
      <c r="L725" s="647" t="s">
        <v>18</v>
      </c>
      <c r="M725" s="576"/>
      <c r="N725" s="576">
        <f t="shared" si="230"/>
        <v>0</v>
      </c>
      <c r="O725" s="577">
        <f t="shared" si="219"/>
        <v>0</v>
      </c>
      <c r="P725" s="578">
        <f t="shared" si="220"/>
        <v>0</v>
      </c>
      <c r="Q725" s="765"/>
      <c r="R725" s="576">
        <f t="shared" si="215"/>
        <v>0</v>
      </c>
      <c r="S725" s="576">
        <f t="shared" si="225"/>
        <v>0</v>
      </c>
      <c r="T725" s="577">
        <f t="shared" si="216"/>
        <v>0</v>
      </c>
      <c r="U725" s="578">
        <f t="shared" si="217"/>
        <v>0</v>
      </c>
      <c r="V725" s="579"/>
      <c r="W725" s="566"/>
      <c r="X725" s="586" t="str">
        <f t="shared" si="191"/>
        <v/>
      </c>
      <c r="Y725" s="586" t="str">
        <f t="shared" si="189"/>
        <v/>
      </c>
      <c r="Z725" s="586" t="str">
        <f t="shared" si="208"/>
        <v/>
      </c>
    </row>
    <row r="726" spans="1:26" hidden="1" x14ac:dyDescent="0.2">
      <c r="A726" s="567">
        <v>534906</v>
      </c>
      <c r="B726" s="644" t="s">
        <v>1559</v>
      </c>
      <c r="C726" s="645" t="s">
        <v>206</v>
      </c>
      <c r="D726" s="422" t="s">
        <v>247</v>
      </c>
      <c r="E726" s="423"/>
      <c r="F726" s="424">
        <v>20</v>
      </c>
      <c r="G726" s="425">
        <f>2*0.1</f>
        <v>0.2</v>
      </c>
      <c r="H726" s="663">
        <f t="shared" si="229"/>
        <v>4.8160000000000007</v>
      </c>
      <c r="I726" s="420">
        <v>94.614793103448264</v>
      </c>
      <c r="J726" s="420">
        <f t="shared" si="227"/>
        <v>99.430793103448266</v>
      </c>
      <c r="K726" s="421">
        <f t="shared" si="224"/>
        <v>118.13</v>
      </c>
      <c r="L726" s="647" t="s">
        <v>18</v>
      </c>
      <c r="M726" s="576"/>
      <c r="N726" s="576">
        <f t="shared" si="230"/>
        <v>0</v>
      </c>
      <c r="O726" s="577">
        <f t="shared" si="219"/>
        <v>0</v>
      </c>
      <c r="P726" s="578">
        <f t="shared" si="220"/>
        <v>0</v>
      </c>
      <c r="Q726" s="765"/>
      <c r="R726" s="576">
        <f t="shared" si="215"/>
        <v>0</v>
      </c>
      <c r="S726" s="576">
        <f t="shared" si="225"/>
        <v>0</v>
      </c>
      <c r="T726" s="577">
        <f t="shared" si="216"/>
        <v>0</v>
      </c>
      <c r="U726" s="578">
        <f t="shared" si="217"/>
        <v>0</v>
      </c>
      <c r="V726" s="579"/>
      <c r="W726" s="566"/>
      <c r="X726" s="586" t="str">
        <f t="shared" si="191"/>
        <v/>
      </c>
      <c r="Y726" s="586" t="str">
        <f t="shared" si="189"/>
        <v/>
      </c>
      <c r="Z726" s="586" t="str">
        <f t="shared" si="208"/>
        <v/>
      </c>
    </row>
    <row r="727" spans="1:26" hidden="1" x14ac:dyDescent="0.2">
      <c r="A727" s="567">
        <v>534906</v>
      </c>
      <c r="B727" s="644" t="s">
        <v>1560</v>
      </c>
      <c r="C727" s="645" t="s">
        <v>206</v>
      </c>
      <c r="D727" s="422" t="s">
        <v>805</v>
      </c>
      <c r="E727" s="423"/>
      <c r="F727" s="424">
        <v>20</v>
      </c>
      <c r="G727" s="425">
        <v>0.14000000000000001</v>
      </c>
      <c r="H727" s="663">
        <f t="shared" si="229"/>
        <v>3.3712000000000004</v>
      </c>
      <c r="I727" s="420">
        <v>72.759999999999991</v>
      </c>
      <c r="J727" s="420">
        <f t="shared" si="227"/>
        <v>76.131199999999993</v>
      </c>
      <c r="K727" s="421">
        <f t="shared" si="224"/>
        <v>90.45</v>
      </c>
      <c r="L727" s="647" t="s">
        <v>18</v>
      </c>
      <c r="M727" s="576"/>
      <c r="N727" s="576">
        <f t="shared" si="230"/>
        <v>0</v>
      </c>
      <c r="O727" s="577">
        <f t="shared" si="219"/>
        <v>0</v>
      </c>
      <c r="P727" s="578">
        <f t="shared" si="220"/>
        <v>0</v>
      </c>
      <c r="Q727" s="765"/>
      <c r="R727" s="576">
        <f t="shared" si="215"/>
        <v>0</v>
      </c>
      <c r="S727" s="576">
        <f t="shared" si="225"/>
        <v>0</v>
      </c>
      <c r="T727" s="577">
        <f t="shared" si="216"/>
        <v>0</v>
      </c>
      <c r="U727" s="578">
        <f t="shared" si="217"/>
        <v>0</v>
      </c>
      <c r="V727" s="579"/>
      <c r="W727" s="566"/>
      <c r="X727" s="586" t="str">
        <f t="shared" si="191"/>
        <v/>
      </c>
      <c r="Y727" s="586" t="str">
        <f t="shared" si="189"/>
        <v/>
      </c>
      <c r="Z727" s="586" t="str">
        <f t="shared" si="208"/>
        <v/>
      </c>
    </row>
    <row r="728" spans="1:26" hidden="1" x14ac:dyDescent="0.2">
      <c r="A728" s="567">
        <v>534906</v>
      </c>
      <c r="B728" s="644" t="s">
        <v>1561</v>
      </c>
      <c r="C728" s="645" t="s">
        <v>206</v>
      </c>
      <c r="D728" s="422" t="s">
        <v>806</v>
      </c>
      <c r="E728" s="423"/>
      <c r="F728" s="424">
        <v>20</v>
      </c>
      <c r="G728" s="425">
        <v>0.14000000000000001</v>
      </c>
      <c r="H728" s="663">
        <f t="shared" si="229"/>
        <v>3.3712000000000004</v>
      </c>
      <c r="I728" s="420">
        <v>80.040000000000006</v>
      </c>
      <c r="J728" s="420">
        <f t="shared" si="227"/>
        <v>83.411200000000008</v>
      </c>
      <c r="K728" s="421">
        <f t="shared" si="224"/>
        <v>99.1</v>
      </c>
      <c r="L728" s="647" t="s">
        <v>18</v>
      </c>
      <c r="M728" s="576"/>
      <c r="N728" s="576">
        <f t="shared" si="230"/>
        <v>0</v>
      </c>
      <c r="O728" s="577">
        <f t="shared" si="219"/>
        <v>0</v>
      </c>
      <c r="P728" s="578">
        <f t="shared" si="220"/>
        <v>0</v>
      </c>
      <c r="Q728" s="765"/>
      <c r="R728" s="576">
        <f t="shared" si="215"/>
        <v>0</v>
      </c>
      <c r="S728" s="576">
        <f t="shared" si="225"/>
        <v>0</v>
      </c>
      <c r="T728" s="577">
        <f t="shared" si="216"/>
        <v>0</v>
      </c>
      <c r="U728" s="578">
        <f t="shared" si="217"/>
        <v>0</v>
      </c>
      <c r="V728" s="579"/>
      <c r="W728" s="566"/>
      <c r="X728" s="586" t="str">
        <f t="shared" si="191"/>
        <v/>
      </c>
      <c r="Y728" s="586" t="str">
        <f t="shared" si="189"/>
        <v/>
      </c>
      <c r="Z728" s="586" t="str">
        <f t="shared" si="208"/>
        <v/>
      </c>
    </row>
    <row r="729" spans="1:26" hidden="1" x14ac:dyDescent="0.2">
      <c r="A729" s="567">
        <v>534908</v>
      </c>
      <c r="B729" s="644" t="s">
        <v>233</v>
      </c>
      <c r="C729" s="645" t="s">
        <v>206</v>
      </c>
      <c r="D729" s="422" t="s">
        <v>807</v>
      </c>
      <c r="E729" s="423"/>
      <c r="F729" s="424">
        <v>20</v>
      </c>
      <c r="G729" s="425">
        <v>0.18</v>
      </c>
      <c r="H729" s="663">
        <f t="shared" si="229"/>
        <v>4.3344000000000005</v>
      </c>
      <c r="I729" s="420">
        <v>83.56</v>
      </c>
      <c r="J729" s="420">
        <f t="shared" si="227"/>
        <v>87.894400000000005</v>
      </c>
      <c r="K729" s="421">
        <f t="shared" si="224"/>
        <v>104.43</v>
      </c>
      <c r="L729" s="647" t="s">
        <v>18</v>
      </c>
      <c r="M729" s="576"/>
      <c r="N729" s="576">
        <f t="shared" si="230"/>
        <v>0</v>
      </c>
      <c r="O729" s="577">
        <f t="shared" si="219"/>
        <v>0</v>
      </c>
      <c r="P729" s="578">
        <f t="shared" si="220"/>
        <v>0</v>
      </c>
      <c r="Q729" s="765"/>
      <c r="R729" s="576">
        <f t="shared" si="215"/>
        <v>0</v>
      </c>
      <c r="S729" s="576">
        <f t="shared" si="225"/>
        <v>0</v>
      </c>
      <c r="T729" s="577">
        <f t="shared" si="216"/>
        <v>0</v>
      </c>
      <c r="U729" s="578">
        <f t="shared" si="217"/>
        <v>0</v>
      </c>
      <c r="V729" s="579"/>
      <c r="W729" s="566"/>
      <c r="X729" s="586" t="str">
        <f t="shared" si="191"/>
        <v/>
      </c>
      <c r="Y729" s="586" t="str">
        <f t="shared" si="189"/>
        <v/>
      </c>
      <c r="Z729" s="586" t="str">
        <f t="shared" si="208"/>
        <v/>
      </c>
    </row>
    <row r="730" spans="1:26" hidden="1" x14ac:dyDescent="0.2">
      <c r="A730" s="567">
        <v>534908</v>
      </c>
      <c r="B730" s="644" t="s">
        <v>234</v>
      </c>
      <c r="C730" s="645" t="s">
        <v>206</v>
      </c>
      <c r="D730" s="422" t="s">
        <v>808</v>
      </c>
      <c r="E730" s="423"/>
      <c r="F730" s="424">
        <v>20</v>
      </c>
      <c r="G730" s="425">
        <v>0.18</v>
      </c>
      <c r="H730" s="663">
        <f t="shared" si="229"/>
        <v>4.3344000000000005</v>
      </c>
      <c r="I730" s="420">
        <v>91.92</v>
      </c>
      <c r="J730" s="420">
        <f t="shared" si="227"/>
        <v>96.254400000000004</v>
      </c>
      <c r="K730" s="421">
        <f t="shared" si="224"/>
        <v>114.36</v>
      </c>
      <c r="L730" s="647" t="s">
        <v>18</v>
      </c>
      <c r="M730" s="576"/>
      <c r="N730" s="576">
        <f t="shared" si="230"/>
        <v>0</v>
      </c>
      <c r="O730" s="577">
        <f t="shared" si="219"/>
        <v>0</v>
      </c>
      <c r="P730" s="578">
        <f t="shared" si="220"/>
        <v>0</v>
      </c>
      <c r="Q730" s="765"/>
      <c r="R730" s="576">
        <f t="shared" si="215"/>
        <v>0</v>
      </c>
      <c r="S730" s="576">
        <f t="shared" si="225"/>
        <v>0</v>
      </c>
      <c r="T730" s="577">
        <f t="shared" si="216"/>
        <v>0</v>
      </c>
      <c r="U730" s="578">
        <f t="shared" si="217"/>
        <v>0</v>
      </c>
      <c r="V730" s="579"/>
      <c r="W730" s="566"/>
      <c r="X730" s="586" t="str">
        <f t="shared" si="191"/>
        <v/>
      </c>
      <c r="Y730" s="586" t="str">
        <f t="shared" si="189"/>
        <v/>
      </c>
      <c r="Z730" s="586" t="str">
        <f t="shared" si="208"/>
        <v/>
      </c>
    </row>
    <row r="731" spans="1:26" hidden="1" x14ac:dyDescent="0.2">
      <c r="A731" s="567">
        <v>534908</v>
      </c>
      <c r="B731" s="644" t="s">
        <v>1562</v>
      </c>
      <c r="C731" s="645" t="s">
        <v>206</v>
      </c>
      <c r="D731" s="422" t="s">
        <v>809</v>
      </c>
      <c r="E731" s="423"/>
      <c r="F731" s="424">
        <v>20</v>
      </c>
      <c r="G731" s="425">
        <v>0.22</v>
      </c>
      <c r="H731" s="663">
        <f t="shared" si="229"/>
        <v>5.2976000000000001</v>
      </c>
      <c r="I731" s="420">
        <v>94.614793103448264</v>
      </c>
      <c r="J731" s="420">
        <f t="shared" si="227"/>
        <v>99.912393103448267</v>
      </c>
      <c r="K731" s="421">
        <f t="shared" si="224"/>
        <v>118.71</v>
      </c>
      <c r="L731" s="647" t="s">
        <v>18</v>
      </c>
      <c r="M731" s="576"/>
      <c r="N731" s="576">
        <f t="shared" si="230"/>
        <v>0</v>
      </c>
      <c r="O731" s="577">
        <f t="shared" si="219"/>
        <v>0</v>
      </c>
      <c r="P731" s="578">
        <f t="shared" si="220"/>
        <v>0</v>
      </c>
      <c r="Q731" s="765"/>
      <c r="R731" s="576">
        <f t="shared" si="215"/>
        <v>0</v>
      </c>
      <c r="S731" s="576">
        <f t="shared" si="225"/>
        <v>0</v>
      </c>
      <c r="T731" s="577">
        <f t="shared" si="216"/>
        <v>0</v>
      </c>
      <c r="U731" s="578">
        <f t="shared" si="217"/>
        <v>0</v>
      </c>
      <c r="V731" s="579"/>
      <c r="W731" s="566"/>
      <c r="X731" s="586" t="str">
        <f t="shared" si="191"/>
        <v/>
      </c>
      <c r="Y731" s="586" t="str">
        <f t="shared" si="189"/>
        <v/>
      </c>
      <c r="Z731" s="586" t="str">
        <f t="shared" si="208"/>
        <v/>
      </c>
    </row>
    <row r="732" spans="1:26" hidden="1" x14ac:dyDescent="0.2">
      <c r="A732" s="567">
        <v>534908</v>
      </c>
      <c r="B732" s="644" t="s">
        <v>1563</v>
      </c>
      <c r="C732" s="645" t="s">
        <v>206</v>
      </c>
      <c r="D732" s="422" t="s">
        <v>810</v>
      </c>
      <c r="E732" s="423"/>
      <c r="F732" s="424">
        <v>20</v>
      </c>
      <c r="G732" s="425">
        <v>0.22</v>
      </c>
      <c r="H732" s="663">
        <f t="shared" si="229"/>
        <v>5.2976000000000001</v>
      </c>
      <c r="I732" s="420">
        <v>104.08</v>
      </c>
      <c r="J732" s="420">
        <f t="shared" si="227"/>
        <v>109.3776</v>
      </c>
      <c r="K732" s="421">
        <f t="shared" si="224"/>
        <v>129.94999999999999</v>
      </c>
      <c r="L732" s="647" t="s">
        <v>18</v>
      </c>
      <c r="M732" s="576"/>
      <c r="N732" s="576">
        <f t="shared" si="230"/>
        <v>0</v>
      </c>
      <c r="O732" s="577">
        <f t="shared" si="219"/>
        <v>0</v>
      </c>
      <c r="P732" s="578">
        <f t="shared" si="220"/>
        <v>0</v>
      </c>
      <c r="Q732" s="765"/>
      <c r="R732" s="576">
        <f t="shared" si="215"/>
        <v>0</v>
      </c>
      <c r="S732" s="576">
        <f t="shared" si="225"/>
        <v>0</v>
      </c>
      <c r="T732" s="577">
        <f t="shared" si="216"/>
        <v>0</v>
      </c>
      <c r="U732" s="578">
        <f t="shared" si="217"/>
        <v>0</v>
      </c>
      <c r="V732" s="579"/>
      <c r="W732" s="566"/>
      <c r="X732" s="586" t="str">
        <f t="shared" si="191"/>
        <v/>
      </c>
      <c r="Y732" s="586" t="str">
        <f t="shared" si="189"/>
        <v/>
      </c>
      <c r="Z732" s="586" t="str">
        <f t="shared" si="208"/>
        <v/>
      </c>
    </row>
    <row r="733" spans="1:26" hidden="1" x14ac:dyDescent="0.2">
      <c r="A733" s="671">
        <v>101090</v>
      </c>
      <c r="B733" s="644" t="s">
        <v>1564</v>
      </c>
      <c r="C733" s="645" t="s">
        <v>670</v>
      </c>
      <c r="D733" s="422" t="s">
        <v>811</v>
      </c>
      <c r="E733" s="423"/>
      <c r="F733" s="424">
        <v>20</v>
      </c>
      <c r="G733" s="425">
        <v>0.3</v>
      </c>
      <c r="H733" s="663">
        <f t="shared" si="229"/>
        <v>7.2240000000000002</v>
      </c>
      <c r="I733" s="420">
        <v>177.63</v>
      </c>
      <c r="J733" s="420">
        <f>IF(ISBLANK(I733),"",SUM(H733:I733))</f>
        <v>184.85399999999998</v>
      </c>
      <c r="K733" s="421">
        <f t="shared" si="224"/>
        <v>219.63</v>
      </c>
      <c r="L733" s="647" t="s">
        <v>18</v>
      </c>
      <c r="M733" s="650"/>
      <c r="N733" s="576">
        <f t="shared" si="230"/>
        <v>0</v>
      </c>
      <c r="O733" s="577">
        <f t="shared" si="219"/>
        <v>0</v>
      </c>
      <c r="P733" s="578">
        <f t="shared" si="220"/>
        <v>0</v>
      </c>
      <c r="Q733" s="765"/>
      <c r="R733" s="650">
        <f t="shared" si="215"/>
        <v>0</v>
      </c>
      <c r="S733" s="587">
        <f t="shared" si="225"/>
        <v>0</v>
      </c>
      <c r="T733" s="577">
        <f t="shared" si="216"/>
        <v>0</v>
      </c>
      <c r="U733" s="578">
        <f t="shared" si="217"/>
        <v>0</v>
      </c>
      <c r="V733" s="579"/>
      <c r="W733" s="566"/>
      <c r="X733" s="586" t="str">
        <f t="shared" si="191"/>
        <v/>
      </c>
      <c r="Y733" s="586" t="str">
        <f t="shared" si="189"/>
        <v/>
      </c>
      <c r="Z733" s="586" t="str">
        <f t="shared" si="208"/>
        <v/>
      </c>
    </row>
    <row r="734" spans="1:26" hidden="1" x14ac:dyDescent="0.2">
      <c r="A734" s="671">
        <v>98509</v>
      </c>
      <c r="B734" s="644">
        <v>98509</v>
      </c>
      <c r="C734" s="645" t="s">
        <v>670</v>
      </c>
      <c r="D734" s="422" t="s">
        <v>822</v>
      </c>
      <c r="E734" s="423"/>
      <c r="F734" s="424"/>
      <c r="G734" s="425"/>
      <c r="H734" s="651">
        <v>0</v>
      </c>
      <c r="I734" s="420">
        <v>28.98</v>
      </c>
      <c r="J734" s="420">
        <f t="shared" ref="J734:J746" si="231">IF(ISBLANK(I734),"",SUM(H734:I734))</f>
        <v>28.98</v>
      </c>
      <c r="K734" s="421">
        <f t="shared" si="224"/>
        <v>34.43</v>
      </c>
      <c r="L734" s="647" t="s">
        <v>21</v>
      </c>
      <c r="M734" s="576"/>
      <c r="N734" s="576">
        <f t="shared" si="230"/>
        <v>0</v>
      </c>
      <c r="O734" s="577">
        <f t="shared" si="219"/>
        <v>0</v>
      </c>
      <c r="P734" s="578">
        <f t="shared" si="220"/>
        <v>0</v>
      </c>
      <c r="Q734" s="765"/>
      <c r="R734" s="576">
        <f t="shared" si="215"/>
        <v>0</v>
      </c>
      <c r="S734" s="576">
        <f t="shared" si="225"/>
        <v>0</v>
      </c>
      <c r="T734" s="577">
        <f t="shared" si="216"/>
        <v>0</v>
      </c>
      <c r="U734" s="578">
        <f t="shared" si="217"/>
        <v>0</v>
      </c>
      <c r="V734" s="579"/>
      <c r="W734" s="566"/>
      <c r="X734" s="586" t="str">
        <f t="shared" si="191"/>
        <v/>
      </c>
      <c r="Y734" s="586" t="str">
        <f t="shared" si="189"/>
        <v/>
      </c>
      <c r="Z734" s="586" t="str">
        <f t="shared" si="208"/>
        <v/>
      </c>
    </row>
    <row r="735" spans="1:26" hidden="1" x14ac:dyDescent="0.2">
      <c r="A735" s="671">
        <v>98510</v>
      </c>
      <c r="B735" s="644">
        <v>98510</v>
      </c>
      <c r="C735" s="645" t="s">
        <v>670</v>
      </c>
      <c r="D735" s="422" t="s">
        <v>823</v>
      </c>
      <c r="E735" s="423"/>
      <c r="F735" s="424"/>
      <c r="G735" s="425"/>
      <c r="H735" s="651">
        <v>0</v>
      </c>
      <c r="I735" s="420">
        <v>51.29</v>
      </c>
      <c r="J735" s="420">
        <f>IF(ISBLANK(I735),"",SUM(H735:I735))</f>
        <v>51.29</v>
      </c>
      <c r="K735" s="421">
        <f>IF(ISBLANK(I735),0,ROUND(J735*(1+$F$10)*(1+$F$11*E735),2))</f>
        <v>60.94</v>
      </c>
      <c r="L735" s="647" t="s">
        <v>21</v>
      </c>
      <c r="M735" s="576"/>
      <c r="N735" s="576">
        <f t="shared" si="230"/>
        <v>0</v>
      </c>
      <c r="O735" s="577">
        <f t="shared" si="219"/>
        <v>0</v>
      </c>
      <c r="P735" s="578">
        <f t="shared" si="220"/>
        <v>0</v>
      </c>
      <c r="Q735" s="765"/>
      <c r="R735" s="576">
        <f t="shared" si="215"/>
        <v>0</v>
      </c>
      <c r="S735" s="576">
        <f t="shared" si="225"/>
        <v>0</v>
      </c>
      <c r="T735" s="577">
        <f t="shared" si="216"/>
        <v>0</v>
      </c>
      <c r="U735" s="578">
        <f t="shared" si="217"/>
        <v>0</v>
      </c>
      <c r="V735" s="579"/>
      <c r="W735" s="566"/>
      <c r="X735" s="586" t="str">
        <f>IF(W735="X","x",IF(W735="xx","x",IF(W735="xy","x",IF(W735="y","x",IF(OR(P735&gt;0,U735&gt;0),"x","")))))</f>
        <v/>
      </c>
      <c r="Y735" s="586" t="str">
        <f>IF(W735="X","x",IF(W735="y","x",IF(W735="xx","x",IF(U735&gt;0,"x",""))))</f>
        <v/>
      </c>
      <c r="Z735" s="586" t="str">
        <f>IF(W735="X","x",IF(U735&gt;0,"x",""))</f>
        <v/>
      </c>
    </row>
    <row r="736" spans="1:26" hidden="1" x14ac:dyDescent="0.2">
      <c r="A736" s="567">
        <v>98511</v>
      </c>
      <c r="B736" s="644">
        <v>98511</v>
      </c>
      <c r="C736" s="645" t="s">
        <v>670</v>
      </c>
      <c r="D736" s="422" t="s">
        <v>824</v>
      </c>
      <c r="E736" s="423"/>
      <c r="F736" s="424"/>
      <c r="G736" s="425"/>
      <c r="H736" s="651">
        <v>0</v>
      </c>
      <c r="I736" s="420">
        <v>92.87</v>
      </c>
      <c r="J736" s="420">
        <f>IF(ISBLANK(I736),"",SUM(H736:I736))</f>
        <v>92.87</v>
      </c>
      <c r="K736" s="421">
        <f t="shared" si="224"/>
        <v>110.34</v>
      </c>
      <c r="L736" s="647" t="s">
        <v>21</v>
      </c>
      <c r="M736" s="576"/>
      <c r="N736" s="576">
        <f t="shared" si="230"/>
        <v>0</v>
      </c>
      <c r="O736" s="577">
        <f t="shared" si="219"/>
        <v>0</v>
      </c>
      <c r="P736" s="578">
        <f t="shared" si="220"/>
        <v>0</v>
      </c>
      <c r="Q736" s="765"/>
      <c r="R736" s="576">
        <f t="shared" si="215"/>
        <v>0</v>
      </c>
      <c r="S736" s="576">
        <f t="shared" si="225"/>
        <v>0</v>
      </c>
      <c r="T736" s="577">
        <f t="shared" si="216"/>
        <v>0</v>
      </c>
      <c r="U736" s="578">
        <f t="shared" si="217"/>
        <v>0</v>
      </c>
      <c r="V736" s="579"/>
      <c r="W736" s="566"/>
      <c r="X736" s="586" t="str">
        <f t="shared" si="191"/>
        <v/>
      </c>
      <c r="Y736" s="586" t="str">
        <f t="shared" si="189"/>
        <v/>
      </c>
      <c r="Z736" s="586" t="str">
        <f t="shared" si="208"/>
        <v/>
      </c>
    </row>
    <row r="737" spans="1:26" hidden="1" x14ac:dyDescent="0.2">
      <c r="A737" s="567">
        <v>98516</v>
      </c>
      <c r="B737" s="644">
        <v>98516</v>
      </c>
      <c r="C737" s="645" t="s">
        <v>670</v>
      </c>
      <c r="D737" s="422" t="s">
        <v>825</v>
      </c>
      <c r="E737" s="423"/>
      <c r="F737" s="424"/>
      <c r="G737" s="425"/>
      <c r="H737" s="651">
        <v>0</v>
      </c>
      <c r="I737" s="420">
        <v>315.36</v>
      </c>
      <c r="J737" s="420">
        <f>IF(ISBLANK(I737),"",SUM(H737:I737))</f>
        <v>315.36</v>
      </c>
      <c r="K737" s="421">
        <f t="shared" si="224"/>
        <v>374.68</v>
      </c>
      <c r="L737" s="647" t="s">
        <v>21</v>
      </c>
      <c r="M737" s="576"/>
      <c r="N737" s="576">
        <f t="shared" si="230"/>
        <v>0</v>
      </c>
      <c r="O737" s="577">
        <f t="shared" si="219"/>
        <v>0</v>
      </c>
      <c r="P737" s="578">
        <f t="shared" si="220"/>
        <v>0</v>
      </c>
      <c r="Q737" s="765"/>
      <c r="R737" s="576">
        <f t="shared" si="215"/>
        <v>0</v>
      </c>
      <c r="S737" s="576">
        <f t="shared" si="225"/>
        <v>0</v>
      </c>
      <c r="T737" s="577">
        <f t="shared" si="216"/>
        <v>0</v>
      </c>
      <c r="U737" s="578">
        <f t="shared" si="217"/>
        <v>0</v>
      </c>
      <c r="V737" s="579"/>
      <c r="W737" s="566"/>
      <c r="X737" s="586" t="str">
        <f t="shared" si="191"/>
        <v/>
      </c>
      <c r="Y737" s="586" t="str">
        <f t="shared" si="189"/>
        <v/>
      </c>
      <c r="Z737" s="586" t="str">
        <f t="shared" si="208"/>
        <v/>
      </c>
    </row>
    <row r="738" spans="1:26" hidden="1" x14ac:dyDescent="0.2">
      <c r="A738" s="567">
        <v>98504</v>
      </c>
      <c r="B738" s="644">
        <v>98504</v>
      </c>
      <c r="C738" s="645" t="s">
        <v>670</v>
      </c>
      <c r="D738" s="422" t="s">
        <v>494</v>
      </c>
      <c r="E738" s="423"/>
      <c r="F738" s="424"/>
      <c r="G738" s="425"/>
      <c r="H738" s="651">
        <v>0</v>
      </c>
      <c r="I738" s="420">
        <v>10.55</v>
      </c>
      <c r="J738" s="420">
        <f t="shared" si="231"/>
        <v>10.55</v>
      </c>
      <c r="K738" s="421">
        <f t="shared" si="224"/>
        <v>12.53</v>
      </c>
      <c r="L738" s="647" t="s">
        <v>18</v>
      </c>
      <c r="M738" s="576"/>
      <c r="N738" s="576">
        <f t="shared" si="230"/>
        <v>0</v>
      </c>
      <c r="O738" s="577">
        <f t="shared" si="219"/>
        <v>0</v>
      </c>
      <c r="P738" s="578">
        <f t="shared" si="220"/>
        <v>0</v>
      </c>
      <c r="Q738" s="765"/>
      <c r="R738" s="576">
        <f t="shared" si="215"/>
        <v>0</v>
      </c>
      <c r="S738" s="576">
        <f t="shared" si="225"/>
        <v>0</v>
      </c>
      <c r="T738" s="577">
        <f t="shared" si="216"/>
        <v>0</v>
      </c>
      <c r="U738" s="578">
        <f t="shared" si="217"/>
        <v>0</v>
      </c>
      <c r="V738" s="579"/>
      <c r="W738" s="566"/>
      <c r="X738" s="586" t="str">
        <f t="shared" si="191"/>
        <v/>
      </c>
      <c r="Y738" s="586" t="str">
        <f t="shared" si="189"/>
        <v/>
      </c>
      <c r="Z738" s="586" t="str">
        <f t="shared" si="208"/>
        <v/>
      </c>
    </row>
    <row r="739" spans="1:26" hidden="1" x14ac:dyDescent="0.2">
      <c r="A739" s="671">
        <v>98505</v>
      </c>
      <c r="B739" s="644">
        <v>98505</v>
      </c>
      <c r="C739" s="645" t="s">
        <v>670</v>
      </c>
      <c r="D739" s="422" t="s">
        <v>826</v>
      </c>
      <c r="E739" s="423"/>
      <c r="F739" s="424"/>
      <c r="G739" s="425"/>
      <c r="H739" s="651">
        <v>0</v>
      </c>
      <c r="I739" s="420">
        <v>42.56</v>
      </c>
      <c r="J739" s="420">
        <f t="shared" si="231"/>
        <v>42.56</v>
      </c>
      <c r="K739" s="421">
        <f t="shared" si="224"/>
        <v>50.57</v>
      </c>
      <c r="L739" s="647" t="s">
        <v>18</v>
      </c>
      <c r="M739" s="576"/>
      <c r="N739" s="576">
        <f t="shared" si="230"/>
        <v>0</v>
      </c>
      <c r="O739" s="577">
        <f t="shared" si="219"/>
        <v>0</v>
      </c>
      <c r="P739" s="578">
        <f t="shared" si="220"/>
        <v>0</v>
      </c>
      <c r="Q739" s="765"/>
      <c r="R739" s="576">
        <f t="shared" si="215"/>
        <v>0</v>
      </c>
      <c r="S739" s="576">
        <f t="shared" si="225"/>
        <v>0</v>
      </c>
      <c r="T739" s="577">
        <f t="shared" si="216"/>
        <v>0</v>
      </c>
      <c r="U739" s="578">
        <f t="shared" si="217"/>
        <v>0</v>
      </c>
      <c r="V739" s="579"/>
      <c r="W739" s="566"/>
      <c r="X739" s="586" t="str">
        <f t="shared" si="191"/>
        <v/>
      </c>
      <c r="Y739" s="586" t="str">
        <f t="shared" si="189"/>
        <v/>
      </c>
      <c r="Z739" s="586" t="str">
        <f t="shared" si="208"/>
        <v/>
      </c>
    </row>
    <row r="740" spans="1:26" hidden="1" x14ac:dyDescent="0.2">
      <c r="A740" s="567">
        <v>800000</v>
      </c>
      <c r="B740" s="644">
        <v>800000</v>
      </c>
      <c r="C740" s="645" t="s">
        <v>206</v>
      </c>
      <c r="D740" s="422" t="s">
        <v>495</v>
      </c>
      <c r="E740" s="423"/>
      <c r="F740" s="424"/>
      <c r="G740" s="425"/>
      <c r="H740" s="651">
        <v>0</v>
      </c>
      <c r="I740" s="420">
        <v>12.27</v>
      </c>
      <c r="J740" s="420">
        <f>IF(ISBLANK(I740),"",SUM(H740:I740))</f>
        <v>12.27</v>
      </c>
      <c r="K740" s="421">
        <f t="shared" si="224"/>
        <v>14.58</v>
      </c>
      <c r="L740" s="647" t="s">
        <v>18</v>
      </c>
      <c r="M740" s="576"/>
      <c r="N740" s="576">
        <f t="shared" si="230"/>
        <v>0</v>
      </c>
      <c r="O740" s="577">
        <f t="shared" si="219"/>
        <v>0</v>
      </c>
      <c r="P740" s="578">
        <f t="shared" si="220"/>
        <v>0</v>
      </c>
      <c r="Q740" s="765"/>
      <c r="R740" s="576">
        <f t="shared" si="215"/>
        <v>0</v>
      </c>
      <c r="S740" s="576">
        <f t="shared" si="225"/>
        <v>0</v>
      </c>
      <c r="T740" s="577">
        <f t="shared" si="216"/>
        <v>0</v>
      </c>
      <c r="U740" s="578">
        <f t="shared" si="217"/>
        <v>0</v>
      </c>
      <c r="V740" s="579"/>
      <c r="W740" s="566"/>
      <c r="X740" s="586" t="str">
        <f t="shared" si="191"/>
        <v/>
      </c>
      <c r="Y740" s="586" t="str">
        <f t="shared" si="189"/>
        <v/>
      </c>
      <c r="Z740" s="586" t="str">
        <f t="shared" si="208"/>
        <v/>
      </c>
    </row>
    <row r="741" spans="1:26" hidden="1" x14ac:dyDescent="0.2">
      <c r="A741" s="567" t="s">
        <v>312</v>
      </c>
      <c r="B741" s="644" t="s">
        <v>312</v>
      </c>
      <c r="C741" s="645" t="s">
        <v>206</v>
      </c>
      <c r="D741" s="422" t="s">
        <v>295</v>
      </c>
      <c r="E741" s="423"/>
      <c r="F741" s="424"/>
      <c r="G741" s="425"/>
      <c r="H741" s="651"/>
      <c r="I741" s="420">
        <v>0</v>
      </c>
      <c r="J741" s="420">
        <f t="shared" si="231"/>
        <v>0</v>
      </c>
      <c r="K741" s="421">
        <f t="shared" si="224"/>
        <v>0</v>
      </c>
      <c r="L741" s="647" t="s">
        <v>16</v>
      </c>
      <c r="M741" s="576"/>
      <c r="N741" s="576">
        <f t="shared" si="230"/>
        <v>0</v>
      </c>
      <c r="O741" s="577">
        <f t="shared" si="219"/>
        <v>0</v>
      </c>
      <c r="P741" s="578">
        <f t="shared" si="220"/>
        <v>0</v>
      </c>
      <c r="Q741" s="765"/>
      <c r="R741" s="576">
        <f t="shared" si="215"/>
        <v>0</v>
      </c>
      <c r="S741" s="576">
        <f t="shared" si="225"/>
        <v>0</v>
      </c>
      <c r="T741" s="577">
        <f t="shared" si="216"/>
        <v>0</v>
      </c>
      <c r="U741" s="578">
        <f t="shared" si="217"/>
        <v>0</v>
      </c>
      <c r="V741" s="579"/>
      <c r="W741" s="566"/>
      <c r="X741" s="586" t="str">
        <f t="shared" si="191"/>
        <v/>
      </c>
      <c r="Y741" s="586" t="str">
        <f t="shared" si="189"/>
        <v/>
      </c>
      <c r="Z741" s="586" t="str">
        <f t="shared" si="208"/>
        <v/>
      </c>
    </row>
    <row r="742" spans="1:26" x14ac:dyDescent="0.2">
      <c r="A742" s="567">
        <v>605000</v>
      </c>
      <c r="B742" s="644" t="s">
        <v>1628</v>
      </c>
      <c r="C742" s="645" t="s">
        <v>206</v>
      </c>
      <c r="D742" s="422" t="s">
        <v>296</v>
      </c>
      <c r="E742" s="423"/>
      <c r="F742" s="424"/>
      <c r="G742" s="425"/>
      <c r="H742" s="651"/>
      <c r="I742" s="420">
        <v>463.04557915407855</v>
      </c>
      <c r="J742" s="420">
        <f t="shared" si="231"/>
        <v>463.04557915407855</v>
      </c>
      <c r="K742" s="421">
        <f t="shared" si="224"/>
        <v>550.14</v>
      </c>
      <c r="L742" s="647" t="s">
        <v>21</v>
      </c>
      <c r="M742" s="576">
        <v>4</v>
      </c>
      <c r="N742" s="576">
        <f t="shared" si="230"/>
        <v>550.14</v>
      </c>
      <c r="O742" s="577">
        <f t="shared" si="219"/>
        <v>2200.56</v>
      </c>
      <c r="P742" s="578">
        <f t="shared" si="220"/>
        <v>2200.56</v>
      </c>
      <c r="Q742" s="765"/>
      <c r="R742" s="576">
        <f t="shared" si="215"/>
        <v>4</v>
      </c>
      <c r="S742" s="576">
        <f t="shared" si="225"/>
        <v>550.14</v>
      </c>
      <c r="T742" s="577">
        <f t="shared" si="216"/>
        <v>2200.56</v>
      </c>
      <c r="U742" s="578">
        <f t="shared" si="217"/>
        <v>2200.56</v>
      </c>
      <c r="V742" s="579"/>
      <c r="W742" s="566"/>
      <c r="X742" s="586" t="str">
        <f t="shared" si="191"/>
        <v>x</v>
      </c>
      <c r="Y742" s="586" t="str">
        <f t="shared" si="189"/>
        <v>x</v>
      </c>
      <c r="Z742" s="586" t="str">
        <f t="shared" si="208"/>
        <v>x</v>
      </c>
    </row>
    <row r="743" spans="1:26" hidden="1" x14ac:dyDescent="0.2">
      <c r="A743" s="567">
        <v>605000</v>
      </c>
      <c r="B743" s="644" t="s">
        <v>1629</v>
      </c>
      <c r="C743" s="645" t="s">
        <v>206</v>
      </c>
      <c r="D743" s="422" t="s">
        <v>297</v>
      </c>
      <c r="E743" s="423"/>
      <c r="F743" s="424"/>
      <c r="G743" s="425"/>
      <c r="H743" s="651"/>
      <c r="I743" s="420">
        <v>463.04557915407855</v>
      </c>
      <c r="J743" s="420">
        <f t="shared" si="231"/>
        <v>463.04557915407855</v>
      </c>
      <c r="K743" s="421">
        <f t="shared" si="224"/>
        <v>550.14</v>
      </c>
      <c r="L743" s="647" t="s">
        <v>21</v>
      </c>
      <c r="M743" s="576"/>
      <c r="N743" s="576">
        <f t="shared" si="230"/>
        <v>0</v>
      </c>
      <c r="O743" s="577">
        <f t="shared" si="219"/>
        <v>0</v>
      </c>
      <c r="P743" s="578">
        <f t="shared" si="220"/>
        <v>0</v>
      </c>
      <c r="Q743" s="765"/>
      <c r="R743" s="576">
        <f t="shared" si="215"/>
        <v>0</v>
      </c>
      <c r="S743" s="576">
        <f t="shared" si="225"/>
        <v>0</v>
      </c>
      <c r="T743" s="577">
        <f t="shared" si="216"/>
        <v>0</v>
      </c>
      <c r="U743" s="578">
        <f t="shared" si="217"/>
        <v>0</v>
      </c>
      <c r="V743" s="579"/>
      <c r="W743" s="566"/>
      <c r="X743" s="586" t="str">
        <f t="shared" si="191"/>
        <v/>
      </c>
      <c r="Y743" s="586" t="str">
        <f t="shared" si="189"/>
        <v/>
      </c>
      <c r="Z743" s="586" t="str">
        <f t="shared" si="208"/>
        <v/>
      </c>
    </row>
    <row r="744" spans="1:26" hidden="1" x14ac:dyDescent="0.2">
      <c r="A744" s="567">
        <v>605000</v>
      </c>
      <c r="B744" s="644" t="s">
        <v>1630</v>
      </c>
      <c r="C744" s="645" t="s">
        <v>206</v>
      </c>
      <c r="D744" s="422" t="s">
        <v>298</v>
      </c>
      <c r="E744" s="423"/>
      <c r="F744" s="424"/>
      <c r="G744" s="425"/>
      <c r="H744" s="651"/>
      <c r="I744" s="420">
        <v>463.04557915407855</v>
      </c>
      <c r="J744" s="420">
        <f t="shared" si="231"/>
        <v>463.04557915407855</v>
      </c>
      <c r="K744" s="421">
        <f t="shared" si="224"/>
        <v>550.14</v>
      </c>
      <c r="L744" s="647" t="s">
        <v>21</v>
      </c>
      <c r="M744" s="576"/>
      <c r="N744" s="576">
        <f t="shared" si="230"/>
        <v>0</v>
      </c>
      <c r="O744" s="577">
        <f t="shared" si="219"/>
        <v>0</v>
      </c>
      <c r="P744" s="578">
        <f t="shared" si="220"/>
        <v>0</v>
      </c>
      <c r="Q744" s="765"/>
      <c r="R744" s="576">
        <f t="shared" si="215"/>
        <v>0</v>
      </c>
      <c r="S744" s="576">
        <f t="shared" si="225"/>
        <v>0</v>
      </c>
      <c r="T744" s="577">
        <f t="shared" si="216"/>
        <v>0</v>
      </c>
      <c r="U744" s="578">
        <f t="shared" si="217"/>
        <v>0</v>
      </c>
      <c r="V744" s="579"/>
      <c r="W744" s="566"/>
      <c r="X744" s="586" t="str">
        <f t="shared" si="191"/>
        <v/>
      </c>
      <c r="Y744" s="586" t="str">
        <f t="shared" si="189"/>
        <v/>
      </c>
      <c r="Z744" s="586" t="str">
        <f t="shared" si="208"/>
        <v/>
      </c>
    </row>
    <row r="745" spans="1:26" hidden="1" x14ac:dyDescent="0.2">
      <c r="A745" s="567">
        <v>605000</v>
      </c>
      <c r="B745" s="644" t="s">
        <v>1631</v>
      </c>
      <c r="C745" s="645" t="s">
        <v>206</v>
      </c>
      <c r="D745" s="422" t="s">
        <v>299</v>
      </c>
      <c r="E745" s="423"/>
      <c r="F745" s="424"/>
      <c r="G745" s="425"/>
      <c r="H745" s="651"/>
      <c r="I745" s="420">
        <v>629.22808401812688</v>
      </c>
      <c r="J745" s="420">
        <f t="shared" si="231"/>
        <v>629.22808401812688</v>
      </c>
      <c r="K745" s="421">
        <f t="shared" si="224"/>
        <v>747.59</v>
      </c>
      <c r="L745" s="647" t="s">
        <v>21</v>
      </c>
      <c r="M745" s="576"/>
      <c r="N745" s="576">
        <f t="shared" si="230"/>
        <v>0</v>
      </c>
      <c r="O745" s="577">
        <f t="shared" si="219"/>
        <v>0</v>
      </c>
      <c r="P745" s="578">
        <f t="shared" si="220"/>
        <v>0</v>
      </c>
      <c r="Q745" s="765"/>
      <c r="R745" s="576">
        <f t="shared" si="215"/>
        <v>0</v>
      </c>
      <c r="S745" s="576">
        <f t="shared" si="225"/>
        <v>0</v>
      </c>
      <c r="T745" s="577">
        <f t="shared" si="216"/>
        <v>0</v>
      </c>
      <c r="U745" s="578">
        <f t="shared" si="217"/>
        <v>0</v>
      </c>
      <c r="V745" s="579"/>
      <c r="W745" s="566"/>
      <c r="X745" s="586" t="str">
        <f t="shared" si="191"/>
        <v/>
      </c>
      <c r="Y745" s="586" t="str">
        <f t="shared" si="189"/>
        <v/>
      </c>
      <c r="Z745" s="586" t="str">
        <f t="shared" si="208"/>
        <v/>
      </c>
    </row>
    <row r="746" spans="1:26" hidden="1" x14ac:dyDescent="0.2">
      <c r="A746" s="567">
        <v>605000</v>
      </c>
      <c r="B746" s="644" t="s">
        <v>1632</v>
      </c>
      <c r="C746" s="645" t="s">
        <v>206</v>
      </c>
      <c r="D746" s="422" t="s">
        <v>300</v>
      </c>
      <c r="E746" s="423"/>
      <c r="F746" s="424"/>
      <c r="G746" s="425"/>
      <c r="H746" s="651"/>
      <c r="I746" s="420">
        <v>551.37877287009064</v>
      </c>
      <c r="J746" s="420">
        <f t="shared" si="231"/>
        <v>551.37877287009064</v>
      </c>
      <c r="K746" s="421">
        <f t="shared" si="224"/>
        <v>655.09</v>
      </c>
      <c r="L746" s="647" t="s">
        <v>21</v>
      </c>
      <c r="M746" s="576"/>
      <c r="N746" s="576">
        <f t="shared" si="230"/>
        <v>0</v>
      </c>
      <c r="O746" s="577">
        <f t="shared" si="219"/>
        <v>0</v>
      </c>
      <c r="P746" s="578">
        <f t="shared" si="220"/>
        <v>0</v>
      </c>
      <c r="Q746" s="765"/>
      <c r="R746" s="576">
        <f t="shared" si="215"/>
        <v>0</v>
      </c>
      <c r="S746" s="576">
        <f t="shared" si="225"/>
        <v>0</v>
      </c>
      <c r="T746" s="577">
        <f t="shared" si="216"/>
        <v>0</v>
      </c>
      <c r="U746" s="578">
        <f t="shared" si="217"/>
        <v>0</v>
      </c>
      <c r="V746" s="579"/>
      <c r="W746" s="566"/>
      <c r="X746" s="586" t="str">
        <f t="shared" si="191"/>
        <v/>
      </c>
      <c r="Y746" s="586" t="str">
        <f t="shared" si="189"/>
        <v/>
      </c>
      <c r="Z746" s="586" t="str">
        <f t="shared" si="208"/>
        <v/>
      </c>
    </row>
    <row r="747" spans="1:26" x14ac:dyDescent="0.2">
      <c r="A747" s="652" t="s">
        <v>187</v>
      </c>
      <c r="B747" s="653" t="s">
        <v>187</v>
      </c>
      <c r="C747" s="654"/>
      <c r="D747" s="427" t="s">
        <v>2093</v>
      </c>
      <c r="E747" s="491"/>
      <c r="F747" s="655"/>
      <c r="G747" s="656"/>
      <c r="H747" s="657"/>
      <c r="I747" s="429"/>
      <c r="J747" s="429"/>
      <c r="K747" s="429"/>
      <c r="L747" s="429" t="s">
        <v>614</v>
      </c>
      <c r="M747" s="657"/>
      <c r="N747" s="576">
        <f t="shared" si="230"/>
        <v>0</v>
      </c>
      <c r="O747" s="429">
        <f t="shared" si="219"/>
        <v>0</v>
      </c>
      <c r="P747" s="658">
        <f t="shared" si="220"/>
        <v>0</v>
      </c>
      <c r="Q747" s="765"/>
      <c r="R747" s="657"/>
      <c r="S747" s="429"/>
      <c r="T747" s="429">
        <f t="shared" si="216"/>
        <v>0</v>
      </c>
      <c r="U747" s="658">
        <f t="shared" si="217"/>
        <v>0</v>
      </c>
      <c r="V747" s="579"/>
      <c r="W747" s="637" t="str">
        <f>IF(OR(SUM(P748:P779)&gt;0,SUM(U748:U779)&gt;0),"y","")</f>
        <v>y</v>
      </c>
      <c r="X747" s="586" t="str">
        <f t="shared" si="191"/>
        <v>x</v>
      </c>
      <c r="Y747" s="586" t="str">
        <f t="shared" si="189"/>
        <v>x</v>
      </c>
      <c r="Z747" s="586" t="str">
        <f t="shared" si="208"/>
        <v/>
      </c>
    </row>
    <row r="748" spans="1:26" ht="12" thickBot="1" x14ac:dyDescent="0.25">
      <c r="A748" s="652" t="s">
        <v>187</v>
      </c>
      <c r="B748" s="572" t="s">
        <v>2114</v>
      </c>
      <c r="C748" s="573" t="s">
        <v>206</v>
      </c>
      <c r="D748" s="574" t="s">
        <v>2113</v>
      </c>
      <c r="E748" s="575"/>
      <c r="F748" s="436"/>
      <c r="G748" s="431"/>
      <c r="H748" s="430"/>
      <c r="I748" s="432"/>
      <c r="J748" s="433">
        <v>114.4</v>
      </c>
      <c r="K748" s="434">
        <f t="shared" ref="K748:K779" si="232">IF(ISBLANK(J748),0,ROUND(J748*(1+$F$10)*(1+$F$11*E748),2))</f>
        <v>135.91999999999999</v>
      </c>
      <c r="L748" s="435" t="s">
        <v>18</v>
      </c>
      <c r="M748" s="587">
        <v>54.4</v>
      </c>
      <c r="N748" s="576">
        <f t="shared" si="230"/>
        <v>135.91999999999999</v>
      </c>
      <c r="O748" s="577">
        <f t="shared" si="219"/>
        <v>7394.05</v>
      </c>
      <c r="P748" s="578">
        <f t="shared" si="220"/>
        <v>7394.05</v>
      </c>
      <c r="Q748" s="765"/>
      <c r="R748" s="650">
        <f t="shared" si="215"/>
        <v>54.4</v>
      </c>
      <c r="S748" s="587">
        <f t="shared" si="225"/>
        <v>135.91999999999999</v>
      </c>
      <c r="T748" s="577">
        <f t="shared" si="216"/>
        <v>7394.05</v>
      </c>
      <c r="U748" s="578">
        <f t="shared" si="217"/>
        <v>7394.05</v>
      </c>
      <c r="V748" s="579"/>
      <c r="W748" s="566"/>
      <c r="X748" s="586" t="str">
        <f t="shared" si="191"/>
        <v>x</v>
      </c>
      <c r="Y748" s="586" t="str">
        <f t="shared" si="189"/>
        <v>x</v>
      </c>
      <c r="Z748" s="586" t="str">
        <f t="shared" si="208"/>
        <v>x</v>
      </c>
    </row>
    <row r="749" spans="1:26" ht="12" hidden="1" thickBot="1" x14ac:dyDescent="0.25">
      <c r="A749" s="652" t="s">
        <v>187</v>
      </c>
      <c r="B749" s="572" t="s">
        <v>187</v>
      </c>
      <c r="C749" s="573" t="s">
        <v>187</v>
      </c>
      <c r="D749" s="580"/>
      <c r="E749" s="575"/>
      <c r="F749" s="436"/>
      <c r="G749" s="431"/>
      <c r="H749" s="430"/>
      <c r="I749" s="432"/>
      <c r="J749" s="433"/>
      <c r="K749" s="437">
        <f t="shared" si="232"/>
        <v>0</v>
      </c>
      <c r="L749" s="435" t="s">
        <v>614</v>
      </c>
      <c r="M749" s="576"/>
      <c r="N749" s="576">
        <f t="shared" si="230"/>
        <v>0</v>
      </c>
      <c r="O749" s="577">
        <f t="shared" si="219"/>
        <v>0</v>
      </c>
      <c r="P749" s="578">
        <f t="shared" si="220"/>
        <v>0</v>
      </c>
      <c r="Q749" s="765"/>
      <c r="R749" s="576">
        <f t="shared" si="215"/>
        <v>0</v>
      </c>
      <c r="S749" s="576">
        <f t="shared" si="225"/>
        <v>0</v>
      </c>
      <c r="T749" s="577">
        <f t="shared" si="216"/>
        <v>0</v>
      </c>
      <c r="U749" s="659">
        <f t="shared" si="217"/>
        <v>0</v>
      </c>
      <c r="V749" s="579"/>
      <c r="W749" s="566"/>
      <c r="X749" s="586" t="str">
        <f t="shared" si="191"/>
        <v/>
      </c>
      <c r="Y749" s="586" t="str">
        <f t="shared" si="189"/>
        <v/>
      </c>
      <c r="Z749" s="586" t="str">
        <f t="shared" si="208"/>
        <v/>
      </c>
    </row>
    <row r="750" spans="1:26" ht="12" hidden="1" thickBot="1" x14ac:dyDescent="0.25">
      <c r="A750" s="652" t="s">
        <v>187</v>
      </c>
      <c r="B750" s="572" t="s">
        <v>187</v>
      </c>
      <c r="C750" s="573" t="s">
        <v>187</v>
      </c>
      <c r="D750" s="580"/>
      <c r="E750" s="575"/>
      <c r="F750" s="436"/>
      <c r="G750" s="431"/>
      <c r="H750" s="430"/>
      <c r="I750" s="432"/>
      <c r="J750" s="433"/>
      <c r="K750" s="437">
        <f t="shared" si="232"/>
        <v>0</v>
      </c>
      <c r="L750" s="435" t="s">
        <v>614</v>
      </c>
      <c r="M750" s="576"/>
      <c r="N750" s="576">
        <f t="shared" si="230"/>
        <v>0</v>
      </c>
      <c r="O750" s="577">
        <f t="shared" si="219"/>
        <v>0</v>
      </c>
      <c r="P750" s="578">
        <f t="shared" si="220"/>
        <v>0</v>
      </c>
      <c r="Q750" s="765"/>
      <c r="R750" s="576">
        <f t="shared" si="215"/>
        <v>0</v>
      </c>
      <c r="S750" s="576">
        <f t="shared" si="225"/>
        <v>0</v>
      </c>
      <c r="T750" s="577">
        <f t="shared" si="216"/>
        <v>0</v>
      </c>
      <c r="U750" s="578">
        <f t="shared" si="217"/>
        <v>0</v>
      </c>
      <c r="V750" s="579"/>
      <c r="W750" s="566"/>
      <c r="X750" s="586" t="str">
        <f t="shared" si="191"/>
        <v/>
      </c>
      <c r="Y750" s="586" t="str">
        <f t="shared" si="189"/>
        <v/>
      </c>
      <c r="Z750" s="586" t="str">
        <f t="shared" si="208"/>
        <v/>
      </c>
    </row>
    <row r="751" spans="1:26" ht="12" hidden="1" thickBot="1" x14ac:dyDescent="0.25">
      <c r="A751" s="652" t="s">
        <v>187</v>
      </c>
      <c r="B751" s="572" t="s">
        <v>187</v>
      </c>
      <c r="C751" s="573" t="s">
        <v>187</v>
      </c>
      <c r="D751" s="580"/>
      <c r="E751" s="575"/>
      <c r="F751" s="436"/>
      <c r="G751" s="431"/>
      <c r="H751" s="430"/>
      <c r="I751" s="432"/>
      <c r="J751" s="433"/>
      <c r="K751" s="437">
        <f t="shared" si="232"/>
        <v>0</v>
      </c>
      <c r="L751" s="435" t="s">
        <v>614</v>
      </c>
      <c r="M751" s="576"/>
      <c r="N751" s="576">
        <f t="shared" si="230"/>
        <v>0</v>
      </c>
      <c r="O751" s="577">
        <f t="shared" si="219"/>
        <v>0</v>
      </c>
      <c r="P751" s="578">
        <f t="shared" si="220"/>
        <v>0</v>
      </c>
      <c r="Q751" s="765"/>
      <c r="R751" s="576">
        <f t="shared" si="215"/>
        <v>0</v>
      </c>
      <c r="S751" s="576">
        <f t="shared" si="225"/>
        <v>0</v>
      </c>
      <c r="T751" s="577">
        <f t="shared" si="216"/>
        <v>0</v>
      </c>
      <c r="U751" s="578">
        <f t="shared" si="217"/>
        <v>0</v>
      </c>
      <c r="V751" s="579"/>
      <c r="W751" s="566"/>
      <c r="X751" s="586" t="str">
        <f t="shared" si="191"/>
        <v/>
      </c>
      <c r="Y751" s="586" t="str">
        <f t="shared" si="189"/>
        <v/>
      </c>
      <c r="Z751" s="586" t="str">
        <f t="shared" si="208"/>
        <v/>
      </c>
    </row>
    <row r="752" spans="1:26" ht="12" hidden="1" thickBot="1" x14ac:dyDescent="0.25">
      <c r="A752" s="652" t="s">
        <v>187</v>
      </c>
      <c r="B752" s="572" t="s">
        <v>187</v>
      </c>
      <c r="C752" s="573" t="s">
        <v>187</v>
      </c>
      <c r="D752" s="580"/>
      <c r="E752" s="575"/>
      <c r="F752" s="436"/>
      <c r="G752" s="431"/>
      <c r="H752" s="430"/>
      <c r="I752" s="432"/>
      <c r="J752" s="433"/>
      <c r="K752" s="437">
        <f t="shared" si="232"/>
        <v>0</v>
      </c>
      <c r="L752" s="435" t="s">
        <v>614</v>
      </c>
      <c r="M752" s="576"/>
      <c r="N752" s="576">
        <f t="shared" si="230"/>
        <v>0</v>
      </c>
      <c r="O752" s="577">
        <f t="shared" si="219"/>
        <v>0</v>
      </c>
      <c r="P752" s="578">
        <f t="shared" si="220"/>
        <v>0</v>
      </c>
      <c r="Q752" s="765"/>
      <c r="R752" s="576">
        <f t="shared" si="215"/>
        <v>0</v>
      </c>
      <c r="S752" s="576">
        <f t="shared" si="225"/>
        <v>0</v>
      </c>
      <c r="T752" s="577">
        <f t="shared" si="216"/>
        <v>0</v>
      </c>
      <c r="U752" s="578">
        <f t="shared" si="217"/>
        <v>0</v>
      </c>
      <c r="V752" s="579"/>
      <c r="W752" s="566"/>
      <c r="X752" s="586" t="str">
        <f t="shared" si="191"/>
        <v/>
      </c>
      <c r="Y752" s="586" t="str">
        <f t="shared" si="189"/>
        <v/>
      </c>
      <c r="Z752" s="586" t="str">
        <f t="shared" si="208"/>
        <v/>
      </c>
    </row>
    <row r="753" spans="1:26" ht="12" hidden="1" thickBot="1" x14ac:dyDescent="0.25">
      <c r="A753" s="652" t="s">
        <v>187</v>
      </c>
      <c r="B753" s="572" t="s">
        <v>187</v>
      </c>
      <c r="C753" s="573" t="s">
        <v>187</v>
      </c>
      <c r="D753" s="580"/>
      <c r="E753" s="575"/>
      <c r="F753" s="436"/>
      <c r="G753" s="431"/>
      <c r="H753" s="430"/>
      <c r="I753" s="432"/>
      <c r="J753" s="433"/>
      <c r="K753" s="437">
        <f t="shared" si="232"/>
        <v>0</v>
      </c>
      <c r="L753" s="435" t="s">
        <v>614</v>
      </c>
      <c r="M753" s="576"/>
      <c r="N753" s="576">
        <f t="shared" si="230"/>
        <v>0</v>
      </c>
      <c r="O753" s="577">
        <f t="shared" si="219"/>
        <v>0</v>
      </c>
      <c r="P753" s="578">
        <f t="shared" si="220"/>
        <v>0</v>
      </c>
      <c r="Q753" s="765"/>
      <c r="R753" s="576">
        <f t="shared" si="215"/>
        <v>0</v>
      </c>
      <c r="S753" s="576">
        <f t="shared" si="225"/>
        <v>0</v>
      </c>
      <c r="T753" s="577">
        <f t="shared" si="216"/>
        <v>0</v>
      </c>
      <c r="U753" s="578">
        <f t="shared" si="217"/>
        <v>0</v>
      </c>
      <c r="V753" s="579"/>
      <c r="W753" s="566"/>
      <c r="X753" s="586" t="str">
        <f t="shared" si="191"/>
        <v/>
      </c>
      <c r="Y753" s="586" t="str">
        <f t="shared" si="189"/>
        <v/>
      </c>
      <c r="Z753" s="586" t="str">
        <f t="shared" si="208"/>
        <v/>
      </c>
    </row>
    <row r="754" spans="1:26" ht="12" hidden="1" thickBot="1" x14ac:dyDescent="0.25">
      <c r="A754" s="652" t="s">
        <v>187</v>
      </c>
      <c r="B754" s="572" t="s">
        <v>187</v>
      </c>
      <c r="C754" s="573" t="s">
        <v>187</v>
      </c>
      <c r="D754" s="580"/>
      <c r="E754" s="575"/>
      <c r="F754" s="436"/>
      <c r="G754" s="431"/>
      <c r="H754" s="430"/>
      <c r="I754" s="432"/>
      <c r="J754" s="433"/>
      <c r="K754" s="437">
        <f t="shared" si="232"/>
        <v>0</v>
      </c>
      <c r="L754" s="435" t="s">
        <v>614</v>
      </c>
      <c r="M754" s="576"/>
      <c r="N754" s="576">
        <f t="shared" si="230"/>
        <v>0</v>
      </c>
      <c r="O754" s="577">
        <f t="shared" si="219"/>
        <v>0</v>
      </c>
      <c r="P754" s="578">
        <f t="shared" si="220"/>
        <v>0</v>
      </c>
      <c r="Q754" s="765"/>
      <c r="R754" s="576">
        <f t="shared" si="215"/>
        <v>0</v>
      </c>
      <c r="S754" s="576">
        <f t="shared" si="225"/>
        <v>0</v>
      </c>
      <c r="T754" s="577">
        <f t="shared" si="216"/>
        <v>0</v>
      </c>
      <c r="U754" s="578">
        <f t="shared" si="217"/>
        <v>0</v>
      </c>
      <c r="V754" s="579"/>
      <c r="W754" s="566"/>
      <c r="X754" s="586" t="str">
        <f t="shared" si="191"/>
        <v/>
      </c>
      <c r="Y754" s="586" t="str">
        <f t="shared" si="189"/>
        <v/>
      </c>
      <c r="Z754" s="586" t="str">
        <f t="shared" si="208"/>
        <v/>
      </c>
    </row>
    <row r="755" spans="1:26" ht="12" hidden="1" thickBot="1" x14ac:dyDescent="0.25">
      <c r="A755" s="652" t="s">
        <v>187</v>
      </c>
      <c r="B755" s="572" t="s">
        <v>187</v>
      </c>
      <c r="C755" s="573" t="s">
        <v>187</v>
      </c>
      <c r="D755" s="580"/>
      <c r="E755" s="575"/>
      <c r="F755" s="436"/>
      <c r="G755" s="431"/>
      <c r="H755" s="430"/>
      <c r="I755" s="432"/>
      <c r="J755" s="433"/>
      <c r="K755" s="437">
        <f t="shared" si="232"/>
        <v>0</v>
      </c>
      <c r="L755" s="435" t="s">
        <v>614</v>
      </c>
      <c r="M755" s="576"/>
      <c r="N755" s="576">
        <f t="shared" si="230"/>
        <v>0</v>
      </c>
      <c r="O755" s="577">
        <f t="shared" si="219"/>
        <v>0</v>
      </c>
      <c r="P755" s="578">
        <f t="shared" si="220"/>
        <v>0</v>
      </c>
      <c r="Q755" s="765"/>
      <c r="R755" s="576">
        <f t="shared" si="215"/>
        <v>0</v>
      </c>
      <c r="S755" s="576">
        <f t="shared" si="225"/>
        <v>0</v>
      </c>
      <c r="T755" s="577">
        <f t="shared" si="216"/>
        <v>0</v>
      </c>
      <c r="U755" s="578">
        <f t="shared" si="217"/>
        <v>0</v>
      </c>
      <c r="V755" s="579"/>
      <c r="W755" s="566"/>
      <c r="X755" s="586" t="str">
        <f t="shared" si="191"/>
        <v/>
      </c>
      <c r="Y755" s="586" t="str">
        <f t="shared" si="189"/>
        <v/>
      </c>
      <c r="Z755" s="586" t="str">
        <f t="shared" si="208"/>
        <v/>
      </c>
    </row>
    <row r="756" spans="1:26" ht="12" hidden="1" thickBot="1" x14ac:dyDescent="0.25">
      <c r="A756" s="652" t="s">
        <v>187</v>
      </c>
      <c r="B756" s="572" t="s">
        <v>187</v>
      </c>
      <c r="C756" s="573" t="s">
        <v>187</v>
      </c>
      <c r="D756" s="580"/>
      <c r="E756" s="575"/>
      <c r="F756" s="436"/>
      <c r="G756" s="431"/>
      <c r="H756" s="430"/>
      <c r="I756" s="432"/>
      <c r="J756" s="433"/>
      <c r="K756" s="437">
        <f t="shared" si="232"/>
        <v>0</v>
      </c>
      <c r="L756" s="435" t="s">
        <v>614</v>
      </c>
      <c r="M756" s="576"/>
      <c r="N756" s="576">
        <f t="shared" si="230"/>
        <v>0</v>
      </c>
      <c r="O756" s="577">
        <f t="shared" si="219"/>
        <v>0</v>
      </c>
      <c r="P756" s="578">
        <f t="shared" si="220"/>
        <v>0</v>
      </c>
      <c r="Q756" s="765"/>
      <c r="R756" s="576">
        <f t="shared" ref="R756:S819" si="233">M756</f>
        <v>0</v>
      </c>
      <c r="S756" s="576">
        <f t="shared" si="225"/>
        <v>0</v>
      </c>
      <c r="T756" s="577">
        <f t="shared" ref="T756:T819" si="234">IF(ISBLANK(R756),0,ROUND(K756*R756,2))</f>
        <v>0</v>
      </c>
      <c r="U756" s="578">
        <f t="shared" ref="U756:U819" si="235">IF(ISBLANK(R756),0,ROUND(R756*S756,2))</f>
        <v>0</v>
      </c>
      <c r="V756" s="579"/>
      <c r="W756" s="566"/>
      <c r="X756" s="586" t="str">
        <f t="shared" si="191"/>
        <v/>
      </c>
      <c r="Y756" s="586" t="str">
        <f t="shared" si="189"/>
        <v/>
      </c>
      <c r="Z756" s="586" t="str">
        <f t="shared" si="208"/>
        <v/>
      </c>
    </row>
    <row r="757" spans="1:26" ht="12" hidden="1" thickBot="1" x14ac:dyDescent="0.25">
      <c r="A757" s="652" t="s">
        <v>187</v>
      </c>
      <c r="B757" s="572" t="s">
        <v>187</v>
      </c>
      <c r="C757" s="573" t="s">
        <v>187</v>
      </c>
      <c r="D757" s="580"/>
      <c r="E757" s="575"/>
      <c r="F757" s="436"/>
      <c r="G757" s="431"/>
      <c r="H757" s="430"/>
      <c r="I757" s="432"/>
      <c r="J757" s="433"/>
      <c r="K757" s="437">
        <f t="shared" si="232"/>
        <v>0</v>
      </c>
      <c r="L757" s="435" t="s">
        <v>614</v>
      </c>
      <c r="M757" s="576"/>
      <c r="N757" s="576">
        <f t="shared" si="230"/>
        <v>0</v>
      </c>
      <c r="O757" s="577">
        <f t="shared" ref="O757:O820" si="236">IF(ISBLANK(M757),0,ROUND(K757*M757,2))</f>
        <v>0</v>
      </c>
      <c r="P757" s="578">
        <f t="shared" ref="P757:P820" si="237">IF(ISBLANK(N757),0,ROUND(M757*N757,2))</f>
        <v>0</v>
      </c>
      <c r="Q757" s="765"/>
      <c r="R757" s="576">
        <f t="shared" si="233"/>
        <v>0</v>
      </c>
      <c r="S757" s="576">
        <f t="shared" si="225"/>
        <v>0</v>
      </c>
      <c r="T757" s="577">
        <f t="shared" si="234"/>
        <v>0</v>
      </c>
      <c r="U757" s="578">
        <f t="shared" si="235"/>
        <v>0</v>
      </c>
      <c r="V757" s="579"/>
      <c r="W757" s="566"/>
      <c r="X757" s="586" t="str">
        <f t="shared" si="191"/>
        <v/>
      </c>
      <c r="Y757" s="586" t="str">
        <f t="shared" si="189"/>
        <v/>
      </c>
      <c r="Z757" s="586" t="str">
        <f t="shared" si="208"/>
        <v/>
      </c>
    </row>
    <row r="758" spans="1:26" ht="12" hidden="1" thickBot="1" x14ac:dyDescent="0.25">
      <c r="A758" s="652" t="s">
        <v>187</v>
      </c>
      <c r="B758" s="572" t="s">
        <v>187</v>
      </c>
      <c r="C758" s="573" t="s">
        <v>187</v>
      </c>
      <c r="D758" s="580"/>
      <c r="E758" s="575"/>
      <c r="F758" s="436"/>
      <c r="G758" s="431"/>
      <c r="H758" s="430"/>
      <c r="I758" s="432"/>
      <c r="J758" s="433"/>
      <c r="K758" s="437">
        <f t="shared" si="232"/>
        <v>0</v>
      </c>
      <c r="L758" s="435" t="s">
        <v>614</v>
      </c>
      <c r="M758" s="576"/>
      <c r="N758" s="576">
        <f t="shared" si="230"/>
        <v>0</v>
      </c>
      <c r="O758" s="577">
        <f t="shared" si="236"/>
        <v>0</v>
      </c>
      <c r="P758" s="578">
        <f t="shared" si="237"/>
        <v>0</v>
      </c>
      <c r="Q758" s="765"/>
      <c r="R758" s="576">
        <f t="shared" si="233"/>
        <v>0</v>
      </c>
      <c r="S758" s="576">
        <f t="shared" si="225"/>
        <v>0</v>
      </c>
      <c r="T758" s="577">
        <f t="shared" si="234"/>
        <v>0</v>
      </c>
      <c r="U758" s="578">
        <f t="shared" si="235"/>
        <v>0</v>
      </c>
      <c r="V758" s="579"/>
      <c r="W758" s="566"/>
      <c r="X758" s="586" t="str">
        <f t="shared" si="191"/>
        <v/>
      </c>
      <c r="Y758" s="586" t="str">
        <f t="shared" si="189"/>
        <v/>
      </c>
      <c r="Z758" s="586" t="str">
        <f t="shared" si="208"/>
        <v/>
      </c>
    </row>
    <row r="759" spans="1:26" ht="12" hidden="1" thickBot="1" x14ac:dyDescent="0.25">
      <c r="A759" s="652" t="s">
        <v>187</v>
      </c>
      <c r="B759" s="572" t="s">
        <v>187</v>
      </c>
      <c r="C759" s="573" t="s">
        <v>187</v>
      </c>
      <c r="D759" s="580"/>
      <c r="E759" s="575"/>
      <c r="F759" s="436"/>
      <c r="G759" s="431"/>
      <c r="H759" s="430"/>
      <c r="I759" s="432"/>
      <c r="J759" s="433"/>
      <c r="K759" s="437">
        <f t="shared" si="232"/>
        <v>0</v>
      </c>
      <c r="L759" s="435" t="s">
        <v>614</v>
      </c>
      <c r="M759" s="576"/>
      <c r="N759" s="576">
        <f t="shared" si="230"/>
        <v>0</v>
      </c>
      <c r="O759" s="577">
        <f t="shared" si="236"/>
        <v>0</v>
      </c>
      <c r="P759" s="578">
        <f t="shared" si="237"/>
        <v>0</v>
      </c>
      <c r="Q759" s="765"/>
      <c r="R759" s="576">
        <f t="shared" si="233"/>
        <v>0</v>
      </c>
      <c r="S759" s="576">
        <f t="shared" si="225"/>
        <v>0</v>
      </c>
      <c r="T759" s="577">
        <f t="shared" si="234"/>
        <v>0</v>
      </c>
      <c r="U759" s="578">
        <f t="shared" si="235"/>
        <v>0</v>
      </c>
      <c r="V759" s="579"/>
      <c r="W759" s="566"/>
      <c r="X759" s="586" t="str">
        <f t="shared" si="191"/>
        <v/>
      </c>
      <c r="Y759" s="586" t="str">
        <f t="shared" si="189"/>
        <v/>
      </c>
      <c r="Z759" s="586" t="str">
        <f t="shared" si="208"/>
        <v/>
      </c>
    </row>
    <row r="760" spans="1:26" ht="12" hidden="1" thickBot="1" x14ac:dyDescent="0.25">
      <c r="A760" s="652" t="s">
        <v>187</v>
      </c>
      <c r="B760" s="572" t="s">
        <v>187</v>
      </c>
      <c r="C760" s="573" t="s">
        <v>187</v>
      </c>
      <c r="D760" s="580"/>
      <c r="E760" s="575"/>
      <c r="F760" s="436"/>
      <c r="G760" s="431"/>
      <c r="H760" s="430"/>
      <c r="I760" s="432"/>
      <c r="J760" s="433"/>
      <c r="K760" s="437">
        <f t="shared" si="232"/>
        <v>0</v>
      </c>
      <c r="L760" s="435" t="s">
        <v>614</v>
      </c>
      <c r="M760" s="576"/>
      <c r="N760" s="576">
        <f t="shared" si="230"/>
        <v>0</v>
      </c>
      <c r="O760" s="577">
        <f t="shared" si="236"/>
        <v>0</v>
      </c>
      <c r="P760" s="578">
        <f t="shared" si="237"/>
        <v>0</v>
      </c>
      <c r="Q760" s="765"/>
      <c r="R760" s="576">
        <f t="shared" si="233"/>
        <v>0</v>
      </c>
      <c r="S760" s="576">
        <f t="shared" si="225"/>
        <v>0</v>
      </c>
      <c r="T760" s="577">
        <f t="shared" si="234"/>
        <v>0</v>
      </c>
      <c r="U760" s="578">
        <f t="shared" si="235"/>
        <v>0</v>
      </c>
      <c r="V760" s="579"/>
      <c r="W760" s="566"/>
      <c r="X760" s="586" t="str">
        <f t="shared" si="191"/>
        <v/>
      </c>
      <c r="Y760" s="586" t="str">
        <f t="shared" si="189"/>
        <v/>
      </c>
      <c r="Z760" s="586" t="str">
        <f t="shared" si="208"/>
        <v/>
      </c>
    </row>
    <row r="761" spans="1:26" ht="12" hidden="1" thickBot="1" x14ac:dyDescent="0.25">
      <c r="A761" s="652" t="s">
        <v>187</v>
      </c>
      <c r="B761" s="572" t="s">
        <v>187</v>
      </c>
      <c r="C761" s="573" t="s">
        <v>187</v>
      </c>
      <c r="D761" s="580"/>
      <c r="E761" s="575"/>
      <c r="F761" s="436"/>
      <c r="G761" s="431"/>
      <c r="H761" s="430"/>
      <c r="I761" s="432"/>
      <c r="J761" s="433"/>
      <c r="K761" s="437">
        <f t="shared" si="232"/>
        <v>0</v>
      </c>
      <c r="L761" s="435" t="s">
        <v>614</v>
      </c>
      <c r="M761" s="576"/>
      <c r="N761" s="576">
        <f t="shared" si="230"/>
        <v>0</v>
      </c>
      <c r="O761" s="577">
        <f t="shared" si="236"/>
        <v>0</v>
      </c>
      <c r="P761" s="578">
        <f t="shared" si="237"/>
        <v>0</v>
      </c>
      <c r="Q761" s="765"/>
      <c r="R761" s="576">
        <f t="shared" si="233"/>
        <v>0</v>
      </c>
      <c r="S761" s="576">
        <f t="shared" si="225"/>
        <v>0</v>
      </c>
      <c r="T761" s="577">
        <f t="shared" si="234"/>
        <v>0</v>
      </c>
      <c r="U761" s="578">
        <f t="shared" si="235"/>
        <v>0</v>
      </c>
      <c r="V761" s="579"/>
      <c r="W761" s="566"/>
      <c r="X761" s="586" t="str">
        <f t="shared" si="191"/>
        <v/>
      </c>
      <c r="Y761" s="586" t="str">
        <f t="shared" si="189"/>
        <v/>
      </c>
      <c r="Z761" s="586" t="str">
        <f t="shared" si="208"/>
        <v/>
      </c>
    </row>
    <row r="762" spans="1:26" ht="12" hidden="1" thickBot="1" x14ac:dyDescent="0.25">
      <c r="A762" s="652" t="s">
        <v>187</v>
      </c>
      <c r="B762" s="572" t="s">
        <v>187</v>
      </c>
      <c r="C762" s="573" t="s">
        <v>187</v>
      </c>
      <c r="D762" s="580"/>
      <c r="E762" s="575"/>
      <c r="F762" s="436"/>
      <c r="G762" s="431"/>
      <c r="H762" s="430"/>
      <c r="I762" s="432"/>
      <c r="J762" s="433"/>
      <c r="K762" s="437">
        <f t="shared" si="232"/>
        <v>0</v>
      </c>
      <c r="L762" s="435" t="s">
        <v>614</v>
      </c>
      <c r="M762" s="576"/>
      <c r="N762" s="576">
        <f t="shared" si="230"/>
        <v>0</v>
      </c>
      <c r="O762" s="577">
        <f t="shared" si="236"/>
        <v>0</v>
      </c>
      <c r="P762" s="578">
        <f t="shared" si="237"/>
        <v>0</v>
      </c>
      <c r="Q762" s="765"/>
      <c r="R762" s="576">
        <f t="shared" si="233"/>
        <v>0</v>
      </c>
      <c r="S762" s="576">
        <f t="shared" si="225"/>
        <v>0</v>
      </c>
      <c r="T762" s="577">
        <f t="shared" si="234"/>
        <v>0</v>
      </c>
      <c r="U762" s="578">
        <f t="shared" si="235"/>
        <v>0</v>
      </c>
      <c r="V762" s="579"/>
      <c r="W762" s="566"/>
      <c r="X762" s="586" t="str">
        <f t="shared" si="191"/>
        <v/>
      </c>
      <c r="Y762" s="586" t="str">
        <f t="shared" si="189"/>
        <v/>
      </c>
      <c r="Z762" s="586" t="str">
        <f t="shared" si="208"/>
        <v/>
      </c>
    </row>
    <row r="763" spans="1:26" ht="12" hidden="1" thickBot="1" x14ac:dyDescent="0.25">
      <c r="A763" s="652" t="s">
        <v>187</v>
      </c>
      <c r="B763" s="572" t="s">
        <v>187</v>
      </c>
      <c r="C763" s="573" t="s">
        <v>187</v>
      </c>
      <c r="D763" s="580"/>
      <c r="E763" s="575"/>
      <c r="F763" s="436"/>
      <c r="G763" s="431"/>
      <c r="H763" s="430"/>
      <c r="I763" s="432"/>
      <c r="J763" s="433"/>
      <c r="K763" s="437">
        <f t="shared" si="232"/>
        <v>0</v>
      </c>
      <c r="L763" s="435" t="s">
        <v>614</v>
      </c>
      <c r="M763" s="576"/>
      <c r="N763" s="576">
        <f t="shared" si="230"/>
        <v>0</v>
      </c>
      <c r="O763" s="577">
        <f t="shared" si="236"/>
        <v>0</v>
      </c>
      <c r="P763" s="578">
        <f t="shared" si="237"/>
        <v>0</v>
      </c>
      <c r="Q763" s="765"/>
      <c r="R763" s="576">
        <f t="shared" si="233"/>
        <v>0</v>
      </c>
      <c r="S763" s="576">
        <f t="shared" si="225"/>
        <v>0</v>
      </c>
      <c r="T763" s="577">
        <f t="shared" si="234"/>
        <v>0</v>
      </c>
      <c r="U763" s="578">
        <f t="shared" si="235"/>
        <v>0</v>
      </c>
      <c r="V763" s="579"/>
      <c r="W763" s="566"/>
      <c r="X763" s="586" t="str">
        <f t="shared" si="191"/>
        <v/>
      </c>
      <c r="Y763" s="586" t="str">
        <f t="shared" si="189"/>
        <v/>
      </c>
      <c r="Z763" s="586" t="str">
        <f t="shared" si="208"/>
        <v/>
      </c>
    </row>
    <row r="764" spans="1:26" ht="12" hidden="1" thickBot="1" x14ac:dyDescent="0.25">
      <c r="A764" s="652" t="s">
        <v>187</v>
      </c>
      <c r="B764" s="572" t="s">
        <v>187</v>
      </c>
      <c r="C764" s="573" t="s">
        <v>187</v>
      </c>
      <c r="D764" s="580"/>
      <c r="E764" s="575"/>
      <c r="F764" s="436"/>
      <c r="G764" s="431"/>
      <c r="H764" s="430"/>
      <c r="I764" s="432"/>
      <c r="J764" s="433"/>
      <c r="K764" s="437">
        <f t="shared" si="232"/>
        <v>0</v>
      </c>
      <c r="L764" s="435" t="s">
        <v>614</v>
      </c>
      <c r="M764" s="576"/>
      <c r="N764" s="576">
        <f t="shared" si="230"/>
        <v>0</v>
      </c>
      <c r="O764" s="577">
        <f t="shared" si="236"/>
        <v>0</v>
      </c>
      <c r="P764" s="578">
        <f t="shared" si="237"/>
        <v>0</v>
      </c>
      <c r="Q764" s="765"/>
      <c r="R764" s="576">
        <f t="shared" si="233"/>
        <v>0</v>
      </c>
      <c r="S764" s="576">
        <f t="shared" si="225"/>
        <v>0</v>
      </c>
      <c r="T764" s="577">
        <f t="shared" si="234"/>
        <v>0</v>
      </c>
      <c r="U764" s="578">
        <f t="shared" si="235"/>
        <v>0</v>
      </c>
      <c r="V764" s="579"/>
      <c r="W764" s="566"/>
      <c r="X764" s="586" t="str">
        <f t="shared" ref="X764:X828" si="238">IF(W764="X","x",IF(W764="xx","x",IF(W764="xy","x",IF(W764="y","x",IF(OR(P764&gt;0,U764&gt;0),"x","")))))</f>
        <v/>
      </c>
      <c r="Y764" s="586" t="str">
        <f t="shared" si="189"/>
        <v/>
      </c>
      <c r="Z764" s="586" t="str">
        <f t="shared" si="208"/>
        <v/>
      </c>
    </row>
    <row r="765" spans="1:26" ht="12" hidden="1" thickBot="1" x14ac:dyDescent="0.25">
      <c r="A765" s="652" t="s">
        <v>187</v>
      </c>
      <c r="B765" s="572" t="s">
        <v>187</v>
      </c>
      <c r="C765" s="573" t="s">
        <v>187</v>
      </c>
      <c r="D765" s="580"/>
      <c r="E765" s="575"/>
      <c r="F765" s="436"/>
      <c r="G765" s="431"/>
      <c r="H765" s="430"/>
      <c r="I765" s="432"/>
      <c r="J765" s="433"/>
      <c r="K765" s="437">
        <f t="shared" si="232"/>
        <v>0</v>
      </c>
      <c r="L765" s="435" t="s">
        <v>614</v>
      </c>
      <c r="M765" s="576"/>
      <c r="N765" s="576">
        <f t="shared" si="230"/>
        <v>0</v>
      </c>
      <c r="O765" s="577">
        <f t="shared" si="236"/>
        <v>0</v>
      </c>
      <c r="P765" s="578">
        <f t="shared" si="237"/>
        <v>0</v>
      </c>
      <c r="Q765" s="765"/>
      <c r="R765" s="576">
        <f t="shared" si="233"/>
        <v>0</v>
      </c>
      <c r="S765" s="576">
        <f t="shared" si="225"/>
        <v>0</v>
      </c>
      <c r="T765" s="577">
        <f t="shared" si="234"/>
        <v>0</v>
      </c>
      <c r="U765" s="578">
        <f t="shared" si="235"/>
        <v>0</v>
      </c>
      <c r="V765" s="579"/>
      <c r="W765" s="566"/>
      <c r="X765" s="586" t="str">
        <f t="shared" si="238"/>
        <v/>
      </c>
      <c r="Y765" s="586" t="str">
        <f t="shared" si="189"/>
        <v/>
      </c>
      <c r="Z765" s="586" t="str">
        <f t="shared" si="208"/>
        <v/>
      </c>
    </row>
    <row r="766" spans="1:26" ht="12" hidden="1" thickBot="1" x14ac:dyDescent="0.25">
      <c r="A766" s="652" t="s">
        <v>187</v>
      </c>
      <c r="B766" s="572" t="s">
        <v>187</v>
      </c>
      <c r="C766" s="573" t="s">
        <v>187</v>
      </c>
      <c r="D766" s="580"/>
      <c r="E766" s="575"/>
      <c r="F766" s="436"/>
      <c r="G766" s="431"/>
      <c r="H766" s="430"/>
      <c r="I766" s="432"/>
      <c r="J766" s="433"/>
      <c r="K766" s="437">
        <f t="shared" si="232"/>
        <v>0</v>
      </c>
      <c r="L766" s="435" t="s">
        <v>614</v>
      </c>
      <c r="M766" s="576"/>
      <c r="N766" s="576">
        <f t="shared" si="230"/>
        <v>0</v>
      </c>
      <c r="O766" s="577">
        <f t="shared" si="236"/>
        <v>0</v>
      </c>
      <c r="P766" s="578">
        <f t="shared" si="237"/>
        <v>0</v>
      </c>
      <c r="Q766" s="765"/>
      <c r="R766" s="576">
        <f t="shared" si="233"/>
        <v>0</v>
      </c>
      <c r="S766" s="576">
        <f t="shared" si="225"/>
        <v>0</v>
      </c>
      <c r="T766" s="577">
        <f t="shared" si="234"/>
        <v>0</v>
      </c>
      <c r="U766" s="578">
        <f t="shared" si="235"/>
        <v>0</v>
      </c>
      <c r="V766" s="579"/>
      <c r="W766" s="566"/>
      <c r="X766" s="586" t="str">
        <f t="shared" si="238"/>
        <v/>
      </c>
      <c r="Y766" s="586" t="str">
        <f t="shared" si="189"/>
        <v/>
      </c>
      <c r="Z766" s="586" t="str">
        <f t="shared" ref="Z766:Z914" si="239">IF(W766="X","x",IF(U766&gt;0,"x",""))</f>
        <v/>
      </c>
    </row>
    <row r="767" spans="1:26" ht="12" hidden="1" thickBot="1" x14ac:dyDescent="0.25">
      <c r="A767" s="652" t="s">
        <v>187</v>
      </c>
      <c r="B767" s="572" t="s">
        <v>187</v>
      </c>
      <c r="C767" s="573" t="s">
        <v>187</v>
      </c>
      <c r="D767" s="580"/>
      <c r="E767" s="575"/>
      <c r="F767" s="436"/>
      <c r="G767" s="431"/>
      <c r="H767" s="430"/>
      <c r="I767" s="432"/>
      <c r="J767" s="433"/>
      <c r="K767" s="437">
        <f t="shared" si="232"/>
        <v>0</v>
      </c>
      <c r="L767" s="435" t="s">
        <v>614</v>
      </c>
      <c r="M767" s="576"/>
      <c r="N767" s="576">
        <f t="shared" si="230"/>
        <v>0</v>
      </c>
      <c r="O767" s="577">
        <f t="shared" si="236"/>
        <v>0</v>
      </c>
      <c r="P767" s="578">
        <f t="shared" si="237"/>
        <v>0</v>
      </c>
      <c r="Q767" s="765"/>
      <c r="R767" s="576">
        <f t="shared" si="233"/>
        <v>0</v>
      </c>
      <c r="S767" s="576">
        <f t="shared" si="225"/>
        <v>0</v>
      </c>
      <c r="T767" s="577">
        <f t="shared" si="234"/>
        <v>0</v>
      </c>
      <c r="U767" s="578">
        <f t="shared" si="235"/>
        <v>0</v>
      </c>
      <c r="V767" s="579"/>
      <c r="W767" s="566"/>
      <c r="X767" s="586" t="str">
        <f t="shared" si="238"/>
        <v/>
      </c>
      <c r="Y767" s="586" t="str">
        <f t="shared" si="189"/>
        <v/>
      </c>
      <c r="Z767" s="586" t="str">
        <f t="shared" si="239"/>
        <v/>
      </c>
    </row>
    <row r="768" spans="1:26" ht="12" hidden="1" thickBot="1" x14ac:dyDescent="0.25">
      <c r="A768" s="652" t="s">
        <v>187</v>
      </c>
      <c r="B768" s="572" t="s">
        <v>187</v>
      </c>
      <c r="C768" s="573" t="s">
        <v>187</v>
      </c>
      <c r="D768" s="580"/>
      <c r="E768" s="575"/>
      <c r="F768" s="436"/>
      <c r="G768" s="431"/>
      <c r="H768" s="430"/>
      <c r="I768" s="432"/>
      <c r="J768" s="433"/>
      <c r="K768" s="437">
        <f t="shared" si="232"/>
        <v>0</v>
      </c>
      <c r="L768" s="435" t="s">
        <v>614</v>
      </c>
      <c r="M768" s="576"/>
      <c r="N768" s="576">
        <f t="shared" si="230"/>
        <v>0</v>
      </c>
      <c r="O768" s="577">
        <f t="shared" si="236"/>
        <v>0</v>
      </c>
      <c r="P768" s="578">
        <f t="shared" si="237"/>
        <v>0</v>
      </c>
      <c r="Q768" s="765"/>
      <c r="R768" s="576">
        <f t="shared" si="233"/>
        <v>0</v>
      </c>
      <c r="S768" s="576">
        <f t="shared" si="225"/>
        <v>0</v>
      </c>
      <c r="T768" s="577">
        <f t="shared" si="234"/>
        <v>0</v>
      </c>
      <c r="U768" s="578">
        <f t="shared" si="235"/>
        <v>0</v>
      </c>
      <c r="V768" s="579"/>
      <c r="W768" s="566"/>
      <c r="X768" s="586" t="str">
        <f t="shared" si="238"/>
        <v/>
      </c>
      <c r="Y768" s="586" t="str">
        <f t="shared" si="189"/>
        <v/>
      </c>
      <c r="Z768" s="586" t="str">
        <f t="shared" si="239"/>
        <v/>
      </c>
    </row>
    <row r="769" spans="1:26" ht="12" hidden="1" thickBot="1" x14ac:dyDescent="0.25">
      <c r="A769" s="652" t="s">
        <v>187</v>
      </c>
      <c r="B769" s="572" t="s">
        <v>187</v>
      </c>
      <c r="C769" s="573" t="s">
        <v>187</v>
      </c>
      <c r="D769" s="580"/>
      <c r="E769" s="575"/>
      <c r="F769" s="436"/>
      <c r="G769" s="431"/>
      <c r="H769" s="430"/>
      <c r="I769" s="432"/>
      <c r="J769" s="433"/>
      <c r="K769" s="437">
        <f t="shared" si="232"/>
        <v>0</v>
      </c>
      <c r="L769" s="435" t="s">
        <v>614</v>
      </c>
      <c r="M769" s="576"/>
      <c r="N769" s="576">
        <f t="shared" si="230"/>
        <v>0</v>
      </c>
      <c r="O769" s="577">
        <f t="shared" si="236"/>
        <v>0</v>
      </c>
      <c r="P769" s="578">
        <f t="shared" si="237"/>
        <v>0</v>
      </c>
      <c r="Q769" s="765"/>
      <c r="R769" s="576">
        <f t="shared" si="233"/>
        <v>0</v>
      </c>
      <c r="S769" s="576">
        <f t="shared" si="225"/>
        <v>0</v>
      </c>
      <c r="T769" s="577">
        <f t="shared" si="234"/>
        <v>0</v>
      </c>
      <c r="U769" s="578">
        <f t="shared" si="235"/>
        <v>0</v>
      </c>
      <c r="V769" s="579"/>
      <c r="W769" s="566"/>
      <c r="X769" s="586" t="str">
        <f t="shared" si="238"/>
        <v/>
      </c>
      <c r="Y769" s="586" t="str">
        <f t="shared" si="189"/>
        <v/>
      </c>
      <c r="Z769" s="586" t="str">
        <f t="shared" si="239"/>
        <v/>
      </c>
    </row>
    <row r="770" spans="1:26" ht="12" hidden="1" thickBot="1" x14ac:dyDescent="0.25">
      <c r="A770" s="652" t="s">
        <v>187</v>
      </c>
      <c r="B770" s="572" t="s">
        <v>187</v>
      </c>
      <c r="C770" s="573" t="s">
        <v>187</v>
      </c>
      <c r="D770" s="580"/>
      <c r="E770" s="575"/>
      <c r="F770" s="436"/>
      <c r="G770" s="431"/>
      <c r="H770" s="430"/>
      <c r="I770" s="432"/>
      <c r="J770" s="433"/>
      <c r="K770" s="437">
        <f t="shared" si="232"/>
        <v>0</v>
      </c>
      <c r="L770" s="435" t="s">
        <v>614</v>
      </c>
      <c r="M770" s="576"/>
      <c r="N770" s="576">
        <f t="shared" si="230"/>
        <v>0</v>
      </c>
      <c r="O770" s="577">
        <f t="shared" si="236"/>
        <v>0</v>
      </c>
      <c r="P770" s="578">
        <f t="shared" si="237"/>
        <v>0</v>
      </c>
      <c r="Q770" s="765"/>
      <c r="R770" s="576">
        <f t="shared" si="233"/>
        <v>0</v>
      </c>
      <c r="S770" s="576">
        <f t="shared" si="225"/>
        <v>0</v>
      </c>
      <c r="T770" s="577">
        <f t="shared" si="234"/>
        <v>0</v>
      </c>
      <c r="U770" s="578">
        <f t="shared" si="235"/>
        <v>0</v>
      </c>
      <c r="V770" s="579"/>
      <c r="W770" s="566"/>
      <c r="X770" s="586" t="str">
        <f t="shared" si="238"/>
        <v/>
      </c>
      <c r="Y770" s="586" t="str">
        <f t="shared" si="189"/>
        <v/>
      </c>
      <c r="Z770" s="586" t="str">
        <f t="shared" si="239"/>
        <v/>
      </c>
    </row>
    <row r="771" spans="1:26" ht="12" hidden="1" thickBot="1" x14ac:dyDescent="0.25">
      <c r="A771" s="652" t="s">
        <v>187</v>
      </c>
      <c r="B771" s="572" t="s">
        <v>187</v>
      </c>
      <c r="C771" s="573" t="s">
        <v>187</v>
      </c>
      <c r="D771" s="580"/>
      <c r="E771" s="575"/>
      <c r="F771" s="436"/>
      <c r="G771" s="431"/>
      <c r="H771" s="430"/>
      <c r="I771" s="432"/>
      <c r="J771" s="433"/>
      <c r="K771" s="437">
        <f t="shared" si="232"/>
        <v>0</v>
      </c>
      <c r="L771" s="435" t="s">
        <v>614</v>
      </c>
      <c r="M771" s="576"/>
      <c r="N771" s="576">
        <f t="shared" si="230"/>
        <v>0</v>
      </c>
      <c r="O771" s="577">
        <f t="shared" si="236"/>
        <v>0</v>
      </c>
      <c r="P771" s="578">
        <f t="shared" si="237"/>
        <v>0</v>
      </c>
      <c r="Q771" s="765"/>
      <c r="R771" s="576">
        <f t="shared" si="233"/>
        <v>0</v>
      </c>
      <c r="S771" s="576">
        <f t="shared" si="225"/>
        <v>0</v>
      </c>
      <c r="T771" s="577">
        <f t="shared" si="234"/>
        <v>0</v>
      </c>
      <c r="U771" s="578">
        <f t="shared" si="235"/>
        <v>0</v>
      </c>
      <c r="V771" s="579"/>
      <c r="W771" s="566"/>
      <c r="X771" s="586" t="str">
        <f t="shared" si="238"/>
        <v/>
      </c>
      <c r="Y771" s="586" t="str">
        <f t="shared" si="189"/>
        <v/>
      </c>
      <c r="Z771" s="586" t="str">
        <f t="shared" si="239"/>
        <v/>
      </c>
    </row>
    <row r="772" spans="1:26" ht="12" hidden="1" thickBot="1" x14ac:dyDescent="0.25">
      <c r="A772" s="652" t="s">
        <v>187</v>
      </c>
      <c r="B772" s="572" t="s">
        <v>187</v>
      </c>
      <c r="C772" s="573" t="s">
        <v>187</v>
      </c>
      <c r="D772" s="580"/>
      <c r="E772" s="575"/>
      <c r="F772" s="436"/>
      <c r="G772" s="431"/>
      <c r="H772" s="430"/>
      <c r="I772" s="432"/>
      <c r="J772" s="433"/>
      <c r="K772" s="437">
        <f t="shared" si="232"/>
        <v>0</v>
      </c>
      <c r="L772" s="435" t="s">
        <v>614</v>
      </c>
      <c r="M772" s="576"/>
      <c r="N772" s="576">
        <f t="shared" si="230"/>
        <v>0</v>
      </c>
      <c r="O772" s="577">
        <f t="shared" si="236"/>
        <v>0</v>
      </c>
      <c r="P772" s="578">
        <f t="shared" si="237"/>
        <v>0</v>
      </c>
      <c r="Q772" s="765"/>
      <c r="R772" s="576">
        <f t="shared" si="233"/>
        <v>0</v>
      </c>
      <c r="S772" s="576">
        <f t="shared" si="225"/>
        <v>0</v>
      </c>
      <c r="T772" s="577">
        <f t="shared" si="234"/>
        <v>0</v>
      </c>
      <c r="U772" s="578">
        <f t="shared" si="235"/>
        <v>0</v>
      </c>
      <c r="V772" s="579"/>
      <c r="W772" s="566"/>
      <c r="X772" s="586" t="str">
        <f t="shared" si="238"/>
        <v/>
      </c>
      <c r="Y772" s="586" t="str">
        <f t="shared" si="189"/>
        <v/>
      </c>
      <c r="Z772" s="586" t="str">
        <f t="shared" si="239"/>
        <v/>
      </c>
    </row>
    <row r="773" spans="1:26" ht="12" hidden="1" thickBot="1" x14ac:dyDescent="0.25">
      <c r="A773" s="652" t="s">
        <v>187</v>
      </c>
      <c r="B773" s="572" t="s">
        <v>187</v>
      </c>
      <c r="C773" s="573" t="s">
        <v>187</v>
      </c>
      <c r="D773" s="580"/>
      <c r="E773" s="575"/>
      <c r="F773" s="436"/>
      <c r="G773" s="431"/>
      <c r="H773" s="430"/>
      <c r="I773" s="432"/>
      <c r="J773" s="433"/>
      <c r="K773" s="437">
        <f t="shared" si="232"/>
        <v>0</v>
      </c>
      <c r="L773" s="435" t="s">
        <v>614</v>
      </c>
      <c r="M773" s="576"/>
      <c r="N773" s="576">
        <f t="shared" si="230"/>
        <v>0</v>
      </c>
      <c r="O773" s="577">
        <f t="shared" si="236"/>
        <v>0</v>
      </c>
      <c r="P773" s="578">
        <f t="shared" si="237"/>
        <v>0</v>
      </c>
      <c r="Q773" s="765"/>
      <c r="R773" s="576">
        <f t="shared" si="233"/>
        <v>0</v>
      </c>
      <c r="S773" s="576">
        <f t="shared" si="225"/>
        <v>0</v>
      </c>
      <c r="T773" s="577">
        <f t="shared" si="234"/>
        <v>0</v>
      </c>
      <c r="U773" s="578">
        <f t="shared" si="235"/>
        <v>0</v>
      </c>
      <c r="V773" s="579"/>
      <c r="W773" s="566"/>
      <c r="X773" s="586" t="str">
        <f t="shared" si="238"/>
        <v/>
      </c>
      <c r="Y773" s="586" t="str">
        <f t="shared" si="189"/>
        <v/>
      </c>
      <c r="Z773" s="586" t="str">
        <f t="shared" si="239"/>
        <v/>
      </c>
    </row>
    <row r="774" spans="1:26" ht="12" hidden="1" thickBot="1" x14ac:dyDescent="0.25">
      <c r="A774" s="652" t="s">
        <v>187</v>
      </c>
      <c r="B774" s="572" t="s">
        <v>187</v>
      </c>
      <c r="C774" s="573" t="s">
        <v>187</v>
      </c>
      <c r="D774" s="580"/>
      <c r="E774" s="575"/>
      <c r="F774" s="436"/>
      <c r="G774" s="431"/>
      <c r="H774" s="430"/>
      <c r="I774" s="432"/>
      <c r="J774" s="433"/>
      <c r="K774" s="437">
        <f t="shared" si="232"/>
        <v>0</v>
      </c>
      <c r="L774" s="435" t="s">
        <v>614</v>
      </c>
      <c r="M774" s="576"/>
      <c r="N774" s="576">
        <f t="shared" si="230"/>
        <v>0</v>
      </c>
      <c r="O774" s="577">
        <f t="shared" si="236"/>
        <v>0</v>
      </c>
      <c r="P774" s="578">
        <f t="shared" si="237"/>
        <v>0</v>
      </c>
      <c r="Q774" s="765"/>
      <c r="R774" s="576">
        <f t="shared" si="233"/>
        <v>0</v>
      </c>
      <c r="S774" s="576">
        <f t="shared" si="225"/>
        <v>0</v>
      </c>
      <c r="T774" s="577">
        <f t="shared" si="234"/>
        <v>0</v>
      </c>
      <c r="U774" s="578">
        <f t="shared" si="235"/>
        <v>0</v>
      </c>
      <c r="V774" s="579"/>
      <c r="W774" s="566"/>
      <c r="X774" s="586" t="str">
        <f t="shared" si="238"/>
        <v/>
      </c>
      <c r="Y774" s="586" t="str">
        <f t="shared" si="189"/>
        <v/>
      </c>
      <c r="Z774" s="586" t="str">
        <f t="shared" si="239"/>
        <v/>
      </c>
    </row>
    <row r="775" spans="1:26" ht="12" hidden="1" thickBot="1" x14ac:dyDescent="0.25">
      <c r="A775" s="652" t="s">
        <v>187</v>
      </c>
      <c r="B775" s="572" t="s">
        <v>187</v>
      </c>
      <c r="C775" s="573" t="s">
        <v>187</v>
      </c>
      <c r="D775" s="580"/>
      <c r="E775" s="575"/>
      <c r="F775" s="436"/>
      <c r="G775" s="431"/>
      <c r="H775" s="430"/>
      <c r="I775" s="432"/>
      <c r="J775" s="433"/>
      <c r="K775" s="437">
        <f t="shared" si="232"/>
        <v>0</v>
      </c>
      <c r="L775" s="435" t="s">
        <v>614</v>
      </c>
      <c r="M775" s="576"/>
      <c r="N775" s="576">
        <f t="shared" si="230"/>
        <v>0</v>
      </c>
      <c r="O775" s="577">
        <f t="shared" si="236"/>
        <v>0</v>
      </c>
      <c r="P775" s="578">
        <f t="shared" si="237"/>
        <v>0</v>
      </c>
      <c r="Q775" s="765"/>
      <c r="R775" s="576">
        <f t="shared" si="233"/>
        <v>0</v>
      </c>
      <c r="S775" s="576">
        <f t="shared" si="225"/>
        <v>0</v>
      </c>
      <c r="T775" s="577">
        <f t="shared" si="234"/>
        <v>0</v>
      </c>
      <c r="U775" s="578">
        <f t="shared" si="235"/>
        <v>0</v>
      </c>
      <c r="V775" s="579"/>
      <c r="W775" s="566"/>
      <c r="X775" s="586" t="str">
        <f t="shared" si="238"/>
        <v/>
      </c>
      <c r="Y775" s="586" t="str">
        <f t="shared" si="189"/>
        <v/>
      </c>
      <c r="Z775" s="586" t="str">
        <f t="shared" si="239"/>
        <v/>
      </c>
    </row>
    <row r="776" spans="1:26" ht="12" hidden="1" thickBot="1" x14ac:dyDescent="0.25">
      <c r="A776" s="652" t="s">
        <v>187</v>
      </c>
      <c r="B776" s="572" t="s">
        <v>187</v>
      </c>
      <c r="C776" s="573" t="s">
        <v>187</v>
      </c>
      <c r="D776" s="580"/>
      <c r="E776" s="575"/>
      <c r="F776" s="436"/>
      <c r="G776" s="431"/>
      <c r="H776" s="430"/>
      <c r="I776" s="432"/>
      <c r="J776" s="433"/>
      <c r="K776" s="437">
        <f t="shared" si="232"/>
        <v>0</v>
      </c>
      <c r="L776" s="435" t="s">
        <v>614</v>
      </c>
      <c r="M776" s="576"/>
      <c r="N776" s="576">
        <f t="shared" si="230"/>
        <v>0</v>
      </c>
      <c r="O776" s="577">
        <f t="shared" si="236"/>
        <v>0</v>
      </c>
      <c r="P776" s="578">
        <f t="shared" si="237"/>
        <v>0</v>
      </c>
      <c r="Q776" s="765"/>
      <c r="R776" s="576">
        <f t="shared" si="233"/>
        <v>0</v>
      </c>
      <c r="S776" s="576">
        <f t="shared" si="225"/>
        <v>0</v>
      </c>
      <c r="T776" s="577">
        <f t="shared" si="234"/>
        <v>0</v>
      </c>
      <c r="U776" s="578">
        <f t="shared" si="235"/>
        <v>0</v>
      </c>
      <c r="V776" s="579"/>
      <c r="W776" s="566"/>
      <c r="X776" s="586" t="str">
        <f t="shared" si="238"/>
        <v/>
      </c>
      <c r="Y776" s="586" t="str">
        <f t="shared" si="189"/>
        <v/>
      </c>
      <c r="Z776" s="586" t="str">
        <f t="shared" si="239"/>
        <v/>
      </c>
    </row>
    <row r="777" spans="1:26" ht="12" hidden="1" thickBot="1" x14ac:dyDescent="0.25">
      <c r="A777" s="652" t="s">
        <v>187</v>
      </c>
      <c r="B777" s="572" t="s">
        <v>187</v>
      </c>
      <c r="C777" s="573" t="s">
        <v>187</v>
      </c>
      <c r="D777" s="580"/>
      <c r="E777" s="575"/>
      <c r="F777" s="436"/>
      <c r="G777" s="431"/>
      <c r="H777" s="430"/>
      <c r="I777" s="432"/>
      <c r="J777" s="433"/>
      <c r="K777" s="437">
        <f t="shared" si="232"/>
        <v>0</v>
      </c>
      <c r="L777" s="435" t="s">
        <v>614</v>
      </c>
      <c r="M777" s="576"/>
      <c r="N777" s="576">
        <f t="shared" si="230"/>
        <v>0</v>
      </c>
      <c r="O777" s="577">
        <f t="shared" si="236"/>
        <v>0</v>
      </c>
      <c r="P777" s="578">
        <f t="shared" si="237"/>
        <v>0</v>
      </c>
      <c r="Q777" s="765"/>
      <c r="R777" s="576">
        <f t="shared" si="233"/>
        <v>0</v>
      </c>
      <c r="S777" s="576">
        <f t="shared" si="225"/>
        <v>0</v>
      </c>
      <c r="T777" s="577">
        <f t="shared" si="234"/>
        <v>0</v>
      </c>
      <c r="U777" s="578">
        <f t="shared" si="235"/>
        <v>0</v>
      </c>
      <c r="V777" s="579"/>
      <c r="W777" s="566"/>
      <c r="X777" s="586" t="str">
        <f t="shared" si="238"/>
        <v/>
      </c>
      <c r="Y777" s="586" t="str">
        <f t="shared" si="189"/>
        <v/>
      </c>
      <c r="Z777" s="586" t="str">
        <f t="shared" si="239"/>
        <v/>
      </c>
    </row>
    <row r="778" spans="1:26" ht="12" hidden="1" thickBot="1" x14ac:dyDescent="0.25">
      <c r="A778" s="652" t="s">
        <v>187</v>
      </c>
      <c r="B778" s="572" t="s">
        <v>187</v>
      </c>
      <c r="C778" s="573" t="s">
        <v>187</v>
      </c>
      <c r="D778" s="580"/>
      <c r="E778" s="575"/>
      <c r="F778" s="436"/>
      <c r="G778" s="431"/>
      <c r="H778" s="430"/>
      <c r="I778" s="432"/>
      <c r="J778" s="433"/>
      <c r="K778" s="437">
        <f t="shared" si="232"/>
        <v>0</v>
      </c>
      <c r="L778" s="435" t="s">
        <v>614</v>
      </c>
      <c r="M778" s="576"/>
      <c r="N778" s="576">
        <f t="shared" si="230"/>
        <v>0</v>
      </c>
      <c r="O778" s="577">
        <f t="shared" si="236"/>
        <v>0</v>
      </c>
      <c r="P778" s="578">
        <f t="shared" si="237"/>
        <v>0</v>
      </c>
      <c r="Q778" s="765"/>
      <c r="R778" s="576">
        <f t="shared" si="233"/>
        <v>0</v>
      </c>
      <c r="S778" s="576">
        <f t="shared" si="225"/>
        <v>0</v>
      </c>
      <c r="T778" s="577">
        <f t="shared" si="234"/>
        <v>0</v>
      </c>
      <c r="U778" s="578">
        <f t="shared" si="235"/>
        <v>0</v>
      </c>
      <c r="V778" s="579"/>
      <c r="W778" s="566"/>
      <c r="X778" s="586" t="str">
        <f t="shared" si="238"/>
        <v/>
      </c>
      <c r="Y778" s="586" t="str">
        <f t="shared" si="189"/>
        <v/>
      </c>
      <c r="Z778" s="586" t="str">
        <f t="shared" si="239"/>
        <v/>
      </c>
    </row>
    <row r="779" spans="1:26" ht="12" hidden="1" thickBot="1" x14ac:dyDescent="0.25">
      <c r="A779" s="652" t="s">
        <v>187</v>
      </c>
      <c r="B779" s="581" t="s">
        <v>187</v>
      </c>
      <c r="C779" s="582" t="s">
        <v>187</v>
      </c>
      <c r="D779" s="583"/>
      <c r="E779" s="584"/>
      <c r="F779" s="438"/>
      <c r="G779" s="439"/>
      <c r="H779" s="440"/>
      <c r="I779" s="441"/>
      <c r="J779" s="442"/>
      <c r="K779" s="443">
        <f t="shared" si="232"/>
        <v>0</v>
      </c>
      <c r="L779" s="444" t="s">
        <v>614</v>
      </c>
      <c r="M779" s="576"/>
      <c r="N779" s="576">
        <f t="shared" si="230"/>
        <v>0</v>
      </c>
      <c r="O779" s="585">
        <f t="shared" si="236"/>
        <v>0</v>
      </c>
      <c r="P779" s="660">
        <f t="shared" si="237"/>
        <v>0</v>
      </c>
      <c r="Q779" s="765"/>
      <c r="R779" s="576">
        <f t="shared" si="233"/>
        <v>0</v>
      </c>
      <c r="S779" s="576">
        <f t="shared" si="233"/>
        <v>0</v>
      </c>
      <c r="T779" s="585">
        <f t="shared" si="234"/>
        <v>0</v>
      </c>
      <c r="U779" s="660">
        <f t="shared" si="235"/>
        <v>0</v>
      </c>
      <c r="V779" s="579"/>
      <c r="W779" s="566"/>
      <c r="X779" s="586" t="str">
        <f t="shared" si="238"/>
        <v/>
      </c>
      <c r="Y779" s="586" t="str">
        <f t="shared" si="189"/>
        <v/>
      </c>
      <c r="Z779" s="586" t="str">
        <f t="shared" si="239"/>
        <v/>
      </c>
    </row>
    <row r="780" spans="1:26" ht="12" thickBot="1" x14ac:dyDescent="0.25">
      <c r="A780" s="567" t="s">
        <v>452</v>
      </c>
      <c r="B780" s="664" t="s">
        <v>452</v>
      </c>
      <c r="C780" s="665"/>
      <c r="D780" s="666" t="s">
        <v>468</v>
      </c>
      <c r="E780" s="631"/>
      <c r="F780" s="632"/>
      <c r="G780" s="633"/>
      <c r="H780" s="634"/>
      <c r="I780" s="409"/>
      <c r="J780" s="409"/>
      <c r="K780" s="409"/>
      <c r="L780" s="409" t="s">
        <v>614</v>
      </c>
      <c r="M780" s="634"/>
      <c r="N780" s="797"/>
      <c r="O780" s="409">
        <f t="shared" si="236"/>
        <v>0</v>
      </c>
      <c r="P780" s="635">
        <f t="shared" si="237"/>
        <v>0</v>
      </c>
      <c r="Q780" s="635">
        <f>SUM(P781:P839)</f>
        <v>3165.2</v>
      </c>
      <c r="R780" s="634"/>
      <c r="S780" s="409"/>
      <c r="T780" s="409">
        <f t="shared" si="234"/>
        <v>0</v>
      </c>
      <c r="U780" s="635">
        <f t="shared" si="235"/>
        <v>0</v>
      </c>
      <c r="V780" s="636">
        <f>SUM(U781:U839)</f>
        <v>3165.2</v>
      </c>
      <c r="W780" s="637" t="str">
        <f>IF(OR(Q780&gt;0,V780&gt;0),"X","")</f>
        <v>X</v>
      </c>
      <c r="X780" s="586" t="str">
        <f t="shared" si="238"/>
        <v>x</v>
      </c>
      <c r="Y780" s="586" t="str">
        <f t="shared" si="189"/>
        <v>x</v>
      </c>
      <c r="Z780" s="586" t="str">
        <f t="shared" si="239"/>
        <v>x</v>
      </c>
    </row>
    <row r="781" spans="1:26" hidden="1" x14ac:dyDescent="0.2">
      <c r="A781" s="567">
        <v>813000</v>
      </c>
      <c r="B781" s="644">
        <v>813000</v>
      </c>
      <c r="C781" s="645" t="s">
        <v>206</v>
      </c>
      <c r="D781" s="422" t="s">
        <v>639</v>
      </c>
      <c r="E781" s="423"/>
      <c r="F781" s="424"/>
      <c r="G781" s="425"/>
      <c r="H781" s="651">
        <f>SUM(H782:H784)</f>
        <v>24.342776000000001</v>
      </c>
      <c r="I781" s="420">
        <v>99.13</v>
      </c>
      <c r="J781" s="420">
        <f>IF(ISBLANK(I781),"",SUM(H781:I781))</f>
        <v>123.472776</v>
      </c>
      <c r="K781" s="421">
        <f t="shared" ref="K781:K788" si="240">IF(ISBLANK(J781),0,ROUND(J781*(1+$F$10)*(1+$F$11*E781),2))</f>
        <v>146.69999999999999</v>
      </c>
      <c r="L781" s="647" t="s">
        <v>19</v>
      </c>
      <c r="M781" s="576"/>
      <c r="N781" s="576">
        <f t="shared" si="230"/>
        <v>0</v>
      </c>
      <c r="O781" s="577">
        <f t="shared" si="236"/>
        <v>0</v>
      </c>
      <c r="P781" s="578">
        <f t="shared" si="237"/>
        <v>0</v>
      </c>
      <c r="Q781" s="765"/>
      <c r="R781" s="576">
        <f t="shared" si="233"/>
        <v>0</v>
      </c>
      <c r="S781" s="576">
        <f t="shared" si="233"/>
        <v>0</v>
      </c>
      <c r="T781" s="577">
        <f t="shared" si="234"/>
        <v>0</v>
      </c>
      <c r="U781" s="578">
        <f t="shared" si="235"/>
        <v>0</v>
      </c>
      <c r="V781" s="579"/>
      <c r="W781" s="566"/>
      <c r="X781" s="586" t="str">
        <f t="shared" si="238"/>
        <v/>
      </c>
      <c r="Y781" s="586" t="str">
        <f t="shared" si="189"/>
        <v/>
      </c>
      <c r="Z781" s="586" t="str">
        <f t="shared" si="239"/>
        <v/>
      </c>
    </row>
    <row r="782" spans="1:26" hidden="1" x14ac:dyDescent="0.2">
      <c r="A782" s="567" t="s">
        <v>168</v>
      </c>
      <c r="B782" s="644" t="s">
        <v>168</v>
      </c>
      <c r="C782" s="645"/>
      <c r="D782" s="451" t="s">
        <v>212</v>
      </c>
      <c r="E782" s="423"/>
      <c r="F782" s="424">
        <v>500</v>
      </c>
      <c r="G782" s="425">
        <v>1.7600000000000001E-2</v>
      </c>
      <c r="H782" s="649">
        <f>IF(F782&lt;=30,(0.78*F782+7.82)*G782,((0.78*30+7.82)+0.78*(F782-30))*G782)</f>
        <v>7.0016320000000016</v>
      </c>
      <c r="I782" s="420">
        <v>0</v>
      </c>
      <c r="J782" s="420"/>
      <c r="K782" s="421">
        <f t="shared" si="240"/>
        <v>0</v>
      </c>
      <c r="L782" s="668" t="s">
        <v>614</v>
      </c>
      <c r="M782" s="669"/>
      <c r="N782" s="576">
        <f t="shared" si="230"/>
        <v>0</v>
      </c>
      <c r="O782" s="577">
        <f t="shared" si="236"/>
        <v>0</v>
      </c>
      <c r="P782" s="578">
        <f t="shared" si="237"/>
        <v>0</v>
      </c>
      <c r="Q782" s="765"/>
      <c r="R782" s="669"/>
      <c r="S782" s="670"/>
      <c r="T782" s="577">
        <f t="shared" si="234"/>
        <v>0</v>
      </c>
      <c r="U782" s="578">
        <f t="shared" si="235"/>
        <v>0</v>
      </c>
      <c r="V782" s="579"/>
      <c r="W782" s="637" t="str">
        <f>IF(U781&gt;0,"xx",IF(P781&gt;0,"xy",""))</f>
        <v/>
      </c>
      <c r="X782" s="586" t="str">
        <f t="shared" si="238"/>
        <v/>
      </c>
      <c r="Y782" s="586" t="str">
        <f t="shared" si="189"/>
        <v/>
      </c>
      <c r="Z782" s="586" t="str">
        <f t="shared" si="239"/>
        <v/>
      </c>
    </row>
    <row r="783" spans="1:26" hidden="1" x14ac:dyDescent="0.2">
      <c r="A783" s="567" t="s">
        <v>168</v>
      </c>
      <c r="B783" s="644" t="s">
        <v>168</v>
      </c>
      <c r="C783" s="645"/>
      <c r="D783" s="451" t="s">
        <v>248</v>
      </c>
      <c r="E783" s="423"/>
      <c r="F783" s="424">
        <v>180</v>
      </c>
      <c r="G783" s="425">
        <v>7.3400000000000007E-2</v>
      </c>
      <c r="H783" s="663">
        <f t="shared" ref="H783:H784" si="241">IF(F783&lt;=30,(1.07*F783+2.68)*G783,((1.07*30+2.68)+1.07*(F783-30))*G783)</f>
        <v>14.333552000000001</v>
      </c>
      <c r="I783" s="420">
        <v>0</v>
      </c>
      <c r="J783" s="420"/>
      <c r="K783" s="421">
        <f t="shared" si="240"/>
        <v>0</v>
      </c>
      <c r="L783" s="668" t="s">
        <v>614</v>
      </c>
      <c r="M783" s="669"/>
      <c r="N783" s="576">
        <f t="shared" si="230"/>
        <v>0</v>
      </c>
      <c r="O783" s="577">
        <f t="shared" si="236"/>
        <v>0</v>
      </c>
      <c r="P783" s="578">
        <f t="shared" si="237"/>
        <v>0</v>
      </c>
      <c r="Q783" s="765"/>
      <c r="R783" s="669"/>
      <c r="S783" s="670"/>
      <c r="T783" s="577">
        <f t="shared" si="234"/>
        <v>0</v>
      </c>
      <c r="U783" s="578">
        <f t="shared" si="235"/>
        <v>0</v>
      </c>
      <c r="V783" s="579"/>
      <c r="W783" s="637" t="str">
        <f>IF(U781&gt;0,"xx",IF(P781&gt;0,"xy",""))</f>
        <v/>
      </c>
      <c r="X783" s="586" t="str">
        <f t="shared" si="238"/>
        <v/>
      </c>
      <c r="Y783" s="586" t="str">
        <f t="shared" si="189"/>
        <v/>
      </c>
      <c r="Z783" s="586" t="str">
        <f t="shared" si="239"/>
        <v/>
      </c>
    </row>
    <row r="784" spans="1:26" hidden="1" x14ac:dyDescent="0.2">
      <c r="A784" s="567" t="s">
        <v>168</v>
      </c>
      <c r="B784" s="644" t="s">
        <v>168</v>
      </c>
      <c r="C784" s="645"/>
      <c r="D784" s="451" t="s">
        <v>252</v>
      </c>
      <c r="E784" s="423"/>
      <c r="F784" s="424">
        <v>20</v>
      </c>
      <c r="G784" s="425">
        <v>0.1249</v>
      </c>
      <c r="H784" s="663">
        <f t="shared" si="241"/>
        <v>3.0075920000000003</v>
      </c>
      <c r="I784" s="420">
        <v>0</v>
      </c>
      <c r="J784" s="420"/>
      <c r="K784" s="421">
        <f t="shared" si="240"/>
        <v>0</v>
      </c>
      <c r="L784" s="668" t="s">
        <v>614</v>
      </c>
      <c r="M784" s="669"/>
      <c r="N784" s="576">
        <f t="shared" si="230"/>
        <v>0</v>
      </c>
      <c r="O784" s="577">
        <f t="shared" si="236"/>
        <v>0</v>
      </c>
      <c r="P784" s="578">
        <f t="shared" si="237"/>
        <v>0</v>
      </c>
      <c r="Q784" s="765"/>
      <c r="R784" s="669"/>
      <c r="S784" s="670"/>
      <c r="T784" s="577">
        <f t="shared" si="234"/>
        <v>0</v>
      </c>
      <c r="U784" s="578">
        <f t="shared" si="235"/>
        <v>0</v>
      </c>
      <c r="V784" s="579"/>
      <c r="W784" s="637" t="str">
        <f>IF(U781&gt;0,"xx",IF(P781&gt;0,"xy",""))</f>
        <v/>
      </c>
      <c r="X784" s="586" t="str">
        <f t="shared" si="238"/>
        <v/>
      </c>
      <c r="Y784" s="586" t="str">
        <f t="shared" si="189"/>
        <v/>
      </c>
      <c r="Z784" s="586" t="str">
        <f t="shared" si="239"/>
        <v/>
      </c>
    </row>
    <row r="785" spans="1:26" hidden="1" x14ac:dyDescent="0.2">
      <c r="A785" s="567">
        <v>814000</v>
      </c>
      <c r="B785" s="644">
        <v>814000</v>
      </c>
      <c r="C785" s="645" t="s">
        <v>206</v>
      </c>
      <c r="D785" s="422" t="s">
        <v>640</v>
      </c>
      <c r="E785" s="423"/>
      <c r="F785" s="424"/>
      <c r="G785" s="425"/>
      <c r="H785" s="651">
        <f>SUM(H786:H788)</f>
        <v>24.342776000000001</v>
      </c>
      <c r="I785" s="420">
        <v>97.89</v>
      </c>
      <c r="J785" s="420">
        <f>IF(ISBLANK(I785),"",SUM(H785:I785))</f>
        <v>122.232776</v>
      </c>
      <c r="K785" s="421">
        <f t="shared" si="240"/>
        <v>145.22</v>
      </c>
      <c r="L785" s="647" t="s">
        <v>19</v>
      </c>
      <c r="M785" s="576"/>
      <c r="N785" s="576">
        <f t="shared" si="230"/>
        <v>0</v>
      </c>
      <c r="O785" s="577">
        <f t="shared" si="236"/>
        <v>0</v>
      </c>
      <c r="P785" s="578">
        <f t="shared" si="237"/>
        <v>0</v>
      </c>
      <c r="Q785" s="765"/>
      <c r="R785" s="576">
        <f t="shared" si="233"/>
        <v>0</v>
      </c>
      <c r="S785" s="576">
        <f t="shared" si="233"/>
        <v>0</v>
      </c>
      <c r="T785" s="577">
        <f t="shared" si="234"/>
        <v>0</v>
      </c>
      <c r="U785" s="578">
        <f t="shared" si="235"/>
        <v>0</v>
      </c>
      <c r="V785" s="579"/>
      <c r="W785" s="566"/>
      <c r="X785" s="586" t="str">
        <f t="shared" si="238"/>
        <v/>
      </c>
      <c r="Y785" s="586" t="str">
        <f t="shared" si="189"/>
        <v/>
      </c>
      <c r="Z785" s="586" t="str">
        <f t="shared" si="239"/>
        <v/>
      </c>
    </row>
    <row r="786" spans="1:26" hidden="1" x14ac:dyDescent="0.2">
      <c r="A786" s="567" t="s">
        <v>168</v>
      </c>
      <c r="B786" s="644" t="s">
        <v>168</v>
      </c>
      <c r="C786" s="645"/>
      <c r="D786" s="451" t="s">
        <v>212</v>
      </c>
      <c r="E786" s="423"/>
      <c r="F786" s="424">
        <v>500</v>
      </c>
      <c r="G786" s="425">
        <v>1.7600000000000001E-2</v>
      </c>
      <c r="H786" s="649">
        <f>IF(F786&lt;=30,(0.78*F786+7.82)*G786,((0.78*30+7.82)+0.78*(F786-30))*G786)</f>
        <v>7.0016320000000016</v>
      </c>
      <c r="I786" s="420">
        <v>0</v>
      </c>
      <c r="J786" s="420"/>
      <c r="K786" s="421">
        <f t="shared" si="240"/>
        <v>0</v>
      </c>
      <c r="L786" s="668" t="s">
        <v>614</v>
      </c>
      <c r="M786" s="669"/>
      <c r="N786" s="576">
        <f t="shared" si="230"/>
        <v>0</v>
      </c>
      <c r="O786" s="577">
        <f t="shared" si="236"/>
        <v>0</v>
      </c>
      <c r="P786" s="578">
        <f t="shared" si="237"/>
        <v>0</v>
      </c>
      <c r="Q786" s="765"/>
      <c r="R786" s="669"/>
      <c r="S786" s="670"/>
      <c r="T786" s="577">
        <f t="shared" si="234"/>
        <v>0</v>
      </c>
      <c r="U786" s="578">
        <f t="shared" si="235"/>
        <v>0</v>
      </c>
      <c r="V786" s="579"/>
      <c r="W786" s="637" t="str">
        <f>IF(U785&gt;0,"xx",IF(P785&gt;0,"xy",""))</f>
        <v/>
      </c>
      <c r="X786" s="586" t="str">
        <f t="shared" si="238"/>
        <v/>
      </c>
      <c r="Y786" s="586" t="str">
        <f t="shared" si="189"/>
        <v/>
      </c>
      <c r="Z786" s="586" t="str">
        <f t="shared" si="239"/>
        <v/>
      </c>
    </row>
    <row r="787" spans="1:26" hidden="1" x14ac:dyDescent="0.2">
      <c r="A787" s="567" t="s">
        <v>168</v>
      </c>
      <c r="B787" s="644" t="s">
        <v>168</v>
      </c>
      <c r="C787" s="645"/>
      <c r="D787" s="451" t="s">
        <v>248</v>
      </c>
      <c r="E787" s="423"/>
      <c r="F787" s="424">
        <v>180</v>
      </c>
      <c r="G787" s="425">
        <v>7.3400000000000007E-2</v>
      </c>
      <c r="H787" s="663">
        <f t="shared" ref="H787:H788" si="242">IF(F787&lt;=30,(1.07*F787+2.68)*G787,((1.07*30+2.68)+1.07*(F787-30))*G787)</f>
        <v>14.333552000000001</v>
      </c>
      <c r="I787" s="420">
        <v>0</v>
      </c>
      <c r="J787" s="420"/>
      <c r="K787" s="421">
        <f t="shared" si="240"/>
        <v>0</v>
      </c>
      <c r="L787" s="668" t="s">
        <v>614</v>
      </c>
      <c r="M787" s="669"/>
      <c r="N787" s="576">
        <f t="shared" si="230"/>
        <v>0</v>
      </c>
      <c r="O787" s="577">
        <f t="shared" si="236"/>
        <v>0</v>
      </c>
      <c r="P787" s="578">
        <f t="shared" si="237"/>
        <v>0</v>
      </c>
      <c r="Q787" s="765"/>
      <c r="R787" s="669"/>
      <c r="S787" s="670"/>
      <c r="T787" s="577">
        <f t="shared" si="234"/>
        <v>0</v>
      </c>
      <c r="U787" s="578">
        <f t="shared" si="235"/>
        <v>0</v>
      </c>
      <c r="V787" s="579"/>
      <c r="W787" s="637" t="str">
        <f>IF(U785&gt;0,"xx",IF(P785&gt;0,"xy",""))</f>
        <v/>
      </c>
      <c r="X787" s="586" t="str">
        <f t="shared" si="238"/>
        <v/>
      </c>
      <c r="Y787" s="586" t="str">
        <f t="shared" si="189"/>
        <v/>
      </c>
      <c r="Z787" s="586" t="str">
        <f t="shared" si="239"/>
        <v/>
      </c>
    </row>
    <row r="788" spans="1:26" hidden="1" x14ac:dyDescent="0.2">
      <c r="A788" s="567" t="s">
        <v>168</v>
      </c>
      <c r="B788" s="644" t="s">
        <v>168</v>
      </c>
      <c r="C788" s="645"/>
      <c r="D788" s="451" t="s">
        <v>252</v>
      </c>
      <c r="E788" s="423"/>
      <c r="F788" s="424">
        <v>20</v>
      </c>
      <c r="G788" s="425">
        <v>0.1249</v>
      </c>
      <c r="H788" s="663">
        <f t="shared" si="242"/>
        <v>3.0075920000000003</v>
      </c>
      <c r="I788" s="420">
        <v>0</v>
      </c>
      <c r="J788" s="420"/>
      <c r="K788" s="421">
        <f t="shared" si="240"/>
        <v>0</v>
      </c>
      <c r="L788" s="668" t="s">
        <v>614</v>
      </c>
      <c r="M788" s="669"/>
      <c r="N788" s="576">
        <f t="shared" ref="N788:N851" si="243">IF(M788=0,0,K788)</f>
        <v>0</v>
      </c>
      <c r="O788" s="577">
        <f t="shared" si="236"/>
        <v>0</v>
      </c>
      <c r="P788" s="578">
        <f t="shared" si="237"/>
        <v>0</v>
      </c>
      <c r="Q788" s="765"/>
      <c r="R788" s="669"/>
      <c r="S788" s="670"/>
      <c r="T788" s="577">
        <f t="shared" si="234"/>
        <v>0</v>
      </c>
      <c r="U788" s="578">
        <f t="shared" si="235"/>
        <v>0</v>
      </c>
      <c r="V788" s="579"/>
      <c r="W788" s="637" t="str">
        <f>IF(U785&gt;0,"xx",IF(P785&gt;0,"xy",""))</f>
        <v/>
      </c>
      <c r="X788" s="586" t="str">
        <f t="shared" si="238"/>
        <v/>
      </c>
      <c r="Y788" s="586" t="str">
        <f t="shared" si="189"/>
        <v/>
      </c>
      <c r="Z788" s="586" t="str">
        <f t="shared" si="239"/>
        <v/>
      </c>
    </row>
    <row r="789" spans="1:26" hidden="1" x14ac:dyDescent="0.2">
      <c r="A789" s="567">
        <v>823000</v>
      </c>
      <c r="B789" s="644" t="s">
        <v>1635</v>
      </c>
      <c r="C789" s="645" t="s">
        <v>206</v>
      </c>
      <c r="D789" s="422" t="s">
        <v>282</v>
      </c>
      <c r="E789" s="423"/>
      <c r="F789" s="424">
        <v>0</v>
      </c>
      <c r="G789" s="425"/>
      <c r="H789" s="651">
        <v>0</v>
      </c>
      <c r="I789" s="420">
        <v>486.65</v>
      </c>
      <c r="J789" s="420">
        <f t="shared" ref="J789:J797" si="244">IF(ISBLANK(I789),"",SUM(H789:I789))</f>
        <v>486.65</v>
      </c>
      <c r="K789" s="421">
        <f t="shared" ref="K789:K806" si="245">IF(ISBLANK(I789),0,ROUND(J789*(1+$F$10)*(1+$F$11*E789),2))</f>
        <v>578.19000000000005</v>
      </c>
      <c r="L789" s="647" t="s">
        <v>19</v>
      </c>
      <c r="M789" s="576"/>
      <c r="N789" s="576">
        <f t="shared" si="243"/>
        <v>0</v>
      </c>
      <c r="O789" s="577">
        <f t="shared" si="236"/>
        <v>0</v>
      </c>
      <c r="P789" s="578">
        <f t="shared" si="237"/>
        <v>0</v>
      </c>
      <c r="Q789" s="765"/>
      <c r="R789" s="576">
        <f t="shared" si="233"/>
        <v>0</v>
      </c>
      <c r="S789" s="576">
        <f t="shared" si="233"/>
        <v>0</v>
      </c>
      <c r="T789" s="577">
        <f t="shared" si="234"/>
        <v>0</v>
      </c>
      <c r="U789" s="578">
        <f t="shared" si="235"/>
        <v>0</v>
      </c>
      <c r="V789" s="579"/>
      <c r="W789" s="566"/>
      <c r="X789" s="586" t="str">
        <f t="shared" si="238"/>
        <v/>
      </c>
      <c r="Y789" s="586" t="str">
        <f t="shared" si="189"/>
        <v/>
      </c>
      <c r="Z789" s="586" t="str">
        <f t="shared" si="239"/>
        <v/>
      </c>
    </row>
    <row r="790" spans="1:26" hidden="1" x14ac:dyDescent="0.2">
      <c r="A790" s="567">
        <v>871000</v>
      </c>
      <c r="B790" s="644">
        <v>871000</v>
      </c>
      <c r="C790" s="645" t="s">
        <v>206</v>
      </c>
      <c r="D790" s="422" t="s">
        <v>497</v>
      </c>
      <c r="E790" s="423"/>
      <c r="F790" s="424"/>
      <c r="G790" s="425"/>
      <c r="H790" s="651"/>
      <c r="I790" s="420">
        <v>15.67</v>
      </c>
      <c r="J790" s="420">
        <f t="shared" si="244"/>
        <v>15.67</v>
      </c>
      <c r="K790" s="421">
        <f t="shared" si="245"/>
        <v>18.62</v>
      </c>
      <c r="L790" s="647" t="s">
        <v>21</v>
      </c>
      <c r="M790" s="576"/>
      <c r="N790" s="576">
        <f t="shared" si="243"/>
        <v>0</v>
      </c>
      <c r="O790" s="577">
        <f t="shared" si="236"/>
        <v>0</v>
      </c>
      <c r="P790" s="578">
        <f t="shared" si="237"/>
        <v>0</v>
      </c>
      <c r="Q790" s="765"/>
      <c r="R790" s="576">
        <f t="shared" si="233"/>
        <v>0</v>
      </c>
      <c r="S790" s="576">
        <f t="shared" si="233"/>
        <v>0</v>
      </c>
      <c r="T790" s="577">
        <f t="shared" si="234"/>
        <v>0</v>
      </c>
      <c r="U790" s="578">
        <f t="shared" si="235"/>
        <v>0</v>
      </c>
      <c r="V790" s="579"/>
      <c r="W790" s="566"/>
      <c r="X790" s="586" t="str">
        <f t="shared" si="238"/>
        <v/>
      </c>
      <c r="Y790" s="586" t="str">
        <f t="shared" si="189"/>
        <v/>
      </c>
      <c r="Z790" s="586" t="str">
        <f t="shared" si="239"/>
        <v/>
      </c>
    </row>
    <row r="791" spans="1:26" hidden="1" x14ac:dyDescent="0.2">
      <c r="A791" s="567">
        <v>870000</v>
      </c>
      <c r="B791" s="644">
        <v>870000</v>
      </c>
      <c r="C791" s="645" t="s">
        <v>206</v>
      </c>
      <c r="D791" s="422" t="s">
        <v>498</v>
      </c>
      <c r="E791" s="423"/>
      <c r="F791" s="424"/>
      <c r="G791" s="425"/>
      <c r="H791" s="651"/>
      <c r="I791" s="420">
        <v>14.9</v>
      </c>
      <c r="J791" s="420">
        <f t="shared" si="244"/>
        <v>14.9</v>
      </c>
      <c r="K791" s="421">
        <f t="shared" si="245"/>
        <v>17.7</v>
      </c>
      <c r="L791" s="647" t="s">
        <v>21</v>
      </c>
      <c r="M791" s="576"/>
      <c r="N791" s="576">
        <f t="shared" si="243"/>
        <v>0</v>
      </c>
      <c r="O791" s="577">
        <f t="shared" si="236"/>
        <v>0</v>
      </c>
      <c r="P791" s="578">
        <f t="shared" si="237"/>
        <v>0</v>
      </c>
      <c r="Q791" s="765"/>
      <c r="R791" s="576">
        <f t="shared" si="233"/>
        <v>0</v>
      </c>
      <c r="S791" s="576">
        <f t="shared" si="233"/>
        <v>0</v>
      </c>
      <c r="T791" s="577">
        <f t="shared" si="234"/>
        <v>0</v>
      </c>
      <c r="U791" s="578">
        <f t="shared" si="235"/>
        <v>0</v>
      </c>
      <c r="V791" s="579"/>
      <c r="W791" s="566"/>
      <c r="X791" s="586" t="str">
        <f t="shared" si="238"/>
        <v/>
      </c>
      <c r="Y791" s="586" t="str">
        <f t="shared" si="189"/>
        <v/>
      </c>
      <c r="Z791" s="586" t="str">
        <f t="shared" si="239"/>
        <v/>
      </c>
    </row>
    <row r="792" spans="1:26" hidden="1" x14ac:dyDescent="0.2">
      <c r="A792" s="567">
        <v>873000</v>
      </c>
      <c r="B792" s="644">
        <v>873000</v>
      </c>
      <c r="C792" s="645" t="s">
        <v>206</v>
      </c>
      <c r="D792" s="422" t="s">
        <v>499</v>
      </c>
      <c r="E792" s="423"/>
      <c r="F792" s="424"/>
      <c r="G792" s="425"/>
      <c r="H792" s="651"/>
      <c r="I792" s="420">
        <v>30.03</v>
      </c>
      <c r="J792" s="420">
        <f t="shared" si="244"/>
        <v>30.03</v>
      </c>
      <c r="K792" s="421">
        <f t="shared" si="245"/>
        <v>35.68</v>
      </c>
      <c r="L792" s="647" t="s">
        <v>21</v>
      </c>
      <c r="M792" s="576"/>
      <c r="N792" s="576">
        <f t="shared" si="243"/>
        <v>0</v>
      </c>
      <c r="O792" s="577">
        <f t="shared" si="236"/>
        <v>0</v>
      </c>
      <c r="P792" s="578">
        <f t="shared" si="237"/>
        <v>0</v>
      </c>
      <c r="Q792" s="765"/>
      <c r="R792" s="576">
        <f t="shared" si="233"/>
        <v>0</v>
      </c>
      <c r="S792" s="576">
        <f t="shared" si="233"/>
        <v>0</v>
      </c>
      <c r="T792" s="577">
        <f t="shared" si="234"/>
        <v>0</v>
      </c>
      <c r="U792" s="578">
        <f t="shared" si="235"/>
        <v>0</v>
      </c>
      <c r="V792" s="579"/>
      <c r="W792" s="566"/>
      <c r="X792" s="586" t="str">
        <f t="shared" si="238"/>
        <v/>
      </c>
      <c r="Y792" s="586" t="str">
        <f t="shared" si="189"/>
        <v/>
      </c>
      <c r="Z792" s="586" t="str">
        <f t="shared" si="239"/>
        <v/>
      </c>
    </row>
    <row r="793" spans="1:26" hidden="1" x14ac:dyDescent="0.2">
      <c r="A793" s="567">
        <v>872000</v>
      </c>
      <c r="B793" s="644">
        <v>872000</v>
      </c>
      <c r="C793" s="645" t="s">
        <v>206</v>
      </c>
      <c r="D793" s="422" t="s">
        <v>500</v>
      </c>
      <c r="E793" s="423"/>
      <c r="F793" s="424"/>
      <c r="G793" s="425"/>
      <c r="H793" s="651"/>
      <c r="I793" s="420">
        <v>28.92</v>
      </c>
      <c r="J793" s="420">
        <f t="shared" si="244"/>
        <v>28.92</v>
      </c>
      <c r="K793" s="421">
        <f t="shared" si="245"/>
        <v>34.36</v>
      </c>
      <c r="L793" s="647" t="s">
        <v>21</v>
      </c>
      <c r="M793" s="576"/>
      <c r="N793" s="576">
        <f t="shared" si="243"/>
        <v>0</v>
      </c>
      <c r="O793" s="577">
        <f t="shared" si="236"/>
        <v>0</v>
      </c>
      <c r="P793" s="578">
        <f t="shared" si="237"/>
        <v>0</v>
      </c>
      <c r="Q793" s="765"/>
      <c r="R793" s="576">
        <f t="shared" si="233"/>
        <v>0</v>
      </c>
      <c r="S793" s="576">
        <f t="shared" si="233"/>
        <v>0</v>
      </c>
      <c r="T793" s="577">
        <f t="shared" si="234"/>
        <v>0</v>
      </c>
      <c r="U793" s="578">
        <f t="shared" si="235"/>
        <v>0</v>
      </c>
      <c r="V793" s="579"/>
      <c r="W793" s="566"/>
      <c r="X793" s="586" t="str">
        <f t="shared" si="238"/>
        <v/>
      </c>
      <c r="Y793" s="586" t="str">
        <f t="shared" si="189"/>
        <v/>
      </c>
      <c r="Z793" s="586" t="str">
        <f t="shared" si="239"/>
        <v/>
      </c>
    </row>
    <row r="794" spans="1:26" ht="12" thickBot="1" x14ac:dyDescent="0.25">
      <c r="A794" s="567">
        <v>822000</v>
      </c>
      <c r="B794" s="644">
        <v>822000</v>
      </c>
      <c r="C794" s="645" t="s">
        <v>206</v>
      </c>
      <c r="D794" s="422" t="s">
        <v>496</v>
      </c>
      <c r="E794" s="423"/>
      <c r="F794" s="424"/>
      <c r="G794" s="425"/>
      <c r="H794" s="651"/>
      <c r="I794" s="420">
        <v>34.510000000000005</v>
      </c>
      <c r="J794" s="420">
        <f t="shared" si="244"/>
        <v>34.510000000000005</v>
      </c>
      <c r="K794" s="421">
        <f t="shared" si="245"/>
        <v>41</v>
      </c>
      <c r="L794" s="647" t="s">
        <v>18</v>
      </c>
      <c r="M794" s="576">
        <f>63.6+13.6</f>
        <v>77.2</v>
      </c>
      <c r="N794" s="576">
        <f t="shared" si="243"/>
        <v>41</v>
      </c>
      <c r="O794" s="577">
        <f t="shared" si="236"/>
        <v>3165.2</v>
      </c>
      <c r="P794" s="578">
        <f t="shared" si="237"/>
        <v>3165.2</v>
      </c>
      <c r="Q794" s="765"/>
      <c r="R794" s="576">
        <f t="shared" si="233"/>
        <v>77.2</v>
      </c>
      <c r="S794" s="576">
        <f t="shared" si="233"/>
        <v>41</v>
      </c>
      <c r="T794" s="577">
        <f t="shared" si="234"/>
        <v>3165.2</v>
      </c>
      <c r="U794" s="578">
        <f t="shared" si="235"/>
        <v>3165.2</v>
      </c>
      <c r="V794" s="579"/>
      <c r="W794" s="566"/>
      <c r="X794" s="586" t="str">
        <f t="shared" si="238"/>
        <v>x</v>
      </c>
      <c r="Y794" s="586" t="str">
        <f t="shared" si="189"/>
        <v>x</v>
      </c>
      <c r="Z794" s="586" t="str">
        <f t="shared" si="239"/>
        <v>x</v>
      </c>
    </row>
    <row r="795" spans="1:26" ht="12" hidden="1" thickBot="1" x14ac:dyDescent="0.25">
      <c r="A795" s="567">
        <v>820000</v>
      </c>
      <c r="B795" s="644" t="s">
        <v>313</v>
      </c>
      <c r="C795" s="645" t="s">
        <v>206</v>
      </c>
      <c r="D795" s="422" t="s">
        <v>301</v>
      </c>
      <c r="E795" s="423"/>
      <c r="F795" s="424"/>
      <c r="G795" s="425"/>
      <c r="H795" s="651"/>
      <c r="I795" s="420">
        <v>667.42000000000007</v>
      </c>
      <c r="J795" s="420">
        <f t="shared" si="244"/>
        <v>667.42000000000007</v>
      </c>
      <c r="K795" s="421">
        <f t="shared" si="245"/>
        <v>792.96</v>
      </c>
      <c r="L795" s="647" t="s">
        <v>18</v>
      </c>
      <c r="M795" s="576"/>
      <c r="N795" s="576">
        <f t="shared" si="243"/>
        <v>0</v>
      </c>
      <c r="O795" s="577">
        <f t="shared" si="236"/>
        <v>0</v>
      </c>
      <c r="P795" s="578">
        <f t="shared" si="237"/>
        <v>0</v>
      </c>
      <c r="Q795" s="765"/>
      <c r="R795" s="576">
        <f t="shared" si="233"/>
        <v>0</v>
      </c>
      <c r="S795" s="576">
        <f t="shared" si="233"/>
        <v>0</v>
      </c>
      <c r="T795" s="577">
        <f t="shared" si="234"/>
        <v>0</v>
      </c>
      <c r="U795" s="578">
        <f t="shared" si="235"/>
        <v>0</v>
      </c>
      <c r="V795" s="579"/>
      <c r="W795" s="566"/>
      <c r="X795" s="586" t="str">
        <f t="shared" si="238"/>
        <v/>
      </c>
      <c r="Y795" s="586" t="str">
        <f t="shared" si="189"/>
        <v/>
      </c>
      <c r="Z795" s="586" t="str">
        <f t="shared" si="239"/>
        <v/>
      </c>
    </row>
    <row r="796" spans="1:26" ht="12" hidden="1" thickBot="1" x14ac:dyDescent="0.25">
      <c r="A796" s="567">
        <v>821000</v>
      </c>
      <c r="B796" s="644">
        <v>821000</v>
      </c>
      <c r="C796" s="645" t="s">
        <v>206</v>
      </c>
      <c r="D796" s="422" t="s">
        <v>302</v>
      </c>
      <c r="E796" s="423"/>
      <c r="F796" s="424"/>
      <c r="G796" s="425"/>
      <c r="H796" s="651"/>
      <c r="I796" s="420">
        <v>181.85000000000002</v>
      </c>
      <c r="J796" s="420">
        <f t="shared" si="244"/>
        <v>181.85000000000002</v>
      </c>
      <c r="K796" s="421">
        <f t="shared" si="245"/>
        <v>216.06</v>
      </c>
      <c r="L796" s="647" t="s">
        <v>21</v>
      </c>
      <c r="M796" s="576"/>
      <c r="N796" s="576">
        <f t="shared" si="243"/>
        <v>0</v>
      </c>
      <c r="O796" s="577">
        <f t="shared" si="236"/>
        <v>0</v>
      </c>
      <c r="P796" s="578">
        <f t="shared" si="237"/>
        <v>0</v>
      </c>
      <c r="Q796" s="765"/>
      <c r="R796" s="576">
        <f t="shared" si="233"/>
        <v>0</v>
      </c>
      <c r="S796" s="576">
        <f t="shared" si="233"/>
        <v>0</v>
      </c>
      <c r="T796" s="577">
        <f t="shared" si="234"/>
        <v>0</v>
      </c>
      <c r="U796" s="578">
        <f t="shared" si="235"/>
        <v>0</v>
      </c>
      <c r="V796" s="579"/>
      <c r="W796" s="566"/>
      <c r="X796" s="586" t="str">
        <f t="shared" si="238"/>
        <v/>
      </c>
      <c r="Y796" s="586" t="str">
        <f t="shared" si="189"/>
        <v/>
      </c>
      <c r="Z796" s="586" t="str">
        <f t="shared" si="239"/>
        <v/>
      </c>
    </row>
    <row r="797" spans="1:26" ht="12" hidden="1" thickBot="1" x14ac:dyDescent="0.25">
      <c r="A797" s="567">
        <v>821300</v>
      </c>
      <c r="B797" s="644">
        <v>821300</v>
      </c>
      <c r="C797" s="645" t="s">
        <v>206</v>
      </c>
      <c r="D797" s="422" t="s">
        <v>303</v>
      </c>
      <c r="E797" s="423"/>
      <c r="F797" s="424"/>
      <c r="G797" s="425"/>
      <c r="H797" s="651"/>
      <c r="I797" s="420">
        <v>412.65</v>
      </c>
      <c r="J797" s="420">
        <f t="shared" si="244"/>
        <v>412.65</v>
      </c>
      <c r="K797" s="421">
        <f t="shared" si="245"/>
        <v>490.27</v>
      </c>
      <c r="L797" s="647" t="s">
        <v>21</v>
      </c>
      <c r="M797" s="576"/>
      <c r="N797" s="576">
        <f t="shared" si="243"/>
        <v>0</v>
      </c>
      <c r="O797" s="577">
        <f t="shared" si="236"/>
        <v>0</v>
      </c>
      <c r="P797" s="578">
        <f t="shared" si="237"/>
        <v>0</v>
      </c>
      <c r="Q797" s="765"/>
      <c r="R797" s="576">
        <f t="shared" si="233"/>
        <v>0</v>
      </c>
      <c r="S797" s="576">
        <f t="shared" si="233"/>
        <v>0</v>
      </c>
      <c r="T797" s="577">
        <f t="shared" si="234"/>
        <v>0</v>
      </c>
      <c r="U797" s="578">
        <f t="shared" si="235"/>
        <v>0</v>
      </c>
      <c r="V797" s="579"/>
      <c r="W797" s="566"/>
      <c r="X797" s="586" t="str">
        <f t="shared" si="238"/>
        <v/>
      </c>
      <c r="Y797" s="586" t="str">
        <f t="shared" si="189"/>
        <v/>
      </c>
      <c r="Z797" s="586" t="str">
        <f t="shared" si="239"/>
        <v/>
      </c>
    </row>
    <row r="798" spans="1:26" ht="12" hidden="1" thickBot="1" x14ac:dyDescent="0.25">
      <c r="A798" s="567">
        <v>820000</v>
      </c>
      <c r="B798" s="644" t="s">
        <v>314</v>
      </c>
      <c r="C798" s="645" t="s">
        <v>206</v>
      </c>
      <c r="D798" s="422" t="s">
        <v>304</v>
      </c>
      <c r="E798" s="423"/>
      <c r="F798" s="424"/>
      <c r="G798" s="425"/>
      <c r="H798" s="651"/>
      <c r="I798" s="420">
        <f>667.42*0.1964+181.85</f>
        <v>312.931288</v>
      </c>
      <c r="J798" s="420">
        <f>IF(ISBLANK(I798),"",SUM(H798:I798))*0.85</f>
        <v>265.99159479999997</v>
      </c>
      <c r="K798" s="421">
        <f t="shared" si="245"/>
        <v>316.02</v>
      </c>
      <c r="L798" s="647" t="s">
        <v>21</v>
      </c>
      <c r="M798" s="576"/>
      <c r="N798" s="576">
        <f t="shared" si="243"/>
        <v>0</v>
      </c>
      <c r="O798" s="577">
        <f t="shared" si="236"/>
        <v>0</v>
      </c>
      <c r="P798" s="578">
        <f t="shared" si="237"/>
        <v>0</v>
      </c>
      <c r="Q798" s="765"/>
      <c r="R798" s="576">
        <f t="shared" si="233"/>
        <v>0</v>
      </c>
      <c r="S798" s="576">
        <f t="shared" si="233"/>
        <v>0</v>
      </c>
      <c r="T798" s="577">
        <f t="shared" si="234"/>
        <v>0</v>
      </c>
      <c r="U798" s="578">
        <f t="shared" si="235"/>
        <v>0</v>
      </c>
      <c r="V798" s="579"/>
      <c r="W798" s="566"/>
      <c r="X798" s="586" t="str">
        <f t="shared" si="238"/>
        <v/>
      </c>
      <c r="Y798" s="586" t="str">
        <f t="shared" si="189"/>
        <v/>
      </c>
      <c r="Z798" s="586" t="str">
        <f t="shared" si="239"/>
        <v/>
      </c>
    </row>
    <row r="799" spans="1:26" ht="12" hidden="1" thickBot="1" x14ac:dyDescent="0.25">
      <c r="A799" s="567">
        <v>820000</v>
      </c>
      <c r="B799" s="644" t="s">
        <v>315</v>
      </c>
      <c r="C799" s="645" t="s">
        <v>206</v>
      </c>
      <c r="D799" s="422" t="s">
        <v>305</v>
      </c>
      <c r="E799" s="423"/>
      <c r="F799" s="424"/>
      <c r="G799" s="425"/>
      <c r="H799" s="651"/>
      <c r="I799" s="420">
        <f>667.42*0.1219+181.85</f>
        <v>263.20849799999996</v>
      </c>
      <c r="J799" s="420">
        <f>IF(ISBLANK(I799),"",SUM(H799:I799))*0.85</f>
        <v>223.72722329999996</v>
      </c>
      <c r="K799" s="421">
        <f t="shared" si="245"/>
        <v>265.81</v>
      </c>
      <c r="L799" s="647" t="s">
        <v>21</v>
      </c>
      <c r="M799" s="576"/>
      <c r="N799" s="576">
        <f t="shared" si="243"/>
        <v>0</v>
      </c>
      <c r="O799" s="577">
        <f t="shared" si="236"/>
        <v>0</v>
      </c>
      <c r="P799" s="578">
        <f t="shared" si="237"/>
        <v>0</v>
      </c>
      <c r="Q799" s="765"/>
      <c r="R799" s="576">
        <f t="shared" si="233"/>
        <v>0</v>
      </c>
      <c r="S799" s="576">
        <f t="shared" si="233"/>
        <v>0</v>
      </c>
      <c r="T799" s="577">
        <f t="shared" si="234"/>
        <v>0</v>
      </c>
      <c r="U799" s="578">
        <f t="shared" si="235"/>
        <v>0</v>
      </c>
      <c r="V799" s="579"/>
      <c r="W799" s="566"/>
      <c r="X799" s="586" t="str">
        <f t="shared" si="238"/>
        <v/>
      </c>
      <c r="Y799" s="586" t="str">
        <f t="shared" si="189"/>
        <v/>
      </c>
      <c r="Z799" s="586" t="str">
        <f t="shared" si="239"/>
        <v/>
      </c>
    </row>
    <row r="800" spans="1:26" ht="12" hidden="1" thickBot="1" x14ac:dyDescent="0.25">
      <c r="A800" s="567">
        <v>820000</v>
      </c>
      <c r="B800" s="644" t="s">
        <v>316</v>
      </c>
      <c r="C800" s="645" t="s">
        <v>206</v>
      </c>
      <c r="D800" s="422" t="s">
        <v>306</v>
      </c>
      <c r="E800" s="423"/>
      <c r="F800" s="424"/>
      <c r="G800" s="425"/>
      <c r="H800" s="651"/>
      <c r="I800" s="420">
        <f>667.42*0.216+181.85</f>
        <v>326.01271999999994</v>
      </c>
      <c r="J800" s="420">
        <f>IF(ISBLANK(I800),"",SUM(H800:I800))*0.85</f>
        <v>277.11081199999995</v>
      </c>
      <c r="K800" s="421">
        <f t="shared" si="245"/>
        <v>329.24</v>
      </c>
      <c r="L800" s="647" t="s">
        <v>21</v>
      </c>
      <c r="M800" s="576"/>
      <c r="N800" s="576">
        <f t="shared" si="243"/>
        <v>0</v>
      </c>
      <c r="O800" s="577">
        <f t="shared" si="236"/>
        <v>0</v>
      </c>
      <c r="P800" s="578">
        <f t="shared" si="237"/>
        <v>0</v>
      </c>
      <c r="Q800" s="765"/>
      <c r="R800" s="576">
        <f t="shared" si="233"/>
        <v>0</v>
      </c>
      <c r="S800" s="576">
        <f t="shared" si="233"/>
        <v>0</v>
      </c>
      <c r="T800" s="577">
        <f t="shared" si="234"/>
        <v>0</v>
      </c>
      <c r="U800" s="578">
        <f t="shared" si="235"/>
        <v>0</v>
      </c>
      <c r="V800" s="579"/>
      <c r="W800" s="566"/>
      <c r="X800" s="586" t="str">
        <f t="shared" si="238"/>
        <v/>
      </c>
      <c r="Y800" s="586" t="str">
        <f t="shared" si="189"/>
        <v/>
      </c>
      <c r="Z800" s="586" t="str">
        <f t="shared" si="239"/>
        <v/>
      </c>
    </row>
    <row r="801" spans="1:26" ht="12" hidden="1" thickBot="1" x14ac:dyDescent="0.25">
      <c r="A801" s="567">
        <v>820000</v>
      </c>
      <c r="B801" s="644" t="s">
        <v>317</v>
      </c>
      <c r="C801" s="645" t="s">
        <v>206</v>
      </c>
      <c r="D801" s="422" t="s">
        <v>307</v>
      </c>
      <c r="E801" s="423"/>
      <c r="F801" s="424"/>
      <c r="G801" s="425"/>
      <c r="H801" s="651"/>
      <c r="I801" s="420">
        <f>667.42*0.2025+181.85</f>
        <v>317.00254999999999</v>
      </c>
      <c r="J801" s="420">
        <f>IF(ISBLANK(I801),"",SUM(H801:I801))*0.85</f>
        <v>269.45216749999997</v>
      </c>
      <c r="K801" s="421">
        <f t="shared" si="245"/>
        <v>320.14</v>
      </c>
      <c r="L801" s="647" t="s">
        <v>21</v>
      </c>
      <c r="M801" s="576"/>
      <c r="N801" s="576">
        <f t="shared" si="243"/>
        <v>0</v>
      </c>
      <c r="O801" s="577">
        <f t="shared" si="236"/>
        <v>0</v>
      </c>
      <c r="P801" s="578">
        <f t="shared" si="237"/>
        <v>0</v>
      </c>
      <c r="Q801" s="765"/>
      <c r="R801" s="576">
        <f t="shared" si="233"/>
        <v>0</v>
      </c>
      <c r="S801" s="576">
        <f t="shared" si="233"/>
        <v>0</v>
      </c>
      <c r="T801" s="577">
        <f t="shared" si="234"/>
        <v>0</v>
      </c>
      <c r="U801" s="578">
        <f t="shared" si="235"/>
        <v>0</v>
      </c>
      <c r="V801" s="579"/>
      <c r="W801" s="566"/>
      <c r="X801" s="586" t="str">
        <f t="shared" si="238"/>
        <v/>
      </c>
      <c r="Y801" s="586" t="str">
        <f t="shared" si="189"/>
        <v/>
      </c>
      <c r="Z801" s="586" t="str">
        <f t="shared" si="239"/>
        <v/>
      </c>
    </row>
    <row r="802" spans="1:26" ht="12" hidden="1" thickBot="1" x14ac:dyDescent="0.25">
      <c r="A802" s="567">
        <v>820000</v>
      </c>
      <c r="B802" s="644" t="s">
        <v>318</v>
      </c>
      <c r="C802" s="645" t="s">
        <v>206</v>
      </c>
      <c r="D802" s="422" t="s">
        <v>308</v>
      </c>
      <c r="E802" s="423"/>
      <c r="F802" s="424"/>
      <c r="G802" s="425"/>
      <c r="H802" s="651"/>
      <c r="I802" s="420">
        <f>667.42*0.1964+412.65</f>
        <v>543.73128799999995</v>
      </c>
      <c r="J802" s="420">
        <f>IF(ISBLANK(I802),"",SUM(H802:I802))</f>
        <v>543.73128799999995</v>
      </c>
      <c r="K802" s="421">
        <f t="shared" si="245"/>
        <v>646.01</v>
      </c>
      <c r="L802" s="647" t="s">
        <v>21</v>
      </c>
      <c r="M802" s="576"/>
      <c r="N802" s="576">
        <f t="shared" si="243"/>
        <v>0</v>
      </c>
      <c r="O802" s="577">
        <f t="shared" si="236"/>
        <v>0</v>
      </c>
      <c r="P802" s="578">
        <f t="shared" si="237"/>
        <v>0</v>
      </c>
      <c r="Q802" s="765"/>
      <c r="R802" s="576">
        <f t="shared" si="233"/>
        <v>0</v>
      </c>
      <c r="S802" s="576">
        <f t="shared" si="233"/>
        <v>0</v>
      </c>
      <c r="T802" s="577">
        <f t="shared" si="234"/>
        <v>0</v>
      </c>
      <c r="U802" s="578">
        <f t="shared" si="235"/>
        <v>0</v>
      </c>
      <c r="V802" s="579"/>
      <c r="W802" s="566"/>
      <c r="X802" s="586" t="str">
        <f t="shared" si="238"/>
        <v/>
      </c>
      <c r="Y802" s="586" t="str">
        <f t="shared" si="189"/>
        <v/>
      </c>
      <c r="Z802" s="586" t="str">
        <f t="shared" si="239"/>
        <v/>
      </c>
    </row>
    <row r="803" spans="1:26" ht="12" hidden="1" thickBot="1" x14ac:dyDescent="0.25">
      <c r="A803" s="567">
        <v>820000</v>
      </c>
      <c r="B803" s="644" t="s">
        <v>319</v>
      </c>
      <c r="C803" s="645" t="s">
        <v>206</v>
      </c>
      <c r="D803" s="422" t="s">
        <v>309</v>
      </c>
      <c r="E803" s="423"/>
      <c r="F803" s="424"/>
      <c r="G803" s="425"/>
      <c r="H803" s="651"/>
      <c r="I803" s="420">
        <f>667.42*0.12194+412.65</f>
        <v>494.0351948</v>
      </c>
      <c r="J803" s="420">
        <f>IF(ISBLANK(I803),"",SUM(H803:I803))</f>
        <v>494.0351948</v>
      </c>
      <c r="K803" s="421">
        <f t="shared" si="245"/>
        <v>586.96</v>
      </c>
      <c r="L803" s="647" t="s">
        <v>21</v>
      </c>
      <c r="M803" s="576"/>
      <c r="N803" s="576">
        <f t="shared" si="243"/>
        <v>0</v>
      </c>
      <c r="O803" s="577">
        <f t="shared" si="236"/>
        <v>0</v>
      </c>
      <c r="P803" s="578">
        <f t="shared" si="237"/>
        <v>0</v>
      </c>
      <c r="Q803" s="765"/>
      <c r="R803" s="576">
        <f t="shared" si="233"/>
        <v>0</v>
      </c>
      <c r="S803" s="576">
        <f t="shared" si="233"/>
        <v>0</v>
      </c>
      <c r="T803" s="577">
        <f t="shared" si="234"/>
        <v>0</v>
      </c>
      <c r="U803" s="578">
        <f t="shared" si="235"/>
        <v>0</v>
      </c>
      <c r="V803" s="579"/>
      <c r="W803" s="566"/>
      <c r="X803" s="586" t="str">
        <f t="shared" si="238"/>
        <v/>
      </c>
      <c r="Y803" s="586" t="str">
        <f t="shared" si="189"/>
        <v/>
      </c>
      <c r="Z803" s="586" t="str">
        <f t="shared" si="239"/>
        <v/>
      </c>
    </row>
    <row r="804" spans="1:26" ht="12" hidden="1" thickBot="1" x14ac:dyDescent="0.25">
      <c r="A804" s="567">
        <v>820000</v>
      </c>
      <c r="B804" s="644" t="s">
        <v>320</v>
      </c>
      <c r="C804" s="645" t="s">
        <v>206</v>
      </c>
      <c r="D804" s="422" t="s">
        <v>310</v>
      </c>
      <c r="E804" s="423"/>
      <c r="F804" s="424"/>
      <c r="G804" s="425"/>
      <c r="H804" s="651"/>
      <c r="I804" s="420">
        <f>667.42*0.216+412.65</f>
        <v>556.8127199999999</v>
      </c>
      <c r="J804" s="420">
        <f>IF(ISBLANK(I804),"",SUM(H804:I804))</f>
        <v>556.8127199999999</v>
      </c>
      <c r="K804" s="421">
        <f t="shared" si="245"/>
        <v>661.55</v>
      </c>
      <c r="L804" s="647" t="s">
        <v>21</v>
      </c>
      <c r="M804" s="576"/>
      <c r="N804" s="576">
        <f t="shared" si="243"/>
        <v>0</v>
      </c>
      <c r="O804" s="577">
        <f t="shared" si="236"/>
        <v>0</v>
      </c>
      <c r="P804" s="578">
        <f t="shared" si="237"/>
        <v>0</v>
      </c>
      <c r="Q804" s="765"/>
      <c r="R804" s="576">
        <f t="shared" si="233"/>
        <v>0</v>
      </c>
      <c r="S804" s="576">
        <f t="shared" si="233"/>
        <v>0</v>
      </c>
      <c r="T804" s="577">
        <f t="shared" si="234"/>
        <v>0</v>
      </c>
      <c r="U804" s="578">
        <f t="shared" si="235"/>
        <v>0</v>
      </c>
      <c r="V804" s="579"/>
      <c r="W804" s="566"/>
      <c r="X804" s="586" t="str">
        <f t="shared" si="238"/>
        <v/>
      </c>
      <c r="Y804" s="586" t="str">
        <f t="shared" si="189"/>
        <v/>
      </c>
      <c r="Z804" s="586" t="str">
        <f t="shared" si="239"/>
        <v/>
      </c>
    </row>
    <row r="805" spans="1:26" ht="12" hidden="1" thickBot="1" x14ac:dyDescent="0.25">
      <c r="A805" s="567">
        <v>820000</v>
      </c>
      <c r="B805" s="644" t="s">
        <v>617</v>
      </c>
      <c r="C805" s="645" t="s">
        <v>206</v>
      </c>
      <c r="D805" s="422" t="s">
        <v>311</v>
      </c>
      <c r="E805" s="423"/>
      <c r="F805" s="424"/>
      <c r="G805" s="425"/>
      <c r="H805" s="651"/>
      <c r="I805" s="420">
        <f>667.42*0.2025+412.65</f>
        <v>547.80255</v>
      </c>
      <c r="J805" s="420">
        <f>IF(ISBLANK(I805),"",SUM(H805:I805))</f>
        <v>547.80255</v>
      </c>
      <c r="K805" s="421">
        <f t="shared" si="245"/>
        <v>650.84</v>
      </c>
      <c r="L805" s="647" t="s">
        <v>21</v>
      </c>
      <c r="M805" s="587"/>
      <c r="N805" s="576">
        <f t="shared" si="243"/>
        <v>0</v>
      </c>
      <c r="O805" s="577">
        <f t="shared" si="236"/>
        <v>0</v>
      </c>
      <c r="P805" s="578">
        <f t="shared" si="237"/>
        <v>0</v>
      </c>
      <c r="Q805" s="765"/>
      <c r="R805" s="650">
        <f t="shared" si="233"/>
        <v>0</v>
      </c>
      <c r="S805" s="587">
        <f t="shared" si="233"/>
        <v>0</v>
      </c>
      <c r="T805" s="577">
        <f t="shared" si="234"/>
        <v>0</v>
      </c>
      <c r="U805" s="578">
        <f t="shared" si="235"/>
        <v>0</v>
      </c>
      <c r="V805" s="579"/>
      <c r="W805" s="566"/>
      <c r="X805" s="586" t="str">
        <f t="shared" si="238"/>
        <v/>
      </c>
      <c r="Y805" s="586" t="str">
        <f t="shared" si="189"/>
        <v/>
      </c>
      <c r="Z805" s="586" t="str">
        <f t="shared" si="239"/>
        <v/>
      </c>
    </row>
    <row r="806" spans="1:26" ht="12" hidden="1" thickBot="1" x14ac:dyDescent="0.25">
      <c r="A806" s="567">
        <v>820000</v>
      </c>
      <c r="B806" s="644" t="s">
        <v>1637</v>
      </c>
      <c r="C806" s="645" t="s">
        <v>206</v>
      </c>
      <c r="D806" s="422" t="s">
        <v>635</v>
      </c>
      <c r="E806" s="423"/>
      <c r="F806" s="424"/>
      <c r="G806" s="425"/>
      <c r="H806" s="651"/>
      <c r="I806" s="420">
        <f>667.42*0.224+412.65</f>
        <v>562.15207999999996</v>
      </c>
      <c r="J806" s="420">
        <f>IF(ISBLANK(I806),"",SUM(H806:I806))</f>
        <v>562.15207999999996</v>
      </c>
      <c r="K806" s="421">
        <f t="shared" si="245"/>
        <v>667.89</v>
      </c>
      <c r="L806" s="647" t="s">
        <v>21</v>
      </c>
      <c r="M806" s="587"/>
      <c r="N806" s="576">
        <f t="shared" si="243"/>
        <v>0</v>
      </c>
      <c r="O806" s="577">
        <f t="shared" si="236"/>
        <v>0</v>
      </c>
      <c r="P806" s="578">
        <f t="shared" si="237"/>
        <v>0</v>
      </c>
      <c r="Q806" s="765"/>
      <c r="R806" s="650">
        <f t="shared" si="233"/>
        <v>0</v>
      </c>
      <c r="S806" s="587">
        <f t="shared" si="233"/>
        <v>0</v>
      </c>
      <c r="T806" s="577">
        <f t="shared" si="234"/>
        <v>0</v>
      </c>
      <c r="U806" s="578">
        <f t="shared" si="235"/>
        <v>0</v>
      </c>
      <c r="V806" s="579"/>
      <c r="W806" s="566"/>
      <c r="X806" s="586" t="str">
        <f t="shared" si="238"/>
        <v/>
      </c>
      <c r="Y806" s="586" t="str">
        <f t="shared" si="189"/>
        <v/>
      </c>
      <c r="Z806" s="586" t="str">
        <f t="shared" si="239"/>
        <v/>
      </c>
    </row>
    <row r="807" spans="1:26" ht="12" hidden="1" thickBot="1" x14ac:dyDescent="0.25">
      <c r="A807" s="567"/>
      <c r="B807" s="721" t="s">
        <v>187</v>
      </c>
      <c r="C807" s="654"/>
      <c r="D807" s="427" t="s">
        <v>469</v>
      </c>
      <c r="E807" s="491"/>
      <c r="F807" s="655"/>
      <c r="G807" s="656"/>
      <c r="H807" s="657"/>
      <c r="I807" s="429"/>
      <c r="J807" s="429"/>
      <c r="K807" s="429"/>
      <c r="L807" s="429" t="s">
        <v>614</v>
      </c>
      <c r="M807" s="657"/>
      <c r="N807" s="576">
        <f t="shared" si="243"/>
        <v>0</v>
      </c>
      <c r="O807" s="429">
        <f t="shared" si="236"/>
        <v>0</v>
      </c>
      <c r="P807" s="658">
        <f t="shared" si="237"/>
        <v>0</v>
      </c>
      <c r="Q807" s="765"/>
      <c r="R807" s="657"/>
      <c r="S807" s="429"/>
      <c r="T807" s="429">
        <f t="shared" si="234"/>
        <v>0</v>
      </c>
      <c r="U807" s="658">
        <f t="shared" si="235"/>
        <v>0</v>
      </c>
      <c r="V807" s="579"/>
      <c r="W807" s="637" t="str">
        <f>IF(OR(SUM(P808:P839)&gt;0,SUM(U808:U839)&gt;0),"y","")</f>
        <v/>
      </c>
      <c r="X807" s="586" t="str">
        <f t="shared" si="238"/>
        <v/>
      </c>
      <c r="Y807" s="586" t="str">
        <f t="shared" si="189"/>
        <v/>
      </c>
      <c r="Z807" s="586" t="str">
        <f t="shared" si="239"/>
        <v/>
      </c>
    </row>
    <row r="808" spans="1:26" ht="12" hidden="1" thickBot="1" x14ac:dyDescent="0.25">
      <c r="A808" s="567"/>
      <c r="B808" s="572" t="s">
        <v>187</v>
      </c>
      <c r="C808" s="573" t="s">
        <v>187</v>
      </c>
      <c r="D808" s="580"/>
      <c r="E808" s="575"/>
      <c r="F808" s="436"/>
      <c r="G808" s="431"/>
      <c r="H808" s="430"/>
      <c r="I808" s="432"/>
      <c r="J808" s="489"/>
      <c r="K808" s="490">
        <f>IF(ISBLANK(I808),0,ROUND(J808*(1+$F$10)*(1+$F$11*E808),2))</f>
        <v>0</v>
      </c>
      <c r="L808" s="435" t="s">
        <v>614</v>
      </c>
      <c r="M808" s="576"/>
      <c r="N808" s="576">
        <f t="shared" si="243"/>
        <v>0</v>
      </c>
      <c r="O808" s="577">
        <f t="shared" si="236"/>
        <v>0</v>
      </c>
      <c r="P808" s="578">
        <f t="shared" si="237"/>
        <v>0</v>
      </c>
      <c r="Q808" s="765"/>
      <c r="R808" s="576">
        <f t="shared" si="233"/>
        <v>0</v>
      </c>
      <c r="S808" s="576">
        <f t="shared" si="233"/>
        <v>0</v>
      </c>
      <c r="T808" s="577">
        <f t="shared" si="234"/>
        <v>0</v>
      </c>
      <c r="U808" s="659">
        <f t="shared" si="235"/>
        <v>0</v>
      </c>
      <c r="V808" s="579"/>
      <c r="W808" s="566"/>
      <c r="X808" s="586" t="str">
        <f t="shared" si="238"/>
        <v/>
      </c>
      <c r="Y808" s="586" t="str">
        <f t="shared" si="189"/>
        <v/>
      </c>
      <c r="Z808" s="586" t="str">
        <f t="shared" si="239"/>
        <v/>
      </c>
    </row>
    <row r="809" spans="1:26" ht="12" hidden="1" thickBot="1" x14ac:dyDescent="0.25">
      <c r="A809" s="652" t="s">
        <v>187</v>
      </c>
      <c r="B809" s="572" t="s">
        <v>187</v>
      </c>
      <c r="C809" s="573" t="s">
        <v>187</v>
      </c>
      <c r="D809" s="580"/>
      <c r="E809" s="575"/>
      <c r="F809" s="436"/>
      <c r="G809" s="431"/>
      <c r="H809" s="430"/>
      <c r="I809" s="432"/>
      <c r="J809" s="433"/>
      <c r="K809" s="437">
        <f t="shared" ref="K809:K839" si="246">IF(ISBLANK(J809),0,ROUND(J809*(1+$F$10)*(1+$F$11*E809),2))</f>
        <v>0</v>
      </c>
      <c r="L809" s="435" t="s">
        <v>614</v>
      </c>
      <c r="M809" s="576"/>
      <c r="N809" s="576">
        <f t="shared" si="243"/>
        <v>0</v>
      </c>
      <c r="O809" s="577">
        <f t="shared" si="236"/>
        <v>0</v>
      </c>
      <c r="P809" s="578">
        <f t="shared" si="237"/>
        <v>0</v>
      </c>
      <c r="Q809" s="765"/>
      <c r="R809" s="576">
        <f t="shared" si="233"/>
        <v>0</v>
      </c>
      <c r="S809" s="576">
        <f t="shared" si="233"/>
        <v>0</v>
      </c>
      <c r="T809" s="577">
        <f t="shared" si="234"/>
        <v>0</v>
      </c>
      <c r="U809" s="659">
        <f t="shared" si="235"/>
        <v>0</v>
      </c>
      <c r="V809" s="579"/>
      <c r="W809" s="566"/>
      <c r="X809" s="586" t="str">
        <f t="shared" si="238"/>
        <v/>
      </c>
      <c r="Y809" s="586" t="str">
        <f t="shared" si="189"/>
        <v/>
      </c>
      <c r="Z809" s="586" t="str">
        <f t="shared" si="239"/>
        <v/>
      </c>
    </row>
    <row r="810" spans="1:26" ht="12" hidden="1" thickBot="1" x14ac:dyDescent="0.25">
      <c r="A810" s="652" t="s">
        <v>187</v>
      </c>
      <c r="B810" s="572" t="s">
        <v>187</v>
      </c>
      <c r="C810" s="573" t="s">
        <v>187</v>
      </c>
      <c r="D810" s="580"/>
      <c r="E810" s="575"/>
      <c r="F810" s="436"/>
      <c r="G810" s="431"/>
      <c r="H810" s="430"/>
      <c r="I810" s="432"/>
      <c r="J810" s="433"/>
      <c r="K810" s="437">
        <f t="shared" si="246"/>
        <v>0</v>
      </c>
      <c r="L810" s="435" t="s">
        <v>614</v>
      </c>
      <c r="M810" s="576"/>
      <c r="N810" s="576">
        <f t="shared" si="243"/>
        <v>0</v>
      </c>
      <c r="O810" s="577">
        <f t="shared" si="236"/>
        <v>0</v>
      </c>
      <c r="P810" s="578">
        <f t="shared" si="237"/>
        <v>0</v>
      </c>
      <c r="Q810" s="765"/>
      <c r="R810" s="576">
        <f t="shared" si="233"/>
        <v>0</v>
      </c>
      <c r="S810" s="576">
        <f t="shared" si="233"/>
        <v>0</v>
      </c>
      <c r="T810" s="577">
        <f t="shared" si="234"/>
        <v>0</v>
      </c>
      <c r="U810" s="578">
        <f t="shared" si="235"/>
        <v>0</v>
      </c>
      <c r="V810" s="579"/>
      <c r="W810" s="566"/>
      <c r="X810" s="586" t="str">
        <f t="shared" si="238"/>
        <v/>
      </c>
      <c r="Y810" s="586" t="str">
        <f t="shared" si="189"/>
        <v/>
      </c>
      <c r="Z810" s="586" t="str">
        <f t="shared" si="239"/>
        <v/>
      </c>
    </row>
    <row r="811" spans="1:26" ht="12" hidden="1" thickBot="1" x14ac:dyDescent="0.25">
      <c r="A811" s="652" t="s">
        <v>187</v>
      </c>
      <c r="B811" s="572" t="s">
        <v>187</v>
      </c>
      <c r="C811" s="573" t="s">
        <v>187</v>
      </c>
      <c r="D811" s="580"/>
      <c r="E811" s="575"/>
      <c r="F811" s="436"/>
      <c r="G811" s="431"/>
      <c r="H811" s="430"/>
      <c r="I811" s="432"/>
      <c r="J811" s="433"/>
      <c r="K811" s="437">
        <f t="shared" si="246"/>
        <v>0</v>
      </c>
      <c r="L811" s="435" t="s">
        <v>614</v>
      </c>
      <c r="M811" s="576"/>
      <c r="N811" s="576">
        <f t="shared" si="243"/>
        <v>0</v>
      </c>
      <c r="O811" s="577">
        <f t="shared" si="236"/>
        <v>0</v>
      </c>
      <c r="P811" s="578">
        <f t="shared" si="237"/>
        <v>0</v>
      </c>
      <c r="Q811" s="765"/>
      <c r="R811" s="576">
        <f t="shared" si="233"/>
        <v>0</v>
      </c>
      <c r="S811" s="576">
        <f t="shared" si="233"/>
        <v>0</v>
      </c>
      <c r="T811" s="577">
        <f t="shared" si="234"/>
        <v>0</v>
      </c>
      <c r="U811" s="578">
        <f t="shared" si="235"/>
        <v>0</v>
      </c>
      <c r="V811" s="579"/>
      <c r="W811" s="566"/>
      <c r="X811" s="586" t="str">
        <f t="shared" si="238"/>
        <v/>
      </c>
      <c r="Y811" s="586" t="str">
        <f t="shared" si="189"/>
        <v/>
      </c>
      <c r="Z811" s="586" t="str">
        <f t="shared" si="239"/>
        <v/>
      </c>
    </row>
    <row r="812" spans="1:26" ht="12" hidden="1" thickBot="1" x14ac:dyDescent="0.25">
      <c r="A812" s="652" t="s">
        <v>187</v>
      </c>
      <c r="B812" s="572" t="s">
        <v>187</v>
      </c>
      <c r="C812" s="573" t="s">
        <v>187</v>
      </c>
      <c r="D812" s="580"/>
      <c r="E812" s="575"/>
      <c r="F812" s="436"/>
      <c r="G812" s="431"/>
      <c r="H812" s="430"/>
      <c r="I812" s="432"/>
      <c r="J812" s="433"/>
      <c r="K812" s="437">
        <f t="shared" si="246"/>
        <v>0</v>
      </c>
      <c r="L812" s="435" t="s">
        <v>614</v>
      </c>
      <c r="M812" s="576"/>
      <c r="N812" s="576">
        <f t="shared" si="243"/>
        <v>0</v>
      </c>
      <c r="O812" s="577">
        <f t="shared" si="236"/>
        <v>0</v>
      </c>
      <c r="P812" s="578">
        <f t="shared" si="237"/>
        <v>0</v>
      </c>
      <c r="Q812" s="765"/>
      <c r="R812" s="576">
        <f t="shared" si="233"/>
        <v>0</v>
      </c>
      <c r="S812" s="576">
        <f t="shared" si="233"/>
        <v>0</v>
      </c>
      <c r="T812" s="577">
        <f t="shared" si="234"/>
        <v>0</v>
      </c>
      <c r="U812" s="578">
        <f t="shared" si="235"/>
        <v>0</v>
      </c>
      <c r="V812" s="579"/>
      <c r="W812" s="566"/>
      <c r="X812" s="586" t="str">
        <f t="shared" si="238"/>
        <v/>
      </c>
      <c r="Y812" s="586" t="str">
        <f t="shared" si="189"/>
        <v/>
      </c>
      <c r="Z812" s="586" t="str">
        <f t="shared" si="239"/>
        <v/>
      </c>
    </row>
    <row r="813" spans="1:26" ht="12" hidden="1" thickBot="1" x14ac:dyDescent="0.25">
      <c r="A813" s="652" t="s">
        <v>187</v>
      </c>
      <c r="B813" s="572" t="s">
        <v>187</v>
      </c>
      <c r="C813" s="573" t="s">
        <v>187</v>
      </c>
      <c r="D813" s="580"/>
      <c r="E813" s="575"/>
      <c r="F813" s="436"/>
      <c r="G813" s="431"/>
      <c r="H813" s="430"/>
      <c r="I813" s="432"/>
      <c r="J813" s="433"/>
      <c r="K813" s="437">
        <f t="shared" si="246"/>
        <v>0</v>
      </c>
      <c r="L813" s="435" t="s">
        <v>614</v>
      </c>
      <c r="M813" s="576"/>
      <c r="N813" s="576">
        <f t="shared" si="243"/>
        <v>0</v>
      </c>
      <c r="O813" s="577">
        <f t="shared" si="236"/>
        <v>0</v>
      </c>
      <c r="P813" s="578">
        <f t="shared" si="237"/>
        <v>0</v>
      </c>
      <c r="Q813" s="765"/>
      <c r="R813" s="576">
        <f t="shared" si="233"/>
        <v>0</v>
      </c>
      <c r="S813" s="576">
        <f t="shared" si="233"/>
        <v>0</v>
      </c>
      <c r="T813" s="577">
        <f t="shared" si="234"/>
        <v>0</v>
      </c>
      <c r="U813" s="578">
        <f t="shared" si="235"/>
        <v>0</v>
      </c>
      <c r="V813" s="579"/>
      <c r="W813" s="566"/>
      <c r="X813" s="586" t="str">
        <f t="shared" si="238"/>
        <v/>
      </c>
      <c r="Y813" s="586" t="str">
        <f t="shared" si="189"/>
        <v/>
      </c>
      <c r="Z813" s="586" t="str">
        <f t="shared" si="239"/>
        <v/>
      </c>
    </row>
    <row r="814" spans="1:26" ht="12" hidden="1" thickBot="1" x14ac:dyDescent="0.25">
      <c r="A814" s="652" t="s">
        <v>187</v>
      </c>
      <c r="B814" s="572" t="s">
        <v>187</v>
      </c>
      <c r="C814" s="573" t="s">
        <v>187</v>
      </c>
      <c r="D814" s="580"/>
      <c r="E814" s="575"/>
      <c r="F814" s="436"/>
      <c r="G814" s="431"/>
      <c r="H814" s="430"/>
      <c r="I814" s="432"/>
      <c r="J814" s="433"/>
      <c r="K814" s="437">
        <f t="shared" si="246"/>
        <v>0</v>
      </c>
      <c r="L814" s="435" t="s">
        <v>614</v>
      </c>
      <c r="M814" s="576"/>
      <c r="N814" s="576">
        <f t="shared" si="243"/>
        <v>0</v>
      </c>
      <c r="O814" s="577">
        <f t="shared" si="236"/>
        <v>0</v>
      </c>
      <c r="P814" s="578">
        <f t="shared" si="237"/>
        <v>0</v>
      </c>
      <c r="Q814" s="765"/>
      <c r="R814" s="576">
        <f t="shared" si="233"/>
        <v>0</v>
      </c>
      <c r="S814" s="576">
        <f t="shared" si="233"/>
        <v>0</v>
      </c>
      <c r="T814" s="577">
        <f t="shared" si="234"/>
        <v>0</v>
      </c>
      <c r="U814" s="578">
        <f t="shared" si="235"/>
        <v>0</v>
      </c>
      <c r="V814" s="579"/>
      <c r="W814" s="566"/>
      <c r="X814" s="586" t="str">
        <f t="shared" si="238"/>
        <v/>
      </c>
      <c r="Y814" s="586" t="str">
        <f t="shared" si="189"/>
        <v/>
      </c>
      <c r="Z814" s="586" t="str">
        <f t="shared" si="239"/>
        <v/>
      </c>
    </row>
    <row r="815" spans="1:26" ht="12" hidden="1" thickBot="1" x14ac:dyDescent="0.25">
      <c r="A815" s="652" t="s">
        <v>187</v>
      </c>
      <c r="B815" s="572" t="s">
        <v>187</v>
      </c>
      <c r="C815" s="573" t="s">
        <v>187</v>
      </c>
      <c r="D815" s="580"/>
      <c r="E815" s="575"/>
      <c r="F815" s="436"/>
      <c r="G815" s="431"/>
      <c r="H815" s="430"/>
      <c r="I815" s="432"/>
      <c r="J815" s="433"/>
      <c r="K815" s="437">
        <f t="shared" si="246"/>
        <v>0</v>
      </c>
      <c r="L815" s="435" t="s">
        <v>614</v>
      </c>
      <c r="M815" s="576"/>
      <c r="N815" s="576">
        <f t="shared" si="243"/>
        <v>0</v>
      </c>
      <c r="O815" s="577">
        <f t="shared" si="236"/>
        <v>0</v>
      </c>
      <c r="P815" s="578">
        <f t="shared" si="237"/>
        <v>0</v>
      </c>
      <c r="Q815" s="765"/>
      <c r="R815" s="576">
        <f t="shared" si="233"/>
        <v>0</v>
      </c>
      <c r="S815" s="576">
        <f t="shared" si="233"/>
        <v>0</v>
      </c>
      <c r="T815" s="577">
        <f t="shared" si="234"/>
        <v>0</v>
      </c>
      <c r="U815" s="578">
        <f t="shared" si="235"/>
        <v>0</v>
      </c>
      <c r="V815" s="579"/>
      <c r="W815" s="566"/>
      <c r="X815" s="586" t="str">
        <f t="shared" si="238"/>
        <v/>
      </c>
      <c r="Y815" s="586" t="str">
        <f t="shared" si="189"/>
        <v/>
      </c>
      <c r="Z815" s="586" t="str">
        <f t="shared" si="239"/>
        <v/>
      </c>
    </row>
    <row r="816" spans="1:26" ht="12" hidden="1" thickBot="1" x14ac:dyDescent="0.25">
      <c r="A816" s="652" t="s">
        <v>187</v>
      </c>
      <c r="B816" s="572" t="s">
        <v>187</v>
      </c>
      <c r="C816" s="573" t="s">
        <v>187</v>
      </c>
      <c r="D816" s="580"/>
      <c r="E816" s="575"/>
      <c r="F816" s="436"/>
      <c r="G816" s="431"/>
      <c r="H816" s="430"/>
      <c r="I816" s="432"/>
      <c r="J816" s="433"/>
      <c r="K816" s="437">
        <f t="shared" si="246"/>
        <v>0</v>
      </c>
      <c r="L816" s="435" t="s">
        <v>614</v>
      </c>
      <c r="M816" s="576"/>
      <c r="N816" s="576">
        <f t="shared" si="243"/>
        <v>0</v>
      </c>
      <c r="O816" s="577">
        <f t="shared" si="236"/>
        <v>0</v>
      </c>
      <c r="P816" s="578">
        <f t="shared" si="237"/>
        <v>0</v>
      </c>
      <c r="Q816" s="765"/>
      <c r="R816" s="576">
        <f t="shared" si="233"/>
        <v>0</v>
      </c>
      <c r="S816" s="576">
        <f t="shared" si="233"/>
        <v>0</v>
      </c>
      <c r="T816" s="577">
        <f t="shared" si="234"/>
        <v>0</v>
      </c>
      <c r="U816" s="578">
        <f t="shared" si="235"/>
        <v>0</v>
      </c>
      <c r="V816" s="579"/>
      <c r="W816" s="566"/>
      <c r="X816" s="586" t="str">
        <f t="shared" si="238"/>
        <v/>
      </c>
      <c r="Y816" s="586" t="str">
        <f t="shared" si="189"/>
        <v/>
      </c>
      <c r="Z816" s="586" t="str">
        <f t="shared" si="239"/>
        <v/>
      </c>
    </row>
    <row r="817" spans="1:26" ht="12" hidden="1" thickBot="1" x14ac:dyDescent="0.25">
      <c r="A817" s="652" t="s">
        <v>187</v>
      </c>
      <c r="B817" s="572" t="s">
        <v>187</v>
      </c>
      <c r="C817" s="573" t="s">
        <v>187</v>
      </c>
      <c r="D817" s="580"/>
      <c r="E817" s="575"/>
      <c r="F817" s="436"/>
      <c r="G817" s="431"/>
      <c r="H817" s="430"/>
      <c r="I817" s="432"/>
      <c r="J817" s="433"/>
      <c r="K817" s="437">
        <f t="shared" si="246"/>
        <v>0</v>
      </c>
      <c r="L817" s="435" t="s">
        <v>614</v>
      </c>
      <c r="M817" s="576"/>
      <c r="N817" s="576">
        <f t="shared" si="243"/>
        <v>0</v>
      </c>
      <c r="O817" s="577">
        <f t="shared" si="236"/>
        <v>0</v>
      </c>
      <c r="P817" s="578">
        <f t="shared" si="237"/>
        <v>0</v>
      </c>
      <c r="Q817" s="765"/>
      <c r="R817" s="576">
        <f t="shared" si="233"/>
        <v>0</v>
      </c>
      <c r="S817" s="576">
        <f t="shared" si="233"/>
        <v>0</v>
      </c>
      <c r="T817" s="577">
        <f t="shared" si="234"/>
        <v>0</v>
      </c>
      <c r="U817" s="578">
        <f t="shared" si="235"/>
        <v>0</v>
      </c>
      <c r="V817" s="579"/>
      <c r="W817" s="566"/>
      <c r="X817" s="586" t="str">
        <f t="shared" si="238"/>
        <v/>
      </c>
      <c r="Y817" s="586" t="str">
        <f t="shared" si="189"/>
        <v/>
      </c>
      <c r="Z817" s="586" t="str">
        <f t="shared" si="239"/>
        <v/>
      </c>
    </row>
    <row r="818" spans="1:26" ht="12" hidden="1" thickBot="1" x14ac:dyDescent="0.25">
      <c r="A818" s="652" t="s">
        <v>187</v>
      </c>
      <c r="B818" s="572" t="s">
        <v>187</v>
      </c>
      <c r="C818" s="573" t="s">
        <v>187</v>
      </c>
      <c r="D818" s="580"/>
      <c r="E818" s="575"/>
      <c r="F818" s="436"/>
      <c r="G818" s="431"/>
      <c r="H818" s="430"/>
      <c r="I818" s="432"/>
      <c r="J818" s="433"/>
      <c r="K818" s="437">
        <f t="shared" si="246"/>
        <v>0</v>
      </c>
      <c r="L818" s="435" t="s">
        <v>614</v>
      </c>
      <c r="M818" s="576"/>
      <c r="N818" s="576">
        <f t="shared" si="243"/>
        <v>0</v>
      </c>
      <c r="O818" s="577">
        <f t="shared" si="236"/>
        <v>0</v>
      </c>
      <c r="P818" s="578">
        <f t="shared" si="237"/>
        <v>0</v>
      </c>
      <c r="Q818" s="765"/>
      <c r="R818" s="576">
        <f t="shared" si="233"/>
        <v>0</v>
      </c>
      <c r="S818" s="576">
        <f t="shared" si="233"/>
        <v>0</v>
      </c>
      <c r="T818" s="577">
        <f t="shared" si="234"/>
        <v>0</v>
      </c>
      <c r="U818" s="578">
        <f t="shared" si="235"/>
        <v>0</v>
      </c>
      <c r="V818" s="579"/>
      <c r="W818" s="566"/>
      <c r="X818" s="586" t="str">
        <f t="shared" si="238"/>
        <v/>
      </c>
      <c r="Y818" s="586" t="str">
        <f t="shared" si="189"/>
        <v/>
      </c>
      <c r="Z818" s="586" t="str">
        <f t="shared" si="239"/>
        <v/>
      </c>
    </row>
    <row r="819" spans="1:26" ht="12" hidden="1" thickBot="1" x14ac:dyDescent="0.25">
      <c r="A819" s="652" t="s">
        <v>187</v>
      </c>
      <c r="B819" s="572" t="s">
        <v>187</v>
      </c>
      <c r="C819" s="573" t="s">
        <v>187</v>
      </c>
      <c r="D819" s="580"/>
      <c r="E819" s="575"/>
      <c r="F819" s="436"/>
      <c r="G819" s="431"/>
      <c r="H819" s="430"/>
      <c r="I819" s="432"/>
      <c r="J819" s="433"/>
      <c r="K819" s="437">
        <f t="shared" si="246"/>
        <v>0</v>
      </c>
      <c r="L819" s="435" t="s">
        <v>614</v>
      </c>
      <c r="M819" s="576"/>
      <c r="N819" s="576">
        <f t="shared" si="243"/>
        <v>0</v>
      </c>
      <c r="O819" s="577">
        <f t="shared" si="236"/>
        <v>0</v>
      </c>
      <c r="P819" s="578">
        <f t="shared" si="237"/>
        <v>0</v>
      </c>
      <c r="Q819" s="765"/>
      <c r="R819" s="576">
        <f t="shared" si="233"/>
        <v>0</v>
      </c>
      <c r="S819" s="576">
        <f t="shared" si="233"/>
        <v>0</v>
      </c>
      <c r="T819" s="577">
        <f t="shared" si="234"/>
        <v>0</v>
      </c>
      <c r="U819" s="578">
        <f t="shared" si="235"/>
        <v>0</v>
      </c>
      <c r="V819" s="579"/>
      <c r="W819" s="566"/>
      <c r="X819" s="586" t="str">
        <f t="shared" si="238"/>
        <v/>
      </c>
      <c r="Y819" s="586" t="str">
        <f t="shared" si="189"/>
        <v/>
      </c>
      <c r="Z819" s="586" t="str">
        <f t="shared" si="239"/>
        <v/>
      </c>
    </row>
    <row r="820" spans="1:26" ht="12" hidden="1" thickBot="1" x14ac:dyDescent="0.25">
      <c r="A820" s="652" t="s">
        <v>187</v>
      </c>
      <c r="B820" s="572" t="s">
        <v>187</v>
      </c>
      <c r="C820" s="573" t="s">
        <v>187</v>
      </c>
      <c r="D820" s="580"/>
      <c r="E820" s="575"/>
      <c r="F820" s="436"/>
      <c r="G820" s="431"/>
      <c r="H820" s="430"/>
      <c r="I820" s="432"/>
      <c r="J820" s="433"/>
      <c r="K820" s="437">
        <f t="shared" si="246"/>
        <v>0</v>
      </c>
      <c r="L820" s="435" t="s">
        <v>614</v>
      </c>
      <c r="M820" s="576"/>
      <c r="N820" s="576">
        <f t="shared" si="243"/>
        <v>0</v>
      </c>
      <c r="O820" s="577">
        <f t="shared" si="236"/>
        <v>0</v>
      </c>
      <c r="P820" s="578">
        <f t="shared" si="237"/>
        <v>0</v>
      </c>
      <c r="Q820" s="765"/>
      <c r="R820" s="576">
        <f t="shared" ref="R820:S883" si="247">M820</f>
        <v>0</v>
      </c>
      <c r="S820" s="576">
        <f t="shared" si="247"/>
        <v>0</v>
      </c>
      <c r="T820" s="577">
        <f t="shared" ref="T820:T883" si="248">IF(ISBLANK(R820),0,ROUND(K820*R820,2))</f>
        <v>0</v>
      </c>
      <c r="U820" s="578">
        <f t="shared" ref="U820:U883" si="249">IF(ISBLANK(R820),0,ROUND(R820*S820,2))</f>
        <v>0</v>
      </c>
      <c r="V820" s="579"/>
      <c r="W820" s="566"/>
      <c r="X820" s="586" t="str">
        <f t="shared" si="238"/>
        <v/>
      </c>
      <c r="Y820" s="586" t="str">
        <f t="shared" si="189"/>
        <v/>
      </c>
      <c r="Z820" s="586" t="str">
        <f t="shared" si="239"/>
        <v/>
      </c>
    </row>
    <row r="821" spans="1:26" ht="12" hidden="1" thickBot="1" x14ac:dyDescent="0.25">
      <c r="A821" s="652" t="s">
        <v>187</v>
      </c>
      <c r="B821" s="572" t="s">
        <v>187</v>
      </c>
      <c r="C821" s="573" t="s">
        <v>187</v>
      </c>
      <c r="D821" s="580"/>
      <c r="E821" s="575"/>
      <c r="F821" s="436"/>
      <c r="G821" s="431"/>
      <c r="H821" s="430"/>
      <c r="I821" s="432"/>
      <c r="J821" s="433"/>
      <c r="K821" s="437">
        <f t="shared" si="246"/>
        <v>0</v>
      </c>
      <c r="L821" s="435" t="s">
        <v>614</v>
      </c>
      <c r="M821" s="576"/>
      <c r="N821" s="576">
        <f t="shared" si="243"/>
        <v>0</v>
      </c>
      <c r="O821" s="577">
        <f t="shared" ref="O821:O884" si="250">IF(ISBLANK(M821),0,ROUND(K821*M821,2))</f>
        <v>0</v>
      </c>
      <c r="P821" s="578">
        <f t="shared" ref="P821:P884" si="251">IF(ISBLANK(N821),0,ROUND(M821*N821,2))</f>
        <v>0</v>
      </c>
      <c r="Q821" s="765"/>
      <c r="R821" s="576">
        <f t="shared" si="247"/>
        <v>0</v>
      </c>
      <c r="S821" s="576">
        <f t="shared" si="247"/>
        <v>0</v>
      </c>
      <c r="T821" s="577">
        <f t="shared" si="248"/>
        <v>0</v>
      </c>
      <c r="U821" s="578">
        <f t="shared" si="249"/>
        <v>0</v>
      </c>
      <c r="V821" s="579"/>
      <c r="W821" s="566"/>
      <c r="X821" s="586" t="str">
        <f t="shared" si="238"/>
        <v/>
      </c>
      <c r="Y821" s="586" t="str">
        <f t="shared" si="189"/>
        <v/>
      </c>
      <c r="Z821" s="586" t="str">
        <f t="shared" si="239"/>
        <v/>
      </c>
    </row>
    <row r="822" spans="1:26" ht="12" hidden="1" thickBot="1" x14ac:dyDescent="0.25">
      <c r="A822" s="652" t="s">
        <v>187</v>
      </c>
      <c r="B822" s="572" t="s">
        <v>187</v>
      </c>
      <c r="C822" s="573" t="s">
        <v>187</v>
      </c>
      <c r="D822" s="580"/>
      <c r="E822" s="575"/>
      <c r="F822" s="436"/>
      <c r="G822" s="431"/>
      <c r="H822" s="430"/>
      <c r="I822" s="432"/>
      <c r="J822" s="433"/>
      <c r="K822" s="437">
        <f t="shared" si="246"/>
        <v>0</v>
      </c>
      <c r="L822" s="435" t="s">
        <v>614</v>
      </c>
      <c r="M822" s="576"/>
      <c r="N822" s="576">
        <f t="shared" si="243"/>
        <v>0</v>
      </c>
      <c r="O822" s="577">
        <f t="shared" si="250"/>
        <v>0</v>
      </c>
      <c r="P822" s="578">
        <f t="shared" si="251"/>
        <v>0</v>
      </c>
      <c r="Q822" s="765"/>
      <c r="R822" s="576">
        <f t="shared" si="247"/>
        <v>0</v>
      </c>
      <c r="S822" s="576">
        <f t="shared" si="247"/>
        <v>0</v>
      </c>
      <c r="T822" s="577">
        <f t="shared" si="248"/>
        <v>0</v>
      </c>
      <c r="U822" s="578">
        <f t="shared" si="249"/>
        <v>0</v>
      </c>
      <c r="V822" s="579"/>
      <c r="W822" s="566"/>
      <c r="X822" s="586" t="str">
        <f t="shared" si="238"/>
        <v/>
      </c>
      <c r="Y822" s="586" t="str">
        <f t="shared" si="189"/>
        <v/>
      </c>
      <c r="Z822" s="586" t="str">
        <f t="shared" si="239"/>
        <v/>
      </c>
    </row>
    <row r="823" spans="1:26" ht="12" hidden="1" thickBot="1" x14ac:dyDescent="0.25">
      <c r="A823" s="652" t="s">
        <v>187</v>
      </c>
      <c r="B823" s="572" t="s">
        <v>187</v>
      </c>
      <c r="C823" s="573" t="s">
        <v>187</v>
      </c>
      <c r="D823" s="580"/>
      <c r="E823" s="575"/>
      <c r="F823" s="436"/>
      <c r="G823" s="431"/>
      <c r="H823" s="430"/>
      <c r="I823" s="432"/>
      <c r="J823" s="433"/>
      <c r="K823" s="437">
        <f t="shared" si="246"/>
        <v>0</v>
      </c>
      <c r="L823" s="435" t="s">
        <v>614</v>
      </c>
      <c r="M823" s="576"/>
      <c r="N823" s="576">
        <f t="shared" si="243"/>
        <v>0</v>
      </c>
      <c r="O823" s="577">
        <f t="shared" si="250"/>
        <v>0</v>
      </c>
      <c r="P823" s="578">
        <f t="shared" si="251"/>
        <v>0</v>
      </c>
      <c r="Q823" s="765"/>
      <c r="R823" s="576">
        <f t="shared" si="247"/>
        <v>0</v>
      </c>
      <c r="S823" s="576">
        <f t="shared" si="247"/>
        <v>0</v>
      </c>
      <c r="T823" s="577">
        <f t="shared" si="248"/>
        <v>0</v>
      </c>
      <c r="U823" s="578">
        <f t="shared" si="249"/>
        <v>0</v>
      </c>
      <c r="V823" s="579"/>
      <c r="W823" s="566"/>
      <c r="X823" s="586" t="str">
        <f t="shared" si="238"/>
        <v/>
      </c>
      <c r="Y823" s="586" t="str">
        <f t="shared" si="189"/>
        <v/>
      </c>
      <c r="Z823" s="586" t="str">
        <f t="shared" si="239"/>
        <v/>
      </c>
    </row>
    <row r="824" spans="1:26" ht="12" hidden="1" thickBot="1" x14ac:dyDescent="0.25">
      <c r="A824" s="652" t="s">
        <v>187</v>
      </c>
      <c r="B824" s="572" t="s">
        <v>187</v>
      </c>
      <c r="C824" s="573" t="s">
        <v>187</v>
      </c>
      <c r="D824" s="580"/>
      <c r="E824" s="575"/>
      <c r="F824" s="436"/>
      <c r="G824" s="431"/>
      <c r="H824" s="430"/>
      <c r="I824" s="432"/>
      <c r="J824" s="433"/>
      <c r="K824" s="437">
        <f t="shared" si="246"/>
        <v>0</v>
      </c>
      <c r="L824" s="435" t="s">
        <v>614</v>
      </c>
      <c r="M824" s="576"/>
      <c r="N824" s="576">
        <f t="shared" si="243"/>
        <v>0</v>
      </c>
      <c r="O824" s="577">
        <f t="shared" si="250"/>
        <v>0</v>
      </c>
      <c r="P824" s="578">
        <f t="shared" si="251"/>
        <v>0</v>
      </c>
      <c r="Q824" s="765"/>
      <c r="R824" s="576">
        <f t="shared" si="247"/>
        <v>0</v>
      </c>
      <c r="S824" s="576">
        <f t="shared" si="247"/>
        <v>0</v>
      </c>
      <c r="T824" s="577">
        <f t="shared" si="248"/>
        <v>0</v>
      </c>
      <c r="U824" s="578">
        <f t="shared" si="249"/>
        <v>0</v>
      </c>
      <c r="V824" s="579"/>
      <c r="W824" s="566"/>
      <c r="X824" s="586" t="str">
        <f t="shared" si="238"/>
        <v/>
      </c>
      <c r="Y824" s="586" t="str">
        <f t="shared" si="189"/>
        <v/>
      </c>
      <c r="Z824" s="586" t="str">
        <f t="shared" si="239"/>
        <v/>
      </c>
    </row>
    <row r="825" spans="1:26" ht="12" hidden="1" thickBot="1" x14ac:dyDescent="0.25">
      <c r="A825" s="652" t="s">
        <v>187</v>
      </c>
      <c r="B825" s="572" t="s">
        <v>187</v>
      </c>
      <c r="C825" s="573" t="s">
        <v>187</v>
      </c>
      <c r="D825" s="580"/>
      <c r="E825" s="575"/>
      <c r="F825" s="436"/>
      <c r="G825" s="431"/>
      <c r="H825" s="430"/>
      <c r="I825" s="432"/>
      <c r="J825" s="433"/>
      <c r="K825" s="437">
        <f t="shared" si="246"/>
        <v>0</v>
      </c>
      <c r="L825" s="435" t="s">
        <v>614</v>
      </c>
      <c r="M825" s="576"/>
      <c r="N825" s="576">
        <f t="shared" si="243"/>
        <v>0</v>
      </c>
      <c r="O825" s="577">
        <f t="shared" si="250"/>
        <v>0</v>
      </c>
      <c r="P825" s="578">
        <f t="shared" si="251"/>
        <v>0</v>
      </c>
      <c r="Q825" s="765"/>
      <c r="R825" s="576">
        <f t="shared" si="247"/>
        <v>0</v>
      </c>
      <c r="S825" s="576">
        <f t="shared" si="247"/>
        <v>0</v>
      </c>
      <c r="T825" s="577">
        <f t="shared" si="248"/>
        <v>0</v>
      </c>
      <c r="U825" s="578">
        <f t="shared" si="249"/>
        <v>0</v>
      </c>
      <c r="V825" s="579"/>
      <c r="W825" s="566"/>
      <c r="X825" s="586" t="str">
        <f t="shared" si="238"/>
        <v/>
      </c>
      <c r="Y825" s="586" t="str">
        <f t="shared" si="189"/>
        <v/>
      </c>
      <c r="Z825" s="586" t="str">
        <f t="shared" si="239"/>
        <v/>
      </c>
    </row>
    <row r="826" spans="1:26" ht="12" hidden="1" thickBot="1" x14ac:dyDescent="0.25">
      <c r="A826" s="652" t="s">
        <v>187</v>
      </c>
      <c r="B826" s="572" t="s">
        <v>187</v>
      </c>
      <c r="C826" s="573" t="s">
        <v>187</v>
      </c>
      <c r="D826" s="580"/>
      <c r="E826" s="575"/>
      <c r="F826" s="436"/>
      <c r="G826" s="431"/>
      <c r="H826" s="430"/>
      <c r="I826" s="432"/>
      <c r="J826" s="433"/>
      <c r="K826" s="437">
        <f t="shared" si="246"/>
        <v>0</v>
      </c>
      <c r="L826" s="435" t="s">
        <v>614</v>
      </c>
      <c r="M826" s="576"/>
      <c r="N826" s="576">
        <f t="shared" si="243"/>
        <v>0</v>
      </c>
      <c r="O826" s="577">
        <f t="shared" si="250"/>
        <v>0</v>
      </c>
      <c r="P826" s="578">
        <f t="shared" si="251"/>
        <v>0</v>
      </c>
      <c r="Q826" s="765"/>
      <c r="R826" s="576">
        <f t="shared" si="247"/>
        <v>0</v>
      </c>
      <c r="S826" s="576">
        <f t="shared" si="247"/>
        <v>0</v>
      </c>
      <c r="T826" s="577">
        <f t="shared" si="248"/>
        <v>0</v>
      </c>
      <c r="U826" s="578">
        <f t="shared" si="249"/>
        <v>0</v>
      </c>
      <c r="V826" s="579"/>
      <c r="W826" s="566"/>
      <c r="X826" s="586" t="str">
        <f t="shared" si="238"/>
        <v/>
      </c>
      <c r="Y826" s="586" t="str">
        <f t="shared" si="189"/>
        <v/>
      </c>
      <c r="Z826" s="586" t="str">
        <f t="shared" si="239"/>
        <v/>
      </c>
    </row>
    <row r="827" spans="1:26" ht="12" hidden="1" thickBot="1" x14ac:dyDescent="0.25">
      <c r="A827" s="652" t="s">
        <v>187</v>
      </c>
      <c r="B827" s="572" t="s">
        <v>187</v>
      </c>
      <c r="C827" s="573" t="s">
        <v>187</v>
      </c>
      <c r="D827" s="580"/>
      <c r="E827" s="575"/>
      <c r="F827" s="436"/>
      <c r="G827" s="431"/>
      <c r="H827" s="430"/>
      <c r="I827" s="432"/>
      <c r="J827" s="433"/>
      <c r="K827" s="437">
        <f t="shared" si="246"/>
        <v>0</v>
      </c>
      <c r="L827" s="435" t="s">
        <v>614</v>
      </c>
      <c r="M827" s="576"/>
      <c r="N827" s="576">
        <f t="shared" si="243"/>
        <v>0</v>
      </c>
      <c r="O827" s="577">
        <f t="shared" si="250"/>
        <v>0</v>
      </c>
      <c r="P827" s="578">
        <f t="shared" si="251"/>
        <v>0</v>
      </c>
      <c r="Q827" s="765"/>
      <c r="R827" s="576">
        <f t="shared" si="247"/>
        <v>0</v>
      </c>
      <c r="S827" s="576">
        <f t="shared" si="247"/>
        <v>0</v>
      </c>
      <c r="T827" s="577">
        <f t="shared" si="248"/>
        <v>0</v>
      </c>
      <c r="U827" s="578">
        <f t="shared" si="249"/>
        <v>0</v>
      </c>
      <c r="V827" s="579"/>
      <c r="W827" s="566"/>
      <c r="X827" s="586" t="str">
        <f t="shared" si="238"/>
        <v/>
      </c>
      <c r="Y827" s="586" t="str">
        <f t="shared" si="189"/>
        <v/>
      </c>
      <c r="Z827" s="586" t="str">
        <f t="shared" si="239"/>
        <v/>
      </c>
    </row>
    <row r="828" spans="1:26" ht="12" hidden="1" thickBot="1" x14ac:dyDescent="0.25">
      <c r="A828" s="652" t="s">
        <v>187</v>
      </c>
      <c r="B828" s="572" t="s">
        <v>187</v>
      </c>
      <c r="C828" s="573" t="s">
        <v>187</v>
      </c>
      <c r="D828" s="580"/>
      <c r="E828" s="575"/>
      <c r="F828" s="436"/>
      <c r="G828" s="431"/>
      <c r="H828" s="430"/>
      <c r="I828" s="432"/>
      <c r="J828" s="433"/>
      <c r="K828" s="437">
        <f t="shared" si="246"/>
        <v>0</v>
      </c>
      <c r="L828" s="435" t="s">
        <v>614</v>
      </c>
      <c r="M828" s="576"/>
      <c r="N828" s="576">
        <f t="shared" si="243"/>
        <v>0</v>
      </c>
      <c r="O828" s="577">
        <f t="shared" si="250"/>
        <v>0</v>
      </c>
      <c r="P828" s="578">
        <f t="shared" si="251"/>
        <v>0</v>
      </c>
      <c r="Q828" s="765"/>
      <c r="R828" s="576">
        <f t="shared" si="247"/>
        <v>0</v>
      </c>
      <c r="S828" s="576">
        <f t="shared" si="247"/>
        <v>0</v>
      </c>
      <c r="T828" s="577">
        <f t="shared" si="248"/>
        <v>0</v>
      </c>
      <c r="U828" s="578">
        <f t="shared" si="249"/>
        <v>0</v>
      </c>
      <c r="V828" s="579"/>
      <c r="W828" s="566"/>
      <c r="X828" s="586" t="str">
        <f t="shared" si="238"/>
        <v/>
      </c>
      <c r="Y828" s="586" t="str">
        <f t="shared" si="189"/>
        <v/>
      </c>
      <c r="Z828" s="586" t="str">
        <f t="shared" si="239"/>
        <v/>
      </c>
    </row>
    <row r="829" spans="1:26" ht="12" hidden="1" thickBot="1" x14ac:dyDescent="0.25">
      <c r="A829" s="652" t="s">
        <v>187</v>
      </c>
      <c r="B829" s="572" t="s">
        <v>187</v>
      </c>
      <c r="C829" s="573" t="s">
        <v>187</v>
      </c>
      <c r="D829" s="580"/>
      <c r="E829" s="575"/>
      <c r="F829" s="436"/>
      <c r="G829" s="431"/>
      <c r="H829" s="430"/>
      <c r="I829" s="432"/>
      <c r="J829" s="433"/>
      <c r="K829" s="437">
        <f t="shared" si="246"/>
        <v>0</v>
      </c>
      <c r="L829" s="435" t="s">
        <v>614</v>
      </c>
      <c r="M829" s="576"/>
      <c r="N829" s="576">
        <f t="shared" si="243"/>
        <v>0</v>
      </c>
      <c r="O829" s="577">
        <f t="shared" si="250"/>
        <v>0</v>
      </c>
      <c r="P829" s="578">
        <f t="shared" si="251"/>
        <v>0</v>
      </c>
      <c r="Q829" s="765"/>
      <c r="R829" s="576">
        <f t="shared" si="247"/>
        <v>0</v>
      </c>
      <c r="S829" s="576">
        <f t="shared" si="247"/>
        <v>0</v>
      </c>
      <c r="T829" s="577">
        <f t="shared" si="248"/>
        <v>0</v>
      </c>
      <c r="U829" s="578">
        <f t="shared" si="249"/>
        <v>0</v>
      </c>
      <c r="V829" s="579"/>
      <c r="W829" s="566"/>
      <c r="X829" s="586" t="str">
        <f t="shared" ref="X829:X892" si="252">IF(W829="X","x",IF(W829="xx","x",IF(W829="xy","x",IF(W829="y","x",IF(OR(P829&gt;0,U829&gt;0),"x","")))))</f>
        <v/>
      </c>
      <c r="Y829" s="586" t="str">
        <f t="shared" si="189"/>
        <v/>
      </c>
      <c r="Z829" s="586" t="str">
        <f t="shared" si="239"/>
        <v/>
      </c>
    </row>
    <row r="830" spans="1:26" ht="12" hidden="1" thickBot="1" x14ac:dyDescent="0.25">
      <c r="A830" s="652" t="s">
        <v>187</v>
      </c>
      <c r="B830" s="572" t="s">
        <v>187</v>
      </c>
      <c r="C830" s="573" t="s">
        <v>187</v>
      </c>
      <c r="D830" s="580"/>
      <c r="E830" s="575"/>
      <c r="F830" s="436"/>
      <c r="G830" s="431"/>
      <c r="H830" s="430"/>
      <c r="I830" s="432"/>
      <c r="J830" s="433"/>
      <c r="K830" s="437">
        <f t="shared" si="246"/>
        <v>0</v>
      </c>
      <c r="L830" s="435" t="s">
        <v>614</v>
      </c>
      <c r="M830" s="576"/>
      <c r="N830" s="576">
        <f t="shared" si="243"/>
        <v>0</v>
      </c>
      <c r="O830" s="577">
        <f t="shared" si="250"/>
        <v>0</v>
      </c>
      <c r="P830" s="578">
        <f t="shared" si="251"/>
        <v>0</v>
      </c>
      <c r="Q830" s="765"/>
      <c r="R830" s="576">
        <f t="shared" si="247"/>
        <v>0</v>
      </c>
      <c r="S830" s="576">
        <f t="shared" si="247"/>
        <v>0</v>
      </c>
      <c r="T830" s="577">
        <f t="shared" si="248"/>
        <v>0</v>
      </c>
      <c r="U830" s="578">
        <f t="shared" si="249"/>
        <v>0</v>
      </c>
      <c r="V830" s="579"/>
      <c r="W830" s="566"/>
      <c r="X830" s="586" t="str">
        <f t="shared" si="252"/>
        <v/>
      </c>
      <c r="Y830" s="586" t="str">
        <f t="shared" si="189"/>
        <v/>
      </c>
      <c r="Z830" s="586" t="str">
        <f t="shared" si="239"/>
        <v/>
      </c>
    </row>
    <row r="831" spans="1:26" ht="12" hidden="1" thickBot="1" x14ac:dyDescent="0.25">
      <c r="A831" s="652" t="s">
        <v>187</v>
      </c>
      <c r="B831" s="572" t="s">
        <v>187</v>
      </c>
      <c r="C831" s="573" t="s">
        <v>187</v>
      </c>
      <c r="D831" s="580"/>
      <c r="E831" s="575"/>
      <c r="F831" s="436"/>
      <c r="G831" s="431"/>
      <c r="H831" s="430"/>
      <c r="I831" s="432"/>
      <c r="J831" s="433"/>
      <c r="K831" s="437">
        <f t="shared" si="246"/>
        <v>0</v>
      </c>
      <c r="L831" s="435" t="s">
        <v>614</v>
      </c>
      <c r="M831" s="576"/>
      <c r="N831" s="576">
        <f t="shared" si="243"/>
        <v>0</v>
      </c>
      <c r="O831" s="577">
        <f t="shared" si="250"/>
        <v>0</v>
      </c>
      <c r="P831" s="578">
        <f t="shared" si="251"/>
        <v>0</v>
      </c>
      <c r="Q831" s="765"/>
      <c r="R831" s="576">
        <f t="shared" si="247"/>
        <v>0</v>
      </c>
      <c r="S831" s="576">
        <f t="shared" si="247"/>
        <v>0</v>
      </c>
      <c r="T831" s="577">
        <f t="shared" si="248"/>
        <v>0</v>
      </c>
      <c r="U831" s="578">
        <f t="shared" si="249"/>
        <v>0</v>
      </c>
      <c r="V831" s="579"/>
      <c r="W831" s="566"/>
      <c r="X831" s="586" t="str">
        <f t="shared" si="252"/>
        <v/>
      </c>
      <c r="Y831" s="586" t="str">
        <f t="shared" si="189"/>
        <v/>
      </c>
      <c r="Z831" s="586" t="str">
        <f t="shared" si="239"/>
        <v/>
      </c>
    </row>
    <row r="832" spans="1:26" ht="43.35" hidden="1" customHeight="1" x14ac:dyDescent="0.2">
      <c r="A832" s="652" t="s">
        <v>187</v>
      </c>
      <c r="B832" s="572" t="s">
        <v>187</v>
      </c>
      <c r="C832" s="573" t="s">
        <v>187</v>
      </c>
      <c r="D832" s="580"/>
      <c r="E832" s="575"/>
      <c r="F832" s="436"/>
      <c r="G832" s="431"/>
      <c r="H832" s="430"/>
      <c r="I832" s="432"/>
      <c r="J832" s="433"/>
      <c r="K832" s="437">
        <f t="shared" si="246"/>
        <v>0</v>
      </c>
      <c r="L832" s="435" t="s">
        <v>614</v>
      </c>
      <c r="M832" s="576"/>
      <c r="N832" s="576">
        <f t="shared" si="243"/>
        <v>0</v>
      </c>
      <c r="O832" s="577">
        <f t="shared" si="250"/>
        <v>0</v>
      </c>
      <c r="P832" s="578">
        <f t="shared" si="251"/>
        <v>0</v>
      </c>
      <c r="Q832" s="765"/>
      <c r="R832" s="576">
        <f t="shared" si="247"/>
        <v>0</v>
      </c>
      <c r="S832" s="576">
        <f t="shared" si="247"/>
        <v>0</v>
      </c>
      <c r="T832" s="577">
        <f t="shared" si="248"/>
        <v>0</v>
      </c>
      <c r="U832" s="578">
        <f t="shared" si="249"/>
        <v>0</v>
      </c>
      <c r="V832" s="579"/>
      <c r="W832" s="566"/>
      <c r="X832" s="586" t="str">
        <f t="shared" si="252"/>
        <v/>
      </c>
      <c r="Y832" s="586" t="str">
        <f t="shared" si="189"/>
        <v/>
      </c>
      <c r="Z832" s="586" t="str">
        <f t="shared" si="239"/>
        <v/>
      </c>
    </row>
    <row r="833" spans="1:26" ht="12" hidden="1" thickBot="1" x14ac:dyDescent="0.25">
      <c r="A833" s="652" t="s">
        <v>187</v>
      </c>
      <c r="B833" s="572" t="s">
        <v>187</v>
      </c>
      <c r="C833" s="573" t="s">
        <v>187</v>
      </c>
      <c r="D833" s="580"/>
      <c r="E833" s="575"/>
      <c r="F833" s="436"/>
      <c r="G833" s="431"/>
      <c r="H833" s="430"/>
      <c r="I833" s="432"/>
      <c r="J833" s="433"/>
      <c r="K833" s="437">
        <f t="shared" si="246"/>
        <v>0</v>
      </c>
      <c r="L833" s="435" t="s">
        <v>614</v>
      </c>
      <c r="M833" s="576"/>
      <c r="N833" s="576">
        <f t="shared" si="243"/>
        <v>0</v>
      </c>
      <c r="O833" s="577">
        <f t="shared" si="250"/>
        <v>0</v>
      </c>
      <c r="P833" s="578">
        <f t="shared" si="251"/>
        <v>0</v>
      </c>
      <c r="Q833" s="765"/>
      <c r="R833" s="576">
        <f t="shared" si="247"/>
        <v>0</v>
      </c>
      <c r="S833" s="576">
        <f t="shared" si="247"/>
        <v>0</v>
      </c>
      <c r="T833" s="577">
        <f t="shared" si="248"/>
        <v>0</v>
      </c>
      <c r="U833" s="578">
        <f t="shared" si="249"/>
        <v>0</v>
      </c>
      <c r="V833" s="579"/>
      <c r="W833" s="566"/>
      <c r="X833" s="586" t="str">
        <f t="shared" si="252"/>
        <v/>
      </c>
      <c r="Y833" s="586" t="str">
        <f t="shared" si="189"/>
        <v/>
      </c>
      <c r="Z833" s="586" t="str">
        <f t="shared" si="239"/>
        <v/>
      </c>
    </row>
    <row r="834" spans="1:26" ht="12" hidden="1" thickBot="1" x14ac:dyDescent="0.25">
      <c r="A834" s="652" t="s">
        <v>187</v>
      </c>
      <c r="B834" s="572" t="s">
        <v>187</v>
      </c>
      <c r="C834" s="573" t="s">
        <v>187</v>
      </c>
      <c r="D834" s="580"/>
      <c r="E834" s="575"/>
      <c r="F834" s="436"/>
      <c r="G834" s="431"/>
      <c r="H834" s="430"/>
      <c r="I834" s="432"/>
      <c r="J834" s="433"/>
      <c r="K834" s="437">
        <f t="shared" si="246"/>
        <v>0</v>
      </c>
      <c r="L834" s="435" t="s">
        <v>614</v>
      </c>
      <c r="M834" s="576"/>
      <c r="N834" s="576">
        <f t="shared" si="243"/>
        <v>0</v>
      </c>
      <c r="O834" s="577">
        <f t="shared" si="250"/>
        <v>0</v>
      </c>
      <c r="P834" s="578">
        <f t="shared" si="251"/>
        <v>0</v>
      </c>
      <c r="Q834" s="765"/>
      <c r="R834" s="576">
        <f t="shared" si="247"/>
        <v>0</v>
      </c>
      <c r="S834" s="576">
        <f t="shared" si="247"/>
        <v>0</v>
      </c>
      <c r="T834" s="577">
        <f t="shared" si="248"/>
        <v>0</v>
      </c>
      <c r="U834" s="578">
        <f t="shared" si="249"/>
        <v>0</v>
      </c>
      <c r="V834" s="579"/>
      <c r="W834" s="566"/>
      <c r="X834" s="586" t="str">
        <f t="shared" si="252"/>
        <v/>
      </c>
      <c r="Y834" s="586"/>
      <c r="Z834" s="586"/>
    </row>
    <row r="835" spans="1:26" ht="12" hidden="1" thickBot="1" x14ac:dyDescent="0.25">
      <c r="A835" s="652" t="s">
        <v>187</v>
      </c>
      <c r="B835" s="572" t="s">
        <v>187</v>
      </c>
      <c r="C835" s="573" t="s">
        <v>187</v>
      </c>
      <c r="D835" s="580"/>
      <c r="E835" s="575"/>
      <c r="F835" s="436"/>
      <c r="G835" s="431"/>
      <c r="H835" s="430"/>
      <c r="I835" s="432"/>
      <c r="J835" s="433"/>
      <c r="K835" s="437">
        <f t="shared" si="246"/>
        <v>0</v>
      </c>
      <c r="L835" s="435" t="s">
        <v>614</v>
      </c>
      <c r="M835" s="576"/>
      <c r="N835" s="576">
        <f t="shared" si="243"/>
        <v>0</v>
      </c>
      <c r="O835" s="577">
        <f t="shared" si="250"/>
        <v>0</v>
      </c>
      <c r="P835" s="578">
        <f t="shared" si="251"/>
        <v>0</v>
      </c>
      <c r="Q835" s="765"/>
      <c r="R835" s="576">
        <f t="shared" si="247"/>
        <v>0</v>
      </c>
      <c r="S835" s="576">
        <f t="shared" si="247"/>
        <v>0</v>
      </c>
      <c r="T835" s="577">
        <f t="shared" si="248"/>
        <v>0</v>
      </c>
      <c r="U835" s="578">
        <f t="shared" si="249"/>
        <v>0</v>
      </c>
      <c r="V835" s="579"/>
      <c r="W835" s="566"/>
      <c r="X835" s="586" t="str">
        <f t="shared" si="252"/>
        <v/>
      </c>
      <c r="Y835" s="586" t="str">
        <f t="shared" si="189"/>
        <v/>
      </c>
      <c r="Z835" s="586" t="str">
        <f t="shared" si="239"/>
        <v/>
      </c>
    </row>
    <row r="836" spans="1:26" ht="12" hidden="1" thickBot="1" x14ac:dyDescent="0.25">
      <c r="A836" s="652" t="s">
        <v>187</v>
      </c>
      <c r="B836" s="572" t="s">
        <v>187</v>
      </c>
      <c r="C836" s="573" t="s">
        <v>187</v>
      </c>
      <c r="D836" s="580"/>
      <c r="E836" s="575"/>
      <c r="F836" s="436"/>
      <c r="G836" s="431"/>
      <c r="H836" s="430"/>
      <c r="I836" s="432"/>
      <c r="J836" s="433"/>
      <c r="K836" s="437">
        <f t="shared" si="246"/>
        <v>0</v>
      </c>
      <c r="L836" s="435" t="s">
        <v>614</v>
      </c>
      <c r="M836" s="576"/>
      <c r="N836" s="576">
        <f t="shared" si="243"/>
        <v>0</v>
      </c>
      <c r="O836" s="577">
        <f t="shared" si="250"/>
        <v>0</v>
      </c>
      <c r="P836" s="578">
        <f t="shared" si="251"/>
        <v>0</v>
      </c>
      <c r="Q836" s="765"/>
      <c r="R836" s="576">
        <f t="shared" si="247"/>
        <v>0</v>
      </c>
      <c r="S836" s="576">
        <f t="shared" si="247"/>
        <v>0</v>
      </c>
      <c r="T836" s="577">
        <f t="shared" si="248"/>
        <v>0</v>
      </c>
      <c r="U836" s="578">
        <f t="shared" si="249"/>
        <v>0</v>
      </c>
      <c r="V836" s="579"/>
      <c r="W836" s="566"/>
      <c r="X836" s="586" t="str">
        <f t="shared" si="252"/>
        <v/>
      </c>
      <c r="Y836" s="586" t="str">
        <f t="shared" si="189"/>
        <v/>
      </c>
      <c r="Z836" s="586" t="str">
        <f t="shared" si="239"/>
        <v/>
      </c>
    </row>
    <row r="837" spans="1:26" ht="12" hidden="1" thickBot="1" x14ac:dyDescent="0.25">
      <c r="A837" s="652" t="s">
        <v>187</v>
      </c>
      <c r="B837" s="572" t="s">
        <v>187</v>
      </c>
      <c r="C837" s="573" t="s">
        <v>187</v>
      </c>
      <c r="D837" s="580"/>
      <c r="E837" s="575"/>
      <c r="F837" s="436"/>
      <c r="G837" s="431"/>
      <c r="H837" s="430"/>
      <c r="I837" s="432"/>
      <c r="J837" s="433"/>
      <c r="K837" s="437">
        <f t="shared" si="246"/>
        <v>0</v>
      </c>
      <c r="L837" s="435" t="s">
        <v>614</v>
      </c>
      <c r="M837" s="576"/>
      <c r="N837" s="576">
        <f t="shared" si="243"/>
        <v>0</v>
      </c>
      <c r="O837" s="577">
        <f t="shared" si="250"/>
        <v>0</v>
      </c>
      <c r="P837" s="578">
        <f t="shared" si="251"/>
        <v>0</v>
      </c>
      <c r="Q837" s="765"/>
      <c r="R837" s="576">
        <f t="shared" si="247"/>
        <v>0</v>
      </c>
      <c r="S837" s="576">
        <f t="shared" si="247"/>
        <v>0</v>
      </c>
      <c r="T837" s="577">
        <f t="shared" si="248"/>
        <v>0</v>
      </c>
      <c r="U837" s="578">
        <f t="shared" si="249"/>
        <v>0</v>
      </c>
      <c r="V837" s="579"/>
      <c r="W837" s="566"/>
      <c r="X837" s="586" t="str">
        <f t="shared" si="252"/>
        <v/>
      </c>
      <c r="Y837" s="586" t="str">
        <f t="shared" si="189"/>
        <v/>
      </c>
      <c r="Z837" s="586" t="str">
        <f t="shared" si="239"/>
        <v/>
      </c>
    </row>
    <row r="838" spans="1:26" ht="12" hidden="1" thickBot="1" x14ac:dyDescent="0.25">
      <c r="A838" s="652" t="s">
        <v>187</v>
      </c>
      <c r="B838" s="572" t="s">
        <v>187</v>
      </c>
      <c r="C838" s="573" t="s">
        <v>187</v>
      </c>
      <c r="D838" s="580"/>
      <c r="E838" s="575"/>
      <c r="F838" s="436"/>
      <c r="G838" s="431"/>
      <c r="H838" s="430"/>
      <c r="I838" s="432"/>
      <c r="J838" s="433"/>
      <c r="K838" s="437">
        <f t="shared" si="246"/>
        <v>0</v>
      </c>
      <c r="L838" s="435" t="s">
        <v>614</v>
      </c>
      <c r="M838" s="576"/>
      <c r="N838" s="576">
        <f t="shared" si="243"/>
        <v>0</v>
      </c>
      <c r="O838" s="577">
        <f t="shared" si="250"/>
        <v>0</v>
      </c>
      <c r="P838" s="578">
        <f t="shared" si="251"/>
        <v>0</v>
      </c>
      <c r="Q838" s="765"/>
      <c r="R838" s="576">
        <f t="shared" si="247"/>
        <v>0</v>
      </c>
      <c r="S838" s="576">
        <f t="shared" si="247"/>
        <v>0</v>
      </c>
      <c r="T838" s="577">
        <f t="shared" si="248"/>
        <v>0</v>
      </c>
      <c r="U838" s="578">
        <f t="shared" si="249"/>
        <v>0</v>
      </c>
      <c r="V838" s="579"/>
      <c r="W838" s="566"/>
      <c r="X838" s="586" t="str">
        <f t="shared" si="252"/>
        <v/>
      </c>
      <c r="Y838" s="586" t="str">
        <f t="shared" si="189"/>
        <v/>
      </c>
      <c r="Z838" s="586" t="str">
        <f t="shared" si="239"/>
        <v/>
      </c>
    </row>
    <row r="839" spans="1:26" ht="12" hidden="1" thickBot="1" x14ac:dyDescent="0.25">
      <c r="A839" s="652" t="s">
        <v>187</v>
      </c>
      <c r="B839" s="581" t="s">
        <v>187</v>
      </c>
      <c r="C839" s="582" t="s">
        <v>187</v>
      </c>
      <c r="D839" s="583"/>
      <c r="E839" s="584"/>
      <c r="F839" s="438"/>
      <c r="G839" s="439"/>
      <c r="H839" s="440"/>
      <c r="I839" s="441"/>
      <c r="J839" s="442"/>
      <c r="K839" s="443">
        <f t="shared" si="246"/>
        <v>0</v>
      </c>
      <c r="L839" s="444" t="s">
        <v>614</v>
      </c>
      <c r="M839" s="576"/>
      <c r="N839" s="576">
        <f t="shared" si="243"/>
        <v>0</v>
      </c>
      <c r="O839" s="585">
        <f t="shared" si="250"/>
        <v>0</v>
      </c>
      <c r="P839" s="660">
        <f t="shared" si="251"/>
        <v>0</v>
      </c>
      <c r="Q839" s="765"/>
      <c r="R839" s="576">
        <f t="shared" si="247"/>
        <v>0</v>
      </c>
      <c r="S839" s="576">
        <f t="shared" si="247"/>
        <v>0</v>
      </c>
      <c r="T839" s="585">
        <f t="shared" si="248"/>
        <v>0</v>
      </c>
      <c r="U839" s="660">
        <f t="shared" si="249"/>
        <v>0</v>
      </c>
      <c r="V839" s="579"/>
      <c r="W839" s="566"/>
      <c r="X839" s="586" t="str">
        <f t="shared" si="252"/>
        <v/>
      </c>
      <c r="Y839" s="586" t="str">
        <f t="shared" si="189"/>
        <v/>
      </c>
      <c r="Z839" s="586" t="str">
        <f t="shared" si="239"/>
        <v/>
      </c>
    </row>
    <row r="840" spans="1:26" ht="12" hidden="1" thickBot="1" x14ac:dyDescent="0.25">
      <c r="A840" s="567" t="s">
        <v>321</v>
      </c>
      <c r="B840" s="664" t="s">
        <v>321</v>
      </c>
      <c r="C840" s="665"/>
      <c r="D840" s="666" t="s">
        <v>470</v>
      </c>
      <c r="E840" s="631"/>
      <c r="F840" s="632"/>
      <c r="G840" s="633"/>
      <c r="H840" s="409"/>
      <c r="I840" s="409"/>
      <c r="J840" s="409"/>
      <c r="K840" s="409"/>
      <c r="L840" s="409" t="s">
        <v>614</v>
      </c>
      <c r="M840" s="634"/>
      <c r="N840" s="797"/>
      <c r="O840" s="409">
        <f t="shared" si="250"/>
        <v>0</v>
      </c>
      <c r="P840" s="635">
        <f t="shared" si="251"/>
        <v>0</v>
      </c>
      <c r="Q840" s="635">
        <f>SUM(P841:P1689)</f>
        <v>0</v>
      </c>
      <c r="R840" s="634"/>
      <c r="S840" s="409"/>
      <c r="T840" s="409">
        <f t="shared" si="248"/>
        <v>0</v>
      </c>
      <c r="U840" s="635">
        <f t="shared" si="249"/>
        <v>0</v>
      </c>
      <c r="V840" s="636">
        <f>SUM(U841:U1689)</f>
        <v>0</v>
      </c>
      <c r="W840" s="637" t="str">
        <f>IF(OR(Q840&gt;0,V840&gt;0),"X","")</f>
        <v/>
      </c>
      <c r="X840" s="586" t="str">
        <f t="shared" si="252"/>
        <v/>
      </c>
      <c r="Y840" s="586" t="str">
        <f t="shared" si="189"/>
        <v/>
      </c>
      <c r="Z840" s="586" t="str">
        <f t="shared" si="239"/>
        <v/>
      </c>
    </row>
    <row r="841" spans="1:26" ht="12" hidden="1" thickBot="1" x14ac:dyDescent="0.25">
      <c r="A841" s="567">
        <v>702</v>
      </c>
      <c r="B841" s="644">
        <v>702</v>
      </c>
      <c r="C841" s="645" t="s">
        <v>458</v>
      </c>
      <c r="D841" s="422" t="s">
        <v>510</v>
      </c>
      <c r="E841" s="423"/>
      <c r="F841" s="424">
        <v>0</v>
      </c>
      <c r="G841" s="425"/>
      <c r="H841" s="651">
        <v>0</v>
      </c>
      <c r="I841" s="420">
        <v>456.36</v>
      </c>
      <c r="J841" s="420">
        <f t="shared" ref="J841:J846" si="253">IF(ISBLANK(I841),"",SUM(H841:I841))</f>
        <v>456.36</v>
      </c>
      <c r="K841" s="421">
        <f t="shared" ref="K841:K904" si="254">IF(ISBLANK(I841),0,ROUND(J841*(1+$F$10)*(1+$F$11*E841),2))</f>
        <v>542.20000000000005</v>
      </c>
      <c r="L841" s="647" t="s">
        <v>177</v>
      </c>
      <c r="M841" s="576"/>
      <c r="N841" s="576">
        <f t="shared" si="243"/>
        <v>0</v>
      </c>
      <c r="O841" s="577">
        <f t="shared" si="250"/>
        <v>0</v>
      </c>
      <c r="P841" s="578">
        <f t="shared" si="251"/>
        <v>0</v>
      </c>
      <c r="Q841" s="765"/>
      <c r="R841" s="576">
        <f t="shared" si="247"/>
        <v>0</v>
      </c>
      <c r="S841" s="576">
        <f t="shared" si="247"/>
        <v>0</v>
      </c>
      <c r="T841" s="577">
        <f t="shared" si="248"/>
        <v>0</v>
      </c>
      <c r="U841" s="578">
        <f t="shared" si="249"/>
        <v>0</v>
      </c>
      <c r="V841" s="579"/>
      <c r="W841" s="566"/>
      <c r="X841" s="586" t="str">
        <f t="shared" si="252"/>
        <v/>
      </c>
      <c r="Y841" s="586" t="str">
        <f t="shared" si="189"/>
        <v/>
      </c>
      <c r="Z841" s="586" t="str">
        <f t="shared" si="239"/>
        <v/>
      </c>
    </row>
    <row r="842" spans="1:26" ht="12" hidden="1" thickBot="1" x14ac:dyDescent="0.25">
      <c r="A842" s="567">
        <v>703</v>
      </c>
      <c r="B842" s="644">
        <v>703</v>
      </c>
      <c r="C842" s="645" t="s">
        <v>458</v>
      </c>
      <c r="D842" s="422" t="s">
        <v>511</v>
      </c>
      <c r="E842" s="423"/>
      <c r="F842" s="424">
        <v>0</v>
      </c>
      <c r="G842" s="425"/>
      <c r="H842" s="651">
        <v>0</v>
      </c>
      <c r="I842" s="420">
        <v>57.9</v>
      </c>
      <c r="J842" s="420">
        <f t="shared" si="253"/>
        <v>57.9</v>
      </c>
      <c r="K842" s="421">
        <f t="shared" si="254"/>
        <v>68.790000000000006</v>
      </c>
      <c r="L842" s="647" t="s">
        <v>21</v>
      </c>
      <c r="M842" s="576"/>
      <c r="N842" s="576">
        <f t="shared" si="243"/>
        <v>0</v>
      </c>
      <c r="O842" s="577">
        <f t="shared" si="250"/>
        <v>0</v>
      </c>
      <c r="P842" s="578">
        <f t="shared" si="251"/>
        <v>0</v>
      </c>
      <c r="Q842" s="765"/>
      <c r="R842" s="576">
        <f t="shared" si="247"/>
        <v>0</v>
      </c>
      <c r="S842" s="576">
        <f t="shared" si="247"/>
        <v>0</v>
      </c>
      <c r="T842" s="577">
        <f t="shared" si="248"/>
        <v>0</v>
      </c>
      <c r="U842" s="578">
        <f t="shared" si="249"/>
        <v>0</v>
      </c>
      <c r="V842" s="579"/>
      <c r="W842" s="566"/>
      <c r="X842" s="586" t="str">
        <f t="shared" si="252"/>
        <v/>
      </c>
      <c r="Y842" s="586" t="str">
        <f t="shared" si="189"/>
        <v/>
      </c>
      <c r="Z842" s="586" t="str">
        <f t="shared" si="239"/>
        <v/>
      </c>
    </row>
    <row r="843" spans="1:26" ht="12" hidden="1" thickBot="1" x14ac:dyDescent="0.25">
      <c r="A843" s="567">
        <v>704</v>
      </c>
      <c r="B843" s="644">
        <v>704</v>
      </c>
      <c r="C843" s="645" t="s">
        <v>458</v>
      </c>
      <c r="D843" s="422" t="s">
        <v>512</v>
      </c>
      <c r="E843" s="423"/>
      <c r="F843" s="424">
        <v>0</v>
      </c>
      <c r="G843" s="425"/>
      <c r="H843" s="651">
        <v>0</v>
      </c>
      <c r="I843" s="420">
        <v>44.54</v>
      </c>
      <c r="J843" s="420">
        <f t="shared" si="253"/>
        <v>44.54</v>
      </c>
      <c r="K843" s="421">
        <f t="shared" si="254"/>
        <v>52.92</v>
      </c>
      <c r="L843" s="647" t="s">
        <v>21</v>
      </c>
      <c r="M843" s="576"/>
      <c r="N843" s="576">
        <f t="shared" si="243"/>
        <v>0</v>
      </c>
      <c r="O843" s="577">
        <f t="shared" si="250"/>
        <v>0</v>
      </c>
      <c r="P843" s="578">
        <f t="shared" si="251"/>
        <v>0</v>
      </c>
      <c r="Q843" s="765"/>
      <c r="R843" s="576">
        <f t="shared" si="247"/>
        <v>0</v>
      </c>
      <c r="S843" s="576">
        <f t="shared" si="247"/>
        <v>0</v>
      </c>
      <c r="T843" s="577">
        <f t="shared" si="248"/>
        <v>0</v>
      </c>
      <c r="U843" s="578">
        <f t="shared" si="249"/>
        <v>0</v>
      </c>
      <c r="V843" s="579"/>
      <c r="W843" s="566"/>
      <c r="X843" s="586" t="str">
        <f t="shared" si="252"/>
        <v/>
      </c>
      <c r="Y843" s="586" t="str">
        <f t="shared" si="189"/>
        <v/>
      </c>
      <c r="Z843" s="586" t="str">
        <f t="shared" si="239"/>
        <v/>
      </c>
    </row>
    <row r="844" spans="1:26" ht="12" hidden="1" thickBot="1" x14ac:dyDescent="0.25">
      <c r="A844" s="567">
        <v>740</v>
      </c>
      <c r="B844" s="644">
        <v>740</v>
      </c>
      <c r="C844" s="645" t="s">
        <v>458</v>
      </c>
      <c r="D844" s="422" t="s">
        <v>1923</v>
      </c>
      <c r="E844" s="423"/>
      <c r="F844" s="424">
        <v>0</v>
      </c>
      <c r="G844" s="425"/>
      <c r="H844" s="651">
        <v>0</v>
      </c>
      <c r="I844" s="420">
        <v>54.82</v>
      </c>
      <c r="J844" s="420">
        <f t="shared" si="253"/>
        <v>54.82</v>
      </c>
      <c r="K844" s="421">
        <f t="shared" si="254"/>
        <v>65.13</v>
      </c>
      <c r="L844" s="647" t="s">
        <v>21</v>
      </c>
      <c r="M844" s="576"/>
      <c r="N844" s="576">
        <f t="shared" si="243"/>
        <v>0</v>
      </c>
      <c r="O844" s="577">
        <f t="shared" si="250"/>
        <v>0</v>
      </c>
      <c r="P844" s="578">
        <f t="shared" si="251"/>
        <v>0</v>
      </c>
      <c r="Q844" s="765"/>
      <c r="R844" s="576">
        <f t="shared" si="247"/>
        <v>0</v>
      </c>
      <c r="S844" s="576">
        <f t="shared" si="247"/>
        <v>0</v>
      </c>
      <c r="T844" s="577">
        <f t="shared" si="248"/>
        <v>0</v>
      </c>
      <c r="U844" s="578">
        <f t="shared" si="249"/>
        <v>0</v>
      </c>
      <c r="V844" s="579"/>
      <c r="W844" s="566"/>
      <c r="X844" s="586" t="str">
        <f t="shared" si="252"/>
        <v/>
      </c>
      <c r="Y844" s="586" t="str">
        <f t="shared" si="189"/>
        <v/>
      </c>
      <c r="Z844" s="586" t="str">
        <f t="shared" si="239"/>
        <v/>
      </c>
    </row>
    <row r="845" spans="1:26" ht="12" hidden="1" thickBot="1" x14ac:dyDescent="0.25">
      <c r="A845" s="567">
        <v>741</v>
      </c>
      <c r="B845" s="644">
        <v>741</v>
      </c>
      <c r="C845" s="645" t="s">
        <v>458</v>
      </c>
      <c r="D845" s="422" t="s">
        <v>1924</v>
      </c>
      <c r="E845" s="423"/>
      <c r="F845" s="424"/>
      <c r="G845" s="425"/>
      <c r="H845" s="651"/>
      <c r="I845" s="420">
        <v>149.38</v>
      </c>
      <c r="J845" s="420">
        <f t="shared" si="253"/>
        <v>149.38</v>
      </c>
      <c r="K845" s="421">
        <f t="shared" si="254"/>
        <v>177.48</v>
      </c>
      <c r="L845" s="647" t="s">
        <v>21</v>
      </c>
      <c r="M845" s="576"/>
      <c r="N845" s="576">
        <f t="shared" si="243"/>
        <v>0</v>
      </c>
      <c r="O845" s="577">
        <f t="shared" si="250"/>
        <v>0</v>
      </c>
      <c r="P845" s="578">
        <f t="shared" si="251"/>
        <v>0</v>
      </c>
      <c r="Q845" s="765"/>
      <c r="R845" s="576">
        <f t="shared" si="247"/>
        <v>0</v>
      </c>
      <c r="S845" s="576">
        <f t="shared" si="247"/>
        <v>0</v>
      </c>
      <c r="T845" s="577">
        <f t="shared" si="248"/>
        <v>0</v>
      </c>
      <c r="U845" s="578">
        <f t="shared" si="249"/>
        <v>0</v>
      </c>
      <c r="V845" s="579"/>
      <c r="W845" s="566"/>
      <c r="X845" s="586" t="str">
        <f t="shared" si="252"/>
        <v/>
      </c>
      <c r="Y845" s="586" t="str">
        <f t="shared" si="189"/>
        <v/>
      </c>
      <c r="Z845" s="586" t="str">
        <f t="shared" si="239"/>
        <v/>
      </c>
    </row>
    <row r="846" spans="1:26" ht="12" hidden="1" thickBot="1" x14ac:dyDescent="0.25">
      <c r="A846" s="567">
        <v>742</v>
      </c>
      <c r="B846" s="644">
        <v>742</v>
      </c>
      <c r="C846" s="645" t="s">
        <v>458</v>
      </c>
      <c r="D846" s="422" t="s">
        <v>1925</v>
      </c>
      <c r="E846" s="423"/>
      <c r="F846" s="424"/>
      <c r="G846" s="425"/>
      <c r="H846" s="651"/>
      <c r="I846" s="420">
        <v>45.23</v>
      </c>
      <c r="J846" s="420">
        <f t="shared" si="253"/>
        <v>45.23</v>
      </c>
      <c r="K846" s="421">
        <f t="shared" si="254"/>
        <v>53.74</v>
      </c>
      <c r="L846" s="647" t="s">
        <v>21</v>
      </c>
      <c r="M846" s="576"/>
      <c r="N846" s="576">
        <f t="shared" si="243"/>
        <v>0</v>
      </c>
      <c r="O846" s="577">
        <f t="shared" si="250"/>
        <v>0</v>
      </c>
      <c r="P846" s="578">
        <f t="shared" si="251"/>
        <v>0</v>
      </c>
      <c r="Q846" s="765"/>
      <c r="R846" s="576">
        <f t="shared" si="247"/>
        <v>0</v>
      </c>
      <c r="S846" s="576">
        <f t="shared" si="247"/>
        <v>0</v>
      </c>
      <c r="T846" s="577">
        <f t="shared" si="248"/>
        <v>0</v>
      </c>
      <c r="U846" s="578">
        <f t="shared" si="249"/>
        <v>0</v>
      </c>
      <c r="V846" s="579"/>
      <c r="W846" s="566"/>
      <c r="X846" s="586" t="str">
        <f t="shared" si="252"/>
        <v/>
      </c>
      <c r="Y846" s="586" t="str">
        <f t="shared" si="189"/>
        <v/>
      </c>
      <c r="Z846" s="586" t="str">
        <f t="shared" si="239"/>
        <v/>
      </c>
    </row>
    <row r="847" spans="1:26" ht="12" hidden="1" thickBot="1" x14ac:dyDescent="0.25">
      <c r="A847" s="567" t="s">
        <v>513</v>
      </c>
      <c r="B847" s="644" t="s">
        <v>513</v>
      </c>
      <c r="C847" s="645" t="s">
        <v>458</v>
      </c>
      <c r="D847" s="422" t="s">
        <v>1926</v>
      </c>
      <c r="E847" s="423"/>
      <c r="F847" s="424"/>
      <c r="G847" s="425"/>
      <c r="H847" s="651"/>
      <c r="I847" s="420">
        <v>18.16</v>
      </c>
      <c r="J847" s="420">
        <f t="shared" ref="J847:J861" si="255">IF(ISBLANK(I847),"",SUM(H847:I847))</f>
        <v>18.16</v>
      </c>
      <c r="K847" s="421">
        <f t="shared" si="254"/>
        <v>21.58</v>
      </c>
      <c r="L847" s="647" t="s">
        <v>21</v>
      </c>
      <c r="M847" s="576"/>
      <c r="N847" s="576">
        <f t="shared" si="243"/>
        <v>0</v>
      </c>
      <c r="O847" s="577">
        <f t="shared" si="250"/>
        <v>0</v>
      </c>
      <c r="P847" s="578">
        <f t="shared" si="251"/>
        <v>0</v>
      </c>
      <c r="Q847" s="765"/>
      <c r="R847" s="576">
        <f t="shared" si="247"/>
        <v>0</v>
      </c>
      <c r="S847" s="576">
        <f t="shared" si="247"/>
        <v>0</v>
      </c>
      <c r="T847" s="577">
        <f t="shared" si="248"/>
        <v>0</v>
      </c>
      <c r="U847" s="578">
        <f t="shared" si="249"/>
        <v>0</v>
      </c>
      <c r="V847" s="579"/>
      <c r="W847" s="566"/>
      <c r="X847" s="586" t="str">
        <f t="shared" si="252"/>
        <v/>
      </c>
      <c r="Y847" s="586" t="str">
        <f t="shared" si="189"/>
        <v/>
      </c>
      <c r="Z847" s="586" t="str">
        <f t="shared" si="239"/>
        <v/>
      </c>
    </row>
    <row r="848" spans="1:26" ht="12" hidden="1" thickBot="1" x14ac:dyDescent="0.25">
      <c r="A848" s="567">
        <v>743</v>
      </c>
      <c r="B848" s="644">
        <v>743</v>
      </c>
      <c r="C848" s="645" t="s">
        <v>458</v>
      </c>
      <c r="D848" s="422" t="s">
        <v>1927</v>
      </c>
      <c r="E848" s="423"/>
      <c r="F848" s="424"/>
      <c r="G848" s="425"/>
      <c r="H848" s="651"/>
      <c r="I848" s="420">
        <v>222.01</v>
      </c>
      <c r="J848" s="420">
        <f t="shared" si="255"/>
        <v>222.01</v>
      </c>
      <c r="K848" s="421">
        <f t="shared" si="254"/>
        <v>263.77</v>
      </c>
      <c r="L848" s="647" t="s">
        <v>21</v>
      </c>
      <c r="M848" s="576"/>
      <c r="N848" s="576">
        <f t="shared" si="243"/>
        <v>0</v>
      </c>
      <c r="O848" s="577">
        <f t="shared" si="250"/>
        <v>0</v>
      </c>
      <c r="P848" s="578">
        <f t="shared" si="251"/>
        <v>0</v>
      </c>
      <c r="Q848" s="765"/>
      <c r="R848" s="576">
        <f t="shared" si="247"/>
        <v>0</v>
      </c>
      <c r="S848" s="576">
        <f t="shared" si="247"/>
        <v>0</v>
      </c>
      <c r="T848" s="577">
        <f t="shared" si="248"/>
        <v>0</v>
      </c>
      <c r="U848" s="578">
        <f t="shared" si="249"/>
        <v>0</v>
      </c>
      <c r="V848" s="579"/>
      <c r="W848" s="566"/>
      <c r="X848" s="586" t="str">
        <f t="shared" si="252"/>
        <v/>
      </c>
      <c r="Y848" s="586" t="str">
        <f t="shared" si="189"/>
        <v/>
      </c>
      <c r="Z848" s="586" t="str">
        <f t="shared" si="239"/>
        <v/>
      </c>
    </row>
    <row r="849" spans="1:26" ht="12" hidden="1" thickBot="1" x14ac:dyDescent="0.25">
      <c r="A849" s="567" t="s">
        <v>514</v>
      </c>
      <c r="B849" s="644" t="s">
        <v>514</v>
      </c>
      <c r="C849" s="645" t="s">
        <v>458</v>
      </c>
      <c r="D849" s="422" t="s">
        <v>1928</v>
      </c>
      <c r="E849" s="423"/>
      <c r="F849" s="424"/>
      <c r="G849" s="425"/>
      <c r="H849" s="651"/>
      <c r="I849" s="420">
        <v>88.74</v>
      </c>
      <c r="J849" s="420">
        <f t="shared" si="255"/>
        <v>88.74</v>
      </c>
      <c r="K849" s="421">
        <f t="shared" si="254"/>
        <v>105.43</v>
      </c>
      <c r="L849" s="647" t="s">
        <v>21</v>
      </c>
      <c r="M849" s="576"/>
      <c r="N849" s="576">
        <f t="shared" si="243"/>
        <v>0</v>
      </c>
      <c r="O849" s="577">
        <f t="shared" si="250"/>
        <v>0</v>
      </c>
      <c r="P849" s="578">
        <f t="shared" si="251"/>
        <v>0</v>
      </c>
      <c r="Q849" s="765"/>
      <c r="R849" s="576">
        <f t="shared" si="247"/>
        <v>0</v>
      </c>
      <c r="S849" s="576">
        <f t="shared" si="247"/>
        <v>0</v>
      </c>
      <c r="T849" s="577">
        <f t="shared" si="248"/>
        <v>0</v>
      </c>
      <c r="U849" s="578">
        <f t="shared" si="249"/>
        <v>0</v>
      </c>
      <c r="V849" s="579"/>
      <c r="W849" s="566"/>
      <c r="X849" s="586" t="str">
        <f t="shared" si="252"/>
        <v/>
      </c>
      <c r="Y849" s="586" t="str">
        <f t="shared" si="189"/>
        <v/>
      </c>
      <c r="Z849" s="586" t="str">
        <f t="shared" si="239"/>
        <v/>
      </c>
    </row>
    <row r="850" spans="1:26" ht="12" hidden="1" thickBot="1" x14ac:dyDescent="0.25">
      <c r="A850" s="567">
        <v>744</v>
      </c>
      <c r="B850" s="644">
        <v>744</v>
      </c>
      <c r="C850" s="645" t="s">
        <v>458</v>
      </c>
      <c r="D850" s="422" t="s">
        <v>1929</v>
      </c>
      <c r="E850" s="423"/>
      <c r="F850" s="424"/>
      <c r="G850" s="425"/>
      <c r="H850" s="651"/>
      <c r="I850" s="420">
        <v>421.76</v>
      </c>
      <c r="J850" s="420">
        <f t="shared" si="255"/>
        <v>421.76</v>
      </c>
      <c r="K850" s="421">
        <f t="shared" si="254"/>
        <v>501.09</v>
      </c>
      <c r="L850" s="647" t="s">
        <v>21</v>
      </c>
      <c r="M850" s="576"/>
      <c r="N850" s="576">
        <f t="shared" si="243"/>
        <v>0</v>
      </c>
      <c r="O850" s="577">
        <f t="shared" si="250"/>
        <v>0</v>
      </c>
      <c r="P850" s="578">
        <f t="shared" si="251"/>
        <v>0</v>
      </c>
      <c r="Q850" s="765"/>
      <c r="R850" s="576">
        <f t="shared" si="247"/>
        <v>0</v>
      </c>
      <c r="S850" s="576">
        <f t="shared" si="247"/>
        <v>0</v>
      </c>
      <c r="T850" s="577">
        <f t="shared" si="248"/>
        <v>0</v>
      </c>
      <c r="U850" s="578">
        <f t="shared" si="249"/>
        <v>0</v>
      </c>
      <c r="V850" s="579"/>
      <c r="W850" s="566"/>
      <c r="X850" s="586" t="str">
        <f t="shared" si="252"/>
        <v/>
      </c>
      <c r="Y850" s="586" t="str">
        <f t="shared" si="189"/>
        <v/>
      </c>
      <c r="Z850" s="586" t="str">
        <f t="shared" si="239"/>
        <v/>
      </c>
    </row>
    <row r="851" spans="1:26" ht="23.25" hidden="1" thickBot="1" x14ac:dyDescent="0.25">
      <c r="A851" s="567" t="s">
        <v>515</v>
      </c>
      <c r="B851" s="644" t="s">
        <v>515</v>
      </c>
      <c r="C851" s="645" t="s">
        <v>458</v>
      </c>
      <c r="D851" s="422" t="s">
        <v>1930</v>
      </c>
      <c r="E851" s="423"/>
      <c r="F851" s="424"/>
      <c r="G851" s="425"/>
      <c r="H851" s="651"/>
      <c r="I851" s="420">
        <v>168.57</v>
      </c>
      <c r="J851" s="420">
        <f t="shared" si="255"/>
        <v>168.57</v>
      </c>
      <c r="K851" s="421">
        <f t="shared" si="254"/>
        <v>200.28</v>
      </c>
      <c r="L851" s="647" t="s">
        <v>21</v>
      </c>
      <c r="M851" s="576"/>
      <c r="N851" s="576">
        <f t="shared" si="243"/>
        <v>0</v>
      </c>
      <c r="O851" s="577">
        <f t="shared" si="250"/>
        <v>0</v>
      </c>
      <c r="P851" s="578">
        <f t="shared" si="251"/>
        <v>0</v>
      </c>
      <c r="Q851" s="765"/>
      <c r="R851" s="576">
        <f t="shared" si="247"/>
        <v>0</v>
      </c>
      <c r="S851" s="576">
        <f t="shared" si="247"/>
        <v>0</v>
      </c>
      <c r="T851" s="577">
        <f t="shared" si="248"/>
        <v>0</v>
      </c>
      <c r="U851" s="578">
        <f t="shared" si="249"/>
        <v>0</v>
      </c>
      <c r="V851" s="579"/>
      <c r="W851" s="566"/>
      <c r="X851" s="586" t="str">
        <f t="shared" si="252"/>
        <v/>
      </c>
      <c r="Y851" s="586" t="str">
        <f t="shared" si="189"/>
        <v/>
      </c>
      <c r="Z851" s="586" t="str">
        <f t="shared" si="239"/>
        <v/>
      </c>
    </row>
    <row r="852" spans="1:26" ht="12" hidden="1" thickBot="1" x14ac:dyDescent="0.25">
      <c r="A852" s="567">
        <v>745</v>
      </c>
      <c r="B852" s="644">
        <v>745</v>
      </c>
      <c r="C852" s="645" t="s">
        <v>458</v>
      </c>
      <c r="D852" s="422" t="s">
        <v>1931</v>
      </c>
      <c r="E852" s="423"/>
      <c r="F852" s="424"/>
      <c r="G852" s="425"/>
      <c r="H852" s="651"/>
      <c r="I852" s="420">
        <v>481.03</v>
      </c>
      <c r="J852" s="420">
        <f t="shared" si="255"/>
        <v>481.03</v>
      </c>
      <c r="K852" s="421">
        <f t="shared" si="254"/>
        <v>571.51</v>
      </c>
      <c r="L852" s="647" t="s">
        <v>21</v>
      </c>
      <c r="M852" s="576"/>
      <c r="N852" s="576">
        <f t="shared" ref="N852:N915" si="256">IF(M852=0,0,K852)</f>
        <v>0</v>
      </c>
      <c r="O852" s="577">
        <f t="shared" si="250"/>
        <v>0</v>
      </c>
      <c r="P852" s="578">
        <f t="shared" si="251"/>
        <v>0</v>
      </c>
      <c r="Q852" s="765"/>
      <c r="R852" s="576">
        <f t="shared" si="247"/>
        <v>0</v>
      </c>
      <c r="S852" s="576">
        <f t="shared" si="247"/>
        <v>0</v>
      </c>
      <c r="T852" s="577">
        <f t="shared" si="248"/>
        <v>0</v>
      </c>
      <c r="U852" s="578">
        <f t="shared" si="249"/>
        <v>0</v>
      </c>
      <c r="V852" s="579"/>
      <c r="W852" s="566"/>
      <c r="X852" s="586" t="str">
        <f t="shared" si="252"/>
        <v/>
      </c>
      <c r="Y852" s="586" t="str">
        <f t="shared" si="189"/>
        <v/>
      </c>
      <c r="Z852" s="586" t="str">
        <f t="shared" si="239"/>
        <v/>
      </c>
    </row>
    <row r="853" spans="1:26" ht="12" hidden="1" thickBot="1" x14ac:dyDescent="0.25">
      <c r="A853" s="567" t="s">
        <v>516</v>
      </c>
      <c r="B853" s="644" t="s">
        <v>516</v>
      </c>
      <c r="C853" s="645" t="s">
        <v>458</v>
      </c>
      <c r="D853" s="422" t="s">
        <v>1932</v>
      </c>
      <c r="E853" s="423"/>
      <c r="F853" s="424"/>
      <c r="G853" s="425"/>
      <c r="H853" s="651"/>
      <c r="I853" s="420">
        <v>192.55</v>
      </c>
      <c r="J853" s="420">
        <f t="shared" si="255"/>
        <v>192.55</v>
      </c>
      <c r="K853" s="421">
        <f t="shared" si="254"/>
        <v>228.77</v>
      </c>
      <c r="L853" s="647" t="s">
        <v>21</v>
      </c>
      <c r="M853" s="576"/>
      <c r="N853" s="576">
        <f t="shared" si="256"/>
        <v>0</v>
      </c>
      <c r="O853" s="577">
        <f t="shared" si="250"/>
        <v>0</v>
      </c>
      <c r="P853" s="578">
        <f t="shared" si="251"/>
        <v>0</v>
      </c>
      <c r="Q853" s="765"/>
      <c r="R853" s="576">
        <f t="shared" si="247"/>
        <v>0</v>
      </c>
      <c r="S853" s="576">
        <f t="shared" si="247"/>
        <v>0</v>
      </c>
      <c r="T853" s="577">
        <f t="shared" si="248"/>
        <v>0</v>
      </c>
      <c r="U853" s="578">
        <f t="shared" si="249"/>
        <v>0</v>
      </c>
      <c r="V853" s="579"/>
      <c r="W853" s="566"/>
      <c r="X853" s="586" t="str">
        <f t="shared" si="252"/>
        <v/>
      </c>
      <c r="Y853" s="586" t="str">
        <f t="shared" si="189"/>
        <v/>
      </c>
      <c r="Z853" s="586" t="str">
        <f t="shared" si="239"/>
        <v/>
      </c>
    </row>
    <row r="854" spans="1:26" ht="12" hidden="1" thickBot="1" x14ac:dyDescent="0.25">
      <c r="A854" s="567">
        <v>746</v>
      </c>
      <c r="B854" s="644">
        <v>746</v>
      </c>
      <c r="C854" s="645" t="s">
        <v>458</v>
      </c>
      <c r="D854" s="422" t="s">
        <v>1933</v>
      </c>
      <c r="E854" s="423"/>
      <c r="F854" s="424"/>
      <c r="G854" s="425"/>
      <c r="H854" s="651"/>
      <c r="I854" s="420">
        <v>577.30999999999995</v>
      </c>
      <c r="J854" s="420">
        <f t="shared" si="255"/>
        <v>577.30999999999995</v>
      </c>
      <c r="K854" s="421">
        <f t="shared" si="254"/>
        <v>685.9</v>
      </c>
      <c r="L854" s="647" t="s">
        <v>21</v>
      </c>
      <c r="M854" s="576"/>
      <c r="N854" s="576">
        <f t="shared" si="256"/>
        <v>0</v>
      </c>
      <c r="O854" s="577">
        <f t="shared" si="250"/>
        <v>0</v>
      </c>
      <c r="P854" s="578">
        <f t="shared" si="251"/>
        <v>0</v>
      </c>
      <c r="Q854" s="765"/>
      <c r="R854" s="576">
        <f t="shared" si="247"/>
        <v>0</v>
      </c>
      <c r="S854" s="576">
        <f t="shared" si="247"/>
        <v>0</v>
      </c>
      <c r="T854" s="577">
        <f t="shared" si="248"/>
        <v>0</v>
      </c>
      <c r="U854" s="578">
        <f t="shared" si="249"/>
        <v>0</v>
      </c>
      <c r="V854" s="579"/>
      <c r="W854" s="566"/>
      <c r="X854" s="586" t="str">
        <f t="shared" si="252"/>
        <v/>
      </c>
      <c r="Y854" s="586" t="str">
        <f t="shared" si="189"/>
        <v/>
      </c>
      <c r="Z854" s="586" t="str">
        <f t="shared" si="239"/>
        <v/>
      </c>
    </row>
    <row r="855" spans="1:26" ht="12" hidden="1" thickBot="1" x14ac:dyDescent="0.25">
      <c r="A855" s="567" t="s">
        <v>517</v>
      </c>
      <c r="B855" s="644" t="s">
        <v>517</v>
      </c>
      <c r="C855" s="645" t="s">
        <v>458</v>
      </c>
      <c r="D855" s="422" t="s">
        <v>1934</v>
      </c>
      <c r="E855" s="423"/>
      <c r="F855" s="424"/>
      <c r="G855" s="425"/>
      <c r="H855" s="651"/>
      <c r="I855" s="420">
        <v>230.92</v>
      </c>
      <c r="J855" s="420">
        <f t="shared" si="255"/>
        <v>230.92</v>
      </c>
      <c r="K855" s="421">
        <f t="shared" si="254"/>
        <v>274.36</v>
      </c>
      <c r="L855" s="647" t="s">
        <v>21</v>
      </c>
      <c r="M855" s="576"/>
      <c r="N855" s="576">
        <f t="shared" si="256"/>
        <v>0</v>
      </c>
      <c r="O855" s="577">
        <f t="shared" si="250"/>
        <v>0</v>
      </c>
      <c r="P855" s="578">
        <f t="shared" si="251"/>
        <v>0</v>
      </c>
      <c r="Q855" s="765"/>
      <c r="R855" s="576">
        <f t="shared" si="247"/>
        <v>0</v>
      </c>
      <c r="S855" s="576">
        <f t="shared" si="247"/>
        <v>0</v>
      </c>
      <c r="T855" s="577">
        <f t="shared" si="248"/>
        <v>0</v>
      </c>
      <c r="U855" s="578">
        <f t="shared" si="249"/>
        <v>0</v>
      </c>
      <c r="V855" s="579"/>
      <c r="W855" s="566"/>
      <c r="X855" s="586" t="str">
        <f t="shared" si="252"/>
        <v/>
      </c>
      <c r="Y855" s="586" t="str">
        <f t="shared" si="189"/>
        <v/>
      </c>
      <c r="Z855" s="586" t="str">
        <f t="shared" si="239"/>
        <v/>
      </c>
    </row>
    <row r="856" spans="1:26" ht="12" hidden="1" thickBot="1" x14ac:dyDescent="0.25">
      <c r="A856" s="567">
        <v>747</v>
      </c>
      <c r="B856" s="644">
        <v>747</v>
      </c>
      <c r="C856" s="645" t="s">
        <v>458</v>
      </c>
      <c r="D856" s="422" t="s">
        <v>1935</v>
      </c>
      <c r="E856" s="423"/>
      <c r="F856" s="424"/>
      <c r="G856" s="425"/>
      <c r="H856" s="651"/>
      <c r="I856" s="420">
        <v>867.84</v>
      </c>
      <c r="J856" s="420">
        <f t="shared" si="255"/>
        <v>867.84</v>
      </c>
      <c r="K856" s="421">
        <f t="shared" si="254"/>
        <v>1031.08</v>
      </c>
      <c r="L856" s="647" t="s">
        <v>21</v>
      </c>
      <c r="M856" s="576"/>
      <c r="N856" s="576">
        <f t="shared" si="256"/>
        <v>0</v>
      </c>
      <c r="O856" s="577">
        <f t="shared" si="250"/>
        <v>0</v>
      </c>
      <c r="P856" s="578">
        <f t="shared" si="251"/>
        <v>0</v>
      </c>
      <c r="Q856" s="765"/>
      <c r="R856" s="576">
        <f t="shared" si="247"/>
        <v>0</v>
      </c>
      <c r="S856" s="576">
        <f t="shared" si="247"/>
        <v>0</v>
      </c>
      <c r="T856" s="577">
        <f t="shared" si="248"/>
        <v>0</v>
      </c>
      <c r="U856" s="578">
        <f t="shared" si="249"/>
        <v>0</v>
      </c>
      <c r="V856" s="579"/>
      <c r="W856" s="566"/>
      <c r="X856" s="586" t="str">
        <f t="shared" si="252"/>
        <v/>
      </c>
      <c r="Y856" s="586" t="str">
        <f t="shared" si="189"/>
        <v/>
      </c>
      <c r="Z856" s="586" t="str">
        <f t="shared" si="239"/>
        <v/>
      </c>
    </row>
    <row r="857" spans="1:26" ht="12" hidden="1" thickBot="1" x14ac:dyDescent="0.25">
      <c r="A857" s="567" t="s">
        <v>518</v>
      </c>
      <c r="B857" s="644" t="s">
        <v>518</v>
      </c>
      <c r="C857" s="645" t="s">
        <v>458</v>
      </c>
      <c r="D857" s="422" t="s">
        <v>1936</v>
      </c>
      <c r="E857" s="423"/>
      <c r="F857" s="424"/>
      <c r="G857" s="425"/>
      <c r="H857" s="651"/>
      <c r="I857" s="420">
        <v>347.07</v>
      </c>
      <c r="J857" s="420">
        <f t="shared" si="255"/>
        <v>347.07</v>
      </c>
      <c r="K857" s="421">
        <f t="shared" si="254"/>
        <v>412.35</v>
      </c>
      <c r="L857" s="647" t="s">
        <v>21</v>
      </c>
      <c r="M857" s="576"/>
      <c r="N857" s="576">
        <f t="shared" si="256"/>
        <v>0</v>
      </c>
      <c r="O857" s="577">
        <f t="shared" si="250"/>
        <v>0</v>
      </c>
      <c r="P857" s="578">
        <f t="shared" si="251"/>
        <v>0</v>
      </c>
      <c r="Q857" s="765"/>
      <c r="R857" s="576">
        <f t="shared" si="247"/>
        <v>0</v>
      </c>
      <c r="S857" s="576">
        <f t="shared" si="247"/>
        <v>0</v>
      </c>
      <c r="T857" s="577">
        <f t="shared" si="248"/>
        <v>0</v>
      </c>
      <c r="U857" s="578">
        <f t="shared" si="249"/>
        <v>0</v>
      </c>
      <c r="V857" s="579"/>
      <c r="W857" s="566"/>
      <c r="X857" s="586" t="str">
        <f t="shared" si="252"/>
        <v/>
      </c>
      <c r="Y857" s="586" t="str">
        <f t="shared" si="189"/>
        <v/>
      </c>
      <c r="Z857" s="586" t="str">
        <f t="shared" si="239"/>
        <v/>
      </c>
    </row>
    <row r="858" spans="1:26" ht="12" hidden="1" thickBot="1" x14ac:dyDescent="0.25">
      <c r="A858" s="567">
        <v>748</v>
      </c>
      <c r="B858" s="644">
        <v>748</v>
      </c>
      <c r="C858" s="645" t="s">
        <v>458</v>
      </c>
      <c r="D858" s="422" t="s">
        <v>1937</v>
      </c>
      <c r="E858" s="423"/>
      <c r="F858" s="424"/>
      <c r="G858" s="425"/>
      <c r="H858" s="651"/>
      <c r="I858" s="420">
        <v>69.89</v>
      </c>
      <c r="J858" s="420">
        <f t="shared" si="255"/>
        <v>69.89</v>
      </c>
      <c r="K858" s="421">
        <f t="shared" si="254"/>
        <v>83.04</v>
      </c>
      <c r="L858" s="647" t="s">
        <v>21</v>
      </c>
      <c r="M858" s="576"/>
      <c r="N858" s="576">
        <f t="shared" si="256"/>
        <v>0</v>
      </c>
      <c r="O858" s="577">
        <f t="shared" si="250"/>
        <v>0</v>
      </c>
      <c r="P858" s="578">
        <f t="shared" si="251"/>
        <v>0</v>
      </c>
      <c r="Q858" s="765"/>
      <c r="R858" s="576">
        <f t="shared" si="247"/>
        <v>0</v>
      </c>
      <c r="S858" s="576">
        <f t="shared" si="247"/>
        <v>0</v>
      </c>
      <c r="T858" s="577">
        <f t="shared" si="248"/>
        <v>0</v>
      </c>
      <c r="U858" s="578">
        <f t="shared" si="249"/>
        <v>0</v>
      </c>
      <c r="V858" s="579"/>
      <c r="W858" s="566"/>
      <c r="X858" s="586" t="str">
        <f t="shared" si="252"/>
        <v/>
      </c>
      <c r="Y858" s="586" t="str">
        <f t="shared" si="189"/>
        <v/>
      </c>
      <c r="Z858" s="586" t="str">
        <f t="shared" si="239"/>
        <v/>
      </c>
    </row>
    <row r="859" spans="1:26" ht="12" hidden="1" thickBot="1" x14ac:dyDescent="0.25">
      <c r="A859" s="567" t="s">
        <v>519</v>
      </c>
      <c r="B859" s="644" t="s">
        <v>519</v>
      </c>
      <c r="C859" s="645" t="s">
        <v>458</v>
      </c>
      <c r="D859" s="422" t="s">
        <v>1938</v>
      </c>
      <c r="E859" s="423"/>
      <c r="F859" s="424"/>
      <c r="G859" s="425"/>
      <c r="H859" s="651"/>
      <c r="I859" s="420">
        <v>28.09</v>
      </c>
      <c r="J859" s="420">
        <f t="shared" si="255"/>
        <v>28.09</v>
      </c>
      <c r="K859" s="421">
        <f t="shared" si="254"/>
        <v>33.369999999999997</v>
      </c>
      <c r="L859" s="647" t="s">
        <v>21</v>
      </c>
      <c r="M859" s="576"/>
      <c r="N859" s="576">
        <f t="shared" si="256"/>
        <v>0</v>
      </c>
      <c r="O859" s="577">
        <f t="shared" si="250"/>
        <v>0</v>
      </c>
      <c r="P859" s="578">
        <f t="shared" si="251"/>
        <v>0</v>
      </c>
      <c r="Q859" s="765"/>
      <c r="R859" s="576">
        <f t="shared" si="247"/>
        <v>0</v>
      </c>
      <c r="S859" s="576">
        <f t="shared" si="247"/>
        <v>0</v>
      </c>
      <c r="T859" s="577">
        <f t="shared" si="248"/>
        <v>0</v>
      </c>
      <c r="U859" s="578">
        <f t="shared" si="249"/>
        <v>0</v>
      </c>
      <c r="V859" s="579"/>
      <c r="W859" s="566"/>
      <c r="X859" s="586" t="str">
        <f t="shared" si="252"/>
        <v/>
      </c>
      <c r="Y859" s="586" t="str">
        <f t="shared" si="189"/>
        <v/>
      </c>
      <c r="Z859" s="586" t="str">
        <f t="shared" si="239"/>
        <v/>
      </c>
    </row>
    <row r="860" spans="1:26" ht="12" hidden="1" thickBot="1" x14ac:dyDescent="0.25">
      <c r="A860" s="567">
        <v>759</v>
      </c>
      <c r="B860" s="644">
        <v>759</v>
      </c>
      <c r="C860" s="645" t="s">
        <v>458</v>
      </c>
      <c r="D860" s="422" t="s">
        <v>1939</v>
      </c>
      <c r="E860" s="423"/>
      <c r="F860" s="424"/>
      <c r="G860" s="425"/>
      <c r="H860" s="651"/>
      <c r="I860" s="420">
        <v>536.12</v>
      </c>
      <c r="J860" s="420">
        <f t="shared" si="255"/>
        <v>536.12</v>
      </c>
      <c r="K860" s="421">
        <f t="shared" si="254"/>
        <v>636.96</v>
      </c>
      <c r="L860" s="647" t="s">
        <v>21</v>
      </c>
      <c r="M860" s="576"/>
      <c r="N860" s="576">
        <f t="shared" si="256"/>
        <v>0</v>
      </c>
      <c r="O860" s="577">
        <f t="shared" si="250"/>
        <v>0</v>
      </c>
      <c r="P860" s="578">
        <f t="shared" si="251"/>
        <v>0</v>
      </c>
      <c r="Q860" s="765"/>
      <c r="R860" s="576">
        <f t="shared" si="247"/>
        <v>0</v>
      </c>
      <c r="S860" s="576">
        <f t="shared" si="247"/>
        <v>0</v>
      </c>
      <c r="T860" s="577">
        <f t="shared" si="248"/>
        <v>0</v>
      </c>
      <c r="U860" s="578">
        <f t="shared" si="249"/>
        <v>0</v>
      </c>
      <c r="V860" s="579"/>
      <c r="W860" s="566"/>
      <c r="X860" s="586" t="str">
        <f t="shared" si="252"/>
        <v/>
      </c>
      <c r="Y860" s="586" t="str">
        <f t="shared" si="189"/>
        <v/>
      </c>
      <c r="Z860" s="586" t="str">
        <f t="shared" si="239"/>
        <v/>
      </c>
    </row>
    <row r="861" spans="1:26" ht="12" hidden="1" thickBot="1" x14ac:dyDescent="0.25">
      <c r="A861" s="567" t="s">
        <v>520</v>
      </c>
      <c r="B861" s="644" t="s">
        <v>520</v>
      </c>
      <c r="C861" s="645" t="s">
        <v>458</v>
      </c>
      <c r="D861" s="422" t="s">
        <v>1940</v>
      </c>
      <c r="E861" s="423"/>
      <c r="F861" s="424"/>
      <c r="G861" s="425"/>
      <c r="H861" s="651"/>
      <c r="I861" s="420">
        <v>70.239999999999995</v>
      </c>
      <c r="J861" s="420">
        <f t="shared" si="255"/>
        <v>70.239999999999995</v>
      </c>
      <c r="K861" s="421">
        <f t="shared" si="254"/>
        <v>83.45</v>
      </c>
      <c r="L861" s="647" t="s">
        <v>21</v>
      </c>
      <c r="M861" s="576"/>
      <c r="N861" s="576">
        <f t="shared" si="256"/>
        <v>0</v>
      </c>
      <c r="O861" s="577">
        <f t="shared" si="250"/>
        <v>0</v>
      </c>
      <c r="P861" s="578">
        <f t="shared" si="251"/>
        <v>0</v>
      </c>
      <c r="Q861" s="765"/>
      <c r="R861" s="576">
        <f t="shared" si="247"/>
        <v>0</v>
      </c>
      <c r="S861" s="576">
        <f t="shared" si="247"/>
        <v>0</v>
      </c>
      <c r="T861" s="577">
        <f t="shared" si="248"/>
        <v>0</v>
      </c>
      <c r="U861" s="578">
        <f t="shared" si="249"/>
        <v>0</v>
      </c>
      <c r="V861" s="579"/>
      <c r="W861" s="566"/>
      <c r="X861" s="586" t="str">
        <f t="shared" si="252"/>
        <v/>
      </c>
      <c r="Y861" s="586" t="str">
        <f t="shared" si="189"/>
        <v/>
      </c>
      <c r="Z861" s="586" t="str">
        <f t="shared" si="239"/>
        <v/>
      </c>
    </row>
    <row r="862" spans="1:26" ht="12" hidden="1" thickBot="1" x14ac:dyDescent="0.25">
      <c r="A862" s="567">
        <v>751</v>
      </c>
      <c r="B862" s="644">
        <v>751</v>
      </c>
      <c r="C862" s="645" t="s">
        <v>458</v>
      </c>
      <c r="D862" s="422" t="s">
        <v>1941</v>
      </c>
      <c r="E862" s="423"/>
      <c r="F862" s="424"/>
      <c r="G862" s="425"/>
      <c r="H862" s="651"/>
      <c r="I862" s="420">
        <v>11.31</v>
      </c>
      <c r="J862" s="420">
        <f t="shared" ref="J862:J888" si="257">IF(ISBLANK(I862),"",SUM(H862:I862))</f>
        <v>11.31</v>
      </c>
      <c r="K862" s="421">
        <f t="shared" si="254"/>
        <v>13.44</v>
      </c>
      <c r="L862" s="647" t="s">
        <v>21</v>
      </c>
      <c r="M862" s="576"/>
      <c r="N862" s="576">
        <f t="shared" si="256"/>
        <v>0</v>
      </c>
      <c r="O862" s="577">
        <f t="shared" si="250"/>
        <v>0</v>
      </c>
      <c r="P862" s="578">
        <f t="shared" si="251"/>
        <v>0</v>
      </c>
      <c r="Q862" s="765"/>
      <c r="R862" s="576">
        <f t="shared" si="247"/>
        <v>0</v>
      </c>
      <c r="S862" s="576">
        <f t="shared" si="247"/>
        <v>0</v>
      </c>
      <c r="T862" s="577">
        <f t="shared" si="248"/>
        <v>0</v>
      </c>
      <c r="U862" s="578">
        <f t="shared" si="249"/>
        <v>0</v>
      </c>
      <c r="V862" s="579"/>
      <c r="W862" s="566"/>
      <c r="X862" s="586" t="str">
        <f t="shared" si="252"/>
        <v/>
      </c>
      <c r="Y862" s="586" t="str">
        <f t="shared" si="189"/>
        <v/>
      </c>
      <c r="Z862" s="586" t="str">
        <f t="shared" si="239"/>
        <v/>
      </c>
    </row>
    <row r="863" spans="1:26" ht="12" hidden="1" thickBot="1" x14ac:dyDescent="0.25">
      <c r="A863" s="567" t="s">
        <v>521</v>
      </c>
      <c r="B863" s="644" t="s">
        <v>521</v>
      </c>
      <c r="C863" s="645" t="s">
        <v>458</v>
      </c>
      <c r="D863" s="422" t="s">
        <v>1942</v>
      </c>
      <c r="E863" s="423"/>
      <c r="F863" s="424"/>
      <c r="G863" s="425"/>
      <c r="H863" s="651"/>
      <c r="I863" s="420">
        <v>4.45</v>
      </c>
      <c r="J863" s="420">
        <f t="shared" si="257"/>
        <v>4.45</v>
      </c>
      <c r="K863" s="421">
        <f t="shared" si="254"/>
        <v>5.29</v>
      </c>
      <c r="L863" s="647" t="s">
        <v>21</v>
      </c>
      <c r="M863" s="576"/>
      <c r="N863" s="576">
        <f t="shared" si="256"/>
        <v>0</v>
      </c>
      <c r="O863" s="577">
        <f t="shared" si="250"/>
        <v>0</v>
      </c>
      <c r="P863" s="578">
        <f t="shared" si="251"/>
        <v>0</v>
      </c>
      <c r="Q863" s="765"/>
      <c r="R863" s="576">
        <f t="shared" si="247"/>
        <v>0</v>
      </c>
      <c r="S863" s="576">
        <f t="shared" si="247"/>
        <v>0</v>
      </c>
      <c r="T863" s="577">
        <f t="shared" si="248"/>
        <v>0</v>
      </c>
      <c r="U863" s="578">
        <f t="shared" si="249"/>
        <v>0</v>
      </c>
      <c r="V863" s="579"/>
      <c r="W863" s="566"/>
      <c r="X863" s="586" t="str">
        <f t="shared" si="252"/>
        <v/>
      </c>
      <c r="Y863" s="586" t="str">
        <f t="shared" si="189"/>
        <v/>
      </c>
      <c r="Z863" s="586" t="str">
        <f t="shared" si="239"/>
        <v/>
      </c>
    </row>
    <row r="864" spans="1:26" ht="12" hidden="1" thickBot="1" x14ac:dyDescent="0.25">
      <c r="A864" s="567">
        <v>752</v>
      </c>
      <c r="B864" s="644">
        <v>752</v>
      </c>
      <c r="C864" s="645" t="s">
        <v>458</v>
      </c>
      <c r="D864" s="422" t="s">
        <v>1943</v>
      </c>
      <c r="E864" s="423"/>
      <c r="F864" s="424"/>
      <c r="G864" s="425"/>
      <c r="H864" s="651"/>
      <c r="I864" s="420">
        <v>28.78</v>
      </c>
      <c r="J864" s="420">
        <f t="shared" si="257"/>
        <v>28.78</v>
      </c>
      <c r="K864" s="421">
        <f t="shared" si="254"/>
        <v>34.19</v>
      </c>
      <c r="L864" s="647" t="s">
        <v>21</v>
      </c>
      <c r="M864" s="576"/>
      <c r="N864" s="576">
        <f t="shared" si="256"/>
        <v>0</v>
      </c>
      <c r="O864" s="577">
        <f t="shared" si="250"/>
        <v>0</v>
      </c>
      <c r="P864" s="578">
        <f t="shared" si="251"/>
        <v>0</v>
      </c>
      <c r="Q864" s="765"/>
      <c r="R864" s="576">
        <f t="shared" si="247"/>
        <v>0</v>
      </c>
      <c r="S864" s="576">
        <f t="shared" si="247"/>
        <v>0</v>
      </c>
      <c r="T864" s="577">
        <f t="shared" si="248"/>
        <v>0</v>
      </c>
      <c r="U864" s="578">
        <f t="shared" si="249"/>
        <v>0</v>
      </c>
      <c r="V864" s="579"/>
      <c r="W864" s="566"/>
      <c r="X864" s="586" t="str">
        <f t="shared" si="252"/>
        <v/>
      </c>
      <c r="Y864" s="586" t="str">
        <f t="shared" si="189"/>
        <v/>
      </c>
      <c r="Z864" s="586" t="str">
        <f t="shared" si="239"/>
        <v/>
      </c>
    </row>
    <row r="865" spans="1:26" ht="12" hidden="1" thickBot="1" x14ac:dyDescent="0.25">
      <c r="A865" s="567" t="s">
        <v>522</v>
      </c>
      <c r="B865" s="644" t="s">
        <v>522</v>
      </c>
      <c r="C865" s="645" t="s">
        <v>458</v>
      </c>
      <c r="D865" s="422" t="s">
        <v>1944</v>
      </c>
      <c r="E865" s="423"/>
      <c r="F865" s="424"/>
      <c r="G865" s="425"/>
      <c r="H865" s="651"/>
      <c r="I865" s="420">
        <v>28.78</v>
      </c>
      <c r="J865" s="420">
        <f t="shared" si="257"/>
        <v>28.78</v>
      </c>
      <c r="K865" s="421">
        <f t="shared" si="254"/>
        <v>34.19</v>
      </c>
      <c r="L865" s="647" t="s">
        <v>21</v>
      </c>
      <c r="M865" s="576"/>
      <c r="N865" s="576">
        <f t="shared" si="256"/>
        <v>0</v>
      </c>
      <c r="O865" s="577">
        <f t="shared" si="250"/>
        <v>0</v>
      </c>
      <c r="P865" s="578">
        <f t="shared" si="251"/>
        <v>0</v>
      </c>
      <c r="Q865" s="765"/>
      <c r="R865" s="576">
        <f t="shared" si="247"/>
        <v>0</v>
      </c>
      <c r="S865" s="576">
        <f t="shared" si="247"/>
        <v>0</v>
      </c>
      <c r="T865" s="577">
        <f t="shared" si="248"/>
        <v>0</v>
      </c>
      <c r="U865" s="578">
        <f t="shared" si="249"/>
        <v>0</v>
      </c>
      <c r="V865" s="579"/>
      <c r="W865" s="566"/>
      <c r="X865" s="586" t="str">
        <f t="shared" si="252"/>
        <v/>
      </c>
      <c r="Y865" s="586" t="str">
        <f t="shared" si="189"/>
        <v/>
      </c>
      <c r="Z865" s="586" t="str">
        <f t="shared" si="239"/>
        <v/>
      </c>
    </row>
    <row r="866" spans="1:26" ht="12" hidden="1" thickBot="1" x14ac:dyDescent="0.25">
      <c r="A866" s="567">
        <v>753</v>
      </c>
      <c r="B866" s="644">
        <v>753</v>
      </c>
      <c r="C866" s="645" t="s">
        <v>458</v>
      </c>
      <c r="D866" s="422" t="s">
        <v>1945</v>
      </c>
      <c r="E866" s="423"/>
      <c r="F866" s="424"/>
      <c r="G866" s="425"/>
      <c r="H866" s="651"/>
      <c r="I866" s="420">
        <v>62.7</v>
      </c>
      <c r="J866" s="420">
        <f t="shared" si="257"/>
        <v>62.7</v>
      </c>
      <c r="K866" s="421">
        <f t="shared" si="254"/>
        <v>74.489999999999995</v>
      </c>
      <c r="L866" s="647" t="s">
        <v>21</v>
      </c>
      <c r="M866" s="576"/>
      <c r="N866" s="576">
        <f t="shared" si="256"/>
        <v>0</v>
      </c>
      <c r="O866" s="577">
        <f t="shared" si="250"/>
        <v>0</v>
      </c>
      <c r="P866" s="578">
        <f t="shared" si="251"/>
        <v>0</v>
      </c>
      <c r="Q866" s="765"/>
      <c r="R866" s="576">
        <f t="shared" si="247"/>
        <v>0</v>
      </c>
      <c r="S866" s="576">
        <f t="shared" si="247"/>
        <v>0</v>
      </c>
      <c r="T866" s="577">
        <f t="shared" si="248"/>
        <v>0</v>
      </c>
      <c r="U866" s="578">
        <f t="shared" si="249"/>
        <v>0</v>
      </c>
      <c r="V866" s="579"/>
      <c r="W866" s="566"/>
      <c r="X866" s="586" t="str">
        <f t="shared" si="252"/>
        <v/>
      </c>
      <c r="Y866" s="586" t="str">
        <f t="shared" si="189"/>
        <v/>
      </c>
      <c r="Z866" s="586" t="str">
        <f t="shared" si="239"/>
        <v/>
      </c>
    </row>
    <row r="867" spans="1:26" ht="12" hidden="1" thickBot="1" x14ac:dyDescent="0.25">
      <c r="A867" s="567" t="s">
        <v>523</v>
      </c>
      <c r="B867" s="644" t="s">
        <v>523</v>
      </c>
      <c r="C867" s="645" t="s">
        <v>458</v>
      </c>
      <c r="D867" s="422" t="s">
        <v>1946</v>
      </c>
      <c r="E867" s="423"/>
      <c r="F867" s="424"/>
      <c r="G867" s="425"/>
      <c r="H867" s="651"/>
      <c r="I867" s="420">
        <v>62.7</v>
      </c>
      <c r="J867" s="420">
        <f t="shared" si="257"/>
        <v>62.7</v>
      </c>
      <c r="K867" s="421">
        <f t="shared" si="254"/>
        <v>74.489999999999995</v>
      </c>
      <c r="L867" s="647" t="s">
        <v>21</v>
      </c>
      <c r="M867" s="576"/>
      <c r="N867" s="576">
        <f t="shared" si="256"/>
        <v>0</v>
      </c>
      <c r="O867" s="577">
        <f t="shared" si="250"/>
        <v>0</v>
      </c>
      <c r="P867" s="578">
        <f t="shared" si="251"/>
        <v>0</v>
      </c>
      <c r="Q867" s="765"/>
      <c r="R867" s="576">
        <f t="shared" si="247"/>
        <v>0</v>
      </c>
      <c r="S867" s="576">
        <f t="shared" si="247"/>
        <v>0</v>
      </c>
      <c r="T867" s="577">
        <f t="shared" si="248"/>
        <v>0</v>
      </c>
      <c r="U867" s="578">
        <f t="shared" si="249"/>
        <v>0</v>
      </c>
      <c r="V867" s="579"/>
      <c r="W867" s="566"/>
      <c r="X867" s="586" t="str">
        <f t="shared" si="252"/>
        <v/>
      </c>
      <c r="Y867" s="586" t="str">
        <f t="shared" ref="Y867:Y930" si="258">IF(W867="X","x",IF(W867="y","x",IF(W867="xx","x",IF(U867&gt;0,"x",""))))</f>
        <v/>
      </c>
      <c r="Z867" s="586" t="str">
        <f t="shared" si="239"/>
        <v/>
      </c>
    </row>
    <row r="868" spans="1:26" ht="12" hidden="1" thickBot="1" x14ac:dyDescent="0.25">
      <c r="A868" s="567">
        <v>754</v>
      </c>
      <c r="B868" s="644">
        <v>754</v>
      </c>
      <c r="C868" s="645" t="s">
        <v>458</v>
      </c>
      <c r="D868" s="422" t="s">
        <v>1947</v>
      </c>
      <c r="E868" s="423"/>
      <c r="F868" s="424"/>
      <c r="G868" s="425"/>
      <c r="H868" s="651"/>
      <c r="I868" s="420">
        <v>71.95</v>
      </c>
      <c r="J868" s="420">
        <f t="shared" si="257"/>
        <v>71.95</v>
      </c>
      <c r="K868" s="421">
        <f t="shared" si="254"/>
        <v>85.48</v>
      </c>
      <c r="L868" s="647" t="s">
        <v>21</v>
      </c>
      <c r="M868" s="576"/>
      <c r="N868" s="576">
        <f t="shared" si="256"/>
        <v>0</v>
      </c>
      <c r="O868" s="577">
        <f t="shared" si="250"/>
        <v>0</v>
      </c>
      <c r="P868" s="578">
        <f t="shared" si="251"/>
        <v>0</v>
      </c>
      <c r="Q868" s="765"/>
      <c r="R868" s="576">
        <f t="shared" si="247"/>
        <v>0</v>
      </c>
      <c r="S868" s="576">
        <f t="shared" si="247"/>
        <v>0</v>
      </c>
      <c r="T868" s="577">
        <f t="shared" si="248"/>
        <v>0</v>
      </c>
      <c r="U868" s="578">
        <f t="shared" si="249"/>
        <v>0</v>
      </c>
      <c r="V868" s="579"/>
      <c r="W868" s="566"/>
      <c r="X868" s="586" t="str">
        <f t="shared" si="252"/>
        <v/>
      </c>
      <c r="Y868" s="586" t="str">
        <f t="shared" si="258"/>
        <v/>
      </c>
      <c r="Z868" s="586" t="str">
        <f t="shared" si="239"/>
        <v/>
      </c>
    </row>
    <row r="869" spans="1:26" ht="12" hidden="1" thickBot="1" x14ac:dyDescent="0.25">
      <c r="A869" s="567">
        <v>755</v>
      </c>
      <c r="B869" s="644">
        <v>755</v>
      </c>
      <c r="C869" s="645" t="s">
        <v>458</v>
      </c>
      <c r="D869" s="422" t="s">
        <v>1948</v>
      </c>
      <c r="E869" s="423"/>
      <c r="F869" s="424"/>
      <c r="G869" s="425"/>
      <c r="H869" s="651"/>
      <c r="I869" s="420">
        <v>15.08</v>
      </c>
      <c r="J869" s="420">
        <f t="shared" si="257"/>
        <v>15.08</v>
      </c>
      <c r="K869" s="421">
        <f t="shared" si="254"/>
        <v>17.920000000000002</v>
      </c>
      <c r="L869" s="647" t="s">
        <v>21</v>
      </c>
      <c r="M869" s="576"/>
      <c r="N869" s="576">
        <f t="shared" si="256"/>
        <v>0</v>
      </c>
      <c r="O869" s="577">
        <f t="shared" si="250"/>
        <v>0</v>
      </c>
      <c r="P869" s="578">
        <f t="shared" si="251"/>
        <v>0</v>
      </c>
      <c r="Q869" s="765"/>
      <c r="R869" s="576">
        <f t="shared" si="247"/>
        <v>0</v>
      </c>
      <c r="S869" s="576">
        <f t="shared" si="247"/>
        <v>0</v>
      </c>
      <c r="T869" s="577">
        <f t="shared" si="248"/>
        <v>0</v>
      </c>
      <c r="U869" s="578">
        <f t="shared" si="249"/>
        <v>0</v>
      </c>
      <c r="V869" s="579"/>
      <c r="W869" s="566"/>
      <c r="X869" s="586" t="str">
        <f t="shared" si="252"/>
        <v/>
      </c>
      <c r="Y869" s="586" t="str">
        <f t="shared" si="258"/>
        <v/>
      </c>
      <c r="Z869" s="586" t="str">
        <f t="shared" si="239"/>
        <v/>
      </c>
    </row>
    <row r="870" spans="1:26" ht="12" hidden="1" thickBot="1" x14ac:dyDescent="0.25">
      <c r="A870" s="567" t="s">
        <v>524</v>
      </c>
      <c r="B870" s="644" t="s">
        <v>524</v>
      </c>
      <c r="C870" s="645" t="s">
        <v>458</v>
      </c>
      <c r="D870" s="422" t="s">
        <v>1949</v>
      </c>
      <c r="E870" s="423"/>
      <c r="F870" s="424"/>
      <c r="G870" s="425"/>
      <c r="H870" s="651"/>
      <c r="I870" s="420">
        <v>6.17</v>
      </c>
      <c r="J870" s="420">
        <f t="shared" si="257"/>
        <v>6.17</v>
      </c>
      <c r="K870" s="421">
        <f t="shared" si="254"/>
        <v>7.33</v>
      </c>
      <c r="L870" s="647" t="s">
        <v>21</v>
      </c>
      <c r="M870" s="576"/>
      <c r="N870" s="576">
        <f t="shared" si="256"/>
        <v>0</v>
      </c>
      <c r="O870" s="577">
        <f t="shared" si="250"/>
        <v>0</v>
      </c>
      <c r="P870" s="578">
        <f t="shared" si="251"/>
        <v>0</v>
      </c>
      <c r="Q870" s="765"/>
      <c r="R870" s="576">
        <f t="shared" si="247"/>
        <v>0</v>
      </c>
      <c r="S870" s="576">
        <f t="shared" si="247"/>
        <v>0</v>
      </c>
      <c r="T870" s="577">
        <f t="shared" si="248"/>
        <v>0</v>
      </c>
      <c r="U870" s="578">
        <f t="shared" si="249"/>
        <v>0</v>
      </c>
      <c r="V870" s="579"/>
      <c r="W870" s="566"/>
      <c r="X870" s="586" t="str">
        <f t="shared" si="252"/>
        <v/>
      </c>
      <c r="Y870" s="586" t="str">
        <f t="shared" si="258"/>
        <v/>
      </c>
      <c r="Z870" s="586" t="str">
        <f t="shared" si="239"/>
        <v/>
      </c>
    </row>
    <row r="871" spans="1:26" ht="12" hidden="1" thickBot="1" x14ac:dyDescent="0.25">
      <c r="A871" s="567">
        <v>756</v>
      </c>
      <c r="B871" s="644">
        <v>756</v>
      </c>
      <c r="C871" s="645" t="s">
        <v>458</v>
      </c>
      <c r="D871" s="422" t="s">
        <v>1950</v>
      </c>
      <c r="E871" s="423"/>
      <c r="F871" s="424"/>
      <c r="G871" s="425"/>
      <c r="H871" s="651"/>
      <c r="I871" s="420">
        <v>24.67</v>
      </c>
      <c r="J871" s="420">
        <f t="shared" si="257"/>
        <v>24.67</v>
      </c>
      <c r="K871" s="421">
        <f t="shared" si="254"/>
        <v>29.31</v>
      </c>
      <c r="L871" s="647" t="s">
        <v>21</v>
      </c>
      <c r="M871" s="576"/>
      <c r="N871" s="576">
        <f t="shared" si="256"/>
        <v>0</v>
      </c>
      <c r="O871" s="577">
        <f t="shared" si="250"/>
        <v>0</v>
      </c>
      <c r="P871" s="578">
        <f t="shared" si="251"/>
        <v>0</v>
      </c>
      <c r="Q871" s="765"/>
      <c r="R871" s="576">
        <f t="shared" si="247"/>
        <v>0</v>
      </c>
      <c r="S871" s="576">
        <f t="shared" si="247"/>
        <v>0</v>
      </c>
      <c r="T871" s="577">
        <f t="shared" si="248"/>
        <v>0</v>
      </c>
      <c r="U871" s="578">
        <f t="shared" si="249"/>
        <v>0</v>
      </c>
      <c r="V871" s="579"/>
      <c r="W871" s="566"/>
      <c r="X871" s="586" t="str">
        <f t="shared" si="252"/>
        <v/>
      </c>
      <c r="Y871" s="586" t="str">
        <f t="shared" si="258"/>
        <v/>
      </c>
      <c r="Z871" s="586" t="str">
        <f t="shared" si="239"/>
        <v/>
      </c>
    </row>
    <row r="872" spans="1:26" ht="12" hidden="1" thickBot="1" x14ac:dyDescent="0.25">
      <c r="A872" s="567" t="s">
        <v>525</v>
      </c>
      <c r="B872" s="644" t="s">
        <v>525</v>
      </c>
      <c r="C872" s="645" t="s">
        <v>458</v>
      </c>
      <c r="D872" s="422" t="s">
        <v>1951</v>
      </c>
      <c r="E872" s="423"/>
      <c r="F872" s="424"/>
      <c r="G872" s="425"/>
      <c r="H872" s="651"/>
      <c r="I872" s="420">
        <v>9.94</v>
      </c>
      <c r="J872" s="420">
        <f t="shared" si="257"/>
        <v>9.94</v>
      </c>
      <c r="K872" s="421">
        <f t="shared" si="254"/>
        <v>11.81</v>
      </c>
      <c r="L872" s="647" t="s">
        <v>21</v>
      </c>
      <c r="M872" s="576"/>
      <c r="N872" s="576">
        <f t="shared" si="256"/>
        <v>0</v>
      </c>
      <c r="O872" s="577">
        <f t="shared" si="250"/>
        <v>0</v>
      </c>
      <c r="P872" s="578">
        <f t="shared" si="251"/>
        <v>0</v>
      </c>
      <c r="Q872" s="765"/>
      <c r="R872" s="576">
        <f t="shared" si="247"/>
        <v>0</v>
      </c>
      <c r="S872" s="576">
        <f t="shared" si="247"/>
        <v>0</v>
      </c>
      <c r="T872" s="577">
        <f t="shared" si="248"/>
        <v>0</v>
      </c>
      <c r="U872" s="578">
        <f t="shared" si="249"/>
        <v>0</v>
      </c>
      <c r="V872" s="579"/>
      <c r="W872" s="566"/>
      <c r="X872" s="586" t="str">
        <f t="shared" si="252"/>
        <v/>
      </c>
      <c r="Y872" s="586" t="str">
        <f t="shared" si="258"/>
        <v/>
      </c>
      <c r="Z872" s="586" t="str">
        <f t="shared" si="239"/>
        <v/>
      </c>
    </row>
    <row r="873" spans="1:26" ht="12" hidden="1" thickBot="1" x14ac:dyDescent="0.25">
      <c r="A873" s="567">
        <v>757</v>
      </c>
      <c r="B873" s="644">
        <v>757</v>
      </c>
      <c r="C873" s="645" t="s">
        <v>458</v>
      </c>
      <c r="D873" s="422" t="s">
        <v>1952</v>
      </c>
      <c r="E873" s="423"/>
      <c r="F873" s="424"/>
      <c r="G873" s="425"/>
      <c r="H873" s="651"/>
      <c r="I873" s="420">
        <v>15.42</v>
      </c>
      <c r="J873" s="420">
        <f t="shared" si="257"/>
        <v>15.42</v>
      </c>
      <c r="K873" s="421">
        <f t="shared" si="254"/>
        <v>18.32</v>
      </c>
      <c r="L873" s="647" t="s">
        <v>21</v>
      </c>
      <c r="M873" s="576"/>
      <c r="N873" s="576">
        <f t="shared" si="256"/>
        <v>0</v>
      </c>
      <c r="O873" s="577">
        <f t="shared" si="250"/>
        <v>0</v>
      </c>
      <c r="P873" s="578">
        <f t="shared" si="251"/>
        <v>0</v>
      </c>
      <c r="Q873" s="765"/>
      <c r="R873" s="576">
        <f t="shared" si="247"/>
        <v>0</v>
      </c>
      <c r="S873" s="576">
        <f t="shared" si="247"/>
        <v>0</v>
      </c>
      <c r="T873" s="577">
        <f t="shared" si="248"/>
        <v>0</v>
      </c>
      <c r="U873" s="578">
        <f t="shared" si="249"/>
        <v>0</v>
      </c>
      <c r="V873" s="579"/>
      <c r="W873" s="566"/>
      <c r="X873" s="586" t="str">
        <f t="shared" si="252"/>
        <v/>
      </c>
      <c r="Y873" s="586" t="str">
        <f t="shared" si="258"/>
        <v/>
      </c>
      <c r="Z873" s="586" t="str">
        <f t="shared" si="239"/>
        <v/>
      </c>
    </row>
    <row r="874" spans="1:26" ht="12" hidden="1" thickBot="1" x14ac:dyDescent="0.25">
      <c r="A874" s="567" t="s">
        <v>526</v>
      </c>
      <c r="B874" s="644" t="s">
        <v>526</v>
      </c>
      <c r="C874" s="645" t="s">
        <v>458</v>
      </c>
      <c r="D874" s="422" t="s">
        <v>1953</v>
      </c>
      <c r="E874" s="423"/>
      <c r="F874" s="424"/>
      <c r="G874" s="425"/>
      <c r="H874" s="651"/>
      <c r="I874" s="420">
        <v>6.17</v>
      </c>
      <c r="J874" s="420">
        <f t="shared" si="257"/>
        <v>6.17</v>
      </c>
      <c r="K874" s="421">
        <f t="shared" si="254"/>
        <v>7.33</v>
      </c>
      <c r="L874" s="647" t="s">
        <v>21</v>
      </c>
      <c r="M874" s="576"/>
      <c r="N874" s="576">
        <f t="shared" si="256"/>
        <v>0</v>
      </c>
      <c r="O874" s="577">
        <f t="shared" si="250"/>
        <v>0</v>
      </c>
      <c r="P874" s="578">
        <f t="shared" si="251"/>
        <v>0</v>
      </c>
      <c r="Q874" s="765"/>
      <c r="R874" s="576">
        <f t="shared" si="247"/>
        <v>0</v>
      </c>
      <c r="S874" s="576">
        <f t="shared" si="247"/>
        <v>0</v>
      </c>
      <c r="T874" s="577">
        <f t="shared" si="248"/>
        <v>0</v>
      </c>
      <c r="U874" s="578">
        <f t="shared" si="249"/>
        <v>0</v>
      </c>
      <c r="V874" s="579"/>
      <c r="W874" s="566"/>
      <c r="X874" s="586" t="str">
        <f t="shared" si="252"/>
        <v/>
      </c>
      <c r="Y874" s="586" t="str">
        <f t="shared" si="258"/>
        <v/>
      </c>
      <c r="Z874" s="586" t="str">
        <f t="shared" si="239"/>
        <v/>
      </c>
    </row>
    <row r="875" spans="1:26" ht="12" hidden="1" thickBot="1" x14ac:dyDescent="0.25">
      <c r="A875" s="567">
        <v>947</v>
      </c>
      <c r="B875" s="644">
        <v>947</v>
      </c>
      <c r="C875" s="645" t="s">
        <v>458</v>
      </c>
      <c r="D875" s="422" t="s">
        <v>1954</v>
      </c>
      <c r="E875" s="423"/>
      <c r="F875" s="424"/>
      <c r="G875" s="425"/>
      <c r="H875" s="651"/>
      <c r="I875" s="420">
        <v>34.26</v>
      </c>
      <c r="J875" s="420">
        <f t="shared" si="257"/>
        <v>34.26</v>
      </c>
      <c r="K875" s="421">
        <f t="shared" si="254"/>
        <v>40.700000000000003</v>
      </c>
      <c r="L875" s="647" t="s">
        <v>21</v>
      </c>
      <c r="M875" s="576"/>
      <c r="N875" s="576">
        <f t="shared" si="256"/>
        <v>0</v>
      </c>
      <c r="O875" s="577">
        <f t="shared" si="250"/>
        <v>0</v>
      </c>
      <c r="P875" s="578">
        <f t="shared" si="251"/>
        <v>0</v>
      </c>
      <c r="Q875" s="765"/>
      <c r="R875" s="576">
        <f t="shared" si="247"/>
        <v>0</v>
      </c>
      <c r="S875" s="576">
        <f t="shared" si="247"/>
        <v>0</v>
      </c>
      <c r="T875" s="577">
        <f t="shared" si="248"/>
        <v>0</v>
      </c>
      <c r="U875" s="578">
        <f t="shared" si="249"/>
        <v>0</v>
      </c>
      <c r="V875" s="579"/>
      <c r="W875" s="566"/>
      <c r="X875" s="586" t="str">
        <f t="shared" si="252"/>
        <v/>
      </c>
      <c r="Y875" s="586" t="str">
        <f t="shared" si="258"/>
        <v/>
      </c>
      <c r="Z875" s="586" t="str">
        <f t="shared" si="239"/>
        <v/>
      </c>
    </row>
    <row r="876" spans="1:26" ht="12" hidden="1" thickBot="1" x14ac:dyDescent="0.25">
      <c r="A876" s="567" t="s">
        <v>534</v>
      </c>
      <c r="B876" s="644" t="s">
        <v>534</v>
      </c>
      <c r="C876" s="645" t="s">
        <v>458</v>
      </c>
      <c r="D876" s="422" t="s">
        <v>1955</v>
      </c>
      <c r="E876" s="423"/>
      <c r="F876" s="424"/>
      <c r="G876" s="425"/>
      <c r="H876" s="651"/>
      <c r="I876" s="420">
        <v>34.26</v>
      </c>
      <c r="J876" s="420">
        <f t="shared" si="257"/>
        <v>34.26</v>
      </c>
      <c r="K876" s="421">
        <f t="shared" si="254"/>
        <v>40.700000000000003</v>
      </c>
      <c r="L876" s="647" t="s">
        <v>21</v>
      </c>
      <c r="M876" s="576"/>
      <c r="N876" s="576">
        <f t="shared" si="256"/>
        <v>0</v>
      </c>
      <c r="O876" s="577">
        <f t="shared" si="250"/>
        <v>0</v>
      </c>
      <c r="P876" s="578">
        <f t="shared" si="251"/>
        <v>0</v>
      </c>
      <c r="Q876" s="765"/>
      <c r="R876" s="576">
        <f t="shared" si="247"/>
        <v>0</v>
      </c>
      <c r="S876" s="576">
        <f t="shared" si="247"/>
        <v>0</v>
      </c>
      <c r="T876" s="577">
        <f t="shared" si="248"/>
        <v>0</v>
      </c>
      <c r="U876" s="578">
        <f t="shared" si="249"/>
        <v>0</v>
      </c>
      <c r="V876" s="579"/>
      <c r="W876" s="566"/>
      <c r="X876" s="586" t="str">
        <f t="shared" si="252"/>
        <v/>
      </c>
      <c r="Y876" s="586" t="str">
        <f t="shared" si="258"/>
        <v/>
      </c>
      <c r="Z876" s="586" t="str">
        <f t="shared" si="239"/>
        <v/>
      </c>
    </row>
    <row r="877" spans="1:26" ht="12" hidden="1" thickBot="1" x14ac:dyDescent="0.25">
      <c r="A877" s="567">
        <v>760</v>
      </c>
      <c r="B877" s="644">
        <v>760</v>
      </c>
      <c r="C877" s="645" t="s">
        <v>458</v>
      </c>
      <c r="D877" s="422" t="s">
        <v>1956</v>
      </c>
      <c r="E877" s="423"/>
      <c r="F877" s="424"/>
      <c r="G877" s="425"/>
      <c r="H877" s="651"/>
      <c r="I877" s="420">
        <v>17.47</v>
      </c>
      <c r="J877" s="420">
        <f t="shared" si="257"/>
        <v>17.47</v>
      </c>
      <c r="K877" s="421">
        <f t="shared" si="254"/>
        <v>20.76</v>
      </c>
      <c r="L877" s="647" t="s">
        <v>21</v>
      </c>
      <c r="M877" s="576"/>
      <c r="N877" s="576">
        <f t="shared" si="256"/>
        <v>0</v>
      </c>
      <c r="O877" s="577">
        <f t="shared" si="250"/>
        <v>0</v>
      </c>
      <c r="P877" s="578">
        <f t="shared" si="251"/>
        <v>0</v>
      </c>
      <c r="Q877" s="765"/>
      <c r="R877" s="576">
        <f t="shared" si="247"/>
        <v>0</v>
      </c>
      <c r="S877" s="576">
        <f t="shared" si="247"/>
        <v>0</v>
      </c>
      <c r="T877" s="577">
        <f t="shared" si="248"/>
        <v>0</v>
      </c>
      <c r="U877" s="578">
        <f t="shared" si="249"/>
        <v>0</v>
      </c>
      <c r="V877" s="579"/>
      <c r="W877" s="566"/>
      <c r="X877" s="586" t="str">
        <f t="shared" si="252"/>
        <v/>
      </c>
      <c r="Y877" s="586" t="str">
        <f t="shared" si="258"/>
        <v/>
      </c>
      <c r="Z877" s="586" t="str">
        <f t="shared" si="239"/>
        <v/>
      </c>
    </row>
    <row r="878" spans="1:26" ht="12" hidden="1" thickBot="1" x14ac:dyDescent="0.25">
      <c r="A878" s="567" t="s">
        <v>535</v>
      </c>
      <c r="B878" s="644" t="s">
        <v>535</v>
      </c>
      <c r="C878" s="645" t="s">
        <v>458</v>
      </c>
      <c r="D878" s="422" t="s">
        <v>1957</v>
      </c>
      <c r="E878" s="423"/>
      <c r="F878" s="424"/>
      <c r="G878" s="425"/>
      <c r="H878" s="651"/>
      <c r="I878" s="420">
        <v>6.85</v>
      </c>
      <c r="J878" s="420">
        <f t="shared" si="257"/>
        <v>6.85</v>
      </c>
      <c r="K878" s="421">
        <f t="shared" si="254"/>
        <v>8.14</v>
      </c>
      <c r="L878" s="647" t="s">
        <v>21</v>
      </c>
      <c r="M878" s="576"/>
      <c r="N878" s="576">
        <f t="shared" si="256"/>
        <v>0</v>
      </c>
      <c r="O878" s="577">
        <f t="shared" si="250"/>
        <v>0</v>
      </c>
      <c r="P878" s="578">
        <f t="shared" si="251"/>
        <v>0</v>
      </c>
      <c r="Q878" s="765"/>
      <c r="R878" s="576">
        <f t="shared" si="247"/>
        <v>0</v>
      </c>
      <c r="S878" s="576">
        <f t="shared" si="247"/>
        <v>0</v>
      </c>
      <c r="T878" s="577">
        <f t="shared" si="248"/>
        <v>0</v>
      </c>
      <c r="U878" s="578">
        <f t="shared" si="249"/>
        <v>0</v>
      </c>
      <c r="V878" s="579"/>
      <c r="W878" s="566"/>
      <c r="X878" s="586" t="str">
        <f t="shared" si="252"/>
        <v/>
      </c>
      <c r="Y878" s="586" t="str">
        <f t="shared" si="258"/>
        <v/>
      </c>
      <c r="Z878" s="586" t="str">
        <f t="shared" si="239"/>
        <v/>
      </c>
    </row>
    <row r="879" spans="1:26" ht="12" hidden="1" thickBot="1" x14ac:dyDescent="0.25">
      <c r="A879" s="567">
        <v>761</v>
      </c>
      <c r="B879" s="644">
        <v>761</v>
      </c>
      <c r="C879" s="645" t="s">
        <v>458</v>
      </c>
      <c r="D879" s="422" t="s">
        <v>1958</v>
      </c>
      <c r="E879" s="423"/>
      <c r="F879" s="424"/>
      <c r="G879" s="425"/>
      <c r="H879" s="651"/>
      <c r="I879" s="420">
        <v>13.36</v>
      </c>
      <c r="J879" s="420">
        <f t="shared" si="257"/>
        <v>13.36</v>
      </c>
      <c r="K879" s="421">
        <f t="shared" si="254"/>
        <v>15.87</v>
      </c>
      <c r="L879" s="647" t="s">
        <v>21</v>
      </c>
      <c r="M879" s="576"/>
      <c r="N879" s="576">
        <f t="shared" si="256"/>
        <v>0</v>
      </c>
      <c r="O879" s="577">
        <f t="shared" si="250"/>
        <v>0</v>
      </c>
      <c r="P879" s="578">
        <f t="shared" si="251"/>
        <v>0</v>
      </c>
      <c r="Q879" s="765"/>
      <c r="R879" s="576">
        <f t="shared" si="247"/>
        <v>0</v>
      </c>
      <c r="S879" s="576">
        <f t="shared" si="247"/>
        <v>0</v>
      </c>
      <c r="T879" s="577">
        <f t="shared" si="248"/>
        <v>0</v>
      </c>
      <c r="U879" s="578">
        <f t="shared" si="249"/>
        <v>0</v>
      </c>
      <c r="V879" s="579"/>
      <c r="W879" s="566"/>
      <c r="X879" s="586" t="str">
        <f t="shared" si="252"/>
        <v/>
      </c>
      <c r="Y879" s="586" t="str">
        <f t="shared" si="258"/>
        <v/>
      </c>
      <c r="Z879" s="586" t="str">
        <f t="shared" si="239"/>
        <v/>
      </c>
    </row>
    <row r="880" spans="1:26" ht="12" hidden="1" thickBot="1" x14ac:dyDescent="0.25">
      <c r="A880" s="567" t="s">
        <v>536</v>
      </c>
      <c r="B880" s="644" t="s">
        <v>536</v>
      </c>
      <c r="C880" s="645" t="s">
        <v>458</v>
      </c>
      <c r="D880" s="422" t="s">
        <v>1959</v>
      </c>
      <c r="E880" s="423"/>
      <c r="F880" s="424"/>
      <c r="G880" s="425"/>
      <c r="H880" s="651"/>
      <c r="I880" s="420">
        <v>5.48</v>
      </c>
      <c r="J880" s="420">
        <f t="shared" si="257"/>
        <v>5.48</v>
      </c>
      <c r="K880" s="421">
        <f t="shared" si="254"/>
        <v>6.51</v>
      </c>
      <c r="L880" s="647" t="s">
        <v>21</v>
      </c>
      <c r="M880" s="576"/>
      <c r="N880" s="576">
        <f t="shared" si="256"/>
        <v>0</v>
      </c>
      <c r="O880" s="577">
        <f t="shared" si="250"/>
        <v>0</v>
      </c>
      <c r="P880" s="578">
        <f t="shared" si="251"/>
        <v>0</v>
      </c>
      <c r="Q880" s="765"/>
      <c r="R880" s="576">
        <f t="shared" si="247"/>
        <v>0</v>
      </c>
      <c r="S880" s="576">
        <f t="shared" si="247"/>
        <v>0</v>
      </c>
      <c r="T880" s="577">
        <f t="shared" si="248"/>
        <v>0</v>
      </c>
      <c r="U880" s="578">
        <f t="shared" si="249"/>
        <v>0</v>
      </c>
      <c r="V880" s="579"/>
      <c r="W880" s="566"/>
      <c r="X880" s="586" t="str">
        <f t="shared" si="252"/>
        <v/>
      </c>
      <c r="Y880" s="586" t="str">
        <f t="shared" si="258"/>
        <v/>
      </c>
      <c r="Z880" s="586" t="str">
        <f t="shared" si="239"/>
        <v/>
      </c>
    </row>
    <row r="881" spans="1:26" ht="12" hidden="1" thickBot="1" x14ac:dyDescent="0.25">
      <c r="A881" s="567">
        <v>762</v>
      </c>
      <c r="B881" s="644">
        <v>762</v>
      </c>
      <c r="C881" s="645" t="s">
        <v>458</v>
      </c>
      <c r="D881" s="422" t="s">
        <v>1960</v>
      </c>
      <c r="E881" s="423"/>
      <c r="F881" s="424"/>
      <c r="G881" s="425"/>
      <c r="H881" s="651"/>
      <c r="I881" s="420">
        <v>21.58</v>
      </c>
      <c r="J881" s="420">
        <f t="shared" si="257"/>
        <v>21.58</v>
      </c>
      <c r="K881" s="421">
        <f t="shared" si="254"/>
        <v>25.64</v>
      </c>
      <c r="L881" s="647" t="s">
        <v>21</v>
      </c>
      <c r="M881" s="576"/>
      <c r="N881" s="576">
        <f t="shared" si="256"/>
        <v>0</v>
      </c>
      <c r="O881" s="577">
        <f t="shared" si="250"/>
        <v>0</v>
      </c>
      <c r="P881" s="578">
        <f t="shared" si="251"/>
        <v>0</v>
      </c>
      <c r="Q881" s="765"/>
      <c r="R881" s="576">
        <f t="shared" si="247"/>
        <v>0</v>
      </c>
      <c r="S881" s="576">
        <f t="shared" si="247"/>
        <v>0</v>
      </c>
      <c r="T881" s="577">
        <f t="shared" si="248"/>
        <v>0</v>
      </c>
      <c r="U881" s="578">
        <f t="shared" si="249"/>
        <v>0</v>
      </c>
      <c r="V881" s="579"/>
      <c r="W881" s="566"/>
      <c r="X881" s="586" t="str">
        <f t="shared" si="252"/>
        <v/>
      </c>
      <c r="Y881" s="586" t="str">
        <f t="shared" si="258"/>
        <v/>
      </c>
      <c r="Z881" s="586" t="str">
        <f t="shared" si="239"/>
        <v/>
      </c>
    </row>
    <row r="882" spans="1:26" ht="12" hidden="1" thickBot="1" x14ac:dyDescent="0.25">
      <c r="A882" s="567" t="s">
        <v>537</v>
      </c>
      <c r="B882" s="644" t="s">
        <v>537</v>
      </c>
      <c r="C882" s="645" t="s">
        <v>458</v>
      </c>
      <c r="D882" s="422" t="s">
        <v>1961</v>
      </c>
      <c r="E882" s="423"/>
      <c r="F882" s="424"/>
      <c r="G882" s="425"/>
      <c r="H882" s="651"/>
      <c r="I882" s="420">
        <v>8.57</v>
      </c>
      <c r="J882" s="420">
        <f t="shared" si="257"/>
        <v>8.57</v>
      </c>
      <c r="K882" s="421">
        <f t="shared" si="254"/>
        <v>10.18</v>
      </c>
      <c r="L882" s="647" t="s">
        <v>21</v>
      </c>
      <c r="M882" s="576"/>
      <c r="N882" s="576">
        <f t="shared" si="256"/>
        <v>0</v>
      </c>
      <c r="O882" s="577">
        <f t="shared" si="250"/>
        <v>0</v>
      </c>
      <c r="P882" s="578">
        <f t="shared" si="251"/>
        <v>0</v>
      </c>
      <c r="Q882" s="765"/>
      <c r="R882" s="576">
        <f t="shared" si="247"/>
        <v>0</v>
      </c>
      <c r="S882" s="576">
        <f t="shared" si="247"/>
        <v>0</v>
      </c>
      <c r="T882" s="577">
        <f t="shared" si="248"/>
        <v>0</v>
      </c>
      <c r="U882" s="578">
        <f t="shared" si="249"/>
        <v>0</v>
      </c>
      <c r="V882" s="579"/>
      <c r="W882" s="566"/>
      <c r="X882" s="586" t="str">
        <f t="shared" si="252"/>
        <v/>
      </c>
      <c r="Y882" s="586" t="str">
        <f t="shared" si="258"/>
        <v/>
      </c>
      <c r="Z882" s="586" t="str">
        <f t="shared" si="239"/>
        <v/>
      </c>
    </row>
    <row r="883" spans="1:26" ht="23.25" hidden="1" thickBot="1" x14ac:dyDescent="0.25">
      <c r="A883" s="567">
        <v>763</v>
      </c>
      <c r="B883" s="644">
        <v>763</v>
      </c>
      <c r="C883" s="645" t="s">
        <v>458</v>
      </c>
      <c r="D883" s="422" t="s">
        <v>1962</v>
      </c>
      <c r="E883" s="423"/>
      <c r="F883" s="424"/>
      <c r="G883" s="425"/>
      <c r="H883" s="651"/>
      <c r="I883" s="420">
        <v>23.3</v>
      </c>
      <c r="J883" s="420">
        <f t="shared" si="257"/>
        <v>23.3</v>
      </c>
      <c r="K883" s="421">
        <f t="shared" si="254"/>
        <v>27.68</v>
      </c>
      <c r="L883" s="647" t="s">
        <v>21</v>
      </c>
      <c r="M883" s="576"/>
      <c r="N883" s="576">
        <f t="shared" si="256"/>
        <v>0</v>
      </c>
      <c r="O883" s="577">
        <f t="shared" si="250"/>
        <v>0</v>
      </c>
      <c r="P883" s="578">
        <f t="shared" si="251"/>
        <v>0</v>
      </c>
      <c r="Q883" s="765"/>
      <c r="R883" s="576">
        <f t="shared" si="247"/>
        <v>0</v>
      </c>
      <c r="S883" s="576">
        <f t="shared" si="247"/>
        <v>0</v>
      </c>
      <c r="T883" s="577">
        <f t="shared" si="248"/>
        <v>0</v>
      </c>
      <c r="U883" s="578">
        <f t="shared" si="249"/>
        <v>0</v>
      </c>
      <c r="V883" s="579"/>
      <c r="W883" s="566"/>
      <c r="X883" s="586" t="str">
        <f t="shared" si="252"/>
        <v/>
      </c>
      <c r="Y883" s="586" t="str">
        <f t="shared" si="258"/>
        <v/>
      </c>
      <c r="Z883" s="586" t="str">
        <f t="shared" si="239"/>
        <v/>
      </c>
    </row>
    <row r="884" spans="1:26" ht="12" hidden="1" thickBot="1" x14ac:dyDescent="0.25">
      <c r="A884" s="567">
        <v>767</v>
      </c>
      <c r="B884" s="644">
        <v>767</v>
      </c>
      <c r="C884" s="645" t="s">
        <v>458</v>
      </c>
      <c r="D884" s="422" t="s">
        <v>1963</v>
      </c>
      <c r="E884" s="423"/>
      <c r="F884" s="424">
        <v>0</v>
      </c>
      <c r="G884" s="425"/>
      <c r="H884" s="651">
        <v>0</v>
      </c>
      <c r="I884" s="420">
        <v>19.53</v>
      </c>
      <c r="J884" s="420">
        <f t="shared" si="257"/>
        <v>19.53</v>
      </c>
      <c r="K884" s="421">
        <f t="shared" si="254"/>
        <v>23.2</v>
      </c>
      <c r="L884" s="647" t="s">
        <v>21</v>
      </c>
      <c r="M884" s="576"/>
      <c r="N884" s="576">
        <f t="shared" si="256"/>
        <v>0</v>
      </c>
      <c r="O884" s="577">
        <f t="shared" si="250"/>
        <v>0</v>
      </c>
      <c r="P884" s="578">
        <f t="shared" si="251"/>
        <v>0</v>
      </c>
      <c r="Q884" s="765"/>
      <c r="R884" s="576">
        <f t="shared" ref="R884:S947" si="259">M884</f>
        <v>0</v>
      </c>
      <c r="S884" s="576">
        <f t="shared" si="259"/>
        <v>0</v>
      </c>
      <c r="T884" s="577">
        <f t="shared" ref="T884:T947" si="260">IF(ISBLANK(R884),0,ROUND(K884*R884,2))</f>
        <v>0</v>
      </c>
      <c r="U884" s="578">
        <f t="shared" ref="U884:U947" si="261">IF(ISBLANK(R884),0,ROUND(R884*S884,2))</f>
        <v>0</v>
      </c>
      <c r="V884" s="579"/>
      <c r="W884" s="566"/>
      <c r="X884" s="586" t="str">
        <f t="shared" si="252"/>
        <v/>
      </c>
      <c r="Y884" s="586" t="str">
        <f t="shared" si="258"/>
        <v/>
      </c>
      <c r="Z884" s="586" t="str">
        <f t="shared" si="239"/>
        <v/>
      </c>
    </row>
    <row r="885" spans="1:26" ht="12" hidden="1" thickBot="1" x14ac:dyDescent="0.25">
      <c r="A885" s="567">
        <v>768</v>
      </c>
      <c r="B885" s="644">
        <v>768</v>
      </c>
      <c r="C885" s="645" t="s">
        <v>458</v>
      </c>
      <c r="D885" s="422" t="s">
        <v>1964</v>
      </c>
      <c r="E885" s="423"/>
      <c r="F885" s="424">
        <v>0</v>
      </c>
      <c r="G885" s="425"/>
      <c r="H885" s="651">
        <v>0</v>
      </c>
      <c r="I885" s="420">
        <v>44.54</v>
      </c>
      <c r="J885" s="420">
        <f t="shared" si="257"/>
        <v>44.54</v>
      </c>
      <c r="K885" s="421">
        <f t="shared" si="254"/>
        <v>52.92</v>
      </c>
      <c r="L885" s="647" t="s">
        <v>21</v>
      </c>
      <c r="M885" s="576"/>
      <c r="N885" s="576">
        <f t="shared" si="256"/>
        <v>0</v>
      </c>
      <c r="O885" s="577">
        <f t="shared" ref="O885:O948" si="262">IF(ISBLANK(M885),0,ROUND(K885*M885,2))</f>
        <v>0</v>
      </c>
      <c r="P885" s="578">
        <f t="shared" ref="P885:P948" si="263">IF(ISBLANK(N885),0,ROUND(M885*N885,2))</f>
        <v>0</v>
      </c>
      <c r="Q885" s="765"/>
      <c r="R885" s="576">
        <f t="shared" si="259"/>
        <v>0</v>
      </c>
      <c r="S885" s="576">
        <f t="shared" si="259"/>
        <v>0</v>
      </c>
      <c r="T885" s="577">
        <f t="shared" si="260"/>
        <v>0</v>
      </c>
      <c r="U885" s="578">
        <f t="shared" si="261"/>
        <v>0</v>
      </c>
      <c r="V885" s="579"/>
      <c r="W885" s="566"/>
      <c r="X885" s="586" t="str">
        <f t="shared" si="252"/>
        <v/>
      </c>
      <c r="Y885" s="586" t="str">
        <f t="shared" si="258"/>
        <v/>
      </c>
      <c r="Z885" s="586" t="str">
        <f t="shared" si="239"/>
        <v/>
      </c>
    </row>
    <row r="886" spans="1:26" ht="12" hidden="1" thickBot="1" x14ac:dyDescent="0.25">
      <c r="A886" s="567">
        <v>769</v>
      </c>
      <c r="B886" s="644">
        <v>769</v>
      </c>
      <c r="C886" s="645" t="s">
        <v>458</v>
      </c>
      <c r="D886" s="422" t="s">
        <v>1965</v>
      </c>
      <c r="E886" s="423"/>
      <c r="F886" s="424">
        <v>0</v>
      </c>
      <c r="G886" s="425"/>
      <c r="H886" s="651">
        <v>0</v>
      </c>
      <c r="I886" s="420">
        <v>163.77000000000001</v>
      </c>
      <c r="J886" s="420">
        <f t="shared" si="257"/>
        <v>163.77000000000001</v>
      </c>
      <c r="K886" s="421">
        <f t="shared" si="254"/>
        <v>194.58</v>
      </c>
      <c r="L886" s="647" t="s">
        <v>21</v>
      </c>
      <c r="M886" s="576"/>
      <c r="N886" s="576">
        <f t="shared" si="256"/>
        <v>0</v>
      </c>
      <c r="O886" s="577">
        <f t="shared" si="262"/>
        <v>0</v>
      </c>
      <c r="P886" s="578">
        <f t="shared" si="263"/>
        <v>0</v>
      </c>
      <c r="Q886" s="765"/>
      <c r="R886" s="576">
        <f t="shared" si="259"/>
        <v>0</v>
      </c>
      <c r="S886" s="576">
        <f t="shared" si="259"/>
        <v>0</v>
      </c>
      <c r="T886" s="577">
        <f t="shared" si="260"/>
        <v>0</v>
      </c>
      <c r="U886" s="578">
        <f t="shared" si="261"/>
        <v>0</v>
      </c>
      <c r="V886" s="579"/>
      <c r="W886" s="566"/>
      <c r="X886" s="586" t="str">
        <f t="shared" si="252"/>
        <v/>
      </c>
      <c r="Y886" s="586" t="str">
        <f t="shared" si="258"/>
        <v/>
      </c>
      <c r="Z886" s="586" t="str">
        <f t="shared" si="239"/>
        <v/>
      </c>
    </row>
    <row r="887" spans="1:26" ht="12" hidden="1" thickBot="1" x14ac:dyDescent="0.25">
      <c r="A887" s="567">
        <v>770</v>
      </c>
      <c r="B887" s="644">
        <v>770</v>
      </c>
      <c r="C887" s="645" t="s">
        <v>458</v>
      </c>
      <c r="D887" s="422" t="s">
        <v>1966</v>
      </c>
      <c r="E887" s="423"/>
      <c r="F887" s="424"/>
      <c r="G887" s="425"/>
      <c r="H887" s="651"/>
      <c r="I887" s="420">
        <v>56.53</v>
      </c>
      <c r="J887" s="420">
        <f t="shared" si="257"/>
        <v>56.53</v>
      </c>
      <c r="K887" s="421">
        <f t="shared" si="254"/>
        <v>67.16</v>
      </c>
      <c r="L887" s="647" t="s">
        <v>21</v>
      </c>
      <c r="M887" s="576"/>
      <c r="N887" s="576">
        <f t="shared" si="256"/>
        <v>0</v>
      </c>
      <c r="O887" s="577">
        <f t="shared" si="262"/>
        <v>0</v>
      </c>
      <c r="P887" s="578">
        <f t="shared" si="263"/>
        <v>0</v>
      </c>
      <c r="Q887" s="765"/>
      <c r="R887" s="576">
        <f t="shared" si="259"/>
        <v>0</v>
      </c>
      <c r="S887" s="576">
        <f t="shared" si="259"/>
        <v>0</v>
      </c>
      <c r="T887" s="577">
        <f t="shared" si="260"/>
        <v>0</v>
      </c>
      <c r="U887" s="578">
        <f t="shared" si="261"/>
        <v>0</v>
      </c>
      <c r="V887" s="579"/>
      <c r="W887" s="566"/>
      <c r="X887" s="586" t="str">
        <f t="shared" si="252"/>
        <v/>
      </c>
      <c r="Y887" s="586" t="str">
        <f t="shared" si="258"/>
        <v/>
      </c>
      <c r="Z887" s="586" t="str">
        <f t="shared" si="239"/>
        <v/>
      </c>
    </row>
    <row r="888" spans="1:26" ht="12" hidden="1" thickBot="1" x14ac:dyDescent="0.25">
      <c r="A888" s="567" t="s">
        <v>527</v>
      </c>
      <c r="B888" s="644" t="s">
        <v>527</v>
      </c>
      <c r="C888" s="645" t="s">
        <v>458</v>
      </c>
      <c r="D888" s="422" t="s">
        <v>1967</v>
      </c>
      <c r="E888" s="423"/>
      <c r="F888" s="424"/>
      <c r="G888" s="425"/>
      <c r="H888" s="651"/>
      <c r="I888" s="420">
        <v>22.61</v>
      </c>
      <c r="J888" s="420">
        <f t="shared" si="257"/>
        <v>22.61</v>
      </c>
      <c r="K888" s="421">
        <f t="shared" si="254"/>
        <v>26.86</v>
      </c>
      <c r="L888" s="647" t="s">
        <v>21</v>
      </c>
      <c r="M888" s="576"/>
      <c r="N888" s="576">
        <f t="shared" si="256"/>
        <v>0</v>
      </c>
      <c r="O888" s="577">
        <f t="shared" si="262"/>
        <v>0</v>
      </c>
      <c r="P888" s="578">
        <f t="shared" si="263"/>
        <v>0</v>
      </c>
      <c r="Q888" s="765"/>
      <c r="R888" s="576">
        <f t="shared" si="259"/>
        <v>0</v>
      </c>
      <c r="S888" s="576">
        <f t="shared" si="259"/>
        <v>0</v>
      </c>
      <c r="T888" s="577">
        <f t="shared" si="260"/>
        <v>0</v>
      </c>
      <c r="U888" s="578">
        <f t="shared" si="261"/>
        <v>0</v>
      </c>
      <c r="V888" s="579"/>
      <c r="W888" s="566"/>
      <c r="X888" s="586" t="str">
        <f t="shared" si="252"/>
        <v/>
      </c>
      <c r="Y888" s="586" t="str">
        <f t="shared" si="258"/>
        <v/>
      </c>
      <c r="Z888" s="586" t="str">
        <f t="shared" si="239"/>
        <v/>
      </c>
    </row>
    <row r="889" spans="1:26" ht="12" hidden="1" thickBot="1" x14ac:dyDescent="0.25">
      <c r="A889" s="567">
        <v>771</v>
      </c>
      <c r="B889" s="644">
        <v>771</v>
      </c>
      <c r="C889" s="645" t="s">
        <v>458</v>
      </c>
      <c r="D889" s="422" t="s">
        <v>1968</v>
      </c>
      <c r="E889" s="423"/>
      <c r="F889" s="424"/>
      <c r="G889" s="425"/>
      <c r="H889" s="651"/>
      <c r="I889" s="420">
        <v>81.2</v>
      </c>
      <c r="J889" s="420">
        <f t="shared" ref="J889:J895" si="264">IF(ISBLANK(I889),"",SUM(H889:I889))</f>
        <v>81.2</v>
      </c>
      <c r="K889" s="421">
        <f t="shared" si="254"/>
        <v>96.47</v>
      </c>
      <c r="L889" s="647" t="s">
        <v>21</v>
      </c>
      <c r="M889" s="576"/>
      <c r="N889" s="576">
        <f t="shared" si="256"/>
        <v>0</v>
      </c>
      <c r="O889" s="577">
        <f t="shared" si="262"/>
        <v>0</v>
      </c>
      <c r="P889" s="578">
        <f t="shared" si="263"/>
        <v>0</v>
      </c>
      <c r="Q889" s="765"/>
      <c r="R889" s="576">
        <f t="shared" si="259"/>
        <v>0</v>
      </c>
      <c r="S889" s="576">
        <f t="shared" si="259"/>
        <v>0</v>
      </c>
      <c r="T889" s="577">
        <f t="shared" si="260"/>
        <v>0</v>
      </c>
      <c r="U889" s="578">
        <f t="shared" si="261"/>
        <v>0</v>
      </c>
      <c r="V889" s="579"/>
      <c r="W889" s="566"/>
      <c r="X889" s="586" t="str">
        <f t="shared" si="252"/>
        <v/>
      </c>
      <c r="Y889" s="586" t="str">
        <f t="shared" si="258"/>
        <v/>
      </c>
      <c r="Z889" s="586" t="str">
        <f t="shared" si="239"/>
        <v/>
      </c>
    </row>
    <row r="890" spans="1:26" ht="12" hidden="1" thickBot="1" x14ac:dyDescent="0.25">
      <c r="A890" s="567" t="s">
        <v>528</v>
      </c>
      <c r="B890" s="644" t="s">
        <v>528</v>
      </c>
      <c r="C890" s="645" t="s">
        <v>458</v>
      </c>
      <c r="D890" s="422" t="s">
        <v>1969</v>
      </c>
      <c r="E890" s="423"/>
      <c r="F890" s="424"/>
      <c r="G890" s="425"/>
      <c r="H890" s="651"/>
      <c r="I890" s="420">
        <v>32.549999999999997</v>
      </c>
      <c r="J890" s="420">
        <f t="shared" si="264"/>
        <v>32.549999999999997</v>
      </c>
      <c r="K890" s="421">
        <f t="shared" si="254"/>
        <v>38.67</v>
      </c>
      <c r="L890" s="647" t="s">
        <v>21</v>
      </c>
      <c r="M890" s="576"/>
      <c r="N890" s="576">
        <f t="shared" si="256"/>
        <v>0</v>
      </c>
      <c r="O890" s="577">
        <f t="shared" si="262"/>
        <v>0</v>
      </c>
      <c r="P890" s="578">
        <f t="shared" si="263"/>
        <v>0</v>
      </c>
      <c r="Q890" s="765"/>
      <c r="R890" s="576">
        <f t="shared" si="259"/>
        <v>0</v>
      </c>
      <c r="S890" s="576">
        <f t="shared" si="259"/>
        <v>0</v>
      </c>
      <c r="T890" s="577">
        <f t="shared" si="260"/>
        <v>0</v>
      </c>
      <c r="U890" s="578">
        <f t="shared" si="261"/>
        <v>0</v>
      </c>
      <c r="V890" s="579"/>
      <c r="W890" s="566"/>
      <c r="X890" s="586" t="str">
        <f t="shared" si="252"/>
        <v/>
      </c>
      <c r="Y890" s="586" t="str">
        <f t="shared" si="258"/>
        <v/>
      </c>
      <c r="Z890" s="586" t="str">
        <f t="shared" si="239"/>
        <v/>
      </c>
    </row>
    <row r="891" spans="1:26" ht="12" hidden="1" thickBot="1" x14ac:dyDescent="0.25">
      <c r="A891" s="567">
        <v>772</v>
      </c>
      <c r="B891" s="644">
        <v>772</v>
      </c>
      <c r="C891" s="645" t="s">
        <v>458</v>
      </c>
      <c r="D891" s="422" t="s">
        <v>1970</v>
      </c>
      <c r="E891" s="423"/>
      <c r="F891" s="424"/>
      <c r="G891" s="425"/>
      <c r="H891" s="651"/>
      <c r="I891" s="420">
        <v>26.72</v>
      </c>
      <c r="J891" s="420">
        <f t="shared" si="264"/>
        <v>26.72</v>
      </c>
      <c r="K891" s="421">
        <f t="shared" si="254"/>
        <v>31.75</v>
      </c>
      <c r="L891" s="647" t="s">
        <v>21</v>
      </c>
      <c r="M891" s="576"/>
      <c r="N891" s="576">
        <f t="shared" si="256"/>
        <v>0</v>
      </c>
      <c r="O891" s="577">
        <f t="shared" si="262"/>
        <v>0</v>
      </c>
      <c r="P891" s="578">
        <f t="shared" si="263"/>
        <v>0</v>
      </c>
      <c r="Q891" s="765"/>
      <c r="R891" s="576">
        <f t="shared" si="259"/>
        <v>0</v>
      </c>
      <c r="S891" s="576">
        <f t="shared" si="259"/>
        <v>0</v>
      </c>
      <c r="T891" s="577">
        <f t="shared" si="260"/>
        <v>0</v>
      </c>
      <c r="U891" s="578">
        <f t="shared" si="261"/>
        <v>0</v>
      </c>
      <c r="V891" s="579"/>
      <c r="W891" s="566"/>
      <c r="X891" s="586" t="str">
        <f t="shared" si="252"/>
        <v/>
      </c>
      <c r="Y891" s="586" t="str">
        <f t="shared" si="258"/>
        <v/>
      </c>
      <c r="Z891" s="586" t="str">
        <f t="shared" si="239"/>
        <v/>
      </c>
    </row>
    <row r="892" spans="1:26" ht="12" hidden="1" thickBot="1" x14ac:dyDescent="0.25">
      <c r="A892" s="567" t="s">
        <v>529</v>
      </c>
      <c r="B892" s="644" t="s">
        <v>529</v>
      </c>
      <c r="C892" s="645" t="s">
        <v>458</v>
      </c>
      <c r="D892" s="422" t="s">
        <v>1971</v>
      </c>
      <c r="E892" s="423"/>
      <c r="F892" s="424"/>
      <c r="G892" s="425"/>
      <c r="H892" s="651"/>
      <c r="I892" s="420">
        <v>10.62</v>
      </c>
      <c r="J892" s="420">
        <f t="shared" si="264"/>
        <v>10.62</v>
      </c>
      <c r="K892" s="421">
        <f t="shared" si="254"/>
        <v>12.62</v>
      </c>
      <c r="L892" s="647" t="s">
        <v>21</v>
      </c>
      <c r="M892" s="576"/>
      <c r="N892" s="576">
        <f t="shared" si="256"/>
        <v>0</v>
      </c>
      <c r="O892" s="577">
        <f t="shared" si="262"/>
        <v>0</v>
      </c>
      <c r="P892" s="578">
        <f t="shared" si="263"/>
        <v>0</v>
      </c>
      <c r="Q892" s="765"/>
      <c r="R892" s="576">
        <f t="shared" si="259"/>
        <v>0</v>
      </c>
      <c r="S892" s="576">
        <f t="shared" si="259"/>
        <v>0</v>
      </c>
      <c r="T892" s="577">
        <f t="shared" si="260"/>
        <v>0</v>
      </c>
      <c r="U892" s="578">
        <f t="shared" si="261"/>
        <v>0</v>
      </c>
      <c r="V892" s="579"/>
      <c r="W892" s="566"/>
      <c r="X892" s="586" t="str">
        <f t="shared" si="252"/>
        <v/>
      </c>
      <c r="Y892" s="586" t="str">
        <f t="shared" si="258"/>
        <v/>
      </c>
      <c r="Z892" s="586" t="str">
        <f t="shared" si="239"/>
        <v/>
      </c>
    </row>
    <row r="893" spans="1:26" ht="12" hidden="1" thickBot="1" x14ac:dyDescent="0.25">
      <c r="A893" s="567">
        <v>773</v>
      </c>
      <c r="B893" s="644">
        <v>773</v>
      </c>
      <c r="C893" s="645" t="s">
        <v>458</v>
      </c>
      <c r="D893" s="422" t="s">
        <v>1972</v>
      </c>
      <c r="E893" s="423"/>
      <c r="F893" s="424"/>
      <c r="G893" s="425"/>
      <c r="H893" s="651"/>
      <c r="I893" s="420">
        <v>88.39</v>
      </c>
      <c r="J893" s="420">
        <f t="shared" si="264"/>
        <v>88.39</v>
      </c>
      <c r="K893" s="421">
        <f t="shared" si="254"/>
        <v>105.02</v>
      </c>
      <c r="L893" s="647" t="s">
        <v>21</v>
      </c>
      <c r="M893" s="576"/>
      <c r="N893" s="576">
        <f t="shared" si="256"/>
        <v>0</v>
      </c>
      <c r="O893" s="577">
        <f t="shared" si="262"/>
        <v>0</v>
      </c>
      <c r="P893" s="578">
        <f t="shared" si="263"/>
        <v>0</v>
      </c>
      <c r="Q893" s="765"/>
      <c r="R893" s="576">
        <f t="shared" si="259"/>
        <v>0</v>
      </c>
      <c r="S893" s="576">
        <f t="shared" si="259"/>
        <v>0</v>
      </c>
      <c r="T893" s="577">
        <f t="shared" si="260"/>
        <v>0</v>
      </c>
      <c r="U893" s="578">
        <f t="shared" si="261"/>
        <v>0</v>
      </c>
      <c r="V893" s="579"/>
      <c r="W893" s="566"/>
      <c r="X893" s="586" t="str">
        <f t="shared" ref="X893:X956" si="265">IF(W893="X","x",IF(W893="xx","x",IF(W893="xy","x",IF(W893="y","x",IF(OR(P893&gt;0,U893&gt;0),"x","")))))</f>
        <v/>
      </c>
      <c r="Y893" s="586" t="str">
        <f t="shared" si="258"/>
        <v/>
      </c>
      <c r="Z893" s="586" t="str">
        <f t="shared" si="239"/>
        <v/>
      </c>
    </row>
    <row r="894" spans="1:26" ht="12" hidden="1" thickBot="1" x14ac:dyDescent="0.25">
      <c r="A894" s="567">
        <v>774</v>
      </c>
      <c r="B894" s="644">
        <v>774</v>
      </c>
      <c r="C894" s="645" t="s">
        <v>458</v>
      </c>
      <c r="D894" s="422" t="s">
        <v>1973</v>
      </c>
      <c r="E894" s="423"/>
      <c r="F894" s="424"/>
      <c r="G894" s="425"/>
      <c r="H894" s="651"/>
      <c r="I894" s="420">
        <v>119.92</v>
      </c>
      <c r="J894" s="420">
        <f t="shared" si="264"/>
        <v>119.92</v>
      </c>
      <c r="K894" s="421">
        <f t="shared" si="254"/>
        <v>142.47999999999999</v>
      </c>
      <c r="L894" s="647" t="s">
        <v>21</v>
      </c>
      <c r="M894" s="576"/>
      <c r="N894" s="576">
        <f t="shared" si="256"/>
        <v>0</v>
      </c>
      <c r="O894" s="577">
        <f t="shared" si="262"/>
        <v>0</v>
      </c>
      <c r="P894" s="578">
        <f t="shared" si="263"/>
        <v>0</v>
      </c>
      <c r="Q894" s="765"/>
      <c r="R894" s="576">
        <f t="shared" si="259"/>
        <v>0</v>
      </c>
      <c r="S894" s="576">
        <f t="shared" si="259"/>
        <v>0</v>
      </c>
      <c r="T894" s="577">
        <f t="shared" si="260"/>
        <v>0</v>
      </c>
      <c r="U894" s="578">
        <f t="shared" si="261"/>
        <v>0</v>
      </c>
      <c r="V894" s="579"/>
      <c r="W894" s="566"/>
      <c r="X894" s="586" t="str">
        <f t="shared" si="265"/>
        <v/>
      </c>
      <c r="Y894" s="586" t="str">
        <f t="shared" si="258"/>
        <v/>
      </c>
      <c r="Z894" s="586" t="str">
        <f t="shared" si="239"/>
        <v/>
      </c>
    </row>
    <row r="895" spans="1:26" ht="12" hidden="1" thickBot="1" x14ac:dyDescent="0.25">
      <c r="A895" s="567" t="s">
        <v>530</v>
      </c>
      <c r="B895" s="644" t="s">
        <v>530</v>
      </c>
      <c r="C895" s="645" t="s">
        <v>458</v>
      </c>
      <c r="D895" s="422" t="s">
        <v>1974</v>
      </c>
      <c r="E895" s="423"/>
      <c r="F895" s="424"/>
      <c r="G895" s="425"/>
      <c r="H895" s="651"/>
      <c r="I895" s="420">
        <v>17.13</v>
      </c>
      <c r="J895" s="420">
        <f t="shared" si="264"/>
        <v>17.13</v>
      </c>
      <c r="K895" s="421">
        <f t="shared" si="254"/>
        <v>20.350000000000001</v>
      </c>
      <c r="L895" s="647" t="s">
        <v>21</v>
      </c>
      <c r="M895" s="576"/>
      <c r="N895" s="576">
        <f t="shared" si="256"/>
        <v>0</v>
      </c>
      <c r="O895" s="577">
        <f t="shared" si="262"/>
        <v>0</v>
      </c>
      <c r="P895" s="578">
        <f t="shared" si="263"/>
        <v>0</v>
      </c>
      <c r="Q895" s="765"/>
      <c r="R895" s="576">
        <f t="shared" si="259"/>
        <v>0</v>
      </c>
      <c r="S895" s="576">
        <f t="shared" si="259"/>
        <v>0</v>
      </c>
      <c r="T895" s="577">
        <f t="shared" si="260"/>
        <v>0</v>
      </c>
      <c r="U895" s="578">
        <f t="shared" si="261"/>
        <v>0</v>
      </c>
      <c r="V895" s="579"/>
      <c r="W895" s="566"/>
      <c r="X895" s="586" t="str">
        <f t="shared" si="265"/>
        <v/>
      </c>
      <c r="Y895" s="586" t="str">
        <f t="shared" si="258"/>
        <v/>
      </c>
      <c r="Z895" s="586" t="str">
        <f t="shared" si="239"/>
        <v/>
      </c>
    </row>
    <row r="896" spans="1:26" ht="23.25" hidden="1" thickBot="1" x14ac:dyDescent="0.25">
      <c r="A896" s="567">
        <v>775</v>
      </c>
      <c r="B896" s="644">
        <v>775</v>
      </c>
      <c r="C896" s="645" t="s">
        <v>458</v>
      </c>
      <c r="D896" s="422" t="s">
        <v>1975</v>
      </c>
      <c r="E896" s="423"/>
      <c r="F896" s="424"/>
      <c r="G896" s="425"/>
      <c r="H896" s="651"/>
      <c r="I896" s="420">
        <v>14.05</v>
      </c>
      <c r="J896" s="420">
        <f t="shared" ref="J896:J920" si="266">IF(ISBLANK(I896),"",SUM(H896:I896))</f>
        <v>14.05</v>
      </c>
      <c r="K896" s="421">
        <f t="shared" si="254"/>
        <v>16.690000000000001</v>
      </c>
      <c r="L896" s="647" t="s">
        <v>21</v>
      </c>
      <c r="M896" s="576"/>
      <c r="N896" s="576">
        <f t="shared" si="256"/>
        <v>0</v>
      </c>
      <c r="O896" s="577">
        <f t="shared" si="262"/>
        <v>0</v>
      </c>
      <c r="P896" s="578">
        <f t="shared" si="263"/>
        <v>0</v>
      </c>
      <c r="Q896" s="765"/>
      <c r="R896" s="576">
        <f t="shared" si="259"/>
        <v>0</v>
      </c>
      <c r="S896" s="576">
        <f t="shared" si="259"/>
        <v>0</v>
      </c>
      <c r="T896" s="577">
        <f t="shared" si="260"/>
        <v>0</v>
      </c>
      <c r="U896" s="578">
        <f t="shared" si="261"/>
        <v>0</v>
      </c>
      <c r="V896" s="579"/>
      <c r="W896" s="566"/>
      <c r="X896" s="586" t="str">
        <f t="shared" si="265"/>
        <v/>
      </c>
      <c r="Y896" s="586" t="str">
        <f t="shared" si="258"/>
        <v/>
      </c>
      <c r="Z896" s="586" t="str">
        <f t="shared" si="239"/>
        <v/>
      </c>
    </row>
    <row r="897" spans="1:26" ht="12" hidden="1" thickBot="1" x14ac:dyDescent="0.25">
      <c r="A897" s="567">
        <v>776</v>
      </c>
      <c r="B897" s="644">
        <v>776</v>
      </c>
      <c r="C897" s="645" t="s">
        <v>458</v>
      </c>
      <c r="D897" s="422" t="s">
        <v>1976</v>
      </c>
      <c r="E897" s="423"/>
      <c r="F897" s="424"/>
      <c r="G897" s="425"/>
      <c r="H897" s="651"/>
      <c r="I897" s="420">
        <v>17.47</v>
      </c>
      <c r="J897" s="420">
        <f t="shared" si="266"/>
        <v>17.47</v>
      </c>
      <c r="K897" s="421">
        <f t="shared" si="254"/>
        <v>20.76</v>
      </c>
      <c r="L897" s="647" t="s">
        <v>21</v>
      </c>
      <c r="M897" s="576"/>
      <c r="N897" s="576">
        <f t="shared" si="256"/>
        <v>0</v>
      </c>
      <c r="O897" s="577">
        <f t="shared" si="262"/>
        <v>0</v>
      </c>
      <c r="P897" s="578">
        <f t="shared" si="263"/>
        <v>0</v>
      </c>
      <c r="Q897" s="765"/>
      <c r="R897" s="576">
        <f t="shared" si="259"/>
        <v>0</v>
      </c>
      <c r="S897" s="576">
        <f t="shared" si="259"/>
        <v>0</v>
      </c>
      <c r="T897" s="577">
        <f t="shared" si="260"/>
        <v>0</v>
      </c>
      <c r="U897" s="578">
        <f t="shared" si="261"/>
        <v>0</v>
      </c>
      <c r="V897" s="579"/>
      <c r="W897" s="566"/>
      <c r="X897" s="586" t="str">
        <f t="shared" si="265"/>
        <v/>
      </c>
      <c r="Y897" s="586" t="str">
        <f t="shared" si="258"/>
        <v/>
      </c>
      <c r="Z897" s="586" t="str">
        <f t="shared" si="239"/>
        <v/>
      </c>
    </row>
    <row r="898" spans="1:26" ht="12" hidden="1" thickBot="1" x14ac:dyDescent="0.25">
      <c r="A898" s="567" t="s">
        <v>531</v>
      </c>
      <c r="B898" s="644" t="s">
        <v>531</v>
      </c>
      <c r="C898" s="645" t="s">
        <v>458</v>
      </c>
      <c r="D898" s="422" t="s">
        <v>1977</v>
      </c>
      <c r="E898" s="423"/>
      <c r="F898" s="424"/>
      <c r="G898" s="425"/>
      <c r="H898" s="651"/>
      <c r="I898" s="420">
        <v>6.85</v>
      </c>
      <c r="J898" s="420">
        <f t="shared" si="266"/>
        <v>6.85</v>
      </c>
      <c r="K898" s="421">
        <f t="shared" si="254"/>
        <v>8.14</v>
      </c>
      <c r="L898" s="647" t="s">
        <v>21</v>
      </c>
      <c r="M898" s="576"/>
      <c r="N898" s="576">
        <f t="shared" si="256"/>
        <v>0</v>
      </c>
      <c r="O898" s="577">
        <f t="shared" si="262"/>
        <v>0</v>
      </c>
      <c r="P898" s="578">
        <f t="shared" si="263"/>
        <v>0</v>
      </c>
      <c r="Q898" s="765"/>
      <c r="R898" s="576">
        <f t="shared" si="259"/>
        <v>0</v>
      </c>
      <c r="S898" s="576">
        <f t="shared" si="259"/>
        <v>0</v>
      </c>
      <c r="T898" s="577">
        <f t="shared" si="260"/>
        <v>0</v>
      </c>
      <c r="U898" s="578">
        <f t="shared" si="261"/>
        <v>0</v>
      </c>
      <c r="V898" s="579"/>
      <c r="W898" s="566"/>
      <c r="X898" s="586" t="str">
        <f t="shared" si="265"/>
        <v/>
      </c>
      <c r="Y898" s="586" t="str">
        <f t="shared" si="258"/>
        <v/>
      </c>
      <c r="Z898" s="586" t="str">
        <f t="shared" si="239"/>
        <v/>
      </c>
    </row>
    <row r="899" spans="1:26" ht="12" hidden="1" thickBot="1" x14ac:dyDescent="0.25">
      <c r="A899" s="567">
        <v>862</v>
      </c>
      <c r="B899" s="644">
        <v>862</v>
      </c>
      <c r="C899" s="645" t="s">
        <v>458</v>
      </c>
      <c r="D899" s="427" t="s">
        <v>1978</v>
      </c>
      <c r="E899" s="423"/>
      <c r="F899" s="424"/>
      <c r="G899" s="425"/>
      <c r="H899" s="651"/>
      <c r="I899" s="420">
        <v>425.19</v>
      </c>
      <c r="J899" s="420">
        <f t="shared" si="266"/>
        <v>425.19</v>
      </c>
      <c r="K899" s="421">
        <f t="shared" si="254"/>
        <v>505.17</v>
      </c>
      <c r="L899" s="647" t="s">
        <v>16</v>
      </c>
      <c r="M899" s="576"/>
      <c r="N899" s="576">
        <f t="shared" si="256"/>
        <v>0</v>
      </c>
      <c r="O899" s="577">
        <f t="shared" si="262"/>
        <v>0</v>
      </c>
      <c r="P899" s="578">
        <f t="shared" si="263"/>
        <v>0</v>
      </c>
      <c r="Q899" s="765"/>
      <c r="R899" s="576">
        <f t="shared" si="259"/>
        <v>0</v>
      </c>
      <c r="S899" s="576">
        <f t="shared" si="259"/>
        <v>0</v>
      </c>
      <c r="T899" s="577">
        <f t="shared" si="260"/>
        <v>0</v>
      </c>
      <c r="U899" s="578">
        <f t="shared" si="261"/>
        <v>0</v>
      </c>
      <c r="V899" s="579"/>
      <c r="W899" s="566"/>
      <c r="X899" s="586" t="str">
        <f t="shared" si="265"/>
        <v/>
      </c>
      <c r="Y899" s="586" t="str">
        <f t="shared" si="258"/>
        <v/>
      </c>
      <c r="Z899" s="586" t="str">
        <f t="shared" si="239"/>
        <v/>
      </c>
    </row>
    <row r="900" spans="1:26" ht="12" hidden="1" thickBot="1" x14ac:dyDescent="0.25">
      <c r="A900" s="567" t="s">
        <v>532</v>
      </c>
      <c r="B900" s="644" t="s">
        <v>532</v>
      </c>
      <c r="C900" s="645" t="s">
        <v>458</v>
      </c>
      <c r="D900" s="422" t="s">
        <v>1979</v>
      </c>
      <c r="E900" s="423"/>
      <c r="F900" s="424"/>
      <c r="G900" s="425"/>
      <c r="H900" s="651"/>
      <c r="I900" s="420">
        <v>297.73</v>
      </c>
      <c r="J900" s="420">
        <f t="shared" si="266"/>
        <v>297.73</v>
      </c>
      <c r="K900" s="421">
        <f t="shared" si="254"/>
        <v>353.73</v>
      </c>
      <c r="L900" s="647" t="s">
        <v>16</v>
      </c>
      <c r="M900" s="576"/>
      <c r="N900" s="576">
        <f t="shared" si="256"/>
        <v>0</v>
      </c>
      <c r="O900" s="577">
        <f t="shared" si="262"/>
        <v>0</v>
      </c>
      <c r="P900" s="578">
        <f t="shared" si="263"/>
        <v>0</v>
      </c>
      <c r="Q900" s="765"/>
      <c r="R900" s="576">
        <f t="shared" si="259"/>
        <v>0</v>
      </c>
      <c r="S900" s="576">
        <f t="shared" si="259"/>
        <v>0</v>
      </c>
      <c r="T900" s="577">
        <f t="shared" si="260"/>
        <v>0</v>
      </c>
      <c r="U900" s="578">
        <f t="shared" si="261"/>
        <v>0</v>
      </c>
      <c r="V900" s="579"/>
      <c r="W900" s="566"/>
      <c r="X900" s="586" t="str">
        <f t="shared" si="265"/>
        <v/>
      </c>
      <c r="Y900" s="586" t="str">
        <f t="shared" si="258"/>
        <v/>
      </c>
      <c r="Z900" s="586" t="str">
        <f t="shared" si="239"/>
        <v/>
      </c>
    </row>
    <row r="901" spans="1:26" ht="12" hidden="1" thickBot="1" x14ac:dyDescent="0.25">
      <c r="A901" s="567">
        <v>875</v>
      </c>
      <c r="B901" s="644">
        <v>875</v>
      </c>
      <c r="C901" s="645" t="s">
        <v>458</v>
      </c>
      <c r="D901" s="427" t="s">
        <v>1980</v>
      </c>
      <c r="E901" s="423"/>
      <c r="F901" s="424"/>
      <c r="G901" s="425"/>
      <c r="H901" s="651"/>
      <c r="I901" s="420">
        <v>7.19</v>
      </c>
      <c r="J901" s="420">
        <f t="shared" si="266"/>
        <v>7.19</v>
      </c>
      <c r="K901" s="421">
        <f t="shared" si="254"/>
        <v>8.5399999999999991</v>
      </c>
      <c r="L901" s="647" t="s">
        <v>21</v>
      </c>
      <c r="M901" s="576"/>
      <c r="N901" s="576">
        <f t="shared" si="256"/>
        <v>0</v>
      </c>
      <c r="O901" s="577">
        <f t="shared" si="262"/>
        <v>0</v>
      </c>
      <c r="P901" s="578">
        <f t="shared" si="263"/>
        <v>0</v>
      </c>
      <c r="Q901" s="765"/>
      <c r="R901" s="576">
        <f t="shared" si="259"/>
        <v>0</v>
      </c>
      <c r="S901" s="576">
        <f t="shared" si="259"/>
        <v>0</v>
      </c>
      <c r="T901" s="577">
        <f t="shared" si="260"/>
        <v>0</v>
      </c>
      <c r="U901" s="578">
        <f t="shared" si="261"/>
        <v>0</v>
      </c>
      <c r="V901" s="579"/>
      <c r="W901" s="566"/>
      <c r="X901" s="586" t="str">
        <f t="shared" si="265"/>
        <v/>
      </c>
      <c r="Y901" s="586" t="str">
        <f t="shared" si="258"/>
        <v/>
      </c>
      <c r="Z901" s="586" t="str">
        <f t="shared" si="239"/>
        <v/>
      </c>
    </row>
    <row r="902" spans="1:26" ht="12" hidden="1" thickBot="1" x14ac:dyDescent="0.25">
      <c r="A902" s="567" t="s">
        <v>533</v>
      </c>
      <c r="B902" s="644" t="s">
        <v>533</v>
      </c>
      <c r="C902" s="645" t="s">
        <v>458</v>
      </c>
      <c r="D902" s="427" t="s">
        <v>1981</v>
      </c>
      <c r="E902" s="423"/>
      <c r="F902" s="424"/>
      <c r="G902" s="425"/>
      <c r="H902" s="651"/>
      <c r="I902" s="420">
        <v>2.74</v>
      </c>
      <c r="J902" s="420">
        <f t="shared" si="266"/>
        <v>2.74</v>
      </c>
      <c r="K902" s="421">
        <f t="shared" si="254"/>
        <v>3.26</v>
      </c>
      <c r="L902" s="647" t="s">
        <v>21</v>
      </c>
      <c r="M902" s="576"/>
      <c r="N902" s="576">
        <f t="shared" si="256"/>
        <v>0</v>
      </c>
      <c r="O902" s="577">
        <f t="shared" si="262"/>
        <v>0</v>
      </c>
      <c r="P902" s="578">
        <f t="shared" si="263"/>
        <v>0</v>
      </c>
      <c r="Q902" s="765"/>
      <c r="R902" s="576">
        <f t="shared" si="259"/>
        <v>0</v>
      </c>
      <c r="S902" s="576">
        <f t="shared" si="259"/>
        <v>0</v>
      </c>
      <c r="T902" s="577">
        <f t="shared" si="260"/>
        <v>0</v>
      </c>
      <c r="U902" s="578">
        <f t="shared" si="261"/>
        <v>0</v>
      </c>
      <c r="V902" s="579"/>
      <c r="W902" s="566"/>
      <c r="X902" s="586" t="str">
        <f t="shared" si="265"/>
        <v/>
      </c>
      <c r="Y902" s="586" t="str">
        <f t="shared" si="258"/>
        <v/>
      </c>
      <c r="Z902" s="586" t="str">
        <f t="shared" si="239"/>
        <v/>
      </c>
    </row>
    <row r="903" spans="1:26" ht="12" hidden="1" thickBot="1" x14ac:dyDescent="0.25">
      <c r="A903" s="567">
        <v>780</v>
      </c>
      <c r="B903" s="644">
        <v>780</v>
      </c>
      <c r="C903" s="645" t="s">
        <v>458</v>
      </c>
      <c r="D903" s="422" t="s">
        <v>1982</v>
      </c>
      <c r="E903" s="423"/>
      <c r="F903" s="424"/>
      <c r="G903" s="425"/>
      <c r="H903" s="651"/>
      <c r="I903" s="420">
        <v>528.30999999999995</v>
      </c>
      <c r="J903" s="420">
        <f t="shared" si="266"/>
        <v>528.30999999999995</v>
      </c>
      <c r="K903" s="421">
        <f t="shared" si="254"/>
        <v>627.69000000000005</v>
      </c>
      <c r="L903" s="647" t="s">
        <v>177</v>
      </c>
      <c r="M903" s="576"/>
      <c r="N903" s="576">
        <f t="shared" si="256"/>
        <v>0</v>
      </c>
      <c r="O903" s="577">
        <f t="shared" si="262"/>
        <v>0</v>
      </c>
      <c r="P903" s="578">
        <f t="shared" si="263"/>
        <v>0</v>
      </c>
      <c r="Q903" s="765"/>
      <c r="R903" s="576">
        <f t="shared" si="259"/>
        <v>0</v>
      </c>
      <c r="S903" s="576">
        <f t="shared" si="259"/>
        <v>0</v>
      </c>
      <c r="T903" s="577">
        <f t="shared" si="260"/>
        <v>0</v>
      </c>
      <c r="U903" s="578">
        <f t="shared" si="261"/>
        <v>0</v>
      </c>
      <c r="V903" s="579"/>
      <c r="W903" s="566"/>
      <c r="X903" s="586" t="str">
        <f t="shared" si="265"/>
        <v/>
      </c>
      <c r="Y903" s="586" t="str">
        <f t="shared" si="258"/>
        <v/>
      </c>
      <c r="Z903" s="586" t="str">
        <f t="shared" si="239"/>
        <v/>
      </c>
    </row>
    <row r="904" spans="1:26" ht="12" hidden="1" thickBot="1" x14ac:dyDescent="0.25">
      <c r="A904" s="567" t="s">
        <v>538</v>
      </c>
      <c r="B904" s="644" t="s">
        <v>538</v>
      </c>
      <c r="C904" s="645" t="s">
        <v>458</v>
      </c>
      <c r="D904" s="422" t="s">
        <v>1983</v>
      </c>
      <c r="E904" s="423"/>
      <c r="F904" s="424"/>
      <c r="G904" s="425"/>
      <c r="H904" s="651"/>
      <c r="I904" s="420">
        <v>211.39</v>
      </c>
      <c r="J904" s="420">
        <f t="shared" si="266"/>
        <v>211.39</v>
      </c>
      <c r="K904" s="421">
        <f t="shared" si="254"/>
        <v>251.15</v>
      </c>
      <c r="L904" s="647" t="s">
        <v>177</v>
      </c>
      <c r="M904" s="576"/>
      <c r="N904" s="576">
        <f t="shared" si="256"/>
        <v>0</v>
      </c>
      <c r="O904" s="577">
        <f t="shared" si="262"/>
        <v>0</v>
      </c>
      <c r="P904" s="578">
        <f t="shared" si="263"/>
        <v>0</v>
      </c>
      <c r="Q904" s="765"/>
      <c r="R904" s="576">
        <f t="shared" si="259"/>
        <v>0</v>
      </c>
      <c r="S904" s="576">
        <f t="shared" si="259"/>
        <v>0</v>
      </c>
      <c r="T904" s="577">
        <f t="shared" si="260"/>
        <v>0</v>
      </c>
      <c r="U904" s="578">
        <f t="shared" si="261"/>
        <v>0</v>
      </c>
      <c r="V904" s="579"/>
      <c r="W904" s="566"/>
      <c r="X904" s="586" t="str">
        <f t="shared" si="265"/>
        <v/>
      </c>
      <c r="Y904" s="586" t="str">
        <f t="shared" si="258"/>
        <v/>
      </c>
      <c r="Z904" s="586" t="str">
        <f t="shared" si="239"/>
        <v/>
      </c>
    </row>
    <row r="905" spans="1:26" ht="23.25" hidden="1" thickBot="1" x14ac:dyDescent="0.25">
      <c r="A905" s="567">
        <v>781</v>
      </c>
      <c r="B905" s="644">
        <v>781</v>
      </c>
      <c r="C905" s="645" t="s">
        <v>458</v>
      </c>
      <c r="D905" s="422" t="s">
        <v>1984</v>
      </c>
      <c r="E905" s="423"/>
      <c r="F905" s="424"/>
      <c r="G905" s="425"/>
      <c r="H905" s="651"/>
      <c r="I905" s="420">
        <v>879.15</v>
      </c>
      <c r="J905" s="420">
        <f t="shared" si="266"/>
        <v>879.15</v>
      </c>
      <c r="K905" s="421">
        <f t="shared" ref="K905:K968" si="267">IF(ISBLANK(I905),0,ROUND(J905*(1+$F$10)*(1+$F$11*E905),2))</f>
        <v>1044.52</v>
      </c>
      <c r="L905" s="647" t="s">
        <v>177</v>
      </c>
      <c r="M905" s="576"/>
      <c r="N905" s="576">
        <f t="shared" si="256"/>
        <v>0</v>
      </c>
      <c r="O905" s="577">
        <f t="shared" si="262"/>
        <v>0</v>
      </c>
      <c r="P905" s="578">
        <f t="shared" si="263"/>
        <v>0</v>
      </c>
      <c r="Q905" s="765"/>
      <c r="R905" s="576">
        <f t="shared" si="259"/>
        <v>0</v>
      </c>
      <c r="S905" s="576">
        <f t="shared" si="259"/>
        <v>0</v>
      </c>
      <c r="T905" s="577">
        <f t="shared" si="260"/>
        <v>0</v>
      </c>
      <c r="U905" s="578">
        <f t="shared" si="261"/>
        <v>0</v>
      </c>
      <c r="V905" s="579"/>
      <c r="W905" s="566"/>
      <c r="X905" s="586" t="str">
        <f t="shared" si="265"/>
        <v/>
      </c>
      <c r="Y905" s="586" t="str">
        <f t="shared" si="258"/>
        <v/>
      </c>
      <c r="Z905" s="586" t="str">
        <f t="shared" si="239"/>
        <v/>
      </c>
    </row>
    <row r="906" spans="1:26" ht="12" hidden="1" thickBot="1" x14ac:dyDescent="0.25">
      <c r="A906" s="567" t="s">
        <v>539</v>
      </c>
      <c r="B906" s="644" t="s">
        <v>539</v>
      </c>
      <c r="C906" s="645" t="s">
        <v>458</v>
      </c>
      <c r="D906" s="422" t="s">
        <v>1985</v>
      </c>
      <c r="E906" s="423"/>
      <c r="F906" s="424"/>
      <c r="G906" s="425"/>
      <c r="H906" s="651"/>
      <c r="I906" s="420">
        <v>351.52</v>
      </c>
      <c r="J906" s="420">
        <f t="shared" si="266"/>
        <v>351.52</v>
      </c>
      <c r="K906" s="421">
        <f t="shared" si="267"/>
        <v>417.64</v>
      </c>
      <c r="L906" s="647" t="s">
        <v>177</v>
      </c>
      <c r="M906" s="576"/>
      <c r="N906" s="576">
        <f t="shared" si="256"/>
        <v>0</v>
      </c>
      <c r="O906" s="577">
        <f t="shared" si="262"/>
        <v>0</v>
      </c>
      <c r="P906" s="578">
        <f t="shared" si="263"/>
        <v>0</v>
      </c>
      <c r="Q906" s="765"/>
      <c r="R906" s="576">
        <f t="shared" si="259"/>
        <v>0</v>
      </c>
      <c r="S906" s="576">
        <f t="shared" si="259"/>
        <v>0</v>
      </c>
      <c r="T906" s="577">
        <f t="shared" si="260"/>
        <v>0</v>
      </c>
      <c r="U906" s="578">
        <f t="shared" si="261"/>
        <v>0</v>
      </c>
      <c r="V906" s="579"/>
      <c r="W906" s="566"/>
      <c r="X906" s="586" t="str">
        <f t="shared" si="265"/>
        <v/>
      </c>
      <c r="Y906" s="586" t="str">
        <f t="shared" si="258"/>
        <v/>
      </c>
      <c r="Z906" s="586" t="str">
        <f t="shared" si="239"/>
        <v/>
      </c>
    </row>
    <row r="907" spans="1:26" ht="23.25" hidden="1" thickBot="1" x14ac:dyDescent="0.25">
      <c r="A907" s="567">
        <v>782</v>
      </c>
      <c r="B907" s="644">
        <v>782</v>
      </c>
      <c r="C907" s="645" t="s">
        <v>458</v>
      </c>
      <c r="D907" s="422" t="s">
        <v>1986</v>
      </c>
      <c r="E907" s="423"/>
      <c r="F907" s="424"/>
      <c r="G907" s="425"/>
      <c r="H907" s="651"/>
      <c r="I907" s="420">
        <v>1465.37</v>
      </c>
      <c r="J907" s="420">
        <f t="shared" si="266"/>
        <v>1465.37</v>
      </c>
      <c r="K907" s="421">
        <f t="shared" si="267"/>
        <v>1741.01</v>
      </c>
      <c r="L907" s="647" t="s">
        <v>177</v>
      </c>
      <c r="M907" s="576"/>
      <c r="N907" s="576">
        <f t="shared" si="256"/>
        <v>0</v>
      </c>
      <c r="O907" s="577">
        <f t="shared" si="262"/>
        <v>0</v>
      </c>
      <c r="P907" s="578">
        <f t="shared" si="263"/>
        <v>0</v>
      </c>
      <c r="Q907" s="765"/>
      <c r="R907" s="576">
        <f t="shared" si="259"/>
        <v>0</v>
      </c>
      <c r="S907" s="576">
        <f t="shared" si="259"/>
        <v>0</v>
      </c>
      <c r="T907" s="577">
        <f t="shared" si="260"/>
        <v>0</v>
      </c>
      <c r="U907" s="578">
        <f t="shared" si="261"/>
        <v>0</v>
      </c>
      <c r="V907" s="579"/>
      <c r="W907" s="566"/>
      <c r="X907" s="586" t="str">
        <f t="shared" si="265"/>
        <v/>
      </c>
      <c r="Y907" s="586" t="str">
        <f t="shared" si="258"/>
        <v/>
      </c>
      <c r="Z907" s="586" t="str">
        <f t="shared" si="239"/>
        <v/>
      </c>
    </row>
    <row r="908" spans="1:26" ht="23.25" hidden="1" thickBot="1" x14ac:dyDescent="0.25">
      <c r="A908" s="567" t="s">
        <v>540</v>
      </c>
      <c r="B908" s="644" t="s">
        <v>540</v>
      </c>
      <c r="C908" s="645" t="s">
        <v>458</v>
      </c>
      <c r="D908" s="422" t="s">
        <v>1987</v>
      </c>
      <c r="E908" s="423"/>
      <c r="F908" s="424"/>
      <c r="G908" s="425"/>
      <c r="H908" s="651"/>
      <c r="I908" s="420">
        <v>586.21</v>
      </c>
      <c r="J908" s="420">
        <f t="shared" si="266"/>
        <v>586.21</v>
      </c>
      <c r="K908" s="421">
        <f t="shared" si="267"/>
        <v>696.48</v>
      </c>
      <c r="L908" s="647" t="s">
        <v>177</v>
      </c>
      <c r="M908" s="576"/>
      <c r="N908" s="576">
        <f t="shared" si="256"/>
        <v>0</v>
      </c>
      <c r="O908" s="577">
        <f t="shared" si="262"/>
        <v>0</v>
      </c>
      <c r="P908" s="578">
        <f t="shared" si="263"/>
        <v>0</v>
      </c>
      <c r="Q908" s="765"/>
      <c r="R908" s="576">
        <f t="shared" si="259"/>
        <v>0</v>
      </c>
      <c r="S908" s="576">
        <f t="shared" si="259"/>
        <v>0</v>
      </c>
      <c r="T908" s="577">
        <f t="shared" si="260"/>
        <v>0</v>
      </c>
      <c r="U908" s="578">
        <f t="shared" si="261"/>
        <v>0</v>
      </c>
      <c r="V908" s="579"/>
      <c r="W908" s="566"/>
      <c r="X908" s="586" t="str">
        <f t="shared" si="265"/>
        <v/>
      </c>
      <c r="Y908" s="586" t="str">
        <f t="shared" si="258"/>
        <v/>
      </c>
      <c r="Z908" s="586" t="str">
        <f t="shared" si="239"/>
        <v/>
      </c>
    </row>
    <row r="909" spans="1:26" ht="12" hidden="1" thickBot="1" x14ac:dyDescent="0.25">
      <c r="A909" s="567">
        <v>783</v>
      </c>
      <c r="B909" s="644">
        <v>783</v>
      </c>
      <c r="C909" s="645" t="s">
        <v>458</v>
      </c>
      <c r="D909" s="422" t="s">
        <v>1988</v>
      </c>
      <c r="E909" s="423"/>
      <c r="F909" s="424"/>
      <c r="G909" s="425"/>
      <c r="H909" s="651"/>
      <c r="I909" s="420">
        <v>1721.98</v>
      </c>
      <c r="J909" s="420">
        <f t="shared" si="266"/>
        <v>1721.98</v>
      </c>
      <c r="K909" s="421">
        <f t="shared" si="267"/>
        <v>2045.88</v>
      </c>
      <c r="L909" s="647" t="s">
        <v>177</v>
      </c>
      <c r="M909" s="576"/>
      <c r="N909" s="576">
        <f t="shared" si="256"/>
        <v>0</v>
      </c>
      <c r="O909" s="577">
        <f t="shared" si="262"/>
        <v>0</v>
      </c>
      <c r="P909" s="578">
        <f t="shared" si="263"/>
        <v>0</v>
      </c>
      <c r="Q909" s="765"/>
      <c r="R909" s="576">
        <f t="shared" si="259"/>
        <v>0</v>
      </c>
      <c r="S909" s="576">
        <f t="shared" si="259"/>
        <v>0</v>
      </c>
      <c r="T909" s="577">
        <f t="shared" si="260"/>
        <v>0</v>
      </c>
      <c r="U909" s="578">
        <f t="shared" si="261"/>
        <v>0</v>
      </c>
      <c r="V909" s="579"/>
      <c r="W909" s="566"/>
      <c r="X909" s="586" t="str">
        <f t="shared" si="265"/>
        <v/>
      </c>
      <c r="Y909" s="586" t="str">
        <f t="shared" si="258"/>
        <v/>
      </c>
      <c r="Z909" s="586" t="str">
        <f t="shared" si="239"/>
        <v/>
      </c>
    </row>
    <row r="910" spans="1:26" ht="12" hidden="1" thickBot="1" x14ac:dyDescent="0.25">
      <c r="A910" s="567" t="s">
        <v>541</v>
      </c>
      <c r="B910" s="644" t="s">
        <v>541</v>
      </c>
      <c r="C910" s="645" t="s">
        <v>458</v>
      </c>
      <c r="D910" s="422" t="s">
        <v>1989</v>
      </c>
      <c r="E910" s="423"/>
      <c r="F910" s="424"/>
      <c r="G910" s="425"/>
      <c r="H910" s="651"/>
      <c r="I910" s="420">
        <v>688.66</v>
      </c>
      <c r="J910" s="420">
        <f t="shared" si="266"/>
        <v>688.66</v>
      </c>
      <c r="K910" s="421">
        <f t="shared" si="267"/>
        <v>818.2</v>
      </c>
      <c r="L910" s="647" t="s">
        <v>177</v>
      </c>
      <c r="M910" s="576"/>
      <c r="N910" s="576">
        <f t="shared" si="256"/>
        <v>0</v>
      </c>
      <c r="O910" s="577">
        <f t="shared" si="262"/>
        <v>0</v>
      </c>
      <c r="P910" s="578">
        <f t="shared" si="263"/>
        <v>0</v>
      </c>
      <c r="Q910" s="765"/>
      <c r="R910" s="576">
        <f t="shared" si="259"/>
        <v>0</v>
      </c>
      <c r="S910" s="576">
        <f t="shared" si="259"/>
        <v>0</v>
      </c>
      <c r="T910" s="577">
        <f t="shared" si="260"/>
        <v>0</v>
      </c>
      <c r="U910" s="578">
        <f t="shared" si="261"/>
        <v>0</v>
      </c>
      <c r="V910" s="579"/>
      <c r="W910" s="566"/>
      <c r="X910" s="586" t="str">
        <f t="shared" si="265"/>
        <v/>
      </c>
      <c r="Y910" s="586" t="str">
        <f t="shared" si="258"/>
        <v/>
      </c>
      <c r="Z910" s="586" t="str">
        <f t="shared" si="239"/>
        <v/>
      </c>
    </row>
    <row r="911" spans="1:26" ht="12" hidden="1" thickBot="1" x14ac:dyDescent="0.25">
      <c r="A911" s="567">
        <v>784</v>
      </c>
      <c r="B911" s="644">
        <v>784</v>
      </c>
      <c r="C911" s="645" t="s">
        <v>458</v>
      </c>
      <c r="D911" s="422" t="s">
        <v>1990</v>
      </c>
      <c r="E911" s="423"/>
      <c r="F911" s="424"/>
      <c r="G911" s="425"/>
      <c r="H911" s="651"/>
      <c r="I911" s="420">
        <v>642.75</v>
      </c>
      <c r="J911" s="420">
        <f t="shared" si="266"/>
        <v>642.75</v>
      </c>
      <c r="K911" s="421">
        <f t="shared" si="267"/>
        <v>763.65</v>
      </c>
      <c r="L911" s="647" t="s">
        <v>177</v>
      </c>
      <c r="M911" s="576"/>
      <c r="N911" s="576">
        <f t="shared" si="256"/>
        <v>0</v>
      </c>
      <c r="O911" s="577">
        <f t="shared" si="262"/>
        <v>0</v>
      </c>
      <c r="P911" s="578">
        <f t="shared" si="263"/>
        <v>0</v>
      </c>
      <c r="Q911" s="765"/>
      <c r="R911" s="576">
        <f t="shared" si="259"/>
        <v>0</v>
      </c>
      <c r="S911" s="576">
        <f t="shared" si="259"/>
        <v>0</v>
      </c>
      <c r="T911" s="577">
        <f t="shared" si="260"/>
        <v>0</v>
      </c>
      <c r="U911" s="578">
        <f t="shared" si="261"/>
        <v>0</v>
      </c>
      <c r="V911" s="579"/>
      <c r="W911" s="566"/>
      <c r="X911" s="586" t="str">
        <f t="shared" si="265"/>
        <v/>
      </c>
      <c r="Y911" s="586" t="str">
        <f t="shared" si="258"/>
        <v/>
      </c>
      <c r="Z911" s="586" t="str">
        <f t="shared" si="239"/>
        <v/>
      </c>
    </row>
    <row r="912" spans="1:26" ht="12" hidden="1" thickBot="1" x14ac:dyDescent="0.25">
      <c r="A912" s="567" t="s">
        <v>542</v>
      </c>
      <c r="B912" s="644" t="s">
        <v>542</v>
      </c>
      <c r="C912" s="645" t="s">
        <v>458</v>
      </c>
      <c r="D912" s="422" t="s">
        <v>1991</v>
      </c>
      <c r="E912" s="423"/>
      <c r="F912" s="424"/>
      <c r="G912" s="425"/>
      <c r="H912" s="651"/>
      <c r="I912" s="420">
        <v>256.95999999999998</v>
      </c>
      <c r="J912" s="420">
        <f t="shared" si="266"/>
        <v>256.95999999999998</v>
      </c>
      <c r="K912" s="421">
        <f t="shared" si="267"/>
        <v>305.29000000000002</v>
      </c>
      <c r="L912" s="647" t="s">
        <v>177</v>
      </c>
      <c r="M912" s="576"/>
      <c r="N912" s="576">
        <f t="shared" si="256"/>
        <v>0</v>
      </c>
      <c r="O912" s="577">
        <f t="shared" si="262"/>
        <v>0</v>
      </c>
      <c r="P912" s="578">
        <f t="shared" si="263"/>
        <v>0</v>
      </c>
      <c r="Q912" s="765"/>
      <c r="R912" s="576">
        <f t="shared" si="259"/>
        <v>0</v>
      </c>
      <c r="S912" s="576">
        <f t="shared" si="259"/>
        <v>0</v>
      </c>
      <c r="T912" s="577">
        <f t="shared" si="260"/>
        <v>0</v>
      </c>
      <c r="U912" s="578">
        <f t="shared" si="261"/>
        <v>0</v>
      </c>
      <c r="V912" s="579"/>
      <c r="W912" s="566"/>
      <c r="X912" s="586" t="str">
        <f t="shared" si="265"/>
        <v/>
      </c>
      <c r="Y912" s="586" t="str">
        <f t="shared" si="258"/>
        <v/>
      </c>
      <c r="Z912" s="586" t="str">
        <f t="shared" si="239"/>
        <v/>
      </c>
    </row>
    <row r="913" spans="1:26" ht="12" hidden="1" thickBot="1" x14ac:dyDescent="0.25">
      <c r="A913" s="567">
        <v>785</v>
      </c>
      <c r="B913" s="644">
        <v>785</v>
      </c>
      <c r="C913" s="645" t="s">
        <v>458</v>
      </c>
      <c r="D913" s="422" t="s">
        <v>1992</v>
      </c>
      <c r="E913" s="423"/>
      <c r="F913" s="424"/>
      <c r="G913" s="425"/>
      <c r="H913" s="651"/>
      <c r="I913" s="420">
        <v>1706.57</v>
      </c>
      <c r="J913" s="420">
        <f t="shared" si="266"/>
        <v>1706.57</v>
      </c>
      <c r="K913" s="421">
        <f t="shared" si="267"/>
        <v>2027.58</v>
      </c>
      <c r="L913" s="647" t="s">
        <v>177</v>
      </c>
      <c r="M913" s="576"/>
      <c r="N913" s="576">
        <f t="shared" si="256"/>
        <v>0</v>
      </c>
      <c r="O913" s="577">
        <f t="shared" si="262"/>
        <v>0</v>
      </c>
      <c r="P913" s="578">
        <f t="shared" si="263"/>
        <v>0</v>
      </c>
      <c r="Q913" s="765"/>
      <c r="R913" s="576">
        <f t="shared" si="259"/>
        <v>0</v>
      </c>
      <c r="S913" s="576">
        <f t="shared" si="259"/>
        <v>0</v>
      </c>
      <c r="T913" s="577">
        <f t="shared" si="260"/>
        <v>0</v>
      </c>
      <c r="U913" s="578">
        <f t="shared" si="261"/>
        <v>0</v>
      </c>
      <c r="V913" s="579"/>
      <c r="W913" s="566"/>
      <c r="X913" s="586" t="str">
        <f t="shared" si="265"/>
        <v/>
      </c>
      <c r="Y913" s="586" t="str">
        <f t="shared" si="258"/>
        <v/>
      </c>
      <c r="Z913" s="586" t="str">
        <f t="shared" si="239"/>
        <v/>
      </c>
    </row>
    <row r="914" spans="1:26" ht="12" hidden="1" thickBot="1" x14ac:dyDescent="0.25">
      <c r="A914" s="567" t="s">
        <v>543</v>
      </c>
      <c r="B914" s="644" t="s">
        <v>543</v>
      </c>
      <c r="C914" s="645" t="s">
        <v>458</v>
      </c>
      <c r="D914" s="422" t="s">
        <v>1993</v>
      </c>
      <c r="E914" s="423"/>
      <c r="F914" s="424"/>
      <c r="G914" s="425"/>
      <c r="H914" s="651"/>
      <c r="I914" s="420">
        <v>659.19</v>
      </c>
      <c r="J914" s="420">
        <f t="shared" si="266"/>
        <v>659.19</v>
      </c>
      <c r="K914" s="421">
        <f t="shared" si="267"/>
        <v>783.18</v>
      </c>
      <c r="L914" s="647" t="s">
        <v>177</v>
      </c>
      <c r="M914" s="576"/>
      <c r="N914" s="576">
        <f t="shared" si="256"/>
        <v>0</v>
      </c>
      <c r="O914" s="577">
        <f t="shared" si="262"/>
        <v>0</v>
      </c>
      <c r="P914" s="578">
        <f t="shared" si="263"/>
        <v>0</v>
      </c>
      <c r="Q914" s="765"/>
      <c r="R914" s="576">
        <f t="shared" si="259"/>
        <v>0</v>
      </c>
      <c r="S914" s="576">
        <f t="shared" si="259"/>
        <v>0</v>
      </c>
      <c r="T914" s="577">
        <f t="shared" si="260"/>
        <v>0</v>
      </c>
      <c r="U914" s="578">
        <f t="shared" si="261"/>
        <v>0</v>
      </c>
      <c r="V914" s="579"/>
      <c r="W914" s="566"/>
      <c r="X914" s="586" t="str">
        <f t="shared" si="265"/>
        <v/>
      </c>
      <c r="Y914" s="586" t="str">
        <f t="shared" si="258"/>
        <v/>
      </c>
      <c r="Z914" s="586" t="str">
        <f t="shared" si="239"/>
        <v/>
      </c>
    </row>
    <row r="915" spans="1:26" ht="12" hidden="1" thickBot="1" x14ac:dyDescent="0.25">
      <c r="A915" s="567">
        <v>786</v>
      </c>
      <c r="B915" s="644">
        <v>786</v>
      </c>
      <c r="C915" s="645" t="s">
        <v>458</v>
      </c>
      <c r="D915" s="422" t="s">
        <v>1994</v>
      </c>
      <c r="E915" s="423"/>
      <c r="F915" s="424"/>
      <c r="G915" s="425"/>
      <c r="H915" s="651"/>
      <c r="I915" s="420">
        <v>535.51</v>
      </c>
      <c r="J915" s="420">
        <f t="shared" si="266"/>
        <v>535.51</v>
      </c>
      <c r="K915" s="421">
        <f t="shared" si="267"/>
        <v>636.24</v>
      </c>
      <c r="L915" s="647" t="s">
        <v>177</v>
      </c>
      <c r="M915" s="576"/>
      <c r="N915" s="576">
        <f t="shared" si="256"/>
        <v>0</v>
      </c>
      <c r="O915" s="577">
        <f t="shared" si="262"/>
        <v>0</v>
      </c>
      <c r="P915" s="578">
        <f t="shared" si="263"/>
        <v>0</v>
      </c>
      <c r="Q915" s="765"/>
      <c r="R915" s="576">
        <f t="shared" si="259"/>
        <v>0</v>
      </c>
      <c r="S915" s="576">
        <f t="shared" si="259"/>
        <v>0</v>
      </c>
      <c r="T915" s="577">
        <f t="shared" si="260"/>
        <v>0</v>
      </c>
      <c r="U915" s="578">
        <f t="shared" si="261"/>
        <v>0</v>
      </c>
      <c r="V915" s="579"/>
      <c r="W915" s="566"/>
      <c r="X915" s="586" t="str">
        <f t="shared" si="265"/>
        <v/>
      </c>
      <c r="Y915" s="586" t="str">
        <f t="shared" si="258"/>
        <v/>
      </c>
      <c r="Z915" s="586" t="str">
        <f t="shared" ref="Z915:Z978" si="268">IF(W915="X","x",IF(U915&gt;0,"x",""))</f>
        <v/>
      </c>
    </row>
    <row r="916" spans="1:26" ht="12" hidden="1" thickBot="1" x14ac:dyDescent="0.25">
      <c r="A916" s="567" t="s">
        <v>544</v>
      </c>
      <c r="B916" s="644" t="s">
        <v>544</v>
      </c>
      <c r="C916" s="645" t="s">
        <v>458</v>
      </c>
      <c r="D916" s="422" t="s">
        <v>1995</v>
      </c>
      <c r="E916" s="423"/>
      <c r="F916" s="424"/>
      <c r="G916" s="425"/>
      <c r="H916" s="651"/>
      <c r="I916" s="420">
        <v>214.13</v>
      </c>
      <c r="J916" s="420">
        <f t="shared" si="266"/>
        <v>214.13</v>
      </c>
      <c r="K916" s="421">
        <f t="shared" si="267"/>
        <v>254.41</v>
      </c>
      <c r="L916" s="647" t="s">
        <v>177</v>
      </c>
      <c r="M916" s="576"/>
      <c r="N916" s="576">
        <f t="shared" ref="N916:N979" si="269">IF(M916=0,0,K916)</f>
        <v>0</v>
      </c>
      <c r="O916" s="577">
        <f t="shared" si="262"/>
        <v>0</v>
      </c>
      <c r="P916" s="578">
        <f t="shared" si="263"/>
        <v>0</v>
      </c>
      <c r="Q916" s="765"/>
      <c r="R916" s="576">
        <f t="shared" si="259"/>
        <v>0</v>
      </c>
      <c r="S916" s="576">
        <f t="shared" si="259"/>
        <v>0</v>
      </c>
      <c r="T916" s="577">
        <f t="shared" si="260"/>
        <v>0</v>
      </c>
      <c r="U916" s="578">
        <f t="shared" si="261"/>
        <v>0</v>
      </c>
      <c r="V916" s="579"/>
      <c r="W916" s="566"/>
      <c r="X916" s="586" t="str">
        <f t="shared" si="265"/>
        <v/>
      </c>
      <c r="Y916" s="586" t="str">
        <f t="shared" si="258"/>
        <v/>
      </c>
      <c r="Z916" s="586" t="str">
        <f t="shared" si="268"/>
        <v/>
      </c>
    </row>
    <row r="917" spans="1:26" ht="12" hidden="1" thickBot="1" x14ac:dyDescent="0.25">
      <c r="A917" s="567">
        <v>787</v>
      </c>
      <c r="B917" s="644">
        <v>787</v>
      </c>
      <c r="C917" s="645" t="s">
        <v>458</v>
      </c>
      <c r="D917" s="422" t="s">
        <v>1996</v>
      </c>
      <c r="E917" s="423"/>
      <c r="F917" s="424"/>
      <c r="G917" s="425"/>
      <c r="H917" s="651"/>
      <c r="I917" s="420">
        <v>484.12</v>
      </c>
      <c r="J917" s="420">
        <f t="shared" si="266"/>
        <v>484.12</v>
      </c>
      <c r="K917" s="421">
        <f t="shared" si="267"/>
        <v>575.17999999999995</v>
      </c>
      <c r="L917" s="647" t="s">
        <v>177</v>
      </c>
      <c r="M917" s="576"/>
      <c r="N917" s="576">
        <f t="shared" si="269"/>
        <v>0</v>
      </c>
      <c r="O917" s="577">
        <f t="shared" si="262"/>
        <v>0</v>
      </c>
      <c r="P917" s="578">
        <f t="shared" si="263"/>
        <v>0</v>
      </c>
      <c r="Q917" s="765"/>
      <c r="R917" s="576">
        <f t="shared" si="259"/>
        <v>0</v>
      </c>
      <c r="S917" s="576">
        <f t="shared" si="259"/>
        <v>0</v>
      </c>
      <c r="T917" s="577">
        <f t="shared" si="260"/>
        <v>0</v>
      </c>
      <c r="U917" s="578">
        <f t="shared" si="261"/>
        <v>0</v>
      </c>
      <c r="V917" s="579"/>
      <c r="W917" s="566"/>
      <c r="X917" s="586" t="str">
        <f t="shared" si="265"/>
        <v/>
      </c>
      <c r="Y917" s="586" t="str">
        <f t="shared" si="258"/>
        <v/>
      </c>
      <c r="Z917" s="586" t="str">
        <f t="shared" si="268"/>
        <v/>
      </c>
    </row>
    <row r="918" spans="1:26" ht="12" hidden="1" thickBot="1" x14ac:dyDescent="0.25">
      <c r="A918" s="567" t="s">
        <v>545</v>
      </c>
      <c r="B918" s="644" t="s">
        <v>545</v>
      </c>
      <c r="C918" s="645" t="s">
        <v>458</v>
      </c>
      <c r="D918" s="422" t="s">
        <v>1997</v>
      </c>
      <c r="E918" s="423"/>
      <c r="F918" s="424"/>
      <c r="G918" s="425"/>
      <c r="H918" s="651"/>
      <c r="I918" s="420">
        <v>193.58</v>
      </c>
      <c r="J918" s="420">
        <f t="shared" si="266"/>
        <v>193.58</v>
      </c>
      <c r="K918" s="421">
        <f t="shared" si="267"/>
        <v>229.99</v>
      </c>
      <c r="L918" s="647" t="s">
        <v>177</v>
      </c>
      <c r="M918" s="576"/>
      <c r="N918" s="576">
        <f t="shared" si="269"/>
        <v>0</v>
      </c>
      <c r="O918" s="577">
        <f t="shared" si="262"/>
        <v>0</v>
      </c>
      <c r="P918" s="578">
        <f t="shared" si="263"/>
        <v>0</v>
      </c>
      <c r="Q918" s="765"/>
      <c r="R918" s="576">
        <f t="shared" si="259"/>
        <v>0</v>
      </c>
      <c r="S918" s="576">
        <f t="shared" si="259"/>
        <v>0</v>
      </c>
      <c r="T918" s="577">
        <f t="shared" si="260"/>
        <v>0</v>
      </c>
      <c r="U918" s="578">
        <f t="shared" si="261"/>
        <v>0</v>
      </c>
      <c r="V918" s="579"/>
      <c r="W918" s="566"/>
      <c r="X918" s="586" t="str">
        <f t="shared" si="265"/>
        <v/>
      </c>
      <c r="Y918" s="586" t="str">
        <f t="shared" si="258"/>
        <v/>
      </c>
      <c r="Z918" s="586" t="str">
        <f t="shared" si="268"/>
        <v/>
      </c>
    </row>
    <row r="919" spans="1:26" ht="12" hidden="1" thickBot="1" x14ac:dyDescent="0.25">
      <c r="A919" s="567">
        <v>790</v>
      </c>
      <c r="B919" s="644">
        <v>790</v>
      </c>
      <c r="C919" s="645" t="s">
        <v>458</v>
      </c>
      <c r="D919" s="422" t="s">
        <v>1998</v>
      </c>
      <c r="E919" s="423"/>
      <c r="F919" s="424"/>
      <c r="G919" s="425"/>
      <c r="H919" s="651"/>
      <c r="I919" s="420">
        <v>12.68</v>
      </c>
      <c r="J919" s="420">
        <f t="shared" si="266"/>
        <v>12.68</v>
      </c>
      <c r="K919" s="421">
        <f t="shared" si="267"/>
        <v>15.07</v>
      </c>
      <c r="L919" s="647" t="s">
        <v>19</v>
      </c>
      <c r="M919" s="576"/>
      <c r="N919" s="576">
        <f t="shared" si="269"/>
        <v>0</v>
      </c>
      <c r="O919" s="577">
        <f t="shared" si="262"/>
        <v>0</v>
      </c>
      <c r="P919" s="578">
        <f t="shared" si="263"/>
        <v>0</v>
      </c>
      <c r="Q919" s="765"/>
      <c r="R919" s="576">
        <f t="shared" si="259"/>
        <v>0</v>
      </c>
      <c r="S919" s="576">
        <f t="shared" si="259"/>
        <v>0</v>
      </c>
      <c r="T919" s="577">
        <f t="shared" si="260"/>
        <v>0</v>
      </c>
      <c r="U919" s="578">
        <f t="shared" si="261"/>
        <v>0</v>
      </c>
      <c r="V919" s="579"/>
      <c r="W919" s="566"/>
      <c r="X919" s="586" t="str">
        <f t="shared" si="265"/>
        <v/>
      </c>
      <c r="Y919" s="586" t="str">
        <f t="shared" si="258"/>
        <v/>
      </c>
      <c r="Z919" s="586" t="str">
        <f t="shared" si="268"/>
        <v/>
      </c>
    </row>
    <row r="920" spans="1:26" ht="12" hidden="1" thickBot="1" x14ac:dyDescent="0.25">
      <c r="A920" s="567" t="s">
        <v>546</v>
      </c>
      <c r="B920" s="644" t="s">
        <v>546</v>
      </c>
      <c r="C920" s="645" t="s">
        <v>458</v>
      </c>
      <c r="D920" s="422" t="s">
        <v>1999</v>
      </c>
      <c r="E920" s="423"/>
      <c r="F920" s="424"/>
      <c r="G920" s="425"/>
      <c r="H920" s="651"/>
      <c r="I920" s="420">
        <v>5.14</v>
      </c>
      <c r="J920" s="420">
        <f t="shared" si="266"/>
        <v>5.14</v>
      </c>
      <c r="K920" s="421">
        <f t="shared" si="267"/>
        <v>6.11</v>
      </c>
      <c r="L920" s="647" t="s">
        <v>19</v>
      </c>
      <c r="M920" s="576"/>
      <c r="N920" s="576">
        <f t="shared" si="269"/>
        <v>0</v>
      </c>
      <c r="O920" s="577">
        <f t="shared" si="262"/>
        <v>0</v>
      </c>
      <c r="P920" s="578">
        <f t="shared" si="263"/>
        <v>0</v>
      </c>
      <c r="Q920" s="765"/>
      <c r="R920" s="576">
        <f t="shared" si="259"/>
        <v>0</v>
      </c>
      <c r="S920" s="576">
        <f t="shared" si="259"/>
        <v>0</v>
      </c>
      <c r="T920" s="577">
        <f t="shared" si="260"/>
        <v>0</v>
      </c>
      <c r="U920" s="578">
        <f t="shared" si="261"/>
        <v>0</v>
      </c>
      <c r="V920" s="579"/>
      <c r="W920" s="566"/>
      <c r="X920" s="586" t="str">
        <f t="shared" si="265"/>
        <v/>
      </c>
      <c r="Y920" s="586" t="str">
        <f t="shared" si="258"/>
        <v/>
      </c>
      <c r="Z920" s="586" t="str">
        <f t="shared" si="268"/>
        <v/>
      </c>
    </row>
    <row r="921" spans="1:26" ht="12" hidden="1" thickBot="1" x14ac:dyDescent="0.25">
      <c r="A921" s="567">
        <v>800</v>
      </c>
      <c r="B921" s="644">
        <v>800</v>
      </c>
      <c r="C921" s="645" t="s">
        <v>458</v>
      </c>
      <c r="D921" s="422" t="s">
        <v>2000</v>
      </c>
      <c r="E921" s="423"/>
      <c r="F921" s="424"/>
      <c r="G921" s="425"/>
      <c r="H921" s="651"/>
      <c r="I921" s="420">
        <v>15.08</v>
      </c>
      <c r="J921" s="420">
        <f>IF(ISBLANK(I921),"",SUM(H921:I921))</f>
        <v>15.08</v>
      </c>
      <c r="K921" s="421">
        <f t="shared" si="267"/>
        <v>17.920000000000002</v>
      </c>
      <c r="L921" s="647" t="s">
        <v>21</v>
      </c>
      <c r="M921" s="576"/>
      <c r="N921" s="576">
        <f t="shared" si="269"/>
        <v>0</v>
      </c>
      <c r="O921" s="577">
        <f t="shared" si="262"/>
        <v>0</v>
      </c>
      <c r="P921" s="578">
        <f t="shared" si="263"/>
        <v>0</v>
      </c>
      <c r="Q921" s="765"/>
      <c r="R921" s="576">
        <f t="shared" si="259"/>
        <v>0</v>
      </c>
      <c r="S921" s="576">
        <f t="shared" si="259"/>
        <v>0</v>
      </c>
      <c r="T921" s="577">
        <f t="shared" si="260"/>
        <v>0</v>
      </c>
      <c r="U921" s="578">
        <f t="shared" si="261"/>
        <v>0</v>
      </c>
      <c r="V921" s="579"/>
      <c r="W921" s="566"/>
      <c r="X921" s="586" t="str">
        <f t="shared" si="265"/>
        <v/>
      </c>
      <c r="Y921" s="586" t="str">
        <f t="shared" si="258"/>
        <v/>
      </c>
      <c r="Z921" s="586" t="str">
        <f t="shared" si="268"/>
        <v/>
      </c>
    </row>
    <row r="922" spans="1:26" ht="12" hidden="1" thickBot="1" x14ac:dyDescent="0.25">
      <c r="A922" s="567">
        <v>860</v>
      </c>
      <c r="B922" s="644">
        <v>860</v>
      </c>
      <c r="C922" s="645" t="s">
        <v>458</v>
      </c>
      <c r="D922" s="422" t="s">
        <v>2001</v>
      </c>
      <c r="E922" s="423"/>
      <c r="F922" s="424"/>
      <c r="G922" s="425"/>
      <c r="H922" s="651"/>
      <c r="I922" s="420">
        <v>560.17999999999995</v>
      </c>
      <c r="J922" s="420">
        <f t="shared" ref="J922:J940" si="270">IF(ISBLANK(I922),"",SUM(H922:I922))</f>
        <v>560.17999999999995</v>
      </c>
      <c r="K922" s="421">
        <f t="shared" si="267"/>
        <v>665.55</v>
      </c>
      <c r="L922" s="647" t="s">
        <v>177</v>
      </c>
      <c r="M922" s="576"/>
      <c r="N922" s="576">
        <f t="shared" si="269"/>
        <v>0</v>
      </c>
      <c r="O922" s="577">
        <f t="shared" si="262"/>
        <v>0</v>
      </c>
      <c r="P922" s="578">
        <f t="shared" si="263"/>
        <v>0</v>
      </c>
      <c r="Q922" s="765"/>
      <c r="R922" s="576">
        <f t="shared" si="259"/>
        <v>0</v>
      </c>
      <c r="S922" s="576">
        <f t="shared" si="259"/>
        <v>0</v>
      </c>
      <c r="T922" s="577">
        <f t="shared" si="260"/>
        <v>0</v>
      </c>
      <c r="U922" s="578">
        <f t="shared" si="261"/>
        <v>0</v>
      </c>
      <c r="V922" s="579"/>
      <c r="W922" s="566"/>
      <c r="X922" s="586" t="str">
        <f t="shared" si="265"/>
        <v/>
      </c>
      <c r="Y922" s="586" t="str">
        <f t="shared" si="258"/>
        <v/>
      </c>
      <c r="Z922" s="586" t="str">
        <f t="shared" si="268"/>
        <v/>
      </c>
    </row>
    <row r="923" spans="1:26" ht="12" hidden="1" thickBot="1" x14ac:dyDescent="0.25">
      <c r="A923" s="567" t="s">
        <v>548</v>
      </c>
      <c r="B923" s="644" t="s">
        <v>548</v>
      </c>
      <c r="C923" s="645" t="s">
        <v>458</v>
      </c>
      <c r="D923" s="422" t="s">
        <v>2002</v>
      </c>
      <c r="E923" s="423"/>
      <c r="F923" s="424"/>
      <c r="G923" s="425"/>
      <c r="H923" s="651"/>
      <c r="I923" s="420">
        <v>224.07</v>
      </c>
      <c r="J923" s="420">
        <f t="shared" si="270"/>
        <v>224.07</v>
      </c>
      <c r="K923" s="421">
        <f t="shared" si="267"/>
        <v>266.22000000000003</v>
      </c>
      <c r="L923" s="647" t="s">
        <v>177</v>
      </c>
      <c r="M923" s="576"/>
      <c r="N923" s="576">
        <f t="shared" si="269"/>
        <v>0</v>
      </c>
      <c r="O923" s="577">
        <f t="shared" si="262"/>
        <v>0</v>
      </c>
      <c r="P923" s="578">
        <f t="shared" si="263"/>
        <v>0</v>
      </c>
      <c r="Q923" s="765"/>
      <c r="R923" s="576">
        <f t="shared" si="259"/>
        <v>0</v>
      </c>
      <c r="S923" s="576">
        <f t="shared" si="259"/>
        <v>0</v>
      </c>
      <c r="T923" s="577">
        <f t="shared" si="260"/>
        <v>0</v>
      </c>
      <c r="U923" s="578">
        <f t="shared" si="261"/>
        <v>0</v>
      </c>
      <c r="V923" s="579"/>
      <c r="W923" s="566"/>
      <c r="X923" s="586" t="str">
        <f t="shared" si="265"/>
        <v/>
      </c>
      <c r="Y923" s="586" t="str">
        <f t="shared" si="258"/>
        <v/>
      </c>
      <c r="Z923" s="586" t="str">
        <f t="shared" si="268"/>
        <v/>
      </c>
    </row>
    <row r="924" spans="1:26" ht="12" hidden="1" thickBot="1" x14ac:dyDescent="0.25">
      <c r="A924" s="567">
        <v>864</v>
      </c>
      <c r="B924" s="644">
        <v>864</v>
      </c>
      <c r="C924" s="645" t="s">
        <v>458</v>
      </c>
      <c r="D924" s="422" t="s">
        <v>2003</v>
      </c>
      <c r="E924" s="423"/>
      <c r="F924" s="424"/>
      <c r="G924" s="425"/>
      <c r="H924" s="651"/>
      <c r="I924" s="420">
        <v>6.85</v>
      </c>
      <c r="J924" s="420">
        <f t="shared" si="270"/>
        <v>6.85</v>
      </c>
      <c r="K924" s="421">
        <f t="shared" si="267"/>
        <v>8.14</v>
      </c>
      <c r="L924" s="647" t="s">
        <v>19</v>
      </c>
      <c r="M924" s="576"/>
      <c r="N924" s="576">
        <f t="shared" si="269"/>
        <v>0</v>
      </c>
      <c r="O924" s="577">
        <f t="shared" si="262"/>
        <v>0</v>
      </c>
      <c r="P924" s="578">
        <f t="shared" si="263"/>
        <v>0</v>
      </c>
      <c r="Q924" s="765"/>
      <c r="R924" s="576">
        <f t="shared" si="259"/>
        <v>0</v>
      </c>
      <c r="S924" s="576">
        <f t="shared" si="259"/>
        <v>0</v>
      </c>
      <c r="T924" s="577">
        <f t="shared" si="260"/>
        <v>0</v>
      </c>
      <c r="U924" s="578">
        <f t="shared" si="261"/>
        <v>0</v>
      </c>
      <c r="V924" s="579"/>
      <c r="W924" s="566"/>
      <c r="X924" s="586" t="str">
        <f t="shared" si="265"/>
        <v/>
      </c>
      <c r="Y924" s="586" t="str">
        <f t="shared" si="258"/>
        <v/>
      </c>
      <c r="Z924" s="586" t="str">
        <f t="shared" si="268"/>
        <v/>
      </c>
    </row>
    <row r="925" spans="1:26" ht="12" hidden="1" thickBot="1" x14ac:dyDescent="0.25">
      <c r="A925" s="567" t="s">
        <v>549</v>
      </c>
      <c r="B925" s="644" t="s">
        <v>549</v>
      </c>
      <c r="C925" s="645" t="s">
        <v>458</v>
      </c>
      <c r="D925" s="422" t="s">
        <v>2004</v>
      </c>
      <c r="E925" s="423"/>
      <c r="F925" s="424"/>
      <c r="G925" s="425"/>
      <c r="H925" s="651"/>
      <c r="I925" s="420">
        <v>5.14</v>
      </c>
      <c r="J925" s="420">
        <f t="shared" si="270"/>
        <v>5.14</v>
      </c>
      <c r="K925" s="421">
        <f t="shared" si="267"/>
        <v>6.11</v>
      </c>
      <c r="L925" s="647" t="s">
        <v>19</v>
      </c>
      <c r="M925" s="576"/>
      <c r="N925" s="576">
        <f t="shared" si="269"/>
        <v>0</v>
      </c>
      <c r="O925" s="577">
        <f t="shared" si="262"/>
        <v>0</v>
      </c>
      <c r="P925" s="578">
        <f t="shared" si="263"/>
        <v>0</v>
      </c>
      <c r="Q925" s="765"/>
      <c r="R925" s="576">
        <f t="shared" si="259"/>
        <v>0</v>
      </c>
      <c r="S925" s="576">
        <f t="shared" si="259"/>
        <v>0</v>
      </c>
      <c r="T925" s="577">
        <f t="shared" si="260"/>
        <v>0</v>
      </c>
      <c r="U925" s="578">
        <f t="shared" si="261"/>
        <v>0</v>
      </c>
      <c r="V925" s="579"/>
      <c r="W925" s="566"/>
      <c r="X925" s="586" t="str">
        <f t="shared" si="265"/>
        <v/>
      </c>
      <c r="Y925" s="586" t="str">
        <f t="shared" si="258"/>
        <v/>
      </c>
      <c r="Z925" s="586" t="str">
        <f t="shared" si="268"/>
        <v/>
      </c>
    </row>
    <row r="926" spans="1:26" ht="12" hidden="1" thickBot="1" x14ac:dyDescent="0.25">
      <c r="A926" s="567">
        <v>866</v>
      </c>
      <c r="B926" s="644">
        <v>866</v>
      </c>
      <c r="C926" s="645" t="s">
        <v>458</v>
      </c>
      <c r="D926" s="422" t="s">
        <v>2005</v>
      </c>
      <c r="E926" s="423"/>
      <c r="F926" s="424"/>
      <c r="G926" s="425"/>
      <c r="H926" s="651"/>
      <c r="I926" s="420">
        <v>33.92</v>
      </c>
      <c r="J926" s="420">
        <f t="shared" si="270"/>
        <v>33.92</v>
      </c>
      <c r="K926" s="421">
        <f t="shared" si="267"/>
        <v>40.299999999999997</v>
      </c>
      <c r="L926" s="647" t="s">
        <v>21</v>
      </c>
      <c r="M926" s="576"/>
      <c r="N926" s="576">
        <f t="shared" si="269"/>
        <v>0</v>
      </c>
      <c r="O926" s="577">
        <f t="shared" si="262"/>
        <v>0</v>
      </c>
      <c r="P926" s="578">
        <f t="shared" si="263"/>
        <v>0</v>
      </c>
      <c r="Q926" s="765"/>
      <c r="R926" s="576">
        <f t="shared" si="259"/>
        <v>0</v>
      </c>
      <c r="S926" s="576">
        <f t="shared" si="259"/>
        <v>0</v>
      </c>
      <c r="T926" s="577">
        <f t="shared" si="260"/>
        <v>0</v>
      </c>
      <c r="U926" s="578">
        <f t="shared" si="261"/>
        <v>0</v>
      </c>
      <c r="V926" s="579"/>
      <c r="W926" s="566"/>
      <c r="X926" s="586" t="str">
        <f t="shared" si="265"/>
        <v/>
      </c>
      <c r="Y926" s="586" t="str">
        <f t="shared" si="258"/>
        <v/>
      </c>
      <c r="Z926" s="586" t="str">
        <f t="shared" si="268"/>
        <v/>
      </c>
    </row>
    <row r="927" spans="1:26" ht="12" hidden="1" thickBot="1" x14ac:dyDescent="0.25">
      <c r="A927" s="567" t="s">
        <v>550</v>
      </c>
      <c r="B927" s="644" t="s">
        <v>550</v>
      </c>
      <c r="C927" s="645" t="s">
        <v>458</v>
      </c>
      <c r="D927" s="422" t="s">
        <v>2006</v>
      </c>
      <c r="E927" s="423"/>
      <c r="F927" s="424"/>
      <c r="G927" s="425"/>
      <c r="H927" s="651"/>
      <c r="I927" s="420">
        <v>13.7</v>
      </c>
      <c r="J927" s="420">
        <f t="shared" si="270"/>
        <v>13.7</v>
      </c>
      <c r="K927" s="421">
        <f t="shared" si="267"/>
        <v>16.28</v>
      </c>
      <c r="L927" s="647" t="s">
        <v>21</v>
      </c>
      <c r="M927" s="576"/>
      <c r="N927" s="576">
        <f t="shared" si="269"/>
        <v>0</v>
      </c>
      <c r="O927" s="577">
        <f t="shared" si="262"/>
        <v>0</v>
      </c>
      <c r="P927" s="578">
        <f t="shared" si="263"/>
        <v>0</v>
      </c>
      <c r="Q927" s="765"/>
      <c r="R927" s="576">
        <f t="shared" si="259"/>
        <v>0</v>
      </c>
      <c r="S927" s="576">
        <f t="shared" si="259"/>
        <v>0</v>
      </c>
      <c r="T927" s="577">
        <f t="shared" si="260"/>
        <v>0</v>
      </c>
      <c r="U927" s="578">
        <f t="shared" si="261"/>
        <v>0</v>
      </c>
      <c r="V927" s="579"/>
      <c r="W927" s="566"/>
      <c r="X927" s="586" t="str">
        <f t="shared" si="265"/>
        <v/>
      </c>
      <c r="Y927" s="586" t="str">
        <f t="shared" si="258"/>
        <v/>
      </c>
      <c r="Z927" s="586" t="str">
        <f t="shared" si="268"/>
        <v/>
      </c>
    </row>
    <row r="928" spans="1:26" ht="12" hidden="1" thickBot="1" x14ac:dyDescent="0.25">
      <c r="A928" s="567">
        <v>792</v>
      </c>
      <c r="B928" s="644">
        <v>792</v>
      </c>
      <c r="C928" s="645" t="s">
        <v>458</v>
      </c>
      <c r="D928" s="422" t="s">
        <v>2007</v>
      </c>
      <c r="E928" s="423"/>
      <c r="F928" s="424"/>
      <c r="G928" s="425"/>
      <c r="H928" s="651"/>
      <c r="I928" s="420">
        <v>395.04</v>
      </c>
      <c r="J928" s="420">
        <f t="shared" si="270"/>
        <v>395.04</v>
      </c>
      <c r="K928" s="421">
        <f t="shared" si="267"/>
        <v>469.35</v>
      </c>
      <c r="L928" s="647" t="s">
        <v>177</v>
      </c>
      <c r="M928" s="576"/>
      <c r="N928" s="576">
        <f t="shared" si="269"/>
        <v>0</v>
      </c>
      <c r="O928" s="577">
        <f t="shared" si="262"/>
        <v>0</v>
      </c>
      <c r="P928" s="578">
        <f t="shared" si="263"/>
        <v>0</v>
      </c>
      <c r="Q928" s="765"/>
      <c r="R928" s="576">
        <f t="shared" si="259"/>
        <v>0</v>
      </c>
      <c r="S928" s="576">
        <f t="shared" si="259"/>
        <v>0</v>
      </c>
      <c r="T928" s="577">
        <f t="shared" si="260"/>
        <v>0</v>
      </c>
      <c r="U928" s="578">
        <f t="shared" si="261"/>
        <v>0</v>
      </c>
      <c r="V928" s="579"/>
      <c r="W928" s="566"/>
      <c r="X928" s="586" t="str">
        <f t="shared" si="265"/>
        <v/>
      </c>
      <c r="Y928" s="586" t="str">
        <f t="shared" si="258"/>
        <v/>
      </c>
      <c r="Z928" s="586" t="str">
        <f t="shared" si="268"/>
        <v/>
      </c>
    </row>
    <row r="929" spans="1:26" ht="12" hidden="1" thickBot="1" x14ac:dyDescent="0.25">
      <c r="A929" s="567" t="s">
        <v>553</v>
      </c>
      <c r="B929" s="644" t="s">
        <v>553</v>
      </c>
      <c r="C929" s="645" t="s">
        <v>458</v>
      </c>
      <c r="D929" s="422" t="s">
        <v>2008</v>
      </c>
      <c r="E929" s="423"/>
      <c r="F929" s="424"/>
      <c r="G929" s="425"/>
      <c r="H929" s="651"/>
      <c r="I929" s="420">
        <v>157.94999999999999</v>
      </c>
      <c r="J929" s="420">
        <f t="shared" si="270"/>
        <v>157.94999999999999</v>
      </c>
      <c r="K929" s="421">
        <f t="shared" si="267"/>
        <v>187.66</v>
      </c>
      <c r="L929" s="647" t="s">
        <v>177</v>
      </c>
      <c r="M929" s="576"/>
      <c r="N929" s="576">
        <f t="shared" si="269"/>
        <v>0</v>
      </c>
      <c r="O929" s="577">
        <f t="shared" si="262"/>
        <v>0</v>
      </c>
      <c r="P929" s="578">
        <f t="shared" si="263"/>
        <v>0</v>
      </c>
      <c r="Q929" s="765"/>
      <c r="R929" s="576">
        <f t="shared" si="259"/>
        <v>0</v>
      </c>
      <c r="S929" s="576">
        <f t="shared" si="259"/>
        <v>0</v>
      </c>
      <c r="T929" s="577">
        <f t="shared" si="260"/>
        <v>0</v>
      </c>
      <c r="U929" s="578">
        <f t="shared" si="261"/>
        <v>0</v>
      </c>
      <c r="V929" s="579"/>
      <c r="W929" s="566"/>
      <c r="X929" s="586" t="str">
        <f t="shared" si="265"/>
        <v/>
      </c>
      <c r="Y929" s="586" t="str">
        <f t="shared" si="258"/>
        <v/>
      </c>
      <c r="Z929" s="586" t="str">
        <f t="shared" si="268"/>
        <v/>
      </c>
    </row>
    <row r="930" spans="1:26" ht="12" hidden="1" thickBot="1" x14ac:dyDescent="0.25">
      <c r="A930" s="567">
        <v>793</v>
      </c>
      <c r="B930" s="644">
        <v>793</v>
      </c>
      <c r="C930" s="645" t="s">
        <v>458</v>
      </c>
      <c r="D930" s="422" t="s">
        <v>2009</v>
      </c>
      <c r="E930" s="423"/>
      <c r="F930" s="424"/>
      <c r="G930" s="425"/>
      <c r="H930" s="651"/>
      <c r="I930" s="420">
        <v>504.33</v>
      </c>
      <c r="J930" s="420">
        <f t="shared" si="270"/>
        <v>504.33</v>
      </c>
      <c r="K930" s="421">
        <f t="shared" si="267"/>
        <v>599.19000000000005</v>
      </c>
      <c r="L930" s="647" t="s">
        <v>177</v>
      </c>
      <c r="M930" s="576"/>
      <c r="N930" s="576">
        <f t="shared" si="269"/>
        <v>0</v>
      </c>
      <c r="O930" s="577">
        <f t="shared" si="262"/>
        <v>0</v>
      </c>
      <c r="P930" s="578">
        <f t="shared" si="263"/>
        <v>0</v>
      </c>
      <c r="Q930" s="765"/>
      <c r="R930" s="576">
        <f t="shared" si="259"/>
        <v>0</v>
      </c>
      <c r="S930" s="576">
        <f t="shared" si="259"/>
        <v>0</v>
      </c>
      <c r="T930" s="577">
        <f t="shared" si="260"/>
        <v>0</v>
      </c>
      <c r="U930" s="578">
        <f t="shared" si="261"/>
        <v>0</v>
      </c>
      <c r="V930" s="579"/>
      <c r="W930" s="566"/>
      <c r="X930" s="586" t="str">
        <f t="shared" si="265"/>
        <v/>
      </c>
      <c r="Y930" s="586" t="str">
        <f t="shared" si="258"/>
        <v/>
      </c>
      <c r="Z930" s="586" t="str">
        <f t="shared" si="268"/>
        <v/>
      </c>
    </row>
    <row r="931" spans="1:26" ht="12" hidden="1" thickBot="1" x14ac:dyDescent="0.25">
      <c r="A931" s="567" t="s">
        <v>564</v>
      </c>
      <c r="B931" s="644" t="s">
        <v>564</v>
      </c>
      <c r="C931" s="645" t="s">
        <v>458</v>
      </c>
      <c r="D931" s="422" t="s">
        <v>2010</v>
      </c>
      <c r="E931" s="423"/>
      <c r="F931" s="424"/>
      <c r="G931" s="425"/>
      <c r="H931" s="651"/>
      <c r="I931" s="420">
        <v>202.14</v>
      </c>
      <c r="J931" s="420">
        <f t="shared" si="270"/>
        <v>202.14</v>
      </c>
      <c r="K931" s="421">
        <f t="shared" si="267"/>
        <v>240.16</v>
      </c>
      <c r="L931" s="647" t="s">
        <v>177</v>
      </c>
      <c r="M931" s="576"/>
      <c r="N931" s="576">
        <f t="shared" si="269"/>
        <v>0</v>
      </c>
      <c r="O931" s="577">
        <f t="shared" si="262"/>
        <v>0</v>
      </c>
      <c r="P931" s="578">
        <f t="shared" si="263"/>
        <v>0</v>
      </c>
      <c r="Q931" s="765"/>
      <c r="R931" s="576">
        <f t="shared" si="259"/>
        <v>0</v>
      </c>
      <c r="S931" s="576">
        <f t="shared" si="259"/>
        <v>0</v>
      </c>
      <c r="T931" s="577">
        <f t="shared" si="260"/>
        <v>0</v>
      </c>
      <c r="U931" s="578">
        <f t="shared" si="261"/>
        <v>0</v>
      </c>
      <c r="V931" s="579"/>
      <c r="W931" s="566"/>
      <c r="X931" s="586" t="str">
        <f t="shared" si="265"/>
        <v/>
      </c>
      <c r="Y931" s="586" t="str">
        <f t="shared" ref="Y931:Y994" si="271">IF(W931="X","x",IF(W931="y","x",IF(W931="xx","x",IF(U931&gt;0,"x",""))))</f>
        <v/>
      </c>
      <c r="Z931" s="586" t="str">
        <f t="shared" si="268"/>
        <v/>
      </c>
    </row>
    <row r="932" spans="1:26" ht="12" hidden="1" thickBot="1" x14ac:dyDescent="0.25">
      <c r="A932" s="567">
        <v>794</v>
      </c>
      <c r="B932" s="644">
        <v>794</v>
      </c>
      <c r="C932" s="645" t="s">
        <v>458</v>
      </c>
      <c r="D932" s="422" t="s">
        <v>2011</v>
      </c>
      <c r="E932" s="423"/>
      <c r="F932" s="424"/>
      <c r="G932" s="425"/>
      <c r="H932" s="651"/>
      <c r="I932" s="420">
        <v>516.32000000000005</v>
      </c>
      <c r="J932" s="420">
        <f t="shared" si="270"/>
        <v>516.32000000000005</v>
      </c>
      <c r="K932" s="421">
        <f t="shared" si="267"/>
        <v>613.44000000000005</v>
      </c>
      <c r="L932" s="647" t="s">
        <v>177</v>
      </c>
      <c r="M932" s="576"/>
      <c r="N932" s="576">
        <f t="shared" si="269"/>
        <v>0</v>
      </c>
      <c r="O932" s="577">
        <f t="shared" si="262"/>
        <v>0</v>
      </c>
      <c r="P932" s="578">
        <f t="shared" si="263"/>
        <v>0</v>
      </c>
      <c r="Q932" s="765"/>
      <c r="R932" s="576">
        <f t="shared" si="259"/>
        <v>0</v>
      </c>
      <c r="S932" s="576">
        <f t="shared" si="259"/>
        <v>0</v>
      </c>
      <c r="T932" s="577">
        <f t="shared" si="260"/>
        <v>0</v>
      </c>
      <c r="U932" s="578">
        <f t="shared" si="261"/>
        <v>0</v>
      </c>
      <c r="V932" s="579"/>
      <c r="W932" s="566"/>
      <c r="X932" s="586" t="str">
        <f t="shared" si="265"/>
        <v/>
      </c>
      <c r="Y932" s="586" t="str">
        <f t="shared" si="271"/>
        <v/>
      </c>
      <c r="Z932" s="586" t="str">
        <f t="shared" si="268"/>
        <v/>
      </c>
    </row>
    <row r="933" spans="1:26" ht="12" hidden="1" thickBot="1" x14ac:dyDescent="0.25">
      <c r="A933" s="567" t="s">
        <v>551</v>
      </c>
      <c r="B933" s="644" t="s">
        <v>551</v>
      </c>
      <c r="C933" s="645" t="s">
        <v>458</v>
      </c>
      <c r="D933" s="422" t="s">
        <v>556</v>
      </c>
      <c r="E933" s="423"/>
      <c r="F933" s="424"/>
      <c r="G933" s="425"/>
      <c r="H933" s="651"/>
      <c r="I933" s="420">
        <v>206.6</v>
      </c>
      <c r="J933" s="420">
        <f t="shared" si="270"/>
        <v>206.6</v>
      </c>
      <c r="K933" s="421">
        <f t="shared" si="267"/>
        <v>245.46</v>
      </c>
      <c r="L933" s="647" t="s">
        <v>177</v>
      </c>
      <c r="M933" s="576"/>
      <c r="N933" s="576">
        <f t="shared" si="269"/>
        <v>0</v>
      </c>
      <c r="O933" s="577">
        <f t="shared" si="262"/>
        <v>0</v>
      </c>
      <c r="P933" s="578">
        <f t="shared" si="263"/>
        <v>0</v>
      </c>
      <c r="Q933" s="765"/>
      <c r="R933" s="576">
        <f t="shared" si="259"/>
        <v>0</v>
      </c>
      <c r="S933" s="576">
        <f t="shared" si="259"/>
        <v>0</v>
      </c>
      <c r="T933" s="577">
        <f t="shared" si="260"/>
        <v>0</v>
      </c>
      <c r="U933" s="578">
        <f t="shared" si="261"/>
        <v>0</v>
      </c>
      <c r="V933" s="579"/>
      <c r="W933" s="566"/>
      <c r="X933" s="586" t="str">
        <f t="shared" si="265"/>
        <v/>
      </c>
      <c r="Y933" s="586" t="str">
        <f t="shared" si="271"/>
        <v/>
      </c>
      <c r="Z933" s="586" t="str">
        <f t="shared" si="268"/>
        <v/>
      </c>
    </row>
    <row r="934" spans="1:26" ht="12" hidden="1" thickBot="1" x14ac:dyDescent="0.25">
      <c r="A934" s="567">
        <v>795</v>
      </c>
      <c r="B934" s="644">
        <v>795</v>
      </c>
      <c r="C934" s="645" t="s">
        <v>458</v>
      </c>
      <c r="D934" s="422" t="s">
        <v>2012</v>
      </c>
      <c r="E934" s="423"/>
      <c r="F934" s="424"/>
      <c r="G934" s="425"/>
      <c r="H934" s="651"/>
      <c r="I934" s="420">
        <v>1527.72</v>
      </c>
      <c r="J934" s="420">
        <f t="shared" si="270"/>
        <v>1527.72</v>
      </c>
      <c r="K934" s="421">
        <f t="shared" si="267"/>
        <v>1815.08</v>
      </c>
      <c r="L934" s="647" t="s">
        <v>177</v>
      </c>
      <c r="M934" s="576"/>
      <c r="N934" s="576">
        <f t="shared" si="269"/>
        <v>0</v>
      </c>
      <c r="O934" s="577">
        <f t="shared" si="262"/>
        <v>0</v>
      </c>
      <c r="P934" s="578">
        <f t="shared" si="263"/>
        <v>0</v>
      </c>
      <c r="Q934" s="765"/>
      <c r="R934" s="576">
        <f t="shared" si="259"/>
        <v>0</v>
      </c>
      <c r="S934" s="576">
        <f t="shared" si="259"/>
        <v>0</v>
      </c>
      <c r="T934" s="577">
        <f t="shared" si="260"/>
        <v>0</v>
      </c>
      <c r="U934" s="578">
        <f t="shared" si="261"/>
        <v>0</v>
      </c>
      <c r="V934" s="579"/>
      <c r="W934" s="566"/>
      <c r="X934" s="586" t="str">
        <f t="shared" si="265"/>
        <v/>
      </c>
      <c r="Y934" s="586" t="str">
        <f t="shared" si="271"/>
        <v/>
      </c>
      <c r="Z934" s="586" t="str">
        <f t="shared" si="268"/>
        <v/>
      </c>
    </row>
    <row r="935" spans="1:26" ht="12" hidden="1" thickBot="1" x14ac:dyDescent="0.25">
      <c r="A935" s="567" t="s">
        <v>552</v>
      </c>
      <c r="B935" s="644" t="s">
        <v>552</v>
      </c>
      <c r="C935" s="645" t="s">
        <v>458</v>
      </c>
      <c r="D935" s="422" t="s">
        <v>557</v>
      </c>
      <c r="E935" s="423"/>
      <c r="F935" s="424"/>
      <c r="G935" s="425"/>
      <c r="H935" s="651"/>
      <c r="I935" s="420">
        <v>611.23</v>
      </c>
      <c r="J935" s="420">
        <f t="shared" si="270"/>
        <v>611.23</v>
      </c>
      <c r="K935" s="421">
        <f t="shared" si="267"/>
        <v>726.2</v>
      </c>
      <c r="L935" s="647" t="s">
        <v>177</v>
      </c>
      <c r="M935" s="576"/>
      <c r="N935" s="576">
        <f t="shared" si="269"/>
        <v>0</v>
      </c>
      <c r="O935" s="577">
        <f t="shared" si="262"/>
        <v>0</v>
      </c>
      <c r="P935" s="578">
        <f t="shared" si="263"/>
        <v>0</v>
      </c>
      <c r="Q935" s="765"/>
      <c r="R935" s="576">
        <f t="shared" si="259"/>
        <v>0</v>
      </c>
      <c r="S935" s="576">
        <f t="shared" si="259"/>
        <v>0</v>
      </c>
      <c r="T935" s="577">
        <f t="shared" si="260"/>
        <v>0</v>
      </c>
      <c r="U935" s="578">
        <f t="shared" si="261"/>
        <v>0</v>
      </c>
      <c r="V935" s="579"/>
      <c r="W935" s="566"/>
      <c r="X935" s="586" t="str">
        <f t="shared" si="265"/>
        <v/>
      </c>
      <c r="Y935" s="586" t="str">
        <f t="shared" si="271"/>
        <v/>
      </c>
      <c r="Z935" s="586" t="str">
        <f t="shared" si="268"/>
        <v/>
      </c>
    </row>
    <row r="936" spans="1:26" ht="12" hidden="1" thickBot="1" x14ac:dyDescent="0.25">
      <c r="A936" s="567">
        <v>796</v>
      </c>
      <c r="B936" s="644">
        <v>796</v>
      </c>
      <c r="C936" s="645" t="s">
        <v>458</v>
      </c>
      <c r="D936" s="422" t="s">
        <v>2013</v>
      </c>
      <c r="E936" s="423"/>
      <c r="F936" s="424"/>
      <c r="G936" s="425"/>
      <c r="H936" s="651"/>
      <c r="I936" s="420">
        <v>8.57</v>
      </c>
      <c r="J936" s="420">
        <f t="shared" si="270"/>
        <v>8.57</v>
      </c>
      <c r="K936" s="421">
        <f t="shared" si="267"/>
        <v>10.18</v>
      </c>
      <c r="L936" s="647" t="s">
        <v>19</v>
      </c>
      <c r="M936" s="576"/>
      <c r="N936" s="576">
        <f t="shared" si="269"/>
        <v>0</v>
      </c>
      <c r="O936" s="577">
        <f t="shared" si="262"/>
        <v>0</v>
      </c>
      <c r="P936" s="578">
        <f t="shared" si="263"/>
        <v>0</v>
      </c>
      <c r="Q936" s="765"/>
      <c r="R936" s="576">
        <f t="shared" si="259"/>
        <v>0</v>
      </c>
      <c r="S936" s="576">
        <f t="shared" si="259"/>
        <v>0</v>
      </c>
      <c r="T936" s="577">
        <f t="shared" si="260"/>
        <v>0</v>
      </c>
      <c r="U936" s="578">
        <f t="shared" si="261"/>
        <v>0</v>
      </c>
      <c r="V936" s="579"/>
      <c r="W936" s="566"/>
      <c r="X936" s="586" t="str">
        <f t="shared" si="265"/>
        <v/>
      </c>
      <c r="Y936" s="586" t="str">
        <f t="shared" si="271"/>
        <v/>
      </c>
      <c r="Z936" s="586" t="str">
        <f t="shared" si="268"/>
        <v/>
      </c>
    </row>
    <row r="937" spans="1:26" ht="12" hidden="1" thickBot="1" x14ac:dyDescent="0.25">
      <c r="A937" s="567" t="s">
        <v>554</v>
      </c>
      <c r="B937" s="644" t="s">
        <v>554</v>
      </c>
      <c r="C937" s="645" t="s">
        <v>458</v>
      </c>
      <c r="D937" s="422" t="s">
        <v>558</v>
      </c>
      <c r="E937" s="423"/>
      <c r="F937" s="424"/>
      <c r="G937" s="425"/>
      <c r="H937" s="651"/>
      <c r="I937" s="420">
        <v>3.43</v>
      </c>
      <c r="J937" s="420">
        <f t="shared" si="270"/>
        <v>3.43</v>
      </c>
      <c r="K937" s="421">
        <f t="shared" si="267"/>
        <v>4.08</v>
      </c>
      <c r="L937" s="647" t="s">
        <v>19</v>
      </c>
      <c r="M937" s="576"/>
      <c r="N937" s="576">
        <f t="shared" si="269"/>
        <v>0</v>
      </c>
      <c r="O937" s="577">
        <f t="shared" si="262"/>
        <v>0</v>
      </c>
      <c r="P937" s="578">
        <f t="shared" si="263"/>
        <v>0</v>
      </c>
      <c r="Q937" s="765"/>
      <c r="R937" s="576">
        <f t="shared" si="259"/>
        <v>0</v>
      </c>
      <c r="S937" s="576">
        <f t="shared" si="259"/>
        <v>0</v>
      </c>
      <c r="T937" s="577">
        <f t="shared" si="260"/>
        <v>0</v>
      </c>
      <c r="U937" s="578">
        <f t="shared" si="261"/>
        <v>0</v>
      </c>
      <c r="V937" s="579"/>
      <c r="W937" s="566"/>
      <c r="X937" s="586" t="str">
        <f t="shared" si="265"/>
        <v/>
      </c>
      <c r="Y937" s="586" t="str">
        <f t="shared" si="271"/>
        <v/>
      </c>
      <c r="Z937" s="586" t="str">
        <f t="shared" si="268"/>
        <v/>
      </c>
    </row>
    <row r="938" spans="1:26" ht="12" hidden="1" thickBot="1" x14ac:dyDescent="0.25">
      <c r="A938" s="567">
        <v>867</v>
      </c>
      <c r="B938" s="644">
        <v>867</v>
      </c>
      <c r="C938" s="645" t="s">
        <v>458</v>
      </c>
      <c r="D938" s="422" t="s">
        <v>2014</v>
      </c>
      <c r="E938" s="423"/>
      <c r="F938" s="424"/>
      <c r="G938" s="425"/>
      <c r="H938" s="651"/>
      <c r="I938" s="420">
        <v>11.99</v>
      </c>
      <c r="J938" s="420">
        <f t="shared" si="270"/>
        <v>11.99</v>
      </c>
      <c r="K938" s="421">
        <f t="shared" si="267"/>
        <v>14.25</v>
      </c>
      <c r="L938" s="647" t="s">
        <v>21</v>
      </c>
      <c r="M938" s="576"/>
      <c r="N938" s="576">
        <f t="shared" si="269"/>
        <v>0</v>
      </c>
      <c r="O938" s="577">
        <f t="shared" si="262"/>
        <v>0</v>
      </c>
      <c r="P938" s="578">
        <f t="shared" si="263"/>
        <v>0</v>
      </c>
      <c r="Q938" s="765"/>
      <c r="R938" s="576">
        <f t="shared" si="259"/>
        <v>0</v>
      </c>
      <c r="S938" s="576">
        <f t="shared" si="259"/>
        <v>0</v>
      </c>
      <c r="T938" s="577">
        <f t="shared" si="260"/>
        <v>0</v>
      </c>
      <c r="U938" s="578">
        <f t="shared" si="261"/>
        <v>0</v>
      </c>
      <c r="V938" s="579"/>
      <c r="W938" s="566"/>
      <c r="X938" s="586" t="str">
        <f t="shared" si="265"/>
        <v/>
      </c>
      <c r="Y938" s="586" t="str">
        <f t="shared" si="271"/>
        <v/>
      </c>
      <c r="Z938" s="586" t="str">
        <f t="shared" si="268"/>
        <v/>
      </c>
    </row>
    <row r="939" spans="1:26" ht="12" hidden="1" thickBot="1" x14ac:dyDescent="0.25">
      <c r="A939" s="567" t="s">
        <v>555</v>
      </c>
      <c r="B939" s="644" t="s">
        <v>555</v>
      </c>
      <c r="C939" s="645" t="s">
        <v>458</v>
      </c>
      <c r="D939" s="422" t="s">
        <v>559</v>
      </c>
      <c r="E939" s="423"/>
      <c r="F939" s="424"/>
      <c r="G939" s="425"/>
      <c r="H939" s="651"/>
      <c r="I939" s="420">
        <v>4.8</v>
      </c>
      <c r="J939" s="420">
        <f t="shared" si="270"/>
        <v>4.8</v>
      </c>
      <c r="K939" s="421">
        <f t="shared" si="267"/>
        <v>5.7</v>
      </c>
      <c r="L939" s="647" t="s">
        <v>21</v>
      </c>
      <c r="M939" s="576"/>
      <c r="N939" s="576">
        <f t="shared" si="269"/>
        <v>0</v>
      </c>
      <c r="O939" s="577">
        <f t="shared" si="262"/>
        <v>0</v>
      </c>
      <c r="P939" s="578">
        <f t="shared" si="263"/>
        <v>0</v>
      </c>
      <c r="Q939" s="765"/>
      <c r="R939" s="576">
        <f t="shared" si="259"/>
        <v>0</v>
      </c>
      <c r="S939" s="576">
        <f t="shared" si="259"/>
        <v>0</v>
      </c>
      <c r="T939" s="577">
        <f t="shared" si="260"/>
        <v>0</v>
      </c>
      <c r="U939" s="578">
        <f t="shared" si="261"/>
        <v>0</v>
      </c>
      <c r="V939" s="579"/>
      <c r="W939" s="566"/>
      <c r="X939" s="586" t="str">
        <f t="shared" si="265"/>
        <v/>
      </c>
      <c r="Y939" s="586" t="str">
        <f t="shared" si="271"/>
        <v/>
      </c>
      <c r="Z939" s="586" t="str">
        <f t="shared" si="268"/>
        <v/>
      </c>
    </row>
    <row r="940" spans="1:26" ht="12" hidden="1" thickBot="1" x14ac:dyDescent="0.25">
      <c r="A940" s="567">
        <v>801</v>
      </c>
      <c r="B940" s="644">
        <v>801</v>
      </c>
      <c r="C940" s="645" t="s">
        <v>458</v>
      </c>
      <c r="D940" s="422" t="s">
        <v>2015</v>
      </c>
      <c r="E940" s="423"/>
      <c r="F940" s="424"/>
      <c r="G940" s="425"/>
      <c r="H940" s="651"/>
      <c r="I940" s="420">
        <v>12.68</v>
      </c>
      <c r="J940" s="420">
        <f t="shared" si="270"/>
        <v>12.68</v>
      </c>
      <c r="K940" s="421">
        <f t="shared" si="267"/>
        <v>15.07</v>
      </c>
      <c r="L940" s="647" t="s">
        <v>21</v>
      </c>
      <c r="M940" s="576"/>
      <c r="N940" s="576">
        <f t="shared" si="269"/>
        <v>0</v>
      </c>
      <c r="O940" s="577">
        <f t="shared" si="262"/>
        <v>0</v>
      </c>
      <c r="P940" s="578">
        <f t="shared" si="263"/>
        <v>0</v>
      </c>
      <c r="Q940" s="765"/>
      <c r="R940" s="576">
        <f t="shared" si="259"/>
        <v>0</v>
      </c>
      <c r="S940" s="576">
        <f t="shared" si="259"/>
        <v>0</v>
      </c>
      <c r="T940" s="577">
        <f t="shared" si="260"/>
        <v>0</v>
      </c>
      <c r="U940" s="578">
        <f t="shared" si="261"/>
        <v>0</v>
      </c>
      <c r="V940" s="579"/>
      <c r="W940" s="566"/>
      <c r="X940" s="586" t="str">
        <f t="shared" si="265"/>
        <v/>
      </c>
      <c r="Y940" s="586" t="str">
        <f t="shared" si="271"/>
        <v/>
      </c>
      <c r="Z940" s="586" t="str">
        <f t="shared" si="268"/>
        <v/>
      </c>
    </row>
    <row r="941" spans="1:26" ht="12" hidden="1" thickBot="1" x14ac:dyDescent="0.25">
      <c r="A941" s="567">
        <v>813</v>
      </c>
      <c r="B941" s="644">
        <v>813</v>
      </c>
      <c r="C941" s="645" t="s">
        <v>458</v>
      </c>
      <c r="D941" s="422" t="s">
        <v>2016</v>
      </c>
      <c r="E941" s="423"/>
      <c r="F941" s="424"/>
      <c r="G941" s="425"/>
      <c r="H941" s="651"/>
      <c r="I941" s="420">
        <v>26.72</v>
      </c>
      <c r="J941" s="420">
        <f>IF(ISBLANK(I941),"",SUM(H941:I941))</f>
        <v>26.72</v>
      </c>
      <c r="K941" s="421">
        <f t="shared" si="267"/>
        <v>31.75</v>
      </c>
      <c r="L941" s="647" t="s">
        <v>21</v>
      </c>
      <c r="M941" s="576"/>
      <c r="N941" s="576">
        <f t="shared" si="269"/>
        <v>0</v>
      </c>
      <c r="O941" s="577">
        <f t="shared" si="262"/>
        <v>0</v>
      </c>
      <c r="P941" s="578">
        <f t="shared" si="263"/>
        <v>0</v>
      </c>
      <c r="Q941" s="765"/>
      <c r="R941" s="576">
        <f t="shared" si="259"/>
        <v>0</v>
      </c>
      <c r="S941" s="576">
        <f t="shared" si="259"/>
        <v>0</v>
      </c>
      <c r="T941" s="577">
        <f t="shared" si="260"/>
        <v>0</v>
      </c>
      <c r="U941" s="578">
        <f t="shared" si="261"/>
        <v>0</v>
      </c>
      <c r="V941" s="579"/>
      <c r="W941" s="566"/>
      <c r="X941" s="586" t="str">
        <f t="shared" si="265"/>
        <v/>
      </c>
      <c r="Y941" s="586" t="str">
        <f t="shared" si="271"/>
        <v/>
      </c>
      <c r="Z941" s="586" t="str">
        <f t="shared" si="268"/>
        <v/>
      </c>
    </row>
    <row r="942" spans="1:26" ht="12" hidden="1" thickBot="1" x14ac:dyDescent="0.25">
      <c r="A942" s="567" t="s">
        <v>560</v>
      </c>
      <c r="B942" s="644" t="s">
        <v>560</v>
      </c>
      <c r="C942" s="645" t="s">
        <v>458</v>
      </c>
      <c r="D942" s="422" t="s">
        <v>2017</v>
      </c>
      <c r="E942" s="423"/>
      <c r="F942" s="424"/>
      <c r="G942" s="425"/>
      <c r="H942" s="651"/>
      <c r="I942" s="420">
        <v>10.62</v>
      </c>
      <c r="J942" s="420">
        <f>IF(ISBLANK(I942),"",SUM(H942:I942))</f>
        <v>10.62</v>
      </c>
      <c r="K942" s="421">
        <f t="shared" si="267"/>
        <v>12.62</v>
      </c>
      <c r="L942" s="647" t="s">
        <v>21</v>
      </c>
      <c r="M942" s="576"/>
      <c r="N942" s="576">
        <f t="shared" si="269"/>
        <v>0</v>
      </c>
      <c r="O942" s="577">
        <f t="shared" si="262"/>
        <v>0</v>
      </c>
      <c r="P942" s="578">
        <f t="shared" si="263"/>
        <v>0</v>
      </c>
      <c r="Q942" s="765"/>
      <c r="R942" s="576">
        <f t="shared" si="259"/>
        <v>0</v>
      </c>
      <c r="S942" s="576">
        <f t="shared" si="259"/>
        <v>0</v>
      </c>
      <c r="T942" s="577">
        <f t="shared" si="260"/>
        <v>0</v>
      </c>
      <c r="U942" s="578">
        <f t="shared" si="261"/>
        <v>0</v>
      </c>
      <c r="V942" s="579"/>
      <c r="W942" s="566"/>
      <c r="X942" s="586" t="str">
        <f t="shared" si="265"/>
        <v/>
      </c>
      <c r="Y942" s="586" t="str">
        <f t="shared" si="271"/>
        <v/>
      </c>
      <c r="Z942" s="586" t="str">
        <f t="shared" si="268"/>
        <v/>
      </c>
    </row>
    <row r="943" spans="1:26" ht="12" hidden="1" thickBot="1" x14ac:dyDescent="0.25">
      <c r="A943" s="567">
        <v>811</v>
      </c>
      <c r="B943" s="644">
        <v>811</v>
      </c>
      <c r="C943" s="645" t="s">
        <v>458</v>
      </c>
      <c r="D943" s="422" t="s">
        <v>2018</v>
      </c>
      <c r="E943" s="423"/>
      <c r="F943" s="424"/>
      <c r="G943" s="425"/>
      <c r="H943" s="651"/>
      <c r="I943" s="420">
        <v>13.02</v>
      </c>
      <c r="J943" s="420">
        <f t="shared" ref="J943:J966" si="272">IF(ISBLANK(I943),"",SUM(H943:I943))</f>
        <v>13.02</v>
      </c>
      <c r="K943" s="421">
        <f t="shared" si="267"/>
        <v>15.47</v>
      </c>
      <c r="L943" s="647" t="s">
        <v>21</v>
      </c>
      <c r="M943" s="576"/>
      <c r="N943" s="576">
        <f t="shared" si="269"/>
        <v>0</v>
      </c>
      <c r="O943" s="577">
        <f t="shared" si="262"/>
        <v>0</v>
      </c>
      <c r="P943" s="578">
        <f t="shared" si="263"/>
        <v>0</v>
      </c>
      <c r="Q943" s="765"/>
      <c r="R943" s="576">
        <f t="shared" si="259"/>
        <v>0</v>
      </c>
      <c r="S943" s="576">
        <f t="shared" si="259"/>
        <v>0</v>
      </c>
      <c r="T943" s="577">
        <f t="shared" si="260"/>
        <v>0</v>
      </c>
      <c r="U943" s="578">
        <f t="shared" si="261"/>
        <v>0</v>
      </c>
      <c r="V943" s="579"/>
      <c r="W943" s="566"/>
      <c r="X943" s="586" t="str">
        <f t="shared" si="265"/>
        <v/>
      </c>
      <c r="Y943" s="586" t="str">
        <f t="shared" si="271"/>
        <v/>
      </c>
      <c r="Z943" s="586" t="str">
        <f t="shared" si="268"/>
        <v/>
      </c>
    </row>
    <row r="944" spans="1:26" ht="12" hidden="1" thickBot="1" x14ac:dyDescent="0.25">
      <c r="A944" s="567">
        <v>814</v>
      </c>
      <c r="B944" s="644">
        <v>814</v>
      </c>
      <c r="C944" s="645" t="s">
        <v>458</v>
      </c>
      <c r="D944" s="422" t="s">
        <v>2019</v>
      </c>
      <c r="E944" s="423"/>
      <c r="F944" s="424"/>
      <c r="G944" s="425"/>
      <c r="H944" s="651"/>
      <c r="I944" s="420">
        <v>34.6</v>
      </c>
      <c r="J944" s="420">
        <f t="shared" si="272"/>
        <v>34.6</v>
      </c>
      <c r="K944" s="421">
        <f t="shared" si="267"/>
        <v>41.11</v>
      </c>
      <c r="L944" s="647" t="s">
        <v>21</v>
      </c>
      <c r="M944" s="576"/>
      <c r="N944" s="576">
        <f t="shared" si="269"/>
        <v>0</v>
      </c>
      <c r="O944" s="577">
        <f t="shared" si="262"/>
        <v>0</v>
      </c>
      <c r="P944" s="578">
        <f t="shared" si="263"/>
        <v>0</v>
      </c>
      <c r="Q944" s="765"/>
      <c r="R944" s="576">
        <f t="shared" si="259"/>
        <v>0</v>
      </c>
      <c r="S944" s="576">
        <f t="shared" si="259"/>
        <v>0</v>
      </c>
      <c r="T944" s="577">
        <f t="shared" si="260"/>
        <v>0</v>
      </c>
      <c r="U944" s="578">
        <f t="shared" si="261"/>
        <v>0</v>
      </c>
      <c r="V944" s="579"/>
      <c r="W944" s="566"/>
      <c r="X944" s="586" t="str">
        <f t="shared" si="265"/>
        <v/>
      </c>
      <c r="Y944" s="586" t="str">
        <f t="shared" si="271"/>
        <v/>
      </c>
      <c r="Z944" s="586" t="str">
        <f t="shared" si="268"/>
        <v/>
      </c>
    </row>
    <row r="945" spans="1:26" ht="12" hidden="1" thickBot="1" x14ac:dyDescent="0.25">
      <c r="A945" s="567">
        <v>815</v>
      </c>
      <c r="B945" s="644">
        <v>815</v>
      </c>
      <c r="C945" s="645" t="s">
        <v>458</v>
      </c>
      <c r="D945" s="422" t="s">
        <v>2020</v>
      </c>
      <c r="E945" s="423"/>
      <c r="F945" s="424"/>
      <c r="G945" s="425"/>
      <c r="H945" s="651"/>
      <c r="I945" s="420">
        <v>60.64</v>
      </c>
      <c r="J945" s="420">
        <f t="shared" si="272"/>
        <v>60.64</v>
      </c>
      <c r="K945" s="421">
        <f t="shared" si="267"/>
        <v>72.05</v>
      </c>
      <c r="L945" s="647" t="s">
        <v>21</v>
      </c>
      <c r="M945" s="576"/>
      <c r="N945" s="576">
        <f t="shared" si="269"/>
        <v>0</v>
      </c>
      <c r="O945" s="577">
        <f t="shared" si="262"/>
        <v>0</v>
      </c>
      <c r="P945" s="578">
        <f t="shared" si="263"/>
        <v>0</v>
      </c>
      <c r="Q945" s="765"/>
      <c r="R945" s="576">
        <f t="shared" si="259"/>
        <v>0</v>
      </c>
      <c r="S945" s="576">
        <f t="shared" si="259"/>
        <v>0</v>
      </c>
      <c r="T945" s="577">
        <f t="shared" si="260"/>
        <v>0</v>
      </c>
      <c r="U945" s="578">
        <f t="shared" si="261"/>
        <v>0</v>
      </c>
      <c r="V945" s="579"/>
      <c r="W945" s="566"/>
      <c r="X945" s="586" t="str">
        <f t="shared" si="265"/>
        <v/>
      </c>
      <c r="Y945" s="586" t="str">
        <f t="shared" si="271"/>
        <v/>
      </c>
      <c r="Z945" s="586" t="str">
        <f t="shared" si="268"/>
        <v/>
      </c>
    </row>
    <row r="946" spans="1:26" ht="12" hidden="1" thickBot="1" x14ac:dyDescent="0.25">
      <c r="A946" s="567">
        <v>816</v>
      </c>
      <c r="B946" s="644">
        <v>816</v>
      </c>
      <c r="C946" s="645" t="s">
        <v>458</v>
      </c>
      <c r="D946" s="422" t="s">
        <v>2021</v>
      </c>
      <c r="E946" s="423"/>
      <c r="F946" s="424"/>
      <c r="G946" s="425"/>
      <c r="H946" s="651"/>
      <c r="I946" s="420">
        <v>28.78</v>
      </c>
      <c r="J946" s="420">
        <f t="shared" si="272"/>
        <v>28.78</v>
      </c>
      <c r="K946" s="421">
        <f t="shared" si="267"/>
        <v>34.19</v>
      </c>
      <c r="L946" s="647" t="s">
        <v>21</v>
      </c>
      <c r="M946" s="576"/>
      <c r="N946" s="576">
        <f t="shared" si="269"/>
        <v>0</v>
      </c>
      <c r="O946" s="577">
        <f t="shared" si="262"/>
        <v>0</v>
      </c>
      <c r="P946" s="578">
        <f t="shared" si="263"/>
        <v>0</v>
      </c>
      <c r="Q946" s="765"/>
      <c r="R946" s="576">
        <f t="shared" si="259"/>
        <v>0</v>
      </c>
      <c r="S946" s="576">
        <f t="shared" si="259"/>
        <v>0</v>
      </c>
      <c r="T946" s="577">
        <f t="shared" si="260"/>
        <v>0</v>
      </c>
      <c r="U946" s="578">
        <f t="shared" si="261"/>
        <v>0</v>
      </c>
      <c r="V946" s="579"/>
      <c r="W946" s="566"/>
      <c r="X946" s="586" t="str">
        <f t="shared" si="265"/>
        <v/>
      </c>
      <c r="Y946" s="586" t="str">
        <f t="shared" si="271"/>
        <v/>
      </c>
      <c r="Z946" s="586" t="str">
        <f t="shared" si="268"/>
        <v/>
      </c>
    </row>
    <row r="947" spans="1:26" ht="12" hidden="1" thickBot="1" x14ac:dyDescent="0.25">
      <c r="A947" s="567">
        <v>817</v>
      </c>
      <c r="B947" s="644">
        <v>817</v>
      </c>
      <c r="C947" s="645" t="s">
        <v>458</v>
      </c>
      <c r="D947" s="422" t="s">
        <v>2022</v>
      </c>
      <c r="E947" s="423"/>
      <c r="F947" s="424"/>
      <c r="G947" s="425"/>
      <c r="H947" s="651"/>
      <c r="I947" s="420">
        <v>41.46</v>
      </c>
      <c r="J947" s="420">
        <f t="shared" si="272"/>
        <v>41.46</v>
      </c>
      <c r="K947" s="421">
        <f t="shared" si="267"/>
        <v>49.26</v>
      </c>
      <c r="L947" s="647" t="s">
        <v>21</v>
      </c>
      <c r="M947" s="576"/>
      <c r="N947" s="576">
        <f t="shared" si="269"/>
        <v>0</v>
      </c>
      <c r="O947" s="577">
        <f t="shared" si="262"/>
        <v>0</v>
      </c>
      <c r="P947" s="578">
        <f t="shared" si="263"/>
        <v>0</v>
      </c>
      <c r="Q947" s="765"/>
      <c r="R947" s="576">
        <f t="shared" si="259"/>
        <v>0</v>
      </c>
      <c r="S947" s="576">
        <f t="shared" si="259"/>
        <v>0</v>
      </c>
      <c r="T947" s="577">
        <f t="shared" si="260"/>
        <v>0</v>
      </c>
      <c r="U947" s="578">
        <f t="shared" si="261"/>
        <v>0</v>
      </c>
      <c r="V947" s="579"/>
      <c r="W947" s="566"/>
      <c r="X947" s="586" t="str">
        <f t="shared" si="265"/>
        <v/>
      </c>
      <c r="Y947" s="586" t="str">
        <f t="shared" si="271"/>
        <v/>
      </c>
      <c r="Z947" s="586" t="str">
        <f t="shared" si="268"/>
        <v/>
      </c>
    </row>
    <row r="948" spans="1:26" ht="12" hidden="1" thickBot="1" x14ac:dyDescent="0.25">
      <c r="A948" s="567">
        <v>818</v>
      </c>
      <c r="B948" s="644">
        <v>818</v>
      </c>
      <c r="C948" s="645" t="s">
        <v>458</v>
      </c>
      <c r="D948" s="422" t="s">
        <v>2023</v>
      </c>
      <c r="E948" s="423"/>
      <c r="F948" s="424"/>
      <c r="G948" s="425"/>
      <c r="H948" s="651"/>
      <c r="I948" s="420">
        <v>15.42</v>
      </c>
      <c r="J948" s="420">
        <f t="shared" si="272"/>
        <v>15.42</v>
      </c>
      <c r="K948" s="421">
        <f t="shared" si="267"/>
        <v>18.32</v>
      </c>
      <c r="L948" s="647" t="s">
        <v>21</v>
      </c>
      <c r="M948" s="576"/>
      <c r="N948" s="576">
        <f t="shared" si="269"/>
        <v>0</v>
      </c>
      <c r="O948" s="577">
        <f t="shared" si="262"/>
        <v>0</v>
      </c>
      <c r="P948" s="578">
        <f t="shared" si="263"/>
        <v>0</v>
      </c>
      <c r="Q948" s="765"/>
      <c r="R948" s="576">
        <f t="shared" ref="R948:S1011" si="273">M948</f>
        <v>0</v>
      </c>
      <c r="S948" s="576">
        <f t="shared" si="273"/>
        <v>0</v>
      </c>
      <c r="T948" s="577">
        <f t="shared" ref="T948:T1011" si="274">IF(ISBLANK(R948),0,ROUND(K948*R948,2))</f>
        <v>0</v>
      </c>
      <c r="U948" s="578">
        <f t="shared" ref="U948:U1011" si="275">IF(ISBLANK(R948),0,ROUND(R948*S948,2))</f>
        <v>0</v>
      </c>
      <c r="V948" s="579"/>
      <c r="W948" s="566"/>
      <c r="X948" s="586" t="str">
        <f t="shared" si="265"/>
        <v/>
      </c>
      <c r="Y948" s="586" t="str">
        <f t="shared" si="271"/>
        <v/>
      </c>
      <c r="Z948" s="586" t="str">
        <f t="shared" si="268"/>
        <v/>
      </c>
    </row>
    <row r="949" spans="1:26" ht="12" hidden="1" thickBot="1" x14ac:dyDescent="0.25">
      <c r="A949" s="567">
        <v>819</v>
      </c>
      <c r="B949" s="644">
        <v>819</v>
      </c>
      <c r="C949" s="645" t="s">
        <v>458</v>
      </c>
      <c r="D949" s="422" t="s">
        <v>2024</v>
      </c>
      <c r="E949" s="423"/>
      <c r="F949" s="424"/>
      <c r="G949" s="425"/>
      <c r="H949" s="651"/>
      <c r="I949" s="420">
        <v>23.3</v>
      </c>
      <c r="J949" s="420">
        <f t="shared" si="272"/>
        <v>23.3</v>
      </c>
      <c r="K949" s="421">
        <f t="shared" si="267"/>
        <v>27.68</v>
      </c>
      <c r="L949" s="647" t="s">
        <v>19</v>
      </c>
      <c r="M949" s="576"/>
      <c r="N949" s="576">
        <f t="shared" si="269"/>
        <v>0</v>
      </c>
      <c r="O949" s="577">
        <f t="shared" ref="O949:O1012" si="276">IF(ISBLANK(M949),0,ROUND(K949*M949,2))</f>
        <v>0</v>
      </c>
      <c r="P949" s="578">
        <f t="shared" ref="P949:P1012" si="277">IF(ISBLANK(N949),0,ROUND(M949*N949,2))</f>
        <v>0</v>
      </c>
      <c r="Q949" s="765"/>
      <c r="R949" s="576">
        <f t="shared" si="273"/>
        <v>0</v>
      </c>
      <c r="S949" s="576">
        <f t="shared" si="273"/>
        <v>0</v>
      </c>
      <c r="T949" s="577">
        <f t="shared" si="274"/>
        <v>0</v>
      </c>
      <c r="U949" s="578">
        <f t="shared" si="275"/>
        <v>0</v>
      </c>
      <c r="V949" s="579"/>
      <c r="W949" s="566"/>
      <c r="X949" s="586" t="str">
        <f t="shared" si="265"/>
        <v/>
      </c>
      <c r="Y949" s="586" t="str">
        <f t="shared" si="271"/>
        <v/>
      </c>
      <c r="Z949" s="586" t="str">
        <f t="shared" si="268"/>
        <v/>
      </c>
    </row>
    <row r="950" spans="1:26" ht="12" hidden="1" thickBot="1" x14ac:dyDescent="0.25">
      <c r="A950" s="567">
        <v>820</v>
      </c>
      <c r="B950" s="644">
        <v>820</v>
      </c>
      <c r="C950" s="645" t="s">
        <v>458</v>
      </c>
      <c r="D950" s="422" t="s">
        <v>2025</v>
      </c>
      <c r="E950" s="423"/>
      <c r="F950" s="424"/>
      <c r="G950" s="425"/>
      <c r="H950" s="651"/>
      <c r="I950" s="420">
        <v>14.08</v>
      </c>
      <c r="J950" s="420">
        <f t="shared" si="272"/>
        <v>14.08</v>
      </c>
      <c r="K950" s="421">
        <f t="shared" si="267"/>
        <v>16.73</v>
      </c>
      <c r="L950" s="647" t="s">
        <v>21</v>
      </c>
      <c r="M950" s="576"/>
      <c r="N950" s="576">
        <f t="shared" si="269"/>
        <v>0</v>
      </c>
      <c r="O950" s="577">
        <f t="shared" si="276"/>
        <v>0</v>
      </c>
      <c r="P950" s="578">
        <f t="shared" si="277"/>
        <v>0</v>
      </c>
      <c r="Q950" s="765"/>
      <c r="R950" s="576">
        <f t="shared" si="273"/>
        <v>0</v>
      </c>
      <c r="S950" s="576">
        <f t="shared" si="273"/>
        <v>0</v>
      </c>
      <c r="T950" s="577">
        <f t="shared" si="274"/>
        <v>0</v>
      </c>
      <c r="U950" s="578">
        <f t="shared" si="275"/>
        <v>0</v>
      </c>
      <c r="V950" s="579"/>
      <c r="W950" s="566"/>
      <c r="X950" s="586" t="str">
        <f t="shared" si="265"/>
        <v/>
      </c>
      <c r="Y950" s="586" t="str">
        <f t="shared" si="271"/>
        <v/>
      </c>
      <c r="Z950" s="586" t="str">
        <f t="shared" si="268"/>
        <v/>
      </c>
    </row>
    <row r="951" spans="1:26" ht="12" hidden="1" thickBot="1" x14ac:dyDescent="0.25">
      <c r="A951" s="567">
        <v>821</v>
      </c>
      <c r="B951" s="644">
        <v>821</v>
      </c>
      <c r="C951" s="645" t="s">
        <v>458</v>
      </c>
      <c r="D951" s="422" t="s">
        <v>2026</v>
      </c>
      <c r="E951" s="423"/>
      <c r="F951" s="424"/>
      <c r="G951" s="425"/>
      <c r="H951" s="651"/>
      <c r="I951" s="420">
        <v>22.96</v>
      </c>
      <c r="J951" s="420">
        <f t="shared" si="272"/>
        <v>22.96</v>
      </c>
      <c r="K951" s="421">
        <f t="shared" si="267"/>
        <v>27.28</v>
      </c>
      <c r="L951" s="647" t="s">
        <v>21</v>
      </c>
      <c r="M951" s="576"/>
      <c r="N951" s="576">
        <f t="shared" si="269"/>
        <v>0</v>
      </c>
      <c r="O951" s="577">
        <f t="shared" si="276"/>
        <v>0</v>
      </c>
      <c r="P951" s="578">
        <f t="shared" si="277"/>
        <v>0</v>
      </c>
      <c r="Q951" s="765"/>
      <c r="R951" s="576">
        <f t="shared" si="273"/>
        <v>0</v>
      </c>
      <c r="S951" s="576">
        <f t="shared" si="273"/>
        <v>0</v>
      </c>
      <c r="T951" s="577">
        <f t="shared" si="274"/>
        <v>0</v>
      </c>
      <c r="U951" s="578">
        <f t="shared" si="275"/>
        <v>0</v>
      </c>
      <c r="V951" s="579"/>
      <c r="W951" s="566"/>
      <c r="X951" s="586" t="str">
        <f t="shared" si="265"/>
        <v/>
      </c>
      <c r="Y951" s="586" t="str">
        <f t="shared" si="271"/>
        <v/>
      </c>
      <c r="Z951" s="586" t="str">
        <f t="shared" si="268"/>
        <v/>
      </c>
    </row>
    <row r="952" spans="1:26" ht="12" hidden="1" thickBot="1" x14ac:dyDescent="0.25">
      <c r="A952" s="567">
        <v>871</v>
      </c>
      <c r="B952" s="644">
        <v>871</v>
      </c>
      <c r="C952" s="645" t="s">
        <v>458</v>
      </c>
      <c r="D952" s="422" t="s">
        <v>2027</v>
      </c>
      <c r="E952" s="423"/>
      <c r="F952" s="424"/>
      <c r="G952" s="425"/>
      <c r="H952" s="651"/>
      <c r="I952" s="420">
        <v>11.31</v>
      </c>
      <c r="J952" s="420">
        <f t="shared" si="272"/>
        <v>11.31</v>
      </c>
      <c r="K952" s="421">
        <f t="shared" si="267"/>
        <v>13.44</v>
      </c>
      <c r="L952" s="647" t="s">
        <v>21</v>
      </c>
      <c r="M952" s="576"/>
      <c r="N952" s="576">
        <f t="shared" si="269"/>
        <v>0</v>
      </c>
      <c r="O952" s="577">
        <f t="shared" si="276"/>
        <v>0</v>
      </c>
      <c r="P952" s="578">
        <f t="shared" si="277"/>
        <v>0</v>
      </c>
      <c r="Q952" s="765"/>
      <c r="R952" s="576">
        <f t="shared" si="273"/>
        <v>0</v>
      </c>
      <c r="S952" s="576">
        <f t="shared" si="273"/>
        <v>0</v>
      </c>
      <c r="T952" s="577">
        <f t="shared" si="274"/>
        <v>0</v>
      </c>
      <c r="U952" s="578">
        <f t="shared" si="275"/>
        <v>0</v>
      </c>
      <c r="V952" s="579"/>
      <c r="W952" s="566"/>
      <c r="X952" s="586" t="str">
        <f t="shared" si="265"/>
        <v/>
      </c>
      <c r="Y952" s="586" t="str">
        <f t="shared" si="271"/>
        <v/>
      </c>
      <c r="Z952" s="586" t="str">
        <f t="shared" si="268"/>
        <v/>
      </c>
    </row>
    <row r="953" spans="1:26" ht="12" hidden="1" thickBot="1" x14ac:dyDescent="0.25">
      <c r="A953" s="567" t="s">
        <v>561</v>
      </c>
      <c r="B953" s="644" t="s">
        <v>561</v>
      </c>
      <c r="C953" s="645" t="s">
        <v>458</v>
      </c>
      <c r="D953" s="422" t="s">
        <v>2028</v>
      </c>
      <c r="E953" s="423"/>
      <c r="F953" s="424"/>
      <c r="G953" s="425"/>
      <c r="H953" s="651"/>
      <c r="I953" s="420">
        <v>4.45</v>
      </c>
      <c r="J953" s="420">
        <f t="shared" si="272"/>
        <v>4.45</v>
      </c>
      <c r="K953" s="421">
        <f t="shared" si="267"/>
        <v>5.29</v>
      </c>
      <c r="L953" s="647" t="s">
        <v>21</v>
      </c>
      <c r="M953" s="576"/>
      <c r="N953" s="576">
        <f t="shared" si="269"/>
        <v>0</v>
      </c>
      <c r="O953" s="577">
        <f t="shared" si="276"/>
        <v>0</v>
      </c>
      <c r="P953" s="578">
        <f t="shared" si="277"/>
        <v>0</v>
      </c>
      <c r="Q953" s="765"/>
      <c r="R953" s="576">
        <f t="shared" si="273"/>
        <v>0</v>
      </c>
      <c r="S953" s="576">
        <f t="shared" si="273"/>
        <v>0</v>
      </c>
      <c r="T953" s="577">
        <f t="shared" si="274"/>
        <v>0</v>
      </c>
      <c r="U953" s="578">
        <f t="shared" si="275"/>
        <v>0</v>
      </c>
      <c r="V953" s="579"/>
      <c r="W953" s="566"/>
      <c r="X953" s="586" t="str">
        <f t="shared" si="265"/>
        <v/>
      </c>
      <c r="Y953" s="586" t="str">
        <f t="shared" si="271"/>
        <v/>
      </c>
      <c r="Z953" s="586" t="str">
        <f t="shared" si="268"/>
        <v/>
      </c>
    </row>
    <row r="954" spans="1:26" ht="12" hidden="1" thickBot="1" x14ac:dyDescent="0.25">
      <c r="A954" s="567">
        <v>834</v>
      </c>
      <c r="B954" s="644">
        <v>834</v>
      </c>
      <c r="C954" s="645" t="s">
        <v>458</v>
      </c>
      <c r="D954" s="422" t="s">
        <v>2029</v>
      </c>
      <c r="E954" s="423"/>
      <c r="F954" s="424"/>
      <c r="G954" s="425"/>
      <c r="H954" s="651"/>
      <c r="I954" s="420">
        <v>11.99</v>
      </c>
      <c r="J954" s="420">
        <f t="shared" si="272"/>
        <v>11.99</v>
      </c>
      <c r="K954" s="421">
        <f t="shared" si="267"/>
        <v>14.25</v>
      </c>
      <c r="L954" s="647" t="s">
        <v>21</v>
      </c>
      <c r="M954" s="576"/>
      <c r="N954" s="576">
        <f t="shared" si="269"/>
        <v>0</v>
      </c>
      <c r="O954" s="577">
        <f t="shared" si="276"/>
        <v>0</v>
      </c>
      <c r="P954" s="578">
        <f t="shared" si="277"/>
        <v>0</v>
      </c>
      <c r="Q954" s="765"/>
      <c r="R954" s="576">
        <f t="shared" si="273"/>
        <v>0</v>
      </c>
      <c r="S954" s="576">
        <f t="shared" si="273"/>
        <v>0</v>
      </c>
      <c r="T954" s="577">
        <f t="shared" si="274"/>
        <v>0</v>
      </c>
      <c r="U954" s="578">
        <f t="shared" si="275"/>
        <v>0</v>
      </c>
      <c r="V954" s="579"/>
      <c r="W954" s="566"/>
      <c r="X954" s="586" t="str">
        <f t="shared" si="265"/>
        <v/>
      </c>
      <c r="Y954" s="586" t="str">
        <f t="shared" si="271"/>
        <v/>
      </c>
      <c r="Z954" s="586" t="str">
        <f t="shared" si="268"/>
        <v/>
      </c>
    </row>
    <row r="955" spans="1:26" ht="12" hidden="1" thickBot="1" x14ac:dyDescent="0.25">
      <c r="A955" s="567" t="s">
        <v>562</v>
      </c>
      <c r="B955" s="644" t="s">
        <v>562</v>
      </c>
      <c r="C955" s="645" t="s">
        <v>458</v>
      </c>
      <c r="D955" s="422" t="s">
        <v>2030</v>
      </c>
      <c r="E955" s="423"/>
      <c r="F955" s="424"/>
      <c r="G955" s="425"/>
      <c r="H955" s="651"/>
      <c r="I955" s="420">
        <v>4.8</v>
      </c>
      <c r="J955" s="420">
        <f t="shared" si="272"/>
        <v>4.8</v>
      </c>
      <c r="K955" s="421">
        <f t="shared" si="267"/>
        <v>5.7</v>
      </c>
      <c r="L955" s="647" t="s">
        <v>21</v>
      </c>
      <c r="M955" s="576"/>
      <c r="N955" s="576">
        <f t="shared" si="269"/>
        <v>0</v>
      </c>
      <c r="O955" s="577">
        <f t="shared" si="276"/>
        <v>0</v>
      </c>
      <c r="P955" s="578">
        <f t="shared" si="277"/>
        <v>0</v>
      </c>
      <c r="Q955" s="765"/>
      <c r="R955" s="576">
        <f t="shared" si="273"/>
        <v>0</v>
      </c>
      <c r="S955" s="576">
        <f t="shared" si="273"/>
        <v>0</v>
      </c>
      <c r="T955" s="577">
        <f t="shared" si="274"/>
        <v>0</v>
      </c>
      <c r="U955" s="578">
        <f t="shared" si="275"/>
        <v>0</v>
      </c>
      <c r="V955" s="579"/>
      <c r="W955" s="566"/>
      <c r="X955" s="586" t="str">
        <f t="shared" si="265"/>
        <v/>
      </c>
      <c r="Y955" s="586" t="str">
        <f t="shared" si="271"/>
        <v/>
      </c>
      <c r="Z955" s="586" t="str">
        <f t="shared" si="268"/>
        <v/>
      </c>
    </row>
    <row r="956" spans="1:26" ht="23.25" hidden="1" thickBot="1" x14ac:dyDescent="0.25">
      <c r="A956" s="567">
        <v>835</v>
      </c>
      <c r="B956" s="644">
        <v>835</v>
      </c>
      <c r="C956" s="645" t="s">
        <v>458</v>
      </c>
      <c r="D956" s="422" t="s">
        <v>2031</v>
      </c>
      <c r="E956" s="423"/>
      <c r="F956" s="424"/>
      <c r="G956" s="425"/>
      <c r="H956" s="651"/>
      <c r="I956" s="420">
        <v>43.85</v>
      </c>
      <c r="J956" s="420">
        <f t="shared" si="272"/>
        <v>43.85</v>
      </c>
      <c r="K956" s="421">
        <f t="shared" si="267"/>
        <v>52.1</v>
      </c>
      <c r="L956" s="647" t="s">
        <v>21</v>
      </c>
      <c r="M956" s="576"/>
      <c r="N956" s="576">
        <f t="shared" si="269"/>
        <v>0</v>
      </c>
      <c r="O956" s="577">
        <f t="shared" si="276"/>
        <v>0</v>
      </c>
      <c r="P956" s="578">
        <f t="shared" si="277"/>
        <v>0</v>
      </c>
      <c r="Q956" s="765"/>
      <c r="R956" s="576">
        <f t="shared" si="273"/>
        <v>0</v>
      </c>
      <c r="S956" s="576">
        <f t="shared" si="273"/>
        <v>0</v>
      </c>
      <c r="T956" s="577">
        <f t="shared" si="274"/>
        <v>0</v>
      </c>
      <c r="U956" s="578">
        <f t="shared" si="275"/>
        <v>0</v>
      </c>
      <c r="V956" s="579"/>
      <c r="W956" s="566"/>
      <c r="X956" s="586" t="str">
        <f t="shared" si="265"/>
        <v/>
      </c>
      <c r="Y956" s="586" t="str">
        <f t="shared" si="271"/>
        <v/>
      </c>
      <c r="Z956" s="586" t="str">
        <f t="shared" si="268"/>
        <v/>
      </c>
    </row>
    <row r="957" spans="1:26" ht="23.25" hidden="1" thickBot="1" x14ac:dyDescent="0.25">
      <c r="A957" s="567" t="s">
        <v>565</v>
      </c>
      <c r="B957" s="644" t="s">
        <v>565</v>
      </c>
      <c r="C957" s="645" t="s">
        <v>458</v>
      </c>
      <c r="D957" s="422" t="s">
        <v>2032</v>
      </c>
      <c r="E957" s="423"/>
      <c r="F957" s="424"/>
      <c r="G957" s="425"/>
      <c r="H957" s="651"/>
      <c r="I957" s="420">
        <v>17.47</v>
      </c>
      <c r="J957" s="420">
        <f t="shared" si="272"/>
        <v>17.47</v>
      </c>
      <c r="K957" s="421">
        <f t="shared" si="267"/>
        <v>20.76</v>
      </c>
      <c r="L957" s="647" t="s">
        <v>21</v>
      </c>
      <c r="M957" s="576"/>
      <c r="N957" s="576">
        <f t="shared" si="269"/>
        <v>0</v>
      </c>
      <c r="O957" s="577">
        <f t="shared" si="276"/>
        <v>0</v>
      </c>
      <c r="P957" s="578">
        <f t="shared" si="277"/>
        <v>0</v>
      </c>
      <c r="Q957" s="765"/>
      <c r="R957" s="576">
        <f t="shared" si="273"/>
        <v>0</v>
      </c>
      <c r="S957" s="576">
        <f t="shared" si="273"/>
        <v>0</v>
      </c>
      <c r="T957" s="577">
        <f t="shared" si="274"/>
        <v>0</v>
      </c>
      <c r="U957" s="578">
        <f t="shared" si="275"/>
        <v>0</v>
      </c>
      <c r="V957" s="579"/>
      <c r="W957" s="566"/>
      <c r="X957" s="586" t="str">
        <f t="shared" ref="X957:X1020" si="278">IF(W957="X","x",IF(W957="xx","x",IF(W957="xy","x",IF(W957="y","x",IF(OR(P957&gt;0,U957&gt;0),"x","")))))</f>
        <v/>
      </c>
      <c r="Y957" s="586" t="str">
        <f t="shared" si="271"/>
        <v/>
      </c>
      <c r="Z957" s="586" t="str">
        <f t="shared" si="268"/>
        <v/>
      </c>
    </row>
    <row r="958" spans="1:26" ht="23.25" hidden="1" thickBot="1" x14ac:dyDescent="0.25">
      <c r="A958" s="567">
        <v>836</v>
      </c>
      <c r="B958" s="644">
        <v>836</v>
      </c>
      <c r="C958" s="645" t="s">
        <v>458</v>
      </c>
      <c r="D958" s="422" t="s">
        <v>2033</v>
      </c>
      <c r="E958" s="423"/>
      <c r="F958" s="424"/>
      <c r="G958" s="425"/>
      <c r="H958" s="651"/>
      <c r="I958" s="420">
        <v>114.78</v>
      </c>
      <c r="J958" s="420">
        <f t="shared" si="272"/>
        <v>114.78</v>
      </c>
      <c r="K958" s="421">
        <f t="shared" si="267"/>
        <v>136.37</v>
      </c>
      <c r="L958" s="647" t="s">
        <v>21</v>
      </c>
      <c r="M958" s="576"/>
      <c r="N958" s="576">
        <f t="shared" si="269"/>
        <v>0</v>
      </c>
      <c r="O958" s="577">
        <f t="shared" si="276"/>
        <v>0</v>
      </c>
      <c r="P958" s="578">
        <f t="shared" si="277"/>
        <v>0</v>
      </c>
      <c r="Q958" s="765"/>
      <c r="R958" s="576">
        <f t="shared" si="273"/>
        <v>0</v>
      </c>
      <c r="S958" s="576">
        <f t="shared" si="273"/>
        <v>0</v>
      </c>
      <c r="T958" s="577">
        <f t="shared" si="274"/>
        <v>0</v>
      </c>
      <c r="U958" s="578">
        <f t="shared" si="275"/>
        <v>0</v>
      </c>
      <c r="V958" s="579"/>
      <c r="W958" s="566"/>
      <c r="X958" s="586" t="str">
        <f t="shared" si="278"/>
        <v/>
      </c>
      <c r="Y958" s="586" t="str">
        <f t="shared" si="271"/>
        <v/>
      </c>
      <c r="Z958" s="586" t="str">
        <f t="shared" si="268"/>
        <v/>
      </c>
    </row>
    <row r="959" spans="1:26" ht="23.25" hidden="1" thickBot="1" x14ac:dyDescent="0.25">
      <c r="A959" s="567" t="s">
        <v>563</v>
      </c>
      <c r="B959" s="644" t="s">
        <v>563</v>
      </c>
      <c r="C959" s="645" t="s">
        <v>458</v>
      </c>
      <c r="D959" s="422" t="s">
        <v>2034</v>
      </c>
      <c r="E959" s="423"/>
      <c r="F959" s="424"/>
      <c r="G959" s="425"/>
      <c r="H959" s="651"/>
      <c r="I959" s="420">
        <v>57.56</v>
      </c>
      <c r="J959" s="420">
        <f t="shared" si="272"/>
        <v>57.56</v>
      </c>
      <c r="K959" s="421">
        <f t="shared" si="267"/>
        <v>68.39</v>
      </c>
      <c r="L959" s="647" t="s">
        <v>21</v>
      </c>
      <c r="M959" s="576"/>
      <c r="N959" s="576">
        <f t="shared" si="269"/>
        <v>0</v>
      </c>
      <c r="O959" s="577">
        <f t="shared" si="276"/>
        <v>0</v>
      </c>
      <c r="P959" s="578">
        <f t="shared" si="277"/>
        <v>0</v>
      </c>
      <c r="Q959" s="765"/>
      <c r="R959" s="576">
        <f t="shared" si="273"/>
        <v>0</v>
      </c>
      <c r="S959" s="576">
        <f t="shared" si="273"/>
        <v>0</v>
      </c>
      <c r="T959" s="577">
        <f t="shared" si="274"/>
        <v>0</v>
      </c>
      <c r="U959" s="578">
        <f t="shared" si="275"/>
        <v>0</v>
      </c>
      <c r="V959" s="579"/>
      <c r="W959" s="566"/>
      <c r="X959" s="586" t="str">
        <f t="shared" si="278"/>
        <v/>
      </c>
      <c r="Y959" s="586" t="str">
        <f t="shared" si="271"/>
        <v/>
      </c>
      <c r="Z959" s="586" t="str">
        <f t="shared" si="268"/>
        <v/>
      </c>
    </row>
    <row r="960" spans="1:26" ht="12" hidden="1" thickBot="1" x14ac:dyDescent="0.25">
      <c r="A960" s="567">
        <v>837</v>
      </c>
      <c r="B960" s="644">
        <v>837</v>
      </c>
      <c r="C960" s="645" t="s">
        <v>458</v>
      </c>
      <c r="D960" s="422" t="s">
        <v>2035</v>
      </c>
      <c r="E960" s="423"/>
      <c r="F960" s="424"/>
      <c r="G960" s="425"/>
      <c r="H960" s="651"/>
      <c r="I960" s="420">
        <v>20.9</v>
      </c>
      <c r="J960" s="420">
        <f t="shared" si="272"/>
        <v>20.9</v>
      </c>
      <c r="K960" s="421">
        <f t="shared" si="267"/>
        <v>24.83</v>
      </c>
      <c r="L960" s="647" t="s">
        <v>21</v>
      </c>
      <c r="M960" s="576"/>
      <c r="N960" s="576">
        <f t="shared" si="269"/>
        <v>0</v>
      </c>
      <c r="O960" s="577">
        <f t="shared" si="276"/>
        <v>0</v>
      </c>
      <c r="P960" s="578">
        <f t="shared" si="277"/>
        <v>0</v>
      </c>
      <c r="Q960" s="765"/>
      <c r="R960" s="576">
        <f t="shared" si="273"/>
        <v>0</v>
      </c>
      <c r="S960" s="576">
        <f t="shared" si="273"/>
        <v>0</v>
      </c>
      <c r="T960" s="577">
        <f t="shared" si="274"/>
        <v>0</v>
      </c>
      <c r="U960" s="578">
        <f t="shared" si="275"/>
        <v>0</v>
      </c>
      <c r="V960" s="579"/>
      <c r="W960" s="566"/>
      <c r="X960" s="586" t="str">
        <f t="shared" si="278"/>
        <v/>
      </c>
      <c r="Y960" s="586" t="str">
        <f t="shared" si="271"/>
        <v/>
      </c>
      <c r="Z960" s="586" t="str">
        <f t="shared" si="268"/>
        <v/>
      </c>
    </row>
    <row r="961" spans="1:26" ht="12" hidden="1" thickBot="1" x14ac:dyDescent="0.25">
      <c r="A961" s="567">
        <v>838</v>
      </c>
      <c r="B961" s="644">
        <v>838</v>
      </c>
      <c r="C961" s="645" t="s">
        <v>458</v>
      </c>
      <c r="D961" s="422" t="s">
        <v>2036</v>
      </c>
      <c r="E961" s="423"/>
      <c r="F961" s="424"/>
      <c r="G961" s="425"/>
      <c r="H961" s="651"/>
      <c r="I961" s="420">
        <v>53.11</v>
      </c>
      <c r="J961" s="420">
        <f t="shared" si="272"/>
        <v>53.11</v>
      </c>
      <c r="K961" s="421">
        <f t="shared" si="267"/>
        <v>63.1</v>
      </c>
      <c r="L961" s="647" t="s">
        <v>21</v>
      </c>
      <c r="M961" s="576"/>
      <c r="N961" s="576">
        <f t="shared" si="269"/>
        <v>0</v>
      </c>
      <c r="O961" s="577">
        <f t="shared" si="276"/>
        <v>0</v>
      </c>
      <c r="P961" s="578">
        <f t="shared" si="277"/>
        <v>0</v>
      </c>
      <c r="Q961" s="765"/>
      <c r="R961" s="576">
        <f t="shared" si="273"/>
        <v>0</v>
      </c>
      <c r="S961" s="576">
        <f t="shared" si="273"/>
        <v>0</v>
      </c>
      <c r="T961" s="577">
        <f t="shared" si="274"/>
        <v>0</v>
      </c>
      <c r="U961" s="578">
        <f t="shared" si="275"/>
        <v>0</v>
      </c>
      <c r="V961" s="579"/>
      <c r="W961" s="566"/>
      <c r="X961" s="586" t="str">
        <f t="shared" si="278"/>
        <v/>
      </c>
      <c r="Y961" s="586" t="str">
        <f t="shared" si="271"/>
        <v/>
      </c>
      <c r="Z961" s="586" t="str">
        <f t="shared" si="268"/>
        <v/>
      </c>
    </row>
    <row r="962" spans="1:26" ht="12" hidden="1" thickBot="1" x14ac:dyDescent="0.25">
      <c r="A962" s="567" t="s">
        <v>566</v>
      </c>
      <c r="B962" s="644" t="s">
        <v>566</v>
      </c>
      <c r="C962" s="645" t="s">
        <v>458</v>
      </c>
      <c r="D962" s="422" t="s">
        <v>574</v>
      </c>
      <c r="E962" s="423"/>
      <c r="F962" s="424"/>
      <c r="G962" s="425"/>
      <c r="H962" s="651"/>
      <c r="I962" s="420">
        <v>21.24</v>
      </c>
      <c r="J962" s="420">
        <f t="shared" si="272"/>
        <v>21.24</v>
      </c>
      <c r="K962" s="421">
        <f t="shared" si="267"/>
        <v>25.24</v>
      </c>
      <c r="L962" s="647" t="s">
        <v>21</v>
      </c>
      <c r="M962" s="576"/>
      <c r="N962" s="576">
        <f t="shared" si="269"/>
        <v>0</v>
      </c>
      <c r="O962" s="577">
        <f t="shared" si="276"/>
        <v>0</v>
      </c>
      <c r="P962" s="578">
        <f t="shared" si="277"/>
        <v>0</v>
      </c>
      <c r="Q962" s="765"/>
      <c r="R962" s="576">
        <f t="shared" si="273"/>
        <v>0</v>
      </c>
      <c r="S962" s="576">
        <f t="shared" si="273"/>
        <v>0</v>
      </c>
      <c r="T962" s="577">
        <f t="shared" si="274"/>
        <v>0</v>
      </c>
      <c r="U962" s="578">
        <f t="shared" si="275"/>
        <v>0</v>
      </c>
      <c r="V962" s="579"/>
      <c r="W962" s="566"/>
      <c r="X962" s="586" t="str">
        <f t="shared" si="278"/>
        <v/>
      </c>
      <c r="Y962" s="586" t="str">
        <f t="shared" si="271"/>
        <v/>
      </c>
      <c r="Z962" s="586" t="str">
        <f t="shared" si="268"/>
        <v/>
      </c>
    </row>
    <row r="963" spans="1:26" ht="12" hidden="1" thickBot="1" x14ac:dyDescent="0.25">
      <c r="A963" s="567">
        <v>839</v>
      </c>
      <c r="B963" s="644">
        <v>839</v>
      </c>
      <c r="C963" s="645" t="s">
        <v>458</v>
      </c>
      <c r="D963" s="422" t="s">
        <v>2037</v>
      </c>
      <c r="E963" s="423"/>
      <c r="F963" s="424"/>
      <c r="G963" s="425"/>
      <c r="H963" s="651"/>
      <c r="I963" s="420">
        <v>171.99</v>
      </c>
      <c r="J963" s="420">
        <f t="shared" si="272"/>
        <v>171.99</v>
      </c>
      <c r="K963" s="421">
        <f t="shared" si="267"/>
        <v>204.34</v>
      </c>
      <c r="L963" s="647" t="s">
        <v>21</v>
      </c>
      <c r="M963" s="576"/>
      <c r="N963" s="576">
        <f t="shared" si="269"/>
        <v>0</v>
      </c>
      <c r="O963" s="577">
        <f t="shared" si="276"/>
        <v>0</v>
      </c>
      <c r="P963" s="578">
        <f t="shared" si="277"/>
        <v>0</v>
      </c>
      <c r="Q963" s="765"/>
      <c r="R963" s="576">
        <f t="shared" si="273"/>
        <v>0</v>
      </c>
      <c r="S963" s="576">
        <f t="shared" si="273"/>
        <v>0</v>
      </c>
      <c r="T963" s="577">
        <f t="shared" si="274"/>
        <v>0</v>
      </c>
      <c r="U963" s="578">
        <f t="shared" si="275"/>
        <v>0</v>
      </c>
      <c r="V963" s="579"/>
      <c r="W963" s="566"/>
      <c r="X963" s="586" t="str">
        <f t="shared" si="278"/>
        <v/>
      </c>
      <c r="Y963" s="586" t="str">
        <f t="shared" si="271"/>
        <v/>
      </c>
      <c r="Z963" s="586" t="str">
        <f t="shared" si="268"/>
        <v/>
      </c>
    </row>
    <row r="964" spans="1:26" ht="12" hidden="1" thickBot="1" x14ac:dyDescent="0.25">
      <c r="A964" s="567" t="s">
        <v>567</v>
      </c>
      <c r="B964" s="644" t="s">
        <v>567</v>
      </c>
      <c r="C964" s="645" t="s">
        <v>458</v>
      </c>
      <c r="D964" s="422" t="s">
        <v>2038</v>
      </c>
      <c r="E964" s="423"/>
      <c r="F964" s="424"/>
      <c r="G964" s="425"/>
      <c r="H964" s="651"/>
      <c r="I964" s="420">
        <v>120.26</v>
      </c>
      <c r="J964" s="420">
        <f t="shared" si="272"/>
        <v>120.26</v>
      </c>
      <c r="K964" s="421">
        <f t="shared" si="267"/>
        <v>142.88</v>
      </c>
      <c r="L964" s="647" t="s">
        <v>21</v>
      </c>
      <c r="M964" s="576"/>
      <c r="N964" s="576">
        <f t="shared" si="269"/>
        <v>0</v>
      </c>
      <c r="O964" s="577">
        <f t="shared" si="276"/>
        <v>0</v>
      </c>
      <c r="P964" s="578">
        <f t="shared" si="277"/>
        <v>0</v>
      </c>
      <c r="Q964" s="765"/>
      <c r="R964" s="576">
        <f t="shared" si="273"/>
        <v>0</v>
      </c>
      <c r="S964" s="576">
        <f t="shared" si="273"/>
        <v>0</v>
      </c>
      <c r="T964" s="577">
        <f t="shared" si="274"/>
        <v>0</v>
      </c>
      <c r="U964" s="578">
        <f t="shared" si="275"/>
        <v>0</v>
      </c>
      <c r="V964" s="579"/>
      <c r="W964" s="566"/>
      <c r="X964" s="586" t="str">
        <f t="shared" si="278"/>
        <v/>
      </c>
      <c r="Y964" s="586" t="str">
        <f t="shared" si="271"/>
        <v/>
      </c>
      <c r="Z964" s="586" t="str">
        <f t="shared" si="268"/>
        <v/>
      </c>
    </row>
    <row r="965" spans="1:26" ht="12" hidden="1" thickBot="1" x14ac:dyDescent="0.25">
      <c r="A965" s="567">
        <v>840</v>
      </c>
      <c r="B965" s="644">
        <v>840</v>
      </c>
      <c r="C965" s="645" t="s">
        <v>458</v>
      </c>
      <c r="D965" s="422" t="s">
        <v>2039</v>
      </c>
      <c r="E965" s="423"/>
      <c r="F965" s="424"/>
      <c r="G965" s="425"/>
      <c r="H965" s="651"/>
      <c r="I965" s="420">
        <v>402.57</v>
      </c>
      <c r="J965" s="420">
        <f t="shared" si="272"/>
        <v>402.57</v>
      </c>
      <c r="K965" s="421">
        <f t="shared" si="267"/>
        <v>478.29</v>
      </c>
      <c r="L965" s="647" t="s">
        <v>21</v>
      </c>
      <c r="M965" s="576"/>
      <c r="N965" s="576">
        <f t="shared" si="269"/>
        <v>0</v>
      </c>
      <c r="O965" s="577">
        <f t="shared" si="276"/>
        <v>0</v>
      </c>
      <c r="P965" s="578">
        <f t="shared" si="277"/>
        <v>0</v>
      </c>
      <c r="Q965" s="765"/>
      <c r="R965" s="576">
        <f t="shared" si="273"/>
        <v>0</v>
      </c>
      <c r="S965" s="576">
        <f t="shared" si="273"/>
        <v>0</v>
      </c>
      <c r="T965" s="577">
        <f t="shared" si="274"/>
        <v>0</v>
      </c>
      <c r="U965" s="578">
        <f t="shared" si="275"/>
        <v>0</v>
      </c>
      <c r="V965" s="579"/>
      <c r="W965" s="566"/>
      <c r="X965" s="586" t="str">
        <f t="shared" si="278"/>
        <v/>
      </c>
      <c r="Y965" s="586" t="str">
        <f t="shared" si="271"/>
        <v/>
      </c>
      <c r="Z965" s="586" t="str">
        <f t="shared" si="268"/>
        <v/>
      </c>
    </row>
    <row r="966" spans="1:26" ht="12" hidden="1" thickBot="1" x14ac:dyDescent="0.25">
      <c r="A966" s="567" t="s">
        <v>568</v>
      </c>
      <c r="B966" s="644" t="s">
        <v>568</v>
      </c>
      <c r="C966" s="645" t="s">
        <v>458</v>
      </c>
      <c r="D966" s="422" t="s">
        <v>2040</v>
      </c>
      <c r="E966" s="423"/>
      <c r="F966" s="424"/>
      <c r="G966" s="425"/>
      <c r="H966" s="651"/>
      <c r="I966" s="420">
        <v>161.03</v>
      </c>
      <c r="J966" s="420">
        <f t="shared" si="272"/>
        <v>161.03</v>
      </c>
      <c r="K966" s="421">
        <f t="shared" si="267"/>
        <v>191.32</v>
      </c>
      <c r="L966" s="647" t="s">
        <v>21</v>
      </c>
      <c r="M966" s="576"/>
      <c r="N966" s="576">
        <f t="shared" si="269"/>
        <v>0</v>
      </c>
      <c r="O966" s="577">
        <f t="shared" si="276"/>
        <v>0</v>
      </c>
      <c r="P966" s="578">
        <f t="shared" si="277"/>
        <v>0</v>
      </c>
      <c r="Q966" s="765"/>
      <c r="R966" s="576">
        <f t="shared" si="273"/>
        <v>0</v>
      </c>
      <c r="S966" s="576">
        <f t="shared" si="273"/>
        <v>0</v>
      </c>
      <c r="T966" s="577">
        <f t="shared" si="274"/>
        <v>0</v>
      </c>
      <c r="U966" s="578">
        <f t="shared" si="275"/>
        <v>0</v>
      </c>
      <c r="V966" s="579"/>
      <c r="W966" s="566"/>
      <c r="X966" s="586" t="str">
        <f t="shared" si="278"/>
        <v/>
      </c>
      <c r="Y966" s="586" t="str">
        <f t="shared" si="271"/>
        <v/>
      </c>
      <c r="Z966" s="586" t="str">
        <f t="shared" si="268"/>
        <v/>
      </c>
    </row>
    <row r="967" spans="1:26" ht="12" hidden="1" thickBot="1" x14ac:dyDescent="0.25">
      <c r="A967" s="567">
        <v>841</v>
      </c>
      <c r="B967" s="644">
        <v>841</v>
      </c>
      <c r="C967" s="645" t="s">
        <v>458</v>
      </c>
      <c r="D967" s="422" t="s">
        <v>2041</v>
      </c>
      <c r="E967" s="423"/>
      <c r="F967" s="424"/>
      <c r="G967" s="425"/>
      <c r="H967" s="651"/>
      <c r="I967" s="420">
        <v>191.86</v>
      </c>
      <c r="J967" s="420">
        <f t="shared" ref="J967:J972" si="279">IF(ISBLANK(I967),"",SUM(H967:I967))</f>
        <v>191.86</v>
      </c>
      <c r="K967" s="421">
        <f t="shared" si="267"/>
        <v>227.95</v>
      </c>
      <c r="L967" s="647" t="s">
        <v>21</v>
      </c>
      <c r="M967" s="576"/>
      <c r="N967" s="576">
        <f t="shared" si="269"/>
        <v>0</v>
      </c>
      <c r="O967" s="577">
        <f t="shared" si="276"/>
        <v>0</v>
      </c>
      <c r="P967" s="578">
        <f t="shared" si="277"/>
        <v>0</v>
      </c>
      <c r="Q967" s="765"/>
      <c r="R967" s="576">
        <f t="shared" si="273"/>
        <v>0</v>
      </c>
      <c r="S967" s="576">
        <f t="shared" si="273"/>
        <v>0</v>
      </c>
      <c r="T967" s="577">
        <f t="shared" si="274"/>
        <v>0</v>
      </c>
      <c r="U967" s="578">
        <f t="shared" si="275"/>
        <v>0</v>
      </c>
      <c r="V967" s="579"/>
      <c r="W967" s="566"/>
      <c r="X967" s="586" t="str">
        <f t="shared" si="278"/>
        <v/>
      </c>
      <c r="Y967" s="586" t="str">
        <f t="shared" si="271"/>
        <v/>
      </c>
      <c r="Z967" s="586" t="str">
        <f t="shared" si="268"/>
        <v/>
      </c>
    </row>
    <row r="968" spans="1:26" ht="12" hidden="1" thickBot="1" x14ac:dyDescent="0.25">
      <c r="A968" s="567" t="s">
        <v>569</v>
      </c>
      <c r="B968" s="644" t="s">
        <v>569</v>
      </c>
      <c r="C968" s="645" t="s">
        <v>458</v>
      </c>
      <c r="D968" s="422" t="s">
        <v>2042</v>
      </c>
      <c r="E968" s="423"/>
      <c r="F968" s="424"/>
      <c r="G968" s="425"/>
      <c r="H968" s="651"/>
      <c r="I968" s="420">
        <v>76.75</v>
      </c>
      <c r="J968" s="420">
        <f t="shared" si="279"/>
        <v>76.75</v>
      </c>
      <c r="K968" s="421">
        <f t="shared" si="267"/>
        <v>91.19</v>
      </c>
      <c r="L968" s="647" t="s">
        <v>21</v>
      </c>
      <c r="M968" s="576"/>
      <c r="N968" s="576">
        <f t="shared" si="269"/>
        <v>0</v>
      </c>
      <c r="O968" s="577">
        <f t="shared" si="276"/>
        <v>0</v>
      </c>
      <c r="P968" s="578">
        <f t="shared" si="277"/>
        <v>0</v>
      </c>
      <c r="Q968" s="765"/>
      <c r="R968" s="576">
        <f t="shared" si="273"/>
        <v>0</v>
      </c>
      <c r="S968" s="576">
        <f t="shared" si="273"/>
        <v>0</v>
      </c>
      <c r="T968" s="577">
        <f t="shared" si="274"/>
        <v>0</v>
      </c>
      <c r="U968" s="578">
        <f t="shared" si="275"/>
        <v>0</v>
      </c>
      <c r="V968" s="579"/>
      <c r="W968" s="566"/>
      <c r="X968" s="586" t="str">
        <f t="shared" si="278"/>
        <v/>
      </c>
      <c r="Y968" s="586" t="str">
        <f t="shared" si="271"/>
        <v/>
      </c>
      <c r="Z968" s="586" t="str">
        <f t="shared" si="268"/>
        <v/>
      </c>
    </row>
    <row r="969" spans="1:26" ht="12" hidden="1" thickBot="1" x14ac:dyDescent="0.25">
      <c r="A969" s="567">
        <v>842</v>
      </c>
      <c r="B969" s="644">
        <v>842</v>
      </c>
      <c r="C969" s="645" t="s">
        <v>458</v>
      </c>
      <c r="D969" s="422" t="s">
        <v>2043</v>
      </c>
      <c r="E969" s="423"/>
      <c r="F969" s="424"/>
      <c r="G969" s="425"/>
      <c r="H969" s="651"/>
      <c r="I969" s="420">
        <v>11.99</v>
      </c>
      <c r="J969" s="420">
        <f t="shared" si="279"/>
        <v>11.99</v>
      </c>
      <c r="K969" s="421">
        <f t="shared" ref="K969:K1032" si="280">IF(ISBLANK(I969),0,ROUND(J969*(1+$F$10)*(1+$F$11*E969),2))</f>
        <v>14.25</v>
      </c>
      <c r="L969" s="647" t="s">
        <v>21</v>
      </c>
      <c r="M969" s="576"/>
      <c r="N969" s="576">
        <f t="shared" si="269"/>
        <v>0</v>
      </c>
      <c r="O969" s="577">
        <f t="shared" si="276"/>
        <v>0</v>
      </c>
      <c r="P969" s="578">
        <f t="shared" si="277"/>
        <v>0</v>
      </c>
      <c r="Q969" s="765"/>
      <c r="R969" s="576">
        <f t="shared" si="273"/>
        <v>0</v>
      </c>
      <c r="S969" s="576">
        <f t="shared" si="273"/>
        <v>0</v>
      </c>
      <c r="T969" s="577">
        <f t="shared" si="274"/>
        <v>0</v>
      </c>
      <c r="U969" s="578">
        <f t="shared" si="275"/>
        <v>0</v>
      </c>
      <c r="V969" s="579"/>
      <c r="W969" s="566"/>
      <c r="X969" s="586" t="str">
        <f t="shared" si="278"/>
        <v/>
      </c>
      <c r="Y969" s="586" t="str">
        <f t="shared" si="271"/>
        <v/>
      </c>
      <c r="Z969" s="586" t="str">
        <f t="shared" si="268"/>
        <v/>
      </c>
    </row>
    <row r="970" spans="1:26" ht="12" hidden="1" thickBot="1" x14ac:dyDescent="0.25">
      <c r="A970" s="567" t="s">
        <v>570</v>
      </c>
      <c r="B970" s="644" t="s">
        <v>570</v>
      </c>
      <c r="C970" s="645" t="s">
        <v>458</v>
      </c>
      <c r="D970" s="422" t="s">
        <v>2044</v>
      </c>
      <c r="E970" s="423"/>
      <c r="F970" s="424"/>
      <c r="G970" s="425"/>
      <c r="H970" s="651"/>
      <c r="I970" s="420">
        <v>4.8</v>
      </c>
      <c r="J970" s="420">
        <f t="shared" si="279"/>
        <v>4.8</v>
      </c>
      <c r="K970" s="421">
        <f t="shared" si="280"/>
        <v>5.7</v>
      </c>
      <c r="L970" s="647" t="s">
        <v>21</v>
      </c>
      <c r="M970" s="576"/>
      <c r="N970" s="576">
        <f t="shared" si="269"/>
        <v>0</v>
      </c>
      <c r="O970" s="577">
        <f t="shared" si="276"/>
        <v>0</v>
      </c>
      <c r="P970" s="578">
        <f t="shared" si="277"/>
        <v>0</v>
      </c>
      <c r="Q970" s="765"/>
      <c r="R970" s="576">
        <f t="shared" si="273"/>
        <v>0</v>
      </c>
      <c r="S970" s="576">
        <f t="shared" si="273"/>
        <v>0</v>
      </c>
      <c r="T970" s="577">
        <f t="shared" si="274"/>
        <v>0</v>
      </c>
      <c r="U970" s="578">
        <f t="shared" si="275"/>
        <v>0</v>
      </c>
      <c r="V970" s="579"/>
      <c r="W970" s="566"/>
      <c r="X970" s="586" t="str">
        <f t="shared" si="278"/>
        <v/>
      </c>
      <c r="Y970" s="586" t="str">
        <f t="shared" si="271"/>
        <v/>
      </c>
      <c r="Z970" s="586" t="str">
        <f t="shared" si="268"/>
        <v/>
      </c>
    </row>
    <row r="971" spans="1:26" ht="23.25" hidden="1" thickBot="1" x14ac:dyDescent="0.25">
      <c r="A971" s="567">
        <v>843</v>
      </c>
      <c r="B971" s="644">
        <v>843</v>
      </c>
      <c r="C971" s="645" t="s">
        <v>458</v>
      </c>
      <c r="D971" s="422" t="s">
        <v>2045</v>
      </c>
      <c r="E971" s="423"/>
      <c r="F971" s="424"/>
      <c r="G971" s="425"/>
      <c r="H971" s="651"/>
      <c r="I971" s="420">
        <v>133.28</v>
      </c>
      <c r="J971" s="420">
        <f t="shared" si="279"/>
        <v>133.28</v>
      </c>
      <c r="K971" s="421">
        <f t="shared" si="280"/>
        <v>158.35</v>
      </c>
      <c r="L971" s="647" t="s">
        <v>21</v>
      </c>
      <c r="M971" s="576"/>
      <c r="N971" s="576">
        <f t="shared" si="269"/>
        <v>0</v>
      </c>
      <c r="O971" s="577">
        <f t="shared" si="276"/>
        <v>0</v>
      </c>
      <c r="P971" s="578">
        <f t="shared" si="277"/>
        <v>0</v>
      </c>
      <c r="Q971" s="765"/>
      <c r="R971" s="576">
        <f t="shared" si="273"/>
        <v>0</v>
      </c>
      <c r="S971" s="576">
        <f t="shared" si="273"/>
        <v>0</v>
      </c>
      <c r="T971" s="577">
        <f t="shared" si="274"/>
        <v>0</v>
      </c>
      <c r="U971" s="578">
        <f t="shared" si="275"/>
        <v>0</v>
      </c>
      <c r="V971" s="579"/>
      <c r="W971" s="566"/>
      <c r="X971" s="586" t="str">
        <f t="shared" si="278"/>
        <v/>
      </c>
      <c r="Y971" s="586" t="str">
        <f t="shared" si="271"/>
        <v/>
      </c>
      <c r="Z971" s="586" t="str">
        <f t="shared" si="268"/>
        <v/>
      </c>
    </row>
    <row r="972" spans="1:26" ht="23.25" hidden="1" thickBot="1" x14ac:dyDescent="0.25">
      <c r="A972" s="567" t="s">
        <v>572</v>
      </c>
      <c r="B972" s="644" t="s">
        <v>572</v>
      </c>
      <c r="C972" s="645" t="s">
        <v>458</v>
      </c>
      <c r="D972" s="422" t="s">
        <v>2046</v>
      </c>
      <c r="E972" s="423"/>
      <c r="F972" s="424"/>
      <c r="G972" s="425"/>
      <c r="H972" s="651"/>
      <c r="I972" s="420">
        <v>53.45</v>
      </c>
      <c r="J972" s="420">
        <f t="shared" si="279"/>
        <v>53.45</v>
      </c>
      <c r="K972" s="421">
        <f t="shared" si="280"/>
        <v>63.5</v>
      </c>
      <c r="L972" s="647" t="s">
        <v>21</v>
      </c>
      <c r="M972" s="576"/>
      <c r="N972" s="576">
        <f t="shared" si="269"/>
        <v>0</v>
      </c>
      <c r="O972" s="577">
        <f t="shared" si="276"/>
        <v>0</v>
      </c>
      <c r="P972" s="578">
        <f t="shared" si="277"/>
        <v>0</v>
      </c>
      <c r="Q972" s="765"/>
      <c r="R972" s="576">
        <f t="shared" si="273"/>
        <v>0</v>
      </c>
      <c r="S972" s="576">
        <f t="shared" si="273"/>
        <v>0</v>
      </c>
      <c r="T972" s="577">
        <f t="shared" si="274"/>
        <v>0</v>
      </c>
      <c r="U972" s="578">
        <f t="shared" si="275"/>
        <v>0</v>
      </c>
      <c r="V972" s="579"/>
      <c r="W972" s="566"/>
      <c r="X972" s="586" t="str">
        <f t="shared" si="278"/>
        <v/>
      </c>
      <c r="Y972" s="586" t="str">
        <f t="shared" si="271"/>
        <v/>
      </c>
      <c r="Z972" s="586" t="str">
        <f t="shared" si="268"/>
        <v/>
      </c>
    </row>
    <row r="973" spans="1:26" ht="12" hidden="1" thickBot="1" x14ac:dyDescent="0.25">
      <c r="A973" s="567">
        <v>844</v>
      </c>
      <c r="B973" s="644">
        <v>844</v>
      </c>
      <c r="C973" s="645" t="s">
        <v>458</v>
      </c>
      <c r="D973" s="422" t="s">
        <v>2047</v>
      </c>
      <c r="E973" s="423"/>
      <c r="F973" s="424"/>
      <c r="G973" s="425"/>
      <c r="H973" s="651"/>
      <c r="I973" s="420">
        <v>45.23</v>
      </c>
      <c r="J973" s="420">
        <f t="shared" ref="J973:J979" si="281">IF(ISBLANK(I973),"",SUM(H973:I973))</f>
        <v>45.23</v>
      </c>
      <c r="K973" s="421">
        <f t="shared" si="280"/>
        <v>53.74</v>
      </c>
      <c r="L973" s="647" t="s">
        <v>21</v>
      </c>
      <c r="M973" s="576"/>
      <c r="N973" s="576">
        <f t="shared" si="269"/>
        <v>0</v>
      </c>
      <c r="O973" s="577">
        <f t="shared" si="276"/>
        <v>0</v>
      </c>
      <c r="P973" s="578">
        <f t="shared" si="277"/>
        <v>0</v>
      </c>
      <c r="Q973" s="765"/>
      <c r="R973" s="576">
        <f t="shared" si="273"/>
        <v>0</v>
      </c>
      <c r="S973" s="576">
        <f t="shared" si="273"/>
        <v>0</v>
      </c>
      <c r="T973" s="577">
        <f t="shared" si="274"/>
        <v>0</v>
      </c>
      <c r="U973" s="578">
        <f t="shared" si="275"/>
        <v>0</v>
      </c>
      <c r="V973" s="579"/>
      <c r="W973" s="566"/>
      <c r="X973" s="586" t="str">
        <f t="shared" si="278"/>
        <v/>
      </c>
      <c r="Y973" s="586" t="str">
        <f t="shared" si="271"/>
        <v/>
      </c>
      <c r="Z973" s="586" t="str">
        <f t="shared" si="268"/>
        <v/>
      </c>
    </row>
    <row r="974" spans="1:26" ht="12" hidden="1" thickBot="1" x14ac:dyDescent="0.25">
      <c r="A974" s="567">
        <v>845</v>
      </c>
      <c r="B974" s="644">
        <v>845</v>
      </c>
      <c r="C974" s="645" t="s">
        <v>458</v>
      </c>
      <c r="D974" s="422" t="s">
        <v>2048</v>
      </c>
      <c r="E974" s="423"/>
      <c r="F974" s="424"/>
      <c r="G974" s="425"/>
      <c r="H974" s="651"/>
      <c r="I974" s="420">
        <v>6.85</v>
      </c>
      <c r="J974" s="420">
        <f t="shared" si="281"/>
        <v>6.85</v>
      </c>
      <c r="K974" s="421">
        <f t="shared" si="280"/>
        <v>8.14</v>
      </c>
      <c r="L974" s="647" t="s">
        <v>21</v>
      </c>
      <c r="M974" s="576"/>
      <c r="N974" s="576">
        <f t="shared" si="269"/>
        <v>0</v>
      </c>
      <c r="O974" s="577">
        <f t="shared" si="276"/>
        <v>0</v>
      </c>
      <c r="P974" s="578">
        <f t="shared" si="277"/>
        <v>0</v>
      </c>
      <c r="Q974" s="765"/>
      <c r="R974" s="576">
        <f t="shared" si="273"/>
        <v>0</v>
      </c>
      <c r="S974" s="576">
        <f t="shared" si="273"/>
        <v>0</v>
      </c>
      <c r="T974" s="577">
        <f t="shared" si="274"/>
        <v>0</v>
      </c>
      <c r="U974" s="578">
        <f t="shared" si="275"/>
        <v>0</v>
      </c>
      <c r="V974" s="579"/>
      <c r="W974" s="566"/>
      <c r="X974" s="586" t="str">
        <f t="shared" si="278"/>
        <v/>
      </c>
      <c r="Y974" s="586" t="str">
        <f t="shared" si="271"/>
        <v/>
      </c>
      <c r="Z974" s="586" t="str">
        <f t="shared" si="268"/>
        <v/>
      </c>
    </row>
    <row r="975" spans="1:26" ht="12" hidden="1" thickBot="1" x14ac:dyDescent="0.25">
      <c r="A975" s="567" t="s">
        <v>571</v>
      </c>
      <c r="B975" s="644" t="s">
        <v>571</v>
      </c>
      <c r="C975" s="645" t="s">
        <v>458</v>
      </c>
      <c r="D975" s="422" t="s">
        <v>2049</v>
      </c>
      <c r="E975" s="423"/>
      <c r="F975" s="424"/>
      <c r="G975" s="425"/>
      <c r="H975" s="651"/>
      <c r="I975" s="420">
        <v>2.74</v>
      </c>
      <c r="J975" s="420">
        <f t="shared" si="281"/>
        <v>2.74</v>
      </c>
      <c r="K975" s="421">
        <f t="shared" si="280"/>
        <v>3.26</v>
      </c>
      <c r="L975" s="647" t="s">
        <v>21</v>
      </c>
      <c r="M975" s="576"/>
      <c r="N975" s="576">
        <f t="shared" si="269"/>
        <v>0</v>
      </c>
      <c r="O975" s="577">
        <f t="shared" si="276"/>
        <v>0</v>
      </c>
      <c r="P975" s="578">
        <f t="shared" si="277"/>
        <v>0</v>
      </c>
      <c r="Q975" s="765"/>
      <c r="R975" s="576">
        <f t="shared" si="273"/>
        <v>0</v>
      </c>
      <c r="S975" s="576">
        <f t="shared" si="273"/>
        <v>0</v>
      </c>
      <c r="T975" s="577">
        <f t="shared" si="274"/>
        <v>0</v>
      </c>
      <c r="U975" s="578">
        <f t="shared" si="275"/>
        <v>0</v>
      </c>
      <c r="V975" s="579"/>
      <c r="W975" s="566"/>
      <c r="X975" s="586" t="str">
        <f t="shared" si="278"/>
        <v/>
      </c>
      <c r="Y975" s="586" t="str">
        <f t="shared" si="271"/>
        <v/>
      </c>
      <c r="Z975" s="586" t="str">
        <f t="shared" si="268"/>
        <v/>
      </c>
    </row>
    <row r="976" spans="1:26" ht="12" hidden="1" thickBot="1" x14ac:dyDescent="0.25">
      <c r="A976" s="567">
        <v>846</v>
      </c>
      <c r="B976" s="644">
        <v>846</v>
      </c>
      <c r="C976" s="645" t="s">
        <v>458</v>
      </c>
      <c r="D976" s="422" t="s">
        <v>2050</v>
      </c>
      <c r="E976" s="423"/>
      <c r="F976" s="424"/>
      <c r="G976" s="425"/>
      <c r="H976" s="651"/>
      <c r="I976" s="420">
        <v>6.85</v>
      </c>
      <c r="J976" s="420">
        <f t="shared" si="281"/>
        <v>6.85</v>
      </c>
      <c r="K976" s="421">
        <f t="shared" si="280"/>
        <v>8.14</v>
      </c>
      <c r="L976" s="647" t="s">
        <v>21</v>
      </c>
      <c r="M976" s="576"/>
      <c r="N976" s="576">
        <f t="shared" si="269"/>
        <v>0</v>
      </c>
      <c r="O976" s="577">
        <f t="shared" si="276"/>
        <v>0</v>
      </c>
      <c r="P976" s="578">
        <f t="shared" si="277"/>
        <v>0</v>
      </c>
      <c r="Q976" s="765"/>
      <c r="R976" s="576">
        <f t="shared" si="273"/>
        <v>0</v>
      </c>
      <c r="S976" s="576">
        <f t="shared" si="273"/>
        <v>0</v>
      </c>
      <c r="T976" s="577">
        <f t="shared" si="274"/>
        <v>0</v>
      </c>
      <c r="U976" s="578">
        <f t="shared" si="275"/>
        <v>0</v>
      </c>
      <c r="V976" s="579"/>
      <c r="W976" s="566"/>
      <c r="X976" s="586" t="str">
        <f t="shared" si="278"/>
        <v/>
      </c>
      <c r="Y976" s="586" t="str">
        <f t="shared" si="271"/>
        <v/>
      </c>
      <c r="Z976" s="586" t="str">
        <f t="shared" si="268"/>
        <v/>
      </c>
    </row>
    <row r="977" spans="1:26" ht="12" hidden="1" thickBot="1" x14ac:dyDescent="0.25">
      <c r="A977" s="567">
        <v>859</v>
      </c>
      <c r="B977" s="644">
        <v>859</v>
      </c>
      <c r="C977" s="645" t="s">
        <v>458</v>
      </c>
      <c r="D977" s="422" t="s">
        <v>2051</v>
      </c>
      <c r="E977" s="423"/>
      <c r="F977" s="424"/>
      <c r="G977" s="425"/>
      <c r="H977" s="651"/>
      <c r="I977" s="420">
        <v>148.69999999999999</v>
      </c>
      <c r="J977" s="420">
        <f t="shared" si="281"/>
        <v>148.69999999999999</v>
      </c>
      <c r="K977" s="421">
        <f t="shared" si="280"/>
        <v>176.67</v>
      </c>
      <c r="L977" s="647" t="s">
        <v>21</v>
      </c>
      <c r="M977" s="576"/>
      <c r="N977" s="576">
        <f t="shared" si="269"/>
        <v>0</v>
      </c>
      <c r="O977" s="577">
        <f t="shared" si="276"/>
        <v>0</v>
      </c>
      <c r="P977" s="578">
        <f t="shared" si="277"/>
        <v>0</v>
      </c>
      <c r="Q977" s="765"/>
      <c r="R977" s="576">
        <f t="shared" si="273"/>
        <v>0</v>
      </c>
      <c r="S977" s="576">
        <f t="shared" si="273"/>
        <v>0</v>
      </c>
      <c r="T977" s="577">
        <f t="shared" si="274"/>
        <v>0</v>
      </c>
      <c r="U977" s="578">
        <f t="shared" si="275"/>
        <v>0</v>
      </c>
      <c r="V977" s="579"/>
      <c r="W977" s="566"/>
      <c r="X977" s="586" t="str">
        <f t="shared" si="278"/>
        <v/>
      </c>
      <c r="Y977" s="586" t="str">
        <f t="shared" si="271"/>
        <v/>
      </c>
      <c r="Z977" s="586" t="str">
        <f t="shared" si="268"/>
        <v/>
      </c>
    </row>
    <row r="978" spans="1:26" ht="12" hidden="1" thickBot="1" x14ac:dyDescent="0.25">
      <c r="A978" s="567" t="s">
        <v>573</v>
      </c>
      <c r="B978" s="644" t="s">
        <v>573</v>
      </c>
      <c r="C978" s="645" t="s">
        <v>458</v>
      </c>
      <c r="D978" s="422" t="s">
        <v>2052</v>
      </c>
      <c r="E978" s="423"/>
      <c r="F978" s="424"/>
      <c r="G978" s="425"/>
      <c r="H978" s="651"/>
      <c r="I978" s="420">
        <v>59.62</v>
      </c>
      <c r="J978" s="420">
        <f t="shared" si="281"/>
        <v>59.62</v>
      </c>
      <c r="K978" s="421">
        <f t="shared" si="280"/>
        <v>70.83</v>
      </c>
      <c r="L978" s="647" t="s">
        <v>21</v>
      </c>
      <c r="M978" s="576"/>
      <c r="N978" s="576">
        <f t="shared" si="269"/>
        <v>0</v>
      </c>
      <c r="O978" s="577">
        <f t="shared" si="276"/>
        <v>0</v>
      </c>
      <c r="P978" s="578">
        <f t="shared" si="277"/>
        <v>0</v>
      </c>
      <c r="Q978" s="765"/>
      <c r="R978" s="576">
        <f t="shared" si="273"/>
        <v>0</v>
      </c>
      <c r="S978" s="576">
        <f t="shared" si="273"/>
        <v>0</v>
      </c>
      <c r="T978" s="577">
        <f t="shared" si="274"/>
        <v>0</v>
      </c>
      <c r="U978" s="578">
        <f t="shared" si="275"/>
        <v>0</v>
      </c>
      <c r="V978" s="579"/>
      <c r="W978" s="566"/>
      <c r="X978" s="586" t="str">
        <f t="shared" si="278"/>
        <v/>
      </c>
      <c r="Y978" s="586" t="str">
        <f t="shared" si="271"/>
        <v/>
      </c>
      <c r="Z978" s="586" t="str">
        <f t="shared" si="268"/>
        <v/>
      </c>
    </row>
    <row r="979" spans="1:26" ht="23.25" hidden="1" thickBot="1" x14ac:dyDescent="0.25">
      <c r="A979" s="567">
        <v>102102</v>
      </c>
      <c r="B979" s="644">
        <v>102102</v>
      </c>
      <c r="C979" s="645" t="s">
        <v>670</v>
      </c>
      <c r="D979" s="422" t="s">
        <v>827</v>
      </c>
      <c r="E979" s="423"/>
      <c r="F979" s="424"/>
      <c r="G979" s="425"/>
      <c r="H979" s="651"/>
      <c r="I979" s="420">
        <v>9891.84</v>
      </c>
      <c r="J979" s="420">
        <f t="shared" si="281"/>
        <v>9891.84</v>
      </c>
      <c r="K979" s="421">
        <f t="shared" si="280"/>
        <v>11752.5</v>
      </c>
      <c r="L979" s="647" t="s">
        <v>2065</v>
      </c>
      <c r="M979" s="576"/>
      <c r="N979" s="576">
        <f t="shared" si="269"/>
        <v>0</v>
      </c>
      <c r="O979" s="577">
        <f t="shared" si="276"/>
        <v>0</v>
      </c>
      <c r="P979" s="578">
        <f t="shared" si="277"/>
        <v>0</v>
      </c>
      <c r="Q979" s="765"/>
      <c r="R979" s="576">
        <f t="shared" si="273"/>
        <v>0</v>
      </c>
      <c r="S979" s="576">
        <f t="shared" si="273"/>
        <v>0</v>
      </c>
      <c r="T979" s="577">
        <f t="shared" si="274"/>
        <v>0</v>
      </c>
      <c r="U979" s="578">
        <f t="shared" si="275"/>
        <v>0</v>
      </c>
      <c r="V979" s="579"/>
      <c r="W979" s="566"/>
      <c r="X979" s="586" t="str">
        <f t="shared" si="278"/>
        <v/>
      </c>
      <c r="Y979" s="586" t="str">
        <f t="shared" si="271"/>
        <v/>
      </c>
      <c r="Z979" s="586" t="str">
        <f t="shared" ref="Z979:Z1042" si="282">IF(W979="X","x",IF(U979&gt;0,"x",""))</f>
        <v/>
      </c>
    </row>
    <row r="980" spans="1:26" ht="23.25" hidden="1" thickBot="1" x14ac:dyDescent="0.25">
      <c r="A980" s="567">
        <v>102103</v>
      </c>
      <c r="B980" s="644">
        <v>102103</v>
      </c>
      <c r="C980" s="645" t="s">
        <v>670</v>
      </c>
      <c r="D980" s="422" t="s">
        <v>828</v>
      </c>
      <c r="E980" s="423"/>
      <c r="F980" s="424"/>
      <c r="G980" s="425"/>
      <c r="H980" s="651"/>
      <c r="I980" s="420">
        <v>11004</v>
      </c>
      <c r="J980" s="420">
        <f t="shared" ref="J980:J1042" si="283">IF(ISBLANK(I980),"",SUM(H980:I980))</f>
        <v>11004</v>
      </c>
      <c r="K980" s="421">
        <f t="shared" si="280"/>
        <v>13073.85</v>
      </c>
      <c r="L980" s="647" t="s">
        <v>2065</v>
      </c>
      <c r="M980" s="576"/>
      <c r="N980" s="576">
        <f t="shared" ref="N980:N1043" si="284">IF(M980=0,0,K980)</f>
        <v>0</v>
      </c>
      <c r="O980" s="577">
        <f t="shared" si="276"/>
        <v>0</v>
      </c>
      <c r="P980" s="578">
        <f t="shared" si="277"/>
        <v>0</v>
      </c>
      <c r="Q980" s="765"/>
      <c r="R980" s="576">
        <f t="shared" si="273"/>
        <v>0</v>
      </c>
      <c r="S980" s="576">
        <f t="shared" si="273"/>
        <v>0</v>
      </c>
      <c r="T980" s="577">
        <f t="shared" si="274"/>
        <v>0</v>
      </c>
      <c r="U980" s="578">
        <f t="shared" si="275"/>
        <v>0</v>
      </c>
      <c r="V980" s="579"/>
      <c r="W980" s="566"/>
      <c r="X980" s="586" t="str">
        <f t="shared" si="278"/>
        <v/>
      </c>
      <c r="Y980" s="586" t="str">
        <f t="shared" si="271"/>
        <v/>
      </c>
      <c r="Z980" s="586" t="str">
        <f t="shared" si="282"/>
        <v/>
      </c>
    </row>
    <row r="981" spans="1:26" ht="23.25" hidden="1" thickBot="1" x14ac:dyDescent="0.25">
      <c r="A981" s="567">
        <v>102104</v>
      </c>
      <c r="B981" s="644">
        <v>102104</v>
      </c>
      <c r="C981" s="645" t="s">
        <v>670</v>
      </c>
      <c r="D981" s="422" t="s">
        <v>829</v>
      </c>
      <c r="E981" s="423"/>
      <c r="F981" s="424"/>
      <c r="G981" s="425"/>
      <c r="H981" s="651"/>
      <c r="I981" s="420">
        <v>14103.55</v>
      </c>
      <c r="J981" s="420">
        <f t="shared" si="283"/>
        <v>14103.55</v>
      </c>
      <c r="K981" s="421">
        <f t="shared" si="280"/>
        <v>16756.43</v>
      </c>
      <c r="L981" s="647" t="s">
        <v>2065</v>
      </c>
      <c r="M981" s="576"/>
      <c r="N981" s="576">
        <f t="shared" si="284"/>
        <v>0</v>
      </c>
      <c r="O981" s="577">
        <f t="shared" si="276"/>
        <v>0</v>
      </c>
      <c r="P981" s="578">
        <f t="shared" si="277"/>
        <v>0</v>
      </c>
      <c r="Q981" s="765"/>
      <c r="R981" s="576">
        <f t="shared" si="273"/>
        <v>0</v>
      </c>
      <c r="S981" s="576">
        <f t="shared" si="273"/>
        <v>0</v>
      </c>
      <c r="T981" s="577">
        <f t="shared" si="274"/>
        <v>0</v>
      </c>
      <c r="U981" s="578">
        <f t="shared" si="275"/>
        <v>0</v>
      </c>
      <c r="V981" s="579"/>
      <c r="W981" s="566"/>
      <c r="X981" s="586" t="str">
        <f t="shared" si="278"/>
        <v/>
      </c>
      <c r="Y981" s="586" t="str">
        <f t="shared" si="271"/>
        <v/>
      </c>
      <c r="Z981" s="586" t="str">
        <f t="shared" si="282"/>
        <v/>
      </c>
    </row>
    <row r="982" spans="1:26" ht="23.25" hidden="1" thickBot="1" x14ac:dyDescent="0.25">
      <c r="A982" s="567">
        <v>102105</v>
      </c>
      <c r="B982" s="644">
        <v>102105</v>
      </c>
      <c r="C982" s="645" t="s">
        <v>670</v>
      </c>
      <c r="D982" s="422" t="s">
        <v>830</v>
      </c>
      <c r="E982" s="423"/>
      <c r="F982" s="424"/>
      <c r="G982" s="425"/>
      <c r="H982" s="651"/>
      <c r="I982" s="420">
        <v>17324</v>
      </c>
      <c r="J982" s="420">
        <f t="shared" si="283"/>
        <v>17324</v>
      </c>
      <c r="K982" s="421">
        <f t="shared" si="280"/>
        <v>20582.64</v>
      </c>
      <c r="L982" s="647" t="s">
        <v>2065</v>
      </c>
      <c r="M982" s="576"/>
      <c r="N982" s="576">
        <f t="shared" si="284"/>
        <v>0</v>
      </c>
      <c r="O982" s="577">
        <f t="shared" si="276"/>
        <v>0</v>
      </c>
      <c r="P982" s="578">
        <f t="shared" si="277"/>
        <v>0</v>
      </c>
      <c r="Q982" s="765"/>
      <c r="R982" s="576">
        <f t="shared" si="273"/>
        <v>0</v>
      </c>
      <c r="S982" s="576">
        <f t="shared" si="273"/>
        <v>0</v>
      </c>
      <c r="T982" s="577">
        <f t="shared" si="274"/>
        <v>0</v>
      </c>
      <c r="U982" s="578">
        <f t="shared" si="275"/>
        <v>0</v>
      </c>
      <c r="V982" s="579"/>
      <c r="W982" s="566"/>
      <c r="X982" s="586" t="str">
        <f t="shared" si="278"/>
        <v/>
      </c>
      <c r="Y982" s="586" t="str">
        <f t="shared" si="271"/>
        <v/>
      </c>
      <c r="Z982" s="586" t="str">
        <f t="shared" si="282"/>
        <v/>
      </c>
    </row>
    <row r="983" spans="1:26" ht="23.25" hidden="1" thickBot="1" x14ac:dyDescent="0.25">
      <c r="A983" s="567">
        <v>102106</v>
      </c>
      <c r="B983" s="644">
        <v>102106</v>
      </c>
      <c r="C983" s="645" t="s">
        <v>670</v>
      </c>
      <c r="D983" s="422" t="s">
        <v>831</v>
      </c>
      <c r="E983" s="423"/>
      <c r="F983" s="424"/>
      <c r="G983" s="425"/>
      <c r="H983" s="651"/>
      <c r="I983" s="420">
        <v>21717.759999999998</v>
      </c>
      <c r="J983" s="420">
        <f t="shared" si="283"/>
        <v>21717.759999999998</v>
      </c>
      <c r="K983" s="421">
        <f t="shared" si="280"/>
        <v>25802.87</v>
      </c>
      <c r="L983" s="647" t="s">
        <v>2065</v>
      </c>
      <c r="M983" s="576"/>
      <c r="N983" s="576">
        <f t="shared" si="284"/>
        <v>0</v>
      </c>
      <c r="O983" s="577">
        <f t="shared" si="276"/>
        <v>0</v>
      </c>
      <c r="P983" s="578">
        <f t="shared" si="277"/>
        <v>0</v>
      </c>
      <c r="Q983" s="765"/>
      <c r="R983" s="576">
        <f t="shared" si="273"/>
        <v>0</v>
      </c>
      <c r="S983" s="576">
        <f t="shared" si="273"/>
        <v>0</v>
      </c>
      <c r="T983" s="577">
        <f t="shared" si="274"/>
        <v>0</v>
      </c>
      <c r="U983" s="578">
        <f t="shared" si="275"/>
        <v>0</v>
      </c>
      <c r="V983" s="579"/>
      <c r="W983" s="566"/>
      <c r="X983" s="586" t="str">
        <f t="shared" si="278"/>
        <v/>
      </c>
      <c r="Y983" s="586" t="str">
        <f t="shared" si="271"/>
        <v/>
      </c>
      <c r="Z983" s="586" t="str">
        <f t="shared" si="282"/>
        <v/>
      </c>
    </row>
    <row r="984" spans="1:26" ht="23.25" hidden="1" thickBot="1" x14ac:dyDescent="0.25">
      <c r="A984" s="567">
        <v>102107</v>
      </c>
      <c r="B984" s="644">
        <v>102107</v>
      </c>
      <c r="C984" s="645" t="s">
        <v>670</v>
      </c>
      <c r="D984" s="422" t="s">
        <v>832</v>
      </c>
      <c r="E984" s="423"/>
      <c r="F984" s="424"/>
      <c r="G984" s="425"/>
      <c r="H984" s="651"/>
      <c r="I984" s="420">
        <v>30286.99</v>
      </c>
      <c r="J984" s="420">
        <f t="shared" si="283"/>
        <v>30286.99</v>
      </c>
      <c r="K984" s="421">
        <f t="shared" si="280"/>
        <v>35983.97</v>
      </c>
      <c r="L984" s="647" t="s">
        <v>2065</v>
      </c>
      <c r="M984" s="576"/>
      <c r="N984" s="576">
        <f t="shared" si="284"/>
        <v>0</v>
      </c>
      <c r="O984" s="577">
        <f t="shared" si="276"/>
        <v>0</v>
      </c>
      <c r="P984" s="578">
        <f t="shared" si="277"/>
        <v>0</v>
      </c>
      <c r="Q984" s="765"/>
      <c r="R984" s="576">
        <f t="shared" si="273"/>
        <v>0</v>
      </c>
      <c r="S984" s="576">
        <f t="shared" si="273"/>
        <v>0</v>
      </c>
      <c r="T984" s="577">
        <f t="shared" si="274"/>
        <v>0</v>
      </c>
      <c r="U984" s="578">
        <f t="shared" si="275"/>
        <v>0</v>
      </c>
      <c r="V984" s="579"/>
      <c r="W984" s="566"/>
      <c r="X984" s="586" t="str">
        <f t="shared" si="278"/>
        <v/>
      </c>
      <c r="Y984" s="586" t="str">
        <f t="shared" si="271"/>
        <v/>
      </c>
      <c r="Z984" s="586" t="str">
        <f t="shared" si="282"/>
        <v/>
      </c>
    </row>
    <row r="985" spans="1:26" ht="23.25" hidden="1" thickBot="1" x14ac:dyDescent="0.25">
      <c r="A985" s="567">
        <v>102108</v>
      </c>
      <c r="B985" s="644">
        <v>102108</v>
      </c>
      <c r="C985" s="645" t="s">
        <v>670</v>
      </c>
      <c r="D985" s="422" t="s">
        <v>833</v>
      </c>
      <c r="E985" s="423"/>
      <c r="F985" s="424"/>
      <c r="G985" s="425"/>
      <c r="H985" s="651"/>
      <c r="I985" s="420">
        <v>35262.17</v>
      </c>
      <c r="J985" s="420">
        <f t="shared" si="283"/>
        <v>35262.17</v>
      </c>
      <c r="K985" s="421">
        <f t="shared" si="280"/>
        <v>41894.980000000003</v>
      </c>
      <c r="L985" s="647" t="s">
        <v>2065</v>
      </c>
      <c r="M985" s="576"/>
      <c r="N985" s="576">
        <f t="shared" si="284"/>
        <v>0</v>
      </c>
      <c r="O985" s="577">
        <f t="shared" si="276"/>
        <v>0</v>
      </c>
      <c r="P985" s="578">
        <f t="shared" si="277"/>
        <v>0</v>
      </c>
      <c r="Q985" s="765"/>
      <c r="R985" s="576">
        <f t="shared" si="273"/>
        <v>0</v>
      </c>
      <c r="S985" s="576">
        <f t="shared" si="273"/>
        <v>0</v>
      </c>
      <c r="T985" s="577">
        <f t="shared" si="274"/>
        <v>0</v>
      </c>
      <c r="U985" s="578">
        <f t="shared" si="275"/>
        <v>0</v>
      </c>
      <c r="V985" s="579"/>
      <c r="W985" s="566"/>
      <c r="X985" s="586" t="str">
        <f t="shared" si="278"/>
        <v/>
      </c>
      <c r="Y985" s="586" t="str">
        <f t="shared" si="271"/>
        <v/>
      </c>
      <c r="Z985" s="586" t="str">
        <f t="shared" si="282"/>
        <v/>
      </c>
    </row>
    <row r="986" spans="1:26" ht="23.25" hidden="1" thickBot="1" x14ac:dyDescent="0.25">
      <c r="A986" s="567">
        <v>102109</v>
      </c>
      <c r="B986" s="644">
        <v>102109</v>
      </c>
      <c r="C986" s="645" t="s">
        <v>670</v>
      </c>
      <c r="D986" s="422" t="s">
        <v>834</v>
      </c>
      <c r="E986" s="423"/>
      <c r="F986" s="424"/>
      <c r="G986" s="425"/>
      <c r="H986" s="651"/>
      <c r="I986" s="420">
        <v>46.36</v>
      </c>
      <c r="J986" s="420">
        <f t="shared" si="283"/>
        <v>46.36</v>
      </c>
      <c r="K986" s="421">
        <f t="shared" si="280"/>
        <v>55.08</v>
      </c>
      <c r="L986" s="647" t="s">
        <v>2065</v>
      </c>
      <c r="M986" s="576"/>
      <c r="N986" s="576">
        <f t="shared" si="284"/>
        <v>0</v>
      </c>
      <c r="O986" s="577">
        <f t="shared" si="276"/>
        <v>0</v>
      </c>
      <c r="P986" s="578">
        <f t="shared" si="277"/>
        <v>0</v>
      </c>
      <c r="Q986" s="765"/>
      <c r="R986" s="576">
        <f t="shared" si="273"/>
        <v>0</v>
      </c>
      <c r="S986" s="576">
        <f t="shared" si="273"/>
        <v>0</v>
      </c>
      <c r="T986" s="577">
        <f t="shared" si="274"/>
        <v>0</v>
      </c>
      <c r="U986" s="578">
        <f t="shared" si="275"/>
        <v>0</v>
      </c>
      <c r="V986" s="579"/>
      <c r="W986" s="566"/>
      <c r="X986" s="586" t="str">
        <f t="shared" si="278"/>
        <v/>
      </c>
      <c r="Y986" s="586" t="str">
        <f t="shared" si="271"/>
        <v/>
      </c>
      <c r="Z986" s="586" t="str">
        <f t="shared" si="282"/>
        <v/>
      </c>
    </row>
    <row r="987" spans="1:26" ht="23.25" hidden="1" thickBot="1" x14ac:dyDescent="0.25">
      <c r="A987" s="567">
        <v>102110</v>
      </c>
      <c r="B987" s="644">
        <v>102110</v>
      </c>
      <c r="C987" s="645" t="s">
        <v>670</v>
      </c>
      <c r="D987" s="422" t="s">
        <v>835</v>
      </c>
      <c r="E987" s="423"/>
      <c r="F987" s="424"/>
      <c r="G987" s="425"/>
      <c r="H987" s="651"/>
      <c r="I987" s="420">
        <v>124.4</v>
      </c>
      <c r="J987" s="420">
        <f t="shared" si="283"/>
        <v>124.4</v>
      </c>
      <c r="K987" s="421">
        <f t="shared" si="280"/>
        <v>147.80000000000001</v>
      </c>
      <c r="L987" s="647" t="s">
        <v>2065</v>
      </c>
      <c r="M987" s="576"/>
      <c r="N987" s="576">
        <f t="shared" si="284"/>
        <v>0</v>
      </c>
      <c r="O987" s="577">
        <f t="shared" si="276"/>
        <v>0</v>
      </c>
      <c r="P987" s="578">
        <f t="shared" si="277"/>
        <v>0</v>
      </c>
      <c r="Q987" s="765"/>
      <c r="R987" s="576">
        <f t="shared" si="273"/>
        <v>0</v>
      </c>
      <c r="S987" s="576">
        <f t="shared" si="273"/>
        <v>0</v>
      </c>
      <c r="T987" s="577">
        <f t="shared" si="274"/>
        <v>0</v>
      </c>
      <c r="U987" s="578">
        <f t="shared" si="275"/>
        <v>0</v>
      </c>
      <c r="V987" s="579"/>
      <c r="W987" s="566"/>
      <c r="X987" s="586" t="str">
        <f t="shared" si="278"/>
        <v/>
      </c>
      <c r="Y987" s="586" t="str">
        <f t="shared" si="271"/>
        <v/>
      </c>
      <c r="Z987" s="586" t="str">
        <f t="shared" si="282"/>
        <v/>
      </c>
    </row>
    <row r="988" spans="1:26" ht="23.25" hidden="1" thickBot="1" x14ac:dyDescent="0.25">
      <c r="A988" s="567">
        <v>100619</v>
      </c>
      <c r="B988" s="644">
        <v>100619</v>
      </c>
      <c r="C988" s="645" t="s">
        <v>670</v>
      </c>
      <c r="D988" s="422" t="s">
        <v>836</v>
      </c>
      <c r="E988" s="423"/>
      <c r="F988" s="424"/>
      <c r="G988" s="425"/>
      <c r="H988" s="651"/>
      <c r="I988" s="420">
        <v>636.61</v>
      </c>
      <c r="J988" s="420">
        <f t="shared" si="283"/>
        <v>636.61</v>
      </c>
      <c r="K988" s="421">
        <f t="shared" si="280"/>
        <v>756.36</v>
      </c>
      <c r="L988" s="647" t="s">
        <v>2065</v>
      </c>
      <c r="M988" s="576"/>
      <c r="N988" s="576">
        <f t="shared" si="284"/>
        <v>0</v>
      </c>
      <c r="O988" s="577">
        <f t="shared" si="276"/>
        <v>0</v>
      </c>
      <c r="P988" s="578">
        <f t="shared" si="277"/>
        <v>0</v>
      </c>
      <c r="Q988" s="765"/>
      <c r="R988" s="576">
        <f t="shared" si="273"/>
        <v>0</v>
      </c>
      <c r="S988" s="576">
        <f t="shared" si="273"/>
        <v>0</v>
      </c>
      <c r="T988" s="577">
        <f t="shared" si="274"/>
        <v>0</v>
      </c>
      <c r="U988" s="578">
        <f t="shared" si="275"/>
        <v>0</v>
      </c>
      <c r="V988" s="579"/>
      <c r="W988" s="566"/>
      <c r="X988" s="586" t="str">
        <f t="shared" si="278"/>
        <v/>
      </c>
      <c r="Y988" s="586" t="str">
        <f t="shared" si="271"/>
        <v/>
      </c>
      <c r="Z988" s="586" t="str">
        <f t="shared" si="282"/>
        <v/>
      </c>
    </row>
    <row r="989" spans="1:26" ht="23.25" hidden="1" thickBot="1" x14ac:dyDescent="0.25">
      <c r="A989" s="567">
        <v>100620</v>
      </c>
      <c r="B989" s="644">
        <v>100620</v>
      </c>
      <c r="C989" s="645" t="s">
        <v>670</v>
      </c>
      <c r="D989" s="422" t="s">
        <v>837</v>
      </c>
      <c r="E989" s="423"/>
      <c r="F989" s="424"/>
      <c r="G989" s="425"/>
      <c r="H989" s="651"/>
      <c r="I989" s="420">
        <v>3872.57</v>
      </c>
      <c r="J989" s="420">
        <f t="shared" si="283"/>
        <v>3872.57</v>
      </c>
      <c r="K989" s="421">
        <f t="shared" si="280"/>
        <v>4601</v>
      </c>
      <c r="L989" s="647" t="s">
        <v>2065</v>
      </c>
      <c r="M989" s="576"/>
      <c r="N989" s="576">
        <f t="shared" si="284"/>
        <v>0</v>
      </c>
      <c r="O989" s="577">
        <f t="shared" si="276"/>
        <v>0</v>
      </c>
      <c r="P989" s="578">
        <f t="shared" si="277"/>
        <v>0</v>
      </c>
      <c r="Q989" s="765"/>
      <c r="R989" s="576">
        <f t="shared" si="273"/>
        <v>0</v>
      </c>
      <c r="S989" s="576">
        <f t="shared" si="273"/>
        <v>0</v>
      </c>
      <c r="T989" s="577">
        <f t="shared" si="274"/>
        <v>0</v>
      </c>
      <c r="U989" s="578">
        <f t="shared" si="275"/>
        <v>0</v>
      </c>
      <c r="V989" s="579"/>
      <c r="W989" s="566"/>
      <c r="X989" s="586" t="str">
        <f t="shared" si="278"/>
        <v/>
      </c>
      <c r="Y989" s="586" t="str">
        <f t="shared" si="271"/>
        <v/>
      </c>
      <c r="Z989" s="586" t="str">
        <f t="shared" si="282"/>
        <v/>
      </c>
    </row>
    <row r="990" spans="1:26" ht="23.25" hidden="1" thickBot="1" x14ac:dyDescent="0.25">
      <c r="A990" s="567">
        <v>100621</v>
      </c>
      <c r="B990" s="644">
        <v>100621</v>
      </c>
      <c r="C990" s="645" t="s">
        <v>670</v>
      </c>
      <c r="D990" s="422" t="s">
        <v>838</v>
      </c>
      <c r="E990" s="423"/>
      <c r="F990" s="424"/>
      <c r="G990" s="425"/>
      <c r="H990" s="651"/>
      <c r="I990" s="420">
        <v>4438.99</v>
      </c>
      <c r="J990" s="420">
        <f t="shared" si="283"/>
        <v>4438.99</v>
      </c>
      <c r="K990" s="421">
        <f t="shared" si="280"/>
        <v>5273.96</v>
      </c>
      <c r="L990" s="647" t="s">
        <v>2065</v>
      </c>
      <c r="M990" s="576"/>
      <c r="N990" s="576">
        <f t="shared" si="284"/>
        <v>0</v>
      </c>
      <c r="O990" s="577">
        <f t="shared" si="276"/>
        <v>0</v>
      </c>
      <c r="P990" s="578">
        <f t="shared" si="277"/>
        <v>0</v>
      </c>
      <c r="Q990" s="765"/>
      <c r="R990" s="576">
        <f t="shared" si="273"/>
        <v>0</v>
      </c>
      <c r="S990" s="576">
        <f t="shared" si="273"/>
        <v>0</v>
      </c>
      <c r="T990" s="577">
        <f t="shared" si="274"/>
        <v>0</v>
      </c>
      <c r="U990" s="578">
        <f t="shared" si="275"/>
        <v>0</v>
      </c>
      <c r="V990" s="579"/>
      <c r="W990" s="566"/>
      <c r="X990" s="586" t="str">
        <f t="shared" si="278"/>
        <v/>
      </c>
      <c r="Y990" s="586" t="str">
        <f t="shared" si="271"/>
        <v/>
      </c>
      <c r="Z990" s="586" t="str">
        <f t="shared" si="282"/>
        <v/>
      </c>
    </row>
    <row r="991" spans="1:26" ht="23.25" hidden="1" thickBot="1" x14ac:dyDescent="0.25">
      <c r="A991" s="567">
        <v>100622</v>
      </c>
      <c r="B991" s="644">
        <v>100622</v>
      </c>
      <c r="C991" s="645" t="s">
        <v>670</v>
      </c>
      <c r="D991" s="422" t="s">
        <v>839</v>
      </c>
      <c r="E991" s="423"/>
      <c r="F991" s="424"/>
      <c r="G991" s="425"/>
      <c r="H991" s="651"/>
      <c r="I991" s="420">
        <v>2912.84</v>
      </c>
      <c r="J991" s="420">
        <f t="shared" si="283"/>
        <v>2912.84</v>
      </c>
      <c r="K991" s="421">
        <f t="shared" si="280"/>
        <v>3460.75</v>
      </c>
      <c r="L991" s="647" t="s">
        <v>2065</v>
      </c>
      <c r="M991" s="576"/>
      <c r="N991" s="576">
        <f t="shared" si="284"/>
        <v>0</v>
      </c>
      <c r="O991" s="577">
        <f t="shared" si="276"/>
        <v>0</v>
      </c>
      <c r="P991" s="578">
        <f t="shared" si="277"/>
        <v>0</v>
      </c>
      <c r="Q991" s="765"/>
      <c r="R991" s="576">
        <f t="shared" si="273"/>
        <v>0</v>
      </c>
      <c r="S991" s="576">
        <f t="shared" si="273"/>
        <v>0</v>
      </c>
      <c r="T991" s="577">
        <f t="shared" si="274"/>
        <v>0</v>
      </c>
      <c r="U991" s="578">
        <f t="shared" si="275"/>
        <v>0</v>
      </c>
      <c r="V991" s="579"/>
      <c r="W991" s="566"/>
      <c r="X991" s="586" t="str">
        <f t="shared" si="278"/>
        <v/>
      </c>
      <c r="Y991" s="586" t="str">
        <f t="shared" si="271"/>
        <v/>
      </c>
      <c r="Z991" s="586" t="str">
        <f t="shared" si="282"/>
        <v/>
      </c>
    </row>
    <row r="992" spans="1:26" ht="23.25" hidden="1" thickBot="1" x14ac:dyDescent="0.25">
      <c r="A992" s="567">
        <v>100623</v>
      </c>
      <c r="B992" s="644">
        <v>100623</v>
      </c>
      <c r="C992" s="645" t="s">
        <v>670</v>
      </c>
      <c r="D992" s="422" t="s">
        <v>840</v>
      </c>
      <c r="E992" s="423"/>
      <c r="F992" s="424"/>
      <c r="G992" s="425"/>
      <c r="H992" s="651"/>
      <c r="I992" s="420">
        <v>3153.04</v>
      </c>
      <c r="J992" s="420">
        <f t="shared" si="283"/>
        <v>3153.04</v>
      </c>
      <c r="K992" s="421">
        <f t="shared" si="280"/>
        <v>3746.13</v>
      </c>
      <c r="L992" s="647" t="s">
        <v>2065</v>
      </c>
      <c r="M992" s="576"/>
      <c r="N992" s="576">
        <f t="shared" si="284"/>
        <v>0</v>
      </c>
      <c r="O992" s="577">
        <f t="shared" si="276"/>
        <v>0</v>
      </c>
      <c r="P992" s="578">
        <f t="shared" si="277"/>
        <v>0</v>
      </c>
      <c r="Q992" s="765"/>
      <c r="R992" s="576">
        <f t="shared" si="273"/>
        <v>0</v>
      </c>
      <c r="S992" s="576">
        <f t="shared" si="273"/>
        <v>0</v>
      </c>
      <c r="T992" s="577">
        <f t="shared" si="274"/>
        <v>0</v>
      </c>
      <c r="U992" s="578">
        <f t="shared" si="275"/>
        <v>0</v>
      </c>
      <c r="V992" s="579"/>
      <c r="W992" s="566"/>
      <c r="X992" s="586" t="str">
        <f t="shared" si="278"/>
        <v/>
      </c>
      <c r="Y992" s="586" t="str">
        <f t="shared" si="271"/>
        <v/>
      </c>
      <c r="Z992" s="586" t="str">
        <f t="shared" si="282"/>
        <v/>
      </c>
    </row>
    <row r="993" spans="1:26" ht="34.5" hidden="1" thickBot="1" x14ac:dyDescent="0.25">
      <c r="A993" s="567">
        <v>100578</v>
      </c>
      <c r="B993" s="644">
        <v>100578</v>
      </c>
      <c r="C993" s="645" t="s">
        <v>670</v>
      </c>
      <c r="D993" s="422" t="s">
        <v>841</v>
      </c>
      <c r="E993" s="423"/>
      <c r="F993" s="424"/>
      <c r="G993" s="425"/>
      <c r="H993" s="651"/>
      <c r="I993" s="420">
        <v>503.67</v>
      </c>
      <c r="J993" s="420">
        <f t="shared" si="283"/>
        <v>503.67</v>
      </c>
      <c r="K993" s="421">
        <f t="shared" si="280"/>
        <v>598.41</v>
      </c>
      <c r="L993" s="647" t="s">
        <v>2065</v>
      </c>
      <c r="M993" s="576"/>
      <c r="N993" s="576">
        <f t="shared" si="284"/>
        <v>0</v>
      </c>
      <c r="O993" s="577">
        <f t="shared" si="276"/>
        <v>0</v>
      </c>
      <c r="P993" s="578">
        <f t="shared" si="277"/>
        <v>0</v>
      </c>
      <c r="Q993" s="765"/>
      <c r="R993" s="576">
        <f t="shared" si="273"/>
        <v>0</v>
      </c>
      <c r="S993" s="576">
        <f t="shared" si="273"/>
        <v>0</v>
      </c>
      <c r="T993" s="577">
        <f t="shared" si="274"/>
        <v>0</v>
      </c>
      <c r="U993" s="578">
        <f t="shared" si="275"/>
        <v>0</v>
      </c>
      <c r="V993" s="579"/>
      <c r="W993" s="566"/>
      <c r="X993" s="586" t="str">
        <f t="shared" si="278"/>
        <v/>
      </c>
      <c r="Y993" s="586" t="str">
        <f t="shared" si="271"/>
        <v/>
      </c>
      <c r="Z993" s="586" t="str">
        <f t="shared" si="282"/>
        <v/>
      </c>
    </row>
    <row r="994" spans="1:26" ht="34.5" hidden="1" thickBot="1" x14ac:dyDescent="0.25">
      <c r="A994" s="567">
        <v>100579</v>
      </c>
      <c r="B994" s="644">
        <v>100579</v>
      </c>
      <c r="C994" s="645" t="s">
        <v>670</v>
      </c>
      <c r="D994" s="422" t="s">
        <v>842</v>
      </c>
      <c r="E994" s="423"/>
      <c r="F994" s="424"/>
      <c r="G994" s="425"/>
      <c r="H994" s="651"/>
      <c r="I994" s="420">
        <v>552.51</v>
      </c>
      <c r="J994" s="420">
        <f t="shared" si="283"/>
        <v>552.51</v>
      </c>
      <c r="K994" s="421">
        <f t="shared" si="280"/>
        <v>656.44</v>
      </c>
      <c r="L994" s="647" t="s">
        <v>2065</v>
      </c>
      <c r="M994" s="576"/>
      <c r="N994" s="576">
        <f t="shared" si="284"/>
        <v>0</v>
      </c>
      <c r="O994" s="577">
        <f t="shared" si="276"/>
        <v>0</v>
      </c>
      <c r="P994" s="578">
        <f t="shared" si="277"/>
        <v>0</v>
      </c>
      <c r="Q994" s="765"/>
      <c r="R994" s="576">
        <f t="shared" si="273"/>
        <v>0</v>
      </c>
      <c r="S994" s="576">
        <f t="shared" si="273"/>
        <v>0</v>
      </c>
      <c r="T994" s="577">
        <f t="shared" si="274"/>
        <v>0</v>
      </c>
      <c r="U994" s="578">
        <f t="shared" si="275"/>
        <v>0</v>
      </c>
      <c r="V994" s="579"/>
      <c r="W994" s="566"/>
      <c r="X994" s="586" t="str">
        <f t="shared" si="278"/>
        <v/>
      </c>
      <c r="Y994" s="586" t="str">
        <f t="shared" si="271"/>
        <v/>
      </c>
      <c r="Z994" s="586" t="str">
        <f t="shared" si="282"/>
        <v/>
      </c>
    </row>
    <row r="995" spans="1:26" ht="23.25" hidden="1" thickBot="1" x14ac:dyDescent="0.25">
      <c r="A995" s="567">
        <v>100580</v>
      </c>
      <c r="B995" s="644">
        <v>100580</v>
      </c>
      <c r="C995" s="645" t="s">
        <v>670</v>
      </c>
      <c r="D995" s="422" t="s">
        <v>843</v>
      </c>
      <c r="E995" s="423"/>
      <c r="F995" s="424"/>
      <c r="G995" s="425"/>
      <c r="H995" s="651"/>
      <c r="I995" s="420">
        <v>602.62</v>
      </c>
      <c r="J995" s="420">
        <f t="shared" si="283"/>
        <v>602.62</v>
      </c>
      <c r="K995" s="421">
        <f t="shared" si="280"/>
        <v>715.97</v>
      </c>
      <c r="L995" s="647" t="s">
        <v>2065</v>
      </c>
      <c r="M995" s="576"/>
      <c r="N995" s="576">
        <f t="shared" si="284"/>
        <v>0</v>
      </c>
      <c r="O995" s="577">
        <f t="shared" si="276"/>
        <v>0</v>
      </c>
      <c r="P995" s="578">
        <f t="shared" si="277"/>
        <v>0</v>
      </c>
      <c r="Q995" s="765"/>
      <c r="R995" s="576">
        <f t="shared" si="273"/>
        <v>0</v>
      </c>
      <c r="S995" s="576">
        <f t="shared" si="273"/>
        <v>0</v>
      </c>
      <c r="T995" s="577">
        <f t="shared" si="274"/>
        <v>0</v>
      </c>
      <c r="U995" s="578">
        <f t="shared" si="275"/>
        <v>0</v>
      </c>
      <c r="V995" s="579"/>
      <c r="W995" s="566"/>
      <c r="X995" s="586" t="str">
        <f t="shared" si="278"/>
        <v/>
      </c>
      <c r="Y995" s="586" t="str">
        <f t="shared" ref="Y995:Y1058" si="285">IF(W995="X","x",IF(W995="y","x",IF(W995="xx","x",IF(U995&gt;0,"x",""))))</f>
        <v/>
      </c>
      <c r="Z995" s="586" t="str">
        <f t="shared" si="282"/>
        <v/>
      </c>
    </row>
    <row r="996" spans="1:26" ht="34.5" hidden="1" thickBot="1" x14ac:dyDescent="0.25">
      <c r="A996" s="567">
        <v>100581</v>
      </c>
      <c r="B996" s="644">
        <v>100581</v>
      </c>
      <c r="C996" s="645" t="s">
        <v>670</v>
      </c>
      <c r="D996" s="422" t="s">
        <v>844</v>
      </c>
      <c r="E996" s="423"/>
      <c r="F996" s="424"/>
      <c r="G996" s="425"/>
      <c r="H996" s="651"/>
      <c r="I996" s="420">
        <v>576.72</v>
      </c>
      <c r="J996" s="420">
        <f t="shared" si="283"/>
        <v>576.72</v>
      </c>
      <c r="K996" s="421">
        <f t="shared" si="280"/>
        <v>685.2</v>
      </c>
      <c r="L996" s="647" t="s">
        <v>2065</v>
      </c>
      <c r="M996" s="576"/>
      <c r="N996" s="576">
        <f t="shared" si="284"/>
        <v>0</v>
      </c>
      <c r="O996" s="577">
        <f t="shared" si="276"/>
        <v>0</v>
      </c>
      <c r="P996" s="578">
        <f t="shared" si="277"/>
        <v>0</v>
      </c>
      <c r="Q996" s="765"/>
      <c r="R996" s="576">
        <f t="shared" si="273"/>
        <v>0</v>
      </c>
      <c r="S996" s="576">
        <f t="shared" si="273"/>
        <v>0</v>
      </c>
      <c r="T996" s="577">
        <f t="shared" si="274"/>
        <v>0</v>
      </c>
      <c r="U996" s="578">
        <f t="shared" si="275"/>
        <v>0</v>
      </c>
      <c r="V996" s="579"/>
      <c r="W996" s="566"/>
      <c r="X996" s="586" t="str">
        <f t="shared" si="278"/>
        <v/>
      </c>
      <c r="Y996" s="586" t="str">
        <f t="shared" si="285"/>
        <v/>
      </c>
      <c r="Z996" s="586" t="str">
        <f t="shared" si="282"/>
        <v/>
      </c>
    </row>
    <row r="997" spans="1:26" ht="34.5" hidden="1" thickBot="1" x14ac:dyDescent="0.25">
      <c r="A997" s="567">
        <v>100582</v>
      </c>
      <c r="B997" s="644">
        <v>100582</v>
      </c>
      <c r="C997" s="645" t="s">
        <v>670</v>
      </c>
      <c r="D997" s="422" t="s">
        <v>845</v>
      </c>
      <c r="E997" s="423"/>
      <c r="F997" s="424"/>
      <c r="G997" s="425"/>
      <c r="H997" s="651"/>
      <c r="I997" s="420">
        <v>666.99</v>
      </c>
      <c r="J997" s="420">
        <f t="shared" si="283"/>
        <v>666.99</v>
      </c>
      <c r="K997" s="421">
        <f t="shared" si="280"/>
        <v>792.45</v>
      </c>
      <c r="L997" s="647" t="s">
        <v>2065</v>
      </c>
      <c r="M997" s="576"/>
      <c r="N997" s="576">
        <f t="shared" si="284"/>
        <v>0</v>
      </c>
      <c r="O997" s="577">
        <f t="shared" si="276"/>
        <v>0</v>
      </c>
      <c r="P997" s="578">
        <f t="shared" si="277"/>
        <v>0</v>
      </c>
      <c r="Q997" s="765"/>
      <c r="R997" s="576">
        <f t="shared" si="273"/>
        <v>0</v>
      </c>
      <c r="S997" s="576">
        <f t="shared" si="273"/>
        <v>0</v>
      </c>
      <c r="T997" s="577">
        <f t="shared" si="274"/>
        <v>0</v>
      </c>
      <c r="U997" s="578">
        <f t="shared" si="275"/>
        <v>0</v>
      </c>
      <c r="V997" s="579"/>
      <c r="W997" s="566"/>
      <c r="X997" s="586" t="str">
        <f t="shared" si="278"/>
        <v/>
      </c>
      <c r="Y997" s="586" t="str">
        <f t="shared" si="285"/>
        <v/>
      </c>
      <c r="Z997" s="586" t="str">
        <f t="shared" si="282"/>
        <v/>
      </c>
    </row>
    <row r="998" spans="1:26" ht="34.5" hidden="1" thickBot="1" x14ac:dyDescent="0.25">
      <c r="A998" s="567">
        <v>100583</v>
      </c>
      <c r="B998" s="644">
        <v>100583</v>
      </c>
      <c r="C998" s="645" t="s">
        <v>670</v>
      </c>
      <c r="D998" s="422" t="s">
        <v>846</v>
      </c>
      <c r="E998" s="423"/>
      <c r="F998" s="424"/>
      <c r="G998" s="425"/>
      <c r="H998" s="651"/>
      <c r="I998" s="420">
        <v>602.57000000000005</v>
      </c>
      <c r="J998" s="420">
        <f t="shared" si="283"/>
        <v>602.57000000000005</v>
      </c>
      <c r="K998" s="421">
        <f t="shared" si="280"/>
        <v>715.91</v>
      </c>
      <c r="L998" s="647" t="s">
        <v>2065</v>
      </c>
      <c r="M998" s="576"/>
      <c r="N998" s="576">
        <f t="shared" si="284"/>
        <v>0</v>
      </c>
      <c r="O998" s="577">
        <f t="shared" si="276"/>
        <v>0</v>
      </c>
      <c r="P998" s="578">
        <f t="shared" si="277"/>
        <v>0</v>
      </c>
      <c r="Q998" s="765"/>
      <c r="R998" s="576">
        <f t="shared" si="273"/>
        <v>0</v>
      </c>
      <c r="S998" s="576">
        <f t="shared" si="273"/>
        <v>0</v>
      </c>
      <c r="T998" s="577">
        <f t="shared" si="274"/>
        <v>0</v>
      </c>
      <c r="U998" s="578">
        <f t="shared" si="275"/>
        <v>0</v>
      </c>
      <c r="V998" s="579"/>
      <c r="W998" s="566"/>
      <c r="X998" s="586" t="str">
        <f t="shared" si="278"/>
        <v/>
      </c>
      <c r="Y998" s="586" t="str">
        <f t="shared" si="285"/>
        <v/>
      </c>
      <c r="Z998" s="586" t="str">
        <f t="shared" si="282"/>
        <v/>
      </c>
    </row>
    <row r="999" spans="1:26" ht="23.25" hidden="1" thickBot="1" x14ac:dyDescent="0.25">
      <c r="A999" s="567">
        <v>100584</v>
      </c>
      <c r="B999" s="644">
        <v>100584</v>
      </c>
      <c r="C999" s="645" t="s">
        <v>670</v>
      </c>
      <c r="D999" s="422" t="s">
        <v>847</v>
      </c>
      <c r="E999" s="423"/>
      <c r="F999" s="424"/>
      <c r="G999" s="425"/>
      <c r="H999" s="651"/>
      <c r="I999" s="420">
        <v>656.87</v>
      </c>
      <c r="J999" s="420">
        <f t="shared" si="283"/>
        <v>656.87</v>
      </c>
      <c r="K999" s="421">
        <f t="shared" si="280"/>
        <v>780.43</v>
      </c>
      <c r="L999" s="647" t="s">
        <v>2065</v>
      </c>
      <c r="M999" s="576"/>
      <c r="N999" s="576">
        <f t="shared" si="284"/>
        <v>0</v>
      </c>
      <c r="O999" s="577">
        <f t="shared" si="276"/>
        <v>0</v>
      </c>
      <c r="P999" s="578">
        <f t="shared" si="277"/>
        <v>0</v>
      </c>
      <c r="Q999" s="765"/>
      <c r="R999" s="576">
        <f t="shared" si="273"/>
        <v>0</v>
      </c>
      <c r="S999" s="576">
        <f t="shared" si="273"/>
        <v>0</v>
      </c>
      <c r="T999" s="577">
        <f t="shared" si="274"/>
        <v>0</v>
      </c>
      <c r="U999" s="578">
        <f t="shared" si="275"/>
        <v>0</v>
      </c>
      <c r="V999" s="579"/>
      <c r="W999" s="566"/>
      <c r="X999" s="586" t="str">
        <f t="shared" si="278"/>
        <v/>
      </c>
      <c r="Y999" s="586" t="str">
        <f t="shared" si="285"/>
        <v/>
      </c>
      <c r="Z999" s="586" t="str">
        <f t="shared" si="282"/>
        <v/>
      </c>
    </row>
    <row r="1000" spans="1:26" ht="34.5" hidden="1" thickBot="1" x14ac:dyDescent="0.25">
      <c r="A1000" s="567">
        <v>100585</v>
      </c>
      <c r="B1000" s="644">
        <v>100585</v>
      </c>
      <c r="C1000" s="645" t="s">
        <v>670</v>
      </c>
      <c r="D1000" s="422" t="s">
        <v>848</v>
      </c>
      <c r="E1000" s="423"/>
      <c r="F1000" s="424"/>
      <c r="G1000" s="425"/>
      <c r="H1000" s="651"/>
      <c r="I1000" s="420">
        <v>652.87</v>
      </c>
      <c r="J1000" s="420">
        <f t="shared" si="283"/>
        <v>652.87</v>
      </c>
      <c r="K1000" s="421">
        <f t="shared" si="280"/>
        <v>775.67</v>
      </c>
      <c r="L1000" s="647" t="s">
        <v>2065</v>
      </c>
      <c r="M1000" s="576"/>
      <c r="N1000" s="576">
        <f t="shared" si="284"/>
        <v>0</v>
      </c>
      <c r="O1000" s="577">
        <f t="shared" si="276"/>
        <v>0</v>
      </c>
      <c r="P1000" s="578">
        <f t="shared" si="277"/>
        <v>0</v>
      </c>
      <c r="Q1000" s="765"/>
      <c r="R1000" s="576">
        <f t="shared" si="273"/>
        <v>0</v>
      </c>
      <c r="S1000" s="576">
        <f t="shared" si="273"/>
        <v>0</v>
      </c>
      <c r="T1000" s="577">
        <f t="shared" si="274"/>
        <v>0</v>
      </c>
      <c r="U1000" s="578">
        <f t="shared" si="275"/>
        <v>0</v>
      </c>
      <c r="V1000" s="579"/>
      <c r="W1000" s="566"/>
      <c r="X1000" s="586" t="str">
        <f t="shared" si="278"/>
        <v/>
      </c>
      <c r="Y1000" s="586" t="str">
        <f t="shared" si="285"/>
        <v/>
      </c>
      <c r="Z1000" s="586" t="str">
        <f t="shared" si="282"/>
        <v/>
      </c>
    </row>
    <row r="1001" spans="1:26" ht="23.25" hidden="1" thickBot="1" x14ac:dyDescent="0.25">
      <c r="A1001" s="567">
        <v>100586</v>
      </c>
      <c r="B1001" s="644">
        <v>100586</v>
      </c>
      <c r="C1001" s="645" t="s">
        <v>670</v>
      </c>
      <c r="D1001" s="422" t="s">
        <v>849</v>
      </c>
      <c r="E1001" s="423"/>
      <c r="F1001" s="424"/>
      <c r="G1001" s="425"/>
      <c r="H1001" s="651"/>
      <c r="I1001" s="420">
        <v>739.43</v>
      </c>
      <c r="J1001" s="420">
        <f t="shared" si="283"/>
        <v>739.43</v>
      </c>
      <c r="K1001" s="421">
        <f t="shared" si="280"/>
        <v>878.52</v>
      </c>
      <c r="L1001" s="647" t="s">
        <v>2065</v>
      </c>
      <c r="M1001" s="576"/>
      <c r="N1001" s="576">
        <f t="shared" si="284"/>
        <v>0</v>
      </c>
      <c r="O1001" s="577">
        <f t="shared" si="276"/>
        <v>0</v>
      </c>
      <c r="P1001" s="578">
        <f t="shared" si="277"/>
        <v>0</v>
      </c>
      <c r="Q1001" s="765"/>
      <c r="R1001" s="576">
        <f t="shared" si="273"/>
        <v>0</v>
      </c>
      <c r="S1001" s="576">
        <f t="shared" si="273"/>
        <v>0</v>
      </c>
      <c r="T1001" s="577">
        <f t="shared" si="274"/>
        <v>0</v>
      </c>
      <c r="U1001" s="578">
        <f t="shared" si="275"/>
        <v>0</v>
      </c>
      <c r="V1001" s="579"/>
      <c r="W1001" s="566"/>
      <c r="X1001" s="586" t="str">
        <f t="shared" si="278"/>
        <v/>
      </c>
      <c r="Y1001" s="586" t="str">
        <f t="shared" si="285"/>
        <v/>
      </c>
      <c r="Z1001" s="586" t="str">
        <f t="shared" si="282"/>
        <v/>
      </c>
    </row>
    <row r="1002" spans="1:26" ht="34.5" hidden="1" thickBot="1" x14ac:dyDescent="0.25">
      <c r="A1002" s="567">
        <v>100587</v>
      </c>
      <c r="B1002" s="644">
        <v>100587</v>
      </c>
      <c r="C1002" s="645" t="s">
        <v>670</v>
      </c>
      <c r="D1002" s="422" t="s">
        <v>850</v>
      </c>
      <c r="E1002" s="423"/>
      <c r="F1002" s="424"/>
      <c r="G1002" s="425"/>
      <c r="H1002" s="651"/>
      <c r="I1002" s="420">
        <v>704.86</v>
      </c>
      <c r="J1002" s="420">
        <f t="shared" si="283"/>
        <v>704.86</v>
      </c>
      <c r="K1002" s="421">
        <f t="shared" si="280"/>
        <v>837.44</v>
      </c>
      <c r="L1002" s="647" t="s">
        <v>2065</v>
      </c>
      <c r="M1002" s="576"/>
      <c r="N1002" s="576">
        <f t="shared" si="284"/>
        <v>0</v>
      </c>
      <c r="O1002" s="577">
        <f t="shared" si="276"/>
        <v>0</v>
      </c>
      <c r="P1002" s="578">
        <f t="shared" si="277"/>
        <v>0</v>
      </c>
      <c r="Q1002" s="765"/>
      <c r="R1002" s="576">
        <f t="shared" si="273"/>
        <v>0</v>
      </c>
      <c r="S1002" s="576">
        <f t="shared" si="273"/>
        <v>0</v>
      </c>
      <c r="T1002" s="577">
        <f t="shared" si="274"/>
        <v>0</v>
      </c>
      <c r="U1002" s="578">
        <f t="shared" si="275"/>
        <v>0</v>
      </c>
      <c r="V1002" s="579"/>
      <c r="W1002" s="566"/>
      <c r="X1002" s="586" t="str">
        <f t="shared" si="278"/>
        <v/>
      </c>
      <c r="Y1002" s="586" t="str">
        <f t="shared" si="285"/>
        <v/>
      </c>
      <c r="Z1002" s="586" t="str">
        <f t="shared" si="282"/>
        <v/>
      </c>
    </row>
    <row r="1003" spans="1:26" ht="23.25" hidden="1" thickBot="1" x14ac:dyDescent="0.25">
      <c r="A1003" s="567">
        <v>100588</v>
      </c>
      <c r="B1003" s="644">
        <v>100588</v>
      </c>
      <c r="C1003" s="645" t="s">
        <v>670</v>
      </c>
      <c r="D1003" s="422" t="s">
        <v>851</v>
      </c>
      <c r="E1003" s="423"/>
      <c r="F1003" s="424"/>
      <c r="G1003" s="425"/>
      <c r="H1003" s="651"/>
      <c r="I1003" s="420">
        <v>772.15</v>
      </c>
      <c r="J1003" s="420">
        <f t="shared" si="283"/>
        <v>772.15</v>
      </c>
      <c r="K1003" s="421">
        <f t="shared" si="280"/>
        <v>917.39</v>
      </c>
      <c r="L1003" s="647" t="s">
        <v>2065</v>
      </c>
      <c r="M1003" s="576"/>
      <c r="N1003" s="576">
        <f t="shared" si="284"/>
        <v>0</v>
      </c>
      <c r="O1003" s="577">
        <f t="shared" si="276"/>
        <v>0</v>
      </c>
      <c r="P1003" s="578">
        <f t="shared" si="277"/>
        <v>0</v>
      </c>
      <c r="Q1003" s="765"/>
      <c r="R1003" s="576">
        <f t="shared" si="273"/>
        <v>0</v>
      </c>
      <c r="S1003" s="576">
        <f t="shared" si="273"/>
        <v>0</v>
      </c>
      <c r="T1003" s="577">
        <f t="shared" si="274"/>
        <v>0</v>
      </c>
      <c r="U1003" s="578">
        <f t="shared" si="275"/>
        <v>0</v>
      </c>
      <c r="V1003" s="579"/>
      <c r="W1003" s="566"/>
      <c r="X1003" s="586" t="str">
        <f t="shared" si="278"/>
        <v/>
      </c>
      <c r="Y1003" s="586" t="str">
        <f t="shared" si="285"/>
        <v/>
      </c>
      <c r="Z1003" s="586" t="str">
        <f t="shared" si="282"/>
        <v/>
      </c>
    </row>
    <row r="1004" spans="1:26" ht="34.5" hidden="1" thickBot="1" x14ac:dyDescent="0.25">
      <c r="A1004" s="567">
        <v>100589</v>
      </c>
      <c r="B1004" s="644">
        <v>100589</v>
      </c>
      <c r="C1004" s="645" t="s">
        <v>670</v>
      </c>
      <c r="D1004" s="422" t="s">
        <v>852</v>
      </c>
      <c r="E1004" s="423"/>
      <c r="F1004" s="424"/>
      <c r="G1004" s="425"/>
      <c r="H1004" s="651"/>
      <c r="I1004" s="420">
        <v>777.45</v>
      </c>
      <c r="J1004" s="420">
        <f t="shared" si="283"/>
        <v>777.45</v>
      </c>
      <c r="K1004" s="421">
        <f t="shared" si="280"/>
        <v>923.69</v>
      </c>
      <c r="L1004" s="647" t="s">
        <v>2065</v>
      </c>
      <c r="M1004" s="576"/>
      <c r="N1004" s="576">
        <f t="shared" si="284"/>
        <v>0</v>
      </c>
      <c r="O1004" s="577">
        <f t="shared" si="276"/>
        <v>0</v>
      </c>
      <c r="P1004" s="578">
        <f t="shared" si="277"/>
        <v>0</v>
      </c>
      <c r="Q1004" s="765"/>
      <c r="R1004" s="576">
        <f t="shared" si="273"/>
        <v>0</v>
      </c>
      <c r="S1004" s="576">
        <f t="shared" si="273"/>
        <v>0</v>
      </c>
      <c r="T1004" s="577">
        <f t="shared" si="274"/>
        <v>0</v>
      </c>
      <c r="U1004" s="578">
        <f t="shared" si="275"/>
        <v>0</v>
      </c>
      <c r="V1004" s="579"/>
      <c r="W1004" s="566"/>
      <c r="X1004" s="586" t="str">
        <f t="shared" si="278"/>
        <v/>
      </c>
      <c r="Y1004" s="586" t="str">
        <f t="shared" si="285"/>
        <v/>
      </c>
      <c r="Z1004" s="586" t="str">
        <f t="shared" si="282"/>
        <v/>
      </c>
    </row>
    <row r="1005" spans="1:26" ht="34.5" hidden="1" thickBot="1" x14ac:dyDescent="0.25">
      <c r="A1005" s="567">
        <v>100590</v>
      </c>
      <c r="B1005" s="644">
        <v>100590</v>
      </c>
      <c r="C1005" s="645" t="s">
        <v>670</v>
      </c>
      <c r="D1005" s="422" t="s">
        <v>853</v>
      </c>
      <c r="E1005" s="423"/>
      <c r="F1005" s="424"/>
      <c r="G1005" s="425"/>
      <c r="H1005" s="651"/>
      <c r="I1005" s="420">
        <v>843.89</v>
      </c>
      <c r="J1005" s="420">
        <f t="shared" si="283"/>
        <v>843.89</v>
      </c>
      <c r="K1005" s="421">
        <f t="shared" si="280"/>
        <v>1002.63</v>
      </c>
      <c r="L1005" s="647" t="s">
        <v>2065</v>
      </c>
      <c r="M1005" s="576"/>
      <c r="N1005" s="576">
        <f t="shared" si="284"/>
        <v>0</v>
      </c>
      <c r="O1005" s="577">
        <f t="shared" si="276"/>
        <v>0</v>
      </c>
      <c r="P1005" s="578">
        <f t="shared" si="277"/>
        <v>0</v>
      </c>
      <c r="Q1005" s="765"/>
      <c r="R1005" s="576">
        <f t="shared" si="273"/>
        <v>0</v>
      </c>
      <c r="S1005" s="576">
        <f t="shared" si="273"/>
        <v>0</v>
      </c>
      <c r="T1005" s="577">
        <f t="shared" si="274"/>
        <v>0</v>
      </c>
      <c r="U1005" s="578">
        <f t="shared" si="275"/>
        <v>0</v>
      </c>
      <c r="V1005" s="579"/>
      <c r="W1005" s="566"/>
      <c r="X1005" s="586" t="str">
        <f t="shared" si="278"/>
        <v/>
      </c>
      <c r="Y1005" s="586" t="str">
        <f t="shared" si="285"/>
        <v/>
      </c>
      <c r="Z1005" s="586" t="str">
        <f t="shared" si="282"/>
        <v/>
      </c>
    </row>
    <row r="1006" spans="1:26" ht="34.5" hidden="1" thickBot="1" x14ac:dyDescent="0.25">
      <c r="A1006" s="567">
        <v>100591</v>
      </c>
      <c r="B1006" s="644">
        <v>100591</v>
      </c>
      <c r="C1006" s="645" t="s">
        <v>670</v>
      </c>
      <c r="D1006" s="422" t="s">
        <v>854</v>
      </c>
      <c r="E1006" s="423"/>
      <c r="F1006" s="424"/>
      <c r="G1006" s="425"/>
      <c r="H1006" s="651"/>
      <c r="I1006" s="420">
        <v>774.55</v>
      </c>
      <c r="J1006" s="420">
        <f t="shared" si="283"/>
        <v>774.55</v>
      </c>
      <c r="K1006" s="421">
        <f t="shared" si="280"/>
        <v>920.24</v>
      </c>
      <c r="L1006" s="647" t="s">
        <v>2065</v>
      </c>
      <c r="M1006" s="576"/>
      <c r="N1006" s="576">
        <f t="shared" si="284"/>
        <v>0</v>
      </c>
      <c r="O1006" s="577">
        <f t="shared" si="276"/>
        <v>0</v>
      </c>
      <c r="P1006" s="578">
        <f t="shared" si="277"/>
        <v>0</v>
      </c>
      <c r="Q1006" s="765"/>
      <c r="R1006" s="576">
        <f t="shared" si="273"/>
        <v>0</v>
      </c>
      <c r="S1006" s="576">
        <f t="shared" si="273"/>
        <v>0</v>
      </c>
      <c r="T1006" s="577">
        <f t="shared" si="274"/>
        <v>0</v>
      </c>
      <c r="U1006" s="578">
        <f t="shared" si="275"/>
        <v>0</v>
      </c>
      <c r="V1006" s="579"/>
      <c r="W1006" s="566"/>
      <c r="X1006" s="586" t="str">
        <f t="shared" si="278"/>
        <v/>
      </c>
      <c r="Y1006" s="586" t="str">
        <f t="shared" si="285"/>
        <v/>
      </c>
      <c r="Z1006" s="586" t="str">
        <f t="shared" si="282"/>
        <v/>
      </c>
    </row>
    <row r="1007" spans="1:26" ht="23.25" hidden="1" thickBot="1" x14ac:dyDescent="0.25">
      <c r="A1007" s="567">
        <v>100592</v>
      </c>
      <c r="B1007" s="644">
        <v>100592</v>
      </c>
      <c r="C1007" s="645" t="s">
        <v>670</v>
      </c>
      <c r="D1007" s="422" t="s">
        <v>855</v>
      </c>
      <c r="E1007" s="423"/>
      <c r="F1007" s="424"/>
      <c r="G1007" s="425"/>
      <c r="H1007" s="651"/>
      <c r="I1007" s="420">
        <v>829.61</v>
      </c>
      <c r="J1007" s="420">
        <f t="shared" si="283"/>
        <v>829.61</v>
      </c>
      <c r="K1007" s="421">
        <f t="shared" si="280"/>
        <v>985.66</v>
      </c>
      <c r="L1007" s="647" t="s">
        <v>2065</v>
      </c>
      <c r="M1007" s="576"/>
      <c r="N1007" s="576">
        <f t="shared" si="284"/>
        <v>0</v>
      </c>
      <c r="O1007" s="577">
        <f t="shared" si="276"/>
        <v>0</v>
      </c>
      <c r="P1007" s="578">
        <f t="shared" si="277"/>
        <v>0</v>
      </c>
      <c r="Q1007" s="765"/>
      <c r="R1007" s="576">
        <f t="shared" si="273"/>
        <v>0</v>
      </c>
      <c r="S1007" s="576">
        <f t="shared" si="273"/>
        <v>0</v>
      </c>
      <c r="T1007" s="577">
        <f t="shared" si="274"/>
        <v>0</v>
      </c>
      <c r="U1007" s="578">
        <f t="shared" si="275"/>
        <v>0</v>
      </c>
      <c r="V1007" s="579"/>
      <c r="W1007" s="566"/>
      <c r="X1007" s="586" t="str">
        <f t="shared" si="278"/>
        <v/>
      </c>
      <c r="Y1007" s="586" t="str">
        <f t="shared" si="285"/>
        <v/>
      </c>
      <c r="Z1007" s="586" t="str">
        <f t="shared" si="282"/>
        <v/>
      </c>
    </row>
    <row r="1008" spans="1:26" ht="34.5" hidden="1" thickBot="1" x14ac:dyDescent="0.25">
      <c r="A1008" s="567">
        <v>100593</v>
      </c>
      <c r="B1008" s="644">
        <v>100593</v>
      </c>
      <c r="C1008" s="645" t="s">
        <v>670</v>
      </c>
      <c r="D1008" s="422" t="s">
        <v>856</v>
      </c>
      <c r="E1008" s="423"/>
      <c r="F1008" s="424"/>
      <c r="G1008" s="425"/>
      <c r="H1008" s="651"/>
      <c r="I1008" s="420">
        <v>829.57</v>
      </c>
      <c r="J1008" s="420">
        <f t="shared" si="283"/>
        <v>829.57</v>
      </c>
      <c r="K1008" s="421">
        <f t="shared" si="280"/>
        <v>985.61</v>
      </c>
      <c r="L1008" s="647" t="s">
        <v>2065</v>
      </c>
      <c r="M1008" s="576"/>
      <c r="N1008" s="576">
        <f t="shared" si="284"/>
        <v>0</v>
      </c>
      <c r="O1008" s="577">
        <f t="shared" si="276"/>
        <v>0</v>
      </c>
      <c r="P1008" s="578">
        <f t="shared" si="277"/>
        <v>0</v>
      </c>
      <c r="Q1008" s="765"/>
      <c r="R1008" s="576">
        <f t="shared" si="273"/>
        <v>0</v>
      </c>
      <c r="S1008" s="576">
        <f t="shared" si="273"/>
        <v>0</v>
      </c>
      <c r="T1008" s="577">
        <f t="shared" si="274"/>
        <v>0</v>
      </c>
      <c r="U1008" s="578">
        <f t="shared" si="275"/>
        <v>0</v>
      </c>
      <c r="V1008" s="579"/>
      <c r="W1008" s="566"/>
      <c r="X1008" s="586" t="str">
        <f t="shared" si="278"/>
        <v/>
      </c>
      <c r="Y1008" s="586" t="str">
        <f t="shared" si="285"/>
        <v/>
      </c>
      <c r="Z1008" s="586" t="str">
        <f t="shared" si="282"/>
        <v/>
      </c>
    </row>
    <row r="1009" spans="1:26" ht="23.25" hidden="1" thickBot="1" x14ac:dyDescent="0.25">
      <c r="A1009" s="567">
        <v>100594</v>
      </c>
      <c r="B1009" s="644">
        <v>100594</v>
      </c>
      <c r="C1009" s="645" t="s">
        <v>670</v>
      </c>
      <c r="D1009" s="422" t="s">
        <v>857</v>
      </c>
      <c r="E1009" s="423"/>
      <c r="F1009" s="424"/>
      <c r="G1009" s="425"/>
      <c r="H1009" s="651"/>
      <c r="I1009" s="420">
        <v>922.98</v>
      </c>
      <c r="J1009" s="420">
        <f t="shared" si="283"/>
        <v>922.98</v>
      </c>
      <c r="K1009" s="421">
        <f t="shared" si="280"/>
        <v>1096.5899999999999</v>
      </c>
      <c r="L1009" s="647" t="s">
        <v>2065</v>
      </c>
      <c r="M1009" s="576"/>
      <c r="N1009" s="576">
        <f t="shared" si="284"/>
        <v>0</v>
      </c>
      <c r="O1009" s="577">
        <f t="shared" si="276"/>
        <v>0</v>
      </c>
      <c r="P1009" s="578">
        <f t="shared" si="277"/>
        <v>0</v>
      </c>
      <c r="Q1009" s="765"/>
      <c r="R1009" s="576">
        <f t="shared" si="273"/>
        <v>0</v>
      </c>
      <c r="S1009" s="576">
        <f t="shared" si="273"/>
        <v>0</v>
      </c>
      <c r="T1009" s="577">
        <f t="shared" si="274"/>
        <v>0</v>
      </c>
      <c r="U1009" s="578">
        <f t="shared" si="275"/>
        <v>0</v>
      </c>
      <c r="V1009" s="579"/>
      <c r="W1009" s="566"/>
      <c r="X1009" s="586" t="str">
        <f t="shared" si="278"/>
        <v/>
      </c>
      <c r="Y1009" s="586" t="str">
        <f t="shared" si="285"/>
        <v/>
      </c>
      <c r="Z1009" s="586" t="str">
        <f t="shared" si="282"/>
        <v/>
      </c>
    </row>
    <row r="1010" spans="1:26" ht="34.5" hidden="1" thickBot="1" x14ac:dyDescent="0.25">
      <c r="A1010" s="567">
        <v>100595</v>
      </c>
      <c r="B1010" s="644">
        <v>100595</v>
      </c>
      <c r="C1010" s="645" t="s">
        <v>670</v>
      </c>
      <c r="D1010" s="422" t="s">
        <v>858</v>
      </c>
      <c r="E1010" s="423"/>
      <c r="F1010" s="424"/>
      <c r="G1010" s="425"/>
      <c r="H1010" s="651"/>
      <c r="I1010" s="420">
        <v>994.6</v>
      </c>
      <c r="J1010" s="420">
        <f t="shared" si="283"/>
        <v>994.6</v>
      </c>
      <c r="K1010" s="421">
        <f t="shared" si="280"/>
        <v>1181.68</v>
      </c>
      <c r="L1010" s="647" t="s">
        <v>2065</v>
      </c>
      <c r="M1010" s="576"/>
      <c r="N1010" s="576">
        <f t="shared" si="284"/>
        <v>0</v>
      </c>
      <c r="O1010" s="577">
        <f t="shared" si="276"/>
        <v>0</v>
      </c>
      <c r="P1010" s="578">
        <f t="shared" si="277"/>
        <v>0</v>
      </c>
      <c r="Q1010" s="765"/>
      <c r="R1010" s="576">
        <f t="shared" si="273"/>
        <v>0</v>
      </c>
      <c r="S1010" s="576">
        <f t="shared" si="273"/>
        <v>0</v>
      </c>
      <c r="T1010" s="577">
        <f t="shared" si="274"/>
        <v>0</v>
      </c>
      <c r="U1010" s="578">
        <f t="shared" si="275"/>
        <v>0</v>
      </c>
      <c r="V1010" s="579"/>
      <c r="W1010" s="566"/>
      <c r="X1010" s="586" t="str">
        <f t="shared" si="278"/>
        <v/>
      </c>
      <c r="Y1010" s="586" t="str">
        <f t="shared" si="285"/>
        <v/>
      </c>
      <c r="Z1010" s="586" t="str">
        <f t="shared" si="282"/>
        <v/>
      </c>
    </row>
    <row r="1011" spans="1:26" ht="23.25" hidden="1" thickBot="1" x14ac:dyDescent="0.25">
      <c r="A1011" s="567">
        <v>100596</v>
      </c>
      <c r="B1011" s="644">
        <v>100596</v>
      </c>
      <c r="C1011" s="645" t="s">
        <v>670</v>
      </c>
      <c r="D1011" s="422" t="s">
        <v>859</v>
      </c>
      <c r="E1011" s="423"/>
      <c r="F1011" s="424"/>
      <c r="G1011" s="425"/>
      <c r="H1011" s="651"/>
      <c r="I1011" s="420">
        <v>1120.68</v>
      </c>
      <c r="J1011" s="420">
        <f t="shared" si="283"/>
        <v>1120.68</v>
      </c>
      <c r="K1011" s="421">
        <f t="shared" si="280"/>
        <v>1331.48</v>
      </c>
      <c r="L1011" s="647" t="s">
        <v>2065</v>
      </c>
      <c r="M1011" s="576"/>
      <c r="N1011" s="576">
        <f t="shared" si="284"/>
        <v>0</v>
      </c>
      <c r="O1011" s="577">
        <f t="shared" si="276"/>
        <v>0</v>
      </c>
      <c r="P1011" s="578">
        <f t="shared" si="277"/>
        <v>0</v>
      </c>
      <c r="Q1011" s="765"/>
      <c r="R1011" s="576">
        <f t="shared" si="273"/>
        <v>0</v>
      </c>
      <c r="S1011" s="576">
        <f t="shared" si="273"/>
        <v>0</v>
      </c>
      <c r="T1011" s="577">
        <f t="shared" si="274"/>
        <v>0</v>
      </c>
      <c r="U1011" s="578">
        <f t="shared" si="275"/>
        <v>0</v>
      </c>
      <c r="V1011" s="579"/>
      <c r="W1011" s="566"/>
      <c r="X1011" s="586" t="str">
        <f t="shared" si="278"/>
        <v/>
      </c>
      <c r="Y1011" s="586" t="str">
        <f t="shared" si="285"/>
        <v/>
      </c>
      <c r="Z1011" s="586" t="str">
        <f t="shared" si="282"/>
        <v/>
      </c>
    </row>
    <row r="1012" spans="1:26" ht="34.5" hidden="1" thickBot="1" x14ac:dyDescent="0.25">
      <c r="A1012" s="567">
        <v>100597</v>
      </c>
      <c r="B1012" s="644">
        <v>100597</v>
      </c>
      <c r="C1012" s="645" t="s">
        <v>670</v>
      </c>
      <c r="D1012" s="422" t="s">
        <v>860</v>
      </c>
      <c r="E1012" s="423"/>
      <c r="F1012" s="424"/>
      <c r="G1012" s="425"/>
      <c r="H1012" s="651"/>
      <c r="I1012" s="420">
        <v>1147.5</v>
      </c>
      <c r="J1012" s="420">
        <f t="shared" si="283"/>
        <v>1147.5</v>
      </c>
      <c r="K1012" s="421">
        <f t="shared" si="280"/>
        <v>1363.34</v>
      </c>
      <c r="L1012" s="647" t="s">
        <v>2065</v>
      </c>
      <c r="M1012" s="576"/>
      <c r="N1012" s="576">
        <f t="shared" si="284"/>
        <v>0</v>
      </c>
      <c r="O1012" s="577">
        <f t="shared" si="276"/>
        <v>0</v>
      </c>
      <c r="P1012" s="578">
        <f t="shared" si="277"/>
        <v>0</v>
      </c>
      <c r="Q1012" s="765"/>
      <c r="R1012" s="576">
        <f t="shared" ref="R1012:S1075" si="286">M1012</f>
        <v>0</v>
      </c>
      <c r="S1012" s="576">
        <f t="shared" si="286"/>
        <v>0</v>
      </c>
      <c r="T1012" s="577">
        <f t="shared" ref="T1012:T1075" si="287">IF(ISBLANK(R1012),0,ROUND(K1012*R1012,2))</f>
        <v>0</v>
      </c>
      <c r="U1012" s="578">
        <f t="shared" ref="U1012:U1075" si="288">IF(ISBLANK(R1012),0,ROUND(R1012*S1012,2))</f>
        <v>0</v>
      </c>
      <c r="V1012" s="579"/>
      <c r="W1012" s="566"/>
      <c r="X1012" s="586" t="str">
        <f t="shared" si="278"/>
        <v/>
      </c>
      <c r="Y1012" s="586" t="str">
        <f t="shared" si="285"/>
        <v/>
      </c>
      <c r="Z1012" s="586" t="str">
        <f t="shared" si="282"/>
        <v/>
      </c>
    </row>
    <row r="1013" spans="1:26" ht="23.25" hidden="1" thickBot="1" x14ac:dyDescent="0.25">
      <c r="A1013" s="567">
        <v>100598</v>
      </c>
      <c r="B1013" s="644">
        <v>100598</v>
      </c>
      <c r="C1013" s="645" t="s">
        <v>670</v>
      </c>
      <c r="D1013" s="422" t="s">
        <v>861</v>
      </c>
      <c r="E1013" s="423"/>
      <c r="F1013" s="424"/>
      <c r="G1013" s="425"/>
      <c r="H1013" s="651"/>
      <c r="I1013" s="420">
        <v>1251.46</v>
      </c>
      <c r="J1013" s="420">
        <f t="shared" si="283"/>
        <v>1251.46</v>
      </c>
      <c r="K1013" s="421">
        <f t="shared" si="280"/>
        <v>1486.86</v>
      </c>
      <c r="L1013" s="647" t="s">
        <v>2065</v>
      </c>
      <c r="M1013" s="576"/>
      <c r="N1013" s="576">
        <f t="shared" si="284"/>
        <v>0</v>
      </c>
      <c r="O1013" s="577">
        <f t="shared" ref="O1013:O1076" si="289">IF(ISBLANK(M1013),0,ROUND(K1013*M1013,2))</f>
        <v>0</v>
      </c>
      <c r="P1013" s="578">
        <f t="shared" ref="P1013:P1076" si="290">IF(ISBLANK(N1013),0,ROUND(M1013*N1013,2))</f>
        <v>0</v>
      </c>
      <c r="Q1013" s="765"/>
      <c r="R1013" s="576">
        <f t="shared" si="286"/>
        <v>0</v>
      </c>
      <c r="S1013" s="576">
        <f t="shared" si="286"/>
        <v>0</v>
      </c>
      <c r="T1013" s="577">
        <f t="shared" si="287"/>
        <v>0</v>
      </c>
      <c r="U1013" s="578">
        <f t="shared" si="288"/>
        <v>0</v>
      </c>
      <c r="V1013" s="579"/>
      <c r="W1013" s="566"/>
      <c r="X1013" s="586" t="str">
        <f t="shared" si="278"/>
        <v/>
      </c>
      <c r="Y1013" s="586" t="str">
        <f t="shared" si="285"/>
        <v/>
      </c>
      <c r="Z1013" s="586" t="str">
        <f t="shared" si="282"/>
        <v/>
      </c>
    </row>
    <row r="1014" spans="1:26" ht="34.5" hidden="1" thickBot="1" x14ac:dyDescent="0.25">
      <c r="A1014" s="567">
        <v>100599</v>
      </c>
      <c r="B1014" s="644">
        <v>100599</v>
      </c>
      <c r="C1014" s="645" t="s">
        <v>670</v>
      </c>
      <c r="D1014" s="422" t="s">
        <v>862</v>
      </c>
      <c r="E1014" s="423"/>
      <c r="F1014" s="424"/>
      <c r="G1014" s="425"/>
      <c r="H1014" s="651"/>
      <c r="I1014" s="420">
        <v>514.44000000000005</v>
      </c>
      <c r="J1014" s="420">
        <f t="shared" si="283"/>
        <v>514.44000000000005</v>
      </c>
      <c r="K1014" s="421">
        <f t="shared" si="280"/>
        <v>611.21</v>
      </c>
      <c r="L1014" s="647" t="s">
        <v>2065</v>
      </c>
      <c r="M1014" s="576"/>
      <c r="N1014" s="576">
        <f t="shared" si="284"/>
        <v>0</v>
      </c>
      <c r="O1014" s="577">
        <f t="shared" si="289"/>
        <v>0</v>
      </c>
      <c r="P1014" s="578">
        <f t="shared" si="290"/>
        <v>0</v>
      </c>
      <c r="Q1014" s="765"/>
      <c r="R1014" s="576">
        <f t="shared" si="286"/>
        <v>0</v>
      </c>
      <c r="S1014" s="576">
        <f t="shared" si="286"/>
        <v>0</v>
      </c>
      <c r="T1014" s="577">
        <f t="shared" si="287"/>
        <v>0</v>
      </c>
      <c r="U1014" s="578">
        <f t="shared" si="288"/>
        <v>0</v>
      </c>
      <c r="V1014" s="579"/>
      <c r="W1014" s="566"/>
      <c r="X1014" s="586" t="str">
        <f t="shared" si="278"/>
        <v/>
      </c>
      <c r="Y1014" s="586" t="str">
        <f t="shared" si="285"/>
        <v/>
      </c>
      <c r="Z1014" s="586" t="str">
        <f t="shared" si="282"/>
        <v/>
      </c>
    </row>
    <row r="1015" spans="1:26" ht="34.5" hidden="1" thickBot="1" x14ac:dyDescent="0.25">
      <c r="A1015" s="567">
        <v>100600</v>
      </c>
      <c r="B1015" s="644">
        <v>100600</v>
      </c>
      <c r="C1015" s="645" t="s">
        <v>670</v>
      </c>
      <c r="D1015" s="422" t="s">
        <v>863</v>
      </c>
      <c r="E1015" s="423"/>
      <c r="F1015" s="424"/>
      <c r="G1015" s="425"/>
      <c r="H1015" s="651"/>
      <c r="I1015" s="420">
        <v>601.97</v>
      </c>
      <c r="J1015" s="420">
        <f t="shared" si="283"/>
        <v>601.97</v>
      </c>
      <c r="K1015" s="421">
        <f t="shared" si="280"/>
        <v>715.2</v>
      </c>
      <c r="L1015" s="647" t="s">
        <v>2065</v>
      </c>
      <c r="M1015" s="576"/>
      <c r="N1015" s="576">
        <f t="shared" si="284"/>
        <v>0</v>
      </c>
      <c r="O1015" s="577">
        <f t="shared" si="289"/>
        <v>0</v>
      </c>
      <c r="P1015" s="578">
        <f t="shared" si="290"/>
        <v>0</v>
      </c>
      <c r="Q1015" s="765"/>
      <c r="R1015" s="576">
        <f t="shared" si="286"/>
        <v>0</v>
      </c>
      <c r="S1015" s="576">
        <f t="shared" si="286"/>
        <v>0</v>
      </c>
      <c r="T1015" s="577">
        <f t="shared" si="287"/>
        <v>0</v>
      </c>
      <c r="U1015" s="578">
        <f t="shared" si="288"/>
        <v>0</v>
      </c>
      <c r="V1015" s="579"/>
      <c r="W1015" s="566"/>
      <c r="X1015" s="586" t="str">
        <f t="shared" si="278"/>
        <v/>
      </c>
      <c r="Y1015" s="586" t="str">
        <f t="shared" si="285"/>
        <v/>
      </c>
      <c r="Z1015" s="586" t="str">
        <f t="shared" si="282"/>
        <v/>
      </c>
    </row>
    <row r="1016" spans="1:26" ht="34.5" hidden="1" thickBot="1" x14ac:dyDescent="0.25">
      <c r="A1016" s="567">
        <v>100601</v>
      </c>
      <c r="B1016" s="644">
        <v>100601</v>
      </c>
      <c r="C1016" s="645" t="s">
        <v>670</v>
      </c>
      <c r="D1016" s="422" t="s">
        <v>864</v>
      </c>
      <c r="E1016" s="423"/>
      <c r="F1016" s="424"/>
      <c r="G1016" s="425"/>
      <c r="H1016" s="651"/>
      <c r="I1016" s="420">
        <v>748.11</v>
      </c>
      <c r="J1016" s="420">
        <f t="shared" si="283"/>
        <v>748.11</v>
      </c>
      <c r="K1016" s="421">
        <f t="shared" si="280"/>
        <v>888.83</v>
      </c>
      <c r="L1016" s="647" t="s">
        <v>2065</v>
      </c>
      <c r="M1016" s="576"/>
      <c r="N1016" s="576">
        <f t="shared" si="284"/>
        <v>0</v>
      </c>
      <c r="O1016" s="577">
        <f t="shared" si="289"/>
        <v>0</v>
      </c>
      <c r="P1016" s="578">
        <f t="shared" si="290"/>
        <v>0</v>
      </c>
      <c r="Q1016" s="765"/>
      <c r="R1016" s="576">
        <f t="shared" si="286"/>
        <v>0</v>
      </c>
      <c r="S1016" s="576">
        <f t="shared" si="286"/>
        <v>0</v>
      </c>
      <c r="T1016" s="577">
        <f t="shared" si="287"/>
        <v>0</v>
      </c>
      <c r="U1016" s="578">
        <f t="shared" si="288"/>
        <v>0</v>
      </c>
      <c r="V1016" s="579"/>
      <c r="W1016" s="566"/>
      <c r="X1016" s="586" t="str">
        <f t="shared" si="278"/>
        <v/>
      </c>
      <c r="Y1016" s="586" t="str">
        <f t="shared" si="285"/>
        <v/>
      </c>
      <c r="Z1016" s="586" t="str">
        <f t="shared" si="282"/>
        <v/>
      </c>
    </row>
    <row r="1017" spans="1:26" ht="34.5" hidden="1" thickBot="1" x14ac:dyDescent="0.25">
      <c r="A1017" s="567">
        <v>100602</v>
      </c>
      <c r="B1017" s="644">
        <v>100602</v>
      </c>
      <c r="C1017" s="645" t="s">
        <v>670</v>
      </c>
      <c r="D1017" s="422" t="s">
        <v>865</v>
      </c>
      <c r="E1017" s="423"/>
      <c r="F1017" s="424"/>
      <c r="G1017" s="425"/>
      <c r="H1017" s="651"/>
      <c r="I1017" s="420">
        <v>930.41</v>
      </c>
      <c r="J1017" s="420">
        <f t="shared" si="283"/>
        <v>930.41</v>
      </c>
      <c r="K1017" s="421">
        <f t="shared" si="280"/>
        <v>1105.42</v>
      </c>
      <c r="L1017" s="647" t="s">
        <v>2065</v>
      </c>
      <c r="M1017" s="576"/>
      <c r="N1017" s="576">
        <f t="shared" si="284"/>
        <v>0</v>
      </c>
      <c r="O1017" s="577">
        <f t="shared" si="289"/>
        <v>0</v>
      </c>
      <c r="P1017" s="578">
        <f t="shared" si="290"/>
        <v>0</v>
      </c>
      <c r="Q1017" s="765"/>
      <c r="R1017" s="576">
        <f t="shared" si="286"/>
        <v>0</v>
      </c>
      <c r="S1017" s="576">
        <f t="shared" si="286"/>
        <v>0</v>
      </c>
      <c r="T1017" s="577">
        <f t="shared" si="287"/>
        <v>0</v>
      </c>
      <c r="U1017" s="578">
        <f t="shared" si="288"/>
        <v>0</v>
      </c>
      <c r="V1017" s="579"/>
      <c r="W1017" s="566"/>
      <c r="X1017" s="586" t="str">
        <f t="shared" si="278"/>
        <v/>
      </c>
      <c r="Y1017" s="586" t="str">
        <f t="shared" si="285"/>
        <v/>
      </c>
      <c r="Z1017" s="586" t="str">
        <f t="shared" si="282"/>
        <v/>
      </c>
    </row>
    <row r="1018" spans="1:26" ht="34.5" hidden="1" thickBot="1" x14ac:dyDescent="0.25">
      <c r="A1018" s="567">
        <v>100603</v>
      </c>
      <c r="B1018" s="644">
        <v>100603</v>
      </c>
      <c r="C1018" s="645" t="s">
        <v>670</v>
      </c>
      <c r="D1018" s="422" t="s">
        <v>866</v>
      </c>
      <c r="E1018" s="423"/>
      <c r="F1018" s="424"/>
      <c r="G1018" s="425"/>
      <c r="H1018" s="651"/>
      <c r="I1018" s="420">
        <v>1400.05</v>
      </c>
      <c r="J1018" s="420">
        <f t="shared" si="283"/>
        <v>1400.05</v>
      </c>
      <c r="K1018" s="421">
        <f t="shared" si="280"/>
        <v>1663.4</v>
      </c>
      <c r="L1018" s="647" t="s">
        <v>2065</v>
      </c>
      <c r="M1018" s="576"/>
      <c r="N1018" s="576">
        <f t="shared" si="284"/>
        <v>0</v>
      </c>
      <c r="O1018" s="577">
        <f t="shared" si="289"/>
        <v>0</v>
      </c>
      <c r="P1018" s="578">
        <f t="shared" si="290"/>
        <v>0</v>
      </c>
      <c r="Q1018" s="765"/>
      <c r="R1018" s="576">
        <f t="shared" si="286"/>
        <v>0</v>
      </c>
      <c r="S1018" s="576">
        <f t="shared" si="286"/>
        <v>0</v>
      </c>
      <c r="T1018" s="577">
        <f t="shared" si="287"/>
        <v>0</v>
      </c>
      <c r="U1018" s="578">
        <f t="shared" si="288"/>
        <v>0</v>
      </c>
      <c r="V1018" s="579"/>
      <c r="W1018" s="566"/>
      <c r="X1018" s="586" t="str">
        <f t="shared" si="278"/>
        <v/>
      </c>
      <c r="Y1018" s="586" t="str">
        <f t="shared" si="285"/>
        <v/>
      </c>
      <c r="Z1018" s="586" t="str">
        <f t="shared" si="282"/>
        <v/>
      </c>
    </row>
    <row r="1019" spans="1:26" ht="34.5" hidden="1" thickBot="1" x14ac:dyDescent="0.25">
      <c r="A1019" s="567">
        <v>100604</v>
      </c>
      <c r="B1019" s="644">
        <v>100604</v>
      </c>
      <c r="C1019" s="645" t="s">
        <v>670</v>
      </c>
      <c r="D1019" s="422" t="s">
        <v>867</v>
      </c>
      <c r="E1019" s="423"/>
      <c r="F1019" s="424"/>
      <c r="G1019" s="425"/>
      <c r="H1019" s="651"/>
      <c r="I1019" s="420">
        <v>642.01</v>
      </c>
      <c r="J1019" s="420">
        <f t="shared" si="283"/>
        <v>642.01</v>
      </c>
      <c r="K1019" s="421">
        <f t="shared" si="280"/>
        <v>762.77</v>
      </c>
      <c r="L1019" s="647" t="s">
        <v>2065</v>
      </c>
      <c r="M1019" s="576"/>
      <c r="N1019" s="576">
        <f t="shared" si="284"/>
        <v>0</v>
      </c>
      <c r="O1019" s="577">
        <f t="shared" si="289"/>
        <v>0</v>
      </c>
      <c r="P1019" s="578">
        <f t="shared" si="290"/>
        <v>0</v>
      </c>
      <c r="Q1019" s="765"/>
      <c r="R1019" s="576">
        <f t="shared" si="286"/>
        <v>0</v>
      </c>
      <c r="S1019" s="576">
        <f t="shared" si="286"/>
        <v>0</v>
      </c>
      <c r="T1019" s="577">
        <f t="shared" si="287"/>
        <v>0</v>
      </c>
      <c r="U1019" s="578">
        <f t="shared" si="288"/>
        <v>0</v>
      </c>
      <c r="V1019" s="579"/>
      <c r="W1019" s="566"/>
      <c r="X1019" s="586" t="str">
        <f t="shared" si="278"/>
        <v/>
      </c>
      <c r="Y1019" s="586" t="str">
        <f t="shared" si="285"/>
        <v/>
      </c>
      <c r="Z1019" s="586" t="str">
        <f t="shared" si="282"/>
        <v/>
      </c>
    </row>
    <row r="1020" spans="1:26" ht="34.5" hidden="1" thickBot="1" x14ac:dyDescent="0.25">
      <c r="A1020" s="567">
        <v>100605</v>
      </c>
      <c r="B1020" s="644">
        <v>100605</v>
      </c>
      <c r="C1020" s="645" t="s">
        <v>670</v>
      </c>
      <c r="D1020" s="422" t="s">
        <v>868</v>
      </c>
      <c r="E1020" s="423"/>
      <c r="F1020" s="424"/>
      <c r="G1020" s="425"/>
      <c r="H1020" s="651"/>
      <c r="I1020" s="420">
        <v>979.6</v>
      </c>
      <c r="J1020" s="420">
        <f t="shared" si="283"/>
        <v>979.6</v>
      </c>
      <c r="K1020" s="421">
        <f t="shared" si="280"/>
        <v>1163.8599999999999</v>
      </c>
      <c r="L1020" s="647" t="s">
        <v>2065</v>
      </c>
      <c r="M1020" s="576"/>
      <c r="N1020" s="576">
        <f t="shared" si="284"/>
        <v>0</v>
      </c>
      <c r="O1020" s="577">
        <f t="shared" si="289"/>
        <v>0</v>
      </c>
      <c r="P1020" s="578">
        <f t="shared" si="290"/>
        <v>0</v>
      </c>
      <c r="Q1020" s="765"/>
      <c r="R1020" s="576">
        <f t="shared" si="286"/>
        <v>0</v>
      </c>
      <c r="S1020" s="576">
        <f t="shared" si="286"/>
        <v>0</v>
      </c>
      <c r="T1020" s="577">
        <f t="shared" si="287"/>
        <v>0</v>
      </c>
      <c r="U1020" s="578">
        <f t="shared" si="288"/>
        <v>0</v>
      </c>
      <c r="V1020" s="579"/>
      <c r="W1020" s="566"/>
      <c r="X1020" s="586" t="str">
        <f t="shared" si="278"/>
        <v/>
      </c>
      <c r="Y1020" s="586" t="str">
        <f t="shared" si="285"/>
        <v/>
      </c>
      <c r="Z1020" s="586" t="str">
        <f t="shared" si="282"/>
        <v/>
      </c>
    </row>
    <row r="1021" spans="1:26" ht="34.5" hidden="1" thickBot="1" x14ac:dyDescent="0.25">
      <c r="A1021" s="567">
        <v>100606</v>
      </c>
      <c r="B1021" s="644">
        <v>100606</v>
      </c>
      <c r="C1021" s="645" t="s">
        <v>670</v>
      </c>
      <c r="D1021" s="422" t="s">
        <v>869</v>
      </c>
      <c r="E1021" s="423"/>
      <c r="F1021" s="424"/>
      <c r="G1021" s="425"/>
      <c r="H1021" s="651"/>
      <c r="I1021" s="420">
        <v>1461.07</v>
      </c>
      <c r="J1021" s="420">
        <f t="shared" si="283"/>
        <v>1461.07</v>
      </c>
      <c r="K1021" s="421">
        <f t="shared" si="280"/>
        <v>1735.9</v>
      </c>
      <c r="L1021" s="647" t="s">
        <v>2065</v>
      </c>
      <c r="M1021" s="576"/>
      <c r="N1021" s="576">
        <f t="shared" si="284"/>
        <v>0</v>
      </c>
      <c r="O1021" s="577">
        <f t="shared" si="289"/>
        <v>0</v>
      </c>
      <c r="P1021" s="578">
        <f t="shared" si="290"/>
        <v>0</v>
      </c>
      <c r="Q1021" s="765"/>
      <c r="R1021" s="576">
        <f t="shared" si="286"/>
        <v>0</v>
      </c>
      <c r="S1021" s="576">
        <f t="shared" si="286"/>
        <v>0</v>
      </c>
      <c r="T1021" s="577">
        <f t="shared" si="287"/>
        <v>0</v>
      </c>
      <c r="U1021" s="578">
        <f t="shared" si="288"/>
        <v>0</v>
      </c>
      <c r="V1021" s="579"/>
      <c r="W1021" s="566"/>
      <c r="X1021" s="586" t="str">
        <f t="shared" ref="X1021:X1084" si="291">IF(W1021="X","x",IF(W1021="xx","x",IF(W1021="xy","x",IF(W1021="y","x",IF(OR(P1021&gt;0,U1021&gt;0),"x","")))))</f>
        <v/>
      </c>
      <c r="Y1021" s="586" t="str">
        <f t="shared" si="285"/>
        <v/>
      </c>
      <c r="Z1021" s="586" t="str">
        <f t="shared" si="282"/>
        <v/>
      </c>
    </row>
    <row r="1022" spans="1:26" ht="34.5" hidden="1" thickBot="1" x14ac:dyDescent="0.25">
      <c r="A1022" s="567">
        <v>100607</v>
      </c>
      <c r="B1022" s="644">
        <v>100607</v>
      </c>
      <c r="C1022" s="645" t="s">
        <v>670</v>
      </c>
      <c r="D1022" s="422" t="s">
        <v>870</v>
      </c>
      <c r="E1022" s="423"/>
      <c r="F1022" s="424"/>
      <c r="G1022" s="425"/>
      <c r="H1022" s="651"/>
      <c r="I1022" s="420">
        <v>661.2</v>
      </c>
      <c r="J1022" s="420">
        <f t="shared" si="283"/>
        <v>661.2</v>
      </c>
      <c r="K1022" s="421">
        <f t="shared" si="280"/>
        <v>785.57</v>
      </c>
      <c r="L1022" s="647" t="s">
        <v>2065</v>
      </c>
      <c r="M1022" s="576"/>
      <c r="N1022" s="576">
        <f t="shared" si="284"/>
        <v>0</v>
      </c>
      <c r="O1022" s="577">
        <f t="shared" si="289"/>
        <v>0</v>
      </c>
      <c r="P1022" s="578">
        <f t="shared" si="290"/>
        <v>0</v>
      </c>
      <c r="Q1022" s="765"/>
      <c r="R1022" s="576">
        <f t="shared" si="286"/>
        <v>0</v>
      </c>
      <c r="S1022" s="576">
        <f t="shared" si="286"/>
        <v>0</v>
      </c>
      <c r="T1022" s="577">
        <f t="shared" si="287"/>
        <v>0</v>
      </c>
      <c r="U1022" s="578">
        <f t="shared" si="288"/>
        <v>0</v>
      </c>
      <c r="V1022" s="579"/>
      <c r="W1022" s="566"/>
      <c r="X1022" s="586" t="str">
        <f t="shared" si="291"/>
        <v/>
      </c>
      <c r="Y1022" s="586" t="str">
        <f t="shared" si="285"/>
        <v/>
      </c>
      <c r="Z1022" s="586" t="str">
        <f t="shared" si="282"/>
        <v/>
      </c>
    </row>
    <row r="1023" spans="1:26" ht="34.5" hidden="1" thickBot="1" x14ac:dyDescent="0.25">
      <c r="A1023" s="567">
        <v>100608</v>
      </c>
      <c r="B1023" s="644">
        <v>100608</v>
      </c>
      <c r="C1023" s="645" t="s">
        <v>670</v>
      </c>
      <c r="D1023" s="422" t="s">
        <v>871</v>
      </c>
      <c r="E1023" s="423"/>
      <c r="F1023" s="424"/>
      <c r="G1023" s="425"/>
      <c r="H1023" s="651"/>
      <c r="I1023" s="420">
        <v>1003.86</v>
      </c>
      <c r="J1023" s="420">
        <f t="shared" si="283"/>
        <v>1003.86</v>
      </c>
      <c r="K1023" s="421">
        <f t="shared" si="280"/>
        <v>1192.69</v>
      </c>
      <c r="L1023" s="647" t="s">
        <v>2065</v>
      </c>
      <c r="M1023" s="576"/>
      <c r="N1023" s="576">
        <f t="shared" si="284"/>
        <v>0</v>
      </c>
      <c r="O1023" s="577">
        <f t="shared" si="289"/>
        <v>0</v>
      </c>
      <c r="P1023" s="578">
        <f t="shared" si="290"/>
        <v>0</v>
      </c>
      <c r="Q1023" s="765"/>
      <c r="R1023" s="576">
        <f t="shared" si="286"/>
        <v>0</v>
      </c>
      <c r="S1023" s="576">
        <f t="shared" si="286"/>
        <v>0</v>
      </c>
      <c r="T1023" s="577">
        <f t="shared" si="287"/>
        <v>0</v>
      </c>
      <c r="U1023" s="578">
        <f t="shared" si="288"/>
        <v>0</v>
      </c>
      <c r="V1023" s="579"/>
      <c r="W1023" s="566"/>
      <c r="X1023" s="586" t="str">
        <f t="shared" si="291"/>
        <v/>
      </c>
      <c r="Y1023" s="586" t="str">
        <f t="shared" si="285"/>
        <v/>
      </c>
      <c r="Z1023" s="586" t="str">
        <f t="shared" si="282"/>
        <v/>
      </c>
    </row>
    <row r="1024" spans="1:26" ht="34.5" hidden="1" thickBot="1" x14ac:dyDescent="0.25">
      <c r="A1024" s="567">
        <v>100609</v>
      </c>
      <c r="B1024" s="644">
        <v>100609</v>
      </c>
      <c r="C1024" s="645" t="s">
        <v>670</v>
      </c>
      <c r="D1024" s="422" t="s">
        <v>872</v>
      </c>
      <c r="E1024" s="423"/>
      <c r="F1024" s="424"/>
      <c r="G1024" s="425"/>
      <c r="H1024" s="651"/>
      <c r="I1024" s="420">
        <v>1493.6</v>
      </c>
      <c r="J1024" s="420">
        <f t="shared" si="283"/>
        <v>1493.6</v>
      </c>
      <c r="K1024" s="421">
        <f t="shared" si="280"/>
        <v>1774.55</v>
      </c>
      <c r="L1024" s="647" t="s">
        <v>2065</v>
      </c>
      <c r="M1024" s="576"/>
      <c r="N1024" s="576">
        <f t="shared" si="284"/>
        <v>0</v>
      </c>
      <c r="O1024" s="577">
        <f t="shared" si="289"/>
        <v>0</v>
      </c>
      <c r="P1024" s="578">
        <f t="shared" si="290"/>
        <v>0</v>
      </c>
      <c r="Q1024" s="765"/>
      <c r="R1024" s="576">
        <f t="shared" si="286"/>
        <v>0</v>
      </c>
      <c r="S1024" s="576">
        <f t="shared" si="286"/>
        <v>0</v>
      </c>
      <c r="T1024" s="577">
        <f t="shared" si="287"/>
        <v>0</v>
      </c>
      <c r="U1024" s="578">
        <f t="shared" si="288"/>
        <v>0</v>
      </c>
      <c r="V1024" s="579"/>
      <c r="W1024" s="566"/>
      <c r="X1024" s="586" t="str">
        <f t="shared" si="291"/>
        <v/>
      </c>
      <c r="Y1024" s="586" t="str">
        <f t="shared" si="285"/>
        <v/>
      </c>
      <c r="Z1024" s="586" t="str">
        <f t="shared" si="282"/>
        <v/>
      </c>
    </row>
    <row r="1025" spans="1:26" ht="34.5" hidden="1" thickBot="1" x14ac:dyDescent="0.25">
      <c r="A1025" s="567">
        <v>100610</v>
      </c>
      <c r="B1025" s="644">
        <v>100610</v>
      </c>
      <c r="C1025" s="645" t="s">
        <v>670</v>
      </c>
      <c r="D1025" s="422" t="s">
        <v>873</v>
      </c>
      <c r="E1025" s="423"/>
      <c r="F1025" s="424"/>
      <c r="G1025" s="425"/>
      <c r="H1025" s="651"/>
      <c r="I1025" s="420">
        <v>680.33</v>
      </c>
      <c r="J1025" s="420">
        <f t="shared" si="283"/>
        <v>680.33</v>
      </c>
      <c r="K1025" s="421">
        <f t="shared" si="280"/>
        <v>808.3</v>
      </c>
      <c r="L1025" s="647" t="s">
        <v>2065</v>
      </c>
      <c r="M1025" s="576"/>
      <c r="N1025" s="576">
        <f t="shared" si="284"/>
        <v>0</v>
      </c>
      <c r="O1025" s="577">
        <f t="shared" si="289"/>
        <v>0</v>
      </c>
      <c r="P1025" s="578">
        <f t="shared" si="290"/>
        <v>0</v>
      </c>
      <c r="Q1025" s="765"/>
      <c r="R1025" s="576">
        <f t="shared" si="286"/>
        <v>0</v>
      </c>
      <c r="S1025" s="576">
        <f t="shared" si="286"/>
        <v>0</v>
      </c>
      <c r="T1025" s="577">
        <f t="shared" si="287"/>
        <v>0</v>
      </c>
      <c r="U1025" s="578">
        <f t="shared" si="288"/>
        <v>0</v>
      </c>
      <c r="V1025" s="579"/>
      <c r="W1025" s="566"/>
      <c r="X1025" s="586" t="str">
        <f t="shared" si="291"/>
        <v/>
      </c>
      <c r="Y1025" s="586" t="str">
        <f t="shared" si="285"/>
        <v/>
      </c>
      <c r="Z1025" s="586" t="str">
        <f t="shared" si="282"/>
        <v/>
      </c>
    </row>
    <row r="1026" spans="1:26" ht="34.5" hidden="1" thickBot="1" x14ac:dyDescent="0.25">
      <c r="A1026" s="567">
        <v>100611</v>
      </c>
      <c r="B1026" s="644">
        <v>100611</v>
      </c>
      <c r="C1026" s="645" t="s">
        <v>670</v>
      </c>
      <c r="D1026" s="422" t="s">
        <v>874</v>
      </c>
      <c r="E1026" s="423"/>
      <c r="F1026" s="424"/>
      <c r="G1026" s="425"/>
      <c r="H1026" s="651"/>
      <c r="I1026" s="420">
        <v>834.56</v>
      </c>
      <c r="J1026" s="420">
        <f t="shared" si="283"/>
        <v>834.56</v>
      </c>
      <c r="K1026" s="421">
        <f t="shared" si="280"/>
        <v>991.54</v>
      </c>
      <c r="L1026" s="647" t="s">
        <v>2065</v>
      </c>
      <c r="M1026" s="576"/>
      <c r="N1026" s="576">
        <f t="shared" si="284"/>
        <v>0</v>
      </c>
      <c r="O1026" s="577">
        <f t="shared" si="289"/>
        <v>0</v>
      </c>
      <c r="P1026" s="578">
        <f t="shared" si="290"/>
        <v>0</v>
      </c>
      <c r="Q1026" s="765"/>
      <c r="R1026" s="576">
        <f t="shared" si="286"/>
        <v>0</v>
      </c>
      <c r="S1026" s="576">
        <f t="shared" si="286"/>
        <v>0</v>
      </c>
      <c r="T1026" s="577">
        <f t="shared" si="287"/>
        <v>0</v>
      </c>
      <c r="U1026" s="578">
        <f t="shared" si="288"/>
        <v>0</v>
      </c>
      <c r="V1026" s="579"/>
      <c r="W1026" s="566"/>
      <c r="X1026" s="586" t="str">
        <f t="shared" si="291"/>
        <v/>
      </c>
      <c r="Y1026" s="586" t="str">
        <f t="shared" si="285"/>
        <v/>
      </c>
      <c r="Z1026" s="586" t="str">
        <f t="shared" si="282"/>
        <v/>
      </c>
    </row>
    <row r="1027" spans="1:26" ht="34.5" hidden="1" thickBot="1" x14ac:dyDescent="0.25">
      <c r="A1027" s="567">
        <v>100612</v>
      </c>
      <c r="B1027" s="644">
        <v>100612</v>
      </c>
      <c r="C1027" s="645" t="s">
        <v>670</v>
      </c>
      <c r="D1027" s="422" t="s">
        <v>875</v>
      </c>
      <c r="E1027" s="423"/>
      <c r="F1027" s="424"/>
      <c r="G1027" s="425"/>
      <c r="H1027" s="651"/>
      <c r="I1027" s="420">
        <v>1027.78</v>
      </c>
      <c r="J1027" s="420">
        <f t="shared" si="283"/>
        <v>1027.78</v>
      </c>
      <c r="K1027" s="421">
        <f t="shared" si="280"/>
        <v>1221.1099999999999</v>
      </c>
      <c r="L1027" s="647" t="s">
        <v>2065</v>
      </c>
      <c r="M1027" s="576"/>
      <c r="N1027" s="576">
        <f t="shared" si="284"/>
        <v>0</v>
      </c>
      <c r="O1027" s="577">
        <f t="shared" si="289"/>
        <v>0</v>
      </c>
      <c r="P1027" s="578">
        <f t="shared" si="290"/>
        <v>0</v>
      </c>
      <c r="Q1027" s="765"/>
      <c r="R1027" s="576">
        <f t="shared" si="286"/>
        <v>0</v>
      </c>
      <c r="S1027" s="576">
        <f t="shared" si="286"/>
        <v>0</v>
      </c>
      <c r="T1027" s="577">
        <f t="shared" si="287"/>
        <v>0</v>
      </c>
      <c r="U1027" s="578">
        <f t="shared" si="288"/>
        <v>0</v>
      </c>
      <c r="V1027" s="579"/>
      <c r="W1027" s="566"/>
      <c r="X1027" s="586" t="str">
        <f t="shared" si="291"/>
        <v/>
      </c>
      <c r="Y1027" s="586" t="str">
        <f t="shared" si="285"/>
        <v/>
      </c>
      <c r="Z1027" s="586" t="str">
        <f t="shared" si="282"/>
        <v/>
      </c>
    </row>
    <row r="1028" spans="1:26" ht="34.5" hidden="1" thickBot="1" x14ac:dyDescent="0.25">
      <c r="A1028" s="567">
        <v>100613</v>
      </c>
      <c r="B1028" s="644">
        <v>100613</v>
      </c>
      <c r="C1028" s="645" t="s">
        <v>670</v>
      </c>
      <c r="D1028" s="422" t="s">
        <v>876</v>
      </c>
      <c r="E1028" s="423"/>
      <c r="F1028" s="424"/>
      <c r="G1028" s="425"/>
      <c r="H1028" s="651"/>
      <c r="I1028" s="420">
        <v>1525.46</v>
      </c>
      <c r="J1028" s="420">
        <f t="shared" si="283"/>
        <v>1525.46</v>
      </c>
      <c r="K1028" s="421">
        <f t="shared" si="280"/>
        <v>1812.4</v>
      </c>
      <c r="L1028" s="647" t="s">
        <v>2065</v>
      </c>
      <c r="M1028" s="576"/>
      <c r="N1028" s="576">
        <f t="shared" si="284"/>
        <v>0</v>
      </c>
      <c r="O1028" s="577">
        <f t="shared" si="289"/>
        <v>0</v>
      </c>
      <c r="P1028" s="578">
        <f t="shared" si="290"/>
        <v>0</v>
      </c>
      <c r="Q1028" s="765"/>
      <c r="R1028" s="576">
        <f t="shared" si="286"/>
        <v>0</v>
      </c>
      <c r="S1028" s="576">
        <f t="shared" si="286"/>
        <v>0</v>
      </c>
      <c r="T1028" s="577">
        <f t="shared" si="287"/>
        <v>0</v>
      </c>
      <c r="U1028" s="578">
        <f t="shared" si="288"/>
        <v>0</v>
      </c>
      <c r="V1028" s="579"/>
      <c r="W1028" s="566"/>
      <c r="X1028" s="586" t="str">
        <f t="shared" si="291"/>
        <v/>
      </c>
      <c r="Y1028" s="586" t="str">
        <f t="shared" si="285"/>
        <v/>
      </c>
      <c r="Z1028" s="586" t="str">
        <f t="shared" si="282"/>
        <v/>
      </c>
    </row>
    <row r="1029" spans="1:26" ht="34.5" hidden="1" thickBot="1" x14ac:dyDescent="0.25">
      <c r="A1029" s="567">
        <v>100614</v>
      </c>
      <c r="B1029" s="644">
        <v>100614</v>
      </c>
      <c r="C1029" s="645" t="s">
        <v>670</v>
      </c>
      <c r="D1029" s="422" t="s">
        <v>877</v>
      </c>
      <c r="E1029" s="423"/>
      <c r="F1029" s="424"/>
      <c r="G1029" s="425"/>
      <c r="H1029" s="651"/>
      <c r="I1029" s="420">
        <v>877.14</v>
      </c>
      <c r="J1029" s="420">
        <f t="shared" si="283"/>
        <v>877.14</v>
      </c>
      <c r="K1029" s="421">
        <f t="shared" si="280"/>
        <v>1042.1300000000001</v>
      </c>
      <c r="L1029" s="647" t="s">
        <v>2065</v>
      </c>
      <c r="M1029" s="576"/>
      <c r="N1029" s="576">
        <f t="shared" si="284"/>
        <v>0</v>
      </c>
      <c r="O1029" s="577">
        <f t="shared" si="289"/>
        <v>0</v>
      </c>
      <c r="P1029" s="578">
        <f t="shared" si="290"/>
        <v>0</v>
      </c>
      <c r="Q1029" s="765"/>
      <c r="R1029" s="576">
        <f t="shared" si="286"/>
        <v>0</v>
      </c>
      <c r="S1029" s="576">
        <f t="shared" si="286"/>
        <v>0</v>
      </c>
      <c r="T1029" s="577">
        <f t="shared" si="287"/>
        <v>0</v>
      </c>
      <c r="U1029" s="578">
        <f t="shared" si="288"/>
        <v>0</v>
      </c>
      <c r="V1029" s="579"/>
      <c r="W1029" s="566"/>
      <c r="X1029" s="586" t="str">
        <f t="shared" si="291"/>
        <v/>
      </c>
      <c r="Y1029" s="586" t="str">
        <f t="shared" si="285"/>
        <v/>
      </c>
      <c r="Z1029" s="586" t="str">
        <f t="shared" si="282"/>
        <v/>
      </c>
    </row>
    <row r="1030" spans="1:26" ht="34.5" hidden="1" thickBot="1" x14ac:dyDescent="0.25">
      <c r="A1030" s="567">
        <v>100615</v>
      </c>
      <c r="B1030" s="644">
        <v>100615</v>
      </c>
      <c r="C1030" s="645" t="s">
        <v>670</v>
      </c>
      <c r="D1030" s="422" t="s">
        <v>878</v>
      </c>
      <c r="E1030" s="423"/>
      <c r="F1030" s="424"/>
      <c r="G1030" s="425"/>
      <c r="H1030" s="651"/>
      <c r="I1030" s="420">
        <v>1075.3</v>
      </c>
      <c r="J1030" s="420">
        <f t="shared" si="283"/>
        <v>1075.3</v>
      </c>
      <c r="K1030" s="421">
        <f t="shared" si="280"/>
        <v>1277.56</v>
      </c>
      <c r="L1030" s="647" t="s">
        <v>2065</v>
      </c>
      <c r="M1030" s="576"/>
      <c r="N1030" s="576">
        <f t="shared" si="284"/>
        <v>0</v>
      </c>
      <c r="O1030" s="577">
        <f t="shared" si="289"/>
        <v>0</v>
      </c>
      <c r="P1030" s="578">
        <f t="shared" si="290"/>
        <v>0</v>
      </c>
      <c r="Q1030" s="765"/>
      <c r="R1030" s="576">
        <f t="shared" si="286"/>
        <v>0</v>
      </c>
      <c r="S1030" s="576">
        <f t="shared" si="286"/>
        <v>0</v>
      </c>
      <c r="T1030" s="577">
        <f t="shared" si="287"/>
        <v>0</v>
      </c>
      <c r="U1030" s="578">
        <f t="shared" si="288"/>
        <v>0</v>
      </c>
      <c r="V1030" s="579"/>
      <c r="W1030" s="566"/>
      <c r="X1030" s="586" t="str">
        <f t="shared" si="291"/>
        <v/>
      </c>
      <c r="Y1030" s="586" t="str">
        <f t="shared" si="285"/>
        <v/>
      </c>
      <c r="Z1030" s="586" t="str">
        <f t="shared" si="282"/>
        <v/>
      </c>
    </row>
    <row r="1031" spans="1:26" ht="34.5" hidden="1" thickBot="1" x14ac:dyDescent="0.25">
      <c r="A1031" s="567">
        <v>100616</v>
      </c>
      <c r="B1031" s="644">
        <v>100616</v>
      </c>
      <c r="C1031" s="645" t="s">
        <v>670</v>
      </c>
      <c r="D1031" s="422" t="s">
        <v>879</v>
      </c>
      <c r="E1031" s="423"/>
      <c r="F1031" s="424"/>
      <c r="G1031" s="425"/>
      <c r="H1031" s="651"/>
      <c r="I1031" s="420">
        <v>1592.3</v>
      </c>
      <c r="J1031" s="420">
        <f t="shared" si="283"/>
        <v>1592.3</v>
      </c>
      <c r="K1031" s="421">
        <f t="shared" si="280"/>
        <v>1891.81</v>
      </c>
      <c r="L1031" s="647" t="s">
        <v>2065</v>
      </c>
      <c r="M1031" s="576"/>
      <c r="N1031" s="576">
        <f t="shared" si="284"/>
        <v>0</v>
      </c>
      <c r="O1031" s="577">
        <f t="shared" si="289"/>
        <v>0</v>
      </c>
      <c r="P1031" s="578">
        <f t="shared" si="290"/>
        <v>0</v>
      </c>
      <c r="Q1031" s="765"/>
      <c r="R1031" s="576">
        <f t="shared" si="286"/>
        <v>0</v>
      </c>
      <c r="S1031" s="576">
        <f t="shared" si="286"/>
        <v>0</v>
      </c>
      <c r="T1031" s="577">
        <f t="shared" si="287"/>
        <v>0</v>
      </c>
      <c r="U1031" s="578">
        <f t="shared" si="288"/>
        <v>0</v>
      </c>
      <c r="V1031" s="579"/>
      <c r="W1031" s="566"/>
      <c r="X1031" s="586" t="str">
        <f t="shared" si="291"/>
        <v/>
      </c>
      <c r="Y1031" s="586" t="str">
        <f t="shared" si="285"/>
        <v/>
      </c>
      <c r="Z1031" s="586" t="str">
        <f t="shared" si="282"/>
        <v/>
      </c>
    </row>
    <row r="1032" spans="1:26" ht="34.5" hidden="1" thickBot="1" x14ac:dyDescent="0.25">
      <c r="A1032" s="567">
        <v>100617</v>
      </c>
      <c r="B1032" s="644">
        <v>100617</v>
      </c>
      <c r="C1032" s="645" t="s">
        <v>670</v>
      </c>
      <c r="D1032" s="422" t="s">
        <v>880</v>
      </c>
      <c r="E1032" s="423"/>
      <c r="F1032" s="424"/>
      <c r="G1032" s="425"/>
      <c r="H1032" s="651"/>
      <c r="I1032" s="420">
        <v>1122.68</v>
      </c>
      <c r="J1032" s="420">
        <f t="shared" si="283"/>
        <v>1122.68</v>
      </c>
      <c r="K1032" s="421">
        <f t="shared" si="280"/>
        <v>1333.86</v>
      </c>
      <c r="L1032" s="647" t="s">
        <v>2065</v>
      </c>
      <c r="M1032" s="576"/>
      <c r="N1032" s="576">
        <f t="shared" si="284"/>
        <v>0</v>
      </c>
      <c r="O1032" s="577">
        <f t="shared" si="289"/>
        <v>0</v>
      </c>
      <c r="P1032" s="578">
        <f t="shared" si="290"/>
        <v>0</v>
      </c>
      <c r="Q1032" s="765"/>
      <c r="R1032" s="576">
        <f t="shared" si="286"/>
        <v>0</v>
      </c>
      <c r="S1032" s="576">
        <f t="shared" si="286"/>
        <v>0</v>
      </c>
      <c r="T1032" s="577">
        <f t="shared" si="287"/>
        <v>0</v>
      </c>
      <c r="U1032" s="578">
        <f t="shared" si="288"/>
        <v>0</v>
      </c>
      <c r="V1032" s="579"/>
      <c r="W1032" s="566"/>
      <c r="X1032" s="586" t="str">
        <f t="shared" si="291"/>
        <v/>
      </c>
      <c r="Y1032" s="586" t="str">
        <f t="shared" si="285"/>
        <v/>
      </c>
      <c r="Z1032" s="586" t="str">
        <f t="shared" si="282"/>
        <v/>
      </c>
    </row>
    <row r="1033" spans="1:26" ht="34.5" hidden="1" thickBot="1" x14ac:dyDescent="0.25">
      <c r="A1033" s="567">
        <v>100618</v>
      </c>
      <c r="B1033" s="644">
        <v>100618</v>
      </c>
      <c r="C1033" s="645" t="s">
        <v>670</v>
      </c>
      <c r="D1033" s="422" t="s">
        <v>881</v>
      </c>
      <c r="E1033" s="423"/>
      <c r="F1033" s="424"/>
      <c r="G1033" s="425"/>
      <c r="H1033" s="651"/>
      <c r="I1033" s="420">
        <v>1662.73</v>
      </c>
      <c r="J1033" s="420">
        <f t="shared" si="283"/>
        <v>1662.73</v>
      </c>
      <c r="K1033" s="421">
        <f t="shared" ref="K1033:K1096" si="292">IF(ISBLANK(I1033),0,ROUND(J1033*(1+$F$10)*(1+$F$11*E1033),2))</f>
        <v>1975.49</v>
      </c>
      <c r="L1033" s="647" t="s">
        <v>2065</v>
      </c>
      <c r="M1033" s="576"/>
      <c r="N1033" s="576">
        <f t="shared" si="284"/>
        <v>0</v>
      </c>
      <c r="O1033" s="577">
        <f t="shared" si="289"/>
        <v>0</v>
      </c>
      <c r="P1033" s="578">
        <f t="shared" si="290"/>
        <v>0</v>
      </c>
      <c r="Q1033" s="765"/>
      <c r="R1033" s="576">
        <f t="shared" si="286"/>
        <v>0</v>
      </c>
      <c r="S1033" s="576">
        <f t="shared" si="286"/>
        <v>0</v>
      </c>
      <c r="T1033" s="577">
        <f t="shared" si="287"/>
        <v>0</v>
      </c>
      <c r="U1033" s="578">
        <f t="shared" si="288"/>
        <v>0</v>
      </c>
      <c r="V1033" s="579"/>
      <c r="W1033" s="566"/>
      <c r="X1033" s="586" t="str">
        <f t="shared" si="291"/>
        <v/>
      </c>
      <c r="Y1033" s="586" t="str">
        <f t="shared" si="285"/>
        <v/>
      </c>
      <c r="Z1033" s="586" t="str">
        <f t="shared" si="282"/>
        <v/>
      </c>
    </row>
    <row r="1034" spans="1:26" ht="23.25" hidden="1" thickBot="1" x14ac:dyDescent="0.25">
      <c r="A1034" s="567">
        <v>97660</v>
      </c>
      <c r="B1034" s="644">
        <v>97660</v>
      </c>
      <c r="C1034" s="645" t="s">
        <v>670</v>
      </c>
      <c r="D1034" s="422" t="s">
        <v>882</v>
      </c>
      <c r="E1034" s="423"/>
      <c r="F1034" s="424"/>
      <c r="G1034" s="425"/>
      <c r="H1034" s="651"/>
      <c r="I1034" s="420">
        <v>0.67</v>
      </c>
      <c r="J1034" s="420">
        <f t="shared" si="283"/>
        <v>0.67</v>
      </c>
      <c r="K1034" s="421">
        <f t="shared" si="292"/>
        <v>0.8</v>
      </c>
      <c r="L1034" s="647" t="s">
        <v>2065</v>
      </c>
      <c r="M1034" s="576"/>
      <c r="N1034" s="576">
        <f t="shared" si="284"/>
        <v>0</v>
      </c>
      <c r="O1034" s="577">
        <f t="shared" si="289"/>
        <v>0</v>
      </c>
      <c r="P1034" s="578">
        <f t="shared" si="290"/>
        <v>0</v>
      </c>
      <c r="Q1034" s="765"/>
      <c r="R1034" s="576">
        <f t="shared" si="286"/>
        <v>0</v>
      </c>
      <c r="S1034" s="576">
        <f t="shared" si="286"/>
        <v>0</v>
      </c>
      <c r="T1034" s="577">
        <f t="shared" si="287"/>
        <v>0</v>
      </c>
      <c r="U1034" s="578">
        <f t="shared" si="288"/>
        <v>0</v>
      </c>
      <c r="V1034" s="579"/>
      <c r="W1034" s="566"/>
      <c r="X1034" s="586" t="str">
        <f t="shared" si="291"/>
        <v/>
      </c>
      <c r="Y1034" s="586" t="str">
        <f t="shared" si="285"/>
        <v/>
      </c>
      <c r="Z1034" s="586" t="str">
        <f t="shared" si="282"/>
        <v/>
      </c>
    </row>
    <row r="1035" spans="1:26" ht="12" hidden="1" thickBot="1" x14ac:dyDescent="0.25">
      <c r="A1035" s="567">
        <v>90447</v>
      </c>
      <c r="B1035" s="644">
        <v>90447</v>
      </c>
      <c r="C1035" s="645" t="s">
        <v>670</v>
      </c>
      <c r="D1035" s="422" t="s">
        <v>883</v>
      </c>
      <c r="E1035" s="423"/>
      <c r="F1035" s="424"/>
      <c r="G1035" s="425"/>
      <c r="H1035" s="651"/>
      <c r="I1035" s="420">
        <v>6.98</v>
      </c>
      <c r="J1035" s="420">
        <f t="shared" si="283"/>
        <v>6.98</v>
      </c>
      <c r="K1035" s="421">
        <f t="shared" si="292"/>
        <v>8.2899999999999991</v>
      </c>
      <c r="L1035" s="647" t="s">
        <v>79</v>
      </c>
      <c r="M1035" s="576"/>
      <c r="N1035" s="576">
        <f t="shared" si="284"/>
        <v>0</v>
      </c>
      <c r="O1035" s="577">
        <f t="shared" si="289"/>
        <v>0</v>
      </c>
      <c r="P1035" s="578">
        <f t="shared" si="290"/>
        <v>0</v>
      </c>
      <c r="Q1035" s="765"/>
      <c r="R1035" s="576">
        <f t="shared" si="286"/>
        <v>0</v>
      </c>
      <c r="S1035" s="576">
        <f t="shared" si="286"/>
        <v>0</v>
      </c>
      <c r="T1035" s="577">
        <f t="shared" si="287"/>
        <v>0</v>
      </c>
      <c r="U1035" s="578">
        <f t="shared" si="288"/>
        <v>0</v>
      </c>
      <c r="V1035" s="579"/>
      <c r="W1035" s="566"/>
      <c r="X1035" s="586" t="str">
        <f t="shared" si="291"/>
        <v/>
      </c>
      <c r="Y1035" s="586" t="str">
        <f t="shared" si="285"/>
        <v/>
      </c>
      <c r="Z1035" s="586" t="str">
        <f t="shared" si="282"/>
        <v/>
      </c>
    </row>
    <row r="1036" spans="1:26" ht="12" hidden="1" thickBot="1" x14ac:dyDescent="0.25">
      <c r="A1036" s="567">
        <v>90456</v>
      </c>
      <c r="B1036" s="644">
        <v>90456</v>
      </c>
      <c r="C1036" s="645" t="s">
        <v>670</v>
      </c>
      <c r="D1036" s="422" t="s">
        <v>884</v>
      </c>
      <c r="E1036" s="423"/>
      <c r="F1036" s="424"/>
      <c r="G1036" s="425"/>
      <c r="H1036" s="651"/>
      <c r="I1036" s="420">
        <v>4.51</v>
      </c>
      <c r="J1036" s="420">
        <f t="shared" si="283"/>
        <v>4.51</v>
      </c>
      <c r="K1036" s="421">
        <f t="shared" si="292"/>
        <v>5.36</v>
      </c>
      <c r="L1036" s="647" t="s">
        <v>2065</v>
      </c>
      <c r="M1036" s="576"/>
      <c r="N1036" s="576">
        <f t="shared" si="284"/>
        <v>0</v>
      </c>
      <c r="O1036" s="577">
        <f t="shared" si="289"/>
        <v>0</v>
      </c>
      <c r="P1036" s="578">
        <f t="shared" si="290"/>
        <v>0</v>
      </c>
      <c r="Q1036" s="765"/>
      <c r="R1036" s="576">
        <f t="shared" si="286"/>
        <v>0</v>
      </c>
      <c r="S1036" s="576">
        <f t="shared" si="286"/>
        <v>0</v>
      </c>
      <c r="T1036" s="577">
        <f t="shared" si="287"/>
        <v>0</v>
      </c>
      <c r="U1036" s="578">
        <f t="shared" si="288"/>
        <v>0</v>
      </c>
      <c r="V1036" s="579"/>
      <c r="W1036" s="566"/>
      <c r="X1036" s="586" t="str">
        <f t="shared" si="291"/>
        <v/>
      </c>
      <c r="Y1036" s="586" t="str">
        <f t="shared" si="285"/>
        <v/>
      </c>
      <c r="Z1036" s="586" t="str">
        <f t="shared" si="282"/>
        <v/>
      </c>
    </row>
    <row r="1037" spans="1:26" ht="23.25" hidden="1" thickBot="1" x14ac:dyDescent="0.25">
      <c r="A1037" s="567">
        <v>90457</v>
      </c>
      <c r="B1037" s="644">
        <v>90457</v>
      </c>
      <c r="C1037" s="645" t="s">
        <v>670</v>
      </c>
      <c r="D1037" s="422" t="s">
        <v>885</v>
      </c>
      <c r="E1037" s="423"/>
      <c r="F1037" s="424"/>
      <c r="G1037" s="425"/>
      <c r="H1037" s="651"/>
      <c r="I1037" s="420">
        <v>10.28</v>
      </c>
      <c r="J1037" s="420">
        <f t="shared" si="283"/>
        <v>10.28</v>
      </c>
      <c r="K1037" s="421">
        <f t="shared" si="292"/>
        <v>12.21</v>
      </c>
      <c r="L1037" s="647" t="s">
        <v>2065</v>
      </c>
      <c r="M1037" s="576"/>
      <c r="N1037" s="576">
        <f t="shared" si="284"/>
        <v>0</v>
      </c>
      <c r="O1037" s="577">
        <f t="shared" si="289"/>
        <v>0</v>
      </c>
      <c r="P1037" s="578">
        <f t="shared" si="290"/>
        <v>0</v>
      </c>
      <c r="Q1037" s="765"/>
      <c r="R1037" s="576">
        <f t="shared" si="286"/>
        <v>0</v>
      </c>
      <c r="S1037" s="576">
        <f t="shared" si="286"/>
        <v>0</v>
      </c>
      <c r="T1037" s="577">
        <f t="shared" si="287"/>
        <v>0</v>
      </c>
      <c r="U1037" s="578">
        <f t="shared" si="288"/>
        <v>0</v>
      </c>
      <c r="V1037" s="579"/>
      <c r="W1037" s="566"/>
      <c r="X1037" s="586" t="str">
        <f t="shared" si="291"/>
        <v/>
      </c>
      <c r="Y1037" s="586" t="str">
        <f t="shared" si="285"/>
        <v/>
      </c>
      <c r="Z1037" s="586" t="str">
        <f t="shared" si="282"/>
        <v/>
      </c>
    </row>
    <row r="1038" spans="1:26" ht="12" hidden="1" thickBot="1" x14ac:dyDescent="0.25">
      <c r="A1038" s="567">
        <v>90458</v>
      </c>
      <c r="B1038" s="644">
        <v>90458</v>
      </c>
      <c r="C1038" s="645" t="s">
        <v>670</v>
      </c>
      <c r="D1038" s="422" t="s">
        <v>886</v>
      </c>
      <c r="E1038" s="423"/>
      <c r="F1038" s="424"/>
      <c r="G1038" s="425"/>
      <c r="H1038" s="651"/>
      <c r="I1038" s="420">
        <v>29.17</v>
      </c>
      <c r="J1038" s="420">
        <f t="shared" si="283"/>
        <v>29.17</v>
      </c>
      <c r="K1038" s="421">
        <f t="shared" si="292"/>
        <v>34.659999999999997</v>
      </c>
      <c r="L1038" s="647" t="s">
        <v>2065</v>
      </c>
      <c r="M1038" s="576"/>
      <c r="N1038" s="576">
        <f t="shared" si="284"/>
        <v>0</v>
      </c>
      <c r="O1038" s="577">
        <f t="shared" si="289"/>
        <v>0</v>
      </c>
      <c r="P1038" s="578">
        <f t="shared" si="290"/>
        <v>0</v>
      </c>
      <c r="Q1038" s="765"/>
      <c r="R1038" s="576">
        <f t="shared" si="286"/>
        <v>0</v>
      </c>
      <c r="S1038" s="576">
        <f t="shared" si="286"/>
        <v>0</v>
      </c>
      <c r="T1038" s="577">
        <f t="shared" si="287"/>
        <v>0</v>
      </c>
      <c r="U1038" s="578">
        <f t="shared" si="288"/>
        <v>0</v>
      </c>
      <c r="V1038" s="579"/>
      <c r="W1038" s="566"/>
      <c r="X1038" s="586" t="str">
        <f t="shared" si="291"/>
        <v/>
      </c>
      <c r="Y1038" s="586" t="str">
        <f t="shared" si="285"/>
        <v/>
      </c>
      <c r="Z1038" s="586" t="str">
        <f t="shared" si="282"/>
        <v/>
      </c>
    </row>
    <row r="1039" spans="1:26" ht="23.25" hidden="1" thickBot="1" x14ac:dyDescent="0.25">
      <c r="A1039" s="567">
        <v>101938</v>
      </c>
      <c r="B1039" s="644">
        <v>101938</v>
      </c>
      <c r="C1039" s="645" t="s">
        <v>670</v>
      </c>
      <c r="D1039" s="422" t="s">
        <v>887</v>
      </c>
      <c r="E1039" s="423"/>
      <c r="F1039" s="424"/>
      <c r="G1039" s="425"/>
      <c r="H1039" s="651"/>
      <c r="I1039" s="420">
        <v>118.7</v>
      </c>
      <c r="J1039" s="420">
        <f t="shared" si="283"/>
        <v>118.7</v>
      </c>
      <c r="K1039" s="421">
        <f t="shared" si="292"/>
        <v>141.03</v>
      </c>
      <c r="L1039" s="647" t="s">
        <v>2065</v>
      </c>
      <c r="M1039" s="576"/>
      <c r="N1039" s="576">
        <f t="shared" si="284"/>
        <v>0</v>
      </c>
      <c r="O1039" s="577">
        <f t="shared" si="289"/>
        <v>0</v>
      </c>
      <c r="P1039" s="578">
        <f t="shared" si="290"/>
        <v>0</v>
      </c>
      <c r="Q1039" s="765"/>
      <c r="R1039" s="576">
        <f t="shared" si="286"/>
        <v>0</v>
      </c>
      <c r="S1039" s="576">
        <f t="shared" si="286"/>
        <v>0</v>
      </c>
      <c r="T1039" s="577">
        <f t="shared" si="287"/>
        <v>0</v>
      </c>
      <c r="U1039" s="578">
        <f t="shared" si="288"/>
        <v>0</v>
      </c>
      <c r="V1039" s="579"/>
      <c r="W1039" s="566"/>
      <c r="X1039" s="586" t="str">
        <f t="shared" si="291"/>
        <v/>
      </c>
      <c r="Y1039" s="586" t="str">
        <f t="shared" si="285"/>
        <v/>
      </c>
      <c r="Z1039" s="586" t="str">
        <f t="shared" si="282"/>
        <v/>
      </c>
    </row>
    <row r="1040" spans="1:26" ht="23.25" hidden="1" thickBot="1" x14ac:dyDescent="0.25">
      <c r="A1040" s="567">
        <v>101489</v>
      </c>
      <c r="B1040" s="644">
        <v>101489</v>
      </c>
      <c r="C1040" s="645" t="s">
        <v>670</v>
      </c>
      <c r="D1040" s="422" t="s">
        <v>888</v>
      </c>
      <c r="E1040" s="423"/>
      <c r="F1040" s="424"/>
      <c r="G1040" s="425"/>
      <c r="H1040" s="651"/>
      <c r="I1040" s="420">
        <v>1458.09</v>
      </c>
      <c r="J1040" s="420">
        <f t="shared" si="283"/>
        <v>1458.09</v>
      </c>
      <c r="K1040" s="421">
        <f t="shared" si="292"/>
        <v>1732.36</v>
      </c>
      <c r="L1040" s="647" t="s">
        <v>2065</v>
      </c>
      <c r="M1040" s="576"/>
      <c r="N1040" s="576">
        <f t="shared" si="284"/>
        <v>0</v>
      </c>
      <c r="O1040" s="577">
        <f t="shared" si="289"/>
        <v>0</v>
      </c>
      <c r="P1040" s="578">
        <f t="shared" si="290"/>
        <v>0</v>
      </c>
      <c r="Q1040" s="765"/>
      <c r="R1040" s="576">
        <f t="shared" si="286"/>
        <v>0</v>
      </c>
      <c r="S1040" s="576">
        <f t="shared" si="286"/>
        <v>0</v>
      </c>
      <c r="T1040" s="577">
        <f t="shared" si="287"/>
        <v>0</v>
      </c>
      <c r="U1040" s="578">
        <f t="shared" si="288"/>
        <v>0</v>
      </c>
      <c r="V1040" s="579"/>
      <c r="W1040" s="566"/>
      <c r="X1040" s="586" t="str">
        <f t="shared" si="291"/>
        <v/>
      </c>
      <c r="Y1040" s="586" t="str">
        <f t="shared" si="285"/>
        <v/>
      </c>
      <c r="Z1040" s="586" t="str">
        <f t="shared" si="282"/>
        <v/>
      </c>
    </row>
    <row r="1041" spans="1:26" ht="23.25" hidden="1" thickBot="1" x14ac:dyDescent="0.25">
      <c r="A1041" s="567">
        <v>101490</v>
      </c>
      <c r="B1041" s="644">
        <v>101490</v>
      </c>
      <c r="C1041" s="645" t="s">
        <v>670</v>
      </c>
      <c r="D1041" s="422" t="s">
        <v>889</v>
      </c>
      <c r="E1041" s="423"/>
      <c r="F1041" s="424"/>
      <c r="G1041" s="425"/>
      <c r="H1041" s="651"/>
      <c r="I1041" s="420">
        <v>1550.71</v>
      </c>
      <c r="J1041" s="420">
        <f t="shared" si="283"/>
        <v>1550.71</v>
      </c>
      <c r="K1041" s="421">
        <f t="shared" si="292"/>
        <v>1842.4</v>
      </c>
      <c r="L1041" s="647" t="s">
        <v>2065</v>
      </c>
      <c r="M1041" s="576"/>
      <c r="N1041" s="576">
        <f t="shared" si="284"/>
        <v>0</v>
      </c>
      <c r="O1041" s="577">
        <f t="shared" si="289"/>
        <v>0</v>
      </c>
      <c r="P1041" s="578">
        <f t="shared" si="290"/>
        <v>0</v>
      </c>
      <c r="Q1041" s="765"/>
      <c r="R1041" s="576">
        <f t="shared" si="286"/>
        <v>0</v>
      </c>
      <c r="S1041" s="576">
        <f t="shared" si="286"/>
        <v>0</v>
      </c>
      <c r="T1041" s="577">
        <f t="shared" si="287"/>
        <v>0</v>
      </c>
      <c r="U1041" s="578">
        <f t="shared" si="288"/>
        <v>0</v>
      </c>
      <c r="V1041" s="579"/>
      <c r="W1041" s="566"/>
      <c r="X1041" s="586" t="str">
        <f t="shared" si="291"/>
        <v/>
      </c>
      <c r="Y1041" s="586" t="str">
        <f t="shared" si="285"/>
        <v/>
      </c>
      <c r="Z1041" s="586" t="str">
        <f t="shared" si="282"/>
        <v/>
      </c>
    </row>
    <row r="1042" spans="1:26" ht="23.25" hidden="1" thickBot="1" x14ac:dyDescent="0.25">
      <c r="A1042" s="567">
        <v>101491</v>
      </c>
      <c r="B1042" s="644">
        <v>101491</v>
      </c>
      <c r="C1042" s="645" t="s">
        <v>670</v>
      </c>
      <c r="D1042" s="422" t="s">
        <v>890</v>
      </c>
      <c r="E1042" s="423"/>
      <c r="F1042" s="424"/>
      <c r="G1042" s="425"/>
      <c r="H1042" s="651"/>
      <c r="I1042" s="420">
        <v>1580.41</v>
      </c>
      <c r="J1042" s="420">
        <f t="shared" si="283"/>
        <v>1580.41</v>
      </c>
      <c r="K1042" s="421">
        <f t="shared" si="292"/>
        <v>1877.69</v>
      </c>
      <c r="L1042" s="647" t="s">
        <v>2065</v>
      </c>
      <c r="M1042" s="576"/>
      <c r="N1042" s="576">
        <f t="shared" si="284"/>
        <v>0</v>
      </c>
      <c r="O1042" s="577">
        <f t="shared" si="289"/>
        <v>0</v>
      </c>
      <c r="P1042" s="578">
        <f t="shared" si="290"/>
        <v>0</v>
      </c>
      <c r="Q1042" s="765"/>
      <c r="R1042" s="576">
        <f t="shared" si="286"/>
        <v>0</v>
      </c>
      <c r="S1042" s="576">
        <f t="shared" si="286"/>
        <v>0</v>
      </c>
      <c r="T1042" s="577">
        <f t="shared" si="287"/>
        <v>0</v>
      </c>
      <c r="U1042" s="578">
        <f t="shared" si="288"/>
        <v>0</v>
      </c>
      <c r="V1042" s="579"/>
      <c r="W1042" s="566"/>
      <c r="X1042" s="586" t="str">
        <f t="shared" si="291"/>
        <v/>
      </c>
      <c r="Y1042" s="586" t="str">
        <f t="shared" si="285"/>
        <v/>
      </c>
      <c r="Z1042" s="586" t="str">
        <f t="shared" si="282"/>
        <v/>
      </c>
    </row>
    <row r="1043" spans="1:26" ht="23.25" hidden="1" thickBot="1" x14ac:dyDescent="0.25">
      <c r="A1043" s="567">
        <v>101492</v>
      </c>
      <c r="B1043" s="644">
        <v>101492</v>
      </c>
      <c r="C1043" s="645" t="s">
        <v>670</v>
      </c>
      <c r="D1043" s="422" t="s">
        <v>891</v>
      </c>
      <c r="E1043" s="423"/>
      <c r="F1043" s="424"/>
      <c r="G1043" s="425"/>
      <c r="H1043" s="651"/>
      <c r="I1043" s="420">
        <v>1720.47</v>
      </c>
      <c r="J1043" s="420">
        <f t="shared" ref="J1043:J1106" si="293">IF(ISBLANK(I1043),"",SUM(H1043:I1043))</f>
        <v>1720.47</v>
      </c>
      <c r="K1043" s="421">
        <f t="shared" si="292"/>
        <v>2044.09</v>
      </c>
      <c r="L1043" s="647" t="s">
        <v>2065</v>
      </c>
      <c r="M1043" s="576"/>
      <c r="N1043" s="576">
        <f t="shared" si="284"/>
        <v>0</v>
      </c>
      <c r="O1043" s="577">
        <f t="shared" si="289"/>
        <v>0</v>
      </c>
      <c r="P1043" s="578">
        <f t="shared" si="290"/>
        <v>0</v>
      </c>
      <c r="Q1043" s="765"/>
      <c r="R1043" s="576">
        <f t="shared" si="286"/>
        <v>0</v>
      </c>
      <c r="S1043" s="576">
        <f t="shared" si="286"/>
        <v>0</v>
      </c>
      <c r="T1043" s="577">
        <f t="shared" si="287"/>
        <v>0</v>
      </c>
      <c r="U1043" s="578">
        <f t="shared" si="288"/>
        <v>0</v>
      </c>
      <c r="V1043" s="579"/>
      <c r="W1043" s="566"/>
      <c r="X1043" s="586" t="str">
        <f t="shared" si="291"/>
        <v/>
      </c>
      <c r="Y1043" s="586" t="str">
        <f t="shared" si="285"/>
        <v/>
      </c>
      <c r="Z1043" s="586" t="str">
        <f t="shared" ref="Z1043:Z1106" si="294">IF(W1043="X","x",IF(U1043&gt;0,"x",""))</f>
        <v/>
      </c>
    </row>
    <row r="1044" spans="1:26" ht="23.25" hidden="1" thickBot="1" x14ac:dyDescent="0.25">
      <c r="A1044" s="567">
        <v>101493</v>
      </c>
      <c r="B1044" s="644">
        <v>101493</v>
      </c>
      <c r="C1044" s="645" t="s">
        <v>670</v>
      </c>
      <c r="D1044" s="422" t="s">
        <v>892</v>
      </c>
      <c r="E1044" s="423"/>
      <c r="F1044" s="424"/>
      <c r="G1044" s="425"/>
      <c r="H1044" s="651"/>
      <c r="I1044" s="420">
        <v>1441.18</v>
      </c>
      <c r="J1044" s="420">
        <f t="shared" si="293"/>
        <v>1441.18</v>
      </c>
      <c r="K1044" s="421">
        <f t="shared" si="292"/>
        <v>1712.27</v>
      </c>
      <c r="L1044" s="647" t="s">
        <v>2065</v>
      </c>
      <c r="M1044" s="576"/>
      <c r="N1044" s="576">
        <f t="shared" ref="N1044:N1107" si="295">IF(M1044=0,0,K1044)</f>
        <v>0</v>
      </c>
      <c r="O1044" s="577">
        <f t="shared" si="289"/>
        <v>0</v>
      </c>
      <c r="P1044" s="578">
        <f t="shared" si="290"/>
        <v>0</v>
      </c>
      <c r="Q1044" s="765"/>
      <c r="R1044" s="576">
        <f t="shared" si="286"/>
        <v>0</v>
      </c>
      <c r="S1044" s="576">
        <f t="shared" si="286"/>
        <v>0</v>
      </c>
      <c r="T1044" s="577">
        <f t="shared" si="287"/>
        <v>0</v>
      </c>
      <c r="U1044" s="578">
        <f t="shared" si="288"/>
        <v>0</v>
      </c>
      <c r="V1044" s="579"/>
      <c r="W1044" s="566"/>
      <c r="X1044" s="586" t="str">
        <f t="shared" si="291"/>
        <v/>
      </c>
      <c r="Y1044" s="586" t="str">
        <f t="shared" si="285"/>
        <v/>
      </c>
      <c r="Z1044" s="586" t="str">
        <f t="shared" si="294"/>
        <v/>
      </c>
    </row>
    <row r="1045" spans="1:26" ht="23.25" hidden="1" thickBot="1" x14ac:dyDescent="0.25">
      <c r="A1045" s="567">
        <v>101494</v>
      </c>
      <c r="B1045" s="644">
        <v>101494</v>
      </c>
      <c r="C1045" s="645" t="s">
        <v>670</v>
      </c>
      <c r="D1045" s="422" t="s">
        <v>893</v>
      </c>
      <c r="E1045" s="423"/>
      <c r="F1045" s="424"/>
      <c r="G1045" s="425"/>
      <c r="H1045" s="651"/>
      <c r="I1045" s="420">
        <v>1533.8</v>
      </c>
      <c r="J1045" s="420">
        <f t="shared" si="293"/>
        <v>1533.8</v>
      </c>
      <c r="K1045" s="421">
        <f t="shared" si="292"/>
        <v>1822.31</v>
      </c>
      <c r="L1045" s="647" t="s">
        <v>2065</v>
      </c>
      <c r="M1045" s="576"/>
      <c r="N1045" s="576">
        <f t="shared" si="295"/>
        <v>0</v>
      </c>
      <c r="O1045" s="577">
        <f t="shared" si="289"/>
        <v>0</v>
      </c>
      <c r="P1045" s="578">
        <f t="shared" si="290"/>
        <v>0</v>
      </c>
      <c r="Q1045" s="765"/>
      <c r="R1045" s="576">
        <f t="shared" si="286"/>
        <v>0</v>
      </c>
      <c r="S1045" s="576">
        <f t="shared" si="286"/>
        <v>0</v>
      </c>
      <c r="T1045" s="577">
        <f t="shared" si="287"/>
        <v>0</v>
      </c>
      <c r="U1045" s="578">
        <f t="shared" si="288"/>
        <v>0</v>
      </c>
      <c r="V1045" s="579"/>
      <c r="W1045" s="566"/>
      <c r="X1045" s="586" t="str">
        <f t="shared" si="291"/>
        <v/>
      </c>
      <c r="Y1045" s="586" t="str">
        <f t="shared" si="285"/>
        <v/>
      </c>
      <c r="Z1045" s="586" t="str">
        <f t="shared" si="294"/>
        <v/>
      </c>
    </row>
    <row r="1046" spans="1:26" ht="23.25" hidden="1" thickBot="1" x14ac:dyDescent="0.25">
      <c r="A1046" s="567">
        <v>101495</v>
      </c>
      <c r="B1046" s="644">
        <v>101495</v>
      </c>
      <c r="C1046" s="645" t="s">
        <v>670</v>
      </c>
      <c r="D1046" s="422" t="s">
        <v>894</v>
      </c>
      <c r="E1046" s="423"/>
      <c r="F1046" s="424"/>
      <c r="G1046" s="425"/>
      <c r="H1046" s="651"/>
      <c r="I1046" s="420">
        <v>1563.5</v>
      </c>
      <c r="J1046" s="420">
        <f t="shared" si="293"/>
        <v>1563.5</v>
      </c>
      <c r="K1046" s="421">
        <f t="shared" si="292"/>
        <v>1857.59</v>
      </c>
      <c r="L1046" s="647" t="s">
        <v>2065</v>
      </c>
      <c r="M1046" s="576"/>
      <c r="N1046" s="576">
        <f t="shared" si="295"/>
        <v>0</v>
      </c>
      <c r="O1046" s="577">
        <f t="shared" si="289"/>
        <v>0</v>
      </c>
      <c r="P1046" s="578">
        <f t="shared" si="290"/>
        <v>0</v>
      </c>
      <c r="Q1046" s="765"/>
      <c r="R1046" s="576">
        <f t="shared" si="286"/>
        <v>0</v>
      </c>
      <c r="S1046" s="576">
        <f t="shared" si="286"/>
        <v>0</v>
      </c>
      <c r="T1046" s="577">
        <f t="shared" si="287"/>
        <v>0</v>
      </c>
      <c r="U1046" s="578">
        <f t="shared" si="288"/>
        <v>0</v>
      </c>
      <c r="V1046" s="579"/>
      <c r="W1046" s="566"/>
      <c r="X1046" s="586" t="str">
        <f t="shared" si="291"/>
        <v/>
      </c>
      <c r="Y1046" s="586" t="str">
        <f t="shared" si="285"/>
        <v/>
      </c>
      <c r="Z1046" s="586" t="str">
        <f t="shared" si="294"/>
        <v/>
      </c>
    </row>
    <row r="1047" spans="1:26" ht="23.25" hidden="1" thickBot="1" x14ac:dyDescent="0.25">
      <c r="A1047" s="567">
        <v>101496</v>
      </c>
      <c r="B1047" s="644">
        <v>101496</v>
      </c>
      <c r="C1047" s="645" t="s">
        <v>670</v>
      </c>
      <c r="D1047" s="422" t="s">
        <v>895</v>
      </c>
      <c r="E1047" s="423"/>
      <c r="F1047" s="424"/>
      <c r="G1047" s="425"/>
      <c r="H1047" s="651"/>
      <c r="I1047" s="420">
        <v>1703.56</v>
      </c>
      <c r="J1047" s="420">
        <f t="shared" si="293"/>
        <v>1703.56</v>
      </c>
      <c r="K1047" s="421">
        <f t="shared" si="292"/>
        <v>2024</v>
      </c>
      <c r="L1047" s="647" t="s">
        <v>2065</v>
      </c>
      <c r="M1047" s="576"/>
      <c r="N1047" s="576">
        <f t="shared" si="295"/>
        <v>0</v>
      </c>
      <c r="O1047" s="577">
        <f t="shared" si="289"/>
        <v>0</v>
      </c>
      <c r="P1047" s="578">
        <f t="shared" si="290"/>
        <v>0</v>
      </c>
      <c r="Q1047" s="765"/>
      <c r="R1047" s="576">
        <f t="shared" si="286"/>
        <v>0</v>
      </c>
      <c r="S1047" s="576">
        <f t="shared" si="286"/>
        <v>0</v>
      </c>
      <c r="T1047" s="577">
        <f t="shared" si="287"/>
        <v>0</v>
      </c>
      <c r="U1047" s="578">
        <f t="shared" si="288"/>
        <v>0</v>
      </c>
      <c r="V1047" s="579"/>
      <c r="W1047" s="566"/>
      <c r="X1047" s="586" t="str">
        <f t="shared" si="291"/>
        <v/>
      </c>
      <c r="Y1047" s="586" t="str">
        <f t="shared" si="285"/>
        <v/>
      </c>
      <c r="Z1047" s="586" t="str">
        <f t="shared" si="294"/>
        <v/>
      </c>
    </row>
    <row r="1048" spans="1:26" ht="23.25" hidden="1" thickBot="1" x14ac:dyDescent="0.25">
      <c r="A1048" s="567">
        <v>101497</v>
      </c>
      <c r="B1048" s="644">
        <v>101497</v>
      </c>
      <c r="C1048" s="645" t="s">
        <v>670</v>
      </c>
      <c r="D1048" s="422" t="s">
        <v>896</v>
      </c>
      <c r="E1048" s="423"/>
      <c r="F1048" s="424"/>
      <c r="G1048" s="425"/>
      <c r="H1048" s="651"/>
      <c r="I1048" s="420">
        <v>1733.98</v>
      </c>
      <c r="J1048" s="420">
        <f t="shared" si="293"/>
        <v>1733.98</v>
      </c>
      <c r="K1048" s="421">
        <f t="shared" si="292"/>
        <v>2060.14</v>
      </c>
      <c r="L1048" s="647" t="s">
        <v>2065</v>
      </c>
      <c r="M1048" s="576"/>
      <c r="N1048" s="576">
        <f t="shared" si="295"/>
        <v>0</v>
      </c>
      <c r="O1048" s="577">
        <f t="shared" si="289"/>
        <v>0</v>
      </c>
      <c r="P1048" s="578">
        <f t="shared" si="290"/>
        <v>0</v>
      </c>
      <c r="Q1048" s="765"/>
      <c r="R1048" s="576">
        <f t="shared" si="286"/>
        <v>0</v>
      </c>
      <c r="S1048" s="576">
        <f t="shared" si="286"/>
        <v>0</v>
      </c>
      <c r="T1048" s="577">
        <f t="shared" si="287"/>
        <v>0</v>
      </c>
      <c r="U1048" s="578">
        <f t="shared" si="288"/>
        <v>0</v>
      </c>
      <c r="V1048" s="579"/>
      <c r="W1048" s="566"/>
      <c r="X1048" s="586" t="str">
        <f t="shared" si="291"/>
        <v/>
      </c>
      <c r="Y1048" s="586" t="str">
        <f t="shared" si="285"/>
        <v/>
      </c>
      <c r="Z1048" s="586" t="str">
        <f t="shared" si="294"/>
        <v/>
      </c>
    </row>
    <row r="1049" spans="1:26" ht="23.25" hidden="1" thickBot="1" x14ac:dyDescent="0.25">
      <c r="A1049" s="567">
        <v>101498</v>
      </c>
      <c r="B1049" s="644">
        <v>101498</v>
      </c>
      <c r="C1049" s="645" t="s">
        <v>670</v>
      </c>
      <c r="D1049" s="422" t="s">
        <v>897</v>
      </c>
      <c r="E1049" s="423"/>
      <c r="F1049" s="424"/>
      <c r="G1049" s="425"/>
      <c r="H1049" s="651"/>
      <c r="I1049" s="420">
        <v>1874.17</v>
      </c>
      <c r="J1049" s="420">
        <f t="shared" si="293"/>
        <v>1874.17</v>
      </c>
      <c r="K1049" s="421">
        <f t="shared" si="292"/>
        <v>2226.6999999999998</v>
      </c>
      <c r="L1049" s="647" t="s">
        <v>2065</v>
      </c>
      <c r="M1049" s="576"/>
      <c r="N1049" s="576">
        <f t="shared" si="295"/>
        <v>0</v>
      </c>
      <c r="O1049" s="577">
        <f t="shared" si="289"/>
        <v>0</v>
      </c>
      <c r="P1049" s="578">
        <f t="shared" si="290"/>
        <v>0</v>
      </c>
      <c r="Q1049" s="765"/>
      <c r="R1049" s="576">
        <f t="shared" si="286"/>
        <v>0</v>
      </c>
      <c r="S1049" s="576">
        <f t="shared" si="286"/>
        <v>0</v>
      </c>
      <c r="T1049" s="577">
        <f t="shared" si="287"/>
        <v>0</v>
      </c>
      <c r="U1049" s="578">
        <f t="shared" si="288"/>
        <v>0</v>
      </c>
      <c r="V1049" s="579"/>
      <c r="W1049" s="566"/>
      <c r="X1049" s="586" t="str">
        <f t="shared" si="291"/>
        <v/>
      </c>
      <c r="Y1049" s="586" t="str">
        <f t="shared" si="285"/>
        <v/>
      </c>
      <c r="Z1049" s="586" t="str">
        <f t="shared" si="294"/>
        <v/>
      </c>
    </row>
    <row r="1050" spans="1:26" ht="23.25" hidden="1" thickBot="1" x14ac:dyDescent="0.25">
      <c r="A1050" s="567">
        <v>101499</v>
      </c>
      <c r="B1050" s="644">
        <v>101499</v>
      </c>
      <c r="C1050" s="645" t="s">
        <v>670</v>
      </c>
      <c r="D1050" s="422" t="s">
        <v>898</v>
      </c>
      <c r="E1050" s="423"/>
      <c r="F1050" s="424"/>
      <c r="G1050" s="425"/>
      <c r="H1050" s="651"/>
      <c r="I1050" s="420">
        <v>1919.13</v>
      </c>
      <c r="J1050" s="420">
        <f t="shared" si="293"/>
        <v>1919.13</v>
      </c>
      <c r="K1050" s="421">
        <f t="shared" si="292"/>
        <v>2280.12</v>
      </c>
      <c r="L1050" s="647" t="s">
        <v>2065</v>
      </c>
      <c r="M1050" s="576"/>
      <c r="N1050" s="576">
        <f t="shared" si="295"/>
        <v>0</v>
      </c>
      <c r="O1050" s="577">
        <f t="shared" si="289"/>
        <v>0</v>
      </c>
      <c r="P1050" s="578">
        <f t="shared" si="290"/>
        <v>0</v>
      </c>
      <c r="Q1050" s="765"/>
      <c r="R1050" s="576">
        <f t="shared" si="286"/>
        <v>0</v>
      </c>
      <c r="S1050" s="576">
        <f t="shared" si="286"/>
        <v>0</v>
      </c>
      <c r="T1050" s="577">
        <f t="shared" si="287"/>
        <v>0</v>
      </c>
      <c r="U1050" s="578">
        <f t="shared" si="288"/>
        <v>0</v>
      </c>
      <c r="V1050" s="579"/>
      <c r="W1050" s="566"/>
      <c r="X1050" s="586" t="str">
        <f t="shared" si="291"/>
        <v/>
      </c>
      <c r="Y1050" s="586" t="str">
        <f t="shared" si="285"/>
        <v/>
      </c>
      <c r="Z1050" s="586" t="str">
        <f t="shared" si="294"/>
        <v/>
      </c>
    </row>
    <row r="1051" spans="1:26" ht="23.25" hidden="1" thickBot="1" x14ac:dyDescent="0.25">
      <c r="A1051" s="567">
        <v>101500</v>
      </c>
      <c r="B1051" s="644">
        <v>101500</v>
      </c>
      <c r="C1051" s="645" t="s">
        <v>670</v>
      </c>
      <c r="D1051" s="422" t="s">
        <v>899</v>
      </c>
      <c r="E1051" s="423"/>
      <c r="F1051" s="424"/>
      <c r="G1051" s="425"/>
      <c r="H1051" s="651"/>
      <c r="I1051" s="420">
        <v>2113.15</v>
      </c>
      <c r="J1051" s="420">
        <f t="shared" si="293"/>
        <v>2113.15</v>
      </c>
      <c r="K1051" s="421">
        <f t="shared" si="292"/>
        <v>2510.63</v>
      </c>
      <c r="L1051" s="647" t="s">
        <v>2065</v>
      </c>
      <c r="M1051" s="576"/>
      <c r="N1051" s="576">
        <f t="shared" si="295"/>
        <v>0</v>
      </c>
      <c r="O1051" s="577">
        <f t="shared" si="289"/>
        <v>0</v>
      </c>
      <c r="P1051" s="578">
        <f t="shared" si="290"/>
        <v>0</v>
      </c>
      <c r="Q1051" s="765"/>
      <c r="R1051" s="576">
        <f t="shared" si="286"/>
        <v>0</v>
      </c>
      <c r="S1051" s="576">
        <f t="shared" si="286"/>
        <v>0</v>
      </c>
      <c r="T1051" s="577">
        <f t="shared" si="287"/>
        <v>0</v>
      </c>
      <c r="U1051" s="578">
        <f t="shared" si="288"/>
        <v>0</v>
      </c>
      <c r="V1051" s="579"/>
      <c r="W1051" s="566"/>
      <c r="X1051" s="586" t="str">
        <f t="shared" si="291"/>
        <v/>
      </c>
      <c r="Y1051" s="586" t="str">
        <f t="shared" si="285"/>
        <v/>
      </c>
      <c r="Z1051" s="586" t="str">
        <f t="shared" si="294"/>
        <v/>
      </c>
    </row>
    <row r="1052" spans="1:26" ht="23.25" hidden="1" thickBot="1" x14ac:dyDescent="0.25">
      <c r="A1052" s="567">
        <v>101501</v>
      </c>
      <c r="B1052" s="644">
        <v>101501</v>
      </c>
      <c r="C1052" s="645" t="s">
        <v>670</v>
      </c>
      <c r="D1052" s="422" t="s">
        <v>900</v>
      </c>
      <c r="E1052" s="423"/>
      <c r="F1052" s="424"/>
      <c r="G1052" s="425"/>
      <c r="H1052" s="651"/>
      <c r="I1052" s="420">
        <v>1724.18</v>
      </c>
      <c r="J1052" s="420">
        <f t="shared" si="293"/>
        <v>1724.18</v>
      </c>
      <c r="K1052" s="421">
        <f t="shared" si="292"/>
        <v>2048.5</v>
      </c>
      <c r="L1052" s="647" t="s">
        <v>2065</v>
      </c>
      <c r="M1052" s="576"/>
      <c r="N1052" s="576">
        <f t="shared" si="295"/>
        <v>0</v>
      </c>
      <c r="O1052" s="577">
        <f t="shared" si="289"/>
        <v>0</v>
      </c>
      <c r="P1052" s="578">
        <f t="shared" si="290"/>
        <v>0</v>
      </c>
      <c r="Q1052" s="765"/>
      <c r="R1052" s="576">
        <f t="shared" si="286"/>
        <v>0</v>
      </c>
      <c r="S1052" s="576">
        <f t="shared" si="286"/>
        <v>0</v>
      </c>
      <c r="T1052" s="577">
        <f t="shared" si="287"/>
        <v>0</v>
      </c>
      <c r="U1052" s="578">
        <f t="shared" si="288"/>
        <v>0</v>
      </c>
      <c r="V1052" s="579"/>
      <c r="W1052" s="566"/>
      <c r="X1052" s="586" t="str">
        <f t="shared" si="291"/>
        <v/>
      </c>
      <c r="Y1052" s="586" t="str">
        <f t="shared" si="285"/>
        <v/>
      </c>
      <c r="Z1052" s="586" t="str">
        <f t="shared" si="294"/>
        <v/>
      </c>
    </row>
    <row r="1053" spans="1:26" ht="23.25" hidden="1" thickBot="1" x14ac:dyDescent="0.25">
      <c r="A1053" s="567">
        <v>101502</v>
      </c>
      <c r="B1053" s="644">
        <v>101502</v>
      </c>
      <c r="C1053" s="645" t="s">
        <v>670</v>
      </c>
      <c r="D1053" s="422" t="s">
        <v>901</v>
      </c>
      <c r="E1053" s="423"/>
      <c r="F1053" s="424"/>
      <c r="G1053" s="425"/>
      <c r="H1053" s="651"/>
      <c r="I1053" s="420">
        <v>1864.37</v>
      </c>
      <c r="J1053" s="420">
        <f t="shared" si="293"/>
        <v>1864.37</v>
      </c>
      <c r="K1053" s="421">
        <f t="shared" si="292"/>
        <v>2215.06</v>
      </c>
      <c r="L1053" s="647" t="s">
        <v>2065</v>
      </c>
      <c r="M1053" s="576"/>
      <c r="N1053" s="576">
        <f t="shared" si="295"/>
        <v>0</v>
      </c>
      <c r="O1053" s="577">
        <f t="shared" si="289"/>
        <v>0</v>
      </c>
      <c r="P1053" s="578">
        <f t="shared" si="290"/>
        <v>0</v>
      </c>
      <c r="Q1053" s="765"/>
      <c r="R1053" s="576">
        <f t="shared" si="286"/>
        <v>0</v>
      </c>
      <c r="S1053" s="576">
        <f t="shared" si="286"/>
        <v>0</v>
      </c>
      <c r="T1053" s="577">
        <f t="shared" si="287"/>
        <v>0</v>
      </c>
      <c r="U1053" s="578">
        <f t="shared" si="288"/>
        <v>0</v>
      </c>
      <c r="V1053" s="579"/>
      <c r="W1053" s="566"/>
      <c r="X1053" s="586" t="str">
        <f t="shared" si="291"/>
        <v/>
      </c>
      <c r="Y1053" s="586" t="str">
        <f t="shared" si="285"/>
        <v/>
      </c>
      <c r="Z1053" s="586" t="str">
        <f t="shared" si="294"/>
        <v/>
      </c>
    </row>
    <row r="1054" spans="1:26" ht="23.25" hidden="1" thickBot="1" x14ac:dyDescent="0.25">
      <c r="A1054" s="567">
        <v>101503</v>
      </c>
      <c r="B1054" s="644">
        <v>101503</v>
      </c>
      <c r="C1054" s="645" t="s">
        <v>670</v>
      </c>
      <c r="D1054" s="422" t="s">
        <v>902</v>
      </c>
      <c r="E1054" s="423"/>
      <c r="F1054" s="424"/>
      <c r="G1054" s="425"/>
      <c r="H1054" s="651"/>
      <c r="I1054" s="420">
        <v>1909.33</v>
      </c>
      <c r="J1054" s="420">
        <f t="shared" si="293"/>
        <v>1909.33</v>
      </c>
      <c r="K1054" s="421">
        <f t="shared" si="292"/>
        <v>2268.4699999999998</v>
      </c>
      <c r="L1054" s="647" t="s">
        <v>2065</v>
      </c>
      <c r="M1054" s="576"/>
      <c r="N1054" s="576">
        <f t="shared" si="295"/>
        <v>0</v>
      </c>
      <c r="O1054" s="577">
        <f t="shared" si="289"/>
        <v>0</v>
      </c>
      <c r="P1054" s="578">
        <f t="shared" si="290"/>
        <v>0</v>
      </c>
      <c r="Q1054" s="765"/>
      <c r="R1054" s="576">
        <f t="shared" si="286"/>
        <v>0</v>
      </c>
      <c r="S1054" s="576">
        <f t="shared" si="286"/>
        <v>0</v>
      </c>
      <c r="T1054" s="577">
        <f t="shared" si="287"/>
        <v>0</v>
      </c>
      <c r="U1054" s="578">
        <f t="shared" si="288"/>
        <v>0</v>
      </c>
      <c r="V1054" s="579"/>
      <c r="W1054" s="566"/>
      <c r="X1054" s="586" t="str">
        <f t="shared" si="291"/>
        <v/>
      </c>
      <c r="Y1054" s="586" t="str">
        <f t="shared" si="285"/>
        <v/>
      </c>
      <c r="Z1054" s="586" t="str">
        <f t="shared" si="294"/>
        <v/>
      </c>
    </row>
    <row r="1055" spans="1:26" ht="23.25" hidden="1" thickBot="1" x14ac:dyDescent="0.25">
      <c r="A1055" s="567">
        <v>101504</v>
      </c>
      <c r="B1055" s="644">
        <v>101504</v>
      </c>
      <c r="C1055" s="645" t="s">
        <v>670</v>
      </c>
      <c r="D1055" s="422" t="s">
        <v>903</v>
      </c>
      <c r="E1055" s="423"/>
      <c r="F1055" s="424"/>
      <c r="G1055" s="425"/>
      <c r="H1055" s="651"/>
      <c r="I1055" s="420">
        <v>2103.35</v>
      </c>
      <c r="J1055" s="420">
        <f t="shared" si="293"/>
        <v>2103.35</v>
      </c>
      <c r="K1055" s="421">
        <f t="shared" si="292"/>
        <v>2498.9899999999998</v>
      </c>
      <c r="L1055" s="647" t="s">
        <v>2065</v>
      </c>
      <c r="M1055" s="576"/>
      <c r="N1055" s="576">
        <f t="shared" si="295"/>
        <v>0</v>
      </c>
      <c r="O1055" s="577">
        <f t="shared" si="289"/>
        <v>0</v>
      </c>
      <c r="P1055" s="578">
        <f t="shared" si="290"/>
        <v>0</v>
      </c>
      <c r="Q1055" s="765"/>
      <c r="R1055" s="576">
        <f t="shared" si="286"/>
        <v>0</v>
      </c>
      <c r="S1055" s="576">
        <f t="shared" si="286"/>
        <v>0</v>
      </c>
      <c r="T1055" s="577">
        <f t="shared" si="287"/>
        <v>0</v>
      </c>
      <c r="U1055" s="578">
        <f t="shared" si="288"/>
        <v>0</v>
      </c>
      <c r="V1055" s="579"/>
      <c r="W1055" s="566"/>
      <c r="X1055" s="586" t="str">
        <f t="shared" si="291"/>
        <v/>
      </c>
      <c r="Y1055" s="586" t="str">
        <f t="shared" si="285"/>
        <v/>
      </c>
      <c r="Z1055" s="586" t="str">
        <f t="shared" si="294"/>
        <v/>
      </c>
    </row>
    <row r="1056" spans="1:26" ht="23.25" hidden="1" thickBot="1" x14ac:dyDescent="0.25">
      <c r="A1056" s="567">
        <v>101505</v>
      </c>
      <c r="B1056" s="644">
        <v>101505</v>
      </c>
      <c r="C1056" s="645" t="s">
        <v>670</v>
      </c>
      <c r="D1056" s="422" t="s">
        <v>904</v>
      </c>
      <c r="E1056" s="423"/>
      <c r="F1056" s="424"/>
      <c r="G1056" s="425"/>
      <c r="H1056" s="651"/>
      <c r="I1056" s="420">
        <v>1850.2</v>
      </c>
      <c r="J1056" s="420">
        <f t="shared" si="293"/>
        <v>1850.2</v>
      </c>
      <c r="K1056" s="421">
        <f t="shared" si="292"/>
        <v>2198.2199999999998</v>
      </c>
      <c r="L1056" s="647" t="s">
        <v>2065</v>
      </c>
      <c r="M1056" s="576"/>
      <c r="N1056" s="576">
        <f t="shared" si="295"/>
        <v>0</v>
      </c>
      <c r="O1056" s="577">
        <f t="shared" si="289"/>
        <v>0</v>
      </c>
      <c r="P1056" s="578">
        <f t="shared" si="290"/>
        <v>0</v>
      </c>
      <c r="Q1056" s="765"/>
      <c r="R1056" s="576">
        <f t="shared" si="286"/>
        <v>0</v>
      </c>
      <c r="S1056" s="576">
        <f t="shared" si="286"/>
        <v>0</v>
      </c>
      <c r="T1056" s="577">
        <f t="shared" si="287"/>
        <v>0</v>
      </c>
      <c r="U1056" s="578">
        <f t="shared" si="288"/>
        <v>0</v>
      </c>
      <c r="V1056" s="579"/>
      <c r="W1056" s="566"/>
      <c r="X1056" s="586" t="str">
        <f t="shared" si="291"/>
        <v/>
      </c>
      <c r="Y1056" s="586" t="str">
        <f t="shared" si="285"/>
        <v/>
      </c>
      <c r="Z1056" s="586" t="str">
        <f t="shared" si="294"/>
        <v/>
      </c>
    </row>
    <row r="1057" spans="1:26" ht="23.25" hidden="1" thickBot="1" x14ac:dyDescent="0.25">
      <c r="A1057" s="567">
        <v>101506</v>
      </c>
      <c r="B1057" s="644">
        <v>101506</v>
      </c>
      <c r="C1057" s="645" t="s">
        <v>670</v>
      </c>
      <c r="D1057" s="422" t="s">
        <v>905</v>
      </c>
      <c r="E1057" s="423"/>
      <c r="F1057" s="424"/>
      <c r="G1057" s="425"/>
      <c r="H1057" s="651"/>
      <c r="I1057" s="420">
        <v>2037.13</v>
      </c>
      <c r="J1057" s="420">
        <f t="shared" si="293"/>
        <v>2037.13</v>
      </c>
      <c r="K1057" s="421">
        <f t="shared" si="292"/>
        <v>2420.31</v>
      </c>
      <c r="L1057" s="647" t="s">
        <v>2065</v>
      </c>
      <c r="M1057" s="576"/>
      <c r="N1057" s="576">
        <f t="shared" si="295"/>
        <v>0</v>
      </c>
      <c r="O1057" s="577">
        <f t="shared" si="289"/>
        <v>0</v>
      </c>
      <c r="P1057" s="578">
        <f t="shared" si="290"/>
        <v>0</v>
      </c>
      <c r="Q1057" s="765"/>
      <c r="R1057" s="576">
        <f t="shared" si="286"/>
        <v>0</v>
      </c>
      <c r="S1057" s="576">
        <f t="shared" si="286"/>
        <v>0</v>
      </c>
      <c r="T1057" s="577">
        <f t="shared" si="287"/>
        <v>0</v>
      </c>
      <c r="U1057" s="578">
        <f t="shared" si="288"/>
        <v>0</v>
      </c>
      <c r="V1057" s="579"/>
      <c r="W1057" s="566"/>
      <c r="X1057" s="586" t="str">
        <f t="shared" si="291"/>
        <v/>
      </c>
      <c r="Y1057" s="586" t="str">
        <f t="shared" si="285"/>
        <v/>
      </c>
      <c r="Z1057" s="586" t="str">
        <f t="shared" si="294"/>
        <v/>
      </c>
    </row>
    <row r="1058" spans="1:26" ht="23.25" hidden="1" thickBot="1" x14ac:dyDescent="0.25">
      <c r="A1058" s="567">
        <v>101507</v>
      </c>
      <c r="B1058" s="644">
        <v>101507</v>
      </c>
      <c r="C1058" s="645" t="s">
        <v>670</v>
      </c>
      <c r="D1058" s="422" t="s">
        <v>906</v>
      </c>
      <c r="E1058" s="423"/>
      <c r="F1058" s="424"/>
      <c r="G1058" s="425"/>
      <c r="H1058" s="651"/>
      <c r="I1058" s="420">
        <v>2097.0700000000002</v>
      </c>
      <c r="J1058" s="420">
        <f t="shared" si="293"/>
        <v>2097.0700000000002</v>
      </c>
      <c r="K1058" s="421">
        <f t="shared" si="292"/>
        <v>2491.5300000000002</v>
      </c>
      <c r="L1058" s="647" t="s">
        <v>2065</v>
      </c>
      <c r="M1058" s="576"/>
      <c r="N1058" s="576">
        <f t="shared" si="295"/>
        <v>0</v>
      </c>
      <c r="O1058" s="577">
        <f t="shared" si="289"/>
        <v>0</v>
      </c>
      <c r="P1058" s="578">
        <f t="shared" si="290"/>
        <v>0</v>
      </c>
      <c r="Q1058" s="765"/>
      <c r="R1058" s="576">
        <f t="shared" si="286"/>
        <v>0</v>
      </c>
      <c r="S1058" s="576">
        <f t="shared" si="286"/>
        <v>0</v>
      </c>
      <c r="T1058" s="577">
        <f t="shared" si="287"/>
        <v>0</v>
      </c>
      <c r="U1058" s="578">
        <f t="shared" si="288"/>
        <v>0</v>
      </c>
      <c r="V1058" s="579"/>
      <c r="W1058" s="566"/>
      <c r="X1058" s="586" t="str">
        <f t="shared" si="291"/>
        <v/>
      </c>
      <c r="Y1058" s="586" t="str">
        <f t="shared" si="285"/>
        <v/>
      </c>
      <c r="Z1058" s="586" t="str">
        <f t="shared" si="294"/>
        <v/>
      </c>
    </row>
    <row r="1059" spans="1:26" ht="23.25" hidden="1" thickBot="1" x14ac:dyDescent="0.25">
      <c r="A1059" s="567">
        <v>101508</v>
      </c>
      <c r="B1059" s="644">
        <v>101508</v>
      </c>
      <c r="C1059" s="645" t="s">
        <v>670</v>
      </c>
      <c r="D1059" s="422" t="s">
        <v>907</v>
      </c>
      <c r="E1059" s="423"/>
      <c r="F1059" s="424"/>
      <c r="G1059" s="425"/>
      <c r="H1059" s="651"/>
      <c r="I1059" s="420">
        <v>2344.09</v>
      </c>
      <c r="J1059" s="420">
        <f t="shared" si="293"/>
        <v>2344.09</v>
      </c>
      <c r="K1059" s="421">
        <f t="shared" si="292"/>
        <v>2785.01</v>
      </c>
      <c r="L1059" s="647" t="s">
        <v>2065</v>
      </c>
      <c r="M1059" s="576"/>
      <c r="N1059" s="576">
        <f t="shared" si="295"/>
        <v>0</v>
      </c>
      <c r="O1059" s="577">
        <f t="shared" si="289"/>
        <v>0</v>
      </c>
      <c r="P1059" s="578">
        <f t="shared" si="290"/>
        <v>0</v>
      </c>
      <c r="Q1059" s="765"/>
      <c r="R1059" s="576">
        <f t="shared" si="286"/>
        <v>0</v>
      </c>
      <c r="S1059" s="576">
        <f t="shared" si="286"/>
        <v>0</v>
      </c>
      <c r="T1059" s="577">
        <f t="shared" si="287"/>
        <v>0</v>
      </c>
      <c r="U1059" s="578">
        <f t="shared" si="288"/>
        <v>0</v>
      </c>
      <c r="V1059" s="579"/>
      <c r="W1059" s="566"/>
      <c r="X1059" s="586" t="str">
        <f t="shared" si="291"/>
        <v/>
      </c>
      <c r="Y1059" s="586" t="str">
        <f t="shared" ref="Y1059:Y1122" si="296">IF(W1059="X","x",IF(W1059="y","x",IF(W1059="xx","x",IF(U1059&gt;0,"x",""))))</f>
        <v/>
      </c>
      <c r="Z1059" s="586" t="str">
        <f t="shared" si="294"/>
        <v/>
      </c>
    </row>
    <row r="1060" spans="1:26" ht="23.25" hidden="1" thickBot="1" x14ac:dyDescent="0.25">
      <c r="A1060" s="567">
        <v>101509</v>
      </c>
      <c r="B1060" s="644">
        <v>101509</v>
      </c>
      <c r="C1060" s="645" t="s">
        <v>670</v>
      </c>
      <c r="D1060" s="422" t="s">
        <v>908</v>
      </c>
      <c r="E1060" s="423"/>
      <c r="F1060" s="424"/>
      <c r="G1060" s="425"/>
      <c r="H1060" s="651"/>
      <c r="I1060" s="420">
        <v>2006.91</v>
      </c>
      <c r="J1060" s="420">
        <f t="shared" si="293"/>
        <v>2006.91</v>
      </c>
      <c r="K1060" s="421">
        <f t="shared" si="292"/>
        <v>2384.41</v>
      </c>
      <c r="L1060" s="647" t="s">
        <v>2065</v>
      </c>
      <c r="M1060" s="576"/>
      <c r="N1060" s="576">
        <f t="shared" si="295"/>
        <v>0</v>
      </c>
      <c r="O1060" s="577">
        <f t="shared" si="289"/>
        <v>0</v>
      </c>
      <c r="P1060" s="578">
        <f t="shared" si="290"/>
        <v>0</v>
      </c>
      <c r="Q1060" s="765"/>
      <c r="R1060" s="576">
        <f t="shared" si="286"/>
        <v>0</v>
      </c>
      <c r="S1060" s="576">
        <f t="shared" si="286"/>
        <v>0</v>
      </c>
      <c r="T1060" s="577">
        <f t="shared" si="287"/>
        <v>0</v>
      </c>
      <c r="U1060" s="578">
        <f t="shared" si="288"/>
        <v>0</v>
      </c>
      <c r="V1060" s="579"/>
      <c r="W1060" s="566"/>
      <c r="X1060" s="586" t="str">
        <f t="shared" si="291"/>
        <v/>
      </c>
      <c r="Y1060" s="586" t="str">
        <f t="shared" si="296"/>
        <v/>
      </c>
      <c r="Z1060" s="586" t="str">
        <f t="shared" si="294"/>
        <v/>
      </c>
    </row>
    <row r="1061" spans="1:26" ht="23.25" hidden="1" thickBot="1" x14ac:dyDescent="0.25">
      <c r="A1061" s="567">
        <v>101510</v>
      </c>
      <c r="B1061" s="644">
        <v>101510</v>
      </c>
      <c r="C1061" s="645" t="s">
        <v>670</v>
      </c>
      <c r="D1061" s="422" t="s">
        <v>909</v>
      </c>
      <c r="E1061" s="423"/>
      <c r="F1061" s="424"/>
      <c r="G1061" s="425"/>
      <c r="H1061" s="651"/>
      <c r="I1061" s="420">
        <v>2193.84</v>
      </c>
      <c r="J1061" s="420">
        <f t="shared" si="293"/>
        <v>2193.84</v>
      </c>
      <c r="K1061" s="421">
        <f t="shared" si="292"/>
        <v>2606.5</v>
      </c>
      <c r="L1061" s="647" t="s">
        <v>2065</v>
      </c>
      <c r="M1061" s="576"/>
      <c r="N1061" s="576">
        <f t="shared" si="295"/>
        <v>0</v>
      </c>
      <c r="O1061" s="577">
        <f t="shared" si="289"/>
        <v>0</v>
      </c>
      <c r="P1061" s="578">
        <f t="shared" si="290"/>
        <v>0</v>
      </c>
      <c r="Q1061" s="765"/>
      <c r="R1061" s="576">
        <f t="shared" si="286"/>
        <v>0</v>
      </c>
      <c r="S1061" s="576">
        <f t="shared" si="286"/>
        <v>0</v>
      </c>
      <c r="T1061" s="577">
        <f t="shared" si="287"/>
        <v>0</v>
      </c>
      <c r="U1061" s="578">
        <f t="shared" si="288"/>
        <v>0</v>
      </c>
      <c r="V1061" s="579"/>
      <c r="W1061" s="566"/>
      <c r="X1061" s="586" t="str">
        <f t="shared" si="291"/>
        <v/>
      </c>
      <c r="Y1061" s="586" t="str">
        <f t="shared" si="296"/>
        <v/>
      </c>
      <c r="Z1061" s="586" t="str">
        <f t="shared" si="294"/>
        <v/>
      </c>
    </row>
    <row r="1062" spans="1:26" ht="23.25" hidden="1" thickBot="1" x14ac:dyDescent="0.25">
      <c r="A1062" s="567">
        <v>101511</v>
      </c>
      <c r="B1062" s="644">
        <v>101511</v>
      </c>
      <c r="C1062" s="645" t="s">
        <v>670</v>
      </c>
      <c r="D1062" s="422" t="s">
        <v>910</v>
      </c>
      <c r="E1062" s="423"/>
      <c r="F1062" s="424"/>
      <c r="G1062" s="425"/>
      <c r="H1062" s="651"/>
      <c r="I1062" s="420">
        <v>2253.7800000000002</v>
      </c>
      <c r="J1062" s="420">
        <f t="shared" si="293"/>
        <v>2253.7800000000002</v>
      </c>
      <c r="K1062" s="421">
        <f t="shared" si="292"/>
        <v>2677.72</v>
      </c>
      <c r="L1062" s="647" t="s">
        <v>2065</v>
      </c>
      <c r="M1062" s="576"/>
      <c r="N1062" s="576">
        <f t="shared" si="295"/>
        <v>0</v>
      </c>
      <c r="O1062" s="577">
        <f t="shared" si="289"/>
        <v>0</v>
      </c>
      <c r="P1062" s="578">
        <f t="shared" si="290"/>
        <v>0</v>
      </c>
      <c r="Q1062" s="765"/>
      <c r="R1062" s="576">
        <f t="shared" si="286"/>
        <v>0</v>
      </c>
      <c r="S1062" s="576">
        <f t="shared" si="286"/>
        <v>0</v>
      </c>
      <c r="T1062" s="577">
        <f t="shared" si="287"/>
        <v>0</v>
      </c>
      <c r="U1062" s="578">
        <f t="shared" si="288"/>
        <v>0</v>
      </c>
      <c r="V1062" s="579"/>
      <c r="W1062" s="566"/>
      <c r="X1062" s="586" t="str">
        <f t="shared" si="291"/>
        <v/>
      </c>
      <c r="Y1062" s="586" t="str">
        <f t="shared" si="296"/>
        <v/>
      </c>
      <c r="Z1062" s="586" t="str">
        <f t="shared" si="294"/>
        <v/>
      </c>
    </row>
    <row r="1063" spans="1:26" ht="23.25" hidden="1" thickBot="1" x14ac:dyDescent="0.25">
      <c r="A1063" s="567">
        <v>101512</v>
      </c>
      <c r="B1063" s="644">
        <v>101512</v>
      </c>
      <c r="C1063" s="645" t="s">
        <v>670</v>
      </c>
      <c r="D1063" s="422" t="s">
        <v>911</v>
      </c>
      <c r="E1063" s="423"/>
      <c r="F1063" s="424"/>
      <c r="G1063" s="425"/>
      <c r="H1063" s="651"/>
      <c r="I1063" s="420">
        <v>2500.8000000000002</v>
      </c>
      <c r="J1063" s="420">
        <f t="shared" si="293"/>
        <v>2500.8000000000002</v>
      </c>
      <c r="K1063" s="421">
        <f t="shared" si="292"/>
        <v>2971.2</v>
      </c>
      <c r="L1063" s="647" t="s">
        <v>2065</v>
      </c>
      <c r="M1063" s="576"/>
      <c r="N1063" s="576">
        <f t="shared" si="295"/>
        <v>0</v>
      </c>
      <c r="O1063" s="577">
        <f t="shared" si="289"/>
        <v>0</v>
      </c>
      <c r="P1063" s="578">
        <f t="shared" si="290"/>
        <v>0</v>
      </c>
      <c r="Q1063" s="765"/>
      <c r="R1063" s="576">
        <f t="shared" si="286"/>
        <v>0</v>
      </c>
      <c r="S1063" s="576">
        <f t="shared" si="286"/>
        <v>0</v>
      </c>
      <c r="T1063" s="577">
        <f t="shared" si="287"/>
        <v>0</v>
      </c>
      <c r="U1063" s="578">
        <f t="shared" si="288"/>
        <v>0</v>
      </c>
      <c r="V1063" s="579"/>
      <c r="W1063" s="566"/>
      <c r="X1063" s="586" t="str">
        <f t="shared" si="291"/>
        <v/>
      </c>
      <c r="Y1063" s="586" t="str">
        <f t="shared" si="296"/>
        <v/>
      </c>
      <c r="Z1063" s="586" t="str">
        <f t="shared" si="294"/>
        <v/>
      </c>
    </row>
    <row r="1064" spans="1:26" ht="23.25" hidden="1" thickBot="1" x14ac:dyDescent="0.25">
      <c r="A1064" s="567">
        <v>101513</v>
      </c>
      <c r="B1064" s="644">
        <v>101513</v>
      </c>
      <c r="C1064" s="645" t="s">
        <v>670</v>
      </c>
      <c r="D1064" s="422" t="s">
        <v>912</v>
      </c>
      <c r="E1064" s="423"/>
      <c r="F1064" s="424"/>
      <c r="G1064" s="425"/>
      <c r="H1064" s="651"/>
      <c r="I1064" s="420">
        <v>810.41</v>
      </c>
      <c r="J1064" s="420">
        <f t="shared" si="293"/>
        <v>810.41</v>
      </c>
      <c r="K1064" s="421">
        <f t="shared" si="292"/>
        <v>962.85</v>
      </c>
      <c r="L1064" s="647" t="s">
        <v>2065</v>
      </c>
      <c r="M1064" s="576"/>
      <c r="N1064" s="576">
        <f t="shared" si="295"/>
        <v>0</v>
      </c>
      <c r="O1064" s="577">
        <f t="shared" si="289"/>
        <v>0</v>
      </c>
      <c r="P1064" s="578">
        <f t="shared" si="290"/>
        <v>0</v>
      </c>
      <c r="Q1064" s="765"/>
      <c r="R1064" s="576">
        <f t="shared" si="286"/>
        <v>0</v>
      </c>
      <c r="S1064" s="576">
        <f t="shared" si="286"/>
        <v>0</v>
      </c>
      <c r="T1064" s="577">
        <f t="shared" si="287"/>
        <v>0</v>
      </c>
      <c r="U1064" s="578">
        <f t="shared" si="288"/>
        <v>0</v>
      </c>
      <c r="V1064" s="579"/>
      <c r="W1064" s="566"/>
      <c r="X1064" s="586" t="str">
        <f t="shared" si="291"/>
        <v/>
      </c>
      <c r="Y1064" s="586" t="str">
        <f t="shared" si="296"/>
        <v/>
      </c>
      <c r="Z1064" s="586" t="str">
        <f t="shared" si="294"/>
        <v/>
      </c>
    </row>
    <row r="1065" spans="1:26" ht="23.25" hidden="1" thickBot="1" x14ac:dyDescent="0.25">
      <c r="A1065" s="567">
        <v>101514</v>
      </c>
      <c r="B1065" s="644">
        <v>101514</v>
      </c>
      <c r="C1065" s="645" t="s">
        <v>670</v>
      </c>
      <c r="D1065" s="422" t="s">
        <v>913</v>
      </c>
      <c r="E1065" s="423"/>
      <c r="F1065" s="424"/>
      <c r="G1065" s="425"/>
      <c r="H1065" s="651"/>
      <c r="I1065" s="420">
        <v>921.56</v>
      </c>
      <c r="J1065" s="420">
        <f t="shared" si="293"/>
        <v>921.56</v>
      </c>
      <c r="K1065" s="421">
        <f t="shared" si="292"/>
        <v>1094.9100000000001</v>
      </c>
      <c r="L1065" s="647" t="s">
        <v>2065</v>
      </c>
      <c r="M1065" s="576"/>
      <c r="N1065" s="576">
        <f t="shared" si="295"/>
        <v>0</v>
      </c>
      <c r="O1065" s="577">
        <f t="shared" si="289"/>
        <v>0</v>
      </c>
      <c r="P1065" s="578">
        <f t="shared" si="290"/>
        <v>0</v>
      </c>
      <c r="Q1065" s="765"/>
      <c r="R1065" s="576">
        <f t="shared" si="286"/>
        <v>0</v>
      </c>
      <c r="S1065" s="576">
        <f t="shared" si="286"/>
        <v>0</v>
      </c>
      <c r="T1065" s="577">
        <f t="shared" si="287"/>
        <v>0</v>
      </c>
      <c r="U1065" s="578">
        <f t="shared" si="288"/>
        <v>0</v>
      </c>
      <c r="V1065" s="579"/>
      <c r="W1065" s="566"/>
      <c r="X1065" s="586" t="str">
        <f t="shared" si="291"/>
        <v/>
      </c>
      <c r="Y1065" s="586" t="str">
        <f t="shared" si="296"/>
        <v/>
      </c>
      <c r="Z1065" s="586" t="str">
        <f t="shared" si="294"/>
        <v/>
      </c>
    </row>
    <row r="1066" spans="1:26" ht="23.25" hidden="1" thickBot="1" x14ac:dyDescent="0.25">
      <c r="A1066" s="567">
        <v>101515</v>
      </c>
      <c r="B1066" s="644">
        <v>101515</v>
      </c>
      <c r="C1066" s="645" t="s">
        <v>670</v>
      </c>
      <c r="D1066" s="422" t="s">
        <v>914</v>
      </c>
      <c r="E1066" s="423"/>
      <c r="F1066" s="424"/>
      <c r="G1066" s="425"/>
      <c r="H1066" s="651"/>
      <c r="I1066" s="420">
        <v>957.2</v>
      </c>
      <c r="J1066" s="420">
        <f t="shared" si="293"/>
        <v>957.2</v>
      </c>
      <c r="K1066" s="421">
        <f t="shared" si="292"/>
        <v>1137.25</v>
      </c>
      <c r="L1066" s="647" t="s">
        <v>2065</v>
      </c>
      <c r="M1066" s="576"/>
      <c r="N1066" s="576">
        <f t="shared" si="295"/>
        <v>0</v>
      </c>
      <c r="O1066" s="577">
        <f t="shared" si="289"/>
        <v>0</v>
      </c>
      <c r="P1066" s="578">
        <f t="shared" si="290"/>
        <v>0</v>
      </c>
      <c r="Q1066" s="765"/>
      <c r="R1066" s="576">
        <f t="shared" si="286"/>
        <v>0</v>
      </c>
      <c r="S1066" s="576">
        <f t="shared" si="286"/>
        <v>0</v>
      </c>
      <c r="T1066" s="577">
        <f t="shared" si="287"/>
        <v>0</v>
      </c>
      <c r="U1066" s="578">
        <f t="shared" si="288"/>
        <v>0</v>
      </c>
      <c r="V1066" s="579"/>
      <c r="W1066" s="566"/>
      <c r="X1066" s="586" t="str">
        <f t="shared" si="291"/>
        <v/>
      </c>
      <c r="Y1066" s="586" t="str">
        <f t="shared" si="296"/>
        <v/>
      </c>
      <c r="Z1066" s="586" t="str">
        <f t="shared" si="294"/>
        <v/>
      </c>
    </row>
    <row r="1067" spans="1:26" ht="23.25" hidden="1" thickBot="1" x14ac:dyDescent="0.25">
      <c r="A1067" s="567">
        <v>101516</v>
      </c>
      <c r="B1067" s="644">
        <v>101516</v>
      </c>
      <c r="C1067" s="645" t="s">
        <v>670</v>
      </c>
      <c r="D1067" s="422" t="s">
        <v>915</v>
      </c>
      <c r="E1067" s="423"/>
      <c r="F1067" s="424"/>
      <c r="G1067" s="425"/>
      <c r="H1067" s="651"/>
      <c r="I1067" s="420">
        <v>1083.26</v>
      </c>
      <c r="J1067" s="420">
        <f t="shared" si="293"/>
        <v>1083.26</v>
      </c>
      <c r="K1067" s="421">
        <f t="shared" si="292"/>
        <v>1287.02</v>
      </c>
      <c r="L1067" s="647" t="s">
        <v>2065</v>
      </c>
      <c r="M1067" s="576"/>
      <c r="N1067" s="576">
        <f t="shared" si="295"/>
        <v>0</v>
      </c>
      <c r="O1067" s="577">
        <f t="shared" si="289"/>
        <v>0</v>
      </c>
      <c r="P1067" s="578">
        <f t="shared" si="290"/>
        <v>0</v>
      </c>
      <c r="Q1067" s="765"/>
      <c r="R1067" s="576">
        <f t="shared" si="286"/>
        <v>0</v>
      </c>
      <c r="S1067" s="576">
        <f t="shared" si="286"/>
        <v>0</v>
      </c>
      <c r="T1067" s="577">
        <f t="shared" si="287"/>
        <v>0</v>
      </c>
      <c r="U1067" s="578">
        <f t="shared" si="288"/>
        <v>0</v>
      </c>
      <c r="V1067" s="579"/>
      <c r="W1067" s="566"/>
      <c r="X1067" s="586" t="str">
        <f t="shared" si="291"/>
        <v/>
      </c>
      <c r="Y1067" s="586" t="str">
        <f t="shared" si="296"/>
        <v/>
      </c>
      <c r="Z1067" s="586" t="str">
        <f t="shared" si="294"/>
        <v/>
      </c>
    </row>
    <row r="1068" spans="1:26" ht="23.25" hidden="1" thickBot="1" x14ac:dyDescent="0.25">
      <c r="A1068" s="567">
        <v>101517</v>
      </c>
      <c r="B1068" s="644">
        <v>101517</v>
      </c>
      <c r="C1068" s="645" t="s">
        <v>670</v>
      </c>
      <c r="D1068" s="422" t="s">
        <v>916</v>
      </c>
      <c r="E1068" s="423"/>
      <c r="F1068" s="424"/>
      <c r="G1068" s="425"/>
      <c r="H1068" s="651"/>
      <c r="I1068" s="420">
        <v>793.49</v>
      </c>
      <c r="J1068" s="420">
        <f t="shared" si="293"/>
        <v>793.49</v>
      </c>
      <c r="K1068" s="421">
        <f t="shared" si="292"/>
        <v>942.75</v>
      </c>
      <c r="L1068" s="647" t="s">
        <v>2065</v>
      </c>
      <c r="M1068" s="576"/>
      <c r="N1068" s="576">
        <f t="shared" si="295"/>
        <v>0</v>
      </c>
      <c r="O1068" s="577">
        <f t="shared" si="289"/>
        <v>0</v>
      </c>
      <c r="P1068" s="578">
        <f t="shared" si="290"/>
        <v>0</v>
      </c>
      <c r="Q1068" s="765"/>
      <c r="R1068" s="576">
        <f t="shared" si="286"/>
        <v>0</v>
      </c>
      <c r="S1068" s="576">
        <f t="shared" si="286"/>
        <v>0</v>
      </c>
      <c r="T1068" s="577">
        <f t="shared" si="287"/>
        <v>0</v>
      </c>
      <c r="U1068" s="578">
        <f t="shared" si="288"/>
        <v>0</v>
      </c>
      <c r="V1068" s="579"/>
      <c r="W1068" s="566"/>
      <c r="X1068" s="586" t="str">
        <f t="shared" si="291"/>
        <v/>
      </c>
      <c r="Y1068" s="586" t="str">
        <f t="shared" si="296"/>
        <v/>
      </c>
      <c r="Z1068" s="586" t="str">
        <f t="shared" si="294"/>
        <v/>
      </c>
    </row>
    <row r="1069" spans="1:26" ht="23.25" hidden="1" thickBot="1" x14ac:dyDescent="0.25">
      <c r="A1069" s="567">
        <v>101518</v>
      </c>
      <c r="B1069" s="644">
        <v>101518</v>
      </c>
      <c r="C1069" s="645" t="s">
        <v>670</v>
      </c>
      <c r="D1069" s="422" t="s">
        <v>917</v>
      </c>
      <c r="E1069" s="423"/>
      <c r="F1069" s="424"/>
      <c r="G1069" s="425"/>
      <c r="H1069" s="651"/>
      <c r="I1069" s="420">
        <v>904.64</v>
      </c>
      <c r="J1069" s="420">
        <f t="shared" si="293"/>
        <v>904.64</v>
      </c>
      <c r="K1069" s="421">
        <f t="shared" si="292"/>
        <v>1074.8</v>
      </c>
      <c r="L1069" s="647" t="s">
        <v>2065</v>
      </c>
      <c r="M1069" s="576"/>
      <c r="N1069" s="576">
        <f t="shared" si="295"/>
        <v>0</v>
      </c>
      <c r="O1069" s="577">
        <f t="shared" si="289"/>
        <v>0</v>
      </c>
      <c r="P1069" s="578">
        <f t="shared" si="290"/>
        <v>0</v>
      </c>
      <c r="Q1069" s="765"/>
      <c r="R1069" s="576">
        <f t="shared" si="286"/>
        <v>0</v>
      </c>
      <c r="S1069" s="576">
        <f t="shared" si="286"/>
        <v>0</v>
      </c>
      <c r="T1069" s="577">
        <f t="shared" si="287"/>
        <v>0</v>
      </c>
      <c r="U1069" s="578">
        <f t="shared" si="288"/>
        <v>0</v>
      </c>
      <c r="V1069" s="579"/>
      <c r="W1069" s="566"/>
      <c r="X1069" s="586" t="str">
        <f t="shared" si="291"/>
        <v/>
      </c>
      <c r="Y1069" s="586" t="str">
        <f t="shared" si="296"/>
        <v/>
      </c>
      <c r="Z1069" s="586" t="str">
        <f t="shared" si="294"/>
        <v/>
      </c>
    </row>
    <row r="1070" spans="1:26" ht="23.25" hidden="1" thickBot="1" x14ac:dyDescent="0.25">
      <c r="A1070" s="567">
        <v>101519</v>
      </c>
      <c r="B1070" s="644">
        <v>101519</v>
      </c>
      <c r="C1070" s="645" t="s">
        <v>670</v>
      </c>
      <c r="D1070" s="422" t="s">
        <v>918</v>
      </c>
      <c r="E1070" s="423"/>
      <c r="F1070" s="424"/>
      <c r="G1070" s="425"/>
      <c r="H1070" s="651"/>
      <c r="I1070" s="420">
        <v>940.28</v>
      </c>
      <c r="J1070" s="420">
        <f t="shared" si="293"/>
        <v>940.28</v>
      </c>
      <c r="K1070" s="421">
        <f t="shared" si="292"/>
        <v>1117.1500000000001</v>
      </c>
      <c r="L1070" s="647" t="s">
        <v>2065</v>
      </c>
      <c r="M1070" s="576"/>
      <c r="N1070" s="576">
        <f t="shared" si="295"/>
        <v>0</v>
      </c>
      <c r="O1070" s="577">
        <f t="shared" si="289"/>
        <v>0</v>
      </c>
      <c r="P1070" s="578">
        <f t="shared" si="290"/>
        <v>0</v>
      </c>
      <c r="Q1070" s="765"/>
      <c r="R1070" s="576">
        <f t="shared" si="286"/>
        <v>0</v>
      </c>
      <c r="S1070" s="576">
        <f t="shared" si="286"/>
        <v>0</v>
      </c>
      <c r="T1070" s="577">
        <f t="shared" si="287"/>
        <v>0</v>
      </c>
      <c r="U1070" s="578">
        <f t="shared" si="288"/>
        <v>0</v>
      </c>
      <c r="V1070" s="579"/>
      <c r="W1070" s="566"/>
      <c r="X1070" s="586" t="str">
        <f t="shared" si="291"/>
        <v/>
      </c>
      <c r="Y1070" s="586" t="str">
        <f t="shared" si="296"/>
        <v/>
      </c>
      <c r="Z1070" s="586" t="str">
        <f t="shared" si="294"/>
        <v/>
      </c>
    </row>
    <row r="1071" spans="1:26" ht="23.25" hidden="1" thickBot="1" x14ac:dyDescent="0.25">
      <c r="A1071" s="567">
        <v>101520</v>
      </c>
      <c r="B1071" s="644">
        <v>101520</v>
      </c>
      <c r="C1071" s="645" t="s">
        <v>670</v>
      </c>
      <c r="D1071" s="422" t="s">
        <v>919</v>
      </c>
      <c r="E1071" s="423"/>
      <c r="F1071" s="424"/>
      <c r="G1071" s="425"/>
      <c r="H1071" s="651"/>
      <c r="I1071" s="420">
        <v>1066.3399999999999</v>
      </c>
      <c r="J1071" s="420">
        <f t="shared" si="293"/>
        <v>1066.3399999999999</v>
      </c>
      <c r="K1071" s="421">
        <f t="shared" si="292"/>
        <v>1266.92</v>
      </c>
      <c r="L1071" s="647" t="s">
        <v>2065</v>
      </c>
      <c r="M1071" s="576"/>
      <c r="N1071" s="576">
        <f t="shared" si="295"/>
        <v>0</v>
      </c>
      <c r="O1071" s="577">
        <f t="shared" si="289"/>
        <v>0</v>
      </c>
      <c r="P1071" s="578">
        <f t="shared" si="290"/>
        <v>0</v>
      </c>
      <c r="Q1071" s="765"/>
      <c r="R1071" s="576">
        <f t="shared" si="286"/>
        <v>0</v>
      </c>
      <c r="S1071" s="576">
        <f t="shared" si="286"/>
        <v>0</v>
      </c>
      <c r="T1071" s="577">
        <f t="shared" si="287"/>
        <v>0</v>
      </c>
      <c r="U1071" s="578">
        <f t="shared" si="288"/>
        <v>0</v>
      </c>
      <c r="V1071" s="579"/>
      <c r="W1071" s="566"/>
      <c r="X1071" s="586" t="str">
        <f t="shared" si="291"/>
        <v/>
      </c>
      <c r="Y1071" s="586" t="str">
        <f t="shared" si="296"/>
        <v/>
      </c>
      <c r="Z1071" s="586" t="str">
        <f t="shared" si="294"/>
        <v/>
      </c>
    </row>
    <row r="1072" spans="1:26" ht="23.25" hidden="1" thickBot="1" x14ac:dyDescent="0.25">
      <c r="A1072" s="567">
        <v>101521</v>
      </c>
      <c r="B1072" s="644">
        <v>101521</v>
      </c>
      <c r="C1072" s="645" t="s">
        <v>670</v>
      </c>
      <c r="D1072" s="422" t="s">
        <v>920</v>
      </c>
      <c r="E1072" s="423"/>
      <c r="F1072" s="424"/>
      <c r="G1072" s="425"/>
      <c r="H1072" s="651"/>
      <c r="I1072" s="420">
        <v>1101.6300000000001</v>
      </c>
      <c r="J1072" s="420">
        <f t="shared" si="293"/>
        <v>1101.6300000000001</v>
      </c>
      <c r="K1072" s="421">
        <f t="shared" si="292"/>
        <v>1308.8499999999999</v>
      </c>
      <c r="L1072" s="647" t="s">
        <v>2065</v>
      </c>
      <c r="M1072" s="576"/>
      <c r="N1072" s="576">
        <f t="shared" si="295"/>
        <v>0</v>
      </c>
      <c r="O1072" s="577">
        <f t="shared" si="289"/>
        <v>0</v>
      </c>
      <c r="P1072" s="578">
        <f t="shared" si="290"/>
        <v>0</v>
      </c>
      <c r="Q1072" s="765"/>
      <c r="R1072" s="576">
        <f t="shared" si="286"/>
        <v>0</v>
      </c>
      <c r="S1072" s="576">
        <f t="shared" si="286"/>
        <v>0</v>
      </c>
      <c r="T1072" s="577">
        <f t="shared" si="287"/>
        <v>0</v>
      </c>
      <c r="U1072" s="578">
        <f t="shared" si="288"/>
        <v>0</v>
      </c>
      <c r="V1072" s="579"/>
      <c r="W1072" s="566"/>
      <c r="X1072" s="586" t="str">
        <f t="shared" si="291"/>
        <v/>
      </c>
      <c r="Y1072" s="586" t="str">
        <f t="shared" si="296"/>
        <v/>
      </c>
      <c r="Z1072" s="586" t="str">
        <f t="shared" si="294"/>
        <v/>
      </c>
    </row>
    <row r="1073" spans="1:26" ht="23.25" hidden="1" thickBot="1" x14ac:dyDescent="0.25">
      <c r="A1073" s="567">
        <v>101522</v>
      </c>
      <c r="B1073" s="644">
        <v>101522</v>
      </c>
      <c r="C1073" s="645" t="s">
        <v>670</v>
      </c>
      <c r="D1073" s="422" t="s">
        <v>921</v>
      </c>
      <c r="E1073" s="423"/>
      <c r="F1073" s="424"/>
      <c r="G1073" s="425"/>
      <c r="H1073" s="651"/>
      <c r="I1073" s="420">
        <v>1268.3499999999999</v>
      </c>
      <c r="J1073" s="420">
        <f t="shared" si="293"/>
        <v>1268.3499999999999</v>
      </c>
      <c r="K1073" s="421">
        <f t="shared" si="292"/>
        <v>1506.93</v>
      </c>
      <c r="L1073" s="647" t="s">
        <v>2065</v>
      </c>
      <c r="M1073" s="576"/>
      <c r="N1073" s="576">
        <f t="shared" si="295"/>
        <v>0</v>
      </c>
      <c r="O1073" s="577">
        <f t="shared" si="289"/>
        <v>0</v>
      </c>
      <c r="P1073" s="578">
        <f t="shared" si="290"/>
        <v>0</v>
      </c>
      <c r="Q1073" s="765"/>
      <c r="R1073" s="576">
        <f t="shared" si="286"/>
        <v>0</v>
      </c>
      <c r="S1073" s="576">
        <f t="shared" si="286"/>
        <v>0</v>
      </c>
      <c r="T1073" s="577">
        <f t="shared" si="287"/>
        <v>0</v>
      </c>
      <c r="U1073" s="578">
        <f t="shared" si="288"/>
        <v>0</v>
      </c>
      <c r="V1073" s="579"/>
      <c r="W1073" s="566"/>
      <c r="X1073" s="586" t="str">
        <f t="shared" si="291"/>
        <v/>
      </c>
      <c r="Y1073" s="586" t="str">
        <f t="shared" si="296"/>
        <v/>
      </c>
      <c r="Z1073" s="586" t="str">
        <f t="shared" si="294"/>
        <v/>
      </c>
    </row>
    <row r="1074" spans="1:26" ht="23.25" hidden="1" thickBot="1" x14ac:dyDescent="0.25">
      <c r="A1074" s="567">
        <v>101523</v>
      </c>
      <c r="B1074" s="644">
        <v>101523</v>
      </c>
      <c r="C1074" s="645" t="s">
        <v>670</v>
      </c>
      <c r="D1074" s="422" t="s">
        <v>922</v>
      </c>
      <c r="E1074" s="423"/>
      <c r="F1074" s="424"/>
      <c r="G1074" s="425"/>
      <c r="H1074" s="651"/>
      <c r="I1074" s="420">
        <v>1321.81</v>
      </c>
      <c r="J1074" s="420">
        <f t="shared" si="293"/>
        <v>1321.81</v>
      </c>
      <c r="K1074" s="421">
        <f t="shared" si="292"/>
        <v>1570.44</v>
      </c>
      <c r="L1074" s="647" t="s">
        <v>2065</v>
      </c>
      <c r="M1074" s="576"/>
      <c r="N1074" s="576">
        <f t="shared" si="295"/>
        <v>0</v>
      </c>
      <c r="O1074" s="577">
        <f t="shared" si="289"/>
        <v>0</v>
      </c>
      <c r="P1074" s="578">
        <f t="shared" si="290"/>
        <v>0</v>
      </c>
      <c r="Q1074" s="765"/>
      <c r="R1074" s="576">
        <f t="shared" si="286"/>
        <v>0</v>
      </c>
      <c r="S1074" s="576">
        <f t="shared" si="286"/>
        <v>0</v>
      </c>
      <c r="T1074" s="577">
        <f t="shared" si="287"/>
        <v>0</v>
      </c>
      <c r="U1074" s="578">
        <f t="shared" si="288"/>
        <v>0</v>
      </c>
      <c r="V1074" s="579"/>
      <c r="W1074" s="566"/>
      <c r="X1074" s="586" t="str">
        <f t="shared" si="291"/>
        <v/>
      </c>
      <c r="Y1074" s="586" t="str">
        <f t="shared" si="296"/>
        <v/>
      </c>
      <c r="Z1074" s="586" t="str">
        <f t="shared" si="294"/>
        <v/>
      </c>
    </row>
    <row r="1075" spans="1:26" ht="23.25" hidden="1" thickBot="1" x14ac:dyDescent="0.25">
      <c r="A1075" s="567">
        <v>101524</v>
      </c>
      <c r="B1075" s="644">
        <v>101524</v>
      </c>
      <c r="C1075" s="645" t="s">
        <v>670</v>
      </c>
      <c r="D1075" s="422" t="s">
        <v>923</v>
      </c>
      <c r="E1075" s="423"/>
      <c r="F1075" s="424"/>
      <c r="G1075" s="425"/>
      <c r="H1075" s="651"/>
      <c r="I1075" s="420">
        <v>1510.9</v>
      </c>
      <c r="J1075" s="420">
        <f t="shared" si="293"/>
        <v>1510.9</v>
      </c>
      <c r="K1075" s="421">
        <f t="shared" si="292"/>
        <v>1795.1</v>
      </c>
      <c r="L1075" s="647" t="s">
        <v>2065</v>
      </c>
      <c r="M1075" s="576"/>
      <c r="N1075" s="576">
        <f t="shared" si="295"/>
        <v>0</v>
      </c>
      <c r="O1075" s="577">
        <f t="shared" si="289"/>
        <v>0</v>
      </c>
      <c r="P1075" s="578">
        <f t="shared" si="290"/>
        <v>0</v>
      </c>
      <c r="Q1075" s="765"/>
      <c r="R1075" s="576">
        <f t="shared" si="286"/>
        <v>0</v>
      </c>
      <c r="S1075" s="576">
        <f t="shared" si="286"/>
        <v>0</v>
      </c>
      <c r="T1075" s="577">
        <f t="shared" si="287"/>
        <v>0</v>
      </c>
      <c r="U1075" s="578">
        <f t="shared" si="288"/>
        <v>0</v>
      </c>
      <c r="V1075" s="579"/>
      <c r="W1075" s="566"/>
      <c r="X1075" s="586" t="str">
        <f t="shared" si="291"/>
        <v/>
      </c>
      <c r="Y1075" s="586" t="str">
        <f t="shared" si="296"/>
        <v/>
      </c>
      <c r="Z1075" s="586" t="str">
        <f t="shared" si="294"/>
        <v/>
      </c>
    </row>
    <row r="1076" spans="1:26" ht="23.25" hidden="1" thickBot="1" x14ac:dyDescent="0.25">
      <c r="A1076" s="567">
        <v>101525</v>
      </c>
      <c r="B1076" s="644">
        <v>101525</v>
      </c>
      <c r="C1076" s="645" t="s">
        <v>670</v>
      </c>
      <c r="D1076" s="422" t="s">
        <v>924</v>
      </c>
      <c r="E1076" s="423"/>
      <c r="F1076" s="424"/>
      <c r="G1076" s="425"/>
      <c r="H1076" s="651"/>
      <c r="I1076" s="420">
        <v>1091.83</v>
      </c>
      <c r="J1076" s="420">
        <f t="shared" si="293"/>
        <v>1091.83</v>
      </c>
      <c r="K1076" s="421">
        <f t="shared" si="292"/>
        <v>1297.2</v>
      </c>
      <c r="L1076" s="647" t="s">
        <v>2065</v>
      </c>
      <c r="M1076" s="576"/>
      <c r="N1076" s="576">
        <f t="shared" si="295"/>
        <v>0</v>
      </c>
      <c r="O1076" s="577">
        <f t="shared" si="289"/>
        <v>0</v>
      </c>
      <c r="P1076" s="578">
        <f t="shared" si="290"/>
        <v>0</v>
      </c>
      <c r="Q1076" s="765"/>
      <c r="R1076" s="576">
        <f t="shared" ref="R1076:S1139" si="297">M1076</f>
        <v>0</v>
      </c>
      <c r="S1076" s="576">
        <f t="shared" si="297"/>
        <v>0</v>
      </c>
      <c r="T1076" s="577">
        <f t="shared" ref="T1076:T1139" si="298">IF(ISBLANK(R1076),0,ROUND(K1076*R1076,2))</f>
        <v>0</v>
      </c>
      <c r="U1076" s="578">
        <f t="shared" ref="U1076:U1139" si="299">IF(ISBLANK(R1076),0,ROUND(R1076*S1076,2))</f>
        <v>0</v>
      </c>
      <c r="V1076" s="579"/>
      <c r="W1076" s="566"/>
      <c r="X1076" s="586" t="str">
        <f t="shared" si="291"/>
        <v/>
      </c>
      <c r="Y1076" s="586" t="str">
        <f t="shared" si="296"/>
        <v/>
      </c>
      <c r="Z1076" s="586" t="str">
        <f t="shared" si="294"/>
        <v/>
      </c>
    </row>
    <row r="1077" spans="1:26" ht="23.25" hidden="1" thickBot="1" x14ac:dyDescent="0.25">
      <c r="A1077" s="567">
        <v>101526</v>
      </c>
      <c r="B1077" s="644">
        <v>101526</v>
      </c>
      <c r="C1077" s="645" t="s">
        <v>670</v>
      </c>
      <c r="D1077" s="422" t="s">
        <v>925</v>
      </c>
      <c r="E1077" s="423"/>
      <c r="F1077" s="424"/>
      <c r="G1077" s="425"/>
      <c r="H1077" s="651"/>
      <c r="I1077" s="420">
        <v>1258.55</v>
      </c>
      <c r="J1077" s="420">
        <f t="shared" si="293"/>
        <v>1258.55</v>
      </c>
      <c r="K1077" s="421">
        <f t="shared" si="292"/>
        <v>1495.28</v>
      </c>
      <c r="L1077" s="647" t="s">
        <v>2065</v>
      </c>
      <c r="M1077" s="576"/>
      <c r="N1077" s="576">
        <f t="shared" si="295"/>
        <v>0</v>
      </c>
      <c r="O1077" s="577">
        <f t="shared" ref="O1077:O1140" si="300">IF(ISBLANK(M1077),0,ROUND(K1077*M1077,2))</f>
        <v>0</v>
      </c>
      <c r="P1077" s="578">
        <f t="shared" ref="P1077:P1140" si="301">IF(ISBLANK(N1077),0,ROUND(M1077*N1077,2))</f>
        <v>0</v>
      </c>
      <c r="Q1077" s="765"/>
      <c r="R1077" s="576">
        <f t="shared" si="297"/>
        <v>0</v>
      </c>
      <c r="S1077" s="576">
        <f t="shared" si="297"/>
        <v>0</v>
      </c>
      <c r="T1077" s="577">
        <f t="shared" si="298"/>
        <v>0</v>
      </c>
      <c r="U1077" s="578">
        <f t="shared" si="299"/>
        <v>0</v>
      </c>
      <c r="V1077" s="579"/>
      <c r="W1077" s="566"/>
      <c r="X1077" s="586" t="str">
        <f t="shared" si="291"/>
        <v/>
      </c>
      <c r="Y1077" s="586" t="str">
        <f t="shared" si="296"/>
        <v/>
      </c>
      <c r="Z1077" s="586" t="str">
        <f t="shared" si="294"/>
        <v/>
      </c>
    </row>
    <row r="1078" spans="1:26" ht="23.25" hidden="1" thickBot="1" x14ac:dyDescent="0.25">
      <c r="A1078" s="567">
        <v>101527</v>
      </c>
      <c r="B1078" s="644">
        <v>101527</v>
      </c>
      <c r="C1078" s="645" t="s">
        <v>670</v>
      </c>
      <c r="D1078" s="422" t="s">
        <v>926</v>
      </c>
      <c r="E1078" s="423"/>
      <c r="F1078" s="424"/>
      <c r="G1078" s="425"/>
      <c r="H1078" s="651"/>
      <c r="I1078" s="420">
        <v>1312.01</v>
      </c>
      <c r="J1078" s="420">
        <f t="shared" si="293"/>
        <v>1312.01</v>
      </c>
      <c r="K1078" s="421">
        <f t="shared" si="292"/>
        <v>1558.8</v>
      </c>
      <c r="L1078" s="647" t="s">
        <v>2065</v>
      </c>
      <c r="M1078" s="576"/>
      <c r="N1078" s="576">
        <f t="shared" si="295"/>
        <v>0</v>
      </c>
      <c r="O1078" s="577">
        <f t="shared" si="300"/>
        <v>0</v>
      </c>
      <c r="P1078" s="578">
        <f t="shared" si="301"/>
        <v>0</v>
      </c>
      <c r="Q1078" s="765"/>
      <c r="R1078" s="576">
        <f t="shared" si="297"/>
        <v>0</v>
      </c>
      <c r="S1078" s="576">
        <f t="shared" si="297"/>
        <v>0</v>
      </c>
      <c r="T1078" s="577">
        <f t="shared" si="298"/>
        <v>0</v>
      </c>
      <c r="U1078" s="578">
        <f t="shared" si="299"/>
        <v>0</v>
      </c>
      <c r="V1078" s="579"/>
      <c r="W1078" s="566"/>
      <c r="X1078" s="586" t="str">
        <f t="shared" si="291"/>
        <v/>
      </c>
      <c r="Y1078" s="586" t="str">
        <f t="shared" si="296"/>
        <v/>
      </c>
      <c r="Z1078" s="586" t="str">
        <f t="shared" si="294"/>
        <v/>
      </c>
    </row>
    <row r="1079" spans="1:26" ht="23.25" hidden="1" thickBot="1" x14ac:dyDescent="0.25">
      <c r="A1079" s="567">
        <v>101528</v>
      </c>
      <c r="B1079" s="644">
        <v>101528</v>
      </c>
      <c r="C1079" s="645" t="s">
        <v>670</v>
      </c>
      <c r="D1079" s="422" t="s">
        <v>927</v>
      </c>
      <c r="E1079" s="423"/>
      <c r="F1079" s="424"/>
      <c r="G1079" s="425"/>
      <c r="H1079" s="651"/>
      <c r="I1079" s="420">
        <v>1501.1</v>
      </c>
      <c r="J1079" s="420">
        <f t="shared" si="293"/>
        <v>1501.1</v>
      </c>
      <c r="K1079" s="421">
        <f t="shared" si="292"/>
        <v>1783.46</v>
      </c>
      <c r="L1079" s="647" t="s">
        <v>2065</v>
      </c>
      <c r="M1079" s="576"/>
      <c r="N1079" s="576">
        <f t="shared" si="295"/>
        <v>0</v>
      </c>
      <c r="O1079" s="577">
        <f t="shared" si="300"/>
        <v>0</v>
      </c>
      <c r="P1079" s="578">
        <f t="shared" si="301"/>
        <v>0</v>
      </c>
      <c r="Q1079" s="765"/>
      <c r="R1079" s="576">
        <f t="shared" si="297"/>
        <v>0</v>
      </c>
      <c r="S1079" s="576">
        <f t="shared" si="297"/>
        <v>0</v>
      </c>
      <c r="T1079" s="577">
        <f t="shared" si="298"/>
        <v>0</v>
      </c>
      <c r="U1079" s="578">
        <f t="shared" si="299"/>
        <v>0</v>
      </c>
      <c r="V1079" s="579"/>
      <c r="W1079" s="566"/>
      <c r="X1079" s="586" t="str">
        <f t="shared" si="291"/>
        <v/>
      </c>
      <c r="Y1079" s="586" t="str">
        <f t="shared" si="296"/>
        <v/>
      </c>
      <c r="Z1079" s="586" t="str">
        <f t="shared" si="294"/>
        <v/>
      </c>
    </row>
    <row r="1080" spans="1:26" ht="23.25" hidden="1" thickBot="1" x14ac:dyDescent="0.25">
      <c r="A1080" s="567">
        <v>101529</v>
      </c>
      <c r="B1080" s="644">
        <v>101529</v>
      </c>
      <c r="C1080" s="645" t="s">
        <v>670</v>
      </c>
      <c r="D1080" s="422" t="s">
        <v>928</v>
      </c>
      <c r="E1080" s="423"/>
      <c r="F1080" s="424"/>
      <c r="G1080" s="425"/>
      <c r="H1080" s="651"/>
      <c r="I1080" s="420">
        <v>1234.79</v>
      </c>
      <c r="J1080" s="420">
        <f t="shared" si="293"/>
        <v>1234.79</v>
      </c>
      <c r="K1080" s="421">
        <f t="shared" si="292"/>
        <v>1467.05</v>
      </c>
      <c r="L1080" s="647" t="s">
        <v>2065</v>
      </c>
      <c r="M1080" s="576"/>
      <c r="N1080" s="576">
        <f t="shared" si="295"/>
        <v>0</v>
      </c>
      <c r="O1080" s="577">
        <f t="shared" si="300"/>
        <v>0</v>
      </c>
      <c r="P1080" s="578">
        <f t="shared" si="301"/>
        <v>0</v>
      </c>
      <c r="Q1080" s="765"/>
      <c r="R1080" s="576">
        <f t="shared" si="297"/>
        <v>0</v>
      </c>
      <c r="S1080" s="576">
        <f t="shared" si="297"/>
        <v>0</v>
      </c>
      <c r="T1080" s="577">
        <f t="shared" si="298"/>
        <v>0</v>
      </c>
      <c r="U1080" s="578">
        <f t="shared" si="299"/>
        <v>0</v>
      </c>
      <c r="V1080" s="579"/>
      <c r="W1080" s="566"/>
      <c r="X1080" s="586" t="str">
        <f t="shared" si="291"/>
        <v/>
      </c>
      <c r="Y1080" s="586" t="str">
        <f t="shared" si="296"/>
        <v/>
      </c>
      <c r="Z1080" s="586" t="str">
        <f t="shared" si="294"/>
        <v/>
      </c>
    </row>
    <row r="1081" spans="1:26" ht="23.25" hidden="1" thickBot="1" x14ac:dyDescent="0.25">
      <c r="A1081" s="567">
        <v>101530</v>
      </c>
      <c r="B1081" s="644">
        <v>101530</v>
      </c>
      <c r="C1081" s="645" t="s">
        <v>670</v>
      </c>
      <c r="D1081" s="422" t="s">
        <v>929</v>
      </c>
      <c r="E1081" s="423"/>
      <c r="F1081" s="424"/>
      <c r="G1081" s="425"/>
      <c r="H1081" s="651"/>
      <c r="I1081" s="420">
        <v>1457.08</v>
      </c>
      <c r="J1081" s="420">
        <f t="shared" si="293"/>
        <v>1457.08</v>
      </c>
      <c r="K1081" s="421">
        <f t="shared" si="292"/>
        <v>1731.16</v>
      </c>
      <c r="L1081" s="647" t="s">
        <v>2065</v>
      </c>
      <c r="M1081" s="576"/>
      <c r="N1081" s="576">
        <f t="shared" si="295"/>
        <v>0</v>
      </c>
      <c r="O1081" s="577">
        <f t="shared" si="300"/>
        <v>0</v>
      </c>
      <c r="P1081" s="578">
        <f t="shared" si="301"/>
        <v>0</v>
      </c>
      <c r="Q1081" s="765"/>
      <c r="R1081" s="576">
        <f t="shared" si="297"/>
        <v>0</v>
      </c>
      <c r="S1081" s="576">
        <f t="shared" si="297"/>
        <v>0</v>
      </c>
      <c r="T1081" s="577">
        <f t="shared" si="298"/>
        <v>0</v>
      </c>
      <c r="U1081" s="578">
        <f t="shared" si="299"/>
        <v>0</v>
      </c>
      <c r="V1081" s="579"/>
      <c r="W1081" s="566"/>
      <c r="X1081" s="586" t="str">
        <f t="shared" si="291"/>
        <v/>
      </c>
      <c r="Y1081" s="586" t="str">
        <f t="shared" si="296"/>
        <v/>
      </c>
      <c r="Z1081" s="586" t="str">
        <f t="shared" si="294"/>
        <v/>
      </c>
    </row>
    <row r="1082" spans="1:26" ht="23.25" hidden="1" thickBot="1" x14ac:dyDescent="0.25">
      <c r="A1082" s="567">
        <v>101531</v>
      </c>
      <c r="B1082" s="644">
        <v>101531</v>
      </c>
      <c r="C1082" s="645" t="s">
        <v>670</v>
      </c>
      <c r="D1082" s="422" t="s">
        <v>930</v>
      </c>
      <c r="E1082" s="423"/>
      <c r="F1082" s="424"/>
      <c r="G1082" s="425"/>
      <c r="H1082" s="651"/>
      <c r="I1082" s="420">
        <v>1528.36</v>
      </c>
      <c r="J1082" s="420">
        <f t="shared" si="293"/>
        <v>1528.36</v>
      </c>
      <c r="K1082" s="421">
        <f t="shared" si="292"/>
        <v>1815.84</v>
      </c>
      <c r="L1082" s="647" t="s">
        <v>2065</v>
      </c>
      <c r="M1082" s="576"/>
      <c r="N1082" s="576">
        <f t="shared" si="295"/>
        <v>0</v>
      </c>
      <c r="O1082" s="577">
        <f t="shared" si="300"/>
        <v>0</v>
      </c>
      <c r="P1082" s="578">
        <f t="shared" si="301"/>
        <v>0</v>
      </c>
      <c r="Q1082" s="765"/>
      <c r="R1082" s="576">
        <f t="shared" si="297"/>
        <v>0</v>
      </c>
      <c r="S1082" s="576">
        <f t="shared" si="297"/>
        <v>0</v>
      </c>
      <c r="T1082" s="577">
        <f t="shared" si="298"/>
        <v>0</v>
      </c>
      <c r="U1082" s="578">
        <f t="shared" si="299"/>
        <v>0</v>
      </c>
      <c r="V1082" s="579"/>
      <c r="W1082" s="566"/>
      <c r="X1082" s="586" t="str">
        <f t="shared" si="291"/>
        <v/>
      </c>
      <c r="Y1082" s="586" t="str">
        <f t="shared" si="296"/>
        <v/>
      </c>
      <c r="Z1082" s="586" t="str">
        <f t="shared" si="294"/>
        <v/>
      </c>
    </row>
    <row r="1083" spans="1:26" ht="23.25" hidden="1" thickBot="1" x14ac:dyDescent="0.25">
      <c r="A1083" s="567">
        <v>101532</v>
      </c>
      <c r="B1083" s="644">
        <v>101532</v>
      </c>
      <c r="C1083" s="645" t="s">
        <v>670</v>
      </c>
      <c r="D1083" s="422" t="s">
        <v>931</v>
      </c>
      <c r="E1083" s="423"/>
      <c r="F1083" s="424"/>
      <c r="G1083" s="425"/>
      <c r="H1083" s="651"/>
      <c r="I1083" s="420">
        <v>1780.48</v>
      </c>
      <c r="J1083" s="420">
        <f t="shared" si="293"/>
        <v>1780.48</v>
      </c>
      <c r="K1083" s="421">
        <f t="shared" si="292"/>
        <v>2115.39</v>
      </c>
      <c r="L1083" s="647" t="s">
        <v>2065</v>
      </c>
      <c r="M1083" s="576"/>
      <c r="N1083" s="576">
        <f t="shared" si="295"/>
        <v>0</v>
      </c>
      <c r="O1083" s="577">
        <f t="shared" si="300"/>
        <v>0</v>
      </c>
      <c r="P1083" s="578">
        <f t="shared" si="301"/>
        <v>0</v>
      </c>
      <c r="Q1083" s="765"/>
      <c r="R1083" s="576">
        <f t="shared" si="297"/>
        <v>0</v>
      </c>
      <c r="S1083" s="576">
        <f t="shared" si="297"/>
        <v>0</v>
      </c>
      <c r="T1083" s="577">
        <f t="shared" si="298"/>
        <v>0</v>
      </c>
      <c r="U1083" s="578">
        <f t="shared" si="299"/>
        <v>0</v>
      </c>
      <c r="V1083" s="579"/>
      <c r="W1083" s="566"/>
      <c r="X1083" s="586" t="str">
        <f t="shared" si="291"/>
        <v/>
      </c>
      <c r="Y1083" s="586" t="str">
        <f t="shared" si="296"/>
        <v/>
      </c>
      <c r="Z1083" s="586" t="str">
        <f t="shared" si="294"/>
        <v/>
      </c>
    </row>
    <row r="1084" spans="1:26" ht="23.25" hidden="1" thickBot="1" x14ac:dyDescent="0.25">
      <c r="A1084" s="567">
        <v>101533</v>
      </c>
      <c r="B1084" s="644">
        <v>101533</v>
      </c>
      <c r="C1084" s="645" t="s">
        <v>670</v>
      </c>
      <c r="D1084" s="422" t="s">
        <v>932</v>
      </c>
      <c r="E1084" s="423"/>
      <c r="F1084" s="424"/>
      <c r="G1084" s="425"/>
      <c r="H1084" s="651"/>
      <c r="I1084" s="420">
        <v>1391.5</v>
      </c>
      <c r="J1084" s="420">
        <f t="shared" si="293"/>
        <v>1391.5</v>
      </c>
      <c r="K1084" s="421">
        <f t="shared" si="292"/>
        <v>1653.24</v>
      </c>
      <c r="L1084" s="647" t="s">
        <v>2065</v>
      </c>
      <c r="M1084" s="576"/>
      <c r="N1084" s="576">
        <f t="shared" si="295"/>
        <v>0</v>
      </c>
      <c r="O1084" s="577">
        <f t="shared" si="300"/>
        <v>0</v>
      </c>
      <c r="P1084" s="578">
        <f t="shared" si="301"/>
        <v>0</v>
      </c>
      <c r="Q1084" s="765"/>
      <c r="R1084" s="576">
        <f t="shared" si="297"/>
        <v>0</v>
      </c>
      <c r="S1084" s="576">
        <f t="shared" si="297"/>
        <v>0</v>
      </c>
      <c r="T1084" s="577">
        <f t="shared" si="298"/>
        <v>0</v>
      </c>
      <c r="U1084" s="578">
        <f t="shared" si="299"/>
        <v>0</v>
      </c>
      <c r="V1084" s="579"/>
      <c r="W1084" s="566"/>
      <c r="X1084" s="586" t="str">
        <f t="shared" si="291"/>
        <v/>
      </c>
      <c r="Y1084" s="586" t="str">
        <f t="shared" si="296"/>
        <v/>
      </c>
      <c r="Z1084" s="586" t="str">
        <f t="shared" si="294"/>
        <v/>
      </c>
    </row>
    <row r="1085" spans="1:26" ht="23.25" hidden="1" thickBot="1" x14ac:dyDescent="0.25">
      <c r="A1085" s="567">
        <v>101534</v>
      </c>
      <c r="B1085" s="644">
        <v>101534</v>
      </c>
      <c r="C1085" s="645" t="s">
        <v>670</v>
      </c>
      <c r="D1085" s="422" t="s">
        <v>933</v>
      </c>
      <c r="E1085" s="423"/>
      <c r="F1085" s="424"/>
      <c r="G1085" s="425"/>
      <c r="H1085" s="651"/>
      <c r="I1085" s="420">
        <v>1613.79</v>
      </c>
      <c r="J1085" s="420">
        <f t="shared" si="293"/>
        <v>1613.79</v>
      </c>
      <c r="K1085" s="421">
        <f t="shared" si="292"/>
        <v>1917.34</v>
      </c>
      <c r="L1085" s="647" t="s">
        <v>2065</v>
      </c>
      <c r="M1085" s="576"/>
      <c r="N1085" s="576">
        <f t="shared" si="295"/>
        <v>0</v>
      </c>
      <c r="O1085" s="577">
        <f t="shared" si="300"/>
        <v>0</v>
      </c>
      <c r="P1085" s="578">
        <f t="shared" si="301"/>
        <v>0</v>
      </c>
      <c r="Q1085" s="765"/>
      <c r="R1085" s="576">
        <f t="shared" si="297"/>
        <v>0</v>
      </c>
      <c r="S1085" s="576">
        <f t="shared" si="297"/>
        <v>0</v>
      </c>
      <c r="T1085" s="577">
        <f t="shared" si="298"/>
        <v>0</v>
      </c>
      <c r="U1085" s="578">
        <f t="shared" si="299"/>
        <v>0</v>
      </c>
      <c r="V1085" s="579"/>
      <c r="W1085" s="566"/>
      <c r="X1085" s="586" t="str">
        <f t="shared" ref="X1085:X1148" si="302">IF(W1085="X","x",IF(W1085="xx","x",IF(W1085="xy","x",IF(W1085="y","x",IF(OR(P1085&gt;0,U1085&gt;0),"x","")))))</f>
        <v/>
      </c>
      <c r="Y1085" s="586" t="str">
        <f t="shared" si="296"/>
        <v/>
      </c>
      <c r="Z1085" s="586" t="str">
        <f t="shared" si="294"/>
        <v/>
      </c>
    </row>
    <row r="1086" spans="1:26" ht="23.25" hidden="1" thickBot="1" x14ac:dyDescent="0.25">
      <c r="A1086" s="567">
        <v>101535</v>
      </c>
      <c r="B1086" s="644">
        <v>101535</v>
      </c>
      <c r="C1086" s="645" t="s">
        <v>670</v>
      </c>
      <c r="D1086" s="422" t="s">
        <v>934</v>
      </c>
      <c r="E1086" s="423"/>
      <c r="F1086" s="424"/>
      <c r="G1086" s="425"/>
      <c r="H1086" s="651"/>
      <c r="I1086" s="420">
        <v>1685.07</v>
      </c>
      <c r="J1086" s="420">
        <f t="shared" si="293"/>
        <v>1685.07</v>
      </c>
      <c r="K1086" s="421">
        <f t="shared" si="292"/>
        <v>2002.03</v>
      </c>
      <c r="L1086" s="647" t="s">
        <v>2065</v>
      </c>
      <c r="M1086" s="576"/>
      <c r="N1086" s="576">
        <f t="shared" si="295"/>
        <v>0</v>
      </c>
      <c r="O1086" s="577">
        <f t="shared" si="300"/>
        <v>0</v>
      </c>
      <c r="P1086" s="578">
        <f t="shared" si="301"/>
        <v>0</v>
      </c>
      <c r="Q1086" s="765"/>
      <c r="R1086" s="576">
        <f t="shared" si="297"/>
        <v>0</v>
      </c>
      <c r="S1086" s="576">
        <f t="shared" si="297"/>
        <v>0</v>
      </c>
      <c r="T1086" s="577">
        <f t="shared" si="298"/>
        <v>0</v>
      </c>
      <c r="U1086" s="578">
        <f t="shared" si="299"/>
        <v>0</v>
      </c>
      <c r="V1086" s="579"/>
      <c r="W1086" s="566"/>
      <c r="X1086" s="586" t="str">
        <f t="shared" si="302"/>
        <v/>
      </c>
      <c r="Y1086" s="586" t="str">
        <f t="shared" si="296"/>
        <v/>
      </c>
      <c r="Z1086" s="586" t="str">
        <f t="shared" si="294"/>
        <v/>
      </c>
    </row>
    <row r="1087" spans="1:26" ht="23.25" hidden="1" thickBot="1" x14ac:dyDescent="0.25">
      <c r="A1087" s="567">
        <v>101536</v>
      </c>
      <c r="B1087" s="644">
        <v>101536</v>
      </c>
      <c r="C1087" s="645" t="s">
        <v>670</v>
      </c>
      <c r="D1087" s="422" t="s">
        <v>935</v>
      </c>
      <c r="E1087" s="423"/>
      <c r="F1087" s="424"/>
      <c r="G1087" s="425"/>
      <c r="H1087" s="651"/>
      <c r="I1087" s="420">
        <v>1937.19</v>
      </c>
      <c r="J1087" s="420">
        <f t="shared" si="293"/>
        <v>1937.19</v>
      </c>
      <c r="K1087" s="421">
        <f t="shared" si="292"/>
        <v>2301.58</v>
      </c>
      <c r="L1087" s="647" t="s">
        <v>2065</v>
      </c>
      <c r="M1087" s="576"/>
      <c r="N1087" s="576">
        <f t="shared" si="295"/>
        <v>0</v>
      </c>
      <c r="O1087" s="577">
        <f t="shared" si="300"/>
        <v>0</v>
      </c>
      <c r="P1087" s="578">
        <f t="shared" si="301"/>
        <v>0</v>
      </c>
      <c r="Q1087" s="765"/>
      <c r="R1087" s="576">
        <f t="shared" si="297"/>
        <v>0</v>
      </c>
      <c r="S1087" s="576">
        <f t="shared" si="297"/>
        <v>0</v>
      </c>
      <c r="T1087" s="577">
        <f t="shared" si="298"/>
        <v>0</v>
      </c>
      <c r="U1087" s="578">
        <f t="shared" si="299"/>
        <v>0</v>
      </c>
      <c r="V1087" s="579"/>
      <c r="W1087" s="566"/>
      <c r="X1087" s="586" t="str">
        <f t="shared" si="302"/>
        <v/>
      </c>
      <c r="Y1087" s="586" t="str">
        <f t="shared" si="296"/>
        <v/>
      </c>
      <c r="Z1087" s="586" t="str">
        <f t="shared" si="294"/>
        <v/>
      </c>
    </row>
    <row r="1088" spans="1:26" ht="23.25" hidden="1" thickBot="1" x14ac:dyDescent="0.25">
      <c r="A1088" s="567" t="s">
        <v>936</v>
      </c>
      <c r="B1088" s="644" t="s">
        <v>936</v>
      </c>
      <c r="C1088" s="645" t="s">
        <v>2094</v>
      </c>
      <c r="D1088" s="422" t="s">
        <v>933</v>
      </c>
      <c r="E1088" s="423"/>
      <c r="F1088" s="424"/>
      <c r="G1088" s="425"/>
      <c r="H1088" s="651"/>
      <c r="I1088" s="420">
        <v>1724.04</v>
      </c>
      <c r="J1088" s="420">
        <f t="shared" si="293"/>
        <v>1724.04</v>
      </c>
      <c r="K1088" s="421">
        <f t="shared" si="292"/>
        <v>2048.33</v>
      </c>
      <c r="L1088" s="647" t="s">
        <v>2065</v>
      </c>
      <c r="M1088" s="576"/>
      <c r="N1088" s="576">
        <f t="shared" si="295"/>
        <v>0</v>
      </c>
      <c r="O1088" s="577">
        <f t="shared" si="300"/>
        <v>0</v>
      </c>
      <c r="P1088" s="578">
        <f t="shared" si="301"/>
        <v>0</v>
      </c>
      <c r="Q1088" s="765"/>
      <c r="R1088" s="576">
        <f t="shared" si="297"/>
        <v>0</v>
      </c>
      <c r="S1088" s="576">
        <f t="shared" si="297"/>
        <v>0</v>
      </c>
      <c r="T1088" s="577">
        <f t="shared" si="298"/>
        <v>0</v>
      </c>
      <c r="U1088" s="578">
        <f t="shared" si="299"/>
        <v>0</v>
      </c>
      <c r="V1088" s="579"/>
      <c r="W1088" s="566"/>
      <c r="X1088" s="586" t="str">
        <f t="shared" si="302"/>
        <v/>
      </c>
      <c r="Y1088" s="586" t="str">
        <f t="shared" si="296"/>
        <v/>
      </c>
      <c r="Z1088" s="586" t="str">
        <f t="shared" si="294"/>
        <v/>
      </c>
    </row>
    <row r="1089" spans="1:26" ht="23.25" hidden="1" thickBot="1" x14ac:dyDescent="0.25">
      <c r="A1089" s="567" t="s">
        <v>937</v>
      </c>
      <c r="B1089" s="644" t="s">
        <v>937</v>
      </c>
      <c r="C1089" s="645" t="s">
        <v>2094</v>
      </c>
      <c r="D1089" s="422" t="s">
        <v>934</v>
      </c>
      <c r="E1089" s="423"/>
      <c r="F1089" s="424"/>
      <c r="G1089" s="425"/>
      <c r="H1089" s="651"/>
      <c r="I1089" s="420">
        <v>1885.63</v>
      </c>
      <c r="J1089" s="420">
        <f t="shared" si="293"/>
        <v>1885.63</v>
      </c>
      <c r="K1089" s="421">
        <f t="shared" si="292"/>
        <v>2240.3200000000002</v>
      </c>
      <c r="L1089" s="647" t="s">
        <v>2065</v>
      </c>
      <c r="M1089" s="576"/>
      <c r="N1089" s="576">
        <f t="shared" si="295"/>
        <v>0</v>
      </c>
      <c r="O1089" s="577">
        <f t="shared" si="300"/>
        <v>0</v>
      </c>
      <c r="P1089" s="578">
        <f t="shared" si="301"/>
        <v>0</v>
      </c>
      <c r="Q1089" s="765"/>
      <c r="R1089" s="576">
        <f t="shared" si="297"/>
        <v>0</v>
      </c>
      <c r="S1089" s="576">
        <f t="shared" si="297"/>
        <v>0</v>
      </c>
      <c r="T1089" s="577">
        <f t="shared" si="298"/>
        <v>0</v>
      </c>
      <c r="U1089" s="578">
        <f t="shared" si="299"/>
        <v>0</v>
      </c>
      <c r="V1089" s="579"/>
      <c r="W1089" s="566"/>
      <c r="X1089" s="586" t="str">
        <f t="shared" si="302"/>
        <v/>
      </c>
      <c r="Y1089" s="586" t="str">
        <f t="shared" si="296"/>
        <v/>
      </c>
      <c r="Z1089" s="586" t="str">
        <f t="shared" si="294"/>
        <v/>
      </c>
    </row>
    <row r="1090" spans="1:26" ht="23.25" hidden="1" thickBot="1" x14ac:dyDescent="0.25">
      <c r="A1090" s="567" t="s">
        <v>938</v>
      </c>
      <c r="B1090" s="644" t="s">
        <v>938</v>
      </c>
      <c r="C1090" s="645" t="s">
        <v>2094</v>
      </c>
      <c r="D1090" s="422" t="s">
        <v>935</v>
      </c>
      <c r="E1090" s="423"/>
      <c r="F1090" s="424"/>
      <c r="G1090" s="425"/>
      <c r="H1090" s="651"/>
      <c r="I1090" s="420">
        <v>2193.96</v>
      </c>
      <c r="J1090" s="420">
        <f t="shared" si="293"/>
        <v>2193.96</v>
      </c>
      <c r="K1090" s="421">
        <f t="shared" si="292"/>
        <v>2606.64</v>
      </c>
      <c r="L1090" s="647" t="s">
        <v>2065</v>
      </c>
      <c r="M1090" s="576"/>
      <c r="N1090" s="576">
        <f t="shared" si="295"/>
        <v>0</v>
      </c>
      <c r="O1090" s="577">
        <f t="shared" si="300"/>
        <v>0</v>
      </c>
      <c r="P1090" s="578">
        <f t="shared" si="301"/>
        <v>0</v>
      </c>
      <c r="Q1090" s="765"/>
      <c r="R1090" s="576">
        <f t="shared" si="297"/>
        <v>0</v>
      </c>
      <c r="S1090" s="576">
        <f t="shared" si="297"/>
        <v>0</v>
      </c>
      <c r="T1090" s="577">
        <f t="shared" si="298"/>
        <v>0</v>
      </c>
      <c r="U1090" s="578">
        <f t="shared" si="299"/>
        <v>0</v>
      </c>
      <c r="V1090" s="579"/>
      <c r="W1090" s="566"/>
      <c r="X1090" s="586" t="str">
        <f t="shared" si="302"/>
        <v/>
      </c>
      <c r="Y1090" s="586" t="str">
        <f t="shared" si="296"/>
        <v/>
      </c>
      <c r="Z1090" s="586" t="str">
        <f t="shared" si="294"/>
        <v/>
      </c>
    </row>
    <row r="1091" spans="1:26" ht="12" hidden="1" thickBot="1" x14ac:dyDescent="0.25">
      <c r="A1091" s="567" t="s">
        <v>939</v>
      </c>
      <c r="B1091" s="644" t="s">
        <v>939</v>
      </c>
      <c r="C1091" s="645" t="s">
        <v>2094</v>
      </c>
      <c r="D1091" s="422" t="s">
        <v>940</v>
      </c>
      <c r="E1091" s="423"/>
      <c r="F1091" s="424"/>
      <c r="G1091" s="425"/>
      <c r="H1091" s="651"/>
      <c r="I1091" s="420">
        <v>2469.5</v>
      </c>
      <c r="J1091" s="420">
        <f t="shared" si="293"/>
        <v>2469.5</v>
      </c>
      <c r="K1091" s="421">
        <f t="shared" si="292"/>
        <v>2934.01</v>
      </c>
      <c r="L1091" s="647" t="s">
        <v>2065</v>
      </c>
      <c r="M1091" s="576"/>
      <c r="N1091" s="576">
        <f t="shared" si="295"/>
        <v>0</v>
      </c>
      <c r="O1091" s="577">
        <f t="shared" si="300"/>
        <v>0</v>
      </c>
      <c r="P1091" s="578">
        <f t="shared" si="301"/>
        <v>0</v>
      </c>
      <c r="Q1091" s="765"/>
      <c r="R1091" s="576">
        <f t="shared" si="297"/>
        <v>0</v>
      </c>
      <c r="S1091" s="576">
        <f t="shared" si="297"/>
        <v>0</v>
      </c>
      <c r="T1091" s="577">
        <f t="shared" si="298"/>
        <v>0</v>
      </c>
      <c r="U1091" s="578">
        <f t="shared" si="299"/>
        <v>0</v>
      </c>
      <c r="V1091" s="579"/>
      <c r="W1091" s="566"/>
      <c r="X1091" s="586" t="str">
        <f t="shared" si="302"/>
        <v/>
      </c>
      <c r="Y1091" s="586" t="str">
        <f t="shared" si="296"/>
        <v/>
      </c>
      <c r="Z1091" s="586" t="str">
        <f t="shared" si="294"/>
        <v/>
      </c>
    </row>
    <row r="1092" spans="1:26" ht="12" hidden="1" thickBot="1" x14ac:dyDescent="0.25">
      <c r="A1092" s="567" t="s">
        <v>941</v>
      </c>
      <c r="B1092" s="644" t="s">
        <v>941</v>
      </c>
      <c r="C1092" s="645" t="s">
        <v>2094</v>
      </c>
      <c r="D1092" s="422" t="s">
        <v>942</v>
      </c>
      <c r="E1092" s="423"/>
      <c r="F1092" s="424"/>
      <c r="G1092" s="425"/>
      <c r="H1092" s="651"/>
      <c r="I1092" s="420">
        <v>3665.37</v>
      </c>
      <c r="J1092" s="420">
        <f t="shared" si="293"/>
        <v>3665.37</v>
      </c>
      <c r="K1092" s="421">
        <f t="shared" si="292"/>
        <v>4354.83</v>
      </c>
      <c r="L1092" s="647" t="s">
        <v>2065</v>
      </c>
      <c r="M1092" s="576"/>
      <c r="N1092" s="576">
        <f t="shared" si="295"/>
        <v>0</v>
      </c>
      <c r="O1092" s="577">
        <f t="shared" si="300"/>
        <v>0</v>
      </c>
      <c r="P1092" s="578">
        <f t="shared" si="301"/>
        <v>0</v>
      </c>
      <c r="Q1092" s="765"/>
      <c r="R1092" s="576">
        <f t="shared" si="297"/>
        <v>0</v>
      </c>
      <c r="S1092" s="576">
        <f t="shared" si="297"/>
        <v>0</v>
      </c>
      <c r="T1092" s="577">
        <f t="shared" si="298"/>
        <v>0</v>
      </c>
      <c r="U1092" s="578">
        <f t="shared" si="299"/>
        <v>0</v>
      </c>
      <c r="V1092" s="579"/>
      <c r="W1092" s="566"/>
      <c r="X1092" s="586" t="str">
        <f t="shared" si="302"/>
        <v/>
      </c>
      <c r="Y1092" s="586" t="str">
        <f t="shared" si="296"/>
        <v/>
      </c>
      <c r="Z1092" s="586" t="str">
        <f t="shared" si="294"/>
        <v/>
      </c>
    </row>
    <row r="1093" spans="1:26" ht="12" hidden="1" thickBot="1" x14ac:dyDescent="0.25">
      <c r="A1093" s="567" t="s">
        <v>943</v>
      </c>
      <c r="B1093" s="644" t="s">
        <v>943</v>
      </c>
      <c r="C1093" s="645" t="s">
        <v>2094</v>
      </c>
      <c r="D1093" s="422" t="s">
        <v>944</v>
      </c>
      <c r="E1093" s="423"/>
      <c r="F1093" s="424"/>
      <c r="G1093" s="425"/>
      <c r="H1093" s="651"/>
      <c r="I1093" s="420">
        <v>4606.5</v>
      </c>
      <c r="J1093" s="420">
        <f t="shared" si="293"/>
        <v>4606.5</v>
      </c>
      <c r="K1093" s="421">
        <f t="shared" si="292"/>
        <v>5472.98</v>
      </c>
      <c r="L1093" s="647" t="s">
        <v>2065</v>
      </c>
      <c r="M1093" s="576"/>
      <c r="N1093" s="576">
        <f t="shared" si="295"/>
        <v>0</v>
      </c>
      <c r="O1093" s="577">
        <f t="shared" si="300"/>
        <v>0</v>
      </c>
      <c r="P1093" s="578">
        <f t="shared" si="301"/>
        <v>0</v>
      </c>
      <c r="Q1093" s="765"/>
      <c r="R1093" s="576">
        <f t="shared" si="297"/>
        <v>0</v>
      </c>
      <c r="S1093" s="576">
        <f t="shared" si="297"/>
        <v>0</v>
      </c>
      <c r="T1093" s="577">
        <f t="shared" si="298"/>
        <v>0</v>
      </c>
      <c r="U1093" s="578">
        <f t="shared" si="299"/>
        <v>0</v>
      </c>
      <c r="V1093" s="579"/>
      <c r="W1093" s="566"/>
      <c r="X1093" s="586" t="str">
        <f t="shared" si="302"/>
        <v/>
      </c>
      <c r="Y1093" s="586" t="str">
        <f t="shared" si="296"/>
        <v/>
      </c>
      <c r="Z1093" s="586" t="str">
        <f t="shared" si="294"/>
        <v/>
      </c>
    </row>
    <row r="1094" spans="1:26" ht="12" hidden="1" thickBot="1" x14ac:dyDescent="0.25">
      <c r="A1094" s="567">
        <v>96984</v>
      </c>
      <c r="B1094" s="644">
        <v>96984</v>
      </c>
      <c r="C1094" s="645" t="s">
        <v>670</v>
      </c>
      <c r="D1094" s="422" t="s">
        <v>945</v>
      </c>
      <c r="E1094" s="423"/>
      <c r="F1094" s="424"/>
      <c r="G1094" s="425"/>
      <c r="H1094" s="651"/>
      <c r="I1094" s="420">
        <v>65.59</v>
      </c>
      <c r="J1094" s="420">
        <f t="shared" si="293"/>
        <v>65.59</v>
      </c>
      <c r="K1094" s="421">
        <f t="shared" si="292"/>
        <v>77.930000000000007</v>
      </c>
      <c r="L1094" s="647" t="s">
        <v>2065</v>
      </c>
      <c r="M1094" s="576"/>
      <c r="N1094" s="576">
        <f t="shared" si="295"/>
        <v>0</v>
      </c>
      <c r="O1094" s="577">
        <f t="shared" si="300"/>
        <v>0</v>
      </c>
      <c r="P1094" s="578">
        <f t="shared" si="301"/>
        <v>0</v>
      </c>
      <c r="Q1094" s="765"/>
      <c r="R1094" s="576">
        <f t="shared" si="297"/>
        <v>0</v>
      </c>
      <c r="S1094" s="576">
        <f t="shared" si="297"/>
        <v>0</v>
      </c>
      <c r="T1094" s="577">
        <f t="shared" si="298"/>
        <v>0</v>
      </c>
      <c r="U1094" s="578">
        <f t="shared" si="299"/>
        <v>0</v>
      </c>
      <c r="V1094" s="579"/>
      <c r="W1094" s="566"/>
      <c r="X1094" s="586" t="str">
        <f t="shared" si="302"/>
        <v/>
      </c>
      <c r="Y1094" s="586" t="str">
        <f t="shared" si="296"/>
        <v/>
      </c>
      <c r="Z1094" s="586" t="str">
        <f t="shared" si="294"/>
        <v/>
      </c>
    </row>
    <row r="1095" spans="1:26" ht="23.25" hidden="1" thickBot="1" x14ac:dyDescent="0.25">
      <c r="A1095" s="567">
        <v>91831</v>
      </c>
      <c r="B1095" s="644">
        <v>91831</v>
      </c>
      <c r="C1095" s="645" t="s">
        <v>670</v>
      </c>
      <c r="D1095" s="422" t="s">
        <v>946</v>
      </c>
      <c r="E1095" s="423"/>
      <c r="F1095" s="424"/>
      <c r="G1095" s="425"/>
      <c r="H1095" s="651"/>
      <c r="I1095" s="420">
        <v>9.01</v>
      </c>
      <c r="J1095" s="420">
        <f t="shared" si="293"/>
        <v>9.01</v>
      </c>
      <c r="K1095" s="421">
        <f t="shared" si="292"/>
        <v>10.7</v>
      </c>
      <c r="L1095" s="647" t="s">
        <v>79</v>
      </c>
      <c r="M1095" s="576"/>
      <c r="N1095" s="576">
        <f t="shared" si="295"/>
        <v>0</v>
      </c>
      <c r="O1095" s="577">
        <f t="shared" si="300"/>
        <v>0</v>
      </c>
      <c r="P1095" s="578">
        <f t="shared" si="301"/>
        <v>0</v>
      </c>
      <c r="Q1095" s="765"/>
      <c r="R1095" s="576">
        <f t="shared" si="297"/>
        <v>0</v>
      </c>
      <c r="S1095" s="576">
        <f t="shared" si="297"/>
        <v>0</v>
      </c>
      <c r="T1095" s="577">
        <f t="shared" si="298"/>
        <v>0</v>
      </c>
      <c r="U1095" s="578">
        <f t="shared" si="299"/>
        <v>0</v>
      </c>
      <c r="V1095" s="579"/>
      <c r="W1095" s="566"/>
      <c r="X1095" s="586" t="str">
        <f t="shared" si="302"/>
        <v/>
      </c>
      <c r="Y1095" s="586" t="str">
        <f t="shared" si="296"/>
        <v/>
      </c>
      <c r="Z1095" s="586" t="str">
        <f t="shared" si="294"/>
        <v/>
      </c>
    </row>
    <row r="1096" spans="1:26" ht="23.25" hidden="1" thickBot="1" x14ac:dyDescent="0.25">
      <c r="A1096" s="567">
        <v>91834</v>
      </c>
      <c r="B1096" s="644">
        <v>91834</v>
      </c>
      <c r="C1096" s="645" t="s">
        <v>670</v>
      </c>
      <c r="D1096" s="422" t="s">
        <v>947</v>
      </c>
      <c r="E1096" s="423"/>
      <c r="F1096" s="424"/>
      <c r="G1096" s="425"/>
      <c r="H1096" s="651"/>
      <c r="I1096" s="420">
        <v>10.050000000000001</v>
      </c>
      <c r="J1096" s="420">
        <f t="shared" si="293"/>
        <v>10.050000000000001</v>
      </c>
      <c r="K1096" s="421">
        <f t="shared" si="292"/>
        <v>11.94</v>
      </c>
      <c r="L1096" s="647" t="s">
        <v>79</v>
      </c>
      <c r="M1096" s="576"/>
      <c r="N1096" s="576">
        <f t="shared" si="295"/>
        <v>0</v>
      </c>
      <c r="O1096" s="577">
        <f t="shared" si="300"/>
        <v>0</v>
      </c>
      <c r="P1096" s="578">
        <f t="shared" si="301"/>
        <v>0</v>
      </c>
      <c r="Q1096" s="765"/>
      <c r="R1096" s="576">
        <f t="shared" si="297"/>
        <v>0</v>
      </c>
      <c r="S1096" s="576">
        <f t="shared" si="297"/>
        <v>0</v>
      </c>
      <c r="T1096" s="577">
        <f t="shared" si="298"/>
        <v>0</v>
      </c>
      <c r="U1096" s="578">
        <f t="shared" si="299"/>
        <v>0</v>
      </c>
      <c r="V1096" s="579"/>
      <c r="W1096" s="566"/>
      <c r="X1096" s="586" t="str">
        <f t="shared" si="302"/>
        <v/>
      </c>
      <c r="Y1096" s="586" t="str">
        <f t="shared" si="296"/>
        <v/>
      </c>
      <c r="Z1096" s="586" t="str">
        <f t="shared" si="294"/>
        <v/>
      </c>
    </row>
    <row r="1097" spans="1:26" ht="23.25" hidden="1" thickBot="1" x14ac:dyDescent="0.25">
      <c r="A1097" s="567">
        <v>91836</v>
      </c>
      <c r="B1097" s="644">
        <v>91836</v>
      </c>
      <c r="C1097" s="645" t="s">
        <v>670</v>
      </c>
      <c r="D1097" s="422" t="s">
        <v>948</v>
      </c>
      <c r="E1097" s="423"/>
      <c r="F1097" s="424"/>
      <c r="G1097" s="425"/>
      <c r="H1097" s="651"/>
      <c r="I1097" s="420">
        <v>13.39</v>
      </c>
      <c r="J1097" s="420">
        <f t="shared" si="293"/>
        <v>13.39</v>
      </c>
      <c r="K1097" s="421">
        <f t="shared" ref="K1097:K1160" si="303">IF(ISBLANK(I1097),0,ROUND(J1097*(1+$F$10)*(1+$F$11*E1097),2))</f>
        <v>15.91</v>
      </c>
      <c r="L1097" s="647" t="s">
        <v>79</v>
      </c>
      <c r="M1097" s="576"/>
      <c r="N1097" s="576">
        <f t="shared" si="295"/>
        <v>0</v>
      </c>
      <c r="O1097" s="577">
        <f t="shared" si="300"/>
        <v>0</v>
      </c>
      <c r="P1097" s="578">
        <f t="shared" si="301"/>
        <v>0</v>
      </c>
      <c r="Q1097" s="765"/>
      <c r="R1097" s="576">
        <f t="shared" si="297"/>
        <v>0</v>
      </c>
      <c r="S1097" s="576">
        <f t="shared" si="297"/>
        <v>0</v>
      </c>
      <c r="T1097" s="577">
        <f t="shared" si="298"/>
        <v>0</v>
      </c>
      <c r="U1097" s="578">
        <f t="shared" si="299"/>
        <v>0</v>
      </c>
      <c r="V1097" s="579"/>
      <c r="W1097" s="566"/>
      <c r="X1097" s="586" t="str">
        <f t="shared" si="302"/>
        <v/>
      </c>
      <c r="Y1097" s="586" t="str">
        <f t="shared" si="296"/>
        <v/>
      </c>
      <c r="Z1097" s="586" t="str">
        <f t="shared" si="294"/>
        <v/>
      </c>
    </row>
    <row r="1098" spans="1:26" ht="23.25" hidden="1" thickBot="1" x14ac:dyDescent="0.25">
      <c r="A1098" s="567">
        <v>91842</v>
      </c>
      <c r="B1098" s="644">
        <v>91842</v>
      </c>
      <c r="C1098" s="645" t="s">
        <v>670</v>
      </c>
      <c r="D1098" s="422" t="s">
        <v>949</v>
      </c>
      <c r="E1098" s="423"/>
      <c r="F1098" s="424"/>
      <c r="G1098" s="425"/>
      <c r="H1098" s="651"/>
      <c r="I1098" s="420">
        <v>6.74</v>
      </c>
      <c r="J1098" s="420">
        <f t="shared" si="293"/>
        <v>6.74</v>
      </c>
      <c r="K1098" s="421">
        <f t="shared" si="303"/>
        <v>8.01</v>
      </c>
      <c r="L1098" s="647" t="s">
        <v>79</v>
      </c>
      <c r="M1098" s="576"/>
      <c r="N1098" s="576">
        <f t="shared" si="295"/>
        <v>0</v>
      </c>
      <c r="O1098" s="577">
        <f t="shared" si="300"/>
        <v>0</v>
      </c>
      <c r="P1098" s="578">
        <f t="shared" si="301"/>
        <v>0</v>
      </c>
      <c r="Q1098" s="765"/>
      <c r="R1098" s="576">
        <f t="shared" si="297"/>
        <v>0</v>
      </c>
      <c r="S1098" s="576">
        <f t="shared" si="297"/>
        <v>0</v>
      </c>
      <c r="T1098" s="577">
        <f t="shared" si="298"/>
        <v>0</v>
      </c>
      <c r="U1098" s="578">
        <f t="shared" si="299"/>
        <v>0</v>
      </c>
      <c r="V1098" s="579"/>
      <c r="W1098" s="566"/>
      <c r="X1098" s="586" t="str">
        <f t="shared" si="302"/>
        <v/>
      </c>
      <c r="Y1098" s="586" t="str">
        <f t="shared" si="296"/>
        <v/>
      </c>
      <c r="Z1098" s="586" t="str">
        <f t="shared" si="294"/>
        <v/>
      </c>
    </row>
    <row r="1099" spans="1:26" ht="23.25" hidden="1" thickBot="1" x14ac:dyDescent="0.25">
      <c r="A1099" s="567">
        <v>91844</v>
      </c>
      <c r="B1099" s="644">
        <v>91844</v>
      </c>
      <c r="C1099" s="645" t="s">
        <v>670</v>
      </c>
      <c r="D1099" s="422" t="s">
        <v>950</v>
      </c>
      <c r="E1099" s="423"/>
      <c r="F1099" s="424"/>
      <c r="G1099" s="425"/>
      <c r="H1099" s="651"/>
      <c r="I1099" s="420">
        <v>7.79</v>
      </c>
      <c r="J1099" s="420">
        <f t="shared" si="293"/>
        <v>7.79</v>
      </c>
      <c r="K1099" s="421">
        <f t="shared" si="303"/>
        <v>9.26</v>
      </c>
      <c r="L1099" s="647" t="s">
        <v>79</v>
      </c>
      <c r="M1099" s="576"/>
      <c r="N1099" s="576">
        <f t="shared" si="295"/>
        <v>0</v>
      </c>
      <c r="O1099" s="577">
        <f t="shared" si="300"/>
        <v>0</v>
      </c>
      <c r="P1099" s="578">
        <f t="shared" si="301"/>
        <v>0</v>
      </c>
      <c r="Q1099" s="765"/>
      <c r="R1099" s="576">
        <f t="shared" si="297"/>
        <v>0</v>
      </c>
      <c r="S1099" s="576">
        <f t="shared" si="297"/>
        <v>0</v>
      </c>
      <c r="T1099" s="577">
        <f t="shared" si="298"/>
        <v>0</v>
      </c>
      <c r="U1099" s="578">
        <f t="shared" si="299"/>
        <v>0</v>
      </c>
      <c r="V1099" s="579"/>
      <c r="W1099" s="566"/>
      <c r="X1099" s="586" t="str">
        <f t="shared" si="302"/>
        <v/>
      </c>
      <c r="Y1099" s="586" t="str">
        <f t="shared" si="296"/>
        <v/>
      </c>
      <c r="Z1099" s="586" t="str">
        <f t="shared" si="294"/>
        <v/>
      </c>
    </row>
    <row r="1100" spans="1:26" ht="23.25" hidden="1" thickBot="1" x14ac:dyDescent="0.25">
      <c r="A1100" s="567">
        <v>91846</v>
      </c>
      <c r="B1100" s="644">
        <v>91846</v>
      </c>
      <c r="C1100" s="645" t="s">
        <v>670</v>
      </c>
      <c r="D1100" s="422" t="s">
        <v>951</v>
      </c>
      <c r="E1100" s="423"/>
      <c r="F1100" s="424"/>
      <c r="G1100" s="425"/>
      <c r="H1100" s="651"/>
      <c r="I1100" s="420">
        <v>11.12</v>
      </c>
      <c r="J1100" s="420">
        <f t="shared" si="293"/>
        <v>11.12</v>
      </c>
      <c r="K1100" s="421">
        <f t="shared" si="303"/>
        <v>13.21</v>
      </c>
      <c r="L1100" s="647" t="s">
        <v>79</v>
      </c>
      <c r="M1100" s="576"/>
      <c r="N1100" s="576">
        <f t="shared" si="295"/>
        <v>0</v>
      </c>
      <c r="O1100" s="577">
        <f t="shared" si="300"/>
        <v>0</v>
      </c>
      <c r="P1100" s="578">
        <f t="shared" si="301"/>
        <v>0</v>
      </c>
      <c r="Q1100" s="765"/>
      <c r="R1100" s="576">
        <f t="shared" si="297"/>
        <v>0</v>
      </c>
      <c r="S1100" s="576">
        <f t="shared" si="297"/>
        <v>0</v>
      </c>
      <c r="T1100" s="577">
        <f t="shared" si="298"/>
        <v>0</v>
      </c>
      <c r="U1100" s="578">
        <f t="shared" si="299"/>
        <v>0</v>
      </c>
      <c r="V1100" s="579"/>
      <c r="W1100" s="566"/>
      <c r="X1100" s="586" t="str">
        <f t="shared" si="302"/>
        <v/>
      </c>
      <c r="Y1100" s="586" t="str">
        <f t="shared" si="296"/>
        <v/>
      </c>
      <c r="Z1100" s="586" t="str">
        <f t="shared" si="294"/>
        <v/>
      </c>
    </row>
    <row r="1101" spans="1:26" ht="23.25" hidden="1" thickBot="1" x14ac:dyDescent="0.25">
      <c r="A1101" s="567">
        <v>91852</v>
      </c>
      <c r="B1101" s="644">
        <v>91852</v>
      </c>
      <c r="C1101" s="645" t="s">
        <v>670</v>
      </c>
      <c r="D1101" s="422" t="s">
        <v>952</v>
      </c>
      <c r="E1101" s="423"/>
      <c r="F1101" s="424"/>
      <c r="G1101" s="425"/>
      <c r="H1101" s="651"/>
      <c r="I1101" s="420">
        <v>9.4499999999999993</v>
      </c>
      <c r="J1101" s="420">
        <f t="shared" si="293"/>
        <v>9.4499999999999993</v>
      </c>
      <c r="K1101" s="421">
        <f t="shared" si="303"/>
        <v>11.23</v>
      </c>
      <c r="L1101" s="647" t="s">
        <v>79</v>
      </c>
      <c r="M1101" s="576"/>
      <c r="N1101" s="576">
        <f t="shared" si="295"/>
        <v>0</v>
      </c>
      <c r="O1101" s="577">
        <f t="shared" si="300"/>
        <v>0</v>
      </c>
      <c r="P1101" s="578">
        <f t="shared" si="301"/>
        <v>0</v>
      </c>
      <c r="Q1101" s="765"/>
      <c r="R1101" s="576">
        <f t="shared" si="297"/>
        <v>0</v>
      </c>
      <c r="S1101" s="576">
        <f t="shared" si="297"/>
        <v>0</v>
      </c>
      <c r="T1101" s="577">
        <f t="shared" si="298"/>
        <v>0</v>
      </c>
      <c r="U1101" s="578">
        <f t="shared" si="299"/>
        <v>0</v>
      </c>
      <c r="V1101" s="579"/>
      <c r="W1101" s="566"/>
      <c r="X1101" s="586" t="str">
        <f t="shared" si="302"/>
        <v/>
      </c>
      <c r="Y1101" s="586" t="str">
        <f t="shared" si="296"/>
        <v/>
      </c>
      <c r="Z1101" s="586" t="str">
        <f t="shared" si="294"/>
        <v/>
      </c>
    </row>
    <row r="1102" spans="1:26" ht="23.25" hidden="1" thickBot="1" x14ac:dyDescent="0.25">
      <c r="A1102" s="567">
        <v>91854</v>
      </c>
      <c r="B1102" s="644">
        <v>91854</v>
      </c>
      <c r="C1102" s="645" t="s">
        <v>670</v>
      </c>
      <c r="D1102" s="422" t="s">
        <v>953</v>
      </c>
      <c r="E1102" s="423"/>
      <c r="F1102" s="424"/>
      <c r="G1102" s="425"/>
      <c r="H1102" s="651"/>
      <c r="I1102" s="420">
        <v>10.46</v>
      </c>
      <c r="J1102" s="420">
        <f t="shared" si="293"/>
        <v>10.46</v>
      </c>
      <c r="K1102" s="421">
        <f t="shared" si="303"/>
        <v>12.43</v>
      </c>
      <c r="L1102" s="647" t="s">
        <v>79</v>
      </c>
      <c r="M1102" s="576"/>
      <c r="N1102" s="576">
        <f t="shared" si="295"/>
        <v>0</v>
      </c>
      <c r="O1102" s="577">
        <f t="shared" si="300"/>
        <v>0</v>
      </c>
      <c r="P1102" s="578">
        <f t="shared" si="301"/>
        <v>0</v>
      </c>
      <c r="Q1102" s="765"/>
      <c r="R1102" s="576">
        <f t="shared" si="297"/>
        <v>0</v>
      </c>
      <c r="S1102" s="576">
        <f t="shared" si="297"/>
        <v>0</v>
      </c>
      <c r="T1102" s="577">
        <f t="shared" si="298"/>
        <v>0</v>
      </c>
      <c r="U1102" s="578">
        <f t="shared" si="299"/>
        <v>0</v>
      </c>
      <c r="V1102" s="579"/>
      <c r="W1102" s="566"/>
      <c r="X1102" s="586" t="str">
        <f t="shared" si="302"/>
        <v/>
      </c>
      <c r="Y1102" s="586" t="str">
        <f t="shared" si="296"/>
        <v/>
      </c>
      <c r="Z1102" s="586" t="str">
        <f t="shared" si="294"/>
        <v/>
      </c>
    </row>
    <row r="1103" spans="1:26" ht="23.25" hidden="1" thickBot="1" x14ac:dyDescent="0.25">
      <c r="A1103" s="567">
        <v>91856</v>
      </c>
      <c r="B1103" s="644">
        <v>91856</v>
      </c>
      <c r="C1103" s="645" t="s">
        <v>670</v>
      </c>
      <c r="D1103" s="422" t="s">
        <v>954</v>
      </c>
      <c r="E1103" s="423"/>
      <c r="F1103" s="424"/>
      <c r="G1103" s="425"/>
      <c r="H1103" s="651"/>
      <c r="I1103" s="420">
        <v>13.63</v>
      </c>
      <c r="J1103" s="420">
        <f t="shared" si="293"/>
        <v>13.63</v>
      </c>
      <c r="K1103" s="421">
        <f t="shared" si="303"/>
        <v>16.190000000000001</v>
      </c>
      <c r="L1103" s="647" t="s">
        <v>79</v>
      </c>
      <c r="M1103" s="576"/>
      <c r="N1103" s="576">
        <f t="shared" si="295"/>
        <v>0</v>
      </c>
      <c r="O1103" s="577">
        <f t="shared" si="300"/>
        <v>0</v>
      </c>
      <c r="P1103" s="578">
        <f t="shared" si="301"/>
        <v>0</v>
      </c>
      <c r="Q1103" s="765"/>
      <c r="R1103" s="576">
        <f t="shared" si="297"/>
        <v>0</v>
      </c>
      <c r="S1103" s="576">
        <f t="shared" si="297"/>
        <v>0</v>
      </c>
      <c r="T1103" s="577">
        <f t="shared" si="298"/>
        <v>0</v>
      </c>
      <c r="U1103" s="578">
        <f t="shared" si="299"/>
        <v>0</v>
      </c>
      <c r="V1103" s="579"/>
      <c r="W1103" s="566"/>
      <c r="X1103" s="586" t="str">
        <f t="shared" si="302"/>
        <v/>
      </c>
      <c r="Y1103" s="586" t="str">
        <f t="shared" si="296"/>
        <v/>
      </c>
      <c r="Z1103" s="586" t="str">
        <f t="shared" si="294"/>
        <v/>
      </c>
    </row>
    <row r="1104" spans="1:26" ht="23.25" hidden="1" thickBot="1" x14ac:dyDescent="0.25">
      <c r="A1104" s="567">
        <v>91833</v>
      </c>
      <c r="B1104" s="644">
        <v>91833</v>
      </c>
      <c r="C1104" s="645" t="s">
        <v>670</v>
      </c>
      <c r="D1104" s="422" t="s">
        <v>955</v>
      </c>
      <c r="E1104" s="423"/>
      <c r="F1104" s="424"/>
      <c r="G1104" s="425"/>
      <c r="H1104" s="651"/>
      <c r="I1104" s="420">
        <v>9.67</v>
      </c>
      <c r="J1104" s="420">
        <f t="shared" si="293"/>
        <v>9.67</v>
      </c>
      <c r="K1104" s="421">
        <f t="shared" si="303"/>
        <v>11.49</v>
      </c>
      <c r="L1104" s="647" t="s">
        <v>79</v>
      </c>
      <c r="M1104" s="576"/>
      <c r="N1104" s="576">
        <f t="shared" si="295"/>
        <v>0</v>
      </c>
      <c r="O1104" s="577">
        <f t="shared" si="300"/>
        <v>0</v>
      </c>
      <c r="P1104" s="578">
        <f t="shared" si="301"/>
        <v>0</v>
      </c>
      <c r="Q1104" s="765"/>
      <c r="R1104" s="576">
        <f t="shared" si="297"/>
        <v>0</v>
      </c>
      <c r="S1104" s="576">
        <f t="shared" si="297"/>
        <v>0</v>
      </c>
      <c r="T1104" s="577">
        <f t="shared" si="298"/>
        <v>0</v>
      </c>
      <c r="U1104" s="578">
        <f t="shared" si="299"/>
        <v>0</v>
      </c>
      <c r="V1104" s="579"/>
      <c r="W1104" s="566"/>
      <c r="X1104" s="586" t="str">
        <f t="shared" si="302"/>
        <v/>
      </c>
      <c r="Y1104" s="586" t="str">
        <f t="shared" si="296"/>
        <v/>
      </c>
      <c r="Z1104" s="586" t="str">
        <f t="shared" si="294"/>
        <v/>
      </c>
    </row>
    <row r="1105" spans="1:26" ht="23.25" hidden="1" thickBot="1" x14ac:dyDescent="0.25">
      <c r="A1105" s="567">
        <v>91835</v>
      </c>
      <c r="B1105" s="644">
        <v>91835</v>
      </c>
      <c r="C1105" s="645" t="s">
        <v>670</v>
      </c>
      <c r="D1105" s="422" t="s">
        <v>956</v>
      </c>
      <c r="E1105" s="423"/>
      <c r="F1105" s="424"/>
      <c r="G1105" s="425"/>
      <c r="H1105" s="651"/>
      <c r="I1105" s="420">
        <v>11.73</v>
      </c>
      <c r="J1105" s="420">
        <f t="shared" si="293"/>
        <v>11.73</v>
      </c>
      <c r="K1105" s="421">
        <f t="shared" si="303"/>
        <v>13.94</v>
      </c>
      <c r="L1105" s="647" t="s">
        <v>79</v>
      </c>
      <c r="M1105" s="576"/>
      <c r="N1105" s="576">
        <f t="shared" si="295"/>
        <v>0</v>
      </c>
      <c r="O1105" s="577">
        <f t="shared" si="300"/>
        <v>0</v>
      </c>
      <c r="P1105" s="578">
        <f t="shared" si="301"/>
        <v>0</v>
      </c>
      <c r="Q1105" s="765"/>
      <c r="R1105" s="576">
        <f t="shared" si="297"/>
        <v>0</v>
      </c>
      <c r="S1105" s="576">
        <f t="shared" si="297"/>
        <v>0</v>
      </c>
      <c r="T1105" s="577">
        <f t="shared" si="298"/>
        <v>0</v>
      </c>
      <c r="U1105" s="578">
        <f t="shared" si="299"/>
        <v>0</v>
      </c>
      <c r="V1105" s="579"/>
      <c r="W1105" s="566"/>
      <c r="X1105" s="586" t="str">
        <f t="shared" si="302"/>
        <v/>
      </c>
      <c r="Y1105" s="586" t="str">
        <f t="shared" si="296"/>
        <v/>
      </c>
      <c r="Z1105" s="586" t="str">
        <f t="shared" si="294"/>
        <v/>
      </c>
    </row>
    <row r="1106" spans="1:26" ht="23.25" hidden="1" thickBot="1" x14ac:dyDescent="0.25">
      <c r="A1106" s="567">
        <v>91837</v>
      </c>
      <c r="B1106" s="644">
        <v>91837</v>
      </c>
      <c r="C1106" s="645" t="s">
        <v>670</v>
      </c>
      <c r="D1106" s="422" t="s">
        <v>957</v>
      </c>
      <c r="E1106" s="423"/>
      <c r="F1106" s="424"/>
      <c r="G1106" s="425"/>
      <c r="H1106" s="651"/>
      <c r="I1106" s="420">
        <v>17.3</v>
      </c>
      <c r="J1106" s="420">
        <f t="shared" si="293"/>
        <v>17.3</v>
      </c>
      <c r="K1106" s="421">
        <f t="shared" si="303"/>
        <v>20.55</v>
      </c>
      <c r="L1106" s="647" t="s">
        <v>79</v>
      </c>
      <c r="M1106" s="576"/>
      <c r="N1106" s="576">
        <f t="shared" si="295"/>
        <v>0</v>
      </c>
      <c r="O1106" s="577">
        <f t="shared" si="300"/>
        <v>0</v>
      </c>
      <c r="P1106" s="578">
        <f t="shared" si="301"/>
        <v>0</v>
      </c>
      <c r="Q1106" s="765"/>
      <c r="R1106" s="576">
        <f t="shared" si="297"/>
        <v>0</v>
      </c>
      <c r="S1106" s="576">
        <f t="shared" si="297"/>
        <v>0</v>
      </c>
      <c r="T1106" s="577">
        <f t="shared" si="298"/>
        <v>0</v>
      </c>
      <c r="U1106" s="578">
        <f t="shared" si="299"/>
        <v>0</v>
      </c>
      <c r="V1106" s="579"/>
      <c r="W1106" s="566"/>
      <c r="X1106" s="586" t="str">
        <f t="shared" si="302"/>
        <v/>
      </c>
      <c r="Y1106" s="586" t="str">
        <f t="shared" si="296"/>
        <v/>
      </c>
      <c r="Z1106" s="586" t="str">
        <f t="shared" si="294"/>
        <v/>
      </c>
    </row>
    <row r="1107" spans="1:26" ht="23.25" hidden="1" thickBot="1" x14ac:dyDescent="0.25">
      <c r="A1107" s="567">
        <v>91843</v>
      </c>
      <c r="B1107" s="644">
        <v>91843</v>
      </c>
      <c r="C1107" s="645" t="s">
        <v>670</v>
      </c>
      <c r="D1107" s="422" t="s">
        <v>958</v>
      </c>
      <c r="E1107" s="423"/>
      <c r="F1107" s="424"/>
      <c r="G1107" s="425"/>
      <c r="H1107" s="651"/>
      <c r="I1107" s="420">
        <v>7.4</v>
      </c>
      <c r="J1107" s="420">
        <f t="shared" ref="J1107:J1170" si="304">IF(ISBLANK(I1107),"",SUM(H1107:I1107))</f>
        <v>7.4</v>
      </c>
      <c r="K1107" s="421">
        <f t="shared" si="303"/>
        <v>8.7899999999999991</v>
      </c>
      <c r="L1107" s="647" t="s">
        <v>79</v>
      </c>
      <c r="M1107" s="576"/>
      <c r="N1107" s="576">
        <f t="shared" si="295"/>
        <v>0</v>
      </c>
      <c r="O1107" s="577">
        <f t="shared" si="300"/>
        <v>0</v>
      </c>
      <c r="P1107" s="578">
        <f t="shared" si="301"/>
        <v>0</v>
      </c>
      <c r="Q1107" s="765"/>
      <c r="R1107" s="576">
        <f t="shared" si="297"/>
        <v>0</v>
      </c>
      <c r="S1107" s="576">
        <f t="shared" si="297"/>
        <v>0</v>
      </c>
      <c r="T1107" s="577">
        <f t="shared" si="298"/>
        <v>0</v>
      </c>
      <c r="U1107" s="578">
        <f t="shared" si="299"/>
        <v>0</v>
      </c>
      <c r="V1107" s="579"/>
      <c r="W1107" s="566"/>
      <c r="X1107" s="586" t="str">
        <f t="shared" si="302"/>
        <v/>
      </c>
      <c r="Y1107" s="586" t="str">
        <f t="shared" si="296"/>
        <v/>
      </c>
      <c r="Z1107" s="586" t="str">
        <f t="shared" ref="Z1107:Z1170" si="305">IF(W1107="X","x",IF(U1107&gt;0,"x",""))</f>
        <v/>
      </c>
    </row>
    <row r="1108" spans="1:26" ht="23.25" hidden="1" thickBot="1" x14ac:dyDescent="0.25">
      <c r="A1108" s="567">
        <v>91845</v>
      </c>
      <c r="B1108" s="644">
        <v>91845</v>
      </c>
      <c r="C1108" s="645" t="s">
        <v>670</v>
      </c>
      <c r="D1108" s="422" t="s">
        <v>959</v>
      </c>
      <c r="E1108" s="423"/>
      <c r="F1108" s="424"/>
      <c r="G1108" s="425"/>
      <c r="H1108" s="651"/>
      <c r="I1108" s="420">
        <v>9.4700000000000006</v>
      </c>
      <c r="J1108" s="420">
        <f t="shared" si="304"/>
        <v>9.4700000000000006</v>
      </c>
      <c r="K1108" s="421">
        <f t="shared" si="303"/>
        <v>11.25</v>
      </c>
      <c r="L1108" s="647" t="s">
        <v>79</v>
      </c>
      <c r="M1108" s="576"/>
      <c r="N1108" s="576">
        <f t="shared" ref="N1108:N1171" si="306">IF(M1108=0,0,K1108)</f>
        <v>0</v>
      </c>
      <c r="O1108" s="577">
        <f t="shared" si="300"/>
        <v>0</v>
      </c>
      <c r="P1108" s="578">
        <f t="shared" si="301"/>
        <v>0</v>
      </c>
      <c r="Q1108" s="765"/>
      <c r="R1108" s="576">
        <f t="shared" si="297"/>
        <v>0</v>
      </c>
      <c r="S1108" s="576">
        <f t="shared" si="297"/>
        <v>0</v>
      </c>
      <c r="T1108" s="577">
        <f t="shared" si="298"/>
        <v>0</v>
      </c>
      <c r="U1108" s="578">
        <f t="shared" si="299"/>
        <v>0</v>
      </c>
      <c r="V1108" s="579"/>
      <c r="W1108" s="566"/>
      <c r="X1108" s="586" t="str">
        <f t="shared" si="302"/>
        <v/>
      </c>
      <c r="Y1108" s="586" t="str">
        <f t="shared" si="296"/>
        <v/>
      </c>
      <c r="Z1108" s="586" t="str">
        <f t="shared" si="305"/>
        <v/>
      </c>
    </row>
    <row r="1109" spans="1:26" ht="23.25" hidden="1" thickBot="1" x14ac:dyDescent="0.25">
      <c r="A1109" s="567">
        <v>91847</v>
      </c>
      <c r="B1109" s="644">
        <v>91847</v>
      </c>
      <c r="C1109" s="645" t="s">
        <v>670</v>
      </c>
      <c r="D1109" s="422" t="s">
        <v>960</v>
      </c>
      <c r="E1109" s="423"/>
      <c r="F1109" s="424"/>
      <c r="G1109" s="425"/>
      <c r="H1109" s="651"/>
      <c r="I1109" s="420">
        <v>15.03</v>
      </c>
      <c r="J1109" s="420">
        <f t="shared" si="304"/>
        <v>15.03</v>
      </c>
      <c r="K1109" s="421">
        <f t="shared" si="303"/>
        <v>17.86</v>
      </c>
      <c r="L1109" s="647" t="s">
        <v>79</v>
      </c>
      <c r="M1109" s="576"/>
      <c r="N1109" s="576">
        <f t="shared" si="306"/>
        <v>0</v>
      </c>
      <c r="O1109" s="577">
        <f t="shared" si="300"/>
        <v>0</v>
      </c>
      <c r="P1109" s="578">
        <f t="shared" si="301"/>
        <v>0</v>
      </c>
      <c r="Q1109" s="765"/>
      <c r="R1109" s="576">
        <f t="shared" si="297"/>
        <v>0</v>
      </c>
      <c r="S1109" s="576">
        <f t="shared" si="297"/>
        <v>0</v>
      </c>
      <c r="T1109" s="577">
        <f t="shared" si="298"/>
        <v>0</v>
      </c>
      <c r="U1109" s="578">
        <f t="shared" si="299"/>
        <v>0</v>
      </c>
      <c r="V1109" s="579"/>
      <c r="W1109" s="566"/>
      <c r="X1109" s="586" t="str">
        <f t="shared" si="302"/>
        <v/>
      </c>
      <c r="Y1109" s="586" t="str">
        <f t="shared" si="296"/>
        <v/>
      </c>
      <c r="Z1109" s="586" t="str">
        <f t="shared" si="305"/>
        <v/>
      </c>
    </row>
    <row r="1110" spans="1:26" ht="23.25" hidden="1" thickBot="1" x14ac:dyDescent="0.25">
      <c r="A1110" s="567">
        <v>91853</v>
      </c>
      <c r="B1110" s="644">
        <v>91853</v>
      </c>
      <c r="C1110" s="645" t="s">
        <v>670</v>
      </c>
      <c r="D1110" s="422" t="s">
        <v>961</v>
      </c>
      <c r="E1110" s="423"/>
      <c r="F1110" s="424"/>
      <c r="G1110" s="425"/>
      <c r="H1110" s="651"/>
      <c r="I1110" s="420">
        <v>10.06</v>
      </c>
      <c r="J1110" s="420">
        <f t="shared" si="304"/>
        <v>10.06</v>
      </c>
      <c r="K1110" s="421">
        <f t="shared" si="303"/>
        <v>11.95</v>
      </c>
      <c r="L1110" s="647" t="s">
        <v>79</v>
      </c>
      <c r="M1110" s="576"/>
      <c r="N1110" s="576">
        <f t="shared" si="306"/>
        <v>0</v>
      </c>
      <c r="O1110" s="577">
        <f t="shared" si="300"/>
        <v>0</v>
      </c>
      <c r="P1110" s="578">
        <f t="shared" si="301"/>
        <v>0</v>
      </c>
      <c r="Q1110" s="765"/>
      <c r="R1110" s="576">
        <f t="shared" si="297"/>
        <v>0</v>
      </c>
      <c r="S1110" s="576">
        <f t="shared" si="297"/>
        <v>0</v>
      </c>
      <c r="T1110" s="577">
        <f t="shared" si="298"/>
        <v>0</v>
      </c>
      <c r="U1110" s="578">
        <f t="shared" si="299"/>
        <v>0</v>
      </c>
      <c r="V1110" s="579"/>
      <c r="W1110" s="566"/>
      <c r="X1110" s="586" t="str">
        <f t="shared" si="302"/>
        <v/>
      </c>
      <c r="Y1110" s="586" t="str">
        <f t="shared" si="296"/>
        <v/>
      </c>
      <c r="Z1110" s="586" t="str">
        <f t="shared" si="305"/>
        <v/>
      </c>
    </row>
    <row r="1111" spans="1:26" ht="23.25" hidden="1" thickBot="1" x14ac:dyDescent="0.25">
      <c r="A1111" s="567">
        <v>91855</v>
      </c>
      <c r="B1111" s="644">
        <v>91855</v>
      </c>
      <c r="C1111" s="645" t="s">
        <v>670</v>
      </c>
      <c r="D1111" s="422" t="s">
        <v>962</v>
      </c>
      <c r="E1111" s="423"/>
      <c r="F1111" s="424"/>
      <c r="G1111" s="425"/>
      <c r="H1111" s="651"/>
      <c r="I1111" s="420">
        <v>12.02</v>
      </c>
      <c r="J1111" s="420">
        <f t="shared" si="304"/>
        <v>12.02</v>
      </c>
      <c r="K1111" s="421">
        <f t="shared" si="303"/>
        <v>14.28</v>
      </c>
      <c r="L1111" s="647" t="s">
        <v>79</v>
      </c>
      <c r="M1111" s="576"/>
      <c r="N1111" s="576">
        <f t="shared" si="306"/>
        <v>0</v>
      </c>
      <c r="O1111" s="577">
        <f t="shared" si="300"/>
        <v>0</v>
      </c>
      <c r="P1111" s="578">
        <f t="shared" si="301"/>
        <v>0</v>
      </c>
      <c r="Q1111" s="765"/>
      <c r="R1111" s="576">
        <f t="shared" si="297"/>
        <v>0</v>
      </c>
      <c r="S1111" s="576">
        <f t="shared" si="297"/>
        <v>0</v>
      </c>
      <c r="T1111" s="577">
        <f t="shared" si="298"/>
        <v>0</v>
      </c>
      <c r="U1111" s="578">
        <f t="shared" si="299"/>
        <v>0</v>
      </c>
      <c r="V1111" s="579"/>
      <c r="W1111" s="566"/>
      <c r="X1111" s="586" t="str">
        <f t="shared" si="302"/>
        <v/>
      </c>
      <c r="Y1111" s="586" t="str">
        <f t="shared" si="296"/>
        <v/>
      </c>
      <c r="Z1111" s="586" t="str">
        <f t="shared" si="305"/>
        <v/>
      </c>
    </row>
    <row r="1112" spans="1:26" ht="23.25" hidden="1" thickBot="1" x14ac:dyDescent="0.25">
      <c r="A1112" s="567">
        <v>91857</v>
      </c>
      <c r="B1112" s="644">
        <v>91857</v>
      </c>
      <c r="C1112" s="645" t="s">
        <v>670</v>
      </c>
      <c r="D1112" s="422" t="s">
        <v>963</v>
      </c>
      <c r="E1112" s="423"/>
      <c r="F1112" s="424"/>
      <c r="G1112" s="425"/>
      <c r="H1112" s="651"/>
      <c r="I1112" s="420">
        <v>17.25</v>
      </c>
      <c r="J1112" s="420">
        <f t="shared" si="304"/>
        <v>17.25</v>
      </c>
      <c r="K1112" s="421">
        <f t="shared" si="303"/>
        <v>20.49</v>
      </c>
      <c r="L1112" s="647" t="s">
        <v>79</v>
      </c>
      <c r="M1112" s="576"/>
      <c r="N1112" s="576">
        <f t="shared" si="306"/>
        <v>0</v>
      </c>
      <c r="O1112" s="577">
        <f t="shared" si="300"/>
        <v>0</v>
      </c>
      <c r="P1112" s="578">
        <f t="shared" si="301"/>
        <v>0</v>
      </c>
      <c r="Q1112" s="765"/>
      <c r="R1112" s="576">
        <f t="shared" si="297"/>
        <v>0</v>
      </c>
      <c r="S1112" s="576">
        <f t="shared" si="297"/>
        <v>0</v>
      </c>
      <c r="T1112" s="577">
        <f t="shared" si="298"/>
        <v>0</v>
      </c>
      <c r="U1112" s="578">
        <f t="shared" si="299"/>
        <v>0</v>
      </c>
      <c r="V1112" s="579"/>
      <c r="W1112" s="566"/>
      <c r="X1112" s="586" t="str">
        <f t="shared" si="302"/>
        <v/>
      </c>
      <c r="Y1112" s="586" t="str">
        <f t="shared" si="296"/>
        <v/>
      </c>
      <c r="Z1112" s="586" t="str">
        <f t="shared" si="305"/>
        <v/>
      </c>
    </row>
    <row r="1113" spans="1:26" ht="23.25" hidden="1" thickBot="1" x14ac:dyDescent="0.25">
      <c r="A1113" s="567">
        <v>91874</v>
      </c>
      <c r="B1113" s="644">
        <v>91874</v>
      </c>
      <c r="C1113" s="645" t="s">
        <v>670</v>
      </c>
      <c r="D1113" s="422" t="s">
        <v>964</v>
      </c>
      <c r="E1113" s="423"/>
      <c r="F1113" s="424"/>
      <c r="G1113" s="425"/>
      <c r="H1113" s="651"/>
      <c r="I1113" s="420">
        <v>5.63</v>
      </c>
      <c r="J1113" s="420">
        <f t="shared" si="304"/>
        <v>5.63</v>
      </c>
      <c r="K1113" s="421">
        <f t="shared" si="303"/>
        <v>6.69</v>
      </c>
      <c r="L1113" s="647" t="s">
        <v>2065</v>
      </c>
      <c r="M1113" s="576"/>
      <c r="N1113" s="576">
        <f t="shared" si="306"/>
        <v>0</v>
      </c>
      <c r="O1113" s="577">
        <f t="shared" si="300"/>
        <v>0</v>
      </c>
      <c r="P1113" s="578">
        <f t="shared" si="301"/>
        <v>0</v>
      </c>
      <c r="Q1113" s="765"/>
      <c r="R1113" s="576">
        <f t="shared" si="297"/>
        <v>0</v>
      </c>
      <c r="S1113" s="576">
        <f t="shared" si="297"/>
        <v>0</v>
      </c>
      <c r="T1113" s="577">
        <f t="shared" si="298"/>
        <v>0</v>
      </c>
      <c r="U1113" s="578">
        <f t="shared" si="299"/>
        <v>0</v>
      </c>
      <c r="V1113" s="579"/>
      <c r="W1113" s="566"/>
      <c r="X1113" s="586" t="str">
        <f t="shared" si="302"/>
        <v/>
      </c>
      <c r="Y1113" s="586" t="str">
        <f t="shared" si="296"/>
        <v/>
      </c>
      <c r="Z1113" s="586" t="str">
        <f t="shared" si="305"/>
        <v/>
      </c>
    </row>
    <row r="1114" spans="1:26" ht="23.25" hidden="1" thickBot="1" x14ac:dyDescent="0.25">
      <c r="A1114" s="567">
        <v>91875</v>
      </c>
      <c r="B1114" s="644">
        <v>91875</v>
      </c>
      <c r="C1114" s="645" t="s">
        <v>670</v>
      </c>
      <c r="D1114" s="422" t="s">
        <v>965</v>
      </c>
      <c r="E1114" s="423"/>
      <c r="F1114" s="424"/>
      <c r="G1114" s="425"/>
      <c r="H1114" s="651"/>
      <c r="I1114" s="420">
        <v>7.49</v>
      </c>
      <c r="J1114" s="420">
        <f t="shared" si="304"/>
        <v>7.49</v>
      </c>
      <c r="K1114" s="421">
        <f t="shared" si="303"/>
        <v>8.9</v>
      </c>
      <c r="L1114" s="647" t="s">
        <v>2065</v>
      </c>
      <c r="M1114" s="576"/>
      <c r="N1114" s="576">
        <f t="shared" si="306"/>
        <v>0</v>
      </c>
      <c r="O1114" s="577">
        <f t="shared" si="300"/>
        <v>0</v>
      </c>
      <c r="P1114" s="578">
        <f t="shared" si="301"/>
        <v>0</v>
      </c>
      <c r="Q1114" s="765"/>
      <c r="R1114" s="576">
        <f t="shared" si="297"/>
        <v>0</v>
      </c>
      <c r="S1114" s="576">
        <f t="shared" si="297"/>
        <v>0</v>
      </c>
      <c r="T1114" s="577">
        <f t="shared" si="298"/>
        <v>0</v>
      </c>
      <c r="U1114" s="578">
        <f t="shared" si="299"/>
        <v>0</v>
      </c>
      <c r="V1114" s="579"/>
      <c r="W1114" s="566"/>
      <c r="X1114" s="586" t="str">
        <f t="shared" si="302"/>
        <v/>
      </c>
      <c r="Y1114" s="586" t="str">
        <f t="shared" si="296"/>
        <v/>
      </c>
      <c r="Z1114" s="586" t="str">
        <f t="shared" si="305"/>
        <v/>
      </c>
    </row>
    <row r="1115" spans="1:26" ht="23.25" hidden="1" thickBot="1" x14ac:dyDescent="0.25">
      <c r="A1115" s="567">
        <v>91876</v>
      </c>
      <c r="B1115" s="644">
        <v>91876</v>
      </c>
      <c r="C1115" s="645" t="s">
        <v>670</v>
      </c>
      <c r="D1115" s="422" t="s">
        <v>966</v>
      </c>
      <c r="E1115" s="423"/>
      <c r="F1115" s="424"/>
      <c r="G1115" s="425"/>
      <c r="H1115" s="651"/>
      <c r="I1115" s="420">
        <v>9.92</v>
      </c>
      <c r="J1115" s="420">
        <f t="shared" si="304"/>
        <v>9.92</v>
      </c>
      <c r="K1115" s="421">
        <f t="shared" si="303"/>
        <v>11.79</v>
      </c>
      <c r="L1115" s="647" t="s">
        <v>2065</v>
      </c>
      <c r="M1115" s="576"/>
      <c r="N1115" s="576">
        <f t="shared" si="306"/>
        <v>0</v>
      </c>
      <c r="O1115" s="577">
        <f t="shared" si="300"/>
        <v>0</v>
      </c>
      <c r="P1115" s="578">
        <f t="shared" si="301"/>
        <v>0</v>
      </c>
      <c r="Q1115" s="765"/>
      <c r="R1115" s="576">
        <f t="shared" si="297"/>
        <v>0</v>
      </c>
      <c r="S1115" s="576">
        <f t="shared" si="297"/>
        <v>0</v>
      </c>
      <c r="T1115" s="577">
        <f t="shared" si="298"/>
        <v>0</v>
      </c>
      <c r="U1115" s="578">
        <f t="shared" si="299"/>
        <v>0</v>
      </c>
      <c r="V1115" s="579"/>
      <c r="W1115" s="566"/>
      <c r="X1115" s="586" t="str">
        <f t="shared" si="302"/>
        <v/>
      </c>
      <c r="Y1115" s="586" t="str">
        <f t="shared" si="296"/>
        <v/>
      </c>
      <c r="Z1115" s="586" t="str">
        <f t="shared" si="305"/>
        <v/>
      </c>
    </row>
    <row r="1116" spans="1:26" ht="23.25" hidden="1" thickBot="1" x14ac:dyDescent="0.25">
      <c r="A1116" s="567">
        <v>91877</v>
      </c>
      <c r="B1116" s="644">
        <v>91877</v>
      </c>
      <c r="C1116" s="645" t="s">
        <v>670</v>
      </c>
      <c r="D1116" s="422" t="s">
        <v>967</v>
      </c>
      <c r="E1116" s="423"/>
      <c r="F1116" s="424"/>
      <c r="G1116" s="425"/>
      <c r="H1116" s="651"/>
      <c r="I1116" s="420">
        <v>13.33</v>
      </c>
      <c r="J1116" s="420">
        <f t="shared" si="304"/>
        <v>13.33</v>
      </c>
      <c r="K1116" s="421">
        <f t="shared" si="303"/>
        <v>15.84</v>
      </c>
      <c r="L1116" s="647" t="s">
        <v>2065</v>
      </c>
      <c r="M1116" s="576"/>
      <c r="N1116" s="576">
        <f t="shared" si="306"/>
        <v>0</v>
      </c>
      <c r="O1116" s="577">
        <f t="shared" si="300"/>
        <v>0</v>
      </c>
      <c r="P1116" s="578">
        <f t="shared" si="301"/>
        <v>0</v>
      </c>
      <c r="Q1116" s="765"/>
      <c r="R1116" s="576">
        <f t="shared" si="297"/>
        <v>0</v>
      </c>
      <c r="S1116" s="576">
        <f t="shared" si="297"/>
        <v>0</v>
      </c>
      <c r="T1116" s="577">
        <f t="shared" si="298"/>
        <v>0</v>
      </c>
      <c r="U1116" s="578">
        <f t="shared" si="299"/>
        <v>0</v>
      </c>
      <c r="V1116" s="579"/>
      <c r="W1116" s="566"/>
      <c r="X1116" s="586" t="str">
        <f t="shared" si="302"/>
        <v/>
      </c>
      <c r="Y1116" s="586" t="str">
        <f t="shared" si="296"/>
        <v/>
      </c>
      <c r="Z1116" s="586" t="str">
        <f t="shared" si="305"/>
        <v/>
      </c>
    </row>
    <row r="1117" spans="1:26" ht="23.25" hidden="1" thickBot="1" x14ac:dyDescent="0.25">
      <c r="A1117" s="567">
        <v>91878</v>
      </c>
      <c r="B1117" s="644">
        <v>91878</v>
      </c>
      <c r="C1117" s="645" t="s">
        <v>670</v>
      </c>
      <c r="D1117" s="422" t="s">
        <v>968</v>
      </c>
      <c r="E1117" s="423"/>
      <c r="F1117" s="424"/>
      <c r="G1117" s="425"/>
      <c r="H1117" s="651"/>
      <c r="I1117" s="420">
        <v>7.14</v>
      </c>
      <c r="J1117" s="420">
        <f t="shared" si="304"/>
        <v>7.14</v>
      </c>
      <c r="K1117" s="421">
        <f t="shared" si="303"/>
        <v>8.48</v>
      </c>
      <c r="L1117" s="647" t="s">
        <v>2065</v>
      </c>
      <c r="M1117" s="576"/>
      <c r="N1117" s="576">
        <f t="shared" si="306"/>
        <v>0</v>
      </c>
      <c r="O1117" s="577">
        <f t="shared" si="300"/>
        <v>0</v>
      </c>
      <c r="P1117" s="578">
        <f t="shared" si="301"/>
        <v>0</v>
      </c>
      <c r="Q1117" s="765"/>
      <c r="R1117" s="576">
        <f t="shared" si="297"/>
        <v>0</v>
      </c>
      <c r="S1117" s="576">
        <f t="shared" si="297"/>
        <v>0</v>
      </c>
      <c r="T1117" s="577">
        <f t="shared" si="298"/>
        <v>0</v>
      </c>
      <c r="U1117" s="578">
        <f t="shared" si="299"/>
        <v>0</v>
      </c>
      <c r="V1117" s="579"/>
      <c r="W1117" s="566"/>
      <c r="X1117" s="586" t="str">
        <f t="shared" si="302"/>
        <v/>
      </c>
      <c r="Y1117" s="586" t="str">
        <f t="shared" si="296"/>
        <v/>
      </c>
      <c r="Z1117" s="586" t="str">
        <f t="shared" si="305"/>
        <v/>
      </c>
    </row>
    <row r="1118" spans="1:26" ht="23.25" hidden="1" thickBot="1" x14ac:dyDescent="0.25">
      <c r="A1118" s="567">
        <v>91879</v>
      </c>
      <c r="B1118" s="644">
        <v>91879</v>
      </c>
      <c r="C1118" s="645" t="s">
        <v>670</v>
      </c>
      <c r="D1118" s="422" t="s">
        <v>969</v>
      </c>
      <c r="E1118" s="423"/>
      <c r="F1118" s="424"/>
      <c r="G1118" s="425"/>
      <c r="H1118" s="651"/>
      <c r="I1118" s="420">
        <v>8.9600000000000009</v>
      </c>
      <c r="J1118" s="420">
        <f t="shared" si="304"/>
        <v>8.9600000000000009</v>
      </c>
      <c r="K1118" s="421">
        <f t="shared" si="303"/>
        <v>10.65</v>
      </c>
      <c r="L1118" s="647" t="s">
        <v>2065</v>
      </c>
      <c r="M1118" s="576"/>
      <c r="N1118" s="576">
        <f t="shared" si="306"/>
        <v>0</v>
      </c>
      <c r="O1118" s="577">
        <f t="shared" si="300"/>
        <v>0</v>
      </c>
      <c r="P1118" s="578">
        <f t="shared" si="301"/>
        <v>0</v>
      </c>
      <c r="Q1118" s="765"/>
      <c r="R1118" s="576">
        <f t="shared" si="297"/>
        <v>0</v>
      </c>
      <c r="S1118" s="576">
        <f t="shared" si="297"/>
        <v>0</v>
      </c>
      <c r="T1118" s="577">
        <f t="shared" si="298"/>
        <v>0</v>
      </c>
      <c r="U1118" s="578">
        <f t="shared" si="299"/>
        <v>0</v>
      </c>
      <c r="V1118" s="579"/>
      <c r="W1118" s="566"/>
      <c r="X1118" s="586" t="str">
        <f t="shared" si="302"/>
        <v/>
      </c>
      <c r="Y1118" s="586" t="str">
        <f t="shared" si="296"/>
        <v/>
      </c>
      <c r="Z1118" s="586" t="str">
        <f t="shared" si="305"/>
        <v/>
      </c>
    </row>
    <row r="1119" spans="1:26" ht="23.25" hidden="1" thickBot="1" x14ac:dyDescent="0.25">
      <c r="A1119" s="567">
        <v>91880</v>
      </c>
      <c r="B1119" s="644">
        <v>91880</v>
      </c>
      <c r="C1119" s="645" t="s">
        <v>670</v>
      </c>
      <c r="D1119" s="422" t="s">
        <v>970</v>
      </c>
      <c r="E1119" s="423"/>
      <c r="F1119" s="424"/>
      <c r="G1119" s="425"/>
      <c r="H1119" s="651"/>
      <c r="I1119" s="420">
        <v>11.43</v>
      </c>
      <c r="J1119" s="420">
        <f t="shared" si="304"/>
        <v>11.43</v>
      </c>
      <c r="K1119" s="421">
        <f t="shared" si="303"/>
        <v>13.58</v>
      </c>
      <c r="L1119" s="647" t="s">
        <v>2065</v>
      </c>
      <c r="M1119" s="576"/>
      <c r="N1119" s="576">
        <f t="shared" si="306"/>
        <v>0</v>
      </c>
      <c r="O1119" s="577">
        <f t="shared" si="300"/>
        <v>0</v>
      </c>
      <c r="P1119" s="578">
        <f t="shared" si="301"/>
        <v>0</v>
      </c>
      <c r="Q1119" s="765"/>
      <c r="R1119" s="576">
        <f t="shared" si="297"/>
        <v>0</v>
      </c>
      <c r="S1119" s="576">
        <f t="shared" si="297"/>
        <v>0</v>
      </c>
      <c r="T1119" s="577">
        <f t="shared" si="298"/>
        <v>0</v>
      </c>
      <c r="U1119" s="578">
        <f t="shared" si="299"/>
        <v>0</v>
      </c>
      <c r="V1119" s="579"/>
      <c r="W1119" s="566"/>
      <c r="X1119" s="586" t="str">
        <f t="shared" si="302"/>
        <v/>
      </c>
      <c r="Y1119" s="586" t="str">
        <f t="shared" si="296"/>
        <v/>
      </c>
      <c r="Z1119" s="586" t="str">
        <f t="shared" si="305"/>
        <v/>
      </c>
    </row>
    <row r="1120" spans="1:26" ht="23.25" hidden="1" thickBot="1" x14ac:dyDescent="0.25">
      <c r="A1120" s="567">
        <v>91881</v>
      </c>
      <c r="B1120" s="644">
        <v>91881</v>
      </c>
      <c r="C1120" s="645" t="s">
        <v>670</v>
      </c>
      <c r="D1120" s="422" t="s">
        <v>971</v>
      </c>
      <c r="E1120" s="423"/>
      <c r="F1120" s="424"/>
      <c r="G1120" s="425"/>
      <c r="H1120" s="651"/>
      <c r="I1120" s="420">
        <v>14.84</v>
      </c>
      <c r="J1120" s="420">
        <f t="shared" si="304"/>
        <v>14.84</v>
      </c>
      <c r="K1120" s="421">
        <f t="shared" si="303"/>
        <v>17.63</v>
      </c>
      <c r="L1120" s="647" t="s">
        <v>2065</v>
      </c>
      <c r="M1120" s="576"/>
      <c r="N1120" s="576">
        <f t="shared" si="306"/>
        <v>0</v>
      </c>
      <c r="O1120" s="577">
        <f t="shared" si="300"/>
        <v>0</v>
      </c>
      <c r="P1120" s="578">
        <f t="shared" si="301"/>
        <v>0</v>
      </c>
      <c r="Q1120" s="765"/>
      <c r="R1120" s="576">
        <f t="shared" si="297"/>
        <v>0</v>
      </c>
      <c r="S1120" s="576">
        <f t="shared" si="297"/>
        <v>0</v>
      </c>
      <c r="T1120" s="577">
        <f t="shared" si="298"/>
        <v>0</v>
      </c>
      <c r="U1120" s="578">
        <f t="shared" si="299"/>
        <v>0</v>
      </c>
      <c r="V1120" s="579"/>
      <c r="W1120" s="566"/>
      <c r="X1120" s="586" t="str">
        <f t="shared" si="302"/>
        <v/>
      </c>
      <c r="Y1120" s="586" t="str">
        <f t="shared" si="296"/>
        <v/>
      </c>
      <c r="Z1120" s="586" t="str">
        <f t="shared" si="305"/>
        <v/>
      </c>
    </row>
    <row r="1121" spans="1:26" ht="23.25" hidden="1" thickBot="1" x14ac:dyDescent="0.25">
      <c r="A1121" s="567">
        <v>91882</v>
      </c>
      <c r="B1121" s="644">
        <v>91882</v>
      </c>
      <c r="C1121" s="645" t="s">
        <v>670</v>
      </c>
      <c r="D1121" s="422" t="s">
        <v>972</v>
      </c>
      <c r="E1121" s="423"/>
      <c r="F1121" s="424"/>
      <c r="G1121" s="425"/>
      <c r="H1121" s="651"/>
      <c r="I1121" s="420">
        <v>8.76</v>
      </c>
      <c r="J1121" s="420">
        <f t="shared" si="304"/>
        <v>8.76</v>
      </c>
      <c r="K1121" s="421">
        <f t="shared" si="303"/>
        <v>10.41</v>
      </c>
      <c r="L1121" s="647" t="s">
        <v>2065</v>
      </c>
      <c r="M1121" s="576"/>
      <c r="N1121" s="576">
        <f t="shared" si="306"/>
        <v>0</v>
      </c>
      <c r="O1121" s="577">
        <f t="shared" si="300"/>
        <v>0</v>
      </c>
      <c r="P1121" s="578">
        <f t="shared" si="301"/>
        <v>0</v>
      </c>
      <c r="Q1121" s="765"/>
      <c r="R1121" s="576">
        <f t="shared" si="297"/>
        <v>0</v>
      </c>
      <c r="S1121" s="576">
        <f t="shared" si="297"/>
        <v>0</v>
      </c>
      <c r="T1121" s="577">
        <f t="shared" si="298"/>
        <v>0</v>
      </c>
      <c r="U1121" s="578">
        <f t="shared" si="299"/>
        <v>0</v>
      </c>
      <c r="V1121" s="579"/>
      <c r="W1121" s="566"/>
      <c r="X1121" s="586" t="str">
        <f t="shared" si="302"/>
        <v/>
      </c>
      <c r="Y1121" s="586" t="str">
        <f t="shared" si="296"/>
        <v/>
      </c>
      <c r="Z1121" s="586" t="str">
        <f t="shared" si="305"/>
        <v/>
      </c>
    </row>
    <row r="1122" spans="1:26" ht="23.25" hidden="1" thickBot="1" x14ac:dyDescent="0.25">
      <c r="A1122" s="567">
        <v>91884</v>
      </c>
      <c r="B1122" s="644">
        <v>91884</v>
      </c>
      <c r="C1122" s="645" t="s">
        <v>670</v>
      </c>
      <c r="D1122" s="422" t="s">
        <v>973</v>
      </c>
      <c r="E1122" s="423"/>
      <c r="F1122" s="424"/>
      <c r="G1122" s="425"/>
      <c r="H1122" s="651"/>
      <c r="I1122" s="420">
        <v>10.210000000000001</v>
      </c>
      <c r="J1122" s="420">
        <f t="shared" si="304"/>
        <v>10.210000000000001</v>
      </c>
      <c r="K1122" s="421">
        <f t="shared" si="303"/>
        <v>12.13</v>
      </c>
      <c r="L1122" s="647" t="s">
        <v>2065</v>
      </c>
      <c r="M1122" s="576"/>
      <c r="N1122" s="576">
        <f t="shared" si="306"/>
        <v>0</v>
      </c>
      <c r="O1122" s="577">
        <f t="shared" si="300"/>
        <v>0</v>
      </c>
      <c r="P1122" s="578">
        <f t="shared" si="301"/>
        <v>0</v>
      </c>
      <c r="Q1122" s="765"/>
      <c r="R1122" s="576">
        <f t="shared" si="297"/>
        <v>0</v>
      </c>
      <c r="S1122" s="576">
        <f t="shared" si="297"/>
        <v>0</v>
      </c>
      <c r="T1122" s="577">
        <f t="shared" si="298"/>
        <v>0</v>
      </c>
      <c r="U1122" s="578">
        <f t="shared" si="299"/>
        <v>0</v>
      </c>
      <c r="V1122" s="579"/>
      <c r="W1122" s="566"/>
      <c r="X1122" s="586" t="str">
        <f t="shared" si="302"/>
        <v/>
      </c>
      <c r="Y1122" s="586" t="str">
        <f t="shared" si="296"/>
        <v/>
      </c>
      <c r="Z1122" s="586" t="str">
        <f t="shared" si="305"/>
        <v/>
      </c>
    </row>
    <row r="1123" spans="1:26" ht="23.25" hidden="1" thickBot="1" x14ac:dyDescent="0.25">
      <c r="A1123" s="567">
        <v>91885</v>
      </c>
      <c r="B1123" s="644">
        <v>91885</v>
      </c>
      <c r="C1123" s="645" t="s">
        <v>670</v>
      </c>
      <c r="D1123" s="422" t="s">
        <v>974</v>
      </c>
      <c r="E1123" s="423"/>
      <c r="F1123" s="424"/>
      <c r="G1123" s="425"/>
      <c r="H1123" s="651"/>
      <c r="I1123" s="420">
        <v>12.16</v>
      </c>
      <c r="J1123" s="420">
        <f t="shared" si="304"/>
        <v>12.16</v>
      </c>
      <c r="K1123" s="421">
        <f t="shared" si="303"/>
        <v>14.45</v>
      </c>
      <c r="L1123" s="647" t="s">
        <v>2065</v>
      </c>
      <c r="M1123" s="576"/>
      <c r="N1123" s="576">
        <f t="shared" si="306"/>
        <v>0</v>
      </c>
      <c r="O1123" s="577">
        <f t="shared" si="300"/>
        <v>0</v>
      </c>
      <c r="P1123" s="578">
        <f t="shared" si="301"/>
        <v>0</v>
      </c>
      <c r="Q1123" s="765"/>
      <c r="R1123" s="576">
        <f t="shared" si="297"/>
        <v>0</v>
      </c>
      <c r="S1123" s="576">
        <f t="shared" si="297"/>
        <v>0</v>
      </c>
      <c r="T1123" s="577">
        <f t="shared" si="298"/>
        <v>0</v>
      </c>
      <c r="U1123" s="578">
        <f t="shared" si="299"/>
        <v>0</v>
      </c>
      <c r="V1123" s="579"/>
      <c r="W1123" s="566"/>
      <c r="X1123" s="586" t="str">
        <f t="shared" si="302"/>
        <v/>
      </c>
      <c r="Y1123" s="586" t="str">
        <f t="shared" ref="Y1123:Y1186" si="307">IF(W1123="X","x",IF(W1123="y","x",IF(W1123="xx","x",IF(U1123&gt;0,"x",""))))</f>
        <v/>
      </c>
      <c r="Z1123" s="586" t="str">
        <f t="shared" si="305"/>
        <v/>
      </c>
    </row>
    <row r="1124" spans="1:26" ht="23.25" hidden="1" thickBot="1" x14ac:dyDescent="0.25">
      <c r="A1124" s="567">
        <v>91886</v>
      </c>
      <c r="B1124" s="644">
        <v>91886</v>
      </c>
      <c r="C1124" s="645" t="s">
        <v>670</v>
      </c>
      <c r="D1124" s="422" t="s">
        <v>975</v>
      </c>
      <c r="E1124" s="423"/>
      <c r="F1124" s="424"/>
      <c r="G1124" s="425"/>
      <c r="H1124" s="651"/>
      <c r="I1124" s="420">
        <v>15.01</v>
      </c>
      <c r="J1124" s="420">
        <f t="shared" si="304"/>
        <v>15.01</v>
      </c>
      <c r="K1124" s="421">
        <f t="shared" si="303"/>
        <v>17.829999999999998</v>
      </c>
      <c r="L1124" s="647" t="s">
        <v>2065</v>
      </c>
      <c r="M1124" s="576"/>
      <c r="N1124" s="576">
        <f t="shared" si="306"/>
        <v>0</v>
      </c>
      <c r="O1124" s="577">
        <f t="shared" si="300"/>
        <v>0</v>
      </c>
      <c r="P1124" s="578">
        <f t="shared" si="301"/>
        <v>0</v>
      </c>
      <c r="Q1124" s="765"/>
      <c r="R1124" s="576">
        <f t="shared" si="297"/>
        <v>0</v>
      </c>
      <c r="S1124" s="576">
        <f t="shared" si="297"/>
        <v>0</v>
      </c>
      <c r="T1124" s="577">
        <f t="shared" si="298"/>
        <v>0</v>
      </c>
      <c r="U1124" s="578">
        <f t="shared" si="299"/>
        <v>0</v>
      </c>
      <c r="V1124" s="579"/>
      <c r="W1124" s="566"/>
      <c r="X1124" s="586" t="str">
        <f t="shared" si="302"/>
        <v/>
      </c>
      <c r="Y1124" s="586" t="str">
        <f t="shared" si="307"/>
        <v/>
      </c>
      <c r="Z1124" s="586" t="str">
        <f t="shared" si="305"/>
        <v/>
      </c>
    </row>
    <row r="1125" spans="1:26" ht="23.25" hidden="1" thickBot="1" x14ac:dyDescent="0.25">
      <c r="A1125" s="567">
        <v>91887</v>
      </c>
      <c r="B1125" s="644">
        <v>91887</v>
      </c>
      <c r="C1125" s="645" t="s">
        <v>670</v>
      </c>
      <c r="D1125" s="422" t="s">
        <v>976</v>
      </c>
      <c r="E1125" s="423"/>
      <c r="F1125" s="424"/>
      <c r="G1125" s="425"/>
      <c r="H1125" s="651"/>
      <c r="I1125" s="420">
        <v>10.88</v>
      </c>
      <c r="J1125" s="420">
        <f t="shared" si="304"/>
        <v>10.88</v>
      </c>
      <c r="K1125" s="421">
        <f t="shared" si="303"/>
        <v>12.93</v>
      </c>
      <c r="L1125" s="647" t="s">
        <v>2065</v>
      </c>
      <c r="M1125" s="576"/>
      <c r="N1125" s="576">
        <f t="shared" si="306"/>
        <v>0</v>
      </c>
      <c r="O1125" s="577">
        <f t="shared" si="300"/>
        <v>0</v>
      </c>
      <c r="P1125" s="578">
        <f t="shared" si="301"/>
        <v>0</v>
      </c>
      <c r="Q1125" s="765"/>
      <c r="R1125" s="576">
        <f t="shared" si="297"/>
        <v>0</v>
      </c>
      <c r="S1125" s="576">
        <f t="shared" si="297"/>
        <v>0</v>
      </c>
      <c r="T1125" s="577">
        <f t="shared" si="298"/>
        <v>0</v>
      </c>
      <c r="U1125" s="578">
        <f t="shared" si="299"/>
        <v>0</v>
      </c>
      <c r="V1125" s="579"/>
      <c r="W1125" s="566"/>
      <c r="X1125" s="586" t="str">
        <f t="shared" si="302"/>
        <v/>
      </c>
      <c r="Y1125" s="586" t="str">
        <f t="shared" si="307"/>
        <v/>
      </c>
      <c r="Z1125" s="586" t="str">
        <f t="shared" si="305"/>
        <v/>
      </c>
    </row>
    <row r="1126" spans="1:26" ht="23.25" hidden="1" thickBot="1" x14ac:dyDescent="0.25">
      <c r="A1126" s="567">
        <v>91889</v>
      </c>
      <c r="B1126" s="644">
        <v>91889</v>
      </c>
      <c r="C1126" s="645" t="s">
        <v>670</v>
      </c>
      <c r="D1126" s="422" t="s">
        <v>977</v>
      </c>
      <c r="E1126" s="423"/>
      <c r="F1126" s="424"/>
      <c r="G1126" s="425"/>
      <c r="H1126" s="651"/>
      <c r="I1126" s="420">
        <v>10.41</v>
      </c>
      <c r="J1126" s="420">
        <f t="shared" si="304"/>
        <v>10.41</v>
      </c>
      <c r="K1126" s="421">
        <f t="shared" si="303"/>
        <v>12.37</v>
      </c>
      <c r="L1126" s="647" t="s">
        <v>2065</v>
      </c>
      <c r="M1126" s="576"/>
      <c r="N1126" s="576">
        <f t="shared" si="306"/>
        <v>0</v>
      </c>
      <c r="O1126" s="577">
        <f t="shared" si="300"/>
        <v>0</v>
      </c>
      <c r="P1126" s="578">
        <f t="shared" si="301"/>
        <v>0</v>
      </c>
      <c r="Q1126" s="765"/>
      <c r="R1126" s="576">
        <f t="shared" si="297"/>
        <v>0</v>
      </c>
      <c r="S1126" s="576">
        <f t="shared" si="297"/>
        <v>0</v>
      </c>
      <c r="T1126" s="577">
        <f t="shared" si="298"/>
        <v>0</v>
      </c>
      <c r="U1126" s="578">
        <f t="shared" si="299"/>
        <v>0</v>
      </c>
      <c r="V1126" s="579"/>
      <c r="W1126" s="566"/>
      <c r="X1126" s="586" t="str">
        <f t="shared" si="302"/>
        <v/>
      </c>
      <c r="Y1126" s="586" t="str">
        <f t="shared" si="307"/>
        <v/>
      </c>
      <c r="Z1126" s="586" t="str">
        <f t="shared" si="305"/>
        <v/>
      </c>
    </row>
    <row r="1127" spans="1:26" ht="23.25" hidden="1" thickBot="1" x14ac:dyDescent="0.25">
      <c r="A1127" s="567">
        <v>91890</v>
      </c>
      <c r="B1127" s="644">
        <v>91890</v>
      </c>
      <c r="C1127" s="645" t="s">
        <v>670</v>
      </c>
      <c r="D1127" s="422" t="s">
        <v>978</v>
      </c>
      <c r="E1127" s="423"/>
      <c r="F1127" s="424"/>
      <c r="G1127" s="425"/>
      <c r="H1127" s="651"/>
      <c r="I1127" s="420">
        <v>12.77</v>
      </c>
      <c r="J1127" s="420">
        <f t="shared" si="304"/>
        <v>12.77</v>
      </c>
      <c r="K1127" s="421">
        <f t="shared" si="303"/>
        <v>15.17</v>
      </c>
      <c r="L1127" s="647" t="s">
        <v>2065</v>
      </c>
      <c r="M1127" s="576"/>
      <c r="N1127" s="576">
        <f t="shared" si="306"/>
        <v>0</v>
      </c>
      <c r="O1127" s="577">
        <f t="shared" si="300"/>
        <v>0</v>
      </c>
      <c r="P1127" s="578">
        <f t="shared" si="301"/>
        <v>0</v>
      </c>
      <c r="Q1127" s="765"/>
      <c r="R1127" s="576">
        <f t="shared" si="297"/>
        <v>0</v>
      </c>
      <c r="S1127" s="576">
        <f t="shared" si="297"/>
        <v>0</v>
      </c>
      <c r="T1127" s="577">
        <f t="shared" si="298"/>
        <v>0</v>
      </c>
      <c r="U1127" s="578">
        <f t="shared" si="299"/>
        <v>0</v>
      </c>
      <c r="V1127" s="579"/>
      <c r="W1127" s="566"/>
      <c r="X1127" s="586" t="str">
        <f t="shared" si="302"/>
        <v/>
      </c>
      <c r="Y1127" s="586" t="str">
        <f t="shared" si="307"/>
        <v/>
      </c>
      <c r="Z1127" s="586" t="str">
        <f t="shared" si="305"/>
        <v/>
      </c>
    </row>
    <row r="1128" spans="1:26" ht="23.25" hidden="1" thickBot="1" x14ac:dyDescent="0.25">
      <c r="A1128" s="567">
        <v>91892</v>
      </c>
      <c r="B1128" s="644">
        <v>91892</v>
      </c>
      <c r="C1128" s="645" t="s">
        <v>670</v>
      </c>
      <c r="D1128" s="422" t="s">
        <v>979</v>
      </c>
      <c r="E1128" s="423"/>
      <c r="F1128" s="424"/>
      <c r="G1128" s="425"/>
      <c r="H1128" s="651"/>
      <c r="I1128" s="420">
        <v>15.93</v>
      </c>
      <c r="J1128" s="420">
        <f t="shared" si="304"/>
        <v>15.93</v>
      </c>
      <c r="K1128" s="421">
        <f t="shared" si="303"/>
        <v>18.93</v>
      </c>
      <c r="L1128" s="647" t="s">
        <v>2065</v>
      </c>
      <c r="M1128" s="576"/>
      <c r="N1128" s="576">
        <f t="shared" si="306"/>
        <v>0</v>
      </c>
      <c r="O1128" s="577">
        <f t="shared" si="300"/>
        <v>0</v>
      </c>
      <c r="P1128" s="578">
        <f t="shared" si="301"/>
        <v>0</v>
      </c>
      <c r="Q1128" s="765"/>
      <c r="R1128" s="576">
        <f t="shared" si="297"/>
        <v>0</v>
      </c>
      <c r="S1128" s="576">
        <f t="shared" si="297"/>
        <v>0</v>
      </c>
      <c r="T1128" s="577">
        <f t="shared" si="298"/>
        <v>0</v>
      </c>
      <c r="U1128" s="578">
        <f t="shared" si="299"/>
        <v>0</v>
      </c>
      <c r="V1128" s="579"/>
      <c r="W1128" s="566"/>
      <c r="X1128" s="586" t="str">
        <f t="shared" si="302"/>
        <v/>
      </c>
      <c r="Y1128" s="586" t="str">
        <f t="shared" si="307"/>
        <v/>
      </c>
      <c r="Z1128" s="586" t="str">
        <f t="shared" si="305"/>
        <v/>
      </c>
    </row>
    <row r="1129" spans="1:26" ht="23.25" hidden="1" thickBot="1" x14ac:dyDescent="0.25">
      <c r="A1129" s="567">
        <v>91893</v>
      </c>
      <c r="B1129" s="644">
        <v>91893</v>
      </c>
      <c r="C1129" s="645" t="s">
        <v>670</v>
      </c>
      <c r="D1129" s="422" t="s">
        <v>980</v>
      </c>
      <c r="E1129" s="423"/>
      <c r="F1129" s="424"/>
      <c r="G1129" s="425"/>
      <c r="H1129" s="651"/>
      <c r="I1129" s="420">
        <v>17.61</v>
      </c>
      <c r="J1129" s="420">
        <f t="shared" si="304"/>
        <v>17.61</v>
      </c>
      <c r="K1129" s="421">
        <f t="shared" si="303"/>
        <v>20.92</v>
      </c>
      <c r="L1129" s="647" t="s">
        <v>2065</v>
      </c>
      <c r="M1129" s="576"/>
      <c r="N1129" s="576">
        <f t="shared" si="306"/>
        <v>0</v>
      </c>
      <c r="O1129" s="577">
        <f t="shared" si="300"/>
        <v>0</v>
      </c>
      <c r="P1129" s="578">
        <f t="shared" si="301"/>
        <v>0</v>
      </c>
      <c r="Q1129" s="765"/>
      <c r="R1129" s="576">
        <f t="shared" si="297"/>
        <v>0</v>
      </c>
      <c r="S1129" s="576">
        <f t="shared" si="297"/>
        <v>0</v>
      </c>
      <c r="T1129" s="577">
        <f t="shared" si="298"/>
        <v>0</v>
      </c>
      <c r="U1129" s="578">
        <f t="shared" si="299"/>
        <v>0</v>
      </c>
      <c r="V1129" s="579"/>
      <c r="W1129" s="566"/>
      <c r="X1129" s="586" t="str">
        <f t="shared" si="302"/>
        <v/>
      </c>
      <c r="Y1129" s="586" t="str">
        <f t="shared" si="307"/>
        <v/>
      </c>
      <c r="Z1129" s="586" t="str">
        <f t="shared" si="305"/>
        <v/>
      </c>
    </row>
    <row r="1130" spans="1:26" ht="23.25" hidden="1" thickBot="1" x14ac:dyDescent="0.25">
      <c r="A1130" s="567">
        <v>91896</v>
      </c>
      <c r="B1130" s="644">
        <v>91896</v>
      </c>
      <c r="C1130" s="645" t="s">
        <v>670</v>
      </c>
      <c r="D1130" s="422" t="s">
        <v>981</v>
      </c>
      <c r="E1130" s="423"/>
      <c r="F1130" s="424"/>
      <c r="G1130" s="425"/>
      <c r="H1130" s="651"/>
      <c r="I1130" s="420">
        <v>21.34</v>
      </c>
      <c r="J1130" s="420">
        <f t="shared" si="304"/>
        <v>21.34</v>
      </c>
      <c r="K1130" s="421">
        <f t="shared" si="303"/>
        <v>25.35</v>
      </c>
      <c r="L1130" s="647" t="s">
        <v>2065</v>
      </c>
      <c r="M1130" s="576"/>
      <c r="N1130" s="576">
        <f t="shared" si="306"/>
        <v>0</v>
      </c>
      <c r="O1130" s="577">
        <f t="shared" si="300"/>
        <v>0</v>
      </c>
      <c r="P1130" s="578">
        <f t="shared" si="301"/>
        <v>0</v>
      </c>
      <c r="Q1130" s="765"/>
      <c r="R1130" s="576">
        <f t="shared" si="297"/>
        <v>0</v>
      </c>
      <c r="S1130" s="576">
        <f t="shared" si="297"/>
        <v>0</v>
      </c>
      <c r="T1130" s="577">
        <f t="shared" si="298"/>
        <v>0</v>
      </c>
      <c r="U1130" s="578">
        <f t="shared" si="299"/>
        <v>0</v>
      </c>
      <c r="V1130" s="579"/>
      <c r="W1130" s="566"/>
      <c r="X1130" s="586" t="str">
        <f t="shared" si="302"/>
        <v/>
      </c>
      <c r="Y1130" s="586" t="str">
        <f t="shared" si="307"/>
        <v/>
      </c>
      <c r="Z1130" s="586" t="str">
        <f t="shared" si="305"/>
        <v/>
      </c>
    </row>
    <row r="1131" spans="1:26" ht="23.25" hidden="1" thickBot="1" x14ac:dyDescent="0.25">
      <c r="A1131" s="567">
        <v>91898</v>
      </c>
      <c r="B1131" s="644">
        <v>91898</v>
      </c>
      <c r="C1131" s="645" t="s">
        <v>670</v>
      </c>
      <c r="D1131" s="422" t="s">
        <v>982</v>
      </c>
      <c r="E1131" s="423"/>
      <c r="F1131" s="424"/>
      <c r="G1131" s="425"/>
      <c r="H1131" s="651"/>
      <c r="I1131" s="420">
        <v>24.78</v>
      </c>
      <c r="J1131" s="420">
        <f t="shared" si="304"/>
        <v>24.78</v>
      </c>
      <c r="K1131" s="421">
        <f t="shared" si="303"/>
        <v>29.44</v>
      </c>
      <c r="L1131" s="647" t="s">
        <v>2065</v>
      </c>
      <c r="M1131" s="576"/>
      <c r="N1131" s="576">
        <f t="shared" si="306"/>
        <v>0</v>
      </c>
      <c r="O1131" s="577">
        <f t="shared" si="300"/>
        <v>0</v>
      </c>
      <c r="P1131" s="578">
        <f t="shared" si="301"/>
        <v>0</v>
      </c>
      <c r="Q1131" s="765"/>
      <c r="R1131" s="576">
        <f t="shared" si="297"/>
        <v>0</v>
      </c>
      <c r="S1131" s="576">
        <f t="shared" si="297"/>
        <v>0</v>
      </c>
      <c r="T1131" s="577">
        <f t="shared" si="298"/>
        <v>0</v>
      </c>
      <c r="U1131" s="578">
        <f t="shared" si="299"/>
        <v>0</v>
      </c>
      <c r="V1131" s="579"/>
      <c r="W1131" s="566"/>
      <c r="X1131" s="586" t="str">
        <f t="shared" si="302"/>
        <v/>
      </c>
      <c r="Y1131" s="586" t="str">
        <f t="shared" si="307"/>
        <v/>
      </c>
      <c r="Z1131" s="586" t="str">
        <f t="shared" si="305"/>
        <v/>
      </c>
    </row>
    <row r="1132" spans="1:26" ht="23.25" hidden="1" thickBot="1" x14ac:dyDescent="0.25">
      <c r="A1132" s="567">
        <v>91899</v>
      </c>
      <c r="B1132" s="644">
        <v>91899</v>
      </c>
      <c r="C1132" s="645" t="s">
        <v>670</v>
      </c>
      <c r="D1132" s="422" t="s">
        <v>983</v>
      </c>
      <c r="E1132" s="423"/>
      <c r="F1132" s="424"/>
      <c r="G1132" s="425"/>
      <c r="H1132" s="651"/>
      <c r="I1132" s="420">
        <v>13.07</v>
      </c>
      <c r="J1132" s="420">
        <f t="shared" si="304"/>
        <v>13.07</v>
      </c>
      <c r="K1132" s="421">
        <f t="shared" si="303"/>
        <v>15.53</v>
      </c>
      <c r="L1132" s="647" t="s">
        <v>2065</v>
      </c>
      <c r="M1132" s="576"/>
      <c r="N1132" s="576">
        <f t="shared" si="306"/>
        <v>0</v>
      </c>
      <c r="O1132" s="577">
        <f t="shared" si="300"/>
        <v>0</v>
      </c>
      <c r="P1132" s="578">
        <f t="shared" si="301"/>
        <v>0</v>
      </c>
      <c r="Q1132" s="765"/>
      <c r="R1132" s="576">
        <f t="shared" si="297"/>
        <v>0</v>
      </c>
      <c r="S1132" s="576">
        <f t="shared" si="297"/>
        <v>0</v>
      </c>
      <c r="T1132" s="577">
        <f t="shared" si="298"/>
        <v>0</v>
      </c>
      <c r="U1132" s="578">
        <f t="shared" si="299"/>
        <v>0</v>
      </c>
      <c r="V1132" s="579"/>
      <c r="W1132" s="566"/>
      <c r="X1132" s="586" t="str">
        <f t="shared" si="302"/>
        <v/>
      </c>
      <c r="Y1132" s="586" t="str">
        <f t="shared" si="307"/>
        <v/>
      </c>
      <c r="Z1132" s="586" t="str">
        <f t="shared" si="305"/>
        <v/>
      </c>
    </row>
    <row r="1133" spans="1:26" ht="23.25" hidden="1" thickBot="1" x14ac:dyDescent="0.25">
      <c r="A1133" s="567">
        <v>91901</v>
      </c>
      <c r="B1133" s="644">
        <v>91901</v>
      </c>
      <c r="C1133" s="645" t="s">
        <v>670</v>
      </c>
      <c r="D1133" s="422" t="s">
        <v>984</v>
      </c>
      <c r="E1133" s="423"/>
      <c r="F1133" s="424"/>
      <c r="G1133" s="425"/>
      <c r="H1133" s="651"/>
      <c r="I1133" s="420">
        <v>12.6</v>
      </c>
      <c r="J1133" s="420">
        <f t="shared" si="304"/>
        <v>12.6</v>
      </c>
      <c r="K1133" s="421">
        <f t="shared" si="303"/>
        <v>14.97</v>
      </c>
      <c r="L1133" s="647" t="s">
        <v>2065</v>
      </c>
      <c r="M1133" s="576"/>
      <c r="N1133" s="576">
        <f t="shared" si="306"/>
        <v>0</v>
      </c>
      <c r="O1133" s="577">
        <f t="shared" si="300"/>
        <v>0</v>
      </c>
      <c r="P1133" s="578">
        <f t="shared" si="301"/>
        <v>0</v>
      </c>
      <c r="Q1133" s="765"/>
      <c r="R1133" s="576">
        <f t="shared" si="297"/>
        <v>0</v>
      </c>
      <c r="S1133" s="576">
        <f t="shared" si="297"/>
        <v>0</v>
      </c>
      <c r="T1133" s="577">
        <f t="shared" si="298"/>
        <v>0</v>
      </c>
      <c r="U1133" s="578">
        <f t="shared" si="299"/>
        <v>0</v>
      </c>
      <c r="V1133" s="579"/>
      <c r="W1133" s="566"/>
      <c r="X1133" s="586" t="str">
        <f t="shared" si="302"/>
        <v/>
      </c>
      <c r="Y1133" s="586" t="str">
        <f t="shared" si="307"/>
        <v/>
      </c>
      <c r="Z1133" s="586" t="str">
        <f t="shared" si="305"/>
        <v/>
      </c>
    </row>
    <row r="1134" spans="1:26" ht="23.25" hidden="1" thickBot="1" x14ac:dyDescent="0.25">
      <c r="A1134" s="567">
        <v>91902</v>
      </c>
      <c r="B1134" s="644">
        <v>91902</v>
      </c>
      <c r="C1134" s="645" t="s">
        <v>670</v>
      </c>
      <c r="D1134" s="422" t="s">
        <v>985</v>
      </c>
      <c r="E1134" s="423"/>
      <c r="F1134" s="424"/>
      <c r="G1134" s="425"/>
      <c r="H1134" s="651"/>
      <c r="I1134" s="420">
        <v>14.96</v>
      </c>
      <c r="J1134" s="420">
        <f t="shared" si="304"/>
        <v>14.96</v>
      </c>
      <c r="K1134" s="421">
        <f t="shared" si="303"/>
        <v>17.77</v>
      </c>
      <c r="L1134" s="647" t="s">
        <v>2065</v>
      </c>
      <c r="M1134" s="576"/>
      <c r="N1134" s="576">
        <f t="shared" si="306"/>
        <v>0</v>
      </c>
      <c r="O1134" s="577">
        <f t="shared" si="300"/>
        <v>0</v>
      </c>
      <c r="P1134" s="578">
        <f t="shared" si="301"/>
        <v>0</v>
      </c>
      <c r="Q1134" s="765"/>
      <c r="R1134" s="576">
        <f t="shared" si="297"/>
        <v>0</v>
      </c>
      <c r="S1134" s="576">
        <f t="shared" si="297"/>
        <v>0</v>
      </c>
      <c r="T1134" s="577">
        <f t="shared" si="298"/>
        <v>0</v>
      </c>
      <c r="U1134" s="578">
        <f t="shared" si="299"/>
        <v>0</v>
      </c>
      <c r="V1134" s="579"/>
      <c r="W1134" s="566"/>
      <c r="X1134" s="586" t="str">
        <f t="shared" si="302"/>
        <v/>
      </c>
      <c r="Y1134" s="586" t="str">
        <f t="shared" si="307"/>
        <v/>
      </c>
      <c r="Z1134" s="586" t="str">
        <f t="shared" si="305"/>
        <v/>
      </c>
    </row>
    <row r="1135" spans="1:26" ht="23.25" hidden="1" thickBot="1" x14ac:dyDescent="0.25">
      <c r="A1135" s="567">
        <v>91895</v>
      </c>
      <c r="B1135" s="644">
        <v>91895</v>
      </c>
      <c r="C1135" s="645" t="s">
        <v>670</v>
      </c>
      <c r="D1135" s="422" t="s">
        <v>986</v>
      </c>
      <c r="E1135" s="423"/>
      <c r="F1135" s="424"/>
      <c r="G1135" s="425"/>
      <c r="H1135" s="651"/>
      <c r="I1135" s="420">
        <v>20.83</v>
      </c>
      <c r="J1135" s="420">
        <f t="shared" si="304"/>
        <v>20.83</v>
      </c>
      <c r="K1135" s="421">
        <f t="shared" si="303"/>
        <v>24.75</v>
      </c>
      <c r="L1135" s="647" t="s">
        <v>2065</v>
      </c>
      <c r="M1135" s="576"/>
      <c r="N1135" s="576">
        <f t="shared" si="306"/>
        <v>0</v>
      </c>
      <c r="O1135" s="577">
        <f t="shared" si="300"/>
        <v>0</v>
      </c>
      <c r="P1135" s="578">
        <f t="shared" si="301"/>
        <v>0</v>
      </c>
      <c r="Q1135" s="765"/>
      <c r="R1135" s="576">
        <f t="shared" si="297"/>
        <v>0</v>
      </c>
      <c r="S1135" s="576">
        <f t="shared" si="297"/>
        <v>0</v>
      </c>
      <c r="T1135" s="577">
        <f t="shared" si="298"/>
        <v>0</v>
      </c>
      <c r="U1135" s="578">
        <f t="shared" si="299"/>
        <v>0</v>
      </c>
      <c r="V1135" s="579"/>
      <c r="W1135" s="566"/>
      <c r="X1135" s="586" t="str">
        <f t="shared" si="302"/>
        <v/>
      </c>
      <c r="Y1135" s="586" t="str">
        <f t="shared" si="307"/>
        <v/>
      </c>
      <c r="Z1135" s="586" t="str">
        <f t="shared" si="305"/>
        <v/>
      </c>
    </row>
    <row r="1136" spans="1:26" ht="23.25" hidden="1" thickBot="1" x14ac:dyDescent="0.25">
      <c r="A1136" s="567">
        <v>91907</v>
      </c>
      <c r="B1136" s="644">
        <v>91907</v>
      </c>
      <c r="C1136" s="645" t="s">
        <v>670</v>
      </c>
      <c r="D1136" s="422" t="s">
        <v>987</v>
      </c>
      <c r="E1136" s="423"/>
      <c r="F1136" s="424"/>
      <c r="G1136" s="425"/>
      <c r="H1136" s="651"/>
      <c r="I1136" s="420">
        <v>23.02</v>
      </c>
      <c r="J1136" s="420">
        <f t="shared" si="304"/>
        <v>23.02</v>
      </c>
      <c r="K1136" s="421">
        <f t="shared" si="303"/>
        <v>27.35</v>
      </c>
      <c r="L1136" s="647" t="s">
        <v>2065</v>
      </c>
      <c r="M1136" s="576"/>
      <c r="N1136" s="576">
        <f t="shared" si="306"/>
        <v>0</v>
      </c>
      <c r="O1136" s="577">
        <f t="shared" si="300"/>
        <v>0</v>
      </c>
      <c r="P1136" s="578">
        <f t="shared" si="301"/>
        <v>0</v>
      </c>
      <c r="Q1136" s="765"/>
      <c r="R1136" s="576">
        <f t="shared" si="297"/>
        <v>0</v>
      </c>
      <c r="S1136" s="576">
        <f t="shared" si="297"/>
        <v>0</v>
      </c>
      <c r="T1136" s="577">
        <f t="shared" si="298"/>
        <v>0</v>
      </c>
      <c r="U1136" s="578">
        <f t="shared" si="299"/>
        <v>0</v>
      </c>
      <c r="V1136" s="579"/>
      <c r="W1136" s="566"/>
      <c r="X1136" s="586" t="str">
        <f t="shared" si="302"/>
        <v/>
      </c>
      <c r="Y1136" s="586" t="str">
        <f t="shared" si="307"/>
        <v/>
      </c>
      <c r="Z1136" s="586" t="str">
        <f t="shared" si="305"/>
        <v/>
      </c>
    </row>
    <row r="1137" spans="1:26" ht="23.25" hidden="1" thickBot="1" x14ac:dyDescent="0.25">
      <c r="A1137" s="567">
        <v>91919</v>
      </c>
      <c r="B1137" s="644">
        <v>91919</v>
      </c>
      <c r="C1137" s="645" t="s">
        <v>670</v>
      </c>
      <c r="D1137" s="422" t="s">
        <v>988</v>
      </c>
      <c r="E1137" s="423"/>
      <c r="F1137" s="424"/>
      <c r="G1137" s="425"/>
      <c r="H1137" s="651"/>
      <c r="I1137" s="420">
        <v>24.16</v>
      </c>
      <c r="J1137" s="420">
        <f t="shared" si="304"/>
        <v>24.16</v>
      </c>
      <c r="K1137" s="421">
        <f t="shared" si="303"/>
        <v>28.7</v>
      </c>
      <c r="L1137" s="647" t="s">
        <v>2065</v>
      </c>
      <c r="M1137" s="576"/>
      <c r="N1137" s="576">
        <f t="shared" si="306"/>
        <v>0</v>
      </c>
      <c r="O1137" s="577">
        <f t="shared" si="300"/>
        <v>0</v>
      </c>
      <c r="P1137" s="578">
        <f t="shared" si="301"/>
        <v>0</v>
      </c>
      <c r="Q1137" s="765"/>
      <c r="R1137" s="576">
        <f t="shared" si="297"/>
        <v>0</v>
      </c>
      <c r="S1137" s="576">
        <f t="shared" si="297"/>
        <v>0</v>
      </c>
      <c r="T1137" s="577">
        <f t="shared" si="298"/>
        <v>0</v>
      </c>
      <c r="U1137" s="578">
        <f t="shared" si="299"/>
        <v>0</v>
      </c>
      <c r="V1137" s="579"/>
      <c r="W1137" s="566"/>
      <c r="X1137" s="586" t="str">
        <f t="shared" si="302"/>
        <v/>
      </c>
      <c r="Y1137" s="586" t="str">
        <f t="shared" si="307"/>
        <v/>
      </c>
      <c r="Z1137" s="586" t="str">
        <f t="shared" si="305"/>
        <v/>
      </c>
    </row>
    <row r="1138" spans="1:26" ht="23.25" hidden="1" thickBot="1" x14ac:dyDescent="0.25">
      <c r="A1138" s="567">
        <v>91904</v>
      </c>
      <c r="B1138" s="644">
        <v>91904</v>
      </c>
      <c r="C1138" s="645" t="s">
        <v>670</v>
      </c>
      <c r="D1138" s="422" t="s">
        <v>989</v>
      </c>
      <c r="E1138" s="423"/>
      <c r="F1138" s="424"/>
      <c r="G1138" s="425"/>
      <c r="H1138" s="651"/>
      <c r="I1138" s="420">
        <v>18.12</v>
      </c>
      <c r="J1138" s="420">
        <f t="shared" si="304"/>
        <v>18.12</v>
      </c>
      <c r="K1138" s="421">
        <f t="shared" si="303"/>
        <v>21.53</v>
      </c>
      <c r="L1138" s="647" t="s">
        <v>2065</v>
      </c>
      <c r="M1138" s="576"/>
      <c r="N1138" s="576">
        <f t="shared" si="306"/>
        <v>0</v>
      </c>
      <c r="O1138" s="577">
        <f t="shared" si="300"/>
        <v>0</v>
      </c>
      <c r="P1138" s="578">
        <f t="shared" si="301"/>
        <v>0</v>
      </c>
      <c r="Q1138" s="765"/>
      <c r="R1138" s="576">
        <f t="shared" si="297"/>
        <v>0</v>
      </c>
      <c r="S1138" s="576">
        <f t="shared" si="297"/>
        <v>0</v>
      </c>
      <c r="T1138" s="577">
        <f t="shared" si="298"/>
        <v>0</v>
      </c>
      <c r="U1138" s="578">
        <f t="shared" si="299"/>
        <v>0</v>
      </c>
      <c r="V1138" s="579"/>
      <c r="W1138" s="566"/>
      <c r="X1138" s="586" t="str">
        <f t="shared" si="302"/>
        <v/>
      </c>
      <c r="Y1138" s="586" t="str">
        <f t="shared" si="307"/>
        <v/>
      </c>
      <c r="Z1138" s="586" t="str">
        <f t="shared" si="305"/>
        <v/>
      </c>
    </row>
    <row r="1139" spans="1:26" ht="23.25" hidden="1" thickBot="1" x14ac:dyDescent="0.25">
      <c r="A1139" s="567">
        <v>91905</v>
      </c>
      <c r="B1139" s="644">
        <v>91905</v>
      </c>
      <c r="C1139" s="645" t="s">
        <v>670</v>
      </c>
      <c r="D1139" s="422" t="s">
        <v>990</v>
      </c>
      <c r="E1139" s="423"/>
      <c r="F1139" s="424"/>
      <c r="G1139" s="425"/>
      <c r="H1139" s="651"/>
      <c r="I1139" s="420">
        <v>19.8</v>
      </c>
      <c r="J1139" s="420">
        <f t="shared" si="304"/>
        <v>19.8</v>
      </c>
      <c r="K1139" s="421">
        <f t="shared" si="303"/>
        <v>23.52</v>
      </c>
      <c r="L1139" s="647" t="s">
        <v>2065</v>
      </c>
      <c r="M1139" s="576"/>
      <c r="N1139" s="576">
        <f t="shared" si="306"/>
        <v>0</v>
      </c>
      <c r="O1139" s="577">
        <f t="shared" si="300"/>
        <v>0</v>
      </c>
      <c r="P1139" s="578">
        <f t="shared" si="301"/>
        <v>0</v>
      </c>
      <c r="Q1139" s="765"/>
      <c r="R1139" s="576">
        <f t="shared" si="297"/>
        <v>0</v>
      </c>
      <c r="S1139" s="576">
        <f t="shared" si="297"/>
        <v>0</v>
      </c>
      <c r="T1139" s="577">
        <f t="shared" si="298"/>
        <v>0</v>
      </c>
      <c r="U1139" s="578">
        <f t="shared" si="299"/>
        <v>0</v>
      </c>
      <c r="V1139" s="579"/>
      <c r="W1139" s="566"/>
      <c r="X1139" s="586" t="str">
        <f t="shared" si="302"/>
        <v/>
      </c>
      <c r="Y1139" s="586" t="str">
        <f t="shared" si="307"/>
        <v/>
      </c>
      <c r="Z1139" s="586" t="str">
        <f t="shared" si="305"/>
        <v/>
      </c>
    </row>
    <row r="1140" spans="1:26" ht="23.25" hidden="1" thickBot="1" x14ac:dyDescent="0.25">
      <c r="A1140" s="567">
        <v>91908</v>
      </c>
      <c r="B1140" s="644">
        <v>91908</v>
      </c>
      <c r="C1140" s="645" t="s">
        <v>670</v>
      </c>
      <c r="D1140" s="422" t="s">
        <v>991</v>
      </c>
      <c r="E1140" s="423"/>
      <c r="F1140" s="424"/>
      <c r="G1140" s="425"/>
      <c r="H1140" s="651"/>
      <c r="I1140" s="420">
        <v>23.58</v>
      </c>
      <c r="J1140" s="420">
        <f t="shared" si="304"/>
        <v>23.58</v>
      </c>
      <c r="K1140" s="421">
        <f t="shared" si="303"/>
        <v>28.02</v>
      </c>
      <c r="L1140" s="647" t="s">
        <v>2065</v>
      </c>
      <c r="M1140" s="576"/>
      <c r="N1140" s="576">
        <f t="shared" si="306"/>
        <v>0</v>
      </c>
      <c r="O1140" s="577">
        <f t="shared" si="300"/>
        <v>0</v>
      </c>
      <c r="P1140" s="578">
        <f t="shared" si="301"/>
        <v>0</v>
      </c>
      <c r="Q1140" s="765"/>
      <c r="R1140" s="576">
        <f t="shared" ref="R1140:S1203" si="308">M1140</f>
        <v>0</v>
      </c>
      <c r="S1140" s="576">
        <f t="shared" si="308"/>
        <v>0</v>
      </c>
      <c r="T1140" s="577">
        <f t="shared" ref="T1140:T1203" si="309">IF(ISBLANK(R1140),0,ROUND(K1140*R1140,2))</f>
        <v>0</v>
      </c>
      <c r="U1140" s="578">
        <f t="shared" ref="U1140:U1203" si="310">IF(ISBLANK(R1140),0,ROUND(R1140*S1140,2))</f>
        <v>0</v>
      </c>
      <c r="V1140" s="579"/>
      <c r="W1140" s="566"/>
      <c r="X1140" s="586" t="str">
        <f t="shared" si="302"/>
        <v/>
      </c>
      <c r="Y1140" s="586" t="str">
        <f t="shared" si="307"/>
        <v/>
      </c>
      <c r="Z1140" s="586" t="str">
        <f t="shared" si="305"/>
        <v/>
      </c>
    </row>
    <row r="1141" spans="1:26" ht="23.25" hidden="1" thickBot="1" x14ac:dyDescent="0.25">
      <c r="A1141" s="567">
        <v>91910</v>
      </c>
      <c r="B1141" s="644">
        <v>91910</v>
      </c>
      <c r="C1141" s="645" t="s">
        <v>670</v>
      </c>
      <c r="D1141" s="422" t="s">
        <v>992</v>
      </c>
      <c r="E1141" s="423"/>
      <c r="F1141" s="424"/>
      <c r="G1141" s="425"/>
      <c r="H1141" s="651"/>
      <c r="I1141" s="420">
        <v>27.02</v>
      </c>
      <c r="J1141" s="420">
        <f t="shared" si="304"/>
        <v>27.02</v>
      </c>
      <c r="K1141" s="421">
        <f t="shared" si="303"/>
        <v>32.1</v>
      </c>
      <c r="L1141" s="647" t="s">
        <v>2065</v>
      </c>
      <c r="M1141" s="576"/>
      <c r="N1141" s="576">
        <f t="shared" si="306"/>
        <v>0</v>
      </c>
      <c r="O1141" s="577">
        <f t="shared" ref="O1141:O1204" si="311">IF(ISBLANK(M1141),0,ROUND(K1141*M1141,2))</f>
        <v>0</v>
      </c>
      <c r="P1141" s="578">
        <f t="shared" ref="P1141:P1204" si="312">IF(ISBLANK(N1141),0,ROUND(M1141*N1141,2))</f>
        <v>0</v>
      </c>
      <c r="Q1141" s="765"/>
      <c r="R1141" s="576">
        <f t="shared" si="308"/>
        <v>0</v>
      </c>
      <c r="S1141" s="576">
        <f t="shared" si="308"/>
        <v>0</v>
      </c>
      <c r="T1141" s="577">
        <f t="shared" si="309"/>
        <v>0</v>
      </c>
      <c r="U1141" s="578">
        <f t="shared" si="310"/>
        <v>0</v>
      </c>
      <c r="V1141" s="579"/>
      <c r="W1141" s="566"/>
      <c r="X1141" s="586" t="str">
        <f t="shared" si="302"/>
        <v/>
      </c>
      <c r="Y1141" s="586" t="str">
        <f t="shared" si="307"/>
        <v/>
      </c>
      <c r="Z1141" s="586" t="str">
        <f t="shared" si="305"/>
        <v/>
      </c>
    </row>
    <row r="1142" spans="1:26" ht="23.25" hidden="1" thickBot="1" x14ac:dyDescent="0.25">
      <c r="A1142" s="567">
        <v>91911</v>
      </c>
      <c r="B1142" s="644">
        <v>91911</v>
      </c>
      <c r="C1142" s="645" t="s">
        <v>670</v>
      </c>
      <c r="D1142" s="422" t="s">
        <v>993</v>
      </c>
      <c r="E1142" s="423"/>
      <c r="F1142" s="424"/>
      <c r="G1142" s="425"/>
      <c r="H1142" s="651"/>
      <c r="I1142" s="420">
        <v>15.58</v>
      </c>
      <c r="J1142" s="420">
        <f t="shared" si="304"/>
        <v>15.58</v>
      </c>
      <c r="K1142" s="421">
        <f t="shared" si="303"/>
        <v>18.510000000000002</v>
      </c>
      <c r="L1142" s="647" t="s">
        <v>2065</v>
      </c>
      <c r="M1142" s="576"/>
      <c r="N1142" s="576">
        <f t="shared" si="306"/>
        <v>0</v>
      </c>
      <c r="O1142" s="577">
        <f t="shared" si="311"/>
        <v>0</v>
      </c>
      <c r="P1142" s="578">
        <f t="shared" si="312"/>
        <v>0</v>
      </c>
      <c r="Q1142" s="765"/>
      <c r="R1142" s="576">
        <f t="shared" si="308"/>
        <v>0</v>
      </c>
      <c r="S1142" s="576">
        <f t="shared" si="308"/>
        <v>0</v>
      </c>
      <c r="T1142" s="577">
        <f t="shared" si="309"/>
        <v>0</v>
      </c>
      <c r="U1142" s="578">
        <f t="shared" si="310"/>
        <v>0</v>
      </c>
      <c r="V1142" s="579"/>
      <c r="W1142" s="566"/>
      <c r="X1142" s="586" t="str">
        <f t="shared" si="302"/>
        <v/>
      </c>
      <c r="Y1142" s="586" t="str">
        <f t="shared" si="307"/>
        <v/>
      </c>
      <c r="Z1142" s="586" t="str">
        <f t="shared" si="305"/>
        <v/>
      </c>
    </row>
    <row r="1143" spans="1:26" ht="23.25" hidden="1" thickBot="1" x14ac:dyDescent="0.25">
      <c r="A1143" s="567">
        <v>91913</v>
      </c>
      <c r="B1143" s="644">
        <v>91913</v>
      </c>
      <c r="C1143" s="645" t="s">
        <v>670</v>
      </c>
      <c r="D1143" s="422" t="s">
        <v>994</v>
      </c>
      <c r="E1143" s="423"/>
      <c r="F1143" s="424"/>
      <c r="G1143" s="425"/>
      <c r="H1143" s="651"/>
      <c r="I1143" s="420">
        <v>15.11</v>
      </c>
      <c r="J1143" s="420">
        <f t="shared" si="304"/>
        <v>15.11</v>
      </c>
      <c r="K1143" s="421">
        <f t="shared" si="303"/>
        <v>17.95</v>
      </c>
      <c r="L1143" s="647" t="s">
        <v>2065</v>
      </c>
      <c r="M1143" s="576"/>
      <c r="N1143" s="576">
        <f t="shared" si="306"/>
        <v>0</v>
      </c>
      <c r="O1143" s="577">
        <f t="shared" si="311"/>
        <v>0</v>
      </c>
      <c r="P1143" s="578">
        <f t="shared" si="312"/>
        <v>0</v>
      </c>
      <c r="Q1143" s="765"/>
      <c r="R1143" s="576">
        <f t="shared" si="308"/>
        <v>0</v>
      </c>
      <c r="S1143" s="576">
        <f t="shared" si="308"/>
        <v>0</v>
      </c>
      <c r="T1143" s="577">
        <f t="shared" si="309"/>
        <v>0</v>
      </c>
      <c r="U1143" s="578">
        <f t="shared" si="310"/>
        <v>0</v>
      </c>
      <c r="V1143" s="579"/>
      <c r="W1143" s="566"/>
      <c r="X1143" s="586" t="str">
        <f t="shared" si="302"/>
        <v/>
      </c>
      <c r="Y1143" s="586" t="str">
        <f t="shared" si="307"/>
        <v/>
      </c>
      <c r="Z1143" s="586" t="str">
        <f t="shared" si="305"/>
        <v/>
      </c>
    </row>
    <row r="1144" spans="1:26" ht="23.25" hidden="1" thickBot="1" x14ac:dyDescent="0.25">
      <c r="A1144" s="567">
        <v>91914</v>
      </c>
      <c r="B1144" s="644">
        <v>91914</v>
      </c>
      <c r="C1144" s="645" t="s">
        <v>670</v>
      </c>
      <c r="D1144" s="422" t="s">
        <v>995</v>
      </c>
      <c r="E1144" s="423"/>
      <c r="F1144" s="424"/>
      <c r="G1144" s="425"/>
      <c r="H1144" s="651"/>
      <c r="I1144" s="420">
        <v>16.89</v>
      </c>
      <c r="J1144" s="420">
        <f t="shared" si="304"/>
        <v>16.89</v>
      </c>
      <c r="K1144" s="421">
        <f t="shared" si="303"/>
        <v>20.07</v>
      </c>
      <c r="L1144" s="647" t="s">
        <v>2065</v>
      </c>
      <c r="M1144" s="576"/>
      <c r="N1144" s="576">
        <f t="shared" si="306"/>
        <v>0</v>
      </c>
      <c r="O1144" s="577">
        <f t="shared" si="311"/>
        <v>0</v>
      </c>
      <c r="P1144" s="578">
        <f t="shared" si="312"/>
        <v>0</v>
      </c>
      <c r="Q1144" s="765"/>
      <c r="R1144" s="576">
        <f t="shared" si="308"/>
        <v>0</v>
      </c>
      <c r="S1144" s="576">
        <f t="shared" si="308"/>
        <v>0</v>
      </c>
      <c r="T1144" s="577">
        <f t="shared" si="309"/>
        <v>0</v>
      </c>
      <c r="U1144" s="578">
        <f t="shared" si="310"/>
        <v>0</v>
      </c>
      <c r="V1144" s="579"/>
      <c r="W1144" s="566"/>
      <c r="X1144" s="586" t="str">
        <f t="shared" si="302"/>
        <v/>
      </c>
      <c r="Y1144" s="586" t="str">
        <f t="shared" si="307"/>
        <v/>
      </c>
      <c r="Z1144" s="586" t="str">
        <f t="shared" si="305"/>
        <v/>
      </c>
    </row>
    <row r="1145" spans="1:26" ht="23.25" hidden="1" thickBot="1" x14ac:dyDescent="0.25">
      <c r="A1145" s="567">
        <v>91916</v>
      </c>
      <c r="B1145" s="644">
        <v>91916</v>
      </c>
      <c r="C1145" s="645" t="s">
        <v>670</v>
      </c>
      <c r="D1145" s="422" t="s">
        <v>996</v>
      </c>
      <c r="E1145" s="423"/>
      <c r="F1145" s="424"/>
      <c r="G1145" s="425"/>
      <c r="H1145" s="651"/>
      <c r="I1145" s="420">
        <v>20.05</v>
      </c>
      <c r="J1145" s="420">
        <f t="shared" si="304"/>
        <v>20.05</v>
      </c>
      <c r="K1145" s="421">
        <f t="shared" si="303"/>
        <v>23.82</v>
      </c>
      <c r="L1145" s="647" t="s">
        <v>2065</v>
      </c>
      <c r="M1145" s="576"/>
      <c r="N1145" s="576">
        <f t="shared" si="306"/>
        <v>0</v>
      </c>
      <c r="O1145" s="577">
        <f t="shared" si="311"/>
        <v>0</v>
      </c>
      <c r="P1145" s="578">
        <f t="shared" si="312"/>
        <v>0</v>
      </c>
      <c r="Q1145" s="765"/>
      <c r="R1145" s="576">
        <f t="shared" si="308"/>
        <v>0</v>
      </c>
      <c r="S1145" s="576">
        <f t="shared" si="308"/>
        <v>0</v>
      </c>
      <c r="T1145" s="577">
        <f t="shared" si="309"/>
        <v>0</v>
      </c>
      <c r="U1145" s="578">
        <f t="shared" si="310"/>
        <v>0</v>
      </c>
      <c r="V1145" s="579"/>
      <c r="W1145" s="566"/>
      <c r="X1145" s="586" t="str">
        <f t="shared" si="302"/>
        <v/>
      </c>
      <c r="Y1145" s="586" t="str">
        <f t="shared" si="307"/>
        <v/>
      </c>
      <c r="Z1145" s="586" t="str">
        <f t="shared" si="305"/>
        <v/>
      </c>
    </row>
    <row r="1146" spans="1:26" ht="23.25" hidden="1" thickBot="1" x14ac:dyDescent="0.25">
      <c r="A1146" s="567">
        <v>91917</v>
      </c>
      <c r="B1146" s="644">
        <v>91917</v>
      </c>
      <c r="C1146" s="645" t="s">
        <v>670</v>
      </c>
      <c r="D1146" s="422" t="s">
        <v>997</v>
      </c>
      <c r="E1146" s="423"/>
      <c r="F1146" s="424"/>
      <c r="G1146" s="425"/>
      <c r="H1146" s="651"/>
      <c r="I1146" s="420">
        <v>20.94</v>
      </c>
      <c r="J1146" s="420">
        <f t="shared" si="304"/>
        <v>20.94</v>
      </c>
      <c r="K1146" s="421">
        <f t="shared" si="303"/>
        <v>24.88</v>
      </c>
      <c r="L1146" s="647" t="s">
        <v>2065</v>
      </c>
      <c r="M1146" s="576"/>
      <c r="N1146" s="576">
        <f t="shared" si="306"/>
        <v>0</v>
      </c>
      <c r="O1146" s="577">
        <f t="shared" si="311"/>
        <v>0</v>
      </c>
      <c r="P1146" s="578">
        <f t="shared" si="312"/>
        <v>0</v>
      </c>
      <c r="Q1146" s="765"/>
      <c r="R1146" s="576">
        <f t="shared" si="308"/>
        <v>0</v>
      </c>
      <c r="S1146" s="576">
        <f t="shared" si="308"/>
        <v>0</v>
      </c>
      <c r="T1146" s="577">
        <f t="shared" si="309"/>
        <v>0</v>
      </c>
      <c r="U1146" s="578">
        <f t="shared" si="310"/>
        <v>0</v>
      </c>
      <c r="V1146" s="579"/>
      <c r="W1146" s="566"/>
      <c r="X1146" s="586" t="str">
        <f t="shared" si="302"/>
        <v/>
      </c>
      <c r="Y1146" s="586" t="str">
        <f t="shared" si="307"/>
        <v/>
      </c>
      <c r="Z1146" s="586" t="str">
        <f t="shared" si="305"/>
        <v/>
      </c>
    </row>
    <row r="1147" spans="1:26" ht="23.25" hidden="1" thickBot="1" x14ac:dyDescent="0.25">
      <c r="A1147" s="567">
        <v>91920</v>
      </c>
      <c r="B1147" s="644">
        <v>91920</v>
      </c>
      <c r="C1147" s="645" t="s">
        <v>670</v>
      </c>
      <c r="D1147" s="422" t="s">
        <v>998</v>
      </c>
      <c r="E1147" s="423"/>
      <c r="F1147" s="424"/>
      <c r="G1147" s="425"/>
      <c r="H1147" s="651"/>
      <c r="I1147" s="420">
        <v>23.84</v>
      </c>
      <c r="J1147" s="420">
        <f t="shared" si="304"/>
        <v>23.84</v>
      </c>
      <c r="K1147" s="421">
        <f t="shared" si="303"/>
        <v>28.32</v>
      </c>
      <c r="L1147" s="647" t="s">
        <v>2065</v>
      </c>
      <c r="M1147" s="576"/>
      <c r="N1147" s="576">
        <f t="shared" si="306"/>
        <v>0</v>
      </c>
      <c r="O1147" s="577">
        <f t="shared" si="311"/>
        <v>0</v>
      </c>
      <c r="P1147" s="578">
        <f t="shared" si="312"/>
        <v>0</v>
      </c>
      <c r="Q1147" s="765"/>
      <c r="R1147" s="576">
        <f t="shared" si="308"/>
        <v>0</v>
      </c>
      <c r="S1147" s="576">
        <f t="shared" si="308"/>
        <v>0</v>
      </c>
      <c r="T1147" s="577">
        <f t="shared" si="309"/>
        <v>0</v>
      </c>
      <c r="U1147" s="578">
        <f t="shared" si="310"/>
        <v>0</v>
      </c>
      <c r="V1147" s="579"/>
      <c r="W1147" s="566"/>
      <c r="X1147" s="586" t="str">
        <f t="shared" si="302"/>
        <v/>
      </c>
      <c r="Y1147" s="586" t="str">
        <f t="shared" si="307"/>
        <v/>
      </c>
      <c r="Z1147" s="586" t="str">
        <f t="shared" si="305"/>
        <v/>
      </c>
    </row>
    <row r="1148" spans="1:26" ht="23.25" hidden="1" thickBot="1" x14ac:dyDescent="0.25">
      <c r="A1148" s="567">
        <v>91922</v>
      </c>
      <c r="B1148" s="644">
        <v>91922</v>
      </c>
      <c r="C1148" s="645" t="s">
        <v>670</v>
      </c>
      <c r="D1148" s="422" t="s">
        <v>999</v>
      </c>
      <c r="E1148" s="423"/>
      <c r="F1148" s="424"/>
      <c r="G1148" s="425"/>
      <c r="H1148" s="651"/>
      <c r="I1148" s="420">
        <v>27.28</v>
      </c>
      <c r="J1148" s="420">
        <f t="shared" si="304"/>
        <v>27.28</v>
      </c>
      <c r="K1148" s="421">
        <f t="shared" si="303"/>
        <v>32.409999999999997</v>
      </c>
      <c r="L1148" s="647" t="s">
        <v>2065</v>
      </c>
      <c r="M1148" s="576"/>
      <c r="N1148" s="576">
        <f t="shared" si="306"/>
        <v>0</v>
      </c>
      <c r="O1148" s="577">
        <f t="shared" si="311"/>
        <v>0</v>
      </c>
      <c r="P1148" s="578">
        <f t="shared" si="312"/>
        <v>0</v>
      </c>
      <c r="Q1148" s="765"/>
      <c r="R1148" s="576">
        <f t="shared" si="308"/>
        <v>0</v>
      </c>
      <c r="S1148" s="576">
        <f t="shared" si="308"/>
        <v>0</v>
      </c>
      <c r="T1148" s="577">
        <f t="shared" si="309"/>
        <v>0</v>
      </c>
      <c r="U1148" s="578">
        <f t="shared" si="310"/>
        <v>0</v>
      </c>
      <c r="V1148" s="579"/>
      <c r="W1148" s="566"/>
      <c r="X1148" s="586" t="str">
        <f t="shared" si="302"/>
        <v/>
      </c>
      <c r="Y1148" s="586" t="str">
        <f t="shared" si="307"/>
        <v/>
      </c>
      <c r="Z1148" s="586" t="str">
        <f t="shared" si="305"/>
        <v/>
      </c>
    </row>
    <row r="1149" spans="1:26" ht="23.25" hidden="1" thickBot="1" x14ac:dyDescent="0.25">
      <c r="A1149" s="567">
        <v>93013</v>
      </c>
      <c r="B1149" s="644">
        <v>93013</v>
      </c>
      <c r="C1149" s="645" t="s">
        <v>670</v>
      </c>
      <c r="D1149" s="422" t="s">
        <v>1000</v>
      </c>
      <c r="E1149" s="423"/>
      <c r="F1149" s="424"/>
      <c r="G1149" s="425"/>
      <c r="H1149" s="651"/>
      <c r="I1149" s="420">
        <v>17.420000000000002</v>
      </c>
      <c r="J1149" s="420">
        <f t="shared" si="304"/>
        <v>17.420000000000002</v>
      </c>
      <c r="K1149" s="421">
        <f t="shared" si="303"/>
        <v>20.7</v>
      </c>
      <c r="L1149" s="647" t="s">
        <v>2065</v>
      </c>
      <c r="M1149" s="576"/>
      <c r="N1149" s="576">
        <f t="shared" si="306"/>
        <v>0</v>
      </c>
      <c r="O1149" s="577">
        <f t="shared" si="311"/>
        <v>0</v>
      </c>
      <c r="P1149" s="578">
        <f t="shared" si="312"/>
        <v>0</v>
      </c>
      <c r="Q1149" s="765"/>
      <c r="R1149" s="576">
        <f t="shared" si="308"/>
        <v>0</v>
      </c>
      <c r="S1149" s="576">
        <f t="shared" si="308"/>
        <v>0</v>
      </c>
      <c r="T1149" s="577">
        <f t="shared" si="309"/>
        <v>0</v>
      </c>
      <c r="U1149" s="578">
        <f t="shared" si="310"/>
        <v>0</v>
      </c>
      <c r="V1149" s="579"/>
      <c r="W1149" s="566"/>
      <c r="X1149" s="586" t="str">
        <f t="shared" ref="X1149:X1212" si="313">IF(W1149="X","x",IF(W1149="xx","x",IF(W1149="xy","x",IF(W1149="y","x",IF(OR(P1149&gt;0,U1149&gt;0),"x","")))))</f>
        <v/>
      </c>
      <c r="Y1149" s="586" t="str">
        <f t="shared" si="307"/>
        <v/>
      </c>
      <c r="Z1149" s="586" t="str">
        <f t="shared" si="305"/>
        <v/>
      </c>
    </row>
    <row r="1150" spans="1:26" ht="12" hidden="1" thickBot="1" x14ac:dyDescent="0.25">
      <c r="A1150" s="567">
        <v>93014</v>
      </c>
      <c r="B1150" s="644">
        <v>93014</v>
      </c>
      <c r="C1150" s="645" t="s">
        <v>670</v>
      </c>
      <c r="D1150" s="422" t="s">
        <v>1001</v>
      </c>
      <c r="E1150" s="423"/>
      <c r="F1150" s="424"/>
      <c r="G1150" s="425"/>
      <c r="H1150" s="651"/>
      <c r="I1150" s="420">
        <v>21.73</v>
      </c>
      <c r="J1150" s="420">
        <f t="shared" si="304"/>
        <v>21.73</v>
      </c>
      <c r="K1150" s="421">
        <f t="shared" si="303"/>
        <v>25.82</v>
      </c>
      <c r="L1150" s="647" t="s">
        <v>2065</v>
      </c>
      <c r="M1150" s="576"/>
      <c r="N1150" s="576">
        <f t="shared" si="306"/>
        <v>0</v>
      </c>
      <c r="O1150" s="577">
        <f t="shared" si="311"/>
        <v>0</v>
      </c>
      <c r="P1150" s="578">
        <f t="shared" si="312"/>
        <v>0</v>
      </c>
      <c r="Q1150" s="765"/>
      <c r="R1150" s="576">
        <f t="shared" si="308"/>
        <v>0</v>
      </c>
      <c r="S1150" s="576">
        <f t="shared" si="308"/>
        <v>0</v>
      </c>
      <c r="T1150" s="577">
        <f t="shared" si="309"/>
        <v>0</v>
      </c>
      <c r="U1150" s="578">
        <f t="shared" si="310"/>
        <v>0</v>
      </c>
      <c r="V1150" s="579"/>
      <c r="W1150" s="566"/>
      <c r="X1150" s="586" t="str">
        <f t="shared" si="313"/>
        <v/>
      </c>
      <c r="Y1150" s="586" t="str">
        <f t="shared" si="307"/>
        <v/>
      </c>
      <c r="Z1150" s="586" t="str">
        <f t="shared" si="305"/>
        <v/>
      </c>
    </row>
    <row r="1151" spans="1:26" ht="23.25" hidden="1" thickBot="1" x14ac:dyDescent="0.25">
      <c r="A1151" s="567">
        <v>93015</v>
      </c>
      <c r="B1151" s="644">
        <v>93015</v>
      </c>
      <c r="C1151" s="645" t="s">
        <v>670</v>
      </c>
      <c r="D1151" s="422" t="s">
        <v>1002</v>
      </c>
      <c r="E1151" s="423"/>
      <c r="F1151" s="424"/>
      <c r="G1151" s="425"/>
      <c r="H1151" s="651"/>
      <c r="I1151" s="420">
        <v>34.5</v>
      </c>
      <c r="J1151" s="420">
        <f t="shared" si="304"/>
        <v>34.5</v>
      </c>
      <c r="K1151" s="421">
        <f t="shared" si="303"/>
        <v>40.99</v>
      </c>
      <c r="L1151" s="647" t="s">
        <v>2065</v>
      </c>
      <c r="M1151" s="576"/>
      <c r="N1151" s="576">
        <f t="shared" si="306"/>
        <v>0</v>
      </c>
      <c r="O1151" s="577">
        <f t="shared" si="311"/>
        <v>0</v>
      </c>
      <c r="P1151" s="578">
        <f t="shared" si="312"/>
        <v>0</v>
      </c>
      <c r="Q1151" s="765"/>
      <c r="R1151" s="576">
        <f t="shared" si="308"/>
        <v>0</v>
      </c>
      <c r="S1151" s="576">
        <f t="shared" si="308"/>
        <v>0</v>
      </c>
      <c r="T1151" s="577">
        <f t="shared" si="309"/>
        <v>0</v>
      </c>
      <c r="U1151" s="578">
        <f t="shared" si="310"/>
        <v>0</v>
      </c>
      <c r="V1151" s="579"/>
      <c r="W1151" s="566"/>
      <c r="X1151" s="586" t="str">
        <f t="shared" si="313"/>
        <v/>
      </c>
      <c r="Y1151" s="586" t="str">
        <f t="shared" si="307"/>
        <v/>
      </c>
      <c r="Z1151" s="586" t="str">
        <f t="shared" si="305"/>
        <v/>
      </c>
    </row>
    <row r="1152" spans="1:26" ht="12" hidden="1" thickBot="1" x14ac:dyDescent="0.25">
      <c r="A1152" s="567">
        <v>93016</v>
      </c>
      <c r="B1152" s="644">
        <v>93016</v>
      </c>
      <c r="C1152" s="645" t="s">
        <v>670</v>
      </c>
      <c r="D1152" s="422" t="s">
        <v>1003</v>
      </c>
      <c r="E1152" s="423"/>
      <c r="F1152" s="424"/>
      <c r="G1152" s="425"/>
      <c r="H1152" s="651"/>
      <c r="I1152" s="420">
        <v>42.56</v>
      </c>
      <c r="J1152" s="420">
        <f t="shared" si="304"/>
        <v>42.56</v>
      </c>
      <c r="K1152" s="421">
        <f t="shared" si="303"/>
        <v>50.57</v>
      </c>
      <c r="L1152" s="647" t="s">
        <v>2065</v>
      </c>
      <c r="M1152" s="576"/>
      <c r="N1152" s="576">
        <f t="shared" si="306"/>
        <v>0</v>
      </c>
      <c r="O1152" s="577">
        <f t="shared" si="311"/>
        <v>0</v>
      </c>
      <c r="P1152" s="578">
        <f t="shared" si="312"/>
        <v>0</v>
      </c>
      <c r="Q1152" s="765"/>
      <c r="R1152" s="576">
        <f t="shared" si="308"/>
        <v>0</v>
      </c>
      <c r="S1152" s="576">
        <f t="shared" si="308"/>
        <v>0</v>
      </c>
      <c r="T1152" s="577">
        <f t="shared" si="309"/>
        <v>0</v>
      </c>
      <c r="U1152" s="578">
        <f t="shared" si="310"/>
        <v>0</v>
      </c>
      <c r="V1152" s="579"/>
      <c r="W1152" s="566"/>
      <c r="X1152" s="586" t="str">
        <f t="shared" si="313"/>
        <v/>
      </c>
      <c r="Y1152" s="586" t="str">
        <f t="shared" si="307"/>
        <v/>
      </c>
      <c r="Z1152" s="586" t="str">
        <f t="shared" si="305"/>
        <v/>
      </c>
    </row>
    <row r="1153" spans="1:26" ht="23.25" hidden="1" thickBot="1" x14ac:dyDescent="0.25">
      <c r="A1153" s="567">
        <v>93017</v>
      </c>
      <c r="B1153" s="644">
        <v>93017</v>
      </c>
      <c r="C1153" s="645" t="s">
        <v>670</v>
      </c>
      <c r="D1153" s="422" t="s">
        <v>1004</v>
      </c>
      <c r="E1153" s="423"/>
      <c r="F1153" s="424"/>
      <c r="G1153" s="425"/>
      <c r="H1153" s="651"/>
      <c r="I1153" s="420">
        <v>65.66</v>
      </c>
      <c r="J1153" s="420">
        <f t="shared" si="304"/>
        <v>65.66</v>
      </c>
      <c r="K1153" s="421">
        <f t="shared" si="303"/>
        <v>78.010000000000005</v>
      </c>
      <c r="L1153" s="647" t="s">
        <v>2065</v>
      </c>
      <c r="M1153" s="576"/>
      <c r="N1153" s="576">
        <f t="shared" si="306"/>
        <v>0</v>
      </c>
      <c r="O1153" s="577">
        <f t="shared" si="311"/>
        <v>0</v>
      </c>
      <c r="P1153" s="578">
        <f t="shared" si="312"/>
        <v>0</v>
      </c>
      <c r="Q1153" s="765"/>
      <c r="R1153" s="576">
        <f t="shared" si="308"/>
        <v>0</v>
      </c>
      <c r="S1153" s="576">
        <f t="shared" si="308"/>
        <v>0</v>
      </c>
      <c r="T1153" s="577">
        <f t="shared" si="309"/>
        <v>0</v>
      </c>
      <c r="U1153" s="578">
        <f t="shared" si="310"/>
        <v>0</v>
      </c>
      <c r="V1153" s="579"/>
      <c r="W1153" s="566"/>
      <c r="X1153" s="586" t="str">
        <f t="shared" si="313"/>
        <v/>
      </c>
      <c r="Y1153" s="586" t="str">
        <f t="shared" si="307"/>
        <v/>
      </c>
      <c r="Z1153" s="586" t="str">
        <f t="shared" si="305"/>
        <v/>
      </c>
    </row>
    <row r="1154" spans="1:26" ht="23.25" hidden="1" thickBot="1" x14ac:dyDescent="0.25">
      <c r="A1154" s="567">
        <v>93018</v>
      </c>
      <c r="B1154" s="644">
        <v>93018</v>
      </c>
      <c r="C1154" s="645" t="s">
        <v>670</v>
      </c>
      <c r="D1154" s="422" t="s">
        <v>1005</v>
      </c>
      <c r="E1154" s="423"/>
      <c r="F1154" s="424"/>
      <c r="G1154" s="425"/>
      <c r="H1154" s="651"/>
      <c r="I1154" s="420">
        <v>26.73</v>
      </c>
      <c r="J1154" s="420">
        <f t="shared" si="304"/>
        <v>26.73</v>
      </c>
      <c r="K1154" s="421">
        <f t="shared" si="303"/>
        <v>31.76</v>
      </c>
      <c r="L1154" s="647" t="s">
        <v>2065</v>
      </c>
      <c r="M1154" s="576"/>
      <c r="N1154" s="576">
        <f t="shared" si="306"/>
        <v>0</v>
      </c>
      <c r="O1154" s="577">
        <f t="shared" si="311"/>
        <v>0</v>
      </c>
      <c r="P1154" s="578">
        <f t="shared" si="312"/>
        <v>0</v>
      </c>
      <c r="Q1154" s="765"/>
      <c r="R1154" s="576">
        <f t="shared" si="308"/>
        <v>0</v>
      </c>
      <c r="S1154" s="576">
        <f t="shared" si="308"/>
        <v>0</v>
      </c>
      <c r="T1154" s="577">
        <f t="shared" si="309"/>
        <v>0</v>
      </c>
      <c r="U1154" s="578">
        <f t="shared" si="310"/>
        <v>0</v>
      </c>
      <c r="V1154" s="579"/>
      <c r="W1154" s="566"/>
      <c r="X1154" s="586" t="str">
        <f t="shared" si="313"/>
        <v/>
      </c>
      <c r="Y1154" s="586" t="str">
        <f t="shared" si="307"/>
        <v/>
      </c>
      <c r="Z1154" s="586" t="str">
        <f t="shared" si="305"/>
        <v/>
      </c>
    </row>
    <row r="1155" spans="1:26" ht="23.25" hidden="1" thickBot="1" x14ac:dyDescent="0.25">
      <c r="A1155" s="567">
        <v>93020</v>
      </c>
      <c r="B1155" s="644">
        <v>93020</v>
      </c>
      <c r="C1155" s="645" t="s">
        <v>670</v>
      </c>
      <c r="D1155" s="422" t="s">
        <v>1006</v>
      </c>
      <c r="E1155" s="423"/>
      <c r="F1155" s="424"/>
      <c r="G1155" s="425"/>
      <c r="H1155" s="651"/>
      <c r="I1155" s="420">
        <v>35.07</v>
      </c>
      <c r="J1155" s="420">
        <f t="shared" si="304"/>
        <v>35.07</v>
      </c>
      <c r="K1155" s="421">
        <f t="shared" si="303"/>
        <v>41.67</v>
      </c>
      <c r="L1155" s="647" t="s">
        <v>2065</v>
      </c>
      <c r="M1155" s="576"/>
      <c r="N1155" s="576">
        <f t="shared" si="306"/>
        <v>0</v>
      </c>
      <c r="O1155" s="577">
        <f t="shared" si="311"/>
        <v>0</v>
      </c>
      <c r="P1155" s="578">
        <f t="shared" si="312"/>
        <v>0</v>
      </c>
      <c r="Q1155" s="765"/>
      <c r="R1155" s="576">
        <f t="shared" si="308"/>
        <v>0</v>
      </c>
      <c r="S1155" s="576">
        <f t="shared" si="308"/>
        <v>0</v>
      </c>
      <c r="T1155" s="577">
        <f t="shared" si="309"/>
        <v>0</v>
      </c>
      <c r="U1155" s="578">
        <f t="shared" si="310"/>
        <v>0</v>
      </c>
      <c r="V1155" s="579"/>
      <c r="W1155" s="566"/>
      <c r="X1155" s="586" t="str">
        <f t="shared" si="313"/>
        <v/>
      </c>
      <c r="Y1155" s="586" t="str">
        <f t="shared" si="307"/>
        <v/>
      </c>
      <c r="Z1155" s="586" t="str">
        <f t="shared" si="305"/>
        <v/>
      </c>
    </row>
    <row r="1156" spans="1:26" ht="23.25" hidden="1" thickBot="1" x14ac:dyDescent="0.25">
      <c r="A1156" s="567">
        <v>93022</v>
      </c>
      <c r="B1156" s="644">
        <v>93022</v>
      </c>
      <c r="C1156" s="645" t="s">
        <v>670</v>
      </c>
      <c r="D1156" s="422" t="s">
        <v>1007</v>
      </c>
      <c r="E1156" s="423"/>
      <c r="F1156" s="424"/>
      <c r="G1156" s="425"/>
      <c r="H1156" s="651"/>
      <c r="I1156" s="420">
        <v>62.13</v>
      </c>
      <c r="J1156" s="420">
        <f t="shared" si="304"/>
        <v>62.13</v>
      </c>
      <c r="K1156" s="421">
        <f t="shared" si="303"/>
        <v>73.819999999999993</v>
      </c>
      <c r="L1156" s="647" t="s">
        <v>2065</v>
      </c>
      <c r="M1156" s="576"/>
      <c r="N1156" s="576">
        <f t="shared" si="306"/>
        <v>0</v>
      </c>
      <c r="O1156" s="577">
        <f t="shared" si="311"/>
        <v>0</v>
      </c>
      <c r="P1156" s="578">
        <f t="shared" si="312"/>
        <v>0</v>
      </c>
      <c r="Q1156" s="765"/>
      <c r="R1156" s="576">
        <f t="shared" si="308"/>
        <v>0</v>
      </c>
      <c r="S1156" s="576">
        <f t="shared" si="308"/>
        <v>0</v>
      </c>
      <c r="T1156" s="577">
        <f t="shared" si="309"/>
        <v>0</v>
      </c>
      <c r="U1156" s="578">
        <f t="shared" si="310"/>
        <v>0</v>
      </c>
      <c r="V1156" s="579"/>
      <c r="W1156" s="566"/>
      <c r="X1156" s="586" t="str">
        <f t="shared" si="313"/>
        <v/>
      </c>
      <c r="Y1156" s="586" t="str">
        <f t="shared" si="307"/>
        <v/>
      </c>
      <c r="Z1156" s="586" t="str">
        <f t="shared" si="305"/>
        <v/>
      </c>
    </row>
    <row r="1157" spans="1:26" ht="23.25" hidden="1" thickBot="1" x14ac:dyDescent="0.25">
      <c r="A1157" s="567">
        <v>93024</v>
      </c>
      <c r="B1157" s="644">
        <v>93024</v>
      </c>
      <c r="C1157" s="645" t="s">
        <v>670</v>
      </c>
      <c r="D1157" s="422" t="s">
        <v>1008</v>
      </c>
      <c r="E1157" s="423"/>
      <c r="F1157" s="424"/>
      <c r="G1157" s="425"/>
      <c r="H1157" s="651"/>
      <c r="I1157" s="420">
        <v>64.819999999999993</v>
      </c>
      <c r="J1157" s="420">
        <f t="shared" si="304"/>
        <v>64.819999999999993</v>
      </c>
      <c r="K1157" s="421">
        <f t="shared" si="303"/>
        <v>77.010000000000005</v>
      </c>
      <c r="L1157" s="647" t="s">
        <v>2065</v>
      </c>
      <c r="M1157" s="576"/>
      <c r="N1157" s="576">
        <f t="shared" si="306"/>
        <v>0</v>
      </c>
      <c r="O1157" s="577">
        <f t="shared" si="311"/>
        <v>0</v>
      </c>
      <c r="P1157" s="578">
        <f t="shared" si="312"/>
        <v>0</v>
      </c>
      <c r="Q1157" s="765"/>
      <c r="R1157" s="576">
        <f t="shared" si="308"/>
        <v>0</v>
      </c>
      <c r="S1157" s="576">
        <f t="shared" si="308"/>
        <v>0</v>
      </c>
      <c r="T1157" s="577">
        <f t="shared" si="309"/>
        <v>0</v>
      </c>
      <c r="U1157" s="578">
        <f t="shared" si="310"/>
        <v>0</v>
      </c>
      <c r="V1157" s="579"/>
      <c r="W1157" s="566"/>
      <c r="X1157" s="586" t="str">
        <f t="shared" si="313"/>
        <v/>
      </c>
      <c r="Y1157" s="586" t="str">
        <f t="shared" si="307"/>
        <v/>
      </c>
      <c r="Z1157" s="586" t="str">
        <f t="shared" si="305"/>
        <v/>
      </c>
    </row>
    <row r="1158" spans="1:26" ht="23.25" hidden="1" thickBot="1" x14ac:dyDescent="0.25">
      <c r="A1158" s="567">
        <v>93026</v>
      </c>
      <c r="B1158" s="644">
        <v>93026</v>
      </c>
      <c r="C1158" s="645" t="s">
        <v>670</v>
      </c>
      <c r="D1158" s="422" t="s">
        <v>1009</v>
      </c>
      <c r="E1158" s="423"/>
      <c r="F1158" s="424"/>
      <c r="G1158" s="425"/>
      <c r="H1158" s="651"/>
      <c r="I1158" s="420">
        <v>109.78</v>
      </c>
      <c r="J1158" s="420">
        <f t="shared" si="304"/>
        <v>109.78</v>
      </c>
      <c r="K1158" s="421">
        <f t="shared" si="303"/>
        <v>130.43</v>
      </c>
      <c r="L1158" s="647" t="s">
        <v>2065</v>
      </c>
      <c r="M1158" s="576"/>
      <c r="N1158" s="576">
        <f t="shared" si="306"/>
        <v>0</v>
      </c>
      <c r="O1158" s="577">
        <f t="shared" si="311"/>
        <v>0</v>
      </c>
      <c r="P1158" s="578">
        <f t="shared" si="312"/>
        <v>0</v>
      </c>
      <c r="Q1158" s="765"/>
      <c r="R1158" s="576">
        <f t="shared" si="308"/>
        <v>0</v>
      </c>
      <c r="S1158" s="576">
        <f t="shared" si="308"/>
        <v>0</v>
      </c>
      <c r="T1158" s="577">
        <f t="shared" si="309"/>
        <v>0</v>
      </c>
      <c r="U1158" s="578">
        <f t="shared" si="310"/>
        <v>0</v>
      </c>
      <c r="V1158" s="579"/>
      <c r="W1158" s="566"/>
      <c r="X1158" s="586" t="str">
        <f t="shared" si="313"/>
        <v/>
      </c>
      <c r="Y1158" s="586" t="str">
        <f t="shared" si="307"/>
        <v/>
      </c>
      <c r="Z1158" s="586" t="str">
        <f t="shared" si="305"/>
        <v/>
      </c>
    </row>
    <row r="1159" spans="1:26" ht="23.25" hidden="1" thickBot="1" x14ac:dyDescent="0.25">
      <c r="A1159" s="567">
        <v>97559</v>
      </c>
      <c r="B1159" s="644">
        <v>97559</v>
      </c>
      <c r="C1159" s="645" t="s">
        <v>670</v>
      </c>
      <c r="D1159" s="422" t="s">
        <v>1010</v>
      </c>
      <c r="E1159" s="423"/>
      <c r="F1159" s="424"/>
      <c r="G1159" s="425"/>
      <c r="H1159" s="651"/>
      <c r="I1159" s="420">
        <v>12.41</v>
      </c>
      <c r="J1159" s="420">
        <f t="shared" si="304"/>
        <v>12.41</v>
      </c>
      <c r="K1159" s="421">
        <f t="shared" si="303"/>
        <v>14.74</v>
      </c>
      <c r="L1159" s="647" t="s">
        <v>2065</v>
      </c>
      <c r="M1159" s="576"/>
      <c r="N1159" s="576">
        <f t="shared" si="306"/>
        <v>0</v>
      </c>
      <c r="O1159" s="577">
        <f t="shared" si="311"/>
        <v>0</v>
      </c>
      <c r="P1159" s="578">
        <f t="shared" si="312"/>
        <v>0</v>
      </c>
      <c r="Q1159" s="765"/>
      <c r="R1159" s="576">
        <f t="shared" si="308"/>
        <v>0</v>
      </c>
      <c r="S1159" s="576">
        <f t="shared" si="308"/>
        <v>0</v>
      </c>
      <c r="T1159" s="577">
        <f t="shared" si="309"/>
        <v>0</v>
      </c>
      <c r="U1159" s="578">
        <f t="shared" si="310"/>
        <v>0</v>
      </c>
      <c r="V1159" s="579"/>
      <c r="W1159" s="566"/>
      <c r="X1159" s="586" t="str">
        <f t="shared" si="313"/>
        <v/>
      </c>
      <c r="Y1159" s="586" t="str">
        <f t="shared" si="307"/>
        <v/>
      </c>
      <c r="Z1159" s="586" t="str">
        <f t="shared" si="305"/>
        <v/>
      </c>
    </row>
    <row r="1160" spans="1:26" ht="23.25" hidden="1" thickBot="1" x14ac:dyDescent="0.25">
      <c r="A1160" s="567">
        <v>97562</v>
      </c>
      <c r="B1160" s="644">
        <v>97562</v>
      </c>
      <c r="C1160" s="645" t="s">
        <v>670</v>
      </c>
      <c r="D1160" s="422" t="s">
        <v>1011</v>
      </c>
      <c r="E1160" s="423"/>
      <c r="F1160" s="424"/>
      <c r="G1160" s="425"/>
      <c r="H1160" s="651"/>
      <c r="I1160" s="420">
        <v>14.6</v>
      </c>
      <c r="J1160" s="420">
        <f t="shared" si="304"/>
        <v>14.6</v>
      </c>
      <c r="K1160" s="421">
        <f t="shared" si="303"/>
        <v>17.350000000000001</v>
      </c>
      <c r="L1160" s="647" t="s">
        <v>2065</v>
      </c>
      <c r="M1160" s="576"/>
      <c r="N1160" s="576">
        <f t="shared" si="306"/>
        <v>0</v>
      </c>
      <c r="O1160" s="577">
        <f t="shared" si="311"/>
        <v>0</v>
      </c>
      <c r="P1160" s="578">
        <f t="shared" si="312"/>
        <v>0</v>
      </c>
      <c r="Q1160" s="765"/>
      <c r="R1160" s="576">
        <f t="shared" si="308"/>
        <v>0</v>
      </c>
      <c r="S1160" s="576">
        <f t="shared" si="308"/>
        <v>0</v>
      </c>
      <c r="T1160" s="577">
        <f t="shared" si="309"/>
        <v>0</v>
      </c>
      <c r="U1160" s="578">
        <f t="shared" si="310"/>
        <v>0</v>
      </c>
      <c r="V1160" s="579"/>
      <c r="W1160" s="566"/>
      <c r="X1160" s="586" t="str">
        <f t="shared" si="313"/>
        <v/>
      </c>
      <c r="Y1160" s="586" t="str">
        <f t="shared" si="307"/>
        <v/>
      </c>
      <c r="Z1160" s="586" t="str">
        <f t="shared" si="305"/>
        <v/>
      </c>
    </row>
    <row r="1161" spans="1:26" ht="23.25" hidden="1" thickBot="1" x14ac:dyDescent="0.25">
      <c r="A1161" s="567">
        <v>97564</v>
      </c>
      <c r="B1161" s="644">
        <v>97564</v>
      </c>
      <c r="C1161" s="645" t="s">
        <v>670</v>
      </c>
      <c r="D1161" s="422" t="s">
        <v>1012</v>
      </c>
      <c r="E1161" s="423"/>
      <c r="F1161" s="424"/>
      <c r="G1161" s="425"/>
      <c r="H1161" s="651"/>
      <c r="I1161" s="420">
        <v>16.53</v>
      </c>
      <c r="J1161" s="420">
        <f t="shared" si="304"/>
        <v>16.53</v>
      </c>
      <c r="K1161" s="421">
        <f t="shared" ref="K1161:K1224" si="314">IF(ISBLANK(I1161),0,ROUND(J1161*(1+$F$10)*(1+$F$11*E1161),2))</f>
        <v>19.64</v>
      </c>
      <c r="L1161" s="647" t="s">
        <v>2065</v>
      </c>
      <c r="M1161" s="576"/>
      <c r="N1161" s="576">
        <f t="shared" si="306"/>
        <v>0</v>
      </c>
      <c r="O1161" s="577">
        <f t="shared" si="311"/>
        <v>0</v>
      </c>
      <c r="P1161" s="578">
        <f t="shared" si="312"/>
        <v>0</v>
      </c>
      <c r="Q1161" s="765"/>
      <c r="R1161" s="576">
        <f t="shared" si="308"/>
        <v>0</v>
      </c>
      <c r="S1161" s="576">
        <f t="shared" si="308"/>
        <v>0</v>
      </c>
      <c r="T1161" s="577">
        <f t="shared" si="309"/>
        <v>0</v>
      </c>
      <c r="U1161" s="578">
        <f t="shared" si="310"/>
        <v>0</v>
      </c>
      <c r="V1161" s="579"/>
      <c r="W1161" s="566"/>
      <c r="X1161" s="586" t="str">
        <f t="shared" si="313"/>
        <v/>
      </c>
      <c r="Y1161" s="586" t="str">
        <f t="shared" si="307"/>
        <v/>
      </c>
      <c r="Z1161" s="586" t="str">
        <f t="shared" si="305"/>
        <v/>
      </c>
    </row>
    <row r="1162" spans="1:26" ht="23.25" hidden="1" thickBot="1" x14ac:dyDescent="0.25">
      <c r="A1162" s="567">
        <v>91862</v>
      </c>
      <c r="B1162" s="644">
        <v>91862</v>
      </c>
      <c r="C1162" s="645" t="s">
        <v>670</v>
      </c>
      <c r="D1162" s="422" t="s">
        <v>1013</v>
      </c>
      <c r="E1162" s="423"/>
      <c r="F1162" s="424"/>
      <c r="G1162" s="425"/>
      <c r="H1162" s="651"/>
      <c r="I1162" s="420">
        <v>11.11</v>
      </c>
      <c r="J1162" s="420">
        <f t="shared" si="304"/>
        <v>11.11</v>
      </c>
      <c r="K1162" s="421">
        <f t="shared" si="314"/>
        <v>13.2</v>
      </c>
      <c r="L1162" s="647" t="s">
        <v>79</v>
      </c>
      <c r="M1162" s="576"/>
      <c r="N1162" s="576">
        <f t="shared" si="306"/>
        <v>0</v>
      </c>
      <c r="O1162" s="577">
        <f t="shared" si="311"/>
        <v>0</v>
      </c>
      <c r="P1162" s="578">
        <f t="shared" si="312"/>
        <v>0</v>
      </c>
      <c r="Q1162" s="765"/>
      <c r="R1162" s="576">
        <f t="shared" si="308"/>
        <v>0</v>
      </c>
      <c r="S1162" s="576">
        <f t="shared" si="308"/>
        <v>0</v>
      </c>
      <c r="T1162" s="577">
        <f t="shared" si="309"/>
        <v>0</v>
      </c>
      <c r="U1162" s="578">
        <f t="shared" si="310"/>
        <v>0</v>
      </c>
      <c r="V1162" s="579"/>
      <c r="W1162" s="566"/>
      <c r="X1162" s="586" t="str">
        <f t="shared" si="313"/>
        <v/>
      </c>
      <c r="Y1162" s="586" t="str">
        <f t="shared" si="307"/>
        <v/>
      </c>
      <c r="Z1162" s="586" t="str">
        <f t="shared" si="305"/>
        <v/>
      </c>
    </row>
    <row r="1163" spans="1:26" ht="23.25" hidden="1" thickBot="1" x14ac:dyDescent="0.25">
      <c r="A1163" s="567">
        <v>91863</v>
      </c>
      <c r="B1163" s="644">
        <v>91863</v>
      </c>
      <c r="C1163" s="645" t="s">
        <v>670</v>
      </c>
      <c r="D1163" s="422" t="s">
        <v>1014</v>
      </c>
      <c r="E1163" s="423"/>
      <c r="F1163" s="424"/>
      <c r="G1163" s="425"/>
      <c r="H1163" s="651"/>
      <c r="I1163" s="420">
        <v>13.11</v>
      </c>
      <c r="J1163" s="420">
        <f t="shared" si="304"/>
        <v>13.11</v>
      </c>
      <c r="K1163" s="421">
        <f t="shared" si="314"/>
        <v>15.58</v>
      </c>
      <c r="L1163" s="647" t="s">
        <v>79</v>
      </c>
      <c r="M1163" s="576"/>
      <c r="N1163" s="576">
        <f t="shared" si="306"/>
        <v>0</v>
      </c>
      <c r="O1163" s="577">
        <f t="shared" si="311"/>
        <v>0</v>
      </c>
      <c r="P1163" s="578">
        <f t="shared" si="312"/>
        <v>0</v>
      </c>
      <c r="Q1163" s="765"/>
      <c r="R1163" s="576">
        <f t="shared" si="308"/>
        <v>0</v>
      </c>
      <c r="S1163" s="576">
        <f t="shared" si="308"/>
        <v>0</v>
      </c>
      <c r="T1163" s="577">
        <f t="shared" si="309"/>
        <v>0</v>
      </c>
      <c r="U1163" s="578">
        <f t="shared" si="310"/>
        <v>0</v>
      </c>
      <c r="V1163" s="579"/>
      <c r="W1163" s="566"/>
      <c r="X1163" s="586" t="str">
        <f t="shared" si="313"/>
        <v/>
      </c>
      <c r="Y1163" s="586" t="str">
        <f t="shared" si="307"/>
        <v/>
      </c>
      <c r="Z1163" s="586" t="str">
        <f t="shared" si="305"/>
        <v/>
      </c>
    </row>
    <row r="1164" spans="1:26" ht="23.25" hidden="1" thickBot="1" x14ac:dyDescent="0.25">
      <c r="A1164" s="567">
        <v>91864</v>
      </c>
      <c r="B1164" s="644">
        <v>91864</v>
      </c>
      <c r="C1164" s="645" t="s">
        <v>670</v>
      </c>
      <c r="D1164" s="422" t="s">
        <v>1015</v>
      </c>
      <c r="E1164" s="423"/>
      <c r="F1164" s="424"/>
      <c r="G1164" s="425"/>
      <c r="H1164" s="651"/>
      <c r="I1164" s="420">
        <v>17.55</v>
      </c>
      <c r="J1164" s="420">
        <f t="shared" si="304"/>
        <v>17.55</v>
      </c>
      <c r="K1164" s="421">
        <f t="shared" si="314"/>
        <v>20.85</v>
      </c>
      <c r="L1164" s="647" t="s">
        <v>79</v>
      </c>
      <c r="M1164" s="576"/>
      <c r="N1164" s="576">
        <f t="shared" si="306"/>
        <v>0</v>
      </c>
      <c r="O1164" s="577">
        <f t="shared" si="311"/>
        <v>0</v>
      </c>
      <c r="P1164" s="578">
        <f t="shared" si="312"/>
        <v>0</v>
      </c>
      <c r="Q1164" s="765"/>
      <c r="R1164" s="576">
        <f t="shared" si="308"/>
        <v>0</v>
      </c>
      <c r="S1164" s="576">
        <f t="shared" si="308"/>
        <v>0</v>
      </c>
      <c r="T1164" s="577">
        <f t="shared" si="309"/>
        <v>0</v>
      </c>
      <c r="U1164" s="578">
        <f t="shared" si="310"/>
        <v>0</v>
      </c>
      <c r="V1164" s="579"/>
      <c r="W1164" s="566"/>
      <c r="X1164" s="586" t="str">
        <f t="shared" si="313"/>
        <v/>
      </c>
      <c r="Y1164" s="586" t="str">
        <f t="shared" si="307"/>
        <v/>
      </c>
      <c r="Z1164" s="586" t="str">
        <f t="shared" si="305"/>
        <v/>
      </c>
    </row>
    <row r="1165" spans="1:26" ht="23.25" hidden="1" thickBot="1" x14ac:dyDescent="0.25">
      <c r="A1165" s="567">
        <v>91865</v>
      </c>
      <c r="B1165" s="644">
        <v>91865</v>
      </c>
      <c r="C1165" s="645" t="s">
        <v>670</v>
      </c>
      <c r="D1165" s="422" t="s">
        <v>1016</v>
      </c>
      <c r="E1165" s="423"/>
      <c r="F1165" s="424"/>
      <c r="G1165" s="425"/>
      <c r="H1165" s="651"/>
      <c r="I1165" s="420">
        <v>21.93</v>
      </c>
      <c r="J1165" s="420">
        <f t="shared" si="304"/>
        <v>21.93</v>
      </c>
      <c r="K1165" s="421">
        <f t="shared" si="314"/>
        <v>26.06</v>
      </c>
      <c r="L1165" s="647" t="s">
        <v>79</v>
      </c>
      <c r="M1165" s="576"/>
      <c r="N1165" s="576">
        <f t="shared" si="306"/>
        <v>0</v>
      </c>
      <c r="O1165" s="577">
        <f t="shared" si="311"/>
        <v>0</v>
      </c>
      <c r="P1165" s="578">
        <f t="shared" si="312"/>
        <v>0</v>
      </c>
      <c r="Q1165" s="765"/>
      <c r="R1165" s="576">
        <f t="shared" si="308"/>
        <v>0</v>
      </c>
      <c r="S1165" s="576">
        <f t="shared" si="308"/>
        <v>0</v>
      </c>
      <c r="T1165" s="577">
        <f t="shared" si="309"/>
        <v>0</v>
      </c>
      <c r="U1165" s="578">
        <f t="shared" si="310"/>
        <v>0</v>
      </c>
      <c r="V1165" s="579"/>
      <c r="W1165" s="566"/>
      <c r="X1165" s="586" t="str">
        <f t="shared" si="313"/>
        <v/>
      </c>
      <c r="Y1165" s="586" t="str">
        <f t="shared" si="307"/>
        <v/>
      </c>
      <c r="Z1165" s="586" t="str">
        <f t="shared" si="305"/>
        <v/>
      </c>
    </row>
    <row r="1166" spans="1:26" ht="23.25" hidden="1" thickBot="1" x14ac:dyDescent="0.25">
      <c r="A1166" s="567">
        <v>91866</v>
      </c>
      <c r="B1166" s="644">
        <v>91866</v>
      </c>
      <c r="C1166" s="645" t="s">
        <v>670</v>
      </c>
      <c r="D1166" s="422" t="s">
        <v>1017</v>
      </c>
      <c r="E1166" s="423"/>
      <c r="F1166" s="424"/>
      <c r="G1166" s="425"/>
      <c r="H1166" s="651"/>
      <c r="I1166" s="420">
        <v>8.99</v>
      </c>
      <c r="J1166" s="420">
        <f t="shared" si="304"/>
        <v>8.99</v>
      </c>
      <c r="K1166" s="421">
        <f t="shared" si="314"/>
        <v>10.68</v>
      </c>
      <c r="L1166" s="647" t="s">
        <v>79</v>
      </c>
      <c r="M1166" s="576"/>
      <c r="N1166" s="576">
        <f t="shared" si="306"/>
        <v>0</v>
      </c>
      <c r="O1166" s="577">
        <f t="shared" si="311"/>
        <v>0</v>
      </c>
      <c r="P1166" s="578">
        <f t="shared" si="312"/>
        <v>0</v>
      </c>
      <c r="Q1166" s="765"/>
      <c r="R1166" s="576">
        <f t="shared" si="308"/>
        <v>0</v>
      </c>
      <c r="S1166" s="576">
        <f t="shared" si="308"/>
        <v>0</v>
      </c>
      <c r="T1166" s="577">
        <f t="shared" si="309"/>
        <v>0</v>
      </c>
      <c r="U1166" s="578">
        <f t="shared" si="310"/>
        <v>0</v>
      </c>
      <c r="V1166" s="579"/>
      <c r="W1166" s="566"/>
      <c r="X1166" s="586" t="str">
        <f t="shared" si="313"/>
        <v/>
      </c>
      <c r="Y1166" s="586" t="str">
        <f t="shared" si="307"/>
        <v/>
      </c>
      <c r="Z1166" s="586" t="str">
        <f t="shared" si="305"/>
        <v/>
      </c>
    </row>
    <row r="1167" spans="1:26" ht="23.25" hidden="1" thickBot="1" x14ac:dyDescent="0.25">
      <c r="A1167" s="567">
        <v>91867</v>
      </c>
      <c r="B1167" s="644">
        <v>91867</v>
      </c>
      <c r="C1167" s="645" t="s">
        <v>670</v>
      </c>
      <c r="D1167" s="422" t="s">
        <v>1018</v>
      </c>
      <c r="E1167" s="423"/>
      <c r="F1167" s="424"/>
      <c r="G1167" s="425"/>
      <c r="H1167" s="651"/>
      <c r="I1167" s="420">
        <v>11</v>
      </c>
      <c r="J1167" s="420">
        <f t="shared" si="304"/>
        <v>11</v>
      </c>
      <c r="K1167" s="421">
        <f t="shared" si="314"/>
        <v>13.07</v>
      </c>
      <c r="L1167" s="647" t="s">
        <v>79</v>
      </c>
      <c r="M1167" s="576"/>
      <c r="N1167" s="576">
        <f t="shared" si="306"/>
        <v>0</v>
      </c>
      <c r="O1167" s="577">
        <f t="shared" si="311"/>
        <v>0</v>
      </c>
      <c r="P1167" s="578">
        <f t="shared" si="312"/>
        <v>0</v>
      </c>
      <c r="Q1167" s="765"/>
      <c r="R1167" s="576">
        <f t="shared" si="308"/>
        <v>0</v>
      </c>
      <c r="S1167" s="576">
        <f t="shared" si="308"/>
        <v>0</v>
      </c>
      <c r="T1167" s="577">
        <f t="shared" si="309"/>
        <v>0</v>
      </c>
      <c r="U1167" s="578">
        <f t="shared" si="310"/>
        <v>0</v>
      </c>
      <c r="V1167" s="579"/>
      <c r="W1167" s="566"/>
      <c r="X1167" s="586" t="str">
        <f t="shared" si="313"/>
        <v/>
      </c>
      <c r="Y1167" s="586" t="str">
        <f t="shared" si="307"/>
        <v/>
      </c>
      <c r="Z1167" s="586" t="str">
        <f t="shared" si="305"/>
        <v/>
      </c>
    </row>
    <row r="1168" spans="1:26" ht="23.25" hidden="1" thickBot="1" x14ac:dyDescent="0.25">
      <c r="A1168" s="567">
        <v>91868</v>
      </c>
      <c r="B1168" s="644">
        <v>91868</v>
      </c>
      <c r="C1168" s="645" t="s">
        <v>670</v>
      </c>
      <c r="D1168" s="422" t="s">
        <v>1019</v>
      </c>
      <c r="E1168" s="423"/>
      <c r="F1168" s="424"/>
      <c r="G1168" s="425"/>
      <c r="H1168" s="651"/>
      <c r="I1168" s="420">
        <v>15.44</v>
      </c>
      <c r="J1168" s="420">
        <f t="shared" si="304"/>
        <v>15.44</v>
      </c>
      <c r="K1168" s="421">
        <f t="shared" si="314"/>
        <v>18.34</v>
      </c>
      <c r="L1168" s="647" t="s">
        <v>79</v>
      </c>
      <c r="M1168" s="576"/>
      <c r="N1168" s="576">
        <f t="shared" si="306"/>
        <v>0</v>
      </c>
      <c r="O1168" s="577">
        <f t="shared" si="311"/>
        <v>0</v>
      </c>
      <c r="P1168" s="578">
        <f t="shared" si="312"/>
        <v>0</v>
      </c>
      <c r="Q1168" s="765"/>
      <c r="R1168" s="576">
        <f t="shared" si="308"/>
        <v>0</v>
      </c>
      <c r="S1168" s="576">
        <f t="shared" si="308"/>
        <v>0</v>
      </c>
      <c r="T1168" s="577">
        <f t="shared" si="309"/>
        <v>0</v>
      </c>
      <c r="U1168" s="578">
        <f t="shared" si="310"/>
        <v>0</v>
      </c>
      <c r="V1168" s="579"/>
      <c r="W1168" s="566"/>
      <c r="X1168" s="586" t="str">
        <f t="shared" si="313"/>
        <v/>
      </c>
      <c r="Y1168" s="586" t="str">
        <f t="shared" si="307"/>
        <v/>
      </c>
      <c r="Z1168" s="586" t="str">
        <f t="shared" si="305"/>
        <v/>
      </c>
    </row>
    <row r="1169" spans="1:26" ht="23.25" hidden="1" thickBot="1" x14ac:dyDescent="0.25">
      <c r="A1169" s="567">
        <v>91869</v>
      </c>
      <c r="B1169" s="644">
        <v>91869</v>
      </c>
      <c r="C1169" s="645" t="s">
        <v>670</v>
      </c>
      <c r="D1169" s="422" t="s">
        <v>1020</v>
      </c>
      <c r="E1169" s="423"/>
      <c r="F1169" s="424"/>
      <c r="G1169" s="425"/>
      <c r="H1169" s="651"/>
      <c r="I1169" s="420">
        <v>19.829999999999998</v>
      </c>
      <c r="J1169" s="420">
        <f t="shared" si="304"/>
        <v>19.829999999999998</v>
      </c>
      <c r="K1169" s="421">
        <f t="shared" si="314"/>
        <v>23.56</v>
      </c>
      <c r="L1169" s="647" t="s">
        <v>79</v>
      </c>
      <c r="M1169" s="576"/>
      <c r="N1169" s="576">
        <f t="shared" si="306"/>
        <v>0</v>
      </c>
      <c r="O1169" s="577">
        <f t="shared" si="311"/>
        <v>0</v>
      </c>
      <c r="P1169" s="578">
        <f t="shared" si="312"/>
        <v>0</v>
      </c>
      <c r="Q1169" s="765"/>
      <c r="R1169" s="576">
        <f t="shared" si="308"/>
        <v>0</v>
      </c>
      <c r="S1169" s="576">
        <f t="shared" si="308"/>
        <v>0</v>
      </c>
      <c r="T1169" s="577">
        <f t="shared" si="309"/>
        <v>0</v>
      </c>
      <c r="U1169" s="578">
        <f t="shared" si="310"/>
        <v>0</v>
      </c>
      <c r="V1169" s="579"/>
      <c r="W1169" s="566"/>
      <c r="X1169" s="586" t="str">
        <f t="shared" si="313"/>
        <v/>
      </c>
      <c r="Y1169" s="586" t="str">
        <f t="shared" si="307"/>
        <v/>
      </c>
      <c r="Z1169" s="586" t="str">
        <f t="shared" si="305"/>
        <v/>
      </c>
    </row>
    <row r="1170" spans="1:26" ht="23.25" hidden="1" thickBot="1" x14ac:dyDescent="0.25">
      <c r="A1170" s="567">
        <v>91870</v>
      </c>
      <c r="B1170" s="644">
        <v>91870</v>
      </c>
      <c r="C1170" s="645" t="s">
        <v>670</v>
      </c>
      <c r="D1170" s="422" t="s">
        <v>1021</v>
      </c>
      <c r="E1170" s="423"/>
      <c r="F1170" s="424"/>
      <c r="G1170" s="425"/>
      <c r="H1170" s="651"/>
      <c r="I1170" s="420">
        <v>12.45</v>
      </c>
      <c r="J1170" s="420">
        <f t="shared" si="304"/>
        <v>12.45</v>
      </c>
      <c r="K1170" s="421">
        <f t="shared" si="314"/>
        <v>14.79</v>
      </c>
      <c r="L1170" s="647" t="s">
        <v>79</v>
      </c>
      <c r="M1170" s="576"/>
      <c r="N1170" s="576">
        <f t="shared" si="306"/>
        <v>0</v>
      </c>
      <c r="O1170" s="577">
        <f t="shared" si="311"/>
        <v>0</v>
      </c>
      <c r="P1170" s="578">
        <f t="shared" si="312"/>
        <v>0</v>
      </c>
      <c r="Q1170" s="765"/>
      <c r="R1170" s="576">
        <f t="shared" si="308"/>
        <v>0</v>
      </c>
      <c r="S1170" s="576">
        <f t="shared" si="308"/>
        <v>0</v>
      </c>
      <c r="T1170" s="577">
        <f t="shared" si="309"/>
        <v>0</v>
      </c>
      <c r="U1170" s="578">
        <f t="shared" si="310"/>
        <v>0</v>
      </c>
      <c r="V1170" s="579"/>
      <c r="W1170" s="566"/>
      <c r="X1170" s="586" t="str">
        <f t="shared" si="313"/>
        <v/>
      </c>
      <c r="Y1170" s="586" t="str">
        <f t="shared" si="307"/>
        <v/>
      </c>
      <c r="Z1170" s="586" t="str">
        <f t="shared" si="305"/>
        <v/>
      </c>
    </row>
    <row r="1171" spans="1:26" ht="23.25" hidden="1" thickBot="1" x14ac:dyDescent="0.25">
      <c r="A1171" s="567">
        <v>91871</v>
      </c>
      <c r="B1171" s="644">
        <v>91871</v>
      </c>
      <c r="C1171" s="645" t="s">
        <v>670</v>
      </c>
      <c r="D1171" s="422" t="s">
        <v>1022</v>
      </c>
      <c r="E1171" s="423"/>
      <c r="F1171" s="424"/>
      <c r="G1171" s="425"/>
      <c r="H1171" s="651"/>
      <c r="I1171" s="420">
        <v>14.5</v>
      </c>
      <c r="J1171" s="420">
        <f t="shared" ref="J1171:J1234" si="315">IF(ISBLANK(I1171),"",SUM(H1171:I1171))</f>
        <v>14.5</v>
      </c>
      <c r="K1171" s="421">
        <f t="shared" si="314"/>
        <v>17.23</v>
      </c>
      <c r="L1171" s="647" t="s">
        <v>79</v>
      </c>
      <c r="M1171" s="576"/>
      <c r="N1171" s="576">
        <f t="shared" si="306"/>
        <v>0</v>
      </c>
      <c r="O1171" s="577">
        <f t="shared" si="311"/>
        <v>0</v>
      </c>
      <c r="P1171" s="578">
        <f t="shared" si="312"/>
        <v>0</v>
      </c>
      <c r="Q1171" s="765"/>
      <c r="R1171" s="576">
        <f t="shared" si="308"/>
        <v>0</v>
      </c>
      <c r="S1171" s="576">
        <f t="shared" si="308"/>
        <v>0</v>
      </c>
      <c r="T1171" s="577">
        <f t="shared" si="309"/>
        <v>0</v>
      </c>
      <c r="U1171" s="578">
        <f t="shared" si="310"/>
        <v>0</v>
      </c>
      <c r="V1171" s="579"/>
      <c r="W1171" s="566"/>
      <c r="X1171" s="586" t="str">
        <f t="shared" si="313"/>
        <v/>
      </c>
      <c r="Y1171" s="586" t="str">
        <f t="shared" si="307"/>
        <v/>
      </c>
      <c r="Z1171" s="586" t="str">
        <f t="shared" ref="Z1171:Z1234" si="316">IF(W1171="X","x",IF(U1171&gt;0,"x",""))</f>
        <v/>
      </c>
    </row>
    <row r="1172" spans="1:26" ht="23.25" hidden="1" thickBot="1" x14ac:dyDescent="0.25">
      <c r="A1172" s="567">
        <v>91872</v>
      </c>
      <c r="B1172" s="644">
        <v>91872</v>
      </c>
      <c r="C1172" s="645" t="s">
        <v>670</v>
      </c>
      <c r="D1172" s="422" t="s">
        <v>1023</v>
      </c>
      <c r="E1172" s="423"/>
      <c r="F1172" s="424"/>
      <c r="G1172" s="425"/>
      <c r="H1172" s="651"/>
      <c r="I1172" s="420">
        <v>18.940000000000001</v>
      </c>
      <c r="J1172" s="420">
        <f t="shared" si="315"/>
        <v>18.940000000000001</v>
      </c>
      <c r="K1172" s="421">
        <f t="shared" si="314"/>
        <v>22.5</v>
      </c>
      <c r="L1172" s="647" t="s">
        <v>79</v>
      </c>
      <c r="M1172" s="576"/>
      <c r="N1172" s="576">
        <f t="shared" ref="N1172:N1235" si="317">IF(M1172=0,0,K1172)</f>
        <v>0</v>
      </c>
      <c r="O1172" s="577">
        <f t="shared" si="311"/>
        <v>0</v>
      </c>
      <c r="P1172" s="578">
        <f t="shared" si="312"/>
        <v>0</v>
      </c>
      <c r="Q1172" s="765"/>
      <c r="R1172" s="576">
        <f t="shared" si="308"/>
        <v>0</v>
      </c>
      <c r="S1172" s="576">
        <f t="shared" si="308"/>
        <v>0</v>
      </c>
      <c r="T1172" s="577">
        <f t="shared" si="309"/>
        <v>0</v>
      </c>
      <c r="U1172" s="578">
        <f t="shared" si="310"/>
        <v>0</v>
      </c>
      <c r="V1172" s="579"/>
      <c r="W1172" s="566"/>
      <c r="X1172" s="586" t="str">
        <f t="shared" si="313"/>
        <v/>
      </c>
      <c r="Y1172" s="586" t="str">
        <f t="shared" si="307"/>
        <v/>
      </c>
      <c r="Z1172" s="586" t="str">
        <f t="shared" si="316"/>
        <v/>
      </c>
    </row>
    <row r="1173" spans="1:26" ht="23.25" hidden="1" thickBot="1" x14ac:dyDescent="0.25">
      <c r="A1173" s="567">
        <v>91873</v>
      </c>
      <c r="B1173" s="644">
        <v>91873</v>
      </c>
      <c r="C1173" s="645" t="s">
        <v>670</v>
      </c>
      <c r="D1173" s="422" t="s">
        <v>1024</v>
      </c>
      <c r="E1173" s="423"/>
      <c r="F1173" s="424"/>
      <c r="G1173" s="425"/>
      <c r="H1173" s="651"/>
      <c r="I1173" s="420">
        <v>23.26</v>
      </c>
      <c r="J1173" s="420">
        <f t="shared" si="315"/>
        <v>23.26</v>
      </c>
      <c r="K1173" s="421">
        <f t="shared" si="314"/>
        <v>27.64</v>
      </c>
      <c r="L1173" s="647" t="s">
        <v>79</v>
      </c>
      <c r="M1173" s="576"/>
      <c r="N1173" s="576">
        <f t="shared" si="317"/>
        <v>0</v>
      </c>
      <c r="O1173" s="577">
        <f t="shared" si="311"/>
        <v>0</v>
      </c>
      <c r="P1173" s="578">
        <f t="shared" si="312"/>
        <v>0</v>
      </c>
      <c r="Q1173" s="765"/>
      <c r="R1173" s="576">
        <f t="shared" si="308"/>
        <v>0</v>
      </c>
      <c r="S1173" s="576">
        <f t="shared" si="308"/>
        <v>0</v>
      </c>
      <c r="T1173" s="577">
        <f t="shared" si="309"/>
        <v>0</v>
      </c>
      <c r="U1173" s="578">
        <f t="shared" si="310"/>
        <v>0</v>
      </c>
      <c r="V1173" s="579"/>
      <c r="W1173" s="566"/>
      <c r="X1173" s="586" t="str">
        <f t="shared" si="313"/>
        <v/>
      </c>
      <c r="Y1173" s="586" t="str">
        <f t="shared" si="307"/>
        <v/>
      </c>
      <c r="Z1173" s="586" t="str">
        <f t="shared" si="316"/>
        <v/>
      </c>
    </row>
    <row r="1174" spans="1:26" ht="12" hidden="1" thickBot="1" x14ac:dyDescent="0.25">
      <c r="A1174" s="567">
        <v>93008</v>
      </c>
      <c r="B1174" s="644">
        <v>93008</v>
      </c>
      <c r="C1174" s="645" t="s">
        <v>670</v>
      </c>
      <c r="D1174" s="422" t="s">
        <v>1025</v>
      </c>
      <c r="E1174" s="423"/>
      <c r="F1174" s="424"/>
      <c r="G1174" s="425"/>
      <c r="H1174" s="651"/>
      <c r="I1174" s="420">
        <v>19.809999999999999</v>
      </c>
      <c r="J1174" s="420">
        <f t="shared" si="315"/>
        <v>19.809999999999999</v>
      </c>
      <c r="K1174" s="421">
        <f t="shared" si="314"/>
        <v>23.54</v>
      </c>
      <c r="L1174" s="647" t="s">
        <v>79</v>
      </c>
      <c r="M1174" s="576"/>
      <c r="N1174" s="576">
        <f t="shared" si="317"/>
        <v>0</v>
      </c>
      <c r="O1174" s="577">
        <f t="shared" si="311"/>
        <v>0</v>
      </c>
      <c r="P1174" s="578">
        <f t="shared" si="312"/>
        <v>0</v>
      </c>
      <c r="Q1174" s="765"/>
      <c r="R1174" s="576">
        <f t="shared" si="308"/>
        <v>0</v>
      </c>
      <c r="S1174" s="576">
        <f t="shared" si="308"/>
        <v>0</v>
      </c>
      <c r="T1174" s="577">
        <f t="shared" si="309"/>
        <v>0</v>
      </c>
      <c r="U1174" s="578">
        <f t="shared" si="310"/>
        <v>0</v>
      </c>
      <c r="V1174" s="579"/>
      <c r="W1174" s="566"/>
      <c r="X1174" s="586" t="str">
        <f t="shared" si="313"/>
        <v/>
      </c>
      <c r="Y1174" s="586" t="str">
        <f t="shared" si="307"/>
        <v/>
      </c>
      <c r="Z1174" s="586" t="str">
        <f t="shared" si="316"/>
        <v/>
      </c>
    </row>
    <row r="1175" spans="1:26" ht="12" hidden="1" thickBot="1" x14ac:dyDescent="0.25">
      <c r="A1175" s="567">
        <v>93009</v>
      </c>
      <c r="B1175" s="644">
        <v>93009</v>
      </c>
      <c r="C1175" s="645" t="s">
        <v>670</v>
      </c>
      <c r="D1175" s="422" t="s">
        <v>1026</v>
      </c>
      <c r="E1175" s="423"/>
      <c r="F1175" s="424"/>
      <c r="G1175" s="425"/>
      <c r="H1175" s="651"/>
      <c r="I1175" s="420">
        <v>29.54</v>
      </c>
      <c r="J1175" s="420">
        <f t="shared" si="315"/>
        <v>29.54</v>
      </c>
      <c r="K1175" s="421">
        <f t="shared" si="314"/>
        <v>35.1</v>
      </c>
      <c r="L1175" s="647" t="s">
        <v>79</v>
      </c>
      <c r="M1175" s="576"/>
      <c r="N1175" s="576">
        <f t="shared" si="317"/>
        <v>0</v>
      </c>
      <c r="O1175" s="577">
        <f t="shared" si="311"/>
        <v>0</v>
      </c>
      <c r="P1175" s="578">
        <f t="shared" si="312"/>
        <v>0</v>
      </c>
      <c r="Q1175" s="765"/>
      <c r="R1175" s="576">
        <f t="shared" si="308"/>
        <v>0</v>
      </c>
      <c r="S1175" s="576">
        <f t="shared" si="308"/>
        <v>0</v>
      </c>
      <c r="T1175" s="577">
        <f t="shared" si="309"/>
        <v>0</v>
      </c>
      <c r="U1175" s="578">
        <f t="shared" si="310"/>
        <v>0</v>
      </c>
      <c r="V1175" s="579"/>
      <c r="W1175" s="566"/>
      <c r="X1175" s="586" t="str">
        <f t="shared" si="313"/>
        <v/>
      </c>
      <c r="Y1175" s="586" t="str">
        <f t="shared" si="307"/>
        <v/>
      </c>
      <c r="Z1175" s="586" t="str">
        <f t="shared" si="316"/>
        <v/>
      </c>
    </row>
    <row r="1176" spans="1:26" ht="12" hidden="1" thickBot="1" x14ac:dyDescent="0.25">
      <c r="A1176" s="567">
        <v>93010</v>
      </c>
      <c r="B1176" s="644">
        <v>93010</v>
      </c>
      <c r="C1176" s="645" t="s">
        <v>670</v>
      </c>
      <c r="D1176" s="422" t="s">
        <v>1027</v>
      </c>
      <c r="E1176" s="423"/>
      <c r="F1176" s="424"/>
      <c r="G1176" s="425"/>
      <c r="H1176" s="651"/>
      <c r="I1176" s="420">
        <v>41.34</v>
      </c>
      <c r="J1176" s="420">
        <f t="shared" si="315"/>
        <v>41.34</v>
      </c>
      <c r="K1176" s="421">
        <f t="shared" si="314"/>
        <v>49.12</v>
      </c>
      <c r="L1176" s="647" t="s">
        <v>79</v>
      </c>
      <c r="M1176" s="576"/>
      <c r="N1176" s="576">
        <f t="shared" si="317"/>
        <v>0</v>
      </c>
      <c r="O1176" s="577">
        <f t="shared" si="311"/>
        <v>0</v>
      </c>
      <c r="P1176" s="578">
        <f t="shared" si="312"/>
        <v>0</v>
      </c>
      <c r="Q1176" s="765"/>
      <c r="R1176" s="576">
        <f t="shared" si="308"/>
        <v>0</v>
      </c>
      <c r="S1176" s="576">
        <f t="shared" si="308"/>
        <v>0</v>
      </c>
      <c r="T1176" s="577">
        <f t="shared" si="309"/>
        <v>0</v>
      </c>
      <c r="U1176" s="578">
        <f t="shared" si="310"/>
        <v>0</v>
      </c>
      <c r="V1176" s="579"/>
      <c r="W1176" s="566"/>
      <c r="X1176" s="586" t="str">
        <f t="shared" si="313"/>
        <v/>
      </c>
      <c r="Y1176" s="586" t="str">
        <f t="shared" si="307"/>
        <v/>
      </c>
      <c r="Z1176" s="586" t="str">
        <f t="shared" si="316"/>
        <v/>
      </c>
    </row>
    <row r="1177" spans="1:26" ht="12" hidden="1" thickBot="1" x14ac:dyDescent="0.25">
      <c r="A1177" s="567">
        <v>93011</v>
      </c>
      <c r="B1177" s="644">
        <v>93011</v>
      </c>
      <c r="C1177" s="645" t="s">
        <v>670</v>
      </c>
      <c r="D1177" s="422" t="s">
        <v>1028</v>
      </c>
      <c r="E1177" s="423"/>
      <c r="F1177" s="424"/>
      <c r="G1177" s="425"/>
      <c r="H1177" s="651"/>
      <c r="I1177" s="420">
        <v>50.68</v>
      </c>
      <c r="J1177" s="420">
        <f t="shared" si="315"/>
        <v>50.68</v>
      </c>
      <c r="K1177" s="421">
        <f t="shared" si="314"/>
        <v>60.21</v>
      </c>
      <c r="L1177" s="647" t="s">
        <v>79</v>
      </c>
      <c r="M1177" s="576"/>
      <c r="N1177" s="576">
        <f t="shared" si="317"/>
        <v>0</v>
      </c>
      <c r="O1177" s="577">
        <f t="shared" si="311"/>
        <v>0</v>
      </c>
      <c r="P1177" s="578">
        <f t="shared" si="312"/>
        <v>0</v>
      </c>
      <c r="Q1177" s="765"/>
      <c r="R1177" s="576">
        <f t="shared" si="308"/>
        <v>0</v>
      </c>
      <c r="S1177" s="576">
        <f t="shared" si="308"/>
        <v>0</v>
      </c>
      <c r="T1177" s="577">
        <f t="shared" si="309"/>
        <v>0</v>
      </c>
      <c r="U1177" s="578">
        <f t="shared" si="310"/>
        <v>0</v>
      </c>
      <c r="V1177" s="579"/>
      <c r="W1177" s="566"/>
      <c r="X1177" s="586" t="str">
        <f t="shared" si="313"/>
        <v/>
      </c>
      <c r="Y1177" s="586" t="str">
        <f t="shared" si="307"/>
        <v/>
      </c>
      <c r="Z1177" s="586" t="str">
        <f t="shared" si="316"/>
        <v/>
      </c>
    </row>
    <row r="1178" spans="1:26" ht="12" hidden="1" thickBot="1" x14ac:dyDescent="0.25">
      <c r="A1178" s="567">
        <v>93012</v>
      </c>
      <c r="B1178" s="644">
        <v>93012</v>
      </c>
      <c r="C1178" s="645" t="s">
        <v>670</v>
      </c>
      <c r="D1178" s="422" t="s">
        <v>1029</v>
      </c>
      <c r="E1178" s="423"/>
      <c r="F1178" s="424"/>
      <c r="G1178" s="425"/>
      <c r="H1178" s="651"/>
      <c r="I1178" s="420">
        <v>76.91</v>
      </c>
      <c r="J1178" s="420">
        <f t="shared" si="315"/>
        <v>76.91</v>
      </c>
      <c r="K1178" s="421">
        <f t="shared" si="314"/>
        <v>91.38</v>
      </c>
      <c r="L1178" s="647" t="s">
        <v>79</v>
      </c>
      <c r="M1178" s="576"/>
      <c r="N1178" s="576">
        <f t="shared" si="317"/>
        <v>0</v>
      </c>
      <c r="O1178" s="577">
        <f t="shared" si="311"/>
        <v>0</v>
      </c>
      <c r="P1178" s="578">
        <f t="shared" si="312"/>
        <v>0</v>
      </c>
      <c r="Q1178" s="765"/>
      <c r="R1178" s="576">
        <f t="shared" si="308"/>
        <v>0</v>
      </c>
      <c r="S1178" s="576">
        <f t="shared" si="308"/>
        <v>0</v>
      </c>
      <c r="T1178" s="577">
        <f t="shared" si="309"/>
        <v>0</v>
      </c>
      <c r="U1178" s="578">
        <f t="shared" si="310"/>
        <v>0</v>
      </c>
      <c r="V1178" s="579"/>
      <c r="W1178" s="566"/>
      <c r="X1178" s="586" t="str">
        <f t="shared" si="313"/>
        <v/>
      </c>
      <c r="Y1178" s="586" t="str">
        <f t="shared" si="307"/>
        <v/>
      </c>
      <c r="Z1178" s="586" t="str">
        <f t="shared" si="316"/>
        <v/>
      </c>
    </row>
    <row r="1179" spans="1:26" ht="23.25" hidden="1" thickBot="1" x14ac:dyDescent="0.25">
      <c r="A1179" s="567">
        <v>95726</v>
      </c>
      <c r="B1179" s="644">
        <v>95726</v>
      </c>
      <c r="C1179" s="645" t="s">
        <v>670</v>
      </c>
      <c r="D1179" s="422" t="s">
        <v>1030</v>
      </c>
      <c r="E1179" s="423"/>
      <c r="F1179" s="424"/>
      <c r="G1179" s="425"/>
      <c r="H1179" s="651"/>
      <c r="I1179" s="420">
        <v>7.51</v>
      </c>
      <c r="J1179" s="420">
        <f t="shared" si="315"/>
        <v>7.51</v>
      </c>
      <c r="K1179" s="421">
        <f t="shared" si="314"/>
        <v>8.92</v>
      </c>
      <c r="L1179" s="647" t="s">
        <v>79</v>
      </c>
      <c r="M1179" s="576"/>
      <c r="N1179" s="576">
        <f t="shared" si="317"/>
        <v>0</v>
      </c>
      <c r="O1179" s="577">
        <f t="shared" si="311"/>
        <v>0</v>
      </c>
      <c r="P1179" s="578">
        <f t="shared" si="312"/>
        <v>0</v>
      </c>
      <c r="Q1179" s="765"/>
      <c r="R1179" s="576">
        <f t="shared" si="308"/>
        <v>0</v>
      </c>
      <c r="S1179" s="576">
        <f t="shared" si="308"/>
        <v>0</v>
      </c>
      <c r="T1179" s="577">
        <f t="shared" si="309"/>
        <v>0</v>
      </c>
      <c r="U1179" s="578">
        <f t="shared" si="310"/>
        <v>0</v>
      </c>
      <c r="V1179" s="579"/>
      <c r="W1179" s="566"/>
      <c r="X1179" s="586" t="str">
        <f t="shared" si="313"/>
        <v/>
      </c>
      <c r="Y1179" s="586" t="str">
        <f t="shared" si="307"/>
        <v/>
      </c>
      <c r="Z1179" s="586" t="str">
        <f t="shared" si="316"/>
        <v/>
      </c>
    </row>
    <row r="1180" spans="1:26" ht="23.25" hidden="1" thickBot="1" x14ac:dyDescent="0.25">
      <c r="A1180" s="567">
        <v>95727</v>
      </c>
      <c r="B1180" s="644">
        <v>95727</v>
      </c>
      <c r="C1180" s="645" t="s">
        <v>670</v>
      </c>
      <c r="D1180" s="422" t="s">
        <v>1031</v>
      </c>
      <c r="E1180" s="423"/>
      <c r="F1180" s="424"/>
      <c r="G1180" s="425"/>
      <c r="H1180" s="651"/>
      <c r="I1180" s="420">
        <v>8.6300000000000008</v>
      </c>
      <c r="J1180" s="420">
        <f t="shared" si="315"/>
        <v>8.6300000000000008</v>
      </c>
      <c r="K1180" s="421">
        <f t="shared" si="314"/>
        <v>10.25</v>
      </c>
      <c r="L1180" s="647" t="s">
        <v>79</v>
      </c>
      <c r="M1180" s="576"/>
      <c r="N1180" s="576">
        <f t="shared" si="317"/>
        <v>0</v>
      </c>
      <c r="O1180" s="577">
        <f t="shared" si="311"/>
        <v>0</v>
      </c>
      <c r="P1180" s="578">
        <f t="shared" si="312"/>
        <v>0</v>
      </c>
      <c r="Q1180" s="765"/>
      <c r="R1180" s="576">
        <f t="shared" si="308"/>
        <v>0</v>
      </c>
      <c r="S1180" s="576">
        <f t="shared" si="308"/>
        <v>0</v>
      </c>
      <c r="T1180" s="577">
        <f t="shared" si="309"/>
        <v>0</v>
      </c>
      <c r="U1180" s="578">
        <f t="shared" si="310"/>
        <v>0</v>
      </c>
      <c r="V1180" s="579"/>
      <c r="W1180" s="566"/>
      <c r="X1180" s="586" t="str">
        <f t="shared" si="313"/>
        <v/>
      </c>
      <c r="Y1180" s="586" t="str">
        <f t="shared" si="307"/>
        <v/>
      </c>
      <c r="Z1180" s="586" t="str">
        <f t="shared" si="316"/>
        <v/>
      </c>
    </row>
    <row r="1181" spans="1:26" ht="23.25" hidden="1" thickBot="1" x14ac:dyDescent="0.25">
      <c r="A1181" s="567">
        <v>95728</v>
      </c>
      <c r="B1181" s="644">
        <v>95728</v>
      </c>
      <c r="C1181" s="645" t="s">
        <v>670</v>
      </c>
      <c r="D1181" s="422" t="s">
        <v>1032</v>
      </c>
      <c r="E1181" s="423"/>
      <c r="F1181" s="424"/>
      <c r="G1181" s="425"/>
      <c r="H1181" s="651"/>
      <c r="I1181" s="420">
        <v>11.08</v>
      </c>
      <c r="J1181" s="420">
        <f t="shared" si="315"/>
        <v>11.08</v>
      </c>
      <c r="K1181" s="421">
        <f t="shared" si="314"/>
        <v>13.16</v>
      </c>
      <c r="L1181" s="647" t="s">
        <v>79</v>
      </c>
      <c r="M1181" s="576"/>
      <c r="N1181" s="576">
        <f t="shared" si="317"/>
        <v>0</v>
      </c>
      <c r="O1181" s="577">
        <f t="shared" si="311"/>
        <v>0</v>
      </c>
      <c r="P1181" s="578">
        <f t="shared" si="312"/>
        <v>0</v>
      </c>
      <c r="Q1181" s="765"/>
      <c r="R1181" s="576">
        <f t="shared" si="308"/>
        <v>0</v>
      </c>
      <c r="S1181" s="576">
        <f t="shared" si="308"/>
        <v>0</v>
      </c>
      <c r="T1181" s="577">
        <f t="shared" si="309"/>
        <v>0</v>
      </c>
      <c r="U1181" s="578">
        <f t="shared" si="310"/>
        <v>0</v>
      </c>
      <c r="V1181" s="579"/>
      <c r="W1181" s="566"/>
      <c r="X1181" s="586" t="str">
        <f t="shared" si="313"/>
        <v/>
      </c>
      <c r="Y1181" s="586" t="str">
        <f t="shared" si="307"/>
        <v/>
      </c>
      <c r="Z1181" s="586" t="str">
        <f t="shared" si="316"/>
        <v/>
      </c>
    </row>
    <row r="1182" spans="1:26" ht="23.25" hidden="1" thickBot="1" x14ac:dyDescent="0.25">
      <c r="A1182" s="567">
        <v>95729</v>
      </c>
      <c r="B1182" s="644">
        <v>95729</v>
      </c>
      <c r="C1182" s="645" t="s">
        <v>670</v>
      </c>
      <c r="D1182" s="422" t="s">
        <v>1033</v>
      </c>
      <c r="E1182" s="423"/>
      <c r="F1182" s="424"/>
      <c r="G1182" s="425"/>
      <c r="H1182" s="651"/>
      <c r="I1182" s="420">
        <v>9.75</v>
      </c>
      <c r="J1182" s="420">
        <f t="shared" si="315"/>
        <v>9.75</v>
      </c>
      <c r="K1182" s="421">
        <f t="shared" si="314"/>
        <v>11.58</v>
      </c>
      <c r="L1182" s="647" t="s">
        <v>79</v>
      </c>
      <c r="M1182" s="576"/>
      <c r="N1182" s="576">
        <f t="shared" si="317"/>
        <v>0</v>
      </c>
      <c r="O1182" s="577">
        <f t="shared" si="311"/>
        <v>0</v>
      </c>
      <c r="P1182" s="578">
        <f t="shared" si="312"/>
        <v>0</v>
      </c>
      <c r="Q1182" s="765"/>
      <c r="R1182" s="576">
        <f t="shared" si="308"/>
        <v>0</v>
      </c>
      <c r="S1182" s="576">
        <f t="shared" si="308"/>
        <v>0</v>
      </c>
      <c r="T1182" s="577">
        <f t="shared" si="309"/>
        <v>0</v>
      </c>
      <c r="U1182" s="578">
        <f t="shared" si="310"/>
        <v>0</v>
      </c>
      <c r="V1182" s="579"/>
      <c r="W1182" s="566"/>
      <c r="X1182" s="586" t="str">
        <f t="shared" si="313"/>
        <v/>
      </c>
      <c r="Y1182" s="586" t="str">
        <f t="shared" si="307"/>
        <v/>
      </c>
      <c r="Z1182" s="586" t="str">
        <f t="shared" si="316"/>
        <v/>
      </c>
    </row>
    <row r="1183" spans="1:26" ht="23.25" hidden="1" thickBot="1" x14ac:dyDescent="0.25">
      <c r="A1183" s="567">
        <v>95730</v>
      </c>
      <c r="B1183" s="644">
        <v>95730</v>
      </c>
      <c r="C1183" s="645" t="s">
        <v>670</v>
      </c>
      <c r="D1183" s="422" t="s">
        <v>1034</v>
      </c>
      <c r="E1183" s="423"/>
      <c r="F1183" s="424"/>
      <c r="G1183" s="425"/>
      <c r="H1183" s="651"/>
      <c r="I1183" s="420">
        <v>10.86</v>
      </c>
      <c r="J1183" s="420">
        <f t="shared" si="315"/>
        <v>10.86</v>
      </c>
      <c r="K1183" s="421">
        <f t="shared" si="314"/>
        <v>12.9</v>
      </c>
      <c r="L1183" s="647" t="s">
        <v>79</v>
      </c>
      <c r="M1183" s="576"/>
      <c r="N1183" s="576">
        <f t="shared" si="317"/>
        <v>0</v>
      </c>
      <c r="O1183" s="577">
        <f t="shared" si="311"/>
        <v>0</v>
      </c>
      <c r="P1183" s="578">
        <f t="shared" si="312"/>
        <v>0</v>
      </c>
      <c r="Q1183" s="765"/>
      <c r="R1183" s="576">
        <f t="shared" si="308"/>
        <v>0</v>
      </c>
      <c r="S1183" s="576">
        <f t="shared" si="308"/>
        <v>0</v>
      </c>
      <c r="T1183" s="577">
        <f t="shared" si="309"/>
        <v>0</v>
      </c>
      <c r="U1183" s="578">
        <f t="shared" si="310"/>
        <v>0</v>
      </c>
      <c r="V1183" s="579"/>
      <c r="W1183" s="566"/>
      <c r="X1183" s="586" t="str">
        <f t="shared" si="313"/>
        <v/>
      </c>
      <c r="Y1183" s="586" t="str">
        <f t="shared" si="307"/>
        <v/>
      </c>
      <c r="Z1183" s="586" t="str">
        <f t="shared" si="316"/>
        <v/>
      </c>
    </row>
    <row r="1184" spans="1:26" ht="23.25" hidden="1" thickBot="1" x14ac:dyDescent="0.25">
      <c r="A1184" s="567">
        <v>95731</v>
      </c>
      <c r="B1184" s="644">
        <v>95731</v>
      </c>
      <c r="C1184" s="645" t="s">
        <v>670</v>
      </c>
      <c r="D1184" s="422" t="s">
        <v>1035</v>
      </c>
      <c r="E1184" s="423"/>
      <c r="F1184" s="424"/>
      <c r="G1184" s="425"/>
      <c r="H1184" s="651"/>
      <c r="I1184" s="420">
        <v>13.31</v>
      </c>
      <c r="J1184" s="420">
        <f t="shared" si="315"/>
        <v>13.31</v>
      </c>
      <c r="K1184" s="421">
        <f t="shared" si="314"/>
        <v>15.81</v>
      </c>
      <c r="L1184" s="647" t="s">
        <v>79</v>
      </c>
      <c r="M1184" s="576"/>
      <c r="N1184" s="576">
        <f t="shared" si="317"/>
        <v>0</v>
      </c>
      <c r="O1184" s="577">
        <f t="shared" si="311"/>
        <v>0</v>
      </c>
      <c r="P1184" s="578">
        <f t="shared" si="312"/>
        <v>0</v>
      </c>
      <c r="Q1184" s="765"/>
      <c r="R1184" s="576">
        <f t="shared" si="308"/>
        <v>0</v>
      </c>
      <c r="S1184" s="576">
        <f t="shared" si="308"/>
        <v>0</v>
      </c>
      <c r="T1184" s="577">
        <f t="shared" si="309"/>
        <v>0</v>
      </c>
      <c r="U1184" s="578">
        <f t="shared" si="310"/>
        <v>0</v>
      </c>
      <c r="V1184" s="579"/>
      <c r="W1184" s="566"/>
      <c r="X1184" s="586" t="str">
        <f t="shared" si="313"/>
        <v/>
      </c>
      <c r="Y1184" s="586" t="str">
        <f t="shared" si="307"/>
        <v/>
      </c>
      <c r="Z1184" s="586" t="str">
        <f t="shared" si="316"/>
        <v/>
      </c>
    </row>
    <row r="1185" spans="1:26" ht="23.25" hidden="1" thickBot="1" x14ac:dyDescent="0.25">
      <c r="A1185" s="567">
        <v>95733</v>
      </c>
      <c r="B1185" s="644">
        <v>95733</v>
      </c>
      <c r="C1185" s="645" t="s">
        <v>670</v>
      </c>
      <c r="D1185" s="422" t="s">
        <v>1036</v>
      </c>
      <c r="E1185" s="423"/>
      <c r="F1185" s="424"/>
      <c r="G1185" s="425"/>
      <c r="H1185" s="651"/>
      <c r="I1185" s="420">
        <v>6.83</v>
      </c>
      <c r="J1185" s="420">
        <f t="shared" si="315"/>
        <v>6.83</v>
      </c>
      <c r="K1185" s="421">
        <f t="shared" si="314"/>
        <v>8.11</v>
      </c>
      <c r="L1185" s="647" t="s">
        <v>2065</v>
      </c>
      <c r="M1185" s="576"/>
      <c r="N1185" s="576">
        <f t="shared" si="317"/>
        <v>0</v>
      </c>
      <c r="O1185" s="577">
        <f t="shared" si="311"/>
        <v>0</v>
      </c>
      <c r="P1185" s="578">
        <f t="shared" si="312"/>
        <v>0</v>
      </c>
      <c r="Q1185" s="765"/>
      <c r="R1185" s="576">
        <f t="shared" si="308"/>
        <v>0</v>
      </c>
      <c r="S1185" s="576">
        <f t="shared" si="308"/>
        <v>0</v>
      </c>
      <c r="T1185" s="577">
        <f t="shared" si="309"/>
        <v>0</v>
      </c>
      <c r="U1185" s="578">
        <f t="shared" si="310"/>
        <v>0</v>
      </c>
      <c r="V1185" s="579"/>
      <c r="W1185" s="566"/>
      <c r="X1185" s="586" t="str">
        <f t="shared" si="313"/>
        <v/>
      </c>
      <c r="Y1185" s="586" t="str">
        <f t="shared" si="307"/>
        <v/>
      </c>
      <c r="Z1185" s="586" t="str">
        <f t="shared" si="316"/>
        <v/>
      </c>
    </row>
    <row r="1186" spans="1:26" ht="23.25" hidden="1" thickBot="1" x14ac:dyDescent="0.25">
      <c r="A1186" s="567">
        <v>95734</v>
      </c>
      <c r="B1186" s="644">
        <v>95734</v>
      </c>
      <c r="C1186" s="645" t="s">
        <v>670</v>
      </c>
      <c r="D1186" s="422" t="s">
        <v>1037</v>
      </c>
      <c r="E1186" s="423"/>
      <c r="F1186" s="424"/>
      <c r="G1186" s="425"/>
      <c r="H1186" s="651"/>
      <c r="I1186" s="420">
        <v>9.11</v>
      </c>
      <c r="J1186" s="420">
        <f t="shared" si="315"/>
        <v>9.11</v>
      </c>
      <c r="K1186" s="421">
        <f t="shared" si="314"/>
        <v>10.82</v>
      </c>
      <c r="L1186" s="647" t="s">
        <v>2065</v>
      </c>
      <c r="M1186" s="576"/>
      <c r="N1186" s="576">
        <f t="shared" si="317"/>
        <v>0</v>
      </c>
      <c r="O1186" s="577">
        <f t="shared" si="311"/>
        <v>0</v>
      </c>
      <c r="P1186" s="578">
        <f t="shared" si="312"/>
        <v>0</v>
      </c>
      <c r="Q1186" s="765"/>
      <c r="R1186" s="576">
        <f t="shared" si="308"/>
        <v>0</v>
      </c>
      <c r="S1186" s="576">
        <f t="shared" si="308"/>
        <v>0</v>
      </c>
      <c r="T1186" s="577">
        <f t="shared" si="309"/>
        <v>0</v>
      </c>
      <c r="U1186" s="578">
        <f t="shared" si="310"/>
        <v>0</v>
      </c>
      <c r="V1186" s="579"/>
      <c r="W1186" s="566"/>
      <c r="X1186" s="586" t="str">
        <f t="shared" si="313"/>
        <v/>
      </c>
      <c r="Y1186" s="586" t="str">
        <f t="shared" si="307"/>
        <v/>
      </c>
      <c r="Z1186" s="586" t="str">
        <f t="shared" si="316"/>
        <v/>
      </c>
    </row>
    <row r="1187" spans="1:26" ht="23.25" hidden="1" thickBot="1" x14ac:dyDescent="0.25">
      <c r="A1187" s="567">
        <v>95735</v>
      </c>
      <c r="B1187" s="644">
        <v>95735</v>
      </c>
      <c r="C1187" s="645" t="s">
        <v>670</v>
      </c>
      <c r="D1187" s="422" t="s">
        <v>1038</v>
      </c>
      <c r="E1187" s="423"/>
      <c r="F1187" s="424"/>
      <c r="G1187" s="425"/>
      <c r="H1187" s="651"/>
      <c r="I1187" s="420">
        <v>7.49</v>
      </c>
      <c r="J1187" s="420">
        <f t="shared" si="315"/>
        <v>7.49</v>
      </c>
      <c r="K1187" s="421">
        <f t="shared" si="314"/>
        <v>8.9</v>
      </c>
      <c r="L1187" s="647" t="s">
        <v>2065</v>
      </c>
      <c r="M1187" s="576"/>
      <c r="N1187" s="576">
        <f t="shared" si="317"/>
        <v>0</v>
      </c>
      <c r="O1187" s="577">
        <f t="shared" si="311"/>
        <v>0</v>
      </c>
      <c r="P1187" s="578">
        <f t="shared" si="312"/>
        <v>0</v>
      </c>
      <c r="Q1187" s="765"/>
      <c r="R1187" s="576">
        <f t="shared" si="308"/>
        <v>0</v>
      </c>
      <c r="S1187" s="576">
        <f t="shared" si="308"/>
        <v>0</v>
      </c>
      <c r="T1187" s="577">
        <f t="shared" si="309"/>
        <v>0</v>
      </c>
      <c r="U1187" s="578">
        <f t="shared" si="310"/>
        <v>0</v>
      </c>
      <c r="V1187" s="579"/>
      <c r="W1187" s="566"/>
      <c r="X1187" s="586" t="str">
        <f t="shared" si="313"/>
        <v/>
      </c>
      <c r="Y1187" s="586" t="str">
        <f t="shared" ref="Y1187:Y1250" si="318">IF(W1187="X","x",IF(W1187="y","x",IF(W1187="xx","x",IF(U1187&gt;0,"x",""))))</f>
        <v/>
      </c>
      <c r="Z1187" s="586" t="str">
        <f t="shared" si="316"/>
        <v/>
      </c>
    </row>
    <row r="1188" spans="1:26" ht="23.25" hidden="1" thickBot="1" x14ac:dyDescent="0.25">
      <c r="A1188" s="567">
        <v>95736</v>
      </c>
      <c r="B1188" s="644">
        <v>95736</v>
      </c>
      <c r="C1188" s="645" t="s">
        <v>670</v>
      </c>
      <c r="D1188" s="422" t="s">
        <v>1039</v>
      </c>
      <c r="E1188" s="423"/>
      <c r="F1188" s="424"/>
      <c r="G1188" s="425"/>
      <c r="H1188" s="651"/>
      <c r="I1188" s="420">
        <v>8.8699999999999992</v>
      </c>
      <c r="J1188" s="420">
        <f t="shared" si="315"/>
        <v>8.8699999999999992</v>
      </c>
      <c r="K1188" s="421">
        <f t="shared" si="314"/>
        <v>10.54</v>
      </c>
      <c r="L1188" s="647" t="s">
        <v>2065</v>
      </c>
      <c r="M1188" s="576"/>
      <c r="N1188" s="576">
        <f t="shared" si="317"/>
        <v>0</v>
      </c>
      <c r="O1188" s="577">
        <f t="shared" si="311"/>
        <v>0</v>
      </c>
      <c r="P1188" s="578">
        <f t="shared" si="312"/>
        <v>0</v>
      </c>
      <c r="Q1188" s="765"/>
      <c r="R1188" s="576">
        <f t="shared" si="308"/>
        <v>0</v>
      </c>
      <c r="S1188" s="576">
        <f t="shared" si="308"/>
        <v>0</v>
      </c>
      <c r="T1188" s="577">
        <f t="shared" si="309"/>
        <v>0</v>
      </c>
      <c r="U1188" s="578">
        <f t="shared" si="310"/>
        <v>0</v>
      </c>
      <c r="V1188" s="579"/>
      <c r="W1188" s="566"/>
      <c r="X1188" s="586" t="str">
        <f t="shared" si="313"/>
        <v/>
      </c>
      <c r="Y1188" s="586" t="str">
        <f t="shared" si="318"/>
        <v/>
      </c>
      <c r="Z1188" s="586" t="str">
        <f t="shared" si="316"/>
        <v/>
      </c>
    </row>
    <row r="1189" spans="1:26" ht="23.25" hidden="1" thickBot="1" x14ac:dyDescent="0.25">
      <c r="A1189" s="567">
        <v>95738</v>
      </c>
      <c r="B1189" s="644">
        <v>95738</v>
      </c>
      <c r="C1189" s="645" t="s">
        <v>670</v>
      </c>
      <c r="D1189" s="422" t="s">
        <v>1040</v>
      </c>
      <c r="E1189" s="423"/>
      <c r="F1189" s="424"/>
      <c r="G1189" s="425"/>
      <c r="H1189" s="651"/>
      <c r="I1189" s="420">
        <v>10.78</v>
      </c>
      <c r="J1189" s="420">
        <f t="shared" si="315"/>
        <v>10.78</v>
      </c>
      <c r="K1189" s="421">
        <f t="shared" si="314"/>
        <v>12.81</v>
      </c>
      <c r="L1189" s="647" t="s">
        <v>2065</v>
      </c>
      <c r="M1189" s="576"/>
      <c r="N1189" s="576">
        <f t="shared" si="317"/>
        <v>0</v>
      </c>
      <c r="O1189" s="577">
        <f t="shared" si="311"/>
        <v>0</v>
      </c>
      <c r="P1189" s="578">
        <f t="shared" si="312"/>
        <v>0</v>
      </c>
      <c r="Q1189" s="765"/>
      <c r="R1189" s="576">
        <f t="shared" si="308"/>
        <v>0</v>
      </c>
      <c r="S1189" s="576">
        <f t="shared" si="308"/>
        <v>0</v>
      </c>
      <c r="T1189" s="577">
        <f t="shared" si="309"/>
        <v>0</v>
      </c>
      <c r="U1189" s="578">
        <f t="shared" si="310"/>
        <v>0</v>
      </c>
      <c r="V1189" s="579"/>
      <c r="W1189" s="566"/>
      <c r="X1189" s="586" t="str">
        <f t="shared" si="313"/>
        <v/>
      </c>
      <c r="Y1189" s="586" t="str">
        <f t="shared" si="318"/>
        <v/>
      </c>
      <c r="Z1189" s="586" t="str">
        <f t="shared" si="316"/>
        <v/>
      </c>
    </row>
    <row r="1190" spans="1:26" ht="23.25" hidden="1" thickBot="1" x14ac:dyDescent="0.25">
      <c r="A1190" s="567">
        <v>95732</v>
      </c>
      <c r="B1190" s="644">
        <v>95732</v>
      </c>
      <c r="C1190" s="645" t="s">
        <v>670</v>
      </c>
      <c r="D1190" s="422" t="s">
        <v>1041</v>
      </c>
      <c r="E1190" s="423"/>
      <c r="F1190" s="424"/>
      <c r="G1190" s="425"/>
      <c r="H1190" s="651"/>
      <c r="I1190" s="420">
        <v>5.17</v>
      </c>
      <c r="J1190" s="420">
        <f t="shared" si="315"/>
        <v>5.17</v>
      </c>
      <c r="K1190" s="421">
        <f t="shared" si="314"/>
        <v>6.14</v>
      </c>
      <c r="L1190" s="647" t="s">
        <v>2065</v>
      </c>
      <c r="M1190" s="576"/>
      <c r="N1190" s="576">
        <f t="shared" si="317"/>
        <v>0</v>
      </c>
      <c r="O1190" s="577">
        <f t="shared" si="311"/>
        <v>0</v>
      </c>
      <c r="P1190" s="578">
        <f t="shared" si="312"/>
        <v>0</v>
      </c>
      <c r="Q1190" s="765"/>
      <c r="R1190" s="576">
        <f t="shared" si="308"/>
        <v>0</v>
      </c>
      <c r="S1190" s="576">
        <f t="shared" si="308"/>
        <v>0</v>
      </c>
      <c r="T1190" s="577">
        <f t="shared" si="309"/>
        <v>0</v>
      </c>
      <c r="U1190" s="578">
        <f t="shared" si="310"/>
        <v>0</v>
      </c>
      <c r="V1190" s="579"/>
      <c r="W1190" s="566"/>
      <c r="X1190" s="586" t="str">
        <f t="shared" si="313"/>
        <v/>
      </c>
      <c r="Y1190" s="586" t="str">
        <f t="shared" si="318"/>
        <v/>
      </c>
      <c r="Z1190" s="586" t="str">
        <f t="shared" si="316"/>
        <v/>
      </c>
    </row>
    <row r="1191" spans="1:26" ht="23.25" hidden="1" thickBot="1" x14ac:dyDescent="0.25">
      <c r="A1191" s="567">
        <v>95745</v>
      </c>
      <c r="B1191" s="644">
        <v>95745</v>
      </c>
      <c r="C1191" s="645" t="s">
        <v>670</v>
      </c>
      <c r="D1191" s="422" t="s">
        <v>1042</v>
      </c>
      <c r="E1191" s="423"/>
      <c r="F1191" s="424"/>
      <c r="G1191" s="425"/>
      <c r="H1191" s="651"/>
      <c r="I1191" s="420">
        <v>24.76</v>
      </c>
      <c r="J1191" s="420">
        <f t="shared" si="315"/>
        <v>24.76</v>
      </c>
      <c r="K1191" s="421">
        <f t="shared" si="314"/>
        <v>29.42</v>
      </c>
      <c r="L1191" s="647" t="s">
        <v>79</v>
      </c>
      <c r="M1191" s="576"/>
      <c r="N1191" s="576">
        <f t="shared" si="317"/>
        <v>0</v>
      </c>
      <c r="O1191" s="577">
        <f t="shared" si="311"/>
        <v>0</v>
      </c>
      <c r="P1191" s="578">
        <f t="shared" si="312"/>
        <v>0</v>
      </c>
      <c r="Q1191" s="765"/>
      <c r="R1191" s="576">
        <f t="shared" si="308"/>
        <v>0</v>
      </c>
      <c r="S1191" s="576">
        <f t="shared" si="308"/>
        <v>0</v>
      </c>
      <c r="T1191" s="577">
        <f t="shared" si="309"/>
        <v>0</v>
      </c>
      <c r="U1191" s="578">
        <f t="shared" si="310"/>
        <v>0</v>
      </c>
      <c r="V1191" s="579"/>
      <c r="W1191" s="566"/>
      <c r="X1191" s="586" t="str">
        <f t="shared" si="313"/>
        <v/>
      </c>
      <c r="Y1191" s="586" t="str">
        <f t="shared" si="318"/>
        <v/>
      </c>
      <c r="Z1191" s="586" t="str">
        <f t="shared" si="316"/>
        <v/>
      </c>
    </row>
    <row r="1192" spans="1:26" ht="23.25" hidden="1" thickBot="1" x14ac:dyDescent="0.25">
      <c r="A1192" s="567">
        <v>95746</v>
      </c>
      <c r="B1192" s="644">
        <v>95746</v>
      </c>
      <c r="C1192" s="645" t="s">
        <v>670</v>
      </c>
      <c r="D1192" s="422" t="s">
        <v>1043</v>
      </c>
      <c r="E1192" s="423"/>
      <c r="F1192" s="424"/>
      <c r="G1192" s="425"/>
      <c r="H1192" s="651"/>
      <c r="I1192" s="420">
        <v>30.83</v>
      </c>
      <c r="J1192" s="420">
        <f t="shared" si="315"/>
        <v>30.83</v>
      </c>
      <c r="K1192" s="421">
        <f t="shared" si="314"/>
        <v>36.630000000000003</v>
      </c>
      <c r="L1192" s="647" t="s">
        <v>79</v>
      </c>
      <c r="M1192" s="576"/>
      <c r="N1192" s="576">
        <f t="shared" si="317"/>
        <v>0</v>
      </c>
      <c r="O1192" s="577">
        <f t="shared" si="311"/>
        <v>0</v>
      </c>
      <c r="P1192" s="578">
        <f t="shared" si="312"/>
        <v>0</v>
      </c>
      <c r="Q1192" s="765"/>
      <c r="R1192" s="576">
        <f t="shared" si="308"/>
        <v>0</v>
      </c>
      <c r="S1192" s="576">
        <f t="shared" si="308"/>
        <v>0</v>
      </c>
      <c r="T1192" s="577">
        <f t="shared" si="309"/>
        <v>0</v>
      </c>
      <c r="U1192" s="578">
        <f t="shared" si="310"/>
        <v>0</v>
      </c>
      <c r="V1192" s="579"/>
      <c r="W1192" s="566"/>
      <c r="X1192" s="586" t="str">
        <f t="shared" si="313"/>
        <v/>
      </c>
      <c r="Y1192" s="586" t="str">
        <f t="shared" si="318"/>
        <v/>
      </c>
      <c r="Z1192" s="586" t="str">
        <f t="shared" si="316"/>
        <v/>
      </c>
    </row>
    <row r="1193" spans="1:26" ht="23.25" hidden="1" thickBot="1" x14ac:dyDescent="0.25">
      <c r="A1193" s="567">
        <v>95747</v>
      </c>
      <c r="B1193" s="644">
        <v>95747</v>
      </c>
      <c r="C1193" s="645" t="s">
        <v>670</v>
      </c>
      <c r="D1193" s="422" t="s">
        <v>1044</v>
      </c>
      <c r="E1193" s="423"/>
      <c r="F1193" s="424"/>
      <c r="G1193" s="425"/>
      <c r="H1193" s="651"/>
      <c r="I1193" s="420">
        <v>51.35</v>
      </c>
      <c r="J1193" s="420">
        <f t="shared" si="315"/>
        <v>51.35</v>
      </c>
      <c r="K1193" s="421">
        <f t="shared" si="314"/>
        <v>61.01</v>
      </c>
      <c r="L1193" s="647" t="s">
        <v>79</v>
      </c>
      <c r="M1193" s="576"/>
      <c r="N1193" s="576">
        <f t="shared" si="317"/>
        <v>0</v>
      </c>
      <c r="O1193" s="577">
        <f t="shared" si="311"/>
        <v>0</v>
      </c>
      <c r="P1193" s="578">
        <f t="shared" si="312"/>
        <v>0</v>
      </c>
      <c r="Q1193" s="765"/>
      <c r="R1193" s="576">
        <f t="shared" si="308"/>
        <v>0</v>
      </c>
      <c r="S1193" s="576">
        <f t="shared" si="308"/>
        <v>0</v>
      </c>
      <c r="T1193" s="577">
        <f t="shared" si="309"/>
        <v>0</v>
      </c>
      <c r="U1193" s="578">
        <f t="shared" si="310"/>
        <v>0</v>
      </c>
      <c r="V1193" s="579"/>
      <c r="W1193" s="566"/>
      <c r="X1193" s="586" t="str">
        <f t="shared" si="313"/>
        <v/>
      </c>
      <c r="Y1193" s="586" t="str">
        <f t="shared" si="318"/>
        <v/>
      </c>
      <c r="Z1193" s="586" t="str">
        <f t="shared" si="316"/>
        <v/>
      </c>
    </row>
    <row r="1194" spans="1:26" ht="23.25" hidden="1" thickBot="1" x14ac:dyDescent="0.25">
      <c r="A1194" s="567">
        <v>95748</v>
      </c>
      <c r="B1194" s="644">
        <v>95748</v>
      </c>
      <c r="C1194" s="645" t="s">
        <v>670</v>
      </c>
      <c r="D1194" s="422" t="s">
        <v>1045</v>
      </c>
      <c r="E1194" s="423"/>
      <c r="F1194" s="424"/>
      <c r="G1194" s="425"/>
      <c r="H1194" s="651"/>
      <c r="I1194" s="420">
        <v>55.37</v>
      </c>
      <c r="J1194" s="420">
        <f t="shared" si="315"/>
        <v>55.37</v>
      </c>
      <c r="K1194" s="421">
        <f t="shared" si="314"/>
        <v>65.790000000000006</v>
      </c>
      <c r="L1194" s="647" t="s">
        <v>79</v>
      </c>
      <c r="M1194" s="576"/>
      <c r="N1194" s="576">
        <f t="shared" si="317"/>
        <v>0</v>
      </c>
      <c r="O1194" s="577">
        <f t="shared" si="311"/>
        <v>0</v>
      </c>
      <c r="P1194" s="578">
        <f t="shared" si="312"/>
        <v>0</v>
      </c>
      <c r="Q1194" s="765"/>
      <c r="R1194" s="576">
        <f t="shared" si="308"/>
        <v>0</v>
      </c>
      <c r="S1194" s="576">
        <f t="shared" si="308"/>
        <v>0</v>
      </c>
      <c r="T1194" s="577">
        <f t="shared" si="309"/>
        <v>0</v>
      </c>
      <c r="U1194" s="578">
        <f t="shared" si="310"/>
        <v>0</v>
      </c>
      <c r="V1194" s="579"/>
      <c r="W1194" s="566"/>
      <c r="X1194" s="586" t="str">
        <f t="shared" si="313"/>
        <v/>
      </c>
      <c r="Y1194" s="586" t="str">
        <f t="shared" si="318"/>
        <v/>
      </c>
      <c r="Z1194" s="586" t="str">
        <f t="shared" si="316"/>
        <v/>
      </c>
    </row>
    <row r="1195" spans="1:26" ht="23.25" hidden="1" thickBot="1" x14ac:dyDescent="0.25">
      <c r="A1195" s="567">
        <v>95749</v>
      </c>
      <c r="B1195" s="644">
        <v>95749</v>
      </c>
      <c r="C1195" s="645" t="s">
        <v>670</v>
      </c>
      <c r="D1195" s="422" t="s">
        <v>1046</v>
      </c>
      <c r="E1195" s="423"/>
      <c r="F1195" s="424"/>
      <c r="G1195" s="425"/>
      <c r="H1195" s="651"/>
      <c r="I1195" s="420">
        <v>31.99</v>
      </c>
      <c r="J1195" s="420">
        <f t="shared" si="315"/>
        <v>31.99</v>
      </c>
      <c r="K1195" s="421">
        <f t="shared" si="314"/>
        <v>38.01</v>
      </c>
      <c r="L1195" s="647" t="s">
        <v>79</v>
      </c>
      <c r="M1195" s="576"/>
      <c r="N1195" s="576">
        <f t="shared" si="317"/>
        <v>0</v>
      </c>
      <c r="O1195" s="577">
        <f t="shared" si="311"/>
        <v>0</v>
      </c>
      <c r="P1195" s="578">
        <f t="shared" si="312"/>
        <v>0</v>
      </c>
      <c r="Q1195" s="765"/>
      <c r="R1195" s="576">
        <f t="shared" si="308"/>
        <v>0</v>
      </c>
      <c r="S1195" s="576">
        <f t="shared" si="308"/>
        <v>0</v>
      </c>
      <c r="T1195" s="577">
        <f t="shared" si="309"/>
        <v>0</v>
      </c>
      <c r="U1195" s="578">
        <f t="shared" si="310"/>
        <v>0</v>
      </c>
      <c r="V1195" s="579"/>
      <c r="W1195" s="566"/>
      <c r="X1195" s="586" t="str">
        <f t="shared" si="313"/>
        <v/>
      </c>
      <c r="Y1195" s="586" t="str">
        <f t="shared" si="318"/>
        <v/>
      </c>
      <c r="Z1195" s="586" t="str">
        <f t="shared" si="316"/>
        <v/>
      </c>
    </row>
    <row r="1196" spans="1:26" ht="23.25" hidden="1" thickBot="1" x14ac:dyDescent="0.25">
      <c r="A1196" s="567">
        <v>95750</v>
      </c>
      <c r="B1196" s="644">
        <v>95750</v>
      </c>
      <c r="C1196" s="645" t="s">
        <v>670</v>
      </c>
      <c r="D1196" s="422" t="s">
        <v>1047</v>
      </c>
      <c r="E1196" s="423"/>
      <c r="F1196" s="424"/>
      <c r="G1196" s="425"/>
      <c r="H1196" s="651"/>
      <c r="I1196" s="420">
        <v>37.89</v>
      </c>
      <c r="J1196" s="420">
        <f t="shared" si="315"/>
        <v>37.89</v>
      </c>
      <c r="K1196" s="421">
        <f t="shared" si="314"/>
        <v>45.02</v>
      </c>
      <c r="L1196" s="647" t="s">
        <v>79</v>
      </c>
      <c r="M1196" s="576"/>
      <c r="N1196" s="576">
        <f t="shared" si="317"/>
        <v>0</v>
      </c>
      <c r="O1196" s="577">
        <f t="shared" si="311"/>
        <v>0</v>
      </c>
      <c r="P1196" s="578">
        <f t="shared" si="312"/>
        <v>0</v>
      </c>
      <c r="Q1196" s="765"/>
      <c r="R1196" s="576">
        <f t="shared" si="308"/>
        <v>0</v>
      </c>
      <c r="S1196" s="576">
        <f t="shared" si="308"/>
        <v>0</v>
      </c>
      <c r="T1196" s="577">
        <f t="shared" si="309"/>
        <v>0</v>
      </c>
      <c r="U1196" s="578">
        <f t="shared" si="310"/>
        <v>0</v>
      </c>
      <c r="V1196" s="579"/>
      <c r="W1196" s="566"/>
      <c r="X1196" s="586" t="str">
        <f t="shared" si="313"/>
        <v/>
      </c>
      <c r="Y1196" s="586" t="str">
        <f t="shared" si="318"/>
        <v/>
      </c>
      <c r="Z1196" s="586" t="str">
        <f t="shared" si="316"/>
        <v/>
      </c>
    </row>
    <row r="1197" spans="1:26" ht="23.25" hidden="1" thickBot="1" x14ac:dyDescent="0.25">
      <c r="A1197" s="567">
        <v>95751</v>
      </c>
      <c r="B1197" s="644">
        <v>95751</v>
      </c>
      <c r="C1197" s="645" t="s">
        <v>670</v>
      </c>
      <c r="D1197" s="422" t="s">
        <v>1048</v>
      </c>
      <c r="E1197" s="423"/>
      <c r="F1197" s="424"/>
      <c r="G1197" s="425"/>
      <c r="H1197" s="651"/>
      <c r="I1197" s="420">
        <v>58.19</v>
      </c>
      <c r="J1197" s="420">
        <f t="shared" si="315"/>
        <v>58.19</v>
      </c>
      <c r="K1197" s="421">
        <f t="shared" si="314"/>
        <v>69.14</v>
      </c>
      <c r="L1197" s="647" t="s">
        <v>79</v>
      </c>
      <c r="M1197" s="576"/>
      <c r="N1197" s="576">
        <f t="shared" si="317"/>
        <v>0</v>
      </c>
      <c r="O1197" s="577">
        <f t="shared" si="311"/>
        <v>0</v>
      </c>
      <c r="P1197" s="578">
        <f t="shared" si="312"/>
        <v>0</v>
      </c>
      <c r="Q1197" s="765"/>
      <c r="R1197" s="576">
        <f t="shared" si="308"/>
        <v>0</v>
      </c>
      <c r="S1197" s="576">
        <f t="shared" si="308"/>
        <v>0</v>
      </c>
      <c r="T1197" s="577">
        <f t="shared" si="309"/>
        <v>0</v>
      </c>
      <c r="U1197" s="578">
        <f t="shared" si="310"/>
        <v>0</v>
      </c>
      <c r="V1197" s="579"/>
      <c r="W1197" s="566"/>
      <c r="X1197" s="586" t="str">
        <f t="shared" si="313"/>
        <v/>
      </c>
      <c r="Y1197" s="586" t="str">
        <f t="shared" si="318"/>
        <v/>
      </c>
      <c r="Z1197" s="586" t="str">
        <f t="shared" si="316"/>
        <v/>
      </c>
    </row>
    <row r="1198" spans="1:26" ht="23.25" hidden="1" thickBot="1" x14ac:dyDescent="0.25">
      <c r="A1198" s="567">
        <v>95752</v>
      </c>
      <c r="B1198" s="644">
        <v>95752</v>
      </c>
      <c r="C1198" s="645" t="s">
        <v>670</v>
      </c>
      <c r="D1198" s="422" t="s">
        <v>1049</v>
      </c>
      <c r="E1198" s="423"/>
      <c r="F1198" s="424"/>
      <c r="G1198" s="425"/>
      <c r="H1198" s="651"/>
      <c r="I1198" s="420">
        <v>61.97</v>
      </c>
      <c r="J1198" s="420">
        <f t="shared" si="315"/>
        <v>61.97</v>
      </c>
      <c r="K1198" s="421">
        <f t="shared" si="314"/>
        <v>73.63</v>
      </c>
      <c r="L1198" s="647" t="s">
        <v>79</v>
      </c>
      <c r="M1198" s="576"/>
      <c r="N1198" s="576">
        <f t="shared" si="317"/>
        <v>0</v>
      </c>
      <c r="O1198" s="577">
        <f t="shared" si="311"/>
        <v>0</v>
      </c>
      <c r="P1198" s="578">
        <f t="shared" si="312"/>
        <v>0</v>
      </c>
      <c r="Q1198" s="765"/>
      <c r="R1198" s="576">
        <f t="shared" si="308"/>
        <v>0</v>
      </c>
      <c r="S1198" s="576">
        <f t="shared" si="308"/>
        <v>0</v>
      </c>
      <c r="T1198" s="577">
        <f t="shared" si="309"/>
        <v>0</v>
      </c>
      <c r="U1198" s="578">
        <f t="shared" si="310"/>
        <v>0</v>
      </c>
      <c r="V1198" s="579"/>
      <c r="W1198" s="566"/>
      <c r="X1198" s="586" t="str">
        <f t="shared" si="313"/>
        <v/>
      </c>
      <c r="Y1198" s="586" t="str">
        <f t="shared" si="318"/>
        <v/>
      </c>
      <c r="Z1198" s="586" t="str">
        <f t="shared" si="316"/>
        <v/>
      </c>
    </row>
    <row r="1199" spans="1:26" ht="23.25" hidden="1" thickBot="1" x14ac:dyDescent="0.25">
      <c r="A1199" s="567">
        <v>95753</v>
      </c>
      <c r="B1199" s="644">
        <v>95753</v>
      </c>
      <c r="C1199" s="645" t="s">
        <v>670</v>
      </c>
      <c r="D1199" s="422" t="s">
        <v>1050</v>
      </c>
      <c r="E1199" s="423"/>
      <c r="F1199" s="424"/>
      <c r="G1199" s="425"/>
      <c r="H1199" s="651"/>
      <c r="I1199" s="420">
        <v>8.07</v>
      </c>
      <c r="J1199" s="420">
        <f t="shared" si="315"/>
        <v>8.07</v>
      </c>
      <c r="K1199" s="421">
        <f t="shared" si="314"/>
        <v>9.59</v>
      </c>
      <c r="L1199" s="647" t="s">
        <v>2065</v>
      </c>
      <c r="M1199" s="576"/>
      <c r="N1199" s="576">
        <f t="shared" si="317"/>
        <v>0</v>
      </c>
      <c r="O1199" s="577">
        <f t="shared" si="311"/>
        <v>0</v>
      </c>
      <c r="P1199" s="578">
        <f t="shared" si="312"/>
        <v>0</v>
      </c>
      <c r="Q1199" s="765"/>
      <c r="R1199" s="576">
        <f t="shared" si="308"/>
        <v>0</v>
      </c>
      <c r="S1199" s="576">
        <f t="shared" si="308"/>
        <v>0</v>
      </c>
      <c r="T1199" s="577">
        <f t="shared" si="309"/>
        <v>0</v>
      </c>
      <c r="U1199" s="578">
        <f t="shared" si="310"/>
        <v>0</v>
      </c>
      <c r="V1199" s="579"/>
      <c r="W1199" s="566"/>
      <c r="X1199" s="586" t="str">
        <f t="shared" si="313"/>
        <v/>
      </c>
      <c r="Y1199" s="586" t="str">
        <f t="shared" si="318"/>
        <v/>
      </c>
      <c r="Z1199" s="586" t="str">
        <f t="shared" si="316"/>
        <v/>
      </c>
    </row>
    <row r="1200" spans="1:26" ht="23.25" hidden="1" thickBot="1" x14ac:dyDescent="0.25">
      <c r="A1200" s="567">
        <v>95754</v>
      </c>
      <c r="B1200" s="644">
        <v>95754</v>
      </c>
      <c r="C1200" s="645" t="s">
        <v>670</v>
      </c>
      <c r="D1200" s="422" t="s">
        <v>1051</v>
      </c>
      <c r="E1200" s="423"/>
      <c r="F1200" s="424"/>
      <c r="G1200" s="425"/>
      <c r="H1200" s="651"/>
      <c r="I1200" s="420">
        <v>10.039999999999999</v>
      </c>
      <c r="J1200" s="420">
        <f t="shared" si="315"/>
        <v>10.039999999999999</v>
      </c>
      <c r="K1200" s="421">
        <f t="shared" si="314"/>
        <v>11.93</v>
      </c>
      <c r="L1200" s="647" t="s">
        <v>2065</v>
      </c>
      <c r="M1200" s="576"/>
      <c r="N1200" s="576">
        <f t="shared" si="317"/>
        <v>0</v>
      </c>
      <c r="O1200" s="577">
        <f t="shared" si="311"/>
        <v>0</v>
      </c>
      <c r="P1200" s="578">
        <f t="shared" si="312"/>
        <v>0</v>
      </c>
      <c r="Q1200" s="765"/>
      <c r="R1200" s="576">
        <f t="shared" si="308"/>
        <v>0</v>
      </c>
      <c r="S1200" s="576">
        <f t="shared" si="308"/>
        <v>0</v>
      </c>
      <c r="T1200" s="577">
        <f t="shared" si="309"/>
        <v>0</v>
      </c>
      <c r="U1200" s="578">
        <f t="shared" si="310"/>
        <v>0</v>
      </c>
      <c r="V1200" s="579"/>
      <c r="W1200" s="566"/>
      <c r="X1200" s="586" t="str">
        <f t="shared" si="313"/>
        <v/>
      </c>
      <c r="Y1200" s="586" t="str">
        <f t="shared" si="318"/>
        <v/>
      </c>
      <c r="Z1200" s="586" t="str">
        <f t="shared" si="316"/>
        <v/>
      </c>
    </row>
    <row r="1201" spans="1:26" ht="23.25" hidden="1" thickBot="1" x14ac:dyDescent="0.25">
      <c r="A1201" s="567">
        <v>95755</v>
      </c>
      <c r="B1201" s="644">
        <v>95755</v>
      </c>
      <c r="C1201" s="645" t="s">
        <v>670</v>
      </c>
      <c r="D1201" s="422" t="s">
        <v>1052</v>
      </c>
      <c r="E1201" s="423"/>
      <c r="F1201" s="424"/>
      <c r="G1201" s="425"/>
      <c r="H1201" s="651"/>
      <c r="I1201" s="420">
        <v>14.51</v>
      </c>
      <c r="J1201" s="420">
        <f t="shared" si="315"/>
        <v>14.51</v>
      </c>
      <c r="K1201" s="421">
        <f t="shared" si="314"/>
        <v>17.239999999999998</v>
      </c>
      <c r="L1201" s="647" t="s">
        <v>2065</v>
      </c>
      <c r="M1201" s="576"/>
      <c r="N1201" s="576">
        <f t="shared" si="317"/>
        <v>0</v>
      </c>
      <c r="O1201" s="577">
        <f t="shared" si="311"/>
        <v>0</v>
      </c>
      <c r="P1201" s="578">
        <f t="shared" si="312"/>
        <v>0</v>
      </c>
      <c r="Q1201" s="765"/>
      <c r="R1201" s="576">
        <f t="shared" si="308"/>
        <v>0</v>
      </c>
      <c r="S1201" s="576">
        <f t="shared" si="308"/>
        <v>0</v>
      </c>
      <c r="T1201" s="577">
        <f t="shared" si="309"/>
        <v>0</v>
      </c>
      <c r="U1201" s="578">
        <f t="shared" si="310"/>
        <v>0</v>
      </c>
      <c r="V1201" s="579"/>
      <c r="W1201" s="566"/>
      <c r="X1201" s="586" t="str">
        <f t="shared" si="313"/>
        <v/>
      </c>
      <c r="Y1201" s="586" t="str">
        <f t="shared" si="318"/>
        <v/>
      </c>
      <c r="Z1201" s="586" t="str">
        <f t="shared" si="316"/>
        <v/>
      </c>
    </row>
    <row r="1202" spans="1:26" ht="23.25" hidden="1" thickBot="1" x14ac:dyDescent="0.25">
      <c r="A1202" s="567">
        <v>95756</v>
      </c>
      <c r="B1202" s="644">
        <v>95756</v>
      </c>
      <c r="C1202" s="645" t="s">
        <v>670</v>
      </c>
      <c r="D1202" s="422" t="s">
        <v>1053</v>
      </c>
      <c r="E1202" s="423"/>
      <c r="F1202" s="424"/>
      <c r="G1202" s="425"/>
      <c r="H1202" s="651"/>
      <c r="I1202" s="420">
        <v>19.36</v>
      </c>
      <c r="J1202" s="420">
        <f t="shared" si="315"/>
        <v>19.36</v>
      </c>
      <c r="K1202" s="421">
        <f t="shared" si="314"/>
        <v>23</v>
      </c>
      <c r="L1202" s="647" t="s">
        <v>2065</v>
      </c>
      <c r="M1202" s="576"/>
      <c r="N1202" s="576">
        <f t="shared" si="317"/>
        <v>0</v>
      </c>
      <c r="O1202" s="577">
        <f t="shared" si="311"/>
        <v>0</v>
      </c>
      <c r="P1202" s="578">
        <f t="shared" si="312"/>
        <v>0</v>
      </c>
      <c r="Q1202" s="765"/>
      <c r="R1202" s="576">
        <f t="shared" si="308"/>
        <v>0</v>
      </c>
      <c r="S1202" s="576">
        <f t="shared" si="308"/>
        <v>0</v>
      </c>
      <c r="T1202" s="577">
        <f t="shared" si="309"/>
        <v>0</v>
      </c>
      <c r="U1202" s="578">
        <f t="shared" si="310"/>
        <v>0</v>
      </c>
      <c r="V1202" s="579"/>
      <c r="W1202" s="566"/>
      <c r="X1202" s="586" t="str">
        <f t="shared" si="313"/>
        <v/>
      </c>
      <c r="Y1202" s="586" t="str">
        <f t="shared" si="318"/>
        <v/>
      </c>
      <c r="Z1202" s="586" t="str">
        <f t="shared" si="316"/>
        <v/>
      </c>
    </row>
    <row r="1203" spans="1:26" ht="23.25" hidden="1" thickBot="1" x14ac:dyDescent="0.25">
      <c r="A1203" s="567">
        <v>95757</v>
      </c>
      <c r="B1203" s="644">
        <v>95757</v>
      </c>
      <c r="C1203" s="645" t="s">
        <v>670</v>
      </c>
      <c r="D1203" s="422" t="s">
        <v>1054</v>
      </c>
      <c r="E1203" s="423"/>
      <c r="F1203" s="424"/>
      <c r="G1203" s="425"/>
      <c r="H1203" s="651"/>
      <c r="I1203" s="420">
        <v>12.08</v>
      </c>
      <c r="J1203" s="420">
        <f t="shared" si="315"/>
        <v>12.08</v>
      </c>
      <c r="K1203" s="421">
        <f t="shared" si="314"/>
        <v>14.35</v>
      </c>
      <c r="L1203" s="647" t="s">
        <v>2065</v>
      </c>
      <c r="M1203" s="576"/>
      <c r="N1203" s="576">
        <f t="shared" si="317"/>
        <v>0</v>
      </c>
      <c r="O1203" s="577">
        <f t="shared" si="311"/>
        <v>0</v>
      </c>
      <c r="P1203" s="578">
        <f t="shared" si="312"/>
        <v>0</v>
      </c>
      <c r="Q1203" s="765"/>
      <c r="R1203" s="576">
        <f t="shared" si="308"/>
        <v>0</v>
      </c>
      <c r="S1203" s="576">
        <f t="shared" si="308"/>
        <v>0</v>
      </c>
      <c r="T1203" s="577">
        <f t="shared" si="309"/>
        <v>0</v>
      </c>
      <c r="U1203" s="578">
        <f t="shared" si="310"/>
        <v>0</v>
      </c>
      <c r="V1203" s="579"/>
      <c r="W1203" s="566"/>
      <c r="X1203" s="586" t="str">
        <f t="shared" si="313"/>
        <v/>
      </c>
      <c r="Y1203" s="586" t="str">
        <f t="shared" si="318"/>
        <v/>
      </c>
      <c r="Z1203" s="586" t="str">
        <f t="shared" si="316"/>
        <v/>
      </c>
    </row>
    <row r="1204" spans="1:26" ht="23.25" hidden="1" thickBot="1" x14ac:dyDescent="0.25">
      <c r="A1204" s="567">
        <v>95758</v>
      </c>
      <c r="B1204" s="644">
        <v>95758</v>
      </c>
      <c r="C1204" s="645" t="s">
        <v>670</v>
      </c>
      <c r="D1204" s="422" t="s">
        <v>1055</v>
      </c>
      <c r="E1204" s="423"/>
      <c r="F1204" s="424"/>
      <c r="G1204" s="425"/>
      <c r="H1204" s="651"/>
      <c r="I1204" s="420">
        <v>13.58</v>
      </c>
      <c r="J1204" s="420">
        <f t="shared" si="315"/>
        <v>13.58</v>
      </c>
      <c r="K1204" s="421">
        <f t="shared" si="314"/>
        <v>16.13</v>
      </c>
      <c r="L1204" s="647" t="s">
        <v>2065</v>
      </c>
      <c r="M1204" s="576"/>
      <c r="N1204" s="576">
        <f t="shared" si="317"/>
        <v>0</v>
      </c>
      <c r="O1204" s="577">
        <f t="shared" si="311"/>
        <v>0</v>
      </c>
      <c r="P1204" s="578">
        <f t="shared" si="312"/>
        <v>0</v>
      </c>
      <c r="Q1204" s="765"/>
      <c r="R1204" s="576">
        <f t="shared" ref="R1204:S1257" si="319">M1204</f>
        <v>0</v>
      </c>
      <c r="S1204" s="576">
        <f t="shared" si="319"/>
        <v>0</v>
      </c>
      <c r="T1204" s="577">
        <f t="shared" ref="T1204:T1267" si="320">IF(ISBLANK(R1204),0,ROUND(K1204*R1204,2))</f>
        <v>0</v>
      </c>
      <c r="U1204" s="578">
        <f t="shared" ref="U1204:U1267" si="321">IF(ISBLANK(R1204),0,ROUND(R1204*S1204,2))</f>
        <v>0</v>
      </c>
      <c r="V1204" s="579"/>
      <c r="W1204" s="566"/>
      <c r="X1204" s="586" t="str">
        <f t="shared" si="313"/>
        <v/>
      </c>
      <c r="Y1204" s="586" t="str">
        <f t="shared" si="318"/>
        <v/>
      </c>
      <c r="Z1204" s="586" t="str">
        <f t="shared" si="316"/>
        <v/>
      </c>
    </row>
    <row r="1205" spans="1:26" ht="23.25" hidden="1" thickBot="1" x14ac:dyDescent="0.25">
      <c r="A1205" s="567">
        <v>95759</v>
      </c>
      <c r="B1205" s="644">
        <v>95759</v>
      </c>
      <c r="C1205" s="645" t="s">
        <v>670</v>
      </c>
      <c r="D1205" s="422" t="s">
        <v>1056</v>
      </c>
      <c r="E1205" s="423"/>
      <c r="F1205" s="424"/>
      <c r="G1205" s="425"/>
      <c r="H1205" s="651"/>
      <c r="I1205" s="420">
        <v>17.38</v>
      </c>
      <c r="J1205" s="420">
        <f t="shared" si="315"/>
        <v>17.38</v>
      </c>
      <c r="K1205" s="421">
        <f t="shared" si="314"/>
        <v>20.65</v>
      </c>
      <c r="L1205" s="647" t="s">
        <v>2065</v>
      </c>
      <c r="M1205" s="576"/>
      <c r="N1205" s="576">
        <f t="shared" si="317"/>
        <v>0</v>
      </c>
      <c r="O1205" s="577">
        <f t="shared" ref="O1205:O1268" si="322">IF(ISBLANK(M1205),0,ROUND(K1205*M1205,2))</f>
        <v>0</v>
      </c>
      <c r="P1205" s="578">
        <f t="shared" ref="P1205:P1268" si="323">IF(ISBLANK(N1205),0,ROUND(M1205*N1205,2))</f>
        <v>0</v>
      </c>
      <c r="Q1205" s="765"/>
      <c r="R1205" s="576">
        <f t="shared" si="319"/>
        <v>0</v>
      </c>
      <c r="S1205" s="576">
        <f t="shared" si="319"/>
        <v>0</v>
      </c>
      <c r="T1205" s="577">
        <f t="shared" si="320"/>
        <v>0</v>
      </c>
      <c r="U1205" s="578">
        <f t="shared" si="321"/>
        <v>0</v>
      </c>
      <c r="V1205" s="579"/>
      <c r="W1205" s="566"/>
      <c r="X1205" s="586" t="str">
        <f t="shared" si="313"/>
        <v/>
      </c>
      <c r="Y1205" s="586" t="str">
        <f t="shared" si="318"/>
        <v/>
      </c>
      <c r="Z1205" s="586" t="str">
        <f t="shared" si="316"/>
        <v/>
      </c>
    </row>
    <row r="1206" spans="1:26" ht="23.25" hidden="1" thickBot="1" x14ac:dyDescent="0.25">
      <c r="A1206" s="567">
        <v>95760</v>
      </c>
      <c r="B1206" s="644">
        <v>95760</v>
      </c>
      <c r="C1206" s="645" t="s">
        <v>670</v>
      </c>
      <c r="D1206" s="422" t="s">
        <v>1057</v>
      </c>
      <c r="E1206" s="423"/>
      <c r="F1206" s="424"/>
      <c r="G1206" s="425"/>
      <c r="H1206" s="651"/>
      <c r="I1206" s="420">
        <v>21.47</v>
      </c>
      <c r="J1206" s="420">
        <f t="shared" si="315"/>
        <v>21.47</v>
      </c>
      <c r="K1206" s="421">
        <f t="shared" si="314"/>
        <v>25.51</v>
      </c>
      <c r="L1206" s="647" t="s">
        <v>2065</v>
      </c>
      <c r="M1206" s="576"/>
      <c r="N1206" s="576">
        <f t="shared" si="317"/>
        <v>0</v>
      </c>
      <c r="O1206" s="577">
        <f t="shared" si="322"/>
        <v>0</v>
      </c>
      <c r="P1206" s="578">
        <f t="shared" si="323"/>
        <v>0</v>
      </c>
      <c r="Q1206" s="765"/>
      <c r="R1206" s="576">
        <f t="shared" si="319"/>
        <v>0</v>
      </c>
      <c r="S1206" s="576">
        <f t="shared" si="319"/>
        <v>0</v>
      </c>
      <c r="T1206" s="577">
        <f t="shared" si="320"/>
        <v>0</v>
      </c>
      <c r="U1206" s="578">
        <f t="shared" si="321"/>
        <v>0</v>
      </c>
      <c r="V1206" s="579"/>
      <c r="W1206" s="566"/>
      <c r="X1206" s="586" t="str">
        <f t="shared" si="313"/>
        <v/>
      </c>
      <c r="Y1206" s="586" t="str">
        <f t="shared" si="318"/>
        <v/>
      </c>
      <c r="Z1206" s="586" t="str">
        <f t="shared" si="316"/>
        <v/>
      </c>
    </row>
    <row r="1207" spans="1:26" ht="23.25" hidden="1" thickBot="1" x14ac:dyDescent="0.25">
      <c r="A1207" s="567">
        <v>91839</v>
      </c>
      <c r="B1207" s="644">
        <v>91839</v>
      </c>
      <c r="C1207" s="645" t="s">
        <v>670</v>
      </c>
      <c r="D1207" s="422" t="s">
        <v>1058</v>
      </c>
      <c r="E1207" s="423"/>
      <c r="F1207" s="424"/>
      <c r="G1207" s="425"/>
      <c r="H1207" s="651"/>
      <c r="I1207" s="420">
        <v>10.48</v>
      </c>
      <c r="J1207" s="420">
        <f t="shared" si="315"/>
        <v>10.48</v>
      </c>
      <c r="K1207" s="421">
        <f t="shared" si="314"/>
        <v>12.45</v>
      </c>
      <c r="L1207" s="647" t="s">
        <v>79</v>
      </c>
      <c r="M1207" s="576"/>
      <c r="N1207" s="576">
        <f t="shared" si="317"/>
        <v>0</v>
      </c>
      <c r="O1207" s="577">
        <f t="shared" si="322"/>
        <v>0</v>
      </c>
      <c r="P1207" s="578">
        <f t="shared" si="323"/>
        <v>0</v>
      </c>
      <c r="Q1207" s="765"/>
      <c r="R1207" s="576">
        <f t="shared" si="319"/>
        <v>0</v>
      </c>
      <c r="S1207" s="576">
        <f t="shared" si="319"/>
        <v>0</v>
      </c>
      <c r="T1207" s="577">
        <f t="shared" si="320"/>
        <v>0</v>
      </c>
      <c r="U1207" s="578">
        <f t="shared" si="321"/>
        <v>0</v>
      </c>
      <c r="V1207" s="579"/>
      <c r="W1207" s="566"/>
      <c r="X1207" s="586" t="str">
        <f t="shared" si="313"/>
        <v/>
      </c>
      <c r="Y1207" s="586" t="str">
        <f t="shared" si="318"/>
        <v/>
      </c>
      <c r="Z1207" s="586" t="str">
        <f t="shared" si="316"/>
        <v/>
      </c>
    </row>
    <row r="1208" spans="1:26" ht="23.25" hidden="1" thickBot="1" x14ac:dyDescent="0.25">
      <c r="A1208" s="567">
        <v>91840</v>
      </c>
      <c r="B1208" s="644">
        <v>91840</v>
      </c>
      <c r="C1208" s="645" t="s">
        <v>670</v>
      </c>
      <c r="D1208" s="422" t="s">
        <v>1059</v>
      </c>
      <c r="E1208" s="423"/>
      <c r="F1208" s="424"/>
      <c r="G1208" s="425"/>
      <c r="H1208" s="651"/>
      <c r="I1208" s="420">
        <v>13.02</v>
      </c>
      <c r="J1208" s="420">
        <f t="shared" si="315"/>
        <v>13.02</v>
      </c>
      <c r="K1208" s="421">
        <f t="shared" si="314"/>
        <v>15.47</v>
      </c>
      <c r="L1208" s="647" t="s">
        <v>79</v>
      </c>
      <c r="M1208" s="576"/>
      <c r="N1208" s="576">
        <f t="shared" si="317"/>
        <v>0</v>
      </c>
      <c r="O1208" s="577">
        <f t="shared" si="322"/>
        <v>0</v>
      </c>
      <c r="P1208" s="578">
        <f t="shared" si="323"/>
        <v>0</v>
      </c>
      <c r="Q1208" s="765"/>
      <c r="R1208" s="576">
        <f t="shared" si="319"/>
        <v>0</v>
      </c>
      <c r="S1208" s="576">
        <f t="shared" si="319"/>
        <v>0</v>
      </c>
      <c r="T1208" s="577">
        <f t="shared" si="320"/>
        <v>0</v>
      </c>
      <c r="U1208" s="578">
        <f t="shared" si="321"/>
        <v>0</v>
      </c>
      <c r="V1208" s="579"/>
      <c r="W1208" s="566"/>
      <c r="X1208" s="586" t="str">
        <f t="shared" si="313"/>
        <v/>
      </c>
      <c r="Y1208" s="586" t="str">
        <f t="shared" si="318"/>
        <v/>
      </c>
      <c r="Z1208" s="586" t="str">
        <f t="shared" si="316"/>
        <v/>
      </c>
    </row>
    <row r="1209" spans="1:26" ht="23.25" hidden="1" thickBot="1" x14ac:dyDescent="0.25">
      <c r="A1209" s="567">
        <v>91841</v>
      </c>
      <c r="B1209" s="644">
        <v>91841</v>
      </c>
      <c r="C1209" s="645" t="s">
        <v>670</v>
      </c>
      <c r="D1209" s="422" t="s">
        <v>1060</v>
      </c>
      <c r="E1209" s="423"/>
      <c r="F1209" s="424"/>
      <c r="G1209" s="425"/>
      <c r="H1209" s="651"/>
      <c r="I1209" s="420">
        <v>12.42</v>
      </c>
      <c r="J1209" s="420">
        <f t="shared" si="315"/>
        <v>12.42</v>
      </c>
      <c r="K1209" s="421">
        <f t="shared" si="314"/>
        <v>14.76</v>
      </c>
      <c r="L1209" s="647" t="s">
        <v>79</v>
      </c>
      <c r="M1209" s="576"/>
      <c r="N1209" s="576">
        <f t="shared" si="317"/>
        <v>0</v>
      </c>
      <c r="O1209" s="577">
        <f t="shared" si="322"/>
        <v>0</v>
      </c>
      <c r="P1209" s="578">
        <f t="shared" si="323"/>
        <v>0</v>
      </c>
      <c r="Q1209" s="765"/>
      <c r="R1209" s="576">
        <f t="shared" si="319"/>
        <v>0</v>
      </c>
      <c r="S1209" s="576">
        <f t="shared" si="319"/>
        <v>0</v>
      </c>
      <c r="T1209" s="577">
        <f t="shared" si="320"/>
        <v>0</v>
      </c>
      <c r="U1209" s="578">
        <f t="shared" si="321"/>
        <v>0</v>
      </c>
      <c r="V1209" s="579"/>
      <c r="W1209" s="566"/>
      <c r="X1209" s="586" t="str">
        <f t="shared" si="313"/>
        <v/>
      </c>
      <c r="Y1209" s="586" t="str">
        <f t="shared" si="318"/>
        <v/>
      </c>
      <c r="Z1209" s="586" t="str">
        <f t="shared" si="316"/>
        <v/>
      </c>
    </row>
    <row r="1210" spans="1:26" ht="23.25" hidden="1" thickBot="1" x14ac:dyDescent="0.25">
      <c r="A1210" s="567">
        <v>91849</v>
      </c>
      <c r="B1210" s="644">
        <v>91849</v>
      </c>
      <c r="C1210" s="645" t="s">
        <v>670</v>
      </c>
      <c r="D1210" s="422" t="s">
        <v>1061</v>
      </c>
      <c r="E1210" s="423"/>
      <c r="F1210" s="424"/>
      <c r="G1210" s="425"/>
      <c r="H1210" s="651"/>
      <c r="I1210" s="420">
        <v>8.2100000000000009</v>
      </c>
      <c r="J1210" s="420">
        <f t="shared" si="315"/>
        <v>8.2100000000000009</v>
      </c>
      <c r="K1210" s="421">
        <f t="shared" si="314"/>
        <v>9.75</v>
      </c>
      <c r="L1210" s="647" t="s">
        <v>79</v>
      </c>
      <c r="M1210" s="576"/>
      <c r="N1210" s="576">
        <f t="shared" si="317"/>
        <v>0</v>
      </c>
      <c r="O1210" s="577">
        <f t="shared" si="322"/>
        <v>0</v>
      </c>
      <c r="P1210" s="578">
        <f t="shared" si="323"/>
        <v>0</v>
      </c>
      <c r="Q1210" s="765"/>
      <c r="R1210" s="576">
        <f t="shared" si="319"/>
        <v>0</v>
      </c>
      <c r="S1210" s="576">
        <f t="shared" si="319"/>
        <v>0</v>
      </c>
      <c r="T1210" s="577">
        <f t="shared" si="320"/>
        <v>0</v>
      </c>
      <c r="U1210" s="578">
        <f t="shared" si="321"/>
        <v>0</v>
      </c>
      <c r="V1210" s="579"/>
      <c r="W1210" s="566"/>
      <c r="X1210" s="586" t="str">
        <f t="shared" si="313"/>
        <v/>
      </c>
      <c r="Y1210" s="586" t="str">
        <f t="shared" si="318"/>
        <v/>
      </c>
      <c r="Z1210" s="586" t="str">
        <f t="shared" si="316"/>
        <v/>
      </c>
    </row>
    <row r="1211" spans="1:26" ht="23.25" hidden="1" thickBot="1" x14ac:dyDescent="0.25">
      <c r="A1211" s="567">
        <v>91850</v>
      </c>
      <c r="B1211" s="644">
        <v>91850</v>
      </c>
      <c r="C1211" s="645" t="s">
        <v>670</v>
      </c>
      <c r="D1211" s="422" t="s">
        <v>1062</v>
      </c>
      <c r="E1211" s="423"/>
      <c r="F1211" s="424"/>
      <c r="G1211" s="425"/>
      <c r="H1211" s="651"/>
      <c r="I1211" s="420">
        <v>10.81</v>
      </c>
      <c r="J1211" s="420">
        <f t="shared" si="315"/>
        <v>10.81</v>
      </c>
      <c r="K1211" s="421">
        <f t="shared" si="314"/>
        <v>12.84</v>
      </c>
      <c r="L1211" s="647" t="s">
        <v>79</v>
      </c>
      <c r="M1211" s="576"/>
      <c r="N1211" s="576">
        <f t="shared" si="317"/>
        <v>0</v>
      </c>
      <c r="O1211" s="577">
        <f t="shared" si="322"/>
        <v>0</v>
      </c>
      <c r="P1211" s="578">
        <f t="shared" si="323"/>
        <v>0</v>
      </c>
      <c r="Q1211" s="765"/>
      <c r="R1211" s="576">
        <f t="shared" si="319"/>
        <v>0</v>
      </c>
      <c r="S1211" s="576">
        <f t="shared" si="319"/>
        <v>0</v>
      </c>
      <c r="T1211" s="577">
        <f t="shared" si="320"/>
        <v>0</v>
      </c>
      <c r="U1211" s="578">
        <f t="shared" si="321"/>
        <v>0</v>
      </c>
      <c r="V1211" s="579"/>
      <c r="W1211" s="566"/>
      <c r="X1211" s="586" t="str">
        <f t="shared" si="313"/>
        <v/>
      </c>
      <c r="Y1211" s="586" t="str">
        <f t="shared" si="318"/>
        <v/>
      </c>
      <c r="Z1211" s="586" t="str">
        <f t="shared" si="316"/>
        <v/>
      </c>
    </row>
    <row r="1212" spans="1:26" ht="23.25" hidden="1" thickBot="1" x14ac:dyDescent="0.25">
      <c r="A1212" s="567">
        <v>91851</v>
      </c>
      <c r="B1212" s="644">
        <v>91851</v>
      </c>
      <c r="C1212" s="645" t="s">
        <v>670</v>
      </c>
      <c r="D1212" s="422" t="s">
        <v>1063</v>
      </c>
      <c r="E1212" s="423"/>
      <c r="F1212" s="424"/>
      <c r="G1212" s="425"/>
      <c r="H1212" s="651"/>
      <c r="I1212" s="420">
        <v>10.210000000000001</v>
      </c>
      <c r="J1212" s="420">
        <f t="shared" si="315"/>
        <v>10.210000000000001</v>
      </c>
      <c r="K1212" s="421">
        <f t="shared" si="314"/>
        <v>12.13</v>
      </c>
      <c r="L1212" s="647" t="s">
        <v>79</v>
      </c>
      <c r="M1212" s="576"/>
      <c r="N1212" s="576">
        <f t="shared" si="317"/>
        <v>0</v>
      </c>
      <c r="O1212" s="577">
        <f t="shared" si="322"/>
        <v>0</v>
      </c>
      <c r="P1212" s="578">
        <f t="shared" si="323"/>
        <v>0</v>
      </c>
      <c r="Q1212" s="765"/>
      <c r="R1212" s="576">
        <f t="shared" si="319"/>
        <v>0</v>
      </c>
      <c r="S1212" s="576">
        <f t="shared" si="319"/>
        <v>0</v>
      </c>
      <c r="T1212" s="577">
        <f t="shared" si="320"/>
        <v>0</v>
      </c>
      <c r="U1212" s="578">
        <f t="shared" si="321"/>
        <v>0</v>
      </c>
      <c r="V1212" s="579"/>
      <c r="W1212" s="566"/>
      <c r="X1212" s="586" t="str">
        <f t="shared" si="313"/>
        <v/>
      </c>
      <c r="Y1212" s="586" t="str">
        <f t="shared" si="318"/>
        <v/>
      </c>
      <c r="Z1212" s="586" t="str">
        <f t="shared" si="316"/>
        <v/>
      </c>
    </row>
    <row r="1213" spans="1:26" ht="23.25" hidden="1" thickBot="1" x14ac:dyDescent="0.25">
      <c r="A1213" s="567">
        <v>91859</v>
      </c>
      <c r="B1213" s="644">
        <v>91859</v>
      </c>
      <c r="C1213" s="645" t="s">
        <v>670</v>
      </c>
      <c r="D1213" s="422" t="s">
        <v>1064</v>
      </c>
      <c r="E1213" s="423"/>
      <c r="F1213" s="424"/>
      <c r="G1213" s="425"/>
      <c r="H1213" s="651"/>
      <c r="I1213" s="420">
        <v>10.95</v>
      </c>
      <c r="J1213" s="420">
        <f t="shared" si="315"/>
        <v>10.95</v>
      </c>
      <c r="K1213" s="421">
        <f t="shared" si="314"/>
        <v>13.01</v>
      </c>
      <c r="L1213" s="647" t="s">
        <v>79</v>
      </c>
      <c r="M1213" s="576"/>
      <c r="N1213" s="576">
        <f t="shared" si="317"/>
        <v>0</v>
      </c>
      <c r="O1213" s="577">
        <f t="shared" si="322"/>
        <v>0</v>
      </c>
      <c r="P1213" s="578">
        <f t="shared" si="323"/>
        <v>0</v>
      </c>
      <c r="Q1213" s="765"/>
      <c r="R1213" s="576">
        <f t="shared" si="319"/>
        <v>0</v>
      </c>
      <c r="S1213" s="576">
        <f t="shared" si="319"/>
        <v>0</v>
      </c>
      <c r="T1213" s="577">
        <f t="shared" si="320"/>
        <v>0</v>
      </c>
      <c r="U1213" s="578">
        <f t="shared" si="321"/>
        <v>0</v>
      </c>
      <c r="V1213" s="579"/>
      <c r="W1213" s="566"/>
      <c r="X1213" s="586" t="str">
        <f t="shared" ref="X1213:X1276" si="324">IF(W1213="X","x",IF(W1213="xx","x",IF(W1213="xy","x",IF(W1213="y","x",IF(OR(P1213&gt;0,U1213&gt;0),"x","")))))</f>
        <v/>
      </c>
      <c r="Y1213" s="586" t="str">
        <f t="shared" si="318"/>
        <v/>
      </c>
      <c r="Z1213" s="586" t="str">
        <f t="shared" si="316"/>
        <v/>
      </c>
    </row>
    <row r="1214" spans="1:26" ht="23.25" hidden="1" thickBot="1" x14ac:dyDescent="0.25">
      <c r="A1214" s="567">
        <v>91860</v>
      </c>
      <c r="B1214" s="644">
        <v>91860</v>
      </c>
      <c r="C1214" s="645" t="s">
        <v>670</v>
      </c>
      <c r="D1214" s="422" t="s">
        <v>1065</v>
      </c>
      <c r="E1214" s="423"/>
      <c r="F1214" s="424"/>
      <c r="G1214" s="425"/>
      <c r="H1214" s="651"/>
      <c r="I1214" s="420">
        <v>13.44</v>
      </c>
      <c r="J1214" s="420">
        <f t="shared" si="315"/>
        <v>13.44</v>
      </c>
      <c r="K1214" s="421">
        <f t="shared" si="314"/>
        <v>15.97</v>
      </c>
      <c r="L1214" s="647" t="s">
        <v>79</v>
      </c>
      <c r="M1214" s="576"/>
      <c r="N1214" s="576">
        <f t="shared" si="317"/>
        <v>0</v>
      </c>
      <c r="O1214" s="577">
        <f t="shared" si="322"/>
        <v>0</v>
      </c>
      <c r="P1214" s="578">
        <f t="shared" si="323"/>
        <v>0</v>
      </c>
      <c r="Q1214" s="765"/>
      <c r="R1214" s="576">
        <f t="shared" si="319"/>
        <v>0</v>
      </c>
      <c r="S1214" s="576">
        <f t="shared" si="319"/>
        <v>0</v>
      </c>
      <c r="T1214" s="577">
        <f t="shared" si="320"/>
        <v>0</v>
      </c>
      <c r="U1214" s="578">
        <f t="shared" si="321"/>
        <v>0</v>
      </c>
      <c r="V1214" s="579"/>
      <c r="W1214" s="566"/>
      <c r="X1214" s="586" t="str">
        <f t="shared" si="324"/>
        <v/>
      </c>
      <c r="Y1214" s="586" t="str">
        <f t="shared" si="318"/>
        <v/>
      </c>
      <c r="Z1214" s="586" t="str">
        <f t="shared" si="316"/>
        <v/>
      </c>
    </row>
    <row r="1215" spans="1:26" ht="23.25" hidden="1" thickBot="1" x14ac:dyDescent="0.25">
      <c r="A1215" s="567">
        <v>91861</v>
      </c>
      <c r="B1215" s="644">
        <v>91861</v>
      </c>
      <c r="C1215" s="645" t="s">
        <v>670</v>
      </c>
      <c r="D1215" s="422" t="s">
        <v>1066</v>
      </c>
      <c r="E1215" s="423"/>
      <c r="F1215" s="424"/>
      <c r="G1215" s="425"/>
      <c r="H1215" s="651"/>
      <c r="I1215" s="420">
        <v>12.88</v>
      </c>
      <c r="J1215" s="420">
        <f t="shared" si="315"/>
        <v>12.88</v>
      </c>
      <c r="K1215" s="421">
        <f t="shared" si="314"/>
        <v>15.3</v>
      </c>
      <c r="L1215" s="647" t="s">
        <v>79</v>
      </c>
      <c r="M1215" s="576"/>
      <c r="N1215" s="576">
        <f t="shared" si="317"/>
        <v>0</v>
      </c>
      <c r="O1215" s="577">
        <f t="shared" si="322"/>
        <v>0</v>
      </c>
      <c r="P1215" s="578">
        <f t="shared" si="323"/>
        <v>0</v>
      </c>
      <c r="Q1215" s="765"/>
      <c r="R1215" s="576">
        <f t="shared" si="319"/>
        <v>0</v>
      </c>
      <c r="S1215" s="576">
        <f t="shared" si="319"/>
        <v>0</v>
      </c>
      <c r="T1215" s="577">
        <f t="shared" si="320"/>
        <v>0</v>
      </c>
      <c r="U1215" s="578">
        <f t="shared" si="321"/>
        <v>0</v>
      </c>
      <c r="V1215" s="579"/>
      <c r="W1215" s="566"/>
      <c r="X1215" s="586" t="str">
        <f t="shared" si="324"/>
        <v/>
      </c>
      <c r="Y1215" s="586" t="str">
        <f t="shared" si="318"/>
        <v/>
      </c>
      <c r="Z1215" s="586" t="str">
        <f t="shared" si="316"/>
        <v/>
      </c>
    </row>
    <row r="1216" spans="1:26" ht="12" hidden="1" thickBot="1" x14ac:dyDescent="0.25">
      <c r="A1216" s="567">
        <v>97667</v>
      </c>
      <c r="B1216" s="644">
        <v>97667</v>
      </c>
      <c r="C1216" s="645" t="s">
        <v>670</v>
      </c>
      <c r="D1216" s="422" t="s">
        <v>1067</v>
      </c>
      <c r="E1216" s="423"/>
      <c r="F1216" s="424"/>
      <c r="G1216" s="425"/>
      <c r="H1216" s="651"/>
      <c r="I1216" s="420">
        <v>8.01</v>
      </c>
      <c r="J1216" s="420">
        <f t="shared" si="315"/>
        <v>8.01</v>
      </c>
      <c r="K1216" s="421">
        <f t="shared" si="314"/>
        <v>9.52</v>
      </c>
      <c r="L1216" s="647" t="s">
        <v>79</v>
      </c>
      <c r="M1216" s="576"/>
      <c r="N1216" s="576">
        <f t="shared" si="317"/>
        <v>0</v>
      </c>
      <c r="O1216" s="577">
        <f t="shared" si="322"/>
        <v>0</v>
      </c>
      <c r="P1216" s="578">
        <f t="shared" si="323"/>
        <v>0</v>
      </c>
      <c r="Q1216" s="765"/>
      <c r="R1216" s="576">
        <f t="shared" si="319"/>
        <v>0</v>
      </c>
      <c r="S1216" s="576">
        <f t="shared" si="319"/>
        <v>0</v>
      </c>
      <c r="T1216" s="577">
        <f t="shared" si="320"/>
        <v>0</v>
      </c>
      <c r="U1216" s="578">
        <f t="shared" si="321"/>
        <v>0</v>
      </c>
      <c r="V1216" s="579"/>
      <c r="W1216" s="566"/>
      <c r="X1216" s="586" t="str">
        <f t="shared" si="324"/>
        <v/>
      </c>
      <c r="Y1216" s="586" t="str">
        <f t="shared" si="318"/>
        <v/>
      </c>
      <c r="Z1216" s="586" t="str">
        <f t="shared" si="316"/>
        <v/>
      </c>
    </row>
    <row r="1217" spans="1:26" ht="12" hidden="1" thickBot="1" x14ac:dyDescent="0.25">
      <c r="A1217" s="567">
        <v>97668</v>
      </c>
      <c r="B1217" s="644">
        <v>97668</v>
      </c>
      <c r="C1217" s="645" t="s">
        <v>670</v>
      </c>
      <c r="D1217" s="422" t="s">
        <v>1068</v>
      </c>
      <c r="E1217" s="423"/>
      <c r="F1217" s="424"/>
      <c r="G1217" s="425"/>
      <c r="H1217" s="651"/>
      <c r="I1217" s="420">
        <v>11.42</v>
      </c>
      <c r="J1217" s="420">
        <f t="shared" si="315"/>
        <v>11.42</v>
      </c>
      <c r="K1217" s="421">
        <f t="shared" si="314"/>
        <v>13.57</v>
      </c>
      <c r="L1217" s="647" t="s">
        <v>79</v>
      </c>
      <c r="M1217" s="576"/>
      <c r="N1217" s="576">
        <f t="shared" si="317"/>
        <v>0</v>
      </c>
      <c r="O1217" s="577">
        <f t="shared" si="322"/>
        <v>0</v>
      </c>
      <c r="P1217" s="578">
        <f t="shared" si="323"/>
        <v>0</v>
      </c>
      <c r="Q1217" s="765"/>
      <c r="R1217" s="576">
        <f t="shared" si="319"/>
        <v>0</v>
      </c>
      <c r="S1217" s="576">
        <f t="shared" si="319"/>
        <v>0</v>
      </c>
      <c r="T1217" s="577">
        <f t="shared" si="320"/>
        <v>0</v>
      </c>
      <c r="U1217" s="578">
        <f t="shared" si="321"/>
        <v>0</v>
      </c>
      <c r="V1217" s="579"/>
      <c r="W1217" s="566"/>
      <c r="X1217" s="586" t="str">
        <f t="shared" si="324"/>
        <v/>
      </c>
      <c r="Y1217" s="586" t="str">
        <f t="shared" si="318"/>
        <v/>
      </c>
      <c r="Z1217" s="586" t="str">
        <f t="shared" si="316"/>
        <v/>
      </c>
    </row>
    <row r="1218" spans="1:26" ht="12" hidden="1" thickBot="1" x14ac:dyDescent="0.25">
      <c r="A1218" s="567">
        <v>97669</v>
      </c>
      <c r="B1218" s="644">
        <v>97669</v>
      </c>
      <c r="C1218" s="645" t="s">
        <v>670</v>
      </c>
      <c r="D1218" s="422" t="s">
        <v>1069</v>
      </c>
      <c r="E1218" s="423"/>
      <c r="F1218" s="424"/>
      <c r="G1218" s="425"/>
      <c r="H1218" s="651"/>
      <c r="I1218" s="420">
        <v>16.96</v>
      </c>
      <c r="J1218" s="420">
        <f t="shared" si="315"/>
        <v>16.96</v>
      </c>
      <c r="K1218" s="421">
        <f t="shared" si="314"/>
        <v>20.149999999999999</v>
      </c>
      <c r="L1218" s="647" t="s">
        <v>79</v>
      </c>
      <c r="M1218" s="576"/>
      <c r="N1218" s="576">
        <f t="shared" si="317"/>
        <v>0</v>
      </c>
      <c r="O1218" s="577">
        <f t="shared" si="322"/>
        <v>0</v>
      </c>
      <c r="P1218" s="578">
        <f t="shared" si="323"/>
        <v>0</v>
      </c>
      <c r="Q1218" s="765"/>
      <c r="R1218" s="576">
        <f t="shared" si="319"/>
        <v>0</v>
      </c>
      <c r="S1218" s="576">
        <f t="shared" si="319"/>
        <v>0</v>
      </c>
      <c r="T1218" s="577">
        <f t="shared" si="320"/>
        <v>0</v>
      </c>
      <c r="U1218" s="578">
        <f t="shared" si="321"/>
        <v>0</v>
      </c>
      <c r="V1218" s="579"/>
      <c r="W1218" s="566"/>
      <c r="X1218" s="586" t="str">
        <f t="shared" si="324"/>
        <v/>
      </c>
      <c r="Y1218" s="586" t="str">
        <f t="shared" si="318"/>
        <v/>
      </c>
      <c r="Z1218" s="586" t="str">
        <f t="shared" si="316"/>
        <v/>
      </c>
    </row>
    <row r="1219" spans="1:26" ht="12" hidden="1" thickBot="1" x14ac:dyDescent="0.25">
      <c r="A1219" s="567">
        <v>97670</v>
      </c>
      <c r="B1219" s="644">
        <v>97670</v>
      </c>
      <c r="C1219" s="645" t="s">
        <v>670</v>
      </c>
      <c r="D1219" s="422" t="s">
        <v>1070</v>
      </c>
      <c r="E1219" s="423"/>
      <c r="F1219" s="424"/>
      <c r="G1219" s="425"/>
      <c r="H1219" s="651"/>
      <c r="I1219" s="420">
        <v>21.64</v>
      </c>
      <c r="J1219" s="420">
        <f t="shared" si="315"/>
        <v>21.64</v>
      </c>
      <c r="K1219" s="421">
        <f t="shared" si="314"/>
        <v>25.71</v>
      </c>
      <c r="L1219" s="647" t="s">
        <v>79</v>
      </c>
      <c r="M1219" s="576"/>
      <c r="N1219" s="576">
        <f t="shared" si="317"/>
        <v>0</v>
      </c>
      <c r="O1219" s="577">
        <f t="shared" si="322"/>
        <v>0</v>
      </c>
      <c r="P1219" s="578">
        <f t="shared" si="323"/>
        <v>0</v>
      </c>
      <c r="Q1219" s="765"/>
      <c r="R1219" s="576">
        <f t="shared" si="319"/>
        <v>0</v>
      </c>
      <c r="S1219" s="576">
        <f t="shared" si="319"/>
        <v>0</v>
      </c>
      <c r="T1219" s="577">
        <f t="shared" si="320"/>
        <v>0</v>
      </c>
      <c r="U1219" s="578">
        <f t="shared" si="321"/>
        <v>0</v>
      </c>
      <c r="V1219" s="579"/>
      <c r="W1219" s="566"/>
      <c r="X1219" s="586" t="str">
        <f t="shared" si="324"/>
        <v/>
      </c>
      <c r="Y1219" s="586" t="str">
        <f t="shared" si="318"/>
        <v/>
      </c>
      <c r="Z1219" s="586" t="str">
        <f t="shared" si="316"/>
        <v/>
      </c>
    </row>
    <row r="1220" spans="1:26" ht="23.25" hidden="1" thickBot="1" x14ac:dyDescent="0.25">
      <c r="A1220" s="567">
        <v>91924</v>
      </c>
      <c r="B1220" s="644">
        <v>91924</v>
      </c>
      <c r="C1220" s="645" t="s">
        <v>670</v>
      </c>
      <c r="D1220" s="422" t="s">
        <v>1071</v>
      </c>
      <c r="E1220" s="423"/>
      <c r="F1220" s="424"/>
      <c r="G1220" s="425"/>
      <c r="H1220" s="651"/>
      <c r="I1220" s="420">
        <v>2.91</v>
      </c>
      <c r="J1220" s="420">
        <f t="shared" si="315"/>
        <v>2.91</v>
      </c>
      <c r="K1220" s="421">
        <f t="shared" si="314"/>
        <v>3.46</v>
      </c>
      <c r="L1220" s="647" t="s">
        <v>79</v>
      </c>
      <c r="M1220" s="576"/>
      <c r="N1220" s="576">
        <f t="shared" si="317"/>
        <v>0</v>
      </c>
      <c r="O1220" s="577">
        <f t="shared" si="322"/>
        <v>0</v>
      </c>
      <c r="P1220" s="578">
        <f t="shared" si="323"/>
        <v>0</v>
      </c>
      <c r="Q1220" s="765"/>
      <c r="R1220" s="576">
        <f t="shared" si="319"/>
        <v>0</v>
      </c>
      <c r="S1220" s="576">
        <f t="shared" si="319"/>
        <v>0</v>
      </c>
      <c r="T1220" s="577">
        <f t="shared" si="320"/>
        <v>0</v>
      </c>
      <c r="U1220" s="578">
        <f t="shared" si="321"/>
        <v>0</v>
      </c>
      <c r="V1220" s="579"/>
      <c r="W1220" s="566"/>
      <c r="X1220" s="586" t="str">
        <f t="shared" si="324"/>
        <v/>
      </c>
      <c r="Y1220" s="586" t="str">
        <f t="shared" si="318"/>
        <v/>
      </c>
      <c r="Z1220" s="586" t="str">
        <f t="shared" si="316"/>
        <v/>
      </c>
    </row>
    <row r="1221" spans="1:26" ht="23.25" hidden="1" thickBot="1" x14ac:dyDescent="0.25">
      <c r="A1221" s="567">
        <v>91926</v>
      </c>
      <c r="B1221" s="644">
        <v>91926</v>
      </c>
      <c r="C1221" s="645" t="s">
        <v>670</v>
      </c>
      <c r="D1221" s="422" t="s">
        <v>1072</v>
      </c>
      <c r="E1221" s="423"/>
      <c r="F1221" s="424"/>
      <c r="G1221" s="425"/>
      <c r="H1221" s="651"/>
      <c r="I1221" s="420">
        <v>4.2</v>
      </c>
      <c r="J1221" s="420">
        <f t="shared" si="315"/>
        <v>4.2</v>
      </c>
      <c r="K1221" s="421">
        <f t="shared" si="314"/>
        <v>4.99</v>
      </c>
      <c r="L1221" s="647" t="s">
        <v>79</v>
      </c>
      <c r="M1221" s="576"/>
      <c r="N1221" s="576">
        <f t="shared" si="317"/>
        <v>0</v>
      </c>
      <c r="O1221" s="577">
        <f t="shared" si="322"/>
        <v>0</v>
      </c>
      <c r="P1221" s="578">
        <f t="shared" si="323"/>
        <v>0</v>
      </c>
      <c r="Q1221" s="765"/>
      <c r="R1221" s="576">
        <f t="shared" si="319"/>
        <v>0</v>
      </c>
      <c r="S1221" s="576">
        <f t="shared" si="319"/>
        <v>0</v>
      </c>
      <c r="T1221" s="577">
        <f t="shared" si="320"/>
        <v>0</v>
      </c>
      <c r="U1221" s="578">
        <f t="shared" si="321"/>
        <v>0</v>
      </c>
      <c r="V1221" s="579"/>
      <c r="W1221" s="566"/>
      <c r="X1221" s="586" t="str">
        <f t="shared" si="324"/>
        <v/>
      </c>
      <c r="Y1221" s="586" t="str">
        <f t="shared" si="318"/>
        <v/>
      </c>
      <c r="Z1221" s="586" t="str">
        <f t="shared" si="316"/>
        <v/>
      </c>
    </row>
    <row r="1222" spans="1:26" ht="23.25" hidden="1" thickBot="1" x14ac:dyDescent="0.25">
      <c r="A1222" s="567">
        <v>91928</v>
      </c>
      <c r="B1222" s="644">
        <v>91928</v>
      </c>
      <c r="C1222" s="645" t="s">
        <v>670</v>
      </c>
      <c r="D1222" s="422" t="s">
        <v>1073</v>
      </c>
      <c r="E1222" s="423"/>
      <c r="F1222" s="424"/>
      <c r="G1222" s="425"/>
      <c r="H1222" s="651"/>
      <c r="I1222" s="420">
        <v>6.76</v>
      </c>
      <c r="J1222" s="420">
        <f t="shared" si="315"/>
        <v>6.76</v>
      </c>
      <c r="K1222" s="421">
        <f t="shared" si="314"/>
        <v>8.0299999999999994</v>
      </c>
      <c r="L1222" s="647" t="s">
        <v>79</v>
      </c>
      <c r="M1222" s="576"/>
      <c r="N1222" s="576">
        <f t="shared" si="317"/>
        <v>0</v>
      </c>
      <c r="O1222" s="577">
        <f t="shared" si="322"/>
        <v>0</v>
      </c>
      <c r="P1222" s="578">
        <f t="shared" si="323"/>
        <v>0</v>
      </c>
      <c r="Q1222" s="765"/>
      <c r="R1222" s="576">
        <f t="shared" si="319"/>
        <v>0</v>
      </c>
      <c r="S1222" s="576">
        <f t="shared" si="319"/>
        <v>0</v>
      </c>
      <c r="T1222" s="577">
        <f t="shared" si="320"/>
        <v>0</v>
      </c>
      <c r="U1222" s="578">
        <f t="shared" si="321"/>
        <v>0</v>
      </c>
      <c r="V1222" s="579"/>
      <c r="W1222" s="566"/>
      <c r="X1222" s="586" t="str">
        <f t="shared" si="324"/>
        <v/>
      </c>
      <c r="Y1222" s="586" t="str">
        <f t="shared" si="318"/>
        <v/>
      </c>
      <c r="Z1222" s="586" t="str">
        <f t="shared" si="316"/>
        <v/>
      </c>
    </row>
    <row r="1223" spans="1:26" ht="23.25" hidden="1" thickBot="1" x14ac:dyDescent="0.25">
      <c r="A1223" s="567">
        <v>91930</v>
      </c>
      <c r="B1223" s="644">
        <v>91930</v>
      </c>
      <c r="C1223" s="645" t="s">
        <v>670</v>
      </c>
      <c r="D1223" s="422" t="s">
        <v>1074</v>
      </c>
      <c r="E1223" s="423"/>
      <c r="F1223" s="424"/>
      <c r="G1223" s="425"/>
      <c r="H1223" s="651"/>
      <c r="I1223" s="420">
        <v>9.24</v>
      </c>
      <c r="J1223" s="420">
        <f t="shared" si="315"/>
        <v>9.24</v>
      </c>
      <c r="K1223" s="421">
        <f t="shared" si="314"/>
        <v>10.98</v>
      </c>
      <c r="L1223" s="647" t="s">
        <v>79</v>
      </c>
      <c r="M1223" s="576"/>
      <c r="N1223" s="576">
        <f t="shared" si="317"/>
        <v>0</v>
      </c>
      <c r="O1223" s="577">
        <f t="shared" si="322"/>
        <v>0</v>
      </c>
      <c r="P1223" s="578">
        <f t="shared" si="323"/>
        <v>0</v>
      </c>
      <c r="Q1223" s="765"/>
      <c r="R1223" s="576">
        <f t="shared" si="319"/>
        <v>0</v>
      </c>
      <c r="S1223" s="576">
        <f t="shared" si="319"/>
        <v>0</v>
      </c>
      <c r="T1223" s="577">
        <f t="shared" si="320"/>
        <v>0</v>
      </c>
      <c r="U1223" s="578">
        <f t="shared" si="321"/>
        <v>0</v>
      </c>
      <c r="V1223" s="579"/>
      <c r="W1223" s="566"/>
      <c r="X1223" s="586" t="str">
        <f t="shared" si="324"/>
        <v/>
      </c>
      <c r="Y1223" s="586" t="str">
        <f t="shared" si="318"/>
        <v/>
      </c>
      <c r="Z1223" s="586" t="str">
        <f t="shared" si="316"/>
        <v/>
      </c>
    </row>
    <row r="1224" spans="1:26" ht="23.25" hidden="1" thickBot="1" x14ac:dyDescent="0.25">
      <c r="A1224" s="567">
        <v>91932</v>
      </c>
      <c r="B1224" s="644">
        <v>91932</v>
      </c>
      <c r="C1224" s="645" t="s">
        <v>670</v>
      </c>
      <c r="D1224" s="422" t="s">
        <v>1075</v>
      </c>
      <c r="E1224" s="423"/>
      <c r="F1224" s="424"/>
      <c r="G1224" s="425"/>
      <c r="H1224" s="651"/>
      <c r="I1224" s="420">
        <v>15.13</v>
      </c>
      <c r="J1224" s="420">
        <f t="shared" si="315"/>
        <v>15.13</v>
      </c>
      <c r="K1224" s="421">
        <f t="shared" si="314"/>
        <v>17.98</v>
      </c>
      <c r="L1224" s="647" t="s">
        <v>79</v>
      </c>
      <c r="M1224" s="576"/>
      <c r="N1224" s="576">
        <f t="shared" si="317"/>
        <v>0</v>
      </c>
      <c r="O1224" s="577">
        <f t="shared" si="322"/>
        <v>0</v>
      </c>
      <c r="P1224" s="578">
        <f t="shared" si="323"/>
        <v>0</v>
      </c>
      <c r="Q1224" s="765"/>
      <c r="R1224" s="576">
        <f t="shared" si="319"/>
        <v>0</v>
      </c>
      <c r="S1224" s="576">
        <f t="shared" si="319"/>
        <v>0</v>
      </c>
      <c r="T1224" s="577">
        <f t="shared" si="320"/>
        <v>0</v>
      </c>
      <c r="U1224" s="578">
        <f t="shared" si="321"/>
        <v>0</v>
      </c>
      <c r="V1224" s="579"/>
      <c r="W1224" s="566"/>
      <c r="X1224" s="586" t="str">
        <f t="shared" si="324"/>
        <v/>
      </c>
      <c r="Y1224" s="586" t="str">
        <f t="shared" si="318"/>
        <v/>
      </c>
      <c r="Z1224" s="586" t="str">
        <f t="shared" si="316"/>
        <v/>
      </c>
    </row>
    <row r="1225" spans="1:26" ht="23.25" hidden="1" thickBot="1" x14ac:dyDescent="0.25">
      <c r="A1225" s="567">
        <v>91934</v>
      </c>
      <c r="B1225" s="644">
        <v>91934</v>
      </c>
      <c r="C1225" s="645" t="s">
        <v>670</v>
      </c>
      <c r="D1225" s="422" t="s">
        <v>1076</v>
      </c>
      <c r="E1225" s="423"/>
      <c r="F1225" s="424"/>
      <c r="G1225" s="425"/>
      <c r="H1225" s="651"/>
      <c r="I1225" s="420">
        <v>23.1</v>
      </c>
      <c r="J1225" s="420">
        <f t="shared" si="315"/>
        <v>23.1</v>
      </c>
      <c r="K1225" s="421">
        <f t="shared" ref="K1225:K1288" si="325">IF(ISBLANK(I1225),0,ROUND(J1225*(1+$F$10)*(1+$F$11*E1225),2))</f>
        <v>27.45</v>
      </c>
      <c r="L1225" s="647" t="s">
        <v>79</v>
      </c>
      <c r="M1225" s="576"/>
      <c r="N1225" s="576">
        <f t="shared" si="317"/>
        <v>0</v>
      </c>
      <c r="O1225" s="577">
        <f t="shared" si="322"/>
        <v>0</v>
      </c>
      <c r="P1225" s="578">
        <f t="shared" si="323"/>
        <v>0</v>
      </c>
      <c r="Q1225" s="765"/>
      <c r="R1225" s="576">
        <f t="shared" si="319"/>
        <v>0</v>
      </c>
      <c r="S1225" s="576">
        <f t="shared" si="319"/>
        <v>0</v>
      </c>
      <c r="T1225" s="577">
        <f t="shared" si="320"/>
        <v>0</v>
      </c>
      <c r="U1225" s="578">
        <f t="shared" si="321"/>
        <v>0</v>
      </c>
      <c r="V1225" s="579"/>
      <c r="W1225" s="566"/>
      <c r="X1225" s="586" t="str">
        <f t="shared" si="324"/>
        <v/>
      </c>
      <c r="Y1225" s="586" t="str">
        <f t="shared" si="318"/>
        <v/>
      </c>
      <c r="Z1225" s="586" t="str">
        <f t="shared" si="316"/>
        <v/>
      </c>
    </row>
    <row r="1226" spans="1:26" ht="23.25" hidden="1" thickBot="1" x14ac:dyDescent="0.25">
      <c r="A1226" s="567">
        <v>92979</v>
      </c>
      <c r="B1226" s="644">
        <v>92979</v>
      </c>
      <c r="C1226" s="645" t="s">
        <v>670</v>
      </c>
      <c r="D1226" s="422" t="s">
        <v>1077</v>
      </c>
      <c r="E1226" s="423"/>
      <c r="F1226" s="424"/>
      <c r="G1226" s="425"/>
      <c r="H1226" s="651"/>
      <c r="I1226" s="420">
        <v>10.07</v>
      </c>
      <c r="J1226" s="420">
        <f t="shared" si="315"/>
        <v>10.07</v>
      </c>
      <c r="K1226" s="421">
        <f t="shared" si="325"/>
        <v>11.96</v>
      </c>
      <c r="L1226" s="647" t="s">
        <v>79</v>
      </c>
      <c r="M1226" s="576"/>
      <c r="N1226" s="576">
        <f t="shared" si="317"/>
        <v>0</v>
      </c>
      <c r="O1226" s="577">
        <f t="shared" si="322"/>
        <v>0</v>
      </c>
      <c r="P1226" s="578">
        <f t="shared" si="323"/>
        <v>0</v>
      </c>
      <c r="Q1226" s="765"/>
      <c r="R1226" s="576">
        <f t="shared" si="319"/>
        <v>0</v>
      </c>
      <c r="S1226" s="576">
        <f t="shared" si="319"/>
        <v>0</v>
      </c>
      <c r="T1226" s="577">
        <f t="shared" si="320"/>
        <v>0</v>
      </c>
      <c r="U1226" s="578">
        <f t="shared" si="321"/>
        <v>0</v>
      </c>
      <c r="V1226" s="579"/>
      <c r="W1226" s="566"/>
      <c r="X1226" s="586" t="str">
        <f t="shared" si="324"/>
        <v/>
      </c>
      <c r="Y1226" s="586" t="str">
        <f t="shared" si="318"/>
        <v/>
      </c>
      <c r="Z1226" s="586" t="str">
        <f t="shared" si="316"/>
        <v/>
      </c>
    </row>
    <row r="1227" spans="1:26" ht="23.25" hidden="1" thickBot="1" x14ac:dyDescent="0.25">
      <c r="A1227" s="567">
        <v>92981</v>
      </c>
      <c r="B1227" s="644">
        <v>92981</v>
      </c>
      <c r="C1227" s="645" t="s">
        <v>670</v>
      </c>
      <c r="D1227" s="422" t="s">
        <v>1078</v>
      </c>
      <c r="E1227" s="423"/>
      <c r="F1227" s="424"/>
      <c r="G1227" s="425"/>
      <c r="H1227" s="651"/>
      <c r="I1227" s="420">
        <v>15.44</v>
      </c>
      <c r="J1227" s="420">
        <f t="shared" si="315"/>
        <v>15.44</v>
      </c>
      <c r="K1227" s="421">
        <f t="shared" si="325"/>
        <v>18.34</v>
      </c>
      <c r="L1227" s="647" t="s">
        <v>79</v>
      </c>
      <c r="M1227" s="576"/>
      <c r="N1227" s="576">
        <f t="shared" si="317"/>
        <v>0</v>
      </c>
      <c r="O1227" s="577">
        <f t="shared" si="322"/>
        <v>0</v>
      </c>
      <c r="P1227" s="578">
        <f t="shared" si="323"/>
        <v>0</v>
      </c>
      <c r="Q1227" s="765"/>
      <c r="R1227" s="576">
        <f t="shared" si="319"/>
        <v>0</v>
      </c>
      <c r="S1227" s="576">
        <f t="shared" si="319"/>
        <v>0</v>
      </c>
      <c r="T1227" s="577">
        <f t="shared" si="320"/>
        <v>0</v>
      </c>
      <c r="U1227" s="578">
        <f t="shared" si="321"/>
        <v>0</v>
      </c>
      <c r="V1227" s="579"/>
      <c r="W1227" s="566"/>
      <c r="X1227" s="586" t="str">
        <f t="shared" si="324"/>
        <v/>
      </c>
      <c r="Y1227" s="586" t="str">
        <f t="shared" si="318"/>
        <v/>
      </c>
      <c r="Z1227" s="586" t="str">
        <f t="shared" si="316"/>
        <v/>
      </c>
    </row>
    <row r="1228" spans="1:26" ht="23.25" hidden="1" thickBot="1" x14ac:dyDescent="0.25">
      <c r="A1228" s="567">
        <v>91925</v>
      </c>
      <c r="B1228" s="644">
        <v>91925</v>
      </c>
      <c r="C1228" s="645" t="s">
        <v>670</v>
      </c>
      <c r="D1228" s="422" t="s">
        <v>1079</v>
      </c>
      <c r="E1228" s="423"/>
      <c r="F1228" s="424"/>
      <c r="G1228" s="425"/>
      <c r="H1228" s="651"/>
      <c r="I1228" s="420">
        <v>4.07</v>
      </c>
      <c r="J1228" s="420">
        <f t="shared" si="315"/>
        <v>4.07</v>
      </c>
      <c r="K1228" s="421">
        <f t="shared" si="325"/>
        <v>4.84</v>
      </c>
      <c r="L1228" s="647" t="s">
        <v>79</v>
      </c>
      <c r="M1228" s="576"/>
      <c r="N1228" s="576">
        <f t="shared" si="317"/>
        <v>0</v>
      </c>
      <c r="O1228" s="577">
        <f t="shared" si="322"/>
        <v>0</v>
      </c>
      <c r="P1228" s="578">
        <f t="shared" si="323"/>
        <v>0</v>
      </c>
      <c r="Q1228" s="765"/>
      <c r="R1228" s="576">
        <f t="shared" si="319"/>
        <v>0</v>
      </c>
      <c r="S1228" s="576">
        <f t="shared" si="319"/>
        <v>0</v>
      </c>
      <c r="T1228" s="577">
        <f t="shared" si="320"/>
        <v>0</v>
      </c>
      <c r="U1228" s="578">
        <f t="shared" si="321"/>
        <v>0</v>
      </c>
      <c r="V1228" s="579"/>
      <c r="W1228" s="566"/>
      <c r="X1228" s="586" t="str">
        <f t="shared" si="324"/>
        <v/>
      </c>
      <c r="Y1228" s="586" t="str">
        <f t="shared" si="318"/>
        <v/>
      </c>
      <c r="Z1228" s="586" t="str">
        <f t="shared" si="316"/>
        <v/>
      </c>
    </row>
    <row r="1229" spans="1:26" ht="23.25" hidden="1" thickBot="1" x14ac:dyDescent="0.25">
      <c r="A1229" s="567">
        <v>91927</v>
      </c>
      <c r="B1229" s="644">
        <v>91927</v>
      </c>
      <c r="C1229" s="645" t="s">
        <v>670</v>
      </c>
      <c r="D1229" s="422" t="s">
        <v>1080</v>
      </c>
      <c r="E1229" s="423"/>
      <c r="F1229" s="424"/>
      <c r="G1229" s="425"/>
      <c r="H1229" s="651"/>
      <c r="I1229" s="420">
        <v>5.46</v>
      </c>
      <c r="J1229" s="420">
        <f t="shared" si="315"/>
        <v>5.46</v>
      </c>
      <c r="K1229" s="421">
        <f t="shared" si="325"/>
        <v>6.49</v>
      </c>
      <c r="L1229" s="647" t="s">
        <v>79</v>
      </c>
      <c r="M1229" s="576"/>
      <c r="N1229" s="576">
        <f t="shared" si="317"/>
        <v>0</v>
      </c>
      <c r="O1229" s="577">
        <f t="shared" si="322"/>
        <v>0</v>
      </c>
      <c r="P1229" s="578">
        <f t="shared" si="323"/>
        <v>0</v>
      </c>
      <c r="Q1229" s="765"/>
      <c r="R1229" s="576">
        <f t="shared" si="319"/>
        <v>0</v>
      </c>
      <c r="S1229" s="576">
        <f t="shared" si="319"/>
        <v>0</v>
      </c>
      <c r="T1229" s="577">
        <f t="shared" si="320"/>
        <v>0</v>
      </c>
      <c r="U1229" s="578">
        <f t="shared" si="321"/>
        <v>0</v>
      </c>
      <c r="V1229" s="579"/>
      <c r="W1229" s="566"/>
      <c r="X1229" s="586" t="str">
        <f t="shared" si="324"/>
        <v/>
      </c>
      <c r="Y1229" s="586" t="str">
        <f t="shared" si="318"/>
        <v/>
      </c>
      <c r="Z1229" s="586" t="str">
        <f t="shared" si="316"/>
        <v/>
      </c>
    </row>
    <row r="1230" spans="1:26" ht="23.25" hidden="1" thickBot="1" x14ac:dyDescent="0.25">
      <c r="A1230" s="567">
        <v>91929</v>
      </c>
      <c r="B1230" s="644">
        <v>91929</v>
      </c>
      <c r="C1230" s="645" t="s">
        <v>670</v>
      </c>
      <c r="D1230" s="422" t="s">
        <v>1081</v>
      </c>
      <c r="E1230" s="423"/>
      <c r="F1230" s="424"/>
      <c r="G1230" s="425"/>
      <c r="H1230" s="651"/>
      <c r="I1230" s="420">
        <v>7.64</v>
      </c>
      <c r="J1230" s="420">
        <f t="shared" si="315"/>
        <v>7.64</v>
      </c>
      <c r="K1230" s="421">
        <f t="shared" si="325"/>
        <v>9.08</v>
      </c>
      <c r="L1230" s="647" t="s">
        <v>79</v>
      </c>
      <c r="M1230" s="576"/>
      <c r="N1230" s="576">
        <f t="shared" si="317"/>
        <v>0</v>
      </c>
      <c r="O1230" s="577">
        <f t="shared" si="322"/>
        <v>0</v>
      </c>
      <c r="P1230" s="578">
        <f t="shared" si="323"/>
        <v>0</v>
      </c>
      <c r="Q1230" s="765"/>
      <c r="R1230" s="576">
        <f t="shared" si="319"/>
        <v>0</v>
      </c>
      <c r="S1230" s="576">
        <f t="shared" si="319"/>
        <v>0</v>
      </c>
      <c r="T1230" s="577">
        <f t="shared" si="320"/>
        <v>0</v>
      </c>
      <c r="U1230" s="578">
        <f t="shared" si="321"/>
        <v>0</v>
      </c>
      <c r="V1230" s="579"/>
      <c r="W1230" s="566"/>
      <c r="X1230" s="586" t="str">
        <f t="shared" si="324"/>
        <v/>
      </c>
      <c r="Y1230" s="586" t="str">
        <f t="shared" si="318"/>
        <v/>
      </c>
      <c r="Z1230" s="586" t="str">
        <f t="shared" si="316"/>
        <v/>
      </c>
    </row>
    <row r="1231" spans="1:26" ht="23.25" hidden="1" thickBot="1" x14ac:dyDescent="0.25">
      <c r="A1231" s="567">
        <v>91931</v>
      </c>
      <c r="B1231" s="644">
        <v>91931</v>
      </c>
      <c r="C1231" s="645" t="s">
        <v>670</v>
      </c>
      <c r="D1231" s="422" t="s">
        <v>1082</v>
      </c>
      <c r="E1231" s="423"/>
      <c r="F1231" s="424"/>
      <c r="G1231" s="425"/>
      <c r="H1231" s="651"/>
      <c r="I1231" s="420">
        <v>10.3</v>
      </c>
      <c r="J1231" s="420">
        <f t="shared" si="315"/>
        <v>10.3</v>
      </c>
      <c r="K1231" s="421">
        <f t="shared" si="325"/>
        <v>12.24</v>
      </c>
      <c r="L1231" s="647" t="s">
        <v>79</v>
      </c>
      <c r="M1231" s="576"/>
      <c r="N1231" s="576">
        <f t="shared" si="317"/>
        <v>0</v>
      </c>
      <c r="O1231" s="577">
        <f t="shared" si="322"/>
        <v>0</v>
      </c>
      <c r="P1231" s="578">
        <f t="shared" si="323"/>
        <v>0</v>
      </c>
      <c r="Q1231" s="765"/>
      <c r="R1231" s="576">
        <f t="shared" si="319"/>
        <v>0</v>
      </c>
      <c r="S1231" s="576">
        <f t="shared" si="319"/>
        <v>0</v>
      </c>
      <c r="T1231" s="577">
        <f t="shared" si="320"/>
        <v>0</v>
      </c>
      <c r="U1231" s="578">
        <f t="shared" si="321"/>
        <v>0</v>
      </c>
      <c r="V1231" s="579"/>
      <c r="W1231" s="566"/>
      <c r="X1231" s="586" t="str">
        <f t="shared" si="324"/>
        <v/>
      </c>
      <c r="Y1231" s="586" t="str">
        <f t="shared" si="318"/>
        <v/>
      </c>
      <c r="Z1231" s="586" t="str">
        <f t="shared" si="316"/>
        <v/>
      </c>
    </row>
    <row r="1232" spans="1:26" ht="23.25" hidden="1" thickBot="1" x14ac:dyDescent="0.25">
      <c r="A1232" s="567">
        <v>91933</v>
      </c>
      <c r="B1232" s="644">
        <v>91933</v>
      </c>
      <c r="C1232" s="645" t="s">
        <v>670</v>
      </c>
      <c r="D1232" s="422" t="s">
        <v>1083</v>
      </c>
      <c r="E1232" s="423"/>
      <c r="F1232" s="424"/>
      <c r="G1232" s="425"/>
      <c r="H1232" s="651"/>
      <c r="I1232" s="420">
        <v>16.13</v>
      </c>
      <c r="J1232" s="420">
        <f t="shared" si="315"/>
        <v>16.13</v>
      </c>
      <c r="K1232" s="421">
        <f t="shared" si="325"/>
        <v>19.16</v>
      </c>
      <c r="L1232" s="647" t="s">
        <v>79</v>
      </c>
      <c r="M1232" s="576"/>
      <c r="N1232" s="576">
        <f t="shared" si="317"/>
        <v>0</v>
      </c>
      <c r="O1232" s="577">
        <f t="shared" si="322"/>
        <v>0</v>
      </c>
      <c r="P1232" s="578">
        <f t="shared" si="323"/>
        <v>0</v>
      </c>
      <c r="Q1232" s="765"/>
      <c r="R1232" s="576">
        <f t="shared" si="319"/>
        <v>0</v>
      </c>
      <c r="S1232" s="576">
        <f t="shared" si="319"/>
        <v>0</v>
      </c>
      <c r="T1232" s="577">
        <f t="shared" si="320"/>
        <v>0</v>
      </c>
      <c r="U1232" s="578">
        <f t="shared" si="321"/>
        <v>0</v>
      </c>
      <c r="V1232" s="579"/>
      <c r="W1232" s="566"/>
      <c r="X1232" s="586" t="str">
        <f t="shared" si="324"/>
        <v/>
      </c>
      <c r="Y1232" s="586" t="str">
        <f t="shared" si="318"/>
        <v/>
      </c>
      <c r="Z1232" s="586" t="str">
        <f t="shared" si="316"/>
        <v/>
      </c>
    </row>
    <row r="1233" spans="1:26" ht="23.25" hidden="1" thickBot="1" x14ac:dyDescent="0.25">
      <c r="A1233" s="567">
        <v>91935</v>
      </c>
      <c r="B1233" s="644">
        <v>91935</v>
      </c>
      <c r="C1233" s="645" t="s">
        <v>670</v>
      </c>
      <c r="D1233" s="422" t="s">
        <v>1084</v>
      </c>
      <c r="E1233" s="423"/>
      <c r="F1233" s="424"/>
      <c r="G1233" s="425"/>
      <c r="H1233" s="651"/>
      <c r="I1233" s="420">
        <v>24.55</v>
      </c>
      <c r="J1233" s="420">
        <f t="shared" si="315"/>
        <v>24.55</v>
      </c>
      <c r="K1233" s="421">
        <f t="shared" si="325"/>
        <v>29.17</v>
      </c>
      <c r="L1233" s="647" t="s">
        <v>79</v>
      </c>
      <c r="M1233" s="576"/>
      <c r="N1233" s="576">
        <f t="shared" si="317"/>
        <v>0</v>
      </c>
      <c r="O1233" s="577">
        <f t="shared" si="322"/>
        <v>0</v>
      </c>
      <c r="P1233" s="578">
        <f t="shared" si="323"/>
        <v>0</v>
      </c>
      <c r="Q1233" s="765"/>
      <c r="R1233" s="576">
        <f t="shared" si="319"/>
        <v>0</v>
      </c>
      <c r="S1233" s="576">
        <f t="shared" si="319"/>
        <v>0</v>
      </c>
      <c r="T1233" s="577">
        <f t="shared" si="320"/>
        <v>0</v>
      </c>
      <c r="U1233" s="578">
        <f t="shared" si="321"/>
        <v>0</v>
      </c>
      <c r="V1233" s="579"/>
      <c r="W1233" s="566"/>
      <c r="X1233" s="586" t="str">
        <f t="shared" si="324"/>
        <v/>
      </c>
      <c r="Y1233" s="586" t="str">
        <f t="shared" si="318"/>
        <v/>
      </c>
      <c r="Z1233" s="586" t="str">
        <f t="shared" si="316"/>
        <v/>
      </c>
    </row>
    <row r="1234" spans="1:26" ht="23.25" hidden="1" thickBot="1" x14ac:dyDescent="0.25">
      <c r="A1234" s="567">
        <v>92980</v>
      </c>
      <c r="B1234" s="644">
        <v>92980</v>
      </c>
      <c r="C1234" s="645" t="s">
        <v>670</v>
      </c>
      <c r="D1234" s="422" t="s">
        <v>1085</v>
      </c>
      <c r="E1234" s="423"/>
      <c r="F1234" s="424"/>
      <c r="G1234" s="425"/>
      <c r="H1234" s="651"/>
      <c r="I1234" s="420">
        <v>10.93</v>
      </c>
      <c r="J1234" s="420">
        <f t="shared" si="315"/>
        <v>10.93</v>
      </c>
      <c r="K1234" s="421">
        <f t="shared" si="325"/>
        <v>12.99</v>
      </c>
      <c r="L1234" s="647" t="s">
        <v>79</v>
      </c>
      <c r="M1234" s="576"/>
      <c r="N1234" s="576">
        <f t="shared" si="317"/>
        <v>0</v>
      </c>
      <c r="O1234" s="577">
        <f t="shared" si="322"/>
        <v>0</v>
      </c>
      <c r="P1234" s="578">
        <f t="shared" si="323"/>
        <v>0</v>
      </c>
      <c r="Q1234" s="765"/>
      <c r="R1234" s="576">
        <f t="shared" si="319"/>
        <v>0</v>
      </c>
      <c r="S1234" s="576">
        <f t="shared" si="319"/>
        <v>0</v>
      </c>
      <c r="T1234" s="577">
        <f t="shared" si="320"/>
        <v>0</v>
      </c>
      <c r="U1234" s="578">
        <f t="shared" si="321"/>
        <v>0</v>
      </c>
      <c r="V1234" s="579"/>
      <c r="W1234" s="566"/>
      <c r="X1234" s="586" t="str">
        <f t="shared" si="324"/>
        <v/>
      </c>
      <c r="Y1234" s="586" t="str">
        <f t="shared" si="318"/>
        <v/>
      </c>
      <c r="Z1234" s="586" t="str">
        <f t="shared" si="316"/>
        <v/>
      </c>
    </row>
    <row r="1235" spans="1:26" ht="23.25" hidden="1" thickBot="1" x14ac:dyDescent="0.25">
      <c r="A1235" s="567">
        <v>92982</v>
      </c>
      <c r="B1235" s="644">
        <v>92982</v>
      </c>
      <c r="C1235" s="645" t="s">
        <v>670</v>
      </c>
      <c r="D1235" s="422" t="s">
        <v>1086</v>
      </c>
      <c r="E1235" s="423"/>
      <c r="F1235" s="424"/>
      <c r="G1235" s="425"/>
      <c r="H1235" s="651"/>
      <c r="I1235" s="420">
        <v>16.690000000000001</v>
      </c>
      <c r="J1235" s="420">
        <f t="shared" ref="J1235:J1298" si="326">IF(ISBLANK(I1235),"",SUM(H1235:I1235))</f>
        <v>16.690000000000001</v>
      </c>
      <c r="K1235" s="421">
        <f t="shared" si="325"/>
        <v>19.829999999999998</v>
      </c>
      <c r="L1235" s="647" t="s">
        <v>79</v>
      </c>
      <c r="M1235" s="576"/>
      <c r="N1235" s="576">
        <f t="shared" si="317"/>
        <v>0</v>
      </c>
      <c r="O1235" s="577">
        <f t="shared" si="322"/>
        <v>0</v>
      </c>
      <c r="P1235" s="578">
        <f t="shared" si="323"/>
        <v>0</v>
      </c>
      <c r="Q1235" s="765"/>
      <c r="R1235" s="576">
        <f t="shared" si="319"/>
        <v>0</v>
      </c>
      <c r="S1235" s="576">
        <f t="shared" si="319"/>
        <v>0</v>
      </c>
      <c r="T1235" s="577">
        <f t="shared" si="320"/>
        <v>0</v>
      </c>
      <c r="U1235" s="578">
        <f t="shared" si="321"/>
        <v>0</v>
      </c>
      <c r="V1235" s="579"/>
      <c r="W1235" s="566"/>
      <c r="X1235" s="586" t="str">
        <f t="shared" si="324"/>
        <v/>
      </c>
      <c r="Y1235" s="586" t="str">
        <f t="shared" si="318"/>
        <v/>
      </c>
      <c r="Z1235" s="586" t="str">
        <f t="shared" ref="Z1235:Z1298" si="327">IF(W1235="X","x",IF(U1235&gt;0,"x",""))</f>
        <v/>
      </c>
    </row>
    <row r="1236" spans="1:26" ht="23.25" hidden="1" thickBot="1" x14ac:dyDescent="0.25">
      <c r="A1236" s="567">
        <v>92984</v>
      </c>
      <c r="B1236" s="644">
        <v>92984</v>
      </c>
      <c r="C1236" s="645" t="s">
        <v>670</v>
      </c>
      <c r="D1236" s="422" t="s">
        <v>1087</v>
      </c>
      <c r="E1236" s="423"/>
      <c r="F1236" s="424"/>
      <c r="G1236" s="425"/>
      <c r="H1236" s="651"/>
      <c r="I1236" s="420">
        <v>27.25</v>
      </c>
      <c r="J1236" s="420">
        <f t="shared" si="326"/>
        <v>27.25</v>
      </c>
      <c r="K1236" s="421">
        <f t="shared" si="325"/>
        <v>32.380000000000003</v>
      </c>
      <c r="L1236" s="647" t="s">
        <v>79</v>
      </c>
      <c r="M1236" s="576"/>
      <c r="N1236" s="576">
        <f t="shared" ref="N1236:N1299" si="328">IF(M1236=0,0,K1236)</f>
        <v>0</v>
      </c>
      <c r="O1236" s="577">
        <f t="shared" si="322"/>
        <v>0</v>
      </c>
      <c r="P1236" s="578">
        <f t="shared" si="323"/>
        <v>0</v>
      </c>
      <c r="Q1236" s="765"/>
      <c r="R1236" s="576">
        <f t="shared" si="319"/>
        <v>0</v>
      </c>
      <c r="S1236" s="576">
        <f t="shared" si="319"/>
        <v>0</v>
      </c>
      <c r="T1236" s="577">
        <f t="shared" si="320"/>
        <v>0</v>
      </c>
      <c r="U1236" s="578">
        <f t="shared" si="321"/>
        <v>0</v>
      </c>
      <c r="V1236" s="579"/>
      <c r="W1236" s="566"/>
      <c r="X1236" s="586" t="str">
        <f t="shared" si="324"/>
        <v/>
      </c>
      <c r="Y1236" s="586" t="str">
        <f t="shared" si="318"/>
        <v/>
      </c>
      <c r="Z1236" s="586" t="str">
        <f t="shared" si="327"/>
        <v/>
      </c>
    </row>
    <row r="1237" spans="1:26" ht="23.25" hidden="1" thickBot="1" x14ac:dyDescent="0.25">
      <c r="A1237" s="567">
        <v>92986</v>
      </c>
      <c r="B1237" s="644">
        <v>92986</v>
      </c>
      <c r="C1237" s="645" t="s">
        <v>670</v>
      </c>
      <c r="D1237" s="422" t="s">
        <v>1088</v>
      </c>
      <c r="E1237" s="423"/>
      <c r="F1237" s="424"/>
      <c r="G1237" s="425"/>
      <c r="H1237" s="651"/>
      <c r="I1237" s="420">
        <v>36.799999999999997</v>
      </c>
      <c r="J1237" s="420">
        <f t="shared" si="326"/>
        <v>36.799999999999997</v>
      </c>
      <c r="K1237" s="421">
        <f t="shared" si="325"/>
        <v>43.72</v>
      </c>
      <c r="L1237" s="647" t="s">
        <v>79</v>
      </c>
      <c r="M1237" s="576"/>
      <c r="N1237" s="576">
        <f t="shared" si="328"/>
        <v>0</v>
      </c>
      <c r="O1237" s="577">
        <f t="shared" si="322"/>
        <v>0</v>
      </c>
      <c r="P1237" s="578">
        <f t="shared" si="323"/>
        <v>0</v>
      </c>
      <c r="Q1237" s="765"/>
      <c r="R1237" s="576">
        <f t="shared" si="319"/>
        <v>0</v>
      </c>
      <c r="S1237" s="576">
        <f t="shared" si="319"/>
        <v>0</v>
      </c>
      <c r="T1237" s="577">
        <f t="shared" si="320"/>
        <v>0</v>
      </c>
      <c r="U1237" s="578">
        <f t="shared" si="321"/>
        <v>0</v>
      </c>
      <c r="V1237" s="579"/>
      <c r="W1237" s="566"/>
      <c r="X1237" s="586" t="str">
        <f t="shared" si="324"/>
        <v/>
      </c>
      <c r="Y1237" s="586" t="str">
        <f t="shared" si="318"/>
        <v/>
      </c>
      <c r="Z1237" s="586" t="str">
        <f t="shared" si="327"/>
        <v/>
      </c>
    </row>
    <row r="1238" spans="1:26" ht="23.25" hidden="1" thickBot="1" x14ac:dyDescent="0.25">
      <c r="A1238" s="567">
        <v>92988</v>
      </c>
      <c r="B1238" s="644">
        <v>92988</v>
      </c>
      <c r="C1238" s="645" t="s">
        <v>670</v>
      </c>
      <c r="D1238" s="422" t="s">
        <v>1089</v>
      </c>
      <c r="E1238" s="423"/>
      <c r="F1238" s="424"/>
      <c r="G1238" s="425"/>
      <c r="H1238" s="651"/>
      <c r="I1238" s="420">
        <v>51.6</v>
      </c>
      <c r="J1238" s="420">
        <f t="shared" si="326"/>
        <v>51.6</v>
      </c>
      <c r="K1238" s="421">
        <f t="shared" si="325"/>
        <v>61.31</v>
      </c>
      <c r="L1238" s="647" t="s">
        <v>79</v>
      </c>
      <c r="M1238" s="576"/>
      <c r="N1238" s="576">
        <f t="shared" si="328"/>
        <v>0</v>
      </c>
      <c r="O1238" s="577">
        <f t="shared" si="322"/>
        <v>0</v>
      </c>
      <c r="P1238" s="578">
        <f t="shared" si="323"/>
        <v>0</v>
      </c>
      <c r="Q1238" s="765"/>
      <c r="R1238" s="576">
        <f t="shared" si="319"/>
        <v>0</v>
      </c>
      <c r="S1238" s="576">
        <f t="shared" si="319"/>
        <v>0</v>
      </c>
      <c r="T1238" s="577">
        <f t="shared" si="320"/>
        <v>0</v>
      </c>
      <c r="U1238" s="578">
        <f t="shared" si="321"/>
        <v>0</v>
      </c>
      <c r="V1238" s="579"/>
      <c r="W1238" s="566"/>
      <c r="X1238" s="586" t="str">
        <f t="shared" si="324"/>
        <v/>
      </c>
      <c r="Y1238" s="586" t="str">
        <f t="shared" si="318"/>
        <v/>
      </c>
      <c r="Z1238" s="586" t="str">
        <f t="shared" si="327"/>
        <v/>
      </c>
    </row>
    <row r="1239" spans="1:26" ht="23.25" hidden="1" thickBot="1" x14ac:dyDescent="0.25">
      <c r="A1239" s="567">
        <v>92990</v>
      </c>
      <c r="B1239" s="644">
        <v>92990</v>
      </c>
      <c r="C1239" s="645" t="s">
        <v>670</v>
      </c>
      <c r="D1239" s="422" t="s">
        <v>1090</v>
      </c>
      <c r="E1239" s="423"/>
      <c r="F1239" s="424"/>
      <c r="G1239" s="425"/>
      <c r="H1239" s="651"/>
      <c r="I1239" s="420">
        <v>70.7</v>
      </c>
      <c r="J1239" s="420">
        <f t="shared" si="326"/>
        <v>70.7</v>
      </c>
      <c r="K1239" s="421">
        <f t="shared" si="325"/>
        <v>84</v>
      </c>
      <c r="L1239" s="647" t="s">
        <v>79</v>
      </c>
      <c r="M1239" s="576"/>
      <c r="N1239" s="576">
        <f t="shared" si="328"/>
        <v>0</v>
      </c>
      <c r="O1239" s="577">
        <f t="shared" si="322"/>
        <v>0</v>
      </c>
      <c r="P1239" s="578">
        <f t="shared" si="323"/>
        <v>0</v>
      </c>
      <c r="Q1239" s="765"/>
      <c r="R1239" s="576">
        <f t="shared" si="319"/>
        <v>0</v>
      </c>
      <c r="S1239" s="576">
        <f t="shared" si="319"/>
        <v>0</v>
      </c>
      <c r="T1239" s="577">
        <f t="shared" si="320"/>
        <v>0</v>
      </c>
      <c r="U1239" s="578">
        <f t="shared" si="321"/>
        <v>0</v>
      </c>
      <c r="V1239" s="579"/>
      <c r="W1239" s="566"/>
      <c r="X1239" s="586" t="str">
        <f t="shared" si="324"/>
        <v/>
      </c>
      <c r="Y1239" s="586" t="str">
        <f t="shared" si="318"/>
        <v/>
      </c>
      <c r="Z1239" s="586" t="str">
        <f t="shared" si="327"/>
        <v/>
      </c>
    </row>
    <row r="1240" spans="1:26" ht="23.25" hidden="1" thickBot="1" x14ac:dyDescent="0.25">
      <c r="A1240" s="567">
        <v>92992</v>
      </c>
      <c r="B1240" s="644">
        <v>92992</v>
      </c>
      <c r="C1240" s="645" t="s">
        <v>670</v>
      </c>
      <c r="D1240" s="422" t="s">
        <v>1091</v>
      </c>
      <c r="E1240" s="423"/>
      <c r="F1240" s="424"/>
      <c r="G1240" s="425"/>
      <c r="H1240" s="651"/>
      <c r="I1240" s="420">
        <v>93.34</v>
      </c>
      <c r="J1240" s="420">
        <f t="shared" si="326"/>
        <v>93.34</v>
      </c>
      <c r="K1240" s="421">
        <f t="shared" si="325"/>
        <v>110.9</v>
      </c>
      <c r="L1240" s="647" t="s">
        <v>79</v>
      </c>
      <c r="M1240" s="576"/>
      <c r="N1240" s="576">
        <f t="shared" si="328"/>
        <v>0</v>
      </c>
      <c r="O1240" s="577">
        <f t="shared" si="322"/>
        <v>0</v>
      </c>
      <c r="P1240" s="578">
        <f t="shared" si="323"/>
        <v>0</v>
      </c>
      <c r="Q1240" s="765"/>
      <c r="R1240" s="576">
        <f t="shared" si="319"/>
        <v>0</v>
      </c>
      <c r="S1240" s="576">
        <f t="shared" si="319"/>
        <v>0</v>
      </c>
      <c r="T1240" s="577">
        <f t="shared" si="320"/>
        <v>0</v>
      </c>
      <c r="U1240" s="578">
        <f t="shared" si="321"/>
        <v>0</v>
      </c>
      <c r="V1240" s="579"/>
      <c r="W1240" s="566"/>
      <c r="X1240" s="586" t="str">
        <f t="shared" si="324"/>
        <v/>
      </c>
      <c r="Y1240" s="586" t="str">
        <f t="shared" si="318"/>
        <v/>
      </c>
      <c r="Z1240" s="586" t="str">
        <f t="shared" si="327"/>
        <v/>
      </c>
    </row>
    <row r="1241" spans="1:26" ht="23.25" hidden="1" thickBot="1" x14ac:dyDescent="0.25">
      <c r="A1241" s="567">
        <v>92994</v>
      </c>
      <c r="B1241" s="644">
        <v>92994</v>
      </c>
      <c r="C1241" s="645" t="s">
        <v>670</v>
      </c>
      <c r="D1241" s="422" t="s">
        <v>1092</v>
      </c>
      <c r="E1241" s="423"/>
      <c r="F1241" s="424"/>
      <c r="G1241" s="425"/>
      <c r="H1241" s="651"/>
      <c r="I1241" s="420">
        <v>120.71</v>
      </c>
      <c r="J1241" s="420">
        <f t="shared" si="326"/>
        <v>120.71</v>
      </c>
      <c r="K1241" s="421">
        <f t="shared" si="325"/>
        <v>143.41999999999999</v>
      </c>
      <c r="L1241" s="647" t="s">
        <v>79</v>
      </c>
      <c r="M1241" s="576"/>
      <c r="N1241" s="576">
        <f t="shared" si="328"/>
        <v>0</v>
      </c>
      <c r="O1241" s="577">
        <f t="shared" si="322"/>
        <v>0</v>
      </c>
      <c r="P1241" s="578">
        <f t="shared" si="323"/>
        <v>0</v>
      </c>
      <c r="Q1241" s="765"/>
      <c r="R1241" s="576">
        <f t="shared" si="319"/>
        <v>0</v>
      </c>
      <c r="S1241" s="576">
        <f t="shared" si="319"/>
        <v>0</v>
      </c>
      <c r="T1241" s="577">
        <f t="shared" si="320"/>
        <v>0</v>
      </c>
      <c r="U1241" s="578">
        <f t="shared" si="321"/>
        <v>0</v>
      </c>
      <c r="V1241" s="579"/>
      <c r="W1241" s="566"/>
      <c r="X1241" s="586" t="str">
        <f t="shared" si="324"/>
        <v/>
      </c>
      <c r="Y1241" s="586" t="str">
        <f t="shared" si="318"/>
        <v/>
      </c>
      <c r="Z1241" s="586" t="str">
        <f t="shared" si="327"/>
        <v/>
      </c>
    </row>
    <row r="1242" spans="1:26" ht="23.25" hidden="1" thickBot="1" x14ac:dyDescent="0.25">
      <c r="A1242" s="567">
        <v>92996</v>
      </c>
      <c r="B1242" s="644">
        <v>92996</v>
      </c>
      <c r="C1242" s="645" t="s">
        <v>670</v>
      </c>
      <c r="D1242" s="422" t="s">
        <v>1093</v>
      </c>
      <c r="E1242" s="423"/>
      <c r="F1242" s="424"/>
      <c r="G1242" s="425"/>
      <c r="H1242" s="651"/>
      <c r="I1242" s="420">
        <v>149.13999999999999</v>
      </c>
      <c r="J1242" s="420">
        <f t="shared" si="326"/>
        <v>149.13999999999999</v>
      </c>
      <c r="K1242" s="421">
        <f t="shared" si="325"/>
        <v>177.19</v>
      </c>
      <c r="L1242" s="647" t="s">
        <v>79</v>
      </c>
      <c r="M1242" s="576"/>
      <c r="N1242" s="576">
        <f t="shared" si="328"/>
        <v>0</v>
      </c>
      <c r="O1242" s="577">
        <f t="shared" si="322"/>
        <v>0</v>
      </c>
      <c r="P1242" s="578">
        <f t="shared" si="323"/>
        <v>0</v>
      </c>
      <c r="Q1242" s="765"/>
      <c r="R1242" s="576">
        <f t="shared" si="319"/>
        <v>0</v>
      </c>
      <c r="S1242" s="576">
        <f t="shared" si="319"/>
        <v>0</v>
      </c>
      <c r="T1242" s="577">
        <f t="shared" si="320"/>
        <v>0</v>
      </c>
      <c r="U1242" s="578">
        <f t="shared" si="321"/>
        <v>0</v>
      </c>
      <c r="V1242" s="579"/>
      <c r="W1242" s="566"/>
      <c r="X1242" s="586" t="str">
        <f t="shared" si="324"/>
        <v/>
      </c>
      <c r="Y1242" s="586" t="str">
        <f t="shared" si="318"/>
        <v/>
      </c>
      <c r="Z1242" s="586" t="str">
        <f t="shared" si="327"/>
        <v/>
      </c>
    </row>
    <row r="1243" spans="1:26" ht="23.25" hidden="1" thickBot="1" x14ac:dyDescent="0.25">
      <c r="A1243" s="567">
        <v>92998</v>
      </c>
      <c r="B1243" s="644">
        <v>92998</v>
      </c>
      <c r="C1243" s="645" t="s">
        <v>670</v>
      </c>
      <c r="D1243" s="422" t="s">
        <v>1094</v>
      </c>
      <c r="E1243" s="423"/>
      <c r="F1243" s="424"/>
      <c r="G1243" s="425"/>
      <c r="H1243" s="651"/>
      <c r="I1243" s="420">
        <v>182.4</v>
      </c>
      <c r="J1243" s="420">
        <f t="shared" si="326"/>
        <v>182.4</v>
      </c>
      <c r="K1243" s="421">
        <f t="shared" si="325"/>
        <v>216.71</v>
      </c>
      <c r="L1243" s="647" t="s">
        <v>79</v>
      </c>
      <c r="M1243" s="576"/>
      <c r="N1243" s="576">
        <f t="shared" si="328"/>
        <v>0</v>
      </c>
      <c r="O1243" s="577">
        <f t="shared" si="322"/>
        <v>0</v>
      </c>
      <c r="P1243" s="578">
        <f t="shared" si="323"/>
        <v>0</v>
      </c>
      <c r="Q1243" s="765"/>
      <c r="R1243" s="576">
        <f t="shared" si="319"/>
        <v>0</v>
      </c>
      <c r="S1243" s="576">
        <f t="shared" si="319"/>
        <v>0</v>
      </c>
      <c r="T1243" s="577">
        <f t="shared" si="320"/>
        <v>0</v>
      </c>
      <c r="U1243" s="578">
        <f t="shared" si="321"/>
        <v>0</v>
      </c>
      <c r="V1243" s="579"/>
      <c r="W1243" s="566"/>
      <c r="X1243" s="586" t="str">
        <f t="shared" si="324"/>
        <v/>
      </c>
      <c r="Y1243" s="586" t="str">
        <f t="shared" si="318"/>
        <v/>
      </c>
      <c r="Z1243" s="586" t="str">
        <f t="shared" si="327"/>
        <v/>
      </c>
    </row>
    <row r="1244" spans="1:26" ht="23.25" hidden="1" thickBot="1" x14ac:dyDescent="0.25">
      <c r="A1244" s="567">
        <v>93000</v>
      </c>
      <c r="B1244" s="644">
        <v>93000</v>
      </c>
      <c r="C1244" s="645" t="s">
        <v>670</v>
      </c>
      <c r="D1244" s="422" t="s">
        <v>1095</v>
      </c>
      <c r="E1244" s="423"/>
      <c r="F1244" s="424"/>
      <c r="G1244" s="425"/>
      <c r="H1244" s="651"/>
      <c r="I1244" s="420">
        <v>239.37</v>
      </c>
      <c r="J1244" s="420">
        <f t="shared" si="326"/>
        <v>239.37</v>
      </c>
      <c r="K1244" s="421">
        <f t="shared" si="325"/>
        <v>284.39999999999998</v>
      </c>
      <c r="L1244" s="647" t="s">
        <v>79</v>
      </c>
      <c r="M1244" s="576"/>
      <c r="N1244" s="576">
        <f t="shared" si="328"/>
        <v>0</v>
      </c>
      <c r="O1244" s="577">
        <f t="shared" si="322"/>
        <v>0</v>
      </c>
      <c r="P1244" s="578">
        <f t="shared" si="323"/>
        <v>0</v>
      </c>
      <c r="Q1244" s="765"/>
      <c r="R1244" s="576">
        <f t="shared" si="319"/>
        <v>0</v>
      </c>
      <c r="S1244" s="576">
        <f t="shared" si="319"/>
        <v>0</v>
      </c>
      <c r="T1244" s="577">
        <f t="shared" si="320"/>
        <v>0</v>
      </c>
      <c r="U1244" s="578">
        <f t="shared" si="321"/>
        <v>0</v>
      </c>
      <c r="V1244" s="579"/>
      <c r="W1244" s="566"/>
      <c r="X1244" s="586" t="str">
        <f t="shared" si="324"/>
        <v/>
      </c>
      <c r="Y1244" s="586" t="str">
        <f t="shared" si="318"/>
        <v/>
      </c>
      <c r="Z1244" s="586" t="str">
        <f t="shared" si="327"/>
        <v/>
      </c>
    </row>
    <row r="1245" spans="1:26" ht="23.25" hidden="1" thickBot="1" x14ac:dyDescent="0.25">
      <c r="A1245" s="567">
        <v>93002</v>
      </c>
      <c r="B1245" s="644">
        <v>93002</v>
      </c>
      <c r="C1245" s="645" t="s">
        <v>670</v>
      </c>
      <c r="D1245" s="422" t="s">
        <v>1096</v>
      </c>
      <c r="E1245" s="423"/>
      <c r="F1245" s="424"/>
      <c r="G1245" s="425"/>
      <c r="H1245" s="651"/>
      <c r="I1245" s="420">
        <v>299.02999999999997</v>
      </c>
      <c r="J1245" s="420">
        <f t="shared" si="326"/>
        <v>299.02999999999997</v>
      </c>
      <c r="K1245" s="421">
        <f t="shared" si="325"/>
        <v>355.28</v>
      </c>
      <c r="L1245" s="647" t="s">
        <v>79</v>
      </c>
      <c r="M1245" s="576"/>
      <c r="N1245" s="576">
        <f t="shared" si="328"/>
        <v>0</v>
      </c>
      <c r="O1245" s="577">
        <f t="shared" si="322"/>
        <v>0</v>
      </c>
      <c r="P1245" s="578">
        <f t="shared" si="323"/>
        <v>0</v>
      </c>
      <c r="Q1245" s="765"/>
      <c r="R1245" s="576">
        <f t="shared" si="319"/>
        <v>0</v>
      </c>
      <c r="S1245" s="576">
        <f t="shared" si="319"/>
        <v>0</v>
      </c>
      <c r="T1245" s="577">
        <f t="shared" si="320"/>
        <v>0</v>
      </c>
      <c r="U1245" s="578">
        <f t="shared" si="321"/>
        <v>0</v>
      </c>
      <c r="V1245" s="579"/>
      <c r="W1245" s="566"/>
      <c r="X1245" s="586" t="str">
        <f t="shared" si="324"/>
        <v/>
      </c>
      <c r="Y1245" s="586" t="str">
        <f t="shared" si="318"/>
        <v/>
      </c>
      <c r="Z1245" s="586" t="str">
        <f t="shared" si="327"/>
        <v/>
      </c>
    </row>
    <row r="1246" spans="1:26" ht="23.25" hidden="1" thickBot="1" x14ac:dyDescent="0.25">
      <c r="A1246" s="567">
        <v>101884</v>
      </c>
      <c r="B1246" s="644">
        <v>101884</v>
      </c>
      <c r="C1246" s="645" t="s">
        <v>670</v>
      </c>
      <c r="D1246" s="422" t="s">
        <v>1097</v>
      </c>
      <c r="E1246" s="423"/>
      <c r="F1246" s="424"/>
      <c r="G1246" s="425"/>
      <c r="H1246" s="651"/>
      <c r="I1246" s="420">
        <v>9.7899999999999991</v>
      </c>
      <c r="J1246" s="420">
        <f t="shared" si="326"/>
        <v>9.7899999999999991</v>
      </c>
      <c r="K1246" s="421">
        <f t="shared" si="325"/>
        <v>11.63</v>
      </c>
      <c r="L1246" s="647" t="s">
        <v>79</v>
      </c>
      <c r="M1246" s="576"/>
      <c r="N1246" s="576">
        <f t="shared" si="328"/>
        <v>0</v>
      </c>
      <c r="O1246" s="577">
        <f t="shared" si="322"/>
        <v>0</v>
      </c>
      <c r="P1246" s="578">
        <f t="shared" si="323"/>
        <v>0</v>
      </c>
      <c r="Q1246" s="765"/>
      <c r="R1246" s="576">
        <f t="shared" si="319"/>
        <v>0</v>
      </c>
      <c r="S1246" s="576">
        <f t="shared" si="319"/>
        <v>0</v>
      </c>
      <c r="T1246" s="577">
        <f t="shared" si="320"/>
        <v>0</v>
      </c>
      <c r="U1246" s="578">
        <f t="shared" si="321"/>
        <v>0</v>
      </c>
      <c r="V1246" s="579"/>
      <c r="W1246" s="566"/>
      <c r="X1246" s="586" t="str">
        <f t="shared" si="324"/>
        <v/>
      </c>
      <c r="Y1246" s="586" t="str">
        <f t="shared" si="318"/>
        <v/>
      </c>
      <c r="Z1246" s="586" t="str">
        <f t="shared" si="327"/>
        <v/>
      </c>
    </row>
    <row r="1247" spans="1:26" ht="23.25" hidden="1" thickBot="1" x14ac:dyDescent="0.25">
      <c r="A1247" s="567">
        <v>101885</v>
      </c>
      <c r="B1247" s="644">
        <v>101885</v>
      </c>
      <c r="C1247" s="645" t="s">
        <v>670</v>
      </c>
      <c r="D1247" s="422" t="s">
        <v>1098</v>
      </c>
      <c r="E1247" s="423"/>
      <c r="F1247" s="424"/>
      <c r="G1247" s="425"/>
      <c r="H1247" s="651"/>
      <c r="I1247" s="420">
        <v>10.65</v>
      </c>
      <c r="J1247" s="420">
        <f t="shared" si="326"/>
        <v>10.65</v>
      </c>
      <c r="K1247" s="421">
        <f t="shared" si="325"/>
        <v>12.65</v>
      </c>
      <c r="L1247" s="647" t="s">
        <v>79</v>
      </c>
      <c r="M1247" s="576"/>
      <c r="N1247" s="576">
        <f t="shared" si="328"/>
        <v>0</v>
      </c>
      <c r="O1247" s="577">
        <f t="shared" si="322"/>
        <v>0</v>
      </c>
      <c r="P1247" s="578">
        <f t="shared" si="323"/>
        <v>0</v>
      </c>
      <c r="Q1247" s="765"/>
      <c r="R1247" s="576">
        <f t="shared" si="319"/>
        <v>0</v>
      </c>
      <c r="S1247" s="576">
        <f t="shared" si="319"/>
        <v>0</v>
      </c>
      <c r="T1247" s="577">
        <f t="shared" si="320"/>
        <v>0</v>
      </c>
      <c r="U1247" s="578">
        <f t="shared" si="321"/>
        <v>0</v>
      </c>
      <c r="V1247" s="579"/>
      <c r="W1247" s="566"/>
      <c r="X1247" s="586" t="str">
        <f t="shared" si="324"/>
        <v/>
      </c>
      <c r="Y1247" s="586" t="str">
        <f t="shared" si="318"/>
        <v/>
      </c>
      <c r="Z1247" s="586" t="str">
        <f t="shared" si="327"/>
        <v/>
      </c>
    </row>
    <row r="1248" spans="1:26" ht="23.25" hidden="1" thickBot="1" x14ac:dyDescent="0.25">
      <c r="A1248" s="567">
        <v>101886</v>
      </c>
      <c r="B1248" s="644">
        <v>101886</v>
      </c>
      <c r="C1248" s="645" t="s">
        <v>670</v>
      </c>
      <c r="D1248" s="422" t="s">
        <v>1099</v>
      </c>
      <c r="E1248" s="423"/>
      <c r="F1248" s="424"/>
      <c r="G1248" s="425"/>
      <c r="H1248" s="651"/>
      <c r="I1248" s="420">
        <v>15.13</v>
      </c>
      <c r="J1248" s="420">
        <f t="shared" si="326"/>
        <v>15.13</v>
      </c>
      <c r="K1248" s="421">
        <f t="shared" si="325"/>
        <v>17.98</v>
      </c>
      <c r="L1248" s="647" t="s">
        <v>79</v>
      </c>
      <c r="M1248" s="576"/>
      <c r="N1248" s="576">
        <f t="shared" si="328"/>
        <v>0</v>
      </c>
      <c r="O1248" s="577">
        <f t="shared" si="322"/>
        <v>0</v>
      </c>
      <c r="P1248" s="578">
        <f t="shared" si="323"/>
        <v>0</v>
      </c>
      <c r="Q1248" s="765"/>
      <c r="R1248" s="576">
        <f t="shared" si="319"/>
        <v>0</v>
      </c>
      <c r="S1248" s="576">
        <f t="shared" si="319"/>
        <v>0</v>
      </c>
      <c r="T1248" s="577">
        <f t="shared" si="320"/>
        <v>0</v>
      </c>
      <c r="U1248" s="578">
        <f t="shared" si="321"/>
        <v>0</v>
      </c>
      <c r="V1248" s="579"/>
      <c r="W1248" s="566"/>
      <c r="X1248" s="586" t="str">
        <f t="shared" si="324"/>
        <v/>
      </c>
      <c r="Y1248" s="586" t="str">
        <f t="shared" si="318"/>
        <v/>
      </c>
      <c r="Z1248" s="586" t="str">
        <f t="shared" si="327"/>
        <v/>
      </c>
    </row>
    <row r="1249" spans="1:26" ht="23.25" hidden="1" thickBot="1" x14ac:dyDescent="0.25">
      <c r="A1249" s="567">
        <v>101887</v>
      </c>
      <c r="B1249" s="644">
        <v>101887</v>
      </c>
      <c r="C1249" s="645" t="s">
        <v>670</v>
      </c>
      <c r="D1249" s="422" t="s">
        <v>1100</v>
      </c>
      <c r="E1249" s="423"/>
      <c r="F1249" s="424"/>
      <c r="G1249" s="425"/>
      <c r="H1249" s="651"/>
      <c r="I1249" s="420">
        <v>16.38</v>
      </c>
      <c r="J1249" s="420">
        <f t="shared" si="326"/>
        <v>16.38</v>
      </c>
      <c r="K1249" s="421">
        <f t="shared" si="325"/>
        <v>19.46</v>
      </c>
      <c r="L1249" s="647" t="s">
        <v>79</v>
      </c>
      <c r="M1249" s="576"/>
      <c r="N1249" s="576">
        <f t="shared" si="328"/>
        <v>0</v>
      </c>
      <c r="O1249" s="577">
        <f t="shared" si="322"/>
        <v>0</v>
      </c>
      <c r="P1249" s="578">
        <f t="shared" si="323"/>
        <v>0</v>
      </c>
      <c r="Q1249" s="765"/>
      <c r="R1249" s="576">
        <f t="shared" si="319"/>
        <v>0</v>
      </c>
      <c r="S1249" s="576">
        <f t="shared" si="319"/>
        <v>0</v>
      </c>
      <c r="T1249" s="577">
        <f t="shared" si="320"/>
        <v>0</v>
      </c>
      <c r="U1249" s="578">
        <f t="shared" si="321"/>
        <v>0</v>
      </c>
      <c r="V1249" s="579"/>
      <c r="W1249" s="566"/>
      <c r="X1249" s="586" t="str">
        <f t="shared" si="324"/>
        <v/>
      </c>
      <c r="Y1249" s="586" t="str">
        <f t="shared" si="318"/>
        <v/>
      </c>
      <c r="Z1249" s="586" t="str">
        <f t="shared" si="327"/>
        <v/>
      </c>
    </row>
    <row r="1250" spans="1:26" ht="23.25" hidden="1" thickBot="1" x14ac:dyDescent="0.25">
      <c r="A1250" s="567">
        <v>101888</v>
      </c>
      <c r="B1250" s="644">
        <v>101888</v>
      </c>
      <c r="C1250" s="645" t="s">
        <v>670</v>
      </c>
      <c r="D1250" s="422" t="s">
        <v>1101</v>
      </c>
      <c r="E1250" s="423"/>
      <c r="F1250" s="424"/>
      <c r="G1250" s="425"/>
      <c r="H1250" s="651"/>
      <c r="I1250" s="420">
        <v>24.28</v>
      </c>
      <c r="J1250" s="420">
        <f t="shared" si="326"/>
        <v>24.28</v>
      </c>
      <c r="K1250" s="421">
        <f t="shared" si="325"/>
        <v>28.85</v>
      </c>
      <c r="L1250" s="647" t="s">
        <v>79</v>
      </c>
      <c r="M1250" s="576"/>
      <c r="N1250" s="576">
        <f t="shared" si="328"/>
        <v>0</v>
      </c>
      <c r="O1250" s="577">
        <f t="shared" si="322"/>
        <v>0</v>
      </c>
      <c r="P1250" s="578">
        <f t="shared" si="323"/>
        <v>0</v>
      </c>
      <c r="Q1250" s="765"/>
      <c r="R1250" s="576">
        <f t="shared" si="319"/>
        <v>0</v>
      </c>
      <c r="S1250" s="576">
        <f t="shared" si="319"/>
        <v>0</v>
      </c>
      <c r="T1250" s="577">
        <f t="shared" si="320"/>
        <v>0</v>
      </c>
      <c r="U1250" s="578">
        <f t="shared" si="321"/>
        <v>0</v>
      </c>
      <c r="V1250" s="579"/>
      <c r="W1250" s="566"/>
      <c r="X1250" s="586" t="str">
        <f t="shared" si="324"/>
        <v/>
      </c>
      <c r="Y1250" s="586" t="str">
        <f t="shared" si="318"/>
        <v/>
      </c>
      <c r="Z1250" s="586" t="str">
        <f t="shared" si="327"/>
        <v/>
      </c>
    </row>
    <row r="1251" spans="1:26" ht="23.25" hidden="1" thickBot="1" x14ac:dyDescent="0.25">
      <c r="A1251" s="567">
        <v>101889</v>
      </c>
      <c r="B1251" s="644">
        <v>101889</v>
      </c>
      <c r="C1251" s="645" t="s">
        <v>670</v>
      </c>
      <c r="D1251" s="422" t="s">
        <v>1102</v>
      </c>
      <c r="E1251" s="423"/>
      <c r="F1251" s="424"/>
      <c r="G1251" s="425"/>
      <c r="H1251" s="651"/>
      <c r="I1251" s="420">
        <v>24.98</v>
      </c>
      <c r="J1251" s="420">
        <f t="shared" si="326"/>
        <v>24.98</v>
      </c>
      <c r="K1251" s="421">
        <f t="shared" si="325"/>
        <v>29.68</v>
      </c>
      <c r="L1251" s="647" t="s">
        <v>79</v>
      </c>
      <c r="M1251" s="576"/>
      <c r="N1251" s="576">
        <f t="shared" si="328"/>
        <v>0</v>
      </c>
      <c r="O1251" s="577">
        <f t="shared" si="322"/>
        <v>0</v>
      </c>
      <c r="P1251" s="578">
        <f t="shared" si="323"/>
        <v>0</v>
      </c>
      <c r="Q1251" s="765"/>
      <c r="R1251" s="576">
        <f t="shared" si="319"/>
        <v>0</v>
      </c>
      <c r="S1251" s="576">
        <f t="shared" si="319"/>
        <v>0</v>
      </c>
      <c r="T1251" s="577">
        <f t="shared" si="320"/>
        <v>0</v>
      </c>
      <c r="U1251" s="578">
        <f t="shared" si="321"/>
        <v>0</v>
      </c>
      <c r="V1251" s="579"/>
      <c r="W1251" s="566"/>
      <c r="X1251" s="586" t="str">
        <f t="shared" si="324"/>
        <v/>
      </c>
      <c r="Y1251" s="586" t="str">
        <f t="shared" ref="Y1251:Y1314" si="329">IF(W1251="X","x",IF(W1251="y","x",IF(W1251="xx","x",IF(U1251&gt;0,"x",""))))</f>
        <v/>
      </c>
      <c r="Z1251" s="586" t="str">
        <f t="shared" si="327"/>
        <v/>
      </c>
    </row>
    <row r="1252" spans="1:26" ht="23.25" hidden="1" thickBot="1" x14ac:dyDescent="0.25">
      <c r="A1252" s="567">
        <v>101560</v>
      </c>
      <c r="B1252" s="644">
        <v>101560</v>
      </c>
      <c r="C1252" s="645" t="s">
        <v>670</v>
      </c>
      <c r="D1252" s="422" t="s">
        <v>1103</v>
      </c>
      <c r="E1252" s="423"/>
      <c r="F1252" s="424"/>
      <c r="G1252" s="425"/>
      <c r="H1252" s="651"/>
      <c r="I1252" s="420">
        <v>10.62</v>
      </c>
      <c r="J1252" s="420">
        <f t="shared" si="326"/>
        <v>10.62</v>
      </c>
      <c r="K1252" s="421">
        <f t="shared" si="325"/>
        <v>12.62</v>
      </c>
      <c r="L1252" s="647" t="s">
        <v>79</v>
      </c>
      <c r="M1252" s="576"/>
      <c r="N1252" s="576">
        <f t="shared" si="328"/>
        <v>0</v>
      </c>
      <c r="O1252" s="577">
        <f t="shared" si="322"/>
        <v>0</v>
      </c>
      <c r="P1252" s="578">
        <f t="shared" si="323"/>
        <v>0</v>
      </c>
      <c r="Q1252" s="765"/>
      <c r="R1252" s="576">
        <f t="shared" si="319"/>
        <v>0</v>
      </c>
      <c r="S1252" s="576">
        <f t="shared" si="319"/>
        <v>0</v>
      </c>
      <c r="T1252" s="577">
        <f t="shared" si="320"/>
        <v>0</v>
      </c>
      <c r="U1252" s="578">
        <f t="shared" si="321"/>
        <v>0</v>
      </c>
      <c r="V1252" s="579"/>
      <c r="W1252" s="566"/>
      <c r="X1252" s="586" t="str">
        <f t="shared" si="324"/>
        <v/>
      </c>
      <c r="Y1252" s="586" t="str">
        <f t="shared" si="329"/>
        <v/>
      </c>
      <c r="Z1252" s="586" t="str">
        <f t="shared" si="327"/>
        <v/>
      </c>
    </row>
    <row r="1253" spans="1:26" ht="23.25" hidden="1" thickBot="1" x14ac:dyDescent="0.25">
      <c r="A1253" s="567">
        <v>101561</v>
      </c>
      <c r="B1253" s="644">
        <v>101561</v>
      </c>
      <c r="C1253" s="645" t="s">
        <v>670</v>
      </c>
      <c r="D1253" s="422" t="s">
        <v>1104</v>
      </c>
      <c r="E1253" s="423"/>
      <c r="F1253" s="424"/>
      <c r="G1253" s="425"/>
      <c r="H1253" s="651"/>
      <c r="I1253" s="420">
        <v>16.25</v>
      </c>
      <c r="J1253" s="420">
        <f t="shared" si="326"/>
        <v>16.25</v>
      </c>
      <c r="K1253" s="421">
        <f t="shared" si="325"/>
        <v>19.309999999999999</v>
      </c>
      <c r="L1253" s="647" t="s">
        <v>79</v>
      </c>
      <c r="M1253" s="576"/>
      <c r="N1253" s="576">
        <f t="shared" si="328"/>
        <v>0</v>
      </c>
      <c r="O1253" s="577">
        <f t="shared" si="322"/>
        <v>0</v>
      </c>
      <c r="P1253" s="578">
        <f t="shared" si="323"/>
        <v>0</v>
      </c>
      <c r="Q1253" s="765"/>
      <c r="R1253" s="576">
        <f t="shared" si="319"/>
        <v>0</v>
      </c>
      <c r="S1253" s="576">
        <f t="shared" si="319"/>
        <v>0</v>
      </c>
      <c r="T1253" s="577">
        <f t="shared" si="320"/>
        <v>0</v>
      </c>
      <c r="U1253" s="578">
        <f t="shared" si="321"/>
        <v>0</v>
      </c>
      <c r="V1253" s="579"/>
      <c r="W1253" s="566"/>
      <c r="X1253" s="586" t="str">
        <f t="shared" si="324"/>
        <v/>
      </c>
      <c r="Y1253" s="586" t="str">
        <f t="shared" si="329"/>
        <v/>
      </c>
      <c r="Z1253" s="586" t="str">
        <f t="shared" si="327"/>
        <v/>
      </c>
    </row>
    <row r="1254" spans="1:26" ht="23.25" hidden="1" thickBot="1" x14ac:dyDescent="0.25">
      <c r="A1254" s="567">
        <v>101562</v>
      </c>
      <c r="B1254" s="644">
        <v>101562</v>
      </c>
      <c r="C1254" s="645" t="s">
        <v>670</v>
      </c>
      <c r="D1254" s="422" t="s">
        <v>1105</v>
      </c>
      <c r="E1254" s="423"/>
      <c r="F1254" s="424"/>
      <c r="G1254" s="425"/>
      <c r="H1254" s="651"/>
      <c r="I1254" s="420">
        <v>24.7</v>
      </c>
      <c r="J1254" s="420">
        <f t="shared" si="326"/>
        <v>24.7</v>
      </c>
      <c r="K1254" s="421">
        <f t="shared" si="325"/>
        <v>29.35</v>
      </c>
      <c r="L1254" s="647" t="s">
        <v>79</v>
      </c>
      <c r="M1254" s="576"/>
      <c r="N1254" s="576">
        <f t="shared" si="328"/>
        <v>0</v>
      </c>
      <c r="O1254" s="577">
        <f t="shared" si="322"/>
        <v>0</v>
      </c>
      <c r="P1254" s="578">
        <f t="shared" si="323"/>
        <v>0</v>
      </c>
      <c r="Q1254" s="765"/>
      <c r="R1254" s="576">
        <f t="shared" si="319"/>
        <v>0</v>
      </c>
      <c r="S1254" s="576">
        <f t="shared" si="319"/>
        <v>0</v>
      </c>
      <c r="T1254" s="577">
        <f t="shared" si="320"/>
        <v>0</v>
      </c>
      <c r="U1254" s="578">
        <f t="shared" si="321"/>
        <v>0</v>
      </c>
      <c r="V1254" s="579"/>
      <c r="W1254" s="566"/>
      <c r="X1254" s="586" t="str">
        <f t="shared" si="324"/>
        <v/>
      </c>
      <c r="Y1254" s="586" t="str">
        <f t="shared" si="329"/>
        <v/>
      </c>
      <c r="Z1254" s="586" t="str">
        <f t="shared" si="327"/>
        <v/>
      </c>
    </row>
    <row r="1255" spans="1:26" ht="23.25" hidden="1" thickBot="1" x14ac:dyDescent="0.25">
      <c r="A1255" s="567">
        <v>101563</v>
      </c>
      <c r="B1255" s="644">
        <v>101563</v>
      </c>
      <c r="C1255" s="645" t="s">
        <v>670</v>
      </c>
      <c r="D1255" s="422" t="s">
        <v>1106</v>
      </c>
      <c r="E1255" s="423"/>
      <c r="F1255" s="424"/>
      <c r="G1255" s="425"/>
      <c r="H1255" s="651"/>
      <c r="I1255" s="420">
        <v>34.020000000000003</v>
      </c>
      <c r="J1255" s="420">
        <f t="shared" si="326"/>
        <v>34.020000000000003</v>
      </c>
      <c r="K1255" s="421">
        <f t="shared" si="325"/>
        <v>40.42</v>
      </c>
      <c r="L1255" s="647" t="s">
        <v>79</v>
      </c>
      <c r="M1255" s="576"/>
      <c r="N1255" s="576">
        <f t="shared" si="328"/>
        <v>0</v>
      </c>
      <c r="O1255" s="577">
        <f t="shared" si="322"/>
        <v>0</v>
      </c>
      <c r="P1255" s="578">
        <f t="shared" si="323"/>
        <v>0</v>
      </c>
      <c r="Q1255" s="765"/>
      <c r="R1255" s="576">
        <f t="shared" si="319"/>
        <v>0</v>
      </c>
      <c r="S1255" s="576">
        <f t="shared" si="319"/>
        <v>0</v>
      </c>
      <c r="T1255" s="577">
        <f t="shared" si="320"/>
        <v>0</v>
      </c>
      <c r="U1255" s="578">
        <f t="shared" si="321"/>
        <v>0</v>
      </c>
      <c r="V1255" s="579"/>
      <c r="W1255" s="566"/>
      <c r="X1255" s="586" t="str">
        <f t="shared" si="324"/>
        <v/>
      </c>
      <c r="Y1255" s="586" t="str">
        <f t="shared" si="329"/>
        <v/>
      </c>
      <c r="Z1255" s="586" t="str">
        <f t="shared" si="327"/>
        <v/>
      </c>
    </row>
    <row r="1256" spans="1:26" ht="23.25" hidden="1" thickBot="1" x14ac:dyDescent="0.25">
      <c r="A1256" s="567">
        <v>101564</v>
      </c>
      <c r="B1256" s="644">
        <v>101564</v>
      </c>
      <c r="C1256" s="645" t="s">
        <v>670</v>
      </c>
      <c r="D1256" s="422" t="s">
        <v>1107</v>
      </c>
      <c r="E1256" s="423"/>
      <c r="F1256" s="424"/>
      <c r="G1256" s="425"/>
      <c r="H1256" s="651"/>
      <c r="I1256" s="420">
        <v>48.46</v>
      </c>
      <c r="J1256" s="420">
        <f t="shared" si="326"/>
        <v>48.46</v>
      </c>
      <c r="K1256" s="421">
        <f t="shared" si="325"/>
        <v>57.58</v>
      </c>
      <c r="L1256" s="647" t="s">
        <v>79</v>
      </c>
      <c r="M1256" s="576"/>
      <c r="N1256" s="576">
        <f t="shared" si="328"/>
        <v>0</v>
      </c>
      <c r="O1256" s="577">
        <f t="shared" si="322"/>
        <v>0</v>
      </c>
      <c r="P1256" s="578">
        <f t="shared" si="323"/>
        <v>0</v>
      </c>
      <c r="Q1256" s="765"/>
      <c r="R1256" s="576">
        <f t="shared" si="319"/>
        <v>0</v>
      </c>
      <c r="S1256" s="576">
        <f t="shared" si="319"/>
        <v>0</v>
      </c>
      <c r="T1256" s="577">
        <f t="shared" si="320"/>
        <v>0</v>
      </c>
      <c r="U1256" s="578">
        <f t="shared" si="321"/>
        <v>0</v>
      </c>
      <c r="V1256" s="579"/>
      <c r="W1256" s="566"/>
      <c r="X1256" s="586" t="str">
        <f t="shared" si="324"/>
        <v/>
      </c>
      <c r="Y1256" s="586" t="str">
        <f t="shared" si="329"/>
        <v/>
      </c>
      <c r="Z1256" s="586" t="str">
        <f t="shared" si="327"/>
        <v/>
      </c>
    </row>
    <row r="1257" spans="1:26" ht="23.25" hidden="1" thickBot="1" x14ac:dyDescent="0.25">
      <c r="A1257" s="567">
        <v>101565</v>
      </c>
      <c r="B1257" s="644">
        <v>101565</v>
      </c>
      <c r="C1257" s="645" t="s">
        <v>670</v>
      </c>
      <c r="D1257" s="422" t="s">
        <v>1108</v>
      </c>
      <c r="E1257" s="423"/>
      <c r="F1257" s="424"/>
      <c r="G1257" s="425"/>
      <c r="H1257" s="651"/>
      <c r="I1257" s="420">
        <v>67.099999999999994</v>
      </c>
      <c r="J1257" s="420">
        <f t="shared" si="326"/>
        <v>67.099999999999994</v>
      </c>
      <c r="K1257" s="421">
        <f t="shared" si="325"/>
        <v>79.72</v>
      </c>
      <c r="L1257" s="647" t="s">
        <v>79</v>
      </c>
      <c r="M1257" s="576"/>
      <c r="N1257" s="576">
        <f t="shared" si="328"/>
        <v>0</v>
      </c>
      <c r="O1257" s="577">
        <f t="shared" si="322"/>
        <v>0</v>
      </c>
      <c r="P1257" s="578">
        <f t="shared" si="323"/>
        <v>0</v>
      </c>
      <c r="Q1257" s="765"/>
      <c r="R1257" s="576">
        <f t="shared" si="319"/>
        <v>0</v>
      </c>
      <c r="S1257" s="576">
        <f t="shared" si="319"/>
        <v>0</v>
      </c>
      <c r="T1257" s="577">
        <f t="shared" si="320"/>
        <v>0</v>
      </c>
      <c r="U1257" s="578">
        <f t="shared" si="321"/>
        <v>0</v>
      </c>
      <c r="V1257" s="579"/>
      <c r="W1257" s="566"/>
      <c r="X1257" s="586" t="str">
        <f t="shared" si="324"/>
        <v/>
      </c>
      <c r="Y1257" s="586" t="str">
        <f t="shared" si="329"/>
        <v/>
      </c>
      <c r="Z1257" s="586" t="str">
        <f t="shared" si="327"/>
        <v/>
      </c>
    </row>
    <row r="1258" spans="1:26" ht="23.25" hidden="1" thickBot="1" x14ac:dyDescent="0.25">
      <c r="A1258" s="567">
        <v>101567</v>
      </c>
      <c r="B1258" s="644">
        <v>101567</v>
      </c>
      <c r="C1258" s="645" t="s">
        <v>670</v>
      </c>
      <c r="D1258" s="422" t="s">
        <v>1109</v>
      </c>
      <c r="E1258" s="423"/>
      <c r="F1258" s="424"/>
      <c r="G1258" s="425"/>
      <c r="H1258" s="651"/>
      <c r="I1258" s="420">
        <v>89.12</v>
      </c>
      <c r="J1258" s="420">
        <f t="shared" si="326"/>
        <v>89.12</v>
      </c>
      <c r="K1258" s="421">
        <f t="shared" si="325"/>
        <v>105.88</v>
      </c>
      <c r="L1258" s="647" t="s">
        <v>79</v>
      </c>
      <c r="M1258" s="576"/>
      <c r="N1258" s="576">
        <f t="shared" si="328"/>
        <v>0</v>
      </c>
      <c r="O1258" s="577">
        <f t="shared" si="322"/>
        <v>0</v>
      </c>
      <c r="P1258" s="578">
        <f t="shared" si="323"/>
        <v>0</v>
      </c>
      <c r="Q1258" s="765"/>
      <c r="R1258" s="576">
        <f t="shared" ref="R1258:S1321" si="330">M1258</f>
        <v>0</v>
      </c>
      <c r="S1258" s="576">
        <f t="shared" si="330"/>
        <v>0</v>
      </c>
      <c r="T1258" s="577">
        <f t="shared" si="320"/>
        <v>0</v>
      </c>
      <c r="U1258" s="578">
        <f t="shared" si="321"/>
        <v>0</v>
      </c>
      <c r="V1258" s="579"/>
      <c r="W1258" s="566"/>
      <c r="X1258" s="586" t="str">
        <f t="shared" si="324"/>
        <v/>
      </c>
      <c r="Y1258" s="586" t="str">
        <f t="shared" si="329"/>
        <v/>
      </c>
      <c r="Z1258" s="586" t="str">
        <f t="shared" si="327"/>
        <v/>
      </c>
    </row>
    <row r="1259" spans="1:26" ht="23.25" hidden="1" thickBot="1" x14ac:dyDescent="0.25">
      <c r="A1259" s="567">
        <v>101568</v>
      </c>
      <c r="B1259" s="644">
        <v>101568</v>
      </c>
      <c r="C1259" s="645" t="s">
        <v>670</v>
      </c>
      <c r="D1259" s="422" t="s">
        <v>1110</v>
      </c>
      <c r="E1259" s="423"/>
      <c r="F1259" s="424"/>
      <c r="G1259" s="425"/>
      <c r="H1259" s="651"/>
      <c r="I1259" s="420">
        <v>115.98</v>
      </c>
      <c r="J1259" s="420">
        <f t="shared" si="326"/>
        <v>115.98</v>
      </c>
      <c r="K1259" s="421">
        <f t="shared" si="325"/>
        <v>137.80000000000001</v>
      </c>
      <c r="L1259" s="647" t="s">
        <v>79</v>
      </c>
      <c r="M1259" s="576"/>
      <c r="N1259" s="576">
        <f t="shared" si="328"/>
        <v>0</v>
      </c>
      <c r="O1259" s="577">
        <f t="shared" si="322"/>
        <v>0</v>
      </c>
      <c r="P1259" s="578">
        <f t="shared" si="323"/>
        <v>0</v>
      </c>
      <c r="Q1259" s="765"/>
      <c r="R1259" s="576">
        <f t="shared" si="330"/>
        <v>0</v>
      </c>
      <c r="S1259" s="576">
        <f t="shared" si="330"/>
        <v>0</v>
      </c>
      <c r="T1259" s="577">
        <f t="shared" si="320"/>
        <v>0</v>
      </c>
      <c r="U1259" s="578">
        <f t="shared" si="321"/>
        <v>0</v>
      </c>
      <c r="V1259" s="579"/>
      <c r="W1259" s="566"/>
      <c r="X1259" s="586" t="str">
        <f t="shared" si="324"/>
        <v/>
      </c>
      <c r="Y1259" s="586" t="str">
        <f t="shared" si="329"/>
        <v/>
      </c>
      <c r="Z1259" s="586" t="str">
        <f t="shared" si="327"/>
        <v/>
      </c>
    </row>
    <row r="1260" spans="1:26" ht="23.25" hidden="1" thickBot="1" x14ac:dyDescent="0.25">
      <c r="A1260" s="567">
        <v>95777</v>
      </c>
      <c r="B1260" s="644">
        <v>95777</v>
      </c>
      <c r="C1260" s="645" t="s">
        <v>670</v>
      </c>
      <c r="D1260" s="422" t="s">
        <v>1111</v>
      </c>
      <c r="E1260" s="423"/>
      <c r="F1260" s="424"/>
      <c r="G1260" s="425"/>
      <c r="H1260" s="651"/>
      <c r="I1260" s="420">
        <v>31.07</v>
      </c>
      <c r="J1260" s="420">
        <f t="shared" si="326"/>
        <v>31.07</v>
      </c>
      <c r="K1260" s="421">
        <f t="shared" si="325"/>
        <v>36.909999999999997</v>
      </c>
      <c r="L1260" s="647" t="s">
        <v>2065</v>
      </c>
      <c r="M1260" s="576"/>
      <c r="N1260" s="576">
        <f t="shared" si="328"/>
        <v>0</v>
      </c>
      <c r="O1260" s="577">
        <f t="shared" si="322"/>
        <v>0</v>
      </c>
      <c r="P1260" s="578">
        <f t="shared" si="323"/>
        <v>0</v>
      </c>
      <c r="Q1260" s="765"/>
      <c r="R1260" s="576">
        <f t="shared" si="330"/>
        <v>0</v>
      </c>
      <c r="S1260" s="576">
        <f t="shared" si="330"/>
        <v>0</v>
      </c>
      <c r="T1260" s="577">
        <f t="shared" si="320"/>
        <v>0</v>
      </c>
      <c r="U1260" s="578">
        <f t="shared" si="321"/>
        <v>0</v>
      </c>
      <c r="V1260" s="579"/>
      <c r="W1260" s="566"/>
      <c r="X1260" s="586" t="str">
        <f t="shared" si="324"/>
        <v/>
      </c>
      <c r="Y1260" s="586" t="str">
        <f t="shared" si="329"/>
        <v/>
      </c>
      <c r="Z1260" s="586" t="str">
        <f t="shared" si="327"/>
        <v/>
      </c>
    </row>
    <row r="1261" spans="1:26" ht="23.25" hidden="1" thickBot="1" x14ac:dyDescent="0.25">
      <c r="A1261" s="567">
        <v>95778</v>
      </c>
      <c r="B1261" s="644">
        <v>95778</v>
      </c>
      <c r="C1261" s="645" t="s">
        <v>670</v>
      </c>
      <c r="D1261" s="422" t="s">
        <v>1112</v>
      </c>
      <c r="E1261" s="423"/>
      <c r="F1261" s="424"/>
      <c r="G1261" s="425"/>
      <c r="H1261" s="651"/>
      <c r="I1261" s="420">
        <v>31.83</v>
      </c>
      <c r="J1261" s="420">
        <f t="shared" si="326"/>
        <v>31.83</v>
      </c>
      <c r="K1261" s="421">
        <f t="shared" si="325"/>
        <v>37.82</v>
      </c>
      <c r="L1261" s="647" t="s">
        <v>2065</v>
      </c>
      <c r="M1261" s="576"/>
      <c r="N1261" s="576">
        <f t="shared" si="328"/>
        <v>0</v>
      </c>
      <c r="O1261" s="577">
        <f t="shared" si="322"/>
        <v>0</v>
      </c>
      <c r="P1261" s="578">
        <f t="shared" si="323"/>
        <v>0</v>
      </c>
      <c r="Q1261" s="765"/>
      <c r="R1261" s="576">
        <f t="shared" si="330"/>
        <v>0</v>
      </c>
      <c r="S1261" s="576">
        <f t="shared" si="330"/>
        <v>0</v>
      </c>
      <c r="T1261" s="577">
        <f t="shared" si="320"/>
        <v>0</v>
      </c>
      <c r="U1261" s="578">
        <f t="shared" si="321"/>
        <v>0</v>
      </c>
      <c r="V1261" s="579"/>
      <c r="W1261" s="566"/>
      <c r="X1261" s="586" t="str">
        <f t="shared" si="324"/>
        <v/>
      </c>
      <c r="Y1261" s="586" t="str">
        <f t="shared" si="329"/>
        <v/>
      </c>
      <c r="Z1261" s="586" t="str">
        <f t="shared" si="327"/>
        <v/>
      </c>
    </row>
    <row r="1262" spans="1:26" ht="23.25" hidden="1" thickBot="1" x14ac:dyDescent="0.25">
      <c r="A1262" s="567">
        <v>95779</v>
      </c>
      <c r="B1262" s="644">
        <v>95779</v>
      </c>
      <c r="C1262" s="645" t="s">
        <v>670</v>
      </c>
      <c r="D1262" s="422" t="s">
        <v>1113</v>
      </c>
      <c r="E1262" s="423"/>
      <c r="F1262" s="424"/>
      <c r="G1262" s="425"/>
      <c r="H1262" s="651"/>
      <c r="I1262" s="420">
        <v>29.28</v>
      </c>
      <c r="J1262" s="420">
        <f t="shared" si="326"/>
        <v>29.28</v>
      </c>
      <c r="K1262" s="421">
        <f t="shared" si="325"/>
        <v>34.79</v>
      </c>
      <c r="L1262" s="647" t="s">
        <v>2065</v>
      </c>
      <c r="M1262" s="576"/>
      <c r="N1262" s="576">
        <f t="shared" si="328"/>
        <v>0</v>
      </c>
      <c r="O1262" s="577">
        <f t="shared" si="322"/>
        <v>0</v>
      </c>
      <c r="P1262" s="578">
        <f t="shared" si="323"/>
        <v>0</v>
      </c>
      <c r="Q1262" s="765"/>
      <c r="R1262" s="576">
        <f t="shared" si="330"/>
        <v>0</v>
      </c>
      <c r="S1262" s="576">
        <f t="shared" si="330"/>
        <v>0</v>
      </c>
      <c r="T1262" s="577">
        <f t="shared" si="320"/>
        <v>0</v>
      </c>
      <c r="U1262" s="578">
        <f t="shared" si="321"/>
        <v>0</v>
      </c>
      <c r="V1262" s="579"/>
      <c r="W1262" s="566"/>
      <c r="X1262" s="586" t="str">
        <f t="shared" si="324"/>
        <v/>
      </c>
      <c r="Y1262" s="586" t="str">
        <f t="shared" si="329"/>
        <v/>
      </c>
      <c r="Z1262" s="586" t="str">
        <f t="shared" si="327"/>
        <v/>
      </c>
    </row>
    <row r="1263" spans="1:26" ht="23.25" hidden="1" thickBot="1" x14ac:dyDescent="0.25">
      <c r="A1263" s="567">
        <v>95780</v>
      </c>
      <c r="B1263" s="644">
        <v>95780</v>
      </c>
      <c r="C1263" s="645" t="s">
        <v>670</v>
      </c>
      <c r="D1263" s="422" t="s">
        <v>1114</v>
      </c>
      <c r="E1263" s="423"/>
      <c r="F1263" s="424"/>
      <c r="G1263" s="425"/>
      <c r="H1263" s="651"/>
      <c r="I1263" s="420">
        <v>35.340000000000003</v>
      </c>
      <c r="J1263" s="420">
        <f t="shared" si="326"/>
        <v>35.340000000000003</v>
      </c>
      <c r="K1263" s="421">
        <f t="shared" si="325"/>
        <v>41.99</v>
      </c>
      <c r="L1263" s="647" t="s">
        <v>2065</v>
      </c>
      <c r="M1263" s="576"/>
      <c r="N1263" s="576">
        <f t="shared" si="328"/>
        <v>0</v>
      </c>
      <c r="O1263" s="577">
        <f t="shared" si="322"/>
        <v>0</v>
      </c>
      <c r="P1263" s="578">
        <f t="shared" si="323"/>
        <v>0</v>
      </c>
      <c r="Q1263" s="765"/>
      <c r="R1263" s="576">
        <f t="shared" si="330"/>
        <v>0</v>
      </c>
      <c r="S1263" s="576">
        <f t="shared" si="330"/>
        <v>0</v>
      </c>
      <c r="T1263" s="577">
        <f t="shared" si="320"/>
        <v>0</v>
      </c>
      <c r="U1263" s="578">
        <f t="shared" si="321"/>
        <v>0</v>
      </c>
      <c r="V1263" s="579"/>
      <c r="W1263" s="566"/>
      <c r="X1263" s="586" t="str">
        <f t="shared" si="324"/>
        <v/>
      </c>
      <c r="Y1263" s="586" t="str">
        <f t="shared" si="329"/>
        <v/>
      </c>
      <c r="Z1263" s="586" t="str">
        <f t="shared" si="327"/>
        <v/>
      </c>
    </row>
    <row r="1264" spans="1:26" ht="23.25" hidden="1" thickBot="1" x14ac:dyDescent="0.25">
      <c r="A1264" s="567">
        <v>95781</v>
      </c>
      <c r="B1264" s="644">
        <v>95781</v>
      </c>
      <c r="C1264" s="645" t="s">
        <v>670</v>
      </c>
      <c r="D1264" s="422" t="s">
        <v>1115</v>
      </c>
      <c r="E1264" s="423"/>
      <c r="F1264" s="424"/>
      <c r="G1264" s="425"/>
      <c r="H1264" s="651"/>
      <c r="I1264" s="420">
        <v>35.9</v>
      </c>
      <c r="J1264" s="420">
        <f t="shared" si="326"/>
        <v>35.9</v>
      </c>
      <c r="K1264" s="421">
        <f t="shared" si="325"/>
        <v>42.65</v>
      </c>
      <c r="L1264" s="647" t="s">
        <v>2065</v>
      </c>
      <c r="M1264" s="576"/>
      <c r="N1264" s="576">
        <f t="shared" si="328"/>
        <v>0</v>
      </c>
      <c r="O1264" s="577">
        <f t="shared" si="322"/>
        <v>0</v>
      </c>
      <c r="P1264" s="578">
        <f t="shared" si="323"/>
        <v>0</v>
      </c>
      <c r="Q1264" s="765"/>
      <c r="R1264" s="576">
        <f t="shared" si="330"/>
        <v>0</v>
      </c>
      <c r="S1264" s="576">
        <f t="shared" si="330"/>
        <v>0</v>
      </c>
      <c r="T1264" s="577">
        <f t="shared" si="320"/>
        <v>0</v>
      </c>
      <c r="U1264" s="578">
        <f t="shared" si="321"/>
        <v>0</v>
      </c>
      <c r="V1264" s="579"/>
      <c r="W1264" s="566"/>
      <c r="X1264" s="586" t="str">
        <f t="shared" si="324"/>
        <v/>
      </c>
      <c r="Y1264" s="586" t="str">
        <f t="shared" si="329"/>
        <v/>
      </c>
      <c r="Z1264" s="586" t="str">
        <f t="shared" si="327"/>
        <v/>
      </c>
    </row>
    <row r="1265" spans="1:26" ht="23.25" hidden="1" thickBot="1" x14ac:dyDescent="0.25">
      <c r="A1265" s="567">
        <v>95782</v>
      </c>
      <c r="B1265" s="644">
        <v>95782</v>
      </c>
      <c r="C1265" s="645" t="s">
        <v>670</v>
      </c>
      <c r="D1265" s="422" t="s">
        <v>1116</v>
      </c>
      <c r="E1265" s="423"/>
      <c r="F1265" s="424"/>
      <c r="G1265" s="425"/>
      <c r="H1265" s="651"/>
      <c r="I1265" s="420">
        <v>37.39</v>
      </c>
      <c r="J1265" s="420">
        <f t="shared" si="326"/>
        <v>37.39</v>
      </c>
      <c r="K1265" s="421">
        <f t="shared" si="325"/>
        <v>44.42</v>
      </c>
      <c r="L1265" s="647" t="s">
        <v>2065</v>
      </c>
      <c r="M1265" s="576"/>
      <c r="N1265" s="576">
        <f t="shared" si="328"/>
        <v>0</v>
      </c>
      <c r="O1265" s="577">
        <f t="shared" si="322"/>
        <v>0</v>
      </c>
      <c r="P1265" s="578">
        <f t="shared" si="323"/>
        <v>0</v>
      </c>
      <c r="Q1265" s="765"/>
      <c r="R1265" s="576">
        <f t="shared" si="330"/>
        <v>0</v>
      </c>
      <c r="S1265" s="576">
        <f t="shared" si="330"/>
        <v>0</v>
      </c>
      <c r="T1265" s="577">
        <f t="shared" si="320"/>
        <v>0</v>
      </c>
      <c r="U1265" s="578">
        <f t="shared" si="321"/>
        <v>0</v>
      </c>
      <c r="V1265" s="579"/>
      <c r="W1265" s="566"/>
      <c r="X1265" s="586" t="str">
        <f t="shared" si="324"/>
        <v/>
      </c>
      <c r="Y1265" s="586" t="str">
        <f t="shared" si="329"/>
        <v/>
      </c>
      <c r="Z1265" s="586" t="str">
        <f t="shared" si="327"/>
        <v/>
      </c>
    </row>
    <row r="1266" spans="1:26" ht="23.25" hidden="1" thickBot="1" x14ac:dyDescent="0.25">
      <c r="A1266" s="567">
        <v>95785</v>
      </c>
      <c r="B1266" s="644">
        <v>95785</v>
      </c>
      <c r="C1266" s="645" t="s">
        <v>670</v>
      </c>
      <c r="D1266" s="422" t="s">
        <v>1117</v>
      </c>
      <c r="E1266" s="423"/>
      <c r="F1266" s="424"/>
      <c r="G1266" s="425"/>
      <c r="H1266" s="651"/>
      <c r="I1266" s="420">
        <v>42.52</v>
      </c>
      <c r="J1266" s="420">
        <f t="shared" si="326"/>
        <v>42.52</v>
      </c>
      <c r="K1266" s="421">
        <f t="shared" si="325"/>
        <v>50.52</v>
      </c>
      <c r="L1266" s="647" t="s">
        <v>2065</v>
      </c>
      <c r="M1266" s="576"/>
      <c r="N1266" s="576">
        <f t="shared" si="328"/>
        <v>0</v>
      </c>
      <c r="O1266" s="577">
        <f t="shared" si="322"/>
        <v>0</v>
      </c>
      <c r="P1266" s="578">
        <f t="shared" si="323"/>
        <v>0</v>
      </c>
      <c r="Q1266" s="765"/>
      <c r="R1266" s="576">
        <f t="shared" si="330"/>
        <v>0</v>
      </c>
      <c r="S1266" s="576">
        <f t="shared" si="330"/>
        <v>0</v>
      </c>
      <c r="T1266" s="577">
        <f t="shared" si="320"/>
        <v>0</v>
      </c>
      <c r="U1266" s="578">
        <f t="shared" si="321"/>
        <v>0</v>
      </c>
      <c r="V1266" s="579"/>
      <c r="W1266" s="566"/>
      <c r="X1266" s="586" t="str">
        <f t="shared" si="324"/>
        <v/>
      </c>
      <c r="Y1266" s="586" t="str">
        <f t="shared" si="329"/>
        <v/>
      </c>
      <c r="Z1266" s="586" t="str">
        <f t="shared" si="327"/>
        <v/>
      </c>
    </row>
    <row r="1267" spans="1:26" ht="23.25" hidden="1" thickBot="1" x14ac:dyDescent="0.25">
      <c r="A1267" s="567">
        <v>95787</v>
      </c>
      <c r="B1267" s="644">
        <v>95787</v>
      </c>
      <c r="C1267" s="645" t="s">
        <v>670</v>
      </c>
      <c r="D1267" s="422" t="s">
        <v>1118</v>
      </c>
      <c r="E1267" s="423"/>
      <c r="F1267" s="424"/>
      <c r="G1267" s="425"/>
      <c r="H1267" s="651"/>
      <c r="I1267" s="420">
        <v>31.39</v>
      </c>
      <c r="J1267" s="420">
        <f t="shared" si="326"/>
        <v>31.39</v>
      </c>
      <c r="K1267" s="421">
        <f t="shared" si="325"/>
        <v>37.29</v>
      </c>
      <c r="L1267" s="647" t="s">
        <v>2065</v>
      </c>
      <c r="M1267" s="576"/>
      <c r="N1267" s="576">
        <f t="shared" si="328"/>
        <v>0</v>
      </c>
      <c r="O1267" s="577">
        <f t="shared" si="322"/>
        <v>0</v>
      </c>
      <c r="P1267" s="578">
        <f t="shared" si="323"/>
        <v>0</v>
      </c>
      <c r="Q1267" s="765"/>
      <c r="R1267" s="576">
        <f t="shared" si="330"/>
        <v>0</v>
      </c>
      <c r="S1267" s="576">
        <f t="shared" si="330"/>
        <v>0</v>
      </c>
      <c r="T1267" s="577">
        <f t="shared" si="320"/>
        <v>0</v>
      </c>
      <c r="U1267" s="578">
        <f t="shared" si="321"/>
        <v>0</v>
      </c>
      <c r="V1267" s="579"/>
      <c r="W1267" s="566"/>
      <c r="X1267" s="586" t="str">
        <f t="shared" si="324"/>
        <v/>
      </c>
      <c r="Y1267" s="586" t="str">
        <f t="shared" si="329"/>
        <v/>
      </c>
      <c r="Z1267" s="586" t="str">
        <f t="shared" si="327"/>
        <v/>
      </c>
    </row>
    <row r="1268" spans="1:26" ht="23.25" hidden="1" thickBot="1" x14ac:dyDescent="0.25">
      <c r="A1268" s="567">
        <v>95789</v>
      </c>
      <c r="B1268" s="644">
        <v>95789</v>
      </c>
      <c r="C1268" s="645" t="s">
        <v>670</v>
      </c>
      <c r="D1268" s="422" t="s">
        <v>1119</v>
      </c>
      <c r="E1268" s="423"/>
      <c r="F1268" s="424"/>
      <c r="G1268" s="425"/>
      <c r="H1268" s="651"/>
      <c r="I1268" s="420">
        <v>38.909999999999997</v>
      </c>
      <c r="J1268" s="420">
        <f t="shared" si="326"/>
        <v>38.909999999999997</v>
      </c>
      <c r="K1268" s="421">
        <f t="shared" si="325"/>
        <v>46.23</v>
      </c>
      <c r="L1268" s="647" t="s">
        <v>2065</v>
      </c>
      <c r="M1268" s="576"/>
      <c r="N1268" s="576">
        <f t="shared" si="328"/>
        <v>0</v>
      </c>
      <c r="O1268" s="577">
        <f t="shared" si="322"/>
        <v>0</v>
      </c>
      <c r="P1268" s="578">
        <f t="shared" si="323"/>
        <v>0</v>
      </c>
      <c r="Q1268" s="765"/>
      <c r="R1268" s="576">
        <f t="shared" si="330"/>
        <v>0</v>
      </c>
      <c r="S1268" s="576">
        <f t="shared" si="330"/>
        <v>0</v>
      </c>
      <c r="T1268" s="577">
        <f t="shared" ref="T1268:T1331" si="331">IF(ISBLANK(R1268),0,ROUND(K1268*R1268,2))</f>
        <v>0</v>
      </c>
      <c r="U1268" s="578">
        <f t="shared" ref="U1268:U1331" si="332">IF(ISBLANK(R1268),0,ROUND(R1268*S1268,2))</f>
        <v>0</v>
      </c>
      <c r="V1268" s="579"/>
      <c r="W1268" s="566"/>
      <c r="X1268" s="586" t="str">
        <f t="shared" si="324"/>
        <v/>
      </c>
      <c r="Y1268" s="586" t="str">
        <f t="shared" si="329"/>
        <v/>
      </c>
      <c r="Z1268" s="586" t="str">
        <f t="shared" si="327"/>
        <v/>
      </c>
    </row>
    <row r="1269" spans="1:26" ht="23.25" hidden="1" thickBot="1" x14ac:dyDescent="0.25">
      <c r="A1269" s="567">
        <v>95791</v>
      </c>
      <c r="B1269" s="644">
        <v>95791</v>
      </c>
      <c r="C1269" s="645" t="s">
        <v>670</v>
      </c>
      <c r="D1269" s="422" t="s">
        <v>1120</v>
      </c>
      <c r="E1269" s="423"/>
      <c r="F1269" s="424"/>
      <c r="G1269" s="425"/>
      <c r="H1269" s="651"/>
      <c r="I1269" s="420">
        <v>50.14</v>
      </c>
      <c r="J1269" s="420">
        <f t="shared" si="326"/>
        <v>50.14</v>
      </c>
      <c r="K1269" s="421">
        <f t="shared" si="325"/>
        <v>59.57</v>
      </c>
      <c r="L1269" s="647" t="s">
        <v>2065</v>
      </c>
      <c r="M1269" s="576"/>
      <c r="N1269" s="576">
        <f t="shared" si="328"/>
        <v>0</v>
      </c>
      <c r="O1269" s="577">
        <f t="shared" ref="O1269:O1332" si="333">IF(ISBLANK(M1269),0,ROUND(K1269*M1269,2))</f>
        <v>0</v>
      </c>
      <c r="P1269" s="578">
        <f t="shared" ref="P1269:P1332" si="334">IF(ISBLANK(N1269),0,ROUND(M1269*N1269,2))</f>
        <v>0</v>
      </c>
      <c r="Q1269" s="765"/>
      <c r="R1269" s="576">
        <f t="shared" si="330"/>
        <v>0</v>
      </c>
      <c r="S1269" s="576">
        <f t="shared" si="330"/>
        <v>0</v>
      </c>
      <c r="T1269" s="577">
        <f t="shared" si="331"/>
        <v>0</v>
      </c>
      <c r="U1269" s="578">
        <f t="shared" si="332"/>
        <v>0</v>
      </c>
      <c r="V1269" s="579"/>
      <c r="W1269" s="566"/>
      <c r="X1269" s="586" t="str">
        <f t="shared" si="324"/>
        <v/>
      </c>
      <c r="Y1269" s="586" t="str">
        <f t="shared" si="329"/>
        <v/>
      </c>
      <c r="Z1269" s="586" t="str">
        <f t="shared" si="327"/>
        <v/>
      </c>
    </row>
    <row r="1270" spans="1:26" ht="23.25" hidden="1" thickBot="1" x14ac:dyDescent="0.25">
      <c r="A1270" s="567">
        <v>95795</v>
      </c>
      <c r="B1270" s="644">
        <v>95795</v>
      </c>
      <c r="C1270" s="645" t="s">
        <v>670</v>
      </c>
      <c r="D1270" s="422" t="s">
        <v>1121</v>
      </c>
      <c r="E1270" s="423"/>
      <c r="F1270" s="424"/>
      <c r="G1270" s="425"/>
      <c r="H1270" s="651"/>
      <c r="I1270" s="420">
        <v>36.229999999999997</v>
      </c>
      <c r="J1270" s="420">
        <f t="shared" si="326"/>
        <v>36.229999999999997</v>
      </c>
      <c r="K1270" s="421">
        <f t="shared" si="325"/>
        <v>43.04</v>
      </c>
      <c r="L1270" s="647" t="s">
        <v>2065</v>
      </c>
      <c r="M1270" s="576"/>
      <c r="N1270" s="576">
        <f t="shared" si="328"/>
        <v>0</v>
      </c>
      <c r="O1270" s="577">
        <f t="shared" si="333"/>
        <v>0</v>
      </c>
      <c r="P1270" s="578">
        <f t="shared" si="334"/>
        <v>0</v>
      </c>
      <c r="Q1270" s="765"/>
      <c r="R1270" s="576">
        <f t="shared" si="330"/>
        <v>0</v>
      </c>
      <c r="S1270" s="576">
        <f t="shared" si="330"/>
        <v>0</v>
      </c>
      <c r="T1270" s="577">
        <f t="shared" si="331"/>
        <v>0</v>
      </c>
      <c r="U1270" s="578">
        <f t="shared" si="332"/>
        <v>0</v>
      </c>
      <c r="V1270" s="579"/>
      <c r="W1270" s="566"/>
      <c r="X1270" s="586" t="str">
        <f t="shared" si="324"/>
        <v/>
      </c>
      <c r="Y1270" s="586" t="str">
        <f t="shared" si="329"/>
        <v/>
      </c>
      <c r="Z1270" s="586" t="str">
        <f t="shared" si="327"/>
        <v/>
      </c>
    </row>
    <row r="1271" spans="1:26" ht="23.25" hidden="1" thickBot="1" x14ac:dyDescent="0.25">
      <c r="A1271" s="567">
        <v>95796</v>
      </c>
      <c r="B1271" s="644">
        <v>95796</v>
      </c>
      <c r="C1271" s="645" t="s">
        <v>670</v>
      </c>
      <c r="D1271" s="422" t="s">
        <v>1122</v>
      </c>
      <c r="E1271" s="423"/>
      <c r="F1271" s="424"/>
      <c r="G1271" s="425"/>
      <c r="H1271" s="651"/>
      <c r="I1271" s="420">
        <v>45.79</v>
      </c>
      <c r="J1271" s="420">
        <f t="shared" si="326"/>
        <v>45.79</v>
      </c>
      <c r="K1271" s="421">
        <f t="shared" si="325"/>
        <v>54.4</v>
      </c>
      <c r="L1271" s="647" t="s">
        <v>2065</v>
      </c>
      <c r="M1271" s="576"/>
      <c r="N1271" s="576">
        <f t="shared" si="328"/>
        <v>0</v>
      </c>
      <c r="O1271" s="577">
        <f t="shared" si="333"/>
        <v>0</v>
      </c>
      <c r="P1271" s="578">
        <f t="shared" si="334"/>
        <v>0</v>
      </c>
      <c r="Q1271" s="765"/>
      <c r="R1271" s="576">
        <f t="shared" si="330"/>
        <v>0</v>
      </c>
      <c r="S1271" s="576">
        <f t="shared" si="330"/>
        <v>0</v>
      </c>
      <c r="T1271" s="577">
        <f t="shared" si="331"/>
        <v>0</v>
      </c>
      <c r="U1271" s="578">
        <f t="shared" si="332"/>
        <v>0</v>
      </c>
      <c r="V1271" s="579"/>
      <c r="W1271" s="566"/>
      <c r="X1271" s="586" t="str">
        <f t="shared" si="324"/>
        <v/>
      </c>
      <c r="Y1271" s="586" t="str">
        <f t="shared" si="329"/>
        <v/>
      </c>
      <c r="Z1271" s="586" t="str">
        <f t="shared" si="327"/>
        <v/>
      </c>
    </row>
    <row r="1272" spans="1:26" ht="23.25" hidden="1" thickBot="1" x14ac:dyDescent="0.25">
      <c r="A1272" s="567">
        <v>95797</v>
      </c>
      <c r="B1272" s="644">
        <v>95797</v>
      </c>
      <c r="C1272" s="645" t="s">
        <v>670</v>
      </c>
      <c r="D1272" s="422" t="s">
        <v>1123</v>
      </c>
      <c r="E1272" s="423"/>
      <c r="F1272" s="424"/>
      <c r="G1272" s="425"/>
      <c r="H1272" s="651"/>
      <c r="I1272" s="420">
        <v>58.23</v>
      </c>
      <c r="J1272" s="420">
        <f t="shared" si="326"/>
        <v>58.23</v>
      </c>
      <c r="K1272" s="421">
        <f t="shared" si="325"/>
        <v>69.180000000000007</v>
      </c>
      <c r="L1272" s="647" t="s">
        <v>2065</v>
      </c>
      <c r="M1272" s="576"/>
      <c r="N1272" s="576">
        <f t="shared" si="328"/>
        <v>0</v>
      </c>
      <c r="O1272" s="577">
        <f t="shared" si="333"/>
        <v>0</v>
      </c>
      <c r="P1272" s="578">
        <f t="shared" si="334"/>
        <v>0</v>
      </c>
      <c r="Q1272" s="765"/>
      <c r="R1272" s="576">
        <f t="shared" si="330"/>
        <v>0</v>
      </c>
      <c r="S1272" s="576">
        <f t="shared" si="330"/>
        <v>0</v>
      </c>
      <c r="T1272" s="577">
        <f t="shared" si="331"/>
        <v>0</v>
      </c>
      <c r="U1272" s="578">
        <f t="shared" si="332"/>
        <v>0</v>
      </c>
      <c r="V1272" s="579"/>
      <c r="W1272" s="566"/>
      <c r="X1272" s="586" t="str">
        <f t="shared" si="324"/>
        <v/>
      </c>
      <c r="Y1272" s="586" t="str">
        <f t="shared" si="329"/>
        <v/>
      </c>
      <c r="Z1272" s="586" t="str">
        <f t="shared" si="327"/>
        <v/>
      </c>
    </row>
    <row r="1273" spans="1:26" ht="23.25" hidden="1" thickBot="1" x14ac:dyDescent="0.25">
      <c r="A1273" s="567">
        <v>95801</v>
      </c>
      <c r="B1273" s="644">
        <v>95801</v>
      </c>
      <c r="C1273" s="645" t="s">
        <v>670</v>
      </c>
      <c r="D1273" s="422" t="s">
        <v>1124</v>
      </c>
      <c r="E1273" s="423"/>
      <c r="F1273" s="424"/>
      <c r="G1273" s="425"/>
      <c r="H1273" s="651"/>
      <c r="I1273" s="420">
        <v>43.52</v>
      </c>
      <c r="J1273" s="420">
        <f t="shared" si="326"/>
        <v>43.52</v>
      </c>
      <c r="K1273" s="421">
        <f t="shared" si="325"/>
        <v>51.71</v>
      </c>
      <c r="L1273" s="647" t="s">
        <v>2065</v>
      </c>
      <c r="M1273" s="576"/>
      <c r="N1273" s="576">
        <f t="shared" si="328"/>
        <v>0</v>
      </c>
      <c r="O1273" s="577">
        <f t="shared" si="333"/>
        <v>0</v>
      </c>
      <c r="P1273" s="578">
        <f t="shared" si="334"/>
        <v>0</v>
      </c>
      <c r="Q1273" s="765"/>
      <c r="R1273" s="576">
        <f t="shared" si="330"/>
        <v>0</v>
      </c>
      <c r="S1273" s="576">
        <f t="shared" si="330"/>
        <v>0</v>
      </c>
      <c r="T1273" s="577">
        <f t="shared" si="331"/>
        <v>0</v>
      </c>
      <c r="U1273" s="578">
        <f t="shared" si="332"/>
        <v>0</v>
      </c>
      <c r="V1273" s="579"/>
      <c r="W1273" s="566"/>
      <c r="X1273" s="586" t="str">
        <f t="shared" si="324"/>
        <v/>
      </c>
      <c r="Y1273" s="586" t="str">
        <f t="shared" si="329"/>
        <v/>
      </c>
      <c r="Z1273" s="586" t="str">
        <f t="shared" si="327"/>
        <v/>
      </c>
    </row>
    <row r="1274" spans="1:26" ht="23.25" hidden="1" thickBot="1" x14ac:dyDescent="0.25">
      <c r="A1274" s="567">
        <v>95802</v>
      </c>
      <c r="B1274" s="644">
        <v>95802</v>
      </c>
      <c r="C1274" s="645" t="s">
        <v>670</v>
      </c>
      <c r="D1274" s="422" t="s">
        <v>1125</v>
      </c>
      <c r="E1274" s="423"/>
      <c r="F1274" s="424"/>
      <c r="G1274" s="425"/>
      <c r="H1274" s="651"/>
      <c r="I1274" s="420">
        <v>48.57</v>
      </c>
      <c r="J1274" s="420">
        <f t="shared" si="326"/>
        <v>48.57</v>
      </c>
      <c r="K1274" s="421">
        <f t="shared" si="325"/>
        <v>57.71</v>
      </c>
      <c r="L1274" s="647" t="s">
        <v>2065</v>
      </c>
      <c r="M1274" s="576"/>
      <c r="N1274" s="576">
        <f t="shared" si="328"/>
        <v>0</v>
      </c>
      <c r="O1274" s="577">
        <f t="shared" si="333"/>
        <v>0</v>
      </c>
      <c r="P1274" s="578">
        <f t="shared" si="334"/>
        <v>0</v>
      </c>
      <c r="Q1274" s="765"/>
      <c r="R1274" s="576">
        <f t="shared" si="330"/>
        <v>0</v>
      </c>
      <c r="S1274" s="576">
        <f t="shared" si="330"/>
        <v>0</v>
      </c>
      <c r="T1274" s="577">
        <f t="shared" si="331"/>
        <v>0</v>
      </c>
      <c r="U1274" s="578">
        <f t="shared" si="332"/>
        <v>0</v>
      </c>
      <c r="V1274" s="579"/>
      <c r="W1274" s="566"/>
      <c r="X1274" s="586" t="str">
        <f t="shared" si="324"/>
        <v/>
      </c>
      <c r="Y1274" s="586" t="str">
        <f t="shared" si="329"/>
        <v/>
      </c>
      <c r="Z1274" s="586" t="str">
        <f t="shared" si="327"/>
        <v/>
      </c>
    </row>
    <row r="1275" spans="1:26" ht="23.25" hidden="1" thickBot="1" x14ac:dyDescent="0.25">
      <c r="A1275" s="567">
        <v>95803</v>
      </c>
      <c r="B1275" s="644">
        <v>95803</v>
      </c>
      <c r="C1275" s="645" t="s">
        <v>670</v>
      </c>
      <c r="D1275" s="422" t="s">
        <v>1126</v>
      </c>
      <c r="E1275" s="423"/>
      <c r="F1275" s="424"/>
      <c r="G1275" s="425"/>
      <c r="H1275" s="651"/>
      <c r="I1275" s="420">
        <v>64.45</v>
      </c>
      <c r="J1275" s="420">
        <f t="shared" si="326"/>
        <v>64.45</v>
      </c>
      <c r="K1275" s="421">
        <f t="shared" si="325"/>
        <v>76.569999999999993</v>
      </c>
      <c r="L1275" s="647" t="s">
        <v>2065</v>
      </c>
      <c r="M1275" s="576"/>
      <c r="N1275" s="576">
        <f t="shared" si="328"/>
        <v>0</v>
      </c>
      <c r="O1275" s="577">
        <f t="shared" si="333"/>
        <v>0</v>
      </c>
      <c r="P1275" s="578">
        <f t="shared" si="334"/>
        <v>0</v>
      </c>
      <c r="Q1275" s="765"/>
      <c r="R1275" s="576">
        <f t="shared" si="330"/>
        <v>0</v>
      </c>
      <c r="S1275" s="576">
        <f t="shared" si="330"/>
        <v>0</v>
      </c>
      <c r="T1275" s="577">
        <f t="shared" si="331"/>
        <v>0</v>
      </c>
      <c r="U1275" s="578">
        <f t="shared" si="332"/>
        <v>0</v>
      </c>
      <c r="V1275" s="579"/>
      <c r="W1275" s="566"/>
      <c r="X1275" s="586" t="str">
        <f t="shared" si="324"/>
        <v/>
      </c>
      <c r="Y1275" s="586" t="str">
        <f t="shared" si="329"/>
        <v/>
      </c>
      <c r="Z1275" s="586" t="str">
        <f t="shared" si="327"/>
        <v/>
      </c>
    </row>
    <row r="1276" spans="1:26" ht="23.25" hidden="1" thickBot="1" x14ac:dyDescent="0.25">
      <c r="A1276" s="567">
        <v>95804</v>
      </c>
      <c r="B1276" s="644">
        <v>95804</v>
      </c>
      <c r="C1276" s="645" t="s">
        <v>670</v>
      </c>
      <c r="D1276" s="422" t="s">
        <v>1127</v>
      </c>
      <c r="E1276" s="423"/>
      <c r="F1276" s="424"/>
      <c r="G1276" s="425"/>
      <c r="H1276" s="651"/>
      <c r="I1276" s="420">
        <v>31.37</v>
      </c>
      <c r="J1276" s="420">
        <f t="shared" si="326"/>
        <v>31.37</v>
      </c>
      <c r="K1276" s="421">
        <f t="shared" si="325"/>
        <v>37.270000000000003</v>
      </c>
      <c r="L1276" s="647" t="s">
        <v>2065</v>
      </c>
      <c r="M1276" s="576"/>
      <c r="N1276" s="576">
        <f t="shared" si="328"/>
        <v>0</v>
      </c>
      <c r="O1276" s="577">
        <f t="shared" si="333"/>
        <v>0</v>
      </c>
      <c r="P1276" s="578">
        <f t="shared" si="334"/>
        <v>0</v>
      </c>
      <c r="Q1276" s="765"/>
      <c r="R1276" s="576">
        <f t="shared" si="330"/>
        <v>0</v>
      </c>
      <c r="S1276" s="576">
        <f t="shared" si="330"/>
        <v>0</v>
      </c>
      <c r="T1276" s="577">
        <f t="shared" si="331"/>
        <v>0</v>
      </c>
      <c r="U1276" s="578">
        <f t="shared" si="332"/>
        <v>0</v>
      </c>
      <c r="V1276" s="579"/>
      <c r="W1276" s="566"/>
      <c r="X1276" s="586" t="str">
        <f t="shared" si="324"/>
        <v/>
      </c>
      <c r="Y1276" s="586" t="str">
        <f t="shared" si="329"/>
        <v/>
      </c>
      <c r="Z1276" s="586" t="str">
        <f t="shared" si="327"/>
        <v/>
      </c>
    </row>
    <row r="1277" spans="1:26" ht="23.25" hidden="1" thickBot="1" x14ac:dyDescent="0.25">
      <c r="A1277" s="567">
        <v>95805</v>
      </c>
      <c r="B1277" s="644">
        <v>95805</v>
      </c>
      <c r="C1277" s="645" t="s">
        <v>670</v>
      </c>
      <c r="D1277" s="422" t="s">
        <v>1128</v>
      </c>
      <c r="E1277" s="423"/>
      <c r="F1277" s="424"/>
      <c r="G1277" s="425"/>
      <c r="H1277" s="651"/>
      <c r="I1277" s="420">
        <v>31.61</v>
      </c>
      <c r="J1277" s="420">
        <f t="shared" si="326"/>
        <v>31.61</v>
      </c>
      <c r="K1277" s="421">
        <f t="shared" si="325"/>
        <v>37.56</v>
      </c>
      <c r="L1277" s="647" t="s">
        <v>2065</v>
      </c>
      <c r="M1277" s="576"/>
      <c r="N1277" s="576">
        <f t="shared" si="328"/>
        <v>0</v>
      </c>
      <c r="O1277" s="577">
        <f t="shared" si="333"/>
        <v>0</v>
      </c>
      <c r="P1277" s="578">
        <f t="shared" si="334"/>
        <v>0</v>
      </c>
      <c r="Q1277" s="765"/>
      <c r="R1277" s="576">
        <f t="shared" si="330"/>
        <v>0</v>
      </c>
      <c r="S1277" s="576">
        <f t="shared" si="330"/>
        <v>0</v>
      </c>
      <c r="T1277" s="577">
        <f t="shared" si="331"/>
        <v>0</v>
      </c>
      <c r="U1277" s="578">
        <f t="shared" si="332"/>
        <v>0</v>
      </c>
      <c r="V1277" s="579"/>
      <c r="W1277" s="566"/>
      <c r="X1277" s="586" t="str">
        <f t="shared" ref="X1277:X1340" si="335">IF(W1277="X","x",IF(W1277="xx","x",IF(W1277="xy","x",IF(W1277="y","x",IF(OR(P1277&gt;0,U1277&gt;0),"x","")))))</f>
        <v/>
      </c>
      <c r="Y1277" s="586" t="str">
        <f t="shared" si="329"/>
        <v/>
      </c>
      <c r="Z1277" s="586" t="str">
        <f t="shared" si="327"/>
        <v/>
      </c>
    </row>
    <row r="1278" spans="1:26" ht="23.25" hidden="1" thickBot="1" x14ac:dyDescent="0.25">
      <c r="A1278" s="567">
        <v>95806</v>
      </c>
      <c r="B1278" s="644">
        <v>95806</v>
      </c>
      <c r="C1278" s="645" t="s">
        <v>670</v>
      </c>
      <c r="D1278" s="422" t="s">
        <v>1129</v>
      </c>
      <c r="E1278" s="423"/>
      <c r="F1278" s="424"/>
      <c r="G1278" s="425"/>
      <c r="H1278" s="651"/>
      <c r="I1278" s="420">
        <v>32.68</v>
      </c>
      <c r="J1278" s="420">
        <f t="shared" si="326"/>
        <v>32.68</v>
      </c>
      <c r="K1278" s="421">
        <f t="shared" si="325"/>
        <v>38.83</v>
      </c>
      <c r="L1278" s="647" t="s">
        <v>2065</v>
      </c>
      <c r="M1278" s="576"/>
      <c r="N1278" s="576">
        <f t="shared" si="328"/>
        <v>0</v>
      </c>
      <c r="O1278" s="577">
        <f t="shared" si="333"/>
        <v>0</v>
      </c>
      <c r="P1278" s="578">
        <f t="shared" si="334"/>
        <v>0</v>
      </c>
      <c r="Q1278" s="765"/>
      <c r="R1278" s="576">
        <f t="shared" si="330"/>
        <v>0</v>
      </c>
      <c r="S1278" s="576">
        <f t="shared" si="330"/>
        <v>0</v>
      </c>
      <c r="T1278" s="577">
        <f t="shared" si="331"/>
        <v>0</v>
      </c>
      <c r="U1278" s="578">
        <f t="shared" si="332"/>
        <v>0</v>
      </c>
      <c r="V1278" s="579"/>
      <c r="W1278" s="566"/>
      <c r="X1278" s="586" t="str">
        <f t="shared" si="335"/>
        <v/>
      </c>
      <c r="Y1278" s="586" t="str">
        <f t="shared" si="329"/>
        <v/>
      </c>
      <c r="Z1278" s="586" t="str">
        <f t="shared" si="327"/>
        <v/>
      </c>
    </row>
    <row r="1279" spans="1:26" ht="23.25" hidden="1" thickBot="1" x14ac:dyDescent="0.25">
      <c r="A1279" s="567">
        <v>95807</v>
      </c>
      <c r="B1279" s="644">
        <v>95807</v>
      </c>
      <c r="C1279" s="645" t="s">
        <v>670</v>
      </c>
      <c r="D1279" s="422" t="s">
        <v>1130</v>
      </c>
      <c r="E1279" s="423"/>
      <c r="F1279" s="424"/>
      <c r="G1279" s="425"/>
      <c r="H1279" s="651"/>
      <c r="I1279" s="420">
        <v>35.81</v>
      </c>
      <c r="J1279" s="420">
        <f t="shared" si="326"/>
        <v>35.81</v>
      </c>
      <c r="K1279" s="421">
        <f t="shared" si="325"/>
        <v>42.55</v>
      </c>
      <c r="L1279" s="647" t="s">
        <v>2065</v>
      </c>
      <c r="M1279" s="576"/>
      <c r="N1279" s="576">
        <f t="shared" si="328"/>
        <v>0</v>
      </c>
      <c r="O1279" s="577">
        <f t="shared" si="333"/>
        <v>0</v>
      </c>
      <c r="P1279" s="578">
        <f t="shared" si="334"/>
        <v>0</v>
      </c>
      <c r="Q1279" s="765"/>
      <c r="R1279" s="576">
        <f t="shared" si="330"/>
        <v>0</v>
      </c>
      <c r="S1279" s="576">
        <f t="shared" si="330"/>
        <v>0</v>
      </c>
      <c r="T1279" s="577">
        <f t="shared" si="331"/>
        <v>0</v>
      </c>
      <c r="U1279" s="578">
        <f t="shared" si="332"/>
        <v>0</v>
      </c>
      <c r="V1279" s="579"/>
      <c r="W1279" s="566"/>
      <c r="X1279" s="586" t="str">
        <f t="shared" si="335"/>
        <v/>
      </c>
      <c r="Y1279" s="586" t="str">
        <f t="shared" si="329"/>
        <v/>
      </c>
      <c r="Z1279" s="586" t="str">
        <f t="shared" si="327"/>
        <v/>
      </c>
    </row>
    <row r="1280" spans="1:26" ht="23.25" hidden="1" thickBot="1" x14ac:dyDescent="0.25">
      <c r="A1280" s="567">
        <v>95808</v>
      </c>
      <c r="B1280" s="644">
        <v>95808</v>
      </c>
      <c r="C1280" s="645" t="s">
        <v>670</v>
      </c>
      <c r="D1280" s="422" t="s">
        <v>1131</v>
      </c>
      <c r="E1280" s="423"/>
      <c r="F1280" s="424"/>
      <c r="G1280" s="425"/>
      <c r="H1280" s="651"/>
      <c r="I1280" s="420">
        <v>36.549999999999997</v>
      </c>
      <c r="J1280" s="420">
        <f t="shared" si="326"/>
        <v>36.549999999999997</v>
      </c>
      <c r="K1280" s="421">
        <f t="shared" si="325"/>
        <v>43.43</v>
      </c>
      <c r="L1280" s="647" t="s">
        <v>2065</v>
      </c>
      <c r="M1280" s="576"/>
      <c r="N1280" s="576">
        <f t="shared" si="328"/>
        <v>0</v>
      </c>
      <c r="O1280" s="577">
        <f t="shared" si="333"/>
        <v>0</v>
      </c>
      <c r="P1280" s="578">
        <f t="shared" si="334"/>
        <v>0</v>
      </c>
      <c r="Q1280" s="765"/>
      <c r="R1280" s="576">
        <f t="shared" si="330"/>
        <v>0</v>
      </c>
      <c r="S1280" s="576">
        <f t="shared" si="330"/>
        <v>0</v>
      </c>
      <c r="T1280" s="577">
        <f t="shared" si="331"/>
        <v>0</v>
      </c>
      <c r="U1280" s="578">
        <f t="shared" si="332"/>
        <v>0</v>
      </c>
      <c r="V1280" s="579"/>
      <c r="W1280" s="566"/>
      <c r="X1280" s="586" t="str">
        <f t="shared" si="335"/>
        <v/>
      </c>
      <c r="Y1280" s="586" t="str">
        <f t="shared" si="329"/>
        <v/>
      </c>
      <c r="Z1280" s="586" t="str">
        <f t="shared" si="327"/>
        <v/>
      </c>
    </row>
    <row r="1281" spans="1:26" ht="23.25" hidden="1" thickBot="1" x14ac:dyDescent="0.25">
      <c r="A1281" s="567">
        <v>95809</v>
      </c>
      <c r="B1281" s="644">
        <v>95809</v>
      </c>
      <c r="C1281" s="645" t="s">
        <v>670</v>
      </c>
      <c r="D1281" s="422" t="s">
        <v>1132</v>
      </c>
      <c r="E1281" s="423"/>
      <c r="F1281" s="424"/>
      <c r="G1281" s="425"/>
      <c r="H1281" s="651"/>
      <c r="I1281" s="420">
        <v>40.49</v>
      </c>
      <c r="J1281" s="420">
        <f t="shared" si="326"/>
        <v>40.49</v>
      </c>
      <c r="K1281" s="421">
        <f t="shared" si="325"/>
        <v>48.11</v>
      </c>
      <c r="L1281" s="647" t="s">
        <v>2065</v>
      </c>
      <c r="M1281" s="576"/>
      <c r="N1281" s="576">
        <f t="shared" si="328"/>
        <v>0</v>
      </c>
      <c r="O1281" s="577">
        <f t="shared" si="333"/>
        <v>0</v>
      </c>
      <c r="P1281" s="578">
        <f t="shared" si="334"/>
        <v>0</v>
      </c>
      <c r="Q1281" s="765"/>
      <c r="R1281" s="576">
        <f t="shared" si="330"/>
        <v>0</v>
      </c>
      <c r="S1281" s="576">
        <f t="shared" si="330"/>
        <v>0</v>
      </c>
      <c r="T1281" s="577">
        <f t="shared" si="331"/>
        <v>0</v>
      </c>
      <c r="U1281" s="578">
        <f t="shared" si="332"/>
        <v>0</v>
      </c>
      <c r="V1281" s="579"/>
      <c r="W1281" s="566"/>
      <c r="X1281" s="586" t="str">
        <f t="shared" si="335"/>
        <v/>
      </c>
      <c r="Y1281" s="586" t="str">
        <f t="shared" si="329"/>
        <v/>
      </c>
      <c r="Z1281" s="586" t="str">
        <f t="shared" si="327"/>
        <v/>
      </c>
    </row>
    <row r="1282" spans="1:26" ht="23.25" hidden="1" thickBot="1" x14ac:dyDescent="0.25">
      <c r="A1282" s="567">
        <v>95810</v>
      </c>
      <c r="B1282" s="644">
        <v>95810</v>
      </c>
      <c r="C1282" s="645" t="s">
        <v>670</v>
      </c>
      <c r="D1282" s="422" t="s">
        <v>1133</v>
      </c>
      <c r="E1282" s="423"/>
      <c r="F1282" s="424"/>
      <c r="G1282" s="425"/>
      <c r="H1282" s="651"/>
      <c r="I1282" s="420">
        <v>21.91</v>
      </c>
      <c r="J1282" s="420">
        <f t="shared" si="326"/>
        <v>21.91</v>
      </c>
      <c r="K1282" s="421">
        <f t="shared" si="325"/>
        <v>26.03</v>
      </c>
      <c r="L1282" s="647" t="s">
        <v>2065</v>
      </c>
      <c r="M1282" s="576"/>
      <c r="N1282" s="576">
        <f t="shared" si="328"/>
        <v>0</v>
      </c>
      <c r="O1282" s="577">
        <f t="shared" si="333"/>
        <v>0</v>
      </c>
      <c r="P1282" s="578">
        <f t="shared" si="334"/>
        <v>0</v>
      </c>
      <c r="Q1282" s="765"/>
      <c r="R1282" s="576">
        <f t="shared" si="330"/>
        <v>0</v>
      </c>
      <c r="S1282" s="576">
        <f t="shared" si="330"/>
        <v>0</v>
      </c>
      <c r="T1282" s="577">
        <f t="shared" si="331"/>
        <v>0</v>
      </c>
      <c r="U1282" s="578">
        <f t="shared" si="332"/>
        <v>0</v>
      </c>
      <c r="V1282" s="579"/>
      <c r="W1282" s="566"/>
      <c r="X1282" s="586" t="str">
        <f t="shared" si="335"/>
        <v/>
      </c>
      <c r="Y1282" s="586" t="str">
        <f t="shared" si="329"/>
        <v/>
      </c>
      <c r="Z1282" s="586" t="str">
        <f t="shared" si="327"/>
        <v/>
      </c>
    </row>
    <row r="1283" spans="1:26" ht="23.25" hidden="1" thickBot="1" x14ac:dyDescent="0.25">
      <c r="A1283" s="567">
        <v>95811</v>
      </c>
      <c r="B1283" s="644">
        <v>95811</v>
      </c>
      <c r="C1283" s="645" t="s">
        <v>670</v>
      </c>
      <c r="D1283" s="422" t="s">
        <v>1134</v>
      </c>
      <c r="E1283" s="423"/>
      <c r="F1283" s="424"/>
      <c r="G1283" s="425"/>
      <c r="H1283" s="651"/>
      <c r="I1283" s="420">
        <v>22.65</v>
      </c>
      <c r="J1283" s="420">
        <f t="shared" si="326"/>
        <v>22.65</v>
      </c>
      <c r="K1283" s="421">
        <f t="shared" si="325"/>
        <v>26.91</v>
      </c>
      <c r="L1283" s="647" t="s">
        <v>2065</v>
      </c>
      <c r="M1283" s="576"/>
      <c r="N1283" s="576">
        <f t="shared" si="328"/>
        <v>0</v>
      </c>
      <c r="O1283" s="577">
        <f t="shared" si="333"/>
        <v>0</v>
      </c>
      <c r="P1283" s="578">
        <f t="shared" si="334"/>
        <v>0</v>
      </c>
      <c r="Q1283" s="765"/>
      <c r="R1283" s="576">
        <f t="shared" si="330"/>
        <v>0</v>
      </c>
      <c r="S1283" s="576">
        <f t="shared" si="330"/>
        <v>0</v>
      </c>
      <c r="T1283" s="577">
        <f t="shared" si="331"/>
        <v>0</v>
      </c>
      <c r="U1283" s="578">
        <f t="shared" si="332"/>
        <v>0</v>
      </c>
      <c r="V1283" s="579"/>
      <c r="W1283" s="566"/>
      <c r="X1283" s="586" t="str">
        <f t="shared" si="335"/>
        <v/>
      </c>
      <c r="Y1283" s="586" t="str">
        <f t="shared" si="329"/>
        <v/>
      </c>
      <c r="Z1283" s="586" t="str">
        <f t="shared" si="327"/>
        <v/>
      </c>
    </row>
    <row r="1284" spans="1:26" ht="23.25" hidden="1" thickBot="1" x14ac:dyDescent="0.25">
      <c r="A1284" s="567">
        <v>95812</v>
      </c>
      <c r="B1284" s="644">
        <v>95812</v>
      </c>
      <c r="C1284" s="645" t="s">
        <v>670</v>
      </c>
      <c r="D1284" s="422" t="s">
        <v>1135</v>
      </c>
      <c r="E1284" s="423"/>
      <c r="F1284" s="424"/>
      <c r="G1284" s="425"/>
      <c r="H1284" s="651"/>
      <c r="I1284" s="420">
        <v>26.58</v>
      </c>
      <c r="J1284" s="420">
        <f t="shared" si="326"/>
        <v>26.58</v>
      </c>
      <c r="K1284" s="421">
        <f t="shared" si="325"/>
        <v>31.58</v>
      </c>
      <c r="L1284" s="647" t="s">
        <v>2065</v>
      </c>
      <c r="M1284" s="576"/>
      <c r="N1284" s="576">
        <f t="shared" si="328"/>
        <v>0</v>
      </c>
      <c r="O1284" s="577">
        <f t="shared" si="333"/>
        <v>0</v>
      </c>
      <c r="P1284" s="578">
        <f t="shared" si="334"/>
        <v>0</v>
      </c>
      <c r="Q1284" s="765"/>
      <c r="R1284" s="576">
        <f t="shared" si="330"/>
        <v>0</v>
      </c>
      <c r="S1284" s="576">
        <f t="shared" si="330"/>
        <v>0</v>
      </c>
      <c r="T1284" s="577">
        <f t="shared" si="331"/>
        <v>0</v>
      </c>
      <c r="U1284" s="578">
        <f t="shared" si="332"/>
        <v>0</v>
      </c>
      <c r="V1284" s="579"/>
      <c r="W1284" s="566"/>
      <c r="X1284" s="586" t="str">
        <f t="shared" si="335"/>
        <v/>
      </c>
      <c r="Y1284" s="586" t="str">
        <f t="shared" si="329"/>
        <v/>
      </c>
      <c r="Z1284" s="586" t="str">
        <f t="shared" si="327"/>
        <v/>
      </c>
    </row>
    <row r="1285" spans="1:26" ht="23.25" hidden="1" thickBot="1" x14ac:dyDescent="0.25">
      <c r="A1285" s="567">
        <v>95813</v>
      </c>
      <c r="B1285" s="644">
        <v>95813</v>
      </c>
      <c r="C1285" s="645" t="s">
        <v>670</v>
      </c>
      <c r="D1285" s="422" t="s">
        <v>1136</v>
      </c>
      <c r="E1285" s="423"/>
      <c r="F1285" s="424"/>
      <c r="G1285" s="425"/>
      <c r="H1285" s="651"/>
      <c r="I1285" s="420">
        <v>25.84</v>
      </c>
      <c r="J1285" s="420">
        <f t="shared" si="326"/>
        <v>25.84</v>
      </c>
      <c r="K1285" s="421">
        <f t="shared" si="325"/>
        <v>30.7</v>
      </c>
      <c r="L1285" s="647" t="s">
        <v>2065</v>
      </c>
      <c r="M1285" s="576"/>
      <c r="N1285" s="576">
        <f t="shared" si="328"/>
        <v>0</v>
      </c>
      <c r="O1285" s="577">
        <f t="shared" si="333"/>
        <v>0</v>
      </c>
      <c r="P1285" s="578">
        <f t="shared" si="334"/>
        <v>0</v>
      </c>
      <c r="Q1285" s="765"/>
      <c r="R1285" s="576">
        <f t="shared" si="330"/>
        <v>0</v>
      </c>
      <c r="S1285" s="576">
        <f t="shared" si="330"/>
        <v>0</v>
      </c>
      <c r="T1285" s="577">
        <f t="shared" si="331"/>
        <v>0</v>
      </c>
      <c r="U1285" s="578">
        <f t="shared" si="332"/>
        <v>0</v>
      </c>
      <c r="V1285" s="579"/>
      <c r="W1285" s="566"/>
      <c r="X1285" s="586" t="str">
        <f t="shared" si="335"/>
        <v/>
      </c>
      <c r="Y1285" s="586" t="str">
        <f t="shared" si="329"/>
        <v/>
      </c>
      <c r="Z1285" s="586" t="str">
        <f t="shared" si="327"/>
        <v/>
      </c>
    </row>
    <row r="1286" spans="1:26" ht="23.25" hidden="1" thickBot="1" x14ac:dyDescent="0.25">
      <c r="A1286" s="567">
        <v>95814</v>
      </c>
      <c r="B1286" s="644">
        <v>95814</v>
      </c>
      <c r="C1286" s="645" t="s">
        <v>670</v>
      </c>
      <c r="D1286" s="422" t="s">
        <v>1137</v>
      </c>
      <c r="E1286" s="423"/>
      <c r="F1286" s="424"/>
      <c r="G1286" s="425"/>
      <c r="H1286" s="651"/>
      <c r="I1286" s="420">
        <v>26.95</v>
      </c>
      <c r="J1286" s="420">
        <f t="shared" si="326"/>
        <v>26.95</v>
      </c>
      <c r="K1286" s="421">
        <f t="shared" si="325"/>
        <v>32.020000000000003</v>
      </c>
      <c r="L1286" s="647" t="s">
        <v>2065</v>
      </c>
      <c r="M1286" s="576"/>
      <c r="N1286" s="576">
        <f t="shared" si="328"/>
        <v>0</v>
      </c>
      <c r="O1286" s="577">
        <f t="shared" si="333"/>
        <v>0</v>
      </c>
      <c r="P1286" s="578">
        <f t="shared" si="334"/>
        <v>0</v>
      </c>
      <c r="Q1286" s="765"/>
      <c r="R1286" s="576">
        <f t="shared" si="330"/>
        <v>0</v>
      </c>
      <c r="S1286" s="576">
        <f t="shared" si="330"/>
        <v>0</v>
      </c>
      <c r="T1286" s="577">
        <f t="shared" si="331"/>
        <v>0</v>
      </c>
      <c r="U1286" s="578">
        <f t="shared" si="332"/>
        <v>0</v>
      </c>
      <c r="V1286" s="579"/>
      <c r="W1286" s="566"/>
      <c r="X1286" s="586" t="str">
        <f t="shared" si="335"/>
        <v/>
      </c>
      <c r="Y1286" s="586" t="str">
        <f t="shared" si="329"/>
        <v/>
      </c>
      <c r="Z1286" s="586" t="str">
        <f t="shared" si="327"/>
        <v/>
      </c>
    </row>
    <row r="1287" spans="1:26" ht="23.25" hidden="1" thickBot="1" x14ac:dyDescent="0.25">
      <c r="A1287" s="567">
        <v>95815</v>
      </c>
      <c r="B1287" s="644">
        <v>95815</v>
      </c>
      <c r="C1287" s="645" t="s">
        <v>670</v>
      </c>
      <c r="D1287" s="422" t="s">
        <v>1138</v>
      </c>
      <c r="E1287" s="423"/>
      <c r="F1287" s="424"/>
      <c r="G1287" s="425"/>
      <c r="H1287" s="651"/>
      <c r="I1287" s="420">
        <v>34.72</v>
      </c>
      <c r="J1287" s="420">
        <f t="shared" si="326"/>
        <v>34.72</v>
      </c>
      <c r="K1287" s="421">
        <f t="shared" si="325"/>
        <v>41.25</v>
      </c>
      <c r="L1287" s="647" t="s">
        <v>2065</v>
      </c>
      <c r="M1287" s="576"/>
      <c r="N1287" s="576">
        <f t="shared" si="328"/>
        <v>0</v>
      </c>
      <c r="O1287" s="577">
        <f t="shared" si="333"/>
        <v>0</v>
      </c>
      <c r="P1287" s="578">
        <f t="shared" si="334"/>
        <v>0</v>
      </c>
      <c r="Q1287" s="765"/>
      <c r="R1287" s="576">
        <f t="shared" si="330"/>
        <v>0</v>
      </c>
      <c r="S1287" s="576">
        <f t="shared" si="330"/>
        <v>0</v>
      </c>
      <c r="T1287" s="577">
        <f t="shared" si="331"/>
        <v>0</v>
      </c>
      <c r="U1287" s="578">
        <f t="shared" si="332"/>
        <v>0</v>
      </c>
      <c r="V1287" s="579"/>
      <c r="W1287" s="566"/>
      <c r="X1287" s="586" t="str">
        <f t="shared" si="335"/>
        <v/>
      </c>
      <c r="Y1287" s="586" t="str">
        <f t="shared" si="329"/>
        <v/>
      </c>
      <c r="Z1287" s="586" t="str">
        <f t="shared" si="327"/>
        <v/>
      </c>
    </row>
    <row r="1288" spans="1:26" ht="23.25" hidden="1" thickBot="1" x14ac:dyDescent="0.25">
      <c r="A1288" s="567">
        <v>95816</v>
      </c>
      <c r="B1288" s="644">
        <v>95816</v>
      </c>
      <c r="C1288" s="645" t="s">
        <v>670</v>
      </c>
      <c r="D1288" s="422" t="s">
        <v>1139</v>
      </c>
      <c r="E1288" s="423"/>
      <c r="F1288" s="424"/>
      <c r="G1288" s="425"/>
      <c r="H1288" s="651"/>
      <c r="I1288" s="420">
        <v>44.08</v>
      </c>
      <c r="J1288" s="420">
        <f t="shared" si="326"/>
        <v>44.08</v>
      </c>
      <c r="K1288" s="421">
        <f t="shared" si="325"/>
        <v>52.37</v>
      </c>
      <c r="L1288" s="647" t="s">
        <v>2065</v>
      </c>
      <c r="M1288" s="576"/>
      <c r="N1288" s="576">
        <f t="shared" si="328"/>
        <v>0</v>
      </c>
      <c r="O1288" s="577">
        <f t="shared" si="333"/>
        <v>0</v>
      </c>
      <c r="P1288" s="578">
        <f t="shared" si="334"/>
        <v>0</v>
      </c>
      <c r="Q1288" s="765"/>
      <c r="R1288" s="576">
        <f t="shared" si="330"/>
        <v>0</v>
      </c>
      <c r="S1288" s="576">
        <f t="shared" si="330"/>
        <v>0</v>
      </c>
      <c r="T1288" s="577">
        <f t="shared" si="331"/>
        <v>0</v>
      </c>
      <c r="U1288" s="578">
        <f t="shared" si="332"/>
        <v>0</v>
      </c>
      <c r="V1288" s="579"/>
      <c r="W1288" s="566"/>
      <c r="X1288" s="586" t="str">
        <f t="shared" si="335"/>
        <v/>
      </c>
      <c r="Y1288" s="586" t="str">
        <f t="shared" si="329"/>
        <v/>
      </c>
      <c r="Z1288" s="586" t="str">
        <f t="shared" si="327"/>
        <v/>
      </c>
    </row>
    <row r="1289" spans="1:26" ht="23.25" hidden="1" thickBot="1" x14ac:dyDescent="0.25">
      <c r="A1289" s="567">
        <v>95817</v>
      </c>
      <c r="B1289" s="644">
        <v>95817</v>
      </c>
      <c r="C1289" s="645" t="s">
        <v>670</v>
      </c>
      <c r="D1289" s="422" t="s">
        <v>1140</v>
      </c>
      <c r="E1289" s="423"/>
      <c r="F1289" s="424"/>
      <c r="G1289" s="425"/>
      <c r="H1289" s="651"/>
      <c r="I1289" s="420">
        <v>44.84</v>
      </c>
      <c r="J1289" s="420">
        <f t="shared" si="326"/>
        <v>44.84</v>
      </c>
      <c r="K1289" s="421">
        <f t="shared" ref="K1289:K1352" si="336">IF(ISBLANK(I1289),0,ROUND(J1289*(1+$F$10)*(1+$F$11*E1289),2))</f>
        <v>53.27</v>
      </c>
      <c r="L1289" s="647" t="s">
        <v>2065</v>
      </c>
      <c r="M1289" s="576"/>
      <c r="N1289" s="576">
        <f t="shared" si="328"/>
        <v>0</v>
      </c>
      <c r="O1289" s="577">
        <f t="shared" si="333"/>
        <v>0</v>
      </c>
      <c r="P1289" s="578">
        <f t="shared" si="334"/>
        <v>0</v>
      </c>
      <c r="Q1289" s="765"/>
      <c r="R1289" s="576">
        <f t="shared" si="330"/>
        <v>0</v>
      </c>
      <c r="S1289" s="576">
        <f t="shared" si="330"/>
        <v>0</v>
      </c>
      <c r="T1289" s="577">
        <f t="shared" si="331"/>
        <v>0</v>
      </c>
      <c r="U1289" s="578">
        <f t="shared" si="332"/>
        <v>0</v>
      </c>
      <c r="V1289" s="579"/>
      <c r="W1289" s="566"/>
      <c r="X1289" s="586" t="str">
        <f t="shared" si="335"/>
        <v/>
      </c>
      <c r="Y1289" s="586" t="str">
        <f t="shared" si="329"/>
        <v/>
      </c>
      <c r="Z1289" s="586" t="str">
        <f t="shared" si="327"/>
        <v/>
      </c>
    </row>
    <row r="1290" spans="1:26" ht="23.25" hidden="1" thickBot="1" x14ac:dyDescent="0.25">
      <c r="A1290" s="567">
        <v>95818</v>
      </c>
      <c r="B1290" s="644">
        <v>95818</v>
      </c>
      <c r="C1290" s="645" t="s">
        <v>670</v>
      </c>
      <c r="D1290" s="422" t="s">
        <v>1141</v>
      </c>
      <c r="E1290" s="423"/>
      <c r="F1290" s="424"/>
      <c r="G1290" s="425"/>
      <c r="H1290" s="651"/>
      <c r="I1290" s="420">
        <v>55.31</v>
      </c>
      <c r="J1290" s="420">
        <f t="shared" si="326"/>
        <v>55.31</v>
      </c>
      <c r="K1290" s="421">
        <f t="shared" si="336"/>
        <v>65.709999999999994</v>
      </c>
      <c r="L1290" s="647" t="s">
        <v>2065</v>
      </c>
      <c r="M1290" s="576"/>
      <c r="N1290" s="576">
        <f t="shared" si="328"/>
        <v>0</v>
      </c>
      <c r="O1290" s="577">
        <f t="shared" si="333"/>
        <v>0</v>
      </c>
      <c r="P1290" s="578">
        <f t="shared" si="334"/>
        <v>0</v>
      </c>
      <c r="Q1290" s="765"/>
      <c r="R1290" s="576">
        <f t="shared" si="330"/>
        <v>0</v>
      </c>
      <c r="S1290" s="576">
        <f t="shared" si="330"/>
        <v>0</v>
      </c>
      <c r="T1290" s="577">
        <f t="shared" si="331"/>
        <v>0</v>
      </c>
      <c r="U1290" s="578">
        <f t="shared" si="332"/>
        <v>0</v>
      </c>
      <c r="V1290" s="579"/>
      <c r="W1290" s="566"/>
      <c r="X1290" s="586" t="str">
        <f t="shared" si="335"/>
        <v/>
      </c>
      <c r="Y1290" s="586" t="str">
        <f t="shared" si="329"/>
        <v/>
      </c>
      <c r="Z1290" s="586" t="str">
        <f t="shared" si="327"/>
        <v/>
      </c>
    </row>
    <row r="1291" spans="1:26" ht="12" hidden="1" thickBot="1" x14ac:dyDescent="0.25">
      <c r="A1291" s="567">
        <v>91936</v>
      </c>
      <c r="B1291" s="644">
        <v>91936</v>
      </c>
      <c r="C1291" s="645" t="s">
        <v>670</v>
      </c>
      <c r="D1291" s="422" t="s">
        <v>1142</v>
      </c>
      <c r="E1291" s="423"/>
      <c r="F1291" s="424"/>
      <c r="G1291" s="425"/>
      <c r="H1291" s="651"/>
      <c r="I1291" s="420">
        <v>17.34</v>
      </c>
      <c r="J1291" s="420">
        <f t="shared" si="326"/>
        <v>17.34</v>
      </c>
      <c r="K1291" s="421">
        <f t="shared" si="336"/>
        <v>20.6</v>
      </c>
      <c r="L1291" s="647" t="s">
        <v>2065</v>
      </c>
      <c r="M1291" s="576"/>
      <c r="N1291" s="576">
        <f t="shared" si="328"/>
        <v>0</v>
      </c>
      <c r="O1291" s="577">
        <f t="shared" si="333"/>
        <v>0</v>
      </c>
      <c r="P1291" s="578">
        <f t="shared" si="334"/>
        <v>0</v>
      </c>
      <c r="Q1291" s="765"/>
      <c r="R1291" s="576">
        <f t="shared" si="330"/>
        <v>0</v>
      </c>
      <c r="S1291" s="576">
        <f t="shared" si="330"/>
        <v>0</v>
      </c>
      <c r="T1291" s="577">
        <f t="shared" si="331"/>
        <v>0</v>
      </c>
      <c r="U1291" s="578">
        <f t="shared" si="332"/>
        <v>0</v>
      </c>
      <c r="V1291" s="579"/>
      <c r="W1291" s="566"/>
      <c r="X1291" s="586" t="str">
        <f t="shared" si="335"/>
        <v/>
      </c>
      <c r="Y1291" s="586" t="str">
        <f t="shared" si="329"/>
        <v/>
      </c>
      <c r="Z1291" s="586" t="str">
        <f t="shared" si="327"/>
        <v/>
      </c>
    </row>
    <row r="1292" spans="1:26" ht="12" hidden="1" thickBot="1" x14ac:dyDescent="0.25">
      <c r="A1292" s="567">
        <v>91937</v>
      </c>
      <c r="B1292" s="644">
        <v>91937</v>
      </c>
      <c r="C1292" s="645" t="s">
        <v>670</v>
      </c>
      <c r="D1292" s="422" t="s">
        <v>1143</v>
      </c>
      <c r="E1292" s="423"/>
      <c r="F1292" s="424"/>
      <c r="G1292" s="425"/>
      <c r="H1292" s="651"/>
      <c r="I1292" s="420">
        <v>14.3</v>
      </c>
      <c r="J1292" s="420">
        <f t="shared" si="326"/>
        <v>14.3</v>
      </c>
      <c r="K1292" s="421">
        <f t="shared" si="336"/>
        <v>16.989999999999998</v>
      </c>
      <c r="L1292" s="647" t="s">
        <v>2065</v>
      </c>
      <c r="M1292" s="576"/>
      <c r="N1292" s="576">
        <f t="shared" si="328"/>
        <v>0</v>
      </c>
      <c r="O1292" s="577">
        <f t="shared" si="333"/>
        <v>0</v>
      </c>
      <c r="P1292" s="578">
        <f t="shared" si="334"/>
        <v>0</v>
      </c>
      <c r="Q1292" s="765"/>
      <c r="R1292" s="576">
        <f t="shared" si="330"/>
        <v>0</v>
      </c>
      <c r="S1292" s="576">
        <f t="shared" si="330"/>
        <v>0</v>
      </c>
      <c r="T1292" s="577">
        <f t="shared" si="331"/>
        <v>0</v>
      </c>
      <c r="U1292" s="578">
        <f t="shared" si="332"/>
        <v>0</v>
      </c>
      <c r="V1292" s="579"/>
      <c r="W1292" s="566"/>
      <c r="X1292" s="586" t="str">
        <f t="shared" si="335"/>
        <v/>
      </c>
      <c r="Y1292" s="586" t="str">
        <f t="shared" si="329"/>
        <v/>
      </c>
      <c r="Z1292" s="586" t="str">
        <f t="shared" si="327"/>
        <v/>
      </c>
    </row>
    <row r="1293" spans="1:26" ht="23.25" hidden="1" thickBot="1" x14ac:dyDescent="0.25">
      <c r="A1293" s="567">
        <v>91939</v>
      </c>
      <c r="B1293" s="644">
        <v>91939</v>
      </c>
      <c r="C1293" s="645" t="s">
        <v>670</v>
      </c>
      <c r="D1293" s="422" t="s">
        <v>1144</v>
      </c>
      <c r="E1293" s="423"/>
      <c r="F1293" s="424"/>
      <c r="G1293" s="425"/>
      <c r="H1293" s="651"/>
      <c r="I1293" s="420">
        <v>31.44</v>
      </c>
      <c r="J1293" s="420">
        <f t="shared" si="326"/>
        <v>31.44</v>
      </c>
      <c r="K1293" s="421">
        <f t="shared" si="336"/>
        <v>37.35</v>
      </c>
      <c r="L1293" s="647" t="s">
        <v>2065</v>
      </c>
      <c r="M1293" s="576"/>
      <c r="N1293" s="576">
        <f t="shared" si="328"/>
        <v>0</v>
      </c>
      <c r="O1293" s="577">
        <f t="shared" si="333"/>
        <v>0</v>
      </c>
      <c r="P1293" s="578">
        <f t="shared" si="334"/>
        <v>0</v>
      </c>
      <c r="Q1293" s="765"/>
      <c r="R1293" s="576">
        <f t="shared" si="330"/>
        <v>0</v>
      </c>
      <c r="S1293" s="576">
        <f t="shared" si="330"/>
        <v>0</v>
      </c>
      <c r="T1293" s="577">
        <f t="shared" si="331"/>
        <v>0</v>
      </c>
      <c r="U1293" s="578">
        <f t="shared" si="332"/>
        <v>0</v>
      </c>
      <c r="V1293" s="579"/>
      <c r="W1293" s="566"/>
      <c r="X1293" s="586" t="str">
        <f t="shared" si="335"/>
        <v/>
      </c>
      <c r="Y1293" s="586" t="str">
        <f t="shared" si="329"/>
        <v/>
      </c>
      <c r="Z1293" s="586" t="str">
        <f t="shared" si="327"/>
        <v/>
      </c>
    </row>
    <row r="1294" spans="1:26" ht="23.25" hidden="1" thickBot="1" x14ac:dyDescent="0.25">
      <c r="A1294" s="567">
        <v>91940</v>
      </c>
      <c r="B1294" s="644">
        <v>91940</v>
      </c>
      <c r="C1294" s="645" t="s">
        <v>670</v>
      </c>
      <c r="D1294" s="422" t="s">
        <v>1145</v>
      </c>
      <c r="E1294" s="423"/>
      <c r="F1294" s="424"/>
      <c r="G1294" s="425"/>
      <c r="H1294" s="651"/>
      <c r="I1294" s="420">
        <v>17.239999999999998</v>
      </c>
      <c r="J1294" s="420">
        <f t="shared" si="326"/>
        <v>17.239999999999998</v>
      </c>
      <c r="K1294" s="421">
        <f t="shared" si="336"/>
        <v>20.48</v>
      </c>
      <c r="L1294" s="647" t="s">
        <v>2065</v>
      </c>
      <c r="M1294" s="576"/>
      <c r="N1294" s="576">
        <f t="shared" si="328"/>
        <v>0</v>
      </c>
      <c r="O1294" s="577">
        <f t="shared" si="333"/>
        <v>0</v>
      </c>
      <c r="P1294" s="578">
        <f t="shared" si="334"/>
        <v>0</v>
      </c>
      <c r="Q1294" s="765"/>
      <c r="R1294" s="576">
        <f t="shared" si="330"/>
        <v>0</v>
      </c>
      <c r="S1294" s="576">
        <f t="shared" si="330"/>
        <v>0</v>
      </c>
      <c r="T1294" s="577">
        <f t="shared" si="331"/>
        <v>0</v>
      </c>
      <c r="U1294" s="578">
        <f t="shared" si="332"/>
        <v>0</v>
      </c>
      <c r="V1294" s="579"/>
      <c r="W1294" s="566"/>
      <c r="X1294" s="586" t="str">
        <f t="shared" si="335"/>
        <v/>
      </c>
      <c r="Y1294" s="586" t="str">
        <f t="shared" si="329"/>
        <v/>
      </c>
      <c r="Z1294" s="586" t="str">
        <f t="shared" si="327"/>
        <v/>
      </c>
    </row>
    <row r="1295" spans="1:26" ht="23.25" hidden="1" thickBot="1" x14ac:dyDescent="0.25">
      <c r="A1295" s="567">
        <v>91941</v>
      </c>
      <c r="B1295" s="644">
        <v>91941</v>
      </c>
      <c r="C1295" s="645" t="s">
        <v>670</v>
      </c>
      <c r="D1295" s="422" t="s">
        <v>1146</v>
      </c>
      <c r="E1295" s="423"/>
      <c r="F1295" s="424"/>
      <c r="G1295" s="425"/>
      <c r="H1295" s="651"/>
      <c r="I1295" s="420">
        <v>11.91</v>
      </c>
      <c r="J1295" s="420">
        <f t="shared" si="326"/>
        <v>11.91</v>
      </c>
      <c r="K1295" s="421">
        <f t="shared" si="336"/>
        <v>14.15</v>
      </c>
      <c r="L1295" s="647" t="s">
        <v>2065</v>
      </c>
      <c r="M1295" s="576"/>
      <c r="N1295" s="576">
        <f t="shared" si="328"/>
        <v>0</v>
      </c>
      <c r="O1295" s="577">
        <f t="shared" si="333"/>
        <v>0</v>
      </c>
      <c r="P1295" s="578">
        <f t="shared" si="334"/>
        <v>0</v>
      </c>
      <c r="Q1295" s="765"/>
      <c r="R1295" s="576">
        <f t="shared" si="330"/>
        <v>0</v>
      </c>
      <c r="S1295" s="576">
        <f t="shared" si="330"/>
        <v>0</v>
      </c>
      <c r="T1295" s="577">
        <f t="shared" si="331"/>
        <v>0</v>
      </c>
      <c r="U1295" s="578">
        <f t="shared" si="332"/>
        <v>0</v>
      </c>
      <c r="V1295" s="579"/>
      <c r="W1295" s="566"/>
      <c r="X1295" s="586" t="str">
        <f t="shared" si="335"/>
        <v/>
      </c>
      <c r="Y1295" s="586" t="str">
        <f t="shared" si="329"/>
        <v/>
      </c>
      <c r="Z1295" s="586" t="str">
        <f t="shared" si="327"/>
        <v/>
      </c>
    </row>
    <row r="1296" spans="1:26" ht="23.25" hidden="1" thickBot="1" x14ac:dyDescent="0.25">
      <c r="A1296" s="567">
        <v>91942</v>
      </c>
      <c r="B1296" s="644">
        <v>91942</v>
      </c>
      <c r="C1296" s="645" t="s">
        <v>670</v>
      </c>
      <c r="D1296" s="422" t="s">
        <v>1147</v>
      </c>
      <c r="E1296" s="423"/>
      <c r="F1296" s="424"/>
      <c r="G1296" s="425"/>
      <c r="H1296" s="651"/>
      <c r="I1296" s="420">
        <v>39.409999999999997</v>
      </c>
      <c r="J1296" s="420">
        <f t="shared" si="326"/>
        <v>39.409999999999997</v>
      </c>
      <c r="K1296" s="421">
        <f t="shared" si="336"/>
        <v>46.82</v>
      </c>
      <c r="L1296" s="647" t="s">
        <v>2065</v>
      </c>
      <c r="M1296" s="576"/>
      <c r="N1296" s="576">
        <f t="shared" si="328"/>
        <v>0</v>
      </c>
      <c r="O1296" s="577">
        <f t="shared" si="333"/>
        <v>0</v>
      </c>
      <c r="P1296" s="578">
        <f t="shared" si="334"/>
        <v>0</v>
      </c>
      <c r="Q1296" s="765"/>
      <c r="R1296" s="576">
        <f t="shared" si="330"/>
        <v>0</v>
      </c>
      <c r="S1296" s="576">
        <f t="shared" si="330"/>
        <v>0</v>
      </c>
      <c r="T1296" s="577">
        <f t="shared" si="331"/>
        <v>0</v>
      </c>
      <c r="U1296" s="578">
        <f t="shared" si="332"/>
        <v>0</v>
      </c>
      <c r="V1296" s="579"/>
      <c r="W1296" s="566"/>
      <c r="X1296" s="586" t="str">
        <f t="shared" si="335"/>
        <v/>
      </c>
      <c r="Y1296" s="586" t="str">
        <f t="shared" si="329"/>
        <v/>
      </c>
      <c r="Z1296" s="586" t="str">
        <f t="shared" si="327"/>
        <v/>
      </c>
    </row>
    <row r="1297" spans="1:26" ht="23.25" hidden="1" thickBot="1" x14ac:dyDescent="0.25">
      <c r="A1297" s="567">
        <v>91943</v>
      </c>
      <c r="B1297" s="644">
        <v>91943</v>
      </c>
      <c r="C1297" s="645" t="s">
        <v>670</v>
      </c>
      <c r="D1297" s="422" t="s">
        <v>1148</v>
      </c>
      <c r="E1297" s="423"/>
      <c r="F1297" s="424"/>
      <c r="G1297" s="425"/>
      <c r="H1297" s="651"/>
      <c r="I1297" s="420">
        <v>23.07</v>
      </c>
      <c r="J1297" s="420">
        <f t="shared" si="326"/>
        <v>23.07</v>
      </c>
      <c r="K1297" s="421">
        <f t="shared" si="336"/>
        <v>27.41</v>
      </c>
      <c r="L1297" s="647" t="s">
        <v>2065</v>
      </c>
      <c r="M1297" s="576"/>
      <c r="N1297" s="576">
        <f t="shared" si="328"/>
        <v>0</v>
      </c>
      <c r="O1297" s="577">
        <f t="shared" si="333"/>
        <v>0</v>
      </c>
      <c r="P1297" s="578">
        <f t="shared" si="334"/>
        <v>0</v>
      </c>
      <c r="Q1297" s="765"/>
      <c r="R1297" s="576">
        <f t="shared" si="330"/>
        <v>0</v>
      </c>
      <c r="S1297" s="576">
        <f t="shared" si="330"/>
        <v>0</v>
      </c>
      <c r="T1297" s="577">
        <f t="shared" si="331"/>
        <v>0</v>
      </c>
      <c r="U1297" s="578">
        <f t="shared" si="332"/>
        <v>0</v>
      </c>
      <c r="V1297" s="579"/>
      <c r="W1297" s="566"/>
      <c r="X1297" s="586" t="str">
        <f t="shared" si="335"/>
        <v/>
      </c>
      <c r="Y1297" s="586" t="str">
        <f t="shared" si="329"/>
        <v/>
      </c>
      <c r="Z1297" s="586" t="str">
        <f t="shared" si="327"/>
        <v/>
      </c>
    </row>
    <row r="1298" spans="1:26" ht="23.25" hidden="1" thickBot="1" x14ac:dyDescent="0.25">
      <c r="A1298" s="567">
        <v>91944</v>
      </c>
      <c r="B1298" s="644">
        <v>91944</v>
      </c>
      <c r="C1298" s="645" t="s">
        <v>670</v>
      </c>
      <c r="D1298" s="422" t="s">
        <v>1149</v>
      </c>
      <c r="E1298" s="423"/>
      <c r="F1298" s="424"/>
      <c r="G1298" s="425"/>
      <c r="H1298" s="651"/>
      <c r="I1298" s="420">
        <v>16.97</v>
      </c>
      <c r="J1298" s="420">
        <f t="shared" si="326"/>
        <v>16.97</v>
      </c>
      <c r="K1298" s="421">
        <f t="shared" si="336"/>
        <v>20.16</v>
      </c>
      <c r="L1298" s="647" t="s">
        <v>2065</v>
      </c>
      <c r="M1298" s="576"/>
      <c r="N1298" s="576">
        <f t="shared" si="328"/>
        <v>0</v>
      </c>
      <c r="O1298" s="577">
        <f t="shared" si="333"/>
        <v>0</v>
      </c>
      <c r="P1298" s="578">
        <f t="shared" si="334"/>
        <v>0</v>
      </c>
      <c r="Q1298" s="765"/>
      <c r="R1298" s="576">
        <f t="shared" si="330"/>
        <v>0</v>
      </c>
      <c r="S1298" s="576">
        <f t="shared" si="330"/>
        <v>0</v>
      </c>
      <c r="T1298" s="577">
        <f t="shared" si="331"/>
        <v>0</v>
      </c>
      <c r="U1298" s="578">
        <f t="shared" si="332"/>
        <v>0</v>
      </c>
      <c r="V1298" s="579"/>
      <c r="W1298" s="566"/>
      <c r="X1298" s="586" t="str">
        <f t="shared" si="335"/>
        <v/>
      </c>
      <c r="Y1298" s="586" t="str">
        <f t="shared" si="329"/>
        <v/>
      </c>
      <c r="Z1298" s="586" t="str">
        <f t="shared" si="327"/>
        <v/>
      </c>
    </row>
    <row r="1299" spans="1:26" ht="23.25" hidden="1" thickBot="1" x14ac:dyDescent="0.25">
      <c r="A1299" s="567">
        <v>92865</v>
      </c>
      <c r="B1299" s="644">
        <v>92865</v>
      </c>
      <c r="C1299" s="645" t="s">
        <v>670</v>
      </c>
      <c r="D1299" s="422" t="s">
        <v>1150</v>
      </c>
      <c r="E1299" s="423"/>
      <c r="F1299" s="424"/>
      <c r="G1299" s="425"/>
      <c r="H1299" s="651"/>
      <c r="I1299" s="420">
        <v>12.27</v>
      </c>
      <c r="J1299" s="420">
        <f t="shared" ref="J1299:J1362" si="337">IF(ISBLANK(I1299),"",SUM(H1299:I1299))</f>
        <v>12.27</v>
      </c>
      <c r="K1299" s="421">
        <f t="shared" si="336"/>
        <v>14.58</v>
      </c>
      <c r="L1299" s="647" t="s">
        <v>2065</v>
      </c>
      <c r="M1299" s="576"/>
      <c r="N1299" s="576">
        <f t="shared" si="328"/>
        <v>0</v>
      </c>
      <c r="O1299" s="577">
        <f t="shared" si="333"/>
        <v>0</v>
      </c>
      <c r="P1299" s="578">
        <f t="shared" si="334"/>
        <v>0</v>
      </c>
      <c r="Q1299" s="765"/>
      <c r="R1299" s="576">
        <f t="shared" si="330"/>
        <v>0</v>
      </c>
      <c r="S1299" s="576">
        <f t="shared" si="330"/>
        <v>0</v>
      </c>
      <c r="T1299" s="577">
        <f t="shared" si="331"/>
        <v>0</v>
      </c>
      <c r="U1299" s="578">
        <f t="shared" si="332"/>
        <v>0</v>
      </c>
      <c r="V1299" s="579"/>
      <c r="W1299" s="566"/>
      <c r="X1299" s="586" t="str">
        <f t="shared" si="335"/>
        <v/>
      </c>
      <c r="Y1299" s="586" t="str">
        <f t="shared" si="329"/>
        <v/>
      </c>
      <c r="Z1299" s="586" t="str">
        <f t="shared" ref="Z1299:Z1362" si="338">IF(W1299="X","x",IF(U1299&gt;0,"x",""))</f>
        <v/>
      </c>
    </row>
    <row r="1300" spans="1:26" ht="23.25" hidden="1" thickBot="1" x14ac:dyDescent="0.25">
      <c r="A1300" s="567">
        <v>92866</v>
      </c>
      <c r="B1300" s="644">
        <v>92866</v>
      </c>
      <c r="C1300" s="645" t="s">
        <v>670</v>
      </c>
      <c r="D1300" s="422" t="s">
        <v>1151</v>
      </c>
      <c r="E1300" s="423"/>
      <c r="F1300" s="424"/>
      <c r="G1300" s="425"/>
      <c r="H1300" s="651"/>
      <c r="I1300" s="420">
        <v>9.66</v>
      </c>
      <c r="J1300" s="420">
        <f t="shared" si="337"/>
        <v>9.66</v>
      </c>
      <c r="K1300" s="421">
        <f t="shared" si="336"/>
        <v>11.48</v>
      </c>
      <c r="L1300" s="647" t="s">
        <v>2065</v>
      </c>
      <c r="M1300" s="576"/>
      <c r="N1300" s="576">
        <f t="shared" ref="N1300:N1363" si="339">IF(M1300=0,0,K1300)</f>
        <v>0</v>
      </c>
      <c r="O1300" s="577">
        <f t="shared" si="333"/>
        <v>0</v>
      </c>
      <c r="P1300" s="578">
        <f t="shared" si="334"/>
        <v>0</v>
      </c>
      <c r="Q1300" s="765"/>
      <c r="R1300" s="576">
        <f t="shared" si="330"/>
        <v>0</v>
      </c>
      <c r="S1300" s="576">
        <f t="shared" si="330"/>
        <v>0</v>
      </c>
      <c r="T1300" s="577">
        <f t="shared" si="331"/>
        <v>0</v>
      </c>
      <c r="U1300" s="578">
        <f t="shared" si="332"/>
        <v>0</v>
      </c>
      <c r="V1300" s="579"/>
      <c r="W1300" s="566"/>
      <c r="X1300" s="586" t="str">
        <f t="shared" si="335"/>
        <v/>
      </c>
      <c r="Y1300" s="586" t="str">
        <f t="shared" si="329"/>
        <v/>
      </c>
      <c r="Z1300" s="586" t="str">
        <f t="shared" si="338"/>
        <v/>
      </c>
    </row>
    <row r="1301" spans="1:26" ht="23.25" hidden="1" thickBot="1" x14ac:dyDescent="0.25">
      <c r="A1301" s="567">
        <v>92867</v>
      </c>
      <c r="B1301" s="644">
        <v>92867</v>
      </c>
      <c r="C1301" s="645" t="s">
        <v>670</v>
      </c>
      <c r="D1301" s="422" t="s">
        <v>1152</v>
      </c>
      <c r="E1301" s="423"/>
      <c r="F1301" s="424"/>
      <c r="G1301" s="425"/>
      <c r="H1301" s="651"/>
      <c r="I1301" s="420">
        <v>29.89</v>
      </c>
      <c r="J1301" s="420">
        <f t="shared" si="337"/>
        <v>29.89</v>
      </c>
      <c r="K1301" s="421">
        <f t="shared" si="336"/>
        <v>35.51</v>
      </c>
      <c r="L1301" s="647" t="s">
        <v>2065</v>
      </c>
      <c r="M1301" s="576"/>
      <c r="N1301" s="576">
        <f t="shared" si="339"/>
        <v>0</v>
      </c>
      <c r="O1301" s="577">
        <f t="shared" si="333"/>
        <v>0</v>
      </c>
      <c r="P1301" s="578">
        <f t="shared" si="334"/>
        <v>0</v>
      </c>
      <c r="Q1301" s="765"/>
      <c r="R1301" s="576">
        <f t="shared" si="330"/>
        <v>0</v>
      </c>
      <c r="S1301" s="576">
        <f t="shared" si="330"/>
        <v>0</v>
      </c>
      <c r="T1301" s="577">
        <f t="shared" si="331"/>
        <v>0</v>
      </c>
      <c r="U1301" s="578">
        <f t="shared" si="332"/>
        <v>0</v>
      </c>
      <c r="V1301" s="579"/>
      <c r="W1301" s="566"/>
      <c r="X1301" s="586" t="str">
        <f t="shared" si="335"/>
        <v/>
      </c>
      <c r="Y1301" s="586" t="str">
        <f t="shared" si="329"/>
        <v/>
      </c>
      <c r="Z1301" s="586" t="str">
        <f t="shared" si="338"/>
        <v/>
      </c>
    </row>
    <row r="1302" spans="1:26" ht="23.25" hidden="1" thickBot="1" x14ac:dyDescent="0.25">
      <c r="A1302" s="567">
        <v>92868</v>
      </c>
      <c r="B1302" s="644">
        <v>92868</v>
      </c>
      <c r="C1302" s="645" t="s">
        <v>670</v>
      </c>
      <c r="D1302" s="422" t="s">
        <v>1153</v>
      </c>
      <c r="E1302" s="423"/>
      <c r="F1302" s="424"/>
      <c r="G1302" s="425"/>
      <c r="H1302" s="651"/>
      <c r="I1302" s="420">
        <v>15.69</v>
      </c>
      <c r="J1302" s="420">
        <f t="shared" si="337"/>
        <v>15.69</v>
      </c>
      <c r="K1302" s="421">
        <f t="shared" si="336"/>
        <v>18.64</v>
      </c>
      <c r="L1302" s="647" t="s">
        <v>2065</v>
      </c>
      <c r="M1302" s="576"/>
      <c r="N1302" s="576">
        <f t="shared" si="339"/>
        <v>0</v>
      </c>
      <c r="O1302" s="577">
        <f t="shared" si="333"/>
        <v>0</v>
      </c>
      <c r="P1302" s="578">
        <f t="shared" si="334"/>
        <v>0</v>
      </c>
      <c r="Q1302" s="765"/>
      <c r="R1302" s="576">
        <f t="shared" si="330"/>
        <v>0</v>
      </c>
      <c r="S1302" s="576">
        <f t="shared" si="330"/>
        <v>0</v>
      </c>
      <c r="T1302" s="577">
        <f t="shared" si="331"/>
        <v>0</v>
      </c>
      <c r="U1302" s="578">
        <f t="shared" si="332"/>
        <v>0</v>
      </c>
      <c r="V1302" s="579"/>
      <c r="W1302" s="566"/>
      <c r="X1302" s="586" t="str">
        <f t="shared" si="335"/>
        <v/>
      </c>
      <c r="Y1302" s="586" t="str">
        <f t="shared" si="329"/>
        <v/>
      </c>
      <c r="Z1302" s="586" t="str">
        <f t="shared" si="338"/>
        <v/>
      </c>
    </row>
    <row r="1303" spans="1:26" ht="23.25" hidden="1" thickBot="1" x14ac:dyDescent="0.25">
      <c r="A1303" s="567">
        <v>92869</v>
      </c>
      <c r="B1303" s="644">
        <v>92869</v>
      </c>
      <c r="C1303" s="645" t="s">
        <v>670</v>
      </c>
      <c r="D1303" s="422" t="s">
        <v>1154</v>
      </c>
      <c r="E1303" s="423"/>
      <c r="F1303" s="424"/>
      <c r="G1303" s="425"/>
      <c r="H1303" s="651"/>
      <c r="I1303" s="420">
        <v>10.36</v>
      </c>
      <c r="J1303" s="420">
        <f t="shared" si="337"/>
        <v>10.36</v>
      </c>
      <c r="K1303" s="421">
        <f t="shared" si="336"/>
        <v>12.31</v>
      </c>
      <c r="L1303" s="647" t="s">
        <v>2065</v>
      </c>
      <c r="M1303" s="576"/>
      <c r="N1303" s="576">
        <f t="shared" si="339"/>
        <v>0</v>
      </c>
      <c r="O1303" s="577">
        <f t="shared" si="333"/>
        <v>0</v>
      </c>
      <c r="P1303" s="578">
        <f t="shared" si="334"/>
        <v>0</v>
      </c>
      <c r="Q1303" s="765"/>
      <c r="R1303" s="576">
        <f t="shared" si="330"/>
        <v>0</v>
      </c>
      <c r="S1303" s="576">
        <f t="shared" si="330"/>
        <v>0</v>
      </c>
      <c r="T1303" s="577">
        <f t="shared" si="331"/>
        <v>0</v>
      </c>
      <c r="U1303" s="578">
        <f t="shared" si="332"/>
        <v>0</v>
      </c>
      <c r="V1303" s="579"/>
      <c r="W1303" s="566"/>
      <c r="X1303" s="586" t="str">
        <f t="shared" si="335"/>
        <v/>
      </c>
      <c r="Y1303" s="586" t="str">
        <f t="shared" si="329"/>
        <v/>
      </c>
      <c r="Z1303" s="586" t="str">
        <f t="shared" si="338"/>
        <v/>
      </c>
    </row>
    <row r="1304" spans="1:26" ht="23.25" hidden="1" thickBot="1" x14ac:dyDescent="0.25">
      <c r="A1304" s="567">
        <v>92870</v>
      </c>
      <c r="B1304" s="644">
        <v>92870</v>
      </c>
      <c r="C1304" s="645" t="s">
        <v>670</v>
      </c>
      <c r="D1304" s="422" t="s">
        <v>1155</v>
      </c>
      <c r="E1304" s="423"/>
      <c r="F1304" s="424"/>
      <c r="G1304" s="425"/>
      <c r="H1304" s="651"/>
      <c r="I1304" s="420">
        <v>36.630000000000003</v>
      </c>
      <c r="J1304" s="420">
        <f t="shared" si="337"/>
        <v>36.630000000000003</v>
      </c>
      <c r="K1304" s="421">
        <f t="shared" si="336"/>
        <v>43.52</v>
      </c>
      <c r="L1304" s="647" t="s">
        <v>2065</v>
      </c>
      <c r="M1304" s="576"/>
      <c r="N1304" s="576">
        <f t="shared" si="339"/>
        <v>0</v>
      </c>
      <c r="O1304" s="577">
        <f t="shared" si="333"/>
        <v>0</v>
      </c>
      <c r="P1304" s="578">
        <f t="shared" si="334"/>
        <v>0</v>
      </c>
      <c r="Q1304" s="765"/>
      <c r="R1304" s="576">
        <f t="shared" si="330"/>
        <v>0</v>
      </c>
      <c r="S1304" s="576">
        <f t="shared" si="330"/>
        <v>0</v>
      </c>
      <c r="T1304" s="577">
        <f t="shared" si="331"/>
        <v>0</v>
      </c>
      <c r="U1304" s="578">
        <f t="shared" si="332"/>
        <v>0</v>
      </c>
      <c r="V1304" s="579"/>
      <c r="W1304" s="566"/>
      <c r="X1304" s="586" t="str">
        <f t="shared" si="335"/>
        <v/>
      </c>
      <c r="Y1304" s="586" t="str">
        <f t="shared" si="329"/>
        <v/>
      </c>
      <c r="Z1304" s="586" t="str">
        <f t="shared" si="338"/>
        <v/>
      </c>
    </row>
    <row r="1305" spans="1:26" ht="23.25" hidden="1" thickBot="1" x14ac:dyDescent="0.25">
      <c r="A1305" s="567">
        <v>92871</v>
      </c>
      <c r="B1305" s="644">
        <v>92871</v>
      </c>
      <c r="C1305" s="645" t="s">
        <v>670</v>
      </c>
      <c r="D1305" s="422" t="s">
        <v>1156</v>
      </c>
      <c r="E1305" s="423"/>
      <c r="F1305" s="424"/>
      <c r="G1305" s="425"/>
      <c r="H1305" s="651"/>
      <c r="I1305" s="420">
        <v>20.29</v>
      </c>
      <c r="J1305" s="420">
        <f t="shared" si="337"/>
        <v>20.29</v>
      </c>
      <c r="K1305" s="421">
        <f t="shared" si="336"/>
        <v>24.11</v>
      </c>
      <c r="L1305" s="647" t="s">
        <v>2065</v>
      </c>
      <c r="M1305" s="576"/>
      <c r="N1305" s="576">
        <f t="shared" si="339"/>
        <v>0</v>
      </c>
      <c r="O1305" s="577">
        <f t="shared" si="333"/>
        <v>0</v>
      </c>
      <c r="P1305" s="578">
        <f t="shared" si="334"/>
        <v>0</v>
      </c>
      <c r="Q1305" s="765"/>
      <c r="R1305" s="576">
        <f t="shared" si="330"/>
        <v>0</v>
      </c>
      <c r="S1305" s="576">
        <f t="shared" si="330"/>
        <v>0</v>
      </c>
      <c r="T1305" s="577">
        <f t="shared" si="331"/>
        <v>0</v>
      </c>
      <c r="U1305" s="578">
        <f t="shared" si="332"/>
        <v>0</v>
      </c>
      <c r="V1305" s="579"/>
      <c r="W1305" s="566"/>
      <c r="X1305" s="586" t="str">
        <f t="shared" si="335"/>
        <v/>
      </c>
      <c r="Y1305" s="586" t="str">
        <f t="shared" si="329"/>
        <v/>
      </c>
      <c r="Z1305" s="586" t="str">
        <f t="shared" si="338"/>
        <v/>
      </c>
    </row>
    <row r="1306" spans="1:26" ht="23.25" hidden="1" thickBot="1" x14ac:dyDescent="0.25">
      <c r="A1306" s="567">
        <v>92872</v>
      </c>
      <c r="B1306" s="644">
        <v>92872</v>
      </c>
      <c r="C1306" s="645" t="s">
        <v>670</v>
      </c>
      <c r="D1306" s="422" t="s">
        <v>1157</v>
      </c>
      <c r="E1306" s="423"/>
      <c r="F1306" s="424"/>
      <c r="G1306" s="425"/>
      <c r="H1306" s="651"/>
      <c r="I1306" s="420">
        <v>14.19</v>
      </c>
      <c r="J1306" s="420">
        <f t="shared" si="337"/>
        <v>14.19</v>
      </c>
      <c r="K1306" s="421">
        <f t="shared" si="336"/>
        <v>16.86</v>
      </c>
      <c r="L1306" s="647" t="s">
        <v>2065</v>
      </c>
      <c r="M1306" s="576"/>
      <c r="N1306" s="576">
        <f t="shared" si="339"/>
        <v>0</v>
      </c>
      <c r="O1306" s="577">
        <f t="shared" si="333"/>
        <v>0</v>
      </c>
      <c r="P1306" s="578">
        <f t="shared" si="334"/>
        <v>0</v>
      </c>
      <c r="Q1306" s="765"/>
      <c r="R1306" s="576">
        <f t="shared" si="330"/>
        <v>0</v>
      </c>
      <c r="S1306" s="576">
        <f t="shared" si="330"/>
        <v>0</v>
      </c>
      <c r="T1306" s="577">
        <f t="shared" si="331"/>
        <v>0</v>
      </c>
      <c r="U1306" s="578">
        <f t="shared" si="332"/>
        <v>0</v>
      </c>
      <c r="V1306" s="579"/>
      <c r="W1306" s="566"/>
      <c r="X1306" s="586" t="str">
        <f t="shared" si="335"/>
        <v/>
      </c>
      <c r="Y1306" s="586" t="str">
        <f t="shared" si="329"/>
        <v/>
      </c>
      <c r="Z1306" s="586" t="str">
        <f t="shared" si="338"/>
        <v/>
      </c>
    </row>
    <row r="1307" spans="1:26" ht="23.25" hidden="1" thickBot="1" x14ac:dyDescent="0.25">
      <c r="A1307" s="567">
        <v>97886</v>
      </c>
      <c r="B1307" s="644">
        <v>97886</v>
      </c>
      <c r="C1307" s="645" t="s">
        <v>670</v>
      </c>
      <c r="D1307" s="422" t="s">
        <v>1158</v>
      </c>
      <c r="E1307" s="423"/>
      <c r="F1307" s="424"/>
      <c r="G1307" s="425"/>
      <c r="H1307" s="651"/>
      <c r="I1307" s="420">
        <v>164.67</v>
      </c>
      <c r="J1307" s="420">
        <f t="shared" si="337"/>
        <v>164.67</v>
      </c>
      <c r="K1307" s="421">
        <f t="shared" si="336"/>
        <v>195.64</v>
      </c>
      <c r="L1307" s="647" t="s">
        <v>2065</v>
      </c>
      <c r="M1307" s="576"/>
      <c r="N1307" s="576">
        <f t="shared" si="339"/>
        <v>0</v>
      </c>
      <c r="O1307" s="577">
        <f t="shared" si="333"/>
        <v>0</v>
      </c>
      <c r="P1307" s="578">
        <f t="shared" si="334"/>
        <v>0</v>
      </c>
      <c r="Q1307" s="765"/>
      <c r="R1307" s="576">
        <f t="shared" si="330"/>
        <v>0</v>
      </c>
      <c r="S1307" s="576">
        <f t="shared" si="330"/>
        <v>0</v>
      </c>
      <c r="T1307" s="577">
        <f t="shared" si="331"/>
        <v>0</v>
      </c>
      <c r="U1307" s="578">
        <f t="shared" si="332"/>
        <v>0</v>
      </c>
      <c r="V1307" s="579"/>
      <c r="W1307" s="566"/>
      <c r="X1307" s="586" t="str">
        <f t="shared" si="335"/>
        <v/>
      </c>
      <c r="Y1307" s="586" t="str">
        <f t="shared" si="329"/>
        <v/>
      </c>
      <c r="Z1307" s="586" t="str">
        <f t="shared" si="338"/>
        <v/>
      </c>
    </row>
    <row r="1308" spans="1:26" ht="23.25" hidden="1" thickBot="1" x14ac:dyDescent="0.25">
      <c r="A1308" s="567">
        <v>97887</v>
      </c>
      <c r="B1308" s="644">
        <v>97887</v>
      </c>
      <c r="C1308" s="645" t="s">
        <v>670</v>
      </c>
      <c r="D1308" s="422" t="s">
        <v>1159</v>
      </c>
      <c r="E1308" s="423"/>
      <c r="F1308" s="424"/>
      <c r="G1308" s="425"/>
      <c r="H1308" s="651"/>
      <c r="I1308" s="420">
        <v>259.82</v>
      </c>
      <c r="J1308" s="420">
        <f t="shared" si="337"/>
        <v>259.82</v>
      </c>
      <c r="K1308" s="421">
        <f t="shared" si="336"/>
        <v>308.69</v>
      </c>
      <c r="L1308" s="647" t="s">
        <v>2065</v>
      </c>
      <c r="M1308" s="576"/>
      <c r="N1308" s="576">
        <f t="shared" si="339"/>
        <v>0</v>
      </c>
      <c r="O1308" s="577">
        <f t="shared" si="333"/>
        <v>0</v>
      </c>
      <c r="P1308" s="578">
        <f t="shared" si="334"/>
        <v>0</v>
      </c>
      <c r="Q1308" s="765"/>
      <c r="R1308" s="576">
        <f t="shared" si="330"/>
        <v>0</v>
      </c>
      <c r="S1308" s="576">
        <f t="shared" si="330"/>
        <v>0</v>
      </c>
      <c r="T1308" s="577">
        <f t="shared" si="331"/>
        <v>0</v>
      </c>
      <c r="U1308" s="578">
        <f t="shared" si="332"/>
        <v>0</v>
      </c>
      <c r="V1308" s="579"/>
      <c r="W1308" s="566"/>
      <c r="X1308" s="586" t="str">
        <f t="shared" si="335"/>
        <v/>
      </c>
      <c r="Y1308" s="586" t="str">
        <f t="shared" si="329"/>
        <v/>
      </c>
      <c r="Z1308" s="586" t="str">
        <f t="shared" si="338"/>
        <v/>
      </c>
    </row>
    <row r="1309" spans="1:26" ht="23.25" hidden="1" thickBot="1" x14ac:dyDescent="0.25">
      <c r="A1309" s="567">
        <v>97888</v>
      </c>
      <c r="B1309" s="644">
        <v>97888</v>
      </c>
      <c r="C1309" s="645" t="s">
        <v>670</v>
      </c>
      <c r="D1309" s="422" t="s">
        <v>1160</v>
      </c>
      <c r="E1309" s="423"/>
      <c r="F1309" s="424"/>
      <c r="G1309" s="425"/>
      <c r="H1309" s="651"/>
      <c r="I1309" s="420">
        <v>502.57</v>
      </c>
      <c r="J1309" s="420">
        <f t="shared" si="337"/>
        <v>502.57</v>
      </c>
      <c r="K1309" s="421">
        <f t="shared" si="336"/>
        <v>597.1</v>
      </c>
      <c r="L1309" s="647" t="s">
        <v>2065</v>
      </c>
      <c r="M1309" s="576"/>
      <c r="N1309" s="576">
        <f t="shared" si="339"/>
        <v>0</v>
      </c>
      <c r="O1309" s="577">
        <f t="shared" si="333"/>
        <v>0</v>
      </c>
      <c r="P1309" s="578">
        <f t="shared" si="334"/>
        <v>0</v>
      </c>
      <c r="Q1309" s="765"/>
      <c r="R1309" s="576">
        <f t="shared" si="330"/>
        <v>0</v>
      </c>
      <c r="S1309" s="576">
        <f t="shared" si="330"/>
        <v>0</v>
      </c>
      <c r="T1309" s="577">
        <f t="shared" si="331"/>
        <v>0</v>
      </c>
      <c r="U1309" s="578">
        <f t="shared" si="332"/>
        <v>0</v>
      </c>
      <c r="V1309" s="579"/>
      <c r="W1309" s="566"/>
      <c r="X1309" s="586" t="str">
        <f t="shared" si="335"/>
        <v/>
      </c>
      <c r="Y1309" s="586" t="str">
        <f t="shared" si="329"/>
        <v/>
      </c>
      <c r="Z1309" s="586" t="str">
        <f t="shared" si="338"/>
        <v/>
      </c>
    </row>
    <row r="1310" spans="1:26" ht="23.25" hidden="1" thickBot="1" x14ac:dyDescent="0.25">
      <c r="A1310" s="567">
        <v>97889</v>
      </c>
      <c r="B1310" s="644">
        <v>97889</v>
      </c>
      <c r="C1310" s="645" t="s">
        <v>670</v>
      </c>
      <c r="D1310" s="422" t="s">
        <v>1161</v>
      </c>
      <c r="E1310" s="423"/>
      <c r="F1310" s="424"/>
      <c r="G1310" s="425"/>
      <c r="H1310" s="651"/>
      <c r="I1310" s="420">
        <v>680.75</v>
      </c>
      <c r="J1310" s="420">
        <f t="shared" si="337"/>
        <v>680.75</v>
      </c>
      <c r="K1310" s="421">
        <f t="shared" si="336"/>
        <v>808.8</v>
      </c>
      <c r="L1310" s="647" t="s">
        <v>2065</v>
      </c>
      <c r="M1310" s="576"/>
      <c r="N1310" s="576">
        <f t="shared" si="339"/>
        <v>0</v>
      </c>
      <c r="O1310" s="577">
        <f t="shared" si="333"/>
        <v>0</v>
      </c>
      <c r="P1310" s="578">
        <f t="shared" si="334"/>
        <v>0</v>
      </c>
      <c r="Q1310" s="765"/>
      <c r="R1310" s="576">
        <f t="shared" si="330"/>
        <v>0</v>
      </c>
      <c r="S1310" s="576">
        <f t="shared" si="330"/>
        <v>0</v>
      </c>
      <c r="T1310" s="577">
        <f t="shared" si="331"/>
        <v>0</v>
      </c>
      <c r="U1310" s="578">
        <f t="shared" si="332"/>
        <v>0</v>
      </c>
      <c r="V1310" s="579"/>
      <c r="W1310" s="566"/>
      <c r="X1310" s="586" t="str">
        <f t="shared" si="335"/>
        <v/>
      </c>
      <c r="Y1310" s="586" t="str">
        <f t="shared" si="329"/>
        <v/>
      </c>
      <c r="Z1310" s="586" t="str">
        <f t="shared" si="338"/>
        <v/>
      </c>
    </row>
    <row r="1311" spans="1:26" ht="23.25" hidden="1" thickBot="1" x14ac:dyDescent="0.25">
      <c r="A1311" s="567">
        <v>97890</v>
      </c>
      <c r="B1311" s="644">
        <v>97890</v>
      </c>
      <c r="C1311" s="645" t="s">
        <v>670</v>
      </c>
      <c r="D1311" s="422" t="s">
        <v>1162</v>
      </c>
      <c r="E1311" s="423"/>
      <c r="F1311" s="424"/>
      <c r="G1311" s="425"/>
      <c r="H1311" s="651"/>
      <c r="I1311" s="420">
        <v>769.51</v>
      </c>
      <c r="J1311" s="420">
        <f t="shared" si="337"/>
        <v>769.51</v>
      </c>
      <c r="K1311" s="421">
        <f t="shared" si="336"/>
        <v>914.25</v>
      </c>
      <c r="L1311" s="647" t="s">
        <v>2065</v>
      </c>
      <c r="M1311" s="576"/>
      <c r="N1311" s="576">
        <f t="shared" si="339"/>
        <v>0</v>
      </c>
      <c r="O1311" s="577">
        <f t="shared" si="333"/>
        <v>0</v>
      </c>
      <c r="P1311" s="578">
        <f t="shared" si="334"/>
        <v>0</v>
      </c>
      <c r="Q1311" s="765"/>
      <c r="R1311" s="576">
        <f t="shared" si="330"/>
        <v>0</v>
      </c>
      <c r="S1311" s="576">
        <f t="shared" si="330"/>
        <v>0</v>
      </c>
      <c r="T1311" s="577">
        <f t="shared" si="331"/>
        <v>0</v>
      </c>
      <c r="U1311" s="578">
        <f t="shared" si="332"/>
        <v>0</v>
      </c>
      <c r="V1311" s="579"/>
      <c r="W1311" s="566"/>
      <c r="X1311" s="586" t="str">
        <f t="shared" si="335"/>
        <v/>
      </c>
      <c r="Y1311" s="586" t="str">
        <f t="shared" si="329"/>
        <v/>
      </c>
      <c r="Z1311" s="586" t="str">
        <f t="shared" si="338"/>
        <v/>
      </c>
    </row>
    <row r="1312" spans="1:26" ht="23.25" hidden="1" thickBot="1" x14ac:dyDescent="0.25">
      <c r="A1312" s="567">
        <v>97933</v>
      </c>
      <c r="B1312" s="644">
        <v>97933</v>
      </c>
      <c r="C1312" s="645" t="s">
        <v>670</v>
      </c>
      <c r="D1312" s="422" t="s">
        <v>1163</v>
      </c>
      <c r="E1312" s="423"/>
      <c r="F1312" s="424"/>
      <c r="G1312" s="425"/>
      <c r="H1312" s="651"/>
      <c r="I1312" s="420">
        <v>656.21</v>
      </c>
      <c r="J1312" s="420">
        <f t="shared" si="337"/>
        <v>656.21</v>
      </c>
      <c r="K1312" s="421">
        <f t="shared" si="336"/>
        <v>779.64</v>
      </c>
      <c r="L1312" s="647" t="s">
        <v>2065</v>
      </c>
      <c r="M1312" s="576"/>
      <c r="N1312" s="576">
        <f t="shared" si="339"/>
        <v>0</v>
      </c>
      <c r="O1312" s="577">
        <f t="shared" si="333"/>
        <v>0</v>
      </c>
      <c r="P1312" s="578">
        <f t="shared" si="334"/>
        <v>0</v>
      </c>
      <c r="Q1312" s="765"/>
      <c r="R1312" s="576">
        <f t="shared" si="330"/>
        <v>0</v>
      </c>
      <c r="S1312" s="576">
        <f t="shared" si="330"/>
        <v>0</v>
      </c>
      <c r="T1312" s="577">
        <f t="shared" si="331"/>
        <v>0</v>
      </c>
      <c r="U1312" s="578">
        <f t="shared" si="332"/>
        <v>0</v>
      </c>
      <c r="V1312" s="579"/>
      <c r="W1312" s="566"/>
      <c r="X1312" s="586" t="str">
        <f t="shared" si="335"/>
        <v/>
      </c>
      <c r="Y1312" s="586" t="str">
        <f t="shared" si="329"/>
        <v/>
      </c>
      <c r="Z1312" s="586" t="str">
        <f t="shared" si="338"/>
        <v/>
      </c>
    </row>
    <row r="1313" spans="1:26" ht="23.25" hidden="1" thickBot="1" x14ac:dyDescent="0.25">
      <c r="A1313" s="567">
        <v>97947</v>
      </c>
      <c r="B1313" s="644">
        <v>97947</v>
      </c>
      <c r="C1313" s="645" t="s">
        <v>670</v>
      </c>
      <c r="D1313" s="422" t="s">
        <v>1164</v>
      </c>
      <c r="E1313" s="423"/>
      <c r="F1313" s="424"/>
      <c r="G1313" s="425"/>
      <c r="H1313" s="651"/>
      <c r="I1313" s="420">
        <v>1610.54</v>
      </c>
      <c r="J1313" s="420">
        <f t="shared" si="337"/>
        <v>1610.54</v>
      </c>
      <c r="K1313" s="421">
        <f t="shared" si="336"/>
        <v>1913.48</v>
      </c>
      <c r="L1313" s="647" t="s">
        <v>2065</v>
      </c>
      <c r="M1313" s="576"/>
      <c r="N1313" s="576">
        <f t="shared" si="339"/>
        <v>0</v>
      </c>
      <c r="O1313" s="577">
        <f t="shared" si="333"/>
        <v>0</v>
      </c>
      <c r="P1313" s="578">
        <f t="shared" si="334"/>
        <v>0</v>
      </c>
      <c r="Q1313" s="765"/>
      <c r="R1313" s="576">
        <f t="shared" si="330"/>
        <v>0</v>
      </c>
      <c r="S1313" s="576">
        <f t="shared" si="330"/>
        <v>0</v>
      </c>
      <c r="T1313" s="577">
        <f t="shared" si="331"/>
        <v>0</v>
      </c>
      <c r="U1313" s="578">
        <f t="shared" si="332"/>
        <v>0</v>
      </c>
      <c r="V1313" s="579"/>
      <c r="W1313" s="566"/>
      <c r="X1313" s="586" t="str">
        <f t="shared" si="335"/>
        <v/>
      </c>
      <c r="Y1313" s="586" t="str">
        <f t="shared" si="329"/>
        <v/>
      </c>
      <c r="Z1313" s="586" t="str">
        <f t="shared" si="338"/>
        <v/>
      </c>
    </row>
    <row r="1314" spans="1:26" ht="23.25" hidden="1" thickBot="1" x14ac:dyDescent="0.25">
      <c r="A1314" s="567">
        <v>97948</v>
      </c>
      <c r="B1314" s="644">
        <v>97948</v>
      </c>
      <c r="C1314" s="645" t="s">
        <v>670</v>
      </c>
      <c r="D1314" s="422" t="s">
        <v>1165</v>
      </c>
      <c r="E1314" s="423"/>
      <c r="F1314" s="424"/>
      <c r="G1314" s="425"/>
      <c r="H1314" s="651"/>
      <c r="I1314" s="420">
        <v>2935.97</v>
      </c>
      <c r="J1314" s="420">
        <f t="shared" si="337"/>
        <v>2935.97</v>
      </c>
      <c r="K1314" s="421">
        <f t="shared" si="336"/>
        <v>3488.23</v>
      </c>
      <c r="L1314" s="647" t="s">
        <v>2065</v>
      </c>
      <c r="M1314" s="576"/>
      <c r="N1314" s="576">
        <f t="shared" si="339"/>
        <v>0</v>
      </c>
      <c r="O1314" s="577">
        <f t="shared" si="333"/>
        <v>0</v>
      </c>
      <c r="P1314" s="578">
        <f t="shared" si="334"/>
        <v>0</v>
      </c>
      <c r="Q1314" s="765"/>
      <c r="R1314" s="576">
        <f t="shared" si="330"/>
        <v>0</v>
      </c>
      <c r="S1314" s="576">
        <f t="shared" si="330"/>
        <v>0</v>
      </c>
      <c r="T1314" s="577">
        <f t="shared" si="331"/>
        <v>0</v>
      </c>
      <c r="U1314" s="578">
        <f t="shared" si="332"/>
        <v>0</v>
      </c>
      <c r="V1314" s="579"/>
      <c r="W1314" s="566"/>
      <c r="X1314" s="586" t="str">
        <f t="shared" si="335"/>
        <v/>
      </c>
      <c r="Y1314" s="586" t="str">
        <f t="shared" si="329"/>
        <v/>
      </c>
      <c r="Z1314" s="586" t="str">
        <f t="shared" si="338"/>
        <v/>
      </c>
    </row>
    <row r="1315" spans="1:26" ht="23.25" hidden="1" thickBot="1" x14ac:dyDescent="0.25">
      <c r="A1315" s="567">
        <v>97953</v>
      </c>
      <c r="B1315" s="644">
        <v>97953</v>
      </c>
      <c r="C1315" s="645" t="s">
        <v>670</v>
      </c>
      <c r="D1315" s="422" t="s">
        <v>1166</v>
      </c>
      <c r="E1315" s="423"/>
      <c r="F1315" s="424"/>
      <c r="G1315" s="425"/>
      <c r="H1315" s="651"/>
      <c r="I1315" s="420">
        <v>1084.21</v>
      </c>
      <c r="J1315" s="420">
        <f t="shared" si="337"/>
        <v>1084.21</v>
      </c>
      <c r="K1315" s="421">
        <f t="shared" si="336"/>
        <v>1288.1500000000001</v>
      </c>
      <c r="L1315" s="647" t="s">
        <v>2065</v>
      </c>
      <c r="M1315" s="576"/>
      <c r="N1315" s="576">
        <f t="shared" si="339"/>
        <v>0</v>
      </c>
      <c r="O1315" s="577">
        <f t="shared" si="333"/>
        <v>0</v>
      </c>
      <c r="P1315" s="578">
        <f t="shared" si="334"/>
        <v>0</v>
      </c>
      <c r="Q1315" s="765"/>
      <c r="R1315" s="576">
        <f t="shared" si="330"/>
        <v>0</v>
      </c>
      <c r="S1315" s="576">
        <f t="shared" si="330"/>
        <v>0</v>
      </c>
      <c r="T1315" s="577">
        <f t="shared" si="331"/>
        <v>0</v>
      </c>
      <c r="U1315" s="578">
        <f t="shared" si="332"/>
        <v>0</v>
      </c>
      <c r="V1315" s="579"/>
      <c r="W1315" s="566"/>
      <c r="X1315" s="586" t="str">
        <f t="shared" si="335"/>
        <v/>
      </c>
      <c r="Y1315" s="586" t="str">
        <f t="shared" ref="Y1315:Y1378" si="340">IF(W1315="X","x",IF(W1315="y","x",IF(W1315="xx","x",IF(U1315&gt;0,"x",""))))</f>
        <v/>
      </c>
      <c r="Z1315" s="586" t="str">
        <f t="shared" si="338"/>
        <v/>
      </c>
    </row>
    <row r="1316" spans="1:26" ht="23.25" hidden="1" thickBot="1" x14ac:dyDescent="0.25">
      <c r="A1316" s="567">
        <v>97955</v>
      </c>
      <c r="B1316" s="644">
        <v>97955</v>
      </c>
      <c r="C1316" s="645" t="s">
        <v>670</v>
      </c>
      <c r="D1316" s="422" t="s">
        <v>1167</v>
      </c>
      <c r="E1316" s="423"/>
      <c r="F1316" s="424"/>
      <c r="G1316" s="425"/>
      <c r="H1316" s="651"/>
      <c r="I1316" s="420">
        <v>2394.4699999999998</v>
      </c>
      <c r="J1316" s="420">
        <f t="shared" si="337"/>
        <v>2394.4699999999998</v>
      </c>
      <c r="K1316" s="421">
        <f t="shared" si="336"/>
        <v>2844.87</v>
      </c>
      <c r="L1316" s="647" t="s">
        <v>2065</v>
      </c>
      <c r="M1316" s="576"/>
      <c r="N1316" s="576">
        <f t="shared" si="339"/>
        <v>0</v>
      </c>
      <c r="O1316" s="577">
        <f t="shared" si="333"/>
        <v>0</v>
      </c>
      <c r="P1316" s="578">
        <f t="shared" si="334"/>
        <v>0</v>
      </c>
      <c r="Q1316" s="765"/>
      <c r="R1316" s="576">
        <f t="shared" si="330"/>
        <v>0</v>
      </c>
      <c r="S1316" s="576">
        <f t="shared" si="330"/>
        <v>0</v>
      </c>
      <c r="T1316" s="577">
        <f t="shared" si="331"/>
        <v>0</v>
      </c>
      <c r="U1316" s="578">
        <f t="shared" si="332"/>
        <v>0</v>
      </c>
      <c r="V1316" s="579"/>
      <c r="W1316" s="566"/>
      <c r="X1316" s="586" t="str">
        <f t="shared" si="335"/>
        <v/>
      </c>
      <c r="Y1316" s="586" t="str">
        <f t="shared" si="340"/>
        <v/>
      </c>
      <c r="Z1316" s="586" t="str">
        <f t="shared" si="338"/>
        <v/>
      </c>
    </row>
    <row r="1317" spans="1:26" ht="23.25" hidden="1" thickBot="1" x14ac:dyDescent="0.25">
      <c r="A1317" s="567">
        <v>97891</v>
      </c>
      <c r="B1317" s="644">
        <v>97891</v>
      </c>
      <c r="C1317" s="645" t="s">
        <v>670</v>
      </c>
      <c r="D1317" s="422" t="s">
        <v>1168</v>
      </c>
      <c r="E1317" s="423"/>
      <c r="F1317" s="424"/>
      <c r="G1317" s="425"/>
      <c r="H1317" s="651"/>
      <c r="I1317" s="420">
        <v>189.1</v>
      </c>
      <c r="J1317" s="420">
        <f t="shared" si="337"/>
        <v>189.1</v>
      </c>
      <c r="K1317" s="421">
        <f t="shared" si="336"/>
        <v>224.67</v>
      </c>
      <c r="L1317" s="647" t="s">
        <v>2065</v>
      </c>
      <c r="M1317" s="576"/>
      <c r="N1317" s="576">
        <f t="shared" si="339"/>
        <v>0</v>
      </c>
      <c r="O1317" s="577">
        <f t="shared" si="333"/>
        <v>0</v>
      </c>
      <c r="P1317" s="578">
        <f t="shared" si="334"/>
        <v>0</v>
      </c>
      <c r="Q1317" s="765"/>
      <c r="R1317" s="576">
        <f t="shared" si="330"/>
        <v>0</v>
      </c>
      <c r="S1317" s="576">
        <f t="shared" si="330"/>
        <v>0</v>
      </c>
      <c r="T1317" s="577">
        <f t="shared" si="331"/>
        <v>0</v>
      </c>
      <c r="U1317" s="578">
        <f t="shared" si="332"/>
        <v>0</v>
      </c>
      <c r="V1317" s="579"/>
      <c r="W1317" s="566"/>
      <c r="X1317" s="586" t="str">
        <f t="shared" si="335"/>
        <v/>
      </c>
      <c r="Y1317" s="586" t="str">
        <f t="shared" si="340"/>
        <v/>
      </c>
      <c r="Z1317" s="586" t="str">
        <f t="shared" si="338"/>
        <v/>
      </c>
    </row>
    <row r="1318" spans="1:26" ht="23.25" hidden="1" thickBot="1" x14ac:dyDescent="0.25">
      <c r="A1318" s="567">
        <v>97892</v>
      </c>
      <c r="B1318" s="644">
        <v>97892</v>
      </c>
      <c r="C1318" s="645" t="s">
        <v>670</v>
      </c>
      <c r="D1318" s="422" t="s">
        <v>1169</v>
      </c>
      <c r="E1318" s="423"/>
      <c r="F1318" s="424"/>
      <c r="G1318" s="425"/>
      <c r="H1318" s="651"/>
      <c r="I1318" s="420">
        <v>353.05</v>
      </c>
      <c r="J1318" s="420">
        <f t="shared" si="337"/>
        <v>353.05</v>
      </c>
      <c r="K1318" s="421">
        <f t="shared" si="336"/>
        <v>419.46</v>
      </c>
      <c r="L1318" s="647" t="s">
        <v>2065</v>
      </c>
      <c r="M1318" s="576"/>
      <c r="N1318" s="576">
        <f t="shared" si="339"/>
        <v>0</v>
      </c>
      <c r="O1318" s="577">
        <f t="shared" si="333"/>
        <v>0</v>
      </c>
      <c r="P1318" s="578">
        <f t="shared" si="334"/>
        <v>0</v>
      </c>
      <c r="Q1318" s="765"/>
      <c r="R1318" s="576">
        <f t="shared" si="330"/>
        <v>0</v>
      </c>
      <c r="S1318" s="576">
        <f t="shared" si="330"/>
        <v>0</v>
      </c>
      <c r="T1318" s="577">
        <f t="shared" si="331"/>
        <v>0</v>
      </c>
      <c r="U1318" s="578">
        <f t="shared" si="332"/>
        <v>0</v>
      </c>
      <c r="V1318" s="579"/>
      <c r="W1318" s="566"/>
      <c r="X1318" s="586" t="str">
        <f t="shared" si="335"/>
        <v/>
      </c>
      <c r="Y1318" s="586" t="str">
        <f t="shared" si="340"/>
        <v/>
      </c>
      <c r="Z1318" s="586" t="str">
        <f t="shared" si="338"/>
        <v/>
      </c>
    </row>
    <row r="1319" spans="1:26" ht="23.25" hidden="1" thickBot="1" x14ac:dyDescent="0.25">
      <c r="A1319" s="567">
        <v>97893</v>
      </c>
      <c r="B1319" s="644">
        <v>97893</v>
      </c>
      <c r="C1319" s="645" t="s">
        <v>670</v>
      </c>
      <c r="D1319" s="422" t="s">
        <v>1170</v>
      </c>
      <c r="E1319" s="423"/>
      <c r="F1319" s="424"/>
      <c r="G1319" s="425"/>
      <c r="H1319" s="651"/>
      <c r="I1319" s="420">
        <v>490.04</v>
      </c>
      <c r="J1319" s="420">
        <f t="shared" si="337"/>
        <v>490.04</v>
      </c>
      <c r="K1319" s="421">
        <f t="shared" si="336"/>
        <v>582.22</v>
      </c>
      <c r="L1319" s="647" t="s">
        <v>2065</v>
      </c>
      <c r="M1319" s="576"/>
      <c r="N1319" s="576">
        <f t="shared" si="339"/>
        <v>0</v>
      </c>
      <c r="O1319" s="577">
        <f t="shared" si="333"/>
        <v>0</v>
      </c>
      <c r="P1319" s="578">
        <f t="shared" si="334"/>
        <v>0</v>
      </c>
      <c r="Q1319" s="765"/>
      <c r="R1319" s="576">
        <f t="shared" si="330"/>
        <v>0</v>
      </c>
      <c r="S1319" s="576">
        <f t="shared" si="330"/>
        <v>0</v>
      </c>
      <c r="T1319" s="577">
        <f t="shared" si="331"/>
        <v>0</v>
      </c>
      <c r="U1319" s="578">
        <f t="shared" si="332"/>
        <v>0</v>
      </c>
      <c r="V1319" s="579"/>
      <c r="W1319" s="566"/>
      <c r="X1319" s="586" t="str">
        <f t="shared" si="335"/>
        <v/>
      </c>
      <c r="Y1319" s="586" t="str">
        <f t="shared" si="340"/>
        <v/>
      </c>
      <c r="Z1319" s="586" t="str">
        <f t="shared" si="338"/>
        <v/>
      </c>
    </row>
    <row r="1320" spans="1:26" ht="23.25" hidden="1" thickBot="1" x14ac:dyDescent="0.25">
      <c r="A1320" s="567">
        <v>97894</v>
      </c>
      <c r="B1320" s="644">
        <v>97894</v>
      </c>
      <c r="C1320" s="645" t="s">
        <v>670</v>
      </c>
      <c r="D1320" s="422" t="s">
        <v>1171</v>
      </c>
      <c r="E1320" s="423"/>
      <c r="F1320" s="424"/>
      <c r="G1320" s="425"/>
      <c r="H1320" s="651"/>
      <c r="I1320" s="420">
        <v>538.41999999999996</v>
      </c>
      <c r="J1320" s="420">
        <f t="shared" si="337"/>
        <v>538.41999999999996</v>
      </c>
      <c r="K1320" s="421">
        <f t="shared" si="336"/>
        <v>639.70000000000005</v>
      </c>
      <c r="L1320" s="647" t="s">
        <v>2065</v>
      </c>
      <c r="M1320" s="576"/>
      <c r="N1320" s="576">
        <f t="shared" si="339"/>
        <v>0</v>
      </c>
      <c r="O1320" s="577">
        <f t="shared" si="333"/>
        <v>0</v>
      </c>
      <c r="P1320" s="578">
        <f t="shared" si="334"/>
        <v>0</v>
      </c>
      <c r="Q1320" s="765"/>
      <c r="R1320" s="576">
        <f t="shared" si="330"/>
        <v>0</v>
      </c>
      <c r="S1320" s="576">
        <f t="shared" si="330"/>
        <v>0</v>
      </c>
      <c r="T1320" s="577">
        <f t="shared" si="331"/>
        <v>0</v>
      </c>
      <c r="U1320" s="578">
        <f t="shared" si="332"/>
        <v>0</v>
      </c>
      <c r="V1320" s="579"/>
      <c r="W1320" s="566"/>
      <c r="X1320" s="586" t="str">
        <f t="shared" si="335"/>
        <v/>
      </c>
      <c r="Y1320" s="586" t="str">
        <f t="shared" si="340"/>
        <v/>
      </c>
      <c r="Z1320" s="586" t="str">
        <f t="shared" si="338"/>
        <v/>
      </c>
    </row>
    <row r="1321" spans="1:26" ht="23.25" hidden="1" thickBot="1" x14ac:dyDescent="0.25">
      <c r="A1321" s="567">
        <v>97881</v>
      </c>
      <c r="B1321" s="644">
        <v>97881</v>
      </c>
      <c r="C1321" s="645" t="s">
        <v>670</v>
      </c>
      <c r="D1321" s="422" t="s">
        <v>1172</v>
      </c>
      <c r="E1321" s="423"/>
      <c r="F1321" s="424"/>
      <c r="G1321" s="425"/>
      <c r="H1321" s="651"/>
      <c r="I1321" s="420">
        <v>94.27</v>
      </c>
      <c r="J1321" s="420">
        <f t="shared" si="337"/>
        <v>94.27</v>
      </c>
      <c r="K1321" s="421">
        <f t="shared" si="336"/>
        <v>112</v>
      </c>
      <c r="L1321" s="647" t="s">
        <v>2065</v>
      </c>
      <c r="M1321" s="576"/>
      <c r="N1321" s="576">
        <f t="shared" si="339"/>
        <v>0</v>
      </c>
      <c r="O1321" s="577">
        <f t="shared" si="333"/>
        <v>0</v>
      </c>
      <c r="P1321" s="578">
        <f t="shared" si="334"/>
        <v>0</v>
      </c>
      <c r="Q1321" s="765"/>
      <c r="R1321" s="576">
        <f t="shared" si="330"/>
        <v>0</v>
      </c>
      <c r="S1321" s="576">
        <f t="shared" si="330"/>
        <v>0</v>
      </c>
      <c r="T1321" s="577">
        <f t="shared" si="331"/>
        <v>0</v>
      </c>
      <c r="U1321" s="578">
        <f t="shared" si="332"/>
        <v>0</v>
      </c>
      <c r="V1321" s="579"/>
      <c r="W1321" s="566"/>
      <c r="X1321" s="586" t="str">
        <f t="shared" si="335"/>
        <v/>
      </c>
      <c r="Y1321" s="586" t="str">
        <f t="shared" si="340"/>
        <v/>
      </c>
      <c r="Z1321" s="586" t="str">
        <f t="shared" si="338"/>
        <v/>
      </c>
    </row>
    <row r="1322" spans="1:26" ht="23.25" hidden="1" thickBot="1" x14ac:dyDescent="0.25">
      <c r="A1322" s="567">
        <v>97882</v>
      </c>
      <c r="B1322" s="644">
        <v>97882</v>
      </c>
      <c r="C1322" s="645" t="s">
        <v>670</v>
      </c>
      <c r="D1322" s="422" t="s">
        <v>1173</v>
      </c>
      <c r="E1322" s="423"/>
      <c r="F1322" s="424"/>
      <c r="G1322" s="425"/>
      <c r="H1322" s="651"/>
      <c r="I1322" s="420">
        <v>145.55000000000001</v>
      </c>
      <c r="J1322" s="420">
        <f t="shared" si="337"/>
        <v>145.55000000000001</v>
      </c>
      <c r="K1322" s="421">
        <f t="shared" si="336"/>
        <v>172.93</v>
      </c>
      <c r="L1322" s="647" t="s">
        <v>2065</v>
      </c>
      <c r="M1322" s="576"/>
      <c r="N1322" s="576">
        <f t="shared" si="339"/>
        <v>0</v>
      </c>
      <c r="O1322" s="577">
        <f t="shared" si="333"/>
        <v>0</v>
      </c>
      <c r="P1322" s="578">
        <f t="shared" si="334"/>
        <v>0</v>
      </c>
      <c r="Q1322" s="765"/>
      <c r="R1322" s="576">
        <f t="shared" ref="R1322:S1385" si="341">M1322</f>
        <v>0</v>
      </c>
      <c r="S1322" s="576">
        <f t="shared" si="341"/>
        <v>0</v>
      </c>
      <c r="T1322" s="577">
        <f t="shared" si="331"/>
        <v>0</v>
      </c>
      <c r="U1322" s="578">
        <f t="shared" si="332"/>
        <v>0</v>
      </c>
      <c r="V1322" s="579"/>
      <c r="W1322" s="566"/>
      <c r="X1322" s="586" t="str">
        <f t="shared" si="335"/>
        <v/>
      </c>
      <c r="Y1322" s="586" t="str">
        <f t="shared" si="340"/>
        <v/>
      </c>
      <c r="Z1322" s="586" t="str">
        <f t="shared" si="338"/>
        <v/>
      </c>
    </row>
    <row r="1323" spans="1:26" ht="23.25" hidden="1" thickBot="1" x14ac:dyDescent="0.25">
      <c r="A1323" s="567">
        <v>97883</v>
      </c>
      <c r="B1323" s="644">
        <v>97883</v>
      </c>
      <c r="C1323" s="645" t="s">
        <v>670</v>
      </c>
      <c r="D1323" s="422" t="s">
        <v>1174</v>
      </c>
      <c r="E1323" s="423"/>
      <c r="F1323" s="424"/>
      <c r="G1323" s="425"/>
      <c r="H1323" s="651"/>
      <c r="I1323" s="420">
        <v>282.02</v>
      </c>
      <c r="J1323" s="420">
        <f t="shared" si="337"/>
        <v>282.02</v>
      </c>
      <c r="K1323" s="421">
        <f t="shared" si="336"/>
        <v>335.07</v>
      </c>
      <c r="L1323" s="647" t="s">
        <v>2065</v>
      </c>
      <c r="M1323" s="576"/>
      <c r="N1323" s="576">
        <f t="shared" si="339"/>
        <v>0</v>
      </c>
      <c r="O1323" s="577">
        <f t="shared" si="333"/>
        <v>0</v>
      </c>
      <c r="P1323" s="578">
        <f t="shared" si="334"/>
        <v>0</v>
      </c>
      <c r="Q1323" s="765"/>
      <c r="R1323" s="576">
        <f t="shared" si="341"/>
        <v>0</v>
      </c>
      <c r="S1323" s="576">
        <f t="shared" si="341"/>
        <v>0</v>
      </c>
      <c r="T1323" s="577">
        <f t="shared" si="331"/>
        <v>0</v>
      </c>
      <c r="U1323" s="578">
        <f t="shared" si="332"/>
        <v>0</v>
      </c>
      <c r="V1323" s="579"/>
      <c r="W1323" s="566"/>
      <c r="X1323" s="586" t="str">
        <f t="shared" si="335"/>
        <v/>
      </c>
      <c r="Y1323" s="586" t="str">
        <f t="shared" si="340"/>
        <v/>
      </c>
      <c r="Z1323" s="586" t="str">
        <f t="shared" si="338"/>
        <v/>
      </c>
    </row>
    <row r="1324" spans="1:26" ht="23.25" hidden="1" thickBot="1" x14ac:dyDescent="0.25">
      <c r="A1324" s="567">
        <v>97884</v>
      </c>
      <c r="B1324" s="644">
        <v>97884</v>
      </c>
      <c r="C1324" s="645" t="s">
        <v>670</v>
      </c>
      <c r="D1324" s="422" t="s">
        <v>1175</v>
      </c>
      <c r="E1324" s="423"/>
      <c r="F1324" s="424"/>
      <c r="G1324" s="425"/>
      <c r="H1324" s="651"/>
      <c r="I1324" s="420">
        <v>541.54999999999995</v>
      </c>
      <c r="J1324" s="420">
        <f t="shared" si="337"/>
        <v>541.54999999999995</v>
      </c>
      <c r="K1324" s="421">
        <f t="shared" si="336"/>
        <v>643.41999999999996</v>
      </c>
      <c r="L1324" s="647" t="s">
        <v>2065</v>
      </c>
      <c r="M1324" s="576"/>
      <c r="N1324" s="576">
        <f t="shared" si="339"/>
        <v>0</v>
      </c>
      <c r="O1324" s="577">
        <f t="shared" si="333"/>
        <v>0</v>
      </c>
      <c r="P1324" s="578">
        <f t="shared" si="334"/>
        <v>0</v>
      </c>
      <c r="Q1324" s="765"/>
      <c r="R1324" s="576">
        <f t="shared" si="341"/>
        <v>0</v>
      </c>
      <c r="S1324" s="576">
        <f t="shared" si="341"/>
        <v>0</v>
      </c>
      <c r="T1324" s="577">
        <f t="shared" si="331"/>
        <v>0</v>
      </c>
      <c r="U1324" s="578">
        <f t="shared" si="332"/>
        <v>0</v>
      </c>
      <c r="V1324" s="579"/>
      <c r="W1324" s="566"/>
      <c r="X1324" s="586" t="str">
        <f t="shared" si="335"/>
        <v/>
      </c>
      <c r="Y1324" s="586" t="str">
        <f t="shared" si="340"/>
        <v/>
      </c>
      <c r="Z1324" s="586" t="str">
        <f t="shared" si="338"/>
        <v/>
      </c>
    </row>
    <row r="1325" spans="1:26" ht="23.25" hidden="1" thickBot="1" x14ac:dyDescent="0.25">
      <c r="A1325" s="567">
        <v>97885</v>
      </c>
      <c r="B1325" s="644">
        <v>97885</v>
      </c>
      <c r="C1325" s="645" t="s">
        <v>670</v>
      </c>
      <c r="D1325" s="422" t="s">
        <v>1176</v>
      </c>
      <c r="E1325" s="423"/>
      <c r="F1325" s="424"/>
      <c r="G1325" s="425"/>
      <c r="H1325" s="651"/>
      <c r="I1325" s="420">
        <v>825.06</v>
      </c>
      <c r="J1325" s="420">
        <f t="shared" si="337"/>
        <v>825.06</v>
      </c>
      <c r="K1325" s="421">
        <f t="shared" si="336"/>
        <v>980.25</v>
      </c>
      <c r="L1325" s="647" t="s">
        <v>2065</v>
      </c>
      <c r="M1325" s="576"/>
      <c r="N1325" s="576">
        <f t="shared" si="339"/>
        <v>0</v>
      </c>
      <c r="O1325" s="577">
        <f t="shared" si="333"/>
        <v>0</v>
      </c>
      <c r="P1325" s="578">
        <f t="shared" si="334"/>
        <v>0</v>
      </c>
      <c r="Q1325" s="765"/>
      <c r="R1325" s="576">
        <f t="shared" si="341"/>
        <v>0</v>
      </c>
      <c r="S1325" s="576">
        <f t="shared" si="341"/>
        <v>0</v>
      </c>
      <c r="T1325" s="577">
        <f t="shared" si="331"/>
        <v>0</v>
      </c>
      <c r="U1325" s="578">
        <f t="shared" si="332"/>
        <v>0</v>
      </c>
      <c r="V1325" s="579"/>
      <c r="W1325" s="566"/>
      <c r="X1325" s="586" t="str">
        <f t="shared" si="335"/>
        <v/>
      </c>
      <c r="Y1325" s="586" t="str">
        <f t="shared" si="340"/>
        <v/>
      </c>
      <c r="Z1325" s="586" t="str">
        <f t="shared" si="338"/>
        <v/>
      </c>
    </row>
    <row r="1326" spans="1:26" ht="23.25" hidden="1" thickBot="1" x14ac:dyDescent="0.25">
      <c r="A1326" s="567">
        <v>91945</v>
      </c>
      <c r="B1326" s="644">
        <v>91945</v>
      </c>
      <c r="C1326" s="645" t="s">
        <v>670</v>
      </c>
      <c r="D1326" s="422" t="s">
        <v>1177</v>
      </c>
      <c r="E1326" s="423"/>
      <c r="F1326" s="424"/>
      <c r="G1326" s="425"/>
      <c r="H1326" s="651"/>
      <c r="I1326" s="420">
        <v>11.39</v>
      </c>
      <c r="J1326" s="420">
        <f t="shared" si="337"/>
        <v>11.39</v>
      </c>
      <c r="K1326" s="421">
        <f t="shared" si="336"/>
        <v>13.53</v>
      </c>
      <c r="L1326" s="647" t="s">
        <v>2065</v>
      </c>
      <c r="M1326" s="576"/>
      <c r="N1326" s="576">
        <f t="shared" si="339"/>
        <v>0</v>
      </c>
      <c r="O1326" s="577">
        <f t="shared" si="333"/>
        <v>0</v>
      </c>
      <c r="P1326" s="578">
        <f t="shared" si="334"/>
        <v>0</v>
      </c>
      <c r="Q1326" s="765"/>
      <c r="R1326" s="576">
        <f t="shared" si="341"/>
        <v>0</v>
      </c>
      <c r="S1326" s="576">
        <f t="shared" si="341"/>
        <v>0</v>
      </c>
      <c r="T1326" s="577">
        <f t="shared" si="331"/>
        <v>0</v>
      </c>
      <c r="U1326" s="578">
        <f t="shared" si="332"/>
        <v>0</v>
      </c>
      <c r="V1326" s="579"/>
      <c r="W1326" s="566"/>
      <c r="X1326" s="586" t="str">
        <f t="shared" si="335"/>
        <v/>
      </c>
      <c r="Y1326" s="586" t="str">
        <f t="shared" si="340"/>
        <v/>
      </c>
      <c r="Z1326" s="586" t="str">
        <f t="shared" si="338"/>
        <v/>
      </c>
    </row>
    <row r="1327" spans="1:26" ht="23.25" hidden="1" thickBot="1" x14ac:dyDescent="0.25">
      <c r="A1327" s="567">
        <v>91946</v>
      </c>
      <c r="B1327" s="644">
        <v>91946</v>
      </c>
      <c r="C1327" s="645" t="s">
        <v>670</v>
      </c>
      <c r="D1327" s="422" t="s">
        <v>1178</v>
      </c>
      <c r="E1327" s="423"/>
      <c r="F1327" s="424"/>
      <c r="G1327" s="425"/>
      <c r="H1327" s="651"/>
      <c r="I1327" s="420">
        <v>9.73</v>
      </c>
      <c r="J1327" s="420">
        <f t="shared" si="337"/>
        <v>9.73</v>
      </c>
      <c r="K1327" s="421">
        <f t="shared" si="336"/>
        <v>11.56</v>
      </c>
      <c r="L1327" s="647" t="s">
        <v>2065</v>
      </c>
      <c r="M1327" s="576"/>
      <c r="N1327" s="576">
        <f t="shared" si="339"/>
        <v>0</v>
      </c>
      <c r="O1327" s="577">
        <f t="shared" si="333"/>
        <v>0</v>
      </c>
      <c r="P1327" s="578">
        <f t="shared" si="334"/>
        <v>0</v>
      </c>
      <c r="Q1327" s="765"/>
      <c r="R1327" s="576">
        <f t="shared" si="341"/>
        <v>0</v>
      </c>
      <c r="S1327" s="576">
        <f t="shared" si="341"/>
        <v>0</v>
      </c>
      <c r="T1327" s="577">
        <f t="shared" si="331"/>
        <v>0</v>
      </c>
      <c r="U1327" s="578">
        <f t="shared" si="332"/>
        <v>0</v>
      </c>
      <c r="V1327" s="579"/>
      <c r="W1327" s="566"/>
      <c r="X1327" s="586" t="str">
        <f t="shared" si="335"/>
        <v/>
      </c>
      <c r="Y1327" s="586" t="str">
        <f t="shared" si="340"/>
        <v/>
      </c>
      <c r="Z1327" s="586" t="str">
        <f t="shared" si="338"/>
        <v/>
      </c>
    </row>
    <row r="1328" spans="1:26" ht="23.25" hidden="1" thickBot="1" x14ac:dyDescent="0.25">
      <c r="A1328" s="567">
        <v>91947</v>
      </c>
      <c r="B1328" s="644">
        <v>91947</v>
      </c>
      <c r="C1328" s="645" t="s">
        <v>670</v>
      </c>
      <c r="D1328" s="422" t="s">
        <v>1179</v>
      </c>
      <c r="E1328" s="423"/>
      <c r="F1328" s="424"/>
      <c r="G1328" s="425"/>
      <c r="H1328" s="651"/>
      <c r="I1328" s="420">
        <v>8.6999999999999993</v>
      </c>
      <c r="J1328" s="420">
        <f t="shared" si="337"/>
        <v>8.6999999999999993</v>
      </c>
      <c r="K1328" s="421">
        <f t="shared" si="336"/>
        <v>10.34</v>
      </c>
      <c r="L1328" s="647" t="s">
        <v>2065</v>
      </c>
      <c r="M1328" s="576"/>
      <c r="N1328" s="576">
        <f t="shared" si="339"/>
        <v>0</v>
      </c>
      <c r="O1328" s="577">
        <f t="shared" si="333"/>
        <v>0</v>
      </c>
      <c r="P1328" s="578">
        <f t="shared" si="334"/>
        <v>0</v>
      </c>
      <c r="Q1328" s="765"/>
      <c r="R1328" s="576">
        <f t="shared" si="341"/>
        <v>0</v>
      </c>
      <c r="S1328" s="576">
        <f t="shared" si="341"/>
        <v>0</v>
      </c>
      <c r="T1328" s="577">
        <f t="shared" si="331"/>
        <v>0</v>
      </c>
      <c r="U1328" s="578">
        <f t="shared" si="332"/>
        <v>0</v>
      </c>
      <c r="V1328" s="579"/>
      <c r="W1328" s="566"/>
      <c r="X1328" s="586" t="str">
        <f t="shared" si="335"/>
        <v/>
      </c>
      <c r="Y1328" s="586" t="str">
        <f t="shared" si="340"/>
        <v/>
      </c>
      <c r="Z1328" s="586" t="str">
        <f t="shared" si="338"/>
        <v/>
      </c>
    </row>
    <row r="1329" spans="1:26" ht="23.25" hidden="1" thickBot="1" x14ac:dyDescent="0.25">
      <c r="A1329" s="567">
        <v>91949</v>
      </c>
      <c r="B1329" s="644">
        <v>91949</v>
      </c>
      <c r="C1329" s="645" t="s">
        <v>670</v>
      </c>
      <c r="D1329" s="422" t="s">
        <v>1180</v>
      </c>
      <c r="E1329" s="423"/>
      <c r="F1329" s="424"/>
      <c r="G1329" s="425"/>
      <c r="H1329" s="651"/>
      <c r="I1329" s="420">
        <v>17.899999999999999</v>
      </c>
      <c r="J1329" s="420">
        <f t="shared" si="337"/>
        <v>17.899999999999999</v>
      </c>
      <c r="K1329" s="421">
        <f t="shared" si="336"/>
        <v>21.27</v>
      </c>
      <c r="L1329" s="647" t="s">
        <v>2065</v>
      </c>
      <c r="M1329" s="576"/>
      <c r="N1329" s="576">
        <f t="shared" si="339"/>
        <v>0</v>
      </c>
      <c r="O1329" s="577">
        <f t="shared" si="333"/>
        <v>0</v>
      </c>
      <c r="P1329" s="578">
        <f t="shared" si="334"/>
        <v>0</v>
      </c>
      <c r="Q1329" s="765"/>
      <c r="R1329" s="576">
        <f t="shared" si="341"/>
        <v>0</v>
      </c>
      <c r="S1329" s="576">
        <f t="shared" si="341"/>
        <v>0</v>
      </c>
      <c r="T1329" s="577">
        <f t="shared" si="331"/>
        <v>0</v>
      </c>
      <c r="U1329" s="578">
        <f t="shared" si="332"/>
        <v>0</v>
      </c>
      <c r="V1329" s="579"/>
      <c r="W1329" s="566"/>
      <c r="X1329" s="586" t="str">
        <f t="shared" si="335"/>
        <v/>
      </c>
      <c r="Y1329" s="586" t="str">
        <f t="shared" si="340"/>
        <v/>
      </c>
      <c r="Z1329" s="586" t="str">
        <f t="shared" si="338"/>
        <v/>
      </c>
    </row>
    <row r="1330" spans="1:26" ht="23.25" hidden="1" thickBot="1" x14ac:dyDescent="0.25">
      <c r="A1330" s="567">
        <v>91950</v>
      </c>
      <c r="B1330" s="644">
        <v>91950</v>
      </c>
      <c r="C1330" s="645" t="s">
        <v>670</v>
      </c>
      <c r="D1330" s="422" t="s">
        <v>1181</v>
      </c>
      <c r="E1330" s="423"/>
      <c r="F1330" s="424"/>
      <c r="G1330" s="425"/>
      <c r="H1330" s="651"/>
      <c r="I1330" s="420">
        <v>15.89</v>
      </c>
      <c r="J1330" s="420">
        <f t="shared" si="337"/>
        <v>15.89</v>
      </c>
      <c r="K1330" s="421">
        <f t="shared" si="336"/>
        <v>18.88</v>
      </c>
      <c r="L1330" s="647" t="s">
        <v>2065</v>
      </c>
      <c r="M1330" s="576"/>
      <c r="N1330" s="576">
        <f t="shared" si="339"/>
        <v>0</v>
      </c>
      <c r="O1330" s="577">
        <f t="shared" si="333"/>
        <v>0</v>
      </c>
      <c r="P1330" s="578">
        <f t="shared" si="334"/>
        <v>0</v>
      </c>
      <c r="Q1330" s="765"/>
      <c r="R1330" s="576">
        <f t="shared" si="341"/>
        <v>0</v>
      </c>
      <c r="S1330" s="576">
        <f t="shared" si="341"/>
        <v>0</v>
      </c>
      <c r="T1330" s="577">
        <f t="shared" si="331"/>
        <v>0</v>
      </c>
      <c r="U1330" s="578">
        <f t="shared" si="332"/>
        <v>0</v>
      </c>
      <c r="V1330" s="579"/>
      <c r="W1330" s="566"/>
      <c r="X1330" s="586" t="str">
        <f t="shared" si="335"/>
        <v/>
      </c>
      <c r="Y1330" s="586" t="str">
        <f t="shared" si="340"/>
        <v/>
      </c>
      <c r="Z1330" s="586" t="str">
        <f t="shared" si="338"/>
        <v/>
      </c>
    </row>
    <row r="1331" spans="1:26" ht="23.25" hidden="1" thickBot="1" x14ac:dyDescent="0.25">
      <c r="A1331" s="567">
        <v>91951</v>
      </c>
      <c r="B1331" s="644">
        <v>91951</v>
      </c>
      <c r="C1331" s="645" t="s">
        <v>670</v>
      </c>
      <c r="D1331" s="422" t="s">
        <v>1182</v>
      </c>
      <c r="E1331" s="423"/>
      <c r="F1331" s="424"/>
      <c r="G1331" s="425"/>
      <c r="H1331" s="651"/>
      <c r="I1331" s="420">
        <v>14.69</v>
      </c>
      <c r="J1331" s="420">
        <f t="shared" si="337"/>
        <v>14.69</v>
      </c>
      <c r="K1331" s="421">
        <f t="shared" si="336"/>
        <v>17.45</v>
      </c>
      <c r="L1331" s="647" t="s">
        <v>2065</v>
      </c>
      <c r="M1331" s="576"/>
      <c r="N1331" s="576">
        <f t="shared" si="339"/>
        <v>0</v>
      </c>
      <c r="O1331" s="577">
        <f t="shared" si="333"/>
        <v>0</v>
      </c>
      <c r="P1331" s="578">
        <f t="shared" si="334"/>
        <v>0</v>
      </c>
      <c r="Q1331" s="765"/>
      <c r="R1331" s="576">
        <f t="shared" si="341"/>
        <v>0</v>
      </c>
      <c r="S1331" s="576">
        <f t="shared" si="341"/>
        <v>0</v>
      </c>
      <c r="T1331" s="577">
        <f t="shared" si="331"/>
        <v>0</v>
      </c>
      <c r="U1331" s="578">
        <f t="shared" si="332"/>
        <v>0</v>
      </c>
      <c r="V1331" s="579"/>
      <c r="W1331" s="566"/>
      <c r="X1331" s="586" t="str">
        <f t="shared" si="335"/>
        <v/>
      </c>
      <c r="Y1331" s="586" t="str">
        <f t="shared" si="340"/>
        <v/>
      </c>
      <c r="Z1331" s="586" t="str">
        <f t="shared" si="338"/>
        <v/>
      </c>
    </row>
    <row r="1332" spans="1:26" ht="23.25" hidden="1" thickBot="1" x14ac:dyDescent="0.25">
      <c r="A1332" s="567">
        <v>101946</v>
      </c>
      <c r="B1332" s="644">
        <v>101946</v>
      </c>
      <c r="C1332" s="645" t="s">
        <v>670</v>
      </c>
      <c r="D1332" s="422" t="s">
        <v>1183</v>
      </c>
      <c r="E1332" s="423"/>
      <c r="F1332" s="424"/>
      <c r="G1332" s="425"/>
      <c r="H1332" s="651"/>
      <c r="I1332" s="420">
        <v>173.46</v>
      </c>
      <c r="J1332" s="420">
        <f t="shared" si="337"/>
        <v>173.46</v>
      </c>
      <c r="K1332" s="421">
        <f t="shared" si="336"/>
        <v>206.09</v>
      </c>
      <c r="L1332" s="647" t="s">
        <v>2065</v>
      </c>
      <c r="M1332" s="576"/>
      <c r="N1332" s="576">
        <f t="shared" si="339"/>
        <v>0</v>
      </c>
      <c r="O1332" s="577">
        <f t="shared" si="333"/>
        <v>0</v>
      </c>
      <c r="P1332" s="578">
        <f t="shared" si="334"/>
        <v>0</v>
      </c>
      <c r="Q1332" s="765"/>
      <c r="R1332" s="576">
        <f t="shared" si="341"/>
        <v>0</v>
      </c>
      <c r="S1332" s="576">
        <f t="shared" si="341"/>
        <v>0</v>
      </c>
      <c r="T1332" s="577">
        <f t="shared" ref="T1332:T1395" si="342">IF(ISBLANK(R1332),0,ROUND(K1332*R1332,2))</f>
        <v>0</v>
      </c>
      <c r="U1332" s="578">
        <f t="shared" ref="U1332:U1395" si="343">IF(ISBLANK(R1332),0,ROUND(R1332*S1332,2))</f>
        <v>0</v>
      </c>
      <c r="V1332" s="579"/>
      <c r="W1332" s="566"/>
      <c r="X1332" s="586" t="str">
        <f t="shared" si="335"/>
        <v/>
      </c>
      <c r="Y1332" s="586" t="str">
        <f t="shared" si="340"/>
        <v/>
      </c>
      <c r="Z1332" s="586" t="str">
        <f t="shared" si="338"/>
        <v/>
      </c>
    </row>
    <row r="1333" spans="1:26" ht="23.25" hidden="1" thickBot="1" x14ac:dyDescent="0.25">
      <c r="A1333" s="567">
        <v>97362</v>
      </c>
      <c r="B1333" s="644">
        <v>97362</v>
      </c>
      <c r="C1333" s="645" t="s">
        <v>670</v>
      </c>
      <c r="D1333" s="422" t="s">
        <v>1184</v>
      </c>
      <c r="E1333" s="423"/>
      <c r="F1333" s="424"/>
      <c r="G1333" s="425"/>
      <c r="H1333" s="651"/>
      <c r="I1333" s="420">
        <v>2586.6799999999998</v>
      </c>
      <c r="J1333" s="420">
        <f t="shared" si="337"/>
        <v>2586.6799999999998</v>
      </c>
      <c r="K1333" s="421">
        <f t="shared" si="336"/>
        <v>3073.23</v>
      </c>
      <c r="L1333" s="647" t="s">
        <v>2065</v>
      </c>
      <c r="M1333" s="576"/>
      <c r="N1333" s="576">
        <f t="shared" si="339"/>
        <v>0</v>
      </c>
      <c r="O1333" s="577">
        <f t="shared" ref="O1333:O1396" si="344">IF(ISBLANK(M1333),0,ROUND(K1333*M1333,2))</f>
        <v>0</v>
      </c>
      <c r="P1333" s="578">
        <f t="shared" ref="P1333:P1396" si="345">IF(ISBLANK(N1333),0,ROUND(M1333*N1333,2))</f>
        <v>0</v>
      </c>
      <c r="Q1333" s="765"/>
      <c r="R1333" s="576">
        <f t="shared" si="341"/>
        <v>0</v>
      </c>
      <c r="S1333" s="576">
        <f t="shared" si="341"/>
        <v>0</v>
      </c>
      <c r="T1333" s="577">
        <f t="shared" si="342"/>
        <v>0</v>
      </c>
      <c r="U1333" s="578">
        <f t="shared" si="343"/>
        <v>0</v>
      </c>
      <c r="V1333" s="579"/>
      <c r="W1333" s="566"/>
      <c r="X1333" s="586" t="str">
        <f t="shared" si="335"/>
        <v/>
      </c>
      <c r="Y1333" s="586" t="str">
        <f t="shared" si="340"/>
        <v/>
      </c>
      <c r="Z1333" s="586" t="str">
        <f t="shared" si="338"/>
        <v/>
      </c>
    </row>
    <row r="1334" spans="1:26" ht="23.25" hidden="1" thickBot="1" x14ac:dyDescent="0.25">
      <c r="A1334" s="567">
        <v>97359</v>
      </c>
      <c r="B1334" s="644">
        <v>97359</v>
      </c>
      <c r="C1334" s="645" t="s">
        <v>670</v>
      </c>
      <c r="D1334" s="422" t="s">
        <v>1185</v>
      </c>
      <c r="E1334" s="423"/>
      <c r="F1334" s="424"/>
      <c r="G1334" s="425"/>
      <c r="H1334" s="651"/>
      <c r="I1334" s="420">
        <v>4007.03</v>
      </c>
      <c r="J1334" s="420">
        <f t="shared" si="337"/>
        <v>4007.03</v>
      </c>
      <c r="K1334" s="421">
        <f t="shared" si="336"/>
        <v>4760.75</v>
      </c>
      <c r="L1334" s="647" t="s">
        <v>2065</v>
      </c>
      <c r="M1334" s="576"/>
      <c r="N1334" s="576">
        <f t="shared" si="339"/>
        <v>0</v>
      </c>
      <c r="O1334" s="577">
        <f t="shared" si="344"/>
        <v>0</v>
      </c>
      <c r="P1334" s="578">
        <f t="shared" si="345"/>
        <v>0</v>
      </c>
      <c r="Q1334" s="765"/>
      <c r="R1334" s="576">
        <f t="shared" si="341"/>
        <v>0</v>
      </c>
      <c r="S1334" s="576">
        <f t="shared" si="341"/>
        <v>0</v>
      </c>
      <c r="T1334" s="577">
        <f t="shared" si="342"/>
        <v>0</v>
      </c>
      <c r="U1334" s="578">
        <f t="shared" si="343"/>
        <v>0</v>
      </c>
      <c r="V1334" s="579"/>
      <c r="W1334" s="566"/>
      <c r="X1334" s="586" t="str">
        <f t="shared" si="335"/>
        <v/>
      </c>
      <c r="Y1334" s="586" t="str">
        <f t="shared" si="340"/>
        <v/>
      </c>
      <c r="Z1334" s="586" t="str">
        <f t="shared" si="338"/>
        <v/>
      </c>
    </row>
    <row r="1335" spans="1:26" ht="23.25" hidden="1" thickBot="1" x14ac:dyDescent="0.25">
      <c r="A1335" s="567">
        <v>97360</v>
      </c>
      <c r="B1335" s="644">
        <v>97360</v>
      </c>
      <c r="C1335" s="645" t="s">
        <v>670</v>
      </c>
      <c r="D1335" s="422" t="s">
        <v>1186</v>
      </c>
      <c r="E1335" s="423"/>
      <c r="F1335" s="424"/>
      <c r="G1335" s="425"/>
      <c r="H1335" s="651"/>
      <c r="I1335" s="420">
        <v>7727.75</v>
      </c>
      <c r="J1335" s="420">
        <f t="shared" si="337"/>
        <v>7727.75</v>
      </c>
      <c r="K1335" s="421">
        <f t="shared" si="336"/>
        <v>9181.34</v>
      </c>
      <c r="L1335" s="647" t="s">
        <v>2065</v>
      </c>
      <c r="M1335" s="576"/>
      <c r="N1335" s="576">
        <f t="shared" si="339"/>
        <v>0</v>
      </c>
      <c r="O1335" s="577">
        <f t="shared" si="344"/>
        <v>0</v>
      </c>
      <c r="P1335" s="578">
        <f t="shared" si="345"/>
        <v>0</v>
      </c>
      <c r="Q1335" s="765"/>
      <c r="R1335" s="576">
        <f t="shared" si="341"/>
        <v>0</v>
      </c>
      <c r="S1335" s="576">
        <f t="shared" si="341"/>
        <v>0</v>
      </c>
      <c r="T1335" s="577">
        <f t="shared" si="342"/>
        <v>0</v>
      </c>
      <c r="U1335" s="578">
        <f t="shared" si="343"/>
        <v>0</v>
      </c>
      <c r="V1335" s="579"/>
      <c r="W1335" s="566"/>
      <c r="X1335" s="586" t="str">
        <f t="shared" si="335"/>
        <v/>
      </c>
      <c r="Y1335" s="586" t="str">
        <f t="shared" si="340"/>
        <v/>
      </c>
      <c r="Z1335" s="586" t="str">
        <f t="shared" si="338"/>
        <v/>
      </c>
    </row>
    <row r="1336" spans="1:26" ht="23.25" hidden="1" thickBot="1" x14ac:dyDescent="0.25">
      <c r="A1336" s="567">
        <v>97361</v>
      </c>
      <c r="B1336" s="644">
        <v>97361</v>
      </c>
      <c r="C1336" s="645" t="s">
        <v>670</v>
      </c>
      <c r="D1336" s="422" t="s">
        <v>1187</v>
      </c>
      <c r="E1336" s="423"/>
      <c r="F1336" s="424"/>
      <c r="G1336" s="425"/>
      <c r="H1336" s="651"/>
      <c r="I1336" s="420">
        <v>10303.67</v>
      </c>
      <c r="J1336" s="420">
        <f t="shared" si="337"/>
        <v>10303.67</v>
      </c>
      <c r="K1336" s="421">
        <f t="shared" si="336"/>
        <v>12241.79</v>
      </c>
      <c r="L1336" s="647" t="s">
        <v>2065</v>
      </c>
      <c r="M1336" s="576"/>
      <c r="N1336" s="576">
        <f t="shared" si="339"/>
        <v>0</v>
      </c>
      <c r="O1336" s="577">
        <f t="shared" si="344"/>
        <v>0</v>
      </c>
      <c r="P1336" s="578">
        <f t="shared" si="345"/>
        <v>0</v>
      </c>
      <c r="Q1336" s="765"/>
      <c r="R1336" s="576">
        <f t="shared" si="341"/>
        <v>0</v>
      </c>
      <c r="S1336" s="576">
        <f t="shared" si="341"/>
        <v>0</v>
      </c>
      <c r="T1336" s="577">
        <f t="shared" si="342"/>
        <v>0</v>
      </c>
      <c r="U1336" s="578">
        <f t="shared" si="343"/>
        <v>0</v>
      </c>
      <c r="V1336" s="579"/>
      <c r="W1336" s="566"/>
      <c r="X1336" s="586" t="str">
        <f t="shared" si="335"/>
        <v/>
      </c>
      <c r="Y1336" s="586" t="str">
        <f t="shared" si="340"/>
        <v/>
      </c>
      <c r="Z1336" s="586" t="str">
        <f t="shared" si="338"/>
        <v/>
      </c>
    </row>
    <row r="1337" spans="1:26" ht="23.25" hidden="1" thickBot="1" x14ac:dyDescent="0.25">
      <c r="A1337" s="567">
        <v>101875</v>
      </c>
      <c r="B1337" s="644">
        <v>101875</v>
      </c>
      <c r="C1337" s="645" t="s">
        <v>670</v>
      </c>
      <c r="D1337" s="422" t="s">
        <v>1188</v>
      </c>
      <c r="E1337" s="423"/>
      <c r="F1337" s="424"/>
      <c r="G1337" s="425"/>
      <c r="H1337" s="651"/>
      <c r="I1337" s="420">
        <v>547.15</v>
      </c>
      <c r="J1337" s="420">
        <f t="shared" si="337"/>
        <v>547.15</v>
      </c>
      <c r="K1337" s="421">
        <f t="shared" si="336"/>
        <v>650.07000000000005</v>
      </c>
      <c r="L1337" s="647" t="s">
        <v>2065</v>
      </c>
      <c r="M1337" s="576"/>
      <c r="N1337" s="576">
        <f t="shared" si="339"/>
        <v>0</v>
      </c>
      <c r="O1337" s="577">
        <f t="shared" si="344"/>
        <v>0</v>
      </c>
      <c r="P1337" s="578">
        <f t="shared" si="345"/>
        <v>0</v>
      </c>
      <c r="Q1337" s="765"/>
      <c r="R1337" s="576">
        <f t="shared" si="341"/>
        <v>0</v>
      </c>
      <c r="S1337" s="576">
        <f t="shared" si="341"/>
        <v>0</v>
      </c>
      <c r="T1337" s="577">
        <f t="shared" si="342"/>
        <v>0</v>
      </c>
      <c r="U1337" s="578">
        <f t="shared" si="343"/>
        <v>0</v>
      </c>
      <c r="V1337" s="579"/>
      <c r="W1337" s="566"/>
      <c r="X1337" s="586" t="str">
        <f t="shared" si="335"/>
        <v/>
      </c>
      <c r="Y1337" s="586" t="str">
        <f t="shared" si="340"/>
        <v/>
      </c>
      <c r="Z1337" s="586" t="str">
        <f t="shared" si="338"/>
        <v/>
      </c>
    </row>
    <row r="1338" spans="1:26" ht="23.25" hidden="1" thickBot="1" x14ac:dyDescent="0.25">
      <c r="A1338" s="567">
        <v>101876</v>
      </c>
      <c r="B1338" s="644">
        <v>101876</v>
      </c>
      <c r="C1338" s="645" t="s">
        <v>670</v>
      </c>
      <c r="D1338" s="422" t="s">
        <v>1189</v>
      </c>
      <c r="E1338" s="423"/>
      <c r="F1338" s="424"/>
      <c r="G1338" s="425"/>
      <c r="H1338" s="651"/>
      <c r="I1338" s="420">
        <v>88.65</v>
      </c>
      <c r="J1338" s="420">
        <f t="shared" si="337"/>
        <v>88.65</v>
      </c>
      <c r="K1338" s="421">
        <f t="shared" si="336"/>
        <v>105.33</v>
      </c>
      <c r="L1338" s="647" t="s">
        <v>2065</v>
      </c>
      <c r="M1338" s="576"/>
      <c r="N1338" s="576">
        <f t="shared" si="339"/>
        <v>0</v>
      </c>
      <c r="O1338" s="577">
        <f t="shared" si="344"/>
        <v>0</v>
      </c>
      <c r="P1338" s="578">
        <f t="shared" si="345"/>
        <v>0</v>
      </c>
      <c r="Q1338" s="765"/>
      <c r="R1338" s="576">
        <f t="shared" si="341"/>
        <v>0</v>
      </c>
      <c r="S1338" s="576">
        <f t="shared" si="341"/>
        <v>0</v>
      </c>
      <c r="T1338" s="577">
        <f t="shared" si="342"/>
        <v>0</v>
      </c>
      <c r="U1338" s="578">
        <f t="shared" si="343"/>
        <v>0</v>
      </c>
      <c r="V1338" s="579"/>
      <c r="W1338" s="566"/>
      <c r="X1338" s="586" t="str">
        <f t="shared" si="335"/>
        <v/>
      </c>
      <c r="Y1338" s="586" t="str">
        <f t="shared" si="340"/>
        <v/>
      </c>
      <c r="Z1338" s="586" t="str">
        <f t="shared" si="338"/>
        <v/>
      </c>
    </row>
    <row r="1339" spans="1:26" ht="23.25" hidden="1" thickBot="1" x14ac:dyDescent="0.25">
      <c r="A1339" s="567">
        <v>101877</v>
      </c>
      <c r="B1339" s="644">
        <v>101877</v>
      </c>
      <c r="C1339" s="645" t="s">
        <v>670</v>
      </c>
      <c r="D1339" s="422" t="s">
        <v>1190</v>
      </c>
      <c r="E1339" s="423"/>
      <c r="F1339" s="424"/>
      <c r="G1339" s="425"/>
      <c r="H1339" s="651"/>
      <c r="I1339" s="420">
        <v>60.92</v>
      </c>
      <c r="J1339" s="420">
        <f t="shared" si="337"/>
        <v>60.92</v>
      </c>
      <c r="K1339" s="421">
        <f t="shared" si="336"/>
        <v>72.38</v>
      </c>
      <c r="L1339" s="647" t="s">
        <v>2065</v>
      </c>
      <c r="M1339" s="576"/>
      <c r="N1339" s="576">
        <f t="shared" si="339"/>
        <v>0</v>
      </c>
      <c r="O1339" s="577">
        <f t="shared" si="344"/>
        <v>0</v>
      </c>
      <c r="P1339" s="578">
        <f t="shared" si="345"/>
        <v>0</v>
      </c>
      <c r="Q1339" s="765"/>
      <c r="R1339" s="576">
        <f t="shared" si="341"/>
        <v>0</v>
      </c>
      <c r="S1339" s="576">
        <f t="shared" si="341"/>
        <v>0</v>
      </c>
      <c r="T1339" s="577">
        <f t="shared" si="342"/>
        <v>0</v>
      </c>
      <c r="U1339" s="578">
        <f t="shared" si="343"/>
        <v>0</v>
      </c>
      <c r="V1339" s="579"/>
      <c r="W1339" s="566"/>
      <c r="X1339" s="586" t="str">
        <f t="shared" si="335"/>
        <v/>
      </c>
      <c r="Y1339" s="586" t="str">
        <f t="shared" si="340"/>
        <v/>
      </c>
      <c r="Z1339" s="586" t="str">
        <f t="shared" si="338"/>
        <v/>
      </c>
    </row>
    <row r="1340" spans="1:26" ht="23.25" hidden="1" thickBot="1" x14ac:dyDescent="0.25">
      <c r="A1340" s="567">
        <v>101878</v>
      </c>
      <c r="B1340" s="644">
        <v>101878</v>
      </c>
      <c r="C1340" s="645" t="s">
        <v>670</v>
      </c>
      <c r="D1340" s="422" t="s">
        <v>1191</v>
      </c>
      <c r="E1340" s="423"/>
      <c r="F1340" s="424"/>
      <c r="G1340" s="425"/>
      <c r="H1340" s="651"/>
      <c r="I1340" s="420">
        <v>747.59</v>
      </c>
      <c r="J1340" s="420">
        <f t="shared" si="337"/>
        <v>747.59</v>
      </c>
      <c r="K1340" s="421">
        <f t="shared" si="336"/>
        <v>888.21</v>
      </c>
      <c r="L1340" s="647" t="s">
        <v>2065</v>
      </c>
      <c r="M1340" s="576"/>
      <c r="N1340" s="576">
        <f t="shared" si="339"/>
        <v>0</v>
      </c>
      <c r="O1340" s="577">
        <f t="shared" si="344"/>
        <v>0</v>
      </c>
      <c r="P1340" s="578">
        <f t="shared" si="345"/>
        <v>0</v>
      </c>
      <c r="Q1340" s="765"/>
      <c r="R1340" s="576">
        <f t="shared" si="341"/>
        <v>0</v>
      </c>
      <c r="S1340" s="576">
        <f t="shared" si="341"/>
        <v>0</v>
      </c>
      <c r="T1340" s="577">
        <f t="shared" si="342"/>
        <v>0</v>
      </c>
      <c r="U1340" s="578">
        <f t="shared" si="343"/>
        <v>0</v>
      </c>
      <c r="V1340" s="579"/>
      <c r="W1340" s="566"/>
      <c r="X1340" s="586" t="str">
        <f t="shared" si="335"/>
        <v/>
      </c>
      <c r="Y1340" s="586" t="str">
        <f t="shared" si="340"/>
        <v/>
      </c>
      <c r="Z1340" s="586" t="str">
        <f t="shared" si="338"/>
        <v/>
      </c>
    </row>
    <row r="1341" spans="1:26" ht="23.25" hidden="1" thickBot="1" x14ac:dyDescent="0.25">
      <c r="A1341" s="567">
        <v>101879</v>
      </c>
      <c r="B1341" s="644">
        <v>101879</v>
      </c>
      <c r="C1341" s="645" t="s">
        <v>670</v>
      </c>
      <c r="D1341" s="422" t="s">
        <v>1192</v>
      </c>
      <c r="E1341" s="423"/>
      <c r="F1341" s="424"/>
      <c r="G1341" s="425"/>
      <c r="H1341" s="651"/>
      <c r="I1341" s="420">
        <v>795.05</v>
      </c>
      <c r="J1341" s="420">
        <f t="shared" si="337"/>
        <v>795.05</v>
      </c>
      <c r="K1341" s="421">
        <f t="shared" si="336"/>
        <v>944.6</v>
      </c>
      <c r="L1341" s="647" t="s">
        <v>2065</v>
      </c>
      <c r="M1341" s="576"/>
      <c r="N1341" s="576">
        <f t="shared" si="339"/>
        <v>0</v>
      </c>
      <c r="O1341" s="577">
        <f t="shared" si="344"/>
        <v>0</v>
      </c>
      <c r="P1341" s="578">
        <f t="shared" si="345"/>
        <v>0</v>
      </c>
      <c r="Q1341" s="765"/>
      <c r="R1341" s="576">
        <f t="shared" si="341"/>
        <v>0</v>
      </c>
      <c r="S1341" s="576">
        <f t="shared" si="341"/>
        <v>0</v>
      </c>
      <c r="T1341" s="577">
        <f t="shared" si="342"/>
        <v>0</v>
      </c>
      <c r="U1341" s="578">
        <f t="shared" si="343"/>
        <v>0</v>
      </c>
      <c r="V1341" s="579"/>
      <c r="W1341" s="566"/>
      <c r="X1341" s="586" t="str">
        <f t="shared" ref="X1341:X1404" si="346">IF(W1341="X","x",IF(W1341="xx","x",IF(W1341="xy","x",IF(W1341="y","x",IF(OR(P1341&gt;0,U1341&gt;0),"x","")))))</f>
        <v/>
      </c>
      <c r="Y1341" s="586" t="str">
        <f t="shared" si="340"/>
        <v/>
      </c>
      <c r="Z1341" s="586" t="str">
        <f t="shared" si="338"/>
        <v/>
      </c>
    </row>
    <row r="1342" spans="1:26" ht="23.25" hidden="1" thickBot="1" x14ac:dyDescent="0.25">
      <c r="A1342" s="567">
        <v>101880</v>
      </c>
      <c r="B1342" s="644">
        <v>101880</v>
      </c>
      <c r="C1342" s="645" t="s">
        <v>670</v>
      </c>
      <c r="D1342" s="422" t="s">
        <v>1193</v>
      </c>
      <c r="E1342" s="423"/>
      <c r="F1342" s="424"/>
      <c r="G1342" s="425"/>
      <c r="H1342" s="651"/>
      <c r="I1342" s="420">
        <v>914.44</v>
      </c>
      <c r="J1342" s="420">
        <f t="shared" si="337"/>
        <v>914.44</v>
      </c>
      <c r="K1342" s="421">
        <f t="shared" si="336"/>
        <v>1086.45</v>
      </c>
      <c r="L1342" s="647" t="s">
        <v>2065</v>
      </c>
      <c r="M1342" s="576"/>
      <c r="N1342" s="576">
        <f t="shared" si="339"/>
        <v>0</v>
      </c>
      <c r="O1342" s="577">
        <f t="shared" si="344"/>
        <v>0</v>
      </c>
      <c r="P1342" s="578">
        <f t="shared" si="345"/>
        <v>0</v>
      </c>
      <c r="Q1342" s="765"/>
      <c r="R1342" s="576">
        <f t="shared" si="341"/>
        <v>0</v>
      </c>
      <c r="S1342" s="576">
        <f t="shared" si="341"/>
        <v>0</v>
      </c>
      <c r="T1342" s="577">
        <f t="shared" si="342"/>
        <v>0</v>
      </c>
      <c r="U1342" s="578">
        <f t="shared" si="343"/>
        <v>0</v>
      </c>
      <c r="V1342" s="579"/>
      <c r="W1342" s="566"/>
      <c r="X1342" s="586" t="str">
        <f t="shared" si="346"/>
        <v/>
      </c>
      <c r="Y1342" s="586" t="str">
        <f t="shared" si="340"/>
        <v/>
      </c>
      <c r="Z1342" s="586" t="str">
        <f t="shared" si="338"/>
        <v/>
      </c>
    </row>
    <row r="1343" spans="1:26" ht="23.25" hidden="1" thickBot="1" x14ac:dyDescent="0.25">
      <c r="A1343" s="567">
        <v>101881</v>
      </c>
      <c r="B1343" s="644">
        <v>101881</v>
      </c>
      <c r="C1343" s="645" t="s">
        <v>670</v>
      </c>
      <c r="D1343" s="422" t="s">
        <v>1194</v>
      </c>
      <c r="E1343" s="423"/>
      <c r="F1343" s="424"/>
      <c r="G1343" s="425"/>
      <c r="H1343" s="651"/>
      <c r="I1343" s="420">
        <v>1321.07</v>
      </c>
      <c r="J1343" s="420">
        <f t="shared" si="337"/>
        <v>1321.07</v>
      </c>
      <c r="K1343" s="421">
        <f t="shared" si="336"/>
        <v>1569.56</v>
      </c>
      <c r="L1343" s="647" t="s">
        <v>2065</v>
      </c>
      <c r="M1343" s="576"/>
      <c r="N1343" s="576">
        <f t="shared" si="339"/>
        <v>0</v>
      </c>
      <c r="O1343" s="577">
        <f t="shared" si="344"/>
        <v>0</v>
      </c>
      <c r="P1343" s="578">
        <f t="shared" si="345"/>
        <v>0</v>
      </c>
      <c r="Q1343" s="765"/>
      <c r="R1343" s="576">
        <f t="shared" si="341"/>
        <v>0</v>
      </c>
      <c r="S1343" s="576">
        <f t="shared" si="341"/>
        <v>0</v>
      </c>
      <c r="T1343" s="577">
        <f t="shared" si="342"/>
        <v>0</v>
      </c>
      <c r="U1343" s="578">
        <f t="shared" si="343"/>
        <v>0</v>
      </c>
      <c r="V1343" s="579"/>
      <c r="W1343" s="566"/>
      <c r="X1343" s="586" t="str">
        <f t="shared" si="346"/>
        <v/>
      </c>
      <c r="Y1343" s="586" t="str">
        <f t="shared" si="340"/>
        <v/>
      </c>
      <c r="Z1343" s="586" t="str">
        <f t="shared" si="338"/>
        <v/>
      </c>
    </row>
    <row r="1344" spans="1:26" ht="23.25" hidden="1" thickBot="1" x14ac:dyDescent="0.25">
      <c r="A1344" s="567">
        <v>101882</v>
      </c>
      <c r="B1344" s="644">
        <v>101882</v>
      </c>
      <c r="C1344" s="645" t="s">
        <v>670</v>
      </c>
      <c r="D1344" s="422" t="s">
        <v>1195</v>
      </c>
      <c r="E1344" s="423"/>
      <c r="F1344" s="424"/>
      <c r="G1344" s="425"/>
      <c r="H1344" s="651"/>
      <c r="I1344" s="420">
        <v>1881.42</v>
      </c>
      <c r="J1344" s="420">
        <f t="shared" si="337"/>
        <v>1881.42</v>
      </c>
      <c r="K1344" s="421">
        <f t="shared" si="336"/>
        <v>2235.3200000000002</v>
      </c>
      <c r="L1344" s="647" t="s">
        <v>2065</v>
      </c>
      <c r="M1344" s="576"/>
      <c r="N1344" s="576">
        <f t="shared" si="339"/>
        <v>0</v>
      </c>
      <c r="O1344" s="577">
        <f t="shared" si="344"/>
        <v>0</v>
      </c>
      <c r="P1344" s="578">
        <f t="shared" si="345"/>
        <v>0</v>
      </c>
      <c r="Q1344" s="765"/>
      <c r="R1344" s="576">
        <f t="shared" si="341"/>
        <v>0</v>
      </c>
      <c r="S1344" s="576">
        <f t="shared" si="341"/>
        <v>0</v>
      </c>
      <c r="T1344" s="577">
        <f t="shared" si="342"/>
        <v>0</v>
      </c>
      <c r="U1344" s="578">
        <f t="shared" si="343"/>
        <v>0</v>
      </c>
      <c r="V1344" s="579"/>
      <c r="W1344" s="566"/>
      <c r="X1344" s="586" t="str">
        <f t="shared" si="346"/>
        <v/>
      </c>
      <c r="Y1344" s="586" t="str">
        <f t="shared" si="340"/>
        <v/>
      </c>
      <c r="Z1344" s="586" t="str">
        <f t="shared" si="338"/>
        <v/>
      </c>
    </row>
    <row r="1345" spans="1:26" ht="23.25" hidden="1" thickBot="1" x14ac:dyDescent="0.25">
      <c r="A1345" s="567">
        <v>101883</v>
      </c>
      <c r="B1345" s="644">
        <v>101883</v>
      </c>
      <c r="C1345" s="645" t="s">
        <v>670</v>
      </c>
      <c r="D1345" s="422" t="s">
        <v>1196</v>
      </c>
      <c r="E1345" s="423"/>
      <c r="F1345" s="424"/>
      <c r="G1345" s="425"/>
      <c r="H1345" s="651"/>
      <c r="I1345" s="420">
        <v>757.66</v>
      </c>
      <c r="J1345" s="420">
        <f t="shared" si="337"/>
        <v>757.66</v>
      </c>
      <c r="K1345" s="421">
        <f t="shared" si="336"/>
        <v>900.18</v>
      </c>
      <c r="L1345" s="647" t="s">
        <v>2065</v>
      </c>
      <c r="M1345" s="576"/>
      <c r="N1345" s="576">
        <f t="shared" si="339"/>
        <v>0</v>
      </c>
      <c r="O1345" s="577">
        <f t="shared" si="344"/>
        <v>0</v>
      </c>
      <c r="P1345" s="578">
        <f t="shared" si="345"/>
        <v>0</v>
      </c>
      <c r="Q1345" s="765"/>
      <c r="R1345" s="576">
        <f t="shared" si="341"/>
        <v>0</v>
      </c>
      <c r="S1345" s="576">
        <f t="shared" si="341"/>
        <v>0</v>
      </c>
      <c r="T1345" s="577">
        <f t="shared" si="342"/>
        <v>0</v>
      </c>
      <c r="U1345" s="578">
        <f t="shared" si="343"/>
        <v>0</v>
      </c>
      <c r="V1345" s="579"/>
      <c r="W1345" s="566"/>
      <c r="X1345" s="586" t="str">
        <f t="shared" si="346"/>
        <v/>
      </c>
      <c r="Y1345" s="586" t="str">
        <f t="shared" si="340"/>
        <v/>
      </c>
      <c r="Z1345" s="586" t="str">
        <f t="shared" si="338"/>
        <v/>
      </c>
    </row>
    <row r="1346" spans="1:26" ht="12" hidden="1" thickBot="1" x14ac:dyDescent="0.25">
      <c r="A1346" s="567">
        <v>101901</v>
      </c>
      <c r="B1346" s="644">
        <v>101901</v>
      </c>
      <c r="C1346" s="645" t="s">
        <v>670</v>
      </c>
      <c r="D1346" s="422" t="s">
        <v>1197</v>
      </c>
      <c r="E1346" s="423"/>
      <c r="F1346" s="424"/>
      <c r="G1346" s="425"/>
      <c r="H1346" s="651"/>
      <c r="I1346" s="420">
        <v>130.36000000000001</v>
      </c>
      <c r="J1346" s="420">
        <f t="shared" si="337"/>
        <v>130.36000000000001</v>
      </c>
      <c r="K1346" s="421">
        <f t="shared" si="336"/>
        <v>154.88</v>
      </c>
      <c r="L1346" s="647" t="s">
        <v>2065</v>
      </c>
      <c r="M1346" s="576"/>
      <c r="N1346" s="576">
        <f t="shared" si="339"/>
        <v>0</v>
      </c>
      <c r="O1346" s="577">
        <f t="shared" si="344"/>
        <v>0</v>
      </c>
      <c r="P1346" s="578">
        <f t="shared" si="345"/>
        <v>0</v>
      </c>
      <c r="Q1346" s="765"/>
      <c r="R1346" s="576">
        <f t="shared" si="341"/>
        <v>0</v>
      </c>
      <c r="S1346" s="576">
        <f t="shared" si="341"/>
        <v>0</v>
      </c>
      <c r="T1346" s="577">
        <f t="shared" si="342"/>
        <v>0</v>
      </c>
      <c r="U1346" s="578">
        <f t="shared" si="343"/>
        <v>0</v>
      </c>
      <c r="V1346" s="579"/>
      <c r="W1346" s="566"/>
      <c r="X1346" s="586" t="str">
        <f t="shared" si="346"/>
        <v/>
      </c>
      <c r="Y1346" s="586" t="str">
        <f t="shared" si="340"/>
        <v/>
      </c>
      <c r="Z1346" s="586" t="str">
        <f t="shared" si="338"/>
        <v/>
      </c>
    </row>
    <row r="1347" spans="1:26" ht="12" hidden="1" thickBot="1" x14ac:dyDescent="0.25">
      <c r="A1347" s="567">
        <v>101902</v>
      </c>
      <c r="B1347" s="644">
        <v>101902</v>
      </c>
      <c r="C1347" s="645" t="s">
        <v>670</v>
      </c>
      <c r="D1347" s="422" t="s">
        <v>1198</v>
      </c>
      <c r="E1347" s="423"/>
      <c r="F1347" s="424"/>
      <c r="G1347" s="425"/>
      <c r="H1347" s="651"/>
      <c r="I1347" s="420">
        <v>161.28</v>
      </c>
      <c r="J1347" s="420">
        <f t="shared" si="337"/>
        <v>161.28</v>
      </c>
      <c r="K1347" s="421">
        <f t="shared" si="336"/>
        <v>191.62</v>
      </c>
      <c r="L1347" s="647" t="s">
        <v>2065</v>
      </c>
      <c r="M1347" s="576"/>
      <c r="N1347" s="576">
        <f t="shared" si="339"/>
        <v>0</v>
      </c>
      <c r="O1347" s="577">
        <f t="shared" si="344"/>
        <v>0</v>
      </c>
      <c r="P1347" s="578">
        <f t="shared" si="345"/>
        <v>0</v>
      </c>
      <c r="Q1347" s="765"/>
      <c r="R1347" s="576">
        <f t="shared" si="341"/>
        <v>0</v>
      </c>
      <c r="S1347" s="576">
        <f t="shared" si="341"/>
        <v>0</v>
      </c>
      <c r="T1347" s="577">
        <f t="shared" si="342"/>
        <v>0</v>
      </c>
      <c r="U1347" s="578">
        <f t="shared" si="343"/>
        <v>0</v>
      </c>
      <c r="V1347" s="579"/>
      <c r="W1347" s="566"/>
      <c r="X1347" s="586" t="str">
        <f t="shared" si="346"/>
        <v/>
      </c>
      <c r="Y1347" s="586" t="str">
        <f t="shared" si="340"/>
        <v/>
      </c>
      <c r="Z1347" s="586" t="str">
        <f t="shared" si="338"/>
        <v/>
      </c>
    </row>
    <row r="1348" spans="1:26" ht="12" hidden="1" thickBot="1" x14ac:dyDescent="0.25">
      <c r="A1348" s="567">
        <v>101903</v>
      </c>
      <c r="B1348" s="644">
        <v>101903</v>
      </c>
      <c r="C1348" s="645" t="s">
        <v>670</v>
      </c>
      <c r="D1348" s="422" t="s">
        <v>1199</v>
      </c>
      <c r="E1348" s="423"/>
      <c r="F1348" s="424"/>
      <c r="G1348" s="425"/>
      <c r="H1348" s="651"/>
      <c r="I1348" s="420">
        <v>336.27</v>
      </c>
      <c r="J1348" s="420">
        <f t="shared" si="337"/>
        <v>336.27</v>
      </c>
      <c r="K1348" s="421">
        <f t="shared" si="336"/>
        <v>399.52</v>
      </c>
      <c r="L1348" s="647" t="s">
        <v>2065</v>
      </c>
      <c r="M1348" s="576"/>
      <c r="N1348" s="576">
        <f t="shared" si="339"/>
        <v>0</v>
      </c>
      <c r="O1348" s="577">
        <f t="shared" si="344"/>
        <v>0</v>
      </c>
      <c r="P1348" s="578">
        <f t="shared" si="345"/>
        <v>0</v>
      </c>
      <c r="Q1348" s="765"/>
      <c r="R1348" s="576">
        <f t="shared" si="341"/>
        <v>0</v>
      </c>
      <c r="S1348" s="576">
        <f t="shared" si="341"/>
        <v>0</v>
      </c>
      <c r="T1348" s="577">
        <f t="shared" si="342"/>
        <v>0</v>
      </c>
      <c r="U1348" s="578">
        <f t="shared" si="343"/>
        <v>0</v>
      </c>
      <c r="V1348" s="579"/>
      <c r="W1348" s="566"/>
      <c r="X1348" s="586" t="str">
        <f t="shared" si="346"/>
        <v/>
      </c>
      <c r="Y1348" s="586" t="str">
        <f t="shared" si="340"/>
        <v/>
      </c>
      <c r="Z1348" s="586" t="str">
        <f t="shared" si="338"/>
        <v/>
      </c>
    </row>
    <row r="1349" spans="1:26" ht="12" hidden="1" thickBot="1" x14ac:dyDescent="0.25">
      <c r="A1349" s="567">
        <v>101904</v>
      </c>
      <c r="B1349" s="644">
        <v>101904</v>
      </c>
      <c r="C1349" s="645" t="s">
        <v>670</v>
      </c>
      <c r="D1349" s="422" t="s">
        <v>1200</v>
      </c>
      <c r="E1349" s="423"/>
      <c r="F1349" s="424"/>
      <c r="G1349" s="425"/>
      <c r="H1349" s="651"/>
      <c r="I1349" s="420">
        <v>1230.0999999999999</v>
      </c>
      <c r="J1349" s="420">
        <f t="shared" si="337"/>
        <v>1230.0999999999999</v>
      </c>
      <c r="K1349" s="421">
        <f t="shared" si="336"/>
        <v>1461.48</v>
      </c>
      <c r="L1349" s="647" t="s">
        <v>2065</v>
      </c>
      <c r="M1349" s="576"/>
      <c r="N1349" s="576">
        <f t="shared" si="339"/>
        <v>0</v>
      </c>
      <c r="O1349" s="577">
        <f t="shared" si="344"/>
        <v>0</v>
      </c>
      <c r="P1349" s="578">
        <f t="shared" si="345"/>
        <v>0</v>
      </c>
      <c r="Q1349" s="765"/>
      <c r="R1349" s="576">
        <f t="shared" si="341"/>
        <v>0</v>
      </c>
      <c r="S1349" s="576">
        <f t="shared" si="341"/>
        <v>0</v>
      </c>
      <c r="T1349" s="577">
        <f t="shared" si="342"/>
        <v>0</v>
      </c>
      <c r="U1349" s="578">
        <f t="shared" si="343"/>
        <v>0</v>
      </c>
      <c r="V1349" s="579"/>
      <c r="W1349" s="566"/>
      <c r="X1349" s="586" t="str">
        <f t="shared" si="346"/>
        <v/>
      </c>
      <c r="Y1349" s="586" t="str">
        <f t="shared" si="340"/>
        <v/>
      </c>
      <c r="Z1349" s="586" t="str">
        <f t="shared" si="338"/>
        <v/>
      </c>
    </row>
    <row r="1350" spans="1:26" ht="23.25" hidden="1" thickBot="1" x14ac:dyDescent="0.25">
      <c r="A1350" s="567">
        <v>93653</v>
      </c>
      <c r="B1350" s="644">
        <v>93653</v>
      </c>
      <c r="C1350" s="645" t="s">
        <v>670</v>
      </c>
      <c r="D1350" s="422" t="s">
        <v>1201</v>
      </c>
      <c r="E1350" s="423"/>
      <c r="F1350" s="424"/>
      <c r="G1350" s="425"/>
      <c r="H1350" s="651"/>
      <c r="I1350" s="420">
        <v>13.64</v>
      </c>
      <c r="J1350" s="420">
        <f t="shared" si="337"/>
        <v>13.64</v>
      </c>
      <c r="K1350" s="421">
        <f t="shared" si="336"/>
        <v>16.21</v>
      </c>
      <c r="L1350" s="647" t="s">
        <v>2065</v>
      </c>
      <c r="M1350" s="576"/>
      <c r="N1350" s="576">
        <f t="shared" si="339"/>
        <v>0</v>
      </c>
      <c r="O1350" s="577">
        <f t="shared" si="344"/>
        <v>0</v>
      </c>
      <c r="P1350" s="578">
        <f t="shared" si="345"/>
        <v>0</v>
      </c>
      <c r="Q1350" s="765"/>
      <c r="R1350" s="576">
        <f t="shared" si="341"/>
        <v>0</v>
      </c>
      <c r="S1350" s="576">
        <f t="shared" si="341"/>
        <v>0</v>
      </c>
      <c r="T1350" s="577">
        <f t="shared" si="342"/>
        <v>0</v>
      </c>
      <c r="U1350" s="578">
        <f t="shared" si="343"/>
        <v>0</v>
      </c>
      <c r="V1350" s="579"/>
      <c r="W1350" s="566"/>
      <c r="X1350" s="586" t="str">
        <f t="shared" si="346"/>
        <v/>
      </c>
      <c r="Y1350" s="586" t="str">
        <f t="shared" si="340"/>
        <v/>
      </c>
      <c r="Z1350" s="586" t="str">
        <f t="shared" si="338"/>
        <v/>
      </c>
    </row>
    <row r="1351" spans="1:26" ht="23.25" hidden="1" thickBot="1" x14ac:dyDescent="0.25">
      <c r="A1351" s="567">
        <v>93654</v>
      </c>
      <c r="B1351" s="644">
        <v>93654</v>
      </c>
      <c r="C1351" s="645" t="s">
        <v>670</v>
      </c>
      <c r="D1351" s="422" t="s">
        <v>1202</v>
      </c>
      <c r="E1351" s="423"/>
      <c r="F1351" s="424"/>
      <c r="G1351" s="425"/>
      <c r="H1351" s="651"/>
      <c r="I1351" s="420">
        <v>14.29</v>
      </c>
      <c r="J1351" s="420">
        <f t="shared" si="337"/>
        <v>14.29</v>
      </c>
      <c r="K1351" s="421">
        <f t="shared" si="336"/>
        <v>16.98</v>
      </c>
      <c r="L1351" s="647" t="s">
        <v>2065</v>
      </c>
      <c r="M1351" s="576"/>
      <c r="N1351" s="576">
        <f t="shared" si="339"/>
        <v>0</v>
      </c>
      <c r="O1351" s="577">
        <f t="shared" si="344"/>
        <v>0</v>
      </c>
      <c r="P1351" s="578">
        <f t="shared" si="345"/>
        <v>0</v>
      </c>
      <c r="Q1351" s="765"/>
      <c r="R1351" s="576">
        <f t="shared" si="341"/>
        <v>0</v>
      </c>
      <c r="S1351" s="576">
        <f t="shared" si="341"/>
        <v>0</v>
      </c>
      <c r="T1351" s="577">
        <f t="shared" si="342"/>
        <v>0</v>
      </c>
      <c r="U1351" s="578">
        <f t="shared" si="343"/>
        <v>0</v>
      </c>
      <c r="V1351" s="579"/>
      <c r="W1351" s="566"/>
      <c r="X1351" s="586" t="str">
        <f t="shared" si="346"/>
        <v/>
      </c>
      <c r="Y1351" s="586" t="str">
        <f t="shared" si="340"/>
        <v/>
      </c>
      <c r="Z1351" s="586" t="str">
        <f t="shared" si="338"/>
        <v/>
      </c>
    </row>
    <row r="1352" spans="1:26" ht="23.25" hidden="1" thickBot="1" x14ac:dyDescent="0.25">
      <c r="A1352" s="567">
        <v>93655</v>
      </c>
      <c r="B1352" s="644">
        <v>93655</v>
      </c>
      <c r="C1352" s="645" t="s">
        <v>670</v>
      </c>
      <c r="D1352" s="422" t="s">
        <v>1203</v>
      </c>
      <c r="E1352" s="423"/>
      <c r="F1352" s="424"/>
      <c r="G1352" s="425"/>
      <c r="H1352" s="651"/>
      <c r="I1352" s="420">
        <v>15.53</v>
      </c>
      <c r="J1352" s="420">
        <f t="shared" si="337"/>
        <v>15.53</v>
      </c>
      <c r="K1352" s="421">
        <f t="shared" si="336"/>
        <v>18.45</v>
      </c>
      <c r="L1352" s="647" t="s">
        <v>2065</v>
      </c>
      <c r="M1352" s="576"/>
      <c r="N1352" s="576">
        <f t="shared" si="339"/>
        <v>0</v>
      </c>
      <c r="O1352" s="577">
        <f t="shared" si="344"/>
        <v>0</v>
      </c>
      <c r="P1352" s="578">
        <f t="shared" si="345"/>
        <v>0</v>
      </c>
      <c r="Q1352" s="765"/>
      <c r="R1352" s="576">
        <f t="shared" si="341"/>
        <v>0</v>
      </c>
      <c r="S1352" s="576">
        <f t="shared" si="341"/>
        <v>0</v>
      </c>
      <c r="T1352" s="577">
        <f t="shared" si="342"/>
        <v>0</v>
      </c>
      <c r="U1352" s="578">
        <f t="shared" si="343"/>
        <v>0</v>
      </c>
      <c r="V1352" s="579"/>
      <c r="W1352" s="566"/>
      <c r="X1352" s="586" t="str">
        <f t="shared" si="346"/>
        <v/>
      </c>
      <c r="Y1352" s="586" t="str">
        <f t="shared" si="340"/>
        <v/>
      </c>
      <c r="Z1352" s="586" t="str">
        <f t="shared" si="338"/>
        <v/>
      </c>
    </row>
    <row r="1353" spans="1:26" ht="23.25" hidden="1" thickBot="1" x14ac:dyDescent="0.25">
      <c r="A1353" s="567">
        <v>93656</v>
      </c>
      <c r="B1353" s="644">
        <v>93656</v>
      </c>
      <c r="C1353" s="645" t="s">
        <v>670</v>
      </c>
      <c r="D1353" s="422" t="s">
        <v>1204</v>
      </c>
      <c r="E1353" s="423"/>
      <c r="F1353" s="424"/>
      <c r="G1353" s="425"/>
      <c r="H1353" s="651"/>
      <c r="I1353" s="420">
        <v>15.53</v>
      </c>
      <c r="J1353" s="420">
        <f t="shared" si="337"/>
        <v>15.53</v>
      </c>
      <c r="K1353" s="421">
        <f t="shared" ref="K1353:K1416" si="347">IF(ISBLANK(I1353),0,ROUND(J1353*(1+$F$10)*(1+$F$11*E1353),2))</f>
        <v>18.45</v>
      </c>
      <c r="L1353" s="647" t="s">
        <v>2065</v>
      </c>
      <c r="M1353" s="576"/>
      <c r="N1353" s="576">
        <f t="shared" si="339"/>
        <v>0</v>
      </c>
      <c r="O1353" s="577">
        <f t="shared" si="344"/>
        <v>0</v>
      </c>
      <c r="P1353" s="578">
        <f t="shared" si="345"/>
        <v>0</v>
      </c>
      <c r="Q1353" s="765"/>
      <c r="R1353" s="576">
        <f t="shared" si="341"/>
        <v>0</v>
      </c>
      <c r="S1353" s="576">
        <f t="shared" si="341"/>
        <v>0</v>
      </c>
      <c r="T1353" s="577">
        <f t="shared" si="342"/>
        <v>0</v>
      </c>
      <c r="U1353" s="578">
        <f t="shared" si="343"/>
        <v>0</v>
      </c>
      <c r="V1353" s="579"/>
      <c r="W1353" s="566"/>
      <c r="X1353" s="586" t="str">
        <f t="shared" si="346"/>
        <v/>
      </c>
      <c r="Y1353" s="586" t="str">
        <f t="shared" si="340"/>
        <v/>
      </c>
      <c r="Z1353" s="586" t="str">
        <f t="shared" si="338"/>
        <v/>
      </c>
    </row>
    <row r="1354" spans="1:26" ht="23.25" hidden="1" thickBot="1" x14ac:dyDescent="0.25">
      <c r="A1354" s="567">
        <v>93657</v>
      </c>
      <c r="B1354" s="644">
        <v>93657</v>
      </c>
      <c r="C1354" s="645" t="s">
        <v>670</v>
      </c>
      <c r="D1354" s="422" t="s">
        <v>1205</v>
      </c>
      <c r="E1354" s="423"/>
      <c r="F1354" s="424"/>
      <c r="G1354" s="425"/>
      <c r="H1354" s="651"/>
      <c r="I1354" s="420">
        <v>17.04</v>
      </c>
      <c r="J1354" s="420">
        <f t="shared" si="337"/>
        <v>17.04</v>
      </c>
      <c r="K1354" s="421">
        <f t="shared" si="347"/>
        <v>20.25</v>
      </c>
      <c r="L1354" s="647" t="s">
        <v>2065</v>
      </c>
      <c r="M1354" s="576"/>
      <c r="N1354" s="576">
        <f t="shared" si="339"/>
        <v>0</v>
      </c>
      <c r="O1354" s="577">
        <f t="shared" si="344"/>
        <v>0</v>
      </c>
      <c r="P1354" s="578">
        <f t="shared" si="345"/>
        <v>0</v>
      </c>
      <c r="Q1354" s="765"/>
      <c r="R1354" s="576">
        <f t="shared" si="341"/>
        <v>0</v>
      </c>
      <c r="S1354" s="576">
        <f t="shared" si="341"/>
        <v>0</v>
      </c>
      <c r="T1354" s="577">
        <f t="shared" si="342"/>
        <v>0</v>
      </c>
      <c r="U1354" s="578">
        <f t="shared" si="343"/>
        <v>0</v>
      </c>
      <c r="V1354" s="579"/>
      <c r="W1354" s="566"/>
      <c r="X1354" s="586" t="str">
        <f t="shared" si="346"/>
        <v/>
      </c>
      <c r="Y1354" s="586" t="str">
        <f t="shared" si="340"/>
        <v/>
      </c>
      <c r="Z1354" s="586" t="str">
        <f t="shared" si="338"/>
        <v/>
      </c>
    </row>
    <row r="1355" spans="1:26" ht="23.25" hidden="1" thickBot="1" x14ac:dyDescent="0.25">
      <c r="A1355" s="567">
        <v>93658</v>
      </c>
      <c r="B1355" s="644">
        <v>93658</v>
      </c>
      <c r="C1355" s="645" t="s">
        <v>670</v>
      </c>
      <c r="D1355" s="422" t="s">
        <v>1206</v>
      </c>
      <c r="E1355" s="423"/>
      <c r="F1355" s="424"/>
      <c r="G1355" s="425"/>
      <c r="H1355" s="651"/>
      <c r="I1355" s="420">
        <v>24.72</v>
      </c>
      <c r="J1355" s="420">
        <f t="shared" si="337"/>
        <v>24.72</v>
      </c>
      <c r="K1355" s="421">
        <f t="shared" si="347"/>
        <v>29.37</v>
      </c>
      <c r="L1355" s="647" t="s">
        <v>2065</v>
      </c>
      <c r="M1355" s="576"/>
      <c r="N1355" s="576">
        <f t="shared" si="339"/>
        <v>0</v>
      </c>
      <c r="O1355" s="577">
        <f t="shared" si="344"/>
        <v>0</v>
      </c>
      <c r="P1355" s="578">
        <f t="shared" si="345"/>
        <v>0</v>
      </c>
      <c r="Q1355" s="765"/>
      <c r="R1355" s="576">
        <f t="shared" si="341"/>
        <v>0</v>
      </c>
      <c r="S1355" s="576">
        <f t="shared" si="341"/>
        <v>0</v>
      </c>
      <c r="T1355" s="577">
        <f t="shared" si="342"/>
        <v>0</v>
      </c>
      <c r="U1355" s="578">
        <f t="shared" si="343"/>
        <v>0</v>
      </c>
      <c r="V1355" s="579"/>
      <c r="W1355" s="566"/>
      <c r="X1355" s="586" t="str">
        <f t="shared" si="346"/>
        <v/>
      </c>
      <c r="Y1355" s="586" t="str">
        <f t="shared" si="340"/>
        <v/>
      </c>
      <c r="Z1355" s="586" t="str">
        <f t="shared" si="338"/>
        <v/>
      </c>
    </row>
    <row r="1356" spans="1:26" ht="23.25" hidden="1" thickBot="1" x14ac:dyDescent="0.25">
      <c r="A1356" s="567">
        <v>93659</v>
      </c>
      <c r="B1356" s="644">
        <v>93659</v>
      </c>
      <c r="C1356" s="645" t="s">
        <v>670</v>
      </c>
      <c r="D1356" s="422" t="s">
        <v>1207</v>
      </c>
      <c r="E1356" s="423"/>
      <c r="F1356" s="424"/>
      <c r="G1356" s="425"/>
      <c r="H1356" s="651"/>
      <c r="I1356" s="420">
        <v>27.81</v>
      </c>
      <c r="J1356" s="420">
        <f t="shared" si="337"/>
        <v>27.81</v>
      </c>
      <c r="K1356" s="421">
        <f t="shared" si="347"/>
        <v>33.04</v>
      </c>
      <c r="L1356" s="647" t="s">
        <v>2065</v>
      </c>
      <c r="M1356" s="576"/>
      <c r="N1356" s="576">
        <f t="shared" si="339"/>
        <v>0</v>
      </c>
      <c r="O1356" s="577">
        <f t="shared" si="344"/>
        <v>0</v>
      </c>
      <c r="P1356" s="578">
        <f t="shared" si="345"/>
        <v>0</v>
      </c>
      <c r="Q1356" s="765"/>
      <c r="R1356" s="576">
        <f t="shared" si="341"/>
        <v>0</v>
      </c>
      <c r="S1356" s="576">
        <f t="shared" si="341"/>
        <v>0</v>
      </c>
      <c r="T1356" s="577">
        <f t="shared" si="342"/>
        <v>0</v>
      </c>
      <c r="U1356" s="578">
        <f t="shared" si="343"/>
        <v>0</v>
      </c>
      <c r="V1356" s="579"/>
      <c r="W1356" s="566"/>
      <c r="X1356" s="586" t="str">
        <f t="shared" si="346"/>
        <v/>
      </c>
      <c r="Y1356" s="586" t="str">
        <f t="shared" si="340"/>
        <v/>
      </c>
      <c r="Z1356" s="586" t="str">
        <f t="shared" si="338"/>
        <v/>
      </c>
    </row>
    <row r="1357" spans="1:26" ht="23.25" hidden="1" thickBot="1" x14ac:dyDescent="0.25">
      <c r="A1357" s="567">
        <v>101890</v>
      </c>
      <c r="B1357" s="644">
        <v>101890</v>
      </c>
      <c r="C1357" s="645" t="s">
        <v>670</v>
      </c>
      <c r="D1357" s="422" t="s">
        <v>1208</v>
      </c>
      <c r="E1357" s="423"/>
      <c r="F1357" s="424"/>
      <c r="G1357" s="425"/>
      <c r="H1357" s="651"/>
      <c r="I1357" s="420">
        <v>18.760000000000002</v>
      </c>
      <c r="J1357" s="420">
        <f t="shared" si="337"/>
        <v>18.760000000000002</v>
      </c>
      <c r="K1357" s="421">
        <f t="shared" si="347"/>
        <v>22.29</v>
      </c>
      <c r="L1357" s="647" t="s">
        <v>2065</v>
      </c>
      <c r="M1357" s="576"/>
      <c r="N1357" s="576">
        <f t="shared" si="339"/>
        <v>0</v>
      </c>
      <c r="O1357" s="577">
        <f t="shared" si="344"/>
        <v>0</v>
      </c>
      <c r="P1357" s="578">
        <f t="shared" si="345"/>
        <v>0</v>
      </c>
      <c r="Q1357" s="765"/>
      <c r="R1357" s="576">
        <f t="shared" si="341"/>
        <v>0</v>
      </c>
      <c r="S1357" s="576">
        <f t="shared" si="341"/>
        <v>0</v>
      </c>
      <c r="T1357" s="577">
        <f t="shared" si="342"/>
        <v>0</v>
      </c>
      <c r="U1357" s="578">
        <f t="shared" si="343"/>
        <v>0</v>
      </c>
      <c r="V1357" s="579"/>
      <c r="W1357" s="566"/>
      <c r="X1357" s="586" t="str">
        <f t="shared" si="346"/>
        <v/>
      </c>
      <c r="Y1357" s="586" t="str">
        <f t="shared" si="340"/>
        <v/>
      </c>
      <c r="Z1357" s="586" t="str">
        <f t="shared" si="338"/>
        <v/>
      </c>
    </row>
    <row r="1358" spans="1:26" ht="23.25" hidden="1" thickBot="1" x14ac:dyDescent="0.25">
      <c r="A1358" s="567">
        <v>101891</v>
      </c>
      <c r="B1358" s="644">
        <v>101891</v>
      </c>
      <c r="C1358" s="645" t="s">
        <v>670</v>
      </c>
      <c r="D1358" s="422" t="s">
        <v>1209</v>
      </c>
      <c r="E1358" s="423"/>
      <c r="F1358" s="424"/>
      <c r="G1358" s="425"/>
      <c r="H1358" s="651"/>
      <c r="I1358" s="420">
        <v>32.28</v>
      </c>
      <c r="J1358" s="420">
        <f t="shared" si="337"/>
        <v>32.28</v>
      </c>
      <c r="K1358" s="421">
        <f t="shared" si="347"/>
        <v>38.35</v>
      </c>
      <c r="L1358" s="647" t="s">
        <v>2065</v>
      </c>
      <c r="M1358" s="576"/>
      <c r="N1358" s="576">
        <f t="shared" si="339"/>
        <v>0</v>
      </c>
      <c r="O1358" s="577">
        <f t="shared" si="344"/>
        <v>0</v>
      </c>
      <c r="P1358" s="578">
        <f t="shared" si="345"/>
        <v>0</v>
      </c>
      <c r="Q1358" s="765"/>
      <c r="R1358" s="576">
        <f t="shared" si="341"/>
        <v>0</v>
      </c>
      <c r="S1358" s="576">
        <f t="shared" si="341"/>
        <v>0</v>
      </c>
      <c r="T1358" s="577">
        <f t="shared" si="342"/>
        <v>0</v>
      </c>
      <c r="U1358" s="578">
        <f t="shared" si="343"/>
        <v>0</v>
      </c>
      <c r="V1358" s="579"/>
      <c r="W1358" s="566"/>
      <c r="X1358" s="586" t="str">
        <f t="shared" si="346"/>
        <v/>
      </c>
      <c r="Y1358" s="586" t="str">
        <f t="shared" si="340"/>
        <v/>
      </c>
      <c r="Z1358" s="586" t="str">
        <f t="shared" si="338"/>
        <v/>
      </c>
    </row>
    <row r="1359" spans="1:26" ht="12" hidden="1" thickBot="1" x14ac:dyDescent="0.25">
      <c r="A1359" s="567">
        <v>93660</v>
      </c>
      <c r="B1359" s="644">
        <v>93660</v>
      </c>
      <c r="C1359" s="645" t="s">
        <v>670</v>
      </c>
      <c r="D1359" s="422" t="s">
        <v>1210</v>
      </c>
      <c r="E1359" s="423"/>
      <c r="F1359" s="424"/>
      <c r="G1359" s="425"/>
      <c r="H1359" s="651"/>
      <c r="I1359" s="420">
        <v>68.16</v>
      </c>
      <c r="J1359" s="420">
        <f t="shared" si="337"/>
        <v>68.16</v>
      </c>
      <c r="K1359" s="421">
        <f t="shared" si="347"/>
        <v>80.98</v>
      </c>
      <c r="L1359" s="647" t="s">
        <v>2065</v>
      </c>
      <c r="M1359" s="576"/>
      <c r="N1359" s="576">
        <f t="shared" si="339"/>
        <v>0</v>
      </c>
      <c r="O1359" s="577">
        <f t="shared" si="344"/>
        <v>0</v>
      </c>
      <c r="P1359" s="578">
        <f t="shared" si="345"/>
        <v>0</v>
      </c>
      <c r="Q1359" s="765"/>
      <c r="R1359" s="576">
        <f t="shared" si="341"/>
        <v>0</v>
      </c>
      <c r="S1359" s="576">
        <f t="shared" si="341"/>
        <v>0</v>
      </c>
      <c r="T1359" s="577">
        <f t="shared" si="342"/>
        <v>0</v>
      </c>
      <c r="U1359" s="578">
        <f t="shared" si="343"/>
        <v>0</v>
      </c>
      <c r="V1359" s="579"/>
      <c r="W1359" s="566"/>
      <c r="X1359" s="586" t="str">
        <f t="shared" si="346"/>
        <v/>
      </c>
      <c r="Y1359" s="586" t="str">
        <f t="shared" si="340"/>
        <v/>
      </c>
      <c r="Z1359" s="586" t="str">
        <f t="shared" si="338"/>
        <v/>
      </c>
    </row>
    <row r="1360" spans="1:26" ht="12" hidden="1" thickBot="1" x14ac:dyDescent="0.25">
      <c r="A1360" s="567">
        <v>93661</v>
      </c>
      <c r="B1360" s="644">
        <v>93661</v>
      </c>
      <c r="C1360" s="645" t="s">
        <v>670</v>
      </c>
      <c r="D1360" s="422" t="s">
        <v>1211</v>
      </c>
      <c r="E1360" s="423"/>
      <c r="F1360" s="424"/>
      <c r="G1360" s="425"/>
      <c r="H1360" s="651"/>
      <c r="I1360" s="420">
        <v>69.459999999999994</v>
      </c>
      <c r="J1360" s="420">
        <f t="shared" si="337"/>
        <v>69.459999999999994</v>
      </c>
      <c r="K1360" s="421">
        <f t="shared" si="347"/>
        <v>82.53</v>
      </c>
      <c r="L1360" s="647" t="s">
        <v>2065</v>
      </c>
      <c r="M1360" s="576"/>
      <c r="N1360" s="576">
        <f t="shared" si="339"/>
        <v>0</v>
      </c>
      <c r="O1360" s="577">
        <f t="shared" si="344"/>
        <v>0</v>
      </c>
      <c r="P1360" s="578">
        <f t="shared" si="345"/>
        <v>0</v>
      </c>
      <c r="Q1360" s="765"/>
      <c r="R1360" s="576">
        <f t="shared" si="341"/>
        <v>0</v>
      </c>
      <c r="S1360" s="576">
        <f t="shared" si="341"/>
        <v>0</v>
      </c>
      <c r="T1360" s="577">
        <f t="shared" si="342"/>
        <v>0</v>
      </c>
      <c r="U1360" s="578">
        <f t="shared" si="343"/>
        <v>0</v>
      </c>
      <c r="V1360" s="579"/>
      <c r="W1360" s="566"/>
      <c r="X1360" s="586" t="str">
        <f t="shared" si="346"/>
        <v/>
      </c>
      <c r="Y1360" s="586" t="str">
        <f t="shared" si="340"/>
        <v/>
      </c>
      <c r="Z1360" s="586" t="str">
        <f t="shared" si="338"/>
        <v/>
      </c>
    </row>
    <row r="1361" spans="1:26" ht="12" hidden="1" thickBot="1" x14ac:dyDescent="0.25">
      <c r="A1361" s="567">
        <v>93662</v>
      </c>
      <c r="B1361" s="644">
        <v>93662</v>
      </c>
      <c r="C1361" s="645" t="s">
        <v>670</v>
      </c>
      <c r="D1361" s="422" t="s">
        <v>1212</v>
      </c>
      <c r="E1361" s="423"/>
      <c r="F1361" s="424"/>
      <c r="G1361" s="425"/>
      <c r="H1361" s="651"/>
      <c r="I1361" s="420">
        <v>71.930000000000007</v>
      </c>
      <c r="J1361" s="420">
        <f t="shared" si="337"/>
        <v>71.930000000000007</v>
      </c>
      <c r="K1361" s="421">
        <f t="shared" si="347"/>
        <v>85.46</v>
      </c>
      <c r="L1361" s="647" t="s">
        <v>2065</v>
      </c>
      <c r="M1361" s="576"/>
      <c r="N1361" s="576">
        <f t="shared" si="339"/>
        <v>0</v>
      </c>
      <c r="O1361" s="577">
        <f t="shared" si="344"/>
        <v>0</v>
      </c>
      <c r="P1361" s="578">
        <f t="shared" si="345"/>
        <v>0</v>
      </c>
      <c r="Q1361" s="765"/>
      <c r="R1361" s="576">
        <f t="shared" si="341"/>
        <v>0</v>
      </c>
      <c r="S1361" s="576">
        <f t="shared" si="341"/>
        <v>0</v>
      </c>
      <c r="T1361" s="577">
        <f t="shared" si="342"/>
        <v>0</v>
      </c>
      <c r="U1361" s="578">
        <f t="shared" si="343"/>
        <v>0</v>
      </c>
      <c r="V1361" s="579"/>
      <c r="W1361" s="566"/>
      <c r="X1361" s="586" t="str">
        <f t="shared" si="346"/>
        <v/>
      </c>
      <c r="Y1361" s="586" t="str">
        <f t="shared" si="340"/>
        <v/>
      </c>
      <c r="Z1361" s="586" t="str">
        <f t="shared" si="338"/>
        <v/>
      </c>
    </row>
    <row r="1362" spans="1:26" ht="12" hidden="1" thickBot="1" x14ac:dyDescent="0.25">
      <c r="A1362" s="567">
        <v>93663</v>
      </c>
      <c r="B1362" s="644">
        <v>93663</v>
      </c>
      <c r="C1362" s="645" t="s">
        <v>670</v>
      </c>
      <c r="D1362" s="422" t="s">
        <v>1213</v>
      </c>
      <c r="E1362" s="423"/>
      <c r="F1362" s="424"/>
      <c r="G1362" s="425"/>
      <c r="H1362" s="651"/>
      <c r="I1362" s="420">
        <v>71.930000000000007</v>
      </c>
      <c r="J1362" s="420">
        <f t="shared" si="337"/>
        <v>71.930000000000007</v>
      </c>
      <c r="K1362" s="421">
        <f t="shared" si="347"/>
        <v>85.46</v>
      </c>
      <c r="L1362" s="647" t="s">
        <v>2065</v>
      </c>
      <c r="M1362" s="576"/>
      <c r="N1362" s="576">
        <f t="shared" si="339"/>
        <v>0</v>
      </c>
      <c r="O1362" s="577">
        <f t="shared" si="344"/>
        <v>0</v>
      </c>
      <c r="P1362" s="578">
        <f t="shared" si="345"/>
        <v>0</v>
      </c>
      <c r="Q1362" s="765"/>
      <c r="R1362" s="576">
        <f t="shared" si="341"/>
        <v>0</v>
      </c>
      <c r="S1362" s="576">
        <f t="shared" si="341"/>
        <v>0</v>
      </c>
      <c r="T1362" s="577">
        <f t="shared" si="342"/>
        <v>0</v>
      </c>
      <c r="U1362" s="578">
        <f t="shared" si="343"/>
        <v>0</v>
      </c>
      <c r="V1362" s="579"/>
      <c r="W1362" s="566"/>
      <c r="X1362" s="586" t="str">
        <f t="shared" si="346"/>
        <v/>
      </c>
      <c r="Y1362" s="586" t="str">
        <f t="shared" si="340"/>
        <v/>
      </c>
      <c r="Z1362" s="586" t="str">
        <f t="shared" si="338"/>
        <v/>
      </c>
    </row>
    <row r="1363" spans="1:26" ht="12" hidden="1" thickBot="1" x14ac:dyDescent="0.25">
      <c r="A1363" s="567">
        <v>93664</v>
      </c>
      <c r="B1363" s="644">
        <v>93664</v>
      </c>
      <c r="C1363" s="645" t="s">
        <v>670</v>
      </c>
      <c r="D1363" s="422" t="s">
        <v>1214</v>
      </c>
      <c r="E1363" s="423"/>
      <c r="F1363" s="424"/>
      <c r="G1363" s="425"/>
      <c r="H1363" s="651"/>
      <c r="I1363" s="420">
        <v>74.94</v>
      </c>
      <c r="J1363" s="420">
        <f t="shared" ref="J1363:J1426" si="348">IF(ISBLANK(I1363),"",SUM(H1363:I1363))</f>
        <v>74.94</v>
      </c>
      <c r="K1363" s="421">
        <f t="shared" si="347"/>
        <v>89.04</v>
      </c>
      <c r="L1363" s="647" t="s">
        <v>2065</v>
      </c>
      <c r="M1363" s="576"/>
      <c r="N1363" s="576">
        <f t="shared" si="339"/>
        <v>0</v>
      </c>
      <c r="O1363" s="577">
        <f t="shared" si="344"/>
        <v>0</v>
      </c>
      <c r="P1363" s="578">
        <f t="shared" si="345"/>
        <v>0</v>
      </c>
      <c r="Q1363" s="765"/>
      <c r="R1363" s="576">
        <f t="shared" si="341"/>
        <v>0</v>
      </c>
      <c r="S1363" s="576">
        <f t="shared" si="341"/>
        <v>0</v>
      </c>
      <c r="T1363" s="577">
        <f t="shared" si="342"/>
        <v>0</v>
      </c>
      <c r="U1363" s="578">
        <f t="shared" si="343"/>
        <v>0</v>
      </c>
      <c r="V1363" s="579"/>
      <c r="W1363" s="566"/>
      <c r="X1363" s="586" t="str">
        <f t="shared" si="346"/>
        <v/>
      </c>
      <c r="Y1363" s="586" t="str">
        <f t="shared" si="340"/>
        <v/>
      </c>
      <c r="Z1363" s="586" t="str">
        <f t="shared" ref="Z1363:Z1426" si="349">IF(W1363="X","x",IF(U1363&gt;0,"x",""))</f>
        <v/>
      </c>
    </row>
    <row r="1364" spans="1:26" ht="12" hidden="1" thickBot="1" x14ac:dyDescent="0.25">
      <c r="A1364" s="567">
        <v>93665</v>
      </c>
      <c r="B1364" s="644">
        <v>93665</v>
      </c>
      <c r="C1364" s="645" t="s">
        <v>670</v>
      </c>
      <c r="D1364" s="422" t="s">
        <v>1215</v>
      </c>
      <c r="E1364" s="423"/>
      <c r="F1364" s="424"/>
      <c r="G1364" s="425"/>
      <c r="H1364" s="651"/>
      <c r="I1364" s="420">
        <v>78.790000000000006</v>
      </c>
      <c r="J1364" s="420">
        <f t="shared" si="348"/>
        <v>78.790000000000006</v>
      </c>
      <c r="K1364" s="421">
        <f t="shared" si="347"/>
        <v>93.61</v>
      </c>
      <c r="L1364" s="647" t="s">
        <v>2065</v>
      </c>
      <c r="M1364" s="576"/>
      <c r="N1364" s="576">
        <f t="shared" ref="N1364:N1427" si="350">IF(M1364=0,0,K1364)</f>
        <v>0</v>
      </c>
      <c r="O1364" s="577">
        <f t="shared" si="344"/>
        <v>0</v>
      </c>
      <c r="P1364" s="578">
        <f t="shared" si="345"/>
        <v>0</v>
      </c>
      <c r="Q1364" s="765"/>
      <c r="R1364" s="576">
        <f t="shared" si="341"/>
        <v>0</v>
      </c>
      <c r="S1364" s="576">
        <f t="shared" si="341"/>
        <v>0</v>
      </c>
      <c r="T1364" s="577">
        <f t="shared" si="342"/>
        <v>0</v>
      </c>
      <c r="U1364" s="578">
        <f t="shared" si="343"/>
        <v>0</v>
      </c>
      <c r="V1364" s="579"/>
      <c r="W1364" s="566"/>
      <c r="X1364" s="586" t="str">
        <f t="shared" si="346"/>
        <v/>
      </c>
      <c r="Y1364" s="586" t="str">
        <f t="shared" si="340"/>
        <v/>
      </c>
      <c r="Z1364" s="586" t="str">
        <f t="shared" si="349"/>
        <v/>
      </c>
    </row>
    <row r="1365" spans="1:26" ht="12" hidden="1" thickBot="1" x14ac:dyDescent="0.25">
      <c r="A1365" s="567">
        <v>93666</v>
      </c>
      <c r="B1365" s="644">
        <v>93666</v>
      </c>
      <c r="C1365" s="645" t="s">
        <v>670</v>
      </c>
      <c r="D1365" s="422" t="s">
        <v>1216</v>
      </c>
      <c r="E1365" s="423"/>
      <c r="F1365" s="424"/>
      <c r="G1365" s="425"/>
      <c r="H1365" s="651"/>
      <c r="I1365" s="420">
        <v>84.97</v>
      </c>
      <c r="J1365" s="420">
        <f t="shared" si="348"/>
        <v>84.97</v>
      </c>
      <c r="K1365" s="421">
        <f t="shared" si="347"/>
        <v>100.95</v>
      </c>
      <c r="L1365" s="647" t="s">
        <v>2065</v>
      </c>
      <c r="M1365" s="576"/>
      <c r="N1365" s="576">
        <f t="shared" si="350"/>
        <v>0</v>
      </c>
      <c r="O1365" s="577">
        <f t="shared" si="344"/>
        <v>0</v>
      </c>
      <c r="P1365" s="578">
        <f t="shared" si="345"/>
        <v>0</v>
      </c>
      <c r="Q1365" s="765"/>
      <c r="R1365" s="576">
        <f t="shared" si="341"/>
        <v>0</v>
      </c>
      <c r="S1365" s="576">
        <f t="shared" si="341"/>
        <v>0</v>
      </c>
      <c r="T1365" s="577">
        <f t="shared" si="342"/>
        <v>0</v>
      </c>
      <c r="U1365" s="578">
        <f t="shared" si="343"/>
        <v>0</v>
      </c>
      <c r="V1365" s="579"/>
      <c r="W1365" s="566"/>
      <c r="X1365" s="586" t="str">
        <f t="shared" si="346"/>
        <v/>
      </c>
      <c r="Y1365" s="586" t="str">
        <f t="shared" si="340"/>
        <v/>
      </c>
      <c r="Z1365" s="586" t="str">
        <f t="shared" si="349"/>
        <v/>
      </c>
    </row>
    <row r="1366" spans="1:26" ht="23.25" hidden="1" thickBot="1" x14ac:dyDescent="0.25">
      <c r="A1366" s="567">
        <v>101892</v>
      </c>
      <c r="B1366" s="644">
        <v>101892</v>
      </c>
      <c r="C1366" s="645" t="s">
        <v>670</v>
      </c>
      <c r="D1366" s="422" t="s">
        <v>1217</v>
      </c>
      <c r="E1366" s="423"/>
      <c r="F1366" s="424"/>
      <c r="G1366" s="425"/>
      <c r="H1366" s="651"/>
      <c r="I1366" s="420">
        <v>85.48</v>
      </c>
      <c r="J1366" s="420">
        <f t="shared" si="348"/>
        <v>85.48</v>
      </c>
      <c r="K1366" s="421">
        <f t="shared" si="347"/>
        <v>101.56</v>
      </c>
      <c r="L1366" s="647" t="s">
        <v>2065</v>
      </c>
      <c r="M1366" s="576"/>
      <c r="N1366" s="576">
        <f t="shared" si="350"/>
        <v>0</v>
      </c>
      <c r="O1366" s="577">
        <f t="shared" si="344"/>
        <v>0</v>
      </c>
      <c r="P1366" s="578">
        <f t="shared" si="345"/>
        <v>0</v>
      </c>
      <c r="Q1366" s="765"/>
      <c r="R1366" s="576">
        <f t="shared" si="341"/>
        <v>0</v>
      </c>
      <c r="S1366" s="576">
        <f t="shared" si="341"/>
        <v>0</v>
      </c>
      <c r="T1366" s="577">
        <f t="shared" si="342"/>
        <v>0</v>
      </c>
      <c r="U1366" s="578">
        <f t="shared" si="343"/>
        <v>0</v>
      </c>
      <c r="V1366" s="579"/>
      <c r="W1366" s="566"/>
      <c r="X1366" s="586" t="str">
        <f t="shared" si="346"/>
        <v/>
      </c>
      <c r="Y1366" s="586" t="str">
        <f t="shared" si="340"/>
        <v/>
      </c>
      <c r="Z1366" s="586" t="str">
        <f t="shared" si="349"/>
        <v/>
      </c>
    </row>
    <row r="1367" spans="1:26" ht="12" hidden="1" thickBot="1" x14ac:dyDescent="0.25">
      <c r="A1367" s="567">
        <v>93667</v>
      </c>
      <c r="B1367" s="644">
        <v>93667</v>
      </c>
      <c r="C1367" s="645" t="s">
        <v>670</v>
      </c>
      <c r="D1367" s="422" t="s">
        <v>1218</v>
      </c>
      <c r="E1367" s="423"/>
      <c r="F1367" s="424"/>
      <c r="G1367" s="425"/>
      <c r="H1367" s="651"/>
      <c r="I1367" s="420">
        <v>85</v>
      </c>
      <c r="J1367" s="420">
        <f t="shared" si="348"/>
        <v>85</v>
      </c>
      <c r="K1367" s="421">
        <f t="shared" si="347"/>
        <v>100.99</v>
      </c>
      <c r="L1367" s="647" t="s">
        <v>2065</v>
      </c>
      <c r="M1367" s="576"/>
      <c r="N1367" s="576">
        <f t="shared" si="350"/>
        <v>0</v>
      </c>
      <c r="O1367" s="577">
        <f t="shared" si="344"/>
        <v>0</v>
      </c>
      <c r="P1367" s="578">
        <f t="shared" si="345"/>
        <v>0</v>
      </c>
      <c r="Q1367" s="765"/>
      <c r="R1367" s="576">
        <f t="shared" si="341"/>
        <v>0</v>
      </c>
      <c r="S1367" s="576">
        <f t="shared" si="341"/>
        <v>0</v>
      </c>
      <c r="T1367" s="577">
        <f t="shared" si="342"/>
        <v>0</v>
      </c>
      <c r="U1367" s="578">
        <f t="shared" si="343"/>
        <v>0</v>
      </c>
      <c r="V1367" s="579"/>
      <c r="W1367" s="566"/>
      <c r="X1367" s="586" t="str">
        <f t="shared" si="346"/>
        <v/>
      </c>
      <c r="Y1367" s="586" t="str">
        <f t="shared" si="340"/>
        <v/>
      </c>
      <c r="Z1367" s="586" t="str">
        <f t="shared" si="349"/>
        <v/>
      </c>
    </row>
    <row r="1368" spans="1:26" ht="12" hidden="1" thickBot="1" x14ac:dyDescent="0.25">
      <c r="A1368" s="567">
        <v>93668</v>
      </c>
      <c r="B1368" s="644">
        <v>93668</v>
      </c>
      <c r="C1368" s="645" t="s">
        <v>670</v>
      </c>
      <c r="D1368" s="422" t="s">
        <v>1219</v>
      </c>
      <c r="E1368" s="423"/>
      <c r="F1368" s="424"/>
      <c r="G1368" s="425"/>
      <c r="H1368" s="651"/>
      <c r="I1368" s="420">
        <v>86.94</v>
      </c>
      <c r="J1368" s="420">
        <f t="shared" si="348"/>
        <v>86.94</v>
      </c>
      <c r="K1368" s="421">
        <f t="shared" si="347"/>
        <v>103.29</v>
      </c>
      <c r="L1368" s="647" t="s">
        <v>2065</v>
      </c>
      <c r="M1368" s="576"/>
      <c r="N1368" s="576">
        <f t="shared" si="350"/>
        <v>0</v>
      </c>
      <c r="O1368" s="577">
        <f t="shared" si="344"/>
        <v>0</v>
      </c>
      <c r="P1368" s="578">
        <f t="shared" si="345"/>
        <v>0</v>
      </c>
      <c r="Q1368" s="765"/>
      <c r="R1368" s="576">
        <f t="shared" si="341"/>
        <v>0</v>
      </c>
      <c r="S1368" s="576">
        <f t="shared" si="341"/>
        <v>0</v>
      </c>
      <c r="T1368" s="577">
        <f t="shared" si="342"/>
        <v>0</v>
      </c>
      <c r="U1368" s="578">
        <f t="shared" si="343"/>
        <v>0</v>
      </c>
      <c r="V1368" s="579"/>
      <c r="W1368" s="566"/>
      <c r="X1368" s="586" t="str">
        <f t="shared" si="346"/>
        <v/>
      </c>
      <c r="Y1368" s="586" t="str">
        <f t="shared" si="340"/>
        <v/>
      </c>
      <c r="Z1368" s="586" t="str">
        <f t="shared" si="349"/>
        <v/>
      </c>
    </row>
    <row r="1369" spans="1:26" ht="12" hidden="1" thickBot="1" x14ac:dyDescent="0.25">
      <c r="A1369" s="567">
        <v>93669</v>
      </c>
      <c r="B1369" s="644">
        <v>93669</v>
      </c>
      <c r="C1369" s="645" t="s">
        <v>670</v>
      </c>
      <c r="D1369" s="422" t="s">
        <v>1220</v>
      </c>
      <c r="E1369" s="423"/>
      <c r="F1369" s="424"/>
      <c r="G1369" s="425"/>
      <c r="H1369" s="651"/>
      <c r="I1369" s="420">
        <v>90.65</v>
      </c>
      <c r="J1369" s="420">
        <f t="shared" si="348"/>
        <v>90.65</v>
      </c>
      <c r="K1369" s="421">
        <f t="shared" si="347"/>
        <v>107.7</v>
      </c>
      <c r="L1369" s="647" t="s">
        <v>2065</v>
      </c>
      <c r="M1369" s="576"/>
      <c r="N1369" s="576">
        <f t="shared" si="350"/>
        <v>0</v>
      </c>
      <c r="O1369" s="577">
        <f t="shared" si="344"/>
        <v>0</v>
      </c>
      <c r="P1369" s="578">
        <f t="shared" si="345"/>
        <v>0</v>
      </c>
      <c r="Q1369" s="765"/>
      <c r="R1369" s="576">
        <f t="shared" si="341"/>
        <v>0</v>
      </c>
      <c r="S1369" s="576">
        <f t="shared" si="341"/>
        <v>0</v>
      </c>
      <c r="T1369" s="577">
        <f t="shared" si="342"/>
        <v>0</v>
      </c>
      <c r="U1369" s="578">
        <f t="shared" si="343"/>
        <v>0</v>
      </c>
      <c r="V1369" s="579"/>
      <c r="W1369" s="566"/>
      <c r="X1369" s="586" t="str">
        <f t="shared" si="346"/>
        <v/>
      </c>
      <c r="Y1369" s="586" t="str">
        <f t="shared" si="340"/>
        <v/>
      </c>
      <c r="Z1369" s="586" t="str">
        <f t="shared" si="349"/>
        <v/>
      </c>
    </row>
    <row r="1370" spans="1:26" ht="12" hidden="1" thickBot="1" x14ac:dyDescent="0.25">
      <c r="A1370" s="567">
        <v>93670</v>
      </c>
      <c r="B1370" s="644">
        <v>93670</v>
      </c>
      <c r="C1370" s="645" t="s">
        <v>670</v>
      </c>
      <c r="D1370" s="422" t="s">
        <v>1221</v>
      </c>
      <c r="E1370" s="423"/>
      <c r="F1370" s="424"/>
      <c r="G1370" s="425"/>
      <c r="H1370" s="651"/>
      <c r="I1370" s="420">
        <v>90.65</v>
      </c>
      <c r="J1370" s="420">
        <f t="shared" si="348"/>
        <v>90.65</v>
      </c>
      <c r="K1370" s="421">
        <f t="shared" si="347"/>
        <v>107.7</v>
      </c>
      <c r="L1370" s="647" t="s">
        <v>2065</v>
      </c>
      <c r="M1370" s="576"/>
      <c r="N1370" s="576">
        <f t="shared" si="350"/>
        <v>0</v>
      </c>
      <c r="O1370" s="577">
        <f t="shared" si="344"/>
        <v>0</v>
      </c>
      <c r="P1370" s="578">
        <f t="shared" si="345"/>
        <v>0</v>
      </c>
      <c r="Q1370" s="765"/>
      <c r="R1370" s="576">
        <f t="shared" si="341"/>
        <v>0</v>
      </c>
      <c r="S1370" s="576">
        <f t="shared" si="341"/>
        <v>0</v>
      </c>
      <c r="T1370" s="577">
        <f t="shared" si="342"/>
        <v>0</v>
      </c>
      <c r="U1370" s="578">
        <f t="shared" si="343"/>
        <v>0</v>
      </c>
      <c r="V1370" s="579"/>
      <c r="W1370" s="566"/>
      <c r="X1370" s="586" t="str">
        <f t="shared" si="346"/>
        <v/>
      </c>
      <c r="Y1370" s="586" t="str">
        <f t="shared" si="340"/>
        <v/>
      </c>
      <c r="Z1370" s="586" t="str">
        <f t="shared" si="349"/>
        <v/>
      </c>
    </row>
    <row r="1371" spans="1:26" ht="12" hidden="1" thickBot="1" x14ac:dyDescent="0.25">
      <c r="A1371" s="567">
        <v>93671</v>
      </c>
      <c r="B1371" s="644">
        <v>93671</v>
      </c>
      <c r="C1371" s="645" t="s">
        <v>670</v>
      </c>
      <c r="D1371" s="422" t="s">
        <v>1222</v>
      </c>
      <c r="E1371" s="423"/>
      <c r="F1371" s="424"/>
      <c r="G1371" s="425"/>
      <c r="H1371" s="651"/>
      <c r="I1371" s="420">
        <v>95.17</v>
      </c>
      <c r="J1371" s="420">
        <f t="shared" si="348"/>
        <v>95.17</v>
      </c>
      <c r="K1371" s="421">
        <f t="shared" si="347"/>
        <v>113.07</v>
      </c>
      <c r="L1371" s="647" t="s">
        <v>2065</v>
      </c>
      <c r="M1371" s="576"/>
      <c r="N1371" s="576">
        <f t="shared" si="350"/>
        <v>0</v>
      </c>
      <c r="O1371" s="577">
        <f t="shared" si="344"/>
        <v>0</v>
      </c>
      <c r="P1371" s="578">
        <f t="shared" si="345"/>
        <v>0</v>
      </c>
      <c r="Q1371" s="765"/>
      <c r="R1371" s="576">
        <f t="shared" si="341"/>
        <v>0</v>
      </c>
      <c r="S1371" s="576">
        <f t="shared" si="341"/>
        <v>0</v>
      </c>
      <c r="T1371" s="577">
        <f t="shared" si="342"/>
        <v>0</v>
      </c>
      <c r="U1371" s="578">
        <f t="shared" si="343"/>
        <v>0</v>
      </c>
      <c r="V1371" s="579"/>
      <c r="W1371" s="566"/>
      <c r="X1371" s="586" t="str">
        <f t="shared" si="346"/>
        <v/>
      </c>
      <c r="Y1371" s="586" t="str">
        <f t="shared" si="340"/>
        <v/>
      </c>
      <c r="Z1371" s="586" t="str">
        <f t="shared" si="349"/>
        <v/>
      </c>
    </row>
    <row r="1372" spans="1:26" ht="12" hidden="1" thickBot="1" x14ac:dyDescent="0.25">
      <c r="A1372" s="567">
        <v>93672</v>
      </c>
      <c r="B1372" s="644">
        <v>93672</v>
      </c>
      <c r="C1372" s="645" t="s">
        <v>670</v>
      </c>
      <c r="D1372" s="422" t="s">
        <v>1223</v>
      </c>
      <c r="E1372" s="423"/>
      <c r="F1372" s="424"/>
      <c r="G1372" s="425"/>
      <c r="H1372" s="651"/>
      <c r="I1372" s="420">
        <v>102.4</v>
      </c>
      <c r="J1372" s="420">
        <f t="shared" si="348"/>
        <v>102.4</v>
      </c>
      <c r="K1372" s="421">
        <f t="shared" si="347"/>
        <v>121.66</v>
      </c>
      <c r="L1372" s="647" t="s">
        <v>2065</v>
      </c>
      <c r="M1372" s="576"/>
      <c r="N1372" s="576">
        <f t="shared" si="350"/>
        <v>0</v>
      </c>
      <c r="O1372" s="577">
        <f t="shared" si="344"/>
        <v>0</v>
      </c>
      <c r="P1372" s="578">
        <f t="shared" si="345"/>
        <v>0</v>
      </c>
      <c r="Q1372" s="765"/>
      <c r="R1372" s="576">
        <f t="shared" si="341"/>
        <v>0</v>
      </c>
      <c r="S1372" s="576">
        <f t="shared" si="341"/>
        <v>0</v>
      </c>
      <c r="T1372" s="577">
        <f t="shared" si="342"/>
        <v>0</v>
      </c>
      <c r="U1372" s="578">
        <f t="shared" si="343"/>
        <v>0</v>
      </c>
      <c r="V1372" s="579"/>
      <c r="W1372" s="566"/>
      <c r="X1372" s="586" t="str">
        <f t="shared" si="346"/>
        <v/>
      </c>
      <c r="Y1372" s="586" t="str">
        <f t="shared" si="340"/>
        <v/>
      </c>
      <c r="Z1372" s="586" t="str">
        <f t="shared" si="349"/>
        <v/>
      </c>
    </row>
    <row r="1373" spans="1:26" ht="12" hidden="1" thickBot="1" x14ac:dyDescent="0.25">
      <c r="A1373" s="567">
        <v>93673</v>
      </c>
      <c r="B1373" s="644">
        <v>93673</v>
      </c>
      <c r="C1373" s="645" t="s">
        <v>670</v>
      </c>
      <c r="D1373" s="422" t="s">
        <v>1224</v>
      </c>
      <c r="E1373" s="423"/>
      <c r="F1373" s="424"/>
      <c r="G1373" s="425"/>
      <c r="H1373" s="651"/>
      <c r="I1373" s="420">
        <v>111.67</v>
      </c>
      <c r="J1373" s="420">
        <f t="shared" si="348"/>
        <v>111.67</v>
      </c>
      <c r="K1373" s="421">
        <f t="shared" si="347"/>
        <v>132.68</v>
      </c>
      <c r="L1373" s="647" t="s">
        <v>2065</v>
      </c>
      <c r="M1373" s="576"/>
      <c r="N1373" s="576">
        <f t="shared" si="350"/>
        <v>0</v>
      </c>
      <c r="O1373" s="577">
        <f t="shared" si="344"/>
        <v>0</v>
      </c>
      <c r="P1373" s="578">
        <f t="shared" si="345"/>
        <v>0</v>
      </c>
      <c r="Q1373" s="765"/>
      <c r="R1373" s="576">
        <f t="shared" si="341"/>
        <v>0</v>
      </c>
      <c r="S1373" s="576">
        <f t="shared" si="341"/>
        <v>0</v>
      </c>
      <c r="T1373" s="577">
        <f t="shared" si="342"/>
        <v>0</v>
      </c>
      <c r="U1373" s="578">
        <f t="shared" si="343"/>
        <v>0</v>
      </c>
      <c r="V1373" s="579"/>
      <c r="W1373" s="566"/>
      <c r="X1373" s="586" t="str">
        <f t="shared" si="346"/>
        <v/>
      </c>
      <c r="Y1373" s="586" t="str">
        <f t="shared" si="340"/>
        <v/>
      </c>
      <c r="Z1373" s="586" t="str">
        <f t="shared" si="349"/>
        <v/>
      </c>
    </row>
    <row r="1374" spans="1:26" ht="23.25" hidden="1" thickBot="1" x14ac:dyDescent="0.25">
      <c r="A1374" s="567">
        <v>101893</v>
      </c>
      <c r="B1374" s="644">
        <v>101893</v>
      </c>
      <c r="C1374" s="645" t="s">
        <v>670</v>
      </c>
      <c r="D1374" s="422" t="s">
        <v>1225</v>
      </c>
      <c r="E1374" s="423"/>
      <c r="F1374" s="424"/>
      <c r="G1374" s="425"/>
      <c r="H1374" s="651"/>
      <c r="I1374" s="420">
        <v>108.95</v>
      </c>
      <c r="J1374" s="420">
        <f t="shared" si="348"/>
        <v>108.95</v>
      </c>
      <c r="K1374" s="421">
        <f t="shared" si="347"/>
        <v>129.44</v>
      </c>
      <c r="L1374" s="647" t="s">
        <v>2065</v>
      </c>
      <c r="M1374" s="576"/>
      <c r="N1374" s="576">
        <f t="shared" si="350"/>
        <v>0</v>
      </c>
      <c r="O1374" s="577">
        <f t="shared" si="344"/>
        <v>0</v>
      </c>
      <c r="P1374" s="578">
        <f t="shared" si="345"/>
        <v>0</v>
      </c>
      <c r="Q1374" s="765"/>
      <c r="R1374" s="576">
        <f t="shared" si="341"/>
        <v>0</v>
      </c>
      <c r="S1374" s="576">
        <f t="shared" si="341"/>
        <v>0</v>
      </c>
      <c r="T1374" s="577">
        <f t="shared" si="342"/>
        <v>0</v>
      </c>
      <c r="U1374" s="578">
        <f t="shared" si="343"/>
        <v>0</v>
      </c>
      <c r="V1374" s="579"/>
      <c r="W1374" s="566"/>
      <c r="X1374" s="586" t="str">
        <f t="shared" si="346"/>
        <v/>
      </c>
      <c r="Y1374" s="586" t="str">
        <f t="shared" si="340"/>
        <v/>
      </c>
      <c r="Z1374" s="586" t="str">
        <f t="shared" si="349"/>
        <v/>
      </c>
    </row>
    <row r="1375" spans="1:26" ht="23.25" hidden="1" thickBot="1" x14ac:dyDescent="0.25">
      <c r="A1375" s="567">
        <v>101894</v>
      </c>
      <c r="B1375" s="644">
        <v>101894</v>
      </c>
      <c r="C1375" s="645" t="s">
        <v>670</v>
      </c>
      <c r="D1375" s="422" t="s">
        <v>1226</v>
      </c>
      <c r="E1375" s="423"/>
      <c r="F1375" s="424"/>
      <c r="G1375" s="425"/>
      <c r="H1375" s="651"/>
      <c r="I1375" s="420">
        <v>182.13</v>
      </c>
      <c r="J1375" s="420">
        <f t="shared" si="348"/>
        <v>182.13</v>
      </c>
      <c r="K1375" s="421">
        <f t="shared" si="347"/>
        <v>216.39</v>
      </c>
      <c r="L1375" s="647" t="s">
        <v>2065</v>
      </c>
      <c r="M1375" s="576"/>
      <c r="N1375" s="576">
        <f t="shared" si="350"/>
        <v>0</v>
      </c>
      <c r="O1375" s="577">
        <f t="shared" si="344"/>
        <v>0</v>
      </c>
      <c r="P1375" s="578">
        <f t="shared" si="345"/>
        <v>0</v>
      </c>
      <c r="Q1375" s="765"/>
      <c r="R1375" s="576">
        <f t="shared" si="341"/>
        <v>0</v>
      </c>
      <c r="S1375" s="576">
        <f t="shared" si="341"/>
        <v>0</v>
      </c>
      <c r="T1375" s="577">
        <f t="shared" si="342"/>
        <v>0</v>
      </c>
      <c r="U1375" s="578">
        <f t="shared" si="343"/>
        <v>0</v>
      </c>
      <c r="V1375" s="579"/>
      <c r="W1375" s="566"/>
      <c r="X1375" s="586" t="str">
        <f t="shared" si="346"/>
        <v/>
      </c>
      <c r="Y1375" s="586" t="str">
        <f t="shared" si="340"/>
        <v/>
      </c>
      <c r="Z1375" s="586" t="str">
        <f t="shared" si="349"/>
        <v/>
      </c>
    </row>
    <row r="1376" spans="1:26" ht="23.25" hidden="1" thickBot="1" x14ac:dyDescent="0.25">
      <c r="A1376" s="567">
        <v>101663</v>
      </c>
      <c r="B1376" s="644">
        <v>101663</v>
      </c>
      <c r="C1376" s="645" t="s">
        <v>670</v>
      </c>
      <c r="D1376" s="422" t="s">
        <v>1227</v>
      </c>
      <c r="E1376" s="423"/>
      <c r="F1376" s="424"/>
      <c r="G1376" s="425"/>
      <c r="H1376" s="651"/>
      <c r="I1376" s="420">
        <v>26.57</v>
      </c>
      <c r="J1376" s="420">
        <f t="shared" si="348"/>
        <v>26.57</v>
      </c>
      <c r="K1376" s="421">
        <f t="shared" si="347"/>
        <v>31.57</v>
      </c>
      <c r="L1376" s="647" t="s">
        <v>2065</v>
      </c>
      <c r="M1376" s="576"/>
      <c r="N1376" s="576">
        <f t="shared" si="350"/>
        <v>0</v>
      </c>
      <c r="O1376" s="577">
        <f t="shared" si="344"/>
        <v>0</v>
      </c>
      <c r="P1376" s="578">
        <f t="shared" si="345"/>
        <v>0</v>
      </c>
      <c r="Q1376" s="765"/>
      <c r="R1376" s="576">
        <f t="shared" si="341"/>
        <v>0</v>
      </c>
      <c r="S1376" s="576">
        <f t="shared" si="341"/>
        <v>0</v>
      </c>
      <c r="T1376" s="577">
        <f t="shared" si="342"/>
        <v>0</v>
      </c>
      <c r="U1376" s="578">
        <f t="shared" si="343"/>
        <v>0</v>
      </c>
      <c r="V1376" s="579"/>
      <c r="W1376" s="566"/>
      <c r="X1376" s="586" t="str">
        <f t="shared" si="346"/>
        <v/>
      </c>
      <c r="Y1376" s="586" t="str">
        <f t="shared" si="340"/>
        <v/>
      </c>
      <c r="Z1376" s="586" t="str">
        <f t="shared" si="349"/>
        <v/>
      </c>
    </row>
    <row r="1377" spans="1:26" ht="23.25" hidden="1" thickBot="1" x14ac:dyDescent="0.25">
      <c r="A1377" s="567">
        <v>101664</v>
      </c>
      <c r="B1377" s="644">
        <v>101664</v>
      </c>
      <c r="C1377" s="645" t="s">
        <v>670</v>
      </c>
      <c r="D1377" s="422" t="s">
        <v>1228</v>
      </c>
      <c r="E1377" s="423"/>
      <c r="F1377" s="424"/>
      <c r="G1377" s="425"/>
      <c r="H1377" s="651"/>
      <c r="I1377" s="420">
        <v>27.65</v>
      </c>
      <c r="J1377" s="420">
        <f t="shared" si="348"/>
        <v>27.65</v>
      </c>
      <c r="K1377" s="421">
        <f t="shared" si="347"/>
        <v>32.85</v>
      </c>
      <c r="L1377" s="647" t="s">
        <v>2065</v>
      </c>
      <c r="M1377" s="576"/>
      <c r="N1377" s="576">
        <f t="shared" si="350"/>
        <v>0</v>
      </c>
      <c r="O1377" s="577">
        <f t="shared" si="344"/>
        <v>0</v>
      </c>
      <c r="P1377" s="578">
        <f t="shared" si="345"/>
        <v>0</v>
      </c>
      <c r="Q1377" s="765"/>
      <c r="R1377" s="576">
        <f t="shared" si="341"/>
        <v>0</v>
      </c>
      <c r="S1377" s="576">
        <f t="shared" si="341"/>
        <v>0</v>
      </c>
      <c r="T1377" s="577">
        <f t="shared" si="342"/>
        <v>0</v>
      </c>
      <c r="U1377" s="578">
        <f t="shared" si="343"/>
        <v>0</v>
      </c>
      <c r="V1377" s="579"/>
      <c r="W1377" s="566"/>
      <c r="X1377" s="586" t="str">
        <f t="shared" si="346"/>
        <v/>
      </c>
      <c r="Y1377" s="586" t="str">
        <f t="shared" si="340"/>
        <v/>
      </c>
      <c r="Z1377" s="586" t="str">
        <f t="shared" si="349"/>
        <v/>
      </c>
    </row>
    <row r="1378" spans="1:26" ht="23.25" hidden="1" thickBot="1" x14ac:dyDescent="0.25">
      <c r="A1378" s="567">
        <v>101665</v>
      </c>
      <c r="B1378" s="644">
        <v>101665</v>
      </c>
      <c r="C1378" s="645" t="s">
        <v>670</v>
      </c>
      <c r="D1378" s="422" t="s">
        <v>1229</v>
      </c>
      <c r="E1378" s="423"/>
      <c r="F1378" s="424"/>
      <c r="G1378" s="425"/>
      <c r="H1378" s="651"/>
      <c r="I1378" s="420">
        <v>32.299999999999997</v>
      </c>
      <c r="J1378" s="420">
        <f t="shared" si="348"/>
        <v>32.299999999999997</v>
      </c>
      <c r="K1378" s="421">
        <f t="shared" si="347"/>
        <v>38.380000000000003</v>
      </c>
      <c r="L1378" s="647" t="s">
        <v>2065</v>
      </c>
      <c r="M1378" s="576"/>
      <c r="N1378" s="576">
        <f t="shared" si="350"/>
        <v>0</v>
      </c>
      <c r="O1378" s="577">
        <f t="shared" si="344"/>
        <v>0</v>
      </c>
      <c r="P1378" s="578">
        <f t="shared" si="345"/>
        <v>0</v>
      </c>
      <c r="Q1378" s="765"/>
      <c r="R1378" s="576">
        <f t="shared" si="341"/>
        <v>0</v>
      </c>
      <c r="S1378" s="576">
        <f t="shared" si="341"/>
        <v>0</v>
      </c>
      <c r="T1378" s="577">
        <f t="shared" si="342"/>
        <v>0</v>
      </c>
      <c r="U1378" s="578">
        <f t="shared" si="343"/>
        <v>0</v>
      </c>
      <c r="V1378" s="579"/>
      <c r="W1378" s="566"/>
      <c r="X1378" s="586" t="str">
        <f t="shared" si="346"/>
        <v/>
      </c>
      <c r="Y1378" s="586" t="str">
        <f t="shared" si="340"/>
        <v/>
      </c>
      <c r="Z1378" s="586" t="str">
        <f t="shared" si="349"/>
        <v/>
      </c>
    </row>
    <row r="1379" spans="1:26" ht="23.25" hidden="1" thickBot="1" x14ac:dyDescent="0.25">
      <c r="A1379" s="567">
        <v>101895</v>
      </c>
      <c r="B1379" s="644">
        <v>101895</v>
      </c>
      <c r="C1379" s="645" t="s">
        <v>670</v>
      </c>
      <c r="D1379" s="422" t="s">
        <v>1230</v>
      </c>
      <c r="E1379" s="423"/>
      <c r="F1379" s="424"/>
      <c r="G1379" s="425"/>
      <c r="H1379" s="651"/>
      <c r="I1379" s="420">
        <v>502.46</v>
      </c>
      <c r="J1379" s="420">
        <f t="shared" si="348"/>
        <v>502.46</v>
      </c>
      <c r="K1379" s="421">
        <f t="shared" si="347"/>
        <v>596.97</v>
      </c>
      <c r="L1379" s="647" t="s">
        <v>2065</v>
      </c>
      <c r="M1379" s="576"/>
      <c r="N1379" s="576">
        <f t="shared" si="350"/>
        <v>0</v>
      </c>
      <c r="O1379" s="577">
        <f t="shared" si="344"/>
        <v>0</v>
      </c>
      <c r="P1379" s="578">
        <f t="shared" si="345"/>
        <v>0</v>
      </c>
      <c r="Q1379" s="765"/>
      <c r="R1379" s="576">
        <f t="shared" si="341"/>
        <v>0</v>
      </c>
      <c r="S1379" s="576">
        <f t="shared" si="341"/>
        <v>0</v>
      </c>
      <c r="T1379" s="577">
        <f t="shared" si="342"/>
        <v>0</v>
      </c>
      <c r="U1379" s="578">
        <f t="shared" si="343"/>
        <v>0</v>
      </c>
      <c r="V1379" s="579"/>
      <c r="W1379" s="566"/>
      <c r="X1379" s="586" t="str">
        <f t="shared" si="346"/>
        <v/>
      </c>
      <c r="Y1379" s="586" t="str">
        <f t="shared" ref="Y1379:Y1442" si="351">IF(W1379="X","x",IF(W1379="y","x",IF(W1379="xx","x",IF(U1379&gt;0,"x",""))))</f>
        <v/>
      </c>
      <c r="Z1379" s="586" t="str">
        <f t="shared" si="349"/>
        <v/>
      </c>
    </row>
    <row r="1380" spans="1:26" ht="23.25" hidden="1" thickBot="1" x14ac:dyDescent="0.25">
      <c r="A1380" s="567">
        <v>101896</v>
      </c>
      <c r="B1380" s="644">
        <v>101896</v>
      </c>
      <c r="C1380" s="645" t="s">
        <v>670</v>
      </c>
      <c r="D1380" s="422" t="s">
        <v>1231</v>
      </c>
      <c r="E1380" s="423"/>
      <c r="F1380" s="424"/>
      <c r="G1380" s="425"/>
      <c r="H1380" s="651"/>
      <c r="I1380" s="420">
        <v>758.3</v>
      </c>
      <c r="J1380" s="420">
        <f t="shared" si="348"/>
        <v>758.3</v>
      </c>
      <c r="K1380" s="421">
        <f t="shared" si="347"/>
        <v>900.94</v>
      </c>
      <c r="L1380" s="647" t="s">
        <v>2065</v>
      </c>
      <c r="M1380" s="576"/>
      <c r="N1380" s="576">
        <f t="shared" si="350"/>
        <v>0</v>
      </c>
      <c r="O1380" s="577">
        <f t="shared" si="344"/>
        <v>0</v>
      </c>
      <c r="P1380" s="578">
        <f t="shared" si="345"/>
        <v>0</v>
      </c>
      <c r="Q1380" s="765"/>
      <c r="R1380" s="576">
        <f t="shared" si="341"/>
        <v>0</v>
      </c>
      <c r="S1380" s="576">
        <f t="shared" si="341"/>
        <v>0</v>
      </c>
      <c r="T1380" s="577">
        <f t="shared" si="342"/>
        <v>0</v>
      </c>
      <c r="U1380" s="578">
        <f t="shared" si="343"/>
        <v>0</v>
      </c>
      <c r="V1380" s="579"/>
      <c r="W1380" s="566"/>
      <c r="X1380" s="586" t="str">
        <f t="shared" si="346"/>
        <v/>
      </c>
      <c r="Y1380" s="586" t="str">
        <f t="shared" si="351"/>
        <v/>
      </c>
      <c r="Z1380" s="586" t="str">
        <f t="shared" si="349"/>
        <v/>
      </c>
    </row>
    <row r="1381" spans="1:26" ht="23.25" hidden="1" thickBot="1" x14ac:dyDescent="0.25">
      <c r="A1381" s="567">
        <v>101897</v>
      </c>
      <c r="B1381" s="644">
        <v>101897</v>
      </c>
      <c r="C1381" s="645" t="s">
        <v>670</v>
      </c>
      <c r="D1381" s="422" t="s">
        <v>1232</v>
      </c>
      <c r="E1381" s="423"/>
      <c r="F1381" s="424"/>
      <c r="G1381" s="425"/>
      <c r="H1381" s="651"/>
      <c r="I1381" s="420">
        <v>1217.54</v>
      </c>
      <c r="J1381" s="420">
        <f t="shared" si="348"/>
        <v>1217.54</v>
      </c>
      <c r="K1381" s="421">
        <f t="shared" si="347"/>
        <v>1446.56</v>
      </c>
      <c r="L1381" s="647" t="s">
        <v>2065</v>
      </c>
      <c r="M1381" s="576"/>
      <c r="N1381" s="576">
        <f t="shared" si="350"/>
        <v>0</v>
      </c>
      <c r="O1381" s="577">
        <f t="shared" si="344"/>
        <v>0</v>
      </c>
      <c r="P1381" s="578">
        <f t="shared" si="345"/>
        <v>0</v>
      </c>
      <c r="Q1381" s="765"/>
      <c r="R1381" s="576">
        <f t="shared" si="341"/>
        <v>0</v>
      </c>
      <c r="S1381" s="576">
        <f t="shared" si="341"/>
        <v>0</v>
      </c>
      <c r="T1381" s="577">
        <f t="shared" si="342"/>
        <v>0</v>
      </c>
      <c r="U1381" s="578">
        <f t="shared" si="343"/>
        <v>0</v>
      </c>
      <c r="V1381" s="579"/>
      <c r="W1381" s="566"/>
      <c r="X1381" s="586" t="str">
        <f t="shared" si="346"/>
        <v/>
      </c>
      <c r="Y1381" s="586" t="str">
        <f t="shared" si="351"/>
        <v/>
      </c>
      <c r="Z1381" s="586" t="str">
        <f t="shared" si="349"/>
        <v/>
      </c>
    </row>
    <row r="1382" spans="1:26" ht="23.25" hidden="1" thickBot="1" x14ac:dyDescent="0.25">
      <c r="A1382" s="567">
        <v>101898</v>
      </c>
      <c r="B1382" s="644">
        <v>101898</v>
      </c>
      <c r="C1382" s="645" t="s">
        <v>670</v>
      </c>
      <c r="D1382" s="422" t="s">
        <v>1233</v>
      </c>
      <c r="E1382" s="423"/>
      <c r="F1382" s="424"/>
      <c r="G1382" s="425"/>
      <c r="H1382" s="651"/>
      <c r="I1382" s="420">
        <v>1635.35</v>
      </c>
      <c r="J1382" s="420">
        <f t="shared" si="348"/>
        <v>1635.35</v>
      </c>
      <c r="K1382" s="421">
        <f t="shared" si="347"/>
        <v>1942.96</v>
      </c>
      <c r="L1382" s="647" t="s">
        <v>2065</v>
      </c>
      <c r="M1382" s="576"/>
      <c r="N1382" s="576">
        <f t="shared" si="350"/>
        <v>0</v>
      </c>
      <c r="O1382" s="577">
        <f t="shared" si="344"/>
        <v>0</v>
      </c>
      <c r="P1382" s="578">
        <f t="shared" si="345"/>
        <v>0</v>
      </c>
      <c r="Q1382" s="765"/>
      <c r="R1382" s="576">
        <f t="shared" si="341"/>
        <v>0</v>
      </c>
      <c r="S1382" s="576">
        <f t="shared" si="341"/>
        <v>0</v>
      </c>
      <c r="T1382" s="577">
        <f t="shared" si="342"/>
        <v>0</v>
      </c>
      <c r="U1382" s="578">
        <f t="shared" si="343"/>
        <v>0</v>
      </c>
      <c r="V1382" s="579"/>
      <c r="W1382" s="566"/>
      <c r="X1382" s="586" t="str">
        <f t="shared" si="346"/>
        <v/>
      </c>
      <c r="Y1382" s="586" t="str">
        <f t="shared" si="351"/>
        <v/>
      </c>
      <c r="Z1382" s="586" t="str">
        <f t="shared" si="349"/>
        <v/>
      </c>
    </row>
    <row r="1383" spans="1:26" ht="23.25" hidden="1" thickBot="1" x14ac:dyDescent="0.25">
      <c r="A1383" s="567">
        <v>101899</v>
      </c>
      <c r="B1383" s="644">
        <v>101899</v>
      </c>
      <c r="C1383" s="645" t="s">
        <v>670</v>
      </c>
      <c r="D1383" s="422" t="s">
        <v>1234</v>
      </c>
      <c r="E1383" s="423"/>
      <c r="F1383" s="424"/>
      <c r="G1383" s="425"/>
      <c r="H1383" s="651"/>
      <c r="I1383" s="420">
        <v>2629.16</v>
      </c>
      <c r="J1383" s="420">
        <f t="shared" si="348"/>
        <v>2629.16</v>
      </c>
      <c r="K1383" s="421">
        <f t="shared" si="347"/>
        <v>3123.7</v>
      </c>
      <c r="L1383" s="647" t="s">
        <v>2065</v>
      </c>
      <c r="M1383" s="576"/>
      <c r="N1383" s="576">
        <f t="shared" si="350"/>
        <v>0</v>
      </c>
      <c r="O1383" s="577">
        <f t="shared" si="344"/>
        <v>0</v>
      </c>
      <c r="P1383" s="578">
        <f t="shared" si="345"/>
        <v>0</v>
      </c>
      <c r="Q1383" s="765"/>
      <c r="R1383" s="576">
        <f t="shared" si="341"/>
        <v>0</v>
      </c>
      <c r="S1383" s="576">
        <f t="shared" si="341"/>
        <v>0</v>
      </c>
      <c r="T1383" s="577">
        <f t="shared" si="342"/>
        <v>0</v>
      </c>
      <c r="U1383" s="578">
        <f t="shared" si="343"/>
        <v>0</v>
      </c>
      <c r="V1383" s="579"/>
      <c r="W1383" s="566"/>
      <c r="X1383" s="586" t="str">
        <f t="shared" si="346"/>
        <v/>
      </c>
      <c r="Y1383" s="586" t="str">
        <f t="shared" si="351"/>
        <v/>
      </c>
      <c r="Z1383" s="586" t="str">
        <f t="shared" si="349"/>
        <v/>
      </c>
    </row>
    <row r="1384" spans="1:26" ht="12" hidden="1" thickBot="1" x14ac:dyDescent="0.25">
      <c r="A1384" s="567">
        <v>101900</v>
      </c>
      <c r="B1384" s="644">
        <v>101900</v>
      </c>
      <c r="C1384" s="645" t="s">
        <v>670</v>
      </c>
      <c r="D1384" s="422" t="s">
        <v>1235</v>
      </c>
      <c r="E1384" s="423"/>
      <c r="F1384" s="424"/>
      <c r="G1384" s="425"/>
      <c r="H1384" s="651"/>
      <c r="I1384" s="420">
        <v>5507.67</v>
      </c>
      <c r="J1384" s="420">
        <f t="shared" si="348"/>
        <v>5507.67</v>
      </c>
      <c r="K1384" s="421">
        <f t="shared" si="347"/>
        <v>6543.66</v>
      </c>
      <c r="L1384" s="647" t="s">
        <v>2065</v>
      </c>
      <c r="M1384" s="576"/>
      <c r="N1384" s="576">
        <f t="shared" si="350"/>
        <v>0</v>
      </c>
      <c r="O1384" s="577">
        <f t="shared" si="344"/>
        <v>0</v>
      </c>
      <c r="P1384" s="578">
        <f t="shared" si="345"/>
        <v>0</v>
      </c>
      <c r="Q1384" s="765"/>
      <c r="R1384" s="576">
        <f t="shared" si="341"/>
        <v>0</v>
      </c>
      <c r="S1384" s="576">
        <f t="shared" si="341"/>
        <v>0</v>
      </c>
      <c r="T1384" s="577">
        <f t="shared" si="342"/>
        <v>0</v>
      </c>
      <c r="U1384" s="578">
        <f t="shared" si="343"/>
        <v>0</v>
      </c>
      <c r="V1384" s="579"/>
      <c r="W1384" s="566"/>
      <c r="X1384" s="586" t="str">
        <f t="shared" si="346"/>
        <v/>
      </c>
      <c r="Y1384" s="586" t="str">
        <f t="shared" si="351"/>
        <v/>
      </c>
      <c r="Z1384" s="586" t="str">
        <f t="shared" si="349"/>
        <v/>
      </c>
    </row>
    <row r="1385" spans="1:26" ht="23.25" hidden="1" thickBot="1" x14ac:dyDescent="0.25">
      <c r="A1385" s="567">
        <v>91952</v>
      </c>
      <c r="B1385" s="644">
        <v>91952</v>
      </c>
      <c r="C1385" s="645" t="s">
        <v>670</v>
      </c>
      <c r="D1385" s="422" t="s">
        <v>1236</v>
      </c>
      <c r="E1385" s="423"/>
      <c r="F1385" s="424"/>
      <c r="G1385" s="425"/>
      <c r="H1385" s="651"/>
      <c r="I1385" s="420">
        <v>21.32</v>
      </c>
      <c r="J1385" s="420">
        <f t="shared" si="348"/>
        <v>21.32</v>
      </c>
      <c r="K1385" s="421">
        <f t="shared" si="347"/>
        <v>25.33</v>
      </c>
      <c r="L1385" s="647" t="s">
        <v>2065</v>
      </c>
      <c r="M1385" s="576"/>
      <c r="N1385" s="576">
        <f t="shared" si="350"/>
        <v>0</v>
      </c>
      <c r="O1385" s="577">
        <f t="shared" si="344"/>
        <v>0</v>
      </c>
      <c r="P1385" s="578">
        <f t="shared" si="345"/>
        <v>0</v>
      </c>
      <c r="Q1385" s="765"/>
      <c r="R1385" s="576">
        <f t="shared" si="341"/>
        <v>0</v>
      </c>
      <c r="S1385" s="576">
        <f t="shared" si="341"/>
        <v>0</v>
      </c>
      <c r="T1385" s="577">
        <f t="shared" si="342"/>
        <v>0</v>
      </c>
      <c r="U1385" s="578">
        <f t="shared" si="343"/>
        <v>0</v>
      </c>
      <c r="V1385" s="579"/>
      <c r="W1385" s="566"/>
      <c r="X1385" s="586" t="str">
        <f t="shared" si="346"/>
        <v/>
      </c>
      <c r="Y1385" s="586" t="str">
        <f t="shared" si="351"/>
        <v/>
      </c>
      <c r="Z1385" s="586" t="str">
        <f t="shared" si="349"/>
        <v/>
      </c>
    </row>
    <row r="1386" spans="1:26" ht="23.25" hidden="1" thickBot="1" x14ac:dyDescent="0.25">
      <c r="A1386" s="567">
        <v>91953</v>
      </c>
      <c r="B1386" s="644">
        <v>91953</v>
      </c>
      <c r="C1386" s="645" t="s">
        <v>670</v>
      </c>
      <c r="D1386" s="422" t="s">
        <v>1237</v>
      </c>
      <c r="E1386" s="423"/>
      <c r="F1386" s="424"/>
      <c r="G1386" s="425"/>
      <c r="H1386" s="651"/>
      <c r="I1386" s="420">
        <v>31.05</v>
      </c>
      <c r="J1386" s="420">
        <f t="shared" si="348"/>
        <v>31.05</v>
      </c>
      <c r="K1386" s="421">
        <f t="shared" si="347"/>
        <v>36.89</v>
      </c>
      <c r="L1386" s="647" t="s">
        <v>2065</v>
      </c>
      <c r="M1386" s="576"/>
      <c r="N1386" s="576">
        <f t="shared" si="350"/>
        <v>0</v>
      </c>
      <c r="O1386" s="577">
        <f t="shared" si="344"/>
        <v>0</v>
      </c>
      <c r="P1386" s="578">
        <f t="shared" si="345"/>
        <v>0</v>
      </c>
      <c r="Q1386" s="765"/>
      <c r="R1386" s="576">
        <f t="shared" ref="R1386:S1449" si="352">M1386</f>
        <v>0</v>
      </c>
      <c r="S1386" s="576">
        <f t="shared" si="352"/>
        <v>0</v>
      </c>
      <c r="T1386" s="577">
        <f t="shared" si="342"/>
        <v>0</v>
      </c>
      <c r="U1386" s="578">
        <f t="shared" si="343"/>
        <v>0</v>
      </c>
      <c r="V1386" s="579"/>
      <c r="W1386" s="566"/>
      <c r="X1386" s="586" t="str">
        <f t="shared" si="346"/>
        <v/>
      </c>
      <c r="Y1386" s="586" t="str">
        <f t="shared" si="351"/>
        <v/>
      </c>
      <c r="Z1386" s="586" t="str">
        <f t="shared" si="349"/>
        <v/>
      </c>
    </row>
    <row r="1387" spans="1:26" ht="23.25" hidden="1" thickBot="1" x14ac:dyDescent="0.25">
      <c r="A1387" s="567">
        <v>91956</v>
      </c>
      <c r="B1387" s="644">
        <v>91956</v>
      </c>
      <c r="C1387" s="645" t="s">
        <v>670</v>
      </c>
      <c r="D1387" s="422" t="s">
        <v>1238</v>
      </c>
      <c r="E1387" s="423"/>
      <c r="F1387" s="424"/>
      <c r="G1387" s="425"/>
      <c r="H1387" s="651"/>
      <c r="I1387" s="420">
        <v>46.71</v>
      </c>
      <c r="J1387" s="420">
        <f t="shared" si="348"/>
        <v>46.71</v>
      </c>
      <c r="K1387" s="421">
        <f t="shared" si="347"/>
        <v>55.5</v>
      </c>
      <c r="L1387" s="647" t="s">
        <v>2065</v>
      </c>
      <c r="M1387" s="576"/>
      <c r="N1387" s="576">
        <f t="shared" si="350"/>
        <v>0</v>
      </c>
      <c r="O1387" s="577">
        <f t="shared" si="344"/>
        <v>0</v>
      </c>
      <c r="P1387" s="578">
        <f t="shared" si="345"/>
        <v>0</v>
      </c>
      <c r="Q1387" s="765"/>
      <c r="R1387" s="576">
        <f t="shared" si="352"/>
        <v>0</v>
      </c>
      <c r="S1387" s="576">
        <f t="shared" si="352"/>
        <v>0</v>
      </c>
      <c r="T1387" s="577">
        <f t="shared" si="342"/>
        <v>0</v>
      </c>
      <c r="U1387" s="578">
        <f t="shared" si="343"/>
        <v>0</v>
      </c>
      <c r="V1387" s="579"/>
      <c r="W1387" s="566"/>
      <c r="X1387" s="586" t="str">
        <f t="shared" si="346"/>
        <v/>
      </c>
      <c r="Y1387" s="586" t="str">
        <f t="shared" si="351"/>
        <v/>
      </c>
      <c r="Z1387" s="586" t="str">
        <f t="shared" si="349"/>
        <v/>
      </c>
    </row>
    <row r="1388" spans="1:26" ht="23.25" hidden="1" thickBot="1" x14ac:dyDescent="0.25">
      <c r="A1388" s="567">
        <v>91957</v>
      </c>
      <c r="B1388" s="644">
        <v>91957</v>
      </c>
      <c r="C1388" s="645" t="s">
        <v>670</v>
      </c>
      <c r="D1388" s="422" t="s">
        <v>1239</v>
      </c>
      <c r="E1388" s="423"/>
      <c r="F1388" s="424"/>
      <c r="G1388" s="425"/>
      <c r="H1388" s="651"/>
      <c r="I1388" s="420">
        <v>56.44</v>
      </c>
      <c r="J1388" s="420">
        <f t="shared" si="348"/>
        <v>56.44</v>
      </c>
      <c r="K1388" s="421">
        <f t="shared" si="347"/>
        <v>67.06</v>
      </c>
      <c r="L1388" s="647" t="s">
        <v>2065</v>
      </c>
      <c r="M1388" s="576"/>
      <c r="N1388" s="576">
        <f t="shared" si="350"/>
        <v>0</v>
      </c>
      <c r="O1388" s="577">
        <f t="shared" si="344"/>
        <v>0</v>
      </c>
      <c r="P1388" s="578">
        <f t="shared" si="345"/>
        <v>0</v>
      </c>
      <c r="Q1388" s="765"/>
      <c r="R1388" s="576">
        <f t="shared" si="352"/>
        <v>0</v>
      </c>
      <c r="S1388" s="576">
        <f t="shared" si="352"/>
        <v>0</v>
      </c>
      <c r="T1388" s="577">
        <f t="shared" si="342"/>
        <v>0</v>
      </c>
      <c r="U1388" s="578">
        <f t="shared" si="343"/>
        <v>0</v>
      </c>
      <c r="V1388" s="579"/>
      <c r="W1388" s="566"/>
      <c r="X1388" s="586" t="str">
        <f t="shared" si="346"/>
        <v/>
      </c>
      <c r="Y1388" s="586" t="str">
        <f t="shared" si="351"/>
        <v/>
      </c>
      <c r="Z1388" s="586" t="str">
        <f t="shared" si="349"/>
        <v/>
      </c>
    </row>
    <row r="1389" spans="1:26" ht="23.25" hidden="1" thickBot="1" x14ac:dyDescent="0.25">
      <c r="A1389" s="567">
        <v>91958</v>
      </c>
      <c r="B1389" s="644">
        <v>91958</v>
      </c>
      <c r="C1389" s="645" t="s">
        <v>670</v>
      </c>
      <c r="D1389" s="422" t="s">
        <v>1240</v>
      </c>
      <c r="E1389" s="423"/>
      <c r="F1389" s="424"/>
      <c r="G1389" s="425"/>
      <c r="H1389" s="651"/>
      <c r="I1389" s="420">
        <v>39.520000000000003</v>
      </c>
      <c r="J1389" s="420">
        <f t="shared" si="348"/>
        <v>39.520000000000003</v>
      </c>
      <c r="K1389" s="421">
        <f t="shared" si="347"/>
        <v>46.95</v>
      </c>
      <c r="L1389" s="647" t="s">
        <v>2065</v>
      </c>
      <c r="M1389" s="576"/>
      <c r="N1389" s="576">
        <f t="shared" si="350"/>
        <v>0</v>
      </c>
      <c r="O1389" s="577">
        <f t="shared" si="344"/>
        <v>0</v>
      </c>
      <c r="P1389" s="578">
        <f t="shared" si="345"/>
        <v>0</v>
      </c>
      <c r="Q1389" s="765"/>
      <c r="R1389" s="576">
        <f t="shared" si="352"/>
        <v>0</v>
      </c>
      <c r="S1389" s="576">
        <f t="shared" si="352"/>
        <v>0</v>
      </c>
      <c r="T1389" s="577">
        <f t="shared" si="342"/>
        <v>0</v>
      </c>
      <c r="U1389" s="578">
        <f t="shared" si="343"/>
        <v>0</v>
      </c>
      <c r="V1389" s="579"/>
      <c r="W1389" s="566"/>
      <c r="X1389" s="586" t="str">
        <f t="shared" si="346"/>
        <v/>
      </c>
      <c r="Y1389" s="586" t="str">
        <f t="shared" si="351"/>
        <v/>
      </c>
      <c r="Z1389" s="586" t="str">
        <f t="shared" si="349"/>
        <v/>
      </c>
    </row>
    <row r="1390" spans="1:26" ht="23.25" hidden="1" thickBot="1" x14ac:dyDescent="0.25">
      <c r="A1390" s="567">
        <v>91959</v>
      </c>
      <c r="B1390" s="644">
        <v>91959</v>
      </c>
      <c r="C1390" s="645" t="s">
        <v>670</v>
      </c>
      <c r="D1390" s="422" t="s">
        <v>1241</v>
      </c>
      <c r="E1390" s="423"/>
      <c r="F1390" s="424"/>
      <c r="G1390" s="425"/>
      <c r="H1390" s="651"/>
      <c r="I1390" s="420">
        <v>49.25</v>
      </c>
      <c r="J1390" s="420">
        <f t="shared" si="348"/>
        <v>49.25</v>
      </c>
      <c r="K1390" s="421">
        <f t="shared" si="347"/>
        <v>58.51</v>
      </c>
      <c r="L1390" s="647" t="s">
        <v>2065</v>
      </c>
      <c r="M1390" s="576"/>
      <c r="N1390" s="576">
        <f t="shared" si="350"/>
        <v>0</v>
      </c>
      <c r="O1390" s="577">
        <f t="shared" si="344"/>
        <v>0</v>
      </c>
      <c r="P1390" s="578">
        <f t="shared" si="345"/>
        <v>0</v>
      </c>
      <c r="Q1390" s="765"/>
      <c r="R1390" s="576">
        <f t="shared" si="352"/>
        <v>0</v>
      </c>
      <c r="S1390" s="576">
        <f t="shared" si="352"/>
        <v>0</v>
      </c>
      <c r="T1390" s="577">
        <f t="shared" si="342"/>
        <v>0</v>
      </c>
      <c r="U1390" s="578">
        <f t="shared" si="343"/>
        <v>0</v>
      </c>
      <c r="V1390" s="579"/>
      <c r="W1390" s="566"/>
      <c r="X1390" s="586" t="str">
        <f t="shared" si="346"/>
        <v/>
      </c>
      <c r="Y1390" s="586" t="str">
        <f t="shared" si="351"/>
        <v/>
      </c>
      <c r="Z1390" s="586" t="str">
        <f t="shared" si="349"/>
        <v/>
      </c>
    </row>
    <row r="1391" spans="1:26" ht="23.25" hidden="1" thickBot="1" x14ac:dyDescent="0.25">
      <c r="A1391" s="567">
        <v>91962</v>
      </c>
      <c r="B1391" s="644">
        <v>91962</v>
      </c>
      <c r="C1391" s="645" t="s">
        <v>670</v>
      </c>
      <c r="D1391" s="422" t="s">
        <v>1242</v>
      </c>
      <c r="E1391" s="423"/>
      <c r="F1391" s="424"/>
      <c r="G1391" s="425"/>
      <c r="H1391" s="651"/>
      <c r="I1391" s="420">
        <v>72.150000000000006</v>
      </c>
      <c r="J1391" s="420">
        <f t="shared" si="348"/>
        <v>72.150000000000006</v>
      </c>
      <c r="K1391" s="421">
        <f t="shared" si="347"/>
        <v>85.72</v>
      </c>
      <c r="L1391" s="647" t="s">
        <v>2065</v>
      </c>
      <c r="M1391" s="576"/>
      <c r="N1391" s="576">
        <f t="shared" si="350"/>
        <v>0</v>
      </c>
      <c r="O1391" s="577">
        <f t="shared" si="344"/>
        <v>0</v>
      </c>
      <c r="P1391" s="578">
        <f t="shared" si="345"/>
        <v>0</v>
      </c>
      <c r="Q1391" s="765"/>
      <c r="R1391" s="576">
        <f t="shared" si="352"/>
        <v>0</v>
      </c>
      <c r="S1391" s="576">
        <f t="shared" si="352"/>
        <v>0</v>
      </c>
      <c r="T1391" s="577">
        <f t="shared" si="342"/>
        <v>0</v>
      </c>
      <c r="U1391" s="578">
        <f t="shared" si="343"/>
        <v>0</v>
      </c>
      <c r="V1391" s="579"/>
      <c r="W1391" s="566"/>
      <c r="X1391" s="586" t="str">
        <f t="shared" si="346"/>
        <v/>
      </c>
      <c r="Y1391" s="586" t="str">
        <f t="shared" si="351"/>
        <v/>
      </c>
      <c r="Z1391" s="586" t="str">
        <f t="shared" si="349"/>
        <v/>
      </c>
    </row>
    <row r="1392" spans="1:26" ht="23.25" hidden="1" thickBot="1" x14ac:dyDescent="0.25">
      <c r="A1392" s="567">
        <v>91963</v>
      </c>
      <c r="B1392" s="644">
        <v>91963</v>
      </c>
      <c r="C1392" s="645" t="s">
        <v>670</v>
      </c>
      <c r="D1392" s="422" t="s">
        <v>1243</v>
      </c>
      <c r="E1392" s="423"/>
      <c r="F1392" s="424"/>
      <c r="G1392" s="425"/>
      <c r="H1392" s="651"/>
      <c r="I1392" s="420">
        <v>81.88</v>
      </c>
      <c r="J1392" s="420">
        <f t="shared" si="348"/>
        <v>81.88</v>
      </c>
      <c r="K1392" s="421">
        <f t="shared" si="347"/>
        <v>97.28</v>
      </c>
      <c r="L1392" s="647" t="s">
        <v>2065</v>
      </c>
      <c r="M1392" s="576"/>
      <c r="N1392" s="576">
        <f t="shared" si="350"/>
        <v>0</v>
      </c>
      <c r="O1392" s="577">
        <f t="shared" si="344"/>
        <v>0</v>
      </c>
      <c r="P1392" s="578">
        <f t="shared" si="345"/>
        <v>0</v>
      </c>
      <c r="Q1392" s="765"/>
      <c r="R1392" s="576">
        <f t="shared" si="352"/>
        <v>0</v>
      </c>
      <c r="S1392" s="576">
        <f t="shared" si="352"/>
        <v>0</v>
      </c>
      <c r="T1392" s="577">
        <f t="shared" si="342"/>
        <v>0</v>
      </c>
      <c r="U1392" s="578">
        <f t="shared" si="343"/>
        <v>0</v>
      </c>
      <c r="V1392" s="579"/>
      <c r="W1392" s="566"/>
      <c r="X1392" s="586" t="str">
        <f t="shared" si="346"/>
        <v/>
      </c>
      <c r="Y1392" s="586" t="str">
        <f t="shared" si="351"/>
        <v/>
      </c>
      <c r="Z1392" s="586" t="str">
        <f t="shared" si="349"/>
        <v/>
      </c>
    </row>
    <row r="1393" spans="1:26" ht="23.25" hidden="1" thickBot="1" x14ac:dyDescent="0.25">
      <c r="A1393" s="567">
        <v>91964</v>
      </c>
      <c r="B1393" s="644">
        <v>91964</v>
      </c>
      <c r="C1393" s="645" t="s">
        <v>670</v>
      </c>
      <c r="D1393" s="422" t="s">
        <v>1244</v>
      </c>
      <c r="E1393" s="423"/>
      <c r="F1393" s="424"/>
      <c r="G1393" s="425"/>
      <c r="H1393" s="651"/>
      <c r="I1393" s="420">
        <v>64.91</v>
      </c>
      <c r="J1393" s="420">
        <f t="shared" si="348"/>
        <v>64.91</v>
      </c>
      <c r="K1393" s="421">
        <f t="shared" si="347"/>
        <v>77.12</v>
      </c>
      <c r="L1393" s="647" t="s">
        <v>2065</v>
      </c>
      <c r="M1393" s="576"/>
      <c r="N1393" s="576">
        <f t="shared" si="350"/>
        <v>0</v>
      </c>
      <c r="O1393" s="577">
        <f t="shared" si="344"/>
        <v>0</v>
      </c>
      <c r="P1393" s="578">
        <f t="shared" si="345"/>
        <v>0</v>
      </c>
      <c r="Q1393" s="765"/>
      <c r="R1393" s="576">
        <f t="shared" si="352"/>
        <v>0</v>
      </c>
      <c r="S1393" s="576">
        <f t="shared" si="352"/>
        <v>0</v>
      </c>
      <c r="T1393" s="577">
        <f t="shared" si="342"/>
        <v>0</v>
      </c>
      <c r="U1393" s="578">
        <f t="shared" si="343"/>
        <v>0</v>
      </c>
      <c r="V1393" s="579"/>
      <c r="W1393" s="566"/>
      <c r="X1393" s="586" t="str">
        <f t="shared" si="346"/>
        <v/>
      </c>
      <c r="Y1393" s="586" t="str">
        <f t="shared" si="351"/>
        <v/>
      </c>
      <c r="Z1393" s="586" t="str">
        <f t="shared" si="349"/>
        <v/>
      </c>
    </row>
    <row r="1394" spans="1:26" ht="23.25" hidden="1" thickBot="1" x14ac:dyDescent="0.25">
      <c r="A1394" s="567">
        <v>91965</v>
      </c>
      <c r="B1394" s="644">
        <v>91965</v>
      </c>
      <c r="C1394" s="645" t="s">
        <v>670</v>
      </c>
      <c r="D1394" s="422" t="s">
        <v>1245</v>
      </c>
      <c r="E1394" s="423"/>
      <c r="F1394" s="424"/>
      <c r="G1394" s="425"/>
      <c r="H1394" s="651"/>
      <c r="I1394" s="420">
        <v>74.64</v>
      </c>
      <c r="J1394" s="420">
        <f t="shared" si="348"/>
        <v>74.64</v>
      </c>
      <c r="K1394" s="421">
        <f t="shared" si="347"/>
        <v>88.68</v>
      </c>
      <c r="L1394" s="647" t="s">
        <v>2065</v>
      </c>
      <c r="M1394" s="576"/>
      <c r="N1394" s="576">
        <f t="shared" si="350"/>
        <v>0</v>
      </c>
      <c r="O1394" s="577">
        <f t="shared" si="344"/>
        <v>0</v>
      </c>
      <c r="P1394" s="578">
        <f t="shared" si="345"/>
        <v>0</v>
      </c>
      <c r="Q1394" s="765"/>
      <c r="R1394" s="576">
        <f t="shared" si="352"/>
        <v>0</v>
      </c>
      <c r="S1394" s="576">
        <f t="shared" si="352"/>
        <v>0</v>
      </c>
      <c r="T1394" s="577">
        <f t="shared" si="342"/>
        <v>0</v>
      </c>
      <c r="U1394" s="578">
        <f t="shared" si="343"/>
        <v>0</v>
      </c>
      <c r="V1394" s="579"/>
      <c r="W1394" s="566"/>
      <c r="X1394" s="586" t="str">
        <f t="shared" si="346"/>
        <v/>
      </c>
      <c r="Y1394" s="586" t="str">
        <f t="shared" si="351"/>
        <v/>
      </c>
      <c r="Z1394" s="586" t="str">
        <f t="shared" si="349"/>
        <v/>
      </c>
    </row>
    <row r="1395" spans="1:26" ht="23.25" hidden="1" thickBot="1" x14ac:dyDescent="0.25">
      <c r="A1395" s="567">
        <v>91966</v>
      </c>
      <c r="B1395" s="644">
        <v>91966</v>
      </c>
      <c r="C1395" s="645" t="s">
        <v>670</v>
      </c>
      <c r="D1395" s="422" t="s">
        <v>1246</v>
      </c>
      <c r="E1395" s="423"/>
      <c r="F1395" s="424"/>
      <c r="G1395" s="425"/>
      <c r="H1395" s="651"/>
      <c r="I1395" s="420">
        <v>57.72</v>
      </c>
      <c r="J1395" s="420">
        <f t="shared" si="348"/>
        <v>57.72</v>
      </c>
      <c r="K1395" s="421">
        <f t="shared" si="347"/>
        <v>68.58</v>
      </c>
      <c r="L1395" s="647" t="s">
        <v>2065</v>
      </c>
      <c r="M1395" s="576"/>
      <c r="N1395" s="576">
        <f t="shared" si="350"/>
        <v>0</v>
      </c>
      <c r="O1395" s="577">
        <f t="shared" si="344"/>
        <v>0</v>
      </c>
      <c r="P1395" s="578">
        <f t="shared" si="345"/>
        <v>0</v>
      </c>
      <c r="Q1395" s="765"/>
      <c r="R1395" s="576">
        <f t="shared" si="352"/>
        <v>0</v>
      </c>
      <c r="S1395" s="576">
        <f t="shared" si="352"/>
        <v>0</v>
      </c>
      <c r="T1395" s="577">
        <f t="shared" si="342"/>
        <v>0</v>
      </c>
      <c r="U1395" s="578">
        <f t="shared" si="343"/>
        <v>0</v>
      </c>
      <c r="V1395" s="579"/>
      <c r="W1395" s="566"/>
      <c r="X1395" s="586" t="str">
        <f t="shared" si="346"/>
        <v/>
      </c>
      <c r="Y1395" s="586" t="str">
        <f t="shared" si="351"/>
        <v/>
      </c>
      <c r="Z1395" s="586" t="str">
        <f t="shared" si="349"/>
        <v/>
      </c>
    </row>
    <row r="1396" spans="1:26" ht="23.25" hidden="1" thickBot="1" x14ac:dyDescent="0.25">
      <c r="A1396" s="567">
        <v>91967</v>
      </c>
      <c r="B1396" s="644">
        <v>91967</v>
      </c>
      <c r="C1396" s="645" t="s">
        <v>670</v>
      </c>
      <c r="D1396" s="422" t="s">
        <v>1247</v>
      </c>
      <c r="E1396" s="423"/>
      <c r="F1396" s="424"/>
      <c r="G1396" s="425"/>
      <c r="H1396" s="651"/>
      <c r="I1396" s="420">
        <v>67.45</v>
      </c>
      <c r="J1396" s="420">
        <f t="shared" si="348"/>
        <v>67.45</v>
      </c>
      <c r="K1396" s="421">
        <f t="shared" si="347"/>
        <v>80.14</v>
      </c>
      <c r="L1396" s="647" t="s">
        <v>2065</v>
      </c>
      <c r="M1396" s="576"/>
      <c r="N1396" s="576">
        <f t="shared" si="350"/>
        <v>0</v>
      </c>
      <c r="O1396" s="577">
        <f t="shared" si="344"/>
        <v>0</v>
      </c>
      <c r="P1396" s="578">
        <f t="shared" si="345"/>
        <v>0</v>
      </c>
      <c r="Q1396" s="765"/>
      <c r="R1396" s="576">
        <f t="shared" si="352"/>
        <v>0</v>
      </c>
      <c r="S1396" s="576">
        <f t="shared" si="352"/>
        <v>0</v>
      </c>
      <c r="T1396" s="577">
        <f t="shared" ref="T1396:T1459" si="353">IF(ISBLANK(R1396),0,ROUND(K1396*R1396,2))</f>
        <v>0</v>
      </c>
      <c r="U1396" s="578">
        <f t="shared" ref="U1396:U1459" si="354">IF(ISBLANK(R1396),0,ROUND(R1396*S1396,2))</f>
        <v>0</v>
      </c>
      <c r="V1396" s="579"/>
      <c r="W1396" s="566"/>
      <c r="X1396" s="586" t="str">
        <f t="shared" si="346"/>
        <v/>
      </c>
      <c r="Y1396" s="586" t="str">
        <f t="shared" si="351"/>
        <v/>
      </c>
      <c r="Z1396" s="586" t="str">
        <f t="shared" si="349"/>
        <v/>
      </c>
    </row>
    <row r="1397" spans="1:26" ht="23.25" hidden="1" thickBot="1" x14ac:dyDescent="0.25">
      <c r="A1397" s="567">
        <v>91970</v>
      </c>
      <c r="B1397" s="644">
        <v>91970</v>
      </c>
      <c r="C1397" s="645" t="s">
        <v>670</v>
      </c>
      <c r="D1397" s="422" t="s">
        <v>1248</v>
      </c>
      <c r="E1397" s="423"/>
      <c r="F1397" s="424"/>
      <c r="G1397" s="425"/>
      <c r="H1397" s="651"/>
      <c r="I1397" s="420">
        <v>83.48</v>
      </c>
      <c r="J1397" s="420">
        <f t="shared" si="348"/>
        <v>83.48</v>
      </c>
      <c r="K1397" s="421">
        <f t="shared" si="347"/>
        <v>99.18</v>
      </c>
      <c r="L1397" s="647" t="s">
        <v>2065</v>
      </c>
      <c r="M1397" s="576"/>
      <c r="N1397" s="576">
        <f t="shared" si="350"/>
        <v>0</v>
      </c>
      <c r="O1397" s="577">
        <f t="shared" ref="O1397:O1460" si="355">IF(ISBLANK(M1397),0,ROUND(K1397*M1397,2))</f>
        <v>0</v>
      </c>
      <c r="P1397" s="578">
        <f t="shared" ref="P1397:P1460" si="356">IF(ISBLANK(N1397),0,ROUND(M1397*N1397,2))</f>
        <v>0</v>
      </c>
      <c r="Q1397" s="765"/>
      <c r="R1397" s="576">
        <f t="shared" si="352"/>
        <v>0</v>
      </c>
      <c r="S1397" s="576">
        <f t="shared" si="352"/>
        <v>0</v>
      </c>
      <c r="T1397" s="577">
        <f t="shared" si="353"/>
        <v>0</v>
      </c>
      <c r="U1397" s="578">
        <f t="shared" si="354"/>
        <v>0</v>
      </c>
      <c r="V1397" s="579"/>
      <c r="W1397" s="566"/>
      <c r="X1397" s="586" t="str">
        <f t="shared" si="346"/>
        <v/>
      </c>
      <c r="Y1397" s="586" t="str">
        <f t="shared" si="351"/>
        <v/>
      </c>
      <c r="Z1397" s="586" t="str">
        <f t="shared" si="349"/>
        <v/>
      </c>
    </row>
    <row r="1398" spans="1:26" ht="23.25" hidden="1" thickBot="1" x14ac:dyDescent="0.25">
      <c r="A1398" s="567">
        <v>91971</v>
      </c>
      <c r="B1398" s="644">
        <v>91971</v>
      </c>
      <c r="C1398" s="645" t="s">
        <v>670</v>
      </c>
      <c r="D1398" s="422" t="s">
        <v>1249</v>
      </c>
      <c r="E1398" s="423"/>
      <c r="F1398" s="424"/>
      <c r="G1398" s="425"/>
      <c r="H1398" s="651"/>
      <c r="I1398" s="420">
        <v>99.37</v>
      </c>
      <c r="J1398" s="420">
        <f t="shared" si="348"/>
        <v>99.37</v>
      </c>
      <c r="K1398" s="421">
        <f t="shared" si="347"/>
        <v>118.06</v>
      </c>
      <c r="L1398" s="647" t="s">
        <v>2065</v>
      </c>
      <c r="M1398" s="576"/>
      <c r="N1398" s="576">
        <f t="shared" si="350"/>
        <v>0</v>
      </c>
      <c r="O1398" s="577">
        <f t="shared" si="355"/>
        <v>0</v>
      </c>
      <c r="P1398" s="578">
        <f t="shared" si="356"/>
        <v>0</v>
      </c>
      <c r="Q1398" s="765"/>
      <c r="R1398" s="576">
        <f t="shared" si="352"/>
        <v>0</v>
      </c>
      <c r="S1398" s="576">
        <f t="shared" si="352"/>
        <v>0</v>
      </c>
      <c r="T1398" s="577">
        <f t="shared" si="353"/>
        <v>0</v>
      </c>
      <c r="U1398" s="578">
        <f t="shared" si="354"/>
        <v>0</v>
      </c>
      <c r="V1398" s="579"/>
      <c r="W1398" s="566"/>
      <c r="X1398" s="586" t="str">
        <f t="shared" si="346"/>
        <v/>
      </c>
      <c r="Y1398" s="586" t="str">
        <f t="shared" si="351"/>
        <v/>
      </c>
      <c r="Z1398" s="586" t="str">
        <f t="shared" si="349"/>
        <v/>
      </c>
    </row>
    <row r="1399" spans="1:26" ht="23.25" hidden="1" thickBot="1" x14ac:dyDescent="0.25">
      <c r="A1399" s="567">
        <v>91972</v>
      </c>
      <c r="B1399" s="644">
        <v>91972</v>
      </c>
      <c r="C1399" s="645" t="s">
        <v>670</v>
      </c>
      <c r="D1399" s="422" t="s">
        <v>1250</v>
      </c>
      <c r="E1399" s="423"/>
      <c r="F1399" s="424"/>
      <c r="G1399" s="425"/>
      <c r="H1399" s="651"/>
      <c r="I1399" s="420">
        <v>90.73</v>
      </c>
      <c r="J1399" s="420">
        <f t="shared" si="348"/>
        <v>90.73</v>
      </c>
      <c r="K1399" s="421">
        <f t="shared" si="347"/>
        <v>107.8</v>
      </c>
      <c r="L1399" s="647" t="s">
        <v>2065</v>
      </c>
      <c r="M1399" s="576"/>
      <c r="N1399" s="576">
        <f t="shared" si="350"/>
        <v>0</v>
      </c>
      <c r="O1399" s="577">
        <f t="shared" si="355"/>
        <v>0</v>
      </c>
      <c r="P1399" s="578">
        <f t="shared" si="356"/>
        <v>0</v>
      </c>
      <c r="Q1399" s="765"/>
      <c r="R1399" s="576">
        <f t="shared" si="352"/>
        <v>0</v>
      </c>
      <c r="S1399" s="576">
        <f t="shared" si="352"/>
        <v>0</v>
      </c>
      <c r="T1399" s="577">
        <f t="shared" si="353"/>
        <v>0</v>
      </c>
      <c r="U1399" s="578">
        <f t="shared" si="354"/>
        <v>0</v>
      </c>
      <c r="V1399" s="579"/>
      <c r="W1399" s="566"/>
      <c r="X1399" s="586" t="str">
        <f t="shared" si="346"/>
        <v/>
      </c>
      <c r="Y1399" s="586" t="str">
        <f t="shared" si="351"/>
        <v/>
      </c>
      <c r="Z1399" s="586" t="str">
        <f t="shared" si="349"/>
        <v/>
      </c>
    </row>
    <row r="1400" spans="1:26" ht="23.25" hidden="1" thickBot="1" x14ac:dyDescent="0.25">
      <c r="A1400" s="567">
        <v>91973</v>
      </c>
      <c r="B1400" s="644">
        <v>91973</v>
      </c>
      <c r="C1400" s="645" t="s">
        <v>670</v>
      </c>
      <c r="D1400" s="422" t="s">
        <v>1251</v>
      </c>
      <c r="E1400" s="423"/>
      <c r="F1400" s="424"/>
      <c r="G1400" s="425"/>
      <c r="H1400" s="651"/>
      <c r="I1400" s="420">
        <v>106.62</v>
      </c>
      <c r="J1400" s="420">
        <f t="shared" si="348"/>
        <v>106.62</v>
      </c>
      <c r="K1400" s="421">
        <f t="shared" si="347"/>
        <v>126.68</v>
      </c>
      <c r="L1400" s="647" t="s">
        <v>2065</v>
      </c>
      <c r="M1400" s="576"/>
      <c r="N1400" s="576">
        <f t="shared" si="350"/>
        <v>0</v>
      </c>
      <c r="O1400" s="577">
        <f t="shared" si="355"/>
        <v>0</v>
      </c>
      <c r="P1400" s="578">
        <f t="shared" si="356"/>
        <v>0</v>
      </c>
      <c r="Q1400" s="765"/>
      <c r="R1400" s="576">
        <f t="shared" si="352"/>
        <v>0</v>
      </c>
      <c r="S1400" s="576">
        <f t="shared" si="352"/>
        <v>0</v>
      </c>
      <c r="T1400" s="577">
        <f t="shared" si="353"/>
        <v>0</v>
      </c>
      <c r="U1400" s="578">
        <f t="shared" si="354"/>
        <v>0</v>
      </c>
      <c r="V1400" s="579"/>
      <c r="W1400" s="566"/>
      <c r="X1400" s="586" t="str">
        <f t="shared" si="346"/>
        <v/>
      </c>
      <c r="Y1400" s="586" t="str">
        <f t="shared" si="351"/>
        <v/>
      </c>
      <c r="Z1400" s="586" t="str">
        <f t="shared" si="349"/>
        <v/>
      </c>
    </row>
    <row r="1401" spans="1:26" ht="23.25" hidden="1" thickBot="1" x14ac:dyDescent="0.25">
      <c r="A1401" s="567">
        <v>91974</v>
      </c>
      <c r="B1401" s="644">
        <v>91974</v>
      </c>
      <c r="C1401" s="645" t="s">
        <v>670</v>
      </c>
      <c r="D1401" s="422" t="s">
        <v>1252</v>
      </c>
      <c r="E1401" s="423"/>
      <c r="F1401" s="424"/>
      <c r="G1401" s="425"/>
      <c r="H1401" s="651"/>
      <c r="I1401" s="420">
        <v>76.239999999999995</v>
      </c>
      <c r="J1401" s="420">
        <f t="shared" si="348"/>
        <v>76.239999999999995</v>
      </c>
      <c r="K1401" s="421">
        <f t="shared" si="347"/>
        <v>90.58</v>
      </c>
      <c r="L1401" s="647" t="s">
        <v>2065</v>
      </c>
      <c r="M1401" s="576"/>
      <c r="N1401" s="576">
        <f t="shared" si="350"/>
        <v>0</v>
      </c>
      <c r="O1401" s="577">
        <f t="shared" si="355"/>
        <v>0</v>
      </c>
      <c r="P1401" s="578">
        <f t="shared" si="356"/>
        <v>0</v>
      </c>
      <c r="Q1401" s="765"/>
      <c r="R1401" s="576">
        <f t="shared" si="352"/>
        <v>0</v>
      </c>
      <c r="S1401" s="576">
        <f t="shared" si="352"/>
        <v>0</v>
      </c>
      <c r="T1401" s="577">
        <f t="shared" si="353"/>
        <v>0</v>
      </c>
      <c r="U1401" s="578">
        <f t="shared" si="354"/>
        <v>0</v>
      </c>
      <c r="V1401" s="579"/>
      <c r="W1401" s="566"/>
      <c r="X1401" s="586" t="str">
        <f t="shared" si="346"/>
        <v/>
      </c>
      <c r="Y1401" s="586" t="str">
        <f t="shared" si="351"/>
        <v/>
      </c>
      <c r="Z1401" s="586" t="str">
        <f t="shared" si="349"/>
        <v/>
      </c>
    </row>
    <row r="1402" spans="1:26" ht="23.25" hidden="1" thickBot="1" x14ac:dyDescent="0.25">
      <c r="A1402" s="567">
        <v>91975</v>
      </c>
      <c r="B1402" s="644">
        <v>91975</v>
      </c>
      <c r="C1402" s="645" t="s">
        <v>670</v>
      </c>
      <c r="D1402" s="422" t="s">
        <v>1253</v>
      </c>
      <c r="E1402" s="423"/>
      <c r="F1402" s="424"/>
      <c r="G1402" s="425"/>
      <c r="H1402" s="651"/>
      <c r="I1402" s="420">
        <v>92.13</v>
      </c>
      <c r="J1402" s="420">
        <f t="shared" si="348"/>
        <v>92.13</v>
      </c>
      <c r="K1402" s="421">
        <f t="shared" si="347"/>
        <v>109.46</v>
      </c>
      <c r="L1402" s="647" t="s">
        <v>2065</v>
      </c>
      <c r="M1402" s="576"/>
      <c r="N1402" s="576">
        <f t="shared" si="350"/>
        <v>0</v>
      </c>
      <c r="O1402" s="577">
        <f t="shared" si="355"/>
        <v>0</v>
      </c>
      <c r="P1402" s="578">
        <f t="shared" si="356"/>
        <v>0</v>
      </c>
      <c r="Q1402" s="765"/>
      <c r="R1402" s="576">
        <f t="shared" si="352"/>
        <v>0</v>
      </c>
      <c r="S1402" s="576">
        <f t="shared" si="352"/>
        <v>0</v>
      </c>
      <c r="T1402" s="577">
        <f t="shared" si="353"/>
        <v>0</v>
      </c>
      <c r="U1402" s="578">
        <f t="shared" si="354"/>
        <v>0</v>
      </c>
      <c r="V1402" s="579"/>
      <c r="W1402" s="566"/>
      <c r="X1402" s="586" t="str">
        <f t="shared" si="346"/>
        <v/>
      </c>
      <c r="Y1402" s="586" t="str">
        <f t="shared" si="351"/>
        <v/>
      </c>
      <c r="Z1402" s="586" t="str">
        <f t="shared" si="349"/>
        <v/>
      </c>
    </row>
    <row r="1403" spans="1:26" ht="23.25" hidden="1" thickBot="1" x14ac:dyDescent="0.25">
      <c r="A1403" s="567">
        <v>91976</v>
      </c>
      <c r="B1403" s="644">
        <v>91976</v>
      </c>
      <c r="C1403" s="645" t="s">
        <v>670</v>
      </c>
      <c r="D1403" s="422" t="s">
        <v>1254</v>
      </c>
      <c r="E1403" s="423"/>
      <c r="F1403" s="424"/>
      <c r="G1403" s="425"/>
      <c r="H1403" s="651"/>
      <c r="I1403" s="420">
        <v>112.75</v>
      </c>
      <c r="J1403" s="420">
        <f t="shared" si="348"/>
        <v>112.75</v>
      </c>
      <c r="K1403" s="421">
        <f t="shared" si="347"/>
        <v>133.96</v>
      </c>
      <c r="L1403" s="647" t="s">
        <v>2065</v>
      </c>
      <c r="M1403" s="576"/>
      <c r="N1403" s="576">
        <f t="shared" si="350"/>
        <v>0</v>
      </c>
      <c r="O1403" s="577">
        <f t="shared" si="355"/>
        <v>0</v>
      </c>
      <c r="P1403" s="578">
        <f t="shared" si="356"/>
        <v>0</v>
      </c>
      <c r="Q1403" s="765"/>
      <c r="R1403" s="576">
        <f t="shared" si="352"/>
        <v>0</v>
      </c>
      <c r="S1403" s="576">
        <f t="shared" si="352"/>
        <v>0</v>
      </c>
      <c r="T1403" s="577">
        <f t="shared" si="353"/>
        <v>0</v>
      </c>
      <c r="U1403" s="578">
        <f t="shared" si="354"/>
        <v>0</v>
      </c>
      <c r="V1403" s="579"/>
      <c r="W1403" s="566"/>
      <c r="X1403" s="586" t="str">
        <f t="shared" si="346"/>
        <v/>
      </c>
      <c r="Y1403" s="586" t="str">
        <f t="shared" si="351"/>
        <v/>
      </c>
      <c r="Z1403" s="586" t="str">
        <f t="shared" si="349"/>
        <v/>
      </c>
    </row>
    <row r="1404" spans="1:26" ht="23.25" hidden="1" thickBot="1" x14ac:dyDescent="0.25">
      <c r="A1404" s="567">
        <v>91977</v>
      </c>
      <c r="B1404" s="644">
        <v>91977</v>
      </c>
      <c r="C1404" s="645" t="s">
        <v>670</v>
      </c>
      <c r="D1404" s="422" t="s">
        <v>1255</v>
      </c>
      <c r="E1404" s="423"/>
      <c r="F1404" s="424"/>
      <c r="G1404" s="425"/>
      <c r="H1404" s="651"/>
      <c r="I1404" s="420">
        <v>128.63999999999999</v>
      </c>
      <c r="J1404" s="420">
        <f t="shared" si="348"/>
        <v>128.63999999999999</v>
      </c>
      <c r="K1404" s="421">
        <f t="shared" si="347"/>
        <v>152.84</v>
      </c>
      <c r="L1404" s="647" t="s">
        <v>2065</v>
      </c>
      <c r="M1404" s="576"/>
      <c r="N1404" s="576">
        <f t="shared" si="350"/>
        <v>0</v>
      </c>
      <c r="O1404" s="577">
        <f t="shared" si="355"/>
        <v>0</v>
      </c>
      <c r="P1404" s="578">
        <f t="shared" si="356"/>
        <v>0</v>
      </c>
      <c r="Q1404" s="765"/>
      <c r="R1404" s="576">
        <f t="shared" si="352"/>
        <v>0</v>
      </c>
      <c r="S1404" s="576">
        <f t="shared" si="352"/>
        <v>0</v>
      </c>
      <c r="T1404" s="577">
        <f t="shared" si="353"/>
        <v>0</v>
      </c>
      <c r="U1404" s="578">
        <f t="shared" si="354"/>
        <v>0</v>
      </c>
      <c r="V1404" s="579"/>
      <c r="W1404" s="566"/>
      <c r="X1404" s="586" t="str">
        <f t="shared" si="346"/>
        <v/>
      </c>
      <c r="Y1404" s="586" t="str">
        <f t="shared" si="351"/>
        <v/>
      </c>
      <c r="Z1404" s="586" t="str">
        <f t="shared" si="349"/>
        <v/>
      </c>
    </row>
    <row r="1405" spans="1:26" ht="23.25" hidden="1" thickBot="1" x14ac:dyDescent="0.25">
      <c r="A1405" s="567">
        <v>92022</v>
      </c>
      <c r="B1405" s="644">
        <v>92022</v>
      </c>
      <c r="C1405" s="645" t="s">
        <v>670</v>
      </c>
      <c r="D1405" s="422" t="s">
        <v>1256</v>
      </c>
      <c r="E1405" s="423"/>
      <c r="F1405" s="424"/>
      <c r="G1405" s="425"/>
      <c r="H1405" s="651"/>
      <c r="I1405" s="420">
        <v>45.13</v>
      </c>
      <c r="J1405" s="420">
        <f t="shared" si="348"/>
        <v>45.13</v>
      </c>
      <c r="K1405" s="421">
        <f t="shared" si="347"/>
        <v>53.62</v>
      </c>
      <c r="L1405" s="647" t="s">
        <v>2065</v>
      </c>
      <c r="M1405" s="576"/>
      <c r="N1405" s="576">
        <f t="shared" si="350"/>
        <v>0</v>
      </c>
      <c r="O1405" s="577">
        <f t="shared" si="355"/>
        <v>0</v>
      </c>
      <c r="P1405" s="578">
        <f t="shared" si="356"/>
        <v>0</v>
      </c>
      <c r="Q1405" s="765"/>
      <c r="R1405" s="576">
        <f t="shared" si="352"/>
        <v>0</v>
      </c>
      <c r="S1405" s="576">
        <f t="shared" si="352"/>
        <v>0</v>
      </c>
      <c r="T1405" s="577">
        <f t="shared" si="353"/>
        <v>0</v>
      </c>
      <c r="U1405" s="578">
        <f t="shared" si="354"/>
        <v>0</v>
      </c>
      <c r="V1405" s="579"/>
      <c r="W1405" s="566"/>
      <c r="X1405" s="586" t="str">
        <f t="shared" ref="X1405:X1468" si="357">IF(W1405="X","x",IF(W1405="xx","x",IF(W1405="xy","x",IF(W1405="y","x",IF(OR(P1405&gt;0,U1405&gt;0),"x","")))))</f>
        <v/>
      </c>
      <c r="Y1405" s="586" t="str">
        <f t="shared" si="351"/>
        <v/>
      </c>
      <c r="Z1405" s="586" t="str">
        <f t="shared" si="349"/>
        <v/>
      </c>
    </row>
    <row r="1406" spans="1:26" ht="23.25" hidden="1" thickBot="1" x14ac:dyDescent="0.25">
      <c r="A1406" s="567">
        <v>92023</v>
      </c>
      <c r="B1406" s="644">
        <v>92023</v>
      </c>
      <c r="C1406" s="645" t="s">
        <v>670</v>
      </c>
      <c r="D1406" s="422" t="s">
        <v>1257</v>
      </c>
      <c r="E1406" s="423"/>
      <c r="F1406" s="424"/>
      <c r="G1406" s="425"/>
      <c r="H1406" s="651"/>
      <c r="I1406" s="420">
        <v>54.86</v>
      </c>
      <c r="J1406" s="420">
        <f t="shared" si="348"/>
        <v>54.86</v>
      </c>
      <c r="K1406" s="421">
        <f t="shared" si="347"/>
        <v>65.180000000000007</v>
      </c>
      <c r="L1406" s="647" t="s">
        <v>2065</v>
      </c>
      <c r="M1406" s="576"/>
      <c r="N1406" s="576">
        <f t="shared" si="350"/>
        <v>0</v>
      </c>
      <c r="O1406" s="577">
        <f t="shared" si="355"/>
        <v>0</v>
      </c>
      <c r="P1406" s="578">
        <f t="shared" si="356"/>
        <v>0</v>
      </c>
      <c r="Q1406" s="765"/>
      <c r="R1406" s="576">
        <f t="shared" si="352"/>
        <v>0</v>
      </c>
      <c r="S1406" s="576">
        <f t="shared" si="352"/>
        <v>0</v>
      </c>
      <c r="T1406" s="577">
        <f t="shared" si="353"/>
        <v>0</v>
      </c>
      <c r="U1406" s="578">
        <f t="shared" si="354"/>
        <v>0</v>
      </c>
      <c r="V1406" s="579"/>
      <c r="W1406" s="566"/>
      <c r="X1406" s="586" t="str">
        <f t="shared" si="357"/>
        <v/>
      </c>
      <c r="Y1406" s="586" t="str">
        <f t="shared" si="351"/>
        <v/>
      </c>
      <c r="Z1406" s="586" t="str">
        <f t="shared" si="349"/>
        <v/>
      </c>
    </row>
    <row r="1407" spans="1:26" ht="23.25" hidden="1" thickBot="1" x14ac:dyDescent="0.25">
      <c r="A1407" s="567">
        <v>92024</v>
      </c>
      <c r="B1407" s="644">
        <v>92024</v>
      </c>
      <c r="C1407" s="645" t="s">
        <v>670</v>
      </c>
      <c r="D1407" s="422" t="s">
        <v>1258</v>
      </c>
      <c r="E1407" s="423"/>
      <c r="F1407" s="424"/>
      <c r="G1407" s="425"/>
      <c r="H1407" s="651"/>
      <c r="I1407" s="420">
        <v>68.989999999999995</v>
      </c>
      <c r="J1407" s="420">
        <f t="shared" si="348"/>
        <v>68.989999999999995</v>
      </c>
      <c r="K1407" s="421">
        <f t="shared" si="347"/>
        <v>81.97</v>
      </c>
      <c r="L1407" s="647" t="s">
        <v>2065</v>
      </c>
      <c r="M1407" s="576"/>
      <c r="N1407" s="576">
        <f t="shared" si="350"/>
        <v>0</v>
      </c>
      <c r="O1407" s="577">
        <f t="shared" si="355"/>
        <v>0</v>
      </c>
      <c r="P1407" s="578">
        <f t="shared" si="356"/>
        <v>0</v>
      </c>
      <c r="Q1407" s="765"/>
      <c r="R1407" s="576">
        <f t="shared" si="352"/>
        <v>0</v>
      </c>
      <c r="S1407" s="576">
        <f t="shared" si="352"/>
        <v>0</v>
      </c>
      <c r="T1407" s="577">
        <f t="shared" si="353"/>
        <v>0</v>
      </c>
      <c r="U1407" s="578">
        <f t="shared" si="354"/>
        <v>0</v>
      </c>
      <c r="V1407" s="579"/>
      <c r="W1407" s="566"/>
      <c r="X1407" s="586" t="str">
        <f t="shared" si="357"/>
        <v/>
      </c>
      <c r="Y1407" s="586" t="str">
        <f t="shared" si="351"/>
        <v/>
      </c>
      <c r="Z1407" s="586" t="str">
        <f t="shared" si="349"/>
        <v/>
      </c>
    </row>
    <row r="1408" spans="1:26" ht="23.25" hidden="1" thickBot="1" x14ac:dyDescent="0.25">
      <c r="A1408" s="567">
        <v>92025</v>
      </c>
      <c r="B1408" s="644">
        <v>92025</v>
      </c>
      <c r="C1408" s="645" t="s">
        <v>670</v>
      </c>
      <c r="D1408" s="422" t="s">
        <v>1259</v>
      </c>
      <c r="E1408" s="423"/>
      <c r="F1408" s="424"/>
      <c r="G1408" s="425"/>
      <c r="H1408" s="651"/>
      <c r="I1408" s="420">
        <v>78.72</v>
      </c>
      <c r="J1408" s="420">
        <f t="shared" si="348"/>
        <v>78.72</v>
      </c>
      <c r="K1408" s="421">
        <f t="shared" si="347"/>
        <v>93.53</v>
      </c>
      <c r="L1408" s="647" t="s">
        <v>2065</v>
      </c>
      <c r="M1408" s="576"/>
      <c r="N1408" s="576">
        <f t="shared" si="350"/>
        <v>0</v>
      </c>
      <c r="O1408" s="577">
        <f t="shared" si="355"/>
        <v>0</v>
      </c>
      <c r="P1408" s="578">
        <f t="shared" si="356"/>
        <v>0</v>
      </c>
      <c r="Q1408" s="765"/>
      <c r="R1408" s="576">
        <f t="shared" si="352"/>
        <v>0</v>
      </c>
      <c r="S1408" s="576">
        <f t="shared" si="352"/>
        <v>0</v>
      </c>
      <c r="T1408" s="577">
        <f t="shared" si="353"/>
        <v>0</v>
      </c>
      <c r="U1408" s="578">
        <f t="shared" si="354"/>
        <v>0</v>
      </c>
      <c r="V1408" s="579"/>
      <c r="W1408" s="566"/>
      <c r="X1408" s="586" t="str">
        <f t="shared" si="357"/>
        <v/>
      </c>
      <c r="Y1408" s="586" t="str">
        <f t="shared" si="351"/>
        <v/>
      </c>
      <c r="Z1408" s="586" t="str">
        <f t="shared" si="349"/>
        <v/>
      </c>
    </row>
    <row r="1409" spans="1:26" ht="23.25" hidden="1" thickBot="1" x14ac:dyDescent="0.25">
      <c r="A1409" s="567">
        <v>92026</v>
      </c>
      <c r="B1409" s="644">
        <v>92026</v>
      </c>
      <c r="C1409" s="645" t="s">
        <v>670</v>
      </c>
      <c r="D1409" s="422" t="s">
        <v>1260</v>
      </c>
      <c r="E1409" s="423"/>
      <c r="F1409" s="424"/>
      <c r="G1409" s="425"/>
      <c r="H1409" s="651"/>
      <c r="I1409" s="420">
        <v>63.33</v>
      </c>
      <c r="J1409" s="420">
        <f t="shared" si="348"/>
        <v>63.33</v>
      </c>
      <c r="K1409" s="421">
        <f t="shared" si="347"/>
        <v>75.239999999999995</v>
      </c>
      <c r="L1409" s="647" t="s">
        <v>2065</v>
      </c>
      <c r="M1409" s="576"/>
      <c r="N1409" s="576">
        <f t="shared" si="350"/>
        <v>0</v>
      </c>
      <c r="O1409" s="577">
        <f t="shared" si="355"/>
        <v>0</v>
      </c>
      <c r="P1409" s="578">
        <f t="shared" si="356"/>
        <v>0</v>
      </c>
      <c r="Q1409" s="765"/>
      <c r="R1409" s="576">
        <f t="shared" si="352"/>
        <v>0</v>
      </c>
      <c r="S1409" s="576">
        <f t="shared" si="352"/>
        <v>0</v>
      </c>
      <c r="T1409" s="577">
        <f t="shared" si="353"/>
        <v>0</v>
      </c>
      <c r="U1409" s="578">
        <f t="shared" si="354"/>
        <v>0</v>
      </c>
      <c r="V1409" s="579"/>
      <c r="W1409" s="566"/>
      <c r="X1409" s="586" t="str">
        <f t="shared" si="357"/>
        <v/>
      </c>
      <c r="Y1409" s="586" t="str">
        <f t="shared" si="351"/>
        <v/>
      </c>
      <c r="Z1409" s="586" t="str">
        <f t="shared" si="349"/>
        <v/>
      </c>
    </row>
    <row r="1410" spans="1:26" ht="23.25" hidden="1" thickBot="1" x14ac:dyDescent="0.25">
      <c r="A1410" s="567">
        <v>92027</v>
      </c>
      <c r="B1410" s="644">
        <v>92027</v>
      </c>
      <c r="C1410" s="645" t="s">
        <v>670</v>
      </c>
      <c r="D1410" s="422" t="s">
        <v>1261</v>
      </c>
      <c r="E1410" s="423"/>
      <c r="F1410" s="424"/>
      <c r="G1410" s="425"/>
      <c r="H1410" s="651"/>
      <c r="I1410" s="420">
        <v>73.06</v>
      </c>
      <c r="J1410" s="420">
        <f t="shared" si="348"/>
        <v>73.06</v>
      </c>
      <c r="K1410" s="421">
        <f t="shared" si="347"/>
        <v>86.8</v>
      </c>
      <c r="L1410" s="647" t="s">
        <v>2065</v>
      </c>
      <c r="M1410" s="576"/>
      <c r="N1410" s="576">
        <f t="shared" si="350"/>
        <v>0</v>
      </c>
      <c r="O1410" s="577">
        <f t="shared" si="355"/>
        <v>0</v>
      </c>
      <c r="P1410" s="578">
        <f t="shared" si="356"/>
        <v>0</v>
      </c>
      <c r="Q1410" s="765"/>
      <c r="R1410" s="576">
        <f t="shared" si="352"/>
        <v>0</v>
      </c>
      <c r="S1410" s="576">
        <f t="shared" si="352"/>
        <v>0</v>
      </c>
      <c r="T1410" s="577">
        <f t="shared" si="353"/>
        <v>0</v>
      </c>
      <c r="U1410" s="578">
        <f t="shared" si="354"/>
        <v>0</v>
      </c>
      <c r="V1410" s="579"/>
      <c r="W1410" s="566"/>
      <c r="X1410" s="586" t="str">
        <f t="shared" si="357"/>
        <v/>
      </c>
      <c r="Y1410" s="586" t="str">
        <f t="shared" si="351"/>
        <v/>
      </c>
      <c r="Z1410" s="586" t="str">
        <f t="shared" si="349"/>
        <v/>
      </c>
    </row>
    <row r="1411" spans="1:26" ht="23.25" hidden="1" thickBot="1" x14ac:dyDescent="0.25">
      <c r="A1411" s="567">
        <v>92034</v>
      </c>
      <c r="B1411" s="644">
        <v>92034</v>
      </c>
      <c r="C1411" s="645" t="s">
        <v>670</v>
      </c>
      <c r="D1411" s="422" t="s">
        <v>1262</v>
      </c>
      <c r="E1411" s="423"/>
      <c r="F1411" s="424"/>
      <c r="G1411" s="425"/>
      <c r="H1411" s="651"/>
      <c r="I1411" s="420">
        <v>70.569999999999993</v>
      </c>
      <c r="J1411" s="420">
        <f t="shared" si="348"/>
        <v>70.569999999999993</v>
      </c>
      <c r="K1411" s="421">
        <f t="shared" si="347"/>
        <v>83.84</v>
      </c>
      <c r="L1411" s="647" t="s">
        <v>2065</v>
      </c>
      <c r="M1411" s="576"/>
      <c r="N1411" s="576">
        <f t="shared" si="350"/>
        <v>0</v>
      </c>
      <c r="O1411" s="577">
        <f t="shared" si="355"/>
        <v>0</v>
      </c>
      <c r="P1411" s="578">
        <f t="shared" si="356"/>
        <v>0</v>
      </c>
      <c r="Q1411" s="765"/>
      <c r="R1411" s="576">
        <f t="shared" si="352"/>
        <v>0</v>
      </c>
      <c r="S1411" s="576">
        <f t="shared" si="352"/>
        <v>0</v>
      </c>
      <c r="T1411" s="577">
        <f t="shared" si="353"/>
        <v>0</v>
      </c>
      <c r="U1411" s="578">
        <f t="shared" si="354"/>
        <v>0</v>
      </c>
      <c r="V1411" s="579"/>
      <c r="W1411" s="566"/>
      <c r="X1411" s="586" t="str">
        <f t="shared" si="357"/>
        <v/>
      </c>
      <c r="Y1411" s="586" t="str">
        <f t="shared" si="351"/>
        <v/>
      </c>
      <c r="Z1411" s="586" t="str">
        <f t="shared" si="349"/>
        <v/>
      </c>
    </row>
    <row r="1412" spans="1:26" ht="23.25" hidden="1" thickBot="1" x14ac:dyDescent="0.25">
      <c r="A1412" s="567">
        <v>92035</v>
      </c>
      <c r="B1412" s="644">
        <v>92035</v>
      </c>
      <c r="C1412" s="645" t="s">
        <v>670</v>
      </c>
      <c r="D1412" s="422" t="s">
        <v>1263</v>
      </c>
      <c r="E1412" s="423"/>
      <c r="F1412" s="424"/>
      <c r="G1412" s="425"/>
      <c r="H1412" s="651"/>
      <c r="I1412" s="420">
        <v>80.3</v>
      </c>
      <c r="J1412" s="420">
        <f t="shared" si="348"/>
        <v>80.3</v>
      </c>
      <c r="K1412" s="421">
        <f t="shared" si="347"/>
        <v>95.4</v>
      </c>
      <c r="L1412" s="647" t="s">
        <v>2065</v>
      </c>
      <c r="M1412" s="576"/>
      <c r="N1412" s="576">
        <f t="shared" si="350"/>
        <v>0</v>
      </c>
      <c r="O1412" s="577">
        <f t="shared" si="355"/>
        <v>0</v>
      </c>
      <c r="P1412" s="578">
        <f t="shared" si="356"/>
        <v>0</v>
      </c>
      <c r="Q1412" s="765"/>
      <c r="R1412" s="576">
        <f t="shared" si="352"/>
        <v>0</v>
      </c>
      <c r="S1412" s="576">
        <f t="shared" si="352"/>
        <v>0</v>
      </c>
      <c r="T1412" s="577">
        <f t="shared" si="353"/>
        <v>0</v>
      </c>
      <c r="U1412" s="578">
        <f t="shared" si="354"/>
        <v>0</v>
      </c>
      <c r="V1412" s="579"/>
      <c r="W1412" s="566"/>
      <c r="X1412" s="586" t="str">
        <f t="shared" si="357"/>
        <v/>
      </c>
      <c r="Y1412" s="586" t="str">
        <f t="shared" si="351"/>
        <v/>
      </c>
      <c r="Z1412" s="586" t="str">
        <f t="shared" si="349"/>
        <v/>
      </c>
    </row>
    <row r="1413" spans="1:26" ht="23.25" hidden="1" thickBot="1" x14ac:dyDescent="0.25">
      <c r="A1413" s="567">
        <v>91954</v>
      </c>
      <c r="B1413" s="644">
        <v>91954</v>
      </c>
      <c r="C1413" s="645" t="s">
        <v>670</v>
      </c>
      <c r="D1413" s="422" t="s">
        <v>1264</v>
      </c>
      <c r="E1413" s="423"/>
      <c r="F1413" s="424"/>
      <c r="G1413" s="425"/>
      <c r="H1413" s="651"/>
      <c r="I1413" s="420">
        <v>28.57</v>
      </c>
      <c r="J1413" s="420">
        <f t="shared" si="348"/>
        <v>28.57</v>
      </c>
      <c r="K1413" s="421">
        <f t="shared" si="347"/>
        <v>33.94</v>
      </c>
      <c r="L1413" s="647" t="s">
        <v>2065</v>
      </c>
      <c r="M1413" s="576"/>
      <c r="N1413" s="576">
        <f t="shared" si="350"/>
        <v>0</v>
      </c>
      <c r="O1413" s="577">
        <f t="shared" si="355"/>
        <v>0</v>
      </c>
      <c r="P1413" s="578">
        <f t="shared" si="356"/>
        <v>0</v>
      </c>
      <c r="Q1413" s="765"/>
      <c r="R1413" s="576">
        <f t="shared" si="352"/>
        <v>0</v>
      </c>
      <c r="S1413" s="576">
        <f t="shared" si="352"/>
        <v>0</v>
      </c>
      <c r="T1413" s="577">
        <f t="shared" si="353"/>
        <v>0</v>
      </c>
      <c r="U1413" s="578">
        <f t="shared" si="354"/>
        <v>0</v>
      </c>
      <c r="V1413" s="579"/>
      <c r="W1413" s="566"/>
      <c r="X1413" s="586" t="str">
        <f t="shared" si="357"/>
        <v/>
      </c>
      <c r="Y1413" s="586" t="str">
        <f t="shared" si="351"/>
        <v/>
      </c>
      <c r="Z1413" s="586" t="str">
        <f t="shared" si="349"/>
        <v/>
      </c>
    </row>
    <row r="1414" spans="1:26" ht="23.25" hidden="1" thickBot="1" x14ac:dyDescent="0.25">
      <c r="A1414" s="567">
        <v>91955</v>
      </c>
      <c r="B1414" s="644">
        <v>91955</v>
      </c>
      <c r="C1414" s="645" t="s">
        <v>670</v>
      </c>
      <c r="D1414" s="422" t="s">
        <v>1265</v>
      </c>
      <c r="E1414" s="423"/>
      <c r="F1414" s="424"/>
      <c r="G1414" s="425"/>
      <c r="H1414" s="651"/>
      <c r="I1414" s="420">
        <v>38.299999999999997</v>
      </c>
      <c r="J1414" s="420">
        <f t="shared" si="348"/>
        <v>38.299999999999997</v>
      </c>
      <c r="K1414" s="421">
        <f t="shared" si="347"/>
        <v>45.5</v>
      </c>
      <c r="L1414" s="647" t="s">
        <v>2065</v>
      </c>
      <c r="M1414" s="576"/>
      <c r="N1414" s="576">
        <f t="shared" si="350"/>
        <v>0</v>
      </c>
      <c r="O1414" s="577">
        <f t="shared" si="355"/>
        <v>0</v>
      </c>
      <c r="P1414" s="578">
        <f t="shared" si="356"/>
        <v>0</v>
      </c>
      <c r="Q1414" s="765"/>
      <c r="R1414" s="576">
        <f t="shared" si="352"/>
        <v>0</v>
      </c>
      <c r="S1414" s="576">
        <f t="shared" si="352"/>
        <v>0</v>
      </c>
      <c r="T1414" s="577">
        <f t="shared" si="353"/>
        <v>0</v>
      </c>
      <c r="U1414" s="578">
        <f t="shared" si="354"/>
        <v>0</v>
      </c>
      <c r="V1414" s="579"/>
      <c r="W1414" s="566"/>
      <c r="X1414" s="586" t="str">
        <f t="shared" si="357"/>
        <v/>
      </c>
      <c r="Y1414" s="586" t="str">
        <f t="shared" si="351"/>
        <v/>
      </c>
      <c r="Z1414" s="586" t="str">
        <f t="shared" si="349"/>
        <v/>
      </c>
    </row>
    <row r="1415" spans="1:26" ht="23.25" hidden="1" thickBot="1" x14ac:dyDescent="0.25">
      <c r="A1415" s="567">
        <v>91960</v>
      </c>
      <c r="B1415" s="644">
        <v>91960</v>
      </c>
      <c r="C1415" s="645" t="s">
        <v>670</v>
      </c>
      <c r="D1415" s="422" t="s">
        <v>1266</v>
      </c>
      <c r="E1415" s="423"/>
      <c r="F1415" s="424"/>
      <c r="G1415" s="425"/>
      <c r="H1415" s="651"/>
      <c r="I1415" s="420">
        <v>53.95</v>
      </c>
      <c r="J1415" s="420">
        <f t="shared" si="348"/>
        <v>53.95</v>
      </c>
      <c r="K1415" s="421">
        <f t="shared" si="347"/>
        <v>64.099999999999994</v>
      </c>
      <c r="L1415" s="647" t="s">
        <v>2065</v>
      </c>
      <c r="M1415" s="576"/>
      <c r="N1415" s="576">
        <f t="shared" si="350"/>
        <v>0</v>
      </c>
      <c r="O1415" s="577">
        <f t="shared" si="355"/>
        <v>0</v>
      </c>
      <c r="P1415" s="578">
        <f t="shared" si="356"/>
        <v>0</v>
      </c>
      <c r="Q1415" s="765"/>
      <c r="R1415" s="576">
        <f t="shared" si="352"/>
        <v>0</v>
      </c>
      <c r="S1415" s="576">
        <f t="shared" si="352"/>
        <v>0</v>
      </c>
      <c r="T1415" s="577">
        <f t="shared" si="353"/>
        <v>0</v>
      </c>
      <c r="U1415" s="578">
        <f t="shared" si="354"/>
        <v>0</v>
      </c>
      <c r="V1415" s="579"/>
      <c r="W1415" s="566"/>
      <c r="X1415" s="586" t="str">
        <f t="shared" si="357"/>
        <v/>
      </c>
      <c r="Y1415" s="586" t="str">
        <f t="shared" si="351"/>
        <v/>
      </c>
      <c r="Z1415" s="586" t="str">
        <f t="shared" si="349"/>
        <v/>
      </c>
    </row>
    <row r="1416" spans="1:26" ht="23.25" hidden="1" thickBot="1" x14ac:dyDescent="0.25">
      <c r="A1416" s="567">
        <v>91961</v>
      </c>
      <c r="B1416" s="644">
        <v>91961</v>
      </c>
      <c r="C1416" s="645" t="s">
        <v>670</v>
      </c>
      <c r="D1416" s="422" t="s">
        <v>1267</v>
      </c>
      <c r="E1416" s="423"/>
      <c r="F1416" s="424"/>
      <c r="G1416" s="425"/>
      <c r="H1416" s="651"/>
      <c r="I1416" s="420">
        <v>63.68</v>
      </c>
      <c r="J1416" s="420">
        <f t="shared" si="348"/>
        <v>63.68</v>
      </c>
      <c r="K1416" s="421">
        <f t="shared" si="347"/>
        <v>75.66</v>
      </c>
      <c r="L1416" s="647" t="s">
        <v>2065</v>
      </c>
      <c r="M1416" s="576"/>
      <c r="N1416" s="576">
        <f t="shared" si="350"/>
        <v>0</v>
      </c>
      <c r="O1416" s="577">
        <f t="shared" si="355"/>
        <v>0</v>
      </c>
      <c r="P1416" s="578">
        <f t="shared" si="356"/>
        <v>0</v>
      </c>
      <c r="Q1416" s="765"/>
      <c r="R1416" s="576">
        <f t="shared" si="352"/>
        <v>0</v>
      </c>
      <c r="S1416" s="576">
        <f t="shared" si="352"/>
        <v>0</v>
      </c>
      <c r="T1416" s="577">
        <f t="shared" si="353"/>
        <v>0</v>
      </c>
      <c r="U1416" s="578">
        <f t="shared" si="354"/>
        <v>0</v>
      </c>
      <c r="V1416" s="579"/>
      <c r="W1416" s="566"/>
      <c r="X1416" s="586" t="str">
        <f t="shared" si="357"/>
        <v/>
      </c>
      <c r="Y1416" s="586" t="str">
        <f t="shared" si="351"/>
        <v/>
      </c>
      <c r="Z1416" s="586" t="str">
        <f t="shared" si="349"/>
        <v/>
      </c>
    </row>
    <row r="1417" spans="1:26" ht="23.25" hidden="1" thickBot="1" x14ac:dyDescent="0.25">
      <c r="A1417" s="567">
        <v>91968</v>
      </c>
      <c r="B1417" s="644">
        <v>91968</v>
      </c>
      <c r="C1417" s="645" t="s">
        <v>670</v>
      </c>
      <c r="D1417" s="422" t="s">
        <v>1268</v>
      </c>
      <c r="E1417" s="423"/>
      <c r="F1417" s="424"/>
      <c r="G1417" s="425"/>
      <c r="H1417" s="651"/>
      <c r="I1417" s="420">
        <v>79.349999999999994</v>
      </c>
      <c r="J1417" s="420">
        <f t="shared" si="348"/>
        <v>79.349999999999994</v>
      </c>
      <c r="K1417" s="421">
        <f t="shared" ref="K1417:K1480" si="358">IF(ISBLANK(I1417),0,ROUND(J1417*(1+$F$10)*(1+$F$11*E1417),2))</f>
        <v>94.28</v>
      </c>
      <c r="L1417" s="647" t="s">
        <v>2065</v>
      </c>
      <c r="M1417" s="576"/>
      <c r="N1417" s="576">
        <f t="shared" si="350"/>
        <v>0</v>
      </c>
      <c r="O1417" s="577">
        <f t="shared" si="355"/>
        <v>0</v>
      </c>
      <c r="P1417" s="578">
        <f t="shared" si="356"/>
        <v>0</v>
      </c>
      <c r="Q1417" s="765"/>
      <c r="R1417" s="576">
        <f t="shared" si="352"/>
        <v>0</v>
      </c>
      <c r="S1417" s="576">
        <f t="shared" si="352"/>
        <v>0</v>
      </c>
      <c r="T1417" s="577">
        <f t="shared" si="353"/>
        <v>0</v>
      </c>
      <c r="U1417" s="578">
        <f t="shared" si="354"/>
        <v>0</v>
      </c>
      <c r="V1417" s="579"/>
      <c r="W1417" s="566"/>
      <c r="X1417" s="586" t="str">
        <f t="shared" si="357"/>
        <v/>
      </c>
      <c r="Y1417" s="586" t="str">
        <f t="shared" si="351"/>
        <v/>
      </c>
      <c r="Z1417" s="586" t="str">
        <f t="shared" si="349"/>
        <v/>
      </c>
    </row>
    <row r="1418" spans="1:26" ht="23.25" hidden="1" thickBot="1" x14ac:dyDescent="0.25">
      <c r="A1418" s="567">
        <v>91969</v>
      </c>
      <c r="B1418" s="644">
        <v>91969</v>
      </c>
      <c r="C1418" s="645" t="s">
        <v>670</v>
      </c>
      <c r="D1418" s="422" t="s">
        <v>1269</v>
      </c>
      <c r="E1418" s="423"/>
      <c r="F1418" s="424"/>
      <c r="G1418" s="425"/>
      <c r="H1418" s="651"/>
      <c r="I1418" s="420">
        <v>89.08</v>
      </c>
      <c r="J1418" s="420">
        <f t="shared" si="348"/>
        <v>89.08</v>
      </c>
      <c r="K1418" s="421">
        <f t="shared" si="358"/>
        <v>105.84</v>
      </c>
      <c r="L1418" s="647" t="s">
        <v>2065</v>
      </c>
      <c r="M1418" s="576"/>
      <c r="N1418" s="576">
        <f t="shared" si="350"/>
        <v>0</v>
      </c>
      <c r="O1418" s="577">
        <f t="shared" si="355"/>
        <v>0</v>
      </c>
      <c r="P1418" s="578">
        <f t="shared" si="356"/>
        <v>0</v>
      </c>
      <c r="Q1418" s="765"/>
      <c r="R1418" s="576">
        <f t="shared" si="352"/>
        <v>0</v>
      </c>
      <c r="S1418" s="576">
        <f t="shared" si="352"/>
        <v>0</v>
      </c>
      <c r="T1418" s="577">
        <f t="shared" si="353"/>
        <v>0</v>
      </c>
      <c r="U1418" s="578">
        <f t="shared" si="354"/>
        <v>0</v>
      </c>
      <c r="V1418" s="579"/>
      <c r="W1418" s="566"/>
      <c r="X1418" s="586" t="str">
        <f t="shared" si="357"/>
        <v/>
      </c>
      <c r="Y1418" s="586" t="str">
        <f t="shared" si="351"/>
        <v/>
      </c>
      <c r="Z1418" s="586" t="str">
        <f t="shared" si="349"/>
        <v/>
      </c>
    </row>
    <row r="1419" spans="1:26" ht="23.25" hidden="1" thickBot="1" x14ac:dyDescent="0.25">
      <c r="A1419" s="567">
        <v>92028</v>
      </c>
      <c r="B1419" s="644">
        <v>92028</v>
      </c>
      <c r="C1419" s="645" t="s">
        <v>670</v>
      </c>
      <c r="D1419" s="422" t="s">
        <v>1270</v>
      </c>
      <c r="E1419" s="423"/>
      <c r="F1419" s="424"/>
      <c r="G1419" s="425"/>
      <c r="H1419" s="651"/>
      <c r="I1419" s="420">
        <v>52.37</v>
      </c>
      <c r="J1419" s="420">
        <f t="shared" si="348"/>
        <v>52.37</v>
      </c>
      <c r="K1419" s="421">
        <f t="shared" si="358"/>
        <v>62.22</v>
      </c>
      <c r="L1419" s="647" t="s">
        <v>2065</v>
      </c>
      <c r="M1419" s="576"/>
      <c r="N1419" s="576">
        <f t="shared" si="350"/>
        <v>0</v>
      </c>
      <c r="O1419" s="577">
        <f t="shared" si="355"/>
        <v>0</v>
      </c>
      <c r="P1419" s="578">
        <f t="shared" si="356"/>
        <v>0</v>
      </c>
      <c r="Q1419" s="765"/>
      <c r="R1419" s="576">
        <f t="shared" si="352"/>
        <v>0</v>
      </c>
      <c r="S1419" s="576">
        <f t="shared" si="352"/>
        <v>0</v>
      </c>
      <c r="T1419" s="577">
        <f t="shared" si="353"/>
        <v>0</v>
      </c>
      <c r="U1419" s="578">
        <f t="shared" si="354"/>
        <v>0</v>
      </c>
      <c r="V1419" s="579"/>
      <c r="W1419" s="566"/>
      <c r="X1419" s="586" t="str">
        <f t="shared" si="357"/>
        <v/>
      </c>
      <c r="Y1419" s="586" t="str">
        <f t="shared" si="351"/>
        <v/>
      </c>
      <c r="Z1419" s="586" t="str">
        <f t="shared" si="349"/>
        <v/>
      </c>
    </row>
    <row r="1420" spans="1:26" ht="23.25" hidden="1" thickBot="1" x14ac:dyDescent="0.25">
      <c r="A1420" s="567">
        <v>92029</v>
      </c>
      <c r="B1420" s="644">
        <v>92029</v>
      </c>
      <c r="C1420" s="645" t="s">
        <v>670</v>
      </c>
      <c r="D1420" s="422" t="s">
        <v>1271</v>
      </c>
      <c r="E1420" s="423"/>
      <c r="F1420" s="424"/>
      <c r="G1420" s="425"/>
      <c r="H1420" s="651"/>
      <c r="I1420" s="420">
        <v>62.1</v>
      </c>
      <c r="J1420" s="420">
        <f t="shared" si="348"/>
        <v>62.1</v>
      </c>
      <c r="K1420" s="421">
        <f t="shared" si="358"/>
        <v>73.78</v>
      </c>
      <c r="L1420" s="647" t="s">
        <v>2065</v>
      </c>
      <c r="M1420" s="576"/>
      <c r="N1420" s="576">
        <f t="shared" si="350"/>
        <v>0</v>
      </c>
      <c r="O1420" s="577">
        <f t="shared" si="355"/>
        <v>0</v>
      </c>
      <c r="P1420" s="578">
        <f t="shared" si="356"/>
        <v>0</v>
      </c>
      <c r="Q1420" s="765"/>
      <c r="R1420" s="576">
        <f t="shared" si="352"/>
        <v>0</v>
      </c>
      <c r="S1420" s="576">
        <f t="shared" si="352"/>
        <v>0</v>
      </c>
      <c r="T1420" s="577">
        <f t="shared" si="353"/>
        <v>0</v>
      </c>
      <c r="U1420" s="578">
        <f t="shared" si="354"/>
        <v>0</v>
      </c>
      <c r="V1420" s="579"/>
      <c r="W1420" s="566"/>
      <c r="X1420" s="586" t="str">
        <f t="shared" si="357"/>
        <v/>
      </c>
      <c r="Y1420" s="586" t="str">
        <f t="shared" si="351"/>
        <v/>
      </c>
      <c r="Z1420" s="586" t="str">
        <f t="shared" si="349"/>
        <v/>
      </c>
    </row>
    <row r="1421" spans="1:26" ht="23.25" hidden="1" thickBot="1" x14ac:dyDescent="0.25">
      <c r="A1421" s="567">
        <v>92030</v>
      </c>
      <c r="B1421" s="644">
        <v>92030</v>
      </c>
      <c r="C1421" s="645" t="s">
        <v>670</v>
      </c>
      <c r="D1421" s="422" t="s">
        <v>1272</v>
      </c>
      <c r="E1421" s="423"/>
      <c r="F1421" s="424"/>
      <c r="G1421" s="425"/>
      <c r="H1421" s="651"/>
      <c r="I1421" s="420">
        <v>76.19</v>
      </c>
      <c r="J1421" s="420">
        <f t="shared" si="348"/>
        <v>76.19</v>
      </c>
      <c r="K1421" s="421">
        <f t="shared" si="358"/>
        <v>90.52</v>
      </c>
      <c r="L1421" s="647" t="s">
        <v>2065</v>
      </c>
      <c r="M1421" s="576"/>
      <c r="N1421" s="576">
        <f t="shared" si="350"/>
        <v>0</v>
      </c>
      <c r="O1421" s="577">
        <f t="shared" si="355"/>
        <v>0</v>
      </c>
      <c r="P1421" s="578">
        <f t="shared" si="356"/>
        <v>0</v>
      </c>
      <c r="Q1421" s="765"/>
      <c r="R1421" s="576">
        <f t="shared" si="352"/>
        <v>0</v>
      </c>
      <c r="S1421" s="576">
        <f t="shared" si="352"/>
        <v>0</v>
      </c>
      <c r="T1421" s="577">
        <f t="shared" si="353"/>
        <v>0</v>
      </c>
      <c r="U1421" s="578">
        <f t="shared" si="354"/>
        <v>0</v>
      </c>
      <c r="V1421" s="579"/>
      <c r="W1421" s="566"/>
      <c r="X1421" s="586" t="str">
        <f t="shared" si="357"/>
        <v/>
      </c>
      <c r="Y1421" s="586" t="str">
        <f t="shared" si="351"/>
        <v/>
      </c>
      <c r="Z1421" s="586" t="str">
        <f t="shared" si="349"/>
        <v/>
      </c>
    </row>
    <row r="1422" spans="1:26" ht="23.25" hidden="1" thickBot="1" x14ac:dyDescent="0.25">
      <c r="A1422" s="567">
        <v>92031</v>
      </c>
      <c r="B1422" s="644">
        <v>92031</v>
      </c>
      <c r="C1422" s="645" t="s">
        <v>670</v>
      </c>
      <c r="D1422" s="422" t="s">
        <v>1273</v>
      </c>
      <c r="E1422" s="423"/>
      <c r="F1422" s="424"/>
      <c r="G1422" s="425"/>
      <c r="H1422" s="651"/>
      <c r="I1422" s="420">
        <v>85.92</v>
      </c>
      <c r="J1422" s="420">
        <f t="shared" si="348"/>
        <v>85.92</v>
      </c>
      <c r="K1422" s="421">
        <f t="shared" si="358"/>
        <v>102.08</v>
      </c>
      <c r="L1422" s="647" t="s">
        <v>2065</v>
      </c>
      <c r="M1422" s="576"/>
      <c r="N1422" s="576">
        <f t="shared" si="350"/>
        <v>0</v>
      </c>
      <c r="O1422" s="577">
        <f t="shared" si="355"/>
        <v>0</v>
      </c>
      <c r="P1422" s="578">
        <f t="shared" si="356"/>
        <v>0</v>
      </c>
      <c r="Q1422" s="765"/>
      <c r="R1422" s="576">
        <f t="shared" si="352"/>
        <v>0</v>
      </c>
      <c r="S1422" s="576">
        <f t="shared" si="352"/>
        <v>0</v>
      </c>
      <c r="T1422" s="577">
        <f t="shared" si="353"/>
        <v>0</v>
      </c>
      <c r="U1422" s="578">
        <f t="shared" si="354"/>
        <v>0</v>
      </c>
      <c r="V1422" s="579"/>
      <c r="W1422" s="566"/>
      <c r="X1422" s="586" t="str">
        <f t="shared" si="357"/>
        <v/>
      </c>
      <c r="Y1422" s="586" t="str">
        <f t="shared" si="351"/>
        <v/>
      </c>
      <c r="Z1422" s="586" t="str">
        <f t="shared" si="349"/>
        <v/>
      </c>
    </row>
    <row r="1423" spans="1:26" ht="23.25" hidden="1" thickBot="1" x14ac:dyDescent="0.25">
      <c r="A1423" s="567">
        <v>92032</v>
      </c>
      <c r="B1423" s="644">
        <v>92032</v>
      </c>
      <c r="C1423" s="645" t="s">
        <v>670</v>
      </c>
      <c r="D1423" s="422" t="s">
        <v>1274</v>
      </c>
      <c r="E1423" s="423"/>
      <c r="F1423" s="424"/>
      <c r="G1423" s="425"/>
      <c r="H1423" s="651"/>
      <c r="I1423" s="420">
        <v>77.77</v>
      </c>
      <c r="J1423" s="420">
        <f t="shared" si="348"/>
        <v>77.77</v>
      </c>
      <c r="K1423" s="421">
        <f t="shared" si="358"/>
        <v>92.4</v>
      </c>
      <c r="L1423" s="647" t="s">
        <v>2065</v>
      </c>
      <c r="M1423" s="576"/>
      <c r="N1423" s="576">
        <f t="shared" si="350"/>
        <v>0</v>
      </c>
      <c r="O1423" s="577">
        <f t="shared" si="355"/>
        <v>0</v>
      </c>
      <c r="P1423" s="578">
        <f t="shared" si="356"/>
        <v>0</v>
      </c>
      <c r="Q1423" s="765"/>
      <c r="R1423" s="576">
        <f t="shared" si="352"/>
        <v>0</v>
      </c>
      <c r="S1423" s="576">
        <f t="shared" si="352"/>
        <v>0</v>
      </c>
      <c r="T1423" s="577">
        <f t="shared" si="353"/>
        <v>0</v>
      </c>
      <c r="U1423" s="578">
        <f t="shared" si="354"/>
        <v>0</v>
      </c>
      <c r="V1423" s="579"/>
      <c r="W1423" s="566"/>
      <c r="X1423" s="586" t="str">
        <f t="shared" si="357"/>
        <v/>
      </c>
      <c r="Y1423" s="586" t="str">
        <f t="shared" si="351"/>
        <v/>
      </c>
      <c r="Z1423" s="586" t="str">
        <f t="shared" si="349"/>
        <v/>
      </c>
    </row>
    <row r="1424" spans="1:26" ht="23.25" hidden="1" thickBot="1" x14ac:dyDescent="0.25">
      <c r="A1424" s="567">
        <v>92033</v>
      </c>
      <c r="B1424" s="644">
        <v>92033</v>
      </c>
      <c r="C1424" s="645" t="s">
        <v>670</v>
      </c>
      <c r="D1424" s="422" t="s">
        <v>1275</v>
      </c>
      <c r="E1424" s="423"/>
      <c r="F1424" s="424"/>
      <c r="G1424" s="425"/>
      <c r="H1424" s="651"/>
      <c r="I1424" s="420">
        <v>87.5</v>
      </c>
      <c r="J1424" s="420">
        <f t="shared" si="348"/>
        <v>87.5</v>
      </c>
      <c r="K1424" s="421">
        <f t="shared" si="358"/>
        <v>103.96</v>
      </c>
      <c r="L1424" s="647" t="s">
        <v>2065</v>
      </c>
      <c r="M1424" s="576"/>
      <c r="N1424" s="576">
        <f t="shared" si="350"/>
        <v>0</v>
      </c>
      <c r="O1424" s="577">
        <f t="shared" si="355"/>
        <v>0</v>
      </c>
      <c r="P1424" s="578">
        <f t="shared" si="356"/>
        <v>0</v>
      </c>
      <c r="Q1424" s="765"/>
      <c r="R1424" s="576">
        <f t="shared" si="352"/>
        <v>0</v>
      </c>
      <c r="S1424" s="576">
        <f t="shared" si="352"/>
        <v>0</v>
      </c>
      <c r="T1424" s="577">
        <f t="shared" si="353"/>
        <v>0</v>
      </c>
      <c r="U1424" s="578">
        <f t="shared" si="354"/>
        <v>0</v>
      </c>
      <c r="V1424" s="579"/>
      <c r="W1424" s="566"/>
      <c r="X1424" s="586" t="str">
        <f t="shared" si="357"/>
        <v/>
      </c>
      <c r="Y1424" s="586" t="str">
        <f t="shared" si="351"/>
        <v/>
      </c>
      <c r="Z1424" s="586" t="str">
        <f t="shared" si="349"/>
        <v/>
      </c>
    </row>
    <row r="1425" spans="1:26" ht="23.25" hidden="1" thickBot="1" x14ac:dyDescent="0.25">
      <c r="A1425" s="567">
        <v>91978</v>
      </c>
      <c r="B1425" s="644">
        <v>91978</v>
      </c>
      <c r="C1425" s="645" t="s">
        <v>670</v>
      </c>
      <c r="D1425" s="422" t="s">
        <v>1276</v>
      </c>
      <c r="E1425" s="423"/>
      <c r="F1425" s="424"/>
      <c r="G1425" s="425"/>
      <c r="H1425" s="651"/>
      <c r="I1425" s="420">
        <v>46.88</v>
      </c>
      <c r="J1425" s="420">
        <f t="shared" si="348"/>
        <v>46.88</v>
      </c>
      <c r="K1425" s="421">
        <f t="shared" si="358"/>
        <v>55.7</v>
      </c>
      <c r="L1425" s="647" t="s">
        <v>2065</v>
      </c>
      <c r="M1425" s="576"/>
      <c r="N1425" s="576">
        <f t="shared" si="350"/>
        <v>0</v>
      </c>
      <c r="O1425" s="577">
        <f t="shared" si="355"/>
        <v>0</v>
      </c>
      <c r="P1425" s="578">
        <f t="shared" si="356"/>
        <v>0</v>
      </c>
      <c r="Q1425" s="765"/>
      <c r="R1425" s="576">
        <f t="shared" si="352"/>
        <v>0</v>
      </c>
      <c r="S1425" s="576">
        <f t="shared" si="352"/>
        <v>0</v>
      </c>
      <c r="T1425" s="577">
        <f t="shared" si="353"/>
        <v>0</v>
      </c>
      <c r="U1425" s="578">
        <f t="shared" si="354"/>
        <v>0</v>
      </c>
      <c r="V1425" s="579"/>
      <c r="W1425" s="566"/>
      <c r="X1425" s="586" t="str">
        <f t="shared" si="357"/>
        <v/>
      </c>
      <c r="Y1425" s="586" t="str">
        <f t="shared" si="351"/>
        <v/>
      </c>
      <c r="Z1425" s="586" t="str">
        <f t="shared" si="349"/>
        <v/>
      </c>
    </row>
    <row r="1426" spans="1:26" ht="23.25" hidden="1" thickBot="1" x14ac:dyDescent="0.25">
      <c r="A1426" s="567">
        <v>91979</v>
      </c>
      <c r="B1426" s="644">
        <v>91979</v>
      </c>
      <c r="C1426" s="645" t="s">
        <v>670</v>
      </c>
      <c r="D1426" s="422" t="s">
        <v>1277</v>
      </c>
      <c r="E1426" s="423"/>
      <c r="F1426" s="424"/>
      <c r="G1426" s="425"/>
      <c r="H1426" s="651"/>
      <c r="I1426" s="420">
        <v>56.61</v>
      </c>
      <c r="J1426" s="420">
        <f t="shared" si="348"/>
        <v>56.61</v>
      </c>
      <c r="K1426" s="421">
        <f t="shared" si="358"/>
        <v>67.260000000000005</v>
      </c>
      <c r="L1426" s="647" t="s">
        <v>2065</v>
      </c>
      <c r="M1426" s="576"/>
      <c r="N1426" s="576">
        <f t="shared" si="350"/>
        <v>0</v>
      </c>
      <c r="O1426" s="577">
        <f t="shared" si="355"/>
        <v>0</v>
      </c>
      <c r="P1426" s="578">
        <f t="shared" si="356"/>
        <v>0</v>
      </c>
      <c r="Q1426" s="765"/>
      <c r="R1426" s="576">
        <f t="shared" si="352"/>
        <v>0</v>
      </c>
      <c r="S1426" s="576">
        <f t="shared" si="352"/>
        <v>0</v>
      </c>
      <c r="T1426" s="577">
        <f t="shared" si="353"/>
        <v>0</v>
      </c>
      <c r="U1426" s="578">
        <f t="shared" si="354"/>
        <v>0</v>
      </c>
      <c r="V1426" s="579"/>
      <c r="W1426" s="566"/>
      <c r="X1426" s="586" t="str">
        <f t="shared" si="357"/>
        <v/>
      </c>
      <c r="Y1426" s="586" t="str">
        <f t="shared" si="351"/>
        <v/>
      </c>
      <c r="Z1426" s="586" t="str">
        <f t="shared" si="349"/>
        <v/>
      </c>
    </row>
    <row r="1427" spans="1:26" ht="23.25" hidden="1" thickBot="1" x14ac:dyDescent="0.25">
      <c r="A1427" s="567">
        <v>91980</v>
      </c>
      <c r="B1427" s="644">
        <v>91980</v>
      </c>
      <c r="C1427" s="645" t="s">
        <v>670</v>
      </c>
      <c r="D1427" s="422" t="s">
        <v>1278</v>
      </c>
      <c r="E1427" s="423"/>
      <c r="F1427" s="424"/>
      <c r="G1427" s="425"/>
      <c r="H1427" s="651"/>
      <c r="I1427" s="420">
        <v>45.2</v>
      </c>
      <c r="J1427" s="420">
        <f t="shared" ref="J1427:J1490" si="359">IF(ISBLANK(I1427),"",SUM(H1427:I1427))</f>
        <v>45.2</v>
      </c>
      <c r="K1427" s="421">
        <f t="shared" si="358"/>
        <v>53.7</v>
      </c>
      <c r="L1427" s="647" t="s">
        <v>2065</v>
      </c>
      <c r="M1427" s="576"/>
      <c r="N1427" s="576">
        <f t="shared" si="350"/>
        <v>0</v>
      </c>
      <c r="O1427" s="577">
        <f t="shared" si="355"/>
        <v>0</v>
      </c>
      <c r="P1427" s="578">
        <f t="shared" si="356"/>
        <v>0</v>
      </c>
      <c r="Q1427" s="765"/>
      <c r="R1427" s="576">
        <f t="shared" si="352"/>
        <v>0</v>
      </c>
      <c r="S1427" s="576">
        <f t="shared" si="352"/>
        <v>0</v>
      </c>
      <c r="T1427" s="577">
        <f t="shared" si="353"/>
        <v>0</v>
      </c>
      <c r="U1427" s="578">
        <f t="shared" si="354"/>
        <v>0</v>
      </c>
      <c r="V1427" s="579"/>
      <c r="W1427" s="566"/>
      <c r="X1427" s="586" t="str">
        <f t="shared" si="357"/>
        <v/>
      </c>
      <c r="Y1427" s="586" t="str">
        <f t="shared" si="351"/>
        <v/>
      </c>
      <c r="Z1427" s="586" t="str">
        <f t="shared" ref="Z1427:Z1490" si="360">IF(W1427="X","x",IF(U1427&gt;0,"x",""))</f>
        <v/>
      </c>
    </row>
    <row r="1428" spans="1:26" ht="23.25" hidden="1" thickBot="1" x14ac:dyDescent="0.25">
      <c r="A1428" s="567">
        <v>91981</v>
      </c>
      <c r="B1428" s="644">
        <v>91981</v>
      </c>
      <c r="C1428" s="645" t="s">
        <v>670</v>
      </c>
      <c r="D1428" s="422" t="s">
        <v>1279</v>
      </c>
      <c r="E1428" s="423"/>
      <c r="F1428" s="424"/>
      <c r="G1428" s="425"/>
      <c r="H1428" s="651"/>
      <c r="I1428" s="420">
        <v>54.93</v>
      </c>
      <c r="J1428" s="420">
        <f t="shared" si="359"/>
        <v>54.93</v>
      </c>
      <c r="K1428" s="421">
        <f t="shared" si="358"/>
        <v>65.260000000000005</v>
      </c>
      <c r="L1428" s="647" t="s">
        <v>2065</v>
      </c>
      <c r="M1428" s="576"/>
      <c r="N1428" s="576">
        <f t="shared" ref="N1428:N1491" si="361">IF(M1428=0,0,K1428)</f>
        <v>0</v>
      </c>
      <c r="O1428" s="577">
        <f t="shared" si="355"/>
        <v>0</v>
      </c>
      <c r="P1428" s="578">
        <f t="shared" si="356"/>
        <v>0</v>
      </c>
      <c r="Q1428" s="765"/>
      <c r="R1428" s="576">
        <f t="shared" si="352"/>
        <v>0</v>
      </c>
      <c r="S1428" s="576">
        <f t="shared" si="352"/>
        <v>0</v>
      </c>
      <c r="T1428" s="577">
        <f t="shared" si="353"/>
        <v>0</v>
      </c>
      <c r="U1428" s="578">
        <f t="shared" si="354"/>
        <v>0</v>
      </c>
      <c r="V1428" s="579"/>
      <c r="W1428" s="566"/>
      <c r="X1428" s="586" t="str">
        <f t="shared" si="357"/>
        <v/>
      </c>
      <c r="Y1428" s="586" t="str">
        <f t="shared" si="351"/>
        <v/>
      </c>
      <c r="Z1428" s="586" t="str">
        <f t="shared" si="360"/>
        <v/>
      </c>
    </row>
    <row r="1429" spans="1:26" ht="23.25" hidden="1" thickBot="1" x14ac:dyDescent="0.25">
      <c r="A1429" s="567">
        <v>91978</v>
      </c>
      <c r="B1429" s="644">
        <v>91978</v>
      </c>
      <c r="C1429" s="645" t="s">
        <v>670</v>
      </c>
      <c r="D1429" s="422" t="s">
        <v>1276</v>
      </c>
      <c r="E1429" s="423"/>
      <c r="F1429" s="424"/>
      <c r="G1429" s="425"/>
      <c r="H1429" s="651"/>
      <c r="I1429" s="420">
        <v>46.88</v>
      </c>
      <c r="J1429" s="420">
        <f t="shared" si="359"/>
        <v>46.88</v>
      </c>
      <c r="K1429" s="421">
        <f t="shared" si="358"/>
        <v>55.7</v>
      </c>
      <c r="L1429" s="647" t="s">
        <v>2065</v>
      </c>
      <c r="M1429" s="576"/>
      <c r="N1429" s="576">
        <f t="shared" si="361"/>
        <v>0</v>
      </c>
      <c r="O1429" s="577">
        <f t="shared" si="355"/>
        <v>0</v>
      </c>
      <c r="P1429" s="578">
        <f t="shared" si="356"/>
        <v>0</v>
      </c>
      <c r="Q1429" s="765"/>
      <c r="R1429" s="576">
        <f t="shared" si="352"/>
        <v>0</v>
      </c>
      <c r="S1429" s="576">
        <f t="shared" si="352"/>
        <v>0</v>
      </c>
      <c r="T1429" s="577">
        <f t="shared" si="353"/>
        <v>0</v>
      </c>
      <c r="U1429" s="578">
        <f t="shared" si="354"/>
        <v>0</v>
      </c>
      <c r="V1429" s="579"/>
      <c r="W1429" s="566"/>
      <c r="X1429" s="586" t="str">
        <f t="shared" si="357"/>
        <v/>
      </c>
      <c r="Y1429" s="586" t="str">
        <f t="shared" si="351"/>
        <v/>
      </c>
      <c r="Z1429" s="586" t="str">
        <f t="shared" si="360"/>
        <v/>
      </c>
    </row>
    <row r="1430" spans="1:26" ht="23.25" hidden="1" thickBot="1" x14ac:dyDescent="0.25">
      <c r="A1430" s="567">
        <v>91979</v>
      </c>
      <c r="B1430" s="644">
        <v>91979</v>
      </c>
      <c r="C1430" s="645" t="s">
        <v>670</v>
      </c>
      <c r="D1430" s="422" t="s">
        <v>1277</v>
      </c>
      <c r="E1430" s="423"/>
      <c r="F1430" s="424"/>
      <c r="G1430" s="425"/>
      <c r="H1430" s="651"/>
      <c r="I1430" s="420">
        <v>56.61</v>
      </c>
      <c r="J1430" s="420">
        <f t="shared" si="359"/>
        <v>56.61</v>
      </c>
      <c r="K1430" s="421">
        <f t="shared" si="358"/>
        <v>67.260000000000005</v>
      </c>
      <c r="L1430" s="647" t="s">
        <v>2065</v>
      </c>
      <c r="M1430" s="576"/>
      <c r="N1430" s="576">
        <f t="shared" si="361"/>
        <v>0</v>
      </c>
      <c r="O1430" s="577">
        <f t="shared" si="355"/>
        <v>0</v>
      </c>
      <c r="P1430" s="578">
        <f t="shared" si="356"/>
        <v>0</v>
      </c>
      <c r="Q1430" s="765"/>
      <c r="R1430" s="576">
        <f t="shared" si="352"/>
        <v>0</v>
      </c>
      <c r="S1430" s="576">
        <f t="shared" si="352"/>
        <v>0</v>
      </c>
      <c r="T1430" s="577">
        <f t="shared" si="353"/>
        <v>0</v>
      </c>
      <c r="U1430" s="578">
        <f t="shared" si="354"/>
        <v>0</v>
      </c>
      <c r="V1430" s="579"/>
      <c r="W1430" s="566"/>
      <c r="X1430" s="586" t="str">
        <f t="shared" si="357"/>
        <v/>
      </c>
      <c r="Y1430" s="586" t="str">
        <f t="shared" si="351"/>
        <v/>
      </c>
      <c r="Z1430" s="586" t="str">
        <f t="shared" si="360"/>
        <v/>
      </c>
    </row>
    <row r="1431" spans="1:26" ht="23.25" hidden="1" thickBot="1" x14ac:dyDescent="0.25">
      <c r="A1431" s="567">
        <v>91980</v>
      </c>
      <c r="B1431" s="644">
        <v>91980</v>
      </c>
      <c r="C1431" s="645" t="s">
        <v>670</v>
      </c>
      <c r="D1431" s="422" t="s">
        <v>1278</v>
      </c>
      <c r="E1431" s="423"/>
      <c r="F1431" s="424"/>
      <c r="G1431" s="425"/>
      <c r="H1431" s="651"/>
      <c r="I1431" s="420">
        <v>45.2</v>
      </c>
      <c r="J1431" s="420">
        <f t="shared" si="359"/>
        <v>45.2</v>
      </c>
      <c r="K1431" s="421">
        <f t="shared" si="358"/>
        <v>53.7</v>
      </c>
      <c r="L1431" s="647" t="s">
        <v>2065</v>
      </c>
      <c r="M1431" s="576"/>
      <c r="N1431" s="576">
        <f t="shared" si="361"/>
        <v>0</v>
      </c>
      <c r="O1431" s="577">
        <f t="shared" si="355"/>
        <v>0</v>
      </c>
      <c r="P1431" s="578">
        <f t="shared" si="356"/>
        <v>0</v>
      </c>
      <c r="Q1431" s="765"/>
      <c r="R1431" s="576">
        <f t="shared" si="352"/>
        <v>0</v>
      </c>
      <c r="S1431" s="576">
        <f t="shared" si="352"/>
        <v>0</v>
      </c>
      <c r="T1431" s="577">
        <f t="shared" si="353"/>
        <v>0</v>
      </c>
      <c r="U1431" s="578">
        <f t="shared" si="354"/>
        <v>0</v>
      </c>
      <c r="V1431" s="579"/>
      <c r="W1431" s="566"/>
      <c r="X1431" s="586" t="str">
        <f t="shared" si="357"/>
        <v/>
      </c>
      <c r="Y1431" s="586" t="str">
        <f t="shared" si="351"/>
        <v/>
      </c>
      <c r="Z1431" s="586" t="str">
        <f t="shared" si="360"/>
        <v/>
      </c>
    </row>
    <row r="1432" spans="1:26" ht="23.25" hidden="1" thickBot="1" x14ac:dyDescent="0.25">
      <c r="A1432" s="567">
        <v>91981</v>
      </c>
      <c r="B1432" s="644">
        <v>91981</v>
      </c>
      <c r="C1432" s="645" t="s">
        <v>670</v>
      </c>
      <c r="D1432" s="422" t="s">
        <v>1279</v>
      </c>
      <c r="E1432" s="423"/>
      <c r="F1432" s="424"/>
      <c r="G1432" s="425"/>
      <c r="H1432" s="651"/>
      <c r="I1432" s="420">
        <v>54.93</v>
      </c>
      <c r="J1432" s="420">
        <f t="shared" si="359"/>
        <v>54.93</v>
      </c>
      <c r="K1432" s="421">
        <f t="shared" si="358"/>
        <v>65.260000000000005</v>
      </c>
      <c r="L1432" s="647" t="s">
        <v>2065</v>
      </c>
      <c r="M1432" s="576"/>
      <c r="N1432" s="576">
        <f t="shared" si="361"/>
        <v>0</v>
      </c>
      <c r="O1432" s="577">
        <f t="shared" si="355"/>
        <v>0</v>
      </c>
      <c r="P1432" s="578">
        <f t="shared" si="356"/>
        <v>0</v>
      </c>
      <c r="Q1432" s="765"/>
      <c r="R1432" s="576">
        <f t="shared" si="352"/>
        <v>0</v>
      </c>
      <c r="S1432" s="576">
        <f t="shared" si="352"/>
        <v>0</v>
      </c>
      <c r="T1432" s="577">
        <f t="shared" si="353"/>
        <v>0</v>
      </c>
      <c r="U1432" s="578">
        <f t="shared" si="354"/>
        <v>0</v>
      </c>
      <c r="V1432" s="579"/>
      <c r="W1432" s="566"/>
      <c r="X1432" s="586" t="str">
        <f t="shared" si="357"/>
        <v/>
      </c>
      <c r="Y1432" s="586" t="str">
        <f t="shared" si="351"/>
        <v/>
      </c>
      <c r="Z1432" s="586" t="str">
        <f t="shared" si="360"/>
        <v/>
      </c>
    </row>
    <row r="1433" spans="1:26" ht="23.25" hidden="1" thickBot="1" x14ac:dyDescent="0.25">
      <c r="A1433" s="567">
        <v>91982</v>
      </c>
      <c r="B1433" s="644">
        <v>91982</v>
      </c>
      <c r="C1433" s="645" t="s">
        <v>670</v>
      </c>
      <c r="D1433" s="422" t="s">
        <v>1280</v>
      </c>
      <c r="E1433" s="423"/>
      <c r="F1433" s="424"/>
      <c r="G1433" s="425"/>
      <c r="H1433" s="651"/>
      <c r="I1433" s="420">
        <v>118.52</v>
      </c>
      <c r="J1433" s="420">
        <f t="shared" si="359"/>
        <v>118.52</v>
      </c>
      <c r="K1433" s="421">
        <f t="shared" si="358"/>
        <v>140.81</v>
      </c>
      <c r="L1433" s="647" t="s">
        <v>2065</v>
      </c>
      <c r="M1433" s="576"/>
      <c r="N1433" s="576">
        <f t="shared" si="361"/>
        <v>0</v>
      </c>
      <c r="O1433" s="577">
        <f t="shared" si="355"/>
        <v>0</v>
      </c>
      <c r="P1433" s="578">
        <f t="shared" si="356"/>
        <v>0</v>
      </c>
      <c r="Q1433" s="765"/>
      <c r="R1433" s="576">
        <f t="shared" si="352"/>
        <v>0</v>
      </c>
      <c r="S1433" s="576">
        <f t="shared" si="352"/>
        <v>0</v>
      </c>
      <c r="T1433" s="577">
        <f t="shared" si="353"/>
        <v>0</v>
      </c>
      <c r="U1433" s="578">
        <f t="shared" si="354"/>
        <v>0</v>
      </c>
      <c r="V1433" s="579"/>
      <c r="W1433" s="566"/>
      <c r="X1433" s="586" t="str">
        <f t="shared" si="357"/>
        <v/>
      </c>
      <c r="Y1433" s="586" t="str">
        <f t="shared" si="351"/>
        <v/>
      </c>
      <c r="Z1433" s="586" t="str">
        <f t="shared" si="360"/>
        <v/>
      </c>
    </row>
    <row r="1434" spans="1:26" ht="23.25" hidden="1" thickBot="1" x14ac:dyDescent="0.25">
      <c r="A1434" s="567">
        <v>91983</v>
      </c>
      <c r="B1434" s="644">
        <v>91983</v>
      </c>
      <c r="C1434" s="645" t="s">
        <v>670</v>
      </c>
      <c r="D1434" s="422" t="s">
        <v>1281</v>
      </c>
      <c r="E1434" s="423"/>
      <c r="F1434" s="424"/>
      <c r="G1434" s="425"/>
      <c r="H1434" s="651"/>
      <c r="I1434" s="420">
        <v>128.25</v>
      </c>
      <c r="J1434" s="420">
        <f t="shared" si="359"/>
        <v>128.25</v>
      </c>
      <c r="K1434" s="421">
        <f t="shared" si="358"/>
        <v>152.37</v>
      </c>
      <c r="L1434" s="647" t="s">
        <v>2065</v>
      </c>
      <c r="M1434" s="576"/>
      <c r="N1434" s="576">
        <f t="shared" si="361"/>
        <v>0</v>
      </c>
      <c r="O1434" s="577">
        <f t="shared" si="355"/>
        <v>0</v>
      </c>
      <c r="P1434" s="578">
        <f t="shared" si="356"/>
        <v>0</v>
      </c>
      <c r="Q1434" s="765"/>
      <c r="R1434" s="576">
        <f t="shared" si="352"/>
        <v>0</v>
      </c>
      <c r="S1434" s="576">
        <f t="shared" si="352"/>
        <v>0</v>
      </c>
      <c r="T1434" s="577">
        <f t="shared" si="353"/>
        <v>0</v>
      </c>
      <c r="U1434" s="578">
        <f t="shared" si="354"/>
        <v>0</v>
      </c>
      <c r="V1434" s="579"/>
      <c r="W1434" s="566"/>
      <c r="X1434" s="586" t="str">
        <f t="shared" si="357"/>
        <v/>
      </c>
      <c r="Y1434" s="586" t="str">
        <f t="shared" si="351"/>
        <v/>
      </c>
      <c r="Z1434" s="586" t="str">
        <f t="shared" si="360"/>
        <v/>
      </c>
    </row>
    <row r="1435" spans="1:26" ht="23.25" hidden="1" thickBot="1" x14ac:dyDescent="0.25">
      <c r="A1435" s="567">
        <v>91984</v>
      </c>
      <c r="B1435" s="644">
        <v>91984</v>
      </c>
      <c r="C1435" s="645" t="s">
        <v>670</v>
      </c>
      <c r="D1435" s="422" t="s">
        <v>1282</v>
      </c>
      <c r="E1435" s="423"/>
      <c r="F1435" s="424"/>
      <c r="G1435" s="425"/>
      <c r="H1435" s="651"/>
      <c r="I1435" s="420">
        <v>19.77</v>
      </c>
      <c r="J1435" s="420">
        <f t="shared" si="359"/>
        <v>19.77</v>
      </c>
      <c r="K1435" s="421">
        <f t="shared" si="358"/>
        <v>23.49</v>
      </c>
      <c r="L1435" s="647" t="s">
        <v>2065</v>
      </c>
      <c r="M1435" s="576"/>
      <c r="N1435" s="576">
        <f t="shared" si="361"/>
        <v>0</v>
      </c>
      <c r="O1435" s="577">
        <f t="shared" si="355"/>
        <v>0</v>
      </c>
      <c r="P1435" s="578">
        <f t="shared" si="356"/>
        <v>0</v>
      </c>
      <c r="Q1435" s="765"/>
      <c r="R1435" s="576">
        <f t="shared" si="352"/>
        <v>0</v>
      </c>
      <c r="S1435" s="576">
        <f t="shared" si="352"/>
        <v>0</v>
      </c>
      <c r="T1435" s="577">
        <f t="shared" si="353"/>
        <v>0</v>
      </c>
      <c r="U1435" s="578">
        <f t="shared" si="354"/>
        <v>0</v>
      </c>
      <c r="V1435" s="579"/>
      <c r="W1435" s="566"/>
      <c r="X1435" s="586" t="str">
        <f t="shared" si="357"/>
        <v/>
      </c>
      <c r="Y1435" s="586" t="str">
        <f t="shared" si="351"/>
        <v/>
      </c>
      <c r="Z1435" s="586" t="str">
        <f t="shared" si="360"/>
        <v/>
      </c>
    </row>
    <row r="1436" spans="1:26" ht="23.25" hidden="1" thickBot="1" x14ac:dyDescent="0.25">
      <c r="A1436" s="567">
        <v>91985</v>
      </c>
      <c r="B1436" s="644">
        <v>91985</v>
      </c>
      <c r="C1436" s="645" t="s">
        <v>670</v>
      </c>
      <c r="D1436" s="422" t="s">
        <v>1283</v>
      </c>
      <c r="E1436" s="423"/>
      <c r="F1436" s="424"/>
      <c r="G1436" s="425"/>
      <c r="H1436" s="651"/>
      <c r="I1436" s="420">
        <v>29.5</v>
      </c>
      <c r="J1436" s="420">
        <f t="shared" si="359"/>
        <v>29.5</v>
      </c>
      <c r="K1436" s="421">
        <f t="shared" si="358"/>
        <v>35.049999999999997</v>
      </c>
      <c r="L1436" s="647" t="s">
        <v>2065</v>
      </c>
      <c r="M1436" s="576"/>
      <c r="N1436" s="576">
        <f t="shared" si="361"/>
        <v>0</v>
      </c>
      <c r="O1436" s="577">
        <f t="shared" si="355"/>
        <v>0</v>
      </c>
      <c r="P1436" s="578">
        <f t="shared" si="356"/>
        <v>0</v>
      </c>
      <c r="Q1436" s="765"/>
      <c r="R1436" s="576">
        <f t="shared" si="352"/>
        <v>0</v>
      </c>
      <c r="S1436" s="576">
        <f t="shared" si="352"/>
        <v>0</v>
      </c>
      <c r="T1436" s="577">
        <f t="shared" si="353"/>
        <v>0</v>
      </c>
      <c r="U1436" s="578">
        <f t="shared" si="354"/>
        <v>0</v>
      </c>
      <c r="V1436" s="579"/>
      <c r="W1436" s="566"/>
      <c r="X1436" s="586" t="str">
        <f t="shared" si="357"/>
        <v/>
      </c>
      <c r="Y1436" s="586" t="str">
        <f t="shared" si="351"/>
        <v/>
      </c>
      <c r="Z1436" s="586" t="str">
        <f t="shared" si="360"/>
        <v/>
      </c>
    </row>
    <row r="1437" spans="1:26" ht="23.25" hidden="1" thickBot="1" x14ac:dyDescent="0.25">
      <c r="A1437" s="567">
        <v>91986</v>
      </c>
      <c r="B1437" s="644">
        <v>91986</v>
      </c>
      <c r="C1437" s="645" t="s">
        <v>670</v>
      </c>
      <c r="D1437" s="422" t="s">
        <v>1284</v>
      </c>
      <c r="E1437" s="423"/>
      <c r="F1437" s="424"/>
      <c r="G1437" s="425"/>
      <c r="H1437" s="651"/>
      <c r="I1437" s="420">
        <v>44.02</v>
      </c>
      <c r="J1437" s="420">
        <f t="shared" si="359"/>
        <v>44.02</v>
      </c>
      <c r="K1437" s="421">
        <f t="shared" si="358"/>
        <v>52.3</v>
      </c>
      <c r="L1437" s="647" t="s">
        <v>2065</v>
      </c>
      <c r="M1437" s="576"/>
      <c r="N1437" s="576">
        <f t="shared" si="361"/>
        <v>0</v>
      </c>
      <c r="O1437" s="577">
        <f t="shared" si="355"/>
        <v>0</v>
      </c>
      <c r="P1437" s="578">
        <f t="shared" si="356"/>
        <v>0</v>
      </c>
      <c r="Q1437" s="765"/>
      <c r="R1437" s="576">
        <f t="shared" si="352"/>
        <v>0</v>
      </c>
      <c r="S1437" s="576">
        <f t="shared" si="352"/>
        <v>0</v>
      </c>
      <c r="T1437" s="577">
        <f t="shared" si="353"/>
        <v>0</v>
      </c>
      <c r="U1437" s="578">
        <f t="shared" si="354"/>
        <v>0</v>
      </c>
      <c r="V1437" s="579"/>
      <c r="W1437" s="566"/>
      <c r="X1437" s="586" t="str">
        <f t="shared" si="357"/>
        <v/>
      </c>
      <c r="Y1437" s="586" t="str">
        <f t="shared" si="351"/>
        <v/>
      </c>
      <c r="Z1437" s="586" t="str">
        <f t="shared" si="360"/>
        <v/>
      </c>
    </row>
    <row r="1438" spans="1:26" ht="23.25" hidden="1" thickBot="1" x14ac:dyDescent="0.25">
      <c r="A1438" s="567">
        <v>91987</v>
      </c>
      <c r="B1438" s="644">
        <v>91987</v>
      </c>
      <c r="C1438" s="645" t="s">
        <v>670</v>
      </c>
      <c r="D1438" s="422" t="s">
        <v>1285</v>
      </c>
      <c r="E1438" s="423"/>
      <c r="F1438" s="424"/>
      <c r="G1438" s="425"/>
      <c r="H1438" s="651"/>
      <c r="I1438" s="420">
        <v>53.75</v>
      </c>
      <c r="J1438" s="420">
        <f t="shared" si="359"/>
        <v>53.75</v>
      </c>
      <c r="K1438" s="421">
        <f t="shared" si="358"/>
        <v>63.86</v>
      </c>
      <c r="L1438" s="647" t="s">
        <v>2065</v>
      </c>
      <c r="M1438" s="576"/>
      <c r="N1438" s="576">
        <f t="shared" si="361"/>
        <v>0</v>
      </c>
      <c r="O1438" s="577">
        <f t="shared" si="355"/>
        <v>0</v>
      </c>
      <c r="P1438" s="578">
        <f t="shared" si="356"/>
        <v>0</v>
      </c>
      <c r="Q1438" s="765"/>
      <c r="R1438" s="576">
        <f t="shared" si="352"/>
        <v>0</v>
      </c>
      <c r="S1438" s="576">
        <f t="shared" si="352"/>
        <v>0</v>
      </c>
      <c r="T1438" s="577">
        <f t="shared" si="353"/>
        <v>0</v>
      </c>
      <c r="U1438" s="578">
        <f t="shared" si="354"/>
        <v>0</v>
      </c>
      <c r="V1438" s="579"/>
      <c r="W1438" s="566"/>
      <c r="X1438" s="586" t="str">
        <f t="shared" si="357"/>
        <v/>
      </c>
      <c r="Y1438" s="586" t="str">
        <f t="shared" si="351"/>
        <v/>
      </c>
      <c r="Z1438" s="586" t="str">
        <f t="shared" si="360"/>
        <v/>
      </c>
    </row>
    <row r="1439" spans="1:26" ht="23.25" hidden="1" thickBot="1" x14ac:dyDescent="0.25">
      <c r="A1439" s="567">
        <v>91988</v>
      </c>
      <c r="B1439" s="644">
        <v>91988</v>
      </c>
      <c r="C1439" s="645" t="s">
        <v>670</v>
      </c>
      <c r="D1439" s="422" t="s">
        <v>1286</v>
      </c>
      <c r="E1439" s="423"/>
      <c r="F1439" s="424"/>
      <c r="G1439" s="425"/>
      <c r="H1439" s="651"/>
      <c r="I1439" s="420">
        <v>25.42</v>
      </c>
      <c r="J1439" s="420">
        <f t="shared" si="359"/>
        <v>25.42</v>
      </c>
      <c r="K1439" s="421">
        <f t="shared" si="358"/>
        <v>30.2</v>
      </c>
      <c r="L1439" s="647" t="s">
        <v>2065</v>
      </c>
      <c r="M1439" s="576"/>
      <c r="N1439" s="576">
        <f t="shared" si="361"/>
        <v>0</v>
      </c>
      <c r="O1439" s="577">
        <f t="shared" si="355"/>
        <v>0</v>
      </c>
      <c r="P1439" s="578">
        <f t="shared" si="356"/>
        <v>0</v>
      </c>
      <c r="Q1439" s="765"/>
      <c r="R1439" s="576">
        <f t="shared" si="352"/>
        <v>0</v>
      </c>
      <c r="S1439" s="576">
        <f t="shared" si="352"/>
        <v>0</v>
      </c>
      <c r="T1439" s="577">
        <f t="shared" si="353"/>
        <v>0</v>
      </c>
      <c r="U1439" s="578">
        <f t="shared" si="354"/>
        <v>0</v>
      </c>
      <c r="V1439" s="579"/>
      <c r="W1439" s="566"/>
      <c r="X1439" s="586" t="str">
        <f t="shared" si="357"/>
        <v/>
      </c>
      <c r="Y1439" s="586" t="str">
        <f t="shared" si="351"/>
        <v/>
      </c>
      <c r="Z1439" s="586" t="str">
        <f t="shared" si="360"/>
        <v/>
      </c>
    </row>
    <row r="1440" spans="1:26" ht="23.25" hidden="1" thickBot="1" x14ac:dyDescent="0.25">
      <c r="A1440" s="567">
        <v>91989</v>
      </c>
      <c r="B1440" s="644">
        <v>91989</v>
      </c>
      <c r="C1440" s="645" t="s">
        <v>670</v>
      </c>
      <c r="D1440" s="422" t="s">
        <v>1287</v>
      </c>
      <c r="E1440" s="423"/>
      <c r="F1440" s="424"/>
      <c r="G1440" s="425"/>
      <c r="H1440" s="651"/>
      <c r="I1440" s="420">
        <v>35.15</v>
      </c>
      <c r="J1440" s="420">
        <f t="shared" si="359"/>
        <v>35.15</v>
      </c>
      <c r="K1440" s="421">
        <f t="shared" si="358"/>
        <v>41.76</v>
      </c>
      <c r="L1440" s="647" t="s">
        <v>2065</v>
      </c>
      <c r="M1440" s="576"/>
      <c r="N1440" s="576">
        <f t="shared" si="361"/>
        <v>0</v>
      </c>
      <c r="O1440" s="577">
        <f t="shared" si="355"/>
        <v>0</v>
      </c>
      <c r="P1440" s="578">
        <f t="shared" si="356"/>
        <v>0</v>
      </c>
      <c r="Q1440" s="765"/>
      <c r="R1440" s="576">
        <f t="shared" si="352"/>
        <v>0</v>
      </c>
      <c r="S1440" s="576">
        <f t="shared" si="352"/>
        <v>0</v>
      </c>
      <c r="T1440" s="577">
        <f t="shared" si="353"/>
        <v>0</v>
      </c>
      <c r="U1440" s="578">
        <f t="shared" si="354"/>
        <v>0</v>
      </c>
      <c r="V1440" s="579"/>
      <c r="W1440" s="566"/>
      <c r="X1440" s="586" t="str">
        <f t="shared" si="357"/>
        <v/>
      </c>
      <c r="Y1440" s="586" t="str">
        <f t="shared" si="351"/>
        <v/>
      </c>
      <c r="Z1440" s="586" t="str">
        <f t="shared" si="360"/>
        <v/>
      </c>
    </row>
    <row r="1441" spans="1:26" ht="23.25" hidden="1" thickBot="1" x14ac:dyDescent="0.25">
      <c r="A1441" s="567">
        <v>91990</v>
      </c>
      <c r="B1441" s="644">
        <v>91990</v>
      </c>
      <c r="C1441" s="645" t="s">
        <v>670</v>
      </c>
      <c r="D1441" s="422" t="s">
        <v>1288</v>
      </c>
      <c r="E1441" s="423"/>
      <c r="F1441" s="424"/>
      <c r="G1441" s="425"/>
      <c r="H1441" s="651"/>
      <c r="I1441" s="420">
        <v>36.799999999999997</v>
      </c>
      <c r="J1441" s="420">
        <f t="shared" si="359"/>
        <v>36.799999999999997</v>
      </c>
      <c r="K1441" s="421">
        <f t="shared" si="358"/>
        <v>43.72</v>
      </c>
      <c r="L1441" s="647" t="s">
        <v>2065</v>
      </c>
      <c r="M1441" s="576"/>
      <c r="N1441" s="576">
        <f t="shared" si="361"/>
        <v>0</v>
      </c>
      <c r="O1441" s="577">
        <f t="shared" si="355"/>
        <v>0</v>
      </c>
      <c r="P1441" s="578">
        <f t="shared" si="356"/>
        <v>0</v>
      </c>
      <c r="Q1441" s="765"/>
      <c r="R1441" s="576">
        <f t="shared" si="352"/>
        <v>0</v>
      </c>
      <c r="S1441" s="576">
        <f t="shared" si="352"/>
        <v>0</v>
      </c>
      <c r="T1441" s="577">
        <f t="shared" si="353"/>
        <v>0</v>
      </c>
      <c r="U1441" s="578">
        <f t="shared" si="354"/>
        <v>0</v>
      </c>
      <c r="V1441" s="579"/>
      <c r="W1441" s="566"/>
      <c r="X1441" s="586" t="str">
        <f t="shared" si="357"/>
        <v/>
      </c>
      <c r="Y1441" s="586" t="str">
        <f t="shared" si="351"/>
        <v/>
      </c>
      <c r="Z1441" s="586" t="str">
        <f t="shared" si="360"/>
        <v/>
      </c>
    </row>
    <row r="1442" spans="1:26" ht="23.25" hidden="1" thickBot="1" x14ac:dyDescent="0.25">
      <c r="A1442" s="567">
        <v>91991</v>
      </c>
      <c r="B1442" s="644">
        <v>91991</v>
      </c>
      <c r="C1442" s="645" t="s">
        <v>670</v>
      </c>
      <c r="D1442" s="422" t="s">
        <v>1289</v>
      </c>
      <c r="E1442" s="423"/>
      <c r="F1442" s="424"/>
      <c r="G1442" s="425"/>
      <c r="H1442" s="651"/>
      <c r="I1442" s="420">
        <v>39.85</v>
      </c>
      <c r="J1442" s="420">
        <f t="shared" si="359"/>
        <v>39.85</v>
      </c>
      <c r="K1442" s="421">
        <f t="shared" si="358"/>
        <v>47.35</v>
      </c>
      <c r="L1442" s="647" t="s">
        <v>2065</v>
      </c>
      <c r="M1442" s="576"/>
      <c r="N1442" s="576">
        <f t="shared" si="361"/>
        <v>0</v>
      </c>
      <c r="O1442" s="577">
        <f t="shared" si="355"/>
        <v>0</v>
      </c>
      <c r="P1442" s="578">
        <f t="shared" si="356"/>
        <v>0</v>
      </c>
      <c r="Q1442" s="765"/>
      <c r="R1442" s="576">
        <f t="shared" si="352"/>
        <v>0</v>
      </c>
      <c r="S1442" s="576">
        <f t="shared" si="352"/>
        <v>0</v>
      </c>
      <c r="T1442" s="577">
        <f t="shared" si="353"/>
        <v>0</v>
      </c>
      <c r="U1442" s="578">
        <f t="shared" si="354"/>
        <v>0</v>
      </c>
      <c r="V1442" s="579"/>
      <c r="W1442" s="566"/>
      <c r="X1442" s="586" t="str">
        <f t="shared" si="357"/>
        <v/>
      </c>
      <c r="Y1442" s="586" t="str">
        <f t="shared" si="351"/>
        <v/>
      </c>
      <c r="Z1442" s="586" t="str">
        <f t="shared" si="360"/>
        <v/>
      </c>
    </row>
    <row r="1443" spans="1:26" ht="23.25" hidden="1" thickBot="1" x14ac:dyDescent="0.25">
      <c r="A1443" s="567">
        <v>91992</v>
      </c>
      <c r="B1443" s="644">
        <v>91992</v>
      </c>
      <c r="C1443" s="645" t="s">
        <v>670</v>
      </c>
      <c r="D1443" s="422" t="s">
        <v>1290</v>
      </c>
      <c r="E1443" s="423"/>
      <c r="F1443" s="424"/>
      <c r="G1443" s="425"/>
      <c r="H1443" s="651"/>
      <c r="I1443" s="420">
        <v>46.53</v>
      </c>
      <c r="J1443" s="420">
        <f t="shared" si="359"/>
        <v>46.53</v>
      </c>
      <c r="K1443" s="421">
        <f t="shared" si="358"/>
        <v>55.28</v>
      </c>
      <c r="L1443" s="647" t="s">
        <v>2065</v>
      </c>
      <c r="M1443" s="576"/>
      <c r="N1443" s="576">
        <f t="shared" si="361"/>
        <v>0</v>
      </c>
      <c r="O1443" s="577">
        <f t="shared" si="355"/>
        <v>0</v>
      </c>
      <c r="P1443" s="578">
        <f t="shared" si="356"/>
        <v>0</v>
      </c>
      <c r="Q1443" s="765"/>
      <c r="R1443" s="576">
        <f t="shared" si="352"/>
        <v>0</v>
      </c>
      <c r="S1443" s="576">
        <f t="shared" si="352"/>
        <v>0</v>
      </c>
      <c r="T1443" s="577">
        <f t="shared" si="353"/>
        <v>0</v>
      </c>
      <c r="U1443" s="578">
        <f t="shared" si="354"/>
        <v>0</v>
      </c>
      <c r="V1443" s="579"/>
      <c r="W1443" s="566"/>
      <c r="X1443" s="586" t="str">
        <f t="shared" si="357"/>
        <v/>
      </c>
      <c r="Y1443" s="586" t="str">
        <f t="shared" ref="Y1443:Y1506" si="362">IF(W1443="X","x",IF(W1443="y","x",IF(W1443="xx","x",IF(U1443&gt;0,"x",""))))</f>
        <v/>
      </c>
      <c r="Z1443" s="586" t="str">
        <f t="shared" si="360"/>
        <v/>
      </c>
    </row>
    <row r="1444" spans="1:26" ht="23.25" hidden="1" thickBot="1" x14ac:dyDescent="0.25">
      <c r="A1444" s="567">
        <v>91993</v>
      </c>
      <c r="B1444" s="644">
        <v>91993</v>
      </c>
      <c r="C1444" s="645" t="s">
        <v>670</v>
      </c>
      <c r="D1444" s="422" t="s">
        <v>1291</v>
      </c>
      <c r="E1444" s="423"/>
      <c r="F1444" s="424"/>
      <c r="G1444" s="425"/>
      <c r="H1444" s="651"/>
      <c r="I1444" s="420">
        <v>49.58</v>
      </c>
      <c r="J1444" s="420">
        <f t="shared" si="359"/>
        <v>49.58</v>
      </c>
      <c r="K1444" s="421">
        <f t="shared" si="358"/>
        <v>58.91</v>
      </c>
      <c r="L1444" s="647" t="s">
        <v>2065</v>
      </c>
      <c r="M1444" s="576"/>
      <c r="N1444" s="576">
        <f t="shared" si="361"/>
        <v>0</v>
      </c>
      <c r="O1444" s="577">
        <f t="shared" si="355"/>
        <v>0</v>
      </c>
      <c r="P1444" s="578">
        <f t="shared" si="356"/>
        <v>0</v>
      </c>
      <c r="Q1444" s="765"/>
      <c r="R1444" s="576">
        <f t="shared" si="352"/>
        <v>0</v>
      </c>
      <c r="S1444" s="576">
        <f t="shared" si="352"/>
        <v>0</v>
      </c>
      <c r="T1444" s="577">
        <f t="shared" si="353"/>
        <v>0</v>
      </c>
      <c r="U1444" s="578">
        <f t="shared" si="354"/>
        <v>0</v>
      </c>
      <c r="V1444" s="579"/>
      <c r="W1444" s="566"/>
      <c r="X1444" s="586" t="str">
        <f t="shared" si="357"/>
        <v/>
      </c>
      <c r="Y1444" s="586" t="str">
        <f t="shared" si="362"/>
        <v/>
      </c>
      <c r="Z1444" s="586" t="str">
        <f t="shared" si="360"/>
        <v/>
      </c>
    </row>
    <row r="1445" spans="1:26" ht="23.25" hidden="1" thickBot="1" x14ac:dyDescent="0.25">
      <c r="A1445" s="567">
        <v>91994</v>
      </c>
      <c r="B1445" s="644">
        <v>91994</v>
      </c>
      <c r="C1445" s="645" t="s">
        <v>670</v>
      </c>
      <c r="D1445" s="422" t="s">
        <v>1292</v>
      </c>
      <c r="E1445" s="423"/>
      <c r="F1445" s="424"/>
      <c r="G1445" s="425"/>
      <c r="H1445" s="651"/>
      <c r="I1445" s="420">
        <v>26.99</v>
      </c>
      <c r="J1445" s="420">
        <f t="shared" si="359"/>
        <v>26.99</v>
      </c>
      <c r="K1445" s="421">
        <f t="shared" si="358"/>
        <v>32.07</v>
      </c>
      <c r="L1445" s="647" t="s">
        <v>2065</v>
      </c>
      <c r="M1445" s="576"/>
      <c r="N1445" s="576">
        <f t="shared" si="361"/>
        <v>0</v>
      </c>
      <c r="O1445" s="577">
        <f t="shared" si="355"/>
        <v>0</v>
      </c>
      <c r="P1445" s="578">
        <f t="shared" si="356"/>
        <v>0</v>
      </c>
      <c r="Q1445" s="765"/>
      <c r="R1445" s="576">
        <f t="shared" si="352"/>
        <v>0</v>
      </c>
      <c r="S1445" s="576">
        <f t="shared" si="352"/>
        <v>0</v>
      </c>
      <c r="T1445" s="577">
        <f t="shared" si="353"/>
        <v>0</v>
      </c>
      <c r="U1445" s="578">
        <f t="shared" si="354"/>
        <v>0</v>
      </c>
      <c r="V1445" s="579"/>
      <c r="W1445" s="566"/>
      <c r="X1445" s="586" t="str">
        <f t="shared" si="357"/>
        <v/>
      </c>
      <c r="Y1445" s="586" t="str">
        <f t="shared" si="362"/>
        <v/>
      </c>
      <c r="Z1445" s="586" t="str">
        <f t="shared" si="360"/>
        <v/>
      </c>
    </row>
    <row r="1446" spans="1:26" ht="23.25" hidden="1" thickBot="1" x14ac:dyDescent="0.25">
      <c r="A1446" s="567">
        <v>91995</v>
      </c>
      <c r="B1446" s="644">
        <v>91995</v>
      </c>
      <c r="C1446" s="645" t="s">
        <v>670</v>
      </c>
      <c r="D1446" s="422" t="s">
        <v>1293</v>
      </c>
      <c r="E1446" s="423"/>
      <c r="F1446" s="424"/>
      <c r="G1446" s="425"/>
      <c r="H1446" s="651"/>
      <c r="I1446" s="420">
        <v>30.04</v>
      </c>
      <c r="J1446" s="420">
        <f t="shared" si="359"/>
        <v>30.04</v>
      </c>
      <c r="K1446" s="421">
        <f t="shared" si="358"/>
        <v>35.69</v>
      </c>
      <c r="L1446" s="647" t="s">
        <v>2065</v>
      </c>
      <c r="M1446" s="576"/>
      <c r="N1446" s="576">
        <f t="shared" si="361"/>
        <v>0</v>
      </c>
      <c r="O1446" s="577">
        <f t="shared" si="355"/>
        <v>0</v>
      </c>
      <c r="P1446" s="578">
        <f t="shared" si="356"/>
        <v>0</v>
      </c>
      <c r="Q1446" s="765"/>
      <c r="R1446" s="576">
        <f t="shared" si="352"/>
        <v>0</v>
      </c>
      <c r="S1446" s="576">
        <f t="shared" si="352"/>
        <v>0</v>
      </c>
      <c r="T1446" s="577">
        <f t="shared" si="353"/>
        <v>0</v>
      </c>
      <c r="U1446" s="578">
        <f t="shared" si="354"/>
        <v>0</v>
      </c>
      <c r="V1446" s="579"/>
      <c r="W1446" s="566"/>
      <c r="X1446" s="586" t="str">
        <f t="shared" si="357"/>
        <v/>
      </c>
      <c r="Y1446" s="586" t="str">
        <f t="shared" si="362"/>
        <v/>
      </c>
      <c r="Z1446" s="586" t="str">
        <f t="shared" si="360"/>
        <v/>
      </c>
    </row>
    <row r="1447" spans="1:26" ht="23.25" hidden="1" thickBot="1" x14ac:dyDescent="0.25">
      <c r="A1447" s="567">
        <v>91996</v>
      </c>
      <c r="B1447" s="644">
        <v>91996</v>
      </c>
      <c r="C1447" s="645" t="s">
        <v>670</v>
      </c>
      <c r="D1447" s="422" t="s">
        <v>1294</v>
      </c>
      <c r="E1447" s="423"/>
      <c r="F1447" s="424"/>
      <c r="G1447" s="425"/>
      <c r="H1447" s="651"/>
      <c r="I1447" s="420">
        <v>36.72</v>
      </c>
      <c r="J1447" s="420">
        <f t="shared" si="359"/>
        <v>36.72</v>
      </c>
      <c r="K1447" s="421">
        <f t="shared" si="358"/>
        <v>43.63</v>
      </c>
      <c r="L1447" s="647" t="s">
        <v>2065</v>
      </c>
      <c r="M1447" s="576"/>
      <c r="N1447" s="576">
        <f t="shared" si="361"/>
        <v>0</v>
      </c>
      <c r="O1447" s="577">
        <f t="shared" si="355"/>
        <v>0</v>
      </c>
      <c r="P1447" s="578">
        <f t="shared" si="356"/>
        <v>0</v>
      </c>
      <c r="Q1447" s="765"/>
      <c r="R1447" s="576">
        <f t="shared" si="352"/>
        <v>0</v>
      </c>
      <c r="S1447" s="576">
        <f t="shared" si="352"/>
        <v>0</v>
      </c>
      <c r="T1447" s="577">
        <f t="shared" si="353"/>
        <v>0</v>
      </c>
      <c r="U1447" s="578">
        <f t="shared" si="354"/>
        <v>0</v>
      </c>
      <c r="V1447" s="579"/>
      <c r="W1447" s="566"/>
      <c r="X1447" s="586" t="str">
        <f t="shared" si="357"/>
        <v/>
      </c>
      <c r="Y1447" s="586" t="str">
        <f t="shared" si="362"/>
        <v/>
      </c>
      <c r="Z1447" s="586" t="str">
        <f t="shared" si="360"/>
        <v/>
      </c>
    </row>
    <row r="1448" spans="1:26" ht="23.25" hidden="1" thickBot="1" x14ac:dyDescent="0.25">
      <c r="A1448" s="567">
        <v>91997</v>
      </c>
      <c r="B1448" s="644">
        <v>91997</v>
      </c>
      <c r="C1448" s="645" t="s">
        <v>670</v>
      </c>
      <c r="D1448" s="422" t="s">
        <v>1295</v>
      </c>
      <c r="E1448" s="423"/>
      <c r="F1448" s="424"/>
      <c r="G1448" s="425"/>
      <c r="H1448" s="651"/>
      <c r="I1448" s="420">
        <v>39.770000000000003</v>
      </c>
      <c r="J1448" s="420">
        <f t="shared" si="359"/>
        <v>39.770000000000003</v>
      </c>
      <c r="K1448" s="421">
        <f t="shared" si="358"/>
        <v>47.25</v>
      </c>
      <c r="L1448" s="647" t="s">
        <v>2065</v>
      </c>
      <c r="M1448" s="576"/>
      <c r="N1448" s="576">
        <f t="shared" si="361"/>
        <v>0</v>
      </c>
      <c r="O1448" s="577">
        <f t="shared" si="355"/>
        <v>0</v>
      </c>
      <c r="P1448" s="578">
        <f t="shared" si="356"/>
        <v>0</v>
      </c>
      <c r="Q1448" s="765"/>
      <c r="R1448" s="576">
        <f t="shared" si="352"/>
        <v>0</v>
      </c>
      <c r="S1448" s="576">
        <f t="shared" si="352"/>
        <v>0</v>
      </c>
      <c r="T1448" s="577">
        <f t="shared" si="353"/>
        <v>0</v>
      </c>
      <c r="U1448" s="578">
        <f t="shared" si="354"/>
        <v>0</v>
      </c>
      <c r="V1448" s="579"/>
      <c r="W1448" s="566"/>
      <c r="X1448" s="586" t="str">
        <f t="shared" si="357"/>
        <v/>
      </c>
      <c r="Y1448" s="586" t="str">
        <f t="shared" si="362"/>
        <v/>
      </c>
      <c r="Z1448" s="586" t="str">
        <f t="shared" si="360"/>
        <v/>
      </c>
    </row>
    <row r="1449" spans="1:26" ht="23.25" hidden="1" thickBot="1" x14ac:dyDescent="0.25">
      <c r="A1449" s="567">
        <v>91998</v>
      </c>
      <c r="B1449" s="644">
        <v>91998</v>
      </c>
      <c r="C1449" s="645" t="s">
        <v>670</v>
      </c>
      <c r="D1449" s="422" t="s">
        <v>1296</v>
      </c>
      <c r="E1449" s="423"/>
      <c r="F1449" s="424"/>
      <c r="G1449" s="425"/>
      <c r="H1449" s="651"/>
      <c r="I1449" s="420">
        <v>23.17</v>
      </c>
      <c r="J1449" s="420">
        <f t="shared" si="359"/>
        <v>23.17</v>
      </c>
      <c r="K1449" s="421">
        <f t="shared" si="358"/>
        <v>27.53</v>
      </c>
      <c r="L1449" s="647" t="s">
        <v>2065</v>
      </c>
      <c r="M1449" s="576"/>
      <c r="N1449" s="576">
        <f t="shared" si="361"/>
        <v>0</v>
      </c>
      <c r="O1449" s="577">
        <f t="shared" si="355"/>
        <v>0</v>
      </c>
      <c r="P1449" s="578">
        <f t="shared" si="356"/>
        <v>0</v>
      </c>
      <c r="Q1449" s="765"/>
      <c r="R1449" s="576">
        <f t="shared" si="352"/>
        <v>0</v>
      </c>
      <c r="S1449" s="576">
        <f t="shared" si="352"/>
        <v>0</v>
      </c>
      <c r="T1449" s="577">
        <f t="shared" si="353"/>
        <v>0</v>
      </c>
      <c r="U1449" s="578">
        <f t="shared" si="354"/>
        <v>0</v>
      </c>
      <c r="V1449" s="579"/>
      <c r="W1449" s="566"/>
      <c r="X1449" s="586" t="str">
        <f t="shared" si="357"/>
        <v/>
      </c>
      <c r="Y1449" s="586" t="str">
        <f t="shared" si="362"/>
        <v/>
      </c>
      <c r="Z1449" s="586" t="str">
        <f t="shared" si="360"/>
        <v/>
      </c>
    </row>
    <row r="1450" spans="1:26" ht="23.25" hidden="1" thickBot="1" x14ac:dyDescent="0.25">
      <c r="A1450" s="567">
        <v>91999</v>
      </c>
      <c r="B1450" s="644">
        <v>91999</v>
      </c>
      <c r="C1450" s="645" t="s">
        <v>670</v>
      </c>
      <c r="D1450" s="422" t="s">
        <v>1297</v>
      </c>
      <c r="E1450" s="423"/>
      <c r="F1450" s="424"/>
      <c r="G1450" s="425"/>
      <c r="H1450" s="651"/>
      <c r="I1450" s="420">
        <v>26.22</v>
      </c>
      <c r="J1450" s="420">
        <f t="shared" si="359"/>
        <v>26.22</v>
      </c>
      <c r="K1450" s="421">
        <f t="shared" si="358"/>
        <v>31.15</v>
      </c>
      <c r="L1450" s="647" t="s">
        <v>2065</v>
      </c>
      <c r="M1450" s="576"/>
      <c r="N1450" s="576">
        <f t="shared" si="361"/>
        <v>0</v>
      </c>
      <c r="O1450" s="577">
        <f t="shared" si="355"/>
        <v>0</v>
      </c>
      <c r="P1450" s="578">
        <f t="shared" si="356"/>
        <v>0</v>
      </c>
      <c r="Q1450" s="765"/>
      <c r="R1450" s="576">
        <f t="shared" ref="R1450:S1513" si="363">M1450</f>
        <v>0</v>
      </c>
      <c r="S1450" s="576">
        <f t="shared" si="363"/>
        <v>0</v>
      </c>
      <c r="T1450" s="577">
        <f t="shared" si="353"/>
        <v>0</v>
      </c>
      <c r="U1450" s="578">
        <f t="shared" si="354"/>
        <v>0</v>
      </c>
      <c r="V1450" s="579"/>
      <c r="W1450" s="566"/>
      <c r="X1450" s="586" t="str">
        <f t="shared" si="357"/>
        <v/>
      </c>
      <c r="Y1450" s="586" t="str">
        <f t="shared" si="362"/>
        <v/>
      </c>
      <c r="Z1450" s="586" t="str">
        <f t="shared" si="360"/>
        <v/>
      </c>
    </row>
    <row r="1451" spans="1:26" ht="23.25" hidden="1" thickBot="1" x14ac:dyDescent="0.25">
      <c r="A1451" s="567">
        <v>92000</v>
      </c>
      <c r="B1451" s="644">
        <v>92000</v>
      </c>
      <c r="C1451" s="645" t="s">
        <v>670</v>
      </c>
      <c r="D1451" s="422" t="s">
        <v>1298</v>
      </c>
      <c r="E1451" s="423"/>
      <c r="F1451" s="424"/>
      <c r="G1451" s="425"/>
      <c r="H1451" s="651"/>
      <c r="I1451" s="420">
        <v>32.9</v>
      </c>
      <c r="J1451" s="420">
        <f t="shared" si="359"/>
        <v>32.9</v>
      </c>
      <c r="K1451" s="421">
        <f t="shared" si="358"/>
        <v>39.090000000000003</v>
      </c>
      <c r="L1451" s="647" t="s">
        <v>2065</v>
      </c>
      <c r="M1451" s="576"/>
      <c r="N1451" s="576">
        <f t="shared" si="361"/>
        <v>0</v>
      </c>
      <c r="O1451" s="577">
        <f t="shared" si="355"/>
        <v>0</v>
      </c>
      <c r="P1451" s="578">
        <f t="shared" si="356"/>
        <v>0</v>
      </c>
      <c r="Q1451" s="765"/>
      <c r="R1451" s="576">
        <f t="shared" si="363"/>
        <v>0</v>
      </c>
      <c r="S1451" s="576">
        <f t="shared" si="363"/>
        <v>0</v>
      </c>
      <c r="T1451" s="577">
        <f t="shared" si="353"/>
        <v>0</v>
      </c>
      <c r="U1451" s="578">
        <f t="shared" si="354"/>
        <v>0</v>
      </c>
      <c r="V1451" s="579"/>
      <c r="W1451" s="566"/>
      <c r="X1451" s="586" t="str">
        <f t="shared" si="357"/>
        <v/>
      </c>
      <c r="Y1451" s="586" t="str">
        <f t="shared" si="362"/>
        <v/>
      </c>
      <c r="Z1451" s="586" t="str">
        <f t="shared" si="360"/>
        <v/>
      </c>
    </row>
    <row r="1452" spans="1:26" ht="23.25" hidden="1" thickBot="1" x14ac:dyDescent="0.25">
      <c r="A1452" s="567">
        <v>92001</v>
      </c>
      <c r="B1452" s="644">
        <v>92001</v>
      </c>
      <c r="C1452" s="645" t="s">
        <v>670</v>
      </c>
      <c r="D1452" s="422" t="s">
        <v>1299</v>
      </c>
      <c r="E1452" s="423"/>
      <c r="F1452" s="424"/>
      <c r="G1452" s="425"/>
      <c r="H1452" s="651"/>
      <c r="I1452" s="420">
        <v>35.950000000000003</v>
      </c>
      <c r="J1452" s="420">
        <f t="shared" si="359"/>
        <v>35.950000000000003</v>
      </c>
      <c r="K1452" s="421">
        <f t="shared" si="358"/>
        <v>42.71</v>
      </c>
      <c r="L1452" s="647" t="s">
        <v>2065</v>
      </c>
      <c r="M1452" s="576"/>
      <c r="N1452" s="576">
        <f t="shared" si="361"/>
        <v>0</v>
      </c>
      <c r="O1452" s="577">
        <f t="shared" si="355"/>
        <v>0</v>
      </c>
      <c r="P1452" s="578">
        <f t="shared" si="356"/>
        <v>0</v>
      </c>
      <c r="Q1452" s="765"/>
      <c r="R1452" s="576">
        <f t="shared" si="363"/>
        <v>0</v>
      </c>
      <c r="S1452" s="576">
        <f t="shared" si="363"/>
        <v>0</v>
      </c>
      <c r="T1452" s="577">
        <f t="shared" si="353"/>
        <v>0</v>
      </c>
      <c r="U1452" s="578">
        <f t="shared" si="354"/>
        <v>0</v>
      </c>
      <c r="V1452" s="579"/>
      <c r="W1452" s="566"/>
      <c r="X1452" s="586" t="str">
        <f t="shared" si="357"/>
        <v/>
      </c>
      <c r="Y1452" s="586" t="str">
        <f t="shared" si="362"/>
        <v/>
      </c>
      <c r="Z1452" s="586" t="str">
        <f t="shared" si="360"/>
        <v/>
      </c>
    </row>
    <row r="1453" spans="1:26" ht="23.25" hidden="1" thickBot="1" x14ac:dyDescent="0.25">
      <c r="A1453" s="567">
        <v>92002</v>
      </c>
      <c r="B1453" s="644">
        <v>92002</v>
      </c>
      <c r="C1453" s="645" t="s">
        <v>670</v>
      </c>
      <c r="D1453" s="422" t="s">
        <v>1300</v>
      </c>
      <c r="E1453" s="423"/>
      <c r="F1453" s="424"/>
      <c r="G1453" s="425"/>
      <c r="H1453" s="651"/>
      <c r="I1453" s="420">
        <v>50.79</v>
      </c>
      <c r="J1453" s="420">
        <f t="shared" si="359"/>
        <v>50.79</v>
      </c>
      <c r="K1453" s="421">
        <f t="shared" si="358"/>
        <v>60.34</v>
      </c>
      <c r="L1453" s="647" t="s">
        <v>2065</v>
      </c>
      <c r="M1453" s="576"/>
      <c r="N1453" s="576">
        <f t="shared" si="361"/>
        <v>0</v>
      </c>
      <c r="O1453" s="577">
        <f t="shared" si="355"/>
        <v>0</v>
      </c>
      <c r="P1453" s="578">
        <f t="shared" si="356"/>
        <v>0</v>
      </c>
      <c r="Q1453" s="765"/>
      <c r="R1453" s="576">
        <f t="shared" si="363"/>
        <v>0</v>
      </c>
      <c r="S1453" s="576">
        <f t="shared" si="363"/>
        <v>0</v>
      </c>
      <c r="T1453" s="577">
        <f t="shared" si="353"/>
        <v>0</v>
      </c>
      <c r="U1453" s="578">
        <f t="shared" si="354"/>
        <v>0</v>
      </c>
      <c r="V1453" s="579"/>
      <c r="W1453" s="566"/>
      <c r="X1453" s="586" t="str">
        <f t="shared" si="357"/>
        <v/>
      </c>
      <c r="Y1453" s="586" t="str">
        <f t="shared" si="362"/>
        <v/>
      </c>
      <c r="Z1453" s="586" t="str">
        <f t="shared" si="360"/>
        <v/>
      </c>
    </row>
    <row r="1454" spans="1:26" ht="23.25" hidden="1" thickBot="1" x14ac:dyDescent="0.25">
      <c r="A1454" s="567">
        <v>92003</v>
      </c>
      <c r="B1454" s="644">
        <v>92003</v>
      </c>
      <c r="C1454" s="645" t="s">
        <v>670</v>
      </c>
      <c r="D1454" s="422" t="s">
        <v>1301</v>
      </c>
      <c r="E1454" s="423"/>
      <c r="F1454" s="424"/>
      <c r="G1454" s="425"/>
      <c r="H1454" s="651"/>
      <c r="I1454" s="420">
        <v>56.89</v>
      </c>
      <c r="J1454" s="420">
        <f t="shared" si="359"/>
        <v>56.89</v>
      </c>
      <c r="K1454" s="421">
        <f t="shared" si="358"/>
        <v>67.59</v>
      </c>
      <c r="L1454" s="647" t="s">
        <v>2065</v>
      </c>
      <c r="M1454" s="576"/>
      <c r="N1454" s="576">
        <f t="shared" si="361"/>
        <v>0</v>
      </c>
      <c r="O1454" s="577">
        <f t="shared" si="355"/>
        <v>0</v>
      </c>
      <c r="P1454" s="578">
        <f t="shared" si="356"/>
        <v>0</v>
      </c>
      <c r="Q1454" s="765"/>
      <c r="R1454" s="576">
        <f t="shared" si="363"/>
        <v>0</v>
      </c>
      <c r="S1454" s="576">
        <f t="shared" si="363"/>
        <v>0</v>
      </c>
      <c r="T1454" s="577">
        <f t="shared" si="353"/>
        <v>0</v>
      </c>
      <c r="U1454" s="578">
        <f t="shared" si="354"/>
        <v>0</v>
      </c>
      <c r="V1454" s="579"/>
      <c r="W1454" s="566"/>
      <c r="X1454" s="586" t="str">
        <f t="shared" si="357"/>
        <v/>
      </c>
      <c r="Y1454" s="586" t="str">
        <f t="shared" si="362"/>
        <v/>
      </c>
      <c r="Z1454" s="586" t="str">
        <f t="shared" si="360"/>
        <v/>
      </c>
    </row>
    <row r="1455" spans="1:26" ht="23.25" hidden="1" thickBot="1" x14ac:dyDescent="0.25">
      <c r="A1455" s="567">
        <v>92004</v>
      </c>
      <c r="B1455" s="644">
        <v>92004</v>
      </c>
      <c r="C1455" s="645" t="s">
        <v>670</v>
      </c>
      <c r="D1455" s="422" t="s">
        <v>1302</v>
      </c>
      <c r="E1455" s="423"/>
      <c r="F1455" s="424"/>
      <c r="G1455" s="425"/>
      <c r="H1455" s="651"/>
      <c r="I1455" s="420">
        <v>60.52</v>
      </c>
      <c r="J1455" s="420">
        <f t="shared" si="359"/>
        <v>60.52</v>
      </c>
      <c r="K1455" s="421">
        <f t="shared" si="358"/>
        <v>71.900000000000006</v>
      </c>
      <c r="L1455" s="647" t="s">
        <v>2065</v>
      </c>
      <c r="M1455" s="576"/>
      <c r="N1455" s="576">
        <f t="shared" si="361"/>
        <v>0</v>
      </c>
      <c r="O1455" s="577">
        <f t="shared" si="355"/>
        <v>0</v>
      </c>
      <c r="P1455" s="578">
        <f t="shared" si="356"/>
        <v>0</v>
      </c>
      <c r="Q1455" s="765"/>
      <c r="R1455" s="576">
        <f t="shared" si="363"/>
        <v>0</v>
      </c>
      <c r="S1455" s="576">
        <f t="shared" si="363"/>
        <v>0</v>
      </c>
      <c r="T1455" s="577">
        <f t="shared" si="353"/>
        <v>0</v>
      </c>
      <c r="U1455" s="578">
        <f t="shared" si="354"/>
        <v>0</v>
      </c>
      <c r="V1455" s="579"/>
      <c r="W1455" s="566"/>
      <c r="X1455" s="586" t="str">
        <f t="shared" si="357"/>
        <v/>
      </c>
      <c r="Y1455" s="586" t="str">
        <f t="shared" si="362"/>
        <v/>
      </c>
      <c r="Z1455" s="586" t="str">
        <f t="shared" si="360"/>
        <v/>
      </c>
    </row>
    <row r="1456" spans="1:26" ht="23.25" hidden="1" thickBot="1" x14ac:dyDescent="0.25">
      <c r="A1456" s="567">
        <v>92005</v>
      </c>
      <c r="B1456" s="644">
        <v>92005</v>
      </c>
      <c r="C1456" s="645" t="s">
        <v>670</v>
      </c>
      <c r="D1456" s="422" t="s">
        <v>1303</v>
      </c>
      <c r="E1456" s="423"/>
      <c r="F1456" s="424"/>
      <c r="G1456" s="425"/>
      <c r="H1456" s="651"/>
      <c r="I1456" s="420">
        <v>66.62</v>
      </c>
      <c r="J1456" s="420">
        <f t="shared" si="359"/>
        <v>66.62</v>
      </c>
      <c r="K1456" s="421">
        <f t="shared" si="358"/>
        <v>79.150000000000006</v>
      </c>
      <c r="L1456" s="647" t="s">
        <v>2065</v>
      </c>
      <c r="M1456" s="576"/>
      <c r="N1456" s="576">
        <f t="shared" si="361"/>
        <v>0</v>
      </c>
      <c r="O1456" s="577">
        <f t="shared" si="355"/>
        <v>0</v>
      </c>
      <c r="P1456" s="578">
        <f t="shared" si="356"/>
        <v>0</v>
      </c>
      <c r="Q1456" s="765"/>
      <c r="R1456" s="576">
        <f t="shared" si="363"/>
        <v>0</v>
      </c>
      <c r="S1456" s="576">
        <f t="shared" si="363"/>
        <v>0</v>
      </c>
      <c r="T1456" s="577">
        <f t="shared" si="353"/>
        <v>0</v>
      </c>
      <c r="U1456" s="578">
        <f t="shared" si="354"/>
        <v>0</v>
      </c>
      <c r="V1456" s="579"/>
      <c r="W1456" s="566"/>
      <c r="X1456" s="586" t="str">
        <f t="shared" si="357"/>
        <v/>
      </c>
      <c r="Y1456" s="586" t="str">
        <f t="shared" si="362"/>
        <v/>
      </c>
      <c r="Z1456" s="586" t="str">
        <f t="shared" si="360"/>
        <v/>
      </c>
    </row>
    <row r="1457" spans="1:26" ht="23.25" hidden="1" thickBot="1" x14ac:dyDescent="0.25">
      <c r="A1457" s="567">
        <v>92006</v>
      </c>
      <c r="B1457" s="644">
        <v>92006</v>
      </c>
      <c r="C1457" s="645" t="s">
        <v>670</v>
      </c>
      <c r="D1457" s="422" t="s">
        <v>1304</v>
      </c>
      <c r="E1457" s="423"/>
      <c r="F1457" s="424"/>
      <c r="G1457" s="425"/>
      <c r="H1457" s="651"/>
      <c r="I1457" s="420">
        <v>43.18</v>
      </c>
      <c r="J1457" s="420">
        <f t="shared" si="359"/>
        <v>43.18</v>
      </c>
      <c r="K1457" s="421">
        <f t="shared" si="358"/>
        <v>51.3</v>
      </c>
      <c r="L1457" s="647" t="s">
        <v>2065</v>
      </c>
      <c r="M1457" s="576"/>
      <c r="N1457" s="576">
        <f t="shared" si="361"/>
        <v>0</v>
      </c>
      <c r="O1457" s="577">
        <f t="shared" si="355"/>
        <v>0</v>
      </c>
      <c r="P1457" s="578">
        <f t="shared" si="356"/>
        <v>0</v>
      </c>
      <c r="Q1457" s="765"/>
      <c r="R1457" s="576">
        <f t="shared" si="363"/>
        <v>0</v>
      </c>
      <c r="S1457" s="576">
        <f t="shared" si="363"/>
        <v>0</v>
      </c>
      <c r="T1457" s="577">
        <f t="shared" si="353"/>
        <v>0</v>
      </c>
      <c r="U1457" s="578">
        <f t="shared" si="354"/>
        <v>0</v>
      </c>
      <c r="V1457" s="579"/>
      <c r="W1457" s="566"/>
      <c r="X1457" s="586" t="str">
        <f t="shared" si="357"/>
        <v/>
      </c>
      <c r="Y1457" s="586" t="str">
        <f t="shared" si="362"/>
        <v/>
      </c>
      <c r="Z1457" s="586" t="str">
        <f t="shared" si="360"/>
        <v/>
      </c>
    </row>
    <row r="1458" spans="1:26" ht="23.25" hidden="1" thickBot="1" x14ac:dyDescent="0.25">
      <c r="A1458" s="567">
        <v>92007</v>
      </c>
      <c r="B1458" s="644">
        <v>92007</v>
      </c>
      <c r="C1458" s="645" t="s">
        <v>670</v>
      </c>
      <c r="D1458" s="422" t="s">
        <v>1305</v>
      </c>
      <c r="E1458" s="423"/>
      <c r="F1458" s="424"/>
      <c r="G1458" s="425"/>
      <c r="H1458" s="651"/>
      <c r="I1458" s="420">
        <v>49.28</v>
      </c>
      <c r="J1458" s="420">
        <f t="shared" si="359"/>
        <v>49.28</v>
      </c>
      <c r="K1458" s="421">
        <f t="shared" si="358"/>
        <v>58.55</v>
      </c>
      <c r="L1458" s="647" t="s">
        <v>2065</v>
      </c>
      <c r="M1458" s="576"/>
      <c r="N1458" s="576">
        <f t="shared" si="361"/>
        <v>0</v>
      </c>
      <c r="O1458" s="577">
        <f t="shared" si="355"/>
        <v>0</v>
      </c>
      <c r="P1458" s="578">
        <f t="shared" si="356"/>
        <v>0</v>
      </c>
      <c r="Q1458" s="765"/>
      <c r="R1458" s="576">
        <f t="shared" si="363"/>
        <v>0</v>
      </c>
      <c r="S1458" s="576">
        <f t="shared" si="363"/>
        <v>0</v>
      </c>
      <c r="T1458" s="577">
        <f t="shared" si="353"/>
        <v>0</v>
      </c>
      <c r="U1458" s="578">
        <f t="shared" si="354"/>
        <v>0</v>
      </c>
      <c r="V1458" s="579"/>
      <c r="W1458" s="566"/>
      <c r="X1458" s="586" t="str">
        <f t="shared" si="357"/>
        <v/>
      </c>
      <c r="Y1458" s="586" t="str">
        <f t="shared" si="362"/>
        <v/>
      </c>
      <c r="Z1458" s="586" t="str">
        <f t="shared" si="360"/>
        <v/>
      </c>
    </row>
    <row r="1459" spans="1:26" ht="23.25" hidden="1" thickBot="1" x14ac:dyDescent="0.25">
      <c r="A1459" s="567">
        <v>92008</v>
      </c>
      <c r="B1459" s="644">
        <v>92008</v>
      </c>
      <c r="C1459" s="645" t="s">
        <v>670</v>
      </c>
      <c r="D1459" s="422" t="s">
        <v>1306</v>
      </c>
      <c r="E1459" s="423"/>
      <c r="F1459" s="424"/>
      <c r="G1459" s="425"/>
      <c r="H1459" s="651"/>
      <c r="I1459" s="420">
        <v>52.91</v>
      </c>
      <c r="J1459" s="420">
        <f t="shared" si="359"/>
        <v>52.91</v>
      </c>
      <c r="K1459" s="421">
        <f t="shared" si="358"/>
        <v>62.86</v>
      </c>
      <c r="L1459" s="647" t="s">
        <v>2065</v>
      </c>
      <c r="M1459" s="576"/>
      <c r="N1459" s="576">
        <f t="shared" si="361"/>
        <v>0</v>
      </c>
      <c r="O1459" s="577">
        <f t="shared" si="355"/>
        <v>0</v>
      </c>
      <c r="P1459" s="578">
        <f t="shared" si="356"/>
        <v>0</v>
      </c>
      <c r="Q1459" s="765"/>
      <c r="R1459" s="576">
        <f t="shared" si="363"/>
        <v>0</v>
      </c>
      <c r="S1459" s="576">
        <f t="shared" si="363"/>
        <v>0</v>
      </c>
      <c r="T1459" s="577">
        <f t="shared" si="353"/>
        <v>0</v>
      </c>
      <c r="U1459" s="578">
        <f t="shared" si="354"/>
        <v>0</v>
      </c>
      <c r="V1459" s="579"/>
      <c r="W1459" s="566"/>
      <c r="X1459" s="586" t="str">
        <f t="shared" si="357"/>
        <v/>
      </c>
      <c r="Y1459" s="586" t="str">
        <f t="shared" si="362"/>
        <v/>
      </c>
      <c r="Z1459" s="586" t="str">
        <f t="shared" si="360"/>
        <v/>
      </c>
    </row>
    <row r="1460" spans="1:26" ht="23.25" hidden="1" thickBot="1" x14ac:dyDescent="0.25">
      <c r="A1460" s="567">
        <v>92009</v>
      </c>
      <c r="B1460" s="644">
        <v>92009</v>
      </c>
      <c r="C1460" s="645" t="s">
        <v>670</v>
      </c>
      <c r="D1460" s="422" t="s">
        <v>1307</v>
      </c>
      <c r="E1460" s="423"/>
      <c r="F1460" s="424"/>
      <c r="G1460" s="425"/>
      <c r="H1460" s="651"/>
      <c r="I1460" s="420">
        <v>59.01</v>
      </c>
      <c r="J1460" s="420">
        <f t="shared" si="359"/>
        <v>59.01</v>
      </c>
      <c r="K1460" s="421">
        <f t="shared" si="358"/>
        <v>70.11</v>
      </c>
      <c r="L1460" s="647" t="s">
        <v>2065</v>
      </c>
      <c r="M1460" s="576"/>
      <c r="N1460" s="576">
        <f t="shared" si="361"/>
        <v>0</v>
      </c>
      <c r="O1460" s="577">
        <f t="shared" si="355"/>
        <v>0</v>
      </c>
      <c r="P1460" s="578">
        <f t="shared" si="356"/>
        <v>0</v>
      </c>
      <c r="Q1460" s="765"/>
      <c r="R1460" s="576">
        <f t="shared" si="363"/>
        <v>0</v>
      </c>
      <c r="S1460" s="576">
        <f t="shared" si="363"/>
        <v>0</v>
      </c>
      <c r="T1460" s="577">
        <f t="shared" ref="T1460:T1523" si="364">IF(ISBLANK(R1460),0,ROUND(K1460*R1460,2))</f>
        <v>0</v>
      </c>
      <c r="U1460" s="578">
        <f t="shared" ref="U1460:U1523" si="365">IF(ISBLANK(R1460),0,ROUND(R1460*S1460,2))</f>
        <v>0</v>
      </c>
      <c r="V1460" s="579"/>
      <c r="W1460" s="566"/>
      <c r="X1460" s="586" t="str">
        <f t="shared" si="357"/>
        <v/>
      </c>
      <c r="Y1460" s="586" t="str">
        <f t="shared" si="362"/>
        <v/>
      </c>
      <c r="Z1460" s="586" t="str">
        <f t="shared" si="360"/>
        <v/>
      </c>
    </row>
    <row r="1461" spans="1:26" ht="23.25" hidden="1" thickBot="1" x14ac:dyDescent="0.25">
      <c r="A1461" s="567">
        <v>92010</v>
      </c>
      <c r="B1461" s="644">
        <v>92010</v>
      </c>
      <c r="C1461" s="645" t="s">
        <v>670</v>
      </c>
      <c r="D1461" s="422" t="s">
        <v>1308</v>
      </c>
      <c r="E1461" s="423"/>
      <c r="F1461" s="424"/>
      <c r="G1461" s="425"/>
      <c r="H1461" s="651"/>
      <c r="I1461" s="420">
        <v>74.61</v>
      </c>
      <c r="J1461" s="420">
        <f t="shared" si="359"/>
        <v>74.61</v>
      </c>
      <c r="K1461" s="421">
        <f t="shared" si="358"/>
        <v>88.64</v>
      </c>
      <c r="L1461" s="647" t="s">
        <v>2065</v>
      </c>
      <c r="M1461" s="576"/>
      <c r="N1461" s="576">
        <f t="shared" si="361"/>
        <v>0</v>
      </c>
      <c r="O1461" s="577">
        <f t="shared" ref="O1461:O1524" si="366">IF(ISBLANK(M1461),0,ROUND(K1461*M1461,2))</f>
        <v>0</v>
      </c>
      <c r="P1461" s="578">
        <f t="shared" ref="P1461:P1524" si="367">IF(ISBLANK(N1461),0,ROUND(M1461*N1461,2))</f>
        <v>0</v>
      </c>
      <c r="Q1461" s="765"/>
      <c r="R1461" s="576">
        <f t="shared" si="363"/>
        <v>0</v>
      </c>
      <c r="S1461" s="576">
        <f t="shared" si="363"/>
        <v>0</v>
      </c>
      <c r="T1461" s="577">
        <f t="shared" si="364"/>
        <v>0</v>
      </c>
      <c r="U1461" s="578">
        <f t="shared" si="365"/>
        <v>0</v>
      </c>
      <c r="V1461" s="579"/>
      <c r="W1461" s="566"/>
      <c r="X1461" s="586" t="str">
        <f t="shared" si="357"/>
        <v/>
      </c>
      <c r="Y1461" s="586" t="str">
        <f t="shared" si="362"/>
        <v/>
      </c>
      <c r="Z1461" s="586" t="str">
        <f t="shared" si="360"/>
        <v/>
      </c>
    </row>
    <row r="1462" spans="1:26" ht="23.25" hidden="1" thickBot="1" x14ac:dyDescent="0.25">
      <c r="A1462" s="567">
        <v>92011</v>
      </c>
      <c r="B1462" s="644">
        <v>92011</v>
      </c>
      <c r="C1462" s="645" t="s">
        <v>670</v>
      </c>
      <c r="D1462" s="422" t="s">
        <v>1309</v>
      </c>
      <c r="E1462" s="423"/>
      <c r="F1462" s="424"/>
      <c r="G1462" s="425"/>
      <c r="H1462" s="651"/>
      <c r="I1462" s="420">
        <v>83.76</v>
      </c>
      <c r="J1462" s="420">
        <f t="shared" si="359"/>
        <v>83.76</v>
      </c>
      <c r="K1462" s="421">
        <f t="shared" si="358"/>
        <v>99.52</v>
      </c>
      <c r="L1462" s="647" t="s">
        <v>2065</v>
      </c>
      <c r="M1462" s="576"/>
      <c r="N1462" s="576">
        <f t="shared" si="361"/>
        <v>0</v>
      </c>
      <c r="O1462" s="577">
        <f t="shared" si="366"/>
        <v>0</v>
      </c>
      <c r="P1462" s="578">
        <f t="shared" si="367"/>
        <v>0</v>
      </c>
      <c r="Q1462" s="765"/>
      <c r="R1462" s="576">
        <f t="shared" si="363"/>
        <v>0</v>
      </c>
      <c r="S1462" s="576">
        <f t="shared" si="363"/>
        <v>0</v>
      </c>
      <c r="T1462" s="577">
        <f t="shared" si="364"/>
        <v>0</v>
      </c>
      <c r="U1462" s="578">
        <f t="shared" si="365"/>
        <v>0</v>
      </c>
      <c r="V1462" s="579"/>
      <c r="W1462" s="566"/>
      <c r="X1462" s="586" t="str">
        <f t="shared" si="357"/>
        <v/>
      </c>
      <c r="Y1462" s="586" t="str">
        <f t="shared" si="362"/>
        <v/>
      </c>
      <c r="Z1462" s="586" t="str">
        <f t="shared" si="360"/>
        <v/>
      </c>
    </row>
    <row r="1463" spans="1:26" ht="23.25" hidden="1" thickBot="1" x14ac:dyDescent="0.25">
      <c r="A1463" s="567">
        <v>92012</v>
      </c>
      <c r="B1463" s="644">
        <v>92012</v>
      </c>
      <c r="C1463" s="645" t="s">
        <v>670</v>
      </c>
      <c r="D1463" s="422" t="s">
        <v>1310</v>
      </c>
      <c r="E1463" s="423"/>
      <c r="F1463" s="424"/>
      <c r="G1463" s="425"/>
      <c r="H1463" s="651"/>
      <c r="I1463" s="420">
        <v>84.34</v>
      </c>
      <c r="J1463" s="420">
        <f t="shared" si="359"/>
        <v>84.34</v>
      </c>
      <c r="K1463" s="421">
        <f t="shared" si="358"/>
        <v>100.2</v>
      </c>
      <c r="L1463" s="647" t="s">
        <v>2065</v>
      </c>
      <c r="M1463" s="576"/>
      <c r="N1463" s="576">
        <f t="shared" si="361"/>
        <v>0</v>
      </c>
      <c r="O1463" s="577">
        <f t="shared" si="366"/>
        <v>0</v>
      </c>
      <c r="P1463" s="578">
        <f t="shared" si="367"/>
        <v>0</v>
      </c>
      <c r="Q1463" s="765"/>
      <c r="R1463" s="576">
        <f t="shared" si="363"/>
        <v>0</v>
      </c>
      <c r="S1463" s="576">
        <f t="shared" si="363"/>
        <v>0</v>
      </c>
      <c r="T1463" s="577">
        <f t="shared" si="364"/>
        <v>0</v>
      </c>
      <c r="U1463" s="578">
        <f t="shared" si="365"/>
        <v>0</v>
      </c>
      <c r="V1463" s="579"/>
      <c r="W1463" s="566"/>
      <c r="X1463" s="586" t="str">
        <f t="shared" si="357"/>
        <v/>
      </c>
      <c r="Y1463" s="586" t="str">
        <f t="shared" si="362"/>
        <v/>
      </c>
      <c r="Z1463" s="586" t="str">
        <f t="shared" si="360"/>
        <v/>
      </c>
    </row>
    <row r="1464" spans="1:26" ht="23.25" hidden="1" thickBot="1" x14ac:dyDescent="0.25">
      <c r="A1464" s="567">
        <v>92013</v>
      </c>
      <c r="B1464" s="644">
        <v>92013</v>
      </c>
      <c r="C1464" s="645" t="s">
        <v>670</v>
      </c>
      <c r="D1464" s="422" t="s">
        <v>1311</v>
      </c>
      <c r="E1464" s="423"/>
      <c r="F1464" s="424"/>
      <c r="G1464" s="425"/>
      <c r="H1464" s="651"/>
      <c r="I1464" s="420">
        <v>93.49</v>
      </c>
      <c r="J1464" s="420">
        <f t="shared" si="359"/>
        <v>93.49</v>
      </c>
      <c r="K1464" s="421">
        <f t="shared" si="358"/>
        <v>111.08</v>
      </c>
      <c r="L1464" s="647" t="s">
        <v>2065</v>
      </c>
      <c r="M1464" s="576"/>
      <c r="N1464" s="576">
        <f t="shared" si="361"/>
        <v>0</v>
      </c>
      <c r="O1464" s="577">
        <f t="shared" si="366"/>
        <v>0</v>
      </c>
      <c r="P1464" s="578">
        <f t="shared" si="367"/>
        <v>0</v>
      </c>
      <c r="Q1464" s="765"/>
      <c r="R1464" s="576">
        <f t="shared" si="363"/>
        <v>0</v>
      </c>
      <c r="S1464" s="576">
        <f t="shared" si="363"/>
        <v>0</v>
      </c>
      <c r="T1464" s="577">
        <f t="shared" si="364"/>
        <v>0</v>
      </c>
      <c r="U1464" s="578">
        <f t="shared" si="365"/>
        <v>0</v>
      </c>
      <c r="V1464" s="579"/>
      <c r="W1464" s="566"/>
      <c r="X1464" s="586" t="str">
        <f t="shared" si="357"/>
        <v/>
      </c>
      <c r="Y1464" s="586" t="str">
        <f t="shared" si="362"/>
        <v/>
      </c>
      <c r="Z1464" s="586" t="str">
        <f t="shared" si="360"/>
        <v/>
      </c>
    </row>
    <row r="1465" spans="1:26" ht="23.25" hidden="1" thickBot="1" x14ac:dyDescent="0.25">
      <c r="A1465" s="567">
        <v>92014</v>
      </c>
      <c r="B1465" s="644">
        <v>92014</v>
      </c>
      <c r="C1465" s="645" t="s">
        <v>670</v>
      </c>
      <c r="D1465" s="422" t="s">
        <v>1312</v>
      </c>
      <c r="E1465" s="423"/>
      <c r="F1465" s="424"/>
      <c r="G1465" s="425"/>
      <c r="H1465" s="651"/>
      <c r="I1465" s="420">
        <v>63.18</v>
      </c>
      <c r="J1465" s="420">
        <f t="shared" si="359"/>
        <v>63.18</v>
      </c>
      <c r="K1465" s="421">
        <f t="shared" si="358"/>
        <v>75.06</v>
      </c>
      <c r="L1465" s="647" t="s">
        <v>2065</v>
      </c>
      <c r="M1465" s="576"/>
      <c r="N1465" s="576">
        <f t="shared" si="361"/>
        <v>0</v>
      </c>
      <c r="O1465" s="577">
        <f t="shared" si="366"/>
        <v>0</v>
      </c>
      <c r="P1465" s="578">
        <f t="shared" si="367"/>
        <v>0</v>
      </c>
      <c r="Q1465" s="765"/>
      <c r="R1465" s="576">
        <f t="shared" si="363"/>
        <v>0</v>
      </c>
      <c r="S1465" s="576">
        <f t="shared" si="363"/>
        <v>0</v>
      </c>
      <c r="T1465" s="577">
        <f t="shared" si="364"/>
        <v>0</v>
      </c>
      <c r="U1465" s="578">
        <f t="shared" si="365"/>
        <v>0</v>
      </c>
      <c r="V1465" s="579"/>
      <c r="W1465" s="566"/>
      <c r="X1465" s="586" t="str">
        <f t="shared" si="357"/>
        <v/>
      </c>
      <c r="Y1465" s="586" t="str">
        <f t="shared" si="362"/>
        <v/>
      </c>
      <c r="Z1465" s="586" t="str">
        <f t="shared" si="360"/>
        <v/>
      </c>
    </row>
    <row r="1466" spans="1:26" ht="23.25" hidden="1" thickBot="1" x14ac:dyDescent="0.25">
      <c r="A1466" s="567">
        <v>92015</v>
      </c>
      <c r="B1466" s="644">
        <v>92015</v>
      </c>
      <c r="C1466" s="645" t="s">
        <v>670</v>
      </c>
      <c r="D1466" s="422" t="s">
        <v>1313</v>
      </c>
      <c r="E1466" s="423"/>
      <c r="F1466" s="424"/>
      <c r="G1466" s="425"/>
      <c r="H1466" s="651"/>
      <c r="I1466" s="420">
        <v>72.33</v>
      </c>
      <c r="J1466" s="420">
        <f t="shared" si="359"/>
        <v>72.33</v>
      </c>
      <c r="K1466" s="421">
        <f t="shared" si="358"/>
        <v>85.94</v>
      </c>
      <c r="L1466" s="647" t="s">
        <v>2065</v>
      </c>
      <c r="M1466" s="576"/>
      <c r="N1466" s="576">
        <f t="shared" si="361"/>
        <v>0</v>
      </c>
      <c r="O1466" s="577">
        <f t="shared" si="366"/>
        <v>0</v>
      </c>
      <c r="P1466" s="578">
        <f t="shared" si="367"/>
        <v>0</v>
      </c>
      <c r="Q1466" s="765"/>
      <c r="R1466" s="576">
        <f t="shared" si="363"/>
        <v>0</v>
      </c>
      <c r="S1466" s="576">
        <f t="shared" si="363"/>
        <v>0</v>
      </c>
      <c r="T1466" s="577">
        <f t="shared" si="364"/>
        <v>0</v>
      </c>
      <c r="U1466" s="578">
        <f t="shared" si="365"/>
        <v>0</v>
      </c>
      <c r="V1466" s="579"/>
      <c r="W1466" s="566"/>
      <c r="X1466" s="586" t="str">
        <f t="shared" si="357"/>
        <v/>
      </c>
      <c r="Y1466" s="586" t="str">
        <f t="shared" si="362"/>
        <v/>
      </c>
      <c r="Z1466" s="586" t="str">
        <f t="shared" si="360"/>
        <v/>
      </c>
    </row>
    <row r="1467" spans="1:26" ht="23.25" hidden="1" thickBot="1" x14ac:dyDescent="0.25">
      <c r="A1467" s="567">
        <v>92016</v>
      </c>
      <c r="B1467" s="644">
        <v>92016</v>
      </c>
      <c r="C1467" s="645" t="s">
        <v>670</v>
      </c>
      <c r="D1467" s="422" t="s">
        <v>1314</v>
      </c>
      <c r="E1467" s="423"/>
      <c r="F1467" s="424"/>
      <c r="G1467" s="425"/>
      <c r="H1467" s="651"/>
      <c r="I1467" s="420">
        <v>72.91</v>
      </c>
      <c r="J1467" s="420">
        <f t="shared" si="359"/>
        <v>72.91</v>
      </c>
      <c r="K1467" s="421">
        <f t="shared" si="358"/>
        <v>86.62</v>
      </c>
      <c r="L1467" s="647" t="s">
        <v>2065</v>
      </c>
      <c r="M1467" s="576"/>
      <c r="N1467" s="576">
        <f t="shared" si="361"/>
        <v>0</v>
      </c>
      <c r="O1467" s="577">
        <f t="shared" si="366"/>
        <v>0</v>
      </c>
      <c r="P1467" s="578">
        <f t="shared" si="367"/>
        <v>0</v>
      </c>
      <c r="Q1467" s="765"/>
      <c r="R1467" s="576">
        <f t="shared" si="363"/>
        <v>0</v>
      </c>
      <c r="S1467" s="576">
        <f t="shared" si="363"/>
        <v>0</v>
      </c>
      <c r="T1467" s="577">
        <f t="shared" si="364"/>
        <v>0</v>
      </c>
      <c r="U1467" s="578">
        <f t="shared" si="365"/>
        <v>0</v>
      </c>
      <c r="V1467" s="579"/>
      <c r="W1467" s="566"/>
      <c r="X1467" s="586" t="str">
        <f t="shared" si="357"/>
        <v/>
      </c>
      <c r="Y1467" s="586" t="str">
        <f t="shared" si="362"/>
        <v/>
      </c>
      <c r="Z1467" s="586" t="str">
        <f t="shared" si="360"/>
        <v/>
      </c>
    </row>
    <row r="1468" spans="1:26" ht="23.25" hidden="1" thickBot="1" x14ac:dyDescent="0.25">
      <c r="A1468" s="567">
        <v>92017</v>
      </c>
      <c r="B1468" s="644">
        <v>92017</v>
      </c>
      <c r="C1468" s="645" t="s">
        <v>670</v>
      </c>
      <c r="D1468" s="422" t="s">
        <v>1315</v>
      </c>
      <c r="E1468" s="423"/>
      <c r="F1468" s="424"/>
      <c r="G1468" s="425"/>
      <c r="H1468" s="651"/>
      <c r="I1468" s="420">
        <v>82.06</v>
      </c>
      <c r="J1468" s="420">
        <f t="shared" si="359"/>
        <v>82.06</v>
      </c>
      <c r="K1468" s="421">
        <f t="shared" si="358"/>
        <v>97.5</v>
      </c>
      <c r="L1468" s="647" t="s">
        <v>2065</v>
      </c>
      <c r="M1468" s="576"/>
      <c r="N1468" s="576">
        <f t="shared" si="361"/>
        <v>0</v>
      </c>
      <c r="O1468" s="577">
        <f t="shared" si="366"/>
        <v>0</v>
      </c>
      <c r="P1468" s="578">
        <f t="shared" si="367"/>
        <v>0</v>
      </c>
      <c r="Q1468" s="765"/>
      <c r="R1468" s="576">
        <f t="shared" si="363"/>
        <v>0</v>
      </c>
      <c r="S1468" s="576">
        <f t="shared" si="363"/>
        <v>0</v>
      </c>
      <c r="T1468" s="577">
        <f t="shared" si="364"/>
        <v>0</v>
      </c>
      <c r="U1468" s="578">
        <f t="shared" si="365"/>
        <v>0</v>
      </c>
      <c r="V1468" s="579"/>
      <c r="W1468" s="566"/>
      <c r="X1468" s="586" t="str">
        <f t="shared" si="357"/>
        <v/>
      </c>
      <c r="Y1468" s="586" t="str">
        <f t="shared" si="362"/>
        <v/>
      </c>
      <c r="Z1468" s="586" t="str">
        <f t="shared" si="360"/>
        <v/>
      </c>
    </row>
    <row r="1469" spans="1:26" ht="23.25" hidden="1" thickBot="1" x14ac:dyDescent="0.25">
      <c r="A1469" s="567">
        <v>92018</v>
      </c>
      <c r="B1469" s="644">
        <v>92018</v>
      </c>
      <c r="C1469" s="645" t="s">
        <v>670</v>
      </c>
      <c r="D1469" s="422" t="s">
        <v>1316</v>
      </c>
      <c r="E1469" s="423"/>
      <c r="F1469" s="424"/>
      <c r="G1469" s="425"/>
      <c r="H1469" s="651"/>
      <c r="I1469" s="420">
        <v>83.7</v>
      </c>
      <c r="J1469" s="420">
        <f t="shared" si="359"/>
        <v>83.7</v>
      </c>
      <c r="K1469" s="421">
        <f t="shared" si="358"/>
        <v>99.44</v>
      </c>
      <c r="L1469" s="647" t="s">
        <v>2065</v>
      </c>
      <c r="M1469" s="576"/>
      <c r="N1469" s="576">
        <f t="shared" si="361"/>
        <v>0</v>
      </c>
      <c r="O1469" s="577">
        <f t="shared" si="366"/>
        <v>0</v>
      </c>
      <c r="P1469" s="578">
        <f t="shared" si="367"/>
        <v>0</v>
      </c>
      <c r="Q1469" s="765"/>
      <c r="R1469" s="576">
        <f t="shared" si="363"/>
        <v>0</v>
      </c>
      <c r="S1469" s="576">
        <f t="shared" si="363"/>
        <v>0</v>
      </c>
      <c r="T1469" s="577">
        <f t="shared" si="364"/>
        <v>0</v>
      </c>
      <c r="U1469" s="578">
        <f t="shared" si="365"/>
        <v>0</v>
      </c>
      <c r="V1469" s="579"/>
      <c r="W1469" s="566"/>
      <c r="X1469" s="586" t="str">
        <f t="shared" ref="X1469:X1532" si="368">IF(W1469="X","x",IF(W1469="xx","x",IF(W1469="xy","x",IF(W1469="y","x",IF(OR(P1469&gt;0,U1469&gt;0),"x","")))))</f>
        <v/>
      </c>
      <c r="Y1469" s="586" t="str">
        <f t="shared" si="362"/>
        <v/>
      </c>
      <c r="Z1469" s="586" t="str">
        <f t="shared" si="360"/>
        <v/>
      </c>
    </row>
    <row r="1470" spans="1:26" ht="23.25" hidden="1" thickBot="1" x14ac:dyDescent="0.25">
      <c r="A1470" s="567">
        <v>92019</v>
      </c>
      <c r="B1470" s="644">
        <v>92019</v>
      </c>
      <c r="C1470" s="645" t="s">
        <v>670</v>
      </c>
      <c r="D1470" s="422" t="s">
        <v>1317</v>
      </c>
      <c r="E1470" s="423"/>
      <c r="F1470" s="424"/>
      <c r="G1470" s="425"/>
      <c r="H1470" s="651"/>
      <c r="I1470" s="420">
        <v>99.59</v>
      </c>
      <c r="J1470" s="420">
        <f t="shared" si="359"/>
        <v>99.59</v>
      </c>
      <c r="K1470" s="421">
        <f t="shared" si="358"/>
        <v>118.32</v>
      </c>
      <c r="L1470" s="647" t="s">
        <v>2065</v>
      </c>
      <c r="M1470" s="576"/>
      <c r="N1470" s="576">
        <f t="shared" si="361"/>
        <v>0</v>
      </c>
      <c r="O1470" s="577">
        <f t="shared" si="366"/>
        <v>0</v>
      </c>
      <c r="P1470" s="578">
        <f t="shared" si="367"/>
        <v>0</v>
      </c>
      <c r="Q1470" s="765"/>
      <c r="R1470" s="576">
        <f t="shared" si="363"/>
        <v>0</v>
      </c>
      <c r="S1470" s="576">
        <f t="shared" si="363"/>
        <v>0</v>
      </c>
      <c r="T1470" s="577">
        <f t="shared" si="364"/>
        <v>0</v>
      </c>
      <c r="U1470" s="578">
        <f t="shared" si="365"/>
        <v>0</v>
      </c>
      <c r="V1470" s="579"/>
      <c r="W1470" s="566"/>
      <c r="X1470" s="586" t="str">
        <f t="shared" si="368"/>
        <v/>
      </c>
      <c r="Y1470" s="586" t="str">
        <f t="shared" si="362"/>
        <v/>
      </c>
      <c r="Z1470" s="586" t="str">
        <f t="shared" si="360"/>
        <v/>
      </c>
    </row>
    <row r="1471" spans="1:26" ht="23.25" hidden="1" thickBot="1" x14ac:dyDescent="0.25">
      <c r="A1471" s="567">
        <v>92020</v>
      </c>
      <c r="B1471" s="644">
        <v>92020</v>
      </c>
      <c r="C1471" s="645" t="s">
        <v>670</v>
      </c>
      <c r="D1471" s="422" t="s">
        <v>1318</v>
      </c>
      <c r="E1471" s="423"/>
      <c r="F1471" s="424"/>
      <c r="G1471" s="425"/>
      <c r="H1471" s="651"/>
      <c r="I1471" s="420">
        <v>123.97</v>
      </c>
      <c r="J1471" s="420">
        <f t="shared" si="359"/>
        <v>123.97</v>
      </c>
      <c r="K1471" s="421">
        <f t="shared" si="358"/>
        <v>147.29</v>
      </c>
      <c r="L1471" s="647" t="s">
        <v>2065</v>
      </c>
      <c r="M1471" s="576"/>
      <c r="N1471" s="576">
        <f t="shared" si="361"/>
        <v>0</v>
      </c>
      <c r="O1471" s="577">
        <f t="shared" si="366"/>
        <v>0</v>
      </c>
      <c r="P1471" s="578">
        <f t="shared" si="367"/>
        <v>0</v>
      </c>
      <c r="Q1471" s="765"/>
      <c r="R1471" s="576">
        <f t="shared" si="363"/>
        <v>0</v>
      </c>
      <c r="S1471" s="576">
        <f t="shared" si="363"/>
        <v>0</v>
      </c>
      <c r="T1471" s="577">
        <f t="shared" si="364"/>
        <v>0</v>
      </c>
      <c r="U1471" s="578">
        <f t="shared" si="365"/>
        <v>0</v>
      </c>
      <c r="V1471" s="579"/>
      <c r="W1471" s="566"/>
      <c r="X1471" s="586" t="str">
        <f t="shared" si="368"/>
        <v/>
      </c>
      <c r="Y1471" s="586" t="str">
        <f t="shared" si="362"/>
        <v/>
      </c>
      <c r="Z1471" s="586" t="str">
        <f t="shared" si="360"/>
        <v/>
      </c>
    </row>
    <row r="1472" spans="1:26" ht="23.25" hidden="1" thickBot="1" x14ac:dyDescent="0.25">
      <c r="A1472" s="567">
        <v>92021</v>
      </c>
      <c r="B1472" s="644">
        <v>92021</v>
      </c>
      <c r="C1472" s="645" t="s">
        <v>670</v>
      </c>
      <c r="D1472" s="422" t="s">
        <v>1319</v>
      </c>
      <c r="E1472" s="423"/>
      <c r="F1472" s="424"/>
      <c r="G1472" s="425"/>
      <c r="H1472" s="651"/>
      <c r="I1472" s="420">
        <v>139.86000000000001</v>
      </c>
      <c r="J1472" s="420">
        <f t="shared" si="359"/>
        <v>139.86000000000001</v>
      </c>
      <c r="K1472" s="421">
        <f t="shared" si="358"/>
        <v>166.17</v>
      </c>
      <c r="L1472" s="647" t="s">
        <v>2065</v>
      </c>
      <c r="M1472" s="576"/>
      <c r="N1472" s="576">
        <f t="shared" si="361"/>
        <v>0</v>
      </c>
      <c r="O1472" s="577">
        <f t="shared" si="366"/>
        <v>0</v>
      </c>
      <c r="P1472" s="578">
        <f t="shared" si="367"/>
        <v>0</v>
      </c>
      <c r="Q1472" s="765"/>
      <c r="R1472" s="576">
        <f t="shared" si="363"/>
        <v>0</v>
      </c>
      <c r="S1472" s="576">
        <f t="shared" si="363"/>
        <v>0</v>
      </c>
      <c r="T1472" s="577">
        <f t="shared" si="364"/>
        <v>0</v>
      </c>
      <c r="U1472" s="578">
        <f t="shared" si="365"/>
        <v>0</v>
      </c>
      <c r="V1472" s="579"/>
      <c r="W1472" s="566"/>
      <c r="X1472" s="586" t="str">
        <f t="shared" si="368"/>
        <v/>
      </c>
      <c r="Y1472" s="586" t="str">
        <f t="shared" si="362"/>
        <v/>
      </c>
      <c r="Z1472" s="586" t="str">
        <f t="shared" si="360"/>
        <v/>
      </c>
    </row>
    <row r="1473" spans="1:26" ht="23.25" hidden="1" thickBot="1" x14ac:dyDescent="0.25">
      <c r="A1473" s="567">
        <v>93141</v>
      </c>
      <c r="B1473" s="644">
        <v>93141</v>
      </c>
      <c r="C1473" s="645" t="s">
        <v>670</v>
      </c>
      <c r="D1473" s="422" t="s">
        <v>1320</v>
      </c>
      <c r="E1473" s="423"/>
      <c r="F1473" s="424"/>
      <c r="G1473" s="425"/>
      <c r="H1473" s="651"/>
      <c r="I1473" s="420">
        <v>196.92</v>
      </c>
      <c r="J1473" s="420">
        <f t="shared" si="359"/>
        <v>196.92</v>
      </c>
      <c r="K1473" s="421">
        <f t="shared" si="358"/>
        <v>233.96</v>
      </c>
      <c r="L1473" s="647" t="s">
        <v>2065</v>
      </c>
      <c r="M1473" s="576"/>
      <c r="N1473" s="576">
        <f t="shared" si="361"/>
        <v>0</v>
      </c>
      <c r="O1473" s="577">
        <f t="shared" si="366"/>
        <v>0</v>
      </c>
      <c r="P1473" s="578">
        <f t="shared" si="367"/>
        <v>0</v>
      </c>
      <c r="Q1473" s="765"/>
      <c r="R1473" s="576">
        <f t="shared" si="363"/>
        <v>0</v>
      </c>
      <c r="S1473" s="576">
        <f t="shared" si="363"/>
        <v>0</v>
      </c>
      <c r="T1473" s="577">
        <f t="shared" si="364"/>
        <v>0</v>
      </c>
      <c r="U1473" s="578">
        <f t="shared" si="365"/>
        <v>0</v>
      </c>
      <c r="V1473" s="579"/>
      <c r="W1473" s="566"/>
      <c r="X1473" s="586" t="str">
        <f t="shared" si="368"/>
        <v/>
      </c>
      <c r="Y1473" s="586" t="str">
        <f t="shared" si="362"/>
        <v/>
      </c>
      <c r="Z1473" s="586" t="str">
        <f t="shared" si="360"/>
        <v/>
      </c>
    </row>
    <row r="1474" spans="1:26" ht="23.25" hidden="1" thickBot="1" x14ac:dyDescent="0.25">
      <c r="A1474" s="567">
        <v>93142</v>
      </c>
      <c r="B1474" s="644">
        <v>93142</v>
      </c>
      <c r="C1474" s="645" t="s">
        <v>670</v>
      </c>
      <c r="D1474" s="422" t="s">
        <v>1321</v>
      </c>
      <c r="E1474" s="423"/>
      <c r="F1474" s="424"/>
      <c r="G1474" s="425"/>
      <c r="H1474" s="651"/>
      <c r="I1474" s="420">
        <v>220.72</v>
      </c>
      <c r="J1474" s="420">
        <f t="shared" si="359"/>
        <v>220.72</v>
      </c>
      <c r="K1474" s="421">
        <f t="shared" si="358"/>
        <v>262.24</v>
      </c>
      <c r="L1474" s="647" t="s">
        <v>2065</v>
      </c>
      <c r="M1474" s="576"/>
      <c r="N1474" s="576">
        <f t="shared" si="361"/>
        <v>0</v>
      </c>
      <c r="O1474" s="577">
        <f t="shared" si="366"/>
        <v>0</v>
      </c>
      <c r="P1474" s="578">
        <f t="shared" si="367"/>
        <v>0</v>
      </c>
      <c r="Q1474" s="765"/>
      <c r="R1474" s="576">
        <f t="shared" si="363"/>
        <v>0</v>
      </c>
      <c r="S1474" s="576">
        <f t="shared" si="363"/>
        <v>0</v>
      </c>
      <c r="T1474" s="577">
        <f t="shared" si="364"/>
        <v>0</v>
      </c>
      <c r="U1474" s="578">
        <f t="shared" si="365"/>
        <v>0</v>
      </c>
      <c r="V1474" s="579"/>
      <c r="W1474" s="566"/>
      <c r="X1474" s="586" t="str">
        <f t="shared" si="368"/>
        <v/>
      </c>
      <c r="Y1474" s="586" t="str">
        <f t="shared" si="362"/>
        <v/>
      </c>
      <c r="Z1474" s="586" t="str">
        <f t="shared" si="360"/>
        <v/>
      </c>
    </row>
    <row r="1475" spans="1:26" ht="23.25" hidden="1" thickBot="1" x14ac:dyDescent="0.25">
      <c r="A1475" s="567">
        <v>93143</v>
      </c>
      <c r="B1475" s="644">
        <v>93143</v>
      </c>
      <c r="C1475" s="645" t="s">
        <v>670</v>
      </c>
      <c r="D1475" s="422" t="s">
        <v>1322</v>
      </c>
      <c r="E1475" s="423"/>
      <c r="F1475" s="424"/>
      <c r="G1475" s="425"/>
      <c r="H1475" s="651"/>
      <c r="I1475" s="420">
        <v>199.97</v>
      </c>
      <c r="J1475" s="420">
        <f t="shared" si="359"/>
        <v>199.97</v>
      </c>
      <c r="K1475" s="421">
        <f t="shared" si="358"/>
        <v>237.58</v>
      </c>
      <c r="L1475" s="647" t="s">
        <v>2065</v>
      </c>
      <c r="M1475" s="576"/>
      <c r="N1475" s="576">
        <f t="shared" si="361"/>
        <v>0</v>
      </c>
      <c r="O1475" s="577">
        <f t="shared" si="366"/>
        <v>0</v>
      </c>
      <c r="P1475" s="578">
        <f t="shared" si="367"/>
        <v>0</v>
      </c>
      <c r="Q1475" s="765"/>
      <c r="R1475" s="576">
        <f t="shared" si="363"/>
        <v>0</v>
      </c>
      <c r="S1475" s="576">
        <f t="shared" si="363"/>
        <v>0</v>
      </c>
      <c r="T1475" s="577">
        <f t="shared" si="364"/>
        <v>0</v>
      </c>
      <c r="U1475" s="578">
        <f t="shared" si="365"/>
        <v>0</v>
      </c>
      <c r="V1475" s="579"/>
      <c r="W1475" s="566"/>
      <c r="X1475" s="586" t="str">
        <f t="shared" si="368"/>
        <v/>
      </c>
      <c r="Y1475" s="586" t="str">
        <f t="shared" si="362"/>
        <v/>
      </c>
      <c r="Z1475" s="586" t="str">
        <f t="shared" si="360"/>
        <v/>
      </c>
    </row>
    <row r="1476" spans="1:26" ht="23.25" hidden="1" thickBot="1" x14ac:dyDescent="0.25">
      <c r="A1476" s="567">
        <v>93144</v>
      </c>
      <c r="B1476" s="644">
        <v>93144</v>
      </c>
      <c r="C1476" s="645" t="s">
        <v>670</v>
      </c>
      <c r="D1476" s="422" t="s">
        <v>1323</v>
      </c>
      <c r="E1476" s="423"/>
      <c r="F1476" s="424"/>
      <c r="G1476" s="425"/>
      <c r="H1476" s="651"/>
      <c r="I1476" s="420">
        <v>253.83</v>
      </c>
      <c r="J1476" s="420">
        <f t="shared" si="359"/>
        <v>253.83</v>
      </c>
      <c r="K1476" s="421">
        <f t="shared" si="358"/>
        <v>301.58</v>
      </c>
      <c r="L1476" s="647" t="s">
        <v>2065</v>
      </c>
      <c r="M1476" s="576"/>
      <c r="N1476" s="576">
        <f t="shared" si="361"/>
        <v>0</v>
      </c>
      <c r="O1476" s="577">
        <f t="shared" si="366"/>
        <v>0</v>
      </c>
      <c r="P1476" s="578">
        <f t="shared" si="367"/>
        <v>0</v>
      </c>
      <c r="Q1476" s="765"/>
      <c r="R1476" s="576">
        <f t="shared" si="363"/>
        <v>0</v>
      </c>
      <c r="S1476" s="576">
        <f t="shared" si="363"/>
        <v>0</v>
      </c>
      <c r="T1476" s="577">
        <f t="shared" si="364"/>
        <v>0</v>
      </c>
      <c r="U1476" s="578">
        <f t="shared" si="365"/>
        <v>0</v>
      </c>
      <c r="V1476" s="579"/>
      <c r="W1476" s="566"/>
      <c r="X1476" s="586" t="str">
        <f t="shared" si="368"/>
        <v/>
      </c>
      <c r="Y1476" s="586" t="str">
        <f t="shared" si="362"/>
        <v/>
      </c>
      <c r="Z1476" s="586" t="str">
        <f t="shared" si="360"/>
        <v/>
      </c>
    </row>
    <row r="1477" spans="1:26" ht="34.5" hidden="1" thickBot="1" x14ac:dyDescent="0.25">
      <c r="A1477" s="567">
        <v>93145</v>
      </c>
      <c r="B1477" s="644">
        <v>93145</v>
      </c>
      <c r="C1477" s="645" t="s">
        <v>670</v>
      </c>
      <c r="D1477" s="422" t="s">
        <v>1324</v>
      </c>
      <c r="E1477" s="423"/>
      <c r="F1477" s="424"/>
      <c r="G1477" s="425"/>
      <c r="H1477" s="651"/>
      <c r="I1477" s="420">
        <v>239.5</v>
      </c>
      <c r="J1477" s="420">
        <f t="shared" si="359"/>
        <v>239.5</v>
      </c>
      <c r="K1477" s="421">
        <f t="shared" si="358"/>
        <v>284.55</v>
      </c>
      <c r="L1477" s="647" t="s">
        <v>2065</v>
      </c>
      <c r="M1477" s="576"/>
      <c r="N1477" s="576">
        <f t="shared" si="361"/>
        <v>0</v>
      </c>
      <c r="O1477" s="577">
        <f t="shared" si="366"/>
        <v>0</v>
      </c>
      <c r="P1477" s="578">
        <f t="shared" si="367"/>
        <v>0</v>
      </c>
      <c r="Q1477" s="765"/>
      <c r="R1477" s="576">
        <f t="shared" si="363"/>
        <v>0</v>
      </c>
      <c r="S1477" s="576">
        <f t="shared" si="363"/>
        <v>0</v>
      </c>
      <c r="T1477" s="577">
        <f t="shared" si="364"/>
        <v>0</v>
      </c>
      <c r="U1477" s="578">
        <f t="shared" si="365"/>
        <v>0</v>
      </c>
      <c r="V1477" s="579"/>
      <c r="W1477" s="566"/>
      <c r="X1477" s="586" t="str">
        <f t="shared" si="368"/>
        <v/>
      </c>
      <c r="Y1477" s="586" t="str">
        <f t="shared" si="362"/>
        <v/>
      </c>
      <c r="Z1477" s="586" t="str">
        <f t="shared" si="360"/>
        <v/>
      </c>
    </row>
    <row r="1478" spans="1:26" ht="34.5" hidden="1" thickBot="1" x14ac:dyDescent="0.25">
      <c r="A1478" s="567">
        <v>93146</v>
      </c>
      <c r="B1478" s="644">
        <v>93146</v>
      </c>
      <c r="C1478" s="645" t="s">
        <v>670</v>
      </c>
      <c r="D1478" s="422" t="s">
        <v>1325</v>
      </c>
      <c r="E1478" s="423"/>
      <c r="F1478" s="424"/>
      <c r="G1478" s="425"/>
      <c r="H1478" s="651"/>
      <c r="I1478" s="420">
        <v>258.95999999999998</v>
      </c>
      <c r="J1478" s="420">
        <f t="shared" si="359"/>
        <v>258.95999999999998</v>
      </c>
      <c r="K1478" s="421">
        <f t="shared" si="358"/>
        <v>307.67</v>
      </c>
      <c r="L1478" s="647" t="s">
        <v>2065</v>
      </c>
      <c r="M1478" s="576"/>
      <c r="N1478" s="576">
        <f t="shared" si="361"/>
        <v>0</v>
      </c>
      <c r="O1478" s="577">
        <f t="shared" si="366"/>
        <v>0</v>
      </c>
      <c r="P1478" s="578">
        <f t="shared" si="367"/>
        <v>0</v>
      </c>
      <c r="Q1478" s="765"/>
      <c r="R1478" s="576">
        <f t="shared" si="363"/>
        <v>0</v>
      </c>
      <c r="S1478" s="576">
        <f t="shared" si="363"/>
        <v>0</v>
      </c>
      <c r="T1478" s="577">
        <f t="shared" si="364"/>
        <v>0</v>
      </c>
      <c r="U1478" s="578">
        <f t="shared" si="365"/>
        <v>0</v>
      </c>
      <c r="V1478" s="579"/>
      <c r="W1478" s="566"/>
      <c r="X1478" s="586" t="str">
        <f t="shared" si="368"/>
        <v/>
      </c>
      <c r="Y1478" s="586" t="str">
        <f t="shared" si="362"/>
        <v/>
      </c>
      <c r="Z1478" s="586" t="str">
        <f t="shared" si="360"/>
        <v/>
      </c>
    </row>
    <row r="1479" spans="1:26" ht="34.5" hidden="1" thickBot="1" x14ac:dyDescent="0.25">
      <c r="A1479" s="567">
        <v>93147</v>
      </c>
      <c r="B1479" s="644">
        <v>93147</v>
      </c>
      <c r="C1479" s="645" t="s">
        <v>670</v>
      </c>
      <c r="D1479" s="422" t="s">
        <v>1326</v>
      </c>
      <c r="E1479" s="423"/>
      <c r="F1479" s="424"/>
      <c r="G1479" s="425"/>
      <c r="H1479" s="651"/>
      <c r="I1479" s="420">
        <v>295.49</v>
      </c>
      <c r="J1479" s="420">
        <f t="shared" si="359"/>
        <v>295.49</v>
      </c>
      <c r="K1479" s="421">
        <f t="shared" si="358"/>
        <v>351.07</v>
      </c>
      <c r="L1479" s="647" t="s">
        <v>2065</v>
      </c>
      <c r="M1479" s="576"/>
      <c r="N1479" s="576">
        <f t="shared" si="361"/>
        <v>0</v>
      </c>
      <c r="O1479" s="577">
        <f t="shared" si="366"/>
        <v>0</v>
      </c>
      <c r="P1479" s="578">
        <f t="shared" si="367"/>
        <v>0</v>
      </c>
      <c r="Q1479" s="765"/>
      <c r="R1479" s="576">
        <f t="shared" si="363"/>
        <v>0</v>
      </c>
      <c r="S1479" s="576">
        <f t="shared" si="363"/>
        <v>0</v>
      </c>
      <c r="T1479" s="577">
        <f t="shared" si="364"/>
        <v>0</v>
      </c>
      <c r="U1479" s="578">
        <f t="shared" si="365"/>
        <v>0</v>
      </c>
      <c r="V1479" s="579"/>
      <c r="W1479" s="566"/>
      <c r="X1479" s="586" t="str">
        <f t="shared" si="368"/>
        <v/>
      </c>
      <c r="Y1479" s="586" t="str">
        <f t="shared" si="362"/>
        <v/>
      </c>
      <c r="Z1479" s="586" t="str">
        <f t="shared" si="360"/>
        <v/>
      </c>
    </row>
    <row r="1480" spans="1:26" ht="23.25" hidden="1" thickBot="1" x14ac:dyDescent="0.25">
      <c r="A1480" s="567">
        <v>93128</v>
      </c>
      <c r="B1480" s="644">
        <v>93128</v>
      </c>
      <c r="C1480" s="645" t="s">
        <v>670</v>
      </c>
      <c r="D1480" s="422" t="s">
        <v>1327</v>
      </c>
      <c r="E1480" s="423"/>
      <c r="F1480" s="424"/>
      <c r="G1480" s="425"/>
      <c r="H1480" s="651"/>
      <c r="I1480" s="420">
        <v>162.77000000000001</v>
      </c>
      <c r="J1480" s="420">
        <f t="shared" si="359"/>
        <v>162.77000000000001</v>
      </c>
      <c r="K1480" s="421">
        <f t="shared" si="358"/>
        <v>193.39</v>
      </c>
      <c r="L1480" s="647" t="s">
        <v>2065</v>
      </c>
      <c r="M1480" s="576"/>
      <c r="N1480" s="576">
        <f t="shared" si="361"/>
        <v>0</v>
      </c>
      <c r="O1480" s="577">
        <f t="shared" si="366"/>
        <v>0</v>
      </c>
      <c r="P1480" s="578">
        <f t="shared" si="367"/>
        <v>0</v>
      </c>
      <c r="Q1480" s="765"/>
      <c r="R1480" s="576">
        <f t="shared" si="363"/>
        <v>0</v>
      </c>
      <c r="S1480" s="576">
        <f t="shared" si="363"/>
        <v>0</v>
      </c>
      <c r="T1480" s="577">
        <f t="shared" si="364"/>
        <v>0</v>
      </c>
      <c r="U1480" s="578">
        <f t="shared" si="365"/>
        <v>0</v>
      </c>
      <c r="V1480" s="579"/>
      <c r="W1480" s="566"/>
      <c r="X1480" s="586" t="str">
        <f t="shared" si="368"/>
        <v/>
      </c>
      <c r="Y1480" s="586" t="str">
        <f t="shared" si="362"/>
        <v/>
      </c>
      <c r="Z1480" s="586" t="str">
        <f t="shared" si="360"/>
        <v/>
      </c>
    </row>
    <row r="1481" spans="1:26" ht="34.5" hidden="1" thickBot="1" x14ac:dyDescent="0.25">
      <c r="A1481" s="567">
        <v>93137</v>
      </c>
      <c r="B1481" s="644">
        <v>93137</v>
      </c>
      <c r="C1481" s="645" t="s">
        <v>670</v>
      </c>
      <c r="D1481" s="422" t="s">
        <v>1328</v>
      </c>
      <c r="E1481" s="423"/>
      <c r="F1481" s="424"/>
      <c r="G1481" s="425"/>
      <c r="H1481" s="651"/>
      <c r="I1481" s="420">
        <v>193.19</v>
      </c>
      <c r="J1481" s="420">
        <f t="shared" si="359"/>
        <v>193.19</v>
      </c>
      <c r="K1481" s="421">
        <f t="shared" ref="K1481:K1544" si="369">IF(ISBLANK(I1481),0,ROUND(J1481*(1+$F$10)*(1+$F$11*E1481),2))</f>
        <v>229.53</v>
      </c>
      <c r="L1481" s="647" t="s">
        <v>2065</v>
      </c>
      <c r="M1481" s="576"/>
      <c r="N1481" s="576">
        <f t="shared" si="361"/>
        <v>0</v>
      </c>
      <c r="O1481" s="577">
        <f t="shared" si="366"/>
        <v>0</v>
      </c>
      <c r="P1481" s="578">
        <f t="shared" si="367"/>
        <v>0</v>
      </c>
      <c r="Q1481" s="765"/>
      <c r="R1481" s="576">
        <f t="shared" si="363"/>
        <v>0</v>
      </c>
      <c r="S1481" s="576">
        <f t="shared" si="363"/>
        <v>0</v>
      </c>
      <c r="T1481" s="577">
        <f t="shared" si="364"/>
        <v>0</v>
      </c>
      <c r="U1481" s="578">
        <f t="shared" si="365"/>
        <v>0</v>
      </c>
      <c r="V1481" s="579"/>
      <c r="W1481" s="566"/>
      <c r="X1481" s="586" t="str">
        <f t="shared" si="368"/>
        <v/>
      </c>
      <c r="Y1481" s="586" t="str">
        <f t="shared" si="362"/>
        <v/>
      </c>
      <c r="Z1481" s="586" t="str">
        <f t="shared" si="360"/>
        <v/>
      </c>
    </row>
    <row r="1482" spans="1:26" ht="34.5" hidden="1" thickBot="1" x14ac:dyDescent="0.25">
      <c r="A1482" s="567">
        <v>93138</v>
      </c>
      <c r="B1482" s="644">
        <v>93138</v>
      </c>
      <c r="C1482" s="645" t="s">
        <v>670</v>
      </c>
      <c r="D1482" s="422" t="s">
        <v>1329</v>
      </c>
      <c r="E1482" s="423"/>
      <c r="F1482" s="424"/>
      <c r="G1482" s="425"/>
      <c r="H1482" s="651"/>
      <c r="I1482" s="420">
        <v>182.24</v>
      </c>
      <c r="J1482" s="420">
        <f t="shared" si="359"/>
        <v>182.24</v>
      </c>
      <c r="K1482" s="421">
        <f t="shared" si="369"/>
        <v>216.52</v>
      </c>
      <c r="L1482" s="647" t="s">
        <v>2065</v>
      </c>
      <c r="M1482" s="576"/>
      <c r="N1482" s="576">
        <f t="shared" si="361"/>
        <v>0</v>
      </c>
      <c r="O1482" s="577">
        <f t="shared" si="366"/>
        <v>0</v>
      </c>
      <c r="P1482" s="578">
        <f t="shared" si="367"/>
        <v>0</v>
      </c>
      <c r="Q1482" s="765"/>
      <c r="R1482" s="576">
        <f t="shared" si="363"/>
        <v>0</v>
      </c>
      <c r="S1482" s="576">
        <f t="shared" si="363"/>
        <v>0</v>
      </c>
      <c r="T1482" s="577">
        <f t="shared" si="364"/>
        <v>0</v>
      </c>
      <c r="U1482" s="578">
        <f t="shared" si="365"/>
        <v>0</v>
      </c>
      <c r="V1482" s="579"/>
      <c r="W1482" s="566"/>
      <c r="X1482" s="586" t="str">
        <f t="shared" si="368"/>
        <v/>
      </c>
      <c r="Y1482" s="586" t="str">
        <f t="shared" si="362"/>
        <v/>
      </c>
      <c r="Z1482" s="586" t="str">
        <f t="shared" si="360"/>
        <v/>
      </c>
    </row>
    <row r="1483" spans="1:26" ht="34.5" hidden="1" thickBot="1" x14ac:dyDescent="0.25">
      <c r="A1483" s="567">
        <v>93139</v>
      </c>
      <c r="B1483" s="644">
        <v>93139</v>
      </c>
      <c r="C1483" s="645" t="s">
        <v>670</v>
      </c>
      <c r="D1483" s="422" t="s">
        <v>1330</v>
      </c>
      <c r="E1483" s="423"/>
      <c r="F1483" s="424"/>
      <c r="G1483" s="425"/>
      <c r="H1483" s="651"/>
      <c r="I1483" s="420">
        <v>232.07</v>
      </c>
      <c r="J1483" s="420">
        <f t="shared" si="359"/>
        <v>232.07</v>
      </c>
      <c r="K1483" s="421">
        <f t="shared" si="369"/>
        <v>275.72000000000003</v>
      </c>
      <c r="L1483" s="647" t="s">
        <v>2065</v>
      </c>
      <c r="M1483" s="576"/>
      <c r="N1483" s="576">
        <f t="shared" si="361"/>
        <v>0</v>
      </c>
      <c r="O1483" s="577">
        <f t="shared" si="366"/>
        <v>0</v>
      </c>
      <c r="P1483" s="578">
        <f t="shared" si="367"/>
        <v>0</v>
      </c>
      <c r="Q1483" s="765"/>
      <c r="R1483" s="576">
        <f t="shared" si="363"/>
        <v>0</v>
      </c>
      <c r="S1483" s="576">
        <f t="shared" si="363"/>
        <v>0</v>
      </c>
      <c r="T1483" s="577">
        <f t="shared" si="364"/>
        <v>0</v>
      </c>
      <c r="U1483" s="578">
        <f t="shared" si="365"/>
        <v>0</v>
      </c>
      <c r="V1483" s="579"/>
      <c r="W1483" s="566"/>
      <c r="X1483" s="586" t="str">
        <f t="shared" si="368"/>
        <v/>
      </c>
      <c r="Y1483" s="586" t="str">
        <f t="shared" si="362"/>
        <v/>
      </c>
      <c r="Z1483" s="586" t="str">
        <f t="shared" si="360"/>
        <v/>
      </c>
    </row>
    <row r="1484" spans="1:26" ht="34.5" hidden="1" thickBot="1" x14ac:dyDescent="0.25">
      <c r="A1484" s="567">
        <v>93140</v>
      </c>
      <c r="B1484" s="644">
        <v>93140</v>
      </c>
      <c r="C1484" s="645" t="s">
        <v>670</v>
      </c>
      <c r="D1484" s="422" t="s">
        <v>1331</v>
      </c>
      <c r="E1484" s="423"/>
      <c r="F1484" s="424"/>
      <c r="G1484" s="425"/>
      <c r="H1484" s="651"/>
      <c r="I1484" s="420">
        <v>218.71</v>
      </c>
      <c r="J1484" s="420">
        <f t="shared" si="359"/>
        <v>218.71</v>
      </c>
      <c r="K1484" s="421">
        <f t="shared" si="369"/>
        <v>259.85000000000002</v>
      </c>
      <c r="L1484" s="647" t="s">
        <v>2065</v>
      </c>
      <c r="M1484" s="576"/>
      <c r="N1484" s="576">
        <f t="shared" si="361"/>
        <v>0</v>
      </c>
      <c r="O1484" s="577">
        <f t="shared" si="366"/>
        <v>0</v>
      </c>
      <c r="P1484" s="578">
        <f t="shared" si="367"/>
        <v>0</v>
      </c>
      <c r="Q1484" s="765"/>
      <c r="R1484" s="576">
        <f t="shared" si="363"/>
        <v>0</v>
      </c>
      <c r="S1484" s="576">
        <f t="shared" si="363"/>
        <v>0</v>
      </c>
      <c r="T1484" s="577">
        <f t="shared" si="364"/>
        <v>0</v>
      </c>
      <c r="U1484" s="578">
        <f t="shared" si="365"/>
        <v>0</v>
      </c>
      <c r="V1484" s="579"/>
      <c r="W1484" s="566"/>
      <c r="X1484" s="586" t="str">
        <f t="shared" si="368"/>
        <v/>
      </c>
      <c r="Y1484" s="586" t="str">
        <f t="shared" si="362"/>
        <v/>
      </c>
      <c r="Z1484" s="586" t="str">
        <f t="shared" si="360"/>
        <v/>
      </c>
    </row>
    <row r="1485" spans="1:26" ht="23.25" hidden="1" thickBot="1" x14ac:dyDescent="0.25">
      <c r="A1485" s="567">
        <v>97595</v>
      </c>
      <c r="B1485" s="644">
        <v>97595</v>
      </c>
      <c r="C1485" s="645" t="s">
        <v>670</v>
      </c>
      <c r="D1485" s="422" t="s">
        <v>1332</v>
      </c>
      <c r="E1485" s="423"/>
      <c r="F1485" s="424"/>
      <c r="G1485" s="425"/>
      <c r="H1485" s="651"/>
      <c r="I1485" s="420">
        <v>141.28</v>
      </c>
      <c r="J1485" s="420">
        <f t="shared" si="359"/>
        <v>141.28</v>
      </c>
      <c r="K1485" s="421">
        <f t="shared" si="369"/>
        <v>167.85</v>
      </c>
      <c r="L1485" s="647" t="s">
        <v>2065</v>
      </c>
      <c r="M1485" s="576"/>
      <c r="N1485" s="576">
        <f t="shared" si="361"/>
        <v>0</v>
      </c>
      <c r="O1485" s="577">
        <f t="shared" si="366"/>
        <v>0</v>
      </c>
      <c r="P1485" s="578">
        <f t="shared" si="367"/>
        <v>0</v>
      </c>
      <c r="Q1485" s="765"/>
      <c r="R1485" s="576">
        <f t="shared" si="363"/>
        <v>0</v>
      </c>
      <c r="S1485" s="576">
        <f t="shared" si="363"/>
        <v>0</v>
      </c>
      <c r="T1485" s="577">
        <f t="shared" si="364"/>
        <v>0</v>
      </c>
      <c r="U1485" s="578">
        <f t="shared" si="365"/>
        <v>0</v>
      </c>
      <c r="V1485" s="579"/>
      <c r="W1485" s="566"/>
      <c r="X1485" s="586" t="str">
        <f t="shared" si="368"/>
        <v/>
      </c>
      <c r="Y1485" s="586" t="str">
        <f t="shared" si="362"/>
        <v/>
      </c>
      <c r="Z1485" s="586" t="str">
        <f t="shared" si="360"/>
        <v/>
      </c>
    </row>
    <row r="1486" spans="1:26" ht="23.25" hidden="1" thickBot="1" x14ac:dyDescent="0.25">
      <c r="A1486" s="567">
        <v>97596</v>
      </c>
      <c r="B1486" s="644">
        <v>97596</v>
      </c>
      <c r="C1486" s="645" t="s">
        <v>670</v>
      </c>
      <c r="D1486" s="422" t="s">
        <v>1333</v>
      </c>
      <c r="E1486" s="423"/>
      <c r="F1486" s="424"/>
      <c r="G1486" s="425"/>
      <c r="H1486" s="651"/>
      <c r="I1486" s="420">
        <v>95.65</v>
      </c>
      <c r="J1486" s="420">
        <f t="shared" si="359"/>
        <v>95.65</v>
      </c>
      <c r="K1486" s="421">
        <f t="shared" si="369"/>
        <v>113.64</v>
      </c>
      <c r="L1486" s="647" t="s">
        <v>2065</v>
      </c>
      <c r="M1486" s="576"/>
      <c r="N1486" s="576">
        <f t="shared" si="361"/>
        <v>0</v>
      </c>
      <c r="O1486" s="577">
        <f t="shared" si="366"/>
        <v>0</v>
      </c>
      <c r="P1486" s="578">
        <f t="shared" si="367"/>
        <v>0</v>
      </c>
      <c r="Q1486" s="765"/>
      <c r="R1486" s="576">
        <f t="shared" si="363"/>
        <v>0</v>
      </c>
      <c r="S1486" s="576">
        <f t="shared" si="363"/>
        <v>0</v>
      </c>
      <c r="T1486" s="577">
        <f t="shared" si="364"/>
        <v>0</v>
      </c>
      <c r="U1486" s="578">
        <f t="shared" si="365"/>
        <v>0</v>
      </c>
      <c r="V1486" s="579"/>
      <c r="W1486" s="566"/>
      <c r="X1486" s="586" t="str">
        <f t="shared" si="368"/>
        <v/>
      </c>
      <c r="Y1486" s="586" t="str">
        <f t="shared" si="362"/>
        <v/>
      </c>
      <c r="Z1486" s="586" t="str">
        <f t="shared" si="360"/>
        <v/>
      </c>
    </row>
    <row r="1487" spans="1:26" ht="23.25" hidden="1" thickBot="1" x14ac:dyDescent="0.25">
      <c r="A1487" s="567">
        <v>97597</v>
      </c>
      <c r="B1487" s="644">
        <v>97597</v>
      </c>
      <c r="C1487" s="645" t="s">
        <v>670</v>
      </c>
      <c r="D1487" s="422" t="s">
        <v>1334</v>
      </c>
      <c r="E1487" s="423"/>
      <c r="F1487" s="424"/>
      <c r="G1487" s="425"/>
      <c r="H1487" s="651"/>
      <c r="I1487" s="420">
        <v>97.68</v>
      </c>
      <c r="J1487" s="420">
        <f t="shared" si="359"/>
        <v>97.68</v>
      </c>
      <c r="K1487" s="421">
        <f t="shared" si="369"/>
        <v>116.05</v>
      </c>
      <c r="L1487" s="647" t="s">
        <v>2065</v>
      </c>
      <c r="M1487" s="576"/>
      <c r="N1487" s="576">
        <f t="shared" si="361"/>
        <v>0</v>
      </c>
      <c r="O1487" s="577">
        <f t="shared" si="366"/>
        <v>0</v>
      </c>
      <c r="P1487" s="578">
        <f t="shared" si="367"/>
        <v>0</v>
      </c>
      <c r="Q1487" s="765"/>
      <c r="R1487" s="576">
        <f t="shared" si="363"/>
        <v>0</v>
      </c>
      <c r="S1487" s="576">
        <f t="shared" si="363"/>
        <v>0</v>
      </c>
      <c r="T1487" s="577">
        <f t="shared" si="364"/>
        <v>0</v>
      </c>
      <c r="U1487" s="578">
        <f t="shared" si="365"/>
        <v>0</v>
      </c>
      <c r="V1487" s="579"/>
      <c r="W1487" s="566"/>
      <c r="X1487" s="586" t="str">
        <f t="shared" si="368"/>
        <v/>
      </c>
      <c r="Y1487" s="586" t="str">
        <f t="shared" si="362"/>
        <v/>
      </c>
      <c r="Z1487" s="586" t="str">
        <f t="shared" si="360"/>
        <v/>
      </c>
    </row>
    <row r="1488" spans="1:26" ht="23.25" hidden="1" thickBot="1" x14ac:dyDescent="0.25">
      <c r="A1488" s="567">
        <v>97598</v>
      </c>
      <c r="B1488" s="644">
        <v>97598</v>
      </c>
      <c r="C1488" s="645" t="s">
        <v>670</v>
      </c>
      <c r="D1488" s="422" t="s">
        <v>1335</v>
      </c>
      <c r="E1488" s="423"/>
      <c r="F1488" s="424"/>
      <c r="G1488" s="425"/>
      <c r="H1488" s="651"/>
      <c r="I1488" s="420">
        <v>91.85</v>
      </c>
      <c r="J1488" s="420">
        <f t="shared" si="359"/>
        <v>91.85</v>
      </c>
      <c r="K1488" s="421">
        <f t="shared" si="369"/>
        <v>109.13</v>
      </c>
      <c r="L1488" s="647" t="s">
        <v>2065</v>
      </c>
      <c r="M1488" s="576"/>
      <c r="N1488" s="576">
        <f t="shared" si="361"/>
        <v>0</v>
      </c>
      <c r="O1488" s="577">
        <f t="shared" si="366"/>
        <v>0</v>
      </c>
      <c r="P1488" s="578">
        <f t="shared" si="367"/>
        <v>0</v>
      </c>
      <c r="Q1488" s="765"/>
      <c r="R1488" s="576">
        <f t="shared" si="363"/>
        <v>0</v>
      </c>
      <c r="S1488" s="576">
        <f t="shared" si="363"/>
        <v>0</v>
      </c>
      <c r="T1488" s="577">
        <f t="shared" si="364"/>
        <v>0</v>
      </c>
      <c r="U1488" s="578">
        <f t="shared" si="365"/>
        <v>0</v>
      </c>
      <c r="V1488" s="579"/>
      <c r="W1488" s="566"/>
      <c r="X1488" s="586" t="str">
        <f t="shared" si="368"/>
        <v/>
      </c>
      <c r="Y1488" s="586" t="str">
        <f t="shared" si="362"/>
        <v/>
      </c>
      <c r="Z1488" s="586" t="str">
        <f t="shared" si="360"/>
        <v/>
      </c>
    </row>
    <row r="1489" spans="1:26" ht="23.25" hidden="1" thickBot="1" x14ac:dyDescent="0.25">
      <c r="A1489" s="567">
        <v>97599</v>
      </c>
      <c r="B1489" s="644">
        <v>97599</v>
      </c>
      <c r="C1489" s="645" t="s">
        <v>670</v>
      </c>
      <c r="D1489" s="422" t="s">
        <v>1336</v>
      </c>
      <c r="E1489" s="423"/>
      <c r="F1489" s="424"/>
      <c r="G1489" s="425"/>
      <c r="H1489" s="651"/>
      <c r="I1489" s="420">
        <v>29.25</v>
      </c>
      <c r="J1489" s="420">
        <f t="shared" si="359"/>
        <v>29.25</v>
      </c>
      <c r="K1489" s="421">
        <f t="shared" si="369"/>
        <v>34.75</v>
      </c>
      <c r="L1489" s="647" t="s">
        <v>2065</v>
      </c>
      <c r="M1489" s="576"/>
      <c r="N1489" s="576">
        <f t="shared" si="361"/>
        <v>0</v>
      </c>
      <c r="O1489" s="577">
        <f t="shared" si="366"/>
        <v>0</v>
      </c>
      <c r="P1489" s="578">
        <f t="shared" si="367"/>
        <v>0</v>
      </c>
      <c r="Q1489" s="765"/>
      <c r="R1489" s="576">
        <f t="shared" si="363"/>
        <v>0</v>
      </c>
      <c r="S1489" s="576">
        <f t="shared" si="363"/>
        <v>0</v>
      </c>
      <c r="T1489" s="577">
        <f t="shared" si="364"/>
        <v>0</v>
      </c>
      <c r="U1489" s="578">
        <f t="shared" si="365"/>
        <v>0</v>
      </c>
      <c r="V1489" s="579"/>
      <c r="W1489" s="566"/>
      <c r="X1489" s="586" t="str">
        <f t="shared" si="368"/>
        <v/>
      </c>
      <c r="Y1489" s="586" t="str">
        <f t="shared" si="362"/>
        <v/>
      </c>
      <c r="Z1489" s="586" t="str">
        <f t="shared" si="360"/>
        <v/>
      </c>
    </row>
    <row r="1490" spans="1:26" ht="23.25" hidden="1" thickBot="1" x14ac:dyDescent="0.25">
      <c r="A1490" s="567">
        <v>97583</v>
      </c>
      <c r="B1490" s="644">
        <v>97583</v>
      </c>
      <c r="C1490" s="645" t="s">
        <v>670</v>
      </c>
      <c r="D1490" s="422" t="s">
        <v>1337</v>
      </c>
      <c r="E1490" s="423"/>
      <c r="F1490" s="424"/>
      <c r="G1490" s="425"/>
      <c r="H1490" s="651"/>
      <c r="I1490" s="420">
        <v>120.49</v>
      </c>
      <c r="J1490" s="420">
        <f t="shared" si="359"/>
        <v>120.49</v>
      </c>
      <c r="K1490" s="421">
        <f t="shared" si="369"/>
        <v>143.15</v>
      </c>
      <c r="L1490" s="647" t="s">
        <v>2065</v>
      </c>
      <c r="M1490" s="576"/>
      <c r="N1490" s="576">
        <f t="shared" si="361"/>
        <v>0</v>
      </c>
      <c r="O1490" s="577">
        <f t="shared" si="366"/>
        <v>0</v>
      </c>
      <c r="P1490" s="578">
        <f t="shared" si="367"/>
        <v>0</v>
      </c>
      <c r="Q1490" s="765"/>
      <c r="R1490" s="576">
        <f t="shared" si="363"/>
        <v>0</v>
      </c>
      <c r="S1490" s="576">
        <f t="shared" si="363"/>
        <v>0</v>
      </c>
      <c r="T1490" s="577">
        <f t="shared" si="364"/>
        <v>0</v>
      </c>
      <c r="U1490" s="578">
        <f t="shared" si="365"/>
        <v>0</v>
      </c>
      <c r="V1490" s="579"/>
      <c r="W1490" s="566"/>
      <c r="X1490" s="586" t="str">
        <f t="shared" si="368"/>
        <v/>
      </c>
      <c r="Y1490" s="586" t="str">
        <f t="shared" si="362"/>
        <v/>
      </c>
      <c r="Z1490" s="586" t="str">
        <f t="shared" si="360"/>
        <v/>
      </c>
    </row>
    <row r="1491" spans="1:26" ht="23.25" hidden="1" thickBot="1" x14ac:dyDescent="0.25">
      <c r="A1491" s="567">
        <v>101662</v>
      </c>
      <c r="B1491" s="644">
        <v>101662</v>
      </c>
      <c r="C1491" s="645" t="s">
        <v>670</v>
      </c>
      <c r="D1491" s="422" t="s">
        <v>1338</v>
      </c>
      <c r="E1491" s="423"/>
      <c r="F1491" s="424"/>
      <c r="G1491" s="425"/>
      <c r="H1491" s="651"/>
      <c r="I1491" s="420">
        <v>970.72</v>
      </c>
      <c r="J1491" s="420">
        <f t="shared" ref="J1491:J1554" si="370">IF(ISBLANK(I1491),"",SUM(H1491:I1491))</f>
        <v>970.72</v>
      </c>
      <c r="K1491" s="421">
        <f t="shared" si="369"/>
        <v>1153.31</v>
      </c>
      <c r="L1491" s="647" t="s">
        <v>2065</v>
      </c>
      <c r="M1491" s="576"/>
      <c r="N1491" s="576">
        <f t="shared" si="361"/>
        <v>0</v>
      </c>
      <c r="O1491" s="577">
        <f t="shared" si="366"/>
        <v>0</v>
      </c>
      <c r="P1491" s="578">
        <f t="shared" si="367"/>
        <v>0</v>
      </c>
      <c r="Q1491" s="765"/>
      <c r="R1491" s="576">
        <f t="shared" si="363"/>
        <v>0</v>
      </c>
      <c r="S1491" s="576">
        <f t="shared" si="363"/>
        <v>0</v>
      </c>
      <c r="T1491" s="577">
        <f t="shared" si="364"/>
        <v>0</v>
      </c>
      <c r="U1491" s="578">
        <f t="shared" si="365"/>
        <v>0</v>
      </c>
      <c r="V1491" s="579"/>
      <c r="W1491" s="566"/>
      <c r="X1491" s="586" t="str">
        <f t="shared" si="368"/>
        <v/>
      </c>
      <c r="Y1491" s="586" t="str">
        <f t="shared" si="362"/>
        <v/>
      </c>
      <c r="Z1491" s="586" t="str">
        <f t="shared" ref="Z1491:Z1554" si="371">IF(W1491="X","x",IF(U1491&gt;0,"x",""))</f>
        <v/>
      </c>
    </row>
    <row r="1492" spans="1:26" ht="23.25" hidden="1" thickBot="1" x14ac:dyDescent="0.25">
      <c r="A1492" s="567">
        <v>101652</v>
      </c>
      <c r="B1492" s="644">
        <v>101652</v>
      </c>
      <c r="C1492" s="645" t="s">
        <v>670</v>
      </c>
      <c r="D1492" s="422" t="s">
        <v>1339</v>
      </c>
      <c r="E1492" s="423"/>
      <c r="F1492" s="424"/>
      <c r="G1492" s="425"/>
      <c r="H1492" s="651"/>
      <c r="I1492" s="420">
        <v>702.82</v>
      </c>
      <c r="J1492" s="420">
        <f t="shared" si="370"/>
        <v>702.82</v>
      </c>
      <c r="K1492" s="421">
        <f t="shared" si="369"/>
        <v>835.02</v>
      </c>
      <c r="L1492" s="647" t="s">
        <v>2065</v>
      </c>
      <c r="M1492" s="576"/>
      <c r="N1492" s="576">
        <f t="shared" ref="N1492:N1555" si="372">IF(M1492=0,0,K1492)</f>
        <v>0</v>
      </c>
      <c r="O1492" s="577">
        <f t="shared" si="366"/>
        <v>0</v>
      </c>
      <c r="P1492" s="578">
        <f t="shared" si="367"/>
        <v>0</v>
      </c>
      <c r="Q1492" s="765"/>
      <c r="R1492" s="576">
        <f t="shared" si="363"/>
        <v>0</v>
      </c>
      <c r="S1492" s="576">
        <f t="shared" si="363"/>
        <v>0</v>
      </c>
      <c r="T1492" s="577">
        <f t="shared" si="364"/>
        <v>0</v>
      </c>
      <c r="U1492" s="578">
        <f t="shared" si="365"/>
        <v>0</v>
      </c>
      <c r="V1492" s="579"/>
      <c r="W1492" s="566"/>
      <c r="X1492" s="586" t="str">
        <f t="shared" si="368"/>
        <v/>
      </c>
      <c r="Y1492" s="586" t="str">
        <f t="shared" si="362"/>
        <v/>
      </c>
      <c r="Z1492" s="586" t="str">
        <f t="shared" si="371"/>
        <v/>
      </c>
    </row>
    <row r="1493" spans="1:26" ht="34.5" hidden="1" thickBot="1" x14ac:dyDescent="0.25">
      <c r="A1493" s="567">
        <v>101653</v>
      </c>
      <c r="B1493" s="644">
        <v>101653</v>
      </c>
      <c r="C1493" s="645" t="s">
        <v>670</v>
      </c>
      <c r="D1493" s="422" t="s">
        <v>1340</v>
      </c>
      <c r="E1493" s="423"/>
      <c r="F1493" s="424"/>
      <c r="G1493" s="425"/>
      <c r="H1493" s="651"/>
      <c r="I1493" s="420">
        <v>345.88</v>
      </c>
      <c r="J1493" s="420">
        <f t="shared" si="370"/>
        <v>345.88</v>
      </c>
      <c r="K1493" s="421">
        <f t="shared" si="369"/>
        <v>410.94</v>
      </c>
      <c r="L1493" s="647" t="s">
        <v>2065</v>
      </c>
      <c r="M1493" s="576"/>
      <c r="N1493" s="576">
        <f t="shared" si="372"/>
        <v>0</v>
      </c>
      <c r="O1493" s="577">
        <f t="shared" si="366"/>
        <v>0</v>
      </c>
      <c r="P1493" s="578">
        <f t="shared" si="367"/>
        <v>0</v>
      </c>
      <c r="Q1493" s="765"/>
      <c r="R1493" s="576">
        <f t="shared" si="363"/>
        <v>0</v>
      </c>
      <c r="S1493" s="576">
        <f t="shared" si="363"/>
        <v>0</v>
      </c>
      <c r="T1493" s="577">
        <f t="shared" si="364"/>
        <v>0</v>
      </c>
      <c r="U1493" s="578">
        <f t="shared" si="365"/>
        <v>0</v>
      </c>
      <c r="V1493" s="579"/>
      <c r="W1493" s="566"/>
      <c r="X1493" s="586" t="str">
        <f t="shared" si="368"/>
        <v/>
      </c>
      <c r="Y1493" s="586" t="str">
        <f t="shared" si="362"/>
        <v/>
      </c>
      <c r="Z1493" s="586" t="str">
        <f t="shared" si="371"/>
        <v/>
      </c>
    </row>
    <row r="1494" spans="1:26" ht="23.25" hidden="1" thickBot="1" x14ac:dyDescent="0.25">
      <c r="A1494" s="567">
        <v>97584</v>
      </c>
      <c r="B1494" s="644">
        <v>97584</v>
      </c>
      <c r="C1494" s="645" t="s">
        <v>670</v>
      </c>
      <c r="D1494" s="422" t="s">
        <v>1341</v>
      </c>
      <c r="E1494" s="423"/>
      <c r="F1494" s="424"/>
      <c r="G1494" s="425"/>
      <c r="H1494" s="651"/>
      <c r="I1494" s="420">
        <v>171.1</v>
      </c>
      <c r="J1494" s="420">
        <f t="shared" si="370"/>
        <v>171.1</v>
      </c>
      <c r="K1494" s="421">
        <f t="shared" si="369"/>
        <v>203.28</v>
      </c>
      <c r="L1494" s="647" t="s">
        <v>2065</v>
      </c>
      <c r="M1494" s="576"/>
      <c r="N1494" s="576">
        <f t="shared" si="372"/>
        <v>0</v>
      </c>
      <c r="O1494" s="577">
        <f t="shared" si="366"/>
        <v>0</v>
      </c>
      <c r="P1494" s="578">
        <f t="shared" si="367"/>
        <v>0</v>
      </c>
      <c r="Q1494" s="765"/>
      <c r="R1494" s="576">
        <f t="shared" si="363"/>
        <v>0</v>
      </c>
      <c r="S1494" s="576">
        <f t="shared" si="363"/>
        <v>0</v>
      </c>
      <c r="T1494" s="577">
        <f t="shared" si="364"/>
        <v>0</v>
      </c>
      <c r="U1494" s="578">
        <f t="shared" si="365"/>
        <v>0</v>
      </c>
      <c r="V1494" s="579"/>
      <c r="W1494" s="566"/>
      <c r="X1494" s="586" t="str">
        <f t="shared" si="368"/>
        <v/>
      </c>
      <c r="Y1494" s="586" t="str">
        <f t="shared" si="362"/>
        <v/>
      </c>
      <c r="Z1494" s="586" t="str">
        <f t="shared" si="371"/>
        <v/>
      </c>
    </row>
    <row r="1495" spans="1:26" ht="23.25" hidden="1" thickBot="1" x14ac:dyDescent="0.25">
      <c r="A1495" s="567">
        <v>97585</v>
      </c>
      <c r="B1495" s="644">
        <v>97585</v>
      </c>
      <c r="C1495" s="645" t="s">
        <v>670</v>
      </c>
      <c r="D1495" s="422" t="s">
        <v>1342</v>
      </c>
      <c r="E1495" s="423"/>
      <c r="F1495" s="424"/>
      <c r="G1495" s="425"/>
      <c r="H1495" s="651"/>
      <c r="I1495" s="420">
        <v>163.49</v>
      </c>
      <c r="J1495" s="420">
        <f t="shared" si="370"/>
        <v>163.49</v>
      </c>
      <c r="K1495" s="421">
        <f t="shared" si="369"/>
        <v>194.24</v>
      </c>
      <c r="L1495" s="647" t="s">
        <v>2065</v>
      </c>
      <c r="M1495" s="576"/>
      <c r="N1495" s="576">
        <f t="shared" si="372"/>
        <v>0</v>
      </c>
      <c r="O1495" s="577">
        <f t="shared" si="366"/>
        <v>0</v>
      </c>
      <c r="P1495" s="578">
        <f t="shared" si="367"/>
        <v>0</v>
      </c>
      <c r="Q1495" s="765"/>
      <c r="R1495" s="576">
        <f t="shared" si="363"/>
        <v>0</v>
      </c>
      <c r="S1495" s="576">
        <f t="shared" si="363"/>
        <v>0</v>
      </c>
      <c r="T1495" s="577">
        <f t="shared" si="364"/>
        <v>0</v>
      </c>
      <c r="U1495" s="578">
        <f t="shared" si="365"/>
        <v>0</v>
      </c>
      <c r="V1495" s="579"/>
      <c r="W1495" s="566"/>
      <c r="X1495" s="586" t="str">
        <f t="shared" si="368"/>
        <v/>
      </c>
      <c r="Y1495" s="586" t="str">
        <f t="shared" si="362"/>
        <v/>
      </c>
      <c r="Z1495" s="586" t="str">
        <f t="shared" si="371"/>
        <v/>
      </c>
    </row>
    <row r="1496" spans="1:26" ht="23.25" hidden="1" thickBot="1" x14ac:dyDescent="0.25">
      <c r="A1496" s="567">
        <v>97586</v>
      </c>
      <c r="B1496" s="644">
        <v>97586</v>
      </c>
      <c r="C1496" s="645" t="s">
        <v>670</v>
      </c>
      <c r="D1496" s="422" t="s">
        <v>1343</v>
      </c>
      <c r="E1496" s="423"/>
      <c r="F1496" s="424"/>
      <c r="G1496" s="425"/>
      <c r="H1496" s="651"/>
      <c r="I1496" s="420">
        <v>224.61</v>
      </c>
      <c r="J1496" s="420">
        <f t="shared" si="370"/>
        <v>224.61</v>
      </c>
      <c r="K1496" s="421">
        <f t="shared" si="369"/>
        <v>266.86</v>
      </c>
      <c r="L1496" s="647" t="s">
        <v>2065</v>
      </c>
      <c r="M1496" s="576"/>
      <c r="N1496" s="576">
        <f t="shared" si="372"/>
        <v>0</v>
      </c>
      <c r="O1496" s="577">
        <f t="shared" si="366"/>
        <v>0</v>
      </c>
      <c r="P1496" s="578">
        <f t="shared" si="367"/>
        <v>0</v>
      </c>
      <c r="Q1496" s="765"/>
      <c r="R1496" s="576">
        <f t="shared" si="363"/>
        <v>0</v>
      </c>
      <c r="S1496" s="576">
        <f t="shared" si="363"/>
        <v>0</v>
      </c>
      <c r="T1496" s="577">
        <f t="shared" si="364"/>
        <v>0</v>
      </c>
      <c r="U1496" s="578">
        <f t="shared" si="365"/>
        <v>0</v>
      </c>
      <c r="V1496" s="579"/>
      <c r="W1496" s="566"/>
      <c r="X1496" s="586" t="str">
        <f t="shared" si="368"/>
        <v/>
      </c>
      <c r="Y1496" s="586" t="str">
        <f t="shared" si="362"/>
        <v/>
      </c>
      <c r="Z1496" s="586" t="str">
        <f t="shared" si="371"/>
        <v/>
      </c>
    </row>
    <row r="1497" spans="1:26" ht="23.25" hidden="1" thickBot="1" x14ac:dyDescent="0.25">
      <c r="A1497" s="567">
        <v>97587</v>
      </c>
      <c r="B1497" s="644">
        <v>97587</v>
      </c>
      <c r="C1497" s="645" t="s">
        <v>670</v>
      </c>
      <c r="D1497" s="422" t="s">
        <v>1344</v>
      </c>
      <c r="E1497" s="423"/>
      <c r="F1497" s="424"/>
      <c r="G1497" s="425"/>
      <c r="H1497" s="651"/>
      <c r="I1497" s="420">
        <v>416.88</v>
      </c>
      <c r="J1497" s="420">
        <f t="shared" si="370"/>
        <v>416.88</v>
      </c>
      <c r="K1497" s="421">
        <f t="shared" si="369"/>
        <v>495.3</v>
      </c>
      <c r="L1497" s="647" t="s">
        <v>2065</v>
      </c>
      <c r="M1497" s="576"/>
      <c r="N1497" s="576">
        <f t="shared" si="372"/>
        <v>0</v>
      </c>
      <c r="O1497" s="577">
        <f t="shared" si="366"/>
        <v>0</v>
      </c>
      <c r="P1497" s="578">
        <f t="shared" si="367"/>
        <v>0</v>
      </c>
      <c r="Q1497" s="765"/>
      <c r="R1497" s="576">
        <f t="shared" si="363"/>
        <v>0</v>
      </c>
      <c r="S1497" s="576">
        <f t="shared" si="363"/>
        <v>0</v>
      </c>
      <c r="T1497" s="577">
        <f t="shared" si="364"/>
        <v>0</v>
      </c>
      <c r="U1497" s="578">
        <f t="shared" si="365"/>
        <v>0</v>
      </c>
      <c r="V1497" s="579"/>
      <c r="W1497" s="566"/>
      <c r="X1497" s="586" t="str">
        <f t="shared" si="368"/>
        <v/>
      </c>
      <c r="Y1497" s="586" t="str">
        <f t="shared" si="362"/>
        <v/>
      </c>
      <c r="Z1497" s="586" t="str">
        <f t="shared" si="371"/>
        <v/>
      </c>
    </row>
    <row r="1498" spans="1:26" ht="23.25" hidden="1" thickBot="1" x14ac:dyDescent="0.25">
      <c r="A1498" s="567">
        <v>97589</v>
      </c>
      <c r="B1498" s="644">
        <v>97589</v>
      </c>
      <c r="C1498" s="645" t="s">
        <v>670</v>
      </c>
      <c r="D1498" s="422" t="s">
        <v>1345</v>
      </c>
      <c r="E1498" s="423"/>
      <c r="F1498" s="424"/>
      <c r="G1498" s="425"/>
      <c r="H1498" s="651"/>
      <c r="I1498" s="420">
        <v>48.7</v>
      </c>
      <c r="J1498" s="420">
        <f t="shared" si="370"/>
        <v>48.7</v>
      </c>
      <c r="K1498" s="421">
        <f t="shared" si="369"/>
        <v>57.86</v>
      </c>
      <c r="L1498" s="647" t="s">
        <v>2065</v>
      </c>
      <c r="M1498" s="576"/>
      <c r="N1498" s="576">
        <f t="shared" si="372"/>
        <v>0</v>
      </c>
      <c r="O1498" s="577">
        <f t="shared" si="366"/>
        <v>0</v>
      </c>
      <c r="P1498" s="578">
        <f t="shared" si="367"/>
        <v>0</v>
      </c>
      <c r="Q1498" s="765"/>
      <c r="R1498" s="576">
        <f t="shared" si="363"/>
        <v>0</v>
      </c>
      <c r="S1498" s="576">
        <f t="shared" si="363"/>
        <v>0</v>
      </c>
      <c r="T1498" s="577">
        <f t="shared" si="364"/>
        <v>0</v>
      </c>
      <c r="U1498" s="578">
        <f t="shared" si="365"/>
        <v>0</v>
      </c>
      <c r="V1498" s="579"/>
      <c r="W1498" s="566"/>
      <c r="X1498" s="586" t="str">
        <f t="shared" si="368"/>
        <v/>
      </c>
      <c r="Y1498" s="586" t="str">
        <f t="shared" si="362"/>
        <v/>
      </c>
      <c r="Z1498" s="586" t="str">
        <f t="shared" si="371"/>
        <v/>
      </c>
    </row>
    <row r="1499" spans="1:26" ht="23.25" hidden="1" thickBot="1" x14ac:dyDescent="0.25">
      <c r="A1499" s="567">
        <v>97590</v>
      </c>
      <c r="B1499" s="644">
        <v>97590</v>
      </c>
      <c r="C1499" s="645" t="s">
        <v>670</v>
      </c>
      <c r="D1499" s="422" t="s">
        <v>1346</v>
      </c>
      <c r="E1499" s="423"/>
      <c r="F1499" s="424"/>
      <c r="G1499" s="425"/>
      <c r="H1499" s="651"/>
      <c r="I1499" s="420">
        <v>133.15</v>
      </c>
      <c r="J1499" s="420">
        <f t="shared" si="370"/>
        <v>133.15</v>
      </c>
      <c r="K1499" s="421">
        <f t="shared" si="369"/>
        <v>158.19999999999999</v>
      </c>
      <c r="L1499" s="647" t="s">
        <v>2065</v>
      </c>
      <c r="M1499" s="576"/>
      <c r="N1499" s="576">
        <f t="shared" si="372"/>
        <v>0</v>
      </c>
      <c r="O1499" s="577">
        <f t="shared" si="366"/>
        <v>0</v>
      </c>
      <c r="P1499" s="578">
        <f t="shared" si="367"/>
        <v>0</v>
      </c>
      <c r="Q1499" s="765"/>
      <c r="R1499" s="576">
        <f t="shared" si="363"/>
        <v>0</v>
      </c>
      <c r="S1499" s="576">
        <f t="shared" si="363"/>
        <v>0</v>
      </c>
      <c r="T1499" s="577">
        <f t="shared" si="364"/>
        <v>0</v>
      </c>
      <c r="U1499" s="578">
        <f t="shared" si="365"/>
        <v>0</v>
      </c>
      <c r="V1499" s="579"/>
      <c r="W1499" s="566"/>
      <c r="X1499" s="586" t="str">
        <f t="shared" si="368"/>
        <v/>
      </c>
      <c r="Y1499" s="586" t="str">
        <f t="shared" si="362"/>
        <v/>
      </c>
      <c r="Z1499" s="586" t="str">
        <f t="shared" si="371"/>
        <v/>
      </c>
    </row>
    <row r="1500" spans="1:26" ht="23.25" hidden="1" thickBot="1" x14ac:dyDescent="0.25">
      <c r="A1500" s="567">
        <v>97591</v>
      </c>
      <c r="B1500" s="644">
        <v>97591</v>
      </c>
      <c r="C1500" s="645" t="s">
        <v>670</v>
      </c>
      <c r="D1500" s="422" t="s">
        <v>1347</v>
      </c>
      <c r="E1500" s="423"/>
      <c r="F1500" s="424"/>
      <c r="G1500" s="425"/>
      <c r="H1500" s="651"/>
      <c r="I1500" s="420">
        <v>172.18</v>
      </c>
      <c r="J1500" s="420">
        <f t="shared" si="370"/>
        <v>172.18</v>
      </c>
      <c r="K1500" s="421">
        <f t="shared" si="369"/>
        <v>204.57</v>
      </c>
      <c r="L1500" s="647" t="s">
        <v>2065</v>
      </c>
      <c r="M1500" s="576"/>
      <c r="N1500" s="576">
        <f t="shared" si="372"/>
        <v>0</v>
      </c>
      <c r="O1500" s="577">
        <f t="shared" si="366"/>
        <v>0</v>
      </c>
      <c r="P1500" s="578">
        <f t="shared" si="367"/>
        <v>0</v>
      </c>
      <c r="Q1500" s="765"/>
      <c r="R1500" s="576">
        <f t="shared" si="363"/>
        <v>0</v>
      </c>
      <c r="S1500" s="576">
        <f t="shared" si="363"/>
        <v>0</v>
      </c>
      <c r="T1500" s="577">
        <f t="shared" si="364"/>
        <v>0</v>
      </c>
      <c r="U1500" s="578">
        <f t="shared" si="365"/>
        <v>0</v>
      </c>
      <c r="V1500" s="579"/>
      <c r="W1500" s="566"/>
      <c r="X1500" s="586" t="str">
        <f t="shared" si="368"/>
        <v/>
      </c>
      <c r="Y1500" s="586" t="str">
        <f t="shared" si="362"/>
        <v/>
      </c>
      <c r="Z1500" s="586" t="str">
        <f t="shared" si="371"/>
        <v/>
      </c>
    </row>
    <row r="1501" spans="1:26" ht="23.25" hidden="1" thickBot="1" x14ac:dyDescent="0.25">
      <c r="A1501" s="567">
        <v>103782</v>
      </c>
      <c r="B1501" s="644">
        <v>103782</v>
      </c>
      <c r="C1501" s="645" t="s">
        <v>670</v>
      </c>
      <c r="D1501" s="422" t="s">
        <v>2095</v>
      </c>
      <c r="E1501" s="423"/>
      <c r="F1501" s="424"/>
      <c r="G1501" s="425"/>
      <c r="H1501" s="651"/>
      <c r="I1501" s="420">
        <v>39.75</v>
      </c>
      <c r="J1501" s="420">
        <f t="shared" si="370"/>
        <v>39.75</v>
      </c>
      <c r="K1501" s="421">
        <f t="shared" si="369"/>
        <v>47.23</v>
      </c>
      <c r="L1501" s="647" t="s">
        <v>2065</v>
      </c>
      <c r="M1501" s="576"/>
      <c r="N1501" s="576">
        <f t="shared" si="372"/>
        <v>0</v>
      </c>
      <c r="O1501" s="577">
        <f t="shared" si="366"/>
        <v>0</v>
      </c>
      <c r="P1501" s="578">
        <f t="shared" si="367"/>
        <v>0</v>
      </c>
      <c r="Q1501" s="765"/>
      <c r="R1501" s="576">
        <f t="shared" si="363"/>
        <v>0</v>
      </c>
      <c r="S1501" s="576">
        <f t="shared" si="363"/>
        <v>0</v>
      </c>
      <c r="T1501" s="577">
        <f t="shared" si="364"/>
        <v>0</v>
      </c>
      <c r="U1501" s="578">
        <f t="shared" si="365"/>
        <v>0</v>
      </c>
      <c r="V1501" s="579"/>
      <c r="W1501" s="566"/>
      <c r="X1501" s="586" t="str">
        <f t="shared" si="368"/>
        <v/>
      </c>
      <c r="Y1501" s="586" t="str">
        <f t="shared" si="362"/>
        <v/>
      </c>
      <c r="Z1501" s="586" t="str">
        <f t="shared" si="371"/>
        <v/>
      </c>
    </row>
    <row r="1502" spans="1:26" ht="23.25" hidden="1" thickBot="1" x14ac:dyDescent="0.25">
      <c r="A1502" s="567">
        <v>97593</v>
      </c>
      <c r="B1502" s="644">
        <v>97593</v>
      </c>
      <c r="C1502" s="645" t="s">
        <v>670</v>
      </c>
      <c r="D1502" s="422" t="s">
        <v>1348</v>
      </c>
      <c r="E1502" s="423"/>
      <c r="F1502" s="424"/>
      <c r="G1502" s="425"/>
      <c r="H1502" s="651"/>
      <c r="I1502" s="420">
        <v>199.41</v>
      </c>
      <c r="J1502" s="420">
        <f t="shared" si="370"/>
        <v>199.41</v>
      </c>
      <c r="K1502" s="421">
        <f t="shared" si="369"/>
        <v>236.92</v>
      </c>
      <c r="L1502" s="647" t="s">
        <v>2065</v>
      </c>
      <c r="M1502" s="576"/>
      <c r="N1502" s="576">
        <f t="shared" si="372"/>
        <v>0</v>
      </c>
      <c r="O1502" s="577">
        <f t="shared" si="366"/>
        <v>0</v>
      </c>
      <c r="P1502" s="578">
        <f t="shared" si="367"/>
        <v>0</v>
      </c>
      <c r="Q1502" s="765"/>
      <c r="R1502" s="576">
        <f t="shared" si="363"/>
        <v>0</v>
      </c>
      <c r="S1502" s="576">
        <f t="shared" si="363"/>
        <v>0</v>
      </c>
      <c r="T1502" s="577">
        <f t="shared" si="364"/>
        <v>0</v>
      </c>
      <c r="U1502" s="578">
        <f t="shared" si="365"/>
        <v>0</v>
      </c>
      <c r="V1502" s="579"/>
      <c r="W1502" s="566"/>
      <c r="X1502" s="586" t="str">
        <f t="shared" si="368"/>
        <v/>
      </c>
      <c r="Y1502" s="586" t="str">
        <f t="shared" si="362"/>
        <v/>
      </c>
      <c r="Z1502" s="586" t="str">
        <f t="shared" si="371"/>
        <v/>
      </c>
    </row>
    <row r="1503" spans="1:26" ht="23.25" hidden="1" thickBot="1" x14ac:dyDescent="0.25">
      <c r="A1503" s="567">
        <v>97594</v>
      </c>
      <c r="B1503" s="644">
        <v>97594</v>
      </c>
      <c r="C1503" s="645" t="s">
        <v>670</v>
      </c>
      <c r="D1503" s="422" t="s">
        <v>1349</v>
      </c>
      <c r="E1503" s="423"/>
      <c r="F1503" s="424"/>
      <c r="G1503" s="425"/>
      <c r="H1503" s="651"/>
      <c r="I1503" s="420">
        <v>174.96</v>
      </c>
      <c r="J1503" s="420">
        <f t="shared" si="370"/>
        <v>174.96</v>
      </c>
      <c r="K1503" s="421">
        <f t="shared" si="369"/>
        <v>207.87</v>
      </c>
      <c r="L1503" s="647" t="s">
        <v>2065</v>
      </c>
      <c r="M1503" s="576"/>
      <c r="N1503" s="576">
        <f t="shared" si="372"/>
        <v>0</v>
      </c>
      <c r="O1503" s="577">
        <f t="shared" si="366"/>
        <v>0</v>
      </c>
      <c r="P1503" s="578">
        <f t="shared" si="367"/>
        <v>0</v>
      </c>
      <c r="Q1503" s="765"/>
      <c r="R1503" s="576">
        <f t="shared" si="363"/>
        <v>0</v>
      </c>
      <c r="S1503" s="576">
        <f t="shared" si="363"/>
        <v>0</v>
      </c>
      <c r="T1503" s="577">
        <f t="shared" si="364"/>
        <v>0</v>
      </c>
      <c r="U1503" s="578">
        <f t="shared" si="365"/>
        <v>0</v>
      </c>
      <c r="V1503" s="579"/>
      <c r="W1503" s="566"/>
      <c r="X1503" s="586" t="str">
        <f t="shared" si="368"/>
        <v/>
      </c>
      <c r="Y1503" s="586" t="str">
        <f t="shared" si="362"/>
        <v/>
      </c>
      <c r="Z1503" s="586" t="str">
        <f t="shared" si="371"/>
        <v/>
      </c>
    </row>
    <row r="1504" spans="1:26" ht="23.25" hidden="1" thickBot="1" x14ac:dyDescent="0.25">
      <c r="A1504" s="567">
        <v>101666</v>
      </c>
      <c r="B1504" s="644">
        <v>101666</v>
      </c>
      <c r="C1504" s="645" t="s">
        <v>670</v>
      </c>
      <c r="D1504" s="422" t="s">
        <v>1350</v>
      </c>
      <c r="E1504" s="423"/>
      <c r="F1504" s="424"/>
      <c r="G1504" s="425"/>
      <c r="H1504" s="651"/>
      <c r="I1504" s="420">
        <v>547.97</v>
      </c>
      <c r="J1504" s="420">
        <f t="shared" si="370"/>
        <v>547.97</v>
      </c>
      <c r="K1504" s="421">
        <f t="shared" si="369"/>
        <v>651.04</v>
      </c>
      <c r="L1504" s="647" t="s">
        <v>2065</v>
      </c>
      <c r="M1504" s="576"/>
      <c r="N1504" s="576">
        <f t="shared" si="372"/>
        <v>0</v>
      </c>
      <c r="O1504" s="577">
        <f t="shared" si="366"/>
        <v>0</v>
      </c>
      <c r="P1504" s="578">
        <f t="shared" si="367"/>
        <v>0</v>
      </c>
      <c r="Q1504" s="765"/>
      <c r="R1504" s="576">
        <f t="shared" si="363"/>
        <v>0</v>
      </c>
      <c r="S1504" s="576">
        <f t="shared" si="363"/>
        <v>0</v>
      </c>
      <c r="T1504" s="577">
        <f t="shared" si="364"/>
        <v>0</v>
      </c>
      <c r="U1504" s="578">
        <f t="shared" si="365"/>
        <v>0</v>
      </c>
      <c r="V1504" s="579"/>
      <c r="W1504" s="566"/>
      <c r="X1504" s="586" t="str">
        <f t="shared" si="368"/>
        <v/>
      </c>
      <c r="Y1504" s="586" t="str">
        <f t="shared" si="362"/>
        <v/>
      </c>
      <c r="Z1504" s="586" t="str">
        <f t="shared" si="371"/>
        <v/>
      </c>
    </row>
    <row r="1505" spans="1:26" ht="23.25" hidden="1" thickBot="1" x14ac:dyDescent="0.25">
      <c r="A1505" s="567">
        <v>97600</v>
      </c>
      <c r="B1505" s="644">
        <v>97600</v>
      </c>
      <c r="C1505" s="645" t="s">
        <v>670</v>
      </c>
      <c r="D1505" s="422" t="s">
        <v>1351</v>
      </c>
      <c r="E1505" s="423"/>
      <c r="F1505" s="424"/>
      <c r="G1505" s="425"/>
      <c r="H1505" s="651"/>
      <c r="I1505" s="420">
        <v>370.04</v>
      </c>
      <c r="J1505" s="420">
        <f t="shared" si="370"/>
        <v>370.04</v>
      </c>
      <c r="K1505" s="421">
        <f t="shared" si="369"/>
        <v>439.64</v>
      </c>
      <c r="L1505" s="647" t="s">
        <v>2065</v>
      </c>
      <c r="M1505" s="576"/>
      <c r="N1505" s="576">
        <f t="shared" si="372"/>
        <v>0</v>
      </c>
      <c r="O1505" s="577">
        <f t="shared" si="366"/>
        <v>0</v>
      </c>
      <c r="P1505" s="578">
        <f t="shared" si="367"/>
        <v>0</v>
      </c>
      <c r="Q1505" s="765"/>
      <c r="R1505" s="576">
        <f t="shared" si="363"/>
        <v>0</v>
      </c>
      <c r="S1505" s="576">
        <f t="shared" si="363"/>
        <v>0</v>
      </c>
      <c r="T1505" s="577">
        <f t="shared" si="364"/>
        <v>0</v>
      </c>
      <c r="U1505" s="578">
        <f t="shared" si="365"/>
        <v>0</v>
      </c>
      <c r="V1505" s="579"/>
      <c r="W1505" s="566"/>
      <c r="X1505" s="586" t="str">
        <f t="shared" si="368"/>
        <v/>
      </c>
      <c r="Y1505" s="586" t="str">
        <f t="shared" si="362"/>
        <v/>
      </c>
      <c r="Z1505" s="586" t="str">
        <f t="shared" si="371"/>
        <v/>
      </c>
    </row>
    <row r="1506" spans="1:26" ht="23.25" hidden="1" thickBot="1" x14ac:dyDescent="0.25">
      <c r="A1506" s="567">
        <v>97601</v>
      </c>
      <c r="B1506" s="644">
        <v>97601</v>
      </c>
      <c r="C1506" s="645" t="s">
        <v>670</v>
      </c>
      <c r="D1506" s="422" t="s">
        <v>1352</v>
      </c>
      <c r="E1506" s="423"/>
      <c r="F1506" s="424"/>
      <c r="G1506" s="425"/>
      <c r="H1506" s="651"/>
      <c r="I1506" s="420">
        <v>392.82</v>
      </c>
      <c r="J1506" s="420">
        <f t="shared" si="370"/>
        <v>392.82</v>
      </c>
      <c r="K1506" s="421">
        <f t="shared" si="369"/>
        <v>466.71</v>
      </c>
      <c r="L1506" s="647" t="s">
        <v>2065</v>
      </c>
      <c r="M1506" s="576"/>
      <c r="N1506" s="576">
        <f t="shared" si="372"/>
        <v>0</v>
      </c>
      <c r="O1506" s="577">
        <f t="shared" si="366"/>
        <v>0</v>
      </c>
      <c r="P1506" s="578">
        <f t="shared" si="367"/>
        <v>0</v>
      </c>
      <c r="Q1506" s="765"/>
      <c r="R1506" s="576">
        <f t="shared" si="363"/>
        <v>0</v>
      </c>
      <c r="S1506" s="576">
        <f t="shared" si="363"/>
        <v>0</v>
      </c>
      <c r="T1506" s="577">
        <f t="shared" si="364"/>
        <v>0</v>
      </c>
      <c r="U1506" s="578">
        <f t="shared" si="365"/>
        <v>0</v>
      </c>
      <c r="V1506" s="579"/>
      <c r="W1506" s="566"/>
      <c r="X1506" s="586" t="str">
        <f t="shared" si="368"/>
        <v/>
      </c>
      <c r="Y1506" s="586" t="str">
        <f t="shared" si="362"/>
        <v/>
      </c>
      <c r="Z1506" s="586" t="str">
        <f t="shared" si="371"/>
        <v/>
      </c>
    </row>
    <row r="1507" spans="1:26" ht="12" hidden="1" thickBot="1" x14ac:dyDescent="0.25">
      <c r="A1507" s="567">
        <v>97611</v>
      </c>
      <c r="B1507" s="644">
        <v>97611</v>
      </c>
      <c r="C1507" s="645" t="s">
        <v>670</v>
      </c>
      <c r="D1507" s="422" t="s">
        <v>1353</v>
      </c>
      <c r="E1507" s="423"/>
      <c r="F1507" s="424"/>
      <c r="G1507" s="425"/>
      <c r="H1507" s="651"/>
      <c r="I1507" s="420">
        <v>27.91</v>
      </c>
      <c r="J1507" s="420">
        <f t="shared" si="370"/>
        <v>27.91</v>
      </c>
      <c r="K1507" s="421">
        <f t="shared" si="369"/>
        <v>33.159999999999997</v>
      </c>
      <c r="L1507" s="647" t="s">
        <v>2065</v>
      </c>
      <c r="M1507" s="576"/>
      <c r="N1507" s="576">
        <f t="shared" si="372"/>
        <v>0</v>
      </c>
      <c r="O1507" s="577">
        <f t="shared" si="366"/>
        <v>0</v>
      </c>
      <c r="P1507" s="578">
        <f t="shared" si="367"/>
        <v>0</v>
      </c>
      <c r="Q1507" s="765"/>
      <c r="R1507" s="576">
        <f t="shared" si="363"/>
        <v>0</v>
      </c>
      <c r="S1507" s="576">
        <f t="shared" si="363"/>
        <v>0</v>
      </c>
      <c r="T1507" s="577">
        <f t="shared" si="364"/>
        <v>0</v>
      </c>
      <c r="U1507" s="578">
        <f t="shared" si="365"/>
        <v>0</v>
      </c>
      <c r="V1507" s="579"/>
      <c r="W1507" s="566"/>
      <c r="X1507" s="586" t="str">
        <f t="shared" si="368"/>
        <v/>
      </c>
      <c r="Y1507" s="586" t="str">
        <f t="shared" ref="Y1507:Y1570" si="373">IF(W1507="X","x",IF(W1507="y","x",IF(W1507="xx","x",IF(U1507&gt;0,"x",""))))</f>
        <v/>
      </c>
      <c r="Z1507" s="586" t="str">
        <f t="shared" si="371"/>
        <v/>
      </c>
    </row>
    <row r="1508" spans="1:26" ht="12" hidden="1" thickBot="1" x14ac:dyDescent="0.25">
      <c r="A1508" s="567">
        <v>97612</v>
      </c>
      <c r="B1508" s="644">
        <v>97612</v>
      </c>
      <c r="C1508" s="645" t="s">
        <v>670</v>
      </c>
      <c r="D1508" s="422" t="s">
        <v>1354</v>
      </c>
      <c r="E1508" s="423"/>
      <c r="F1508" s="424"/>
      <c r="G1508" s="425"/>
      <c r="H1508" s="651"/>
      <c r="I1508" s="420">
        <v>30.46</v>
      </c>
      <c r="J1508" s="420">
        <f t="shared" si="370"/>
        <v>30.46</v>
      </c>
      <c r="K1508" s="421">
        <f t="shared" si="369"/>
        <v>36.19</v>
      </c>
      <c r="L1508" s="647" t="s">
        <v>2065</v>
      </c>
      <c r="M1508" s="576"/>
      <c r="N1508" s="576">
        <f t="shared" si="372"/>
        <v>0</v>
      </c>
      <c r="O1508" s="577">
        <f t="shared" si="366"/>
        <v>0</v>
      </c>
      <c r="P1508" s="578">
        <f t="shared" si="367"/>
        <v>0</v>
      </c>
      <c r="Q1508" s="765"/>
      <c r="R1508" s="576">
        <f t="shared" si="363"/>
        <v>0</v>
      </c>
      <c r="S1508" s="576">
        <f t="shared" si="363"/>
        <v>0</v>
      </c>
      <c r="T1508" s="577">
        <f t="shared" si="364"/>
        <v>0</v>
      </c>
      <c r="U1508" s="578">
        <f t="shared" si="365"/>
        <v>0</v>
      </c>
      <c r="V1508" s="579"/>
      <c r="W1508" s="566"/>
      <c r="X1508" s="586" t="str">
        <f t="shared" si="368"/>
        <v/>
      </c>
      <c r="Y1508" s="586" t="str">
        <f t="shared" si="373"/>
        <v/>
      </c>
      <c r="Z1508" s="586" t="str">
        <f t="shared" si="371"/>
        <v/>
      </c>
    </row>
    <row r="1509" spans="1:26" ht="23.25" hidden="1" thickBot="1" x14ac:dyDescent="0.25">
      <c r="A1509" s="567">
        <v>97615</v>
      </c>
      <c r="B1509" s="644">
        <v>97615</v>
      </c>
      <c r="C1509" s="645" t="s">
        <v>670</v>
      </c>
      <c r="D1509" s="422" t="s">
        <v>1355</v>
      </c>
      <c r="E1509" s="423"/>
      <c r="F1509" s="424"/>
      <c r="G1509" s="425"/>
      <c r="H1509" s="651"/>
      <c r="I1509" s="420">
        <v>71.03</v>
      </c>
      <c r="J1509" s="420">
        <f t="shared" si="370"/>
        <v>71.03</v>
      </c>
      <c r="K1509" s="421">
        <f t="shared" si="369"/>
        <v>84.39</v>
      </c>
      <c r="L1509" s="647" t="s">
        <v>2065</v>
      </c>
      <c r="M1509" s="576"/>
      <c r="N1509" s="576">
        <f t="shared" si="372"/>
        <v>0</v>
      </c>
      <c r="O1509" s="577">
        <f t="shared" si="366"/>
        <v>0</v>
      </c>
      <c r="P1509" s="578">
        <f t="shared" si="367"/>
        <v>0</v>
      </c>
      <c r="Q1509" s="765"/>
      <c r="R1509" s="576">
        <f t="shared" si="363"/>
        <v>0</v>
      </c>
      <c r="S1509" s="576">
        <f t="shared" si="363"/>
        <v>0</v>
      </c>
      <c r="T1509" s="577">
        <f t="shared" si="364"/>
        <v>0</v>
      </c>
      <c r="U1509" s="578">
        <f t="shared" si="365"/>
        <v>0</v>
      </c>
      <c r="V1509" s="579"/>
      <c r="W1509" s="566"/>
      <c r="X1509" s="586" t="str">
        <f t="shared" si="368"/>
        <v/>
      </c>
      <c r="Y1509" s="586" t="str">
        <f t="shared" si="373"/>
        <v/>
      </c>
      <c r="Z1509" s="586" t="str">
        <f t="shared" si="371"/>
        <v/>
      </c>
    </row>
    <row r="1510" spans="1:26" ht="23.25" hidden="1" thickBot="1" x14ac:dyDescent="0.25">
      <c r="A1510" s="567">
        <v>97616</v>
      </c>
      <c r="B1510" s="644">
        <v>97616</v>
      </c>
      <c r="C1510" s="645" t="s">
        <v>670</v>
      </c>
      <c r="D1510" s="422" t="s">
        <v>1356</v>
      </c>
      <c r="E1510" s="423"/>
      <c r="F1510" s="424"/>
      <c r="G1510" s="425"/>
      <c r="H1510" s="651"/>
      <c r="I1510" s="420">
        <v>82.58</v>
      </c>
      <c r="J1510" s="420">
        <f t="shared" si="370"/>
        <v>82.58</v>
      </c>
      <c r="K1510" s="421">
        <f t="shared" si="369"/>
        <v>98.11</v>
      </c>
      <c r="L1510" s="647" t="s">
        <v>2065</v>
      </c>
      <c r="M1510" s="576"/>
      <c r="N1510" s="576">
        <f t="shared" si="372"/>
        <v>0</v>
      </c>
      <c r="O1510" s="577">
        <f t="shared" si="366"/>
        <v>0</v>
      </c>
      <c r="P1510" s="578">
        <f t="shared" si="367"/>
        <v>0</v>
      </c>
      <c r="Q1510" s="765"/>
      <c r="R1510" s="576">
        <f t="shared" si="363"/>
        <v>0</v>
      </c>
      <c r="S1510" s="576">
        <f t="shared" si="363"/>
        <v>0</v>
      </c>
      <c r="T1510" s="577">
        <f t="shared" si="364"/>
        <v>0</v>
      </c>
      <c r="U1510" s="578">
        <f t="shared" si="365"/>
        <v>0</v>
      </c>
      <c r="V1510" s="579"/>
      <c r="W1510" s="566"/>
      <c r="X1510" s="586" t="str">
        <f t="shared" si="368"/>
        <v/>
      </c>
      <c r="Y1510" s="586" t="str">
        <f t="shared" si="373"/>
        <v/>
      </c>
      <c r="Z1510" s="586" t="str">
        <f t="shared" si="371"/>
        <v/>
      </c>
    </row>
    <row r="1511" spans="1:26" ht="23.25" hidden="1" thickBot="1" x14ac:dyDescent="0.25">
      <c r="A1511" s="567">
        <v>97617</v>
      </c>
      <c r="B1511" s="644">
        <v>97617</v>
      </c>
      <c r="C1511" s="645" t="s">
        <v>670</v>
      </c>
      <c r="D1511" s="422" t="s">
        <v>1357</v>
      </c>
      <c r="E1511" s="423"/>
      <c r="F1511" s="424"/>
      <c r="G1511" s="425"/>
      <c r="H1511" s="651"/>
      <c r="I1511" s="420">
        <v>82.19</v>
      </c>
      <c r="J1511" s="420">
        <f t="shared" si="370"/>
        <v>82.19</v>
      </c>
      <c r="K1511" s="421">
        <f t="shared" si="369"/>
        <v>97.65</v>
      </c>
      <c r="L1511" s="647" t="s">
        <v>2065</v>
      </c>
      <c r="M1511" s="576"/>
      <c r="N1511" s="576">
        <f t="shared" si="372"/>
        <v>0</v>
      </c>
      <c r="O1511" s="577">
        <f t="shared" si="366"/>
        <v>0</v>
      </c>
      <c r="P1511" s="578">
        <f t="shared" si="367"/>
        <v>0</v>
      </c>
      <c r="Q1511" s="765"/>
      <c r="R1511" s="576">
        <f t="shared" si="363"/>
        <v>0</v>
      </c>
      <c r="S1511" s="576">
        <f t="shared" si="363"/>
        <v>0</v>
      </c>
      <c r="T1511" s="577">
        <f t="shared" si="364"/>
        <v>0</v>
      </c>
      <c r="U1511" s="578">
        <f t="shared" si="365"/>
        <v>0</v>
      </c>
      <c r="V1511" s="579"/>
      <c r="W1511" s="566"/>
      <c r="X1511" s="586" t="str">
        <f t="shared" si="368"/>
        <v/>
      </c>
      <c r="Y1511" s="586" t="str">
        <f t="shared" si="373"/>
        <v/>
      </c>
      <c r="Z1511" s="586" t="str">
        <f t="shared" si="371"/>
        <v/>
      </c>
    </row>
    <row r="1512" spans="1:26" ht="23.25" hidden="1" thickBot="1" x14ac:dyDescent="0.25">
      <c r="A1512" s="567">
        <v>97618</v>
      </c>
      <c r="B1512" s="644">
        <v>97618</v>
      </c>
      <c r="C1512" s="645" t="s">
        <v>670</v>
      </c>
      <c r="D1512" s="422" t="s">
        <v>1358</v>
      </c>
      <c r="E1512" s="423"/>
      <c r="F1512" s="424"/>
      <c r="G1512" s="425"/>
      <c r="H1512" s="651"/>
      <c r="I1512" s="420">
        <v>74.61</v>
      </c>
      <c r="J1512" s="420">
        <f t="shared" si="370"/>
        <v>74.61</v>
      </c>
      <c r="K1512" s="421">
        <f t="shared" si="369"/>
        <v>88.64</v>
      </c>
      <c r="L1512" s="647" t="s">
        <v>2065</v>
      </c>
      <c r="M1512" s="576"/>
      <c r="N1512" s="576">
        <f t="shared" si="372"/>
        <v>0</v>
      </c>
      <c r="O1512" s="577">
        <f t="shared" si="366"/>
        <v>0</v>
      </c>
      <c r="P1512" s="578">
        <f t="shared" si="367"/>
        <v>0</v>
      </c>
      <c r="Q1512" s="765"/>
      <c r="R1512" s="576">
        <f t="shared" si="363"/>
        <v>0</v>
      </c>
      <c r="S1512" s="576">
        <f t="shared" si="363"/>
        <v>0</v>
      </c>
      <c r="T1512" s="577">
        <f t="shared" si="364"/>
        <v>0</v>
      </c>
      <c r="U1512" s="578">
        <f t="shared" si="365"/>
        <v>0</v>
      </c>
      <c r="V1512" s="579"/>
      <c r="W1512" s="566"/>
      <c r="X1512" s="586" t="str">
        <f t="shared" si="368"/>
        <v/>
      </c>
      <c r="Y1512" s="586" t="str">
        <f t="shared" si="373"/>
        <v/>
      </c>
      <c r="Z1512" s="586" t="str">
        <f t="shared" si="371"/>
        <v/>
      </c>
    </row>
    <row r="1513" spans="1:26" ht="23.25" hidden="1" thickBot="1" x14ac:dyDescent="0.25">
      <c r="A1513" s="567">
        <v>97613</v>
      </c>
      <c r="B1513" s="644">
        <v>97613</v>
      </c>
      <c r="C1513" s="645" t="s">
        <v>670</v>
      </c>
      <c r="D1513" s="422" t="s">
        <v>1359</v>
      </c>
      <c r="E1513" s="423"/>
      <c r="F1513" s="424"/>
      <c r="G1513" s="425"/>
      <c r="H1513" s="651"/>
      <c r="I1513" s="420">
        <v>38.93</v>
      </c>
      <c r="J1513" s="420">
        <f t="shared" si="370"/>
        <v>38.93</v>
      </c>
      <c r="K1513" s="421">
        <f t="shared" si="369"/>
        <v>46.25</v>
      </c>
      <c r="L1513" s="647" t="s">
        <v>2065</v>
      </c>
      <c r="M1513" s="576"/>
      <c r="N1513" s="576">
        <f t="shared" si="372"/>
        <v>0</v>
      </c>
      <c r="O1513" s="577">
        <f t="shared" si="366"/>
        <v>0</v>
      </c>
      <c r="P1513" s="578">
        <f t="shared" si="367"/>
        <v>0</v>
      </c>
      <c r="Q1513" s="765"/>
      <c r="R1513" s="576">
        <f t="shared" si="363"/>
        <v>0</v>
      </c>
      <c r="S1513" s="576">
        <f t="shared" si="363"/>
        <v>0</v>
      </c>
      <c r="T1513" s="577">
        <f t="shared" si="364"/>
        <v>0</v>
      </c>
      <c r="U1513" s="578">
        <f t="shared" si="365"/>
        <v>0</v>
      </c>
      <c r="V1513" s="579"/>
      <c r="W1513" s="566"/>
      <c r="X1513" s="586" t="str">
        <f t="shared" si="368"/>
        <v/>
      </c>
      <c r="Y1513" s="586" t="str">
        <f t="shared" si="373"/>
        <v/>
      </c>
      <c r="Z1513" s="586" t="str">
        <f t="shared" si="371"/>
        <v/>
      </c>
    </row>
    <row r="1514" spans="1:26" ht="23.25" hidden="1" thickBot="1" x14ac:dyDescent="0.25">
      <c r="A1514" s="567">
        <v>97614</v>
      </c>
      <c r="B1514" s="644">
        <v>97614</v>
      </c>
      <c r="C1514" s="645" t="s">
        <v>670</v>
      </c>
      <c r="D1514" s="422" t="s">
        <v>1360</v>
      </c>
      <c r="E1514" s="423"/>
      <c r="F1514" s="424"/>
      <c r="G1514" s="425"/>
      <c r="H1514" s="651"/>
      <c r="I1514" s="420">
        <v>69.52</v>
      </c>
      <c r="J1514" s="420">
        <f t="shared" si="370"/>
        <v>69.52</v>
      </c>
      <c r="K1514" s="421">
        <f t="shared" si="369"/>
        <v>82.6</v>
      </c>
      <c r="L1514" s="647" t="s">
        <v>2065</v>
      </c>
      <c r="M1514" s="576"/>
      <c r="N1514" s="576">
        <f t="shared" si="372"/>
        <v>0</v>
      </c>
      <c r="O1514" s="577">
        <f t="shared" si="366"/>
        <v>0</v>
      </c>
      <c r="P1514" s="578">
        <f t="shared" si="367"/>
        <v>0</v>
      </c>
      <c r="Q1514" s="765"/>
      <c r="R1514" s="576">
        <f t="shared" ref="R1514:S1577" si="374">M1514</f>
        <v>0</v>
      </c>
      <c r="S1514" s="576">
        <f t="shared" si="374"/>
        <v>0</v>
      </c>
      <c r="T1514" s="577">
        <f t="shared" si="364"/>
        <v>0</v>
      </c>
      <c r="U1514" s="578">
        <f t="shared" si="365"/>
        <v>0</v>
      </c>
      <c r="V1514" s="579"/>
      <c r="W1514" s="566"/>
      <c r="X1514" s="586" t="str">
        <f t="shared" si="368"/>
        <v/>
      </c>
      <c r="Y1514" s="586" t="str">
        <f t="shared" si="373"/>
        <v/>
      </c>
      <c r="Z1514" s="586" t="str">
        <f t="shared" si="371"/>
        <v/>
      </c>
    </row>
    <row r="1515" spans="1:26" ht="12" hidden="1" thickBot="1" x14ac:dyDescent="0.25">
      <c r="A1515" s="567">
        <v>101648</v>
      </c>
      <c r="B1515" s="644">
        <v>101648</v>
      </c>
      <c r="C1515" s="645" t="s">
        <v>670</v>
      </c>
      <c r="D1515" s="422" t="s">
        <v>1361</v>
      </c>
      <c r="E1515" s="423"/>
      <c r="F1515" s="424"/>
      <c r="G1515" s="425"/>
      <c r="H1515" s="651"/>
      <c r="I1515" s="420">
        <v>64.48</v>
      </c>
      <c r="J1515" s="420">
        <f t="shared" si="370"/>
        <v>64.48</v>
      </c>
      <c r="K1515" s="421">
        <f t="shared" si="369"/>
        <v>76.61</v>
      </c>
      <c r="L1515" s="647" t="s">
        <v>2065</v>
      </c>
      <c r="M1515" s="576"/>
      <c r="N1515" s="576">
        <f t="shared" si="372"/>
        <v>0</v>
      </c>
      <c r="O1515" s="577">
        <f t="shared" si="366"/>
        <v>0</v>
      </c>
      <c r="P1515" s="578">
        <f t="shared" si="367"/>
        <v>0</v>
      </c>
      <c r="Q1515" s="765"/>
      <c r="R1515" s="576">
        <f t="shared" si="374"/>
        <v>0</v>
      </c>
      <c r="S1515" s="576">
        <f t="shared" si="374"/>
        <v>0</v>
      </c>
      <c r="T1515" s="577">
        <f t="shared" si="364"/>
        <v>0</v>
      </c>
      <c r="U1515" s="578">
        <f t="shared" si="365"/>
        <v>0</v>
      </c>
      <c r="V1515" s="579"/>
      <c r="W1515" s="566"/>
      <c r="X1515" s="586" t="str">
        <f t="shared" si="368"/>
        <v/>
      </c>
      <c r="Y1515" s="586" t="str">
        <f t="shared" si="373"/>
        <v/>
      </c>
      <c r="Z1515" s="586" t="str">
        <f t="shared" si="371"/>
        <v/>
      </c>
    </row>
    <row r="1516" spans="1:26" ht="12" hidden="1" thickBot="1" x14ac:dyDescent="0.25">
      <c r="A1516" s="567">
        <v>101649</v>
      </c>
      <c r="B1516" s="644">
        <v>101649</v>
      </c>
      <c r="C1516" s="645" t="s">
        <v>670</v>
      </c>
      <c r="D1516" s="422" t="s">
        <v>1362</v>
      </c>
      <c r="E1516" s="423"/>
      <c r="F1516" s="424"/>
      <c r="G1516" s="425"/>
      <c r="H1516" s="651"/>
      <c r="I1516" s="420">
        <v>74.34</v>
      </c>
      <c r="J1516" s="420">
        <f t="shared" si="370"/>
        <v>74.34</v>
      </c>
      <c r="K1516" s="421">
        <f t="shared" si="369"/>
        <v>88.32</v>
      </c>
      <c r="L1516" s="647" t="s">
        <v>2065</v>
      </c>
      <c r="M1516" s="576"/>
      <c r="N1516" s="576">
        <f t="shared" si="372"/>
        <v>0</v>
      </c>
      <c r="O1516" s="577">
        <f t="shared" si="366"/>
        <v>0</v>
      </c>
      <c r="P1516" s="578">
        <f t="shared" si="367"/>
        <v>0</v>
      </c>
      <c r="Q1516" s="765"/>
      <c r="R1516" s="576">
        <f t="shared" si="374"/>
        <v>0</v>
      </c>
      <c r="S1516" s="576">
        <f t="shared" si="374"/>
        <v>0</v>
      </c>
      <c r="T1516" s="577">
        <f t="shared" si="364"/>
        <v>0</v>
      </c>
      <c r="U1516" s="578">
        <f t="shared" si="365"/>
        <v>0</v>
      </c>
      <c r="V1516" s="579"/>
      <c r="W1516" s="566"/>
      <c r="X1516" s="586" t="str">
        <f t="shared" si="368"/>
        <v/>
      </c>
      <c r="Y1516" s="586" t="str">
        <f t="shared" si="373"/>
        <v/>
      </c>
      <c r="Z1516" s="586" t="str">
        <f t="shared" si="371"/>
        <v/>
      </c>
    </row>
    <row r="1517" spans="1:26" ht="12" hidden="1" thickBot="1" x14ac:dyDescent="0.25">
      <c r="A1517" s="567">
        <v>101650</v>
      </c>
      <c r="B1517" s="644">
        <v>101650</v>
      </c>
      <c r="C1517" s="645" t="s">
        <v>670</v>
      </c>
      <c r="D1517" s="422" t="s">
        <v>1363</v>
      </c>
      <c r="E1517" s="423"/>
      <c r="F1517" s="424"/>
      <c r="G1517" s="425"/>
      <c r="H1517" s="651"/>
      <c r="I1517" s="420">
        <v>86.44</v>
      </c>
      <c r="J1517" s="420">
        <f t="shared" si="370"/>
        <v>86.44</v>
      </c>
      <c r="K1517" s="421">
        <f t="shared" si="369"/>
        <v>102.7</v>
      </c>
      <c r="L1517" s="647" t="s">
        <v>2065</v>
      </c>
      <c r="M1517" s="576"/>
      <c r="N1517" s="576">
        <f t="shared" si="372"/>
        <v>0</v>
      </c>
      <c r="O1517" s="577">
        <f t="shared" si="366"/>
        <v>0</v>
      </c>
      <c r="P1517" s="578">
        <f t="shared" si="367"/>
        <v>0</v>
      </c>
      <c r="Q1517" s="765"/>
      <c r="R1517" s="576">
        <f t="shared" si="374"/>
        <v>0</v>
      </c>
      <c r="S1517" s="576">
        <f t="shared" si="374"/>
        <v>0</v>
      </c>
      <c r="T1517" s="577">
        <f t="shared" si="364"/>
        <v>0</v>
      </c>
      <c r="U1517" s="578">
        <f t="shared" si="365"/>
        <v>0</v>
      </c>
      <c r="V1517" s="579"/>
      <c r="W1517" s="566"/>
      <c r="X1517" s="586" t="str">
        <f t="shared" si="368"/>
        <v/>
      </c>
      <c r="Y1517" s="586" t="str">
        <f t="shared" si="373"/>
        <v/>
      </c>
      <c r="Z1517" s="586" t="str">
        <f t="shared" si="371"/>
        <v/>
      </c>
    </row>
    <row r="1518" spans="1:26" ht="12" hidden="1" thickBot="1" x14ac:dyDescent="0.25">
      <c r="A1518" s="567">
        <v>101640</v>
      </c>
      <c r="B1518" s="644">
        <v>101640</v>
      </c>
      <c r="C1518" s="645" t="s">
        <v>670</v>
      </c>
      <c r="D1518" s="422" t="s">
        <v>1364</v>
      </c>
      <c r="E1518" s="423"/>
      <c r="F1518" s="424"/>
      <c r="G1518" s="425"/>
      <c r="H1518" s="651"/>
      <c r="I1518" s="420">
        <v>118.24</v>
      </c>
      <c r="J1518" s="420">
        <f t="shared" si="370"/>
        <v>118.24</v>
      </c>
      <c r="K1518" s="421">
        <f t="shared" si="369"/>
        <v>140.47999999999999</v>
      </c>
      <c r="L1518" s="647" t="s">
        <v>2065</v>
      </c>
      <c r="M1518" s="576"/>
      <c r="N1518" s="576">
        <f t="shared" si="372"/>
        <v>0</v>
      </c>
      <c r="O1518" s="577">
        <f t="shared" si="366"/>
        <v>0</v>
      </c>
      <c r="P1518" s="578">
        <f t="shared" si="367"/>
        <v>0</v>
      </c>
      <c r="Q1518" s="765"/>
      <c r="R1518" s="576">
        <f t="shared" si="374"/>
        <v>0</v>
      </c>
      <c r="S1518" s="576">
        <f t="shared" si="374"/>
        <v>0</v>
      </c>
      <c r="T1518" s="577">
        <f t="shared" si="364"/>
        <v>0</v>
      </c>
      <c r="U1518" s="578">
        <f t="shared" si="365"/>
        <v>0</v>
      </c>
      <c r="V1518" s="579"/>
      <c r="W1518" s="566"/>
      <c r="X1518" s="586" t="str">
        <f t="shared" si="368"/>
        <v/>
      </c>
      <c r="Y1518" s="586" t="str">
        <f t="shared" si="373"/>
        <v/>
      </c>
      <c r="Z1518" s="586" t="str">
        <f t="shared" si="371"/>
        <v/>
      </c>
    </row>
    <row r="1519" spans="1:26" ht="12" hidden="1" thickBot="1" x14ac:dyDescent="0.25">
      <c r="A1519" s="567">
        <v>101641</v>
      </c>
      <c r="B1519" s="644">
        <v>101641</v>
      </c>
      <c r="C1519" s="645" t="s">
        <v>670</v>
      </c>
      <c r="D1519" s="422" t="s">
        <v>1365</v>
      </c>
      <c r="E1519" s="423"/>
      <c r="F1519" s="424"/>
      <c r="G1519" s="425"/>
      <c r="H1519" s="651"/>
      <c r="I1519" s="420">
        <v>61.12</v>
      </c>
      <c r="J1519" s="420">
        <f t="shared" si="370"/>
        <v>61.12</v>
      </c>
      <c r="K1519" s="421">
        <f t="shared" si="369"/>
        <v>72.62</v>
      </c>
      <c r="L1519" s="647" t="s">
        <v>2065</v>
      </c>
      <c r="M1519" s="576"/>
      <c r="N1519" s="576">
        <f t="shared" si="372"/>
        <v>0</v>
      </c>
      <c r="O1519" s="577">
        <f t="shared" si="366"/>
        <v>0</v>
      </c>
      <c r="P1519" s="578">
        <f t="shared" si="367"/>
        <v>0</v>
      </c>
      <c r="Q1519" s="765"/>
      <c r="R1519" s="576">
        <f t="shared" si="374"/>
        <v>0</v>
      </c>
      <c r="S1519" s="576">
        <f t="shared" si="374"/>
        <v>0</v>
      </c>
      <c r="T1519" s="577">
        <f t="shared" si="364"/>
        <v>0</v>
      </c>
      <c r="U1519" s="578">
        <f t="shared" si="365"/>
        <v>0</v>
      </c>
      <c r="V1519" s="579"/>
      <c r="W1519" s="566"/>
      <c r="X1519" s="586" t="str">
        <f t="shared" si="368"/>
        <v/>
      </c>
      <c r="Y1519" s="586" t="str">
        <f t="shared" si="373"/>
        <v/>
      </c>
      <c r="Z1519" s="586" t="str">
        <f t="shared" si="371"/>
        <v/>
      </c>
    </row>
    <row r="1520" spans="1:26" ht="12" hidden="1" thickBot="1" x14ac:dyDescent="0.25">
      <c r="A1520" s="567">
        <v>101642</v>
      </c>
      <c r="B1520" s="644">
        <v>101642</v>
      </c>
      <c r="C1520" s="645" t="s">
        <v>670</v>
      </c>
      <c r="D1520" s="422" t="s">
        <v>1366</v>
      </c>
      <c r="E1520" s="423"/>
      <c r="F1520" s="424"/>
      <c r="G1520" s="425"/>
      <c r="H1520" s="651"/>
      <c r="I1520" s="420">
        <v>30.53</v>
      </c>
      <c r="J1520" s="420">
        <f t="shared" si="370"/>
        <v>30.53</v>
      </c>
      <c r="K1520" s="421">
        <f t="shared" si="369"/>
        <v>36.270000000000003</v>
      </c>
      <c r="L1520" s="647" t="s">
        <v>2065</v>
      </c>
      <c r="M1520" s="576"/>
      <c r="N1520" s="576">
        <f t="shared" si="372"/>
        <v>0</v>
      </c>
      <c r="O1520" s="577">
        <f t="shared" si="366"/>
        <v>0</v>
      </c>
      <c r="P1520" s="578">
        <f t="shared" si="367"/>
        <v>0</v>
      </c>
      <c r="Q1520" s="765"/>
      <c r="R1520" s="576">
        <f t="shared" si="374"/>
        <v>0</v>
      </c>
      <c r="S1520" s="576">
        <f t="shared" si="374"/>
        <v>0</v>
      </c>
      <c r="T1520" s="577">
        <f t="shared" si="364"/>
        <v>0</v>
      </c>
      <c r="U1520" s="578">
        <f t="shared" si="365"/>
        <v>0</v>
      </c>
      <c r="V1520" s="579"/>
      <c r="W1520" s="566"/>
      <c r="X1520" s="586" t="str">
        <f t="shared" si="368"/>
        <v/>
      </c>
      <c r="Y1520" s="586" t="str">
        <f t="shared" si="373"/>
        <v/>
      </c>
      <c r="Z1520" s="586" t="str">
        <f t="shared" si="371"/>
        <v/>
      </c>
    </row>
    <row r="1521" spans="1:26" ht="12" hidden="1" thickBot="1" x14ac:dyDescent="0.25">
      <c r="A1521" s="567">
        <v>101643</v>
      </c>
      <c r="B1521" s="644">
        <v>101643</v>
      </c>
      <c r="C1521" s="645" t="s">
        <v>670</v>
      </c>
      <c r="D1521" s="422" t="s">
        <v>1367</v>
      </c>
      <c r="E1521" s="423"/>
      <c r="F1521" s="424"/>
      <c r="G1521" s="425"/>
      <c r="H1521" s="651"/>
      <c r="I1521" s="420">
        <v>53.31</v>
      </c>
      <c r="J1521" s="420">
        <f t="shared" si="370"/>
        <v>53.31</v>
      </c>
      <c r="K1521" s="421">
        <f t="shared" si="369"/>
        <v>63.34</v>
      </c>
      <c r="L1521" s="647" t="s">
        <v>2065</v>
      </c>
      <c r="M1521" s="576"/>
      <c r="N1521" s="576">
        <f t="shared" si="372"/>
        <v>0</v>
      </c>
      <c r="O1521" s="577">
        <f t="shared" si="366"/>
        <v>0</v>
      </c>
      <c r="P1521" s="578">
        <f t="shared" si="367"/>
        <v>0</v>
      </c>
      <c r="Q1521" s="765"/>
      <c r="R1521" s="576">
        <f t="shared" si="374"/>
        <v>0</v>
      </c>
      <c r="S1521" s="576">
        <f t="shared" si="374"/>
        <v>0</v>
      </c>
      <c r="T1521" s="577">
        <f t="shared" si="364"/>
        <v>0</v>
      </c>
      <c r="U1521" s="578">
        <f t="shared" si="365"/>
        <v>0</v>
      </c>
      <c r="V1521" s="579"/>
      <c r="W1521" s="566"/>
      <c r="X1521" s="586" t="str">
        <f t="shared" si="368"/>
        <v/>
      </c>
      <c r="Y1521" s="586" t="str">
        <f t="shared" si="373"/>
        <v/>
      </c>
      <c r="Z1521" s="586" t="str">
        <f t="shared" si="371"/>
        <v/>
      </c>
    </row>
    <row r="1522" spans="1:26" ht="12" hidden="1" thickBot="1" x14ac:dyDescent="0.25">
      <c r="A1522" s="567">
        <v>101644</v>
      </c>
      <c r="B1522" s="644">
        <v>101644</v>
      </c>
      <c r="C1522" s="645" t="s">
        <v>670</v>
      </c>
      <c r="D1522" s="422" t="s">
        <v>1368</v>
      </c>
      <c r="E1522" s="423"/>
      <c r="F1522" s="424"/>
      <c r="G1522" s="425"/>
      <c r="H1522" s="651"/>
      <c r="I1522" s="420">
        <v>72.23</v>
      </c>
      <c r="J1522" s="420">
        <f t="shared" si="370"/>
        <v>72.23</v>
      </c>
      <c r="K1522" s="421">
        <f t="shared" si="369"/>
        <v>85.82</v>
      </c>
      <c r="L1522" s="647" t="s">
        <v>2065</v>
      </c>
      <c r="M1522" s="576"/>
      <c r="N1522" s="576">
        <f t="shared" si="372"/>
        <v>0</v>
      </c>
      <c r="O1522" s="577">
        <f t="shared" si="366"/>
        <v>0</v>
      </c>
      <c r="P1522" s="578">
        <f t="shared" si="367"/>
        <v>0</v>
      </c>
      <c r="Q1522" s="765"/>
      <c r="R1522" s="576">
        <f t="shared" si="374"/>
        <v>0</v>
      </c>
      <c r="S1522" s="576">
        <f t="shared" si="374"/>
        <v>0</v>
      </c>
      <c r="T1522" s="577">
        <f t="shared" si="364"/>
        <v>0</v>
      </c>
      <c r="U1522" s="578">
        <f t="shared" si="365"/>
        <v>0</v>
      </c>
      <c r="V1522" s="579"/>
      <c r="W1522" s="566"/>
      <c r="X1522" s="586" t="str">
        <f t="shared" si="368"/>
        <v/>
      </c>
      <c r="Y1522" s="586" t="str">
        <f t="shared" si="373"/>
        <v/>
      </c>
      <c r="Z1522" s="586" t="str">
        <f t="shared" si="371"/>
        <v/>
      </c>
    </row>
    <row r="1523" spans="1:26" ht="12" hidden="1" thickBot="1" x14ac:dyDescent="0.25">
      <c r="A1523" s="567">
        <v>101645</v>
      </c>
      <c r="B1523" s="644">
        <v>101645</v>
      </c>
      <c r="C1523" s="645" t="s">
        <v>670</v>
      </c>
      <c r="D1523" s="422" t="s">
        <v>1369</v>
      </c>
      <c r="E1523" s="423"/>
      <c r="F1523" s="424"/>
      <c r="G1523" s="425"/>
      <c r="H1523" s="651"/>
      <c r="I1523" s="420">
        <v>34.06</v>
      </c>
      <c r="J1523" s="420">
        <f t="shared" si="370"/>
        <v>34.06</v>
      </c>
      <c r="K1523" s="421">
        <f t="shared" si="369"/>
        <v>40.47</v>
      </c>
      <c r="L1523" s="647" t="s">
        <v>2065</v>
      </c>
      <c r="M1523" s="576"/>
      <c r="N1523" s="576">
        <f t="shared" si="372"/>
        <v>0</v>
      </c>
      <c r="O1523" s="577">
        <f t="shared" si="366"/>
        <v>0</v>
      </c>
      <c r="P1523" s="578">
        <f t="shared" si="367"/>
        <v>0</v>
      </c>
      <c r="Q1523" s="765"/>
      <c r="R1523" s="576">
        <f t="shared" si="374"/>
        <v>0</v>
      </c>
      <c r="S1523" s="576">
        <f t="shared" si="374"/>
        <v>0</v>
      </c>
      <c r="T1523" s="577">
        <f t="shared" si="364"/>
        <v>0</v>
      </c>
      <c r="U1523" s="578">
        <f t="shared" si="365"/>
        <v>0</v>
      </c>
      <c r="V1523" s="579"/>
      <c r="W1523" s="566"/>
      <c r="X1523" s="586" t="str">
        <f t="shared" si="368"/>
        <v/>
      </c>
      <c r="Y1523" s="586" t="str">
        <f t="shared" si="373"/>
        <v/>
      </c>
      <c r="Z1523" s="586" t="str">
        <f t="shared" si="371"/>
        <v/>
      </c>
    </row>
    <row r="1524" spans="1:26" ht="12" hidden="1" thickBot="1" x14ac:dyDescent="0.25">
      <c r="A1524" s="567">
        <v>101646</v>
      </c>
      <c r="B1524" s="644">
        <v>101646</v>
      </c>
      <c r="C1524" s="645" t="s">
        <v>670</v>
      </c>
      <c r="D1524" s="422" t="s">
        <v>1370</v>
      </c>
      <c r="E1524" s="423"/>
      <c r="F1524" s="424"/>
      <c r="G1524" s="425"/>
      <c r="H1524" s="651"/>
      <c r="I1524" s="420">
        <v>45.31</v>
      </c>
      <c r="J1524" s="420">
        <f t="shared" si="370"/>
        <v>45.31</v>
      </c>
      <c r="K1524" s="421">
        <f t="shared" si="369"/>
        <v>53.83</v>
      </c>
      <c r="L1524" s="647" t="s">
        <v>2065</v>
      </c>
      <c r="M1524" s="576"/>
      <c r="N1524" s="576">
        <f t="shared" si="372"/>
        <v>0</v>
      </c>
      <c r="O1524" s="577">
        <f t="shared" si="366"/>
        <v>0</v>
      </c>
      <c r="P1524" s="578">
        <f t="shared" si="367"/>
        <v>0</v>
      </c>
      <c r="Q1524" s="765"/>
      <c r="R1524" s="576">
        <f t="shared" si="374"/>
        <v>0</v>
      </c>
      <c r="S1524" s="576">
        <f t="shared" si="374"/>
        <v>0</v>
      </c>
      <c r="T1524" s="577">
        <f t="shared" ref="T1524:T1587" si="375">IF(ISBLANK(R1524),0,ROUND(K1524*R1524,2))</f>
        <v>0</v>
      </c>
      <c r="U1524" s="578">
        <f t="shared" ref="U1524:U1587" si="376">IF(ISBLANK(R1524),0,ROUND(R1524*S1524,2))</f>
        <v>0</v>
      </c>
      <c r="V1524" s="579"/>
      <c r="W1524" s="566"/>
      <c r="X1524" s="586" t="str">
        <f t="shared" si="368"/>
        <v/>
      </c>
      <c r="Y1524" s="586" t="str">
        <f t="shared" si="373"/>
        <v/>
      </c>
      <c r="Z1524" s="586" t="str">
        <f t="shared" si="371"/>
        <v/>
      </c>
    </row>
    <row r="1525" spans="1:26" ht="12" hidden="1" thickBot="1" x14ac:dyDescent="0.25">
      <c r="A1525" s="567">
        <v>101647</v>
      </c>
      <c r="B1525" s="644">
        <v>101647</v>
      </c>
      <c r="C1525" s="645" t="s">
        <v>670</v>
      </c>
      <c r="D1525" s="422" t="s">
        <v>1371</v>
      </c>
      <c r="E1525" s="423"/>
      <c r="F1525" s="424"/>
      <c r="G1525" s="425"/>
      <c r="H1525" s="651"/>
      <c r="I1525" s="420">
        <v>83.44</v>
      </c>
      <c r="J1525" s="420">
        <f t="shared" si="370"/>
        <v>83.44</v>
      </c>
      <c r="K1525" s="421">
        <f t="shared" si="369"/>
        <v>99.14</v>
      </c>
      <c r="L1525" s="647" t="s">
        <v>2065</v>
      </c>
      <c r="M1525" s="576"/>
      <c r="N1525" s="576">
        <f t="shared" si="372"/>
        <v>0</v>
      </c>
      <c r="O1525" s="577">
        <f t="shared" ref="O1525:O1588" si="377">IF(ISBLANK(M1525),0,ROUND(K1525*M1525,2))</f>
        <v>0</v>
      </c>
      <c r="P1525" s="578">
        <f t="shared" ref="P1525:P1588" si="378">IF(ISBLANK(N1525),0,ROUND(M1525*N1525,2))</f>
        <v>0</v>
      </c>
      <c r="Q1525" s="765"/>
      <c r="R1525" s="576">
        <f t="shared" si="374"/>
        <v>0</v>
      </c>
      <c r="S1525" s="576">
        <f t="shared" si="374"/>
        <v>0</v>
      </c>
      <c r="T1525" s="577">
        <f t="shared" si="375"/>
        <v>0</v>
      </c>
      <c r="U1525" s="578">
        <f t="shared" si="376"/>
        <v>0</v>
      </c>
      <c r="V1525" s="579"/>
      <c r="W1525" s="566"/>
      <c r="X1525" s="586" t="str">
        <f t="shared" si="368"/>
        <v/>
      </c>
      <c r="Y1525" s="586" t="str">
        <f t="shared" si="373"/>
        <v/>
      </c>
      <c r="Z1525" s="586" t="str">
        <f t="shared" si="371"/>
        <v/>
      </c>
    </row>
    <row r="1526" spans="1:26" ht="23.25" hidden="1" thickBot="1" x14ac:dyDescent="0.25">
      <c r="A1526" s="567">
        <v>102085</v>
      </c>
      <c r="B1526" s="644">
        <v>102085</v>
      </c>
      <c r="C1526" s="645" t="s">
        <v>670</v>
      </c>
      <c r="D1526" s="422" t="s">
        <v>1372</v>
      </c>
      <c r="E1526" s="423"/>
      <c r="F1526" s="424"/>
      <c r="G1526" s="425"/>
      <c r="H1526" s="651"/>
      <c r="I1526" s="420">
        <v>277.33999999999997</v>
      </c>
      <c r="J1526" s="420">
        <f t="shared" si="370"/>
        <v>277.33999999999997</v>
      </c>
      <c r="K1526" s="421">
        <f t="shared" si="369"/>
        <v>329.51</v>
      </c>
      <c r="L1526" s="647" t="s">
        <v>2065</v>
      </c>
      <c r="M1526" s="576"/>
      <c r="N1526" s="576">
        <f t="shared" si="372"/>
        <v>0</v>
      </c>
      <c r="O1526" s="577">
        <f t="shared" si="377"/>
        <v>0</v>
      </c>
      <c r="P1526" s="578">
        <f t="shared" si="378"/>
        <v>0</v>
      </c>
      <c r="Q1526" s="765"/>
      <c r="R1526" s="576">
        <f t="shared" si="374"/>
        <v>0</v>
      </c>
      <c r="S1526" s="576">
        <f t="shared" si="374"/>
        <v>0</v>
      </c>
      <c r="T1526" s="577">
        <f t="shared" si="375"/>
        <v>0</v>
      </c>
      <c r="U1526" s="578">
        <f t="shared" si="376"/>
        <v>0</v>
      </c>
      <c r="V1526" s="579"/>
      <c r="W1526" s="566"/>
      <c r="X1526" s="586" t="str">
        <f t="shared" si="368"/>
        <v/>
      </c>
      <c r="Y1526" s="586" t="str">
        <f t="shared" si="373"/>
        <v/>
      </c>
      <c r="Z1526" s="586" t="str">
        <f t="shared" si="371"/>
        <v/>
      </c>
    </row>
    <row r="1527" spans="1:26" ht="23.25" hidden="1" thickBot="1" x14ac:dyDescent="0.25">
      <c r="A1527" s="567">
        <v>97605</v>
      </c>
      <c r="B1527" s="644">
        <v>97605</v>
      </c>
      <c r="C1527" s="645" t="s">
        <v>670</v>
      </c>
      <c r="D1527" s="422" t="s">
        <v>1373</v>
      </c>
      <c r="E1527" s="423"/>
      <c r="F1527" s="424"/>
      <c r="G1527" s="425"/>
      <c r="H1527" s="651"/>
      <c r="I1527" s="420">
        <v>125.56</v>
      </c>
      <c r="J1527" s="420">
        <f t="shared" si="370"/>
        <v>125.56</v>
      </c>
      <c r="K1527" s="421">
        <f t="shared" si="369"/>
        <v>149.18</v>
      </c>
      <c r="L1527" s="647" t="s">
        <v>2065</v>
      </c>
      <c r="M1527" s="576"/>
      <c r="N1527" s="576">
        <f t="shared" si="372"/>
        <v>0</v>
      </c>
      <c r="O1527" s="577">
        <f t="shared" si="377"/>
        <v>0</v>
      </c>
      <c r="P1527" s="578">
        <f t="shared" si="378"/>
        <v>0</v>
      </c>
      <c r="Q1527" s="765"/>
      <c r="R1527" s="576">
        <f t="shared" si="374"/>
        <v>0</v>
      </c>
      <c r="S1527" s="576">
        <f t="shared" si="374"/>
        <v>0</v>
      </c>
      <c r="T1527" s="577">
        <f t="shared" si="375"/>
        <v>0</v>
      </c>
      <c r="U1527" s="578">
        <f t="shared" si="376"/>
        <v>0</v>
      </c>
      <c r="V1527" s="579"/>
      <c r="W1527" s="566"/>
      <c r="X1527" s="586" t="str">
        <f t="shared" si="368"/>
        <v/>
      </c>
      <c r="Y1527" s="586" t="str">
        <f t="shared" si="373"/>
        <v/>
      </c>
      <c r="Z1527" s="586" t="str">
        <f t="shared" si="371"/>
        <v/>
      </c>
    </row>
    <row r="1528" spans="1:26" ht="23.25" hidden="1" thickBot="1" x14ac:dyDescent="0.25">
      <c r="A1528" s="567">
        <v>101654</v>
      </c>
      <c r="B1528" s="644">
        <v>101654</v>
      </c>
      <c r="C1528" s="645" t="s">
        <v>670</v>
      </c>
      <c r="D1528" s="422" t="s">
        <v>1374</v>
      </c>
      <c r="E1528" s="423"/>
      <c r="F1528" s="424"/>
      <c r="G1528" s="425"/>
      <c r="H1528" s="651"/>
      <c r="I1528" s="420">
        <v>306.95</v>
      </c>
      <c r="J1528" s="420">
        <f t="shared" si="370"/>
        <v>306.95</v>
      </c>
      <c r="K1528" s="421">
        <f t="shared" si="369"/>
        <v>364.69</v>
      </c>
      <c r="L1528" s="647" t="s">
        <v>2065</v>
      </c>
      <c r="M1528" s="576"/>
      <c r="N1528" s="576">
        <f t="shared" si="372"/>
        <v>0</v>
      </c>
      <c r="O1528" s="577">
        <f t="shared" si="377"/>
        <v>0</v>
      </c>
      <c r="P1528" s="578">
        <f t="shared" si="378"/>
        <v>0</v>
      </c>
      <c r="Q1528" s="765"/>
      <c r="R1528" s="576">
        <f t="shared" si="374"/>
        <v>0</v>
      </c>
      <c r="S1528" s="576">
        <f t="shared" si="374"/>
        <v>0</v>
      </c>
      <c r="T1528" s="577">
        <f t="shared" si="375"/>
        <v>0</v>
      </c>
      <c r="U1528" s="578">
        <f t="shared" si="376"/>
        <v>0</v>
      </c>
      <c r="V1528" s="579"/>
      <c r="W1528" s="566"/>
      <c r="X1528" s="586" t="str">
        <f t="shared" si="368"/>
        <v/>
      </c>
      <c r="Y1528" s="586" t="str">
        <f t="shared" si="373"/>
        <v/>
      </c>
      <c r="Z1528" s="586" t="str">
        <f t="shared" si="371"/>
        <v/>
      </c>
    </row>
    <row r="1529" spans="1:26" ht="23.25" hidden="1" thickBot="1" x14ac:dyDescent="0.25">
      <c r="A1529" s="567">
        <v>101655</v>
      </c>
      <c r="B1529" s="644">
        <v>101655</v>
      </c>
      <c r="C1529" s="645" t="s">
        <v>670</v>
      </c>
      <c r="D1529" s="422" t="s">
        <v>1375</v>
      </c>
      <c r="E1529" s="423"/>
      <c r="F1529" s="424"/>
      <c r="G1529" s="425"/>
      <c r="H1529" s="651"/>
      <c r="I1529" s="420">
        <v>500.81</v>
      </c>
      <c r="J1529" s="420">
        <f t="shared" si="370"/>
        <v>500.81</v>
      </c>
      <c r="K1529" s="421">
        <f t="shared" si="369"/>
        <v>595.01</v>
      </c>
      <c r="L1529" s="647" t="s">
        <v>2065</v>
      </c>
      <c r="M1529" s="576"/>
      <c r="N1529" s="576">
        <f t="shared" si="372"/>
        <v>0</v>
      </c>
      <c r="O1529" s="577">
        <f t="shared" si="377"/>
        <v>0</v>
      </c>
      <c r="P1529" s="578">
        <f t="shared" si="378"/>
        <v>0</v>
      </c>
      <c r="Q1529" s="765"/>
      <c r="R1529" s="576">
        <f t="shared" si="374"/>
        <v>0</v>
      </c>
      <c r="S1529" s="576">
        <f t="shared" si="374"/>
        <v>0</v>
      </c>
      <c r="T1529" s="577">
        <f t="shared" si="375"/>
        <v>0</v>
      </c>
      <c r="U1529" s="578">
        <f t="shared" si="376"/>
        <v>0</v>
      </c>
      <c r="V1529" s="579"/>
      <c r="W1529" s="566"/>
      <c r="X1529" s="586" t="str">
        <f t="shared" si="368"/>
        <v/>
      </c>
      <c r="Y1529" s="586" t="str">
        <f t="shared" si="373"/>
        <v/>
      </c>
      <c r="Z1529" s="586" t="str">
        <f t="shared" si="371"/>
        <v/>
      </c>
    </row>
    <row r="1530" spans="1:26" ht="23.25" hidden="1" thickBot="1" x14ac:dyDescent="0.25">
      <c r="A1530" s="567">
        <v>101656</v>
      </c>
      <c r="B1530" s="644">
        <v>101656</v>
      </c>
      <c r="C1530" s="645" t="s">
        <v>670</v>
      </c>
      <c r="D1530" s="422" t="s">
        <v>1376</v>
      </c>
      <c r="E1530" s="423"/>
      <c r="F1530" s="424"/>
      <c r="G1530" s="425"/>
      <c r="H1530" s="651"/>
      <c r="I1530" s="420">
        <v>546.08000000000004</v>
      </c>
      <c r="J1530" s="420">
        <f t="shared" si="370"/>
        <v>546.08000000000004</v>
      </c>
      <c r="K1530" s="421">
        <f t="shared" si="369"/>
        <v>648.79999999999995</v>
      </c>
      <c r="L1530" s="647" t="s">
        <v>2065</v>
      </c>
      <c r="M1530" s="576"/>
      <c r="N1530" s="576">
        <f t="shared" si="372"/>
        <v>0</v>
      </c>
      <c r="O1530" s="577">
        <f t="shared" si="377"/>
        <v>0</v>
      </c>
      <c r="P1530" s="578">
        <f t="shared" si="378"/>
        <v>0</v>
      </c>
      <c r="Q1530" s="765"/>
      <c r="R1530" s="576">
        <f t="shared" si="374"/>
        <v>0</v>
      </c>
      <c r="S1530" s="576">
        <f t="shared" si="374"/>
        <v>0</v>
      </c>
      <c r="T1530" s="577">
        <f t="shared" si="375"/>
        <v>0</v>
      </c>
      <c r="U1530" s="578">
        <f t="shared" si="376"/>
        <v>0</v>
      </c>
      <c r="V1530" s="579"/>
      <c r="W1530" s="566"/>
      <c r="X1530" s="586" t="str">
        <f t="shared" si="368"/>
        <v/>
      </c>
      <c r="Y1530" s="586" t="str">
        <f t="shared" si="373"/>
        <v/>
      </c>
      <c r="Z1530" s="586" t="str">
        <f t="shared" si="371"/>
        <v/>
      </c>
    </row>
    <row r="1531" spans="1:26" ht="23.25" hidden="1" thickBot="1" x14ac:dyDescent="0.25">
      <c r="A1531" s="567">
        <v>101657</v>
      </c>
      <c r="B1531" s="644">
        <v>101657</v>
      </c>
      <c r="C1531" s="645" t="s">
        <v>670</v>
      </c>
      <c r="D1531" s="422" t="s">
        <v>1377</v>
      </c>
      <c r="E1531" s="423"/>
      <c r="F1531" s="424"/>
      <c r="G1531" s="425"/>
      <c r="H1531" s="651"/>
      <c r="I1531" s="420">
        <v>642.5</v>
      </c>
      <c r="J1531" s="420">
        <f t="shared" si="370"/>
        <v>642.5</v>
      </c>
      <c r="K1531" s="421">
        <f t="shared" si="369"/>
        <v>763.35</v>
      </c>
      <c r="L1531" s="647" t="s">
        <v>2065</v>
      </c>
      <c r="M1531" s="576"/>
      <c r="N1531" s="576">
        <f t="shared" si="372"/>
        <v>0</v>
      </c>
      <c r="O1531" s="577">
        <f t="shared" si="377"/>
        <v>0</v>
      </c>
      <c r="P1531" s="578">
        <f t="shared" si="378"/>
        <v>0</v>
      </c>
      <c r="Q1531" s="765"/>
      <c r="R1531" s="576">
        <f t="shared" si="374"/>
        <v>0</v>
      </c>
      <c r="S1531" s="576">
        <f t="shared" si="374"/>
        <v>0</v>
      </c>
      <c r="T1531" s="577">
        <f t="shared" si="375"/>
        <v>0</v>
      </c>
      <c r="U1531" s="578">
        <f t="shared" si="376"/>
        <v>0</v>
      </c>
      <c r="V1531" s="579"/>
      <c r="W1531" s="566"/>
      <c r="X1531" s="586" t="str">
        <f t="shared" si="368"/>
        <v/>
      </c>
      <c r="Y1531" s="586" t="str">
        <f t="shared" si="373"/>
        <v/>
      </c>
      <c r="Z1531" s="586" t="str">
        <f t="shared" si="371"/>
        <v/>
      </c>
    </row>
    <row r="1532" spans="1:26" ht="23.25" hidden="1" thickBot="1" x14ac:dyDescent="0.25">
      <c r="A1532" s="567">
        <v>101658</v>
      </c>
      <c r="B1532" s="644">
        <v>101658</v>
      </c>
      <c r="C1532" s="645" t="s">
        <v>670</v>
      </c>
      <c r="D1532" s="422" t="s">
        <v>1378</v>
      </c>
      <c r="E1532" s="423"/>
      <c r="F1532" s="424"/>
      <c r="G1532" s="425"/>
      <c r="H1532" s="651"/>
      <c r="I1532" s="420">
        <v>840.76</v>
      </c>
      <c r="J1532" s="420">
        <f t="shared" si="370"/>
        <v>840.76</v>
      </c>
      <c r="K1532" s="421">
        <f t="shared" si="369"/>
        <v>998.91</v>
      </c>
      <c r="L1532" s="647" t="s">
        <v>2065</v>
      </c>
      <c r="M1532" s="576"/>
      <c r="N1532" s="576">
        <f t="shared" si="372"/>
        <v>0</v>
      </c>
      <c r="O1532" s="577">
        <f t="shared" si="377"/>
        <v>0</v>
      </c>
      <c r="P1532" s="578">
        <f t="shared" si="378"/>
        <v>0</v>
      </c>
      <c r="Q1532" s="765"/>
      <c r="R1532" s="576">
        <f t="shared" si="374"/>
        <v>0</v>
      </c>
      <c r="S1532" s="576">
        <f t="shared" si="374"/>
        <v>0</v>
      </c>
      <c r="T1532" s="577">
        <f t="shared" si="375"/>
        <v>0</v>
      </c>
      <c r="U1532" s="578">
        <f t="shared" si="376"/>
        <v>0</v>
      </c>
      <c r="V1532" s="579"/>
      <c r="W1532" s="566"/>
      <c r="X1532" s="586" t="str">
        <f t="shared" si="368"/>
        <v/>
      </c>
      <c r="Y1532" s="586" t="str">
        <f t="shared" si="373"/>
        <v/>
      </c>
      <c r="Z1532" s="586" t="str">
        <f t="shared" si="371"/>
        <v/>
      </c>
    </row>
    <row r="1533" spans="1:26" ht="23.25" hidden="1" thickBot="1" x14ac:dyDescent="0.25">
      <c r="A1533" s="567">
        <v>101659</v>
      </c>
      <c r="B1533" s="644">
        <v>101659</v>
      </c>
      <c r="C1533" s="645" t="s">
        <v>670</v>
      </c>
      <c r="D1533" s="422" t="s">
        <v>1379</v>
      </c>
      <c r="E1533" s="423"/>
      <c r="F1533" s="424"/>
      <c r="G1533" s="425"/>
      <c r="H1533" s="651"/>
      <c r="I1533" s="420">
        <v>964.07</v>
      </c>
      <c r="J1533" s="420">
        <f t="shared" si="370"/>
        <v>964.07</v>
      </c>
      <c r="K1533" s="421">
        <f t="shared" si="369"/>
        <v>1145.4100000000001</v>
      </c>
      <c r="L1533" s="647" t="s">
        <v>2065</v>
      </c>
      <c r="M1533" s="576"/>
      <c r="N1533" s="576">
        <f t="shared" si="372"/>
        <v>0</v>
      </c>
      <c r="O1533" s="577">
        <f t="shared" si="377"/>
        <v>0</v>
      </c>
      <c r="P1533" s="578">
        <f t="shared" si="378"/>
        <v>0</v>
      </c>
      <c r="Q1533" s="765"/>
      <c r="R1533" s="576">
        <f t="shared" si="374"/>
        <v>0</v>
      </c>
      <c r="S1533" s="576">
        <f t="shared" si="374"/>
        <v>0</v>
      </c>
      <c r="T1533" s="577">
        <f t="shared" si="375"/>
        <v>0</v>
      </c>
      <c r="U1533" s="578">
        <f t="shared" si="376"/>
        <v>0</v>
      </c>
      <c r="V1533" s="579"/>
      <c r="W1533" s="566"/>
      <c r="X1533" s="586" t="str">
        <f t="shared" ref="X1533:X1596" si="379">IF(W1533="X","x",IF(W1533="xx","x",IF(W1533="xy","x",IF(W1533="y","x",IF(OR(P1533&gt;0,U1533&gt;0),"x","")))))</f>
        <v/>
      </c>
      <c r="Y1533" s="586" t="str">
        <f t="shared" si="373"/>
        <v/>
      </c>
      <c r="Z1533" s="586" t="str">
        <f t="shared" si="371"/>
        <v/>
      </c>
    </row>
    <row r="1534" spans="1:26" ht="23.25" hidden="1" thickBot="1" x14ac:dyDescent="0.25">
      <c r="A1534" s="567">
        <v>101660</v>
      </c>
      <c r="B1534" s="644">
        <v>101660</v>
      </c>
      <c r="C1534" s="645" t="s">
        <v>670</v>
      </c>
      <c r="D1534" s="422" t="s">
        <v>1380</v>
      </c>
      <c r="E1534" s="423"/>
      <c r="F1534" s="424"/>
      <c r="G1534" s="425"/>
      <c r="H1534" s="651"/>
      <c r="I1534" s="420">
        <v>1546.17</v>
      </c>
      <c r="J1534" s="420">
        <f t="shared" si="370"/>
        <v>1546.17</v>
      </c>
      <c r="K1534" s="421">
        <f t="shared" si="369"/>
        <v>1837</v>
      </c>
      <c r="L1534" s="647" t="s">
        <v>2065</v>
      </c>
      <c r="M1534" s="576"/>
      <c r="N1534" s="576">
        <f t="shared" si="372"/>
        <v>0</v>
      </c>
      <c r="O1534" s="577">
        <f t="shared" si="377"/>
        <v>0</v>
      </c>
      <c r="P1534" s="578">
        <f t="shared" si="378"/>
        <v>0</v>
      </c>
      <c r="Q1534" s="765"/>
      <c r="R1534" s="576">
        <f t="shared" si="374"/>
        <v>0</v>
      </c>
      <c r="S1534" s="576">
        <f t="shared" si="374"/>
        <v>0</v>
      </c>
      <c r="T1534" s="577">
        <f t="shared" si="375"/>
        <v>0</v>
      </c>
      <c r="U1534" s="578">
        <f t="shared" si="376"/>
        <v>0</v>
      </c>
      <c r="V1534" s="579"/>
      <c r="W1534" s="566"/>
      <c r="X1534" s="586" t="str">
        <f t="shared" si="379"/>
        <v/>
      </c>
      <c r="Y1534" s="586" t="str">
        <f t="shared" si="373"/>
        <v/>
      </c>
      <c r="Z1534" s="586" t="str">
        <f t="shared" si="371"/>
        <v/>
      </c>
    </row>
    <row r="1535" spans="1:26" ht="23.25" hidden="1" thickBot="1" x14ac:dyDescent="0.25">
      <c r="A1535" s="567">
        <v>97606</v>
      </c>
      <c r="B1535" s="644">
        <v>97606</v>
      </c>
      <c r="C1535" s="645" t="s">
        <v>670</v>
      </c>
      <c r="D1535" s="422" t="s">
        <v>1381</v>
      </c>
      <c r="E1535" s="423"/>
      <c r="F1535" s="424"/>
      <c r="G1535" s="425"/>
      <c r="H1535" s="651"/>
      <c r="I1535" s="420">
        <v>135.91999999999999</v>
      </c>
      <c r="J1535" s="420">
        <f t="shared" si="370"/>
        <v>135.91999999999999</v>
      </c>
      <c r="K1535" s="421">
        <f t="shared" si="369"/>
        <v>161.49</v>
      </c>
      <c r="L1535" s="647" t="s">
        <v>2065</v>
      </c>
      <c r="M1535" s="576"/>
      <c r="N1535" s="576">
        <f t="shared" si="372"/>
        <v>0</v>
      </c>
      <c r="O1535" s="577">
        <f t="shared" si="377"/>
        <v>0</v>
      </c>
      <c r="P1535" s="578">
        <f t="shared" si="378"/>
        <v>0</v>
      </c>
      <c r="Q1535" s="765"/>
      <c r="R1535" s="576">
        <f t="shared" si="374"/>
        <v>0</v>
      </c>
      <c r="S1535" s="576">
        <f t="shared" si="374"/>
        <v>0</v>
      </c>
      <c r="T1535" s="577">
        <f t="shared" si="375"/>
        <v>0</v>
      </c>
      <c r="U1535" s="578">
        <f t="shared" si="376"/>
        <v>0</v>
      </c>
      <c r="V1535" s="579"/>
      <c r="W1535" s="566"/>
      <c r="X1535" s="586" t="str">
        <f t="shared" si="379"/>
        <v/>
      </c>
      <c r="Y1535" s="586" t="str">
        <f t="shared" si="373"/>
        <v/>
      </c>
      <c r="Z1535" s="586" t="str">
        <f t="shared" si="371"/>
        <v/>
      </c>
    </row>
    <row r="1536" spans="1:26" ht="23.25" hidden="1" thickBot="1" x14ac:dyDescent="0.25">
      <c r="A1536" s="567">
        <v>97607</v>
      </c>
      <c r="B1536" s="644">
        <v>97607</v>
      </c>
      <c r="C1536" s="645" t="s">
        <v>670</v>
      </c>
      <c r="D1536" s="422" t="s">
        <v>1382</v>
      </c>
      <c r="E1536" s="423"/>
      <c r="F1536" s="424"/>
      <c r="G1536" s="425"/>
      <c r="H1536" s="651"/>
      <c r="I1536" s="420">
        <v>152.28</v>
      </c>
      <c r="J1536" s="420">
        <f t="shared" si="370"/>
        <v>152.28</v>
      </c>
      <c r="K1536" s="421">
        <f t="shared" si="369"/>
        <v>180.92</v>
      </c>
      <c r="L1536" s="647" t="s">
        <v>2065</v>
      </c>
      <c r="M1536" s="576"/>
      <c r="N1536" s="576">
        <f t="shared" si="372"/>
        <v>0</v>
      </c>
      <c r="O1536" s="577">
        <f t="shared" si="377"/>
        <v>0</v>
      </c>
      <c r="P1536" s="578">
        <f t="shared" si="378"/>
        <v>0</v>
      </c>
      <c r="Q1536" s="765"/>
      <c r="R1536" s="576">
        <f t="shared" si="374"/>
        <v>0</v>
      </c>
      <c r="S1536" s="576">
        <f t="shared" si="374"/>
        <v>0</v>
      </c>
      <c r="T1536" s="577">
        <f t="shared" si="375"/>
        <v>0</v>
      </c>
      <c r="U1536" s="578">
        <f t="shared" si="376"/>
        <v>0</v>
      </c>
      <c r="V1536" s="579"/>
      <c r="W1536" s="566"/>
      <c r="X1536" s="586" t="str">
        <f t="shared" si="379"/>
        <v/>
      </c>
      <c r="Y1536" s="586" t="str">
        <f t="shared" si="373"/>
        <v/>
      </c>
      <c r="Z1536" s="586" t="str">
        <f t="shared" si="371"/>
        <v/>
      </c>
    </row>
    <row r="1537" spans="1:26" ht="23.25" hidden="1" thickBot="1" x14ac:dyDescent="0.25">
      <c r="A1537" s="567">
        <v>97608</v>
      </c>
      <c r="B1537" s="644">
        <v>97608</v>
      </c>
      <c r="C1537" s="645" t="s">
        <v>670</v>
      </c>
      <c r="D1537" s="422" t="s">
        <v>1383</v>
      </c>
      <c r="E1537" s="423"/>
      <c r="F1537" s="424"/>
      <c r="G1537" s="425"/>
      <c r="H1537" s="651"/>
      <c r="I1537" s="420">
        <v>162.63999999999999</v>
      </c>
      <c r="J1537" s="420">
        <f t="shared" si="370"/>
        <v>162.63999999999999</v>
      </c>
      <c r="K1537" s="421">
        <f t="shared" si="369"/>
        <v>193.23</v>
      </c>
      <c r="L1537" s="647" t="s">
        <v>2065</v>
      </c>
      <c r="M1537" s="576"/>
      <c r="N1537" s="576">
        <f t="shared" si="372"/>
        <v>0</v>
      </c>
      <c r="O1537" s="577">
        <f t="shared" si="377"/>
        <v>0</v>
      </c>
      <c r="P1537" s="578">
        <f t="shared" si="378"/>
        <v>0</v>
      </c>
      <c r="Q1537" s="765"/>
      <c r="R1537" s="576">
        <f t="shared" si="374"/>
        <v>0</v>
      </c>
      <c r="S1537" s="576">
        <f t="shared" si="374"/>
        <v>0</v>
      </c>
      <c r="T1537" s="577">
        <f t="shared" si="375"/>
        <v>0</v>
      </c>
      <c r="U1537" s="578">
        <f t="shared" si="376"/>
        <v>0</v>
      </c>
      <c r="V1537" s="579"/>
      <c r="W1537" s="566"/>
      <c r="X1537" s="586" t="str">
        <f t="shared" si="379"/>
        <v/>
      </c>
      <c r="Y1537" s="586" t="str">
        <f t="shared" si="373"/>
        <v/>
      </c>
      <c r="Z1537" s="586" t="str">
        <f t="shared" si="371"/>
        <v/>
      </c>
    </row>
    <row r="1538" spans="1:26" ht="12" hidden="1" thickBot="1" x14ac:dyDescent="0.25">
      <c r="A1538" s="567">
        <v>100902</v>
      </c>
      <c r="B1538" s="644">
        <v>100902</v>
      </c>
      <c r="C1538" s="645" t="s">
        <v>670</v>
      </c>
      <c r="D1538" s="422" t="s">
        <v>1384</v>
      </c>
      <c r="E1538" s="423"/>
      <c r="F1538" s="424"/>
      <c r="G1538" s="425"/>
      <c r="H1538" s="651"/>
      <c r="I1538" s="420">
        <v>28.34</v>
      </c>
      <c r="J1538" s="420">
        <f t="shared" si="370"/>
        <v>28.34</v>
      </c>
      <c r="K1538" s="421">
        <f t="shared" si="369"/>
        <v>33.67</v>
      </c>
      <c r="L1538" s="647" t="s">
        <v>2065</v>
      </c>
      <c r="M1538" s="576"/>
      <c r="N1538" s="576">
        <f t="shared" si="372"/>
        <v>0</v>
      </c>
      <c r="O1538" s="577">
        <f t="shared" si="377"/>
        <v>0</v>
      </c>
      <c r="P1538" s="578">
        <f t="shared" si="378"/>
        <v>0</v>
      </c>
      <c r="Q1538" s="765"/>
      <c r="R1538" s="576">
        <f t="shared" si="374"/>
        <v>0</v>
      </c>
      <c r="S1538" s="576">
        <f t="shared" si="374"/>
        <v>0</v>
      </c>
      <c r="T1538" s="577">
        <f t="shared" si="375"/>
        <v>0</v>
      </c>
      <c r="U1538" s="578">
        <f t="shared" si="376"/>
        <v>0</v>
      </c>
      <c r="V1538" s="579"/>
      <c r="W1538" s="566"/>
      <c r="X1538" s="586" t="str">
        <f t="shared" si="379"/>
        <v/>
      </c>
      <c r="Y1538" s="586" t="str">
        <f t="shared" si="373"/>
        <v/>
      </c>
      <c r="Z1538" s="586" t="str">
        <f t="shared" si="371"/>
        <v/>
      </c>
    </row>
    <row r="1539" spans="1:26" ht="12" hidden="1" thickBot="1" x14ac:dyDescent="0.25">
      <c r="A1539" s="567">
        <v>100903</v>
      </c>
      <c r="B1539" s="644">
        <v>100903</v>
      </c>
      <c r="C1539" s="645" t="s">
        <v>670</v>
      </c>
      <c r="D1539" s="422" t="s">
        <v>1385</v>
      </c>
      <c r="E1539" s="423"/>
      <c r="F1539" s="424"/>
      <c r="G1539" s="425"/>
      <c r="H1539" s="651"/>
      <c r="I1539" s="420">
        <v>33.5</v>
      </c>
      <c r="J1539" s="420">
        <f t="shared" si="370"/>
        <v>33.5</v>
      </c>
      <c r="K1539" s="421">
        <f t="shared" si="369"/>
        <v>39.799999999999997</v>
      </c>
      <c r="L1539" s="647" t="s">
        <v>2065</v>
      </c>
      <c r="M1539" s="576"/>
      <c r="N1539" s="576">
        <f t="shared" si="372"/>
        <v>0</v>
      </c>
      <c r="O1539" s="577">
        <f t="shared" si="377"/>
        <v>0</v>
      </c>
      <c r="P1539" s="578">
        <f t="shared" si="378"/>
        <v>0</v>
      </c>
      <c r="Q1539" s="765"/>
      <c r="R1539" s="576">
        <f t="shared" si="374"/>
        <v>0</v>
      </c>
      <c r="S1539" s="576">
        <f t="shared" si="374"/>
        <v>0</v>
      </c>
      <c r="T1539" s="577">
        <f t="shared" si="375"/>
        <v>0</v>
      </c>
      <c r="U1539" s="578">
        <f t="shared" si="376"/>
        <v>0</v>
      </c>
      <c r="V1539" s="579"/>
      <c r="W1539" s="566"/>
      <c r="X1539" s="586" t="str">
        <f t="shared" si="379"/>
        <v/>
      </c>
      <c r="Y1539" s="586" t="str">
        <f t="shared" si="373"/>
        <v/>
      </c>
      <c r="Z1539" s="586" t="str">
        <f t="shared" si="371"/>
        <v/>
      </c>
    </row>
    <row r="1540" spans="1:26" ht="23.25" hidden="1" thickBot="1" x14ac:dyDescent="0.25">
      <c r="A1540" s="567">
        <v>100904</v>
      </c>
      <c r="B1540" s="644">
        <v>100904</v>
      </c>
      <c r="C1540" s="645" t="s">
        <v>670</v>
      </c>
      <c r="D1540" s="422" t="s">
        <v>1386</v>
      </c>
      <c r="E1540" s="423"/>
      <c r="F1540" s="424"/>
      <c r="G1540" s="425"/>
      <c r="H1540" s="651"/>
      <c r="I1540" s="420">
        <v>120.49</v>
      </c>
      <c r="J1540" s="420">
        <f t="shared" si="370"/>
        <v>120.49</v>
      </c>
      <c r="K1540" s="421">
        <f t="shared" si="369"/>
        <v>143.15</v>
      </c>
      <c r="L1540" s="647" t="s">
        <v>2065</v>
      </c>
      <c r="M1540" s="576"/>
      <c r="N1540" s="576">
        <f t="shared" si="372"/>
        <v>0</v>
      </c>
      <c r="O1540" s="577">
        <f t="shared" si="377"/>
        <v>0</v>
      </c>
      <c r="P1540" s="578">
        <f t="shared" si="378"/>
        <v>0</v>
      </c>
      <c r="Q1540" s="765"/>
      <c r="R1540" s="576">
        <f t="shared" si="374"/>
        <v>0</v>
      </c>
      <c r="S1540" s="576">
        <f t="shared" si="374"/>
        <v>0</v>
      </c>
      <c r="T1540" s="577">
        <f t="shared" si="375"/>
        <v>0</v>
      </c>
      <c r="U1540" s="578">
        <f t="shared" si="376"/>
        <v>0</v>
      </c>
      <c r="V1540" s="579"/>
      <c r="W1540" s="566"/>
      <c r="X1540" s="586" t="str">
        <f t="shared" si="379"/>
        <v/>
      </c>
      <c r="Y1540" s="586" t="str">
        <f t="shared" si="373"/>
        <v/>
      </c>
      <c r="Z1540" s="586" t="str">
        <f t="shared" si="371"/>
        <v/>
      </c>
    </row>
    <row r="1541" spans="1:26" ht="23.25" hidden="1" thickBot="1" x14ac:dyDescent="0.25">
      <c r="A1541" s="567">
        <v>100905</v>
      </c>
      <c r="B1541" s="644">
        <v>100905</v>
      </c>
      <c r="C1541" s="645" t="s">
        <v>670</v>
      </c>
      <c r="D1541" s="422" t="s">
        <v>1387</v>
      </c>
      <c r="E1541" s="423"/>
      <c r="F1541" s="424"/>
      <c r="G1541" s="425"/>
      <c r="H1541" s="651"/>
      <c r="I1541" s="420">
        <v>326.97000000000003</v>
      </c>
      <c r="J1541" s="420">
        <f t="shared" si="370"/>
        <v>326.97000000000003</v>
      </c>
      <c r="K1541" s="421">
        <f t="shared" si="369"/>
        <v>388.47</v>
      </c>
      <c r="L1541" s="647" t="s">
        <v>2065</v>
      </c>
      <c r="M1541" s="576"/>
      <c r="N1541" s="576">
        <f t="shared" si="372"/>
        <v>0</v>
      </c>
      <c r="O1541" s="577">
        <f t="shared" si="377"/>
        <v>0</v>
      </c>
      <c r="P1541" s="578">
        <f t="shared" si="378"/>
        <v>0</v>
      </c>
      <c r="Q1541" s="765"/>
      <c r="R1541" s="576">
        <f t="shared" si="374"/>
        <v>0</v>
      </c>
      <c r="S1541" s="576">
        <f t="shared" si="374"/>
        <v>0</v>
      </c>
      <c r="T1541" s="577">
        <f t="shared" si="375"/>
        <v>0</v>
      </c>
      <c r="U1541" s="578">
        <f t="shared" si="376"/>
        <v>0</v>
      </c>
      <c r="V1541" s="579"/>
      <c r="W1541" s="566"/>
      <c r="X1541" s="586" t="str">
        <f t="shared" si="379"/>
        <v/>
      </c>
      <c r="Y1541" s="586" t="str">
        <f t="shared" si="373"/>
        <v/>
      </c>
      <c r="Z1541" s="586" t="str">
        <f t="shared" si="371"/>
        <v/>
      </c>
    </row>
    <row r="1542" spans="1:26" ht="23.25" hidden="1" thickBot="1" x14ac:dyDescent="0.25">
      <c r="A1542" s="567">
        <v>100906</v>
      </c>
      <c r="B1542" s="644">
        <v>100906</v>
      </c>
      <c r="C1542" s="645" t="s">
        <v>670</v>
      </c>
      <c r="D1542" s="422" t="s">
        <v>1388</v>
      </c>
      <c r="E1542" s="423"/>
      <c r="F1542" s="424"/>
      <c r="G1542" s="425"/>
      <c r="H1542" s="651"/>
      <c r="I1542" s="420">
        <v>449.21</v>
      </c>
      <c r="J1542" s="420">
        <f t="shared" si="370"/>
        <v>449.21</v>
      </c>
      <c r="K1542" s="421">
        <f t="shared" si="369"/>
        <v>533.71</v>
      </c>
      <c r="L1542" s="647" t="s">
        <v>2065</v>
      </c>
      <c r="M1542" s="576"/>
      <c r="N1542" s="576">
        <f t="shared" si="372"/>
        <v>0</v>
      </c>
      <c r="O1542" s="577">
        <f t="shared" si="377"/>
        <v>0</v>
      </c>
      <c r="P1542" s="578">
        <f t="shared" si="378"/>
        <v>0</v>
      </c>
      <c r="Q1542" s="765"/>
      <c r="R1542" s="576">
        <f t="shared" si="374"/>
        <v>0</v>
      </c>
      <c r="S1542" s="576">
        <f t="shared" si="374"/>
        <v>0</v>
      </c>
      <c r="T1542" s="577">
        <f t="shared" si="375"/>
        <v>0</v>
      </c>
      <c r="U1542" s="578">
        <f t="shared" si="376"/>
        <v>0</v>
      </c>
      <c r="V1542" s="579"/>
      <c r="W1542" s="566"/>
      <c r="X1542" s="586" t="str">
        <f t="shared" si="379"/>
        <v/>
      </c>
      <c r="Y1542" s="586" t="str">
        <f t="shared" si="373"/>
        <v/>
      </c>
      <c r="Z1542" s="586" t="str">
        <f t="shared" si="371"/>
        <v/>
      </c>
    </row>
    <row r="1543" spans="1:26" ht="23.25" hidden="1" thickBot="1" x14ac:dyDescent="0.25">
      <c r="A1543" s="567">
        <v>100919</v>
      </c>
      <c r="B1543" s="644">
        <v>100919</v>
      </c>
      <c r="C1543" s="645" t="s">
        <v>670</v>
      </c>
      <c r="D1543" s="422" t="s">
        <v>1389</v>
      </c>
      <c r="E1543" s="423"/>
      <c r="F1543" s="424"/>
      <c r="G1543" s="425"/>
      <c r="H1543" s="651"/>
      <c r="I1543" s="420">
        <v>79.510000000000005</v>
      </c>
      <c r="J1543" s="420">
        <f t="shared" si="370"/>
        <v>79.510000000000005</v>
      </c>
      <c r="K1543" s="421">
        <f t="shared" si="369"/>
        <v>94.47</v>
      </c>
      <c r="L1543" s="647" t="s">
        <v>2065</v>
      </c>
      <c r="M1543" s="576"/>
      <c r="N1543" s="576">
        <f t="shared" si="372"/>
        <v>0</v>
      </c>
      <c r="O1543" s="577">
        <f t="shared" si="377"/>
        <v>0</v>
      </c>
      <c r="P1543" s="578">
        <f t="shared" si="378"/>
        <v>0</v>
      </c>
      <c r="Q1543" s="765"/>
      <c r="R1543" s="576">
        <f t="shared" si="374"/>
        <v>0</v>
      </c>
      <c r="S1543" s="576">
        <f t="shared" si="374"/>
        <v>0</v>
      </c>
      <c r="T1543" s="577">
        <f t="shared" si="375"/>
        <v>0</v>
      </c>
      <c r="U1543" s="578">
        <f t="shared" si="376"/>
        <v>0</v>
      </c>
      <c r="V1543" s="579"/>
      <c r="W1543" s="566"/>
      <c r="X1543" s="586" t="str">
        <f t="shared" si="379"/>
        <v/>
      </c>
      <c r="Y1543" s="586" t="str">
        <f t="shared" si="373"/>
        <v/>
      </c>
      <c r="Z1543" s="586" t="str">
        <f t="shared" si="371"/>
        <v/>
      </c>
    </row>
    <row r="1544" spans="1:26" ht="23.25" hidden="1" thickBot="1" x14ac:dyDescent="0.25">
      <c r="A1544" s="567">
        <v>100920</v>
      </c>
      <c r="B1544" s="644">
        <v>100920</v>
      </c>
      <c r="C1544" s="645" t="s">
        <v>670</v>
      </c>
      <c r="D1544" s="422" t="s">
        <v>1390</v>
      </c>
      <c r="E1544" s="423"/>
      <c r="F1544" s="424"/>
      <c r="G1544" s="425"/>
      <c r="H1544" s="651"/>
      <c r="I1544" s="420">
        <v>135.91999999999999</v>
      </c>
      <c r="J1544" s="420">
        <f t="shared" si="370"/>
        <v>135.91999999999999</v>
      </c>
      <c r="K1544" s="421">
        <f t="shared" si="369"/>
        <v>161.49</v>
      </c>
      <c r="L1544" s="647" t="s">
        <v>2065</v>
      </c>
      <c r="M1544" s="576"/>
      <c r="N1544" s="576">
        <f t="shared" si="372"/>
        <v>0</v>
      </c>
      <c r="O1544" s="577">
        <f t="shared" si="377"/>
        <v>0</v>
      </c>
      <c r="P1544" s="578">
        <f t="shared" si="378"/>
        <v>0</v>
      </c>
      <c r="Q1544" s="765"/>
      <c r="R1544" s="576">
        <f t="shared" si="374"/>
        <v>0</v>
      </c>
      <c r="S1544" s="576">
        <f t="shared" si="374"/>
        <v>0</v>
      </c>
      <c r="T1544" s="577">
        <f t="shared" si="375"/>
        <v>0</v>
      </c>
      <c r="U1544" s="578">
        <f t="shared" si="376"/>
        <v>0</v>
      </c>
      <c r="V1544" s="579"/>
      <c r="W1544" s="566"/>
      <c r="X1544" s="586" t="str">
        <f t="shared" si="379"/>
        <v/>
      </c>
      <c r="Y1544" s="586" t="str">
        <f t="shared" si="373"/>
        <v/>
      </c>
      <c r="Z1544" s="586" t="str">
        <f t="shared" si="371"/>
        <v/>
      </c>
    </row>
    <row r="1545" spans="1:26" ht="12" hidden="1" thickBot="1" x14ac:dyDescent="0.25">
      <c r="A1545" s="567">
        <v>97609</v>
      </c>
      <c r="B1545" s="644">
        <v>97609</v>
      </c>
      <c r="C1545" s="645" t="s">
        <v>670</v>
      </c>
      <c r="D1545" s="422" t="s">
        <v>1391</v>
      </c>
      <c r="E1545" s="423"/>
      <c r="F1545" s="424"/>
      <c r="G1545" s="425"/>
      <c r="H1545" s="651"/>
      <c r="I1545" s="420">
        <v>17.55</v>
      </c>
      <c r="J1545" s="420">
        <f t="shared" si="370"/>
        <v>17.55</v>
      </c>
      <c r="K1545" s="421">
        <f t="shared" ref="K1545:K1608" si="380">IF(ISBLANK(I1545),0,ROUND(J1545*(1+$F$10)*(1+$F$11*E1545),2))</f>
        <v>20.85</v>
      </c>
      <c r="L1545" s="647" t="s">
        <v>2065</v>
      </c>
      <c r="M1545" s="576"/>
      <c r="N1545" s="576">
        <f t="shared" si="372"/>
        <v>0</v>
      </c>
      <c r="O1545" s="577">
        <f t="shared" si="377"/>
        <v>0</v>
      </c>
      <c r="P1545" s="578">
        <f t="shared" si="378"/>
        <v>0</v>
      </c>
      <c r="Q1545" s="765"/>
      <c r="R1545" s="576">
        <f t="shared" si="374"/>
        <v>0</v>
      </c>
      <c r="S1545" s="576">
        <f t="shared" si="374"/>
        <v>0</v>
      </c>
      <c r="T1545" s="577">
        <f t="shared" si="375"/>
        <v>0</v>
      </c>
      <c r="U1545" s="578">
        <f t="shared" si="376"/>
        <v>0</v>
      </c>
      <c r="V1545" s="579"/>
      <c r="W1545" s="566"/>
      <c r="X1545" s="586" t="str">
        <f t="shared" si="379"/>
        <v/>
      </c>
      <c r="Y1545" s="586" t="str">
        <f t="shared" si="373"/>
        <v/>
      </c>
      <c r="Z1545" s="586" t="str">
        <f t="shared" si="371"/>
        <v/>
      </c>
    </row>
    <row r="1546" spans="1:26" ht="12" hidden="1" thickBot="1" x14ac:dyDescent="0.25">
      <c r="A1546" s="567">
        <v>97610</v>
      </c>
      <c r="B1546" s="644">
        <v>97610</v>
      </c>
      <c r="C1546" s="645" t="s">
        <v>670</v>
      </c>
      <c r="D1546" s="422" t="s">
        <v>1392</v>
      </c>
      <c r="E1546" s="423"/>
      <c r="F1546" s="424"/>
      <c r="G1546" s="425"/>
      <c r="H1546" s="651"/>
      <c r="I1546" s="420">
        <v>18.72</v>
      </c>
      <c r="J1546" s="420">
        <f t="shared" si="370"/>
        <v>18.72</v>
      </c>
      <c r="K1546" s="421">
        <f t="shared" si="380"/>
        <v>22.24</v>
      </c>
      <c r="L1546" s="647" t="s">
        <v>2065</v>
      </c>
      <c r="M1546" s="576"/>
      <c r="N1546" s="576">
        <f t="shared" si="372"/>
        <v>0</v>
      </c>
      <c r="O1546" s="577">
        <f t="shared" si="377"/>
        <v>0</v>
      </c>
      <c r="P1546" s="578">
        <f t="shared" si="378"/>
        <v>0</v>
      </c>
      <c r="Q1546" s="765"/>
      <c r="R1546" s="576">
        <f t="shared" si="374"/>
        <v>0</v>
      </c>
      <c r="S1546" s="576">
        <f t="shared" si="374"/>
        <v>0</v>
      </c>
      <c r="T1546" s="577">
        <f t="shared" si="375"/>
        <v>0</v>
      </c>
      <c r="U1546" s="578">
        <f t="shared" si="376"/>
        <v>0</v>
      </c>
      <c r="V1546" s="579"/>
      <c r="W1546" s="566"/>
      <c r="X1546" s="586" t="str">
        <f t="shared" si="379"/>
        <v/>
      </c>
      <c r="Y1546" s="586" t="str">
        <f t="shared" si="373"/>
        <v/>
      </c>
      <c r="Z1546" s="586" t="str">
        <f t="shared" si="371"/>
        <v/>
      </c>
    </row>
    <row r="1547" spans="1:26" ht="23.25" hidden="1" thickBot="1" x14ac:dyDescent="0.25">
      <c r="A1547" s="567">
        <v>101537</v>
      </c>
      <c r="B1547" s="644">
        <v>101537</v>
      </c>
      <c r="C1547" s="645" t="s">
        <v>670</v>
      </c>
      <c r="D1547" s="422" t="s">
        <v>1393</v>
      </c>
      <c r="E1547" s="423"/>
      <c r="F1547" s="424"/>
      <c r="G1547" s="425"/>
      <c r="H1547" s="651"/>
      <c r="I1547" s="420">
        <v>140.06</v>
      </c>
      <c r="J1547" s="420">
        <f t="shared" si="370"/>
        <v>140.06</v>
      </c>
      <c r="K1547" s="421">
        <f t="shared" si="380"/>
        <v>166.41</v>
      </c>
      <c r="L1547" s="647" t="s">
        <v>2065</v>
      </c>
      <c r="M1547" s="576"/>
      <c r="N1547" s="576">
        <f t="shared" si="372"/>
        <v>0</v>
      </c>
      <c r="O1547" s="577">
        <f t="shared" si="377"/>
        <v>0</v>
      </c>
      <c r="P1547" s="578">
        <f t="shared" si="378"/>
        <v>0</v>
      </c>
      <c r="Q1547" s="765"/>
      <c r="R1547" s="576">
        <f t="shared" si="374"/>
        <v>0</v>
      </c>
      <c r="S1547" s="576">
        <f t="shared" si="374"/>
        <v>0</v>
      </c>
      <c r="T1547" s="577">
        <f t="shared" si="375"/>
        <v>0</v>
      </c>
      <c r="U1547" s="578">
        <f t="shared" si="376"/>
        <v>0</v>
      </c>
      <c r="V1547" s="579"/>
      <c r="W1547" s="566"/>
      <c r="X1547" s="586" t="str">
        <f t="shared" si="379"/>
        <v/>
      </c>
      <c r="Y1547" s="586" t="str">
        <f t="shared" si="373"/>
        <v/>
      </c>
      <c r="Z1547" s="586" t="str">
        <f t="shared" si="371"/>
        <v/>
      </c>
    </row>
    <row r="1548" spans="1:26" ht="12" hidden="1" thickBot="1" x14ac:dyDescent="0.25">
      <c r="A1548" s="567">
        <v>97054</v>
      </c>
      <c r="B1548" s="644">
        <v>97054</v>
      </c>
      <c r="C1548" s="645" t="s">
        <v>670</v>
      </c>
      <c r="D1548" s="422" t="s">
        <v>1394</v>
      </c>
      <c r="E1548" s="423"/>
      <c r="F1548" s="424"/>
      <c r="G1548" s="425"/>
      <c r="H1548" s="651"/>
      <c r="I1548" s="420">
        <v>29.87</v>
      </c>
      <c r="J1548" s="420">
        <f t="shared" si="370"/>
        <v>29.87</v>
      </c>
      <c r="K1548" s="421">
        <f t="shared" si="380"/>
        <v>35.49</v>
      </c>
      <c r="L1548" s="647" t="s">
        <v>2065</v>
      </c>
      <c r="M1548" s="576"/>
      <c r="N1548" s="576">
        <f t="shared" si="372"/>
        <v>0</v>
      </c>
      <c r="O1548" s="577">
        <f t="shared" si="377"/>
        <v>0</v>
      </c>
      <c r="P1548" s="578">
        <f t="shared" si="378"/>
        <v>0</v>
      </c>
      <c r="Q1548" s="765"/>
      <c r="R1548" s="576">
        <f t="shared" si="374"/>
        <v>0</v>
      </c>
      <c r="S1548" s="576">
        <f t="shared" si="374"/>
        <v>0</v>
      </c>
      <c r="T1548" s="577">
        <f t="shared" si="375"/>
        <v>0</v>
      </c>
      <c r="U1548" s="578">
        <f t="shared" si="376"/>
        <v>0</v>
      </c>
      <c r="V1548" s="579"/>
      <c r="W1548" s="566"/>
      <c r="X1548" s="586" t="str">
        <f t="shared" si="379"/>
        <v/>
      </c>
      <c r="Y1548" s="586" t="str">
        <f t="shared" si="373"/>
        <v/>
      </c>
      <c r="Z1548" s="586" t="str">
        <f t="shared" si="371"/>
        <v/>
      </c>
    </row>
    <row r="1549" spans="1:26" ht="12" hidden="1" thickBot="1" x14ac:dyDescent="0.25">
      <c r="A1549" s="567">
        <v>101538</v>
      </c>
      <c r="B1549" s="644">
        <v>101538</v>
      </c>
      <c r="C1549" s="645" t="s">
        <v>670</v>
      </c>
      <c r="D1549" s="422" t="s">
        <v>1395</v>
      </c>
      <c r="E1549" s="423"/>
      <c r="F1549" s="424"/>
      <c r="G1549" s="425"/>
      <c r="H1549" s="651"/>
      <c r="I1549" s="420">
        <v>33.700000000000003</v>
      </c>
      <c r="J1549" s="420">
        <f t="shared" si="370"/>
        <v>33.700000000000003</v>
      </c>
      <c r="K1549" s="421">
        <f t="shared" si="380"/>
        <v>40.04</v>
      </c>
      <c r="L1549" s="647" t="s">
        <v>2065</v>
      </c>
      <c r="M1549" s="576"/>
      <c r="N1549" s="576">
        <f t="shared" si="372"/>
        <v>0</v>
      </c>
      <c r="O1549" s="577">
        <f t="shared" si="377"/>
        <v>0</v>
      </c>
      <c r="P1549" s="578">
        <f t="shared" si="378"/>
        <v>0</v>
      </c>
      <c r="Q1549" s="765"/>
      <c r="R1549" s="576">
        <f t="shared" si="374"/>
        <v>0</v>
      </c>
      <c r="S1549" s="576">
        <f t="shared" si="374"/>
        <v>0</v>
      </c>
      <c r="T1549" s="577">
        <f t="shared" si="375"/>
        <v>0</v>
      </c>
      <c r="U1549" s="578">
        <f t="shared" si="376"/>
        <v>0</v>
      </c>
      <c r="V1549" s="579"/>
      <c r="W1549" s="566"/>
      <c r="X1549" s="586" t="str">
        <f t="shared" si="379"/>
        <v/>
      </c>
      <c r="Y1549" s="586" t="str">
        <f t="shared" si="373"/>
        <v/>
      </c>
      <c r="Z1549" s="586" t="str">
        <f t="shared" si="371"/>
        <v/>
      </c>
    </row>
    <row r="1550" spans="1:26" ht="12" hidden="1" thickBot="1" x14ac:dyDescent="0.25">
      <c r="A1550" s="567">
        <v>101539</v>
      </c>
      <c r="B1550" s="644">
        <v>101539</v>
      </c>
      <c r="C1550" s="645" t="s">
        <v>670</v>
      </c>
      <c r="D1550" s="422" t="s">
        <v>1396</v>
      </c>
      <c r="E1550" s="423"/>
      <c r="F1550" s="424"/>
      <c r="G1550" s="425"/>
      <c r="H1550" s="651"/>
      <c r="I1550" s="420">
        <v>57.83</v>
      </c>
      <c r="J1550" s="420">
        <f t="shared" si="370"/>
        <v>57.83</v>
      </c>
      <c r="K1550" s="421">
        <f t="shared" si="380"/>
        <v>68.709999999999994</v>
      </c>
      <c r="L1550" s="647" t="s">
        <v>2065</v>
      </c>
      <c r="M1550" s="576"/>
      <c r="N1550" s="576">
        <f t="shared" si="372"/>
        <v>0</v>
      </c>
      <c r="O1550" s="577">
        <f t="shared" si="377"/>
        <v>0</v>
      </c>
      <c r="P1550" s="578">
        <f t="shared" si="378"/>
        <v>0</v>
      </c>
      <c r="Q1550" s="765"/>
      <c r="R1550" s="576">
        <f t="shared" si="374"/>
        <v>0</v>
      </c>
      <c r="S1550" s="576">
        <f t="shared" si="374"/>
        <v>0</v>
      </c>
      <c r="T1550" s="577">
        <f t="shared" si="375"/>
        <v>0</v>
      </c>
      <c r="U1550" s="578">
        <f t="shared" si="376"/>
        <v>0</v>
      </c>
      <c r="V1550" s="579"/>
      <c r="W1550" s="566"/>
      <c r="X1550" s="586" t="str">
        <f t="shared" si="379"/>
        <v/>
      </c>
      <c r="Y1550" s="586" t="str">
        <f t="shared" si="373"/>
        <v/>
      </c>
      <c r="Z1550" s="586" t="str">
        <f t="shared" si="371"/>
        <v/>
      </c>
    </row>
    <row r="1551" spans="1:26" ht="12" hidden="1" thickBot="1" x14ac:dyDescent="0.25">
      <c r="A1551" s="567">
        <v>101540</v>
      </c>
      <c r="B1551" s="644">
        <v>101540</v>
      </c>
      <c r="C1551" s="645" t="s">
        <v>670</v>
      </c>
      <c r="D1551" s="422" t="s">
        <v>1397</v>
      </c>
      <c r="E1551" s="423"/>
      <c r="F1551" s="424"/>
      <c r="G1551" s="425"/>
      <c r="H1551" s="651"/>
      <c r="I1551" s="420">
        <v>95.28</v>
      </c>
      <c r="J1551" s="420">
        <f t="shared" si="370"/>
        <v>95.28</v>
      </c>
      <c r="K1551" s="421">
        <f t="shared" si="380"/>
        <v>113.2</v>
      </c>
      <c r="L1551" s="647" t="s">
        <v>2065</v>
      </c>
      <c r="M1551" s="576"/>
      <c r="N1551" s="576">
        <f t="shared" si="372"/>
        <v>0</v>
      </c>
      <c r="O1551" s="577">
        <f t="shared" si="377"/>
        <v>0</v>
      </c>
      <c r="P1551" s="578">
        <f t="shared" si="378"/>
        <v>0</v>
      </c>
      <c r="Q1551" s="765"/>
      <c r="R1551" s="576">
        <f t="shared" si="374"/>
        <v>0</v>
      </c>
      <c r="S1551" s="576">
        <f t="shared" si="374"/>
        <v>0</v>
      </c>
      <c r="T1551" s="577">
        <f t="shared" si="375"/>
        <v>0</v>
      </c>
      <c r="U1551" s="578">
        <f t="shared" si="376"/>
        <v>0</v>
      </c>
      <c r="V1551" s="579"/>
      <c r="W1551" s="566"/>
      <c r="X1551" s="586" t="str">
        <f t="shared" si="379"/>
        <v/>
      </c>
      <c r="Y1551" s="586" t="str">
        <f t="shared" si="373"/>
        <v/>
      </c>
      <c r="Z1551" s="586" t="str">
        <f t="shared" si="371"/>
        <v/>
      </c>
    </row>
    <row r="1552" spans="1:26" ht="12" hidden="1" thickBot="1" x14ac:dyDescent="0.25">
      <c r="A1552" s="567">
        <v>101541</v>
      </c>
      <c r="B1552" s="644">
        <v>101541</v>
      </c>
      <c r="C1552" s="645" t="s">
        <v>670</v>
      </c>
      <c r="D1552" s="422" t="s">
        <v>1398</v>
      </c>
      <c r="E1552" s="423"/>
      <c r="F1552" s="424"/>
      <c r="G1552" s="425"/>
      <c r="H1552" s="651"/>
      <c r="I1552" s="420">
        <v>124.8</v>
      </c>
      <c r="J1552" s="420">
        <f t="shared" si="370"/>
        <v>124.8</v>
      </c>
      <c r="K1552" s="421">
        <f t="shared" si="380"/>
        <v>148.27000000000001</v>
      </c>
      <c r="L1552" s="647" t="s">
        <v>2065</v>
      </c>
      <c r="M1552" s="576"/>
      <c r="N1552" s="576">
        <f t="shared" si="372"/>
        <v>0</v>
      </c>
      <c r="O1552" s="577">
        <f t="shared" si="377"/>
        <v>0</v>
      </c>
      <c r="P1552" s="578">
        <f t="shared" si="378"/>
        <v>0</v>
      </c>
      <c r="Q1552" s="765"/>
      <c r="R1552" s="576">
        <f t="shared" si="374"/>
        <v>0</v>
      </c>
      <c r="S1552" s="576">
        <f t="shared" si="374"/>
        <v>0</v>
      </c>
      <c r="T1552" s="577">
        <f t="shared" si="375"/>
        <v>0</v>
      </c>
      <c r="U1552" s="578">
        <f t="shared" si="376"/>
        <v>0</v>
      </c>
      <c r="V1552" s="579"/>
      <c r="W1552" s="566"/>
      <c r="X1552" s="586" t="str">
        <f t="shared" si="379"/>
        <v/>
      </c>
      <c r="Y1552" s="586" t="str">
        <f t="shared" si="373"/>
        <v/>
      </c>
      <c r="Z1552" s="586" t="str">
        <f t="shared" si="371"/>
        <v/>
      </c>
    </row>
    <row r="1553" spans="1:26" ht="12" hidden="1" thickBot="1" x14ac:dyDescent="0.25">
      <c r="A1553" s="567">
        <v>101542</v>
      </c>
      <c r="B1553" s="644">
        <v>101542</v>
      </c>
      <c r="C1553" s="645" t="s">
        <v>670</v>
      </c>
      <c r="D1553" s="422" t="s">
        <v>1399</v>
      </c>
      <c r="E1553" s="423"/>
      <c r="F1553" s="424"/>
      <c r="G1553" s="425"/>
      <c r="H1553" s="651"/>
      <c r="I1553" s="420">
        <v>26.15</v>
      </c>
      <c r="J1553" s="420">
        <f t="shared" si="370"/>
        <v>26.15</v>
      </c>
      <c r="K1553" s="421">
        <f t="shared" si="380"/>
        <v>31.07</v>
      </c>
      <c r="L1553" s="647" t="s">
        <v>2065</v>
      </c>
      <c r="M1553" s="576"/>
      <c r="N1553" s="576">
        <f t="shared" si="372"/>
        <v>0</v>
      </c>
      <c r="O1553" s="577">
        <f t="shared" si="377"/>
        <v>0</v>
      </c>
      <c r="P1553" s="578">
        <f t="shared" si="378"/>
        <v>0</v>
      </c>
      <c r="Q1553" s="765"/>
      <c r="R1553" s="576">
        <f t="shared" si="374"/>
        <v>0</v>
      </c>
      <c r="S1553" s="576">
        <f t="shared" si="374"/>
        <v>0</v>
      </c>
      <c r="T1553" s="577">
        <f t="shared" si="375"/>
        <v>0</v>
      </c>
      <c r="U1553" s="578">
        <f t="shared" si="376"/>
        <v>0</v>
      </c>
      <c r="V1553" s="579"/>
      <c r="W1553" s="566"/>
      <c r="X1553" s="586" t="str">
        <f t="shared" si="379"/>
        <v/>
      </c>
      <c r="Y1553" s="586" t="str">
        <f t="shared" si="373"/>
        <v/>
      </c>
      <c r="Z1553" s="586" t="str">
        <f t="shared" si="371"/>
        <v/>
      </c>
    </row>
    <row r="1554" spans="1:26" ht="12" hidden="1" thickBot="1" x14ac:dyDescent="0.25">
      <c r="A1554" s="567">
        <v>101543</v>
      </c>
      <c r="B1554" s="644">
        <v>101543</v>
      </c>
      <c r="C1554" s="645" t="s">
        <v>670</v>
      </c>
      <c r="D1554" s="422" t="s">
        <v>1400</v>
      </c>
      <c r="E1554" s="423"/>
      <c r="F1554" s="424"/>
      <c r="G1554" s="425"/>
      <c r="H1554" s="651"/>
      <c r="I1554" s="420">
        <v>47.67</v>
      </c>
      <c r="J1554" s="420">
        <f t="shared" si="370"/>
        <v>47.67</v>
      </c>
      <c r="K1554" s="421">
        <f t="shared" si="380"/>
        <v>56.64</v>
      </c>
      <c r="L1554" s="647" t="s">
        <v>2065</v>
      </c>
      <c r="M1554" s="576"/>
      <c r="N1554" s="576">
        <f t="shared" si="372"/>
        <v>0</v>
      </c>
      <c r="O1554" s="577">
        <f t="shared" si="377"/>
        <v>0</v>
      </c>
      <c r="P1554" s="578">
        <f t="shared" si="378"/>
        <v>0</v>
      </c>
      <c r="Q1554" s="765"/>
      <c r="R1554" s="576">
        <f t="shared" si="374"/>
        <v>0</v>
      </c>
      <c r="S1554" s="576">
        <f t="shared" si="374"/>
        <v>0</v>
      </c>
      <c r="T1554" s="577">
        <f t="shared" si="375"/>
        <v>0</v>
      </c>
      <c r="U1554" s="578">
        <f t="shared" si="376"/>
        <v>0</v>
      </c>
      <c r="V1554" s="579"/>
      <c r="W1554" s="566"/>
      <c r="X1554" s="586" t="str">
        <f t="shared" si="379"/>
        <v/>
      </c>
      <c r="Y1554" s="586" t="str">
        <f t="shared" si="373"/>
        <v/>
      </c>
      <c r="Z1554" s="586" t="str">
        <f t="shared" si="371"/>
        <v/>
      </c>
    </row>
    <row r="1555" spans="1:26" ht="12" hidden="1" thickBot="1" x14ac:dyDescent="0.25">
      <c r="A1555" s="567">
        <v>101544</v>
      </c>
      <c r="B1555" s="644">
        <v>101544</v>
      </c>
      <c r="C1555" s="645" t="s">
        <v>670</v>
      </c>
      <c r="D1555" s="422" t="s">
        <v>1401</v>
      </c>
      <c r="E1555" s="423"/>
      <c r="F1555" s="424"/>
      <c r="G1555" s="425"/>
      <c r="H1555" s="651"/>
      <c r="I1555" s="420">
        <v>75.22</v>
      </c>
      <c r="J1555" s="420">
        <f t="shared" ref="J1555:J1618" si="381">IF(ISBLANK(I1555),"",SUM(H1555:I1555))</f>
        <v>75.22</v>
      </c>
      <c r="K1555" s="421">
        <f t="shared" si="380"/>
        <v>89.37</v>
      </c>
      <c r="L1555" s="647" t="s">
        <v>2065</v>
      </c>
      <c r="M1555" s="576"/>
      <c r="N1555" s="576">
        <f t="shared" si="372"/>
        <v>0</v>
      </c>
      <c r="O1555" s="577">
        <f t="shared" si="377"/>
        <v>0</v>
      </c>
      <c r="P1555" s="578">
        <f t="shared" si="378"/>
        <v>0</v>
      </c>
      <c r="Q1555" s="765"/>
      <c r="R1555" s="576">
        <f t="shared" si="374"/>
        <v>0</v>
      </c>
      <c r="S1555" s="576">
        <f t="shared" si="374"/>
        <v>0</v>
      </c>
      <c r="T1555" s="577">
        <f t="shared" si="375"/>
        <v>0</v>
      </c>
      <c r="U1555" s="578">
        <f t="shared" si="376"/>
        <v>0</v>
      </c>
      <c r="V1555" s="579"/>
      <c r="W1555" s="566"/>
      <c r="X1555" s="586" t="str">
        <f t="shared" si="379"/>
        <v/>
      </c>
      <c r="Y1555" s="586" t="str">
        <f t="shared" si="373"/>
        <v/>
      </c>
      <c r="Z1555" s="586" t="str">
        <f t="shared" ref="Z1555:Z1618" si="382">IF(W1555="X","x",IF(U1555&gt;0,"x",""))</f>
        <v/>
      </c>
    </row>
    <row r="1556" spans="1:26" ht="12" hidden="1" thickBot="1" x14ac:dyDescent="0.25">
      <c r="A1556" s="567">
        <v>101545</v>
      </c>
      <c r="B1556" s="644">
        <v>101545</v>
      </c>
      <c r="C1556" s="645" t="s">
        <v>670</v>
      </c>
      <c r="D1556" s="422" t="s">
        <v>1402</v>
      </c>
      <c r="E1556" s="423"/>
      <c r="F1556" s="424"/>
      <c r="G1556" s="425"/>
      <c r="H1556" s="651"/>
      <c r="I1556" s="420">
        <v>107.28</v>
      </c>
      <c r="J1556" s="420">
        <f t="shared" si="381"/>
        <v>107.28</v>
      </c>
      <c r="K1556" s="421">
        <f t="shared" si="380"/>
        <v>127.46</v>
      </c>
      <c r="L1556" s="647" t="s">
        <v>2065</v>
      </c>
      <c r="M1556" s="576"/>
      <c r="N1556" s="576">
        <f t="shared" ref="N1556:N1619" si="383">IF(M1556=0,0,K1556)</f>
        <v>0</v>
      </c>
      <c r="O1556" s="577">
        <f t="shared" si="377"/>
        <v>0</v>
      </c>
      <c r="P1556" s="578">
        <f t="shared" si="378"/>
        <v>0</v>
      </c>
      <c r="Q1556" s="765"/>
      <c r="R1556" s="576">
        <f t="shared" si="374"/>
        <v>0</v>
      </c>
      <c r="S1556" s="576">
        <f t="shared" si="374"/>
        <v>0</v>
      </c>
      <c r="T1556" s="577">
        <f t="shared" si="375"/>
        <v>0</v>
      </c>
      <c r="U1556" s="578">
        <f t="shared" si="376"/>
        <v>0</v>
      </c>
      <c r="V1556" s="579"/>
      <c r="W1556" s="566"/>
      <c r="X1556" s="586" t="str">
        <f t="shared" si="379"/>
        <v/>
      </c>
      <c r="Y1556" s="586" t="str">
        <f t="shared" si="373"/>
        <v/>
      </c>
      <c r="Z1556" s="586" t="str">
        <f t="shared" si="382"/>
        <v/>
      </c>
    </row>
    <row r="1557" spans="1:26" ht="12" hidden="1" thickBot="1" x14ac:dyDescent="0.25">
      <c r="A1557" s="567">
        <v>101546</v>
      </c>
      <c r="B1557" s="644">
        <v>101546</v>
      </c>
      <c r="C1557" s="645" t="s">
        <v>670</v>
      </c>
      <c r="D1557" s="422" t="s">
        <v>1403</v>
      </c>
      <c r="E1557" s="423"/>
      <c r="F1557" s="424"/>
      <c r="G1557" s="425"/>
      <c r="H1557" s="651"/>
      <c r="I1557" s="420">
        <v>31.93</v>
      </c>
      <c r="J1557" s="420">
        <f t="shared" si="381"/>
        <v>31.93</v>
      </c>
      <c r="K1557" s="421">
        <f t="shared" si="380"/>
        <v>37.94</v>
      </c>
      <c r="L1557" s="647" t="s">
        <v>2065</v>
      </c>
      <c r="M1557" s="576"/>
      <c r="N1557" s="576">
        <f t="shared" si="383"/>
        <v>0</v>
      </c>
      <c r="O1557" s="577">
        <f t="shared" si="377"/>
        <v>0</v>
      </c>
      <c r="P1557" s="578">
        <f t="shared" si="378"/>
        <v>0</v>
      </c>
      <c r="Q1557" s="765"/>
      <c r="R1557" s="576">
        <f t="shared" si="374"/>
        <v>0</v>
      </c>
      <c r="S1557" s="576">
        <f t="shared" si="374"/>
        <v>0</v>
      </c>
      <c r="T1557" s="577">
        <f t="shared" si="375"/>
        <v>0</v>
      </c>
      <c r="U1557" s="578">
        <f t="shared" si="376"/>
        <v>0</v>
      </c>
      <c r="V1557" s="579"/>
      <c r="W1557" s="566"/>
      <c r="X1557" s="586" t="str">
        <f t="shared" si="379"/>
        <v/>
      </c>
      <c r="Y1557" s="586" t="str">
        <f t="shared" si="373"/>
        <v/>
      </c>
      <c r="Z1557" s="586" t="str">
        <f t="shared" si="382"/>
        <v/>
      </c>
    </row>
    <row r="1558" spans="1:26" ht="12" hidden="1" thickBot="1" x14ac:dyDescent="0.25">
      <c r="A1558" s="567">
        <v>101547</v>
      </c>
      <c r="B1558" s="644">
        <v>101547</v>
      </c>
      <c r="C1558" s="645" t="s">
        <v>670</v>
      </c>
      <c r="D1558" s="422" t="s">
        <v>1404</v>
      </c>
      <c r="E1558" s="423"/>
      <c r="F1558" s="424"/>
      <c r="G1558" s="425"/>
      <c r="H1558" s="651"/>
      <c r="I1558" s="420">
        <v>99.94</v>
      </c>
      <c r="J1558" s="420">
        <f t="shared" si="381"/>
        <v>99.94</v>
      </c>
      <c r="K1558" s="421">
        <f t="shared" si="380"/>
        <v>118.74</v>
      </c>
      <c r="L1558" s="647" t="s">
        <v>2065</v>
      </c>
      <c r="M1558" s="576"/>
      <c r="N1558" s="576">
        <f t="shared" si="383"/>
        <v>0</v>
      </c>
      <c r="O1558" s="577">
        <f t="shared" si="377"/>
        <v>0</v>
      </c>
      <c r="P1558" s="578">
        <f t="shared" si="378"/>
        <v>0</v>
      </c>
      <c r="Q1558" s="765"/>
      <c r="R1558" s="576">
        <f t="shared" si="374"/>
        <v>0</v>
      </c>
      <c r="S1558" s="576">
        <f t="shared" si="374"/>
        <v>0</v>
      </c>
      <c r="T1558" s="577">
        <f t="shared" si="375"/>
        <v>0</v>
      </c>
      <c r="U1558" s="578">
        <f t="shared" si="376"/>
        <v>0</v>
      </c>
      <c r="V1558" s="579"/>
      <c r="W1558" s="566"/>
      <c r="X1558" s="586" t="str">
        <f t="shared" si="379"/>
        <v/>
      </c>
      <c r="Y1558" s="586" t="str">
        <f t="shared" si="373"/>
        <v/>
      </c>
      <c r="Z1558" s="586" t="str">
        <f t="shared" si="382"/>
        <v/>
      </c>
    </row>
    <row r="1559" spans="1:26" ht="12" hidden="1" thickBot="1" x14ac:dyDescent="0.25">
      <c r="A1559" s="567">
        <v>101548</v>
      </c>
      <c r="B1559" s="644">
        <v>101548</v>
      </c>
      <c r="C1559" s="645" t="s">
        <v>670</v>
      </c>
      <c r="D1559" s="422" t="s">
        <v>1405</v>
      </c>
      <c r="E1559" s="423"/>
      <c r="F1559" s="424"/>
      <c r="G1559" s="425"/>
      <c r="H1559" s="651"/>
      <c r="I1559" s="420">
        <v>7.94</v>
      </c>
      <c r="J1559" s="420">
        <f t="shared" si="381"/>
        <v>7.94</v>
      </c>
      <c r="K1559" s="421">
        <f t="shared" si="380"/>
        <v>9.43</v>
      </c>
      <c r="L1559" s="647" t="s">
        <v>2065</v>
      </c>
      <c r="M1559" s="576"/>
      <c r="N1559" s="576">
        <f t="shared" si="383"/>
        <v>0</v>
      </c>
      <c r="O1559" s="577">
        <f t="shared" si="377"/>
        <v>0</v>
      </c>
      <c r="P1559" s="578">
        <f t="shared" si="378"/>
        <v>0</v>
      </c>
      <c r="Q1559" s="765"/>
      <c r="R1559" s="576">
        <f t="shared" si="374"/>
        <v>0</v>
      </c>
      <c r="S1559" s="576">
        <f t="shared" si="374"/>
        <v>0</v>
      </c>
      <c r="T1559" s="577">
        <f t="shared" si="375"/>
        <v>0</v>
      </c>
      <c r="U1559" s="578">
        <f t="shared" si="376"/>
        <v>0</v>
      </c>
      <c r="V1559" s="579"/>
      <c r="W1559" s="566"/>
      <c r="X1559" s="586" t="str">
        <f t="shared" si="379"/>
        <v/>
      </c>
      <c r="Y1559" s="586" t="str">
        <f t="shared" si="373"/>
        <v/>
      </c>
      <c r="Z1559" s="586" t="str">
        <f t="shared" si="382"/>
        <v/>
      </c>
    </row>
    <row r="1560" spans="1:26" ht="23.25" hidden="1" thickBot="1" x14ac:dyDescent="0.25">
      <c r="A1560" s="567">
        <v>101549</v>
      </c>
      <c r="B1560" s="644">
        <v>101549</v>
      </c>
      <c r="C1560" s="645" t="s">
        <v>670</v>
      </c>
      <c r="D1560" s="422" t="s">
        <v>1406</v>
      </c>
      <c r="E1560" s="423"/>
      <c r="F1560" s="424"/>
      <c r="G1560" s="425"/>
      <c r="H1560" s="651"/>
      <c r="I1560" s="420">
        <v>21.86</v>
      </c>
      <c r="J1560" s="420">
        <f t="shared" si="381"/>
        <v>21.86</v>
      </c>
      <c r="K1560" s="421">
        <f t="shared" si="380"/>
        <v>25.97</v>
      </c>
      <c r="L1560" s="647" t="s">
        <v>2065</v>
      </c>
      <c r="M1560" s="576"/>
      <c r="N1560" s="576">
        <f t="shared" si="383"/>
        <v>0</v>
      </c>
      <c r="O1560" s="577">
        <f t="shared" si="377"/>
        <v>0</v>
      </c>
      <c r="P1560" s="578">
        <f t="shared" si="378"/>
        <v>0</v>
      </c>
      <c r="Q1560" s="765"/>
      <c r="R1560" s="576">
        <f t="shared" si="374"/>
        <v>0</v>
      </c>
      <c r="S1560" s="576">
        <f t="shared" si="374"/>
        <v>0</v>
      </c>
      <c r="T1560" s="577">
        <f t="shared" si="375"/>
        <v>0</v>
      </c>
      <c r="U1560" s="578">
        <f t="shared" si="376"/>
        <v>0</v>
      </c>
      <c r="V1560" s="579"/>
      <c r="W1560" s="566"/>
      <c r="X1560" s="586" t="str">
        <f t="shared" si="379"/>
        <v/>
      </c>
      <c r="Y1560" s="586" t="str">
        <f t="shared" si="373"/>
        <v/>
      </c>
      <c r="Z1560" s="586" t="str">
        <f t="shared" si="382"/>
        <v/>
      </c>
    </row>
    <row r="1561" spans="1:26" ht="23.25" hidden="1" thickBot="1" x14ac:dyDescent="0.25">
      <c r="A1561" s="567">
        <v>101553</v>
      </c>
      <c r="B1561" s="644">
        <v>101553</v>
      </c>
      <c r="C1561" s="645" t="s">
        <v>670</v>
      </c>
      <c r="D1561" s="422" t="s">
        <v>1407</v>
      </c>
      <c r="E1561" s="423"/>
      <c r="F1561" s="424"/>
      <c r="G1561" s="425"/>
      <c r="H1561" s="651"/>
      <c r="I1561" s="420">
        <v>11.77</v>
      </c>
      <c r="J1561" s="420">
        <f t="shared" si="381"/>
        <v>11.77</v>
      </c>
      <c r="K1561" s="421">
        <f t="shared" si="380"/>
        <v>13.98</v>
      </c>
      <c r="L1561" s="647" t="s">
        <v>2065</v>
      </c>
      <c r="M1561" s="576"/>
      <c r="N1561" s="576">
        <f t="shared" si="383"/>
        <v>0</v>
      </c>
      <c r="O1561" s="577">
        <f t="shared" si="377"/>
        <v>0</v>
      </c>
      <c r="P1561" s="578">
        <f t="shared" si="378"/>
        <v>0</v>
      </c>
      <c r="Q1561" s="765"/>
      <c r="R1561" s="576">
        <f t="shared" si="374"/>
        <v>0</v>
      </c>
      <c r="S1561" s="576">
        <f t="shared" si="374"/>
        <v>0</v>
      </c>
      <c r="T1561" s="577">
        <f t="shared" si="375"/>
        <v>0</v>
      </c>
      <c r="U1561" s="578">
        <f t="shared" si="376"/>
        <v>0</v>
      </c>
      <c r="V1561" s="579"/>
      <c r="W1561" s="566"/>
      <c r="X1561" s="586" t="str">
        <f t="shared" si="379"/>
        <v/>
      </c>
      <c r="Y1561" s="586" t="str">
        <f t="shared" si="373"/>
        <v/>
      </c>
      <c r="Z1561" s="586" t="str">
        <f t="shared" si="382"/>
        <v/>
      </c>
    </row>
    <row r="1562" spans="1:26" ht="23.25" hidden="1" thickBot="1" x14ac:dyDescent="0.25">
      <c r="A1562" s="567">
        <v>101554</v>
      </c>
      <c r="B1562" s="644">
        <v>101554</v>
      </c>
      <c r="C1562" s="645" t="s">
        <v>670</v>
      </c>
      <c r="D1562" s="422" t="s">
        <v>1408</v>
      </c>
      <c r="E1562" s="423"/>
      <c r="F1562" s="424"/>
      <c r="G1562" s="425"/>
      <c r="H1562" s="651"/>
      <c r="I1562" s="420">
        <v>9.0500000000000007</v>
      </c>
      <c r="J1562" s="420">
        <f t="shared" si="381"/>
        <v>9.0500000000000007</v>
      </c>
      <c r="K1562" s="421">
        <f t="shared" si="380"/>
        <v>10.75</v>
      </c>
      <c r="L1562" s="647" t="s">
        <v>2065</v>
      </c>
      <c r="M1562" s="576"/>
      <c r="N1562" s="576">
        <f t="shared" si="383"/>
        <v>0</v>
      </c>
      <c r="O1562" s="577">
        <f t="shared" si="377"/>
        <v>0</v>
      </c>
      <c r="P1562" s="578">
        <f t="shared" si="378"/>
        <v>0</v>
      </c>
      <c r="Q1562" s="765"/>
      <c r="R1562" s="576">
        <f t="shared" si="374"/>
        <v>0</v>
      </c>
      <c r="S1562" s="576">
        <f t="shared" si="374"/>
        <v>0</v>
      </c>
      <c r="T1562" s="577">
        <f t="shared" si="375"/>
        <v>0</v>
      </c>
      <c r="U1562" s="578">
        <f t="shared" si="376"/>
        <v>0</v>
      </c>
      <c r="V1562" s="579"/>
      <c r="W1562" s="566"/>
      <c r="X1562" s="586" t="str">
        <f t="shared" si="379"/>
        <v/>
      </c>
      <c r="Y1562" s="586" t="str">
        <f t="shared" si="373"/>
        <v/>
      </c>
      <c r="Z1562" s="586" t="str">
        <f t="shared" si="382"/>
        <v/>
      </c>
    </row>
    <row r="1563" spans="1:26" ht="23.25" hidden="1" thickBot="1" x14ac:dyDescent="0.25">
      <c r="A1563" s="567">
        <v>101555</v>
      </c>
      <c r="B1563" s="644">
        <v>101555</v>
      </c>
      <c r="C1563" s="645" t="s">
        <v>670</v>
      </c>
      <c r="D1563" s="422" t="s">
        <v>1409</v>
      </c>
      <c r="E1563" s="423"/>
      <c r="F1563" s="424"/>
      <c r="G1563" s="425"/>
      <c r="H1563" s="651"/>
      <c r="I1563" s="420">
        <v>6.57</v>
      </c>
      <c r="J1563" s="420">
        <f t="shared" si="381"/>
        <v>6.57</v>
      </c>
      <c r="K1563" s="421">
        <f t="shared" si="380"/>
        <v>7.81</v>
      </c>
      <c r="L1563" s="647" t="s">
        <v>2065</v>
      </c>
      <c r="M1563" s="576"/>
      <c r="N1563" s="576">
        <f t="shared" si="383"/>
        <v>0</v>
      </c>
      <c r="O1563" s="577">
        <f t="shared" si="377"/>
        <v>0</v>
      </c>
      <c r="P1563" s="578">
        <f t="shared" si="378"/>
        <v>0</v>
      </c>
      <c r="Q1563" s="765"/>
      <c r="R1563" s="576">
        <f t="shared" si="374"/>
        <v>0</v>
      </c>
      <c r="S1563" s="576">
        <f t="shared" si="374"/>
        <v>0</v>
      </c>
      <c r="T1563" s="577">
        <f t="shared" si="375"/>
        <v>0</v>
      </c>
      <c r="U1563" s="578">
        <f t="shared" si="376"/>
        <v>0</v>
      </c>
      <c r="V1563" s="579"/>
      <c r="W1563" s="566"/>
      <c r="X1563" s="586" t="str">
        <f t="shared" si="379"/>
        <v/>
      </c>
      <c r="Y1563" s="586" t="str">
        <f t="shared" si="373"/>
        <v/>
      </c>
      <c r="Z1563" s="586" t="str">
        <f t="shared" si="382"/>
        <v/>
      </c>
    </row>
    <row r="1564" spans="1:26" ht="23.25" hidden="1" thickBot="1" x14ac:dyDescent="0.25">
      <c r="A1564" s="567">
        <v>101556</v>
      </c>
      <c r="B1564" s="644">
        <v>101556</v>
      </c>
      <c r="C1564" s="645" t="s">
        <v>670</v>
      </c>
      <c r="D1564" s="422" t="s">
        <v>1410</v>
      </c>
      <c r="E1564" s="423"/>
      <c r="F1564" s="424"/>
      <c r="G1564" s="425"/>
      <c r="H1564" s="651"/>
      <c r="I1564" s="420">
        <v>6.17</v>
      </c>
      <c r="J1564" s="420">
        <f t="shared" si="381"/>
        <v>6.17</v>
      </c>
      <c r="K1564" s="421">
        <f t="shared" si="380"/>
        <v>7.33</v>
      </c>
      <c r="L1564" s="647" t="s">
        <v>2065</v>
      </c>
      <c r="M1564" s="576"/>
      <c r="N1564" s="576">
        <f t="shared" si="383"/>
        <v>0</v>
      </c>
      <c r="O1564" s="577">
        <f t="shared" si="377"/>
        <v>0</v>
      </c>
      <c r="P1564" s="578">
        <f t="shared" si="378"/>
        <v>0</v>
      </c>
      <c r="Q1564" s="765"/>
      <c r="R1564" s="576">
        <f t="shared" si="374"/>
        <v>0</v>
      </c>
      <c r="S1564" s="576">
        <f t="shared" si="374"/>
        <v>0</v>
      </c>
      <c r="T1564" s="577">
        <f t="shared" si="375"/>
        <v>0</v>
      </c>
      <c r="U1564" s="578">
        <f t="shared" si="376"/>
        <v>0</v>
      </c>
      <c r="V1564" s="579"/>
      <c r="W1564" s="566"/>
      <c r="X1564" s="586" t="str">
        <f t="shared" si="379"/>
        <v/>
      </c>
      <c r="Y1564" s="586" t="str">
        <f t="shared" si="373"/>
        <v/>
      </c>
      <c r="Z1564" s="586" t="str">
        <f t="shared" si="382"/>
        <v/>
      </c>
    </row>
    <row r="1565" spans="1:26" ht="23.25" hidden="1" thickBot="1" x14ac:dyDescent="0.25">
      <c r="A1565" s="567">
        <v>101626</v>
      </c>
      <c r="B1565" s="644">
        <v>101626</v>
      </c>
      <c r="C1565" s="645" t="s">
        <v>670</v>
      </c>
      <c r="D1565" s="422" t="s">
        <v>1411</v>
      </c>
      <c r="E1565" s="423"/>
      <c r="F1565" s="424"/>
      <c r="G1565" s="425"/>
      <c r="H1565" s="651"/>
      <c r="I1565" s="420">
        <v>245.61</v>
      </c>
      <c r="J1565" s="420">
        <f t="shared" si="381"/>
        <v>245.61</v>
      </c>
      <c r="K1565" s="421">
        <f t="shared" si="380"/>
        <v>291.81</v>
      </c>
      <c r="L1565" s="647" t="s">
        <v>2065</v>
      </c>
      <c r="M1565" s="576"/>
      <c r="N1565" s="576">
        <f t="shared" si="383"/>
        <v>0</v>
      </c>
      <c r="O1565" s="577">
        <f t="shared" si="377"/>
        <v>0</v>
      </c>
      <c r="P1565" s="578">
        <f t="shared" si="378"/>
        <v>0</v>
      </c>
      <c r="Q1565" s="765"/>
      <c r="R1565" s="576">
        <f t="shared" si="374"/>
        <v>0</v>
      </c>
      <c r="S1565" s="576">
        <f t="shared" si="374"/>
        <v>0</v>
      </c>
      <c r="T1565" s="577">
        <f t="shared" si="375"/>
        <v>0</v>
      </c>
      <c r="U1565" s="578">
        <f t="shared" si="376"/>
        <v>0</v>
      </c>
      <c r="V1565" s="579"/>
      <c r="W1565" s="566"/>
      <c r="X1565" s="586" t="str">
        <f t="shared" si="379"/>
        <v/>
      </c>
      <c r="Y1565" s="586" t="str">
        <f t="shared" si="373"/>
        <v/>
      </c>
      <c r="Z1565" s="586" t="str">
        <f t="shared" si="382"/>
        <v/>
      </c>
    </row>
    <row r="1566" spans="1:26" ht="23.25" hidden="1" thickBot="1" x14ac:dyDescent="0.25">
      <c r="A1566" s="567">
        <v>101627</v>
      </c>
      <c r="B1566" s="644">
        <v>101627</v>
      </c>
      <c r="C1566" s="645" t="s">
        <v>670</v>
      </c>
      <c r="D1566" s="422" t="s">
        <v>1412</v>
      </c>
      <c r="E1566" s="423"/>
      <c r="F1566" s="424"/>
      <c r="G1566" s="425"/>
      <c r="H1566" s="651"/>
      <c r="I1566" s="420">
        <v>384.01</v>
      </c>
      <c r="J1566" s="420">
        <f t="shared" si="381"/>
        <v>384.01</v>
      </c>
      <c r="K1566" s="421">
        <f t="shared" si="380"/>
        <v>456.24</v>
      </c>
      <c r="L1566" s="647" t="s">
        <v>2065</v>
      </c>
      <c r="M1566" s="576"/>
      <c r="N1566" s="576">
        <f t="shared" si="383"/>
        <v>0</v>
      </c>
      <c r="O1566" s="577">
        <f t="shared" si="377"/>
        <v>0</v>
      </c>
      <c r="P1566" s="578">
        <f t="shared" si="378"/>
        <v>0</v>
      </c>
      <c r="Q1566" s="765"/>
      <c r="R1566" s="576">
        <f t="shared" si="374"/>
        <v>0</v>
      </c>
      <c r="S1566" s="576">
        <f t="shared" si="374"/>
        <v>0</v>
      </c>
      <c r="T1566" s="577">
        <f t="shared" si="375"/>
        <v>0</v>
      </c>
      <c r="U1566" s="578">
        <f t="shared" si="376"/>
        <v>0</v>
      </c>
      <c r="V1566" s="579"/>
      <c r="W1566" s="566"/>
      <c r="X1566" s="586" t="str">
        <f t="shared" si="379"/>
        <v/>
      </c>
      <c r="Y1566" s="586" t="str">
        <f t="shared" si="373"/>
        <v/>
      </c>
      <c r="Z1566" s="586" t="str">
        <f t="shared" si="382"/>
        <v/>
      </c>
    </row>
    <row r="1567" spans="1:26" ht="23.25" hidden="1" thickBot="1" x14ac:dyDescent="0.25">
      <c r="A1567" s="567">
        <v>101628</v>
      </c>
      <c r="B1567" s="644">
        <v>101628</v>
      </c>
      <c r="C1567" s="645" t="s">
        <v>670</v>
      </c>
      <c r="D1567" s="422" t="s">
        <v>1413</v>
      </c>
      <c r="E1567" s="423"/>
      <c r="F1567" s="424"/>
      <c r="G1567" s="425"/>
      <c r="H1567" s="651"/>
      <c r="I1567" s="420">
        <v>181.59</v>
      </c>
      <c r="J1567" s="420">
        <f t="shared" si="381"/>
        <v>181.59</v>
      </c>
      <c r="K1567" s="421">
        <f t="shared" si="380"/>
        <v>215.75</v>
      </c>
      <c r="L1567" s="647" t="s">
        <v>2065</v>
      </c>
      <c r="M1567" s="576"/>
      <c r="N1567" s="576">
        <f t="shared" si="383"/>
        <v>0</v>
      </c>
      <c r="O1567" s="577">
        <f t="shared" si="377"/>
        <v>0</v>
      </c>
      <c r="P1567" s="578">
        <f t="shared" si="378"/>
        <v>0</v>
      </c>
      <c r="Q1567" s="765"/>
      <c r="R1567" s="576">
        <f t="shared" si="374"/>
        <v>0</v>
      </c>
      <c r="S1567" s="576">
        <f t="shared" si="374"/>
        <v>0</v>
      </c>
      <c r="T1567" s="577">
        <f t="shared" si="375"/>
        <v>0</v>
      </c>
      <c r="U1567" s="578">
        <f t="shared" si="376"/>
        <v>0</v>
      </c>
      <c r="V1567" s="579"/>
      <c r="W1567" s="566"/>
      <c r="X1567" s="586" t="str">
        <f t="shared" si="379"/>
        <v/>
      </c>
      <c r="Y1567" s="586" t="str">
        <f t="shared" si="373"/>
        <v/>
      </c>
      <c r="Z1567" s="586" t="str">
        <f t="shared" si="382"/>
        <v/>
      </c>
    </row>
    <row r="1568" spans="1:26" ht="23.25" hidden="1" thickBot="1" x14ac:dyDescent="0.25">
      <c r="A1568" s="567">
        <v>101629</v>
      </c>
      <c r="B1568" s="644">
        <v>101629</v>
      </c>
      <c r="C1568" s="645" t="s">
        <v>670</v>
      </c>
      <c r="D1568" s="422" t="s">
        <v>1414</v>
      </c>
      <c r="E1568" s="423"/>
      <c r="F1568" s="424"/>
      <c r="G1568" s="425"/>
      <c r="H1568" s="651"/>
      <c r="I1568" s="420">
        <v>214.56</v>
      </c>
      <c r="J1568" s="420">
        <f t="shared" si="381"/>
        <v>214.56</v>
      </c>
      <c r="K1568" s="421">
        <f t="shared" si="380"/>
        <v>254.92</v>
      </c>
      <c r="L1568" s="647" t="s">
        <v>2065</v>
      </c>
      <c r="M1568" s="576"/>
      <c r="N1568" s="576">
        <f t="shared" si="383"/>
        <v>0</v>
      </c>
      <c r="O1568" s="577">
        <f t="shared" si="377"/>
        <v>0</v>
      </c>
      <c r="P1568" s="578">
        <f t="shared" si="378"/>
        <v>0</v>
      </c>
      <c r="Q1568" s="765"/>
      <c r="R1568" s="576">
        <f t="shared" si="374"/>
        <v>0</v>
      </c>
      <c r="S1568" s="576">
        <f t="shared" si="374"/>
        <v>0</v>
      </c>
      <c r="T1568" s="577">
        <f t="shared" si="375"/>
        <v>0</v>
      </c>
      <c r="U1568" s="578">
        <f t="shared" si="376"/>
        <v>0</v>
      </c>
      <c r="V1568" s="579"/>
      <c r="W1568" s="566"/>
      <c r="X1568" s="586" t="str">
        <f t="shared" si="379"/>
        <v/>
      </c>
      <c r="Y1568" s="586" t="str">
        <f t="shared" si="373"/>
        <v/>
      </c>
      <c r="Z1568" s="586" t="str">
        <f t="shared" si="382"/>
        <v/>
      </c>
    </row>
    <row r="1569" spans="1:26" ht="23.25" hidden="1" thickBot="1" x14ac:dyDescent="0.25">
      <c r="A1569" s="567">
        <v>100921</v>
      </c>
      <c r="B1569" s="644">
        <v>100921</v>
      </c>
      <c r="C1569" s="645" t="s">
        <v>670</v>
      </c>
      <c r="D1569" s="422" t="s">
        <v>1415</v>
      </c>
      <c r="E1569" s="423"/>
      <c r="F1569" s="424"/>
      <c r="G1569" s="425"/>
      <c r="H1569" s="651"/>
      <c r="I1569" s="420">
        <v>85.94</v>
      </c>
      <c r="J1569" s="420">
        <f t="shared" si="381"/>
        <v>85.94</v>
      </c>
      <c r="K1569" s="421">
        <f t="shared" si="380"/>
        <v>102.11</v>
      </c>
      <c r="L1569" s="647" t="s">
        <v>2065</v>
      </c>
      <c r="M1569" s="576"/>
      <c r="N1569" s="576">
        <f t="shared" si="383"/>
        <v>0</v>
      </c>
      <c r="O1569" s="577">
        <f t="shared" si="377"/>
        <v>0</v>
      </c>
      <c r="P1569" s="578">
        <f t="shared" si="378"/>
        <v>0</v>
      </c>
      <c r="Q1569" s="765"/>
      <c r="R1569" s="576">
        <f t="shared" si="374"/>
        <v>0</v>
      </c>
      <c r="S1569" s="576">
        <f t="shared" si="374"/>
        <v>0</v>
      </c>
      <c r="T1569" s="577">
        <f t="shared" si="375"/>
        <v>0</v>
      </c>
      <c r="U1569" s="578">
        <f t="shared" si="376"/>
        <v>0</v>
      </c>
      <c r="V1569" s="579"/>
      <c r="W1569" s="566"/>
      <c r="X1569" s="586" t="str">
        <f t="shared" si="379"/>
        <v/>
      </c>
      <c r="Y1569" s="586" t="str">
        <f t="shared" si="373"/>
        <v/>
      </c>
      <c r="Z1569" s="586" t="str">
        <f t="shared" si="382"/>
        <v/>
      </c>
    </row>
    <row r="1570" spans="1:26" ht="23.25" hidden="1" thickBot="1" x14ac:dyDescent="0.25">
      <c r="A1570" s="567">
        <v>100922</v>
      </c>
      <c r="B1570" s="644">
        <v>100922</v>
      </c>
      <c r="C1570" s="645" t="s">
        <v>670</v>
      </c>
      <c r="D1570" s="422" t="s">
        <v>1416</v>
      </c>
      <c r="E1570" s="423"/>
      <c r="F1570" s="424"/>
      <c r="G1570" s="425"/>
      <c r="H1570" s="651"/>
      <c r="I1570" s="420">
        <v>62.04</v>
      </c>
      <c r="J1570" s="420">
        <f t="shared" si="381"/>
        <v>62.04</v>
      </c>
      <c r="K1570" s="421">
        <f t="shared" si="380"/>
        <v>73.709999999999994</v>
      </c>
      <c r="L1570" s="647" t="s">
        <v>2065</v>
      </c>
      <c r="M1570" s="576"/>
      <c r="N1570" s="576">
        <f t="shared" si="383"/>
        <v>0</v>
      </c>
      <c r="O1570" s="577">
        <f t="shared" si="377"/>
        <v>0</v>
      </c>
      <c r="P1570" s="578">
        <f t="shared" si="378"/>
        <v>0</v>
      </c>
      <c r="Q1570" s="765"/>
      <c r="R1570" s="576">
        <f t="shared" si="374"/>
        <v>0</v>
      </c>
      <c r="S1570" s="576">
        <f t="shared" si="374"/>
        <v>0</v>
      </c>
      <c r="T1570" s="577">
        <f t="shared" si="375"/>
        <v>0</v>
      </c>
      <c r="U1570" s="578">
        <f t="shared" si="376"/>
        <v>0</v>
      </c>
      <c r="V1570" s="579"/>
      <c r="W1570" s="566"/>
      <c r="X1570" s="586" t="str">
        <f t="shared" si="379"/>
        <v/>
      </c>
      <c r="Y1570" s="586" t="str">
        <f t="shared" si="373"/>
        <v/>
      </c>
      <c r="Z1570" s="586" t="str">
        <f t="shared" si="382"/>
        <v/>
      </c>
    </row>
    <row r="1571" spans="1:26" ht="23.25" hidden="1" thickBot="1" x14ac:dyDescent="0.25">
      <c r="A1571" s="567">
        <v>100923</v>
      </c>
      <c r="B1571" s="644">
        <v>100923</v>
      </c>
      <c r="C1571" s="645" t="s">
        <v>670</v>
      </c>
      <c r="D1571" s="422" t="s">
        <v>1417</v>
      </c>
      <c r="E1571" s="423"/>
      <c r="F1571" s="424"/>
      <c r="G1571" s="425"/>
      <c r="H1571" s="651"/>
      <c r="I1571" s="420">
        <v>72.95</v>
      </c>
      <c r="J1571" s="420">
        <f t="shared" si="381"/>
        <v>72.95</v>
      </c>
      <c r="K1571" s="421">
        <f t="shared" si="380"/>
        <v>86.67</v>
      </c>
      <c r="L1571" s="647" t="s">
        <v>2065</v>
      </c>
      <c r="M1571" s="576"/>
      <c r="N1571" s="576">
        <f t="shared" si="383"/>
        <v>0</v>
      </c>
      <c r="O1571" s="577">
        <f t="shared" si="377"/>
        <v>0</v>
      </c>
      <c r="P1571" s="578">
        <f t="shared" si="378"/>
        <v>0</v>
      </c>
      <c r="Q1571" s="765"/>
      <c r="R1571" s="576">
        <f t="shared" si="374"/>
        <v>0</v>
      </c>
      <c r="S1571" s="576">
        <f t="shared" si="374"/>
        <v>0</v>
      </c>
      <c r="T1571" s="577">
        <f t="shared" si="375"/>
        <v>0</v>
      </c>
      <c r="U1571" s="578">
        <f t="shared" si="376"/>
        <v>0</v>
      </c>
      <c r="V1571" s="579"/>
      <c r="W1571" s="566"/>
      <c r="X1571" s="586" t="str">
        <f t="shared" si="379"/>
        <v/>
      </c>
      <c r="Y1571" s="586" t="str">
        <f t="shared" ref="Y1571:Y1634" si="384">IF(W1571="X","x",IF(W1571="y","x",IF(W1571="xx","x",IF(U1571&gt;0,"x",""))))</f>
        <v/>
      </c>
      <c r="Z1571" s="586" t="str">
        <f t="shared" si="382"/>
        <v/>
      </c>
    </row>
    <row r="1572" spans="1:26" ht="23.25" hidden="1" thickBot="1" x14ac:dyDescent="0.25">
      <c r="A1572" s="567">
        <v>101661</v>
      </c>
      <c r="B1572" s="644">
        <v>101661</v>
      </c>
      <c r="C1572" s="645" t="s">
        <v>670</v>
      </c>
      <c r="D1572" s="422" t="s">
        <v>1418</v>
      </c>
      <c r="E1572" s="423"/>
      <c r="F1572" s="424"/>
      <c r="G1572" s="425"/>
      <c r="H1572" s="651"/>
      <c r="I1572" s="420">
        <v>119.82</v>
      </c>
      <c r="J1572" s="420">
        <f t="shared" si="381"/>
        <v>119.82</v>
      </c>
      <c r="K1572" s="421">
        <f t="shared" si="380"/>
        <v>142.36000000000001</v>
      </c>
      <c r="L1572" s="647" t="s">
        <v>2065</v>
      </c>
      <c r="M1572" s="576"/>
      <c r="N1572" s="576">
        <f t="shared" si="383"/>
        <v>0</v>
      </c>
      <c r="O1572" s="577">
        <f t="shared" si="377"/>
        <v>0</v>
      </c>
      <c r="P1572" s="578">
        <f t="shared" si="378"/>
        <v>0</v>
      </c>
      <c r="Q1572" s="765"/>
      <c r="R1572" s="576">
        <f t="shared" si="374"/>
        <v>0</v>
      </c>
      <c r="S1572" s="576">
        <f t="shared" si="374"/>
        <v>0</v>
      </c>
      <c r="T1572" s="577">
        <f t="shared" si="375"/>
        <v>0</v>
      </c>
      <c r="U1572" s="578">
        <f t="shared" si="376"/>
        <v>0</v>
      </c>
      <c r="V1572" s="579"/>
      <c r="W1572" s="566"/>
      <c r="X1572" s="586" t="str">
        <f t="shared" si="379"/>
        <v/>
      </c>
      <c r="Y1572" s="586" t="str">
        <f t="shared" si="384"/>
        <v/>
      </c>
      <c r="Z1572" s="586" t="str">
        <f t="shared" si="382"/>
        <v/>
      </c>
    </row>
    <row r="1573" spans="1:26" ht="12" hidden="1" thickBot="1" x14ac:dyDescent="0.25">
      <c r="A1573" s="567">
        <v>101651</v>
      </c>
      <c r="B1573" s="644">
        <v>101651</v>
      </c>
      <c r="C1573" s="645" t="s">
        <v>670</v>
      </c>
      <c r="D1573" s="422" t="s">
        <v>1419</v>
      </c>
      <c r="E1573" s="423"/>
      <c r="F1573" s="424"/>
      <c r="G1573" s="425"/>
      <c r="H1573" s="651"/>
      <c r="I1573" s="420">
        <v>68.14</v>
      </c>
      <c r="J1573" s="420">
        <f t="shared" si="381"/>
        <v>68.14</v>
      </c>
      <c r="K1573" s="421">
        <f t="shared" si="380"/>
        <v>80.959999999999994</v>
      </c>
      <c r="L1573" s="647" t="s">
        <v>2065</v>
      </c>
      <c r="M1573" s="576"/>
      <c r="N1573" s="576">
        <f t="shared" si="383"/>
        <v>0</v>
      </c>
      <c r="O1573" s="577">
        <f t="shared" si="377"/>
        <v>0</v>
      </c>
      <c r="P1573" s="578">
        <f t="shared" si="378"/>
        <v>0</v>
      </c>
      <c r="Q1573" s="765"/>
      <c r="R1573" s="576">
        <f t="shared" si="374"/>
        <v>0</v>
      </c>
      <c r="S1573" s="576">
        <f t="shared" si="374"/>
        <v>0</v>
      </c>
      <c r="T1573" s="577">
        <f t="shared" si="375"/>
        <v>0</v>
      </c>
      <c r="U1573" s="578">
        <f t="shared" si="376"/>
        <v>0</v>
      </c>
      <c r="V1573" s="579"/>
      <c r="W1573" s="566"/>
      <c r="X1573" s="586" t="str">
        <f t="shared" si="379"/>
        <v/>
      </c>
      <c r="Y1573" s="586" t="str">
        <f t="shared" si="384"/>
        <v/>
      </c>
      <c r="Z1573" s="586" t="str">
        <f t="shared" si="382"/>
        <v/>
      </c>
    </row>
    <row r="1574" spans="1:26" ht="12" hidden="1" thickBot="1" x14ac:dyDescent="0.25">
      <c r="A1574" s="567">
        <v>101630</v>
      </c>
      <c r="B1574" s="644">
        <v>101630</v>
      </c>
      <c r="C1574" s="645" t="s">
        <v>670</v>
      </c>
      <c r="D1574" s="422" t="s">
        <v>1420</v>
      </c>
      <c r="E1574" s="423"/>
      <c r="F1574" s="424"/>
      <c r="G1574" s="425"/>
      <c r="H1574" s="651"/>
      <c r="I1574" s="420">
        <v>79.58</v>
      </c>
      <c r="J1574" s="420">
        <f t="shared" si="381"/>
        <v>79.58</v>
      </c>
      <c r="K1574" s="421">
        <f t="shared" si="380"/>
        <v>94.55</v>
      </c>
      <c r="L1574" s="647" t="s">
        <v>2065</v>
      </c>
      <c r="M1574" s="576"/>
      <c r="N1574" s="576">
        <f t="shared" si="383"/>
        <v>0</v>
      </c>
      <c r="O1574" s="577">
        <f t="shared" si="377"/>
        <v>0</v>
      </c>
      <c r="P1574" s="578">
        <f t="shared" si="378"/>
        <v>0</v>
      </c>
      <c r="Q1574" s="765"/>
      <c r="R1574" s="576">
        <f t="shared" si="374"/>
        <v>0</v>
      </c>
      <c r="S1574" s="576">
        <f t="shared" si="374"/>
        <v>0</v>
      </c>
      <c r="T1574" s="577">
        <f t="shared" si="375"/>
        <v>0</v>
      </c>
      <c r="U1574" s="578">
        <f t="shared" si="376"/>
        <v>0</v>
      </c>
      <c r="V1574" s="579"/>
      <c r="W1574" s="566"/>
      <c r="X1574" s="586" t="str">
        <f t="shared" si="379"/>
        <v/>
      </c>
      <c r="Y1574" s="586" t="str">
        <f t="shared" si="384"/>
        <v/>
      </c>
      <c r="Z1574" s="586" t="str">
        <f t="shared" si="382"/>
        <v/>
      </c>
    </row>
    <row r="1575" spans="1:26" ht="23.25" hidden="1" thickBot="1" x14ac:dyDescent="0.25">
      <c r="A1575" s="567">
        <v>101631</v>
      </c>
      <c r="B1575" s="644">
        <v>101631</v>
      </c>
      <c r="C1575" s="645" t="s">
        <v>670</v>
      </c>
      <c r="D1575" s="422" t="s">
        <v>1421</v>
      </c>
      <c r="E1575" s="423"/>
      <c r="F1575" s="424"/>
      <c r="G1575" s="425"/>
      <c r="H1575" s="651"/>
      <c r="I1575" s="420">
        <v>24.58</v>
      </c>
      <c r="J1575" s="420">
        <f t="shared" si="381"/>
        <v>24.58</v>
      </c>
      <c r="K1575" s="421">
        <f t="shared" si="380"/>
        <v>29.2</v>
      </c>
      <c r="L1575" s="647" t="s">
        <v>2065</v>
      </c>
      <c r="M1575" s="576"/>
      <c r="N1575" s="576">
        <f t="shared" si="383"/>
        <v>0</v>
      </c>
      <c r="O1575" s="577">
        <f t="shared" si="377"/>
        <v>0</v>
      </c>
      <c r="P1575" s="578">
        <f t="shared" si="378"/>
        <v>0</v>
      </c>
      <c r="Q1575" s="765"/>
      <c r="R1575" s="576">
        <f t="shared" si="374"/>
        <v>0</v>
      </c>
      <c r="S1575" s="576">
        <f t="shared" si="374"/>
        <v>0</v>
      </c>
      <c r="T1575" s="577">
        <f t="shared" si="375"/>
        <v>0</v>
      </c>
      <c r="U1575" s="578">
        <f t="shared" si="376"/>
        <v>0</v>
      </c>
      <c r="V1575" s="579"/>
      <c r="W1575" s="566"/>
      <c r="X1575" s="586" t="str">
        <f t="shared" si="379"/>
        <v/>
      </c>
      <c r="Y1575" s="586" t="str">
        <f t="shared" si="384"/>
        <v/>
      </c>
      <c r="Z1575" s="586" t="str">
        <f t="shared" si="382"/>
        <v/>
      </c>
    </row>
    <row r="1576" spans="1:26" ht="23.25" hidden="1" thickBot="1" x14ac:dyDescent="0.25">
      <c r="A1576" s="567">
        <v>101632</v>
      </c>
      <c r="B1576" s="644">
        <v>101632</v>
      </c>
      <c r="C1576" s="645" t="s">
        <v>670</v>
      </c>
      <c r="D1576" s="422" t="s">
        <v>1422</v>
      </c>
      <c r="E1576" s="423"/>
      <c r="F1576" s="424"/>
      <c r="G1576" s="425"/>
      <c r="H1576" s="651"/>
      <c r="I1576" s="420">
        <v>55.15</v>
      </c>
      <c r="J1576" s="420">
        <f t="shared" si="381"/>
        <v>55.15</v>
      </c>
      <c r="K1576" s="421">
        <f t="shared" si="380"/>
        <v>65.52</v>
      </c>
      <c r="L1576" s="647" t="s">
        <v>2065</v>
      </c>
      <c r="M1576" s="576"/>
      <c r="N1576" s="576">
        <f t="shared" si="383"/>
        <v>0</v>
      </c>
      <c r="O1576" s="577">
        <f t="shared" si="377"/>
        <v>0</v>
      </c>
      <c r="P1576" s="578">
        <f t="shared" si="378"/>
        <v>0</v>
      </c>
      <c r="Q1576" s="765"/>
      <c r="R1576" s="576">
        <f t="shared" si="374"/>
        <v>0</v>
      </c>
      <c r="S1576" s="576">
        <f t="shared" si="374"/>
        <v>0</v>
      </c>
      <c r="T1576" s="577">
        <f t="shared" si="375"/>
        <v>0</v>
      </c>
      <c r="U1576" s="578">
        <f t="shared" si="376"/>
        <v>0</v>
      </c>
      <c r="V1576" s="579"/>
      <c r="W1576" s="566"/>
      <c r="X1576" s="586" t="str">
        <f t="shared" si="379"/>
        <v/>
      </c>
      <c r="Y1576" s="586" t="str">
        <f t="shared" si="384"/>
        <v/>
      </c>
      <c r="Z1576" s="586" t="str">
        <f t="shared" si="382"/>
        <v/>
      </c>
    </row>
    <row r="1577" spans="1:26" ht="23.25" hidden="1" thickBot="1" x14ac:dyDescent="0.25">
      <c r="A1577" s="567">
        <v>101633</v>
      </c>
      <c r="B1577" s="644">
        <v>101633</v>
      </c>
      <c r="C1577" s="645" t="s">
        <v>670</v>
      </c>
      <c r="D1577" s="422" t="s">
        <v>1423</v>
      </c>
      <c r="E1577" s="423"/>
      <c r="F1577" s="424"/>
      <c r="G1577" s="425"/>
      <c r="H1577" s="651"/>
      <c r="I1577" s="420">
        <v>121.12</v>
      </c>
      <c r="J1577" s="420">
        <f t="shared" si="381"/>
        <v>121.12</v>
      </c>
      <c r="K1577" s="421">
        <f t="shared" si="380"/>
        <v>143.9</v>
      </c>
      <c r="L1577" s="647" t="s">
        <v>2065</v>
      </c>
      <c r="M1577" s="576"/>
      <c r="N1577" s="576">
        <f t="shared" si="383"/>
        <v>0</v>
      </c>
      <c r="O1577" s="577">
        <f t="shared" si="377"/>
        <v>0</v>
      </c>
      <c r="P1577" s="578">
        <f t="shared" si="378"/>
        <v>0</v>
      </c>
      <c r="Q1577" s="765"/>
      <c r="R1577" s="576">
        <f t="shared" si="374"/>
        <v>0</v>
      </c>
      <c r="S1577" s="576">
        <f t="shared" si="374"/>
        <v>0</v>
      </c>
      <c r="T1577" s="577">
        <f t="shared" si="375"/>
        <v>0</v>
      </c>
      <c r="U1577" s="578">
        <f t="shared" si="376"/>
        <v>0</v>
      </c>
      <c r="V1577" s="579"/>
      <c r="W1577" s="566"/>
      <c r="X1577" s="586" t="str">
        <f t="shared" si="379"/>
        <v/>
      </c>
      <c r="Y1577" s="586" t="str">
        <f t="shared" si="384"/>
        <v/>
      </c>
      <c r="Z1577" s="586" t="str">
        <f t="shared" si="382"/>
        <v/>
      </c>
    </row>
    <row r="1578" spans="1:26" ht="23.25" hidden="1" thickBot="1" x14ac:dyDescent="0.25">
      <c r="A1578" s="567">
        <v>101636</v>
      </c>
      <c r="B1578" s="644">
        <v>101636</v>
      </c>
      <c r="C1578" s="645" t="s">
        <v>670</v>
      </c>
      <c r="D1578" s="422" t="s">
        <v>1424</v>
      </c>
      <c r="E1578" s="423"/>
      <c r="F1578" s="424"/>
      <c r="G1578" s="425"/>
      <c r="H1578" s="651"/>
      <c r="I1578" s="420">
        <v>175.9</v>
      </c>
      <c r="J1578" s="420">
        <f t="shared" si="381"/>
        <v>175.9</v>
      </c>
      <c r="K1578" s="421">
        <f t="shared" si="380"/>
        <v>208.99</v>
      </c>
      <c r="L1578" s="647" t="s">
        <v>2065</v>
      </c>
      <c r="M1578" s="576"/>
      <c r="N1578" s="576">
        <f t="shared" si="383"/>
        <v>0</v>
      </c>
      <c r="O1578" s="577">
        <f t="shared" si="377"/>
        <v>0</v>
      </c>
      <c r="P1578" s="578">
        <f t="shared" si="378"/>
        <v>0</v>
      </c>
      <c r="Q1578" s="765"/>
      <c r="R1578" s="576">
        <f t="shared" ref="R1578:S1641" si="385">M1578</f>
        <v>0</v>
      </c>
      <c r="S1578" s="576">
        <f t="shared" si="385"/>
        <v>0</v>
      </c>
      <c r="T1578" s="577">
        <f t="shared" si="375"/>
        <v>0</v>
      </c>
      <c r="U1578" s="578">
        <f t="shared" si="376"/>
        <v>0</v>
      </c>
      <c r="V1578" s="579"/>
      <c r="W1578" s="566"/>
      <c r="X1578" s="586" t="str">
        <f t="shared" si="379"/>
        <v/>
      </c>
      <c r="Y1578" s="586" t="str">
        <f t="shared" si="384"/>
        <v/>
      </c>
      <c r="Z1578" s="586" t="str">
        <f t="shared" si="382"/>
        <v/>
      </c>
    </row>
    <row r="1579" spans="1:26" ht="23.25" hidden="1" thickBot="1" x14ac:dyDescent="0.25">
      <c r="A1579" s="567">
        <v>101637</v>
      </c>
      <c r="B1579" s="644">
        <v>101637</v>
      </c>
      <c r="C1579" s="645" t="s">
        <v>670</v>
      </c>
      <c r="D1579" s="422" t="s">
        <v>1425</v>
      </c>
      <c r="E1579" s="423"/>
      <c r="F1579" s="424"/>
      <c r="G1579" s="425"/>
      <c r="H1579" s="651"/>
      <c r="I1579" s="420">
        <v>169.44</v>
      </c>
      <c r="J1579" s="420">
        <f t="shared" si="381"/>
        <v>169.44</v>
      </c>
      <c r="K1579" s="421">
        <f t="shared" si="380"/>
        <v>201.31</v>
      </c>
      <c r="L1579" s="647" t="s">
        <v>2065</v>
      </c>
      <c r="M1579" s="576"/>
      <c r="N1579" s="576">
        <f t="shared" si="383"/>
        <v>0</v>
      </c>
      <c r="O1579" s="577">
        <f t="shared" si="377"/>
        <v>0</v>
      </c>
      <c r="P1579" s="578">
        <f t="shared" si="378"/>
        <v>0</v>
      </c>
      <c r="Q1579" s="765"/>
      <c r="R1579" s="576">
        <f t="shared" si="385"/>
        <v>0</v>
      </c>
      <c r="S1579" s="576">
        <f t="shared" si="385"/>
        <v>0</v>
      </c>
      <c r="T1579" s="577">
        <f t="shared" si="375"/>
        <v>0</v>
      </c>
      <c r="U1579" s="578">
        <f t="shared" si="376"/>
        <v>0</v>
      </c>
      <c r="V1579" s="579"/>
      <c r="W1579" s="566"/>
      <c r="X1579" s="586" t="str">
        <f t="shared" si="379"/>
        <v/>
      </c>
      <c r="Y1579" s="586" t="str">
        <f t="shared" si="384"/>
        <v/>
      </c>
      <c r="Z1579" s="586" t="str">
        <f t="shared" si="382"/>
        <v/>
      </c>
    </row>
    <row r="1580" spans="1:26" ht="12" hidden="1" thickBot="1" x14ac:dyDescent="0.25">
      <c r="A1580" s="567">
        <v>96985</v>
      </c>
      <c r="B1580" s="644">
        <v>96985</v>
      </c>
      <c r="C1580" s="645" t="s">
        <v>670</v>
      </c>
      <c r="D1580" s="422" t="s">
        <v>1426</v>
      </c>
      <c r="E1580" s="423"/>
      <c r="F1580" s="424"/>
      <c r="G1580" s="425"/>
      <c r="H1580" s="651"/>
      <c r="I1580" s="420">
        <v>93.33</v>
      </c>
      <c r="J1580" s="420">
        <f t="shared" si="381"/>
        <v>93.33</v>
      </c>
      <c r="K1580" s="421">
        <f t="shared" si="380"/>
        <v>110.89</v>
      </c>
      <c r="L1580" s="647" t="s">
        <v>2065</v>
      </c>
      <c r="M1580" s="576"/>
      <c r="N1580" s="576">
        <f t="shared" si="383"/>
        <v>0</v>
      </c>
      <c r="O1580" s="577">
        <f t="shared" si="377"/>
        <v>0</v>
      </c>
      <c r="P1580" s="578">
        <f t="shared" si="378"/>
        <v>0</v>
      </c>
      <c r="Q1580" s="765"/>
      <c r="R1580" s="576">
        <f t="shared" si="385"/>
        <v>0</v>
      </c>
      <c r="S1580" s="576">
        <f t="shared" si="385"/>
        <v>0</v>
      </c>
      <c r="T1580" s="577">
        <f t="shared" si="375"/>
        <v>0</v>
      </c>
      <c r="U1580" s="578">
        <f t="shared" si="376"/>
        <v>0</v>
      </c>
      <c r="V1580" s="579"/>
      <c r="W1580" s="566"/>
      <c r="X1580" s="586" t="str">
        <f t="shared" si="379"/>
        <v/>
      </c>
      <c r="Y1580" s="586" t="str">
        <f t="shared" si="384"/>
        <v/>
      </c>
      <c r="Z1580" s="586" t="str">
        <f t="shared" si="382"/>
        <v/>
      </c>
    </row>
    <row r="1581" spans="1:26" ht="12" hidden="1" thickBot="1" x14ac:dyDescent="0.25">
      <c r="A1581" s="567">
        <v>96986</v>
      </c>
      <c r="B1581" s="644">
        <v>96986</v>
      </c>
      <c r="C1581" s="645" t="s">
        <v>670</v>
      </c>
      <c r="D1581" s="422" t="s">
        <v>1427</v>
      </c>
      <c r="E1581" s="423"/>
      <c r="F1581" s="424"/>
      <c r="G1581" s="425"/>
      <c r="H1581" s="651"/>
      <c r="I1581" s="420">
        <v>139.19999999999999</v>
      </c>
      <c r="J1581" s="420">
        <f t="shared" si="381"/>
        <v>139.19999999999999</v>
      </c>
      <c r="K1581" s="421">
        <f t="shared" si="380"/>
        <v>165.38</v>
      </c>
      <c r="L1581" s="647" t="s">
        <v>2065</v>
      </c>
      <c r="M1581" s="576"/>
      <c r="N1581" s="576">
        <f t="shared" si="383"/>
        <v>0</v>
      </c>
      <c r="O1581" s="577">
        <f t="shared" si="377"/>
        <v>0</v>
      </c>
      <c r="P1581" s="578">
        <f t="shared" si="378"/>
        <v>0</v>
      </c>
      <c r="Q1581" s="765"/>
      <c r="R1581" s="576">
        <f t="shared" si="385"/>
        <v>0</v>
      </c>
      <c r="S1581" s="576">
        <f t="shared" si="385"/>
        <v>0</v>
      </c>
      <c r="T1581" s="577">
        <f t="shared" si="375"/>
        <v>0</v>
      </c>
      <c r="U1581" s="578">
        <f t="shared" si="376"/>
        <v>0</v>
      </c>
      <c r="V1581" s="579"/>
      <c r="W1581" s="566"/>
      <c r="X1581" s="586" t="str">
        <f t="shared" si="379"/>
        <v/>
      </c>
      <c r="Y1581" s="586" t="str">
        <f t="shared" si="384"/>
        <v/>
      </c>
      <c r="Z1581" s="586" t="str">
        <f t="shared" si="382"/>
        <v/>
      </c>
    </row>
    <row r="1582" spans="1:26" ht="12" hidden="1" thickBot="1" x14ac:dyDescent="0.25">
      <c r="A1582" s="567">
        <v>96987</v>
      </c>
      <c r="B1582" s="644">
        <v>96987</v>
      </c>
      <c r="C1582" s="645" t="s">
        <v>670</v>
      </c>
      <c r="D1582" s="422" t="s">
        <v>1428</v>
      </c>
      <c r="E1582" s="423"/>
      <c r="F1582" s="424"/>
      <c r="G1582" s="425"/>
      <c r="H1582" s="651"/>
      <c r="I1582" s="420">
        <v>118.53</v>
      </c>
      <c r="J1582" s="420">
        <f t="shared" si="381"/>
        <v>118.53</v>
      </c>
      <c r="K1582" s="421">
        <f t="shared" si="380"/>
        <v>140.83000000000001</v>
      </c>
      <c r="L1582" s="647" t="s">
        <v>2065</v>
      </c>
      <c r="M1582" s="576"/>
      <c r="N1582" s="576">
        <f t="shared" si="383"/>
        <v>0</v>
      </c>
      <c r="O1582" s="577">
        <f t="shared" si="377"/>
        <v>0</v>
      </c>
      <c r="P1582" s="578">
        <f t="shared" si="378"/>
        <v>0</v>
      </c>
      <c r="Q1582" s="765"/>
      <c r="R1582" s="576">
        <f t="shared" si="385"/>
        <v>0</v>
      </c>
      <c r="S1582" s="576">
        <f t="shared" si="385"/>
        <v>0</v>
      </c>
      <c r="T1582" s="577">
        <f t="shared" si="375"/>
        <v>0</v>
      </c>
      <c r="U1582" s="578">
        <f t="shared" si="376"/>
        <v>0</v>
      </c>
      <c r="V1582" s="579"/>
      <c r="W1582" s="566"/>
      <c r="X1582" s="586" t="str">
        <f t="shared" si="379"/>
        <v/>
      </c>
      <c r="Y1582" s="586" t="str">
        <f t="shared" si="384"/>
        <v/>
      </c>
      <c r="Z1582" s="586" t="str">
        <f t="shared" si="382"/>
        <v/>
      </c>
    </row>
    <row r="1583" spans="1:26" ht="12" hidden="1" thickBot="1" x14ac:dyDescent="0.25">
      <c r="A1583" s="567">
        <v>96988</v>
      </c>
      <c r="B1583" s="644">
        <v>96988</v>
      </c>
      <c r="C1583" s="645" t="s">
        <v>670</v>
      </c>
      <c r="D1583" s="422" t="s">
        <v>1429</v>
      </c>
      <c r="E1583" s="423"/>
      <c r="F1583" s="424"/>
      <c r="G1583" s="425"/>
      <c r="H1583" s="651"/>
      <c r="I1583" s="420">
        <v>183.83</v>
      </c>
      <c r="J1583" s="420">
        <f t="shared" si="381"/>
        <v>183.83</v>
      </c>
      <c r="K1583" s="421">
        <f t="shared" si="380"/>
        <v>218.41</v>
      </c>
      <c r="L1583" s="647" t="s">
        <v>2065</v>
      </c>
      <c r="M1583" s="576"/>
      <c r="N1583" s="576">
        <f t="shared" si="383"/>
        <v>0</v>
      </c>
      <c r="O1583" s="577">
        <f t="shared" si="377"/>
        <v>0</v>
      </c>
      <c r="P1583" s="578">
        <f t="shared" si="378"/>
        <v>0</v>
      </c>
      <c r="Q1583" s="765"/>
      <c r="R1583" s="576">
        <f t="shared" si="385"/>
        <v>0</v>
      </c>
      <c r="S1583" s="576">
        <f t="shared" si="385"/>
        <v>0</v>
      </c>
      <c r="T1583" s="577">
        <f t="shared" si="375"/>
        <v>0</v>
      </c>
      <c r="U1583" s="578">
        <f t="shared" si="376"/>
        <v>0</v>
      </c>
      <c r="V1583" s="579"/>
      <c r="W1583" s="566"/>
      <c r="X1583" s="586" t="str">
        <f t="shared" si="379"/>
        <v/>
      </c>
      <c r="Y1583" s="586" t="str">
        <f t="shared" si="384"/>
        <v/>
      </c>
      <c r="Z1583" s="586" t="str">
        <f t="shared" si="382"/>
        <v/>
      </c>
    </row>
    <row r="1584" spans="1:26" ht="23.25" hidden="1" thickBot="1" x14ac:dyDescent="0.25">
      <c r="A1584" s="567">
        <v>96971</v>
      </c>
      <c r="B1584" s="644">
        <v>96971</v>
      </c>
      <c r="C1584" s="645" t="s">
        <v>670</v>
      </c>
      <c r="D1584" s="422" t="s">
        <v>1430</v>
      </c>
      <c r="E1584" s="423"/>
      <c r="F1584" s="424"/>
      <c r="G1584" s="425"/>
      <c r="H1584" s="651"/>
      <c r="I1584" s="420">
        <v>36.29</v>
      </c>
      <c r="J1584" s="420">
        <f t="shared" si="381"/>
        <v>36.29</v>
      </c>
      <c r="K1584" s="421">
        <f t="shared" si="380"/>
        <v>43.12</v>
      </c>
      <c r="L1584" s="647" t="s">
        <v>79</v>
      </c>
      <c r="M1584" s="576"/>
      <c r="N1584" s="576">
        <f t="shared" si="383"/>
        <v>0</v>
      </c>
      <c r="O1584" s="577">
        <f t="shared" si="377"/>
        <v>0</v>
      </c>
      <c r="P1584" s="578">
        <f t="shared" si="378"/>
        <v>0</v>
      </c>
      <c r="Q1584" s="765"/>
      <c r="R1584" s="576">
        <f t="shared" si="385"/>
        <v>0</v>
      </c>
      <c r="S1584" s="576">
        <f t="shared" si="385"/>
        <v>0</v>
      </c>
      <c r="T1584" s="577">
        <f t="shared" si="375"/>
        <v>0</v>
      </c>
      <c r="U1584" s="578">
        <f t="shared" si="376"/>
        <v>0</v>
      </c>
      <c r="V1584" s="579"/>
      <c r="W1584" s="566"/>
      <c r="X1584" s="586" t="str">
        <f t="shared" si="379"/>
        <v/>
      </c>
      <c r="Y1584" s="586" t="str">
        <f t="shared" si="384"/>
        <v/>
      </c>
      <c r="Z1584" s="586" t="str">
        <f t="shared" si="382"/>
        <v/>
      </c>
    </row>
    <row r="1585" spans="1:26" ht="23.25" hidden="1" thickBot="1" x14ac:dyDescent="0.25">
      <c r="A1585" s="567">
        <v>96972</v>
      </c>
      <c r="B1585" s="644">
        <v>96972</v>
      </c>
      <c r="C1585" s="645" t="s">
        <v>670</v>
      </c>
      <c r="D1585" s="422" t="s">
        <v>1431</v>
      </c>
      <c r="E1585" s="423"/>
      <c r="F1585" s="424"/>
      <c r="G1585" s="425"/>
      <c r="H1585" s="651"/>
      <c r="I1585" s="420">
        <v>51.07</v>
      </c>
      <c r="J1585" s="420">
        <f t="shared" si="381"/>
        <v>51.07</v>
      </c>
      <c r="K1585" s="421">
        <f t="shared" si="380"/>
        <v>60.68</v>
      </c>
      <c r="L1585" s="647" t="s">
        <v>79</v>
      </c>
      <c r="M1585" s="576"/>
      <c r="N1585" s="576">
        <f t="shared" si="383"/>
        <v>0</v>
      </c>
      <c r="O1585" s="577">
        <f t="shared" si="377"/>
        <v>0</v>
      </c>
      <c r="P1585" s="578">
        <f t="shared" si="378"/>
        <v>0</v>
      </c>
      <c r="Q1585" s="765"/>
      <c r="R1585" s="576">
        <f t="shared" si="385"/>
        <v>0</v>
      </c>
      <c r="S1585" s="576">
        <f t="shared" si="385"/>
        <v>0</v>
      </c>
      <c r="T1585" s="577">
        <f t="shared" si="375"/>
        <v>0</v>
      </c>
      <c r="U1585" s="578">
        <f t="shared" si="376"/>
        <v>0</v>
      </c>
      <c r="V1585" s="579"/>
      <c r="W1585" s="566"/>
      <c r="X1585" s="586" t="str">
        <f t="shared" si="379"/>
        <v/>
      </c>
      <c r="Y1585" s="586" t="str">
        <f t="shared" si="384"/>
        <v/>
      </c>
      <c r="Z1585" s="586" t="str">
        <f t="shared" si="382"/>
        <v/>
      </c>
    </row>
    <row r="1586" spans="1:26" ht="23.25" hidden="1" thickBot="1" x14ac:dyDescent="0.25">
      <c r="A1586" s="567">
        <v>96973</v>
      </c>
      <c r="B1586" s="644">
        <v>96973</v>
      </c>
      <c r="C1586" s="645" t="s">
        <v>670</v>
      </c>
      <c r="D1586" s="422" t="s">
        <v>1432</v>
      </c>
      <c r="E1586" s="423"/>
      <c r="F1586" s="424"/>
      <c r="G1586" s="425"/>
      <c r="H1586" s="651"/>
      <c r="I1586" s="420">
        <v>65.52</v>
      </c>
      <c r="J1586" s="420">
        <f t="shared" si="381"/>
        <v>65.52</v>
      </c>
      <c r="K1586" s="421">
        <f t="shared" si="380"/>
        <v>77.84</v>
      </c>
      <c r="L1586" s="647" t="s">
        <v>79</v>
      </c>
      <c r="M1586" s="576"/>
      <c r="N1586" s="576">
        <f t="shared" si="383"/>
        <v>0</v>
      </c>
      <c r="O1586" s="577">
        <f t="shared" si="377"/>
        <v>0</v>
      </c>
      <c r="P1586" s="578">
        <f t="shared" si="378"/>
        <v>0</v>
      </c>
      <c r="Q1586" s="765"/>
      <c r="R1586" s="576">
        <f t="shared" si="385"/>
        <v>0</v>
      </c>
      <c r="S1586" s="576">
        <f t="shared" si="385"/>
        <v>0</v>
      </c>
      <c r="T1586" s="577">
        <f t="shared" si="375"/>
        <v>0</v>
      </c>
      <c r="U1586" s="578">
        <f t="shared" si="376"/>
        <v>0</v>
      </c>
      <c r="V1586" s="579"/>
      <c r="W1586" s="566"/>
      <c r="X1586" s="586" t="str">
        <f t="shared" si="379"/>
        <v/>
      </c>
      <c r="Y1586" s="586" t="str">
        <f t="shared" si="384"/>
        <v/>
      </c>
      <c r="Z1586" s="586" t="str">
        <f t="shared" si="382"/>
        <v/>
      </c>
    </row>
    <row r="1587" spans="1:26" ht="23.25" hidden="1" thickBot="1" x14ac:dyDescent="0.25">
      <c r="A1587" s="567">
        <v>96974</v>
      </c>
      <c r="B1587" s="644">
        <v>96974</v>
      </c>
      <c r="C1587" s="645" t="s">
        <v>670</v>
      </c>
      <c r="D1587" s="422" t="s">
        <v>1433</v>
      </c>
      <c r="E1587" s="423"/>
      <c r="F1587" s="424"/>
      <c r="G1587" s="425"/>
      <c r="H1587" s="651"/>
      <c r="I1587" s="420">
        <v>84.79</v>
      </c>
      <c r="J1587" s="420">
        <f t="shared" si="381"/>
        <v>84.79</v>
      </c>
      <c r="K1587" s="421">
        <f t="shared" si="380"/>
        <v>100.74</v>
      </c>
      <c r="L1587" s="647" t="s">
        <v>79</v>
      </c>
      <c r="M1587" s="576"/>
      <c r="N1587" s="576">
        <f t="shared" si="383"/>
        <v>0</v>
      </c>
      <c r="O1587" s="577">
        <f t="shared" si="377"/>
        <v>0</v>
      </c>
      <c r="P1587" s="578">
        <f t="shared" si="378"/>
        <v>0</v>
      </c>
      <c r="Q1587" s="765"/>
      <c r="R1587" s="576">
        <f t="shared" si="385"/>
        <v>0</v>
      </c>
      <c r="S1587" s="576">
        <f t="shared" si="385"/>
        <v>0</v>
      </c>
      <c r="T1587" s="577">
        <f t="shared" si="375"/>
        <v>0</v>
      </c>
      <c r="U1587" s="578">
        <f t="shared" si="376"/>
        <v>0</v>
      </c>
      <c r="V1587" s="579"/>
      <c r="W1587" s="566"/>
      <c r="X1587" s="586" t="str">
        <f t="shared" si="379"/>
        <v/>
      </c>
      <c r="Y1587" s="586" t="str">
        <f t="shared" si="384"/>
        <v/>
      </c>
      <c r="Z1587" s="586" t="str">
        <f t="shared" si="382"/>
        <v/>
      </c>
    </row>
    <row r="1588" spans="1:26" ht="23.25" hidden="1" thickBot="1" x14ac:dyDescent="0.25">
      <c r="A1588" s="567">
        <v>96975</v>
      </c>
      <c r="B1588" s="644">
        <v>96975</v>
      </c>
      <c r="C1588" s="645" t="s">
        <v>670</v>
      </c>
      <c r="D1588" s="422" t="s">
        <v>1434</v>
      </c>
      <c r="E1588" s="423"/>
      <c r="F1588" s="424"/>
      <c r="G1588" s="425"/>
      <c r="H1588" s="651"/>
      <c r="I1588" s="420">
        <v>110.82</v>
      </c>
      <c r="J1588" s="420">
        <f t="shared" si="381"/>
        <v>110.82</v>
      </c>
      <c r="K1588" s="421">
        <f t="shared" si="380"/>
        <v>131.66999999999999</v>
      </c>
      <c r="L1588" s="647" t="s">
        <v>79</v>
      </c>
      <c r="M1588" s="576"/>
      <c r="N1588" s="576">
        <f t="shared" si="383"/>
        <v>0</v>
      </c>
      <c r="O1588" s="577">
        <f t="shared" si="377"/>
        <v>0</v>
      </c>
      <c r="P1588" s="578">
        <f t="shared" si="378"/>
        <v>0</v>
      </c>
      <c r="Q1588" s="765"/>
      <c r="R1588" s="576">
        <f t="shared" si="385"/>
        <v>0</v>
      </c>
      <c r="S1588" s="576">
        <f t="shared" si="385"/>
        <v>0</v>
      </c>
      <c r="T1588" s="577">
        <f t="shared" ref="T1588:T1651" si="386">IF(ISBLANK(R1588),0,ROUND(K1588*R1588,2))</f>
        <v>0</v>
      </c>
      <c r="U1588" s="578">
        <f t="shared" ref="U1588:U1651" si="387">IF(ISBLANK(R1588),0,ROUND(R1588*S1588,2))</f>
        <v>0</v>
      </c>
      <c r="V1588" s="579"/>
      <c r="W1588" s="566"/>
      <c r="X1588" s="586" t="str">
        <f t="shared" si="379"/>
        <v/>
      </c>
      <c r="Y1588" s="586" t="str">
        <f t="shared" si="384"/>
        <v/>
      </c>
      <c r="Z1588" s="586" t="str">
        <f t="shared" si="382"/>
        <v/>
      </c>
    </row>
    <row r="1589" spans="1:26" ht="23.25" hidden="1" thickBot="1" x14ac:dyDescent="0.25">
      <c r="A1589" s="567">
        <v>96976</v>
      </c>
      <c r="B1589" s="644">
        <v>96976</v>
      </c>
      <c r="C1589" s="645" t="s">
        <v>670</v>
      </c>
      <c r="D1589" s="422" t="s">
        <v>1435</v>
      </c>
      <c r="E1589" s="423"/>
      <c r="F1589" s="424"/>
      <c r="G1589" s="425"/>
      <c r="H1589" s="651"/>
      <c r="I1589" s="420">
        <v>145.71</v>
      </c>
      <c r="J1589" s="420">
        <f t="shared" si="381"/>
        <v>145.71</v>
      </c>
      <c r="K1589" s="421">
        <f t="shared" si="380"/>
        <v>173.12</v>
      </c>
      <c r="L1589" s="647" t="s">
        <v>79</v>
      </c>
      <c r="M1589" s="576"/>
      <c r="N1589" s="576">
        <f t="shared" si="383"/>
        <v>0</v>
      </c>
      <c r="O1589" s="577">
        <f t="shared" ref="O1589:O1652" si="388">IF(ISBLANK(M1589),0,ROUND(K1589*M1589,2))</f>
        <v>0</v>
      </c>
      <c r="P1589" s="578">
        <f t="shared" ref="P1589:P1652" si="389">IF(ISBLANK(N1589),0,ROUND(M1589*N1589,2))</f>
        <v>0</v>
      </c>
      <c r="Q1589" s="765"/>
      <c r="R1589" s="576">
        <f t="shared" si="385"/>
        <v>0</v>
      </c>
      <c r="S1589" s="576">
        <f t="shared" si="385"/>
        <v>0</v>
      </c>
      <c r="T1589" s="577">
        <f t="shared" si="386"/>
        <v>0</v>
      </c>
      <c r="U1589" s="578">
        <f t="shared" si="387"/>
        <v>0</v>
      </c>
      <c r="V1589" s="579"/>
      <c r="W1589" s="566"/>
      <c r="X1589" s="586" t="str">
        <f t="shared" si="379"/>
        <v/>
      </c>
      <c r="Y1589" s="586" t="str">
        <f t="shared" si="384"/>
        <v/>
      </c>
      <c r="Z1589" s="586" t="str">
        <f t="shared" si="382"/>
        <v/>
      </c>
    </row>
    <row r="1590" spans="1:26" ht="23.25" hidden="1" thickBot="1" x14ac:dyDescent="0.25">
      <c r="A1590" s="567">
        <v>96977</v>
      </c>
      <c r="B1590" s="644">
        <v>96977</v>
      </c>
      <c r="C1590" s="645" t="s">
        <v>670</v>
      </c>
      <c r="D1590" s="422" t="s">
        <v>1436</v>
      </c>
      <c r="E1590" s="423"/>
      <c r="F1590" s="424"/>
      <c r="G1590" s="425"/>
      <c r="H1590" s="651"/>
      <c r="I1590" s="420">
        <v>59.41</v>
      </c>
      <c r="J1590" s="420">
        <f t="shared" si="381"/>
        <v>59.41</v>
      </c>
      <c r="K1590" s="421">
        <f t="shared" si="380"/>
        <v>70.59</v>
      </c>
      <c r="L1590" s="647" t="s">
        <v>79</v>
      </c>
      <c r="M1590" s="576"/>
      <c r="N1590" s="576">
        <f t="shared" si="383"/>
        <v>0</v>
      </c>
      <c r="O1590" s="577">
        <f t="shared" si="388"/>
        <v>0</v>
      </c>
      <c r="P1590" s="578">
        <f t="shared" si="389"/>
        <v>0</v>
      </c>
      <c r="Q1590" s="765"/>
      <c r="R1590" s="576">
        <f t="shared" si="385"/>
        <v>0</v>
      </c>
      <c r="S1590" s="576">
        <f t="shared" si="385"/>
        <v>0</v>
      </c>
      <c r="T1590" s="577">
        <f t="shared" si="386"/>
        <v>0</v>
      </c>
      <c r="U1590" s="578">
        <f t="shared" si="387"/>
        <v>0</v>
      </c>
      <c r="V1590" s="579"/>
      <c r="W1590" s="566"/>
      <c r="X1590" s="586" t="str">
        <f t="shared" si="379"/>
        <v/>
      </c>
      <c r="Y1590" s="586" t="str">
        <f t="shared" si="384"/>
        <v/>
      </c>
      <c r="Z1590" s="586" t="str">
        <f t="shared" si="382"/>
        <v/>
      </c>
    </row>
    <row r="1591" spans="1:26" ht="23.25" hidden="1" thickBot="1" x14ac:dyDescent="0.25">
      <c r="A1591" s="567">
        <v>96978</v>
      </c>
      <c r="B1591" s="644">
        <v>96978</v>
      </c>
      <c r="C1591" s="645" t="s">
        <v>670</v>
      </c>
      <c r="D1591" s="422" t="s">
        <v>1437</v>
      </c>
      <c r="E1591" s="423"/>
      <c r="F1591" s="424"/>
      <c r="G1591" s="425"/>
      <c r="H1591" s="651"/>
      <c r="I1591" s="420">
        <v>83.34</v>
      </c>
      <c r="J1591" s="420">
        <f t="shared" si="381"/>
        <v>83.34</v>
      </c>
      <c r="K1591" s="421">
        <f t="shared" si="380"/>
        <v>99.02</v>
      </c>
      <c r="L1591" s="647" t="s">
        <v>79</v>
      </c>
      <c r="M1591" s="576"/>
      <c r="N1591" s="576">
        <f t="shared" si="383"/>
        <v>0</v>
      </c>
      <c r="O1591" s="577">
        <f t="shared" si="388"/>
        <v>0</v>
      </c>
      <c r="P1591" s="578">
        <f t="shared" si="389"/>
        <v>0</v>
      </c>
      <c r="Q1591" s="765"/>
      <c r="R1591" s="576">
        <f t="shared" si="385"/>
        <v>0</v>
      </c>
      <c r="S1591" s="576">
        <f t="shared" si="385"/>
        <v>0</v>
      </c>
      <c r="T1591" s="577">
        <f t="shared" si="386"/>
        <v>0</v>
      </c>
      <c r="U1591" s="578">
        <f t="shared" si="387"/>
        <v>0</v>
      </c>
      <c r="V1591" s="579"/>
      <c r="W1591" s="566"/>
      <c r="X1591" s="586" t="str">
        <f t="shared" si="379"/>
        <v/>
      </c>
      <c r="Y1591" s="586" t="str">
        <f t="shared" si="384"/>
        <v/>
      </c>
      <c r="Z1591" s="586" t="str">
        <f t="shared" si="382"/>
        <v/>
      </c>
    </row>
    <row r="1592" spans="1:26" ht="23.25" hidden="1" thickBot="1" x14ac:dyDescent="0.25">
      <c r="A1592" s="567">
        <v>96979</v>
      </c>
      <c r="B1592" s="644">
        <v>96979</v>
      </c>
      <c r="C1592" s="645" t="s">
        <v>670</v>
      </c>
      <c r="D1592" s="422" t="s">
        <v>1438</v>
      </c>
      <c r="E1592" s="423"/>
      <c r="F1592" s="424"/>
      <c r="G1592" s="425"/>
      <c r="H1592" s="651"/>
      <c r="I1592" s="420">
        <v>116.87</v>
      </c>
      <c r="J1592" s="420">
        <f t="shared" si="381"/>
        <v>116.87</v>
      </c>
      <c r="K1592" s="421">
        <f t="shared" si="380"/>
        <v>138.85</v>
      </c>
      <c r="L1592" s="647" t="s">
        <v>79</v>
      </c>
      <c r="M1592" s="576"/>
      <c r="N1592" s="576">
        <f t="shared" si="383"/>
        <v>0</v>
      </c>
      <c r="O1592" s="577">
        <f t="shared" si="388"/>
        <v>0</v>
      </c>
      <c r="P1592" s="578">
        <f t="shared" si="389"/>
        <v>0</v>
      </c>
      <c r="Q1592" s="765"/>
      <c r="R1592" s="576">
        <f t="shared" si="385"/>
        <v>0</v>
      </c>
      <c r="S1592" s="576">
        <f t="shared" si="385"/>
        <v>0</v>
      </c>
      <c r="T1592" s="577">
        <f t="shared" si="386"/>
        <v>0</v>
      </c>
      <c r="U1592" s="578">
        <f t="shared" si="387"/>
        <v>0</v>
      </c>
      <c r="V1592" s="579"/>
      <c r="W1592" s="566"/>
      <c r="X1592" s="586" t="str">
        <f t="shared" si="379"/>
        <v/>
      </c>
      <c r="Y1592" s="586" t="str">
        <f t="shared" si="384"/>
        <v/>
      </c>
      <c r="Z1592" s="586" t="str">
        <f t="shared" si="382"/>
        <v/>
      </c>
    </row>
    <row r="1593" spans="1:26" ht="12" hidden="1" thickBot="1" x14ac:dyDescent="0.25">
      <c r="A1593" s="567">
        <v>96989</v>
      </c>
      <c r="B1593" s="644">
        <v>96989</v>
      </c>
      <c r="C1593" s="645" t="s">
        <v>670</v>
      </c>
      <c r="D1593" s="422" t="s">
        <v>1439</v>
      </c>
      <c r="E1593" s="423"/>
      <c r="F1593" s="424"/>
      <c r="G1593" s="425"/>
      <c r="H1593" s="651"/>
      <c r="I1593" s="420">
        <v>153.85</v>
      </c>
      <c r="J1593" s="420">
        <f t="shared" si="381"/>
        <v>153.85</v>
      </c>
      <c r="K1593" s="421">
        <f t="shared" si="380"/>
        <v>182.79</v>
      </c>
      <c r="L1593" s="647" t="s">
        <v>2065</v>
      </c>
      <c r="M1593" s="576"/>
      <c r="N1593" s="576">
        <f t="shared" si="383"/>
        <v>0</v>
      </c>
      <c r="O1593" s="577">
        <f t="shared" si="388"/>
        <v>0</v>
      </c>
      <c r="P1593" s="578">
        <f t="shared" si="389"/>
        <v>0</v>
      </c>
      <c r="Q1593" s="765"/>
      <c r="R1593" s="576">
        <f t="shared" si="385"/>
        <v>0</v>
      </c>
      <c r="S1593" s="576">
        <f t="shared" si="385"/>
        <v>0</v>
      </c>
      <c r="T1593" s="577">
        <f t="shared" si="386"/>
        <v>0</v>
      </c>
      <c r="U1593" s="578">
        <f t="shared" si="387"/>
        <v>0</v>
      </c>
      <c r="V1593" s="579"/>
      <c r="W1593" s="566"/>
      <c r="X1593" s="586" t="str">
        <f t="shared" si="379"/>
        <v/>
      </c>
      <c r="Y1593" s="586" t="str">
        <f t="shared" si="384"/>
        <v/>
      </c>
      <c r="Z1593" s="586" t="str">
        <f t="shared" si="382"/>
        <v/>
      </c>
    </row>
    <row r="1594" spans="1:26" ht="12" hidden="1" thickBot="1" x14ac:dyDescent="0.25">
      <c r="A1594" s="567">
        <v>98463</v>
      </c>
      <c r="B1594" s="644">
        <v>98463</v>
      </c>
      <c r="C1594" s="645" t="s">
        <v>670</v>
      </c>
      <c r="D1594" s="422" t="s">
        <v>1440</v>
      </c>
      <c r="E1594" s="423"/>
      <c r="F1594" s="424"/>
      <c r="G1594" s="425"/>
      <c r="H1594" s="651"/>
      <c r="I1594" s="420">
        <v>25.58</v>
      </c>
      <c r="J1594" s="420">
        <f t="shared" si="381"/>
        <v>25.58</v>
      </c>
      <c r="K1594" s="421">
        <f t="shared" si="380"/>
        <v>30.39</v>
      </c>
      <c r="L1594" s="647" t="s">
        <v>2065</v>
      </c>
      <c r="M1594" s="576"/>
      <c r="N1594" s="576">
        <f t="shared" si="383"/>
        <v>0</v>
      </c>
      <c r="O1594" s="577">
        <f t="shared" si="388"/>
        <v>0</v>
      </c>
      <c r="P1594" s="578">
        <f t="shared" si="389"/>
        <v>0</v>
      </c>
      <c r="Q1594" s="765"/>
      <c r="R1594" s="576">
        <f t="shared" si="385"/>
        <v>0</v>
      </c>
      <c r="S1594" s="576">
        <f t="shared" si="385"/>
        <v>0</v>
      </c>
      <c r="T1594" s="577">
        <f t="shared" si="386"/>
        <v>0</v>
      </c>
      <c r="U1594" s="578">
        <f t="shared" si="387"/>
        <v>0</v>
      </c>
      <c r="V1594" s="579"/>
      <c r="W1594" s="566"/>
      <c r="X1594" s="586" t="str">
        <f t="shared" si="379"/>
        <v/>
      </c>
      <c r="Y1594" s="586" t="str">
        <f t="shared" si="384"/>
        <v/>
      </c>
      <c r="Z1594" s="586" t="str">
        <f t="shared" si="382"/>
        <v/>
      </c>
    </row>
    <row r="1595" spans="1:26" ht="23.25" hidden="1" thickBot="1" x14ac:dyDescent="0.25">
      <c r="A1595" s="567">
        <v>100560</v>
      </c>
      <c r="B1595" s="644">
        <v>100560</v>
      </c>
      <c r="C1595" s="645" t="s">
        <v>670</v>
      </c>
      <c r="D1595" s="422" t="s">
        <v>1441</v>
      </c>
      <c r="E1595" s="423"/>
      <c r="F1595" s="424"/>
      <c r="G1595" s="425"/>
      <c r="H1595" s="651"/>
      <c r="I1595" s="420">
        <v>136.51</v>
      </c>
      <c r="J1595" s="420">
        <f t="shared" si="381"/>
        <v>136.51</v>
      </c>
      <c r="K1595" s="421">
        <f t="shared" si="380"/>
        <v>162.19</v>
      </c>
      <c r="L1595" s="647" t="s">
        <v>2065</v>
      </c>
      <c r="M1595" s="576"/>
      <c r="N1595" s="576">
        <f t="shared" si="383"/>
        <v>0</v>
      </c>
      <c r="O1595" s="577">
        <f t="shared" si="388"/>
        <v>0</v>
      </c>
      <c r="P1595" s="578">
        <f t="shared" si="389"/>
        <v>0</v>
      </c>
      <c r="Q1595" s="765"/>
      <c r="R1595" s="576">
        <f t="shared" si="385"/>
        <v>0</v>
      </c>
      <c r="S1595" s="576">
        <f t="shared" si="385"/>
        <v>0</v>
      </c>
      <c r="T1595" s="577">
        <f t="shared" si="386"/>
        <v>0</v>
      </c>
      <c r="U1595" s="578">
        <f t="shared" si="387"/>
        <v>0</v>
      </c>
      <c r="V1595" s="579"/>
      <c r="W1595" s="566"/>
      <c r="X1595" s="586" t="str">
        <f t="shared" si="379"/>
        <v/>
      </c>
      <c r="Y1595" s="586" t="str">
        <f t="shared" si="384"/>
        <v/>
      </c>
      <c r="Z1595" s="586" t="str">
        <f t="shared" si="382"/>
        <v/>
      </c>
    </row>
    <row r="1596" spans="1:26" ht="23.25" hidden="1" thickBot="1" x14ac:dyDescent="0.25">
      <c r="A1596" s="567">
        <v>100561</v>
      </c>
      <c r="B1596" s="644">
        <v>100561</v>
      </c>
      <c r="C1596" s="645" t="s">
        <v>670</v>
      </c>
      <c r="D1596" s="422" t="s">
        <v>1442</v>
      </c>
      <c r="E1596" s="423"/>
      <c r="F1596" s="424"/>
      <c r="G1596" s="425"/>
      <c r="H1596" s="651"/>
      <c r="I1596" s="420">
        <v>253.7</v>
      </c>
      <c r="J1596" s="420">
        <f t="shared" si="381"/>
        <v>253.7</v>
      </c>
      <c r="K1596" s="421">
        <f t="shared" si="380"/>
        <v>301.42</v>
      </c>
      <c r="L1596" s="647" t="s">
        <v>2065</v>
      </c>
      <c r="M1596" s="576"/>
      <c r="N1596" s="576">
        <f t="shared" si="383"/>
        <v>0</v>
      </c>
      <c r="O1596" s="577">
        <f t="shared" si="388"/>
        <v>0</v>
      </c>
      <c r="P1596" s="578">
        <f t="shared" si="389"/>
        <v>0</v>
      </c>
      <c r="Q1596" s="765"/>
      <c r="R1596" s="576">
        <f t="shared" si="385"/>
        <v>0</v>
      </c>
      <c r="S1596" s="576">
        <f t="shared" si="385"/>
        <v>0</v>
      </c>
      <c r="T1596" s="577">
        <f t="shared" si="386"/>
        <v>0</v>
      </c>
      <c r="U1596" s="578">
        <f t="shared" si="387"/>
        <v>0</v>
      </c>
      <c r="V1596" s="579"/>
      <c r="W1596" s="566"/>
      <c r="X1596" s="586" t="str">
        <f t="shared" si="379"/>
        <v/>
      </c>
      <c r="Y1596" s="586" t="str">
        <f t="shared" si="384"/>
        <v/>
      </c>
      <c r="Z1596" s="586" t="str">
        <f t="shared" si="382"/>
        <v/>
      </c>
    </row>
    <row r="1597" spans="1:26" ht="23.25" hidden="1" thickBot="1" x14ac:dyDescent="0.25">
      <c r="A1597" s="567">
        <v>100562</v>
      </c>
      <c r="B1597" s="644">
        <v>100562</v>
      </c>
      <c r="C1597" s="645" t="s">
        <v>670</v>
      </c>
      <c r="D1597" s="422" t="s">
        <v>1443</v>
      </c>
      <c r="E1597" s="423"/>
      <c r="F1597" s="424"/>
      <c r="G1597" s="425"/>
      <c r="H1597" s="651"/>
      <c r="I1597" s="420">
        <v>394.91</v>
      </c>
      <c r="J1597" s="420">
        <f t="shared" si="381"/>
        <v>394.91</v>
      </c>
      <c r="K1597" s="421">
        <f t="shared" si="380"/>
        <v>469.19</v>
      </c>
      <c r="L1597" s="647" t="s">
        <v>2065</v>
      </c>
      <c r="M1597" s="576"/>
      <c r="N1597" s="576">
        <f t="shared" si="383"/>
        <v>0</v>
      </c>
      <c r="O1597" s="577">
        <f t="shared" si="388"/>
        <v>0</v>
      </c>
      <c r="P1597" s="578">
        <f t="shared" si="389"/>
        <v>0</v>
      </c>
      <c r="Q1597" s="765"/>
      <c r="R1597" s="576">
        <f t="shared" si="385"/>
        <v>0</v>
      </c>
      <c r="S1597" s="576">
        <f t="shared" si="385"/>
        <v>0</v>
      </c>
      <c r="T1597" s="577">
        <f t="shared" si="386"/>
        <v>0</v>
      </c>
      <c r="U1597" s="578">
        <f t="shared" si="387"/>
        <v>0</v>
      </c>
      <c r="V1597" s="579"/>
      <c r="W1597" s="566"/>
      <c r="X1597" s="586" t="str">
        <f t="shared" ref="X1597:X1660" si="390">IF(W1597="X","x",IF(W1597="xx","x",IF(W1597="xy","x",IF(W1597="y","x",IF(OR(P1597&gt;0,U1597&gt;0),"x","")))))</f>
        <v/>
      </c>
      <c r="Y1597" s="586" t="str">
        <f t="shared" si="384"/>
        <v/>
      </c>
      <c r="Z1597" s="586" t="str">
        <f t="shared" si="382"/>
        <v/>
      </c>
    </row>
    <row r="1598" spans="1:26" ht="23.25" hidden="1" thickBot="1" x14ac:dyDescent="0.25">
      <c r="A1598" s="567">
        <v>100563</v>
      </c>
      <c r="B1598" s="644">
        <v>100563</v>
      </c>
      <c r="C1598" s="645" t="s">
        <v>670</v>
      </c>
      <c r="D1598" s="422" t="s">
        <v>1444</v>
      </c>
      <c r="E1598" s="423"/>
      <c r="F1598" s="424"/>
      <c r="G1598" s="425"/>
      <c r="H1598" s="651"/>
      <c r="I1598" s="420">
        <v>570.80999999999995</v>
      </c>
      <c r="J1598" s="420">
        <f t="shared" si="381"/>
        <v>570.80999999999995</v>
      </c>
      <c r="K1598" s="421">
        <f t="shared" si="380"/>
        <v>678.18</v>
      </c>
      <c r="L1598" s="647" t="s">
        <v>2065</v>
      </c>
      <c r="M1598" s="576"/>
      <c r="N1598" s="576">
        <f t="shared" si="383"/>
        <v>0</v>
      </c>
      <c r="O1598" s="577">
        <f t="shared" si="388"/>
        <v>0</v>
      </c>
      <c r="P1598" s="578">
        <f t="shared" si="389"/>
        <v>0</v>
      </c>
      <c r="Q1598" s="765"/>
      <c r="R1598" s="576">
        <f t="shared" si="385"/>
        <v>0</v>
      </c>
      <c r="S1598" s="576">
        <f t="shared" si="385"/>
        <v>0</v>
      </c>
      <c r="T1598" s="577">
        <f t="shared" si="386"/>
        <v>0</v>
      </c>
      <c r="U1598" s="578">
        <f t="shared" si="387"/>
        <v>0</v>
      </c>
      <c r="V1598" s="579"/>
      <c r="W1598" s="566"/>
      <c r="X1598" s="586" t="str">
        <f t="shared" si="390"/>
        <v/>
      </c>
      <c r="Y1598" s="586" t="str">
        <f t="shared" si="384"/>
        <v/>
      </c>
      <c r="Z1598" s="586" t="str">
        <f t="shared" si="382"/>
        <v/>
      </c>
    </row>
    <row r="1599" spans="1:26" ht="23.25" hidden="1" thickBot="1" x14ac:dyDescent="0.25">
      <c r="A1599" s="567">
        <v>100556</v>
      </c>
      <c r="B1599" s="644">
        <v>100556</v>
      </c>
      <c r="C1599" s="645" t="s">
        <v>670</v>
      </c>
      <c r="D1599" s="422" t="s">
        <v>1445</v>
      </c>
      <c r="E1599" s="423"/>
      <c r="F1599" s="424"/>
      <c r="G1599" s="425"/>
      <c r="H1599" s="651"/>
      <c r="I1599" s="420">
        <v>50.44</v>
      </c>
      <c r="J1599" s="420">
        <f t="shared" si="381"/>
        <v>50.44</v>
      </c>
      <c r="K1599" s="421">
        <f t="shared" si="380"/>
        <v>59.93</v>
      </c>
      <c r="L1599" s="647" t="s">
        <v>2065</v>
      </c>
      <c r="M1599" s="576"/>
      <c r="N1599" s="576">
        <f t="shared" si="383"/>
        <v>0</v>
      </c>
      <c r="O1599" s="577">
        <f t="shared" si="388"/>
        <v>0</v>
      </c>
      <c r="P1599" s="578">
        <f t="shared" si="389"/>
        <v>0</v>
      </c>
      <c r="Q1599" s="765"/>
      <c r="R1599" s="576">
        <f t="shared" si="385"/>
        <v>0</v>
      </c>
      <c r="S1599" s="576">
        <f t="shared" si="385"/>
        <v>0</v>
      </c>
      <c r="T1599" s="577">
        <f t="shared" si="386"/>
        <v>0</v>
      </c>
      <c r="U1599" s="578">
        <f t="shared" si="387"/>
        <v>0</v>
      </c>
      <c r="V1599" s="579"/>
      <c r="W1599" s="566"/>
      <c r="X1599" s="586" t="str">
        <f t="shared" si="390"/>
        <v/>
      </c>
      <c r="Y1599" s="586" t="str">
        <f t="shared" si="384"/>
        <v/>
      </c>
      <c r="Z1599" s="586" t="str">
        <f t="shared" si="382"/>
        <v/>
      </c>
    </row>
    <row r="1600" spans="1:26" ht="23.25" hidden="1" thickBot="1" x14ac:dyDescent="0.25">
      <c r="A1600" s="567">
        <v>100557</v>
      </c>
      <c r="B1600" s="644">
        <v>100557</v>
      </c>
      <c r="C1600" s="645" t="s">
        <v>670</v>
      </c>
      <c r="D1600" s="422" t="s">
        <v>1446</v>
      </c>
      <c r="E1600" s="423"/>
      <c r="F1600" s="424"/>
      <c r="G1600" s="425"/>
      <c r="H1600" s="651"/>
      <c r="I1600" s="420">
        <v>659.16</v>
      </c>
      <c r="J1600" s="420">
        <f t="shared" si="381"/>
        <v>659.16</v>
      </c>
      <c r="K1600" s="421">
        <f t="shared" si="380"/>
        <v>783.15</v>
      </c>
      <c r="L1600" s="647" t="s">
        <v>2065</v>
      </c>
      <c r="M1600" s="576"/>
      <c r="N1600" s="576">
        <f t="shared" si="383"/>
        <v>0</v>
      </c>
      <c r="O1600" s="577">
        <f t="shared" si="388"/>
        <v>0</v>
      </c>
      <c r="P1600" s="578">
        <f t="shared" si="389"/>
        <v>0</v>
      </c>
      <c r="Q1600" s="765"/>
      <c r="R1600" s="576">
        <f t="shared" si="385"/>
        <v>0</v>
      </c>
      <c r="S1600" s="576">
        <f t="shared" si="385"/>
        <v>0</v>
      </c>
      <c r="T1600" s="577">
        <f t="shared" si="386"/>
        <v>0</v>
      </c>
      <c r="U1600" s="578">
        <f t="shared" si="387"/>
        <v>0</v>
      </c>
      <c r="V1600" s="579"/>
      <c r="W1600" s="566"/>
      <c r="X1600" s="586" t="str">
        <f t="shared" si="390"/>
        <v/>
      </c>
      <c r="Y1600" s="586" t="str">
        <f t="shared" si="384"/>
        <v/>
      </c>
      <c r="Z1600" s="586" t="str">
        <f t="shared" si="382"/>
        <v/>
      </c>
    </row>
    <row r="1601" spans="1:26" ht="23.25" hidden="1" thickBot="1" x14ac:dyDescent="0.25">
      <c r="A1601" s="567">
        <v>98294</v>
      </c>
      <c r="B1601" s="644">
        <v>98294</v>
      </c>
      <c r="C1601" s="645" t="s">
        <v>670</v>
      </c>
      <c r="D1601" s="422" t="s">
        <v>1447</v>
      </c>
      <c r="E1601" s="423"/>
      <c r="F1601" s="424"/>
      <c r="G1601" s="425"/>
      <c r="H1601" s="651"/>
      <c r="I1601" s="420">
        <v>7.19</v>
      </c>
      <c r="J1601" s="420">
        <f t="shared" si="381"/>
        <v>7.19</v>
      </c>
      <c r="K1601" s="421">
        <f t="shared" si="380"/>
        <v>8.5399999999999991</v>
      </c>
      <c r="L1601" s="647" t="s">
        <v>79</v>
      </c>
      <c r="M1601" s="576"/>
      <c r="N1601" s="576">
        <f t="shared" si="383"/>
        <v>0</v>
      </c>
      <c r="O1601" s="577">
        <f t="shared" si="388"/>
        <v>0</v>
      </c>
      <c r="P1601" s="578">
        <f t="shared" si="389"/>
        <v>0</v>
      </c>
      <c r="Q1601" s="765"/>
      <c r="R1601" s="576">
        <f t="shared" si="385"/>
        <v>0</v>
      </c>
      <c r="S1601" s="576">
        <f t="shared" si="385"/>
        <v>0</v>
      </c>
      <c r="T1601" s="577">
        <f t="shared" si="386"/>
        <v>0</v>
      </c>
      <c r="U1601" s="578">
        <f t="shared" si="387"/>
        <v>0</v>
      </c>
      <c r="V1601" s="579"/>
      <c r="W1601" s="566"/>
      <c r="X1601" s="586" t="str">
        <f t="shared" si="390"/>
        <v/>
      </c>
      <c r="Y1601" s="586" t="str">
        <f t="shared" si="384"/>
        <v/>
      </c>
      <c r="Z1601" s="586" t="str">
        <f t="shared" si="382"/>
        <v/>
      </c>
    </row>
    <row r="1602" spans="1:26" ht="23.25" hidden="1" thickBot="1" x14ac:dyDescent="0.25">
      <c r="A1602" s="567">
        <v>98295</v>
      </c>
      <c r="B1602" s="644">
        <v>98295</v>
      </c>
      <c r="C1602" s="645" t="s">
        <v>670</v>
      </c>
      <c r="D1602" s="422" t="s">
        <v>1448</v>
      </c>
      <c r="E1602" s="423"/>
      <c r="F1602" s="424"/>
      <c r="G1602" s="425"/>
      <c r="H1602" s="651"/>
      <c r="I1602" s="420">
        <v>6.46</v>
      </c>
      <c r="J1602" s="420">
        <f t="shared" si="381"/>
        <v>6.46</v>
      </c>
      <c r="K1602" s="421">
        <f t="shared" si="380"/>
        <v>7.68</v>
      </c>
      <c r="L1602" s="647" t="s">
        <v>79</v>
      </c>
      <c r="M1602" s="576"/>
      <c r="N1602" s="576">
        <f t="shared" si="383"/>
        <v>0</v>
      </c>
      <c r="O1602" s="577">
        <f t="shared" si="388"/>
        <v>0</v>
      </c>
      <c r="P1602" s="578">
        <f t="shared" si="389"/>
        <v>0</v>
      </c>
      <c r="Q1602" s="765"/>
      <c r="R1602" s="576">
        <f t="shared" si="385"/>
        <v>0</v>
      </c>
      <c r="S1602" s="576">
        <f t="shared" si="385"/>
        <v>0</v>
      </c>
      <c r="T1602" s="577">
        <f t="shared" si="386"/>
        <v>0</v>
      </c>
      <c r="U1602" s="578">
        <f t="shared" si="387"/>
        <v>0</v>
      </c>
      <c r="V1602" s="579"/>
      <c r="W1602" s="566"/>
      <c r="X1602" s="586" t="str">
        <f t="shared" si="390"/>
        <v/>
      </c>
      <c r="Y1602" s="586" t="str">
        <f t="shared" si="384"/>
        <v/>
      </c>
      <c r="Z1602" s="586" t="str">
        <f t="shared" si="382"/>
        <v/>
      </c>
    </row>
    <row r="1603" spans="1:26" ht="23.25" hidden="1" thickBot="1" x14ac:dyDescent="0.25">
      <c r="A1603" s="567">
        <v>98296</v>
      </c>
      <c r="B1603" s="644">
        <v>98296</v>
      </c>
      <c r="C1603" s="645" t="s">
        <v>670</v>
      </c>
      <c r="D1603" s="422" t="s">
        <v>1449</v>
      </c>
      <c r="E1603" s="423"/>
      <c r="F1603" s="424"/>
      <c r="G1603" s="425"/>
      <c r="H1603" s="651"/>
      <c r="I1603" s="420">
        <v>4.9400000000000004</v>
      </c>
      <c r="J1603" s="420">
        <f t="shared" si="381"/>
        <v>4.9400000000000004</v>
      </c>
      <c r="K1603" s="421">
        <f t="shared" si="380"/>
        <v>5.87</v>
      </c>
      <c r="L1603" s="647" t="s">
        <v>79</v>
      </c>
      <c r="M1603" s="576"/>
      <c r="N1603" s="576">
        <f t="shared" si="383"/>
        <v>0</v>
      </c>
      <c r="O1603" s="577">
        <f t="shared" si="388"/>
        <v>0</v>
      </c>
      <c r="P1603" s="578">
        <f t="shared" si="389"/>
        <v>0</v>
      </c>
      <c r="Q1603" s="765"/>
      <c r="R1603" s="576">
        <f t="shared" si="385"/>
        <v>0</v>
      </c>
      <c r="S1603" s="576">
        <f t="shared" si="385"/>
        <v>0</v>
      </c>
      <c r="T1603" s="577">
        <f t="shared" si="386"/>
        <v>0</v>
      </c>
      <c r="U1603" s="578">
        <f t="shared" si="387"/>
        <v>0</v>
      </c>
      <c r="V1603" s="579"/>
      <c r="W1603" s="566"/>
      <c r="X1603" s="586" t="str">
        <f t="shared" si="390"/>
        <v/>
      </c>
      <c r="Y1603" s="586" t="str">
        <f t="shared" si="384"/>
        <v/>
      </c>
      <c r="Z1603" s="586" t="str">
        <f t="shared" si="382"/>
        <v/>
      </c>
    </row>
    <row r="1604" spans="1:26" ht="23.25" hidden="1" thickBot="1" x14ac:dyDescent="0.25">
      <c r="A1604" s="567">
        <v>98297</v>
      </c>
      <c r="B1604" s="644">
        <v>98297</v>
      </c>
      <c r="C1604" s="645" t="s">
        <v>670</v>
      </c>
      <c r="D1604" s="422" t="s">
        <v>1450</v>
      </c>
      <c r="E1604" s="423"/>
      <c r="F1604" s="424"/>
      <c r="G1604" s="425"/>
      <c r="H1604" s="651"/>
      <c r="I1604" s="420">
        <v>3.76</v>
      </c>
      <c r="J1604" s="420">
        <f t="shared" si="381"/>
        <v>3.76</v>
      </c>
      <c r="K1604" s="421">
        <f t="shared" si="380"/>
        <v>4.47</v>
      </c>
      <c r="L1604" s="647" t="s">
        <v>79</v>
      </c>
      <c r="M1604" s="576"/>
      <c r="N1604" s="576">
        <f t="shared" si="383"/>
        <v>0</v>
      </c>
      <c r="O1604" s="577">
        <f t="shared" si="388"/>
        <v>0</v>
      </c>
      <c r="P1604" s="578">
        <f t="shared" si="389"/>
        <v>0</v>
      </c>
      <c r="Q1604" s="765"/>
      <c r="R1604" s="576">
        <f t="shared" si="385"/>
        <v>0</v>
      </c>
      <c r="S1604" s="576">
        <f t="shared" si="385"/>
        <v>0</v>
      </c>
      <c r="T1604" s="577">
        <f t="shared" si="386"/>
        <v>0</v>
      </c>
      <c r="U1604" s="578">
        <f t="shared" si="387"/>
        <v>0</v>
      </c>
      <c r="V1604" s="579"/>
      <c r="W1604" s="566"/>
      <c r="X1604" s="586" t="str">
        <f t="shared" si="390"/>
        <v/>
      </c>
      <c r="Y1604" s="586" t="str">
        <f t="shared" si="384"/>
        <v/>
      </c>
      <c r="Z1604" s="586" t="str">
        <f t="shared" si="382"/>
        <v/>
      </c>
    </row>
    <row r="1605" spans="1:26" ht="12" hidden="1" thickBot="1" x14ac:dyDescent="0.25">
      <c r="A1605" s="567">
        <v>98301</v>
      </c>
      <c r="B1605" s="644">
        <v>98301</v>
      </c>
      <c r="C1605" s="645" t="s">
        <v>670</v>
      </c>
      <c r="D1605" s="422" t="s">
        <v>1451</v>
      </c>
      <c r="E1605" s="423"/>
      <c r="F1605" s="424"/>
      <c r="G1605" s="425"/>
      <c r="H1605" s="651"/>
      <c r="I1605" s="420">
        <v>684.6</v>
      </c>
      <c r="J1605" s="420">
        <f t="shared" si="381"/>
        <v>684.6</v>
      </c>
      <c r="K1605" s="421">
        <f t="shared" si="380"/>
        <v>813.37</v>
      </c>
      <c r="L1605" s="647" t="s">
        <v>2065</v>
      </c>
      <c r="M1605" s="576"/>
      <c r="N1605" s="576">
        <f t="shared" si="383"/>
        <v>0</v>
      </c>
      <c r="O1605" s="577">
        <f t="shared" si="388"/>
        <v>0</v>
      </c>
      <c r="P1605" s="578">
        <f t="shared" si="389"/>
        <v>0</v>
      </c>
      <c r="Q1605" s="765"/>
      <c r="R1605" s="576">
        <f t="shared" si="385"/>
        <v>0</v>
      </c>
      <c r="S1605" s="576">
        <f t="shared" si="385"/>
        <v>0</v>
      </c>
      <c r="T1605" s="577">
        <f t="shared" si="386"/>
        <v>0</v>
      </c>
      <c r="U1605" s="578">
        <f t="shared" si="387"/>
        <v>0</v>
      </c>
      <c r="V1605" s="579"/>
      <c r="W1605" s="566"/>
      <c r="X1605" s="586" t="str">
        <f t="shared" si="390"/>
        <v/>
      </c>
      <c r="Y1605" s="586" t="str">
        <f t="shared" si="384"/>
        <v/>
      </c>
      <c r="Z1605" s="586" t="str">
        <f t="shared" si="382"/>
        <v/>
      </c>
    </row>
    <row r="1606" spans="1:26" ht="12" hidden="1" thickBot="1" x14ac:dyDescent="0.25">
      <c r="A1606" s="567">
        <v>98302</v>
      </c>
      <c r="B1606" s="644">
        <v>98302</v>
      </c>
      <c r="C1606" s="645" t="s">
        <v>670</v>
      </c>
      <c r="D1606" s="422" t="s">
        <v>1452</v>
      </c>
      <c r="E1606" s="423"/>
      <c r="F1606" s="424"/>
      <c r="G1606" s="425"/>
      <c r="H1606" s="651"/>
      <c r="I1606" s="420">
        <v>1290.3900000000001</v>
      </c>
      <c r="J1606" s="420">
        <f t="shared" si="381"/>
        <v>1290.3900000000001</v>
      </c>
      <c r="K1606" s="421">
        <f t="shared" si="380"/>
        <v>1533.11</v>
      </c>
      <c r="L1606" s="647" t="s">
        <v>2065</v>
      </c>
      <c r="M1606" s="576"/>
      <c r="N1606" s="576">
        <f t="shared" si="383"/>
        <v>0</v>
      </c>
      <c r="O1606" s="577">
        <f t="shared" si="388"/>
        <v>0</v>
      </c>
      <c r="P1606" s="578">
        <f t="shared" si="389"/>
        <v>0</v>
      </c>
      <c r="Q1606" s="765"/>
      <c r="R1606" s="576">
        <f t="shared" si="385"/>
        <v>0</v>
      </c>
      <c r="S1606" s="576">
        <f t="shared" si="385"/>
        <v>0</v>
      </c>
      <c r="T1606" s="577">
        <f t="shared" si="386"/>
        <v>0</v>
      </c>
      <c r="U1606" s="578">
        <f t="shared" si="387"/>
        <v>0</v>
      </c>
      <c r="V1606" s="579"/>
      <c r="W1606" s="566"/>
      <c r="X1606" s="586" t="str">
        <f t="shared" si="390"/>
        <v/>
      </c>
      <c r="Y1606" s="586" t="str">
        <f t="shared" si="384"/>
        <v/>
      </c>
      <c r="Z1606" s="586" t="str">
        <f t="shared" si="382"/>
        <v/>
      </c>
    </row>
    <row r="1607" spans="1:26" ht="12" hidden="1" thickBot="1" x14ac:dyDescent="0.25">
      <c r="A1607" s="567">
        <v>98304</v>
      </c>
      <c r="B1607" s="644">
        <v>98304</v>
      </c>
      <c r="C1607" s="645" t="s">
        <v>670</v>
      </c>
      <c r="D1607" s="422" t="s">
        <v>1453</v>
      </c>
      <c r="E1607" s="423"/>
      <c r="F1607" s="424"/>
      <c r="G1607" s="425"/>
      <c r="H1607" s="651"/>
      <c r="I1607" s="420">
        <v>4050.61</v>
      </c>
      <c r="J1607" s="420">
        <f t="shared" si="381"/>
        <v>4050.61</v>
      </c>
      <c r="K1607" s="421">
        <f t="shared" si="380"/>
        <v>4812.53</v>
      </c>
      <c r="L1607" s="647" t="s">
        <v>2065</v>
      </c>
      <c r="M1607" s="576"/>
      <c r="N1607" s="576">
        <f t="shared" si="383"/>
        <v>0</v>
      </c>
      <c r="O1607" s="577">
        <f t="shared" si="388"/>
        <v>0</v>
      </c>
      <c r="P1607" s="578">
        <f t="shared" si="389"/>
        <v>0</v>
      </c>
      <c r="Q1607" s="765"/>
      <c r="R1607" s="576">
        <f t="shared" si="385"/>
        <v>0</v>
      </c>
      <c r="S1607" s="576">
        <f t="shared" si="385"/>
        <v>0</v>
      </c>
      <c r="T1607" s="577">
        <f t="shared" si="386"/>
        <v>0</v>
      </c>
      <c r="U1607" s="578">
        <f t="shared" si="387"/>
        <v>0</v>
      </c>
      <c r="V1607" s="579"/>
      <c r="W1607" s="566"/>
      <c r="X1607" s="586" t="str">
        <f t="shared" si="390"/>
        <v/>
      </c>
      <c r="Y1607" s="586" t="str">
        <f t="shared" si="384"/>
        <v/>
      </c>
      <c r="Z1607" s="586" t="str">
        <f t="shared" si="382"/>
        <v/>
      </c>
    </row>
    <row r="1608" spans="1:26" ht="12" hidden="1" thickBot="1" x14ac:dyDescent="0.25">
      <c r="A1608" s="567">
        <v>98307</v>
      </c>
      <c r="B1608" s="644">
        <v>98307</v>
      </c>
      <c r="C1608" s="645" t="s">
        <v>670</v>
      </c>
      <c r="D1608" s="422" t="s">
        <v>1454</v>
      </c>
      <c r="E1608" s="423"/>
      <c r="F1608" s="424"/>
      <c r="G1608" s="425"/>
      <c r="H1608" s="651"/>
      <c r="I1608" s="420">
        <v>60.66</v>
      </c>
      <c r="J1608" s="420">
        <f t="shared" si="381"/>
        <v>60.66</v>
      </c>
      <c r="K1608" s="421">
        <f t="shared" si="380"/>
        <v>72.069999999999993</v>
      </c>
      <c r="L1608" s="647" t="s">
        <v>2065</v>
      </c>
      <c r="M1608" s="576"/>
      <c r="N1608" s="576">
        <f t="shared" si="383"/>
        <v>0</v>
      </c>
      <c r="O1608" s="577">
        <f t="shared" si="388"/>
        <v>0</v>
      </c>
      <c r="P1608" s="578">
        <f t="shared" si="389"/>
        <v>0</v>
      </c>
      <c r="Q1608" s="765"/>
      <c r="R1608" s="576">
        <f t="shared" si="385"/>
        <v>0</v>
      </c>
      <c r="S1608" s="576">
        <f t="shared" si="385"/>
        <v>0</v>
      </c>
      <c r="T1608" s="577">
        <f t="shared" si="386"/>
        <v>0</v>
      </c>
      <c r="U1608" s="578">
        <f t="shared" si="387"/>
        <v>0</v>
      </c>
      <c r="V1608" s="579"/>
      <c r="W1608" s="566"/>
      <c r="X1608" s="586" t="str">
        <f t="shared" si="390"/>
        <v/>
      </c>
      <c r="Y1608" s="586" t="str">
        <f t="shared" si="384"/>
        <v/>
      </c>
      <c r="Z1608" s="586" t="str">
        <f t="shared" si="382"/>
        <v/>
      </c>
    </row>
    <row r="1609" spans="1:26" ht="12" hidden="1" thickBot="1" x14ac:dyDescent="0.25">
      <c r="A1609" s="567">
        <v>98308</v>
      </c>
      <c r="B1609" s="644">
        <v>98308</v>
      </c>
      <c r="C1609" s="645" t="s">
        <v>670</v>
      </c>
      <c r="D1609" s="422" t="s">
        <v>1455</v>
      </c>
      <c r="E1609" s="423"/>
      <c r="F1609" s="424"/>
      <c r="G1609" s="425"/>
      <c r="H1609" s="651"/>
      <c r="I1609" s="420">
        <v>39.03</v>
      </c>
      <c r="J1609" s="420">
        <f t="shared" si="381"/>
        <v>39.03</v>
      </c>
      <c r="K1609" s="421">
        <f t="shared" ref="K1609:K1656" si="391">IF(ISBLANK(I1609),0,ROUND(J1609*(1+$F$10)*(1+$F$11*E1609),2))</f>
        <v>46.37</v>
      </c>
      <c r="L1609" s="647" t="s">
        <v>2065</v>
      </c>
      <c r="M1609" s="576"/>
      <c r="N1609" s="576">
        <f t="shared" si="383"/>
        <v>0</v>
      </c>
      <c r="O1609" s="577">
        <f t="shared" si="388"/>
        <v>0</v>
      </c>
      <c r="P1609" s="578">
        <f t="shared" si="389"/>
        <v>0</v>
      </c>
      <c r="Q1609" s="765"/>
      <c r="R1609" s="576">
        <f t="shared" si="385"/>
        <v>0</v>
      </c>
      <c r="S1609" s="576">
        <f t="shared" si="385"/>
        <v>0</v>
      </c>
      <c r="T1609" s="577">
        <f t="shared" si="386"/>
        <v>0</v>
      </c>
      <c r="U1609" s="578">
        <f t="shared" si="387"/>
        <v>0</v>
      </c>
      <c r="V1609" s="579"/>
      <c r="W1609" s="566"/>
      <c r="X1609" s="586" t="str">
        <f t="shared" si="390"/>
        <v/>
      </c>
      <c r="Y1609" s="586" t="str">
        <f t="shared" si="384"/>
        <v/>
      </c>
      <c r="Z1609" s="586" t="str">
        <f t="shared" si="382"/>
        <v/>
      </c>
    </row>
    <row r="1610" spans="1:26" ht="12" hidden="1" thickBot="1" x14ac:dyDescent="0.25">
      <c r="A1610" s="567">
        <v>98593</v>
      </c>
      <c r="B1610" s="644">
        <v>98593</v>
      </c>
      <c r="C1610" s="645" t="s">
        <v>670</v>
      </c>
      <c r="D1610" s="422" t="s">
        <v>1456</v>
      </c>
      <c r="E1610" s="423"/>
      <c r="F1610" s="424"/>
      <c r="G1610" s="425"/>
      <c r="H1610" s="651"/>
      <c r="I1610" s="420">
        <v>2815.39</v>
      </c>
      <c r="J1610" s="420">
        <f t="shared" si="381"/>
        <v>2815.39</v>
      </c>
      <c r="K1610" s="421">
        <f t="shared" si="391"/>
        <v>3344.96</v>
      </c>
      <c r="L1610" s="647" t="s">
        <v>2065</v>
      </c>
      <c r="M1610" s="576"/>
      <c r="N1610" s="576">
        <f t="shared" si="383"/>
        <v>0</v>
      </c>
      <c r="O1610" s="577">
        <f t="shared" si="388"/>
        <v>0</v>
      </c>
      <c r="P1610" s="578">
        <f t="shared" si="389"/>
        <v>0</v>
      </c>
      <c r="Q1610" s="765"/>
      <c r="R1610" s="576">
        <f t="shared" si="385"/>
        <v>0</v>
      </c>
      <c r="S1610" s="576">
        <f t="shared" si="385"/>
        <v>0</v>
      </c>
      <c r="T1610" s="577">
        <f t="shared" si="386"/>
        <v>0</v>
      </c>
      <c r="U1610" s="578">
        <f t="shared" si="387"/>
        <v>0</v>
      </c>
      <c r="V1610" s="579"/>
      <c r="W1610" s="566"/>
      <c r="X1610" s="586" t="str">
        <f t="shared" si="390"/>
        <v/>
      </c>
      <c r="Y1610" s="586" t="str">
        <f t="shared" si="384"/>
        <v/>
      </c>
      <c r="Z1610" s="586" t="str">
        <f t="shared" si="382"/>
        <v/>
      </c>
    </row>
    <row r="1611" spans="1:26" ht="23.25" hidden="1" thickBot="1" x14ac:dyDescent="0.25">
      <c r="A1611" s="567">
        <v>98400</v>
      </c>
      <c r="B1611" s="644">
        <v>98400</v>
      </c>
      <c r="C1611" s="645" t="s">
        <v>670</v>
      </c>
      <c r="D1611" s="422" t="s">
        <v>1457</v>
      </c>
      <c r="E1611" s="423"/>
      <c r="F1611" s="424"/>
      <c r="G1611" s="425"/>
      <c r="H1611" s="651"/>
      <c r="I1611" s="420">
        <v>14.58</v>
      </c>
      <c r="J1611" s="420">
        <f t="shared" si="381"/>
        <v>14.58</v>
      </c>
      <c r="K1611" s="421">
        <f t="shared" si="391"/>
        <v>17.32</v>
      </c>
      <c r="L1611" s="647" t="s">
        <v>79</v>
      </c>
      <c r="M1611" s="576"/>
      <c r="N1611" s="576">
        <f t="shared" si="383"/>
        <v>0</v>
      </c>
      <c r="O1611" s="577">
        <f t="shared" si="388"/>
        <v>0</v>
      </c>
      <c r="P1611" s="578">
        <f t="shared" si="389"/>
        <v>0</v>
      </c>
      <c r="Q1611" s="765"/>
      <c r="R1611" s="576">
        <f t="shared" si="385"/>
        <v>0</v>
      </c>
      <c r="S1611" s="576">
        <f t="shared" si="385"/>
        <v>0</v>
      </c>
      <c r="T1611" s="577">
        <f t="shared" si="386"/>
        <v>0</v>
      </c>
      <c r="U1611" s="578">
        <f t="shared" si="387"/>
        <v>0</v>
      </c>
      <c r="V1611" s="579"/>
      <c r="W1611" s="566"/>
      <c r="X1611" s="586" t="str">
        <f t="shared" si="390"/>
        <v/>
      </c>
      <c r="Y1611" s="586" t="str">
        <f t="shared" si="384"/>
        <v/>
      </c>
      <c r="Z1611" s="586" t="str">
        <f t="shared" si="382"/>
        <v/>
      </c>
    </row>
    <row r="1612" spans="1:26" ht="23.25" hidden="1" thickBot="1" x14ac:dyDescent="0.25">
      <c r="A1612" s="567">
        <v>98401</v>
      </c>
      <c r="B1612" s="644">
        <v>98401</v>
      </c>
      <c r="C1612" s="645" t="s">
        <v>670</v>
      </c>
      <c r="D1612" s="422" t="s">
        <v>1458</v>
      </c>
      <c r="E1612" s="423"/>
      <c r="F1612" s="424"/>
      <c r="G1612" s="425"/>
      <c r="H1612" s="651"/>
      <c r="I1612" s="420">
        <v>22.67</v>
      </c>
      <c r="J1612" s="420">
        <f t="shared" si="381"/>
        <v>22.67</v>
      </c>
      <c r="K1612" s="421">
        <f t="shared" si="391"/>
        <v>26.93</v>
      </c>
      <c r="L1612" s="647" t="s">
        <v>79</v>
      </c>
      <c r="M1612" s="576"/>
      <c r="N1612" s="576">
        <f t="shared" si="383"/>
        <v>0</v>
      </c>
      <c r="O1612" s="577">
        <f t="shared" si="388"/>
        <v>0</v>
      </c>
      <c r="P1612" s="578">
        <f t="shared" si="389"/>
        <v>0</v>
      </c>
      <c r="Q1612" s="765"/>
      <c r="R1612" s="576">
        <f t="shared" si="385"/>
        <v>0</v>
      </c>
      <c r="S1612" s="576">
        <f t="shared" si="385"/>
        <v>0</v>
      </c>
      <c r="T1612" s="577">
        <f t="shared" si="386"/>
        <v>0</v>
      </c>
      <c r="U1612" s="578">
        <f t="shared" si="387"/>
        <v>0</v>
      </c>
      <c r="V1612" s="579"/>
      <c r="W1612" s="566"/>
      <c r="X1612" s="586" t="str">
        <f t="shared" si="390"/>
        <v/>
      </c>
      <c r="Y1612" s="586" t="str">
        <f t="shared" si="384"/>
        <v/>
      </c>
      <c r="Z1612" s="586" t="str">
        <f t="shared" si="382"/>
        <v/>
      </c>
    </row>
    <row r="1613" spans="1:26" ht="23.25" hidden="1" thickBot="1" x14ac:dyDescent="0.25">
      <c r="A1613" s="567">
        <v>98402</v>
      </c>
      <c r="B1613" s="644">
        <v>98402</v>
      </c>
      <c r="C1613" s="645" t="s">
        <v>670</v>
      </c>
      <c r="D1613" s="422" t="s">
        <v>1459</v>
      </c>
      <c r="E1613" s="423"/>
      <c r="F1613" s="424"/>
      <c r="G1613" s="425"/>
      <c r="H1613" s="651"/>
      <c r="I1613" s="420">
        <v>26.41</v>
      </c>
      <c r="J1613" s="420">
        <f t="shared" si="381"/>
        <v>26.41</v>
      </c>
      <c r="K1613" s="421">
        <f t="shared" si="391"/>
        <v>31.38</v>
      </c>
      <c r="L1613" s="647" t="s">
        <v>79</v>
      </c>
      <c r="M1613" s="576"/>
      <c r="N1613" s="576">
        <f t="shared" si="383"/>
        <v>0</v>
      </c>
      <c r="O1613" s="577">
        <f t="shared" si="388"/>
        <v>0</v>
      </c>
      <c r="P1613" s="578">
        <f t="shared" si="389"/>
        <v>0</v>
      </c>
      <c r="Q1613" s="765"/>
      <c r="R1613" s="576">
        <f t="shared" si="385"/>
        <v>0</v>
      </c>
      <c r="S1613" s="576">
        <f t="shared" si="385"/>
        <v>0</v>
      </c>
      <c r="T1613" s="577">
        <f t="shared" si="386"/>
        <v>0</v>
      </c>
      <c r="U1613" s="578">
        <f t="shared" si="387"/>
        <v>0</v>
      </c>
      <c r="V1613" s="579"/>
      <c r="W1613" s="566"/>
      <c r="X1613" s="586" t="str">
        <f t="shared" si="390"/>
        <v/>
      </c>
      <c r="Y1613" s="586" t="str">
        <f t="shared" si="384"/>
        <v/>
      </c>
      <c r="Z1613" s="586" t="str">
        <f t="shared" si="382"/>
        <v/>
      </c>
    </row>
    <row r="1614" spans="1:26" ht="23.25" hidden="1" thickBot="1" x14ac:dyDescent="0.25">
      <c r="A1614" s="567">
        <v>98267</v>
      </c>
      <c r="B1614" s="644">
        <v>98267</v>
      </c>
      <c r="C1614" s="645" t="s">
        <v>670</v>
      </c>
      <c r="D1614" s="422" t="s">
        <v>1460</v>
      </c>
      <c r="E1614" s="423"/>
      <c r="F1614" s="424"/>
      <c r="G1614" s="425"/>
      <c r="H1614" s="651"/>
      <c r="I1614" s="420">
        <v>11.95</v>
      </c>
      <c r="J1614" s="420">
        <f t="shared" si="381"/>
        <v>11.95</v>
      </c>
      <c r="K1614" s="421">
        <f t="shared" si="391"/>
        <v>14.2</v>
      </c>
      <c r="L1614" s="647" t="s">
        <v>79</v>
      </c>
      <c r="M1614" s="576"/>
      <c r="N1614" s="576">
        <f t="shared" si="383"/>
        <v>0</v>
      </c>
      <c r="O1614" s="577">
        <f t="shared" si="388"/>
        <v>0</v>
      </c>
      <c r="P1614" s="578">
        <f t="shared" si="389"/>
        <v>0</v>
      </c>
      <c r="Q1614" s="765"/>
      <c r="R1614" s="576">
        <f t="shared" si="385"/>
        <v>0</v>
      </c>
      <c r="S1614" s="576">
        <f t="shared" si="385"/>
        <v>0</v>
      </c>
      <c r="T1614" s="577">
        <f t="shared" si="386"/>
        <v>0</v>
      </c>
      <c r="U1614" s="578">
        <f t="shared" si="387"/>
        <v>0</v>
      </c>
      <c r="V1614" s="579"/>
      <c r="W1614" s="566"/>
      <c r="X1614" s="586" t="str">
        <f t="shared" si="390"/>
        <v/>
      </c>
      <c r="Y1614" s="586" t="str">
        <f t="shared" si="384"/>
        <v/>
      </c>
      <c r="Z1614" s="586" t="str">
        <f t="shared" si="382"/>
        <v/>
      </c>
    </row>
    <row r="1615" spans="1:26" ht="23.25" hidden="1" thickBot="1" x14ac:dyDescent="0.25">
      <c r="A1615" s="567">
        <v>98268</v>
      </c>
      <c r="B1615" s="644">
        <v>98268</v>
      </c>
      <c r="C1615" s="645" t="s">
        <v>670</v>
      </c>
      <c r="D1615" s="422" t="s">
        <v>1461</v>
      </c>
      <c r="E1615" s="423"/>
      <c r="F1615" s="424"/>
      <c r="G1615" s="425"/>
      <c r="H1615" s="651"/>
      <c r="I1615" s="420">
        <v>19.010000000000002</v>
      </c>
      <c r="J1615" s="420">
        <f t="shared" si="381"/>
        <v>19.010000000000002</v>
      </c>
      <c r="K1615" s="421">
        <f t="shared" si="391"/>
        <v>22.59</v>
      </c>
      <c r="L1615" s="647" t="s">
        <v>79</v>
      </c>
      <c r="M1615" s="576"/>
      <c r="N1615" s="576">
        <f t="shared" si="383"/>
        <v>0</v>
      </c>
      <c r="O1615" s="577">
        <f t="shared" si="388"/>
        <v>0</v>
      </c>
      <c r="P1615" s="578">
        <f t="shared" si="389"/>
        <v>0</v>
      </c>
      <c r="Q1615" s="765"/>
      <c r="R1615" s="576">
        <f t="shared" si="385"/>
        <v>0</v>
      </c>
      <c r="S1615" s="576">
        <f t="shared" si="385"/>
        <v>0</v>
      </c>
      <c r="T1615" s="577">
        <f t="shared" si="386"/>
        <v>0</v>
      </c>
      <c r="U1615" s="578">
        <f t="shared" si="387"/>
        <v>0</v>
      </c>
      <c r="V1615" s="579"/>
      <c r="W1615" s="566"/>
      <c r="X1615" s="586" t="str">
        <f t="shared" si="390"/>
        <v/>
      </c>
      <c r="Y1615" s="586" t="str">
        <f t="shared" si="384"/>
        <v/>
      </c>
      <c r="Z1615" s="586" t="str">
        <f t="shared" si="382"/>
        <v/>
      </c>
    </row>
    <row r="1616" spans="1:26" ht="23.25" hidden="1" thickBot="1" x14ac:dyDescent="0.25">
      <c r="A1616" s="567">
        <v>98269</v>
      </c>
      <c r="B1616" s="644">
        <v>98269</v>
      </c>
      <c r="C1616" s="645" t="s">
        <v>670</v>
      </c>
      <c r="D1616" s="422" t="s">
        <v>1462</v>
      </c>
      <c r="E1616" s="423"/>
      <c r="F1616" s="424"/>
      <c r="G1616" s="425"/>
      <c r="H1616" s="651"/>
      <c r="I1616" s="420">
        <v>25.84</v>
      </c>
      <c r="J1616" s="420">
        <f t="shared" si="381"/>
        <v>25.84</v>
      </c>
      <c r="K1616" s="421">
        <f t="shared" si="391"/>
        <v>30.7</v>
      </c>
      <c r="L1616" s="647" t="s">
        <v>79</v>
      </c>
      <c r="M1616" s="576"/>
      <c r="N1616" s="576">
        <f t="shared" si="383"/>
        <v>0</v>
      </c>
      <c r="O1616" s="577">
        <f t="shared" si="388"/>
        <v>0</v>
      </c>
      <c r="P1616" s="578">
        <f t="shared" si="389"/>
        <v>0</v>
      </c>
      <c r="Q1616" s="765"/>
      <c r="R1616" s="576">
        <f t="shared" si="385"/>
        <v>0</v>
      </c>
      <c r="S1616" s="576">
        <f t="shared" si="385"/>
        <v>0</v>
      </c>
      <c r="T1616" s="577">
        <f t="shared" si="386"/>
        <v>0</v>
      </c>
      <c r="U1616" s="578">
        <f t="shared" si="387"/>
        <v>0</v>
      </c>
      <c r="V1616" s="579"/>
      <c r="W1616" s="566"/>
      <c r="X1616" s="586" t="str">
        <f t="shared" si="390"/>
        <v/>
      </c>
      <c r="Y1616" s="586" t="str">
        <f t="shared" si="384"/>
        <v/>
      </c>
      <c r="Z1616" s="586" t="str">
        <f t="shared" si="382"/>
        <v/>
      </c>
    </row>
    <row r="1617" spans="1:26" ht="23.25" hidden="1" thickBot="1" x14ac:dyDescent="0.25">
      <c r="A1617" s="567">
        <v>98270</v>
      </c>
      <c r="B1617" s="644">
        <v>98270</v>
      </c>
      <c r="C1617" s="645" t="s">
        <v>670</v>
      </c>
      <c r="D1617" s="422" t="s">
        <v>1463</v>
      </c>
      <c r="E1617" s="423"/>
      <c r="F1617" s="424"/>
      <c r="G1617" s="425"/>
      <c r="H1617" s="651"/>
      <c r="I1617" s="420">
        <v>38.770000000000003</v>
      </c>
      <c r="J1617" s="420">
        <f t="shared" si="381"/>
        <v>38.770000000000003</v>
      </c>
      <c r="K1617" s="421">
        <f t="shared" si="391"/>
        <v>46.06</v>
      </c>
      <c r="L1617" s="647" t="s">
        <v>79</v>
      </c>
      <c r="M1617" s="576"/>
      <c r="N1617" s="576">
        <f t="shared" si="383"/>
        <v>0</v>
      </c>
      <c r="O1617" s="577">
        <f t="shared" si="388"/>
        <v>0</v>
      </c>
      <c r="P1617" s="578">
        <f t="shared" si="389"/>
        <v>0</v>
      </c>
      <c r="Q1617" s="765"/>
      <c r="R1617" s="576">
        <f t="shared" si="385"/>
        <v>0</v>
      </c>
      <c r="S1617" s="576">
        <f t="shared" si="385"/>
        <v>0</v>
      </c>
      <c r="T1617" s="577">
        <f t="shared" si="386"/>
        <v>0</v>
      </c>
      <c r="U1617" s="578">
        <f t="shared" si="387"/>
        <v>0</v>
      </c>
      <c r="V1617" s="579"/>
      <c r="W1617" s="566"/>
      <c r="X1617" s="586" t="str">
        <f t="shared" si="390"/>
        <v/>
      </c>
      <c r="Y1617" s="586" t="str">
        <f t="shared" si="384"/>
        <v/>
      </c>
      <c r="Z1617" s="586" t="str">
        <f t="shared" si="382"/>
        <v/>
      </c>
    </row>
    <row r="1618" spans="1:26" ht="23.25" hidden="1" thickBot="1" x14ac:dyDescent="0.25">
      <c r="A1618" s="567">
        <v>98271</v>
      </c>
      <c r="B1618" s="644">
        <v>98271</v>
      </c>
      <c r="C1618" s="645" t="s">
        <v>670</v>
      </c>
      <c r="D1618" s="422" t="s">
        <v>1464</v>
      </c>
      <c r="E1618" s="423"/>
      <c r="F1618" s="424"/>
      <c r="G1618" s="425"/>
      <c r="H1618" s="651"/>
      <c r="I1618" s="420">
        <v>54.34</v>
      </c>
      <c r="J1618" s="420">
        <f t="shared" si="381"/>
        <v>54.34</v>
      </c>
      <c r="K1618" s="421">
        <f t="shared" si="391"/>
        <v>64.56</v>
      </c>
      <c r="L1618" s="647" t="s">
        <v>79</v>
      </c>
      <c r="M1618" s="576"/>
      <c r="N1618" s="576">
        <f t="shared" si="383"/>
        <v>0</v>
      </c>
      <c r="O1618" s="577">
        <f t="shared" si="388"/>
        <v>0</v>
      </c>
      <c r="P1618" s="578">
        <f t="shared" si="389"/>
        <v>0</v>
      </c>
      <c r="Q1618" s="765"/>
      <c r="R1618" s="576">
        <f t="shared" si="385"/>
        <v>0</v>
      </c>
      <c r="S1618" s="576">
        <f t="shared" si="385"/>
        <v>0</v>
      </c>
      <c r="T1618" s="577">
        <f t="shared" si="386"/>
        <v>0</v>
      </c>
      <c r="U1618" s="578">
        <f t="shared" si="387"/>
        <v>0</v>
      </c>
      <c r="V1618" s="579"/>
      <c r="W1618" s="566"/>
      <c r="X1618" s="586" t="str">
        <f t="shared" si="390"/>
        <v/>
      </c>
      <c r="Y1618" s="586" t="str">
        <f t="shared" si="384"/>
        <v/>
      </c>
      <c r="Z1618" s="586" t="str">
        <f t="shared" si="382"/>
        <v/>
      </c>
    </row>
    <row r="1619" spans="1:26" ht="23.25" hidden="1" thickBot="1" x14ac:dyDescent="0.25">
      <c r="A1619" s="567">
        <v>98272</v>
      </c>
      <c r="B1619" s="644">
        <v>98272</v>
      </c>
      <c r="C1619" s="645" t="s">
        <v>670</v>
      </c>
      <c r="D1619" s="422" t="s">
        <v>1465</v>
      </c>
      <c r="E1619" s="423"/>
      <c r="F1619" s="424"/>
      <c r="G1619" s="425"/>
      <c r="H1619" s="651"/>
      <c r="I1619" s="420">
        <v>124.06</v>
      </c>
      <c r="J1619" s="420">
        <f t="shared" ref="J1619:J1655" si="392">IF(ISBLANK(I1619),"",SUM(H1619:I1619))</f>
        <v>124.06</v>
      </c>
      <c r="K1619" s="421">
        <f t="shared" si="391"/>
        <v>147.4</v>
      </c>
      <c r="L1619" s="647" t="s">
        <v>79</v>
      </c>
      <c r="M1619" s="576"/>
      <c r="N1619" s="576">
        <f t="shared" si="383"/>
        <v>0</v>
      </c>
      <c r="O1619" s="577">
        <f t="shared" si="388"/>
        <v>0</v>
      </c>
      <c r="P1619" s="578">
        <f t="shared" si="389"/>
        <v>0</v>
      </c>
      <c r="Q1619" s="765"/>
      <c r="R1619" s="576">
        <f t="shared" si="385"/>
        <v>0</v>
      </c>
      <c r="S1619" s="576">
        <f t="shared" si="385"/>
        <v>0</v>
      </c>
      <c r="T1619" s="577">
        <f t="shared" si="386"/>
        <v>0</v>
      </c>
      <c r="U1619" s="578">
        <f t="shared" si="387"/>
        <v>0</v>
      </c>
      <c r="V1619" s="579"/>
      <c r="W1619" s="566"/>
      <c r="X1619" s="586" t="str">
        <f t="shared" si="390"/>
        <v/>
      </c>
      <c r="Y1619" s="586" t="str">
        <f t="shared" si="384"/>
        <v/>
      </c>
      <c r="Z1619" s="586" t="str">
        <f t="shared" ref="Z1619:Z1682" si="393">IF(W1619="X","x",IF(U1619&gt;0,"x",""))</f>
        <v/>
      </c>
    </row>
    <row r="1620" spans="1:26" ht="23.25" hidden="1" thickBot="1" x14ac:dyDescent="0.25">
      <c r="A1620" s="567">
        <v>98276</v>
      </c>
      <c r="B1620" s="644">
        <v>98276</v>
      </c>
      <c r="C1620" s="645" t="s">
        <v>670</v>
      </c>
      <c r="D1620" s="422" t="s">
        <v>1466</v>
      </c>
      <c r="E1620" s="423"/>
      <c r="F1620" s="424"/>
      <c r="G1620" s="425"/>
      <c r="H1620" s="651"/>
      <c r="I1620" s="420">
        <v>8.8000000000000007</v>
      </c>
      <c r="J1620" s="420">
        <f t="shared" si="392"/>
        <v>8.8000000000000007</v>
      </c>
      <c r="K1620" s="421">
        <f t="shared" si="391"/>
        <v>10.46</v>
      </c>
      <c r="L1620" s="647" t="s">
        <v>79</v>
      </c>
      <c r="M1620" s="576"/>
      <c r="N1620" s="576">
        <f t="shared" ref="N1620:N1683" si="394">IF(M1620=0,0,K1620)</f>
        <v>0</v>
      </c>
      <c r="O1620" s="577">
        <f t="shared" si="388"/>
        <v>0</v>
      </c>
      <c r="P1620" s="578">
        <f t="shared" si="389"/>
        <v>0</v>
      </c>
      <c r="Q1620" s="765"/>
      <c r="R1620" s="576">
        <f t="shared" si="385"/>
        <v>0</v>
      </c>
      <c r="S1620" s="576">
        <f t="shared" si="385"/>
        <v>0</v>
      </c>
      <c r="T1620" s="577">
        <f t="shared" si="386"/>
        <v>0</v>
      </c>
      <c r="U1620" s="578">
        <f t="shared" si="387"/>
        <v>0</v>
      </c>
      <c r="V1620" s="579"/>
      <c r="W1620" s="566"/>
      <c r="X1620" s="586" t="str">
        <f t="shared" si="390"/>
        <v/>
      </c>
      <c r="Y1620" s="586" t="str">
        <f t="shared" si="384"/>
        <v/>
      </c>
      <c r="Z1620" s="586" t="str">
        <f t="shared" si="393"/>
        <v/>
      </c>
    </row>
    <row r="1621" spans="1:26" ht="23.25" hidden="1" thickBot="1" x14ac:dyDescent="0.25">
      <c r="A1621" s="567">
        <v>98277</v>
      </c>
      <c r="B1621" s="644">
        <v>98277</v>
      </c>
      <c r="C1621" s="645" t="s">
        <v>670</v>
      </c>
      <c r="D1621" s="422" t="s">
        <v>1467</v>
      </c>
      <c r="E1621" s="423"/>
      <c r="F1621" s="424"/>
      <c r="G1621" s="425"/>
      <c r="H1621" s="651"/>
      <c r="I1621" s="420">
        <v>15.87</v>
      </c>
      <c r="J1621" s="420">
        <f t="shared" si="392"/>
        <v>15.87</v>
      </c>
      <c r="K1621" s="421">
        <f t="shared" si="391"/>
        <v>18.86</v>
      </c>
      <c r="L1621" s="647" t="s">
        <v>79</v>
      </c>
      <c r="M1621" s="576"/>
      <c r="N1621" s="576">
        <f t="shared" si="394"/>
        <v>0</v>
      </c>
      <c r="O1621" s="577">
        <f t="shared" si="388"/>
        <v>0</v>
      </c>
      <c r="P1621" s="578">
        <f t="shared" si="389"/>
        <v>0</v>
      </c>
      <c r="Q1621" s="765"/>
      <c r="R1621" s="576">
        <f t="shared" si="385"/>
        <v>0</v>
      </c>
      <c r="S1621" s="576">
        <f t="shared" si="385"/>
        <v>0</v>
      </c>
      <c r="T1621" s="577">
        <f t="shared" si="386"/>
        <v>0</v>
      </c>
      <c r="U1621" s="578">
        <f t="shared" si="387"/>
        <v>0</v>
      </c>
      <c r="V1621" s="579"/>
      <c r="W1621" s="566"/>
      <c r="X1621" s="586" t="str">
        <f t="shared" si="390"/>
        <v/>
      </c>
      <c r="Y1621" s="586" t="str">
        <f t="shared" si="384"/>
        <v/>
      </c>
      <c r="Z1621" s="586" t="str">
        <f t="shared" si="393"/>
        <v/>
      </c>
    </row>
    <row r="1622" spans="1:26" ht="23.25" hidden="1" thickBot="1" x14ac:dyDescent="0.25">
      <c r="A1622" s="567">
        <v>98278</v>
      </c>
      <c r="B1622" s="644">
        <v>98278</v>
      </c>
      <c r="C1622" s="645" t="s">
        <v>670</v>
      </c>
      <c r="D1622" s="422" t="s">
        <v>1468</v>
      </c>
      <c r="E1622" s="423"/>
      <c r="F1622" s="424"/>
      <c r="G1622" s="425"/>
      <c r="H1622" s="651"/>
      <c r="I1622" s="420">
        <v>22.71</v>
      </c>
      <c r="J1622" s="420">
        <f t="shared" si="392"/>
        <v>22.71</v>
      </c>
      <c r="K1622" s="421">
        <f t="shared" si="391"/>
        <v>26.98</v>
      </c>
      <c r="L1622" s="647" t="s">
        <v>79</v>
      </c>
      <c r="M1622" s="576"/>
      <c r="N1622" s="576">
        <f t="shared" si="394"/>
        <v>0</v>
      </c>
      <c r="O1622" s="577">
        <f t="shared" si="388"/>
        <v>0</v>
      </c>
      <c r="P1622" s="578">
        <f t="shared" si="389"/>
        <v>0</v>
      </c>
      <c r="Q1622" s="765"/>
      <c r="R1622" s="576">
        <f t="shared" si="385"/>
        <v>0</v>
      </c>
      <c r="S1622" s="576">
        <f t="shared" si="385"/>
        <v>0</v>
      </c>
      <c r="T1622" s="577">
        <f t="shared" si="386"/>
        <v>0</v>
      </c>
      <c r="U1622" s="578">
        <f t="shared" si="387"/>
        <v>0</v>
      </c>
      <c r="V1622" s="579"/>
      <c r="W1622" s="566"/>
      <c r="X1622" s="586" t="str">
        <f t="shared" si="390"/>
        <v/>
      </c>
      <c r="Y1622" s="586" t="str">
        <f t="shared" si="384"/>
        <v/>
      </c>
      <c r="Z1622" s="586" t="str">
        <f t="shared" si="393"/>
        <v/>
      </c>
    </row>
    <row r="1623" spans="1:26" ht="23.25" hidden="1" thickBot="1" x14ac:dyDescent="0.25">
      <c r="A1623" s="567">
        <v>98279</v>
      </c>
      <c r="B1623" s="644">
        <v>98279</v>
      </c>
      <c r="C1623" s="645" t="s">
        <v>670</v>
      </c>
      <c r="D1623" s="422" t="s">
        <v>1469</v>
      </c>
      <c r="E1623" s="423"/>
      <c r="F1623" s="424"/>
      <c r="G1623" s="425"/>
      <c r="H1623" s="651"/>
      <c r="I1623" s="420">
        <v>35.619999999999997</v>
      </c>
      <c r="J1623" s="420">
        <f t="shared" si="392"/>
        <v>35.619999999999997</v>
      </c>
      <c r="K1623" s="421">
        <f t="shared" si="391"/>
        <v>42.32</v>
      </c>
      <c r="L1623" s="647" t="s">
        <v>79</v>
      </c>
      <c r="M1623" s="576"/>
      <c r="N1623" s="576">
        <f t="shared" si="394"/>
        <v>0</v>
      </c>
      <c r="O1623" s="577">
        <f t="shared" si="388"/>
        <v>0</v>
      </c>
      <c r="P1623" s="578">
        <f t="shared" si="389"/>
        <v>0</v>
      </c>
      <c r="Q1623" s="765"/>
      <c r="R1623" s="576">
        <f t="shared" si="385"/>
        <v>0</v>
      </c>
      <c r="S1623" s="576">
        <f t="shared" si="385"/>
        <v>0</v>
      </c>
      <c r="T1623" s="577">
        <f t="shared" si="386"/>
        <v>0</v>
      </c>
      <c r="U1623" s="578">
        <f t="shared" si="387"/>
        <v>0</v>
      </c>
      <c r="V1623" s="579"/>
      <c r="W1623" s="566"/>
      <c r="X1623" s="586" t="str">
        <f t="shared" si="390"/>
        <v/>
      </c>
      <c r="Y1623" s="586" t="str">
        <f t="shared" si="384"/>
        <v/>
      </c>
      <c r="Z1623" s="586" t="str">
        <f t="shared" si="393"/>
        <v/>
      </c>
    </row>
    <row r="1624" spans="1:26" ht="23.25" hidden="1" thickBot="1" x14ac:dyDescent="0.25">
      <c r="A1624" s="567">
        <v>98286</v>
      </c>
      <c r="B1624" s="644">
        <v>98286</v>
      </c>
      <c r="C1624" s="645" t="s">
        <v>670</v>
      </c>
      <c r="D1624" s="422" t="s">
        <v>1470</v>
      </c>
      <c r="E1624" s="423"/>
      <c r="F1624" s="424"/>
      <c r="G1624" s="425"/>
      <c r="H1624" s="651"/>
      <c r="I1624" s="420">
        <v>15.99</v>
      </c>
      <c r="J1624" s="420">
        <f t="shared" si="392"/>
        <v>15.99</v>
      </c>
      <c r="K1624" s="421">
        <f t="shared" si="391"/>
        <v>19</v>
      </c>
      <c r="L1624" s="647" t="s">
        <v>79</v>
      </c>
      <c r="M1624" s="576"/>
      <c r="N1624" s="576">
        <f t="shared" si="394"/>
        <v>0</v>
      </c>
      <c r="O1624" s="577">
        <f t="shared" si="388"/>
        <v>0</v>
      </c>
      <c r="P1624" s="578">
        <f t="shared" si="389"/>
        <v>0</v>
      </c>
      <c r="Q1624" s="765"/>
      <c r="R1624" s="576">
        <f t="shared" si="385"/>
        <v>0</v>
      </c>
      <c r="S1624" s="576">
        <f t="shared" si="385"/>
        <v>0</v>
      </c>
      <c r="T1624" s="577">
        <f t="shared" si="386"/>
        <v>0</v>
      </c>
      <c r="U1624" s="578">
        <f t="shared" si="387"/>
        <v>0</v>
      </c>
      <c r="V1624" s="579"/>
      <c r="W1624" s="566"/>
      <c r="X1624" s="586" t="str">
        <f t="shared" si="390"/>
        <v/>
      </c>
      <c r="Y1624" s="586" t="str">
        <f t="shared" si="384"/>
        <v/>
      </c>
      <c r="Z1624" s="586" t="str">
        <f t="shared" si="393"/>
        <v/>
      </c>
    </row>
    <row r="1625" spans="1:26" ht="23.25" hidden="1" thickBot="1" x14ac:dyDescent="0.25">
      <c r="A1625" s="567">
        <v>98293</v>
      </c>
      <c r="B1625" s="644">
        <v>98293</v>
      </c>
      <c r="C1625" s="645" t="s">
        <v>670</v>
      </c>
      <c r="D1625" s="422" t="s">
        <v>1471</v>
      </c>
      <c r="E1625" s="423"/>
      <c r="F1625" s="424"/>
      <c r="G1625" s="425"/>
      <c r="H1625" s="651"/>
      <c r="I1625" s="420">
        <v>9.52</v>
      </c>
      <c r="J1625" s="420">
        <f t="shared" si="392"/>
        <v>9.52</v>
      </c>
      <c r="K1625" s="421">
        <f t="shared" si="391"/>
        <v>11.31</v>
      </c>
      <c r="L1625" s="647" t="s">
        <v>79</v>
      </c>
      <c r="M1625" s="576"/>
      <c r="N1625" s="576">
        <f t="shared" si="394"/>
        <v>0</v>
      </c>
      <c r="O1625" s="577">
        <f t="shared" si="388"/>
        <v>0</v>
      </c>
      <c r="P1625" s="578">
        <f t="shared" si="389"/>
        <v>0</v>
      </c>
      <c r="Q1625" s="765"/>
      <c r="R1625" s="576">
        <f t="shared" si="385"/>
        <v>0</v>
      </c>
      <c r="S1625" s="576">
        <f t="shared" si="385"/>
        <v>0</v>
      </c>
      <c r="T1625" s="577">
        <f t="shared" si="386"/>
        <v>0</v>
      </c>
      <c r="U1625" s="578">
        <f t="shared" si="387"/>
        <v>0</v>
      </c>
      <c r="V1625" s="579"/>
      <c r="W1625" s="566"/>
      <c r="X1625" s="586" t="str">
        <f t="shared" si="390"/>
        <v/>
      </c>
      <c r="Y1625" s="586" t="str">
        <f t="shared" si="384"/>
        <v/>
      </c>
      <c r="Z1625" s="586" t="str">
        <f t="shared" si="393"/>
        <v/>
      </c>
    </row>
    <row r="1626" spans="1:26" ht="23.25" hidden="1" thickBot="1" x14ac:dyDescent="0.25">
      <c r="A1626" s="567">
        <v>98261</v>
      </c>
      <c r="B1626" s="644">
        <v>98261</v>
      </c>
      <c r="C1626" s="645" t="s">
        <v>670</v>
      </c>
      <c r="D1626" s="422" t="s">
        <v>1472</v>
      </c>
      <c r="E1626" s="423"/>
      <c r="F1626" s="424"/>
      <c r="G1626" s="425"/>
      <c r="H1626" s="651"/>
      <c r="I1626" s="420">
        <v>4</v>
      </c>
      <c r="J1626" s="420">
        <f t="shared" si="392"/>
        <v>4</v>
      </c>
      <c r="K1626" s="421">
        <f t="shared" si="391"/>
        <v>4.75</v>
      </c>
      <c r="L1626" s="647" t="s">
        <v>79</v>
      </c>
      <c r="M1626" s="576"/>
      <c r="N1626" s="576">
        <f t="shared" si="394"/>
        <v>0</v>
      </c>
      <c r="O1626" s="577">
        <f t="shared" si="388"/>
        <v>0</v>
      </c>
      <c r="P1626" s="578">
        <f t="shared" si="389"/>
        <v>0</v>
      </c>
      <c r="Q1626" s="765"/>
      <c r="R1626" s="576">
        <f t="shared" si="385"/>
        <v>0</v>
      </c>
      <c r="S1626" s="576">
        <f t="shared" si="385"/>
        <v>0</v>
      </c>
      <c r="T1626" s="577">
        <f t="shared" si="386"/>
        <v>0</v>
      </c>
      <c r="U1626" s="578">
        <f t="shared" si="387"/>
        <v>0</v>
      </c>
      <c r="V1626" s="579"/>
      <c r="W1626" s="566"/>
      <c r="X1626" s="586" t="str">
        <f t="shared" si="390"/>
        <v/>
      </c>
      <c r="Y1626" s="586" t="str">
        <f t="shared" si="384"/>
        <v/>
      </c>
      <c r="Z1626" s="586" t="str">
        <f t="shared" si="393"/>
        <v/>
      </c>
    </row>
    <row r="1627" spans="1:26" ht="23.25" hidden="1" thickBot="1" x14ac:dyDescent="0.25">
      <c r="A1627" s="567">
        <v>98262</v>
      </c>
      <c r="B1627" s="644">
        <v>98262</v>
      </c>
      <c r="C1627" s="645" t="s">
        <v>670</v>
      </c>
      <c r="D1627" s="422" t="s">
        <v>1473</v>
      </c>
      <c r="E1627" s="423"/>
      <c r="F1627" s="424"/>
      <c r="G1627" s="425"/>
      <c r="H1627" s="651"/>
      <c r="I1627" s="420">
        <v>4.8899999999999997</v>
      </c>
      <c r="J1627" s="420">
        <f t="shared" si="392"/>
        <v>4.8899999999999997</v>
      </c>
      <c r="K1627" s="421">
        <f t="shared" si="391"/>
        <v>5.81</v>
      </c>
      <c r="L1627" s="647" t="s">
        <v>79</v>
      </c>
      <c r="M1627" s="576"/>
      <c r="N1627" s="576">
        <f t="shared" si="394"/>
        <v>0</v>
      </c>
      <c r="O1627" s="577">
        <f t="shared" si="388"/>
        <v>0</v>
      </c>
      <c r="P1627" s="578">
        <f t="shared" si="389"/>
        <v>0</v>
      </c>
      <c r="Q1627" s="765"/>
      <c r="R1627" s="576">
        <f t="shared" si="385"/>
        <v>0</v>
      </c>
      <c r="S1627" s="576">
        <f t="shared" si="385"/>
        <v>0</v>
      </c>
      <c r="T1627" s="577">
        <f t="shared" si="386"/>
        <v>0</v>
      </c>
      <c r="U1627" s="578">
        <f t="shared" si="387"/>
        <v>0</v>
      </c>
      <c r="V1627" s="579"/>
      <c r="W1627" s="566"/>
      <c r="X1627" s="586" t="str">
        <f t="shared" si="390"/>
        <v/>
      </c>
      <c r="Y1627" s="586" t="str">
        <f t="shared" si="384"/>
        <v/>
      </c>
      <c r="Z1627" s="586" t="str">
        <f t="shared" si="393"/>
        <v/>
      </c>
    </row>
    <row r="1628" spans="1:26" ht="23.25" hidden="1" thickBot="1" x14ac:dyDescent="0.25">
      <c r="A1628" s="567">
        <v>98263</v>
      </c>
      <c r="B1628" s="644">
        <v>98263</v>
      </c>
      <c r="C1628" s="645" t="s">
        <v>670</v>
      </c>
      <c r="D1628" s="422" t="s">
        <v>1474</v>
      </c>
      <c r="E1628" s="423"/>
      <c r="F1628" s="424"/>
      <c r="G1628" s="425"/>
      <c r="H1628" s="651"/>
      <c r="I1628" s="420">
        <v>5.12</v>
      </c>
      <c r="J1628" s="420">
        <f t="shared" si="392"/>
        <v>5.12</v>
      </c>
      <c r="K1628" s="421">
        <f t="shared" si="391"/>
        <v>6.08</v>
      </c>
      <c r="L1628" s="647" t="s">
        <v>79</v>
      </c>
      <c r="M1628" s="576"/>
      <c r="N1628" s="576">
        <f t="shared" si="394"/>
        <v>0</v>
      </c>
      <c r="O1628" s="577">
        <f t="shared" si="388"/>
        <v>0</v>
      </c>
      <c r="P1628" s="578">
        <f t="shared" si="389"/>
        <v>0</v>
      </c>
      <c r="Q1628" s="765"/>
      <c r="R1628" s="576">
        <f t="shared" si="385"/>
        <v>0</v>
      </c>
      <c r="S1628" s="576">
        <f t="shared" si="385"/>
        <v>0</v>
      </c>
      <c r="T1628" s="577">
        <f t="shared" si="386"/>
        <v>0</v>
      </c>
      <c r="U1628" s="578">
        <f t="shared" si="387"/>
        <v>0</v>
      </c>
      <c r="V1628" s="579"/>
      <c r="W1628" s="566"/>
      <c r="X1628" s="586" t="str">
        <f t="shared" si="390"/>
        <v/>
      </c>
      <c r="Y1628" s="586" t="str">
        <f t="shared" si="384"/>
        <v/>
      </c>
      <c r="Z1628" s="586" t="str">
        <f t="shared" si="393"/>
        <v/>
      </c>
    </row>
    <row r="1629" spans="1:26" ht="23.25" hidden="1" thickBot="1" x14ac:dyDescent="0.25">
      <c r="A1629" s="567">
        <v>98264</v>
      </c>
      <c r="B1629" s="644">
        <v>98264</v>
      </c>
      <c r="C1629" s="645" t="s">
        <v>670</v>
      </c>
      <c r="D1629" s="422" t="s">
        <v>1475</v>
      </c>
      <c r="E1629" s="423"/>
      <c r="F1629" s="424"/>
      <c r="G1629" s="425"/>
      <c r="H1629" s="651"/>
      <c r="I1629" s="420">
        <v>6.09</v>
      </c>
      <c r="J1629" s="420">
        <f t="shared" si="392"/>
        <v>6.09</v>
      </c>
      <c r="K1629" s="421">
        <f t="shared" si="391"/>
        <v>7.24</v>
      </c>
      <c r="L1629" s="647" t="s">
        <v>79</v>
      </c>
      <c r="M1629" s="576"/>
      <c r="N1629" s="576">
        <f t="shared" si="394"/>
        <v>0</v>
      </c>
      <c r="O1629" s="577">
        <f t="shared" si="388"/>
        <v>0</v>
      </c>
      <c r="P1629" s="578">
        <f t="shared" si="389"/>
        <v>0</v>
      </c>
      <c r="Q1629" s="765"/>
      <c r="R1629" s="576">
        <f t="shared" si="385"/>
        <v>0</v>
      </c>
      <c r="S1629" s="576">
        <f t="shared" si="385"/>
        <v>0</v>
      </c>
      <c r="T1629" s="577">
        <f t="shared" si="386"/>
        <v>0</v>
      </c>
      <c r="U1629" s="578">
        <f t="shared" si="387"/>
        <v>0</v>
      </c>
      <c r="V1629" s="579"/>
      <c r="W1629" s="566"/>
      <c r="X1629" s="586" t="str">
        <f t="shared" si="390"/>
        <v/>
      </c>
      <c r="Y1629" s="586" t="str">
        <f t="shared" si="384"/>
        <v/>
      </c>
      <c r="Z1629" s="586" t="str">
        <f t="shared" si="393"/>
        <v/>
      </c>
    </row>
    <row r="1630" spans="1:26" ht="23.25" hidden="1" thickBot="1" x14ac:dyDescent="0.25">
      <c r="A1630" s="567">
        <v>98265</v>
      </c>
      <c r="B1630" s="644">
        <v>98265</v>
      </c>
      <c r="C1630" s="645" t="s">
        <v>670</v>
      </c>
      <c r="D1630" s="422" t="s">
        <v>1476</v>
      </c>
      <c r="E1630" s="423"/>
      <c r="F1630" s="424"/>
      <c r="G1630" s="425"/>
      <c r="H1630" s="651"/>
      <c r="I1630" s="420">
        <v>6.72</v>
      </c>
      <c r="J1630" s="420">
        <f t="shared" si="392"/>
        <v>6.72</v>
      </c>
      <c r="K1630" s="421">
        <f t="shared" si="391"/>
        <v>7.98</v>
      </c>
      <c r="L1630" s="647" t="s">
        <v>79</v>
      </c>
      <c r="M1630" s="576"/>
      <c r="N1630" s="576">
        <f t="shared" si="394"/>
        <v>0</v>
      </c>
      <c r="O1630" s="577">
        <f t="shared" si="388"/>
        <v>0</v>
      </c>
      <c r="P1630" s="578">
        <f t="shared" si="389"/>
        <v>0</v>
      </c>
      <c r="Q1630" s="765"/>
      <c r="R1630" s="576">
        <f t="shared" si="385"/>
        <v>0</v>
      </c>
      <c r="S1630" s="576">
        <f t="shared" si="385"/>
        <v>0</v>
      </c>
      <c r="T1630" s="577">
        <f t="shared" si="386"/>
        <v>0</v>
      </c>
      <c r="U1630" s="578">
        <f t="shared" si="387"/>
        <v>0</v>
      </c>
      <c r="V1630" s="579"/>
      <c r="W1630" s="566"/>
      <c r="X1630" s="586" t="str">
        <f t="shared" si="390"/>
        <v/>
      </c>
      <c r="Y1630" s="586" t="str">
        <f t="shared" si="384"/>
        <v/>
      </c>
      <c r="Z1630" s="586" t="str">
        <f t="shared" si="393"/>
        <v/>
      </c>
    </row>
    <row r="1631" spans="1:26" ht="23.25" hidden="1" thickBot="1" x14ac:dyDescent="0.25">
      <c r="A1631" s="567">
        <v>98266</v>
      </c>
      <c r="B1631" s="644">
        <v>98266</v>
      </c>
      <c r="C1631" s="645" t="s">
        <v>670</v>
      </c>
      <c r="D1631" s="422" t="s">
        <v>1477</v>
      </c>
      <c r="E1631" s="423"/>
      <c r="F1631" s="424"/>
      <c r="G1631" s="425"/>
      <c r="H1631" s="651"/>
      <c r="I1631" s="420">
        <v>7.6</v>
      </c>
      <c r="J1631" s="420">
        <f t="shared" si="392"/>
        <v>7.6</v>
      </c>
      <c r="K1631" s="421">
        <f t="shared" si="391"/>
        <v>9.0299999999999994</v>
      </c>
      <c r="L1631" s="647" t="s">
        <v>79</v>
      </c>
      <c r="M1631" s="576"/>
      <c r="N1631" s="576">
        <f t="shared" si="394"/>
        <v>0</v>
      </c>
      <c r="O1631" s="577">
        <f t="shared" si="388"/>
        <v>0</v>
      </c>
      <c r="P1631" s="578">
        <f t="shared" si="389"/>
        <v>0</v>
      </c>
      <c r="Q1631" s="765"/>
      <c r="R1631" s="576">
        <f t="shared" si="385"/>
        <v>0</v>
      </c>
      <c r="S1631" s="576">
        <f t="shared" si="385"/>
        <v>0</v>
      </c>
      <c r="T1631" s="577">
        <f t="shared" si="386"/>
        <v>0</v>
      </c>
      <c r="U1631" s="578">
        <f t="shared" si="387"/>
        <v>0</v>
      </c>
      <c r="V1631" s="579"/>
      <c r="W1631" s="566"/>
      <c r="X1631" s="586" t="str">
        <f t="shared" si="390"/>
        <v/>
      </c>
      <c r="Y1631" s="586" t="str">
        <f t="shared" si="384"/>
        <v/>
      </c>
      <c r="Z1631" s="586" t="str">
        <f t="shared" si="393"/>
        <v/>
      </c>
    </row>
    <row r="1632" spans="1:26" ht="23.25" hidden="1" thickBot="1" x14ac:dyDescent="0.25">
      <c r="A1632" s="567">
        <v>98273</v>
      </c>
      <c r="B1632" s="644">
        <v>98273</v>
      </c>
      <c r="C1632" s="645" t="s">
        <v>670</v>
      </c>
      <c r="D1632" s="422" t="s">
        <v>1478</v>
      </c>
      <c r="E1632" s="423"/>
      <c r="F1632" s="424"/>
      <c r="G1632" s="425"/>
      <c r="H1632" s="651"/>
      <c r="I1632" s="420">
        <v>2.95</v>
      </c>
      <c r="J1632" s="420">
        <f t="shared" si="392"/>
        <v>2.95</v>
      </c>
      <c r="K1632" s="421">
        <f t="shared" si="391"/>
        <v>3.5</v>
      </c>
      <c r="L1632" s="647" t="s">
        <v>79</v>
      </c>
      <c r="M1632" s="576"/>
      <c r="N1632" s="576">
        <f t="shared" si="394"/>
        <v>0</v>
      </c>
      <c r="O1632" s="577">
        <f t="shared" si="388"/>
        <v>0</v>
      </c>
      <c r="P1632" s="578">
        <f t="shared" si="389"/>
        <v>0</v>
      </c>
      <c r="Q1632" s="765"/>
      <c r="R1632" s="576">
        <f t="shared" si="385"/>
        <v>0</v>
      </c>
      <c r="S1632" s="576">
        <f t="shared" si="385"/>
        <v>0</v>
      </c>
      <c r="T1632" s="577">
        <f t="shared" si="386"/>
        <v>0</v>
      </c>
      <c r="U1632" s="578">
        <f t="shared" si="387"/>
        <v>0</v>
      </c>
      <c r="V1632" s="579"/>
      <c r="W1632" s="566"/>
      <c r="X1632" s="586" t="str">
        <f t="shared" si="390"/>
        <v/>
      </c>
      <c r="Y1632" s="586" t="str">
        <f t="shared" si="384"/>
        <v/>
      </c>
      <c r="Z1632" s="586" t="str">
        <f t="shared" si="393"/>
        <v/>
      </c>
    </row>
    <row r="1633" spans="1:26" ht="23.25" hidden="1" thickBot="1" x14ac:dyDescent="0.25">
      <c r="A1633" s="567">
        <v>98274</v>
      </c>
      <c r="B1633" s="644">
        <v>98274</v>
      </c>
      <c r="C1633" s="645" t="s">
        <v>670</v>
      </c>
      <c r="D1633" s="422" t="s">
        <v>1479</v>
      </c>
      <c r="E1633" s="423"/>
      <c r="F1633" s="424"/>
      <c r="G1633" s="425"/>
      <c r="H1633" s="651"/>
      <c r="I1633" s="420">
        <v>3.57</v>
      </c>
      <c r="J1633" s="420">
        <f t="shared" si="392"/>
        <v>3.57</v>
      </c>
      <c r="K1633" s="421">
        <f t="shared" si="391"/>
        <v>4.24</v>
      </c>
      <c r="L1633" s="647" t="s">
        <v>79</v>
      </c>
      <c r="M1633" s="576"/>
      <c r="N1633" s="576">
        <f t="shared" si="394"/>
        <v>0</v>
      </c>
      <c r="O1633" s="577">
        <f t="shared" si="388"/>
        <v>0</v>
      </c>
      <c r="P1633" s="578">
        <f t="shared" si="389"/>
        <v>0</v>
      </c>
      <c r="Q1633" s="765"/>
      <c r="R1633" s="576">
        <f t="shared" si="385"/>
        <v>0</v>
      </c>
      <c r="S1633" s="576">
        <f t="shared" si="385"/>
        <v>0</v>
      </c>
      <c r="T1633" s="577">
        <f t="shared" si="386"/>
        <v>0</v>
      </c>
      <c r="U1633" s="578">
        <f t="shared" si="387"/>
        <v>0</v>
      </c>
      <c r="V1633" s="579"/>
      <c r="W1633" s="566"/>
      <c r="X1633" s="586" t="str">
        <f t="shared" si="390"/>
        <v/>
      </c>
      <c r="Y1633" s="586" t="str">
        <f t="shared" si="384"/>
        <v/>
      </c>
      <c r="Z1633" s="586" t="str">
        <f t="shared" si="393"/>
        <v/>
      </c>
    </row>
    <row r="1634" spans="1:26" ht="23.25" hidden="1" thickBot="1" x14ac:dyDescent="0.25">
      <c r="A1634" s="567">
        <v>98275</v>
      </c>
      <c r="B1634" s="644">
        <v>98275</v>
      </c>
      <c r="C1634" s="645" t="s">
        <v>670</v>
      </c>
      <c r="D1634" s="422" t="s">
        <v>1480</v>
      </c>
      <c r="E1634" s="423"/>
      <c r="F1634" s="424"/>
      <c r="G1634" s="425"/>
      <c r="H1634" s="651"/>
      <c r="I1634" s="420">
        <v>4.45</v>
      </c>
      <c r="J1634" s="420">
        <f t="shared" si="392"/>
        <v>4.45</v>
      </c>
      <c r="K1634" s="421">
        <f t="shared" si="391"/>
        <v>5.29</v>
      </c>
      <c r="L1634" s="647" t="s">
        <v>79</v>
      </c>
      <c r="M1634" s="576"/>
      <c r="N1634" s="576">
        <f t="shared" si="394"/>
        <v>0</v>
      </c>
      <c r="O1634" s="577">
        <f t="shared" si="388"/>
        <v>0</v>
      </c>
      <c r="P1634" s="578">
        <f t="shared" si="389"/>
        <v>0</v>
      </c>
      <c r="Q1634" s="765"/>
      <c r="R1634" s="576">
        <f t="shared" si="385"/>
        <v>0</v>
      </c>
      <c r="S1634" s="576">
        <f t="shared" si="385"/>
        <v>0</v>
      </c>
      <c r="T1634" s="577">
        <f t="shared" si="386"/>
        <v>0</v>
      </c>
      <c r="U1634" s="578">
        <f t="shared" si="387"/>
        <v>0</v>
      </c>
      <c r="V1634" s="579"/>
      <c r="W1634" s="566"/>
      <c r="X1634" s="586" t="str">
        <f t="shared" si="390"/>
        <v/>
      </c>
      <c r="Y1634" s="586" t="str">
        <f t="shared" si="384"/>
        <v/>
      </c>
      <c r="Z1634" s="586" t="str">
        <f t="shared" si="393"/>
        <v/>
      </c>
    </row>
    <row r="1635" spans="1:26" ht="23.25" hidden="1" thickBot="1" x14ac:dyDescent="0.25">
      <c r="A1635" s="567">
        <v>98280</v>
      </c>
      <c r="B1635" s="644">
        <v>98280</v>
      </c>
      <c r="C1635" s="645" t="s">
        <v>670</v>
      </c>
      <c r="D1635" s="422" t="s">
        <v>1481</v>
      </c>
      <c r="E1635" s="423"/>
      <c r="F1635" s="424"/>
      <c r="G1635" s="425"/>
      <c r="H1635" s="651"/>
      <c r="I1635" s="420">
        <v>8.0500000000000007</v>
      </c>
      <c r="J1635" s="420">
        <f t="shared" si="392"/>
        <v>8.0500000000000007</v>
      </c>
      <c r="K1635" s="421">
        <f t="shared" si="391"/>
        <v>9.56</v>
      </c>
      <c r="L1635" s="647" t="s">
        <v>79</v>
      </c>
      <c r="M1635" s="576"/>
      <c r="N1635" s="576">
        <f t="shared" si="394"/>
        <v>0</v>
      </c>
      <c r="O1635" s="577">
        <f t="shared" si="388"/>
        <v>0</v>
      </c>
      <c r="P1635" s="578">
        <f t="shared" si="389"/>
        <v>0</v>
      </c>
      <c r="Q1635" s="765"/>
      <c r="R1635" s="576">
        <f t="shared" si="385"/>
        <v>0</v>
      </c>
      <c r="S1635" s="576">
        <f t="shared" si="385"/>
        <v>0</v>
      </c>
      <c r="T1635" s="577">
        <f t="shared" si="386"/>
        <v>0</v>
      </c>
      <c r="U1635" s="578">
        <f t="shared" si="387"/>
        <v>0</v>
      </c>
      <c r="V1635" s="579"/>
      <c r="W1635" s="566"/>
      <c r="X1635" s="586" t="str">
        <f t="shared" si="390"/>
        <v/>
      </c>
      <c r="Y1635" s="586" t="str">
        <f t="shared" ref="Y1635:Y1698" si="395">IF(W1635="X","x",IF(W1635="y","x",IF(W1635="xx","x",IF(U1635&gt;0,"x",""))))</f>
        <v/>
      </c>
      <c r="Z1635" s="586" t="str">
        <f t="shared" si="393"/>
        <v/>
      </c>
    </row>
    <row r="1636" spans="1:26" ht="23.25" hidden="1" thickBot="1" x14ac:dyDescent="0.25">
      <c r="A1636" s="567">
        <v>98281</v>
      </c>
      <c r="B1636" s="644">
        <v>98281</v>
      </c>
      <c r="C1636" s="645" t="s">
        <v>670</v>
      </c>
      <c r="D1636" s="422" t="s">
        <v>1482</v>
      </c>
      <c r="E1636" s="423"/>
      <c r="F1636" s="424"/>
      <c r="G1636" s="425"/>
      <c r="H1636" s="651"/>
      <c r="I1636" s="420">
        <v>8.94</v>
      </c>
      <c r="J1636" s="420">
        <f t="shared" si="392"/>
        <v>8.94</v>
      </c>
      <c r="K1636" s="421">
        <f t="shared" si="391"/>
        <v>10.62</v>
      </c>
      <c r="L1636" s="647" t="s">
        <v>79</v>
      </c>
      <c r="M1636" s="576"/>
      <c r="N1636" s="576">
        <f t="shared" si="394"/>
        <v>0</v>
      </c>
      <c r="O1636" s="577">
        <f t="shared" si="388"/>
        <v>0</v>
      </c>
      <c r="P1636" s="578">
        <f t="shared" si="389"/>
        <v>0</v>
      </c>
      <c r="Q1636" s="765"/>
      <c r="R1636" s="576">
        <f t="shared" si="385"/>
        <v>0</v>
      </c>
      <c r="S1636" s="576">
        <f t="shared" si="385"/>
        <v>0</v>
      </c>
      <c r="T1636" s="577">
        <f t="shared" si="386"/>
        <v>0</v>
      </c>
      <c r="U1636" s="578">
        <f t="shared" si="387"/>
        <v>0</v>
      </c>
      <c r="V1636" s="579"/>
      <c r="W1636" s="566"/>
      <c r="X1636" s="586" t="str">
        <f t="shared" si="390"/>
        <v/>
      </c>
      <c r="Y1636" s="586" t="str">
        <f t="shared" si="395"/>
        <v/>
      </c>
      <c r="Z1636" s="586" t="str">
        <f t="shared" si="393"/>
        <v/>
      </c>
    </row>
    <row r="1637" spans="1:26" ht="23.25" hidden="1" thickBot="1" x14ac:dyDescent="0.25">
      <c r="A1637" s="567">
        <v>98282</v>
      </c>
      <c r="B1637" s="644">
        <v>98282</v>
      </c>
      <c r="C1637" s="645" t="s">
        <v>670</v>
      </c>
      <c r="D1637" s="422" t="s">
        <v>1483</v>
      </c>
      <c r="E1637" s="423"/>
      <c r="F1637" s="424"/>
      <c r="G1637" s="425"/>
      <c r="H1637" s="651"/>
      <c r="I1637" s="420">
        <v>9.16</v>
      </c>
      <c r="J1637" s="420">
        <f t="shared" si="392"/>
        <v>9.16</v>
      </c>
      <c r="K1637" s="421">
        <f t="shared" si="391"/>
        <v>10.88</v>
      </c>
      <c r="L1637" s="647" t="s">
        <v>79</v>
      </c>
      <c r="M1637" s="576"/>
      <c r="N1637" s="576">
        <f t="shared" si="394"/>
        <v>0</v>
      </c>
      <c r="O1637" s="577">
        <f t="shared" si="388"/>
        <v>0</v>
      </c>
      <c r="P1637" s="578">
        <f t="shared" si="389"/>
        <v>0</v>
      </c>
      <c r="Q1637" s="765"/>
      <c r="R1637" s="576">
        <f t="shared" si="385"/>
        <v>0</v>
      </c>
      <c r="S1637" s="576">
        <f t="shared" si="385"/>
        <v>0</v>
      </c>
      <c r="T1637" s="577">
        <f t="shared" si="386"/>
        <v>0</v>
      </c>
      <c r="U1637" s="578">
        <f t="shared" si="387"/>
        <v>0</v>
      </c>
      <c r="V1637" s="579"/>
      <c r="W1637" s="566"/>
      <c r="X1637" s="586" t="str">
        <f t="shared" si="390"/>
        <v/>
      </c>
      <c r="Y1637" s="586" t="str">
        <f t="shared" si="395"/>
        <v/>
      </c>
      <c r="Z1637" s="586" t="str">
        <f t="shared" si="393"/>
        <v/>
      </c>
    </row>
    <row r="1638" spans="1:26" ht="23.25" hidden="1" thickBot="1" x14ac:dyDescent="0.25">
      <c r="A1638" s="567">
        <v>98283</v>
      </c>
      <c r="B1638" s="644">
        <v>98283</v>
      </c>
      <c r="C1638" s="645" t="s">
        <v>670</v>
      </c>
      <c r="D1638" s="422" t="s">
        <v>1484</v>
      </c>
      <c r="E1638" s="423"/>
      <c r="F1638" s="424"/>
      <c r="G1638" s="425"/>
      <c r="H1638" s="651"/>
      <c r="I1638" s="420">
        <v>10.14</v>
      </c>
      <c r="J1638" s="420">
        <f t="shared" si="392"/>
        <v>10.14</v>
      </c>
      <c r="K1638" s="421">
        <f t="shared" si="391"/>
        <v>12.05</v>
      </c>
      <c r="L1638" s="647" t="s">
        <v>79</v>
      </c>
      <c r="M1638" s="576"/>
      <c r="N1638" s="576">
        <f t="shared" si="394"/>
        <v>0</v>
      </c>
      <c r="O1638" s="577">
        <f t="shared" si="388"/>
        <v>0</v>
      </c>
      <c r="P1638" s="578">
        <f t="shared" si="389"/>
        <v>0</v>
      </c>
      <c r="Q1638" s="765"/>
      <c r="R1638" s="576">
        <f t="shared" si="385"/>
        <v>0</v>
      </c>
      <c r="S1638" s="576">
        <f t="shared" si="385"/>
        <v>0</v>
      </c>
      <c r="T1638" s="577">
        <f t="shared" si="386"/>
        <v>0</v>
      </c>
      <c r="U1638" s="578">
        <f t="shared" si="387"/>
        <v>0</v>
      </c>
      <c r="V1638" s="579"/>
      <c r="W1638" s="566"/>
      <c r="X1638" s="586" t="str">
        <f t="shared" si="390"/>
        <v/>
      </c>
      <c r="Y1638" s="586" t="str">
        <f t="shared" si="395"/>
        <v/>
      </c>
      <c r="Z1638" s="586" t="str">
        <f t="shared" si="393"/>
        <v/>
      </c>
    </row>
    <row r="1639" spans="1:26" ht="23.25" hidden="1" thickBot="1" x14ac:dyDescent="0.25">
      <c r="A1639" s="567">
        <v>98284</v>
      </c>
      <c r="B1639" s="644">
        <v>98284</v>
      </c>
      <c r="C1639" s="645" t="s">
        <v>670</v>
      </c>
      <c r="D1639" s="422" t="s">
        <v>1485</v>
      </c>
      <c r="E1639" s="423"/>
      <c r="F1639" s="424"/>
      <c r="G1639" s="425"/>
      <c r="H1639" s="651"/>
      <c r="I1639" s="420">
        <v>10.76</v>
      </c>
      <c r="J1639" s="420">
        <f t="shared" si="392"/>
        <v>10.76</v>
      </c>
      <c r="K1639" s="421">
        <f t="shared" si="391"/>
        <v>12.78</v>
      </c>
      <c r="L1639" s="647" t="s">
        <v>79</v>
      </c>
      <c r="M1639" s="576"/>
      <c r="N1639" s="576">
        <f t="shared" si="394"/>
        <v>0</v>
      </c>
      <c r="O1639" s="577">
        <f t="shared" si="388"/>
        <v>0</v>
      </c>
      <c r="P1639" s="578">
        <f t="shared" si="389"/>
        <v>0</v>
      </c>
      <c r="Q1639" s="765"/>
      <c r="R1639" s="576">
        <f t="shared" si="385"/>
        <v>0</v>
      </c>
      <c r="S1639" s="576">
        <f t="shared" si="385"/>
        <v>0</v>
      </c>
      <c r="T1639" s="577">
        <f t="shared" si="386"/>
        <v>0</v>
      </c>
      <c r="U1639" s="578">
        <f t="shared" si="387"/>
        <v>0</v>
      </c>
      <c r="V1639" s="579"/>
      <c r="W1639" s="566"/>
      <c r="X1639" s="586" t="str">
        <f t="shared" si="390"/>
        <v/>
      </c>
      <c r="Y1639" s="586" t="str">
        <f t="shared" si="395"/>
        <v/>
      </c>
      <c r="Z1639" s="586" t="str">
        <f t="shared" si="393"/>
        <v/>
      </c>
    </row>
    <row r="1640" spans="1:26" ht="23.25" hidden="1" thickBot="1" x14ac:dyDescent="0.25">
      <c r="A1640" s="567">
        <v>98285</v>
      </c>
      <c r="B1640" s="644">
        <v>98285</v>
      </c>
      <c r="C1640" s="645" t="s">
        <v>670</v>
      </c>
      <c r="D1640" s="422" t="s">
        <v>1486</v>
      </c>
      <c r="E1640" s="423"/>
      <c r="F1640" s="424"/>
      <c r="G1640" s="425"/>
      <c r="H1640" s="651"/>
      <c r="I1640" s="420">
        <v>11.65</v>
      </c>
      <c r="J1640" s="420">
        <f t="shared" si="392"/>
        <v>11.65</v>
      </c>
      <c r="K1640" s="421">
        <f t="shared" si="391"/>
        <v>13.84</v>
      </c>
      <c r="L1640" s="647" t="s">
        <v>79</v>
      </c>
      <c r="M1640" s="576"/>
      <c r="N1640" s="576">
        <f t="shared" si="394"/>
        <v>0</v>
      </c>
      <c r="O1640" s="577">
        <f t="shared" si="388"/>
        <v>0</v>
      </c>
      <c r="P1640" s="578">
        <f t="shared" si="389"/>
        <v>0</v>
      </c>
      <c r="Q1640" s="765"/>
      <c r="R1640" s="576">
        <f t="shared" si="385"/>
        <v>0</v>
      </c>
      <c r="S1640" s="576">
        <f t="shared" si="385"/>
        <v>0</v>
      </c>
      <c r="T1640" s="577">
        <f t="shared" si="386"/>
        <v>0</v>
      </c>
      <c r="U1640" s="578">
        <f t="shared" si="387"/>
        <v>0</v>
      </c>
      <c r="V1640" s="579"/>
      <c r="W1640" s="566"/>
      <c r="X1640" s="586" t="str">
        <f t="shared" si="390"/>
        <v/>
      </c>
      <c r="Y1640" s="586" t="str">
        <f t="shared" si="395"/>
        <v/>
      </c>
      <c r="Z1640" s="586" t="str">
        <f t="shared" si="393"/>
        <v/>
      </c>
    </row>
    <row r="1641" spans="1:26" ht="23.25" hidden="1" thickBot="1" x14ac:dyDescent="0.25">
      <c r="A1641" s="567">
        <v>98287</v>
      </c>
      <c r="B1641" s="644">
        <v>98287</v>
      </c>
      <c r="C1641" s="645" t="s">
        <v>670</v>
      </c>
      <c r="D1641" s="422" t="s">
        <v>1487</v>
      </c>
      <c r="E1641" s="423"/>
      <c r="F1641" s="424"/>
      <c r="G1641" s="425"/>
      <c r="H1641" s="651"/>
      <c r="I1641" s="420">
        <v>1.57</v>
      </c>
      <c r="J1641" s="420">
        <f t="shared" si="392"/>
        <v>1.57</v>
      </c>
      <c r="K1641" s="421">
        <f t="shared" si="391"/>
        <v>1.87</v>
      </c>
      <c r="L1641" s="647" t="s">
        <v>79</v>
      </c>
      <c r="M1641" s="576"/>
      <c r="N1641" s="576">
        <f t="shared" si="394"/>
        <v>0</v>
      </c>
      <c r="O1641" s="577">
        <f t="shared" si="388"/>
        <v>0</v>
      </c>
      <c r="P1641" s="578">
        <f t="shared" si="389"/>
        <v>0</v>
      </c>
      <c r="Q1641" s="765"/>
      <c r="R1641" s="576">
        <f t="shared" si="385"/>
        <v>0</v>
      </c>
      <c r="S1641" s="576">
        <f t="shared" si="385"/>
        <v>0</v>
      </c>
      <c r="T1641" s="577">
        <f t="shared" si="386"/>
        <v>0</v>
      </c>
      <c r="U1641" s="578">
        <f t="shared" si="387"/>
        <v>0</v>
      </c>
      <c r="V1641" s="579"/>
      <c r="W1641" s="566"/>
      <c r="X1641" s="586" t="str">
        <f t="shared" si="390"/>
        <v/>
      </c>
      <c r="Y1641" s="586" t="str">
        <f t="shared" si="395"/>
        <v/>
      </c>
      <c r="Z1641" s="586" t="str">
        <f t="shared" si="393"/>
        <v/>
      </c>
    </row>
    <row r="1642" spans="1:26" ht="23.25" hidden="1" thickBot="1" x14ac:dyDescent="0.25">
      <c r="A1642" s="567">
        <v>98288</v>
      </c>
      <c r="B1642" s="644">
        <v>98288</v>
      </c>
      <c r="C1642" s="645" t="s">
        <v>670</v>
      </c>
      <c r="D1642" s="422" t="s">
        <v>1488</v>
      </c>
      <c r="E1642" s="423"/>
      <c r="F1642" s="424"/>
      <c r="G1642" s="425"/>
      <c r="H1642" s="651"/>
      <c r="I1642" s="420">
        <v>2.4700000000000002</v>
      </c>
      <c r="J1642" s="420">
        <f t="shared" si="392"/>
        <v>2.4700000000000002</v>
      </c>
      <c r="K1642" s="421">
        <f t="shared" si="391"/>
        <v>2.93</v>
      </c>
      <c r="L1642" s="647" t="s">
        <v>79</v>
      </c>
      <c r="M1642" s="576"/>
      <c r="N1642" s="576">
        <f t="shared" si="394"/>
        <v>0</v>
      </c>
      <c r="O1642" s="577">
        <f t="shared" si="388"/>
        <v>0</v>
      </c>
      <c r="P1642" s="578">
        <f t="shared" si="389"/>
        <v>0</v>
      </c>
      <c r="Q1642" s="765"/>
      <c r="R1642" s="576">
        <f t="shared" ref="R1642:S1711" si="396">M1642</f>
        <v>0</v>
      </c>
      <c r="S1642" s="576">
        <f t="shared" si="396"/>
        <v>0</v>
      </c>
      <c r="T1642" s="577">
        <f t="shared" si="386"/>
        <v>0</v>
      </c>
      <c r="U1642" s="578">
        <f t="shared" si="387"/>
        <v>0</v>
      </c>
      <c r="V1642" s="579"/>
      <c r="W1642" s="566"/>
      <c r="X1642" s="586" t="str">
        <f t="shared" si="390"/>
        <v/>
      </c>
      <c r="Y1642" s="586" t="str">
        <f t="shared" si="395"/>
        <v/>
      </c>
      <c r="Z1642" s="586" t="str">
        <f t="shared" si="393"/>
        <v/>
      </c>
    </row>
    <row r="1643" spans="1:26" ht="23.25" hidden="1" thickBot="1" x14ac:dyDescent="0.25">
      <c r="A1643" s="567">
        <v>98289</v>
      </c>
      <c r="B1643" s="644">
        <v>98289</v>
      </c>
      <c r="C1643" s="645" t="s">
        <v>670</v>
      </c>
      <c r="D1643" s="422" t="s">
        <v>1489</v>
      </c>
      <c r="E1643" s="423"/>
      <c r="F1643" s="424"/>
      <c r="G1643" s="425"/>
      <c r="H1643" s="651"/>
      <c r="I1643" s="420">
        <v>2.69</v>
      </c>
      <c r="J1643" s="420">
        <f t="shared" si="392"/>
        <v>2.69</v>
      </c>
      <c r="K1643" s="421">
        <f t="shared" si="391"/>
        <v>3.2</v>
      </c>
      <c r="L1643" s="647" t="s">
        <v>79</v>
      </c>
      <c r="M1643" s="576"/>
      <c r="N1643" s="576">
        <f t="shared" si="394"/>
        <v>0</v>
      </c>
      <c r="O1643" s="577">
        <f t="shared" si="388"/>
        <v>0</v>
      </c>
      <c r="P1643" s="578">
        <f t="shared" si="389"/>
        <v>0</v>
      </c>
      <c r="Q1643" s="765"/>
      <c r="R1643" s="576">
        <f t="shared" si="396"/>
        <v>0</v>
      </c>
      <c r="S1643" s="576">
        <f t="shared" si="396"/>
        <v>0</v>
      </c>
      <c r="T1643" s="577">
        <f t="shared" si="386"/>
        <v>0</v>
      </c>
      <c r="U1643" s="578">
        <f t="shared" si="387"/>
        <v>0</v>
      </c>
      <c r="V1643" s="579"/>
      <c r="W1643" s="566"/>
      <c r="X1643" s="586" t="str">
        <f t="shared" si="390"/>
        <v/>
      </c>
      <c r="Y1643" s="586" t="str">
        <f t="shared" si="395"/>
        <v/>
      </c>
      <c r="Z1643" s="586" t="str">
        <f t="shared" si="393"/>
        <v/>
      </c>
    </row>
    <row r="1644" spans="1:26" ht="23.25" hidden="1" thickBot="1" x14ac:dyDescent="0.25">
      <c r="A1644" s="567">
        <v>98290</v>
      </c>
      <c r="B1644" s="644">
        <v>98290</v>
      </c>
      <c r="C1644" s="645" t="s">
        <v>670</v>
      </c>
      <c r="D1644" s="422" t="s">
        <v>1490</v>
      </c>
      <c r="E1644" s="423"/>
      <c r="F1644" s="424"/>
      <c r="G1644" s="425"/>
      <c r="H1644" s="651"/>
      <c r="I1644" s="420">
        <v>3.66</v>
      </c>
      <c r="J1644" s="420">
        <f t="shared" si="392"/>
        <v>3.66</v>
      </c>
      <c r="K1644" s="421">
        <f t="shared" si="391"/>
        <v>4.3499999999999996</v>
      </c>
      <c r="L1644" s="647" t="s">
        <v>79</v>
      </c>
      <c r="M1644" s="576"/>
      <c r="N1644" s="576">
        <f t="shared" si="394"/>
        <v>0</v>
      </c>
      <c r="O1644" s="577">
        <f t="shared" si="388"/>
        <v>0</v>
      </c>
      <c r="P1644" s="578">
        <f t="shared" si="389"/>
        <v>0</v>
      </c>
      <c r="Q1644" s="765"/>
      <c r="R1644" s="576">
        <f t="shared" si="396"/>
        <v>0</v>
      </c>
      <c r="S1644" s="576">
        <f t="shared" si="396"/>
        <v>0</v>
      </c>
      <c r="T1644" s="577">
        <f t="shared" si="386"/>
        <v>0</v>
      </c>
      <c r="U1644" s="578">
        <f t="shared" si="387"/>
        <v>0</v>
      </c>
      <c r="V1644" s="579"/>
      <c r="W1644" s="566"/>
      <c r="X1644" s="586" t="str">
        <f t="shared" si="390"/>
        <v/>
      </c>
      <c r="Y1644" s="586" t="str">
        <f t="shared" si="395"/>
        <v/>
      </c>
      <c r="Z1644" s="586" t="str">
        <f t="shared" si="393"/>
        <v/>
      </c>
    </row>
    <row r="1645" spans="1:26" ht="23.25" hidden="1" thickBot="1" x14ac:dyDescent="0.25">
      <c r="A1645" s="567">
        <v>98291</v>
      </c>
      <c r="B1645" s="644">
        <v>98291</v>
      </c>
      <c r="C1645" s="645" t="s">
        <v>670</v>
      </c>
      <c r="D1645" s="422" t="s">
        <v>1491</v>
      </c>
      <c r="E1645" s="423"/>
      <c r="F1645" s="424"/>
      <c r="G1645" s="425"/>
      <c r="H1645" s="651"/>
      <c r="I1645" s="420">
        <v>4.29</v>
      </c>
      <c r="J1645" s="420">
        <f t="shared" si="392"/>
        <v>4.29</v>
      </c>
      <c r="K1645" s="421">
        <f t="shared" si="391"/>
        <v>5.0999999999999996</v>
      </c>
      <c r="L1645" s="647" t="s">
        <v>79</v>
      </c>
      <c r="M1645" s="576"/>
      <c r="N1645" s="576">
        <f t="shared" si="394"/>
        <v>0</v>
      </c>
      <c r="O1645" s="577">
        <f t="shared" si="388"/>
        <v>0</v>
      </c>
      <c r="P1645" s="578">
        <f t="shared" si="389"/>
        <v>0</v>
      </c>
      <c r="Q1645" s="765"/>
      <c r="R1645" s="576">
        <f t="shared" si="396"/>
        <v>0</v>
      </c>
      <c r="S1645" s="576">
        <f t="shared" si="396"/>
        <v>0</v>
      </c>
      <c r="T1645" s="577">
        <f t="shared" si="386"/>
        <v>0</v>
      </c>
      <c r="U1645" s="578">
        <f t="shared" si="387"/>
        <v>0</v>
      </c>
      <c r="V1645" s="579"/>
      <c r="W1645" s="566"/>
      <c r="X1645" s="586" t="str">
        <f t="shared" si="390"/>
        <v/>
      </c>
      <c r="Y1645" s="586" t="str">
        <f t="shared" si="395"/>
        <v/>
      </c>
      <c r="Z1645" s="586" t="str">
        <f t="shared" si="393"/>
        <v/>
      </c>
    </row>
    <row r="1646" spans="1:26" ht="23.25" hidden="1" thickBot="1" x14ac:dyDescent="0.25">
      <c r="A1646" s="567">
        <v>98292</v>
      </c>
      <c r="B1646" s="644">
        <v>98292</v>
      </c>
      <c r="C1646" s="645" t="s">
        <v>670</v>
      </c>
      <c r="D1646" s="422" t="s">
        <v>1492</v>
      </c>
      <c r="E1646" s="423"/>
      <c r="F1646" s="424"/>
      <c r="G1646" s="425"/>
      <c r="H1646" s="651"/>
      <c r="I1646" s="420">
        <v>5.17</v>
      </c>
      <c r="J1646" s="420">
        <f t="shared" si="392"/>
        <v>5.17</v>
      </c>
      <c r="K1646" s="421">
        <f t="shared" si="391"/>
        <v>6.14</v>
      </c>
      <c r="L1646" s="647" t="s">
        <v>79</v>
      </c>
      <c r="M1646" s="576"/>
      <c r="N1646" s="576">
        <f t="shared" si="394"/>
        <v>0</v>
      </c>
      <c r="O1646" s="577">
        <f t="shared" si="388"/>
        <v>0</v>
      </c>
      <c r="P1646" s="578">
        <f t="shared" si="389"/>
        <v>0</v>
      </c>
      <c r="Q1646" s="765"/>
      <c r="R1646" s="576">
        <f t="shared" si="396"/>
        <v>0</v>
      </c>
      <c r="S1646" s="576">
        <f t="shared" si="396"/>
        <v>0</v>
      </c>
      <c r="T1646" s="577">
        <f t="shared" si="386"/>
        <v>0</v>
      </c>
      <c r="U1646" s="578">
        <f t="shared" si="387"/>
        <v>0</v>
      </c>
      <c r="V1646" s="579"/>
      <c r="W1646" s="566"/>
      <c r="X1646" s="586" t="str">
        <f t="shared" si="390"/>
        <v/>
      </c>
      <c r="Y1646" s="586" t="str">
        <f t="shared" si="395"/>
        <v/>
      </c>
      <c r="Z1646" s="586" t="str">
        <f t="shared" si="393"/>
        <v/>
      </c>
    </row>
    <row r="1647" spans="1:26" ht="12" hidden="1" thickBot="1" x14ac:dyDescent="0.25">
      <c r="A1647" s="567">
        <v>98397</v>
      </c>
      <c r="B1647" s="644">
        <v>98397</v>
      </c>
      <c r="C1647" s="645" t="s">
        <v>670</v>
      </c>
      <c r="D1647" s="422" t="s">
        <v>1493</v>
      </c>
      <c r="E1647" s="423"/>
      <c r="F1647" s="424"/>
      <c r="G1647" s="425"/>
      <c r="H1647" s="651"/>
      <c r="I1647" s="420">
        <v>12.48</v>
      </c>
      <c r="J1647" s="420">
        <f t="shared" si="392"/>
        <v>12.48</v>
      </c>
      <c r="K1647" s="421">
        <f t="shared" si="391"/>
        <v>14.83</v>
      </c>
      <c r="L1647" s="647" t="s">
        <v>2096</v>
      </c>
      <c r="M1647" s="576"/>
      <c r="N1647" s="576">
        <f t="shared" si="394"/>
        <v>0</v>
      </c>
      <c r="O1647" s="577">
        <f t="shared" si="388"/>
        <v>0</v>
      </c>
      <c r="P1647" s="578">
        <f t="shared" si="389"/>
        <v>0</v>
      </c>
      <c r="Q1647" s="765"/>
      <c r="R1647" s="576">
        <f t="shared" si="396"/>
        <v>0</v>
      </c>
      <c r="S1647" s="576">
        <f t="shared" si="396"/>
        <v>0</v>
      </c>
      <c r="T1647" s="577">
        <f t="shared" si="386"/>
        <v>0</v>
      </c>
      <c r="U1647" s="578">
        <f t="shared" si="387"/>
        <v>0</v>
      </c>
      <c r="V1647" s="579"/>
      <c r="W1647" s="566"/>
      <c r="X1647" s="586" t="str">
        <f t="shared" si="390"/>
        <v/>
      </c>
      <c r="Y1647" s="586" t="str">
        <f t="shared" si="395"/>
        <v/>
      </c>
      <c r="Z1647" s="586" t="str">
        <f t="shared" si="393"/>
        <v/>
      </c>
    </row>
    <row r="1648" spans="1:26" ht="23.25" hidden="1" thickBot="1" x14ac:dyDescent="0.25">
      <c r="A1648" s="567">
        <v>97327</v>
      </c>
      <c r="B1648" s="644">
        <v>97327</v>
      </c>
      <c r="C1648" s="645" t="s">
        <v>670</v>
      </c>
      <c r="D1648" s="422" t="s">
        <v>1494</v>
      </c>
      <c r="E1648" s="423"/>
      <c r="F1648" s="424"/>
      <c r="G1648" s="425"/>
      <c r="H1648" s="651"/>
      <c r="I1648" s="420">
        <v>30.85</v>
      </c>
      <c r="J1648" s="420">
        <f t="shared" si="392"/>
        <v>30.85</v>
      </c>
      <c r="K1648" s="421">
        <f t="shared" si="391"/>
        <v>36.65</v>
      </c>
      <c r="L1648" s="647" t="s">
        <v>79</v>
      </c>
      <c r="M1648" s="576"/>
      <c r="N1648" s="576">
        <f t="shared" si="394"/>
        <v>0</v>
      </c>
      <c r="O1648" s="577">
        <f t="shared" si="388"/>
        <v>0</v>
      </c>
      <c r="P1648" s="578">
        <f t="shared" si="389"/>
        <v>0</v>
      </c>
      <c r="Q1648" s="765"/>
      <c r="R1648" s="576">
        <f t="shared" si="396"/>
        <v>0</v>
      </c>
      <c r="S1648" s="576">
        <f t="shared" si="396"/>
        <v>0</v>
      </c>
      <c r="T1648" s="577">
        <f t="shared" si="386"/>
        <v>0</v>
      </c>
      <c r="U1648" s="578">
        <f t="shared" si="387"/>
        <v>0</v>
      </c>
      <c r="V1648" s="579"/>
      <c r="W1648" s="566"/>
      <c r="X1648" s="586" t="str">
        <f t="shared" si="390"/>
        <v/>
      </c>
      <c r="Y1648" s="586" t="str">
        <f t="shared" si="395"/>
        <v/>
      </c>
      <c r="Z1648" s="586" t="str">
        <f t="shared" si="393"/>
        <v/>
      </c>
    </row>
    <row r="1649" spans="1:26" ht="23.25" hidden="1" thickBot="1" x14ac:dyDescent="0.25">
      <c r="A1649" s="567">
        <v>97328</v>
      </c>
      <c r="B1649" s="644">
        <v>97328</v>
      </c>
      <c r="C1649" s="645" t="s">
        <v>670</v>
      </c>
      <c r="D1649" s="422" t="s">
        <v>1495</v>
      </c>
      <c r="E1649" s="423"/>
      <c r="F1649" s="424"/>
      <c r="G1649" s="425"/>
      <c r="H1649" s="651"/>
      <c r="I1649" s="420">
        <v>51.57</v>
      </c>
      <c r="J1649" s="420">
        <f t="shared" si="392"/>
        <v>51.57</v>
      </c>
      <c r="K1649" s="421">
        <f t="shared" si="391"/>
        <v>61.27</v>
      </c>
      <c r="L1649" s="647" t="s">
        <v>79</v>
      </c>
      <c r="M1649" s="576"/>
      <c r="N1649" s="576">
        <f t="shared" si="394"/>
        <v>0</v>
      </c>
      <c r="O1649" s="577">
        <f t="shared" si="388"/>
        <v>0</v>
      </c>
      <c r="P1649" s="578">
        <f t="shared" si="389"/>
        <v>0</v>
      </c>
      <c r="Q1649" s="765"/>
      <c r="R1649" s="576">
        <f t="shared" si="396"/>
        <v>0</v>
      </c>
      <c r="S1649" s="576">
        <f t="shared" si="396"/>
        <v>0</v>
      </c>
      <c r="T1649" s="577">
        <f t="shared" si="386"/>
        <v>0</v>
      </c>
      <c r="U1649" s="578">
        <f t="shared" si="387"/>
        <v>0</v>
      </c>
      <c r="V1649" s="579"/>
      <c r="W1649" s="566"/>
      <c r="X1649" s="586" t="str">
        <f t="shared" si="390"/>
        <v/>
      </c>
      <c r="Y1649" s="586" t="str">
        <f t="shared" si="395"/>
        <v/>
      </c>
      <c r="Z1649" s="586" t="str">
        <f t="shared" si="393"/>
        <v/>
      </c>
    </row>
    <row r="1650" spans="1:26" ht="23.25" hidden="1" thickBot="1" x14ac:dyDescent="0.25">
      <c r="A1650" s="567">
        <v>97329</v>
      </c>
      <c r="B1650" s="644">
        <v>97329</v>
      </c>
      <c r="C1650" s="645" t="s">
        <v>670</v>
      </c>
      <c r="D1650" s="422" t="s">
        <v>1496</v>
      </c>
      <c r="E1650" s="423"/>
      <c r="F1650" s="424"/>
      <c r="G1650" s="425"/>
      <c r="H1650" s="651"/>
      <c r="I1650" s="420">
        <v>65.66</v>
      </c>
      <c r="J1650" s="420">
        <f t="shared" si="392"/>
        <v>65.66</v>
      </c>
      <c r="K1650" s="421">
        <f t="shared" si="391"/>
        <v>78.010000000000005</v>
      </c>
      <c r="L1650" s="647" t="s">
        <v>79</v>
      </c>
      <c r="M1650" s="576"/>
      <c r="N1650" s="576">
        <f t="shared" si="394"/>
        <v>0</v>
      </c>
      <c r="O1650" s="577">
        <f t="shared" si="388"/>
        <v>0</v>
      </c>
      <c r="P1650" s="578">
        <f t="shared" si="389"/>
        <v>0</v>
      </c>
      <c r="Q1650" s="765"/>
      <c r="R1650" s="576">
        <f t="shared" si="396"/>
        <v>0</v>
      </c>
      <c r="S1650" s="576">
        <f t="shared" si="396"/>
        <v>0</v>
      </c>
      <c r="T1650" s="577">
        <f t="shared" si="386"/>
        <v>0</v>
      </c>
      <c r="U1650" s="578">
        <f t="shared" si="387"/>
        <v>0</v>
      </c>
      <c r="V1650" s="579"/>
      <c r="W1650" s="566"/>
      <c r="X1650" s="586" t="str">
        <f t="shared" si="390"/>
        <v/>
      </c>
      <c r="Y1650" s="586" t="str">
        <f t="shared" si="395"/>
        <v/>
      </c>
      <c r="Z1650" s="586" t="str">
        <f t="shared" si="393"/>
        <v/>
      </c>
    </row>
    <row r="1651" spans="1:26" ht="23.25" hidden="1" thickBot="1" x14ac:dyDescent="0.25">
      <c r="A1651" s="567">
        <v>97330</v>
      </c>
      <c r="B1651" s="644">
        <v>97330</v>
      </c>
      <c r="C1651" s="645" t="s">
        <v>670</v>
      </c>
      <c r="D1651" s="422" t="s">
        <v>1497</v>
      </c>
      <c r="E1651" s="423"/>
      <c r="F1651" s="424"/>
      <c r="G1651" s="425"/>
      <c r="H1651" s="651"/>
      <c r="I1651" s="420">
        <v>80.34</v>
      </c>
      <c r="J1651" s="420">
        <f t="shared" si="392"/>
        <v>80.34</v>
      </c>
      <c r="K1651" s="421">
        <f t="shared" si="391"/>
        <v>95.45</v>
      </c>
      <c r="L1651" s="647" t="s">
        <v>79</v>
      </c>
      <c r="M1651" s="576"/>
      <c r="N1651" s="576">
        <f t="shared" si="394"/>
        <v>0</v>
      </c>
      <c r="O1651" s="577">
        <f t="shared" si="388"/>
        <v>0</v>
      </c>
      <c r="P1651" s="578">
        <f t="shared" si="389"/>
        <v>0</v>
      </c>
      <c r="Q1651" s="765"/>
      <c r="R1651" s="576">
        <f t="shared" si="396"/>
        <v>0</v>
      </c>
      <c r="S1651" s="576">
        <f t="shared" si="396"/>
        <v>0</v>
      </c>
      <c r="T1651" s="577">
        <f t="shared" si="386"/>
        <v>0</v>
      </c>
      <c r="U1651" s="578">
        <f t="shared" si="387"/>
        <v>0</v>
      </c>
      <c r="V1651" s="579"/>
      <c r="W1651" s="566"/>
      <c r="X1651" s="586" t="str">
        <f t="shared" si="390"/>
        <v/>
      </c>
      <c r="Y1651" s="586" t="str">
        <f t="shared" si="395"/>
        <v/>
      </c>
      <c r="Z1651" s="586" t="str">
        <f t="shared" si="393"/>
        <v/>
      </c>
    </row>
    <row r="1652" spans="1:26" ht="23.25" hidden="1" thickBot="1" x14ac:dyDescent="0.25">
      <c r="A1652" s="567">
        <v>97331</v>
      </c>
      <c r="B1652" s="644">
        <v>97331</v>
      </c>
      <c r="C1652" s="645" t="s">
        <v>670</v>
      </c>
      <c r="D1652" s="422" t="s">
        <v>1498</v>
      </c>
      <c r="E1652" s="423"/>
      <c r="F1652" s="424"/>
      <c r="G1652" s="425"/>
      <c r="H1652" s="651"/>
      <c r="I1652" s="420">
        <v>31.2</v>
      </c>
      <c r="J1652" s="420">
        <f t="shared" si="392"/>
        <v>31.2</v>
      </c>
      <c r="K1652" s="421">
        <f t="shared" si="391"/>
        <v>37.07</v>
      </c>
      <c r="L1652" s="647" t="s">
        <v>79</v>
      </c>
      <c r="M1652" s="576"/>
      <c r="N1652" s="576">
        <f t="shared" si="394"/>
        <v>0</v>
      </c>
      <c r="O1652" s="577">
        <f t="shared" si="388"/>
        <v>0</v>
      </c>
      <c r="P1652" s="578">
        <f t="shared" si="389"/>
        <v>0</v>
      </c>
      <c r="Q1652" s="765"/>
      <c r="R1652" s="576">
        <f t="shared" si="396"/>
        <v>0</v>
      </c>
      <c r="S1652" s="576">
        <f t="shared" si="396"/>
        <v>0</v>
      </c>
      <c r="T1652" s="577">
        <f t="shared" ref="T1652:T1721" si="397">IF(ISBLANK(R1652),0,ROUND(K1652*R1652,2))</f>
        <v>0</v>
      </c>
      <c r="U1652" s="578">
        <f t="shared" ref="U1652:U1721" si="398">IF(ISBLANK(R1652),0,ROUND(R1652*S1652,2))</f>
        <v>0</v>
      </c>
      <c r="V1652" s="579"/>
      <c r="W1652" s="566"/>
      <c r="X1652" s="586" t="str">
        <f t="shared" si="390"/>
        <v/>
      </c>
      <c r="Y1652" s="586" t="str">
        <f t="shared" si="395"/>
        <v/>
      </c>
      <c r="Z1652" s="586" t="str">
        <f t="shared" si="393"/>
        <v/>
      </c>
    </row>
    <row r="1653" spans="1:26" ht="23.25" hidden="1" thickBot="1" x14ac:dyDescent="0.25">
      <c r="A1653" s="567">
        <v>97332</v>
      </c>
      <c r="B1653" s="644">
        <v>97332</v>
      </c>
      <c r="C1653" s="645" t="s">
        <v>670</v>
      </c>
      <c r="D1653" s="422" t="s">
        <v>1499</v>
      </c>
      <c r="E1653" s="423"/>
      <c r="F1653" s="424"/>
      <c r="G1653" s="425"/>
      <c r="H1653" s="651"/>
      <c r="I1653" s="420">
        <v>51.97</v>
      </c>
      <c r="J1653" s="420">
        <f t="shared" si="392"/>
        <v>51.97</v>
      </c>
      <c r="K1653" s="421">
        <f t="shared" si="391"/>
        <v>61.75</v>
      </c>
      <c r="L1653" s="647" t="s">
        <v>79</v>
      </c>
      <c r="M1653" s="576"/>
      <c r="N1653" s="576">
        <f t="shared" si="394"/>
        <v>0</v>
      </c>
      <c r="O1653" s="577">
        <f t="shared" ref="O1653:O1722" si="399">IF(ISBLANK(M1653),0,ROUND(K1653*M1653,2))</f>
        <v>0</v>
      </c>
      <c r="P1653" s="578">
        <f t="shared" ref="P1653:P1722" si="400">IF(ISBLANK(N1653),0,ROUND(M1653*N1653,2))</f>
        <v>0</v>
      </c>
      <c r="Q1653" s="765"/>
      <c r="R1653" s="576">
        <f t="shared" si="396"/>
        <v>0</v>
      </c>
      <c r="S1653" s="576">
        <f t="shared" si="396"/>
        <v>0</v>
      </c>
      <c r="T1653" s="577">
        <f t="shared" si="397"/>
        <v>0</v>
      </c>
      <c r="U1653" s="578">
        <f t="shared" si="398"/>
        <v>0</v>
      </c>
      <c r="V1653" s="579"/>
      <c r="W1653" s="566"/>
      <c r="X1653" s="586" t="str">
        <f t="shared" si="390"/>
        <v/>
      </c>
      <c r="Y1653" s="586" t="str">
        <f t="shared" si="395"/>
        <v/>
      </c>
      <c r="Z1653" s="586" t="str">
        <f t="shared" si="393"/>
        <v/>
      </c>
    </row>
    <row r="1654" spans="1:26" ht="23.25" hidden="1" thickBot="1" x14ac:dyDescent="0.25">
      <c r="A1654" s="567">
        <v>97333</v>
      </c>
      <c r="B1654" s="644">
        <v>97333</v>
      </c>
      <c r="C1654" s="645" t="s">
        <v>670</v>
      </c>
      <c r="D1654" s="422" t="s">
        <v>1500</v>
      </c>
      <c r="E1654" s="423"/>
      <c r="F1654" s="424"/>
      <c r="G1654" s="425"/>
      <c r="H1654" s="651"/>
      <c r="I1654" s="420">
        <v>66.16</v>
      </c>
      <c r="J1654" s="420">
        <f t="shared" si="392"/>
        <v>66.16</v>
      </c>
      <c r="K1654" s="421">
        <f t="shared" si="391"/>
        <v>78.599999999999994</v>
      </c>
      <c r="L1654" s="647" t="s">
        <v>79</v>
      </c>
      <c r="M1654" s="576"/>
      <c r="N1654" s="576">
        <f t="shared" si="394"/>
        <v>0</v>
      </c>
      <c r="O1654" s="577">
        <f t="shared" si="399"/>
        <v>0</v>
      </c>
      <c r="P1654" s="578">
        <f t="shared" si="400"/>
        <v>0</v>
      </c>
      <c r="Q1654" s="765"/>
      <c r="R1654" s="576">
        <f t="shared" si="396"/>
        <v>0</v>
      </c>
      <c r="S1654" s="576">
        <f t="shared" si="396"/>
        <v>0</v>
      </c>
      <c r="T1654" s="577">
        <f t="shared" si="397"/>
        <v>0</v>
      </c>
      <c r="U1654" s="578">
        <f t="shared" si="398"/>
        <v>0</v>
      </c>
      <c r="V1654" s="579"/>
      <c r="W1654" s="566"/>
      <c r="X1654" s="586" t="str">
        <f t="shared" si="390"/>
        <v/>
      </c>
      <c r="Y1654" s="586" t="str">
        <f t="shared" si="395"/>
        <v/>
      </c>
      <c r="Z1654" s="586" t="str">
        <f t="shared" si="393"/>
        <v/>
      </c>
    </row>
    <row r="1655" spans="1:26" ht="23.25" hidden="1" thickBot="1" x14ac:dyDescent="0.25">
      <c r="A1655" s="567">
        <v>97334</v>
      </c>
      <c r="B1655" s="644">
        <v>97334</v>
      </c>
      <c r="C1655" s="645" t="s">
        <v>670</v>
      </c>
      <c r="D1655" s="422" t="s">
        <v>1501</v>
      </c>
      <c r="E1655" s="423"/>
      <c r="F1655" s="424"/>
      <c r="G1655" s="425"/>
      <c r="H1655" s="651"/>
      <c r="I1655" s="420">
        <v>80.89</v>
      </c>
      <c r="J1655" s="420">
        <f t="shared" si="392"/>
        <v>80.89</v>
      </c>
      <c r="K1655" s="421">
        <f t="shared" si="391"/>
        <v>96.11</v>
      </c>
      <c r="L1655" s="647" t="s">
        <v>79</v>
      </c>
      <c r="M1655" s="576"/>
      <c r="N1655" s="576">
        <f t="shared" si="394"/>
        <v>0</v>
      </c>
      <c r="O1655" s="577">
        <f t="shared" si="399"/>
        <v>0</v>
      </c>
      <c r="P1655" s="578">
        <f t="shared" si="400"/>
        <v>0</v>
      </c>
      <c r="Q1655" s="765"/>
      <c r="R1655" s="576">
        <f t="shared" si="396"/>
        <v>0</v>
      </c>
      <c r="S1655" s="576">
        <f t="shared" si="396"/>
        <v>0</v>
      </c>
      <c r="T1655" s="577">
        <f t="shared" si="397"/>
        <v>0</v>
      </c>
      <c r="U1655" s="578">
        <f t="shared" si="398"/>
        <v>0</v>
      </c>
      <c r="V1655" s="579"/>
      <c r="W1655" s="566"/>
      <c r="X1655" s="722" t="str">
        <f t="shared" si="390"/>
        <v/>
      </c>
      <c r="Y1655" s="722" t="str">
        <f t="shared" si="395"/>
        <v/>
      </c>
      <c r="Z1655" s="722" t="str">
        <f t="shared" si="393"/>
        <v/>
      </c>
    </row>
    <row r="1656" spans="1:26" ht="15.6" hidden="1" customHeight="1" x14ac:dyDescent="0.2">
      <c r="A1656" s="567">
        <v>844000</v>
      </c>
      <c r="B1656" s="644">
        <v>844000</v>
      </c>
      <c r="C1656" s="645" t="s">
        <v>206</v>
      </c>
      <c r="D1656" s="422" t="s">
        <v>594</v>
      </c>
      <c r="E1656" s="423"/>
      <c r="F1656" s="424"/>
      <c r="G1656" s="425"/>
      <c r="H1656" s="651"/>
      <c r="I1656" s="420">
        <v>5148.5</v>
      </c>
      <c r="J1656" s="420">
        <f>IF(ISBLANK(I1656),"",SUM(H1656:I1656))</f>
        <v>5148.5</v>
      </c>
      <c r="K1656" s="421">
        <f t="shared" si="391"/>
        <v>6116.93</v>
      </c>
      <c r="L1656" s="647" t="s">
        <v>21</v>
      </c>
      <c r="M1656" s="576"/>
      <c r="N1656" s="576">
        <f t="shared" si="394"/>
        <v>0</v>
      </c>
      <c r="O1656" s="577">
        <f t="shared" si="399"/>
        <v>0</v>
      </c>
      <c r="P1656" s="578">
        <f t="shared" si="400"/>
        <v>0</v>
      </c>
      <c r="Q1656" s="765"/>
      <c r="R1656" s="576">
        <f t="shared" si="396"/>
        <v>0</v>
      </c>
      <c r="S1656" s="576">
        <f t="shared" si="396"/>
        <v>0</v>
      </c>
      <c r="T1656" s="577">
        <f t="shared" si="397"/>
        <v>0</v>
      </c>
      <c r="U1656" s="578">
        <f t="shared" si="398"/>
        <v>0</v>
      </c>
      <c r="V1656" s="579"/>
      <c r="W1656" s="566"/>
      <c r="X1656" s="586" t="str">
        <f t="shared" si="390"/>
        <v/>
      </c>
      <c r="Y1656" s="586" t="str">
        <f t="shared" si="395"/>
        <v/>
      </c>
      <c r="Z1656" s="586" t="str">
        <f t="shared" si="393"/>
        <v/>
      </c>
    </row>
    <row r="1657" spans="1:26" ht="12" hidden="1" thickBot="1" x14ac:dyDescent="0.25">
      <c r="A1657" s="652" t="s">
        <v>187</v>
      </c>
      <c r="B1657" s="653" t="s">
        <v>187</v>
      </c>
      <c r="C1657" s="654"/>
      <c r="D1657" s="427" t="s">
        <v>575</v>
      </c>
      <c r="E1657" s="491"/>
      <c r="F1657" s="655"/>
      <c r="G1657" s="656"/>
      <c r="H1657" s="657"/>
      <c r="I1657" s="429">
        <v>0</v>
      </c>
      <c r="J1657" s="429"/>
      <c r="K1657" s="429"/>
      <c r="L1657" s="429" t="s">
        <v>614</v>
      </c>
      <c r="M1657" s="657"/>
      <c r="N1657" s="576">
        <f t="shared" si="394"/>
        <v>0</v>
      </c>
      <c r="O1657" s="429">
        <f t="shared" si="399"/>
        <v>0</v>
      </c>
      <c r="P1657" s="658">
        <f t="shared" si="400"/>
        <v>0</v>
      </c>
      <c r="Q1657" s="765"/>
      <c r="R1657" s="657"/>
      <c r="S1657" s="429"/>
      <c r="T1657" s="429">
        <f t="shared" si="397"/>
        <v>0</v>
      </c>
      <c r="U1657" s="658">
        <f t="shared" si="398"/>
        <v>0</v>
      </c>
      <c r="V1657" s="579"/>
      <c r="W1657" s="637" t="str">
        <f>IF(OR(SUM(P1658:P1689)&gt;0,SUM(U1658:U1689)&gt;0),"y","")</f>
        <v/>
      </c>
      <c r="X1657" s="586" t="str">
        <f t="shared" si="390"/>
        <v/>
      </c>
      <c r="Y1657" s="586" t="str">
        <f t="shared" si="395"/>
        <v/>
      </c>
      <c r="Z1657" s="586" t="str">
        <f t="shared" si="393"/>
        <v/>
      </c>
    </row>
    <row r="1658" spans="1:26" ht="12" hidden="1" thickBot="1" x14ac:dyDescent="0.25">
      <c r="A1658" s="652" t="s">
        <v>187</v>
      </c>
      <c r="B1658" s="572" t="s">
        <v>187</v>
      </c>
      <c r="C1658" s="573" t="s">
        <v>187</v>
      </c>
      <c r="D1658" s="580"/>
      <c r="E1658" s="575"/>
      <c r="F1658" s="436"/>
      <c r="G1658" s="431"/>
      <c r="H1658" s="430"/>
      <c r="I1658" s="432"/>
      <c r="J1658" s="433"/>
      <c r="K1658" s="434">
        <f t="shared" ref="K1658:K1689" si="401">IF(ISBLANK(J1658),0,ROUND(J1658*(1+$F$10)*(1+$F$11*E1658),2))</f>
        <v>0</v>
      </c>
      <c r="L1658" s="435" t="s">
        <v>614</v>
      </c>
      <c r="M1658" s="587"/>
      <c r="N1658" s="576">
        <f t="shared" si="394"/>
        <v>0</v>
      </c>
      <c r="O1658" s="577">
        <f t="shared" si="399"/>
        <v>0</v>
      </c>
      <c r="P1658" s="578">
        <f t="shared" si="400"/>
        <v>0</v>
      </c>
      <c r="Q1658" s="765"/>
      <c r="R1658" s="650">
        <f t="shared" si="396"/>
        <v>0</v>
      </c>
      <c r="S1658" s="587">
        <f t="shared" si="396"/>
        <v>0</v>
      </c>
      <c r="T1658" s="577">
        <f t="shared" si="397"/>
        <v>0</v>
      </c>
      <c r="U1658" s="578">
        <f t="shared" si="398"/>
        <v>0</v>
      </c>
      <c r="V1658" s="579"/>
      <c r="W1658" s="566"/>
      <c r="X1658" s="586" t="str">
        <f t="shared" si="390"/>
        <v/>
      </c>
      <c r="Y1658" s="586" t="str">
        <f t="shared" si="395"/>
        <v/>
      </c>
      <c r="Z1658" s="586" t="str">
        <f t="shared" si="393"/>
        <v/>
      </c>
    </row>
    <row r="1659" spans="1:26" ht="12" hidden="1" thickBot="1" x14ac:dyDescent="0.25">
      <c r="A1659" s="652" t="s">
        <v>187</v>
      </c>
      <c r="B1659" s="572" t="s">
        <v>187</v>
      </c>
      <c r="C1659" s="573" t="s">
        <v>187</v>
      </c>
      <c r="D1659" s="580"/>
      <c r="E1659" s="575"/>
      <c r="F1659" s="436"/>
      <c r="G1659" s="431"/>
      <c r="H1659" s="430"/>
      <c r="I1659" s="432"/>
      <c r="J1659" s="433"/>
      <c r="K1659" s="437">
        <f t="shared" si="401"/>
        <v>0</v>
      </c>
      <c r="L1659" s="435" t="s">
        <v>614</v>
      </c>
      <c r="M1659" s="576"/>
      <c r="N1659" s="576">
        <f t="shared" si="394"/>
        <v>0</v>
      </c>
      <c r="O1659" s="577">
        <f t="shared" si="399"/>
        <v>0</v>
      </c>
      <c r="P1659" s="578">
        <f t="shared" si="400"/>
        <v>0</v>
      </c>
      <c r="Q1659" s="765"/>
      <c r="R1659" s="576">
        <f t="shared" si="396"/>
        <v>0</v>
      </c>
      <c r="S1659" s="576">
        <f t="shared" si="396"/>
        <v>0</v>
      </c>
      <c r="T1659" s="577">
        <f t="shared" si="397"/>
        <v>0</v>
      </c>
      <c r="U1659" s="659">
        <f t="shared" si="398"/>
        <v>0</v>
      </c>
      <c r="V1659" s="579"/>
      <c r="W1659" s="566"/>
      <c r="X1659" s="586" t="str">
        <f t="shared" si="390"/>
        <v/>
      </c>
      <c r="Y1659" s="586" t="str">
        <f t="shared" si="395"/>
        <v/>
      </c>
      <c r="Z1659" s="586" t="str">
        <f t="shared" si="393"/>
        <v/>
      </c>
    </row>
    <row r="1660" spans="1:26" ht="12" hidden="1" thickBot="1" x14ac:dyDescent="0.25">
      <c r="A1660" s="652" t="s">
        <v>187</v>
      </c>
      <c r="B1660" s="572" t="s">
        <v>187</v>
      </c>
      <c r="C1660" s="573" t="s">
        <v>187</v>
      </c>
      <c r="D1660" s="580"/>
      <c r="E1660" s="575"/>
      <c r="F1660" s="436"/>
      <c r="G1660" s="431"/>
      <c r="H1660" s="430"/>
      <c r="I1660" s="432"/>
      <c r="J1660" s="433"/>
      <c r="K1660" s="437">
        <f t="shared" si="401"/>
        <v>0</v>
      </c>
      <c r="L1660" s="435" t="s">
        <v>614</v>
      </c>
      <c r="M1660" s="576"/>
      <c r="N1660" s="576">
        <f t="shared" si="394"/>
        <v>0</v>
      </c>
      <c r="O1660" s="577">
        <f t="shared" si="399"/>
        <v>0</v>
      </c>
      <c r="P1660" s="578">
        <f t="shared" si="400"/>
        <v>0</v>
      </c>
      <c r="Q1660" s="765"/>
      <c r="R1660" s="576">
        <f t="shared" si="396"/>
        <v>0</v>
      </c>
      <c r="S1660" s="576">
        <f t="shared" si="396"/>
        <v>0</v>
      </c>
      <c r="T1660" s="577">
        <f t="shared" si="397"/>
        <v>0</v>
      </c>
      <c r="U1660" s="578">
        <f t="shared" si="398"/>
        <v>0</v>
      </c>
      <c r="V1660" s="579"/>
      <c r="W1660" s="566"/>
      <c r="X1660" s="586" t="str">
        <f t="shared" si="390"/>
        <v/>
      </c>
      <c r="Y1660" s="586" t="str">
        <f t="shared" si="395"/>
        <v/>
      </c>
      <c r="Z1660" s="586" t="str">
        <f t="shared" si="393"/>
        <v/>
      </c>
    </row>
    <row r="1661" spans="1:26" ht="12" hidden="1" thickBot="1" x14ac:dyDescent="0.25">
      <c r="A1661" s="652" t="s">
        <v>187</v>
      </c>
      <c r="B1661" s="572" t="s">
        <v>187</v>
      </c>
      <c r="C1661" s="573" t="s">
        <v>187</v>
      </c>
      <c r="D1661" s="580"/>
      <c r="E1661" s="575"/>
      <c r="F1661" s="436"/>
      <c r="G1661" s="431"/>
      <c r="H1661" s="430"/>
      <c r="I1661" s="432"/>
      <c r="J1661" s="433"/>
      <c r="K1661" s="437">
        <f t="shared" si="401"/>
        <v>0</v>
      </c>
      <c r="L1661" s="435" t="s">
        <v>614</v>
      </c>
      <c r="M1661" s="576"/>
      <c r="N1661" s="576">
        <f t="shared" si="394"/>
        <v>0</v>
      </c>
      <c r="O1661" s="577">
        <f t="shared" si="399"/>
        <v>0</v>
      </c>
      <c r="P1661" s="578">
        <f t="shared" si="400"/>
        <v>0</v>
      </c>
      <c r="Q1661" s="765"/>
      <c r="R1661" s="576">
        <f t="shared" si="396"/>
        <v>0</v>
      </c>
      <c r="S1661" s="576">
        <f t="shared" si="396"/>
        <v>0</v>
      </c>
      <c r="T1661" s="577">
        <f t="shared" si="397"/>
        <v>0</v>
      </c>
      <c r="U1661" s="578">
        <f t="shared" si="398"/>
        <v>0</v>
      </c>
      <c r="V1661" s="579"/>
      <c r="W1661" s="566"/>
      <c r="X1661" s="586" t="str">
        <f t="shared" ref="X1661:X1724" si="402">IF(W1661="X","x",IF(W1661="xx","x",IF(W1661="xy","x",IF(W1661="y","x",IF(OR(P1661&gt;0,U1661&gt;0),"x","")))))</f>
        <v/>
      </c>
      <c r="Y1661" s="586" t="str">
        <f t="shared" si="395"/>
        <v/>
      </c>
      <c r="Z1661" s="586" t="str">
        <f t="shared" si="393"/>
        <v/>
      </c>
    </row>
    <row r="1662" spans="1:26" ht="12" hidden="1" thickBot="1" x14ac:dyDescent="0.25">
      <c r="A1662" s="652" t="s">
        <v>187</v>
      </c>
      <c r="B1662" s="572" t="s">
        <v>187</v>
      </c>
      <c r="C1662" s="573" t="s">
        <v>187</v>
      </c>
      <c r="D1662" s="580"/>
      <c r="E1662" s="575"/>
      <c r="F1662" s="436"/>
      <c r="G1662" s="431"/>
      <c r="H1662" s="430"/>
      <c r="I1662" s="432"/>
      <c r="J1662" s="433"/>
      <c r="K1662" s="437">
        <f t="shared" si="401"/>
        <v>0</v>
      </c>
      <c r="L1662" s="435" t="s">
        <v>614</v>
      </c>
      <c r="M1662" s="576"/>
      <c r="N1662" s="576">
        <f t="shared" si="394"/>
        <v>0</v>
      </c>
      <c r="O1662" s="577">
        <f t="shared" si="399"/>
        <v>0</v>
      </c>
      <c r="P1662" s="578">
        <f t="shared" si="400"/>
        <v>0</v>
      </c>
      <c r="Q1662" s="765"/>
      <c r="R1662" s="576">
        <f t="shared" si="396"/>
        <v>0</v>
      </c>
      <c r="S1662" s="576">
        <f t="shared" si="396"/>
        <v>0</v>
      </c>
      <c r="T1662" s="577">
        <f t="shared" si="397"/>
        <v>0</v>
      </c>
      <c r="U1662" s="578">
        <f t="shared" si="398"/>
        <v>0</v>
      </c>
      <c r="V1662" s="579"/>
      <c r="W1662" s="566"/>
      <c r="X1662" s="586" t="str">
        <f t="shared" si="402"/>
        <v/>
      </c>
      <c r="Y1662" s="586" t="str">
        <f t="shared" si="395"/>
        <v/>
      </c>
      <c r="Z1662" s="586" t="str">
        <f t="shared" si="393"/>
        <v/>
      </c>
    </row>
    <row r="1663" spans="1:26" ht="12" hidden="1" thickBot="1" x14ac:dyDescent="0.25">
      <c r="A1663" s="652" t="s">
        <v>187</v>
      </c>
      <c r="B1663" s="572" t="s">
        <v>187</v>
      </c>
      <c r="C1663" s="573" t="s">
        <v>187</v>
      </c>
      <c r="D1663" s="580"/>
      <c r="E1663" s="575"/>
      <c r="F1663" s="436"/>
      <c r="G1663" s="431"/>
      <c r="H1663" s="430"/>
      <c r="I1663" s="432"/>
      <c r="J1663" s="433"/>
      <c r="K1663" s="437">
        <f t="shared" si="401"/>
        <v>0</v>
      </c>
      <c r="L1663" s="435" t="s">
        <v>614</v>
      </c>
      <c r="M1663" s="576"/>
      <c r="N1663" s="576">
        <f t="shared" si="394"/>
        <v>0</v>
      </c>
      <c r="O1663" s="577">
        <f t="shared" si="399"/>
        <v>0</v>
      </c>
      <c r="P1663" s="578">
        <f t="shared" si="400"/>
        <v>0</v>
      </c>
      <c r="Q1663" s="765"/>
      <c r="R1663" s="576">
        <f t="shared" si="396"/>
        <v>0</v>
      </c>
      <c r="S1663" s="576">
        <f t="shared" si="396"/>
        <v>0</v>
      </c>
      <c r="T1663" s="577">
        <f t="shared" si="397"/>
        <v>0</v>
      </c>
      <c r="U1663" s="578">
        <f t="shared" si="398"/>
        <v>0</v>
      </c>
      <c r="V1663" s="579"/>
      <c r="W1663" s="566"/>
      <c r="X1663" s="586" t="str">
        <f t="shared" si="402"/>
        <v/>
      </c>
      <c r="Y1663" s="586" t="str">
        <f t="shared" si="395"/>
        <v/>
      </c>
      <c r="Z1663" s="586" t="str">
        <f t="shared" si="393"/>
        <v/>
      </c>
    </row>
    <row r="1664" spans="1:26" ht="12" hidden="1" thickBot="1" x14ac:dyDescent="0.25">
      <c r="A1664" s="652" t="s">
        <v>187</v>
      </c>
      <c r="B1664" s="572" t="s">
        <v>187</v>
      </c>
      <c r="C1664" s="573" t="s">
        <v>187</v>
      </c>
      <c r="D1664" s="580"/>
      <c r="E1664" s="575"/>
      <c r="F1664" s="436"/>
      <c r="G1664" s="431"/>
      <c r="H1664" s="430"/>
      <c r="I1664" s="432"/>
      <c r="J1664" s="433"/>
      <c r="K1664" s="437">
        <f t="shared" si="401"/>
        <v>0</v>
      </c>
      <c r="L1664" s="435" t="s">
        <v>614</v>
      </c>
      <c r="M1664" s="576"/>
      <c r="N1664" s="576">
        <f t="shared" si="394"/>
        <v>0</v>
      </c>
      <c r="O1664" s="577">
        <f t="shared" si="399"/>
        <v>0</v>
      </c>
      <c r="P1664" s="578">
        <f t="shared" si="400"/>
        <v>0</v>
      </c>
      <c r="Q1664" s="765"/>
      <c r="R1664" s="576">
        <f t="shared" si="396"/>
        <v>0</v>
      </c>
      <c r="S1664" s="576">
        <f t="shared" si="396"/>
        <v>0</v>
      </c>
      <c r="T1664" s="577">
        <f t="shared" si="397"/>
        <v>0</v>
      </c>
      <c r="U1664" s="578">
        <f t="shared" si="398"/>
        <v>0</v>
      </c>
      <c r="V1664" s="579"/>
      <c r="W1664" s="566"/>
      <c r="X1664" s="586" t="str">
        <f t="shared" si="402"/>
        <v/>
      </c>
      <c r="Y1664" s="586" t="str">
        <f t="shared" si="395"/>
        <v/>
      </c>
      <c r="Z1664" s="586" t="str">
        <f t="shared" si="393"/>
        <v/>
      </c>
    </row>
    <row r="1665" spans="1:26" ht="12" hidden="1" thickBot="1" x14ac:dyDescent="0.25">
      <c r="A1665" s="652" t="s">
        <v>187</v>
      </c>
      <c r="B1665" s="572" t="s">
        <v>187</v>
      </c>
      <c r="C1665" s="573" t="s">
        <v>187</v>
      </c>
      <c r="D1665" s="580"/>
      <c r="E1665" s="575"/>
      <c r="F1665" s="436"/>
      <c r="G1665" s="431"/>
      <c r="H1665" s="430"/>
      <c r="I1665" s="432"/>
      <c r="J1665" s="433"/>
      <c r="K1665" s="437">
        <f t="shared" si="401"/>
        <v>0</v>
      </c>
      <c r="L1665" s="435" t="s">
        <v>614</v>
      </c>
      <c r="M1665" s="576"/>
      <c r="N1665" s="576">
        <f t="shared" si="394"/>
        <v>0</v>
      </c>
      <c r="O1665" s="577">
        <f t="shared" si="399"/>
        <v>0</v>
      </c>
      <c r="P1665" s="578">
        <f t="shared" si="400"/>
        <v>0</v>
      </c>
      <c r="Q1665" s="765"/>
      <c r="R1665" s="576">
        <f t="shared" si="396"/>
        <v>0</v>
      </c>
      <c r="S1665" s="576">
        <f t="shared" si="396"/>
        <v>0</v>
      </c>
      <c r="T1665" s="577">
        <f t="shared" si="397"/>
        <v>0</v>
      </c>
      <c r="U1665" s="578">
        <f t="shared" si="398"/>
        <v>0</v>
      </c>
      <c r="V1665" s="579"/>
      <c r="W1665" s="566"/>
      <c r="X1665" s="586" t="str">
        <f t="shared" si="402"/>
        <v/>
      </c>
      <c r="Y1665" s="586" t="str">
        <f t="shared" si="395"/>
        <v/>
      </c>
      <c r="Z1665" s="586" t="str">
        <f t="shared" si="393"/>
        <v/>
      </c>
    </row>
    <row r="1666" spans="1:26" ht="12" hidden="1" thickBot="1" x14ac:dyDescent="0.25">
      <c r="A1666" s="652" t="s">
        <v>187</v>
      </c>
      <c r="B1666" s="572" t="s">
        <v>187</v>
      </c>
      <c r="C1666" s="573" t="s">
        <v>187</v>
      </c>
      <c r="D1666" s="580"/>
      <c r="E1666" s="575"/>
      <c r="F1666" s="436"/>
      <c r="G1666" s="431"/>
      <c r="H1666" s="430"/>
      <c r="I1666" s="432"/>
      <c r="J1666" s="433"/>
      <c r="K1666" s="437">
        <f t="shared" si="401"/>
        <v>0</v>
      </c>
      <c r="L1666" s="435" t="s">
        <v>614</v>
      </c>
      <c r="M1666" s="576"/>
      <c r="N1666" s="576">
        <f t="shared" si="394"/>
        <v>0</v>
      </c>
      <c r="O1666" s="577">
        <f t="shared" si="399"/>
        <v>0</v>
      </c>
      <c r="P1666" s="578">
        <f t="shared" si="400"/>
        <v>0</v>
      </c>
      <c r="Q1666" s="765"/>
      <c r="R1666" s="576">
        <f t="shared" si="396"/>
        <v>0</v>
      </c>
      <c r="S1666" s="576">
        <f t="shared" si="396"/>
        <v>0</v>
      </c>
      <c r="T1666" s="577">
        <f t="shared" si="397"/>
        <v>0</v>
      </c>
      <c r="U1666" s="578">
        <f t="shared" si="398"/>
        <v>0</v>
      </c>
      <c r="V1666" s="579"/>
      <c r="W1666" s="566"/>
      <c r="X1666" s="586" t="str">
        <f t="shared" si="402"/>
        <v/>
      </c>
      <c r="Y1666" s="586" t="str">
        <f t="shared" si="395"/>
        <v/>
      </c>
      <c r="Z1666" s="586" t="str">
        <f t="shared" si="393"/>
        <v/>
      </c>
    </row>
    <row r="1667" spans="1:26" ht="12" hidden="1" thickBot="1" x14ac:dyDescent="0.25">
      <c r="A1667" s="652" t="s">
        <v>187</v>
      </c>
      <c r="B1667" s="572" t="s">
        <v>187</v>
      </c>
      <c r="C1667" s="573" t="s">
        <v>187</v>
      </c>
      <c r="D1667" s="580"/>
      <c r="E1667" s="575"/>
      <c r="F1667" s="436"/>
      <c r="G1667" s="431"/>
      <c r="H1667" s="430"/>
      <c r="I1667" s="432"/>
      <c r="J1667" s="433"/>
      <c r="K1667" s="437">
        <f t="shared" si="401"/>
        <v>0</v>
      </c>
      <c r="L1667" s="435" t="s">
        <v>614</v>
      </c>
      <c r="M1667" s="576"/>
      <c r="N1667" s="576">
        <f t="shared" si="394"/>
        <v>0</v>
      </c>
      <c r="O1667" s="577">
        <f t="shared" si="399"/>
        <v>0</v>
      </c>
      <c r="P1667" s="578">
        <f t="shared" si="400"/>
        <v>0</v>
      </c>
      <c r="Q1667" s="765"/>
      <c r="R1667" s="576">
        <f t="shared" si="396"/>
        <v>0</v>
      </c>
      <c r="S1667" s="576">
        <f t="shared" si="396"/>
        <v>0</v>
      </c>
      <c r="T1667" s="577">
        <f t="shared" si="397"/>
        <v>0</v>
      </c>
      <c r="U1667" s="578">
        <f t="shared" si="398"/>
        <v>0</v>
      </c>
      <c r="V1667" s="579"/>
      <c r="W1667" s="566"/>
      <c r="X1667" s="586" t="str">
        <f t="shared" si="402"/>
        <v/>
      </c>
      <c r="Y1667" s="586" t="str">
        <f t="shared" si="395"/>
        <v/>
      </c>
      <c r="Z1667" s="586" t="str">
        <f t="shared" si="393"/>
        <v/>
      </c>
    </row>
    <row r="1668" spans="1:26" ht="12" hidden="1" thickBot="1" x14ac:dyDescent="0.25">
      <c r="A1668" s="652" t="s">
        <v>187</v>
      </c>
      <c r="B1668" s="572" t="s">
        <v>187</v>
      </c>
      <c r="C1668" s="573" t="s">
        <v>187</v>
      </c>
      <c r="D1668" s="580"/>
      <c r="E1668" s="575"/>
      <c r="F1668" s="436"/>
      <c r="G1668" s="431"/>
      <c r="H1668" s="430"/>
      <c r="I1668" s="432"/>
      <c r="J1668" s="433"/>
      <c r="K1668" s="437">
        <f t="shared" si="401"/>
        <v>0</v>
      </c>
      <c r="L1668" s="435" t="s">
        <v>614</v>
      </c>
      <c r="M1668" s="576"/>
      <c r="N1668" s="576">
        <f t="shared" si="394"/>
        <v>0</v>
      </c>
      <c r="O1668" s="577">
        <f t="shared" si="399"/>
        <v>0</v>
      </c>
      <c r="P1668" s="578">
        <f t="shared" si="400"/>
        <v>0</v>
      </c>
      <c r="Q1668" s="765"/>
      <c r="R1668" s="576">
        <f t="shared" si="396"/>
        <v>0</v>
      </c>
      <c r="S1668" s="576">
        <f t="shared" si="396"/>
        <v>0</v>
      </c>
      <c r="T1668" s="577">
        <f t="shared" si="397"/>
        <v>0</v>
      </c>
      <c r="U1668" s="578">
        <f t="shared" si="398"/>
        <v>0</v>
      </c>
      <c r="V1668" s="579"/>
      <c r="W1668" s="566"/>
      <c r="X1668" s="586" t="str">
        <f t="shared" si="402"/>
        <v/>
      </c>
      <c r="Y1668" s="586" t="str">
        <f t="shared" si="395"/>
        <v/>
      </c>
      <c r="Z1668" s="586" t="str">
        <f t="shared" si="393"/>
        <v/>
      </c>
    </row>
    <row r="1669" spans="1:26" ht="12" hidden="1" thickBot="1" x14ac:dyDescent="0.25">
      <c r="A1669" s="652" t="s">
        <v>187</v>
      </c>
      <c r="B1669" s="572" t="s">
        <v>187</v>
      </c>
      <c r="C1669" s="573" t="s">
        <v>187</v>
      </c>
      <c r="D1669" s="580"/>
      <c r="E1669" s="575"/>
      <c r="F1669" s="436"/>
      <c r="G1669" s="431"/>
      <c r="H1669" s="430"/>
      <c r="I1669" s="432"/>
      <c r="J1669" s="433"/>
      <c r="K1669" s="437">
        <f t="shared" si="401"/>
        <v>0</v>
      </c>
      <c r="L1669" s="435" t="s">
        <v>614</v>
      </c>
      <c r="M1669" s="576"/>
      <c r="N1669" s="576">
        <f t="shared" si="394"/>
        <v>0</v>
      </c>
      <c r="O1669" s="577">
        <f t="shared" si="399"/>
        <v>0</v>
      </c>
      <c r="P1669" s="578">
        <f t="shared" si="400"/>
        <v>0</v>
      </c>
      <c r="Q1669" s="765"/>
      <c r="R1669" s="576">
        <f t="shared" si="396"/>
        <v>0</v>
      </c>
      <c r="S1669" s="576">
        <f t="shared" si="396"/>
        <v>0</v>
      </c>
      <c r="T1669" s="577">
        <f t="shared" si="397"/>
        <v>0</v>
      </c>
      <c r="U1669" s="578">
        <f t="shared" si="398"/>
        <v>0</v>
      </c>
      <c r="V1669" s="579"/>
      <c r="W1669" s="566"/>
      <c r="X1669" s="586" t="str">
        <f t="shared" si="402"/>
        <v/>
      </c>
      <c r="Y1669" s="586" t="str">
        <f t="shared" si="395"/>
        <v/>
      </c>
      <c r="Z1669" s="586" t="str">
        <f t="shared" si="393"/>
        <v/>
      </c>
    </row>
    <row r="1670" spans="1:26" ht="12" hidden="1" thickBot="1" x14ac:dyDescent="0.25">
      <c r="A1670" s="652" t="s">
        <v>187</v>
      </c>
      <c r="B1670" s="572" t="s">
        <v>187</v>
      </c>
      <c r="C1670" s="573" t="s">
        <v>187</v>
      </c>
      <c r="D1670" s="580"/>
      <c r="E1670" s="575"/>
      <c r="F1670" s="436"/>
      <c r="G1670" s="431"/>
      <c r="H1670" s="430"/>
      <c r="I1670" s="432"/>
      <c r="J1670" s="433"/>
      <c r="K1670" s="437">
        <f t="shared" si="401"/>
        <v>0</v>
      </c>
      <c r="L1670" s="435" t="s">
        <v>614</v>
      </c>
      <c r="M1670" s="576"/>
      <c r="N1670" s="576">
        <f t="shared" si="394"/>
        <v>0</v>
      </c>
      <c r="O1670" s="577">
        <f t="shared" si="399"/>
        <v>0</v>
      </c>
      <c r="P1670" s="578">
        <f t="shared" si="400"/>
        <v>0</v>
      </c>
      <c r="Q1670" s="765"/>
      <c r="R1670" s="576">
        <f t="shared" si="396"/>
        <v>0</v>
      </c>
      <c r="S1670" s="576">
        <f t="shared" si="396"/>
        <v>0</v>
      </c>
      <c r="T1670" s="577">
        <f t="shared" si="397"/>
        <v>0</v>
      </c>
      <c r="U1670" s="578">
        <f t="shared" si="398"/>
        <v>0</v>
      </c>
      <c r="V1670" s="579"/>
      <c r="W1670" s="566"/>
      <c r="X1670" s="586" t="str">
        <f t="shared" si="402"/>
        <v/>
      </c>
      <c r="Y1670" s="586" t="str">
        <f t="shared" si="395"/>
        <v/>
      </c>
      <c r="Z1670" s="586" t="str">
        <f t="shared" si="393"/>
        <v/>
      </c>
    </row>
    <row r="1671" spans="1:26" ht="12" hidden="1" thickBot="1" x14ac:dyDescent="0.25">
      <c r="A1671" s="652" t="s">
        <v>187</v>
      </c>
      <c r="B1671" s="572" t="s">
        <v>187</v>
      </c>
      <c r="C1671" s="573" t="s">
        <v>187</v>
      </c>
      <c r="D1671" s="580"/>
      <c r="E1671" s="575"/>
      <c r="F1671" s="436"/>
      <c r="G1671" s="431"/>
      <c r="H1671" s="430"/>
      <c r="I1671" s="432"/>
      <c r="J1671" s="433"/>
      <c r="K1671" s="437">
        <f t="shared" si="401"/>
        <v>0</v>
      </c>
      <c r="L1671" s="435" t="s">
        <v>614</v>
      </c>
      <c r="M1671" s="576"/>
      <c r="N1671" s="576">
        <f t="shared" si="394"/>
        <v>0</v>
      </c>
      <c r="O1671" s="577">
        <f t="shared" si="399"/>
        <v>0</v>
      </c>
      <c r="P1671" s="578">
        <f t="shared" si="400"/>
        <v>0</v>
      </c>
      <c r="Q1671" s="765"/>
      <c r="R1671" s="576">
        <f t="shared" si="396"/>
        <v>0</v>
      </c>
      <c r="S1671" s="576">
        <f t="shared" si="396"/>
        <v>0</v>
      </c>
      <c r="T1671" s="577">
        <f t="shared" si="397"/>
        <v>0</v>
      </c>
      <c r="U1671" s="578">
        <f t="shared" si="398"/>
        <v>0</v>
      </c>
      <c r="V1671" s="579"/>
      <c r="W1671" s="566"/>
      <c r="X1671" s="586" t="str">
        <f t="shared" si="402"/>
        <v/>
      </c>
      <c r="Y1671" s="586" t="str">
        <f t="shared" si="395"/>
        <v/>
      </c>
      <c r="Z1671" s="586" t="str">
        <f t="shared" si="393"/>
        <v/>
      </c>
    </row>
    <row r="1672" spans="1:26" ht="12" hidden="1" thickBot="1" x14ac:dyDescent="0.25">
      <c r="A1672" s="652" t="s">
        <v>187</v>
      </c>
      <c r="B1672" s="572" t="s">
        <v>187</v>
      </c>
      <c r="C1672" s="573" t="s">
        <v>187</v>
      </c>
      <c r="D1672" s="580"/>
      <c r="E1672" s="575"/>
      <c r="F1672" s="436"/>
      <c r="G1672" s="431"/>
      <c r="H1672" s="430"/>
      <c r="I1672" s="432"/>
      <c r="J1672" s="433"/>
      <c r="K1672" s="437">
        <f t="shared" si="401"/>
        <v>0</v>
      </c>
      <c r="L1672" s="435" t="s">
        <v>614</v>
      </c>
      <c r="M1672" s="576"/>
      <c r="N1672" s="576">
        <f t="shared" si="394"/>
        <v>0</v>
      </c>
      <c r="O1672" s="577">
        <f t="shared" si="399"/>
        <v>0</v>
      </c>
      <c r="P1672" s="578">
        <f t="shared" si="400"/>
        <v>0</v>
      </c>
      <c r="Q1672" s="765"/>
      <c r="R1672" s="576">
        <f t="shared" si="396"/>
        <v>0</v>
      </c>
      <c r="S1672" s="576">
        <f t="shared" si="396"/>
        <v>0</v>
      </c>
      <c r="T1672" s="577">
        <f t="shared" si="397"/>
        <v>0</v>
      </c>
      <c r="U1672" s="578">
        <f t="shared" si="398"/>
        <v>0</v>
      </c>
      <c r="V1672" s="579"/>
      <c r="W1672" s="566"/>
      <c r="X1672" s="586" t="str">
        <f t="shared" si="402"/>
        <v/>
      </c>
      <c r="Y1672" s="586" t="str">
        <f t="shared" si="395"/>
        <v/>
      </c>
      <c r="Z1672" s="586" t="str">
        <f t="shared" si="393"/>
        <v/>
      </c>
    </row>
    <row r="1673" spans="1:26" ht="12" hidden="1" thickBot="1" x14ac:dyDescent="0.25">
      <c r="A1673" s="652" t="s">
        <v>187</v>
      </c>
      <c r="B1673" s="572" t="s">
        <v>187</v>
      </c>
      <c r="C1673" s="573" t="s">
        <v>187</v>
      </c>
      <c r="D1673" s="580"/>
      <c r="E1673" s="575"/>
      <c r="F1673" s="436"/>
      <c r="G1673" s="431"/>
      <c r="H1673" s="430"/>
      <c r="I1673" s="432"/>
      <c r="J1673" s="433"/>
      <c r="K1673" s="437">
        <f t="shared" si="401"/>
        <v>0</v>
      </c>
      <c r="L1673" s="435" t="s">
        <v>614</v>
      </c>
      <c r="M1673" s="576"/>
      <c r="N1673" s="576">
        <f t="shared" si="394"/>
        <v>0</v>
      </c>
      <c r="O1673" s="577">
        <f t="shared" si="399"/>
        <v>0</v>
      </c>
      <c r="P1673" s="578">
        <f t="shared" si="400"/>
        <v>0</v>
      </c>
      <c r="Q1673" s="765"/>
      <c r="R1673" s="576">
        <f t="shared" si="396"/>
        <v>0</v>
      </c>
      <c r="S1673" s="576">
        <f t="shared" si="396"/>
        <v>0</v>
      </c>
      <c r="T1673" s="577">
        <f t="shared" si="397"/>
        <v>0</v>
      </c>
      <c r="U1673" s="578">
        <f t="shared" si="398"/>
        <v>0</v>
      </c>
      <c r="V1673" s="579"/>
      <c r="W1673" s="566"/>
      <c r="X1673" s="586" t="str">
        <f t="shared" si="402"/>
        <v/>
      </c>
      <c r="Y1673" s="586" t="str">
        <f t="shared" si="395"/>
        <v/>
      </c>
      <c r="Z1673" s="586" t="str">
        <f t="shared" si="393"/>
        <v/>
      </c>
    </row>
    <row r="1674" spans="1:26" ht="12" hidden="1" thickBot="1" x14ac:dyDescent="0.25">
      <c r="A1674" s="652" t="s">
        <v>187</v>
      </c>
      <c r="B1674" s="572" t="s">
        <v>187</v>
      </c>
      <c r="C1674" s="573" t="s">
        <v>187</v>
      </c>
      <c r="D1674" s="580"/>
      <c r="E1674" s="575"/>
      <c r="F1674" s="436"/>
      <c r="G1674" s="431"/>
      <c r="H1674" s="430"/>
      <c r="I1674" s="432"/>
      <c r="J1674" s="433"/>
      <c r="K1674" s="437">
        <f t="shared" si="401"/>
        <v>0</v>
      </c>
      <c r="L1674" s="435" t="s">
        <v>614</v>
      </c>
      <c r="M1674" s="576"/>
      <c r="N1674" s="576">
        <f t="shared" si="394"/>
        <v>0</v>
      </c>
      <c r="O1674" s="577">
        <f t="shared" si="399"/>
        <v>0</v>
      </c>
      <c r="P1674" s="578">
        <f t="shared" si="400"/>
        <v>0</v>
      </c>
      <c r="Q1674" s="765"/>
      <c r="R1674" s="576">
        <f t="shared" si="396"/>
        <v>0</v>
      </c>
      <c r="S1674" s="576">
        <f t="shared" si="396"/>
        <v>0</v>
      </c>
      <c r="T1674" s="577">
        <f t="shared" si="397"/>
        <v>0</v>
      </c>
      <c r="U1674" s="578">
        <f t="shared" si="398"/>
        <v>0</v>
      </c>
      <c r="V1674" s="579"/>
      <c r="W1674" s="566"/>
      <c r="X1674" s="586" t="str">
        <f t="shared" si="402"/>
        <v/>
      </c>
      <c r="Y1674" s="586" t="str">
        <f t="shared" si="395"/>
        <v/>
      </c>
      <c r="Z1674" s="586" t="str">
        <f t="shared" si="393"/>
        <v/>
      </c>
    </row>
    <row r="1675" spans="1:26" ht="12" hidden="1" thickBot="1" x14ac:dyDescent="0.25">
      <c r="A1675" s="652" t="s">
        <v>187</v>
      </c>
      <c r="B1675" s="572" t="s">
        <v>187</v>
      </c>
      <c r="C1675" s="573" t="s">
        <v>187</v>
      </c>
      <c r="D1675" s="580"/>
      <c r="E1675" s="575"/>
      <c r="F1675" s="436"/>
      <c r="G1675" s="431"/>
      <c r="H1675" s="430"/>
      <c r="I1675" s="432"/>
      <c r="J1675" s="433"/>
      <c r="K1675" s="437">
        <f t="shared" si="401"/>
        <v>0</v>
      </c>
      <c r="L1675" s="435" t="s">
        <v>614</v>
      </c>
      <c r="M1675" s="576"/>
      <c r="N1675" s="576">
        <f t="shared" si="394"/>
        <v>0</v>
      </c>
      <c r="O1675" s="577">
        <f t="shared" si="399"/>
        <v>0</v>
      </c>
      <c r="P1675" s="578">
        <f t="shared" si="400"/>
        <v>0</v>
      </c>
      <c r="Q1675" s="765"/>
      <c r="R1675" s="576">
        <f t="shared" si="396"/>
        <v>0</v>
      </c>
      <c r="S1675" s="576">
        <f t="shared" si="396"/>
        <v>0</v>
      </c>
      <c r="T1675" s="577">
        <f t="shared" si="397"/>
        <v>0</v>
      </c>
      <c r="U1675" s="578">
        <f t="shared" si="398"/>
        <v>0</v>
      </c>
      <c r="V1675" s="579"/>
      <c r="W1675" s="566"/>
      <c r="X1675" s="586" t="str">
        <f t="shared" si="402"/>
        <v/>
      </c>
      <c r="Y1675" s="586" t="str">
        <f t="shared" si="395"/>
        <v/>
      </c>
      <c r="Z1675" s="586" t="str">
        <f t="shared" si="393"/>
        <v/>
      </c>
    </row>
    <row r="1676" spans="1:26" ht="12" hidden="1" thickBot="1" x14ac:dyDescent="0.25">
      <c r="A1676" s="652" t="s">
        <v>187</v>
      </c>
      <c r="B1676" s="572" t="s">
        <v>187</v>
      </c>
      <c r="C1676" s="573" t="s">
        <v>187</v>
      </c>
      <c r="D1676" s="580"/>
      <c r="E1676" s="575"/>
      <c r="F1676" s="436"/>
      <c r="G1676" s="431"/>
      <c r="H1676" s="430"/>
      <c r="I1676" s="432"/>
      <c r="J1676" s="433"/>
      <c r="K1676" s="437">
        <f t="shared" si="401"/>
        <v>0</v>
      </c>
      <c r="L1676" s="435" t="s">
        <v>614</v>
      </c>
      <c r="M1676" s="576"/>
      <c r="N1676" s="576">
        <f t="shared" si="394"/>
        <v>0</v>
      </c>
      <c r="O1676" s="577">
        <f t="shared" si="399"/>
        <v>0</v>
      </c>
      <c r="P1676" s="578">
        <f t="shared" si="400"/>
        <v>0</v>
      </c>
      <c r="Q1676" s="765"/>
      <c r="R1676" s="576">
        <f t="shared" si="396"/>
        <v>0</v>
      </c>
      <c r="S1676" s="576">
        <f t="shared" si="396"/>
        <v>0</v>
      </c>
      <c r="T1676" s="577">
        <f t="shared" si="397"/>
        <v>0</v>
      </c>
      <c r="U1676" s="578">
        <f t="shared" si="398"/>
        <v>0</v>
      </c>
      <c r="V1676" s="579"/>
      <c r="W1676" s="566"/>
      <c r="X1676" s="586" t="str">
        <f t="shared" si="402"/>
        <v/>
      </c>
      <c r="Y1676" s="586" t="str">
        <f t="shared" si="395"/>
        <v/>
      </c>
      <c r="Z1676" s="586" t="str">
        <f t="shared" si="393"/>
        <v/>
      </c>
    </row>
    <row r="1677" spans="1:26" ht="12" hidden="1" thickBot="1" x14ac:dyDescent="0.25">
      <c r="A1677" s="652" t="s">
        <v>187</v>
      </c>
      <c r="B1677" s="572" t="s">
        <v>187</v>
      </c>
      <c r="C1677" s="573" t="s">
        <v>187</v>
      </c>
      <c r="D1677" s="580"/>
      <c r="E1677" s="575"/>
      <c r="F1677" s="436"/>
      <c r="G1677" s="431"/>
      <c r="H1677" s="430"/>
      <c r="I1677" s="432"/>
      <c r="J1677" s="433"/>
      <c r="K1677" s="437">
        <f t="shared" si="401"/>
        <v>0</v>
      </c>
      <c r="L1677" s="435" t="s">
        <v>614</v>
      </c>
      <c r="M1677" s="576"/>
      <c r="N1677" s="576">
        <f t="shared" si="394"/>
        <v>0</v>
      </c>
      <c r="O1677" s="577">
        <f t="shared" si="399"/>
        <v>0</v>
      </c>
      <c r="P1677" s="578">
        <f t="shared" si="400"/>
        <v>0</v>
      </c>
      <c r="Q1677" s="765"/>
      <c r="R1677" s="576">
        <f t="shared" si="396"/>
        <v>0</v>
      </c>
      <c r="S1677" s="576">
        <f t="shared" si="396"/>
        <v>0</v>
      </c>
      <c r="T1677" s="577">
        <f t="shared" si="397"/>
        <v>0</v>
      </c>
      <c r="U1677" s="578">
        <f t="shared" si="398"/>
        <v>0</v>
      </c>
      <c r="V1677" s="579"/>
      <c r="W1677" s="566"/>
      <c r="X1677" s="586" t="str">
        <f t="shared" si="402"/>
        <v/>
      </c>
      <c r="Y1677" s="586" t="str">
        <f t="shared" si="395"/>
        <v/>
      </c>
      <c r="Z1677" s="586" t="str">
        <f t="shared" si="393"/>
        <v/>
      </c>
    </row>
    <row r="1678" spans="1:26" ht="12" hidden="1" thickBot="1" x14ac:dyDescent="0.25">
      <c r="A1678" s="652" t="s">
        <v>187</v>
      </c>
      <c r="B1678" s="572" t="s">
        <v>187</v>
      </c>
      <c r="C1678" s="573" t="s">
        <v>187</v>
      </c>
      <c r="D1678" s="580"/>
      <c r="E1678" s="575"/>
      <c r="F1678" s="436"/>
      <c r="G1678" s="431"/>
      <c r="H1678" s="430"/>
      <c r="I1678" s="432"/>
      <c r="J1678" s="433"/>
      <c r="K1678" s="437">
        <f t="shared" si="401"/>
        <v>0</v>
      </c>
      <c r="L1678" s="435" t="s">
        <v>614</v>
      </c>
      <c r="M1678" s="576"/>
      <c r="N1678" s="576">
        <f t="shared" si="394"/>
        <v>0</v>
      </c>
      <c r="O1678" s="577">
        <f t="shared" si="399"/>
        <v>0</v>
      </c>
      <c r="P1678" s="578">
        <f t="shared" si="400"/>
        <v>0</v>
      </c>
      <c r="Q1678" s="765"/>
      <c r="R1678" s="576">
        <f t="shared" si="396"/>
        <v>0</v>
      </c>
      <c r="S1678" s="576">
        <f t="shared" si="396"/>
        <v>0</v>
      </c>
      <c r="T1678" s="577">
        <f t="shared" si="397"/>
        <v>0</v>
      </c>
      <c r="U1678" s="578">
        <f t="shared" si="398"/>
        <v>0</v>
      </c>
      <c r="V1678" s="579"/>
      <c r="W1678" s="566"/>
      <c r="X1678" s="586" t="str">
        <f t="shared" si="402"/>
        <v/>
      </c>
      <c r="Y1678" s="586" t="str">
        <f t="shared" si="395"/>
        <v/>
      </c>
      <c r="Z1678" s="586" t="str">
        <f t="shared" si="393"/>
        <v/>
      </c>
    </row>
    <row r="1679" spans="1:26" ht="12" hidden="1" thickBot="1" x14ac:dyDescent="0.25">
      <c r="A1679" s="652" t="s">
        <v>187</v>
      </c>
      <c r="B1679" s="572" t="s">
        <v>187</v>
      </c>
      <c r="C1679" s="573" t="s">
        <v>187</v>
      </c>
      <c r="D1679" s="580"/>
      <c r="E1679" s="575"/>
      <c r="F1679" s="436"/>
      <c r="G1679" s="431"/>
      <c r="H1679" s="430"/>
      <c r="I1679" s="432"/>
      <c r="J1679" s="433"/>
      <c r="K1679" s="437">
        <f t="shared" si="401"/>
        <v>0</v>
      </c>
      <c r="L1679" s="435" t="s">
        <v>614</v>
      </c>
      <c r="M1679" s="576"/>
      <c r="N1679" s="576">
        <f t="shared" si="394"/>
        <v>0</v>
      </c>
      <c r="O1679" s="577">
        <f t="shared" si="399"/>
        <v>0</v>
      </c>
      <c r="P1679" s="578">
        <f t="shared" si="400"/>
        <v>0</v>
      </c>
      <c r="Q1679" s="765"/>
      <c r="R1679" s="576">
        <f t="shared" si="396"/>
        <v>0</v>
      </c>
      <c r="S1679" s="576">
        <f t="shared" si="396"/>
        <v>0</v>
      </c>
      <c r="T1679" s="577">
        <f t="shared" si="397"/>
        <v>0</v>
      </c>
      <c r="U1679" s="578">
        <f t="shared" si="398"/>
        <v>0</v>
      </c>
      <c r="V1679" s="579"/>
      <c r="W1679" s="566"/>
      <c r="X1679" s="586" t="str">
        <f t="shared" si="402"/>
        <v/>
      </c>
      <c r="Y1679" s="586" t="str">
        <f t="shared" si="395"/>
        <v/>
      </c>
      <c r="Z1679" s="586" t="str">
        <f t="shared" si="393"/>
        <v/>
      </c>
    </row>
    <row r="1680" spans="1:26" ht="12" hidden="1" thickBot="1" x14ac:dyDescent="0.25">
      <c r="A1680" s="652" t="s">
        <v>187</v>
      </c>
      <c r="B1680" s="572" t="s">
        <v>187</v>
      </c>
      <c r="C1680" s="573" t="s">
        <v>187</v>
      </c>
      <c r="D1680" s="580"/>
      <c r="E1680" s="575"/>
      <c r="F1680" s="436"/>
      <c r="G1680" s="431"/>
      <c r="H1680" s="430"/>
      <c r="I1680" s="432"/>
      <c r="J1680" s="433"/>
      <c r="K1680" s="437">
        <f t="shared" si="401"/>
        <v>0</v>
      </c>
      <c r="L1680" s="435" t="s">
        <v>614</v>
      </c>
      <c r="M1680" s="576"/>
      <c r="N1680" s="576">
        <f t="shared" si="394"/>
        <v>0</v>
      </c>
      <c r="O1680" s="577">
        <f t="shared" si="399"/>
        <v>0</v>
      </c>
      <c r="P1680" s="578">
        <f t="shared" si="400"/>
        <v>0</v>
      </c>
      <c r="Q1680" s="765"/>
      <c r="R1680" s="576">
        <f t="shared" si="396"/>
        <v>0</v>
      </c>
      <c r="S1680" s="576">
        <f t="shared" si="396"/>
        <v>0</v>
      </c>
      <c r="T1680" s="577">
        <f t="shared" si="397"/>
        <v>0</v>
      </c>
      <c r="U1680" s="578">
        <f t="shared" si="398"/>
        <v>0</v>
      </c>
      <c r="V1680" s="579"/>
      <c r="W1680" s="566"/>
      <c r="X1680" s="586" t="str">
        <f t="shared" si="402"/>
        <v/>
      </c>
      <c r="Y1680" s="586" t="str">
        <f t="shared" si="395"/>
        <v/>
      </c>
      <c r="Z1680" s="586" t="str">
        <f t="shared" si="393"/>
        <v/>
      </c>
    </row>
    <row r="1681" spans="1:26" ht="12" hidden="1" thickBot="1" x14ac:dyDescent="0.25">
      <c r="A1681" s="652" t="s">
        <v>187</v>
      </c>
      <c r="B1681" s="572" t="s">
        <v>187</v>
      </c>
      <c r="C1681" s="573" t="s">
        <v>187</v>
      </c>
      <c r="D1681" s="580"/>
      <c r="E1681" s="575"/>
      <c r="F1681" s="436"/>
      <c r="G1681" s="431"/>
      <c r="H1681" s="430"/>
      <c r="I1681" s="432"/>
      <c r="J1681" s="433"/>
      <c r="K1681" s="437">
        <f t="shared" si="401"/>
        <v>0</v>
      </c>
      <c r="L1681" s="435" t="s">
        <v>614</v>
      </c>
      <c r="M1681" s="576"/>
      <c r="N1681" s="576">
        <f t="shared" si="394"/>
        <v>0</v>
      </c>
      <c r="O1681" s="577">
        <f t="shared" si="399"/>
        <v>0</v>
      </c>
      <c r="P1681" s="578">
        <f t="shared" si="400"/>
        <v>0</v>
      </c>
      <c r="Q1681" s="765"/>
      <c r="R1681" s="576">
        <f t="shared" si="396"/>
        <v>0</v>
      </c>
      <c r="S1681" s="576">
        <f t="shared" si="396"/>
        <v>0</v>
      </c>
      <c r="T1681" s="577">
        <f t="shared" si="397"/>
        <v>0</v>
      </c>
      <c r="U1681" s="578">
        <f t="shared" si="398"/>
        <v>0</v>
      </c>
      <c r="V1681" s="579"/>
      <c r="W1681" s="566"/>
      <c r="X1681" s="586" t="str">
        <f t="shared" si="402"/>
        <v/>
      </c>
      <c r="Y1681" s="586" t="str">
        <f t="shared" si="395"/>
        <v/>
      </c>
      <c r="Z1681" s="586" t="str">
        <f t="shared" si="393"/>
        <v/>
      </c>
    </row>
    <row r="1682" spans="1:26" ht="12" hidden="1" thickBot="1" x14ac:dyDescent="0.25">
      <c r="A1682" s="652" t="s">
        <v>187</v>
      </c>
      <c r="B1682" s="572" t="s">
        <v>187</v>
      </c>
      <c r="C1682" s="573" t="s">
        <v>187</v>
      </c>
      <c r="D1682" s="580"/>
      <c r="E1682" s="575"/>
      <c r="F1682" s="436"/>
      <c r="G1682" s="431"/>
      <c r="H1682" s="430"/>
      <c r="I1682" s="432"/>
      <c r="J1682" s="433"/>
      <c r="K1682" s="437">
        <f t="shared" si="401"/>
        <v>0</v>
      </c>
      <c r="L1682" s="435" t="s">
        <v>614</v>
      </c>
      <c r="M1682" s="576"/>
      <c r="N1682" s="576">
        <f t="shared" si="394"/>
        <v>0</v>
      </c>
      <c r="O1682" s="577">
        <f t="shared" si="399"/>
        <v>0</v>
      </c>
      <c r="P1682" s="578">
        <f t="shared" si="400"/>
        <v>0</v>
      </c>
      <c r="Q1682" s="765"/>
      <c r="R1682" s="576">
        <f t="shared" si="396"/>
        <v>0</v>
      </c>
      <c r="S1682" s="576">
        <f t="shared" si="396"/>
        <v>0</v>
      </c>
      <c r="T1682" s="577">
        <f t="shared" si="397"/>
        <v>0</v>
      </c>
      <c r="U1682" s="578">
        <f t="shared" si="398"/>
        <v>0</v>
      </c>
      <c r="V1682" s="579"/>
      <c r="W1682" s="566"/>
      <c r="X1682" s="586" t="str">
        <f t="shared" si="402"/>
        <v/>
      </c>
      <c r="Y1682" s="586" t="str">
        <f t="shared" si="395"/>
        <v/>
      </c>
      <c r="Z1682" s="586" t="str">
        <f t="shared" si="393"/>
        <v/>
      </c>
    </row>
    <row r="1683" spans="1:26" ht="12" hidden="1" thickBot="1" x14ac:dyDescent="0.25">
      <c r="A1683" s="652" t="s">
        <v>187</v>
      </c>
      <c r="B1683" s="572" t="s">
        <v>187</v>
      </c>
      <c r="C1683" s="573" t="s">
        <v>187</v>
      </c>
      <c r="D1683" s="580"/>
      <c r="E1683" s="575"/>
      <c r="F1683" s="436"/>
      <c r="G1683" s="431"/>
      <c r="H1683" s="430"/>
      <c r="I1683" s="432"/>
      <c r="J1683" s="433"/>
      <c r="K1683" s="437">
        <f t="shared" si="401"/>
        <v>0</v>
      </c>
      <c r="L1683" s="435" t="s">
        <v>614</v>
      </c>
      <c r="M1683" s="576"/>
      <c r="N1683" s="576">
        <f t="shared" si="394"/>
        <v>0</v>
      </c>
      <c r="O1683" s="577">
        <f t="shared" si="399"/>
        <v>0</v>
      </c>
      <c r="P1683" s="578">
        <f t="shared" si="400"/>
        <v>0</v>
      </c>
      <c r="Q1683" s="765"/>
      <c r="R1683" s="576">
        <f t="shared" si="396"/>
        <v>0</v>
      </c>
      <c r="S1683" s="576">
        <f t="shared" si="396"/>
        <v>0</v>
      </c>
      <c r="T1683" s="577">
        <f t="shared" si="397"/>
        <v>0</v>
      </c>
      <c r="U1683" s="578">
        <f t="shared" si="398"/>
        <v>0</v>
      </c>
      <c r="V1683" s="579"/>
      <c r="W1683" s="566"/>
      <c r="X1683" s="586" t="str">
        <f t="shared" si="402"/>
        <v/>
      </c>
      <c r="Y1683" s="586" t="str">
        <f t="shared" si="395"/>
        <v/>
      </c>
      <c r="Z1683" s="586" t="str">
        <f t="shared" ref="Z1683:Z1746" si="403">IF(W1683="X","x",IF(U1683&gt;0,"x",""))</f>
        <v/>
      </c>
    </row>
    <row r="1684" spans="1:26" ht="12" hidden="1" thickBot="1" x14ac:dyDescent="0.25">
      <c r="A1684" s="652" t="s">
        <v>187</v>
      </c>
      <c r="B1684" s="572" t="s">
        <v>187</v>
      </c>
      <c r="C1684" s="573" t="s">
        <v>187</v>
      </c>
      <c r="D1684" s="580"/>
      <c r="E1684" s="575"/>
      <c r="F1684" s="436"/>
      <c r="G1684" s="431"/>
      <c r="H1684" s="430"/>
      <c r="I1684" s="432"/>
      <c r="J1684" s="433"/>
      <c r="K1684" s="437">
        <f t="shared" si="401"/>
        <v>0</v>
      </c>
      <c r="L1684" s="435" t="s">
        <v>614</v>
      </c>
      <c r="M1684" s="576"/>
      <c r="N1684" s="576">
        <f t="shared" ref="N1684:N1747" si="404">IF(M1684=0,0,K1684)</f>
        <v>0</v>
      </c>
      <c r="O1684" s="577">
        <f t="shared" si="399"/>
        <v>0</v>
      </c>
      <c r="P1684" s="578">
        <f t="shared" si="400"/>
        <v>0</v>
      </c>
      <c r="Q1684" s="765"/>
      <c r="R1684" s="576">
        <f t="shared" si="396"/>
        <v>0</v>
      </c>
      <c r="S1684" s="576">
        <f t="shared" si="396"/>
        <v>0</v>
      </c>
      <c r="T1684" s="577">
        <f t="shared" si="397"/>
        <v>0</v>
      </c>
      <c r="U1684" s="578">
        <f t="shared" si="398"/>
        <v>0</v>
      </c>
      <c r="V1684" s="579"/>
      <c r="W1684" s="566"/>
      <c r="X1684" s="586" t="str">
        <f t="shared" si="402"/>
        <v/>
      </c>
      <c r="Y1684" s="586" t="str">
        <f t="shared" si="395"/>
        <v/>
      </c>
      <c r="Z1684" s="586" t="str">
        <f t="shared" si="403"/>
        <v/>
      </c>
    </row>
    <row r="1685" spans="1:26" ht="12" hidden="1" thickBot="1" x14ac:dyDescent="0.25">
      <c r="A1685" s="652" t="s">
        <v>187</v>
      </c>
      <c r="B1685" s="572" t="s">
        <v>187</v>
      </c>
      <c r="C1685" s="573" t="s">
        <v>187</v>
      </c>
      <c r="D1685" s="580"/>
      <c r="E1685" s="575"/>
      <c r="F1685" s="436"/>
      <c r="G1685" s="431"/>
      <c r="H1685" s="430"/>
      <c r="I1685" s="432"/>
      <c r="J1685" s="433"/>
      <c r="K1685" s="437">
        <f t="shared" si="401"/>
        <v>0</v>
      </c>
      <c r="L1685" s="435" t="s">
        <v>614</v>
      </c>
      <c r="M1685" s="576"/>
      <c r="N1685" s="576">
        <f t="shared" si="404"/>
        <v>0</v>
      </c>
      <c r="O1685" s="577">
        <f t="shared" si="399"/>
        <v>0</v>
      </c>
      <c r="P1685" s="578">
        <f t="shared" si="400"/>
        <v>0</v>
      </c>
      <c r="Q1685" s="765"/>
      <c r="R1685" s="576">
        <f t="shared" si="396"/>
        <v>0</v>
      </c>
      <c r="S1685" s="576">
        <f t="shared" si="396"/>
        <v>0</v>
      </c>
      <c r="T1685" s="577">
        <f t="shared" si="397"/>
        <v>0</v>
      </c>
      <c r="U1685" s="578">
        <f t="shared" si="398"/>
        <v>0</v>
      </c>
      <c r="V1685" s="579"/>
      <c r="W1685" s="566"/>
      <c r="X1685" s="586" t="str">
        <f t="shared" si="402"/>
        <v/>
      </c>
      <c r="Y1685" s="586" t="str">
        <f t="shared" si="395"/>
        <v/>
      </c>
      <c r="Z1685" s="586" t="str">
        <f t="shared" si="403"/>
        <v/>
      </c>
    </row>
    <row r="1686" spans="1:26" ht="12" hidden="1" thickBot="1" x14ac:dyDescent="0.25">
      <c r="A1686" s="652" t="s">
        <v>187</v>
      </c>
      <c r="B1686" s="572" t="s">
        <v>187</v>
      </c>
      <c r="C1686" s="573" t="s">
        <v>187</v>
      </c>
      <c r="D1686" s="580"/>
      <c r="E1686" s="575"/>
      <c r="F1686" s="436"/>
      <c r="G1686" s="431"/>
      <c r="H1686" s="430"/>
      <c r="I1686" s="432"/>
      <c r="J1686" s="433"/>
      <c r="K1686" s="437">
        <f t="shared" si="401"/>
        <v>0</v>
      </c>
      <c r="L1686" s="435" t="s">
        <v>614</v>
      </c>
      <c r="M1686" s="576"/>
      <c r="N1686" s="576">
        <f t="shared" si="404"/>
        <v>0</v>
      </c>
      <c r="O1686" s="577">
        <f t="shared" si="399"/>
        <v>0</v>
      </c>
      <c r="P1686" s="578">
        <f t="shared" si="400"/>
        <v>0</v>
      </c>
      <c r="Q1686" s="765"/>
      <c r="R1686" s="576">
        <f t="shared" si="396"/>
        <v>0</v>
      </c>
      <c r="S1686" s="576">
        <f t="shared" si="396"/>
        <v>0</v>
      </c>
      <c r="T1686" s="577">
        <f t="shared" si="397"/>
        <v>0</v>
      </c>
      <c r="U1686" s="578">
        <f t="shared" si="398"/>
        <v>0</v>
      </c>
      <c r="V1686" s="579"/>
      <c r="W1686" s="566"/>
      <c r="X1686" s="586" t="str">
        <f t="shared" si="402"/>
        <v/>
      </c>
      <c r="Y1686" s="586" t="str">
        <f t="shared" si="395"/>
        <v/>
      </c>
      <c r="Z1686" s="586" t="str">
        <f t="shared" si="403"/>
        <v/>
      </c>
    </row>
    <row r="1687" spans="1:26" ht="12" hidden="1" thickBot="1" x14ac:dyDescent="0.25">
      <c r="A1687" s="652" t="s">
        <v>187</v>
      </c>
      <c r="B1687" s="572" t="s">
        <v>187</v>
      </c>
      <c r="C1687" s="573" t="s">
        <v>187</v>
      </c>
      <c r="D1687" s="580"/>
      <c r="E1687" s="575"/>
      <c r="F1687" s="436"/>
      <c r="G1687" s="431"/>
      <c r="H1687" s="430"/>
      <c r="I1687" s="432"/>
      <c r="J1687" s="433"/>
      <c r="K1687" s="437">
        <f t="shared" si="401"/>
        <v>0</v>
      </c>
      <c r="L1687" s="435" t="s">
        <v>614</v>
      </c>
      <c r="M1687" s="576"/>
      <c r="N1687" s="576">
        <f t="shared" si="404"/>
        <v>0</v>
      </c>
      <c r="O1687" s="577">
        <f t="shared" si="399"/>
        <v>0</v>
      </c>
      <c r="P1687" s="578">
        <f t="shared" si="400"/>
        <v>0</v>
      </c>
      <c r="Q1687" s="765"/>
      <c r="R1687" s="576">
        <f t="shared" si="396"/>
        <v>0</v>
      </c>
      <c r="S1687" s="576">
        <f t="shared" si="396"/>
        <v>0</v>
      </c>
      <c r="T1687" s="577">
        <f t="shared" si="397"/>
        <v>0</v>
      </c>
      <c r="U1687" s="578">
        <f t="shared" si="398"/>
        <v>0</v>
      </c>
      <c r="V1687" s="579"/>
      <c r="W1687" s="566"/>
      <c r="X1687" s="586" t="str">
        <f t="shared" si="402"/>
        <v/>
      </c>
      <c r="Y1687" s="586" t="str">
        <f t="shared" si="395"/>
        <v/>
      </c>
      <c r="Z1687" s="586" t="str">
        <f t="shared" si="403"/>
        <v/>
      </c>
    </row>
    <row r="1688" spans="1:26" ht="12" hidden="1" thickBot="1" x14ac:dyDescent="0.25">
      <c r="A1688" s="652" t="s">
        <v>187</v>
      </c>
      <c r="B1688" s="572" t="s">
        <v>187</v>
      </c>
      <c r="C1688" s="573" t="s">
        <v>187</v>
      </c>
      <c r="D1688" s="580"/>
      <c r="E1688" s="575"/>
      <c r="F1688" s="436"/>
      <c r="G1688" s="431"/>
      <c r="H1688" s="430"/>
      <c r="I1688" s="432"/>
      <c r="J1688" s="433"/>
      <c r="K1688" s="437">
        <f t="shared" si="401"/>
        <v>0</v>
      </c>
      <c r="L1688" s="435" t="s">
        <v>614</v>
      </c>
      <c r="M1688" s="576"/>
      <c r="N1688" s="576">
        <f t="shared" si="404"/>
        <v>0</v>
      </c>
      <c r="O1688" s="577">
        <f t="shared" si="399"/>
        <v>0</v>
      </c>
      <c r="P1688" s="578">
        <f t="shared" si="400"/>
        <v>0</v>
      </c>
      <c r="Q1688" s="765"/>
      <c r="R1688" s="576">
        <f t="shared" si="396"/>
        <v>0</v>
      </c>
      <c r="S1688" s="576">
        <f t="shared" si="396"/>
        <v>0</v>
      </c>
      <c r="T1688" s="577">
        <f t="shared" si="397"/>
        <v>0</v>
      </c>
      <c r="U1688" s="578">
        <f t="shared" si="398"/>
        <v>0</v>
      </c>
      <c r="V1688" s="579"/>
      <c r="W1688" s="566"/>
      <c r="X1688" s="586" t="str">
        <f t="shared" si="402"/>
        <v/>
      </c>
      <c r="Y1688" s="586" t="str">
        <f t="shared" si="395"/>
        <v/>
      </c>
      <c r="Z1688" s="586" t="str">
        <f t="shared" si="403"/>
        <v/>
      </c>
    </row>
    <row r="1689" spans="1:26" ht="12" hidden="1" thickBot="1" x14ac:dyDescent="0.25">
      <c r="A1689" s="652" t="s">
        <v>187</v>
      </c>
      <c r="B1689" s="581" t="s">
        <v>187</v>
      </c>
      <c r="C1689" s="582" t="s">
        <v>187</v>
      </c>
      <c r="D1689" s="583"/>
      <c r="E1689" s="584"/>
      <c r="F1689" s="438"/>
      <c r="G1689" s="439"/>
      <c r="H1689" s="440"/>
      <c r="I1689" s="441"/>
      <c r="J1689" s="442"/>
      <c r="K1689" s="443">
        <f t="shared" si="401"/>
        <v>0</v>
      </c>
      <c r="L1689" s="444" t="s">
        <v>614</v>
      </c>
      <c r="M1689" s="576"/>
      <c r="N1689" s="576">
        <f t="shared" si="404"/>
        <v>0</v>
      </c>
      <c r="O1689" s="585">
        <f t="shared" si="399"/>
        <v>0</v>
      </c>
      <c r="P1689" s="660">
        <f t="shared" si="400"/>
        <v>0</v>
      </c>
      <c r="Q1689" s="765"/>
      <c r="R1689" s="576">
        <f t="shared" si="396"/>
        <v>0</v>
      </c>
      <c r="S1689" s="576">
        <f t="shared" si="396"/>
        <v>0</v>
      </c>
      <c r="T1689" s="585">
        <f t="shared" si="397"/>
        <v>0</v>
      </c>
      <c r="U1689" s="660">
        <f t="shared" si="398"/>
        <v>0</v>
      </c>
      <c r="V1689" s="579"/>
      <c r="W1689" s="566"/>
      <c r="X1689" s="586" t="str">
        <f t="shared" si="402"/>
        <v/>
      </c>
      <c r="Y1689" s="586" t="str">
        <f t="shared" si="395"/>
        <v/>
      </c>
      <c r="Z1689" s="586" t="str">
        <f t="shared" si="403"/>
        <v/>
      </c>
    </row>
    <row r="1690" spans="1:26" ht="12" hidden="1" thickBot="1" x14ac:dyDescent="0.25">
      <c r="A1690" s="567" t="s">
        <v>473</v>
      </c>
      <c r="B1690" s="664" t="s">
        <v>471</v>
      </c>
      <c r="C1690" s="665"/>
      <c r="D1690" s="666" t="s">
        <v>472</v>
      </c>
      <c r="E1690" s="631"/>
      <c r="F1690" s="632"/>
      <c r="G1690" s="633"/>
      <c r="H1690" s="634"/>
      <c r="I1690" s="409">
        <v>0</v>
      </c>
      <c r="J1690" s="409"/>
      <c r="K1690" s="409"/>
      <c r="L1690" s="409" t="s">
        <v>614</v>
      </c>
      <c r="M1690" s="634"/>
      <c r="N1690" s="797"/>
      <c r="O1690" s="409">
        <f t="shared" si="399"/>
        <v>0</v>
      </c>
      <c r="P1690" s="635">
        <f t="shared" si="400"/>
        <v>0</v>
      </c>
      <c r="Q1690" s="635">
        <f>SUM(P1691:P1784)</f>
        <v>0</v>
      </c>
      <c r="R1690" s="634"/>
      <c r="S1690" s="409"/>
      <c r="T1690" s="409">
        <f t="shared" si="397"/>
        <v>0</v>
      </c>
      <c r="U1690" s="635">
        <f t="shared" si="398"/>
        <v>0</v>
      </c>
      <c r="V1690" s="636">
        <f>SUM(U1691:U1784)</f>
        <v>0</v>
      </c>
      <c r="W1690" s="637" t="str">
        <f>IF(OR(Q1690&gt;0,V1690&gt;0),"X","")</f>
        <v/>
      </c>
      <c r="X1690" s="586" t="str">
        <f t="shared" si="402"/>
        <v/>
      </c>
      <c r="Y1690" s="586" t="str">
        <f t="shared" si="395"/>
        <v/>
      </c>
      <c r="Z1690" s="586" t="str">
        <f t="shared" si="403"/>
        <v/>
      </c>
    </row>
    <row r="1691" spans="1:26" ht="12" hidden="1" thickBot="1" x14ac:dyDescent="0.25">
      <c r="A1691" s="567">
        <v>850000</v>
      </c>
      <c r="B1691" s="644">
        <v>850000</v>
      </c>
      <c r="C1691" s="645" t="s">
        <v>206</v>
      </c>
      <c r="D1691" s="422" t="s">
        <v>294</v>
      </c>
      <c r="E1691" s="423"/>
      <c r="F1691" s="418">
        <v>20</v>
      </c>
      <c r="G1691" s="425">
        <v>1.73</v>
      </c>
      <c r="H1691" s="649">
        <f t="shared" ref="H1691" si="405">IF(F1691&lt;=30,(1.07*F1691+2.68)*G1691,((1.07*30+2.68)+1.07*(F1691-30))*G1691)</f>
        <v>41.6584</v>
      </c>
      <c r="I1691" s="420">
        <v>7093.9400000000005</v>
      </c>
      <c r="J1691" s="420">
        <f t="shared" ref="J1691:J1696" si="406">IF(ISBLANK(I1691),"",SUM(H1691:I1691))</f>
        <v>7135.5984000000008</v>
      </c>
      <c r="K1691" s="421">
        <f t="shared" ref="K1691:K1751" si="407">IF(ISBLANK(I1691),0,ROUND(J1691*(1+$F$10)*(1+$F$11*E1691),2))</f>
        <v>8477.7999999999993</v>
      </c>
      <c r="L1691" s="647" t="s">
        <v>21</v>
      </c>
      <c r="M1691" s="576"/>
      <c r="N1691" s="576">
        <f t="shared" si="404"/>
        <v>0</v>
      </c>
      <c r="O1691" s="577">
        <f t="shared" si="399"/>
        <v>0</v>
      </c>
      <c r="P1691" s="578">
        <f t="shared" si="400"/>
        <v>0</v>
      </c>
      <c r="Q1691" s="765"/>
      <c r="R1691" s="576">
        <f t="shared" si="396"/>
        <v>0</v>
      </c>
      <c r="S1691" s="576">
        <f t="shared" si="396"/>
        <v>0</v>
      </c>
      <c r="T1691" s="577">
        <f t="shared" si="397"/>
        <v>0</v>
      </c>
      <c r="U1691" s="578">
        <f t="shared" si="398"/>
        <v>0</v>
      </c>
      <c r="V1691" s="579"/>
      <c r="W1691" s="566"/>
      <c r="X1691" s="586" t="str">
        <f t="shared" si="402"/>
        <v/>
      </c>
      <c r="Y1691" s="586" t="str">
        <f t="shared" si="395"/>
        <v/>
      </c>
      <c r="Z1691" s="586" t="str">
        <f t="shared" si="403"/>
        <v/>
      </c>
    </row>
    <row r="1692" spans="1:26" ht="12" hidden="1" thickBot="1" x14ac:dyDescent="0.25">
      <c r="A1692" s="567">
        <v>603000</v>
      </c>
      <c r="B1692" s="644" t="s">
        <v>1861</v>
      </c>
      <c r="C1692" s="645" t="s">
        <v>206</v>
      </c>
      <c r="D1692" s="422" t="s">
        <v>276</v>
      </c>
      <c r="E1692" s="423"/>
      <c r="F1692" s="424"/>
      <c r="G1692" s="425"/>
      <c r="H1692" s="663"/>
      <c r="I1692" s="420">
        <v>17.84</v>
      </c>
      <c r="J1692" s="420">
        <f t="shared" si="406"/>
        <v>17.84</v>
      </c>
      <c r="K1692" s="421">
        <f t="shared" si="407"/>
        <v>21.2</v>
      </c>
      <c r="L1692" s="647" t="s">
        <v>23</v>
      </c>
      <c r="M1692" s="576"/>
      <c r="N1692" s="576">
        <f t="shared" si="404"/>
        <v>0</v>
      </c>
      <c r="O1692" s="577">
        <f t="shared" si="399"/>
        <v>0</v>
      </c>
      <c r="P1692" s="578">
        <f t="shared" si="400"/>
        <v>0</v>
      </c>
      <c r="Q1692" s="765"/>
      <c r="R1692" s="576">
        <f t="shared" si="396"/>
        <v>0</v>
      </c>
      <c r="S1692" s="576">
        <f t="shared" si="396"/>
        <v>0</v>
      </c>
      <c r="T1692" s="577">
        <f t="shared" si="397"/>
        <v>0</v>
      </c>
      <c r="U1692" s="578">
        <f t="shared" si="398"/>
        <v>0</v>
      </c>
      <c r="V1692" s="579"/>
      <c r="W1692" s="566"/>
      <c r="X1692" s="586" t="str">
        <f t="shared" si="402"/>
        <v/>
      </c>
      <c r="Y1692" s="586" t="str">
        <f t="shared" si="395"/>
        <v/>
      </c>
      <c r="Z1692" s="586" t="str">
        <f t="shared" si="403"/>
        <v/>
      </c>
    </row>
    <row r="1693" spans="1:26" ht="12" hidden="1" thickBot="1" x14ac:dyDescent="0.25">
      <c r="A1693" s="567">
        <v>603300</v>
      </c>
      <c r="B1693" s="644" t="s">
        <v>1862</v>
      </c>
      <c r="C1693" s="645" t="s">
        <v>206</v>
      </c>
      <c r="D1693" s="422" t="s">
        <v>277</v>
      </c>
      <c r="E1693" s="423"/>
      <c r="F1693" s="424"/>
      <c r="G1693" s="425"/>
      <c r="H1693" s="663"/>
      <c r="I1693" s="420">
        <v>19.490000000000002</v>
      </c>
      <c r="J1693" s="420">
        <f t="shared" si="406"/>
        <v>19.490000000000002</v>
      </c>
      <c r="K1693" s="421">
        <f t="shared" si="407"/>
        <v>23.16</v>
      </c>
      <c r="L1693" s="647" t="s">
        <v>23</v>
      </c>
      <c r="M1693" s="576"/>
      <c r="N1693" s="576">
        <f t="shared" si="404"/>
        <v>0</v>
      </c>
      <c r="O1693" s="577">
        <f t="shared" si="399"/>
        <v>0</v>
      </c>
      <c r="P1693" s="578">
        <f t="shared" si="400"/>
        <v>0</v>
      </c>
      <c r="Q1693" s="765"/>
      <c r="R1693" s="576">
        <f t="shared" si="396"/>
        <v>0</v>
      </c>
      <c r="S1693" s="576">
        <f t="shared" si="396"/>
        <v>0</v>
      </c>
      <c r="T1693" s="577">
        <f t="shared" si="397"/>
        <v>0</v>
      </c>
      <c r="U1693" s="578">
        <f t="shared" si="398"/>
        <v>0</v>
      </c>
      <c r="V1693" s="579"/>
      <c r="W1693" s="566"/>
      <c r="X1693" s="586" t="str">
        <f t="shared" si="402"/>
        <v/>
      </c>
      <c r="Y1693" s="586" t="str">
        <f t="shared" si="395"/>
        <v/>
      </c>
      <c r="Z1693" s="586" t="str">
        <f t="shared" si="403"/>
        <v/>
      </c>
    </row>
    <row r="1694" spans="1:26" ht="12" hidden="1" thickBot="1" x14ac:dyDescent="0.25">
      <c r="A1694" s="567">
        <v>601100</v>
      </c>
      <c r="B1694" s="644" t="s">
        <v>1627</v>
      </c>
      <c r="C1694" s="645" t="s">
        <v>206</v>
      </c>
      <c r="D1694" s="422" t="s">
        <v>335</v>
      </c>
      <c r="E1694" s="423"/>
      <c r="F1694" s="424"/>
      <c r="G1694" s="425"/>
      <c r="H1694" s="651"/>
      <c r="I1694" s="420">
        <v>50.31</v>
      </c>
      <c r="J1694" s="420">
        <f t="shared" si="406"/>
        <v>50.31</v>
      </c>
      <c r="K1694" s="421">
        <f t="shared" si="407"/>
        <v>59.77</v>
      </c>
      <c r="L1694" s="647" t="s">
        <v>16</v>
      </c>
      <c r="M1694" s="576"/>
      <c r="N1694" s="576">
        <f t="shared" si="404"/>
        <v>0</v>
      </c>
      <c r="O1694" s="577">
        <f t="shared" si="399"/>
        <v>0</v>
      </c>
      <c r="P1694" s="578">
        <f t="shared" si="400"/>
        <v>0</v>
      </c>
      <c r="Q1694" s="765"/>
      <c r="R1694" s="576">
        <f t="shared" si="396"/>
        <v>0</v>
      </c>
      <c r="S1694" s="576">
        <f t="shared" si="396"/>
        <v>0</v>
      </c>
      <c r="T1694" s="577">
        <f t="shared" si="397"/>
        <v>0</v>
      </c>
      <c r="U1694" s="578">
        <f t="shared" si="398"/>
        <v>0</v>
      </c>
      <c r="V1694" s="579"/>
      <c r="W1694" s="566"/>
      <c r="X1694" s="586" t="str">
        <f t="shared" si="402"/>
        <v/>
      </c>
      <c r="Y1694" s="586" t="str">
        <f t="shared" si="395"/>
        <v/>
      </c>
      <c r="Z1694" s="586" t="str">
        <f t="shared" si="403"/>
        <v/>
      </c>
    </row>
    <row r="1695" spans="1:26" ht="12" hidden="1" thickBot="1" x14ac:dyDescent="0.25">
      <c r="A1695" s="567">
        <v>520100</v>
      </c>
      <c r="B1695" s="644" t="s">
        <v>1863</v>
      </c>
      <c r="C1695" s="645" t="s">
        <v>206</v>
      </c>
      <c r="D1695" s="422" t="s">
        <v>285</v>
      </c>
      <c r="E1695" s="423"/>
      <c r="F1695" s="418">
        <v>0.5</v>
      </c>
      <c r="G1695" s="419">
        <f>1.5*1.4</f>
        <v>2.0999999999999996</v>
      </c>
      <c r="H1695" s="649">
        <f t="shared" ref="H1695:H1698" si="408">IF(F1695&lt;=30,(1.07*F1695+2.68)*G1695,((1.07*30+2.68)+1.07*(F1695-30))*G1695)</f>
        <v>6.7514999999999992</v>
      </c>
      <c r="I1695" s="449">
        <v>13.587999999999999</v>
      </c>
      <c r="J1695" s="420">
        <f t="shared" si="406"/>
        <v>20.339499999999997</v>
      </c>
      <c r="K1695" s="421">
        <f t="shared" si="407"/>
        <v>24.17</v>
      </c>
      <c r="L1695" s="647" t="s">
        <v>16</v>
      </c>
      <c r="M1695" s="576"/>
      <c r="N1695" s="576">
        <f t="shared" si="404"/>
        <v>0</v>
      </c>
      <c r="O1695" s="577">
        <f t="shared" si="399"/>
        <v>0</v>
      </c>
      <c r="P1695" s="578">
        <f t="shared" si="400"/>
        <v>0</v>
      </c>
      <c r="Q1695" s="765"/>
      <c r="R1695" s="576">
        <f t="shared" si="396"/>
        <v>0</v>
      </c>
      <c r="S1695" s="576">
        <f t="shared" si="396"/>
        <v>0</v>
      </c>
      <c r="T1695" s="577">
        <f t="shared" si="397"/>
        <v>0</v>
      </c>
      <c r="U1695" s="578">
        <f t="shared" si="398"/>
        <v>0</v>
      </c>
      <c r="V1695" s="579"/>
      <c r="W1695" s="566"/>
      <c r="X1695" s="586" t="str">
        <f t="shared" si="402"/>
        <v/>
      </c>
      <c r="Y1695" s="586" t="str">
        <f t="shared" si="395"/>
        <v/>
      </c>
      <c r="Z1695" s="586" t="str">
        <f t="shared" si="403"/>
        <v/>
      </c>
    </row>
    <row r="1696" spans="1:26" ht="12" hidden="1" thickBot="1" x14ac:dyDescent="0.25">
      <c r="A1696" s="567">
        <v>520100</v>
      </c>
      <c r="B1696" s="644" t="s">
        <v>1864</v>
      </c>
      <c r="C1696" s="645" t="s">
        <v>206</v>
      </c>
      <c r="D1696" s="422" t="s">
        <v>286</v>
      </c>
      <c r="E1696" s="423"/>
      <c r="F1696" s="418">
        <v>15</v>
      </c>
      <c r="G1696" s="419">
        <f>1.5*1.4</f>
        <v>2.0999999999999996</v>
      </c>
      <c r="H1696" s="649">
        <f t="shared" si="408"/>
        <v>39.332999999999991</v>
      </c>
      <c r="I1696" s="449">
        <v>13.587999999999999</v>
      </c>
      <c r="J1696" s="420">
        <f t="shared" si="406"/>
        <v>52.920999999999992</v>
      </c>
      <c r="K1696" s="421">
        <f t="shared" si="407"/>
        <v>62.88</v>
      </c>
      <c r="L1696" s="647" t="s">
        <v>16</v>
      </c>
      <c r="M1696" s="576"/>
      <c r="N1696" s="576">
        <f t="shared" si="404"/>
        <v>0</v>
      </c>
      <c r="O1696" s="577">
        <f t="shared" si="399"/>
        <v>0</v>
      </c>
      <c r="P1696" s="578">
        <f t="shared" si="400"/>
        <v>0</v>
      </c>
      <c r="Q1696" s="765"/>
      <c r="R1696" s="576">
        <f t="shared" si="396"/>
        <v>0</v>
      </c>
      <c r="S1696" s="576">
        <f t="shared" si="396"/>
        <v>0</v>
      </c>
      <c r="T1696" s="577">
        <f t="shared" si="397"/>
        <v>0</v>
      </c>
      <c r="U1696" s="578">
        <f t="shared" si="398"/>
        <v>0</v>
      </c>
      <c r="V1696" s="579"/>
      <c r="W1696" s="566"/>
      <c r="X1696" s="586" t="str">
        <f t="shared" si="402"/>
        <v/>
      </c>
      <c r="Y1696" s="586" t="str">
        <f t="shared" si="395"/>
        <v/>
      </c>
      <c r="Z1696" s="586" t="str">
        <f t="shared" si="403"/>
        <v/>
      </c>
    </row>
    <row r="1697" spans="1:26" ht="12" hidden="1" thickBot="1" x14ac:dyDescent="0.25">
      <c r="A1697" s="567">
        <v>532500</v>
      </c>
      <c r="B1697" s="644" t="s">
        <v>1865</v>
      </c>
      <c r="C1697" s="645" t="s">
        <v>206</v>
      </c>
      <c r="D1697" s="451" t="s">
        <v>340</v>
      </c>
      <c r="E1697" s="423"/>
      <c r="F1697" s="424">
        <v>20</v>
      </c>
      <c r="G1697" s="425">
        <v>1.7250000000000001</v>
      </c>
      <c r="H1697" s="649">
        <f t="shared" si="408"/>
        <v>41.538000000000004</v>
      </c>
      <c r="I1697" s="420">
        <v>97.26</v>
      </c>
      <c r="J1697" s="420">
        <f>IF(ISBLANK(I1697),"",SUM(H1697:I1697))</f>
        <v>138.798</v>
      </c>
      <c r="K1697" s="421">
        <f t="shared" si="407"/>
        <v>164.91</v>
      </c>
      <c r="L1697" s="647" t="s">
        <v>16</v>
      </c>
      <c r="M1697" s="576"/>
      <c r="N1697" s="576">
        <f t="shared" si="404"/>
        <v>0</v>
      </c>
      <c r="O1697" s="577">
        <f t="shared" si="399"/>
        <v>0</v>
      </c>
      <c r="P1697" s="578">
        <f t="shared" si="400"/>
        <v>0</v>
      </c>
      <c r="Q1697" s="765"/>
      <c r="R1697" s="576">
        <f t="shared" si="396"/>
        <v>0</v>
      </c>
      <c r="S1697" s="576">
        <f t="shared" si="396"/>
        <v>0</v>
      </c>
      <c r="T1697" s="577">
        <f t="shared" si="397"/>
        <v>0</v>
      </c>
      <c r="U1697" s="578">
        <f t="shared" si="398"/>
        <v>0</v>
      </c>
      <c r="V1697" s="579"/>
      <c r="W1697" s="566"/>
      <c r="X1697" s="586" t="str">
        <f t="shared" si="402"/>
        <v/>
      </c>
      <c r="Y1697" s="586" t="str">
        <f t="shared" si="395"/>
        <v/>
      </c>
      <c r="Z1697" s="586" t="str">
        <f t="shared" si="403"/>
        <v/>
      </c>
    </row>
    <row r="1698" spans="1:26" ht="14.45" hidden="1" customHeight="1" x14ac:dyDescent="0.2">
      <c r="A1698" s="567">
        <v>603900</v>
      </c>
      <c r="B1698" s="644" t="s">
        <v>1866</v>
      </c>
      <c r="C1698" s="645" t="s">
        <v>206</v>
      </c>
      <c r="D1698" s="451" t="s">
        <v>341</v>
      </c>
      <c r="E1698" s="423"/>
      <c r="F1698" s="424">
        <v>20</v>
      </c>
      <c r="G1698" s="425">
        <v>1.5</v>
      </c>
      <c r="H1698" s="649">
        <f t="shared" si="408"/>
        <v>36.120000000000005</v>
      </c>
      <c r="I1698" s="420">
        <v>124.3</v>
      </c>
      <c r="J1698" s="420">
        <f>IF(ISBLANK(I1698),"",SUM(H1698:I1698))</f>
        <v>160.42000000000002</v>
      </c>
      <c r="K1698" s="421">
        <f t="shared" si="407"/>
        <v>190.6</v>
      </c>
      <c r="L1698" s="647" t="s">
        <v>16</v>
      </c>
      <c r="M1698" s="576"/>
      <c r="N1698" s="576">
        <f t="shared" si="404"/>
        <v>0</v>
      </c>
      <c r="O1698" s="577">
        <f t="shared" si="399"/>
        <v>0</v>
      </c>
      <c r="P1698" s="578">
        <f t="shared" si="400"/>
        <v>0</v>
      </c>
      <c r="Q1698" s="765"/>
      <c r="R1698" s="576">
        <f t="shared" si="396"/>
        <v>0</v>
      </c>
      <c r="S1698" s="576">
        <f t="shared" si="396"/>
        <v>0</v>
      </c>
      <c r="T1698" s="577">
        <f t="shared" si="397"/>
        <v>0</v>
      </c>
      <c r="U1698" s="578">
        <f t="shared" si="398"/>
        <v>0</v>
      </c>
      <c r="V1698" s="579"/>
      <c r="W1698" s="566"/>
      <c r="X1698" s="586" t="str">
        <f t="shared" si="402"/>
        <v/>
      </c>
      <c r="Y1698" s="586" t="str">
        <f t="shared" si="395"/>
        <v/>
      </c>
      <c r="Z1698" s="586" t="str">
        <f t="shared" si="403"/>
        <v/>
      </c>
    </row>
    <row r="1699" spans="1:26" ht="12" hidden="1" thickBot="1" x14ac:dyDescent="0.25">
      <c r="A1699" s="567">
        <v>605000</v>
      </c>
      <c r="B1699" s="644" t="s">
        <v>1867</v>
      </c>
      <c r="C1699" s="645" t="s">
        <v>206</v>
      </c>
      <c r="D1699" s="422" t="s">
        <v>274</v>
      </c>
      <c r="E1699" s="423"/>
      <c r="F1699" s="424"/>
      <c r="G1699" s="425"/>
      <c r="H1699" s="651">
        <f>SUM(H1700:H1702)</f>
        <v>305.33319999999998</v>
      </c>
      <c r="I1699" s="420">
        <v>408.95</v>
      </c>
      <c r="J1699" s="420">
        <f>IF(ISBLANK(I1699),"",SUM(H1699:I1699))</f>
        <v>714.28319999999997</v>
      </c>
      <c r="K1699" s="421">
        <f t="shared" si="407"/>
        <v>848.64</v>
      </c>
      <c r="L1699" s="647" t="s">
        <v>16</v>
      </c>
      <c r="M1699" s="576"/>
      <c r="N1699" s="576">
        <f t="shared" si="404"/>
        <v>0</v>
      </c>
      <c r="O1699" s="577">
        <f t="shared" si="399"/>
        <v>0</v>
      </c>
      <c r="P1699" s="578">
        <f t="shared" si="400"/>
        <v>0</v>
      </c>
      <c r="Q1699" s="765"/>
      <c r="R1699" s="576">
        <f t="shared" si="396"/>
        <v>0</v>
      </c>
      <c r="S1699" s="576">
        <f t="shared" si="396"/>
        <v>0</v>
      </c>
      <c r="T1699" s="577">
        <f t="shared" si="397"/>
        <v>0</v>
      </c>
      <c r="U1699" s="578">
        <f t="shared" si="398"/>
        <v>0</v>
      </c>
      <c r="V1699" s="579"/>
      <c r="W1699" s="566"/>
      <c r="X1699" s="586" t="str">
        <f t="shared" si="402"/>
        <v/>
      </c>
      <c r="Y1699" s="586" t="str">
        <f t="shared" ref="Y1699:Y1764" si="409">IF(W1699="X","x",IF(W1699="y","x",IF(W1699="xx","x",IF(U1699&gt;0,"x",""))))</f>
        <v/>
      </c>
      <c r="Z1699" s="586" t="str">
        <f t="shared" si="403"/>
        <v/>
      </c>
    </row>
    <row r="1700" spans="1:26" ht="12" hidden="1" thickBot="1" x14ac:dyDescent="0.25">
      <c r="A1700" s="567" t="s">
        <v>168</v>
      </c>
      <c r="B1700" s="644" t="s">
        <v>168</v>
      </c>
      <c r="C1700" s="645"/>
      <c r="D1700" s="451" t="s">
        <v>212</v>
      </c>
      <c r="E1700" s="423"/>
      <c r="F1700" s="424">
        <v>500</v>
      </c>
      <c r="G1700" s="425">
        <v>0.18</v>
      </c>
      <c r="H1700" s="649">
        <f>IF(F1700&lt;=30,(0.78*F1700+7.82)*G1700,((0.78*30+7.82)+0.78*(F1700-30))*G1700)</f>
        <v>71.607600000000005</v>
      </c>
      <c r="I1700" s="420">
        <v>0</v>
      </c>
      <c r="J1700" s="420"/>
      <c r="K1700" s="421">
        <f t="shared" si="407"/>
        <v>0</v>
      </c>
      <c r="L1700" s="668" t="s">
        <v>614</v>
      </c>
      <c r="M1700" s="669"/>
      <c r="N1700" s="576">
        <f t="shared" si="404"/>
        <v>0</v>
      </c>
      <c r="O1700" s="577">
        <f t="shared" si="399"/>
        <v>0</v>
      </c>
      <c r="P1700" s="578">
        <f t="shared" si="400"/>
        <v>0</v>
      </c>
      <c r="Q1700" s="765"/>
      <c r="R1700" s="669"/>
      <c r="S1700" s="670"/>
      <c r="T1700" s="577">
        <f t="shared" si="397"/>
        <v>0</v>
      </c>
      <c r="U1700" s="578">
        <f t="shared" si="398"/>
        <v>0</v>
      </c>
      <c r="V1700" s="579"/>
      <c r="W1700" s="637" t="str">
        <f>IF(U1699&gt;0,"xx",IF(P1699&gt;0,"xy",""))</f>
        <v/>
      </c>
      <c r="X1700" s="586" t="str">
        <f t="shared" si="402"/>
        <v/>
      </c>
      <c r="Y1700" s="586" t="str">
        <f t="shared" si="409"/>
        <v/>
      </c>
      <c r="Z1700" s="586" t="str">
        <f t="shared" si="403"/>
        <v/>
      </c>
    </row>
    <row r="1701" spans="1:26" ht="12" hidden="1" thickBot="1" x14ac:dyDescent="0.25">
      <c r="A1701" s="567" t="s">
        <v>168</v>
      </c>
      <c r="B1701" s="644" t="s">
        <v>168</v>
      </c>
      <c r="C1701" s="645"/>
      <c r="D1701" s="451" t="s">
        <v>248</v>
      </c>
      <c r="E1701" s="423"/>
      <c r="F1701" s="424">
        <v>180</v>
      </c>
      <c r="G1701" s="425">
        <v>1.06</v>
      </c>
      <c r="H1701" s="663">
        <f t="shared" ref="H1701:H1706" si="410">IF(F1701&lt;=30,(1.07*F1701+2.68)*G1701,((1.07*30+2.68)+1.07*(F1701-30))*G1701)</f>
        <v>206.99680000000001</v>
      </c>
      <c r="I1701" s="420">
        <v>0</v>
      </c>
      <c r="J1701" s="420"/>
      <c r="K1701" s="421">
        <f t="shared" si="407"/>
        <v>0</v>
      </c>
      <c r="L1701" s="668" t="s">
        <v>614</v>
      </c>
      <c r="M1701" s="669"/>
      <c r="N1701" s="576">
        <f t="shared" si="404"/>
        <v>0</v>
      </c>
      <c r="O1701" s="577">
        <f t="shared" si="399"/>
        <v>0</v>
      </c>
      <c r="P1701" s="578">
        <f t="shared" si="400"/>
        <v>0</v>
      </c>
      <c r="Q1701" s="765"/>
      <c r="R1701" s="669"/>
      <c r="S1701" s="670"/>
      <c r="T1701" s="577">
        <f t="shared" si="397"/>
        <v>0</v>
      </c>
      <c r="U1701" s="578">
        <f t="shared" si="398"/>
        <v>0</v>
      </c>
      <c r="V1701" s="579"/>
      <c r="W1701" s="637" t="str">
        <f>IF(U1699&gt;0,"xx",IF(P1699&gt;0,"xy",""))</f>
        <v/>
      </c>
      <c r="X1701" s="586" t="str">
        <f t="shared" si="402"/>
        <v/>
      </c>
      <c r="Y1701" s="586" t="str">
        <f t="shared" si="409"/>
        <v/>
      </c>
      <c r="Z1701" s="586" t="str">
        <f t="shared" si="403"/>
        <v/>
      </c>
    </row>
    <row r="1702" spans="1:26" ht="12" hidden="1" thickBot="1" x14ac:dyDescent="0.25">
      <c r="A1702" s="567" t="s">
        <v>168</v>
      </c>
      <c r="B1702" s="644" t="s">
        <v>168</v>
      </c>
      <c r="C1702" s="645"/>
      <c r="D1702" s="451" t="s">
        <v>252</v>
      </c>
      <c r="E1702" s="423"/>
      <c r="F1702" s="424">
        <v>20</v>
      </c>
      <c r="G1702" s="425">
        <v>1.1100000000000001</v>
      </c>
      <c r="H1702" s="663">
        <f t="shared" si="410"/>
        <v>26.728800000000003</v>
      </c>
      <c r="I1702" s="420">
        <v>0</v>
      </c>
      <c r="J1702" s="420"/>
      <c r="K1702" s="421">
        <f t="shared" si="407"/>
        <v>0</v>
      </c>
      <c r="L1702" s="668" t="s">
        <v>614</v>
      </c>
      <c r="M1702" s="669"/>
      <c r="N1702" s="576">
        <f t="shared" si="404"/>
        <v>0</v>
      </c>
      <c r="O1702" s="577">
        <f t="shared" si="399"/>
        <v>0</v>
      </c>
      <c r="P1702" s="578">
        <f t="shared" si="400"/>
        <v>0</v>
      </c>
      <c r="Q1702" s="765"/>
      <c r="R1702" s="669"/>
      <c r="S1702" s="670"/>
      <c r="T1702" s="577">
        <f t="shared" si="397"/>
        <v>0</v>
      </c>
      <c r="U1702" s="578">
        <f t="shared" si="398"/>
        <v>0</v>
      </c>
      <c r="V1702" s="579"/>
      <c r="W1702" s="637" t="str">
        <f>IF(U1699&gt;0,"xx",IF(P1699&gt;0,"xy",""))</f>
        <v/>
      </c>
      <c r="X1702" s="586" t="str">
        <f t="shared" si="402"/>
        <v/>
      </c>
      <c r="Y1702" s="586" t="str">
        <f t="shared" si="409"/>
        <v/>
      </c>
      <c r="Z1702" s="586" t="str">
        <f t="shared" si="403"/>
        <v/>
      </c>
    </row>
    <row r="1703" spans="1:26" ht="12" hidden="1" thickBot="1" x14ac:dyDescent="0.25">
      <c r="A1703" s="567">
        <v>400500</v>
      </c>
      <c r="B1703" s="644" t="s">
        <v>1868</v>
      </c>
      <c r="C1703" s="645" t="s">
        <v>206</v>
      </c>
      <c r="D1703" s="422" t="s">
        <v>1608</v>
      </c>
      <c r="E1703" s="423"/>
      <c r="F1703" s="424">
        <v>20</v>
      </c>
      <c r="G1703" s="425">
        <v>1.73</v>
      </c>
      <c r="H1703" s="663">
        <f t="shared" si="410"/>
        <v>41.6584</v>
      </c>
      <c r="I1703" s="420">
        <v>80.100000000000009</v>
      </c>
      <c r="J1703" s="420">
        <f>IF(ISBLANK(I1703),"",SUM(H1703:I1703))</f>
        <v>121.75840000000001</v>
      </c>
      <c r="K1703" s="421">
        <f t="shared" si="407"/>
        <v>144.66</v>
      </c>
      <c r="L1703" s="647" t="s">
        <v>16</v>
      </c>
      <c r="M1703" s="576"/>
      <c r="N1703" s="576">
        <f t="shared" si="404"/>
        <v>0</v>
      </c>
      <c r="O1703" s="577">
        <f t="shared" si="399"/>
        <v>0</v>
      </c>
      <c r="P1703" s="578">
        <f t="shared" si="400"/>
        <v>0</v>
      </c>
      <c r="Q1703" s="765"/>
      <c r="R1703" s="576">
        <f t="shared" ref="R1703:S1706" si="411">M1703</f>
        <v>0</v>
      </c>
      <c r="S1703" s="576">
        <f t="shared" si="411"/>
        <v>0</v>
      </c>
      <c r="T1703" s="577">
        <f t="shared" si="397"/>
        <v>0</v>
      </c>
      <c r="U1703" s="578">
        <f t="shared" si="398"/>
        <v>0</v>
      </c>
      <c r="V1703" s="579"/>
      <c r="W1703" s="566"/>
      <c r="X1703" s="586" t="str">
        <f t="shared" si="402"/>
        <v/>
      </c>
      <c r="Y1703" s="586" t="str">
        <f t="shared" si="409"/>
        <v/>
      </c>
      <c r="Z1703" s="586" t="str">
        <f t="shared" si="403"/>
        <v/>
      </c>
    </row>
    <row r="1704" spans="1:26" ht="12" hidden="1" thickBot="1" x14ac:dyDescent="0.25">
      <c r="A1704" s="567">
        <v>532500</v>
      </c>
      <c r="B1704" s="644" t="s">
        <v>1869</v>
      </c>
      <c r="C1704" s="645" t="s">
        <v>206</v>
      </c>
      <c r="D1704" s="422" t="s">
        <v>1609</v>
      </c>
      <c r="E1704" s="423"/>
      <c r="F1704" s="424">
        <v>20</v>
      </c>
      <c r="G1704" s="425">
        <v>1.7250000000000001</v>
      </c>
      <c r="H1704" s="663">
        <f t="shared" si="410"/>
        <v>41.538000000000004</v>
      </c>
      <c r="I1704" s="420">
        <v>97.26</v>
      </c>
      <c r="J1704" s="420">
        <f>IF(ISBLANK(I1704),"",SUM(H1704:I1704))</f>
        <v>138.798</v>
      </c>
      <c r="K1704" s="421">
        <f t="shared" si="407"/>
        <v>164.91</v>
      </c>
      <c r="L1704" s="647" t="s">
        <v>16</v>
      </c>
      <c r="M1704" s="576"/>
      <c r="N1704" s="576">
        <f t="shared" si="404"/>
        <v>0</v>
      </c>
      <c r="O1704" s="577">
        <f t="shared" si="399"/>
        <v>0</v>
      </c>
      <c r="P1704" s="578">
        <f t="shared" si="400"/>
        <v>0</v>
      </c>
      <c r="Q1704" s="765"/>
      <c r="R1704" s="576">
        <f t="shared" si="411"/>
        <v>0</v>
      </c>
      <c r="S1704" s="576">
        <f t="shared" si="411"/>
        <v>0</v>
      </c>
      <c r="T1704" s="577">
        <f t="shared" si="397"/>
        <v>0</v>
      </c>
      <c r="U1704" s="578">
        <f t="shared" si="398"/>
        <v>0</v>
      </c>
      <c r="V1704" s="579"/>
      <c r="W1704" s="566"/>
      <c r="X1704" s="586" t="str">
        <f t="shared" si="402"/>
        <v/>
      </c>
      <c r="Y1704" s="586" t="str">
        <f t="shared" si="409"/>
        <v/>
      </c>
      <c r="Z1704" s="586" t="str">
        <f t="shared" si="403"/>
        <v/>
      </c>
    </row>
    <row r="1705" spans="1:26" ht="12" hidden="1" thickBot="1" x14ac:dyDescent="0.25">
      <c r="A1705" s="567">
        <v>532600</v>
      </c>
      <c r="B1705" s="644" t="s">
        <v>1870</v>
      </c>
      <c r="C1705" s="645" t="s">
        <v>206</v>
      </c>
      <c r="D1705" s="422" t="s">
        <v>1610</v>
      </c>
      <c r="E1705" s="423"/>
      <c r="F1705" s="418">
        <v>15</v>
      </c>
      <c r="G1705" s="425">
        <f>ROUND(1.5*1.5,4)</f>
        <v>2.25</v>
      </c>
      <c r="H1705" s="663">
        <f t="shared" si="410"/>
        <v>42.142499999999998</v>
      </c>
      <c r="I1705" s="420">
        <v>15.533333333333335</v>
      </c>
      <c r="J1705" s="420">
        <f>IF(ISBLANK(I1705),"",SUM(H1705:I1705))</f>
        <v>57.67583333333333</v>
      </c>
      <c r="K1705" s="421">
        <f t="shared" si="407"/>
        <v>68.52</v>
      </c>
      <c r="L1705" s="647" t="s">
        <v>16</v>
      </c>
      <c r="M1705" s="576"/>
      <c r="N1705" s="576">
        <f t="shared" si="404"/>
        <v>0</v>
      </c>
      <c r="O1705" s="577">
        <f t="shared" si="399"/>
        <v>0</v>
      </c>
      <c r="P1705" s="578">
        <f t="shared" si="400"/>
        <v>0</v>
      </c>
      <c r="Q1705" s="765"/>
      <c r="R1705" s="576">
        <f t="shared" si="411"/>
        <v>0</v>
      </c>
      <c r="S1705" s="576">
        <f t="shared" si="411"/>
        <v>0</v>
      </c>
      <c r="T1705" s="577">
        <f t="shared" si="397"/>
        <v>0</v>
      </c>
      <c r="U1705" s="578">
        <f t="shared" si="398"/>
        <v>0</v>
      </c>
      <c r="V1705" s="579"/>
      <c r="W1705" s="566"/>
      <c r="X1705" s="586" t="str">
        <f t="shared" si="402"/>
        <v/>
      </c>
      <c r="Y1705" s="586" t="str">
        <f t="shared" si="409"/>
        <v/>
      </c>
      <c r="Z1705" s="586" t="str">
        <f t="shared" si="403"/>
        <v/>
      </c>
    </row>
    <row r="1706" spans="1:26" ht="12" hidden="1" thickBot="1" x14ac:dyDescent="0.25">
      <c r="A1706" s="567">
        <v>603900</v>
      </c>
      <c r="B1706" s="644" t="s">
        <v>1871</v>
      </c>
      <c r="C1706" s="645" t="s">
        <v>206</v>
      </c>
      <c r="D1706" s="422" t="s">
        <v>1611</v>
      </c>
      <c r="E1706" s="423"/>
      <c r="F1706" s="424">
        <v>20</v>
      </c>
      <c r="G1706" s="425">
        <v>1.5</v>
      </c>
      <c r="H1706" s="663">
        <f t="shared" si="410"/>
        <v>36.120000000000005</v>
      </c>
      <c r="I1706" s="420">
        <v>124.3</v>
      </c>
      <c r="J1706" s="420">
        <f>IF(ISBLANK(I1706),"",SUM(H1706:I1706))</f>
        <v>160.42000000000002</v>
      </c>
      <c r="K1706" s="421">
        <f t="shared" si="407"/>
        <v>190.6</v>
      </c>
      <c r="L1706" s="647" t="s">
        <v>16</v>
      </c>
      <c r="M1706" s="576"/>
      <c r="N1706" s="576">
        <f t="shared" si="404"/>
        <v>0</v>
      </c>
      <c r="O1706" s="577">
        <f t="shared" si="399"/>
        <v>0</v>
      </c>
      <c r="P1706" s="578">
        <f t="shared" si="400"/>
        <v>0</v>
      </c>
      <c r="Q1706" s="765"/>
      <c r="R1706" s="576">
        <f t="shared" si="411"/>
        <v>0</v>
      </c>
      <c r="S1706" s="576">
        <f t="shared" si="411"/>
        <v>0</v>
      </c>
      <c r="T1706" s="577">
        <f t="shared" si="397"/>
        <v>0</v>
      </c>
      <c r="U1706" s="578">
        <f t="shared" si="398"/>
        <v>0</v>
      </c>
      <c r="V1706" s="579"/>
      <c r="W1706" s="566"/>
      <c r="X1706" s="586" t="str">
        <f t="shared" si="402"/>
        <v/>
      </c>
      <c r="Y1706" s="586" t="str">
        <f t="shared" si="409"/>
        <v/>
      </c>
      <c r="Z1706" s="586" t="str">
        <f t="shared" si="403"/>
        <v/>
      </c>
    </row>
    <row r="1707" spans="1:26" ht="12" hidden="1" thickBot="1" x14ac:dyDescent="0.25">
      <c r="A1707" s="567">
        <v>605000</v>
      </c>
      <c r="B1707" s="644" t="s">
        <v>1872</v>
      </c>
      <c r="C1707" s="645" t="s">
        <v>206</v>
      </c>
      <c r="D1707" s="422" t="s">
        <v>348</v>
      </c>
      <c r="E1707" s="423"/>
      <c r="F1707" s="424"/>
      <c r="G1707" s="425"/>
      <c r="H1707" s="651">
        <f>SUM(H1708:H1710)</f>
        <v>305.33319999999998</v>
      </c>
      <c r="I1707" s="420">
        <v>408.95</v>
      </c>
      <c r="J1707" s="420">
        <f>IF(ISBLANK(I1707),"",SUM(H1707:I1707))</f>
        <v>714.28319999999997</v>
      </c>
      <c r="K1707" s="421">
        <f t="shared" si="407"/>
        <v>848.64</v>
      </c>
      <c r="L1707" s="647" t="s">
        <v>16</v>
      </c>
      <c r="M1707" s="576"/>
      <c r="N1707" s="576">
        <f t="shared" si="404"/>
        <v>0</v>
      </c>
      <c r="O1707" s="577">
        <f t="shared" si="399"/>
        <v>0</v>
      </c>
      <c r="P1707" s="578">
        <f t="shared" si="400"/>
        <v>0</v>
      </c>
      <c r="Q1707" s="765"/>
      <c r="R1707" s="576">
        <f t="shared" si="396"/>
        <v>0</v>
      </c>
      <c r="S1707" s="576">
        <f t="shared" si="396"/>
        <v>0</v>
      </c>
      <c r="T1707" s="577">
        <f t="shared" si="397"/>
        <v>0</v>
      </c>
      <c r="U1707" s="578">
        <f t="shared" si="398"/>
        <v>0</v>
      </c>
      <c r="V1707" s="579"/>
      <c r="W1707" s="566"/>
      <c r="X1707" s="586" t="str">
        <f t="shared" si="402"/>
        <v/>
      </c>
      <c r="Y1707" s="586" t="str">
        <f t="shared" si="409"/>
        <v/>
      </c>
      <c r="Z1707" s="586" t="str">
        <f t="shared" si="403"/>
        <v/>
      </c>
    </row>
    <row r="1708" spans="1:26" ht="12" hidden="1" thickBot="1" x14ac:dyDescent="0.25">
      <c r="A1708" s="567" t="s">
        <v>168</v>
      </c>
      <c r="B1708" s="644" t="s">
        <v>168</v>
      </c>
      <c r="C1708" s="645"/>
      <c r="D1708" s="451" t="s">
        <v>212</v>
      </c>
      <c r="E1708" s="423"/>
      <c r="F1708" s="424">
        <v>500</v>
      </c>
      <c r="G1708" s="425">
        <v>0.18</v>
      </c>
      <c r="H1708" s="649">
        <f>IF(F1708&lt;=30,(0.78*F1708+7.82)*G1708,((0.78*30+7.82)+0.78*(F1708-30))*G1708)</f>
        <v>71.607600000000005</v>
      </c>
      <c r="I1708" s="420">
        <v>0</v>
      </c>
      <c r="J1708" s="420"/>
      <c r="K1708" s="421">
        <f t="shared" si="407"/>
        <v>0</v>
      </c>
      <c r="L1708" s="668" t="s">
        <v>614</v>
      </c>
      <c r="M1708" s="669"/>
      <c r="N1708" s="576">
        <f t="shared" si="404"/>
        <v>0</v>
      </c>
      <c r="O1708" s="577">
        <f t="shared" si="399"/>
        <v>0</v>
      </c>
      <c r="P1708" s="578">
        <f t="shared" si="400"/>
        <v>0</v>
      </c>
      <c r="Q1708" s="765"/>
      <c r="R1708" s="669"/>
      <c r="S1708" s="670"/>
      <c r="T1708" s="577">
        <f t="shared" si="397"/>
        <v>0</v>
      </c>
      <c r="U1708" s="578">
        <f t="shared" si="398"/>
        <v>0</v>
      </c>
      <c r="V1708" s="579"/>
      <c r="W1708" s="637" t="str">
        <f>IF(U1707&gt;0,"xx",IF(P1707&gt;0,"xy",""))</f>
        <v/>
      </c>
      <c r="X1708" s="586" t="str">
        <f t="shared" si="402"/>
        <v/>
      </c>
      <c r="Y1708" s="586" t="str">
        <f t="shared" si="409"/>
        <v/>
      </c>
      <c r="Z1708" s="586" t="str">
        <f t="shared" si="403"/>
        <v/>
      </c>
    </row>
    <row r="1709" spans="1:26" ht="12" hidden="1" thickBot="1" x14ac:dyDescent="0.25">
      <c r="A1709" s="567" t="s">
        <v>168</v>
      </c>
      <c r="B1709" s="644" t="s">
        <v>168</v>
      </c>
      <c r="C1709" s="645"/>
      <c r="D1709" s="451" t="s">
        <v>248</v>
      </c>
      <c r="E1709" s="423"/>
      <c r="F1709" s="424">
        <v>180</v>
      </c>
      <c r="G1709" s="425">
        <v>1.06</v>
      </c>
      <c r="H1709" s="663">
        <f t="shared" ref="H1709:H1710" si="412">IF(F1709&lt;=30,(1.07*F1709+2.68)*G1709,((1.07*30+2.68)+1.07*(F1709-30))*G1709)</f>
        <v>206.99680000000001</v>
      </c>
      <c r="I1709" s="420">
        <v>0</v>
      </c>
      <c r="J1709" s="420"/>
      <c r="K1709" s="421">
        <f t="shared" si="407"/>
        <v>0</v>
      </c>
      <c r="L1709" s="668" t="s">
        <v>614</v>
      </c>
      <c r="M1709" s="669"/>
      <c r="N1709" s="576">
        <f t="shared" si="404"/>
        <v>0</v>
      </c>
      <c r="O1709" s="577">
        <f t="shared" si="399"/>
        <v>0</v>
      </c>
      <c r="P1709" s="578">
        <f t="shared" si="400"/>
        <v>0</v>
      </c>
      <c r="Q1709" s="765"/>
      <c r="R1709" s="669"/>
      <c r="S1709" s="670"/>
      <c r="T1709" s="577">
        <f t="shared" si="397"/>
        <v>0</v>
      </c>
      <c r="U1709" s="578">
        <f t="shared" si="398"/>
        <v>0</v>
      </c>
      <c r="V1709" s="579"/>
      <c r="W1709" s="637" t="str">
        <f>IF(U1707&gt;0,"xx",IF(P1707&gt;0,"xy",""))</f>
        <v/>
      </c>
      <c r="X1709" s="586" t="str">
        <f t="shared" si="402"/>
        <v/>
      </c>
      <c r="Y1709" s="586" t="str">
        <f t="shared" si="409"/>
        <v/>
      </c>
      <c r="Z1709" s="586" t="str">
        <f t="shared" si="403"/>
        <v/>
      </c>
    </row>
    <row r="1710" spans="1:26" ht="12" hidden="1" thickBot="1" x14ac:dyDescent="0.25">
      <c r="A1710" s="567" t="s">
        <v>168</v>
      </c>
      <c r="B1710" s="644" t="s">
        <v>168</v>
      </c>
      <c r="C1710" s="645"/>
      <c r="D1710" s="451" t="s">
        <v>252</v>
      </c>
      <c r="E1710" s="423"/>
      <c r="F1710" s="424">
        <v>20</v>
      </c>
      <c r="G1710" s="425">
        <v>1.1100000000000001</v>
      </c>
      <c r="H1710" s="663">
        <f t="shared" si="412"/>
        <v>26.728800000000003</v>
      </c>
      <c r="I1710" s="420">
        <v>0</v>
      </c>
      <c r="J1710" s="420"/>
      <c r="K1710" s="421">
        <f t="shared" si="407"/>
        <v>0</v>
      </c>
      <c r="L1710" s="668" t="s">
        <v>614</v>
      </c>
      <c r="M1710" s="669"/>
      <c r="N1710" s="576">
        <f t="shared" si="404"/>
        <v>0</v>
      </c>
      <c r="O1710" s="577">
        <f t="shared" si="399"/>
        <v>0</v>
      </c>
      <c r="P1710" s="578">
        <f t="shared" si="400"/>
        <v>0</v>
      </c>
      <c r="Q1710" s="765"/>
      <c r="R1710" s="669"/>
      <c r="S1710" s="670"/>
      <c r="T1710" s="577">
        <f t="shared" si="397"/>
        <v>0</v>
      </c>
      <c r="U1710" s="578">
        <f t="shared" si="398"/>
        <v>0</v>
      </c>
      <c r="V1710" s="579"/>
      <c r="W1710" s="637" t="str">
        <f>IF(U1707&gt;0,"xx",IF(P1707&gt;0,"xy",""))</f>
        <v/>
      </c>
      <c r="X1710" s="586" t="str">
        <f t="shared" si="402"/>
        <v/>
      </c>
      <c r="Y1710" s="586" t="str">
        <f t="shared" si="409"/>
        <v/>
      </c>
      <c r="Z1710" s="586" t="str">
        <f t="shared" si="403"/>
        <v/>
      </c>
    </row>
    <row r="1711" spans="1:26" ht="12" hidden="1" thickBot="1" x14ac:dyDescent="0.25">
      <c r="A1711" s="567">
        <v>606000</v>
      </c>
      <c r="B1711" s="644" t="s">
        <v>1638</v>
      </c>
      <c r="C1711" s="645" t="s">
        <v>206</v>
      </c>
      <c r="D1711" s="422" t="s">
        <v>349</v>
      </c>
      <c r="E1711" s="423"/>
      <c r="F1711" s="424"/>
      <c r="G1711" s="425"/>
      <c r="H1711" s="651">
        <f>SUM(H1712:H1714)</f>
        <v>235.96230000000003</v>
      </c>
      <c r="I1711" s="420">
        <v>365.08</v>
      </c>
      <c r="J1711" s="420">
        <f>IF(ISBLANK(I1711),"",SUM(H1711:I1711))</f>
        <v>601.04230000000007</v>
      </c>
      <c r="K1711" s="421">
        <f t="shared" si="407"/>
        <v>714.1</v>
      </c>
      <c r="L1711" s="647" t="s">
        <v>16</v>
      </c>
      <c r="M1711" s="576"/>
      <c r="N1711" s="576">
        <f t="shared" si="404"/>
        <v>0</v>
      </c>
      <c r="O1711" s="577">
        <f t="shared" si="399"/>
        <v>0</v>
      </c>
      <c r="P1711" s="578">
        <f t="shared" si="400"/>
        <v>0</v>
      </c>
      <c r="Q1711" s="765"/>
      <c r="R1711" s="576">
        <f t="shared" si="396"/>
        <v>0</v>
      </c>
      <c r="S1711" s="576">
        <f t="shared" si="396"/>
        <v>0</v>
      </c>
      <c r="T1711" s="577">
        <f t="shared" si="397"/>
        <v>0</v>
      </c>
      <c r="U1711" s="578">
        <f t="shared" si="398"/>
        <v>0</v>
      </c>
      <c r="V1711" s="579"/>
      <c r="W1711" s="566"/>
      <c r="X1711" s="586" t="str">
        <f t="shared" si="402"/>
        <v/>
      </c>
      <c r="Y1711" s="586" t="str">
        <f t="shared" si="409"/>
        <v/>
      </c>
      <c r="Z1711" s="586" t="str">
        <f t="shared" si="403"/>
        <v/>
      </c>
    </row>
    <row r="1712" spans="1:26" ht="12" hidden="1" thickBot="1" x14ac:dyDescent="0.25">
      <c r="A1712" s="567" t="s">
        <v>168</v>
      </c>
      <c r="B1712" s="644" t="s">
        <v>168</v>
      </c>
      <c r="C1712" s="645"/>
      <c r="D1712" s="451" t="s">
        <v>212</v>
      </c>
      <c r="E1712" s="423"/>
      <c r="F1712" s="424">
        <v>500</v>
      </c>
      <c r="G1712" s="425">
        <v>0.189</v>
      </c>
      <c r="H1712" s="649">
        <f>IF(F1712&lt;=30,(0.78*F1712+7.82)*G1712,((0.78*30+7.82)+0.78*(F1712-30))*G1712)</f>
        <v>75.18798000000001</v>
      </c>
      <c r="I1712" s="420">
        <v>0</v>
      </c>
      <c r="J1712" s="420"/>
      <c r="K1712" s="421">
        <f t="shared" si="407"/>
        <v>0</v>
      </c>
      <c r="L1712" s="668" t="s">
        <v>614</v>
      </c>
      <c r="M1712" s="669"/>
      <c r="N1712" s="576">
        <f t="shared" si="404"/>
        <v>0</v>
      </c>
      <c r="O1712" s="577">
        <f t="shared" si="399"/>
        <v>0</v>
      </c>
      <c r="P1712" s="578">
        <f t="shared" si="400"/>
        <v>0</v>
      </c>
      <c r="Q1712" s="765"/>
      <c r="R1712" s="669"/>
      <c r="S1712" s="670"/>
      <c r="T1712" s="577">
        <f t="shared" si="397"/>
        <v>0</v>
      </c>
      <c r="U1712" s="578">
        <f t="shared" si="398"/>
        <v>0</v>
      </c>
      <c r="V1712" s="579"/>
      <c r="W1712" s="637" t="str">
        <f>IF(U1711&gt;0,"xx",IF(P1711&gt;0,"xy",""))</f>
        <v/>
      </c>
      <c r="X1712" s="586" t="str">
        <f t="shared" si="402"/>
        <v/>
      </c>
      <c r="Y1712" s="586" t="str">
        <f t="shared" si="409"/>
        <v/>
      </c>
      <c r="Z1712" s="586" t="str">
        <f t="shared" si="403"/>
        <v/>
      </c>
    </row>
    <row r="1713" spans="1:26" ht="12" hidden="1" thickBot="1" x14ac:dyDescent="0.25">
      <c r="A1713" s="567" t="s">
        <v>168</v>
      </c>
      <c r="B1713" s="644" t="s">
        <v>168</v>
      </c>
      <c r="C1713" s="645"/>
      <c r="D1713" s="451" t="s">
        <v>248</v>
      </c>
      <c r="E1713" s="423"/>
      <c r="F1713" s="424">
        <v>180</v>
      </c>
      <c r="G1713" s="425">
        <v>0.67200000000000004</v>
      </c>
      <c r="H1713" s="663">
        <f t="shared" ref="H1713:H1714" si="413">IF(F1713&lt;=30,(1.07*F1713+2.68)*G1713,((1.07*30+2.68)+1.07*(F1713-30))*G1713)</f>
        <v>131.22816</v>
      </c>
      <c r="I1713" s="420">
        <v>0</v>
      </c>
      <c r="J1713" s="420"/>
      <c r="K1713" s="421">
        <f t="shared" si="407"/>
        <v>0</v>
      </c>
      <c r="L1713" s="668" t="s">
        <v>614</v>
      </c>
      <c r="M1713" s="669"/>
      <c r="N1713" s="576">
        <f t="shared" si="404"/>
        <v>0</v>
      </c>
      <c r="O1713" s="577">
        <f t="shared" si="399"/>
        <v>0</v>
      </c>
      <c r="P1713" s="578">
        <f t="shared" si="400"/>
        <v>0</v>
      </c>
      <c r="Q1713" s="765"/>
      <c r="R1713" s="669"/>
      <c r="S1713" s="670"/>
      <c r="T1713" s="577">
        <f t="shared" si="397"/>
        <v>0</v>
      </c>
      <c r="U1713" s="578">
        <f t="shared" si="398"/>
        <v>0</v>
      </c>
      <c r="V1713" s="579"/>
      <c r="W1713" s="637" t="str">
        <f>IF(U1711&gt;0,"xx",IF(P1711&gt;0,"xy",""))</f>
        <v/>
      </c>
      <c r="X1713" s="586" t="str">
        <f t="shared" si="402"/>
        <v/>
      </c>
      <c r="Y1713" s="586" t="str">
        <f t="shared" si="409"/>
        <v/>
      </c>
      <c r="Z1713" s="586" t="str">
        <f t="shared" si="403"/>
        <v/>
      </c>
    </row>
    <row r="1714" spans="1:26" ht="12" hidden="1" thickBot="1" x14ac:dyDescent="0.25">
      <c r="A1714" s="567" t="s">
        <v>168</v>
      </c>
      <c r="B1714" s="644" t="s">
        <v>168</v>
      </c>
      <c r="C1714" s="645"/>
      <c r="D1714" s="451" t="s">
        <v>350</v>
      </c>
      <c r="E1714" s="423"/>
      <c r="F1714" s="424">
        <v>20</v>
      </c>
      <c r="G1714" s="425">
        <v>1.2270000000000001</v>
      </c>
      <c r="H1714" s="663">
        <f t="shared" si="413"/>
        <v>29.546160000000004</v>
      </c>
      <c r="I1714" s="420">
        <v>0</v>
      </c>
      <c r="J1714" s="420"/>
      <c r="K1714" s="421">
        <f t="shared" si="407"/>
        <v>0</v>
      </c>
      <c r="L1714" s="668" t="s">
        <v>614</v>
      </c>
      <c r="M1714" s="669"/>
      <c r="N1714" s="576">
        <f t="shared" si="404"/>
        <v>0</v>
      </c>
      <c r="O1714" s="577">
        <f t="shared" si="399"/>
        <v>0</v>
      </c>
      <c r="P1714" s="578">
        <f t="shared" si="400"/>
        <v>0</v>
      </c>
      <c r="Q1714" s="765"/>
      <c r="R1714" s="669"/>
      <c r="S1714" s="670"/>
      <c r="T1714" s="577">
        <f t="shared" si="397"/>
        <v>0</v>
      </c>
      <c r="U1714" s="578">
        <f t="shared" si="398"/>
        <v>0</v>
      </c>
      <c r="V1714" s="579"/>
      <c r="W1714" s="637" t="str">
        <f>IF(U1711&gt;0,"xx",IF(P1711&gt;0,"xy",""))</f>
        <v/>
      </c>
      <c r="X1714" s="586" t="str">
        <f t="shared" si="402"/>
        <v/>
      </c>
      <c r="Y1714" s="586" t="str">
        <f t="shared" si="409"/>
        <v/>
      </c>
      <c r="Z1714" s="586" t="str">
        <f t="shared" si="403"/>
        <v/>
      </c>
    </row>
    <row r="1715" spans="1:26" ht="12" hidden="1" thickBot="1" x14ac:dyDescent="0.25">
      <c r="A1715" s="567">
        <v>605200</v>
      </c>
      <c r="B1715" s="644" t="s">
        <v>1640</v>
      </c>
      <c r="C1715" s="645" t="s">
        <v>206</v>
      </c>
      <c r="D1715" s="422" t="s">
        <v>351</v>
      </c>
      <c r="E1715" s="423"/>
      <c r="F1715" s="424"/>
      <c r="G1715" s="425"/>
      <c r="H1715" s="651">
        <f>SUM(H1716:H1718)</f>
        <v>321.60899999999998</v>
      </c>
      <c r="I1715" s="420">
        <v>455.36</v>
      </c>
      <c r="J1715" s="420">
        <f>IF(ISBLANK(I1715),"",SUM(H1715:I1715))</f>
        <v>776.96900000000005</v>
      </c>
      <c r="K1715" s="421">
        <f t="shared" si="407"/>
        <v>923.12</v>
      </c>
      <c r="L1715" s="647" t="s">
        <v>16</v>
      </c>
      <c r="M1715" s="576"/>
      <c r="N1715" s="576">
        <f t="shared" si="404"/>
        <v>0</v>
      </c>
      <c r="O1715" s="577">
        <f t="shared" si="399"/>
        <v>0</v>
      </c>
      <c r="P1715" s="578">
        <f t="shared" si="400"/>
        <v>0</v>
      </c>
      <c r="Q1715" s="765"/>
      <c r="R1715" s="576">
        <f t="shared" ref="R1715:S1771" si="414">M1715</f>
        <v>0</v>
      </c>
      <c r="S1715" s="576">
        <f t="shared" si="414"/>
        <v>0</v>
      </c>
      <c r="T1715" s="577">
        <f t="shared" si="397"/>
        <v>0</v>
      </c>
      <c r="U1715" s="578">
        <f t="shared" si="398"/>
        <v>0</v>
      </c>
      <c r="V1715" s="579"/>
      <c r="W1715" s="566"/>
      <c r="X1715" s="586" t="str">
        <f t="shared" si="402"/>
        <v/>
      </c>
      <c r="Y1715" s="586" t="str">
        <f t="shared" si="409"/>
        <v/>
      </c>
      <c r="Z1715" s="586" t="str">
        <f t="shared" si="403"/>
        <v/>
      </c>
    </row>
    <row r="1716" spans="1:26" ht="12" hidden="1" thickBot="1" x14ac:dyDescent="0.25">
      <c r="A1716" s="567" t="s">
        <v>168</v>
      </c>
      <c r="B1716" s="644" t="s">
        <v>168</v>
      </c>
      <c r="C1716" s="645"/>
      <c r="D1716" s="451" t="s">
        <v>212</v>
      </c>
      <c r="E1716" s="423"/>
      <c r="F1716" s="424">
        <v>500</v>
      </c>
      <c r="G1716" s="425">
        <v>0.27</v>
      </c>
      <c r="H1716" s="649">
        <f>IF(F1716&lt;=30,(0.78*F1716+7.82)*G1716,((0.78*30+7.82)+0.78*(F1716-30))*G1716)</f>
        <v>107.41140000000001</v>
      </c>
      <c r="I1716" s="420">
        <v>0</v>
      </c>
      <c r="J1716" s="420"/>
      <c r="K1716" s="421">
        <f t="shared" si="407"/>
        <v>0</v>
      </c>
      <c r="L1716" s="668" t="s">
        <v>614</v>
      </c>
      <c r="M1716" s="669"/>
      <c r="N1716" s="576">
        <f t="shared" si="404"/>
        <v>0</v>
      </c>
      <c r="O1716" s="577">
        <f t="shared" si="399"/>
        <v>0</v>
      </c>
      <c r="P1716" s="578">
        <f t="shared" si="400"/>
        <v>0</v>
      </c>
      <c r="Q1716" s="765"/>
      <c r="R1716" s="669"/>
      <c r="S1716" s="670"/>
      <c r="T1716" s="577">
        <f t="shared" si="397"/>
        <v>0</v>
      </c>
      <c r="U1716" s="578">
        <f t="shared" si="398"/>
        <v>0</v>
      </c>
      <c r="V1716" s="579"/>
      <c r="W1716" s="637" t="str">
        <f>IF(U1715&gt;0,"xx",IF(P1715&gt;0,"xy",""))</f>
        <v/>
      </c>
      <c r="X1716" s="586" t="str">
        <f t="shared" si="402"/>
        <v/>
      </c>
      <c r="Y1716" s="586" t="str">
        <f t="shared" si="409"/>
        <v/>
      </c>
      <c r="Z1716" s="586" t="str">
        <f t="shared" si="403"/>
        <v/>
      </c>
    </row>
    <row r="1717" spans="1:26" ht="12" hidden="1" thickBot="1" x14ac:dyDescent="0.25">
      <c r="A1717" s="567" t="s">
        <v>168</v>
      </c>
      <c r="B1717" s="644" t="s">
        <v>168</v>
      </c>
      <c r="C1717" s="645"/>
      <c r="D1717" s="451" t="s">
        <v>248</v>
      </c>
      <c r="E1717" s="423"/>
      <c r="F1717" s="424">
        <v>180</v>
      </c>
      <c r="G1717" s="425">
        <v>0.96</v>
      </c>
      <c r="H1717" s="663">
        <f t="shared" ref="H1717:H1718" si="415">IF(F1717&lt;=30,(1.07*F1717+2.68)*G1717,((1.07*30+2.68)+1.07*(F1717-30))*G1717)</f>
        <v>187.46879999999999</v>
      </c>
      <c r="I1717" s="420">
        <v>0</v>
      </c>
      <c r="J1717" s="420"/>
      <c r="K1717" s="421">
        <f t="shared" si="407"/>
        <v>0</v>
      </c>
      <c r="L1717" s="668" t="s">
        <v>614</v>
      </c>
      <c r="M1717" s="669"/>
      <c r="N1717" s="576">
        <f t="shared" si="404"/>
        <v>0</v>
      </c>
      <c r="O1717" s="577">
        <f t="shared" si="399"/>
        <v>0</v>
      </c>
      <c r="P1717" s="578">
        <f t="shared" si="400"/>
        <v>0</v>
      </c>
      <c r="Q1717" s="765"/>
      <c r="R1717" s="669"/>
      <c r="S1717" s="670"/>
      <c r="T1717" s="577">
        <f t="shared" si="397"/>
        <v>0</v>
      </c>
      <c r="U1717" s="578">
        <f t="shared" si="398"/>
        <v>0</v>
      </c>
      <c r="V1717" s="579"/>
      <c r="W1717" s="637" t="str">
        <f>IF(U1715&gt;0,"xx",IF(P1715&gt;0,"xy",""))</f>
        <v/>
      </c>
      <c r="X1717" s="586" t="str">
        <f t="shared" si="402"/>
        <v/>
      </c>
      <c r="Y1717" s="586" t="str">
        <f t="shared" si="409"/>
        <v/>
      </c>
      <c r="Z1717" s="586" t="str">
        <f t="shared" si="403"/>
        <v/>
      </c>
    </row>
    <row r="1718" spans="1:26" ht="12" hidden="1" thickBot="1" x14ac:dyDescent="0.25">
      <c r="A1718" s="567" t="s">
        <v>168</v>
      </c>
      <c r="B1718" s="644" t="s">
        <v>168</v>
      </c>
      <c r="C1718" s="645"/>
      <c r="D1718" s="451" t="s">
        <v>252</v>
      </c>
      <c r="E1718" s="423"/>
      <c r="F1718" s="424">
        <v>20</v>
      </c>
      <c r="G1718" s="425">
        <v>1.1100000000000001</v>
      </c>
      <c r="H1718" s="663">
        <f t="shared" si="415"/>
        <v>26.728800000000003</v>
      </c>
      <c r="I1718" s="420">
        <v>0</v>
      </c>
      <c r="J1718" s="420"/>
      <c r="K1718" s="421">
        <f t="shared" si="407"/>
        <v>0</v>
      </c>
      <c r="L1718" s="668" t="s">
        <v>614</v>
      </c>
      <c r="M1718" s="669"/>
      <c r="N1718" s="576">
        <f t="shared" si="404"/>
        <v>0</v>
      </c>
      <c r="O1718" s="577">
        <f t="shared" si="399"/>
        <v>0</v>
      </c>
      <c r="P1718" s="578">
        <f t="shared" si="400"/>
        <v>0</v>
      </c>
      <c r="Q1718" s="765"/>
      <c r="R1718" s="669"/>
      <c r="S1718" s="670"/>
      <c r="T1718" s="577">
        <f t="shared" si="397"/>
        <v>0</v>
      </c>
      <c r="U1718" s="578">
        <f t="shared" si="398"/>
        <v>0</v>
      </c>
      <c r="V1718" s="579"/>
      <c r="W1718" s="637" t="str">
        <f>IF(U1715&gt;0,"xx",IF(P1715&gt;0,"xy",""))</f>
        <v/>
      </c>
      <c r="X1718" s="586" t="str">
        <f t="shared" si="402"/>
        <v/>
      </c>
      <c r="Y1718" s="586" t="str">
        <f t="shared" si="409"/>
        <v/>
      </c>
      <c r="Z1718" s="586" t="str">
        <f t="shared" si="403"/>
        <v/>
      </c>
    </row>
    <row r="1719" spans="1:26" ht="12" hidden="1" thickBot="1" x14ac:dyDescent="0.25">
      <c r="A1719" s="567">
        <v>605300</v>
      </c>
      <c r="B1719" s="644" t="s">
        <v>1715</v>
      </c>
      <c r="C1719" s="645" t="s">
        <v>206</v>
      </c>
      <c r="D1719" s="422" t="s">
        <v>352</v>
      </c>
      <c r="E1719" s="423"/>
      <c r="F1719" s="424"/>
      <c r="G1719" s="425"/>
      <c r="H1719" s="651">
        <f>SUM(H1720:H1722)</f>
        <v>337.86228</v>
      </c>
      <c r="I1719" s="420">
        <v>487.71000000000004</v>
      </c>
      <c r="J1719" s="420">
        <f>IF(ISBLANK(I1719),"",SUM(H1719:I1719))</f>
        <v>825.57228000000009</v>
      </c>
      <c r="K1719" s="421">
        <f t="shared" si="407"/>
        <v>980.86</v>
      </c>
      <c r="L1719" s="647" t="s">
        <v>16</v>
      </c>
      <c r="M1719" s="576"/>
      <c r="N1719" s="576">
        <f t="shared" si="404"/>
        <v>0</v>
      </c>
      <c r="O1719" s="577">
        <f t="shared" si="399"/>
        <v>0</v>
      </c>
      <c r="P1719" s="578">
        <f t="shared" si="400"/>
        <v>0</v>
      </c>
      <c r="Q1719" s="765"/>
      <c r="R1719" s="576">
        <f t="shared" si="414"/>
        <v>0</v>
      </c>
      <c r="S1719" s="576">
        <f t="shared" si="414"/>
        <v>0</v>
      </c>
      <c r="T1719" s="577">
        <f t="shared" si="397"/>
        <v>0</v>
      </c>
      <c r="U1719" s="578">
        <f t="shared" si="398"/>
        <v>0</v>
      </c>
      <c r="V1719" s="579"/>
      <c r="W1719" s="566"/>
      <c r="X1719" s="586" t="str">
        <f t="shared" si="402"/>
        <v/>
      </c>
      <c r="Y1719" s="586" t="str">
        <f t="shared" si="409"/>
        <v/>
      </c>
      <c r="Z1719" s="586" t="str">
        <f t="shared" si="403"/>
        <v/>
      </c>
    </row>
    <row r="1720" spans="1:26" ht="12" hidden="1" thickBot="1" x14ac:dyDescent="0.25">
      <c r="A1720" s="567" t="s">
        <v>168</v>
      </c>
      <c r="B1720" s="644" t="s">
        <v>168</v>
      </c>
      <c r="C1720" s="645"/>
      <c r="D1720" s="451" t="s">
        <v>212</v>
      </c>
      <c r="E1720" s="423"/>
      <c r="F1720" s="424">
        <v>500</v>
      </c>
      <c r="G1720" s="425">
        <v>0.33</v>
      </c>
      <c r="H1720" s="649">
        <f>IF(F1720&lt;=30,(0.78*F1720+7.82)*G1720,((0.78*30+7.82)+0.78*(F1720-30))*G1720)</f>
        <v>131.28060000000002</v>
      </c>
      <c r="I1720" s="420">
        <v>0</v>
      </c>
      <c r="J1720" s="420"/>
      <c r="K1720" s="421">
        <f t="shared" si="407"/>
        <v>0</v>
      </c>
      <c r="L1720" s="668" t="s">
        <v>614</v>
      </c>
      <c r="M1720" s="669"/>
      <c r="N1720" s="576">
        <f t="shared" si="404"/>
        <v>0</v>
      </c>
      <c r="O1720" s="577">
        <f t="shared" si="399"/>
        <v>0</v>
      </c>
      <c r="P1720" s="578">
        <f t="shared" si="400"/>
        <v>0</v>
      </c>
      <c r="Q1720" s="765"/>
      <c r="R1720" s="669"/>
      <c r="S1720" s="670"/>
      <c r="T1720" s="577">
        <f t="shared" si="397"/>
        <v>0</v>
      </c>
      <c r="U1720" s="578">
        <f t="shared" si="398"/>
        <v>0</v>
      </c>
      <c r="V1720" s="579"/>
      <c r="W1720" s="637" t="str">
        <f>IF(U1719&gt;0,"xx",IF(P1719&gt;0,"xy",""))</f>
        <v/>
      </c>
      <c r="X1720" s="586" t="str">
        <f t="shared" si="402"/>
        <v/>
      </c>
      <c r="Y1720" s="586" t="str">
        <f t="shared" si="409"/>
        <v/>
      </c>
      <c r="Z1720" s="586" t="str">
        <f t="shared" si="403"/>
        <v/>
      </c>
    </row>
    <row r="1721" spans="1:26" ht="12" hidden="1" thickBot="1" x14ac:dyDescent="0.25">
      <c r="A1721" s="567" t="s">
        <v>168</v>
      </c>
      <c r="B1721" s="644" t="s">
        <v>168</v>
      </c>
      <c r="C1721" s="645"/>
      <c r="D1721" s="451" t="s">
        <v>248</v>
      </c>
      <c r="E1721" s="423"/>
      <c r="F1721" s="424">
        <v>180</v>
      </c>
      <c r="G1721" s="425">
        <v>0.92100000000000004</v>
      </c>
      <c r="H1721" s="663">
        <f t="shared" ref="H1721:H1722" si="416">IF(F1721&lt;=30,(1.07*F1721+2.68)*G1721,((1.07*30+2.68)+1.07*(F1721-30))*G1721)</f>
        <v>179.85288</v>
      </c>
      <c r="I1721" s="420">
        <v>0</v>
      </c>
      <c r="J1721" s="420"/>
      <c r="K1721" s="421">
        <f t="shared" si="407"/>
        <v>0</v>
      </c>
      <c r="L1721" s="668" t="s">
        <v>614</v>
      </c>
      <c r="M1721" s="669"/>
      <c r="N1721" s="576">
        <f t="shared" si="404"/>
        <v>0</v>
      </c>
      <c r="O1721" s="577">
        <f t="shared" si="399"/>
        <v>0</v>
      </c>
      <c r="P1721" s="578">
        <f t="shared" si="400"/>
        <v>0</v>
      </c>
      <c r="Q1721" s="765"/>
      <c r="R1721" s="669"/>
      <c r="S1721" s="670"/>
      <c r="T1721" s="577">
        <f t="shared" si="397"/>
        <v>0</v>
      </c>
      <c r="U1721" s="578">
        <f t="shared" si="398"/>
        <v>0</v>
      </c>
      <c r="V1721" s="579"/>
      <c r="W1721" s="637" t="str">
        <f>IF(U1719&gt;0,"xx",IF(P1719&gt;0,"xy",""))</f>
        <v/>
      </c>
      <c r="X1721" s="586" t="str">
        <f t="shared" si="402"/>
        <v/>
      </c>
      <c r="Y1721" s="586" t="str">
        <f t="shared" si="409"/>
        <v/>
      </c>
      <c r="Z1721" s="586" t="str">
        <f t="shared" si="403"/>
        <v/>
      </c>
    </row>
    <row r="1722" spans="1:26" ht="12" hidden="1" thickBot="1" x14ac:dyDescent="0.25">
      <c r="A1722" s="567" t="s">
        <v>168</v>
      </c>
      <c r="B1722" s="644" t="s">
        <v>168</v>
      </c>
      <c r="C1722" s="645"/>
      <c r="D1722" s="451" t="s">
        <v>252</v>
      </c>
      <c r="E1722" s="423"/>
      <c r="F1722" s="424">
        <v>20</v>
      </c>
      <c r="G1722" s="425">
        <v>1.1100000000000001</v>
      </c>
      <c r="H1722" s="663">
        <f t="shared" si="416"/>
        <v>26.728800000000003</v>
      </c>
      <c r="I1722" s="420">
        <v>0</v>
      </c>
      <c r="J1722" s="420"/>
      <c r="K1722" s="421">
        <f t="shared" si="407"/>
        <v>0</v>
      </c>
      <c r="L1722" s="668" t="s">
        <v>614</v>
      </c>
      <c r="M1722" s="669"/>
      <c r="N1722" s="576">
        <f t="shared" si="404"/>
        <v>0</v>
      </c>
      <c r="O1722" s="577">
        <f t="shared" si="399"/>
        <v>0</v>
      </c>
      <c r="P1722" s="578">
        <f t="shared" si="400"/>
        <v>0</v>
      </c>
      <c r="Q1722" s="765"/>
      <c r="R1722" s="669"/>
      <c r="S1722" s="670"/>
      <c r="T1722" s="577">
        <f t="shared" ref="T1722:T1785" si="417">IF(ISBLANK(R1722),0,ROUND(K1722*R1722,2))</f>
        <v>0</v>
      </c>
      <c r="U1722" s="578">
        <f t="shared" ref="U1722:U1785" si="418">IF(ISBLANK(R1722),0,ROUND(R1722*S1722,2))</f>
        <v>0</v>
      </c>
      <c r="V1722" s="579"/>
      <c r="W1722" s="637" t="str">
        <f>IF(U1719&gt;0,"xx",IF(P1719&gt;0,"xy",""))</f>
        <v/>
      </c>
      <c r="X1722" s="586" t="str">
        <f t="shared" si="402"/>
        <v/>
      </c>
      <c r="Y1722" s="586" t="str">
        <f t="shared" si="409"/>
        <v/>
      </c>
      <c r="Z1722" s="586" t="str">
        <f t="shared" si="403"/>
        <v/>
      </c>
    </row>
    <row r="1723" spans="1:26" ht="12" hidden="1" thickBot="1" x14ac:dyDescent="0.25">
      <c r="A1723" s="567">
        <v>605400</v>
      </c>
      <c r="B1723" s="644" t="s">
        <v>1642</v>
      </c>
      <c r="C1723" s="645" t="s">
        <v>206</v>
      </c>
      <c r="D1723" s="422" t="s">
        <v>353</v>
      </c>
      <c r="E1723" s="423"/>
      <c r="F1723" s="424"/>
      <c r="G1723" s="425"/>
      <c r="H1723" s="651">
        <f>SUM(H1724:H1726)</f>
        <v>362.76447999999999</v>
      </c>
      <c r="I1723" s="420">
        <v>495.4</v>
      </c>
      <c r="J1723" s="420">
        <f>IF(ISBLANK(I1723),"",SUM(H1723:I1723))</f>
        <v>858.16447999999991</v>
      </c>
      <c r="K1723" s="421">
        <f t="shared" si="407"/>
        <v>1019.59</v>
      </c>
      <c r="L1723" s="647" t="s">
        <v>16</v>
      </c>
      <c r="M1723" s="576"/>
      <c r="N1723" s="576">
        <f t="shared" si="404"/>
        <v>0</v>
      </c>
      <c r="O1723" s="577">
        <f t="shared" ref="O1723:O1786" si="419">IF(ISBLANK(M1723),0,ROUND(K1723*M1723,2))</f>
        <v>0</v>
      </c>
      <c r="P1723" s="578">
        <f t="shared" ref="P1723:P1786" si="420">IF(ISBLANK(N1723),0,ROUND(M1723*N1723,2))</f>
        <v>0</v>
      </c>
      <c r="Q1723" s="765"/>
      <c r="R1723" s="576">
        <f t="shared" si="414"/>
        <v>0</v>
      </c>
      <c r="S1723" s="576">
        <f t="shared" si="414"/>
        <v>0</v>
      </c>
      <c r="T1723" s="577">
        <f t="shared" si="417"/>
        <v>0</v>
      </c>
      <c r="U1723" s="578">
        <f t="shared" si="418"/>
        <v>0</v>
      </c>
      <c r="V1723" s="579"/>
      <c r="W1723" s="566"/>
      <c r="X1723" s="586" t="str">
        <f t="shared" si="402"/>
        <v/>
      </c>
      <c r="Y1723" s="586" t="str">
        <f t="shared" si="409"/>
        <v/>
      </c>
      <c r="Z1723" s="586" t="str">
        <f t="shared" si="403"/>
        <v/>
      </c>
    </row>
    <row r="1724" spans="1:26" ht="12" hidden="1" thickBot="1" x14ac:dyDescent="0.25">
      <c r="A1724" s="567" t="s">
        <v>168</v>
      </c>
      <c r="B1724" s="644" t="s">
        <v>168</v>
      </c>
      <c r="C1724" s="645"/>
      <c r="D1724" s="451" t="s">
        <v>212</v>
      </c>
      <c r="E1724" s="423"/>
      <c r="F1724" s="424">
        <v>500</v>
      </c>
      <c r="G1724" s="425">
        <v>0.34399999999999997</v>
      </c>
      <c r="H1724" s="649">
        <f>IF(F1724&lt;=30,(0.78*F1724+7.82)*G1724,((0.78*30+7.82)+0.78*(F1724-30))*G1724)</f>
        <v>136.85008000000002</v>
      </c>
      <c r="I1724" s="420">
        <v>0</v>
      </c>
      <c r="J1724" s="420"/>
      <c r="K1724" s="421">
        <f t="shared" si="407"/>
        <v>0</v>
      </c>
      <c r="L1724" s="668" t="s">
        <v>614</v>
      </c>
      <c r="M1724" s="669"/>
      <c r="N1724" s="576">
        <f t="shared" si="404"/>
        <v>0</v>
      </c>
      <c r="O1724" s="577">
        <f t="shared" si="419"/>
        <v>0</v>
      </c>
      <c r="P1724" s="578">
        <f t="shared" si="420"/>
        <v>0</v>
      </c>
      <c r="Q1724" s="765"/>
      <c r="R1724" s="669"/>
      <c r="S1724" s="670"/>
      <c r="T1724" s="577">
        <f t="shared" si="417"/>
        <v>0</v>
      </c>
      <c r="U1724" s="578">
        <f t="shared" si="418"/>
        <v>0</v>
      </c>
      <c r="V1724" s="579"/>
      <c r="W1724" s="637" t="str">
        <f>IF(U1723&gt;0,"xx",IF(P1723&gt;0,"xy",""))</f>
        <v/>
      </c>
      <c r="X1724" s="586" t="str">
        <f t="shared" si="402"/>
        <v/>
      </c>
      <c r="Y1724" s="586" t="str">
        <f t="shared" si="409"/>
        <v/>
      </c>
      <c r="Z1724" s="586" t="str">
        <f t="shared" si="403"/>
        <v/>
      </c>
    </row>
    <row r="1725" spans="1:26" ht="12" hidden="1" thickBot="1" x14ac:dyDescent="0.25">
      <c r="A1725" s="567" t="s">
        <v>168</v>
      </c>
      <c r="B1725" s="644" t="s">
        <v>168</v>
      </c>
      <c r="C1725" s="645"/>
      <c r="D1725" s="451" t="s">
        <v>248</v>
      </c>
      <c r="E1725" s="423"/>
      <c r="F1725" s="424">
        <v>180</v>
      </c>
      <c r="G1725" s="425">
        <v>1.02</v>
      </c>
      <c r="H1725" s="663">
        <f t="shared" ref="H1725:H1726" si="421">IF(F1725&lt;=30,(1.07*F1725+2.68)*G1725,((1.07*30+2.68)+1.07*(F1725-30))*G1725)</f>
        <v>199.18559999999999</v>
      </c>
      <c r="I1725" s="420">
        <v>0</v>
      </c>
      <c r="J1725" s="420"/>
      <c r="K1725" s="421">
        <f t="shared" si="407"/>
        <v>0</v>
      </c>
      <c r="L1725" s="668" t="s">
        <v>614</v>
      </c>
      <c r="M1725" s="669"/>
      <c r="N1725" s="576">
        <f t="shared" si="404"/>
        <v>0</v>
      </c>
      <c r="O1725" s="577">
        <f t="shared" si="419"/>
        <v>0</v>
      </c>
      <c r="P1725" s="578">
        <f t="shared" si="420"/>
        <v>0</v>
      </c>
      <c r="Q1725" s="765"/>
      <c r="R1725" s="669"/>
      <c r="S1725" s="670"/>
      <c r="T1725" s="577">
        <f t="shared" si="417"/>
        <v>0</v>
      </c>
      <c r="U1725" s="578">
        <f t="shared" si="418"/>
        <v>0</v>
      </c>
      <c r="V1725" s="579"/>
      <c r="W1725" s="637" t="str">
        <f>IF(U1723&gt;0,"xx",IF(P1723&gt;0,"xy",""))</f>
        <v/>
      </c>
      <c r="X1725" s="586" t="str">
        <f t="shared" ref="X1725:X1792" si="422">IF(W1725="X","x",IF(W1725="xx","x",IF(W1725="xy","x",IF(W1725="y","x",IF(OR(P1725&gt;0,U1725&gt;0),"x","")))))</f>
        <v/>
      </c>
      <c r="Y1725" s="586" t="str">
        <f t="shared" si="409"/>
        <v/>
      </c>
      <c r="Z1725" s="586" t="str">
        <f t="shared" si="403"/>
        <v/>
      </c>
    </row>
    <row r="1726" spans="1:26" ht="12" hidden="1" thickBot="1" x14ac:dyDescent="0.25">
      <c r="A1726" s="567" t="s">
        <v>168</v>
      </c>
      <c r="B1726" s="644" t="s">
        <v>168</v>
      </c>
      <c r="C1726" s="645"/>
      <c r="D1726" s="451" t="s">
        <v>252</v>
      </c>
      <c r="E1726" s="423"/>
      <c r="F1726" s="424">
        <v>20</v>
      </c>
      <c r="G1726" s="425">
        <v>1.1100000000000001</v>
      </c>
      <c r="H1726" s="663">
        <f t="shared" si="421"/>
        <v>26.728800000000003</v>
      </c>
      <c r="I1726" s="420">
        <v>0</v>
      </c>
      <c r="J1726" s="420"/>
      <c r="K1726" s="421">
        <f t="shared" si="407"/>
        <v>0</v>
      </c>
      <c r="L1726" s="668" t="s">
        <v>614</v>
      </c>
      <c r="M1726" s="669"/>
      <c r="N1726" s="576">
        <f t="shared" si="404"/>
        <v>0</v>
      </c>
      <c r="O1726" s="577">
        <f t="shared" si="419"/>
        <v>0</v>
      </c>
      <c r="P1726" s="578">
        <f t="shared" si="420"/>
        <v>0</v>
      </c>
      <c r="Q1726" s="765"/>
      <c r="R1726" s="669"/>
      <c r="S1726" s="670"/>
      <c r="T1726" s="577">
        <f t="shared" si="417"/>
        <v>0</v>
      </c>
      <c r="U1726" s="578">
        <f t="shared" si="418"/>
        <v>0</v>
      </c>
      <c r="V1726" s="579"/>
      <c r="W1726" s="637" t="str">
        <f>IF(U1723&gt;0,"xx",IF(P1723&gt;0,"xy",""))</f>
        <v/>
      </c>
      <c r="X1726" s="586" t="str">
        <f t="shared" si="422"/>
        <v/>
      </c>
      <c r="Y1726" s="586" t="str">
        <f t="shared" si="409"/>
        <v/>
      </c>
      <c r="Z1726" s="586" t="str">
        <f t="shared" si="403"/>
        <v/>
      </c>
    </row>
    <row r="1727" spans="1:26" ht="12" hidden="1" thickBot="1" x14ac:dyDescent="0.25">
      <c r="A1727" s="567">
        <v>831000</v>
      </c>
      <c r="B1727" s="644" t="s">
        <v>1873</v>
      </c>
      <c r="C1727" s="645" t="s">
        <v>206</v>
      </c>
      <c r="D1727" s="422" t="s">
        <v>280</v>
      </c>
      <c r="E1727" s="423"/>
      <c r="F1727" s="424"/>
      <c r="G1727" s="425"/>
      <c r="H1727" s="651"/>
      <c r="I1727" s="420">
        <v>41.120000000000005</v>
      </c>
      <c r="J1727" s="420">
        <f t="shared" ref="J1727:J1734" si="423">IF(ISBLANK(I1727),"",SUM(H1727:I1727))</f>
        <v>41.120000000000005</v>
      </c>
      <c r="K1727" s="421">
        <f t="shared" si="407"/>
        <v>48.85</v>
      </c>
      <c r="L1727" s="647" t="s">
        <v>19</v>
      </c>
      <c r="M1727" s="576"/>
      <c r="N1727" s="576">
        <f t="shared" si="404"/>
        <v>0</v>
      </c>
      <c r="O1727" s="577">
        <f t="shared" si="419"/>
        <v>0</v>
      </c>
      <c r="P1727" s="578">
        <f t="shared" si="420"/>
        <v>0</v>
      </c>
      <c r="Q1727" s="765"/>
      <c r="R1727" s="576">
        <f t="shared" si="414"/>
        <v>0</v>
      </c>
      <c r="S1727" s="576">
        <f t="shared" si="414"/>
        <v>0</v>
      </c>
      <c r="T1727" s="577">
        <f t="shared" si="417"/>
        <v>0</v>
      </c>
      <c r="U1727" s="578">
        <f t="shared" si="418"/>
        <v>0</v>
      </c>
      <c r="V1727" s="579"/>
      <c r="W1727" s="566"/>
      <c r="X1727" s="586" t="str">
        <f t="shared" si="422"/>
        <v/>
      </c>
      <c r="Y1727" s="586" t="str">
        <f t="shared" si="409"/>
        <v/>
      </c>
      <c r="Z1727" s="586" t="str">
        <f t="shared" si="403"/>
        <v/>
      </c>
    </row>
    <row r="1728" spans="1:26" ht="12" hidden="1" thickBot="1" x14ac:dyDescent="0.25">
      <c r="A1728" s="567">
        <v>830000</v>
      </c>
      <c r="B1728" s="644" t="s">
        <v>1874</v>
      </c>
      <c r="C1728" s="645" t="s">
        <v>206</v>
      </c>
      <c r="D1728" s="422" t="s">
        <v>281</v>
      </c>
      <c r="E1728" s="423"/>
      <c r="F1728" s="424"/>
      <c r="G1728" s="425"/>
      <c r="H1728" s="651"/>
      <c r="I1728" s="420">
        <v>34.14</v>
      </c>
      <c r="J1728" s="420">
        <f t="shared" si="423"/>
        <v>34.14</v>
      </c>
      <c r="K1728" s="421">
        <f t="shared" si="407"/>
        <v>40.56</v>
      </c>
      <c r="L1728" s="647" t="s">
        <v>19</v>
      </c>
      <c r="M1728" s="576"/>
      <c r="N1728" s="576">
        <f t="shared" si="404"/>
        <v>0</v>
      </c>
      <c r="O1728" s="577">
        <f t="shared" si="419"/>
        <v>0</v>
      </c>
      <c r="P1728" s="578">
        <f t="shared" si="420"/>
        <v>0</v>
      </c>
      <c r="Q1728" s="765"/>
      <c r="R1728" s="576">
        <f t="shared" si="414"/>
        <v>0</v>
      </c>
      <c r="S1728" s="576">
        <f t="shared" si="414"/>
        <v>0</v>
      </c>
      <c r="T1728" s="577">
        <f t="shared" si="417"/>
        <v>0</v>
      </c>
      <c r="U1728" s="578">
        <f t="shared" si="418"/>
        <v>0</v>
      </c>
      <c r="V1728" s="579"/>
      <c r="W1728" s="566"/>
      <c r="X1728" s="586" t="str">
        <f t="shared" si="422"/>
        <v/>
      </c>
      <c r="Y1728" s="586" t="str">
        <f t="shared" si="409"/>
        <v/>
      </c>
      <c r="Z1728" s="586" t="str">
        <f t="shared" si="403"/>
        <v/>
      </c>
    </row>
    <row r="1729" spans="1:26" ht="12" hidden="1" thickBot="1" x14ac:dyDescent="0.25">
      <c r="A1729" s="567">
        <v>823000</v>
      </c>
      <c r="B1729" s="644" t="s">
        <v>1636</v>
      </c>
      <c r="C1729" s="645" t="s">
        <v>206</v>
      </c>
      <c r="D1729" s="422" t="s">
        <v>282</v>
      </c>
      <c r="E1729" s="423"/>
      <c r="F1729" s="424">
        <v>0</v>
      </c>
      <c r="G1729" s="425"/>
      <c r="H1729" s="651"/>
      <c r="I1729" s="420">
        <v>486.65</v>
      </c>
      <c r="J1729" s="420">
        <f t="shared" si="423"/>
        <v>486.65</v>
      </c>
      <c r="K1729" s="421">
        <f t="shared" si="407"/>
        <v>578.19000000000005</v>
      </c>
      <c r="L1729" s="647" t="s">
        <v>19</v>
      </c>
      <c r="M1729" s="576"/>
      <c r="N1729" s="576">
        <f t="shared" si="404"/>
        <v>0</v>
      </c>
      <c r="O1729" s="577">
        <f t="shared" si="419"/>
        <v>0</v>
      </c>
      <c r="P1729" s="578">
        <f t="shared" si="420"/>
        <v>0</v>
      </c>
      <c r="Q1729" s="765"/>
      <c r="R1729" s="576">
        <f t="shared" si="414"/>
        <v>0</v>
      </c>
      <c r="S1729" s="576">
        <f t="shared" si="414"/>
        <v>0</v>
      </c>
      <c r="T1729" s="577">
        <f t="shared" si="417"/>
        <v>0</v>
      </c>
      <c r="U1729" s="578">
        <f t="shared" si="418"/>
        <v>0</v>
      </c>
      <c r="V1729" s="579"/>
      <c r="W1729" s="566"/>
      <c r="X1729" s="586" t="str">
        <f t="shared" si="422"/>
        <v/>
      </c>
      <c r="Y1729" s="586" t="str">
        <f t="shared" si="409"/>
        <v/>
      </c>
      <c r="Z1729" s="586" t="str">
        <f t="shared" si="403"/>
        <v/>
      </c>
    </row>
    <row r="1730" spans="1:26" ht="12" hidden="1" thickBot="1" x14ac:dyDescent="0.25">
      <c r="A1730" s="567">
        <v>97623</v>
      </c>
      <c r="B1730" s="644" t="s">
        <v>1598</v>
      </c>
      <c r="C1730" s="645" t="s">
        <v>670</v>
      </c>
      <c r="D1730" s="416" t="s">
        <v>1595</v>
      </c>
      <c r="E1730" s="417"/>
      <c r="F1730" s="418"/>
      <c r="G1730" s="419"/>
      <c r="H1730" s="646"/>
      <c r="I1730" s="420">
        <v>175.28</v>
      </c>
      <c r="J1730" s="420">
        <f t="shared" si="423"/>
        <v>175.28</v>
      </c>
      <c r="K1730" s="421">
        <f t="shared" si="407"/>
        <v>208.25</v>
      </c>
      <c r="L1730" s="647" t="s">
        <v>16</v>
      </c>
      <c r="M1730" s="576"/>
      <c r="N1730" s="576">
        <f t="shared" si="404"/>
        <v>0</v>
      </c>
      <c r="O1730" s="577">
        <f t="shared" si="419"/>
        <v>0</v>
      </c>
      <c r="P1730" s="578">
        <f t="shared" si="420"/>
        <v>0</v>
      </c>
      <c r="Q1730" s="765"/>
      <c r="R1730" s="650">
        <f t="shared" si="414"/>
        <v>0</v>
      </c>
      <c r="S1730" s="587">
        <f t="shared" si="414"/>
        <v>0</v>
      </c>
      <c r="T1730" s="577">
        <f t="shared" si="417"/>
        <v>0</v>
      </c>
      <c r="U1730" s="578">
        <f t="shared" si="418"/>
        <v>0</v>
      </c>
      <c r="V1730" s="579"/>
      <c r="W1730" s="566"/>
      <c r="X1730" s="586" t="str">
        <f t="shared" si="422"/>
        <v/>
      </c>
      <c r="Y1730" s="586" t="str">
        <f t="shared" si="409"/>
        <v/>
      </c>
      <c r="Z1730" s="586" t="str">
        <f t="shared" si="403"/>
        <v/>
      </c>
    </row>
    <row r="1731" spans="1:26" ht="12" hidden="1" thickBot="1" x14ac:dyDescent="0.25">
      <c r="A1731" s="567">
        <v>97624</v>
      </c>
      <c r="B1731" s="644" t="s">
        <v>1599</v>
      </c>
      <c r="C1731" s="645" t="s">
        <v>670</v>
      </c>
      <c r="D1731" s="416" t="s">
        <v>1597</v>
      </c>
      <c r="E1731" s="417"/>
      <c r="F1731" s="418"/>
      <c r="G1731" s="419"/>
      <c r="H1731" s="646"/>
      <c r="I1731" s="420">
        <v>107.58</v>
      </c>
      <c r="J1731" s="420">
        <f t="shared" si="423"/>
        <v>107.58</v>
      </c>
      <c r="K1731" s="421">
        <f t="shared" si="407"/>
        <v>127.82</v>
      </c>
      <c r="L1731" s="647" t="s">
        <v>16</v>
      </c>
      <c r="M1731" s="576"/>
      <c r="N1731" s="576">
        <f t="shared" si="404"/>
        <v>0</v>
      </c>
      <c r="O1731" s="577">
        <f t="shared" si="419"/>
        <v>0</v>
      </c>
      <c r="P1731" s="578">
        <f t="shared" si="420"/>
        <v>0</v>
      </c>
      <c r="Q1731" s="765"/>
      <c r="R1731" s="650">
        <f t="shared" si="414"/>
        <v>0</v>
      </c>
      <c r="S1731" s="587">
        <f t="shared" si="414"/>
        <v>0</v>
      </c>
      <c r="T1731" s="577">
        <f t="shared" si="417"/>
        <v>0</v>
      </c>
      <c r="U1731" s="578">
        <f t="shared" si="418"/>
        <v>0</v>
      </c>
      <c r="V1731" s="579"/>
      <c r="W1731" s="566"/>
      <c r="X1731" s="586" t="str">
        <f t="shared" si="422"/>
        <v/>
      </c>
      <c r="Y1731" s="586" t="str">
        <f t="shared" si="409"/>
        <v/>
      </c>
      <c r="Z1731" s="586" t="str">
        <f t="shared" si="403"/>
        <v/>
      </c>
    </row>
    <row r="1732" spans="1:26" ht="12" hidden="1" thickBot="1" x14ac:dyDescent="0.25">
      <c r="A1732" s="567">
        <v>606500</v>
      </c>
      <c r="B1732" s="644" t="s">
        <v>1600</v>
      </c>
      <c r="C1732" s="645" t="s">
        <v>206</v>
      </c>
      <c r="D1732" s="416" t="s">
        <v>501</v>
      </c>
      <c r="E1732" s="417"/>
      <c r="F1732" s="418"/>
      <c r="G1732" s="419"/>
      <c r="H1732" s="646"/>
      <c r="I1732" s="420">
        <v>169.87</v>
      </c>
      <c r="J1732" s="420">
        <f t="shared" si="423"/>
        <v>169.87</v>
      </c>
      <c r="K1732" s="421">
        <f t="shared" si="407"/>
        <v>201.82</v>
      </c>
      <c r="L1732" s="647" t="s">
        <v>16</v>
      </c>
      <c r="M1732" s="576"/>
      <c r="N1732" s="576">
        <f t="shared" si="404"/>
        <v>0</v>
      </c>
      <c r="O1732" s="577">
        <f t="shared" si="419"/>
        <v>0</v>
      </c>
      <c r="P1732" s="578">
        <f t="shared" si="420"/>
        <v>0</v>
      </c>
      <c r="Q1732" s="765"/>
      <c r="R1732" s="650">
        <f t="shared" si="414"/>
        <v>0</v>
      </c>
      <c r="S1732" s="587">
        <f t="shared" si="414"/>
        <v>0</v>
      </c>
      <c r="T1732" s="577">
        <f t="shared" si="417"/>
        <v>0</v>
      </c>
      <c r="U1732" s="578">
        <f t="shared" si="418"/>
        <v>0</v>
      </c>
      <c r="V1732" s="579"/>
      <c r="W1732" s="566"/>
      <c r="X1732" s="586" t="str">
        <f t="shared" si="422"/>
        <v/>
      </c>
      <c r="Y1732" s="586" t="str">
        <f t="shared" si="409"/>
        <v/>
      </c>
      <c r="Z1732" s="586" t="str">
        <f t="shared" si="403"/>
        <v/>
      </c>
    </row>
    <row r="1733" spans="1:26" ht="12" hidden="1" thickBot="1" x14ac:dyDescent="0.25">
      <c r="A1733" s="567">
        <v>841000</v>
      </c>
      <c r="B1733" s="644" t="s">
        <v>1593</v>
      </c>
      <c r="C1733" s="645" t="s">
        <v>206</v>
      </c>
      <c r="D1733" s="422" t="s">
        <v>477</v>
      </c>
      <c r="E1733" s="423"/>
      <c r="F1733" s="424">
        <v>0</v>
      </c>
      <c r="G1733" s="425"/>
      <c r="H1733" s="651"/>
      <c r="I1733" s="420">
        <v>11.64</v>
      </c>
      <c r="J1733" s="420">
        <f t="shared" si="423"/>
        <v>11.64</v>
      </c>
      <c r="K1733" s="421">
        <f t="shared" si="407"/>
        <v>13.83</v>
      </c>
      <c r="L1733" s="647" t="s">
        <v>19</v>
      </c>
      <c r="M1733" s="576"/>
      <c r="N1733" s="576">
        <f t="shared" si="404"/>
        <v>0</v>
      </c>
      <c r="O1733" s="577">
        <f t="shared" si="419"/>
        <v>0</v>
      </c>
      <c r="P1733" s="578">
        <f t="shared" si="420"/>
        <v>0</v>
      </c>
      <c r="Q1733" s="765"/>
      <c r="R1733" s="576">
        <f t="shared" si="414"/>
        <v>0</v>
      </c>
      <c r="S1733" s="576">
        <f t="shared" si="414"/>
        <v>0</v>
      </c>
      <c r="T1733" s="577">
        <f t="shared" si="417"/>
        <v>0</v>
      </c>
      <c r="U1733" s="578">
        <f t="shared" si="418"/>
        <v>0</v>
      </c>
      <c r="V1733" s="579"/>
      <c r="W1733" s="566"/>
      <c r="X1733" s="586" t="str">
        <f t="shared" si="422"/>
        <v/>
      </c>
      <c r="Y1733" s="586" t="str">
        <f t="shared" si="409"/>
        <v/>
      </c>
      <c r="Z1733" s="586" t="str">
        <f t="shared" si="403"/>
        <v/>
      </c>
    </row>
    <row r="1734" spans="1:26" ht="12" hidden="1" thickBot="1" x14ac:dyDescent="0.25">
      <c r="A1734" s="567">
        <v>840000</v>
      </c>
      <c r="B1734" s="644" t="s">
        <v>1716</v>
      </c>
      <c r="C1734" s="645" t="s">
        <v>206</v>
      </c>
      <c r="D1734" s="422" t="s">
        <v>279</v>
      </c>
      <c r="E1734" s="423"/>
      <c r="F1734" s="424">
        <v>0</v>
      </c>
      <c r="G1734" s="425"/>
      <c r="H1734" s="651"/>
      <c r="I1734" s="420">
        <v>32.15</v>
      </c>
      <c r="J1734" s="420">
        <f t="shared" si="423"/>
        <v>32.15</v>
      </c>
      <c r="K1734" s="421">
        <f t="shared" si="407"/>
        <v>38.200000000000003</v>
      </c>
      <c r="L1734" s="647" t="s">
        <v>19</v>
      </c>
      <c r="M1734" s="576"/>
      <c r="N1734" s="576">
        <f t="shared" si="404"/>
        <v>0</v>
      </c>
      <c r="O1734" s="577">
        <f t="shared" si="419"/>
        <v>0</v>
      </c>
      <c r="P1734" s="578">
        <f t="shared" si="420"/>
        <v>0</v>
      </c>
      <c r="Q1734" s="765"/>
      <c r="R1734" s="576">
        <f t="shared" si="414"/>
        <v>0</v>
      </c>
      <c r="S1734" s="576">
        <f t="shared" si="414"/>
        <v>0</v>
      </c>
      <c r="T1734" s="577">
        <f t="shared" si="417"/>
        <v>0</v>
      </c>
      <c r="U1734" s="578">
        <f t="shared" si="418"/>
        <v>0</v>
      </c>
      <c r="V1734" s="579"/>
      <c r="W1734" s="566"/>
      <c r="X1734" s="586" t="str">
        <f>IF(W1734="X","x",IF(W1734="xx","x",IF(W1734="xy","x",IF(W1734="y","x",IF(OR(P1734&gt;0,U1734&gt;0),"x","")))))</f>
        <v/>
      </c>
      <c r="Y1734" s="586" t="str">
        <f>IF(W1734="X","x",IF(W1734="y","x",IF(W1734="xx","x",IF(U1734&gt;0,"x",""))))</f>
        <v/>
      </c>
      <c r="Z1734" s="586" t="str">
        <f t="shared" si="403"/>
        <v/>
      </c>
    </row>
    <row r="1735" spans="1:26" ht="12" hidden="1" thickBot="1" x14ac:dyDescent="0.25">
      <c r="A1735" s="567">
        <v>606600</v>
      </c>
      <c r="B1735" s="644" t="s">
        <v>1579</v>
      </c>
      <c r="C1735" s="645" t="s">
        <v>206</v>
      </c>
      <c r="D1735" s="422" t="s">
        <v>200</v>
      </c>
      <c r="E1735" s="423"/>
      <c r="F1735" s="424">
        <v>0</v>
      </c>
      <c r="G1735" s="425"/>
      <c r="H1735" s="651"/>
      <c r="I1735" s="420">
        <v>300.33999999999997</v>
      </c>
      <c r="J1735" s="420">
        <f t="shared" ref="J1735:J1740" si="424">IF(ISBLANK(I1735),"",SUM(H1735:I1735))</f>
        <v>300.33999999999997</v>
      </c>
      <c r="K1735" s="421">
        <f t="shared" si="407"/>
        <v>356.83</v>
      </c>
      <c r="L1735" s="647" t="s">
        <v>16</v>
      </c>
      <c r="M1735" s="576"/>
      <c r="N1735" s="576">
        <f t="shared" si="404"/>
        <v>0</v>
      </c>
      <c r="O1735" s="577">
        <f t="shared" si="419"/>
        <v>0</v>
      </c>
      <c r="P1735" s="578">
        <f t="shared" si="420"/>
        <v>0</v>
      </c>
      <c r="Q1735" s="765"/>
      <c r="R1735" s="576">
        <f t="shared" si="414"/>
        <v>0</v>
      </c>
      <c r="S1735" s="576">
        <f t="shared" si="414"/>
        <v>0</v>
      </c>
      <c r="T1735" s="577">
        <f t="shared" si="417"/>
        <v>0</v>
      </c>
      <c r="U1735" s="578">
        <f t="shared" si="418"/>
        <v>0</v>
      </c>
      <c r="V1735" s="579"/>
      <c r="W1735" s="566"/>
      <c r="X1735" s="586" t="str">
        <f t="shared" si="422"/>
        <v/>
      </c>
      <c r="Y1735" s="586" t="str">
        <f t="shared" si="409"/>
        <v/>
      </c>
      <c r="Z1735" s="586" t="str">
        <f t="shared" si="403"/>
        <v/>
      </c>
    </row>
    <row r="1736" spans="1:26" ht="12" hidden="1" thickBot="1" x14ac:dyDescent="0.25">
      <c r="A1736" s="567">
        <v>606700</v>
      </c>
      <c r="B1736" s="644" t="s">
        <v>1582</v>
      </c>
      <c r="C1736" s="645" t="s">
        <v>206</v>
      </c>
      <c r="D1736" s="422" t="s">
        <v>273</v>
      </c>
      <c r="E1736" s="423"/>
      <c r="F1736" s="424">
        <v>0</v>
      </c>
      <c r="G1736" s="425"/>
      <c r="H1736" s="651"/>
      <c r="I1736" s="420">
        <v>143.94</v>
      </c>
      <c r="J1736" s="420">
        <f t="shared" si="424"/>
        <v>143.94</v>
      </c>
      <c r="K1736" s="421">
        <f t="shared" si="407"/>
        <v>171.02</v>
      </c>
      <c r="L1736" s="647" t="s">
        <v>16</v>
      </c>
      <c r="M1736" s="576"/>
      <c r="N1736" s="576">
        <f t="shared" si="404"/>
        <v>0</v>
      </c>
      <c r="O1736" s="577">
        <f t="shared" si="419"/>
        <v>0</v>
      </c>
      <c r="P1736" s="578">
        <f t="shared" si="420"/>
        <v>0</v>
      </c>
      <c r="Q1736" s="765"/>
      <c r="R1736" s="576">
        <f t="shared" si="414"/>
        <v>0</v>
      </c>
      <c r="S1736" s="576">
        <f t="shared" si="414"/>
        <v>0</v>
      </c>
      <c r="T1736" s="577">
        <f t="shared" si="417"/>
        <v>0</v>
      </c>
      <c r="U1736" s="578">
        <f t="shared" si="418"/>
        <v>0</v>
      </c>
      <c r="V1736" s="579"/>
      <c r="W1736" s="566"/>
      <c r="X1736" s="586" t="str">
        <f t="shared" si="422"/>
        <v/>
      </c>
      <c r="Y1736" s="586" t="str">
        <f t="shared" si="409"/>
        <v/>
      </c>
      <c r="Z1736" s="586" t="str">
        <f t="shared" si="403"/>
        <v/>
      </c>
    </row>
    <row r="1737" spans="1:26" ht="12" hidden="1" thickBot="1" x14ac:dyDescent="0.25">
      <c r="A1737" s="567">
        <v>603700</v>
      </c>
      <c r="B1737" s="644" t="s">
        <v>1644</v>
      </c>
      <c r="C1737" s="645" t="s">
        <v>206</v>
      </c>
      <c r="D1737" s="422" t="s">
        <v>338</v>
      </c>
      <c r="E1737" s="423"/>
      <c r="F1737" s="424">
        <v>20</v>
      </c>
      <c r="G1737" s="425">
        <v>1.8</v>
      </c>
      <c r="H1737" s="663">
        <f t="shared" ref="H1737:H1738" si="425">IF(F1737&lt;=30,(1.07*F1737+2.68)*G1737,((1.07*30+2.68)+1.07*(F1737-30))*G1737)</f>
        <v>43.344000000000001</v>
      </c>
      <c r="I1737" s="420">
        <v>201.64</v>
      </c>
      <c r="J1737" s="420">
        <f t="shared" si="424"/>
        <v>244.98399999999998</v>
      </c>
      <c r="K1737" s="421">
        <f t="shared" si="407"/>
        <v>291.07</v>
      </c>
      <c r="L1737" s="647" t="s">
        <v>16</v>
      </c>
      <c r="M1737" s="576"/>
      <c r="N1737" s="576">
        <f t="shared" si="404"/>
        <v>0</v>
      </c>
      <c r="O1737" s="577">
        <f t="shared" si="419"/>
        <v>0</v>
      </c>
      <c r="P1737" s="578">
        <f t="shared" si="420"/>
        <v>0</v>
      </c>
      <c r="Q1737" s="765"/>
      <c r="R1737" s="576">
        <f t="shared" si="414"/>
        <v>0</v>
      </c>
      <c r="S1737" s="576">
        <f t="shared" si="414"/>
        <v>0</v>
      </c>
      <c r="T1737" s="577">
        <f t="shared" si="417"/>
        <v>0</v>
      </c>
      <c r="U1737" s="578">
        <f t="shared" si="418"/>
        <v>0</v>
      </c>
      <c r="V1737" s="579"/>
      <c r="W1737" s="637"/>
      <c r="X1737" s="586" t="str">
        <f t="shared" si="422"/>
        <v/>
      </c>
      <c r="Y1737" s="586" t="str">
        <f t="shared" si="409"/>
        <v/>
      </c>
      <c r="Z1737" s="586" t="str">
        <f t="shared" si="403"/>
        <v/>
      </c>
    </row>
    <row r="1738" spans="1:26" ht="12" hidden="1" thickBot="1" x14ac:dyDescent="0.25">
      <c r="A1738" s="567">
        <v>603800</v>
      </c>
      <c r="B1738" s="644" t="s">
        <v>1645</v>
      </c>
      <c r="C1738" s="645" t="s">
        <v>206</v>
      </c>
      <c r="D1738" s="422" t="s">
        <v>339</v>
      </c>
      <c r="E1738" s="423"/>
      <c r="F1738" s="424">
        <v>20</v>
      </c>
      <c r="G1738" s="425">
        <v>1.5</v>
      </c>
      <c r="H1738" s="663">
        <f t="shared" si="425"/>
        <v>36.120000000000005</v>
      </c>
      <c r="I1738" s="420">
        <v>119.45</v>
      </c>
      <c r="J1738" s="420">
        <f t="shared" si="424"/>
        <v>155.57</v>
      </c>
      <c r="K1738" s="421">
        <f t="shared" si="407"/>
        <v>184.83</v>
      </c>
      <c r="L1738" s="647" t="s">
        <v>16</v>
      </c>
      <c r="M1738" s="576"/>
      <c r="N1738" s="576">
        <f t="shared" si="404"/>
        <v>0</v>
      </c>
      <c r="O1738" s="577">
        <f t="shared" si="419"/>
        <v>0</v>
      </c>
      <c r="P1738" s="578">
        <f t="shared" si="420"/>
        <v>0</v>
      </c>
      <c r="Q1738" s="765"/>
      <c r="R1738" s="576">
        <f t="shared" si="414"/>
        <v>0</v>
      </c>
      <c r="S1738" s="576">
        <f t="shared" si="414"/>
        <v>0</v>
      </c>
      <c r="T1738" s="577">
        <f t="shared" si="417"/>
        <v>0</v>
      </c>
      <c r="U1738" s="578">
        <f t="shared" si="418"/>
        <v>0</v>
      </c>
      <c r="V1738" s="579"/>
      <c r="W1738" s="566"/>
      <c r="X1738" s="586" t="str">
        <f t="shared" si="422"/>
        <v/>
      </c>
      <c r="Y1738" s="586" t="str">
        <f t="shared" si="409"/>
        <v/>
      </c>
      <c r="Z1738" s="586" t="str">
        <f t="shared" si="403"/>
        <v/>
      </c>
    </row>
    <row r="1739" spans="1:26" ht="12" hidden="1" thickBot="1" x14ac:dyDescent="0.25">
      <c r="A1739" s="567">
        <v>600000</v>
      </c>
      <c r="B1739" s="644" t="s">
        <v>1648</v>
      </c>
      <c r="C1739" s="645" t="s">
        <v>206</v>
      </c>
      <c r="D1739" s="422" t="s">
        <v>322</v>
      </c>
      <c r="E1739" s="423"/>
      <c r="F1739" s="424">
        <v>0</v>
      </c>
      <c r="G1739" s="425">
        <v>0</v>
      </c>
      <c r="H1739" s="651"/>
      <c r="I1739" s="420">
        <v>46.12</v>
      </c>
      <c r="J1739" s="420">
        <f t="shared" si="424"/>
        <v>46.12</v>
      </c>
      <c r="K1739" s="421">
        <f t="shared" si="407"/>
        <v>54.8</v>
      </c>
      <c r="L1739" s="647" t="s">
        <v>16</v>
      </c>
      <c r="M1739" s="576"/>
      <c r="N1739" s="576">
        <f t="shared" si="404"/>
        <v>0</v>
      </c>
      <c r="O1739" s="577">
        <f t="shared" si="419"/>
        <v>0</v>
      </c>
      <c r="P1739" s="578">
        <f t="shared" si="420"/>
        <v>0</v>
      </c>
      <c r="Q1739" s="765"/>
      <c r="R1739" s="576">
        <f t="shared" si="414"/>
        <v>0</v>
      </c>
      <c r="S1739" s="576">
        <f t="shared" si="414"/>
        <v>0</v>
      </c>
      <c r="T1739" s="577">
        <f t="shared" si="417"/>
        <v>0</v>
      </c>
      <c r="U1739" s="578">
        <f t="shared" si="418"/>
        <v>0</v>
      </c>
      <c r="V1739" s="579"/>
      <c r="W1739" s="566"/>
      <c r="X1739" s="586" t="str">
        <f t="shared" si="422"/>
        <v/>
      </c>
      <c r="Y1739" s="586" t="str">
        <f t="shared" si="409"/>
        <v/>
      </c>
      <c r="Z1739" s="586" t="str">
        <f t="shared" si="403"/>
        <v/>
      </c>
    </row>
    <row r="1740" spans="1:26" ht="12" hidden="1" thickBot="1" x14ac:dyDescent="0.25">
      <c r="A1740" s="567">
        <v>602000</v>
      </c>
      <c r="B1740" s="644" t="s">
        <v>2097</v>
      </c>
      <c r="C1740" s="645" t="s">
        <v>206</v>
      </c>
      <c r="D1740" s="422" t="s">
        <v>2092</v>
      </c>
      <c r="E1740" s="423"/>
      <c r="F1740" s="424"/>
      <c r="G1740" s="425"/>
      <c r="H1740" s="651"/>
      <c r="I1740" s="420">
        <v>58.84</v>
      </c>
      <c r="J1740" s="420">
        <f t="shared" si="424"/>
        <v>58.84</v>
      </c>
      <c r="K1740" s="421">
        <f t="shared" si="407"/>
        <v>69.91</v>
      </c>
      <c r="L1740" s="647" t="s">
        <v>18</v>
      </c>
      <c r="M1740" s="576"/>
      <c r="N1740" s="576">
        <f t="shared" si="404"/>
        <v>0</v>
      </c>
      <c r="O1740" s="577">
        <f t="shared" si="419"/>
        <v>0</v>
      </c>
      <c r="P1740" s="578">
        <f t="shared" si="420"/>
        <v>0</v>
      </c>
      <c r="Q1740" s="765"/>
      <c r="R1740" s="576">
        <f t="shared" si="414"/>
        <v>0</v>
      </c>
      <c r="S1740" s="576">
        <f t="shared" si="414"/>
        <v>0</v>
      </c>
      <c r="T1740" s="577">
        <f t="shared" si="417"/>
        <v>0</v>
      </c>
      <c r="U1740" s="578">
        <f t="shared" si="418"/>
        <v>0</v>
      </c>
      <c r="V1740" s="579"/>
      <c r="W1740" s="566"/>
      <c r="X1740" s="586" t="str">
        <f t="shared" si="422"/>
        <v/>
      </c>
      <c r="Y1740" s="586" t="str">
        <f t="shared" si="409"/>
        <v/>
      </c>
      <c r="Z1740" s="586" t="str">
        <f t="shared" si="403"/>
        <v/>
      </c>
    </row>
    <row r="1741" spans="1:26" ht="12" hidden="1" thickBot="1" x14ac:dyDescent="0.25">
      <c r="A1741" s="567">
        <v>600310</v>
      </c>
      <c r="B1741" s="644" t="s">
        <v>1588</v>
      </c>
      <c r="C1741" s="645" t="s">
        <v>206</v>
      </c>
      <c r="D1741" s="416" t="s">
        <v>474</v>
      </c>
      <c r="E1741" s="417"/>
      <c r="F1741" s="418"/>
      <c r="G1741" s="419"/>
      <c r="H1741" s="646"/>
      <c r="I1741" s="420">
        <v>138.22</v>
      </c>
      <c r="J1741" s="420">
        <f t="shared" ref="J1741:J1751" si="426">IF(ISBLANK(I1741),"",SUM(H1741:I1741))</f>
        <v>138.22</v>
      </c>
      <c r="K1741" s="421">
        <f t="shared" si="407"/>
        <v>164.22</v>
      </c>
      <c r="L1741" s="647" t="s">
        <v>21</v>
      </c>
      <c r="M1741" s="576"/>
      <c r="N1741" s="576">
        <f t="shared" si="404"/>
        <v>0</v>
      </c>
      <c r="O1741" s="577">
        <f t="shared" si="419"/>
        <v>0</v>
      </c>
      <c r="P1741" s="578">
        <f t="shared" si="420"/>
        <v>0</v>
      </c>
      <c r="Q1741" s="765"/>
      <c r="R1741" s="576">
        <f t="shared" si="414"/>
        <v>0</v>
      </c>
      <c r="S1741" s="576">
        <f t="shared" si="414"/>
        <v>0</v>
      </c>
      <c r="T1741" s="577">
        <f t="shared" si="417"/>
        <v>0</v>
      </c>
      <c r="U1741" s="578">
        <f t="shared" si="418"/>
        <v>0</v>
      </c>
      <c r="V1741" s="579"/>
      <c r="W1741" s="566"/>
      <c r="X1741" s="586" t="str">
        <f t="shared" si="422"/>
        <v/>
      </c>
      <c r="Y1741" s="586" t="str">
        <f t="shared" si="409"/>
        <v/>
      </c>
      <c r="Z1741" s="586" t="str">
        <f t="shared" si="403"/>
        <v/>
      </c>
    </row>
    <row r="1742" spans="1:26" ht="12" hidden="1" thickBot="1" x14ac:dyDescent="0.25">
      <c r="A1742" s="567">
        <v>633000</v>
      </c>
      <c r="B1742" s="644" t="s">
        <v>1650</v>
      </c>
      <c r="C1742" s="645" t="s">
        <v>206</v>
      </c>
      <c r="D1742" s="416" t="s">
        <v>623</v>
      </c>
      <c r="E1742" s="417"/>
      <c r="F1742" s="418"/>
      <c r="G1742" s="419"/>
      <c r="H1742" s="646"/>
      <c r="I1742" s="420">
        <v>76.88</v>
      </c>
      <c r="J1742" s="420">
        <f>IF(ISBLANK(I1742),"",SUM(H1742:I1742))</f>
        <v>76.88</v>
      </c>
      <c r="K1742" s="421">
        <f t="shared" si="407"/>
        <v>91.34</v>
      </c>
      <c r="L1742" s="647" t="s">
        <v>19</v>
      </c>
      <c r="M1742" s="576"/>
      <c r="N1742" s="576">
        <f t="shared" si="404"/>
        <v>0</v>
      </c>
      <c r="O1742" s="577">
        <f t="shared" si="419"/>
        <v>0</v>
      </c>
      <c r="P1742" s="578">
        <f t="shared" si="420"/>
        <v>0</v>
      </c>
      <c r="Q1742" s="765"/>
      <c r="R1742" s="576">
        <f t="shared" si="414"/>
        <v>0</v>
      </c>
      <c r="S1742" s="576">
        <f t="shared" si="414"/>
        <v>0</v>
      </c>
      <c r="T1742" s="577">
        <f t="shared" si="417"/>
        <v>0</v>
      </c>
      <c r="U1742" s="578">
        <f t="shared" si="418"/>
        <v>0</v>
      </c>
      <c r="V1742" s="579"/>
      <c r="W1742" s="566"/>
      <c r="X1742" s="586" t="str">
        <f t="shared" si="422"/>
        <v/>
      </c>
      <c r="Y1742" s="586" t="str">
        <f t="shared" si="409"/>
        <v/>
      </c>
      <c r="Z1742" s="586" t="str">
        <f t="shared" si="403"/>
        <v/>
      </c>
    </row>
    <row r="1743" spans="1:26" ht="12" hidden="1" thickBot="1" x14ac:dyDescent="0.25">
      <c r="A1743" s="567">
        <v>633100</v>
      </c>
      <c r="B1743" s="644" t="s">
        <v>1652</v>
      </c>
      <c r="C1743" s="645" t="s">
        <v>206</v>
      </c>
      <c r="D1743" s="416" t="s">
        <v>624</v>
      </c>
      <c r="E1743" s="417"/>
      <c r="F1743" s="418"/>
      <c r="G1743" s="419"/>
      <c r="H1743" s="646"/>
      <c r="I1743" s="420">
        <v>153.77000000000001</v>
      </c>
      <c r="J1743" s="420">
        <f>IF(ISBLANK(I1743),"",SUM(H1743:I1743))</f>
        <v>153.77000000000001</v>
      </c>
      <c r="K1743" s="421">
        <f t="shared" si="407"/>
        <v>182.69</v>
      </c>
      <c r="L1743" s="647" t="s">
        <v>19</v>
      </c>
      <c r="M1743" s="576"/>
      <c r="N1743" s="576">
        <f t="shared" si="404"/>
        <v>0</v>
      </c>
      <c r="O1743" s="577">
        <f t="shared" si="419"/>
        <v>0</v>
      </c>
      <c r="P1743" s="578">
        <f t="shared" si="420"/>
        <v>0</v>
      </c>
      <c r="Q1743" s="765"/>
      <c r="R1743" s="576">
        <f t="shared" si="414"/>
        <v>0</v>
      </c>
      <c r="S1743" s="576">
        <f t="shared" si="414"/>
        <v>0</v>
      </c>
      <c r="T1743" s="577">
        <f t="shared" si="417"/>
        <v>0</v>
      </c>
      <c r="U1743" s="578">
        <f t="shared" si="418"/>
        <v>0</v>
      </c>
      <c r="V1743" s="579"/>
      <c r="W1743" s="566"/>
      <c r="X1743" s="586" t="str">
        <f t="shared" si="422"/>
        <v/>
      </c>
      <c r="Y1743" s="586" t="str">
        <f t="shared" si="409"/>
        <v/>
      </c>
      <c r="Z1743" s="586" t="str">
        <f t="shared" si="403"/>
        <v/>
      </c>
    </row>
    <row r="1744" spans="1:26" ht="12" hidden="1" thickBot="1" x14ac:dyDescent="0.25">
      <c r="A1744" s="567">
        <v>633200</v>
      </c>
      <c r="B1744" s="644" t="s">
        <v>1653</v>
      </c>
      <c r="C1744" s="645" t="s">
        <v>206</v>
      </c>
      <c r="D1744" s="416" t="s">
        <v>625</v>
      </c>
      <c r="E1744" s="417"/>
      <c r="F1744" s="418"/>
      <c r="G1744" s="419"/>
      <c r="H1744" s="646"/>
      <c r="I1744" s="420">
        <v>230.65</v>
      </c>
      <c r="J1744" s="420">
        <f>IF(ISBLANK(I1744),"",SUM(H1744:I1744))</f>
        <v>230.65</v>
      </c>
      <c r="K1744" s="421">
        <f t="shared" si="407"/>
        <v>274.04000000000002</v>
      </c>
      <c r="L1744" s="647" t="s">
        <v>19</v>
      </c>
      <c r="M1744" s="576"/>
      <c r="N1744" s="576">
        <f t="shared" si="404"/>
        <v>0</v>
      </c>
      <c r="O1744" s="577">
        <f t="shared" si="419"/>
        <v>0</v>
      </c>
      <c r="P1744" s="578">
        <f t="shared" si="420"/>
        <v>0</v>
      </c>
      <c r="Q1744" s="765"/>
      <c r="R1744" s="576">
        <f t="shared" si="414"/>
        <v>0</v>
      </c>
      <c r="S1744" s="576">
        <f t="shared" si="414"/>
        <v>0</v>
      </c>
      <c r="T1744" s="577">
        <f t="shared" si="417"/>
        <v>0</v>
      </c>
      <c r="U1744" s="578">
        <f t="shared" si="418"/>
        <v>0</v>
      </c>
      <c r="V1744" s="579"/>
      <c r="W1744" s="566"/>
      <c r="X1744" s="586" t="str">
        <f t="shared" si="422"/>
        <v/>
      </c>
      <c r="Y1744" s="586" t="str">
        <f t="shared" si="409"/>
        <v/>
      </c>
      <c r="Z1744" s="586" t="str">
        <f t="shared" si="403"/>
        <v/>
      </c>
    </row>
    <row r="1745" spans="1:26" ht="12" hidden="1" thickBot="1" x14ac:dyDescent="0.25">
      <c r="A1745" s="567">
        <v>800900</v>
      </c>
      <c r="B1745" s="644" t="s">
        <v>1590</v>
      </c>
      <c r="C1745" s="645" t="s">
        <v>206</v>
      </c>
      <c r="D1745" s="416" t="s">
        <v>475</v>
      </c>
      <c r="E1745" s="417"/>
      <c r="F1745" s="418"/>
      <c r="G1745" s="419"/>
      <c r="H1745" s="646"/>
      <c r="I1745" s="420">
        <v>13.34</v>
      </c>
      <c r="J1745" s="420">
        <f t="shared" si="426"/>
        <v>13.34</v>
      </c>
      <c r="K1745" s="421">
        <f t="shared" si="407"/>
        <v>15.85</v>
      </c>
      <c r="L1745" s="647" t="s">
        <v>18</v>
      </c>
      <c r="M1745" s="576"/>
      <c r="N1745" s="576">
        <f t="shared" si="404"/>
        <v>0</v>
      </c>
      <c r="O1745" s="577">
        <f t="shared" si="419"/>
        <v>0</v>
      </c>
      <c r="P1745" s="578">
        <f t="shared" si="420"/>
        <v>0</v>
      </c>
      <c r="Q1745" s="765"/>
      <c r="R1745" s="576">
        <f t="shared" si="414"/>
        <v>0</v>
      </c>
      <c r="S1745" s="576">
        <f t="shared" si="414"/>
        <v>0</v>
      </c>
      <c r="T1745" s="577">
        <f t="shared" si="417"/>
        <v>0</v>
      </c>
      <c r="U1745" s="578">
        <f t="shared" si="418"/>
        <v>0</v>
      </c>
      <c r="V1745" s="579"/>
      <c r="W1745" s="566"/>
      <c r="X1745" s="586" t="str">
        <f t="shared" si="422"/>
        <v/>
      </c>
      <c r="Y1745" s="586" t="str">
        <f t="shared" si="409"/>
        <v/>
      </c>
      <c r="Z1745" s="586" t="str">
        <f t="shared" si="403"/>
        <v/>
      </c>
    </row>
    <row r="1746" spans="1:26" ht="12" hidden="1" thickBot="1" x14ac:dyDescent="0.25">
      <c r="A1746" s="567">
        <v>801100</v>
      </c>
      <c r="B1746" s="644" t="s">
        <v>1591</v>
      </c>
      <c r="C1746" s="645" t="s">
        <v>206</v>
      </c>
      <c r="D1746" s="416" t="s">
        <v>293</v>
      </c>
      <c r="E1746" s="417"/>
      <c r="F1746" s="418"/>
      <c r="G1746" s="419"/>
      <c r="H1746" s="646"/>
      <c r="I1746" s="420">
        <v>19.09</v>
      </c>
      <c r="J1746" s="420">
        <f t="shared" si="426"/>
        <v>19.09</v>
      </c>
      <c r="K1746" s="421">
        <f t="shared" si="407"/>
        <v>22.68</v>
      </c>
      <c r="L1746" s="647" t="s">
        <v>18</v>
      </c>
      <c r="M1746" s="587"/>
      <c r="N1746" s="576">
        <f t="shared" si="404"/>
        <v>0</v>
      </c>
      <c r="O1746" s="577">
        <f t="shared" si="419"/>
        <v>0</v>
      </c>
      <c r="P1746" s="578">
        <f t="shared" si="420"/>
        <v>0</v>
      </c>
      <c r="Q1746" s="765"/>
      <c r="R1746" s="650">
        <f t="shared" si="414"/>
        <v>0</v>
      </c>
      <c r="S1746" s="587">
        <f t="shared" si="414"/>
        <v>0</v>
      </c>
      <c r="T1746" s="577">
        <f t="shared" si="417"/>
        <v>0</v>
      </c>
      <c r="U1746" s="578">
        <f t="shared" si="418"/>
        <v>0</v>
      </c>
      <c r="V1746" s="579"/>
      <c r="W1746" s="566"/>
      <c r="X1746" s="586" t="str">
        <f t="shared" si="422"/>
        <v/>
      </c>
      <c r="Y1746" s="586" t="str">
        <f t="shared" si="409"/>
        <v/>
      </c>
      <c r="Z1746" s="586" t="str">
        <f t="shared" si="403"/>
        <v/>
      </c>
    </row>
    <row r="1747" spans="1:26" ht="12" hidden="1" thickBot="1" x14ac:dyDescent="0.25">
      <c r="A1747" s="567">
        <v>600510</v>
      </c>
      <c r="B1747" s="644" t="s">
        <v>1717</v>
      </c>
      <c r="C1747" s="645" t="s">
        <v>206</v>
      </c>
      <c r="D1747" s="416" t="s">
        <v>476</v>
      </c>
      <c r="E1747" s="417"/>
      <c r="F1747" s="418"/>
      <c r="G1747" s="419"/>
      <c r="H1747" s="646"/>
      <c r="I1747" s="420">
        <v>2.39</v>
      </c>
      <c r="J1747" s="420">
        <f t="shared" si="426"/>
        <v>2.39</v>
      </c>
      <c r="K1747" s="421">
        <f t="shared" si="407"/>
        <v>2.84</v>
      </c>
      <c r="L1747" s="647" t="s">
        <v>19</v>
      </c>
      <c r="M1747" s="587"/>
      <c r="N1747" s="576">
        <f t="shared" si="404"/>
        <v>0</v>
      </c>
      <c r="O1747" s="577">
        <f t="shared" si="419"/>
        <v>0</v>
      </c>
      <c r="P1747" s="578">
        <f t="shared" si="420"/>
        <v>0</v>
      </c>
      <c r="Q1747" s="765"/>
      <c r="R1747" s="650">
        <f t="shared" si="414"/>
        <v>0</v>
      </c>
      <c r="S1747" s="587">
        <f t="shared" si="414"/>
        <v>0</v>
      </c>
      <c r="T1747" s="577">
        <f t="shared" si="417"/>
        <v>0</v>
      </c>
      <c r="U1747" s="578">
        <f t="shared" si="418"/>
        <v>0</v>
      </c>
      <c r="V1747" s="579"/>
      <c r="W1747" s="566"/>
      <c r="X1747" s="586" t="str">
        <f t="shared" si="422"/>
        <v/>
      </c>
      <c r="Y1747" s="586" t="str">
        <f t="shared" si="409"/>
        <v/>
      </c>
      <c r="Z1747" s="586" t="str">
        <f t="shared" ref="Z1747:Z1810" si="427">IF(W1747="X","x",IF(U1747&gt;0,"x",""))</f>
        <v/>
      </c>
    </row>
    <row r="1748" spans="1:26" ht="12" hidden="1" thickBot="1" x14ac:dyDescent="0.25">
      <c r="A1748" s="567">
        <v>521450</v>
      </c>
      <c r="B1748" s="450" t="s">
        <v>1875</v>
      </c>
      <c r="C1748" s="473" t="s">
        <v>206</v>
      </c>
      <c r="D1748" s="422" t="s">
        <v>238</v>
      </c>
      <c r="E1748" s="423"/>
      <c r="F1748" s="424">
        <v>20</v>
      </c>
      <c r="G1748" s="419">
        <v>0.3</v>
      </c>
      <c r="H1748" s="663">
        <f t="shared" ref="H1748" si="428">IF(F1748&lt;=30,(1.07*F1748+2.68)*G1748,((1.07*30+2.68)+1.07*(F1748-30))*G1748)</f>
        <v>7.2240000000000002</v>
      </c>
      <c r="I1748" s="420">
        <v>24.94</v>
      </c>
      <c r="J1748" s="420">
        <f>IF(ISBLANK(I1748),"",SUM(H1748:I1748))</f>
        <v>32.164000000000001</v>
      </c>
      <c r="K1748" s="421">
        <f t="shared" si="407"/>
        <v>38.21</v>
      </c>
      <c r="L1748" s="647" t="s">
        <v>18</v>
      </c>
      <c r="M1748" s="576"/>
      <c r="N1748" s="576">
        <f t="shared" ref="N1748:N1811" si="429">IF(M1748=0,0,K1748)</f>
        <v>0</v>
      </c>
      <c r="O1748" s="577">
        <f t="shared" si="419"/>
        <v>0</v>
      </c>
      <c r="P1748" s="578">
        <f t="shared" si="420"/>
        <v>0</v>
      </c>
      <c r="Q1748" s="765"/>
      <c r="R1748" s="576">
        <f t="shared" si="414"/>
        <v>0</v>
      </c>
      <c r="S1748" s="576">
        <f t="shared" si="414"/>
        <v>0</v>
      </c>
      <c r="T1748" s="577">
        <f t="shared" si="417"/>
        <v>0</v>
      </c>
      <c r="U1748" s="578">
        <f t="shared" si="418"/>
        <v>0</v>
      </c>
      <c r="V1748" s="579"/>
      <c r="W1748" s="566"/>
      <c r="X1748" s="586" t="str">
        <f t="shared" si="422"/>
        <v/>
      </c>
      <c r="Y1748" s="586" t="str">
        <f t="shared" si="409"/>
        <v/>
      </c>
      <c r="Z1748" s="586" t="str">
        <f t="shared" si="427"/>
        <v/>
      </c>
    </row>
    <row r="1749" spans="1:26" ht="12" hidden="1" thickBot="1" x14ac:dyDescent="0.25">
      <c r="A1749" s="567">
        <v>511300</v>
      </c>
      <c r="B1749" s="644" t="s">
        <v>1541</v>
      </c>
      <c r="C1749" s="645" t="s">
        <v>206</v>
      </c>
      <c r="D1749" s="422" t="s">
        <v>202</v>
      </c>
      <c r="E1749" s="423"/>
      <c r="F1749" s="424">
        <v>0</v>
      </c>
      <c r="G1749" s="425">
        <v>0</v>
      </c>
      <c r="H1749" s="651">
        <v>0</v>
      </c>
      <c r="I1749" s="420">
        <v>0.3</v>
      </c>
      <c r="J1749" s="420">
        <f t="shared" si="426"/>
        <v>0.3</v>
      </c>
      <c r="K1749" s="421">
        <f t="shared" si="407"/>
        <v>0.36</v>
      </c>
      <c r="L1749" s="647" t="s">
        <v>18</v>
      </c>
      <c r="M1749" s="576"/>
      <c r="N1749" s="576">
        <f t="shared" si="429"/>
        <v>0</v>
      </c>
      <c r="O1749" s="577">
        <f t="shared" si="419"/>
        <v>0</v>
      </c>
      <c r="P1749" s="578">
        <f t="shared" si="420"/>
        <v>0</v>
      </c>
      <c r="Q1749" s="765"/>
      <c r="R1749" s="576">
        <f t="shared" si="414"/>
        <v>0</v>
      </c>
      <c r="S1749" s="576">
        <f t="shared" si="414"/>
        <v>0</v>
      </c>
      <c r="T1749" s="577">
        <f t="shared" si="417"/>
        <v>0</v>
      </c>
      <c r="U1749" s="578">
        <f t="shared" si="418"/>
        <v>0</v>
      </c>
      <c r="V1749" s="579"/>
      <c r="W1749" s="566"/>
      <c r="X1749" s="586" t="str">
        <f t="shared" si="422"/>
        <v/>
      </c>
      <c r="Y1749" s="586" t="str">
        <f t="shared" si="409"/>
        <v/>
      </c>
      <c r="Z1749" s="586" t="str">
        <f t="shared" si="427"/>
        <v/>
      </c>
    </row>
    <row r="1750" spans="1:26" ht="12" hidden="1" thickBot="1" x14ac:dyDescent="0.25">
      <c r="A1750" s="567">
        <v>521450</v>
      </c>
      <c r="B1750" s="644" t="s">
        <v>1547</v>
      </c>
      <c r="C1750" s="645" t="s">
        <v>206</v>
      </c>
      <c r="D1750" s="422" t="s">
        <v>485</v>
      </c>
      <c r="E1750" s="423"/>
      <c r="F1750" s="424"/>
      <c r="G1750" s="419"/>
      <c r="H1750" s="651"/>
      <c r="I1750" s="420">
        <v>9.42</v>
      </c>
      <c r="J1750" s="420">
        <f t="shared" si="426"/>
        <v>9.42</v>
      </c>
      <c r="K1750" s="421">
        <f t="shared" si="407"/>
        <v>11.19</v>
      </c>
      <c r="L1750" s="647" t="s">
        <v>18</v>
      </c>
      <c r="M1750" s="576"/>
      <c r="N1750" s="576">
        <f t="shared" si="429"/>
        <v>0</v>
      </c>
      <c r="O1750" s="577">
        <f t="shared" si="419"/>
        <v>0</v>
      </c>
      <c r="P1750" s="578">
        <f t="shared" si="420"/>
        <v>0</v>
      </c>
      <c r="Q1750" s="765"/>
      <c r="R1750" s="576">
        <f t="shared" si="414"/>
        <v>0</v>
      </c>
      <c r="S1750" s="576">
        <f t="shared" si="414"/>
        <v>0</v>
      </c>
      <c r="T1750" s="577">
        <f t="shared" si="417"/>
        <v>0</v>
      </c>
      <c r="U1750" s="578">
        <f t="shared" si="418"/>
        <v>0</v>
      </c>
      <c r="V1750" s="579"/>
      <c r="W1750" s="566"/>
      <c r="X1750" s="586" t="str">
        <f t="shared" si="422"/>
        <v/>
      </c>
      <c r="Y1750" s="586" t="str">
        <f t="shared" si="409"/>
        <v/>
      </c>
      <c r="Z1750" s="586" t="str">
        <f t="shared" si="427"/>
        <v/>
      </c>
    </row>
    <row r="1751" spans="1:26" ht="12" hidden="1" thickBot="1" x14ac:dyDescent="0.25">
      <c r="A1751" s="567">
        <v>521450</v>
      </c>
      <c r="B1751" s="644" t="s">
        <v>1548</v>
      </c>
      <c r="C1751" s="645" t="s">
        <v>206</v>
      </c>
      <c r="D1751" s="422" t="s">
        <v>240</v>
      </c>
      <c r="E1751" s="423"/>
      <c r="F1751" s="424"/>
      <c r="G1751" s="419"/>
      <c r="H1751" s="651"/>
      <c r="I1751" s="420">
        <v>13.188000000000001</v>
      </c>
      <c r="J1751" s="420">
        <f t="shared" si="426"/>
        <v>13.188000000000001</v>
      </c>
      <c r="K1751" s="421">
        <f t="shared" si="407"/>
        <v>15.67</v>
      </c>
      <c r="L1751" s="647" t="s">
        <v>18</v>
      </c>
      <c r="M1751" s="576"/>
      <c r="N1751" s="576">
        <f t="shared" si="429"/>
        <v>0</v>
      </c>
      <c r="O1751" s="577">
        <f t="shared" si="419"/>
        <v>0</v>
      </c>
      <c r="P1751" s="578">
        <f t="shared" si="420"/>
        <v>0</v>
      </c>
      <c r="Q1751" s="765"/>
      <c r="R1751" s="576">
        <f t="shared" si="414"/>
        <v>0</v>
      </c>
      <c r="S1751" s="576">
        <f t="shared" si="414"/>
        <v>0</v>
      </c>
      <c r="T1751" s="577">
        <f t="shared" si="417"/>
        <v>0</v>
      </c>
      <c r="U1751" s="578">
        <f t="shared" si="418"/>
        <v>0</v>
      </c>
      <c r="V1751" s="579"/>
      <c r="W1751" s="566"/>
      <c r="X1751" s="586" t="str">
        <f t="shared" si="422"/>
        <v/>
      </c>
      <c r="Y1751" s="586" t="str">
        <f t="shared" si="409"/>
        <v/>
      </c>
      <c r="Z1751" s="586" t="str">
        <f t="shared" si="427"/>
        <v/>
      </c>
    </row>
    <row r="1752" spans="1:26" ht="12" hidden="1" thickBot="1" x14ac:dyDescent="0.25">
      <c r="A1752" s="652" t="s">
        <v>187</v>
      </c>
      <c r="B1752" s="653" t="s">
        <v>187</v>
      </c>
      <c r="C1752" s="654"/>
      <c r="D1752" s="427" t="s">
        <v>593</v>
      </c>
      <c r="E1752" s="491"/>
      <c r="F1752" s="655"/>
      <c r="G1752" s="656"/>
      <c r="H1752" s="657"/>
      <c r="I1752" s="429"/>
      <c r="J1752" s="429"/>
      <c r="K1752" s="429"/>
      <c r="L1752" s="429" t="s">
        <v>614</v>
      </c>
      <c r="M1752" s="657"/>
      <c r="N1752" s="576">
        <f t="shared" si="429"/>
        <v>0</v>
      </c>
      <c r="O1752" s="429">
        <f t="shared" si="419"/>
        <v>0</v>
      </c>
      <c r="P1752" s="658">
        <f t="shared" si="420"/>
        <v>0</v>
      </c>
      <c r="Q1752" s="765"/>
      <c r="R1752" s="657"/>
      <c r="S1752" s="429"/>
      <c r="T1752" s="429">
        <f t="shared" si="417"/>
        <v>0</v>
      </c>
      <c r="U1752" s="658">
        <f t="shared" si="418"/>
        <v>0</v>
      </c>
      <c r="V1752" s="579"/>
      <c r="W1752" s="637" t="str">
        <f>IF(OR(SUM(P1753:P1784)&gt;0,SUM(U1753:U1784)&gt;0),"y","")</f>
        <v/>
      </c>
      <c r="X1752" s="586" t="str">
        <f t="shared" si="422"/>
        <v/>
      </c>
      <c r="Y1752" s="586" t="str">
        <f t="shared" si="409"/>
        <v/>
      </c>
      <c r="Z1752" s="586" t="str">
        <f t="shared" si="427"/>
        <v/>
      </c>
    </row>
    <row r="1753" spans="1:26" ht="12" hidden="1" thickBot="1" x14ac:dyDescent="0.25">
      <c r="A1753" s="652" t="s">
        <v>187</v>
      </c>
      <c r="B1753" s="572" t="s">
        <v>187</v>
      </c>
      <c r="C1753" s="573" t="s">
        <v>187</v>
      </c>
      <c r="D1753" s="574"/>
      <c r="E1753" s="575"/>
      <c r="F1753" s="436"/>
      <c r="G1753" s="431"/>
      <c r="H1753" s="430"/>
      <c r="I1753" s="432"/>
      <c r="J1753" s="433"/>
      <c r="K1753" s="434">
        <f t="shared" ref="K1753:K1784" si="430">IF(ISBLANK(J1753),0,ROUND(J1753*(1+$F$10)*(1+$F$11*E1753),2))</f>
        <v>0</v>
      </c>
      <c r="L1753" s="435" t="s">
        <v>614</v>
      </c>
      <c r="M1753" s="587"/>
      <c r="N1753" s="576">
        <f t="shared" si="429"/>
        <v>0</v>
      </c>
      <c r="O1753" s="577">
        <f t="shared" si="419"/>
        <v>0</v>
      </c>
      <c r="P1753" s="578">
        <f t="shared" si="420"/>
        <v>0</v>
      </c>
      <c r="Q1753" s="765"/>
      <c r="R1753" s="650">
        <f t="shared" si="414"/>
        <v>0</v>
      </c>
      <c r="S1753" s="587">
        <f t="shared" si="414"/>
        <v>0</v>
      </c>
      <c r="T1753" s="577">
        <f t="shared" si="417"/>
        <v>0</v>
      </c>
      <c r="U1753" s="578">
        <f t="shared" si="418"/>
        <v>0</v>
      </c>
      <c r="V1753" s="579"/>
      <c r="W1753" s="566"/>
      <c r="X1753" s="586" t="str">
        <f t="shared" si="422"/>
        <v/>
      </c>
      <c r="Y1753" s="586" t="str">
        <f t="shared" si="409"/>
        <v/>
      </c>
      <c r="Z1753" s="586" t="str">
        <f t="shared" si="427"/>
        <v/>
      </c>
    </row>
    <row r="1754" spans="1:26" ht="12" hidden="1" thickBot="1" x14ac:dyDescent="0.25">
      <c r="A1754" s="652" t="s">
        <v>187</v>
      </c>
      <c r="B1754" s="572" t="s">
        <v>187</v>
      </c>
      <c r="C1754" s="573" t="s">
        <v>187</v>
      </c>
      <c r="D1754" s="580"/>
      <c r="E1754" s="575"/>
      <c r="F1754" s="436"/>
      <c r="G1754" s="431"/>
      <c r="H1754" s="430"/>
      <c r="I1754" s="432"/>
      <c r="J1754" s="433"/>
      <c r="K1754" s="437">
        <f t="shared" si="430"/>
        <v>0</v>
      </c>
      <c r="L1754" s="435" t="s">
        <v>614</v>
      </c>
      <c r="M1754" s="576"/>
      <c r="N1754" s="576">
        <f t="shared" si="429"/>
        <v>0</v>
      </c>
      <c r="O1754" s="577">
        <f t="shared" si="419"/>
        <v>0</v>
      </c>
      <c r="P1754" s="578">
        <f t="shared" si="420"/>
        <v>0</v>
      </c>
      <c r="Q1754" s="765"/>
      <c r="R1754" s="576">
        <f t="shared" si="414"/>
        <v>0</v>
      </c>
      <c r="S1754" s="576">
        <f t="shared" si="414"/>
        <v>0</v>
      </c>
      <c r="T1754" s="577">
        <f t="shared" si="417"/>
        <v>0</v>
      </c>
      <c r="U1754" s="659">
        <f t="shared" si="418"/>
        <v>0</v>
      </c>
      <c r="V1754" s="579"/>
      <c r="W1754" s="566"/>
      <c r="X1754" s="586" t="str">
        <f t="shared" si="422"/>
        <v/>
      </c>
      <c r="Y1754" s="586" t="str">
        <f t="shared" si="409"/>
        <v/>
      </c>
      <c r="Z1754" s="586" t="str">
        <f t="shared" si="427"/>
        <v/>
      </c>
    </row>
    <row r="1755" spans="1:26" ht="12" hidden="1" thickBot="1" x14ac:dyDescent="0.25">
      <c r="A1755" s="652" t="s">
        <v>187</v>
      </c>
      <c r="B1755" s="572" t="s">
        <v>187</v>
      </c>
      <c r="C1755" s="573" t="s">
        <v>187</v>
      </c>
      <c r="D1755" s="580"/>
      <c r="E1755" s="575"/>
      <c r="F1755" s="436"/>
      <c r="G1755" s="431"/>
      <c r="H1755" s="430"/>
      <c r="I1755" s="432"/>
      <c r="J1755" s="433"/>
      <c r="K1755" s="437">
        <f t="shared" si="430"/>
        <v>0</v>
      </c>
      <c r="L1755" s="435" t="s">
        <v>614</v>
      </c>
      <c r="M1755" s="576"/>
      <c r="N1755" s="576">
        <f t="shared" si="429"/>
        <v>0</v>
      </c>
      <c r="O1755" s="577">
        <f t="shared" si="419"/>
        <v>0</v>
      </c>
      <c r="P1755" s="578">
        <f t="shared" si="420"/>
        <v>0</v>
      </c>
      <c r="Q1755" s="765"/>
      <c r="R1755" s="576">
        <f t="shared" si="414"/>
        <v>0</v>
      </c>
      <c r="S1755" s="576">
        <f t="shared" si="414"/>
        <v>0</v>
      </c>
      <c r="T1755" s="577">
        <f t="shared" si="417"/>
        <v>0</v>
      </c>
      <c r="U1755" s="578">
        <f t="shared" si="418"/>
        <v>0</v>
      </c>
      <c r="V1755" s="579"/>
      <c r="W1755" s="566"/>
      <c r="X1755" s="586" t="str">
        <f t="shared" si="422"/>
        <v/>
      </c>
      <c r="Y1755" s="586" t="str">
        <f t="shared" si="409"/>
        <v/>
      </c>
      <c r="Z1755" s="586" t="str">
        <f t="shared" si="427"/>
        <v/>
      </c>
    </row>
    <row r="1756" spans="1:26" ht="12" hidden="1" thickBot="1" x14ac:dyDescent="0.25">
      <c r="A1756" s="652" t="s">
        <v>187</v>
      </c>
      <c r="B1756" s="572" t="s">
        <v>187</v>
      </c>
      <c r="C1756" s="573" t="s">
        <v>187</v>
      </c>
      <c r="D1756" s="580"/>
      <c r="E1756" s="575"/>
      <c r="F1756" s="436"/>
      <c r="G1756" s="431"/>
      <c r="H1756" s="430"/>
      <c r="I1756" s="432"/>
      <c r="J1756" s="433"/>
      <c r="K1756" s="437">
        <f t="shared" si="430"/>
        <v>0</v>
      </c>
      <c r="L1756" s="435" t="s">
        <v>614</v>
      </c>
      <c r="M1756" s="576"/>
      <c r="N1756" s="576">
        <f t="shared" si="429"/>
        <v>0</v>
      </c>
      <c r="O1756" s="577">
        <f t="shared" si="419"/>
        <v>0</v>
      </c>
      <c r="P1756" s="578">
        <f t="shared" si="420"/>
        <v>0</v>
      </c>
      <c r="Q1756" s="765"/>
      <c r="R1756" s="576">
        <f t="shared" si="414"/>
        <v>0</v>
      </c>
      <c r="S1756" s="576">
        <f t="shared" si="414"/>
        <v>0</v>
      </c>
      <c r="T1756" s="577">
        <f t="shared" si="417"/>
        <v>0</v>
      </c>
      <c r="U1756" s="578">
        <f t="shared" si="418"/>
        <v>0</v>
      </c>
      <c r="V1756" s="579"/>
      <c r="W1756" s="566"/>
      <c r="X1756" s="586" t="str">
        <f t="shared" si="422"/>
        <v/>
      </c>
      <c r="Y1756" s="586" t="str">
        <f t="shared" si="409"/>
        <v/>
      </c>
      <c r="Z1756" s="586" t="str">
        <f t="shared" si="427"/>
        <v/>
      </c>
    </row>
    <row r="1757" spans="1:26" ht="12" hidden="1" thickBot="1" x14ac:dyDescent="0.25">
      <c r="A1757" s="652" t="s">
        <v>187</v>
      </c>
      <c r="B1757" s="572" t="s">
        <v>187</v>
      </c>
      <c r="C1757" s="573" t="s">
        <v>187</v>
      </c>
      <c r="D1757" s="580"/>
      <c r="E1757" s="575"/>
      <c r="F1757" s="436"/>
      <c r="G1757" s="431"/>
      <c r="H1757" s="430"/>
      <c r="I1757" s="432"/>
      <c r="J1757" s="433"/>
      <c r="K1757" s="437">
        <f t="shared" si="430"/>
        <v>0</v>
      </c>
      <c r="L1757" s="435" t="s">
        <v>614</v>
      </c>
      <c r="M1757" s="576"/>
      <c r="N1757" s="576">
        <f t="shared" si="429"/>
        <v>0</v>
      </c>
      <c r="O1757" s="577">
        <f t="shared" si="419"/>
        <v>0</v>
      </c>
      <c r="P1757" s="578">
        <f t="shared" si="420"/>
        <v>0</v>
      </c>
      <c r="Q1757" s="765"/>
      <c r="R1757" s="576">
        <f t="shared" si="414"/>
        <v>0</v>
      </c>
      <c r="S1757" s="576">
        <f t="shared" si="414"/>
        <v>0</v>
      </c>
      <c r="T1757" s="577">
        <f t="shared" si="417"/>
        <v>0</v>
      </c>
      <c r="U1757" s="578">
        <f t="shared" si="418"/>
        <v>0</v>
      </c>
      <c r="V1757" s="579"/>
      <c r="W1757" s="566"/>
      <c r="X1757" s="586" t="str">
        <f t="shared" si="422"/>
        <v/>
      </c>
      <c r="Y1757" s="586" t="str">
        <f t="shared" si="409"/>
        <v/>
      </c>
      <c r="Z1757" s="586" t="str">
        <f t="shared" si="427"/>
        <v/>
      </c>
    </row>
    <row r="1758" spans="1:26" ht="12" hidden="1" thickBot="1" x14ac:dyDescent="0.25">
      <c r="A1758" s="652" t="s">
        <v>187</v>
      </c>
      <c r="B1758" s="572" t="s">
        <v>187</v>
      </c>
      <c r="C1758" s="573" t="s">
        <v>187</v>
      </c>
      <c r="D1758" s="580"/>
      <c r="E1758" s="575"/>
      <c r="F1758" s="436"/>
      <c r="G1758" s="431"/>
      <c r="H1758" s="430"/>
      <c r="I1758" s="432"/>
      <c r="J1758" s="433"/>
      <c r="K1758" s="437">
        <f t="shared" si="430"/>
        <v>0</v>
      </c>
      <c r="L1758" s="435" t="s">
        <v>614</v>
      </c>
      <c r="M1758" s="576"/>
      <c r="N1758" s="576">
        <f t="shared" si="429"/>
        <v>0</v>
      </c>
      <c r="O1758" s="577">
        <f t="shared" si="419"/>
        <v>0</v>
      </c>
      <c r="P1758" s="578">
        <f t="shared" si="420"/>
        <v>0</v>
      </c>
      <c r="Q1758" s="765"/>
      <c r="R1758" s="576">
        <f t="shared" si="414"/>
        <v>0</v>
      </c>
      <c r="S1758" s="576">
        <f t="shared" si="414"/>
        <v>0</v>
      </c>
      <c r="T1758" s="577">
        <f t="shared" si="417"/>
        <v>0</v>
      </c>
      <c r="U1758" s="578">
        <f t="shared" si="418"/>
        <v>0</v>
      </c>
      <c r="V1758" s="579"/>
      <c r="W1758" s="566"/>
      <c r="X1758" s="586" t="str">
        <f t="shared" si="422"/>
        <v/>
      </c>
      <c r="Y1758" s="586" t="str">
        <f t="shared" si="409"/>
        <v/>
      </c>
      <c r="Z1758" s="586" t="str">
        <f t="shared" si="427"/>
        <v/>
      </c>
    </row>
    <row r="1759" spans="1:26" ht="12" hidden="1" thickBot="1" x14ac:dyDescent="0.25">
      <c r="A1759" s="652" t="s">
        <v>187</v>
      </c>
      <c r="B1759" s="572" t="s">
        <v>187</v>
      </c>
      <c r="C1759" s="573" t="s">
        <v>187</v>
      </c>
      <c r="D1759" s="580"/>
      <c r="E1759" s="575"/>
      <c r="F1759" s="436"/>
      <c r="G1759" s="431"/>
      <c r="H1759" s="430"/>
      <c r="I1759" s="432"/>
      <c r="J1759" s="433"/>
      <c r="K1759" s="437">
        <f t="shared" si="430"/>
        <v>0</v>
      </c>
      <c r="L1759" s="435" t="s">
        <v>614</v>
      </c>
      <c r="M1759" s="576"/>
      <c r="N1759" s="576">
        <f t="shared" si="429"/>
        <v>0</v>
      </c>
      <c r="O1759" s="577">
        <f t="shared" si="419"/>
        <v>0</v>
      </c>
      <c r="P1759" s="578">
        <f t="shared" si="420"/>
        <v>0</v>
      </c>
      <c r="Q1759" s="765"/>
      <c r="R1759" s="576">
        <f t="shared" si="414"/>
        <v>0</v>
      </c>
      <c r="S1759" s="576">
        <f t="shared" si="414"/>
        <v>0</v>
      </c>
      <c r="T1759" s="577">
        <f t="shared" si="417"/>
        <v>0</v>
      </c>
      <c r="U1759" s="578">
        <f t="shared" si="418"/>
        <v>0</v>
      </c>
      <c r="V1759" s="579"/>
      <c r="W1759" s="566"/>
      <c r="X1759" s="586" t="str">
        <f t="shared" si="422"/>
        <v/>
      </c>
      <c r="Y1759" s="586" t="str">
        <f t="shared" si="409"/>
        <v/>
      </c>
      <c r="Z1759" s="586" t="str">
        <f t="shared" si="427"/>
        <v/>
      </c>
    </row>
    <row r="1760" spans="1:26" ht="12" hidden="1" thickBot="1" x14ac:dyDescent="0.25">
      <c r="A1760" s="652" t="s">
        <v>187</v>
      </c>
      <c r="B1760" s="572" t="s">
        <v>187</v>
      </c>
      <c r="C1760" s="573" t="s">
        <v>187</v>
      </c>
      <c r="D1760" s="580"/>
      <c r="E1760" s="575"/>
      <c r="F1760" s="436"/>
      <c r="G1760" s="431"/>
      <c r="H1760" s="430"/>
      <c r="I1760" s="432"/>
      <c r="J1760" s="433"/>
      <c r="K1760" s="437">
        <f t="shared" si="430"/>
        <v>0</v>
      </c>
      <c r="L1760" s="435" t="s">
        <v>614</v>
      </c>
      <c r="M1760" s="576"/>
      <c r="N1760" s="576">
        <f t="shared" si="429"/>
        <v>0</v>
      </c>
      <c r="O1760" s="577">
        <f t="shared" si="419"/>
        <v>0</v>
      </c>
      <c r="P1760" s="578">
        <f t="shared" si="420"/>
        <v>0</v>
      </c>
      <c r="Q1760" s="765"/>
      <c r="R1760" s="576">
        <f t="shared" si="414"/>
        <v>0</v>
      </c>
      <c r="S1760" s="576">
        <f t="shared" si="414"/>
        <v>0</v>
      </c>
      <c r="T1760" s="577">
        <f t="shared" si="417"/>
        <v>0</v>
      </c>
      <c r="U1760" s="578">
        <f t="shared" si="418"/>
        <v>0</v>
      </c>
      <c r="V1760" s="579"/>
      <c r="W1760" s="566"/>
      <c r="X1760" s="586" t="str">
        <f t="shared" si="422"/>
        <v/>
      </c>
      <c r="Y1760" s="586" t="str">
        <f t="shared" si="409"/>
        <v/>
      </c>
      <c r="Z1760" s="586" t="str">
        <f t="shared" si="427"/>
        <v/>
      </c>
    </row>
    <row r="1761" spans="1:26" ht="12" hidden="1" thickBot="1" x14ac:dyDescent="0.25">
      <c r="A1761" s="652" t="s">
        <v>187</v>
      </c>
      <c r="B1761" s="572" t="s">
        <v>187</v>
      </c>
      <c r="C1761" s="573" t="s">
        <v>187</v>
      </c>
      <c r="D1761" s="580"/>
      <c r="E1761" s="575"/>
      <c r="F1761" s="436"/>
      <c r="G1761" s="431"/>
      <c r="H1761" s="430"/>
      <c r="I1761" s="432"/>
      <c r="J1761" s="433"/>
      <c r="K1761" s="437">
        <f t="shared" si="430"/>
        <v>0</v>
      </c>
      <c r="L1761" s="435" t="s">
        <v>614</v>
      </c>
      <c r="M1761" s="576"/>
      <c r="N1761" s="576">
        <f t="shared" si="429"/>
        <v>0</v>
      </c>
      <c r="O1761" s="577">
        <f t="shared" si="419"/>
        <v>0</v>
      </c>
      <c r="P1761" s="578">
        <f t="shared" si="420"/>
        <v>0</v>
      </c>
      <c r="Q1761" s="765"/>
      <c r="R1761" s="576">
        <f t="shared" si="414"/>
        <v>0</v>
      </c>
      <c r="S1761" s="576">
        <f t="shared" si="414"/>
        <v>0</v>
      </c>
      <c r="T1761" s="577">
        <f t="shared" si="417"/>
        <v>0</v>
      </c>
      <c r="U1761" s="578">
        <f t="shared" si="418"/>
        <v>0</v>
      </c>
      <c r="V1761" s="579"/>
      <c r="W1761" s="566"/>
      <c r="X1761" s="586" t="str">
        <f t="shared" si="422"/>
        <v/>
      </c>
      <c r="Y1761" s="586" t="str">
        <f t="shared" si="409"/>
        <v/>
      </c>
      <c r="Z1761" s="586" t="str">
        <f t="shared" si="427"/>
        <v/>
      </c>
    </row>
    <row r="1762" spans="1:26" ht="12" hidden="1" thickBot="1" x14ac:dyDescent="0.25">
      <c r="A1762" s="652" t="s">
        <v>187</v>
      </c>
      <c r="B1762" s="572" t="s">
        <v>187</v>
      </c>
      <c r="C1762" s="573" t="s">
        <v>187</v>
      </c>
      <c r="D1762" s="580"/>
      <c r="E1762" s="575"/>
      <c r="F1762" s="436"/>
      <c r="G1762" s="431"/>
      <c r="H1762" s="430"/>
      <c r="I1762" s="432"/>
      <c r="J1762" s="433"/>
      <c r="K1762" s="437">
        <f t="shared" si="430"/>
        <v>0</v>
      </c>
      <c r="L1762" s="435" t="s">
        <v>614</v>
      </c>
      <c r="M1762" s="576"/>
      <c r="N1762" s="576">
        <f t="shared" si="429"/>
        <v>0</v>
      </c>
      <c r="O1762" s="577">
        <f t="shared" si="419"/>
        <v>0</v>
      </c>
      <c r="P1762" s="578">
        <f t="shared" si="420"/>
        <v>0</v>
      </c>
      <c r="Q1762" s="765"/>
      <c r="R1762" s="576">
        <f t="shared" si="414"/>
        <v>0</v>
      </c>
      <c r="S1762" s="576">
        <f t="shared" si="414"/>
        <v>0</v>
      </c>
      <c r="T1762" s="577">
        <f t="shared" si="417"/>
        <v>0</v>
      </c>
      <c r="U1762" s="578">
        <f t="shared" si="418"/>
        <v>0</v>
      </c>
      <c r="V1762" s="579"/>
      <c r="W1762" s="566"/>
      <c r="X1762" s="586" t="str">
        <f t="shared" si="422"/>
        <v/>
      </c>
      <c r="Y1762" s="586" t="str">
        <f t="shared" si="409"/>
        <v/>
      </c>
      <c r="Z1762" s="586" t="str">
        <f t="shared" si="427"/>
        <v/>
      </c>
    </row>
    <row r="1763" spans="1:26" ht="12" hidden="1" thickBot="1" x14ac:dyDescent="0.25">
      <c r="A1763" s="652" t="s">
        <v>187</v>
      </c>
      <c r="B1763" s="572" t="s">
        <v>187</v>
      </c>
      <c r="C1763" s="573" t="s">
        <v>187</v>
      </c>
      <c r="D1763" s="580"/>
      <c r="E1763" s="575"/>
      <c r="F1763" s="436"/>
      <c r="G1763" s="431"/>
      <c r="H1763" s="430"/>
      <c r="I1763" s="432"/>
      <c r="J1763" s="433"/>
      <c r="K1763" s="437">
        <f t="shared" si="430"/>
        <v>0</v>
      </c>
      <c r="L1763" s="435" t="s">
        <v>614</v>
      </c>
      <c r="M1763" s="576"/>
      <c r="N1763" s="576">
        <f t="shared" si="429"/>
        <v>0</v>
      </c>
      <c r="O1763" s="577">
        <f t="shared" si="419"/>
        <v>0</v>
      </c>
      <c r="P1763" s="578">
        <f t="shared" si="420"/>
        <v>0</v>
      </c>
      <c r="Q1763" s="765"/>
      <c r="R1763" s="576">
        <f t="shared" si="414"/>
        <v>0</v>
      </c>
      <c r="S1763" s="576">
        <f t="shared" si="414"/>
        <v>0</v>
      </c>
      <c r="T1763" s="577">
        <f t="shared" si="417"/>
        <v>0</v>
      </c>
      <c r="U1763" s="578">
        <f t="shared" si="418"/>
        <v>0</v>
      </c>
      <c r="V1763" s="579"/>
      <c r="W1763" s="566"/>
      <c r="X1763" s="586" t="str">
        <f t="shared" si="422"/>
        <v/>
      </c>
      <c r="Y1763" s="586" t="str">
        <f t="shared" si="409"/>
        <v/>
      </c>
      <c r="Z1763" s="586" t="str">
        <f t="shared" si="427"/>
        <v/>
      </c>
    </row>
    <row r="1764" spans="1:26" ht="12" hidden="1" thickBot="1" x14ac:dyDescent="0.25">
      <c r="A1764" s="652" t="s">
        <v>187</v>
      </c>
      <c r="B1764" s="572" t="s">
        <v>187</v>
      </c>
      <c r="C1764" s="573" t="s">
        <v>187</v>
      </c>
      <c r="D1764" s="580"/>
      <c r="E1764" s="575"/>
      <c r="F1764" s="436"/>
      <c r="G1764" s="431"/>
      <c r="H1764" s="430"/>
      <c r="I1764" s="432"/>
      <c r="J1764" s="433"/>
      <c r="K1764" s="437">
        <f t="shared" si="430"/>
        <v>0</v>
      </c>
      <c r="L1764" s="435" t="s">
        <v>614</v>
      </c>
      <c r="M1764" s="576"/>
      <c r="N1764" s="576">
        <f t="shared" si="429"/>
        <v>0</v>
      </c>
      <c r="O1764" s="577">
        <f t="shared" si="419"/>
        <v>0</v>
      </c>
      <c r="P1764" s="578">
        <f t="shared" si="420"/>
        <v>0</v>
      </c>
      <c r="Q1764" s="765"/>
      <c r="R1764" s="576">
        <f t="shared" si="414"/>
        <v>0</v>
      </c>
      <c r="S1764" s="576">
        <f t="shared" si="414"/>
        <v>0</v>
      </c>
      <c r="T1764" s="577">
        <f t="shared" si="417"/>
        <v>0</v>
      </c>
      <c r="U1764" s="578">
        <f t="shared" si="418"/>
        <v>0</v>
      </c>
      <c r="V1764" s="579"/>
      <c r="W1764" s="566"/>
      <c r="X1764" s="586" t="str">
        <f t="shared" si="422"/>
        <v/>
      </c>
      <c r="Y1764" s="586" t="str">
        <f t="shared" si="409"/>
        <v/>
      </c>
      <c r="Z1764" s="586" t="str">
        <f t="shared" si="427"/>
        <v/>
      </c>
    </row>
    <row r="1765" spans="1:26" ht="12" hidden="1" thickBot="1" x14ac:dyDescent="0.25">
      <c r="A1765" s="652" t="s">
        <v>187</v>
      </c>
      <c r="B1765" s="572" t="s">
        <v>187</v>
      </c>
      <c r="C1765" s="573" t="s">
        <v>187</v>
      </c>
      <c r="D1765" s="580"/>
      <c r="E1765" s="575"/>
      <c r="F1765" s="436"/>
      <c r="G1765" s="431"/>
      <c r="H1765" s="430"/>
      <c r="I1765" s="432"/>
      <c r="J1765" s="433"/>
      <c r="K1765" s="437">
        <f t="shared" si="430"/>
        <v>0</v>
      </c>
      <c r="L1765" s="435" t="s">
        <v>614</v>
      </c>
      <c r="M1765" s="576"/>
      <c r="N1765" s="576">
        <f t="shared" si="429"/>
        <v>0</v>
      </c>
      <c r="O1765" s="577">
        <f t="shared" si="419"/>
        <v>0</v>
      </c>
      <c r="P1765" s="578">
        <f t="shared" si="420"/>
        <v>0</v>
      </c>
      <c r="Q1765" s="765"/>
      <c r="R1765" s="576">
        <f t="shared" si="414"/>
        <v>0</v>
      </c>
      <c r="S1765" s="576">
        <f t="shared" si="414"/>
        <v>0</v>
      </c>
      <c r="T1765" s="577">
        <f t="shared" si="417"/>
        <v>0</v>
      </c>
      <c r="U1765" s="578">
        <f t="shared" si="418"/>
        <v>0</v>
      </c>
      <c r="V1765" s="579"/>
      <c r="W1765" s="566"/>
      <c r="X1765" s="586" t="str">
        <f t="shared" si="422"/>
        <v/>
      </c>
      <c r="Y1765" s="586" t="str">
        <f t="shared" ref="Y1765:Y2051" si="431">IF(W1765="X","x",IF(W1765="y","x",IF(W1765="xx","x",IF(U1765&gt;0,"x",""))))</f>
        <v/>
      </c>
      <c r="Z1765" s="586" t="str">
        <f t="shared" si="427"/>
        <v/>
      </c>
    </row>
    <row r="1766" spans="1:26" ht="12" hidden="1" thickBot="1" x14ac:dyDescent="0.25">
      <c r="A1766" s="652" t="s">
        <v>187</v>
      </c>
      <c r="B1766" s="572" t="s">
        <v>187</v>
      </c>
      <c r="C1766" s="573" t="s">
        <v>187</v>
      </c>
      <c r="D1766" s="580"/>
      <c r="E1766" s="575"/>
      <c r="F1766" s="436"/>
      <c r="G1766" s="431"/>
      <c r="H1766" s="430"/>
      <c r="I1766" s="432"/>
      <c r="J1766" s="433"/>
      <c r="K1766" s="437">
        <f t="shared" si="430"/>
        <v>0</v>
      </c>
      <c r="L1766" s="435" t="s">
        <v>614</v>
      </c>
      <c r="M1766" s="576"/>
      <c r="N1766" s="576">
        <f t="shared" si="429"/>
        <v>0</v>
      </c>
      <c r="O1766" s="577">
        <f t="shared" si="419"/>
        <v>0</v>
      </c>
      <c r="P1766" s="578">
        <f t="shared" si="420"/>
        <v>0</v>
      </c>
      <c r="Q1766" s="765"/>
      <c r="R1766" s="576">
        <f t="shared" si="414"/>
        <v>0</v>
      </c>
      <c r="S1766" s="576">
        <f t="shared" si="414"/>
        <v>0</v>
      </c>
      <c r="T1766" s="577">
        <f t="shared" si="417"/>
        <v>0</v>
      </c>
      <c r="U1766" s="578">
        <f t="shared" si="418"/>
        <v>0</v>
      </c>
      <c r="V1766" s="579"/>
      <c r="W1766" s="566"/>
      <c r="X1766" s="586" t="str">
        <f t="shared" si="422"/>
        <v/>
      </c>
      <c r="Y1766" s="586" t="str">
        <f t="shared" si="431"/>
        <v/>
      </c>
      <c r="Z1766" s="586" t="str">
        <f t="shared" si="427"/>
        <v/>
      </c>
    </row>
    <row r="1767" spans="1:26" ht="12" hidden="1" thickBot="1" x14ac:dyDescent="0.25">
      <c r="A1767" s="652" t="s">
        <v>187</v>
      </c>
      <c r="B1767" s="572" t="s">
        <v>187</v>
      </c>
      <c r="C1767" s="573" t="s">
        <v>187</v>
      </c>
      <c r="D1767" s="580"/>
      <c r="E1767" s="575"/>
      <c r="F1767" s="436"/>
      <c r="G1767" s="431"/>
      <c r="H1767" s="430"/>
      <c r="I1767" s="432"/>
      <c r="J1767" s="433"/>
      <c r="K1767" s="437">
        <f t="shared" si="430"/>
        <v>0</v>
      </c>
      <c r="L1767" s="435" t="s">
        <v>614</v>
      </c>
      <c r="M1767" s="576"/>
      <c r="N1767" s="576">
        <f t="shared" si="429"/>
        <v>0</v>
      </c>
      <c r="O1767" s="577">
        <f t="shared" si="419"/>
        <v>0</v>
      </c>
      <c r="P1767" s="578">
        <f t="shared" si="420"/>
        <v>0</v>
      </c>
      <c r="Q1767" s="765"/>
      <c r="R1767" s="576">
        <f t="shared" si="414"/>
        <v>0</v>
      </c>
      <c r="S1767" s="576">
        <f t="shared" si="414"/>
        <v>0</v>
      </c>
      <c r="T1767" s="577">
        <f t="shared" si="417"/>
        <v>0</v>
      </c>
      <c r="U1767" s="578">
        <f t="shared" si="418"/>
        <v>0</v>
      </c>
      <c r="V1767" s="579"/>
      <c r="W1767" s="566"/>
      <c r="X1767" s="586" t="str">
        <f t="shared" si="422"/>
        <v/>
      </c>
      <c r="Y1767" s="586" t="str">
        <f t="shared" si="431"/>
        <v/>
      </c>
      <c r="Z1767" s="586" t="str">
        <f t="shared" si="427"/>
        <v/>
      </c>
    </row>
    <row r="1768" spans="1:26" ht="12" hidden="1" thickBot="1" x14ac:dyDescent="0.25">
      <c r="A1768" s="652" t="s">
        <v>187</v>
      </c>
      <c r="B1768" s="572" t="s">
        <v>187</v>
      </c>
      <c r="C1768" s="573" t="s">
        <v>187</v>
      </c>
      <c r="D1768" s="580"/>
      <c r="E1768" s="575"/>
      <c r="F1768" s="436"/>
      <c r="G1768" s="431"/>
      <c r="H1768" s="430"/>
      <c r="I1768" s="432"/>
      <c r="J1768" s="433"/>
      <c r="K1768" s="437">
        <f t="shared" si="430"/>
        <v>0</v>
      </c>
      <c r="L1768" s="435" t="s">
        <v>614</v>
      </c>
      <c r="M1768" s="576"/>
      <c r="N1768" s="576">
        <f t="shared" si="429"/>
        <v>0</v>
      </c>
      <c r="O1768" s="577">
        <f t="shared" si="419"/>
        <v>0</v>
      </c>
      <c r="P1768" s="578">
        <f t="shared" si="420"/>
        <v>0</v>
      </c>
      <c r="Q1768" s="765"/>
      <c r="R1768" s="576">
        <f t="shared" si="414"/>
        <v>0</v>
      </c>
      <c r="S1768" s="576">
        <f t="shared" si="414"/>
        <v>0</v>
      </c>
      <c r="T1768" s="577">
        <f t="shared" si="417"/>
        <v>0</v>
      </c>
      <c r="U1768" s="578">
        <f t="shared" si="418"/>
        <v>0</v>
      </c>
      <c r="V1768" s="579"/>
      <c r="W1768" s="566"/>
      <c r="X1768" s="586" t="str">
        <f t="shared" si="422"/>
        <v/>
      </c>
      <c r="Y1768" s="586" t="str">
        <f t="shared" si="431"/>
        <v/>
      </c>
      <c r="Z1768" s="586" t="str">
        <f t="shared" si="427"/>
        <v/>
      </c>
    </row>
    <row r="1769" spans="1:26" ht="12" hidden="1" thickBot="1" x14ac:dyDescent="0.25">
      <c r="A1769" s="652" t="s">
        <v>187</v>
      </c>
      <c r="B1769" s="572" t="s">
        <v>187</v>
      </c>
      <c r="C1769" s="573" t="s">
        <v>187</v>
      </c>
      <c r="D1769" s="580"/>
      <c r="E1769" s="575"/>
      <c r="F1769" s="436"/>
      <c r="G1769" s="431"/>
      <c r="H1769" s="430"/>
      <c r="I1769" s="432"/>
      <c r="J1769" s="433"/>
      <c r="K1769" s="437">
        <f t="shared" si="430"/>
        <v>0</v>
      </c>
      <c r="L1769" s="435" t="s">
        <v>614</v>
      </c>
      <c r="M1769" s="576"/>
      <c r="N1769" s="576">
        <f t="shared" si="429"/>
        <v>0</v>
      </c>
      <c r="O1769" s="577">
        <f t="shared" si="419"/>
        <v>0</v>
      </c>
      <c r="P1769" s="578">
        <f t="shared" si="420"/>
        <v>0</v>
      </c>
      <c r="Q1769" s="765"/>
      <c r="R1769" s="576">
        <f t="shared" si="414"/>
        <v>0</v>
      </c>
      <c r="S1769" s="576">
        <f t="shared" si="414"/>
        <v>0</v>
      </c>
      <c r="T1769" s="577">
        <f t="shared" si="417"/>
        <v>0</v>
      </c>
      <c r="U1769" s="578">
        <f t="shared" si="418"/>
        <v>0</v>
      </c>
      <c r="V1769" s="579"/>
      <c r="W1769" s="566"/>
      <c r="X1769" s="586" t="str">
        <f t="shared" si="422"/>
        <v/>
      </c>
      <c r="Y1769" s="586" t="str">
        <f t="shared" si="431"/>
        <v/>
      </c>
      <c r="Z1769" s="586" t="str">
        <f t="shared" si="427"/>
        <v/>
      </c>
    </row>
    <row r="1770" spans="1:26" ht="12" hidden="1" thickBot="1" x14ac:dyDescent="0.25">
      <c r="A1770" s="652" t="s">
        <v>187</v>
      </c>
      <c r="B1770" s="572" t="s">
        <v>187</v>
      </c>
      <c r="C1770" s="573" t="s">
        <v>187</v>
      </c>
      <c r="D1770" s="580"/>
      <c r="E1770" s="575"/>
      <c r="F1770" s="436"/>
      <c r="G1770" s="431"/>
      <c r="H1770" s="430"/>
      <c r="I1770" s="432"/>
      <c r="J1770" s="433"/>
      <c r="K1770" s="437">
        <f t="shared" si="430"/>
        <v>0</v>
      </c>
      <c r="L1770" s="435" t="s">
        <v>614</v>
      </c>
      <c r="M1770" s="576"/>
      <c r="N1770" s="576">
        <f t="shared" si="429"/>
        <v>0</v>
      </c>
      <c r="O1770" s="577">
        <f t="shared" si="419"/>
        <v>0</v>
      </c>
      <c r="P1770" s="578">
        <f t="shared" si="420"/>
        <v>0</v>
      </c>
      <c r="Q1770" s="765"/>
      <c r="R1770" s="576">
        <f t="shared" si="414"/>
        <v>0</v>
      </c>
      <c r="S1770" s="576">
        <f t="shared" si="414"/>
        <v>0</v>
      </c>
      <c r="T1770" s="577">
        <f t="shared" si="417"/>
        <v>0</v>
      </c>
      <c r="U1770" s="578">
        <f t="shared" si="418"/>
        <v>0</v>
      </c>
      <c r="V1770" s="579"/>
      <c r="W1770" s="566"/>
      <c r="X1770" s="586" t="str">
        <f t="shared" si="422"/>
        <v/>
      </c>
      <c r="Y1770" s="586" t="str">
        <f t="shared" si="431"/>
        <v/>
      </c>
      <c r="Z1770" s="586" t="str">
        <f t="shared" si="427"/>
        <v/>
      </c>
    </row>
    <row r="1771" spans="1:26" ht="12" hidden="1" thickBot="1" x14ac:dyDescent="0.25">
      <c r="A1771" s="652" t="s">
        <v>187</v>
      </c>
      <c r="B1771" s="572" t="s">
        <v>187</v>
      </c>
      <c r="C1771" s="573" t="s">
        <v>187</v>
      </c>
      <c r="D1771" s="580"/>
      <c r="E1771" s="575"/>
      <c r="F1771" s="436"/>
      <c r="G1771" s="431"/>
      <c r="H1771" s="430"/>
      <c r="I1771" s="432"/>
      <c r="J1771" s="433"/>
      <c r="K1771" s="437">
        <f t="shared" si="430"/>
        <v>0</v>
      </c>
      <c r="L1771" s="435" t="s">
        <v>614</v>
      </c>
      <c r="M1771" s="576"/>
      <c r="N1771" s="576">
        <f t="shared" si="429"/>
        <v>0</v>
      </c>
      <c r="O1771" s="577">
        <f t="shared" si="419"/>
        <v>0</v>
      </c>
      <c r="P1771" s="578">
        <f t="shared" si="420"/>
        <v>0</v>
      </c>
      <c r="Q1771" s="765"/>
      <c r="R1771" s="576">
        <f t="shared" si="414"/>
        <v>0</v>
      </c>
      <c r="S1771" s="576">
        <f t="shared" si="414"/>
        <v>0</v>
      </c>
      <c r="T1771" s="577">
        <f t="shared" si="417"/>
        <v>0</v>
      </c>
      <c r="U1771" s="578">
        <f t="shared" si="418"/>
        <v>0</v>
      </c>
      <c r="V1771" s="579"/>
      <c r="W1771" s="566"/>
      <c r="X1771" s="586" t="str">
        <f t="shared" si="422"/>
        <v/>
      </c>
      <c r="Y1771" s="586" t="str">
        <f t="shared" si="431"/>
        <v/>
      </c>
      <c r="Z1771" s="586" t="str">
        <f t="shared" si="427"/>
        <v/>
      </c>
    </row>
    <row r="1772" spans="1:26" ht="12" hidden="1" thickBot="1" x14ac:dyDescent="0.25">
      <c r="A1772" s="652" t="s">
        <v>187</v>
      </c>
      <c r="B1772" s="572" t="s">
        <v>187</v>
      </c>
      <c r="C1772" s="573" t="s">
        <v>187</v>
      </c>
      <c r="D1772" s="580"/>
      <c r="E1772" s="575"/>
      <c r="F1772" s="436"/>
      <c r="G1772" s="431"/>
      <c r="H1772" s="430"/>
      <c r="I1772" s="432"/>
      <c r="J1772" s="433"/>
      <c r="K1772" s="437">
        <f t="shared" si="430"/>
        <v>0</v>
      </c>
      <c r="L1772" s="435" t="s">
        <v>614</v>
      </c>
      <c r="M1772" s="576"/>
      <c r="N1772" s="576">
        <f t="shared" si="429"/>
        <v>0</v>
      </c>
      <c r="O1772" s="577">
        <f t="shared" si="419"/>
        <v>0</v>
      </c>
      <c r="P1772" s="578">
        <f t="shared" si="420"/>
        <v>0</v>
      </c>
      <c r="Q1772" s="765"/>
      <c r="R1772" s="576">
        <f t="shared" ref="R1772:S1837" si="432">M1772</f>
        <v>0</v>
      </c>
      <c r="S1772" s="576">
        <f t="shared" si="432"/>
        <v>0</v>
      </c>
      <c r="T1772" s="577">
        <f t="shared" si="417"/>
        <v>0</v>
      </c>
      <c r="U1772" s="578">
        <f t="shared" si="418"/>
        <v>0</v>
      </c>
      <c r="V1772" s="579"/>
      <c r="W1772" s="566"/>
      <c r="X1772" s="586" t="str">
        <f t="shared" si="422"/>
        <v/>
      </c>
      <c r="Y1772" s="586" t="str">
        <f t="shared" si="431"/>
        <v/>
      </c>
      <c r="Z1772" s="586" t="str">
        <f t="shared" si="427"/>
        <v/>
      </c>
    </row>
    <row r="1773" spans="1:26" ht="12" hidden="1" thickBot="1" x14ac:dyDescent="0.25">
      <c r="A1773" s="652" t="s">
        <v>187</v>
      </c>
      <c r="B1773" s="572" t="s">
        <v>187</v>
      </c>
      <c r="C1773" s="573" t="s">
        <v>187</v>
      </c>
      <c r="D1773" s="580"/>
      <c r="E1773" s="575"/>
      <c r="F1773" s="436"/>
      <c r="G1773" s="431"/>
      <c r="H1773" s="430"/>
      <c r="I1773" s="432"/>
      <c r="J1773" s="433"/>
      <c r="K1773" s="437">
        <f t="shared" si="430"/>
        <v>0</v>
      </c>
      <c r="L1773" s="435" t="s">
        <v>614</v>
      </c>
      <c r="M1773" s="576"/>
      <c r="N1773" s="576">
        <f t="shared" si="429"/>
        <v>0</v>
      </c>
      <c r="O1773" s="577">
        <f t="shared" si="419"/>
        <v>0</v>
      </c>
      <c r="P1773" s="578">
        <f t="shared" si="420"/>
        <v>0</v>
      </c>
      <c r="Q1773" s="765"/>
      <c r="R1773" s="576">
        <f t="shared" si="432"/>
        <v>0</v>
      </c>
      <c r="S1773" s="576">
        <f t="shared" si="432"/>
        <v>0</v>
      </c>
      <c r="T1773" s="577">
        <f t="shared" si="417"/>
        <v>0</v>
      </c>
      <c r="U1773" s="578">
        <f t="shared" si="418"/>
        <v>0</v>
      </c>
      <c r="V1773" s="579"/>
      <c r="W1773" s="566"/>
      <c r="X1773" s="586" t="str">
        <f t="shared" si="422"/>
        <v/>
      </c>
      <c r="Y1773" s="586" t="str">
        <f t="shared" si="431"/>
        <v/>
      </c>
      <c r="Z1773" s="586" t="str">
        <f t="shared" si="427"/>
        <v/>
      </c>
    </row>
    <row r="1774" spans="1:26" ht="12" hidden="1" thickBot="1" x14ac:dyDescent="0.25">
      <c r="A1774" s="652" t="s">
        <v>187</v>
      </c>
      <c r="B1774" s="572" t="s">
        <v>187</v>
      </c>
      <c r="C1774" s="573" t="s">
        <v>187</v>
      </c>
      <c r="D1774" s="580"/>
      <c r="E1774" s="575"/>
      <c r="F1774" s="436"/>
      <c r="G1774" s="431"/>
      <c r="H1774" s="430"/>
      <c r="I1774" s="432"/>
      <c r="J1774" s="433"/>
      <c r="K1774" s="437">
        <f t="shared" si="430"/>
        <v>0</v>
      </c>
      <c r="L1774" s="435" t="s">
        <v>614</v>
      </c>
      <c r="M1774" s="576"/>
      <c r="N1774" s="576">
        <f t="shared" si="429"/>
        <v>0</v>
      </c>
      <c r="O1774" s="577">
        <f t="shared" si="419"/>
        <v>0</v>
      </c>
      <c r="P1774" s="578">
        <f t="shared" si="420"/>
        <v>0</v>
      </c>
      <c r="Q1774" s="765"/>
      <c r="R1774" s="576">
        <f t="shared" si="432"/>
        <v>0</v>
      </c>
      <c r="S1774" s="576">
        <f t="shared" si="432"/>
        <v>0</v>
      </c>
      <c r="T1774" s="577">
        <f t="shared" si="417"/>
        <v>0</v>
      </c>
      <c r="U1774" s="578">
        <f t="shared" si="418"/>
        <v>0</v>
      </c>
      <c r="V1774" s="579"/>
      <c r="W1774" s="566"/>
      <c r="X1774" s="586" t="str">
        <f t="shared" si="422"/>
        <v/>
      </c>
      <c r="Y1774" s="586" t="str">
        <f t="shared" si="431"/>
        <v/>
      </c>
      <c r="Z1774" s="586" t="str">
        <f t="shared" si="427"/>
        <v/>
      </c>
    </row>
    <row r="1775" spans="1:26" ht="12" hidden="1" thickBot="1" x14ac:dyDescent="0.25">
      <c r="A1775" s="652" t="s">
        <v>187</v>
      </c>
      <c r="B1775" s="572" t="s">
        <v>187</v>
      </c>
      <c r="C1775" s="573" t="s">
        <v>187</v>
      </c>
      <c r="D1775" s="580"/>
      <c r="E1775" s="575"/>
      <c r="F1775" s="436"/>
      <c r="G1775" s="431"/>
      <c r="H1775" s="430"/>
      <c r="I1775" s="432"/>
      <c r="J1775" s="433"/>
      <c r="K1775" s="437">
        <f t="shared" si="430"/>
        <v>0</v>
      </c>
      <c r="L1775" s="435" t="s">
        <v>614</v>
      </c>
      <c r="M1775" s="576"/>
      <c r="N1775" s="576">
        <f t="shared" si="429"/>
        <v>0</v>
      </c>
      <c r="O1775" s="577">
        <f t="shared" si="419"/>
        <v>0</v>
      </c>
      <c r="P1775" s="578">
        <f t="shared" si="420"/>
        <v>0</v>
      </c>
      <c r="Q1775" s="765"/>
      <c r="R1775" s="576">
        <f t="shared" si="432"/>
        <v>0</v>
      </c>
      <c r="S1775" s="576">
        <f t="shared" si="432"/>
        <v>0</v>
      </c>
      <c r="T1775" s="577">
        <f t="shared" si="417"/>
        <v>0</v>
      </c>
      <c r="U1775" s="578">
        <f t="shared" si="418"/>
        <v>0</v>
      </c>
      <c r="V1775" s="579"/>
      <c r="W1775" s="566"/>
      <c r="X1775" s="586" t="str">
        <f t="shared" si="422"/>
        <v/>
      </c>
      <c r="Y1775" s="586" t="str">
        <f t="shared" si="431"/>
        <v/>
      </c>
      <c r="Z1775" s="586" t="str">
        <f t="shared" si="427"/>
        <v/>
      </c>
    </row>
    <row r="1776" spans="1:26" ht="12" hidden="1" thickBot="1" x14ac:dyDescent="0.25">
      <c r="A1776" s="652" t="s">
        <v>187</v>
      </c>
      <c r="B1776" s="572" t="s">
        <v>187</v>
      </c>
      <c r="C1776" s="573" t="s">
        <v>187</v>
      </c>
      <c r="D1776" s="580"/>
      <c r="E1776" s="575"/>
      <c r="F1776" s="436"/>
      <c r="G1776" s="431"/>
      <c r="H1776" s="430"/>
      <c r="I1776" s="432"/>
      <c r="J1776" s="433"/>
      <c r="K1776" s="437">
        <f t="shared" si="430"/>
        <v>0</v>
      </c>
      <c r="L1776" s="435" t="s">
        <v>614</v>
      </c>
      <c r="M1776" s="576"/>
      <c r="N1776" s="576">
        <f t="shared" si="429"/>
        <v>0</v>
      </c>
      <c r="O1776" s="577">
        <f t="shared" si="419"/>
        <v>0</v>
      </c>
      <c r="P1776" s="578">
        <f t="shared" si="420"/>
        <v>0</v>
      </c>
      <c r="Q1776" s="765"/>
      <c r="R1776" s="576">
        <f t="shared" si="432"/>
        <v>0</v>
      </c>
      <c r="S1776" s="576">
        <f t="shared" si="432"/>
        <v>0</v>
      </c>
      <c r="T1776" s="577">
        <f t="shared" si="417"/>
        <v>0</v>
      </c>
      <c r="U1776" s="578">
        <f t="shared" si="418"/>
        <v>0</v>
      </c>
      <c r="V1776" s="579"/>
      <c r="W1776" s="566"/>
      <c r="X1776" s="586" t="str">
        <f t="shared" si="422"/>
        <v/>
      </c>
      <c r="Y1776" s="586" t="str">
        <f t="shared" si="431"/>
        <v/>
      </c>
      <c r="Z1776" s="586" t="str">
        <f t="shared" si="427"/>
        <v/>
      </c>
    </row>
    <row r="1777" spans="1:26" ht="12" hidden="1" thickBot="1" x14ac:dyDescent="0.25">
      <c r="A1777" s="652" t="s">
        <v>187</v>
      </c>
      <c r="B1777" s="572" t="s">
        <v>187</v>
      </c>
      <c r="C1777" s="573" t="s">
        <v>187</v>
      </c>
      <c r="D1777" s="580"/>
      <c r="E1777" s="575"/>
      <c r="F1777" s="436"/>
      <c r="G1777" s="431"/>
      <c r="H1777" s="430"/>
      <c r="I1777" s="432"/>
      <c r="J1777" s="433"/>
      <c r="K1777" s="437">
        <f t="shared" si="430"/>
        <v>0</v>
      </c>
      <c r="L1777" s="435" t="s">
        <v>614</v>
      </c>
      <c r="M1777" s="576"/>
      <c r="N1777" s="576">
        <f t="shared" si="429"/>
        <v>0</v>
      </c>
      <c r="O1777" s="577">
        <f t="shared" si="419"/>
        <v>0</v>
      </c>
      <c r="P1777" s="578">
        <f t="shared" si="420"/>
        <v>0</v>
      </c>
      <c r="Q1777" s="765"/>
      <c r="R1777" s="576">
        <f t="shared" si="432"/>
        <v>0</v>
      </c>
      <c r="S1777" s="576">
        <f t="shared" si="432"/>
        <v>0</v>
      </c>
      <c r="T1777" s="577">
        <f t="shared" si="417"/>
        <v>0</v>
      </c>
      <c r="U1777" s="578">
        <f t="shared" si="418"/>
        <v>0</v>
      </c>
      <c r="V1777" s="579"/>
      <c r="W1777" s="566"/>
      <c r="X1777" s="586" t="str">
        <f t="shared" si="422"/>
        <v/>
      </c>
      <c r="Y1777" s="586" t="str">
        <f t="shared" si="431"/>
        <v/>
      </c>
      <c r="Z1777" s="586" t="str">
        <f t="shared" si="427"/>
        <v/>
      </c>
    </row>
    <row r="1778" spans="1:26" ht="12" hidden="1" thickBot="1" x14ac:dyDescent="0.25">
      <c r="A1778" s="652" t="s">
        <v>187</v>
      </c>
      <c r="B1778" s="572" t="s">
        <v>187</v>
      </c>
      <c r="C1778" s="573" t="s">
        <v>187</v>
      </c>
      <c r="D1778" s="580"/>
      <c r="E1778" s="575"/>
      <c r="F1778" s="436"/>
      <c r="G1778" s="431"/>
      <c r="H1778" s="430"/>
      <c r="I1778" s="432"/>
      <c r="J1778" s="433"/>
      <c r="K1778" s="437">
        <f t="shared" si="430"/>
        <v>0</v>
      </c>
      <c r="L1778" s="435" t="s">
        <v>614</v>
      </c>
      <c r="M1778" s="576"/>
      <c r="N1778" s="576">
        <f t="shared" si="429"/>
        <v>0</v>
      </c>
      <c r="O1778" s="577">
        <f t="shared" si="419"/>
        <v>0</v>
      </c>
      <c r="P1778" s="578">
        <f t="shared" si="420"/>
        <v>0</v>
      </c>
      <c r="Q1778" s="765"/>
      <c r="R1778" s="576">
        <f t="shared" si="432"/>
        <v>0</v>
      </c>
      <c r="S1778" s="576">
        <f t="shared" si="432"/>
        <v>0</v>
      </c>
      <c r="T1778" s="577">
        <f t="shared" si="417"/>
        <v>0</v>
      </c>
      <c r="U1778" s="578">
        <f t="shared" si="418"/>
        <v>0</v>
      </c>
      <c r="V1778" s="579"/>
      <c r="W1778" s="566"/>
      <c r="X1778" s="586" t="str">
        <f t="shared" si="422"/>
        <v/>
      </c>
      <c r="Y1778" s="586" t="str">
        <f t="shared" si="431"/>
        <v/>
      </c>
      <c r="Z1778" s="586" t="str">
        <f t="shared" si="427"/>
        <v/>
      </c>
    </row>
    <row r="1779" spans="1:26" ht="12" hidden="1" thickBot="1" x14ac:dyDescent="0.25">
      <c r="A1779" s="652" t="s">
        <v>187</v>
      </c>
      <c r="B1779" s="572" t="s">
        <v>187</v>
      </c>
      <c r="C1779" s="573" t="s">
        <v>187</v>
      </c>
      <c r="D1779" s="580"/>
      <c r="E1779" s="575"/>
      <c r="F1779" s="436"/>
      <c r="G1779" s="431"/>
      <c r="H1779" s="430"/>
      <c r="I1779" s="432"/>
      <c r="J1779" s="433"/>
      <c r="K1779" s="437">
        <f t="shared" si="430"/>
        <v>0</v>
      </c>
      <c r="L1779" s="435" t="s">
        <v>614</v>
      </c>
      <c r="M1779" s="576"/>
      <c r="N1779" s="576">
        <f t="shared" si="429"/>
        <v>0</v>
      </c>
      <c r="O1779" s="577">
        <f t="shared" si="419"/>
        <v>0</v>
      </c>
      <c r="P1779" s="578">
        <f t="shared" si="420"/>
        <v>0</v>
      </c>
      <c r="Q1779" s="765"/>
      <c r="R1779" s="576">
        <f t="shared" si="432"/>
        <v>0</v>
      </c>
      <c r="S1779" s="576">
        <f t="shared" si="432"/>
        <v>0</v>
      </c>
      <c r="T1779" s="577">
        <f t="shared" si="417"/>
        <v>0</v>
      </c>
      <c r="U1779" s="578">
        <f t="shared" si="418"/>
        <v>0</v>
      </c>
      <c r="V1779" s="579"/>
      <c r="W1779" s="566"/>
      <c r="X1779" s="586" t="str">
        <f t="shared" si="422"/>
        <v/>
      </c>
      <c r="Y1779" s="586" t="str">
        <f t="shared" si="431"/>
        <v/>
      </c>
      <c r="Z1779" s="586" t="str">
        <f t="shared" si="427"/>
        <v/>
      </c>
    </row>
    <row r="1780" spans="1:26" ht="12" hidden="1" thickBot="1" x14ac:dyDescent="0.25">
      <c r="A1780" s="652" t="s">
        <v>187</v>
      </c>
      <c r="B1780" s="572" t="s">
        <v>187</v>
      </c>
      <c r="C1780" s="573" t="s">
        <v>187</v>
      </c>
      <c r="D1780" s="580"/>
      <c r="E1780" s="575"/>
      <c r="F1780" s="436"/>
      <c r="G1780" s="431"/>
      <c r="H1780" s="430"/>
      <c r="I1780" s="432"/>
      <c r="J1780" s="433"/>
      <c r="K1780" s="437">
        <f t="shared" si="430"/>
        <v>0</v>
      </c>
      <c r="L1780" s="435" t="s">
        <v>614</v>
      </c>
      <c r="M1780" s="576"/>
      <c r="N1780" s="576">
        <f t="shared" si="429"/>
        <v>0</v>
      </c>
      <c r="O1780" s="577">
        <f t="shared" si="419"/>
        <v>0</v>
      </c>
      <c r="P1780" s="578">
        <f t="shared" si="420"/>
        <v>0</v>
      </c>
      <c r="Q1780" s="765"/>
      <c r="R1780" s="576">
        <f t="shared" si="432"/>
        <v>0</v>
      </c>
      <c r="S1780" s="576">
        <f t="shared" si="432"/>
        <v>0</v>
      </c>
      <c r="T1780" s="577">
        <f t="shared" si="417"/>
        <v>0</v>
      </c>
      <c r="U1780" s="578">
        <f t="shared" si="418"/>
        <v>0</v>
      </c>
      <c r="V1780" s="579"/>
      <c r="W1780" s="566"/>
      <c r="X1780" s="586" t="str">
        <f t="shared" si="422"/>
        <v/>
      </c>
      <c r="Y1780" s="586" t="str">
        <f t="shared" si="431"/>
        <v/>
      </c>
      <c r="Z1780" s="586" t="str">
        <f t="shared" si="427"/>
        <v/>
      </c>
    </row>
    <row r="1781" spans="1:26" ht="12" hidden="1" thickBot="1" x14ac:dyDescent="0.25">
      <c r="A1781" s="652" t="s">
        <v>187</v>
      </c>
      <c r="B1781" s="572" t="s">
        <v>187</v>
      </c>
      <c r="C1781" s="573" t="s">
        <v>187</v>
      </c>
      <c r="D1781" s="580"/>
      <c r="E1781" s="575"/>
      <c r="F1781" s="436"/>
      <c r="G1781" s="431"/>
      <c r="H1781" s="430"/>
      <c r="I1781" s="432"/>
      <c r="J1781" s="433"/>
      <c r="K1781" s="437">
        <f t="shared" si="430"/>
        <v>0</v>
      </c>
      <c r="L1781" s="435" t="s">
        <v>614</v>
      </c>
      <c r="M1781" s="576"/>
      <c r="N1781" s="576">
        <f t="shared" si="429"/>
        <v>0</v>
      </c>
      <c r="O1781" s="577">
        <f t="shared" si="419"/>
        <v>0</v>
      </c>
      <c r="P1781" s="578">
        <f t="shared" si="420"/>
        <v>0</v>
      </c>
      <c r="Q1781" s="765"/>
      <c r="R1781" s="576">
        <f t="shared" si="432"/>
        <v>0</v>
      </c>
      <c r="S1781" s="576">
        <f t="shared" si="432"/>
        <v>0</v>
      </c>
      <c r="T1781" s="577">
        <f t="shared" si="417"/>
        <v>0</v>
      </c>
      <c r="U1781" s="578">
        <f t="shared" si="418"/>
        <v>0</v>
      </c>
      <c r="V1781" s="579"/>
      <c r="W1781" s="566"/>
      <c r="X1781" s="586" t="str">
        <f t="shared" si="422"/>
        <v/>
      </c>
      <c r="Y1781" s="586" t="str">
        <f t="shared" si="431"/>
        <v/>
      </c>
      <c r="Z1781" s="586" t="str">
        <f t="shared" si="427"/>
        <v/>
      </c>
    </row>
    <row r="1782" spans="1:26" ht="12" hidden="1" thickBot="1" x14ac:dyDescent="0.25">
      <c r="A1782" s="652" t="s">
        <v>187</v>
      </c>
      <c r="B1782" s="572" t="s">
        <v>187</v>
      </c>
      <c r="C1782" s="573" t="s">
        <v>187</v>
      </c>
      <c r="D1782" s="580"/>
      <c r="E1782" s="575"/>
      <c r="F1782" s="436"/>
      <c r="G1782" s="431"/>
      <c r="H1782" s="430"/>
      <c r="I1782" s="432"/>
      <c r="J1782" s="433"/>
      <c r="K1782" s="437">
        <f t="shared" si="430"/>
        <v>0</v>
      </c>
      <c r="L1782" s="435" t="s">
        <v>614</v>
      </c>
      <c r="M1782" s="576"/>
      <c r="N1782" s="576">
        <f t="shared" si="429"/>
        <v>0</v>
      </c>
      <c r="O1782" s="577">
        <f t="shared" si="419"/>
        <v>0</v>
      </c>
      <c r="P1782" s="578">
        <f t="shared" si="420"/>
        <v>0</v>
      </c>
      <c r="Q1782" s="765"/>
      <c r="R1782" s="576">
        <f t="shared" si="432"/>
        <v>0</v>
      </c>
      <c r="S1782" s="576">
        <f t="shared" si="432"/>
        <v>0</v>
      </c>
      <c r="T1782" s="577">
        <f t="shared" si="417"/>
        <v>0</v>
      </c>
      <c r="U1782" s="578">
        <f t="shared" si="418"/>
        <v>0</v>
      </c>
      <c r="V1782" s="579"/>
      <c r="W1782" s="566"/>
      <c r="X1782" s="586" t="str">
        <f t="shared" si="422"/>
        <v/>
      </c>
      <c r="Y1782" s="586" t="str">
        <f t="shared" si="431"/>
        <v/>
      </c>
      <c r="Z1782" s="586" t="str">
        <f t="shared" si="427"/>
        <v/>
      </c>
    </row>
    <row r="1783" spans="1:26" ht="12" hidden="1" thickBot="1" x14ac:dyDescent="0.25">
      <c r="A1783" s="652" t="s">
        <v>187</v>
      </c>
      <c r="B1783" s="572" t="s">
        <v>187</v>
      </c>
      <c r="C1783" s="573" t="s">
        <v>187</v>
      </c>
      <c r="D1783" s="580"/>
      <c r="E1783" s="575"/>
      <c r="F1783" s="436"/>
      <c r="G1783" s="431"/>
      <c r="H1783" s="430"/>
      <c r="I1783" s="432"/>
      <c r="J1783" s="433"/>
      <c r="K1783" s="437">
        <f t="shared" si="430"/>
        <v>0</v>
      </c>
      <c r="L1783" s="435" t="s">
        <v>614</v>
      </c>
      <c r="M1783" s="576"/>
      <c r="N1783" s="576">
        <f t="shared" si="429"/>
        <v>0</v>
      </c>
      <c r="O1783" s="577">
        <f t="shared" si="419"/>
        <v>0</v>
      </c>
      <c r="P1783" s="578">
        <f t="shared" si="420"/>
        <v>0</v>
      </c>
      <c r="Q1783" s="765"/>
      <c r="R1783" s="576">
        <f t="shared" si="432"/>
        <v>0</v>
      </c>
      <c r="S1783" s="576">
        <f t="shared" si="432"/>
        <v>0</v>
      </c>
      <c r="T1783" s="577">
        <f t="shared" si="417"/>
        <v>0</v>
      </c>
      <c r="U1783" s="578">
        <f t="shared" si="418"/>
        <v>0</v>
      </c>
      <c r="V1783" s="579"/>
      <c r="W1783" s="566"/>
      <c r="X1783" s="586" t="str">
        <f t="shared" si="422"/>
        <v/>
      </c>
      <c r="Y1783" s="586" t="str">
        <f t="shared" si="431"/>
        <v/>
      </c>
      <c r="Z1783" s="586" t="str">
        <f t="shared" si="427"/>
        <v/>
      </c>
    </row>
    <row r="1784" spans="1:26" ht="12" hidden="1" thickBot="1" x14ac:dyDescent="0.25">
      <c r="A1784" s="652" t="s">
        <v>187</v>
      </c>
      <c r="B1784" s="581" t="s">
        <v>187</v>
      </c>
      <c r="C1784" s="582" t="s">
        <v>187</v>
      </c>
      <c r="D1784" s="583"/>
      <c r="E1784" s="584"/>
      <c r="F1784" s="438"/>
      <c r="G1784" s="439"/>
      <c r="H1784" s="440"/>
      <c r="I1784" s="441"/>
      <c r="J1784" s="442"/>
      <c r="K1784" s="443">
        <f t="shared" si="430"/>
        <v>0</v>
      </c>
      <c r="L1784" s="444" t="s">
        <v>614</v>
      </c>
      <c r="M1784" s="576"/>
      <c r="N1784" s="576">
        <f t="shared" si="429"/>
        <v>0</v>
      </c>
      <c r="O1784" s="585">
        <f t="shared" si="419"/>
        <v>0</v>
      </c>
      <c r="P1784" s="660">
        <f t="shared" si="420"/>
        <v>0</v>
      </c>
      <c r="Q1784" s="765"/>
      <c r="R1784" s="576">
        <f t="shared" si="432"/>
        <v>0</v>
      </c>
      <c r="S1784" s="576">
        <f t="shared" si="432"/>
        <v>0</v>
      </c>
      <c r="T1784" s="585">
        <f t="shared" si="417"/>
        <v>0</v>
      </c>
      <c r="U1784" s="660">
        <f t="shared" si="418"/>
        <v>0</v>
      </c>
      <c r="V1784" s="579"/>
      <c r="W1784" s="566"/>
      <c r="X1784" s="586" t="str">
        <f t="shared" si="422"/>
        <v/>
      </c>
      <c r="Y1784" s="586" t="str">
        <f t="shared" si="431"/>
        <v/>
      </c>
      <c r="Z1784" s="586" t="str">
        <f t="shared" si="427"/>
        <v/>
      </c>
    </row>
    <row r="1785" spans="1:26" ht="12" hidden="1" thickBot="1" x14ac:dyDescent="0.25">
      <c r="A1785" s="652" t="s">
        <v>187</v>
      </c>
      <c r="B1785" s="664" t="s">
        <v>473</v>
      </c>
      <c r="C1785" s="665"/>
      <c r="D1785" s="666" t="s">
        <v>462</v>
      </c>
      <c r="E1785" s="631"/>
      <c r="F1785" s="632"/>
      <c r="G1785" s="633"/>
      <c r="H1785" s="634"/>
      <c r="I1785" s="409"/>
      <c r="J1785" s="409"/>
      <c r="K1785" s="409"/>
      <c r="L1785" s="409" t="s">
        <v>614</v>
      </c>
      <c r="M1785" s="634"/>
      <c r="N1785" s="797"/>
      <c r="O1785" s="409">
        <f t="shared" si="419"/>
        <v>0</v>
      </c>
      <c r="P1785" s="635">
        <f t="shared" si="420"/>
        <v>0</v>
      </c>
      <c r="Q1785" s="635">
        <f>SUM(P1786:P2662)</f>
        <v>0</v>
      </c>
      <c r="R1785" s="634"/>
      <c r="S1785" s="409"/>
      <c r="T1785" s="409">
        <f t="shared" si="417"/>
        <v>0</v>
      </c>
      <c r="U1785" s="635">
        <f t="shared" si="418"/>
        <v>0</v>
      </c>
      <c r="V1785" s="636">
        <f>SUM(U1786:U2662)</f>
        <v>0</v>
      </c>
      <c r="W1785" s="637" t="str">
        <f>IF(OR(Q1785&gt;0,V1785&gt;0),"X","")</f>
        <v/>
      </c>
      <c r="X1785" s="586" t="str">
        <f t="shared" si="422"/>
        <v/>
      </c>
      <c r="Y1785" s="586" t="str">
        <f t="shared" si="431"/>
        <v/>
      </c>
      <c r="Z1785" s="586" t="str">
        <f t="shared" si="427"/>
        <v/>
      </c>
    </row>
    <row r="1786" spans="1:26" ht="12" hidden="1" thickBot="1" x14ac:dyDescent="0.25">
      <c r="A1786" s="567">
        <v>600000</v>
      </c>
      <c r="B1786" s="644" t="s">
        <v>1649</v>
      </c>
      <c r="C1786" s="645" t="s">
        <v>206</v>
      </c>
      <c r="D1786" s="422" t="s">
        <v>322</v>
      </c>
      <c r="E1786" s="423"/>
      <c r="F1786" s="424">
        <v>0</v>
      </c>
      <c r="G1786" s="425">
        <v>0</v>
      </c>
      <c r="H1786" s="651">
        <f t="shared" ref="H1786:H1801" si="433">IF(F1786&lt;=30,(0.62*F1786+6.29)*G1786,((0.62*30+6.29)+0.62*(F1786-30))*G1786)</f>
        <v>0</v>
      </c>
      <c r="I1786" s="420">
        <v>46.12</v>
      </c>
      <c r="J1786" s="420">
        <f>IF(ISBLANK(I1786),"",SUM(H1786:I1786))</f>
        <v>46.12</v>
      </c>
      <c r="K1786" s="421">
        <f t="shared" ref="K1786:K1855" si="434">IF(ISBLANK(I1786),0,ROUND(J1786*(1+$F$10)*(1+$F$11*E1786),2))</f>
        <v>54.8</v>
      </c>
      <c r="L1786" s="647" t="s">
        <v>16</v>
      </c>
      <c r="M1786" s="576"/>
      <c r="N1786" s="576">
        <f t="shared" si="429"/>
        <v>0</v>
      </c>
      <c r="O1786" s="577">
        <f t="shared" si="419"/>
        <v>0</v>
      </c>
      <c r="P1786" s="578">
        <f t="shared" si="420"/>
        <v>0</v>
      </c>
      <c r="Q1786" s="765"/>
      <c r="R1786" s="576">
        <f t="shared" si="432"/>
        <v>0</v>
      </c>
      <c r="S1786" s="576">
        <f t="shared" si="432"/>
        <v>0</v>
      </c>
      <c r="T1786" s="577">
        <f t="shared" ref="T1786:T1851" si="435">IF(ISBLANK(R1786),0,ROUND(K1786*R1786,2))</f>
        <v>0</v>
      </c>
      <c r="U1786" s="578">
        <f t="shared" ref="U1786:U1851" si="436">IF(ISBLANK(R1786),0,ROUND(R1786*S1786,2))</f>
        <v>0</v>
      </c>
      <c r="V1786" s="579"/>
      <c r="W1786" s="566"/>
      <c r="X1786" s="586" t="str">
        <f t="shared" si="422"/>
        <v/>
      </c>
      <c r="Y1786" s="586" t="str">
        <f t="shared" si="431"/>
        <v/>
      </c>
      <c r="Z1786" s="586" t="str">
        <f t="shared" si="427"/>
        <v/>
      </c>
    </row>
    <row r="1787" spans="1:26" ht="12" hidden="1" thickBot="1" x14ac:dyDescent="0.25">
      <c r="A1787" s="567">
        <v>600300</v>
      </c>
      <c r="B1787" s="644">
        <v>600300</v>
      </c>
      <c r="C1787" s="645" t="s">
        <v>206</v>
      </c>
      <c r="D1787" s="422" t="s">
        <v>323</v>
      </c>
      <c r="E1787" s="423"/>
      <c r="F1787" s="424">
        <v>0</v>
      </c>
      <c r="G1787" s="425">
        <v>0</v>
      </c>
      <c r="H1787" s="651">
        <f t="shared" si="433"/>
        <v>0</v>
      </c>
      <c r="I1787" s="420">
        <v>12.45</v>
      </c>
      <c r="J1787" s="420">
        <f t="shared" ref="J1787:J1801" si="437">IF(ISBLANK(I1787),"",SUM(H1787:I1787))</f>
        <v>12.45</v>
      </c>
      <c r="K1787" s="421">
        <f t="shared" si="434"/>
        <v>14.79</v>
      </c>
      <c r="L1787" s="647" t="s">
        <v>16</v>
      </c>
      <c r="M1787" s="576"/>
      <c r="N1787" s="576">
        <f t="shared" si="429"/>
        <v>0</v>
      </c>
      <c r="O1787" s="577">
        <f t="shared" ref="O1787:O1852" si="438">IF(ISBLANK(M1787),0,ROUND(K1787*M1787,2))</f>
        <v>0</v>
      </c>
      <c r="P1787" s="578">
        <f t="shared" ref="P1787:P1852" si="439">IF(ISBLANK(N1787),0,ROUND(M1787*N1787,2))</f>
        <v>0</v>
      </c>
      <c r="Q1787" s="765"/>
      <c r="R1787" s="576">
        <f t="shared" si="432"/>
        <v>0</v>
      </c>
      <c r="S1787" s="576">
        <f t="shared" si="432"/>
        <v>0</v>
      </c>
      <c r="T1787" s="577">
        <f t="shared" si="435"/>
        <v>0</v>
      </c>
      <c r="U1787" s="578">
        <f t="shared" si="436"/>
        <v>0</v>
      </c>
      <c r="V1787" s="579"/>
      <c r="W1787" s="566"/>
      <c r="X1787" s="586" t="str">
        <f t="shared" si="422"/>
        <v/>
      </c>
      <c r="Y1787" s="586" t="str">
        <f t="shared" si="431"/>
        <v/>
      </c>
      <c r="Z1787" s="586" t="str">
        <f t="shared" si="427"/>
        <v/>
      </c>
    </row>
    <row r="1788" spans="1:26" ht="12" hidden="1" thickBot="1" x14ac:dyDescent="0.25">
      <c r="A1788" s="567">
        <v>600400</v>
      </c>
      <c r="B1788" s="644">
        <v>600400</v>
      </c>
      <c r="C1788" s="645" t="s">
        <v>206</v>
      </c>
      <c r="D1788" s="422" t="s">
        <v>324</v>
      </c>
      <c r="E1788" s="423"/>
      <c r="F1788" s="424">
        <v>0</v>
      </c>
      <c r="G1788" s="425"/>
      <c r="H1788" s="651">
        <f t="shared" si="433"/>
        <v>0</v>
      </c>
      <c r="I1788" s="420">
        <v>12.77</v>
      </c>
      <c r="J1788" s="420">
        <f t="shared" si="437"/>
        <v>12.77</v>
      </c>
      <c r="K1788" s="421">
        <f t="shared" si="434"/>
        <v>15.17</v>
      </c>
      <c r="L1788" s="647" t="s">
        <v>16</v>
      </c>
      <c r="M1788" s="576"/>
      <c r="N1788" s="576">
        <f t="shared" si="429"/>
        <v>0</v>
      </c>
      <c r="O1788" s="577">
        <f t="shared" si="438"/>
        <v>0</v>
      </c>
      <c r="P1788" s="578">
        <f t="shared" si="439"/>
        <v>0</v>
      </c>
      <c r="Q1788" s="765"/>
      <c r="R1788" s="576">
        <f t="shared" si="432"/>
        <v>0</v>
      </c>
      <c r="S1788" s="576">
        <f t="shared" si="432"/>
        <v>0</v>
      </c>
      <c r="T1788" s="577">
        <f t="shared" si="435"/>
        <v>0</v>
      </c>
      <c r="U1788" s="578">
        <f t="shared" si="436"/>
        <v>0</v>
      </c>
      <c r="V1788" s="579"/>
      <c r="W1788" s="566"/>
      <c r="X1788" s="586" t="str">
        <f t="shared" si="422"/>
        <v/>
      </c>
      <c r="Y1788" s="586" t="str">
        <f t="shared" si="431"/>
        <v/>
      </c>
      <c r="Z1788" s="586" t="str">
        <f t="shared" si="427"/>
        <v/>
      </c>
    </row>
    <row r="1789" spans="1:26" ht="12" hidden="1" thickBot="1" x14ac:dyDescent="0.25">
      <c r="A1789" s="567">
        <v>600500</v>
      </c>
      <c r="B1789" s="644">
        <v>600500</v>
      </c>
      <c r="C1789" s="645" t="s">
        <v>206</v>
      </c>
      <c r="D1789" s="422" t="s">
        <v>325</v>
      </c>
      <c r="E1789" s="423"/>
      <c r="F1789" s="424">
        <v>0</v>
      </c>
      <c r="G1789" s="425"/>
      <c r="H1789" s="651">
        <f t="shared" si="433"/>
        <v>0</v>
      </c>
      <c r="I1789" s="420">
        <v>76.27000000000001</v>
      </c>
      <c r="J1789" s="420">
        <f t="shared" si="437"/>
        <v>76.27000000000001</v>
      </c>
      <c r="K1789" s="421">
        <f t="shared" si="434"/>
        <v>90.62</v>
      </c>
      <c r="L1789" s="647" t="s">
        <v>16</v>
      </c>
      <c r="M1789" s="576"/>
      <c r="N1789" s="576">
        <f t="shared" si="429"/>
        <v>0</v>
      </c>
      <c r="O1789" s="577">
        <f t="shared" si="438"/>
        <v>0</v>
      </c>
      <c r="P1789" s="578">
        <f t="shared" si="439"/>
        <v>0</v>
      </c>
      <c r="Q1789" s="765"/>
      <c r="R1789" s="576">
        <f t="shared" si="432"/>
        <v>0</v>
      </c>
      <c r="S1789" s="576">
        <f t="shared" si="432"/>
        <v>0</v>
      </c>
      <c r="T1789" s="577">
        <f t="shared" si="435"/>
        <v>0</v>
      </c>
      <c r="U1789" s="578">
        <f t="shared" si="436"/>
        <v>0</v>
      </c>
      <c r="V1789" s="579"/>
      <c r="W1789" s="566"/>
      <c r="X1789" s="586" t="str">
        <f t="shared" si="422"/>
        <v/>
      </c>
      <c r="Y1789" s="586" t="str">
        <f t="shared" si="431"/>
        <v/>
      </c>
      <c r="Z1789" s="586" t="str">
        <f t="shared" si="427"/>
        <v/>
      </c>
    </row>
    <row r="1790" spans="1:26" ht="12" hidden="1" thickBot="1" x14ac:dyDescent="0.25">
      <c r="A1790" s="567">
        <v>600310</v>
      </c>
      <c r="B1790" s="644" t="s">
        <v>1589</v>
      </c>
      <c r="C1790" s="645" t="s">
        <v>206</v>
      </c>
      <c r="D1790" s="416" t="s">
        <v>474</v>
      </c>
      <c r="E1790" s="417"/>
      <c r="F1790" s="418"/>
      <c r="G1790" s="419"/>
      <c r="H1790" s="646">
        <f t="shared" si="433"/>
        <v>0</v>
      </c>
      <c r="I1790" s="420">
        <v>138.22</v>
      </c>
      <c r="J1790" s="420">
        <f>IF(ISBLANK(I1790),"",SUM(H1790:I1790))</f>
        <v>138.22</v>
      </c>
      <c r="K1790" s="421">
        <f t="shared" si="434"/>
        <v>164.22</v>
      </c>
      <c r="L1790" s="647" t="s">
        <v>21</v>
      </c>
      <c r="M1790" s="576"/>
      <c r="N1790" s="576">
        <f t="shared" si="429"/>
        <v>0</v>
      </c>
      <c r="O1790" s="577">
        <f t="shared" si="438"/>
        <v>0</v>
      </c>
      <c r="P1790" s="578">
        <f t="shared" si="439"/>
        <v>0</v>
      </c>
      <c r="Q1790" s="765"/>
      <c r="R1790" s="576">
        <f t="shared" si="432"/>
        <v>0</v>
      </c>
      <c r="S1790" s="576">
        <f t="shared" si="432"/>
        <v>0</v>
      </c>
      <c r="T1790" s="577">
        <f t="shared" si="435"/>
        <v>0</v>
      </c>
      <c r="U1790" s="578">
        <f t="shared" si="436"/>
        <v>0</v>
      </c>
      <c r="V1790" s="579"/>
      <c r="W1790" s="566"/>
      <c r="X1790" s="586" t="str">
        <f t="shared" si="422"/>
        <v/>
      </c>
      <c r="Y1790" s="586" t="str">
        <f t="shared" si="431"/>
        <v/>
      </c>
      <c r="Z1790" s="586" t="str">
        <f t="shared" si="427"/>
        <v/>
      </c>
    </row>
    <row r="1791" spans="1:26" ht="12" hidden="1" thickBot="1" x14ac:dyDescent="0.25">
      <c r="A1791" s="567">
        <v>633000</v>
      </c>
      <c r="B1791" s="644" t="s">
        <v>1651</v>
      </c>
      <c r="C1791" s="645" t="s">
        <v>206</v>
      </c>
      <c r="D1791" s="416" t="s">
        <v>623</v>
      </c>
      <c r="E1791" s="417"/>
      <c r="F1791" s="418"/>
      <c r="G1791" s="419"/>
      <c r="H1791" s="646">
        <f t="shared" si="433"/>
        <v>0</v>
      </c>
      <c r="I1791" s="420">
        <v>76.88</v>
      </c>
      <c r="J1791" s="420">
        <f>IF(ISBLANK(I1791),"",SUM(H1791:I1791))</f>
        <v>76.88</v>
      </c>
      <c r="K1791" s="421">
        <f t="shared" si="434"/>
        <v>91.34</v>
      </c>
      <c r="L1791" s="647" t="s">
        <v>19</v>
      </c>
      <c r="M1791" s="576"/>
      <c r="N1791" s="576">
        <f t="shared" si="429"/>
        <v>0</v>
      </c>
      <c r="O1791" s="577">
        <f t="shared" si="438"/>
        <v>0</v>
      </c>
      <c r="P1791" s="578">
        <f t="shared" si="439"/>
        <v>0</v>
      </c>
      <c r="Q1791" s="765"/>
      <c r="R1791" s="576">
        <f t="shared" si="432"/>
        <v>0</v>
      </c>
      <c r="S1791" s="576">
        <f t="shared" si="432"/>
        <v>0</v>
      </c>
      <c r="T1791" s="577">
        <f t="shared" si="435"/>
        <v>0</v>
      </c>
      <c r="U1791" s="578">
        <f t="shared" si="436"/>
        <v>0</v>
      </c>
      <c r="V1791" s="579"/>
      <c r="W1791" s="566"/>
      <c r="X1791" s="586" t="str">
        <f t="shared" si="422"/>
        <v/>
      </c>
      <c r="Y1791" s="586" t="str">
        <f t="shared" si="431"/>
        <v/>
      </c>
      <c r="Z1791" s="586" t="str">
        <f t="shared" si="427"/>
        <v/>
      </c>
    </row>
    <row r="1792" spans="1:26" ht="12" hidden="1" thickBot="1" x14ac:dyDescent="0.25">
      <c r="A1792" s="567">
        <v>633100</v>
      </c>
      <c r="B1792" s="644" t="s">
        <v>1654</v>
      </c>
      <c r="C1792" s="645" t="s">
        <v>206</v>
      </c>
      <c r="D1792" s="416" t="s">
        <v>624</v>
      </c>
      <c r="E1792" s="417"/>
      <c r="F1792" s="418"/>
      <c r="G1792" s="419"/>
      <c r="H1792" s="646">
        <f t="shared" si="433"/>
        <v>0</v>
      </c>
      <c r="I1792" s="420">
        <v>153.77000000000001</v>
      </c>
      <c r="J1792" s="420">
        <f>IF(ISBLANK(I1792),"",SUM(H1792:I1792))</f>
        <v>153.77000000000001</v>
      </c>
      <c r="K1792" s="421">
        <f t="shared" si="434"/>
        <v>182.69</v>
      </c>
      <c r="L1792" s="647" t="s">
        <v>19</v>
      </c>
      <c r="M1792" s="576"/>
      <c r="N1792" s="576">
        <f t="shared" si="429"/>
        <v>0</v>
      </c>
      <c r="O1792" s="577">
        <f t="shared" si="438"/>
        <v>0</v>
      </c>
      <c r="P1792" s="578">
        <f t="shared" si="439"/>
        <v>0</v>
      </c>
      <c r="Q1792" s="765"/>
      <c r="R1792" s="576">
        <f t="shared" si="432"/>
        <v>0</v>
      </c>
      <c r="S1792" s="576">
        <f t="shared" si="432"/>
        <v>0</v>
      </c>
      <c r="T1792" s="577">
        <f t="shared" si="435"/>
        <v>0</v>
      </c>
      <c r="U1792" s="578">
        <f t="shared" si="436"/>
        <v>0</v>
      </c>
      <c r="V1792" s="579"/>
      <c r="W1792" s="566"/>
      <c r="X1792" s="586" t="str">
        <f t="shared" si="422"/>
        <v/>
      </c>
      <c r="Y1792" s="586" t="str">
        <f t="shared" si="431"/>
        <v/>
      </c>
      <c r="Z1792" s="586" t="str">
        <f t="shared" si="427"/>
        <v/>
      </c>
    </row>
    <row r="1793" spans="1:26" ht="12" hidden="1" thickBot="1" x14ac:dyDescent="0.25">
      <c r="A1793" s="567">
        <v>633200</v>
      </c>
      <c r="B1793" s="644" t="s">
        <v>1655</v>
      </c>
      <c r="C1793" s="645" t="s">
        <v>206</v>
      </c>
      <c r="D1793" s="416" t="s">
        <v>625</v>
      </c>
      <c r="E1793" s="417"/>
      <c r="F1793" s="418"/>
      <c r="G1793" s="419"/>
      <c r="H1793" s="646">
        <f t="shared" si="433"/>
        <v>0</v>
      </c>
      <c r="I1793" s="420">
        <v>230.65</v>
      </c>
      <c r="J1793" s="420">
        <f>IF(ISBLANK(I1793),"",SUM(H1793:I1793))</f>
        <v>230.65</v>
      </c>
      <c r="K1793" s="421">
        <f t="shared" si="434"/>
        <v>274.04000000000002</v>
      </c>
      <c r="L1793" s="647" t="s">
        <v>19</v>
      </c>
      <c r="M1793" s="576"/>
      <c r="N1793" s="576">
        <f t="shared" si="429"/>
        <v>0</v>
      </c>
      <c r="O1793" s="577">
        <f t="shared" si="438"/>
        <v>0</v>
      </c>
      <c r="P1793" s="578">
        <f t="shared" si="439"/>
        <v>0</v>
      </c>
      <c r="Q1793" s="765"/>
      <c r="R1793" s="576">
        <f t="shared" si="432"/>
        <v>0</v>
      </c>
      <c r="S1793" s="576">
        <f t="shared" si="432"/>
        <v>0</v>
      </c>
      <c r="T1793" s="577">
        <f t="shared" si="435"/>
        <v>0</v>
      </c>
      <c r="U1793" s="578">
        <f t="shared" si="436"/>
        <v>0</v>
      </c>
      <c r="V1793" s="579"/>
      <c r="W1793" s="566"/>
      <c r="X1793" s="586" t="str">
        <f t="shared" ref="X1793:X1873" si="440">IF(W1793="X","x",IF(W1793="xx","x",IF(W1793="xy","x",IF(W1793="y","x",IF(OR(P1793&gt;0,U1793&gt;0),"x","")))))</f>
        <v/>
      </c>
      <c r="Y1793" s="586" t="str">
        <f t="shared" si="431"/>
        <v/>
      </c>
      <c r="Z1793" s="586" t="str">
        <f t="shared" si="427"/>
        <v/>
      </c>
    </row>
    <row r="1794" spans="1:26" ht="12" hidden="1" thickBot="1" x14ac:dyDescent="0.25">
      <c r="A1794" s="567">
        <v>630300</v>
      </c>
      <c r="B1794" s="644">
        <v>630300</v>
      </c>
      <c r="C1794" s="645" t="s">
        <v>206</v>
      </c>
      <c r="D1794" s="422" t="s">
        <v>326</v>
      </c>
      <c r="E1794" s="423"/>
      <c r="F1794" s="424"/>
      <c r="G1794" s="425"/>
      <c r="H1794" s="646">
        <f t="shared" si="433"/>
        <v>0</v>
      </c>
      <c r="I1794" s="420">
        <v>16.32</v>
      </c>
      <c r="J1794" s="420">
        <f t="shared" si="437"/>
        <v>16.32</v>
      </c>
      <c r="K1794" s="421">
        <f t="shared" si="434"/>
        <v>19.39</v>
      </c>
      <c r="L1794" s="647" t="s">
        <v>19</v>
      </c>
      <c r="M1794" s="576"/>
      <c r="N1794" s="576">
        <f t="shared" si="429"/>
        <v>0</v>
      </c>
      <c r="O1794" s="577">
        <f t="shared" si="438"/>
        <v>0</v>
      </c>
      <c r="P1794" s="578">
        <f t="shared" si="439"/>
        <v>0</v>
      </c>
      <c r="Q1794" s="765"/>
      <c r="R1794" s="576">
        <f t="shared" si="432"/>
        <v>0</v>
      </c>
      <c r="S1794" s="576">
        <f t="shared" si="432"/>
        <v>0</v>
      </c>
      <c r="T1794" s="577">
        <f t="shared" si="435"/>
        <v>0</v>
      </c>
      <c r="U1794" s="578">
        <f t="shared" si="436"/>
        <v>0</v>
      </c>
      <c r="V1794" s="579"/>
      <c r="W1794" s="566"/>
      <c r="X1794" s="586" t="str">
        <f t="shared" si="440"/>
        <v/>
      </c>
      <c r="Y1794" s="586" t="str">
        <f t="shared" si="431"/>
        <v/>
      </c>
      <c r="Z1794" s="586" t="str">
        <f t="shared" si="427"/>
        <v/>
      </c>
    </row>
    <row r="1795" spans="1:26" ht="12" hidden="1" thickBot="1" x14ac:dyDescent="0.25">
      <c r="A1795" s="567">
        <v>630400</v>
      </c>
      <c r="B1795" s="644">
        <v>630400</v>
      </c>
      <c r="C1795" s="645" t="s">
        <v>206</v>
      </c>
      <c r="D1795" s="451" t="s">
        <v>327</v>
      </c>
      <c r="E1795" s="423"/>
      <c r="F1795" s="424"/>
      <c r="G1795" s="425"/>
      <c r="H1795" s="646">
        <f t="shared" si="433"/>
        <v>0</v>
      </c>
      <c r="I1795" s="420">
        <v>20.399999999999999</v>
      </c>
      <c r="J1795" s="420">
        <f t="shared" si="437"/>
        <v>20.399999999999999</v>
      </c>
      <c r="K1795" s="421">
        <f t="shared" si="434"/>
        <v>24.24</v>
      </c>
      <c r="L1795" s="647" t="s">
        <v>19</v>
      </c>
      <c r="M1795" s="576"/>
      <c r="N1795" s="576">
        <f t="shared" si="429"/>
        <v>0</v>
      </c>
      <c r="O1795" s="577">
        <f t="shared" si="438"/>
        <v>0</v>
      </c>
      <c r="P1795" s="578">
        <f t="shared" si="439"/>
        <v>0</v>
      </c>
      <c r="Q1795" s="765"/>
      <c r="R1795" s="576">
        <f t="shared" si="432"/>
        <v>0</v>
      </c>
      <c r="S1795" s="576">
        <f t="shared" si="432"/>
        <v>0</v>
      </c>
      <c r="T1795" s="577">
        <f t="shared" si="435"/>
        <v>0</v>
      </c>
      <c r="U1795" s="578">
        <f t="shared" si="436"/>
        <v>0</v>
      </c>
      <c r="V1795" s="579"/>
      <c r="W1795" s="566"/>
      <c r="X1795" s="586" t="str">
        <f t="shared" si="440"/>
        <v/>
      </c>
      <c r="Y1795" s="586" t="str">
        <f t="shared" si="431"/>
        <v/>
      </c>
      <c r="Z1795" s="586" t="str">
        <f t="shared" si="427"/>
        <v/>
      </c>
    </row>
    <row r="1796" spans="1:26" ht="12" hidden="1" thickBot="1" x14ac:dyDescent="0.25">
      <c r="A1796" s="567">
        <v>630500</v>
      </c>
      <c r="B1796" s="644">
        <v>630500</v>
      </c>
      <c r="C1796" s="645" t="s">
        <v>206</v>
      </c>
      <c r="D1796" s="451" t="s">
        <v>328</v>
      </c>
      <c r="E1796" s="423"/>
      <c r="F1796" s="424"/>
      <c r="G1796" s="425"/>
      <c r="H1796" s="651">
        <f t="shared" si="433"/>
        <v>0</v>
      </c>
      <c r="I1796" s="420">
        <v>22.26</v>
      </c>
      <c r="J1796" s="420">
        <f t="shared" si="437"/>
        <v>22.26</v>
      </c>
      <c r="K1796" s="421">
        <f t="shared" si="434"/>
        <v>26.45</v>
      </c>
      <c r="L1796" s="647" t="s">
        <v>19</v>
      </c>
      <c r="M1796" s="576"/>
      <c r="N1796" s="576">
        <f t="shared" si="429"/>
        <v>0</v>
      </c>
      <c r="O1796" s="577">
        <f t="shared" si="438"/>
        <v>0</v>
      </c>
      <c r="P1796" s="578">
        <f t="shared" si="439"/>
        <v>0</v>
      </c>
      <c r="Q1796" s="765"/>
      <c r="R1796" s="576">
        <f t="shared" si="432"/>
        <v>0</v>
      </c>
      <c r="S1796" s="576">
        <f t="shared" si="432"/>
        <v>0</v>
      </c>
      <c r="T1796" s="577">
        <f t="shared" si="435"/>
        <v>0</v>
      </c>
      <c r="U1796" s="578">
        <f t="shared" si="436"/>
        <v>0</v>
      </c>
      <c r="V1796" s="579"/>
      <c r="W1796" s="566"/>
      <c r="X1796" s="586" t="str">
        <f t="shared" si="440"/>
        <v/>
      </c>
      <c r="Y1796" s="586" t="str">
        <f t="shared" si="431"/>
        <v/>
      </c>
      <c r="Z1796" s="586" t="str">
        <f t="shared" si="427"/>
        <v/>
      </c>
    </row>
    <row r="1797" spans="1:26" ht="12" hidden="1" thickBot="1" x14ac:dyDescent="0.25">
      <c r="A1797" s="567">
        <v>630600</v>
      </c>
      <c r="B1797" s="644">
        <v>630600</v>
      </c>
      <c r="C1797" s="645" t="s">
        <v>206</v>
      </c>
      <c r="D1797" s="451" t="s">
        <v>329</v>
      </c>
      <c r="E1797" s="423"/>
      <c r="F1797" s="424"/>
      <c r="G1797" s="425"/>
      <c r="H1797" s="651">
        <f t="shared" si="433"/>
        <v>0</v>
      </c>
      <c r="I1797" s="420">
        <v>24.48</v>
      </c>
      <c r="J1797" s="420">
        <f t="shared" si="437"/>
        <v>24.48</v>
      </c>
      <c r="K1797" s="421">
        <f t="shared" si="434"/>
        <v>29.08</v>
      </c>
      <c r="L1797" s="647" t="s">
        <v>19</v>
      </c>
      <c r="M1797" s="576"/>
      <c r="N1797" s="576">
        <f t="shared" si="429"/>
        <v>0</v>
      </c>
      <c r="O1797" s="577">
        <f t="shared" si="438"/>
        <v>0</v>
      </c>
      <c r="P1797" s="578">
        <f t="shared" si="439"/>
        <v>0</v>
      </c>
      <c r="Q1797" s="765"/>
      <c r="R1797" s="576">
        <f t="shared" si="432"/>
        <v>0</v>
      </c>
      <c r="S1797" s="576">
        <f t="shared" si="432"/>
        <v>0</v>
      </c>
      <c r="T1797" s="577">
        <f t="shared" si="435"/>
        <v>0</v>
      </c>
      <c r="U1797" s="578">
        <f t="shared" si="436"/>
        <v>0</v>
      </c>
      <c r="V1797" s="579"/>
      <c r="W1797" s="566"/>
      <c r="X1797" s="586" t="str">
        <f t="shared" si="440"/>
        <v/>
      </c>
      <c r="Y1797" s="586" t="str">
        <f t="shared" si="431"/>
        <v/>
      </c>
      <c r="Z1797" s="586" t="str">
        <f t="shared" si="427"/>
        <v/>
      </c>
    </row>
    <row r="1798" spans="1:26" ht="12" hidden="1" thickBot="1" x14ac:dyDescent="0.25">
      <c r="A1798" s="567">
        <v>630800</v>
      </c>
      <c r="B1798" s="644">
        <v>630800</v>
      </c>
      <c r="C1798" s="645" t="s">
        <v>206</v>
      </c>
      <c r="D1798" s="422" t="s">
        <v>330</v>
      </c>
      <c r="E1798" s="423"/>
      <c r="F1798" s="424"/>
      <c r="G1798" s="425"/>
      <c r="H1798" s="651">
        <f t="shared" si="433"/>
        <v>0</v>
      </c>
      <c r="I1798" s="420">
        <v>48.97</v>
      </c>
      <c r="J1798" s="420">
        <f t="shared" si="437"/>
        <v>48.97</v>
      </c>
      <c r="K1798" s="421">
        <f t="shared" si="434"/>
        <v>58.18</v>
      </c>
      <c r="L1798" s="647" t="s">
        <v>19</v>
      </c>
      <c r="M1798" s="576"/>
      <c r="N1798" s="576">
        <f t="shared" si="429"/>
        <v>0</v>
      </c>
      <c r="O1798" s="577">
        <f t="shared" si="438"/>
        <v>0</v>
      </c>
      <c r="P1798" s="578">
        <f t="shared" si="439"/>
        <v>0</v>
      </c>
      <c r="Q1798" s="765"/>
      <c r="R1798" s="576">
        <f t="shared" si="432"/>
        <v>0</v>
      </c>
      <c r="S1798" s="576">
        <f t="shared" si="432"/>
        <v>0</v>
      </c>
      <c r="T1798" s="577">
        <f t="shared" si="435"/>
        <v>0</v>
      </c>
      <c r="U1798" s="578">
        <f t="shared" si="436"/>
        <v>0</v>
      </c>
      <c r="V1798" s="579"/>
      <c r="W1798" s="566"/>
      <c r="X1798" s="586" t="str">
        <f t="shared" si="440"/>
        <v/>
      </c>
      <c r="Y1798" s="586" t="str">
        <f t="shared" si="431"/>
        <v/>
      </c>
      <c r="Z1798" s="586" t="str">
        <f t="shared" si="427"/>
        <v/>
      </c>
    </row>
    <row r="1799" spans="1:26" ht="12" hidden="1" thickBot="1" x14ac:dyDescent="0.25">
      <c r="A1799" s="567">
        <v>631000</v>
      </c>
      <c r="B1799" s="644">
        <v>631000</v>
      </c>
      <c r="C1799" s="645" t="s">
        <v>206</v>
      </c>
      <c r="D1799" s="422" t="s">
        <v>331</v>
      </c>
      <c r="E1799" s="423"/>
      <c r="F1799" s="424"/>
      <c r="G1799" s="425"/>
      <c r="H1799" s="651">
        <f t="shared" si="433"/>
        <v>0</v>
      </c>
      <c r="I1799" s="420">
        <v>47.43</v>
      </c>
      <c r="J1799" s="420">
        <f t="shared" si="437"/>
        <v>47.43</v>
      </c>
      <c r="K1799" s="421">
        <f t="shared" si="434"/>
        <v>56.35</v>
      </c>
      <c r="L1799" s="647" t="s">
        <v>19</v>
      </c>
      <c r="M1799" s="576"/>
      <c r="N1799" s="576">
        <f t="shared" si="429"/>
        <v>0</v>
      </c>
      <c r="O1799" s="577">
        <f t="shared" si="438"/>
        <v>0</v>
      </c>
      <c r="P1799" s="578">
        <f t="shared" si="439"/>
        <v>0</v>
      </c>
      <c r="Q1799" s="765"/>
      <c r="R1799" s="576">
        <f t="shared" si="432"/>
        <v>0</v>
      </c>
      <c r="S1799" s="576">
        <f t="shared" si="432"/>
        <v>0</v>
      </c>
      <c r="T1799" s="577">
        <f t="shared" si="435"/>
        <v>0</v>
      </c>
      <c r="U1799" s="578">
        <f t="shared" si="436"/>
        <v>0</v>
      </c>
      <c r="V1799" s="579"/>
      <c r="W1799" s="566"/>
      <c r="X1799" s="586" t="str">
        <f t="shared" si="440"/>
        <v/>
      </c>
      <c r="Y1799" s="586" t="str">
        <f t="shared" si="431"/>
        <v/>
      </c>
      <c r="Z1799" s="586" t="str">
        <f t="shared" si="427"/>
        <v/>
      </c>
    </row>
    <row r="1800" spans="1:26" ht="12" hidden="1" thickBot="1" x14ac:dyDescent="0.25">
      <c r="A1800" s="567">
        <v>631200</v>
      </c>
      <c r="B1800" s="644">
        <v>631200</v>
      </c>
      <c r="C1800" s="645" t="s">
        <v>206</v>
      </c>
      <c r="D1800" s="422" t="s">
        <v>332</v>
      </c>
      <c r="E1800" s="423"/>
      <c r="F1800" s="424"/>
      <c r="G1800" s="425"/>
      <c r="H1800" s="651">
        <f t="shared" si="433"/>
        <v>0</v>
      </c>
      <c r="I1800" s="420">
        <v>56.92</v>
      </c>
      <c r="J1800" s="420">
        <f t="shared" si="437"/>
        <v>56.92</v>
      </c>
      <c r="K1800" s="421">
        <f t="shared" si="434"/>
        <v>67.63</v>
      </c>
      <c r="L1800" s="647" t="s">
        <v>19</v>
      </c>
      <c r="M1800" s="576"/>
      <c r="N1800" s="576">
        <f t="shared" si="429"/>
        <v>0</v>
      </c>
      <c r="O1800" s="577">
        <f t="shared" si="438"/>
        <v>0</v>
      </c>
      <c r="P1800" s="578">
        <f t="shared" si="439"/>
        <v>0</v>
      </c>
      <c r="Q1800" s="765"/>
      <c r="R1800" s="576">
        <f t="shared" si="432"/>
        <v>0</v>
      </c>
      <c r="S1800" s="576">
        <f t="shared" si="432"/>
        <v>0</v>
      </c>
      <c r="T1800" s="577">
        <f t="shared" si="435"/>
        <v>0</v>
      </c>
      <c r="U1800" s="578">
        <f t="shared" si="436"/>
        <v>0</v>
      </c>
      <c r="V1800" s="579"/>
      <c r="W1800" s="566"/>
      <c r="X1800" s="586" t="str">
        <f t="shared" si="440"/>
        <v/>
      </c>
      <c r="Y1800" s="586" t="str">
        <f t="shared" si="431"/>
        <v/>
      </c>
      <c r="Z1800" s="586" t="str">
        <f t="shared" si="427"/>
        <v/>
      </c>
    </row>
    <row r="1801" spans="1:26" ht="12" hidden="1" thickBot="1" x14ac:dyDescent="0.25">
      <c r="A1801" s="567">
        <v>631500</v>
      </c>
      <c r="B1801" s="644">
        <v>631500</v>
      </c>
      <c r="C1801" s="645" t="s">
        <v>206</v>
      </c>
      <c r="D1801" s="422" t="s">
        <v>333</v>
      </c>
      <c r="E1801" s="423"/>
      <c r="F1801" s="424"/>
      <c r="G1801" s="425"/>
      <c r="H1801" s="651">
        <f t="shared" si="433"/>
        <v>0</v>
      </c>
      <c r="I1801" s="420">
        <v>71.150000000000006</v>
      </c>
      <c r="J1801" s="420">
        <f t="shared" si="437"/>
        <v>71.150000000000006</v>
      </c>
      <c r="K1801" s="421">
        <f t="shared" si="434"/>
        <v>84.53</v>
      </c>
      <c r="L1801" s="647" t="s">
        <v>19</v>
      </c>
      <c r="M1801" s="576"/>
      <c r="N1801" s="576">
        <f t="shared" si="429"/>
        <v>0</v>
      </c>
      <c r="O1801" s="577">
        <f t="shared" si="438"/>
        <v>0</v>
      </c>
      <c r="P1801" s="578">
        <f t="shared" si="439"/>
        <v>0</v>
      </c>
      <c r="Q1801" s="765"/>
      <c r="R1801" s="576">
        <f t="shared" si="432"/>
        <v>0</v>
      </c>
      <c r="S1801" s="576">
        <f t="shared" si="432"/>
        <v>0</v>
      </c>
      <c r="T1801" s="577">
        <f t="shared" si="435"/>
        <v>0</v>
      </c>
      <c r="U1801" s="578">
        <f t="shared" si="436"/>
        <v>0</v>
      </c>
      <c r="V1801" s="579"/>
      <c r="W1801" s="566"/>
      <c r="X1801" s="586" t="str">
        <f t="shared" si="440"/>
        <v/>
      </c>
      <c r="Y1801" s="586" t="str">
        <f t="shared" si="431"/>
        <v/>
      </c>
      <c r="Z1801" s="586" t="str">
        <f t="shared" si="427"/>
        <v/>
      </c>
    </row>
    <row r="1802" spans="1:26" ht="12" hidden="1" thickBot="1" x14ac:dyDescent="0.25">
      <c r="A1802" s="567">
        <v>860200</v>
      </c>
      <c r="B1802" s="644">
        <v>860200</v>
      </c>
      <c r="C1802" s="645" t="s">
        <v>206</v>
      </c>
      <c r="D1802" s="422" t="s">
        <v>1502</v>
      </c>
      <c r="E1802" s="423"/>
      <c r="F1802" s="424"/>
      <c r="G1802" s="425"/>
      <c r="H1802" s="651">
        <f>SUM(H1803:H1804)</f>
        <v>23.508294000000003</v>
      </c>
      <c r="I1802" s="420">
        <v>744.48</v>
      </c>
      <c r="J1802" s="420">
        <f>IF(ISBLANK(I1802),"",SUM(H1802:I1802))</f>
        <v>767.988294</v>
      </c>
      <c r="K1802" s="421">
        <f t="shared" si="434"/>
        <v>912.45</v>
      </c>
      <c r="L1802" s="647" t="s">
        <v>16</v>
      </c>
      <c r="M1802" s="576"/>
      <c r="N1802" s="576">
        <f t="shared" si="429"/>
        <v>0</v>
      </c>
      <c r="O1802" s="577">
        <f t="shared" si="438"/>
        <v>0</v>
      </c>
      <c r="P1802" s="578">
        <f t="shared" si="439"/>
        <v>0</v>
      </c>
      <c r="Q1802" s="765"/>
      <c r="R1802" s="576">
        <f t="shared" si="432"/>
        <v>0</v>
      </c>
      <c r="S1802" s="576">
        <f t="shared" si="432"/>
        <v>0</v>
      </c>
      <c r="T1802" s="577">
        <f t="shared" si="435"/>
        <v>0</v>
      </c>
      <c r="U1802" s="578">
        <f t="shared" si="436"/>
        <v>0</v>
      </c>
      <c r="V1802" s="579"/>
      <c r="W1802" s="566"/>
      <c r="X1802" s="586" t="str">
        <f t="shared" si="440"/>
        <v/>
      </c>
      <c r="Y1802" s="586" t="str">
        <f t="shared" si="431"/>
        <v/>
      </c>
      <c r="Z1802" s="586" t="str">
        <f t="shared" si="427"/>
        <v/>
      </c>
    </row>
    <row r="1803" spans="1:26" ht="12" hidden="1" thickBot="1" x14ac:dyDescent="0.25">
      <c r="A1803" s="567" t="s">
        <v>168</v>
      </c>
      <c r="B1803" s="644" t="s">
        <v>168</v>
      </c>
      <c r="C1803" s="645"/>
      <c r="D1803" s="451" t="s">
        <v>1503</v>
      </c>
      <c r="E1803" s="423"/>
      <c r="F1803" s="424">
        <v>10</v>
      </c>
      <c r="G1803" s="425">
        <v>1.7250000000000001</v>
      </c>
      <c r="H1803" s="663">
        <f t="shared" ref="H1803:H1822" si="441">IF(F1803&lt;=30,(1.07*F1803+2.68)*G1803,((1.07*30+2.68)+1.07*(F1803-30))*G1803)</f>
        <v>23.080500000000004</v>
      </c>
      <c r="I1803" s="420"/>
      <c r="J1803" s="420"/>
      <c r="K1803" s="421">
        <f t="shared" si="434"/>
        <v>0</v>
      </c>
      <c r="L1803" s="668" t="s">
        <v>614</v>
      </c>
      <c r="M1803" s="669"/>
      <c r="N1803" s="576">
        <f t="shared" si="429"/>
        <v>0</v>
      </c>
      <c r="O1803" s="577">
        <f t="shared" si="438"/>
        <v>0</v>
      </c>
      <c r="P1803" s="578">
        <f t="shared" si="439"/>
        <v>0</v>
      </c>
      <c r="Q1803" s="765"/>
      <c r="R1803" s="669"/>
      <c r="S1803" s="670"/>
      <c r="T1803" s="577">
        <f t="shared" si="435"/>
        <v>0</v>
      </c>
      <c r="U1803" s="578">
        <f t="shared" si="436"/>
        <v>0</v>
      </c>
      <c r="V1803" s="579"/>
      <c r="W1803" s="637" t="str">
        <f>IF(U1802&gt;0,"xx",IF(P1802&gt;0,"xy",""))</f>
        <v/>
      </c>
      <c r="X1803" s="586" t="str">
        <f t="shared" si="440"/>
        <v/>
      </c>
      <c r="Y1803" s="586" t="str">
        <f t="shared" si="431"/>
        <v/>
      </c>
      <c r="Z1803" s="586" t="str">
        <f t="shared" si="427"/>
        <v/>
      </c>
    </row>
    <row r="1804" spans="1:26" ht="12" hidden="1" thickBot="1" x14ac:dyDescent="0.25">
      <c r="A1804" s="567" t="s">
        <v>168</v>
      </c>
      <c r="B1804" s="644" t="s">
        <v>168</v>
      </c>
      <c r="C1804" s="645"/>
      <c r="D1804" s="451" t="s">
        <v>334</v>
      </c>
      <c r="E1804" s="423"/>
      <c r="F1804" s="424">
        <v>30</v>
      </c>
      <c r="G1804" s="425">
        <v>1.23E-2</v>
      </c>
      <c r="H1804" s="663">
        <f t="shared" si="441"/>
        <v>0.42779400000000001</v>
      </c>
      <c r="I1804" s="420"/>
      <c r="J1804" s="420"/>
      <c r="K1804" s="421">
        <f t="shared" si="434"/>
        <v>0</v>
      </c>
      <c r="L1804" s="668" t="s">
        <v>614</v>
      </c>
      <c r="M1804" s="669"/>
      <c r="N1804" s="576">
        <f t="shared" si="429"/>
        <v>0</v>
      </c>
      <c r="O1804" s="577">
        <f t="shared" si="438"/>
        <v>0</v>
      </c>
      <c r="P1804" s="578">
        <f t="shared" si="439"/>
        <v>0</v>
      </c>
      <c r="Q1804" s="765"/>
      <c r="R1804" s="669"/>
      <c r="S1804" s="670"/>
      <c r="T1804" s="577">
        <f t="shared" si="435"/>
        <v>0</v>
      </c>
      <c r="U1804" s="578">
        <f t="shared" si="436"/>
        <v>0</v>
      </c>
      <c r="V1804" s="579"/>
      <c r="W1804" s="637" t="str">
        <f>IF(U1802&gt;0,"xx",IF(P1802&gt;0,"xy",""))</f>
        <v/>
      </c>
      <c r="X1804" s="586" t="str">
        <f t="shared" si="440"/>
        <v/>
      </c>
      <c r="Y1804" s="586" t="str">
        <f t="shared" si="431"/>
        <v/>
      </c>
      <c r="Z1804" s="586" t="str">
        <f t="shared" si="427"/>
        <v/>
      </c>
    </row>
    <row r="1805" spans="1:26" ht="12" hidden="1" thickBot="1" x14ac:dyDescent="0.25">
      <c r="A1805" s="567">
        <v>860100</v>
      </c>
      <c r="B1805" s="644">
        <v>860100</v>
      </c>
      <c r="C1805" s="645" t="s">
        <v>206</v>
      </c>
      <c r="D1805" s="422" t="s">
        <v>1504</v>
      </c>
      <c r="E1805" s="423"/>
      <c r="F1805" s="424"/>
      <c r="G1805" s="425"/>
      <c r="H1805" s="651">
        <f>SUM(H1806:H1807)</f>
        <v>23.529162000000003</v>
      </c>
      <c r="I1805" s="420">
        <v>700.8900000000001</v>
      </c>
      <c r="J1805" s="420">
        <f>IF(ISBLANK(I1805),"",SUM(H1805:I1805))</f>
        <v>724.41916200000014</v>
      </c>
      <c r="K1805" s="421">
        <f t="shared" si="434"/>
        <v>860.68</v>
      </c>
      <c r="L1805" s="647" t="s">
        <v>16</v>
      </c>
      <c r="M1805" s="576"/>
      <c r="N1805" s="576">
        <f t="shared" si="429"/>
        <v>0</v>
      </c>
      <c r="O1805" s="577">
        <f t="shared" si="438"/>
        <v>0</v>
      </c>
      <c r="P1805" s="578">
        <f t="shared" si="439"/>
        <v>0</v>
      </c>
      <c r="Q1805" s="765"/>
      <c r="R1805" s="576">
        <f t="shared" si="432"/>
        <v>0</v>
      </c>
      <c r="S1805" s="576">
        <f>N1805</f>
        <v>0</v>
      </c>
      <c r="T1805" s="577">
        <f t="shared" si="435"/>
        <v>0</v>
      </c>
      <c r="U1805" s="578">
        <f t="shared" si="436"/>
        <v>0</v>
      </c>
      <c r="V1805" s="579"/>
      <c r="W1805" s="566"/>
      <c r="X1805" s="586" t="str">
        <f t="shared" si="440"/>
        <v/>
      </c>
      <c r="Y1805" s="586" t="str">
        <f t="shared" si="431"/>
        <v/>
      </c>
      <c r="Z1805" s="586" t="str">
        <f t="shared" si="427"/>
        <v/>
      </c>
    </row>
    <row r="1806" spans="1:26" ht="12" hidden="1" thickBot="1" x14ac:dyDescent="0.25">
      <c r="A1806" s="567" t="s">
        <v>168</v>
      </c>
      <c r="B1806" s="644" t="s">
        <v>168</v>
      </c>
      <c r="C1806" s="645"/>
      <c r="D1806" s="451" t="s">
        <v>1503</v>
      </c>
      <c r="E1806" s="423"/>
      <c r="F1806" s="424">
        <v>10</v>
      </c>
      <c r="G1806" s="425">
        <v>1.7250000000000001</v>
      </c>
      <c r="H1806" s="663">
        <f t="shared" si="441"/>
        <v>23.080500000000004</v>
      </c>
      <c r="I1806" s="420"/>
      <c r="J1806" s="420"/>
      <c r="K1806" s="421">
        <f t="shared" si="434"/>
        <v>0</v>
      </c>
      <c r="L1806" s="668" t="s">
        <v>614</v>
      </c>
      <c r="M1806" s="669"/>
      <c r="N1806" s="576">
        <f t="shared" si="429"/>
        <v>0</v>
      </c>
      <c r="O1806" s="577">
        <f t="shared" si="438"/>
        <v>0</v>
      </c>
      <c r="P1806" s="578">
        <f t="shared" si="439"/>
        <v>0</v>
      </c>
      <c r="Q1806" s="765"/>
      <c r="R1806" s="669"/>
      <c r="S1806" s="670"/>
      <c r="T1806" s="577">
        <f t="shared" si="435"/>
        <v>0</v>
      </c>
      <c r="U1806" s="578">
        <f t="shared" si="436"/>
        <v>0</v>
      </c>
      <c r="V1806" s="579"/>
      <c r="W1806" s="637" t="str">
        <f>IF(U1805&gt;0,"xx",IF(P1805&gt;0,"xy",""))</f>
        <v/>
      </c>
      <c r="X1806" s="586" t="str">
        <f t="shared" si="440"/>
        <v/>
      </c>
      <c r="Y1806" s="586" t="str">
        <f t="shared" si="431"/>
        <v/>
      </c>
      <c r="Z1806" s="586" t="str">
        <f t="shared" si="427"/>
        <v/>
      </c>
    </row>
    <row r="1807" spans="1:26" ht="12" hidden="1" thickBot="1" x14ac:dyDescent="0.25">
      <c r="A1807" s="567" t="s">
        <v>168</v>
      </c>
      <c r="B1807" s="644" t="s">
        <v>168</v>
      </c>
      <c r="C1807" s="645"/>
      <c r="D1807" s="451" t="s">
        <v>334</v>
      </c>
      <c r="E1807" s="423"/>
      <c r="F1807" s="424">
        <v>30</v>
      </c>
      <c r="G1807" s="425">
        <v>1.29E-2</v>
      </c>
      <c r="H1807" s="663">
        <f t="shared" si="441"/>
        <v>0.44866200000000001</v>
      </c>
      <c r="I1807" s="420"/>
      <c r="J1807" s="420"/>
      <c r="K1807" s="421">
        <f t="shared" si="434"/>
        <v>0</v>
      </c>
      <c r="L1807" s="668" t="s">
        <v>614</v>
      </c>
      <c r="M1807" s="669"/>
      <c r="N1807" s="576">
        <f t="shared" si="429"/>
        <v>0</v>
      </c>
      <c r="O1807" s="577">
        <f t="shared" si="438"/>
        <v>0</v>
      </c>
      <c r="P1807" s="578">
        <f t="shared" si="439"/>
        <v>0</v>
      </c>
      <c r="Q1807" s="765"/>
      <c r="R1807" s="669"/>
      <c r="S1807" s="670"/>
      <c r="T1807" s="577">
        <f t="shared" si="435"/>
        <v>0</v>
      </c>
      <c r="U1807" s="578">
        <f t="shared" si="436"/>
        <v>0</v>
      </c>
      <c r="V1807" s="579"/>
      <c r="W1807" s="637" t="str">
        <f>IF(U1805&gt;0,"xx",IF(P1805&gt;0,"xy",""))</f>
        <v/>
      </c>
      <c r="X1807" s="586" t="str">
        <f t="shared" si="440"/>
        <v/>
      </c>
      <c r="Y1807" s="586" t="str">
        <f t="shared" si="431"/>
        <v/>
      </c>
      <c r="Z1807" s="586" t="str">
        <f t="shared" si="427"/>
        <v/>
      </c>
    </row>
    <row r="1808" spans="1:26" ht="12" hidden="1" thickBot="1" x14ac:dyDescent="0.25">
      <c r="A1808" s="567">
        <v>860150</v>
      </c>
      <c r="B1808" s="644">
        <v>860150</v>
      </c>
      <c r="C1808" s="645" t="s">
        <v>206</v>
      </c>
      <c r="D1808" s="422" t="s">
        <v>1505</v>
      </c>
      <c r="E1808" s="423"/>
      <c r="F1808" s="424"/>
      <c r="G1808" s="425"/>
      <c r="H1808" s="651">
        <f>SUM(H1809:H1810)</f>
        <v>23.376130000000003</v>
      </c>
      <c r="I1808" s="420">
        <v>669.31</v>
      </c>
      <c r="J1808" s="420">
        <f>IF(ISBLANK(I1808),"",SUM(H1808:I1808))</f>
        <v>692.68612999999993</v>
      </c>
      <c r="K1808" s="421">
        <f t="shared" si="434"/>
        <v>822.98</v>
      </c>
      <c r="L1808" s="647" t="s">
        <v>16</v>
      </c>
      <c r="M1808" s="576"/>
      <c r="N1808" s="576">
        <f t="shared" si="429"/>
        <v>0</v>
      </c>
      <c r="O1808" s="577">
        <f t="shared" si="438"/>
        <v>0</v>
      </c>
      <c r="P1808" s="578">
        <f t="shared" si="439"/>
        <v>0</v>
      </c>
      <c r="Q1808" s="765"/>
      <c r="R1808" s="576">
        <f t="shared" si="432"/>
        <v>0</v>
      </c>
      <c r="S1808" s="576">
        <f>N1808</f>
        <v>0</v>
      </c>
      <c r="T1808" s="577">
        <f t="shared" si="435"/>
        <v>0</v>
      </c>
      <c r="U1808" s="578">
        <f t="shared" si="436"/>
        <v>0</v>
      </c>
      <c r="V1808" s="579"/>
      <c r="W1808" s="566"/>
      <c r="X1808" s="586" t="str">
        <f t="shared" si="440"/>
        <v/>
      </c>
      <c r="Y1808" s="586" t="str">
        <f t="shared" si="431"/>
        <v/>
      </c>
      <c r="Z1808" s="586" t="str">
        <f t="shared" si="427"/>
        <v/>
      </c>
    </row>
    <row r="1809" spans="1:26" ht="12" hidden="1" thickBot="1" x14ac:dyDescent="0.25">
      <c r="A1809" s="567" t="s">
        <v>168</v>
      </c>
      <c r="B1809" s="644" t="s">
        <v>168</v>
      </c>
      <c r="C1809" s="645"/>
      <c r="D1809" s="451" t="s">
        <v>1503</v>
      </c>
      <c r="E1809" s="423"/>
      <c r="F1809" s="424">
        <v>10</v>
      </c>
      <c r="G1809" s="425">
        <v>1.7250000000000001</v>
      </c>
      <c r="H1809" s="663">
        <f t="shared" si="441"/>
        <v>23.080500000000004</v>
      </c>
      <c r="I1809" s="420"/>
      <c r="J1809" s="420"/>
      <c r="K1809" s="421">
        <f t="shared" si="434"/>
        <v>0</v>
      </c>
      <c r="L1809" s="668" t="s">
        <v>614</v>
      </c>
      <c r="M1809" s="669"/>
      <c r="N1809" s="576">
        <f t="shared" si="429"/>
        <v>0</v>
      </c>
      <c r="O1809" s="577">
        <f t="shared" si="438"/>
        <v>0</v>
      </c>
      <c r="P1809" s="578">
        <f t="shared" si="439"/>
        <v>0</v>
      </c>
      <c r="Q1809" s="765"/>
      <c r="R1809" s="669"/>
      <c r="S1809" s="670"/>
      <c r="T1809" s="577">
        <f t="shared" si="435"/>
        <v>0</v>
      </c>
      <c r="U1809" s="578">
        <f t="shared" si="436"/>
        <v>0</v>
      </c>
      <c r="V1809" s="579"/>
      <c r="W1809" s="637" t="str">
        <f>IF(U1808&gt;0,"xx",IF(P1808&gt;0,"xy",""))</f>
        <v/>
      </c>
      <c r="X1809" s="586" t="str">
        <f t="shared" si="440"/>
        <v/>
      </c>
      <c r="Y1809" s="586" t="str">
        <f t="shared" si="431"/>
        <v/>
      </c>
      <c r="Z1809" s="586" t="str">
        <f t="shared" si="427"/>
        <v/>
      </c>
    </row>
    <row r="1810" spans="1:26" ht="12" hidden="1" thickBot="1" x14ac:dyDescent="0.25">
      <c r="A1810" s="567" t="s">
        <v>168</v>
      </c>
      <c r="B1810" s="644" t="s">
        <v>168</v>
      </c>
      <c r="C1810" s="645"/>
      <c r="D1810" s="451" t="s">
        <v>334</v>
      </c>
      <c r="E1810" s="423"/>
      <c r="F1810" s="424">
        <v>30</v>
      </c>
      <c r="G1810" s="425">
        <v>8.5000000000000006E-3</v>
      </c>
      <c r="H1810" s="663">
        <f t="shared" si="441"/>
        <v>0.29563</v>
      </c>
      <c r="I1810" s="420"/>
      <c r="J1810" s="420"/>
      <c r="K1810" s="421">
        <f t="shared" si="434"/>
        <v>0</v>
      </c>
      <c r="L1810" s="668" t="s">
        <v>614</v>
      </c>
      <c r="M1810" s="669"/>
      <c r="N1810" s="576">
        <f t="shared" si="429"/>
        <v>0</v>
      </c>
      <c r="O1810" s="577">
        <f t="shared" si="438"/>
        <v>0</v>
      </c>
      <c r="P1810" s="578">
        <f t="shared" si="439"/>
        <v>0</v>
      </c>
      <c r="Q1810" s="765"/>
      <c r="R1810" s="669"/>
      <c r="S1810" s="670"/>
      <c r="T1810" s="577">
        <f t="shared" si="435"/>
        <v>0</v>
      </c>
      <c r="U1810" s="578">
        <f t="shared" si="436"/>
        <v>0</v>
      </c>
      <c r="V1810" s="579"/>
      <c r="W1810" s="637" t="str">
        <f>IF(U1808&gt;0,"xx",IF(P1808&gt;0,"xy",""))</f>
        <v/>
      </c>
      <c r="X1810" s="586" t="str">
        <f t="shared" si="440"/>
        <v/>
      </c>
      <c r="Y1810" s="586" t="str">
        <f t="shared" si="431"/>
        <v/>
      </c>
      <c r="Z1810" s="586" t="str">
        <f t="shared" si="427"/>
        <v/>
      </c>
    </row>
    <row r="1811" spans="1:26" ht="12" hidden="1" thickBot="1" x14ac:dyDescent="0.25">
      <c r="A1811" s="567">
        <v>860000</v>
      </c>
      <c r="B1811" s="644">
        <v>860000</v>
      </c>
      <c r="C1811" s="645" t="s">
        <v>206</v>
      </c>
      <c r="D1811" s="422" t="s">
        <v>1506</v>
      </c>
      <c r="E1811" s="423"/>
      <c r="F1811" s="424"/>
      <c r="G1811" s="425"/>
      <c r="H1811" s="651">
        <f>SUM(H1812:H1813)</f>
        <v>23.396998000000004</v>
      </c>
      <c r="I1811" s="420">
        <v>666.58999999999992</v>
      </c>
      <c r="J1811" s="420">
        <f>IF(ISBLANK(I1811),"",SUM(H1811:I1811))</f>
        <v>689.98699799999997</v>
      </c>
      <c r="K1811" s="421">
        <f t="shared" si="434"/>
        <v>819.77</v>
      </c>
      <c r="L1811" s="647" t="s">
        <v>16</v>
      </c>
      <c r="M1811" s="576"/>
      <c r="N1811" s="576">
        <f t="shared" si="429"/>
        <v>0</v>
      </c>
      <c r="O1811" s="577">
        <f t="shared" si="438"/>
        <v>0</v>
      </c>
      <c r="P1811" s="578">
        <f t="shared" si="439"/>
        <v>0</v>
      </c>
      <c r="Q1811" s="765"/>
      <c r="R1811" s="576">
        <f t="shared" si="432"/>
        <v>0</v>
      </c>
      <c r="S1811" s="576">
        <f>N1811</f>
        <v>0</v>
      </c>
      <c r="T1811" s="577">
        <f t="shared" si="435"/>
        <v>0</v>
      </c>
      <c r="U1811" s="578">
        <f t="shared" si="436"/>
        <v>0</v>
      </c>
      <c r="V1811" s="579"/>
      <c r="W1811" s="566"/>
      <c r="X1811" s="586" t="str">
        <f t="shared" si="440"/>
        <v/>
      </c>
      <c r="Y1811" s="586" t="str">
        <f t="shared" si="431"/>
        <v/>
      </c>
      <c r="Z1811" s="586" t="str">
        <f t="shared" ref="Z1811:Z1823" si="442">IF(W1811="X","x",IF(U1811&gt;0,"x",""))</f>
        <v/>
      </c>
    </row>
    <row r="1812" spans="1:26" ht="12" hidden="1" thickBot="1" x14ac:dyDescent="0.25">
      <c r="A1812" s="567" t="s">
        <v>168</v>
      </c>
      <c r="B1812" s="644" t="s">
        <v>168</v>
      </c>
      <c r="C1812" s="645"/>
      <c r="D1812" s="451" t="s">
        <v>1503</v>
      </c>
      <c r="E1812" s="423"/>
      <c r="F1812" s="424">
        <v>10</v>
      </c>
      <c r="G1812" s="425">
        <v>1.7250000000000001</v>
      </c>
      <c r="H1812" s="663">
        <f t="shared" si="441"/>
        <v>23.080500000000004</v>
      </c>
      <c r="I1812" s="420"/>
      <c r="J1812" s="420"/>
      <c r="K1812" s="421">
        <f t="shared" si="434"/>
        <v>0</v>
      </c>
      <c r="L1812" s="668" t="s">
        <v>614</v>
      </c>
      <c r="M1812" s="669"/>
      <c r="N1812" s="576">
        <f t="shared" ref="N1812:N1875" si="443">IF(M1812=0,0,K1812)</f>
        <v>0</v>
      </c>
      <c r="O1812" s="577">
        <f t="shared" si="438"/>
        <v>0</v>
      </c>
      <c r="P1812" s="578">
        <f t="shared" si="439"/>
        <v>0</v>
      </c>
      <c r="Q1812" s="765"/>
      <c r="R1812" s="669"/>
      <c r="S1812" s="670"/>
      <c r="T1812" s="577">
        <f t="shared" si="435"/>
        <v>0</v>
      </c>
      <c r="U1812" s="578">
        <f t="shared" si="436"/>
        <v>0</v>
      </c>
      <c r="V1812" s="579"/>
      <c r="W1812" s="637" t="str">
        <f>IF(U1811&gt;0,"xx",IF(P1811&gt;0,"xy",""))</f>
        <v/>
      </c>
      <c r="X1812" s="586" t="str">
        <f t="shared" si="440"/>
        <v/>
      </c>
      <c r="Y1812" s="586" t="str">
        <f t="shared" si="431"/>
        <v/>
      </c>
      <c r="Z1812" s="586" t="str">
        <f t="shared" si="442"/>
        <v/>
      </c>
    </row>
    <row r="1813" spans="1:26" ht="12" hidden="1" thickBot="1" x14ac:dyDescent="0.25">
      <c r="A1813" s="567" t="s">
        <v>168</v>
      </c>
      <c r="B1813" s="644" t="s">
        <v>168</v>
      </c>
      <c r="C1813" s="645"/>
      <c r="D1813" s="451" t="s">
        <v>334</v>
      </c>
      <c r="E1813" s="423"/>
      <c r="F1813" s="424">
        <v>30</v>
      </c>
      <c r="G1813" s="425">
        <v>9.1000000000000004E-3</v>
      </c>
      <c r="H1813" s="663">
        <f t="shared" si="441"/>
        <v>0.316498</v>
      </c>
      <c r="I1813" s="420"/>
      <c r="J1813" s="420"/>
      <c r="K1813" s="421">
        <f t="shared" si="434"/>
        <v>0</v>
      </c>
      <c r="L1813" s="668" t="s">
        <v>614</v>
      </c>
      <c r="M1813" s="669"/>
      <c r="N1813" s="576">
        <f t="shared" si="443"/>
        <v>0</v>
      </c>
      <c r="O1813" s="577">
        <f t="shared" si="438"/>
        <v>0</v>
      </c>
      <c r="P1813" s="578">
        <f t="shared" si="439"/>
        <v>0</v>
      </c>
      <c r="Q1813" s="765"/>
      <c r="R1813" s="669"/>
      <c r="S1813" s="670"/>
      <c r="T1813" s="577">
        <f t="shared" si="435"/>
        <v>0</v>
      </c>
      <c r="U1813" s="578">
        <f t="shared" si="436"/>
        <v>0</v>
      </c>
      <c r="V1813" s="579"/>
      <c r="W1813" s="637" t="str">
        <f>IF(U1811&gt;0,"xx",IF(P1811&gt;0,"xy",""))</f>
        <v/>
      </c>
      <c r="X1813" s="586" t="str">
        <f t="shared" si="440"/>
        <v/>
      </c>
      <c r="Y1813" s="586" t="str">
        <f t="shared" si="431"/>
        <v/>
      </c>
      <c r="Z1813" s="586" t="str">
        <f t="shared" si="442"/>
        <v/>
      </c>
    </row>
    <row r="1814" spans="1:26" ht="12" hidden="1" thickBot="1" x14ac:dyDescent="0.25">
      <c r="A1814" s="567">
        <v>860017</v>
      </c>
      <c r="B1814" s="644">
        <v>860017</v>
      </c>
      <c r="C1814" s="645" t="s">
        <v>206</v>
      </c>
      <c r="D1814" s="422" t="s">
        <v>1507</v>
      </c>
      <c r="E1814" s="423"/>
      <c r="F1814" s="424"/>
      <c r="G1814" s="425"/>
      <c r="H1814" s="651">
        <f>SUM(H1815:H1816)</f>
        <v>4.1357300000000006</v>
      </c>
      <c r="I1814" s="420">
        <v>214.35000000000002</v>
      </c>
      <c r="J1814" s="420">
        <f>IF(ISBLANK(I1814),"",SUM(H1814:I1814))</f>
        <v>218.48573000000002</v>
      </c>
      <c r="K1814" s="421">
        <f t="shared" si="434"/>
        <v>259.58</v>
      </c>
      <c r="L1814" s="647" t="s">
        <v>16</v>
      </c>
      <c r="M1814" s="576"/>
      <c r="N1814" s="576">
        <f t="shared" si="443"/>
        <v>0</v>
      </c>
      <c r="O1814" s="577">
        <f t="shared" si="438"/>
        <v>0</v>
      </c>
      <c r="P1814" s="578">
        <f t="shared" si="439"/>
        <v>0</v>
      </c>
      <c r="Q1814" s="765"/>
      <c r="R1814" s="576">
        <f t="shared" si="432"/>
        <v>0</v>
      </c>
      <c r="S1814" s="576">
        <f>N1814</f>
        <v>0</v>
      </c>
      <c r="T1814" s="577">
        <f t="shared" si="435"/>
        <v>0</v>
      </c>
      <c r="U1814" s="578">
        <f t="shared" si="436"/>
        <v>0</v>
      </c>
      <c r="V1814" s="579"/>
      <c r="W1814" s="566"/>
      <c r="X1814" s="586" t="str">
        <f t="shared" si="440"/>
        <v/>
      </c>
      <c r="Y1814" s="586" t="str">
        <f t="shared" si="431"/>
        <v/>
      </c>
      <c r="Z1814" s="586" t="str">
        <f t="shared" si="442"/>
        <v/>
      </c>
    </row>
    <row r="1815" spans="1:26" ht="12" hidden="1" thickBot="1" x14ac:dyDescent="0.25">
      <c r="A1815" s="567" t="s">
        <v>168</v>
      </c>
      <c r="B1815" s="644" t="s">
        <v>168</v>
      </c>
      <c r="C1815" s="645"/>
      <c r="D1815" s="451" t="s">
        <v>1503</v>
      </c>
      <c r="E1815" s="423"/>
      <c r="F1815" s="424">
        <v>10</v>
      </c>
      <c r="G1815" s="425">
        <v>0.3</v>
      </c>
      <c r="H1815" s="663">
        <f t="shared" si="441"/>
        <v>4.0140000000000002</v>
      </c>
      <c r="I1815" s="420"/>
      <c r="J1815" s="420"/>
      <c r="K1815" s="421">
        <f t="shared" si="434"/>
        <v>0</v>
      </c>
      <c r="L1815" s="668" t="s">
        <v>614</v>
      </c>
      <c r="M1815" s="669"/>
      <c r="N1815" s="576">
        <f t="shared" si="443"/>
        <v>0</v>
      </c>
      <c r="O1815" s="577">
        <f t="shared" si="438"/>
        <v>0</v>
      </c>
      <c r="P1815" s="578">
        <f t="shared" si="439"/>
        <v>0</v>
      </c>
      <c r="Q1815" s="765"/>
      <c r="R1815" s="669"/>
      <c r="S1815" s="670"/>
      <c r="T1815" s="577">
        <f t="shared" si="435"/>
        <v>0</v>
      </c>
      <c r="U1815" s="578">
        <f t="shared" si="436"/>
        <v>0</v>
      </c>
      <c r="V1815" s="579"/>
      <c r="W1815" s="637" t="str">
        <f>IF(U1814&gt;0,"xx",IF(P1814&gt;0,"xy",""))</f>
        <v/>
      </c>
      <c r="X1815" s="586" t="str">
        <f t="shared" si="440"/>
        <v/>
      </c>
      <c r="Y1815" s="586" t="str">
        <f t="shared" si="431"/>
        <v/>
      </c>
      <c r="Z1815" s="586" t="str">
        <f t="shared" si="442"/>
        <v/>
      </c>
    </row>
    <row r="1816" spans="1:26" ht="12" hidden="1" thickBot="1" x14ac:dyDescent="0.25">
      <c r="A1816" s="567" t="s">
        <v>168</v>
      </c>
      <c r="B1816" s="644" t="s">
        <v>168</v>
      </c>
      <c r="C1816" s="645"/>
      <c r="D1816" s="451" t="s">
        <v>334</v>
      </c>
      <c r="E1816" s="423"/>
      <c r="F1816" s="424">
        <v>30</v>
      </c>
      <c r="G1816" s="425">
        <v>3.5000000000000001E-3</v>
      </c>
      <c r="H1816" s="663">
        <f t="shared" si="441"/>
        <v>0.12173</v>
      </c>
      <c r="I1816" s="420"/>
      <c r="J1816" s="420"/>
      <c r="K1816" s="421">
        <f t="shared" si="434"/>
        <v>0</v>
      </c>
      <c r="L1816" s="668" t="s">
        <v>614</v>
      </c>
      <c r="M1816" s="669"/>
      <c r="N1816" s="576">
        <f t="shared" si="443"/>
        <v>0</v>
      </c>
      <c r="O1816" s="577">
        <f t="shared" si="438"/>
        <v>0</v>
      </c>
      <c r="P1816" s="578">
        <f t="shared" si="439"/>
        <v>0</v>
      </c>
      <c r="Q1816" s="765"/>
      <c r="R1816" s="669"/>
      <c r="S1816" s="670"/>
      <c r="T1816" s="577">
        <f t="shared" si="435"/>
        <v>0</v>
      </c>
      <c r="U1816" s="578">
        <f t="shared" si="436"/>
        <v>0</v>
      </c>
      <c r="V1816" s="579"/>
      <c r="W1816" s="637" t="str">
        <f>IF(U1814&gt;0,"xx",IF(P1814&gt;0,"xy",""))</f>
        <v/>
      </c>
      <c r="X1816" s="586" t="str">
        <f t="shared" si="440"/>
        <v/>
      </c>
      <c r="Y1816" s="586" t="str">
        <f t="shared" si="431"/>
        <v/>
      </c>
      <c r="Z1816" s="586" t="str">
        <f t="shared" si="442"/>
        <v/>
      </c>
    </row>
    <row r="1817" spans="1:26" ht="12" hidden="1" thickBot="1" x14ac:dyDescent="0.25">
      <c r="A1817" s="567">
        <v>860023</v>
      </c>
      <c r="B1817" s="644">
        <v>860023</v>
      </c>
      <c r="C1817" s="645" t="s">
        <v>206</v>
      </c>
      <c r="D1817" s="422" t="s">
        <v>1508</v>
      </c>
      <c r="E1817" s="423"/>
      <c r="F1817" s="424"/>
      <c r="G1817" s="425"/>
      <c r="H1817" s="651">
        <f>SUM(H1818:H1819)</f>
        <v>7.0702259999999999</v>
      </c>
      <c r="I1817" s="420">
        <v>240.56</v>
      </c>
      <c r="J1817" s="420">
        <f>IF(ISBLANK(I1817),"",SUM(H1817:I1817))</f>
        <v>247.63022599999999</v>
      </c>
      <c r="K1817" s="421">
        <f t="shared" si="434"/>
        <v>294.20999999999998</v>
      </c>
      <c r="L1817" s="647" t="s">
        <v>16</v>
      </c>
      <c r="M1817" s="576"/>
      <c r="N1817" s="576">
        <f t="shared" si="443"/>
        <v>0</v>
      </c>
      <c r="O1817" s="577">
        <f t="shared" si="438"/>
        <v>0</v>
      </c>
      <c r="P1817" s="578">
        <f t="shared" si="439"/>
        <v>0</v>
      </c>
      <c r="Q1817" s="765"/>
      <c r="R1817" s="576">
        <f t="shared" si="432"/>
        <v>0</v>
      </c>
      <c r="S1817" s="576">
        <f>N1817</f>
        <v>0</v>
      </c>
      <c r="T1817" s="577">
        <f t="shared" si="435"/>
        <v>0</v>
      </c>
      <c r="U1817" s="578">
        <f t="shared" si="436"/>
        <v>0</v>
      </c>
      <c r="V1817" s="579"/>
      <c r="W1817" s="566"/>
      <c r="X1817" s="586" t="str">
        <f t="shared" si="440"/>
        <v/>
      </c>
      <c r="Y1817" s="586" t="str">
        <f t="shared" si="431"/>
        <v/>
      </c>
      <c r="Z1817" s="586" t="str">
        <f t="shared" si="442"/>
        <v/>
      </c>
    </row>
    <row r="1818" spans="1:26" ht="12" hidden="1" thickBot="1" x14ac:dyDescent="0.25">
      <c r="A1818" s="567" t="s">
        <v>168</v>
      </c>
      <c r="B1818" s="644" t="s">
        <v>168</v>
      </c>
      <c r="C1818" s="645"/>
      <c r="D1818" s="451" t="s">
        <v>1503</v>
      </c>
      <c r="E1818" s="423"/>
      <c r="F1818" s="424">
        <v>10</v>
      </c>
      <c r="G1818" s="425">
        <v>0.51749999999999996</v>
      </c>
      <c r="H1818" s="663">
        <f t="shared" si="441"/>
        <v>6.92415</v>
      </c>
      <c r="I1818" s="420"/>
      <c r="J1818" s="420"/>
      <c r="K1818" s="421">
        <f t="shared" si="434"/>
        <v>0</v>
      </c>
      <c r="L1818" s="668" t="s">
        <v>614</v>
      </c>
      <c r="M1818" s="669"/>
      <c r="N1818" s="576">
        <f t="shared" si="443"/>
        <v>0</v>
      </c>
      <c r="O1818" s="577">
        <f t="shared" si="438"/>
        <v>0</v>
      </c>
      <c r="P1818" s="578">
        <f t="shared" si="439"/>
        <v>0</v>
      </c>
      <c r="Q1818" s="765"/>
      <c r="R1818" s="669"/>
      <c r="S1818" s="670"/>
      <c r="T1818" s="577">
        <f t="shared" si="435"/>
        <v>0</v>
      </c>
      <c r="U1818" s="578">
        <f t="shared" si="436"/>
        <v>0</v>
      </c>
      <c r="V1818" s="579"/>
      <c r="W1818" s="637" t="str">
        <f>IF(U1817&gt;0,"xx",IF(P1817&gt;0,"xy",""))</f>
        <v/>
      </c>
      <c r="X1818" s="586" t="str">
        <f t="shared" si="440"/>
        <v/>
      </c>
      <c r="Y1818" s="586" t="str">
        <f t="shared" si="431"/>
        <v/>
      </c>
      <c r="Z1818" s="586" t="str">
        <f t="shared" si="442"/>
        <v/>
      </c>
    </row>
    <row r="1819" spans="1:26" ht="12" hidden="1" thickBot="1" x14ac:dyDescent="0.25">
      <c r="A1819" s="567" t="s">
        <v>168</v>
      </c>
      <c r="B1819" s="644" t="s">
        <v>168</v>
      </c>
      <c r="C1819" s="645"/>
      <c r="D1819" s="451" t="s">
        <v>334</v>
      </c>
      <c r="E1819" s="423"/>
      <c r="F1819" s="424">
        <v>30</v>
      </c>
      <c r="G1819" s="425">
        <v>4.1999999999999997E-3</v>
      </c>
      <c r="H1819" s="663">
        <f t="shared" si="441"/>
        <v>0.14607599999999998</v>
      </c>
      <c r="I1819" s="420"/>
      <c r="J1819" s="420"/>
      <c r="K1819" s="421">
        <f t="shared" si="434"/>
        <v>0</v>
      </c>
      <c r="L1819" s="668" t="s">
        <v>614</v>
      </c>
      <c r="M1819" s="669"/>
      <c r="N1819" s="576">
        <f t="shared" si="443"/>
        <v>0</v>
      </c>
      <c r="O1819" s="577">
        <f t="shared" si="438"/>
        <v>0</v>
      </c>
      <c r="P1819" s="578">
        <f t="shared" si="439"/>
        <v>0</v>
      </c>
      <c r="Q1819" s="765"/>
      <c r="R1819" s="669"/>
      <c r="S1819" s="670"/>
      <c r="T1819" s="577">
        <f t="shared" si="435"/>
        <v>0</v>
      </c>
      <c r="U1819" s="578">
        <f t="shared" si="436"/>
        <v>0</v>
      </c>
      <c r="V1819" s="579"/>
      <c r="W1819" s="637" t="str">
        <f>IF(U1817&gt;0,"xx",IF(P1817&gt;0,"xy",""))</f>
        <v/>
      </c>
      <c r="X1819" s="586" t="str">
        <f t="shared" si="440"/>
        <v/>
      </c>
      <c r="Y1819" s="586" t="str">
        <f t="shared" si="431"/>
        <v/>
      </c>
      <c r="Z1819" s="586" t="str">
        <f t="shared" si="442"/>
        <v/>
      </c>
    </row>
    <row r="1820" spans="1:26" ht="12" hidden="1" thickBot="1" x14ac:dyDescent="0.25">
      <c r="A1820" s="567">
        <v>861030</v>
      </c>
      <c r="B1820" s="644">
        <v>861030</v>
      </c>
      <c r="C1820" s="645" t="s">
        <v>206</v>
      </c>
      <c r="D1820" s="422" t="s">
        <v>1509</v>
      </c>
      <c r="E1820" s="423"/>
      <c r="F1820" s="424"/>
      <c r="G1820" s="425"/>
      <c r="H1820" s="651">
        <f>SUM(H1821:H1822)</f>
        <v>23.508294000000003</v>
      </c>
      <c r="I1820" s="420">
        <v>268.45</v>
      </c>
      <c r="J1820" s="420">
        <f>IF(ISBLANK(I1820),"",SUM(H1820:I1820))</f>
        <v>291.95829399999997</v>
      </c>
      <c r="K1820" s="421">
        <f t="shared" si="434"/>
        <v>346.88</v>
      </c>
      <c r="L1820" s="647" t="s">
        <v>16</v>
      </c>
      <c r="M1820" s="576"/>
      <c r="N1820" s="576">
        <f t="shared" si="443"/>
        <v>0</v>
      </c>
      <c r="O1820" s="577">
        <f t="shared" si="438"/>
        <v>0</v>
      </c>
      <c r="P1820" s="578">
        <f t="shared" si="439"/>
        <v>0</v>
      </c>
      <c r="Q1820" s="765"/>
      <c r="R1820" s="576">
        <f t="shared" si="432"/>
        <v>0</v>
      </c>
      <c r="S1820" s="576">
        <f>N1820</f>
        <v>0</v>
      </c>
      <c r="T1820" s="577">
        <f t="shared" si="435"/>
        <v>0</v>
      </c>
      <c r="U1820" s="578">
        <f t="shared" si="436"/>
        <v>0</v>
      </c>
      <c r="V1820" s="579"/>
      <c r="W1820" s="566"/>
      <c r="X1820" s="586" t="str">
        <f t="shared" si="440"/>
        <v/>
      </c>
      <c r="Y1820" s="586" t="str">
        <f t="shared" si="431"/>
        <v/>
      </c>
      <c r="Z1820" s="586" t="str">
        <f t="shared" si="442"/>
        <v/>
      </c>
    </row>
    <row r="1821" spans="1:26" ht="12" hidden="1" thickBot="1" x14ac:dyDescent="0.25">
      <c r="A1821" s="567" t="s">
        <v>168</v>
      </c>
      <c r="B1821" s="644" t="s">
        <v>168</v>
      </c>
      <c r="C1821" s="645"/>
      <c r="D1821" s="451" t="s">
        <v>1503</v>
      </c>
      <c r="E1821" s="423"/>
      <c r="F1821" s="424">
        <v>10</v>
      </c>
      <c r="G1821" s="425">
        <v>1.7250000000000001</v>
      </c>
      <c r="H1821" s="663">
        <f t="shared" si="441"/>
        <v>23.080500000000004</v>
      </c>
      <c r="I1821" s="420"/>
      <c r="J1821" s="420"/>
      <c r="K1821" s="421">
        <f t="shared" si="434"/>
        <v>0</v>
      </c>
      <c r="L1821" s="668" t="s">
        <v>614</v>
      </c>
      <c r="M1821" s="669"/>
      <c r="N1821" s="576">
        <f t="shared" si="443"/>
        <v>0</v>
      </c>
      <c r="O1821" s="577">
        <f t="shared" si="438"/>
        <v>0</v>
      </c>
      <c r="P1821" s="578">
        <f t="shared" si="439"/>
        <v>0</v>
      </c>
      <c r="Q1821" s="765"/>
      <c r="R1821" s="669"/>
      <c r="S1821" s="670"/>
      <c r="T1821" s="577">
        <f t="shared" si="435"/>
        <v>0</v>
      </c>
      <c r="U1821" s="578">
        <f t="shared" si="436"/>
        <v>0</v>
      </c>
      <c r="V1821" s="579"/>
      <c r="W1821" s="637" t="str">
        <f>IF(U1820&gt;0,"xx",IF(P1820&gt;0,"xy",""))</f>
        <v/>
      </c>
      <c r="X1821" s="586" t="str">
        <f t="shared" si="440"/>
        <v/>
      </c>
      <c r="Y1821" s="586" t="str">
        <f t="shared" si="431"/>
        <v/>
      </c>
      <c r="Z1821" s="586" t="str">
        <f t="shared" si="442"/>
        <v/>
      </c>
    </row>
    <row r="1822" spans="1:26" ht="12" hidden="1" thickBot="1" x14ac:dyDescent="0.25">
      <c r="A1822" s="567" t="s">
        <v>168</v>
      </c>
      <c r="B1822" s="644" t="s">
        <v>168</v>
      </c>
      <c r="C1822" s="645"/>
      <c r="D1822" s="451" t="s">
        <v>334</v>
      </c>
      <c r="E1822" s="423"/>
      <c r="F1822" s="424">
        <v>30</v>
      </c>
      <c r="G1822" s="425">
        <v>1.23E-2</v>
      </c>
      <c r="H1822" s="663">
        <f t="shared" si="441"/>
        <v>0.42779400000000001</v>
      </c>
      <c r="I1822" s="420"/>
      <c r="J1822" s="420"/>
      <c r="K1822" s="421">
        <f t="shared" si="434"/>
        <v>0</v>
      </c>
      <c r="L1822" s="668" t="s">
        <v>614</v>
      </c>
      <c r="M1822" s="669"/>
      <c r="N1822" s="576">
        <f t="shared" si="443"/>
        <v>0</v>
      </c>
      <c r="O1822" s="577">
        <f t="shared" si="438"/>
        <v>0</v>
      </c>
      <c r="P1822" s="578">
        <f t="shared" si="439"/>
        <v>0</v>
      </c>
      <c r="Q1822" s="765"/>
      <c r="R1822" s="669"/>
      <c r="S1822" s="670"/>
      <c r="T1822" s="577">
        <f t="shared" si="435"/>
        <v>0</v>
      </c>
      <c r="U1822" s="578">
        <f t="shared" si="436"/>
        <v>0</v>
      </c>
      <c r="V1822" s="579"/>
      <c r="W1822" s="637" t="str">
        <f>IF(U1820&gt;0,"xx",IF(P1820&gt;0,"xy",""))</f>
        <v/>
      </c>
      <c r="X1822" s="586" t="str">
        <f t="shared" si="440"/>
        <v/>
      </c>
      <c r="Y1822" s="586" t="str">
        <f t="shared" si="431"/>
        <v/>
      </c>
      <c r="Z1822" s="586" t="str">
        <f t="shared" si="442"/>
        <v/>
      </c>
    </row>
    <row r="1823" spans="1:26" ht="12" hidden="1" thickBot="1" x14ac:dyDescent="0.25">
      <c r="A1823" s="567">
        <v>601200</v>
      </c>
      <c r="B1823" s="644" t="s">
        <v>1656</v>
      </c>
      <c r="C1823" s="645" t="s">
        <v>206</v>
      </c>
      <c r="D1823" s="422" t="s">
        <v>1510</v>
      </c>
      <c r="E1823" s="423"/>
      <c r="F1823" s="424"/>
      <c r="G1823" s="425"/>
      <c r="H1823" s="651"/>
      <c r="I1823" s="420">
        <v>31.9</v>
      </c>
      <c r="J1823" s="420">
        <f>IF(ISBLANK(I1823),"",SUM(H1823:I1823))*0.9</f>
        <v>28.71</v>
      </c>
      <c r="K1823" s="421">
        <f t="shared" si="434"/>
        <v>34.11</v>
      </c>
      <c r="L1823" s="647" t="s">
        <v>16</v>
      </c>
      <c r="M1823" s="576"/>
      <c r="N1823" s="576">
        <f t="shared" si="443"/>
        <v>0</v>
      </c>
      <c r="O1823" s="577">
        <f t="shared" si="438"/>
        <v>0</v>
      </c>
      <c r="P1823" s="578">
        <f t="shared" si="439"/>
        <v>0</v>
      </c>
      <c r="Q1823" s="765"/>
      <c r="R1823" s="576">
        <f t="shared" si="432"/>
        <v>0</v>
      </c>
      <c r="S1823" s="576">
        <f t="shared" si="432"/>
        <v>0</v>
      </c>
      <c r="T1823" s="577">
        <f t="shared" si="435"/>
        <v>0</v>
      </c>
      <c r="U1823" s="578">
        <f t="shared" si="436"/>
        <v>0</v>
      </c>
      <c r="V1823" s="579"/>
      <c r="W1823" s="566"/>
      <c r="X1823" s="586" t="str">
        <f t="shared" si="440"/>
        <v/>
      </c>
      <c r="Y1823" s="586" t="str">
        <f t="shared" si="431"/>
        <v/>
      </c>
      <c r="Z1823" s="586" t="str">
        <f t="shared" si="442"/>
        <v/>
      </c>
    </row>
    <row r="1824" spans="1:26" ht="12" hidden="1" thickBot="1" x14ac:dyDescent="0.25">
      <c r="A1824" s="567">
        <v>601200</v>
      </c>
      <c r="B1824" s="644" t="s">
        <v>1657</v>
      </c>
      <c r="C1824" s="645" t="s">
        <v>206</v>
      </c>
      <c r="D1824" s="422" t="s">
        <v>336</v>
      </c>
      <c r="E1824" s="423"/>
      <c r="F1824" s="424"/>
      <c r="G1824" s="425"/>
      <c r="H1824" s="651"/>
      <c r="I1824" s="420">
        <v>15.95</v>
      </c>
      <c r="J1824" s="420">
        <f>IF(ISBLANK(I1824),"",SUM(H1824:I1824))*0.9</f>
        <v>14.355</v>
      </c>
      <c r="K1824" s="421">
        <f t="shared" si="434"/>
        <v>17.059999999999999</v>
      </c>
      <c r="L1824" s="647" t="s">
        <v>1519</v>
      </c>
      <c r="M1824" s="576"/>
      <c r="N1824" s="576">
        <f t="shared" si="443"/>
        <v>0</v>
      </c>
      <c r="O1824" s="577">
        <f t="shared" si="438"/>
        <v>0</v>
      </c>
      <c r="P1824" s="578">
        <f t="shared" si="439"/>
        <v>0</v>
      </c>
      <c r="Q1824" s="765"/>
      <c r="R1824" s="576">
        <f t="shared" si="432"/>
        <v>0</v>
      </c>
      <c r="S1824" s="576">
        <f t="shared" si="432"/>
        <v>0</v>
      </c>
      <c r="T1824" s="577">
        <f t="shared" si="435"/>
        <v>0</v>
      </c>
      <c r="U1824" s="578">
        <f t="shared" si="436"/>
        <v>0</v>
      </c>
      <c r="V1824" s="579"/>
      <c r="W1824" s="566"/>
      <c r="X1824" s="586" t="str">
        <f>IF(W1824="X","x",IF(W1824="xx","x",IF(W1824="xy","x",IF(W1824="y","x",IF(OR(P1824&gt;0,U1824&gt;0),"x","")))))</f>
        <v/>
      </c>
      <c r="Y1824" s="586" t="str">
        <f>IF(W1824="X","x",IF(W1824="y","x",IF(W1824="xx","x",IF(U1824&gt;0,"x",""))))</f>
        <v/>
      </c>
      <c r="Z1824" s="586" t="str">
        <f>IF(W1824="X","x",IF(U1824&gt;0,"x",""))</f>
        <v/>
      </c>
    </row>
    <row r="1825" spans="1:26" ht="12" hidden="1" thickBot="1" x14ac:dyDescent="0.25">
      <c r="A1825" s="567">
        <v>97623</v>
      </c>
      <c r="B1825" s="644" t="s">
        <v>1601</v>
      </c>
      <c r="C1825" s="645" t="s">
        <v>670</v>
      </c>
      <c r="D1825" s="416" t="s">
        <v>1595</v>
      </c>
      <c r="E1825" s="417"/>
      <c r="F1825" s="418"/>
      <c r="G1825" s="419"/>
      <c r="H1825" s="646"/>
      <c r="I1825" s="420">
        <v>175.28</v>
      </c>
      <c r="J1825" s="420">
        <f t="shared" ref="J1825:J1833" si="444">IF(ISBLANK(I1825),"",SUM(H1825:I1825))</f>
        <v>175.28</v>
      </c>
      <c r="K1825" s="421">
        <f t="shared" si="434"/>
        <v>208.25</v>
      </c>
      <c r="L1825" s="647" t="s">
        <v>16</v>
      </c>
      <c r="M1825" s="576"/>
      <c r="N1825" s="576">
        <f t="shared" si="443"/>
        <v>0</v>
      </c>
      <c r="O1825" s="577">
        <f t="shared" si="438"/>
        <v>0</v>
      </c>
      <c r="P1825" s="578">
        <f t="shared" si="439"/>
        <v>0</v>
      </c>
      <c r="Q1825" s="765"/>
      <c r="R1825" s="650">
        <f t="shared" si="432"/>
        <v>0</v>
      </c>
      <c r="S1825" s="587">
        <f t="shared" si="432"/>
        <v>0</v>
      </c>
      <c r="T1825" s="577">
        <f t="shared" si="435"/>
        <v>0</v>
      </c>
      <c r="U1825" s="578">
        <f t="shared" si="436"/>
        <v>0</v>
      </c>
      <c r="V1825" s="579"/>
      <c r="W1825" s="566"/>
      <c r="X1825" s="586" t="str">
        <f>IF(W1825="X","x",IF(W1825="xx","x",IF(W1825="xy","x",IF(W1825="y","x",IF(OR(P1825&gt;0,U1825&gt;0),"x","")))))</f>
        <v/>
      </c>
      <c r="Y1825" s="586" t="str">
        <f>IF(W1825="X","x",IF(W1825="y","x",IF(W1825="xx","x",IF(U1825&gt;0,"x",""))))</f>
        <v/>
      </c>
      <c r="Z1825" s="586" t="str">
        <f>IF(W1825="X","x",IF(U1825&gt;0,"x",""))</f>
        <v/>
      </c>
    </row>
    <row r="1826" spans="1:26" ht="12" hidden="1" thickBot="1" x14ac:dyDescent="0.25">
      <c r="A1826" s="567">
        <v>97624</v>
      </c>
      <c r="B1826" s="644" t="s">
        <v>1602</v>
      </c>
      <c r="C1826" s="645" t="s">
        <v>670</v>
      </c>
      <c r="D1826" s="416" t="s">
        <v>1597</v>
      </c>
      <c r="E1826" s="417"/>
      <c r="F1826" s="418"/>
      <c r="G1826" s="419"/>
      <c r="H1826" s="646"/>
      <c r="I1826" s="420">
        <v>107.58</v>
      </c>
      <c r="J1826" s="420">
        <f t="shared" si="444"/>
        <v>107.58</v>
      </c>
      <c r="K1826" s="421">
        <f t="shared" si="434"/>
        <v>127.82</v>
      </c>
      <c r="L1826" s="647" t="s">
        <v>16</v>
      </c>
      <c r="M1826" s="576"/>
      <c r="N1826" s="576">
        <f t="shared" si="443"/>
        <v>0</v>
      </c>
      <c r="O1826" s="577">
        <f t="shared" si="438"/>
        <v>0</v>
      </c>
      <c r="P1826" s="578">
        <f t="shared" si="439"/>
        <v>0</v>
      </c>
      <c r="Q1826" s="765"/>
      <c r="R1826" s="650">
        <f t="shared" si="432"/>
        <v>0</v>
      </c>
      <c r="S1826" s="587">
        <f t="shared" si="432"/>
        <v>0</v>
      </c>
      <c r="T1826" s="577">
        <f t="shared" si="435"/>
        <v>0</v>
      </c>
      <c r="U1826" s="578">
        <f t="shared" si="436"/>
        <v>0</v>
      </c>
      <c r="V1826" s="579"/>
      <c r="W1826" s="566"/>
      <c r="X1826" s="586" t="str">
        <f>IF(W1826="X","x",IF(W1826="xx","x",IF(W1826="xy","x",IF(W1826="y","x",IF(OR(P1826&gt;0,U1826&gt;0),"x","")))))</f>
        <v/>
      </c>
      <c r="Y1826" s="586" t="str">
        <f>IF(W1826="X","x",IF(W1826="y","x",IF(W1826="xx","x",IF(U1826&gt;0,"x",""))))</f>
        <v/>
      </c>
      <c r="Z1826" s="586" t="str">
        <f>IF(W1826="X","x",IF(U1826&gt;0,"x",""))</f>
        <v/>
      </c>
    </row>
    <row r="1827" spans="1:26" ht="12" hidden="1" thickBot="1" x14ac:dyDescent="0.25">
      <c r="A1827" s="567">
        <v>606500</v>
      </c>
      <c r="B1827" s="644" t="s">
        <v>1603</v>
      </c>
      <c r="C1827" s="645" t="s">
        <v>206</v>
      </c>
      <c r="D1827" s="422" t="s">
        <v>501</v>
      </c>
      <c r="E1827" s="423"/>
      <c r="F1827" s="424"/>
      <c r="G1827" s="425"/>
      <c r="H1827" s="651"/>
      <c r="I1827" s="420">
        <v>169.87</v>
      </c>
      <c r="J1827" s="420">
        <f t="shared" si="444"/>
        <v>169.87</v>
      </c>
      <c r="K1827" s="421">
        <f t="shared" si="434"/>
        <v>201.82</v>
      </c>
      <c r="L1827" s="647" t="s">
        <v>16</v>
      </c>
      <c r="M1827" s="576"/>
      <c r="N1827" s="576">
        <f t="shared" si="443"/>
        <v>0</v>
      </c>
      <c r="O1827" s="577">
        <f t="shared" si="438"/>
        <v>0</v>
      </c>
      <c r="P1827" s="578">
        <f t="shared" si="439"/>
        <v>0</v>
      </c>
      <c r="Q1827" s="765"/>
      <c r="R1827" s="576">
        <f t="shared" si="432"/>
        <v>0</v>
      </c>
      <c r="S1827" s="576">
        <f t="shared" si="432"/>
        <v>0</v>
      </c>
      <c r="T1827" s="577">
        <f t="shared" si="435"/>
        <v>0</v>
      </c>
      <c r="U1827" s="578">
        <f t="shared" si="436"/>
        <v>0</v>
      </c>
      <c r="V1827" s="579"/>
      <c r="W1827" s="566"/>
      <c r="X1827" s="586" t="str">
        <f t="shared" si="440"/>
        <v/>
      </c>
      <c r="Y1827" s="586" t="str">
        <f t="shared" si="431"/>
        <v/>
      </c>
      <c r="Z1827" s="586" t="str">
        <f t="shared" ref="Z1827:Z1940" si="445">IF(W1827="X","x",IF(U1827&gt;0,"x",""))</f>
        <v/>
      </c>
    </row>
    <row r="1828" spans="1:26" ht="12" hidden="1" thickBot="1" x14ac:dyDescent="0.25">
      <c r="A1828" s="567">
        <v>606700</v>
      </c>
      <c r="B1828" s="644" t="s">
        <v>1583</v>
      </c>
      <c r="C1828" s="645" t="s">
        <v>206</v>
      </c>
      <c r="D1828" s="422" t="s">
        <v>199</v>
      </c>
      <c r="E1828" s="423"/>
      <c r="F1828" s="424"/>
      <c r="G1828" s="425"/>
      <c r="H1828" s="651">
        <f>IF(F1828&lt;=30,(0.31*F1828+0.77)*G1828,((0.31*30+0.77)+0.31*(F1828-30))*G1828)</f>
        <v>0</v>
      </c>
      <c r="I1828" s="420">
        <v>143.94</v>
      </c>
      <c r="J1828" s="420">
        <f t="shared" si="444"/>
        <v>143.94</v>
      </c>
      <c r="K1828" s="421">
        <f t="shared" si="434"/>
        <v>171.02</v>
      </c>
      <c r="L1828" s="647" t="s">
        <v>16</v>
      </c>
      <c r="M1828" s="576"/>
      <c r="N1828" s="576">
        <f t="shared" si="443"/>
        <v>0</v>
      </c>
      <c r="O1828" s="577">
        <f t="shared" si="438"/>
        <v>0</v>
      </c>
      <c r="P1828" s="578">
        <f t="shared" si="439"/>
        <v>0</v>
      </c>
      <c r="Q1828" s="765"/>
      <c r="R1828" s="576">
        <f t="shared" si="432"/>
        <v>0</v>
      </c>
      <c r="S1828" s="576">
        <f t="shared" si="432"/>
        <v>0</v>
      </c>
      <c r="T1828" s="577">
        <f t="shared" si="435"/>
        <v>0</v>
      </c>
      <c r="U1828" s="578">
        <f t="shared" si="436"/>
        <v>0</v>
      </c>
      <c r="V1828" s="579"/>
      <c r="W1828" s="566"/>
      <c r="X1828" s="586" t="str">
        <f t="shared" si="440"/>
        <v/>
      </c>
      <c r="Y1828" s="586" t="str">
        <f t="shared" si="431"/>
        <v/>
      </c>
      <c r="Z1828" s="586" t="str">
        <f t="shared" si="445"/>
        <v/>
      </c>
    </row>
    <row r="1829" spans="1:26" ht="12" hidden="1" thickBot="1" x14ac:dyDescent="0.25">
      <c r="A1829" s="567">
        <v>606600</v>
      </c>
      <c r="B1829" s="644" t="s">
        <v>1580</v>
      </c>
      <c r="C1829" s="645" t="s">
        <v>206</v>
      </c>
      <c r="D1829" s="422" t="s">
        <v>200</v>
      </c>
      <c r="E1829" s="423"/>
      <c r="F1829" s="424"/>
      <c r="G1829" s="425"/>
      <c r="H1829" s="651">
        <f>IF(F1829&lt;=30,(0.31*F1829+0.77)*G1829,((0.31*30+0.77)+0.31*(F1829-30))*G1829)</f>
        <v>0</v>
      </c>
      <c r="I1829" s="420">
        <v>300.33999999999997</v>
      </c>
      <c r="J1829" s="420">
        <f t="shared" si="444"/>
        <v>300.33999999999997</v>
      </c>
      <c r="K1829" s="421">
        <f t="shared" si="434"/>
        <v>356.83</v>
      </c>
      <c r="L1829" s="647" t="s">
        <v>16</v>
      </c>
      <c r="M1829" s="576"/>
      <c r="N1829" s="576">
        <f t="shared" si="443"/>
        <v>0</v>
      </c>
      <c r="O1829" s="577">
        <f t="shared" si="438"/>
        <v>0</v>
      </c>
      <c r="P1829" s="578">
        <f t="shared" si="439"/>
        <v>0</v>
      </c>
      <c r="Q1829" s="765"/>
      <c r="R1829" s="576">
        <f t="shared" si="432"/>
        <v>0</v>
      </c>
      <c r="S1829" s="576">
        <f t="shared" si="432"/>
        <v>0</v>
      </c>
      <c r="T1829" s="577">
        <f t="shared" si="435"/>
        <v>0</v>
      </c>
      <c r="U1829" s="578">
        <f t="shared" si="436"/>
        <v>0</v>
      </c>
      <c r="V1829" s="579"/>
      <c r="W1829" s="566"/>
      <c r="X1829" s="586" t="str">
        <f t="shared" si="440"/>
        <v/>
      </c>
      <c r="Y1829" s="586" t="str">
        <f t="shared" si="431"/>
        <v/>
      </c>
      <c r="Z1829" s="586" t="str">
        <f t="shared" si="445"/>
        <v/>
      </c>
    </row>
    <row r="1830" spans="1:26" ht="12" hidden="1" thickBot="1" x14ac:dyDescent="0.25">
      <c r="A1830" s="567">
        <v>602000</v>
      </c>
      <c r="B1830" s="644" t="s">
        <v>2098</v>
      </c>
      <c r="C1830" s="645" t="s">
        <v>206</v>
      </c>
      <c r="D1830" s="422" t="s">
        <v>2092</v>
      </c>
      <c r="E1830" s="423"/>
      <c r="F1830" s="424"/>
      <c r="G1830" s="425"/>
      <c r="H1830" s="651">
        <f>IF(F1830&lt;=30,(0.31*F1830+0.77)*G1830,((0.31*30+0.77)+0.31*(F1830-30))*G1830)</f>
        <v>0</v>
      </c>
      <c r="I1830" s="420">
        <v>58.84</v>
      </c>
      <c r="J1830" s="420">
        <f t="shared" si="444"/>
        <v>58.84</v>
      </c>
      <c r="K1830" s="421">
        <f t="shared" si="434"/>
        <v>69.91</v>
      </c>
      <c r="L1830" s="647" t="s">
        <v>18</v>
      </c>
      <c r="M1830" s="576"/>
      <c r="N1830" s="576">
        <f t="shared" si="443"/>
        <v>0</v>
      </c>
      <c r="O1830" s="577">
        <f t="shared" si="438"/>
        <v>0</v>
      </c>
      <c r="P1830" s="578">
        <f t="shared" si="439"/>
        <v>0</v>
      </c>
      <c r="Q1830" s="765"/>
      <c r="R1830" s="576">
        <f t="shared" si="432"/>
        <v>0</v>
      </c>
      <c r="S1830" s="576">
        <f t="shared" si="432"/>
        <v>0</v>
      </c>
      <c r="T1830" s="577">
        <f t="shared" si="435"/>
        <v>0</v>
      </c>
      <c r="U1830" s="578">
        <f t="shared" si="436"/>
        <v>0</v>
      </c>
      <c r="V1830" s="579"/>
      <c r="W1830" s="566"/>
      <c r="X1830" s="586" t="str">
        <f t="shared" si="440"/>
        <v/>
      </c>
      <c r="Y1830" s="586" t="str">
        <f t="shared" si="431"/>
        <v/>
      </c>
      <c r="Z1830" s="586" t="str">
        <f t="shared" si="445"/>
        <v/>
      </c>
    </row>
    <row r="1831" spans="1:26" ht="12" hidden="1" thickBot="1" x14ac:dyDescent="0.25">
      <c r="A1831" s="567">
        <v>603000</v>
      </c>
      <c r="B1831" s="644" t="s">
        <v>1876</v>
      </c>
      <c r="C1831" s="645" t="s">
        <v>206</v>
      </c>
      <c r="D1831" s="422" t="s">
        <v>276</v>
      </c>
      <c r="E1831" s="423"/>
      <c r="F1831" s="424"/>
      <c r="G1831" s="425"/>
      <c r="H1831" s="651">
        <f>IF(F1831&lt;=30,(0.31*F1831+0.77)*G1831,((0.31*30+0.77)+0.31*(F1831-30))*G1831)</f>
        <v>0</v>
      </c>
      <c r="I1831" s="420">
        <v>17.84</v>
      </c>
      <c r="J1831" s="420">
        <f t="shared" si="444"/>
        <v>17.84</v>
      </c>
      <c r="K1831" s="421">
        <f t="shared" si="434"/>
        <v>21.2</v>
      </c>
      <c r="L1831" s="647" t="s">
        <v>23</v>
      </c>
      <c r="M1831" s="576"/>
      <c r="N1831" s="576">
        <f t="shared" si="443"/>
        <v>0</v>
      </c>
      <c r="O1831" s="577">
        <f t="shared" si="438"/>
        <v>0</v>
      </c>
      <c r="P1831" s="578">
        <f t="shared" si="439"/>
        <v>0</v>
      </c>
      <c r="Q1831" s="765"/>
      <c r="R1831" s="576">
        <f t="shared" si="432"/>
        <v>0</v>
      </c>
      <c r="S1831" s="576">
        <f t="shared" si="432"/>
        <v>0</v>
      </c>
      <c r="T1831" s="577">
        <f t="shared" si="435"/>
        <v>0</v>
      </c>
      <c r="U1831" s="578">
        <f t="shared" si="436"/>
        <v>0</v>
      </c>
      <c r="V1831" s="579"/>
      <c r="W1831" s="566"/>
      <c r="X1831" s="586" t="str">
        <f t="shared" si="440"/>
        <v/>
      </c>
      <c r="Y1831" s="586" t="str">
        <f t="shared" si="431"/>
        <v/>
      </c>
      <c r="Z1831" s="586" t="str">
        <f t="shared" si="445"/>
        <v/>
      </c>
    </row>
    <row r="1832" spans="1:26" ht="12" hidden="1" thickBot="1" x14ac:dyDescent="0.25">
      <c r="A1832" s="567">
        <v>603300</v>
      </c>
      <c r="B1832" s="644" t="s">
        <v>1877</v>
      </c>
      <c r="C1832" s="645" t="s">
        <v>206</v>
      </c>
      <c r="D1832" s="422" t="s">
        <v>277</v>
      </c>
      <c r="E1832" s="423"/>
      <c r="F1832" s="424"/>
      <c r="G1832" s="425"/>
      <c r="H1832" s="651">
        <f>IF(F1832&lt;=30,(0.31*F1832+0.77)*G1832,((0.31*30+0.77)+0.31*(F1832-30))*G1832)</f>
        <v>0</v>
      </c>
      <c r="I1832" s="420">
        <v>19.490000000000002</v>
      </c>
      <c r="J1832" s="420">
        <f t="shared" si="444"/>
        <v>19.490000000000002</v>
      </c>
      <c r="K1832" s="421">
        <f t="shared" si="434"/>
        <v>23.16</v>
      </c>
      <c r="L1832" s="647" t="s">
        <v>23</v>
      </c>
      <c r="M1832" s="576"/>
      <c r="N1832" s="576">
        <f t="shared" si="443"/>
        <v>0</v>
      </c>
      <c r="O1832" s="577">
        <f t="shared" si="438"/>
        <v>0</v>
      </c>
      <c r="P1832" s="578">
        <f t="shared" si="439"/>
        <v>0</v>
      </c>
      <c r="Q1832" s="765"/>
      <c r="R1832" s="576">
        <f t="shared" si="432"/>
        <v>0</v>
      </c>
      <c r="S1832" s="576">
        <f t="shared" si="432"/>
        <v>0</v>
      </c>
      <c r="T1832" s="577">
        <f t="shared" si="435"/>
        <v>0</v>
      </c>
      <c r="U1832" s="578">
        <f t="shared" si="436"/>
        <v>0</v>
      </c>
      <c r="V1832" s="579"/>
      <c r="W1832" s="566"/>
      <c r="X1832" s="586" t="str">
        <f t="shared" si="440"/>
        <v/>
      </c>
      <c r="Y1832" s="586" t="str">
        <f t="shared" si="431"/>
        <v/>
      </c>
      <c r="Z1832" s="586" t="str">
        <f t="shared" si="445"/>
        <v/>
      </c>
    </row>
    <row r="1833" spans="1:26" ht="12" hidden="1" thickBot="1" x14ac:dyDescent="0.25">
      <c r="A1833" s="567">
        <v>603600</v>
      </c>
      <c r="B1833" s="644">
        <v>603600</v>
      </c>
      <c r="C1833" s="645" t="s">
        <v>206</v>
      </c>
      <c r="D1833" s="422" t="s">
        <v>337</v>
      </c>
      <c r="E1833" s="423"/>
      <c r="F1833" s="424"/>
      <c r="G1833" s="425"/>
      <c r="H1833" s="651">
        <f>SUM(H1834:H1836)</f>
        <v>175.4948</v>
      </c>
      <c r="I1833" s="420">
        <v>278.64</v>
      </c>
      <c r="J1833" s="420">
        <f t="shared" si="444"/>
        <v>454.13479999999998</v>
      </c>
      <c r="K1833" s="421">
        <f t="shared" si="434"/>
        <v>539.55999999999995</v>
      </c>
      <c r="L1833" s="647" t="s">
        <v>16</v>
      </c>
      <c r="M1833" s="576"/>
      <c r="N1833" s="576">
        <f t="shared" si="443"/>
        <v>0</v>
      </c>
      <c r="O1833" s="577">
        <f t="shared" si="438"/>
        <v>0</v>
      </c>
      <c r="P1833" s="578">
        <f t="shared" si="439"/>
        <v>0</v>
      </c>
      <c r="Q1833" s="765"/>
      <c r="R1833" s="576">
        <f t="shared" si="432"/>
        <v>0</v>
      </c>
      <c r="S1833" s="576">
        <f t="shared" si="432"/>
        <v>0</v>
      </c>
      <c r="T1833" s="577">
        <f t="shared" si="435"/>
        <v>0</v>
      </c>
      <c r="U1833" s="578">
        <f t="shared" si="436"/>
        <v>0</v>
      </c>
      <c r="V1833" s="579"/>
      <c r="W1833" s="566"/>
      <c r="X1833" s="586" t="str">
        <f t="shared" si="440"/>
        <v/>
      </c>
      <c r="Y1833" s="586" t="str">
        <f t="shared" si="431"/>
        <v/>
      </c>
      <c r="Z1833" s="586" t="str">
        <f t="shared" si="445"/>
        <v/>
      </c>
    </row>
    <row r="1834" spans="1:26" ht="12" hidden="1" thickBot="1" x14ac:dyDescent="0.25">
      <c r="A1834" s="567" t="s">
        <v>168</v>
      </c>
      <c r="B1834" s="644" t="s">
        <v>168</v>
      </c>
      <c r="C1834" s="645"/>
      <c r="D1834" s="422" t="s">
        <v>212</v>
      </c>
      <c r="E1834" s="423"/>
      <c r="F1834" s="424">
        <v>500</v>
      </c>
      <c r="G1834" s="425">
        <v>0.1</v>
      </c>
      <c r="H1834" s="649">
        <f>IF(F1834&lt;=30,(0.78*F1834+7.82)*G1834,((0.78*30+7.82)+0.78*(F1834-30))*G1834)</f>
        <v>39.782000000000011</v>
      </c>
      <c r="I1834" s="420"/>
      <c r="J1834" s="420"/>
      <c r="K1834" s="421">
        <f t="shared" si="434"/>
        <v>0</v>
      </c>
      <c r="L1834" s="647"/>
      <c r="M1834" s="723"/>
      <c r="N1834" s="576">
        <f t="shared" si="443"/>
        <v>0</v>
      </c>
      <c r="O1834" s="577">
        <f t="shared" si="438"/>
        <v>0</v>
      </c>
      <c r="P1834" s="578">
        <f t="shared" si="439"/>
        <v>0</v>
      </c>
      <c r="Q1834" s="765"/>
      <c r="R1834" s="723"/>
      <c r="S1834" s="723"/>
      <c r="T1834" s="577">
        <f t="shared" si="435"/>
        <v>0</v>
      </c>
      <c r="U1834" s="578">
        <f t="shared" si="436"/>
        <v>0</v>
      </c>
      <c r="V1834" s="579"/>
      <c r="W1834" s="566" t="str">
        <f>IF(U1833&gt;0,"xx",IF(P1833&gt;0,"xy",""))</f>
        <v/>
      </c>
      <c r="X1834" s="586" t="str">
        <f t="shared" si="440"/>
        <v/>
      </c>
      <c r="Y1834" s="586" t="str">
        <f t="shared" si="431"/>
        <v/>
      </c>
      <c r="Z1834" s="586" t="str">
        <f t="shared" si="445"/>
        <v/>
      </c>
    </row>
    <row r="1835" spans="1:26" ht="12" hidden="1" thickBot="1" x14ac:dyDescent="0.25">
      <c r="A1835" s="567" t="s">
        <v>168</v>
      </c>
      <c r="B1835" s="644" t="s">
        <v>168</v>
      </c>
      <c r="C1835" s="645"/>
      <c r="D1835" s="422" t="s">
        <v>248</v>
      </c>
      <c r="E1835" s="423"/>
      <c r="F1835" s="424">
        <v>180</v>
      </c>
      <c r="G1835" s="425">
        <v>0.51</v>
      </c>
      <c r="H1835" s="663">
        <f t="shared" ref="H1835:H1840" si="446">IF(F1835&lt;=30,(1.07*F1835+2.68)*G1835,((1.07*30+2.68)+1.07*(F1835-30))*G1835)</f>
        <v>99.592799999999997</v>
      </c>
      <c r="I1835" s="420"/>
      <c r="J1835" s="420"/>
      <c r="K1835" s="421">
        <f t="shared" si="434"/>
        <v>0</v>
      </c>
      <c r="L1835" s="647"/>
      <c r="M1835" s="723"/>
      <c r="N1835" s="576">
        <f t="shared" si="443"/>
        <v>0</v>
      </c>
      <c r="O1835" s="577">
        <f t="shared" si="438"/>
        <v>0</v>
      </c>
      <c r="P1835" s="578">
        <f t="shared" si="439"/>
        <v>0</v>
      </c>
      <c r="Q1835" s="765"/>
      <c r="R1835" s="723"/>
      <c r="S1835" s="723"/>
      <c r="T1835" s="577">
        <f t="shared" si="435"/>
        <v>0</v>
      </c>
      <c r="U1835" s="578">
        <f t="shared" si="436"/>
        <v>0</v>
      </c>
      <c r="V1835" s="579"/>
      <c r="W1835" s="566" t="str">
        <f>IF(U1833&gt;0,"xx",IF(P1833&gt;0,"xy",""))</f>
        <v/>
      </c>
      <c r="X1835" s="586" t="str">
        <f t="shared" si="440"/>
        <v/>
      </c>
      <c r="Y1835" s="586" t="str">
        <f t="shared" si="431"/>
        <v/>
      </c>
      <c r="Z1835" s="586" t="str">
        <f t="shared" si="445"/>
        <v/>
      </c>
    </row>
    <row r="1836" spans="1:26" ht="12" hidden="1" thickBot="1" x14ac:dyDescent="0.25">
      <c r="A1836" s="567" t="s">
        <v>168</v>
      </c>
      <c r="B1836" s="644" t="s">
        <v>168</v>
      </c>
      <c r="C1836" s="645"/>
      <c r="D1836" s="422" t="s">
        <v>252</v>
      </c>
      <c r="E1836" s="423"/>
      <c r="F1836" s="424">
        <v>20</v>
      </c>
      <c r="G1836" s="425">
        <v>1.5</v>
      </c>
      <c r="H1836" s="663">
        <f t="shared" si="446"/>
        <v>36.120000000000005</v>
      </c>
      <c r="I1836" s="420"/>
      <c r="J1836" s="420"/>
      <c r="K1836" s="421">
        <f t="shared" si="434"/>
        <v>0</v>
      </c>
      <c r="L1836" s="647"/>
      <c r="M1836" s="723"/>
      <c r="N1836" s="576">
        <f t="shared" si="443"/>
        <v>0</v>
      </c>
      <c r="O1836" s="577">
        <f t="shared" si="438"/>
        <v>0</v>
      </c>
      <c r="P1836" s="578">
        <f t="shared" si="439"/>
        <v>0</v>
      </c>
      <c r="Q1836" s="765"/>
      <c r="R1836" s="723"/>
      <c r="S1836" s="723"/>
      <c r="T1836" s="577">
        <f t="shared" si="435"/>
        <v>0</v>
      </c>
      <c r="U1836" s="578">
        <f t="shared" si="436"/>
        <v>0</v>
      </c>
      <c r="V1836" s="579"/>
      <c r="W1836" s="566" t="str">
        <f>IF(U1833&gt;0,"xx",IF(P1833&gt;0,"xy",""))</f>
        <v/>
      </c>
      <c r="X1836" s="586" t="str">
        <f t="shared" si="440"/>
        <v/>
      </c>
      <c r="Y1836" s="586" t="str">
        <f t="shared" si="431"/>
        <v/>
      </c>
      <c r="Z1836" s="586" t="str">
        <f t="shared" si="445"/>
        <v/>
      </c>
    </row>
    <row r="1837" spans="1:26" ht="12" hidden="1" thickBot="1" x14ac:dyDescent="0.25">
      <c r="A1837" s="567">
        <v>603700</v>
      </c>
      <c r="B1837" s="644" t="s">
        <v>1646</v>
      </c>
      <c r="C1837" s="645" t="s">
        <v>206</v>
      </c>
      <c r="D1837" s="422" t="s">
        <v>338</v>
      </c>
      <c r="E1837" s="423"/>
      <c r="F1837" s="424">
        <v>20</v>
      </c>
      <c r="G1837" s="425">
        <v>1.8</v>
      </c>
      <c r="H1837" s="663">
        <f t="shared" si="446"/>
        <v>43.344000000000001</v>
      </c>
      <c r="I1837" s="420">
        <v>201.64</v>
      </c>
      <c r="J1837" s="420">
        <f>IF(ISBLANK(I1837),"",SUM(H1837:I1837))</f>
        <v>244.98399999999998</v>
      </c>
      <c r="K1837" s="421">
        <f t="shared" si="434"/>
        <v>291.07</v>
      </c>
      <c r="L1837" s="647" t="s">
        <v>16</v>
      </c>
      <c r="M1837" s="576"/>
      <c r="N1837" s="576">
        <f t="shared" si="443"/>
        <v>0</v>
      </c>
      <c r="O1837" s="577">
        <f t="shared" si="438"/>
        <v>0</v>
      </c>
      <c r="P1837" s="578">
        <f t="shared" si="439"/>
        <v>0</v>
      </c>
      <c r="Q1837" s="765"/>
      <c r="R1837" s="576">
        <f t="shared" si="432"/>
        <v>0</v>
      </c>
      <c r="S1837" s="576">
        <f>N1837</f>
        <v>0</v>
      </c>
      <c r="T1837" s="577">
        <f t="shared" si="435"/>
        <v>0</v>
      </c>
      <c r="U1837" s="578">
        <f t="shared" si="436"/>
        <v>0</v>
      </c>
      <c r="V1837" s="579"/>
      <c r="W1837" s="566"/>
      <c r="X1837" s="586" t="str">
        <f t="shared" si="440"/>
        <v/>
      </c>
      <c r="Y1837" s="586" t="str">
        <f t="shared" si="431"/>
        <v/>
      </c>
      <c r="Z1837" s="586" t="str">
        <f t="shared" si="445"/>
        <v/>
      </c>
    </row>
    <row r="1838" spans="1:26" ht="12" hidden="1" thickBot="1" x14ac:dyDescent="0.25">
      <c r="A1838" s="567">
        <v>603800</v>
      </c>
      <c r="B1838" s="644" t="s">
        <v>1647</v>
      </c>
      <c r="C1838" s="645" t="s">
        <v>206</v>
      </c>
      <c r="D1838" s="422" t="s">
        <v>339</v>
      </c>
      <c r="E1838" s="423"/>
      <c r="F1838" s="424">
        <v>20</v>
      </c>
      <c r="G1838" s="425">
        <v>1.5</v>
      </c>
      <c r="H1838" s="663">
        <f t="shared" si="446"/>
        <v>36.120000000000005</v>
      </c>
      <c r="I1838" s="420">
        <v>119.45</v>
      </c>
      <c r="J1838" s="420">
        <f>IF(ISBLANK(I1838),"",SUM(H1838:I1838))</f>
        <v>155.57</v>
      </c>
      <c r="K1838" s="421">
        <f t="shared" si="434"/>
        <v>184.83</v>
      </c>
      <c r="L1838" s="647" t="s">
        <v>16</v>
      </c>
      <c r="M1838" s="576"/>
      <c r="N1838" s="576">
        <f t="shared" si="443"/>
        <v>0</v>
      </c>
      <c r="O1838" s="577">
        <f t="shared" si="438"/>
        <v>0</v>
      </c>
      <c r="P1838" s="578">
        <f t="shared" si="439"/>
        <v>0</v>
      </c>
      <c r="Q1838" s="765"/>
      <c r="R1838" s="576">
        <f>M1838</f>
        <v>0</v>
      </c>
      <c r="S1838" s="576">
        <f>N1838</f>
        <v>0</v>
      </c>
      <c r="T1838" s="577">
        <f t="shared" si="435"/>
        <v>0</v>
      </c>
      <c r="U1838" s="578">
        <f t="shared" si="436"/>
        <v>0</v>
      </c>
      <c r="V1838" s="579"/>
      <c r="W1838" s="566"/>
      <c r="X1838" s="586" t="str">
        <f t="shared" si="440"/>
        <v/>
      </c>
      <c r="Y1838" s="586" t="str">
        <f t="shared" si="431"/>
        <v/>
      </c>
      <c r="Z1838" s="586" t="str">
        <f t="shared" si="445"/>
        <v/>
      </c>
    </row>
    <row r="1839" spans="1:26" ht="12" hidden="1" thickBot="1" x14ac:dyDescent="0.25">
      <c r="A1839" s="567">
        <v>532500</v>
      </c>
      <c r="B1839" s="644" t="s">
        <v>1878</v>
      </c>
      <c r="C1839" s="645" t="s">
        <v>206</v>
      </c>
      <c r="D1839" s="451" t="s">
        <v>340</v>
      </c>
      <c r="E1839" s="423"/>
      <c r="F1839" s="424">
        <v>20</v>
      </c>
      <c r="G1839" s="425">
        <v>1.7250000000000001</v>
      </c>
      <c r="H1839" s="663">
        <f t="shared" si="446"/>
        <v>41.538000000000004</v>
      </c>
      <c r="I1839" s="420">
        <v>97.26</v>
      </c>
      <c r="J1839" s="420">
        <f>IF(ISBLANK(I1839),"",SUM(H1839:I1839))</f>
        <v>138.798</v>
      </c>
      <c r="K1839" s="421">
        <f t="shared" si="434"/>
        <v>164.91</v>
      </c>
      <c r="L1839" s="647" t="s">
        <v>16</v>
      </c>
      <c r="M1839" s="576"/>
      <c r="N1839" s="576">
        <f t="shared" si="443"/>
        <v>0</v>
      </c>
      <c r="O1839" s="577">
        <f t="shared" si="438"/>
        <v>0</v>
      </c>
      <c r="P1839" s="578">
        <f t="shared" si="439"/>
        <v>0</v>
      </c>
      <c r="Q1839" s="765"/>
      <c r="R1839" s="576">
        <f>M1839</f>
        <v>0</v>
      </c>
      <c r="S1839" s="576">
        <f>N1839</f>
        <v>0</v>
      </c>
      <c r="T1839" s="577">
        <f t="shared" si="435"/>
        <v>0</v>
      </c>
      <c r="U1839" s="578">
        <f t="shared" si="436"/>
        <v>0</v>
      </c>
      <c r="V1839" s="579"/>
      <c r="W1839" s="566"/>
      <c r="X1839" s="586" t="str">
        <f t="shared" si="440"/>
        <v/>
      </c>
      <c r="Y1839" s="586" t="str">
        <f>IF(W1839="X","x",IF(W1839="y","x",IF(W1839="xx","x",IF(U1839&gt;0,"x",""))))</f>
        <v/>
      </c>
      <c r="Z1839" s="586" t="str">
        <f t="shared" si="445"/>
        <v/>
      </c>
    </row>
    <row r="1840" spans="1:26" ht="12" hidden="1" thickBot="1" x14ac:dyDescent="0.25">
      <c r="A1840" s="567">
        <v>603900</v>
      </c>
      <c r="B1840" s="644" t="s">
        <v>1879</v>
      </c>
      <c r="C1840" s="645" t="s">
        <v>206</v>
      </c>
      <c r="D1840" s="422" t="s">
        <v>341</v>
      </c>
      <c r="E1840" s="423"/>
      <c r="F1840" s="424">
        <v>20</v>
      </c>
      <c r="G1840" s="425">
        <v>1.5</v>
      </c>
      <c r="H1840" s="663">
        <f t="shared" si="446"/>
        <v>36.120000000000005</v>
      </c>
      <c r="I1840" s="420">
        <v>124.3</v>
      </c>
      <c r="J1840" s="420">
        <f>IF(ISBLANK(I1840),"",SUM(H1840:I1840))</f>
        <v>160.42000000000002</v>
      </c>
      <c r="K1840" s="421">
        <f t="shared" si="434"/>
        <v>190.6</v>
      </c>
      <c r="L1840" s="647" t="s">
        <v>16</v>
      </c>
      <c r="M1840" s="576"/>
      <c r="N1840" s="576">
        <f t="shared" si="443"/>
        <v>0</v>
      </c>
      <c r="O1840" s="577">
        <f t="shared" si="438"/>
        <v>0</v>
      </c>
      <c r="P1840" s="578">
        <f t="shared" si="439"/>
        <v>0</v>
      </c>
      <c r="Q1840" s="765"/>
      <c r="R1840" s="576">
        <f>M1840</f>
        <v>0</v>
      </c>
      <c r="S1840" s="576">
        <f>N1840</f>
        <v>0</v>
      </c>
      <c r="T1840" s="577">
        <f t="shared" si="435"/>
        <v>0</v>
      </c>
      <c r="U1840" s="578">
        <f t="shared" si="436"/>
        <v>0</v>
      </c>
      <c r="V1840" s="579"/>
      <c r="W1840" s="566"/>
      <c r="X1840" s="586" t="str">
        <f t="shared" si="440"/>
        <v/>
      </c>
      <c r="Y1840" s="586" t="str">
        <f t="shared" si="431"/>
        <v/>
      </c>
      <c r="Z1840" s="586" t="str">
        <f t="shared" si="445"/>
        <v/>
      </c>
    </row>
    <row r="1841" spans="1:26" ht="12" hidden="1" thickBot="1" x14ac:dyDescent="0.25">
      <c r="A1841" s="567">
        <v>605000</v>
      </c>
      <c r="B1841" s="644" t="s">
        <v>1880</v>
      </c>
      <c r="C1841" s="645" t="s">
        <v>206</v>
      </c>
      <c r="D1841" s="422" t="s">
        <v>274</v>
      </c>
      <c r="E1841" s="423"/>
      <c r="F1841" s="424"/>
      <c r="G1841" s="425"/>
      <c r="H1841" s="651">
        <f>SUM(H1842:H1844)</f>
        <v>305.33319999999998</v>
      </c>
      <c r="I1841" s="420">
        <v>408.95</v>
      </c>
      <c r="J1841" s="420">
        <f>IF(ISBLANK(I1841),"",SUM(H1841:I1841))</f>
        <v>714.28319999999997</v>
      </c>
      <c r="K1841" s="421">
        <f t="shared" si="434"/>
        <v>848.64</v>
      </c>
      <c r="L1841" s="647" t="s">
        <v>16</v>
      </c>
      <c r="M1841" s="576"/>
      <c r="N1841" s="576">
        <f t="shared" si="443"/>
        <v>0</v>
      </c>
      <c r="O1841" s="577">
        <f t="shared" si="438"/>
        <v>0</v>
      </c>
      <c r="P1841" s="578">
        <f t="shared" si="439"/>
        <v>0</v>
      </c>
      <c r="Q1841" s="765"/>
      <c r="R1841" s="576">
        <f>M1841</f>
        <v>0</v>
      </c>
      <c r="S1841" s="576">
        <f>N1841</f>
        <v>0</v>
      </c>
      <c r="T1841" s="577">
        <f t="shared" si="435"/>
        <v>0</v>
      </c>
      <c r="U1841" s="578">
        <f t="shared" si="436"/>
        <v>0</v>
      </c>
      <c r="V1841" s="579"/>
      <c r="W1841" s="566"/>
      <c r="X1841" s="586" t="str">
        <f t="shared" si="440"/>
        <v/>
      </c>
      <c r="Y1841" s="586" t="str">
        <f t="shared" si="431"/>
        <v/>
      </c>
      <c r="Z1841" s="586" t="str">
        <f t="shared" si="445"/>
        <v/>
      </c>
    </row>
    <row r="1842" spans="1:26" ht="12" hidden="1" thickBot="1" x14ac:dyDescent="0.25">
      <c r="A1842" s="567" t="s">
        <v>168</v>
      </c>
      <c r="B1842" s="644" t="s">
        <v>168</v>
      </c>
      <c r="C1842" s="645"/>
      <c r="D1842" s="451" t="s">
        <v>212</v>
      </c>
      <c r="E1842" s="423"/>
      <c r="F1842" s="424">
        <v>500</v>
      </c>
      <c r="G1842" s="425">
        <v>0.18</v>
      </c>
      <c r="H1842" s="649">
        <f>IF(F1842&lt;=30,(0.78*F1842+7.82)*G1842,((0.78*30+7.82)+0.78*(F1842-30))*G1842)</f>
        <v>71.607600000000005</v>
      </c>
      <c r="I1842" s="420">
        <v>0</v>
      </c>
      <c r="J1842" s="420"/>
      <c r="K1842" s="421">
        <f t="shared" si="434"/>
        <v>0</v>
      </c>
      <c r="L1842" s="668" t="s">
        <v>614</v>
      </c>
      <c r="M1842" s="669"/>
      <c r="N1842" s="576">
        <f t="shared" si="443"/>
        <v>0</v>
      </c>
      <c r="O1842" s="577">
        <f t="shared" si="438"/>
        <v>0</v>
      </c>
      <c r="P1842" s="578">
        <f t="shared" si="439"/>
        <v>0</v>
      </c>
      <c r="Q1842" s="765"/>
      <c r="R1842" s="669"/>
      <c r="S1842" s="670"/>
      <c r="T1842" s="577">
        <f t="shared" si="435"/>
        <v>0</v>
      </c>
      <c r="U1842" s="578">
        <f t="shared" si="436"/>
        <v>0</v>
      </c>
      <c r="V1842" s="579"/>
      <c r="W1842" s="637" t="str">
        <f>IF(U1841&gt;0,"xx",IF(P1841&gt;0,"xy",""))</f>
        <v/>
      </c>
      <c r="X1842" s="586" t="str">
        <f t="shared" si="440"/>
        <v/>
      </c>
      <c r="Y1842" s="586" t="str">
        <f t="shared" si="431"/>
        <v/>
      </c>
      <c r="Z1842" s="586" t="str">
        <f t="shared" si="445"/>
        <v/>
      </c>
    </row>
    <row r="1843" spans="1:26" ht="12" hidden="1" thickBot="1" x14ac:dyDescent="0.25">
      <c r="A1843" s="567" t="s">
        <v>168</v>
      </c>
      <c r="B1843" s="644" t="s">
        <v>168</v>
      </c>
      <c r="C1843" s="645"/>
      <c r="D1843" s="451" t="s">
        <v>248</v>
      </c>
      <c r="E1843" s="423"/>
      <c r="F1843" s="424">
        <v>180</v>
      </c>
      <c r="G1843" s="425">
        <v>1.06</v>
      </c>
      <c r="H1843" s="663">
        <f t="shared" ref="H1843:H1844" si="447">IF(F1843&lt;=30,(1.07*F1843+2.68)*G1843,((1.07*30+2.68)+1.07*(F1843-30))*G1843)</f>
        <v>206.99680000000001</v>
      </c>
      <c r="I1843" s="420">
        <v>0</v>
      </c>
      <c r="J1843" s="420"/>
      <c r="K1843" s="421">
        <f t="shared" si="434"/>
        <v>0</v>
      </c>
      <c r="L1843" s="668" t="s">
        <v>614</v>
      </c>
      <c r="M1843" s="669"/>
      <c r="N1843" s="576">
        <f t="shared" si="443"/>
        <v>0</v>
      </c>
      <c r="O1843" s="577">
        <f t="shared" si="438"/>
        <v>0</v>
      </c>
      <c r="P1843" s="578">
        <f t="shared" si="439"/>
        <v>0</v>
      </c>
      <c r="Q1843" s="765"/>
      <c r="R1843" s="669"/>
      <c r="S1843" s="670"/>
      <c r="T1843" s="577">
        <f t="shared" si="435"/>
        <v>0</v>
      </c>
      <c r="U1843" s="578">
        <f t="shared" si="436"/>
        <v>0</v>
      </c>
      <c r="V1843" s="579"/>
      <c r="W1843" s="637" t="str">
        <f>IF(U1841&gt;0,"xx",IF(P1841&gt;0,"xy",""))</f>
        <v/>
      </c>
      <c r="X1843" s="586" t="str">
        <f t="shared" si="440"/>
        <v/>
      </c>
      <c r="Y1843" s="586" t="str">
        <f t="shared" si="431"/>
        <v/>
      </c>
      <c r="Z1843" s="586" t="str">
        <f t="shared" si="445"/>
        <v/>
      </c>
    </row>
    <row r="1844" spans="1:26" ht="12" hidden="1" thickBot="1" x14ac:dyDescent="0.25">
      <c r="A1844" s="567" t="s">
        <v>168</v>
      </c>
      <c r="B1844" s="644" t="s">
        <v>168</v>
      </c>
      <c r="C1844" s="645"/>
      <c r="D1844" s="451" t="s">
        <v>252</v>
      </c>
      <c r="E1844" s="423"/>
      <c r="F1844" s="424">
        <v>20</v>
      </c>
      <c r="G1844" s="425">
        <v>1.1100000000000001</v>
      </c>
      <c r="H1844" s="663">
        <f t="shared" si="447"/>
        <v>26.728800000000003</v>
      </c>
      <c r="I1844" s="420">
        <v>0</v>
      </c>
      <c r="J1844" s="420"/>
      <c r="K1844" s="421">
        <f t="shared" si="434"/>
        <v>0</v>
      </c>
      <c r="L1844" s="668" t="s">
        <v>614</v>
      </c>
      <c r="M1844" s="669"/>
      <c r="N1844" s="576">
        <f t="shared" si="443"/>
        <v>0</v>
      </c>
      <c r="O1844" s="577">
        <f t="shared" si="438"/>
        <v>0</v>
      </c>
      <c r="P1844" s="578">
        <f t="shared" si="439"/>
        <v>0</v>
      </c>
      <c r="Q1844" s="765"/>
      <c r="R1844" s="669"/>
      <c r="S1844" s="670"/>
      <c r="T1844" s="577">
        <f t="shared" si="435"/>
        <v>0</v>
      </c>
      <c r="U1844" s="578">
        <f t="shared" si="436"/>
        <v>0</v>
      </c>
      <c r="V1844" s="579"/>
      <c r="W1844" s="637" t="str">
        <f>IF(U1841&gt;0,"xx",IF(P1841&gt;0,"xy",""))</f>
        <v/>
      </c>
      <c r="X1844" s="586" t="str">
        <f t="shared" si="440"/>
        <v/>
      </c>
      <c r="Y1844" s="586" t="str">
        <f t="shared" si="431"/>
        <v/>
      </c>
      <c r="Z1844" s="586" t="str">
        <f t="shared" si="445"/>
        <v/>
      </c>
    </row>
    <row r="1845" spans="1:26" ht="12" hidden="1" thickBot="1" x14ac:dyDescent="0.25">
      <c r="A1845" s="567">
        <v>603500</v>
      </c>
      <c r="B1845" s="644">
        <v>603500</v>
      </c>
      <c r="C1845" s="645" t="s">
        <v>206</v>
      </c>
      <c r="D1845" s="422" t="s">
        <v>342</v>
      </c>
      <c r="E1845" s="423"/>
      <c r="F1845" s="424"/>
      <c r="G1845" s="425"/>
      <c r="H1845" s="651">
        <f>IF(F1845&lt;=30,(0.31*F1845+0.77)*G1845,((0.31*30+0.77)+0.31*(F1845-30))*G1845)</f>
        <v>0</v>
      </c>
      <c r="I1845" s="420">
        <v>1272.48</v>
      </c>
      <c r="J1845" s="420">
        <f>IF(ISBLANK(I1845),"",SUM(H1845:I1845))</f>
        <v>1272.48</v>
      </c>
      <c r="K1845" s="421">
        <f t="shared" si="434"/>
        <v>1511.83</v>
      </c>
      <c r="L1845" s="647" t="s">
        <v>16</v>
      </c>
      <c r="M1845" s="576"/>
      <c r="N1845" s="576">
        <f t="shared" si="443"/>
        <v>0</v>
      </c>
      <c r="O1845" s="577">
        <f t="shared" si="438"/>
        <v>0</v>
      </c>
      <c r="P1845" s="578">
        <f t="shared" si="439"/>
        <v>0</v>
      </c>
      <c r="Q1845" s="765"/>
      <c r="R1845" s="576">
        <f t="shared" ref="R1845:S1847" si="448">M1845</f>
        <v>0</v>
      </c>
      <c r="S1845" s="576">
        <f t="shared" si="448"/>
        <v>0</v>
      </c>
      <c r="T1845" s="577">
        <f t="shared" si="435"/>
        <v>0</v>
      </c>
      <c r="U1845" s="578">
        <f t="shared" si="436"/>
        <v>0</v>
      </c>
      <c r="V1845" s="579"/>
      <c r="W1845" s="566"/>
      <c r="X1845" s="586" t="str">
        <f t="shared" si="440"/>
        <v/>
      </c>
      <c r="Y1845" s="586" t="str">
        <f t="shared" si="431"/>
        <v/>
      </c>
      <c r="Z1845" s="586" t="str">
        <f t="shared" si="445"/>
        <v/>
      </c>
    </row>
    <row r="1846" spans="1:26" ht="12" hidden="1" thickBot="1" x14ac:dyDescent="0.25">
      <c r="A1846" s="567">
        <v>603500</v>
      </c>
      <c r="B1846" s="644" t="s">
        <v>1881</v>
      </c>
      <c r="C1846" s="645" t="s">
        <v>206</v>
      </c>
      <c r="D1846" s="422" t="s">
        <v>343</v>
      </c>
      <c r="E1846" s="423"/>
      <c r="F1846" s="424"/>
      <c r="G1846" s="425"/>
      <c r="H1846" s="651">
        <f>IF(F1846&lt;=30,(0.31*F1846+0.77)*G1846,((0.31*30+0.77)+0.31*(F1846-30))*G1846)</f>
        <v>0</v>
      </c>
      <c r="I1846" s="420">
        <v>806.62687000000005</v>
      </c>
      <c r="J1846" s="420">
        <f>IF(ISBLANK(I1846),"",SUM(H1846:I1846))*0.86</f>
        <v>693.69910820000007</v>
      </c>
      <c r="K1846" s="421">
        <f t="shared" si="434"/>
        <v>824.18</v>
      </c>
      <c r="L1846" s="647" t="s">
        <v>16</v>
      </c>
      <c r="M1846" s="576"/>
      <c r="N1846" s="576">
        <f t="shared" si="443"/>
        <v>0</v>
      </c>
      <c r="O1846" s="577">
        <f t="shared" si="438"/>
        <v>0</v>
      </c>
      <c r="P1846" s="578">
        <f t="shared" si="439"/>
        <v>0</v>
      </c>
      <c r="Q1846" s="765"/>
      <c r="R1846" s="576">
        <f t="shared" si="448"/>
        <v>0</v>
      </c>
      <c r="S1846" s="576">
        <f t="shared" si="448"/>
        <v>0</v>
      </c>
      <c r="T1846" s="577">
        <f t="shared" si="435"/>
        <v>0</v>
      </c>
      <c r="U1846" s="578">
        <f t="shared" si="436"/>
        <v>0</v>
      </c>
      <c r="V1846" s="579"/>
      <c r="W1846" s="566"/>
      <c r="X1846" s="586" t="str">
        <f t="shared" si="440"/>
        <v/>
      </c>
      <c r="Y1846" s="586" t="str">
        <f t="shared" si="431"/>
        <v/>
      </c>
      <c r="Z1846" s="586" t="str">
        <f t="shared" si="445"/>
        <v/>
      </c>
    </row>
    <row r="1847" spans="1:26" ht="12" hidden="1" thickBot="1" x14ac:dyDescent="0.25">
      <c r="A1847" s="567">
        <v>604000</v>
      </c>
      <c r="B1847" s="644">
        <v>604000</v>
      </c>
      <c r="C1847" s="645" t="s">
        <v>206</v>
      </c>
      <c r="D1847" s="422" t="s">
        <v>344</v>
      </c>
      <c r="E1847" s="423"/>
      <c r="F1847" s="424"/>
      <c r="G1847" s="425"/>
      <c r="H1847" s="651">
        <f>SUM(H1848:H1849)</f>
        <v>480.21987999999999</v>
      </c>
      <c r="I1847" s="420">
        <v>507.14</v>
      </c>
      <c r="J1847" s="420">
        <f>IF(ISBLANK(I1847),"",SUM(H1847:I1847))</f>
        <v>987.35987999999998</v>
      </c>
      <c r="K1847" s="421">
        <f t="shared" si="434"/>
        <v>1173.08</v>
      </c>
      <c r="L1847" s="647" t="s">
        <v>16</v>
      </c>
      <c r="M1847" s="576"/>
      <c r="N1847" s="576">
        <f t="shared" si="443"/>
        <v>0</v>
      </c>
      <c r="O1847" s="577">
        <f t="shared" si="438"/>
        <v>0</v>
      </c>
      <c r="P1847" s="578">
        <f t="shared" si="439"/>
        <v>0</v>
      </c>
      <c r="Q1847" s="765"/>
      <c r="R1847" s="576">
        <f t="shared" si="448"/>
        <v>0</v>
      </c>
      <c r="S1847" s="576">
        <f t="shared" si="448"/>
        <v>0</v>
      </c>
      <c r="T1847" s="577">
        <f t="shared" si="435"/>
        <v>0</v>
      </c>
      <c r="U1847" s="578">
        <f t="shared" si="436"/>
        <v>0</v>
      </c>
      <c r="V1847" s="579"/>
      <c r="W1847" s="566"/>
      <c r="X1847" s="586" t="str">
        <f t="shared" si="440"/>
        <v/>
      </c>
      <c r="Y1847" s="586" t="str">
        <f t="shared" si="431"/>
        <v/>
      </c>
      <c r="Z1847" s="586" t="str">
        <f t="shared" si="445"/>
        <v/>
      </c>
    </row>
    <row r="1848" spans="1:26" ht="12" hidden="1" thickBot="1" x14ac:dyDescent="0.25">
      <c r="A1848" s="567" t="s">
        <v>168</v>
      </c>
      <c r="B1848" s="644" t="s">
        <v>168</v>
      </c>
      <c r="C1848" s="645"/>
      <c r="D1848" s="422" t="s">
        <v>212</v>
      </c>
      <c r="E1848" s="423"/>
      <c r="F1848" s="424">
        <v>500</v>
      </c>
      <c r="G1848" s="425">
        <v>0.434</v>
      </c>
      <c r="H1848" s="649">
        <f>IF(F1848&lt;=30,(0.78*F1848+7.82)*G1848,((0.78*30+7.82)+0.78*(F1848-30))*G1848)</f>
        <v>172.65388000000002</v>
      </c>
      <c r="I1848" s="420"/>
      <c r="J1848" s="420"/>
      <c r="K1848" s="421">
        <f t="shared" si="434"/>
        <v>0</v>
      </c>
      <c r="L1848" s="647"/>
      <c r="M1848" s="723"/>
      <c r="N1848" s="576">
        <f t="shared" si="443"/>
        <v>0</v>
      </c>
      <c r="O1848" s="577">
        <f t="shared" si="438"/>
        <v>0</v>
      </c>
      <c r="P1848" s="578">
        <f t="shared" si="439"/>
        <v>0</v>
      </c>
      <c r="Q1848" s="765"/>
      <c r="R1848" s="723"/>
      <c r="S1848" s="723"/>
      <c r="T1848" s="577">
        <f t="shared" si="435"/>
        <v>0</v>
      </c>
      <c r="U1848" s="578">
        <f t="shared" si="436"/>
        <v>0</v>
      </c>
      <c r="V1848" s="579"/>
      <c r="W1848" s="566" t="str">
        <f>IF(U1847&gt;0,"xx",IF(P1847&gt;0,"xy",""))</f>
        <v/>
      </c>
      <c r="X1848" s="586" t="str">
        <f t="shared" si="440"/>
        <v/>
      </c>
      <c r="Y1848" s="586" t="str">
        <f t="shared" si="431"/>
        <v/>
      </c>
      <c r="Z1848" s="586" t="str">
        <f t="shared" si="445"/>
        <v/>
      </c>
    </row>
    <row r="1849" spans="1:26" ht="12" hidden="1" thickBot="1" x14ac:dyDescent="0.25">
      <c r="A1849" s="567" t="s">
        <v>168</v>
      </c>
      <c r="B1849" s="644" t="s">
        <v>168</v>
      </c>
      <c r="C1849" s="645"/>
      <c r="D1849" s="422" t="s">
        <v>248</v>
      </c>
      <c r="E1849" s="423"/>
      <c r="F1849" s="424">
        <v>180</v>
      </c>
      <c r="G1849" s="425">
        <v>1.575</v>
      </c>
      <c r="H1849" s="663">
        <f t="shared" ref="H1849" si="449">IF(F1849&lt;=30,(1.07*F1849+2.68)*G1849,((1.07*30+2.68)+1.07*(F1849-30))*G1849)</f>
        <v>307.56599999999997</v>
      </c>
      <c r="I1849" s="420"/>
      <c r="J1849" s="420"/>
      <c r="K1849" s="421">
        <f t="shared" si="434"/>
        <v>0</v>
      </c>
      <c r="L1849" s="647"/>
      <c r="M1849" s="723"/>
      <c r="N1849" s="576">
        <f t="shared" si="443"/>
        <v>0</v>
      </c>
      <c r="O1849" s="577">
        <f t="shared" si="438"/>
        <v>0</v>
      </c>
      <c r="P1849" s="578">
        <f t="shared" si="439"/>
        <v>0</v>
      </c>
      <c r="Q1849" s="765"/>
      <c r="R1849" s="723"/>
      <c r="S1849" s="723"/>
      <c r="T1849" s="577">
        <f t="shared" si="435"/>
        <v>0</v>
      </c>
      <c r="U1849" s="578">
        <f t="shared" si="436"/>
        <v>0</v>
      </c>
      <c r="V1849" s="579"/>
      <c r="W1849" s="566" t="str">
        <f>IF(U1847&gt;0,"xx",IF(P1847&gt;0,"xy",""))</f>
        <v/>
      </c>
      <c r="X1849" s="586" t="str">
        <f t="shared" si="440"/>
        <v/>
      </c>
      <c r="Y1849" s="586" t="str">
        <f t="shared" si="431"/>
        <v/>
      </c>
      <c r="Z1849" s="586" t="str">
        <f t="shared" si="445"/>
        <v/>
      </c>
    </row>
    <row r="1850" spans="1:26" ht="12" hidden="1" thickBot="1" x14ac:dyDescent="0.25">
      <c r="A1850" s="567">
        <v>604100</v>
      </c>
      <c r="B1850" s="644">
        <v>604100</v>
      </c>
      <c r="C1850" s="645" t="s">
        <v>206</v>
      </c>
      <c r="D1850" s="422" t="s">
        <v>345</v>
      </c>
      <c r="E1850" s="423"/>
      <c r="F1850" s="424"/>
      <c r="G1850" s="425"/>
      <c r="H1850" s="651">
        <f>SUM(H1851:H1852)</f>
        <v>497.14390000000003</v>
      </c>
      <c r="I1850" s="420">
        <v>449.91999999999996</v>
      </c>
      <c r="J1850" s="420">
        <f>IF(ISBLANK(I1850),"",SUM(H1850:I1850))</f>
        <v>947.06389999999999</v>
      </c>
      <c r="K1850" s="421">
        <f t="shared" si="434"/>
        <v>1125.21</v>
      </c>
      <c r="L1850" s="647" t="s">
        <v>16</v>
      </c>
      <c r="M1850" s="576"/>
      <c r="N1850" s="576">
        <f t="shared" si="443"/>
        <v>0</v>
      </c>
      <c r="O1850" s="577">
        <f t="shared" si="438"/>
        <v>0</v>
      </c>
      <c r="P1850" s="578">
        <f t="shared" si="439"/>
        <v>0</v>
      </c>
      <c r="Q1850" s="765"/>
      <c r="R1850" s="576">
        <f>M1850</f>
        <v>0</v>
      </c>
      <c r="S1850" s="576">
        <f>N1850</f>
        <v>0</v>
      </c>
      <c r="T1850" s="577">
        <f t="shared" si="435"/>
        <v>0</v>
      </c>
      <c r="U1850" s="578">
        <f t="shared" si="436"/>
        <v>0</v>
      </c>
      <c r="V1850" s="579"/>
      <c r="W1850" s="566"/>
      <c r="X1850" s="586" t="str">
        <f t="shared" si="440"/>
        <v/>
      </c>
      <c r="Y1850" s="586" t="str">
        <f t="shared" si="431"/>
        <v/>
      </c>
      <c r="Z1850" s="586" t="str">
        <f t="shared" si="445"/>
        <v/>
      </c>
    </row>
    <row r="1851" spans="1:26" ht="12" hidden="1" thickBot="1" x14ac:dyDescent="0.25">
      <c r="A1851" s="567" t="s">
        <v>168</v>
      </c>
      <c r="B1851" s="644" t="s">
        <v>168</v>
      </c>
      <c r="C1851" s="645"/>
      <c r="D1851" s="422" t="s">
        <v>212</v>
      </c>
      <c r="E1851" s="423"/>
      <c r="F1851" s="424">
        <v>500</v>
      </c>
      <c r="G1851" s="425">
        <v>0.42499999999999999</v>
      </c>
      <c r="H1851" s="649">
        <f>IF(F1851&lt;=30,(0.78*F1851+7.82)*G1851,((0.78*30+7.82)+0.78*(F1851-30))*G1851)</f>
        <v>169.07350000000002</v>
      </c>
      <c r="I1851" s="420"/>
      <c r="J1851" s="420"/>
      <c r="K1851" s="421">
        <f t="shared" si="434"/>
        <v>0</v>
      </c>
      <c r="L1851" s="647"/>
      <c r="M1851" s="723"/>
      <c r="N1851" s="576">
        <f t="shared" si="443"/>
        <v>0</v>
      </c>
      <c r="O1851" s="577">
        <f t="shared" si="438"/>
        <v>0</v>
      </c>
      <c r="P1851" s="578">
        <f t="shared" si="439"/>
        <v>0</v>
      </c>
      <c r="Q1851" s="765"/>
      <c r="R1851" s="723"/>
      <c r="S1851" s="723"/>
      <c r="T1851" s="577">
        <f t="shared" si="435"/>
        <v>0</v>
      </c>
      <c r="U1851" s="578">
        <f t="shared" si="436"/>
        <v>0</v>
      </c>
      <c r="V1851" s="579"/>
      <c r="W1851" s="566" t="str">
        <f>IF(U1850&gt;0,"xx",IF(P1850&gt;0,"xy",""))</f>
        <v/>
      </c>
      <c r="X1851" s="586" t="str">
        <f t="shared" si="440"/>
        <v/>
      </c>
      <c r="Y1851" s="586" t="str">
        <f t="shared" si="431"/>
        <v/>
      </c>
      <c r="Z1851" s="586" t="str">
        <f t="shared" si="445"/>
        <v/>
      </c>
    </row>
    <row r="1852" spans="1:26" ht="12" hidden="1" thickBot="1" x14ac:dyDescent="0.25">
      <c r="A1852" s="567" t="s">
        <v>168</v>
      </c>
      <c r="B1852" s="644" t="s">
        <v>168</v>
      </c>
      <c r="C1852" s="645"/>
      <c r="D1852" s="422" t="s">
        <v>248</v>
      </c>
      <c r="E1852" s="423"/>
      <c r="F1852" s="424">
        <v>180</v>
      </c>
      <c r="G1852" s="425">
        <v>1.68</v>
      </c>
      <c r="H1852" s="663">
        <f t="shared" ref="H1852:H1855" si="450">IF(F1852&lt;=30,(1.07*F1852+2.68)*G1852,((1.07*30+2.68)+1.07*(F1852-30))*G1852)</f>
        <v>328.07040000000001</v>
      </c>
      <c r="I1852" s="420"/>
      <c r="J1852" s="420"/>
      <c r="K1852" s="421">
        <f t="shared" si="434"/>
        <v>0</v>
      </c>
      <c r="L1852" s="647"/>
      <c r="M1852" s="723"/>
      <c r="N1852" s="576">
        <f t="shared" si="443"/>
        <v>0</v>
      </c>
      <c r="O1852" s="577">
        <f t="shared" si="438"/>
        <v>0</v>
      </c>
      <c r="P1852" s="578">
        <f t="shared" si="439"/>
        <v>0</v>
      </c>
      <c r="Q1852" s="765"/>
      <c r="R1852" s="723"/>
      <c r="S1852" s="723"/>
      <c r="T1852" s="577">
        <f t="shared" ref="T1852:T1919" si="451">IF(ISBLANK(R1852),0,ROUND(K1852*R1852,2))</f>
        <v>0</v>
      </c>
      <c r="U1852" s="578">
        <f t="shared" ref="U1852:U1919" si="452">IF(ISBLANK(R1852),0,ROUND(R1852*S1852,2))</f>
        <v>0</v>
      </c>
      <c r="V1852" s="579"/>
      <c r="W1852" s="566" t="str">
        <f>IF(U1850&gt;0,"xx",IF(P1850&gt;0,"xy",""))</f>
        <v/>
      </c>
      <c r="X1852" s="586" t="str">
        <f t="shared" si="440"/>
        <v/>
      </c>
      <c r="Y1852" s="586" t="str">
        <f t="shared" si="431"/>
        <v/>
      </c>
      <c r="Z1852" s="586" t="str">
        <f t="shared" si="445"/>
        <v/>
      </c>
    </row>
    <row r="1853" spans="1:26" ht="12" hidden="1" thickBot="1" x14ac:dyDescent="0.25">
      <c r="A1853" s="567">
        <v>640000</v>
      </c>
      <c r="B1853" s="644">
        <v>640000</v>
      </c>
      <c r="C1853" s="645" t="s">
        <v>206</v>
      </c>
      <c r="D1853" s="422" t="s">
        <v>346</v>
      </c>
      <c r="E1853" s="423"/>
      <c r="F1853" s="424"/>
      <c r="G1853" s="425"/>
      <c r="H1853" s="651">
        <f>SUM(H1854:H1855)</f>
        <v>100.25912000000001</v>
      </c>
      <c r="I1853" s="420">
        <v>95.3</v>
      </c>
      <c r="J1853" s="420">
        <f>IF(ISBLANK(I1853),"",SUM(H1853:I1853))</f>
        <v>195.55912000000001</v>
      </c>
      <c r="K1853" s="421">
        <f t="shared" si="434"/>
        <v>232.34</v>
      </c>
      <c r="L1853" s="647" t="s">
        <v>19</v>
      </c>
      <c r="M1853" s="576"/>
      <c r="N1853" s="576">
        <f t="shared" si="443"/>
        <v>0</v>
      </c>
      <c r="O1853" s="577">
        <f t="shared" ref="O1853:O1920" si="453">IF(ISBLANK(M1853),0,ROUND(K1853*M1853,2))</f>
        <v>0</v>
      </c>
      <c r="P1853" s="578">
        <f t="shared" ref="P1853:P1920" si="454">IF(ISBLANK(N1853),0,ROUND(M1853*N1853,2))</f>
        <v>0</v>
      </c>
      <c r="Q1853" s="765"/>
      <c r="R1853" s="576">
        <f>M1853</f>
        <v>0</v>
      </c>
      <c r="S1853" s="576">
        <f>N1853</f>
        <v>0</v>
      </c>
      <c r="T1853" s="577">
        <f t="shared" si="451"/>
        <v>0</v>
      </c>
      <c r="U1853" s="578">
        <f t="shared" si="452"/>
        <v>0</v>
      </c>
      <c r="V1853" s="579"/>
      <c r="W1853" s="566"/>
      <c r="X1853" s="586" t="str">
        <f t="shared" si="440"/>
        <v/>
      </c>
      <c r="Y1853" s="586" t="str">
        <f t="shared" si="431"/>
        <v/>
      </c>
      <c r="Z1853" s="586" t="str">
        <f t="shared" si="445"/>
        <v/>
      </c>
    </row>
    <row r="1854" spans="1:26" ht="12" hidden="1" thickBot="1" x14ac:dyDescent="0.25">
      <c r="A1854" s="567" t="s">
        <v>168</v>
      </c>
      <c r="B1854" s="644" t="s">
        <v>168</v>
      </c>
      <c r="C1854" s="645"/>
      <c r="D1854" s="422" t="s">
        <v>248</v>
      </c>
      <c r="E1854" s="423"/>
      <c r="F1854" s="424">
        <v>180</v>
      </c>
      <c r="G1854" s="425">
        <v>0.50700000000000001</v>
      </c>
      <c r="H1854" s="663">
        <f t="shared" si="450"/>
        <v>99.006960000000007</v>
      </c>
      <c r="I1854" s="420"/>
      <c r="J1854" s="420"/>
      <c r="K1854" s="421">
        <f t="shared" si="434"/>
        <v>0</v>
      </c>
      <c r="L1854" s="647"/>
      <c r="M1854" s="723"/>
      <c r="N1854" s="576">
        <f t="shared" si="443"/>
        <v>0</v>
      </c>
      <c r="O1854" s="577">
        <f t="shared" si="453"/>
        <v>0</v>
      </c>
      <c r="P1854" s="578">
        <f t="shared" si="454"/>
        <v>0</v>
      </c>
      <c r="Q1854" s="765"/>
      <c r="R1854" s="723"/>
      <c r="S1854" s="723"/>
      <c r="T1854" s="577">
        <f t="shared" si="451"/>
        <v>0</v>
      </c>
      <c r="U1854" s="578">
        <f t="shared" si="452"/>
        <v>0</v>
      </c>
      <c r="V1854" s="579"/>
      <c r="W1854" s="566" t="str">
        <f>IF(U1853&gt;0,"xx",IF(P1853&gt;0,"xy",""))</f>
        <v/>
      </c>
      <c r="X1854" s="586" t="str">
        <f t="shared" si="440"/>
        <v/>
      </c>
      <c r="Y1854" s="586" t="str">
        <f t="shared" si="431"/>
        <v/>
      </c>
      <c r="Z1854" s="586" t="str">
        <f t="shared" si="445"/>
        <v/>
      </c>
    </row>
    <row r="1855" spans="1:26" ht="12" hidden="1" thickBot="1" x14ac:dyDescent="0.25">
      <c r="A1855" s="567" t="s">
        <v>168</v>
      </c>
      <c r="B1855" s="644" t="s">
        <v>168</v>
      </c>
      <c r="C1855" s="645"/>
      <c r="D1855" s="422" t="s">
        <v>347</v>
      </c>
      <c r="E1855" s="423"/>
      <c r="F1855" s="424">
        <v>20</v>
      </c>
      <c r="G1855" s="425">
        <v>5.1999999999999998E-2</v>
      </c>
      <c r="H1855" s="663">
        <f t="shared" si="450"/>
        <v>1.2521599999999999</v>
      </c>
      <c r="I1855" s="420"/>
      <c r="J1855" s="420"/>
      <c r="K1855" s="421">
        <f t="shared" si="434"/>
        <v>0</v>
      </c>
      <c r="L1855" s="647"/>
      <c r="M1855" s="723"/>
      <c r="N1855" s="576">
        <f t="shared" si="443"/>
        <v>0</v>
      </c>
      <c r="O1855" s="577">
        <f t="shared" si="453"/>
        <v>0</v>
      </c>
      <c r="P1855" s="578">
        <f t="shared" si="454"/>
        <v>0</v>
      </c>
      <c r="Q1855" s="765"/>
      <c r="R1855" s="723"/>
      <c r="S1855" s="723"/>
      <c r="T1855" s="577">
        <f t="shared" si="451"/>
        <v>0</v>
      </c>
      <c r="U1855" s="578">
        <f t="shared" si="452"/>
        <v>0</v>
      </c>
      <c r="V1855" s="579"/>
      <c r="W1855" s="566" t="str">
        <f>IF(U1853&gt;0,"xx",IF(P1853&gt;0,"xy",""))</f>
        <v/>
      </c>
      <c r="X1855" s="586" t="str">
        <f t="shared" si="440"/>
        <v/>
      </c>
      <c r="Y1855" s="586" t="str">
        <f t="shared" si="431"/>
        <v/>
      </c>
      <c r="Z1855" s="586" t="str">
        <f t="shared" si="445"/>
        <v/>
      </c>
    </row>
    <row r="1856" spans="1:26" ht="12" hidden="1" thickBot="1" x14ac:dyDescent="0.25">
      <c r="A1856" s="567">
        <v>605000</v>
      </c>
      <c r="B1856" s="644" t="s">
        <v>1633</v>
      </c>
      <c r="C1856" s="645" t="s">
        <v>206</v>
      </c>
      <c r="D1856" s="422" t="s">
        <v>348</v>
      </c>
      <c r="E1856" s="423"/>
      <c r="F1856" s="424"/>
      <c r="G1856" s="425"/>
      <c r="H1856" s="651">
        <f>SUM(H1857:H1859)</f>
        <v>305.33319999999998</v>
      </c>
      <c r="I1856" s="420">
        <v>408.95</v>
      </c>
      <c r="J1856" s="420">
        <f>IF(ISBLANK(I1856),"",SUM(H1856:I1856))</f>
        <v>714.28319999999997</v>
      </c>
      <c r="K1856" s="421">
        <f t="shared" ref="K1856:K1919" si="455">IF(ISBLANK(I1856),0,ROUND(J1856*(1+$F$10)*(1+$F$11*E1856),2))</f>
        <v>848.64</v>
      </c>
      <c r="L1856" s="647" t="s">
        <v>16</v>
      </c>
      <c r="M1856" s="576"/>
      <c r="N1856" s="576">
        <f t="shared" si="443"/>
        <v>0</v>
      </c>
      <c r="O1856" s="577">
        <f t="shared" si="453"/>
        <v>0</v>
      </c>
      <c r="P1856" s="578">
        <f t="shared" si="454"/>
        <v>0</v>
      </c>
      <c r="Q1856" s="765"/>
      <c r="R1856" s="576">
        <f>M1856</f>
        <v>0</v>
      </c>
      <c r="S1856" s="576">
        <f>N1856</f>
        <v>0</v>
      </c>
      <c r="T1856" s="577">
        <f t="shared" si="451"/>
        <v>0</v>
      </c>
      <c r="U1856" s="578">
        <f t="shared" si="452"/>
        <v>0</v>
      </c>
      <c r="V1856" s="579"/>
      <c r="W1856" s="566"/>
      <c r="X1856" s="586" t="str">
        <f t="shared" si="440"/>
        <v/>
      </c>
      <c r="Y1856" s="586" t="str">
        <f t="shared" si="431"/>
        <v/>
      </c>
      <c r="Z1856" s="586" t="str">
        <f t="shared" si="445"/>
        <v/>
      </c>
    </row>
    <row r="1857" spans="1:26" ht="12" hidden="1" thickBot="1" x14ac:dyDescent="0.25">
      <c r="A1857" s="567" t="s">
        <v>168</v>
      </c>
      <c r="B1857" s="644" t="s">
        <v>168</v>
      </c>
      <c r="C1857" s="645"/>
      <c r="D1857" s="422" t="s">
        <v>212</v>
      </c>
      <c r="E1857" s="423"/>
      <c r="F1857" s="424">
        <v>500</v>
      </c>
      <c r="G1857" s="425">
        <v>0.18</v>
      </c>
      <c r="H1857" s="649">
        <f>IF(F1857&lt;=30,(0.78*F1857+7.82)*G1857,((0.78*30+7.82)+0.78*(F1857-30))*G1857)</f>
        <v>71.607600000000005</v>
      </c>
      <c r="I1857" s="420"/>
      <c r="J1857" s="420"/>
      <c r="K1857" s="421">
        <f t="shared" si="455"/>
        <v>0</v>
      </c>
      <c r="L1857" s="647"/>
      <c r="M1857" s="723"/>
      <c r="N1857" s="576">
        <f t="shared" si="443"/>
        <v>0</v>
      </c>
      <c r="O1857" s="577">
        <f t="shared" si="453"/>
        <v>0</v>
      </c>
      <c r="P1857" s="578">
        <f t="shared" si="454"/>
        <v>0</v>
      </c>
      <c r="Q1857" s="765"/>
      <c r="R1857" s="723"/>
      <c r="S1857" s="723"/>
      <c r="T1857" s="577">
        <f t="shared" si="451"/>
        <v>0</v>
      </c>
      <c r="U1857" s="578">
        <f t="shared" si="452"/>
        <v>0</v>
      </c>
      <c r="V1857" s="579"/>
      <c r="W1857" s="566" t="str">
        <f>IF(U1856&gt;0,"xx",IF(P1856&gt;0,"xy",""))</f>
        <v/>
      </c>
      <c r="X1857" s="586" t="str">
        <f t="shared" si="440"/>
        <v/>
      </c>
      <c r="Y1857" s="586" t="str">
        <f t="shared" si="431"/>
        <v/>
      </c>
      <c r="Z1857" s="586" t="str">
        <f t="shared" si="445"/>
        <v/>
      </c>
    </row>
    <row r="1858" spans="1:26" ht="12" hidden="1" thickBot="1" x14ac:dyDescent="0.25">
      <c r="A1858" s="567" t="s">
        <v>168</v>
      </c>
      <c r="B1858" s="644" t="s">
        <v>168</v>
      </c>
      <c r="C1858" s="645"/>
      <c r="D1858" s="422" t="s">
        <v>248</v>
      </c>
      <c r="E1858" s="423"/>
      <c r="F1858" s="424">
        <v>180</v>
      </c>
      <c r="G1858" s="425">
        <v>1.06</v>
      </c>
      <c r="H1858" s="663">
        <f t="shared" ref="H1858:H1859" si="456">IF(F1858&lt;=30,(1.07*F1858+2.68)*G1858,((1.07*30+2.68)+1.07*(F1858-30))*G1858)</f>
        <v>206.99680000000001</v>
      </c>
      <c r="I1858" s="420"/>
      <c r="J1858" s="420"/>
      <c r="K1858" s="421">
        <f t="shared" si="455"/>
        <v>0</v>
      </c>
      <c r="L1858" s="647"/>
      <c r="M1858" s="723"/>
      <c r="N1858" s="576">
        <f t="shared" si="443"/>
        <v>0</v>
      </c>
      <c r="O1858" s="577">
        <f t="shared" si="453"/>
        <v>0</v>
      </c>
      <c r="P1858" s="578">
        <f t="shared" si="454"/>
        <v>0</v>
      </c>
      <c r="Q1858" s="765"/>
      <c r="R1858" s="723"/>
      <c r="S1858" s="723"/>
      <c r="T1858" s="577">
        <f t="shared" si="451"/>
        <v>0</v>
      </c>
      <c r="U1858" s="578">
        <f t="shared" si="452"/>
        <v>0</v>
      </c>
      <c r="V1858" s="579"/>
      <c r="W1858" s="566" t="str">
        <f>IF(U1856&gt;0,"xx",IF(P1856&gt;0,"xy",""))</f>
        <v/>
      </c>
      <c r="X1858" s="586" t="str">
        <f t="shared" si="440"/>
        <v/>
      </c>
      <c r="Y1858" s="586" t="str">
        <f t="shared" si="431"/>
        <v/>
      </c>
      <c r="Z1858" s="586" t="str">
        <f t="shared" si="445"/>
        <v/>
      </c>
    </row>
    <row r="1859" spans="1:26" ht="12" hidden="1" thickBot="1" x14ac:dyDescent="0.25">
      <c r="A1859" s="567" t="s">
        <v>168</v>
      </c>
      <c r="B1859" s="644" t="s">
        <v>168</v>
      </c>
      <c r="C1859" s="645"/>
      <c r="D1859" s="422" t="s">
        <v>252</v>
      </c>
      <c r="E1859" s="423"/>
      <c r="F1859" s="424">
        <v>20</v>
      </c>
      <c r="G1859" s="425">
        <v>1.1100000000000001</v>
      </c>
      <c r="H1859" s="663">
        <f t="shared" si="456"/>
        <v>26.728800000000003</v>
      </c>
      <c r="I1859" s="420"/>
      <c r="J1859" s="420"/>
      <c r="K1859" s="421">
        <f t="shared" si="455"/>
        <v>0</v>
      </c>
      <c r="L1859" s="647"/>
      <c r="M1859" s="723"/>
      <c r="N1859" s="576">
        <f t="shared" si="443"/>
        <v>0</v>
      </c>
      <c r="O1859" s="577">
        <f t="shared" si="453"/>
        <v>0</v>
      </c>
      <c r="P1859" s="578">
        <f t="shared" si="454"/>
        <v>0</v>
      </c>
      <c r="Q1859" s="765"/>
      <c r="R1859" s="723"/>
      <c r="S1859" s="723"/>
      <c r="T1859" s="577">
        <f t="shared" si="451"/>
        <v>0</v>
      </c>
      <c r="U1859" s="578">
        <f t="shared" si="452"/>
        <v>0</v>
      </c>
      <c r="V1859" s="579"/>
      <c r="W1859" s="566" t="str">
        <f>IF(U1856&gt;0,"xx",IF(P1856&gt;0,"xy",""))</f>
        <v/>
      </c>
      <c r="X1859" s="586" t="str">
        <f t="shared" si="440"/>
        <v/>
      </c>
      <c r="Y1859" s="586" t="str">
        <f t="shared" si="431"/>
        <v/>
      </c>
      <c r="Z1859" s="586" t="str">
        <f t="shared" si="445"/>
        <v/>
      </c>
    </row>
    <row r="1860" spans="1:26" ht="12" hidden="1" thickBot="1" x14ac:dyDescent="0.25">
      <c r="A1860" s="567">
        <v>606000</v>
      </c>
      <c r="B1860" s="644" t="s">
        <v>1639</v>
      </c>
      <c r="C1860" s="645" t="s">
        <v>206</v>
      </c>
      <c r="D1860" s="422" t="s">
        <v>636</v>
      </c>
      <c r="E1860" s="423"/>
      <c r="F1860" s="424"/>
      <c r="G1860" s="425"/>
      <c r="H1860" s="651">
        <f>SUM(H1861:H1863)</f>
        <v>235.96230000000003</v>
      </c>
      <c r="I1860" s="420">
        <v>365.08</v>
      </c>
      <c r="J1860" s="420">
        <f>IF(ISBLANK(I1860),"",SUM(H1860:I1860))</f>
        <v>601.04230000000007</v>
      </c>
      <c r="K1860" s="421">
        <f t="shared" si="455"/>
        <v>714.1</v>
      </c>
      <c r="L1860" s="647" t="s">
        <v>16</v>
      </c>
      <c r="M1860" s="576"/>
      <c r="N1860" s="576">
        <f t="shared" si="443"/>
        <v>0</v>
      </c>
      <c r="O1860" s="577">
        <f t="shared" si="453"/>
        <v>0</v>
      </c>
      <c r="P1860" s="578">
        <f t="shared" si="454"/>
        <v>0</v>
      </c>
      <c r="Q1860" s="765"/>
      <c r="R1860" s="576">
        <f>M1860</f>
        <v>0</v>
      </c>
      <c r="S1860" s="576">
        <f>N1860</f>
        <v>0</v>
      </c>
      <c r="T1860" s="577">
        <f t="shared" si="451"/>
        <v>0</v>
      </c>
      <c r="U1860" s="578">
        <f t="shared" si="452"/>
        <v>0</v>
      </c>
      <c r="V1860" s="579"/>
      <c r="W1860" s="566"/>
      <c r="X1860" s="586" t="str">
        <f t="shared" si="440"/>
        <v/>
      </c>
      <c r="Y1860" s="586" t="str">
        <f t="shared" si="431"/>
        <v/>
      </c>
      <c r="Z1860" s="586" t="str">
        <f t="shared" si="445"/>
        <v/>
      </c>
    </row>
    <row r="1861" spans="1:26" ht="12" hidden="1" thickBot="1" x14ac:dyDescent="0.25">
      <c r="A1861" s="567" t="s">
        <v>168</v>
      </c>
      <c r="B1861" s="644" t="s">
        <v>168</v>
      </c>
      <c r="C1861" s="645"/>
      <c r="D1861" s="422" t="s">
        <v>212</v>
      </c>
      <c r="E1861" s="423"/>
      <c r="F1861" s="424">
        <v>500</v>
      </c>
      <c r="G1861" s="425">
        <v>0.189</v>
      </c>
      <c r="H1861" s="649">
        <f>IF(F1861&lt;=30,(0.78*F1861+7.82)*G1861,((0.78*30+7.82)+0.78*(F1861-30))*G1861)</f>
        <v>75.18798000000001</v>
      </c>
      <c r="I1861" s="420"/>
      <c r="J1861" s="420"/>
      <c r="K1861" s="421">
        <f t="shared" si="455"/>
        <v>0</v>
      </c>
      <c r="L1861" s="647"/>
      <c r="M1861" s="723"/>
      <c r="N1861" s="576">
        <f t="shared" si="443"/>
        <v>0</v>
      </c>
      <c r="O1861" s="577">
        <f t="shared" si="453"/>
        <v>0</v>
      </c>
      <c r="P1861" s="578">
        <f t="shared" si="454"/>
        <v>0</v>
      </c>
      <c r="Q1861" s="765"/>
      <c r="R1861" s="723"/>
      <c r="S1861" s="723"/>
      <c r="T1861" s="577">
        <f t="shared" si="451"/>
        <v>0</v>
      </c>
      <c r="U1861" s="578">
        <f t="shared" si="452"/>
        <v>0</v>
      </c>
      <c r="V1861" s="579"/>
      <c r="W1861" s="566" t="str">
        <f>IF(U1860&gt;0,"xx",IF(P1860&gt;0,"xy",""))</f>
        <v/>
      </c>
      <c r="X1861" s="586" t="str">
        <f t="shared" si="440"/>
        <v/>
      </c>
      <c r="Y1861" s="586" t="str">
        <f t="shared" si="431"/>
        <v/>
      </c>
      <c r="Z1861" s="586" t="str">
        <f t="shared" si="445"/>
        <v/>
      </c>
    </row>
    <row r="1862" spans="1:26" ht="12" hidden="1" thickBot="1" x14ac:dyDescent="0.25">
      <c r="A1862" s="567" t="s">
        <v>168</v>
      </c>
      <c r="B1862" s="644" t="s">
        <v>168</v>
      </c>
      <c r="C1862" s="645"/>
      <c r="D1862" s="422" t="s">
        <v>248</v>
      </c>
      <c r="E1862" s="423"/>
      <c r="F1862" s="424">
        <v>180</v>
      </c>
      <c r="G1862" s="425">
        <v>0.67200000000000004</v>
      </c>
      <c r="H1862" s="663">
        <f t="shared" ref="H1862:H1863" si="457">IF(F1862&lt;=30,(1.07*F1862+2.68)*G1862,((1.07*30+2.68)+1.07*(F1862-30))*G1862)</f>
        <v>131.22816</v>
      </c>
      <c r="I1862" s="420"/>
      <c r="J1862" s="420"/>
      <c r="K1862" s="421">
        <f t="shared" si="455"/>
        <v>0</v>
      </c>
      <c r="L1862" s="647"/>
      <c r="M1862" s="723"/>
      <c r="N1862" s="576">
        <f t="shared" si="443"/>
        <v>0</v>
      </c>
      <c r="O1862" s="577">
        <f t="shared" si="453"/>
        <v>0</v>
      </c>
      <c r="P1862" s="578">
        <f t="shared" si="454"/>
        <v>0</v>
      </c>
      <c r="Q1862" s="765"/>
      <c r="R1862" s="723"/>
      <c r="S1862" s="723"/>
      <c r="T1862" s="577">
        <f t="shared" si="451"/>
        <v>0</v>
      </c>
      <c r="U1862" s="578">
        <f t="shared" si="452"/>
        <v>0</v>
      </c>
      <c r="V1862" s="579"/>
      <c r="W1862" s="566" t="str">
        <f>IF(U1860&gt;0,"xx",IF(P1860&gt;0,"xy",""))</f>
        <v/>
      </c>
      <c r="X1862" s="586" t="str">
        <f t="shared" si="440"/>
        <v/>
      </c>
      <c r="Y1862" s="586" t="str">
        <f t="shared" si="431"/>
        <v/>
      </c>
      <c r="Z1862" s="586" t="str">
        <f t="shared" si="445"/>
        <v/>
      </c>
    </row>
    <row r="1863" spans="1:26" ht="12" hidden="1" thickBot="1" x14ac:dyDescent="0.25">
      <c r="A1863" s="567" t="s">
        <v>168</v>
      </c>
      <c r="B1863" s="644" t="s">
        <v>168</v>
      </c>
      <c r="C1863" s="645"/>
      <c r="D1863" s="422" t="s">
        <v>350</v>
      </c>
      <c r="E1863" s="423"/>
      <c r="F1863" s="424">
        <v>20</v>
      </c>
      <c r="G1863" s="425">
        <v>1.2270000000000001</v>
      </c>
      <c r="H1863" s="663">
        <f t="shared" si="457"/>
        <v>29.546160000000004</v>
      </c>
      <c r="I1863" s="420"/>
      <c r="J1863" s="420"/>
      <c r="K1863" s="421">
        <f t="shared" si="455"/>
        <v>0</v>
      </c>
      <c r="L1863" s="647"/>
      <c r="M1863" s="723"/>
      <c r="N1863" s="576">
        <f t="shared" si="443"/>
        <v>0</v>
      </c>
      <c r="O1863" s="577">
        <f t="shared" si="453"/>
        <v>0</v>
      </c>
      <c r="P1863" s="578">
        <f t="shared" si="454"/>
        <v>0</v>
      </c>
      <c r="Q1863" s="765"/>
      <c r="R1863" s="723"/>
      <c r="S1863" s="723"/>
      <c r="T1863" s="577">
        <f t="shared" si="451"/>
        <v>0</v>
      </c>
      <c r="U1863" s="578">
        <f t="shared" si="452"/>
        <v>0</v>
      </c>
      <c r="V1863" s="579"/>
      <c r="W1863" s="566" t="str">
        <f>IF(U1860&gt;0,"xx",IF(P1860&gt;0,"xy",""))</f>
        <v/>
      </c>
      <c r="X1863" s="586" t="str">
        <f t="shared" si="440"/>
        <v/>
      </c>
      <c r="Y1863" s="586" t="str">
        <f t="shared" si="431"/>
        <v/>
      </c>
      <c r="Z1863" s="586" t="str">
        <f t="shared" si="445"/>
        <v/>
      </c>
    </row>
    <row r="1864" spans="1:26" ht="12" hidden="1" thickBot="1" x14ac:dyDescent="0.25">
      <c r="A1864" s="567">
        <v>605100</v>
      </c>
      <c r="B1864" s="644">
        <v>605100</v>
      </c>
      <c r="C1864" s="645" t="s">
        <v>206</v>
      </c>
      <c r="D1864" s="422" t="s">
        <v>1511</v>
      </c>
      <c r="E1864" s="423"/>
      <c r="F1864" s="424"/>
      <c r="G1864" s="425"/>
      <c r="H1864" s="651">
        <f>SUM(H1865:H1867)</f>
        <v>313.28960000000001</v>
      </c>
      <c r="I1864" s="420">
        <v>420.33</v>
      </c>
      <c r="J1864" s="420">
        <f>IF(ISBLANK(I1864),"",SUM(H1864:I1864))</f>
        <v>733.61959999999999</v>
      </c>
      <c r="K1864" s="421">
        <f t="shared" si="455"/>
        <v>871.61</v>
      </c>
      <c r="L1864" s="647" t="s">
        <v>16</v>
      </c>
      <c r="M1864" s="576"/>
      <c r="N1864" s="576">
        <f t="shared" si="443"/>
        <v>0</v>
      </c>
      <c r="O1864" s="577">
        <f t="shared" si="453"/>
        <v>0</v>
      </c>
      <c r="P1864" s="578">
        <f t="shared" si="454"/>
        <v>0</v>
      </c>
      <c r="Q1864" s="765"/>
      <c r="R1864" s="576">
        <f>M1864</f>
        <v>0</v>
      </c>
      <c r="S1864" s="576">
        <f>N1864</f>
        <v>0</v>
      </c>
      <c r="T1864" s="577">
        <f t="shared" si="451"/>
        <v>0</v>
      </c>
      <c r="U1864" s="578">
        <f t="shared" si="452"/>
        <v>0</v>
      </c>
      <c r="V1864" s="579"/>
      <c r="W1864" s="566"/>
      <c r="X1864" s="586" t="str">
        <f>IF(W1864="X","x",IF(W1864="xx","x",IF(W1864="xy","x",IF(W1864="y","x",IF(OR(P1864&gt;0,U1864&gt;0),"x","")))))</f>
        <v/>
      </c>
      <c r="Y1864" s="586" t="str">
        <f>IF(W1864="X","x",IF(W1864="y","x",IF(W1864="xx","x",IF(U1864&gt;0,"x",""))))</f>
        <v/>
      </c>
      <c r="Z1864" s="586" t="str">
        <f>IF(W1864="X","x",IF(U1864&gt;0,"x",""))</f>
        <v/>
      </c>
    </row>
    <row r="1865" spans="1:26" ht="12" hidden="1" thickBot="1" x14ac:dyDescent="0.25">
      <c r="A1865" s="567" t="s">
        <v>168</v>
      </c>
      <c r="B1865" s="644" t="s">
        <v>168</v>
      </c>
      <c r="C1865" s="645"/>
      <c r="D1865" s="422" t="s">
        <v>212</v>
      </c>
      <c r="E1865" s="423"/>
      <c r="F1865" s="424">
        <v>500</v>
      </c>
      <c r="G1865" s="425">
        <v>0.2</v>
      </c>
      <c r="H1865" s="649">
        <f>IF(F1865&lt;=30,(0.78*F1865+7.82)*G1865,((0.78*30+7.82)+0.78*(F1865-30))*G1865)</f>
        <v>79.564000000000021</v>
      </c>
      <c r="I1865" s="420"/>
      <c r="J1865" s="420"/>
      <c r="K1865" s="421">
        <f t="shared" si="455"/>
        <v>0</v>
      </c>
      <c r="L1865" s="647"/>
      <c r="M1865" s="723"/>
      <c r="N1865" s="576">
        <f t="shared" si="443"/>
        <v>0</v>
      </c>
      <c r="O1865" s="577">
        <f t="shared" si="453"/>
        <v>0</v>
      </c>
      <c r="P1865" s="578">
        <f t="shared" si="454"/>
        <v>0</v>
      </c>
      <c r="Q1865" s="765"/>
      <c r="R1865" s="723"/>
      <c r="S1865" s="723"/>
      <c r="T1865" s="577">
        <f t="shared" si="451"/>
        <v>0</v>
      </c>
      <c r="U1865" s="578">
        <f t="shared" si="452"/>
        <v>0</v>
      </c>
      <c r="V1865" s="579"/>
      <c r="W1865" s="566" t="str">
        <f>IF(U1864&gt;0,"xx",IF(P1864&gt;0,"xy",""))</f>
        <v/>
      </c>
      <c r="X1865" s="586" t="str">
        <f>IF(W1865="X","x",IF(W1865="xx","x",IF(W1865="xy","x",IF(W1865="y","x",IF(OR(P1865&gt;0,U1865&gt;0),"x","")))))</f>
        <v/>
      </c>
      <c r="Y1865" s="586" t="str">
        <f>IF(W1865="X","x",IF(W1865="y","x",IF(W1865="xx","x",IF(U1865&gt;0,"x",""))))</f>
        <v/>
      </c>
      <c r="Z1865" s="586" t="str">
        <f>IF(W1865="X","x",IF(U1865&gt;0,"x",""))</f>
        <v/>
      </c>
    </row>
    <row r="1866" spans="1:26" ht="12" hidden="1" thickBot="1" x14ac:dyDescent="0.25">
      <c r="A1866" s="567" t="s">
        <v>168</v>
      </c>
      <c r="B1866" s="644" t="s">
        <v>168</v>
      </c>
      <c r="C1866" s="645"/>
      <c r="D1866" s="422" t="s">
        <v>248</v>
      </c>
      <c r="E1866" s="423"/>
      <c r="F1866" s="424">
        <v>180</v>
      </c>
      <c r="G1866" s="425">
        <v>1.06</v>
      </c>
      <c r="H1866" s="663">
        <f t="shared" ref="H1866:H1867" si="458">IF(F1866&lt;=30,(1.07*F1866+2.68)*G1866,((1.07*30+2.68)+1.07*(F1866-30))*G1866)</f>
        <v>206.99680000000001</v>
      </c>
      <c r="I1866" s="420"/>
      <c r="J1866" s="420"/>
      <c r="K1866" s="421">
        <f t="shared" si="455"/>
        <v>0</v>
      </c>
      <c r="L1866" s="647"/>
      <c r="M1866" s="723"/>
      <c r="N1866" s="576">
        <f t="shared" si="443"/>
        <v>0</v>
      </c>
      <c r="O1866" s="577">
        <f t="shared" si="453"/>
        <v>0</v>
      </c>
      <c r="P1866" s="578">
        <f t="shared" si="454"/>
        <v>0</v>
      </c>
      <c r="Q1866" s="765"/>
      <c r="R1866" s="723"/>
      <c r="S1866" s="723"/>
      <c r="T1866" s="577">
        <f t="shared" si="451"/>
        <v>0</v>
      </c>
      <c r="U1866" s="578">
        <f t="shared" si="452"/>
        <v>0</v>
      </c>
      <c r="V1866" s="579"/>
      <c r="W1866" s="566" t="str">
        <f>IF(U1864&gt;0,"xx",IF(P1864&gt;0,"xy",""))</f>
        <v/>
      </c>
      <c r="X1866" s="586" t="str">
        <f>IF(W1866="X","x",IF(W1866="xx","x",IF(W1866="xy","x",IF(W1866="y","x",IF(OR(P1866&gt;0,U1866&gt;0),"x","")))))</f>
        <v/>
      </c>
      <c r="Y1866" s="586" t="str">
        <f>IF(W1866="X","x",IF(W1866="y","x",IF(W1866="xx","x",IF(U1866&gt;0,"x",""))))</f>
        <v/>
      </c>
      <c r="Z1866" s="586" t="str">
        <f>IF(W1866="X","x",IF(U1866&gt;0,"x",""))</f>
        <v/>
      </c>
    </row>
    <row r="1867" spans="1:26" ht="12" hidden="1" thickBot="1" x14ac:dyDescent="0.25">
      <c r="A1867" s="567" t="s">
        <v>168</v>
      </c>
      <c r="B1867" s="644" t="s">
        <v>168</v>
      </c>
      <c r="C1867" s="645"/>
      <c r="D1867" s="422" t="s">
        <v>252</v>
      </c>
      <c r="E1867" s="423"/>
      <c r="F1867" s="424">
        <v>20</v>
      </c>
      <c r="G1867" s="425">
        <v>1.1100000000000001</v>
      </c>
      <c r="H1867" s="663">
        <f t="shared" si="458"/>
        <v>26.728800000000003</v>
      </c>
      <c r="I1867" s="420"/>
      <c r="J1867" s="420"/>
      <c r="K1867" s="421">
        <f t="shared" si="455"/>
        <v>0</v>
      </c>
      <c r="L1867" s="647"/>
      <c r="M1867" s="723"/>
      <c r="N1867" s="576">
        <f t="shared" si="443"/>
        <v>0</v>
      </c>
      <c r="O1867" s="577">
        <f t="shared" si="453"/>
        <v>0</v>
      </c>
      <c r="P1867" s="578">
        <f t="shared" si="454"/>
        <v>0</v>
      </c>
      <c r="Q1867" s="765"/>
      <c r="R1867" s="723"/>
      <c r="S1867" s="723"/>
      <c r="T1867" s="577">
        <f t="shared" si="451"/>
        <v>0</v>
      </c>
      <c r="U1867" s="578">
        <f t="shared" si="452"/>
        <v>0</v>
      </c>
      <c r="V1867" s="579"/>
      <c r="W1867" s="566" t="str">
        <f>IF(U1864&gt;0,"xx",IF(P1864&gt;0,"xy",""))</f>
        <v/>
      </c>
      <c r="X1867" s="586" t="str">
        <f>IF(W1867="X","x",IF(W1867="xx","x",IF(W1867="xy","x",IF(W1867="y","x",IF(OR(P1867&gt;0,U1867&gt;0),"x","")))))</f>
        <v/>
      </c>
      <c r="Y1867" s="586" t="str">
        <f>IF(W1867="X","x",IF(W1867="y","x",IF(W1867="xx","x",IF(U1867&gt;0,"x",""))))</f>
        <v/>
      </c>
      <c r="Z1867" s="586" t="str">
        <f>IF(W1867="X","x",IF(U1867&gt;0,"x",""))</f>
        <v/>
      </c>
    </row>
    <row r="1868" spans="1:26" ht="12" hidden="1" thickBot="1" x14ac:dyDescent="0.25">
      <c r="A1868" s="567">
        <v>605200</v>
      </c>
      <c r="B1868" s="644" t="s">
        <v>1641</v>
      </c>
      <c r="C1868" s="645" t="s">
        <v>206</v>
      </c>
      <c r="D1868" s="422" t="s">
        <v>351</v>
      </c>
      <c r="E1868" s="423"/>
      <c r="F1868" s="424"/>
      <c r="G1868" s="425"/>
      <c r="H1868" s="651">
        <f>SUM(H1869:H1871)</f>
        <v>321.60899999999998</v>
      </c>
      <c r="I1868" s="420">
        <v>455.36</v>
      </c>
      <c r="J1868" s="420">
        <f>IF(ISBLANK(I1868),"",SUM(H1868:I1868))</f>
        <v>776.96900000000005</v>
      </c>
      <c r="K1868" s="421">
        <f t="shared" si="455"/>
        <v>923.12</v>
      </c>
      <c r="L1868" s="647" t="s">
        <v>16</v>
      </c>
      <c r="M1868" s="576"/>
      <c r="N1868" s="576">
        <f t="shared" si="443"/>
        <v>0</v>
      </c>
      <c r="O1868" s="577">
        <f t="shared" si="453"/>
        <v>0</v>
      </c>
      <c r="P1868" s="578">
        <f t="shared" si="454"/>
        <v>0</v>
      </c>
      <c r="Q1868" s="765"/>
      <c r="R1868" s="576">
        <f>M1868</f>
        <v>0</v>
      </c>
      <c r="S1868" s="576">
        <f>N1868</f>
        <v>0</v>
      </c>
      <c r="T1868" s="577">
        <f t="shared" si="451"/>
        <v>0</v>
      </c>
      <c r="U1868" s="578">
        <f t="shared" si="452"/>
        <v>0</v>
      </c>
      <c r="V1868" s="579"/>
      <c r="W1868" s="566"/>
      <c r="X1868" s="586" t="str">
        <f t="shared" si="440"/>
        <v/>
      </c>
      <c r="Y1868" s="586" t="str">
        <f t="shared" si="431"/>
        <v/>
      </c>
      <c r="Z1868" s="586" t="str">
        <f t="shared" si="445"/>
        <v/>
      </c>
    </row>
    <row r="1869" spans="1:26" ht="12" hidden="1" thickBot="1" x14ac:dyDescent="0.25">
      <c r="A1869" s="567" t="s">
        <v>168</v>
      </c>
      <c r="B1869" s="644" t="s">
        <v>168</v>
      </c>
      <c r="C1869" s="645"/>
      <c r="D1869" s="422" t="s">
        <v>212</v>
      </c>
      <c r="E1869" s="423"/>
      <c r="F1869" s="424">
        <v>500</v>
      </c>
      <c r="G1869" s="425">
        <v>0.27</v>
      </c>
      <c r="H1869" s="649">
        <f>IF(F1869&lt;=30,(0.78*F1869+7.82)*G1869,((0.78*30+7.82)+0.78*(F1869-30))*G1869)</f>
        <v>107.41140000000001</v>
      </c>
      <c r="I1869" s="420"/>
      <c r="J1869" s="420"/>
      <c r="K1869" s="421">
        <f t="shared" si="455"/>
        <v>0</v>
      </c>
      <c r="L1869" s="647"/>
      <c r="M1869" s="723"/>
      <c r="N1869" s="576">
        <f t="shared" si="443"/>
        <v>0</v>
      </c>
      <c r="O1869" s="577">
        <f t="shared" si="453"/>
        <v>0</v>
      </c>
      <c r="P1869" s="578">
        <f t="shared" si="454"/>
        <v>0</v>
      </c>
      <c r="Q1869" s="765"/>
      <c r="R1869" s="723"/>
      <c r="S1869" s="723"/>
      <c r="T1869" s="577">
        <f t="shared" si="451"/>
        <v>0</v>
      </c>
      <c r="U1869" s="578">
        <f t="shared" si="452"/>
        <v>0</v>
      </c>
      <c r="V1869" s="579"/>
      <c r="W1869" s="566" t="str">
        <f>IF(U1868&gt;0,"xx",IF(P1868&gt;0,"xy",""))</f>
        <v/>
      </c>
      <c r="X1869" s="586" t="str">
        <f t="shared" si="440"/>
        <v/>
      </c>
      <c r="Y1869" s="586" t="str">
        <f t="shared" si="431"/>
        <v/>
      </c>
      <c r="Z1869" s="586" t="str">
        <f t="shared" si="445"/>
        <v/>
      </c>
    </row>
    <row r="1870" spans="1:26" ht="12" hidden="1" thickBot="1" x14ac:dyDescent="0.25">
      <c r="A1870" s="567" t="s">
        <v>168</v>
      </c>
      <c r="B1870" s="644" t="s">
        <v>168</v>
      </c>
      <c r="C1870" s="645"/>
      <c r="D1870" s="422" t="s">
        <v>248</v>
      </c>
      <c r="E1870" s="423"/>
      <c r="F1870" s="424">
        <v>180</v>
      </c>
      <c r="G1870" s="425">
        <v>0.96</v>
      </c>
      <c r="H1870" s="663">
        <f t="shared" ref="H1870:H1871" si="459">IF(F1870&lt;=30,(1.07*F1870+2.68)*G1870,((1.07*30+2.68)+1.07*(F1870-30))*G1870)</f>
        <v>187.46879999999999</v>
      </c>
      <c r="I1870" s="420"/>
      <c r="J1870" s="420"/>
      <c r="K1870" s="421">
        <f t="shared" si="455"/>
        <v>0</v>
      </c>
      <c r="L1870" s="647"/>
      <c r="M1870" s="723"/>
      <c r="N1870" s="576">
        <f t="shared" si="443"/>
        <v>0</v>
      </c>
      <c r="O1870" s="577">
        <f t="shared" si="453"/>
        <v>0</v>
      </c>
      <c r="P1870" s="578">
        <f t="shared" si="454"/>
        <v>0</v>
      </c>
      <c r="Q1870" s="765"/>
      <c r="R1870" s="723"/>
      <c r="S1870" s="723"/>
      <c r="T1870" s="577">
        <f t="shared" si="451"/>
        <v>0</v>
      </c>
      <c r="U1870" s="578">
        <f t="shared" si="452"/>
        <v>0</v>
      </c>
      <c r="V1870" s="579"/>
      <c r="W1870" s="566" t="str">
        <f>IF(U1868&gt;0,"xx",IF(P1868&gt;0,"xy",""))</f>
        <v/>
      </c>
      <c r="X1870" s="586" t="str">
        <f t="shared" si="440"/>
        <v/>
      </c>
      <c r="Y1870" s="586" t="str">
        <f t="shared" si="431"/>
        <v/>
      </c>
      <c r="Z1870" s="586" t="str">
        <f t="shared" si="445"/>
        <v/>
      </c>
    </row>
    <row r="1871" spans="1:26" ht="12" hidden="1" thickBot="1" x14ac:dyDescent="0.25">
      <c r="A1871" s="567" t="s">
        <v>168</v>
      </c>
      <c r="B1871" s="644" t="s">
        <v>168</v>
      </c>
      <c r="C1871" s="645"/>
      <c r="D1871" s="422" t="s">
        <v>252</v>
      </c>
      <c r="E1871" s="423"/>
      <c r="F1871" s="424">
        <v>20</v>
      </c>
      <c r="G1871" s="425">
        <v>1.1100000000000001</v>
      </c>
      <c r="H1871" s="663">
        <f t="shared" si="459"/>
        <v>26.728800000000003</v>
      </c>
      <c r="I1871" s="420"/>
      <c r="J1871" s="420"/>
      <c r="K1871" s="421">
        <f t="shared" si="455"/>
        <v>0</v>
      </c>
      <c r="L1871" s="647"/>
      <c r="M1871" s="723"/>
      <c r="N1871" s="576">
        <f t="shared" si="443"/>
        <v>0</v>
      </c>
      <c r="O1871" s="577">
        <f t="shared" si="453"/>
        <v>0</v>
      </c>
      <c r="P1871" s="578">
        <f t="shared" si="454"/>
        <v>0</v>
      </c>
      <c r="Q1871" s="765"/>
      <c r="R1871" s="723"/>
      <c r="S1871" s="723"/>
      <c r="T1871" s="577">
        <f t="shared" si="451"/>
        <v>0</v>
      </c>
      <c r="U1871" s="578">
        <f t="shared" si="452"/>
        <v>0</v>
      </c>
      <c r="V1871" s="579"/>
      <c r="W1871" s="566" t="str">
        <f>IF(U1868&gt;0,"xx",IF(P1868&gt;0,"xy",""))</f>
        <v/>
      </c>
      <c r="X1871" s="586" t="str">
        <f t="shared" si="440"/>
        <v/>
      </c>
      <c r="Y1871" s="586" t="str">
        <f t="shared" si="431"/>
        <v/>
      </c>
      <c r="Z1871" s="586" t="str">
        <f t="shared" si="445"/>
        <v/>
      </c>
    </row>
    <row r="1872" spans="1:26" ht="12" hidden="1" thickBot="1" x14ac:dyDescent="0.25">
      <c r="A1872" s="567">
        <v>605300</v>
      </c>
      <c r="B1872" s="644" t="s">
        <v>1718</v>
      </c>
      <c r="C1872" s="645" t="s">
        <v>206</v>
      </c>
      <c r="D1872" s="422" t="s">
        <v>352</v>
      </c>
      <c r="E1872" s="423"/>
      <c r="F1872" s="424"/>
      <c r="G1872" s="425"/>
      <c r="H1872" s="651">
        <f>SUM(H1873:H1875)</f>
        <v>337.86228</v>
      </c>
      <c r="I1872" s="420">
        <v>487.71000000000004</v>
      </c>
      <c r="J1872" s="420">
        <f>IF(ISBLANK(I1872),"",SUM(H1872:I1872))</f>
        <v>825.57228000000009</v>
      </c>
      <c r="K1872" s="421">
        <f t="shared" si="455"/>
        <v>980.86</v>
      </c>
      <c r="L1872" s="647" t="s">
        <v>16</v>
      </c>
      <c r="M1872" s="576"/>
      <c r="N1872" s="576">
        <f t="shared" si="443"/>
        <v>0</v>
      </c>
      <c r="O1872" s="577">
        <f t="shared" si="453"/>
        <v>0</v>
      </c>
      <c r="P1872" s="578">
        <f t="shared" si="454"/>
        <v>0</v>
      </c>
      <c r="Q1872" s="765"/>
      <c r="R1872" s="576">
        <f>M1872</f>
        <v>0</v>
      </c>
      <c r="S1872" s="576">
        <f>N1872</f>
        <v>0</v>
      </c>
      <c r="T1872" s="577">
        <f t="shared" si="451"/>
        <v>0</v>
      </c>
      <c r="U1872" s="578">
        <f t="shared" si="452"/>
        <v>0</v>
      </c>
      <c r="V1872" s="579"/>
      <c r="W1872" s="566"/>
      <c r="X1872" s="586" t="str">
        <f t="shared" si="440"/>
        <v/>
      </c>
      <c r="Y1872" s="586" t="str">
        <f t="shared" si="431"/>
        <v/>
      </c>
      <c r="Z1872" s="586" t="str">
        <f t="shared" si="445"/>
        <v/>
      </c>
    </row>
    <row r="1873" spans="1:26" ht="12" hidden="1" thickBot="1" x14ac:dyDescent="0.25">
      <c r="A1873" s="567" t="s">
        <v>168</v>
      </c>
      <c r="B1873" s="644" t="s">
        <v>168</v>
      </c>
      <c r="C1873" s="645"/>
      <c r="D1873" s="422" t="s">
        <v>212</v>
      </c>
      <c r="E1873" s="423"/>
      <c r="F1873" s="424">
        <v>500</v>
      </c>
      <c r="G1873" s="425">
        <v>0.33</v>
      </c>
      <c r="H1873" s="649">
        <f>IF(F1873&lt;=30,(0.78*F1873+7.82)*G1873,((0.78*30+7.82)+0.78*(F1873-30))*G1873)</f>
        <v>131.28060000000002</v>
      </c>
      <c r="I1873" s="420"/>
      <c r="J1873" s="420"/>
      <c r="K1873" s="421">
        <f t="shared" si="455"/>
        <v>0</v>
      </c>
      <c r="L1873" s="647"/>
      <c r="M1873" s="723"/>
      <c r="N1873" s="576">
        <f t="shared" si="443"/>
        <v>0</v>
      </c>
      <c r="O1873" s="577">
        <f t="shared" si="453"/>
        <v>0</v>
      </c>
      <c r="P1873" s="578">
        <f t="shared" si="454"/>
        <v>0</v>
      </c>
      <c r="Q1873" s="765"/>
      <c r="R1873" s="723"/>
      <c r="S1873" s="723"/>
      <c r="T1873" s="577">
        <f t="shared" si="451"/>
        <v>0</v>
      </c>
      <c r="U1873" s="578">
        <f t="shared" si="452"/>
        <v>0</v>
      </c>
      <c r="V1873" s="579"/>
      <c r="W1873" s="566" t="str">
        <f>IF(U1872&gt;0,"xx",IF(P1872&gt;0,"xy",""))</f>
        <v/>
      </c>
      <c r="X1873" s="586" t="str">
        <f t="shared" si="440"/>
        <v/>
      </c>
      <c r="Y1873" s="586" t="str">
        <f t="shared" si="431"/>
        <v/>
      </c>
      <c r="Z1873" s="586" t="str">
        <f t="shared" si="445"/>
        <v/>
      </c>
    </row>
    <row r="1874" spans="1:26" ht="12" hidden="1" thickBot="1" x14ac:dyDescent="0.25">
      <c r="A1874" s="567" t="s">
        <v>168</v>
      </c>
      <c r="B1874" s="644" t="s">
        <v>168</v>
      </c>
      <c r="C1874" s="645"/>
      <c r="D1874" s="422" t="s">
        <v>248</v>
      </c>
      <c r="E1874" s="423"/>
      <c r="F1874" s="424">
        <v>180</v>
      </c>
      <c r="G1874" s="425">
        <v>0.92100000000000004</v>
      </c>
      <c r="H1874" s="663">
        <f t="shared" ref="H1874:H1875" si="460">IF(F1874&lt;=30,(1.07*F1874+2.68)*G1874,((1.07*30+2.68)+1.07*(F1874-30))*G1874)</f>
        <v>179.85288</v>
      </c>
      <c r="I1874" s="420"/>
      <c r="J1874" s="420"/>
      <c r="K1874" s="421">
        <f t="shared" si="455"/>
        <v>0</v>
      </c>
      <c r="L1874" s="647"/>
      <c r="M1874" s="723"/>
      <c r="N1874" s="576">
        <f t="shared" si="443"/>
        <v>0</v>
      </c>
      <c r="O1874" s="577">
        <f t="shared" si="453"/>
        <v>0</v>
      </c>
      <c r="P1874" s="578">
        <f t="shared" si="454"/>
        <v>0</v>
      </c>
      <c r="Q1874" s="765"/>
      <c r="R1874" s="723"/>
      <c r="S1874" s="723"/>
      <c r="T1874" s="577">
        <f t="shared" si="451"/>
        <v>0</v>
      </c>
      <c r="U1874" s="578">
        <f t="shared" si="452"/>
        <v>0</v>
      </c>
      <c r="V1874" s="579"/>
      <c r="W1874" s="566" t="str">
        <f>IF(U1872&gt;0,"xx",IF(P1872&gt;0,"xy",""))</f>
        <v/>
      </c>
      <c r="X1874" s="586" t="str">
        <f t="shared" ref="X1874:X1969" si="461">IF(W1874="X","x",IF(W1874="xx","x",IF(W1874="xy","x",IF(W1874="y","x",IF(OR(P1874&gt;0,U1874&gt;0),"x","")))))</f>
        <v/>
      </c>
      <c r="Y1874" s="586" t="str">
        <f t="shared" si="431"/>
        <v/>
      </c>
      <c r="Z1874" s="586" t="str">
        <f t="shared" si="445"/>
        <v/>
      </c>
    </row>
    <row r="1875" spans="1:26" ht="12" hidden="1" thickBot="1" x14ac:dyDescent="0.25">
      <c r="A1875" s="567" t="s">
        <v>168</v>
      </c>
      <c r="B1875" s="644" t="s">
        <v>168</v>
      </c>
      <c r="C1875" s="645"/>
      <c r="D1875" s="422" t="s">
        <v>252</v>
      </c>
      <c r="E1875" s="423"/>
      <c r="F1875" s="424">
        <v>20</v>
      </c>
      <c r="G1875" s="425">
        <v>1.1100000000000001</v>
      </c>
      <c r="H1875" s="663">
        <f t="shared" si="460"/>
        <v>26.728800000000003</v>
      </c>
      <c r="I1875" s="420"/>
      <c r="J1875" s="420"/>
      <c r="K1875" s="421">
        <f t="shared" si="455"/>
        <v>0</v>
      </c>
      <c r="L1875" s="647"/>
      <c r="M1875" s="723"/>
      <c r="N1875" s="576">
        <f t="shared" si="443"/>
        <v>0</v>
      </c>
      <c r="O1875" s="577">
        <f t="shared" si="453"/>
        <v>0</v>
      </c>
      <c r="P1875" s="578">
        <f t="shared" si="454"/>
        <v>0</v>
      </c>
      <c r="Q1875" s="765"/>
      <c r="R1875" s="723"/>
      <c r="S1875" s="723"/>
      <c r="T1875" s="577">
        <f t="shared" si="451"/>
        <v>0</v>
      </c>
      <c r="U1875" s="578">
        <f t="shared" si="452"/>
        <v>0</v>
      </c>
      <c r="V1875" s="579"/>
      <c r="W1875" s="566" t="str">
        <f>IF(U1872&gt;0,"xx",IF(P1872&gt;0,"xy",""))</f>
        <v/>
      </c>
      <c r="X1875" s="586" t="str">
        <f t="shared" si="461"/>
        <v/>
      </c>
      <c r="Y1875" s="586" t="str">
        <f t="shared" si="431"/>
        <v/>
      </c>
      <c r="Z1875" s="586" t="str">
        <f t="shared" si="445"/>
        <v/>
      </c>
    </row>
    <row r="1876" spans="1:26" ht="12" hidden="1" thickBot="1" x14ac:dyDescent="0.25">
      <c r="A1876" s="567">
        <v>605400</v>
      </c>
      <c r="B1876" s="644" t="s">
        <v>1643</v>
      </c>
      <c r="C1876" s="645" t="s">
        <v>206</v>
      </c>
      <c r="D1876" s="422" t="s">
        <v>353</v>
      </c>
      <c r="E1876" s="423"/>
      <c r="F1876" s="424"/>
      <c r="G1876" s="425"/>
      <c r="H1876" s="651">
        <f>SUM(H1877:H1879)</f>
        <v>362.76447999999999</v>
      </c>
      <c r="I1876" s="420">
        <v>495.4</v>
      </c>
      <c r="J1876" s="420">
        <f>IF(ISBLANK(I1876),"",SUM(H1876:I1876))</f>
        <v>858.16447999999991</v>
      </c>
      <c r="K1876" s="421">
        <f t="shared" si="455"/>
        <v>1019.59</v>
      </c>
      <c r="L1876" s="647" t="s">
        <v>16</v>
      </c>
      <c r="M1876" s="576"/>
      <c r="N1876" s="576">
        <f t="shared" ref="N1876:N1939" si="462">IF(M1876=0,0,K1876)</f>
        <v>0</v>
      </c>
      <c r="O1876" s="577">
        <f t="shared" si="453"/>
        <v>0</v>
      </c>
      <c r="P1876" s="578">
        <f t="shared" si="454"/>
        <v>0</v>
      </c>
      <c r="Q1876" s="765"/>
      <c r="R1876" s="576">
        <f>M1876</f>
        <v>0</v>
      </c>
      <c r="S1876" s="576">
        <f>N1876</f>
        <v>0</v>
      </c>
      <c r="T1876" s="577">
        <f t="shared" si="451"/>
        <v>0</v>
      </c>
      <c r="U1876" s="578">
        <f t="shared" si="452"/>
        <v>0</v>
      </c>
      <c r="V1876" s="579"/>
      <c r="W1876" s="566"/>
      <c r="X1876" s="586" t="str">
        <f t="shared" si="461"/>
        <v/>
      </c>
      <c r="Y1876" s="586" t="str">
        <f t="shared" si="431"/>
        <v/>
      </c>
      <c r="Z1876" s="586" t="str">
        <f t="shared" si="445"/>
        <v/>
      </c>
    </row>
    <row r="1877" spans="1:26" ht="12" hidden="1" thickBot="1" x14ac:dyDescent="0.25">
      <c r="A1877" s="567" t="s">
        <v>168</v>
      </c>
      <c r="B1877" s="644" t="s">
        <v>168</v>
      </c>
      <c r="C1877" s="645"/>
      <c r="D1877" s="422" t="s">
        <v>212</v>
      </c>
      <c r="E1877" s="423"/>
      <c r="F1877" s="424">
        <v>500</v>
      </c>
      <c r="G1877" s="425">
        <v>0.34399999999999997</v>
      </c>
      <c r="H1877" s="649">
        <f>IF(F1877&lt;=30,(0.78*F1877+7.82)*G1877,((0.78*30+7.82)+0.78*(F1877-30))*G1877)</f>
        <v>136.85008000000002</v>
      </c>
      <c r="I1877" s="420">
        <v>0</v>
      </c>
      <c r="J1877" s="420"/>
      <c r="K1877" s="421">
        <f t="shared" si="455"/>
        <v>0</v>
      </c>
      <c r="L1877" s="647"/>
      <c r="M1877" s="723"/>
      <c r="N1877" s="576">
        <f t="shared" si="462"/>
        <v>0</v>
      </c>
      <c r="O1877" s="577">
        <f t="shared" si="453"/>
        <v>0</v>
      </c>
      <c r="P1877" s="578">
        <f t="shared" si="454"/>
        <v>0</v>
      </c>
      <c r="Q1877" s="765"/>
      <c r="R1877" s="723"/>
      <c r="S1877" s="723"/>
      <c r="T1877" s="577">
        <f t="shared" si="451"/>
        <v>0</v>
      </c>
      <c r="U1877" s="578">
        <f t="shared" si="452"/>
        <v>0</v>
      </c>
      <c r="V1877" s="579"/>
      <c r="W1877" s="566" t="str">
        <f>IF(U1876&gt;0,"xx",IF(P1876&gt;0,"xy",""))</f>
        <v/>
      </c>
      <c r="X1877" s="586" t="str">
        <f t="shared" si="461"/>
        <v/>
      </c>
      <c r="Y1877" s="586" t="str">
        <f t="shared" si="431"/>
        <v/>
      </c>
      <c r="Z1877" s="586" t="str">
        <f t="shared" si="445"/>
        <v/>
      </c>
    </row>
    <row r="1878" spans="1:26" ht="12" hidden="1" thickBot="1" x14ac:dyDescent="0.25">
      <c r="A1878" s="567" t="s">
        <v>168</v>
      </c>
      <c r="B1878" s="644" t="s">
        <v>168</v>
      </c>
      <c r="C1878" s="645"/>
      <c r="D1878" s="422" t="s">
        <v>248</v>
      </c>
      <c r="E1878" s="423"/>
      <c r="F1878" s="424">
        <v>180</v>
      </c>
      <c r="G1878" s="425">
        <v>1.02</v>
      </c>
      <c r="H1878" s="663">
        <f t="shared" ref="H1878:H1879" si="463">IF(F1878&lt;=30,(1.07*F1878+2.68)*G1878,((1.07*30+2.68)+1.07*(F1878-30))*G1878)</f>
        <v>199.18559999999999</v>
      </c>
      <c r="I1878" s="420">
        <v>0</v>
      </c>
      <c r="J1878" s="420"/>
      <c r="K1878" s="421">
        <f t="shared" si="455"/>
        <v>0</v>
      </c>
      <c r="L1878" s="647"/>
      <c r="M1878" s="723"/>
      <c r="N1878" s="576">
        <f t="shared" si="462"/>
        <v>0</v>
      </c>
      <c r="O1878" s="577">
        <f t="shared" si="453"/>
        <v>0</v>
      </c>
      <c r="P1878" s="578">
        <f t="shared" si="454"/>
        <v>0</v>
      </c>
      <c r="Q1878" s="765"/>
      <c r="R1878" s="723"/>
      <c r="S1878" s="723"/>
      <c r="T1878" s="577">
        <f t="shared" si="451"/>
        <v>0</v>
      </c>
      <c r="U1878" s="578">
        <f t="shared" si="452"/>
        <v>0</v>
      </c>
      <c r="V1878" s="579"/>
      <c r="W1878" s="566" t="str">
        <f>IF(U1876&gt;0,"xx",IF(P1876&gt;0,"xy",""))</f>
        <v/>
      </c>
      <c r="X1878" s="586" t="str">
        <f t="shared" si="461"/>
        <v/>
      </c>
      <c r="Y1878" s="586" t="str">
        <f t="shared" si="431"/>
        <v/>
      </c>
      <c r="Z1878" s="586" t="str">
        <f t="shared" si="445"/>
        <v/>
      </c>
    </row>
    <row r="1879" spans="1:26" ht="12" hidden="1" thickBot="1" x14ac:dyDescent="0.25">
      <c r="A1879" s="567" t="s">
        <v>168</v>
      </c>
      <c r="B1879" s="644" t="s">
        <v>168</v>
      </c>
      <c r="C1879" s="645"/>
      <c r="D1879" s="422" t="s">
        <v>252</v>
      </c>
      <c r="E1879" s="423"/>
      <c r="F1879" s="424">
        <v>20</v>
      </c>
      <c r="G1879" s="425">
        <v>1.1100000000000001</v>
      </c>
      <c r="H1879" s="663">
        <f t="shared" si="463"/>
        <v>26.728800000000003</v>
      </c>
      <c r="I1879" s="420">
        <v>0</v>
      </c>
      <c r="J1879" s="420"/>
      <c r="K1879" s="421">
        <f t="shared" si="455"/>
        <v>0</v>
      </c>
      <c r="L1879" s="647"/>
      <c r="M1879" s="723"/>
      <c r="N1879" s="576">
        <f t="shared" si="462"/>
        <v>0</v>
      </c>
      <c r="O1879" s="577">
        <f t="shared" si="453"/>
        <v>0</v>
      </c>
      <c r="P1879" s="578">
        <f t="shared" si="454"/>
        <v>0</v>
      </c>
      <c r="Q1879" s="765"/>
      <c r="R1879" s="723"/>
      <c r="S1879" s="723"/>
      <c r="T1879" s="577">
        <f t="shared" si="451"/>
        <v>0</v>
      </c>
      <c r="U1879" s="578">
        <f t="shared" si="452"/>
        <v>0</v>
      </c>
      <c r="V1879" s="579"/>
      <c r="W1879" s="566" t="str">
        <f>IF(U1876&gt;0,"xx",IF(P1876&gt;0,"xy",""))</f>
        <v/>
      </c>
      <c r="X1879" s="586" t="str">
        <f t="shared" si="461"/>
        <v/>
      </c>
      <c r="Y1879" s="586" t="str">
        <f t="shared" si="431"/>
        <v/>
      </c>
      <c r="Z1879" s="586" t="str">
        <f t="shared" si="445"/>
        <v/>
      </c>
    </row>
    <row r="1880" spans="1:26" ht="12" hidden="1" thickBot="1" x14ac:dyDescent="0.25">
      <c r="A1880" s="567">
        <v>605500</v>
      </c>
      <c r="B1880" s="644">
        <v>605500</v>
      </c>
      <c r="C1880" s="645" t="s">
        <v>206</v>
      </c>
      <c r="D1880" s="422" t="s">
        <v>1512</v>
      </c>
      <c r="E1880" s="423"/>
      <c r="F1880" s="424"/>
      <c r="G1880" s="425"/>
      <c r="H1880" s="651">
        <f>SUM(H1881:H1883)</f>
        <v>350.76675999999998</v>
      </c>
      <c r="I1880" s="420">
        <v>517.38</v>
      </c>
      <c r="J1880" s="420">
        <f>IF(ISBLANK(I1880),"",SUM(H1880:I1880))</f>
        <v>868.14675999999997</v>
      </c>
      <c r="K1880" s="421">
        <f t="shared" si="455"/>
        <v>1031.45</v>
      </c>
      <c r="L1880" s="647" t="s">
        <v>16</v>
      </c>
      <c r="M1880" s="576"/>
      <c r="N1880" s="576">
        <f t="shared" si="462"/>
        <v>0</v>
      </c>
      <c r="O1880" s="577">
        <f t="shared" si="453"/>
        <v>0</v>
      </c>
      <c r="P1880" s="578">
        <f t="shared" si="454"/>
        <v>0</v>
      </c>
      <c r="Q1880" s="765"/>
      <c r="R1880" s="576">
        <f>M1880</f>
        <v>0</v>
      </c>
      <c r="S1880" s="576">
        <f>N1880</f>
        <v>0</v>
      </c>
      <c r="T1880" s="577">
        <f t="shared" si="451"/>
        <v>0</v>
      </c>
      <c r="U1880" s="578">
        <f t="shared" si="452"/>
        <v>0</v>
      </c>
      <c r="V1880" s="579"/>
      <c r="W1880" s="566"/>
      <c r="X1880" s="586" t="str">
        <f>IF(W1880="X","x",IF(W1880="xx","x",IF(W1880="xy","x",IF(W1880="y","x",IF(OR(P1880&gt;0,U1880&gt;0),"x","")))))</f>
        <v/>
      </c>
      <c r="Y1880" s="586" t="str">
        <f>IF(W1880="X","x",IF(W1880="y","x",IF(W1880="xx","x",IF(U1880&gt;0,"x",""))))</f>
        <v/>
      </c>
      <c r="Z1880" s="586" t="str">
        <f>IF(W1880="X","x",IF(U1880&gt;0,"x",""))</f>
        <v/>
      </c>
    </row>
    <row r="1881" spans="1:26" ht="12" hidden="1" thickBot="1" x14ac:dyDescent="0.25">
      <c r="A1881" s="567" t="s">
        <v>168</v>
      </c>
      <c r="B1881" s="644" t="s">
        <v>168</v>
      </c>
      <c r="C1881" s="645"/>
      <c r="D1881" s="422" t="s">
        <v>212</v>
      </c>
      <c r="E1881" s="423"/>
      <c r="F1881" s="424">
        <v>500</v>
      </c>
      <c r="G1881" s="425">
        <v>0.38600000000000001</v>
      </c>
      <c r="H1881" s="649">
        <f>IF(F1881&lt;=30,(0.78*F1881+7.82)*G1881,((0.78*30+7.82)+0.78*(F1881-30))*G1881)</f>
        <v>153.55852000000002</v>
      </c>
      <c r="I1881" s="420">
        <v>0</v>
      </c>
      <c r="J1881" s="420"/>
      <c r="K1881" s="421">
        <f t="shared" si="455"/>
        <v>0</v>
      </c>
      <c r="L1881" s="647"/>
      <c r="M1881" s="723"/>
      <c r="N1881" s="576">
        <f t="shared" si="462"/>
        <v>0</v>
      </c>
      <c r="O1881" s="577">
        <f t="shared" si="453"/>
        <v>0</v>
      </c>
      <c r="P1881" s="578">
        <f t="shared" si="454"/>
        <v>0</v>
      </c>
      <c r="Q1881" s="765"/>
      <c r="R1881" s="723"/>
      <c r="S1881" s="723"/>
      <c r="T1881" s="577">
        <f t="shared" si="451"/>
        <v>0</v>
      </c>
      <c r="U1881" s="578">
        <f t="shared" si="452"/>
        <v>0</v>
      </c>
      <c r="V1881" s="579"/>
      <c r="W1881" s="566" t="str">
        <f>IF(U1880&gt;0,"xx",IF(P1880&gt;0,"xy",""))</f>
        <v/>
      </c>
      <c r="X1881" s="586" t="str">
        <f>IF(W1881="X","x",IF(W1881="xx","x",IF(W1881="xy","x",IF(W1881="y","x",IF(OR(P1881&gt;0,U1881&gt;0),"x","")))))</f>
        <v/>
      </c>
      <c r="Y1881" s="586" t="str">
        <f>IF(W1881="X","x",IF(W1881="y","x",IF(W1881="xx","x",IF(U1881&gt;0,"x",""))))</f>
        <v/>
      </c>
      <c r="Z1881" s="586" t="str">
        <f>IF(W1881="X","x",IF(U1881&gt;0,"x",""))</f>
        <v/>
      </c>
    </row>
    <row r="1882" spans="1:26" ht="12" hidden="1" thickBot="1" x14ac:dyDescent="0.25">
      <c r="A1882" s="567" t="s">
        <v>168</v>
      </c>
      <c r="B1882" s="644" t="s">
        <v>168</v>
      </c>
      <c r="C1882" s="645"/>
      <c r="D1882" s="422" t="s">
        <v>248</v>
      </c>
      <c r="E1882" s="423"/>
      <c r="F1882" s="424">
        <v>180</v>
      </c>
      <c r="G1882" s="425">
        <v>0.873</v>
      </c>
      <c r="H1882" s="663">
        <f t="shared" ref="H1882:H1883" si="464">IF(F1882&lt;=30,(1.07*F1882+2.68)*G1882,((1.07*30+2.68)+1.07*(F1882-30))*G1882)</f>
        <v>170.47944000000001</v>
      </c>
      <c r="I1882" s="420">
        <v>0</v>
      </c>
      <c r="J1882" s="420"/>
      <c r="K1882" s="421">
        <f t="shared" si="455"/>
        <v>0</v>
      </c>
      <c r="L1882" s="647"/>
      <c r="M1882" s="723"/>
      <c r="N1882" s="576">
        <f t="shared" si="462"/>
        <v>0</v>
      </c>
      <c r="O1882" s="577">
        <f t="shared" si="453"/>
        <v>0</v>
      </c>
      <c r="P1882" s="578">
        <f t="shared" si="454"/>
        <v>0</v>
      </c>
      <c r="Q1882" s="765"/>
      <c r="R1882" s="723"/>
      <c r="S1882" s="723"/>
      <c r="T1882" s="577">
        <f t="shared" si="451"/>
        <v>0</v>
      </c>
      <c r="U1882" s="578">
        <f t="shared" si="452"/>
        <v>0</v>
      </c>
      <c r="V1882" s="579"/>
      <c r="W1882" s="566" t="str">
        <f>IF(U1880&gt;0,"xx",IF(P1880&gt;0,"xy",""))</f>
        <v/>
      </c>
      <c r="X1882" s="586" t="str">
        <f>IF(W1882="X","x",IF(W1882="xx","x",IF(W1882="xy","x",IF(W1882="y","x",IF(OR(P1882&gt;0,U1882&gt;0),"x","")))))</f>
        <v/>
      </c>
      <c r="Y1882" s="586" t="str">
        <f>IF(W1882="X","x",IF(W1882="y","x",IF(W1882="xx","x",IF(U1882&gt;0,"x",""))))</f>
        <v/>
      </c>
      <c r="Z1882" s="586" t="str">
        <f>IF(W1882="X","x",IF(U1882&gt;0,"x",""))</f>
        <v/>
      </c>
    </row>
    <row r="1883" spans="1:26" ht="12" hidden="1" thickBot="1" x14ac:dyDescent="0.25">
      <c r="A1883" s="567" t="s">
        <v>168</v>
      </c>
      <c r="B1883" s="644" t="s">
        <v>168</v>
      </c>
      <c r="C1883" s="645"/>
      <c r="D1883" s="422" t="s">
        <v>252</v>
      </c>
      <c r="E1883" s="423"/>
      <c r="F1883" s="424">
        <v>20</v>
      </c>
      <c r="G1883" s="425">
        <v>1.1100000000000001</v>
      </c>
      <c r="H1883" s="663">
        <f t="shared" si="464"/>
        <v>26.728800000000003</v>
      </c>
      <c r="I1883" s="420">
        <v>0</v>
      </c>
      <c r="J1883" s="420"/>
      <c r="K1883" s="421">
        <f t="shared" si="455"/>
        <v>0</v>
      </c>
      <c r="L1883" s="647"/>
      <c r="M1883" s="723"/>
      <c r="N1883" s="576">
        <f t="shared" si="462"/>
        <v>0</v>
      </c>
      <c r="O1883" s="577">
        <f t="shared" si="453"/>
        <v>0</v>
      </c>
      <c r="P1883" s="578">
        <f t="shared" si="454"/>
        <v>0</v>
      </c>
      <c r="Q1883" s="765"/>
      <c r="R1883" s="723"/>
      <c r="S1883" s="723"/>
      <c r="T1883" s="577">
        <f t="shared" si="451"/>
        <v>0</v>
      </c>
      <c r="U1883" s="578">
        <f t="shared" si="452"/>
        <v>0</v>
      </c>
      <c r="V1883" s="579"/>
      <c r="W1883" s="566" t="str">
        <f>IF(U1880&gt;0,"xx",IF(P1880&gt;0,"xy",""))</f>
        <v/>
      </c>
      <c r="X1883" s="586" t="str">
        <f>IF(W1883="X","x",IF(W1883="xx","x",IF(W1883="xy","x",IF(W1883="y","x",IF(OR(P1883&gt;0,U1883&gt;0),"x","")))))</f>
        <v/>
      </c>
      <c r="Y1883" s="586" t="str">
        <f>IF(W1883="X","x",IF(W1883="y","x",IF(W1883="xx","x",IF(U1883&gt;0,"x",""))))</f>
        <v/>
      </c>
      <c r="Z1883" s="586" t="str">
        <f>IF(W1883="X","x",IF(U1883&gt;0,"x",""))</f>
        <v/>
      </c>
    </row>
    <row r="1884" spans="1:26" ht="12" hidden="1" thickBot="1" x14ac:dyDescent="0.25">
      <c r="A1884" s="567">
        <v>605600</v>
      </c>
      <c r="B1884" s="644">
        <v>605600</v>
      </c>
      <c r="C1884" s="645" t="s">
        <v>206</v>
      </c>
      <c r="D1884" s="422" t="s">
        <v>1513</v>
      </c>
      <c r="E1884" s="423"/>
      <c r="F1884" s="424"/>
      <c r="G1884" s="425"/>
      <c r="H1884" s="651">
        <f>SUM(H1885:H1887)</f>
        <v>353.87019999999995</v>
      </c>
      <c r="I1884" s="420">
        <v>529.53</v>
      </c>
      <c r="J1884" s="420">
        <f>IF(ISBLANK(I1884),"",SUM(H1884:I1884))</f>
        <v>883.40019999999993</v>
      </c>
      <c r="K1884" s="421">
        <f t="shared" si="455"/>
        <v>1049.57</v>
      </c>
      <c r="L1884" s="647" t="s">
        <v>16</v>
      </c>
      <c r="M1884" s="576"/>
      <c r="N1884" s="576">
        <f t="shared" si="462"/>
        <v>0</v>
      </c>
      <c r="O1884" s="577">
        <f t="shared" si="453"/>
        <v>0</v>
      </c>
      <c r="P1884" s="578">
        <f t="shared" si="454"/>
        <v>0</v>
      </c>
      <c r="Q1884" s="765"/>
      <c r="R1884" s="576">
        <f>M1884</f>
        <v>0</v>
      </c>
      <c r="S1884" s="576">
        <f>N1884</f>
        <v>0</v>
      </c>
      <c r="T1884" s="577">
        <f t="shared" si="451"/>
        <v>0</v>
      </c>
      <c r="U1884" s="578">
        <f t="shared" si="452"/>
        <v>0</v>
      </c>
      <c r="V1884" s="579"/>
      <c r="W1884" s="566"/>
      <c r="X1884" s="586" t="str">
        <f t="shared" ref="X1884:X1903" si="465">IF(W1884="X","x",IF(W1884="xx","x",IF(W1884="xy","x",IF(W1884="y","x",IF(OR(P1884&gt;0,U1884&gt;0),"x","")))))</f>
        <v/>
      </c>
      <c r="Y1884" s="586" t="str">
        <f t="shared" ref="Y1884:Y1903" si="466">IF(W1884="X","x",IF(W1884="y","x",IF(W1884="xx","x",IF(U1884&gt;0,"x",""))))</f>
        <v/>
      </c>
      <c r="Z1884" s="586" t="str">
        <f t="shared" ref="Z1884:Z1903" si="467">IF(W1884="X","x",IF(U1884&gt;0,"x",""))</f>
        <v/>
      </c>
    </row>
    <row r="1885" spans="1:26" ht="12" hidden="1" thickBot="1" x14ac:dyDescent="0.25">
      <c r="A1885" s="567" t="s">
        <v>168</v>
      </c>
      <c r="B1885" s="644" t="s">
        <v>168</v>
      </c>
      <c r="C1885" s="645"/>
      <c r="D1885" s="422" t="s">
        <v>212</v>
      </c>
      <c r="E1885" s="423"/>
      <c r="F1885" s="424">
        <v>500</v>
      </c>
      <c r="G1885" s="425">
        <v>0.41</v>
      </c>
      <c r="H1885" s="649">
        <f>IF(F1885&lt;=30,(0.78*F1885+7.82)*G1885,((0.78*30+7.82)+0.78*(F1885-30))*G1885)</f>
        <v>163.1062</v>
      </c>
      <c r="I1885" s="420">
        <v>0</v>
      </c>
      <c r="J1885" s="420"/>
      <c r="K1885" s="421">
        <f t="shared" si="455"/>
        <v>0</v>
      </c>
      <c r="L1885" s="647"/>
      <c r="M1885" s="723"/>
      <c r="N1885" s="576">
        <f t="shared" si="462"/>
        <v>0</v>
      </c>
      <c r="O1885" s="577">
        <f t="shared" si="453"/>
        <v>0</v>
      </c>
      <c r="P1885" s="578">
        <f t="shared" si="454"/>
        <v>0</v>
      </c>
      <c r="Q1885" s="765"/>
      <c r="R1885" s="723"/>
      <c r="S1885" s="723"/>
      <c r="T1885" s="577">
        <f t="shared" si="451"/>
        <v>0</v>
      </c>
      <c r="U1885" s="578">
        <f t="shared" si="452"/>
        <v>0</v>
      </c>
      <c r="V1885" s="579"/>
      <c r="W1885" s="566" t="str">
        <f>IF(U1884&gt;0,"xx",IF(P1884&gt;0,"xy",""))</f>
        <v/>
      </c>
      <c r="X1885" s="586" t="str">
        <f t="shared" si="465"/>
        <v/>
      </c>
      <c r="Y1885" s="586" t="str">
        <f t="shared" si="466"/>
        <v/>
      </c>
      <c r="Z1885" s="586" t="str">
        <f t="shared" si="467"/>
        <v/>
      </c>
    </row>
    <row r="1886" spans="1:26" ht="12" hidden="1" thickBot="1" x14ac:dyDescent="0.25">
      <c r="A1886" s="567" t="s">
        <v>168</v>
      </c>
      <c r="B1886" s="644" t="s">
        <v>168</v>
      </c>
      <c r="C1886" s="645"/>
      <c r="D1886" s="422" t="s">
        <v>248</v>
      </c>
      <c r="E1886" s="423"/>
      <c r="F1886" s="424">
        <v>180</v>
      </c>
      <c r="G1886" s="425">
        <v>0.84</v>
      </c>
      <c r="H1886" s="663">
        <f t="shared" ref="H1886:H1887" si="468">IF(F1886&lt;=30,(1.07*F1886+2.68)*G1886,((1.07*30+2.68)+1.07*(F1886-30))*G1886)</f>
        <v>164.0352</v>
      </c>
      <c r="I1886" s="420">
        <v>0</v>
      </c>
      <c r="J1886" s="420"/>
      <c r="K1886" s="421">
        <f t="shared" si="455"/>
        <v>0</v>
      </c>
      <c r="L1886" s="647"/>
      <c r="M1886" s="723"/>
      <c r="N1886" s="576">
        <f t="shared" si="462"/>
        <v>0</v>
      </c>
      <c r="O1886" s="577">
        <f t="shared" si="453"/>
        <v>0</v>
      </c>
      <c r="P1886" s="578">
        <f t="shared" si="454"/>
        <v>0</v>
      </c>
      <c r="Q1886" s="765"/>
      <c r="R1886" s="723"/>
      <c r="S1886" s="723"/>
      <c r="T1886" s="577">
        <f t="shared" si="451"/>
        <v>0</v>
      </c>
      <c r="U1886" s="578">
        <f t="shared" si="452"/>
        <v>0</v>
      </c>
      <c r="V1886" s="579"/>
      <c r="W1886" s="566" t="str">
        <f>IF(U1884&gt;0,"xx",IF(P1884&gt;0,"xy",""))</f>
        <v/>
      </c>
      <c r="X1886" s="586" t="str">
        <f t="shared" si="465"/>
        <v/>
      </c>
      <c r="Y1886" s="586" t="str">
        <f t="shared" si="466"/>
        <v/>
      </c>
      <c r="Z1886" s="586" t="str">
        <f t="shared" si="467"/>
        <v/>
      </c>
    </row>
    <row r="1887" spans="1:26" ht="12" hidden="1" thickBot="1" x14ac:dyDescent="0.25">
      <c r="A1887" s="567" t="s">
        <v>168</v>
      </c>
      <c r="B1887" s="644" t="s">
        <v>168</v>
      </c>
      <c r="C1887" s="645"/>
      <c r="D1887" s="422" t="s">
        <v>252</v>
      </c>
      <c r="E1887" s="423"/>
      <c r="F1887" s="424">
        <v>20</v>
      </c>
      <c r="G1887" s="425">
        <v>1.1100000000000001</v>
      </c>
      <c r="H1887" s="663">
        <f t="shared" si="468"/>
        <v>26.728800000000003</v>
      </c>
      <c r="I1887" s="420">
        <v>0</v>
      </c>
      <c r="J1887" s="420"/>
      <c r="K1887" s="421">
        <f t="shared" si="455"/>
        <v>0</v>
      </c>
      <c r="L1887" s="647"/>
      <c r="M1887" s="723"/>
      <c r="N1887" s="576">
        <f t="shared" si="462"/>
        <v>0</v>
      </c>
      <c r="O1887" s="577">
        <f t="shared" si="453"/>
        <v>0</v>
      </c>
      <c r="P1887" s="578">
        <f t="shared" si="454"/>
        <v>0</v>
      </c>
      <c r="Q1887" s="765"/>
      <c r="R1887" s="723"/>
      <c r="S1887" s="723"/>
      <c r="T1887" s="577">
        <f t="shared" si="451"/>
        <v>0</v>
      </c>
      <c r="U1887" s="578">
        <f t="shared" si="452"/>
        <v>0</v>
      </c>
      <c r="V1887" s="579"/>
      <c r="W1887" s="566" t="str">
        <f>IF(U1884&gt;0,"xx",IF(P1884&gt;0,"xy",""))</f>
        <v/>
      </c>
      <c r="X1887" s="586" t="str">
        <f t="shared" si="465"/>
        <v/>
      </c>
      <c r="Y1887" s="586" t="str">
        <f t="shared" si="466"/>
        <v/>
      </c>
      <c r="Z1887" s="586" t="str">
        <f t="shared" si="467"/>
        <v/>
      </c>
    </row>
    <row r="1888" spans="1:26" ht="12" hidden="1" thickBot="1" x14ac:dyDescent="0.25">
      <c r="A1888" s="567">
        <v>605700</v>
      </c>
      <c r="B1888" s="644">
        <v>605700</v>
      </c>
      <c r="C1888" s="645" t="s">
        <v>206</v>
      </c>
      <c r="D1888" s="422" t="s">
        <v>1514</v>
      </c>
      <c r="E1888" s="423"/>
      <c r="F1888" s="424"/>
      <c r="G1888" s="425"/>
      <c r="H1888" s="651">
        <f>SUM(H1889:H1891)</f>
        <v>358.8974</v>
      </c>
      <c r="I1888" s="420">
        <v>540.22</v>
      </c>
      <c r="J1888" s="420">
        <f>IF(ISBLANK(I1888),"",SUM(H1888:I1888))</f>
        <v>899.11740000000009</v>
      </c>
      <c r="K1888" s="421">
        <f t="shared" si="455"/>
        <v>1068.24</v>
      </c>
      <c r="L1888" s="647" t="s">
        <v>16</v>
      </c>
      <c r="M1888" s="576"/>
      <c r="N1888" s="576">
        <f t="shared" si="462"/>
        <v>0</v>
      </c>
      <c r="O1888" s="577">
        <f t="shared" si="453"/>
        <v>0</v>
      </c>
      <c r="P1888" s="578">
        <f t="shared" si="454"/>
        <v>0</v>
      </c>
      <c r="Q1888" s="765"/>
      <c r="R1888" s="576">
        <f>M1888</f>
        <v>0</v>
      </c>
      <c r="S1888" s="576">
        <f>N1888</f>
        <v>0</v>
      </c>
      <c r="T1888" s="577">
        <f t="shared" si="451"/>
        <v>0</v>
      </c>
      <c r="U1888" s="578">
        <f t="shared" si="452"/>
        <v>0</v>
      </c>
      <c r="V1888" s="579"/>
      <c r="W1888" s="566"/>
      <c r="X1888" s="586" t="str">
        <f t="shared" si="465"/>
        <v/>
      </c>
      <c r="Y1888" s="586" t="str">
        <f t="shared" si="466"/>
        <v/>
      </c>
      <c r="Z1888" s="586" t="str">
        <f t="shared" si="467"/>
        <v/>
      </c>
    </row>
    <row r="1889" spans="1:26" ht="12" hidden="1" thickBot="1" x14ac:dyDescent="0.25">
      <c r="A1889" s="567" t="s">
        <v>168</v>
      </c>
      <c r="B1889" s="644" t="s">
        <v>168</v>
      </c>
      <c r="C1889" s="645"/>
      <c r="D1889" s="422" t="s">
        <v>212</v>
      </c>
      <c r="E1889" s="423"/>
      <c r="F1889" s="424">
        <v>500</v>
      </c>
      <c r="G1889" s="425">
        <v>0.43</v>
      </c>
      <c r="H1889" s="649">
        <f>IF(F1889&lt;=30,(0.78*F1889+7.82)*G1889,((0.78*30+7.82)+0.78*(F1889-30))*G1889)</f>
        <v>171.06260000000003</v>
      </c>
      <c r="I1889" s="420">
        <v>0</v>
      </c>
      <c r="J1889" s="420"/>
      <c r="K1889" s="421">
        <f t="shared" si="455"/>
        <v>0</v>
      </c>
      <c r="L1889" s="647"/>
      <c r="M1889" s="723"/>
      <c r="N1889" s="576">
        <f t="shared" si="462"/>
        <v>0</v>
      </c>
      <c r="O1889" s="577">
        <f t="shared" si="453"/>
        <v>0</v>
      </c>
      <c r="P1889" s="578">
        <f t="shared" si="454"/>
        <v>0</v>
      </c>
      <c r="Q1889" s="765"/>
      <c r="R1889" s="723"/>
      <c r="S1889" s="723"/>
      <c r="T1889" s="577">
        <f t="shared" si="451"/>
        <v>0</v>
      </c>
      <c r="U1889" s="578">
        <f t="shared" si="452"/>
        <v>0</v>
      </c>
      <c r="V1889" s="579"/>
      <c r="W1889" s="566" t="str">
        <f>IF(U1888&gt;0,"xx",IF(P1888&gt;0,"xy",""))</f>
        <v/>
      </c>
      <c r="X1889" s="586" t="str">
        <f t="shared" si="465"/>
        <v/>
      </c>
      <c r="Y1889" s="586" t="str">
        <f t="shared" si="466"/>
        <v/>
      </c>
      <c r="Z1889" s="586" t="str">
        <f t="shared" si="467"/>
        <v/>
      </c>
    </row>
    <row r="1890" spans="1:26" ht="12" hidden="1" thickBot="1" x14ac:dyDescent="0.25">
      <c r="A1890" s="567" t="s">
        <v>168</v>
      </c>
      <c r="B1890" s="644" t="s">
        <v>168</v>
      </c>
      <c r="C1890" s="645"/>
      <c r="D1890" s="422" t="s">
        <v>248</v>
      </c>
      <c r="E1890" s="423"/>
      <c r="F1890" s="424">
        <v>180</v>
      </c>
      <c r="G1890" s="425">
        <v>0.82499999999999996</v>
      </c>
      <c r="H1890" s="663">
        <f t="shared" ref="H1890:H1891" si="469">IF(F1890&lt;=30,(1.07*F1890+2.68)*G1890,((1.07*30+2.68)+1.07*(F1890-30))*G1890)</f>
        <v>161.10599999999999</v>
      </c>
      <c r="I1890" s="420">
        <v>0</v>
      </c>
      <c r="J1890" s="420"/>
      <c r="K1890" s="421">
        <f t="shared" si="455"/>
        <v>0</v>
      </c>
      <c r="L1890" s="647"/>
      <c r="M1890" s="723"/>
      <c r="N1890" s="576">
        <f t="shared" si="462"/>
        <v>0</v>
      </c>
      <c r="O1890" s="577">
        <f t="shared" si="453"/>
        <v>0</v>
      </c>
      <c r="P1890" s="578">
        <f t="shared" si="454"/>
        <v>0</v>
      </c>
      <c r="Q1890" s="765"/>
      <c r="R1890" s="723"/>
      <c r="S1890" s="723"/>
      <c r="T1890" s="577">
        <f t="shared" si="451"/>
        <v>0</v>
      </c>
      <c r="U1890" s="578">
        <f t="shared" si="452"/>
        <v>0</v>
      </c>
      <c r="V1890" s="579"/>
      <c r="W1890" s="566" t="str">
        <f>IF(U1888&gt;0,"xx",IF(P1888&gt;0,"xy",""))</f>
        <v/>
      </c>
      <c r="X1890" s="586" t="str">
        <f t="shared" si="465"/>
        <v/>
      </c>
      <c r="Y1890" s="586" t="str">
        <f t="shared" si="466"/>
        <v/>
      </c>
      <c r="Z1890" s="586" t="str">
        <f t="shared" si="467"/>
        <v/>
      </c>
    </row>
    <row r="1891" spans="1:26" ht="12" hidden="1" thickBot="1" x14ac:dyDescent="0.25">
      <c r="A1891" s="567" t="s">
        <v>168</v>
      </c>
      <c r="B1891" s="644" t="s">
        <v>168</v>
      </c>
      <c r="C1891" s="645"/>
      <c r="D1891" s="422" t="s">
        <v>252</v>
      </c>
      <c r="E1891" s="423"/>
      <c r="F1891" s="424">
        <v>20</v>
      </c>
      <c r="G1891" s="425">
        <v>1.1100000000000001</v>
      </c>
      <c r="H1891" s="663">
        <f t="shared" si="469"/>
        <v>26.728800000000003</v>
      </c>
      <c r="I1891" s="420">
        <v>0</v>
      </c>
      <c r="J1891" s="420"/>
      <c r="K1891" s="421">
        <f t="shared" si="455"/>
        <v>0</v>
      </c>
      <c r="L1891" s="647"/>
      <c r="M1891" s="723"/>
      <c r="N1891" s="576">
        <f t="shared" si="462"/>
        <v>0</v>
      </c>
      <c r="O1891" s="577">
        <f t="shared" si="453"/>
        <v>0</v>
      </c>
      <c r="P1891" s="578">
        <f t="shared" si="454"/>
        <v>0</v>
      </c>
      <c r="Q1891" s="765"/>
      <c r="R1891" s="723"/>
      <c r="S1891" s="723"/>
      <c r="T1891" s="577">
        <f t="shared" si="451"/>
        <v>0</v>
      </c>
      <c r="U1891" s="578">
        <f t="shared" si="452"/>
        <v>0</v>
      </c>
      <c r="V1891" s="579"/>
      <c r="W1891" s="566" t="str">
        <f>IF(U1888&gt;0,"xx",IF(P1888&gt;0,"xy",""))</f>
        <v/>
      </c>
      <c r="X1891" s="586" t="str">
        <f t="shared" si="465"/>
        <v/>
      </c>
      <c r="Y1891" s="586" t="str">
        <f t="shared" si="466"/>
        <v/>
      </c>
      <c r="Z1891" s="586" t="str">
        <f t="shared" si="467"/>
        <v/>
      </c>
    </row>
    <row r="1892" spans="1:26" ht="12" hidden="1" thickBot="1" x14ac:dyDescent="0.25">
      <c r="A1892" s="567">
        <v>605800</v>
      </c>
      <c r="B1892" s="644">
        <v>605800</v>
      </c>
      <c r="C1892" s="645" t="s">
        <v>206</v>
      </c>
      <c r="D1892" s="422" t="s">
        <v>1515</v>
      </c>
      <c r="E1892" s="423"/>
      <c r="F1892" s="424"/>
      <c r="G1892" s="425"/>
      <c r="H1892" s="651">
        <f>SUM(H1893:H1895)</f>
        <v>360.88649999999996</v>
      </c>
      <c r="I1892" s="420">
        <v>543.05999999999995</v>
      </c>
      <c r="J1892" s="420">
        <f>IF(ISBLANK(I1892),"",SUM(H1892:I1892))</f>
        <v>903.9464999999999</v>
      </c>
      <c r="K1892" s="421">
        <f t="shared" si="455"/>
        <v>1073.98</v>
      </c>
      <c r="L1892" s="647" t="s">
        <v>16</v>
      </c>
      <c r="M1892" s="576"/>
      <c r="N1892" s="576">
        <f t="shared" si="462"/>
        <v>0</v>
      </c>
      <c r="O1892" s="577">
        <f t="shared" si="453"/>
        <v>0</v>
      </c>
      <c r="P1892" s="578">
        <f t="shared" si="454"/>
        <v>0</v>
      </c>
      <c r="Q1892" s="765"/>
      <c r="R1892" s="576">
        <f>M1892</f>
        <v>0</v>
      </c>
      <c r="S1892" s="576">
        <f>N1892</f>
        <v>0</v>
      </c>
      <c r="T1892" s="577">
        <f t="shared" si="451"/>
        <v>0</v>
      </c>
      <c r="U1892" s="578">
        <f t="shared" si="452"/>
        <v>0</v>
      </c>
      <c r="V1892" s="579"/>
      <c r="W1892" s="566"/>
      <c r="X1892" s="586" t="str">
        <f t="shared" si="465"/>
        <v/>
      </c>
      <c r="Y1892" s="586" t="str">
        <f t="shared" si="466"/>
        <v/>
      </c>
      <c r="Z1892" s="586" t="str">
        <f t="shared" si="467"/>
        <v/>
      </c>
    </row>
    <row r="1893" spans="1:26" ht="12" hidden="1" thickBot="1" x14ac:dyDescent="0.25">
      <c r="A1893" s="567" t="s">
        <v>168</v>
      </c>
      <c r="B1893" s="644" t="s">
        <v>168</v>
      </c>
      <c r="C1893" s="645"/>
      <c r="D1893" s="422" t="s">
        <v>212</v>
      </c>
      <c r="E1893" s="423"/>
      <c r="F1893" s="424">
        <v>500</v>
      </c>
      <c r="G1893" s="425">
        <v>0.435</v>
      </c>
      <c r="H1893" s="649">
        <f>IF(F1893&lt;=30,(0.78*F1893+7.82)*G1893,((0.78*30+7.82)+0.78*(F1893-30))*G1893)</f>
        <v>173.05170000000001</v>
      </c>
      <c r="I1893" s="420">
        <v>0</v>
      </c>
      <c r="J1893" s="420"/>
      <c r="K1893" s="421">
        <f t="shared" si="455"/>
        <v>0</v>
      </c>
      <c r="L1893" s="647"/>
      <c r="M1893" s="723"/>
      <c r="N1893" s="576">
        <f t="shared" si="462"/>
        <v>0</v>
      </c>
      <c r="O1893" s="577">
        <f t="shared" si="453"/>
        <v>0</v>
      </c>
      <c r="P1893" s="578">
        <f t="shared" si="454"/>
        <v>0</v>
      </c>
      <c r="Q1893" s="765"/>
      <c r="R1893" s="723"/>
      <c r="S1893" s="723"/>
      <c r="T1893" s="577">
        <f t="shared" si="451"/>
        <v>0</v>
      </c>
      <c r="U1893" s="578">
        <f t="shared" si="452"/>
        <v>0</v>
      </c>
      <c r="V1893" s="579"/>
      <c r="W1893" s="566" t="str">
        <f>IF(U1892&gt;0,"xx",IF(P1892&gt;0,"xy",""))</f>
        <v/>
      </c>
      <c r="X1893" s="586" t="str">
        <f t="shared" si="465"/>
        <v/>
      </c>
      <c r="Y1893" s="586" t="str">
        <f t="shared" si="466"/>
        <v/>
      </c>
      <c r="Z1893" s="586" t="str">
        <f t="shared" si="467"/>
        <v/>
      </c>
    </row>
    <row r="1894" spans="1:26" ht="12" hidden="1" thickBot="1" x14ac:dyDescent="0.25">
      <c r="A1894" s="567" t="s">
        <v>168</v>
      </c>
      <c r="B1894" s="644" t="s">
        <v>168</v>
      </c>
      <c r="C1894" s="645"/>
      <c r="D1894" s="422" t="s">
        <v>248</v>
      </c>
      <c r="E1894" s="423"/>
      <c r="F1894" s="424">
        <v>180</v>
      </c>
      <c r="G1894" s="425">
        <v>0.82499999999999996</v>
      </c>
      <c r="H1894" s="663">
        <f t="shared" ref="H1894:H1895" si="470">IF(F1894&lt;=30,(1.07*F1894+2.68)*G1894,((1.07*30+2.68)+1.07*(F1894-30))*G1894)</f>
        <v>161.10599999999999</v>
      </c>
      <c r="I1894" s="420">
        <v>0</v>
      </c>
      <c r="J1894" s="420"/>
      <c r="K1894" s="421">
        <f t="shared" si="455"/>
        <v>0</v>
      </c>
      <c r="L1894" s="647"/>
      <c r="M1894" s="723"/>
      <c r="N1894" s="576">
        <f t="shared" si="462"/>
        <v>0</v>
      </c>
      <c r="O1894" s="577">
        <f t="shared" si="453"/>
        <v>0</v>
      </c>
      <c r="P1894" s="578">
        <f t="shared" si="454"/>
        <v>0</v>
      </c>
      <c r="Q1894" s="765"/>
      <c r="R1894" s="723"/>
      <c r="S1894" s="723"/>
      <c r="T1894" s="577">
        <f t="shared" si="451"/>
        <v>0</v>
      </c>
      <c r="U1894" s="578">
        <f t="shared" si="452"/>
        <v>0</v>
      </c>
      <c r="V1894" s="579"/>
      <c r="W1894" s="566" t="str">
        <f>IF(U1892&gt;0,"xx",IF(P1892&gt;0,"xy",""))</f>
        <v/>
      </c>
      <c r="X1894" s="586" t="str">
        <f t="shared" si="465"/>
        <v/>
      </c>
      <c r="Y1894" s="586" t="str">
        <f t="shared" si="466"/>
        <v/>
      </c>
      <c r="Z1894" s="586" t="str">
        <f t="shared" si="467"/>
        <v/>
      </c>
    </row>
    <row r="1895" spans="1:26" ht="12" hidden="1" thickBot="1" x14ac:dyDescent="0.25">
      <c r="A1895" s="567" t="s">
        <v>168</v>
      </c>
      <c r="B1895" s="644" t="s">
        <v>168</v>
      </c>
      <c r="C1895" s="645"/>
      <c r="D1895" s="422" t="s">
        <v>252</v>
      </c>
      <c r="E1895" s="423"/>
      <c r="F1895" s="424">
        <v>20</v>
      </c>
      <c r="G1895" s="425">
        <v>1.1100000000000001</v>
      </c>
      <c r="H1895" s="663">
        <f t="shared" si="470"/>
        <v>26.728800000000003</v>
      </c>
      <c r="I1895" s="420">
        <v>0</v>
      </c>
      <c r="J1895" s="420"/>
      <c r="K1895" s="421">
        <f t="shared" si="455"/>
        <v>0</v>
      </c>
      <c r="L1895" s="647"/>
      <c r="M1895" s="723"/>
      <c r="N1895" s="576">
        <f t="shared" si="462"/>
        <v>0</v>
      </c>
      <c r="O1895" s="577">
        <f t="shared" si="453"/>
        <v>0</v>
      </c>
      <c r="P1895" s="578">
        <f t="shared" si="454"/>
        <v>0</v>
      </c>
      <c r="Q1895" s="765"/>
      <c r="R1895" s="723"/>
      <c r="S1895" s="723"/>
      <c r="T1895" s="577">
        <f t="shared" si="451"/>
        <v>0</v>
      </c>
      <c r="U1895" s="578">
        <f t="shared" si="452"/>
        <v>0</v>
      </c>
      <c r="V1895" s="579"/>
      <c r="W1895" s="566" t="str">
        <f>IF(U1892&gt;0,"xx",IF(P1892&gt;0,"xy",""))</f>
        <v/>
      </c>
      <c r="X1895" s="586" t="str">
        <f t="shared" si="465"/>
        <v/>
      </c>
      <c r="Y1895" s="586" t="str">
        <f t="shared" si="466"/>
        <v/>
      </c>
      <c r="Z1895" s="586" t="str">
        <f t="shared" si="467"/>
        <v/>
      </c>
    </row>
    <row r="1896" spans="1:26" ht="12" hidden="1" thickBot="1" x14ac:dyDescent="0.25">
      <c r="A1896" s="567">
        <v>605900</v>
      </c>
      <c r="B1896" s="644">
        <v>605900</v>
      </c>
      <c r="C1896" s="645" t="s">
        <v>206</v>
      </c>
      <c r="D1896" s="422" t="s">
        <v>1516</v>
      </c>
      <c r="E1896" s="423"/>
      <c r="F1896" s="424"/>
      <c r="G1896" s="425"/>
      <c r="H1896" s="651">
        <f>SUM(H1897:H1899)</f>
        <v>370.00080000000003</v>
      </c>
      <c r="I1896" s="420">
        <v>566.61</v>
      </c>
      <c r="J1896" s="420">
        <f>IF(ISBLANK(I1896),"",SUM(H1896:I1896))</f>
        <v>936.61080000000004</v>
      </c>
      <c r="K1896" s="421">
        <f t="shared" si="455"/>
        <v>1112.79</v>
      </c>
      <c r="L1896" s="647" t="s">
        <v>16</v>
      </c>
      <c r="M1896" s="576"/>
      <c r="N1896" s="576">
        <f t="shared" si="462"/>
        <v>0</v>
      </c>
      <c r="O1896" s="577">
        <f t="shared" si="453"/>
        <v>0</v>
      </c>
      <c r="P1896" s="578">
        <f t="shared" si="454"/>
        <v>0</v>
      </c>
      <c r="Q1896" s="765"/>
      <c r="R1896" s="576">
        <f>M1896</f>
        <v>0</v>
      </c>
      <c r="S1896" s="576">
        <f>N1896</f>
        <v>0</v>
      </c>
      <c r="T1896" s="577">
        <f t="shared" si="451"/>
        <v>0</v>
      </c>
      <c r="U1896" s="578">
        <f t="shared" si="452"/>
        <v>0</v>
      </c>
      <c r="V1896" s="579"/>
      <c r="W1896" s="566"/>
      <c r="X1896" s="586" t="str">
        <f t="shared" si="465"/>
        <v/>
      </c>
      <c r="Y1896" s="586" t="str">
        <f t="shared" si="466"/>
        <v/>
      </c>
      <c r="Z1896" s="586" t="str">
        <f t="shared" si="467"/>
        <v/>
      </c>
    </row>
    <row r="1897" spans="1:26" ht="12" hidden="1" thickBot="1" x14ac:dyDescent="0.25">
      <c r="A1897" s="567" t="s">
        <v>168</v>
      </c>
      <c r="B1897" s="644" t="s">
        <v>168</v>
      </c>
      <c r="C1897" s="645"/>
      <c r="D1897" s="422" t="s">
        <v>212</v>
      </c>
      <c r="E1897" s="423"/>
      <c r="F1897" s="424">
        <v>500</v>
      </c>
      <c r="G1897" s="425">
        <v>0.48</v>
      </c>
      <c r="H1897" s="649">
        <f>IF(F1897&lt;=30,(0.78*F1897+7.82)*G1897,((0.78*30+7.82)+0.78*(F1897-30))*G1897)</f>
        <v>190.95360000000002</v>
      </c>
      <c r="I1897" s="420">
        <v>0</v>
      </c>
      <c r="J1897" s="420"/>
      <c r="K1897" s="421">
        <f t="shared" si="455"/>
        <v>0</v>
      </c>
      <c r="L1897" s="647"/>
      <c r="M1897" s="723"/>
      <c r="N1897" s="576">
        <f t="shared" si="462"/>
        <v>0</v>
      </c>
      <c r="O1897" s="577">
        <f t="shared" si="453"/>
        <v>0</v>
      </c>
      <c r="P1897" s="578">
        <f t="shared" si="454"/>
        <v>0</v>
      </c>
      <c r="Q1897" s="765"/>
      <c r="R1897" s="723"/>
      <c r="S1897" s="723"/>
      <c r="T1897" s="577">
        <f t="shared" si="451"/>
        <v>0</v>
      </c>
      <c r="U1897" s="578">
        <f t="shared" si="452"/>
        <v>0</v>
      </c>
      <c r="V1897" s="579"/>
      <c r="W1897" s="566" t="str">
        <f>IF(U1896&gt;0,"xx",IF(P1896&gt;0,"xy",""))</f>
        <v/>
      </c>
      <c r="X1897" s="586" t="str">
        <f t="shared" si="465"/>
        <v/>
      </c>
      <c r="Y1897" s="586" t="str">
        <f t="shared" si="466"/>
        <v/>
      </c>
      <c r="Z1897" s="586" t="str">
        <f t="shared" si="467"/>
        <v/>
      </c>
    </row>
    <row r="1898" spans="1:26" ht="12" hidden="1" thickBot="1" x14ac:dyDescent="0.25">
      <c r="A1898" s="567" t="s">
        <v>168</v>
      </c>
      <c r="B1898" s="644" t="s">
        <v>168</v>
      </c>
      <c r="C1898" s="645"/>
      <c r="D1898" s="422" t="s">
        <v>248</v>
      </c>
      <c r="E1898" s="423"/>
      <c r="F1898" s="424">
        <v>180</v>
      </c>
      <c r="G1898" s="425">
        <v>0.78</v>
      </c>
      <c r="H1898" s="663">
        <f t="shared" ref="H1898:H1899" si="471">IF(F1898&lt;=30,(1.07*F1898+2.68)*G1898,((1.07*30+2.68)+1.07*(F1898-30))*G1898)</f>
        <v>152.3184</v>
      </c>
      <c r="I1898" s="420">
        <v>0</v>
      </c>
      <c r="J1898" s="420"/>
      <c r="K1898" s="421">
        <f t="shared" si="455"/>
        <v>0</v>
      </c>
      <c r="L1898" s="647"/>
      <c r="M1898" s="723"/>
      <c r="N1898" s="576">
        <f t="shared" si="462"/>
        <v>0</v>
      </c>
      <c r="O1898" s="577">
        <f t="shared" si="453"/>
        <v>0</v>
      </c>
      <c r="P1898" s="578">
        <f t="shared" si="454"/>
        <v>0</v>
      </c>
      <c r="Q1898" s="765"/>
      <c r="R1898" s="723"/>
      <c r="S1898" s="723"/>
      <c r="T1898" s="577">
        <f t="shared" si="451"/>
        <v>0</v>
      </c>
      <c r="U1898" s="578">
        <f t="shared" si="452"/>
        <v>0</v>
      </c>
      <c r="V1898" s="579"/>
      <c r="W1898" s="566" t="str">
        <f>IF(U1896&gt;0,"xx",IF(P1896&gt;0,"xy",""))</f>
        <v/>
      </c>
      <c r="X1898" s="586" t="str">
        <f t="shared" si="465"/>
        <v/>
      </c>
      <c r="Y1898" s="586" t="str">
        <f t="shared" si="466"/>
        <v/>
      </c>
      <c r="Z1898" s="586" t="str">
        <f t="shared" si="467"/>
        <v/>
      </c>
    </row>
    <row r="1899" spans="1:26" ht="12" hidden="1" thickBot="1" x14ac:dyDescent="0.25">
      <c r="A1899" s="567" t="s">
        <v>168</v>
      </c>
      <c r="B1899" s="644" t="s">
        <v>168</v>
      </c>
      <c r="C1899" s="645"/>
      <c r="D1899" s="422" t="s">
        <v>252</v>
      </c>
      <c r="E1899" s="423"/>
      <c r="F1899" s="424">
        <v>20</v>
      </c>
      <c r="G1899" s="425">
        <v>1.1100000000000001</v>
      </c>
      <c r="H1899" s="663">
        <f t="shared" si="471"/>
        <v>26.728800000000003</v>
      </c>
      <c r="I1899" s="420">
        <v>0</v>
      </c>
      <c r="J1899" s="420"/>
      <c r="K1899" s="421">
        <f t="shared" si="455"/>
        <v>0</v>
      </c>
      <c r="L1899" s="647"/>
      <c r="M1899" s="723"/>
      <c r="N1899" s="576">
        <f t="shared" si="462"/>
        <v>0</v>
      </c>
      <c r="O1899" s="577">
        <f t="shared" si="453"/>
        <v>0</v>
      </c>
      <c r="P1899" s="578">
        <f t="shared" si="454"/>
        <v>0</v>
      </c>
      <c r="Q1899" s="765"/>
      <c r="R1899" s="723"/>
      <c r="S1899" s="723"/>
      <c r="T1899" s="577">
        <f t="shared" si="451"/>
        <v>0</v>
      </c>
      <c r="U1899" s="578">
        <f t="shared" si="452"/>
        <v>0</v>
      </c>
      <c r="V1899" s="579"/>
      <c r="W1899" s="566" t="str">
        <f>IF(U1896&gt;0,"xx",IF(P1896&gt;0,"xy",""))</f>
        <v/>
      </c>
      <c r="X1899" s="586" t="str">
        <f t="shared" si="465"/>
        <v/>
      </c>
      <c r="Y1899" s="586" t="str">
        <f t="shared" si="466"/>
        <v/>
      </c>
      <c r="Z1899" s="586" t="str">
        <f t="shared" si="467"/>
        <v/>
      </c>
    </row>
    <row r="1900" spans="1:26" ht="12" hidden="1" thickBot="1" x14ac:dyDescent="0.25">
      <c r="A1900" s="567">
        <v>606200</v>
      </c>
      <c r="B1900" s="644">
        <v>606200</v>
      </c>
      <c r="C1900" s="645" t="s">
        <v>206</v>
      </c>
      <c r="D1900" s="422" t="s">
        <v>1517</v>
      </c>
      <c r="E1900" s="423"/>
      <c r="F1900" s="424"/>
      <c r="G1900" s="425"/>
      <c r="H1900" s="651">
        <f>SUM(H1901:H1903)</f>
        <v>376.87264000000005</v>
      </c>
      <c r="I1900" s="420">
        <v>583.43999999999994</v>
      </c>
      <c r="J1900" s="420">
        <f>IF(ISBLANK(I1900),"",SUM(H1900:I1900))</f>
        <v>960.31263999999999</v>
      </c>
      <c r="K1900" s="421">
        <f t="shared" si="455"/>
        <v>1140.95</v>
      </c>
      <c r="L1900" s="647" t="s">
        <v>16</v>
      </c>
      <c r="M1900" s="576"/>
      <c r="N1900" s="576">
        <f t="shared" si="462"/>
        <v>0</v>
      </c>
      <c r="O1900" s="577">
        <f t="shared" si="453"/>
        <v>0</v>
      </c>
      <c r="P1900" s="578">
        <f t="shared" si="454"/>
        <v>0</v>
      </c>
      <c r="Q1900" s="765"/>
      <c r="R1900" s="576">
        <f>M1900</f>
        <v>0</v>
      </c>
      <c r="S1900" s="576">
        <f>N1900</f>
        <v>0</v>
      </c>
      <c r="T1900" s="577">
        <f t="shared" si="451"/>
        <v>0</v>
      </c>
      <c r="U1900" s="578">
        <f t="shared" si="452"/>
        <v>0</v>
      </c>
      <c r="V1900" s="579"/>
      <c r="W1900" s="566"/>
      <c r="X1900" s="586" t="str">
        <f t="shared" si="465"/>
        <v/>
      </c>
      <c r="Y1900" s="586" t="str">
        <f t="shared" si="466"/>
        <v/>
      </c>
      <c r="Z1900" s="586" t="str">
        <f t="shared" si="467"/>
        <v/>
      </c>
    </row>
    <row r="1901" spans="1:26" ht="12" hidden="1" thickBot="1" x14ac:dyDescent="0.25">
      <c r="A1901" s="567" t="s">
        <v>168</v>
      </c>
      <c r="B1901" s="644" t="s">
        <v>168</v>
      </c>
      <c r="C1901" s="645"/>
      <c r="D1901" s="422" t="s">
        <v>212</v>
      </c>
      <c r="E1901" s="423"/>
      <c r="F1901" s="424">
        <v>500</v>
      </c>
      <c r="G1901" s="425">
        <v>0.51200000000000001</v>
      </c>
      <c r="H1901" s="649">
        <f>IF(F1901&lt;=30,(0.78*F1901+7.82)*G1901,((0.78*30+7.82)+0.78*(F1901-30))*G1901)</f>
        <v>203.68384000000003</v>
      </c>
      <c r="I1901" s="420">
        <v>0</v>
      </c>
      <c r="J1901" s="420"/>
      <c r="K1901" s="421">
        <f t="shared" si="455"/>
        <v>0</v>
      </c>
      <c r="L1901" s="647"/>
      <c r="M1901" s="723"/>
      <c r="N1901" s="576">
        <f t="shared" si="462"/>
        <v>0</v>
      </c>
      <c r="O1901" s="577">
        <f t="shared" si="453"/>
        <v>0</v>
      </c>
      <c r="P1901" s="578">
        <f t="shared" si="454"/>
        <v>0</v>
      </c>
      <c r="Q1901" s="765"/>
      <c r="R1901" s="723"/>
      <c r="S1901" s="723"/>
      <c r="T1901" s="577">
        <f t="shared" si="451"/>
        <v>0</v>
      </c>
      <c r="U1901" s="578">
        <f t="shared" si="452"/>
        <v>0</v>
      </c>
      <c r="V1901" s="579"/>
      <c r="W1901" s="566" t="str">
        <f>IF(U1900&gt;0,"xx",IF(P1900&gt;0,"xy",""))</f>
        <v/>
      </c>
      <c r="X1901" s="586" t="str">
        <f t="shared" si="465"/>
        <v/>
      </c>
      <c r="Y1901" s="586" t="str">
        <f t="shared" si="466"/>
        <v/>
      </c>
      <c r="Z1901" s="586" t="str">
        <f t="shared" si="467"/>
        <v/>
      </c>
    </row>
    <row r="1902" spans="1:26" ht="12" hidden="1" thickBot="1" x14ac:dyDescent="0.25">
      <c r="A1902" s="567" t="s">
        <v>168</v>
      </c>
      <c r="B1902" s="644" t="s">
        <v>168</v>
      </c>
      <c r="C1902" s="645"/>
      <c r="D1902" s="422" t="s">
        <v>248</v>
      </c>
      <c r="E1902" s="423"/>
      <c r="F1902" s="424">
        <v>180</v>
      </c>
      <c r="G1902" s="425">
        <v>0.75</v>
      </c>
      <c r="H1902" s="663">
        <f t="shared" ref="H1902:H1903" si="472">IF(F1902&lt;=30,(1.07*F1902+2.68)*G1902,((1.07*30+2.68)+1.07*(F1902-30))*G1902)</f>
        <v>146.46</v>
      </c>
      <c r="I1902" s="420">
        <v>0</v>
      </c>
      <c r="J1902" s="420"/>
      <c r="K1902" s="421">
        <f t="shared" si="455"/>
        <v>0</v>
      </c>
      <c r="L1902" s="647"/>
      <c r="M1902" s="723"/>
      <c r="N1902" s="576">
        <f t="shared" si="462"/>
        <v>0</v>
      </c>
      <c r="O1902" s="577">
        <f t="shared" si="453"/>
        <v>0</v>
      </c>
      <c r="P1902" s="578">
        <f t="shared" si="454"/>
        <v>0</v>
      </c>
      <c r="Q1902" s="765"/>
      <c r="R1902" s="723"/>
      <c r="S1902" s="723"/>
      <c r="T1902" s="577">
        <f t="shared" si="451"/>
        <v>0</v>
      </c>
      <c r="U1902" s="578">
        <f t="shared" si="452"/>
        <v>0</v>
      </c>
      <c r="V1902" s="579"/>
      <c r="W1902" s="566" t="str">
        <f>IF(U1900&gt;0,"xx",IF(P1900&gt;0,"xy",""))</f>
        <v/>
      </c>
      <c r="X1902" s="586" t="str">
        <f t="shared" si="465"/>
        <v/>
      </c>
      <c r="Y1902" s="586" t="str">
        <f t="shared" si="466"/>
        <v/>
      </c>
      <c r="Z1902" s="586" t="str">
        <f t="shared" si="467"/>
        <v/>
      </c>
    </row>
    <row r="1903" spans="1:26" ht="12" hidden="1" thickBot="1" x14ac:dyDescent="0.25">
      <c r="A1903" s="567" t="s">
        <v>168</v>
      </c>
      <c r="B1903" s="644" t="s">
        <v>168</v>
      </c>
      <c r="C1903" s="645"/>
      <c r="D1903" s="422" t="s">
        <v>252</v>
      </c>
      <c r="E1903" s="423"/>
      <c r="F1903" s="424">
        <v>20</v>
      </c>
      <c r="G1903" s="425">
        <v>1.1100000000000001</v>
      </c>
      <c r="H1903" s="663">
        <f t="shared" si="472"/>
        <v>26.728800000000003</v>
      </c>
      <c r="I1903" s="420">
        <v>0</v>
      </c>
      <c r="J1903" s="420"/>
      <c r="K1903" s="421">
        <f t="shared" si="455"/>
        <v>0</v>
      </c>
      <c r="L1903" s="647"/>
      <c r="M1903" s="723"/>
      <c r="N1903" s="576">
        <f t="shared" si="462"/>
        <v>0</v>
      </c>
      <c r="O1903" s="577">
        <f t="shared" si="453"/>
        <v>0</v>
      </c>
      <c r="P1903" s="578">
        <f t="shared" si="454"/>
        <v>0</v>
      </c>
      <c r="Q1903" s="765"/>
      <c r="R1903" s="723"/>
      <c r="S1903" s="723"/>
      <c r="T1903" s="577">
        <f t="shared" si="451"/>
        <v>0</v>
      </c>
      <c r="U1903" s="578">
        <f t="shared" si="452"/>
        <v>0</v>
      </c>
      <c r="V1903" s="579"/>
      <c r="W1903" s="566" t="str">
        <f>IF(U1900&gt;0,"xx",IF(P1900&gt;0,"xy",""))</f>
        <v/>
      </c>
      <c r="X1903" s="586" t="str">
        <f t="shared" si="465"/>
        <v/>
      </c>
      <c r="Y1903" s="586" t="str">
        <f t="shared" si="466"/>
        <v/>
      </c>
      <c r="Z1903" s="586" t="str">
        <f t="shared" si="467"/>
        <v/>
      </c>
    </row>
    <row r="1904" spans="1:26" ht="12" hidden="1" thickBot="1" x14ac:dyDescent="0.25">
      <c r="A1904" s="567">
        <v>622000</v>
      </c>
      <c r="B1904" s="644">
        <v>622000</v>
      </c>
      <c r="C1904" s="645" t="s">
        <v>206</v>
      </c>
      <c r="D1904" s="422" t="s">
        <v>626</v>
      </c>
      <c r="E1904" s="423"/>
      <c r="F1904" s="424"/>
      <c r="G1904" s="425"/>
      <c r="H1904" s="651">
        <f>SUM(H1905:H1908)</f>
        <v>51.614808000000004</v>
      </c>
      <c r="I1904" s="420">
        <v>225.42</v>
      </c>
      <c r="J1904" s="420">
        <f>IF(ISBLANK(I1904),"",SUM(H1904:I1904))</f>
        <v>277.034808</v>
      </c>
      <c r="K1904" s="421">
        <f t="shared" si="455"/>
        <v>329.15</v>
      </c>
      <c r="L1904" s="647" t="s">
        <v>21</v>
      </c>
      <c r="M1904" s="576"/>
      <c r="N1904" s="576">
        <f t="shared" si="462"/>
        <v>0</v>
      </c>
      <c r="O1904" s="577">
        <f t="shared" si="453"/>
        <v>0</v>
      </c>
      <c r="P1904" s="578">
        <f t="shared" si="454"/>
        <v>0</v>
      </c>
      <c r="Q1904" s="765"/>
      <c r="R1904" s="576">
        <f>M1904</f>
        <v>0</v>
      </c>
      <c r="S1904" s="576">
        <f>N1904</f>
        <v>0</v>
      </c>
      <c r="T1904" s="577">
        <f t="shared" si="451"/>
        <v>0</v>
      </c>
      <c r="U1904" s="578">
        <f t="shared" si="452"/>
        <v>0</v>
      </c>
      <c r="V1904" s="579"/>
      <c r="W1904" s="566"/>
      <c r="X1904" s="586" t="str">
        <f t="shared" si="461"/>
        <v/>
      </c>
      <c r="Y1904" s="586" t="str">
        <f t="shared" si="431"/>
        <v/>
      </c>
      <c r="Z1904" s="586" t="str">
        <f t="shared" si="445"/>
        <v/>
      </c>
    </row>
    <row r="1905" spans="1:26" ht="12" hidden="1" thickBot="1" x14ac:dyDescent="0.25">
      <c r="A1905" s="567" t="s">
        <v>168</v>
      </c>
      <c r="B1905" s="644" t="s">
        <v>168</v>
      </c>
      <c r="C1905" s="645"/>
      <c r="D1905" s="422" t="s">
        <v>212</v>
      </c>
      <c r="E1905" s="423"/>
      <c r="F1905" s="424">
        <v>500</v>
      </c>
      <c r="G1905" s="425">
        <v>4.24E-2</v>
      </c>
      <c r="H1905" s="649">
        <f>IF(F1905&lt;=30,(0.78*F1905+7.82)*G1905,((0.78*30+7.82)+0.78*(F1905-30))*G1905)</f>
        <v>16.867568000000002</v>
      </c>
      <c r="I1905" s="420">
        <v>0</v>
      </c>
      <c r="J1905" s="420"/>
      <c r="K1905" s="421">
        <f t="shared" si="455"/>
        <v>0</v>
      </c>
      <c r="L1905" s="647"/>
      <c r="M1905" s="723"/>
      <c r="N1905" s="576">
        <f t="shared" si="462"/>
        <v>0</v>
      </c>
      <c r="O1905" s="577">
        <f t="shared" si="453"/>
        <v>0</v>
      </c>
      <c r="P1905" s="578">
        <f t="shared" si="454"/>
        <v>0</v>
      </c>
      <c r="Q1905" s="765"/>
      <c r="R1905" s="723"/>
      <c r="S1905" s="723"/>
      <c r="T1905" s="577">
        <f t="shared" si="451"/>
        <v>0</v>
      </c>
      <c r="U1905" s="578">
        <f t="shared" si="452"/>
        <v>0</v>
      </c>
      <c r="V1905" s="579"/>
      <c r="W1905" s="566" t="str">
        <f>IF(U1904&gt;0,"xx",IF(P1904&gt;0,"xy",""))</f>
        <v/>
      </c>
      <c r="X1905" s="586" t="str">
        <f t="shared" si="461"/>
        <v/>
      </c>
      <c r="Y1905" s="586" t="str">
        <f t="shared" si="431"/>
        <v/>
      </c>
      <c r="Z1905" s="586" t="str">
        <f t="shared" si="445"/>
        <v/>
      </c>
    </row>
    <row r="1906" spans="1:26" ht="12" hidden="1" thickBot="1" x14ac:dyDescent="0.25">
      <c r="A1906" s="567" t="s">
        <v>168</v>
      </c>
      <c r="B1906" s="644" t="s">
        <v>168</v>
      </c>
      <c r="C1906" s="645"/>
      <c r="D1906" s="422" t="s">
        <v>248</v>
      </c>
      <c r="E1906" s="423"/>
      <c r="F1906" s="424">
        <v>180</v>
      </c>
      <c r="G1906" s="425">
        <v>0.1507</v>
      </c>
      <c r="H1906" s="663">
        <f t="shared" ref="H1906:H1907" si="473">IF(F1906&lt;=30,(1.07*F1906+2.68)*G1906,((1.07*30+2.68)+1.07*(F1906-30))*G1906)</f>
        <v>29.428695999999999</v>
      </c>
      <c r="I1906" s="420">
        <v>0</v>
      </c>
      <c r="J1906" s="420"/>
      <c r="K1906" s="421">
        <f t="shared" si="455"/>
        <v>0</v>
      </c>
      <c r="L1906" s="647"/>
      <c r="M1906" s="723"/>
      <c r="N1906" s="576">
        <f t="shared" si="462"/>
        <v>0</v>
      </c>
      <c r="O1906" s="577">
        <f t="shared" si="453"/>
        <v>0</v>
      </c>
      <c r="P1906" s="578">
        <f t="shared" si="454"/>
        <v>0</v>
      </c>
      <c r="Q1906" s="765"/>
      <c r="R1906" s="723"/>
      <c r="S1906" s="723"/>
      <c r="T1906" s="577">
        <f t="shared" si="451"/>
        <v>0</v>
      </c>
      <c r="U1906" s="578">
        <f t="shared" si="452"/>
        <v>0</v>
      </c>
      <c r="V1906" s="579"/>
      <c r="W1906" s="566" t="str">
        <f>IF(U1904&gt;0,"xx",IF(P1904&gt;0,"xy",""))</f>
        <v/>
      </c>
      <c r="X1906" s="586" t="str">
        <f t="shared" si="461"/>
        <v/>
      </c>
      <c r="Y1906" s="586" t="str">
        <f t="shared" si="431"/>
        <v/>
      </c>
      <c r="Z1906" s="586" t="str">
        <f t="shared" si="445"/>
        <v/>
      </c>
    </row>
    <row r="1907" spans="1:26" ht="12" hidden="1" thickBot="1" x14ac:dyDescent="0.25">
      <c r="A1907" s="567" t="s">
        <v>168</v>
      </c>
      <c r="B1907" s="644" t="s">
        <v>168</v>
      </c>
      <c r="C1907" s="645"/>
      <c r="D1907" s="422" t="s">
        <v>252</v>
      </c>
      <c r="E1907" s="423"/>
      <c r="F1907" s="424">
        <v>20</v>
      </c>
      <c r="G1907" s="425">
        <v>0.17430000000000001</v>
      </c>
      <c r="H1907" s="663">
        <f t="shared" si="473"/>
        <v>4.1971440000000007</v>
      </c>
      <c r="I1907" s="420">
        <v>0</v>
      </c>
      <c r="J1907" s="420"/>
      <c r="K1907" s="421">
        <f t="shared" si="455"/>
        <v>0</v>
      </c>
      <c r="L1907" s="647"/>
      <c r="M1907" s="723"/>
      <c r="N1907" s="576">
        <f t="shared" si="462"/>
        <v>0</v>
      </c>
      <c r="O1907" s="577">
        <f t="shared" si="453"/>
        <v>0</v>
      </c>
      <c r="P1907" s="578">
        <f t="shared" si="454"/>
        <v>0</v>
      </c>
      <c r="Q1907" s="765"/>
      <c r="R1907" s="723"/>
      <c r="S1907" s="723"/>
      <c r="T1907" s="577">
        <f t="shared" si="451"/>
        <v>0</v>
      </c>
      <c r="U1907" s="578">
        <f t="shared" si="452"/>
        <v>0</v>
      </c>
      <c r="V1907" s="579"/>
      <c r="W1907" s="566" t="str">
        <f>IF(U1904&gt;0,"xx",IF(P1904&gt;0,"xy",""))</f>
        <v/>
      </c>
      <c r="X1907" s="586" t="str">
        <f t="shared" si="461"/>
        <v/>
      </c>
      <c r="Y1907" s="586" t="str">
        <f t="shared" si="431"/>
        <v/>
      </c>
      <c r="Z1907" s="586" t="str">
        <f t="shared" si="445"/>
        <v/>
      </c>
    </row>
    <row r="1908" spans="1:26" ht="12" hidden="1" thickBot="1" x14ac:dyDescent="0.25">
      <c r="A1908" s="567" t="s">
        <v>168</v>
      </c>
      <c r="B1908" s="644" t="s">
        <v>168</v>
      </c>
      <c r="C1908" s="645"/>
      <c r="D1908" s="422" t="s">
        <v>347</v>
      </c>
      <c r="E1908" s="423"/>
      <c r="F1908" s="424">
        <v>20</v>
      </c>
      <c r="G1908" s="425">
        <v>0.06</v>
      </c>
      <c r="H1908" s="663">
        <f>IF(F1908&lt;=30,(0.62*F1908+6.29)*G1908,((0.62*30+6.29)+0.62*(F1908-30))*G1908)</f>
        <v>1.1214</v>
      </c>
      <c r="I1908" s="420">
        <v>0</v>
      </c>
      <c r="J1908" s="420"/>
      <c r="K1908" s="421">
        <f t="shared" si="455"/>
        <v>0</v>
      </c>
      <c r="L1908" s="647"/>
      <c r="M1908" s="723"/>
      <c r="N1908" s="576">
        <f t="shared" si="462"/>
        <v>0</v>
      </c>
      <c r="O1908" s="577">
        <f t="shared" si="453"/>
        <v>0</v>
      </c>
      <c r="P1908" s="578">
        <f t="shared" si="454"/>
        <v>0</v>
      </c>
      <c r="Q1908" s="765"/>
      <c r="R1908" s="723"/>
      <c r="S1908" s="723"/>
      <c r="T1908" s="577">
        <f t="shared" si="451"/>
        <v>0</v>
      </c>
      <c r="U1908" s="578">
        <f t="shared" si="452"/>
        <v>0</v>
      </c>
      <c r="V1908" s="579"/>
      <c r="W1908" s="566" t="str">
        <f>IF(U1904&gt;0,"xx",IF(P1904&gt;0,"xy",""))</f>
        <v/>
      </c>
      <c r="X1908" s="586" t="str">
        <f t="shared" si="461"/>
        <v/>
      </c>
      <c r="Y1908" s="586" t="str">
        <f t="shared" si="431"/>
        <v/>
      </c>
      <c r="Z1908" s="586" t="str">
        <f t="shared" si="445"/>
        <v/>
      </c>
    </row>
    <row r="1909" spans="1:26" ht="12" hidden="1" thickBot="1" x14ac:dyDescent="0.25">
      <c r="A1909" s="567">
        <v>620000</v>
      </c>
      <c r="B1909" s="644" t="s">
        <v>1658</v>
      </c>
      <c r="C1909" s="645" t="s">
        <v>206</v>
      </c>
      <c r="D1909" s="422" t="s">
        <v>627</v>
      </c>
      <c r="E1909" s="423"/>
      <c r="F1909" s="424"/>
      <c r="G1909" s="425"/>
      <c r="H1909" s="651">
        <f>SUM(H1910:H1912)</f>
        <v>75.751080000000002</v>
      </c>
      <c r="I1909" s="420">
        <v>359.52</v>
      </c>
      <c r="J1909" s="420">
        <f>IF(ISBLANK(I1909),"",SUM(H1909:I1909))</f>
        <v>435.27107999999998</v>
      </c>
      <c r="K1909" s="421">
        <f t="shared" si="455"/>
        <v>517.15</v>
      </c>
      <c r="L1909" s="647" t="s">
        <v>21</v>
      </c>
      <c r="M1909" s="576"/>
      <c r="N1909" s="576">
        <f t="shared" si="462"/>
        <v>0</v>
      </c>
      <c r="O1909" s="577">
        <f t="shared" si="453"/>
        <v>0</v>
      </c>
      <c r="P1909" s="578">
        <f t="shared" si="454"/>
        <v>0</v>
      </c>
      <c r="Q1909" s="765"/>
      <c r="R1909" s="576">
        <f>M1909</f>
        <v>0</v>
      </c>
      <c r="S1909" s="576">
        <f>N1909</f>
        <v>0</v>
      </c>
      <c r="T1909" s="577">
        <f t="shared" si="451"/>
        <v>0</v>
      </c>
      <c r="U1909" s="578">
        <f t="shared" si="452"/>
        <v>0</v>
      </c>
      <c r="V1909" s="579"/>
      <c r="W1909" s="566"/>
      <c r="X1909" s="586" t="str">
        <f t="shared" si="461"/>
        <v/>
      </c>
      <c r="Y1909" s="586" t="str">
        <f t="shared" si="431"/>
        <v/>
      </c>
      <c r="Z1909" s="586" t="str">
        <f t="shared" si="445"/>
        <v/>
      </c>
    </row>
    <row r="1910" spans="1:26" ht="12" hidden="1" thickBot="1" x14ac:dyDescent="0.25">
      <c r="A1910" s="567" t="s">
        <v>168</v>
      </c>
      <c r="B1910" s="644" t="s">
        <v>168</v>
      </c>
      <c r="C1910" s="645"/>
      <c r="D1910" s="422" t="s">
        <v>212</v>
      </c>
      <c r="E1910" s="423"/>
      <c r="F1910" s="424">
        <v>500</v>
      </c>
      <c r="G1910" s="425">
        <v>6.3600000000000004E-2</v>
      </c>
      <c r="H1910" s="649">
        <f>IF(F1910&lt;=30,(0.78*F1910+7.82)*G1910,((0.78*30+7.82)+0.78*(F1910-30))*G1910)</f>
        <v>25.301352000000005</v>
      </c>
      <c r="I1910" s="420">
        <v>0</v>
      </c>
      <c r="J1910" s="420"/>
      <c r="K1910" s="421">
        <f t="shared" si="455"/>
        <v>0</v>
      </c>
      <c r="L1910" s="647"/>
      <c r="M1910" s="723"/>
      <c r="N1910" s="576">
        <f t="shared" si="462"/>
        <v>0</v>
      </c>
      <c r="O1910" s="577">
        <f t="shared" si="453"/>
        <v>0</v>
      </c>
      <c r="P1910" s="578">
        <f t="shared" si="454"/>
        <v>0</v>
      </c>
      <c r="Q1910" s="765"/>
      <c r="R1910" s="723"/>
      <c r="S1910" s="723"/>
      <c r="T1910" s="577">
        <f t="shared" si="451"/>
        <v>0</v>
      </c>
      <c r="U1910" s="578">
        <f t="shared" si="452"/>
        <v>0</v>
      </c>
      <c r="V1910" s="579"/>
      <c r="W1910" s="566" t="str">
        <f>IF(U1909&gt;0,"xx",IF(P1909&gt;0,"xy",""))</f>
        <v/>
      </c>
      <c r="X1910" s="586" t="str">
        <f t="shared" si="461"/>
        <v/>
      </c>
      <c r="Y1910" s="586" t="str">
        <f t="shared" si="431"/>
        <v/>
      </c>
      <c r="Z1910" s="586" t="str">
        <f t="shared" si="445"/>
        <v/>
      </c>
    </row>
    <row r="1911" spans="1:26" ht="12" hidden="1" thickBot="1" x14ac:dyDescent="0.25">
      <c r="A1911" s="567" t="s">
        <v>168</v>
      </c>
      <c r="B1911" s="644" t="s">
        <v>168</v>
      </c>
      <c r="C1911" s="645"/>
      <c r="D1911" s="422" t="s">
        <v>248</v>
      </c>
      <c r="E1911" s="423"/>
      <c r="F1911" s="424">
        <v>180</v>
      </c>
      <c r="G1911" s="425">
        <v>0.2261</v>
      </c>
      <c r="H1911" s="663">
        <f t="shared" ref="H1911:H1912" si="474">IF(F1911&lt;=30,(1.07*F1911+2.68)*G1911,((1.07*30+2.68)+1.07*(F1911-30))*G1911)</f>
        <v>44.152808</v>
      </c>
      <c r="I1911" s="420">
        <v>0</v>
      </c>
      <c r="J1911" s="420"/>
      <c r="K1911" s="421">
        <f t="shared" si="455"/>
        <v>0</v>
      </c>
      <c r="L1911" s="647"/>
      <c r="M1911" s="723"/>
      <c r="N1911" s="576">
        <f t="shared" si="462"/>
        <v>0</v>
      </c>
      <c r="O1911" s="577">
        <f t="shared" si="453"/>
        <v>0</v>
      </c>
      <c r="P1911" s="578">
        <f t="shared" si="454"/>
        <v>0</v>
      </c>
      <c r="Q1911" s="765"/>
      <c r="R1911" s="723"/>
      <c r="S1911" s="723"/>
      <c r="T1911" s="577">
        <f t="shared" si="451"/>
        <v>0</v>
      </c>
      <c r="U1911" s="578">
        <f t="shared" si="452"/>
        <v>0</v>
      </c>
      <c r="V1911" s="579"/>
      <c r="W1911" s="566" t="str">
        <f>IF(U1909&gt;0,"xx",IF(P1909&gt;0,"xy",""))</f>
        <v/>
      </c>
      <c r="X1911" s="586" t="str">
        <f t="shared" si="461"/>
        <v/>
      </c>
      <c r="Y1911" s="586" t="str">
        <f t="shared" si="431"/>
        <v/>
      </c>
      <c r="Z1911" s="586" t="str">
        <f t="shared" si="445"/>
        <v/>
      </c>
    </row>
    <row r="1912" spans="1:26" ht="12" hidden="1" thickBot="1" x14ac:dyDescent="0.25">
      <c r="A1912" s="567" t="s">
        <v>168</v>
      </c>
      <c r="B1912" s="644" t="s">
        <v>168</v>
      </c>
      <c r="C1912" s="645"/>
      <c r="D1912" s="422" t="s">
        <v>252</v>
      </c>
      <c r="E1912" s="423"/>
      <c r="F1912" s="424">
        <v>20</v>
      </c>
      <c r="G1912" s="425">
        <v>0.26150000000000001</v>
      </c>
      <c r="H1912" s="663">
        <f t="shared" si="474"/>
        <v>6.296920000000001</v>
      </c>
      <c r="I1912" s="420">
        <v>0</v>
      </c>
      <c r="J1912" s="420"/>
      <c r="K1912" s="421">
        <f t="shared" si="455"/>
        <v>0</v>
      </c>
      <c r="L1912" s="647"/>
      <c r="M1912" s="723"/>
      <c r="N1912" s="576">
        <f t="shared" si="462"/>
        <v>0</v>
      </c>
      <c r="O1912" s="577">
        <f t="shared" si="453"/>
        <v>0</v>
      </c>
      <c r="P1912" s="578">
        <f t="shared" si="454"/>
        <v>0</v>
      </c>
      <c r="Q1912" s="765"/>
      <c r="R1912" s="723"/>
      <c r="S1912" s="723"/>
      <c r="T1912" s="577">
        <f t="shared" si="451"/>
        <v>0</v>
      </c>
      <c r="U1912" s="578">
        <f t="shared" si="452"/>
        <v>0</v>
      </c>
      <c r="V1912" s="579"/>
      <c r="W1912" s="566" t="str">
        <f>IF(U1909&gt;0,"xx",IF(P1909&gt;0,"xy",""))</f>
        <v/>
      </c>
      <c r="X1912" s="586" t="str">
        <f t="shared" si="461"/>
        <v/>
      </c>
      <c r="Y1912" s="586" t="str">
        <f t="shared" si="431"/>
        <v/>
      </c>
      <c r="Z1912" s="586" t="str">
        <f t="shared" si="445"/>
        <v/>
      </c>
    </row>
    <row r="1913" spans="1:26" ht="12" hidden="1" thickBot="1" x14ac:dyDescent="0.25">
      <c r="A1913" s="567">
        <v>620000</v>
      </c>
      <c r="B1913" s="644" t="s">
        <v>1659</v>
      </c>
      <c r="C1913" s="645" t="s">
        <v>206</v>
      </c>
      <c r="D1913" s="422" t="s">
        <v>354</v>
      </c>
      <c r="E1913" s="423"/>
      <c r="F1913" s="424"/>
      <c r="G1913" s="425"/>
      <c r="H1913" s="651">
        <f>SUM(H1914:H1916)</f>
        <v>144.12123599999998</v>
      </c>
      <c r="I1913" s="420">
        <v>609.32000000000005</v>
      </c>
      <c r="J1913" s="420">
        <f>IF(ISBLANK(I1913),"",SUM(H1913:I1913))</f>
        <v>753.441236</v>
      </c>
      <c r="K1913" s="421">
        <f t="shared" si="455"/>
        <v>895.16</v>
      </c>
      <c r="L1913" s="647" t="s">
        <v>21</v>
      </c>
      <c r="M1913" s="576"/>
      <c r="N1913" s="576">
        <f t="shared" si="462"/>
        <v>0</v>
      </c>
      <c r="O1913" s="577">
        <f t="shared" si="453"/>
        <v>0</v>
      </c>
      <c r="P1913" s="578">
        <f t="shared" si="454"/>
        <v>0</v>
      </c>
      <c r="Q1913" s="765"/>
      <c r="R1913" s="576">
        <f>M1913</f>
        <v>0</v>
      </c>
      <c r="S1913" s="576">
        <f>N1913</f>
        <v>0</v>
      </c>
      <c r="T1913" s="577">
        <f t="shared" si="451"/>
        <v>0</v>
      </c>
      <c r="U1913" s="578">
        <f t="shared" si="452"/>
        <v>0</v>
      </c>
      <c r="V1913" s="579"/>
      <c r="W1913" s="566"/>
      <c r="X1913" s="586" t="str">
        <f t="shared" si="461"/>
        <v/>
      </c>
      <c r="Y1913" s="586" t="str">
        <f t="shared" si="431"/>
        <v/>
      </c>
      <c r="Z1913" s="586" t="str">
        <f t="shared" si="445"/>
        <v/>
      </c>
    </row>
    <row r="1914" spans="1:26" ht="12" hidden="1" thickBot="1" x14ac:dyDescent="0.25">
      <c r="A1914" s="567" t="s">
        <v>168</v>
      </c>
      <c r="B1914" s="644" t="s">
        <v>168</v>
      </c>
      <c r="C1914" s="645"/>
      <c r="D1914" s="422" t="s">
        <v>212</v>
      </c>
      <c r="E1914" s="423"/>
      <c r="F1914" s="424">
        <v>500</v>
      </c>
      <c r="G1914" s="425">
        <v>0.1154</v>
      </c>
      <c r="H1914" s="649">
        <f>IF(F1914&lt;=30,(0.78*F1914+7.82)*G1914,((0.78*30+7.82)+0.78*(F1914-30))*G1914)</f>
        <v>45.908428000000008</v>
      </c>
      <c r="I1914" s="420">
        <v>0</v>
      </c>
      <c r="J1914" s="420"/>
      <c r="K1914" s="421">
        <f t="shared" si="455"/>
        <v>0</v>
      </c>
      <c r="L1914" s="647"/>
      <c r="M1914" s="723"/>
      <c r="N1914" s="576">
        <f t="shared" si="462"/>
        <v>0</v>
      </c>
      <c r="O1914" s="577">
        <f t="shared" si="453"/>
        <v>0</v>
      </c>
      <c r="P1914" s="578">
        <f t="shared" si="454"/>
        <v>0</v>
      </c>
      <c r="Q1914" s="765"/>
      <c r="R1914" s="723"/>
      <c r="S1914" s="723"/>
      <c r="T1914" s="577">
        <f t="shared" si="451"/>
        <v>0</v>
      </c>
      <c r="U1914" s="578">
        <f t="shared" si="452"/>
        <v>0</v>
      </c>
      <c r="V1914" s="579"/>
      <c r="W1914" s="566" t="str">
        <f>IF(U1913&gt;0,"xx",IF(P1913&gt;0,"xy",""))</f>
        <v/>
      </c>
      <c r="X1914" s="586" t="str">
        <f t="shared" si="461"/>
        <v/>
      </c>
      <c r="Y1914" s="586" t="str">
        <f t="shared" si="431"/>
        <v/>
      </c>
      <c r="Z1914" s="586" t="str">
        <f t="shared" si="445"/>
        <v/>
      </c>
    </row>
    <row r="1915" spans="1:26" ht="12" hidden="1" thickBot="1" x14ac:dyDescent="0.25">
      <c r="A1915" s="567" t="s">
        <v>168</v>
      </c>
      <c r="B1915" s="644" t="s">
        <v>168</v>
      </c>
      <c r="C1915" s="645"/>
      <c r="D1915" s="422" t="s">
        <v>248</v>
      </c>
      <c r="E1915" s="423"/>
      <c r="F1915" s="424">
        <v>180</v>
      </c>
      <c r="G1915" s="425">
        <v>0.41049999999999998</v>
      </c>
      <c r="H1915" s="663">
        <f t="shared" ref="H1915:H1916" si="475">IF(F1915&lt;=30,(1.07*F1915+2.68)*G1915,((1.07*30+2.68)+1.07*(F1915-30))*G1915)</f>
        <v>80.162439999999989</v>
      </c>
      <c r="I1915" s="420">
        <v>0</v>
      </c>
      <c r="J1915" s="420"/>
      <c r="K1915" s="421">
        <f t="shared" si="455"/>
        <v>0</v>
      </c>
      <c r="L1915" s="647"/>
      <c r="M1915" s="723"/>
      <c r="N1915" s="576">
        <f t="shared" si="462"/>
        <v>0</v>
      </c>
      <c r="O1915" s="577">
        <f t="shared" si="453"/>
        <v>0</v>
      </c>
      <c r="P1915" s="578">
        <f t="shared" si="454"/>
        <v>0</v>
      </c>
      <c r="Q1915" s="765"/>
      <c r="R1915" s="723"/>
      <c r="S1915" s="723"/>
      <c r="T1915" s="577">
        <f t="shared" si="451"/>
        <v>0</v>
      </c>
      <c r="U1915" s="578">
        <f t="shared" si="452"/>
        <v>0</v>
      </c>
      <c r="V1915" s="579"/>
      <c r="W1915" s="566" t="str">
        <f>IF(U1913&gt;0,"xx",IF(P1913&gt;0,"xy",""))</f>
        <v/>
      </c>
      <c r="X1915" s="586" t="str">
        <f t="shared" si="461"/>
        <v/>
      </c>
      <c r="Y1915" s="586" t="str">
        <f t="shared" si="431"/>
        <v/>
      </c>
      <c r="Z1915" s="586" t="str">
        <f t="shared" si="445"/>
        <v/>
      </c>
    </row>
    <row r="1916" spans="1:26" ht="12" hidden="1" thickBot="1" x14ac:dyDescent="0.25">
      <c r="A1916" s="567" t="s">
        <v>168</v>
      </c>
      <c r="B1916" s="644" t="s">
        <v>168</v>
      </c>
      <c r="C1916" s="645"/>
      <c r="D1916" s="422" t="s">
        <v>252</v>
      </c>
      <c r="E1916" s="423"/>
      <c r="F1916" s="424">
        <v>20</v>
      </c>
      <c r="G1916" s="425">
        <v>0.74960000000000004</v>
      </c>
      <c r="H1916" s="663">
        <f t="shared" si="475"/>
        <v>18.050368000000002</v>
      </c>
      <c r="I1916" s="420">
        <v>0</v>
      </c>
      <c r="J1916" s="420"/>
      <c r="K1916" s="421">
        <f t="shared" si="455"/>
        <v>0</v>
      </c>
      <c r="L1916" s="647"/>
      <c r="M1916" s="723"/>
      <c r="N1916" s="576">
        <f t="shared" si="462"/>
        <v>0</v>
      </c>
      <c r="O1916" s="577">
        <f t="shared" si="453"/>
        <v>0</v>
      </c>
      <c r="P1916" s="578">
        <f t="shared" si="454"/>
        <v>0</v>
      </c>
      <c r="Q1916" s="765"/>
      <c r="R1916" s="723"/>
      <c r="S1916" s="723"/>
      <c r="T1916" s="577">
        <f t="shared" si="451"/>
        <v>0</v>
      </c>
      <c r="U1916" s="578">
        <f t="shared" si="452"/>
        <v>0</v>
      </c>
      <c r="V1916" s="579"/>
      <c r="W1916" s="566" t="str">
        <f>IF(U1913&gt;0,"xx",IF(P1913&gt;0,"xy",""))</f>
        <v/>
      </c>
      <c r="X1916" s="586" t="str">
        <f t="shared" si="461"/>
        <v/>
      </c>
      <c r="Y1916" s="586" t="str">
        <f t="shared" si="431"/>
        <v/>
      </c>
      <c r="Z1916" s="586" t="str">
        <f t="shared" si="445"/>
        <v/>
      </c>
    </row>
    <row r="1917" spans="1:26" ht="12" hidden="1" thickBot="1" x14ac:dyDescent="0.25">
      <c r="A1917" s="567">
        <v>620000</v>
      </c>
      <c r="B1917" s="644" t="s">
        <v>1660</v>
      </c>
      <c r="C1917" s="645" t="s">
        <v>206</v>
      </c>
      <c r="D1917" s="422" t="s">
        <v>628</v>
      </c>
      <c r="E1917" s="423"/>
      <c r="F1917" s="424"/>
      <c r="G1917" s="425"/>
      <c r="H1917" s="651">
        <f>SUM(H1918:H1920)</f>
        <v>195.56134000000003</v>
      </c>
      <c r="I1917" s="420">
        <v>757.46</v>
      </c>
      <c r="J1917" s="420">
        <f>IF(ISBLANK(I1917),"",SUM(H1917:I1917))</f>
        <v>953.02134000000001</v>
      </c>
      <c r="K1917" s="421">
        <f t="shared" si="455"/>
        <v>1132.28</v>
      </c>
      <c r="L1917" s="647" t="s">
        <v>21</v>
      </c>
      <c r="M1917" s="576"/>
      <c r="N1917" s="576">
        <f t="shared" si="462"/>
        <v>0</v>
      </c>
      <c r="O1917" s="577">
        <f t="shared" si="453"/>
        <v>0</v>
      </c>
      <c r="P1917" s="578">
        <f t="shared" si="454"/>
        <v>0</v>
      </c>
      <c r="Q1917" s="765"/>
      <c r="R1917" s="576">
        <f>M1917</f>
        <v>0</v>
      </c>
      <c r="S1917" s="576">
        <f>N1917</f>
        <v>0</v>
      </c>
      <c r="T1917" s="577">
        <f t="shared" si="451"/>
        <v>0</v>
      </c>
      <c r="U1917" s="578">
        <f t="shared" si="452"/>
        <v>0</v>
      </c>
      <c r="V1917" s="579"/>
      <c r="W1917" s="566"/>
      <c r="X1917" s="586" t="str">
        <f t="shared" si="461"/>
        <v/>
      </c>
      <c r="Y1917" s="586" t="str">
        <f t="shared" si="431"/>
        <v/>
      </c>
      <c r="Z1917" s="586" t="str">
        <f t="shared" si="445"/>
        <v/>
      </c>
    </row>
    <row r="1918" spans="1:26" ht="12" hidden="1" thickBot="1" x14ac:dyDescent="0.25">
      <c r="A1918" s="567" t="s">
        <v>168</v>
      </c>
      <c r="B1918" s="644" t="s">
        <v>168</v>
      </c>
      <c r="C1918" s="645"/>
      <c r="D1918" s="422" t="s">
        <v>212</v>
      </c>
      <c r="E1918" s="423"/>
      <c r="F1918" s="424">
        <v>500</v>
      </c>
      <c r="G1918" s="425">
        <v>0.15659999999999999</v>
      </c>
      <c r="H1918" s="649">
        <f>IF(F1918&lt;=30,(0.78*F1918+7.82)*G1918,((0.78*30+7.82)+0.78*(F1918-30))*G1918)</f>
        <v>62.298612000000006</v>
      </c>
      <c r="I1918" s="420">
        <v>0</v>
      </c>
      <c r="J1918" s="420"/>
      <c r="K1918" s="421">
        <f t="shared" si="455"/>
        <v>0</v>
      </c>
      <c r="L1918" s="647"/>
      <c r="M1918" s="723"/>
      <c r="N1918" s="576">
        <f t="shared" si="462"/>
        <v>0</v>
      </c>
      <c r="O1918" s="577">
        <f t="shared" si="453"/>
        <v>0</v>
      </c>
      <c r="P1918" s="578">
        <f t="shared" si="454"/>
        <v>0</v>
      </c>
      <c r="Q1918" s="765"/>
      <c r="R1918" s="723"/>
      <c r="S1918" s="723"/>
      <c r="T1918" s="577">
        <f t="shared" si="451"/>
        <v>0</v>
      </c>
      <c r="U1918" s="578">
        <f t="shared" si="452"/>
        <v>0</v>
      </c>
      <c r="V1918" s="579"/>
      <c r="W1918" s="566" t="str">
        <f>IF(U1917&gt;0,"xx",IF(P1917&gt;0,"xy",""))</f>
        <v/>
      </c>
      <c r="X1918" s="586" t="str">
        <f t="shared" si="461"/>
        <v/>
      </c>
      <c r="Y1918" s="586" t="str">
        <f t="shared" si="431"/>
        <v/>
      </c>
      <c r="Z1918" s="586" t="str">
        <f t="shared" si="445"/>
        <v/>
      </c>
    </row>
    <row r="1919" spans="1:26" ht="12" hidden="1" thickBot="1" x14ac:dyDescent="0.25">
      <c r="A1919" s="567" t="s">
        <v>168</v>
      </c>
      <c r="B1919" s="644" t="s">
        <v>168</v>
      </c>
      <c r="C1919" s="645"/>
      <c r="D1919" s="422" t="s">
        <v>248</v>
      </c>
      <c r="E1919" s="423"/>
      <c r="F1919" s="424">
        <v>180</v>
      </c>
      <c r="G1919" s="425">
        <v>0.55700000000000005</v>
      </c>
      <c r="H1919" s="663">
        <f t="shared" ref="H1919:H1920" si="476">IF(F1919&lt;=30,(1.07*F1919+2.68)*G1919,((1.07*30+2.68)+1.07*(F1919-30))*G1919)</f>
        <v>108.77096000000002</v>
      </c>
      <c r="I1919" s="420">
        <v>0</v>
      </c>
      <c r="J1919" s="420"/>
      <c r="K1919" s="421">
        <f t="shared" si="455"/>
        <v>0</v>
      </c>
      <c r="L1919" s="647"/>
      <c r="M1919" s="723"/>
      <c r="N1919" s="576">
        <f t="shared" si="462"/>
        <v>0</v>
      </c>
      <c r="O1919" s="577">
        <f t="shared" si="453"/>
        <v>0</v>
      </c>
      <c r="P1919" s="578">
        <f t="shared" si="454"/>
        <v>0</v>
      </c>
      <c r="Q1919" s="765"/>
      <c r="R1919" s="723"/>
      <c r="S1919" s="723"/>
      <c r="T1919" s="577">
        <f t="shared" si="451"/>
        <v>0</v>
      </c>
      <c r="U1919" s="578">
        <f t="shared" si="452"/>
        <v>0</v>
      </c>
      <c r="V1919" s="579"/>
      <c r="W1919" s="566" t="str">
        <f>IF(U1917&gt;0,"xx",IF(P1917&gt;0,"xy",""))</f>
        <v/>
      </c>
      <c r="X1919" s="586" t="str">
        <f t="shared" si="461"/>
        <v/>
      </c>
      <c r="Y1919" s="586" t="str">
        <f t="shared" si="431"/>
        <v/>
      </c>
      <c r="Z1919" s="586" t="str">
        <f t="shared" si="445"/>
        <v/>
      </c>
    </row>
    <row r="1920" spans="1:26" ht="12" hidden="1" thickBot="1" x14ac:dyDescent="0.25">
      <c r="A1920" s="567" t="s">
        <v>168</v>
      </c>
      <c r="B1920" s="644" t="s">
        <v>168</v>
      </c>
      <c r="C1920" s="645"/>
      <c r="D1920" s="422" t="s">
        <v>252</v>
      </c>
      <c r="E1920" s="423"/>
      <c r="F1920" s="424">
        <v>20</v>
      </c>
      <c r="G1920" s="425">
        <v>1.0170999999999999</v>
      </c>
      <c r="H1920" s="663">
        <f t="shared" si="476"/>
        <v>24.491768</v>
      </c>
      <c r="I1920" s="420">
        <v>0</v>
      </c>
      <c r="J1920" s="420"/>
      <c r="K1920" s="421">
        <f t="shared" ref="K1920:K1983" si="477">IF(ISBLANK(I1920),0,ROUND(J1920*(1+$F$10)*(1+$F$11*E1920),2))</f>
        <v>0</v>
      </c>
      <c r="L1920" s="647"/>
      <c r="M1920" s="723"/>
      <c r="N1920" s="576">
        <f t="shared" si="462"/>
        <v>0</v>
      </c>
      <c r="O1920" s="577">
        <f t="shared" si="453"/>
        <v>0</v>
      </c>
      <c r="P1920" s="578">
        <f t="shared" si="454"/>
        <v>0</v>
      </c>
      <c r="Q1920" s="765"/>
      <c r="R1920" s="723"/>
      <c r="S1920" s="723"/>
      <c r="T1920" s="577">
        <f t="shared" ref="T1920:T1983" si="478">IF(ISBLANK(R1920),0,ROUND(K1920*R1920,2))</f>
        <v>0</v>
      </c>
      <c r="U1920" s="578">
        <f t="shared" ref="U1920:U1983" si="479">IF(ISBLANK(R1920),0,ROUND(R1920*S1920,2))</f>
        <v>0</v>
      </c>
      <c r="V1920" s="579"/>
      <c r="W1920" s="566" t="str">
        <f>IF(U1917&gt;0,"xx",IF(P1917&gt;0,"xy",""))</f>
        <v/>
      </c>
      <c r="X1920" s="586" t="str">
        <f t="shared" si="461"/>
        <v/>
      </c>
      <c r="Y1920" s="586" t="str">
        <f t="shared" si="431"/>
        <v/>
      </c>
      <c r="Z1920" s="586" t="str">
        <f t="shared" si="445"/>
        <v/>
      </c>
    </row>
    <row r="1921" spans="1:26" ht="12" hidden="1" thickBot="1" x14ac:dyDescent="0.25">
      <c r="A1921" s="567">
        <v>620100</v>
      </c>
      <c r="B1921" s="644" t="s">
        <v>1661</v>
      </c>
      <c r="C1921" s="645" t="s">
        <v>206</v>
      </c>
      <c r="D1921" s="422" t="s">
        <v>355</v>
      </c>
      <c r="E1921" s="423"/>
      <c r="F1921" s="424"/>
      <c r="G1921" s="425"/>
      <c r="H1921" s="651">
        <f>SUM(H1922:H1924)</f>
        <v>247.00144400000002</v>
      </c>
      <c r="I1921" s="420">
        <v>905.59</v>
      </c>
      <c r="J1921" s="420">
        <f>IF(ISBLANK(I1921),"",SUM(H1921:I1921))</f>
        <v>1152.5914440000001</v>
      </c>
      <c r="K1921" s="421">
        <f t="shared" si="477"/>
        <v>1369.39</v>
      </c>
      <c r="L1921" s="647" t="s">
        <v>21</v>
      </c>
      <c r="M1921" s="576"/>
      <c r="N1921" s="576">
        <f t="shared" si="462"/>
        <v>0</v>
      </c>
      <c r="O1921" s="577">
        <f t="shared" ref="O1921:O1984" si="480">IF(ISBLANK(M1921),0,ROUND(K1921*M1921,2))</f>
        <v>0</v>
      </c>
      <c r="P1921" s="578">
        <f t="shared" ref="P1921:P1984" si="481">IF(ISBLANK(N1921),0,ROUND(M1921*N1921,2))</f>
        <v>0</v>
      </c>
      <c r="Q1921" s="765"/>
      <c r="R1921" s="576">
        <f>M1921</f>
        <v>0</v>
      </c>
      <c r="S1921" s="576">
        <f>N1921</f>
        <v>0</v>
      </c>
      <c r="T1921" s="577">
        <f t="shared" si="478"/>
        <v>0</v>
      </c>
      <c r="U1921" s="578">
        <f t="shared" si="479"/>
        <v>0</v>
      </c>
      <c r="V1921" s="579"/>
      <c r="W1921" s="566"/>
      <c r="X1921" s="586" t="str">
        <f t="shared" si="461"/>
        <v/>
      </c>
      <c r="Y1921" s="586" t="str">
        <f t="shared" si="431"/>
        <v/>
      </c>
      <c r="Z1921" s="586" t="str">
        <f t="shared" si="445"/>
        <v/>
      </c>
    </row>
    <row r="1922" spans="1:26" ht="12" hidden="1" thickBot="1" x14ac:dyDescent="0.25">
      <c r="A1922" s="567" t="s">
        <v>168</v>
      </c>
      <c r="B1922" s="644" t="s">
        <v>168</v>
      </c>
      <c r="C1922" s="645"/>
      <c r="D1922" s="422" t="s">
        <v>212</v>
      </c>
      <c r="E1922" s="423"/>
      <c r="F1922" s="424">
        <v>500</v>
      </c>
      <c r="G1922" s="425">
        <v>0.1978</v>
      </c>
      <c r="H1922" s="649">
        <f>IF(F1922&lt;=30,(0.78*F1922+7.82)*G1922,((0.78*30+7.82)+0.78*(F1922-30))*G1922)</f>
        <v>78.688796000000011</v>
      </c>
      <c r="I1922" s="420">
        <v>0</v>
      </c>
      <c r="J1922" s="420"/>
      <c r="K1922" s="421">
        <f t="shared" si="477"/>
        <v>0</v>
      </c>
      <c r="L1922" s="647"/>
      <c r="M1922" s="723"/>
      <c r="N1922" s="576">
        <f t="shared" si="462"/>
        <v>0</v>
      </c>
      <c r="O1922" s="577">
        <f t="shared" si="480"/>
        <v>0</v>
      </c>
      <c r="P1922" s="578">
        <f t="shared" si="481"/>
        <v>0</v>
      </c>
      <c r="Q1922" s="765"/>
      <c r="R1922" s="723"/>
      <c r="S1922" s="723"/>
      <c r="T1922" s="577">
        <f t="shared" si="478"/>
        <v>0</v>
      </c>
      <c r="U1922" s="578">
        <f t="shared" si="479"/>
        <v>0</v>
      </c>
      <c r="V1922" s="579"/>
      <c r="W1922" s="566" t="str">
        <f>IF(U1921&gt;0,"xx",IF(P1921&gt;0,"xy",""))</f>
        <v/>
      </c>
      <c r="X1922" s="586" t="str">
        <f t="shared" si="461"/>
        <v/>
      </c>
      <c r="Y1922" s="586" t="str">
        <f t="shared" si="431"/>
        <v/>
      </c>
      <c r="Z1922" s="586" t="str">
        <f t="shared" si="445"/>
        <v/>
      </c>
    </row>
    <row r="1923" spans="1:26" ht="12" hidden="1" thickBot="1" x14ac:dyDescent="0.25">
      <c r="A1923" s="567" t="s">
        <v>168</v>
      </c>
      <c r="B1923" s="644" t="s">
        <v>168</v>
      </c>
      <c r="C1923" s="645"/>
      <c r="D1923" s="422" t="s">
        <v>248</v>
      </c>
      <c r="E1923" s="423"/>
      <c r="F1923" s="424">
        <v>180</v>
      </c>
      <c r="G1923" s="425">
        <v>0.70350000000000001</v>
      </c>
      <c r="H1923" s="663">
        <f t="shared" ref="H1923:H1924" si="482">IF(F1923&lt;=30,(1.07*F1923+2.68)*G1923,((1.07*30+2.68)+1.07*(F1923-30))*G1923)</f>
        <v>137.37948</v>
      </c>
      <c r="I1923" s="420">
        <v>0</v>
      </c>
      <c r="J1923" s="420"/>
      <c r="K1923" s="421">
        <f t="shared" si="477"/>
        <v>0</v>
      </c>
      <c r="L1923" s="647"/>
      <c r="M1923" s="723"/>
      <c r="N1923" s="576">
        <f t="shared" si="462"/>
        <v>0</v>
      </c>
      <c r="O1923" s="577">
        <f t="shared" si="480"/>
        <v>0</v>
      </c>
      <c r="P1923" s="578">
        <f t="shared" si="481"/>
        <v>0</v>
      </c>
      <c r="Q1923" s="765"/>
      <c r="R1923" s="723"/>
      <c r="S1923" s="723"/>
      <c r="T1923" s="577">
        <f t="shared" si="478"/>
        <v>0</v>
      </c>
      <c r="U1923" s="578">
        <f t="shared" si="479"/>
        <v>0</v>
      </c>
      <c r="V1923" s="579"/>
      <c r="W1923" s="566" t="str">
        <f>IF(U1921&gt;0,"xx",IF(P1921&gt;0,"xy",""))</f>
        <v/>
      </c>
      <c r="X1923" s="586" t="str">
        <f t="shared" si="461"/>
        <v/>
      </c>
      <c r="Y1923" s="586" t="str">
        <f t="shared" si="431"/>
        <v/>
      </c>
      <c r="Z1923" s="586" t="str">
        <f t="shared" si="445"/>
        <v/>
      </c>
    </row>
    <row r="1924" spans="1:26" ht="12" hidden="1" thickBot="1" x14ac:dyDescent="0.25">
      <c r="A1924" s="567" t="s">
        <v>168</v>
      </c>
      <c r="B1924" s="644" t="s">
        <v>168</v>
      </c>
      <c r="C1924" s="645"/>
      <c r="D1924" s="422" t="s">
        <v>252</v>
      </c>
      <c r="E1924" s="423"/>
      <c r="F1924" s="424">
        <v>20</v>
      </c>
      <c r="G1924" s="425">
        <v>1.2846</v>
      </c>
      <c r="H1924" s="663">
        <f t="shared" si="482"/>
        <v>30.933168000000002</v>
      </c>
      <c r="I1924" s="420">
        <v>0</v>
      </c>
      <c r="J1924" s="420"/>
      <c r="K1924" s="421">
        <f t="shared" si="477"/>
        <v>0</v>
      </c>
      <c r="L1924" s="647"/>
      <c r="M1924" s="723"/>
      <c r="N1924" s="576">
        <f t="shared" si="462"/>
        <v>0</v>
      </c>
      <c r="O1924" s="577">
        <f t="shared" si="480"/>
        <v>0</v>
      </c>
      <c r="P1924" s="578">
        <f t="shared" si="481"/>
        <v>0</v>
      </c>
      <c r="Q1924" s="765"/>
      <c r="R1924" s="723"/>
      <c r="S1924" s="723"/>
      <c r="T1924" s="577">
        <f t="shared" si="478"/>
        <v>0</v>
      </c>
      <c r="U1924" s="578">
        <f t="shared" si="479"/>
        <v>0</v>
      </c>
      <c r="V1924" s="579"/>
      <c r="W1924" s="566" t="str">
        <f>IF(U1921&gt;0,"xx",IF(P1921&gt;0,"xy",""))</f>
        <v/>
      </c>
      <c r="X1924" s="586" t="str">
        <f t="shared" si="461"/>
        <v/>
      </c>
      <c r="Y1924" s="586" t="str">
        <f t="shared" si="431"/>
        <v/>
      </c>
      <c r="Z1924" s="586" t="str">
        <f t="shared" si="445"/>
        <v/>
      </c>
    </row>
    <row r="1925" spans="1:26" ht="12" hidden="1" thickBot="1" x14ac:dyDescent="0.25">
      <c r="A1925" s="567">
        <v>620100</v>
      </c>
      <c r="B1925" s="644" t="s">
        <v>1662</v>
      </c>
      <c r="C1925" s="645" t="s">
        <v>206</v>
      </c>
      <c r="D1925" s="422" t="s">
        <v>629</v>
      </c>
      <c r="E1925" s="423"/>
      <c r="F1925" s="424"/>
      <c r="G1925" s="425"/>
      <c r="H1925" s="651">
        <f>SUM(H1926:H1928)</f>
        <v>278.53616000000005</v>
      </c>
      <c r="I1925" s="420">
        <v>1080.42</v>
      </c>
      <c r="J1925" s="420">
        <f>IF(ISBLANK(I1925),"",SUM(H1925:I1925))</f>
        <v>1358.9561600000002</v>
      </c>
      <c r="K1925" s="421">
        <f t="shared" si="477"/>
        <v>1614.58</v>
      </c>
      <c r="L1925" s="647" t="s">
        <v>21</v>
      </c>
      <c r="M1925" s="576"/>
      <c r="N1925" s="576">
        <f t="shared" si="462"/>
        <v>0</v>
      </c>
      <c r="O1925" s="577">
        <f t="shared" si="480"/>
        <v>0</v>
      </c>
      <c r="P1925" s="578">
        <f t="shared" si="481"/>
        <v>0</v>
      </c>
      <c r="Q1925" s="765"/>
      <c r="R1925" s="576">
        <f>M1925</f>
        <v>0</v>
      </c>
      <c r="S1925" s="576">
        <f>N1925</f>
        <v>0</v>
      </c>
      <c r="T1925" s="577">
        <f t="shared" si="478"/>
        <v>0</v>
      </c>
      <c r="U1925" s="578">
        <f t="shared" si="479"/>
        <v>0</v>
      </c>
      <c r="V1925" s="579"/>
      <c r="W1925" s="566"/>
      <c r="X1925" s="586" t="str">
        <f t="shared" si="461"/>
        <v/>
      </c>
      <c r="Y1925" s="586" t="str">
        <f t="shared" si="431"/>
        <v/>
      </c>
      <c r="Z1925" s="586" t="str">
        <f t="shared" si="445"/>
        <v/>
      </c>
    </row>
    <row r="1926" spans="1:26" ht="12" hidden="1" thickBot="1" x14ac:dyDescent="0.25">
      <c r="A1926" s="567" t="s">
        <v>168</v>
      </c>
      <c r="B1926" s="644" t="s">
        <v>168</v>
      </c>
      <c r="C1926" s="645"/>
      <c r="D1926" s="422" t="s">
        <v>212</v>
      </c>
      <c r="E1926" s="423"/>
      <c r="F1926" s="424">
        <v>500</v>
      </c>
      <c r="G1926" s="425">
        <v>0.2424</v>
      </c>
      <c r="H1926" s="649">
        <f>IF(F1926&lt;=30,(0.78*F1926+7.82)*G1926,((0.78*30+7.82)+0.78*(F1926-30))*G1926)</f>
        <v>96.431568000000013</v>
      </c>
      <c r="I1926" s="420">
        <v>0</v>
      </c>
      <c r="J1926" s="420"/>
      <c r="K1926" s="421">
        <f t="shared" si="477"/>
        <v>0</v>
      </c>
      <c r="L1926" s="647"/>
      <c r="M1926" s="723"/>
      <c r="N1926" s="576">
        <f t="shared" si="462"/>
        <v>0</v>
      </c>
      <c r="O1926" s="577">
        <f t="shared" si="480"/>
        <v>0</v>
      </c>
      <c r="P1926" s="578">
        <f t="shared" si="481"/>
        <v>0</v>
      </c>
      <c r="Q1926" s="765"/>
      <c r="R1926" s="723"/>
      <c r="S1926" s="723"/>
      <c r="T1926" s="577">
        <f t="shared" si="478"/>
        <v>0</v>
      </c>
      <c r="U1926" s="578">
        <f t="shared" si="479"/>
        <v>0</v>
      </c>
      <c r="V1926" s="579"/>
      <c r="W1926" s="566" t="str">
        <f>IF(U1925&gt;0,"xx",IF(P1925&gt;0,"xy",""))</f>
        <v/>
      </c>
      <c r="X1926" s="586" t="str">
        <f t="shared" si="461"/>
        <v/>
      </c>
      <c r="Y1926" s="586" t="str">
        <f t="shared" si="431"/>
        <v/>
      </c>
      <c r="Z1926" s="586" t="str">
        <f t="shared" si="445"/>
        <v/>
      </c>
    </row>
    <row r="1927" spans="1:26" ht="12" hidden="1" thickBot="1" x14ac:dyDescent="0.25">
      <c r="A1927" s="567" t="s">
        <v>168</v>
      </c>
      <c r="B1927" s="644" t="s">
        <v>168</v>
      </c>
      <c r="C1927" s="645"/>
      <c r="D1927" s="422" t="s">
        <v>248</v>
      </c>
      <c r="E1927" s="423"/>
      <c r="F1927" s="424">
        <v>180</v>
      </c>
      <c r="G1927" s="425">
        <v>0.86180000000000001</v>
      </c>
      <c r="H1927" s="663">
        <f t="shared" ref="H1927:H1928" si="483">IF(F1927&lt;=30,(1.07*F1927+2.68)*G1927,((1.07*30+2.68)+1.07*(F1927-30))*G1927)</f>
        <v>168.292304</v>
      </c>
      <c r="I1927" s="420">
        <v>0</v>
      </c>
      <c r="J1927" s="420"/>
      <c r="K1927" s="421">
        <f t="shared" si="477"/>
        <v>0</v>
      </c>
      <c r="L1927" s="647"/>
      <c r="M1927" s="723"/>
      <c r="N1927" s="576">
        <f t="shared" si="462"/>
        <v>0</v>
      </c>
      <c r="O1927" s="577">
        <f t="shared" si="480"/>
        <v>0</v>
      </c>
      <c r="P1927" s="578">
        <f t="shared" si="481"/>
        <v>0</v>
      </c>
      <c r="Q1927" s="765"/>
      <c r="R1927" s="723"/>
      <c r="S1927" s="723"/>
      <c r="T1927" s="577">
        <f t="shared" si="478"/>
        <v>0</v>
      </c>
      <c r="U1927" s="578">
        <f t="shared" si="479"/>
        <v>0</v>
      </c>
      <c r="V1927" s="579"/>
      <c r="W1927" s="566" t="str">
        <f>IF(U1925&gt;0,"xx",IF(P1925&gt;0,"xy",""))</f>
        <v/>
      </c>
      <c r="X1927" s="586" t="str">
        <f t="shared" si="461"/>
        <v/>
      </c>
      <c r="Y1927" s="586" t="str">
        <f t="shared" si="431"/>
        <v/>
      </c>
      <c r="Z1927" s="586" t="str">
        <f t="shared" si="445"/>
        <v/>
      </c>
    </row>
    <row r="1928" spans="1:26" ht="12" hidden="1" thickBot="1" x14ac:dyDescent="0.25">
      <c r="A1928" s="567" t="s">
        <v>168</v>
      </c>
      <c r="B1928" s="644" t="s">
        <v>168</v>
      </c>
      <c r="C1928" s="645"/>
      <c r="D1928" s="422" t="s">
        <v>252</v>
      </c>
      <c r="E1928" s="423"/>
      <c r="F1928" s="424">
        <v>20</v>
      </c>
      <c r="G1928" s="425">
        <v>0.5736</v>
      </c>
      <c r="H1928" s="663">
        <f t="shared" si="483"/>
        <v>13.812288000000001</v>
      </c>
      <c r="I1928" s="420">
        <v>0</v>
      </c>
      <c r="J1928" s="420"/>
      <c r="K1928" s="421">
        <f t="shared" si="477"/>
        <v>0</v>
      </c>
      <c r="L1928" s="647"/>
      <c r="M1928" s="723"/>
      <c r="N1928" s="576">
        <f t="shared" si="462"/>
        <v>0</v>
      </c>
      <c r="O1928" s="577">
        <f t="shared" si="480"/>
        <v>0</v>
      </c>
      <c r="P1928" s="578">
        <f t="shared" si="481"/>
        <v>0</v>
      </c>
      <c r="Q1928" s="765"/>
      <c r="R1928" s="723"/>
      <c r="S1928" s="723"/>
      <c r="T1928" s="577">
        <f t="shared" si="478"/>
        <v>0</v>
      </c>
      <c r="U1928" s="578">
        <f t="shared" si="479"/>
        <v>0</v>
      </c>
      <c r="V1928" s="579"/>
      <c r="W1928" s="566" t="str">
        <f>IF(U1925&gt;0,"xx",IF(P1925&gt;0,"xy",""))</f>
        <v/>
      </c>
      <c r="X1928" s="586" t="str">
        <f t="shared" si="461"/>
        <v/>
      </c>
      <c r="Y1928" s="586" t="str">
        <f t="shared" si="431"/>
        <v/>
      </c>
      <c r="Z1928" s="586" t="str">
        <f t="shared" si="445"/>
        <v/>
      </c>
    </row>
    <row r="1929" spans="1:26" ht="12" hidden="1" thickBot="1" x14ac:dyDescent="0.25">
      <c r="A1929" s="567">
        <v>620200</v>
      </c>
      <c r="B1929" s="644" t="s">
        <v>1665</v>
      </c>
      <c r="C1929" s="645" t="s">
        <v>206</v>
      </c>
      <c r="D1929" s="422" t="s">
        <v>356</v>
      </c>
      <c r="E1929" s="423"/>
      <c r="F1929" s="424"/>
      <c r="G1929" s="425"/>
      <c r="H1929" s="651">
        <f>SUM(H1930:H1932)</f>
        <v>358.16915799999998</v>
      </c>
      <c r="I1929" s="420">
        <v>1255.25</v>
      </c>
      <c r="J1929" s="420">
        <f>IF(ISBLANK(I1929),"",SUM(H1929:I1929))</f>
        <v>1613.4191579999999</v>
      </c>
      <c r="K1929" s="421">
        <f t="shared" si="477"/>
        <v>1916.9</v>
      </c>
      <c r="L1929" s="647" t="s">
        <v>21</v>
      </c>
      <c r="M1929" s="576"/>
      <c r="N1929" s="576">
        <f t="shared" si="462"/>
        <v>0</v>
      </c>
      <c r="O1929" s="577">
        <f t="shared" si="480"/>
        <v>0</v>
      </c>
      <c r="P1929" s="578">
        <f t="shared" si="481"/>
        <v>0</v>
      </c>
      <c r="Q1929" s="765"/>
      <c r="R1929" s="576">
        <f>M1929</f>
        <v>0</v>
      </c>
      <c r="S1929" s="576">
        <f>N1929</f>
        <v>0</v>
      </c>
      <c r="T1929" s="577">
        <f t="shared" si="478"/>
        <v>0</v>
      </c>
      <c r="U1929" s="578">
        <f t="shared" si="479"/>
        <v>0</v>
      </c>
      <c r="V1929" s="579"/>
      <c r="W1929" s="566"/>
      <c r="X1929" s="586" t="str">
        <f t="shared" si="461"/>
        <v/>
      </c>
      <c r="Y1929" s="586" t="str">
        <f t="shared" si="431"/>
        <v/>
      </c>
      <c r="Z1929" s="586" t="str">
        <f t="shared" si="445"/>
        <v/>
      </c>
    </row>
    <row r="1930" spans="1:26" ht="12" hidden="1" thickBot="1" x14ac:dyDescent="0.25">
      <c r="A1930" s="567" t="s">
        <v>168</v>
      </c>
      <c r="B1930" s="644" t="s">
        <v>168</v>
      </c>
      <c r="C1930" s="645"/>
      <c r="D1930" s="422" t="s">
        <v>212</v>
      </c>
      <c r="E1930" s="423"/>
      <c r="F1930" s="424">
        <v>500</v>
      </c>
      <c r="G1930" s="425">
        <v>0.28689999999999999</v>
      </c>
      <c r="H1930" s="649">
        <f>IF(F1930&lt;=30,(0.78*F1930+7.82)*G1930,((0.78*30+7.82)+0.78*(F1930-30))*G1930)</f>
        <v>114.13455800000001</v>
      </c>
      <c r="I1930" s="420">
        <v>0</v>
      </c>
      <c r="J1930" s="420"/>
      <c r="K1930" s="421">
        <f t="shared" si="477"/>
        <v>0</v>
      </c>
      <c r="L1930" s="647"/>
      <c r="M1930" s="723"/>
      <c r="N1930" s="576">
        <f t="shared" si="462"/>
        <v>0</v>
      </c>
      <c r="O1930" s="577">
        <f t="shared" si="480"/>
        <v>0</v>
      </c>
      <c r="P1930" s="578">
        <f t="shared" si="481"/>
        <v>0</v>
      </c>
      <c r="Q1930" s="765"/>
      <c r="R1930" s="723"/>
      <c r="S1930" s="723"/>
      <c r="T1930" s="577">
        <f t="shared" si="478"/>
        <v>0</v>
      </c>
      <c r="U1930" s="578">
        <f t="shared" si="479"/>
        <v>0</v>
      </c>
      <c r="V1930" s="579"/>
      <c r="W1930" s="566" t="str">
        <f>IF(U1929&gt;0,"xx",IF(P1929&gt;0,"xy",""))</f>
        <v/>
      </c>
      <c r="X1930" s="586" t="str">
        <f t="shared" si="461"/>
        <v/>
      </c>
      <c r="Y1930" s="586" t="str">
        <f t="shared" si="431"/>
        <v/>
      </c>
      <c r="Z1930" s="586" t="str">
        <f t="shared" si="445"/>
        <v/>
      </c>
    </row>
    <row r="1931" spans="1:26" ht="12" hidden="1" thickBot="1" x14ac:dyDescent="0.25">
      <c r="A1931" s="567" t="s">
        <v>168</v>
      </c>
      <c r="B1931" s="644" t="s">
        <v>168</v>
      </c>
      <c r="C1931" s="645"/>
      <c r="D1931" s="422" t="s">
        <v>248</v>
      </c>
      <c r="E1931" s="423"/>
      <c r="F1931" s="424">
        <v>180</v>
      </c>
      <c r="G1931" s="425">
        <v>1.02</v>
      </c>
      <c r="H1931" s="663">
        <f t="shared" ref="H1931:H1932" si="484">IF(F1931&lt;=30,(1.07*F1931+2.68)*G1931,((1.07*30+2.68)+1.07*(F1931-30))*G1931)</f>
        <v>199.18559999999999</v>
      </c>
      <c r="I1931" s="420">
        <v>0</v>
      </c>
      <c r="J1931" s="420"/>
      <c r="K1931" s="421">
        <f t="shared" si="477"/>
        <v>0</v>
      </c>
      <c r="L1931" s="647"/>
      <c r="M1931" s="723"/>
      <c r="N1931" s="576">
        <f t="shared" si="462"/>
        <v>0</v>
      </c>
      <c r="O1931" s="577">
        <f t="shared" si="480"/>
        <v>0</v>
      </c>
      <c r="P1931" s="578">
        <f t="shared" si="481"/>
        <v>0</v>
      </c>
      <c r="Q1931" s="765"/>
      <c r="R1931" s="723"/>
      <c r="S1931" s="723"/>
      <c r="T1931" s="577">
        <f t="shared" si="478"/>
        <v>0</v>
      </c>
      <c r="U1931" s="578">
        <f t="shared" si="479"/>
        <v>0</v>
      </c>
      <c r="V1931" s="579"/>
      <c r="W1931" s="566" t="str">
        <f>IF(U1929&gt;0,"xx",IF(P1929&gt;0,"xy",""))</f>
        <v/>
      </c>
      <c r="X1931" s="586" t="str">
        <f t="shared" si="461"/>
        <v/>
      </c>
      <c r="Y1931" s="586" t="str">
        <f t="shared" si="431"/>
        <v/>
      </c>
      <c r="Z1931" s="586" t="str">
        <f t="shared" si="445"/>
        <v/>
      </c>
    </row>
    <row r="1932" spans="1:26" ht="12" hidden="1" thickBot="1" x14ac:dyDescent="0.25">
      <c r="A1932" s="567" t="s">
        <v>168</v>
      </c>
      <c r="B1932" s="644" t="s">
        <v>168</v>
      </c>
      <c r="C1932" s="645"/>
      <c r="D1932" s="422" t="s">
        <v>252</v>
      </c>
      <c r="E1932" s="423"/>
      <c r="F1932" s="424">
        <v>20</v>
      </c>
      <c r="G1932" s="425">
        <v>1.8625</v>
      </c>
      <c r="H1932" s="663">
        <f t="shared" si="484"/>
        <v>44.849000000000004</v>
      </c>
      <c r="I1932" s="420">
        <v>0</v>
      </c>
      <c r="J1932" s="420"/>
      <c r="K1932" s="421">
        <f t="shared" si="477"/>
        <v>0</v>
      </c>
      <c r="L1932" s="647"/>
      <c r="M1932" s="723"/>
      <c r="N1932" s="576">
        <f t="shared" si="462"/>
        <v>0</v>
      </c>
      <c r="O1932" s="577">
        <f t="shared" si="480"/>
        <v>0</v>
      </c>
      <c r="P1932" s="578">
        <f t="shared" si="481"/>
        <v>0</v>
      </c>
      <c r="Q1932" s="765"/>
      <c r="R1932" s="723"/>
      <c r="S1932" s="723"/>
      <c r="T1932" s="577">
        <f t="shared" si="478"/>
        <v>0</v>
      </c>
      <c r="U1932" s="578">
        <f t="shared" si="479"/>
        <v>0</v>
      </c>
      <c r="V1932" s="579"/>
      <c r="W1932" s="566" t="str">
        <f>IF(U1929&gt;0,"xx",IF(P1929&gt;0,"xy",""))</f>
        <v/>
      </c>
      <c r="X1932" s="586" t="str">
        <f t="shared" si="461"/>
        <v/>
      </c>
      <c r="Y1932" s="586" t="str">
        <f t="shared" si="431"/>
        <v/>
      </c>
      <c r="Z1932" s="586" t="str">
        <f t="shared" si="445"/>
        <v/>
      </c>
    </row>
    <row r="1933" spans="1:26" ht="12" hidden="1" thickBot="1" x14ac:dyDescent="0.25">
      <c r="A1933" s="567">
        <v>620300</v>
      </c>
      <c r="B1933" s="644">
        <v>620300</v>
      </c>
      <c r="C1933" s="645" t="s">
        <v>206</v>
      </c>
      <c r="D1933" s="422" t="s">
        <v>357</v>
      </c>
      <c r="E1933" s="423"/>
      <c r="F1933" s="424"/>
      <c r="G1933" s="425"/>
      <c r="H1933" s="651">
        <f>SUM(H1934:H1936)</f>
        <v>537.50214200000005</v>
      </c>
      <c r="I1933" s="420">
        <v>1787.05</v>
      </c>
      <c r="J1933" s="420">
        <f>IF(ISBLANK(I1933),"",SUM(H1933:I1933))</f>
        <v>2324.552142</v>
      </c>
      <c r="K1933" s="421">
        <f t="shared" si="477"/>
        <v>2761.8</v>
      </c>
      <c r="L1933" s="647" t="s">
        <v>21</v>
      </c>
      <c r="M1933" s="576"/>
      <c r="N1933" s="576">
        <f t="shared" si="462"/>
        <v>0</v>
      </c>
      <c r="O1933" s="577">
        <f t="shared" si="480"/>
        <v>0</v>
      </c>
      <c r="P1933" s="578">
        <f t="shared" si="481"/>
        <v>0</v>
      </c>
      <c r="Q1933" s="765"/>
      <c r="R1933" s="576">
        <f>M1933</f>
        <v>0</v>
      </c>
      <c r="S1933" s="576">
        <f>N1933</f>
        <v>0</v>
      </c>
      <c r="T1933" s="577">
        <f t="shared" si="478"/>
        <v>0</v>
      </c>
      <c r="U1933" s="578">
        <f t="shared" si="479"/>
        <v>0</v>
      </c>
      <c r="V1933" s="579"/>
      <c r="W1933" s="566"/>
      <c r="X1933" s="586" t="str">
        <f t="shared" si="461"/>
        <v/>
      </c>
      <c r="Y1933" s="586" t="str">
        <f t="shared" si="431"/>
        <v/>
      </c>
      <c r="Z1933" s="586" t="str">
        <f t="shared" si="445"/>
        <v/>
      </c>
    </row>
    <row r="1934" spans="1:26" ht="12" hidden="1" thickBot="1" x14ac:dyDescent="0.25">
      <c r="A1934" s="567" t="s">
        <v>168</v>
      </c>
      <c r="B1934" s="644" t="s">
        <v>168</v>
      </c>
      <c r="C1934" s="645"/>
      <c r="D1934" s="422" t="s">
        <v>212</v>
      </c>
      <c r="E1934" s="423"/>
      <c r="F1934" s="424">
        <v>500</v>
      </c>
      <c r="G1934" s="425">
        <v>0.43049999999999999</v>
      </c>
      <c r="H1934" s="649">
        <f>IF(F1934&lt;=30,(0.78*F1934+7.82)*G1934,((0.78*30+7.82)+0.78*(F1934-30))*G1934)</f>
        <v>171.26151000000002</v>
      </c>
      <c r="I1934" s="420">
        <v>0</v>
      </c>
      <c r="J1934" s="420"/>
      <c r="K1934" s="421">
        <f t="shared" si="477"/>
        <v>0</v>
      </c>
      <c r="L1934" s="647"/>
      <c r="M1934" s="723"/>
      <c r="N1934" s="576">
        <f t="shared" si="462"/>
        <v>0</v>
      </c>
      <c r="O1934" s="577">
        <f t="shared" si="480"/>
        <v>0</v>
      </c>
      <c r="P1934" s="578">
        <f t="shared" si="481"/>
        <v>0</v>
      </c>
      <c r="Q1934" s="765"/>
      <c r="R1934" s="723"/>
      <c r="S1934" s="723"/>
      <c r="T1934" s="577">
        <f t="shared" si="478"/>
        <v>0</v>
      </c>
      <c r="U1934" s="578">
        <f t="shared" si="479"/>
        <v>0</v>
      </c>
      <c r="V1934" s="579"/>
      <c r="W1934" s="566" t="str">
        <f>IF(U1933&gt;0,"xx",IF(P1933&gt;0,"xy",""))</f>
        <v/>
      </c>
      <c r="X1934" s="586" t="str">
        <f t="shared" si="461"/>
        <v/>
      </c>
      <c r="Y1934" s="586" t="str">
        <f t="shared" si="431"/>
        <v/>
      </c>
      <c r="Z1934" s="586" t="str">
        <f t="shared" si="445"/>
        <v/>
      </c>
    </row>
    <row r="1935" spans="1:26" ht="12" hidden="1" thickBot="1" x14ac:dyDescent="0.25">
      <c r="A1935" s="567" t="s">
        <v>168</v>
      </c>
      <c r="B1935" s="644" t="s">
        <v>168</v>
      </c>
      <c r="C1935" s="645"/>
      <c r="D1935" s="422" t="s">
        <v>248</v>
      </c>
      <c r="E1935" s="423"/>
      <c r="F1935" s="424">
        <v>180</v>
      </c>
      <c r="G1935" s="425">
        <v>1.5307999999999999</v>
      </c>
      <c r="H1935" s="663">
        <f t="shared" ref="H1935:H1936" si="485">IF(F1935&lt;=30,(1.07*F1935+2.68)*G1935,((1.07*30+2.68)+1.07*(F1935-30))*G1935)</f>
        <v>298.93462399999999</v>
      </c>
      <c r="I1935" s="420">
        <v>0</v>
      </c>
      <c r="J1935" s="420"/>
      <c r="K1935" s="421">
        <f t="shared" si="477"/>
        <v>0</v>
      </c>
      <c r="L1935" s="647"/>
      <c r="M1935" s="723"/>
      <c r="N1935" s="576">
        <f t="shared" si="462"/>
        <v>0</v>
      </c>
      <c r="O1935" s="577">
        <f t="shared" si="480"/>
        <v>0</v>
      </c>
      <c r="P1935" s="578">
        <f t="shared" si="481"/>
        <v>0</v>
      </c>
      <c r="Q1935" s="765"/>
      <c r="R1935" s="723"/>
      <c r="S1935" s="723"/>
      <c r="T1935" s="577">
        <f t="shared" si="478"/>
        <v>0</v>
      </c>
      <c r="U1935" s="578">
        <f t="shared" si="479"/>
        <v>0</v>
      </c>
      <c r="V1935" s="579"/>
      <c r="W1935" s="566" t="str">
        <f>IF(U1933&gt;0,"xx",IF(P1933&gt;0,"xy",""))</f>
        <v/>
      </c>
      <c r="X1935" s="586" t="str">
        <f t="shared" si="461"/>
        <v/>
      </c>
      <c r="Y1935" s="586" t="str">
        <f t="shared" si="431"/>
        <v/>
      </c>
      <c r="Z1935" s="586" t="str">
        <f t="shared" si="445"/>
        <v/>
      </c>
    </row>
    <row r="1936" spans="1:26" ht="12" hidden="1" thickBot="1" x14ac:dyDescent="0.25">
      <c r="A1936" s="567" t="s">
        <v>168</v>
      </c>
      <c r="B1936" s="644" t="s">
        <v>168</v>
      </c>
      <c r="C1936" s="645"/>
      <c r="D1936" s="422" t="s">
        <v>252</v>
      </c>
      <c r="E1936" s="423"/>
      <c r="F1936" s="424">
        <v>20</v>
      </c>
      <c r="G1936" s="425">
        <v>2.7951000000000001</v>
      </c>
      <c r="H1936" s="663">
        <f t="shared" si="485"/>
        <v>67.306008000000006</v>
      </c>
      <c r="I1936" s="420">
        <v>0</v>
      </c>
      <c r="J1936" s="420"/>
      <c r="K1936" s="421">
        <f t="shared" si="477"/>
        <v>0</v>
      </c>
      <c r="L1936" s="647"/>
      <c r="M1936" s="723"/>
      <c r="N1936" s="576">
        <f t="shared" si="462"/>
        <v>0</v>
      </c>
      <c r="O1936" s="577">
        <f t="shared" si="480"/>
        <v>0</v>
      </c>
      <c r="P1936" s="578">
        <f t="shared" si="481"/>
        <v>0</v>
      </c>
      <c r="Q1936" s="765"/>
      <c r="R1936" s="723"/>
      <c r="S1936" s="723"/>
      <c r="T1936" s="577">
        <f t="shared" si="478"/>
        <v>0</v>
      </c>
      <c r="U1936" s="578">
        <f t="shared" si="479"/>
        <v>0</v>
      </c>
      <c r="V1936" s="579"/>
      <c r="W1936" s="566" t="str">
        <f>IF(U1933&gt;0,"xx",IF(P1933&gt;0,"xy",""))</f>
        <v/>
      </c>
      <c r="X1936" s="586" t="str">
        <f t="shared" si="461"/>
        <v/>
      </c>
      <c r="Y1936" s="586" t="str">
        <f t="shared" si="431"/>
        <v/>
      </c>
      <c r="Z1936" s="586" t="str">
        <f t="shared" si="445"/>
        <v/>
      </c>
    </row>
    <row r="1937" spans="1:26" ht="12" hidden="1" thickBot="1" x14ac:dyDescent="0.25">
      <c r="A1937" s="567">
        <v>620400</v>
      </c>
      <c r="B1937" s="644">
        <v>620400</v>
      </c>
      <c r="C1937" s="645" t="s">
        <v>206</v>
      </c>
      <c r="D1937" s="422" t="s">
        <v>358</v>
      </c>
      <c r="E1937" s="423"/>
      <c r="F1937" s="424"/>
      <c r="G1937" s="425"/>
      <c r="H1937" s="651">
        <f>SUM(H1938:H1940)</f>
        <v>725.77926200000013</v>
      </c>
      <c r="I1937" s="420">
        <v>2290.1999999999998</v>
      </c>
      <c r="J1937" s="420">
        <f>IF(ISBLANK(I1937),"",SUM(H1937:I1937))</f>
        <v>3015.9792619999998</v>
      </c>
      <c r="K1937" s="421">
        <f t="shared" si="477"/>
        <v>3583.28</v>
      </c>
      <c r="L1937" s="647" t="s">
        <v>21</v>
      </c>
      <c r="M1937" s="576"/>
      <c r="N1937" s="576">
        <f t="shared" si="462"/>
        <v>0</v>
      </c>
      <c r="O1937" s="577">
        <f t="shared" si="480"/>
        <v>0</v>
      </c>
      <c r="P1937" s="578">
        <f t="shared" si="481"/>
        <v>0</v>
      </c>
      <c r="Q1937" s="765"/>
      <c r="R1937" s="576">
        <f>M1937</f>
        <v>0</v>
      </c>
      <c r="S1937" s="576">
        <f>N1937</f>
        <v>0</v>
      </c>
      <c r="T1937" s="577">
        <f t="shared" si="478"/>
        <v>0</v>
      </c>
      <c r="U1937" s="578">
        <f t="shared" si="479"/>
        <v>0</v>
      </c>
      <c r="V1937" s="579"/>
      <c r="W1937" s="566"/>
      <c r="X1937" s="586" t="str">
        <f t="shared" si="461"/>
        <v/>
      </c>
      <c r="Y1937" s="586" t="str">
        <f t="shared" si="431"/>
        <v/>
      </c>
      <c r="Z1937" s="586" t="str">
        <f t="shared" si="445"/>
        <v/>
      </c>
    </row>
    <row r="1938" spans="1:26" ht="12" hidden="1" thickBot="1" x14ac:dyDescent="0.25">
      <c r="A1938" s="567" t="s">
        <v>168</v>
      </c>
      <c r="B1938" s="644" t="s">
        <v>168</v>
      </c>
      <c r="C1938" s="645"/>
      <c r="D1938" s="422" t="s">
        <v>212</v>
      </c>
      <c r="E1938" s="423"/>
      <c r="F1938" s="424">
        <v>500</v>
      </c>
      <c r="G1938" s="425">
        <v>0.58130000000000004</v>
      </c>
      <c r="H1938" s="649">
        <f>IF(F1938&lt;=30,(0.78*F1938+7.82)*G1938,((0.78*30+7.82)+0.78*(F1938-30))*G1938)</f>
        <v>231.25276600000004</v>
      </c>
      <c r="I1938" s="420">
        <v>0</v>
      </c>
      <c r="J1938" s="420"/>
      <c r="K1938" s="421">
        <f t="shared" si="477"/>
        <v>0</v>
      </c>
      <c r="L1938" s="647"/>
      <c r="M1938" s="723"/>
      <c r="N1938" s="576">
        <f t="shared" si="462"/>
        <v>0</v>
      </c>
      <c r="O1938" s="577">
        <f t="shared" si="480"/>
        <v>0</v>
      </c>
      <c r="P1938" s="578">
        <f t="shared" si="481"/>
        <v>0</v>
      </c>
      <c r="Q1938" s="765"/>
      <c r="R1938" s="723"/>
      <c r="S1938" s="723"/>
      <c r="T1938" s="577">
        <f t="shared" si="478"/>
        <v>0</v>
      </c>
      <c r="U1938" s="578">
        <f t="shared" si="479"/>
        <v>0</v>
      </c>
      <c r="V1938" s="579"/>
      <c r="W1938" s="566" t="str">
        <f>IF(U1937&gt;0,"xx",IF(P1937&gt;0,"xy",""))</f>
        <v/>
      </c>
      <c r="X1938" s="586" t="str">
        <f t="shared" si="461"/>
        <v/>
      </c>
      <c r="Y1938" s="586" t="str">
        <f t="shared" si="431"/>
        <v/>
      </c>
      <c r="Z1938" s="586" t="str">
        <f t="shared" si="445"/>
        <v/>
      </c>
    </row>
    <row r="1939" spans="1:26" ht="12" hidden="1" thickBot="1" x14ac:dyDescent="0.25">
      <c r="A1939" s="567" t="s">
        <v>168</v>
      </c>
      <c r="B1939" s="644" t="s">
        <v>168</v>
      </c>
      <c r="C1939" s="645"/>
      <c r="D1939" s="422" t="s">
        <v>248</v>
      </c>
      <c r="E1939" s="423"/>
      <c r="F1939" s="424">
        <v>180</v>
      </c>
      <c r="G1939" s="425">
        <v>2.0670000000000002</v>
      </c>
      <c r="H1939" s="663">
        <f t="shared" ref="H1939:H1940" si="486">IF(F1939&lt;=30,(1.07*F1939+2.68)*G1939,((1.07*30+2.68)+1.07*(F1939-30))*G1939)</f>
        <v>403.64376000000004</v>
      </c>
      <c r="I1939" s="420">
        <v>0</v>
      </c>
      <c r="J1939" s="420"/>
      <c r="K1939" s="421">
        <f t="shared" si="477"/>
        <v>0</v>
      </c>
      <c r="L1939" s="647"/>
      <c r="M1939" s="723"/>
      <c r="N1939" s="576">
        <f t="shared" si="462"/>
        <v>0</v>
      </c>
      <c r="O1939" s="577">
        <f t="shared" si="480"/>
        <v>0</v>
      </c>
      <c r="P1939" s="578">
        <f t="shared" si="481"/>
        <v>0</v>
      </c>
      <c r="Q1939" s="765"/>
      <c r="R1939" s="723"/>
      <c r="S1939" s="723"/>
      <c r="T1939" s="577">
        <f t="shared" si="478"/>
        <v>0</v>
      </c>
      <c r="U1939" s="578">
        <f t="shared" si="479"/>
        <v>0</v>
      </c>
      <c r="V1939" s="579"/>
      <c r="W1939" s="566" t="str">
        <f>IF(U1937&gt;0,"xx",IF(P1937&gt;0,"xy",""))</f>
        <v/>
      </c>
      <c r="X1939" s="586" t="str">
        <f t="shared" si="461"/>
        <v/>
      </c>
      <c r="Y1939" s="586" t="str">
        <f t="shared" si="431"/>
        <v/>
      </c>
      <c r="Z1939" s="586" t="str">
        <f t="shared" si="445"/>
        <v/>
      </c>
    </row>
    <row r="1940" spans="1:26" ht="12" hidden="1" thickBot="1" x14ac:dyDescent="0.25">
      <c r="A1940" s="567" t="s">
        <v>168</v>
      </c>
      <c r="B1940" s="644" t="s">
        <v>168</v>
      </c>
      <c r="C1940" s="645"/>
      <c r="D1940" s="422" t="s">
        <v>252</v>
      </c>
      <c r="E1940" s="423"/>
      <c r="F1940" s="424">
        <v>20</v>
      </c>
      <c r="G1940" s="425">
        <v>3.7742</v>
      </c>
      <c r="H1940" s="663">
        <f t="shared" si="486"/>
        <v>90.882736000000008</v>
      </c>
      <c r="I1940" s="420">
        <v>0</v>
      </c>
      <c r="J1940" s="420"/>
      <c r="K1940" s="421">
        <f t="shared" si="477"/>
        <v>0</v>
      </c>
      <c r="L1940" s="647"/>
      <c r="M1940" s="723"/>
      <c r="N1940" s="576">
        <f t="shared" ref="N1940:N2003" si="487">IF(M1940=0,0,K1940)</f>
        <v>0</v>
      </c>
      <c r="O1940" s="577">
        <f t="shared" si="480"/>
        <v>0</v>
      </c>
      <c r="P1940" s="578">
        <f t="shared" si="481"/>
        <v>0</v>
      </c>
      <c r="Q1940" s="765"/>
      <c r="R1940" s="723"/>
      <c r="S1940" s="723"/>
      <c r="T1940" s="577">
        <f t="shared" si="478"/>
        <v>0</v>
      </c>
      <c r="U1940" s="578">
        <f t="shared" si="479"/>
        <v>0</v>
      </c>
      <c r="V1940" s="579"/>
      <c r="W1940" s="566" t="str">
        <f>IF(U1937&gt;0,"xx",IF(P1937&gt;0,"xy",""))</f>
        <v/>
      </c>
      <c r="X1940" s="586" t="str">
        <f t="shared" si="461"/>
        <v/>
      </c>
      <c r="Y1940" s="586" t="str">
        <f t="shared" si="431"/>
        <v/>
      </c>
      <c r="Z1940" s="586" t="str">
        <f t="shared" si="445"/>
        <v/>
      </c>
    </row>
    <row r="1941" spans="1:26" ht="12" hidden="1" thickBot="1" x14ac:dyDescent="0.25">
      <c r="A1941" s="567">
        <v>620500</v>
      </c>
      <c r="B1941" s="644">
        <v>620500</v>
      </c>
      <c r="C1941" s="645" t="s">
        <v>206</v>
      </c>
      <c r="D1941" s="422" t="s">
        <v>359</v>
      </c>
      <c r="E1941" s="423"/>
      <c r="F1941" s="424"/>
      <c r="G1941" s="425"/>
      <c r="H1941" s="651">
        <f>SUM(H1942:H1944)</f>
        <v>1457.2623920000001</v>
      </c>
      <c r="I1941" s="420">
        <v>4098.9299999999994</v>
      </c>
      <c r="J1941" s="420">
        <f>IF(ISBLANK(I1941),"",SUM(H1941:I1941))</f>
        <v>5556.192391999999</v>
      </c>
      <c r="K1941" s="421">
        <f t="shared" si="477"/>
        <v>6601.31</v>
      </c>
      <c r="L1941" s="647" t="s">
        <v>21</v>
      </c>
      <c r="M1941" s="576"/>
      <c r="N1941" s="576">
        <f t="shared" si="487"/>
        <v>0</v>
      </c>
      <c r="O1941" s="577">
        <f t="shared" si="480"/>
        <v>0</v>
      </c>
      <c r="P1941" s="578">
        <f t="shared" si="481"/>
        <v>0</v>
      </c>
      <c r="Q1941" s="765"/>
      <c r="R1941" s="576">
        <f>M1941</f>
        <v>0</v>
      </c>
      <c r="S1941" s="576">
        <f>N1941</f>
        <v>0</v>
      </c>
      <c r="T1941" s="577">
        <f t="shared" si="478"/>
        <v>0</v>
      </c>
      <c r="U1941" s="578">
        <f t="shared" si="479"/>
        <v>0</v>
      </c>
      <c r="V1941" s="579"/>
      <c r="W1941" s="566"/>
      <c r="X1941" s="586" t="str">
        <f t="shared" si="461"/>
        <v/>
      </c>
      <c r="Y1941" s="586" t="str">
        <f t="shared" si="431"/>
        <v/>
      </c>
      <c r="Z1941" s="586" t="str">
        <f t="shared" ref="Z1941:Z2023" si="488">IF(W1941="X","x",IF(U1941&gt;0,"x",""))</f>
        <v/>
      </c>
    </row>
    <row r="1942" spans="1:26" ht="12" hidden="1" thickBot="1" x14ac:dyDescent="0.25">
      <c r="A1942" s="567" t="s">
        <v>168</v>
      </c>
      <c r="B1942" s="644" t="s">
        <v>168</v>
      </c>
      <c r="C1942" s="645"/>
      <c r="D1942" s="422" t="s">
        <v>212</v>
      </c>
      <c r="E1942" s="423"/>
      <c r="F1942" s="424">
        <v>500</v>
      </c>
      <c r="G1942" s="425">
        <v>1.1672</v>
      </c>
      <c r="H1942" s="649">
        <f>IF(F1942&lt;=30,(0.78*F1942+7.82)*G1942,((0.78*30+7.82)+0.78*(F1942-30))*G1942)</f>
        <v>464.33550400000007</v>
      </c>
      <c r="I1942" s="420">
        <v>0</v>
      </c>
      <c r="J1942" s="420"/>
      <c r="K1942" s="421">
        <f t="shared" si="477"/>
        <v>0</v>
      </c>
      <c r="L1942" s="647"/>
      <c r="M1942" s="723"/>
      <c r="N1942" s="576">
        <f t="shared" si="487"/>
        <v>0</v>
      </c>
      <c r="O1942" s="577">
        <f t="shared" si="480"/>
        <v>0</v>
      </c>
      <c r="P1942" s="578">
        <f t="shared" si="481"/>
        <v>0</v>
      </c>
      <c r="Q1942" s="765"/>
      <c r="R1942" s="723"/>
      <c r="S1942" s="723"/>
      <c r="T1942" s="577">
        <f t="shared" si="478"/>
        <v>0</v>
      </c>
      <c r="U1942" s="578">
        <f t="shared" si="479"/>
        <v>0</v>
      </c>
      <c r="V1942" s="579"/>
      <c r="W1942" s="566" t="str">
        <f>IF(U1941&gt;0,"xx",IF(P1941&gt;0,"xy",""))</f>
        <v/>
      </c>
      <c r="X1942" s="586" t="str">
        <f t="shared" si="461"/>
        <v/>
      </c>
      <c r="Y1942" s="586" t="str">
        <f t="shared" si="431"/>
        <v/>
      </c>
      <c r="Z1942" s="586" t="str">
        <f t="shared" si="488"/>
        <v/>
      </c>
    </row>
    <row r="1943" spans="1:26" ht="12" hidden="1" thickBot="1" x14ac:dyDescent="0.25">
      <c r="A1943" s="567" t="s">
        <v>168</v>
      </c>
      <c r="B1943" s="644" t="s">
        <v>168</v>
      </c>
      <c r="C1943" s="645"/>
      <c r="D1943" s="422" t="s">
        <v>248</v>
      </c>
      <c r="E1943" s="423"/>
      <c r="F1943" s="424">
        <v>180</v>
      </c>
      <c r="G1943" s="425">
        <v>4.1501999999999999</v>
      </c>
      <c r="H1943" s="663">
        <f t="shared" ref="H1943:H1944" si="489">IF(F1943&lt;=30,(1.07*F1943+2.68)*G1943,((1.07*30+2.68)+1.07*(F1943-30))*G1943)</f>
        <v>810.45105599999999</v>
      </c>
      <c r="I1943" s="420">
        <v>0</v>
      </c>
      <c r="J1943" s="420"/>
      <c r="K1943" s="421">
        <f t="shared" si="477"/>
        <v>0</v>
      </c>
      <c r="L1943" s="647"/>
      <c r="M1943" s="723"/>
      <c r="N1943" s="576">
        <f t="shared" si="487"/>
        <v>0</v>
      </c>
      <c r="O1943" s="577">
        <f t="shared" si="480"/>
        <v>0</v>
      </c>
      <c r="P1943" s="578">
        <f t="shared" si="481"/>
        <v>0</v>
      </c>
      <c r="Q1943" s="765"/>
      <c r="R1943" s="723"/>
      <c r="S1943" s="723"/>
      <c r="T1943" s="577">
        <f t="shared" si="478"/>
        <v>0</v>
      </c>
      <c r="U1943" s="578">
        <f t="shared" si="479"/>
        <v>0</v>
      </c>
      <c r="V1943" s="579"/>
      <c r="W1943" s="566" t="str">
        <f>IF(U1941&gt;0,"xx",IF(P1941&gt;0,"xy",""))</f>
        <v/>
      </c>
      <c r="X1943" s="586" t="str">
        <f t="shared" si="461"/>
        <v/>
      </c>
      <c r="Y1943" s="586" t="str">
        <f t="shared" si="431"/>
        <v/>
      </c>
      <c r="Z1943" s="586" t="str">
        <f t="shared" si="488"/>
        <v/>
      </c>
    </row>
    <row r="1944" spans="1:26" ht="12" hidden="1" thickBot="1" x14ac:dyDescent="0.25">
      <c r="A1944" s="567" t="s">
        <v>168</v>
      </c>
      <c r="B1944" s="644" t="s">
        <v>168</v>
      </c>
      <c r="C1944" s="645"/>
      <c r="D1944" s="422" t="s">
        <v>252</v>
      </c>
      <c r="E1944" s="423"/>
      <c r="F1944" s="424">
        <v>20</v>
      </c>
      <c r="G1944" s="425">
        <v>7.5778999999999996</v>
      </c>
      <c r="H1944" s="663">
        <f t="shared" si="489"/>
        <v>182.475832</v>
      </c>
      <c r="I1944" s="420">
        <v>0</v>
      </c>
      <c r="J1944" s="420"/>
      <c r="K1944" s="421">
        <f t="shared" si="477"/>
        <v>0</v>
      </c>
      <c r="L1944" s="647"/>
      <c r="M1944" s="723"/>
      <c r="N1944" s="576">
        <f t="shared" si="487"/>
        <v>0</v>
      </c>
      <c r="O1944" s="577">
        <f t="shared" si="480"/>
        <v>0</v>
      </c>
      <c r="P1944" s="578">
        <f t="shared" si="481"/>
        <v>0</v>
      </c>
      <c r="Q1944" s="765"/>
      <c r="R1944" s="723"/>
      <c r="S1944" s="723"/>
      <c r="T1944" s="577">
        <f t="shared" si="478"/>
        <v>0</v>
      </c>
      <c r="U1944" s="578">
        <f t="shared" si="479"/>
        <v>0</v>
      </c>
      <c r="V1944" s="579"/>
      <c r="W1944" s="566" t="str">
        <f>IF(U1941&gt;0,"xx",IF(P1941&gt;0,"xy",""))</f>
        <v/>
      </c>
      <c r="X1944" s="586" t="str">
        <f t="shared" si="461"/>
        <v/>
      </c>
      <c r="Y1944" s="586" t="str">
        <f t="shared" si="431"/>
        <v/>
      </c>
      <c r="Z1944" s="586" t="str">
        <f t="shared" si="488"/>
        <v/>
      </c>
    </row>
    <row r="1945" spans="1:26" ht="12" hidden="1" thickBot="1" x14ac:dyDescent="0.25">
      <c r="A1945" s="567">
        <v>620600</v>
      </c>
      <c r="B1945" s="644">
        <v>620600</v>
      </c>
      <c r="C1945" s="645" t="s">
        <v>206</v>
      </c>
      <c r="D1945" s="422" t="s">
        <v>360</v>
      </c>
      <c r="E1945" s="423"/>
      <c r="F1945" s="424"/>
      <c r="G1945" s="425"/>
      <c r="H1945" s="651">
        <f>SUM(H1946:H1948)</f>
        <v>2801.5291540000003</v>
      </c>
      <c r="I1945" s="420">
        <v>7314.29</v>
      </c>
      <c r="J1945" s="420">
        <f>IF(ISBLANK(I1945),"",SUM(H1945:I1945))</f>
        <v>10115.819154000001</v>
      </c>
      <c r="K1945" s="421">
        <f t="shared" si="477"/>
        <v>12018.6</v>
      </c>
      <c r="L1945" s="647" t="s">
        <v>21</v>
      </c>
      <c r="M1945" s="576"/>
      <c r="N1945" s="576">
        <f t="shared" si="487"/>
        <v>0</v>
      </c>
      <c r="O1945" s="577">
        <f t="shared" si="480"/>
        <v>0</v>
      </c>
      <c r="P1945" s="578">
        <f t="shared" si="481"/>
        <v>0</v>
      </c>
      <c r="Q1945" s="765"/>
      <c r="R1945" s="576">
        <f>M1945</f>
        <v>0</v>
      </c>
      <c r="S1945" s="576">
        <f>N1945</f>
        <v>0</v>
      </c>
      <c r="T1945" s="577">
        <f t="shared" si="478"/>
        <v>0</v>
      </c>
      <c r="U1945" s="578">
        <f t="shared" si="479"/>
        <v>0</v>
      </c>
      <c r="V1945" s="579"/>
      <c r="W1945" s="566"/>
      <c r="X1945" s="586" t="str">
        <f t="shared" si="461"/>
        <v/>
      </c>
      <c r="Y1945" s="586" t="str">
        <f t="shared" si="431"/>
        <v/>
      </c>
      <c r="Z1945" s="586" t="str">
        <f t="shared" si="488"/>
        <v/>
      </c>
    </row>
    <row r="1946" spans="1:26" ht="12" hidden="1" thickBot="1" x14ac:dyDescent="0.25">
      <c r="A1946" s="567" t="s">
        <v>168</v>
      </c>
      <c r="B1946" s="644" t="s">
        <v>168</v>
      </c>
      <c r="C1946" s="645"/>
      <c r="D1946" s="422" t="s">
        <v>212</v>
      </c>
      <c r="E1946" s="423"/>
      <c r="F1946" s="424">
        <v>500</v>
      </c>
      <c r="G1946" s="425">
        <v>2.2439</v>
      </c>
      <c r="H1946" s="649">
        <f>IF(F1946&lt;=30,(0.78*F1946+7.82)*G1946,((0.78*30+7.82)+0.78*(F1946-30))*G1946)</f>
        <v>892.66829800000016</v>
      </c>
      <c r="I1946" s="420">
        <v>0</v>
      </c>
      <c r="J1946" s="420"/>
      <c r="K1946" s="421">
        <f t="shared" si="477"/>
        <v>0</v>
      </c>
      <c r="L1946" s="647"/>
      <c r="M1946" s="723"/>
      <c r="N1946" s="576">
        <f t="shared" si="487"/>
        <v>0</v>
      </c>
      <c r="O1946" s="577">
        <f t="shared" si="480"/>
        <v>0</v>
      </c>
      <c r="P1946" s="578">
        <f t="shared" si="481"/>
        <v>0</v>
      </c>
      <c r="Q1946" s="765"/>
      <c r="R1946" s="723"/>
      <c r="S1946" s="723"/>
      <c r="T1946" s="577">
        <f t="shared" si="478"/>
        <v>0</v>
      </c>
      <c r="U1946" s="578">
        <f t="shared" si="479"/>
        <v>0</v>
      </c>
      <c r="V1946" s="579"/>
      <c r="W1946" s="566" t="str">
        <f>IF(U1945&gt;0,"xx",IF(P1945&gt;0,"xy",""))</f>
        <v/>
      </c>
      <c r="X1946" s="586" t="str">
        <f t="shared" si="461"/>
        <v/>
      </c>
      <c r="Y1946" s="586" t="str">
        <f t="shared" si="431"/>
        <v/>
      </c>
      <c r="Z1946" s="586" t="str">
        <f t="shared" si="488"/>
        <v/>
      </c>
    </row>
    <row r="1947" spans="1:26" ht="12" hidden="1" thickBot="1" x14ac:dyDescent="0.25">
      <c r="A1947" s="567" t="s">
        <v>168</v>
      </c>
      <c r="B1947" s="644" t="s">
        <v>168</v>
      </c>
      <c r="C1947" s="645"/>
      <c r="D1947" s="422" t="s">
        <v>248</v>
      </c>
      <c r="E1947" s="423"/>
      <c r="F1947" s="424">
        <v>180</v>
      </c>
      <c r="G1947" s="425">
        <v>7.9786000000000001</v>
      </c>
      <c r="H1947" s="663">
        <f t="shared" ref="H1947:H1948" si="490">IF(F1947&lt;=30,(1.07*F1947+2.68)*G1947,((1.07*30+2.68)+1.07*(F1947-30))*G1947)</f>
        <v>1558.0610080000001</v>
      </c>
      <c r="I1947" s="420">
        <v>0</v>
      </c>
      <c r="J1947" s="420"/>
      <c r="K1947" s="421">
        <f t="shared" si="477"/>
        <v>0</v>
      </c>
      <c r="L1947" s="647"/>
      <c r="M1947" s="723"/>
      <c r="N1947" s="576">
        <f t="shared" si="487"/>
        <v>0</v>
      </c>
      <c r="O1947" s="577">
        <f t="shared" si="480"/>
        <v>0</v>
      </c>
      <c r="P1947" s="578">
        <f t="shared" si="481"/>
        <v>0</v>
      </c>
      <c r="Q1947" s="765"/>
      <c r="R1947" s="723"/>
      <c r="S1947" s="723"/>
      <c r="T1947" s="577">
        <f t="shared" si="478"/>
        <v>0</v>
      </c>
      <c r="U1947" s="578">
        <f t="shared" si="479"/>
        <v>0</v>
      </c>
      <c r="V1947" s="579"/>
      <c r="W1947" s="566" t="str">
        <f>IF(U1945&gt;0,"xx",IF(P1945&gt;0,"xy",""))</f>
        <v/>
      </c>
      <c r="X1947" s="586" t="str">
        <f t="shared" si="461"/>
        <v/>
      </c>
      <c r="Y1947" s="586" t="str">
        <f t="shared" si="431"/>
        <v/>
      </c>
      <c r="Z1947" s="586" t="str">
        <f t="shared" si="488"/>
        <v/>
      </c>
    </row>
    <row r="1948" spans="1:26" ht="12" hidden="1" thickBot="1" x14ac:dyDescent="0.25">
      <c r="A1948" s="567" t="s">
        <v>168</v>
      </c>
      <c r="B1948" s="644" t="s">
        <v>168</v>
      </c>
      <c r="C1948" s="645"/>
      <c r="D1948" s="422" t="s">
        <v>252</v>
      </c>
      <c r="E1948" s="423"/>
      <c r="F1948" s="424">
        <v>20</v>
      </c>
      <c r="G1948" s="425">
        <v>14.568099999999999</v>
      </c>
      <c r="H1948" s="663">
        <f t="shared" si="490"/>
        <v>350.799848</v>
      </c>
      <c r="I1948" s="420">
        <v>0</v>
      </c>
      <c r="J1948" s="420"/>
      <c r="K1948" s="421">
        <f t="shared" si="477"/>
        <v>0</v>
      </c>
      <c r="L1948" s="647"/>
      <c r="M1948" s="723"/>
      <c r="N1948" s="576">
        <f t="shared" si="487"/>
        <v>0</v>
      </c>
      <c r="O1948" s="577">
        <f t="shared" si="480"/>
        <v>0</v>
      </c>
      <c r="P1948" s="578">
        <f t="shared" si="481"/>
        <v>0</v>
      </c>
      <c r="Q1948" s="765"/>
      <c r="R1948" s="723"/>
      <c r="S1948" s="723"/>
      <c r="T1948" s="577">
        <f t="shared" si="478"/>
        <v>0</v>
      </c>
      <c r="U1948" s="578">
        <f t="shared" si="479"/>
        <v>0</v>
      </c>
      <c r="V1948" s="579"/>
      <c r="W1948" s="566" t="str">
        <f>IF(U1945&gt;0,"xx",IF(P1945&gt;0,"xy",""))</f>
        <v/>
      </c>
      <c r="X1948" s="586" t="str">
        <f t="shared" si="461"/>
        <v/>
      </c>
      <c r="Y1948" s="586" t="str">
        <f t="shared" si="431"/>
        <v/>
      </c>
      <c r="Z1948" s="586" t="str">
        <f t="shared" si="488"/>
        <v/>
      </c>
    </row>
    <row r="1949" spans="1:26" ht="12" hidden="1" thickBot="1" x14ac:dyDescent="0.25">
      <c r="A1949" s="567">
        <v>620100</v>
      </c>
      <c r="B1949" s="644" t="s">
        <v>1663</v>
      </c>
      <c r="C1949" s="645" t="s">
        <v>206</v>
      </c>
      <c r="D1949" s="422" t="s">
        <v>361</v>
      </c>
      <c r="E1949" s="423"/>
      <c r="F1949" s="424"/>
      <c r="G1949" s="425"/>
      <c r="H1949" s="651">
        <f>SUM(H1950:H1952)</f>
        <v>357.50190600000002</v>
      </c>
      <c r="I1949" s="420">
        <v>1246.7937242356304</v>
      </c>
      <c r="J1949" s="420">
        <f>IF(ISBLANK(I1949),"",SUM(H1949:I1949))</f>
        <v>1604.2956302356304</v>
      </c>
      <c r="K1949" s="421">
        <f t="shared" si="477"/>
        <v>1906.06</v>
      </c>
      <c r="L1949" s="647" t="s">
        <v>21</v>
      </c>
      <c r="M1949" s="576"/>
      <c r="N1949" s="576">
        <f t="shared" si="487"/>
        <v>0</v>
      </c>
      <c r="O1949" s="577">
        <f t="shared" si="480"/>
        <v>0</v>
      </c>
      <c r="P1949" s="578">
        <f t="shared" si="481"/>
        <v>0</v>
      </c>
      <c r="Q1949" s="765"/>
      <c r="R1949" s="576">
        <f>M1949</f>
        <v>0</v>
      </c>
      <c r="S1949" s="576">
        <f>N1949</f>
        <v>0</v>
      </c>
      <c r="T1949" s="577">
        <f t="shared" si="478"/>
        <v>0</v>
      </c>
      <c r="U1949" s="578">
        <f t="shared" si="479"/>
        <v>0</v>
      </c>
      <c r="V1949" s="579"/>
      <c r="W1949" s="566"/>
      <c r="X1949" s="586" t="str">
        <f t="shared" si="461"/>
        <v/>
      </c>
      <c r="Y1949" s="586" t="str">
        <f t="shared" si="431"/>
        <v/>
      </c>
      <c r="Z1949" s="586" t="str">
        <f t="shared" si="488"/>
        <v/>
      </c>
    </row>
    <row r="1950" spans="1:26" ht="12" hidden="1" thickBot="1" x14ac:dyDescent="0.25">
      <c r="A1950" s="567" t="s">
        <v>168</v>
      </c>
      <c r="B1950" s="644" t="s">
        <v>168</v>
      </c>
      <c r="C1950" s="645"/>
      <c r="D1950" s="422" t="s">
        <v>212</v>
      </c>
      <c r="E1950" s="423"/>
      <c r="F1950" s="424">
        <v>500</v>
      </c>
      <c r="G1950" s="425">
        <v>0.2863</v>
      </c>
      <c r="H1950" s="649">
        <f>IF(F1950&lt;=30,(0.78*F1950+7.82)*G1950,((0.78*30+7.82)+0.78*(F1950-30))*G1950)</f>
        <v>113.89586600000001</v>
      </c>
      <c r="I1950" s="420">
        <v>0</v>
      </c>
      <c r="J1950" s="420"/>
      <c r="K1950" s="421">
        <f t="shared" si="477"/>
        <v>0</v>
      </c>
      <c r="L1950" s="647"/>
      <c r="M1950" s="723"/>
      <c r="N1950" s="576">
        <f t="shared" si="487"/>
        <v>0</v>
      </c>
      <c r="O1950" s="577">
        <f t="shared" si="480"/>
        <v>0</v>
      </c>
      <c r="P1950" s="578">
        <f t="shared" si="481"/>
        <v>0</v>
      </c>
      <c r="Q1950" s="765"/>
      <c r="R1950" s="723"/>
      <c r="S1950" s="723"/>
      <c r="T1950" s="577">
        <f t="shared" si="478"/>
        <v>0</v>
      </c>
      <c r="U1950" s="578">
        <f t="shared" si="479"/>
        <v>0</v>
      </c>
      <c r="V1950" s="579"/>
      <c r="W1950" s="566" t="str">
        <f>IF(U1949&gt;0,"xx",IF(P1949&gt;0,"xy",""))</f>
        <v/>
      </c>
      <c r="X1950" s="586" t="str">
        <f t="shared" si="461"/>
        <v/>
      </c>
      <c r="Y1950" s="586" t="str">
        <f t="shared" si="431"/>
        <v/>
      </c>
      <c r="Z1950" s="586" t="str">
        <f t="shared" si="488"/>
        <v/>
      </c>
    </row>
    <row r="1951" spans="1:26" ht="12" hidden="1" thickBot="1" x14ac:dyDescent="0.25">
      <c r="A1951" s="567" t="s">
        <v>168</v>
      </c>
      <c r="B1951" s="644" t="s">
        <v>168</v>
      </c>
      <c r="C1951" s="645"/>
      <c r="D1951" s="422" t="s">
        <v>248</v>
      </c>
      <c r="E1951" s="423"/>
      <c r="F1951" s="424">
        <v>180</v>
      </c>
      <c r="G1951" s="425">
        <v>1.0182</v>
      </c>
      <c r="H1951" s="663">
        <f t="shared" ref="H1951:H1952" si="491">IF(F1951&lt;=30,(1.07*F1951+2.68)*G1951,((1.07*30+2.68)+1.07*(F1951-30))*G1951)</f>
        <v>198.83409599999999</v>
      </c>
      <c r="I1951" s="420">
        <v>0</v>
      </c>
      <c r="J1951" s="420"/>
      <c r="K1951" s="421">
        <f t="shared" si="477"/>
        <v>0</v>
      </c>
      <c r="L1951" s="647"/>
      <c r="M1951" s="723"/>
      <c r="N1951" s="576">
        <f t="shared" si="487"/>
        <v>0</v>
      </c>
      <c r="O1951" s="577">
        <f t="shared" si="480"/>
        <v>0</v>
      </c>
      <c r="P1951" s="578">
        <f t="shared" si="481"/>
        <v>0</v>
      </c>
      <c r="Q1951" s="765"/>
      <c r="R1951" s="723"/>
      <c r="S1951" s="723"/>
      <c r="T1951" s="577">
        <f t="shared" si="478"/>
        <v>0</v>
      </c>
      <c r="U1951" s="578">
        <f t="shared" si="479"/>
        <v>0</v>
      </c>
      <c r="V1951" s="579"/>
      <c r="W1951" s="566" t="str">
        <f>IF(U1949&gt;0,"xx",IF(P1949&gt;0,"xy",""))</f>
        <v/>
      </c>
      <c r="X1951" s="586" t="str">
        <f t="shared" si="461"/>
        <v/>
      </c>
      <c r="Y1951" s="586" t="str">
        <f t="shared" si="431"/>
        <v/>
      </c>
      <c r="Z1951" s="586" t="str">
        <f t="shared" si="488"/>
        <v/>
      </c>
    </row>
    <row r="1952" spans="1:26" ht="12" hidden="1" thickBot="1" x14ac:dyDescent="0.25">
      <c r="A1952" s="567" t="s">
        <v>168</v>
      </c>
      <c r="B1952" s="644" t="s">
        <v>168</v>
      </c>
      <c r="C1952" s="645"/>
      <c r="D1952" s="422" t="s">
        <v>252</v>
      </c>
      <c r="E1952" s="423"/>
      <c r="F1952" s="424">
        <v>20</v>
      </c>
      <c r="G1952" s="425">
        <v>1.8593</v>
      </c>
      <c r="H1952" s="663">
        <f t="shared" si="491"/>
        <v>44.771944000000005</v>
      </c>
      <c r="I1952" s="420">
        <v>0</v>
      </c>
      <c r="J1952" s="420"/>
      <c r="K1952" s="421">
        <f t="shared" si="477"/>
        <v>0</v>
      </c>
      <c r="L1952" s="647"/>
      <c r="M1952" s="723"/>
      <c r="N1952" s="576">
        <f t="shared" si="487"/>
        <v>0</v>
      </c>
      <c r="O1952" s="577">
        <f t="shared" si="480"/>
        <v>0</v>
      </c>
      <c r="P1952" s="578">
        <f t="shared" si="481"/>
        <v>0</v>
      </c>
      <c r="Q1952" s="765"/>
      <c r="R1952" s="723"/>
      <c r="S1952" s="723"/>
      <c r="T1952" s="577">
        <f t="shared" si="478"/>
        <v>0</v>
      </c>
      <c r="U1952" s="578">
        <f t="shared" si="479"/>
        <v>0</v>
      </c>
      <c r="V1952" s="579"/>
      <c r="W1952" s="566" t="str">
        <f>IF(U1949&gt;0,"xx",IF(P1949&gt;0,"xy",""))</f>
        <v/>
      </c>
      <c r="X1952" s="586" t="str">
        <f t="shared" si="461"/>
        <v/>
      </c>
      <c r="Y1952" s="586" t="str">
        <f t="shared" si="431"/>
        <v/>
      </c>
      <c r="Z1952" s="586" t="str">
        <f t="shared" si="488"/>
        <v/>
      </c>
    </row>
    <row r="1953" spans="1:26" ht="12" hidden="1" thickBot="1" x14ac:dyDescent="0.25">
      <c r="A1953" s="567">
        <v>620200</v>
      </c>
      <c r="B1953" s="644" t="s">
        <v>1666</v>
      </c>
      <c r="C1953" s="645" t="s">
        <v>206</v>
      </c>
      <c r="D1953" s="422" t="s">
        <v>362</v>
      </c>
      <c r="E1953" s="423"/>
      <c r="F1953" s="424"/>
      <c r="G1953" s="425"/>
      <c r="H1953" s="651">
        <f>SUM(H1954:H1956)</f>
        <v>518.42137400000001</v>
      </c>
      <c r="I1953" s="420">
        <v>1735.8033996841357</v>
      </c>
      <c r="J1953" s="420">
        <f>IF(ISBLANK(I1953),"",SUM(H1953:I1953))</f>
        <v>2254.2247736841355</v>
      </c>
      <c r="K1953" s="421">
        <f t="shared" si="477"/>
        <v>2678.24</v>
      </c>
      <c r="L1953" s="647" t="s">
        <v>21</v>
      </c>
      <c r="M1953" s="576"/>
      <c r="N1953" s="576">
        <f t="shared" si="487"/>
        <v>0</v>
      </c>
      <c r="O1953" s="577">
        <f t="shared" si="480"/>
        <v>0</v>
      </c>
      <c r="P1953" s="578">
        <f t="shared" si="481"/>
        <v>0</v>
      </c>
      <c r="Q1953" s="765"/>
      <c r="R1953" s="576">
        <f>M1953</f>
        <v>0</v>
      </c>
      <c r="S1953" s="576">
        <f>N1953</f>
        <v>0</v>
      </c>
      <c r="T1953" s="577">
        <f t="shared" si="478"/>
        <v>0</v>
      </c>
      <c r="U1953" s="578">
        <f t="shared" si="479"/>
        <v>0</v>
      </c>
      <c r="V1953" s="579"/>
      <c r="W1953" s="566"/>
      <c r="X1953" s="586" t="str">
        <f t="shared" si="461"/>
        <v/>
      </c>
      <c r="Y1953" s="586" t="str">
        <f t="shared" si="431"/>
        <v/>
      </c>
      <c r="Z1953" s="586" t="str">
        <f t="shared" si="488"/>
        <v/>
      </c>
    </row>
    <row r="1954" spans="1:26" ht="12" hidden="1" thickBot="1" x14ac:dyDescent="0.25">
      <c r="A1954" s="567" t="s">
        <v>168</v>
      </c>
      <c r="B1954" s="644" t="s">
        <v>168</v>
      </c>
      <c r="C1954" s="645"/>
      <c r="D1954" s="422" t="s">
        <v>212</v>
      </c>
      <c r="E1954" s="423"/>
      <c r="F1954" s="424">
        <v>500</v>
      </c>
      <c r="G1954" s="425">
        <v>0.4153</v>
      </c>
      <c r="H1954" s="649">
        <f>IF(F1954&lt;=30,(0.78*F1954+7.82)*G1954,((0.78*30+7.82)+0.78*(F1954-30))*G1954)</f>
        <v>165.21464600000002</v>
      </c>
      <c r="I1954" s="420">
        <v>0</v>
      </c>
      <c r="J1954" s="420"/>
      <c r="K1954" s="421">
        <f t="shared" si="477"/>
        <v>0</v>
      </c>
      <c r="L1954" s="647"/>
      <c r="M1954" s="723"/>
      <c r="N1954" s="576">
        <f t="shared" si="487"/>
        <v>0</v>
      </c>
      <c r="O1954" s="577">
        <f t="shared" si="480"/>
        <v>0</v>
      </c>
      <c r="P1954" s="578">
        <f t="shared" si="481"/>
        <v>0</v>
      </c>
      <c r="Q1954" s="765"/>
      <c r="R1954" s="723"/>
      <c r="S1954" s="723"/>
      <c r="T1954" s="577">
        <f t="shared" si="478"/>
        <v>0</v>
      </c>
      <c r="U1954" s="578">
        <f t="shared" si="479"/>
        <v>0</v>
      </c>
      <c r="V1954" s="579"/>
      <c r="W1954" s="566" t="str">
        <f>IF(U1953&gt;0,"xx",IF(P1953&gt;0,"xy",""))</f>
        <v/>
      </c>
      <c r="X1954" s="586" t="str">
        <f t="shared" si="461"/>
        <v/>
      </c>
      <c r="Y1954" s="586" t="str">
        <f t="shared" si="431"/>
        <v/>
      </c>
      <c r="Z1954" s="586" t="str">
        <f t="shared" si="488"/>
        <v/>
      </c>
    </row>
    <row r="1955" spans="1:26" ht="12" hidden="1" thickBot="1" x14ac:dyDescent="0.25">
      <c r="A1955" s="567" t="s">
        <v>168</v>
      </c>
      <c r="B1955" s="644" t="s">
        <v>168</v>
      </c>
      <c r="C1955" s="645"/>
      <c r="D1955" s="422" t="s">
        <v>248</v>
      </c>
      <c r="E1955" s="423"/>
      <c r="F1955" s="424">
        <v>180</v>
      </c>
      <c r="G1955" s="425">
        <v>1.4762999999999999</v>
      </c>
      <c r="H1955" s="663">
        <f t="shared" ref="H1955:H1956" si="492">IF(F1955&lt;=30,(1.07*F1955+2.68)*G1955,((1.07*30+2.68)+1.07*(F1955-30))*G1955)</f>
        <v>288.29186399999998</v>
      </c>
      <c r="I1955" s="420">
        <v>0</v>
      </c>
      <c r="J1955" s="420"/>
      <c r="K1955" s="421">
        <f t="shared" si="477"/>
        <v>0</v>
      </c>
      <c r="L1955" s="647"/>
      <c r="M1955" s="723"/>
      <c r="N1955" s="576">
        <f t="shared" si="487"/>
        <v>0</v>
      </c>
      <c r="O1955" s="577">
        <f t="shared" si="480"/>
        <v>0</v>
      </c>
      <c r="P1955" s="578">
        <f t="shared" si="481"/>
        <v>0</v>
      </c>
      <c r="Q1955" s="765"/>
      <c r="R1955" s="723"/>
      <c r="S1955" s="723"/>
      <c r="T1955" s="577">
        <f t="shared" si="478"/>
        <v>0</v>
      </c>
      <c r="U1955" s="578">
        <f t="shared" si="479"/>
        <v>0</v>
      </c>
      <c r="V1955" s="579"/>
      <c r="W1955" s="566" t="str">
        <f>IF(U1953&gt;0,"xx",IF(P1953&gt;0,"xy",""))</f>
        <v/>
      </c>
      <c r="X1955" s="586" t="str">
        <f t="shared" si="461"/>
        <v/>
      </c>
      <c r="Y1955" s="586" t="str">
        <f t="shared" si="431"/>
        <v/>
      </c>
      <c r="Z1955" s="586" t="str">
        <f t="shared" si="488"/>
        <v/>
      </c>
    </row>
    <row r="1956" spans="1:26" ht="12" hidden="1" thickBot="1" x14ac:dyDescent="0.25">
      <c r="A1956" s="567" t="s">
        <v>168</v>
      </c>
      <c r="B1956" s="644" t="s">
        <v>168</v>
      </c>
      <c r="C1956" s="645"/>
      <c r="D1956" s="422" t="s">
        <v>252</v>
      </c>
      <c r="E1956" s="423"/>
      <c r="F1956" s="424">
        <v>20</v>
      </c>
      <c r="G1956" s="425">
        <v>2.6958000000000002</v>
      </c>
      <c r="H1956" s="663">
        <f t="shared" si="492"/>
        <v>64.914864000000009</v>
      </c>
      <c r="I1956" s="420">
        <v>0</v>
      </c>
      <c r="J1956" s="420"/>
      <c r="K1956" s="421">
        <f t="shared" si="477"/>
        <v>0</v>
      </c>
      <c r="L1956" s="647"/>
      <c r="M1956" s="723"/>
      <c r="N1956" s="576">
        <f t="shared" si="487"/>
        <v>0</v>
      </c>
      <c r="O1956" s="577">
        <f t="shared" si="480"/>
        <v>0</v>
      </c>
      <c r="P1956" s="578">
        <f t="shared" si="481"/>
        <v>0</v>
      </c>
      <c r="Q1956" s="765"/>
      <c r="R1956" s="723"/>
      <c r="S1956" s="723"/>
      <c r="T1956" s="577">
        <f t="shared" si="478"/>
        <v>0</v>
      </c>
      <c r="U1956" s="578">
        <f t="shared" si="479"/>
        <v>0</v>
      </c>
      <c r="V1956" s="579"/>
      <c r="W1956" s="566" t="str">
        <f>IF(U1953&gt;0,"xx",IF(P1953&gt;0,"xy",""))</f>
        <v/>
      </c>
      <c r="X1956" s="586" t="str">
        <f t="shared" si="461"/>
        <v/>
      </c>
      <c r="Y1956" s="586" t="str">
        <f t="shared" si="431"/>
        <v/>
      </c>
      <c r="Z1956" s="586" t="str">
        <f t="shared" si="488"/>
        <v/>
      </c>
    </row>
    <row r="1957" spans="1:26" ht="12" hidden="1" thickBot="1" x14ac:dyDescent="0.25">
      <c r="A1957" s="567">
        <v>620700</v>
      </c>
      <c r="B1957" s="644">
        <v>620700</v>
      </c>
      <c r="C1957" s="645" t="s">
        <v>206</v>
      </c>
      <c r="D1957" s="422" t="s">
        <v>363</v>
      </c>
      <c r="E1957" s="423"/>
      <c r="F1957" s="424"/>
      <c r="G1957" s="425"/>
      <c r="H1957" s="651">
        <f>SUM(H1958:H1960)</f>
        <v>777.93530600000008</v>
      </c>
      <c r="I1957" s="420">
        <v>2474.02</v>
      </c>
      <c r="J1957" s="420">
        <f>IF(ISBLANK(I1957),"",SUM(H1957:I1957))</f>
        <v>3251.9553059999998</v>
      </c>
      <c r="K1957" s="421">
        <f t="shared" si="477"/>
        <v>3863.65</v>
      </c>
      <c r="L1957" s="647" t="s">
        <v>21</v>
      </c>
      <c r="M1957" s="576"/>
      <c r="N1957" s="576">
        <f t="shared" si="487"/>
        <v>0</v>
      </c>
      <c r="O1957" s="577">
        <f t="shared" si="480"/>
        <v>0</v>
      </c>
      <c r="P1957" s="578">
        <f t="shared" si="481"/>
        <v>0</v>
      </c>
      <c r="Q1957" s="765"/>
      <c r="R1957" s="576">
        <f>M1957</f>
        <v>0</v>
      </c>
      <c r="S1957" s="576">
        <f>N1957</f>
        <v>0</v>
      </c>
      <c r="T1957" s="577">
        <f t="shared" si="478"/>
        <v>0</v>
      </c>
      <c r="U1957" s="578">
        <f t="shared" si="479"/>
        <v>0</v>
      </c>
      <c r="V1957" s="579"/>
      <c r="W1957" s="566"/>
      <c r="X1957" s="586" t="str">
        <f t="shared" si="461"/>
        <v/>
      </c>
      <c r="Y1957" s="586" t="str">
        <f t="shared" si="431"/>
        <v/>
      </c>
      <c r="Z1957" s="586" t="str">
        <f t="shared" si="488"/>
        <v/>
      </c>
    </row>
    <row r="1958" spans="1:26" ht="12" hidden="1" thickBot="1" x14ac:dyDescent="0.25">
      <c r="A1958" s="567" t="s">
        <v>168</v>
      </c>
      <c r="B1958" s="644" t="s">
        <v>168</v>
      </c>
      <c r="C1958" s="645"/>
      <c r="D1958" s="422" t="s">
        <v>212</v>
      </c>
      <c r="E1958" s="423"/>
      <c r="F1958" s="424">
        <v>500</v>
      </c>
      <c r="G1958" s="425" t="s">
        <v>97</v>
      </c>
      <c r="H1958" s="649">
        <f>IF(F1958&lt;=30,(0.78*F1958+7.82)*G1958,((0.78*30+7.82)+0.78*(F1958-30))*G1958)</f>
        <v>247.88164200000003</v>
      </c>
      <c r="I1958" s="420">
        <v>0</v>
      </c>
      <c r="J1958" s="420"/>
      <c r="K1958" s="421">
        <f t="shared" si="477"/>
        <v>0</v>
      </c>
      <c r="L1958" s="647"/>
      <c r="M1958" s="723"/>
      <c r="N1958" s="576">
        <f t="shared" si="487"/>
        <v>0</v>
      </c>
      <c r="O1958" s="577">
        <f t="shared" si="480"/>
        <v>0</v>
      </c>
      <c r="P1958" s="578">
        <f t="shared" si="481"/>
        <v>0</v>
      </c>
      <c r="Q1958" s="765"/>
      <c r="R1958" s="723"/>
      <c r="S1958" s="723"/>
      <c r="T1958" s="577">
        <f t="shared" si="478"/>
        <v>0</v>
      </c>
      <c r="U1958" s="578">
        <f t="shared" si="479"/>
        <v>0</v>
      </c>
      <c r="V1958" s="579"/>
      <c r="W1958" s="566" t="str">
        <f>IF(U1957&gt;0,"xx",IF(P1957&gt;0,"xy",""))</f>
        <v/>
      </c>
      <c r="X1958" s="586" t="str">
        <f t="shared" si="461"/>
        <v/>
      </c>
      <c r="Y1958" s="586" t="str">
        <f t="shared" si="431"/>
        <v/>
      </c>
      <c r="Z1958" s="586" t="str">
        <f t="shared" si="488"/>
        <v/>
      </c>
    </row>
    <row r="1959" spans="1:26" ht="12" hidden="1" thickBot="1" x14ac:dyDescent="0.25">
      <c r="A1959" s="567" t="s">
        <v>168</v>
      </c>
      <c r="B1959" s="644" t="s">
        <v>168</v>
      </c>
      <c r="C1959" s="645"/>
      <c r="D1959" s="422" t="s">
        <v>248</v>
      </c>
      <c r="E1959" s="423"/>
      <c r="F1959" s="424">
        <v>180</v>
      </c>
      <c r="G1959" s="425" t="s">
        <v>98</v>
      </c>
      <c r="H1959" s="663">
        <f t="shared" ref="H1959:H1960" si="493">IF(F1959&lt;=30,(1.07*F1959+2.68)*G1959,((1.07*30+2.68)+1.07*(F1959-30))*G1959)</f>
        <v>432.64284000000004</v>
      </c>
      <c r="I1959" s="420">
        <v>0</v>
      </c>
      <c r="J1959" s="420"/>
      <c r="K1959" s="421">
        <f t="shared" si="477"/>
        <v>0</v>
      </c>
      <c r="L1959" s="647"/>
      <c r="M1959" s="723"/>
      <c r="N1959" s="576">
        <f t="shared" si="487"/>
        <v>0</v>
      </c>
      <c r="O1959" s="577">
        <f t="shared" si="480"/>
        <v>0</v>
      </c>
      <c r="P1959" s="578">
        <f t="shared" si="481"/>
        <v>0</v>
      </c>
      <c r="Q1959" s="765"/>
      <c r="R1959" s="723"/>
      <c r="S1959" s="723"/>
      <c r="T1959" s="577">
        <f t="shared" si="478"/>
        <v>0</v>
      </c>
      <c r="U1959" s="578">
        <f t="shared" si="479"/>
        <v>0</v>
      </c>
      <c r="V1959" s="579"/>
      <c r="W1959" s="566" t="str">
        <f>IF(U1957&gt;0,"xx",IF(P1957&gt;0,"xy",""))</f>
        <v/>
      </c>
      <c r="X1959" s="586" t="str">
        <f t="shared" si="461"/>
        <v/>
      </c>
      <c r="Y1959" s="586" t="str">
        <f t="shared" si="431"/>
        <v/>
      </c>
      <c r="Z1959" s="586" t="str">
        <f t="shared" si="488"/>
        <v/>
      </c>
    </row>
    <row r="1960" spans="1:26" ht="12" hidden="1" thickBot="1" x14ac:dyDescent="0.25">
      <c r="A1960" s="567" t="s">
        <v>168</v>
      </c>
      <c r="B1960" s="644" t="s">
        <v>168</v>
      </c>
      <c r="C1960" s="645"/>
      <c r="D1960" s="422" t="s">
        <v>252</v>
      </c>
      <c r="E1960" s="423"/>
      <c r="F1960" s="424">
        <v>20</v>
      </c>
      <c r="G1960" s="425">
        <v>4.0453000000000001</v>
      </c>
      <c r="H1960" s="663">
        <f t="shared" si="493"/>
        <v>97.410824000000005</v>
      </c>
      <c r="I1960" s="420">
        <v>0</v>
      </c>
      <c r="J1960" s="420"/>
      <c r="K1960" s="421">
        <f t="shared" si="477"/>
        <v>0</v>
      </c>
      <c r="L1960" s="647"/>
      <c r="M1960" s="723"/>
      <c r="N1960" s="576">
        <f t="shared" si="487"/>
        <v>0</v>
      </c>
      <c r="O1960" s="577">
        <f t="shared" si="480"/>
        <v>0</v>
      </c>
      <c r="P1960" s="578">
        <f t="shared" si="481"/>
        <v>0</v>
      </c>
      <c r="Q1960" s="765"/>
      <c r="R1960" s="723"/>
      <c r="S1960" s="723"/>
      <c r="T1960" s="577">
        <f t="shared" si="478"/>
        <v>0</v>
      </c>
      <c r="U1960" s="578">
        <f t="shared" si="479"/>
        <v>0</v>
      </c>
      <c r="V1960" s="579"/>
      <c r="W1960" s="566" t="str">
        <f>IF(U1957&gt;0,"xx",IF(P1957&gt;0,"xy",""))</f>
        <v/>
      </c>
      <c r="X1960" s="586" t="str">
        <f t="shared" si="461"/>
        <v/>
      </c>
      <c r="Y1960" s="586" t="str">
        <f t="shared" si="431"/>
        <v/>
      </c>
      <c r="Z1960" s="586" t="str">
        <f t="shared" si="488"/>
        <v/>
      </c>
    </row>
    <row r="1961" spans="1:26" ht="12" hidden="1" thickBot="1" x14ac:dyDescent="0.25">
      <c r="A1961" s="567">
        <v>620800</v>
      </c>
      <c r="B1961" s="644">
        <v>620800</v>
      </c>
      <c r="C1961" s="645" t="s">
        <v>206</v>
      </c>
      <c r="D1961" s="422" t="s">
        <v>364</v>
      </c>
      <c r="E1961" s="423"/>
      <c r="F1961" s="424"/>
      <c r="G1961" s="425"/>
      <c r="H1961" s="651">
        <f>SUM(H1962:H1964)</f>
        <v>1022.8832060000001</v>
      </c>
      <c r="I1961" s="420">
        <v>3147.76</v>
      </c>
      <c r="J1961" s="420">
        <f>IF(ISBLANK(I1961),"",SUM(H1961:I1961))</f>
        <v>4170.6432060000006</v>
      </c>
      <c r="K1961" s="421">
        <f t="shared" si="477"/>
        <v>4955.1400000000003</v>
      </c>
      <c r="L1961" s="647" t="s">
        <v>21</v>
      </c>
      <c r="M1961" s="576"/>
      <c r="N1961" s="576">
        <f t="shared" si="487"/>
        <v>0</v>
      </c>
      <c r="O1961" s="577">
        <f t="shared" si="480"/>
        <v>0</v>
      </c>
      <c r="P1961" s="578">
        <f t="shared" si="481"/>
        <v>0</v>
      </c>
      <c r="Q1961" s="765"/>
      <c r="R1961" s="576">
        <f>M1961</f>
        <v>0</v>
      </c>
      <c r="S1961" s="576">
        <f>N1961</f>
        <v>0</v>
      </c>
      <c r="T1961" s="577">
        <f t="shared" si="478"/>
        <v>0</v>
      </c>
      <c r="U1961" s="578">
        <f t="shared" si="479"/>
        <v>0</v>
      </c>
      <c r="V1961" s="579"/>
      <c r="W1961" s="566"/>
      <c r="X1961" s="586" t="str">
        <f t="shared" si="461"/>
        <v/>
      </c>
      <c r="Y1961" s="586" t="str">
        <f t="shared" si="431"/>
        <v/>
      </c>
      <c r="Z1961" s="586" t="str">
        <f t="shared" si="488"/>
        <v/>
      </c>
    </row>
    <row r="1962" spans="1:26" ht="12" hidden="1" thickBot="1" x14ac:dyDescent="0.25">
      <c r="A1962" s="567" t="s">
        <v>168</v>
      </c>
      <c r="B1962" s="644" t="s">
        <v>168</v>
      </c>
      <c r="C1962" s="645"/>
      <c r="D1962" s="422" t="s">
        <v>212</v>
      </c>
      <c r="E1962" s="423"/>
      <c r="F1962" s="424">
        <v>500</v>
      </c>
      <c r="G1962" s="425">
        <v>0.81930000000000003</v>
      </c>
      <c r="H1962" s="649">
        <f>IF(F1962&lt;=30,(0.78*F1962+7.82)*G1962,((0.78*30+7.82)+0.78*(F1962-30))*G1962)</f>
        <v>325.93392600000004</v>
      </c>
      <c r="I1962" s="420">
        <v>0</v>
      </c>
      <c r="J1962" s="420"/>
      <c r="K1962" s="421">
        <f t="shared" si="477"/>
        <v>0</v>
      </c>
      <c r="L1962" s="647"/>
      <c r="M1962" s="723"/>
      <c r="N1962" s="576">
        <f t="shared" si="487"/>
        <v>0</v>
      </c>
      <c r="O1962" s="577">
        <f t="shared" si="480"/>
        <v>0</v>
      </c>
      <c r="P1962" s="578">
        <f t="shared" si="481"/>
        <v>0</v>
      </c>
      <c r="Q1962" s="765"/>
      <c r="R1962" s="723"/>
      <c r="S1962" s="723"/>
      <c r="T1962" s="577">
        <f t="shared" si="478"/>
        <v>0</v>
      </c>
      <c r="U1962" s="578">
        <f t="shared" si="479"/>
        <v>0</v>
      </c>
      <c r="V1962" s="579"/>
      <c r="W1962" s="566" t="str">
        <f>IF(U1961&gt;0,"xx",IF(P1961&gt;0,"xy",""))</f>
        <v/>
      </c>
      <c r="X1962" s="586" t="str">
        <f t="shared" si="461"/>
        <v/>
      </c>
      <c r="Y1962" s="586" t="str">
        <f t="shared" si="431"/>
        <v/>
      </c>
      <c r="Z1962" s="586" t="str">
        <f t="shared" si="488"/>
        <v/>
      </c>
    </row>
    <row r="1963" spans="1:26" ht="12" hidden="1" thickBot="1" x14ac:dyDescent="0.25">
      <c r="A1963" s="567" t="s">
        <v>168</v>
      </c>
      <c r="B1963" s="644" t="s">
        <v>168</v>
      </c>
      <c r="C1963" s="645"/>
      <c r="D1963" s="422" t="s">
        <v>248</v>
      </c>
      <c r="E1963" s="423"/>
      <c r="F1963" s="424">
        <v>180</v>
      </c>
      <c r="G1963" s="425">
        <v>2.9131</v>
      </c>
      <c r="H1963" s="663">
        <f t="shared" ref="H1963:H1964" si="494">IF(F1963&lt;=30,(1.07*F1963+2.68)*G1963,((1.07*30+2.68)+1.07*(F1963-30))*G1963)</f>
        <v>568.87016800000004</v>
      </c>
      <c r="I1963" s="420">
        <v>0</v>
      </c>
      <c r="J1963" s="420"/>
      <c r="K1963" s="421">
        <f t="shared" si="477"/>
        <v>0</v>
      </c>
      <c r="L1963" s="647"/>
      <c r="M1963" s="723"/>
      <c r="N1963" s="576">
        <f t="shared" si="487"/>
        <v>0</v>
      </c>
      <c r="O1963" s="577">
        <f t="shared" si="480"/>
        <v>0</v>
      </c>
      <c r="P1963" s="578">
        <f t="shared" si="481"/>
        <v>0</v>
      </c>
      <c r="Q1963" s="765"/>
      <c r="R1963" s="723"/>
      <c r="S1963" s="723"/>
      <c r="T1963" s="577">
        <f t="shared" si="478"/>
        <v>0</v>
      </c>
      <c r="U1963" s="578">
        <f t="shared" si="479"/>
        <v>0</v>
      </c>
      <c r="V1963" s="579"/>
      <c r="W1963" s="566" t="str">
        <f>IF(U1961&gt;0,"xx",IF(P1961&gt;0,"xy",""))</f>
        <v/>
      </c>
      <c r="X1963" s="586" t="str">
        <f t="shared" si="461"/>
        <v/>
      </c>
      <c r="Y1963" s="586" t="str">
        <f t="shared" si="431"/>
        <v/>
      </c>
      <c r="Z1963" s="586" t="str">
        <f t="shared" si="488"/>
        <v/>
      </c>
    </row>
    <row r="1964" spans="1:26" ht="12" hidden="1" thickBot="1" x14ac:dyDescent="0.25">
      <c r="A1964" s="567" t="s">
        <v>168</v>
      </c>
      <c r="B1964" s="644" t="s">
        <v>168</v>
      </c>
      <c r="C1964" s="645"/>
      <c r="D1964" s="422" t="s">
        <v>252</v>
      </c>
      <c r="E1964" s="423"/>
      <c r="F1964" s="424">
        <v>20</v>
      </c>
      <c r="G1964" s="425">
        <v>5.3189000000000002</v>
      </c>
      <c r="H1964" s="663">
        <f t="shared" si="494"/>
        <v>128.07911200000001</v>
      </c>
      <c r="I1964" s="420">
        <v>0</v>
      </c>
      <c r="J1964" s="420"/>
      <c r="K1964" s="421">
        <f t="shared" si="477"/>
        <v>0</v>
      </c>
      <c r="L1964" s="647"/>
      <c r="M1964" s="723"/>
      <c r="N1964" s="576">
        <f t="shared" si="487"/>
        <v>0</v>
      </c>
      <c r="O1964" s="577">
        <f t="shared" si="480"/>
        <v>0</v>
      </c>
      <c r="P1964" s="578">
        <f t="shared" si="481"/>
        <v>0</v>
      </c>
      <c r="Q1964" s="765"/>
      <c r="R1964" s="723"/>
      <c r="S1964" s="723"/>
      <c r="T1964" s="577">
        <f t="shared" si="478"/>
        <v>0</v>
      </c>
      <c r="U1964" s="578">
        <f t="shared" si="479"/>
        <v>0</v>
      </c>
      <c r="V1964" s="579"/>
      <c r="W1964" s="566" t="str">
        <f>IF(U1961&gt;0,"xx",IF(P1961&gt;0,"xy",""))</f>
        <v/>
      </c>
      <c r="X1964" s="586" t="str">
        <f t="shared" si="461"/>
        <v/>
      </c>
      <c r="Y1964" s="586" t="str">
        <f t="shared" si="431"/>
        <v/>
      </c>
      <c r="Z1964" s="586" t="str">
        <f t="shared" si="488"/>
        <v/>
      </c>
    </row>
    <row r="1965" spans="1:26" ht="12" hidden="1" thickBot="1" x14ac:dyDescent="0.25">
      <c r="A1965" s="567">
        <v>620900</v>
      </c>
      <c r="B1965" s="644">
        <v>620900</v>
      </c>
      <c r="C1965" s="645" t="s">
        <v>206</v>
      </c>
      <c r="D1965" s="422" t="s">
        <v>365</v>
      </c>
      <c r="E1965" s="423"/>
      <c r="F1965" s="424"/>
      <c r="G1965" s="425"/>
      <c r="H1965" s="651">
        <f>SUM(H1966:H1968)</f>
        <v>2010.6033520000003</v>
      </c>
      <c r="I1965" s="420">
        <v>5533.08</v>
      </c>
      <c r="J1965" s="420">
        <f>IF(ISBLANK(I1965),"",SUM(H1965:I1965))</f>
        <v>7543.683352</v>
      </c>
      <c r="K1965" s="421">
        <f t="shared" si="477"/>
        <v>8962.65</v>
      </c>
      <c r="L1965" s="647" t="s">
        <v>21</v>
      </c>
      <c r="M1965" s="576"/>
      <c r="N1965" s="576">
        <f t="shared" si="487"/>
        <v>0</v>
      </c>
      <c r="O1965" s="577">
        <f t="shared" si="480"/>
        <v>0</v>
      </c>
      <c r="P1965" s="578">
        <f t="shared" si="481"/>
        <v>0</v>
      </c>
      <c r="Q1965" s="765"/>
      <c r="R1965" s="576">
        <f>M1965</f>
        <v>0</v>
      </c>
      <c r="S1965" s="576">
        <f>N1965</f>
        <v>0</v>
      </c>
      <c r="T1965" s="577">
        <f t="shared" si="478"/>
        <v>0</v>
      </c>
      <c r="U1965" s="578">
        <f t="shared" si="479"/>
        <v>0</v>
      </c>
      <c r="V1965" s="579"/>
      <c r="W1965" s="566"/>
      <c r="X1965" s="586" t="str">
        <f t="shared" si="461"/>
        <v/>
      </c>
      <c r="Y1965" s="586" t="str">
        <f t="shared" si="431"/>
        <v/>
      </c>
      <c r="Z1965" s="586" t="str">
        <f t="shared" si="488"/>
        <v/>
      </c>
    </row>
    <row r="1966" spans="1:26" ht="12" hidden="1" thickBot="1" x14ac:dyDescent="0.25">
      <c r="A1966" s="567" t="s">
        <v>168</v>
      </c>
      <c r="B1966" s="644" t="s">
        <v>168</v>
      </c>
      <c r="C1966" s="645"/>
      <c r="D1966" s="422" t="s">
        <v>212</v>
      </c>
      <c r="E1966" s="423"/>
      <c r="F1966" s="424">
        <v>500</v>
      </c>
      <c r="G1966" s="425">
        <v>1.6104000000000001</v>
      </c>
      <c r="H1966" s="649">
        <f>IF(F1966&lt;=30,(0.78*F1966+7.82)*G1966,((0.78*30+7.82)+0.78*(F1966-30))*G1966)</f>
        <v>640.64932800000008</v>
      </c>
      <c r="I1966" s="420">
        <v>0</v>
      </c>
      <c r="J1966" s="420"/>
      <c r="K1966" s="421">
        <f t="shared" si="477"/>
        <v>0</v>
      </c>
      <c r="L1966" s="647"/>
      <c r="M1966" s="723"/>
      <c r="N1966" s="576">
        <f t="shared" si="487"/>
        <v>0</v>
      </c>
      <c r="O1966" s="577">
        <f t="shared" si="480"/>
        <v>0</v>
      </c>
      <c r="P1966" s="578">
        <f t="shared" si="481"/>
        <v>0</v>
      </c>
      <c r="Q1966" s="765"/>
      <c r="R1966" s="723"/>
      <c r="S1966" s="723"/>
      <c r="T1966" s="577">
        <f t="shared" si="478"/>
        <v>0</v>
      </c>
      <c r="U1966" s="578">
        <f t="shared" si="479"/>
        <v>0</v>
      </c>
      <c r="V1966" s="579"/>
      <c r="W1966" s="566" t="str">
        <f>IF(U1965&gt;0,"xx",IF(P1965&gt;0,"xy",""))</f>
        <v/>
      </c>
      <c r="X1966" s="586" t="str">
        <f t="shared" si="461"/>
        <v/>
      </c>
      <c r="Y1966" s="586" t="str">
        <f t="shared" si="431"/>
        <v/>
      </c>
      <c r="Z1966" s="586" t="str">
        <f t="shared" si="488"/>
        <v/>
      </c>
    </row>
    <row r="1967" spans="1:26" ht="12" hidden="1" thickBot="1" x14ac:dyDescent="0.25">
      <c r="A1967" s="567" t="s">
        <v>168</v>
      </c>
      <c r="B1967" s="644" t="s">
        <v>168</v>
      </c>
      <c r="C1967" s="645"/>
      <c r="D1967" s="422" t="s">
        <v>248</v>
      </c>
      <c r="E1967" s="423"/>
      <c r="F1967" s="424">
        <v>180</v>
      </c>
      <c r="G1967" s="425">
        <v>5.7260999999999997</v>
      </c>
      <c r="H1967" s="663">
        <f t="shared" ref="H1967:H1968" si="495">IF(F1967&lt;=30,(1.07*F1967+2.68)*G1967,((1.07*30+2.68)+1.07*(F1967-30))*G1967)</f>
        <v>1118.192808</v>
      </c>
      <c r="I1967" s="420">
        <v>0</v>
      </c>
      <c r="J1967" s="420"/>
      <c r="K1967" s="421">
        <f t="shared" si="477"/>
        <v>0</v>
      </c>
      <c r="L1967" s="647"/>
      <c r="M1967" s="723"/>
      <c r="N1967" s="576">
        <f t="shared" si="487"/>
        <v>0</v>
      </c>
      <c r="O1967" s="577">
        <f t="shared" si="480"/>
        <v>0</v>
      </c>
      <c r="P1967" s="578">
        <f t="shared" si="481"/>
        <v>0</v>
      </c>
      <c r="Q1967" s="765"/>
      <c r="R1967" s="723"/>
      <c r="S1967" s="723"/>
      <c r="T1967" s="577">
        <f t="shared" si="478"/>
        <v>0</v>
      </c>
      <c r="U1967" s="578">
        <f t="shared" si="479"/>
        <v>0</v>
      </c>
      <c r="V1967" s="579"/>
      <c r="W1967" s="566" t="str">
        <f>IF(U1965&gt;0,"xx",IF(P1965&gt;0,"xy",""))</f>
        <v/>
      </c>
      <c r="X1967" s="586" t="str">
        <f t="shared" si="461"/>
        <v/>
      </c>
      <c r="Y1967" s="586" t="str">
        <f t="shared" si="431"/>
        <v/>
      </c>
      <c r="Z1967" s="586" t="str">
        <f t="shared" si="488"/>
        <v/>
      </c>
    </row>
    <row r="1968" spans="1:26" ht="12" hidden="1" thickBot="1" x14ac:dyDescent="0.25">
      <c r="A1968" s="567" t="s">
        <v>168</v>
      </c>
      <c r="B1968" s="644" t="s">
        <v>168</v>
      </c>
      <c r="C1968" s="645"/>
      <c r="D1968" s="422" t="s">
        <v>252</v>
      </c>
      <c r="E1968" s="423"/>
      <c r="F1968" s="424">
        <v>20</v>
      </c>
      <c r="G1968" s="425">
        <v>10.4552</v>
      </c>
      <c r="H1968" s="663">
        <f t="shared" si="495"/>
        <v>251.76121600000002</v>
      </c>
      <c r="I1968" s="420">
        <v>0</v>
      </c>
      <c r="J1968" s="420"/>
      <c r="K1968" s="421">
        <f t="shared" si="477"/>
        <v>0</v>
      </c>
      <c r="L1968" s="647"/>
      <c r="M1968" s="723"/>
      <c r="N1968" s="576">
        <f t="shared" si="487"/>
        <v>0</v>
      </c>
      <c r="O1968" s="577">
        <f t="shared" si="480"/>
        <v>0</v>
      </c>
      <c r="P1968" s="578">
        <f t="shared" si="481"/>
        <v>0</v>
      </c>
      <c r="Q1968" s="765"/>
      <c r="R1968" s="723"/>
      <c r="S1968" s="723"/>
      <c r="T1968" s="577">
        <f t="shared" si="478"/>
        <v>0</v>
      </c>
      <c r="U1968" s="578">
        <f t="shared" si="479"/>
        <v>0</v>
      </c>
      <c r="V1968" s="579"/>
      <c r="W1968" s="566" t="str">
        <f>IF(U1965&gt;0,"xx",IF(P1965&gt;0,"xy",""))</f>
        <v/>
      </c>
      <c r="X1968" s="586" t="str">
        <f t="shared" si="461"/>
        <v/>
      </c>
      <c r="Y1968" s="586" t="str">
        <f t="shared" si="431"/>
        <v/>
      </c>
      <c r="Z1968" s="586" t="str">
        <f t="shared" si="488"/>
        <v/>
      </c>
    </row>
    <row r="1969" spans="1:26" ht="12" hidden="1" thickBot="1" x14ac:dyDescent="0.25">
      <c r="A1969" s="567">
        <v>621000</v>
      </c>
      <c r="B1969" s="644">
        <v>621000</v>
      </c>
      <c r="C1969" s="645" t="s">
        <v>206</v>
      </c>
      <c r="D1969" s="422" t="s">
        <v>366</v>
      </c>
      <c r="E1969" s="423"/>
      <c r="F1969" s="424"/>
      <c r="G1969" s="425"/>
      <c r="H1969" s="651">
        <f>SUM(H1970:H1972)</f>
        <v>3846.6164920000001</v>
      </c>
      <c r="I1969" s="420">
        <v>9821.8000000000011</v>
      </c>
      <c r="J1969" s="420">
        <f>IF(ISBLANK(I1969),"",SUM(H1969:I1969))</f>
        <v>13668.416492</v>
      </c>
      <c r="K1969" s="421">
        <f t="shared" si="477"/>
        <v>16239.45</v>
      </c>
      <c r="L1969" s="647" t="s">
        <v>21</v>
      </c>
      <c r="M1969" s="576"/>
      <c r="N1969" s="576">
        <f t="shared" si="487"/>
        <v>0</v>
      </c>
      <c r="O1969" s="577">
        <f t="shared" si="480"/>
        <v>0</v>
      </c>
      <c r="P1969" s="578">
        <f t="shared" si="481"/>
        <v>0</v>
      </c>
      <c r="Q1969" s="765"/>
      <c r="R1969" s="576">
        <f>M1969</f>
        <v>0</v>
      </c>
      <c r="S1969" s="576">
        <f>N1969</f>
        <v>0</v>
      </c>
      <c r="T1969" s="577">
        <f t="shared" si="478"/>
        <v>0</v>
      </c>
      <c r="U1969" s="578">
        <f t="shared" si="479"/>
        <v>0</v>
      </c>
      <c r="V1969" s="579"/>
      <c r="W1969" s="566"/>
      <c r="X1969" s="586" t="str">
        <f t="shared" si="461"/>
        <v/>
      </c>
      <c r="Y1969" s="586" t="str">
        <f t="shared" si="431"/>
        <v/>
      </c>
      <c r="Z1969" s="586" t="str">
        <f t="shared" si="488"/>
        <v/>
      </c>
    </row>
    <row r="1970" spans="1:26" ht="12" hidden="1" thickBot="1" x14ac:dyDescent="0.25">
      <c r="A1970" s="567" t="s">
        <v>168</v>
      </c>
      <c r="B1970" s="644" t="s">
        <v>168</v>
      </c>
      <c r="C1970" s="645"/>
      <c r="D1970" s="422" t="s">
        <v>212</v>
      </c>
      <c r="E1970" s="423"/>
      <c r="F1970" s="424">
        <v>500</v>
      </c>
      <c r="G1970" s="425">
        <v>3.081</v>
      </c>
      <c r="H1970" s="649">
        <f>IF(F1970&lt;=30,(0.78*F1970+7.82)*G1970,((0.78*30+7.82)+0.78*(F1970-30))*G1970)</f>
        <v>1225.6834200000001</v>
      </c>
      <c r="I1970" s="420">
        <v>0</v>
      </c>
      <c r="J1970" s="420"/>
      <c r="K1970" s="421">
        <f t="shared" si="477"/>
        <v>0</v>
      </c>
      <c r="L1970" s="647"/>
      <c r="M1970" s="723"/>
      <c r="N1970" s="576">
        <f t="shared" si="487"/>
        <v>0</v>
      </c>
      <c r="O1970" s="577">
        <f t="shared" si="480"/>
        <v>0</v>
      </c>
      <c r="P1970" s="578">
        <f t="shared" si="481"/>
        <v>0</v>
      </c>
      <c r="Q1970" s="765"/>
      <c r="R1970" s="723"/>
      <c r="S1970" s="723"/>
      <c r="T1970" s="577">
        <f t="shared" si="478"/>
        <v>0</v>
      </c>
      <c r="U1970" s="578">
        <f t="shared" si="479"/>
        <v>0</v>
      </c>
      <c r="V1970" s="579"/>
      <c r="W1970" s="566" t="str">
        <f>IF(U1969&gt;0,"xx",IF(P1969&gt;0,"xy",""))</f>
        <v/>
      </c>
      <c r="X1970" s="586" t="str">
        <f t="shared" ref="X1970:X2038" si="496">IF(W1970="X","x",IF(W1970="xx","x",IF(W1970="xy","x",IF(W1970="y","x",IF(OR(P1970&gt;0,U1970&gt;0),"x","")))))</f>
        <v/>
      </c>
      <c r="Y1970" s="586" t="str">
        <f t="shared" si="431"/>
        <v/>
      </c>
      <c r="Z1970" s="586" t="str">
        <f t="shared" si="488"/>
        <v/>
      </c>
    </row>
    <row r="1971" spans="1:26" ht="12" hidden="1" thickBot="1" x14ac:dyDescent="0.25">
      <c r="A1971" s="567" t="s">
        <v>168</v>
      </c>
      <c r="B1971" s="644" t="s">
        <v>168</v>
      </c>
      <c r="C1971" s="645"/>
      <c r="D1971" s="422" t="s">
        <v>248</v>
      </c>
      <c r="E1971" s="423"/>
      <c r="F1971" s="424">
        <v>180</v>
      </c>
      <c r="G1971" s="425">
        <v>10.9549</v>
      </c>
      <c r="H1971" s="663">
        <f t="shared" ref="H1971:H1972" si="497">IF(F1971&lt;=30,(1.07*F1971+2.68)*G1971,((1.07*30+2.68)+1.07*(F1971-30))*G1971)</f>
        <v>2139.272872</v>
      </c>
      <c r="I1971" s="420">
        <v>0</v>
      </c>
      <c r="J1971" s="420"/>
      <c r="K1971" s="421">
        <f t="shared" si="477"/>
        <v>0</v>
      </c>
      <c r="L1971" s="647"/>
      <c r="M1971" s="723"/>
      <c r="N1971" s="576">
        <f t="shared" si="487"/>
        <v>0</v>
      </c>
      <c r="O1971" s="577">
        <f t="shared" si="480"/>
        <v>0</v>
      </c>
      <c r="P1971" s="578">
        <f t="shared" si="481"/>
        <v>0</v>
      </c>
      <c r="Q1971" s="765"/>
      <c r="R1971" s="723"/>
      <c r="S1971" s="723"/>
      <c r="T1971" s="577">
        <f t="shared" si="478"/>
        <v>0</v>
      </c>
      <c r="U1971" s="578">
        <f t="shared" si="479"/>
        <v>0</v>
      </c>
      <c r="V1971" s="579"/>
      <c r="W1971" s="566" t="str">
        <f>IF(U1969&gt;0,"xx",IF(P1969&gt;0,"xy",""))</f>
        <v/>
      </c>
      <c r="X1971" s="586" t="str">
        <f t="shared" si="496"/>
        <v/>
      </c>
      <c r="Y1971" s="586" t="str">
        <f t="shared" si="431"/>
        <v/>
      </c>
      <c r="Z1971" s="586" t="str">
        <f t="shared" si="488"/>
        <v/>
      </c>
    </row>
    <row r="1972" spans="1:26" ht="12" hidden="1" thickBot="1" x14ac:dyDescent="0.25">
      <c r="A1972" s="567" t="s">
        <v>168</v>
      </c>
      <c r="B1972" s="644" t="s">
        <v>168</v>
      </c>
      <c r="C1972" s="645"/>
      <c r="D1972" s="422" t="s">
        <v>252</v>
      </c>
      <c r="E1972" s="423"/>
      <c r="F1972" s="424">
        <v>20</v>
      </c>
      <c r="G1972" s="425">
        <v>20.002500000000001</v>
      </c>
      <c r="H1972" s="663">
        <f t="shared" si="497"/>
        <v>481.66020000000009</v>
      </c>
      <c r="I1972" s="420">
        <v>0</v>
      </c>
      <c r="J1972" s="420"/>
      <c r="K1972" s="421">
        <f t="shared" si="477"/>
        <v>0</v>
      </c>
      <c r="L1972" s="647"/>
      <c r="M1972" s="723"/>
      <c r="N1972" s="576">
        <f t="shared" si="487"/>
        <v>0</v>
      </c>
      <c r="O1972" s="577">
        <f t="shared" si="480"/>
        <v>0</v>
      </c>
      <c r="P1972" s="578">
        <f t="shared" si="481"/>
        <v>0</v>
      </c>
      <c r="Q1972" s="765"/>
      <c r="R1972" s="723"/>
      <c r="S1972" s="723"/>
      <c r="T1972" s="577">
        <f t="shared" si="478"/>
        <v>0</v>
      </c>
      <c r="U1972" s="578">
        <f t="shared" si="479"/>
        <v>0</v>
      </c>
      <c r="V1972" s="579"/>
      <c r="W1972" s="566" t="str">
        <f>IF(U1969&gt;0,"xx",IF(P1969&gt;0,"xy",""))</f>
        <v/>
      </c>
      <c r="X1972" s="586" t="str">
        <f t="shared" si="496"/>
        <v/>
      </c>
      <c r="Y1972" s="586" t="str">
        <f t="shared" si="431"/>
        <v/>
      </c>
      <c r="Z1972" s="586" t="str">
        <f t="shared" si="488"/>
        <v/>
      </c>
    </row>
    <row r="1973" spans="1:26" ht="12" hidden="1" thickBot="1" x14ac:dyDescent="0.25">
      <c r="A1973" s="567">
        <v>620100</v>
      </c>
      <c r="B1973" s="644" t="s">
        <v>1664</v>
      </c>
      <c r="C1973" s="645" t="s">
        <v>206</v>
      </c>
      <c r="D1973" s="422" t="s">
        <v>367</v>
      </c>
      <c r="E1973" s="423"/>
      <c r="F1973" s="424"/>
      <c r="G1973" s="425"/>
      <c r="H1973" s="651">
        <f>SUM(H1974:H1976)</f>
        <v>468.02189600000008</v>
      </c>
      <c r="I1973" s="420">
        <v>1587.9896375507797</v>
      </c>
      <c r="J1973" s="420">
        <f>IF(ISBLANK(I1973),"",SUM(H1973:I1973))</f>
        <v>2056.0115335507799</v>
      </c>
      <c r="K1973" s="421">
        <f t="shared" si="477"/>
        <v>2442.75</v>
      </c>
      <c r="L1973" s="647" t="s">
        <v>21</v>
      </c>
      <c r="M1973" s="576"/>
      <c r="N1973" s="576">
        <f t="shared" si="487"/>
        <v>0</v>
      </c>
      <c r="O1973" s="577">
        <f t="shared" si="480"/>
        <v>0</v>
      </c>
      <c r="P1973" s="578">
        <f t="shared" si="481"/>
        <v>0</v>
      </c>
      <c r="Q1973" s="765"/>
      <c r="R1973" s="576">
        <f>M1973</f>
        <v>0</v>
      </c>
      <c r="S1973" s="576">
        <f>N1973</f>
        <v>0</v>
      </c>
      <c r="T1973" s="577">
        <f t="shared" si="478"/>
        <v>0</v>
      </c>
      <c r="U1973" s="578">
        <f t="shared" si="479"/>
        <v>0</v>
      </c>
      <c r="V1973" s="579"/>
      <c r="W1973" s="566"/>
      <c r="X1973" s="586" t="str">
        <f t="shared" si="496"/>
        <v/>
      </c>
      <c r="Y1973" s="586" t="str">
        <f t="shared" si="431"/>
        <v/>
      </c>
      <c r="Z1973" s="586" t="str">
        <f t="shared" si="488"/>
        <v/>
      </c>
    </row>
    <row r="1974" spans="1:26" ht="12" hidden="1" thickBot="1" x14ac:dyDescent="0.25">
      <c r="A1974" s="567" t="s">
        <v>168</v>
      </c>
      <c r="B1974" s="644" t="s">
        <v>168</v>
      </c>
      <c r="C1974" s="645"/>
      <c r="D1974" s="422" t="s">
        <v>212</v>
      </c>
      <c r="E1974" s="423"/>
      <c r="F1974" s="424">
        <v>500</v>
      </c>
      <c r="G1974" s="425">
        <v>0.37480000000000002</v>
      </c>
      <c r="H1974" s="649">
        <f>IF(F1974&lt;=30,(0.78*F1974+7.82)*G1974,((0.78*30+7.82)+0.78*(F1974-30))*G1974)</f>
        <v>149.10293600000003</v>
      </c>
      <c r="I1974" s="420">
        <v>0</v>
      </c>
      <c r="J1974" s="420"/>
      <c r="K1974" s="421">
        <f t="shared" si="477"/>
        <v>0</v>
      </c>
      <c r="L1974" s="647"/>
      <c r="M1974" s="723"/>
      <c r="N1974" s="576">
        <f t="shared" si="487"/>
        <v>0</v>
      </c>
      <c r="O1974" s="577">
        <f t="shared" si="480"/>
        <v>0</v>
      </c>
      <c r="P1974" s="578">
        <f t="shared" si="481"/>
        <v>0</v>
      </c>
      <c r="Q1974" s="765"/>
      <c r="R1974" s="723"/>
      <c r="S1974" s="723"/>
      <c r="T1974" s="577">
        <f t="shared" si="478"/>
        <v>0</v>
      </c>
      <c r="U1974" s="578">
        <f t="shared" si="479"/>
        <v>0</v>
      </c>
      <c r="V1974" s="579"/>
      <c r="W1974" s="566" t="str">
        <f>IF(U1973&gt;0,"xx",IF(P1973&gt;0,"xy",""))</f>
        <v/>
      </c>
      <c r="X1974" s="586" t="str">
        <f t="shared" si="496"/>
        <v/>
      </c>
      <c r="Y1974" s="586" t="str">
        <f t="shared" si="431"/>
        <v/>
      </c>
      <c r="Z1974" s="586" t="str">
        <f t="shared" si="488"/>
        <v/>
      </c>
    </row>
    <row r="1975" spans="1:26" ht="12" hidden="1" thickBot="1" x14ac:dyDescent="0.25">
      <c r="A1975" s="567" t="s">
        <v>168</v>
      </c>
      <c r="B1975" s="644" t="s">
        <v>168</v>
      </c>
      <c r="C1975" s="645"/>
      <c r="D1975" s="422" t="s">
        <v>248</v>
      </c>
      <c r="E1975" s="423"/>
      <c r="F1975" s="424">
        <v>180</v>
      </c>
      <c r="G1975" s="425">
        <v>1.333</v>
      </c>
      <c r="H1975" s="663">
        <f t="shared" ref="H1975:H1976" si="498">IF(F1975&lt;=30,(1.07*F1975+2.68)*G1975,((1.07*30+2.68)+1.07*(F1975-30))*G1975)</f>
        <v>260.30824000000001</v>
      </c>
      <c r="I1975" s="420">
        <v>0</v>
      </c>
      <c r="J1975" s="420"/>
      <c r="K1975" s="421">
        <f t="shared" si="477"/>
        <v>0</v>
      </c>
      <c r="L1975" s="647"/>
      <c r="M1975" s="723"/>
      <c r="N1975" s="576">
        <f t="shared" si="487"/>
        <v>0</v>
      </c>
      <c r="O1975" s="577">
        <f t="shared" si="480"/>
        <v>0</v>
      </c>
      <c r="P1975" s="578">
        <f t="shared" si="481"/>
        <v>0</v>
      </c>
      <c r="Q1975" s="765"/>
      <c r="R1975" s="723"/>
      <c r="S1975" s="723"/>
      <c r="T1975" s="577">
        <f t="shared" si="478"/>
        <v>0</v>
      </c>
      <c r="U1975" s="578">
        <f t="shared" si="479"/>
        <v>0</v>
      </c>
      <c r="V1975" s="579"/>
      <c r="W1975" s="566" t="str">
        <f>IF(U1973&gt;0,"xx",IF(P1973&gt;0,"xy",""))</f>
        <v/>
      </c>
      <c r="X1975" s="586" t="str">
        <f t="shared" si="496"/>
        <v/>
      </c>
      <c r="Y1975" s="586" t="str">
        <f t="shared" si="431"/>
        <v/>
      </c>
      <c r="Z1975" s="586" t="str">
        <f t="shared" si="488"/>
        <v/>
      </c>
    </row>
    <row r="1976" spans="1:26" ht="12" hidden="1" thickBot="1" x14ac:dyDescent="0.25">
      <c r="A1976" s="567" t="s">
        <v>168</v>
      </c>
      <c r="B1976" s="644" t="s">
        <v>168</v>
      </c>
      <c r="C1976" s="645"/>
      <c r="D1976" s="422" t="s">
        <v>252</v>
      </c>
      <c r="E1976" s="423"/>
      <c r="F1976" s="424">
        <v>20</v>
      </c>
      <c r="G1976" s="425">
        <v>2.4340000000000002</v>
      </c>
      <c r="H1976" s="663">
        <f t="shared" si="498"/>
        <v>58.610720000000008</v>
      </c>
      <c r="I1976" s="420">
        <v>0</v>
      </c>
      <c r="J1976" s="420"/>
      <c r="K1976" s="421">
        <f t="shared" si="477"/>
        <v>0</v>
      </c>
      <c r="L1976" s="647"/>
      <c r="M1976" s="723"/>
      <c r="N1976" s="576">
        <f t="shared" si="487"/>
        <v>0</v>
      </c>
      <c r="O1976" s="577">
        <f t="shared" si="480"/>
        <v>0</v>
      </c>
      <c r="P1976" s="578">
        <f t="shared" si="481"/>
        <v>0</v>
      </c>
      <c r="Q1976" s="765"/>
      <c r="R1976" s="723"/>
      <c r="S1976" s="723"/>
      <c r="T1976" s="577">
        <f t="shared" si="478"/>
        <v>0</v>
      </c>
      <c r="U1976" s="578">
        <f t="shared" si="479"/>
        <v>0</v>
      </c>
      <c r="V1976" s="579"/>
      <c r="W1976" s="566" t="str">
        <f>IF(U1973&gt;0,"xx",IF(P1973&gt;0,"xy",""))</f>
        <v/>
      </c>
      <c r="X1976" s="586" t="str">
        <f t="shared" si="496"/>
        <v/>
      </c>
      <c r="Y1976" s="586" t="str">
        <f t="shared" si="431"/>
        <v/>
      </c>
      <c r="Z1976" s="586" t="str">
        <f t="shared" si="488"/>
        <v/>
      </c>
    </row>
    <row r="1977" spans="1:26" ht="12" hidden="1" thickBot="1" x14ac:dyDescent="0.25">
      <c r="A1977" s="567">
        <v>620200</v>
      </c>
      <c r="B1977" s="644" t="s">
        <v>1667</v>
      </c>
      <c r="C1977" s="645" t="s">
        <v>206</v>
      </c>
      <c r="D1977" s="422" t="s">
        <v>368</v>
      </c>
      <c r="E1977" s="423"/>
      <c r="F1977" s="424"/>
      <c r="G1977" s="425">
        <v>0</v>
      </c>
      <c r="H1977" s="651">
        <f>SUM(H1978:H1980)</f>
        <v>678.65092800000014</v>
      </c>
      <c r="I1977" s="420">
        <v>2216.3489884477904</v>
      </c>
      <c r="J1977" s="420">
        <f>IF(ISBLANK(I1977),"",SUM(H1977:I1977))</f>
        <v>2894.9999164477904</v>
      </c>
      <c r="K1977" s="421">
        <f t="shared" si="477"/>
        <v>3439.55</v>
      </c>
      <c r="L1977" s="647" t="s">
        <v>21</v>
      </c>
      <c r="M1977" s="576"/>
      <c r="N1977" s="576">
        <f t="shared" si="487"/>
        <v>0</v>
      </c>
      <c r="O1977" s="577">
        <f t="shared" si="480"/>
        <v>0</v>
      </c>
      <c r="P1977" s="578">
        <f t="shared" si="481"/>
        <v>0</v>
      </c>
      <c r="Q1977" s="765"/>
      <c r="R1977" s="576">
        <f>M1977</f>
        <v>0</v>
      </c>
      <c r="S1977" s="576">
        <f>N1977</f>
        <v>0</v>
      </c>
      <c r="T1977" s="577">
        <f t="shared" si="478"/>
        <v>0</v>
      </c>
      <c r="U1977" s="578">
        <f t="shared" si="479"/>
        <v>0</v>
      </c>
      <c r="V1977" s="579"/>
      <c r="W1977" s="566"/>
      <c r="X1977" s="586" t="str">
        <f t="shared" si="496"/>
        <v/>
      </c>
      <c r="Y1977" s="586" t="str">
        <f t="shared" si="431"/>
        <v/>
      </c>
      <c r="Z1977" s="586" t="str">
        <f t="shared" si="488"/>
        <v/>
      </c>
    </row>
    <row r="1978" spans="1:26" ht="12" hidden="1" thickBot="1" x14ac:dyDescent="0.25">
      <c r="A1978" s="567" t="s">
        <v>168</v>
      </c>
      <c r="B1978" s="644" t="s">
        <v>168</v>
      </c>
      <c r="C1978" s="645"/>
      <c r="D1978" s="422" t="s">
        <v>212</v>
      </c>
      <c r="E1978" s="423"/>
      <c r="F1978" s="424">
        <v>500</v>
      </c>
      <c r="G1978" s="425">
        <v>0.54359999999999997</v>
      </c>
      <c r="H1978" s="649">
        <f>IF(F1978&lt;=30,(0.78*F1978+7.82)*G1978,((0.78*30+7.82)+0.78*(F1978-30))*G1978)</f>
        <v>216.254952</v>
      </c>
      <c r="I1978" s="420">
        <v>0</v>
      </c>
      <c r="J1978" s="420"/>
      <c r="K1978" s="421">
        <f t="shared" si="477"/>
        <v>0</v>
      </c>
      <c r="L1978" s="647"/>
      <c r="M1978" s="723"/>
      <c r="N1978" s="576">
        <f t="shared" si="487"/>
        <v>0</v>
      </c>
      <c r="O1978" s="577">
        <f t="shared" si="480"/>
        <v>0</v>
      </c>
      <c r="P1978" s="578">
        <f t="shared" si="481"/>
        <v>0</v>
      </c>
      <c r="Q1978" s="765"/>
      <c r="R1978" s="723"/>
      <c r="S1978" s="723"/>
      <c r="T1978" s="577">
        <f t="shared" si="478"/>
        <v>0</v>
      </c>
      <c r="U1978" s="578">
        <f t="shared" si="479"/>
        <v>0</v>
      </c>
      <c r="V1978" s="579"/>
      <c r="W1978" s="566" t="str">
        <f>IF(U1977&gt;0,"xx",IF(P1977&gt;0,"xy",""))</f>
        <v/>
      </c>
      <c r="X1978" s="586" t="str">
        <f t="shared" si="496"/>
        <v/>
      </c>
      <c r="Y1978" s="586" t="str">
        <f t="shared" si="431"/>
        <v/>
      </c>
      <c r="Z1978" s="586" t="str">
        <f t="shared" si="488"/>
        <v/>
      </c>
    </row>
    <row r="1979" spans="1:26" ht="12" hidden="1" thickBot="1" x14ac:dyDescent="0.25">
      <c r="A1979" s="567" t="s">
        <v>168</v>
      </c>
      <c r="B1979" s="644" t="s">
        <v>168</v>
      </c>
      <c r="C1979" s="645"/>
      <c r="D1979" s="422" t="s">
        <v>248</v>
      </c>
      <c r="E1979" s="423"/>
      <c r="F1979" s="424">
        <v>180</v>
      </c>
      <c r="G1979" s="425">
        <v>1.9327000000000001</v>
      </c>
      <c r="H1979" s="663">
        <f t="shared" ref="H1979:H1980" si="499">IF(F1979&lt;=30,(1.07*F1979+2.68)*G1979,((1.07*30+2.68)+1.07*(F1979-30))*G1979)</f>
        <v>377.41765600000002</v>
      </c>
      <c r="I1979" s="420">
        <v>0</v>
      </c>
      <c r="J1979" s="420"/>
      <c r="K1979" s="421">
        <f t="shared" si="477"/>
        <v>0</v>
      </c>
      <c r="L1979" s="647"/>
      <c r="M1979" s="723"/>
      <c r="N1979" s="576">
        <f t="shared" si="487"/>
        <v>0</v>
      </c>
      <c r="O1979" s="577">
        <f t="shared" si="480"/>
        <v>0</v>
      </c>
      <c r="P1979" s="578">
        <f t="shared" si="481"/>
        <v>0</v>
      </c>
      <c r="Q1979" s="765"/>
      <c r="R1979" s="723"/>
      <c r="S1979" s="723"/>
      <c r="T1979" s="577">
        <f t="shared" si="478"/>
        <v>0</v>
      </c>
      <c r="U1979" s="578">
        <f t="shared" si="479"/>
        <v>0</v>
      </c>
      <c r="V1979" s="579"/>
      <c r="W1979" s="566" t="str">
        <f>IF(U1977&gt;0,"xx",IF(P1977&gt;0,"xy",""))</f>
        <v/>
      </c>
      <c r="X1979" s="586" t="str">
        <f t="shared" si="496"/>
        <v/>
      </c>
      <c r="Y1979" s="586" t="str">
        <f t="shared" si="431"/>
        <v/>
      </c>
      <c r="Z1979" s="586" t="str">
        <f t="shared" si="488"/>
        <v/>
      </c>
    </row>
    <row r="1980" spans="1:26" ht="12" hidden="1" thickBot="1" x14ac:dyDescent="0.25">
      <c r="A1980" s="567" t="s">
        <v>168</v>
      </c>
      <c r="B1980" s="644" t="s">
        <v>168</v>
      </c>
      <c r="C1980" s="645"/>
      <c r="D1980" s="422" t="s">
        <v>252</v>
      </c>
      <c r="E1980" s="423"/>
      <c r="F1980" s="424">
        <v>20</v>
      </c>
      <c r="G1980" s="425">
        <v>3.5289999999999999</v>
      </c>
      <c r="H1980" s="663">
        <f t="shared" si="499"/>
        <v>84.978320000000011</v>
      </c>
      <c r="I1980" s="420">
        <v>0</v>
      </c>
      <c r="J1980" s="420"/>
      <c r="K1980" s="421">
        <f t="shared" si="477"/>
        <v>0</v>
      </c>
      <c r="L1980" s="647"/>
      <c r="M1980" s="723"/>
      <c r="N1980" s="576">
        <f t="shared" si="487"/>
        <v>0</v>
      </c>
      <c r="O1980" s="577">
        <f t="shared" si="480"/>
        <v>0</v>
      </c>
      <c r="P1980" s="578">
        <f t="shared" si="481"/>
        <v>0</v>
      </c>
      <c r="Q1980" s="765"/>
      <c r="R1980" s="723"/>
      <c r="S1980" s="723"/>
      <c r="T1980" s="577">
        <f t="shared" si="478"/>
        <v>0</v>
      </c>
      <c r="U1980" s="578">
        <f t="shared" si="479"/>
        <v>0</v>
      </c>
      <c r="V1980" s="579"/>
      <c r="W1980" s="566" t="str">
        <f>IF(U1977&gt;0,"xx",IF(P1977&gt;0,"xy",""))</f>
        <v/>
      </c>
      <c r="X1980" s="586" t="str">
        <f t="shared" si="496"/>
        <v/>
      </c>
      <c r="Y1980" s="586" t="str">
        <f t="shared" si="431"/>
        <v/>
      </c>
      <c r="Z1980" s="586" t="str">
        <f t="shared" si="488"/>
        <v/>
      </c>
    </row>
    <row r="1981" spans="1:26" ht="12" hidden="1" thickBot="1" x14ac:dyDescent="0.25">
      <c r="A1981" s="567">
        <v>621100</v>
      </c>
      <c r="B1981" s="644">
        <v>621100</v>
      </c>
      <c r="C1981" s="645" t="s">
        <v>206</v>
      </c>
      <c r="D1981" s="422" t="s">
        <v>369</v>
      </c>
      <c r="E1981" s="423"/>
      <c r="F1981" s="424"/>
      <c r="G1981" s="425"/>
      <c r="H1981" s="651">
        <f>SUM(H1982:H1984)</f>
        <v>1018.392814</v>
      </c>
      <c r="I1981" s="420">
        <v>3160.98</v>
      </c>
      <c r="J1981" s="420">
        <f>IF(ISBLANK(I1981),"",SUM(H1981:I1981))</f>
        <v>4179.3728140000003</v>
      </c>
      <c r="K1981" s="421">
        <f t="shared" si="477"/>
        <v>4965.51</v>
      </c>
      <c r="L1981" s="647" t="s">
        <v>21</v>
      </c>
      <c r="M1981" s="576"/>
      <c r="N1981" s="576">
        <f t="shared" si="487"/>
        <v>0</v>
      </c>
      <c r="O1981" s="577">
        <f t="shared" si="480"/>
        <v>0</v>
      </c>
      <c r="P1981" s="578">
        <f t="shared" si="481"/>
        <v>0</v>
      </c>
      <c r="Q1981" s="765"/>
      <c r="R1981" s="576">
        <f>M1981</f>
        <v>0</v>
      </c>
      <c r="S1981" s="576">
        <f>N1981</f>
        <v>0</v>
      </c>
      <c r="T1981" s="577">
        <f t="shared" si="478"/>
        <v>0</v>
      </c>
      <c r="U1981" s="578">
        <f t="shared" si="479"/>
        <v>0</v>
      </c>
      <c r="V1981" s="579"/>
      <c r="W1981" s="566"/>
      <c r="X1981" s="586" t="str">
        <f t="shared" si="496"/>
        <v/>
      </c>
      <c r="Y1981" s="586" t="str">
        <f t="shared" si="431"/>
        <v/>
      </c>
      <c r="Z1981" s="586" t="str">
        <f t="shared" si="488"/>
        <v/>
      </c>
    </row>
    <row r="1982" spans="1:26" ht="12" hidden="1" thickBot="1" x14ac:dyDescent="0.25">
      <c r="A1982" s="567" t="s">
        <v>168</v>
      </c>
      <c r="B1982" s="644" t="s">
        <v>168</v>
      </c>
      <c r="C1982" s="645"/>
      <c r="D1982" s="422" t="s">
        <v>212</v>
      </c>
      <c r="E1982" s="423"/>
      <c r="F1982" s="424">
        <v>500</v>
      </c>
      <c r="G1982" s="425">
        <v>0.81569999999999998</v>
      </c>
      <c r="H1982" s="649">
        <f>IF(F1982&lt;=30,(0.78*F1982+7.82)*G1982,((0.78*30+7.82)+0.78*(F1982-30))*G1982)</f>
        <v>324.50177400000001</v>
      </c>
      <c r="I1982" s="420">
        <v>0</v>
      </c>
      <c r="J1982" s="420"/>
      <c r="K1982" s="421">
        <f t="shared" si="477"/>
        <v>0</v>
      </c>
      <c r="L1982" s="647"/>
      <c r="M1982" s="723"/>
      <c r="N1982" s="576">
        <f t="shared" si="487"/>
        <v>0</v>
      </c>
      <c r="O1982" s="577">
        <f t="shared" si="480"/>
        <v>0</v>
      </c>
      <c r="P1982" s="578">
        <f t="shared" si="481"/>
        <v>0</v>
      </c>
      <c r="Q1982" s="765"/>
      <c r="R1982" s="723"/>
      <c r="S1982" s="723"/>
      <c r="T1982" s="577">
        <f t="shared" si="478"/>
        <v>0</v>
      </c>
      <c r="U1982" s="578">
        <f t="shared" si="479"/>
        <v>0</v>
      </c>
      <c r="V1982" s="579"/>
      <c r="W1982" s="566" t="str">
        <f>IF(U1981&gt;0,"xx",IF(P1981&gt;0,"xy",""))</f>
        <v/>
      </c>
      <c r="X1982" s="586" t="str">
        <f t="shared" si="496"/>
        <v/>
      </c>
      <c r="Y1982" s="586" t="str">
        <f t="shared" si="431"/>
        <v/>
      </c>
      <c r="Z1982" s="586" t="str">
        <f t="shared" si="488"/>
        <v/>
      </c>
    </row>
    <row r="1983" spans="1:26" ht="12" hidden="1" thickBot="1" x14ac:dyDescent="0.25">
      <c r="A1983" s="567" t="s">
        <v>168</v>
      </c>
      <c r="B1983" s="644" t="s">
        <v>168</v>
      </c>
      <c r="C1983" s="645"/>
      <c r="D1983" s="422" t="s">
        <v>248</v>
      </c>
      <c r="E1983" s="423"/>
      <c r="F1983" s="424">
        <v>180</v>
      </c>
      <c r="G1983" s="425">
        <v>2.9003000000000001</v>
      </c>
      <c r="H1983" s="663">
        <f t="shared" ref="H1983:H1984" si="500">IF(F1983&lt;=30,(1.07*F1983+2.68)*G1983,((1.07*30+2.68)+1.07*(F1983-30))*G1983)</f>
        <v>566.37058400000001</v>
      </c>
      <c r="I1983" s="420">
        <v>0</v>
      </c>
      <c r="J1983" s="420"/>
      <c r="K1983" s="421">
        <f t="shared" si="477"/>
        <v>0</v>
      </c>
      <c r="L1983" s="647"/>
      <c r="M1983" s="723"/>
      <c r="N1983" s="576">
        <f t="shared" si="487"/>
        <v>0</v>
      </c>
      <c r="O1983" s="577">
        <f t="shared" si="480"/>
        <v>0</v>
      </c>
      <c r="P1983" s="578">
        <f t="shared" si="481"/>
        <v>0</v>
      </c>
      <c r="Q1983" s="765"/>
      <c r="R1983" s="723"/>
      <c r="S1983" s="723"/>
      <c r="T1983" s="577">
        <f t="shared" si="478"/>
        <v>0</v>
      </c>
      <c r="U1983" s="578">
        <f t="shared" si="479"/>
        <v>0</v>
      </c>
      <c r="V1983" s="579"/>
      <c r="W1983" s="566" t="str">
        <f>IF(U1981&gt;0,"xx",IF(P1981&gt;0,"xy",""))</f>
        <v/>
      </c>
      <c r="X1983" s="586" t="str">
        <f t="shared" si="496"/>
        <v/>
      </c>
      <c r="Y1983" s="586" t="str">
        <f t="shared" si="431"/>
        <v/>
      </c>
      <c r="Z1983" s="586" t="str">
        <f t="shared" si="488"/>
        <v/>
      </c>
    </row>
    <row r="1984" spans="1:26" ht="12" hidden="1" thickBot="1" x14ac:dyDescent="0.25">
      <c r="A1984" s="567" t="s">
        <v>168</v>
      </c>
      <c r="B1984" s="644" t="s">
        <v>168</v>
      </c>
      <c r="C1984" s="645"/>
      <c r="D1984" s="422" t="s">
        <v>252</v>
      </c>
      <c r="E1984" s="423"/>
      <c r="F1984" s="424">
        <v>20</v>
      </c>
      <c r="G1984" s="425">
        <v>5.2957000000000001</v>
      </c>
      <c r="H1984" s="663">
        <f t="shared" si="500"/>
        <v>127.52045600000001</v>
      </c>
      <c r="I1984" s="420">
        <v>0</v>
      </c>
      <c r="J1984" s="420"/>
      <c r="K1984" s="421">
        <f t="shared" ref="K1984:K2047" si="501">IF(ISBLANK(I1984),0,ROUND(J1984*(1+$F$10)*(1+$F$11*E1984),2))</f>
        <v>0</v>
      </c>
      <c r="L1984" s="647"/>
      <c r="M1984" s="723"/>
      <c r="N1984" s="576">
        <f t="shared" si="487"/>
        <v>0</v>
      </c>
      <c r="O1984" s="577">
        <f t="shared" si="480"/>
        <v>0</v>
      </c>
      <c r="P1984" s="578">
        <f t="shared" si="481"/>
        <v>0</v>
      </c>
      <c r="Q1984" s="765"/>
      <c r="R1984" s="723"/>
      <c r="S1984" s="723"/>
      <c r="T1984" s="577">
        <f t="shared" ref="T1984:T2047" si="502">IF(ISBLANK(R1984),0,ROUND(K1984*R1984,2))</f>
        <v>0</v>
      </c>
      <c r="U1984" s="578">
        <f t="shared" ref="U1984:U2047" si="503">IF(ISBLANK(R1984),0,ROUND(R1984*S1984,2))</f>
        <v>0</v>
      </c>
      <c r="V1984" s="579"/>
      <c r="W1984" s="566" t="str">
        <f>IF(U1981&gt;0,"xx",IF(P1981&gt;0,"xy",""))</f>
        <v/>
      </c>
      <c r="X1984" s="586" t="str">
        <f t="shared" si="496"/>
        <v/>
      </c>
      <c r="Y1984" s="586" t="str">
        <f t="shared" si="431"/>
        <v/>
      </c>
      <c r="Z1984" s="586" t="str">
        <f t="shared" si="488"/>
        <v/>
      </c>
    </row>
    <row r="1985" spans="1:26" ht="12" hidden="1" thickBot="1" x14ac:dyDescent="0.25">
      <c r="A1985" s="567">
        <v>621200</v>
      </c>
      <c r="B1985" s="644">
        <v>621200</v>
      </c>
      <c r="C1985" s="645" t="s">
        <v>206</v>
      </c>
      <c r="D1985" s="422" t="s">
        <v>370</v>
      </c>
      <c r="E1985" s="423"/>
      <c r="F1985" s="424"/>
      <c r="G1985" s="425"/>
      <c r="H1985" s="651">
        <f>SUM(H1986:H1988)</f>
        <v>1320.1778119999999</v>
      </c>
      <c r="I1985" s="420">
        <v>4005.68</v>
      </c>
      <c r="J1985" s="420">
        <f>IF(ISBLANK(I1985),"",SUM(H1985:I1985))</f>
        <v>5325.8578120000002</v>
      </c>
      <c r="K1985" s="421">
        <f t="shared" si="501"/>
        <v>6327.65</v>
      </c>
      <c r="L1985" s="647" t="s">
        <v>21</v>
      </c>
      <c r="M1985" s="576"/>
      <c r="N1985" s="576">
        <f t="shared" si="487"/>
        <v>0</v>
      </c>
      <c r="O1985" s="577">
        <f t="shared" ref="O1985:O2048" si="504">IF(ISBLANK(M1985),0,ROUND(K1985*M1985,2))</f>
        <v>0</v>
      </c>
      <c r="P1985" s="578">
        <f t="shared" ref="P1985:P2048" si="505">IF(ISBLANK(N1985),0,ROUND(M1985*N1985,2))</f>
        <v>0</v>
      </c>
      <c r="Q1985" s="765"/>
      <c r="R1985" s="576">
        <f>M1985</f>
        <v>0</v>
      </c>
      <c r="S1985" s="576">
        <f>N1985</f>
        <v>0</v>
      </c>
      <c r="T1985" s="577">
        <f t="shared" si="502"/>
        <v>0</v>
      </c>
      <c r="U1985" s="578">
        <f t="shared" si="503"/>
        <v>0</v>
      </c>
      <c r="V1985" s="579"/>
      <c r="W1985" s="566"/>
      <c r="X1985" s="586" t="str">
        <f t="shared" si="496"/>
        <v/>
      </c>
      <c r="Y1985" s="586" t="str">
        <f t="shared" si="431"/>
        <v/>
      </c>
      <c r="Z1985" s="586" t="str">
        <f t="shared" si="488"/>
        <v/>
      </c>
    </row>
    <row r="1986" spans="1:26" ht="12" hidden="1" thickBot="1" x14ac:dyDescent="0.25">
      <c r="A1986" s="567" t="s">
        <v>168</v>
      </c>
      <c r="B1986" s="644" t="s">
        <v>168</v>
      </c>
      <c r="C1986" s="645"/>
      <c r="D1986" s="422" t="s">
        <v>212</v>
      </c>
      <c r="E1986" s="423"/>
      <c r="F1986" s="424">
        <v>500</v>
      </c>
      <c r="G1986" s="425">
        <v>1.0573999999999999</v>
      </c>
      <c r="H1986" s="649">
        <f>IF(F1986&lt;=30,(0.78*F1986+7.82)*G1986,((0.78*30+7.82)+0.78*(F1986-30))*G1986)</f>
        <v>420.65486800000002</v>
      </c>
      <c r="I1986" s="420">
        <v>0</v>
      </c>
      <c r="J1986" s="420"/>
      <c r="K1986" s="421">
        <f t="shared" si="501"/>
        <v>0</v>
      </c>
      <c r="L1986" s="647"/>
      <c r="M1986" s="723"/>
      <c r="N1986" s="576">
        <f t="shared" si="487"/>
        <v>0</v>
      </c>
      <c r="O1986" s="577">
        <f t="shared" si="504"/>
        <v>0</v>
      </c>
      <c r="P1986" s="578">
        <f t="shared" si="505"/>
        <v>0</v>
      </c>
      <c r="Q1986" s="765"/>
      <c r="R1986" s="723"/>
      <c r="S1986" s="723"/>
      <c r="T1986" s="577">
        <f t="shared" si="502"/>
        <v>0</v>
      </c>
      <c r="U1986" s="578">
        <f t="shared" si="503"/>
        <v>0</v>
      </c>
      <c r="V1986" s="579"/>
      <c r="W1986" s="566" t="str">
        <f>IF(U1985&gt;0,"xx",IF(P1985&gt;0,"xy",""))</f>
        <v/>
      </c>
      <c r="X1986" s="586" t="str">
        <f t="shared" si="496"/>
        <v/>
      </c>
      <c r="Y1986" s="586" t="str">
        <f t="shared" si="431"/>
        <v/>
      </c>
      <c r="Z1986" s="586" t="str">
        <f t="shared" si="488"/>
        <v/>
      </c>
    </row>
    <row r="1987" spans="1:26" ht="12" hidden="1" thickBot="1" x14ac:dyDescent="0.25">
      <c r="A1987" s="567" t="s">
        <v>168</v>
      </c>
      <c r="B1987" s="644" t="s">
        <v>168</v>
      </c>
      <c r="C1987" s="645"/>
      <c r="D1987" s="422" t="s">
        <v>248</v>
      </c>
      <c r="E1987" s="423"/>
      <c r="F1987" s="424">
        <v>180</v>
      </c>
      <c r="G1987" s="425">
        <v>3.7597999999999998</v>
      </c>
      <c r="H1987" s="663">
        <f t="shared" ref="H1987:H1988" si="506">IF(F1987&lt;=30,(1.07*F1987+2.68)*G1987,((1.07*30+2.68)+1.07*(F1987-30))*G1987)</f>
        <v>734.21374400000002</v>
      </c>
      <c r="I1987" s="420">
        <v>0</v>
      </c>
      <c r="J1987" s="420"/>
      <c r="K1987" s="421">
        <f t="shared" si="501"/>
        <v>0</v>
      </c>
      <c r="L1987" s="647"/>
      <c r="M1987" s="723"/>
      <c r="N1987" s="576">
        <f t="shared" si="487"/>
        <v>0</v>
      </c>
      <c r="O1987" s="577">
        <f t="shared" si="504"/>
        <v>0</v>
      </c>
      <c r="P1987" s="578">
        <f t="shared" si="505"/>
        <v>0</v>
      </c>
      <c r="Q1987" s="765"/>
      <c r="R1987" s="723"/>
      <c r="S1987" s="723"/>
      <c r="T1987" s="577">
        <f t="shared" si="502"/>
        <v>0</v>
      </c>
      <c r="U1987" s="578">
        <f t="shared" si="503"/>
        <v>0</v>
      </c>
      <c r="V1987" s="579"/>
      <c r="W1987" s="566" t="str">
        <f>IF(U1985&gt;0,"xx",IF(P1985&gt;0,"xy",""))</f>
        <v/>
      </c>
      <c r="X1987" s="586" t="str">
        <f t="shared" si="496"/>
        <v/>
      </c>
      <c r="Y1987" s="586" t="str">
        <f t="shared" si="431"/>
        <v/>
      </c>
      <c r="Z1987" s="586" t="str">
        <f t="shared" si="488"/>
        <v/>
      </c>
    </row>
    <row r="1988" spans="1:26" ht="12" hidden="1" thickBot="1" x14ac:dyDescent="0.25">
      <c r="A1988" s="567" t="s">
        <v>168</v>
      </c>
      <c r="B1988" s="644" t="s">
        <v>168</v>
      </c>
      <c r="C1988" s="645"/>
      <c r="D1988" s="422" t="s">
        <v>252</v>
      </c>
      <c r="E1988" s="423"/>
      <c r="F1988" s="424">
        <v>20</v>
      </c>
      <c r="G1988" s="425">
        <v>6.8650000000000002</v>
      </c>
      <c r="H1988" s="663">
        <f t="shared" si="506"/>
        <v>165.3092</v>
      </c>
      <c r="I1988" s="420">
        <v>0</v>
      </c>
      <c r="J1988" s="420"/>
      <c r="K1988" s="421">
        <f t="shared" si="501"/>
        <v>0</v>
      </c>
      <c r="L1988" s="647"/>
      <c r="M1988" s="723"/>
      <c r="N1988" s="576">
        <f t="shared" si="487"/>
        <v>0</v>
      </c>
      <c r="O1988" s="577">
        <f t="shared" si="504"/>
        <v>0</v>
      </c>
      <c r="P1988" s="578">
        <f t="shared" si="505"/>
        <v>0</v>
      </c>
      <c r="Q1988" s="765"/>
      <c r="R1988" s="723"/>
      <c r="S1988" s="723"/>
      <c r="T1988" s="577">
        <f t="shared" si="502"/>
        <v>0</v>
      </c>
      <c r="U1988" s="578">
        <f t="shared" si="503"/>
        <v>0</v>
      </c>
      <c r="V1988" s="579"/>
      <c r="W1988" s="566" t="str">
        <f>IF(U1985&gt;0,"xx",IF(P1985&gt;0,"xy",""))</f>
        <v/>
      </c>
      <c r="X1988" s="586" t="str">
        <f t="shared" si="496"/>
        <v/>
      </c>
      <c r="Y1988" s="586" t="str">
        <f t="shared" si="431"/>
        <v/>
      </c>
      <c r="Z1988" s="586" t="str">
        <f t="shared" si="488"/>
        <v/>
      </c>
    </row>
    <row r="1989" spans="1:26" ht="12" hidden="1" thickBot="1" x14ac:dyDescent="0.25">
      <c r="A1989" s="567">
        <v>621300</v>
      </c>
      <c r="B1989" s="644">
        <v>621300</v>
      </c>
      <c r="C1989" s="645" t="s">
        <v>206</v>
      </c>
      <c r="D1989" s="422" t="s">
        <v>371</v>
      </c>
      <c r="E1989" s="423"/>
      <c r="F1989" s="424"/>
      <c r="G1989" s="425"/>
      <c r="H1989" s="651">
        <f>SUM(H1990:H1992)</f>
        <v>2565.1334440000001</v>
      </c>
      <c r="I1989" s="420">
        <v>6969.67</v>
      </c>
      <c r="J1989" s="420">
        <f>IF(ISBLANK(I1989),"",SUM(H1989:I1989))</f>
        <v>9534.803444000001</v>
      </c>
      <c r="K1989" s="421">
        <f t="shared" si="501"/>
        <v>11328.3</v>
      </c>
      <c r="L1989" s="647" t="s">
        <v>21</v>
      </c>
      <c r="M1989" s="576"/>
      <c r="N1989" s="576">
        <f t="shared" si="487"/>
        <v>0</v>
      </c>
      <c r="O1989" s="577">
        <f t="shared" si="504"/>
        <v>0</v>
      </c>
      <c r="P1989" s="578">
        <f t="shared" si="505"/>
        <v>0</v>
      </c>
      <c r="Q1989" s="765"/>
      <c r="R1989" s="576">
        <f>M1989</f>
        <v>0</v>
      </c>
      <c r="S1989" s="576">
        <f>N1989</f>
        <v>0</v>
      </c>
      <c r="T1989" s="577">
        <f t="shared" si="502"/>
        <v>0</v>
      </c>
      <c r="U1989" s="578">
        <f t="shared" si="503"/>
        <v>0</v>
      </c>
      <c r="V1989" s="579"/>
      <c r="W1989" s="566"/>
      <c r="X1989" s="586" t="str">
        <f t="shared" si="496"/>
        <v/>
      </c>
      <c r="Y1989" s="586" t="str">
        <f t="shared" si="431"/>
        <v/>
      </c>
      <c r="Z1989" s="586" t="str">
        <f t="shared" si="488"/>
        <v/>
      </c>
    </row>
    <row r="1990" spans="1:26" ht="12" hidden="1" thickBot="1" x14ac:dyDescent="0.25">
      <c r="A1990" s="567" t="s">
        <v>168</v>
      </c>
      <c r="B1990" s="644" t="s">
        <v>168</v>
      </c>
      <c r="C1990" s="645"/>
      <c r="D1990" s="422" t="s">
        <v>212</v>
      </c>
      <c r="E1990" s="423"/>
      <c r="F1990" s="424">
        <v>500</v>
      </c>
      <c r="G1990" s="425">
        <v>2.0546000000000002</v>
      </c>
      <c r="H1990" s="649">
        <f>IF(F1990&lt;=30,(0.78*F1990+7.82)*G1990,((0.78*30+7.82)+0.78*(F1990-30))*G1990)</f>
        <v>817.36097200000017</v>
      </c>
      <c r="I1990" s="420">
        <v>0</v>
      </c>
      <c r="J1990" s="420"/>
      <c r="K1990" s="421">
        <f t="shared" si="501"/>
        <v>0</v>
      </c>
      <c r="L1990" s="647"/>
      <c r="M1990" s="723"/>
      <c r="N1990" s="576">
        <f t="shared" si="487"/>
        <v>0</v>
      </c>
      <c r="O1990" s="577">
        <f t="shared" si="504"/>
        <v>0</v>
      </c>
      <c r="P1990" s="578">
        <f t="shared" si="505"/>
        <v>0</v>
      </c>
      <c r="Q1990" s="765"/>
      <c r="R1990" s="723"/>
      <c r="S1990" s="723"/>
      <c r="T1990" s="577">
        <f t="shared" si="502"/>
        <v>0</v>
      </c>
      <c r="U1990" s="578">
        <f t="shared" si="503"/>
        <v>0</v>
      </c>
      <c r="V1990" s="579"/>
      <c r="W1990" s="566" t="str">
        <f>IF(U1989&gt;0,"xx",IF(P1989&gt;0,"xy",""))</f>
        <v/>
      </c>
      <c r="X1990" s="586" t="str">
        <f t="shared" si="496"/>
        <v/>
      </c>
      <c r="Y1990" s="586" t="str">
        <f t="shared" si="431"/>
        <v/>
      </c>
      <c r="Z1990" s="586" t="str">
        <f t="shared" si="488"/>
        <v/>
      </c>
    </row>
    <row r="1991" spans="1:26" ht="12" hidden="1" thickBot="1" x14ac:dyDescent="0.25">
      <c r="A1991" s="567" t="s">
        <v>168</v>
      </c>
      <c r="B1991" s="644" t="s">
        <v>168</v>
      </c>
      <c r="C1991" s="645"/>
      <c r="D1991" s="422" t="s">
        <v>248</v>
      </c>
      <c r="E1991" s="423"/>
      <c r="F1991" s="424">
        <v>180</v>
      </c>
      <c r="G1991" s="425">
        <v>7.3052999999999999</v>
      </c>
      <c r="H1991" s="663">
        <f t="shared" ref="H1991:H1992" si="507">IF(F1991&lt;=30,(1.07*F1991+2.68)*G1991,((1.07*30+2.68)+1.07*(F1991-30))*G1991)</f>
        <v>1426.578984</v>
      </c>
      <c r="I1991" s="420">
        <v>0</v>
      </c>
      <c r="J1991" s="420"/>
      <c r="K1991" s="421">
        <f t="shared" si="501"/>
        <v>0</v>
      </c>
      <c r="L1991" s="647"/>
      <c r="M1991" s="723"/>
      <c r="N1991" s="576">
        <f t="shared" si="487"/>
        <v>0</v>
      </c>
      <c r="O1991" s="577">
        <f t="shared" si="504"/>
        <v>0</v>
      </c>
      <c r="P1991" s="578">
        <f t="shared" si="505"/>
        <v>0</v>
      </c>
      <c r="Q1991" s="765"/>
      <c r="R1991" s="723"/>
      <c r="S1991" s="723"/>
      <c r="T1991" s="577">
        <f t="shared" si="502"/>
        <v>0</v>
      </c>
      <c r="U1991" s="578">
        <f t="shared" si="503"/>
        <v>0</v>
      </c>
      <c r="V1991" s="579"/>
      <c r="W1991" s="566" t="str">
        <f>IF(U1989&gt;0,"xx",IF(P1989&gt;0,"xy",""))</f>
        <v/>
      </c>
      <c r="X1991" s="586" t="str">
        <f t="shared" si="496"/>
        <v/>
      </c>
      <c r="Y1991" s="586" t="str">
        <f t="shared" si="431"/>
        <v/>
      </c>
      <c r="Z1991" s="586" t="str">
        <f t="shared" si="488"/>
        <v/>
      </c>
    </row>
    <row r="1992" spans="1:26" ht="12" hidden="1" thickBot="1" x14ac:dyDescent="0.25">
      <c r="A1992" s="567" t="s">
        <v>168</v>
      </c>
      <c r="B1992" s="644" t="s">
        <v>168</v>
      </c>
      <c r="C1992" s="645"/>
      <c r="D1992" s="422" t="s">
        <v>252</v>
      </c>
      <c r="E1992" s="423"/>
      <c r="F1992" s="424">
        <v>20</v>
      </c>
      <c r="G1992" s="425">
        <v>13.3386</v>
      </c>
      <c r="H1992" s="663">
        <f t="shared" si="507"/>
        <v>321.193488</v>
      </c>
      <c r="I1992" s="420">
        <v>0</v>
      </c>
      <c r="J1992" s="420"/>
      <c r="K1992" s="421">
        <f t="shared" si="501"/>
        <v>0</v>
      </c>
      <c r="L1992" s="647"/>
      <c r="M1992" s="723"/>
      <c r="N1992" s="576">
        <f t="shared" si="487"/>
        <v>0</v>
      </c>
      <c r="O1992" s="577">
        <f t="shared" si="504"/>
        <v>0</v>
      </c>
      <c r="P1992" s="578">
        <f t="shared" si="505"/>
        <v>0</v>
      </c>
      <c r="Q1992" s="765"/>
      <c r="R1992" s="723"/>
      <c r="S1992" s="723"/>
      <c r="T1992" s="577">
        <f t="shared" si="502"/>
        <v>0</v>
      </c>
      <c r="U1992" s="578">
        <f t="shared" si="503"/>
        <v>0</v>
      </c>
      <c r="V1992" s="579"/>
      <c r="W1992" s="566" t="str">
        <f>IF(U1989&gt;0,"xx",IF(P1989&gt;0,"xy",""))</f>
        <v/>
      </c>
      <c r="X1992" s="586" t="str">
        <f t="shared" si="496"/>
        <v/>
      </c>
      <c r="Y1992" s="586" t="str">
        <f t="shared" si="431"/>
        <v/>
      </c>
      <c r="Z1992" s="586" t="str">
        <f t="shared" si="488"/>
        <v/>
      </c>
    </row>
    <row r="1993" spans="1:26" ht="12" hidden="1" thickBot="1" x14ac:dyDescent="0.25">
      <c r="A1993" s="567">
        <v>621400</v>
      </c>
      <c r="B1993" s="644">
        <v>621400</v>
      </c>
      <c r="C1993" s="645" t="s">
        <v>206</v>
      </c>
      <c r="D1993" s="422" t="s">
        <v>372</v>
      </c>
      <c r="E1993" s="423"/>
      <c r="F1993" s="424"/>
      <c r="G1993" s="425"/>
      <c r="H1993" s="651">
        <f>SUM(H1994:H1996)</f>
        <v>4891.4586740000004</v>
      </c>
      <c r="I1993" s="420">
        <v>12328.35</v>
      </c>
      <c r="J1993" s="420">
        <f>IF(ISBLANK(I1993),"",SUM(H1993:I1993))</f>
        <v>17219.808674</v>
      </c>
      <c r="K1993" s="421">
        <f t="shared" si="501"/>
        <v>20458.849999999999</v>
      </c>
      <c r="L1993" s="647" t="s">
        <v>21</v>
      </c>
      <c r="M1993" s="576"/>
      <c r="N1993" s="576">
        <f t="shared" si="487"/>
        <v>0</v>
      </c>
      <c r="O1993" s="577">
        <f t="shared" si="504"/>
        <v>0</v>
      </c>
      <c r="P1993" s="578">
        <f t="shared" si="505"/>
        <v>0</v>
      </c>
      <c r="Q1993" s="765"/>
      <c r="R1993" s="576">
        <f>M1993</f>
        <v>0</v>
      </c>
      <c r="S1993" s="576">
        <f>N1993</f>
        <v>0</v>
      </c>
      <c r="T1993" s="577">
        <f t="shared" si="502"/>
        <v>0</v>
      </c>
      <c r="U1993" s="578">
        <f t="shared" si="503"/>
        <v>0</v>
      </c>
      <c r="V1993" s="579"/>
      <c r="W1993" s="566"/>
      <c r="X1993" s="586" t="str">
        <f t="shared" si="496"/>
        <v/>
      </c>
      <c r="Y1993" s="586" t="str">
        <f t="shared" si="431"/>
        <v/>
      </c>
      <c r="Z1993" s="586" t="str">
        <f t="shared" si="488"/>
        <v/>
      </c>
    </row>
    <row r="1994" spans="1:26" ht="12" hidden="1" thickBot="1" x14ac:dyDescent="0.25">
      <c r="A1994" s="567" t="s">
        <v>168</v>
      </c>
      <c r="B1994" s="644" t="s">
        <v>168</v>
      </c>
      <c r="C1994" s="645"/>
      <c r="D1994" s="422" t="s">
        <v>212</v>
      </c>
      <c r="E1994" s="423"/>
      <c r="F1994" s="424">
        <v>500</v>
      </c>
      <c r="G1994" s="425">
        <v>3.9178999999999999</v>
      </c>
      <c r="H1994" s="649">
        <f>IF(F1994&lt;=30,(0.78*F1994+7.82)*G1994,((0.78*30+7.82)+0.78*(F1994-30))*G1994)</f>
        <v>1558.6189780000002</v>
      </c>
      <c r="I1994" s="420"/>
      <c r="J1994" s="420"/>
      <c r="K1994" s="421">
        <f t="shared" si="501"/>
        <v>0</v>
      </c>
      <c r="L1994" s="647"/>
      <c r="M1994" s="723"/>
      <c r="N1994" s="576">
        <f t="shared" si="487"/>
        <v>0</v>
      </c>
      <c r="O1994" s="577">
        <f t="shared" si="504"/>
        <v>0</v>
      </c>
      <c r="P1994" s="578">
        <f t="shared" si="505"/>
        <v>0</v>
      </c>
      <c r="Q1994" s="765"/>
      <c r="R1994" s="723"/>
      <c r="S1994" s="723"/>
      <c r="T1994" s="577">
        <f t="shared" si="502"/>
        <v>0</v>
      </c>
      <c r="U1994" s="578">
        <f t="shared" si="503"/>
        <v>0</v>
      </c>
      <c r="V1994" s="579"/>
      <c r="W1994" s="566" t="str">
        <f>IF(U1993&gt;0,"xx",IF(P1993&gt;0,"xy",""))</f>
        <v/>
      </c>
      <c r="X1994" s="586" t="str">
        <f t="shared" si="496"/>
        <v/>
      </c>
      <c r="Y1994" s="586" t="str">
        <f t="shared" si="431"/>
        <v/>
      </c>
      <c r="Z1994" s="586" t="str">
        <f t="shared" si="488"/>
        <v/>
      </c>
    </row>
    <row r="1995" spans="1:26" ht="12" hidden="1" thickBot="1" x14ac:dyDescent="0.25">
      <c r="A1995" s="567" t="s">
        <v>168</v>
      </c>
      <c r="B1995" s="644" t="s">
        <v>168</v>
      </c>
      <c r="C1995" s="645"/>
      <c r="D1995" s="422" t="s">
        <v>248</v>
      </c>
      <c r="E1995" s="423"/>
      <c r="F1995" s="424">
        <v>180</v>
      </c>
      <c r="G1995" s="425">
        <v>13.9305</v>
      </c>
      <c r="H1995" s="663">
        <f t="shared" ref="H1995:H1996" si="508">IF(F1995&lt;=30,(1.07*F1995+2.68)*G1995,((1.07*30+2.68)+1.07*(F1995-30))*G1995)</f>
        <v>2720.3480399999999</v>
      </c>
      <c r="I1995" s="420"/>
      <c r="J1995" s="420"/>
      <c r="K1995" s="421">
        <f t="shared" si="501"/>
        <v>0</v>
      </c>
      <c r="L1995" s="647"/>
      <c r="M1995" s="723"/>
      <c r="N1995" s="576">
        <f t="shared" si="487"/>
        <v>0</v>
      </c>
      <c r="O1995" s="577">
        <f t="shared" si="504"/>
        <v>0</v>
      </c>
      <c r="P1995" s="578">
        <f t="shared" si="505"/>
        <v>0</v>
      </c>
      <c r="Q1995" s="765"/>
      <c r="R1995" s="723"/>
      <c r="S1995" s="723"/>
      <c r="T1995" s="577">
        <f t="shared" si="502"/>
        <v>0</v>
      </c>
      <c r="U1995" s="578">
        <f t="shared" si="503"/>
        <v>0</v>
      </c>
      <c r="V1995" s="579"/>
      <c r="W1995" s="566" t="str">
        <f>IF(U1993&gt;0,"xx",IF(P1993&gt;0,"xy",""))</f>
        <v/>
      </c>
      <c r="X1995" s="586" t="str">
        <f t="shared" si="496"/>
        <v/>
      </c>
      <c r="Y1995" s="586" t="str">
        <f t="shared" si="431"/>
        <v/>
      </c>
      <c r="Z1995" s="586" t="str">
        <f t="shared" si="488"/>
        <v/>
      </c>
    </row>
    <row r="1996" spans="1:26" ht="12" hidden="1" thickBot="1" x14ac:dyDescent="0.25">
      <c r="A1996" s="567" t="s">
        <v>168</v>
      </c>
      <c r="B1996" s="644" t="s">
        <v>168</v>
      </c>
      <c r="C1996" s="645"/>
      <c r="D1996" s="422" t="s">
        <v>252</v>
      </c>
      <c r="E1996" s="423"/>
      <c r="F1996" s="424">
        <v>20</v>
      </c>
      <c r="G1996" s="425">
        <v>25.435699999999997</v>
      </c>
      <c r="H1996" s="663">
        <f t="shared" si="508"/>
        <v>612.49165599999992</v>
      </c>
      <c r="I1996" s="420"/>
      <c r="J1996" s="420"/>
      <c r="K1996" s="421">
        <f t="shared" si="501"/>
        <v>0</v>
      </c>
      <c r="L1996" s="647"/>
      <c r="M1996" s="723"/>
      <c r="N1996" s="576">
        <f t="shared" si="487"/>
        <v>0</v>
      </c>
      <c r="O1996" s="577">
        <f t="shared" si="504"/>
        <v>0</v>
      </c>
      <c r="P1996" s="578">
        <f t="shared" si="505"/>
        <v>0</v>
      </c>
      <c r="Q1996" s="765"/>
      <c r="R1996" s="723"/>
      <c r="S1996" s="723"/>
      <c r="T1996" s="577">
        <f t="shared" si="502"/>
        <v>0</v>
      </c>
      <c r="U1996" s="578">
        <f t="shared" si="503"/>
        <v>0</v>
      </c>
      <c r="V1996" s="579"/>
      <c r="W1996" s="566" t="str">
        <f>IF(U1993&gt;0,"xx",IF(P1993&gt;0,"xy",""))</f>
        <v/>
      </c>
      <c r="X1996" s="586" t="str">
        <f t="shared" si="496"/>
        <v/>
      </c>
      <c r="Y1996" s="586" t="str">
        <f t="shared" si="431"/>
        <v/>
      </c>
      <c r="Z1996" s="586" t="str">
        <f t="shared" si="488"/>
        <v/>
      </c>
    </row>
    <row r="1997" spans="1:26" ht="12" hidden="1" thickBot="1" x14ac:dyDescent="0.25">
      <c r="A1997" s="567">
        <v>607500</v>
      </c>
      <c r="B1997" s="644">
        <v>607500</v>
      </c>
      <c r="C1997" s="645" t="s">
        <v>206</v>
      </c>
      <c r="D1997" s="422" t="s">
        <v>506</v>
      </c>
      <c r="E1997" s="423"/>
      <c r="F1997" s="424"/>
      <c r="G1997" s="425"/>
      <c r="H1997" s="651">
        <f>SUM(H1998:H2000)</f>
        <v>1.8180100000000001</v>
      </c>
      <c r="I1997" s="420">
        <v>43.25</v>
      </c>
      <c r="J1997" s="420">
        <f>IF(ISBLANK(I1997),"",SUM(H1997:I1997))</f>
        <v>45.068010000000001</v>
      </c>
      <c r="K1997" s="421">
        <f t="shared" si="501"/>
        <v>53.55</v>
      </c>
      <c r="L1997" s="647" t="s">
        <v>19</v>
      </c>
      <c r="M1997" s="576"/>
      <c r="N1997" s="576">
        <f t="shared" si="487"/>
        <v>0</v>
      </c>
      <c r="O1997" s="577">
        <f t="shared" si="504"/>
        <v>0</v>
      </c>
      <c r="P1997" s="578">
        <f t="shared" si="505"/>
        <v>0</v>
      </c>
      <c r="Q1997" s="765"/>
      <c r="R1997" s="576">
        <f>M1997</f>
        <v>0</v>
      </c>
      <c r="S1997" s="576">
        <f>N1997</f>
        <v>0</v>
      </c>
      <c r="T1997" s="577">
        <f t="shared" si="502"/>
        <v>0</v>
      </c>
      <c r="U1997" s="578">
        <f t="shared" si="503"/>
        <v>0</v>
      </c>
      <c r="V1997" s="579"/>
      <c r="W1997" s="566"/>
      <c r="X1997" s="586" t="str">
        <f t="shared" si="496"/>
        <v/>
      </c>
      <c r="Y1997" s="586" t="str">
        <f t="shared" si="431"/>
        <v/>
      </c>
      <c r="Z1997" s="586" t="str">
        <f t="shared" si="488"/>
        <v/>
      </c>
    </row>
    <row r="1998" spans="1:26" ht="12" hidden="1" thickBot="1" x14ac:dyDescent="0.25">
      <c r="A1998" s="567" t="s">
        <v>168</v>
      </c>
      <c r="B1998" s="644" t="s">
        <v>168</v>
      </c>
      <c r="C1998" s="645"/>
      <c r="D1998" s="422" t="s">
        <v>212</v>
      </c>
      <c r="E1998" s="423"/>
      <c r="F1998" s="424">
        <v>500</v>
      </c>
      <c r="G1998" s="425">
        <v>2.9999999999999997E-4</v>
      </c>
      <c r="H1998" s="649">
        <f>IF(F1998&lt;=30,(0.78*F1998+7.82)*G1998,((0.78*30+7.82)+0.78*(F1998-30))*G1998)</f>
        <v>0.11934600000000001</v>
      </c>
      <c r="I1998" s="420"/>
      <c r="J1998" s="420"/>
      <c r="K1998" s="421">
        <f t="shared" si="501"/>
        <v>0</v>
      </c>
      <c r="L1998" s="647"/>
      <c r="M1998" s="723"/>
      <c r="N1998" s="576">
        <f t="shared" si="487"/>
        <v>0</v>
      </c>
      <c r="O1998" s="577">
        <f t="shared" si="504"/>
        <v>0</v>
      </c>
      <c r="P1998" s="578">
        <f t="shared" si="505"/>
        <v>0</v>
      </c>
      <c r="Q1998" s="765"/>
      <c r="R1998" s="723"/>
      <c r="S1998" s="723"/>
      <c r="T1998" s="577">
        <f t="shared" si="502"/>
        <v>0</v>
      </c>
      <c r="U1998" s="578">
        <f t="shared" si="503"/>
        <v>0</v>
      </c>
      <c r="V1998" s="579"/>
      <c r="W1998" s="566" t="str">
        <f>IF(U1997&gt;0,"xx",IF(P1997&gt;0,"xy",""))</f>
        <v/>
      </c>
      <c r="X1998" s="586" t="str">
        <f t="shared" si="496"/>
        <v/>
      </c>
      <c r="Y1998" s="586" t="str">
        <f t="shared" si="431"/>
        <v/>
      </c>
      <c r="Z1998" s="586" t="str">
        <f t="shared" si="488"/>
        <v/>
      </c>
    </row>
    <row r="1999" spans="1:26" ht="12" hidden="1" thickBot="1" x14ac:dyDescent="0.25">
      <c r="A1999" s="567" t="s">
        <v>168</v>
      </c>
      <c r="B1999" s="644" t="s">
        <v>168</v>
      </c>
      <c r="C1999" s="645"/>
      <c r="D1999" s="422" t="s">
        <v>248</v>
      </c>
      <c r="E1999" s="423"/>
      <c r="F1999" s="424">
        <v>180</v>
      </c>
      <c r="G1999" s="425">
        <v>1.2999999999999999E-3</v>
      </c>
      <c r="H1999" s="663">
        <f t="shared" ref="H1999:H2000" si="509">IF(F1999&lt;=30,(1.07*F1999+2.68)*G1999,((1.07*30+2.68)+1.07*(F1999-30))*G1999)</f>
        <v>0.25386399999999998</v>
      </c>
      <c r="I1999" s="420"/>
      <c r="J1999" s="420"/>
      <c r="K1999" s="421">
        <f t="shared" si="501"/>
        <v>0</v>
      </c>
      <c r="L1999" s="647"/>
      <c r="M1999" s="723"/>
      <c r="N1999" s="576">
        <f t="shared" si="487"/>
        <v>0</v>
      </c>
      <c r="O1999" s="577">
        <f t="shared" si="504"/>
        <v>0</v>
      </c>
      <c r="P1999" s="578">
        <f t="shared" si="505"/>
        <v>0</v>
      </c>
      <c r="Q1999" s="765"/>
      <c r="R1999" s="723"/>
      <c r="S1999" s="723"/>
      <c r="T1999" s="577">
        <f t="shared" si="502"/>
        <v>0</v>
      </c>
      <c r="U1999" s="578">
        <f t="shared" si="503"/>
        <v>0</v>
      </c>
      <c r="V1999" s="579"/>
      <c r="W1999" s="566" t="str">
        <f>IF(U1997&gt;0,"xx",IF(P1997&gt;0,"xy",""))</f>
        <v/>
      </c>
      <c r="X1999" s="586" t="str">
        <f t="shared" si="496"/>
        <v/>
      </c>
      <c r="Y1999" s="586" t="str">
        <f t="shared" si="431"/>
        <v/>
      </c>
      <c r="Z1999" s="586" t="str">
        <f t="shared" si="488"/>
        <v/>
      </c>
    </row>
    <row r="2000" spans="1:26" ht="12" hidden="1" thickBot="1" x14ac:dyDescent="0.25">
      <c r="A2000" s="567" t="s">
        <v>168</v>
      </c>
      <c r="B2000" s="644" t="s">
        <v>168</v>
      </c>
      <c r="C2000" s="645"/>
      <c r="D2000" s="422" t="s">
        <v>347</v>
      </c>
      <c r="E2000" s="423"/>
      <c r="F2000" s="424">
        <v>20</v>
      </c>
      <c r="G2000" s="425">
        <v>0.06</v>
      </c>
      <c r="H2000" s="663">
        <f t="shared" si="509"/>
        <v>1.4448000000000001</v>
      </c>
      <c r="I2000" s="420"/>
      <c r="J2000" s="420"/>
      <c r="K2000" s="421">
        <f t="shared" si="501"/>
        <v>0</v>
      </c>
      <c r="L2000" s="647"/>
      <c r="M2000" s="723"/>
      <c r="N2000" s="576">
        <f t="shared" si="487"/>
        <v>0</v>
      </c>
      <c r="O2000" s="577">
        <f t="shared" si="504"/>
        <v>0</v>
      </c>
      <c r="P2000" s="578">
        <f t="shared" si="505"/>
        <v>0</v>
      </c>
      <c r="Q2000" s="765"/>
      <c r="R2000" s="723"/>
      <c r="S2000" s="723"/>
      <c r="T2000" s="577">
        <f t="shared" si="502"/>
        <v>0</v>
      </c>
      <c r="U2000" s="578">
        <f t="shared" si="503"/>
        <v>0</v>
      </c>
      <c r="V2000" s="579"/>
      <c r="W2000" s="566" t="str">
        <f>IF(U1997&gt;0,"xx",IF(P1997&gt;0,"xy",""))</f>
        <v/>
      </c>
      <c r="X2000" s="586" t="str">
        <f t="shared" si="496"/>
        <v/>
      </c>
      <c r="Y2000" s="586" t="str">
        <f t="shared" si="431"/>
        <v/>
      </c>
      <c r="Z2000" s="586" t="str">
        <f t="shared" si="488"/>
        <v/>
      </c>
    </row>
    <row r="2001" spans="1:26" ht="12" hidden="1" thickBot="1" x14ac:dyDescent="0.25">
      <c r="A2001" s="567">
        <v>607600</v>
      </c>
      <c r="B2001" s="644">
        <v>607600</v>
      </c>
      <c r="C2001" s="645" t="s">
        <v>206</v>
      </c>
      <c r="D2001" s="422" t="s">
        <v>507</v>
      </c>
      <c r="E2001" s="423"/>
      <c r="F2001" s="424"/>
      <c r="G2001" s="425"/>
      <c r="H2001" s="651">
        <f>SUM(H2002:H2004)</f>
        <v>2.8854480000000002</v>
      </c>
      <c r="I2001" s="420">
        <v>52.180000000000007</v>
      </c>
      <c r="J2001" s="420">
        <f>IF(ISBLANK(I2001),"",SUM(H2001:I2001))</f>
        <v>55.065448000000004</v>
      </c>
      <c r="K2001" s="421">
        <f t="shared" si="501"/>
        <v>65.42</v>
      </c>
      <c r="L2001" s="647" t="s">
        <v>19</v>
      </c>
      <c r="M2001" s="576"/>
      <c r="N2001" s="576">
        <f t="shared" si="487"/>
        <v>0</v>
      </c>
      <c r="O2001" s="577">
        <f t="shared" si="504"/>
        <v>0</v>
      </c>
      <c r="P2001" s="578">
        <f t="shared" si="505"/>
        <v>0</v>
      </c>
      <c r="Q2001" s="765"/>
      <c r="R2001" s="576">
        <f>M2001</f>
        <v>0</v>
      </c>
      <c r="S2001" s="576">
        <f>N2001</f>
        <v>0</v>
      </c>
      <c r="T2001" s="577">
        <f t="shared" si="502"/>
        <v>0</v>
      </c>
      <c r="U2001" s="578">
        <f t="shared" si="503"/>
        <v>0</v>
      </c>
      <c r="V2001" s="579"/>
      <c r="W2001" s="566"/>
      <c r="X2001" s="586" t="str">
        <f t="shared" si="496"/>
        <v/>
      </c>
      <c r="Y2001" s="586" t="str">
        <f t="shared" si="431"/>
        <v/>
      </c>
      <c r="Z2001" s="586" t="str">
        <f t="shared" si="488"/>
        <v/>
      </c>
    </row>
    <row r="2002" spans="1:26" ht="12" hidden="1" thickBot="1" x14ac:dyDescent="0.25">
      <c r="A2002" s="567" t="s">
        <v>168</v>
      </c>
      <c r="B2002" s="644" t="s">
        <v>168</v>
      </c>
      <c r="C2002" s="645"/>
      <c r="D2002" s="422" t="s">
        <v>212</v>
      </c>
      <c r="E2002" s="423"/>
      <c r="F2002" s="424">
        <v>500</v>
      </c>
      <c r="G2002" s="425">
        <v>4.0000000000000002E-4</v>
      </c>
      <c r="H2002" s="649">
        <f>IF(F2002&lt;=30,(0.78*F2002+7.82)*G2002,((0.78*30+7.82)+0.78*(F2002-30))*G2002)</f>
        <v>0.15912800000000002</v>
      </c>
      <c r="I2002" s="420"/>
      <c r="J2002" s="420"/>
      <c r="K2002" s="421">
        <f t="shared" si="501"/>
        <v>0</v>
      </c>
      <c r="L2002" s="647"/>
      <c r="M2002" s="723"/>
      <c r="N2002" s="576">
        <f t="shared" si="487"/>
        <v>0</v>
      </c>
      <c r="O2002" s="577">
        <f t="shared" si="504"/>
        <v>0</v>
      </c>
      <c r="P2002" s="578">
        <f t="shared" si="505"/>
        <v>0</v>
      </c>
      <c r="Q2002" s="765"/>
      <c r="R2002" s="723"/>
      <c r="S2002" s="723"/>
      <c r="T2002" s="577">
        <f t="shared" si="502"/>
        <v>0</v>
      </c>
      <c r="U2002" s="578">
        <f t="shared" si="503"/>
        <v>0</v>
      </c>
      <c r="V2002" s="579"/>
      <c r="W2002" s="566" t="str">
        <f>IF(U2001&gt;0,"xx",IF(P2001&gt;0,"xy",""))</f>
        <v/>
      </c>
      <c r="X2002" s="586" t="str">
        <f t="shared" si="496"/>
        <v/>
      </c>
      <c r="Y2002" s="586" t="str">
        <f t="shared" si="431"/>
        <v/>
      </c>
      <c r="Z2002" s="586" t="str">
        <f t="shared" si="488"/>
        <v/>
      </c>
    </row>
    <row r="2003" spans="1:26" ht="12" hidden="1" thickBot="1" x14ac:dyDescent="0.25">
      <c r="A2003" s="567" t="s">
        <v>168</v>
      </c>
      <c r="B2003" s="644" t="s">
        <v>168</v>
      </c>
      <c r="C2003" s="645"/>
      <c r="D2003" s="422" t="s">
        <v>248</v>
      </c>
      <c r="E2003" s="423"/>
      <c r="F2003" s="424">
        <v>180</v>
      </c>
      <c r="G2003" s="425">
        <v>2E-3</v>
      </c>
      <c r="H2003" s="663">
        <f t="shared" ref="H2003:H2004" si="510">IF(F2003&lt;=30,(1.07*F2003+2.68)*G2003,((1.07*30+2.68)+1.07*(F2003-30))*G2003)</f>
        <v>0.39056000000000002</v>
      </c>
      <c r="I2003" s="420"/>
      <c r="J2003" s="420"/>
      <c r="K2003" s="421">
        <f t="shared" si="501"/>
        <v>0</v>
      </c>
      <c r="L2003" s="647"/>
      <c r="M2003" s="723"/>
      <c r="N2003" s="576">
        <f t="shared" si="487"/>
        <v>0</v>
      </c>
      <c r="O2003" s="577">
        <f t="shared" si="504"/>
        <v>0</v>
      </c>
      <c r="P2003" s="578">
        <f t="shared" si="505"/>
        <v>0</v>
      </c>
      <c r="Q2003" s="765"/>
      <c r="R2003" s="723"/>
      <c r="S2003" s="723"/>
      <c r="T2003" s="577">
        <f t="shared" si="502"/>
        <v>0</v>
      </c>
      <c r="U2003" s="578">
        <f t="shared" si="503"/>
        <v>0</v>
      </c>
      <c r="V2003" s="579"/>
      <c r="W2003" s="566" t="str">
        <f>IF(U2001&gt;0,"xx",IF(P2001&gt;0,"xy",""))</f>
        <v/>
      </c>
      <c r="X2003" s="586" t="str">
        <f t="shared" si="496"/>
        <v/>
      </c>
      <c r="Y2003" s="586" t="str">
        <f t="shared" si="431"/>
        <v/>
      </c>
      <c r="Z2003" s="586" t="str">
        <f t="shared" si="488"/>
        <v/>
      </c>
    </row>
    <row r="2004" spans="1:26" ht="12" hidden="1" thickBot="1" x14ac:dyDescent="0.25">
      <c r="A2004" s="567" t="s">
        <v>168</v>
      </c>
      <c r="B2004" s="644" t="s">
        <v>168</v>
      </c>
      <c r="C2004" s="645"/>
      <c r="D2004" s="422" t="s">
        <v>347</v>
      </c>
      <c r="E2004" s="423"/>
      <c r="F2004" s="424">
        <v>20</v>
      </c>
      <c r="G2004" s="425">
        <v>9.7000000000000003E-2</v>
      </c>
      <c r="H2004" s="663">
        <f t="shared" si="510"/>
        <v>2.3357600000000001</v>
      </c>
      <c r="I2004" s="420"/>
      <c r="J2004" s="420"/>
      <c r="K2004" s="421">
        <f t="shared" si="501"/>
        <v>0</v>
      </c>
      <c r="L2004" s="647"/>
      <c r="M2004" s="723"/>
      <c r="N2004" s="576">
        <f t="shared" ref="N2004:N2067" si="511">IF(M2004=0,0,K2004)</f>
        <v>0</v>
      </c>
      <c r="O2004" s="577">
        <f t="shared" si="504"/>
        <v>0</v>
      </c>
      <c r="P2004" s="578">
        <f t="shared" si="505"/>
        <v>0</v>
      </c>
      <c r="Q2004" s="765"/>
      <c r="R2004" s="723"/>
      <c r="S2004" s="723"/>
      <c r="T2004" s="577">
        <f t="shared" si="502"/>
        <v>0</v>
      </c>
      <c r="U2004" s="578">
        <f t="shared" si="503"/>
        <v>0</v>
      </c>
      <c r="V2004" s="579"/>
      <c r="W2004" s="566" t="str">
        <f>IF(U2001&gt;0,"xx",IF(P2001&gt;0,"xy",""))</f>
        <v/>
      </c>
      <c r="X2004" s="586" t="str">
        <f t="shared" si="496"/>
        <v/>
      </c>
      <c r="Y2004" s="586" t="str">
        <f t="shared" si="431"/>
        <v/>
      </c>
      <c r="Z2004" s="586" t="str">
        <f t="shared" si="488"/>
        <v/>
      </c>
    </row>
    <row r="2005" spans="1:26" ht="12" hidden="1" thickBot="1" x14ac:dyDescent="0.25">
      <c r="A2005" s="567">
        <v>610400</v>
      </c>
      <c r="B2005" s="644" t="s">
        <v>1668</v>
      </c>
      <c r="C2005" s="645" t="s">
        <v>206</v>
      </c>
      <c r="D2005" s="422" t="s">
        <v>373</v>
      </c>
      <c r="E2005" s="423"/>
      <c r="F2005" s="424"/>
      <c r="G2005" s="425"/>
      <c r="H2005" s="651">
        <f>SUM(H2006:H2008)</f>
        <v>5.3574580000000003</v>
      </c>
      <c r="I2005" s="420">
        <v>78.7</v>
      </c>
      <c r="J2005" s="420">
        <f>IF(ISBLANK(I2005),"",SUM(H2005:I2005))</f>
        <v>84.057457999999997</v>
      </c>
      <c r="K2005" s="421">
        <f t="shared" si="501"/>
        <v>99.87</v>
      </c>
      <c r="L2005" s="647" t="s">
        <v>19</v>
      </c>
      <c r="M2005" s="576"/>
      <c r="N2005" s="576">
        <f t="shared" si="511"/>
        <v>0</v>
      </c>
      <c r="O2005" s="577">
        <f t="shared" si="504"/>
        <v>0</v>
      </c>
      <c r="P2005" s="578">
        <f t="shared" si="505"/>
        <v>0</v>
      </c>
      <c r="Q2005" s="765"/>
      <c r="R2005" s="576">
        <f>M2005</f>
        <v>0</v>
      </c>
      <c r="S2005" s="576">
        <f>N2005</f>
        <v>0</v>
      </c>
      <c r="T2005" s="577">
        <f t="shared" si="502"/>
        <v>0</v>
      </c>
      <c r="U2005" s="578">
        <f t="shared" si="503"/>
        <v>0</v>
      </c>
      <c r="V2005" s="579"/>
      <c r="W2005" s="566"/>
      <c r="X2005" s="586" t="str">
        <f t="shared" si="496"/>
        <v/>
      </c>
      <c r="Y2005" s="586" t="str">
        <f t="shared" si="431"/>
        <v/>
      </c>
      <c r="Z2005" s="586" t="str">
        <f t="shared" si="488"/>
        <v/>
      </c>
    </row>
    <row r="2006" spans="1:26" ht="12" hidden="1" thickBot="1" x14ac:dyDescent="0.25">
      <c r="A2006" s="567" t="s">
        <v>168</v>
      </c>
      <c r="B2006" s="644" t="s">
        <v>168</v>
      </c>
      <c r="C2006" s="645"/>
      <c r="D2006" s="422" t="s">
        <v>212</v>
      </c>
      <c r="E2006" s="423"/>
      <c r="F2006" s="424">
        <v>500</v>
      </c>
      <c r="G2006" s="425">
        <v>1.9E-3</v>
      </c>
      <c r="H2006" s="649">
        <f>IF(F2006&lt;=30,(0.78*F2006+7.82)*G2006,((0.78*30+7.82)+0.78*(F2006-30))*G2006)</f>
        <v>0.75585800000000014</v>
      </c>
      <c r="I2006" s="420"/>
      <c r="J2006" s="420"/>
      <c r="K2006" s="421">
        <f t="shared" si="501"/>
        <v>0</v>
      </c>
      <c r="L2006" s="647"/>
      <c r="M2006" s="723"/>
      <c r="N2006" s="576">
        <f t="shared" si="511"/>
        <v>0</v>
      </c>
      <c r="O2006" s="577">
        <f t="shared" si="504"/>
        <v>0</v>
      </c>
      <c r="P2006" s="578">
        <f t="shared" si="505"/>
        <v>0</v>
      </c>
      <c r="Q2006" s="765"/>
      <c r="R2006" s="723"/>
      <c r="S2006" s="723"/>
      <c r="T2006" s="577">
        <f t="shared" si="502"/>
        <v>0</v>
      </c>
      <c r="U2006" s="578">
        <f t="shared" si="503"/>
        <v>0</v>
      </c>
      <c r="V2006" s="579"/>
      <c r="W2006" s="566" t="str">
        <f>IF(U2005&gt;0,"xx",IF(P2005&gt;0,"xy",""))</f>
        <v/>
      </c>
      <c r="X2006" s="586" t="str">
        <f t="shared" si="496"/>
        <v/>
      </c>
      <c r="Y2006" s="586" t="str">
        <f t="shared" si="431"/>
        <v/>
      </c>
      <c r="Z2006" s="586" t="str">
        <f t="shared" si="488"/>
        <v/>
      </c>
    </row>
    <row r="2007" spans="1:26" ht="12" hidden="1" thickBot="1" x14ac:dyDescent="0.25">
      <c r="A2007" s="567" t="s">
        <v>168</v>
      </c>
      <c r="B2007" s="644" t="s">
        <v>168</v>
      </c>
      <c r="C2007" s="645"/>
      <c r="D2007" s="422" t="s">
        <v>248</v>
      </c>
      <c r="E2007" s="423"/>
      <c r="F2007" s="424">
        <v>180</v>
      </c>
      <c r="G2007" s="425">
        <v>0.01</v>
      </c>
      <c r="H2007" s="663">
        <f t="shared" ref="H2007:H2008" si="512">IF(F2007&lt;=30,(1.07*F2007+2.68)*G2007,((1.07*30+2.68)+1.07*(F2007-30))*G2007)</f>
        <v>1.9528000000000001</v>
      </c>
      <c r="I2007" s="420"/>
      <c r="J2007" s="420"/>
      <c r="K2007" s="421">
        <f t="shared" si="501"/>
        <v>0</v>
      </c>
      <c r="L2007" s="647"/>
      <c r="M2007" s="723"/>
      <c r="N2007" s="576">
        <f t="shared" si="511"/>
        <v>0</v>
      </c>
      <c r="O2007" s="577">
        <f t="shared" si="504"/>
        <v>0</v>
      </c>
      <c r="P2007" s="578">
        <f t="shared" si="505"/>
        <v>0</v>
      </c>
      <c r="Q2007" s="765"/>
      <c r="R2007" s="723"/>
      <c r="S2007" s="723"/>
      <c r="T2007" s="577">
        <f t="shared" si="502"/>
        <v>0</v>
      </c>
      <c r="U2007" s="578">
        <f t="shared" si="503"/>
        <v>0</v>
      </c>
      <c r="V2007" s="579"/>
      <c r="W2007" s="566" t="str">
        <f>IF(U2005&gt;0,"xx",IF(P2005&gt;0,"xy",""))</f>
        <v/>
      </c>
      <c r="X2007" s="586" t="str">
        <f t="shared" si="496"/>
        <v/>
      </c>
      <c r="Y2007" s="586" t="str">
        <f t="shared" si="431"/>
        <v/>
      </c>
      <c r="Z2007" s="586" t="str">
        <f t="shared" si="488"/>
        <v/>
      </c>
    </row>
    <row r="2008" spans="1:26" ht="12" hidden="1" thickBot="1" x14ac:dyDescent="0.25">
      <c r="A2008" s="567" t="s">
        <v>168</v>
      </c>
      <c r="B2008" s="644" t="s">
        <v>168</v>
      </c>
      <c r="C2008" s="645"/>
      <c r="D2008" s="422" t="s">
        <v>347</v>
      </c>
      <c r="E2008" s="423"/>
      <c r="F2008" s="424">
        <v>20</v>
      </c>
      <c r="G2008" s="425">
        <v>0.11</v>
      </c>
      <c r="H2008" s="663">
        <f t="shared" si="512"/>
        <v>2.6488</v>
      </c>
      <c r="I2008" s="420"/>
      <c r="J2008" s="420"/>
      <c r="K2008" s="421">
        <f t="shared" si="501"/>
        <v>0</v>
      </c>
      <c r="L2008" s="647"/>
      <c r="M2008" s="723"/>
      <c r="N2008" s="576">
        <f t="shared" si="511"/>
        <v>0</v>
      </c>
      <c r="O2008" s="577">
        <f t="shared" si="504"/>
        <v>0</v>
      </c>
      <c r="P2008" s="578">
        <f t="shared" si="505"/>
        <v>0</v>
      </c>
      <c r="Q2008" s="765"/>
      <c r="R2008" s="723"/>
      <c r="S2008" s="723"/>
      <c r="T2008" s="577">
        <f t="shared" si="502"/>
        <v>0</v>
      </c>
      <c r="U2008" s="578">
        <f t="shared" si="503"/>
        <v>0</v>
      </c>
      <c r="V2008" s="579"/>
      <c r="W2008" s="566" t="str">
        <f>IF(U2005&gt;0,"xx",IF(P2005&gt;0,"xy",""))</f>
        <v/>
      </c>
      <c r="X2008" s="586" t="str">
        <f t="shared" si="496"/>
        <v/>
      </c>
      <c r="Y2008" s="586" t="str">
        <f t="shared" si="431"/>
        <v/>
      </c>
      <c r="Z2008" s="586" t="str">
        <f t="shared" si="488"/>
        <v/>
      </c>
    </row>
    <row r="2009" spans="1:26" ht="12" hidden="1" thickBot="1" x14ac:dyDescent="0.25">
      <c r="A2009" s="567">
        <v>610400</v>
      </c>
      <c r="B2009" s="644" t="s">
        <v>1669</v>
      </c>
      <c r="C2009" s="645" t="s">
        <v>206</v>
      </c>
      <c r="D2009" s="422" t="s">
        <v>508</v>
      </c>
      <c r="E2009" s="423"/>
      <c r="F2009" s="424"/>
      <c r="G2009" s="425"/>
      <c r="H2009" s="651">
        <f>SUM(H2010:H2012)</f>
        <v>9.2197619999999993</v>
      </c>
      <c r="I2009" s="420">
        <v>106.14</v>
      </c>
      <c r="J2009" s="420">
        <f>IF(ISBLANK(I2009),"",SUM(H2009:I2009))</f>
        <v>115.359762</v>
      </c>
      <c r="K2009" s="421">
        <f t="shared" si="501"/>
        <v>137.06</v>
      </c>
      <c r="L2009" s="647" t="s">
        <v>19</v>
      </c>
      <c r="M2009" s="576"/>
      <c r="N2009" s="576">
        <f t="shared" si="511"/>
        <v>0</v>
      </c>
      <c r="O2009" s="577">
        <f t="shared" si="504"/>
        <v>0</v>
      </c>
      <c r="P2009" s="578">
        <f t="shared" si="505"/>
        <v>0</v>
      </c>
      <c r="Q2009" s="765"/>
      <c r="R2009" s="576">
        <f>M2009</f>
        <v>0</v>
      </c>
      <c r="S2009" s="576">
        <f>N2009</f>
        <v>0</v>
      </c>
      <c r="T2009" s="577">
        <f t="shared" si="502"/>
        <v>0</v>
      </c>
      <c r="U2009" s="578">
        <f t="shared" si="503"/>
        <v>0</v>
      </c>
      <c r="V2009" s="579"/>
      <c r="W2009" s="566"/>
      <c r="X2009" s="586" t="str">
        <f t="shared" si="496"/>
        <v/>
      </c>
      <c r="Y2009" s="586" t="str">
        <f t="shared" si="431"/>
        <v/>
      </c>
      <c r="Z2009" s="586" t="str">
        <f t="shared" si="488"/>
        <v/>
      </c>
    </row>
    <row r="2010" spans="1:26" ht="12" hidden="1" thickBot="1" x14ac:dyDescent="0.25">
      <c r="A2010" s="567" t="s">
        <v>168</v>
      </c>
      <c r="B2010" s="644" t="s">
        <v>168</v>
      </c>
      <c r="C2010" s="645"/>
      <c r="D2010" s="422" t="s">
        <v>212</v>
      </c>
      <c r="E2010" s="423"/>
      <c r="F2010" s="424">
        <v>500</v>
      </c>
      <c r="G2010" s="425">
        <v>2.3E-3</v>
      </c>
      <c r="H2010" s="649">
        <f>IF(F2010&lt;=30,(0.78*F2010+7.82)*G2010,((0.78*30+7.82)+0.78*(F2010-30))*G2010)</f>
        <v>0.91498600000000008</v>
      </c>
      <c r="I2010" s="420"/>
      <c r="J2010" s="420"/>
      <c r="K2010" s="421">
        <f t="shared" si="501"/>
        <v>0</v>
      </c>
      <c r="L2010" s="647"/>
      <c r="M2010" s="723"/>
      <c r="N2010" s="576">
        <f t="shared" si="511"/>
        <v>0</v>
      </c>
      <c r="O2010" s="577">
        <f t="shared" si="504"/>
        <v>0</v>
      </c>
      <c r="P2010" s="578">
        <f t="shared" si="505"/>
        <v>0</v>
      </c>
      <c r="Q2010" s="765"/>
      <c r="R2010" s="723"/>
      <c r="S2010" s="723"/>
      <c r="T2010" s="577">
        <f t="shared" si="502"/>
        <v>0</v>
      </c>
      <c r="U2010" s="578">
        <f t="shared" si="503"/>
        <v>0</v>
      </c>
      <c r="V2010" s="579"/>
      <c r="W2010" s="566" t="str">
        <f>IF(U2009&gt;0,"xx",IF(P2009&gt;0,"xy",""))</f>
        <v/>
      </c>
      <c r="X2010" s="586" t="str">
        <f t="shared" si="496"/>
        <v/>
      </c>
      <c r="Y2010" s="586" t="str">
        <f t="shared" si="431"/>
        <v/>
      </c>
      <c r="Z2010" s="586" t="str">
        <f t="shared" si="488"/>
        <v/>
      </c>
    </row>
    <row r="2011" spans="1:26" ht="12" hidden="1" thickBot="1" x14ac:dyDescent="0.25">
      <c r="A2011" s="567" t="s">
        <v>168</v>
      </c>
      <c r="B2011" s="644" t="s">
        <v>168</v>
      </c>
      <c r="C2011" s="645"/>
      <c r="D2011" s="422" t="s">
        <v>248</v>
      </c>
      <c r="E2011" s="423"/>
      <c r="F2011" s="424">
        <v>180</v>
      </c>
      <c r="G2011" s="425">
        <v>1.17E-2</v>
      </c>
      <c r="H2011" s="663">
        <f t="shared" ref="H2011:H2012" si="513">IF(F2011&lt;=30,(1.07*F2011+2.68)*G2011,((1.07*30+2.68)+1.07*(F2011-30))*G2011)</f>
        <v>2.2847759999999999</v>
      </c>
      <c r="I2011" s="420"/>
      <c r="J2011" s="420"/>
      <c r="K2011" s="421">
        <f t="shared" si="501"/>
        <v>0</v>
      </c>
      <c r="L2011" s="647"/>
      <c r="M2011" s="723"/>
      <c r="N2011" s="576">
        <f t="shared" si="511"/>
        <v>0</v>
      </c>
      <c r="O2011" s="577">
        <f t="shared" si="504"/>
        <v>0</v>
      </c>
      <c r="P2011" s="578">
        <f t="shared" si="505"/>
        <v>0</v>
      </c>
      <c r="Q2011" s="765"/>
      <c r="R2011" s="723"/>
      <c r="S2011" s="723"/>
      <c r="T2011" s="577">
        <f t="shared" si="502"/>
        <v>0</v>
      </c>
      <c r="U2011" s="578">
        <f t="shared" si="503"/>
        <v>0</v>
      </c>
      <c r="V2011" s="579"/>
      <c r="W2011" s="566" t="str">
        <f>IF(U2009&gt;0,"xx",IF(P2009&gt;0,"xy",""))</f>
        <v/>
      </c>
      <c r="X2011" s="586" t="str">
        <f t="shared" si="496"/>
        <v/>
      </c>
      <c r="Y2011" s="586" t="str">
        <f t="shared" si="431"/>
        <v/>
      </c>
      <c r="Z2011" s="586" t="str">
        <f t="shared" si="488"/>
        <v/>
      </c>
    </row>
    <row r="2012" spans="1:26" ht="12" hidden="1" thickBot="1" x14ac:dyDescent="0.25">
      <c r="A2012" s="567" t="s">
        <v>168</v>
      </c>
      <c r="B2012" s="644" t="s">
        <v>168</v>
      </c>
      <c r="C2012" s="645"/>
      <c r="D2012" s="422" t="s">
        <v>347</v>
      </c>
      <c r="E2012" s="423"/>
      <c r="F2012" s="424">
        <v>20</v>
      </c>
      <c r="G2012" s="425">
        <v>0.25</v>
      </c>
      <c r="H2012" s="663">
        <f t="shared" si="513"/>
        <v>6.0200000000000005</v>
      </c>
      <c r="I2012" s="420"/>
      <c r="J2012" s="420"/>
      <c r="K2012" s="421">
        <f t="shared" si="501"/>
        <v>0</v>
      </c>
      <c r="L2012" s="647"/>
      <c r="M2012" s="723"/>
      <c r="N2012" s="576">
        <f t="shared" si="511"/>
        <v>0</v>
      </c>
      <c r="O2012" s="577">
        <f t="shared" si="504"/>
        <v>0</v>
      </c>
      <c r="P2012" s="578">
        <f t="shared" si="505"/>
        <v>0</v>
      </c>
      <c r="Q2012" s="765"/>
      <c r="R2012" s="723"/>
      <c r="S2012" s="723"/>
      <c r="T2012" s="577">
        <f t="shared" si="502"/>
        <v>0</v>
      </c>
      <c r="U2012" s="578">
        <f t="shared" si="503"/>
        <v>0</v>
      </c>
      <c r="V2012" s="579"/>
      <c r="W2012" s="566" t="str">
        <f>IF(U2009&gt;0,"xx",IF(P2009&gt;0,"xy",""))</f>
        <v/>
      </c>
      <c r="X2012" s="586" t="str">
        <f t="shared" si="496"/>
        <v/>
      </c>
      <c r="Y2012" s="586" t="str">
        <f t="shared" si="431"/>
        <v/>
      </c>
      <c r="Z2012" s="586" t="str">
        <f t="shared" si="488"/>
        <v/>
      </c>
    </row>
    <row r="2013" spans="1:26" ht="12" hidden="1" thickBot="1" x14ac:dyDescent="0.25">
      <c r="A2013" s="567">
        <v>610600</v>
      </c>
      <c r="B2013" s="644" t="s">
        <v>1672</v>
      </c>
      <c r="C2013" s="645" t="s">
        <v>206</v>
      </c>
      <c r="D2013" s="422" t="s">
        <v>374</v>
      </c>
      <c r="E2013" s="423"/>
      <c r="F2013" s="424"/>
      <c r="G2013" s="425"/>
      <c r="H2013" s="651">
        <f>SUM(H2014:H2016)</f>
        <v>13.042284000000002</v>
      </c>
      <c r="I2013" s="420">
        <v>133.58000000000001</v>
      </c>
      <c r="J2013" s="420">
        <f>IF(ISBLANK(I2013),"",SUM(H2013:I2013))</f>
        <v>146.62228400000001</v>
      </c>
      <c r="K2013" s="421">
        <f t="shared" si="501"/>
        <v>174.2</v>
      </c>
      <c r="L2013" s="647" t="s">
        <v>19</v>
      </c>
      <c r="M2013" s="576"/>
      <c r="N2013" s="576">
        <f t="shared" si="511"/>
        <v>0</v>
      </c>
      <c r="O2013" s="577">
        <f t="shared" si="504"/>
        <v>0</v>
      </c>
      <c r="P2013" s="578">
        <f t="shared" si="505"/>
        <v>0</v>
      </c>
      <c r="Q2013" s="765"/>
      <c r="R2013" s="576">
        <f>M2013</f>
        <v>0</v>
      </c>
      <c r="S2013" s="576">
        <f>N2013</f>
        <v>0</v>
      </c>
      <c r="T2013" s="577">
        <f t="shared" si="502"/>
        <v>0</v>
      </c>
      <c r="U2013" s="578">
        <f t="shared" si="503"/>
        <v>0</v>
      </c>
      <c r="V2013" s="579"/>
      <c r="W2013" s="566"/>
      <c r="X2013" s="586" t="str">
        <f t="shared" si="496"/>
        <v/>
      </c>
      <c r="Y2013" s="586" t="str">
        <f t="shared" si="431"/>
        <v/>
      </c>
      <c r="Z2013" s="586" t="str">
        <f t="shared" si="488"/>
        <v/>
      </c>
    </row>
    <row r="2014" spans="1:26" ht="12" hidden="1" thickBot="1" x14ac:dyDescent="0.25">
      <c r="A2014" s="567" t="s">
        <v>168</v>
      </c>
      <c r="B2014" s="644" t="s">
        <v>168</v>
      </c>
      <c r="C2014" s="645"/>
      <c r="D2014" s="422" t="s">
        <v>212</v>
      </c>
      <c r="E2014" s="423"/>
      <c r="F2014" s="424">
        <v>500</v>
      </c>
      <c r="G2014" s="425">
        <v>2.5999999999999999E-3</v>
      </c>
      <c r="H2014" s="649">
        <f>IF(F2014&lt;=30,(0.78*F2014+7.82)*G2014,((0.78*30+7.82)+0.78*(F2014-30))*G2014)</f>
        <v>1.034332</v>
      </c>
      <c r="I2014" s="420"/>
      <c r="J2014" s="420"/>
      <c r="K2014" s="421">
        <f t="shared" si="501"/>
        <v>0</v>
      </c>
      <c r="L2014" s="647"/>
      <c r="M2014" s="723"/>
      <c r="N2014" s="576">
        <f t="shared" si="511"/>
        <v>0</v>
      </c>
      <c r="O2014" s="577">
        <f t="shared" si="504"/>
        <v>0</v>
      </c>
      <c r="P2014" s="578">
        <f t="shared" si="505"/>
        <v>0</v>
      </c>
      <c r="Q2014" s="765"/>
      <c r="R2014" s="723"/>
      <c r="S2014" s="723"/>
      <c r="T2014" s="577">
        <f t="shared" si="502"/>
        <v>0</v>
      </c>
      <c r="U2014" s="578">
        <f t="shared" si="503"/>
        <v>0</v>
      </c>
      <c r="V2014" s="579"/>
      <c r="W2014" s="566" t="str">
        <f>IF(U2013&gt;0,"xx",IF(P2013&gt;0,"xy",""))</f>
        <v/>
      </c>
      <c r="X2014" s="586" t="str">
        <f t="shared" si="496"/>
        <v/>
      </c>
      <c r="Y2014" s="586" t="str">
        <f t="shared" si="431"/>
        <v/>
      </c>
      <c r="Z2014" s="586" t="str">
        <f t="shared" si="488"/>
        <v/>
      </c>
    </row>
    <row r="2015" spans="1:26" ht="12" hidden="1" thickBot="1" x14ac:dyDescent="0.25">
      <c r="A2015" s="567" t="s">
        <v>168</v>
      </c>
      <c r="B2015" s="644" t="s">
        <v>168</v>
      </c>
      <c r="C2015" s="645"/>
      <c r="D2015" s="422" t="s">
        <v>248</v>
      </c>
      <c r="E2015" s="423"/>
      <c r="F2015" s="424">
        <v>180</v>
      </c>
      <c r="G2015" s="425">
        <v>1.34E-2</v>
      </c>
      <c r="H2015" s="663">
        <f t="shared" ref="H2015:H2016" si="514">IF(F2015&lt;=30,(1.07*F2015+2.68)*G2015,((1.07*30+2.68)+1.07*(F2015-30))*G2015)</f>
        <v>2.616752</v>
      </c>
      <c r="I2015" s="420"/>
      <c r="J2015" s="420"/>
      <c r="K2015" s="421">
        <f t="shared" si="501"/>
        <v>0</v>
      </c>
      <c r="L2015" s="647"/>
      <c r="M2015" s="723"/>
      <c r="N2015" s="576">
        <f t="shared" si="511"/>
        <v>0</v>
      </c>
      <c r="O2015" s="577">
        <f t="shared" si="504"/>
        <v>0</v>
      </c>
      <c r="P2015" s="578">
        <f t="shared" si="505"/>
        <v>0</v>
      </c>
      <c r="Q2015" s="765"/>
      <c r="R2015" s="723"/>
      <c r="S2015" s="723"/>
      <c r="T2015" s="577">
        <f t="shared" si="502"/>
        <v>0</v>
      </c>
      <c r="U2015" s="578">
        <f t="shared" si="503"/>
        <v>0</v>
      </c>
      <c r="V2015" s="579"/>
      <c r="W2015" s="566" t="str">
        <f>IF(U2013&gt;0,"xx",IF(P2013&gt;0,"xy",""))</f>
        <v/>
      </c>
      <c r="X2015" s="586" t="str">
        <f t="shared" si="496"/>
        <v/>
      </c>
      <c r="Y2015" s="586" t="str">
        <f t="shared" si="431"/>
        <v/>
      </c>
      <c r="Z2015" s="586" t="str">
        <f t="shared" si="488"/>
        <v/>
      </c>
    </row>
    <row r="2016" spans="1:26" ht="12" hidden="1" thickBot="1" x14ac:dyDescent="0.25">
      <c r="A2016" s="567" t="s">
        <v>168</v>
      </c>
      <c r="B2016" s="644" t="s">
        <v>168</v>
      </c>
      <c r="C2016" s="645"/>
      <c r="D2016" s="422" t="s">
        <v>347</v>
      </c>
      <c r="E2016" s="423"/>
      <c r="F2016" s="424">
        <v>20</v>
      </c>
      <c r="G2016" s="425">
        <v>0.39</v>
      </c>
      <c r="H2016" s="663">
        <f t="shared" si="514"/>
        <v>9.3912000000000013</v>
      </c>
      <c r="I2016" s="420"/>
      <c r="J2016" s="420"/>
      <c r="K2016" s="421">
        <f t="shared" si="501"/>
        <v>0</v>
      </c>
      <c r="L2016" s="647"/>
      <c r="M2016" s="723"/>
      <c r="N2016" s="576">
        <f t="shared" si="511"/>
        <v>0</v>
      </c>
      <c r="O2016" s="577">
        <f t="shared" si="504"/>
        <v>0</v>
      </c>
      <c r="P2016" s="578">
        <f t="shared" si="505"/>
        <v>0</v>
      </c>
      <c r="Q2016" s="765"/>
      <c r="R2016" s="723"/>
      <c r="S2016" s="723"/>
      <c r="T2016" s="577">
        <f t="shared" si="502"/>
        <v>0</v>
      </c>
      <c r="U2016" s="578">
        <f t="shared" si="503"/>
        <v>0</v>
      </c>
      <c r="V2016" s="579"/>
      <c r="W2016" s="566" t="str">
        <f>IF(U2013&gt;0,"xx",IF(P2013&gt;0,"xy",""))</f>
        <v/>
      </c>
      <c r="X2016" s="586" t="str">
        <f t="shared" si="496"/>
        <v/>
      </c>
      <c r="Y2016" s="586" t="str">
        <f t="shared" si="431"/>
        <v/>
      </c>
      <c r="Z2016" s="586" t="str">
        <f t="shared" si="488"/>
        <v/>
      </c>
    </row>
    <row r="2017" spans="1:26" ht="12" hidden="1" thickBot="1" x14ac:dyDescent="0.25">
      <c r="A2017" s="567">
        <v>610600</v>
      </c>
      <c r="B2017" s="644" t="s">
        <v>1673</v>
      </c>
      <c r="C2017" s="645" t="s">
        <v>206</v>
      </c>
      <c r="D2017" s="422" t="s">
        <v>509</v>
      </c>
      <c r="E2017" s="423"/>
      <c r="F2017" s="424"/>
      <c r="G2017" s="425"/>
      <c r="H2017" s="651">
        <f>SUM(H2018:H2020)</f>
        <v>16.864806000000002</v>
      </c>
      <c r="I2017" s="420">
        <v>202.41</v>
      </c>
      <c r="J2017" s="420">
        <f>IF(ISBLANK(I2017),"",SUM(H2017:I2017))</f>
        <v>219.27480600000001</v>
      </c>
      <c r="K2017" s="421">
        <f t="shared" si="501"/>
        <v>260.52</v>
      </c>
      <c r="L2017" s="647" t="s">
        <v>19</v>
      </c>
      <c r="M2017" s="576"/>
      <c r="N2017" s="576">
        <f t="shared" si="511"/>
        <v>0</v>
      </c>
      <c r="O2017" s="577">
        <f t="shared" si="504"/>
        <v>0</v>
      </c>
      <c r="P2017" s="578">
        <f t="shared" si="505"/>
        <v>0</v>
      </c>
      <c r="Q2017" s="765"/>
      <c r="R2017" s="576">
        <f>M2017</f>
        <v>0</v>
      </c>
      <c r="S2017" s="576">
        <f>N2017</f>
        <v>0</v>
      </c>
      <c r="T2017" s="577">
        <f t="shared" si="502"/>
        <v>0</v>
      </c>
      <c r="U2017" s="578">
        <f t="shared" si="503"/>
        <v>0</v>
      </c>
      <c r="V2017" s="579"/>
      <c r="W2017" s="566"/>
      <c r="X2017" s="586" t="str">
        <f t="shared" si="496"/>
        <v/>
      </c>
      <c r="Y2017" s="586" t="str">
        <f t="shared" si="431"/>
        <v/>
      </c>
      <c r="Z2017" s="586" t="str">
        <f t="shared" si="488"/>
        <v/>
      </c>
    </row>
    <row r="2018" spans="1:26" ht="12" hidden="1" thickBot="1" x14ac:dyDescent="0.25">
      <c r="A2018" s="567" t="s">
        <v>168</v>
      </c>
      <c r="B2018" s="644" t="s">
        <v>168</v>
      </c>
      <c r="C2018" s="645"/>
      <c r="D2018" s="422" t="s">
        <v>212</v>
      </c>
      <c r="E2018" s="423"/>
      <c r="F2018" s="424">
        <v>500</v>
      </c>
      <c r="G2018" s="425">
        <v>2.8999999999999998E-3</v>
      </c>
      <c r="H2018" s="649">
        <f>IF(F2018&lt;=30,(0.78*F2018+7.82)*G2018,((0.78*30+7.82)+0.78*(F2018-30))*G2018)</f>
        <v>1.153678</v>
      </c>
      <c r="I2018" s="420"/>
      <c r="J2018" s="420"/>
      <c r="K2018" s="421">
        <f t="shared" si="501"/>
        <v>0</v>
      </c>
      <c r="L2018" s="647"/>
      <c r="M2018" s="723"/>
      <c r="N2018" s="576">
        <f t="shared" si="511"/>
        <v>0</v>
      </c>
      <c r="O2018" s="577">
        <f t="shared" si="504"/>
        <v>0</v>
      </c>
      <c r="P2018" s="578">
        <f t="shared" si="505"/>
        <v>0</v>
      </c>
      <c r="Q2018" s="765"/>
      <c r="R2018" s="723"/>
      <c r="S2018" s="723"/>
      <c r="T2018" s="577">
        <f t="shared" si="502"/>
        <v>0</v>
      </c>
      <c r="U2018" s="578">
        <f t="shared" si="503"/>
        <v>0</v>
      </c>
      <c r="V2018" s="579"/>
      <c r="W2018" s="566" t="str">
        <f>IF(U2017&gt;0,"xx",IF(P2017&gt;0,"xy",""))</f>
        <v/>
      </c>
      <c r="X2018" s="586" t="str">
        <f t="shared" si="496"/>
        <v/>
      </c>
      <c r="Y2018" s="586" t="str">
        <f t="shared" si="431"/>
        <v/>
      </c>
      <c r="Z2018" s="586" t="str">
        <f t="shared" si="488"/>
        <v/>
      </c>
    </row>
    <row r="2019" spans="1:26" ht="12" hidden="1" thickBot="1" x14ac:dyDescent="0.25">
      <c r="A2019" s="567" t="s">
        <v>168</v>
      </c>
      <c r="B2019" s="644" t="s">
        <v>168</v>
      </c>
      <c r="C2019" s="645"/>
      <c r="D2019" s="422" t="s">
        <v>248</v>
      </c>
      <c r="E2019" s="423"/>
      <c r="F2019" s="424">
        <v>180</v>
      </c>
      <c r="G2019" s="425">
        <v>1.5100000000000001E-2</v>
      </c>
      <c r="H2019" s="663">
        <f t="shared" ref="H2019:H2020" si="515">IF(F2019&lt;=30,(1.07*F2019+2.68)*G2019,((1.07*30+2.68)+1.07*(F2019-30))*G2019)</f>
        <v>2.948728</v>
      </c>
      <c r="I2019" s="420"/>
      <c r="J2019" s="420"/>
      <c r="K2019" s="421">
        <f t="shared" si="501"/>
        <v>0</v>
      </c>
      <c r="L2019" s="647"/>
      <c r="M2019" s="723"/>
      <c r="N2019" s="576">
        <f t="shared" si="511"/>
        <v>0</v>
      </c>
      <c r="O2019" s="577">
        <f t="shared" si="504"/>
        <v>0</v>
      </c>
      <c r="P2019" s="578">
        <f t="shared" si="505"/>
        <v>0</v>
      </c>
      <c r="Q2019" s="765"/>
      <c r="R2019" s="723"/>
      <c r="S2019" s="723"/>
      <c r="T2019" s="577">
        <f t="shared" si="502"/>
        <v>0</v>
      </c>
      <c r="U2019" s="578">
        <f t="shared" si="503"/>
        <v>0</v>
      </c>
      <c r="V2019" s="579"/>
      <c r="W2019" s="566" t="str">
        <f>IF(U2017&gt;0,"xx",IF(P2017&gt;0,"xy",""))</f>
        <v/>
      </c>
      <c r="X2019" s="586" t="str">
        <f t="shared" si="496"/>
        <v/>
      </c>
      <c r="Y2019" s="586" t="str">
        <f t="shared" si="431"/>
        <v/>
      </c>
      <c r="Z2019" s="586" t="str">
        <f t="shared" si="488"/>
        <v/>
      </c>
    </row>
    <row r="2020" spans="1:26" ht="12" hidden="1" thickBot="1" x14ac:dyDescent="0.25">
      <c r="A2020" s="567" t="s">
        <v>168</v>
      </c>
      <c r="B2020" s="644" t="s">
        <v>168</v>
      </c>
      <c r="C2020" s="645"/>
      <c r="D2020" s="422" t="s">
        <v>347</v>
      </c>
      <c r="E2020" s="423"/>
      <c r="F2020" s="424">
        <v>20</v>
      </c>
      <c r="G2020" s="425">
        <v>0.53</v>
      </c>
      <c r="H2020" s="663">
        <f t="shared" si="515"/>
        <v>12.762400000000001</v>
      </c>
      <c r="I2020" s="420"/>
      <c r="J2020" s="420"/>
      <c r="K2020" s="421">
        <f t="shared" si="501"/>
        <v>0</v>
      </c>
      <c r="L2020" s="647"/>
      <c r="M2020" s="723"/>
      <c r="N2020" s="576">
        <f t="shared" si="511"/>
        <v>0</v>
      </c>
      <c r="O2020" s="577">
        <f t="shared" si="504"/>
        <v>0</v>
      </c>
      <c r="P2020" s="578">
        <f t="shared" si="505"/>
        <v>0</v>
      </c>
      <c r="Q2020" s="765"/>
      <c r="R2020" s="723"/>
      <c r="S2020" s="723"/>
      <c r="T2020" s="577">
        <f t="shared" si="502"/>
        <v>0</v>
      </c>
      <c r="U2020" s="578">
        <f t="shared" si="503"/>
        <v>0</v>
      </c>
      <c r="V2020" s="579"/>
      <c r="W2020" s="566" t="str">
        <f>IF(U2017&gt;0,"xx",IF(P2017&gt;0,"xy",""))</f>
        <v/>
      </c>
      <c r="X2020" s="586" t="str">
        <f t="shared" si="496"/>
        <v/>
      </c>
      <c r="Y2020" s="586" t="str">
        <f t="shared" si="431"/>
        <v/>
      </c>
      <c r="Z2020" s="586" t="str">
        <f t="shared" si="488"/>
        <v/>
      </c>
    </row>
    <row r="2021" spans="1:26" ht="12" hidden="1" thickBot="1" x14ac:dyDescent="0.25">
      <c r="A2021" s="567">
        <v>610800</v>
      </c>
      <c r="B2021" s="644" t="s">
        <v>1678</v>
      </c>
      <c r="C2021" s="645" t="s">
        <v>206</v>
      </c>
      <c r="D2021" s="422" t="s">
        <v>375</v>
      </c>
      <c r="E2021" s="423"/>
      <c r="F2021" s="424"/>
      <c r="G2021" s="425"/>
      <c r="H2021" s="651">
        <f>SUM(H2022:H2024)</f>
        <v>20.687328000000001</v>
      </c>
      <c r="I2021" s="420">
        <v>271.24</v>
      </c>
      <c r="J2021" s="420">
        <f>IF(ISBLANK(I2021),"",SUM(H2021:I2021))</f>
        <v>291.92732799999999</v>
      </c>
      <c r="K2021" s="421">
        <f t="shared" si="501"/>
        <v>346.84</v>
      </c>
      <c r="L2021" s="647" t="s">
        <v>19</v>
      </c>
      <c r="M2021" s="576"/>
      <c r="N2021" s="576">
        <f t="shared" si="511"/>
        <v>0</v>
      </c>
      <c r="O2021" s="577">
        <f t="shared" si="504"/>
        <v>0</v>
      </c>
      <c r="P2021" s="578">
        <f t="shared" si="505"/>
        <v>0</v>
      </c>
      <c r="Q2021" s="765"/>
      <c r="R2021" s="576">
        <f>M2021</f>
        <v>0</v>
      </c>
      <c r="S2021" s="576">
        <f>N2021</f>
        <v>0</v>
      </c>
      <c r="T2021" s="577">
        <f t="shared" si="502"/>
        <v>0</v>
      </c>
      <c r="U2021" s="578">
        <f t="shared" si="503"/>
        <v>0</v>
      </c>
      <c r="V2021" s="579"/>
      <c r="W2021" s="566"/>
      <c r="X2021" s="586" t="str">
        <f t="shared" si="496"/>
        <v/>
      </c>
      <c r="Y2021" s="586" t="str">
        <f t="shared" si="431"/>
        <v/>
      </c>
      <c r="Z2021" s="586" t="str">
        <f t="shared" si="488"/>
        <v/>
      </c>
    </row>
    <row r="2022" spans="1:26" ht="12" hidden="1" thickBot="1" x14ac:dyDescent="0.25">
      <c r="A2022" s="567" t="s">
        <v>168</v>
      </c>
      <c r="B2022" s="644" t="s">
        <v>168</v>
      </c>
      <c r="C2022" s="645"/>
      <c r="D2022" s="422" t="s">
        <v>212</v>
      </c>
      <c r="E2022" s="423"/>
      <c r="F2022" s="424">
        <v>500</v>
      </c>
      <c r="G2022" s="425">
        <v>3.2000000000000002E-3</v>
      </c>
      <c r="H2022" s="649">
        <f>IF(F2022&lt;=30,(0.78*F2022+7.82)*G2022,((0.78*30+7.82)+0.78*(F2022-30))*G2022)</f>
        <v>1.2730240000000002</v>
      </c>
      <c r="I2022" s="420"/>
      <c r="J2022" s="420"/>
      <c r="K2022" s="421">
        <f t="shared" si="501"/>
        <v>0</v>
      </c>
      <c r="L2022" s="647"/>
      <c r="M2022" s="723"/>
      <c r="N2022" s="576">
        <f t="shared" si="511"/>
        <v>0</v>
      </c>
      <c r="O2022" s="577">
        <f t="shared" si="504"/>
        <v>0</v>
      </c>
      <c r="P2022" s="578">
        <f t="shared" si="505"/>
        <v>0</v>
      </c>
      <c r="Q2022" s="765"/>
      <c r="R2022" s="723"/>
      <c r="S2022" s="723"/>
      <c r="T2022" s="577">
        <f t="shared" si="502"/>
        <v>0</v>
      </c>
      <c r="U2022" s="578">
        <f t="shared" si="503"/>
        <v>0</v>
      </c>
      <c r="V2022" s="579"/>
      <c r="W2022" s="566" t="str">
        <f>IF(U2021&gt;0,"xx",IF(P2021&gt;0,"xy",""))</f>
        <v/>
      </c>
      <c r="X2022" s="586" t="str">
        <f t="shared" si="496"/>
        <v/>
      </c>
      <c r="Y2022" s="586" t="str">
        <f t="shared" si="431"/>
        <v/>
      </c>
      <c r="Z2022" s="586" t="str">
        <f t="shared" si="488"/>
        <v/>
      </c>
    </row>
    <row r="2023" spans="1:26" ht="12" hidden="1" thickBot="1" x14ac:dyDescent="0.25">
      <c r="A2023" s="567" t="s">
        <v>168</v>
      </c>
      <c r="B2023" s="644" t="s">
        <v>168</v>
      </c>
      <c r="C2023" s="645"/>
      <c r="D2023" s="422" t="s">
        <v>248</v>
      </c>
      <c r="E2023" s="423"/>
      <c r="F2023" s="424">
        <v>180</v>
      </c>
      <c r="G2023" s="425">
        <v>1.6799999999999999E-2</v>
      </c>
      <c r="H2023" s="663">
        <f t="shared" ref="H2023:H2024" si="516">IF(F2023&lt;=30,(1.07*F2023+2.68)*G2023,((1.07*30+2.68)+1.07*(F2023-30))*G2023)</f>
        <v>3.2807039999999996</v>
      </c>
      <c r="I2023" s="420"/>
      <c r="J2023" s="420"/>
      <c r="K2023" s="421">
        <f t="shared" si="501"/>
        <v>0</v>
      </c>
      <c r="L2023" s="647"/>
      <c r="M2023" s="723"/>
      <c r="N2023" s="576">
        <f t="shared" si="511"/>
        <v>0</v>
      </c>
      <c r="O2023" s="577">
        <f t="shared" si="504"/>
        <v>0</v>
      </c>
      <c r="P2023" s="578">
        <f t="shared" si="505"/>
        <v>0</v>
      </c>
      <c r="Q2023" s="765"/>
      <c r="R2023" s="723"/>
      <c r="S2023" s="723"/>
      <c r="T2023" s="577">
        <f t="shared" si="502"/>
        <v>0</v>
      </c>
      <c r="U2023" s="578">
        <f t="shared" si="503"/>
        <v>0</v>
      </c>
      <c r="V2023" s="579"/>
      <c r="W2023" s="566" t="str">
        <f>IF(U2021&gt;0,"xx",IF(P2021&gt;0,"xy",""))</f>
        <v/>
      </c>
      <c r="X2023" s="586" t="str">
        <f t="shared" si="496"/>
        <v/>
      </c>
      <c r="Y2023" s="586" t="str">
        <f t="shared" si="431"/>
        <v/>
      </c>
      <c r="Z2023" s="586" t="str">
        <f t="shared" si="488"/>
        <v/>
      </c>
    </row>
    <row r="2024" spans="1:26" ht="12" hidden="1" thickBot="1" x14ac:dyDescent="0.25">
      <c r="A2024" s="567" t="s">
        <v>168</v>
      </c>
      <c r="B2024" s="644" t="s">
        <v>168</v>
      </c>
      <c r="C2024" s="645"/>
      <c r="D2024" s="422" t="s">
        <v>347</v>
      </c>
      <c r="E2024" s="423"/>
      <c r="F2024" s="424">
        <v>20</v>
      </c>
      <c r="G2024" s="425">
        <v>0.67</v>
      </c>
      <c r="H2024" s="663">
        <f t="shared" si="516"/>
        <v>16.133600000000001</v>
      </c>
      <c r="I2024" s="420"/>
      <c r="J2024" s="420"/>
      <c r="K2024" s="421">
        <f t="shared" si="501"/>
        <v>0</v>
      </c>
      <c r="L2024" s="647"/>
      <c r="M2024" s="723"/>
      <c r="N2024" s="576">
        <f t="shared" si="511"/>
        <v>0</v>
      </c>
      <c r="O2024" s="577">
        <f t="shared" si="504"/>
        <v>0</v>
      </c>
      <c r="P2024" s="578">
        <f t="shared" si="505"/>
        <v>0</v>
      </c>
      <c r="Q2024" s="765"/>
      <c r="R2024" s="723"/>
      <c r="S2024" s="723"/>
      <c r="T2024" s="577">
        <f t="shared" si="502"/>
        <v>0</v>
      </c>
      <c r="U2024" s="578">
        <f t="shared" si="503"/>
        <v>0</v>
      </c>
      <c r="V2024" s="579"/>
      <c r="W2024" s="566" t="str">
        <f>IF(U2021&gt;0,"xx",IF(P2021&gt;0,"xy",""))</f>
        <v/>
      </c>
      <c r="X2024" s="586" t="str">
        <f t="shared" si="496"/>
        <v/>
      </c>
      <c r="Y2024" s="586" t="str">
        <f t="shared" si="431"/>
        <v/>
      </c>
      <c r="Z2024" s="586" t="str">
        <f t="shared" ref="Z2024:Z2087" si="517">IF(W2024="X","x",IF(U2024&gt;0,"x",""))</f>
        <v/>
      </c>
    </row>
    <row r="2025" spans="1:26" ht="12" hidden="1" thickBot="1" x14ac:dyDescent="0.25">
      <c r="A2025" s="567">
        <v>610400</v>
      </c>
      <c r="B2025" s="644" t="s">
        <v>1670</v>
      </c>
      <c r="C2025" s="645" t="s">
        <v>206</v>
      </c>
      <c r="D2025" s="422" t="s">
        <v>376</v>
      </c>
      <c r="E2025" s="423"/>
      <c r="F2025" s="424"/>
      <c r="G2025" s="425"/>
      <c r="H2025" s="651">
        <f>SUM(H2026:H2028)</f>
        <v>5.3574580000000003</v>
      </c>
      <c r="I2025" s="420">
        <v>127.35</v>
      </c>
      <c r="J2025" s="420">
        <f>IF(ISBLANK(I2025),"",SUM(H2025:I2025))</f>
        <v>132.707458</v>
      </c>
      <c r="K2025" s="421">
        <f t="shared" si="501"/>
        <v>157.66999999999999</v>
      </c>
      <c r="L2025" s="647" t="s">
        <v>19</v>
      </c>
      <c r="M2025" s="576"/>
      <c r="N2025" s="576">
        <f t="shared" si="511"/>
        <v>0</v>
      </c>
      <c r="O2025" s="577">
        <f t="shared" si="504"/>
        <v>0</v>
      </c>
      <c r="P2025" s="578">
        <f t="shared" si="505"/>
        <v>0</v>
      </c>
      <c r="Q2025" s="765"/>
      <c r="R2025" s="576">
        <f>M2025</f>
        <v>0</v>
      </c>
      <c r="S2025" s="576">
        <f>N2025</f>
        <v>0</v>
      </c>
      <c r="T2025" s="577">
        <f t="shared" si="502"/>
        <v>0</v>
      </c>
      <c r="U2025" s="578">
        <f t="shared" si="503"/>
        <v>0</v>
      </c>
      <c r="V2025" s="579"/>
      <c r="W2025" s="566"/>
      <c r="X2025" s="586" t="str">
        <f t="shared" si="496"/>
        <v/>
      </c>
      <c r="Y2025" s="586" t="str">
        <f t="shared" si="431"/>
        <v/>
      </c>
      <c r="Z2025" s="586" t="str">
        <f t="shared" si="517"/>
        <v/>
      </c>
    </row>
    <row r="2026" spans="1:26" ht="12" hidden="1" thickBot="1" x14ac:dyDescent="0.25">
      <c r="A2026" s="567" t="s">
        <v>168</v>
      </c>
      <c r="B2026" s="644" t="s">
        <v>168</v>
      </c>
      <c r="C2026" s="645"/>
      <c r="D2026" s="422" t="s">
        <v>212</v>
      </c>
      <c r="E2026" s="423"/>
      <c r="F2026" s="424">
        <v>500</v>
      </c>
      <c r="G2026" s="425">
        <v>1.9E-3</v>
      </c>
      <c r="H2026" s="649">
        <f>IF(F2026&lt;=30,(0.78*F2026+7.82)*G2026,((0.78*30+7.82)+0.78*(F2026-30))*G2026)</f>
        <v>0.75585800000000014</v>
      </c>
      <c r="I2026" s="420"/>
      <c r="J2026" s="420"/>
      <c r="K2026" s="421">
        <f t="shared" si="501"/>
        <v>0</v>
      </c>
      <c r="L2026" s="647"/>
      <c r="M2026" s="723"/>
      <c r="N2026" s="576">
        <f t="shared" si="511"/>
        <v>0</v>
      </c>
      <c r="O2026" s="577">
        <f t="shared" si="504"/>
        <v>0</v>
      </c>
      <c r="P2026" s="578">
        <f t="shared" si="505"/>
        <v>0</v>
      </c>
      <c r="Q2026" s="765"/>
      <c r="R2026" s="723"/>
      <c r="S2026" s="723"/>
      <c r="T2026" s="577">
        <f t="shared" si="502"/>
        <v>0</v>
      </c>
      <c r="U2026" s="578">
        <f t="shared" si="503"/>
        <v>0</v>
      </c>
      <c r="V2026" s="579"/>
      <c r="W2026" s="566" t="str">
        <f>IF(U2025&gt;0,"xx",IF(P2025&gt;0,"xy",""))</f>
        <v/>
      </c>
      <c r="X2026" s="586" t="str">
        <f t="shared" si="496"/>
        <v/>
      </c>
      <c r="Y2026" s="586" t="str">
        <f t="shared" si="431"/>
        <v/>
      </c>
      <c r="Z2026" s="586" t="str">
        <f t="shared" si="517"/>
        <v/>
      </c>
    </row>
    <row r="2027" spans="1:26" ht="12" hidden="1" thickBot="1" x14ac:dyDescent="0.25">
      <c r="A2027" s="567" t="s">
        <v>168</v>
      </c>
      <c r="B2027" s="644" t="s">
        <v>168</v>
      </c>
      <c r="C2027" s="645"/>
      <c r="D2027" s="422" t="s">
        <v>248</v>
      </c>
      <c r="E2027" s="423"/>
      <c r="F2027" s="424">
        <v>180</v>
      </c>
      <c r="G2027" s="425">
        <v>0.01</v>
      </c>
      <c r="H2027" s="663">
        <f t="shared" ref="H2027:H2028" si="518">IF(F2027&lt;=30,(1.07*F2027+2.68)*G2027,((1.07*30+2.68)+1.07*(F2027-30))*G2027)</f>
        <v>1.9528000000000001</v>
      </c>
      <c r="I2027" s="420"/>
      <c r="J2027" s="420"/>
      <c r="K2027" s="421">
        <f t="shared" si="501"/>
        <v>0</v>
      </c>
      <c r="L2027" s="647"/>
      <c r="M2027" s="723"/>
      <c r="N2027" s="576">
        <f t="shared" si="511"/>
        <v>0</v>
      </c>
      <c r="O2027" s="577">
        <f t="shared" si="504"/>
        <v>0</v>
      </c>
      <c r="P2027" s="578">
        <f t="shared" si="505"/>
        <v>0</v>
      </c>
      <c r="Q2027" s="765"/>
      <c r="R2027" s="723"/>
      <c r="S2027" s="723"/>
      <c r="T2027" s="577">
        <f t="shared" si="502"/>
        <v>0</v>
      </c>
      <c r="U2027" s="578">
        <f t="shared" si="503"/>
        <v>0</v>
      </c>
      <c r="V2027" s="579"/>
      <c r="W2027" s="566" t="str">
        <f>IF(U2025&gt;0,"xx",IF(P2025&gt;0,"xy",""))</f>
        <v/>
      </c>
      <c r="X2027" s="586" t="str">
        <f t="shared" si="496"/>
        <v/>
      </c>
      <c r="Y2027" s="586" t="str">
        <f t="shared" si="431"/>
        <v/>
      </c>
      <c r="Z2027" s="586" t="str">
        <f t="shared" si="517"/>
        <v/>
      </c>
    </row>
    <row r="2028" spans="1:26" ht="12" hidden="1" thickBot="1" x14ac:dyDescent="0.25">
      <c r="A2028" s="567" t="s">
        <v>168</v>
      </c>
      <c r="B2028" s="644" t="s">
        <v>168</v>
      </c>
      <c r="C2028" s="645"/>
      <c r="D2028" s="422" t="s">
        <v>347</v>
      </c>
      <c r="E2028" s="423"/>
      <c r="F2028" s="424">
        <v>20</v>
      </c>
      <c r="G2028" s="425">
        <v>0.11</v>
      </c>
      <c r="H2028" s="663">
        <f t="shared" si="518"/>
        <v>2.6488</v>
      </c>
      <c r="I2028" s="420"/>
      <c r="J2028" s="420"/>
      <c r="K2028" s="421">
        <f t="shared" si="501"/>
        <v>0</v>
      </c>
      <c r="L2028" s="647"/>
      <c r="M2028" s="723"/>
      <c r="N2028" s="576">
        <f t="shared" si="511"/>
        <v>0</v>
      </c>
      <c r="O2028" s="577">
        <f t="shared" si="504"/>
        <v>0</v>
      </c>
      <c r="P2028" s="578">
        <f t="shared" si="505"/>
        <v>0</v>
      </c>
      <c r="Q2028" s="765"/>
      <c r="R2028" s="723"/>
      <c r="S2028" s="723"/>
      <c r="T2028" s="577">
        <f t="shared" si="502"/>
        <v>0</v>
      </c>
      <c r="U2028" s="578">
        <f t="shared" si="503"/>
        <v>0</v>
      </c>
      <c r="V2028" s="579"/>
      <c r="W2028" s="566" t="str">
        <f>IF(U2025&gt;0,"xx",IF(P2025&gt;0,"xy",""))</f>
        <v/>
      </c>
      <c r="X2028" s="586" t="str">
        <f t="shared" si="496"/>
        <v/>
      </c>
      <c r="Y2028" s="586" t="str">
        <f t="shared" si="431"/>
        <v/>
      </c>
      <c r="Z2028" s="586" t="str">
        <f t="shared" si="517"/>
        <v/>
      </c>
    </row>
    <row r="2029" spans="1:26" ht="12" hidden="1" thickBot="1" x14ac:dyDescent="0.25">
      <c r="A2029" s="567">
        <v>610600</v>
      </c>
      <c r="B2029" s="644" t="s">
        <v>1674</v>
      </c>
      <c r="C2029" s="645" t="s">
        <v>206</v>
      </c>
      <c r="D2029" s="422" t="s">
        <v>578</v>
      </c>
      <c r="E2029" s="423"/>
      <c r="F2029" s="424"/>
      <c r="G2029" s="425"/>
      <c r="H2029" s="651">
        <f>SUM(H2030:H2032)</f>
        <v>9.2197619999999993</v>
      </c>
      <c r="I2029" s="420">
        <v>197.23499999999999</v>
      </c>
      <c r="J2029" s="420">
        <f>IF(ISBLANK(I2029),"",SUM(H2029:I2029))</f>
        <v>206.45476199999999</v>
      </c>
      <c r="K2029" s="421">
        <f t="shared" si="501"/>
        <v>245.29</v>
      </c>
      <c r="L2029" s="647" t="s">
        <v>19</v>
      </c>
      <c r="M2029" s="576"/>
      <c r="N2029" s="576">
        <f t="shared" si="511"/>
        <v>0</v>
      </c>
      <c r="O2029" s="577">
        <f t="shared" si="504"/>
        <v>0</v>
      </c>
      <c r="P2029" s="578">
        <f t="shared" si="505"/>
        <v>0</v>
      </c>
      <c r="Q2029" s="765"/>
      <c r="R2029" s="576">
        <f>M2029</f>
        <v>0</v>
      </c>
      <c r="S2029" s="576">
        <f>N2029</f>
        <v>0</v>
      </c>
      <c r="T2029" s="577">
        <f t="shared" si="502"/>
        <v>0</v>
      </c>
      <c r="U2029" s="578">
        <f t="shared" si="503"/>
        <v>0</v>
      </c>
      <c r="V2029" s="579"/>
      <c r="W2029" s="566"/>
      <c r="X2029" s="586" t="str">
        <f t="shared" si="496"/>
        <v/>
      </c>
      <c r="Y2029" s="586" t="str">
        <f t="shared" si="431"/>
        <v/>
      </c>
      <c r="Z2029" s="586" t="str">
        <f t="shared" si="517"/>
        <v/>
      </c>
    </row>
    <row r="2030" spans="1:26" ht="12" hidden="1" thickBot="1" x14ac:dyDescent="0.25">
      <c r="A2030" s="567" t="s">
        <v>168</v>
      </c>
      <c r="B2030" s="644" t="s">
        <v>168</v>
      </c>
      <c r="C2030" s="645"/>
      <c r="D2030" s="422" t="s">
        <v>212</v>
      </c>
      <c r="E2030" s="423"/>
      <c r="F2030" s="424">
        <v>500</v>
      </c>
      <c r="G2030" s="425">
        <v>2.3E-3</v>
      </c>
      <c r="H2030" s="649">
        <f>IF(F2030&lt;=30,(0.78*F2030+7.82)*G2030,((0.78*30+7.82)+0.78*(F2030-30))*G2030)</f>
        <v>0.91498600000000008</v>
      </c>
      <c r="I2030" s="420"/>
      <c r="J2030" s="420"/>
      <c r="K2030" s="421">
        <f t="shared" si="501"/>
        <v>0</v>
      </c>
      <c r="L2030" s="647"/>
      <c r="M2030" s="723"/>
      <c r="N2030" s="576">
        <f t="shared" si="511"/>
        <v>0</v>
      </c>
      <c r="O2030" s="577">
        <f t="shared" si="504"/>
        <v>0</v>
      </c>
      <c r="P2030" s="578">
        <f t="shared" si="505"/>
        <v>0</v>
      </c>
      <c r="Q2030" s="765"/>
      <c r="R2030" s="723"/>
      <c r="S2030" s="723"/>
      <c r="T2030" s="577">
        <f t="shared" si="502"/>
        <v>0</v>
      </c>
      <c r="U2030" s="578">
        <f t="shared" si="503"/>
        <v>0</v>
      </c>
      <c r="V2030" s="579"/>
      <c r="W2030" s="566" t="str">
        <f>IF(U2029&gt;0,"xx",IF(P2029&gt;0,"xy",""))</f>
        <v/>
      </c>
      <c r="X2030" s="586" t="str">
        <f t="shared" si="496"/>
        <v/>
      </c>
      <c r="Y2030" s="586" t="str">
        <f t="shared" si="431"/>
        <v/>
      </c>
      <c r="Z2030" s="586" t="str">
        <f t="shared" si="517"/>
        <v/>
      </c>
    </row>
    <row r="2031" spans="1:26" ht="12" hidden="1" thickBot="1" x14ac:dyDescent="0.25">
      <c r="A2031" s="567" t="s">
        <v>168</v>
      </c>
      <c r="B2031" s="644" t="s">
        <v>168</v>
      </c>
      <c r="C2031" s="645"/>
      <c r="D2031" s="422" t="s">
        <v>248</v>
      </c>
      <c r="E2031" s="423"/>
      <c r="F2031" s="424">
        <v>180</v>
      </c>
      <c r="G2031" s="425">
        <v>1.17E-2</v>
      </c>
      <c r="H2031" s="663">
        <f t="shared" ref="H2031:H2032" si="519">IF(F2031&lt;=30,(1.07*F2031+2.68)*G2031,((1.07*30+2.68)+1.07*(F2031-30))*G2031)</f>
        <v>2.2847759999999999</v>
      </c>
      <c r="I2031" s="420"/>
      <c r="J2031" s="420"/>
      <c r="K2031" s="421">
        <f t="shared" si="501"/>
        <v>0</v>
      </c>
      <c r="L2031" s="647"/>
      <c r="M2031" s="723"/>
      <c r="N2031" s="576">
        <f t="shared" si="511"/>
        <v>0</v>
      </c>
      <c r="O2031" s="577">
        <f t="shared" si="504"/>
        <v>0</v>
      </c>
      <c r="P2031" s="578">
        <f t="shared" si="505"/>
        <v>0</v>
      </c>
      <c r="Q2031" s="765"/>
      <c r="R2031" s="723"/>
      <c r="S2031" s="723"/>
      <c r="T2031" s="577">
        <f t="shared" si="502"/>
        <v>0</v>
      </c>
      <c r="U2031" s="578">
        <f t="shared" si="503"/>
        <v>0</v>
      </c>
      <c r="V2031" s="579"/>
      <c r="W2031" s="566" t="str">
        <f>IF(U2029&gt;0,"xx",IF(P2029&gt;0,"xy",""))</f>
        <v/>
      </c>
      <c r="X2031" s="586" t="str">
        <f t="shared" si="496"/>
        <v/>
      </c>
      <c r="Y2031" s="586" t="str">
        <f t="shared" si="431"/>
        <v/>
      </c>
      <c r="Z2031" s="586" t="str">
        <f t="shared" si="517"/>
        <v/>
      </c>
    </row>
    <row r="2032" spans="1:26" ht="12" hidden="1" thickBot="1" x14ac:dyDescent="0.25">
      <c r="A2032" s="567" t="s">
        <v>168</v>
      </c>
      <c r="B2032" s="644" t="s">
        <v>168</v>
      </c>
      <c r="C2032" s="645"/>
      <c r="D2032" s="422" t="s">
        <v>347</v>
      </c>
      <c r="E2032" s="423"/>
      <c r="F2032" s="424">
        <v>20</v>
      </c>
      <c r="G2032" s="425">
        <v>0.25</v>
      </c>
      <c r="H2032" s="663">
        <f t="shared" si="519"/>
        <v>6.0200000000000005</v>
      </c>
      <c r="I2032" s="420"/>
      <c r="J2032" s="420"/>
      <c r="K2032" s="421">
        <f t="shared" si="501"/>
        <v>0</v>
      </c>
      <c r="L2032" s="647"/>
      <c r="M2032" s="723"/>
      <c r="N2032" s="576">
        <f t="shared" si="511"/>
        <v>0</v>
      </c>
      <c r="O2032" s="577">
        <f t="shared" si="504"/>
        <v>0</v>
      </c>
      <c r="P2032" s="578">
        <f t="shared" si="505"/>
        <v>0</v>
      </c>
      <c r="Q2032" s="765"/>
      <c r="R2032" s="723"/>
      <c r="S2032" s="723"/>
      <c r="T2032" s="577">
        <f t="shared" si="502"/>
        <v>0</v>
      </c>
      <c r="U2032" s="578">
        <f t="shared" si="503"/>
        <v>0</v>
      </c>
      <c r="V2032" s="579"/>
      <c r="W2032" s="566" t="str">
        <f>IF(U2029&gt;0,"xx",IF(P2029&gt;0,"xy",""))</f>
        <v/>
      </c>
      <c r="X2032" s="586" t="str">
        <f t="shared" si="496"/>
        <v/>
      </c>
      <c r="Y2032" s="586" t="str">
        <f t="shared" si="431"/>
        <v/>
      </c>
      <c r="Z2032" s="586" t="str">
        <f t="shared" si="517"/>
        <v/>
      </c>
    </row>
    <row r="2033" spans="1:26" ht="12" hidden="1" thickBot="1" x14ac:dyDescent="0.25">
      <c r="A2033" s="567">
        <v>610600</v>
      </c>
      <c r="B2033" s="644" t="s">
        <v>1675</v>
      </c>
      <c r="C2033" s="645" t="s">
        <v>206</v>
      </c>
      <c r="D2033" s="422" t="s">
        <v>377</v>
      </c>
      <c r="E2033" s="423"/>
      <c r="F2033" s="424"/>
      <c r="G2033" s="425"/>
      <c r="H2033" s="651">
        <f>SUM(H2034:H2036)</f>
        <v>13.042284000000002</v>
      </c>
      <c r="I2033" s="420">
        <v>267.11999999999995</v>
      </c>
      <c r="J2033" s="420">
        <f>IF(ISBLANK(I2033),"",SUM(H2033:I2033))</f>
        <v>280.16228399999994</v>
      </c>
      <c r="K2033" s="421">
        <f t="shared" si="501"/>
        <v>332.86</v>
      </c>
      <c r="L2033" s="647" t="s">
        <v>19</v>
      </c>
      <c r="M2033" s="576"/>
      <c r="N2033" s="576">
        <f t="shared" si="511"/>
        <v>0</v>
      </c>
      <c r="O2033" s="577">
        <f t="shared" si="504"/>
        <v>0</v>
      </c>
      <c r="P2033" s="578">
        <f t="shared" si="505"/>
        <v>0</v>
      </c>
      <c r="Q2033" s="765"/>
      <c r="R2033" s="576">
        <f>M2033</f>
        <v>0</v>
      </c>
      <c r="S2033" s="576">
        <f>N2033</f>
        <v>0</v>
      </c>
      <c r="T2033" s="577">
        <f t="shared" si="502"/>
        <v>0</v>
      </c>
      <c r="U2033" s="578">
        <f t="shared" si="503"/>
        <v>0</v>
      </c>
      <c r="V2033" s="579"/>
      <c r="W2033" s="566"/>
      <c r="X2033" s="586" t="str">
        <f t="shared" si="496"/>
        <v/>
      </c>
      <c r="Y2033" s="586" t="str">
        <f t="shared" si="431"/>
        <v/>
      </c>
      <c r="Z2033" s="586" t="str">
        <f t="shared" si="517"/>
        <v/>
      </c>
    </row>
    <row r="2034" spans="1:26" ht="12" hidden="1" thickBot="1" x14ac:dyDescent="0.25">
      <c r="A2034" s="567" t="s">
        <v>168</v>
      </c>
      <c r="B2034" s="644" t="s">
        <v>168</v>
      </c>
      <c r="C2034" s="645"/>
      <c r="D2034" s="422" t="s">
        <v>212</v>
      </c>
      <c r="E2034" s="423"/>
      <c r="F2034" s="424">
        <v>500</v>
      </c>
      <c r="G2034" s="425">
        <v>2.5999999999999999E-3</v>
      </c>
      <c r="H2034" s="649">
        <f>IF(F2034&lt;=30,(0.78*F2034+7.82)*G2034,((0.78*30+7.82)+0.78*(F2034-30))*G2034)</f>
        <v>1.034332</v>
      </c>
      <c r="I2034" s="420"/>
      <c r="J2034" s="420"/>
      <c r="K2034" s="421">
        <f t="shared" si="501"/>
        <v>0</v>
      </c>
      <c r="L2034" s="647"/>
      <c r="M2034" s="723"/>
      <c r="N2034" s="576">
        <f t="shared" si="511"/>
        <v>0</v>
      </c>
      <c r="O2034" s="577">
        <f t="shared" si="504"/>
        <v>0</v>
      </c>
      <c r="P2034" s="578">
        <f t="shared" si="505"/>
        <v>0</v>
      </c>
      <c r="Q2034" s="765"/>
      <c r="R2034" s="723"/>
      <c r="S2034" s="723"/>
      <c r="T2034" s="577">
        <f t="shared" si="502"/>
        <v>0</v>
      </c>
      <c r="U2034" s="578">
        <f t="shared" si="503"/>
        <v>0</v>
      </c>
      <c r="V2034" s="579"/>
      <c r="W2034" s="566" t="str">
        <f>IF(U2033&gt;0,"xx",IF(P2033&gt;0,"xy",""))</f>
        <v/>
      </c>
      <c r="X2034" s="586" t="str">
        <f t="shared" si="496"/>
        <v/>
      </c>
      <c r="Y2034" s="586" t="str">
        <f t="shared" si="431"/>
        <v/>
      </c>
      <c r="Z2034" s="586" t="str">
        <f t="shared" si="517"/>
        <v/>
      </c>
    </row>
    <row r="2035" spans="1:26" ht="12" hidden="1" thickBot="1" x14ac:dyDescent="0.25">
      <c r="A2035" s="567" t="s">
        <v>168</v>
      </c>
      <c r="B2035" s="644" t="s">
        <v>168</v>
      </c>
      <c r="C2035" s="645"/>
      <c r="D2035" s="422" t="s">
        <v>248</v>
      </c>
      <c r="E2035" s="423"/>
      <c r="F2035" s="424">
        <v>180</v>
      </c>
      <c r="G2035" s="425">
        <v>1.34E-2</v>
      </c>
      <c r="H2035" s="663">
        <f t="shared" ref="H2035:H2036" si="520">IF(F2035&lt;=30,(1.07*F2035+2.68)*G2035,((1.07*30+2.68)+1.07*(F2035-30))*G2035)</f>
        <v>2.616752</v>
      </c>
      <c r="I2035" s="420"/>
      <c r="J2035" s="420"/>
      <c r="K2035" s="421">
        <f t="shared" si="501"/>
        <v>0</v>
      </c>
      <c r="L2035" s="647"/>
      <c r="M2035" s="723"/>
      <c r="N2035" s="576">
        <f t="shared" si="511"/>
        <v>0</v>
      </c>
      <c r="O2035" s="577">
        <f t="shared" si="504"/>
        <v>0</v>
      </c>
      <c r="P2035" s="578">
        <f t="shared" si="505"/>
        <v>0</v>
      </c>
      <c r="Q2035" s="765"/>
      <c r="R2035" s="723"/>
      <c r="S2035" s="723"/>
      <c r="T2035" s="577">
        <f t="shared" si="502"/>
        <v>0</v>
      </c>
      <c r="U2035" s="578">
        <f t="shared" si="503"/>
        <v>0</v>
      </c>
      <c r="V2035" s="579"/>
      <c r="W2035" s="566" t="str">
        <f>IF(U2033&gt;0,"xx",IF(P2033&gt;0,"xy",""))</f>
        <v/>
      </c>
      <c r="X2035" s="586" t="str">
        <f t="shared" si="496"/>
        <v/>
      </c>
      <c r="Y2035" s="586" t="str">
        <f t="shared" si="431"/>
        <v/>
      </c>
      <c r="Z2035" s="586" t="str">
        <f t="shared" si="517"/>
        <v/>
      </c>
    </row>
    <row r="2036" spans="1:26" ht="12" hidden="1" thickBot="1" x14ac:dyDescent="0.25">
      <c r="A2036" s="567" t="s">
        <v>168</v>
      </c>
      <c r="B2036" s="644" t="s">
        <v>168</v>
      </c>
      <c r="C2036" s="645"/>
      <c r="D2036" s="422" t="s">
        <v>347</v>
      </c>
      <c r="E2036" s="423"/>
      <c r="F2036" s="424">
        <v>20</v>
      </c>
      <c r="G2036" s="425">
        <v>0.39</v>
      </c>
      <c r="H2036" s="663">
        <f t="shared" si="520"/>
        <v>9.3912000000000013</v>
      </c>
      <c r="I2036" s="420"/>
      <c r="J2036" s="420"/>
      <c r="K2036" s="421">
        <f t="shared" si="501"/>
        <v>0</v>
      </c>
      <c r="L2036" s="647"/>
      <c r="M2036" s="723"/>
      <c r="N2036" s="576">
        <f t="shared" si="511"/>
        <v>0</v>
      </c>
      <c r="O2036" s="577">
        <f t="shared" si="504"/>
        <v>0</v>
      </c>
      <c r="P2036" s="578">
        <f t="shared" si="505"/>
        <v>0</v>
      </c>
      <c r="Q2036" s="765"/>
      <c r="R2036" s="723"/>
      <c r="S2036" s="723"/>
      <c r="T2036" s="577">
        <f t="shared" si="502"/>
        <v>0</v>
      </c>
      <c r="U2036" s="578">
        <f t="shared" si="503"/>
        <v>0</v>
      </c>
      <c r="V2036" s="579"/>
      <c r="W2036" s="566" t="str">
        <f>IF(U2033&gt;0,"xx",IF(P2033&gt;0,"xy",""))</f>
        <v/>
      </c>
      <c r="X2036" s="586" t="str">
        <f t="shared" si="496"/>
        <v/>
      </c>
      <c r="Y2036" s="586" t="str">
        <f t="shared" si="431"/>
        <v/>
      </c>
      <c r="Z2036" s="586" t="str">
        <f t="shared" si="517"/>
        <v/>
      </c>
    </row>
    <row r="2037" spans="1:26" ht="12" hidden="1" thickBot="1" x14ac:dyDescent="0.25">
      <c r="A2037" s="567">
        <v>610800</v>
      </c>
      <c r="B2037" s="644" t="s">
        <v>1679</v>
      </c>
      <c r="C2037" s="645" t="s">
        <v>206</v>
      </c>
      <c r="D2037" s="422" t="s">
        <v>576</v>
      </c>
      <c r="E2037" s="423"/>
      <c r="F2037" s="424"/>
      <c r="G2037" s="425"/>
      <c r="H2037" s="651">
        <f>SUM(H2038:H2040)</f>
        <v>16.864806000000002</v>
      </c>
      <c r="I2037" s="420">
        <v>366.05500000000001</v>
      </c>
      <c r="J2037" s="420">
        <f>IF(ISBLANK(I2037),"",SUM(H2037:I2037))</f>
        <v>382.91980599999999</v>
      </c>
      <c r="K2037" s="421">
        <f t="shared" si="501"/>
        <v>454.95</v>
      </c>
      <c r="L2037" s="647" t="s">
        <v>19</v>
      </c>
      <c r="M2037" s="576"/>
      <c r="N2037" s="576">
        <f t="shared" si="511"/>
        <v>0</v>
      </c>
      <c r="O2037" s="577">
        <f t="shared" si="504"/>
        <v>0</v>
      </c>
      <c r="P2037" s="578">
        <f t="shared" si="505"/>
        <v>0</v>
      </c>
      <c r="Q2037" s="765"/>
      <c r="R2037" s="576">
        <f>M2037</f>
        <v>0</v>
      </c>
      <c r="S2037" s="576">
        <f>N2037</f>
        <v>0</v>
      </c>
      <c r="T2037" s="577">
        <f t="shared" si="502"/>
        <v>0</v>
      </c>
      <c r="U2037" s="578">
        <f t="shared" si="503"/>
        <v>0</v>
      </c>
      <c r="V2037" s="579"/>
      <c r="W2037" s="566"/>
      <c r="X2037" s="586" t="str">
        <f t="shared" si="496"/>
        <v/>
      </c>
      <c r="Y2037" s="586" t="str">
        <f t="shared" si="431"/>
        <v/>
      </c>
      <c r="Z2037" s="586" t="str">
        <f t="shared" si="517"/>
        <v/>
      </c>
    </row>
    <row r="2038" spans="1:26" ht="12" hidden="1" thickBot="1" x14ac:dyDescent="0.25">
      <c r="A2038" s="567" t="s">
        <v>168</v>
      </c>
      <c r="B2038" s="644" t="s">
        <v>168</v>
      </c>
      <c r="C2038" s="645"/>
      <c r="D2038" s="422" t="s">
        <v>212</v>
      </c>
      <c r="E2038" s="423"/>
      <c r="F2038" s="424">
        <v>500</v>
      </c>
      <c r="G2038" s="425">
        <v>2.8999999999999998E-3</v>
      </c>
      <c r="H2038" s="649">
        <f>IF(F2038&lt;=30,(0.78*F2038+7.82)*G2038,((0.78*30+7.82)+0.78*(F2038-30))*G2038)</f>
        <v>1.153678</v>
      </c>
      <c r="I2038" s="420"/>
      <c r="J2038" s="420"/>
      <c r="K2038" s="421">
        <f t="shared" si="501"/>
        <v>0</v>
      </c>
      <c r="L2038" s="647"/>
      <c r="M2038" s="723"/>
      <c r="N2038" s="576">
        <f t="shared" si="511"/>
        <v>0</v>
      </c>
      <c r="O2038" s="577">
        <f t="shared" si="504"/>
        <v>0</v>
      </c>
      <c r="P2038" s="578">
        <f t="shared" si="505"/>
        <v>0</v>
      </c>
      <c r="Q2038" s="765"/>
      <c r="R2038" s="723"/>
      <c r="S2038" s="723"/>
      <c r="T2038" s="577">
        <f t="shared" si="502"/>
        <v>0</v>
      </c>
      <c r="U2038" s="578">
        <f t="shared" si="503"/>
        <v>0</v>
      </c>
      <c r="V2038" s="579"/>
      <c r="W2038" s="566" t="str">
        <f>IF(U2037&gt;0,"xx",IF(P2037&gt;0,"xy",""))</f>
        <v/>
      </c>
      <c r="X2038" s="586" t="str">
        <f t="shared" si="496"/>
        <v/>
      </c>
      <c r="Y2038" s="586" t="str">
        <f t="shared" si="431"/>
        <v/>
      </c>
      <c r="Z2038" s="586" t="str">
        <f t="shared" si="517"/>
        <v/>
      </c>
    </row>
    <row r="2039" spans="1:26" ht="12" hidden="1" thickBot="1" x14ac:dyDescent="0.25">
      <c r="A2039" s="567" t="s">
        <v>168</v>
      </c>
      <c r="B2039" s="644" t="s">
        <v>168</v>
      </c>
      <c r="C2039" s="645"/>
      <c r="D2039" s="422" t="s">
        <v>248</v>
      </c>
      <c r="E2039" s="423"/>
      <c r="F2039" s="424">
        <v>180</v>
      </c>
      <c r="G2039" s="425">
        <v>1.5100000000000001E-2</v>
      </c>
      <c r="H2039" s="663">
        <f t="shared" ref="H2039:H2040" si="521">IF(F2039&lt;=30,(1.07*F2039+2.68)*G2039,((1.07*30+2.68)+1.07*(F2039-30))*G2039)</f>
        <v>2.948728</v>
      </c>
      <c r="I2039" s="420"/>
      <c r="J2039" s="420"/>
      <c r="K2039" s="421">
        <f t="shared" si="501"/>
        <v>0</v>
      </c>
      <c r="L2039" s="647"/>
      <c r="M2039" s="723"/>
      <c r="N2039" s="576">
        <f t="shared" si="511"/>
        <v>0</v>
      </c>
      <c r="O2039" s="577">
        <f t="shared" si="504"/>
        <v>0</v>
      </c>
      <c r="P2039" s="578">
        <f t="shared" si="505"/>
        <v>0</v>
      </c>
      <c r="Q2039" s="765"/>
      <c r="R2039" s="723"/>
      <c r="S2039" s="723"/>
      <c r="T2039" s="577">
        <f t="shared" si="502"/>
        <v>0</v>
      </c>
      <c r="U2039" s="578">
        <f t="shared" si="503"/>
        <v>0</v>
      </c>
      <c r="V2039" s="579"/>
      <c r="W2039" s="566" t="str">
        <f>IF(U2037&gt;0,"xx",IF(P2037&gt;0,"xy",""))</f>
        <v/>
      </c>
      <c r="X2039" s="586" t="str">
        <f t="shared" ref="X2039:X2119" si="522">IF(W2039="X","x",IF(W2039="xx","x",IF(W2039="xy","x",IF(W2039="y","x",IF(OR(P2039&gt;0,U2039&gt;0),"x","")))))</f>
        <v/>
      </c>
      <c r="Y2039" s="586" t="str">
        <f t="shared" si="431"/>
        <v/>
      </c>
      <c r="Z2039" s="586" t="str">
        <f t="shared" si="517"/>
        <v/>
      </c>
    </row>
    <row r="2040" spans="1:26" ht="12" hidden="1" thickBot="1" x14ac:dyDescent="0.25">
      <c r="A2040" s="567" t="s">
        <v>168</v>
      </c>
      <c r="B2040" s="644" t="s">
        <v>168</v>
      </c>
      <c r="C2040" s="645"/>
      <c r="D2040" s="422" t="s">
        <v>347</v>
      </c>
      <c r="E2040" s="423"/>
      <c r="F2040" s="424">
        <v>20</v>
      </c>
      <c r="G2040" s="425">
        <v>0.53</v>
      </c>
      <c r="H2040" s="663">
        <f t="shared" si="521"/>
        <v>12.762400000000001</v>
      </c>
      <c r="I2040" s="420"/>
      <c r="J2040" s="420"/>
      <c r="K2040" s="421">
        <f t="shared" si="501"/>
        <v>0</v>
      </c>
      <c r="L2040" s="647"/>
      <c r="M2040" s="723"/>
      <c r="N2040" s="576">
        <f t="shared" si="511"/>
        <v>0</v>
      </c>
      <c r="O2040" s="577">
        <f t="shared" si="504"/>
        <v>0</v>
      </c>
      <c r="P2040" s="578">
        <f t="shared" si="505"/>
        <v>0</v>
      </c>
      <c r="Q2040" s="765"/>
      <c r="R2040" s="723"/>
      <c r="S2040" s="723"/>
      <c r="T2040" s="577">
        <f t="shared" si="502"/>
        <v>0</v>
      </c>
      <c r="U2040" s="578">
        <f t="shared" si="503"/>
        <v>0</v>
      </c>
      <c r="V2040" s="579"/>
      <c r="W2040" s="566" t="str">
        <f>IF(U2037&gt;0,"xx",IF(P2037&gt;0,"xy",""))</f>
        <v/>
      </c>
      <c r="X2040" s="586" t="str">
        <f t="shared" si="522"/>
        <v/>
      </c>
      <c r="Y2040" s="586" t="str">
        <f t="shared" si="431"/>
        <v/>
      </c>
      <c r="Z2040" s="586" t="str">
        <f t="shared" si="517"/>
        <v/>
      </c>
    </row>
    <row r="2041" spans="1:26" ht="12" hidden="1" thickBot="1" x14ac:dyDescent="0.25">
      <c r="A2041" s="567">
        <v>610800</v>
      </c>
      <c r="B2041" s="644" t="s">
        <v>1680</v>
      </c>
      <c r="C2041" s="645" t="s">
        <v>206</v>
      </c>
      <c r="D2041" s="422" t="s">
        <v>378</v>
      </c>
      <c r="E2041" s="423"/>
      <c r="F2041" s="424"/>
      <c r="G2041" s="425"/>
      <c r="H2041" s="651">
        <f>SUM(H2042:H2044)</f>
        <v>20.687328000000001</v>
      </c>
      <c r="I2041" s="420">
        <v>464.99</v>
      </c>
      <c r="J2041" s="420">
        <f>IF(ISBLANK(I2041),"",SUM(H2041:I2041))</f>
        <v>485.67732799999999</v>
      </c>
      <c r="K2041" s="421">
        <f t="shared" si="501"/>
        <v>577.03</v>
      </c>
      <c r="L2041" s="647" t="s">
        <v>19</v>
      </c>
      <c r="M2041" s="576"/>
      <c r="N2041" s="576">
        <f t="shared" si="511"/>
        <v>0</v>
      </c>
      <c r="O2041" s="577">
        <f t="shared" si="504"/>
        <v>0</v>
      </c>
      <c r="P2041" s="578">
        <f t="shared" si="505"/>
        <v>0</v>
      </c>
      <c r="Q2041" s="765"/>
      <c r="R2041" s="576">
        <f>M2041</f>
        <v>0</v>
      </c>
      <c r="S2041" s="576">
        <f>N2041</f>
        <v>0</v>
      </c>
      <c r="T2041" s="577">
        <f t="shared" si="502"/>
        <v>0</v>
      </c>
      <c r="U2041" s="578">
        <f t="shared" si="503"/>
        <v>0</v>
      </c>
      <c r="V2041" s="579"/>
      <c r="W2041" s="566"/>
      <c r="X2041" s="586" t="str">
        <f t="shared" si="522"/>
        <v/>
      </c>
      <c r="Y2041" s="586" t="str">
        <f t="shared" si="431"/>
        <v/>
      </c>
      <c r="Z2041" s="586" t="str">
        <f t="shared" si="517"/>
        <v/>
      </c>
    </row>
    <row r="2042" spans="1:26" ht="12" hidden="1" thickBot="1" x14ac:dyDescent="0.25">
      <c r="A2042" s="567" t="s">
        <v>168</v>
      </c>
      <c r="B2042" s="644" t="s">
        <v>168</v>
      </c>
      <c r="C2042" s="645"/>
      <c r="D2042" s="422" t="s">
        <v>212</v>
      </c>
      <c r="E2042" s="423"/>
      <c r="F2042" s="424">
        <v>500</v>
      </c>
      <c r="G2042" s="425">
        <v>3.2000000000000002E-3</v>
      </c>
      <c r="H2042" s="649">
        <f>IF(F2042&lt;=30,(0.78*F2042+7.82)*G2042,((0.78*30+7.82)+0.78*(F2042-30))*G2042)</f>
        <v>1.2730240000000002</v>
      </c>
      <c r="I2042" s="420"/>
      <c r="J2042" s="420"/>
      <c r="K2042" s="421">
        <f t="shared" si="501"/>
        <v>0</v>
      </c>
      <c r="L2042" s="647"/>
      <c r="M2042" s="723"/>
      <c r="N2042" s="576">
        <f t="shared" si="511"/>
        <v>0</v>
      </c>
      <c r="O2042" s="577">
        <f t="shared" si="504"/>
        <v>0</v>
      </c>
      <c r="P2042" s="578">
        <f t="shared" si="505"/>
        <v>0</v>
      </c>
      <c r="Q2042" s="765"/>
      <c r="R2042" s="723"/>
      <c r="S2042" s="723"/>
      <c r="T2042" s="577">
        <f t="shared" si="502"/>
        <v>0</v>
      </c>
      <c r="U2042" s="578">
        <f t="shared" si="503"/>
        <v>0</v>
      </c>
      <c r="V2042" s="579"/>
      <c r="W2042" s="566" t="str">
        <f>IF(U2041&gt;0,"xx",IF(P2041&gt;0,"xy",""))</f>
        <v/>
      </c>
      <c r="X2042" s="586" t="str">
        <f t="shared" si="522"/>
        <v/>
      </c>
      <c r="Y2042" s="586" t="str">
        <f t="shared" si="431"/>
        <v/>
      </c>
      <c r="Z2042" s="586" t="str">
        <f t="shared" si="517"/>
        <v/>
      </c>
    </row>
    <row r="2043" spans="1:26" ht="12" hidden="1" thickBot="1" x14ac:dyDescent="0.25">
      <c r="A2043" s="567" t="s">
        <v>168</v>
      </c>
      <c r="B2043" s="644" t="s">
        <v>168</v>
      </c>
      <c r="C2043" s="645"/>
      <c r="D2043" s="422" t="s">
        <v>248</v>
      </c>
      <c r="E2043" s="423"/>
      <c r="F2043" s="424">
        <v>180</v>
      </c>
      <c r="G2043" s="425">
        <v>1.6799999999999999E-2</v>
      </c>
      <c r="H2043" s="663">
        <f t="shared" ref="H2043:H2044" si="523">IF(F2043&lt;=30,(1.07*F2043+2.68)*G2043,((1.07*30+2.68)+1.07*(F2043-30))*G2043)</f>
        <v>3.2807039999999996</v>
      </c>
      <c r="I2043" s="420"/>
      <c r="J2043" s="420"/>
      <c r="K2043" s="421">
        <f t="shared" si="501"/>
        <v>0</v>
      </c>
      <c r="L2043" s="647"/>
      <c r="M2043" s="723"/>
      <c r="N2043" s="576">
        <f t="shared" si="511"/>
        <v>0</v>
      </c>
      <c r="O2043" s="577">
        <f t="shared" si="504"/>
        <v>0</v>
      </c>
      <c r="P2043" s="578">
        <f t="shared" si="505"/>
        <v>0</v>
      </c>
      <c r="Q2043" s="765"/>
      <c r="R2043" s="723"/>
      <c r="S2043" s="723"/>
      <c r="T2043" s="577">
        <f t="shared" si="502"/>
        <v>0</v>
      </c>
      <c r="U2043" s="578">
        <f t="shared" si="503"/>
        <v>0</v>
      </c>
      <c r="V2043" s="579"/>
      <c r="W2043" s="566" t="str">
        <f>IF(U2041&gt;0,"xx",IF(P2041&gt;0,"xy",""))</f>
        <v/>
      </c>
      <c r="X2043" s="586" t="str">
        <f t="shared" si="522"/>
        <v/>
      </c>
      <c r="Y2043" s="586" t="str">
        <f t="shared" si="431"/>
        <v/>
      </c>
      <c r="Z2043" s="586" t="str">
        <f t="shared" si="517"/>
        <v/>
      </c>
    </row>
    <row r="2044" spans="1:26" ht="12" hidden="1" thickBot="1" x14ac:dyDescent="0.25">
      <c r="A2044" s="567" t="s">
        <v>168</v>
      </c>
      <c r="B2044" s="644" t="s">
        <v>168</v>
      </c>
      <c r="C2044" s="645"/>
      <c r="D2044" s="422" t="s">
        <v>347</v>
      </c>
      <c r="E2044" s="423"/>
      <c r="F2044" s="424">
        <v>20</v>
      </c>
      <c r="G2044" s="425">
        <v>0.67</v>
      </c>
      <c r="H2044" s="663">
        <f t="shared" si="523"/>
        <v>16.133600000000001</v>
      </c>
      <c r="I2044" s="420"/>
      <c r="J2044" s="420"/>
      <c r="K2044" s="421">
        <f t="shared" si="501"/>
        <v>0</v>
      </c>
      <c r="L2044" s="647"/>
      <c r="M2044" s="723"/>
      <c r="N2044" s="576">
        <f t="shared" si="511"/>
        <v>0</v>
      </c>
      <c r="O2044" s="577">
        <f t="shared" si="504"/>
        <v>0</v>
      </c>
      <c r="P2044" s="578">
        <f t="shared" si="505"/>
        <v>0</v>
      </c>
      <c r="Q2044" s="765"/>
      <c r="R2044" s="723"/>
      <c r="S2044" s="723"/>
      <c r="T2044" s="577">
        <f t="shared" si="502"/>
        <v>0</v>
      </c>
      <c r="U2044" s="578">
        <f t="shared" si="503"/>
        <v>0</v>
      </c>
      <c r="V2044" s="579"/>
      <c r="W2044" s="566" t="str">
        <f>IF(U2041&gt;0,"xx",IF(P2041&gt;0,"xy",""))</f>
        <v/>
      </c>
      <c r="X2044" s="586" t="str">
        <f t="shared" si="522"/>
        <v/>
      </c>
      <c r="Y2044" s="586" t="str">
        <f t="shared" si="431"/>
        <v/>
      </c>
      <c r="Z2044" s="586" t="str">
        <f t="shared" si="517"/>
        <v/>
      </c>
    </row>
    <row r="2045" spans="1:26" ht="12" hidden="1" thickBot="1" x14ac:dyDescent="0.25">
      <c r="A2045" s="567">
        <v>611000</v>
      </c>
      <c r="B2045" s="644" t="s">
        <v>1687</v>
      </c>
      <c r="C2045" s="645" t="s">
        <v>206</v>
      </c>
      <c r="D2045" s="422" t="s">
        <v>577</v>
      </c>
      <c r="E2045" s="423"/>
      <c r="F2045" s="424"/>
      <c r="G2045" s="425"/>
      <c r="H2045" s="651">
        <f>SUM(H2046:H2048)</f>
        <v>25.798960000000001</v>
      </c>
      <c r="I2045" s="420">
        <v>535.85500000000002</v>
      </c>
      <c r="J2045" s="420">
        <f>IF(ISBLANK(I2045),"",SUM(H2045:I2045))</f>
        <v>561.65395999999998</v>
      </c>
      <c r="K2045" s="421">
        <f t="shared" si="501"/>
        <v>667.3</v>
      </c>
      <c r="L2045" s="647" t="s">
        <v>19</v>
      </c>
      <c r="M2045" s="576"/>
      <c r="N2045" s="576">
        <f t="shared" si="511"/>
        <v>0</v>
      </c>
      <c r="O2045" s="577">
        <f t="shared" si="504"/>
        <v>0</v>
      </c>
      <c r="P2045" s="578">
        <f t="shared" si="505"/>
        <v>0</v>
      </c>
      <c r="Q2045" s="765"/>
      <c r="R2045" s="576">
        <f>M2045</f>
        <v>0</v>
      </c>
      <c r="S2045" s="576">
        <f>N2045</f>
        <v>0</v>
      </c>
      <c r="T2045" s="577">
        <f t="shared" si="502"/>
        <v>0</v>
      </c>
      <c r="U2045" s="578">
        <f t="shared" si="503"/>
        <v>0</v>
      </c>
      <c r="V2045" s="579"/>
      <c r="W2045" s="566"/>
      <c r="X2045" s="586" t="str">
        <f t="shared" si="522"/>
        <v/>
      </c>
      <c r="Y2045" s="586" t="str">
        <f t="shared" si="431"/>
        <v/>
      </c>
      <c r="Z2045" s="586" t="str">
        <f t="shared" si="517"/>
        <v/>
      </c>
    </row>
    <row r="2046" spans="1:26" ht="12" hidden="1" thickBot="1" x14ac:dyDescent="0.25">
      <c r="A2046" s="567" t="s">
        <v>168</v>
      </c>
      <c r="B2046" s="644" t="s">
        <v>168</v>
      </c>
      <c r="C2046" s="645"/>
      <c r="D2046" s="422" t="s">
        <v>212</v>
      </c>
      <c r="E2046" s="423"/>
      <c r="F2046" s="424">
        <v>500</v>
      </c>
      <c r="G2046" s="425">
        <v>4.0000000000000001E-3</v>
      </c>
      <c r="H2046" s="649">
        <f>IF(F2046&lt;=30,(0.78*F2046+7.82)*G2046,((0.78*30+7.82)+0.78*(F2046-30))*G2046)</f>
        <v>1.5912800000000002</v>
      </c>
      <c r="I2046" s="420"/>
      <c r="J2046" s="420"/>
      <c r="K2046" s="421">
        <f t="shared" si="501"/>
        <v>0</v>
      </c>
      <c r="L2046" s="647"/>
      <c r="M2046" s="723"/>
      <c r="N2046" s="576">
        <f t="shared" si="511"/>
        <v>0</v>
      </c>
      <c r="O2046" s="577">
        <f t="shared" si="504"/>
        <v>0</v>
      </c>
      <c r="P2046" s="578">
        <f t="shared" si="505"/>
        <v>0</v>
      </c>
      <c r="Q2046" s="765"/>
      <c r="R2046" s="723"/>
      <c r="S2046" s="723"/>
      <c r="T2046" s="577">
        <f t="shared" si="502"/>
        <v>0</v>
      </c>
      <c r="U2046" s="578">
        <f t="shared" si="503"/>
        <v>0</v>
      </c>
      <c r="V2046" s="579"/>
      <c r="W2046" s="566" t="str">
        <f>IF(U2045&gt;0,"xx",IF(P2045&gt;0,"xy",""))</f>
        <v/>
      </c>
      <c r="X2046" s="586" t="str">
        <f t="shared" si="522"/>
        <v/>
      </c>
      <c r="Y2046" s="586" t="str">
        <f t="shared" si="431"/>
        <v/>
      </c>
      <c r="Z2046" s="586" t="str">
        <f t="shared" si="517"/>
        <v/>
      </c>
    </row>
    <row r="2047" spans="1:26" ht="12" hidden="1" thickBot="1" x14ac:dyDescent="0.25">
      <c r="A2047" s="567" t="s">
        <v>168</v>
      </c>
      <c r="B2047" s="644" t="s">
        <v>168</v>
      </c>
      <c r="C2047" s="645"/>
      <c r="D2047" s="422" t="s">
        <v>248</v>
      </c>
      <c r="E2047" s="423"/>
      <c r="F2047" s="424">
        <v>180</v>
      </c>
      <c r="G2047" s="425">
        <v>2.1000000000000001E-2</v>
      </c>
      <c r="H2047" s="663">
        <f t="shared" ref="H2047:H2048" si="524">IF(F2047&lt;=30,(1.07*F2047+2.68)*G2047,((1.07*30+2.68)+1.07*(F2047-30))*G2047)</f>
        <v>4.1008800000000001</v>
      </c>
      <c r="I2047" s="420"/>
      <c r="J2047" s="420"/>
      <c r="K2047" s="421">
        <f t="shared" si="501"/>
        <v>0</v>
      </c>
      <c r="L2047" s="647"/>
      <c r="M2047" s="723"/>
      <c r="N2047" s="576">
        <f t="shared" si="511"/>
        <v>0</v>
      </c>
      <c r="O2047" s="577">
        <f t="shared" si="504"/>
        <v>0</v>
      </c>
      <c r="P2047" s="578">
        <f t="shared" si="505"/>
        <v>0</v>
      </c>
      <c r="Q2047" s="765"/>
      <c r="R2047" s="723"/>
      <c r="S2047" s="723"/>
      <c r="T2047" s="577">
        <f t="shared" si="502"/>
        <v>0</v>
      </c>
      <c r="U2047" s="578">
        <f t="shared" si="503"/>
        <v>0</v>
      </c>
      <c r="V2047" s="579"/>
      <c r="W2047" s="566" t="str">
        <f>IF(U2045&gt;0,"xx",IF(P2045&gt;0,"xy",""))</f>
        <v/>
      </c>
      <c r="X2047" s="586" t="str">
        <f t="shared" si="522"/>
        <v/>
      </c>
      <c r="Y2047" s="586" t="str">
        <f t="shared" si="431"/>
        <v/>
      </c>
      <c r="Z2047" s="586" t="str">
        <f t="shared" si="517"/>
        <v/>
      </c>
    </row>
    <row r="2048" spans="1:26" ht="12" hidden="1" thickBot="1" x14ac:dyDescent="0.25">
      <c r="A2048" s="567" t="s">
        <v>168</v>
      </c>
      <c r="B2048" s="644" t="s">
        <v>168</v>
      </c>
      <c r="C2048" s="645"/>
      <c r="D2048" s="422" t="s">
        <v>347</v>
      </c>
      <c r="E2048" s="423"/>
      <c r="F2048" s="424">
        <v>20</v>
      </c>
      <c r="G2048" s="425">
        <v>0.83499999999999996</v>
      </c>
      <c r="H2048" s="663">
        <f t="shared" si="524"/>
        <v>20.1068</v>
      </c>
      <c r="I2048" s="420"/>
      <c r="J2048" s="420"/>
      <c r="K2048" s="421">
        <f t="shared" ref="K2048:K2111" si="525">IF(ISBLANK(I2048),0,ROUND(J2048*(1+$F$10)*(1+$F$11*E2048),2))</f>
        <v>0</v>
      </c>
      <c r="L2048" s="647"/>
      <c r="M2048" s="723"/>
      <c r="N2048" s="576">
        <f t="shared" si="511"/>
        <v>0</v>
      </c>
      <c r="O2048" s="577">
        <f t="shared" si="504"/>
        <v>0</v>
      </c>
      <c r="P2048" s="578">
        <f t="shared" si="505"/>
        <v>0</v>
      </c>
      <c r="Q2048" s="765"/>
      <c r="R2048" s="723"/>
      <c r="S2048" s="723"/>
      <c r="T2048" s="577">
        <f t="shared" ref="T2048:T2111" si="526">IF(ISBLANK(R2048),0,ROUND(K2048*R2048,2))</f>
        <v>0</v>
      </c>
      <c r="U2048" s="578">
        <f t="shared" ref="U2048:U2111" si="527">IF(ISBLANK(R2048),0,ROUND(R2048*S2048,2))</f>
        <v>0</v>
      </c>
      <c r="V2048" s="579"/>
      <c r="W2048" s="566" t="str">
        <f>IF(U2045&gt;0,"xx",IF(P2045&gt;0,"xy",""))</f>
        <v/>
      </c>
      <c r="X2048" s="586" t="str">
        <f t="shared" si="522"/>
        <v/>
      </c>
      <c r="Y2048" s="586" t="str">
        <f t="shared" si="431"/>
        <v/>
      </c>
      <c r="Z2048" s="586" t="str">
        <f t="shared" si="517"/>
        <v/>
      </c>
    </row>
    <row r="2049" spans="1:26" ht="12" hidden="1" thickBot="1" x14ac:dyDescent="0.25">
      <c r="A2049" s="567">
        <v>611000</v>
      </c>
      <c r="B2049" s="644" t="s">
        <v>1688</v>
      </c>
      <c r="C2049" s="645" t="s">
        <v>206</v>
      </c>
      <c r="D2049" s="422" t="s">
        <v>379</v>
      </c>
      <c r="E2049" s="423"/>
      <c r="F2049" s="424"/>
      <c r="G2049" s="425"/>
      <c r="H2049" s="651">
        <f>SUM(H2050:H2052)</f>
        <v>30.910592000000001</v>
      </c>
      <c r="I2049" s="420">
        <v>606.72</v>
      </c>
      <c r="J2049" s="420">
        <f>IF(ISBLANK(I2049),"",SUM(H2049:I2049))</f>
        <v>637.63059199999998</v>
      </c>
      <c r="K2049" s="421">
        <f t="shared" si="525"/>
        <v>757.57</v>
      </c>
      <c r="L2049" s="647" t="s">
        <v>19</v>
      </c>
      <c r="M2049" s="576"/>
      <c r="N2049" s="576">
        <f t="shared" si="511"/>
        <v>0</v>
      </c>
      <c r="O2049" s="577">
        <f t="shared" ref="O2049:O2112" si="528">IF(ISBLANK(M2049),0,ROUND(K2049*M2049,2))</f>
        <v>0</v>
      </c>
      <c r="P2049" s="578">
        <f t="shared" ref="P2049:P2112" si="529">IF(ISBLANK(N2049),0,ROUND(M2049*N2049,2))</f>
        <v>0</v>
      </c>
      <c r="Q2049" s="765"/>
      <c r="R2049" s="576">
        <f>M2049</f>
        <v>0</v>
      </c>
      <c r="S2049" s="576">
        <f>N2049</f>
        <v>0</v>
      </c>
      <c r="T2049" s="577">
        <f t="shared" si="526"/>
        <v>0</v>
      </c>
      <c r="U2049" s="578">
        <f t="shared" si="527"/>
        <v>0</v>
      </c>
      <c r="V2049" s="579"/>
      <c r="W2049" s="566"/>
      <c r="X2049" s="586" t="str">
        <f t="shared" si="522"/>
        <v/>
      </c>
      <c r="Y2049" s="586" t="str">
        <f t="shared" si="431"/>
        <v/>
      </c>
      <c r="Z2049" s="586" t="str">
        <f t="shared" si="517"/>
        <v/>
      </c>
    </row>
    <row r="2050" spans="1:26" ht="12" hidden="1" thickBot="1" x14ac:dyDescent="0.25">
      <c r="A2050" s="567" t="s">
        <v>168</v>
      </c>
      <c r="B2050" s="644" t="s">
        <v>168</v>
      </c>
      <c r="C2050" s="645"/>
      <c r="D2050" s="422" t="s">
        <v>212</v>
      </c>
      <c r="E2050" s="423"/>
      <c r="F2050" s="424">
        <v>500</v>
      </c>
      <c r="G2050" s="425">
        <v>4.7999999999999996E-3</v>
      </c>
      <c r="H2050" s="649">
        <f>IF(F2050&lt;=30,(0.78*F2050+7.82)*G2050,((0.78*30+7.82)+0.78*(F2050-30))*G2050)</f>
        <v>1.9095360000000001</v>
      </c>
      <c r="I2050" s="420"/>
      <c r="J2050" s="420"/>
      <c r="K2050" s="421">
        <f t="shared" si="525"/>
        <v>0</v>
      </c>
      <c r="L2050" s="647"/>
      <c r="M2050" s="723"/>
      <c r="N2050" s="576">
        <f t="shared" si="511"/>
        <v>0</v>
      </c>
      <c r="O2050" s="577">
        <f t="shared" si="528"/>
        <v>0</v>
      </c>
      <c r="P2050" s="578">
        <f t="shared" si="529"/>
        <v>0</v>
      </c>
      <c r="Q2050" s="765"/>
      <c r="R2050" s="723"/>
      <c r="S2050" s="723"/>
      <c r="T2050" s="577">
        <f t="shared" si="526"/>
        <v>0</v>
      </c>
      <c r="U2050" s="578">
        <f t="shared" si="527"/>
        <v>0</v>
      </c>
      <c r="V2050" s="579"/>
      <c r="W2050" s="566" t="str">
        <f>IF(U2049&gt;0,"xx",IF(P2049&gt;0,"xy",""))</f>
        <v/>
      </c>
      <c r="X2050" s="586" t="str">
        <f t="shared" si="522"/>
        <v/>
      </c>
      <c r="Y2050" s="586" t="str">
        <f t="shared" si="431"/>
        <v/>
      </c>
      <c r="Z2050" s="586" t="str">
        <f t="shared" si="517"/>
        <v/>
      </c>
    </row>
    <row r="2051" spans="1:26" ht="12" hidden="1" thickBot="1" x14ac:dyDescent="0.25">
      <c r="A2051" s="567" t="s">
        <v>168</v>
      </c>
      <c r="B2051" s="644" t="s">
        <v>168</v>
      </c>
      <c r="C2051" s="645"/>
      <c r="D2051" s="422" t="s">
        <v>248</v>
      </c>
      <c r="E2051" s="423"/>
      <c r="F2051" s="424">
        <v>180</v>
      </c>
      <c r="G2051" s="425">
        <v>2.52E-2</v>
      </c>
      <c r="H2051" s="663">
        <f t="shared" ref="H2051:H2052" si="530">IF(F2051&lt;=30,(1.07*F2051+2.68)*G2051,((1.07*30+2.68)+1.07*(F2051-30))*G2051)</f>
        <v>4.9210560000000001</v>
      </c>
      <c r="I2051" s="420"/>
      <c r="J2051" s="420"/>
      <c r="K2051" s="421">
        <f t="shared" si="525"/>
        <v>0</v>
      </c>
      <c r="L2051" s="647"/>
      <c r="M2051" s="723"/>
      <c r="N2051" s="576">
        <f t="shared" si="511"/>
        <v>0</v>
      </c>
      <c r="O2051" s="577">
        <f t="shared" si="528"/>
        <v>0</v>
      </c>
      <c r="P2051" s="578">
        <f t="shared" si="529"/>
        <v>0</v>
      </c>
      <c r="Q2051" s="765"/>
      <c r="R2051" s="723"/>
      <c r="S2051" s="723"/>
      <c r="T2051" s="577">
        <f t="shared" si="526"/>
        <v>0</v>
      </c>
      <c r="U2051" s="578">
        <f t="shared" si="527"/>
        <v>0</v>
      </c>
      <c r="V2051" s="579"/>
      <c r="W2051" s="566" t="str">
        <f>IF(U2049&gt;0,"xx",IF(P2049&gt;0,"xy",""))</f>
        <v/>
      </c>
      <c r="X2051" s="586" t="str">
        <f t="shared" si="522"/>
        <v/>
      </c>
      <c r="Y2051" s="586" t="str">
        <f t="shared" si="431"/>
        <v/>
      </c>
      <c r="Z2051" s="586" t="str">
        <f t="shared" si="517"/>
        <v/>
      </c>
    </row>
    <row r="2052" spans="1:26" ht="12" hidden="1" thickBot="1" x14ac:dyDescent="0.25">
      <c r="A2052" s="567" t="s">
        <v>168</v>
      </c>
      <c r="B2052" s="644" t="s">
        <v>168</v>
      </c>
      <c r="C2052" s="645"/>
      <c r="D2052" s="422" t="s">
        <v>347</v>
      </c>
      <c r="E2052" s="423"/>
      <c r="F2052" s="424">
        <v>20</v>
      </c>
      <c r="G2052" s="425">
        <v>1</v>
      </c>
      <c r="H2052" s="663">
        <f t="shared" si="530"/>
        <v>24.080000000000002</v>
      </c>
      <c r="I2052" s="420"/>
      <c r="J2052" s="420"/>
      <c r="K2052" s="421">
        <f t="shared" si="525"/>
        <v>0</v>
      </c>
      <c r="L2052" s="647"/>
      <c r="M2052" s="723"/>
      <c r="N2052" s="576">
        <f t="shared" si="511"/>
        <v>0</v>
      </c>
      <c r="O2052" s="577">
        <f t="shared" si="528"/>
        <v>0</v>
      </c>
      <c r="P2052" s="578">
        <f t="shared" si="529"/>
        <v>0</v>
      </c>
      <c r="Q2052" s="765"/>
      <c r="R2052" s="723"/>
      <c r="S2052" s="723"/>
      <c r="T2052" s="577">
        <f t="shared" si="526"/>
        <v>0</v>
      </c>
      <c r="U2052" s="578">
        <f t="shared" si="527"/>
        <v>0</v>
      </c>
      <c r="V2052" s="579"/>
      <c r="W2052" s="566" t="str">
        <f>IF(U2049&gt;0,"xx",IF(P2049&gt;0,"xy",""))</f>
        <v/>
      </c>
      <c r="X2052" s="586" t="str">
        <f t="shared" si="522"/>
        <v/>
      </c>
      <c r="Y2052" s="586" t="str">
        <f t="shared" ref="Y2052:Y2306" si="531">IF(W2052="X","x",IF(W2052="y","x",IF(W2052="xx","x",IF(U2052&gt;0,"x",""))))</f>
        <v/>
      </c>
      <c r="Z2052" s="586" t="str">
        <f t="shared" si="517"/>
        <v/>
      </c>
    </row>
    <row r="2053" spans="1:26" ht="12" hidden="1" thickBot="1" x14ac:dyDescent="0.25">
      <c r="A2053" s="567">
        <v>611200</v>
      </c>
      <c r="B2053" s="644" t="s">
        <v>1691</v>
      </c>
      <c r="C2053" s="645" t="s">
        <v>206</v>
      </c>
      <c r="D2053" s="422" t="s">
        <v>380</v>
      </c>
      <c r="E2053" s="423"/>
      <c r="F2053" s="424"/>
      <c r="G2053" s="425"/>
      <c r="H2053" s="651">
        <f>SUM(H2054:H2056)</f>
        <v>43.822438000000005</v>
      </c>
      <c r="I2053" s="420">
        <v>890.05</v>
      </c>
      <c r="J2053" s="420">
        <f>IF(ISBLANK(I2053),"",SUM(H2053:I2053))</f>
        <v>933.87243799999999</v>
      </c>
      <c r="K2053" s="421">
        <f t="shared" si="525"/>
        <v>1109.53</v>
      </c>
      <c r="L2053" s="647" t="s">
        <v>19</v>
      </c>
      <c r="M2053" s="576"/>
      <c r="N2053" s="576">
        <f t="shared" si="511"/>
        <v>0</v>
      </c>
      <c r="O2053" s="577">
        <f t="shared" si="528"/>
        <v>0</v>
      </c>
      <c r="P2053" s="578">
        <f t="shared" si="529"/>
        <v>0</v>
      </c>
      <c r="Q2053" s="765"/>
      <c r="R2053" s="576">
        <f>M2053</f>
        <v>0</v>
      </c>
      <c r="S2053" s="576">
        <f>N2053</f>
        <v>0</v>
      </c>
      <c r="T2053" s="577">
        <f t="shared" si="526"/>
        <v>0</v>
      </c>
      <c r="U2053" s="578">
        <f t="shared" si="527"/>
        <v>0</v>
      </c>
      <c r="V2053" s="579"/>
      <c r="W2053" s="566"/>
      <c r="X2053" s="586" t="str">
        <f t="shared" si="522"/>
        <v/>
      </c>
      <c r="Y2053" s="586" t="str">
        <f t="shared" si="531"/>
        <v/>
      </c>
      <c r="Z2053" s="586" t="str">
        <f t="shared" si="517"/>
        <v/>
      </c>
    </row>
    <row r="2054" spans="1:26" ht="12" hidden="1" thickBot="1" x14ac:dyDescent="0.25">
      <c r="A2054" s="567" t="s">
        <v>168</v>
      </c>
      <c r="B2054" s="644" t="s">
        <v>168</v>
      </c>
      <c r="C2054" s="645"/>
      <c r="D2054" s="422" t="s">
        <v>212</v>
      </c>
      <c r="E2054" s="423"/>
      <c r="F2054" s="424">
        <v>500</v>
      </c>
      <c r="G2054" s="425">
        <v>6.4999999999999997E-3</v>
      </c>
      <c r="H2054" s="649">
        <f>IF(F2054&lt;=30,(0.78*F2054+7.82)*G2054,((0.78*30+7.82)+0.78*(F2054-30))*G2054)</f>
        <v>2.5858300000000001</v>
      </c>
      <c r="I2054" s="420"/>
      <c r="J2054" s="420"/>
      <c r="K2054" s="421">
        <f t="shared" si="525"/>
        <v>0</v>
      </c>
      <c r="L2054" s="647"/>
      <c r="M2054" s="723"/>
      <c r="N2054" s="576">
        <f t="shared" si="511"/>
        <v>0</v>
      </c>
      <c r="O2054" s="577">
        <f t="shared" si="528"/>
        <v>0</v>
      </c>
      <c r="P2054" s="578">
        <f t="shared" si="529"/>
        <v>0</v>
      </c>
      <c r="Q2054" s="765"/>
      <c r="R2054" s="723"/>
      <c r="S2054" s="723"/>
      <c r="T2054" s="577">
        <f t="shared" si="526"/>
        <v>0</v>
      </c>
      <c r="U2054" s="578">
        <f t="shared" si="527"/>
        <v>0</v>
      </c>
      <c r="V2054" s="579"/>
      <c r="W2054" s="566" t="str">
        <f>IF(U2053&gt;0,"xx",IF(P2053&gt;0,"xy",""))</f>
        <v/>
      </c>
      <c r="X2054" s="586" t="str">
        <f t="shared" si="522"/>
        <v/>
      </c>
      <c r="Y2054" s="586" t="str">
        <f t="shared" si="531"/>
        <v/>
      </c>
      <c r="Z2054" s="586" t="str">
        <f t="shared" si="517"/>
        <v/>
      </c>
    </row>
    <row r="2055" spans="1:26" ht="12" hidden="1" thickBot="1" x14ac:dyDescent="0.25">
      <c r="A2055" s="567" t="s">
        <v>168</v>
      </c>
      <c r="B2055" s="644" t="s">
        <v>168</v>
      </c>
      <c r="C2055" s="645"/>
      <c r="D2055" s="422" t="s">
        <v>248</v>
      </c>
      <c r="E2055" s="423"/>
      <c r="F2055" s="424">
        <v>180</v>
      </c>
      <c r="G2055" s="425">
        <v>3.3599999999999998E-2</v>
      </c>
      <c r="H2055" s="663">
        <f t="shared" ref="H2055:H2056" si="532">IF(F2055&lt;=30,(1.07*F2055+2.68)*G2055,((1.07*30+2.68)+1.07*(F2055-30))*G2055)</f>
        <v>6.5614079999999992</v>
      </c>
      <c r="I2055" s="420"/>
      <c r="J2055" s="420"/>
      <c r="K2055" s="421">
        <f t="shared" si="525"/>
        <v>0</v>
      </c>
      <c r="L2055" s="647"/>
      <c r="M2055" s="723"/>
      <c r="N2055" s="576">
        <f t="shared" si="511"/>
        <v>0</v>
      </c>
      <c r="O2055" s="577">
        <f t="shared" si="528"/>
        <v>0</v>
      </c>
      <c r="P2055" s="578">
        <f t="shared" si="529"/>
        <v>0</v>
      </c>
      <c r="Q2055" s="765"/>
      <c r="R2055" s="723"/>
      <c r="S2055" s="723"/>
      <c r="T2055" s="577">
        <f t="shared" si="526"/>
        <v>0</v>
      </c>
      <c r="U2055" s="578">
        <f t="shared" si="527"/>
        <v>0</v>
      </c>
      <c r="V2055" s="579"/>
      <c r="W2055" s="566" t="str">
        <f>IF(U2053&gt;0,"xx",IF(P2053&gt;0,"xy",""))</f>
        <v/>
      </c>
      <c r="X2055" s="586" t="str">
        <f t="shared" si="522"/>
        <v/>
      </c>
      <c r="Y2055" s="586" t="str">
        <f t="shared" si="531"/>
        <v/>
      </c>
      <c r="Z2055" s="586" t="str">
        <f t="shared" si="517"/>
        <v/>
      </c>
    </row>
    <row r="2056" spans="1:26" ht="12" hidden="1" thickBot="1" x14ac:dyDescent="0.25">
      <c r="A2056" s="567" t="s">
        <v>168</v>
      </c>
      <c r="B2056" s="644" t="s">
        <v>168</v>
      </c>
      <c r="C2056" s="645"/>
      <c r="D2056" s="422" t="s">
        <v>347</v>
      </c>
      <c r="E2056" s="423"/>
      <c r="F2056" s="424">
        <v>20</v>
      </c>
      <c r="G2056" s="425">
        <v>1.44</v>
      </c>
      <c r="H2056" s="663">
        <f t="shared" si="532"/>
        <v>34.675200000000004</v>
      </c>
      <c r="I2056" s="420"/>
      <c r="J2056" s="420"/>
      <c r="K2056" s="421">
        <f t="shared" si="525"/>
        <v>0</v>
      </c>
      <c r="L2056" s="647"/>
      <c r="M2056" s="723"/>
      <c r="N2056" s="576">
        <f t="shared" si="511"/>
        <v>0</v>
      </c>
      <c r="O2056" s="577">
        <f t="shared" si="528"/>
        <v>0</v>
      </c>
      <c r="P2056" s="578">
        <f t="shared" si="529"/>
        <v>0</v>
      </c>
      <c r="Q2056" s="765"/>
      <c r="R2056" s="723"/>
      <c r="S2056" s="723"/>
      <c r="T2056" s="577">
        <f t="shared" si="526"/>
        <v>0</v>
      </c>
      <c r="U2056" s="578">
        <f t="shared" si="527"/>
        <v>0</v>
      </c>
      <c r="V2056" s="579"/>
      <c r="W2056" s="566" t="str">
        <f>IF(U2053&gt;0,"xx",IF(P2053&gt;0,"xy",""))</f>
        <v/>
      </c>
      <c r="X2056" s="586" t="str">
        <f t="shared" si="522"/>
        <v/>
      </c>
      <c r="Y2056" s="586" t="str">
        <f t="shared" si="531"/>
        <v/>
      </c>
      <c r="Z2056" s="586" t="str">
        <f t="shared" si="517"/>
        <v/>
      </c>
    </row>
    <row r="2057" spans="1:26" ht="12" hidden="1" thickBot="1" x14ac:dyDescent="0.25">
      <c r="A2057" s="567">
        <v>611400</v>
      </c>
      <c r="B2057" s="644" t="s">
        <v>1693</v>
      </c>
      <c r="C2057" s="645" t="s">
        <v>206</v>
      </c>
      <c r="D2057" s="422" t="s">
        <v>381</v>
      </c>
      <c r="E2057" s="423"/>
      <c r="F2057" s="424"/>
      <c r="G2057" s="425"/>
      <c r="H2057" s="651">
        <f>SUM(H2058:H2060)</f>
        <v>51.156102000000004</v>
      </c>
      <c r="I2057" s="420">
        <v>1100.21</v>
      </c>
      <c r="J2057" s="420">
        <f>IF(ISBLANK(I2057),"",SUM(H2057:I2057))</f>
        <v>1151.366102</v>
      </c>
      <c r="K2057" s="421">
        <f t="shared" si="525"/>
        <v>1367.94</v>
      </c>
      <c r="L2057" s="647" t="s">
        <v>19</v>
      </c>
      <c r="M2057" s="576"/>
      <c r="N2057" s="576">
        <f t="shared" si="511"/>
        <v>0</v>
      </c>
      <c r="O2057" s="577">
        <f t="shared" si="528"/>
        <v>0</v>
      </c>
      <c r="P2057" s="578">
        <f t="shared" si="529"/>
        <v>0</v>
      </c>
      <c r="Q2057" s="765"/>
      <c r="R2057" s="576">
        <f>M2057</f>
        <v>0</v>
      </c>
      <c r="S2057" s="576">
        <f>N2057</f>
        <v>0</v>
      </c>
      <c r="T2057" s="577">
        <f t="shared" si="526"/>
        <v>0</v>
      </c>
      <c r="U2057" s="578">
        <f t="shared" si="527"/>
        <v>0</v>
      </c>
      <c r="V2057" s="579"/>
      <c r="W2057" s="566"/>
      <c r="X2057" s="586" t="str">
        <f t="shared" si="522"/>
        <v/>
      </c>
      <c r="Y2057" s="586" t="str">
        <f t="shared" si="531"/>
        <v/>
      </c>
      <c r="Z2057" s="586" t="str">
        <f t="shared" si="517"/>
        <v/>
      </c>
    </row>
    <row r="2058" spans="1:26" ht="12" hidden="1" thickBot="1" x14ac:dyDescent="0.25">
      <c r="A2058" s="567" t="s">
        <v>168</v>
      </c>
      <c r="B2058" s="644" t="s">
        <v>168</v>
      </c>
      <c r="C2058" s="645"/>
      <c r="D2058" s="422" t="s">
        <v>212</v>
      </c>
      <c r="E2058" s="423"/>
      <c r="F2058" s="424">
        <v>500</v>
      </c>
      <c r="G2058" s="425">
        <v>8.0999999999999996E-3</v>
      </c>
      <c r="H2058" s="649">
        <f>IF(F2058&lt;=30,(0.78*F2058+7.82)*G2058,((0.78*30+7.82)+0.78*(F2058-30))*G2058)</f>
        <v>3.2223420000000003</v>
      </c>
      <c r="I2058" s="420"/>
      <c r="J2058" s="420"/>
      <c r="K2058" s="421">
        <f t="shared" si="525"/>
        <v>0</v>
      </c>
      <c r="L2058" s="647"/>
      <c r="M2058" s="723"/>
      <c r="N2058" s="576">
        <f t="shared" si="511"/>
        <v>0</v>
      </c>
      <c r="O2058" s="577">
        <f t="shared" si="528"/>
        <v>0</v>
      </c>
      <c r="P2058" s="578">
        <f t="shared" si="529"/>
        <v>0</v>
      </c>
      <c r="Q2058" s="765"/>
      <c r="R2058" s="723"/>
      <c r="S2058" s="723"/>
      <c r="T2058" s="577">
        <f t="shared" si="526"/>
        <v>0</v>
      </c>
      <c r="U2058" s="578">
        <f t="shared" si="527"/>
        <v>0</v>
      </c>
      <c r="V2058" s="579"/>
      <c r="W2058" s="566" t="str">
        <f>IF(U2057&gt;0,"xx",IF(P2057&gt;0,"xy",""))</f>
        <v/>
      </c>
      <c r="X2058" s="586" t="str">
        <f t="shared" si="522"/>
        <v/>
      </c>
      <c r="Y2058" s="586" t="str">
        <f t="shared" si="531"/>
        <v/>
      </c>
      <c r="Z2058" s="586" t="str">
        <f t="shared" si="517"/>
        <v/>
      </c>
    </row>
    <row r="2059" spans="1:26" ht="12" hidden="1" thickBot="1" x14ac:dyDescent="0.25">
      <c r="A2059" s="567" t="s">
        <v>168</v>
      </c>
      <c r="B2059" s="644" t="s">
        <v>168</v>
      </c>
      <c r="C2059" s="645"/>
      <c r="D2059" s="422" t="s">
        <v>248</v>
      </c>
      <c r="E2059" s="423"/>
      <c r="F2059" s="424">
        <v>180</v>
      </c>
      <c r="G2059" s="425">
        <v>4.2000000000000003E-2</v>
      </c>
      <c r="H2059" s="663">
        <f t="shared" ref="H2059:H2060" si="533">IF(F2059&lt;=30,(1.07*F2059+2.68)*G2059,((1.07*30+2.68)+1.07*(F2059-30))*G2059)</f>
        <v>8.2017600000000002</v>
      </c>
      <c r="I2059" s="420"/>
      <c r="J2059" s="420"/>
      <c r="K2059" s="421">
        <f t="shared" si="525"/>
        <v>0</v>
      </c>
      <c r="L2059" s="647"/>
      <c r="M2059" s="723"/>
      <c r="N2059" s="576">
        <f t="shared" si="511"/>
        <v>0</v>
      </c>
      <c r="O2059" s="577">
        <f t="shared" si="528"/>
        <v>0</v>
      </c>
      <c r="P2059" s="578">
        <f t="shared" si="529"/>
        <v>0</v>
      </c>
      <c r="Q2059" s="765"/>
      <c r="R2059" s="723"/>
      <c r="S2059" s="723"/>
      <c r="T2059" s="577">
        <f t="shared" si="526"/>
        <v>0</v>
      </c>
      <c r="U2059" s="578">
        <f t="shared" si="527"/>
        <v>0</v>
      </c>
      <c r="V2059" s="579"/>
      <c r="W2059" s="566" t="str">
        <f>IF(U2057&gt;0,"xx",IF(P2057&gt;0,"xy",""))</f>
        <v/>
      </c>
      <c r="X2059" s="586" t="str">
        <f t="shared" si="522"/>
        <v/>
      </c>
      <c r="Y2059" s="586" t="str">
        <f t="shared" si="531"/>
        <v/>
      </c>
      <c r="Z2059" s="586" t="str">
        <f t="shared" si="517"/>
        <v/>
      </c>
    </row>
    <row r="2060" spans="1:26" ht="12" hidden="1" thickBot="1" x14ac:dyDescent="0.25">
      <c r="A2060" s="567" t="s">
        <v>168</v>
      </c>
      <c r="B2060" s="644" t="s">
        <v>168</v>
      </c>
      <c r="C2060" s="645"/>
      <c r="D2060" s="422" t="s">
        <v>347</v>
      </c>
      <c r="E2060" s="423"/>
      <c r="F2060" s="424">
        <v>20</v>
      </c>
      <c r="G2060" s="425">
        <v>1.65</v>
      </c>
      <c r="H2060" s="663">
        <f t="shared" si="533"/>
        <v>39.731999999999999</v>
      </c>
      <c r="I2060" s="420"/>
      <c r="J2060" s="420"/>
      <c r="K2060" s="421">
        <f t="shared" si="525"/>
        <v>0</v>
      </c>
      <c r="L2060" s="647"/>
      <c r="M2060" s="723"/>
      <c r="N2060" s="576">
        <f t="shared" si="511"/>
        <v>0</v>
      </c>
      <c r="O2060" s="577">
        <f t="shared" si="528"/>
        <v>0</v>
      </c>
      <c r="P2060" s="578">
        <f t="shared" si="529"/>
        <v>0</v>
      </c>
      <c r="Q2060" s="765"/>
      <c r="R2060" s="723"/>
      <c r="S2060" s="723"/>
      <c r="T2060" s="577">
        <f t="shared" si="526"/>
        <v>0</v>
      </c>
      <c r="U2060" s="578">
        <f t="shared" si="527"/>
        <v>0</v>
      </c>
      <c r="V2060" s="579"/>
      <c r="W2060" s="566" t="str">
        <f>IF(U2057&gt;0,"xx",IF(P2057&gt;0,"xy",""))</f>
        <v/>
      </c>
      <c r="X2060" s="586" t="str">
        <f t="shared" si="522"/>
        <v/>
      </c>
      <c r="Y2060" s="586" t="str">
        <f t="shared" si="531"/>
        <v/>
      </c>
      <c r="Z2060" s="586" t="str">
        <f t="shared" si="517"/>
        <v/>
      </c>
    </row>
    <row r="2061" spans="1:26" ht="12" hidden="1" thickBot="1" x14ac:dyDescent="0.25">
      <c r="A2061" s="567">
        <v>611400</v>
      </c>
      <c r="B2061" s="644" t="s">
        <v>1694</v>
      </c>
      <c r="C2061" s="645" t="s">
        <v>206</v>
      </c>
      <c r="D2061" s="422" t="s">
        <v>382</v>
      </c>
      <c r="E2061" s="423"/>
      <c r="F2061" s="424"/>
      <c r="G2061" s="425"/>
      <c r="H2061" s="651">
        <f>SUM(H2062:H2064)</f>
        <v>61.624152000000009</v>
      </c>
      <c r="I2061" s="420">
        <v>1466.6260000000002</v>
      </c>
      <c r="J2061" s="420">
        <f>IF(ISBLANK(I2061),"",SUM(H2061:I2061))</f>
        <v>1528.2501520000003</v>
      </c>
      <c r="K2061" s="421">
        <f t="shared" si="525"/>
        <v>1815.71</v>
      </c>
      <c r="L2061" s="647" t="s">
        <v>19</v>
      </c>
      <c r="M2061" s="576"/>
      <c r="N2061" s="576">
        <f t="shared" si="511"/>
        <v>0</v>
      </c>
      <c r="O2061" s="577">
        <f t="shared" si="528"/>
        <v>0</v>
      </c>
      <c r="P2061" s="578">
        <f t="shared" si="529"/>
        <v>0</v>
      </c>
      <c r="Q2061" s="765"/>
      <c r="R2061" s="576">
        <f>M2061</f>
        <v>0</v>
      </c>
      <c r="S2061" s="576">
        <f>N2061</f>
        <v>0</v>
      </c>
      <c r="T2061" s="577">
        <f t="shared" si="526"/>
        <v>0</v>
      </c>
      <c r="U2061" s="578">
        <f t="shared" si="527"/>
        <v>0</v>
      </c>
      <c r="V2061" s="579"/>
      <c r="W2061" s="566"/>
      <c r="X2061" s="586" t="str">
        <f t="shared" si="522"/>
        <v/>
      </c>
      <c r="Y2061" s="586" t="str">
        <f t="shared" si="531"/>
        <v/>
      </c>
      <c r="Z2061" s="586" t="str">
        <f t="shared" si="517"/>
        <v/>
      </c>
    </row>
    <row r="2062" spans="1:26" ht="12" hidden="1" thickBot="1" x14ac:dyDescent="0.25">
      <c r="A2062" s="567" t="s">
        <v>168</v>
      </c>
      <c r="B2062" s="644" t="s">
        <v>168</v>
      </c>
      <c r="C2062" s="645"/>
      <c r="D2062" s="422" t="s">
        <v>212</v>
      </c>
      <c r="E2062" s="423"/>
      <c r="F2062" s="424">
        <v>500</v>
      </c>
      <c r="G2062" s="425">
        <v>9.1999999999999998E-3</v>
      </c>
      <c r="H2062" s="649">
        <f>IF(F2062&lt;=30,(0.78*F2062+7.82)*G2062,((0.78*30+7.82)+0.78*(F2062-30))*G2062)</f>
        <v>3.6599440000000003</v>
      </c>
      <c r="I2062" s="420"/>
      <c r="J2062" s="420"/>
      <c r="K2062" s="421">
        <f t="shared" si="525"/>
        <v>0</v>
      </c>
      <c r="L2062" s="647"/>
      <c r="M2062" s="723"/>
      <c r="N2062" s="576">
        <f t="shared" si="511"/>
        <v>0</v>
      </c>
      <c r="O2062" s="577">
        <f t="shared" si="528"/>
        <v>0</v>
      </c>
      <c r="P2062" s="578">
        <f t="shared" si="529"/>
        <v>0</v>
      </c>
      <c r="Q2062" s="765"/>
      <c r="R2062" s="723"/>
      <c r="S2062" s="723"/>
      <c r="T2062" s="577">
        <f t="shared" si="526"/>
        <v>0</v>
      </c>
      <c r="U2062" s="578">
        <f t="shared" si="527"/>
        <v>0</v>
      </c>
      <c r="V2062" s="579"/>
      <c r="W2062" s="566" t="str">
        <f>IF(U2061&gt;0,"xx",IF(P2061&gt;0,"xy",""))</f>
        <v/>
      </c>
      <c r="X2062" s="586" t="str">
        <f t="shared" si="522"/>
        <v/>
      </c>
      <c r="Y2062" s="586" t="str">
        <f t="shared" si="531"/>
        <v/>
      </c>
      <c r="Z2062" s="586" t="str">
        <f t="shared" si="517"/>
        <v/>
      </c>
    </row>
    <row r="2063" spans="1:26" ht="12" hidden="1" thickBot="1" x14ac:dyDescent="0.25">
      <c r="A2063" s="567" t="s">
        <v>168</v>
      </c>
      <c r="B2063" s="644" t="s">
        <v>168</v>
      </c>
      <c r="C2063" s="645"/>
      <c r="D2063" s="422" t="s">
        <v>248</v>
      </c>
      <c r="E2063" s="423"/>
      <c r="F2063" s="424">
        <v>180</v>
      </c>
      <c r="G2063" s="425">
        <v>4.7899999999999998E-2</v>
      </c>
      <c r="H2063" s="663">
        <f t="shared" ref="H2063:H2064" si="534">IF(F2063&lt;=30,(1.07*F2063+2.68)*G2063,((1.07*30+2.68)+1.07*(F2063-30))*G2063)</f>
        <v>9.3539119999999993</v>
      </c>
      <c r="I2063" s="420"/>
      <c r="J2063" s="420"/>
      <c r="K2063" s="421">
        <f t="shared" si="525"/>
        <v>0</v>
      </c>
      <c r="L2063" s="647"/>
      <c r="M2063" s="723"/>
      <c r="N2063" s="576">
        <f t="shared" si="511"/>
        <v>0</v>
      </c>
      <c r="O2063" s="577">
        <f t="shared" si="528"/>
        <v>0</v>
      </c>
      <c r="P2063" s="578">
        <f t="shared" si="529"/>
        <v>0</v>
      </c>
      <c r="Q2063" s="765"/>
      <c r="R2063" s="723"/>
      <c r="S2063" s="723"/>
      <c r="T2063" s="577">
        <f t="shared" si="526"/>
        <v>0</v>
      </c>
      <c r="U2063" s="578">
        <f t="shared" si="527"/>
        <v>0</v>
      </c>
      <c r="V2063" s="579"/>
      <c r="W2063" s="566" t="str">
        <f>IF(U2061&gt;0,"xx",IF(P2061&gt;0,"xy",""))</f>
        <v/>
      </c>
      <c r="X2063" s="586" t="str">
        <f t="shared" si="522"/>
        <v/>
      </c>
      <c r="Y2063" s="586" t="str">
        <f t="shared" si="531"/>
        <v/>
      </c>
      <c r="Z2063" s="586" t="str">
        <f t="shared" si="517"/>
        <v/>
      </c>
    </row>
    <row r="2064" spans="1:26" ht="12" hidden="1" thickBot="1" x14ac:dyDescent="0.25">
      <c r="A2064" s="567" t="s">
        <v>168</v>
      </c>
      <c r="B2064" s="644" t="s">
        <v>168</v>
      </c>
      <c r="C2064" s="645"/>
      <c r="D2064" s="422" t="s">
        <v>347</v>
      </c>
      <c r="E2064" s="423"/>
      <c r="F2064" s="424">
        <v>20</v>
      </c>
      <c r="G2064" s="425">
        <v>2.0186999999999999</v>
      </c>
      <c r="H2064" s="663">
        <f t="shared" si="534"/>
        <v>48.610296000000005</v>
      </c>
      <c r="I2064" s="420"/>
      <c r="J2064" s="420"/>
      <c r="K2064" s="421">
        <f t="shared" si="525"/>
        <v>0</v>
      </c>
      <c r="L2064" s="647"/>
      <c r="M2064" s="723"/>
      <c r="N2064" s="576">
        <f t="shared" si="511"/>
        <v>0</v>
      </c>
      <c r="O2064" s="577">
        <f t="shared" si="528"/>
        <v>0</v>
      </c>
      <c r="P2064" s="578">
        <f t="shared" si="529"/>
        <v>0</v>
      </c>
      <c r="Q2064" s="765"/>
      <c r="R2064" s="723"/>
      <c r="S2064" s="723"/>
      <c r="T2064" s="577">
        <f t="shared" si="526"/>
        <v>0</v>
      </c>
      <c r="U2064" s="578">
        <f t="shared" si="527"/>
        <v>0</v>
      </c>
      <c r="V2064" s="579"/>
      <c r="W2064" s="566" t="str">
        <f>IF(U2061&gt;0,"xx",IF(P2061&gt;0,"xy",""))</f>
        <v/>
      </c>
      <c r="X2064" s="586" t="str">
        <f t="shared" si="522"/>
        <v/>
      </c>
      <c r="Y2064" s="586" t="str">
        <f t="shared" si="531"/>
        <v/>
      </c>
      <c r="Z2064" s="586" t="str">
        <f t="shared" si="517"/>
        <v/>
      </c>
    </row>
    <row r="2065" spans="1:26" ht="12" hidden="1" thickBot="1" x14ac:dyDescent="0.25">
      <c r="A2065" s="567">
        <v>611600</v>
      </c>
      <c r="B2065" s="644" t="s">
        <v>1697</v>
      </c>
      <c r="C2065" s="645" t="s">
        <v>206</v>
      </c>
      <c r="D2065" s="422" t="s">
        <v>383</v>
      </c>
      <c r="E2065" s="423"/>
      <c r="F2065" s="424"/>
      <c r="G2065" s="425"/>
      <c r="H2065" s="651">
        <f>SUM(H2066:H2068)</f>
        <v>65.472966</v>
      </c>
      <c r="I2065" s="420">
        <v>2245.2599999999998</v>
      </c>
      <c r="J2065" s="420">
        <f>IF(ISBLANK(I2065),"",SUM(H2065:I2065))</f>
        <v>2310.7329659999996</v>
      </c>
      <c r="K2065" s="421">
        <f t="shared" si="525"/>
        <v>2745.38</v>
      </c>
      <c r="L2065" s="647" t="s">
        <v>19</v>
      </c>
      <c r="M2065" s="576"/>
      <c r="N2065" s="576">
        <f t="shared" si="511"/>
        <v>0</v>
      </c>
      <c r="O2065" s="577">
        <f t="shared" si="528"/>
        <v>0</v>
      </c>
      <c r="P2065" s="578">
        <f t="shared" si="529"/>
        <v>0</v>
      </c>
      <c r="Q2065" s="765"/>
      <c r="R2065" s="576">
        <f>M2065</f>
        <v>0</v>
      </c>
      <c r="S2065" s="576">
        <f>N2065</f>
        <v>0</v>
      </c>
      <c r="T2065" s="577">
        <f t="shared" si="526"/>
        <v>0</v>
      </c>
      <c r="U2065" s="578">
        <f t="shared" si="527"/>
        <v>0</v>
      </c>
      <c r="V2065" s="579"/>
      <c r="W2065" s="566"/>
      <c r="X2065" s="586" t="str">
        <f t="shared" si="522"/>
        <v/>
      </c>
      <c r="Y2065" s="586" t="str">
        <f t="shared" si="531"/>
        <v/>
      </c>
      <c r="Z2065" s="586" t="str">
        <f t="shared" si="517"/>
        <v/>
      </c>
    </row>
    <row r="2066" spans="1:26" ht="12" hidden="1" thickBot="1" x14ac:dyDescent="0.25">
      <c r="A2066" s="567" t="s">
        <v>168</v>
      </c>
      <c r="B2066" s="644" t="s">
        <v>168</v>
      </c>
      <c r="C2066" s="645"/>
      <c r="D2066" s="422" t="s">
        <v>212</v>
      </c>
      <c r="E2066" s="423"/>
      <c r="F2066" s="424">
        <v>500</v>
      </c>
      <c r="G2066" s="425">
        <v>9.7000000000000003E-3</v>
      </c>
      <c r="H2066" s="649">
        <f>IF(F2066&lt;=30,(0.78*F2066+7.82)*G2066,((0.78*30+7.82)+0.78*(F2066-30))*G2066)</f>
        <v>3.8588540000000005</v>
      </c>
      <c r="I2066" s="420"/>
      <c r="J2066" s="420"/>
      <c r="K2066" s="421">
        <f t="shared" si="525"/>
        <v>0</v>
      </c>
      <c r="L2066" s="647"/>
      <c r="M2066" s="723"/>
      <c r="N2066" s="576">
        <f t="shared" si="511"/>
        <v>0</v>
      </c>
      <c r="O2066" s="577">
        <f t="shared" si="528"/>
        <v>0</v>
      </c>
      <c r="P2066" s="578">
        <f t="shared" si="529"/>
        <v>0</v>
      </c>
      <c r="Q2066" s="765"/>
      <c r="R2066" s="723"/>
      <c r="S2066" s="723"/>
      <c r="T2066" s="577">
        <f t="shared" si="526"/>
        <v>0</v>
      </c>
      <c r="U2066" s="578">
        <f t="shared" si="527"/>
        <v>0</v>
      </c>
      <c r="V2066" s="579"/>
      <c r="W2066" s="566" t="str">
        <f>IF(U2065&gt;0,"xx",IF(P2065&gt;0,"xy",""))</f>
        <v/>
      </c>
      <c r="X2066" s="586" t="str">
        <f t="shared" si="522"/>
        <v/>
      </c>
      <c r="Y2066" s="586" t="str">
        <f t="shared" si="531"/>
        <v/>
      </c>
      <c r="Z2066" s="586" t="str">
        <f t="shared" si="517"/>
        <v/>
      </c>
    </row>
    <row r="2067" spans="1:26" ht="12" hidden="1" thickBot="1" x14ac:dyDescent="0.25">
      <c r="A2067" s="567" t="s">
        <v>168</v>
      </c>
      <c r="B2067" s="644" t="s">
        <v>168</v>
      </c>
      <c r="C2067" s="645"/>
      <c r="D2067" s="422" t="s">
        <v>248</v>
      </c>
      <c r="E2067" s="423"/>
      <c r="F2067" s="424">
        <v>180</v>
      </c>
      <c r="G2067" s="425">
        <v>5.04E-2</v>
      </c>
      <c r="H2067" s="663">
        <f t="shared" ref="H2067:H2068" si="535">IF(F2067&lt;=30,(1.07*F2067+2.68)*G2067,((1.07*30+2.68)+1.07*(F2067-30))*G2067)</f>
        <v>9.8421120000000002</v>
      </c>
      <c r="I2067" s="420"/>
      <c r="J2067" s="420"/>
      <c r="K2067" s="421">
        <f t="shared" si="525"/>
        <v>0</v>
      </c>
      <c r="L2067" s="647"/>
      <c r="M2067" s="723"/>
      <c r="N2067" s="576">
        <f t="shared" si="511"/>
        <v>0</v>
      </c>
      <c r="O2067" s="577">
        <f t="shared" si="528"/>
        <v>0</v>
      </c>
      <c r="P2067" s="578">
        <f t="shared" si="529"/>
        <v>0</v>
      </c>
      <c r="Q2067" s="765"/>
      <c r="R2067" s="723"/>
      <c r="S2067" s="723"/>
      <c r="T2067" s="577">
        <f t="shared" si="526"/>
        <v>0</v>
      </c>
      <c r="U2067" s="578">
        <f t="shared" si="527"/>
        <v>0</v>
      </c>
      <c r="V2067" s="579"/>
      <c r="W2067" s="566" t="str">
        <f>IF(U2065&gt;0,"xx",IF(P2065&gt;0,"xy",""))</f>
        <v/>
      </c>
      <c r="X2067" s="586" t="str">
        <f t="shared" si="522"/>
        <v/>
      </c>
      <c r="Y2067" s="586" t="str">
        <f t="shared" si="531"/>
        <v/>
      </c>
      <c r="Z2067" s="586" t="str">
        <f t="shared" si="517"/>
        <v/>
      </c>
    </row>
    <row r="2068" spans="1:26" ht="12" hidden="1" thickBot="1" x14ac:dyDescent="0.25">
      <c r="A2068" s="567" t="s">
        <v>168</v>
      </c>
      <c r="B2068" s="644" t="s">
        <v>168</v>
      </c>
      <c r="C2068" s="645"/>
      <c r="D2068" s="422" t="s">
        <v>347</v>
      </c>
      <c r="E2068" s="423"/>
      <c r="F2068" s="424">
        <v>20</v>
      </c>
      <c r="G2068" s="425">
        <v>2.15</v>
      </c>
      <c r="H2068" s="663">
        <f t="shared" si="535"/>
        <v>51.771999999999998</v>
      </c>
      <c r="I2068" s="420"/>
      <c r="J2068" s="420"/>
      <c r="K2068" s="421">
        <f t="shared" si="525"/>
        <v>0</v>
      </c>
      <c r="L2068" s="647"/>
      <c r="M2068" s="723"/>
      <c r="N2068" s="576">
        <f t="shared" ref="N2068:N2131" si="536">IF(M2068=0,0,K2068)</f>
        <v>0</v>
      </c>
      <c r="O2068" s="577">
        <f t="shared" si="528"/>
        <v>0</v>
      </c>
      <c r="P2068" s="578">
        <f t="shared" si="529"/>
        <v>0</v>
      </c>
      <c r="Q2068" s="765"/>
      <c r="R2068" s="723"/>
      <c r="S2068" s="723"/>
      <c r="T2068" s="577">
        <f t="shared" si="526"/>
        <v>0</v>
      </c>
      <c r="U2068" s="578">
        <f t="shared" si="527"/>
        <v>0</v>
      </c>
      <c r="V2068" s="579"/>
      <c r="W2068" s="566" t="str">
        <f>IF(U2065&gt;0,"xx",IF(P2065&gt;0,"xy",""))</f>
        <v/>
      </c>
      <c r="X2068" s="586" t="str">
        <f t="shared" si="522"/>
        <v/>
      </c>
      <c r="Y2068" s="586" t="str">
        <f t="shared" si="531"/>
        <v/>
      </c>
      <c r="Z2068" s="586" t="str">
        <f t="shared" si="517"/>
        <v/>
      </c>
    </row>
    <row r="2069" spans="1:26" ht="12" hidden="1" thickBot="1" x14ac:dyDescent="0.25">
      <c r="A2069" s="567">
        <v>610400</v>
      </c>
      <c r="B2069" s="644" t="s">
        <v>1671</v>
      </c>
      <c r="C2069" s="645" t="s">
        <v>206</v>
      </c>
      <c r="D2069" s="422" t="s">
        <v>384</v>
      </c>
      <c r="E2069" s="423"/>
      <c r="F2069" s="424"/>
      <c r="G2069" s="425"/>
      <c r="H2069" s="651">
        <f>SUM(H2070:H2072)</f>
        <v>6.489218000000001</v>
      </c>
      <c r="I2069" s="420">
        <v>138.35</v>
      </c>
      <c r="J2069" s="420">
        <f>IF(ISBLANK(I2069),"",SUM(H2069:I2069))</f>
        <v>144.83921799999999</v>
      </c>
      <c r="K2069" s="421">
        <f t="shared" si="525"/>
        <v>172.08</v>
      </c>
      <c r="L2069" s="647" t="s">
        <v>19</v>
      </c>
      <c r="M2069" s="576"/>
      <c r="N2069" s="576">
        <f t="shared" si="536"/>
        <v>0</v>
      </c>
      <c r="O2069" s="577">
        <f t="shared" si="528"/>
        <v>0</v>
      </c>
      <c r="P2069" s="578">
        <f t="shared" si="529"/>
        <v>0</v>
      </c>
      <c r="Q2069" s="765"/>
      <c r="R2069" s="576">
        <f>M2069</f>
        <v>0</v>
      </c>
      <c r="S2069" s="576">
        <f>N2069</f>
        <v>0</v>
      </c>
      <c r="T2069" s="577">
        <f t="shared" si="526"/>
        <v>0</v>
      </c>
      <c r="U2069" s="578">
        <f t="shared" si="527"/>
        <v>0</v>
      </c>
      <c r="V2069" s="579"/>
      <c r="W2069" s="566"/>
      <c r="X2069" s="586" t="str">
        <f t="shared" si="522"/>
        <v/>
      </c>
      <c r="Y2069" s="586" t="str">
        <f t="shared" si="531"/>
        <v/>
      </c>
      <c r="Z2069" s="586" t="str">
        <f t="shared" si="517"/>
        <v/>
      </c>
    </row>
    <row r="2070" spans="1:26" ht="12" hidden="1" thickBot="1" x14ac:dyDescent="0.25">
      <c r="A2070" s="567" t="s">
        <v>168</v>
      </c>
      <c r="B2070" s="644" t="s">
        <v>168</v>
      </c>
      <c r="C2070" s="645"/>
      <c r="D2070" s="422" t="s">
        <v>212</v>
      </c>
      <c r="E2070" s="423"/>
      <c r="F2070" s="424">
        <v>500</v>
      </c>
      <c r="G2070" s="425">
        <v>1.9E-3</v>
      </c>
      <c r="H2070" s="649">
        <f>IF(F2070&lt;=30,(0.78*F2070+7.82)*G2070,((0.78*30+7.82)+0.78*(F2070-30))*G2070)</f>
        <v>0.75585800000000014</v>
      </c>
      <c r="I2070" s="420"/>
      <c r="J2070" s="420"/>
      <c r="K2070" s="421">
        <f t="shared" si="525"/>
        <v>0</v>
      </c>
      <c r="L2070" s="647"/>
      <c r="M2070" s="723"/>
      <c r="N2070" s="576">
        <f t="shared" si="536"/>
        <v>0</v>
      </c>
      <c r="O2070" s="577">
        <f t="shared" si="528"/>
        <v>0</v>
      </c>
      <c r="P2070" s="578">
        <f t="shared" si="529"/>
        <v>0</v>
      </c>
      <c r="Q2070" s="765"/>
      <c r="R2070" s="723"/>
      <c r="S2070" s="723"/>
      <c r="T2070" s="577">
        <f t="shared" si="526"/>
        <v>0</v>
      </c>
      <c r="U2070" s="578">
        <f t="shared" si="527"/>
        <v>0</v>
      </c>
      <c r="V2070" s="579"/>
      <c r="W2070" s="566" t="str">
        <f>IF(U2069&gt;0,"xx",IF(P2069&gt;0,"xy",""))</f>
        <v/>
      </c>
      <c r="X2070" s="586" t="str">
        <f t="shared" si="522"/>
        <v/>
      </c>
      <c r="Y2070" s="586" t="str">
        <f t="shared" si="531"/>
        <v/>
      </c>
      <c r="Z2070" s="586" t="str">
        <f t="shared" si="517"/>
        <v/>
      </c>
    </row>
    <row r="2071" spans="1:26" ht="12" hidden="1" thickBot="1" x14ac:dyDescent="0.25">
      <c r="A2071" s="567" t="s">
        <v>168</v>
      </c>
      <c r="B2071" s="644" t="s">
        <v>168</v>
      </c>
      <c r="C2071" s="645"/>
      <c r="D2071" s="422" t="s">
        <v>248</v>
      </c>
      <c r="E2071" s="423"/>
      <c r="F2071" s="424">
        <v>180</v>
      </c>
      <c r="G2071" s="425">
        <v>0.01</v>
      </c>
      <c r="H2071" s="663">
        <f t="shared" ref="H2071:H2072" si="537">IF(F2071&lt;=30,(1.07*F2071+2.68)*G2071,((1.07*30+2.68)+1.07*(F2071-30))*G2071)</f>
        <v>1.9528000000000001</v>
      </c>
      <c r="I2071" s="420"/>
      <c r="J2071" s="420"/>
      <c r="K2071" s="421">
        <f t="shared" si="525"/>
        <v>0</v>
      </c>
      <c r="L2071" s="647"/>
      <c r="M2071" s="723"/>
      <c r="N2071" s="576">
        <f t="shared" si="536"/>
        <v>0</v>
      </c>
      <c r="O2071" s="577">
        <f t="shared" si="528"/>
        <v>0</v>
      </c>
      <c r="P2071" s="578">
        <f t="shared" si="529"/>
        <v>0</v>
      </c>
      <c r="Q2071" s="765"/>
      <c r="R2071" s="723"/>
      <c r="S2071" s="723"/>
      <c r="T2071" s="577">
        <f t="shared" si="526"/>
        <v>0</v>
      </c>
      <c r="U2071" s="578">
        <f t="shared" si="527"/>
        <v>0</v>
      </c>
      <c r="V2071" s="579"/>
      <c r="W2071" s="566" t="str">
        <f>IF(U2069&gt;0,"xx",IF(P2069&gt;0,"xy",""))</f>
        <v/>
      </c>
      <c r="X2071" s="586" t="str">
        <f t="shared" si="522"/>
        <v/>
      </c>
      <c r="Y2071" s="586" t="str">
        <f t="shared" si="531"/>
        <v/>
      </c>
      <c r="Z2071" s="586" t="str">
        <f t="shared" si="517"/>
        <v/>
      </c>
    </row>
    <row r="2072" spans="1:26" ht="12" hidden="1" thickBot="1" x14ac:dyDescent="0.25">
      <c r="A2072" s="567" t="s">
        <v>168</v>
      </c>
      <c r="B2072" s="644" t="s">
        <v>168</v>
      </c>
      <c r="C2072" s="645"/>
      <c r="D2072" s="422" t="s">
        <v>347</v>
      </c>
      <c r="E2072" s="423"/>
      <c r="F2072" s="424">
        <v>20</v>
      </c>
      <c r="G2072" s="425">
        <v>0.157</v>
      </c>
      <c r="H2072" s="663">
        <f t="shared" si="537"/>
        <v>3.7805600000000004</v>
      </c>
      <c r="I2072" s="420"/>
      <c r="J2072" s="420"/>
      <c r="K2072" s="421">
        <f t="shared" si="525"/>
        <v>0</v>
      </c>
      <c r="L2072" s="647"/>
      <c r="M2072" s="723"/>
      <c r="N2072" s="576">
        <f t="shared" si="536"/>
        <v>0</v>
      </c>
      <c r="O2072" s="577">
        <f t="shared" si="528"/>
        <v>0</v>
      </c>
      <c r="P2072" s="578">
        <f t="shared" si="529"/>
        <v>0</v>
      </c>
      <c r="Q2072" s="765"/>
      <c r="R2072" s="723"/>
      <c r="S2072" s="723"/>
      <c r="T2072" s="577">
        <f t="shared" si="526"/>
        <v>0</v>
      </c>
      <c r="U2072" s="578">
        <f t="shared" si="527"/>
        <v>0</v>
      </c>
      <c r="V2072" s="579"/>
      <c r="W2072" s="566" t="str">
        <f>IF(U2069&gt;0,"xx",IF(P2069&gt;0,"xy",""))</f>
        <v/>
      </c>
      <c r="X2072" s="586" t="str">
        <f t="shared" si="522"/>
        <v/>
      </c>
      <c r="Y2072" s="586" t="str">
        <f t="shared" si="531"/>
        <v/>
      </c>
      <c r="Z2072" s="586" t="str">
        <f t="shared" si="517"/>
        <v/>
      </c>
    </row>
    <row r="2073" spans="1:26" ht="12" hidden="1" thickBot="1" x14ac:dyDescent="0.25">
      <c r="A2073" s="567">
        <v>610600</v>
      </c>
      <c r="B2073" s="644" t="s">
        <v>1676</v>
      </c>
      <c r="C2073" s="645" t="s">
        <v>206</v>
      </c>
      <c r="D2073" s="422" t="s">
        <v>579</v>
      </c>
      <c r="E2073" s="423"/>
      <c r="F2073" s="424"/>
      <c r="G2073" s="425"/>
      <c r="H2073" s="651">
        <f>SUM(H2074:H2076)</f>
        <v>9.2197619999999993</v>
      </c>
      <c r="I2073" s="420">
        <v>219.99999999999997</v>
      </c>
      <c r="J2073" s="420">
        <f>IF(ISBLANK(I2073),"",SUM(H2073:I2073))</f>
        <v>229.21976199999997</v>
      </c>
      <c r="K2073" s="421">
        <f t="shared" si="525"/>
        <v>272.33999999999997</v>
      </c>
      <c r="L2073" s="647" t="s">
        <v>19</v>
      </c>
      <c r="M2073" s="576"/>
      <c r="N2073" s="576">
        <f t="shared" si="536"/>
        <v>0</v>
      </c>
      <c r="O2073" s="577">
        <f t="shared" si="528"/>
        <v>0</v>
      </c>
      <c r="P2073" s="578">
        <f t="shared" si="529"/>
        <v>0</v>
      </c>
      <c r="Q2073" s="765"/>
      <c r="R2073" s="576">
        <f>M2073</f>
        <v>0</v>
      </c>
      <c r="S2073" s="576">
        <f>N2073</f>
        <v>0</v>
      </c>
      <c r="T2073" s="577">
        <f t="shared" si="526"/>
        <v>0</v>
      </c>
      <c r="U2073" s="578">
        <f t="shared" si="527"/>
        <v>0</v>
      </c>
      <c r="V2073" s="579"/>
      <c r="W2073" s="566"/>
      <c r="X2073" s="586" t="str">
        <f t="shared" si="522"/>
        <v/>
      </c>
      <c r="Y2073" s="586" t="str">
        <f t="shared" si="531"/>
        <v/>
      </c>
      <c r="Z2073" s="586" t="str">
        <f t="shared" si="517"/>
        <v/>
      </c>
    </row>
    <row r="2074" spans="1:26" ht="12" hidden="1" thickBot="1" x14ac:dyDescent="0.25">
      <c r="A2074" s="567" t="s">
        <v>168</v>
      </c>
      <c r="B2074" s="644" t="s">
        <v>168</v>
      </c>
      <c r="C2074" s="645"/>
      <c r="D2074" s="422" t="s">
        <v>212</v>
      </c>
      <c r="E2074" s="423"/>
      <c r="F2074" s="424">
        <v>500</v>
      </c>
      <c r="G2074" s="425">
        <v>2.3E-3</v>
      </c>
      <c r="H2074" s="649">
        <f>IF(F2074&lt;=30,(0.78*F2074+7.82)*G2074,((0.78*30+7.82)+0.78*(F2074-30))*G2074)</f>
        <v>0.91498600000000008</v>
      </c>
      <c r="I2074" s="420"/>
      <c r="J2074" s="420"/>
      <c r="K2074" s="421">
        <f t="shared" si="525"/>
        <v>0</v>
      </c>
      <c r="L2074" s="647"/>
      <c r="M2074" s="723"/>
      <c r="N2074" s="576">
        <f t="shared" si="536"/>
        <v>0</v>
      </c>
      <c r="O2074" s="577">
        <f t="shared" si="528"/>
        <v>0</v>
      </c>
      <c r="P2074" s="578">
        <f t="shared" si="529"/>
        <v>0</v>
      </c>
      <c r="Q2074" s="765"/>
      <c r="R2074" s="723"/>
      <c r="S2074" s="723"/>
      <c r="T2074" s="577">
        <f t="shared" si="526"/>
        <v>0</v>
      </c>
      <c r="U2074" s="578">
        <f t="shared" si="527"/>
        <v>0</v>
      </c>
      <c r="V2074" s="579"/>
      <c r="W2074" s="566" t="str">
        <f>IF(U2073&gt;0,"xx",IF(P2073&gt;0,"xy",""))</f>
        <v/>
      </c>
      <c r="X2074" s="586" t="str">
        <f t="shared" si="522"/>
        <v/>
      </c>
      <c r="Y2074" s="586" t="str">
        <f t="shared" si="531"/>
        <v/>
      </c>
      <c r="Z2074" s="586" t="str">
        <f t="shared" si="517"/>
        <v/>
      </c>
    </row>
    <row r="2075" spans="1:26" ht="12" hidden="1" thickBot="1" x14ac:dyDescent="0.25">
      <c r="A2075" s="567" t="s">
        <v>168</v>
      </c>
      <c r="B2075" s="644" t="s">
        <v>168</v>
      </c>
      <c r="C2075" s="645"/>
      <c r="D2075" s="422" t="s">
        <v>248</v>
      </c>
      <c r="E2075" s="423"/>
      <c r="F2075" s="424">
        <v>180</v>
      </c>
      <c r="G2075" s="425">
        <v>1.17E-2</v>
      </c>
      <c r="H2075" s="663">
        <f t="shared" ref="H2075:H2076" si="538">IF(F2075&lt;=30,(1.07*F2075+2.68)*G2075,((1.07*30+2.68)+1.07*(F2075-30))*G2075)</f>
        <v>2.2847759999999999</v>
      </c>
      <c r="I2075" s="420"/>
      <c r="J2075" s="420"/>
      <c r="K2075" s="421">
        <f t="shared" si="525"/>
        <v>0</v>
      </c>
      <c r="L2075" s="647"/>
      <c r="M2075" s="723"/>
      <c r="N2075" s="576">
        <f t="shared" si="536"/>
        <v>0</v>
      </c>
      <c r="O2075" s="577">
        <f t="shared" si="528"/>
        <v>0</v>
      </c>
      <c r="P2075" s="578">
        <f t="shared" si="529"/>
        <v>0</v>
      </c>
      <c r="Q2075" s="765"/>
      <c r="R2075" s="723"/>
      <c r="S2075" s="723"/>
      <c r="T2075" s="577">
        <f t="shared" si="526"/>
        <v>0</v>
      </c>
      <c r="U2075" s="578">
        <f t="shared" si="527"/>
        <v>0</v>
      </c>
      <c r="V2075" s="579"/>
      <c r="W2075" s="566" t="str">
        <f>IF(U2073&gt;0,"xx",IF(P2073&gt;0,"xy",""))</f>
        <v/>
      </c>
      <c r="X2075" s="586" t="str">
        <f t="shared" si="522"/>
        <v/>
      </c>
      <c r="Y2075" s="586" t="str">
        <f t="shared" si="531"/>
        <v/>
      </c>
      <c r="Z2075" s="586" t="str">
        <f t="shared" si="517"/>
        <v/>
      </c>
    </row>
    <row r="2076" spans="1:26" ht="12" hidden="1" thickBot="1" x14ac:dyDescent="0.25">
      <c r="A2076" s="567" t="s">
        <v>168</v>
      </c>
      <c r="B2076" s="644" t="s">
        <v>168</v>
      </c>
      <c r="C2076" s="645"/>
      <c r="D2076" s="422" t="s">
        <v>347</v>
      </c>
      <c r="E2076" s="423"/>
      <c r="F2076" s="424">
        <v>20</v>
      </c>
      <c r="G2076" s="425">
        <v>0.25</v>
      </c>
      <c r="H2076" s="663">
        <f t="shared" si="538"/>
        <v>6.0200000000000005</v>
      </c>
      <c r="I2076" s="420"/>
      <c r="J2076" s="420"/>
      <c r="K2076" s="421">
        <f t="shared" si="525"/>
        <v>0</v>
      </c>
      <c r="L2076" s="647"/>
      <c r="M2076" s="723"/>
      <c r="N2076" s="576">
        <f t="shared" si="536"/>
        <v>0</v>
      </c>
      <c r="O2076" s="577">
        <f t="shared" si="528"/>
        <v>0</v>
      </c>
      <c r="P2076" s="578">
        <f t="shared" si="529"/>
        <v>0</v>
      </c>
      <c r="Q2076" s="765"/>
      <c r="R2076" s="723"/>
      <c r="S2076" s="723"/>
      <c r="T2076" s="577">
        <f t="shared" si="526"/>
        <v>0</v>
      </c>
      <c r="U2076" s="578">
        <f t="shared" si="527"/>
        <v>0</v>
      </c>
      <c r="V2076" s="579"/>
      <c r="W2076" s="566" t="str">
        <f>IF(U2073&gt;0,"xx",IF(P2073&gt;0,"xy",""))</f>
        <v/>
      </c>
      <c r="X2076" s="586" t="str">
        <f t="shared" si="522"/>
        <v/>
      </c>
      <c r="Y2076" s="586" t="str">
        <f t="shared" si="531"/>
        <v/>
      </c>
      <c r="Z2076" s="586" t="str">
        <f t="shared" si="517"/>
        <v/>
      </c>
    </row>
    <row r="2077" spans="1:26" ht="12" hidden="1" thickBot="1" x14ac:dyDescent="0.25">
      <c r="A2077" s="567">
        <v>610600</v>
      </c>
      <c r="B2077" s="644" t="s">
        <v>1677</v>
      </c>
      <c r="C2077" s="645" t="s">
        <v>206</v>
      </c>
      <c r="D2077" s="422" t="s">
        <v>385</v>
      </c>
      <c r="E2077" s="423"/>
      <c r="F2077" s="424"/>
      <c r="G2077" s="425"/>
      <c r="H2077" s="651">
        <f>SUM(H2078:H2080)</f>
        <v>13.042284000000002</v>
      </c>
      <c r="I2077" s="420">
        <v>301.64999999999998</v>
      </c>
      <c r="J2077" s="420">
        <f>IF(ISBLANK(I2077),"",SUM(H2077:I2077))</f>
        <v>314.69228399999997</v>
      </c>
      <c r="K2077" s="421">
        <f t="shared" si="525"/>
        <v>373.89</v>
      </c>
      <c r="L2077" s="647" t="s">
        <v>19</v>
      </c>
      <c r="M2077" s="576"/>
      <c r="N2077" s="576">
        <f t="shared" si="536"/>
        <v>0</v>
      </c>
      <c r="O2077" s="577">
        <f t="shared" si="528"/>
        <v>0</v>
      </c>
      <c r="P2077" s="578">
        <f t="shared" si="529"/>
        <v>0</v>
      </c>
      <c r="Q2077" s="765"/>
      <c r="R2077" s="576">
        <f>M2077</f>
        <v>0</v>
      </c>
      <c r="S2077" s="576">
        <f>N2077</f>
        <v>0</v>
      </c>
      <c r="T2077" s="577">
        <f t="shared" si="526"/>
        <v>0</v>
      </c>
      <c r="U2077" s="578">
        <f t="shared" si="527"/>
        <v>0</v>
      </c>
      <c r="V2077" s="579"/>
      <c r="W2077" s="566"/>
      <c r="X2077" s="586" t="str">
        <f t="shared" si="522"/>
        <v/>
      </c>
      <c r="Y2077" s="586" t="str">
        <f t="shared" si="531"/>
        <v/>
      </c>
      <c r="Z2077" s="586" t="str">
        <f t="shared" si="517"/>
        <v/>
      </c>
    </row>
    <row r="2078" spans="1:26" ht="12" hidden="1" thickBot="1" x14ac:dyDescent="0.25">
      <c r="A2078" s="567" t="s">
        <v>168</v>
      </c>
      <c r="B2078" s="644" t="s">
        <v>168</v>
      </c>
      <c r="C2078" s="645"/>
      <c r="D2078" s="422" t="s">
        <v>212</v>
      </c>
      <c r="E2078" s="423"/>
      <c r="F2078" s="424">
        <v>500</v>
      </c>
      <c r="G2078" s="425">
        <v>2.5999999999999999E-3</v>
      </c>
      <c r="H2078" s="649">
        <f>IF(F2078&lt;=30,(0.78*F2078+7.82)*G2078,((0.78*30+7.82)+0.78*(F2078-30))*G2078)</f>
        <v>1.034332</v>
      </c>
      <c r="I2078" s="420"/>
      <c r="J2078" s="420"/>
      <c r="K2078" s="421">
        <f t="shared" si="525"/>
        <v>0</v>
      </c>
      <c r="L2078" s="647"/>
      <c r="M2078" s="723"/>
      <c r="N2078" s="576">
        <f t="shared" si="536"/>
        <v>0</v>
      </c>
      <c r="O2078" s="577">
        <f t="shared" si="528"/>
        <v>0</v>
      </c>
      <c r="P2078" s="578">
        <f t="shared" si="529"/>
        <v>0</v>
      </c>
      <c r="Q2078" s="765"/>
      <c r="R2078" s="723"/>
      <c r="S2078" s="723"/>
      <c r="T2078" s="577">
        <f t="shared" si="526"/>
        <v>0</v>
      </c>
      <c r="U2078" s="578">
        <f t="shared" si="527"/>
        <v>0</v>
      </c>
      <c r="V2078" s="579"/>
      <c r="W2078" s="566" t="str">
        <f>IF(U2077&gt;0,"xx",IF(P2077&gt;0,"xy",""))</f>
        <v/>
      </c>
      <c r="X2078" s="586" t="str">
        <f t="shared" si="522"/>
        <v/>
      </c>
      <c r="Y2078" s="586" t="str">
        <f t="shared" si="531"/>
        <v/>
      </c>
      <c r="Z2078" s="586" t="str">
        <f t="shared" si="517"/>
        <v/>
      </c>
    </row>
    <row r="2079" spans="1:26" ht="12" hidden="1" thickBot="1" x14ac:dyDescent="0.25">
      <c r="A2079" s="567" t="s">
        <v>168</v>
      </c>
      <c r="B2079" s="644" t="s">
        <v>168</v>
      </c>
      <c r="C2079" s="645"/>
      <c r="D2079" s="422" t="s">
        <v>248</v>
      </c>
      <c r="E2079" s="423"/>
      <c r="F2079" s="424">
        <v>180</v>
      </c>
      <c r="G2079" s="425">
        <v>1.34E-2</v>
      </c>
      <c r="H2079" s="663">
        <f t="shared" ref="H2079:H2080" si="539">IF(F2079&lt;=30,(1.07*F2079+2.68)*G2079,((1.07*30+2.68)+1.07*(F2079-30))*G2079)</f>
        <v>2.616752</v>
      </c>
      <c r="I2079" s="420"/>
      <c r="J2079" s="420"/>
      <c r="K2079" s="421">
        <f t="shared" si="525"/>
        <v>0</v>
      </c>
      <c r="L2079" s="647"/>
      <c r="M2079" s="723"/>
      <c r="N2079" s="576">
        <f t="shared" si="536"/>
        <v>0</v>
      </c>
      <c r="O2079" s="577">
        <f t="shared" si="528"/>
        <v>0</v>
      </c>
      <c r="P2079" s="578">
        <f t="shared" si="529"/>
        <v>0</v>
      </c>
      <c r="Q2079" s="765"/>
      <c r="R2079" s="723"/>
      <c r="S2079" s="723"/>
      <c r="T2079" s="577">
        <f t="shared" si="526"/>
        <v>0</v>
      </c>
      <c r="U2079" s="578">
        <f t="shared" si="527"/>
        <v>0</v>
      </c>
      <c r="V2079" s="579"/>
      <c r="W2079" s="566" t="str">
        <f>IF(U2077&gt;0,"xx",IF(P2077&gt;0,"xy",""))</f>
        <v/>
      </c>
      <c r="X2079" s="586" t="str">
        <f t="shared" si="522"/>
        <v/>
      </c>
      <c r="Y2079" s="586" t="str">
        <f t="shared" si="531"/>
        <v/>
      </c>
      <c r="Z2079" s="586" t="str">
        <f t="shared" si="517"/>
        <v/>
      </c>
    </row>
    <row r="2080" spans="1:26" ht="12" hidden="1" thickBot="1" x14ac:dyDescent="0.25">
      <c r="A2080" s="567" t="s">
        <v>168</v>
      </c>
      <c r="B2080" s="644" t="s">
        <v>168</v>
      </c>
      <c r="C2080" s="645"/>
      <c r="D2080" s="422" t="s">
        <v>347</v>
      </c>
      <c r="E2080" s="423"/>
      <c r="F2080" s="424">
        <v>20</v>
      </c>
      <c r="G2080" s="425">
        <v>0.39</v>
      </c>
      <c r="H2080" s="663">
        <f t="shared" si="539"/>
        <v>9.3912000000000013</v>
      </c>
      <c r="I2080" s="420"/>
      <c r="J2080" s="420"/>
      <c r="K2080" s="421">
        <f t="shared" si="525"/>
        <v>0</v>
      </c>
      <c r="L2080" s="647"/>
      <c r="M2080" s="723"/>
      <c r="N2080" s="576">
        <f t="shared" si="536"/>
        <v>0</v>
      </c>
      <c r="O2080" s="577">
        <f t="shared" si="528"/>
        <v>0</v>
      </c>
      <c r="P2080" s="578">
        <f t="shared" si="529"/>
        <v>0</v>
      </c>
      <c r="Q2080" s="765"/>
      <c r="R2080" s="723"/>
      <c r="S2080" s="723"/>
      <c r="T2080" s="577">
        <f t="shared" si="526"/>
        <v>0</v>
      </c>
      <c r="U2080" s="578">
        <f t="shared" si="527"/>
        <v>0</v>
      </c>
      <c r="V2080" s="579"/>
      <c r="W2080" s="566" t="str">
        <f>IF(U2077&gt;0,"xx",IF(P2077&gt;0,"xy",""))</f>
        <v/>
      </c>
      <c r="X2080" s="586" t="str">
        <f t="shared" si="522"/>
        <v/>
      </c>
      <c r="Y2080" s="586" t="str">
        <f t="shared" si="531"/>
        <v/>
      </c>
      <c r="Z2080" s="586" t="str">
        <f t="shared" si="517"/>
        <v/>
      </c>
    </row>
    <row r="2081" spans="1:26" ht="12" hidden="1" thickBot="1" x14ac:dyDescent="0.25">
      <c r="A2081" s="567">
        <v>610800</v>
      </c>
      <c r="B2081" s="644" t="s">
        <v>1681</v>
      </c>
      <c r="C2081" s="645" t="s">
        <v>206</v>
      </c>
      <c r="D2081" s="422" t="s">
        <v>580</v>
      </c>
      <c r="E2081" s="423"/>
      <c r="F2081" s="424"/>
      <c r="G2081" s="425"/>
      <c r="H2081" s="651">
        <f>SUM(H2082:H2084)</f>
        <v>16.864806000000002</v>
      </c>
      <c r="I2081" s="420">
        <v>409.69499999999999</v>
      </c>
      <c r="J2081" s="420">
        <f>IF(ISBLANK(I2081),"",SUM(H2081:I2081))</f>
        <v>426.55980599999998</v>
      </c>
      <c r="K2081" s="421">
        <f t="shared" si="525"/>
        <v>506.8</v>
      </c>
      <c r="L2081" s="647" t="s">
        <v>19</v>
      </c>
      <c r="M2081" s="576"/>
      <c r="N2081" s="576">
        <f t="shared" si="536"/>
        <v>0</v>
      </c>
      <c r="O2081" s="577">
        <f t="shared" si="528"/>
        <v>0</v>
      </c>
      <c r="P2081" s="578">
        <f t="shared" si="529"/>
        <v>0</v>
      </c>
      <c r="Q2081" s="765"/>
      <c r="R2081" s="576">
        <f>M2081</f>
        <v>0</v>
      </c>
      <c r="S2081" s="576">
        <f>N2081</f>
        <v>0</v>
      </c>
      <c r="T2081" s="577">
        <f t="shared" si="526"/>
        <v>0</v>
      </c>
      <c r="U2081" s="578">
        <f t="shared" si="527"/>
        <v>0</v>
      </c>
      <c r="V2081" s="579"/>
      <c r="W2081" s="566"/>
      <c r="X2081" s="586" t="str">
        <f t="shared" si="522"/>
        <v/>
      </c>
      <c r="Y2081" s="586" t="str">
        <f t="shared" si="531"/>
        <v/>
      </c>
      <c r="Z2081" s="586" t="str">
        <f t="shared" si="517"/>
        <v/>
      </c>
    </row>
    <row r="2082" spans="1:26" ht="12" hidden="1" thickBot="1" x14ac:dyDescent="0.25">
      <c r="A2082" s="567" t="s">
        <v>168</v>
      </c>
      <c r="B2082" s="644" t="s">
        <v>168</v>
      </c>
      <c r="C2082" s="645"/>
      <c r="D2082" s="422" t="s">
        <v>212</v>
      </c>
      <c r="E2082" s="423"/>
      <c r="F2082" s="424">
        <v>500</v>
      </c>
      <c r="G2082" s="425">
        <v>2.8999999999999998E-3</v>
      </c>
      <c r="H2082" s="649">
        <f>IF(F2082&lt;=30,(0.78*F2082+7.82)*G2082,((0.78*30+7.82)+0.78*(F2082-30))*G2082)</f>
        <v>1.153678</v>
      </c>
      <c r="I2082" s="420"/>
      <c r="J2082" s="420"/>
      <c r="K2082" s="421">
        <f t="shared" si="525"/>
        <v>0</v>
      </c>
      <c r="L2082" s="647"/>
      <c r="M2082" s="723"/>
      <c r="N2082" s="576">
        <f t="shared" si="536"/>
        <v>0</v>
      </c>
      <c r="O2082" s="577">
        <f t="shared" si="528"/>
        <v>0</v>
      </c>
      <c r="P2082" s="578">
        <f t="shared" si="529"/>
        <v>0</v>
      </c>
      <c r="Q2082" s="765"/>
      <c r="R2082" s="723"/>
      <c r="S2082" s="723"/>
      <c r="T2082" s="577">
        <f t="shared" si="526"/>
        <v>0</v>
      </c>
      <c r="U2082" s="578">
        <f t="shared" si="527"/>
        <v>0</v>
      </c>
      <c r="V2082" s="579"/>
      <c r="W2082" s="566" t="str">
        <f>IF(U2081&gt;0,"xx",IF(P2081&gt;0,"xy",""))</f>
        <v/>
      </c>
      <c r="X2082" s="586" t="str">
        <f t="shared" si="522"/>
        <v/>
      </c>
      <c r="Y2082" s="586" t="str">
        <f t="shared" si="531"/>
        <v/>
      </c>
      <c r="Z2082" s="586" t="str">
        <f t="shared" si="517"/>
        <v/>
      </c>
    </row>
    <row r="2083" spans="1:26" ht="12" hidden="1" thickBot="1" x14ac:dyDescent="0.25">
      <c r="A2083" s="567" t="s">
        <v>168</v>
      </c>
      <c r="B2083" s="644" t="s">
        <v>168</v>
      </c>
      <c r="C2083" s="645"/>
      <c r="D2083" s="422" t="s">
        <v>248</v>
      </c>
      <c r="E2083" s="423"/>
      <c r="F2083" s="424">
        <v>180</v>
      </c>
      <c r="G2083" s="425">
        <v>1.5100000000000001E-2</v>
      </c>
      <c r="H2083" s="663">
        <f t="shared" ref="H2083:H2084" si="540">IF(F2083&lt;=30,(1.07*F2083+2.68)*G2083,((1.07*30+2.68)+1.07*(F2083-30))*G2083)</f>
        <v>2.948728</v>
      </c>
      <c r="I2083" s="420"/>
      <c r="J2083" s="420"/>
      <c r="K2083" s="421">
        <f t="shared" si="525"/>
        <v>0</v>
      </c>
      <c r="L2083" s="647"/>
      <c r="M2083" s="723"/>
      <c r="N2083" s="576">
        <f t="shared" si="536"/>
        <v>0</v>
      </c>
      <c r="O2083" s="577">
        <f t="shared" si="528"/>
        <v>0</v>
      </c>
      <c r="P2083" s="578">
        <f t="shared" si="529"/>
        <v>0</v>
      </c>
      <c r="Q2083" s="765"/>
      <c r="R2083" s="723"/>
      <c r="S2083" s="723"/>
      <c r="T2083" s="577">
        <f t="shared" si="526"/>
        <v>0</v>
      </c>
      <c r="U2083" s="578">
        <f t="shared" si="527"/>
        <v>0</v>
      </c>
      <c r="V2083" s="579"/>
      <c r="W2083" s="566" t="str">
        <f>IF(U2081&gt;0,"xx",IF(P2081&gt;0,"xy",""))</f>
        <v/>
      </c>
      <c r="X2083" s="586" t="str">
        <f t="shared" si="522"/>
        <v/>
      </c>
      <c r="Y2083" s="586" t="str">
        <f t="shared" si="531"/>
        <v/>
      </c>
      <c r="Z2083" s="586" t="str">
        <f t="shared" si="517"/>
        <v/>
      </c>
    </row>
    <row r="2084" spans="1:26" ht="12" hidden="1" thickBot="1" x14ac:dyDescent="0.25">
      <c r="A2084" s="567" t="s">
        <v>168</v>
      </c>
      <c r="B2084" s="644" t="s">
        <v>168</v>
      </c>
      <c r="C2084" s="645"/>
      <c r="D2084" s="422" t="s">
        <v>347</v>
      </c>
      <c r="E2084" s="423"/>
      <c r="F2084" s="424">
        <v>20</v>
      </c>
      <c r="G2084" s="425">
        <v>0.53</v>
      </c>
      <c r="H2084" s="663">
        <f t="shared" si="540"/>
        <v>12.762400000000001</v>
      </c>
      <c r="I2084" s="420"/>
      <c r="J2084" s="420"/>
      <c r="K2084" s="421">
        <f t="shared" si="525"/>
        <v>0</v>
      </c>
      <c r="L2084" s="647"/>
      <c r="M2084" s="723"/>
      <c r="N2084" s="576">
        <f t="shared" si="536"/>
        <v>0</v>
      </c>
      <c r="O2084" s="577">
        <f t="shared" si="528"/>
        <v>0</v>
      </c>
      <c r="P2084" s="578">
        <f t="shared" si="529"/>
        <v>0</v>
      </c>
      <c r="Q2084" s="765"/>
      <c r="R2084" s="723"/>
      <c r="S2084" s="723"/>
      <c r="T2084" s="577">
        <f t="shared" si="526"/>
        <v>0</v>
      </c>
      <c r="U2084" s="578">
        <f t="shared" si="527"/>
        <v>0</v>
      </c>
      <c r="V2084" s="579"/>
      <c r="W2084" s="566" t="str">
        <f>IF(U2081&gt;0,"xx",IF(P2081&gt;0,"xy",""))</f>
        <v/>
      </c>
      <c r="X2084" s="586" t="str">
        <f t="shared" si="522"/>
        <v/>
      </c>
      <c r="Y2084" s="586" t="str">
        <f t="shared" si="531"/>
        <v/>
      </c>
      <c r="Z2084" s="586" t="str">
        <f t="shared" si="517"/>
        <v/>
      </c>
    </row>
    <row r="2085" spans="1:26" ht="12" hidden="1" thickBot="1" x14ac:dyDescent="0.25">
      <c r="A2085" s="567">
        <v>610800</v>
      </c>
      <c r="B2085" s="644" t="s">
        <v>1682</v>
      </c>
      <c r="C2085" s="645" t="s">
        <v>206</v>
      </c>
      <c r="D2085" s="422" t="s">
        <v>386</v>
      </c>
      <c r="E2085" s="423"/>
      <c r="F2085" s="424"/>
      <c r="G2085" s="425"/>
      <c r="H2085" s="651">
        <f>SUM(H2086:H2088)</f>
        <v>20.687328000000001</v>
      </c>
      <c r="I2085" s="420">
        <v>517.74</v>
      </c>
      <c r="J2085" s="420">
        <f>IF(ISBLANK(I2085),"",SUM(H2085:I2085))</f>
        <v>538.42732799999999</v>
      </c>
      <c r="K2085" s="421">
        <f t="shared" si="525"/>
        <v>639.71</v>
      </c>
      <c r="L2085" s="647" t="s">
        <v>19</v>
      </c>
      <c r="M2085" s="576"/>
      <c r="N2085" s="576">
        <f t="shared" si="536"/>
        <v>0</v>
      </c>
      <c r="O2085" s="577">
        <f t="shared" si="528"/>
        <v>0</v>
      </c>
      <c r="P2085" s="578">
        <f t="shared" si="529"/>
        <v>0</v>
      </c>
      <c r="Q2085" s="765"/>
      <c r="R2085" s="576">
        <f>M2085</f>
        <v>0</v>
      </c>
      <c r="S2085" s="576">
        <f>N2085</f>
        <v>0</v>
      </c>
      <c r="T2085" s="577">
        <f t="shared" si="526"/>
        <v>0</v>
      </c>
      <c r="U2085" s="578">
        <f t="shared" si="527"/>
        <v>0</v>
      </c>
      <c r="V2085" s="579"/>
      <c r="W2085" s="566"/>
      <c r="X2085" s="586" t="str">
        <f t="shared" si="522"/>
        <v/>
      </c>
      <c r="Y2085" s="586" t="str">
        <f t="shared" si="531"/>
        <v/>
      </c>
      <c r="Z2085" s="586" t="str">
        <f t="shared" si="517"/>
        <v/>
      </c>
    </row>
    <row r="2086" spans="1:26" ht="12" hidden="1" thickBot="1" x14ac:dyDescent="0.25">
      <c r="A2086" s="567" t="s">
        <v>168</v>
      </c>
      <c r="B2086" s="644" t="s">
        <v>168</v>
      </c>
      <c r="C2086" s="645"/>
      <c r="D2086" s="422" t="s">
        <v>212</v>
      </c>
      <c r="E2086" s="423"/>
      <c r="F2086" s="424">
        <v>500</v>
      </c>
      <c r="G2086" s="425">
        <v>3.2000000000000002E-3</v>
      </c>
      <c r="H2086" s="649">
        <f>IF(F2086&lt;=30,(0.78*F2086+7.82)*G2086,((0.78*30+7.82)+0.78*(F2086-30))*G2086)</f>
        <v>1.2730240000000002</v>
      </c>
      <c r="I2086" s="420"/>
      <c r="J2086" s="420"/>
      <c r="K2086" s="421">
        <f t="shared" si="525"/>
        <v>0</v>
      </c>
      <c r="L2086" s="647"/>
      <c r="M2086" s="723"/>
      <c r="N2086" s="576">
        <f t="shared" si="536"/>
        <v>0</v>
      </c>
      <c r="O2086" s="577">
        <f t="shared" si="528"/>
        <v>0</v>
      </c>
      <c r="P2086" s="578">
        <f t="shared" si="529"/>
        <v>0</v>
      </c>
      <c r="Q2086" s="765"/>
      <c r="R2086" s="723"/>
      <c r="S2086" s="723"/>
      <c r="T2086" s="577">
        <f t="shared" si="526"/>
        <v>0</v>
      </c>
      <c r="U2086" s="578">
        <f t="shared" si="527"/>
        <v>0</v>
      </c>
      <c r="V2086" s="579"/>
      <c r="W2086" s="566" t="str">
        <f>IF(U2085&gt;0,"xx",IF(P2085&gt;0,"xy",""))</f>
        <v/>
      </c>
      <c r="X2086" s="586" t="str">
        <f t="shared" si="522"/>
        <v/>
      </c>
      <c r="Y2086" s="586" t="str">
        <f t="shared" si="531"/>
        <v/>
      </c>
      <c r="Z2086" s="586" t="str">
        <f t="shared" si="517"/>
        <v/>
      </c>
    </row>
    <row r="2087" spans="1:26" ht="12" hidden="1" thickBot="1" x14ac:dyDescent="0.25">
      <c r="A2087" s="567" t="s">
        <v>168</v>
      </c>
      <c r="B2087" s="644" t="s">
        <v>168</v>
      </c>
      <c r="C2087" s="645"/>
      <c r="D2087" s="422" t="s">
        <v>248</v>
      </c>
      <c r="E2087" s="423"/>
      <c r="F2087" s="424">
        <v>180</v>
      </c>
      <c r="G2087" s="425">
        <v>1.6799999999999999E-2</v>
      </c>
      <c r="H2087" s="663">
        <f t="shared" ref="H2087:H2088" si="541">IF(F2087&lt;=30,(1.07*F2087+2.68)*G2087,((1.07*30+2.68)+1.07*(F2087-30))*G2087)</f>
        <v>3.2807039999999996</v>
      </c>
      <c r="I2087" s="420"/>
      <c r="J2087" s="420"/>
      <c r="K2087" s="421">
        <f t="shared" si="525"/>
        <v>0</v>
      </c>
      <c r="L2087" s="647"/>
      <c r="M2087" s="723"/>
      <c r="N2087" s="576">
        <f t="shared" si="536"/>
        <v>0</v>
      </c>
      <c r="O2087" s="577">
        <f t="shared" si="528"/>
        <v>0</v>
      </c>
      <c r="P2087" s="578">
        <f t="shared" si="529"/>
        <v>0</v>
      </c>
      <c r="Q2087" s="765"/>
      <c r="R2087" s="723"/>
      <c r="S2087" s="723"/>
      <c r="T2087" s="577">
        <f t="shared" si="526"/>
        <v>0</v>
      </c>
      <c r="U2087" s="578">
        <f t="shared" si="527"/>
        <v>0</v>
      </c>
      <c r="V2087" s="579"/>
      <c r="W2087" s="566" t="str">
        <f>IF(U2085&gt;0,"xx",IF(P2085&gt;0,"xy",""))</f>
        <v/>
      </c>
      <c r="X2087" s="586" t="str">
        <f t="shared" si="522"/>
        <v/>
      </c>
      <c r="Y2087" s="586" t="str">
        <f t="shared" si="531"/>
        <v/>
      </c>
      <c r="Z2087" s="586" t="str">
        <f t="shared" si="517"/>
        <v/>
      </c>
    </row>
    <row r="2088" spans="1:26" ht="12" hidden="1" thickBot="1" x14ac:dyDescent="0.25">
      <c r="A2088" s="567" t="s">
        <v>168</v>
      </c>
      <c r="B2088" s="644" t="s">
        <v>168</v>
      </c>
      <c r="C2088" s="645"/>
      <c r="D2088" s="422" t="s">
        <v>347</v>
      </c>
      <c r="E2088" s="423"/>
      <c r="F2088" s="424">
        <v>20</v>
      </c>
      <c r="G2088" s="425">
        <v>0.67</v>
      </c>
      <c r="H2088" s="663">
        <f t="shared" si="541"/>
        <v>16.133600000000001</v>
      </c>
      <c r="I2088" s="420"/>
      <c r="J2088" s="420"/>
      <c r="K2088" s="421">
        <f t="shared" si="525"/>
        <v>0</v>
      </c>
      <c r="L2088" s="647"/>
      <c r="M2088" s="723"/>
      <c r="N2088" s="576">
        <f t="shared" si="536"/>
        <v>0</v>
      </c>
      <c r="O2088" s="577">
        <f t="shared" si="528"/>
        <v>0</v>
      </c>
      <c r="P2088" s="578">
        <f t="shared" si="529"/>
        <v>0</v>
      </c>
      <c r="Q2088" s="765"/>
      <c r="R2088" s="723"/>
      <c r="S2088" s="723"/>
      <c r="T2088" s="577">
        <f t="shared" si="526"/>
        <v>0</v>
      </c>
      <c r="U2088" s="578">
        <f t="shared" si="527"/>
        <v>0</v>
      </c>
      <c r="V2088" s="579"/>
      <c r="W2088" s="566" t="str">
        <f>IF(U2085&gt;0,"xx",IF(P2085&gt;0,"xy",""))</f>
        <v/>
      </c>
      <c r="X2088" s="586" t="str">
        <f t="shared" si="522"/>
        <v/>
      </c>
      <c r="Y2088" s="586" t="str">
        <f t="shared" si="531"/>
        <v/>
      </c>
      <c r="Z2088" s="586" t="str">
        <f t="shared" ref="Z2088:Z2151" si="542">IF(W2088="X","x",IF(U2088&gt;0,"x",""))</f>
        <v/>
      </c>
    </row>
    <row r="2089" spans="1:26" ht="12" hidden="1" thickBot="1" x14ac:dyDescent="0.25">
      <c r="A2089" s="567">
        <v>611000</v>
      </c>
      <c r="B2089" s="644" t="s">
        <v>1689</v>
      </c>
      <c r="C2089" s="645" t="s">
        <v>206</v>
      </c>
      <c r="D2089" s="422" t="s">
        <v>581</v>
      </c>
      <c r="E2089" s="423"/>
      <c r="F2089" s="424"/>
      <c r="G2089" s="425"/>
      <c r="H2089" s="651">
        <f>SUM(H2090:H2092)</f>
        <v>25.798960000000001</v>
      </c>
      <c r="I2089" s="420">
        <v>634.35500000000002</v>
      </c>
      <c r="J2089" s="420">
        <f>IF(ISBLANK(I2089),"",SUM(H2089:I2089))</f>
        <v>660.15395999999998</v>
      </c>
      <c r="K2089" s="421">
        <f t="shared" si="525"/>
        <v>784.33</v>
      </c>
      <c r="L2089" s="647" t="s">
        <v>19</v>
      </c>
      <c r="M2089" s="576"/>
      <c r="N2089" s="576">
        <f t="shared" si="536"/>
        <v>0</v>
      </c>
      <c r="O2089" s="577">
        <f t="shared" si="528"/>
        <v>0</v>
      </c>
      <c r="P2089" s="578">
        <f t="shared" si="529"/>
        <v>0</v>
      </c>
      <c r="Q2089" s="765"/>
      <c r="R2089" s="576">
        <f>M2089</f>
        <v>0</v>
      </c>
      <c r="S2089" s="576">
        <f>N2089</f>
        <v>0</v>
      </c>
      <c r="T2089" s="577">
        <f t="shared" si="526"/>
        <v>0</v>
      </c>
      <c r="U2089" s="578">
        <f t="shared" si="527"/>
        <v>0</v>
      </c>
      <c r="V2089" s="579"/>
      <c r="W2089" s="566"/>
      <c r="X2089" s="586" t="str">
        <f t="shared" si="522"/>
        <v/>
      </c>
      <c r="Y2089" s="586" t="str">
        <f t="shared" si="531"/>
        <v/>
      </c>
      <c r="Z2089" s="586" t="str">
        <f t="shared" si="542"/>
        <v/>
      </c>
    </row>
    <row r="2090" spans="1:26" ht="12" hidden="1" thickBot="1" x14ac:dyDescent="0.25">
      <c r="A2090" s="567" t="s">
        <v>168</v>
      </c>
      <c r="B2090" s="644" t="s">
        <v>168</v>
      </c>
      <c r="C2090" s="645"/>
      <c r="D2090" s="422" t="s">
        <v>212</v>
      </c>
      <c r="E2090" s="423"/>
      <c r="F2090" s="424">
        <v>500</v>
      </c>
      <c r="G2090" s="425">
        <v>4.0000000000000001E-3</v>
      </c>
      <c r="H2090" s="649">
        <f>IF(F2090&lt;=30,(0.78*F2090+7.82)*G2090,((0.78*30+7.82)+0.78*(F2090-30))*G2090)</f>
        <v>1.5912800000000002</v>
      </c>
      <c r="I2090" s="420"/>
      <c r="J2090" s="420"/>
      <c r="K2090" s="421">
        <f t="shared" si="525"/>
        <v>0</v>
      </c>
      <c r="L2090" s="647"/>
      <c r="M2090" s="723"/>
      <c r="N2090" s="576">
        <f t="shared" si="536"/>
        <v>0</v>
      </c>
      <c r="O2090" s="577">
        <f t="shared" si="528"/>
        <v>0</v>
      </c>
      <c r="P2090" s="578">
        <f t="shared" si="529"/>
        <v>0</v>
      </c>
      <c r="Q2090" s="765"/>
      <c r="R2090" s="723"/>
      <c r="S2090" s="723"/>
      <c r="T2090" s="577">
        <f t="shared" si="526"/>
        <v>0</v>
      </c>
      <c r="U2090" s="578">
        <f t="shared" si="527"/>
        <v>0</v>
      </c>
      <c r="V2090" s="579"/>
      <c r="W2090" s="566" t="str">
        <f>IF(U2089&gt;0,"xx",IF(P2089&gt;0,"xy",""))</f>
        <v/>
      </c>
      <c r="X2090" s="586" t="str">
        <f t="shared" si="522"/>
        <v/>
      </c>
      <c r="Y2090" s="586" t="str">
        <f t="shared" si="531"/>
        <v/>
      </c>
      <c r="Z2090" s="586" t="str">
        <f t="shared" si="542"/>
        <v/>
      </c>
    </row>
    <row r="2091" spans="1:26" ht="12" hidden="1" thickBot="1" x14ac:dyDescent="0.25">
      <c r="A2091" s="567" t="s">
        <v>168</v>
      </c>
      <c r="B2091" s="644" t="s">
        <v>168</v>
      </c>
      <c r="C2091" s="645"/>
      <c r="D2091" s="422" t="s">
        <v>248</v>
      </c>
      <c r="E2091" s="423"/>
      <c r="F2091" s="424">
        <v>180</v>
      </c>
      <c r="G2091" s="425">
        <v>2.1000000000000001E-2</v>
      </c>
      <c r="H2091" s="663">
        <f t="shared" ref="H2091:H2092" si="543">IF(F2091&lt;=30,(1.07*F2091+2.68)*G2091,((1.07*30+2.68)+1.07*(F2091-30))*G2091)</f>
        <v>4.1008800000000001</v>
      </c>
      <c r="I2091" s="420"/>
      <c r="J2091" s="420"/>
      <c r="K2091" s="421">
        <f t="shared" si="525"/>
        <v>0</v>
      </c>
      <c r="L2091" s="647"/>
      <c r="M2091" s="723"/>
      <c r="N2091" s="576">
        <f t="shared" si="536"/>
        <v>0</v>
      </c>
      <c r="O2091" s="577">
        <f t="shared" si="528"/>
        <v>0</v>
      </c>
      <c r="P2091" s="578">
        <f t="shared" si="529"/>
        <v>0</v>
      </c>
      <c r="Q2091" s="765"/>
      <c r="R2091" s="723"/>
      <c r="S2091" s="723"/>
      <c r="T2091" s="577">
        <f t="shared" si="526"/>
        <v>0</v>
      </c>
      <c r="U2091" s="578">
        <f t="shared" si="527"/>
        <v>0</v>
      </c>
      <c r="V2091" s="579"/>
      <c r="W2091" s="566" t="str">
        <f>IF(U2089&gt;0,"xx",IF(P2089&gt;0,"xy",""))</f>
        <v/>
      </c>
      <c r="X2091" s="586" t="str">
        <f t="shared" si="522"/>
        <v/>
      </c>
      <c r="Y2091" s="586" t="str">
        <f t="shared" si="531"/>
        <v/>
      </c>
      <c r="Z2091" s="586" t="str">
        <f t="shared" si="542"/>
        <v/>
      </c>
    </row>
    <row r="2092" spans="1:26" ht="12" hidden="1" thickBot="1" x14ac:dyDescent="0.25">
      <c r="A2092" s="567" t="s">
        <v>168</v>
      </c>
      <c r="B2092" s="644" t="s">
        <v>168</v>
      </c>
      <c r="C2092" s="645"/>
      <c r="D2092" s="422" t="s">
        <v>347</v>
      </c>
      <c r="E2092" s="423"/>
      <c r="F2092" s="424">
        <v>20</v>
      </c>
      <c r="G2092" s="425">
        <v>0.83499999999999996</v>
      </c>
      <c r="H2092" s="663">
        <f t="shared" si="543"/>
        <v>20.1068</v>
      </c>
      <c r="I2092" s="420"/>
      <c r="J2092" s="420"/>
      <c r="K2092" s="421">
        <f t="shared" si="525"/>
        <v>0</v>
      </c>
      <c r="L2092" s="647"/>
      <c r="M2092" s="723"/>
      <c r="N2092" s="576">
        <f t="shared" si="536"/>
        <v>0</v>
      </c>
      <c r="O2092" s="577">
        <f t="shared" si="528"/>
        <v>0</v>
      </c>
      <c r="P2092" s="578">
        <f t="shared" si="529"/>
        <v>0</v>
      </c>
      <c r="Q2092" s="765"/>
      <c r="R2092" s="723"/>
      <c r="S2092" s="723"/>
      <c r="T2092" s="577">
        <f t="shared" si="526"/>
        <v>0</v>
      </c>
      <c r="U2092" s="578">
        <f t="shared" si="527"/>
        <v>0</v>
      </c>
      <c r="V2092" s="579"/>
      <c r="W2092" s="566" t="str">
        <f>IF(U2089&gt;0,"xx",IF(P2089&gt;0,"xy",""))</f>
        <v/>
      </c>
      <c r="X2092" s="586" t="str">
        <f t="shared" si="522"/>
        <v/>
      </c>
      <c r="Y2092" s="586" t="str">
        <f t="shared" si="531"/>
        <v/>
      </c>
      <c r="Z2092" s="586" t="str">
        <f t="shared" si="542"/>
        <v/>
      </c>
    </row>
    <row r="2093" spans="1:26" ht="12" hidden="1" thickBot="1" x14ac:dyDescent="0.25">
      <c r="A2093" s="567">
        <v>611000</v>
      </c>
      <c r="B2093" s="644" t="s">
        <v>1690</v>
      </c>
      <c r="C2093" s="645" t="s">
        <v>206</v>
      </c>
      <c r="D2093" s="422" t="s">
        <v>387</v>
      </c>
      <c r="E2093" s="423"/>
      <c r="F2093" s="424"/>
      <c r="G2093" s="425"/>
      <c r="H2093" s="651">
        <f>SUM(H2094:H2096)</f>
        <v>30.910592000000001</v>
      </c>
      <c r="I2093" s="420">
        <v>750.97</v>
      </c>
      <c r="J2093" s="420">
        <f>IF(ISBLANK(I2093),"",SUM(H2093:I2093))</f>
        <v>781.88059199999998</v>
      </c>
      <c r="K2093" s="421">
        <f t="shared" si="525"/>
        <v>928.95</v>
      </c>
      <c r="L2093" s="647" t="s">
        <v>19</v>
      </c>
      <c r="M2093" s="576"/>
      <c r="N2093" s="576">
        <f t="shared" si="536"/>
        <v>0</v>
      </c>
      <c r="O2093" s="577">
        <f t="shared" si="528"/>
        <v>0</v>
      </c>
      <c r="P2093" s="578">
        <f t="shared" si="529"/>
        <v>0</v>
      </c>
      <c r="Q2093" s="765"/>
      <c r="R2093" s="576">
        <f>M2093</f>
        <v>0</v>
      </c>
      <c r="S2093" s="576">
        <f>N2093</f>
        <v>0</v>
      </c>
      <c r="T2093" s="577">
        <f t="shared" si="526"/>
        <v>0</v>
      </c>
      <c r="U2093" s="578">
        <f t="shared" si="527"/>
        <v>0</v>
      </c>
      <c r="V2093" s="579"/>
      <c r="W2093" s="566"/>
      <c r="X2093" s="586" t="str">
        <f t="shared" si="522"/>
        <v/>
      </c>
      <c r="Y2093" s="586" t="str">
        <f t="shared" si="531"/>
        <v/>
      </c>
      <c r="Z2093" s="586" t="str">
        <f t="shared" si="542"/>
        <v/>
      </c>
    </row>
    <row r="2094" spans="1:26" ht="12" hidden="1" thickBot="1" x14ac:dyDescent="0.25">
      <c r="A2094" s="567" t="s">
        <v>168</v>
      </c>
      <c r="B2094" s="644" t="s">
        <v>168</v>
      </c>
      <c r="C2094" s="645"/>
      <c r="D2094" s="422" t="s">
        <v>212</v>
      </c>
      <c r="E2094" s="423"/>
      <c r="F2094" s="424">
        <v>500</v>
      </c>
      <c r="G2094" s="425">
        <v>4.7999999999999996E-3</v>
      </c>
      <c r="H2094" s="649">
        <f>IF(F2094&lt;=30,(0.78*F2094+7.82)*G2094,((0.78*30+7.82)+0.78*(F2094-30))*G2094)</f>
        <v>1.9095360000000001</v>
      </c>
      <c r="I2094" s="420"/>
      <c r="J2094" s="420"/>
      <c r="K2094" s="421">
        <f t="shared" si="525"/>
        <v>0</v>
      </c>
      <c r="L2094" s="647"/>
      <c r="M2094" s="723"/>
      <c r="N2094" s="576">
        <f t="shared" si="536"/>
        <v>0</v>
      </c>
      <c r="O2094" s="577">
        <f t="shared" si="528"/>
        <v>0</v>
      </c>
      <c r="P2094" s="578">
        <f t="shared" si="529"/>
        <v>0</v>
      </c>
      <c r="Q2094" s="765"/>
      <c r="R2094" s="723"/>
      <c r="S2094" s="723"/>
      <c r="T2094" s="577">
        <f t="shared" si="526"/>
        <v>0</v>
      </c>
      <c r="U2094" s="578">
        <f t="shared" si="527"/>
        <v>0</v>
      </c>
      <c r="V2094" s="579"/>
      <c r="W2094" s="566" t="str">
        <f>IF(U2093&gt;0,"xx",IF(P2093&gt;0,"xy",""))</f>
        <v/>
      </c>
      <c r="X2094" s="586" t="str">
        <f t="shared" si="522"/>
        <v/>
      </c>
      <c r="Y2094" s="586" t="str">
        <f t="shared" si="531"/>
        <v/>
      </c>
      <c r="Z2094" s="586" t="str">
        <f t="shared" si="542"/>
        <v/>
      </c>
    </row>
    <row r="2095" spans="1:26" ht="12" hidden="1" thickBot="1" x14ac:dyDescent="0.25">
      <c r="A2095" s="567" t="s">
        <v>168</v>
      </c>
      <c r="B2095" s="644" t="s">
        <v>168</v>
      </c>
      <c r="C2095" s="645"/>
      <c r="D2095" s="422" t="s">
        <v>248</v>
      </c>
      <c r="E2095" s="423"/>
      <c r="F2095" s="424">
        <v>180</v>
      </c>
      <c r="G2095" s="425">
        <v>2.52E-2</v>
      </c>
      <c r="H2095" s="663">
        <f t="shared" ref="H2095:H2096" si="544">IF(F2095&lt;=30,(1.07*F2095+2.68)*G2095,((1.07*30+2.68)+1.07*(F2095-30))*G2095)</f>
        <v>4.9210560000000001</v>
      </c>
      <c r="I2095" s="420"/>
      <c r="J2095" s="420"/>
      <c r="K2095" s="421">
        <f t="shared" si="525"/>
        <v>0</v>
      </c>
      <c r="L2095" s="647"/>
      <c r="M2095" s="723"/>
      <c r="N2095" s="576">
        <f t="shared" si="536"/>
        <v>0</v>
      </c>
      <c r="O2095" s="577">
        <f t="shared" si="528"/>
        <v>0</v>
      </c>
      <c r="P2095" s="578">
        <f t="shared" si="529"/>
        <v>0</v>
      </c>
      <c r="Q2095" s="765"/>
      <c r="R2095" s="723"/>
      <c r="S2095" s="723"/>
      <c r="T2095" s="577">
        <f t="shared" si="526"/>
        <v>0</v>
      </c>
      <c r="U2095" s="578">
        <f t="shared" si="527"/>
        <v>0</v>
      </c>
      <c r="V2095" s="579"/>
      <c r="W2095" s="566" t="str">
        <f>IF(U2093&gt;0,"xx",IF(P2093&gt;0,"xy",""))</f>
        <v/>
      </c>
      <c r="X2095" s="586" t="str">
        <f t="shared" si="522"/>
        <v/>
      </c>
      <c r="Y2095" s="586" t="str">
        <f t="shared" si="531"/>
        <v/>
      </c>
      <c r="Z2095" s="586" t="str">
        <f t="shared" si="542"/>
        <v/>
      </c>
    </row>
    <row r="2096" spans="1:26" ht="12" hidden="1" thickBot="1" x14ac:dyDescent="0.25">
      <c r="A2096" s="567" t="s">
        <v>168</v>
      </c>
      <c r="B2096" s="644" t="s">
        <v>168</v>
      </c>
      <c r="C2096" s="645"/>
      <c r="D2096" s="422" t="s">
        <v>347</v>
      </c>
      <c r="E2096" s="423"/>
      <c r="F2096" s="424">
        <v>20</v>
      </c>
      <c r="G2096" s="425">
        <v>1</v>
      </c>
      <c r="H2096" s="663">
        <f t="shared" si="544"/>
        <v>24.080000000000002</v>
      </c>
      <c r="I2096" s="420"/>
      <c r="J2096" s="420"/>
      <c r="K2096" s="421">
        <f t="shared" si="525"/>
        <v>0</v>
      </c>
      <c r="L2096" s="647"/>
      <c r="M2096" s="723"/>
      <c r="N2096" s="576">
        <f t="shared" si="536"/>
        <v>0</v>
      </c>
      <c r="O2096" s="577">
        <f t="shared" si="528"/>
        <v>0</v>
      </c>
      <c r="P2096" s="578">
        <f t="shared" si="529"/>
        <v>0</v>
      </c>
      <c r="Q2096" s="765"/>
      <c r="R2096" s="723"/>
      <c r="S2096" s="723"/>
      <c r="T2096" s="577">
        <f t="shared" si="526"/>
        <v>0</v>
      </c>
      <c r="U2096" s="578">
        <f t="shared" si="527"/>
        <v>0</v>
      </c>
      <c r="V2096" s="579"/>
      <c r="W2096" s="566" t="str">
        <f>IF(U2093&gt;0,"xx",IF(P2093&gt;0,"xy",""))</f>
        <v/>
      </c>
      <c r="X2096" s="586" t="str">
        <f t="shared" si="522"/>
        <v/>
      </c>
      <c r="Y2096" s="586" t="str">
        <f t="shared" si="531"/>
        <v/>
      </c>
      <c r="Z2096" s="586" t="str">
        <f t="shared" si="542"/>
        <v/>
      </c>
    </row>
    <row r="2097" spans="1:26" ht="12" hidden="1" thickBot="1" x14ac:dyDescent="0.25">
      <c r="A2097" s="567">
        <v>611200</v>
      </c>
      <c r="B2097" s="644" t="s">
        <v>1692</v>
      </c>
      <c r="C2097" s="645" t="s">
        <v>206</v>
      </c>
      <c r="D2097" s="422" t="s">
        <v>388</v>
      </c>
      <c r="E2097" s="423"/>
      <c r="F2097" s="424"/>
      <c r="G2097" s="425"/>
      <c r="H2097" s="651">
        <f>SUM(H2098:H2100)</f>
        <v>43.822438000000005</v>
      </c>
      <c r="I2097" s="420">
        <v>997.43000000000006</v>
      </c>
      <c r="J2097" s="420">
        <f>IF(ISBLANK(I2097),"",SUM(H2097:I2097))</f>
        <v>1041.252438</v>
      </c>
      <c r="K2097" s="421">
        <f t="shared" si="525"/>
        <v>1237.1099999999999</v>
      </c>
      <c r="L2097" s="647" t="s">
        <v>19</v>
      </c>
      <c r="M2097" s="576"/>
      <c r="N2097" s="576">
        <f t="shared" si="536"/>
        <v>0</v>
      </c>
      <c r="O2097" s="577">
        <f t="shared" si="528"/>
        <v>0</v>
      </c>
      <c r="P2097" s="578">
        <f t="shared" si="529"/>
        <v>0</v>
      </c>
      <c r="Q2097" s="765"/>
      <c r="R2097" s="576">
        <f>M2097</f>
        <v>0</v>
      </c>
      <c r="S2097" s="576">
        <f>N2097</f>
        <v>0</v>
      </c>
      <c r="T2097" s="577">
        <f t="shared" si="526"/>
        <v>0</v>
      </c>
      <c r="U2097" s="578">
        <f t="shared" si="527"/>
        <v>0</v>
      </c>
      <c r="V2097" s="579"/>
      <c r="W2097" s="566"/>
      <c r="X2097" s="586" t="str">
        <f t="shared" si="522"/>
        <v/>
      </c>
      <c r="Y2097" s="586" t="str">
        <f t="shared" si="531"/>
        <v/>
      </c>
      <c r="Z2097" s="586" t="str">
        <f t="shared" si="542"/>
        <v/>
      </c>
    </row>
    <row r="2098" spans="1:26" ht="12" hidden="1" thickBot="1" x14ac:dyDescent="0.25">
      <c r="A2098" s="567" t="s">
        <v>168</v>
      </c>
      <c r="B2098" s="644" t="s">
        <v>168</v>
      </c>
      <c r="C2098" s="645"/>
      <c r="D2098" s="422" t="s">
        <v>212</v>
      </c>
      <c r="E2098" s="423"/>
      <c r="F2098" s="424">
        <v>500</v>
      </c>
      <c r="G2098" s="425">
        <v>6.4999999999999997E-3</v>
      </c>
      <c r="H2098" s="649">
        <f>IF(F2098&lt;=30,(0.78*F2098+7.82)*G2098,((0.78*30+7.82)+0.78*(F2098-30))*G2098)</f>
        <v>2.5858300000000001</v>
      </c>
      <c r="I2098" s="420"/>
      <c r="J2098" s="420"/>
      <c r="K2098" s="421">
        <f t="shared" si="525"/>
        <v>0</v>
      </c>
      <c r="L2098" s="647"/>
      <c r="M2098" s="723"/>
      <c r="N2098" s="576">
        <f t="shared" si="536"/>
        <v>0</v>
      </c>
      <c r="O2098" s="577">
        <f t="shared" si="528"/>
        <v>0</v>
      </c>
      <c r="P2098" s="578">
        <f t="shared" si="529"/>
        <v>0</v>
      </c>
      <c r="Q2098" s="765"/>
      <c r="R2098" s="723"/>
      <c r="S2098" s="723"/>
      <c r="T2098" s="577">
        <f t="shared" si="526"/>
        <v>0</v>
      </c>
      <c r="U2098" s="578">
        <f t="shared" si="527"/>
        <v>0</v>
      </c>
      <c r="V2098" s="579"/>
      <c r="W2098" s="566" t="str">
        <f>IF(U2097&gt;0,"xx",IF(P2097&gt;0,"xy",""))</f>
        <v/>
      </c>
      <c r="X2098" s="586" t="str">
        <f t="shared" si="522"/>
        <v/>
      </c>
      <c r="Y2098" s="586" t="str">
        <f t="shared" si="531"/>
        <v/>
      </c>
      <c r="Z2098" s="586" t="str">
        <f t="shared" si="542"/>
        <v/>
      </c>
    </row>
    <row r="2099" spans="1:26" ht="12" hidden="1" thickBot="1" x14ac:dyDescent="0.25">
      <c r="A2099" s="567" t="s">
        <v>168</v>
      </c>
      <c r="B2099" s="644" t="s">
        <v>168</v>
      </c>
      <c r="C2099" s="645"/>
      <c r="D2099" s="422" t="s">
        <v>248</v>
      </c>
      <c r="E2099" s="423"/>
      <c r="F2099" s="424">
        <v>180</v>
      </c>
      <c r="G2099" s="425">
        <v>3.3599999999999998E-2</v>
      </c>
      <c r="H2099" s="663">
        <f t="shared" ref="H2099:H2100" si="545">IF(F2099&lt;=30,(1.07*F2099+2.68)*G2099,((1.07*30+2.68)+1.07*(F2099-30))*G2099)</f>
        <v>6.5614079999999992</v>
      </c>
      <c r="I2099" s="420"/>
      <c r="J2099" s="420"/>
      <c r="K2099" s="421">
        <f t="shared" si="525"/>
        <v>0</v>
      </c>
      <c r="L2099" s="647"/>
      <c r="M2099" s="723"/>
      <c r="N2099" s="576">
        <f t="shared" si="536"/>
        <v>0</v>
      </c>
      <c r="O2099" s="577">
        <f t="shared" si="528"/>
        <v>0</v>
      </c>
      <c r="P2099" s="578">
        <f t="shared" si="529"/>
        <v>0</v>
      </c>
      <c r="Q2099" s="765"/>
      <c r="R2099" s="723"/>
      <c r="S2099" s="723"/>
      <c r="T2099" s="577">
        <f t="shared" si="526"/>
        <v>0</v>
      </c>
      <c r="U2099" s="578">
        <f t="shared" si="527"/>
        <v>0</v>
      </c>
      <c r="V2099" s="579"/>
      <c r="W2099" s="566" t="str">
        <f>IF(U2097&gt;0,"xx",IF(P2097&gt;0,"xy",""))</f>
        <v/>
      </c>
      <c r="X2099" s="586" t="str">
        <f t="shared" si="522"/>
        <v/>
      </c>
      <c r="Y2099" s="586" t="str">
        <f t="shared" si="531"/>
        <v/>
      </c>
      <c r="Z2099" s="586" t="str">
        <f t="shared" si="542"/>
        <v/>
      </c>
    </row>
    <row r="2100" spans="1:26" ht="12" hidden="1" thickBot="1" x14ac:dyDescent="0.25">
      <c r="A2100" s="567" t="s">
        <v>168</v>
      </c>
      <c r="B2100" s="644" t="s">
        <v>168</v>
      </c>
      <c r="C2100" s="645"/>
      <c r="D2100" s="422" t="s">
        <v>347</v>
      </c>
      <c r="E2100" s="423"/>
      <c r="F2100" s="424">
        <v>20</v>
      </c>
      <c r="G2100" s="425">
        <v>1.44</v>
      </c>
      <c r="H2100" s="663">
        <f t="shared" si="545"/>
        <v>34.675200000000004</v>
      </c>
      <c r="I2100" s="420"/>
      <c r="J2100" s="420"/>
      <c r="K2100" s="421">
        <f t="shared" si="525"/>
        <v>0</v>
      </c>
      <c r="L2100" s="647"/>
      <c r="M2100" s="723"/>
      <c r="N2100" s="576">
        <f t="shared" si="536"/>
        <v>0</v>
      </c>
      <c r="O2100" s="577">
        <f t="shared" si="528"/>
        <v>0</v>
      </c>
      <c r="P2100" s="578">
        <f t="shared" si="529"/>
        <v>0</v>
      </c>
      <c r="Q2100" s="765"/>
      <c r="R2100" s="723"/>
      <c r="S2100" s="723"/>
      <c r="T2100" s="577">
        <f t="shared" si="526"/>
        <v>0</v>
      </c>
      <c r="U2100" s="578">
        <f t="shared" si="527"/>
        <v>0</v>
      </c>
      <c r="V2100" s="579"/>
      <c r="W2100" s="566" t="str">
        <f>IF(U2097&gt;0,"xx",IF(P2097&gt;0,"xy",""))</f>
        <v/>
      </c>
      <c r="X2100" s="586" t="str">
        <f t="shared" si="522"/>
        <v/>
      </c>
      <c r="Y2100" s="586" t="str">
        <f t="shared" si="531"/>
        <v/>
      </c>
      <c r="Z2100" s="586" t="str">
        <f t="shared" si="542"/>
        <v/>
      </c>
    </row>
    <row r="2101" spans="1:26" ht="12" hidden="1" thickBot="1" x14ac:dyDescent="0.25">
      <c r="A2101" s="567">
        <v>611400</v>
      </c>
      <c r="B2101" s="644" t="s">
        <v>1695</v>
      </c>
      <c r="C2101" s="645" t="s">
        <v>206</v>
      </c>
      <c r="D2101" s="422" t="s">
        <v>389</v>
      </c>
      <c r="E2101" s="423"/>
      <c r="F2101" s="424"/>
      <c r="G2101" s="425"/>
      <c r="H2101" s="651">
        <f>SUM(H2102:H2104)</f>
        <v>51.156102000000004</v>
      </c>
      <c r="I2101" s="420">
        <v>1260.26</v>
      </c>
      <c r="J2101" s="420">
        <f>IF(ISBLANK(I2101),"",SUM(H2101:I2101))</f>
        <v>1311.4161019999999</v>
      </c>
      <c r="K2101" s="421">
        <f t="shared" si="525"/>
        <v>1558.09</v>
      </c>
      <c r="L2101" s="647" t="s">
        <v>19</v>
      </c>
      <c r="M2101" s="576"/>
      <c r="N2101" s="576">
        <f t="shared" si="536"/>
        <v>0</v>
      </c>
      <c r="O2101" s="577">
        <f t="shared" si="528"/>
        <v>0</v>
      </c>
      <c r="P2101" s="578">
        <f t="shared" si="529"/>
        <v>0</v>
      </c>
      <c r="Q2101" s="765"/>
      <c r="R2101" s="576">
        <f>M2101</f>
        <v>0</v>
      </c>
      <c r="S2101" s="576">
        <f>N2101</f>
        <v>0</v>
      </c>
      <c r="T2101" s="577">
        <f t="shared" si="526"/>
        <v>0</v>
      </c>
      <c r="U2101" s="578">
        <f t="shared" si="527"/>
        <v>0</v>
      </c>
      <c r="V2101" s="579"/>
      <c r="W2101" s="566"/>
      <c r="X2101" s="586" t="str">
        <f t="shared" si="522"/>
        <v/>
      </c>
      <c r="Y2101" s="586" t="str">
        <f t="shared" si="531"/>
        <v/>
      </c>
      <c r="Z2101" s="586" t="str">
        <f t="shared" si="542"/>
        <v/>
      </c>
    </row>
    <row r="2102" spans="1:26" ht="12" hidden="1" thickBot="1" x14ac:dyDescent="0.25">
      <c r="A2102" s="567" t="s">
        <v>168</v>
      </c>
      <c r="B2102" s="644" t="s">
        <v>168</v>
      </c>
      <c r="C2102" s="645"/>
      <c r="D2102" s="422" t="s">
        <v>212</v>
      </c>
      <c r="E2102" s="423"/>
      <c r="F2102" s="424">
        <v>500</v>
      </c>
      <c r="G2102" s="425">
        <v>8.0999999999999996E-3</v>
      </c>
      <c r="H2102" s="649">
        <f>IF(F2102&lt;=30,(0.78*F2102+7.82)*G2102,((0.78*30+7.82)+0.78*(F2102-30))*G2102)</f>
        <v>3.2223420000000003</v>
      </c>
      <c r="I2102" s="420"/>
      <c r="J2102" s="420" t="str">
        <f>IF(ISBLANK(I2102),"",SUM(H2102:I2102))</f>
        <v/>
      </c>
      <c r="K2102" s="421">
        <f t="shared" si="525"/>
        <v>0</v>
      </c>
      <c r="L2102" s="647"/>
      <c r="M2102" s="723"/>
      <c r="N2102" s="576">
        <f t="shared" si="536"/>
        <v>0</v>
      </c>
      <c r="O2102" s="577">
        <f t="shared" si="528"/>
        <v>0</v>
      </c>
      <c r="P2102" s="578">
        <f t="shared" si="529"/>
        <v>0</v>
      </c>
      <c r="Q2102" s="765"/>
      <c r="R2102" s="723"/>
      <c r="S2102" s="723"/>
      <c r="T2102" s="577">
        <f t="shared" si="526"/>
        <v>0</v>
      </c>
      <c r="U2102" s="578">
        <f t="shared" si="527"/>
        <v>0</v>
      </c>
      <c r="V2102" s="579"/>
      <c r="W2102" s="566" t="str">
        <f>IF(U2101&gt;0,"xx",IF(P2101&gt;0,"xy",""))</f>
        <v/>
      </c>
      <c r="X2102" s="586" t="str">
        <f t="shared" si="522"/>
        <v/>
      </c>
      <c r="Y2102" s="586" t="str">
        <f t="shared" si="531"/>
        <v/>
      </c>
      <c r="Z2102" s="586" t="str">
        <f t="shared" si="542"/>
        <v/>
      </c>
    </row>
    <row r="2103" spans="1:26" ht="12" hidden="1" thickBot="1" x14ac:dyDescent="0.25">
      <c r="A2103" s="567" t="s">
        <v>168</v>
      </c>
      <c r="B2103" s="644" t="s">
        <v>168</v>
      </c>
      <c r="C2103" s="645"/>
      <c r="D2103" s="422" t="s">
        <v>248</v>
      </c>
      <c r="E2103" s="423"/>
      <c r="F2103" s="424">
        <v>180</v>
      </c>
      <c r="G2103" s="425">
        <v>4.2000000000000003E-2</v>
      </c>
      <c r="H2103" s="663">
        <f t="shared" ref="H2103:H2104" si="546">IF(F2103&lt;=30,(1.07*F2103+2.68)*G2103,((1.07*30+2.68)+1.07*(F2103-30))*G2103)</f>
        <v>8.2017600000000002</v>
      </c>
      <c r="I2103" s="420"/>
      <c r="J2103" s="420" t="str">
        <f>IF(ISBLANK(I2103),"",SUM(H2103:I2103))</f>
        <v/>
      </c>
      <c r="K2103" s="421">
        <f t="shared" si="525"/>
        <v>0</v>
      </c>
      <c r="L2103" s="647"/>
      <c r="M2103" s="723"/>
      <c r="N2103" s="576">
        <f t="shared" si="536"/>
        <v>0</v>
      </c>
      <c r="O2103" s="577">
        <f t="shared" si="528"/>
        <v>0</v>
      </c>
      <c r="P2103" s="578">
        <f t="shared" si="529"/>
        <v>0</v>
      </c>
      <c r="Q2103" s="765"/>
      <c r="R2103" s="723"/>
      <c r="S2103" s="723"/>
      <c r="T2103" s="577">
        <f t="shared" si="526"/>
        <v>0</v>
      </c>
      <c r="U2103" s="578">
        <f t="shared" si="527"/>
        <v>0</v>
      </c>
      <c r="V2103" s="579"/>
      <c r="W2103" s="566" t="str">
        <f>IF(U2101&gt;0,"xx",IF(P2101&gt;0,"xy",""))</f>
        <v/>
      </c>
      <c r="X2103" s="586" t="str">
        <f t="shared" si="522"/>
        <v/>
      </c>
      <c r="Y2103" s="586" t="str">
        <f t="shared" si="531"/>
        <v/>
      </c>
      <c r="Z2103" s="586" t="str">
        <f t="shared" si="542"/>
        <v/>
      </c>
    </row>
    <row r="2104" spans="1:26" ht="12" hidden="1" thickBot="1" x14ac:dyDescent="0.25">
      <c r="A2104" s="567" t="s">
        <v>168</v>
      </c>
      <c r="B2104" s="644" t="s">
        <v>168</v>
      </c>
      <c r="C2104" s="645"/>
      <c r="D2104" s="422" t="s">
        <v>347</v>
      </c>
      <c r="E2104" s="423"/>
      <c r="F2104" s="424">
        <v>20</v>
      </c>
      <c r="G2104" s="425">
        <v>1.65</v>
      </c>
      <c r="H2104" s="663">
        <f t="shared" si="546"/>
        <v>39.731999999999999</v>
      </c>
      <c r="I2104" s="420"/>
      <c r="J2104" s="420" t="str">
        <f>IF(ISBLANK(I2104),"",SUM(H2104:I2104))</f>
        <v/>
      </c>
      <c r="K2104" s="421">
        <f t="shared" si="525"/>
        <v>0</v>
      </c>
      <c r="L2104" s="647"/>
      <c r="M2104" s="723"/>
      <c r="N2104" s="576">
        <f t="shared" si="536"/>
        <v>0</v>
      </c>
      <c r="O2104" s="577">
        <f t="shared" si="528"/>
        <v>0</v>
      </c>
      <c r="P2104" s="578">
        <f t="shared" si="529"/>
        <v>0</v>
      </c>
      <c r="Q2104" s="765"/>
      <c r="R2104" s="723"/>
      <c r="S2104" s="723"/>
      <c r="T2104" s="577">
        <f t="shared" si="526"/>
        <v>0</v>
      </c>
      <c r="U2104" s="578">
        <f t="shared" si="527"/>
        <v>0</v>
      </c>
      <c r="V2104" s="579"/>
      <c r="W2104" s="566" t="str">
        <f>IF(U2101&gt;0,"xx",IF(P2101&gt;0,"xy",""))</f>
        <v/>
      </c>
      <c r="X2104" s="586" t="str">
        <f t="shared" si="522"/>
        <v/>
      </c>
      <c r="Y2104" s="586" t="str">
        <f t="shared" si="531"/>
        <v/>
      </c>
      <c r="Z2104" s="586" t="str">
        <f t="shared" si="542"/>
        <v/>
      </c>
    </row>
    <row r="2105" spans="1:26" ht="12" hidden="1" thickBot="1" x14ac:dyDescent="0.25">
      <c r="A2105" s="567">
        <v>611400</v>
      </c>
      <c r="B2105" s="644" t="s">
        <v>1696</v>
      </c>
      <c r="C2105" s="645" t="s">
        <v>206</v>
      </c>
      <c r="D2105" s="422" t="s">
        <v>390</v>
      </c>
      <c r="E2105" s="423"/>
      <c r="F2105" s="424"/>
      <c r="G2105" s="425"/>
      <c r="H2105" s="651">
        <f>SUM(H2106:H2108)</f>
        <v>61.624152000000009</v>
      </c>
      <c r="I2105" s="420">
        <v>1678.6472000000001</v>
      </c>
      <c r="J2105" s="420">
        <f>IF(ISBLANK(I2105),"",SUM(H2105:I2105))</f>
        <v>1740.2713520000002</v>
      </c>
      <c r="K2105" s="421">
        <f t="shared" si="525"/>
        <v>2067.62</v>
      </c>
      <c r="L2105" s="647" t="s">
        <v>19</v>
      </c>
      <c r="M2105" s="576"/>
      <c r="N2105" s="576">
        <f t="shared" si="536"/>
        <v>0</v>
      </c>
      <c r="O2105" s="577">
        <f t="shared" si="528"/>
        <v>0</v>
      </c>
      <c r="P2105" s="578">
        <f t="shared" si="529"/>
        <v>0</v>
      </c>
      <c r="Q2105" s="765"/>
      <c r="R2105" s="576">
        <f>M2105</f>
        <v>0</v>
      </c>
      <c r="S2105" s="576">
        <f>N2105</f>
        <v>0</v>
      </c>
      <c r="T2105" s="577">
        <f t="shared" si="526"/>
        <v>0</v>
      </c>
      <c r="U2105" s="578">
        <f t="shared" si="527"/>
        <v>0</v>
      </c>
      <c r="V2105" s="579"/>
      <c r="W2105" s="566"/>
      <c r="X2105" s="586" t="str">
        <f t="shared" si="522"/>
        <v/>
      </c>
      <c r="Y2105" s="586" t="str">
        <f t="shared" si="531"/>
        <v/>
      </c>
      <c r="Z2105" s="586" t="str">
        <f t="shared" si="542"/>
        <v/>
      </c>
    </row>
    <row r="2106" spans="1:26" ht="12" hidden="1" thickBot="1" x14ac:dyDescent="0.25">
      <c r="A2106" s="567" t="s">
        <v>168</v>
      </c>
      <c r="B2106" s="644" t="s">
        <v>168</v>
      </c>
      <c r="C2106" s="645"/>
      <c r="D2106" s="422" t="s">
        <v>212</v>
      </c>
      <c r="E2106" s="423"/>
      <c r="F2106" s="424">
        <v>500</v>
      </c>
      <c r="G2106" s="425">
        <v>9.1999999999999998E-3</v>
      </c>
      <c r="H2106" s="649">
        <f>IF(F2106&lt;=30,(0.78*F2106+7.82)*G2106,((0.78*30+7.82)+0.78*(F2106-30))*G2106)</f>
        <v>3.6599440000000003</v>
      </c>
      <c r="I2106" s="420"/>
      <c r="J2106" s="420"/>
      <c r="K2106" s="421">
        <f t="shared" si="525"/>
        <v>0</v>
      </c>
      <c r="L2106" s="647"/>
      <c r="M2106" s="723"/>
      <c r="N2106" s="576">
        <f t="shared" si="536"/>
        <v>0</v>
      </c>
      <c r="O2106" s="577">
        <f t="shared" si="528"/>
        <v>0</v>
      </c>
      <c r="P2106" s="578">
        <f t="shared" si="529"/>
        <v>0</v>
      </c>
      <c r="Q2106" s="765"/>
      <c r="R2106" s="723"/>
      <c r="S2106" s="723"/>
      <c r="T2106" s="577">
        <f t="shared" si="526"/>
        <v>0</v>
      </c>
      <c r="U2106" s="578">
        <f t="shared" si="527"/>
        <v>0</v>
      </c>
      <c r="V2106" s="579"/>
      <c r="W2106" s="566" t="str">
        <f>IF(U2105&gt;0,"xx",IF(P2105&gt;0,"xy",""))</f>
        <v/>
      </c>
      <c r="X2106" s="586" t="str">
        <f t="shared" si="522"/>
        <v/>
      </c>
      <c r="Y2106" s="586" t="str">
        <f t="shared" si="531"/>
        <v/>
      </c>
      <c r="Z2106" s="586" t="str">
        <f t="shared" si="542"/>
        <v/>
      </c>
    </row>
    <row r="2107" spans="1:26" ht="12" hidden="1" thickBot="1" x14ac:dyDescent="0.25">
      <c r="A2107" s="567" t="s">
        <v>168</v>
      </c>
      <c r="B2107" s="644" t="s">
        <v>168</v>
      </c>
      <c r="C2107" s="645"/>
      <c r="D2107" s="422" t="s">
        <v>248</v>
      </c>
      <c r="E2107" s="423"/>
      <c r="F2107" s="424">
        <v>180</v>
      </c>
      <c r="G2107" s="425">
        <v>4.7899999999999998E-2</v>
      </c>
      <c r="H2107" s="663">
        <f t="shared" ref="H2107:H2108" si="547">IF(F2107&lt;=30,(1.07*F2107+2.68)*G2107,((1.07*30+2.68)+1.07*(F2107-30))*G2107)</f>
        <v>9.3539119999999993</v>
      </c>
      <c r="I2107" s="420"/>
      <c r="J2107" s="420"/>
      <c r="K2107" s="421">
        <f t="shared" si="525"/>
        <v>0</v>
      </c>
      <c r="L2107" s="647"/>
      <c r="M2107" s="723"/>
      <c r="N2107" s="576">
        <f t="shared" si="536"/>
        <v>0</v>
      </c>
      <c r="O2107" s="577">
        <f t="shared" si="528"/>
        <v>0</v>
      </c>
      <c r="P2107" s="578">
        <f t="shared" si="529"/>
        <v>0</v>
      </c>
      <c r="Q2107" s="765"/>
      <c r="R2107" s="723"/>
      <c r="S2107" s="723"/>
      <c r="T2107" s="577">
        <f t="shared" si="526"/>
        <v>0</v>
      </c>
      <c r="U2107" s="578">
        <f t="shared" si="527"/>
        <v>0</v>
      </c>
      <c r="V2107" s="579"/>
      <c r="W2107" s="566" t="str">
        <f>IF(U2105&gt;0,"xx",IF(P2105&gt;0,"xy",""))</f>
        <v/>
      </c>
      <c r="X2107" s="586" t="str">
        <f t="shared" si="522"/>
        <v/>
      </c>
      <c r="Y2107" s="586" t="str">
        <f t="shared" si="531"/>
        <v/>
      </c>
      <c r="Z2107" s="586" t="str">
        <f t="shared" si="542"/>
        <v/>
      </c>
    </row>
    <row r="2108" spans="1:26" ht="12" hidden="1" thickBot="1" x14ac:dyDescent="0.25">
      <c r="A2108" s="567" t="s">
        <v>168</v>
      </c>
      <c r="B2108" s="644" t="s">
        <v>168</v>
      </c>
      <c r="C2108" s="645"/>
      <c r="D2108" s="422" t="s">
        <v>347</v>
      </c>
      <c r="E2108" s="423"/>
      <c r="F2108" s="424">
        <v>20</v>
      </c>
      <c r="G2108" s="425">
        <v>2.0186999999999999</v>
      </c>
      <c r="H2108" s="663">
        <f t="shared" si="547"/>
        <v>48.610296000000005</v>
      </c>
      <c r="I2108" s="420"/>
      <c r="J2108" s="420"/>
      <c r="K2108" s="421">
        <f t="shared" si="525"/>
        <v>0</v>
      </c>
      <c r="L2108" s="647"/>
      <c r="M2108" s="723"/>
      <c r="N2108" s="576">
        <f t="shared" si="536"/>
        <v>0</v>
      </c>
      <c r="O2108" s="577">
        <f t="shared" si="528"/>
        <v>0</v>
      </c>
      <c r="P2108" s="578">
        <f t="shared" si="529"/>
        <v>0</v>
      </c>
      <c r="Q2108" s="765"/>
      <c r="R2108" s="723"/>
      <c r="S2108" s="723"/>
      <c r="T2108" s="577">
        <f t="shared" si="526"/>
        <v>0</v>
      </c>
      <c r="U2108" s="578">
        <f t="shared" si="527"/>
        <v>0</v>
      </c>
      <c r="V2108" s="579"/>
      <c r="W2108" s="566" t="str">
        <f>IF(U2105&gt;0,"xx",IF(P2105&gt;0,"xy",""))</f>
        <v/>
      </c>
      <c r="X2108" s="586" t="str">
        <f t="shared" si="522"/>
        <v/>
      </c>
      <c r="Y2108" s="586" t="str">
        <f t="shared" si="531"/>
        <v/>
      </c>
      <c r="Z2108" s="586" t="str">
        <f t="shared" si="542"/>
        <v/>
      </c>
    </row>
    <row r="2109" spans="1:26" ht="12" hidden="1" thickBot="1" x14ac:dyDescent="0.25">
      <c r="A2109" s="567">
        <v>611600</v>
      </c>
      <c r="B2109" s="644" t="s">
        <v>1698</v>
      </c>
      <c r="C2109" s="645" t="s">
        <v>206</v>
      </c>
      <c r="D2109" s="422" t="s">
        <v>391</v>
      </c>
      <c r="E2109" s="423"/>
      <c r="F2109" s="424"/>
      <c r="G2109" s="425"/>
      <c r="H2109" s="651">
        <f>SUM(H2110:H2112)</f>
        <v>65.472966</v>
      </c>
      <c r="I2109" s="420">
        <v>2567.7199999999998</v>
      </c>
      <c r="J2109" s="420">
        <f>IF(ISBLANK(I2109),"",SUM(H2109:I2109))</f>
        <v>2633.1929659999996</v>
      </c>
      <c r="K2109" s="421">
        <f t="shared" si="525"/>
        <v>3128.5</v>
      </c>
      <c r="L2109" s="647" t="s">
        <v>19</v>
      </c>
      <c r="M2109" s="576"/>
      <c r="N2109" s="576">
        <f t="shared" si="536"/>
        <v>0</v>
      </c>
      <c r="O2109" s="577">
        <f t="shared" si="528"/>
        <v>0</v>
      </c>
      <c r="P2109" s="578">
        <f t="shared" si="529"/>
        <v>0</v>
      </c>
      <c r="Q2109" s="765"/>
      <c r="R2109" s="576">
        <f>M2109</f>
        <v>0</v>
      </c>
      <c r="S2109" s="576">
        <f>N2109</f>
        <v>0</v>
      </c>
      <c r="T2109" s="577">
        <f t="shared" si="526"/>
        <v>0</v>
      </c>
      <c r="U2109" s="578">
        <f t="shared" si="527"/>
        <v>0</v>
      </c>
      <c r="V2109" s="579"/>
      <c r="W2109" s="566"/>
      <c r="X2109" s="586" t="str">
        <f t="shared" si="522"/>
        <v/>
      </c>
      <c r="Y2109" s="586" t="str">
        <f t="shared" si="531"/>
        <v/>
      </c>
      <c r="Z2109" s="586" t="str">
        <f t="shared" si="542"/>
        <v/>
      </c>
    </row>
    <row r="2110" spans="1:26" ht="12" hidden="1" thickBot="1" x14ac:dyDescent="0.25">
      <c r="A2110" s="567" t="s">
        <v>168</v>
      </c>
      <c r="B2110" s="644" t="s">
        <v>168</v>
      </c>
      <c r="C2110" s="645"/>
      <c r="D2110" s="422" t="s">
        <v>212</v>
      </c>
      <c r="E2110" s="423"/>
      <c r="F2110" s="424">
        <v>500</v>
      </c>
      <c r="G2110" s="425">
        <v>9.7000000000000003E-3</v>
      </c>
      <c r="H2110" s="649">
        <f>IF(F2110&lt;=30,(0.78*F2110+7.82)*G2110,((0.78*30+7.82)+0.78*(F2110-30))*G2110)</f>
        <v>3.8588540000000005</v>
      </c>
      <c r="I2110" s="420"/>
      <c r="J2110" s="420"/>
      <c r="K2110" s="421">
        <f t="shared" si="525"/>
        <v>0</v>
      </c>
      <c r="L2110" s="647"/>
      <c r="M2110" s="723"/>
      <c r="N2110" s="576">
        <f t="shared" si="536"/>
        <v>0</v>
      </c>
      <c r="O2110" s="577">
        <f t="shared" si="528"/>
        <v>0</v>
      </c>
      <c r="P2110" s="578">
        <f t="shared" si="529"/>
        <v>0</v>
      </c>
      <c r="Q2110" s="765"/>
      <c r="R2110" s="723"/>
      <c r="S2110" s="723"/>
      <c r="T2110" s="577">
        <f t="shared" si="526"/>
        <v>0</v>
      </c>
      <c r="U2110" s="578">
        <f t="shared" si="527"/>
        <v>0</v>
      </c>
      <c r="V2110" s="579"/>
      <c r="W2110" s="566" t="str">
        <f>IF(U2109&gt;0,"xx",IF(P2109&gt;0,"xy",""))</f>
        <v/>
      </c>
      <c r="X2110" s="586" t="str">
        <f t="shared" si="522"/>
        <v/>
      </c>
      <c r="Y2110" s="586" t="str">
        <f t="shared" si="531"/>
        <v/>
      </c>
      <c r="Z2110" s="586" t="str">
        <f t="shared" si="542"/>
        <v/>
      </c>
    </row>
    <row r="2111" spans="1:26" ht="12" hidden="1" thickBot="1" x14ac:dyDescent="0.25">
      <c r="A2111" s="567" t="s">
        <v>168</v>
      </c>
      <c r="B2111" s="644" t="s">
        <v>168</v>
      </c>
      <c r="C2111" s="645"/>
      <c r="D2111" s="422" t="s">
        <v>248</v>
      </c>
      <c r="E2111" s="423"/>
      <c r="F2111" s="424">
        <v>180</v>
      </c>
      <c r="G2111" s="425">
        <v>5.04E-2</v>
      </c>
      <c r="H2111" s="663">
        <f t="shared" ref="H2111:H2112" si="548">IF(F2111&lt;=30,(1.07*F2111+2.68)*G2111,((1.07*30+2.68)+1.07*(F2111-30))*G2111)</f>
        <v>9.8421120000000002</v>
      </c>
      <c r="I2111" s="420"/>
      <c r="J2111" s="420"/>
      <c r="K2111" s="421">
        <f t="shared" si="525"/>
        <v>0</v>
      </c>
      <c r="L2111" s="647"/>
      <c r="M2111" s="723"/>
      <c r="N2111" s="576">
        <f t="shared" si="536"/>
        <v>0</v>
      </c>
      <c r="O2111" s="577">
        <f t="shared" si="528"/>
        <v>0</v>
      </c>
      <c r="P2111" s="578">
        <f t="shared" si="529"/>
        <v>0</v>
      </c>
      <c r="Q2111" s="765"/>
      <c r="R2111" s="723"/>
      <c r="S2111" s="723"/>
      <c r="T2111" s="577">
        <f t="shared" si="526"/>
        <v>0</v>
      </c>
      <c r="U2111" s="578">
        <f t="shared" si="527"/>
        <v>0</v>
      </c>
      <c r="V2111" s="579"/>
      <c r="W2111" s="566" t="str">
        <f>IF(U2109&gt;0,"xx",IF(P2109&gt;0,"xy",""))</f>
        <v/>
      </c>
      <c r="X2111" s="586" t="str">
        <f t="shared" si="522"/>
        <v/>
      </c>
      <c r="Y2111" s="586" t="str">
        <f t="shared" si="531"/>
        <v/>
      </c>
      <c r="Z2111" s="586" t="str">
        <f t="shared" si="542"/>
        <v/>
      </c>
    </row>
    <row r="2112" spans="1:26" ht="12" hidden="1" thickBot="1" x14ac:dyDescent="0.25">
      <c r="A2112" s="567" t="s">
        <v>168</v>
      </c>
      <c r="B2112" s="644" t="s">
        <v>168</v>
      </c>
      <c r="C2112" s="645"/>
      <c r="D2112" s="422" t="s">
        <v>347</v>
      </c>
      <c r="E2112" s="423"/>
      <c r="F2112" s="424">
        <v>20</v>
      </c>
      <c r="G2112" s="425">
        <v>2.15</v>
      </c>
      <c r="H2112" s="663">
        <f t="shared" si="548"/>
        <v>51.771999999999998</v>
      </c>
      <c r="I2112" s="420"/>
      <c r="J2112" s="420"/>
      <c r="K2112" s="421">
        <f t="shared" ref="K2112:K2175" si="549">IF(ISBLANK(I2112),0,ROUND(J2112*(1+$F$10)*(1+$F$11*E2112),2))</f>
        <v>0</v>
      </c>
      <c r="L2112" s="647"/>
      <c r="M2112" s="723"/>
      <c r="N2112" s="576">
        <f t="shared" si="536"/>
        <v>0</v>
      </c>
      <c r="O2112" s="577">
        <f t="shared" si="528"/>
        <v>0</v>
      </c>
      <c r="P2112" s="578">
        <f t="shared" si="529"/>
        <v>0</v>
      </c>
      <c r="Q2112" s="765"/>
      <c r="R2112" s="723"/>
      <c r="S2112" s="723"/>
      <c r="T2112" s="577">
        <f t="shared" ref="T2112:T2175" si="550">IF(ISBLANK(R2112),0,ROUND(K2112*R2112,2))</f>
        <v>0</v>
      </c>
      <c r="U2112" s="578">
        <f t="shared" ref="U2112:U2175" si="551">IF(ISBLANK(R2112),0,ROUND(R2112*S2112,2))</f>
        <v>0</v>
      </c>
      <c r="V2112" s="579"/>
      <c r="W2112" s="566" t="str">
        <f>IF(U2109&gt;0,"xx",IF(P2109&gt;0,"xy",""))</f>
        <v/>
      </c>
      <c r="X2112" s="586" t="str">
        <f t="shared" si="522"/>
        <v/>
      </c>
      <c r="Y2112" s="586" t="str">
        <f t="shared" si="531"/>
        <v/>
      </c>
      <c r="Z2112" s="586" t="str">
        <f t="shared" si="542"/>
        <v/>
      </c>
    </row>
    <row r="2113" spans="1:26" ht="12" hidden="1" thickBot="1" x14ac:dyDescent="0.25">
      <c r="A2113" s="567">
        <v>610500</v>
      </c>
      <c r="B2113" s="644">
        <v>610500</v>
      </c>
      <c r="C2113" s="645" t="s">
        <v>206</v>
      </c>
      <c r="D2113" s="422" t="s">
        <v>392</v>
      </c>
      <c r="E2113" s="423"/>
      <c r="F2113" s="424"/>
      <c r="G2113" s="425"/>
      <c r="H2113" s="651">
        <f>SUM(H2114:H2117)</f>
        <v>32.403676000000004</v>
      </c>
      <c r="I2113" s="420">
        <v>204.02</v>
      </c>
      <c r="J2113" s="420">
        <f>IF(ISBLANK(I2113),"",SUM(H2113:I2113))</f>
        <v>236.423676</v>
      </c>
      <c r="K2113" s="421">
        <f t="shared" si="549"/>
        <v>280.89</v>
      </c>
      <c r="L2113" s="647" t="s">
        <v>19</v>
      </c>
      <c r="M2113" s="576"/>
      <c r="N2113" s="576">
        <f t="shared" si="536"/>
        <v>0</v>
      </c>
      <c r="O2113" s="577">
        <f t="shared" ref="O2113:O2176" si="552">IF(ISBLANK(M2113),0,ROUND(K2113*M2113,2))</f>
        <v>0</v>
      </c>
      <c r="P2113" s="578">
        <f t="shared" ref="P2113:P2176" si="553">IF(ISBLANK(N2113),0,ROUND(M2113*N2113,2))</f>
        <v>0</v>
      </c>
      <c r="Q2113" s="765"/>
      <c r="R2113" s="576">
        <f>M2113</f>
        <v>0</v>
      </c>
      <c r="S2113" s="576">
        <f>N2113</f>
        <v>0</v>
      </c>
      <c r="T2113" s="577">
        <f t="shared" si="550"/>
        <v>0</v>
      </c>
      <c r="U2113" s="578">
        <f t="shared" si="551"/>
        <v>0</v>
      </c>
      <c r="V2113" s="579"/>
      <c r="W2113" s="566"/>
      <c r="X2113" s="586" t="str">
        <f t="shared" si="522"/>
        <v/>
      </c>
      <c r="Y2113" s="586" t="str">
        <f t="shared" si="531"/>
        <v/>
      </c>
      <c r="Z2113" s="586" t="str">
        <f t="shared" si="542"/>
        <v/>
      </c>
    </row>
    <row r="2114" spans="1:26" ht="12" hidden="1" thickBot="1" x14ac:dyDescent="0.25">
      <c r="A2114" s="567" t="s">
        <v>168</v>
      </c>
      <c r="B2114" s="644" t="s">
        <v>168</v>
      </c>
      <c r="C2114" s="645"/>
      <c r="D2114" s="422" t="s">
        <v>212</v>
      </c>
      <c r="E2114" s="423"/>
      <c r="F2114" s="424">
        <v>500</v>
      </c>
      <c r="G2114" s="425">
        <v>2.2599999999999999E-2</v>
      </c>
      <c r="H2114" s="649">
        <f>IF(F2114&lt;=30,(0.78*F2114+7.82)*G2114,((0.78*30+7.82)+0.78*(F2114-30))*G2114)</f>
        <v>8.9907320000000013</v>
      </c>
      <c r="I2114" s="420"/>
      <c r="J2114" s="420"/>
      <c r="K2114" s="421">
        <f t="shared" si="549"/>
        <v>0</v>
      </c>
      <c r="L2114" s="647"/>
      <c r="M2114" s="723"/>
      <c r="N2114" s="576">
        <f t="shared" si="536"/>
        <v>0</v>
      </c>
      <c r="O2114" s="577">
        <f t="shared" si="552"/>
        <v>0</v>
      </c>
      <c r="P2114" s="578">
        <f t="shared" si="553"/>
        <v>0</v>
      </c>
      <c r="Q2114" s="765"/>
      <c r="R2114" s="723"/>
      <c r="S2114" s="723"/>
      <c r="T2114" s="577">
        <f t="shared" si="550"/>
        <v>0</v>
      </c>
      <c r="U2114" s="578">
        <f t="shared" si="551"/>
        <v>0</v>
      </c>
      <c r="V2114" s="579"/>
      <c r="W2114" s="566" t="str">
        <f>IF(U2113&gt;0,"xx",IF(P2113&gt;0,"xy",""))</f>
        <v/>
      </c>
      <c r="X2114" s="586" t="str">
        <f t="shared" si="522"/>
        <v/>
      </c>
      <c r="Y2114" s="586" t="str">
        <f t="shared" si="531"/>
        <v/>
      </c>
      <c r="Z2114" s="586" t="str">
        <f t="shared" si="542"/>
        <v/>
      </c>
    </row>
    <row r="2115" spans="1:26" ht="12" hidden="1" thickBot="1" x14ac:dyDescent="0.25">
      <c r="A2115" s="567" t="s">
        <v>168</v>
      </c>
      <c r="B2115" s="644" t="s">
        <v>168</v>
      </c>
      <c r="C2115" s="645"/>
      <c r="D2115" s="422" t="s">
        <v>248</v>
      </c>
      <c r="E2115" s="423"/>
      <c r="F2115" s="424">
        <v>180</v>
      </c>
      <c r="G2115" s="425">
        <v>8.3900000000000002E-2</v>
      </c>
      <c r="H2115" s="663">
        <f t="shared" ref="H2115:H2117" si="554">IF(F2115&lt;=30,(1.07*F2115+2.68)*G2115,((1.07*30+2.68)+1.07*(F2115-30))*G2115)</f>
        <v>16.383991999999999</v>
      </c>
      <c r="I2115" s="420"/>
      <c r="J2115" s="420"/>
      <c r="K2115" s="421">
        <f t="shared" si="549"/>
        <v>0</v>
      </c>
      <c r="L2115" s="647"/>
      <c r="M2115" s="723"/>
      <c r="N2115" s="576">
        <f t="shared" si="536"/>
        <v>0</v>
      </c>
      <c r="O2115" s="577">
        <f t="shared" si="552"/>
        <v>0</v>
      </c>
      <c r="P2115" s="578">
        <f t="shared" si="553"/>
        <v>0</v>
      </c>
      <c r="Q2115" s="765"/>
      <c r="R2115" s="723"/>
      <c r="S2115" s="723"/>
      <c r="T2115" s="577">
        <f t="shared" si="550"/>
        <v>0</v>
      </c>
      <c r="U2115" s="578">
        <f t="shared" si="551"/>
        <v>0</v>
      </c>
      <c r="V2115" s="579"/>
      <c r="W2115" s="566" t="str">
        <f>IF(U2113&gt;0,"xx",IF(P2113&gt;0,"xy",""))</f>
        <v/>
      </c>
      <c r="X2115" s="586" t="str">
        <f t="shared" si="522"/>
        <v/>
      </c>
      <c r="Y2115" s="586" t="str">
        <f t="shared" si="531"/>
        <v/>
      </c>
      <c r="Z2115" s="586" t="str">
        <f t="shared" si="542"/>
        <v/>
      </c>
    </row>
    <row r="2116" spans="1:26" ht="12" hidden="1" thickBot="1" x14ac:dyDescent="0.25">
      <c r="A2116" s="567" t="s">
        <v>168</v>
      </c>
      <c r="B2116" s="644" t="s">
        <v>168</v>
      </c>
      <c r="C2116" s="645"/>
      <c r="D2116" s="422" t="s">
        <v>252</v>
      </c>
      <c r="E2116" s="423"/>
      <c r="F2116" s="424">
        <v>20</v>
      </c>
      <c r="G2116" s="425">
        <v>0.13490000000000002</v>
      </c>
      <c r="H2116" s="663">
        <f t="shared" si="554"/>
        <v>3.2483920000000008</v>
      </c>
      <c r="I2116" s="420"/>
      <c r="J2116" s="420"/>
      <c r="K2116" s="421">
        <f t="shared" si="549"/>
        <v>0</v>
      </c>
      <c r="L2116" s="647"/>
      <c r="M2116" s="723"/>
      <c r="N2116" s="576">
        <f t="shared" si="536"/>
        <v>0</v>
      </c>
      <c r="O2116" s="577">
        <f t="shared" si="552"/>
        <v>0</v>
      </c>
      <c r="P2116" s="578">
        <f t="shared" si="553"/>
        <v>0</v>
      </c>
      <c r="Q2116" s="765"/>
      <c r="R2116" s="723"/>
      <c r="S2116" s="723"/>
      <c r="T2116" s="577">
        <f t="shared" si="550"/>
        <v>0</v>
      </c>
      <c r="U2116" s="578">
        <f t="shared" si="551"/>
        <v>0</v>
      </c>
      <c r="V2116" s="579"/>
      <c r="W2116" s="566" t="str">
        <f>IF(U2113&gt;0,"xx",IF(P2113&gt;0,"xy",""))</f>
        <v/>
      </c>
      <c r="X2116" s="586" t="str">
        <f t="shared" si="522"/>
        <v/>
      </c>
      <c r="Y2116" s="586" t="str">
        <f t="shared" si="531"/>
        <v/>
      </c>
      <c r="Z2116" s="586" t="str">
        <f t="shared" si="542"/>
        <v/>
      </c>
    </row>
    <row r="2117" spans="1:26" ht="12" hidden="1" thickBot="1" x14ac:dyDescent="0.25">
      <c r="A2117" s="567" t="s">
        <v>168</v>
      </c>
      <c r="B2117" s="644" t="s">
        <v>168</v>
      </c>
      <c r="C2117" s="645"/>
      <c r="D2117" s="422" t="s">
        <v>347</v>
      </c>
      <c r="E2117" s="423"/>
      <c r="F2117" s="424">
        <v>20</v>
      </c>
      <c r="G2117" s="425">
        <v>0.157</v>
      </c>
      <c r="H2117" s="663">
        <f t="shared" si="554"/>
        <v>3.7805600000000004</v>
      </c>
      <c r="I2117" s="420"/>
      <c r="J2117" s="420"/>
      <c r="K2117" s="421">
        <f t="shared" si="549"/>
        <v>0</v>
      </c>
      <c r="L2117" s="647"/>
      <c r="M2117" s="723"/>
      <c r="N2117" s="576">
        <f t="shared" si="536"/>
        <v>0</v>
      </c>
      <c r="O2117" s="577">
        <f t="shared" si="552"/>
        <v>0</v>
      </c>
      <c r="P2117" s="578">
        <f t="shared" si="553"/>
        <v>0</v>
      </c>
      <c r="Q2117" s="765"/>
      <c r="R2117" s="723"/>
      <c r="S2117" s="723"/>
      <c r="T2117" s="577">
        <f t="shared" si="550"/>
        <v>0</v>
      </c>
      <c r="U2117" s="578">
        <f t="shared" si="551"/>
        <v>0</v>
      </c>
      <c r="V2117" s="579"/>
      <c r="W2117" s="566" t="str">
        <f>IF(U2113&gt;0,"xx",IF(P2113&gt;0,"xy",""))</f>
        <v/>
      </c>
      <c r="X2117" s="586" t="str">
        <f t="shared" si="522"/>
        <v/>
      </c>
      <c r="Y2117" s="586" t="str">
        <f t="shared" si="531"/>
        <v/>
      </c>
      <c r="Z2117" s="586" t="str">
        <f t="shared" si="542"/>
        <v/>
      </c>
    </row>
    <row r="2118" spans="1:26" ht="12" hidden="1" thickBot="1" x14ac:dyDescent="0.25">
      <c r="A2118" s="567">
        <v>610700</v>
      </c>
      <c r="B2118" s="644" t="s">
        <v>1683</v>
      </c>
      <c r="C2118" s="645" t="s">
        <v>206</v>
      </c>
      <c r="D2118" s="422" t="s">
        <v>582</v>
      </c>
      <c r="E2118" s="423"/>
      <c r="F2118" s="424"/>
      <c r="G2118" s="425"/>
      <c r="H2118" s="651">
        <f>SUM(H2119:H2122)</f>
        <v>42.100252000000005</v>
      </c>
      <c r="I2118" s="420">
        <v>300.04999999999995</v>
      </c>
      <c r="J2118" s="420">
        <f>IF(ISBLANK(I2118),"",SUM(H2118:I2118))</f>
        <v>342.15025199999997</v>
      </c>
      <c r="K2118" s="421">
        <f t="shared" si="549"/>
        <v>406.51</v>
      </c>
      <c r="L2118" s="647" t="s">
        <v>19</v>
      </c>
      <c r="M2118" s="576"/>
      <c r="N2118" s="576">
        <f t="shared" si="536"/>
        <v>0</v>
      </c>
      <c r="O2118" s="577">
        <f t="shared" si="552"/>
        <v>0</v>
      </c>
      <c r="P2118" s="578">
        <f t="shared" si="553"/>
        <v>0</v>
      </c>
      <c r="Q2118" s="765"/>
      <c r="R2118" s="576">
        <f>M2118</f>
        <v>0</v>
      </c>
      <c r="S2118" s="576">
        <f>N2118</f>
        <v>0</v>
      </c>
      <c r="T2118" s="577">
        <f t="shared" si="550"/>
        <v>0</v>
      </c>
      <c r="U2118" s="578">
        <f t="shared" si="551"/>
        <v>0</v>
      </c>
      <c r="V2118" s="579"/>
      <c r="W2118" s="566"/>
      <c r="X2118" s="586" t="str">
        <f t="shared" si="522"/>
        <v/>
      </c>
      <c r="Y2118" s="586" t="str">
        <f t="shared" si="531"/>
        <v/>
      </c>
      <c r="Z2118" s="586" t="str">
        <f t="shared" si="542"/>
        <v/>
      </c>
    </row>
    <row r="2119" spans="1:26" ht="12" hidden="1" thickBot="1" x14ac:dyDescent="0.25">
      <c r="A2119" s="567" t="s">
        <v>168</v>
      </c>
      <c r="B2119" s="644" t="s">
        <v>168</v>
      </c>
      <c r="C2119" s="645"/>
      <c r="D2119" s="422" t="s">
        <v>212</v>
      </c>
      <c r="E2119" s="423"/>
      <c r="F2119" s="424">
        <v>500</v>
      </c>
      <c r="G2119" s="425">
        <v>2.86E-2</v>
      </c>
      <c r="H2119" s="649">
        <f>IF(F2119&lt;=30,(0.78*F2119+7.82)*G2119,((0.78*30+7.82)+0.78*(F2119-30))*G2119)</f>
        <v>11.377652000000001</v>
      </c>
      <c r="I2119" s="420"/>
      <c r="J2119" s="420"/>
      <c r="K2119" s="421">
        <f t="shared" si="549"/>
        <v>0</v>
      </c>
      <c r="L2119" s="647"/>
      <c r="M2119" s="723"/>
      <c r="N2119" s="576">
        <f t="shared" si="536"/>
        <v>0</v>
      </c>
      <c r="O2119" s="577">
        <f t="shared" si="552"/>
        <v>0</v>
      </c>
      <c r="P2119" s="578">
        <f t="shared" si="553"/>
        <v>0</v>
      </c>
      <c r="Q2119" s="765"/>
      <c r="R2119" s="723"/>
      <c r="S2119" s="723"/>
      <c r="T2119" s="577">
        <f t="shared" si="550"/>
        <v>0</v>
      </c>
      <c r="U2119" s="578">
        <f t="shared" si="551"/>
        <v>0</v>
      </c>
      <c r="V2119" s="579"/>
      <c r="W2119" s="566" t="str">
        <f>IF(U2118&gt;0,"xx",IF(P2118&gt;0,"xy",""))</f>
        <v/>
      </c>
      <c r="X2119" s="586" t="str">
        <f t="shared" si="522"/>
        <v/>
      </c>
      <c r="Y2119" s="586" t="str">
        <f t="shared" si="531"/>
        <v/>
      </c>
      <c r="Z2119" s="586" t="str">
        <f t="shared" si="542"/>
        <v/>
      </c>
    </row>
    <row r="2120" spans="1:26" ht="12" hidden="1" thickBot="1" x14ac:dyDescent="0.25">
      <c r="A2120" s="567" t="s">
        <v>168</v>
      </c>
      <c r="B2120" s="644" t="s">
        <v>168</v>
      </c>
      <c r="C2120" s="645"/>
      <c r="D2120" s="422" t="s">
        <v>248</v>
      </c>
      <c r="E2120" s="423"/>
      <c r="F2120" s="424">
        <v>180</v>
      </c>
      <c r="G2120" s="425">
        <v>0.10539999999999999</v>
      </c>
      <c r="H2120" s="663">
        <f t="shared" ref="H2120:H2122" si="555">IF(F2120&lt;=30,(1.07*F2120+2.68)*G2120,((1.07*30+2.68)+1.07*(F2120-30))*G2120)</f>
        <v>20.582511999999998</v>
      </c>
      <c r="I2120" s="420"/>
      <c r="J2120" s="420"/>
      <c r="K2120" s="421">
        <f t="shared" si="549"/>
        <v>0</v>
      </c>
      <c r="L2120" s="647"/>
      <c r="M2120" s="723"/>
      <c r="N2120" s="576">
        <f t="shared" si="536"/>
        <v>0</v>
      </c>
      <c r="O2120" s="577">
        <f t="shared" si="552"/>
        <v>0</v>
      </c>
      <c r="P2120" s="578">
        <f t="shared" si="553"/>
        <v>0</v>
      </c>
      <c r="Q2120" s="765"/>
      <c r="R2120" s="723"/>
      <c r="S2120" s="723"/>
      <c r="T2120" s="577">
        <f t="shared" si="550"/>
        <v>0</v>
      </c>
      <c r="U2120" s="578">
        <f t="shared" si="551"/>
        <v>0</v>
      </c>
      <c r="V2120" s="579"/>
      <c r="W2120" s="566" t="str">
        <f>IF(U2118&gt;0,"xx",IF(P2118&gt;0,"xy",""))</f>
        <v/>
      </c>
      <c r="X2120" s="586" t="str">
        <f t="shared" ref="X2120:X2191" si="556">IF(W2120="X","x",IF(W2120="xx","x",IF(W2120="xy","x",IF(W2120="y","x",IF(OR(P2120&gt;0,U2120&gt;0),"x","")))))</f>
        <v/>
      </c>
      <c r="Y2120" s="586" t="str">
        <f t="shared" si="531"/>
        <v/>
      </c>
      <c r="Z2120" s="586" t="str">
        <f t="shared" si="542"/>
        <v/>
      </c>
    </row>
    <row r="2121" spans="1:26" ht="12" hidden="1" thickBot="1" x14ac:dyDescent="0.25">
      <c r="A2121" s="567" t="s">
        <v>168</v>
      </c>
      <c r="B2121" s="644" t="s">
        <v>168</v>
      </c>
      <c r="C2121" s="645"/>
      <c r="D2121" s="422" t="s">
        <v>252</v>
      </c>
      <c r="E2121" s="423"/>
      <c r="F2121" s="424">
        <v>20</v>
      </c>
      <c r="G2121" s="425">
        <v>0.1711</v>
      </c>
      <c r="H2121" s="663">
        <f t="shared" si="555"/>
        <v>4.120088</v>
      </c>
      <c r="I2121" s="420"/>
      <c r="J2121" s="420"/>
      <c r="K2121" s="421">
        <f t="shared" si="549"/>
        <v>0</v>
      </c>
      <c r="L2121" s="647"/>
      <c r="M2121" s="723"/>
      <c r="N2121" s="576">
        <f t="shared" si="536"/>
        <v>0</v>
      </c>
      <c r="O2121" s="577">
        <f t="shared" si="552"/>
        <v>0</v>
      </c>
      <c r="P2121" s="578">
        <f t="shared" si="553"/>
        <v>0</v>
      </c>
      <c r="Q2121" s="765"/>
      <c r="R2121" s="723"/>
      <c r="S2121" s="723"/>
      <c r="T2121" s="577">
        <f t="shared" si="550"/>
        <v>0</v>
      </c>
      <c r="U2121" s="578">
        <f t="shared" si="551"/>
        <v>0</v>
      </c>
      <c r="V2121" s="579"/>
      <c r="W2121" s="566" t="str">
        <f>IF(U2118&gt;0,"xx",IF(P2118&gt;0,"xy",""))</f>
        <v/>
      </c>
      <c r="X2121" s="586" t="str">
        <f t="shared" si="556"/>
        <v/>
      </c>
      <c r="Y2121" s="586" t="str">
        <f t="shared" si="531"/>
        <v/>
      </c>
      <c r="Z2121" s="586" t="str">
        <f t="shared" si="542"/>
        <v/>
      </c>
    </row>
    <row r="2122" spans="1:26" ht="12" hidden="1" thickBot="1" x14ac:dyDescent="0.25">
      <c r="A2122" s="567" t="s">
        <v>168</v>
      </c>
      <c r="B2122" s="644" t="s">
        <v>168</v>
      </c>
      <c r="C2122" s="645"/>
      <c r="D2122" s="422" t="s">
        <v>347</v>
      </c>
      <c r="E2122" s="423"/>
      <c r="F2122" s="424">
        <v>20</v>
      </c>
      <c r="G2122" s="425">
        <v>0.25</v>
      </c>
      <c r="H2122" s="663">
        <f t="shared" si="555"/>
        <v>6.0200000000000005</v>
      </c>
      <c r="I2122" s="420"/>
      <c r="J2122" s="420"/>
      <c r="K2122" s="421">
        <f t="shared" si="549"/>
        <v>0</v>
      </c>
      <c r="L2122" s="647"/>
      <c r="M2122" s="723"/>
      <c r="N2122" s="576">
        <f t="shared" si="536"/>
        <v>0</v>
      </c>
      <c r="O2122" s="577">
        <f t="shared" si="552"/>
        <v>0</v>
      </c>
      <c r="P2122" s="578">
        <f t="shared" si="553"/>
        <v>0</v>
      </c>
      <c r="Q2122" s="765"/>
      <c r="R2122" s="723"/>
      <c r="S2122" s="723"/>
      <c r="T2122" s="577">
        <f t="shared" si="550"/>
        <v>0</v>
      </c>
      <c r="U2122" s="578">
        <f t="shared" si="551"/>
        <v>0</v>
      </c>
      <c r="V2122" s="579"/>
      <c r="W2122" s="566" t="str">
        <f>IF(U2118&gt;0,"xx",IF(P2118&gt;0,"xy",""))</f>
        <v/>
      </c>
      <c r="X2122" s="586" t="str">
        <f t="shared" si="556"/>
        <v/>
      </c>
      <c r="Y2122" s="586" t="str">
        <f t="shared" si="531"/>
        <v/>
      </c>
      <c r="Z2122" s="586" t="str">
        <f t="shared" si="542"/>
        <v/>
      </c>
    </row>
    <row r="2123" spans="1:26" ht="12" hidden="1" thickBot="1" x14ac:dyDescent="0.25">
      <c r="A2123" s="567">
        <v>610700</v>
      </c>
      <c r="B2123" s="644" t="s">
        <v>1684</v>
      </c>
      <c r="C2123" s="645" t="s">
        <v>206</v>
      </c>
      <c r="D2123" s="422" t="s">
        <v>393</v>
      </c>
      <c r="E2123" s="423"/>
      <c r="F2123" s="424"/>
      <c r="G2123" s="425"/>
      <c r="H2123" s="651">
        <f>SUM(H2124:H2127)</f>
        <v>50.288166000000011</v>
      </c>
      <c r="I2123" s="420">
        <v>396.08</v>
      </c>
      <c r="J2123" s="420">
        <f>IF(ISBLANK(I2123),"",SUM(H2123:I2123))</f>
        <v>446.36816599999997</v>
      </c>
      <c r="K2123" s="421">
        <f t="shared" si="549"/>
        <v>530.33000000000004</v>
      </c>
      <c r="L2123" s="647" t="s">
        <v>19</v>
      </c>
      <c r="M2123" s="576"/>
      <c r="N2123" s="576">
        <f t="shared" si="536"/>
        <v>0</v>
      </c>
      <c r="O2123" s="577">
        <f t="shared" si="552"/>
        <v>0</v>
      </c>
      <c r="P2123" s="578">
        <f t="shared" si="553"/>
        <v>0</v>
      </c>
      <c r="Q2123" s="765"/>
      <c r="R2123" s="576">
        <f>M2123</f>
        <v>0</v>
      </c>
      <c r="S2123" s="576">
        <f>N2123</f>
        <v>0</v>
      </c>
      <c r="T2123" s="577">
        <f t="shared" si="550"/>
        <v>0</v>
      </c>
      <c r="U2123" s="578">
        <f t="shared" si="551"/>
        <v>0</v>
      </c>
      <c r="V2123" s="579"/>
      <c r="W2123" s="566"/>
      <c r="X2123" s="586" t="str">
        <f t="shared" si="556"/>
        <v/>
      </c>
      <c r="Y2123" s="586" t="str">
        <f t="shared" si="531"/>
        <v/>
      </c>
      <c r="Z2123" s="586" t="str">
        <f t="shared" si="542"/>
        <v/>
      </c>
    </row>
    <row r="2124" spans="1:26" ht="12" hidden="1" thickBot="1" x14ac:dyDescent="0.25">
      <c r="A2124" s="567" t="s">
        <v>168</v>
      </c>
      <c r="B2124" s="644" t="s">
        <v>168</v>
      </c>
      <c r="C2124" s="645"/>
      <c r="D2124" s="422" t="s">
        <v>212</v>
      </c>
      <c r="E2124" s="423"/>
      <c r="F2124" s="424">
        <v>500</v>
      </c>
      <c r="G2124" s="425">
        <v>3.4500000000000003E-2</v>
      </c>
      <c r="H2124" s="649">
        <f>IF(F2124&lt;=30,(0.78*F2124+7.82)*G2124,((0.78*30+7.82)+0.78*(F2124-30))*G2124)</f>
        <v>13.724790000000002</v>
      </c>
      <c r="I2124" s="420"/>
      <c r="J2124" s="420"/>
      <c r="K2124" s="421">
        <f t="shared" si="549"/>
        <v>0</v>
      </c>
      <c r="L2124" s="647"/>
      <c r="M2124" s="723"/>
      <c r="N2124" s="576">
        <f t="shared" si="536"/>
        <v>0</v>
      </c>
      <c r="O2124" s="577">
        <f t="shared" si="552"/>
        <v>0</v>
      </c>
      <c r="P2124" s="578">
        <f t="shared" si="553"/>
        <v>0</v>
      </c>
      <c r="Q2124" s="765"/>
      <c r="R2124" s="723"/>
      <c r="S2124" s="723"/>
      <c r="T2124" s="577">
        <f t="shared" si="550"/>
        <v>0</v>
      </c>
      <c r="U2124" s="578">
        <f t="shared" si="551"/>
        <v>0</v>
      </c>
      <c r="V2124" s="579"/>
      <c r="W2124" s="566" t="str">
        <f>IF(U2123&gt;0,"xx",IF(P2123&gt;0,"xy",""))</f>
        <v/>
      </c>
      <c r="X2124" s="586" t="str">
        <f t="shared" si="556"/>
        <v/>
      </c>
      <c r="Y2124" s="586" t="str">
        <f t="shared" si="531"/>
        <v/>
      </c>
      <c r="Z2124" s="586" t="str">
        <f t="shared" si="542"/>
        <v/>
      </c>
    </row>
    <row r="2125" spans="1:26" ht="12" hidden="1" thickBot="1" x14ac:dyDescent="0.25">
      <c r="A2125" s="567" t="s">
        <v>168</v>
      </c>
      <c r="B2125" s="644" t="s">
        <v>168</v>
      </c>
      <c r="C2125" s="645"/>
      <c r="D2125" s="422" t="s">
        <v>248</v>
      </c>
      <c r="E2125" s="423"/>
      <c r="F2125" s="424">
        <v>180</v>
      </c>
      <c r="G2125" s="425">
        <v>0.12690000000000001</v>
      </c>
      <c r="H2125" s="663">
        <f t="shared" ref="H2125:H2127" si="557">IF(F2125&lt;=30,(1.07*F2125+2.68)*G2125,((1.07*30+2.68)+1.07*(F2125-30))*G2125)</f>
        <v>24.781032000000003</v>
      </c>
      <c r="I2125" s="420"/>
      <c r="J2125" s="420"/>
      <c r="K2125" s="421">
        <f t="shared" si="549"/>
        <v>0</v>
      </c>
      <c r="L2125" s="647"/>
      <c r="M2125" s="723"/>
      <c r="N2125" s="576">
        <f t="shared" si="536"/>
        <v>0</v>
      </c>
      <c r="O2125" s="577">
        <f t="shared" si="552"/>
        <v>0</v>
      </c>
      <c r="P2125" s="578">
        <f t="shared" si="553"/>
        <v>0</v>
      </c>
      <c r="Q2125" s="765"/>
      <c r="R2125" s="723"/>
      <c r="S2125" s="723"/>
      <c r="T2125" s="577">
        <f t="shared" si="550"/>
        <v>0</v>
      </c>
      <c r="U2125" s="578">
        <f t="shared" si="551"/>
        <v>0</v>
      </c>
      <c r="V2125" s="579"/>
      <c r="W2125" s="566" t="str">
        <f>IF(U2123&gt;0,"xx",IF(P2123&gt;0,"xy",""))</f>
        <v/>
      </c>
      <c r="X2125" s="586" t="str">
        <f t="shared" si="556"/>
        <v/>
      </c>
      <c r="Y2125" s="586" t="str">
        <f t="shared" si="531"/>
        <v/>
      </c>
      <c r="Z2125" s="586" t="str">
        <f t="shared" si="542"/>
        <v/>
      </c>
    </row>
    <row r="2126" spans="1:26" ht="12" hidden="1" thickBot="1" x14ac:dyDescent="0.25">
      <c r="A2126" s="567" t="s">
        <v>168</v>
      </c>
      <c r="B2126" s="644" t="s">
        <v>168</v>
      </c>
      <c r="C2126" s="645"/>
      <c r="D2126" s="422" t="s">
        <v>252</v>
      </c>
      <c r="E2126" s="423"/>
      <c r="F2126" s="424">
        <v>20</v>
      </c>
      <c r="G2126" s="425">
        <v>0.20729999999999998</v>
      </c>
      <c r="H2126" s="663">
        <f t="shared" si="557"/>
        <v>4.991784</v>
      </c>
      <c r="I2126" s="420"/>
      <c r="J2126" s="420"/>
      <c r="K2126" s="421">
        <f t="shared" si="549"/>
        <v>0</v>
      </c>
      <c r="L2126" s="647"/>
      <c r="M2126" s="723"/>
      <c r="N2126" s="576">
        <f t="shared" si="536"/>
        <v>0</v>
      </c>
      <c r="O2126" s="577">
        <f t="shared" si="552"/>
        <v>0</v>
      </c>
      <c r="P2126" s="578">
        <f t="shared" si="553"/>
        <v>0</v>
      </c>
      <c r="Q2126" s="765"/>
      <c r="R2126" s="723"/>
      <c r="S2126" s="723"/>
      <c r="T2126" s="577">
        <f t="shared" si="550"/>
        <v>0</v>
      </c>
      <c r="U2126" s="578">
        <f t="shared" si="551"/>
        <v>0</v>
      </c>
      <c r="V2126" s="579"/>
      <c r="W2126" s="566" t="str">
        <f>IF(U2123&gt;0,"xx",IF(P2123&gt;0,"xy",""))</f>
        <v/>
      </c>
      <c r="X2126" s="586" t="str">
        <f t="shared" si="556"/>
        <v/>
      </c>
      <c r="Y2126" s="586" t="str">
        <f t="shared" si="531"/>
        <v/>
      </c>
      <c r="Z2126" s="586" t="str">
        <f t="shared" si="542"/>
        <v/>
      </c>
    </row>
    <row r="2127" spans="1:26" ht="12" hidden="1" thickBot="1" x14ac:dyDescent="0.25">
      <c r="A2127" s="567" t="s">
        <v>168</v>
      </c>
      <c r="B2127" s="644" t="s">
        <v>168</v>
      </c>
      <c r="C2127" s="645"/>
      <c r="D2127" s="422" t="s">
        <v>347</v>
      </c>
      <c r="E2127" s="423"/>
      <c r="F2127" s="424">
        <v>20</v>
      </c>
      <c r="G2127" s="425">
        <v>0.28199999999999997</v>
      </c>
      <c r="H2127" s="663">
        <f t="shared" si="557"/>
        <v>6.7905600000000002</v>
      </c>
      <c r="I2127" s="420"/>
      <c r="J2127" s="420"/>
      <c r="K2127" s="421">
        <f t="shared" si="549"/>
        <v>0</v>
      </c>
      <c r="L2127" s="647"/>
      <c r="M2127" s="723"/>
      <c r="N2127" s="576">
        <f t="shared" si="536"/>
        <v>0</v>
      </c>
      <c r="O2127" s="577">
        <f t="shared" si="552"/>
        <v>0</v>
      </c>
      <c r="P2127" s="578">
        <f t="shared" si="553"/>
        <v>0</v>
      </c>
      <c r="Q2127" s="765"/>
      <c r="R2127" s="723"/>
      <c r="S2127" s="723"/>
      <c r="T2127" s="577">
        <f t="shared" si="550"/>
        <v>0</v>
      </c>
      <c r="U2127" s="578">
        <f t="shared" si="551"/>
        <v>0</v>
      </c>
      <c r="V2127" s="579"/>
      <c r="W2127" s="566" t="str">
        <f>IF(U2123&gt;0,"xx",IF(P2123&gt;0,"xy",""))</f>
        <v/>
      </c>
      <c r="X2127" s="586" t="str">
        <f t="shared" si="556"/>
        <v/>
      </c>
      <c r="Y2127" s="586" t="str">
        <f t="shared" si="531"/>
        <v/>
      </c>
      <c r="Z2127" s="586" t="str">
        <f t="shared" si="542"/>
        <v/>
      </c>
    </row>
    <row r="2128" spans="1:26" ht="12" hidden="1" thickBot="1" x14ac:dyDescent="0.25">
      <c r="A2128" s="567">
        <v>610900</v>
      </c>
      <c r="B2128" s="644" t="s">
        <v>1685</v>
      </c>
      <c r="C2128" s="645" t="s">
        <v>206</v>
      </c>
      <c r="D2128" s="422" t="s">
        <v>583</v>
      </c>
      <c r="E2128" s="423"/>
      <c r="F2128" s="424"/>
      <c r="G2128" s="425"/>
      <c r="H2128" s="651">
        <f>SUM(H2129:H2132)</f>
        <v>72.192176000000003</v>
      </c>
      <c r="I2128" s="420">
        <v>534.75</v>
      </c>
      <c r="J2128" s="420">
        <f>IF(ISBLANK(I2128),"",SUM(H2128:I2128))</f>
        <v>606.94217600000002</v>
      </c>
      <c r="K2128" s="421">
        <f t="shared" si="549"/>
        <v>721.11</v>
      </c>
      <c r="L2128" s="647" t="s">
        <v>19</v>
      </c>
      <c r="M2128" s="576"/>
      <c r="N2128" s="576">
        <f t="shared" si="536"/>
        <v>0</v>
      </c>
      <c r="O2128" s="577">
        <f t="shared" si="552"/>
        <v>0</v>
      </c>
      <c r="P2128" s="578">
        <f t="shared" si="553"/>
        <v>0</v>
      </c>
      <c r="Q2128" s="765"/>
      <c r="R2128" s="576">
        <f>M2128</f>
        <v>0</v>
      </c>
      <c r="S2128" s="576">
        <f>N2128</f>
        <v>0</v>
      </c>
      <c r="T2128" s="577">
        <f t="shared" si="550"/>
        <v>0</v>
      </c>
      <c r="U2128" s="578">
        <f t="shared" si="551"/>
        <v>0</v>
      </c>
      <c r="V2128" s="579"/>
      <c r="W2128" s="566"/>
      <c r="X2128" s="586" t="str">
        <f t="shared" si="556"/>
        <v/>
      </c>
      <c r="Y2128" s="586" t="str">
        <f t="shared" si="531"/>
        <v/>
      </c>
      <c r="Z2128" s="586" t="str">
        <f t="shared" si="542"/>
        <v/>
      </c>
    </row>
    <row r="2129" spans="1:26" ht="12" hidden="1" thickBot="1" x14ac:dyDescent="0.25">
      <c r="A2129" s="567" t="s">
        <v>168</v>
      </c>
      <c r="B2129" s="644" t="s">
        <v>168</v>
      </c>
      <c r="C2129" s="645"/>
      <c r="D2129" s="422" t="s">
        <v>212</v>
      </c>
      <c r="E2129" s="423"/>
      <c r="F2129" s="424">
        <v>500</v>
      </c>
      <c r="G2129" s="425">
        <v>4.7199999999999999E-2</v>
      </c>
      <c r="H2129" s="649">
        <f>IF(F2129&lt;=30,(0.78*F2129+7.82)*G2129,((0.78*30+7.82)+0.78*(F2129-30))*G2129)</f>
        <v>18.777104000000001</v>
      </c>
      <c r="I2129" s="420"/>
      <c r="J2129" s="420"/>
      <c r="K2129" s="421">
        <f t="shared" si="549"/>
        <v>0</v>
      </c>
      <c r="L2129" s="647"/>
      <c r="M2129" s="723"/>
      <c r="N2129" s="576">
        <f t="shared" si="536"/>
        <v>0</v>
      </c>
      <c r="O2129" s="577">
        <f t="shared" si="552"/>
        <v>0</v>
      </c>
      <c r="P2129" s="578">
        <f t="shared" si="553"/>
        <v>0</v>
      </c>
      <c r="Q2129" s="765"/>
      <c r="R2129" s="723"/>
      <c r="S2129" s="723"/>
      <c r="T2129" s="577">
        <f t="shared" si="550"/>
        <v>0</v>
      </c>
      <c r="U2129" s="578">
        <f t="shared" si="551"/>
        <v>0</v>
      </c>
      <c r="V2129" s="579"/>
      <c r="W2129" s="566" t="str">
        <f>IF(U2128&gt;0,"xx",IF(P2128&gt;0,"xy",""))</f>
        <v/>
      </c>
      <c r="X2129" s="586" t="str">
        <f t="shared" si="556"/>
        <v/>
      </c>
      <c r="Y2129" s="586" t="str">
        <f t="shared" si="531"/>
        <v/>
      </c>
      <c r="Z2129" s="586" t="str">
        <f t="shared" si="542"/>
        <v/>
      </c>
    </row>
    <row r="2130" spans="1:26" ht="12" hidden="1" thickBot="1" x14ac:dyDescent="0.25">
      <c r="A2130" s="567" t="s">
        <v>168</v>
      </c>
      <c r="B2130" s="644" t="s">
        <v>168</v>
      </c>
      <c r="C2130" s="645"/>
      <c r="D2130" s="422" t="s">
        <v>248</v>
      </c>
      <c r="E2130" s="423"/>
      <c r="F2130" s="424">
        <v>180</v>
      </c>
      <c r="G2130" s="425">
        <v>0.17269999999999999</v>
      </c>
      <c r="H2130" s="663">
        <f t="shared" ref="H2130:H2132" si="558">IF(F2130&lt;=30,(1.07*F2130+2.68)*G2130,((1.07*30+2.68)+1.07*(F2130-30))*G2130)</f>
        <v>33.724855999999996</v>
      </c>
      <c r="I2130" s="420"/>
      <c r="J2130" s="420"/>
      <c r="K2130" s="421">
        <f t="shared" si="549"/>
        <v>0</v>
      </c>
      <c r="L2130" s="647"/>
      <c r="M2130" s="723"/>
      <c r="N2130" s="576">
        <f t="shared" si="536"/>
        <v>0</v>
      </c>
      <c r="O2130" s="577">
        <f t="shared" si="552"/>
        <v>0</v>
      </c>
      <c r="P2130" s="578">
        <f t="shared" si="553"/>
        <v>0</v>
      </c>
      <c r="Q2130" s="765"/>
      <c r="R2130" s="723"/>
      <c r="S2130" s="723"/>
      <c r="T2130" s="577">
        <f t="shared" si="550"/>
        <v>0</v>
      </c>
      <c r="U2130" s="578">
        <f t="shared" si="551"/>
        <v>0</v>
      </c>
      <c r="V2130" s="579"/>
      <c r="W2130" s="566" t="str">
        <f>IF(U2128&gt;0,"xx",IF(P2128&gt;0,"xy",""))</f>
        <v/>
      </c>
      <c r="X2130" s="586" t="str">
        <f t="shared" si="556"/>
        <v/>
      </c>
      <c r="Y2130" s="586" t="str">
        <f t="shared" si="531"/>
        <v/>
      </c>
      <c r="Z2130" s="586" t="str">
        <f t="shared" si="542"/>
        <v/>
      </c>
    </row>
    <row r="2131" spans="1:26" ht="12" hidden="1" thickBot="1" x14ac:dyDescent="0.25">
      <c r="A2131" s="567" t="s">
        <v>168</v>
      </c>
      <c r="B2131" s="644" t="s">
        <v>168</v>
      </c>
      <c r="C2131" s="645"/>
      <c r="D2131" s="422" t="s">
        <v>252</v>
      </c>
      <c r="E2131" s="423"/>
      <c r="F2131" s="424">
        <v>20</v>
      </c>
      <c r="G2131" s="425">
        <v>0.28770000000000001</v>
      </c>
      <c r="H2131" s="663">
        <f t="shared" si="558"/>
        <v>6.9278160000000009</v>
      </c>
      <c r="I2131" s="420"/>
      <c r="J2131" s="420"/>
      <c r="K2131" s="421">
        <f t="shared" si="549"/>
        <v>0</v>
      </c>
      <c r="L2131" s="647"/>
      <c r="M2131" s="723"/>
      <c r="N2131" s="576">
        <f t="shared" si="536"/>
        <v>0</v>
      </c>
      <c r="O2131" s="577">
        <f t="shared" si="552"/>
        <v>0</v>
      </c>
      <c r="P2131" s="578">
        <f t="shared" si="553"/>
        <v>0</v>
      </c>
      <c r="Q2131" s="765"/>
      <c r="R2131" s="723"/>
      <c r="S2131" s="723"/>
      <c r="T2131" s="577">
        <f t="shared" si="550"/>
        <v>0</v>
      </c>
      <c r="U2131" s="578">
        <f t="shared" si="551"/>
        <v>0</v>
      </c>
      <c r="V2131" s="579"/>
      <c r="W2131" s="566" t="str">
        <f>IF(U2128&gt;0,"xx",IF(P2128&gt;0,"xy",""))</f>
        <v/>
      </c>
      <c r="X2131" s="586" t="str">
        <f t="shared" si="556"/>
        <v/>
      </c>
      <c r="Y2131" s="586" t="str">
        <f t="shared" si="531"/>
        <v/>
      </c>
      <c r="Z2131" s="586" t="str">
        <f t="shared" si="542"/>
        <v/>
      </c>
    </row>
    <row r="2132" spans="1:26" ht="12" hidden="1" thickBot="1" x14ac:dyDescent="0.25">
      <c r="A2132" s="567" t="s">
        <v>168</v>
      </c>
      <c r="B2132" s="644" t="s">
        <v>168</v>
      </c>
      <c r="C2132" s="645"/>
      <c r="D2132" s="422" t="s">
        <v>347</v>
      </c>
      <c r="E2132" s="423"/>
      <c r="F2132" s="424">
        <v>20</v>
      </c>
      <c r="G2132" s="425">
        <v>0.53</v>
      </c>
      <c r="H2132" s="663">
        <f t="shared" si="558"/>
        <v>12.762400000000001</v>
      </c>
      <c r="I2132" s="420"/>
      <c r="J2132" s="420"/>
      <c r="K2132" s="421">
        <f t="shared" si="549"/>
        <v>0</v>
      </c>
      <c r="L2132" s="647"/>
      <c r="M2132" s="723"/>
      <c r="N2132" s="576">
        <f t="shared" ref="N2132:N2195" si="559">IF(M2132=0,0,K2132)</f>
        <v>0</v>
      </c>
      <c r="O2132" s="577">
        <f t="shared" si="552"/>
        <v>0</v>
      </c>
      <c r="P2132" s="578">
        <f t="shared" si="553"/>
        <v>0</v>
      </c>
      <c r="Q2132" s="765"/>
      <c r="R2132" s="723"/>
      <c r="S2132" s="723"/>
      <c r="T2132" s="577">
        <f t="shared" si="550"/>
        <v>0</v>
      </c>
      <c r="U2132" s="578">
        <f t="shared" si="551"/>
        <v>0</v>
      </c>
      <c r="V2132" s="579"/>
      <c r="W2132" s="566" t="str">
        <f>IF(U2128&gt;0,"xx",IF(P2128&gt;0,"xy",""))</f>
        <v/>
      </c>
      <c r="X2132" s="586" t="str">
        <f t="shared" si="556"/>
        <v/>
      </c>
      <c r="Y2132" s="586" t="str">
        <f t="shared" si="531"/>
        <v/>
      </c>
      <c r="Z2132" s="586" t="str">
        <f t="shared" si="542"/>
        <v/>
      </c>
    </row>
    <row r="2133" spans="1:26" ht="12" hidden="1" thickBot="1" x14ac:dyDescent="0.25">
      <c r="A2133" s="567">
        <v>610900</v>
      </c>
      <c r="B2133" s="644" t="s">
        <v>1686</v>
      </c>
      <c r="C2133" s="645" t="s">
        <v>206</v>
      </c>
      <c r="D2133" s="422" t="s">
        <v>394</v>
      </c>
      <c r="E2133" s="423"/>
      <c r="F2133" s="424"/>
      <c r="G2133" s="425"/>
      <c r="H2133" s="651">
        <f>SUM(H2134:H2137)</f>
        <v>91.957618000000011</v>
      </c>
      <c r="I2133" s="420">
        <v>673.42000000000007</v>
      </c>
      <c r="J2133" s="420">
        <f>IF(ISBLANK(I2133),"",SUM(H2133:I2133))</f>
        <v>765.3776180000001</v>
      </c>
      <c r="K2133" s="421">
        <f t="shared" si="549"/>
        <v>909.35</v>
      </c>
      <c r="L2133" s="647" t="s">
        <v>19</v>
      </c>
      <c r="M2133" s="576"/>
      <c r="N2133" s="576">
        <f t="shared" si="559"/>
        <v>0</v>
      </c>
      <c r="O2133" s="577">
        <f t="shared" si="552"/>
        <v>0</v>
      </c>
      <c r="P2133" s="578">
        <f t="shared" si="553"/>
        <v>0</v>
      </c>
      <c r="Q2133" s="765"/>
      <c r="R2133" s="576">
        <f>M2133</f>
        <v>0</v>
      </c>
      <c r="S2133" s="576">
        <f>N2133</f>
        <v>0</v>
      </c>
      <c r="T2133" s="577">
        <f t="shared" si="550"/>
        <v>0</v>
      </c>
      <c r="U2133" s="578">
        <f t="shared" si="551"/>
        <v>0</v>
      </c>
      <c r="V2133" s="579"/>
      <c r="W2133" s="566"/>
      <c r="X2133" s="586" t="str">
        <f t="shared" si="556"/>
        <v/>
      </c>
      <c r="Y2133" s="586" t="str">
        <f t="shared" si="531"/>
        <v/>
      </c>
      <c r="Z2133" s="586" t="str">
        <f t="shared" si="542"/>
        <v/>
      </c>
    </row>
    <row r="2134" spans="1:26" ht="12" hidden="1" thickBot="1" x14ac:dyDescent="0.25">
      <c r="A2134" s="567" t="s">
        <v>168</v>
      </c>
      <c r="B2134" s="644" t="s">
        <v>168</v>
      </c>
      <c r="C2134" s="645"/>
      <c r="D2134" s="422" t="s">
        <v>212</v>
      </c>
      <c r="E2134" s="423"/>
      <c r="F2134" s="424">
        <v>500</v>
      </c>
      <c r="G2134" s="425">
        <v>5.9900000000000002E-2</v>
      </c>
      <c r="H2134" s="649">
        <f>IF(F2134&lt;=30,(0.78*F2134+7.82)*G2134,((0.78*30+7.82)+0.78*(F2134-30))*G2134)</f>
        <v>23.829418000000004</v>
      </c>
      <c r="I2134" s="420"/>
      <c r="J2134" s="420"/>
      <c r="K2134" s="421">
        <f t="shared" si="549"/>
        <v>0</v>
      </c>
      <c r="L2134" s="647"/>
      <c r="M2134" s="723"/>
      <c r="N2134" s="576">
        <f t="shared" si="559"/>
        <v>0</v>
      </c>
      <c r="O2134" s="577">
        <f t="shared" si="552"/>
        <v>0</v>
      </c>
      <c r="P2134" s="578">
        <f t="shared" si="553"/>
        <v>0</v>
      </c>
      <c r="Q2134" s="765"/>
      <c r="R2134" s="723"/>
      <c r="S2134" s="723"/>
      <c r="T2134" s="577">
        <f t="shared" si="550"/>
        <v>0</v>
      </c>
      <c r="U2134" s="578">
        <f t="shared" si="551"/>
        <v>0</v>
      </c>
      <c r="V2134" s="579"/>
      <c r="W2134" s="566" t="str">
        <f>IF(U2133&gt;0,"xx",IF(P2133&gt;0,"xy",""))</f>
        <v/>
      </c>
      <c r="X2134" s="586" t="str">
        <f t="shared" si="556"/>
        <v/>
      </c>
      <c r="Y2134" s="586" t="str">
        <f t="shared" si="531"/>
        <v/>
      </c>
      <c r="Z2134" s="586" t="str">
        <f t="shared" si="542"/>
        <v/>
      </c>
    </row>
    <row r="2135" spans="1:26" ht="12" hidden="1" thickBot="1" x14ac:dyDescent="0.25">
      <c r="A2135" s="567" t="s">
        <v>168</v>
      </c>
      <c r="B2135" s="644" t="s">
        <v>168</v>
      </c>
      <c r="C2135" s="645"/>
      <c r="D2135" s="422" t="s">
        <v>248</v>
      </c>
      <c r="E2135" s="423"/>
      <c r="F2135" s="424">
        <v>180</v>
      </c>
      <c r="G2135" s="425">
        <v>0.21840000000000001</v>
      </c>
      <c r="H2135" s="663">
        <f t="shared" ref="H2135:H2137" si="560">IF(F2135&lt;=30,(1.07*F2135+2.68)*G2135,((1.07*30+2.68)+1.07*(F2135-30))*G2135)</f>
        <v>42.649152000000001</v>
      </c>
      <c r="I2135" s="420"/>
      <c r="J2135" s="420"/>
      <c r="K2135" s="421">
        <f t="shared" si="549"/>
        <v>0</v>
      </c>
      <c r="L2135" s="647"/>
      <c r="M2135" s="723"/>
      <c r="N2135" s="576">
        <f t="shared" si="559"/>
        <v>0</v>
      </c>
      <c r="O2135" s="577">
        <f t="shared" si="552"/>
        <v>0</v>
      </c>
      <c r="P2135" s="578">
        <f t="shared" si="553"/>
        <v>0</v>
      </c>
      <c r="Q2135" s="765"/>
      <c r="R2135" s="723"/>
      <c r="S2135" s="723"/>
      <c r="T2135" s="577">
        <f t="shared" si="550"/>
        <v>0</v>
      </c>
      <c r="U2135" s="578">
        <f t="shared" si="551"/>
        <v>0</v>
      </c>
      <c r="V2135" s="579"/>
      <c r="W2135" s="566" t="str">
        <f>IF(U2133&gt;0,"xx",IF(P2133&gt;0,"xy",""))</f>
        <v/>
      </c>
      <c r="X2135" s="586" t="str">
        <f t="shared" si="556"/>
        <v/>
      </c>
      <c r="Y2135" s="586" t="str">
        <f t="shared" si="531"/>
        <v/>
      </c>
      <c r="Z2135" s="586" t="str">
        <f t="shared" si="542"/>
        <v/>
      </c>
    </row>
    <row r="2136" spans="1:26" ht="12" hidden="1" thickBot="1" x14ac:dyDescent="0.25">
      <c r="A2136" s="567" t="s">
        <v>168</v>
      </c>
      <c r="B2136" s="644" t="s">
        <v>168</v>
      </c>
      <c r="C2136" s="645"/>
      <c r="D2136" s="422" t="s">
        <v>252</v>
      </c>
      <c r="E2136" s="423"/>
      <c r="F2136" s="424">
        <v>20</v>
      </c>
      <c r="G2136" s="425">
        <v>0.36809999999999998</v>
      </c>
      <c r="H2136" s="663">
        <f t="shared" si="560"/>
        <v>8.8638480000000008</v>
      </c>
      <c r="I2136" s="420"/>
      <c r="J2136" s="420"/>
      <c r="K2136" s="421">
        <f t="shared" si="549"/>
        <v>0</v>
      </c>
      <c r="L2136" s="647"/>
      <c r="M2136" s="723"/>
      <c r="N2136" s="576">
        <f t="shared" si="559"/>
        <v>0</v>
      </c>
      <c r="O2136" s="577">
        <f t="shared" si="552"/>
        <v>0</v>
      </c>
      <c r="P2136" s="578">
        <f t="shared" si="553"/>
        <v>0</v>
      </c>
      <c r="Q2136" s="765"/>
      <c r="R2136" s="723"/>
      <c r="S2136" s="723"/>
      <c r="T2136" s="577">
        <f t="shared" si="550"/>
        <v>0</v>
      </c>
      <c r="U2136" s="578">
        <f t="shared" si="551"/>
        <v>0</v>
      </c>
      <c r="V2136" s="579"/>
      <c r="W2136" s="566" t="str">
        <f>IF(U2133&gt;0,"xx",IF(P2133&gt;0,"xy",""))</f>
        <v/>
      </c>
      <c r="X2136" s="586" t="str">
        <f t="shared" si="556"/>
        <v/>
      </c>
      <c r="Y2136" s="586" t="str">
        <f t="shared" si="531"/>
        <v/>
      </c>
      <c r="Z2136" s="586" t="str">
        <f t="shared" si="542"/>
        <v/>
      </c>
    </row>
    <row r="2137" spans="1:26" ht="12" hidden="1" thickBot="1" x14ac:dyDescent="0.25">
      <c r="A2137" s="567" t="s">
        <v>168</v>
      </c>
      <c r="B2137" s="644" t="s">
        <v>168</v>
      </c>
      <c r="C2137" s="645"/>
      <c r="D2137" s="422" t="s">
        <v>347</v>
      </c>
      <c r="E2137" s="423"/>
      <c r="F2137" s="424">
        <v>20</v>
      </c>
      <c r="G2137" s="425">
        <v>0.69</v>
      </c>
      <c r="H2137" s="663">
        <f t="shared" si="560"/>
        <v>16.615200000000002</v>
      </c>
      <c r="I2137" s="420"/>
      <c r="J2137" s="420"/>
      <c r="K2137" s="421">
        <f t="shared" si="549"/>
        <v>0</v>
      </c>
      <c r="L2137" s="647"/>
      <c r="M2137" s="723"/>
      <c r="N2137" s="576">
        <f t="shared" si="559"/>
        <v>0</v>
      </c>
      <c r="O2137" s="577">
        <f t="shared" si="552"/>
        <v>0</v>
      </c>
      <c r="P2137" s="578">
        <f t="shared" si="553"/>
        <v>0</v>
      </c>
      <c r="Q2137" s="765"/>
      <c r="R2137" s="723"/>
      <c r="S2137" s="723"/>
      <c r="T2137" s="577">
        <f t="shared" si="550"/>
        <v>0</v>
      </c>
      <c r="U2137" s="578">
        <f t="shared" si="551"/>
        <v>0</v>
      </c>
      <c r="V2137" s="579"/>
      <c r="W2137" s="566" t="str">
        <f>IF(U2133&gt;0,"xx",IF(P2133&gt;0,"xy",""))</f>
        <v/>
      </c>
      <c r="X2137" s="586" t="str">
        <f t="shared" si="556"/>
        <v/>
      </c>
      <c r="Y2137" s="586" t="str">
        <f t="shared" si="531"/>
        <v/>
      </c>
      <c r="Z2137" s="586" t="str">
        <f t="shared" si="542"/>
        <v/>
      </c>
    </row>
    <row r="2138" spans="1:26" ht="12" hidden="1" thickBot="1" x14ac:dyDescent="0.25">
      <c r="A2138" s="567">
        <v>611100</v>
      </c>
      <c r="B2138" s="644" t="s">
        <v>1699</v>
      </c>
      <c r="C2138" s="645" t="s">
        <v>206</v>
      </c>
      <c r="D2138" s="422" t="s">
        <v>584</v>
      </c>
      <c r="E2138" s="423"/>
      <c r="F2138" s="424"/>
      <c r="G2138" s="425"/>
      <c r="H2138" s="651">
        <f>SUM(H2139:H2142)</f>
        <v>115.465452</v>
      </c>
      <c r="I2138" s="420">
        <v>831.46</v>
      </c>
      <c r="J2138" s="420">
        <f>IF(ISBLANK(I2138),"",SUM(H2138:I2138))</f>
        <v>946.92545200000006</v>
      </c>
      <c r="K2138" s="421">
        <f t="shared" si="549"/>
        <v>1125.04</v>
      </c>
      <c r="L2138" s="647" t="s">
        <v>19</v>
      </c>
      <c r="M2138" s="576"/>
      <c r="N2138" s="576">
        <f t="shared" si="559"/>
        <v>0</v>
      </c>
      <c r="O2138" s="577">
        <f t="shared" si="552"/>
        <v>0</v>
      </c>
      <c r="P2138" s="578">
        <f t="shared" si="553"/>
        <v>0</v>
      </c>
      <c r="Q2138" s="765"/>
      <c r="R2138" s="576">
        <f>M2138</f>
        <v>0</v>
      </c>
      <c r="S2138" s="576">
        <f>N2138</f>
        <v>0</v>
      </c>
      <c r="T2138" s="577">
        <f t="shared" si="550"/>
        <v>0</v>
      </c>
      <c r="U2138" s="578">
        <f t="shared" si="551"/>
        <v>0</v>
      </c>
      <c r="V2138" s="579"/>
      <c r="W2138" s="566"/>
      <c r="X2138" s="586" t="str">
        <f t="shared" si="556"/>
        <v/>
      </c>
      <c r="Y2138" s="586" t="str">
        <f t="shared" si="531"/>
        <v/>
      </c>
      <c r="Z2138" s="586" t="str">
        <f t="shared" si="542"/>
        <v/>
      </c>
    </row>
    <row r="2139" spans="1:26" ht="12" hidden="1" thickBot="1" x14ac:dyDescent="0.25">
      <c r="A2139" s="567" t="s">
        <v>168</v>
      </c>
      <c r="B2139" s="644" t="s">
        <v>168</v>
      </c>
      <c r="C2139" s="645"/>
      <c r="D2139" s="422" t="s">
        <v>212</v>
      </c>
      <c r="E2139" s="423"/>
      <c r="F2139" s="424">
        <v>500</v>
      </c>
      <c r="G2139" s="425">
        <v>7.5800000000000006E-2</v>
      </c>
      <c r="H2139" s="649">
        <f>IF(F2139&lt;=30,(0.78*F2139+7.82)*G2139,((0.78*30+7.82)+0.78*(F2139-30))*G2139)</f>
        <v>30.154756000000006</v>
      </c>
      <c r="I2139" s="420"/>
      <c r="J2139" s="420"/>
      <c r="K2139" s="421">
        <f t="shared" si="549"/>
        <v>0</v>
      </c>
      <c r="L2139" s="647"/>
      <c r="M2139" s="723"/>
      <c r="N2139" s="576">
        <f t="shared" si="559"/>
        <v>0</v>
      </c>
      <c r="O2139" s="577">
        <f t="shared" si="552"/>
        <v>0</v>
      </c>
      <c r="P2139" s="578">
        <f t="shared" si="553"/>
        <v>0</v>
      </c>
      <c r="Q2139" s="765"/>
      <c r="R2139" s="723"/>
      <c r="S2139" s="723"/>
      <c r="T2139" s="577">
        <f t="shared" si="550"/>
        <v>0</v>
      </c>
      <c r="U2139" s="578">
        <f t="shared" si="551"/>
        <v>0</v>
      </c>
      <c r="V2139" s="579"/>
      <c r="W2139" s="566" t="str">
        <f>IF(U2138&gt;0,"xx",IF(P2138&gt;0,"xy",""))</f>
        <v/>
      </c>
      <c r="X2139" s="586" t="str">
        <f t="shared" si="556"/>
        <v/>
      </c>
      <c r="Y2139" s="586" t="str">
        <f t="shared" si="531"/>
        <v/>
      </c>
      <c r="Z2139" s="586" t="str">
        <f t="shared" si="542"/>
        <v/>
      </c>
    </row>
    <row r="2140" spans="1:26" ht="12" hidden="1" thickBot="1" x14ac:dyDescent="0.25">
      <c r="A2140" s="567" t="s">
        <v>168</v>
      </c>
      <c r="B2140" s="644" t="s">
        <v>168</v>
      </c>
      <c r="C2140" s="645"/>
      <c r="D2140" s="422" t="s">
        <v>248</v>
      </c>
      <c r="E2140" s="423"/>
      <c r="F2140" s="424">
        <v>180</v>
      </c>
      <c r="G2140" s="425">
        <v>0.27639999999999998</v>
      </c>
      <c r="H2140" s="663">
        <f t="shared" ref="H2140:H2142" si="561">IF(F2140&lt;=30,(1.07*F2140+2.68)*G2140,((1.07*30+2.68)+1.07*(F2140-30))*G2140)</f>
        <v>53.975391999999999</v>
      </c>
      <c r="I2140" s="420"/>
      <c r="J2140" s="420"/>
      <c r="K2140" s="421">
        <f t="shared" si="549"/>
        <v>0</v>
      </c>
      <c r="L2140" s="647"/>
      <c r="M2140" s="723"/>
      <c r="N2140" s="576">
        <f t="shared" si="559"/>
        <v>0</v>
      </c>
      <c r="O2140" s="577">
        <f t="shared" si="552"/>
        <v>0</v>
      </c>
      <c r="P2140" s="578">
        <f t="shared" si="553"/>
        <v>0</v>
      </c>
      <c r="Q2140" s="765"/>
      <c r="R2140" s="723"/>
      <c r="S2140" s="723"/>
      <c r="T2140" s="577">
        <f t="shared" si="550"/>
        <v>0</v>
      </c>
      <c r="U2140" s="578">
        <f t="shared" si="551"/>
        <v>0</v>
      </c>
      <c r="V2140" s="579"/>
      <c r="W2140" s="566" t="str">
        <f>IF(U2138&gt;0,"xx",IF(P2138&gt;0,"xy",""))</f>
        <v/>
      </c>
      <c r="X2140" s="586" t="str">
        <f t="shared" si="556"/>
        <v/>
      </c>
      <c r="Y2140" s="586" t="str">
        <f t="shared" si="531"/>
        <v/>
      </c>
      <c r="Z2140" s="586" t="str">
        <f t="shared" si="542"/>
        <v/>
      </c>
    </row>
    <row r="2141" spans="1:26" ht="12" hidden="1" thickBot="1" x14ac:dyDescent="0.25">
      <c r="A2141" s="567" t="s">
        <v>168</v>
      </c>
      <c r="B2141" s="644" t="s">
        <v>168</v>
      </c>
      <c r="C2141" s="645"/>
      <c r="D2141" s="422" t="s">
        <v>252</v>
      </c>
      <c r="E2141" s="423"/>
      <c r="F2141" s="424">
        <v>20</v>
      </c>
      <c r="G2141" s="425">
        <v>0.46629999999999999</v>
      </c>
      <c r="H2141" s="663">
        <f t="shared" si="561"/>
        <v>11.228504000000001</v>
      </c>
      <c r="I2141" s="420"/>
      <c r="J2141" s="420"/>
      <c r="K2141" s="421">
        <f t="shared" si="549"/>
        <v>0</v>
      </c>
      <c r="L2141" s="647"/>
      <c r="M2141" s="723"/>
      <c r="N2141" s="576">
        <f t="shared" si="559"/>
        <v>0</v>
      </c>
      <c r="O2141" s="577">
        <f t="shared" si="552"/>
        <v>0</v>
      </c>
      <c r="P2141" s="578">
        <f t="shared" si="553"/>
        <v>0</v>
      </c>
      <c r="Q2141" s="765"/>
      <c r="R2141" s="723"/>
      <c r="S2141" s="723"/>
      <c r="T2141" s="577">
        <f t="shared" si="550"/>
        <v>0</v>
      </c>
      <c r="U2141" s="578">
        <f t="shared" si="551"/>
        <v>0</v>
      </c>
      <c r="V2141" s="579"/>
      <c r="W2141" s="566" t="str">
        <f>IF(U2138&gt;0,"xx",IF(P2138&gt;0,"xy",""))</f>
        <v/>
      </c>
      <c r="X2141" s="586" t="str">
        <f t="shared" si="556"/>
        <v/>
      </c>
      <c r="Y2141" s="586" t="str">
        <f t="shared" si="531"/>
        <v/>
      </c>
      <c r="Z2141" s="586" t="str">
        <f t="shared" si="542"/>
        <v/>
      </c>
    </row>
    <row r="2142" spans="1:26" ht="12" hidden="1" thickBot="1" x14ac:dyDescent="0.25">
      <c r="A2142" s="567" t="s">
        <v>168</v>
      </c>
      <c r="B2142" s="644" t="s">
        <v>168</v>
      </c>
      <c r="C2142" s="645"/>
      <c r="D2142" s="422" t="s">
        <v>347</v>
      </c>
      <c r="E2142" s="423"/>
      <c r="F2142" s="424">
        <v>20</v>
      </c>
      <c r="G2142" s="425">
        <v>0.83499999999999996</v>
      </c>
      <c r="H2142" s="663">
        <f t="shared" si="561"/>
        <v>20.1068</v>
      </c>
      <c r="I2142" s="420"/>
      <c r="J2142" s="420"/>
      <c r="K2142" s="421">
        <f t="shared" si="549"/>
        <v>0</v>
      </c>
      <c r="L2142" s="647"/>
      <c r="M2142" s="723"/>
      <c r="N2142" s="576">
        <f t="shared" si="559"/>
        <v>0</v>
      </c>
      <c r="O2142" s="577">
        <f t="shared" si="552"/>
        <v>0</v>
      </c>
      <c r="P2142" s="578">
        <f t="shared" si="553"/>
        <v>0</v>
      </c>
      <c r="Q2142" s="765"/>
      <c r="R2142" s="723"/>
      <c r="S2142" s="723"/>
      <c r="T2142" s="577">
        <f t="shared" si="550"/>
        <v>0</v>
      </c>
      <c r="U2142" s="578">
        <f t="shared" si="551"/>
        <v>0</v>
      </c>
      <c r="V2142" s="579"/>
      <c r="W2142" s="566" t="str">
        <f>IF(U2138&gt;0,"xx",IF(P2138&gt;0,"xy",""))</f>
        <v/>
      </c>
      <c r="X2142" s="586" t="str">
        <f t="shared" si="556"/>
        <v/>
      </c>
      <c r="Y2142" s="586" t="str">
        <f t="shared" si="531"/>
        <v/>
      </c>
      <c r="Z2142" s="586" t="str">
        <f t="shared" si="542"/>
        <v/>
      </c>
    </row>
    <row r="2143" spans="1:26" ht="12" hidden="1" thickBot="1" x14ac:dyDescent="0.25">
      <c r="A2143" s="567">
        <v>611100</v>
      </c>
      <c r="B2143" s="644" t="s">
        <v>1700</v>
      </c>
      <c r="C2143" s="645" t="s">
        <v>206</v>
      </c>
      <c r="D2143" s="422" t="s">
        <v>395</v>
      </c>
      <c r="E2143" s="423"/>
      <c r="F2143" s="424"/>
      <c r="G2143" s="425"/>
      <c r="H2143" s="651">
        <f>SUM(H2144:H2147)</f>
        <v>139.43295000000003</v>
      </c>
      <c r="I2143" s="420">
        <v>989.5</v>
      </c>
      <c r="J2143" s="420">
        <f>IF(ISBLANK(I2143),"",SUM(H2143:I2143))</f>
        <v>1128.9329500000001</v>
      </c>
      <c r="K2143" s="421">
        <f t="shared" si="549"/>
        <v>1341.29</v>
      </c>
      <c r="L2143" s="647" t="s">
        <v>19</v>
      </c>
      <c r="M2143" s="576"/>
      <c r="N2143" s="576">
        <f t="shared" si="559"/>
        <v>0</v>
      </c>
      <c r="O2143" s="577">
        <f t="shared" si="552"/>
        <v>0</v>
      </c>
      <c r="P2143" s="578">
        <f t="shared" si="553"/>
        <v>0</v>
      </c>
      <c r="Q2143" s="765"/>
      <c r="R2143" s="576">
        <f>M2143</f>
        <v>0</v>
      </c>
      <c r="S2143" s="576">
        <f>N2143</f>
        <v>0</v>
      </c>
      <c r="T2143" s="577">
        <f t="shared" si="550"/>
        <v>0</v>
      </c>
      <c r="U2143" s="578">
        <f t="shared" si="551"/>
        <v>0</v>
      </c>
      <c r="V2143" s="579"/>
      <c r="W2143" s="566"/>
      <c r="X2143" s="586" t="str">
        <f t="shared" si="556"/>
        <v/>
      </c>
      <c r="Y2143" s="586" t="str">
        <f t="shared" si="531"/>
        <v/>
      </c>
      <c r="Z2143" s="586" t="str">
        <f t="shared" si="542"/>
        <v/>
      </c>
    </row>
    <row r="2144" spans="1:26" ht="12" hidden="1" thickBot="1" x14ac:dyDescent="0.25">
      <c r="A2144" s="567" t="s">
        <v>168</v>
      </c>
      <c r="B2144" s="644" t="s">
        <v>168</v>
      </c>
      <c r="C2144" s="645"/>
      <c r="D2144" s="422" t="s">
        <v>212</v>
      </c>
      <c r="E2144" s="423"/>
      <c r="F2144" s="424">
        <v>500</v>
      </c>
      <c r="G2144" s="425">
        <v>9.1700000000000004E-2</v>
      </c>
      <c r="H2144" s="649">
        <f>IF(F2144&lt;=30,(0.78*F2144+7.82)*G2144,((0.78*30+7.82)+0.78*(F2144-30))*G2144)</f>
        <v>36.480094000000008</v>
      </c>
      <c r="I2144" s="420"/>
      <c r="J2144" s="420"/>
      <c r="K2144" s="421">
        <f t="shared" si="549"/>
        <v>0</v>
      </c>
      <c r="L2144" s="647"/>
      <c r="M2144" s="723"/>
      <c r="N2144" s="576">
        <f t="shared" si="559"/>
        <v>0</v>
      </c>
      <c r="O2144" s="577">
        <f t="shared" si="552"/>
        <v>0</v>
      </c>
      <c r="P2144" s="578">
        <f t="shared" si="553"/>
        <v>0</v>
      </c>
      <c r="Q2144" s="765"/>
      <c r="R2144" s="723"/>
      <c r="S2144" s="723"/>
      <c r="T2144" s="577">
        <f t="shared" si="550"/>
        <v>0</v>
      </c>
      <c r="U2144" s="578">
        <f t="shared" si="551"/>
        <v>0</v>
      </c>
      <c r="V2144" s="579"/>
      <c r="W2144" s="566" t="str">
        <f>IF(U2143&gt;0,"xx",IF(P2143&gt;0,"xy",""))</f>
        <v/>
      </c>
      <c r="X2144" s="586" t="str">
        <f t="shared" si="556"/>
        <v/>
      </c>
      <c r="Y2144" s="586" t="str">
        <f t="shared" si="531"/>
        <v/>
      </c>
      <c r="Z2144" s="586" t="str">
        <f t="shared" si="542"/>
        <v/>
      </c>
    </row>
    <row r="2145" spans="1:26" ht="12" hidden="1" thickBot="1" x14ac:dyDescent="0.25">
      <c r="A2145" s="567" t="s">
        <v>168</v>
      </c>
      <c r="B2145" s="644" t="s">
        <v>168</v>
      </c>
      <c r="C2145" s="645"/>
      <c r="D2145" s="422" t="s">
        <v>248</v>
      </c>
      <c r="E2145" s="423"/>
      <c r="F2145" s="424">
        <v>180</v>
      </c>
      <c r="G2145" s="425">
        <v>0.33429999999999999</v>
      </c>
      <c r="H2145" s="663">
        <f t="shared" ref="H2145:H2147" si="562">IF(F2145&lt;=30,(1.07*F2145+2.68)*G2145,((1.07*30+2.68)+1.07*(F2145-30))*G2145)</f>
        <v>65.282104000000004</v>
      </c>
      <c r="I2145" s="420"/>
      <c r="J2145" s="420"/>
      <c r="K2145" s="421">
        <f t="shared" si="549"/>
        <v>0</v>
      </c>
      <c r="L2145" s="647"/>
      <c r="M2145" s="723"/>
      <c r="N2145" s="576">
        <f t="shared" si="559"/>
        <v>0</v>
      </c>
      <c r="O2145" s="577">
        <f t="shared" si="552"/>
        <v>0</v>
      </c>
      <c r="P2145" s="578">
        <f t="shared" si="553"/>
        <v>0</v>
      </c>
      <c r="Q2145" s="765"/>
      <c r="R2145" s="723"/>
      <c r="S2145" s="723"/>
      <c r="T2145" s="577">
        <f t="shared" si="550"/>
        <v>0</v>
      </c>
      <c r="U2145" s="578">
        <f t="shared" si="551"/>
        <v>0</v>
      </c>
      <c r="V2145" s="579"/>
      <c r="W2145" s="566" t="str">
        <f>IF(U2143&gt;0,"xx",IF(P2143&gt;0,"xy",""))</f>
        <v/>
      </c>
      <c r="X2145" s="586" t="str">
        <f t="shared" si="556"/>
        <v/>
      </c>
      <c r="Y2145" s="586" t="str">
        <f t="shared" si="531"/>
        <v/>
      </c>
      <c r="Z2145" s="586" t="str">
        <f t="shared" si="542"/>
        <v/>
      </c>
    </row>
    <row r="2146" spans="1:26" ht="12" hidden="1" thickBot="1" x14ac:dyDescent="0.25">
      <c r="A2146" s="567" t="s">
        <v>168</v>
      </c>
      <c r="B2146" s="644" t="s">
        <v>168</v>
      </c>
      <c r="C2146" s="645"/>
      <c r="D2146" s="422" t="s">
        <v>252</v>
      </c>
      <c r="E2146" s="423"/>
      <c r="F2146" s="424">
        <v>20</v>
      </c>
      <c r="G2146" s="425">
        <v>0.56440000000000001</v>
      </c>
      <c r="H2146" s="663">
        <f t="shared" si="562"/>
        <v>13.590752000000002</v>
      </c>
      <c r="I2146" s="420"/>
      <c r="J2146" s="420"/>
      <c r="K2146" s="421">
        <f t="shared" si="549"/>
        <v>0</v>
      </c>
      <c r="L2146" s="647"/>
      <c r="M2146" s="723"/>
      <c r="N2146" s="576">
        <f t="shared" si="559"/>
        <v>0</v>
      </c>
      <c r="O2146" s="577">
        <f t="shared" si="552"/>
        <v>0</v>
      </c>
      <c r="P2146" s="578">
        <f t="shared" si="553"/>
        <v>0</v>
      </c>
      <c r="Q2146" s="765"/>
      <c r="R2146" s="723"/>
      <c r="S2146" s="723"/>
      <c r="T2146" s="577">
        <f t="shared" si="550"/>
        <v>0</v>
      </c>
      <c r="U2146" s="578">
        <f t="shared" si="551"/>
        <v>0</v>
      </c>
      <c r="V2146" s="579"/>
      <c r="W2146" s="566" t="str">
        <f>IF(U2143&gt;0,"xx",IF(P2143&gt;0,"xy",""))</f>
        <v/>
      </c>
      <c r="X2146" s="586" t="str">
        <f t="shared" si="556"/>
        <v/>
      </c>
      <c r="Y2146" s="586" t="str">
        <f t="shared" si="531"/>
        <v/>
      </c>
      <c r="Z2146" s="586" t="str">
        <f t="shared" si="542"/>
        <v/>
      </c>
    </row>
    <row r="2147" spans="1:26" ht="12" hidden="1" thickBot="1" x14ac:dyDescent="0.25">
      <c r="A2147" s="567" t="s">
        <v>168</v>
      </c>
      <c r="B2147" s="644" t="s">
        <v>168</v>
      </c>
      <c r="C2147" s="645"/>
      <c r="D2147" s="422" t="s">
        <v>347</v>
      </c>
      <c r="E2147" s="423"/>
      <c r="F2147" s="424">
        <v>20</v>
      </c>
      <c r="G2147" s="425">
        <v>1</v>
      </c>
      <c r="H2147" s="663">
        <f t="shared" si="562"/>
        <v>24.080000000000002</v>
      </c>
      <c r="I2147" s="420"/>
      <c r="J2147" s="420"/>
      <c r="K2147" s="421">
        <f t="shared" si="549"/>
        <v>0</v>
      </c>
      <c r="L2147" s="647"/>
      <c r="M2147" s="723"/>
      <c r="N2147" s="576">
        <f t="shared" si="559"/>
        <v>0</v>
      </c>
      <c r="O2147" s="577">
        <f t="shared" si="552"/>
        <v>0</v>
      </c>
      <c r="P2147" s="578">
        <f t="shared" si="553"/>
        <v>0</v>
      </c>
      <c r="Q2147" s="765"/>
      <c r="R2147" s="723"/>
      <c r="S2147" s="723"/>
      <c r="T2147" s="577">
        <f t="shared" si="550"/>
        <v>0</v>
      </c>
      <c r="U2147" s="578">
        <f t="shared" si="551"/>
        <v>0</v>
      </c>
      <c r="V2147" s="579"/>
      <c r="W2147" s="566" t="str">
        <f>IF(U2143&gt;0,"xx",IF(P2143&gt;0,"xy",""))</f>
        <v/>
      </c>
      <c r="X2147" s="586" t="str">
        <f t="shared" si="556"/>
        <v/>
      </c>
      <c r="Y2147" s="586" t="str">
        <f t="shared" si="531"/>
        <v/>
      </c>
      <c r="Z2147" s="586" t="str">
        <f t="shared" si="542"/>
        <v/>
      </c>
    </row>
    <row r="2148" spans="1:26" ht="12" hidden="1" thickBot="1" x14ac:dyDescent="0.25">
      <c r="A2148" s="567">
        <v>611300</v>
      </c>
      <c r="B2148" s="644">
        <v>611300</v>
      </c>
      <c r="C2148" s="645" t="s">
        <v>206</v>
      </c>
      <c r="D2148" s="422" t="s">
        <v>396</v>
      </c>
      <c r="E2148" s="423"/>
      <c r="F2148" s="424"/>
      <c r="G2148" s="425"/>
      <c r="H2148" s="651">
        <f>SUM(H2149:H2152)</f>
        <v>194.57126400000004</v>
      </c>
      <c r="I2148" s="420">
        <v>1318.96</v>
      </c>
      <c r="J2148" s="420">
        <f>IF(ISBLANK(I2148),"",SUM(H2148:I2148))</f>
        <v>1513.5312640000002</v>
      </c>
      <c r="K2148" s="421">
        <f t="shared" si="549"/>
        <v>1798.23</v>
      </c>
      <c r="L2148" s="647" t="s">
        <v>19</v>
      </c>
      <c r="M2148" s="576"/>
      <c r="N2148" s="576">
        <f t="shared" si="559"/>
        <v>0</v>
      </c>
      <c r="O2148" s="577">
        <f t="shared" si="552"/>
        <v>0</v>
      </c>
      <c r="P2148" s="578">
        <f t="shared" si="553"/>
        <v>0</v>
      </c>
      <c r="Q2148" s="765"/>
      <c r="R2148" s="576">
        <f>M2148</f>
        <v>0</v>
      </c>
      <c r="S2148" s="576">
        <f>N2148</f>
        <v>0</v>
      </c>
      <c r="T2148" s="577">
        <f t="shared" si="550"/>
        <v>0</v>
      </c>
      <c r="U2148" s="578">
        <f t="shared" si="551"/>
        <v>0</v>
      </c>
      <c r="V2148" s="579"/>
      <c r="W2148" s="566"/>
      <c r="X2148" s="586" t="str">
        <f t="shared" si="556"/>
        <v/>
      </c>
      <c r="Y2148" s="586" t="str">
        <f t="shared" si="531"/>
        <v/>
      </c>
      <c r="Z2148" s="586" t="str">
        <f t="shared" si="542"/>
        <v/>
      </c>
    </row>
    <row r="2149" spans="1:26" ht="12" hidden="1" thickBot="1" x14ac:dyDescent="0.25">
      <c r="A2149" s="567" t="s">
        <v>168</v>
      </c>
      <c r="B2149" s="644" t="s">
        <v>168</v>
      </c>
      <c r="C2149" s="645"/>
      <c r="D2149" s="422" t="s">
        <v>212</v>
      </c>
      <c r="E2149" s="423"/>
      <c r="F2149" s="424">
        <v>500</v>
      </c>
      <c r="G2149" s="425">
        <v>0.12720000000000001</v>
      </c>
      <c r="H2149" s="649">
        <f>IF(F2149&lt;=30,(0.78*F2149+7.82)*G2149,((0.78*30+7.82)+0.78*(F2149-30))*G2149)</f>
        <v>50.60270400000001</v>
      </c>
      <c r="I2149" s="420"/>
      <c r="J2149" s="420"/>
      <c r="K2149" s="421">
        <f t="shared" si="549"/>
        <v>0</v>
      </c>
      <c r="L2149" s="647"/>
      <c r="M2149" s="723"/>
      <c r="N2149" s="576">
        <f t="shared" si="559"/>
        <v>0</v>
      </c>
      <c r="O2149" s="577">
        <f t="shared" si="552"/>
        <v>0</v>
      </c>
      <c r="P2149" s="578">
        <f t="shared" si="553"/>
        <v>0</v>
      </c>
      <c r="Q2149" s="765"/>
      <c r="R2149" s="723"/>
      <c r="S2149" s="723"/>
      <c r="T2149" s="577">
        <f t="shared" si="550"/>
        <v>0</v>
      </c>
      <c r="U2149" s="578">
        <f t="shared" si="551"/>
        <v>0</v>
      </c>
      <c r="V2149" s="579"/>
      <c r="W2149" s="566" t="str">
        <f>IF(U2148&gt;0,"xx",IF(P2148&gt;0,"xy",""))</f>
        <v/>
      </c>
      <c r="X2149" s="586" t="str">
        <f t="shared" si="556"/>
        <v/>
      </c>
      <c r="Y2149" s="586" t="str">
        <f t="shared" si="531"/>
        <v/>
      </c>
      <c r="Z2149" s="586" t="str">
        <f t="shared" si="542"/>
        <v/>
      </c>
    </row>
    <row r="2150" spans="1:26" ht="12" hidden="1" thickBot="1" x14ac:dyDescent="0.25">
      <c r="A2150" s="567" t="s">
        <v>168</v>
      </c>
      <c r="B2150" s="644" t="s">
        <v>168</v>
      </c>
      <c r="C2150" s="645"/>
      <c r="D2150" s="422" t="s">
        <v>248</v>
      </c>
      <c r="E2150" s="423"/>
      <c r="F2150" s="424">
        <v>180</v>
      </c>
      <c r="G2150" s="425">
        <v>0.46300000000000002</v>
      </c>
      <c r="H2150" s="663">
        <f t="shared" ref="H2150:H2152" si="563">IF(F2150&lt;=30,(1.07*F2150+2.68)*G2150,((1.07*30+2.68)+1.07*(F2150-30))*G2150)</f>
        <v>90.414640000000006</v>
      </c>
      <c r="I2150" s="420"/>
      <c r="J2150" s="420"/>
      <c r="K2150" s="421">
        <f t="shared" si="549"/>
        <v>0</v>
      </c>
      <c r="L2150" s="647"/>
      <c r="M2150" s="723"/>
      <c r="N2150" s="576">
        <f t="shared" si="559"/>
        <v>0</v>
      </c>
      <c r="O2150" s="577">
        <f t="shared" si="552"/>
        <v>0</v>
      </c>
      <c r="P2150" s="578">
        <f t="shared" si="553"/>
        <v>0</v>
      </c>
      <c r="Q2150" s="765"/>
      <c r="R2150" s="723"/>
      <c r="S2150" s="723"/>
      <c r="T2150" s="577">
        <f t="shared" si="550"/>
        <v>0</v>
      </c>
      <c r="U2150" s="578">
        <f t="shared" si="551"/>
        <v>0</v>
      </c>
      <c r="V2150" s="579"/>
      <c r="W2150" s="566" t="str">
        <f>IF(U2148&gt;0,"xx",IF(P2148&gt;0,"xy",""))</f>
        <v/>
      </c>
      <c r="X2150" s="586" t="str">
        <f t="shared" si="556"/>
        <v/>
      </c>
      <c r="Y2150" s="586" t="str">
        <f t="shared" si="531"/>
        <v/>
      </c>
      <c r="Z2150" s="586" t="str">
        <f t="shared" si="542"/>
        <v/>
      </c>
    </row>
    <row r="2151" spans="1:26" ht="12" hidden="1" thickBot="1" x14ac:dyDescent="0.25">
      <c r="A2151" s="567" t="s">
        <v>168</v>
      </c>
      <c r="B2151" s="644" t="s">
        <v>168</v>
      </c>
      <c r="C2151" s="645"/>
      <c r="D2151" s="422" t="s">
        <v>252</v>
      </c>
      <c r="E2151" s="423"/>
      <c r="F2151" s="424">
        <v>20</v>
      </c>
      <c r="G2151" s="425">
        <v>0.78400000000000003</v>
      </c>
      <c r="H2151" s="663">
        <f t="shared" si="563"/>
        <v>18.878720000000001</v>
      </c>
      <c r="I2151" s="420"/>
      <c r="J2151" s="420"/>
      <c r="K2151" s="421">
        <f t="shared" si="549"/>
        <v>0</v>
      </c>
      <c r="L2151" s="647"/>
      <c r="M2151" s="723"/>
      <c r="N2151" s="576">
        <f t="shared" si="559"/>
        <v>0</v>
      </c>
      <c r="O2151" s="577">
        <f t="shared" si="552"/>
        <v>0</v>
      </c>
      <c r="P2151" s="578">
        <f t="shared" si="553"/>
        <v>0</v>
      </c>
      <c r="Q2151" s="765"/>
      <c r="R2151" s="723"/>
      <c r="S2151" s="723"/>
      <c r="T2151" s="577">
        <f t="shared" si="550"/>
        <v>0</v>
      </c>
      <c r="U2151" s="578">
        <f t="shared" si="551"/>
        <v>0</v>
      </c>
      <c r="V2151" s="579"/>
      <c r="W2151" s="566" t="str">
        <f>IF(U2148&gt;0,"xx",IF(P2148&gt;0,"xy",""))</f>
        <v/>
      </c>
      <c r="X2151" s="586" t="str">
        <f t="shared" si="556"/>
        <v/>
      </c>
      <c r="Y2151" s="586" t="str">
        <f t="shared" si="531"/>
        <v/>
      </c>
      <c r="Z2151" s="586" t="str">
        <f t="shared" si="542"/>
        <v/>
      </c>
    </row>
    <row r="2152" spans="1:26" ht="12" hidden="1" thickBot="1" x14ac:dyDescent="0.25">
      <c r="A2152" s="567" t="s">
        <v>168</v>
      </c>
      <c r="B2152" s="644" t="s">
        <v>168</v>
      </c>
      <c r="C2152" s="645"/>
      <c r="D2152" s="422" t="s">
        <v>347</v>
      </c>
      <c r="E2152" s="423"/>
      <c r="F2152" s="424">
        <v>20</v>
      </c>
      <c r="G2152" s="425">
        <v>1.44</v>
      </c>
      <c r="H2152" s="663">
        <f t="shared" si="563"/>
        <v>34.675200000000004</v>
      </c>
      <c r="I2152" s="420"/>
      <c r="J2152" s="420"/>
      <c r="K2152" s="421">
        <f t="shared" si="549"/>
        <v>0</v>
      </c>
      <c r="L2152" s="647"/>
      <c r="M2152" s="723"/>
      <c r="N2152" s="576">
        <f t="shared" si="559"/>
        <v>0</v>
      </c>
      <c r="O2152" s="577">
        <f t="shared" si="552"/>
        <v>0</v>
      </c>
      <c r="P2152" s="578">
        <f t="shared" si="553"/>
        <v>0</v>
      </c>
      <c r="Q2152" s="765"/>
      <c r="R2152" s="723"/>
      <c r="S2152" s="723"/>
      <c r="T2152" s="577">
        <f t="shared" si="550"/>
        <v>0</v>
      </c>
      <c r="U2152" s="578">
        <f t="shared" si="551"/>
        <v>0</v>
      </c>
      <c r="V2152" s="579"/>
      <c r="W2152" s="566" t="str">
        <f>IF(U2148&gt;0,"xx",IF(P2148&gt;0,"xy",""))</f>
        <v/>
      </c>
      <c r="X2152" s="586" t="str">
        <f t="shared" si="556"/>
        <v/>
      </c>
      <c r="Y2152" s="586" t="str">
        <f t="shared" si="531"/>
        <v/>
      </c>
      <c r="Z2152" s="586" t="str">
        <f t="shared" ref="Z2152:Z2215" si="564">IF(W2152="X","x",IF(U2152&gt;0,"x",""))</f>
        <v/>
      </c>
    </row>
    <row r="2153" spans="1:26" ht="12" hidden="1" thickBot="1" x14ac:dyDescent="0.25">
      <c r="A2153" s="567">
        <v>611500</v>
      </c>
      <c r="B2153" s="644" t="s">
        <v>1701</v>
      </c>
      <c r="C2153" s="645" t="s">
        <v>206</v>
      </c>
      <c r="D2153" s="422" t="s">
        <v>397</v>
      </c>
      <c r="E2153" s="423"/>
      <c r="F2153" s="424"/>
      <c r="G2153" s="425"/>
      <c r="H2153" s="651">
        <f>SUM(H2154:H2157)</f>
        <v>274.56131600000003</v>
      </c>
      <c r="I2153" s="420">
        <v>1721.3</v>
      </c>
      <c r="J2153" s="420">
        <f>IF(ISBLANK(I2153),"",SUM(H2153:I2153))</f>
        <v>1995.861316</v>
      </c>
      <c r="K2153" s="421">
        <f t="shared" si="549"/>
        <v>2371.2800000000002</v>
      </c>
      <c r="L2153" s="647" t="s">
        <v>19</v>
      </c>
      <c r="M2153" s="576"/>
      <c r="N2153" s="576">
        <f t="shared" si="559"/>
        <v>0</v>
      </c>
      <c r="O2153" s="577">
        <f t="shared" si="552"/>
        <v>0</v>
      </c>
      <c r="P2153" s="578">
        <f t="shared" si="553"/>
        <v>0</v>
      </c>
      <c r="Q2153" s="765"/>
      <c r="R2153" s="576">
        <f>M2153</f>
        <v>0</v>
      </c>
      <c r="S2153" s="576">
        <f>N2153</f>
        <v>0</v>
      </c>
      <c r="T2153" s="577">
        <f t="shared" si="550"/>
        <v>0</v>
      </c>
      <c r="U2153" s="578">
        <f t="shared" si="551"/>
        <v>0</v>
      </c>
      <c r="V2153" s="579"/>
      <c r="W2153" s="566"/>
      <c r="X2153" s="586" t="str">
        <f t="shared" si="556"/>
        <v/>
      </c>
      <c r="Y2153" s="586" t="str">
        <f t="shared" si="531"/>
        <v/>
      </c>
      <c r="Z2153" s="586" t="str">
        <f t="shared" si="564"/>
        <v/>
      </c>
    </row>
    <row r="2154" spans="1:26" ht="12" hidden="1" thickBot="1" x14ac:dyDescent="0.25">
      <c r="A2154" s="567" t="s">
        <v>168</v>
      </c>
      <c r="B2154" s="644" t="s">
        <v>168</v>
      </c>
      <c r="C2154" s="645"/>
      <c r="D2154" s="422" t="s">
        <v>212</v>
      </c>
      <c r="E2154" s="423"/>
      <c r="F2154" s="424">
        <v>500</v>
      </c>
      <c r="G2154" s="425">
        <v>0.187</v>
      </c>
      <c r="H2154" s="649">
        <f>IF(F2154&lt;=30,(0.78*F2154+7.82)*G2154,((0.78*30+7.82)+0.78*(F2154-30))*G2154)</f>
        <v>74.392340000000004</v>
      </c>
      <c r="I2154" s="420"/>
      <c r="J2154" s="420"/>
      <c r="K2154" s="421">
        <f t="shared" si="549"/>
        <v>0</v>
      </c>
      <c r="L2154" s="647"/>
      <c r="M2154" s="723"/>
      <c r="N2154" s="576">
        <f t="shared" si="559"/>
        <v>0</v>
      </c>
      <c r="O2154" s="577">
        <f t="shared" si="552"/>
        <v>0</v>
      </c>
      <c r="P2154" s="578">
        <f t="shared" si="553"/>
        <v>0</v>
      </c>
      <c r="Q2154" s="765"/>
      <c r="R2154" s="723"/>
      <c r="S2154" s="723"/>
      <c r="T2154" s="577">
        <f t="shared" si="550"/>
        <v>0</v>
      </c>
      <c r="U2154" s="578">
        <f t="shared" si="551"/>
        <v>0</v>
      </c>
      <c r="V2154" s="579"/>
      <c r="W2154" s="566" t="str">
        <f>IF(U2153&gt;0,"xx",IF(P2153&gt;0,"xy",""))</f>
        <v/>
      </c>
      <c r="X2154" s="586" t="str">
        <f t="shared" si="556"/>
        <v/>
      </c>
      <c r="Y2154" s="586" t="str">
        <f t="shared" si="531"/>
        <v/>
      </c>
      <c r="Z2154" s="586" t="str">
        <f t="shared" si="564"/>
        <v/>
      </c>
    </row>
    <row r="2155" spans="1:26" ht="12" hidden="1" thickBot="1" x14ac:dyDescent="0.25">
      <c r="A2155" s="567" t="s">
        <v>168</v>
      </c>
      <c r="B2155" s="644" t="s">
        <v>168</v>
      </c>
      <c r="C2155" s="645"/>
      <c r="D2155" s="422" t="s">
        <v>248</v>
      </c>
      <c r="E2155" s="423"/>
      <c r="F2155" s="424">
        <v>180</v>
      </c>
      <c r="G2155" s="425">
        <v>0.67830000000000001</v>
      </c>
      <c r="H2155" s="663">
        <f t="shared" ref="H2155:H2157" si="565">IF(F2155&lt;=30,(1.07*F2155+2.68)*G2155,((1.07*30+2.68)+1.07*(F2155-30))*G2155)</f>
        <v>132.45842400000001</v>
      </c>
      <c r="I2155" s="420"/>
      <c r="J2155" s="420"/>
      <c r="K2155" s="421">
        <f t="shared" si="549"/>
        <v>0</v>
      </c>
      <c r="L2155" s="647"/>
      <c r="M2155" s="723"/>
      <c r="N2155" s="576">
        <f t="shared" si="559"/>
        <v>0</v>
      </c>
      <c r="O2155" s="577">
        <f t="shared" si="552"/>
        <v>0</v>
      </c>
      <c r="P2155" s="578">
        <f t="shared" si="553"/>
        <v>0</v>
      </c>
      <c r="Q2155" s="765"/>
      <c r="R2155" s="723"/>
      <c r="S2155" s="723"/>
      <c r="T2155" s="577">
        <f t="shared" si="550"/>
        <v>0</v>
      </c>
      <c r="U2155" s="578">
        <f t="shared" si="551"/>
        <v>0</v>
      </c>
      <c r="V2155" s="579"/>
      <c r="W2155" s="566" t="str">
        <f>IF(U2153&gt;0,"xx",IF(P2153&gt;0,"xy",""))</f>
        <v/>
      </c>
      <c r="X2155" s="586" t="str">
        <f t="shared" si="556"/>
        <v/>
      </c>
      <c r="Y2155" s="586" t="str">
        <f t="shared" si="531"/>
        <v/>
      </c>
      <c r="Z2155" s="586" t="str">
        <f t="shared" si="564"/>
        <v/>
      </c>
    </row>
    <row r="2156" spans="1:26" ht="12" hidden="1" thickBot="1" x14ac:dyDescent="0.25">
      <c r="A2156" s="567" t="s">
        <v>168</v>
      </c>
      <c r="B2156" s="644" t="s">
        <v>168</v>
      </c>
      <c r="C2156" s="645"/>
      <c r="D2156" s="422" t="s">
        <v>252</v>
      </c>
      <c r="E2156" s="423"/>
      <c r="F2156" s="424">
        <v>20</v>
      </c>
      <c r="G2156" s="425">
        <v>1.1618999999999999</v>
      </c>
      <c r="H2156" s="663">
        <f t="shared" si="565"/>
        <v>27.978552000000001</v>
      </c>
      <c r="I2156" s="420"/>
      <c r="J2156" s="420"/>
      <c r="K2156" s="421">
        <f t="shared" si="549"/>
        <v>0</v>
      </c>
      <c r="L2156" s="647"/>
      <c r="M2156" s="723"/>
      <c r="N2156" s="576">
        <f t="shared" si="559"/>
        <v>0</v>
      </c>
      <c r="O2156" s="577">
        <f t="shared" si="552"/>
        <v>0</v>
      </c>
      <c r="P2156" s="578">
        <f t="shared" si="553"/>
        <v>0</v>
      </c>
      <c r="Q2156" s="765"/>
      <c r="R2156" s="723"/>
      <c r="S2156" s="723"/>
      <c r="T2156" s="577">
        <f t="shared" si="550"/>
        <v>0</v>
      </c>
      <c r="U2156" s="578">
        <f t="shared" si="551"/>
        <v>0</v>
      </c>
      <c r="V2156" s="579"/>
      <c r="W2156" s="566" t="str">
        <f>IF(U2153&gt;0,"xx",IF(P2153&gt;0,"xy",""))</f>
        <v/>
      </c>
      <c r="X2156" s="586" t="str">
        <f t="shared" si="556"/>
        <v/>
      </c>
      <c r="Y2156" s="586" t="str">
        <f t="shared" si="531"/>
        <v/>
      </c>
      <c r="Z2156" s="586" t="str">
        <f t="shared" si="564"/>
        <v/>
      </c>
    </row>
    <row r="2157" spans="1:26" ht="12" hidden="1" thickBot="1" x14ac:dyDescent="0.25">
      <c r="A2157" s="567" t="s">
        <v>168</v>
      </c>
      <c r="B2157" s="644" t="s">
        <v>168</v>
      </c>
      <c r="C2157" s="645"/>
      <c r="D2157" s="422" t="s">
        <v>347</v>
      </c>
      <c r="E2157" s="423"/>
      <c r="F2157" s="424">
        <v>20</v>
      </c>
      <c r="G2157" s="425">
        <v>1.65</v>
      </c>
      <c r="H2157" s="663">
        <f t="shared" si="565"/>
        <v>39.731999999999999</v>
      </c>
      <c r="I2157" s="420"/>
      <c r="J2157" s="420"/>
      <c r="K2157" s="421">
        <f t="shared" si="549"/>
        <v>0</v>
      </c>
      <c r="L2157" s="647"/>
      <c r="M2157" s="723"/>
      <c r="N2157" s="576">
        <f t="shared" si="559"/>
        <v>0</v>
      </c>
      <c r="O2157" s="577">
        <f t="shared" si="552"/>
        <v>0</v>
      </c>
      <c r="P2157" s="578">
        <f t="shared" si="553"/>
        <v>0</v>
      </c>
      <c r="Q2157" s="765"/>
      <c r="R2157" s="723"/>
      <c r="S2157" s="723"/>
      <c r="T2157" s="577">
        <f t="shared" si="550"/>
        <v>0</v>
      </c>
      <c r="U2157" s="578">
        <f t="shared" si="551"/>
        <v>0</v>
      </c>
      <c r="V2157" s="579"/>
      <c r="W2157" s="566" t="str">
        <f>IF(U2153&gt;0,"xx",IF(P2153&gt;0,"xy",""))</f>
        <v/>
      </c>
      <c r="X2157" s="586" t="str">
        <f t="shared" si="556"/>
        <v/>
      </c>
      <c r="Y2157" s="586" t="str">
        <f t="shared" si="531"/>
        <v/>
      </c>
      <c r="Z2157" s="586" t="str">
        <f t="shared" si="564"/>
        <v/>
      </c>
    </row>
    <row r="2158" spans="1:26" ht="12" hidden="1" thickBot="1" x14ac:dyDescent="0.25">
      <c r="A2158" s="567">
        <v>611500</v>
      </c>
      <c r="B2158" s="644" t="s">
        <v>1702</v>
      </c>
      <c r="C2158" s="645" t="s">
        <v>206</v>
      </c>
      <c r="D2158" s="422" t="s">
        <v>398</v>
      </c>
      <c r="E2158" s="423"/>
      <c r="F2158" s="424"/>
      <c r="G2158" s="425"/>
      <c r="H2158" s="651">
        <f>SUM(H2159:H2162)</f>
        <v>377.75290999999999</v>
      </c>
      <c r="I2158" s="420">
        <v>2241.7736</v>
      </c>
      <c r="J2158" s="420">
        <f>IF(ISBLANK(I2158),"",SUM(H2158:I2158))</f>
        <v>2619.5265100000001</v>
      </c>
      <c r="K2158" s="421">
        <f t="shared" si="549"/>
        <v>3112.26</v>
      </c>
      <c r="L2158" s="647" t="s">
        <v>19</v>
      </c>
      <c r="M2158" s="576"/>
      <c r="N2158" s="576">
        <f t="shared" si="559"/>
        <v>0</v>
      </c>
      <c r="O2158" s="577">
        <f t="shared" si="552"/>
        <v>0</v>
      </c>
      <c r="P2158" s="578">
        <f t="shared" si="553"/>
        <v>0</v>
      </c>
      <c r="Q2158" s="765"/>
      <c r="R2158" s="576">
        <f>M2158</f>
        <v>0</v>
      </c>
      <c r="S2158" s="576">
        <f>N2158</f>
        <v>0</v>
      </c>
      <c r="T2158" s="577">
        <f t="shared" si="550"/>
        <v>0</v>
      </c>
      <c r="U2158" s="578">
        <f t="shared" si="551"/>
        <v>0</v>
      </c>
      <c r="V2158" s="579"/>
      <c r="W2158" s="566"/>
      <c r="X2158" s="586" t="str">
        <f t="shared" si="556"/>
        <v/>
      </c>
      <c r="Y2158" s="586" t="str">
        <f t="shared" si="531"/>
        <v/>
      </c>
      <c r="Z2158" s="586" t="str">
        <f t="shared" si="564"/>
        <v/>
      </c>
    </row>
    <row r="2159" spans="1:26" ht="12" hidden="1" thickBot="1" x14ac:dyDescent="0.25">
      <c r="A2159" s="567" t="s">
        <v>168</v>
      </c>
      <c r="B2159" s="644" t="s">
        <v>168</v>
      </c>
      <c r="C2159" s="645"/>
      <c r="D2159" s="422" t="s">
        <v>212</v>
      </c>
      <c r="E2159" s="423"/>
      <c r="F2159" s="424">
        <v>500</v>
      </c>
      <c r="G2159" s="425">
        <v>0.27410000000000001</v>
      </c>
      <c r="H2159" s="649">
        <f>IF(F2159&lt;=30,(0.78*F2159+7.82)*G2159,((0.78*30+7.82)+0.78*(F2159-30))*G2159)</f>
        <v>109.04246200000001</v>
      </c>
      <c r="I2159" s="420"/>
      <c r="J2159" s="420"/>
      <c r="K2159" s="421">
        <f t="shared" si="549"/>
        <v>0</v>
      </c>
      <c r="L2159" s="647"/>
      <c r="M2159" s="723"/>
      <c r="N2159" s="576">
        <f t="shared" si="559"/>
        <v>0</v>
      </c>
      <c r="O2159" s="577">
        <f t="shared" si="552"/>
        <v>0</v>
      </c>
      <c r="P2159" s="578">
        <f t="shared" si="553"/>
        <v>0</v>
      </c>
      <c r="Q2159" s="765"/>
      <c r="R2159" s="723"/>
      <c r="S2159" s="723"/>
      <c r="T2159" s="577">
        <f t="shared" si="550"/>
        <v>0</v>
      </c>
      <c r="U2159" s="578">
        <f t="shared" si="551"/>
        <v>0</v>
      </c>
      <c r="V2159" s="579"/>
      <c r="W2159" s="566" t="str">
        <f>IF(U2158&gt;0,"xx",IF(P2158&gt;0,"xy",""))</f>
        <v/>
      </c>
      <c r="X2159" s="586" t="str">
        <f t="shared" si="556"/>
        <v/>
      </c>
      <c r="Y2159" s="586" t="str">
        <f t="shared" si="531"/>
        <v/>
      </c>
      <c r="Z2159" s="586" t="str">
        <f t="shared" si="564"/>
        <v/>
      </c>
    </row>
    <row r="2160" spans="1:26" ht="12" hidden="1" thickBot="1" x14ac:dyDescent="0.25">
      <c r="A2160" s="567" t="s">
        <v>168</v>
      </c>
      <c r="B2160" s="644" t="s">
        <v>168</v>
      </c>
      <c r="C2160" s="645"/>
      <c r="D2160" s="422" t="s">
        <v>248</v>
      </c>
      <c r="E2160" s="423"/>
      <c r="F2160" s="424">
        <v>180</v>
      </c>
      <c r="G2160" s="425">
        <v>0.9748</v>
      </c>
      <c r="H2160" s="663">
        <f t="shared" ref="H2160:H2162" si="566">IF(F2160&lt;=30,(1.07*F2160+2.68)*G2160,((1.07*30+2.68)+1.07*(F2160-30))*G2160)</f>
        <v>190.35894400000001</v>
      </c>
      <c r="I2160" s="420"/>
      <c r="J2160" s="420"/>
      <c r="K2160" s="421">
        <f t="shared" si="549"/>
        <v>0</v>
      </c>
      <c r="L2160" s="647"/>
      <c r="M2160" s="723"/>
      <c r="N2160" s="576">
        <f t="shared" si="559"/>
        <v>0</v>
      </c>
      <c r="O2160" s="577">
        <f t="shared" si="552"/>
        <v>0</v>
      </c>
      <c r="P2160" s="578">
        <f t="shared" si="553"/>
        <v>0</v>
      </c>
      <c r="Q2160" s="765"/>
      <c r="R2160" s="723"/>
      <c r="S2160" s="723"/>
      <c r="T2160" s="577">
        <f t="shared" si="550"/>
        <v>0</v>
      </c>
      <c r="U2160" s="578">
        <f t="shared" si="551"/>
        <v>0</v>
      </c>
      <c r="V2160" s="579"/>
      <c r="W2160" s="566" t="str">
        <f>IF(U2158&gt;0,"xx",IF(P2158&gt;0,"xy",""))</f>
        <v/>
      </c>
      <c r="X2160" s="586" t="str">
        <f t="shared" si="556"/>
        <v/>
      </c>
      <c r="Y2160" s="586" t="str">
        <f t="shared" si="531"/>
        <v/>
      </c>
      <c r="Z2160" s="586" t="str">
        <f t="shared" si="564"/>
        <v/>
      </c>
    </row>
    <row r="2161" spans="1:26" ht="12" hidden="1" thickBot="1" x14ac:dyDescent="0.25">
      <c r="A2161" s="567" t="s">
        <v>168</v>
      </c>
      <c r="B2161" s="644" t="s">
        <v>168</v>
      </c>
      <c r="C2161" s="645"/>
      <c r="D2161" s="422" t="s">
        <v>252</v>
      </c>
      <c r="E2161" s="423"/>
      <c r="F2161" s="424">
        <v>20</v>
      </c>
      <c r="G2161" s="425">
        <v>2.2538</v>
      </c>
      <c r="H2161" s="663">
        <f t="shared" si="566"/>
        <v>54.271504000000007</v>
      </c>
      <c r="I2161" s="420"/>
      <c r="J2161" s="420"/>
      <c r="K2161" s="421">
        <f t="shared" si="549"/>
        <v>0</v>
      </c>
      <c r="L2161" s="647"/>
      <c r="M2161" s="723"/>
      <c r="N2161" s="576">
        <f t="shared" si="559"/>
        <v>0</v>
      </c>
      <c r="O2161" s="577">
        <f t="shared" si="552"/>
        <v>0</v>
      </c>
      <c r="P2161" s="578">
        <f t="shared" si="553"/>
        <v>0</v>
      </c>
      <c r="Q2161" s="765"/>
      <c r="R2161" s="723"/>
      <c r="S2161" s="723"/>
      <c r="T2161" s="577">
        <f t="shared" si="550"/>
        <v>0</v>
      </c>
      <c r="U2161" s="578">
        <f t="shared" si="551"/>
        <v>0</v>
      </c>
      <c r="V2161" s="579"/>
      <c r="W2161" s="566" t="str">
        <f>IF(U2158&gt;0,"xx",IF(P2158&gt;0,"xy",""))</f>
        <v/>
      </c>
      <c r="X2161" s="586" t="str">
        <f t="shared" si="556"/>
        <v/>
      </c>
      <c r="Y2161" s="586" t="str">
        <f t="shared" si="531"/>
        <v/>
      </c>
      <c r="Z2161" s="586" t="str">
        <f t="shared" si="564"/>
        <v/>
      </c>
    </row>
    <row r="2162" spans="1:26" ht="12" hidden="1" thickBot="1" x14ac:dyDescent="0.25">
      <c r="A2162" s="567" t="s">
        <v>168</v>
      </c>
      <c r="B2162" s="644" t="s">
        <v>168</v>
      </c>
      <c r="C2162" s="645"/>
      <c r="D2162" s="422" t="s">
        <v>347</v>
      </c>
      <c r="E2162" s="423"/>
      <c r="F2162" s="424">
        <v>20</v>
      </c>
      <c r="G2162" s="425">
        <v>1</v>
      </c>
      <c r="H2162" s="663">
        <f t="shared" si="566"/>
        <v>24.080000000000002</v>
      </c>
      <c r="I2162" s="420"/>
      <c r="J2162" s="420"/>
      <c r="K2162" s="421">
        <f t="shared" si="549"/>
        <v>0</v>
      </c>
      <c r="L2162" s="647"/>
      <c r="M2162" s="723"/>
      <c r="N2162" s="576">
        <f t="shared" si="559"/>
        <v>0</v>
      </c>
      <c r="O2162" s="577">
        <f t="shared" si="552"/>
        <v>0</v>
      </c>
      <c r="P2162" s="578">
        <f t="shared" si="553"/>
        <v>0</v>
      </c>
      <c r="Q2162" s="765"/>
      <c r="R2162" s="723"/>
      <c r="S2162" s="723"/>
      <c r="T2162" s="577">
        <f t="shared" si="550"/>
        <v>0</v>
      </c>
      <c r="U2162" s="578">
        <f t="shared" si="551"/>
        <v>0</v>
      </c>
      <c r="V2162" s="579"/>
      <c r="W2162" s="566" t="str">
        <f>IF(U2158&gt;0,"xx",IF(P2158&gt;0,"xy",""))</f>
        <v/>
      </c>
      <c r="X2162" s="586" t="str">
        <f t="shared" si="556"/>
        <v/>
      </c>
      <c r="Y2162" s="586" t="str">
        <f t="shared" si="531"/>
        <v/>
      </c>
      <c r="Z2162" s="586" t="str">
        <f t="shared" si="564"/>
        <v/>
      </c>
    </row>
    <row r="2163" spans="1:26" ht="12" hidden="1" thickBot="1" x14ac:dyDescent="0.25">
      <c r="A2163" s="567">
        <v>611700</v>
      </c>
      <c r="B2163" s="644">
        <v>611700</v>
      </c>
      <c r="C2163" s="645" t="s">
        <v>206</v>
      </c>
      <c r="D2163" s="422" t="s">
        <v>399</v>
      </c>
      <c r="E2163" s="423"/>
      <c r="F2163" s="424"/>
      <c r="G2163" s="425"/>
      <c r="H2163" s="651">
        <f>SUM(H2164:H2167)</f>
        <v>435.66670800000003</v>
      </c>
      <c r="I2163" s="420">
        <v>3347.7799999999997</v>
      </c>
      <c r="J2163" s="420">
        <f>IF(ISBLANK(I2163),"",SUM(H2163:I2163))</f>
        <v>3783.4467079999999</v>
      </c>
      <c r="K2163" s="421">
        <f t="shared" si="549"/>
        <v>4495.1099999999997</v>
      </c>
      <c r="L2163" s="647" t="s">
        <v>19</v>
      </c>
      <c r="M2163" s="576"/>
      <c r="N2163" s="576">
        <f t="shared" si="559"/>
        <v>0</v>
      </c>
      <c r="O2163" s="577">
        <f t="shared" si="552"/>
        <v>0</v>
      </c>
      <c r="P2163" s="578">
        <f t="shared" si="553"/>
        <v>0</v>
      </c>
      <c r="Q2163" s="765"/>
      <c r="R2163" s="576">
        <f>M2163</f>
        <v>0</v>
      </c>
      <c r="S2163" s="576">
        <f>N2163</f>
        <v>0</v>
      </c>
      <c r="T2163" s="577">
        <f t="shared" si="550"/>
        <v>0</v>
      </c>
      <c r="U2163" s="578">
        <f t="shared" si="551"/>
        <v>0</v>
      </c>
      <c r="V2163" s="579"/>
      <c r="W2163" s="566"/>
      <c r="X2163" s="586" t="str">
        <f t="shared" si="556"/>
        <v/>
      </c>
      <c r="Y2163" s="586" t="str">
        <f t="shared" si="531"/>
        <v/>
      </c>
      <c r="Z2163" s="586" t="str">
        <f t="shared" si="564"/>
        <v/>
      </c>
    </row>
    <row r="2164" spans="1:26" ht="12" hidden="1" thickBot="1" x14ac:dyDescent="0.25">
      <c r="A2164" s="567" t="s">
        <v>168</v>
      </c>
      <c r="B2164" s="644" t="s">
        <v>168</v>
      </c>
      <c r="C2164" s="645"/>
      <c r="D2164" s="422" t="s">
        <v>212</v>
      </c>
      <c r="E2164" s="423"/>
      <c r="F2164" s="424">
        <v>500</v>
      </c>
      <c r="G2164" s="425">
        <v>0.30620000000000003</v>
      </c>
      <c r="H2164" s="649">
        <f>IF(F2164&lt;=30,(0.78*F2164+7.82)*G2164,((0.78*30+7.82)+0.78*(F2164-30))*G2164)</f>
        <v>121.81248400000003</v>
      </c>
      <c r="I2164" s="420"/>
      <c r="J2164" s="420"/>
      <c r="K2164" s="421">
        <f t="shared" si="549"/>
        <v>0</v>
      </c>
      <c r="L2164" s="647"/>
      <c r="M2164" s="723"/>
      <c r="N2164" s="576">
        <f t="shared" si="559"/>
        <v>0</v>
      </c>
      <c r="O2164" s="577">
        <f t="shared" si="552"/>
        <v>0</v>
      </c>
      <c r="P2164" s="578">
        <f t="shared" si="553"/>
        <v>0</v>
      </c>
      <c r="Q2164" s="765"/>
      <c r="R2164" s="723"/>
      <c r="S2164" s="723"/>
      <c r="T2164" s="577">
        <f t="shared" si="550"/>
        <v>0</v>
      </c>
      <c r="U2164" s="578">
        <f t="shared" si="551"/>
        <v>0</v>
      </c>
      <c r="V2164" s="579"/>
      <c r="W2164" s="566" t="str">
        <f>IF(U2163&gt;0,"xx",IF(P2163&gt;0,"xy",""))</f>
        <v/>
      </c>
      <c r="X2164" s="586" t="str">
        <f t="shared" si="556"/>
        <v/>
      </c>
      <c r="Y2164" s="586" t="str">
        <f t="shared" si="531"/>
        <v/>
      </c>
      <c r="Z2164" s="586" t="str">
        <f t="shared" si="564"/>
        <v/>
      </c>
    </row>
    <row r="2165" spans="1:26" ht="12" hidden="1" thickBot="1" x14ac:dyDescent="0.25">
      <c r="A2165" s="567" t="s">
        <v>168</v>
      </c>
      <c r="B2165" s="644" t="s">
        <v>168</v>
      </c>
      <c r="C2165" s="645"/>
      <c r="D2165" s="422" t="s">
        <v>248</v>
      </c>
      <c r="E2165" s="423"/>
      <c r="F2165" s="424">
        <v>180</v>
      </c>
      <c r="G2165" s="425">
        <v>1.1047</v>
      </c>
      <c r="H2165" s="663">
        <f t="shared" ref="H2165:H2167" si="567">IF(F2165&lt;=30,(1.07*F2165+2.68)*G2165,((1.07*30+2.68)+1.07*(F2165-30))*G2165)</f>
        <v>215.72581600000001</v>
      </c>
      <c r="I2165" s="420"/>
      <c r="J2165" s="420"/>
      <c r="K2165" s="421">
        <f t="shared" si="549"/>
        <v>0</v>
      </c>
      <c r="L2165" s="647"/>
      <c r="M2165" s="723"/>
      <c r="N2165" s="576">
        <f t="shared" si="559"/>
        <v>0</v>
      </c>
      <c r="O2165" s="577">
        <f t="shared" si="552"/>
        <v>0</v>
      </c>
      <c r="P2165" s="578">
        <f t="shared" si="553"/>
        <v>0</v>
      </c>
      <c r="Q2165" s="765"/>
      <c r="R2165" s="723"/>
      <c r="S2165" s="723"/>
      <c r="T2165" s="577">
        <f t="shared" si="550"/>
        <v>0</v>
      </c>
      <c r="U2165" s="578">
        <f t="shared" si="551"/>
        <v>0</v>
      </c>
      <c r="V2165" s="579"/>
      <c r="W2165" s="566" t="str">
        <f>IF(U2163&gt;0,"xx",IF(P2163&gt;0,"xy",""))</f>
        <v/>
      </c>
      <c r="X2165" s="586" t="str">
        <f t="shared" si="556"/>
        <v/>
      </c>
      <c r="Y2165" s="586" t="str">
        <f t="shared" si="531"/>
        <v/>
      </c>
      <c r="Z2165" s="586" t="str">
        <f t="shared" si="564"/>
        <v/>
      </c>
    </row>
    <row r="2166" spans="1:26" ht="12" hidden="1" thickBot="1" x14ac:dyDescent="0.25">
      <c r="A2166" s="567" t="s">
        <v>168</v>
      </c>
      <c r="B2166" s="644" t="s">
        <v>168</v>
      </c>
      <c r="C2166" s="645"/>
      <c r="D2166" s="422" t="s">
        <v>252</v>
      </c>
      <c r="E2166" s="423"/>
      <c r="F2166" s="424">
        <v>20</v>
      </c>
      <c r="G2166" s="425">
        <v>1.9251</v>
      </c>
      <c r="H2166" s="663">
        <f t="shared" si="567"/>
        <v>46.356408000000002</v>
      </c>
      <c r="I2166" s="420"/>
      <c r="J2166" s="420"/>
      <c r="K2166" s="421">
        <f t="shared" si="549"/>
        <v>0</v>
      </c>
      <c r="L2166" s="647"/>
      <c r="M2166" s="723"/>
      <c r="N2166" s="576">
        <f t="shared" si="559"/>
        <v>0</v>
      </c>
      <c r="O2166" s="577">
        <f t="shared" si="552"/>
        <v>0</v>
      </c>
      <c r="P2166" s="578">
        <f t="shared" si="553"/>
        <v>0</v>
      </c>
      <c r="Q2166" s="765"/>
      <c r="R2166" s="723"/>
      <c r="S2166" s="723"/>
      <c r="T2166" s="577">
        <f t="shared" si="550"/>
        <v>0</v>
      </c>
      <c r="U2166" s="578">
        <f t="shared" si="551"/>
        <v>0</v>
      </c>
      <c r="V2166" s="579"/>
      <c r="W2166" s="566" t="str">
        <f>IF(U2163&gt;0,"xx",IF(P2163&gt;0,"xy",""))</f>
        <v/>
      </c>
      <c r="X2166" s="586" t="str">
        <f t="shared" si="556"/>
        <v/>
      </c>
      <c r="Y2166" s="586" t="str">
        <f t="shared" si="531"/>
        <v/>
      </c>
      <c r="Z2166" s="586" t="str">
        <f t="shared" si="564"/>
        <v/>
      </c>
    </row>
    <row r="2167" spans="1:26" ht="12" hidden="1" thickBot="1" x14ac:dyDescent="0.25">
      <c r="A2167" s="567" t="s">
        <v>168</v>
      </c>
      <c r="B2167" s="644" t="s">
        <v>168</v>
      </c>
      <c r="C2167" s="645"/>
      <c r="D2167" s="422" t="s">
        <v>347</v>
      </c>
      <c r="E2167" s="423"/>
      <c r="F2167" s="424">
        <v>20</v>
      </c>
      <c r="G2167" s="425">
        <v>2.15</v>
      </c>
      <c r="H2167" s="663">
        <f t="shared" si="567"/>
        <v>51.771999999999998</v>
      </c>
      <c r="I2167" s="420"/>
      <c r="J2167" s="420"/>
      <c r="K2167" s="421">
        <f t="shared" si="549"/>
        <v>0</v>
      </c>
      <c r="L2167" s="647"/>
      <c r="M2167" s="723"/>
      <c r="N2167" s="576">
        <f t="shared" si="559"/>
        <v>0</v>
      </c>
      <c r="O2167" s="577">
        <f t="shared" si="552"/>
        <v>0</v>
      </c>
      <c r="P2167" s="578">
        <f t="shared" si="553"/>
        <v>0</v>
      </c>
      <c r="Q2167" s="765"/>
      <c r="R2167" s="723"/>
      <c r="S2167" s="723"/>
      <c r="T2167" s="577">
        <f t="shared" si="550"/>
        <v>0</v>
      </c>
      <c r="U2167" s="578">
        <f t="shared" si="551"/>
        <v>0</v>
      </c>
      <c r="V2167" s="579"/>
      <c r="W2167" s="566" t="str">
        <f>IF(U2163&gt;0,"xx",IF(P2163&gt;0,"xy",""))</f>
        <v/>
      </c>
      <c r="X2167" s="586" t="str">
        <f t="shared" si="556"/>
        <v/>
      </c>
      <c r="Y2167" s="586" t="str">
        <f t="shared" si="531"/>
        <v/>
      </c>
      <c r="Z2167" s="586" t="str">
        <f t="shared" si="564"/>
        <v/>
      </c>
    </row>
    <row r="2168" spans="1:26" ht="12" hidden="1" thickBot="1" x14ac:dyDescent="0.25">
      <c r="A2168" s="567" t="s">
        <v>24</v>
      </c>
      <c r="B2168" s="644" t="s">
        <v>24</v>
      </c>
      <c r="C2168" s="645" t="s">
        <v>206</v>
      </c>
      <c r="D2168" s="422" t="s">
        <v>69</v>
      </c>
      <c r="E2168" s="423"/>
      <c r="F2168" s="424"/>
      <c r="G2168" s="425"/>
      <c r="H2168" s="651">
        <f>SUM(H2169:H2173)</f>
        <v>214.58049988800002</v>
      </c>
      <c r="I2168" s="420">
        <f>VLOOKUP(D2168,'[2]ENSAIOS DE ORÇAMENTO'!$C$3:$L$79,8,FALSE)</f>
        <v>1382.6843920000001</v>
      </c>
      <c r="J2168" s="420">
        <f>IF(ISBLANK(I2168),"",SUM(H2168:I2168))</f>
        <v>1597.2648918880002</v>
      </c>
      <c r="K2168" s="421">
        <f t="shared" si="549"/>
        <v>1897.71</v>
      </c>
      <c r="L2168" s="647" t="s">
        <v>21</v>
      </c>
      <c r="M2168" s="576"/>
      <c r="N2168" s="576">
        <f t="shared" si="559"/>
        <v>0</v>
      </c>
      <c r="O2168" s="577">
        <f t="shared" si="552"/>
        <v>0</v>
      </c>
      <c r="P2168" s="578">
        <f t="shared" si="553"/>
        <v>0</v>
      </c>
      <c r="Q2168" s="765"/>
      <c r="R2168" s="576">
        <f>M2168</f>
        <v>0</v>
      </c>
      <c r="S2168" s="576">
        <f>N2168</f>
        <v>0</v>
      </c>
      <c r="T2168" s="577">
        <f t="shared" si="550"/>
        <v>0</v>
      </c>
      <c r="U2168" s="578">
        <f t="shared" si="551"/>
        <v>0</v>
      </c>
      <c r="V2168" s="579"/>
      <c r="W2168" s="566"/>
      <c r="X2168" s="586" t="str">
        <f t="shared" si="556"/>
        <v/>
      </c>
      <c r="Y2168" s="586" t="str">
        <f t="shared" si="531"/>
        <v/>
      </c>
      <c r="Z2168" s="586" t="str">
        <f t="shared" si="564"/>
        <v/>
      </c>
    </row>
    <row r="2169" spans="1:26" ht="12" hidden="1" thickBot="1" x14ac:dyDescent="0.25">
      <c r="A2169" s="567" t="s">
        <v>168</v>
      </c>
      <c r="B2169" s="644" t="s">
        <v>168</v>
      </c>
      <c r="C2169" s="645"/>
      <c r="D2169" s="422" t="s">
        <v>212</v>
      </c>
      <c r="E2169" s="423"/>
      <c r="F2169" s="424">
        <v>500</v>
      </c>
      <c r="G2169" s="425">
        <f>VLOOKUP(D2168,'[2]ENSAIOS DE ORÇAMENTO'!$C$3:$L$79,4,FALSE)</f>
        <v>0.11541040000000001</v>
      </c>
      <c r="H2169" s="649">
        <f>IF(F2169&lt;=30,(0.78*F2169+7.82)*G2169,((0.78*30+7.82)+0.78*(F2169-30))*G2169)</f>
        <v>45.912565328000007</v>
      </c>
      <c r="I2169" s="420"/>
      <c r="J2169" s="420"/>
      <c r="K2169" s="421">
        <f t="shared" si="549"/>
        <v>0</v>
      </c>
      <c r="L2169" s="647"/>
      <c r="M2169" s="723"/>
      <c r="N2169" s="576">
        <f t="shared" si="559"/>
        <v>0</v>
      </c>
      <c r="O2169" s="577">
        <f t="shared" si="552"/>
        <v>0</v>
      </c>
      <c r="P2169" s="578">
        <f t="shared" si="553"/>
        <v>0</v>
      </c>
      <c r="Q2169" s="765"/>
      <c r="R2169" s="723"/>
      <c r="S2169" s="723"/>
      <c r="T2169" s="577">
        <f t="shared" si="550"/>
        <v>0</v>
      </c>
      <c r="U2169" s="578">
        <f t="shared" si="551"/>
        <v>0</v>
      </c>
      <c r="V2169" s="579"/>
      <c r="W2169" s="566" t="str">
        <f>IF(U2168&gt;0,"xx",IF(P2168&gt;0,"xy",""))</f>
        <v/>
      </c>
      <c r="X2169" s="586" t="str">
        <f t="shared" si="556"/>
        <v/>
      </c>
      <c r="Y2169" s="586" t="str">
        <f t="shared" si="531"/>
        <v/>
      </c>
      <c r="Z2169" s="586" t="str">
        <f t="shared" si="564"/>
        <v/>
      </c>
    </row>
    <row r="2170" spans="1:26" ht="12" hidden="1" thickBot="1" x14ac:dyDescent="0.25">
      <c r="A2170" s="567" t="s">
        <v>168</v>
      </c>
      <c r="B2170" s="644" t="s">
        <v>168</v>
      </c>
      <c r="C2170" s="645"/>
      <c r="D2170" s="422" t="s">
        <v>248</v>
      </c>
      <c r="E2170" s="423"/>
      <c r="F2170" s="424">
        <v>180</v>
      </c>
      <c r="G2170" s="425">
        <f>VLOOKUP(D2168,'[2]ENSAIOS DE ORÇAMENTO'!$C$3:$L$79,5,FALSE)</f>
        <v>0.62209000000000003</v>
      </c>
      <c r="H2170" s="663">
        <f t="shared" ref="H2170:H2172" si="568">IF(F2170&lt;=30,(1.07*F2170+2.68)*G2170,((1.07*30+2.68)+1.07*(F2170-30))*G2170)</f>
        <v>121.4817352</v>
      </c>
      <c r="I2170" s="420"/>
      <c r="J2170" s="420"/>
      <c r="K2170" s="421">
        <f t="shared" si="549"/>
        <v>0</v>
      </c>
      <c r="L2170" s="647"/>
      <c r="M2170" s="723"/>
      <c r="N2170" s="576">
        <f t="shared" si="559"/>
        <v>0</v>
      </c>
      <c r="O2170" s="577">
        <f t="shared" si="552"/>
        <v>0</v>
      </c>
      <c r="P2170" s="578">
        <f t="shared" si="553"/>
        <v>0</v>
      </c>
      <c r="Q2170" s="765"/>
      <c r="R2170" s="723"/>
      <c r="S2170" s="723"/>
      <c r="T2170" s="577">
        <f t="shared" si="550"/>
        <v>0</v>
      </c>
      <c r="U2170" s="578">
        <f t="shared" si="551"/>
        <v>0</v>
      </c>
      <c r="V2170" s="579"/>
      <c r="W2170" s="566" t="str">
        <f>IF(U2168&gt;0,"xx",IF(P2168&gt;0,"xy",""))</f>
        <v/>
      </c>
      <c r="X2170" s="586" t="str">
        <f t="shared" si="556"/>
        <v/>
      </c>
      <c r="Y2170" s="586" t="str">
        <f t="shared" si="531"/>
        <v/>
      </c>
      <c r="Z2170" s="586" t="str">
        <f t="shared" si="564"/>
        <v/>
      </c>
    </row>
    <row r="2171" spans="1:26" ht="12" hidden="1" thickBot="1" x14ac:dyDescent="0.25">
      <c r="A2171" s="567" t="s">
        <v>168</v>
      </c>
      <c r="B2171" s="644" t="s">
        <v>168</v>
      </c>
      <c r="C2171" s="645"/>
      <c r="D2171" s="422" t="s">
        <v>252</v>
      </c>
      <c r="E2171" s="423"/>
      <c r="F2171" s="424">
        <v>20</v>
      </c>
      <c r="G2171" s="425">
        <f>VLOOKUP(D2168,'[2]ENSAIOS DE ORÇAMENTO'!$C$3:$L$79,6,FALSE)</f>
        <v>0.20424000000000003</v>
      </c>
      <c r="H2171" s="663">
        <f t="shared" si="568"/>
        <v>4.9180992000000012</v>
      </c>
      <c r="I2171" s="420"/>
      <c r="J2171" s="420"/>
      <c r="K2171" s="421">
        <f t="shared" si="549"/>
        <v>0</v>
      </c>
      <c r="L2171" s="647"/>
      <c r="M2171" s="723"/>
      <c r="N2171" s="576">
        <f t="shared" si="559"/>
        <v>0</v>
      </c>
      <c r="O2171" s="577">
        <f t="shared" si="552"/>
        <v>0</v>
      </c>
      <c r="P2171" s="578">
        <f t="shared" si="553"/>
        <v>0</v>
      </c>
      <c r="Q2171" s="765"/>
      <c r="R2171" s="723"/>
      <c r="S2171" s="723"/>
      <c r="T2171" s="577">
        <f t="shared" si="550"/>
        <v>0</v>
      </c>
      <c r="U2171" s="578">
        <f t="shared" si="551"/>
        <v>0</v>
      </c>
      <c r="V2171" s="579"/>
      <c r="W2171" s="566" t="str">
        <f>IF(U2168&gt;0,"xx",IF(P2168&gt;0,"xy",""))</f>
        <v/>
      </c>
      <c r="X2171" s="586" t="str">
        <f t="shared" si="556"/>
        <v/>
      </c>
      <c r="Y2171" s="586" t="str">
        <f t="shared" si="531"/>
        <v/>
      </c>
      <c r="Z2171" s="586" t="str">
        <f t="shared" si="564"/>
        <v/>
      </c>
    </row>
    <row r="2172" spans="1:26" ht="12" hidden="1" thickBot="1" x14ac:dyDescent="0.25">
      <c r="A2172" s="567" t="s">
        <v>168</v>
      </c>
      <c r="B2172" s="644" t="s">
        <v>168</v>
      </c>
      <c r="C2172" s="645"/>
      <c r="D2172" s="422" t="s">
        <v>400</v>
      </c>
      <c r="E2172" s="423"/>
      <c r="F2172" s="424">
        <v>30</v>
      </c>
      <c r="G2172" s="425">
        <f>VLOOKUP(D2168,'[2]ENSAIOS DE ORÇAMENTO'!$C$3:$L$79,3,FALSE)</f>
        <v>0.87983999999999996</v>
      </c>
      <c r="H2172" s="663">
        <f t="shared" si="568"/>
        <v>30.600835199999999</v>
      </c>
      <c r="I2172" s="420"/>
      <c r="J2172" s="420"/>
      <c r="K2172" s="421">
        <f t="shared" si="549"/>
        <v>0</v>
      </c>
      <c r="L2172" s="647"/>
      <c r="M2172" s="723"/>
      <c r="N2172" s="576">
        <f t="shared" si="559"/>
        <v>0</v>
      </c>
      <c r="O2172" s="577">
        <f t="shared" si="552"/>
        <v>0</v>
      </c>
      <c r="P2172" s="578">
        <f t="shared" si="553"/>
        <v>0</v>
      </c>
      <c r="Q2172" s="765"/>
      <c r="R2172" s="723"/>
      <c r="S2172" s="723"/>
      <c r="T2172" s="577">
        <f t="shared" si="550"/>
        <v>0</v>
      </c>
      <c r="U2172" s="578">
        <f t="shared" si="551"/>
        <v>0</v>
      </c>
      <c r="V2172" s="579"/>
      <c r="W2172" s="566" t="str">
        <f>IF(U2168&gt;0,"xx",IF(P2168&gt;0,"xy",""))</f>
        <v/>
      </c>
      <c r="X2172" s="586" t="str">
        <f t="shared" si="556"/>
        <v/>
      </c>
      <c r="Y2172" s="586" t="str">
        <f t="shared" si="531"/>
        <v/>
      </c>
      <c r="Z2172" s="586" t="str">
        <f t="shared" si="564"/>
        <v/>
      </c>
    </row>
    <row r="2173" spans="1:26" ht="12" hidden="1" thickBot="1" x14ac:dyDescent="0.25">
      <c r="A2173" s="567" t="s">
        <v>168</v>
      </c>
      <c r="B2173" s="644" t="s">
        <v>168</v>
      </c>
      <c r="C2173" s="645"/>
      <c r="D2173" s="422" t="s">
        <v>401</v>
      </c>
      <c r="E2173" s="423"/>
      <c r="F2173" s="424">
        <v>500</v>
      </c>
      <c r="G2173" s="425">
        <f>VLOOKUP(D2168,'[2]ENSAIOS DE ORÇAMENTO'!$C$3:$L$79,10,FALSE)</f>
        <v>2.9328E-2</v>
      </c>
      <c r="H2173" s="649">
        <f>IF(F2173&lt;=30,(0.78*F2173+7.82)*G2173,((0.78*30+7.82)+0.78*(F2173-30))*G2173)</f>
        <v>11.667264960000001</v>
      </c>
      <c r="I2173" s="420"/>
      <c r="J2173" s="420"/>
      <c r="K2173" s="421">
        <f t="shared" si="549"/>
        <v>0</v>
      </c>
      <c r="L2173" s="647"/>
      <c r="M2173" s="723"/>
      <c r="N2173" s="576">
        <f t="shared" si="559"/>
        <v>0</v>
      </c>
      <c r="O2173" s="577">
        <f t="shared" si="552"/>
        <v>0</v>
      </c>
      <c r="P2173" s="578">
        <f t="shared" si="553"/>
        <v>0</v>
      </c>
      <c r="Q2173" s="765"/>
      <c r="R2173" s="723"/>
      <c r="S2173" s="723"/>
      <c r="T2173" s="577">
        <f t="shared" si="550"/>
        <v>0</v>
      </c>
      <c r="U2173" s="578">
        <f t="shared" si="551"/>
        <v>0</v>
      </c>
      <c r="V2173" s="579"/>
      <c r="W2173" s="566" t="str">
        <f>IF(U2168&gt;0,"xx",IF(P2168&gt;0,"xy",""))</f>
        <v/>
      </c>
      <c r="X2173" s="586" t="str">
        <f t="shared" si="556"/>
        <v/>
      </c>
      <c r="Y2173" s="586" t="str">
        <f t="shared" si="531"/>
        <v/>
      </c>
      <c r="Z2173" s="586" t="str">
        <f t="shared" si="564"/>
        <v/>
      </c>
    </row>
    <row r="2174" spans="1:26" ht="12" hidden="1" thickBot="1" x14ac:dyDescent="0.25">
      <c r="A2174" s="567" t="s">
        <v>25</v>
      </c>
      <c r="B2174" s="644" t="s">
        <v>25</v>
      </c>
      <c r="C2174" s="645" t="s">
        <v>206</v>
      </c>
      <c r="D2174" s="422" t="s">
        <v>70</v>
      </c>
      <c r="E2174" s="423"/>
      <c r="F2174" s="424"/>
      <c r="G2174" s="425"/>
      <c r="H2174" s="651">
        <f>SUM(H2175:H2179)</f>
        <v>253.44839336000004</v>
      </c>
      <c r="I2174" s="420">
        <f>VLOOKUP(D2174,'[2]ENSAIOS DE ORÇAMENTO'!$C$3:$L$79,8,FALSE)</f>
        <v>1534.9440399999999</v>
      </c>
      <c r="J2174" s="420">
        <f>IF(ISBLANK(I2174),"",SUM(H2174:I2174))</f>
        <v>1788.3924333599998</v>
      </c>
      <c r="K2174" s="421">
        <f t="shared" si="549"/>
        <v>2124.79</v>
      </c>
      <c r="L2174" s="647" t="s">
        <v>21</v>
      </c>
      <c r="M2174" s="576"/>
      <c r="N2174" s="576">
        <f t="shared" si="559"/>
        <v>0</v>
      </c>
      <c r="O2174" s="577">
        <f t="shared" si="552"/>
        <v>0</v>
      </c>
      <c r="P2174" s="578">
        <f t="shared" si="553"/>
        <v>0</v>
      </c>
      <c r="Q2174" s="765"/>
      <c r="R2174" s="576">
        <f>M2174</f>
        <v>0</v>
      </c>
      <c r="S2174" s="576">
        <f>N2174</f>
        <v>0</v>
      </c>
      <c r="T2174" s="577">
        <f t="shared" si="550"/>
        <v>0</v>
      </c>
      <c r="U2174" s="578">
        <f t="shared" si="551"/>
        <v>0</v>
      </c>
      <c r="V2174" s="579"/>
      <c r="W2174" s="566"/>
      <c r="X2174" s="586" t="str">
        <f t="shared" si="556"/>
        <v/>
      </c>
      <c r="Y2174" s="586" t="str">
        <f t="shared" si="531"/>
        <v/>
      </c>
      <c r="Z2174" s="586" t="str">
        <f t="shared" si="564"/>
        <v/>
      </c>
    </row>
    <row r="2175" spans="1:26" ht="12" hidden="1" thickBot="1" x14ac:dyDescent="0.25">
      <c r="A2175" s="567" t="s">
        <v>168</v>
      </c>
      <c r="B2175" s="644" t="s">
        <v>168</v>
      </c>
      <c r="C2175" s="645"/>
      <c r="D2175" s="422" t="s">
        <v>212</v>
      </c>
      <c r="E2175" s="423"/>
      <c r="F2175" s="424">
        <v>500</v>
      </c>
      <c r="G2175" s="425">
        <f>VLOOKUP(D2174,'[2]ENSAIOS DE ORÇAMENTO'!$C$3:$L$79,4,FALSE)</f>
        <v>0.132608</v>
      </c>
      <c r="H2175" s="649">
        <f>IF(F2175&lt;=30,(0.78*F2175+7.82)*G2175,((0.78*30+7.82)+0.78*(F2175-30))*G2175)</f>
        <v>52.754114560000005</v>
      </c>
      <c r="I2175" s="420"/>
      <c r="J2175" s="420"/>
      <c r="K2175" s="421">
        <f t="shared" si="549"/>
        <v>0</v>
      </c>
      <c r="L2175" s="647"/>
      <c r="M2175" s="723"/>
      <c r="N2175" s="576">
        <f t="shared" si="559"/>
        <v>0</v>
      </c>
      <c r="O2175" s="577">
        <f t="shared" si="552"/>
        <v>0</v>
      </c>
      <c r="P2175" s="578">
        <f t="shared" si="553"/>
        <v>0</v>
      </c>
      <c r="Q2175" s="765"/>
      <c r="R2175" s="723"/>
      <c r="S2175" s="723"/>
      <c r="T2175" s="577">
        <f t="shared" si="550"/>
        <v>0</v>
      </c>
      <c r="U2175" s="578">
        <f t="shared" si="551"/>
        <v>0</v>
      </c>
      <c r="V2175" s="579"/>
      <c r="W2175" s="566" t="str">
        <f>IF(U2174&gt;0,"xx",IF(P2174&gt;0,"xy",""))</f>
        <v/>
      </c>
      <c r="X2175" s="586" t="str">
        <f t="shared" si="556"/>
        <v/>
      </c>
      <c r="Y2175" s="586" t="str">
        <f t="shared" si="531"/>
        <v/>
      </c>
      <c r="Z2175" s="586" t="str">
        <f t="shared" si="564"/>
        <v/>
      </c>
    </row>
    <row r="2176" spans="1:26" ht="12" hidden="1" thickBot="1" x14ac:dyDescent="0.25">
      <c r="A2176" s="567" t="s">
        <v>168</v>
      </c>
      <c r="B2176" s="644" t="s">
        <v>168</v>
      </c>
      <c r="C2176" s="645"/>
      <c r="D2176" s="422" t="s">
        <v>248</v>
      </c>
      <c r="E2176" s="423"/>
      <c r="F2176" s="424">
        <v>180</v>
      </c>
      <c r="G2176" s="425">
        <f>VLOOKUP(D2174,'[2]ENSAIOS DE ORÇAMENTO'!$C$3:$L$79,5,FALSE)</f>
        <v>0.73198000000000008</v>
      </c>
      <c r="H2176" s="663">
        <f t="shared" ref="H2176:H2178" si="569">IF(F2176&lt;=30,(1.07*F2176+2.68)*G2176,((1.07*30+2.68)+1.07*(F2176-30))*G2176)</f>
        <v>142.94105440000001</v>
      </c>
      <c r="I2176" s="420"/>
      <c r="J2176" s="420"/>
      <c r="K2176" s="421">
        <f t="shared" ref="K2176:K2239" si="570">IF(ISBLANK(I2176),0,ROUND(J2176*(1+$F$10)*(1+$F$11*E2176),2))</f>
        <v>0</v>
      </c>
      <c r="L2176" s="647"/>
      <c r="M2176" s="723"/>
      <c r="N2176" s="576">
        <f t="shared" si="559"/>
        <v>0</v>
      </c>
      <c r="O2176" s="577">
        <f t="shared" si="552"/>
        <v>0</v>
      </c>
      <c r="P2176" s="578">
        <f t="shared" si="553"/>
        <v>0</v>
      </c>
      <c r="Q2176" s="765"/>
      <c r="R2176" s="723"/>
      <c r="S2176" s="723"/>
      <c r="T2176" s="577">
        <f t="shared" ref="T2176:T2239" si="571">IF(ISBLANK(R2176),0,ROUND(K2176*R2176,2))</f>
        <v>0</v>
      </c>
      <c r="U2176" s="578">
        <f t="shared" ref="U2176:U2239" si="572">IF(ISBLANK(R2176),0,ROUND(R2176*S2176,2))</f>
        <v>0</v>
      </c>
      <c r="V2176" s="579"/>
      <c r="W2176" s="566" t="str">
        <f>IF(U2174&gt;0,"xx",IF(P2174&gt;0,"xy",""))</f>
        <v/>
      </c>
      <c r="X2176" s="586" t="str">
        <f t="shared" si="556"/>
        <v/>
      </c>
      <c r="Y2176" s="586" t="str">
        <f t="shared" si="531"/>
        <v/>
      </c>
      <c r="Z2176" s="586" t="str">
        <f t="shared" si="564"/>
        <v/>
      </c>
    </row>
    <row r="2177" spans="1:26" ht="12" hidden="1" thickBot="1" x14ac:dyDescent="0.25">
      <c r="A2177" s="567" t="s">
        <v>168</v>
      </c>
      <c r="B2177" s="644" t="s">
        <v>168</v>
      </c>
      <c r="C2177" s="645"/>
      <c r="D2177" s="422" t="s">
        <v>252</v>
      </c>
      <c r="E2177" s="423"/>
      <c r="F2177" s="424">
        <v>20</v>
      </c>
      <c r="G2177" s="425">
        <f>VLOOKUP(D2174,'[2]ENSAIOS DE ORÇAMENTO'!$C$3:$L$79,6,FALSE)</f>
        <v>0.20424000000000003</v>
      </c>
      <c r="H2177" s="663">
        <f t="shared" si="569"/>
        <v>4.9180992000000012</v>
      </c>
      <c r="I2177" s="420"/>
      <c r="J2177" s="420"/>
      <c r="K2177" s="421">
        <f t="shared" si="570"/>
        <v>0</v>
      </c>
      <c r="L2177" s="647"/>
      <c r="M2177" s="723"/>
      <c r="N2177" s="576">
        <f t="shared" si="559"/>
        <v>0</v>
      </c>
      <c r="O2177" s="577">
        <f t="shared" ref="O2177:O2240" si="573">IF(ISBLANK(M2177),0,ROUND(K2177*M2177,2))</f>
        <v>0</v>
      </c>
      <c r="P2177" s="578">
        <f t="shared" ref="P2177:P2240" si="574">IF(ISBLANK(N2177),0,ROUND(M2177*N2177,2))</f>
        <v>0</v>
      </c>
      <c r="Q2177" s="765"/>
      <c r="R2177" s="723"/>
      <c r="S2177" s="723"/>
      <c r="T2177" s="577">
        <f t="shared" si="571"/>
        <v>0</v>
      </c>
      <c r="U2177" s="578">
        <f t="shared" si="572"/>
        <v>0</v>
      </c>
      <c r="V2177" s="579"/>
      <c r="W2177" s="566" t="str">
        <f>IF(U2174&gt;0,"xx",IF(P2174&gt;0,"xy",""))</f>
        <v/>
      </c>
      <c r="X2177" s="586" t="str">
        <f t="shared" si="556"/>
        <v/>
      </c>
      <c r="Y2177" s="586" t="str">
        <f t="shared" si="531"/>
        <v/>
      </c>
      <c r="Z2177" s="586" t="str">
        <f t="shared" si="564"/>
        <v/>
      </c>
    </row>
    <row r="2178" spans="1:26" ht="12" hidden="1" thickBot="1" x14ac:dyDescent="0.25">
      <c r="A2178" s="567" t="s">
        <v>168</v>
      </c>
      <c r="B2178" s="644" t="s">
        <v>168</v>
      </c>
      <c r="C2178" s="645"/>
      <c r="D2178" s="422" t="s">
        <v>400</v>
      </c>
      <c r="E2178" s="423"/>
      <c r="F2178" s="424">
        <v>30</v>
      </c>
      <c r="G2178" s="425">
        <f>VLOOKUP(D2174,'[2]ENSAIOS DE ORÇAMENTO'!$C$3:$L$79,3,FALSE)</f>
        <v>1.0998000000000001</v>
      </c>
      <c r="H2178" s="663">
        <f t="shared" si="569"/>
        <v>38.251044000000007</v>
      </c>
      <c r="I2178" s="420"/>
      <c r="J2178" s="420"/>
      <c r="K2178" s="421">
        <f t="shared" si="570"/>
        <v>0</v>
      </c>
      <c r="L2178" s="647"/>
      <c r="M2178" s="723"/>
      <c r="N2178" s="576">
        <f t="shared" si="559"/>
        <v>0</v>
      </c>
      <c r="O2178" s="577">
        <f t="shared" si="573"/>
        <v>0</v>
      </c>
      <c r="P2178" s="578">
        <f t="shared" si="574"/>
        <v>0</v>
      </c>
      <c r="Q2178" s="765"/>
      <c r="R2178" s="723"/>
      <c r="S2178" s="723"/>
      <c r="T2178" s="577">
        <f t="shared" si="571"/>
        <v>0</v>
      </c>
      <c r="U2178" s="578">
        <f t="shared" si="572"/>
        <v>0</v>
      </c>
      <c r="V2178" s="579"/>
      <c r="W2178" s="566" t="str">
        <f>IF(U2174&gt;0,"xx",IF(P2174&gt;0,"xy",""))</f>
        <v/>
      </c>
      <c r="X2178" s="586" t="str">
        <f t="shared" si="556"/>
        <v/>
      </c>
      <c r="Y2178" s="586" t="str">
        <f t="shared" si="531"/>
        <v/>
      </c>
      <c r="Z2178" s="586" t="str">
        <f t="shared" si="564"/>
        <v/>
      </c>
    </row>
    <row r="2179" spans="1:26" ht="12" hidden="1" thickBot="1" x14ac:dyDescent="0.25">
      <c r="A2179" s="567" t="s">
        <v>168</v>
      </c>
      <c r="B2179" s="644" t="s">
        <v>168</v>
      </c>
      <c r="C2179" s="645"/>
      <c r="D2179" s="422" t="s">
        <v>401</v>
      </c>
      <c r="E2179" s="423"/>
      <c r="F2179" s="424">
        <v>500</v>
      </c>
      <c r="G2179" s="425">
        <f>VLOOKUP(D2174,'[2]ENSAIOS DE ORÇAMENTO'!$C$3:$L$79,10,FALSE)</f>
        <v>3.6659999999999998E-2</v>
      </c>
      <c r="H2179" s="649">
        <f>IF(F2179&lt;=30,(0.78*F2179+7.82)*G2179,((0.78*30+7.82)+0.78*(F2179-30))*G2179)</f>
        <v>14.584081200000002</v>
      </c>
      <c r="I2179" s="420"/>
      <c r="J2179" s="420"/>
      <c r="K2179" s="421">
        <f t="shared" si="570"/>
        <v>0</v>
      </c>
      <c r="L2179" s="647"/>
      <c r="M2179" s="723"/>
      <c r="N2179" s="576">
        <f t="shared" si="559"/>
        <v>0</v>
      </c>
      <c r="O2179" s="577">
        <f t="shared" si="573"/>
        <v>0</v>
      </c>
      <c r="P2179" s="578">
        <f t="shared" si="574"/>
        <v>0</v>
      </c>
      <c r="Q2179" s="765"/>
      <c r="R2179" s="723"/>
      <c r="S2179" s="723"/>
      <c r="T2179" s="577">
        <f t="shared" si="571"/>
        <v>0</v>
      </c>
      <c r="U2179" s="578">
        <f t="shared" si="572"/>
        <v>0</v>
      </c>
      <c r="V2179" s="579"/>
      <c r="W2179" s="566" t="str">
        <f>IF(U2174&gt;0,"xx",IF(P2174&gt;0,"xy",""))</f>
        <v/>
      </c>
      <c r="X2179" s="586" t="str">
        <f t="shared" si="556"/>
        <v/>
      </c>
      <c r="Y2179" s="586" t="str">
        <f t="shared" si="531"/>
        <v/>
      </c>
      <c r="Z2179" s="586" t="str">
        <f t="shared" si="564"/>
        <v/>
      </c>
    </row>
    <row r="2180" spans="1:26" ht="12" hidden="1" thickBot="1" x14ac:dyDescent="0.25">
      <c r="A2180" s="567" t="s">
        <v>26</v>
      </c>
      <c r="B2180" s="644" t="s">
        <v>26</v>
      </c>
      <c r="C2180" s="645" t="s">
        <v>206</v>
      </c>
      <c r="D2180" s="422" t="s">
        <v>71</v>
      </c>
      <c r="E2180" s="423"/>
      <c r="F2180" s="424"/>
      <c r="G2180" s="425"/>
      <c r="H2180" s="651">
        <f>SUM(H2181:H2185)</f>
        <v>317.76500247800004</v>
      </c>
      <c r="I2180" s="420">
        <f>VLOOKUP(D2180,'[2]ENSAIOS DE ORÇAMENTO'!$C$3:$L$79,8,FALSE)</f>
        <v>1786.7909519999998</v>
      </c>
      <c r="J2180" s="420">
        <f>IF(ISBLANK(I2180),"",SUM(H2180:I2180))</f>
        <v>2104.5559544779999</v>
      </c>
      <c r="K2180" s="421">
        <f t="shared" si="570"/>
        <v>2500.42</v>
      </c>
      <c r="L2180" s="647" t="s">
        <v>21</v>
      </c>
      <c r="M2180" s="576"/>
      <c r="N2180" s="576">
        <f t="shared" si="559"/>
        <v>0</v>
      </c>
      <c r="O2180" s="577">
        <f t="shared" si="573"/>
        <v>0</v>
      </c>
      <c r="P2180" s="578">
        <f t="shared" si="574"/>
        <v>0</v>
      </c>
      <c r="Q2180" s="765"/>
      <c r="R2180" s="576">
        <f>M2180</f>
        <v>0</v>
      </c>
      <c r="S2180" s="576">
        <f>N2180</f>
        <v>0</v>
      </c>
      <c r="T2180" s="577">
        <f t="shared" si="571"/>
        <v>0</v>
      </c>
      <c r="U2180" s="578">
        <f t="shared" si="572"/>
        <v>0</v>
      </c>
      <c r="V2180" s="579"/>
      <c r="W2180" s="566"/>
      <c r="X2180" s="586" t="str">
        <f t="shared" si="556"/>
        <v/>
      </c>
      <c r="Y2180" s="586" t="str">
        <f t="shared" si="531"/>
        <v/>
      </c>
      <c r="Z2180" s="586" t="str">
        <f t="shared" si="564"/>
        <v/>
      </c>
    </row>
    <row r="2181" spans="1:26" ht="12" hidden="1" thickBot="1" x14ac:dyDescent="0.25">
      <c r="A2181" s="567" t="s">
        <v>168</v>
      </c>
      <c r="B2181" s="644" t="s">
        <v>168</v>
      </c>
      <c r="C2181" s="645"/>
      <c r="D2181" s="422" t="s">
        <v>212</v>
      </c>
      <c r="E2181" s="423"/>
      <c r="F2181" s="424">
        <v>500</v>
      </c>
      <c r="G2181" s="425">
        <f>VLOOKUP(D2180,'[2]ENSAIOS DE ORÇAMENTO'!$C$3:$L$79,4,FALSE)</f>
        <v>0.1610819</v>
      </c>
      <c r="H2181" s="649">
        <f>IF(F2181&lt;=30,(0.78*F2181+7.82)*G2181,((0.78*30+7.82)+0.78*(F2181-30))*G2181)</f>
        <v>64.081601458000009</v>
      </c>
      <c r="I2181" s="420"/>
      <c r="J2181" s="420"/>
      <c r="K2181" s="421">
        <f t="shared" si="570"/>
        <v>0</v>
      </c>
      <c r="L2181" s="647"/>
      <c r="M2181" s="723"/>
      <c r="N2181" s="576">
        <f t="shared" si="559"/>
        <v>0</v>
      </c>
      <c r="O2181" s="577">
        <f t="shared" si="573"/>
        <v>0</v>
      </c>
      <c r="P2181" s="578">
        <f t="shared" si="574"/>
        <v>0</v>
      </c>
      <c r="Q2181" s="765"/>
      <c r="R2181" s="723"/>
      <c r="S2181" s="723"/>
      <c r="T2181" s="577">
        <f t="shared" si="571"/>
        <v>0</v>
      </c>
      <c r="U2181" s="578">
        <f t="shared" si="572"/>
        <v>0</v>
      </c>
      <c r="V2181" s="579"/>
      <c r="W2181" s="566" t="str">
        <f>IF(U2180&gt;0,"xx",IF(P2180&gt;0,"xy",""))</f>
        <v/>
      </c>
      <c r="X2181" s="586" t="str">
        <f t="shared" si="556"/>
        <v/>
      </c>
      <c r="Y2181" s="586" t="str">
        <f t="shared" si="531"/>
        <v/>
      </c>
      <c r="Z2181" s="586" t="str">
        <f t="shared" si="564"/>
        <v/>
      </c>
    </row>
    <row r="2182" spans="1:26" ht="12" hidden="1" thickBot="1" x14ac:dyDescent="0.25">
      <c r="A2182" s="567" t="s">
        <v>168</v>
      </c>
      <c r="B2182" s="644" t="s">
        <v>168</v>
      </c>
      <c r="C2182" s="645"/>
      <c r="D2182" s="422" t="s">
        <v>248</v>
      </c>
      <c r="E2182" s="423"/>
      <c r="F2182" s="424">
        <v>180</v>
      </c>
      <c r="G2182" s="425">
        <f>VLOOKUP(D2180,'[2]ENSAIOS DE ORÇAMENTO'!$C$3:$L$79,5,FALSE)</f>
        <v>0.91383625000000013</v>
      </c>
      <c r="H2182" s="663">
        <f t="shared" ref="H2182:H2184" si="575">IF(F2182&lt;=30,(1.07*F2182+2.68)*G2182,((1.07*30+2.68)+1.07*(F2182-30))*G2182)</f>
        <v>178.45394290000002</v>
      </c>
      <c r="I2182" s="420"/>
      <c r="J2182" s="420"/>
      <c r="K2182" s="421">
        <f t="shared" si="570"/>
        <v>0</v>
      </c>
      <c r="L2182" s="647"/>
      <c r="M2182" s="723"/>
      <c r="N2182" s="576">
        <f t="shared" si="559"/>
        <v>0</v>
      </c>
      <c r="O2182" s="577">
        <f t="shared" si="573"/>
        <v>0</v>
      </c>
      <c r="P2182" s="578">
        <f t="shared" si="574"/>
        <v>0</v>
      </c>
      <c r="Q2182" s="765"/>
      <c r="R2182" s="723"/>
      <c r="S2182" s="723"/>
      <c r="T2182" s="577">
        <f t="shared" si="571"/>
        <v>0</v>
      </c>
      <c r="U2182" s="578">
        <f t="shared" si="572"/>
        <v>0</v>
      </c>
      <c r="V2182" s="579"/>
      <c r="W2182" s="566" t="str">
        <f>IF(U2180&gt;0,"xx",IF(P2180&gt;0,"xy",""))</f>
        <v/>
      </c>
      <c r="X2182" s="586" t="str">
        <f t="shared" si="556"/>
        <v/>
      </c>
      <c r="Y2182" s="586" t="str">
        <f t="shared" si="531"/>
        <v/>
      </c>
      <c r="Z2182" s="586" t="str">
        <f t="shared" si="564"/>
        <v/>
      </c>
    </row>
    <row r="2183" spans="1:26" ht="12" hidden="1" thickBot="1" x14ac:dyDescent="0.25">
      <c r="A2183" s="567" t="s">
        <v>168</v>
      </c>
      <c r="B2183" s="644" t="s">
        <v>168</v>
      </c>
      <c r="C2183" s="645"/>
      <c r="D2183" s="422" t="s">
        <v>252</v>
      </c>
      <c r="E2183" s="423"/>
      <c r="F2183" s="424">
        <v>20</v>
      </c>
      <c r="G2183" s="425">
        <f>VLOOKUP(D2180,'[2]ENSAIOS DE ORÇAMENTO'!$C$3:$L$79,6,FALSE)</f>
        <v>0.20424000000000003</v>
      </c>
      <c r="H2183" s="663">
        <f t="shared" si="575"/>
        <v>4.9180992000000012</v>
      </c>
      <c r="I2183" s="420"/>
      <c r="J2183" s="420"/>
      <c r="K2183" s="421">
        <f t="shared" si="570"/>
        <v>0</v>
      </c>
      <c r="L2183" s="647"/>
      <c r="M2183" s="723"/>
      <c r="N2183" s="576">
        <f t="shared" si="559"/>
        <v>0</v>
      </c>
      <c r="O2183" s="577">
        <f t="shared" si="573"/>
        <v>0</v>
      </c>
      <c r="P2183" s="578">
        <f t="shared" si="574"/>
        <v>0</v>
      </c>
      <c r="Q2183" s="765"/>
      <c r="R2183" s="723"/>
      <c r="S2183" s="723"/>
      <c r="T2183" s="577">
        <f t="shared" si="571"/>
        <v>0</v>
      </c>
      <c r="U2183" s="578">
        <f t="shared" si="572"/>
        <v>0</v>
      </c>
      <c r="V2183" s="579"/>
      <c r="W2183" s="566" t="str">
        <f>IF(U2180&gt;0,"xx",IF(P2180&gt;0,"xy",""))</f>
        <v/>
      </c>
      <c r="X2183" s="586" t="str">
        <f t="shared" si="556"/>
        <v/>
      </c>
      <c r="Y2183" s="586" t="str">
        <f t="shared" si="531"/>
        <v/>
      </c>
      <c r="Z2183" s="586" t="str">
        <f t="shared" si="564"/>
        <v/>
      </c>
    </row>
    <row r="2184" spans="1:26" ht="12" hidden="1" thickBot="1" x14ac:dyDescent="0.25">
      <c r="A2184" s="567" t="s">
        <v>168</v>
      </c>
      <c r="B2184" s="644" t="s">
        <v>168</v>
      </c>
      <c r="C2184" s="645"/>
      <c r="D2184" s="422" t="s">
        <v>400</v>
      </c>
      <c r="E2184" s="423"/>
      <c r="F2184" s="424">
        <v>30</v>
      </c>
      <c r="G2184" s="425">
        <f>VLOOKUP(D2180,'[2]ENSAIOS DE ORÇAMENTO'!$C$3:$L$79,3,FALSE)</f>
        <v>1.4635799999999999</v>
      </c>
      <c r="H2184" s="663">
        <f t="shared" si="575"/>
        <v>50.903312399999997</v>
      </c>
      <c r="I2184" s="420"/>
      <c r="J2184" s="420"/>
      <c r="K2184" s="421">
        <f t="shared" si="570"/>
        <v>0</v>
      </c>
      <c r="L2184" s="647"/>
      <c r="M2184" s="723"/>
      <c r="N2184" s="576">
        <f t="shared" si="559"/>
        <v>0</v>
      </c>
      <c r="O2184" s="577">
        <f t="shared" si="573"/>
        <v>0</v>
      </c>
      <c r="P2184" s="578">
        <f t="shared" si="574"/>
        <v>0</v>
      </c>
      <c r="Q2184" s="765"/>
      <c r="R2184" s="723"/>
      <c r="S2184" s="723"/>
      <c r="T2184" s="577">
        <f t="shared" si="571"/>
        <v>0</v>
      </c>
      <c r="U2184" s="578">
        <f t="shared" si="572"/>
        <v>0</v>
      </c>
      <c r="V2184" s="579"/>
      <c r="W2184" s="566" t="str">
        <f>IF(U2180&gt;0,"xx",IF(P2180&gt;0,"xy",""))</f>
        <v/>
      </c>
      <c r="X2184" s="586" t="str">
        <f t="shared" si="556"/>
        <v/>
      </c>
      <c r="Y2184" s="586" t="str">
        <f t="shared" si="531"/>
        <v/>
      </c>
      <c r="Z2184" s="586" t="str">
        <f t="shared" si="564"/>
        <v/>
      </c>
    </row>
    <row r="2185" spans="1:26" ht="12" hidden="1" thickBot="1" x14ac:dyDescent="0.25">
      <c r="A2185" s="567" t="s">
        <v>168</v>
      </c>
      <c r="B2185" s="644" t="s">
        <v>168</v>
      </c>
      <c r="C2185" s="645"/>
      <c r="D2185" s="422" t="s">
        <v>401</v>
      </c>
      <c r="E2185" s="423"/>
      <c r="F2185" s="424">
        <v>500</v>
      </c>
      <c r="G2185" s="425">
        <f>VLOOKUP(D2180,'[2]ENSAIOS DE ORÇAMENTO'!$C$3:$L$79,10,FALSE)</f>
        <v>4.8785999999999996E-2</v>
      </c>
      <c r="H2185" s="649">
        <f>IF(F2185&lt;=30,(0.78*F2185+7.82)*G2185,((0.78*30+7.82)+0.78*(F2185-30))*G2185)</f>
        <v>19.408046519999999</v>
      </c>
      <c r="I2185" s="420"/>
      <c r="J2185" s="420"/>
      <c r="K2185" s="421">
        <f t="shared" si="570"/>
        <v>0</v>
      </c>
      <c r="L2185" s="647"/>
      <c r="M2185" s="723"/>
      <c r="N2185" s="576">
        <f t="shared" si="559"/>
        <v>0</v>
      </c>
      <c r="O2185" s="577">
        <f t="shared" si="573"/>
        <v>0</v>
      </c>
      <c r="P2185" s="578">
        <f t="shared" si="574"/>
        <v>0</v>
      </c>
      <c r="Q2185" s="765"/>
      <c r="R2185" s="723"/>
      <c r="S2185" s="723"/>
      <c r="T2185" s="577">
        <f t="shared" si="571"/>
        <v>0</v>
      </c>
      <c r="U2185" s="578">
        <f t="shared" si="572"/>
        <v>0</v>
      </c>
      <c r="V2185" s="579"/>
      <c r="W2185" s="566" t="str">
        <f>IF(U2180&gt;0,"xx",IF(P2180&gt;0,"xy",""))</f>
        <v/>
      </c>
      <c r="X2185" s="586" t="str">
        <f t="shared" si="556"/>
        <v/>
      </c>
      <c r="Y2185" s="586" t="str">
        <f t="shared" si="531"/>
        <v/>
      </c>
      <c r="Z2185" s="586" t="str">
        <f t="shared" si="564"/>
        <v/>
      </c>
    </row>
    <row r="2186" spans="1:26" ht="12" hidden="1" thickBot="1" x14ac:dyDescent="0.25">
      <c r="A2186" s="567" t="s">
        <v>27</v>
      </c>
      <c r="B2186" s="644" t="s">
        <v>27</v>
      </c>
      <c r="C2186" s="645" t="s">
        <v>206</v>
      </c>
      <c r="D2186" s="422" t="s">
        <v>72</v>
      </c>
      <c r="E2186" s="423"/>
      <c r="F2186" s="424"/>
      <c r="G2186" s="425"/>
      <c r="H2186" s="651">
        <f>SUM(H2187:H2191)</f>
        <v>383.47125160200005</v>
      </c>
      <c r="I2186" s="420">
        <f>VLOOKUP(D2186,'[2]ENSAIOS DE ORÇAMENTO'!$C$3:$L$79,8,FALSE)</f>
        <v>2044.395368</v>
      </c>
      <c r="J2186" s="420">
        <f>IF(ISBLANK(I2186),"",SUM(H2186:I2186))</f>
        <v>2427.8666196019999</v>
      </c>
      <c r="K2186" s="421">
        <f t="shared" si="570"/>
        <v>2884.55</v>
      </c>
      <c r="L2186" s="647" t="s">
        <v>21</v>
      </c>
      <c r="M2186" s="576"/>
      <c r="N2186" s="576">
        <f t="shared" si="559"/>
        <v>0</v>
      </c>
      <c r="O2186" s="577">
        <f t="shared" si="573"/>
        <v>0</v>
      </c>
      <c r="P2186" s="578">
        <f t="shared" si="574"/>
        <v>0</v>
      </c>
      <c r="Q2186" s="765"/>
      <c r="R2186" s="576">
        <f>M2186</f>
        <v>0</v>
      </c>
      <c r="S2186" s="576">
        <f>N2186</f>
        <v>0</v>
      </c>
      <c r="T2186" s="577">
        <f t="shared" si="571"/>
        <v>0</v>
      </c>
      <c r="U2186" s="578">
        <f t="shared" si="572"/>
        <v>0</v>
      </c>
      <c r="V2186" s="579"/>
      <c r="W2186" s="566"/>
      <c r="X2186" s="586" t="str">
        <f t="shared" si="556"/>
        <v/>
      </c>
      <c r="Y2186" s="586" t="str">
        <f t="shared" si="531"/>
        <v/>
      </c>
      <c r="Z2186" s="586" t="str">
        <f t="shared" si="564"/>
        <v/>
      </c>
    </row>
    <row r="2187" spans="1:26" ht="12" hidden="1" thickBot="1" x14ac:dyDescent="0.25">
      <c r="A2187" s="567" t="s">
        <v>168</v>
      </c>
      <c r="B2187" s="644" t="s">
        <v>168</v>
      </c>
      <c r="C2187" s="645"/>
      <c r="D2187" s="422" t="s">
        <v>212</v>
      </c>
      <c r="E2187" s="423"/>
      <c r="F2187" s="424">
        <v>500</v>
      </c>
      <c r="G2187" s="425">
        <f>VLOOKUP(D2186,'[2]ENSAIOS DE ORÇAMENTO'!$C$3:$L$79,4,FALSE)</f>
        <v>0.19012209999999999</v>
      </c>
      <c r="H2187" s="649">
        <f>IF(F2187&lt;=30,(0.78*F2187+7.82)*G2187,((0.78*30+7.82)+0.78*(F2187-30))*G2187)</f>
        <v>75.634373822000001</v>
      </c>
      <c r="I2187" s="420"/>
      <c r="J2187" s="420"/>
      <c r="K2187" s="421">
        <f t="shared" si="570"/>
        <v>0</v>
      </c>
      <c r="L2187" s="647"/>
      <c r="M2187" s="723"/>
      <c r="N2187" s="576">
        <f t="shared" si="559"/>
        <v>0</v>
      </c>
      <c r="O2187" s="577">
        <f t="shared" si="573"/>
        <v>0</v>
      </c>
      <c r="P2187" s="578">
        <f t="shared" si="574"/>
        <v>0</v>
      </c>
      <c r="Q2187" s="765"/>
      <c r="R2187" s="723"/>
      <c r="S2187" s="723"/>
      <c r="T2187" s="577">
        <f t="shared" si="571"/>
        <v>0</v>
      </c>
      <c r="U2187" s="578">
        <f t="shared" si="572"/>
        <v>0</v>
      </c>
      <c r="V2187" s="579"/>
      <c r="W2187" s="566" t="str">
        <f>IF(U2186&gt;0,"xx",IF(P2186&gt;0,"xy",""))</f>
        <v/>
      </c>
      <c r="X2187" s="586" t="str">
        <f t="shared" si="556"/>
        <v/>
      </c>
      <c r="Y2187" s="586" t="str">
        <f t="shared" si="531"/>
        <v/>
      </c>
      <c r="Z2187" s="586" t="str">
        <f t="shared" si="564"/>
        <v/>
      </c>
    </row>
    <row r="2188" spans="1:26" ht="12" hidden="1" thickBot="1" x14ac:dyDescent="0.25">
      <c r="A2188" s="567" t="s">
        <v>168</v>
      </c>
      <c r="B2188" s="644" t="s">
        <v>168</v>
      </c>
      <c r="C2188" s="645"/>
      <c r="D2188" s="422" t="s">
        <v>248</v>
      </c>
      <c r="E2188" s="423"/>
      <c r="F2188" s="424">
        <v>180</v>
      </c>
      <c r="G2188" s="425">
        <f>VLOOKUP(D2186,'[2]ENSAIOS DE ORÇAMENTO'!$C$3:$L$79,5,FALSE)</f>
        <v>1.09957375</v>
      </c>
      <c r="H2188" s="663">
        <f t="shared" ref="H2188:H2190" si="576">IF(F2188&lt;=30,(1.07*F2188+2.68)*G2188,((1.07*30+2.68)+1.07*(F2188-30))*G2188)</f>
        <v>214.7247619</v>
      </c>
      <c r="I2188" s="420"/>
      <c r="J2188" s="420"/>
      <c r="K2188" s="421">
        <f t="shared" si="570"/>
        <v>0</v>
      </c>
      <c r="L2188" s="647"/>
      <c r="M2188" s="723"/>
      <c r="N2188" s="576">
        <f t="shared" si="559"/>
        <v>0</v>
      </c>
      <c r="O2188" s="577">
        <f t="shared" si="573"/>
        <v>0</v>
      </c>
      <c r="P2188" s="578">
        <f t="shared" si="574"/>
        <v>0</v>
      </c>
      <c r="Q2188" s="765"/>
      <c r="R2188" s="723"/>
      <c r="S2188" s="723"/>
      <c r="T2188" s="577">
        <f t="shared" si="571"/>
        <v>0</v>
      </c>
      <c r="U2188" s="578">
        <f t="shared" si="572"/>
        <v>0</v>
      </c>
      <c r="V2188" s="579"/>
      <c r="W2188" s="566" t="str">
        <f>IF(U2186&gt;0,"xx",IF(P2186&gt;0,"xy",""))</f>
        <v/>
      </c>
      <c r="X2188" s="586" t="str">
        <f t="shared" si="556"/>
        <v/>
      </c>
      <c r="Y2188" s="586" t="str">
        <f t="shared" si="531"/>
        <v/>
      </c>
      <c r="Z2188" s="586" t="str">
        <f t="shared" si="564"/>
        <v/>
      </c>
    </row>
    <row r="2189" spans="1:26" ht="12" hidden="1" thickBot="1" x14ac:dyDescent="0.25">
      <c r="A2189" s="567" t="s">
        <v>168</v>
      </c>
      <c r="B2189" s="644" t="s">
        <v>168</v>
      </c>
      <c r="C2189" s="645"/>
      <c r="D2189" s="422" t="s">
        <v>252</v>
      </c>
      <c r="E2189" s="423"/>
      <c r="F2189" s="424">
        <v>20</v>
      </c>
      <c r="G2189" s="425">
        <f>VLOOKUP(D2186,'[2]ENSAIOS DE ORÇAMENTO'!$C$3:$L$79,6,FALSE)</f>
        <v>0.20424000000000003</v>
      </c>
      <c r="H2189" s="663">
        <f t="shared" si="576"/>
        <v>4.9180992000000012</v>
      </c>
      <c r="I2189" s="420"/>
      <c r="J2189" s="420"/>
      <c r="K2189" s="421">
        <f t="shared" si="570"/>
        <v>0</v>
      </c>
      <c r="L2189" s="647"/>
      <c r="M2189" s="723"/>
      <c r="N2189" s="576">
        <f t="shared" si="559"/>
        <v>0</v>
      </c>
      <c r="O2189" s="577">
        <f t="shared" si="573"/>
        <v>0</v>
      </c>
      <c r="P2189" s="578">
        <f t="shared" si="574"/>
        <v>0</v>
      </c>
      <c r="Q2189" s="765"/>
      <c r="R2189" s="723"/>
      <c r="S2189" s="723"/>
      <c r="T2189" s="577">
        <f t="shared" si="571"/>
        <v>0</v>
      </c>
      <c r="U2189" s="578">
        <f t="shared" si="572"/>
        <v>0</v>
      </c>
      <c r="V2189" s="579"/>
      <c r="W2189" s="566" t="str">
        <f>IF(U2186&gt;0,"xx",IF(P2186&gt;0,"xy",""))</f>
        <v/>
      </c>
      <c r="X2189" s="586" t="str">
        <f t="shared" si="556"/>
        <v/>
      </c>
      <c r="Y2189" s="586" t="str">
        <f t="shared" si="531"/>
        <v/>
      </c>
      <c r="Z2189" s="586" t="str">
        <f t="shared" si="564"/>
        <v/>
      </c>
    </row>
    <row r="2190" spans="1:26" ht="12" hidden="1" thickBot="1" x14ac:dyDescent="0.25">
      <c r="A2190" s="567" t="s">
        <v>168</v>
      </c>
      <c r="B2190" s="644" t="s">
        <v>168</v>
      </c>
      <c r="C2190" s="645"/>
      <c r="D2190" s="422" t="s">
        <v>400</v>
      </c>
      <c r="E2190" s="423"/>
      <c r="F2190" s="424">
        <v>30</v>
      </c>
      <c r="G2190" s="425">
        <f>VLOOKUP(D2186,'[2]ENSAIOS DE ORÇAMENTO'!$C$3:$L$79,3,FALSE)</f>
        <v>1.8358199999999998</v>
      </c>
      <c r="H2190" s="663">
        <f t="shared" si="576"/>
        <v>63.849819599999996</v>
      </c>
      <c r="I2190" s="420"/>
      <c r="J2190" s="420"/>
      <c r="K2190" s="421">
        <f t="shared" si="570"/>
        <v>0</v>
      </c>
      <c r="L2190" s="647"/>
      <c r="M2190" s="723"/>
      <c r="N2190" s="576">
        <f t="shared" si="559"/>
        <v>0</v>
      </c>
      <c r="O2190" s="577">
        <f t="shared" si="573"/>
        <v>0</v>
      </c>
      <c r="P2190" s="578">
        <f t="shared" si="574"/>
        <v>0</v>
      </c>
      <c r="Q2190" s="765"/>
      <c r="R2190" s="723"/>
      <c r="S2190" s="723"/>
      <c r="T2190" s="577">
        <f t="shared" si="571"/>
        <v>0</v>
      </c>
      <c r="U2190" s="578">
        <f t="shared" si="572"/>
        <v>0</v>
      </c>
      <c r="V2190" s="579"/>
      <c r="W2190" s="566" t="str">
        <f>IF(U2186&gt;0,"xx",IF(P2186&gt;0,"xy",""))</f>
        <v/>
      </c>
      <c r="X2190" s="586" t="str">
        <f t="shared" si="556"/>
        <v/>
      </c>
      <c r="Y2190" s="586" t="str">
        <f t="shared" si="531"/>
        <v/>
      </c>
      <c r="Z2190" s="586" t="str">
        <f t="shared" si="564"/>
        <v/>
      </c>
    </row>
    <row r="2191" spans="1:26" ht="12" hidden="1" thickBot="1" x14ac:dyDescent="0.25">
      <c r="A2191" s="567" t="s">
        <v>168</v>
      </c>
      <c r="B2191" s="644" t="s">
        <v>168</v>
      </c>
      <c r="C2191" s="645"/>
      <c r="D2191" s="422" t="s">
        <v>401</v>
      </c>
      <c r="E2191" s="423"/>
      <c r="F2191" s="424">
        <v>500</v>
      </c>
      <c r="G2191" s="425">
        <f>VLOOKUP(D2186,'[2]ENSAIOS DE ORÇAMENTO'!$C$3:$L$79,10,FALSE)</f>
        <v>6.1193999999999998E-2</v>
      </c>
      <c r="H2191" s="649">
        <f>IF(F2191&lt;=30,(0.78*F2191+7.82)*G2191,((0.78*30+7.82)+0.78*(F2191-30))*G2191)</f>
        <v>24.344197080000001</v>
      </c>
      <c r="I2191" s="420"/>
      <c r="J2191" s="420"/>
      <c r="K2191" s="421">
        <f t="shared" si="570"/>
        <v>0</v>
      </c>
      <c r="L2191" s="647"/>
      <c r="M2191" s="723"/>
      <c r="N2191" s="576">
        <f t="shared" si="559"/>
        <v>0</v>
      </c>
      <c r="O2191" s="577">
        <f t="shared" si="573"/>
        <v>0</v>
      </c>
      <c r="P2191" s="578">
        <f t="shared" si="574"/>
        <v>0</v>
      </c>
      <c r="Q2191" s="765"/>
      <c r="R2191" s="723"/>
      <c r="S2191" s="723"/>
      <c r="T2191" s="577">
        <f t="shared" si="571"/>
        <v>0</v>
      </c>
      <c r="U2191" s="578">
        <f t="shared" si="572"/>
        <v>0</v>
      </c>
      <c r="V2191" s="579"/>
      <c r="W2191" s="566" t="str">
        <f>IF(U2186&gt;0,"xx",IF(P2186&gt;0,"xy",""))</f>
        <v/>
      </c>
      <c r="X2191" s="586" t="str">
        <f t="shared" si="556"/>
        <v/>
      </c>
      <c r="Y2191" s="586" t="str">
        <f t="shared" si="531"/>
        <v/>
      </c>
      <c r="Z2191" s="586" t="str">
        <f t="shared" si="564"/>
        <v/>
      </c>
    </row>
    <row r="2192" spans="1:26" ht="12" hidden="1" thickBot="1" x14ac:dyDescent="0.25">
      <c r="A2192" s="567" t="s">
        <v>113</v>
      </c>
      <c r="B2192" s="644" t="s">
        <v>113</v>
      </c>
      <c r="C2192" s="645" t="s">
        <v>206</v>
      </c>
      <c r="D2192" s="422" t="s">
        <v>402</v>
      </c>
      <c r="E2192" s="423"/>
      <c r="F2192" s="424"/>
      <c r="G2192" s="425"/>
      <c r="H2192" s="651">
        <f>SUM(H2193:H2197)</f>
        <v>456.5251684000001</v>
      </c>
      <c r="I2192" s="420">
        <f>VLOOKUP(D2192,'[2]ENSAIOS DE ORÇAMENTO'!$C$3:$L$79,8,FALSE)</f>
        <v>1094.7577000000001</v>
      </c>
      <c r="J2192" s="420">
        <f>IF(ISBLANK(I2192),"",SUM(H2192:I2192))</f>
        <v>1551.2828684000001</v>
      </c>
      <c r="K2192" s="421">
        <f t="shared" si="570"/>
        <v>1843.08</v>
      </c>
      <c r="L2192" s="647" t="s">
        <v>21</v>
      </c>
      <c r="M2192" s="576"/>
      <c r="N2192" s="576">
        <f t="shared" si="559"/>
        <v>0</v>
      </c>
      <c r="O2192" s="577">
        <f t="shared" si="573"/>
        <v>0</v>
      </c>
      <c r="P2192" s="578">
        <f t="shared" si="574"/>
        <v>0</v>
      </c>
      <c r="Q2192" s="765"/>
      <c r="R2192" s="576">
        <f>M2192</f>
        <v>0</v>
      </c>
      <c r="S2192" s="576">
        <f>N2192</f>
        <v>0</v>
      </c>
      <c r="T2192" s="577">
        <f t="shared" si="571"/>
        <v>0</v>
      </c>
      <c r="U2192" s="578">
        <f t="shared" si="572"/>
        <v>0</v>
      </c>
      <c r="V2192" s="579"/>
      <c r="W2192" s="566"/>
      <c r="X2192" s="586" t="str">
        <f t="shared" ref="X2192:X2277" si="577">IF(W2192="X","x",IF(W2192="xx","x",IF(W2192="xy","x",IF(W2192="y","x",IF(OR(P2192&gt;0,U2192&gt;0),"x","")))))</f>
        <v/>
      </c>
      <c r="Y2192" s="586" t="str">
        <f t="shared" si="531"/>
        <v/>
      </c>
      <c r="Z2192" s="586" t="str">
        <f t="shared" si="564"/>
        <v/>
      </c>
    </row>
    <row r="2193" spans="1:26" ht="12" hidden="1" thickBot="1" x14ac:dyDescent="0.25">
      <c r="A2193" s="567" t="s">
        <v>168</v>
      </c>
      <c r="B2193" s="644" t="s">
        <v>168</v>
      </c>
      <c r="C2193" s="645"/>
      <c r="D2193" s="422" t="s">
        <v>212</v>
      </c>
      <c r="E2193" s="423"/>
      <c r="F2193" s="424">
        <v>500</v>
      </c>
      <c r="G2193" s="425">
        <f>VLOOKUP(D2192,'[2]ENSAIOS DE ORÇAMENTO'!$C$3:$L$79,4,FALSE)</f>
        <v>0.43266000000000004</v>
      </c>
      <c r="H2193" s="649">
        <f>IF(F2193&lt;=30,(0.78*F2193+7.82)*G2193,((0.78*30+7.82)+0.78*(F2193-30))*G2193)</f>
        <v>172.12080120000005</v>
      </c>
      <c r="I2193" s="420"/>
      <c r="J2193" s="420"/>
      <c r="K2193" s="421">
        <f t="shared" si="570"/>
        <v>0</v>
      </c>
      <c r="L2193" s="647"/>
      <c r="M2193" s="723"/>
      <c r="N2193" s="576">
        <f t="shared" si="559"/>
        <v>0</v>
      </c>
      <c r="O2193" s="577">
        <f t="shared" si="573"/>
        <v>0</v>
      </c>
      <c r="P2193" s="578">
        <f t="shared" si="574"/>
        <v>0</v>
      </c>
      <c r="Q2193" s="765"/>
      <c r="R2193" s="723"/>
      <c r="S2193" s="723"/>
      <c r="T2193" s="577">
        <f t="shared" si="571"/>
        <v>0</v>
      </c>
      <c r="U2193" s="578">
        <f t="shared" si="572"/>
        <v>0</v>
      </c>
      <c r="V2193" s="579"/>
      <c r="W2193" s="566" t="str">
        <f>IF(U2192&gt;0,"xx",IF(P2192&gt;0,"xy",""))</f>
        <v/>
      </c>
      <c r="X2193" s="586" t="str">
        <f t="shared" si="577"/>
        <v/>
      </c>
      <c r="Y2193" s="586" t="str">
        <f t="shared" si="531"/>
        <v/>
      </c>
      <c r="Z2193" s="586" t="str">
        <f t="shared" si="564"/>
        <v/>
      </c>
    </row>
    <row r="2194" spans="1:26" ht="12" hidden="1" thickBot="1" x14ac:dyDescent="0.25">
      <c r="A2194" s="567" t="s">
        <v>168</v>
      </c>
      <c r="B2194" s="644" t="s">
        <v>168</v>
      </c>
      <c r="C2194" s="645"/>
      <c r="D2194" s="422" t="s">
        <v>248</v>
      </c>
      <c r="E2194" s="423"/>
      <c r="F2194" s="424">
        <v>180</v>
      </c>
      <c r="G2194" s="425">
        <f>VLOOKUP(D2192,'[2]ENSAIOS DE ORÇAMENTO'!$C$3:$L$79,5,FALSE)</f>
        <v>1.26997</v>
      </c>
      <c r="H2194" s="663">
        <f t="shared" ref="H2194:H2196" si="578">IF(F2194&lt;=30,(1.07*F2194+2.68)*G2194,((1.07*30+2.68)+1.07*(F2194-30))*G2194)</f>
        <v>247.99974160000002</v>
      </c>
      <c r="I2194" s="420"/>
      <c r="J2194" s="420"/>
      <c r="K2194" s="421">
        <f t="shared" si="570"/>
        <v>0</v>
      </c>
      <c r="L2194" s="647"/>
      <c r="M2194" s="723"/>
      <c r="N2194" s="576">
        <f t="shared" si="559"/>
        <v>0</v>
      </c>
      <c r="O2194" s="577">
        <f t="shared" si="573"/>
        <v>0</v>
      </c>
      <c r="P2194" s="578">
        <f t="shared" si="574"/>
        <v>0</v>
      </c>
      <c r="Q2194" s="765"/>
      <c r="R2194" s="723"/>
      <c r="S2194" s="723"/>
      <c r="T2194" s="577">
        <f t="shared" si="571"/>
        <v>0</v>
      </c>
      <c r="U2194" s="578">
        <f t="shared" si="572"/>
        <v>0</v>
      </c>
      <c r="V2194" s="579"/>
      <c r="W2194" s="566" t="str">
        <f>IF(U2192&gt;0,"xx",IF(P2192&gt;0,"xy",""))</f>
        <v/>
      </c>
      <c r="X2194" s="586" t="str">
        <f t="shared" si="577"/>
        <v/>
      </c>
      <c r="Y2194" s="586" t="str">
        <f t="shared" si="531"/>
        <v/>
      </c>
      <c r="Z2194" s="586" t="str">
        <f t="shared" si="564"/>
        <v/>
      </c>
    </row>
    <row r="2195" spans="1:26" ht="12" hidden="1" thickBot="1" x14ac:dyDescent="0.25">
      <c r="A2195" s="567" t="s">
        <v>168</v>
      </c>
      <c r="B2195" s="644" t="s">
        <v>168</v>
      </c>
      <c r="C2195" s="645"/>
      <c r="D2195" s="422" t="s">
        <v>252</v>
      </c>
      <c r="E2195" s="423"/>
      <c r="F2195" s="424">
        <v>20</v>
      </c>
      <c r="G2195" s="425">
        <f>VLOOKUP(D2192,'[2]ENSAIOS DE ORÇAMENTO'!$C$3:$L$79,6,FALSE)</f>
        <v>1.5118200000000002</v>
      </c>
      <c r="H2195" s="663">
        <f t="shared" si="578"/>
        <v>36.40462560000001</v>
      </c>
      <c r="I2195" s="420"/>
      <c r="J2195" s="420"/>
      <c r="K2195" s="421">
        <f t="shared" si="570"/>
        <v>0</v>
      </c>
      <c r="L2195" s="647"/>
      <c r="M2195" s="723"/>
      <c r="N2195" s="576">
        <f t="shared" si="559"/>
        <v>0</v>
      </c>
      <c r="O2195" s="577">
        <f t="shared" si="573"/>
        <v>0</v>
      </c>
      <c r="P2195" s="578">
        <f t="shared" si="574"/>
        <v>0</v>
      </c>
      <c r="Q2195" s="765"/>
      <c r="R2195" s="723"/>
      <c r="S2195" s="723"/>
      <c r="T2195" s="577">
        <f t="shared" si="571"/>
        <v>0</v>
      </c>
      <c r="U2195" s="578">
        <f t="shared" si="572"/>
        <v>0</v>
      </c>
      <c r="V2195" s="579"/>
      <c r="W2195" s="566" t="str">
        <f>IF(U2192&gt;0,"xx",IF(P2192&gt;0,"xy",""))</f>
        <v/>
      </c>
      <c r="X2195" s="586" t="str">
        <f t="shared" si="577"/>
        <v/>
      </c>
      <c r="Y2195" s="586" t="str">
        <f t="shared" si="531"/>
        <v/>
      </c>
      <c r="Z2195" s="586" t="str">
        <f t="shared" si="564"/>
        <v/>
      </c>
    </row>
    <row r="2196" spans="1:26" ht="12" hidden="1" thickBot="1" x14ac:dyDescent="0.25">
      <c r="A2196" s="567" t="s">
        <v>168</v>
      </c>
      <c r="B2196" s="644" t="s">
        <v>168</v>
      </c>
      <c r="C2196" s="645"/>
      <c r="D2196" s="422" t="s">
        <v>400</v>
      </c>
      <c r="E2196" s="423"/>
      <c r="F2196" s="424">
        <v>30</v>
      </c>
      <c r="G2196" s="425">
        <f>VLOOKUP(D2192,'[2]ENSAIOS DE ORÇAMENTO'!$C$3:$L$79,3,FALSE)</f>
        <v>0</v>
      </c>
      <c r="H2196" s="663">
        <f t="shared" si="578"/>
        <v>0</v>
      </c>
      <c r="I2196" s="420"/>
      <c r="J2196" s="420"/>
      <c r="K2196" s="421">
        <f t="shared" si="570"/>
        <v>0</v>
      </c>
      <c r="L2196" s="647"/>
      <c r="M2196" s="723"/>
      <c r="N2196" s="576">
        <f t="shared" ref="N2196:N2259" si="579">IF(M2196=0,0,K2196)</f>
        <v>0</v>
      </c>
      <c r="O2196" s="577">
        <f t="shared" si="573"/>
        <v>0</v>
      </c>
      <c r="P2196" s="578">
        <f t="shared" si="574"/>
        <v>0</v>
      </c>
      <c r="Q2196" s="765"/>
      <c r="R2196" s="723"/>
      <c r="S2196" s="723"/>
      <c r="T2196" s="577">
        <f t="shared" si="571"/>
        <v>0</v>
      </c>
      <c r="U2196" s="578">
        <f t="shared" si="572"/>
        <v>0</v>
      </c>
      <c r="V2196" s="579"/>
      <c r="W2196" s="566" t="str">
        <f>IF(U2192&gt;0,"xx",IF(P2192&gt;0,"xy",""))</f>
        <v/>
      </c>
      <c r="X2196" s="586" t="str">
        <f t="shared" si="577"/>
        <v/>
      </c>
      <c r="Y2196" s="586" t="str">
        <f t="shared" si="531"/>
        <v/>
      </c>
      <c r="Z2196" s="586" t="str">
        <f t="shared" si="564"/>
        <v/>
      </c>
    </row>
    <row r="2197" spans="1:26" ht="12" hidden="1" thickBot="1" x14ac:dyDescent="0.25">
      <c r="A2197" s="567" t="s">
        <v>168</v>
      </c>
      <c r="B2197" s="644" t="s">
        <v>168</v>
      </c>
      <c r="C2197" s="645"/>
      <c r="D2197" s="422" t="s">
        <v>401</v>
      </c>
      <c r="E2197" s="423"/>
      <c r="F2197" s="424">
        <v>500</v>
      </c>
      <c r="G2197" s="425">
        <f>VLOOKUP(D2192,'[2]ENSAIOS DE ORÇAMENTO'!$C$3:$L$79,10,FALSE)</f>
        <v>0</v>
      </c>
      <c r="H2197" s="649">
        <f>IF(F2197&lt;=30,(0.78*F2197+7.82)*G2197,((0.78*30+7.82)+0.78*(F2197-30))*G2197)</f>
        <v>0</v>
      </c>
      <c r="I2197" s="420"/>
      <c r="J2197" s="420"/>
      <c r="K2197" s="421">
        <f t="shared" si="570"/>
        <v>0</v>
      </c>
      <c r="L2197" s="647"/>
      <c r="M2197" s="723"/>
      <c r="N2197" s="576">
        <f t="shared" si="579"/>
        <v>0</v>
      </c>
      <c r="O2197" s="577">
        <f t="shared" si="573"/>
        <v>0</v>
      </c>
      <c r="P2197" s="578">
        <f t="shared" si="574"/>
        <v>0</v>
      </c>
      <c r="Q2197" s="765"/>
      <c r="R2197" s="723"/>
      <c r="S2197" s="723"/>
      <c r="T2197" s="577">
        <f t="shared" si="571"/>
        <v>0</v>
      </c>
      <c r="U2197" s="578">
        <f t="shared" si="572"/>
        <v>0</v>
      </c>
      <c r="V2197" s="579"/>
      <c r="W2197" s="566" t="str">
        <f>IF(U2192&gt;0,"xx",IF(P2192&gt;0,"xy",""))</f>
        <v/>
      </c>
      <c r="X2197" s="586" t="str">
        <f t="shared" si="577"/>
        <v/>
      </c>
      <c r="Y2197" s="586" t="str">
        <f t="shared" si="531"/>
        <v/>
      </c>
      <c r="Z2197" s="586" t="str">
        <f t="shared" si="564"/>
        <v/>
      </c>
    </row>
    <row r="2198" spans="1:26" ht="12" hidden="1" thickBot="1" x14ac:dyDescent="0.25">
      <c r="A2198" s="567" t="s">
        <v>114</v>
      </c>
      <c r="B2198" s="644" t="s">
        <v>114</v>
      </c>
      <c r="C2198" s="645" t="s">
        <v>206</v>
      </c>
      <c r="D2198" s="422" t="s">
        <v>403</v>
      </c>
      <c r="E2198" s="423"/>
      <c r="F2198" s="424"/>
      <c r="G2198" s="425">
        <f>G2222</f>
        <v>0</v>
      </c>
      <c r="H2198" s="651">
        <f>SUM(H2199:H2203)</f>
        <v>568.01972080000007</v>
      </c>
      <c r="I2198" s="420">
        <f>VLOOKUP(D2198,'[2]ENSAIOS DE ORÇAMENTO'!$C$3:$L$79,8,FALSE)</f>
        <v>1275.7076000000002</v>
      </c>
      <c r="J2198" s="420">
        <f>IF(ISBLANK(I2198),"",SUM(H2198:I2198))</f>
        <v>1843.7273208000001</v>
      </c>
      <c r="K2198" s="421">
        <f t="shared" si="570"/>
        <v>2190.5300000000002</v>
      </c>
      <c r="L2198" s="647" t="s">
        <v>21</v>
      </c>
      <c r="M2198" s="576"/>
      <c r="N2198" s="576">
        <f t="shared" si="579"/>
        <v>0</v>
      </c>
      <c r="O2198" s="577">
        <f t="shared" si="573"/>
        <v>0</v>
      </c>
      <c r="P2198" s="578">
        <f t="shared" si="574"/>
        <v>0</v>
      </c>
      <c r="Q2198" s="765"/>
      <c r="R2198" s="576">
        <f>M2198</f>
        <v>0</v>
      </c>
      <c r="S2198" s="576">
        <f>N2198</f>
        <v>0</v>
      </c>
      <c r="T2198" s="577">
        <f t="shared" si="571"/>
        <v>0</v>
      </c>
      <c r="U2198" s="578">
        <f t="shared" si="572"/>
        <v>0</v>
      </c>
      <c r="V2198" s="579"/>
      <c r="W2198" s="566"/>
      <c r="X2198" s="586" t="str">
        <f t="shared" si="577"/>
        <v/>
      </c>
      <c r="Y2198" s="586" t="str">
        <f t="shared" si="531"/>
        <v/>
      </c>
      <c r="Z2198" s="586" t="str">
        <f t="shared" si="564"/>
        <v/>
      </c>
    </row>
    <row r="2199" spans="1:26" ht="12" hidden="1" thickBot="1" x14ac:dyDescent="0.25">
      <c r="A2199" s="567" t="s">
        <v>168</v>
      </c>
      <c r="B2199" s="644" t="s">
        <v>168</v>
      </c>
      <c r="C2199" s="645"/>
      <c r="D2199" s="422" t="s">
        <v>212</v>
      </c>
      <c r="E2199" s="423"/>
      <c r="F2199" s="424">
        <v>500</v>
      </c>
      <c r="G2199" s="425">
        <f>VLOOKUP(D2198,'[2]ENSAIOS DE ORÇAMENTO'!$C$3:$L$79,4,FALSE)</f>
        <v>0.54156000000000004</v>
      </c>
      <c r="H2199" s="649">
        <f>IF(F2199&lt;=30,(0.78*F2199+7.82)*G2199,((0.78*30+7.82)+0.78*(F2199-30))*G2199)</f>
        <v>215.44339920000004</v>
      </c>
      <c r="I2199" s="420"/>
      <c r="J2199" s="420"/>
      <c r="K2199" s="421">
        <f t="shared" si="570"/>
        <v>0</v>
      </c>
      <c r="L2199" s="647"/>
      <c r="M2199" s="723"/>
      <c r="N2199" s="576">
        <f t="shared" si="579"/>
        <v>0</v>
      </c>
      <c r="O2199" s="577">
        <f t="shared" si="573"/>
        <v>0</v>
      </c>
      <c r="P2199" s="578">
        <f t="shared" si="574"/>
        <v>0</v>
      </c>
      <c r="Q2199" s="765"/>
      <c r="R2199" s="723"/>
      <c r="S2199" s="723"/>
      <c r="T2199" s="577">
        <f t="shared" si="571"/>
        <v>0</v>
      </c>
      <c r="U2199" s="578">
        <f t="shared" si="572"/>
        <v>0</v>
      </c>
      <c r="V2199" s="579"/>
      <c r="W2199" s="566" t="str">
        <f>IF(U2198&gt;0,"xx",IF(P2198&gt;0,"xy",""))</f>
        <v/>
      </c>
      <c r="X2199" s="586" t="str">
        <f t="shared" si="577"/>
        <v/>
      </c>
      <c r="Y2199" s="586" t="str">
        <f t="shared" si="531"/>
        <v/>
      </c>
      <c r="Z2199" s="586" t="str">
        <f t="shared" si="564"/>
        <v/>
      </c>
    </row>
    <row r="2200" spans="1:26" ht="12" hidden="1" thickBot="1" x14ac:dyDescent="0.25">
      <c r="A2200" s="567" t="s">
        <v>168</v>
      </c>
      <c r="B2200" s="644" t="s">
        <v>168</v>
      </c>
      <c r="C2200" s="645"/>
      <c r="D2200" s="422" t="s">
        <v>248</v>
      </c>
      <c r="E2200" s="423"/>
      <c r="F2200" s="424">
        <v>180</v>
      </c>
      <c r="G2200" s="425">
        <f>VLOOKUP(D2198,'[2]ENSAIOS DE ORÇAMENTO'!$C$3:$L$79,5,FALSE)</f>
        <v>1.5739000000000001</v>
      </c>
      <c r="H2200" s="663">
        <f t="shared" ref="H2200:H2202" si="580">IF(F2200&lt;=30,(1.07*F2200+2.68)*G2200,((1.07*30+2.68)+1.07*(F2200-30))*G2200)</f>
        <v>307.35119200000003</v>
      </c>
      <c r="I2200" s="420"/>
      <c r="J2200" s="420"/>
      <c r="K2200" s="421">
        <f t="shared" si="570"/>
        <v>0</v>
      </c>
      <c r="L2200" s="647"/>
      <c r="M2200" s="723"/>
      <c r="N2200" s="576">
        <f t="shared" si="579"/>
        <v>0</v>
      </c>
      <c r="O2200" s="577">
        <f t="shared" si="573"/>
        <v>0</v>
      </c>
      <c r="P2200" s="578">
        <f t="shared" si="574"/>
        <v>0</v>
      </c>
      <c r="Q2200" s="765"/>
      <c r="R2200" s="723"/>
      <c r="S2200" s="723"/>
      <c r="T2200" s="577">
        <f t="shared" si="571"/>
        <v>0</v>
      </c>
      <c r="U2200" s="578">
        <f t="shared" si="572"/>
        <v>0</v>
      </c>
      <c r="V2200" s="579"/>
      <c r="W2200" s="566" t="str">
        <f>IF(U2198&gt;0,"xx",IF(P2198&gt;0,"xy",""))</f>
        <v/>
      </c>
      <c r="X2200" s="586" t="str">
        <f t="shared" si="577"/>
        <v/>
      </c>
      <c r="Y2200" s="586" t="str">
        <f t="shared" si="531"/>
        <v/>
      </c>
      <c r="Z2200" s="586" t="str">
        <f t="shared" si="564"/>
        <v/>
      </c>
    </row>
    <row r="2201" spans="1:26" ht="12" hidden="1" thickBot="1" x14ac:dyDescent="0.25">
      <c r="A2201" s="567" t="s">
        <v>168</v>
      </c>
      <c r="B2201" s="644" t="s">
        <v>168</v>
      </c>
      <c r="C2201" s="645"/>
      <c r="D2201" s="422" t="s">
        <v>252</v>
      </c>
      <c r="E2201" s="423"/>
      <c r="F2201" s="424">
        <v>20</v>
      </c>
      <c r="G2201" s="425">
        <f>VLOOKUP(D2198,'[2]ENSAIOS DE ORÇAMENTO'!$C$3:$L$79,6,FALSE)</f>
        <v>1.8781200000000002</v>
      </c>
      <c r="H2201" s="663">
        <f t="shared" si="580"/>
        <v>45.22512960000001</v>
      </c>
      <c r="I2201" s="420"/>
      <c r="J2201" s="420"/>
      <c r="K2201" s="421">
        <f t="shared" si="570"/>
        <v>0</v>
      </c>
      <c r="L2201" s="647"/>
      <c r="M2201" s="723"/>
      <c r="N2201" s="576">
        <f t="shared" si="579"/>
        <v>0</v>
      </c>
      <c r="O2201" s="577">
        <f t="shared" si="573"/>
        <v>0</v>
      </c>
      <c r="P2201" s="578">
        <f t="shared" si="574"/>
        <v>0</v>
      </c>
      <c r="Q2201" s="765"/>
      <c r="R2201" s="723"/>
      <c r="S2201" s="723"/>
      <c r="T2201" s="577">
        <f t="shared" si="571"/>
        <v>0</v>
      </c>
      <c r="U2201" s="578">
        <f t="shared" si="572"/>
        <v>0</v>
      </c>
      <c r="V2201" s="579"/>
      <c r="W2201" s="566" t="str">
        <f>IF(U2198&gt;0,"xx",IF(P2198&gt;0,"xy",""))</f>
        <v/>
      </c>
      <c r="X2201" s="586" t="str">
        <f t="shared" si="577"/>
        <v/>
      </c>
      <c r="Y2201" s="586" t="str">
        <f t="shared" si="531"/>
        <v/>
      </c>
      <c r="Z2201" s="586" t="str">
        <f t="shared" si="564"/>
        <v/>
      </c>
    </row>
    <row r="2202" spans="1:26" ht="12" hidden="1" thickBot="1" x14ac:dyDescent="0.25">
      <c r="A2202" s="567" t="s">
        <v>168</v>
      </c>
      <c r="B2202" s="644" t="s">
        <v>168</v>
      </c>
      <c r="C2202" s="645"/>
      <c r="D2202" s="422" t="s">
        <v>400</v>
      </c>
      <c r="E2202" s="423"/>
      <c r="F2202" s="424">
        <v>30</v>
      </c>
      <c r="G2202" s="425">
        <f>VLOOKUP(D2198,'[2]ENSAIOS DE ORÇAMENTO'!$C$3:$L$79,3,FALSE)</f>
        <v>0</v>
      </c>
      <c r="H2202" s="663">
        <f t="shared" si="580"/>
        <v>0</v>
      </c>
      <c r="I2202" s="420"/>
      <c r="J2202" s="420"/>
      <c r="K2202" s="421">
        <f t="shared" si="570"/>
        <v>0</v>
      </c>
      <c r="L2202" s="647"/>
      <c r="M2202" s="723"/>
      <c r="N2202" s="576">
        <f t="shared" si="579"/>
        <v>0</v>
      </c>
      <c r="O2202" s="577">
        <f t="shared" si="573"/>
        <v>0</v>
      </c>
      <c r="P2202" s="578">
        <f t="shared" si="574"/>
        <v>0</v>
      </c>
      <c r="Q2202" s="765"/>
      <c r="R2202" s="723"/>
      <c r="S2202" s="723"/>
      <c r="T2202" s="577">
        <f t="shared" si="571"/>
        <v>0</v>
      </c>
      <c r="U2202" s="578">
        <f t="shared" si="572"/>
        <v>0</v>
      </c>
      <c r="V2202" s="579"/>
      <c r="W2202" s="566" t="str">
        <f>IF(U2198&gt;0,"xx",IF(P2198&gt;0,"xy",""))</f>
        <v/>
      </c>
      <c r="X2202" s="586" t="str">
        <f t="shared" si="577"/>
        <v/>
      </c>
      <c r="Y2202" s="586" t="str">
        <f t="shared" si="531"/>
        <v/>
      </c>
      <c r="Z2202" s="586" t="str">
        <f t="shared" si="564"/>
        <v/>
      </c>
    </row>
    <row r="2203" spans="1:26" ht="12" hidden="1" thickBot="1" x14ac:dyDescent="0.25">
      <c r="A2203" s="567" t="s">
        <v>168</v>
      </c>
      <c r="B2203" s="644" t="s">
        <v>168</v>
      </c>
      <c r="C2203" s="645"/>
      <c r="D2203" s="422" t="s">
        <v>401</v>
      </c>
      <c r="E2203" s="423"/>
      <c r="F2203" s="424">
        <v>500</v>
      </c>
      <c r="G2203" s="425">
        <f>VLOOKUP(D2198,'[2]ENSAIOS DE ORÇAMENTO'!$C$3:$L$79,10,FALSE)</f>
        <v>0</v>
      </c>
      <c r="H2203" s="649">
        <f>IF(F2203&lt;=30,(0.78*F2203+7.82)*G2203,((0.78*30+7.82)+0.78*(F2203-30))*G2203)</f>
        <v>0</v>
      </c>
      <c r="I2203" s="420"/>
      <c r="J2203" s="420"/>
      <c r="K2203" s="421">
        <f t="shared" si="570"/>
        <v>0</v>
      </c>
      <c r="L2203" s="647"/>
      <c r="M2203" s="723"/>
      <c r="N2203" s="576">
        <f t="shared" si="579"/>
        <v>0</v>
      </c>
      <c r="O2203" s="577">
        <f t="shared" si="573"/>
        <v>0</v>
      </c>
      <c r="P2203" s="578">
        <f t="shared" si="574"/>
        <v>0</v>
      </c>
      <c r="Q2203" s="765"/>
      <c r="R2203" s="723"/>
      <c r="S2203" s="723"/>
      <c r="T2203" s="577">
        <f t="shared" si="571"/>
        <v>0</v>
      </c>
      <c r="U2203" s="578">
        <f t="shared" si="572"/>
        <v>0</v>
      </c>
      <c r="V2203" s="579"/>
      <c r="W2203" s="566" t="str">
        <f>IF(U2198&gt;0,"xx",IF(P2198&gt;0,"xy",""))</f>
        <v/>
      </c>
      <c r="X2203" s="586" t="str">
        <f t="shared" si="577"/>
        <v/>
      </c>
      <c r="Y2203" s="586" t="str">
        <f t="shared" si="531"/>
        <v/>
      </c>
      <c r="Z2203" s="586" t="str">
        <f t="shared" si="564"/>
        <v/>
      </c>
    </row>
    <row r="2204" spans="1:26" ht="12" hidden="1" thickBot="1" x14ac:dyDescent="0.25">
      <c r="A2204" s="567" t="s">
        <v>115</v>
      </c>
      <c r="B2204" s="644" t="s">
        <v>115</v>
      </c>
      <c r="C2204" s="645" t="s">
        <v>206</v>
      </c>
      <c r="D2204" s="422" t="s">
        <v>404</v>
      </c>
      <c r="E2204" s="423"/>
      <c r="F2204" s="424"/>
      <c r="G2204" s="425">
        <f>G2228</f>
        <v>0</v>
      </c>
      <c r="H2204" s="651">
        <f>SUM(H2205:H2209)</f>
        <v>750.46535200000017</v>
      </c>
      <c r="I2204" s="420">
        <f>VLOOKUP(D2204,'[2]ENSAIOS DE ORÇAMENTO'!$C$3:$L$79,8,FALSE)</f>
        <v>1572.3155999999999</v>
      </c>
      <c r="J2204" s="420">
        <f>IF(ISBLANK(I2204),"",SUM(H2204:I2204))</f>
        <v>2322.7809520000001</v>
      </c>
      <c r="K2204" s="421">
        <f t="shared" si="570"/>
        <v>2759.7</v>
      </c>
      <c r="L2204" s="647" t="s">
        <v>21</v>
      </c>
      <c r="M2204" s="576"/>
      <c r="N2204" s="576">
        <f t="shared" si="579"/>
        <v>0</v>
      </c>
      <c r="O2204" s="577">
        <f t="shared" si="573"/>
        <v>0</v>
      </c>
      <c r="P2204" s="578">
        <f t="shared" si="574"/>
        <v>0</v>
      </c>
      <c r="Q2204" s="765"/>
      <c r="R2204" s="576">
        <f>M2204</f>
        <v>0</v>
      </c>
      <c r="S2204" s="576">
        <f>N2204</f>
        <v>0</v>
      </c>
      <c r="T2204" s="577">
        <f t="shared" si="571"/>
        <v>0</v>
      </c>
      <c r="U2204" s="578">
        <f t="shared" si="572"/>
        <v>0</v>
      </c>
      <c r="V2204" s="579"/>
      <c r="W2204" s="566"/>
      <c r="X2204" s="586" t="str">
        <f t="shared" si="577"/>
        <v/>
      </c>
      <c r="Y2204" s="586" t="str">
        <f t="shared" si="531"/>
        <v/>
      </c>
      <c r="Z2204" s="586" t="str">
        <f t="shared" si="564"/>
        <v/>
      </c>
    </row>
    <row r="2205" spans="1:26" ht="12" hidden="1" thickBot="1" x14ac:dyDescent="0.25">
      <c r="A2205" s="567" t="s">
        <v>168</v>
      </c>
      <c r="B2205" s="644" t="s">
        <v>168</v>
      </c>
      <c r="C2205" s="645"/>
      <c r="D2205" s="422" t="s">
        <v>212</v>
      </c>
      <c r="E2205" s="423"/>
      <c r="F2205" s="424">
        <v>500</v>
      </c>
      <c r="G2205" s="425">
        <f>VLOOKUP(D2204,'[2]ENSAIOS DE ORÇAMENTO'!$C$3:$L$79,4,FALSE)</f>
        <v>0.71976000000000007</v>
      </c>
      <c r="H2205" s="649">
        <f>IF(F2205&lt;=30,(0.78*F2205+7.82)*G2205,((0.78*30+7.82)+0.78*(F2205-30))*G2205)</f>
        <v>286.33492320000005</v>
      </c>
      <c r="I2205" s="420"/>
      <c r="J2205" s="420"/>
      <c r="K2205" s="421">
        <f t="shared" si="570"/>
        <v>0</v>
      </c>
      <c r="L2205" s="647"/>
      <c r="M2205" s="723"/>
      <c r="N2205" s="576">
        <f t="shared" si="579"/>
        <v>0</v>
      </c>
      <c r="O2205" s="577">
        <f t="shared" si="573"/>
        <v>0</v>
      </c>
      <c r="P2205" s="578">
        <f t="shared" si="574"/>
        <v>0</v>
      </c>
      <c r="Q2205" s="765"/>
      <c r="R2205" s="723"/>
      <c r="S2205" s="723"/>
      <c r="T2205" s="577">
        <f t="shared" si="571"/>
        <v>0</v>
      </c>
      <c r="U2205" s="578">
        <f t="shared" si="572"/>
        <v>0</v>
      </c>
      <c r="V2205" s="579"/>
      <c r="W2205" s="566" t="str">
        <f>IF(U2204&gt;0,"xx",IF(P2204&gt;0,"xy",""))</f>
        <v/>
      </c>
      <c r="X2205" s="586" t="str">
        <f t="shared" si="577"/>
        <v/>
      </c>
      <c r="Y2205" s="586" t="str">
        <f t="shared" si="531"/>
        <v/>
      </c>
      <c r="Z2205" s="586" t="str">
        <f t="shared" si="564"/>
        <v/>
      </c>
    </row>
    <row r="2206" spans="1:26" ht="12" hidden="1" thickBot="1" x14ac:dyDescent="0.25">
      <c r="A2206" s="567" t="s">
        <v>168</v>
      </c>
      <c r="B2206" s="644" t="s">
        <v>168</v>
      </c>
      <c r="C2206" s="645"/>
      <c r="D2206" s="422" t="s">
        <v>248</v>
      </c>
      <c r="E2206" s="423"/>
      <c r="F2206" s="424">
        <v>180</v>
      </c>
      <c r="G2206" s="425">
        <f>VLOOKUP(D2204,'[2]ENSAIOS DE ORÇAMENTO'!$C$3:$L$79,5,FALSE)</f>
        <v>2.0712400000000004</v>
      </c>
      <c r="H2206" s="663">
        <f t="shared" ref="H2206:H2208" si="581">IF(F2206&lt;=30,(1.07*F2206+2.68)*G2206,((1.07*30+2.68)+1.07*(F2206-30))*G2206)</f>
        <v>404.4717472000001</v>
      </c>
      <c r="I2206" s="420"/>
      <c r="J2206" s="420"/>
      <c r="K2206" s="421">
        <f t="shared" si="570"/>
        <v>0</v>
      </c>
      <c r="L2206" s="647"/>
      <c r="M2206" s="723"/>
      <c r="N2206" s="576">
        <f t="shared" si="579"/>
        <v>0</v>
      </c>
      <c r="O2206" s="577">
        <f t="shared" si="573"/>
        <v>0</v>
      </c>
      <c r="P2206" s="578">
        <f t="shared" si="574"/>
        <v>0</v>
      </c>
      <c r="Q2206" s="765"/>
      <c r="R2206" s="723"/>
      <c r="S2206" s="723"/>
      <c r="T2206" s="577">
        <f t="shared" si="571"/>
        <v>0</v>
      </c>
      <c r="U2206" s="578">
        <f t="shared" si="572"/>
        <v>0</v>
      </c>
      <c r="V2206" s="579"/>
      <c r="W2206" s="566" t="str">
        <f>IF(U2204&gt;0,"xx",IF(P2204&gt;0,"xy",""))</f>
        <v/>
      </c>
      <c r="X2206" s="586" t="str">
        <f t="shared" si="577"/>
        <v/>
      </c>
      <c r="Y2206" s="586" t="str">
        <f t="shared" si="531"/>
        <v/>
      </c>
      <c r="Z2206" s="586" t="str">
        <f t="shared" si="564"/>
        <v/>
      </c>
    </row>
    <row r="2207" spans="1:26" ht="12" hidden="1" thickBot="1" x14ac:dyDescent="0.25">
      <c r="A2207" s="567" t="s">
        <v>168</v>
      </c>
      <c r="B2207" s="644" t="s">
        <v>168</v>
      </c>
      <c r="C2207" s="645"/>
      <c r="D2207" s="422" t="s">
        <v>252</v>
      </c>
      <c r="E2207" s="423"/>
      <c r="F2207" s="424">
        <v>20</v>
      </c>
      <c r="G2207" s="425">
        <f>VLOOKUP(D2204,'[2]ENSAIOS DE ORÇAMENTO'!$C$3:$L$79,6,FALSE)</f>
        <v>2.4775200000000002</v>
      </c>
      <c r="H2207" s="663">
        <f t="shared" si="581"/>
        <v>59.658681600000008</v>
      </c>
      <c r="I2207" s="420"/>
      <c r="J2207" s="420"/>
      <c r="K2207" s="421">
        <f t="shared" si="570"/>
        <v>0</v>
      </c>
      <c r="L2207" s="647"/>
      <c r="M2207" s="723"/>
      <c r="N2207" s="576">
        <f t="shared" si="579"/>
        <v>0</v>
      </c>
      <c r="O2207" s="577">
        <f t="shared" si="573"/>
        <v>0</v>
      </c>
      <c r="P2207" s="578">
        <f t="shared" si="574"/>
        <v>0</v>
      </c>
      <c r="Q2207" s="765"/>
      <c r="R2207" s="723"/>
      <c r="S2207" s="723"/>
      <c r="T2207" s="577">
        <f t="shared" si="571"/>
        <v>0</v>
      </c>
      <c r="U2207" s="578">
        <f t="shared" si="572"/>
        <v>0</v>
      </c>
      <c r="V2207" s="579"/>
      <c r="W2207" s="566" t="str">
        <f>IF(U2204&gt;0,"xx",IF(P2204&gt;0,"xy",""))</f>
        <v/>
      </c>
      <c r="X2207" s="586" t="str">
        <f t="shared" si="577"/>
        <v/>
      </c>
      <c r="Y2207" s="586" t="str">
        <f t="shared" si="531"/>
        <v/>
      </c>
      <c r="Z2207" s="586" t="str">
        <f t="shared" si="564"/>
        <v/>
      </c>
    </row>
    <row r="2208" spans="1:26" ht="12" hidden="1" thickBot="1" x14ac:dyDescent="0.25">
      <c r="A2208" s="567" t="s">
        <v>168</v>
      </c>
      <c r="B2208" s="644" t="s">
        <v>168</v>
      </c>
      <c r="C2208" s="645"/>
      <c r="D2208" s="422" t="s">
        <v>400</v>
      </c>
      <c r="E2208" s="423"/>
      <c r="F2208" s="424">
        <v>30</v>
      </c>
      <c r="G2208" s="425">
        <f>VLOOKUP(D2204,'[2]ENSAIOS DE ORÇAMENTO'!$C$3:$L$79,3,FALSE)</f>
        <v>0</v>
      </c>
      <c r="H2208" s="663">
        <f t="shared" si="581"/>
        <v>0</v>
      </c>
      <c r="I2208" s="420"/>
      <c r="J2208" s="420"/>
      <c r="K2208" s="421">
        <f t="shared" si="570"/>
        <v>0</v>
      </c>
      <c r="L2208" s="647"/>
      <c r="M2208" s="723"/>
      <c r="N2208" s="576">
        <f t="shared" si="579"/>
        <v>0</v>
      </c>
      <c r="O2208" s="577">
        <f t="shared" si="573"/>
        <v>0</v>
      </c>
      <c r="P2208" s="578">
        <f t="shared" si="574"/>
        <v>0</v>
      </c>
      <c r="Q2208" s="765"/>
      <c r="R2208" s="723"/>
      <c r="S2208" s="723"/>
      <c r="T2208" s="577">
        <f t="shared" si="571"/>
        <v>0</v>
      </c>
      <c r="U2208" s="578">
        <f t="shared" si="572"/>
        <v>0</v>
      </c>
      <c r="V2208" s="579"/>
      <c r="W2208" s="566" t="str">
        <f>IF(U2204&gt;0,"xx",IF(P2204&gt;0,"xy",""))</f>
        <v/>
      </c>
      <c r="X2208" s="586" t="str">
        <f t="shared" si="577"/>
        <v/>
      </c>
      <c r="Y2208" s="586" t="str">
        <f t="shared" si="531"/>
        <v/>
      </c>
      <c r="Z2208" s="586" t="str">
        <f t="shared" si="564"/>
        <v/>
      </c>
    </row>
    <row r="2209" spans="1:26" ht="12" hidden="1" thickBot="1" x14ac:dyDescent="0.25">
      <c r="A2209" s="567" t="s">
        <v>168</v>
      </c>
      <c r="B2209" s="644" t="s">
        <v>168</v>
      </c>
      <c r="C2209" s="645"/>
      <c r="D2209" s="422" t="s">
        <v>401</v>
      </c>
      <c r="E2209" s="423"/>
      <c r="F2209" s="424">
        <v>500</v>
      </c>
      <c r="G2209" s="425">
        <f>VLOOKUP(D2204,'[2]ENSAIOS DE ORÇAMENTO'!$C$3:$L$79,10,FALSE)</f>
        <v>0</v>
      </c>
      <c r="H2209" s="649">
        <f>IF(F2209&lt;=30,(0.78*F2209+7.82)*G2209,((0.78*30+7.82)+0.78*(F2209-30))*G2209)</f>
        <v>0</v>
      </c>
      <c r="I2209" s="420"/>
      <c r="J2209" s="420"/>
      <c r="K2209" s="421">
        <f t="shared" si="570"/>
        <v>0</v>
      </c>
      <c r="L2209" s="647"/>
      <c r="M2209" s="723"/>
      <c r="N2209" s="576">
        <f t="shared" si="579"/>
        <v>0</v>
      </c>
      <c r="O2209" s="577">
        <f t="shared" si="573"/>
        <v>0</v>
      </c>
      <c r="P2209" s="578">
        <f t="shared" si="574"/>
        <v>0</v>
      </c>
      <c r="Q2209" s="765"/>
      <c r="R2209" s="723"/>
      <c r="S2209" s="723"/>
      <c r="T2209" s="577">
        <f t="shared" si="571"/>
        <v>0</v>
      </c>
      <c r="U2209" s="578">
        <f t="shared" si="572"/>
        <v>0</v>
      </c>
      <c r="V2209" s="579"/>
      <c r="W2209" s="566" t="str">
        <f>IF(U2204&gt;0,"xx",IF(P2204&gt;0,"xy",""))</f>
        <v/>
      </c>
      <c r="X2209" s="586" t="str">
        <f t="shared" si="577"/>
        <v/>
      </c>
      <c r="Y2209" s="586" t="str">
        <f t="shared" si="531"/>
        <v/>
      </c>
      <c r="Z2209" s="586" t="str">
        <f t="shared" si="564"/>
        <v/>
      </c>
    </row>
    <row r="2210" spans="1:26" ht="12" hidden="1" thickBot="1" x14ac:dyDescent="0.25">
      <c r="A2210" s="567" t="s">
        <v>116</v>
      </c>
      <c r="B2210" s="644" t="s">
        <v>116</v>
      </c>
      <c r="C2210" s="645" t="s">
        <v>206</v>
      </c>
      <c r="D2210" s="422" t="s">
        <v>405</v>
      </c>
      <c r="E2210" s="423"/>
      <c r="F2210" s="424"/>
      <c r="G2210" s="425">
        <f>G2234</f>
        <v>0</v>
      </c>
      <c r="H2210" s="651">
        <f>IF(F2210&lt;=30,(0.62*F2210+6.29)*G2210,((0.62*30+6.29)+0.62*(F2210-30))*G2210)</f>
        <v>0</v>
      </c>
      <c r="I2210" s="420">
        <f>VLOOKUP(D2210,'[2]ENSAIOS DE ORÇAMENTO'!$C$3:$L$79,8,FALSE)</f>
        <v>1873.8007000000002</v>
      </c>
      <c r="J2210" s="420">
        <f>IF(ISBLANK(I2210),"",SUM(H2210:I2210))</f>
        <v>1873.8007000000002</v>
      </c>
      <c r="K2210" s="421">
        <f t="shared" si="570"/>
        <v>2226.2600000000002</v>
      </c>
      <c r="L2210" s="647" t="s">
        <v>21</v>
      </c>
      <c r="M2210" s="576"/>
      <c r="N2210" s="576">
        <f t="shared" si="579"/>
        <v>0</v>
      </c>
      <c r="O2210" s="577">
        <f t="shared" si="573"/>
        <v>0</v>
      </c>
      <c r="P2210" s="578">
        <f t="shared" si="574"/>
        <v>0</v>
      </c>
      <c r="Q2210" s="765"/>
      <c r="R2210" s="576">
        <f>M2210</f>
        <v>0</v>
      </c>
      <c r="S2210" s="576">
        <f>N2210</f>
        <v>0</v>
      </c>
      <c r="T2210" s="577">
        <f t="shared" si="571"/>
        <v>0</v>
      </c>
      <c r="U2210" s="578">
        <f t="shared" si="572"/>
        <v>0</v>
      </c>
      <c r="V2210" s="579"/>
      <c r="W2210" s="566"/>
      <c r="X2210" s="586" t="str">
        <f t="shared" si="577"/>
        <v/>
      </c>
      <c r="Y2210" s="586" t="str">
        <f t="shared" si="531"/>
        <v/>
      </c>
      <c r="Z2210" s="586" t="str">
        <f t="shared" si="564"/>
        <v/>
      </c>
    </row>
    <row r="2211" spans="1:26" ht="12" hidden="1" thickBot="1" x14ac:dyDescent="0.25">
      <c r="A2211" s="567" t="s">
        <v>168</v>
      </c>
      <c r="B2211" s="644" t="s">
        <v>168</v>
      </c>
      <c r="C2211" s="645"/>
      <c r="D2211" s="422" t="s">
        <v>212</v>
      </c>
      <c r="E2211" s="423"/>
      <c r="F2211" s="424">
        <v>500</v>
      </c>
      <c r="G2211" s="425">
        <f>VLOOKUP(D2210,'[2]ENSAIOS DE ORÇAMENTO'!$C$3:$L$79,4,FALSE)</f>
        <v>0.90125999999999995</v>
      </c>
      <c r="H2211" s="649">
        <f>IF(F2211&lt;=30,(0.78*F2211+7.82)*G2211,((0.78*30+7.82)+0.78*(F2211-30))*G2211)</f>
        <v>358.53925320000002</v>
      </c>
      <c r="I2211" s="420"/>
      <c r="J2211" s="420"/>
      <c r="K2211" s="421">
        <f t="shared" si="570"/>
        <v>0</v>
      </c>
      <c r="L2211" s="647"/>
      <c r="M2211" s="723"/>
      <c r="N2211" s="576">
        <f t="shared" si="579"/>
        <v>0</v>
      </c>
      <c r="O2211" s="577">
        <f t="shared" si="573"/>
        <v>0</v>
      </c>
      <c r="P2211" s="578">
        <f t="shared" si="574"/>
        <v>0</v>
      </c>
      <c r="Q2211" s="765"/>
      <c r="R2211" s="723"/>
      <c r="S2211" s="723"/>
      <c r="T2211" s="577">
        <f t="shared" si="571"/>
        <v>0</v>
      </c>
      <c r="U2211" s="578">
        <f t="shared" si="572"/>
        <v>0</v>
      </c>
      <c r="V2211" s="579"/>
      <c r="W2211" s="566" t="str">
        <f>IF(U2210&gt;0,"xx",IF(P2210&gt;0,"xy",""))</f>
        <v/>
      </c>
      <c r="X2211" s="586" t="str">
        <f t="shared" si="577"/>
        <v/>
      </c>
      <c r="Y2211" s="586" t="str">
        <f t="shared" si="531"/>
        <v/>
      </c>
      <c r="Z2211" s="586" t="str">
        <f t="shared" si="564"/>
        <v/>
      </c>
    </row>
    <row r="2212" spans="1:26" ht="12" hidden="1" thickBot="1" x14ac:dyDescent="0.25">
      <c r="A2212" s="567" t="s">
        <v>168</v>
      </c>
      <c r="B2212" s="644" t="s">
        <v>168</v>
      </c>
      <c r="C2212" s="645"/>
      <c r="D2212" s="422" t="s">
        <v>248</v>
      </c>
      <c r="E2212" s="423"/>
      <c r="F2212" s="424">
        <v>180</v>
      </c>
      <c r="G2212" s="425">
        <f>VLOOKUP(D2210,'[2]ENSAIOS DE ORÇAMENTO'!$C$3:$L$79,5,FALSE)</f>
        <v>2.5777900000000002</v>
      </c>
      <c r="H2212" s="663">
        <f t="shared" ref="H2212:H2214" si="582">IF(F2212&lt;=30,(1.07*F2212+2.68)*G2212,((1.07*30+2.68)+1.07*(F2212-30))*G2212)</f>
        <v>503.39083120000004</v>
      </c>
      <c r="I2212" s="420"/>
      <c r="J2212" s="420"/>
      <c r="K2212" s="421">
        <f t="shared" si="570"/>
        <v>0</v>
      </c>
      <c r="L2212" s="647"/>
      <c r="M2212" s="723"/>
      <c r="N2212" s="576">
        <f t="shared" si="579"/>
        <v>0</v>
      </c>
      <c r="O2212" s="577">
        <f t="shared" si="573"/>
        <v>0</v>
      </c>
      <c r="P2212" s="578">
        <f t="shared" si="574"/>
        <v>0</v>
      </c>
      <c r="Q2212" s="765"/>
      <c r="R2212" s="723"/>
      <c r="S2212" s="723"/>
      <c r="T2212" s="577">
        <f t="shared" si="571"/>
        <v>0</v>
      </c>
      <c r="U2212" s="578">
        <f t="shared" si="572"/>
        <v>0</v>
      </c>
      <c r="V2212" s="579"/>
      <c r="W2212" s="566" t="str">
        <f>IF(U2210&gt;0,"xx",IF(P2210&gt;0,"xy",""))</f>
        <v/>
      </c>
      <c r="X2212" s="586" t="str">
        <f t="shared" si="577"/>
        <v/>
      </c>
      <c r="Y2212" s="586" t="str">
        <f t="shared" si="531"/>
        <v/>
      </c>
      <c r="Z2212" s="586" t="str">
        <f t="shared" si="564"/>
        <v/>
      </c>
    </row>
    <row r="2213" spans="1:26" ht="12" hidden="1" thickBot="1" x14ac:dyDescent="0.25">
      <c r="A2213" s="567" t="s">
        <v>168</v>
      </c>
      <c r="B2213" s="644" t="s">
        <v>168</v>
      </c>
      <c r="C2213" s="645"/>
      <c r="D2213" s="422" t="s">
        <v>252</v>
      </c>
      <c r="E2213" s="423"/>
      <c r="F2213" s="424">
        <v>20</v>
      </c>
      <c r="G2213" s="425">
        <f>VLOOKUP(D2210,'[2]ENSAIOS DE ORÇAMENTO'!$C$3:$L$79,6,FALSE)</f>
        <v>3.0880200000000002</v>
      </c>
      <c r="H2213" s="663">
        <f t="shared" si="582"/>
        <v>74.359521600000008</v>
      </c>
      <c r="I2213" s="420"/>
      <c r="J2213" s="420"/>
      <c r="K2213" s="421">
        <f t="shared" si="570"/>
        <v>0</v>
      </c>
      <c r="L2213" s="647"/>
      <c r="M2213" s="723"/>
      <c r="N2213" s="576">
        <f t="shared" si="579"/>
        <v>0</v>
      </c>
      <c r="O2213" s="577">
        <f t="shared" si="573"/>
        <v>0</v>
      </c>
      <c r="P2213" s="578">
        <f t="shared" si="574"/>
        <v>0</v>
      </c>
      <c r="Q2213" s="765"/>
      <c r="R2213" s="723"/>
      <c r="S2213" s="723"/>
      <c r="T2213" s="577">
        <f t="shared" si="571"/>
        <v>0</v>
      </c>
      <c r="U2213" s="578">
        <f t="shared" si="572"/>
        <v>0</v>
      </c>
      <c r="V2213" s="579"/>
      <c r="W2213" s="566" t="str">
        <f>IF(U2210&gt;0,"xx",IF(P2210&gt;0,"xy",""))</f>
        <v/>
      </c>
      <c r="X2213" s="586" t="str">
        <f t="shared" si="577"/>
        <v/>
      </c>
      <c r="Y2213" s="586" t="str">
        <f t="shared" si="531"/>
        <v/>
      </c>
      <c r="Z2213" s="586" t="str">
        <f t="shared" si="564"/>
        <v/>
      </c>
    </row>
    <row r="2214" spans="1:26" ht="12" hidden="1" thickBot="1" x14ac:dyDescent="0.25">
      <c r="A2214" s="567" t="s">
        <v>168</v>
      </c>
      <c r="B2214" s="644" t="s">
        <v>168</v>
      </c>
      <c r="C2214" s="645"/>
      <c r="D2214" s="422" t="s">
        <v>400</v>
      </c>
      <c r="E2214" s="423"/>
      <c r="F2214" s="424">
        <v>30</v>
      </c>
      <c r="G2214" s="425">
        <f>VLOOKUP(D2210,'[2]ENSAIOS DE ORÇAMENTO'!$C$3:$L$79,3,FALSE)</f>
        <v>0</v>
      </c>
      <c r="H2214" s="663">
        <f t="shared" si="582"/>
        <v>0</v>
      </c>
      <c r="I2214" s="420"/>
      <c r="J2214" s="420"/>
      <c r="K2214" s="421">
        <f t="shared" si="570"/>
        <v>0</v>
      </c>
      <c r="L2214" s="647"/>
      <c r="M2214" s="723"/>
      <c r="N2214" s="576">
        <f t="shared" si="579"/>
        <v>0</v>
      </c>
      <c r="O2214" s="577">
        <f t="shared" si="573"/>
        <v>0</v>
      </c>
      <c r="P2214" s="578">
        <f t="shared" si="574"/>
        <v>0</v>
      </c>
      <c r="Q2214" s="765"/>
      <c r="R2214" s="723"/>
      <c r="S2214" s="723"/>
      <c r="T2214" s="577">
        <f t="shared" si="571"/>
        <v>0</v>
      </c>
      <c r="U2214" s="578">
        <f t="shared" si="572"/>
        <v>0</v>
      </c>
      <c r="V2214" s="579"/>
      <c r="W2214" s="566" t="str">
        <f>IF(U2210&gt;0,"xx",IF(P2210&gt;0,"xy",""))</f>
        <v/>
      </c>
      <c r="X2214" s="586" t="str">
        <f t="shared" si="577"/>
        <v/>
      </c>
      <c r="Y2214" s="586" t="str">
        <f t="shared" si="531"/>
        <v/>
      </c>
      <c r="Z2214" s="586" t="str">
        <f t="shared" si="564"/>
        <v/>
      </c>
    </row>
    <row r="2215" spans="1:26" ht="12" hidden="1" thickBot="1" x14ac:dyDescent="0.25">
      <c r="A2215" s="567" t="s">
        <v>168</v>
      </c>
      <c r="B2215" s="644" t="s">
        <v>168</v>
      </c>
      <c r="C2215" s="645"/>
      <c r="D2215" s="422" t="s">
        <v>401</v>
      </c>
      <c r="E2215" s="423"/>
      <c r="F2215" s="424">
        <v>500</v>
      </c>
      <c r="G2215" s="425">
        <f>VLOOKUP(D2210,'[2]ENSAIOS DE ORÇAMENTO'!$C$3:$L$79,10,FALSE)</f>
        <v>0</v>
      </c>
      <c r="H2215" s="649">
        <f>IF(F2215&lt;=30,(0.78*F2215+7.82)*G2215,((0.78*30+7.82)+0.78*(F2215-30))*G2215)</f>
        <v>0</v>
      </c>
      <c r="I2215" s="420"/>
      <c r="J2215" s="420"/>
      <c r="K2215" s="421">
        <f t="shared" si="570"/>
        <v>0</v>
      </c>
      <c r="L2215" s="647"/>
      <c r="M2215" s="723"/>
      <c r="N2215" s="576">
        <f t="shared" si="579"/>
        <v>0</v>
      </c>
      <c r="O2215" s="577">
        <f t="shared" si="573"/>
        <v>0</v>
      </c>
      <c r="P2215" s="578">
        <f t="shared" si="574"/>
        <v>0</v>
      </c>
      <c r="Q2215" s="765"/>
      <c r="R2215" s="723"/>
      <c r="S2215" s="723"/>
      <c r="T2215" s="577">
        <f t="shared" si="571"/>
        <v>0</v>
      </c>
      <c r="U2215" s="578">
        <f t="shared" si="572"/>
        <v>0</v>
      </c>
      <c r="V2215" s="579"/>
      <c r="W2215" s="566" t="str">
        <f>IF(U2210&gt;0,"xx",IF(P2210&gt;0,"xy",""))</f>
        <v/>
      </c>
      <c r="X2215" s="586" t="str">
        <f t="shared" si="577"/>
        <v/>
      </c>
      <c r="Y2215" s="586" t="str">
        <f t="shared" si="531"/>
        <v/>
      </c>
      <c r="Z2215" s="586" t="str">
        <f t="shared" si="564"/>
        <v/>
      </c>
    </row>
    <row r="2216" spans="1:26" ht="12" hidden="1" thickBot="1" x14ac:dyDescent="0.25">
      <c r="A2216" s="567" t="s">
        <v>28</v>
      </c>
      <c r="B2216" s="644" t="s">
        <v>28</v>
      </c>
      <c r="C2216" s="645" t="s">
        <v>206</v>
      </c>
      <c r="D2216" s="422" t="s">
        <v>108</v>
      </c>
      <c r="E2216" s="423"/>
      <c r="F2216" s="424"/>
      <c r="G2216" s="425"/>
      <c r="H2216" s="651">
        <f>SUM(H2217:H2221)</f>
        <v>216.43740439999999</v>
      </c>
      <c r="I2216" s="420">
        <f>VLOOKUP(D2216,'[2]ENSAIOS DE ORÇAMENTO'!$C$3:$L$79,8,FALSE)</f>
        <v>1829.9006999999997</v>
      </c>
      <c r="J2216" s="420">
        <f>IF(ISBLANK(I2216),"",SUM(H2216:I2216))</f>
        <v>2046.3381043999998</v>
      </c>
      <c r="K2216" s="421">
        <f t="shared" si="570"/>
        <v>2431.25</v>
      </c>
      <c r="L2216" s="647" t="s">
        <v>21</v>
      </c>
      <c r="M2216" s="576"/>
      <c r="N2216" s="576">
        <f t="shared" si="579"/>
        <v>0</v>
      </c>
      <c r="O2216" s="577">
        <f t="shared" si="573"/>
        <v>0</v>
      </c>
      <c r="P2216" s="578">
        <f t="shared" si="574"/>
        <v>0</v>
      </c>
      <c r="Q2216" s="765"/>
      <c r="R2216" s="576">
        <f>M2216</f>
        <v>0</v>
      </c>
      <c r="S2216" s="576">
        <f>N2216</f>
        <v>0</v>
      </c>
      <c r="T2216" s="577">
        <f t="shared" si="571"/>
        <v>0</v>
      </c>
      <c r="U2216" s="578">
        <f t="shared" si="572"/>
        <v>0</v>
      </c>
      <c r="V2216" s="579"/>
      <c r="W2216" s="566"/>
      <c r="X2216" s="586" t="str">
        <f t="shared" si="577"/>
        <v/>
      </c>
      <c r="Y2216" s="586" t="str">
        <f t="shared" si="531"/>
        <v/>
      </c>
      <c r="Z2216" s="586" t="str">
        <f t="shared" ref="Z2216:Z2279" si="583">IF(W2216="X","x",IF(U2216&gt;0,"x",""))</f>
        <v/>
      </c>
    </row>
    <row r="2217" spans="1:26" ht="12" hidden="1" thickBot="1" x14ac:dyDescent="0.25">
      <c r="A2217" s="567" t="s">
        <v>168</v>
      </c>
      <c r="B2217" s="644" t="s">
        <v>168</v>
      </c>
      <c r="C2217" s="645"/>
      <c r="D2217" s="422" t="s">
        <v>212</v>
      </c>
      <c r="E2217" s="423"/>
      <c r="F2217" s="424">
        <v>500</v>
      </c>
      <c r="G2217" s="425">
        <f>VLOOKUP(D2216,'[2]ENSAIOS DE ORÇAMENTO'!$C$3:$L$79,4,FALSE)</f>
        <v>0.20478000000000002</v>
      </c>
      <c r="H2217" s="649">
        <f>IF(F2217&lt;=30,(0.78*F2217+7.82)*G2217,((0.78*30+7.82)+0.78*(F2217-30))*G2217)</f>
        <v>81.465579600000012</v>
      </c>
      <c r="I2217" s="420"/>
      <c r="J2217" s="420"/>
      <c r="K2217" s="421">
        <f t="shared" si="570"/>
        <v>0</v>
      </c>
      <c r="L2217" s="647"/>
      <c r="M2217" s="723"/>
      <c r="N2217" s="576">
        <f t="shared" si="579"/>
        <v>0</v>
      </c>
      <c r="O2217" s="577">
        <f t="shared" si="573"/>
        <v>0</v>
      </c>
      <c r="P2217" s="578">
        <f t="shared" si="574"/>
        <v>0</v>
      </c>
      <c r="Q2217" s="765"/>
      <c r="R2217" s="723"/>
      <c r="S2217" s="723"/>
      <c r="T2217" s="577">
        <f t="shared" si="571"/>
        <v>0</v>
      </c>
      <c r="U2217" s="578">
        <f t="shared" si="572"/>
        <v>0</v>
      </c>
      <c r="V2217" s="579"/>
      <c r="W2217" s="566" t="str">
        <f>IF(U2216&gt;0,"xx",IF(P2216&gt;0,"xy",""))</f>
        <v/>
      </c>
      <c r="X2217" s="586" t="str">
        <f t="shared" si="577"/>
        <v/>
      </c>
      <c r="Y2217" s="586" t="str">
        <f t="shared" si="531"/>
        <v/>
      </c>
      <c r="Z2217" s="586" t="str">
        <f t="shared" si="583"/>
        <v/>
      </c>
    </row>
    <row r="2218" spans="1:26" ht="12" hidden="1" thickBot="1" x14ac:dyDescent="0.25">
      <c r="A2218" s="567" t="s">
        <v>168</v>
      </c>
      <c r="B2218" s="644" t="s">
        <v>168</v>
      </c>
      <c r="C2218" s="645"/>
      <c r="D2218" s="422" t="s">
        <v>248</v>
      </c>
      <c r="E2218" s="423"/>
      <c r="F2218" s="424">
        <v>180</v>
      </c>
      <c r="G2218" s="425">
        <f>VLOOKUP(D2216,'[2]ENSAIOS DE ORÇAMENTO'!$C$3:$L$79,5,FALSE)</f>
        <v>0.60275000000000001</v>
      </c>
      <c r="H2218" s="663">
        <f t="shared" ref="H2218:H2220" si="584">IF(F2218&lt;=30,(1.07*F2218+2.68)*G2218,((1.07*30+2.68)+1.07*(F2218-30))*G2218)</f>
        <v>117.70502</v>
      </c>
      <c r="I2218" s="420"/>
      <c r="J2218" s="420"/>
      <c r="K2218" s="421">
        <f t="shared" si="570"/>
        <v>0</v>
      </c>
      <c r="L2218" s="647"/>
      <c r="M2218" s="723"/>
      <c r="N2218" s="576">
        <f t="shared" si="579"/>
        <v>0</v>
      </c>
      <c r="O2218" s="577">
        <f t="shared" si="573"/>
        <v>0</v>
      </c>
      <c r="P2218" s="578">
        <f t="shared" si="574"/>
        <v>0</v>
      </c>
      <c r="Q2218" s="765"/>
      <c r="R2218" s="723"/>
      <c r="S2218" s="723"/>
      <c r="T2218" s="577">
        <f t="shared" si="571"/>
        <v>0</v>
      </c>
      <c r="U2218" s="578">
        <f t="shared" si="572"/>
        <v>0</v>
      </c>
      <c r="V2218" s="579"/>
      <c r="W2218" s="566" t="str">
        <f>IF(U2216&gt;0,"xx",IF(P2216&gt;0,"xy",""))</f>
        <v/>
      </c>
      <c r="X2218" s="586" t="str">
        <f t="shared" si="577"/>
        <v/>
      </c>
      <c r="Y2218" s="586" t="str">
        <f t="shared" si="531"/>
        <v/>
      </c>
      <c r="Z2218" s="586" t="str">
        <f t="shared" si="583"/>
        <v/>
      </c>
    </row>
    <row r="2219" spans="1:26" ht="12" hidden="1" thickBot="1" x14ac:dyDescent="0.25">
      <c r="A2219" s="567" t="s">
        <v>168</v>
      </c>
      <c r="B2219" s="644" t="s">
        <v>168</v>
      </c>
      <c r="C2219" s="645"/>
      <c r="D2219" s="422" t="s">
        <v>252</v>
      </c>
      <c r="E2219" s="423"/>
      <c r="F2219" s="424">
        <v>20</v>
      </c>
      <c r="G2219" s="425">
        <f>VLOOKUP(D2216,'[2]ENSAIOS DE ORÇAMENTO'!$C$3:$L$79,6,FALSE)</f>
        <v>0.71706000000000003</v>
      </c>
      <c r="H2219" s="663">
        <f t="shared" si="584"/>
        <v>17.266804800000003</v>
      </c>
      <c r="I2219" s="420"/>
      <c r="J2219" s="420"/>
      <c r="K2219" s="421">
        <f t="shared" si="570"/>
        <v>0</v>
      </c>
      <c r="L2219" s="647"/>
      <c r="M2219" s="723"/>
      <c r="N2219" s="576">
        <f t="shared" si="579"/>
        <v>0</v>
      </c>
      <c r="O2219" s="577">
        <f t="shared" si="573"/>
        <v>0</v>
      </c>
      <c r="P2219" s="578">
        <f t="shared" si="574"/>
        <v>0</v>
      </c>
      <c r="Q2219" s="765"/>
      <c r="R2219" s="723"/>
      <c r="S2219" s="723"/>
      <c r="T2219" s="577">
        <f t="shared" si="571"/>
        <v>0</v>
      </c>
      <c r="U2219" s="578">
        <f t="shared" si="572"/>
        <v>0</v>
      </c>
      <c r="V2219" s="579"/>
      <c r="W2219" s="566" t="str">
        <f>IF(U2216&gt;0,"xx",IF(P2216&gt;0,"xy",""))</f>
        <v/>
      </c>
      <c r="X2219" s="586" t="str">
        <f t="shared" si="577"/>
        <v/>
      </c>
      <c r="Y2219" s="586" t="str">
        <f t="shared" si="531"/>
        <v/>
      </c>
      <c r="Z2219" s="586" t="str">
        <f t="shared" si="583"/>
        <v/>
      </c>
    </row>
    <row r="2220" spans="1:26" ht="12" hidden="1" thickBot="1" x14ac:dyDescent="0.25">
      <c r="A2220" s="567" t="s">
        <v>168</v>
      </c>
      <c r="B2220" s="644" t="s">
        <v>168</v>
      </c>
      <c r="C2220" s="645"/>
      <c r="D2220" s="422" t="s">
        <v>400</v>
      </c>
      <c r="E2220" s="423"/>
      <c r="F2220" s="424">
        <v>30</v>
      </c>
      <c r="G2220" s="425">
        <f>VLOOKUP(D2216,'[2]ENSAIOS DE ORÇAMENTO'!$C$3:$L$79,3,FALSE)</f>
        <v>0</v>
      </c>
      <c r="H2220" s="663">
        <f t="shared" si="584"/>
        <v>0</v>
      </c>
      <c r="I2220" s="420"/>
      <c r="J2220" s="420"/>
      <c r="K2220" s="421">
        <f t="shared" si="570"/>
        <v>0</v>
      </c>
      <c r="L2220" s="647"/>
      <c r="M2220" s="723"/>
      <c r="N2220" s="576">
        <f t="shared" si="579"/>
        <v>0</v>
      </c>
      <c r="O2220" s="577">
        <f t="shared" si="573"/>
        <v>0</v>
      </c>
      <c r="P2220" s="578">
        <f t="shared" si="574"/>
        <v>0</v>
      </c>
      <c r="Q2220" s="765"/>
      <c r="R2220" s="723"/>
      <c r="S2220" s="723"/>
      <c r="T2220" s="577">
        <f t="shared" si="571"/>
        <v>0</v>
      </c>
      <c r="U2220" s="578">
        <f t="shared" si="572"/>
        <v>0</v>
      </c>
      <c r="V2220" s="579"/>
      <c r="W2220" s="566" t="str">
        <f>IF(U2216&gt;0,"xx",IF(P2216&gt;0,"xy",""))</f>
        <v/>
      </c>
      <c r="X2220" s="586" t="str">
        <f t="shared" si="577"/>
        <v/>
      </c>
      <c r="Y2220" s="586" t="str">
        <f t="shared" si="531"/>
        <v/>
      </c>
      <c r="Z2220" s="586" t="str">
        <f t="shared" si="583"/>
        <v/>
      </c>
    </row>
    <row r="2221" spans="1:26" ht="12" hidden="1" thickBot="1" x14ac:dyDescent="0.25">
      <c r="A2221" s="567" t="s">
        <v>168</v>
      </c>
      <c r="B2221" s="644" t="s">
        <v>168</v>
      </c>
      <c r="C2221" s="645"/>
      <c r="D2221" s="422" t="s">
        <v>401</v>
      </c>
      <c r="E2221" s="423"/>
      <c r="F2221" s="424">
        <v>500</v>
      </c>
      <c r="G2221" s="425">
        <f>VLOOKUP(D2216,'[2]ENSAIOS DE ORÇAMENTO'!$C$3:$L$79,10,FALSE)</f>
        <v>0</v>
      </c>
      <c r="H2221" s="649">
        <f>IF(F2221&lt;=30,(0.78*F2221+7.82)*G2221,((0.78*30+7.82)+0.78*(F2221-30))*G2221)</f>
        <v>0</v>
      </c>
      <c r="I2221" s="420"/>
      <c r="J2221" s="420"/>
      <c r="K2221" s="421">
        <f t="shared" si="570"/>
        <v>0</v>
      </c>
      <c r="L2221" s="647"/>
      <c r="M2221" s="723"/>
      <c r="N2221" s="576">
        <f t="shared" si="579"/>
        <v>0</v>
      </c>
      <c r="O2221" s="577">
        <f t="shared" si="573"/>
        <v>0</v>
      </c>
      <c r="P2221" s="578">
        <f t="shared" si="574"/>
        <v>0</v>
      </c>
      <c r="Q2221" s="765"/>
      <c r="R2221" s="723"/>
      <c r="S2221" s="723"/>
      <c r="T2221" s="577">
        <f t="shared" si="571"/>
        <v>0</v>
      </c>
      <c r="U2221" s="578">
        <f t="shared" si="572"/>
        <v>0</v>
      </c>
      <c r="V2221" s="579"/>
      <c r="W2221" s="566" t="str">
        <f>IF(U2216&gt;0,"xx",IF(P2216&gt;0,"xy",""))</f>
        <v/>
      </c>
      <c r="X2221" s="586" t="str">
        <f t="shared" si="577"/>
        <v/>
      </c>
      <c r="Y2221" s="586" t="str">
        <f t="shared" si="531"/>
        <v/>
      </c>
      <c r="Z2221" s="586" t="str">
        <f t="shared" si="583"/>
        <v/>
      </c>
    </row>
    <row r="2222" spans="1:26" ht="12" hidden="1" thickBot="1" x14ac:dyDescent="0.25">
      <c r="A2222" s="567" t="s">
        <v>29</v>
      </c>
      <c r="B2222" s="644" t="s">
        <v>29</v>
      </c>
      <c r="C2222" s="645" t="s">
        <v>206</v>
      </c>
      <c r="D2222" s="422" t="s">
        <v>105</v>
      </c>
      <c r="E2222" s="423"/>
      <c r="F2222" s="424"/>
      <c r="G2222" s="425"/>
      <c r="H2222" s="651">
        <f>SUM(H2223:H2227)</f>
        <v>270.49536919999997</v>
      </c>
      <c r="I2222" s="420">
        <f>VLOOKUP(D2222,'[2]ENSAIOS DE ORÇAMENTO'!$C$3:$L$79,8,FALSE)</f>
        <v>2209.8910999999998</v>
      </c>
      <c r="J2222" s="420">
        <f>IF(ISBLANK(I2222),"",SUM(H2222:I2222))</f>
        <v>2480.3864691999997</v>
      </c>
      <c r="K2222" s="421">
        <f t="shared" si="570"/>
        <v>2946.95</v>
      </c>
      <c r="L2222" s="647" t="s">
        <v>21</v>
      </c>
      <c r="M2222" s="576"/>
      <c r="N2222" s="576">
        <f t="shared" si="579"/>
        <v>0</v>
      </c>
      <c r="O2222" s="577">
        <f t="shared" si="573"/>
        <v>0</v>
      </c>
      <c r="P2222" s="578">
        <f t="shared" si="574"/>
        <v>0</v>
      </c>
      <c r="Q2222" s="765"/>
      <c r="R2222" s="576">
        <f>M2222</f>
        <v>0</v>
      </c>
      <c r="S2222" s="576">
        <f>N2222</f>
        <v>0</v>
      </c>
      <c r="T2222" s="577">
        <f t="shared" si="571"/>
        <v>0</v>
      </c>
      <c r="U2222" s="578">
        <f t="shared" si="572"/>
        <v>0</v>
      </c>
      <c r="V2222" s="579"/>
      <c r="W2222" s="566"/>
      <c r="X2222" s="586" t="str">
        <f t="shared" si="577"/>
        <v/>
      </c>
      <c r="Y2222" s="586" t="str">
        <f t="shared" si="531"/>
        <v/>
      </c>
      <c r="Z2222" s="586" t="str">
        <f t="shared" si="583"/>
        <v/>
      </c>
    </row>
    <row r="2223" spans="1:26" ht="12" hidden="1" thickBot="1" x14ac:dyDescent="0.25">
      <c r="A2223" s="567" t="s">
        <v>168</v>
      </c>
      <c r="B2223" s="644" t="s">
        <v>168</v>
      </c>
      <c r="C2223" s="645"/>
      <c r="D2223" s="422" t="s">
        <v>212</v>
      </c>
      <c r="E2223" s="423"/>
      <c r="F2223" s="424">
        <v>500</v>
      </c>
      <c r="G2223" s="425">
        <f>VLOOKUP(D2222,'[2]ENSAIOS DE ORÇAMENTO'!$C$3:$L$79,4,FALSE)</f>
        <v>0.25757999999999998</v>
      </c>
      <c r="H2223" s="649">
        <f>IF(F2223&lt;=30,(0.78*F2223+7.82)*G2223,((0.78*30+7.82)+0.78*(F2223-30))*G2223)</f>
        <v>102.4704756</v>
      </c>
      <c r="I2223" s="420"/>
      <c r="J2223" s="420"/>
      <c r="K2223" s="421">
        <f t="shared" si="570"/>
        <v>0</v>
      </c>
      <c r="L2223" s="647"/>
      <c r="M2223" s="723"/>
      <c r="N2223" s="576">
        <f t="shared" si="579"/>
        <v>0</v>
      </c>
      <c r="O2223" s="577">
        <f t="shared" si="573"/>
        <v>0</v>
      </c>
      <c r="P2223" s="578">
        <f t="shared" si="574"/>
        <v>0</v>
      </c>
      <c r="Q2223" s="765"/>
      <c r="R2223" s="723"/>
      <c r="S2223" s="723"/>
      <c r="T2223" s="577">
        <f t="shared" si="571"/>
        <v>0</v>
      </c>
      <c r="U2223" s="578">
        <f t="shared" si="572"/>
        <v>0</v>
      </c>
      <c r="V2223" s="579"/>
      <c r="W2223" s="566" t="str">
        <f>IF(U2222&gt;0,"xx",IF(P2222&gt;0,"xy",""))</f>
        <v/>
      </c>
      <c r="X2223" s="586" t="str">
        <f t="shared" si="577"/>
        <v/>
      </c>
      <c r="Y2223" s="586" t="str">
        <f t="shared" si="531"/>
        <v/>
      </c>
      <c r="Z2223" s="586" t="str">
        <f t="shared" si="583"/>
        <v/>
      </c>
    </row>
    <row r="2224" spans="1:26" ht="12" hidden="1" thickBot="1" x14ac:dyDescent="0.25">
      <c r="A2224" s="567" t="s">
        <v>168</v>
      </c>
      <c r="B2224" s="644" t="s">
        <v>168</v>
      </c>
      <c r="C2224" s="645"/>
      <c r="D2224" s="422" t="s">
        <v>248</v>
      </c>
      <c r="E2224" s="423"/>
      <c r="F2224" s="424">
        <v>180</v>
      </c>
      <c r="G2224" s="425">
        <f>VLOOKUP(D2222,'[2]ENSAIOS DE ORÇAMENTO'!$C$3:$L$79,5,FALSE)</f>
        <v>0.75010999999999994</v>
      </c>
      <c r="H2224" s="663">
        <f t="shared" ref="H2224:H2226" si="585">IF(F2224&lt;=30,(1.07*F2224+2.68)*G2224,((1.07*30+2.68)+1.07*(F2224-30))*G2224)</f>
        <v>146.48148079999999</v>
      </c>
      <c r="I2224" s="420"/>
      <c r="J2224" s="420"/>
      <c r="K2224" s="421">
        <f t="shared" si="570"/>
        <v>0</v>
      </c>
      <c r="L2224" s="647"/>
      <c r="M2224" s="723"/>
      <c r="N2224" s="576">
        <f t="shared" si="579"/>
        <v>0</v>
      </c>
      <c r="O2224" s="577">
        <f t="shared" si="573"/>
        <v>0</v>
      </c>
      <c r="P2224" s="578">
        <f t="shared" si="574"/>
        <v>0</v>
      </c>
      <c r="Q2224" s="765"/>
      <c r="R2224" s="723"/>
      <c r="S2224" s="723"/>
      <c r="T2224" s="577">
        <f t="shared" si="571"/>
        <v>0</v>
      </c>
      <c r="U2224" s="578">
        <f t="shared" si="572"/>
        <v>0</v>
      </c>
      <c r="V2224" s="579"/>
      <c r="W2224" s="566" t="str">
        <f>IF(U2222&gt;0,"xx",IF(P2222&gt;0,"xy",""))</f>
        <v/>
      </c>
      <c r="X2224" s="586" t="str">
        <f t="shared" si="577"/>
        <v/>
      </c>
      <c r="Y2224" s="586" t="str">
        <f t="shared" si="531"/>
        <v/>
      </c>
      <c r="Z2224" s="586" t="str">
        <f t="shared" si="583"/>
        <v/>
      </c>
    </row>
    <row r="2225" spans="1:26" ht="12" hidden="1" thickBot="1" x14ac:dyDescent="0.25">
      <c r="A2225" s="567" t="s">
        <v>168</v>
      </c>
      <c r="B2225" s="644" t="s">
        <v>168</v>
      </c>
      <c r="C2225" s="645"/>
      <c r="D2225" s="422" t="s">
        <v>252</v>
      </c>
      <c r="E2225" s="423"/>
      <c r="F2225" s="424">
        <v>20</v>
      </c>
      <c r="G2225" s="425">
        <f>VLOOKUP(D2222,'[2]ENSAIOS DE ORÇAMENTO'!$C$3:$L$79,6,FALSE)</f>
        <v>0.89466000000000001</v>
      </c>
      <c r="H2225" s="663">
        <f t="shared" si="585"/>
        <v>21.543412800000002</v>
      </c>
      <c r="I2225" s="420"/>
      <c r="J2225" s="420"/>
      <c r="K2225" s="421">
        <f t="shared" si="570"/>
        <v>0</v>
      </c>
      <c r="L2225" s="647"/>
      <c r="M2225" s="723"/>
      <c r="N2225" s="576">
        <f t="shared" si="579"/>
        <v>0</v>
      </c>
      <c r="O2225" s="577">
        <f t="shared" si="573"/>
        <v>0</v>
      </c>
      <c r="P2225" s="578">
        <f t="shared" si="574"/>
        <v>0</v>
      </c>
      <c r="Q2225" s="765"/>
      <c r="R2225" s="723"/>
      <c r="S2225" s="723"/>
      <c r="T2225" s="577">
        <f t="shared" si="571"/>
        <v>0</v>
      </c>
      <c r="U2225" s="578">
        <f t="shared" si="572"/>
        <v>0</v>
      </c>
      <c r="V2225" s="579"/>
      <c r="W2225" s="566" t="str">
        <f>IF(U2222&gt;0,"xx",IF(P2222&gt;0,"xy",""))</f>
        <v/>
      </c>
      <c r="X2225" s="586" t="str">
        <f t="shared" si="577"/>
        <v/>
      </c>
      <c r="Y2225" s="586" t="str">
        <f t="shared" si="531"/>
        <v/>
      </c>
      <c r="Z2225" s="586" t="str">
        <f t="shared" si="583"/>
        <v/>
      </c>
    </row>
    <row r="2226" spans="1:26" ht="12" hidden="1" thickBot="1" x14ac:dyDescent="0.25">
      <c r="A2226" s="567" t="s">
        <v>168</v>
      </c>
      <c r="B2226" s="644" t="s">
        <v>168</v>
      </c>
      <c r="C2226" s="645"/>
      <c r="D2226" s="422" t="s">
        <v>400</v>
      </c>
      <c r="E2226" s="423"/>
      <c r="F2226" s="424">
        <v>30</v>
      </c>
      <c r="G2226" s="425">
        <f>VLOOKUP(D2222,'[2]ENSAIOS DE ORÇAMENTO'!$C$3:$L$79,3,FALSE)</f>
        <v>0</v>
      </c>
      <c r="H2226" s="663">
        <f t="shared" si="585"/>
        <v>0</v>
      </c>
      <c r="I2226" s="420"/>
      <c r="J2226" s="420"/>
      <c r="K2226" s="421">
        <f t="shared" si="570"/>
        <v>0</v>
      </c>
      <c r="L2226" s="647"/>
      <c r="M2226" s="723"/>
      <c r="N2226" s="576">
        <f t="shared" si="579"/>
        <v>0</v>
      </c>
      <c r="O2226" s="577">
        <f t="shared" si="573"/>
        <v>0</v>
      </c>
      <c r="P2226" s="578">
        <f t="shared" si="574"/>
        <v>0</v>
      </c>
      <c r="Q2226" s="765"/>
      <c r="R2226" s="723"/>
      <c r="S2226" s="723"/>
      <c r="T2226" s="577">
        <f t="shared" si="571"/>
        <v>0</v>
      </c>
      <c r="U2226" s="578">
        <f t="shared" si="572"/>
        <v>0</v>
      </c>
      <c r="V2226" s="579"/>
      <c r="W2226" s="566" t="str">
        <f>IF(U2222&gt;0,"xx",IF(P2222&gt;0,"xy",""))</f>
        <v/>
      </c>
      <c r="X2226" s="586" t="str">
        <f t="shared" si="577"/>
        <v/>
      </c>
      <c r="Y2226" s="586" t="str">
        <f t="shared" si="531"/>
        <v/>
      </c>
      <c r="Z2226" s="586" t="str">
        <f t="shared" si="583"/>
        <v/>
      </c>
    </row>
    <row r="2227" spans="1:26" ht="12" hidden="1" thickBot="1" x14ac:dyDescent="0.25">
      <c r="A2227" s="567" t="s">
        <v>168</v>
      </c>
      <c r="B2227" s="644" t="s">
        <v>168</v>
      </c>
      <c r="C2227" s="645"/>
      <c r="D2227" s="422" t="s">
        <v>401</v>
      </c>
      <c r="E2227" s="423"/>
      <c r="F2227" s="424">
        <v>500</v>
      </c>
      <c r="G2227" s="425">
        <f>VLOOKUP(D2222,'[2]ENSAIOS DE ORÇAMENTO'!$C$3:$L$79,10,FALSE)</f>
        <v>0</v>
      </c>
      <c r="H2227" s="649">
        <f>IF(F2227&lt;=30,(0.78*F2227+7.82)*G2227,((0.78*30+7.82)+0.78*(F2227-30))*G2227)</f>
        <v>0</v>
      </c>
      <c r="I2227" s="420"/>
      <c r="J2227" s="420"/>
      <c r="K2227" s="421">
        <f t="shared" si="570"/>
        <v>0</v>
      </c>
      <c r="L2227" s="647"/>
      <c r="M2227" s="723"/>
      <c r="N2227" s="576">
        <f t="shared" si="579"/>
        <v>0</v>
      </c>
      <c r="O2227" s="577">
        <f t="shared" si="573"/>
        <v>0</v>
      </c>
      <c r="P2227" s="578">
        <f t="shared" si="574"/>
        <v>0</v>
      </c>
      <c r="Q2227" s="765"/>
      <c r="R2227" s="723"/>
      <c r="S2227" s="723"/>
      <c r="T2227" s="577">
        <f t="shared" si="571"/>
        <v>0</v>
      </c>
      <c r="U2227" s="578">
        <f t="shared" si="572"/>
        <v>0</v>
      </c>
      <c r="V2227" s="579"/>
      <c r="W2227" s="566" t="str">
        <f>IF(U2222&gt;0,"xx",IF(P2222&gt;0,"xy",""))</f>
        <v/>
      </c>
      <c r="X2227" s="586" t="str">
        <f t="shared" si="577"/>
        <v/>
      </c>
      <c r="Y2227" s="586" t="str">
        <f t="shared" si="531"/>
        <v/>
      </c>
      <c r="Z2227" s="586" t="str">
        <f t="shared" si="583"/>
        <v/>
      </c>
    </row>
    <row r="2228" spans="1:26" ht="12" hidden="1" thickBot="1" x14ac:dyDescent="0.25">
      <c r="A2228" s="567" t="s">
        <v>30</v>
      </c>
      <c r="B2228" s="644" t="s">
        <v>30</v>
      </c>
      <c r="C2228" s="645" t="s">
        <v>206</v>
      </c>
      <c r="D2228" s="422" t="s">
        <v>106</v>
      </c>
      <c r="E2228" s="423"/>
      <c r="F2228" s="424"/>
      <c r="G2228" s="425"/>
      <c r="H2228" s="651">
        <f>SUM(H2229:H2233)</f>
        <v>358.33956200000006</v>
      </c>
      <c r="I2228" s="420">
        <f>VLOOKUP(D2228,'[2]ENSAIOS DE ORÇAMENTO'!$C$3:$L$79,8,FALSE)</f>
        <v>2403.1848999999997</v>
      </c>
      <c r="J2228" s="420">
        <f>IF(ISBLANK(I2228),"",SUM(H2228:I2228))</f>
        <v>2761.5244619999999</v>
      </c>
      <c r="K2228" s="421">
        <f t="shared" si="570"/>
        <v>3280.97</v>
      </c>
      <c r="L2228" s="647" t="s">
        <v>21</v>
      </c>
      <c r="M2228" s="576"/>
      <c r="N2228" s="576">
        <f t="shared" si="579"/>
        <v>0</v>
      </c>
      <c r="O2228" s="577">
        <f t="shared" si="573"/>
        <v>0</v>
      </c>
      <c r="P2228" s="578">
        <f t="shared" si="574"/>
        <v>0</v>
      </c>
      <c r="Q2228" s="765"/>
      <c r="R2228" s="576">
        <f>M2228</f>
        <v>0</v>
      </c>
      <c r="S2228" s="576">
        <f>N2228</f>
        <v>0</v>
      </c>
      <c r="T2228" s="577">
        <f t="shared" si="571"/>
        <v>0</v>
      </c>
      <c r="U2228" s="578">
        <f t="shared" si="572"/>
        <v>0</v>
      </c>
      <c r="V2228" s="579"/>
      <c r="W2228" s="566"/>
      <c r="X2228" s="586" t="str">
        <f t="shared" si="577"/>
        <v/>
      </c>
      <c r="Y2228" s="586" t="str">
        <f t="shared" si="531"/>
        <v/>
      </c>
      <c r="Z2228" s="586" t="str">
        <f t="shared" si="583"/>
        <v/>
      </c>
    </row>
    <row r="2229" spans="1:26" ht="12" hidden="1" thickBot="1" x14ac:dyDescent="0.25">
      <c r="A2229" s="567" t="s">
        <v>168</v>
      </c>
      <c r="B2229" s="644" t="s">
        <v>168</v>
      </c>
      <c r="C2229" s="645"/>
      <c r="D2229" s="422" t="s">
        <v>212</v>
      </c>
      <c r="E2229" s="423"/>
      <c r="F2229" s="424">
        <v>500</v>
      </c>
      <c r="G2229" s="425">
        <f>VLOOKUP(D2228,'[2]ENSAIOS DE ORÇAMENTO'!$C$3:$L$79,4,FALSE)</f>
        <v>0.34338000000000002</v>
      </c>
      <c r="H2229" s="649">
        <f>IF(F2229&lt;=30,(0.78*F2229+7.82)*G2229,((0.78*30+7.82)+0.78*(F2229-30))*G2229)</f>
        <v>136.60343160000002</v>
      </c>
      <c r="I2229" s="420"/>
      <c r="J2229" s="420"/>
      <c r="K2229" s="421">
        <f t="shared" si="570"/>
        <v>0</v>
      </c>
      <c r="L2229" s="647"/>
      <c r="M2229" s="723"/>
      <c r="N2229" s="576">
        <f t="shared" si="579"/>
        <v>0</v>
      </c>
      <c r="O2229" s="577">
        <f t="shared" si="573"/>
        <v>0</v>
      </c>
      <c r="P2229" s="578">
        <f t="shared" si="574"/>
        <v>0</v>
      </c>
      <c r="Q2229" s="765"/>
      <c r="R2229" s="723"/>
      <c r="S2229" s="723"/>
      <c r="T2229" s="577">
        <f t="shared" si="571"/>
        <v>0</v>
      </c>
      <c r="U2229" s="578">
        <f t="shared" si="572"/>
        <v>0</v>
      </c>
      <c r="V2229" s="579"/>
      <c r="W2229" s="566" t="str">
        <f>IF(U2228&gt;0,"xx",IF(P2228&gt;0,"xy",""))</f>
        <v/>
      </c>
      <c r="X2229" s="586" t="str">
        <f t="shared" si="577"/>
        <v/>
      </c>
      <c r="Y2229" s="586" t="str">
        <f t="shared" si="531"/>
        <v/>
      </c>
      <c r="Z2229" s="586" t="str">
        <f t="shared" si="583"/>
        <v/>
      </c>
    </row>
    <row r="2230" spans="1:26" ht="12" hidden="1" thickBot="1" x14ac:dyDescent="0.25">
      <c r="A2230" s="567" t="s">
        <v>168</v>
      </c>
      <c r="B2230" s="644" t="s">
        <v>168</v>
      </c>
      <c r="C2230" s="645"/>
      <c r="D2230" s="422" t="s">
        <v>248</v>
      </c>
      <c r="E2230" s="423"/>
      <c r="F2230" s="424">
        <v>180</v>
      </c>
      <c r="G2230" s="425">
        <f>VLOOKUP(D2228,'[2]ENSAIOS DE ORÇAMENTO'!$C$3:$L$79,5,FALSE)</f>
        <v>0.98957000000000006</v>
      </c>
      <c r="H2230" s="663">
        <f t="shared" ref="H2230:H2232" si="586">IF(F2230&lt;=30,(1.07*F2230+2.68)*G2230,((1.07*30+2.68)+1.07*(F2230-30))*G2230)</f>
        <v>193.24322960000001</v>
      </c>
      <c r="I2230" s="420"/>
      <c r="J2230" s="420"/>
      <c r="K2230" s="421">
        <f t="shared" si="570"/>
        <v>0</v>
      </c>
      <c r="L2230" s="647"/>
      <c r="M2230" s="723"/>
      <c r="N2230" s="576">
        <f t="shared" si="579"/>
        <v>0</v>
      </c>
      <c r="O2230" s="577">
        <f t="shared" si="573"/>
        <v>0</v>
      </c>
      <c r="P2230" s="578">
        <f t="shared" si="574"/>
        <v>0</v>
      </c>
      <c r="Q2230" s="765"/>
      <c r="R2230" s="723"/>
      <c r="S2230" s="723"/>
      <c r="T2230" s="577">
        <f t="shared" si="571"/>
        <v>0</v>
      </c>
      <c r="U2230" s="578">
        <f t="shared" si="572"/>
        <v>0</v>
      </c>
      <c r="V2230" s="579"/>
      <c r="W2230" s="566" t="str">
        <f>IF(U2228&gt;0,"xx",IF(P2228&gt;0,"xy",""))</f>
        <v/>
      </c>
      <c r="X2230" s="586" t="str">
        <f t="shared" si="577"/>
        <v/>
      </c>
      <c r="Y2230" s="586" t="str">
        <f t="shared" si="531"/>
        <v/>
      </c>
      <c r="Z2230" s="586" t="str">
        <f t="shared" si="583"/>
        <v/>
      </c>
    </row>
    <row r="2231" spans="1:26" ht="12" hidden="1" thickBot="1" x14ac:dyDescent="0.25">
      <c r="A2231" s="567" t="s">
        <v>168</v>
      </c>
      <c r="B2231" s="644" t="s">
        <v>168</v>
      </c>
      <c r="C2231" s="645"/>
      <c r="D2231" s="422" t="s">
        <v>252</v>
      </c>
      <c r="E2231" s="423"/>
      <c r="F2231" s="424">
        <v>20</v>
      </c>
      <c r="G2231" s="425">
        <f>VLOOKUP(D2228,'[2]ENSAIOS DE ORÇAMENTO'!$C$3:$L$79,6,FALSE)</f>
        <v>1.1832600000000002</v>
      </c>
      <c r="H2231" s="663">
        <f t="shared" si="586"/>
        <v>28.492900800000008</v>
      </c>
      <c r="I2231" s="420"/>
      <c r="J2231" s="420"/>
      <c r="K2231" s="421">
        <f t="shared" si="570"/>
        <v>0</v>
      </c>
      <c r="L2231" s="647"/>
      <c r="M2231" s="723"/>
      <c r="N2231" s="576">
        <f t="shared" si="579"/>
        <v>0</v>
      </c>
      <c r="O2231" s="577">
        <f t="shared" si="573"/>
        <v>0</v>
      </c>
      <c r="P2231" s="578">
        <f t="shared" si="574"/>
        <v>0</v>
      </c>
      <c r="Q2231" s="765"/>
      <c r="R2231" s="723"/>
      <c r="S2231" s="723"/>
      <c r="T2231" s="577">
        <f t="shared" si="571"/>
        <v>0</v>
      </c>
      <c r="U2231" s="578">
        <f t="shared" si="572"/>
        <v>0</v>
      </c>
      <c r="V2231" s="579"/>
      <c r="W2231" s="566" t="str">
        <f>IF(U2228&gt;0,"xx",IF(P2228&gt;0,"xy",""))</f>
        <v/>
      </c>
      <c r="X2231" s="586" t="str">
        <f t="shared" si="577"/>
        <v/>
      </c>
      <c r="Y2231" s="586" t="str">
        <f t="shared" si="531"/>
        <v/>
      </c>
      <c r="Z2231" s="586" t="str">
        <f t="shared" si="583"/>
        <v/>
      </c>
    </row>
    <row r="2232" spans="1:26" ht="12" hidden="1" thickBot="1" x14ac:dyDescent="0.25">
      <c r="A2232" s="567" t="s">
        <v>168</v>
      </c>
      <c r="B2232" s="644" t="s">
        <v>168</v>
      </c>
      <c r="C2232" s="645"/>
      <c r="D2232" s="422" t="s">
        <v>400</v>
      </c>
      <c r="E2232" s="423"/>
      <c r="F2232" s="424">
        <v>30</v>
      </c>
      <c r="G2232" s="425">
        <f>VLOOKUP(D2228,'[2]ENSAIOS DE ORÇAMENTO'!$C$3:$L$79,3,FALSE)</f>
        <v>0</v>
      </c>
      <c r="H2232" s="663">
        <f t="shared" si="586"/>
        <v>0</v>
      </c>
      <c r="I2232" s="420"/>
      <c r="J2232" s="420"/>
      <c r="K2232" s="421">
        <f t="shared" si="570"/>
        <v>0</v>
      </c>
      <c r="L2232" s="647"/>
      <c r="M2232" s="723"/>
      <c r="N2232" s="576">
        <f t="shared" si="579"/>
        <v>0</v>
      </c>
      <c r="O2232" s="577">
        <f t="shared" si="573"/>
        <v>0</v>
      </c>
      <c r="P2232" s="578">
        <f t="shared" si="574"/>
        <v>0</v>
      </c>
      <c r="Q2232" s="765"/>
      <c r="R2232" s="723"/>
      <c r="S2232" s="723"/>
      <c r="T2232" s="577">
        <f t="shared" si="571"/>
        <v>0</v>
      </c>
      <c r="U2232" s="578">
        <f t="shared" si="572"/>
        <v>0</v>
      </c>
      <c r="V2232" s="579"/>
      <c r="W2232" s="566" t="str">
        <f>IF(U2228&gt;0,"xx",IF(P2228&gt;0,"xy",""))</f>
        <v/>
      </c>
      <c r="X2232" s="586" t="str">
        <f t="shared" si="577"/>
        <v/>
      </c>
      <c r="Y2232" s="586" t="str">
        <f t="shared" si="531"/>
        <v/>
      </c>
      <c r="Z2232" s="586" t="str">
        <f t="shared" si="583"/>
        <v/>
      </c>
    </row>
    <row r="2233" spans="1:26" ht="12" hidden="1" thickBot="1" x14ac:dyDescent="0.25">
      <c r="A2233" s="567" t="s">
        <v>168</v>
      </c>
      <c r="B2233" s="644" t="s">
        <v>168</v>
      </c>
      <c r="C2233" s="645"/>
      <c r="D2233" s="422" t="s">
        <v>401</v>
      </c>
      <c r="E2233" s="423"/>
      <c r="F2233" s="424">
        <v>500</v>
      </c>
      <c r="G2233" s="425">
        <f>VLOOKUP(D2228,'[2]ENSAIOS DE ORÇAMENTO'!$C$3:$L$79,10,FALSE)</f>
        <v>0</v>
      </c>
      <c r="H2233" s="649">
        <f>IF(F2233&lt;=30,(0.78*F2233+7.82)*G2233,((0.78*30+7.82)+0.78*(F2233-30))*G2233)</f>
        <v>0</v>
      </c>
      <c r="I2233" s="420"/>
      <c r="J2233" s="420"/>
      <c r="K2233" s="421">
        <f t="shared" si="570"/>
        <v>0</v>
      </c>
      <c r="L2233" s="647"/>
      <c r="M2233" s="723"/>
      <c r="N2233" s="576">
        <f t="shared" si="579"/>
        <v>0</v>
      </c>
      <c r="O2233" s="577">
        <f t="shared" si="573"/>
        <v>0</v>
      </c>
      <c r="P2233" s="578">
        <f t="shared" si="574"/>
        <v>0</v>
      </c>
      <c r="Q2233" s="765"/>
      <c r="R2233" s="723"/>
      <c r="S2233" s="723"/>
      <c r="T2233" s="577">
        <f t="shared" si="571"/>
        <v>0</v>
      </c>
      <c r="U2233" s="578">
        <f t="shared" si="572"/>
        <v>0</v>
      </c>
      <c r="V2233" s="579"/>
      <c r="W2233" s="566" t="str">
        <f>IF(U2228&gt;0,"xx",IF(P2228&gt;0,"xy",""))</f>
        <v/>
      </c>
      <c r="X2233" s="586" t="str">
        <f t="shared" si="577"/>
        <v/>
      </c>
      <c r="Y2233" s="586" t="str">
        <f t="shared" si="531"/>
        <v/>
      </c>
      <c r="Z2233" s="586" t="str">
        <f t="shared" si="583"/>
        <v/>
      </c>
    </row>
    <row r="2234" spans="1:26" ht="12" hidden="1" thickBot="1" x14ac:dyDescent="0.25">
      <c r="A2234" s="567" t="s">
        <v>31</v>
      </c>
      <c r="B2234" s="644" t="s">
        <v>31</v>
      </c>
      <c r="C2234" s="645" t="s">
        <v>206</v>
      </c>
      <c r="D2234" s="422" t="s">
        <v>107</v>
      </c>
      <c r="E2234" s="423"/>
      <c r="F2234" s="424"/>
      <c r="G2234" s="425"/>
      <c r="H2234" s="651">
        <f>SUM(H2235:H2239)</f>
        <v>446.18375480000009</v>
      </c>
      <c r="I2234" s="420">
        <f>VLOOKUP(D2234,'[2]ENSAIOS DE ORÇAMENTO'!$C$3:$L$79,8,FALSE)</f>
        <v>2920.9871999999996</v>
      </c>
      <c r="J2234" s="420">
        <f>IF(ISBLANK(I2234),"",SUM(H2234:I2234))</f>
        <v>3367.1709547999999</v>
      </c>
      <c r="K2234" s="421">
        <f t="shared" si="570"/>
        <v>4000.54</v>
      </c>
      <c r="L2234" s="647" t="s">
        <v>21</v>
      </c>
      <c r="M2234" s="576"/>
      <c r="N2234" s="576">
        <f t="shared" si="579"/>
        <v>0</v>
      </c>
      <c r="O2234" s="577">
        <f t="shared" si="573"/>
        <v>0</v>
      </c>
      <c r="P2234" s="578">
        <f t="shared" si="574"/>
        <v>0</v>
      </c>
      <c r="Q2234" s="765"/>
      <c r="R2234" s="576">
        <f>M2234</f>
        <v>0</v>
      </c>
      <c r="S2234" s="576">
        <f>N2234</f>
        <v>0</v>
      </c>
      <c r="T2234" s="577">
        <f t="shared" si="571"/>
        <v>0</v>
      </c>
      <c r="U2234" s="578">
        <f t="shared" si="572"/>
        <v>0</v>
      </c>
      <c r="V2234" s="579"/>
      <c r="W2234" s="566"/>
      <c r="X2234" s="586" t="str">
        <f t="shared" si="577"/>
        <v/>
      </c>
      <c r="Y2234" s="586" t="str">
        <f t="shared" si="531"/>
        <v/>
      </c>
      <c r="Z2234" s="586" t="str">
        <f t="shared" si="583"/>
        <v/>
      </c>
    </row>
    <row r="2235" spans="1:26" ht="12" hidden="1" thickBot="1" x14ac:dyDescent="0.25">
      <c r="A2235" s="567" t="s">
        <v>168</v>
      </c>
      <c r="B2235" s="644" t="s">
        <v>168</v>
      </c>
      <c r="C2235" s="645"/>
      <c r="D2235" s="422" t="s">
        <v>212</v>
      </c>
      <c r="E2235" s="423"/>
      <c r="F2235" s="424">
        <v>500</v>
      </c>
      <c r="G2235" s="425">
        <f>VLOOKUP(D2234,'[2]ENSAIOS DE ORÇAMENTO'!$C$3:$L$79,4,FALSE)</f>
        <v>0.42918000000000001</v>
      </c>
      <c r="H2235" s="649">
        <f>IF(F2235&lt;=30,(0.78*F2235+7.82)*G2235,((0.78*30+7.82)+0.78*(F2235-30))*G2235)</f>
        <v>170.73638760000003</v>
      </c>
      <c r="I2235" s="420"/>
      <c r="J2235" s="420"/>
      <c r="K2235" s="421">
        <f t="shared" si="570"/>
        <v>0</v>
      </c>
      <c r="L2235" s="647"/>
      <c r="M2235" s="723"/>
      <c r="N2235" s="576">
        <f t="shared" si="579"/>
        <v>0</v>
      </c>
      <c r="O2235" s="577">
        <f t="shared" si="573"/>
        <v>0</v>
      </c>
      <c r="P2235" s="578">
        <f t="shared" si="574"/>
        <v>0</v>
      </c>
      <c r="Q2235" s="765"/>
      <c r="R2235" s="723"/>
      <c r="S2235" s="723"/>
      <c r="T2235" s="577">
        <f t="shared" si="571"/>
        <v>0</v>
      </c>
      <c r="U2235" s="578">
        <f t="shared" si="572"/>
        <v>0</v>
      </c>
      <c r="V2235" s="579"/>
      <c r="W2235" s="566" t="str">
        <f>IF(U2234&gt;0,"xx",IF(P2234&gt;0,"xy",""))</f>
        <v/>
      </c>
      <c r="X2235" s="586" t="str">
        <f t="shared" si="577"/>
        <v/>
      </c>
      <c r="Y2235" s="586" t="str">
        <f t="shared" si="531"/>
        <v/>
      </c>
      <c r="Z2235" s="586" t="str">
        <f t="shared" si="583"/>
        <v/>
      </c>
    </row>
    <row r="2236" spans="1:26" ht="12" hidden="1" thickBot="1" x14ac:dyDescent="0.25">
      <c r="A2236" s="567" t="s">
        <v>168</v>
      </c>
      <c r="B2236" s="644" t="s">
        <v>168</v>
      </c>
      <c r="C2236" s="645"/>
      <c r="D2236" s="422" t="s">
        <v>248</v>
      </c>
      <c r="E2236" s="423"/>
      <c r="F2236" s="424">
        <v>180</v>
      </c>
      <c r="G2236" s="425">
        <f>VLOOKUP(D2234,'[2]ENSAIOS DE ORÇAMENTO'!$C$3:$L$79,5,FALSE)</f>
        <v>1.2290300000000001</v>
      </c>
      <c r="H2236" s="663">
        <f t="shared" ref="H2236:H2238" si="587">IF(F2236&lt;=30,(1.07*F2236+2.68)*G2236,((1.07*30+2.68)+1.07*(F2236-30))*G2236)</f>
        <v>240.00497840000003</v>
      </c>
      <c r="I2236" s="420"/>
      <c r="J2236" s="420"/>
      <c r="K2236" s="421">
        <f t="shared" si="570"/>
        <v>0</v>
      </c>
      <c r="L2236" s="647"/>
      <c r="M2236" s="723"/>
      <c r="N2236" s="576">
        <f t="shared" si="579"/>
        <v>0</v>
      </c>
      <c r="O2236" s="577">
        <f t="shared" si="573"/>
        <v>0</v>
      </c>
      <c r="P2236" s="578">
        <f t="shared" si="574"/>
        <v>0</v>
      </c>
      <c r="Q2236" s="765"/>
      <c r="R2236" s="723"/>
      <c r="S2236" s="723"/>
      <c r="T2236" s="577">
        <f t="shared" si="571"/>
        <v>0</v>
      </c>
      <c r="U2236" s="578">
        <f t="shared" si="572"/>
        <v>0</v>
      </c>
      <c r="V2236" s="579"/>
      <c r="W2236" s="566" t="str">
        <f>IF(U2234&gt;0,"xx",IF(P2234&gt;0,"xy",""))</f>
        <v/>
      </c>
      <c r="X2236" s="586" t="str">
        <f t="shared" si="577"/>
        <v/>
      </c>
      <c r="Y2236" s="586" t="str">
        <f t="shared" si="531"/>
        <v/>
      </c>
      <c r="Z2236" s="586" t="str">
        <f t="shared" si="583"/>
        <v/>
      </c>
    </row>
    <row r="2237" spans="1:26" ht="12" hidden="1" thickBot="1" x14ac:dyDescent="0.25">
      <c r="A2237" s="567" t="s">
        <v>168</v>
      </c>
      <c r="B2237" s="644" t="s">
        <v>168</v>
      </c>
      <c r="C2237" s="645"/>
      <c r="D2237" s="422" t="s">
        <v>252</v>
      </c>
      <c r="E2237" s="423"/>
      <c r="F2237" s="424">
        <v>20</v>
      </c>
      <c r="G2237" s="425">
        <f>VLOOKUP(D2234,'[2]ENSAIOS DE ORÇAMENTO'!$C$3:$L$79,6,FALSE)</f>
        <v>1.4718600000000002</v>
      </c>
      <c r="H2237" s="663">
        <f t="shared" si="587"/>
        <v>35.442388800000003</v>
      </c>
      <c r="I2237" s="420"/>
      <c r="J2237" s="420"/>
      <c r="K2237" s="421">
        <f t="shared" si="570"/>
        <v>0</v>
      </c>
      <c r="L2237" s="647"/>
      <c r="M2237" s="723"/>
      <c r="N2237" s="576">
        <f t="shared" si="579"/>
        <v>0</v>
      </c>
      <c r="O2237" s="577">
        <f t="shared" si="573"/>
        <v>0</v>
      </c>
      <c r="P2237" s="578">
        <f t="shared" si="574"/>
        <v>0</v>
      </c>
      <c r="Q2237" s="765"/>
      <c r="R2237" s="723"/>
      <c r="S2237" s="723"/>
      <c r="T2237" s="577">
        <f t="shared" si="571"/>
        <v>0</v>
      </c>
      <c r="U2237" s="578">
        <f t="shared" si="572"/>
        <v>0</v>
      </c>
      <c r="V2237" s="579"/>
      <c r="W2237" s="566" t="str">
        <f>IF(U2234&gt;0,"xx",IF(P2234&gt;0,"xy",""))</f>
        <v/>
      </c>
      <c r="X2237" s="586" t="str">
        <f t="shared" si="577"/>
        <v/>
      </c>
      <c r="Y2237" s="586" t="str">
        <f t="shared" si="531"/>
        <v/>
      </c>
      <c r="Z2237" s="586" t="str">
        <f t="shared" si="583"/>
        <v/>
      </c>
    </row>
    <row r="2238" spans="1:26" ht="12" hidden="1" thickBot="1" x14ac:dyDescent="0.25">
      <c r="A2238" s="567" t="s">
        <v>168</v>
      </c>
      <c r="B2238" s="644" t="s">
        <v>168</v>
      </c>
      <c r="C2238" s="645"/>
      <c r="D2238" s="422" t="s">
        <v>400</v>
      </c>
      <c r="E2238" s="423"/>
      <c r="F2238" s="424">
        <v>30</v>
      </c>
      <c r="G2238" s="425">
        <f>VLOOKUP(D2234,'[2]ENSAIOS DE ORÇAMENTO'!$C$3:$L$79,3,FALSE)</f>
        <v>0</v>
      </c>
      <c r="H2238" s="663">
        <f t="shared" si="587"/>
        <v>0</v>
      </c>
      <c r="I2238" s="420"/>
      <c r="J2238" s="420"/>
      <c r="K2238" s="421">
        <f t="shared" si="570"/>
        <v>0</v>
      </c>
      <c r="L2238" s="647"/>
      <c r="M2238" s="723"/>
      <c r="N2238" s="576">
        <f t="shared" si="579"/>
        <v>0</v>
      </c>
      <c r="O2238" s="577">
        <f t="shared" si="573"/>
        <v>0</v>
      </c>
      <c r="P2238" s="578">
        <f t="shared" si="574"/>
        <v>0</v>
      </c>
      <c r="Q2238" s="765"/>
      <c r="R2238" s="723"/>
      <c r="S2238" s="723"/>
      <c r="T2238" s="577">
        <f t="shared" si="571"/>
        <v>0</v>
      </c>
      <c r="U2238" s="578">
        <f t="shared" si="572"/>
        <v>0</v>
      </c>
      <c r="V2238" s="579"/>
      <c r="W2238" s="566" t="str">
        <f>IF(U2234&gt;0,"xx",IF(P2234&gt;0,"xy",""))</f>
        <v/>
      </c>
      <c r="X2238" s="586" t="str">
        <f t="shared" si="577"/>
        <v/>
      </c>
      <c r="Y2238" s="586" t="str">
        <f t="shared" si="531"/>
        <v/>
      </c>
      <c r="Z2238" s="586" t="str">
        <f t="shared" si="583"/>
        <v/>
      </c>
    </row>
    <row r="2239" spans="1:26" ht="12" hidden="1" thickBot="1" x14ac:dyDescent="0.25">
      <c r="A2239" s="567" t="s">
        <v>168</v>
      </c>
      <c r="B2239" s="644" t="s">
        <v>168</v>
      </c>
      <c r="C2239" s="645"/>
      <c r="D2239" s="422" t="s">
        <v>401</v>
      </c>
      <c r="E2239" s="423"/>
      <c r="F2239" s="424">
        <v>500</v>
      </c>
      <c r="G2239" s="425">
        <f>VLOOKUP(D2234,'[2]ENSAIOS DE ORÇAMENTO'!$C$3:$L$79,10,FALSE)</f>
        <v>0</v>
      </c>
      <c r="H2239" s="649">
        <f>IF(F2239&lt;=30,(0.78*F2239+7.82)*G2239,((0.78*30+7.82)+0.78*(F2239-30))*G2239)</f>
        <v>0</v>
      </c>
      <c r="I2239" s="420"/>
      <c r="J2239" s="420"/>
      <c r="K2239" s="421">
        <f t="shared" si="570"/>
        <v>0</v>
      </c>
      <c r="L2239" s="647"/>
      <c r="M2239" s="723"/>
      <c r="N2239" s="576">
        <f t="shared" si="579"/>
        <v>0</v>
      </c>
      <c r="O2239" s="577">
        <f t="shared" si="573"/>
        <v>0</v>
      </c>
      <c r="P2239" s="578">
        <f t="shared" si="574"/>
        <v>0</v>
      </c>
      <c r="Q2239" s="765"/>
      <c r="R2239" s="723"/>
      <c r="S2239" s="723"/>
      <c r="T2239" s="577">
        <f t="shared" si="571"/>
        <v>0</v>
      </c>
      <c r="U2239" s="578">
        <f t="shared" si="572"/>
        <v>0</v>
      </c>
      <c r="V2239" s="579"/>
      <c r="W2239" s="566" t="str">
        <f>IF(U2234&gt;0,"xx",IF(P2234&gt;0,"xy",""))</f>
        <v/>
      </c>
      <c r="X2239" s="586" t="str">
        <f t="shared" si="577"/>
        <v/>
      </c>
      <c r="Y2239" s="586" t="str">
        <f t="shared" si="531"/>
        <v/>
      </c>
      <c r="Z2239" s="586" t="str">
        <f t="shared" si="583"/>
        <v/>
      </c>
    </row>
    <row r="2240" spans="1:26" ht="12" hidden="1" thickBot="1" x14ac:dyDescent="0.25">
      <c r="A2240" s="567" t="s">
        <v>32</v>
      </c>
      <c r="B2240" s="644" t="s">
        <v>32</v>
      </c>
      <c r="C2240" s="645" t="s">
        <v>206</v>
      </c>
      <c r="D2240" s="422" t="s">
        <v>101</v>
      </c>
      <c r="E2240" s="423"/>
      <c r="F2240" s="424"/>
      <c r="G2240" s="425"/>
      <c r="H2240" s="651">
        <f>SUM(H2241:H2245)</f>
        <v>391.64439700000003</v>
      </c>
      <c r="I2240" s="420">
        <f>VLOOKUP(D2240,'[2]ENSAIOS DE ORÇAMENTO'!$C$3:$L$79,8,FALSE)</f>
        <v>2648.3670199999997</v>
      </c>
      <c r="J2240" s="420">
        <f>IF(ISBLANK(I2240),"",SUM(H2240:I2240))</f>
        <v>3040.0114169999997</v>
      </c>
      <c r="K2240" s="421">
        <f t="shared" ref="K2240:K2303" si="588">IF(ISBLANK(I2240),0,ROUND(J2240*(1+$F$10)*(1+$F$11*E2240),2))</f>
        <v>3611.84</v>
      </c>
      <c r="L2240" s="647" t="s">
        <v>21</v>
      </c>
      <c r="M2240" s="576"/>
      <c r="N2240" s="576">
        <f t="shared" si="579"/>
        <v>0</v>
      </c>
      <c r="O2240" s="577">
        <f t="shared" si="573"/>
        <v>0</v>
      </c>
      <c r="P2240" s="578">
        <f t="shared" si="574"/>
        <v>0</v>
      </c>
      <c r="Q2240" s="765"/>
      <c r="R2240" s="576">
        <f>M2240</f>
        <v>0</v>
      </c>
      <c r="S2240" s="576">
        <f>N2240</f>
        <v>0</v>
      </c>
      <c r="T2240" s="577">
        <f t="shared" ref="T2240:T2303" si="589">IF(ISBLANK(R2240),0,ROUND(K2240*R2240,2))</f>
        <v>0</v>
      </c>
      <c r="U2240" s="578">
        <f t="shared" ref="U2240:U2303" si="590">IF(ISBLANK(R2240),0,ROUND(R2240*S2240,2))</f>
        <v>0</v>
      </c>
      <c r="V2240" s="579"/>
      <c r="W2240" s="566"/>
      <c r="X2240" s="586" t="str">
        <f t="shared" si="577"/>
        <v/>
      </c>
      <c r="Y2240" s="586" t="str">
        <f t="shared" si="531"/>
        <v/>
      </c>
      <c r="Z2240" s="586" t="str">
        <f t="shared" si="583"/>
        <v/>
      </c>
    </row>
    <row r="2241" spans="1:26" ht="12" hidden="1" thickBot="1" x14ac:dyDescent="0.25">
      <c r="A2241" s="567" t="s">
        <v>168</v>
      </c>
      <c r="B2241" s="644" t="s">
        <v>168</v>
      </c>
      <c r="C2241" s="645"/>
      <c r="D2241" s="422" t="s">
        <v>212</v>
      </c>
      <c r="E2241" s="423"/>
      <c r="F2241" s="424">
        <v>500</v>
      </c>
      <c r="G2241" s="425">
        <f>VLOOKUP(D2240,'[2]ENSAIOS DE ORÇAMENTO'!$C$3:$L$79,4,FALSE)</f>
        <v>0.2047668</v>
      </c>
      <c r="H2241" s="649">
        <f>IF(F2241&lt;=30,(0.78*F2241+7.82)*G2241,((0.78*30+7.82)+0.78*(F2241-30))*G2241)</f>
        <v>81.460328376000007</v>
      </c>
      <c r="I2241" s="420"/>
      <c r="J2241" s="420"/>
      <c r="K2241" s="421">
        <f t="shared" si="588"/>
        <v>0</v>
      </c>
      <c r="L2241" s="647"/>
      <c r="M2241" s="723"/>
      <c r="N2241" s="576">
        <f t="shared" si="579"/>
        <v>0</v>
      </c>
      <c r="O2241" s="577">
        <f t="shared" ref="O2241:O2304" si="591">IF(ISBLANK(M2241),0,ROUND(K2241*M2241,2))</f>
        <v>0</v>
      </c>
      <c r="P2241" s="578">
        <f t="shared" ref="P2241:P2304" si="592">IF(ISBLANK(N2241),0,ROUND(M2241*N2241,2))</f>
        <v>0</v>
      </c>
      <c r="Q2241" s="765"/>
      <c r="R2241" s="723"/>
      <c r="S2241" s="723"/>
      <c r="T2241" s="577">
        <f t="shared" si="589"/>
        <v>0</v>
      </c>
      <c r="U2241" s="578">
        <f t="shared" si="590"/>
        <v>0</v>
      </c>
      <c r="V2241" s="579"/>
      <c r="W2241" s="566" t="str">
        <f>IF(U2240&gt;0,"xx",IF(P2240&gt;0,"xy",""))</f>
        <v/>
      </c>
      <c r="X2241" s="586" t="str">
        <f t="shared" si="577"/>
        <v/>
      </c>
      <c r="Y2241" s="586" t="str">
        <f t="shared" si="531"/>
        <v/>
      </c>
      <c r="Z2241" s="586" t="str">
        <f t="shared" si="583"/>
        <v/>
      </c>
    </row>
    <row r="2242" spans="1:26" ht="12" hidden="1" thickBot="1" x14ac:dyDescent="0.25">
      <c r="A2242" s="567" t="s">
        <v>168</v>
      </c>
      <c r="B2242" s="644" t="s">
        <v>168</v>
      </c>
      <c r="C2242" s="645"/>
      <c r="D2242" s="422" t="s">
        <v>248</v>
      </c>
      <c r="E2242" s="423"/>
      <c r="F2242" s="424">
        <v>180</v>
      </c>
      <c r="G2242" s="425">
        <f>VLOOKUP(D2240,'[2]ENSAIOS DE ORÇAMENTO'!$C$3:$L$79,5,FALSE)</f>
        <v>1.1293030000000002</v>
      </c>
      <c r="H2242" s="663">
        <f t="shared" ref="H2242:H2244" si="593">IF(F2242&lt;=30,(1.07*F2242+2.68)*G2242,((1.07*30+2.68)+1.07*(F2242-30))*G2242)</f>
        <v>220.53028984000002</v>
      </c>
      <c r="I2242" s="420"/>
      <c r="J2242" s="420"/>
      <c r="K2242" s="421">
        <f t="shared" si="588"/>
        <v>0</v>
      </c>
      <c r="L2242" s="647"/>
      <c r="M2242" s="723"/>
      <c r="N2242" s="576">
        <f t="shared" si="579"/>
        <v>0</v>
      </c>
      <c r="O2242" s="577">
        <f t="shared" si="591"/>
        <v>0</v>
      </c>
      <c r="P2242" s="578">
        <f t="shared" si="592"/>
        <v>0</v>
      </c>
      <c r="Q2242" s="765"/>
      <c r="R2242" s="723"/>
      <c r="S2242" s="723"/>
      <c r="T2242" s="577">
        <f t="shared" si="589"/>
        <v>0</v>
      </c>
      <c r="U2242" s="578">
        <f t="shared" si="590"/>
        <v>0</v>
      </c>
      <c r="V2242" s="579"/>
      <c r="W2242" s="566" t="str">
        <f>IF(U2240&gt;0,"xx",IF(P2240&gt;0,"xy",""))</f>
        <v/>
      </c>
      <c r="X2242" s="586" t="str">
        <f t="shared" si="577"/>
        <v/>
      </c>
      <c r="Y2242" s="586" t="str">
        <f t="shared" si="531"/>
        <v/>
      </c>
      <c r="Z2242" s="586" t="str">
        <f t="shared" si="583"/>
        <v/>
      </c>
    </row>
    <row r="2243" spans="1:26" ht="12" hidden="1" thickBot="1" x14ac:dyDescent="0.25">
      <c r="A2243" s="567" t="s">
        <v>168</v>
      </c>
      <c r="B2243" s="644" t="s">
        <v>168</v>
      </c>
      <c r="C2243" s="645"/>
      <c r="D2243" s="422" t="s">
        <v>252</v>
      </c>
      <c r="E2243" s="423"/>
      <c r="F2243" s="424">
        <v>20</v>
      </c>
      <c r="G2243" s="425">
        <f>VLOOKUP(D2240,'[2]ENSAIOS DE ORÇAMENTO'!$C$3:$L$79,6,FALSE)</f>
        <v>0.38805600000000001</v>
      </c>
      <c r="H2243" s="663">
        <f t="shared" si="593"/>
        <v>9.344388480000001</v>
      </c>
      <c r="I2243" s="420"/>
      <c r="J2243" s="420"/>
      <c r="K2243" s="421">
        <f t="shared" si="588"/>
        <v>0</v>
      </c>
      <c r="L2243" s="647"/>
      <c r="M2243" s="723"/>
      <c r="N2243" s="576">
        <f t="shared" si="579"/>
        <v>0</v>
      </c>
      <c r="O2243" s="577">
        <f t="shared" si="591"/>
        <v>0</v>
      </c>
      <c r="P2243" s="578">
        <f t="shared" si="592"/>
        <v>0</v>
      </c>
      <c r="Q2243" s="765"/>
      <c r="R2243" s="723"/>
      <c r="S2243" s="723"/>
      <c r="T2243" s="577">
        <f t="shared" si="589"/>
        <v>0</v>
      </c>
      <c r="U2243" s="578">
        <f t="shared" si="590"/>
        <v>0</v>
      </c>
      <c r="V2243" s="579"/>
      <c r="W2243" s="566" t="str">
        <f>IF(U2240&gt;0,"xx",IF(P2240&gt;0,"xy",""))</f>
        <v/>
      </c>
      <c r="X2243" s="586" t="str">
        <f t="shared" si="577"/>
        <v/>
      </c>
      <c r="Y2243" s="586" t="str">
        <f t="shared" si="531"/>
        <v/>
      </c>
      <c r="Z2243" s="586" t="str">
        <f t="shared" si="583"/>
        <v/>
      </c>
    </row>
    <row r="2244" spans="1:26" ht="12" hidden="1" thickBot="1" x14ac:dyDescent="0.25">
      <c r="A2244" s="567" t="s">
        <v>168</v>
      </c>
      <c r="B2244" s="644" t="s">
        <v>168</v>
      </c>
      <c r="C2244" s="645"/>
      <c r="D2244" s="422" t="s">
        <v>400</v>
      </c>
      <c r="E2244" s="423"/>
      <c r="F2244" s="424">
        <v>30</v>
      </c>
      <c r="G2244" s="425">
        <f>VLOOKUP(D2240,'[2]ENSAIOS DE ORÇAMENTO'!$C$3:$L$79,3,FALSE)</f>
        <v>1.6716959999999998</v>
      </c>
      <c r="H2244" s="663">
        <f t="shared" si="593"/>
        <v>58.141586879999998</v>
      </c>
      <c r="I2244" s="420"/>
      <c r="J2244" s="420"/>
      <c r="K2244" s="421">
        <f t="shared" si="588"/>
        <v>0</v>
      </c>
      <c r="L2244" s="647"/>
      <c r="M2244" s="723"/>
      <c r="N2244" s="576">
        <f t="shared" si="579"/>
        <v>0</v>
      </c>
      <c r="O2244" s="577">
        <f t="shared" si="591"/>
        <v>0</v>
      </c>
      <c r="P2244" s="578">
        <f t="shared" si="592"/>
        <v>0</v>
      </c>
      <c r="Q2244" s="765"/>
      <c r="R2244" s="723"/>
      <c r="S2244" s="723"/>
      <c r="T2244" s="577">
        <f t="shared" si="589"/>
        <v>0</v>
      </c>
      <c r="U2244" s="578">
        <f t="shared" si="590"/>
        <v>0</v>
      </c>
      <c r="V2244" s="579"/>
      <c r="W2244" s="566" t="str">
        <f>IF(U2240&gt;0,"xx",IF(P2240&gt;0,"xy",""))</f>
        <v/>
      </c>
      <c r="X2244" s="586" t="str">
        <f t="shared" si="577"/>
        <v/>
      </c>
      <c r="Y2244" s="586" t="str">
        <f t="shared" si="531"/>
        <v/>
      </c>
      <c r="Z2244" s="586" t="str">
        <f t="shared" si="583"/>
        <v/>
      </c>
    </row>
    <row r="2245" spans="1:26" ht="12" hidden="1" thickBot="1" x14ac:dyDescent="0.25">
      <c r="A2245" s="567" t="s">
        <v>168</v>
      </c>
      <c r="B2245" s="644" t="s">
        <v>168</v>
      </c>
      <c r="C2245" s="645"/>
      <c r="D2245" s="422" t="s">
        <v>401</v>
      </c>
      <c r="E2245" s="423"/>
      <c r="F2245" s="424">
        <v>500</v>
      </c>
      <c r="G2245" s="425">
        <f>VLOOKUP(D2240,'[2]ENSAIOS DE ORÇAMENTO'!$C$3:$L$79,10,FALSE)</f>
        <v>5.5723200000000001E-2</v>
      </c>
      <c r="H2245" s="649">
        <f>IF(F2245&lt;=30,(0.78*F2245+7.82)*G2245,((0.78*30+7.82)+0.78*(F2245-30))*G2245)</f>
        <v>22.167803424000002</v>
      </c>
      <c r="I2245" s="420"/>
      <c r="J2245" s="420"/>
      <c r="K2245" s="421">
        <f t="shared" si="588"/>
        <v>0</v>
      </c>
      <c r="L2245" s="647"/>
      <c r="M2245" s="723"/>
      <c r="N2245" s="576">
        <f t="shared" si="579"/>
        <v>0</v>
      </c>
      <c r="O2245" s="577">
        <f t="shared" si="591"/>
        <v>0</v>
      </c>
      <c r="P2245" s="578">
        <f t="shared" si="592"/>
        <v>0</v>
      </c>
      <c r="Q2245" s="765"/>
      <c r="R2245" s="723"/>
      <c r="S2245" s="723"/>
      <c r="T2245" s="577">
        <f t="shared" si="589"/>
        <v>0</v>
      </c>
      <c r="U2245" s="578">
        <f t="shared" si="590"/>
        <v>0</v>
      </c>
      <c r="V2245" s="579"/>
      <c r="W2245" s="566" t="str">
        <f>IF(U2240&gt;0,"xx",IF(P2240&gt;0,"xy",""))</f>
        <v/>
      </c>
      <c r="X2245" s="586" t="str">
        <f t="shared" si="577"/>
        <v/>
      </c>
      <c r="Y2245" s="586" t="str">
        <f t="shared" si="531"/>
        <v/>
      </c>
      <c r="Z2245" s="586" t="str">
        <f t="shared" si="583"/>
        <v/>
      </c>
    </row>
    <row r="2246" spans="1:26" ht="12" hidden="1" thickBot="1" x14ac:dyDescent="0.25">
      <c r="A2246" s="567" t="s">
        <v>33</v>
      </c>
      <c r="B2246" s="644" t="s">
        <v>33</v>
      </c>
      <c r="C2246" s="645" t="s">
        <v>206</v>
      </c>
      <c r="D2246" s="422" t="s">
        <v>102</v>
      </c>
      <c r="E2246" s="423"/>
      <c r="F2246" s="424"/>
      <c r="G2246" s="425"/>
      <c r="H2246" s="651">
        <f>SUM(H2247:H2251)</f>
        <v>461.47875640000001</v>
      </c>
      <c r="I2246" s="420">
        <f>VLOOKUP(D2246,'[2]ENSAIOS DE ORÇAMENTO'!$C$3:$L$79,8,FALSE)</f>
        <v>2933.8990199999998</v>
      </c>
      <c r="J2246" s="420">
        <f>IF(ISBLANK(I2246),"",SUM(H2246:I2246))</f>
        <v>3395.3777763999997</v>
      </c>
      <c r="K2246" s="421">
        <f t="shared" si="588"/>
        <v>4034.05</v>
      </c>
      <c r="L2246" s="647" t="s">
        <v>21</v>
      </c>
      <c r="M2246" s="576"/>
      <c r="N2246" s="576">
        <f t="shared" si="579"/>
        <v>0</v>
      </c>
      <c r="O2246" s="577">
        <f t="shared" si="591"/>
        <v>0</v>
      </c>
      <c r="P2246" s="578">
        <f t="shared" si="592"/>
        <v>0</v>
      </c>
      <c r="Q2246" s="765"/>
      <c r="R2246" s="576">
        <f>M2246</f>
        <v>0</v>
      </c>
      <c r="S2246" s="576">
        <f>N2246</f>
        <v>0</v>
      </c>
      <c r="T2246" s="577">
        <f t="shared" si="589"/>
        <v>0</v>
      </c>
      <c r="U2246" s="578">
        <f t="shared" si="590"/>
        <v>0</v>
      </c>
      <c r="V2246" s="579"/>
      <c r="W2246" s="566"/>
      <c r="X2246" s="586" t="str">
        <f t="shared" si="577"/>
        <v/>
      </c>
      <c r="Y2246" s="586" t="str">
        <f t="shared" si="531"/>
        <v/>
      </c>
      <c r="Z2246" s="586" t="str">
        <f t="shared" si="583"/>
        <v/>
      </c>
    </row>
    <row r="2247" spans="1:26" ht="12" hidden="1" thickBot="1" x14ac:dyDescent="0.25">
      <c r="A2247" s="567" t="s">
        <v>168</v>
      </c>
      <c r="B2247" s="644" t="s">
        <v>168</v>
      </c>
      <c r="C2247" s="645"/>
      <c r="D2247" s="422" t="s">
        <v>212</v>
      </c>
      <c r="E2247" s="423"/>
      <c r="F2247" s="424">
        <v>500</v>
      </c>
      <c r="G2247" s="425">
        <f>VLOOKUP(D2246,'[2]ENSAIOS DE ORÇAMENTO'!$C$3:$L$79,4,FALSE)</f>
        <v>0.23381399999999999</v>
      </c>
      <c r="H2247" s="649">
        <f>IF(F2247&lt;=30,(0.78*F2247+7.82)*G2247,((0.78*30+7.82)+0.78*(F2247-30))*G2247)</f>
        <v>93.015885480000009</v>
      </c>
      <c r="I2247" s="420"/>
      <c r="J2247" s="420"/>
      <c r="K2247" s="421">
        <f t="shared" si="588"/>
        <v>0</v>
      </c>
      <c r="L2247" s="647"/>
      <c r="M2247" s="723"/>
      <c r="N2247" s="576">
        <f t="shared" si="579"/>
        <v>0</v>
      </c>
      <c r="O2247" s="577">
        <f t="shared" si="591"/>
        <v>0</v>
      </c>
      <c r="P2247" s="578">
        <f t="shared" si="592"/>
        <v>0</v>
      </c>
      <c r="Q2247" s="765"/>
      <c r="R2247" s="723"/>
      <c r="S2247" s="723"/>
      <c r="T2247" s="577">
        <f t="shared" si="589"/>
        <v>0</v>
      </c>
      <c r="U2247" s="578">
        <f t="shared" si="590"/>
        <v>0</v>
      </c>
      <c r="V2247" s="579"/>
      <c r="W2247" s="566" t="str">
        <f>IF(U2246&gt;0,"xx",IF(P2246&gt;0,"xy",""))</f>
        <v/>
      </c>
      <c r="X2247" s="586" t="str">
        <f t="shared" si="577"/>
        <v/>
      </c>
      <c r="Y2247" s="586" t="str">
        <f t="shared" si="531"/>
        <v/>
      </c>
      <c r="Z2247" s="586" t="str">
        <f t="shared" si="583"/>
        <v/>
      </c>
    </row>
    <row r="2248" spans="1:26" ht="12" hidden="1" thickBot="1" x14ac:dyDescent="0.25">
      <c r="A2248" s="567" t="s">
        <v>168</v>
      </c>
      <c r="B2248" s="644" t="s">
        <v>168</v>
      </c>
      <c r="C2248" s="645"/>
      <c r="D2248" s="422" t="s">
        <v>248</v>
      </c>
      <c r="E2248" s="423"/>
      <c r="F2248" s="424">
        <v>180</v>
      </c>
      <c r="G2248" s="425">
        <f>VLOOKUP(D2246,'[2]ENSAIOS DE ORÇAMENTO'!$C$3:$L$79,5,FALSE)</f>
        <v>1.324927</v>
      </c>
      <c r="H2248" s="663">
        <f t="shared" ref="H2248:H2250" si="594">IF(F2248&lt;=30,(1.07*F2248+2.68)*G2248,((1.07*30+2.68)+1.07*(F2248-30))*G2248)</f>
        <v>258.73174455999998</v>
      </c>
      <c r="I2248" s="420"/>
      <c r="J2248" s="420"/>
      <c r="K2248" s="421">
        <f t="shared" si="588"/>
        <v>0</v>
      </c>
      <c r="L2248" s="647"/>
      <c r="M2248" s="723"/>
      <c r="N2248" s="576">
        <f t="shared" si="579"/>
        <v>0</v>
      </c>
      <c r="O2248" s="577">
        <f t="shared" si="591"/>
        <v>0</v>
      </c>
      <c r="P2248" s="578">
        <f t="shared" si="592"/>
        <v>0</v>
      </c>
      <c r="Q2248" s="765"/>
      <c r="R2248" s="723"/>
      <c r="S2248" s="723"/>
      <c r="T2248" s="577">
        <f t="shared" si="589"/>
        <v>0</v>
      </c>
      <c r="U2248" s="578">
        <f t="shared" si="590"/>
        <v>0</v>
      </c>
      <c r="V2248" s="579"/>
      <c r="W2248" s="566" t="str">
        <f>IF(U2246&gt;0,"xx",IF(P2246&gt;0,"xy",""))</f>
        <v/>
      </c>
      <c r="X2248" s="586" t="str">
        <f t="shared" si="577"/>
        <v/>
      </c>
      <c r="Y2248" s="586" t="str">
        <f t="shared" si="531"/>
        <v/>
      </c>
      <c r="Z2248" s="586" t="str">
        <f t="shared" si="583"/>
        <v/>
      </c>
    </row>
    <row r="2249" spans="1:26" ht="12" hidden="1" thickBot="1" x14ac:dyDescent="0.25">
      <c r="A2249" s="567" t="s">
        <v>168</v>
      </c>
      <c r="B2249" s="644" t="s">
        <v>168</v>
      </c>
      <c r="C2249" s="645"/>
      <c r="D2249" s="422" t="s">
        <v>252</v>
      </c>
      <c r="E2249" s="423"/>
      <c r="F2249" s="424">
        <v>20</v>
      </c>
      <c r="G2249" s="425">
        <f>VLOOKUP(D2246,'[2]ENSAIOS DE ORÇAMENTO'!$C$3:$L$79,6,FALSE)</f>
        <v>0.38805600000000001</v>
      </c>
      <c r="H2249" s="663">
        <f t="shared" si="594"/>
        <v>9.344388480000001</v>
      </c>
      <c r="I2249" s="420"/>
      <c r="J2249" s="420"/>
      <c r="K2249" s="421">
        <f t="shared" si="588"/>
        <v>0</v>
      </c>
      <c r="L2249" s="647"/>
      <c r="M2249" s="723"/>
      <c r="N2249" s="576">
        <f t="shared" si="579"/>
        <v>0</v>
      </c>
      <c r="O2249" s="577">
        <f t="shared" si="591"/>
        <v>0</v>
      </c>
      <c r="P2249" s="578">
        <f t="shared" si="592"/>
        <v>0</v>
      </c>
      <c r="Q2249" s="765"/>
      <c r="R2249" s="723"/>
      <c r="S2249" s="723"/>
      <c r="T2249" s="577">
        <f t="shared" si="589"/>
        <v>0</v>
      </c>
      <c r="U2249" s="578">
        <f t="shared" si="590"/>
        <v>0</v>
      </c>
      <c r="V2249" s="579"/>
      <c r="W2249" s="566" t="str">
        <f>IF(U2246&gt;0,"xx",IF(P2246&gt;0,"xy",""))</f>
        <v/>
      </c>
      <c r="X2249" s="586" t="str">
        <f t="shared" si="577"/>
        <v/>
      </c>
      <c r="Y2249" s="586" t="str">
        <f t="shared" si="531"/>
        <v/>
      </c>
      <c r="Z2249" s="586" t="str">
        <f t="shared" si="583"/>
        <v/>
      </c>
    </row>
    <row r="2250" spans="1:26" ht="12" hidden="1" thickBot="1" x14ac:dyDescent="0.25">
      <c r="A2250" s="567" t="s">
        <v>168</v>
      </c>
      <c r="B2250" s="644" t="s">
        <v>168</v>
      </c>
      <c r="C2250" s="645"/>
      <c r="D2250" s="422" t="s">
        <v>400</v>
      </c>
      <c r="E2250" s="423"/>
      <c r="F2250" s="424">
        <v>30</v>
      </c>
      <c r="G2250" s="425">
        <f>VLOOKUP(D2246,'[2]ENSAIOS DE ORÇAMENTO'!$C$3:$L$79,3,FALSE)</f>
        <v>2.0896199999999996</v>
      </c>
      <c r="H2250" s="663">
        <f t="shared" si="594"/>
        <v>72.676983599999986</v>
      </c>
      <c r="I2250" s="420"/>
      <c r="J2250" s="420"/>
      <c r="K2250" s="421">
        <f t="shared" si="588"/>
        <v>0</v>
      </c>
      <c r="L2250" s="647"/>
      <c r="M2250" s="723"/>
      <c r="N2250" s="576">
        <f t="shared" si="579"/>
        <v>0</v>
      </c>
      <c r="O2250" s="577">
        <f t="shared" si="591"/>
        <v>0</v>
      </c>
      <c r="P2250" s="578">
        <f t="shared" si="592"/>
        <v>0</v>
      </c>
      <c r="Q2250" s="765"/>
      <c r="R2250" s="723"/>
      <c r="S2250" s="723"/>
      <c r="T2250" s="577">
        <f t="shared" si="589"/>
        <v>0</v>
      </c>
      <c r="U2250" s="578">
        <f t="shared" si="590"/>
        <v>0</v>
      </c>
      <c r="V2250" s="579"/>
      <c r="W2250" s="566" t="str">
        <f>IF(U2246&gt;0,"xx",IF(P2246&gt;0,"xy",""))</f>
        <v/>
      </c>
      <c r="X2250" s="586" t="str">
        <f t="shared" si="577"/>
        <v/>
      </c>
      <c r="Y2250" s="586" t="str">
        <f t="shared" si="531"/>
        <v/>
      </c>
      <c r="Z2250" s="586" t="str">
        <f t="shared" si="583"/>
        <v/>
      </c>
    </row>
    <row r="2251" spans="1:26" ht="12" hidden="1" thickBot="1" x14ac:dyDescent="0.25">
      <c r="A2251" s="567" t="s">
        <v>168</v>
      </c>
      <c r="B2251" s="644" t="s">
        <v>168</v>
      </c>
      <c r="C2251" s="645"/>
      <c r="D2251" s="422" t="s">
        <v>401</v>
      </c>
      <c r="E2251" s="423"/>
      <c r="F2251" s="424">
        <v>500</v>
      </c>
      <c r="G2251" s="425">
        <f>VLOOKUP(D2246,'[2]ENSAIOS DE ORÇAMENTO'!$C$3:$L$79,10,FALSE)</f>
        <v>6.9653999999999994E-2</v>
      </c>
      <c r="H2251" s="649">
        <f>IF(F2251&lt;=30,(0.78*F2251+7.82)*G2251,((0.78*30+7.82)+0.78*(F2251-30))*G2251)</f>
        <v>27.709754280000002</v>
      </c>
      <c r="I2251" s="420"/>
      <c r="J2251" s="420"/>
      <c r="K2251" s="421">
        <f t="shared" si="588"/>
        <v>0</v>
      </c>
      <c r="L2251" s="647"/>
      <c r="M2251" s="723"/>
      <c r="N2251" s="576">
        <f t="shared" si="579"/>
        <v>0</v>
      </c>
      <c r="O2251" s="577">
        <f t="shared" si="591"/>
        <v>0</v>
      </c>
      <c r="P2251" s="578">
        <f t="shared" si="592"/>
        <v>0</v>
      </c>
      <c r="Q2251" s="765"/>
      <c r="R2251" s="723"/>
      <c r="S2251" s="723"/>
      <c r="T2251" s="577">
        <f t="shared" si="589"/>
        <v>0</v>
      </c>
      <c r="U2251" s="578">
        <f t="shared" si="590"/>
        <v>0</v>
      </c>
      <c r="V2251" s="579"/>
      <c r="W2251" s="566" t="str">
        <f>IF(U2246&gt;0,"xx",IF(P2246&gt;0,"xy",""))</f>
        <v/>
      </c>
      <c r="X2251" s="586" t="str">
        <f t="shared" si="577"/>
        <v/>
      </c>
      <c r="Y2251" s="586" t="str">
        <f t="shared" si="531"/>
        <v/>
      </c>
      <c r="Z2251" s="586" t="str">
        <f t="shared" si="583"/>
        <v/>
      </c>
    </row>
    <row r="2252" spans="1:26" ht="12" hidden="1" thickBot="1" x14ac:dyDescent="0.25">
      <c r="A2252" s="567" t="s">
        <v>117</v>
      </c>
      <c r="B2252" s="644" t="s">
        <v>117</v>
      </c>
      <c r="C2252" s="645" t="s">
        <v>206</v>
      </c>
      <c r="D2252" s="422" t="s">
        <v>103</v>
      </c>
      <c r="E2252" s="423"/>
      <c r="F2252" s="424"/>
      <c r="G2252" s="425"/>
      <c r="H2252" s="651">
        <f>SUM(H2253:H2257)</f>
        <v>576.97404310000002</v>
      </c>
      <c r="I2252" s="420">
        <f>VLOOKUP(D2252,'[2]ENSAIOS DE ORÇAMENTO'!$C$3:$L$79,8,FALSE)</f>
        <v>3406.1250199999995</v>
      </c>
      <c r="J2252" s="420">
        <f>IF(ISBLANK(I2252),"",SUM(H2252:I2252))</f>
        <v>3983.0990630999995</v>
      </c>
      <c r="K2252" s="421">
        <f t="shared" si="588"/>
        <v>4732.32</v>
      </c>
      <c r="L2252" s="647" t="s">
        <v>21</v>
      </c>
      <c r="M2252" s="576"/>
      <c r="N2252" s="576">
        <f t="shared" si="579"/>
        <v>0</v>
      </c>
      <c r="O2252" s="577">
        <f t="shared" si="591"/>
        <v>0</v>
      </c>
      <c r="P2252" s="578">
        <f t="shared" si="592"/>
        <v>0</v>
      </c>
      <c r="Q2252" s="765"/>
      <c r="R2252" s="576">
        <f>M2252</f>
        <v>0</v>
      </c>
      <c r="S2252" s="576">
        <f>N2252</f>
        <v>0</v>
      </c>
      <c r="T2252" s="577">
        <f t="shared" si="589"/>
        <v>0</v>
      </c>
      <c r="U2252" s="578">
        <f t="shared" si="590"/>
        <v>0</v>
      </c>
      <c r="V2252" s="579"/>
      <c r="W2252" s="566"/>
      <c r="X2252" s="586" t="str">
        <f t="shared" si="577"/>
        <v/>
      </c>
      <c r="Y2252" s="586" t="str">
        <f t="shared" si="531"/>
        <v/>
      </c>
      <c r="Z2252" s="586" t="str">
        <f t="shared" si="583"/>
        <v/>
      </c>
    </row>
    <row r="2253" spans="1:26" ht="12" hidden="1" thickBot="1" x14ac:dyDescent="0.25">
      <c r="A2253" s="567" t="s">
        <v>168</v>
      </c>
      <c r="B2253" s="644" t="s">
        <v>168</v>
      </c>
      <c r="C2253" s="645"/>
      <c r="D2253" s="422" t="s">
        <v>212</v>
      </c>
      <c r="E2253" s="423"/>
      <c r="F2253" s="424">
        <v>500</v>
      </c>
      <c r="G2253" s="425">
        <f>VLOOKUP(D2252,'[2]ENSAIOS DE ORÇAMENTO'!$C$3:$L$79,4,FALSE)</f>
        <v>0.28185359999999998</v>
      </c>
      <c r="H2253" s="649">
        <f>IF(F2253&lt;=30,(0.78*F2253+7.82)*G2253,((0.78*30+7.82)+0.78*(F2253-30))*G2253)</f>
        <v>112.12699915200001</v>
      </c>
      <c r="I2253" s="420"/>
      <c r="J2253" s="420"/>
      <c r="K2253" s="421">
        <f t="shared" si="588"/>
        <v>0</v>
      </c>
      <c r="L2253" s="647"/>
      <c r="M2253" s="723"/>
      <c r="N2253" s="576">
        <f t="shared" si="579"/>
        <v>0</v>
      </c>
      <c r="O2253" s="577">
        <f t="shared" si="591"/>
        <v>0</v>
      </c>
      <c r="P2253" s="578">
        <f t="shared" si="592"/>
        <v>0</v>
      </c>
      <c r="Q2253" s="765"/>
      <c r="R2253" s="723"/>
      <c r="S2253" s="723"/>
      <c r="T2253" s="577">
        <f t="shared" si="589"/>
        <v>0</v>
      </c>
      <c r="U2253" s="578">
        <f t="shared" si="590"/>
        <v>0</v>
      </c>
      <c r="V2253" s="579"/>
      <c r="W2253" s="566" t="str">
        <f>IF(U2252&gt;0,"xx",IF(P2252&gt;0,"xy",""))</f>
        <v/>
      </c>
      <c r="X2253" s="586" t="str">
        <f t="shared" si="577"/>
        <v/>
      </c>
      <c r="Y2253" s="586" t="str">
        <f t="shared" si="531"/>
        <v/>
      </c>
      <c r="Z2253" s="586" t="str">
        <f t="shared" si="583"/>
        <v/>
      </c>
    </row>
    <row r="2254" spans="1:26" ht="12" hidden="1" thickBot="1" x14ac:dyDescent="0.25">
      <c r="A2254" s="567" t="s">
        <v>168</v>
      </c>
      <c r="B2254" s="644" t="s">
        <v>168</v>
      </c>
      <c r="C2254" s="645"/>
      <c r="D2254" s="422" t="s">
        <v>248</v>
      </c>
      <c r="E2254" s="423"/>
      <c r="F2254" s="424">
        <v>180</v>
      </c>
      <c r="G2254" s="425">
        <f>VLOOKUP(D2252,'[2]ENSAIOS DE ORÇAMENTO'!$C$3:$L$79,5,FALSE)</f>
        <v>1.6484590000000001</v>
      </c>
      <c r="H2254" s="663">
        <f t="shared" ref="H2254:H2256" si="595">IF(F2254&lt;=30,(1.07*F2254+2.68)*G2254,((1.07*30+2.68)+1.07*(F2254-30))*G2254)</f>
        <v>321.91107352</v>
      </c>
      <c r="I2254" s="420"/>
      <c r="J2254" s="420"/>
      <c r="K2254" s="421">
        <f t="shared" si="588"/>
        <v>0</v>
      </c>
      <c r="L2254" s="647"/>
      <c r="M2254" s="723"/>
      <c r="N2254" s="576">
        <f t="shared" si="579"/>
        <v>0</v>
      </c>
      <c r="O2254" s="577">
        <f t="shared" si="591"/>
        <v>0</v>
      </c>
      <c r="P2254" s="578">
        <f t="shared" si="592"/>
        <v>0</v>
      </c>
      <c r="Q2254" s="765"/>
      <c r="R2254" s="723"/>
      <c r="S2254" s="723"/>
      <c r="T2254" s="577">
        <f t="shared" si="589"/>
        <v>0</v>
      </c>
      <c r="U2254" s="578">
        <f t="shared" si="590"/>
        <v>0</v>
      </c>
      <c r="V2254" s="579"/>
      <c r="W2254" s="566" t="str">
        <f>IF(U2252&gt;0,"xx",IF(P2252&gt;0,"xy",""))</f>
        <v/>
      </c>
      <c r="X2254" s="586" t="str">
        <f t="shared" si="577"/>
        <v/>
      </c>
      <c r="Y2254" s="586" t="str">
        <f t="shared" si="531"/>
        <v/>
      </c>
      <c r="Z2254" s="586" t="str">
        <f t="shared" si="583"/>
        <v/>
      </c>
    </row>
    <row r="2255" spans="1:26" ht="12" hidden="1" thickBot="1" x14ac:dyDescent="0.25">
      <c r="A2255" s="567" t="s">
        <v>168</v>
      </c>
      <c r="B2255" s="644" t="s">
        <v>168</v>
      </c>
      <c r="C2255" s="645"/>
      <c r="D2255" s="422" t="s">
        <v>252</v>
      </c>
      <c r="E2255" s="423"/>
      <c r="F2255" s="424">
        <v>20</v>
      </c>
      <c r="G2255" s="425">
        <f>VLOOKUP(D2252,'[2]ENSAIOS DE ORÇAMENTO'!$C$3:$L$79,6,FALSE)</f>
        <v>0.38805600000000001</v>
      </c>
      <c r="H2255" s="663">
        <f t="shared" si="595"/>
        <v>9.344388480000001</v>
      </c>
      <c r="I2255" s="420"/>
      <c r="J2255" s="420"/>
      <c r="K2255" s="421">
        <f t="shared" si="588"/>
        <v>0</v>
      </c>
      <c r="L2255" s="647"/>
      <c r="M2255" s="723"/>
      <c r="N2255" s="576">
        <f t="shared" si="579"/>
        <v>0</v>
      </c>
      <c r="O2255" s="577">
        <f t="shared" si="591"/>
        <v>0</v>
      </c>
      <c r="P2255" s="578">
        <f t="shared" si="592"/>
        <v>0</v>
      </c>
      <c r="Q2255" s="765"/>
      <c r="R2255" s="723"/>
      <c r="S2255" s="723"/>
      <c r="T2255" s="577">
        <f t="shared" si="589"/>
        <v>0</v>
      </c>
      <c r="U2255" s="578">
        <f t="shared" si="590"/>
        <v>0</v>
      </c>
      <c r="V2255" s="579"/>
      <c r="W2255" s="566" t="str">
        <f>IF(U2252&gt;0,"xx",IF(P2252&gt;0,"xy",""))</f>
        <v/>
      </c>
      <c r="X2255" s="586" t="str">
        <f t="shared" si="577"/>
        <v/>
      </c>
      <c r="Y2255" s="586" t="str">
        <f t="shared" si="531"/>
        <v/>
      </c>
      <c r="Z2255" s="586" t="str">
        <f t="shared" si="583"/>
        <v/>
      </c>
    </row>
    <row r="2256" spans="1:26" ht="12" hidden="1" thickBot="1" x14ac:dyDescent="0.25">
      <c r="A2256" s="567" t="s">
        <v>168</v>
      </c>
      <c r="B2256" s="644" t="s">
        <v>168</v>
      </c>
      <c r="C2256" s="645"/>
      <c r="D2256" s="422" t="s">
        <v>400</v>
      </c>
      <c r="E2256" s="423"/>
      <c r="F2256" s="424">
        <v>30</v>
      </c>
      <c r="G2256" s="425">
        <f>VLOOKUP(D2252,'[2]ENSAIOS DE ORÇAMENTO'!$C$3:$L$79,3,FALSE)</f>
        <v>2.780802</v>
      </c>
      <c r="H2256" s="663">
        <f t="shared" si="595"/>
        <v>96.716293559999997</v>
      </c>
      <c r="I2256" s="420"/>
      <c r="J2256" s="420"/>
      <c r="K2256" s="421">
        <f t="shared" si="588"/>
        <v>0</v>
      </c>
      <c r="L2256" s="647"/>
      <c r="M2256" s="723"/>
      <c r="N2256" s="576">
        <f t="shared" si="579"/>
        <v>0</v>
      </c>
      <c r="O2256" s="577">
        <f t="shared" si="591"/>
        <v>0</v>
      </c>
      <c r="P2256" s="578">
        <f t="shared" si="592"/>
        <v>0</v>
      </c>
      <c r="Q2256" s="765"/>
      <c r="R2256" s="723"/>
      <c r="S2256" s="723"/>
      <c r="T2256" s="577">
        <f t="shared" si="589"/>
        <v>0</v>
      </c>
      <c r="U2256" s="578">
        <f t="shared" si="590"/>
        <v>0</v>
      </c>
      <c r="V2256" s="579"/>
      <c r="W2256" s="566" t="str">
        <f>IF(U2252&gt;0,"xx",IF(P2252&gt;0,"xy",""))</f>
        <v/>
      </c>
      <c r="X2256" s="586" t="str">
        <f t="shared" si="577"/>
        <v/>
      </c>
      <c r="Y2256" s="586" t="str">
        <f t="shared" si="531"/>
        <v/>
      </c>
      <c r="Z2256" s="586" t="str">
        <f t="shared" si="583"/>
        <v/>
      </c>
    </row>
    <row r="2257" spans="1:26" ht="12" hidden="1" thickBot="1" x14ac:dyDescent="0.25">
      <c r="A2257" s="567" t="s">
        <v>168</v>
      </c>
      <c r="B2257" s="644" t="s">
        <v>168</v>
      </c>
      <c r="C2257" s="645"/>
      <c r="D2257" s="422" t="s">
        <v>401</v>
      </c>
      <c r="E2257" s="423"/>
      <c r="F2257" s="424">
        <v>500</v>
      </c>
      <c r="G2257" s="425">
        <f>VLOOKUP(D2252,'[2]ENSAIOS DE ORÇAMENTO'!$C$3:$L$79,10,FALSE)</f>
        <v>9.2693399999999995E-2</v>
      </c>
      <c r="H2257" s="649">
        <f>IF(F2257&lt;=30,(0.78*F2257+7.82)*G2257,((0.78*30+7.82)+0.78*(F2257-30))*G2257)</f>
        <v>36.875288388000001</v>
      </c>
      <c r="I2257" s="420"/>
      <c r="J2257" s="420"/>
      <c r="K2257" s="421">
        <f t="shared" si="588"/>
        <v>0</v>
      </c>
      <c r="L2257" s="647"/>
      <c r="M2257" s="723"/>
      <c r="N2257" s="576">
        <f t="shared" si="579"/>
        <v>0</v>
      </c>
      <c r="O2257" s="577">
        <f t="shared" si="591"/>
        <v>0</v>
      </c>
      <c r="P2257" s="578">
        <f t="shared" si="592"/>
        <v>0</v>
      </c>
      <c r="Q2257" s="765"/>
      <c r="R2257" s="723"/>
      <c r="S2257" s="723"/>
      <c r="T2257" s="577">
        <f t="shared" si="589"/>
        <v>0</v>
      </c>
      <c r="U2257" s="578">
        <f t="shared" si="590"/>
        <v>0</v>
      </c>
      <c r="V2257" s="579"/>
      <c r="W2257" s="566" t="str">
        <f>IF(U2252&gt;0,"xx",IF(P2252&gt;0,"xy",""))</f>
        <v/>
      </c>
      <c r="X2257" s="586" t="str">
        <f t="shared" si="577"/>
        <v/>
      </c>
      <c r="Y2257" s="586" t="str">
        <f t="shared" si="531"/>
        <v/>
      </c>
      <c r="Z2257" s="586" t="str">
        <f t="shared" si="583"/>
        <v/>
      </c>
    </row>
    <row r="2258" spans="1:26" ht="12" hidden="1" thickBot="1" x14ac:dyDescent="0.25">
      <c r="A2258" s="567" t="s">
        <v>118</v>
      </c>
      <c r="B2258" s="644" t="s">
        <v>118</v>
      </c>
      <c r="C2258" s="645" t="s">
        <v>206</v>
      </c>
      <c r="D2258" s="422" t="s">
        <v>104</v>
      </c>
      <c r="E2258" s="423"/>
      <c r="F2258" s="424"/>
      <c r="G2258" s="425"/>
      <c r="H2258" s="651">
        <f>SUM(H2259:H2263)</f>
        <v>695.15526669999997</v>
      </c>
      <c r="I2258" s="420">
        <f>VLOOKUP(D2258,'[2]ENSAIOS DE ORÇAMENTO'!$C$3:$L$79,8,FALSE)</f>
        <v>3889.3330199999991</v>
      </c>
      <c r="J2258" s="420">
        <f>IF(ISBLANK(I2258),"",SUM(H2258:I2258))</f>
        <v>4584.4882866999988</v>
      </c>
      <c r="K2258" s="421">
        <f t="shared" si="588"/>
        <v>5446.83</v>
      </c>
      <c r="L2258" s="647" t="s">
        <v>21</v>
      </c>
      <c r="M2258" s="576"/>
      <c r="N2258" s="576">
        <f t="shared" si="579"/>
        <v>0</v>
      </c>
      <c r="O2258" s="577">
        <f t="shared" si="591"/>
        <v>0</v>
      </c>
      <c r="P2258" s="578">
        <f t="shared" si="592"/>
        <v>0</v>
      </c>
      <c r="Q2258" s="765"/>
      <c r="R2258" s="576">
        <f>M2258</f>
        <v>0</v>
      </c>
      <c r="S2258" s="576">
        <f>N2258</f>
        <v>0</v>
      </c>
      <c r="T2258" s="577">
        <f t="shared" si="589"/>
        <v>0</v>
      </c>
      <c r="U2258" s="578">
        <f t="shared" si="590"/>
        <v>0</v>
      </c>
      <c r="V2258" s="579"/>
      <c r="W2258" s="566"/>
      <c r="X2258" s="586" t="str">
        <f t="shared" si="577"/>
        <v/>
      </c>
      <c r="Y2258" s="586" t="str">
        <f t="shared" si="531"/>
        <v/>
      </c>
      <c r="Z2258" s="586" t="str">
        <f t="shared" si="583"/>
        <v/>
      </c>
    </row>
    <row r="2259" spans="1:26" ht="12" hidden="1" thickBot="1" x14ac:dyDescent="0.25">
      <c r="A2259" s="567" t="s">
        <v>168</v>
      </c>
      <c r="B2259" s="644" t="s">
        <v>168</v>
      </c>
      <c r="C2259" s="645"/>
      <c r="D2259" s="422" t="s">
        <v>212</v>
      </c>
      <c r="E2259" s="423"/>
      <c r="F2259" s="424">
        <v>500</v>
      </c>
      <c r="G2259" s="425">
        <f>VLOOKUP(D2258,'[2]ENSAIOS DE ORÇAMENTO'!$C$3:$L$79,4,FALSE)</f>
        <v>0.33101039999999993</v>
      </c>
      <c r="H2259" s="649">
        <f>IF(F2259&lt;=30,(0.78*F2259+7.82)*G2259,((0.78*30+7.82)+0.78*(F2259-30))*G2259)</f>
        <v>131.682557328</v>
      </c>
      <c r="I2259" s="420"/>
      <c r="J2259" s="420"/>
      <c r="K2259" s="421">
        <f t="shared" si="588"/>
        <v>0</v>
      </c>
      <c r="L2259" s="647"/>
      <c r="M2259" s="723"/>
      <c r="N2259" s="576">
        <f t="shared" si="579"/>
        <v>0</v>
      </c>
      <c r="O2259" s="577">
        <f t="shared" si="591"/>
        <v>0</v>
      </c>
      <c r="P2259" s="578">
        <f t="shared" si="592"/>
        <v>0</v>
      </c>
      <c r="Q2259" s="765"/>
      <c r="R2259" s="723"/>
      <c r="S2259" s="723"/>
      <c r="T2259" s="577">
        <f t="shared" si="589"/>
        <v>0</v>
      </c>
      <c r="U2259" s="578">
        <f t="shared" si="590"/>
        <v>0</v>
      </c>
      <c r="V2259" s="579"/>
      <c r="W2259" s="566" t="str">
        <f>IF(U2258&gt;0,"xx",IF(P2258&gt;0,"xy",""))</f>
        <v/>
      </c>
      <c r="X2259" s="586" t="str">
        <f t="shared" si="577"/>
        <v/>
      </c>
      <c r="Y2259" s="586" t="str">
        <f t="shared" si="531"/>
        <v/>
      </c>
      <c r="Z2259" s="586" t="str">
        <f t="shared" si="583"/>
        <v/>
      </c>
    </row>
    <row r="2260" spans="1:26" ht="12" hidden="1" thickBot="1" x14ac:dyDescent="0.25">
      <c r="A2260" s="567" t="s">
        <v>168</v>
      </c>
      <c r="B2260" s="644" t="s">
        <v>168</v>
      </c>
      <c r="C2260" s="645"/>
      <c r="D2260" s="422" t="s">
        <v>248</v>
      </c>
      <c r="E2260" s="423"/>
      <c r="F2260" s="424">
        <v>180</v>
      </c>
      <c r="G2260" s="425">
        <f>VLOOKUP(D2258,'[2]ENSAIOS DE ORÇAMENTO'!$C$3:$L$79,5,FALSE)</f>
        <v>1.9795149999999999</v>
      </c>
      <c r="H2260" s="663">
        <f t="shared" ref="H2260:H2262" si="596">IF(F2260&lt;=30,(1.07*F2260+2.68)*G2260,((1.07*30+2.68)+1.07*(F2260-30))*G2260)</f>
        <v>386.55968919999998</v>
      </c>
      <c r="I2260" s="420"/>
      <c r="J2260" s="420"/>
      <c r="K2260" s="421">
        <f t="shared" si="588"/>
        <v>0</v>
      </c>
      <c r="L2260" s="647"/>
      <c r="M2260" s="723"/>
      <c r="N2260" s="576">
        <f t="shared" ref="N2260:N2323" si="597">IF(M2260=0,0,K2260)</f>
        <v>0</v>
      </c>
      <c r="O2260" s="577">
        <f t="shared" si="591"/>
        <v>0</v>
      </c>
      <c r="P2260" s="578">
        <f t="shared" si="592"/>
        <v>0</v>
      </c>
      <c r="Q2260" s="765"/>
      <c r="R2260" s="723"/>
      <c r="S2260" s="723"/>
      <c r="T2260" s="577">
        <f t="shared" si="589"/>
        <v>0</v>
      </c>
      <c r="U2260" s="578">
        <f t="shared" si="590"/>
        <v>0</v>
      </c>
      <c r="V2260" s="579"/>
      <c r="W2260" s="566" t="str">
        <f>IF(U2258&gt;0,"xx",IF(P2258&gt;0,"xy",""))</f>
        <v/>
      </c>
      <c r="X2260" s="586" t="str">
        <f t="shared" si="577"/>
        <v/>
      </c>
      <c r="Y2260" s="586" t="str">
        <f t="shared" si="531"/>
        <v/>
      </c>
      <c r="Z2260" s="586" t="str">
        <f t="shared" si="583"/>
        <v/>
      </c>
    </row>
    <row r="2261" spans="1:26" ht="12" hidden="1" thickBot="1" x14ac:dyDescent="0.25">
      <c r="A2261" s="567" t="s">
        <v>168</v>
      </c>
      <c r="B2261" s="644" t="s">
        <v>168</v>
      </c>
      <c r="C2261" s="645"/>
      <c r="D2261" s="422" t="s">
        <v>252</v>
      </c>
      <c r="E2261" s="423"/>
      <c r="F2261" s="424">
        <v>20</v>
      </c>
      <c r="G2261" s="425">
        <f>VLOOKUP(D2258,'[2]ENSAIOS DE ORÇAMENTO'!$C$3:$L$79,6,FALSE)</f>
        <v>0.38805600000000001</v>
      </c>
      <c r="H2261" s="663">
        <f t="shared" si="596"/>
        <v>9.344388480000001</v>
      </c>
      <c r="I2261" s="420"/>
      <c r="J2261" s="420"/>
      <c r="K2261" s="421">
        <f t="shared" si="588"/>
        <v>0</v>
      </c>
      <c r="L2261" s="647"/>
      <c r="M2261" s="723"/>
      <c r="N2261" s="576">
        <f t="shared" si="597"/>
        <v>0</v>
      </c>
      <c r="O2261" s="577">
        <f t="shared" si="591"/>
        <v>0</v>
      </c>
      <c r="P2261" s="578">
        <f t="shared" si="592"/>
        <v>0</v>
      </c>
      <c r="Q2261" s="765"/>
      <c r="R2261" s="723"/>
      <c r="S2261" s="723"/>
      <c r="T2261" s="577">
        <f t="shared" si="589"/>
        <v>0</v>
      </c>
      <c r="U2261" s="578">
        <f t="shared" si="590"/>
        <v>0</v>
      </c>
      <c r="V2261" s="579"/>
      <c r="W2261" s="566" t="str">
        <f>IF(U2258&gt;0,"xx",IF(P2258&gt;0,"xy",""))</f>
        <v/>
      </c>
      <c r="X2261" s="586" t="str">
        <f t="shared" si="577"/>
        <v/>
      </c>
      <c r="Y2261" s="586" t="str">
        <f t="shared" si="531"/>
        <v/>
      </c>
      <c r="Z2261" s="586" t="str">
        <f t="shared" si="583"/>
        <v/>
      </c>
    </row>
    <row r="2262" spans="1:26" ht="12" hidden="1" thickBot="1" x14ac:dyDescent="0.25">
      <c r="A2262" s="567" t="s">
        <v>168</v>
      </c>
      <c r="B2262" s="644" t="s">
        <v>168</v>
      </c>
      <c r="C2262" s="645"/>
      <c r="D2262" s="422" t="s">
        <v>400</v>
      </c>
      <c r="E2262" s="423"/>
      <c r="F2262" s="424">
        <v>30</v>
      </c>
      <c r="G2262" s="425">
        <f>VLOOKUP(D2258,'[2]ENSAIOS DE ORÇAMENTO'!$C$3:$L$79,3,FALSE)</f>
        <v>3.4880579999999992</v>
      </c>
      <c r="H2262" s="663">
        <f t="shared" si="596"/>
        <v>121.31465723999997</v>
      </c>
      <c r="I2262" s="420"/>
      <c r="J2262" s="420"/>
      <c r="K2262" s="421">
        <f t="shared" si="588"/>
        <v>0</v>
      </c>
      <c r="L2262" s="647"/>
      <c r="M2262" s="723"/>
      <c r="N2262" s="576">
        <f t="shared" si="597"/>
        <v>0</v>
      </c>
      <c r="O2262" s="577">
        <f t="shared" si="591"/>
        <v>0</v>
      </c>
      <c r="P2262" s="578">
        <f t="shared" si="592"/>
        <v>0</v>
      </c>
      <c r="Q2262" s="765"/>
      <c r="R2262" s="723"/>
      <c r="S2262" s="723"/>
      <c r="T2262" s="577">
        <f t="shared" si="589"/>
        <v>0</v>
      </c>
      <c r="U2262" s="578">
        <f t="shared" si="590"/>
        <v>0</v>
      </c>
      <c r="V2262" s="579"/>
      <c r="W2262" s="566" t="str">
        <f>IF(U2258&gt;0,"xx",IF(P2258&gt;0,"xy",""))</f>
        <v/>
      </c>
      <c r="X2262" s="586" t="str">
        <f t="shared" si="577"/>
        <v/>
      </c>
      <c r="Y2262" s="586" t="str">
        <f t="shared" si="531"/>
        <v/>
      </c>
      <c r="Z2262" s="586" t="str">
        <f t="shared" si="583"/>
        <v/>
      </c>
    </row>
    <row r="2263" spans="1:26" ht="12" hidden="1" thickBot="1" x14ac:dyDescent="0.25">
      <c r="A2263" s="567" t="s">
        <v>168</v>
      </c>
      <c r="B2263" s="644" t="s">
        <v>168</v>
      </c>
      <c r="C2263" s="645"/>
      <c r="D2263" s="422" t="s">
        <v>401</v>
      </c>
      <c r="E2263" s="423"/>
      <c r="F2263" s="424">
        <v>500</v>
      </c>
      <c r="G2263" s="425">
        <f>VLOOKUP(D2258,'[2]ENSAIOS DE ORÇAMENTO'!$C$3:$L$79,10,FALSE)</f>
        <v>0.11626859999999997</v>
      </c>
      <c r="H2263" s="649">
        <f>IF(F2263&lt;=30,(0.78*F2263+7.82)*G2263,((0.78*30+7.82)+0.78*(F2263-30))*G2263)</f>
        <v>46.253974451999994</v>
      </c>
      <c r="I2263" s="420"/>
      <c r="J2263" s="420"/>
      <c r="K2263" s="421">
        <f t="shared" si="588"/>
        <v>0</v>
      </c>
      <c r="L2263" s="647"/>
      <c r="M2263" s="723"/>
      <c r="N2263" s="576">
        <f t="shared" si="597"/>
        <v>0</v>
      </c>
      <c r="O2263" s="577">
        <f t="shared" si="591"/>
        <v>0</v>
      </c>
      <c r="P2263" s="578">
        <f t="shared" si="592"/>
        <v>0</v>
      </c>
      <c r="Q2263" s="765"/>
      <c r="R2263" s="723"/>
      <c r="S2263" s="723"/>
      <c r="T2263" s="577">
        <f t="shared" si="589"/>
        <v>0</v>
      </c>
      <c r="U2263" s="578">
        <f t="shared" si="590"/>
        <v>0</v>
      </c>
      <c r="V2263" s="579"/>
      <c r="W2263" s="566" t="str">
        <f>IF(U2258&gt;0,"xx",IF(P2258&gt;0,"xy",""))</f>
        <v/>
      </c>
      <c r="X2263" s="586" t="str">
        <f t="shared" si="577"/>
        <v/>
      </c>
      <c r="Y2263" s="586" t="str">
        <f t="shared" si="531"/>
        <v/>
      </c>
      <c r="Z2263" s="586" t="str">
        <f t="shared" si="583"/>
        <v/>
      </c>
    </row>
    <row r="2264" spans="1:26" ht="12" hidden="1" thickBot="1" x14ac:dyDescent="0.25">
      <c r="A2264" s="567" t="s">
        <v>119</v>
      </c>
      <c r="B2264" s="644" t="s">
        <v>119</v>
      </c>
      <c r="C2264" s="645" t="s">
        <v>206</v>
      </c>
      <c r="D2264" s="422" t="s">
        <v>406</v>
      </c>
      <c r="E2264" s="423"/>
      <c r="F2264" s="424"/>
      <c r="G2264" s="425"/>
      <c r="H2264" s="651">
        <f>SUM(H2265:H2269)</f>
        <v>867.39781996000011</v>
      </c>
      <c r="I2264" s="420">
        <f>VLOOKUP(D2264,'[2]ENSAIOS DE ORÇAMENTO'!$C$3:$L$79,8,FALSE)</f>
        <v>2116.3516300000001</v>
      </c>
      <c r="J2264" s="420">
        <f>IF(ISBLANK(I2264),"",SUM(H2264:I2264))</f>
        <v>2983.7494499600002</v>
      </c>
      <c r="K2264" s="421">
        <f t="shared" si="588"/>
        <v>3544.99</v>
      </c>
      <c r="L2264" s="647" t="s">
        <v>21</v>
      </c>
      <c r="M2264" s="576"/>
      <c r="N2264" s="576">
        <f t="shared" si="597"/>
        <v>0</v>
      </c>
      <c r="O2264" s="577">
        <f t="shared" si="591"/>
        <v>0</v>
      </c>
      <c r="P2264" s="578">
        <f t="shared" si="592"/>
        <v>0</v>
      </c>
      <c r="Q2264" s="765"/>
      <c r="R2264" s="576">
        <f>M2264</f>
        <v>0</v>
      </c>
      <c r="S2264" s="576">
        <f>N2264</f>
        <v>0</v>
      </c>
      <c r="T2264" s="577">
        <f t="shared" si="589"/>
        <v>0</v>
      </c>
      <c r="U2264" s="578">
        <f t="shared" si="590"/>
        <v>0</v>
      </c>
      <c r="V2264" s="579"/>
      <c r="W2264" s="566"/>
      <c r="X2264" s="586" t="str">
        <f t="shared" si="577"/>
        <v/>
      </c>
      <c r="Y2264" s="586" t="str">
        <f t="shared" si="531"/>
        <v/>
      </c>
      <c r="Z2264" s="586" t="str">
        <f t="shared" si="583"/>
        <v/>
      </c>
    </row>
    <row r="2265" spans="1:26" ht="12" hidden="1" thickBot="1" x14ac:dyDescent="0.25">
      <c r="A2265" s="567" t="s">
        <v>168</v>
      </c>
      <c r="B2265" s="644" t="s">
        <v>168</v>
      </c>
      <c r="C2265" s="645"/>
      <c r="D2265" s="422" t="s">
        <v>212</v>
      </c>
      <c r="E2265" s="423"/>
      <c r="F2265" s="424">
        <v>500</v>
      </c>
      <c r="G2265" s="425">
        <f>VLOOKUP(D2264,'[2]ENSAIOS DE ORÇAMENTO'!$C$3:$L$79,4,FALSE)</f>
        <v>0.82205400000000006</v>
      </c>
      <c r="H2265" s="649">
        <f>IF(F2265&lt;=30,(0.78*F2265+7.82)*G2265,((0.78*30+7.82)+0.78*(F2265-30))*G2265)</f>
        <v>327.02952228000009</v>
      </c>
      <c r="I2265" s="420"/>
      <c r="J2265" s="420"/>
      <c r="K2265" s="421">
        <f t="shared" si="588"/>
        <v>0</v>
      </c>
      <c r="L2265" s="647"/>
      <c r="M2265" s="723"/>
      <c r="N2265" s="576">
        <f t="shared" si="597"/>
        <v>0</v>
      </c>
      <c r="O2265" s="577">
        <f t="shared" si="591"/>
        <v>0</v>
      </c>
      <c r="P2265" s="578">
        <f t="shared" si="592"/>
        <v>0</v>
      </c>
      <c r="Q2265" s="765"/>
      <c r="R2265" s="723"/>
      <c r="S2265" s="723"/>
      <c r="T2265" s="577">
        <f t="shared" si="589"/>
        <v>0</v>
      </c>
      <c r="U2265" s="578">
        <f t="shared" si="590"/>
        <v>0</v>
      </c>
      <c r="V2265" s="579"/>
      <c r="W2265" s="566" t="str">
        <f>IF(U2264&gt;0,"xx",IF(P2264&gt;0,"xy",""))</f>
        <v/>
      </c>
      <c r="X2265" s="586" t="str">
        <f t="shared" si="577"/>
        <v/>
      </c>
      <c r="Y2265" s="586" t="str">
        <f t="shared" si="531"/>
        <v/>
      </c>
      <c r="Z2265" s="586" t="str">
        <f t="shared" si="583"/>
        <v/>
      </c>
    </row>
    <row r="2266" spans="1:26" ht="12" hidden="1" thickBot="1" x14ac:dyDescent="0.25">
      <c r="A2266" s="567" t="s">
        <v>168</v>
      </c>
      <c r="B2266" s="644" t="s">
        <v>168</v>
      </c>
      <c r="C2266" s="645"/>
      <c r="D2266" s="422" t="s">
        <v>248</v>
      </c>
      <c r="E2266" s="423"/>
      <c r="F2266" s="424">
        <v>180</v>
      </c>
      <c r="G2266" s="425">
        <f>VLOOKUP(D2264,'[2]ENSAIOS DE ORÇAMENTO'!$C$3:$L$79,5,FALSE)</f>
        <v>2.4129430000000003</v>
      </c>
      <c r="H2266" s="663">
        <f t="shared" ref="H2266:H2268" si="598">IF(F2266&lt;=30,(1.07*F2266+2.68)*G2266,((1.07*30+2.68)+1.07*(F2266-30))*G2266)</f>
        <v>471.19950904000007</v>
      </c>
      <c r="I2266" s="420"/>
      <c r="J2266" s="420"/>
      <c r="K2266" s="421">
        <f t="shared" si="588"/>
        <v>0</v>
      </c>
      <c r="L2266" s="647"/>
      <c r="M2266" s="723"/>
      <c r="N2266" s="576">
        <f t="shared" si="597"/>
        <v>0</v>
      </c>
      <c r="O2266" s="577">
        <f t="shared" si="591"/>
        <v>0</v>
      </c>
      <c r="P2266" s="578">
        <f t="shared" si="592"/>
        <v>0</v>
      </c>
      <c r="Q2266" s="765"/>
      <c r="R2266" s="723"/>
      <c r="S2266" s="723"/>
      <c r="T2266" s="577">
        <f t="shared" si="589"/>
        <v>0</v>
      </c>
      <c r="U2266" s="578">
        <f t="shared" si="590"/>
        <v>0</v>
      </c>
      <c r="V2266" s="579"/>
      <c r="W2266" s="566" t="str">
        <f>IF(U2264&gt;0,"xx",IF(P2264&gt;0,"xy",""))</f>
        <v/>
      </c>
      <c r="X2266" s="586" t="str">
        <f t="shared" si="577"/>
        <v/>
      </c>
      <c r="Y2266" s="586" t="str">
        <f t="shared" si="531"/>
        <v/>
      </c>
      <c r="Z2266" s="586" t="str">
        <f t="shared" si="583"/>
        <v/>
      </c>
    </row>
    <row r="2267" spans="1:26" ht="12" hidden="1" thickBot="1" x14ac:dyDescent="0.25">
      <c r="A2267" s="567" t="s">
        <v>168</v>
      </c>
      <c r="B2267" s="644" t="s">
        <v>168</v>
      </c>
      <c r="C2267" s="645"/>
      <c r="D2267" s="422" t="s">
        <v>252</v>
      </c>
      <c r="E2267" s="423"/>
      <c r="F2267" s="424">
        <v>20</v>
      </c>
      <c r="G2267" s="425">
        <f>VLOOKUP(D2264,'[2]ENSAIOS DE ORÇAMENTO'!$C$3:$L$79,6,FALSE)</f>
        <v>2.8724580000000004</v>
      </c>
      <c r="H2267" s="663">
        <f t="shared" si="598"/>
        <v>69.168788640000017</v>
      </c>
      <c r="I2267" s="420"/>
      <c r="J2267" s="420"/>
      <c r="K2267" s="421">
        <f t="shared" si="588"/>
        <v>0</v>
      </c>
      <c r="L2267" s="647"/>
      <c r="M2267" s="723"/>
      <c r="N2267" s="576">
        <f t="shared" si="597"/>
        <v>0</v>
      </c>
      <c r="O2267" s="577">
        <f t="shared" si="591"/>
        <v>0</v>
      </c>
      <c r="P2267" s="578">
        <f t="shared" si="592"/>
        <v>0</v>
      </c>
      <c r="Q2267" s="765"/>
      <c r="R2267" s="723"/>
      <c r="S2267" s="723"/>
      <c r="T2267" s="577">
        <f t="shared" si="589"/>
        <v>0</v>
      </c>
      <c r="U2267" s="578">
        <f t="shared" si="590"/>
        <v>0</v>
      </c>
      <c r="V2267" s="579"/>
      <c r="W2267" s="566" t="str">
        <f>IF(U2264&gt;0,"xx",IF(P2264&gt;0,"xy",""))</f>
        <v/>
      </c>
      <c r="X2267" s="586" t="str">
        <f t="shared" si="577"/>
        <v/>
      </c>
      <c r="Y2267" s="586" t="str">
        <f t="shared" si="531"/>
        <v/>
      </c>
      <c r="Z2267" s="586" t="str">
        <f t="shared" si="583"/>
        <v/>
      </c>
    </row>
    <row r="2268" spans="1:26" ht="12" hidden="1" thickBot="1" x14ac:dyDescent="0.25">
      <c r="A2268" s="567" t="s">
        <v>168</v>
      </c>
      <c r="B2268" s="644" t="s">
        <v>168</v>
      </c>
      <c r="C2268" s="645"/>
      <c r="D2268" s="422" t="s">
        <v>400</v>
      </c>
      <c r="E2268" s="423"/>
      <c r="F2268" s="424">
        <v>30</v>
      </c>
      <c r="G2268" s="425">
        <f>VLOOKUP(D2264,'[2]ENSAIOS DE ORÇAMENTO'!$C$3:$L$79,3,FALSE)</f>
        <v>0</v>
      </c>
      <c r="H2268" s="663">
        <f t="shared" si="598"/>
        <v>0</v>
      </c>
      <c r="I2268" s="420"/>
      <c r="J2268" s="420"/>
      <c r="K2268" s="421">
        <f t="shared" si="588"/>
        <v>0</v>
      </c>
      <c r="L2268" s="647"/>
      <c r="M2268" s="723"/>
      <c r="N2268" s="576">
        <f t="shared" si="597"/>
        <v>0</v>
      </c>
      <c r="O2268" s="577">
        <f t="shared" si="591"/>
        <v>0</v>
      </c>
      <c r="P2268" s="578">
        <f t="shared" si="592"/>
        <v>0</v>
      </c>
      <c r="Q2268" s="765"/>
      <c r="R2268" s="723"/>
      <c r="S2268" s="723"/>
      <c r="T2268" s="577">
        <f t="shared" si="589"/>
        <v>0</v>
      </c>
      <c r="U2268" s="578">
        <f t="shared" si="590"/>
        <v>0</v>
      </c>
      <c r="V2268" s="579"/>
      <c r="W2268" s="566" t="str">
        <f>IF(U2264&gt;0,"xx",IF(P2264&gt;0,"xy",""))</f>
        <v/>
      </c>
      <c r="X2268" s="586" t="str">
        <f t="shared" si="577"/>
        <v/>
      </c>
      <c r="Y2268" s="586" t="str">
        <f t="shared" si="531"/>
        <v/>
      </c>
      <c r="Z2268" s="586" t="str">
        <f t="shared" si="583"/>
        <v/>
      </c>
    </row>
    <row r="2269" spans="1:26" ht="12" hidden="1" thickBot="1" x14ac:dyDescent="0.25">
      <c r="A2269" s="567" t="s">
        <v>168</v>
      </c>
      <c r="B2269" s="644" t="s">
        <v>168</v>
      </c>
      <c r="C2269" s="645"/>
      <c r="D2269" s="422" t="s">
        <v>401</v>
      </c>
      <c r="E2269" s="423"/>
      <c r="F2269" s="424">
        <v>500</v>
      </c>
      <c r="G2269" s="425">
        <f>VLOOKUP(D2264,'[2]ENSAIOS DE ORÇAMENTO'!$C$3:$L$79,10,FALSE)</f>
        <v>0</v>
      </c>
      <c r="H2269" s="649">
        <f>IF(F2269&lt;=30,(0.78*F2269+7.82)*G2269,((0.78*30+7.82)+0.78*(F2269-30))*G2269)</f>
        <v>0</v>
      </c>
      <c r="I2269" s="420"/>
      <c r="J2269" s="420"/>
      <c r="K2269" s="421">
        <f t="shared" si="588"/>
        <v>0</v>
      </c>
      <c r="L2269" s="647"/>
      <c r="M2269" s="723"/>
      <c r="N2269" s="576">
        <f t="shared" si="597"/>
        <v>0</v>
      </c>
      <c r="O2269" s="577">
        <f t="shared" si="591"/>
        <v>0</v>
      </c>
      <c r="P2269" s="578">
        <f t="shared" si="592"/>
        <v>0</v>
      </c>
      <c r="Q2269" s="765"/>
      <c r="R2269" s="723"/>
      <c r="S2269" s="723"/>
      <c r="T2269" s="577">
        <f t="shared" si="589"/>
        <v>0</v>
      </c>
      <c r="U2269" s="578">
        <f t="shared" si="590"/>
        <v>0</v>
      </c>
      <c r="V2269" s="579"/>
      <c r="W2269" s="566" t="str">
        <f>IF(U2264&gt;0,"xx",IF(P2264&gt;0,"xy",""))</f>
        <v/>
      </c>
      <c r="X2269" s="586" t="str">
        <f t="shared" si="577"/>
        <v/>
      </c>
      <c r="Y2269" s="586" t="str">
        <f t="shared" si="531"/>
        <v/>
      </c>
      <c r="Z2269" s="586" t="str">
        <f t="shared" si="583"/>
        <v/>
      </c>
    </row>
    <row r="2270" spans="1:26" ht="12" hidden="1" thickBot="1" x14ac:dyDescent="0.25">
      <c r="A2270" s="567" t="s">
        <v>120</v>
      </c>
      <c r="B2270" s="644" t="s">
        <v>120</v>
      </c>
      <c r="C2270" s="645" t="s">
        <v>206</v>
      </c>
      <c r="D2270" s="422" t="s">
        <v>407</v>
      </c>
      <c r="E2270" s="423"/>
      <c r="F2270" s="424"/>
      <c r="G2270" s="425"/>
      <c r="H2270" s="651">
        <f>SUM(H2271:H2275)</f>
        <v>1079.2374695200001</v>
      </c>
      <c r="I2270" s="420">
        <f>VLOOKUP(D2270,'[2]ENSAIOS DE ORÇAMENTO'!$C$3:$L$79,8,FALSE)</f>
        <v>2460.1564399999997</v>
      </c>
      <c r="J2270" s="420">
        <f>IF(ISBLANK(I2270),"",SUM(H2270:I2270))</f>
        <v>3539.3939095199999</v>
      </c>
      <c r="K2270" s="421">
        <f t="shared" si="588"/>
        <v>4205.1499999999996</v>
      </c>
      <c r="L2270" s="647" t="s">
        <v>21</v>
      </c>
      <c r="M2270" s="576"/>
      <c r="N2270" s="576">
        <f t="shared" si="597"/>
        <v>0</v>
      </c>
      <c r="O2270" s="577">
        <f t="shared" si="591"/>
        <v>0</v>
      </c>
      <c r="P2270" s="578">
        <f t="shared" si="592"/>
        <v>0</v>
      </c>
      <c r="Q2270" s="765"/>
      <c r="R2270" s="576">
        <f>M2270</f>
        <v>0</v>
      </c>
      <c r="S2270" s="576">
        <f>N2270</f>
        <v>0</v>
      </c>
      <c r="T2270" s="577">
        <f t="shared" si="589"/>
        <v>0</v>
      </c>
      <c r="U2270" s="578">
        <f t="shared" si="590"/>
        <v>0</v>
      </c>
      <c r="V2270" s="579"/>
      <c r="W2270" s="566"/>
      <c r="X2270" s="586" t="str">
        <f t="shared" si="577"/>
        <v/>
      </c>
      <c r="Y2270" s="586" t="str">
        <f t="shared" si="531"/>
        <v/>
      </c>
      <c r="Z2270" s="586" t="str">
        <f t="shared" si="583"/>
        <v/>
      </c>
    </row>
    <row r="2271" spans="1:26" ht="12" hidden="1" thickBot="1" x14ac:dyDescent="0.25">
      <c r="A2271" s="567" t="s">
        <v>168</v>
      </c>
      <c r="B2271" s="644" t="s">
        <v>168</v>
      </c>
      <c r="C2271" s="645"/>
      <c r="D2271" s="422" t="s">
        <v>212</v>
      </c>
      <c r="E2271" s="423"/>
      <c r="F2271" s="424">
        <v>500</v>
      </c>
      <c r="G2271" s="425">
        <f>VLOOKUP(D2270,'[2]ENSAIOS DE ORÇAMENTO'!$C$3:$L$79,4,FALSE)</f>
        <v>1.028964</v>
      </c>
      <c r="H2271" s="649">
        <f>IF(F2271&lt;=30,(0.78*F2271+7.82)*G2271,((0.78*30+7.82)+0.78*(F2271-30))*G2271)</f>
        <v>409.34245848000006</v>
      </c>
      <c r="I2271" s="420"/>
      <c r="J2271" s="420"/>
      <c r="K2271" s="421">
        <f t="shared" si="588"/>
        <v>0</v>
      </c>
      <c r="L2271" s="647"/>
      <c r="M2271" s="723"/>
      <c r="N2271" s="576">
        <f t="shared" si="597"/>
        <v>0</v>
      </c>
      <c r="O2271" s="577">
        <f t="shared" si="591"/>
        <v>0</v>
      </c>
      <c r="P2271" s="578">
        <f t="shared" si="592"/>
        <v>0</v>
      </c>
      <c r="Q2271" s="765"/>
      <c r="R2271" s="723"/>
      <c r="S2271" s="723"/>
      <c r="T2271" s="577">
        <f t="shared" si="589"/>
        <v>0</v>
      </c>
      <c r="U2271" s="578">
        <f t="shared" si="590"/>
        <v>0</v>
      </c>
      <c r="V2271" s="579"/>
      <c r="W2271" s="566" t="str">
        <f>IF(U2270&gt;0,"xx",IF(P2270&gt;0,"xy",""))</f>
        <v/>
      </c>
      <c r="X2271" s="586" t="str">
        <f t="shared" si="577"/>
        <v/>
      </c>
      <c r="Y2271" s="586" t="str">
        <f t="shared" si="531"/>
        <v/>
      </c>
      <c r="Z2271" s="586" t="str">
        <f t="shared" si="583"/>
        <v/>
      </c>
    </row>
    <row r="2272" spans="1:26" ht="12" hidden="1" thickBot="1" x14ac:dyDescent="0.25">
      <c r="A2272" s="567" t="s">
        <v>168</v>
      </c>
      <c r="B2272" s="644" t="s">
        <v>168</v>
      </c>
      <c r="C2272" s="645"/>
      <c r="D2272" s="422" t="s">
        <v>248</v>
      </c>
      <c r="E2272" s="423"/>
      <c r="F2272" s="424">
        <v>180</v>
      </c>
      <c r="G2272" s="425">
        <f>VLOOKUP(D2270,'[2]ENSAIOS DE ORÇAMENTO'!$C$3:$L$79,5,FALSE)</f>
        <v>2.9904099999999998</v>
      </c>
      <c r="H2272" s="663">
        <f t="shared" ref="H2272:H2274" si="599">IF(F2272&lt;=30,(1.07*F2272+2.68)*G2272,((1.07*30+2.68)+1.07*(F2272-30))*G2272)</f>
        <v>583.96726479999995</v>
      </c>
      <c r="I2272" s="420"/>
      <c r="J2272" s="420"/>
      <c r="K2272" s="421">
        <f t="shared" si="588"/>
        <v>0</v>
      </c>
      <c r="L2272" s="647"/>
      <c r="M2272" s="723"/>
      <c r="N2272" s="576">
        <f t="shared" si="597"/>
        <v>0</v>
      </c>
      <c r="O2272" s="577">
        <f t="shared" si="591"/>
        <v>0</v>
      </c>
      <c r="P2272" s="578">
        <f t="shared" si="592"/>
        <v>0</v>
      </c>
      <c r="Q2272" s="765"/>
      <c r="R2272" s="723"/>
      <c r="S2272" s="723"/>
      <c r="T2272" s="577">
        <f t="shared" si="589"/>
        <v>0</v>
      </c>
      <c r="U2272" s="578">
        <f t="shared" si="590"/>
        <v>0</v>
      </c>
      <c r="V2272" s="579"/>
      <c r="W2272" s="566" t="str">
        <f>IF(U2270&gt;0,"xx",IF(P2270&gt;0,"xy",""))</f>
        <v/>
      </c>
      <c r="X2272" s="586" t="str">
        <f t="shared" si="577"/>
        <v/>
      </c>
      <c r="Y2272" s="586" t="str">
        <f t="shared" si="531"/>
        <v/>
      </c>
      <c r="Z2272" s="586" t="str">
        <f t="shared" si="583"/>
        <v/>
      </c>
    </row>
    <row r="2273" spans="1:26" ht="12" hidden="1" thickBot="1" x14ac:dyDescent="0.25">
      <c r="A2273" s="567" t="s">
        <v>168</v>
      </c>
      <c r="B2273" s="644" t="s">
        <v>168</v>
      </c>
      <c r="C2273" s="645"/>
      <c r="D2273" s="422" t="s">
        <v>252</v>
      </c>
      <c r="E2273" s="423"/>
      <c r="F2273" s="424">
        <v>20</v>
      </c>
      <c r="G2273" s="425">
        <f>VLOOKUP(D2270,'[2]ENSAIOS DE ORÇAMENTO'!$C$3:$L$79,6,FALSE)</f>
        <v>3.5684279999999999</v>
      </c>
      <c r="H2273" s="663">
        <f t="shared" si="599"/>
        <v>85.927746240000005</v>
      </c>
      <c r="I2273" s="420"/>
      <c r="J2273" s="420"/>
      <c r="K2273" s="421">
        <f t="shared" si="588"/>
        <v>0</v>
      </c>
      <c r="L2273" s="647"/>
      <c r="M2273" s="723"/>
      <c r="N2273" s="576">
        <f t="shared" si="597"/>
        <v>0</v>
      </c>
      <c r="O2273" s="577">
        <f t="shared" si="591"/>
        <v>0</v>
      </c>
      <c r="P2273" s="578">
        <f t="shared" si="592"/>
        <v>0</v>
      </c>
      <c r="Q2273" s="765"/>
      <c r="R2273" s="723"/>
      <c r="S2273" s="723"/>
      <c r="T2273" s="577">
        <f t="shared" si="589"/>
        <v>0</v>
      </c>
      <c r="U2273" s="578">
        <f t="shared" si="590"/>
        <v>0</v>
      </c>
      <c r="V2273" s="579"/>
      <c r="W2273" s="566" t="str">
        <f>IF(U2270&gt;0,"xx",IF(P2270&gt;0,"xy",""))</f>
        <v/>
      </c>
      <c r="X2273" s="586" t="str">
        <f t="shared" si="577"/>
        <v/>
      </c>
      <c r="Y2273" s="586" t="str">
        <f t="shared" si="531"/>
        <v/>
      </c>
      <c r="Z2273" s="586" t="str">
        <f t="shared" si="583"/>
        <v/>
      </c>
    </row>
    <row r="2274" spans="1:26" ht="12" hidden="1" thickBot="1" x14ac:dyDescent="0.25">
      <c r="A2274" s="567" t="s">
        <v>168</v>
      </c>
      <c r="B2274" s="644" t="s">
        <v>168</v>
      </c>
      <c r="C2274" s="645"/>
      <c r="D2274" s="422" t="s">
        <v>400</v>
      </c>
      <c r="E2274" s="423"/>
      <c r="F2274" s="424">
        <v>30</v>
      </c>
      <c r="G2274" s="425">
        <f>VLOOKUP(D2270,'[2]ENSAIOS DE ORÇAMENTO'!$C$3:$L$79,3,FALSE)</f>
        <v>0</v>
      </c>
      <c r="H2274" s="663">
        <f t="shared" si="599"/>
        <v>0</v>
      </c>
      <c r="I2274" s="420"/>
      <c r="J2274" s="420"/>
      <c r="K2274" s="421">
        <f t="shared" si="588"/>
        <v>0</v>
      </c>
      <c r="L2274" s="647"/>
      <c r="M2274" s="723"/>
      <c r="N2274" s="576">
        <f t="shared" si="597"/>
        <v>0</v>
      </c>
      <c r="O2274" s="577">
        <f t="shared" si="591"/>
        <v>0</v>
      </c>
      <c r="P2274" s="578">
        <f t="shared" si="592"/>
        <v>0</v>
      </c>
      <c r="Q2274" s="765"/>
      <c r="R2274" s="723"/>
      <c r="S2274" s="723"/>
      <c r="T2274" s="577">
        <f t="shared" si="589"/>
        <v>0</v>
      </c>
      <c r="U2274" s="578">
        <f t="shared" si="590"/>
        <v>0</v>
      </c>
      <c r="V2274" s="579"/>
      <c r="W2274" s="566" t="str">
        <f>IF(U2270&gt;0,"xx",IF(P2270&gt;0,"xy",""))</f>
        <v/>
      </c>
      <c r="X2274" s="586" t="str">
        <f t="shared" si="577"/>
        <v/>
      </c>
      <c r="Y2274" s="586" t="str">
        <f t="shared" si="531"/>
        <v/>
      </c>
      <c r="Z2274" s="586" t="str">
        <f t="shared" si="583"/>
        <v/>
      </c>
    </row>
    <row r="2275" spans="1:26" ht="12" hidden="1" thickBot="1" x14ac:dyDescent="0.25">
      <c r="A2275" s="567" t="s">
        <v>168</v>
      </c>
      <c r="B2275" s="644" t="s">
        <v>168</v>
      </c>
      <c r="C2275" s="645"/>
      <c r="D2275" s="422" t="s">
        <v>401</v>
      </c>
      <c r="E2275" s="423"/>
      <c r="F2275" s="424">
        <v>500</v>
      </c>
      <c r="G2275" s="425">
        <f>VLOOKUP(D2270,'[2]ENSAIOS DE ORÇAMENTO'!$C$3:$L$79,10,FALSE)</f>
        <v>0</v>
      </c>
      <c r="H2275" s="649">
        <f>IF(F2275&lt;=30,(0.78*F2275+7.82)*G2275,((0.78*30+7.82)+0.78*(F2275-30))*G2275)</f>
        <v>0</v>
      </c>
      <c r="I2275" s="420"/>
      <c r="J2275" s="420"/>
      <c r="K2275" s="421">
        <f t="shared" si="588"/>
        <v>0</v>
      </c>
      <c r="L2275" s="647"/>
      <c r="M2275" s="723"/>
      <c r="N2275" s="576">
        <f t="shared" si="597"/>
        <v>0</v>
      </c>
      <c r="O2275" s="577">
        <f t="shared" si="591"/>
        <v>0</v>
      </c>
      <c r="P2275" s="578">
        <f t="shared" si="592"/>
        <v>0</v>
      </c>
      <c r="Q2275" s="765"/>
      <c r="R2275" s="723"/>
      <c r="S2275" s="723"/>
      <c r="T2275" s="577">
        <f t="shared" si="589"/>
        <v>0</v>
      </c>
      <c r="U2275" s="578">
        <f t="shared" si="590"/>
        <v>0</v>
      </c>
      <c r="V2275" s="579"/>
      <c r="W2275" s="566" t="str">
        <f>IF(U2270&gt;0,"xx",IF(P2270&gt;0,"xy",""))</f>
        <v/>
      </c>
      <c r="X2275" s="586" t="str">
        <f t="shared" si="577"/>
        <v/>
      </c>
      <c r="Y2275" s="586" t="str">
        <f t="shared" si="531"/>
        <v/>
      </c>
      <c r="Z2275" s="586" t="str">
        <f t="shared" si="583"/>
        <v/>
      </c>
    </row>
    <row r="2276" spans="1:26" ht="12" hidden="1" thickBot="1" x14ac:dyDescent="0.25">
      <c r="A2276" s="567" t="s">
        <v>121</v>
      </c>
      <c r="B2276" s="644" t="s">
        <v>121</v>
      </c>
      <c r="C2276" s="645" t="s">
        <v>206</v>
      </c>
      <c r="D2276" s="422" t="s">
        <v>408</v>
      </c>
      <c r="E2276" s="423"/>
      <c r="F2276" s="424"/>
      <c r="G2276" s="425"/>
      <c r="H2276" s="651">
        <f>SUM(H2277:H2281)</f>
        <v>1425.8841687999998</v>
      </c>
      <c r="I2276" s="420">
        <f>VLOOKUP(D2276,'[2]ENSAIOS DE ORÇAMENTO'!$C$3:$L$79,8,FALSE)</f>
        <v>3023.7116399999995</v>
      </c>
      <c r="J2276" s="420">
        <f>IF(ISBLANK(I2276),"",SUM(H2276:I2276))</f>
        <v>4449.5958087999988</v>
      </c>
      <c r="K2276" s="421">
        <f t="shared" si="588"/>
        <v>5286.56</v>
      </c>
      <c r="L2276" s="647" t="s">
        <v>21</v>
      </c>
      <c r="M2276" s="576"/>
      <c r="N2276" s="576">
        <f t="shared" si="597"/>
        <v>0</v>
      </c>
      <c r="O2276" s="577">
        <f t="shared" si="591"/>
        <v>0</v>
      </c>
      <c r="P2276" s="578">
        <f t="shared" si="592"/>
        <v>0</v>
      </c>
      <c r="Q2276" s="765"/>
      <c r="R2276" s="576">
        <f>M2276</f>
        <v>0</v>
      </c>
      <c r="S2276" s="576">
        <f>N2276</f>
        <v>0</v>
      </c>
      <c r="T2276" s="577">
        <f t="shared" si="589"/>
        <v>0</v>
      </c>
      <c r="U2276" s="578">
        <f t="shared" si="590"/>
        <v>0</v>
      </c>
      <c r="V2276" s="579"/>
      <c r="W2276" s="566"/>
      <c r="X2276" s="586" t="str">
        <f t="shared" si="577"/>
        <v/>
      </c>
      <c r="Y2276" s="586" t="str">
        <f t="shared" si="531"/>
        <v/>
      </c>
      <c r="Z2276" s="586" t="str">
        <f t="shared" si="583"/>
        <v/>
      </c>
    </row>
    <row r="2277" spans="1:26" ht="12" hidden="1" thickBot="1" x14ac:dyDescent="0.25">
      <c r="A2277" s="567" t="s">
        <v>168</v>
      </c>
      <c r="B2277" s="644" t="s">
        <v>168</v>
      </c>
      <c r="C2277" s="645"/>
      <c r="D2277" s="422" t="s">
        <v>212</v>
      </c>
      <c r="E2277" s="423"/>
      <c r="F2277" s="424">
        <v>500</v>
      </c>
      <c r="G2277" s="425">
        <f>VLOOKUP(D2276,'[2]ENSAIOS DE ORÇAMENTO'!$C$3:$L$79,4,FALSE)</f>
        <v>1.3675439999999999</v>
      </c>
      <c r="H2277" s="649">
        <f>IF(F2277&lt;=30,(0.78*F2277+7.82)*G2277,((0.78*30+7.82)+0.78*(F2277-30))*G2277)</f>
        <v>544.03635408000002</v>
      </c>
      <c r="I2277" s="420"/>
      <c r="J2277" s="420"/>
      <c r="K2277" s="421">
        <f t="shared" si="588"/>
        <v>0</v>
      </c>
      <c r="L2277" s="647"/>
      <c r="M2277" s="723"/>
      <c r="N2277" s="576">
        <f t="shared" si="597"/>
        <v>0</v>
      </c>
      <c r="O2277" s="577">
        <f t="shared" si="591"/>
        <v>0</v>
      </c>
      <c r="P2277" s="578">
        <f t="shared" si="592"/>
        <v>0</v>
      </c>
      <c r="Q2277" s="765"/>
      <c r="R2277" s="723"/>
      <c r="S2277" s="723"/>
      <c r="T2277" s="577">
        <f t="shared" si="589"/>
        <v>0</v>
      </c>
      <c r="U2277" s="578">
        <f t="shared" si="590"/>
        <v>0</v>
      </c>
      <c r="V2277" s="579"/>
      <c r="W2277" s="566" t="str">
        <f>IF(U2276&gt;0,"xx",IF(P2276&gt;0,"xy",""))</f>
        <v/>
      </c>
      <c r="X2277" s="586" t="str">
        <f t="shared" si="577"/>
        <v/>
      </c>
      <c r="Y2277" s="586" t="str">
        <f t="shared" si="531"/>
        <v/>
      </c>
      <c r="Z2277" s="586" t="str">
        <f t="shared" si="583"/>
        <v/>
      </c>
    </row>
    <row r="2278" spans="1:26" ht="12" hidden="1" thickBot="1" x14ac:dyDescent="0.25">
      <c r="A2278" s="567" t="s">
        <v>168</v>
      </c>
      <c r="B2278" s="644" t="s">
        <v>168</v>
      </c>
      <c r="C2278" s="645"/>
      <c r="D2278" s="422" t="s">
        <v>248</v>
      </c>
      <c r="E2278" s="423"/>
      <c r="F2278" s="424">
        <v>180</v>
      </c>
      <c r="G2278" s="425">
        <f>VLOOKUP(D2276,'[2]ENSAIOS DE ORÇAMENTO'!$C$3:$L$79,5,FALSE)</f>
        <v>3.9353559999999996</v>
      </c>
      <c r="H2278" s="663">
        <f t="shared" ref="H2278:H2280" si="600">IF(F2278&lt;=30,(1.07*F2278+2.68)*G2278,((1.07*30+2.68)+1.07*(F2278-30))*G2278)</f>
        <v>768.49631967999994</v>
      </c>
      <c r="I2278" s="420"/>
      <c r="J2278" s="420"/>
      <c r="K2278" s="421">
        <f t="shared" si="588"/>
        <v>0</v>
      </c>
      <c r="L2278" s="647"/>
      <c r="M2278" s="723"/>
      <c r="N2278" s="576">
        <f t="shared" si="597"/>
        <v>0</v>
      </c>
      <c r="O2278" s="577">
        <f t="shared" si="591"/>
        <v>0</v>
      </c>
      <c r="P2278" s="578">
        <f t="shared" si="592"/>
        <v>0</v>
      </c>
      <c r="Q2278" s="765"/>
      <c r="R2278" s="723"/>
      <c r="S2278" s="723"/>
      <c r="T2278" s="577">
        <f t="shared" si="589"/>
        <v>0</v>
      </c>
      <c r="U2278" s="578">
        <f t="shared" si="590"/>
        <v>0</v>
      </c>
      <c r="V2278" s="579"/>
      <c r="W2278" s="566" t="str">
        <f>IF(U2276&gt;0,"xx",IF(P2276&gt;0,"xy",""))</f>
        <v/>
      </c>
      <c r="X2278" s="586" t="str">
        <f t="shared" ref="X2278:X2346" si="601">IF(W2278="X","x",IF(W2278="xx","x",IF(W2278="xy","x",IF(W2278="y","x",IF(OR(P2278&gt;0,U2278&gt;0),"x","")))))</f>
        <v/>
      </c>
      <c r="Y2278" s="586" t="str">
        <f t="shared" si="531"/>
        <v/>
      </c>
      <c r="Z2278" s="586" t="str">
        <f t="shared" si="583"/>
        <v/>
      </c>
    </row>
    <row r="2279" spans="1:26" ht="12" hidden="1" thickBot="1" x14ac:dyDescent="0.25">
      <c r="A2279" s="567" t="s">
        <v>168</v>
      </c>
      <c r="B2279" s="644" t="s">
        <v>168</v>
      </c>
      <c r="C2279" s="645"/>
      <c r="D2279" s="422" t="s">
        <v>252</v>
      </c>
      <c r="E2279" s="423"/>
      <c r="F2279" s="424">
        <v>20</v>
      </c>
      <c r="G2279" s="425">
        <f>VLOOKUP(D2276,'[2]ENSAIOS DE ORÇAMENTO'!$C$3:$L$79,6,FALSE)</f>
        <v>4.7072880000000001</v>
      </c>
      <c r="H2279" s="663">
        <f t="shared" si="600"/>
        <v>113.35149504000002</v>
      </c>
      <c r="I2279" s="420"/>
      <c r="J2279" s="420"/>
      <c r="K2279" s="421">
        <f t="shared" si="588"/>
        <v>0</v>
      </c>
      <c r="L2279" s="647"/>
      <c r="M2279" s="723"/>
      <c r="N2279" s="576">
        <f t="shared" si="597"/>
        <v>0</v>
      </c>
      <c r="O2279" s="577">
        <f t="shared" si="591"/>
        <v>0</v>
      </c>
      <c r="P2279" s="578">
        <f t="shared" si="592"/>
        <v>0</v>
      </c>
      <c r="Q2279" s="765"/>
      <c r="R2279" s="723"/>
      <c r="S2279" s="723"/>
      <c r="T2279" s="577">
        <f t="shared" si="589"/>
        <v>0</v>
      </c>
      <c r="U2279" s="578">
        <f t="shared" si="590"/>
        <v>0</v>
      </c>
      <c r="V2279" s="579"/>
      <c r="W2279" s="566" t="str">
        <f>IF(U2276&gt;0,"xx",IF(P2276&gt;0,"xy",""))</f>
        <v/>
      </c>
      <c r="X2279" s="586" t="str">
        <f t="shared" si="601"/>
        <v/>
      </c>
      <c r="Y2279" s="586" t="str">
        <f t="shared" si="531"/>
        <v/>
      </c>
      <c r="Z2279" s="586" t="str">
        <f t="shared" si="583"/>
        <v/>
      </c>
    </row>
    <row r="2280" spans="1:26" ht="12" hidden="1" thickBot="1" x14ac:dyDescent="0.25">
      <c r="A2280" s="567" t="s">
        <v>168</v>
      </c>
      <c r="B2280" s="644" t="s">
        <v>168</v>
      </c>
      <c r="C2280" s="645"/>
      <c r="D2280" s="422" t="s">
        <v>400</v>
      </c>
      <c r="E2280" s="423"/>
      <c r="F2280" s="424">
        <v>30</v>
      </c>
      <c r="G2280" s="425">
        <f>VLOOKUP(D2276,'[2]ENSAIOS DE ORÇAMENTO'!$C$3:$L$79,3,FALSE)</f>
        <v>0</v>
      </c>
      <c r="H2280" s="663">
        <f t="shared" si="600"/>
        <v>0</v>
      </c>
      <c r="I2280" s="420"/>
      <c r="J2280" s="420"/>
      <c r="K2280" s="421">
        <f t="shared" si="588"/>
        <v>0</v>
      </c>
      <c r="L2280" s="647"/>
      <c r="M2280" s="723"/>
      <c r="N2280" s="576">
        <f t="shared" si="597"/>
        <v>0</v>
      </c>
      <c r="O2280" s="577">
        <f t="shared" si="591"/>
        <v>0</v>
      </c>
      <c r="P2280" s="578">
        <f t="shared" si="592"/>
        <v>0</v>
      </c>
      <c r="Q2280" s="765"/>
      <c r="R2280" s="723"/>
      <c r="S2280" s="723"/>
      <c r="T2280" s="577">
        <f t="shared" si="589"/>
        <v>0</v>
      </c>
      <c r="U2280" s="578">
        <f t="shared" si="590"/>
        <v>0</v>
      </c>
      <c r="V2280" s="579"/>
      <c r="W2280" s="566" t="str">
        <f>IF(U2276&gt;0,"xx",IF(P2276&gt;0,"xy",""))</f>
        <v/>
      </c>
      <c r="X2280" s="586" t="str">
        <f t="shared" si="601"/>
        <v/>
      </c>
      <c r="Y2280" s="586" t="str">
        <f t="shared" si="531"/>
        <v/>
      </c>
      <c r="Z2280" s="586" t="str">
        <f t="shared" ref="Z2280:Z2343" si="602">IF(W2280="X","x",IF(U2280&gt;0,"x",""))</f>
        <v/>
      </c>
    </row>
    <row r="2281" spans="1:26" ht="12" hidden="1" thickBot="1" x14ac:dyDescent="0.25">
      <c r="A2281" s="567" t="s">
        <v>168</v>
      </c>
      <c r="B2281" s="644" t="s">
        <v>168</v>
      </c>
      <c r="C2281" s="645"/>
      <c r="D2281" s="422" t="s">
        <v>401</v>
      </c>
      <c r="E2281" s="423"/>
      <c r="F2281" s="424">
        <v>500</v>
      </c>
      <c r="G2281" s="425">
        <f>VLOOKUP(D2276,'[2]ENSAIOS DE ORÇAMENTO'!$C$3:$L$79,10,FALSE)</f>
        <v>0</v>
      </c>
      <c r="H2281" s="649">
        <f>IF(F2281&lt;=30,(0.78*F2281+7.82)*G2281,((0.78*30+7.82)+0.78*(F2281-30))*G2281)</f>
        <v>0</v>
      </c>
      <c r="I2281" s="420"/>
      <c r="J2281" s="420"/>
      <c r="K2281" s="421">
        <f t="shared" si="588"/>
        <v>0</v>
      </c>
      <c r="L2281" s="647"/>
      <c r="M2281" s="723"/>
      <c r="N2281" s="576">
        <f t="shared" si="597"/>
        <v>0</v>
      </c>
      <c r="O2281" s="577">
        <f t="shared" si="591"/>
        <v>0</v>
      </c>
      <c r="P2281" s="578">
        <f t="shared" si="592"/>
        <v>0</v>
      </c>
      <c r="Q2281" s="765"/>
      <c r="R2281" s="723"/>
      <c r="S2281" s="723"/>
      <c r="T2281" s="577">
        <f t="shared" si="589"/>
        <v>0</v>
      </c>
      <c r="U2281" s="578">
        <f t="shared" si="590"/>
        <v>0</v>
      </c>
      <c r="V2281" s="579"/>
      <c r="W2281" s="566" t="str">
        <f>IF(U2276&gt;0,"xx",IF(P2276&gt;0,"xy",""))</f>
        <v/>
      </c>
      <c r="X2281" s="586" t="str">
        <f t="shared" si="601"/>
        <v/>
      </c>
      <c r="Y2281" s="586" t="str">
        <f t="shared" si="531"/>
        <v/>
      </c>
      <c r="Z2281" s="586" t="str">
        <f t="shared" si="602"/>
        <v/>
      </c>
    </row>
    <row r="2282" spans="1:26" ht="12" hidden="1" thickBot="1" x14ac:dyDescent="0.25">
      <c r="A2282" s="567" t="s">
        <v>122</v>
      </c>
      <c r="B2282" s="644" t="s">
        <v>122</v>
      </c>
      <c r="C2282" s="645" t="s">
        <v>206</v>
      </c>
      <c r="D2282" s="422" t="s">
        <v>409</v>
      </c>
      <c r="E2282" s="423"/>
      <c r="F2282" s="424"/>
      <c r="G2282" s="425"/>
      <c r="H2282" s="651">
        <f>SUM(H2283:H2287)</f>
        <v>1778.9502513999998</v>
      </c>
      <c r="I2282" s="420">
        <f>VLOOKUP(D2282,'[2]ENSAIOS DE ORÇAMENTO'!$C$3:$L$79,8,FALSE)</f>
        <v>3596.5333299999993</v>
      </c>
      <c r="J2282" s="420">
        <f>IF(ISBLANK(I2282),"",SUM(H2282:I2282))</f>
        <v>5375.4835813999989</v>
      </c>
      <c r="K2282" s="421">
        <f t="shared" si="588"/>
        <v>6386.61</v>
      </c>
      <c r="L2282" s="647" t="s">
        <v>21</v>
      </c>
      <c r="M2282" s="576"/>
      <c r="N2282" s="576">
        <f t="shared" si="597"/>
        <v>0</v>
      </c>
      <c r="O2282" s="577">
        <f t="shared" si="591"/>
        <v>0</v>
      </c>
      <c r="P2282" s="578">
        <f t="shared" si="592"/>
        <v>0</v>
      </c>
      <c r="Q2282" s="765"/>
      <c r="R2282" s="576">
        <f>M2282</f>
        <v>0</v>
      </c>
      <c r="S2282" s="576">
        <f>N2282</f>
        <v>0</v>
      </c>
      <c r="T2282" s="577">
        <f t="shared" si="589"/>
        <v>0</v>
      </c>
      <c r="U2282" s="578">
        <f t="shared" si="590"/>
        <v>0</v>
      </c>
      <c r="V2282" s="579"/>
      <c r="W2282" s="566"/>
      <c r="X2282" s="586" t="str">
        <f t="shared" si="601"/>
        <v/>
      </c>
      <c r="Y2282" s="586" t="str">
        <f t="shared" si="531"/>
        <v/>
      </c>
      <c r="Z2282" s="586" t="str">
        <f t="shared" si="602"/>
        <v/>
      </c>
    </row>
    <row r="2283" spans="1:26" ht="12" hidden="1" thickBot="1" x14ac:dyDescent="0.25">
      <c r="A2283" s="567" t="s">
        <v>168</v>
      </c>
      <c r="B2283" s="644" t="s">
        <v>168</v>
      </c>
      <c r="C2283" s="645"/>
      <c r="D2283" s="422" t="s">
        <v>212</v>
      </c>
      <c r="E2283" s="423"/>
      <c r="F2283" s="424">
        <v>500</v>
      </c>
      <c r="G2283" s="425">
        <f>VLOOKUP(D2282,'[2]ENSAIOS DE ORÇAMENTO'!$C$3:$L$79,4,FALSE)</f>
        <v>1.7123939999999997</v>
      </c>
      <c r="H2283" s="649">
        <f>IF(F2283&lt;=30,(0.78*F2283+7.82)*G2283,((0.78*30+7.82)+0.78*(F2283-30))*G2283)</f>
        <v>681.22458108000001</v>
      </c>
      <c r="I2283" s="420"/>
      <c r="J2283" s="420"/>
      <c r="K2283" s="421">
        <f t="shared" si="588"/>
        <v>0</v>
      </c>
      <c r="L2283" s="647"/>
      <c r="M2283" s="723"/>
      <c r="N2283" s="576">
        <f t="shared" si="597"/>
        <v>0</v>
      </c>
      <c r="O2283" s="577">
        <f t="shared" si="591"/>
        <v>0</v>
      </c>
      <c r="P2283" s="578">
        <f t="shared" si="592"/>
        <v>0</v>
      </c>
      <c r="Q2283" s="765"/>
      <c r="R2283" s="723"/>
      <c r="S2283" s="723"/>
      <c r="T2283" s="577">
        <f t="shared" si="589"/>
        <v>0</v>
      </c>
      <c r="U2283" s="578">
        <f t="shared" si="590"/>
        <v>0</v>
      </c>
      <c r="V2283" s="579"/>
      <c r="W2283" s="566" t="str">
        <f>IF(U2282&gt;0,"xx",IF(P2282&gt;0,"xy",""))</f>
        <v/>
      </c>
      <c r="X2283" s="586" t="str">
        <f t="shared" si="601"/>
        <v/>
      </c>
      <c r="Y2283" s="586" t="str">
        <f t="shared" si="531"/>
        <v/>
      </c>
      <c r="Z2283" s="586" t="str">
        <f t="shared" si="602"/>
        <v/>
      </c>
    </row>
    <row r="2284" spans="1:26" ht="12" hidden="1" thickBot="1" x14ac:dyDescent="0.25">
      <c r="A2284" s="567" t="s">
        <v>168</v>
      </c>
      <c r="B2284" s="644" t="s">
        <v>168</v>
      </c>
      <c r="C2284" s="645"/>
      <c r="D2284" s="422" t="s">
        <v>248</v>
      </c>
      <c r="E2284" s="423"/>
      <c r="F2284" s="424">
        <v>180</v>
      </c>
      <c r="G2284" s="425">
        <f>VLOOKUP(D2282,'[2]ENSAIOS DE ORÇAMENTO'!$C$3:$L$79,5,FALSE)</f>
        <v>4.8978009999999994</v>
      </c>
      <c r="H2284" s="663">
        <f t="shared" ref="H2284:H2286" si="603">IF(F2284&lt;=30,(1.07*F2284+2.68)*G2284,((1.07*30+2.68)+1.07*(F2284-30))*G2284)</f>
        <v>956.4425792799999</v>
      </c>
      <c r="I2284" s="420"/>
      <c r="J2284" s="420"/>
      <c r="K2284" s="421">
        <f t="shared" si="588"/>
        <v>0</v>
      </c>
      <c r="L2284" s="647"/>
      <c r="M2284" s="723"/>
      <c r="N2284" s="576">
        <f t="shared" si="597"/>
        <v>0</v>
      </c>
      <c r="O2284" s="577">
        <f t="shared" si="591"/>
        <v>0</v>
      </c>
      <c r="P2284" s="578">
        <f t="shared" si="592"/>
        <v>0</v>
      </c>
      <c r="Q2284" s="765"/>
      <c r="R2284" s="723"/>
      <c r="S2284" s="723"/>
      <c r="T2284" s="577">
        <f t="shared" si="589"/>
        <v>0</v>
      </c>
      <c r="U2284" s="578">
        <f t="shared" si="590"/>
        <v>0</v>
      </c>
      <c r="V2284" s="579"/>
      <c r="W2284" s="566" t="str">
        <f>IF(U2282&gt;0,"xx",IF(P2282&gt;0,"xy",""))</f>
        <v/>
      </c>
      <c r="X2284" s="586" t="str">
        <f t="shared" si="601"/>
        <v/>
      </c>
      <c r="Y2284" s="586" t="str">
        <f t="shared" si="531"/>
        <v/>
      </c>
      <c r="Z2284" s="586" t="str">
        <f t="shared" si="602"/>
        <v/>
      </c>
    </row>
    <row r="2285" spans="1:26" ht="12" hidden="1" thickBot="1" x14ac:dyDescent="0.25">
      <c r="A2285" s="567" t="s">
        <v>168</v>
      </c>
      <c r="B2285" s="644" t="s">
        <v>168</v>
      </c>
      <c r="C2285" s="645"/>
      <c r="D2285" s="422" t="s">
        <v>252</v>
      </c>
      <c r="E2285" s="423"/>
      <c r="F2285" s="424">
        <v>20</v>
      </c>
      <c r="G2285" s="425">
        <f>VLOOKUP(D2282,'[2]ENSAIOS DE ORÇAMENTO'!$C$3:$L$79,6,FALSE)</f>
        <v>5.8672380000000004</v>
      </c>
      <c r="H2285" s="663">
        <f t="shared" si="603"/>
        <v>141.28309104000002</v>
      </c>
      <c r="I2285" s="420"/>
      <c r="J2285" s="420"/>
      <c r="K2285" s="421">
        <f t="shared" si="588"/>
        <v>0</v>
      </c>
      <c r="L2285" s="647"/>
      <c r="M2285" s="723"/>
      <c r="N2285" s="576">
        <f t="shared" si="597"/>
        <v>0</v>
      </c>
      <c r="O2285" s="577">
        <f t="shared" si="591"/>
        <v>0</v>
      </c>
      <c r="P2285" s="578">
        <f t="shared" si="592"/>
        <v>0</v>
      </c>
      <c r="Q2285" s="765"/>
      <c r="R2285" s="723"/>
      <c r="S2285" s="723"/>
      <c r="T2285" s="577">
        <f t="shared" si="589"/>
        <v>0</v>
      </c>
      <c r="U2285" s="578">
        <f t="shared" si="590"/>
        <v>0</v>
      </c>
      <c r="V2285" s="579"/>
      <c r="W2285" s="566" t="str">
        <f>IF(U2282&gt;0,"xx",IF(P2282&gt;0,"xy",""))</f>
        <v/>
      </c>
      <c r="X2285" s="586" t="str">
        <f t="shared" si="601"/>
        <v/>
      </c>
      <c r="Y2285" s="586" t="str">
        <f t="shared" si="531"/>
        <v/>
      </c>
      <c r="Z2285" s="586" t="str">
        <f t="shared" si="602"/>
        <v/>
      </c>
    </row>
    <row r="2286" spans="1:26" ht="12" hidden="1" thickBot="1" x14ac:dyDescent="0.25">
      <c r="A2286" s="567" t="s">
        <v>168</v>
      </c>
      <c r="B2286" s="644" t="s">
        <v>168</v>
      </c>
      <c r="C2286" s="645"/>
      <c r="D2286" s="422" t="s">
        <v>400</v>
      </c>
      <c r="E2286" s="423"/>
      <c r="F2286" s="424">
        <v>30</v>
      </c>
      <c r="G2286" s="425">
        <f>VLOOKUP(D2282,'[2]ENSAIOS DE ORÇAMENTO'!$C$3:$L$79,3,FALSE)</f>
        <v>0</v>
      </c>
      <c r="H2286" s="663">
        <f t="shared" si="603"/>
        <v>0</v>
      </c>
      <c r="I2286" s="420"/>
      <c r="J2286" s="420"/>
      <c r="K2286" s="421">
        <f t="shared" si="588"/>
        <v>0</v>
      </c>
      <c r="L2286" s="647"/>
      <c r="M2286" s="723"/>
      <c r="N2286" s="576">
        <f t="shared" si="597"/>
        <v>0</v>
      </c>
      <c r="O2286" s="577">
        <f t="shared" si="591"/>
        <v>0</v>
      </c>
      <c r="P2286" s="578">
        <f t="shared" si="592"/>
        <v>0</v>
      </c>
      <c r="Q2286" s="765"/>
      <c r="R2286" s="723"/>
      <c r="S2286" s="723"/>
      <c r="T2286" s="577">
        <f t="shared" si="589"/>
        <v>0</v>
      </c>
      <c r="U2286" s="578">
        <f t="shared" si="590"/>
        <v>0</v>
      </c>
      <c r="V2286" s="579"/>
      <c r="W2286" s="566" t="str">
        <f>IF(U2282&gt;0,"xx",IF(P2282&gt;0,"xy",""))</f>
        <v/>
      </c>
      <c r="X2286" s="586" t="str">
        <f t="shared" si="601"/>
        <v/>
      </c>
      <c r="Y2286" s="586" t="str">
        <f t="shared" si="531"/>
        <v/>
      </c>
      <c r="Z2286" s="586" t="str">
        <f t="shared" si="602"/>
        <v/>
      </c>
    </row>
    <row r="2287" spans="1:26" ht="12" hidden="1" thickBot="1" x14ac:dyDescent="0.25">
      <c r="A2287" s="567" t="s">
        <v>168</v>
      </c>
      <c r="B2287" s="644" t="s">
        <v>168</v>
      </c>
      <c r="C2287" s="645"/>
      <c r="D2287" s="422" t="s">
        <v>401</v>
      </c>
      <c r="E2287" s="423"/>
      <c r="F2287" s="424">
        <v>500</v>
      </c>
      <c r="G2287" s="425">
        <f>VLOOKUP(D2282,'[2]ENSAIOS DE ORÇAMENTO'!$C$3:$L$79,10,FALSE)</f>
        <v>0</v>
      </c>
      <c r="H2287" s="649">
        <f>IF(F2287&lt;=30,(0.78*F2287+7.82)*G2287,((0.78*30+7.82)+0.78*(F2287-30))*G2287)</f>
        <v>0</v>
      </c>
      <c r="I2287" s="420"/>
      <c r="J2287" s="420"/>
      <c r="K2287" s="421">
        <f t="shared" si="588"/>
        <v>0</v>
      </c>
      <c r="L2287" s="647"/>
      <c r="M2287" s="723"/>
      <c r="N2287" s="576">
        <f t="shared" si="597"/>
        <v>0</v>
      </c>
      <c r="O2287" s="577">
        <f t="shared" si="591"/>
        <v>0</v>
      </c>
      <c r="P2287" s="578">
        <f t="shared" si="592"/>
        <v>0</v>
      </c>
      <c r="Q2287" s="765"/>
      <c r="R2287" s="723"/>
      <c r="S2287" s="723"/>
      <c r="T2287" s="577">
        <f t="shared" si="589"/>
        <v>0</v>
      </c>
      <c r="U2287" s="578">
        <f t="shared" si="590"/>
        <v>0</v>
      </c>
      <c r="V2287" s="579"/>
      <c r="W2287" s="566" t="str">
        <f>IF(U2282&gt;0,"xx",IF(P2282&gt;0,"xy",""))</f>
        <v/>
      </c>
      <c r="X2287" s="586" t="str">
        <f t="shared" si="601"/>
        <v/>
      </c>
      <c r="Y2287" s="586" t="str">
        <f t="shared" si="531"/>
        <v/>
      </c>
      <c r="Z2287" s="586" t="str">
        <f t="shared" si="602"/>
        <v/>
      </c>
    </row>
    <row r="2288" spans="1:26" ht="12" hidden="1" thickBot="1" x14ac:dyDescent="0.25">
      <c r="A2288" s="567" t="s">
        <v>34</v>
      </c>
      <c r="B2288" s="644" t="s">
        <v>34</v>
      </c>
      <c r="C2288" s="645" t="s">
        <v>206</v>
      </c>
      <c r="D2288" s="422" t="s">
        <v>112</v>
      </c>
      <c r="E2288" s="423"/>
      <c r="F2288" s="424"/>
      <c r="G2288" s="425"/>
      <c r="H2288" s="651">
        <f>SUM(H2289:H2293)</f>
        <v>411.23106836000005</v>
      </c>
      <c r="I2288" s="420">
        <f>VLOOKUP(D2288,'[2]ENSAIOS DE ORÇAMENTO'!$C$3:$L$79,8,FALSE)</f>
        <v>3513.1233299999994</v>
      </c>
      <c r="J2288" s="420">
        <f>IF(ISBLANK(I2288),"",SUM(H2288:I2288))</f>
        <v>3924.3543983599993</v>
      </c>
      <c r="K2288" s="421">
        <f t="shared" si="588"/>
        <v>4662.53</v>
      </c>
      <c r="L2288" s="647" t="s">
        <v>21</v>
      </c>
      <c r="M2288" s="576"/>
      <c r="N2288" s="576">
        <f t="shared" si="597"/>
        <v>0</v>
      </c>
      <c r="O2288" s="577">
        <f t="shared" si="591"/>
        <v>0</v>
      </c>
      <c r="P2288" s="578">
        <f t="shared" si="592"/>
        <v>0</v>
      </c>
      <c r="Q2288" s="765"/>
      <c r="R2288" s="576">
        <f>M2288</f>
        <v>0</v>
      </c>
      <c r="S2288" s="576">
        <f>N2288</f>
        <v>0</v>
      </c>
      <c r="T2288" s="577">
        <f t="shared" si="589"/>
        <v>0</v>
      </c>
      <c r="U2288" s="578">
        <f t="shared" si="590"/>
        <v>0</v>
      </c>
      <c r="V2288" s="579"/>
      <c r="W2288" s="566"/>
      <c r="X2288" s="586" t="str">
        <f t="shared" si="601"/>
        <v/>
      </c>
      <c r="Y2288" s="586" t="str">
        <f t="shared" si="531"/>
        <v/>
      </c>
      <c r="Z2288" s="586" t="str">
        <f t="shared" si="602"/>
        <v/>
      </c>
    </row>
    <row r="2289" spans="1:26" ht="12" hidden="1" thickBot="1" x14ac:dyDescent="0.25">
      <c r="A2289" s="567" t="s">
        <v>168</v>
      </c>
      <c r="B2289" s="644" t="s">
        <v>168</v>
      </c>
      <c r="C2289" s="645"/>
      <c r="D2289" s="422" t="s">
        <v>212</v>
      </c>
      <c r="E2289" s="423"/>
      <c r="F2289" s="424">
        <v>500</v>
      </c>
      <c r="G2289" s="425">
        <f>VLOOKUP(D2288,'[2]ENSAIOS DE ORÇAMENTO'!$C$3:$L$79,4,FALSE)</f>
        <v>0.38908200000000004</v>
      </c>
      <c r="H2289" s="649">
        <f>IF(F2289&lt;=30,(0.78*F2289+7.82)*G2289,((0.78*30+7.82)+0.78*(F2289-30))*G2289)</f>
        <v>154.78460124000003</v>
      </c>
      <c r="I2289" s="420"/>
      <c r="J2289" s="420"/>
      <c r="K2289" s="421">
        <f t="shared" si="588"/>
        <v>0</v>
      </c>
      <c r="L2289" s="647"/>
      <c r="M2289" s="723"/>
      <c r="N2289" s="576">
        <f t="shared" si="597"/>
        <v>0</v>
      </c>
      <c r="O2289" s="577">
        <f t="shared" si="591"/>
        <v>0</v>
      </c>
      <c r="P2289" s="578">
        <f t="shared" si="592"/>
        <v>0</v>
      </c>
      <c r="Q2289" s="765"/>
      <c r="R2289" s="723"/>
      <c r="S2289" s="723"/>
      <c r="T2289" s="577">
        <f t="shared" si="589"/>
        <v>0</v>
      </c>
      <c r="U2289" s="578">
        <f t="shared" si="590"/>
        <v>0</v>
      </c>
      <c r="V2289" s="579"/>
      <c r="W2289" s="566" t="str">
        <f>IF(U2288&gt;0,"xx",IF(P2288&gt;0,"xy",""))</f>
        <v/>
      </c>
      <c r="X2289" s="586" t="str">
        <f t="shared" si="601"/>
        <v/>
      </c>
      <c r="Y2289" s="586" t="str">
        <f t="shared" si="531"/>
        <v/>
      </c>
      <c r="Z2289" s="586" t="str">
        <f t="shared" si="602"/>
        <v/>
      </c>
    </row>
    <row r="2290" spans="1:26" ht="12" hidden="1" thickBot="1" x14ac:dyDescent="0.25">
      <c r="A2290" s="567" t="s">
        <v>168</v>
      </c>
      <c r="B2290" s="644" t="s">
        <v>168</v>
      </c>
      <c r="C2290" s="645"/>
      <c r="D2290" s="422" t="s">
        <v>248</v>
      </c>
      <c r="E2290" s="423"/>
      <c r="F2290" s="424">
        <v>180</v>
      </c>
      <c r="G2290" s="425">
        <f>VLOOKUP(D2288,'[2]ENSAIOS DE ORÇAMENTO'!$C$3:$L$79,5,FALSE)</f>
        <v>1.1452249999999999</v>
      </c>
      <c r="H2290" s="663">
        <f t="shared" ref="H2290:H2292" si="604">IF(F2290&lt;=30,(1.07*F2290+2.68)*G2290,((1.07*30+2.68)+1.07*(F2290-30))*G2290)</f>
        <v>223.63953799999999</v>
      </c>
      <c r="I2290" s="420"/>
      <c r="J2290" s="420"/>
      <c r="K2290" s="421">
        <f t="shared" si="588"/>
        <v>0</v>
      </c>
      <c r="L2290" s="647"/>
      <c r="M2290" s="723"/>
      <c r="N2290" s="576">
        <f t="shared" si="597"/>
        <v>0</v>
      </c>
      <c r="O2290" s="577">
        <f t="shared" si="591"/>
        <v>0</v>
      </c>
      <c r="P2290" s="578">
        <f t="shared" si="592"/>
        <v>0</v>
      </c>
      <c r="Q2290" s="765"/>
      <c r="R2290" s="723"/>
      <c r="S2290" s="723"/>
      <c r="T2290" s="577">
        <f t="shared" si="589"/>
        <v>0</v>
      </c>
      <c r="U2290" s="578">
        <f t="shared" si="590"/>
        <v>0</v>
      </c>
      <c r="V2290" s="579"/>
      <c r="W2290" s="566" t="str">
        <f>IF(U2288&gt;0,"xx",IF(P2288&gt;0,"xy",""))</f>
        <v/>
      </c>
      <c r="X2290" s="586" t="str">
        <f t="shared" si="601"/>
        <v/>
      </c>
      <c r="Y2290" s="586" t="str">
        <f t="shared" si="531"/>
        <v/>
      </c>
      <c r="Z2290" s="586" t="str">
        <f t="shared" si="602"/>
        <v/>
      </c>
    </row>
    <row r="2291" spans="1:26" ht="12" hidden="1" thickBot="1" x14ac:dyDescent="0.25">
      <c r="A2291" s="567" t="s">
        <v>168</v>
      </c>
      <c r="B2291" s="644" t="s">
        <v>168</v>
      </c>
      <c r="C2291" s="645"/>
      <c r="D2291" s="422" t="s">
        <v>252</v>
      </c>
      <c r="E2291" s="423"/>
      <c r="F2291" s="424">
        <v>20</v>
      </c>
      <c r="G2291" s="425">
        <f>VLOOKUP(D2288,'[2]ENSAIOS DE ORÇAMENTO'!$C$3:$L$79,6,FALSE)</f>
        <v>1.362414</v>
      </c>
      <c r="H2291" s="663">
        <f t="shared" si="604"/>
        <v>32.80692912</v>
      </c>
      <c r="I2291" s="420"/>
      <c r="J2291" s="420"/>
      <c r="K2291" s="421">
        <f t="shared" si="588"/>
        <v>0</v>
      </c>
      <c r="L2291" s="647"/>
      <c r="M2291" s="723"/>
      <c r="N2291" s="576">
        <f t="shared" si="597"/>
        <v>0</v>
      </c>
      <c r="O2291" s="577">
        <f t="shared" si="591"/>
        <v>0</v>
      </c>
      <c r="P2291" s="578">
        <f t="shared" si="592"/>
        <v>0</v>
      </c>
      <c r="Q2291" s="765"/>
      <c r="R2291" s="723"/>
      <c r="S2291" s="723"/>
      <c r="T2291" s="577">
        <f t="shared" si="589"/>
        <v>0</v>
      </c>
      <c r="U2291" s="578">
        <f t="shared" si="590"/>
        <v>0</v>
      </c>
      <c r="V2291" s="579"/>
      <c r="W2291" s="566" t="str">
        <f>IF(U2288&gt;0,"xx",IF(P2288&gt;0,"xy",""))</f>
        <v/>
      </c>
      <c r="X2291" s="586" t="str">
        <f t="shared" si="601"/>
        <v/>
      </c>
      <c r="Y2291" s="586" t="str">
        <f t="shared" si="531"/>
        <v/>
      </c>
      <c r="Z2291" s="586" t="str">
        <f t="shared" si="602"/>
        <v/>
      </c>
    </row>
    <row r="2292" spans="1:26" ht="12" hidden="1" thickBot="1" x14ac:dyDescent="0.25">
      <c r="A2292" s="567" t="s">
        <v>168</v>
      </c>
      <c r="B2292" s="644" t="s">
        <v>168</v>
      </c>
      <c r="C2292" s="645"/>
      <c r="D2292" s="422" t="s">
        <v>400</v>
      </c>
      <c r="E2292" s="423"/>
      <c r="F2292" s="424">
        <v>30</v>
      </c>
      <c r="G2292" s="425">
        <f>VLOOKUP(D2288,'[2]ENSAIOS DE ORÇAMENTO'!$C$3:$L$79,3,FALSE)</f>
        <v>0</v>
      </c>
      <c r="H2292" s="663">
        <f t="shared" si="604"/>
        <v>0</v>
      </c>
      <c r="I2292" s="420"/>
      <c r="J2292" s="420"/>
      <c r="K2292" s="421">
        <f t="shared" si="588"/>
        <v>0</v>
      </c>
      <c r="L2292" s="647"/>
      <c r="M2292" s="723"/>
      <c r="N2292" s="576">
        <f t="shared" si="597"/>
        <v>0</v>
      </c>
      <c r="O2292" s="577">
        <f t="shared" si="591"/>
        <v>0</v>
      </c>
      <c r="P2292" s="578">
        <f t="shared" si="592"/>
        <v>0</v>
      </c>
      <c r="Q2292" s="765"/>
      <c r="R2292" s="723"/>
      <c r="S2292" s="723"/>
      <c r="T2292" s="577">
        <f t="shared" si="589"/>
        <v>0</v>
      </c>
      <c r="U2292" s="578">
        <f t="shared" si="590"/>
        <v>0</v>
      </c>
      <c r="V2292" s="579"/>
      <c r="W2292" s="566" t="str">
        <f>IF(U2288&gt;0,"xx",IF(P2288&gt;0,"xy",""))</f>
        <v/>
      </c>
      <c r="X2292" s="586" t="str">
        <f t="shared" si="601"/>
        <v/>
      </c>
      <c r="Y2292" s="586" t="str">
        <f t="shared" si="531"/>
        <v/>
      </c>
      <c r="Z2292" s="586" t="str">
        <f t="shared" si="602"/>
        <v/>
      </c>
    </row>
    <row r="2293" spans="1:26" ht="12" hidden="1" thickBot="1" x14ac:dyDescent="0.25">
      <c r="A2293" s="567" t="s">
        <v>168</v>
      </c>
      <c r="B2293" s="644" t="s">
        <v>168</v>
      </c>
      <c r="C2293" s="645"/>
      <c r="D2293" s="422" t="s">
        <v>401</v>
      </c>
      <c r="E2293" s="423"/>
      <c r="F2293" s="424">
        <v>500</v>
      </c>
      <c r="G2293" s="425">
        <f>VLOOKUP(D2288,'[2]ENSAIOS DE ORÇAMENTO'!$C$3:$L$79,10,FALSE)</f>
        <v>0</v>
      </c>
      <c r="H2293" s="649">
        <f>IF(F2293&lt;=30,(0.78*F2293+7.82)*G2293,((0.78*30+7.82)+0.78*(F2293-30))*G2293)</f>
        <v>0</v>
      </c>
      <c r="I2293" s="420"/>
      <c r="J2293" s="420"/>
      <c r="K2293" s="421">
        <f t="shared" si="588"/>
        <v>0</v>
      </c>
      <c r="L2293" s="647"/>
      <c r="M2293" s="723"/>
      <c r="N2293" s="576">
        <f t="shared" si="597"/>
        <v>0</v>
      </c>
      <c r="O2293" s="577">
        <f t="shared" si="591"/>
        <v>0</v>
      </c>
      <c r="P2293" s="578">
        <f t="shared" si="592"/>
        <v>0</v>
      </c>
      <c r="Q2293" s="765"/>
      <c r="R2293" s="723"/>
      <c r="S2293" s="723"/>
      <c r="T2293" s="577">
        <f t="shared" si="589"/>
        <v>0</v>
      </c>
      <c r="U2293" s="578">
        <f t="shared" si="590"/>
        <v>0</v>
      </c>
      <c r="V2293" s="579"/>
      <c r="W2293" s="566" t="str">
        <f>IF(U2288&gt;0,"xx",IF(P2288&gt;0,"xy",""))</f>
        <v/>
      </c>
      <c r="X2293" s="586" t="str">
        <f t="shared" si="601"/>
        <v/>
      </c>
      <c r="Y2293" s="586" t="str">
        <f t="shared" si="531"/>
        <v/>
      </c>
      <c r="Z2293" s="586" t="str">
        <f t="shared" si="602"/>
        <v/>
      </c>
    </row>
    <row r="2294" spans="1:26" ht="12" hidden="1" thickBot="1" x14ac:dyDescent="0.25">
      <c r="A2294" s="567" t="s">
        <v>35</v>
      </c>
      <c r="B2294" s="644" t="s">
        <v>35</v>
      </c>
      <c r="C2294" s="645" t="s">
        <v>206</v>
      </c>
      <c r="D2294" s="422" t="s">
        <v>109</v>
      </c>
      <c r="E2294" s="423"/>
      <c r="F2294" s="424"/>
      <c r="G2294" s="425"/>
      <c r="H2294" s="651">
        <f>SUM(H2295:H2299)</f>
        <v>513.9412014799999</v>
      </c>
      <c r="I2294" s="420">
        <f>VLOOKUP(D2294,'[2]ENSAIOS DE ORÇAMENTO'!$C$3:$L$79,8,FALSE)</f>
        <v>4235.10509</v>
      </c>
      <c r="J2294" s="420">
        <f>IF(ISBLANK(I2294),"",SUM(H2294:I2294))</f>
        <v>4749.04629148</v>
      </c>
      <c r="K2294" s="421">
        <f t="shared" si="588"/>
        <v>5642.34</v>
      </c>
      <c r="L2294" s="647" t="s">
        <v>21</v>
      </c>
      <c r="M2294" s="576"/>
      <c r="N2294" s="576">
        <f t="shared" si="597"/>
        <v>0</v>
      </c>
      <c r="O2294" s="577">
        <f t="shared" si="591"/>
        <v>0</v>
      </c>
      <c r="P2294" s="578">
        <f t="shared" si="592"/>
        <v>0</v>
      </c>
      <c r="Q2294" s="765"/>
      <c r="R2294" s="576">
        <f>M2294</f>
        <v>0</v>
      </c>
      <c r="S2294" s="576">
        <f>N2294</f>
        <v>0</v>
      </c>
      <c r="T2294" s="577">
        <f t="shared" si="589"/>
        <v>0</v>
      </c>
      <c r="U2294" s="578">
        <f t="shared" si="590"/>
        <v>0</v>
      </c>
      <c r="V2294" s="579"/>
      <c r="W2294" s="566"/>
      <c r="X2294" s="586" t="str">
        <f t="shared" si="601"/>
        <v/>
      </c>
      <c r="Y2294" s="586" t="str">
        <f t="shared" si="531"/>
        <v/>
      </c>
      <c r="Z2294" s="586" t="str">
        <f t="shared" si="602"/>
        <v/>
      </c>
    </row>
    <row r="2295" spans="1:26" ht="12" hidden="1" thickBot="1" x14ac:dyDescent="0.25">
      <c r="A2295" s="567" t="s">
        <v>168</v>
      </c>
      <c r="B2295" s="644" t="s">
        <v>168</v>
      </c>
      <c r="C2295" s="645"/>
      <c r="D2295" s="422" t="s">
        <v>212</v>
      </c>
      <c r="E2295" s="423"/>
      <c r="F2295" s="424">
        <v>500</v>
      </c>
      <c r="G2295" s="425">
        <f>VLOOKUP(D2294,'[2]ENSAIOS DE ORÇAMENTO'!$C$3:$L$79,4,FALSE)</f>
        <v>0.48940199999999995</v>
      </c>
      <c r="H2295" s="649">
        <f>IF(F2295&lt;=30,(0.78*F2295+7.82)*G2295,((0.78*30+7.82)+0.78*(F2295-30))*G2295)</f>
        <v>194.69390364</v>
      </c>
      <c r="I2295" s="420"/>
      <c r="J2295" s="420"/>
      <c r="K2295" s="421">
        <f t="shared" si="588"/>
        <v>0</v>
      </c>
      <c r="L2295" s="647"/>
      <c r="M2295" s="723"/>
      <c r="N2295" s="576">
        <f t="shared" si="597"/>
        <v>0</v>
      </c>
      <c r="O2295" s="577">
        <f t="shared" si="591"/>
        <v>0</v>
      </c>
      <c r="P2295" s="578">
        <f t="shared" si="592"/>
        <v>0</v>
      </c>
      <c r="Q2295" s="765"/>
      <c r="R2295" s="723"/>
      <c r="S2295" s="723"/>
      <c r="T2295" s="577">
        <f t="shared" si="589"/>
        <v>0</v>
      </c>
      <c r="U2295" s="578">
        <f t="shared" si="590"/>
        <v>0</v>
      </c>
      <c r="V2295" s="579"/>
      <c r="W2295" s="566" t="str">
        <f>IF(U2294&gt;0,"xx",IF(P2294&gt;0,"xy",""))</f>
        <v/>
      </c>
      <c r="X2295" s="586" t="str">
        <f t="shared" si="601"/>
        <v/>
      </c>
      <c r="Y2295" s="586" t="str">
        <f t="shared" si="531"/>
        <v/>
      </c>
      <c r="Z2295" s="586" t="str">
        <f t="shared" si="602"/>
        <v/>
      </c>
    </row>
    <row r="2296" spans="1:26" ht="12" hidden="1" thickBot="1" x14ac:dyDescent="0.25">
      <c r="A2296" s="567" t="s">
        <v>168</v>
      </c>
      <c r="B2296" s="644" t="s">
        <v>168</v>
      </c>
      <c r="C2296" s="645"/>
      <c r="D2296" s="422" t="s">
        <v>248</v>
      </c>
      <c r="E2296" s="423"/>
      <c r="F2296" s="424">
        <v>180</v>
      </c>
      <c r="G2296" s="425">
        <f>VLOOKUP(D2294,'[2]ENSAIOS DE ORÇAMENTO'!$C$3:$L$79,5,FALSE)</f>
        <v>1.4252089999999999</v>
      </c>
      <c r="H2296" s="663">
        <f t="shared" ref="H2296:H2298" si="605">IF(F2296&lt;=30,(1.07*F2296+2.68)*G2296,((1.07*30+2.68)+1.07*(F2296-30))*G2296)</f>
        <v>278.31481351999997</v>
      </c>
      <c r="I2296" s="420"/>
      <c r="J2296" s="420"/>
      <c r="K2296" s="421">
        <f t="shared" si="588"/>
        <v>0</v>
      </c>
      <c r="L2296" s="647"/>
      <c r="M2296" s="723"/>
      <c r="N2296" s="576">
        <f t="shared" si="597"/>
        <v>0</v>
      </c>
      <c r="O2296" s="577">
        <f t="shared" si="591"/>
        <v>0</v>
      </c>
      <c r="P2296" s="578">
        <f t="shared" si="592"/>
        <v>0</v>
      </c>
      <c r="Q2296" s="765"/>
      <c r="R2296" s="723"/>
      <c r="S2296" s="723"/>
      <c r="T2296" s="577">
        <f t="shared" si="589"/>
        <v>0</v>
      </c>
      <c r="U2296" s="578">
        <f t="shared" si="590"/>
        <v>0</v>
      </c>
      <c r="V2296" s="579"/>
      <c r="W2296" s="566" t="str">
        <f>IF(U2294&gt;0,"xx",IF(P2294&gt;0,"xy",""))</f>
        <v/>
      </c>
      <c r="X2296" s="586" t="str">
        <f t="shared" si="601"/>
        <v/>
      </c>
      <c r="Y2296" s="586" t="str">
        <f t="shared" si="531"/>
        <v/>
      </c>
      <c r="Z2296" s="586" t="str">
        <f t="shared" si="602"/>
        <v/>
      </c>
    </row>
    <row r="2297" spans="1:26" ht="12" hidden="1" thickBot="1" x14ac:dyDescent="0.25">
      <c r="A2297" s="567" t="s">
        <v>168</v>
      </c>
      <c r="B2297" s="644" t="s">
        <v>168</v>
      </c>
      <c r="C2297" s="645"/>
      <c r="D2297" s="422" t="s">
        <v>252</v>
      </c>
      <c r="E2297" s="423"/>
      <c r="F2297" s="424">
        <v>20</v>
      </c>
      <c r="G2297" s="425">
        <f>VLOOKUP(D2294,'[2]ENSAIOS DE ORÇAMENTO'!$C$3:$L$79,6,FALSE)</f>
        <v>1.699854</v>
      </c>
      <c r="H2297" s="663">
        <f t="shared" si="605"/>
        <v>40.93248432</v>
      </c>
      <c r="I2297" s="420"/>
      <c r="J2297" s="420"/>
      <c r="K2297" s="421">
        <f t="shared" si="588"/>
        <v>0</v>
      </c>
      <c r="L2297" s="647"/>
      <c r="M2297" s="723"/>
      <c r="N2297" s="576">
        <f t="shared" si="597"/>
        <v>0</v>
      </c>
      <c r="O2297" s="577">
        <f t="shared" si="591"/>
        <v>0</v>
      </c>
      <c r="P2297" s="578">
        <f t="shared" si="592"/>
        <v>0</v>
      </c>
      <c r="Q2297" s="765"/>
      <c r="R2297" s="723"/>
      <c r="S2297" s="723"/>
      <c r="T2297" s="577">
        <f t="shared" si="589"/>
        <v>0</v>
      </c>
      <c r="U2297" s="578">
        <f t="shared" si="590"/>
        <v>0</v>
      </c>
      <c r="V2297" s="579"/>
      <c r="W2297" s="566" t="str">
        <f>IF(U2294&gt;0,"xx",IF(P2294&gt;0,"xy",""))</f>
        <v/>
      </c>
      <c r="X2297" s="586" t="str">
        <f t="shared" si="601"/>
        <v/>
      </c>
      <c r="Y2297" s="586" t="str">
        <f t="shared" si="531"/>
        <v/>
      </c>
      <c r="Z2297" s="586" t="str">
        <f t="shared" si="602"/>
        <v/>
      </c>
    </row>
    <row r="2298" spans="1:26" ht="12" hidden="1" thickBot="1" x14ac:dyDescent="0.25">
      <c r="A2298" s="567" t="s">
        <v>168</v>
      </c>
      <c r="B2298" s="644" t="s">
        <v>168</v>
      </c>
      <c r="C2298" s="645"/>
      <c r="D2298" s="422" t="s">
        <v>400</v>
      </c>
      <c r="E2298" s="423"/>
      <c r="F2298" s="424">
        <v>30</v>
      </c>
      <c r="G2298" s="425">
        <f>VLOOKUP(D2294,'[2]ENSAIOS DE ORÇAMENTO'!$C$3:$L$79,3,FALSE)</f>
        <v>0</v>
      </c>
      <c r="H2298" s="663">
        <f t="shared" si="605"/>
        <v>0</v>
      </c>
      <c r="I2298" s="420"/>
      <c r="J2298" s="420"/>
      <c r="K2298" s="421">
        <f t="shared" si="588"/>
        <v>0</v>
      </c>
      <c r="L2298" s="647"/>
      <c r="M2298" s="723"/>
      <c r="N2298" s="576">
        <f t="shared" si="597"/>
        <v>0</v>
      </c>
      <c r="O2298" s="577">
        <f t="shared" si="591"/>
        <v>0</v>
      </c>
      <c r="P2298" s="578">
        <f t="shared" si="592"/>
        <v>0</v>
      </c>
      <c r="Q2298" s="765"/>
      <c r="R2298" s="723"/>
      <c r="S2298" s="723"/>
      <c r="T2298" s="577">
        <f t="shared" si="589"/>
        <v>0</v>
      </c>
      <c r="U2298" s="578">
        <f t="shared" si="590"/>
        <v>0</v>
      </c>
      <c r="V2298" s="579"/>
      <c r="W2298" s="566" t="str">
        <f>IF(U2294&gt;0,"xx",IF(P2294&gt;0,"xy",""))</f>
        <v/>
      </c>
      <c r="X2298" s="586" t="str">
        <f t="shared" si="601"/>
        <v/>
      </c>
      <c r="Y2298" s="586" t="str">
        <f t="shared" si="531"/>
        <v/>
      </c>
      <c r="Z2298" s="586" t="str">
        <f t="shared" si="602"/>
        <v/>
      </c>
    </row>
    <row r="2299" spans="1:26" ht="12" hidden="1" thickBot="1" x14ac:dyDescent="0.25">
      <c r="A2299" s="567" t="s">
        <v>168</v>
      </c>
      <c r="B2299" s="644" t="s">
        <v>168</v>
      </c>
      <c r="C2299" s="645"/>
      <c r="D2299" s="422" t="s">
        <v>401</v>
      </c>
      <c r="E2299" s="423"/>
      <c r="F2299" s="424">
        <v>500</v>
      </c>
      <c r="G2299" s="425">
        <f>VLOOKUP(D2294,'[2]ENSAIOS DE ORÇAMENTO'!$C$3:$L$79,10,FALSE)</f>
        <v>0</v>
      </c>
      <c r="H2299" s="649">
        <f>IF(F2299&lt;=30,(0.78*F2299+7.82)*G2299,((0.78*30+7.82)+0.78*(F2299-30))*G2299)</f>
        <v>0</v>
      </c>
      <c r="I2299" s="420"/>
      <c r="J2299" s="420"/>
      <c r="K2299" s="421">
        <f t="shared" si="588"/>
        <v>0</v>
      </c>
      <c r="L2299" s="647"/>
      <c r="M2299" s="723"/>
      <c r="N2299" s="576">
        <f t="shared" si="597"/>
        <v>0</v>
      </c>
      <c r="O2299" s="577">
        <f t="shared" si="591"/>
        <v>0</v>
      </c>
      <c r="P2299" s="578">
        <f t="shared" si="592"/>
        <v>0</v>
      </c>
      <c r="Q2299" s="765"/>
      <c r="R2299" s="723"/>
      <c r="S2299" s="723"/>
      <c r="T2299" s="577">
        <f t="shared" si="589"/>
        <v>0</v>
      </c>
      <c r="U2299" s="578">
        <f t="shared" si="590"/>
        <v>0</v>
      </c>
      <c r="V2299" s="579"/>
      <c r="W2299" s="566" t="str">
        <f>IF(U2294&gt;0,"xx",IF(P2294&gt;0,"xy",""))</f>
        <v/>
      </c>
      <c r="X2299" s="586" t="str">
        <f t="shared" si="601"/>
        <v/>
      </c>
      <c r="Y2299" s="586" t="str">
        <f t="shared" si="531"/>
        <v/>
      </c>
      <c r="Z2299" s="586" t="str">
        <f t="shared" si="602"/>
        <v/>
      </c>
    </row>
    <row r="2300" spans="1:26" ht="12" hidden="1" thickBot="1" x14ac:dyDescent="0.25">
      <c r="A2300" s="567" t="s">
        <v>123</v>
      </c>
      <c r="B2300" s="644" t="s">
        <v>123</v>
      </c>
      <c r="C2300" s="645" t="s">
        <v>206</v>
      </c>
      <c r="D2300" s="422" t="s">
        <v>110</v>
      </c>
      <c r="E2300" s="423"/>
      <c r="F2300" s="424"/>
      <c r="G2300" s="425"/>
      <c r="H2300" s="651">
        <f>SUM(H2301:H2305)</f>
        <v>680.84516780000001</v>
      </c>
      <c r="I2300" s="420">
        <f>VLOOKUP(D2300,'[2]ENSAIOS DE ORÇAMENTO'!$C$3:$L$79,8,FALSE)</f>
        <v>4602.3633099999997</v>
      </c>
      <c r="J2300" s="420">
        <f>IF(ISBLANK(I2300),"",SUM(H2300:I2300))</f>
        <v>5283.2084777999999</v>
      </c>
      <c r="K2300" s="421">
        <f t="shared" si="588"/>
        <v>6276.98</v>
      </c>
      <c r="L2300" s="647" t="s">
        <v>21</v>
      </c>
      <c r="M2300" s="576"/>
      <c r="N2300" s="576">
        <f t="shared" si="597"/>
        <v>0</v>
      </c>
      <c r="O2300" s="577">
        <f t="shared" si="591"/>
        <v>0</v>
      </c>
      <c r="P2300" s="578">
        <f t="shared" si="592"/>
        <v>0</v>
      </c>
      <c r="Q2300" s="765"/>
      <c r="R2300" s="576">
        <f>M2300</f>
        <v>0</v>
      </c>
      <c r="S2300" s="576">
        <f>N2300</f>
        <v>0</v>
      </c>
      <c r="T2300" s="577">
        <f t="shared" si="589"/>
        <v>0</v>
      </c>
      <c r="U2300" s="578">
        <f t="shared" si="590"/>
        <v>0</v>
      </c>
      <c r="V2300" s="579"/>
      <c r="W2300" s="566"/>
      <c r="X2300" s="586" t="str">
        <f t="shared" si="601"/>
        <v/>
      </c>
      <c r="Y2300" s="586" t="str">
        <f t="shared" si="531"/>
        <v/>
      </c>
      <c r="Z2300" s="586" t="str">
        <f t="shared" si="602"/>
        <v/>
      </c>
    </row>
    <row r="2301" spans="1:26" ht="12" hidden="1" thickBot="1" x14ac:dyDescent="0.25">
      <c r="A2301" s="567" t="s">
        <v>168</v>
      </c>
      <c r="B2301" s="644" t="s">
        <v>168</v>
      </c>
      <c r="C2301" s="645"/>
      <c r="D2301" s="422" t="s">
        <v>212</v>
      </c>
      <c r="E2301" s="423"/>
      <c r="F2301" s="424">
        <v>500</v>
      </c>
      <c r="G2301" s="425">
        <f>VLOOKUP(D2300,'[2]ENSAIOS DE ORÇAMENTO'!$C$3:$L$79,4,FALSE)</f>
        <v>0.65242199999999995</v>
      </c>
      <c r="H2301" s="649">
        <f>IF(F2301&lt;=30,(0.78*F2301+7.82)*G2301,((0.78*30+7.82)+0.78*(F2301-30))*G2301)</f>
        <v>259.54652004000002</v>
      </c>
      <c r="I2301" s="420"/>
      <c r="J2301" s="420"/>
      <c r="K2301" s="421">
        <f t="shared" si="588"/>
        <v>0</v>
      </c>
      <c r="L2301" s="647"/>
      <c r="M2301" s="723"/>
      <c r="N2301" s="576">
        <f t="shared" si="597"/>
        <v>0</v>
      </c>
      <c r="O2301" s="577">
        <f t="shared" si="591"/>
        <v>0</v>
      </c>
      <c r="P2301" s="578">
        <f t="shared" si="592"/>
        <v>0</v>
      </c>
      <c r="Q2301" s="765"/>
      <c r="R2301" s="723"/>
      <c r="S2301" s="723"/>
      <c r="T2301" s="577">
        <f t="shared" si="589"/>
        <v>0</v>
      </c>
      <c r="U2301" s="578">
        <f t="shared" si="590"/>
        <v>0</v>
      </c>
      <c r="V2301" s="579"/>
      <c r="W2301" s="566" t="str">
        <f>IF(U2300&gt;0,"xx",IF(P2300&gt;0,"xy",""))</f>
        <v/>
      </c>
      <c r="X2301" s="586" t="str">
        <f t="shared" si="601"/>
        <v/>
      </c>
      <c r="Y2301" s="586" t="str">
        <f t="shared" si="531"/>
        <v/>
      </c>
      <c r="Z2301" s="586" t="str">
        <f t="shared" si="602"/>
        <v/>
      </c>
    </row>
    <row r="2302" spans="1:26" ht="12" hidden="1" thickBot="1" x14ac:dyDescent="0.25">
      <c r="A2302" s="567" t="s">
        <v>168</v>
      </c>
      <c r="B2302" s="644" t="s">
        <v>168</v>
      </c>
      <c r="C2302" s="645"/>
      <c r="D2302" s="422" t="s">
        <v>248</v>
      </c>
      <c r="E2302" s="423"/>
      <c r="F2302" s="424">
        <v>180</v>
      </c>
      <c r="G2302" s="425">
        <f>VLOOKUP(D2300,'[2]ENSAIOS DE ORÇAMENTO'!$C$3:$L$79,5,FALSE)</f>
        <v>1.8801829999999999</v>
      </c>
      <c r="H2302" s="663">
        <f t="shared" ref="H2302:H2304" si="606">IF(F2302&lt;=30,(1.07*F2302+2.68)*G2302,((1.07*30+2.68)+1.07*(F2302-30))*G2302)</f>
        <v>367.16213624</v>
      </c>
      <c r="I2302" s="420"/>
      <c r="J2302" s="420"/>
      <c r="K2302" s="421">
        <f t="shared" si="588"/>
        <v>0</v>
      </c>
      <c r="L2302" s="647"/>
      <c r="M2302" s="723"/>
      <c r="N2302" s="576">
        <f t="shared" si="597"/>
        <v>0</v>
      </c>
      <c r="O2302" s="577">
        <f t="shared" si="591"/>
        <v>0</v>
      </c>
      <c r="P2302" s="578">
        <f t="shared" si="592"/>
        <v>0</v>
      </c>
      <c r="Q2302" s="765"/>
      <c r="R2302" s="723"/>
      <c r="S2302" s="723"/>
      <c r="T2302" s="577">
        <f t="shared" si="589"/>
        <v>0</v>
      </c>
      <c r="U2302" s="578">
        <f t="shared" si="590"/>
        <v>0</v>
      </c>
      <c r="V2302" s="579"/>
      <c r="W2302" s="566" t="str">
        <f>IF(U2300&gt;0,"xx",IF(P2300&gt;0,"xy",""))</f>
        <v/>
      </c>
      <c r="X2302" s="586" t="str">
        <f t="shared" si="601"/>
        <v/>
      </c>
      <c r="Y2302" s="586" t="str">
        <f t="shared" si="531"/>
        <v/>
      </c>
      <c r="Z2302" s="586" t="str">
        <f t="shared" si="602"/>
        <v/>
      </c>
    </row>
    <row r="2303" spans="1:26" ht="12" hidden="1" thickBot="1" x14ac:dyDescent="0.25">
      <c r="A2303" s="567" t="s">
        <v>168</v>
      </c>
      <c r="B2303" s="644" t="s">
        <v>168</v>
      </c>
      <c r="C2303" s="645"/>
      <c r="D2303" s="422" t="s">
        <v>252</v>
      </c>
      <c r="E2303" s="423"/>
      <c r="F2303" s="424">
        <v>20</v>
      </c>
      <c r="G2303" s="425">
        <f>VLOOKUP(D2300,'[2]ENSAIOS DE ORÇAMENTO'!$C$3:$L$79,6,FALSE)</f>
        <v>2.2481940000000002</v>
      </c>
      <c r="H2303" s="663">
        <f t="shared" si="606"/>
        <v>54.136511520000013</v>
      </c>
      <c r="I2303" s="420"/>
      <c r="J2303" s="420"/>
      <c r="K2303" s="421">
        <f t="shared" si="588"/>
        <v>0</v>
      </c>
      <c r="L2303" s="647"/>
      <c r="M2303" s="723"/>
      <c r="N2303" s="576">
        <f t="shared" si="597"/>
        <v>0</v>
      </c>
      <c r="O2303" s="577">
        <f t="shared" si="591"/>
        <v>0</v>
      </c>
      <c r="P2303" s="578">
        <f t="shared" si="592"/>
        <v>0</v>
      </c>
      <c r="Q2303" s="765"/>
      <c r="R2303" s="723"/>
      <c r="S2303" s="723"/>
      <c r="T2303" s="577">
        <f t="shared" si="589"/>
        <v>0</v>
      </c>
      <c r="U2303" s="578">
        <f t="shared" si="590"/>
        <v>0</v>
      </c>
      <c r="V2303" s="579"/>
      <c r="W2303" s="566" t="str">
        <f>IF(U2300&gt;0,"xx",IF(P2300&gt;0,"xy",""))</f>
        <v/>
      </c>
      <c r="X2303" s="586" t="str">
        <f t="shared" si="601"/>
        <v/>
      </c>
      <c r="Y2303" s="586" t="str">
        <f t="shared" si="531"/>
        <v/>
      </c>
      <c r="Z2303" s="586" t="str">
        <f t="shared" si="602"/>
        <v/>
      </c>
    </row>
    <row r="2304" spans="1:26" ht="12" hidden="1" thickBot="1" x14ac:dyDescent="0.25">
      <c r="A2304" s="567" t="s">
        <v>168</v>
      </c>
      <c r="B2304" s="644" t="s">
        <v>168</v>
      </c>
      <c r="C2304" s="645"/>
      <c r="D2304" s="422" t="s">
        <v>400</v>
      </c>
      <c r="E2304" s="423"/>
      <c r="F2304" s="424">
        <v>30</v>
      </c>
      <c r="G2304" s="425">
        <f>VLOOKUP(D2300,'[2]ENSAIOS DE ORÇAMENTO'!$C$3:$L$79,3,FALSE)</f>
        <v>0</v>
      </c>
      <c r="H2304" s="663">
        <f t="shared" si="606"/>
        <v>0</v>
      </c>
      <c r="I2304" s="420"/>
      <c r="J2304" s="420"/>
      <c r="K2304" s="421">
        <f t="shared" ref="K2304:K2367" si="607">IF(ISBLANK(I2304),0,ROUND(J2304*(1+$F$10)*(1+$F$11*E2304),2))</f>
        <v>0</v>
      </c>
      <c r="L2304" s="647"/>
      <c r="M2304" s="723"/>
      <c r="N2304" s="576">
        <f t="shared" si="597"/>
        <v>0</v>
      </c>
      <c r="O2304" s="577">
        <f t="shared" si="591"/>
        <v>0</v>
      </c>
      <c r="P2304" s="578">
        <f t="shared" si="592"/>
        <v>0</v>
      </c>
      <c r="Q2304" s="765"/>
      <c r="R2304" s="723"/>
      <c r="S2304" s="723"/>
      <c r="T2304" s="577">
        <f t="shared" ref="T2304:T2367" si="608">IF(ISBLANK(R2304),0,ROUND(K2304*R2304,2))</f>
        <v>0</v>
      </c>
      <c r="U2304" s="578">
        <f t="shared" ref="U2304:U2367" si="609">IF(ISBLANK(R2304),0,ROUND(R2304*S2304,2))</f>
        <v>0</v>
      </c>
      <c r="V2304" s="579"/>
      <c r="W2304" s="566" t="str">
        <f>IF(U2300&gt;0,"xx",IF(P2300&gt;0,"xy",""))</f>
        <v/>
      </c>
      <c r="X2304" s="586" t="str">
        <f t="shared" si="601"/>
        <v/>
      </c>
      <c r="Y2304" s="586" t="str">
        <f t="shared" si="531"/>
        <v/>
      </c>
      <c r="Z2304" s="586" t="str">
        <f t="shared" si="602"/>
        <v/>
      </c>
    </row>
    <row r="2305" spans="1:26" ht="12" hidden="1" thickBot="1" x14ac:dyDescent="0.25">
      <c r="A2305" s="567" t="s">
        <v>168</v>
      </c>
      <c r="B2305" s="644" t="s">
        <v>168</v>
      </c>
      <c r="C2305" s="645"/>
      <c r="D2305" s="422" t="s">
        <v>401</v>
      </c>
      <c r="E2305" s="423"/>
      <c r="F2305" s="424">
        <v>500</v>
      </c>
      <c r="G2305" s="425">
        <f>VLOOKUP(D2300,'[2]ENSAIOS DE ORÇAMENTO'!$C$3:$L$79,10,FALSE)</f>
        <v>0</v>
      </c>
      <c r="H2305" s="649">
        <f>IF(F2305&lt;=30,(0.78*F2305+7.82)*G2305,((0.78*30+7.82)+0.78*(F2305-30))*G2305)</f>
        <v>0</v>
      </c>
      <c r="I2305" s="420"/>
      <c r="J2305" s="420"/>
      <c r="K2305" s="421">
        <f t="shared" si="607"/>
        <v>0</v>
      </c>
      <c r="L2305" s="647"/>
      <c r="M2305" s="723"/>
      <c r="N2305" s="576">
        <f t="shared" si="597"/>
        <v>0</v>
      </c>
      <c r="O2305" s="577">
        <f t="shared" ref="O2305:O2368" si="610">IF(ISBLANK(M2305),0,ROUND(K2305*M2305,2))</f>
        <v>0</v>
      </c>
      <c r="P2305" s="578">
        <f t="shared" ref="P2305:P2368" si="611">IF(ISBLANK(N2305),0,ROUND(M2305*N2305,2))</f>
        <v>0</v>
      </c>
      <c r="Q2305" s="765"/>
      <c r="R2305" s="723"/>
      <c r="S2305" s="723"/>
      <c r="T2305" s="577">
        <f t="shared" si="608"/>
        <v>0</v>
      </c>
      <c r="U2305" s="578">
        <f t="shared" si="609"/>
        <v>0</v>
      </c>
      <c r="V2305" s="579"/>
      <c r="W2305" s="566" t="str">
        <f>IF(U2300&gt;0,"xx",IF(P2300&gt;0,"xy",""))</f>
        <v/>
      </c>
      <c r="X2305" s="586" t="str">
        <f t="shared" si="601"/>
        <v/>
      </c>
      <c r="Y2305" s="586" t="str">
        <f t="shared" si="531"/>
        <v/>
      </c>
      <c r="Z2305" s="586" t="str">
        <f t="shared" si="602"/>
        <v/>
      </c>
    </row>
    <row r="2306" spans="1:26" ht="12" hidden="1" thickBot="1" x14ac:dyDescent="0.25">
      <c r="A2306" s="567" t="s">
        <v>124</v>
      </c>
      <c r="B2306" s="644" t="s">
        <v>124</v>
      </c>
      <c r="C2306" s="645" t="s">
        <v>206</v>
      </c>
      <c r="D2306" s="422" t="s">
        <v>111</v>
      </c>
      <c r="E2306" s="423"/>
      <c r="F2306" s="424"/>
      <c r="G2306" s="425"/>
      <c r="H2306" s="651">
        <f>SUM(H2307:H2311)</f>
        <v>847.74913412000001</v>
      </c>
      <c r="I2306" s="420">
        <f>VLOOKUP(D2306,'[2]ENSAIOS DE ORÇAMENTO'!$C$3:$L$79,8,FALSE)</f>
        <v>5586.1876799999991</v>
      </c>
      <c r="J2306" s="420">
        <f>IF(ISBLANK(I2306),"",SUM(H2306:I2306))</f>
        <v>6433.9368141199993</v>
      </c>
      <c r="K2306" s="421">
        <f t="shared" si="607"/>
        <v>7644.16</v>
      </c>
      <c r="L2306" s="647" t="s">
        <v>21</v>
      </c>
      <c r="M2306" s="576"/>
      <c r="N2306" s="576">
        <f t="shared" si="597"/>
        <v>0</v>
      </c>
      <c r="O2306" s="577">
        <f t="shared" si="610"/>
        <v>0</v>
      </c>
      <c r="P2306" s="578">
        <f t="shared" si="611"/>
        <v>0</v>
      </c>
      <c r="Q2306" s="765"/>
      <c r="R2306" s="576">
        <f>M2306</f>
        <v>0</v>
      </c>
      <c r="S2306" s="576">
        <f>N2306</f>
        <v>0</v>
      </c>
      <c r="T2306" s="577">
        <f t="shared" si="608"/>
        <v>0</v>
      </c>
      <c r="U2306" s="578">
        <f t="shared" si="609"/>
        <v>0</v>
      </c>
      <c r="V2306" s="579"/>
      <c r="W2306" s="566"/>
      <c r="X2306" s="586" t="str">
        <f t="shared" si="601"/>
        <v/>
      </c>
      <c r="Y2306" s="586" t="str">
        <f t="shared" si="531"/>
        <v/>
      </c>
      <c r="Z2306" s="586" t="str">
        <f t="shared" si="602"/>
        <v/>
      </c>
    </row>
    <row r="2307" spans="1:26" ht="12" hidden="1" thickBot="1" x14ac:dyDescent="0.25">
      <c r="A2307" s="567" t="s">
        <v>168</v>
      </c>
      <c r="B2307" s="644" t="s">
        <v>168</v>
      </c>
      <c r="C2307" s="645"/>
      <c r="D2307" s="422" t="s">
        <v>212</v>
      </c>
      <c r="E2307" s="423"/>
      <c r="F2307" s="424">
        <v>500</v>
      </c>
      <c r="G2307" s="425">
        <f>VLOOKUP(D2306,'[2]ENSAIOS DE ORÇAMENTO'!$C$3:$L$79,4,FALSE)</f>
        <v>0.81544199999999989</v>
      </c>
      <c r="H2307" s="649">
        <f>IF(F2307&lt;=30,(0.78*F2307+7.82)*G2307,((0.78*30+7.82)+0.78*(F2307-30))*G2307)</f>
        <v>324.39913644000001</v>
      </c>
      <c r="I2307" s="420"/>
      <c r="J2307" s="420"/>
      <c r="K2307" s="421">
        <f t="shared" si="607"/>
        <v>0</v>
      </c>
      <c r="L2307" s="647"/>
      <c r="M2307" s="723"/>
      <c r="N2307" s="576">
        <f t="shared" si="597"/>
        <v>0</v>
      </c>
      <c r="O2307" s="577">
        <f t="shared" si="610"/>
        <v>0</v>
      </c>
      <c r="P2307" s="578">
        <f t="shared" si="611"/>
        <v>0</v>
      </c>
      <c r="Q2307" s="765"/>
      <c r="R2307" s="723"/>
      <c r="S2307" s="723"/>
      <c r="T2307" s="577">
        <f t="shared" si="608"/>
        <v>0</v>
      </c>
      <c r="U2307" s="578">
        <f t="shared" si="609"/>
        <v>0</v>
      </c>
      <c r="V2307" s="579"/>
      <c r="W2307" s="566" t="str">
        <f>IF(U2306&gt;0,"xx",IF(P2306&gt;0,"xy",""))</f>
        <v/>
      </c>
      <c r="X2307" s="586" t="str">
        <f t="shared" si="601"/>
        <v/>
      </c>
      <c r="Y2307" s="586" t="str">
        <f t="shared" ref="Y2307:Y2375" si="612">IF(W2307="X","x",IF(W2307="y","x",IF(W2307="xx","x",IF(U2307&gt;0,"x",""))))</f>
        <v/>
      </c>
      <c r="Z2307" s="586" t="str">
        <f t="shared" si="602"/>
        <v/>
      </c>
    </row>
    <row r="2308" spans="1:26" ht="12" hidden="1" thickBot="1" x14ac:dyDescent="0.25">
      <c r="A2308" s="567" t="s">
        <v>168</v>
      </c>
      <c r="B2308" s="644" t="s">
        <v>168</v>
      </c>
      <c r="C2308" s="645"/>
      <c r="D2308" s="422" t="s">
        <v>248</v>
      </c>
      <c r="E2308" s="423"/>
      <c r="F2308" s="424">
        <v>180</v>
      </c>
      <c r="G2308" s="425">
        <f>VLOOKUP(D2306,'[2]ENSAIOS DE ORÇAMENTO'!$C$3:$L$79,5,FALSE)</f>
        <v>2.3351569999999997</v>
      </c>
      <c r="H2308" s="663">
        <f t="shared" ref="H2308:H2310" si="613">IF(F2308&lt;=30,(1.07*F2308+2.68)*G2308,((1.07*30+2.68)+1.07*(F2308-30))*G2308)</f>
        <v>456.00945895999996</v>
      </c>
      <c r="I2308" s="420"/>
      <c r="J2308" s="420"/>
      <c r="K2308" s="421">
        <f t="shared" si="607"/>
        <v>0</v>
      </c>
      <c r="L2308" s="647"/>
      <c r="M2308" s="723"/>
      <c r="N2308" s="576">
        <f t="shared" si="597"/>
        <v>0</v>
      </c>
      <c r="O2308" s="577">
        <f t="shared" si="610"/>
        <v>0</v>
      </c>
      <c r="P2308" s="578">
        <f t="shared" si="611"/>
        <v>0</v>
      </c>
      <c r="Q2308" s="765"/>
      <c r="R2308" s="723"/>
      <c r="S2308" s="723"/>
      <c r="T2308" s="577">
        <f t="shared" si="608"/>
        <v>0</v>
      </c>
      <c r="U2308" s="578">
        <f t="shared" si="609"/>
        <v>0</v>
      </c>
      <c r="V2308" s="579"/>
      <c r="W2308" s="566" t="str">
        <f>IF(U2306&gt;0,"xx",IF(P2306&gt;0,"xy",""))</f>
        <v/>
      </c>
      <c r="X2308" s="586" t="str">
        <f t="shared" si="601"/>
        <v/>
      </c>
      <c r="Y2308" s="586" t="str">
        <f t="shared" si="612"/>
        <v/>
      </c>
      <c r="Z2308" s="586" t="str">
        <f t="shared" si="602"/>
        <v/>
      </c>
    </row>
    <row r="2309" spans="1:26" ht="12" hidden="1" thickBot="1" x14ac:dyDescent="0.25">
      <c r="A2309" s="567" t="s">
        <v>168</v>
      </c>
      <c r="B2309" s="644" t="s">
        <v>168</v>
      </c>
      <c r="C2309" s="645"/>
      <c r="D2309" s="422" t="s">
        <v>252</v>
      </c>
      <c r="E2309" s="423"/>
      <c r="F2309" s="424">
        <v>20</v>
      </c>
      <c r="G2309" s="425">
        <f>VLOOKUP(D2306,'[2]ENSAIOS DE ORÇAMENTO'!$C$3:$L$79,6,FALSE)</f>
        <v>2.7965340000000003</v>
      </c>
      <c r="H2309" s="663">
        <f t="shared" si="613"/>
        <v>67.340538720000012</v>
      </c>
      <c r="I2309" s="420"/>
      <c r="J2309" s="420"/>
      <c r="K2309" s="421">
        <f t="shared" si="607"/>
        <v>0</v>
      </c>
      <c r="L2309" s="647"/>
      <c r="M2309" s="723"/>
      <c r="N2309" s="576">
        <f t="shared" si="597"/>
        <v>0</v>
      </c>
      <c r="O2309" s="577">
        <f t="shared" si="610"/>
        <v>0</v>
      </c>
      <c r="P2309" s="578">
        <f t="shared" si="611"/>
        <v>0</v>
      </c>
      <c r="Q2309" s="765"/>
      <c r="R2309" s="723"/>
      <c r="S2309" s="723"/>
      <c r="T2309" s="577">
        <f t="shared" si="608"/>
        <v>0</v>
      </c>
      <c r="U2309" s="578">
        <f t="shared" si="609"/>
        <v>0</v>
      </c>
      <c r="V2309" s="579"/>
      <c r="W2309" s="566" t="str">
        <f>IF(U2306&gt;0,"xx",IF(P2306&gt;0,"xy",""))</f>
        <v/>
      </c>
      <c r="X2309" s="586" t="str">
        <f t="shared" si="601"/>
        <v/>
      </c>
      <c r="Y2309" s="586" t="str">
        <f t="shared" si="612"/>
        <v/>
      </c>
      <c r="Z2309" s="586" t="str">
        <f t="shared" si="602"/>
        <v/>
      </c>
    </row>
    <row r="2310" spans="1:26" ht="12" hidden="1" thickBot="1" x14ac:dyDescent="0.25">
      <c r="A2310" s="567" t="s">
        <v>168</v>
      </c>
      <c r="B2310" s="644" t="s">
        <v>168</v>
      </c>
      <c r="C2310" s="645"/>
      <c r="D2310" s="422" t="s">
        <v>400</v>
      </c>
      <c r="E2310" s="423"/>
      <c r="F2310" s="424">
        <v>30</v>
      </c>
      <c r="G2310" s="425">
        <f>VLOOKUP(D2306,'[2]ENSAIOS DE ORÇAMENTO'!$C$3:$L$79,3,FALSE)</f>
        <v>0</v>
      </c>
      <c r="H2310" s="663">
        <f t="shared" si="613"/>
        <v>0</v>
      </c>
      <c r="I2310" s="420"/>
      <c r="J2310" s="420"/>
      <c r="K2310" s="421">
        <f t="shared" si="607"/>
        <v>0</v>
      </c>
      <c r="L2310" s="647"/>
      <c r="M2310" s="723"/>
      <c r="N2310" s="576">
        <f t="shared" si="597"/>
        <v>0</v>
      </c>
      <c r="O2310" s="577">
        <f t="shared" si="610"/>
        <v>0</v>
      </c>
      <c r="P2310" s="578">
        <f t="shared" si="611"/>
        <v>0</v>
      </c>
      <c r="Q2310" s="765"/>
      <c r="R2310" s="723"/>
      <c r="S2310" s="723"/>
      <c r="T2310" s="577">
        <f t="shared" si="608"/>
        <v>0</v>
      </c>
      <c r="U2310" s="578">
        <f t="shared" si="609"/>
        <v>0</v>
      </c>
      <c r="V2310" s="579"/>
      <c r="W2310" s="566" t="str">
        <f>IF(U2306&gt;0,"xx",IF(P2306&gt;0,"xy",""))</f>
        <v/>
      </c>
      <c r="X2310" s="586" t="str">
        <f t="shared" si="601"/>
        <v/>
      </c>
      <c r="Y2310" s="586" t="str">
        <f t="shared" si="612"/>
        <v/>
      </c>
      <c r="Z2310" s="586" t="str">
        <f t="shared" si="602"/>
        <v/>
      </c>
    </row>
    <row r="2311" spans="1:26" ht="12" hidden="1" thickBot="1" x14ac:dyDescent="0.25">
      <c r="A2311" s="567" t="s">
        <v>168</v>
      </c>
      <c r="B2311" s="644" t="s">
        <v>168</v>
      </c>
      <c r="C2311" s="645"/>
      <c r="D2311" s="422" t="s">
        <v>401</v>
      </c>
      <c r="E2311" s="423"/>
      <c r="F2311" s="424">
        <v>500</v>
      </c>
      <c r="G2311" s="425">
        <f>VLOOKUP(D2306,'[2]ENSAIOS DE ORÇAMENTO'!$C$3:$L$79,10,FALSE)</f>
        <v>0</v>
      </c>
      <c r="H2311" s="649">
        <f>IF(F2311&lt;=30,(0.78*F2311+7.82)*G2311,((0.78*30+7.82)+0.78*(F2311-30))*G2311)</f>
        <v>0</v>
      </c>
      <c r="I2311" s="420"/>
      <c r="J2311" s="420"/>
      <c r="K2311" s="421">
        <f t="shared" si="607"/>
        <v>0</v>
      </c>
      <c r="L2311" s="647"/>
      <c r="M2311" s="723"/>
      <c r="N2311" s="576">
        <f t="shared" si="597"/>
        <v>0</v>
      </c>
      <c r="O2311" s="577">
        <f t="shared" si="610"/>
        <v>0</v>
      </c>
      <c r="P2311" s="578">
        <f t="shared" si="611"/>
        <v>0</v>
      </c>
      <c r="Q2311" s="765"/>
      <c r="R2311" s="723"/>
      <c r="S2311" s="723"/>
      <c r="T2311" s="577">
        <f t="shared" si="608"/>
        <v>0</v>
      </c>
      <c r="U2311" s="578">
        <f t="shared" si="609"/>
        <v>0</v>
      </c>
      <c r="V2311" s="579"/>
      <c r="W2311" s="566" t="str">
        <f>IF(U2306&gt;0,"xx",IF(P2306&gt;0,"xy",""))</f>
        <v/>
      </c>
      <c r="X2311" s="586" t="str">
        <f t="shared" si="601"/>
        <v/>
      </c>
      <c r="Y2311" s="586" t="str">
        <f t="shared" si="612"/>
        <v/>
      </c>
      <c r="Z2311" s="586" t="str">
        <f t="shared" si="602"/>
        <v/>
      </c>
    </row>
    <row r="2312" spans="1:26" ht="12" hidden="1" thickBot="1" x14ac:dyDescent="0.25">
      <c r="A2312" s="567" t="s">
        <v>125</v>
      </c>
      <c r="B2312" s="644" t="s">
        <v>125</v>
      </c>
      <c r="C2312" s="645" t="s">
        <v>206</v>
      </c>
      <c r="D2312" s="422" t="s">
        <v>99</v>
      </c>
      <c r="E2312" s="423"/>
      <c r="F2312" s="424"/>
      <c r="G2312" s="425"/>
      <c r="H2312" s="651">
        <f>SUM(H2313:H2317)</f>
        <v>125.85055469670401</v>
      </c>
      <c r="I2312" s="420">
        <f>VLOOKUP(D2312,'[2]ENSAIOS DE ORÇAMENTO'!$C$3:$L$79,8,FALSE)</f>
        <v>441.20676012799993</v>
      </c>
      <c r="J2312" s="420">
        <f>IF(ISBLANK(I2312),"",SUM(H2312:I2312))</f>
        <v>567.05731482470389</v>
      </c>
      <c r="K2312" s="421">
        <f t="shared" si="607"/>
        <v>673.72</v>
      </c>
      <c r="L2312" s="647" t="s">
        <v>21</v>
      </c>
      <c r="M2312" s="576"/>
      <c r="N2312" s="576">
        <f t="shared" si="597"/>
        <v>0</v>
      </c>
      <c r="O2312" s="577">
        <f t="shared" si="610"/>
        <v>0</v>
      </c>
      <c r="P2312" s="578">
        <f t="shared" si="611"/>
        <v>0</v>
      </c>
      <c r="Q2312" s="765"/>
      <c r="R2312" s="576">
        <f>M2312</f>
        <v>0</v>
      </c>
      <c r="S2312" s="576">
        <f>N2312</f>
        <v>0</v>
      </c>
      <c r="T2312" s="577">
        <f t="shared" si="608"/>
        <v>0</v>
      </c>
      <c r="U2312" s="578">
        <f t="shared" si="609"/>
        <v>0</v>
      </c>
      <c r="V2312" s="579"/>
      <c r="W2312" s="566"/>
      <c r="X2312" s="586" t="str">
        <f t="shared" si="601"/>
        <v/>
      </c>
      <c r="Y2312" s="586" t="str">
        <f t="shared" si="612"/>
        <v/>
      </c>
      <c r="Z2312" s="586" t="str">
        <f t="shared" si="602"/>
        <v/>
      </c>
    </row>
    <row r="2313" spans="1:26" ht="12" hidden="1" thickBot="1" x14ac:dyDescent="0.25">
      <c r="A2313" s="567" t="s">
        <v>168</v>
      </c>
      <c r="B2313" s="644" t="s">
        <v>168</v>
      </c>
      <c r="C2313" s="645"/>
      <c r="D2313" s="422" t="s">
        <v>212</v>
      </c>
      <c r="E2313" s="423"/>
      <c r="F2313" s="424">
        <v>500</v>
      </c>
      <c r="G2313" s="425">
        <f>VLOOKUP(D2312,'[2]ENSAIOS DE ORÇAMENTO'!$C$3:$L$79,4,FALSE)</f>
        <v>9.9453823999999996E-2</v>
      </c>
      <c r="H2313" s="649">
        <f>IF(F2313&lt;=30,(0.78*F2313+7.82)*G2313,((0.78*30+7.82)+0.78*(F2313-30))*G2313)</f>
        <v>39.564720263680002</v>
      </c>
      <c r="I2313" s="420"/>
      <c r="J2313" s="420"/>
      <c r="K2313" s="421">
        <f t="shared" si="607"/>
        <v>0</v>
      </c>
      <c r="L2313" s="647"/>
      <c r="M2313" s="723"/>
      <c r="N2313" s="576">
        <f t="shared" si="597"/>
        <v>0</v>
      </c>
      <c r="O2313" s="577">
        <f t="shared" si="610"/>
        <v>0</v>
      </c>
      <c r="P2313" s="578">
        <f t="shared" si="611"/>
        <v>0</v>
      </c>
      <c r="Q2313" s="765"/>
      <c r="R2313" s="723"/>
      <c r="S2313" s="723"/>
      <c r="T2313" s="577">
        <f t="shared" si="608"/>
        <v>0</v>
      </c>
      <c r="U2313" s="578">
        <f t="shared" si="609"/>
        <v>0</v>
      </c>
      <c r="V2313" s="579"/>
      <c r="W2313" s="566" t="str">
        <f>IF(U2312&gt;0,"xx",IF(P2312&gt;0,"xy",""))</f>
        <v/>
      </c>
      <c r="X2313" s="586" t="str">
        <f t="shared" si="601"/>
        <v/>
      </c>
      <c r="Y2313" s="586" t="str">
        <f t="shared" si="612"/>
        <v/>
      </c>
      <c r="Z2313" s="586" t="str">
        <f t="shared" si="602"/>
        <v/>
      </c>
    </row>
    <row r="2314" spans="1:26" ht="12" hidden="1" thickBot="1" x14ac:dyDescent="0.25">
      <c r="A2314" s="567" t="s">
        <v>168</v>
      </c>
      <c r="B2314" s="644" t="s">
        <v>168</v>
      </c>
      <c r="C2314" s="645"/>
      <c r="D2314" s="422" t="s">
        <v>248</v>
      </c>
      <c r="E2314" s="423"/>
      <c r="F2314" s="424">
        <v>180</v>
      </c>
      <c r="G2314" s="425">
        <f>VLOOKUP(D2312,'[2]ENSAIOS DE ORÇAMENTO'!$C$3:$L$79,5,FALSE)</f>
        <v>0.3618486528</v>
      </c>
      <c r="H2314" s="663">
        <f t="shared" ref="H2314:H2316" si="614">IF(F2314&lt;=30,(1.07*F2314+2.68)*G2314,((1.07*30+2.68)+1.07*(F2314-30))*G2314)</f>
        <v>70.661804918784</v>
      </c>
      <c r="I2314" s="420"/>
      <c r="J2314" s="420"/>
      <c r="K2314" s="421">
        <f t="shared" si="607"/>
        <v>0</v>
      </c>
      <c r="L2314" s="647"/>
      <c r="M2314" s="723"/>
      <c r="N2314" s="576">
        <f t="shared" si="597"/>
        <v>0</v>
      </c>
      <c r="O2314" s="577">
        <f t="shared" si="610"/>
        <v>0</v>
      </c>
      <c r="P2314" s="578">
        <f t="shared" si="611"/>
        <v>0</v>
      </c>
      <c r="Q2314" s="765"/>
      <c r="R2314" s="723"/>
      <c r="S2314" s="723"/>
      <c r="T2314" s="577">
        <f t="shared" si="608"/>
        <v>0</v>
      </c>
      <c r="U2314" s="578">
        <f t="shared" si="609"/>
        <v>0</v>
      </c>
      <c r="V2314" s="579"/>
      <c r="W2314" s="566" t="str">
        <f>IF(U2312&gt;0,"xx",IF(P2312&gt;0,"xy",""))</f>
        <v/>
      </c>
      <c r="X2314" s="586" t="str">
        <f t="shared" si="601"/>
        <v/>
      </c>
      <c r="Y2314" s="586" t="str">
        <f t="shared" si="612"/>
        <v/>
      </c>
      <c r="Z2314" s="586" t="str">
        <f t="shared" si="602"/>
        <v/>
      </c>
    </row>
    <row r="2315" spans="1:26" ht="12" hidden="1" thickBot="1" x14ac:dyDescent="0.25">
      <c r="A2315" s="567" t="s">
        <v>168</v>
      </c>
      <c r="B2315" s="644" t="s">
        <v>168</v>
      </c>
      <c r="C2315" s="645"/>
      <c r="D2315" s="422" t="s">
        <v>252</v>
      </c>
      <c r="E2315" s="423"/>
      <c r="F2315" s="424">
        <v>20</v>
      </c>
      <c r="G2315" s="425">
        <f>VLOOKUP(D2312,'[2]ENSAIOS DE ORÇAMENTO'!$C$3:$L$79,6,FALSE)</f>
        <v>0.308576448</v>
      </c>
      <c r="H2315" s="663">
        <f t="shared" si="614"/>
        <v>7.4305208678400003</v>
      </c>
      <c r="I2315" s="420"/>
      <c r="J2315" s="420"/>
      <c r="K2315" s="421">
        <f t="shared" si="607"/>
        <v>0</v>
      </c>
      <c r="L2315" s="647"/>
      <c r="M2315" s="723"/>
      <c r="N2315" s="576">
        <f t="shared" si="597"/>
        <v>0</v>
      </c>
      <c r="O2315" s="577">
        <f t="shared" si="610"/>
        <v>0</v>
      </c>
      <c r="P2315" s="578">
        <f t="shared" si="611"/>
        <v>0</v>
      </c>
      <c r="Q2315" s="765"/>
      <c r="R2315" s="723"/>
      <c r="S2315" s="723"/>
      <c r="T2315" s="577">
        <f t="shared" si="608"/>
        <v>0</v>
      </c>
      <c r="U2315" s="578">
        <f t="shared" si="609"/>
        <v>0</v>
      </c>
      <c r="V2315" s="579"/>
      <c r="W2315" s="566" t="str">
        <f>IF(U2312&gt;0,"xx",IF(P2312&gt;0,"xy",""))</f>
        <v/>
      </c>
      <c r="X2315" s="586" t="str">
        <f t="shared" si="601"/>
        <v/>
      </c>
      <c r="Y2315" s="586" t="str">
        <f t="shared" si="612"/>
        <v/>
      </c>
      <c r="Z2315" s="586" t="str">
        <f t="shared" si="602"/>
        <v/>
      </c>
    </row>
    <row r="2316" spans="1:26" ht="12" hidden="1" thickBot="1" x14ac:dyDescent="0.25">
      <c r="A2316" s="567" t="s">
        <v>168</v>
      </c>
      <c r="B2316" s="644" t="s">
        <v>168</v>
      </c>
      <c r="C2316" s="645"/>
      <c r="D2316" s="422" t="s">
        <v>400</v>
      </c>
      <c r="E2316" s="423"/>
      <c r="F2316" s="424">
        <v>30</v>
      </c>
      <c r="G2316" s="425">
        <f>VLOOKUP(D2312,'[2]ENSAIOS DE ORÇAMENTO'!$C$3:$L$79,3,FALSE)</f>
        <v>0.17055359999999997</v>
      </c>
      <c r="H2316" s="663">
        <f t="shared" si="614"/>
        <v>5.931854207999999</v>
      </c>
      <c r="I2316" s="420"/>
      <c r="J2316" s="420"/>
      <c r="K2316" s="421">
        <f t="shared" si="607"/>
        <v>0</v>
      </c>
      <c r="L2316" s="647"/>
      <c r="M2316" s="723"/>
      <c r="N2316" s="576">
        <f t="shared" si="597"/>
        <v>0</v>
      </c>
      <c r="O2316" s="577">
        <f t="shared" si="610"/>
        <v>0</v>
      </c>
      <c r="P2316" s="578">
        <f t="shared" si="611"/>
        <v>0</v>
      </c>
      <c r="Q2316" s="765"/>
      <c r="R2316" s="723"/>
      <c r="S2316" s="723"/>
      <c r="T2316" s="577">
        <f t="shared" si="608"/>
        <v>0</v>
      </c>
      <c r="U2316" s="578">
        <f t="shared" si="609"/>
        <v>0</v>
      </c>
      <c r="V2316" s="579"/>
      <c r="W2316" s="566" t="str">
        <f>IF(U2312&gt;0,"xx",IF(P2312&gt;0,"xy",""))</f>
        <v/>
      </c>
      <c r="X2316" s="586" t="str">
        <f t="shared" si="601"/>
        <v/>
      </c>
      <c r="Y2316" s="586" t="str">
        <f t="shared" si="612"/>
        <v/>
      </c>
      <c r="Z2316" s="586" t="str">
        <f t="shared" si="602"/>
        <v/>
      </c>
    </row>
    <row r="2317" spans="1:26" ht="12" hidden="1" thickBot="1" x14ac:dyDescent="0.25">
      <c r="A2317" s="567" t="s">
        <v>168</v>
      </c>
      <c r="B2317" s="644" t="s">
        <v>168</v>
      </c>
      <c r="C2317" s="645"/>
      <c r="D2317" s="422" t="s">
        <v>401</v>
      </c>
      <c r="E2317" s="423"/>
      <c r="F2317" s="424">
        <v>500</v>
      </c>
      <c r="G2317" s="425">
        <f>VLOOKUP(D2312,'[2]ENSAIOS DE ORÇAMENTO'!$C$3:$L$79,10,FALSE)</f>
        <v>5.6851199999999992E-3</v>
      </c>
      <c r="H2317" s="649">
        <f>IF(F2317&lt;=30,(0.78*F2317+7.82)*G2317,((0.78*30+7.82)+0.78*(F2317-30))*G2317)</f>
        <v>2.2616544383999999</v>
      </c>
      <c r="I2317" s="420"/>
      <c r="J2317" s="420"/>
      <c r="K2317" s="421">
        <f t="shared" si="607"/>
        <v>0</v>
      </c>
      <c r="L2317" s="647"/>
      <c r="M2317" s="723"/>
      <c r="N2317" s="576">
        <f t="shared" si="597"/>
        <v>0</v>
      </c>
      <c r="O2317" s="577">
        <f t="shared" si="610"/>
        <v>0</v>
      </c>
      <c r="P2317" s="578">
        <f t="shared" si="611"/>
        <v>0</v>
      </c>
      <c r="Q2317" s="765"/>
      <c r="R2317" s="723"/>
      <c r="S2317" s="723"/>
      <c r="T2317" s="577">
        <f t="shared" si="608"/>
        <v>0</v>
      </c>
      <c r="U2317" s="578">
        <f t="shared" si="609"/>
        <v>0</v>
      </c>
      <c r="V2317" s="579"/>
      <c r="W2317" s="566" t="str">
        <f>IF(U2312&gt;0,"xx",IF(P2312&gt;0,"xy",""))</f>
        <v/>
      </c>
      <c r="X2317" s="586" t="str">
        <f t="shared" si="601"/>
        <v/>
      </c>
      <c r="Y2317" s="586" t="str">
        <f t="shared" si="612"/>
        <v/>
      </c>
      <c r="Z2317" s="586" t="str">
        <f t="shared" si="602"/>
        <v/>
      </c>
    </row>
    <row r="2318" spans="1:26" ht="12" hidden="1" thickBot="1" x14ac:dyDescent="0.25">
      <c r="A2318" s="567" t="s">
        <v>36</v>
      </c>
      <c r="B2318" s="644" t="s">
        <v>36</v>
      </c>
      <c r="C2318" s="645" t="s">
        <v>206</v>
      </c>
      <c r="D2318" s="422" t="s">
        <v>100</v>
      </c>
      <c r="E2318" s="423"/>
      <c r="F2318" s="424"/>
      <c r="G2318" s="425"/>
      <c r="H2318" s="651">
        <f>SUM(H2319:H2323)</f>
        <v>185.66531998528004</v>
      </c>
      <c r="I2318" s="420">
        <f>VLOOKUP(D2318,'[2]ENSAIOS DE ORÇAMENTO'!$C$3:$L$79,8,FALSE)</f>
        <v>672.43252495999991</v>
      </c>
      <c r="J2318" s="420">
        <f>IF(ISBLANK(I2318),"",SUM(H2318:I2318))</f>
        <v>858.09784494527992</v>
      </c>
      <c r="K2318" s="421">
        <f t="shared" si="607"/>
        <v>1019.51</v>
      </c>
      <c r="L2318" s="647" t="s">
        <v>21</v>
      </c>
      <c r="M2318" s="576"/>
      <c r="N2318" s="576">
        <f t="shared" si="597"/>
        <v>0</v>
      </c>
      <c r="O2318" s="577">
        <f t="shared" si="610"/>
        <v>0</v>
      </c>
      <c r="P2318" s="578">
        <f t="shared" si="611"/>
        <v>0</v>
      </c>
      <c r="Q2318" s="765"/>
      <c r="R2318" s="576">
        <f>M2318</f>
        <v>0</v>
      </c>
      <c r="S2318" s="576">
        <f>N2318</f>
        <v>0</v>
      </c>
      <c r="T2318" s="577">
        <f t="shared" si="608"/>
        <v>0</v>
      </c>
      <c r="U2318" s="578">
        <f t="shared" si="609"/>
        <v>0</v>
      </c>
      <c r="V2318" s="579"/>
      <c r="W2318" s="566"/>
      <c r="X2318" s="586" t="str">
        <f t="shared" si="601"/>
        <v/>
      </c>
      <c r="Y2318" s="586" t="str">
        <f t="shared" si="612"/>
        <v/>
      </c>
      <c r="Z2318" s="586" t="str">
        <f t="shared" si="602"/>
        <v/>
      </c>
    </row>
    <row r="2319" spans="1:26" ht="12" hidden="1" thickBot="1" x14ac:dyDescent="0.25">
      <c r="A2319" s="567" t="s">
        <v>168</v>
      </c>
      <c r="B2319" s="644" t="s">
        <v>168</v>
      </c>
      <c r="C2319" s="645"/>
      <c r="D2319" s="422" t="s">
        <v>212</v>
      </c>
      <c r="E2319" s="423"/>
      <c r="F2319" s="424">
        <v>500</v>
      </c>
      <c r="G2319" s="425">
        <f>VLOOKUP(D2318,'[2]ENSAIOS DE ORÇAMENTO'!$C$3:$L$79,4,FALSE)</f>
        <v>0.14735024000000002</v>
      </c>
      <c r="H2319" s="649">
        <f>IF(F2319&lt;=30,(0.78*F2319+7.82)*G2319,((0.78*30+7.82)+0.78*(F2319-30))*G2319)</f>
        <v>58.618872476800014</v>
      </c>
      <c r="I2319" s="420"/>
      <c r="J2319" s="420"/>
      <c r="K2319" s="421">
        <f t="shared" si="607"/>
        <v>0</v>
      </c>
      <c r="L2319" s="647"/>
      <c r="M2319" s="723"/>
      <c r="N2319" s="576">
        <f t="shared" si="597"/>
        <v>0</v>
      </c>
      <c r="O2319" s="577">
        <f t="shared" si="610"/>
        <v>0</v>
      </c>
      <c r="P2319" s="578">
        <f t="shared" si="611"/>
        <v>0</v>
      </c>
      <c r="Q2319" s="765"/>
      <c r="R2319" s="723"/>
      <c r="S2319" s="723"/>
      <c r="T2319" s="577">
        <f t="shared" si="608"/>
        <v>0</v>
      </c>
      <c r="U2319" s="578">
        <f t="shared" si="609"/>
        <v>0</v>
      </c>
      <c r="V2319" s="579"/>
      <c r="W2319" s="566" t="str">
        <f>IF(U2318&gt;0,"xx",IF(P2318&gt;0,"xy",""))</f>
        <v/>
      </c>
      <c r="X2319" s="586" t="str">
        <f t="shared" si="601"/>
        <v/>
      </c>
      <c r="Y2319" s="586" t="str">
        <f t="shared" si="612"/>
        <v/>
      </c>
      <c r="Z2319" s="586" t="str">
        <f t="shared" si="602"/>
        <v/>
      </c>
    </row>
    <row r="2320" spans="1:26" ht="12" hidden="1" thickBot="1" x14ac:dyDescent="0.25">
      <c r="A2320" s="567" t="s">
        <v>168</v>
      </c>
      <c r="B2320" s="644" t="s">
        <v>168</v>
      </c>
      <c r="C2320" s="645"/>
      <c r="D2320" s="422" t="s">
        <v>248</v>
      </c>
      <c r="E2320" s="423"/>
      <c r="F2320" s="424">
        <v>180</v>
      </c>
      <c r="G2320" s="425">
        <f>VLOOKUP(D2318,'[2]ENSAIOS DE ORÇAMENTO'!$C$3:$L$79,5,FALSE)</f>
        <v>0.52819569600000005</v>
      </c>
      <c r="H2320" s="663">
        <f t="shared" ref="H2320:H2322" si="615">IF(F2320&lt;=30,(1.07*F2320+2.68)*G2320,((1.07*30+2.68)+1.07*(F2320-30))*G2320)</f>
        <v>103.14605551488</v>
      </c>
      <c r="I2320" s="420"/>
      <c r="J2320" s="420"/>
      <c r="K2320" s="421">
        <f t="shared" si="607"/>
        <v>0</v>
      </c>
      <c r="L2320" s="647"/>
      <c r="M2320" s="723"/>
      <c r="N2320" s="576">
        <f t="shared" si="597"/>
        <v>0</v>
      </c>
      <c r="O2320" s="577">
        <f t="shared" si="610"/>
        <v>0</v>
      </c>
      <c r="P2320" s="578">
        <f t="shared" si="611"/>
        <v>0</v>
      </c>
      <c r="Q2320" s="765"/>
      <c r="R2320" s="723"/>
      <c r="S2320" s="723"/>
      <c r="T2320" s="577">
        <f t="shared" si="608"/>
        <v>0</v>
      </c>
      <c r="U2320" s="578">
        <f t="shared" si="609"/>
        <v>0</v>
      </c>
      <c r="V2320" s="579"/>
      <c r="W2320" s="566" t="str">
        <f>IF(U2318&gt;0,"xx",IF(P2318&gt;0,"xy",""))</f>
        <v/>
      </c>
      <c r="X2320" s="586" t="str">
        <f t="shared" si="601"/>
        <v/>
      </c>
      <c r="Y2320" s="586" t="str">
        <f t="shared" si="612"/>
        <v/>
      </c>
      <c r="Z2320" s="586" t="str">
        <f t="shared" si="602"/>
        <v/>
      </c>
    </row>
    <row r="2321" spans="1:26" ht="12" hidden="1" thickBot="1" x14ac:dyDescent="0.25">
      <c r="A2321" s="567" t="s">
        <v>168</v>
      </c>
      <c r="B2321" s="644" t="s">
        <v>168</v>
      </c>
      <c r="C2321" s="645"/>
      <c r="D2321" s="422" t="s">
        <v>252</v>
      </c>
      <c r="E2321" s="423"/>
      <c r="F2321" s="424">
        <v>20</v>
      </c>
      <c r="G2321" s="425">
        <f>VLOOKUP(D2318,'[2]ENSAIOS DE ORÇAMENTO'!$C$3:$L$79,6,FALSE)</f>
        <v>0.43353936000000004</v>
      </c>
      <c r="H2321" s="663">
        <f t="shared" si="615"/>
        <v>10.439627788800001</v>
      </c>
      <c r="I2321" s="420"/>
      <c r="J2321" s="420"/>
      <c r="K2321" s="421">
        <f t="shared" si="607"/>
        <v>0</v>
      </c>
      <c r="L2321" s="647"/>
      <c r="M2321" s="723"/>
      <c r="N2321" s="576">
        <f t="shared" si="597"/>
        <v>0</v>
      </c>
      <c r="O2321" s="577">
        <f t="shared" si="610"/>
        <v>0</v>
      </c>
      <c r="P2321" s="578">
        <f t="shared" si="611"/>
        <v>0</v>
      </c>
      <c r="Q2321" s="765"/>
      <c r="R2321" s="723"/>
      <c r="S2321" s="723"/>
      <c r="T2321" s="577">
        <f t="shared" si="608"/>
        <v>0</v>
      </c>
      <c r="U2321" s="578">
        <f t="shared" si="609"/>
        <v>0</v>
      </c>
      <c r="V2321" s="579"/>
      <c r="W2321" s="566" t="str">
        <f>IF(U2318&gt;0,"xx",IF(P2318&gt;0,"xy",""))</f>
        <v/>
      </c>
      <c r="X2321" s="586" t="str">
        <f t="shared" si="601"/>
        <v/>
      </c>
      <c r="Y2321" s="586" t="str">
        <f t="shared" si="612"/>
        <v/>
      </c>
      <c r="Z2321" s="586" t="str">
        <f t="shared" si="602"/>
        <v/>
      </c>
    </row>
    <row r="2322" spans="1:26" ht="12" hidden="1" thickBot="1" x14ac:dyDescent="0.25">
      <c r="A2322" s="567" t="s">
        <v>168</v>
      </c>
      <c r="B2322" s="644" t="s">
        <v>168</v>
      </c>
      <c r="C2322" s="645"/>
      <c r="D2322" s="422" t="s">
        <v>400</v>
      </c>
      <c r="E2322" s="423"/>
      <c r="F2322" s="424">
        <v>30</v>
      </c>
      <c r="G2322" s="425">
        <f>VLOOKUP(D2318,'[2]ENSAIOS DE ORÇAMENTO'!$C$3:$L$79,3,FALSE)</f>
        <v>0.28019519999999998</v>
      </c>
      <c r="H2322" s="663">
        <f t="shared" si="615"/>
        <v>9.7451890559999992</v>
      </c>
      <c r="I2322" s="420"/>
      <c r="J2322" s="420"/>
      <c r="K2322" s="421">
        <f t="shared" si="607"/>
        <v>0</v>
      </c>
      <c r="L2322" s="647"/>
      <c r="M2322" s="723"/>
      <c r="N2322" s="576">
        <f t="shared" si="597"/>
        <v>0</v>
      </c>
      <c r="O2322" s="577">
        <f t="shared" si="610"/>
        <v>0</v>
      </c>
      <c r="P2322" s="578">
        <f t="shared" si="611"/>
        <v>0</v>
      </c>
      <c r="Q2322" s="765"/>
      <c r="R2322" s="723"/>
      <c r="S2322" s="723"/>
      <c r="T2322" s="577">
        <f t="shared" si="608"/>
        <v>0</v>
      </c>
      <c r="U2322" s="578">
        <f t="shared" si="609"/>
        <v>0</v>
      </c>
      <c r="V2322" s="579"/>
      <c r="W2322" s="566" t="str">
        <f>IF(U2318&gt;0,"xx",IF(P2318&gt;0,"xy",""))</f>
        <v/>
      </c>
      <c r="X2322" s="586" t="str">
        <f t="shared" si="601"/>
        <v/>
      </c>
      <c r="Y2322" s="586" t="str">
        <f t="shared" si="612"/>
        <v/>
      </c>
      <c r="Z2322" s="586" t="str">
        <f t="shared" si="602"/>
        <v/>
      </c>
    </row>
    <row r="2323" spans="1:26" ht="12" hidden="1" thickBot="1" x14ac:dyDescent="0.25">
      <c r="A2323" s="567" t="s">
        <v>168</v>
      </c>
      <c r="B2323" s="644" t="s">
        <v>168</v>
      </c>
      <c r="C2323" s="645"/>
      <c r="D2323" s="422" t="s">
        <v>401</v>
      </c>
      <c r="E2323" s="423"/>
      <c r="F2323" s="424">
        <v>500</v>
      </c>
      <c r="G2323" s="425">
        <f>VLOOKUP(D2318,'[2]ENSAIOS DE ORÇAMENTO'!$C$3:$L$79,10,FALSE)</f>
        <v>9.3398400000000003E-3</v>
      </c>
      <c r="H2323" s="649">
        <f>IF(F2323&lt;=30,(0.78*F2323+7.82)*G2323,((0.78*30+7.82)+0.78*(F2323-30))*G2323)</f>
        <v>3.7155751488000006</v>
      </c>
      <c r="I2323" s="420"/>
      <c r="J2323" s="420"/>
      <c r="K2323" s="421">
        <f t="shared" si="607"/>
        <v>0</v>
      </c>
      <c r="L2323" s="647"/>
      <c r="M2323" s="723"/>
      <c r="N2323" s="576">
        <f t="shared" si="597"/>
        <v>0</v>
      </c>
      <c r="O2323" s="577">
        <f t="shared" si="610"/>
        <v>0</v>
      </c>
      <c r="P2323" s="578">
        <f t="shared" si="611"/>
        <v>0</v>
      </c>
      <c r="Q2323" s="765"/>
      <c r="R2323" s="723"/>
      <c r="S2323" s="723"/>
      <c r="T2323" s="577">
        <f t="shared" si="608"/>
        <v>0</v>
      </c>
      <c r="U2323" s="578">
        <f t="shared" si="609"/>
        <v>0</v>
      </c>
      <c r="V2323" s="579"/>
      <c r="W2323" s="566" t="str">
        <f>IF(U2318&gt;0,"xx",IF(P2318&gt;0,"xy",""))</f>
        <v/>
      </c>
      <c r="X2323" s="586" t="str">
        <f t="shared" si="601"/>
        <v/>
      </c>
      <c r="Y2323" s="586" t="str">
        <f t="shared" si="612"/>
        <v/>
      </c>
      <c r="Z2323" s="586" t="str">
        <f t="shared" si="602"/>
        <v/>
      </c>
    </row>
    <row r="2324" spans="1:26" ht="12" hidden="1" thickBot="1" x14ac:dyDescent="0.25">
      <c r="A2324" s="567" t="s">
        <v>37</v>
      </c>
      <c r="B2324" s="644" t="s">
        <v>37</v>
      </c>
      <c r="C2324" s="645" t="s">
        <v>206</v>
      </c>
      <c r="D2324" s="422" t="s">
        <v>73</v>
      </c>
      <c r="E2324" s="423"/>
      <c r="F2324" s="424"/>
      <c r="G2324" s="425"/>
      <c r="H2324" s="651">
        <f>SUM(H2325:H2329)</f>
        <v>338.40781276928004</v>
      </c>
      <c r="I2324" s="420">
        <f>VLOOKUP(D2324,'[2]ENSAIOS DE ORÇAMENTO'!$C$3:$L$79,8,FALSE)</f>
        <v>1254.8365582933334</v>
      </c>
      <c r="J2324" s="420">
        <f>IF(ISBLANK(I2324),"",SUM(H2324:I2324))</f>
        <v>1593.2443710626135</v>
      </c>
      <c r="K2324" s="421">
        <f t="shared" si="607"/>
        <v>1892.93</v>
      </c>
      <c r="L2324" s="647" t="s">
        <v>21</v>
      </c>
      <c r="M2324" s="576"/>
      <c r="N2324" s="576">
        <f t="shared" ref="N2324:N2387" si="616">IF(M2324=0,0,K2324)</f>
        <v>0</v>
      </c>
      <c r="O2324" s="577">
        <f t="shared" si="610"/>
        <v>0</v>
      </c>
      <c r="P2324" s="578">
        <f t="shared" si="611"/>
        <v>0</v>
      </c>
      <c r="Q2324" s="765"/>
      <c r="R2324" s="576">
        <f>M2324</f>
        <v>0</v>
      </c>
      <c r="S2324" s="576">
        <f>N2324</f>
        <v>0</v>
      </c>
      <c r="T2324" s="577">
        <f t="shared" si="608"/>
        <v>0</v>
      </c>
      <c r="U2324" s="578">
        <f t="shared" si="609"/>
        <v>0</v>
      </c>
      <c r="V2324" s="579"/>
      <c r="W2324" s="566"/>
      <c r="X2324" s="586" t="str">
        <f t="shared" si="601"/>
        <v/>
      </c>
      <c r="Y2324" s="586" t="str">
        <f t="shared" si="612"/>
        <v/>
      </c>
      <c r="Z2324" s="586" t="str">
        <f t="shared" si="602"/>
        <v/>
      </c>
    </row>
    <row r="2325" spans="1:26" ht="12" hidden="1" thickBot="1" x14ac:dyDescent="0.25">
      <c r="A2325" s="567" t="s">
        <v>168</v>
      </c>
      <c r="B2325" s="644" t="s">
        <v>168</v>
      </c>
      <c r="C2325" s="645"/>
      <c r="D2325" s="422" t="s">
        <v>212</v>
      </c>
      <c r="E2325" s="423"/>
      <c r="F2325" s="424">
        <v>500</v>
      </c>
      <c r="G2325" s="425">
        <f>VLOOKUP(D2324,'[2]ENSAIOS DE ORÇAMENTO'!$C$3:$L$79,4,FALSE)</f>
        <v>0.25613760000000002</v>
      </c>
      <c r="H2325" s="649">
        <f>IF(F2325&lt;=30,(0.78*F2325+7.82)*G2325,((0.78*30+7.82)+0.78*(F2325-30))*G2325)</f>
        <v>101.89666003200003</v>
      </c>
      <c r="I2325" s="420"/>
      <c r="J2325" s="420"/>
      <c r="K2325" s="421">
        <f t="shared" si="607"/>
        <v>0</v>
      </c>
      <c r="L2325" s="647"/>
      <c r="M2325" s="723"/>
      <c r="N2325" s="576">
        <f t="shared" si="616"/>
        <v>0</v>
      </c>
      <c r="O2325" s="577">
        <f t="shared" si="610"/>
        <v>0</v>
      </c>
      <c r="P2325" s="578">
        <f t="shared" si="611"/>
        <v>0</v>
      </c>
      <c r="Q2325" s="765"/>
      <c r="R2325" s="723"/>
      <c r="S2325" s="723"/>
      <c r="T2325" s="577">
        <f t="shared" si="608"/>
        <v>0</v>
      </c>
      <c r="U2325" s="578">
        <f t="shared" si="609"/>
        <v>0</v>
      </c>
      <c r="V2325" s="579"/>
      <c r="W2325" s="566" t="str">
        <f>IF(U2324&gt;0,"xx",IF(P2324&gt;0,"xy",""))</f>
        <v/>
      </c>
      <c r="X2325" s="586" t="str">
        <f t="shared" si="601"/>
        <v/>
      </c>
      <c r="Y2325" s="586" t="str">
        <f t="shared" si="612"/>
        <v/>
      </c>
      <c r="Z2325" s="586" t="str">
        <f t="shared" si="602"/>
        <v/>
      </c>
    </row>
    <row r="2326" spans="1:26" ht="12" hidden="1" thickBot="1" x14ac:dyDescent="0.25">
      <c r="A2326" s="567" t="s">
        <v>168</v>
      </c>
      <c r="B2326" s="644" t="s">
        <v>168</v>
      </c>
      <c r="C2326" s="645"/>
      <c r="D2326" s="422" t="s">
        <v>248</v>
      </c>
      <c r="E2326" s="423"/>
      <c r="F2326" s="424">
        <v>180</v>
      </c>
      <c r="G2326" s="425">
        <f>VLOOKUP(D2324,'[2]ENSAIOS DE ORÇAMENTO'!$C$3:$L$79,5,FALSE)</f>
        <v>0.95694329600000005</v>
      </c>
      <c r="H2326" s="663">
        <f t="shared" ref="H2326:H2328" si="617">IF(F2326&lt;=30,(1.07*F2326+2.68)*G2326,((1.07*30+2.68)+1.07*(F2326-30))*G2326)</f>
        <v>186.87188684288</v>
      </c>
      <c r="I2326" s="420"/>
      <c r="J2326" s="420"/>
      <c r="K2326" s="421">
        <f t="shared" si="607"/>
        <v>0</v>
      </c>
      <c r="L2326" s="647"/>
      <c r="M2326" s="723"/>
      <c r="N2326" s="576">
        <f t="shared" si="616"/>
        <v>0</v>
      </c>
      <c r="O2326" s="577">
        <f t="shared" si="610"/>
        <v>0</v>
      </c>
      <c r="P2326" s="578">
        <f t="shared" si="611"/>
        <v>0</v>
      </c>
      <c r="Q2326" s="765"/>
      <c r="R2326" s="723"/>
      <c r="S2326" s="723"/>
      <c r="T2326" s="577">
        <f t="shared" si="608"/>
        <v>0</v>
      </c>
      <c r="U2326" s="578">
        <f t="shared" si="609"/>
        <v>0</v>
      </c>
      <c r="V2326" s="579"/>
      <c r="W2326" s="566" t="str">
        <f>IF(U2324&gt;0,"xx",IF(P2324&gt;0,"xy",""))</f>
        <v/>
      </c>
      <c r="X2326" s="586" t="str">
        <f t="shared" si="601"/>
        <v/>
      </c>
      <c r="Y2326" s="586" t="str">
        <f t="shared" si="612"/>
        <v/>
      </c>
      <c r="Z2326" s="586" t="str">
        <f t="shared" si="602"/>
        <v/>
      </c>
    </row>
    <row r="2327" spans="1:26" ht="12" hidden="1" thickBot="1" x14ac:dyDescent="0.25">
      <c r="A2327" s="567" t="s">
        <v>168</v>
      </c>
      <c r="B2327" s="644" t="s">
        <v>168</v>
      </c>
      <c r="C2327" s="645"/>
      <c r="D2327" s="422" t="s">
        <v>252</v>
      </c>
      <c r="E2327" s="423"/>
      <c r="F2327" s="424">
        <v>20</v>
      </c>
      <c r="G2327" s="425">
        <f>VLOOKUP(D2324,'[2]ENSAIOS DE ORÇAMENTO'!$C$3:$L$79,6,FALSE)</f>
        <v>0.70038336000000012</v>
      </c>
      <c r="H2327" s="663">
        <f t="shared" si="617"/>
        <v>16.865231308800006</v>
      </c>
      <c r="I2327" s="420"/>
      <c r="J2327" s="420"/>
      <c r="K2327" s="421">
        <f t="shared" si="607"/>
        <v>0</v>
      </c>
      <c r="L2327" s="647"/>
      <c r="M2327" s="723"/>
      <c r="N2327" s="576">
        <f t="shared" si="616"/>
        <v>0</v>
      </c>
      <c r="O2327" s="577">
        <f t="shared" si="610"/>
        <v>0</v>
      </c>
      <c r="P2327" s="578">
        <f t="shared" si="611"/>
        <v>0</v>
      </c>
      <c r="Q2327" s="765"/>
      <c r="R2327" s="723"/>
      <c r="S2327" s="723"/>
      <c r="T2327" s="577">
        <f t="shared" si="608"/>
        <v>0</v>
      </c>
      <c r="U2327" s="578">
        <f t="shared" si="609"/>
        <v>0</v>
      </c>
      <c r="V2327" s="579"/>
      <c r="W2327" s="566" t="str">
        <f>IF(U2324&gt;0,"xx",IF(P2324&gt;0,"xy",""))</f>
        <v/>
      </c>
      <c r="X2327" s="586" t="str">
        <f t="shared" si="601"/>
        <v/>
      </c>
      <c r="Y2327" s="586" t="str">
        <f t="shared" si="612"/>
        <v/>
      </c>
      <c r="Z2327" s="586" t="str">
        <f t="shared" si="602"/>
        <v/>
      </c>
    </row>
    <row r="2328" spans="1:26" ht="12" hidden="1" thickBot="1" x14ac:dyDescent="0.25">
      <c r="A2328" s="567" t="s">
        <v>168</v>
      </c>
      <c r="B2328" s="644" t="s">
        <v>168</v>
      </c>
      <c r="C2328" s="645"/>
      <c r="D2328" s="422" t="s">
        <v>400</v>
      </c>
      <c r="E2328" s="423"/>
      <c r="F2328" s="424">
        <v>30</v>
      </c>
      <c r="G2328" s="425">
        <f>VLOOKUP(D2324,'[2]ENSAIOS DE ORÇAMENTO'!$C$3:$L$79,3,FALSE)</f>
        <v>0.6822144</v>
      </c>
      <c r="H2328" s="663">
        <f t="shared" si="617"/>
        <v>23.727416831999999</v>
      </c>
      <c r="I2328" s="420"/>
      <c r="J2328" s="420"/>
      <c r="K2328" s="421">
        <f t="shared" si="607"/>
        <v>0</v>
      </c>
      <c r="L2328" s="647"/>
      <c r="M2328" s="723"/>
      <c r="N2328" s="576">
        <f t="shared" si="616"/>
        <v>0</v>
      </c>
      <c r="O2328" s="577">
        <f t="shared" si="610"/>
        <v>0</v>
      </c>
      <c r="P2328" s="578">
        <f t="shared" si="611"/>
        <v>0</v>
      </c>
      <c r="Q2328" s="765"/>
      <c r="R2328" s="723"/>
      <c r="S2328" s="723"/>
      <c r="T2328" s="577">
        <f t="shared" si="608"/>
        <v>0</v>
      </c>
      <c r="U2328" s="578">
        <f t="shared" si="609"/>
        <v>0</v>
      </c>
      <c r="V2328" s="579"/>
      <c r="W2328" s="566" t="str">
        <f>IF(U2324&gt;0,"xx",IF(P2324&gt;0,"xy",""))</f>
        <v/>
      </c>
      <c r="X2328" s="586" t="str">
        <f t="shared" si="601"/>
        <v/>
      </c>
      <c r="Y2328" s="586" t="str">
        <f t="shared" si="612"/>
        <v/>
      </c>
      <c r="Z2328" s="586" t="str">
        <f t="shared" si="602"/>
        <v/>
      </c>
    </row>
    <row r="2329" spans="1:26" ht="12" hidden="1" thickBot="1" x14ac:dyDescent="0.25">
      <c r="A2329" s="567" t="s">
        <v>168</v>
      </c>
      <c r="B2329" s="644" t="s">
        <v>168</v>
      </c>
      <c r="C2329" s="645"/>
      <c r="D2329" s="422" t="s">
        <v>401</v>
      </c>
      <c r="E2329" s="423"/>
      <c r="F2329" s="424">
        <v>500</v>
      </c>
      <c r="G2329" s="425">
        <f>VLOOKUP(D2324,'[2]ENSAIOS DE ORÇAMENTO'!$C$3:$L$79,10,FALSE)</f>
        <v>2.274048E-2</v>
      </c>
      <c r="H2329" s="649">
        <f>IF(F2329&lt;=30,(0.78*F2329+7.82)*G2329,((0.78*30+7.82)+0.78*(F2329-30))*G2329)</f>
        <v>9.0466177536000014</v>
      </c>
      <c r="I2329" s="420"/>
      <c r="J2329" s="420"/>
      <c r="K2329" s="421">
        <f t="shared" si="607"/>
        <v>0</v>
      </c>
      <c r="L2329" s="647"/>
      <c r="M2329" s="723"/>
      <c r="N2329" s="576">
        <f t="shared" si="616"/>
        <v>0</v>
      </c>
      <c r="O2329" s="577">
        <f t="shared" si="610"/>
        <v>0</v>
      </c>
      <c r="P2329" s="578">
        <f t="shared" si="611"/>
        <v>0</v>
      </c>
      <c r="Q2329" s="765"/>
      <c r="R2329" s="723"/>
      <c r="S2329" s="723"/>
      <c r="T2329" s="577">
        <f t="shared" si="608"/>
        <v>0</v>
      </c>
      <c r="U2329" s="578">
        <f t="shared" si="609"/>
        <v>0</v>
      </c>
      <c r="V2329" s="579"/>
      <c r="W2329" s="566" t="str">
        <f>IF(U2324&gt;0,"xx",IF(P2324&gt;0,"xy",""))</f>
        <v/>
      </c>
      <c r="X2329" s="586" t="str">
        <f t="shared" si="601"/>
        <v/>
      </c>
      <c r="Y2329" s="586" t="str">
        <f t="shared" si="612"/>
        <v/>
      </c>
      <c r="Z2329" s="586" t="str">
        <f t="shared" si="602"/>
        <v/>
      </c>
    </row>
    <row r="2330" spans="1:26" ht="12" hidden="1" thickBot="1" x14ac:dyDescent="0.25">
      <c r="A2330" s="567" t="s">
        <v>38</v>
      </c>
      <c r="B2330" s="644" t="s">
        <v>38</v>
      </c>
      <c r="C2330" s="645" t="s">
        <v>206</v>
      </c>
      <c r="D2330" s="422" t="s">
        <v>74</v>
      </c>
      <c r="E2330" s="423"/>
      <c r="F2330" s="424"/>
      <c r="G2330" s="425"/>
      <c r="H2330" s="651">
        <f>SUM(H2331:H2335)</f>
        <v>442.79062149376</v>
      </c>
      <c r="I2330" s="420">
        <f>VLOOKUP(D2330,'[2]ENSAIOS DE ORÇAMENTO'!$C$3:$L$79,8,FALSE)</f>
        <v>1636.8346789866664</v>
      </c>
      <c r="J2330" s="420">
        <f>IF(ISBLANK(I2330),"",SUM(H2330:I2330))</f>
        <v>2079.6253004804266</v>
      </c>
      <c r="K2330" s="421">
        <f t="shared" si="607"/>
        <v>2470.8000000000002</v>
      </c>
      <c r="L2330" s="647" t="s">
        <v>21</v>
      </c>
      <c r="M2330" s="576"/>
      <c r="N2330" s="576">
        <f t="shared" si="616"/>
        <v>0</v>
      </c>
      <c r="O2330" s="577">
        <f t="shared" si="610"/>
        <v>0</v>
      </c>
      <c r="P2330" s="578">
        <f t="shared" si="611"/>
        <v>0</v>
      </c>
      <c r="Q2330" s="765"/>
      <c r="R2330" s="576">
        <f>M2330</f>
        <v>0</v>
      </c>
      <c r="S2330" s="576">
        <f>N2330</f>
        <v>0</v>
      </c>
      <c r="T2330" s="577">
        <f t="shared" si="608"/>
        <v>0</v>
      </c>
      <c r="U2330" s="578">
        <f t="shared" si="609"/>
        <v>0</v>
      </c>
      <c r="V2330" s="579"/>
      <c r="W2330" s="566"/>
      <c r="X2330" s="586" t="str">
        <f t="shared" si="601"/>
        <v/>
      </c>
      <c r="Y2330" s="586" t="str">
        <f t="shared" si="612"/>
        <v/>
      </c>
      <c r="Z2330" s="586" t="str">
        <f t="shared" si="602"/>
        <v/>
      </c>
    </row>
    <row r="2331" spans="1:26" ht="12" hidden="1" thickBot="1" x14ac:dyDescent="0.25">
      <c r="A2331" s="567" t="s">
        <v>168</v>
      </c>
      <c r="B2331" s="644" t="s">
        <v>168</v>
      </c>
      <c r="C2331" s="645"/>
      <c r="D2331" s="422" t="s">
        <v>212</v>
      </c>
      <c r="E2331" s="423"/>
      <c r="F2331" s="424">
        <v>500</v>
      </c>
      <c r="G2331" s="425">
        <f>VLOOKUP(D2330,'[2]ENSAIOS DE ORÇAMENTO'!$C$3:$L$79,4,FALSE)</f>
        <v>0.33109503999999995</v>
      </c>
      <c r="H2331" s="649">
        <f>IF(F2331&lt;=30,(0.78*F2331+7.82)*G2331,((0.78*30+7.82)+0.78*(F2331-30))*G2331)</f>
        <v>131.71622881280001</v>
      </c>
      <c r="I2331" s="420"/>
      <c r="J2331" s="420"/>
      <c r="K2331" s="421">
        <f t="shared" si="607"/>
        <v>0</v>
      </c>
      <c r="L2331" s="647"/>
      <c r="M2331" s="723"/>
      <c r="N2331" s="576">
        <f t="shared" si="616"/>
        <v>0</v>
      </c>
      <c r="O2331" s="577">
        <f t="shared" si="610"/>
        <v>0</v>
      </c>
      <c r="P2331" s="578">
        <f t="shared" si="611"/>
        <v>0</v>
      </c>
      <c r="Q2331" s="765"/>
      <c r="R2331" s="723"/>
      <c r="S2331" s="723"/>
      <c r="T2331" s="577">
        <f t="shared" si="608"/>
        <v>0</v>
      </c>
      <c r="U2331" s="578">
        <f t="shared" si="609"/>
        <v>0</v>
      </c>
      <c r="V2331" s="579"/>
      <c r="W2331" s="566" t="str">
        <f>IF(U2330&gt;0,"xx",IF(P2330&gt;0,"xy",""))</f>
        <v/>
      </c>
      <c r="X2331" s="586" t="str">
        <f t="shared" si="601"/>
        <v/>
      </c>
      <c r="Y2331" s="586" t="str">
        <f t="shared" si="612"/>
        <v/>
      </c>
      <c r="Z2331" s="586" t="str">
        <f t="shared" si="602"/>
        <v/>
      </c>
    </row>
    <row r="2332" spans="1:26" ht="12" hidden="1" thickBot="1" x14ac:dyDescent="0.25">
      <c r="A2332" s="567" t="s">
        <v>168</v>
      </c>
      <c r="B2332" s="644" t="s">
        <v>168</v>
      </c>
      <c r="C2332" s="645"/>
      <c r="D2332" s="422" t="s">
        <v>248</v>
      </c>
      <c r="E2332" s="423"/>
      <c r="F2332" s="424">
        <v>180</v>
      </c>
      <c r="G2332" s="425">
        <f>VLOOKUP(D2330,'[2]ENSAIOS DE ORÇAMENTO'!$C$3:$L$79,5,FALSE)</f>
        <v>1.2541824319999999</v>
      </c>
      <c r="H2332" s="663">
        <f t="shared" ref="H2332:H2334" si="618">IF(F2332&lt;=30,(1.07*F2332+2.68)*G2332,((1.07*30+2.68)+1.07*(F2332-30))*G2332)</f>
        <v>244.91674532095999</v>
      </c>
      <c r="I2332" s="420"/>
      <c r="J2332" s="420"/>
      <c r="K2332" s="421">
        <f t="shared" si="607"/>
        <v>0</v>
      </c>
      <c r="L2332" s="647"/>
      <c r="M2332" s="723"/>
      <c r="N2332" s="576">
        <f t="shared" si="616"/>
        <v>0</v>
      </c>
      <c r="O2332" s="577">
        <f t="shared" si="610"/>
        <v>0</v>
      </c>
      <c r="P2332" s="578">
        <f t="shared" si="611"/>
        <v>0</v>
      </c>
      <c r="Q2332" s="765"/>
      <c r="R2332" s="723"/>
      <c r="S2332" s="723"/>
      <c r="T2332" s="577">
        <f t="shared" si="608"/>
        <v>0</v>
      </c>
      <c r="U2332" s="578">
        <f t="shared" si="609"/>
        <v>0</v>
      </c>
      <c r="V2332" s="579"/>
      <c r="W2332" s="566" t="str">
        <f>IF(U2330&gt;0,"xx",IF(P2330&gt;0,"xy",""))</f>
        <v/>
      </c>
      <c r="X2332" s="586" t="str">
        <f t="shared" si="601"/>
        <v/>
      </c>
      <c r="Y2332" s="586" t="str">
        <f t="shared" si="612"/>
        <v/>
      </c>
      <c r="Z2332" s="586" t="str">
        <f t="shared" si="602"/>
        <v/>
      </c>
    </row>
    <row r="2333" spans="1:26" ht="12" hidden="1" thickBot="1" x14ac:dyDescent="0.25">
      <c r="A2333" s="567" t="s">
        <v>168</v>
      </c>
      <c r="B2333" s="644" t="s">
        <v>168</v>
      </c>
      <c r="C2333" s="645"/>
      <c r="D2333" s="422" t="s">
        <v>252</v>
      </c>
      <c r="E2333" s="423"/>
      <c r="F2333" s="424">
        <v>20</v>
      </c>
      <c r="G2333" s="425">
        <f>VLOOKUP(D2330,'[2]ENSAIOS DE ORÇAMENTO'!$C$3:$L$79,6,FALSE)</f>
        <v>0.89487311999999997</v>
      </c>
      <c r="H2333" s="663">
        <f t="shared" si="618"/>
        <v>21.5485447296</v>
      </c>
      <c r="I2333" s="420"/>
      <c r="J2333" s="420"/>
      <c r="K2333" s="421">
        <f t="shared" si="607"/>
        <v>0</v>
      </c>
      <c r="L2333" s="647"/>
      <c r="M2333" s="723"/>
      <c r="N2333" s="576">
        <f t="shared" si="616"/>
        <v>0</v>
      </c>
      <c r="O2333" s="577">
        <f t="shared" si="610"/>
        <v>0</v>
      </c>
      <c r="P2333" s="578">
        <f t="shared" si="611"/>
        <v>0</v>
      </c>
      <c r="Q2333" s="765"/>
      <c r="R2333" s="723"/>
      <c r="S2333" s="723"/>
      <c r="T2333" s="577">
        <f t="shared" si="608"/>
        <v>0</v>
      </c>
      <c r="U2333" s="578">
        <f t="shared" si="609"/>
        <v>0</v>
      </c>
      <c r="V2333" s="579"/>
      <c r="W2333" s="566" t="str">
        <f>IF(U2330&gt;0,"xx",IF(P2330&gt;0,"xy",""))</f>
        <v/>
      </c>
      <c r="X2333" s="586" t="str">
        <f t="shared" si="601"/>
        <v/>
      </c>
      <c r="Y2333" s="586" t="str">
        <f t="shared" si="612"/>
        <v/>
      </c>
      <c r="Z2333" s="586" t="str">
        <f t="shared" si="602"/>
        <v/>
      </c>
    </row>
    <row r="2334" spans="1:26" ht="12" hidden="1" thickBot="1" x14ac:dyDescent="0.25">
      <c r="A2334" s="567" t="s">
        <v>168</v>
      </c>
      <c r="B2334" s="644" t="s">
        <v>168</v>
      </c>
      <c r="C2334" s="645"/>
      <c r="D2334" s="422" t="s">
        <v>400</v>
      </c>
      <c r="E2334" s="423"/>
      <c r="F2334" s="424">
        <v>30</v>
      </c>
      <c r="G2334" s="425">
        <f>VLOOKUP(D2330,'[2]ENSAIOS DE ORÇAMENTO'!$C$3:$L$79,3,FALSE)</f>
        <v>0.92856959999999988</v>
      </c>
      <c r="H2334" s="663">
        <f t="shared" si="618"/>
        <v>32.295650687999995</v>
      </c>
      <c r="I2334" s="420"/>
      <c r="J2334" s="420"/>
      <c r="K2334" s="421">
        <f t="shared" si="607"/>
        <v>0</v>
      </c>
      <c r="L2334" s="647"/>
      <c r="M2334" s="723"/>
      <c r="N2334" s="576">
        <f t="shared" si="616"/>
        <v>0</v>
      </c>
      <c r="O2334" s="577">
        <f t="shared" si="610"/>
        <v>0</v>
      </c>
      <c r="P2334" s="578">
        <f t="shared" si="611"/>
        <v>0</v>
      </c>
      <c r="Q2334" s="765"/>
      <c r="R2334" s="723"/>
      <c r="S2334" s="723"/>
      <c r="T2334" s="577">
        <f t="shared" si="608"/>
        <v>0</v>
      </c>
      <c r="U2334" s="578">
        <f t="shared" si="609"/>
        <v>0</v>
      </c>
      <c r="V2334" s="579"/>
      <c r="W2334" s="566" t="str">
        <f>IF(U2330&gt;0,"xx",IF(P2330&gt;0,"xy",""))</f>
        <v/>
      </c>
      <c r="X2334" s="586" t="str">
        <f t="shared" si="601"/>
        <v/>
      </c>
      <c r="Y2334" s="586" t="str">
        <f t="shared" si="612"/>
        <v/>
      </c>
      <c r="Z2334" s="586" t="str">
        <f t="shared" si="602"/>
        <v/>
      </c>
    </row>
    <row r="2335" spans="1:26" ht="12" hidden="1" thickBot="1" x14ac:dyDescent="0.25">
      <c r="A2335" s="567" t="s">
        <v>168</v>
      </c>
      <c r="B2335" s="644" t="s">
        <v>168</v>
      </c>
      <c r="C2335" s="645"/>
      <c r="D2335" s="422" t="s">
        <v>401</v>
      </c>
      <c r="E2335" s="423"/>
      <c r="F2335" s="424">
        <v>500</v>
      </c>
      <c r="G2335" s="425">
        <f>VLOOKUP(D2330,'[2]ENSAIOS DE ORÇAMENTO'!$C$3:$L$79,10,FALSE)</f>
        <v>3.0952319999999998E-2</v>
      </c>
      <c r="H2335" s="649">
        <f>IF(F2335&lt;=30,(0.78*F2335+7.82)*G2335,((0.78*30+7.82)+0.78*(F2335-30))*G2335)</f>
        <v>12.3134519424</v>
      </c>
      <c r="I2335" s="420"/>
      <c r="J2335" s="420"/>
      <c r="K2335" s="421">
        <f t="shared" si="607"/>
        <v>0</v>
      </c>
      <c r="L2335" s="647"/>
      <c r="M2335" s="723"/>
      <c r="N2335" s="576">
        <f t="shared" si="616"/>
        <v>0</v>
      </c>
      <c r="O2335" s="577">
        <f t="shared" si="610"/>
        <v>0</v>
      </c>
      <c r="P2335" s="578">
        <f t="shared" si="611"/>
        <v>0</v>
      </c>
      <c r="Q2335" s="765"/>
      <c r="R2335" s="723"/>
      <c r="S2335" s="723"/>
      <c r="T2335" s="577">
        <f t="shared" si="608"/>
        <v>0</v>
      </c>
      <c r="U2335" s="578">
        <f t="shared" si="609"/>
        <v>0</v>
      </c>
      <c r="V2335" s="579"/>
      <c r="W2335" s="566" t="str">
        <f>IF(U2330&gt;0,"xx",IF(P2330&gt;0,"xy",""))</f>
        <v/>
      </c>
      <c r="X2335" s="586" t="str">
        <f t="shared" si="601"/>
        <v/>
      </c>
      <c r="Y2335" s="586" t="str">
        <f t="shared" si="612"/>
        <v/>
      </c>
      <c r="Z2335" s="586" t="str">
        <f t="shared" si="602"/>
        <v/>
      </c>
    </row>
    <row r="2336" spans="1:26" ht="12" hidden="1" thickBot="1" x14ac:dyDescent="0.25">
      <c r="A2336" s="567" t="s">
        <v>39</v>
      </c>
      <c r="B2336" s="644" t="s">
        <v>39</v>
      </c>
      <c r="C2336" s="645" t="s">
        <v>206</v>
      </c>
      <c r="D2336" s="422" t="s">
        <v>75</v>
      </c>
      <c r="E2336" s="423"/>
      <c r="F2336" s="424"/>
      <c r="G2336" s="425"/>
      <c r="H2336" s="651">
        <f>SUM(H2337:H2341)</f>
        <v>611.13990876224</v>
      </c>
      <c r="I2336" s="420">
        <f>VLOOKUP(D2336,'[2]ENSAIOS DE ORÇAMENTO'!$C$3:$L$79,8,FALSE)</f>
        <v>2254.8232410133337</v>
      </c>
      <c r="J2336" s="420">
        <f>IF(ISBLANK(I2336),"",SUM(H2336:I2336))</f>
        <v>2865.9631497755736</v>
      </c>
      <c r="K2336" s="421">
        <f t="shared" si="607"/>
        <v>3405.05</v>
      </c>
      <c r="L2336" s="647" t="s">
        <v>21</v>
      </c>
      <c r="M2336" s="576"/>
      <c r="N2336" s="576">
        <f t="shared" si="616"/>
        <v>0</v>
      </c>
      <c r="O2336" s="577">
        <f t="shared" si="610"/>
        <v>0</v>
      </c>
      <c r="P2336" s="578">
        <f t="shared" si="611"/>
        <v>0</v>
      </c>
      <c r="Q2336" s="765"/>
      <c r="R2336" s="576">
        <f>M2336</f>
        <v>0</v>
      </c>
      <c r="S2336" s="576">
        <f>N2336</f>
        <v>0</v>
      </c>
      <c r="T2336" s="577">
        <f t="shared" si="608"/>
        <v>0</v>
      </c>
      <c r="U2336" s="578">
        <f t="shared" si="609"/>
        <v>0</v>
      </c>
      <c r="V2336" s="579"/>
      <c r="W2336" s="566"/>
      <c r="X2336" s="586" t="str">
        <f t="shared" si="601"/>
        <v/>
      </c>
      <c r="Y2336" s="586" t="str">
        <f t="shared" si="612"/>
        <v/>
      </c>
      <c r="Z2336" s="586" t="str">
        <f t="shared" si="602"/>
        <v/>
      </c>
    </row>
    <row r="2337" spans="1:26" ht="12" hidden="1" thickBot="1" x14ac:dyDescent="0.25">
      <c r="A2337" s="567" t="s">
        <v>168</v>
      </c>
      <c r="B2337" s="644" t="s">
        <v>168</v>
      </c>
      <c r="C2337" s="645"/>
      <c r="D2337" s="422" t="s">
        <v>212</v>
      </c>
      <c r="E2337" s="423"/>
      <c r="F2337" s="424">
        <v>500</v>
      </c>
      <c r="G2337" s="425">
        <f>VLOOKUP(D2336,'[2]ENSAIOS DE ORÇAMENTO'!$C$3:$L$79,4,FALSE)</f>
        <v>0.45250179200000007</v>
      </c>
      <c r="H2337" s="649">
        <f>IF(F2337&lt;=30,(0.78*F2337+7.82)*G2337,((0.78*30+7.82)+0.78*(F2337-30))*G2337)</f>
        <v>180.01426289344005</v>
      </c>
      <c r="I2337" s="420"/>
      <c r="J2337" s="420"/>
      <c r="K2337" s="421">
        <f t="shared" si="607"/>
        <v>0</v>
      </c>
      <c r="L2337" s="647"/>
      <c r="M2337" s="723"/>
      <c r="N2337" s="576">
        <f t="shared" si="616"/>
        <v>0</v>
      </c>
      <c r="O2337" s="577">
        <f t="shared" si="610"/>
        <v>0</v>
      </c>
      <c r="P2337" s="578">
        <f t="shared" si="611"/>
        <v>0</v>
      </c>
      <c r="Q2337" s="765"/>
      <c r="R2337" s="723"/>
      <c r="S2337" s="723"/>
      <c r="T2337" s="577">
        <f t="shared" si="608"/>
        <v>0</v>
      </c>
      <c r="U2337" s="578">
        <f t="shared" si="609"/>
        <v>0</v>
      </c>
      <c r="V2337" s="579"/>
      <c r="W2337" s="566" t="str">
        <f>IF(U2336&gt;0,"xx",IF(P2336&gt;0,"xy",""))</f>
        <v/>
      </c>
      <c r="X2337" s="586" t="str">
        <f t="shared" si="601"/>
        <v/>
      </c>
      <c r="Y2337" s="586" t="str">
        <f t="shared" si="612"/>
        <v/>
      </c>
      <c r="Z2337" s="586" t="str">
        <f t="shared" si="602"/>
        <v/>
      </c>
    </row>
    <row r="2338" spans="1:26" ht="12" hidden="1" thickBot="1" x14ac:dyDescent="0.25">
      <c r="A2338" s="567" t="s">
        <v>168</v>
      </c>
      <c r="B2338" s="644" t="s">
        <v>168</v>
      </c>
      <c r="C2338" s="645"/>
      <c r="D2338" s="422" t="s">
        <v>248</v>
      </c>
      <c r="E2338" s="423"/>
      <c r="F2338" s="424">
        <v>180</v>
      </c>
      <c r="G2338" s="425">
        <f>VLOOKUP(D2336,'[2]ENSAIOS DE ORÇAMENTO'!$C$3:$L$79,5,FALSE)</f>
        <v>1.7334338080000002</v>
      </c>
      <c r="H2338" s="663">
        <f t="shared" ref="H2338:H2340" si="619">IF(F2338&lt;=30,(1.07*F2338+2.68)*G2338,((1.07*30+2.68)+1.07*(F2338-30))*G2338)</f>
        <v>338.50495402624006</v>
      </c>
      <c r="I2338" s="420"/>
      <c r="J2338" s="420"/>
      <c r="K2338" s="421">
        <f t="shared" si="607"/>
        <v>0</v>
      </c>
      <c r="L2338" s="647"/>
      <c r="M2338" s="723"/>
      <c r="N2338" s="576">
        <f t="shared" si="616"/>
        <v>0</v>
      </c>
      <c r="O2338" s="577">
        <f t="shared" si="610"/>
        <v>0</v>
      </c>
      <c r="P2338" s="578">
        <f t="shared" si="611"/>
        <v>0</v>
      </c>
      <c r="Q2338" s="765"/>
      <c r="R2338" s="723"/>
      <c r="S2338" s="723"/>
      <c r="T2338" s="577">
        <f t="shared" si="608"/>
        <v>0</v>
      </c>
      <c r="U2338" s="578">
        <f t="shared" si="609"/>
        <v>0</v>
      </c>
      <c r="V2338" s="579"/>
      <c r="W2338" s="566" t="str">
        <f>IF(U2336&gt;0,"xx",IF(P2336&gt;0,"xy",""))</f>
        <v/>
      </c>
      <c r="X2338" s="586" t="str">
        <f t="shared" si="601"/>
        <v/>
      </c>
      <c r="Y2338" s="586" t="str">
        <f t="shared" si="612"/>
        <v/>
      </c>
      <c r="Z2338" s="586" t="str">
        <f t="shared" si="602"/>
        <v/>
      </c>
    </row>
    <row r="2339" spans="1:26" ht="12" hidden="1" thickBot="1" x14ac:dyDescent="0.25">
      <c r="A2339" s="567" t="s">
        <v>168</v>
      </c>
      <c r="B2339" s="644" t="s">
        <v>168</v>
      </c>
      <c r="C2339" s="645"/>
      <c r="D2339" s="422" t="s">
        <v>252</v>
      </c>
      <c r="E2339" s="423"/>
      <c r="F2339" s="424">
        <v>20</v>
      </c>
      <c r="G2339" s="425">
        <f>VLOOKUP(D2336,'[2]ENSAIOS DE ORÇAMENTO'!$C$3:$L$79,6,FALSE)</f>
        <v>1.2150148800000002</v>
      </c>
      <c r="H2339" s="663">
        <f t="shared" si="619"/>
        <v>29.257558310400007</v>
      </c>
      <c r="I2339" s="420"/>
      <c r="J2339" s="420"/>
      <c r="K2339" s="421">
        <f t="shared" si="607"/>
        <v>0</v>
      </c>
      <c r="L2339" s="647"/>
      <c r="M2339" s="723"/>
      <c r="N2339" s="576">
        <f t="shared" si="616"/>
        <v>0</v>
      </c>
      <c r="O2339" s="577">
        <f t="shared" si="610"/>
        <v>0</v>
      </c>
      <c r="P2339" s="578">
        <f t="shared" si="611"/>
        <v>0</v>
      </c>
      <c r="Q2339" s="765"/>
      <c r="R2339" s="723"/>
      <c r="S2339" s="723"/>
      <c r="T2339" s="577">
        <f t="shared" si="608"/>
        <v>0</v>
      </c>
      <c r="U2339" s="578">
        <f t="shared" si="609"/>
        <v>0</v>
      </c>
      <c r="V2339" s="579"/>
      <c r="W2339" s="566" t="str">
        <f>IF(U2336&gt;0,"xx",IF(P2336&gt;0,"xy",""))</f>
        <v/>
      </c>
      <c r="X2339" s="586" t="str">
        <f t="shared" si="601"/>
        <v/>
      </c>
      <c r="Y2339" s="586" t="str">
        <f t="shared" si="612"/>
        <v/>
      </c>
      <c r="Z2339" s="586" t="str">
        <f t="shared" si="602"/>
        <v/>
      </c>
    </row>
    <row r="2340" spans="1:26" ht="12" hidden="1" thickBot="1" x14ac:dyDescent="0.25">
      <c r="A2340" s="567" t="s">
        <v>168</v>
      </c>
      <c r="B2340" s="644" t="s">
        <v>168</v>
      </c>
      <c r="C2340" s="645"/>
      <c r="D2340" s="422" t="s">
        <v>400</v>
      </c>
      <c r="E2340" s="423"/>
      <c r="F2340" s="424">
        <v>30</v>
      </c>
      <c r="G2340" s="425">
        <f>VLOOKUP(D2336,'[2]ENSAIOS DE ORÇAMENTO'!$C$3:$L$79,3,FALSE)</f>
        <v>1.3189478400000001</v>
      </c>
      <c r="H2340" s="663">
        <f t="shared" si="619"/>
        <v>45.873005875200008</v>
      </c>
      <c r="I2340" s="420"/>
      <c r="J2340" s="420"/>
      <c r="K2340" s="421">
        <f t="shared" si="607"/>
        <v>0</v>
      </c>
      <c r="L2340" s="647"/>
      <c r="M2340" s="723"/>
      <c r="N2340" s="576">
        <f t="shared" si="616"/>
        <v>0</v>
      </c>
      <c r="O2340" s="577">
        <f t="shared" si="610"/>
        <v>0</v>
      </c>
      <c r="P2340" s="578">
        <f t="shared" si="611"/>
        <v>0</v>
      </c>
      <c r="Q2340" s="765"/>
      <c r="R2340" s="723"/>
      <c r="S2340" s="723"/>
      <c r="T2340" s="577">
        <f t="shared" si="608"/>
        <v>0</v>
      </c>
      <c r="U2340" s="578">
        <f t="shared" si="609"/>
        <v>0</v>
      </c>
      <c r="V2340" s="579"/>
      <c r="W2340" s="566" t="str">
        <f>IF(U2336&gt;0,"xx",IF(P2336&gt;0,"xy",""))</f>
        <v/>
      </c>
      <c r="X2340" s="586" t="str">
        <f t="shared" si="601"/>
        <v/>
      </c>
      <c r="Y2340" s="586" t="str">
        <f t="shared" si="612"/>
        <v/>
      </c>
      <c r="Z2340" s="586" t="str">
        <f t="shared" si="602"/>
        <v/>
      </c>
    </row>
    <row r="2341" spans="1:26" ht="12" hidden="1" thickBot="1" x14ac:dyDescent="0.25">
      <c r="A2341" s="567" t="s">
        <v>168</v>
      </c>
      <c r="B2341" s="644" t="s">
        <v>168</v>
      </c>
      <c r="C2341" s="645"/>
      <c r="D2341" s="422" t="s">
        <v>401</v>
      </c>
      <c r="E2341" s="423"/>
      <c r="F2341" s="424">
        <v>500</v>
      </c>
      <c r="G2341" s="425">
        <f>VLOOKUP(D2336,'[2]ENSAIOS DE ORÇAMENTO'!$C$3:$L$79,10,FALSE)</f>
        <v>4.3964928000000007E-2</v>
      </c>
      <c r="H2341" s="649">
        <f>IF(F2341&lt;=30,(0.78*F2341+7.82)*G2341,((0.78*30+7.82)+0.78*(F2341-30))*G2341)</f>
        <v>17.490127656960006</v>
      </c>
      <c r="I2341" s="420"/>
      <c r="J2341" s="420"/>
      <c r="K2341" s="421">
        <f t="shared" si="607"/>
        <v>0</v>
      </c>
      <c r="L2341" s="647"/>
      <c r="M2341" s="723"/>
      <c r="N2341" s="576">
        <f t="shared" si="616"/>
        <v>0</v>
      </c>
      <c r="O2341" s="577">
        <f t="shared" si="610"/>
        <v>0</v>
      </c>
      <c r="P2341" s="578">
        <f t="shared" si="611"/>
        <v>0</v>
      </c>
      <c r="Q2341" s="765"/>
      <c r="R2341" s="723"/>
      <c r="S2341" s="723"/>
      <c r="T2341" s="577">
        <f t="shared" si="608"/>
        <v>0</v>
      </c>
      <c r="U2341" s="578">
        <f t="shared" si="609"/>
        <v>0</v>
      </c>
      <c r="V2341" s="579"/>
      <c r="W2341" s="566" t="str">
        <f>IF(U2336&gt;0,"xx",IF(P2336&gt;0,"xy",""))</f>
        <v/>
      </c>
      <c r="X2341" s="586" t="str">
        <f t="shared" si="601"/>
        <v/>
      </c>
      <c r="Y2341" s="586" t="str">
        <f t="shared" si="612"/>
        <v/>
      </c>
      <c r="Z2341" s="586" t="str">
        <f t="shared" si="602"/>
        <v/>
      </c>
    </row>
    <row r="2342" spans="1:26" ht="12" hidden="1" thickBot="1" x14ac:dyDescent="0.25">
      <c r="A2342" s="567" t="s">
        <v>126</v>
      </c>
      <c r="B2342" s="644" t="s">
        <v>126</v>
      </c>
      <c r="C2342" s="645" t="s">
        <v>206</v>
      </c>
      <c r="D2342" s="422" t="s">
        <v>410</v>
      </c>
      <c r="E2342" s="423"/>
      <c r="F2342" s="424"/>
      <c r="G2342" s="425"/>
      <c r="H2342" s="651">
        <f>SUM(H2343:H2347)</f>
        <v>142.4370791808</v>
      </c>
      <c r="I2342" s="420">
        <f>VLOOKUP(D2342,'[2]ENSAIOS DE ORÇAMENTO'!$C$3:$L$79,8,FALSE)</f>
        <v>429.51122421333332</v>
      </c>
      <c r="J2342" s="420">
        <f>IF(ISBLANK(I2342),"",SUM(H2342:I2342))</f>
        <v>571.94830339413329</v>
      </c>
      <c r="K2342" s="421">
        <f t="shared" si="607"/>
        <v>679.53</v>
      </c>
      <c r="L2342" s="647" t="s">
        <v>21</v>
      </c>
      <c r="M2342" s="576"/>
      <c r="N2342" s="576">
        <f t="shared" si="616"/>
        <v>0</v>
      </c>
      <c r="O2342" s="577">
        <f t="shared" si="610"/>
        <v>0</v>
      </c>
      <c r="P2342" s="578">
        <f t="shared" si="611"/>
        <v>0</v>
      </c>
      <c r="Q2342" s="765"/>
      <c r="R2342" s="576">
        <f>M2342</f>
        <v>0</v>
      </c>
      <c r="S2342" s="576">
        <f>N2342</f>
        <v>0</v>
      </c>
      <c r="T2342" s="577">
        <f t="shared" si="608"/>
        <v>0</v>
      </c>
      <c r="U2342" s="578">
        <f t="shared" si="609"/>
        <v>0</v>
      </c>
      <c r="V2342" s="579"/>
      <c r="W2342" s="566"/>
      <c r="X2342" s="586" t="str">
        <f t="shared" si="601"/>
        <v/>
      </c>
      <c r="Y2342" s="586" t="str">
        <f t="shared" si="612"/>
        <v/>
      </c>
      <c r="Z2342" s="586" t="str">
        <f t="shared" si="602"/>
        <v/>
      </c>
    </row>
    <row r="2343" spans="1:26" ht="12" hidden="1" thickBot="1" x14ac:dyDescent="0.25">
      <c r="A2343" s="567" t="s">
        <v>168</v>
      </c>
      <c r="B2343" s="644" t="s">
        <v>168</v>
      </c>
      <c r="C2343" s="645"/>
      <c r="D2343" s="422" t="s">
        <v>212</v>
      </c>
      <c r="E2343" s="423"/>
      <c r="F2343" s="424">
        <v>500</v>
      </c>
      <c r="G2343" s="425">
        <f>VLOOKUP(D2342,'[2]ENSAIOS DE ORÇAMENTO'!$C$3:$L$79,4,FALSE)</f>
        <v>0.1320288</v>
      </c>
      <c r="H2343" s="649">
        <f>IF(F2343&lt;=30,(0.78*F2343+7.82)*G2343,((0.78*30+7.82)+0.78*(F2343-30))*G2343)</f>
        <v>52.523697216000009</v>
      </c>
      <c r="I2343" s="420"/>
      <c r="J2343" s="420"/>
      <c r="K2343" s="421">
        <f t="shared" si="607"/>
        <v>0</v>
      </c>
      <c r="L2343" s="647"/>
      <c r="M2343" s="723"/>
      <c r="N2343" s="576">
        <f t="shared" si="616"/>
        <v>0</v>
      </c>
      <c r="O2343" s="577">
        <f t="shared" si="610"/>
        <v>0</v>
      </c>
      <c r="P2343" s="578">
        <f t="shared" si="611"/>
        <v>0</v>
      </c>
      <c r="Q2343" s="765"/>
      <c r="R2343" s="723"/>
      <c r="S2343" s="723"/>
      <c r="T2343" s="577">
        <f t="shared" si="608"/>
        <v>0</v>
      </c>
      <c r="U2343" s="578">
        <f t="shared" si="609"/>
        <v>0</v>
      </c>
      <c r="V2343" s="579"/>
      <c r="W2343" s="566" t="str">
        <f>IF(U2342&gt;0,"xx",IF(P2342&gt;0,"xy",""))</f>
        <v/>
      </c>
      <c r="X2343" s="586" t="str">
        <f t="shared" si="601"/>
        <v/>
      </c>
      <c r="Y2343" s="586" t="str">
        <f t="shared" si="612"/>
        <v/>
      </c>
      <c r="Z2343" s="586" t="str">
        <f t="shared" si="602"/>
        <v/>
      </c>
    </row>
    <row r="2344" spans="1:26" ht="12" hidden="1" thickBot="1" x14ac:dyDescent="0.25">
      <c r="A2344" s="567" t="s">
        <v>168</v>
      </c>
      <c r="B2344" s="644" t="s">
        <v>168</v>
      </c>
      <c r="C2344" s="645"/>
      <c r="D2344" s="422" t="s">
        <v>248</v>
      </c>
      <c r="E2344" s="423"/>
      <c r="F2344" s="424">
        <v>180</v>
      </c>
      <c r="G2344" s="425">
        <f>VLOOKUP(D2342,'[2]ENSAIOS DE ORÇAMENTO'!$C$3:$L$79,5,FALSE)</f>
        <v>0.40193856</v>
      </c>
      <c r="H2344" s="663">
        <f t="shared" ref="H2344:H2346" si="620">IF(F2344&lt;=30,(1.07*F2344+2.68)*G2344,((1.07*30+2.68)+1.07*(F2344-30))*G2344)</f>
        <v>78.490561996799997</v>
      </c>
      <c r="I2344" s="420"/>
      <c r="J2344" s="420"/>
      <c r="K2344" s="421">
        <f t="shared" si="607"/>
        <v>0</v>
      </c>
      <c r="L2344" s="647"/>
      <c r="M2344" s="723"/>
      <c r="N2344" s="576">
        <f t="shared" si="616"/>
        <v>0</v>
      </c>
      <c r="O2344" s="577">
        <f t="shared" si="610"/>
        <v>0</v>
      </c>
      <c r="P2344" s="578">
        <f t="shared" si="611"/>
        <v>0</v>
      </c>
      <c r="Q2344" s="765"/>
      <c r="R2344" s="723"/>
      <c r="S2344" s="723"/>
      <c r="T2344" s="577">
        <f t="shared" si="608"/>
        <v>0</v>
      </c>
      <c r="U2344" s="578">
        <f t="shared" si="609"/>
        <v>0</v>
      </c>
      <c r="V2344" s="579"/>
      <c r="W2344" s="566" t="str">
        <f>IF(U2342&gt;0,"xx",IF(P2342&gt;0,"xy",""))</f>
        <v/>
      </c>
      <c r="X2344" s="586" t="str">
        <f t="shared" si="601"/>
        <v/>
      </c>
      <c r="Y2344" s="586" t="str">
        <f t="shared" si="612"/>
        <v/>
      </c>
      <c r="Z2344" s="586" t="str">
        <f t="shared" ref="Z2344:Z2407" si="621">IF(W2344="X","x",IF(U2344&gt;0,"x",""))</f>
        <v/>
      </c>
    </row>
    <row r="2345" spans="1:26" ht="12" hidden="1" thickBot="1" x14ac:dyDescent="0.25">
      <c r="A2345" s="567" t="s">
        <v>168</v>
      </c>
      <c r="B2345" s="644" t="s">
        <v>168</v>
      </c>
      <c r="C2345" s="645"/>
      <c r="D2345" s="422" t="s">
        <v>252</v>
      </c>
      <c r="E2345" s="423"/>
      <c r="F2345" s="424">
        <v>20</v>
      </c>
      <c r="G2345" s="425">
        <f>VLOOKUP(D2342,'[2]ENSAIOS DE ORÇAMENTO'!$C$3:$L$79,6,FALSE)</f>
        <v>0.47436960000000006</v>
      </c>
      <c r="H2345" s="663">
        <f t="shared" si="620"/>
        <v>11.422819968000002</v>
      </c>
      <c r="I2345" s="420"/>
      <c r="J2345" s="420"/>
      <c r="K2345" s="421">
        <f t="shared" si="607"/>
        <v>0</v>
      </c>
      <c r="L2345" s="647"/>
      <c r="M2345" s="723"/>
      <c r="N2345" s="576">
        <f t="shared" si="616"/>
        <v>0</v>
      </c>
      <c r="O2345" s="577">
        <f t="shared" si="610"/>
        <v>0</v>
      </c>
      <c r="P2345" s="578">
        <f t="shared" si="611"/>
        <v>0</v>
      </c>
      <c r="Q2345" s="765"/>
      <c r="R2345" s="723"/>
      <c r="S2345" s="723"/>
      <c r="T2345" s="577">
        <f t="shared" si="608"/>
        <v>0</v>
      </c>
      <c r="U2345" s="578">
        <f t="shared" si="609"/>
        <v>0</v>
      </c>
      <c r="V2345" s="579"/>
      <c r="W2345" s="566" t="str">
        <f>IF(U2342&gt;0,"xx",IF(P2342&gt;0,"xy",""))</f>
        <v/>
      </c>
      <c r="X2345" s="586" t="str">
        <f t="shared" si="601"/>
        <v/>
      </c>
      <c r="Y2345" s="586" t="str">
        <f t="shared" si="612"/>
        <v/>
      </c>
      <c r="Z2345" s="586" t="str">
        <f t="shared" si="621"/>
        <v/>
      </c>
    </row>
    <row r="2346" spans="1:26" ht="12" hidden="1" thickBot="1" x14ac:dyDescent="0.25">
      <c r="A2346" s="567" t="s">
        <v>168</v>
      </c>
      <c r="B2346" s="644" t="s">
        <v>168</v>
      </c>
      <c r="C2346" s="645"/>
      <c r="D2346" s="422" t="s">
        <v>400</v>
      </c>
      <c r="E2346" s="423"/>
      <c r="F2346" s="424">
        <v>30</v>
      </c>
      <c r="G2346" s="425">
        <f>VLOOKUP(D2342,'[2]ENSAIOS DE ORÇAMENTO'!$C$3:$L$79,3,FALSE)</f>
        <v>0</v>
      </c>
      <c r="H2346" s="663">
        <f t="shared" si="620"/>
        <v>0</v>
      </c>
      <c r="I2346" s="420"/>
      <c r="J2346" s="420"/>
      <c r="K2346" s="421">
        <f t="shared" si="607"/>
        <v>0</v>
      </c>
      <c r="L2346" s="647"/>
      <c r="M2346" s="723"/>
      <c r="N2346" s="576">
        <f t="shared" si="616"/>
        <v>0</v>
      </c>
      <c r="O2346" s="577">
        <f t="shared" si="610"/>
        <v>0</v>
      </c>
      <c r="P2346" s="578">
        <f t="shared" si="611"/>
        <v>0</v>
      </c>
      <c r="Q2346" s="765"/>
      <c r="R2346" s="723"/>
      <c r="S2346" s="723"/>
      <c r="T2346" s="577">
        <f t="shared" si="608"/>
        <v>0</v>
      </c>
      <c r="U2346" s="578">
        <f t="shared" si="609"/>
        <v>0</v>
      </c>
      <c r="V2346" s="579"/>
      <c r="W2346" s="566" t="str">
        <f>IF(U2342&gt;0,"xx",IF(P2342&gt;0,"xy",""))</f>
        <v/>
      </c>
      <c r="X2346" s="586" t="str">
        <f t="shared" si="601"/>
        <v/>
      </c>
      <c r="Y2346" s="586" t="str">
        <f t="shared" si="612"/>
        <v/>
      </c>
      <c r="Z2346" s="586" t="str">
        <f t="shared" si="621"/>
        <v/>
      </c>
    </row>
    <row r="2347" spans="1:26" ht="12" hidden="1" thickBot="1" x14ac:dyDescent="0.25">
      <c r="A2347" s="567" t="s">
        <v>168</v>
      </c>
      <c r="B2347" s="644" t="s">
        <v>168</v>
      </c>
      <c r="C2347" s="645"/>
      <c r="D2347" s="422" t="s">
        <v>401</v>
      </c>
      <c r="E2347" s="423"/>
      <c r="F2347" s="424">
        <v>500</v>
      </c>
      <c r="G2347" s="425">
        <f>VLOOKUP(D2342,'[2]ENSAIOS DE ORÇAMENTO'!$C$3:$L$79,10,FALSE)</f>
        <v>0</v>
      </c>
      <c r="H2347" s="649">
        <f>IF(F2347&lt;=30,(0.78*F2347+7.82)*G2347,((0.78*30+7.82)+0.78*(F2347-30))*G2347)</f>
        <v>0</v>
      </c>
      <c r="I2347" s="420"/>
      <c r="J2347" s="420"/>
      <c r="K2347" s="421">
        <f t="shared" si="607"/>
        <v>0</v>
      </c>
      <c r="L2347" s="647"/>
      <c r="M2347" s="723"/>
      <c r="N2347" s="576">
        <f t="shared" si="616"/>
        <v>0</v>
      </c>
      <c r="O2347" s="577">
        <f t="shared" si="610"/>
        <v>0</v>
      </c>
      <c r="P2347" s="578">
        <f t="shared" si="611"/>
        <v>0</v>
      </c>
      <c r="Q2347" s="765"/>
      <c r="R2347" s="723"/>
      <c r="S2347" s="723"/>
      <c r="T2347" s="577">
        <f t="shared" si="608"/>
        <v>0</v>
      </c>
      <c r="U2347" s="578">
        <f t="shared" si="609"/>
        <v>0</v>
      </c>
      <c r="V2347" s="579"/>
      <c r="W2347" s="566" t="str">
        <f>IF(U2342&gt;0,"xx",IF(P2342&gt;0,"xy",""))</f>
        <v/>
      </c>
      <c r="X2347" s="586" t="str">
        <f t="shared" ref="X2347:X2410" si="622">IF(W2347="X","x",IF(W2347="xx","x",IF(W2347="xy","x",IF(W2347="y","x",IF(OR(P2347&gt;0,U2347&gt;0),"x","")))))</f>
        <v/>
      </c>
      <c r="Y2347" s="586" t="str">
        <f t="shared" si="612"/>
        <v/>
      </c>
      <c r="Z2347" s="586" t="str">
        <f t="shared" si="621"/>
        <v/>
      </c>
    </row>
    <row r="2348" spans="1:26" ht="12" hidden="1" thickBot="1" x14ac:dyDescent="0.25">
      <c r="A2348" s="567" t="s">
        <v>127</v>
      </c>
      <c r="B2348" s="644" t="s">
        <v>127</v>
      </c>
      <c r="C2348" s="645" t="s">
        <v>206</v>
      </c>
      <c r="D2348" s="422" t="s">
        <v>411</v>
      </c>
      <c r="E2348" s="423"/>
      <c r="F2348" s="424"/>
      <c r="G2348" s="425"/>
      <c r="H2348" s="651">
        <f>SUM(H2349:H2353)</f>
        <v>216.58095652680004</v>
      </c>
      <c r="I2348" s="420">
        <f>VLOOKUP(D2348,'[2]ENSAIOS DE ORÇAMENTO'!$C$3:$L$79,8,FALSE)</f>
        <v>657.68880203333333</v>
      </c>
      <c r="J2348" s="420">
        <f>IF(ISBLANK(I2348),"",SUM(H2348:I2348))</f>
        <v>874.26975856013337</v>
      </c>
      <c r="K2348" s="421">
        <f t="shared" si="607"/>
        <v>1038.72</v>
      </c>
      <c r="L2348" s="647" t="s">
        <v>21</v>
      </c>
      <c r="M2348" s="576"/>
      <c r="N2348" s="576">
        <f t="shared" si="616"/>
        <v>0</v>
      </c>
      <c r="O2348" s="577">
        <f t="shared" si="610"/>
        <v>0</v>
      </c>
      <c r="P2348" s="578">
        <f t="shared" si="611"/>
        <v>0</v>
      </c>
      <c r="Q2348" s="765"/>
      <c r="R2348" s="576">
        <f>M2348</f>
        <v>0</v>
      </c>
      <c r="S2348" s="576">
        <f>N2348</f>
        <v>0</v>
      </c>
      <c r="T2348" s="577">
        <f t="shared" si="608"/>
        <v>0</v>
      </c>
      <c r="U2348" s="578">
        <f t="shared" si="609"/>
        <v>0</v>
      </c>
      <c r="V2348" s="579"/>
      <c r="W2348" s="566"/>
      <c r="X2348" s="586" t="str">
        <f t="shared" si="622"/>
        <v/>
      </c>
      <c r="Y2348" s="586" t="str">
        <f t="shared" si="612"/>
        <v/>
      </c>
      <c r="Z2348" s="586" t="str">
        <f t="shared" si="621"/>
        <v/>
      </c>
    </row>
    <row r="2349" spans="1:26" ht="12" hidden="1" thickBot="1" x14ac:dyDescent="0.25">
      <c r="A2349" s="567" t="s">
        <v>168</v>
      </c>
      <c r="B2349" s="644" t="s">
        <v>168</v>
      </c>
      <c r="C2349" s="645"/>
      <c r="D2349" s="422" t="s">
        <v>212</v>
      </c>
      <c r="E2349" s="423"/>
      <c r="F2349" s="424">
        <v>500</v>
      </c>
      <c r="G2349" s="425">
        <f>VLOOKUP(D2348,'[2]ENSAIOS DE ORÇAMENTO'!$C$3:$L$79,4,FALSE)</f>
        <v>0.20444730000000003</v>
      </c>
      <c r="H2349" s="649">
        <f>IF(F2349&lt;=30,(0.78*F2349+7.82)*G2349,((0.78*30+7.82)+0.78*(F2349-30))*G2349)</f>
        <v>81.333224886000025</v>
      </c>
      <c r="I2349" s="420"/>
      <c r="J2349" s="420"/>
      <c r="K2349" s="421">
        <f t="shared" si="607"/>
        <v>0</v>
      </c>
      <c r="L2349" s="647"/>
      <c r="M2349" s="723"/>
      <c r="N2349" s="576">
        <f t="shared" si="616"/>
        <v>0</v>
      </c>
      <c r="O2349" s="577">
        <f t="shared" si="610"/>
        <v>0</v>
      </c>
      <c r="P2349" s="578">
        <f t="shared" si="611"/>
        <v>0</v>
      </c>
      <c r="Q2349" s="765"/>
      <c r="R2349" s="723"/>
      <c r="S2349" s="723"/>
      <c r="T2349" s="577">
        <f t="shared" si="608"/>
        <v>0</v>
      </c>
      <c r="U2349" s="578">
        <f t="shared" si="609"/>
        <v>0</v>
      </c>
      <c r="V2349" s="579"/>
      <c r="W2349" s="566" t="str">
        <f>IF(U2348&gt;0,"xx",IF(P2348&gt;0,"xy",""))</f>
        <v/>
      </c>
      <c r="X2349" s="586" t="str">
        <f t="shared" si="622"/>
        <v/>
      </c>
      <c r="Y2349" s="586" t="str">
        <f t="shared" si="612"/>
        <v/>
      </c>
      <c r="Z2349" s="586" t="str">
        <f t="shared" si="621"/>
        <v/>
      </c>
    </row>
    <row r="2350" spans="1:26" ht="12" hidden="1" thickBot="1" x14ac:dyDescent="0.25">
      <c r="A2350" s="567" t="s">
        <v>168</v>
      </c>
      <c r="B2350" s="644" t="s">
        <v>168</v>
      </c>
      <c r="C2350" s="645"/>
      <c r="D2350" s="422" t="s">
        <v>248</v>
      </c>
      <c r="E2350" s="423"/>
      <c r="F2350" s="424">
        <v>180</v>
      </c>
      <c r="G2350" s="425">
        <f>VLOOKUP(D2348,'[2]ENSAIOS DE ORÇAMENTO'!$C$3:$L$79,5,FALSE)</f>
        <v>0.60405201000000008</v>
      </c>
      <c r="H2350" s="663">
        <f t="shared" ref="H2350:H2352" si="623">IF(F2350&lt;=30,(1.07*F2350+2.68)*G2350,((1.07*30+2.68)+1.07*(F2350-30))*G2350)</f>
        <v>117.95927651280002</v>
      </c>
      <c r="I2350" s="420"/>
      <c r="J2350" s="420"/>
      <c r="K2350" s="421">
        <f t="shared" si="607"/>
        <v>0</v>
      </c>
      <c r="L2350" s="647"/>
      <c r="M2350" s="723"/>
      <c r="N2350" s="576">
        <f t="shared" si="616"/>
        <v>0</v>
      </c>
      <c r="O2350" s="577">
        <f t="shared" si="610"/>
        <v>0</v>
      </c>
      <c r="P2350" s="578">
        <f t="shared" si="611"/>
        <v>0</v>
      </c>
      <c r="Q2350" s="765"/>
      <c r="R2350" s="723"/>
      <c r="S2350" s="723"/>
      <c r="T2350" s="577">
        <f t="shared" si="608"/>
        <v>0</v>
      </c>
      <c r="U2350" s="578">
        <f t="shared" si="609"/>
        <v>0</v>
      </c>
      <c r="V2350" s="579"/>
      <c r="W2350" s="566" t="str">
        <f>IF(U2348&gt;0,"xx",IF(P2348&gt;0,"xy",""))</f>
        <v/>
      </c>
      <c r="X2350" s="586" t="str">
        <f t="shared" si="622"/>
        <v/>
      </c>
      <c r="Y2350" s="586" t="str">
        <f t="shared" si="612"/>
        <v/>
      </c>
      <c r="Z2350" s="586" t="str">
        <f t="shared" si="621"/>
        <v/>
      </c>
    </row>
    <row r="2351" spans="1:26" ht="12" hidden="1" thickBot="1" x14ac:dyDescent="0.25">
      <c r="A2351" s="567" t="s">
        <v>168</v>
      </c>
      <c r="B2351" s="644" t="s">
        <v>168</v>
      </c>
      <c r="C2351" s="645"/>
      <c r="D2351" s="422" t="s">
        <v>252</v>
      </c>
      <c r="E2351" s="423"/>
      <c r="F2351" s="424">
        <v>20</v>
      </c>
      <c r="G2351" s="425">
        <f>VLOOKUP(D2348,'[2]ENSAIOS DE ORÇAMENTO'!$C$3:$L$79,6,FALSE)</f>
        <v>0.71795910000000007</v>
      </c>
      <c r="H2351" s="663">
        <f t="shared" si="623"/>
        <v>17.288455128000003</v>
      </c>
      <c r="I2351" s="420"/>
      <c r="J2351" s="420"/>
      <c r="K2351" s="421">
        <f t="shared" si="607"/>
        <v>0</v>
      </c>
      <c r="L2351" s="647"/>
      <c r="M2351" s="723"/>
      <c r="N2351" s="576">
        <f t="shared" si="616"/>
        <v>0</v>
      </c>
      <c r="O2351" s="577">
        <f t="shared" si="610"/>
        <v>0</v>
      </c>
      <c r="P2351" s="578">
        <f t="shared" si="611"/>
        <v>0</v>
      </c>
      <c r="Q2351" s="765"/>
      <c r="R2351" s="723"/>
      <c r="S2351" s="723"/>
      <c r="T2351" s="577">
        <f t="shared" si="608"/>
        <v>0</v>
      </c>
      <c r="U2351" s="578">
        <f t="shared" si="609"/>
        <v>0</v>
      </c>
      <c r="V2351" s="579"/>
      <c r="W2351" s="566" t="str">
        <f>IF(U2348&gt;0,"xx",IF(P2348&gt;0,"xy",""))</f>
        <v/>
      </c>
      <c r="X2351" s="586" t="str">
        <f t="shared" si="622"/>
        <v/>
      </c>
      <c r="Y2351" s="586" t="str">
        <f t="shared" si="612"/>
        <v/>
      </c>
      <c r="Z2351" s="586" t="str">
        <f t="shared" si="621"/>
        <v/>
      </c>
    </row>
    <row r="2352" spans="1:26" ht="12" hidden="1" thickBot="1" x14ac:dyDescent="0.25">
      <c r="A2352" s="567" t="s">
        <v>168</v>
      </c>
      <c r="B2352" s="644" t="s">
        <v>168</v>
      </c>
      <c r="C2352" s="645"/>
      <c r="D2352" s="422" t="s">
        <v>400</v>
      </c>
      <c r="E2352" s="423"/>
      <c r="F2352" s="424">
        <v>30</v>
      </c>
      <c r="G2352" s="425">
        <f>VLOOKUP(D2348,'[2]ENSAIOS DE ORÇAMENTO'!$C$3:$L$79,3,FALSE)</f>
        <v>0</v>
      </c>
      <c r="H2352" s="663">
        <f t="shared" si="623"/>
        <v>0</v>
      </c>
      <c r="I2352" s="420"/>
      <c r="J2352" s="420"/>
      <c r="K2352" s="421">
        <f t="shared" si="607"/>
        <v>0</v>
      </c>
      <c r="L2352" s="647"/>
      <c r="M2352" s="723"/>
      <c r="N2352" s="576">
        <f t="shared" si="616"/>
        <v>0</v>
      </c>
      <c r="O2352" s="577">
        <f t="shared" si="610"/>
        <v>0</v>
      </c>
      <c r="P2352" s="578">
        <f t="shared" si="611"/>
        <v>0</v>
      </c>
      <c r="Q2352" s="765"/>
      <c r="R2352" s="723"/>
      <c r="S2352" s="723"/>
      <c r="T2352" s="577">
        <f t="shared" si="608"/>
        <v>0</v>
      </c>
      <c r="U2352" s="578">
        <f t="shared" si="609"/>
        <v>0</v>
      </c>
      <c r="V2352" s="579"/>
      <c r="W2352" s="566" t="str">
        <f>IF(U2348&gt;0,"xx",IF(P2348&gt;0,"xy",""))</f>
        <v/>
      </c>
      <c r="X2352" s="586" t="str">
        <f t="shared" si="622"/>
        <v/>
      </c>
      <c r="Y2352" s="586" t="str">
        <f t="shared" si="612"/>
        <v/>
      </c>
      <c r="Z2352" s="586" t="str">
        <f t="shared" si="621"/>
        <v/>
      </c>
    </row>
    <row r="2353" spans="1:26" ht="12" hidden="1" thickBot="1" x14ac:dyDescent="0.25">
      <c r="A2353" s="567" t="s">
        <v>168</v>
      </c>
      <c r="B2353" s="644" t="s">
        <v>168</v>
      </c>
      <c r="C2353" s="645"/>
      <c r="D2353" s="422" t="s">
        <v>401</v>
      </c>
      <c r="E2353" s="423"/>
      <c r="F2353" s="424">
        <v>500</v>
      </c>
      <c r="G2353" s="425">
        <f>VLOOKUP(D2348,'[2]ENSAIOS DE ORÇAMENTO'!$C$3:$L$79,10,FALSE)</f>
        <v>0</v>
      </c>
      <c r="H2353" s="649">
        <f>IF(F2353&lt;=30,(0.78*F2353+7.82)*G2353,((0.78*30+7.82)+0.78*(F2353-30))*G2353)</f>
        <v>0</v>
      </c>
      <c r="I2353" s="420"/>
      <c r="J2353" s="420"/>
      <c r="K2353" s="421">
        <f t="shared" si="607"/>
        <v>0</v>
      </c>
      <c r="L2353" s="647"/>
      <c r="M2353" s="723"/>
      <c r="N2353" s="576">
        <f t="shared" si="616"/>
        <v>0</v>
      </c>
      <c r="O2353" s="577">
        <f t="shared" si="610"/>
        <v>0</v>
      </c>
      <c r="P2353" s="578">
        <f t="shared" si="611"/>
        <v>0</v>
      </c>
      <c r="Q2353" s="765"/>
      <c r="R2353" s="723"/>
      <c r="S2353" s="723"/>
      <c r="T2353" s="577">
        <f t="shared" si="608"/>
        <v>0</v>
      </c>
      <c r="U2353" s="578">
        <f t="shared" si="609"/>
        <v>0</v>
      </c>
      <c r="V2353" s="579"/>
      <c r="W2353" s="566" t="str">
        <f>IF(U2348&gt;0,"xx",IF(P2348&gt;0,"xy",""))</f>
        <v/>
      </c>
      <c r="X2353" s="586" t="str">
        <f t="shared" si="622"/>
        <v/>
      </c>
      <c r="Y2353" s="586" t="str">
        <f t="shared" si="612"/>
        <v/>
      </c>
      <c r="Z2353" s="586" t="str">
        <f t="shared" si="621"/>
        <v/>
      </c>
    </row>
    <row r="2354" spans="1:26" ht="12" hidden="1" thickBot="1" x14ac:dyDescent="0.25">
      <c r="A2354" s="567" t="s">
        <v>128</v>
      </c>
      <c r="B2354" s="644" t="s">
        <v>128</v>
      </c>
      <c r="C2354" s="645" t="s">
        <v>206</v>
      </c>
      <c r="D2354" s="422" t="s">
        <v>412</v>
      </c>
      <c r="E2354" s="423"/>
      <c r="F2354" s="424"/>
      <c r="G2354" s="425"/>
      <c r="H2354" s="651">
        <f>SUM(H2355:H2359)</f>
        <v>402.09418051819995</v>
      </c>
      <c r="I2354" s="420">
        <f>VLOOKUP(D2354,'[2]ENSAIOS DE ORÇAMENTO'!$C$3:$L$79,8,FALSE)</f>
        <v>1151.1882539166666</v>
      </c>
      <c r="J2354" s="420">
        <f>IF(ISBLANK(I2354),"",SUM(H2354:I2354))</f>
        <v>1553.2824344348664</v>
      </c>
      <c r="K2354" s="421">
        <f t="shared" si="607"/>
        <v>1845.45</v>
      </c>
      <c r="L2354" s="647" t="s">
        <v>21</v>
      </c>
      <c r="M2354" s="576"/>
      <c r="N2354" s="576">
        <f t="shared" si="616"/>
        <v>0</v>
      </c>
      <c r="O2354" s="577">
        <f t="shared" si="610"/>
        <v>0</v>
      </c>
      <c r="P2354" s="578">
        <f t="shared" si="611"/>
        <v>0</v>
      </c>
      <c r="Q2354" s="765"/>
      <c r="R2354" s="576">
        <f>M2354</f>
        <v>0</v>
      </c>
      <c r="S2354" s="576">
        <f>N2354</f>
        <v>0</v>
      </c>
      <c r="T2354" s="577">
        <f t="shared" si="608"/>
        <v>0</v>
      </c>
      <c r="U2354" s="578">
        <f t="shared" si="609"/>
        <v>0</v>
      </c>
      <c r="V2354" s="579"/>
      <c r="W2354" s="566"/>
      <c r="X2354" s="586" t="str">
        <f t="shared" si="622"/>
        <v/>
      </c>
      <c r="Y2354" s="586" t="str">
        <f t="shared" si="612"/>
        <v/>
      </c>
      <c r="Z2354" s="586" t="str">
        <f t="shared" si="621"/>
        <v/>
      </c>
    </row>
    <row r="2355" spans="1:26" ht="12" hidden="1" thickBot="1" x14ac:dyDescent="0.25">
      <c r="A2355" s="567" t="s">
        <v>168</v>
      </c>
      <c r="B2355" s="644" t="s">
        <v>168</v>
      </c>
      <c r="C2355" s="645"/>
      <c r="D2355" s="422" t="s">
        <v>212</v>
      </c>
      <c r="E2355" s="423"/>
      <c r="F2355" s="424">
        <v>500</v>
      </c>
      <c r="G2355" s="425">
        <f>VLOOKUP(D2354,'[2]ENSAIOS DE ORÇAMENTO'!$C$3:$L$79,4,FALSE)</f>
        <v>0.38327894999999995</v>
      </c>
      <c r="H2355" s="649">
        <f>IF(F2355&lt;=30,(0.78*F2355+7.82)*G2355,((0.78*30+7.82)+0.78*(F2355-30))*G2355)</f>
        <v>152.47603188900001</v>
      </c>
      <c r="I2355" s="420"/>
      <c r="J2355" s="420"/>
      <c r="K2355" s="421">
        <f t="shared" si="607"/>
        <v>0</v>
      </c>
      <c r="L2355" s="647"/>
      <c r="M2355" s="723"/>
      <c r="N2355" s="576">
        <f t="shared" si="616"/>
        <v>0</v>
      </c>
      <c r="O2355" s="577">
        <f t="shared" si="610"/>
        <v>0</v>
      </c>
      <c r="P2355" s="578">
        <f t="shared" si="611"/>
        <v>0</v>
      </c>
      <c r="Q2355" s="765"/>
      <c r="R2355" s="723"/>
      <c r="S2355" s="723"/>
      <c r="T2355" s="577">
        <f t="shared" si="608"/>
        <v>0</v>
      </c>
      <c r="U2355" s="578">
        <f t="shared" si="609"/>
        <v>0</v>
      </c>
      <c r="V2355" s="579"/>
      <c r="W2355" s="566" t="str">
        <f>IF(U2354&gt;0,"xx",IF(P2354&gt;0,"xy",""))</f>
        <v/>
      </c>
      <c r="X2355" s="586" t="str">
        <f t="shared" si="622"/>
        <v/>
      </c>
      <c r="Y2355" s="586" t="str">
        <f t="shared" si="612"/>
        <v/>
      </c>
      <c r="Z2355" s="586" t="str">
        <f t="shared" si="621"/>
        <v/>
      </c>
    </row>
    <row r="2356" spans="1:26" ht="12" hidden="1" thickBot="1" x14ac:dyDescent="0.25">
      <c r="A2356" s="567" t="s">
        <v>168</v>
      </c>
      <c r="B2356" s="644" t="s">
        <v>168</v>
      </c>
      <c r="C2356" s="645"/>
      <c r="D2356" s="422" t="s">
        <v>248</v>
      </c>
      <c r="E2356" s="423"/>
      <c r="F2356" s="424">
        <v>180</v>
      </c>
      <c r="G2356" s="425">
        <f>VLOOKUP(D2354,'[2]ENSAIOS DE ORÇAMENTO'!$C$3:$L$79,5,FALSE)</f>
        <v>1.1143076149999998</v>
      </c>
      <c r="H2356" s="663">
        <f t="shared" ref="H2356:H2358" si="624">IF(F2356&lt;=30,(1.07*F2356+2.68)*G2356,((1.07*30+2.68)+1.07*(F2356-30))*G2356)</f>
        <v>217.60199105719994</v>
      </c>
      <c r="I2356" s="420"/>
      <c r="J2356" s="420"/>
      <c r="K2356" s="421">
        <f t="shared" si="607"/>
        <v>0</v>
      </c>
      <c r="L2356" s="647"/>
      <c r="M2356" s="723"/>
      <c r="N2356" s="576">
        <f t="shared" si="616"/>
        <v>0</v>
      </c>
      <c r="O2356" s="577">
        <f t="shared" si="610"/>
        <v>0</v>
      </c>
      <c r="P2356" s="578">
        <f t="shared" si="611"/>
        <v>0</v>
      </c>
      <c r="Q2356" s="765"/>
      <c r="R2356" s="723"/>
      <c r="S2356" s="723"/>
      <c r="T2356" s="577">
        <f t="shared" si="608"/>
        <v>0</v>
      </c>
      <c r="U2356" s="578">
        <f t="shared" si="609"/>
        <v>0</v>
      </c>
      <c r="V2356" s="579"/>
      <c r="W2356" s="566" t="str">
        <f>IF(U2354&gt;0,"xx",IF(P2354&gt;0,"xy",""))</f>
        <v/>
      </c>
      <c r="X2356" s="586" t="str">
        <f t="shared" si="622"/>
        <v/>
      </c>
      <c r="Y2356" s="586" t="str">
        <f t="shared" si="612"/>
        <v/>
      </c>
      <c r="Z2356" s="586" t="str">
        <f t="shared" si="621"/>
        <v/>
      </c>
    </row>
    <row r="2357" spans="1:26" ht="12" hidden="1" thickBot="1" x14ac:dyDescent="0.25">
      <c r="A2357" s="567" t="s">
        <v>168</v>
      </c>
      <c r="B2357" s="644" t="s">
        <v>168</v>
      </c>
      <c r="C2357" s="645"/>
      <c r="D2357" s="422" t="s">
        <v>252</v>
      </c>
      <c r="E2357" s="423"/>
      <c r="F2357" s="424">
        <v>20</v>
      </c>
      <c r="G2357" s="425">
        <f>VLOOKUP(D2354,'[2]ENSAIOS DE ORÇAMENTO'!$C$3:$L$79,6,FALSE)</f>
        <v>1.3295746499999999</v>
      </c>
      <c r="H2357" s="663">
        <f t="shared" si="624"/>
        <v>32.016157571999997</v>
      </c>
      <c r="I2357" s="420"/>
      <c r="J2357" s="420"/>
      <c r="K2357" s="421">
        <f t="shared" si="607"/>
        <v>0</v>
      </c>
      <c r="L2357" s="647"/>
      <c r="M2357" s="723"/>
      <c r="N2357" s="576">
        <f t="shared" si="616"/>
        <v>0</v>
      </c>
      <c r="O2357" s="577">
        <f t="shared" si="610"/>
        <v>0</v>
      </c>
      <c r="P2357" s="578">
        <f t="shared" si="611"/>
        <v>0</v>
      </c>
      <c r="Q2357" s="765"/>
      <c r="R2357" s="723"/>
      <c r="S2357" s="723"/>
      <c r="T2357" s="577">
        <f t="shared" si="608"/>
        <v>0</v>
      </c>
      <c r="U2357" s="578">
        <f t="shared" si="609"/>
        <v>0</v>
      </c>
      <c r="V2357" s="579"/>
      <c r="W2357" s="566" t="str">
        <f>IF(U2354&gt;0,"xx",IF(P2354&gt;0,"xy",""))</f>
        <v/>
      </c>
      <c r="X2357" s="586" t="str">
        <f t="shared" si="622"/>
        <v/>
      </c>
      <c r="Y2357" s="586" t="str">
        <f t="shared" si="612"/>
        <v/>
      </c>
      <c r="Z2357" s="586" t="str">
        <f t="shared" si="621"/>
        <v/>
      </c>
    </row>
    <row r="2358" spans="1:26" ht="12" hidden="1" thickBot="1" x14ac:dyDescent="0.25">
      <c r="A2358" s="567" t="s">
        <v>168</v>
      </c>
      <c r="B2358" s="644" t="s">
        <v>168</v>
      </c>
      <c r="C2358" s="645"/>
      <c r="D2358" s="422" t="s">
        <v>400</v>
      </c>
      <c r="E2358" s="423"/>
      <c r="F2358" s="424">
        <v>30</v>
      </c>
      <c r="G2358" s="425">
        <f>VLOOKUP(D2354,'[2]ENSAIOS DE ORÇAMENTO'!$C$3:$L$79,3,FALSE)</f>
        <v>0</v>
      </c>
      <c r="H2358" s="663">
        <f t="shared" si="624"/>
        <v>0</v>
      </c>
      <c r="I2358" s="420"/>
      <c r="J2358" s="420"/>
      <c r="K2358" s="421">
        <f t="shared" si="607"/>
        <v>0</v>
      </c>
      <c r="L2358" s="647"/>
      <c r="M2358" s="723"/>
      <c r="N2358" s="576">
        <f t="shared" si="616"/>
        <v>0</v>
      </c>
      <c r="O2358" s="577">
        <f t="shared" si="610"/>
        <v>0</v>
      </c>
      <c r="P2358" s="578">
        <f t="shared" si="611"/>
        <v>0</v>
      </c>
      <c r="Q2358" s="765"/>
      <c r="R2358" s="723"/>
      <c r="S2358" s="723"/>
      <c r="T2358" s="577">
        <f t="shared" si="608"/>
        <v>0</v>
      </c>
      <c r="U2358" s="578">
        <f t="shared" si="609"/>
        <v>0</v>
      </c>
      <c r="V2358" s="579"/>
      <c r="W2358" s="566" t="str">
        <f>IF(U2354&gt;0,"xx",IF(P2354&gt;0,"xy",""))</f>
        <v/>
      </c>
      <c r="X2358" s="586" t="str">
        <f t="shared" si="622"/>
        <v/>
      </c>
      <c r="Y2358" s="586" t="str">
        <f t="shared" si="612"/>
        <v/>
      </c>
      <c r="Z2358" s="586" t="str">
        <f t="shared" si="621"/>
        <v/>
      </c>
    </row>
    <row r="2359" spans="1:26" ht="12" hidden="1" thickBot="1" x14ac:dyDescent="0.25">
      <c r="A2359" s="567" t="s">
        <v>168</v>
      </c>
      <c r="B2359" s="644" t="s">
        <v>168</v>
      </c>
      <c r="C2359" s="645"/>
      <c r="D2359" s="422" t="s">
        <v>401</v>
      </c>
      <c r="E2359" s="423"/>
      <c r="F2359" s="424">
        <v>500</v>
      </c>
      <c r="G2359" s="425">
        <f>VLOOKUP(D2354,'[2]ENSAIOS DE ORÇAMENTO'!$C$3:$L$79,10,FALSE)</f>
        <v>0</v>
      </c>
      <c r="H2359" s="649">
        <f>IF(F2359&lt;=30,(0.78*F2359+7.82)*G2359,((0.78*30+7.82)+0.78*(F2359-30))*G2359)</f>
        <v>0</v>
      </c>
      <c r="I2359" s="420"/>
      <c r="J2359" s="420"/>
      <c r="K2359" s="421">
        <f t="shared" si="607"/>
        <v>0</v>
      </c>
      <c r="L2359" s="647"/>
      <c r="M2359" s="723"/>
      <c r="N2359" s="576">
        <f t="shared" si="616"/>
        <v>0</v>
      </c>
      <c r="O2359" s="577">
        <f t="shared" si="610"/>
        <v>0</v>
      </c>
      <c r="P2359" s="578">
        <f t="shared" si="611"/>
        <v>0</v>
      </c>
      <c r="Q2359" s="765"/>
      <c r="R2359" s="723"/>
      <c r="S2359" s="723"/>
      <c r="T2359" s="577">
        <f t="shared" si="608"/>
        <v>0</v>
      </c>
      <c r="U2359" s="578">
        <f t="shared" si="609"/>
        <v>0</v>
      </c>
      <c r="V2359" s="579"/>
      <c r="W2359" s="566" t="str">
        <f>IF(U2354&gt;0,"xx",IF(P2354&gt;0,"xy",""))</f>
        <v/>
      </c>
      <c r="X2359" s="586" t="str">
        <f t="shared" si="622"/>
        <v/>
      </c>
      <c r="Y2359" s="586" t="str">
        <f t="shared" si="612"/>
        <v/>
      </c>
      <c r="Z2359" s="586" t="str">
        <f t="shared" si="621"/>
        <v/>
      </c>
    </row>
    <row r="2360" spans="1:26" ht="12" hidden="1" thickBot="1" x14ac:dyDescent="0.25">
      <c r="A2360" s="567" t="s">
        <v>129</v>
      </c>
      <c r="B2360" s="644" t="s">
        <v>129</v>
      </c>
      <c r="C2360" s="645" t="s">
        <v>206</v>
      </c>
      <c r="D2360" s="422" t="s">
        <v>413</v>
      </c>
      <c r="E2360" s="423"/>
      <c r="F2360" s="424"/>
      <c r="G2360" s="425"/>
      <c r="H2360" s="651">
        <f>SUM(H2361:H2365)</f>
        <v>590.83642489520014</v>
      </c>
      <c r="I2360" s="420">
        <f>VLOOKUP(D2360,'[2]ENSAIOS DE ORÇAMENTO'!$C$3:$L$79,8,FALSE)</f>
        <v>1584.5382719333334</v>
      </c>
      <c r="J2360" s="420">
        <f>IF(ISBLANK(I2360),"",SUM(H2360:I2360))</f>
        <v>2175.3746968285336</v>
      </c>
      <c r="K2360" s="421">
        <f t="shared" si="607"/>
        <v>2584.56</v>
      </c>
      <c r="L2360" s="647" t="s">
        <v>21</v>
      </c>
      <c r="M2360" s="576"/>
      <c r="N2360" s="576">
        <f t="shared" si="616"/>
        <v>0</v>
      </c>
      <c r="O2360" s="577">
        <f t="shared" si="610"/>
        <v>0</v>
      </c>
      <c r="P2360" s="578">
        <f t="shared" si="611"/>
        <v>0</v>
      </c>
      <c r="Q2360" s="765"/>
      <c r="R2360" s="576">
        <f>M2360</f>
        <v>0</v>
      </c>
      <c r="S2360" s="576">
        <f>N2360</f>
        <v>0</v>
      </c>
      <c r="T2360" s="577">
        <f t="shared" si="608"/>
        <v>0</v>
      </c>
      <c r="U2360" s="578">
        <f t="shared" si="609"/>
        <v>0</v>
      </c>
      <c r="V2360" s="579"/>
      <c r="W2360" s="566"/>
      <c r="X2360" s="586" t="str">
        <f t="shared" si="622"/>
        <v/>
      </c>
      <c r="Y2360" s="586" t="str">
        <f t="shared" si="612"/>
        <v/>
      </c>
      <c r="Z2360" s="586" t="str">
        <f t="shared" si="621"/>
        <v/>
      </c>
    </row>
    <row r="2361" spans="1:26" ht="12" hidden="1" thickBot="1" x14ac:dyDescent="0.25">
      <c r="A2361" s="567" t="s">
        <v>168</v>
      </c>
      <c r="B2361" s="644" t="s">
        <v>168</v>
      </c>
      <c r="C2361" s="645"/>
      <c r="D2361" s="422" t="s">
        <v>212</v>
      </c>
      <c r="E2361" s="423"/>
      <c r="F2361" s="424">
        <v>500</v>
      </c>
      <c r="G2361" s="425">
        <f>VLOOKUP(D2360,'[2]ENSAIOS DE ORÇAMENTO'!$C$3:$L$79,4,FALSE)</f>
        <v>0.56408220000000009</v>
      </c>
      <c r="H2361" s="649">
        <f>IF(F2361&lt;=30,(0.78*F2361+7.82)*G2361,((0.78*30+7.82)+0.78*(F2361-30))*G2361)</f>
        <v>224.40318080400007</v>
      </c>
      <c r="I2361" s="420"/>
      <c r="J2361" s="420"/>
      <c r="K2361" s="421">
        <f t="shared" si="607"/>
        <v>0</v>
      </c>
      <c r="L2361" s="647"/>
      <c r="M2361" s="723"/>
      <c r="N2361" s="576">
        <f t="shared" si="616"/>
        <v>0</v>
      </c>
      <c r="O2361" s="577">
        <f t="shared" si="610"/>
        <v>0</v>
      </c>
      <c r="P2361" s="578">
        <f t="shared" si="611"/>
        <v>0</v>
      </c>
      <c r="Q2361" s="765"/>
      <c r="R2361" s="723"/>
      <c r="S2361" s="723"/>
      <c r="T2361" s="577">
        <f t="shared" si="608"/>
        <v>0</v>
      </c>
      <c r="U2361" s="578">
        <f t="shared" si="609"/>
        <v>0</v>
      </c>
      <c r="V2361" s="579"/>
      <c r="W2361" s="566" t="str">
        <f>IF(U2360&gt;0,"xx",IF(P2360&gt;0,"xy",""))</f>
        <v/>
      </c>
      <c r="X2361" s="586" t="str">
        <f t="shared" si="622"/>
        <v/>
      </c>
      <c r="Y2361" s="586" t="str">
        <f t="shared" si="612"/>
        <v/>
      </c>
      <c r="Z2361" s="586" t="str">
        <f t="shared" si="621"/>
        <v/>
      </c>
    </row>
    <row r="2362" spans="1:26" ht="12" hidden="1" thickBot="1" x14ac:dyDescent="0.25">
      <c r="A2362" s="567" t="s">
        <v>168</v>
      </c>
      <c r="B2362" s="644" t="s">
        <v>168</v>
      </c>
      <c r="C2362" s="645"/>
      <c r="D2362" s="422" t="s">
        <v>248</v>
      </c>
      <c r="E2362" s="423"/>
      <c r="F2362" s="424">
        <v>180</v>
      </c>
      <c r="G2362" s="425">
        <f>VLOOKUP(D2360,'[2]ENSAIOS DE ORÇAMENTO'!$C$3:$L$79,5,FALSE)</f>
        <v>1.6356421400000001</v>
      </c>
      <c r="H2362" s="663">
        <f t="shared" ref="H2362:H2364" si="625">IF(F2362&lt;=30,(1.07*F2362+2.68)*G2362,((1.07*30+2.68)+1.07*(F2362-30))*G2362)</f>
        <v>319.40819709920004</v>
      </c>
      <c r="I2362" s="420"/>
      <c r="J2362" s="420"/>
      <c r="K2362" s="421">
        <f t="shared" si="607"/>
        <v>0</v>
      </c>
      <c r="L2362" s="647"/>
      <c r="M2362" s="723"/>
      <c r="N2362" s="576">
        <f t="shared" si="616"/>
        <v>0</v>
      </c>
      <c r="O2362" s="577">
        <f t="shared" si="610"/>
        <v>0</v>
      </c>
      <c r="P2362" s="578">
        <f t="shared" si="611"/>
        <v>0</v>
      </c>
      <c r="Q2362" s="765"/>
      <c r="R2362" s="723"/>
      <c r="S2362" s="723"/>
      <c r="T2362" s="577">
        <f t="shared" si="608"/>
        <v>0</v>
      </c>
      <c r="U2362" s="578">
        <f t="shared" si="609"/>
        <v>0</v>
      </c>
      <c r="V2362" s="579"/>
      <c r="W2362" s="566" t="str">
        <f>IF(U2360&gt;0,"xx",IF(P2360&gt;0,"xy",""))</f>
        <v/>
      </c>
      <c r="X2362" s="586" t="str">
        <f t="shared" si="622"/>
        <v/>
      </c>
      <c r="Y2362" s="586" t="str">
        <f t="shared" si="612"/>
        <v/>
      </c>
      <c r="Z2362" s="586" t="str">
        <f t="shared" si="621"/>
        <v/>
      </c>
    </row>
    <row r="2363" spans="1:26" ht="12" hidden="1" thickBot="1" x14ac:dyDescent="0.25">
      <c r="A2363" s="567" t="s">
        <v>168</v>
      </c>
      <c r="B2363" s="644" t="s">
        <v>168</v>
      </c>
      <c r="C2363" s="645"/>
      <c r="D2363" s="422" t="s">
        <v>252</v>
      </c>
      <c r="E2363" s="423"/>
      <c r="F2363" s="424">
        <v>20</v>
      </c>
      <c r="G2363" s="425">
        <f>VLOOKUP(D2360,'[2]ENSAIOS DE ORÇAMENTO'!$C$3:$L$79,6,FALSE)</f>
        <v>1.9528674000000004</v>
      </c>
      <c r="H2363" s="663">
        <f t="shared" si="625"/>
        <v>47.025046992000014</v>
      </c>
      <c r="I2363" s="420"/>
      <c r="J2363" s="420"/>
      <c r="K2363" s="421">
        <f t="shared" si="607"/>
        <v>0</v>
      </c>
      <c r="L2363" s="647"/>
      <c r="M2363" s="723"/>
      <c r="N2363" s="576">
        <f t="shared" si="616"/>
        <v>0</v>
      </c>
      <c r="O2363" s="577">
        <f t="shared" si="610"/>
        <v>0</v>
      </c>
      <c r="P2363" s="578">
        <f t="shared" si="611"/>
        <v>0</v>
      </c>
      <c r="Q2363" s="765"/>
      <c r="R2363" s="723"/>
      <c r="S2363" s="723"/>
      <c r="T2363" s="577">
        <f t="shared" si="608"/>
        <v>0</v>
      </c>
      <c r="U2363" s="578">
        <f t="shared" si="609"/>
        <v>0</v>
      </c>
      <c r="V2363" s="579"/>
      <c r="W2363" s="566" t="str">
        <f>IF(U2360&gt;0,"xx",IF(P2360&gt;0,"xy",""))</f>
        <v/>
      </c>
      <c r="X2363" s="586" t="str">
        <f t="shared" si="622"/>
        <v/>
      </c>
      <c r="Y2363" s="586" t="str">
        <f t="shared" si="612"/>
        <v/>
      </c>
      <c r="Z2363" s="586" t="str">
        <f t="shared" si="621"/>
        <v/>
      </c>
    </row>
    <row r="2364" spans="1:26" ht="12" hidden="1" thickBot="1" x14ac:dyDescent="0.25">
      <c r="A2364" s="567" t="s">
        <v>168</v>
      </c>
      <c r="B2364" s="644" t="s">
        <v>168</v>
      </c>
      <c r="C2364" s="645"/>
      <c r="D2364" s="422" t="s">
        <v>400</v>
      </c>
      <c r="E2364" s="423"/>
      <c r="F2364" s="424">
        <v>30</v>
      </c>
      <c r="G2364" s="425">
        <f>VLOOKUP(D2360,'[2]ENSAIOS DE ORÇAMENTO'!$C$3:$L$79,3,FALSE)</f>
        <v>0</v>
      </c>
      <c r="H2364" s="663">
        <f t="shared" si="625"/>
        <v>0</v>
      </c>
      <c r="I2364" s="420"/>
      <c r="J2364" s="420"/>
      <c r="K2364" s="421">
        <f t="shared" si="607"/>
        <v>0</v>
      </c>
      <c r="L2364" s="647"/>
      <c r="M2364" s="723"/>
      <c r="N2364" s="576">
        <f t="shared" si="616"/>
        <v>0</v>
      </c>
      <c r="O2364" s="577">
        <f t="shared" si="610"/>
        <v>0</v>
      </c>
      <c r="P2364" s="578">
        <f t="shared" si="611"/>
        <v>0</v>
      </c>
      <c r="Q2364" s="765"/>
      <c r="R2364" s="723"/>
      <c r="S2364" s="723"/>
      <c r="T2364" s="577">
        <f t="shared" si="608"/>
        <v>0</v>
      </c>
      <c r="U2364" s="578">
        <f t="shared" si="609"/>
        <v>0</v>
      </c>
      <c r="V2364" s="579"/>
      <c r="W2364" s="566" t="str">
        <f>IF(U2360&gt;0,"xx",IF(P2360&gt;0,"xy",""))</f>
        <v/>
      </c>
      <c r="X2364" s="586" t="str">
        <f t="shared" si="622"/>
        <v/>
      </c>
      <c r="Y2364" s="586" t="str">
        <f t="shared" si="612"/>
        <v/>
      </c>
      <c r="Z2364" s="586" t="str">
        <f t="shared" si="621"/>
        <v/>
      </c>
    </row>
    <row r="2365" spans="1:26" ht="12" hidden="1" thickBot="1" x14ac:dyDescent="0.25">
      <c r="A2365" s="567" t="s">
        <v>168</v>
      </c>
      <c r="B2365" s="644" t="s">
        <v>168</v>
      </c>
      <c r="C2365" s="645"/>
      <c r="D2365" s="422" t="s">
        <v>401</v>
      </c>
      <c r="E2365" s="423"/>
      <c r="F2365" s="424">
        <v>500</v>
      </c>
      <c r="G2365" s="425">
        <f>VLOOKUP(D2360,'[2]ENSAIOS DE ORÇAMENTO'!$C$3:$L$79,10,FALSE)</f>
        <v>0</v>
      </c>
      <c r="H2365" s="649">
        <f>IF(F2365&lt;=30,(0.78*F2365+7.82)*G2365,((0.78*30+7.82)+0.78*(F2365-30))*G2365)</f>
        <v>0</v>
      </c>
      <c r="I2365" s="420"/>
      <c r="J2365" s="420"/>
      <c r="K2365" s="421">
        <f t="shared" si="607"/>
        <v>0</v>
      </c>
      <c r="L2365" s="647"/>
      <c r="M2365" s="723"/>
      <c r="N2365" s="576">
        <f t="shared" si="616"/>
        <v>0</v>
      </c>
      <c r="O2365" s="577">
        <f t="shared" si="610"/>
        <v>0</v>
      </c>
      <c r="P2365" s="578">
        <f t="shared" si="611"/>
        <v>0</v>
      </c>
      <c r="Q2365" s="765"/>
      <c r="R2365" s="723"/>
      <c r="S2365" s="723"/>
      <c r="T2365" s="577">
        <f t="shared" si="608"/>
        <v>0</v>
      </c>
      <c r="U2365" s="578">
        <f t="shared" si="609"/>
        <v>0</v>
      </c>
      <c r="V2365" s="579"/>
      <c r="W2365" s="566" t="str">
        <f>IF(U2360&gt;0,"xx",IF(P2360&gt;0,"xy",""))</f>
        <v/>
      </c>
      <c r="X2365" s="586" t="str">
        <f t="shared" si="622"/>
        <v/>
      </c>
      <c r="Y2365" s="586" t="str">
        <f t="shared" si="612"/>
        <v/>
      </c>
      <c r="Z2365" s="586" t="str">
        <f t="shared" si="621"/>
        <v/>
      </c>
    </row>
    <row r="2366" spans="1:26" ht="12" hidden="1" thickBot="1" x14ac:dyDescent="0.25">
      <c r="A2366" s="567" t="s">
        <v>130</v>
      </c>
      <c r="B2366" s="644" t="s">
        <v>130</v>
      </c>
      <c r="C2366" s="645" t="s">
        <v>206</v>
      </c>
      <c r="D2366" s="422" t="s">
        <v>414</v>
      </c>
      <c r="E2366" s="423"/>
      <c r="F2366" s="424"/>
      <c r="G2366" s="425"/>
      <c r="H2366" s="651">
        <f>SUM(H2367:H2371)</f>
        <v>817.23322366720015</v>
      </c>
      <c r="I2366" s="420">
        <f>VLOOKUP(D2366,'[2]ENSAIOS DE ORÇAMENTO'!$C$3:$L$79,8,FALSE)</f>
        <v>2167.3900512</v>
      </c>
      <c r="J2366" s="420">
        <f>IF(ISBLANK(I2366),"",SUM(H2366:I2366))</f>
        <v>2984.6232748672001</v>
      </c>
      <c r="K2366" s="421">
        <f t="shared" si="607"/>
        <v>3546.03</v>
      </c>
      <c r="L2366" s="647" t="s">
        <v>21</v>
      </c>
      <c r="M2366" s="576"/>
      <c r="N2366" s="576">
        <f t="shared" si="616"/>
        <v>0</v>
      </c>
      <c r="O2366" s="577">
        <f t="shared" si="610"/>
        <v>0</v>
      </c>
      <c r="P2366" s="578">
        <f t="shared" si="611"/>
        <v>0</v>
      </c>
      <c r="Q2366" s="765"/>
      <c r="R2366" s="576">
        <f>M2366</f>
        <v>0</v>
      </c>
      <c r="S2366" s="576">
        <f>N2366</f>
        <v>0</v>
      </c>
      <c r="T2366" s="577">
        <f t="shared" si="608"/>
        <v>0</v>
      </c>
      <c r="U2366" s="578">
        <f t="shared" si="609"/>
        <v>0</v>
      </c>
      <c r="V2366" s="579"/>
      <c r="W2366" s="566"/>
      <c r="X2366" s="586" t="str">
        <f t="shared" si="622"/>
        <v/>
      </c>
      <c r="Y2366" s="586" t="str">
        <f t="shared" si="612"/>
        <v/>
      </c>
      <c r="Z2366" s="586" t="str">
        <f t="shared" si="621"/>
        <v/>
      </c>
    </row>
    <row r="2367" spans="1:26" ht="12" hidden="1" thickBot="1" x14ac:dyDescent="0.25">
      <c r="A2367" s="567" t="s">
        <v>168</v>
      </c>
      <c r="B2367" s="644" t="s">
        <v>168</v>
      </c>
      <c r="C2367" s="645"/>
      <c r="D2367" s="422" t="s">
        <v>212</v>
      </c>
      <c r="E2367" s="423"/>
      <c r="F2367" s="424">
        <v>500</v>
      </c>
      <c r="G2367" s="425">
        <f>VLOOKUP(D2366,'[2]ENSAIOS DE ORÇAMENTO'!$C$3:$L$79,4,FALSE)</f>
        <v>0.77929919999999997</v>
      </c>
      <c r="H2367" s="649">
        <f>IF(F2367&lt;=30,(0.78*F2367+7.82)*G2367,((0.78*30+7.82)+0.78*(F2367-30))*G2367)</f>
        <v>310.02080774400002</v>
      </c>
      <c r="I2367" s="420"/>
      <c r="J2367" s="420"/>
      <c r="K2367" s="421">
        <f t="shared" si="607"/>
        <v>0</v>
      </c>
      <c r="L2367" s="647"/>
      <c r="M2367" s="723"/>
      <c r="N2367" s="576">
        <f t="shared" si="616"/>
        <v>0</v>
      </c>
      <c r="O2367" s="577">
        <f t="shared" si="610"/>
        <v>0</v>
      </c>
      <c r="P2367" s="578">
        <f t="shared" si="611"/>
        <v>0</v>
      </c>
      <c r="Q2367" s="765"/>
      <c r="R2367" s="723"/>
      <c r="S2367" s="723"/>
      <c r="T2367" s="577">
        <f t="shared" si="608"/>
        <v>0</v>
      </c>
      <c r="U2367" s="578">
        <f t="shared" si="609"/>
        <v>0</v>
      </c>
      <c r="V2367" s="579"/>
      <c r="W2367" s="566" t="str">
        <f>IF(U2366&gt;0,"xx",IF(P2366&gt;0,"xy",""))</f>
        <v/>
      </c>
      <c r="X2367" s="586" t="str">
        <f t="shared" si="622"/>
        <v/>
      </c>
      <c r="Y2367" s="586" t="str">
        <f t="shared" si="612"/>
        <v/>
      </c>
      <c r="Z2367" s="586" t="str">
        <f t="shared" si="621"/>
        <v/>
      </c>
    </row>
    <row r="2368" spans="1:26" ht="12" hidden="1" thickBot="1" x14ac:dyDescent="0.25">
      <c r="A2368" s="567" t="s">
        <v>168</v>
      </c>
      <c r="B2368" s="644" t="s">
        <v>168</v>
      </c>
      <c r="C2368" s="645"/>
      <c r="D2368" s="422" t="s">
        <v>248</v>
      </c>
      <c r="E2368" s="423"/>
      <c r="F2368" s="424">
        <v>180</v>
      </c>
      <c r="G2368" s="425">
        <f>VLOOKUP(D2366,'[2]ENSAIOS DE ORÇAMENTO'!$C$3:$L$79,5,FALSE)</f>
        <v>2.26417504</v>
      </c>
      <c r="H2368" s="663">
        <f t="shared" ref="H2368:H2370" si="626">IF(F2368&lt;=30,(1.07*F2368+2.68)*G2368,((1.07*30+2.68)+1.07*(F2368-30))*G2368)</f>
        <v>442.14810181120004</v>
      </c>
      <c r="I2368" s="420"/>
      <c r="J2368" s="420"/>
      <c r="K2368" s="421">
        <f t="shared" ref="K2368:K2431" si="627">IF(ISBLANK(I2368),0,ROUND(J2368*(1+$F$10)*(1+$F$11*E2368),2))</f>
        <v>0</v>
      </c>
      <c r="L2368" s="647"/>
      <c r="M2368" s="723"/>
      <c r="N2368" s="576">
        <f t="shared" si="616"/>
        <v>0</v>
      </c>
      <c r="O2368" s="577">
        <f t="shared" si="610"/>
        <v>0</v>
      </c>
      <c r="P2368" s="578">
        <f t="shared" si="611"/>
        <v>0</v>
      </c>
      <c r="Q2368" s="765"/>
      <c r="R2368" s="723"/>
      <c r="S2368" s="723"/>
      <c r="T2368" s="577">
        <f t="shared" ref="T2368:T2431" si="628">IF(ISBLANK(R2368),0,ROUND(K2368*R2368,2))</f>
        <v>0</v>
      </c>
      <c r="U2368" s="578">
        <f t="shared" ref="U2368:U2431" si="629">IF(ISBLANK(R2368),0,ROUND(R2368*S2368,2))</f>
        <v>0</v>
      </c>
      <c r="V2368" s="579"/>
      <c r="W2368" s="566" t="str">
        <f>IF(U2366&gt;0,"xx",IF(P2366&gt;0,"xy",""))</f>
        <v/>
      </c>
      <c r="X2368" s="586" t="str">
        <f t="shared" si="622"/>
        <v/>
      </c>
      <c r="Y2368" s="586" t="str">
        <f t="shared" si="612"/>
        <v/>
      </c>
      <c r="Z2368" s="586" t="str">
        <f t="shared" si="621"/>
        <v/>
      </c>
    </row>
    <row r="2369" spans="1:26" ht="12" hidden="1" thickBot="1" x14ac:dyDescent="0.25">
      <c r="A2369" s="567" t="s">
        <v>168</v>
      </c>
      <c r="B2369" s="644" t="s">
        <v>168</v>
      </c>
      <c r="C2369" s="645"/>
      <c r="D2369" s="422" t="s">
        <v>252</v>
      </c>
      <c r="E2369" s="423"/>
      <c r="F2369" s="424">
        <v>20</v>
      </c>
      <c r="G2369" s="425">
        <f>VLOOKUP(D2366,'[2]ENSAIOS DE ORÇAMENTO'!$C$3:$L$79,6,FALSE)</f>
        <v>2.7020064000000001</v>
      </c>
      <c r="H2369" s="663">
        <f t="shared" si="626"/>
        <v>65.064314112000005</v>
      </c>
      <c r="I2369" s="420"/>
      <c r="J2369" s="420"/>
      <c r="K2369" s="421">
        <f t="shared" si="627"/>
        <v>0</v>
      </c>
      <c r="L2369" s="647"/>
      <c r="M2369" s="723"/>
      <c r="N2369" s="576">
        <f t="shared" si="616"/>
        <v>0</v>
      </c>
      <c r="O2369" s="577">
        <f t="shared" ref="O2369:O2432" si="630">IF(ISBLANK(M2369),0,ROUND(K2369*M2369,2))</f>
        <v>0</v>
      </c>
      <c r="P2369" s="578">
        <f t="shared" ref="P2369:P2432" si="631">IF(ISBLANK(N2369),0,ROUND(M2369*N2369,2))</f>
        <v>0</v>
      </c>
      <c r="Q2369" s="765"/>
      <c r="R2369" s="723"/>
      <c r="S2369" s="723"/>
      <c r="T2369" s="577">
        <f t="shared" si="628"/>
        <v>0</v>
      </c>
      <c r="U2369" s="578">
        <f t="shared" si="629"/>
        <v>0</v>
      </c>
      <c r="V2369" s="579"/>
      <c r="W2369" s="566" t="str">
        <f>IF(U2366&gt;0,"xx",IF(P2366&gt;0,"xy",""))</f>
        <v/>
      </c>
      <c r="X2369" s="586" t="str">
        <f t="shared" si="622"/>
        <v/>
      </c>
      <c r="Y2369" s="586" t="str">
        <f t="shared" si="612"/>
        <v/>
      </c>
      <c r="Z2369" s="586" t="str">
        <f t="shared" si="621"/>
        <v/>
      </c>
    </row>
    <row r="2370" spans="1:26" ht="12" hidden="1" thickBot="1" x14ac:dyDescent="0.25">
      <c r="A2370" s="567" t="s">
        <v>168</v>
      </c>
      <c r="B2370" s="644" t="s">
        <v>168</v>
      </c>
      <c r="C2370" s="645"/>
      <c r="D2370" s="422" t="s">
        <v>400</v>
      </c>
      <c r="E2370" s="423"/>
      <c r="F2370" s="424">
        <v>30</v>
      </c>
      <c r="G2370" s="425">
        <f>VLOOKUP(D2366,'[2]ENSAIOS DE ORÇAMENTO'!$C$3:$L$79,3,FALSE)</f>
        <v>0</v>
      </c>
      <c r="H2370" s="663">
        <f t="shared" si="626"/>
        <v>0</v>
      </c>
      <c r="I2370" s="420"/>
      <c r="J2370" s="420"/>
      <c r="K2370" s="421">
        <f t="shared" si="627"/>
        <v>0</v>
      </c>
      <c r="L2370" s="647"/>
      <c r="M2370" s="723"/>
      <c r="N2370" s="576">
        <f t="shared" si="616"/>
        <v>0</v>
      </c>
      <c r="O2370" s="577">
        <f t="shared" si="630"/>
        <v>0</v>
      </c>
      <c r="P2370" s="578">
        <f t="shared" si="631"/>
        <v>0</v>
      </c>
      <c r="Q2370" s="765"/>
      <c r="R2370" s="723"/>
      <c r="S2370" s="723"/>
      <c r="T2370" s="577">
        <f t="shared" si="628"/>
        <v>0</v>
      </c>
      <c r="U2370" s="578">
        <f t="shared" si="629"/>
        <v>0</v>
      </c>
      <c r="V2370" s="579"/>
      <c r="W2370" s="566" t="str">
        <f>IF(U2366&gt;0,"xx",IF(P2366&gt;0,"xy",""))</f>
        <v/>
      </c>
      <c r="X2370" s="586" t="str">
        <f t="shared" si="622"/>
        <v/>
      </c>
      <c r="Y2370" s="586" t="str">
        <f t="shared" si="612"/>
        <v/>
      </c>
      <c r="Z2370" s="586" t="str">
        <f t="shared" si="621"/>
        <v/>
      </c>
    </row>
    <row r="2371" spans="1:26" ht="12" hidden="1" thickBot="1" x14ac:dyDescent="0.25">
      <c r="A2371" s="567" t="s">
        <v>168</v>
      </c>
      <c r="B2371" s="644" t="s">
        <v>168</v>
      </c>
      <c r="C2371" s="645"/>
      <c r="D2371" s="422" t="s">
        <v>401</v>
      </c>
      <c r="E2371" s="423"/>
      <c r="F2371" s="424">
        <v>500</v>
      </c>
      <c r="G2371" s="425">
        <f>VLOOKUP(D2366,'[2]ENSAIOS DE ORÇAMENTO'!$C$3:$L$79,10,FALSE)</f>
        <v>0</v>
      </c>
      <c r="H2371" s="649">
        <f>IF(F2371&lt;=30,(0.78*F2371+7.82)*G2371,((0.78*30+7.82)+0.78*(F2371-30))*G2371)</f>
        <v>0</v>
      </c>
      <c r="I2371" s="420"/>
      <c r="J2371" s="420"/>
      <c r="K2371" s="421">
        <f t="shared" si="627"/>
        <v>0</v>
      </c>
      <c r="L2371" s="647"/>
      <c r="M2371" s="723"/>
      <c r="N2371" s="576">
        <f t="shared" si="616"/>
        <v>0</v>
      </c>
      <c r="O2371" s="577">
        <f t="shared" si="630"/>
        <v>0</v>
      </c>
      <c r="P2371" s="578">
        <f t="shared" si="631"/>
        <v>0</v>
      </c>
      <c r="Q2371" s="765"/>
      <c r="R2371" s="723"/>
      <c r="S2371" s="723"/>
      <c r="T2371" s="577">
        <f t="shared" si="628"/>
        <v>0</v>
      </c>
      <c r="U2371" s="578">
        <f t="shared" si="629"/>
        <v>0</v>
      </c>
      <c r="V2371" s="579"/>
      <c r="W2371" s="566" t="str">
        <f>IF(U2366&gt;0,"xx",IF(P2366&gt;0,"xy",""))</f>
        <v/>
      </c>
      <c r="X2371" s="586" t="str">
        <f t="shared" si="622"/>
        <v/>
      </c>
      <c r="Y2371" s="586" t="str">
        <f t="shared" si="612"/>
        <v/>
      </c>
      <c r="Z2371" s="586" t="str">
        <f t="shared" si="621"/>
        <v/>
      </c>
    </row>
    <row r="2372" spans="1:26" ht="12" hidden="1" thickBot="1" x14ac:dyDescent="0.25">
      <c r="A2372" s="567" t="s">
        <v>131</v>
      </c>
      <c r="B2372" s="644" t="s">
        <v>131</v>
      </c>
      <c r="C2372" s="645" t="s">
        <v>206</v>
      </c>
      <c r="D2372" s="422" t="s">
        <v>415</v>
      </c>
      <c r="E2372" s="423"/>
      <c r="F2372" s="424"/>
      <c r="G2372" s="425"/>
      <c r="H2372" s="651">
        <f>SUM(H2373:H2377)</f>
        <v>146.76171636480004</v>
      </c>
      <c r="I2372" s="420">
        <f>VLOOKUP(D2372,'[2]ENSAIOS DE ORÇAMENTO'!$C$3:$L$79,8,FALSE)</f>
        <v>877.32228026666667</v>
      </c>
      <c r="J2372" s="420">
        <f>IF(ISBLANK(I2372),"",SUM(H2372:I2372))</f>
        <v>1024.0839966314668</v>
      </c>
      <c r="K2372" s="421">
        <f t="shared" si="627"/>
        <v>1216.71</v>
      </c>
      <c r="L2372" s="647" t="s">
        <v>21</v>
      </c>
      <c r="M2372" s="576"/>
      <c r="N2372" s="576">
        <f t="shared" si="616"/>
        <v>0</v>
      </c>
      <c r="O2372" s="577">
        <f t="shared" si="630"/>
        <v>0</v>
      </c>
      <c r="P2372" s="578">
        <f t="shared" si="631"/>
        <v>0</v>
      </c>
      <c r="Q2372" s="765"/>
      <c r="R2372" s="576">
        <f>M2372</f>
        <v>0</v>
      </c>
      <c r="S2372" s="576">
        <f>N2372</f>
        <v>0</v>
      </c>
      <c r="T2372" s="577">
        <f t="shared" si="628"/>
        <v>0</v>
      </c>
      <c r="U2372" s="578">
        <f t="shared" si="629"/>
        <v>0</v>
      </c>
      <c r="V2372" s="579"/>
      <c r="W2372" s="566"/>
      <c r="X2372" s="586" t="str">
        <f t="shared" si="622"/>
        <v/>
      </c>
      <c r="Y2372" s="586" t="str">
        <f t="shared" si="612"/>
        <v/>
      </c>
      <c r="Z2372" s="586" t="str">
        <f t="shared" si="621"/>
        <v/>
      </c>
    </row>
    <row r="2373" spans="1:26" ht="12" hidden="1" thickBot="1" x14ac:dyDescent="0.25">
      <c r="A2373" s="567" t="s">
        <v>168</v>
      </c>
      <c r="B2373" s="644" t="s">
        <v>168</v>
      </c>
      <c r="C2373" s="645"/>
      <c r="D2373" s="422" t="s">
        <v>212</v>
      </c>
      <c r="E2373" s="423"/>
      <c r="F2373" s="424">
        <v>500</v>
      </c>
      <c r="G2373" s="425">
        <f>VLOOKUP(D2372,'[2]ENSAIOS DE ORÇAMENTO'!$C$3:$L$79,4,FALSE)</f>
        <v>0.13625280000000003</v>
      </c>
      <c r="H2373" s="649">
        <f>IF(F2373&lt;=30,(0.78*F2373+7.82)*G2373,((0.78*30+7.82)+0.78*(F2373-30))*G2373)</f>
        <v>54.204088896000023</v>
      </c>
      <c r="I2373" s="420"/>
      <c r="J2373" s="420"/>
      <c r="K2373" s="421">
        <f t="shared" si="627"/>
        <v>0</v>
      </c>
      <c r="L2373" s="647"/>
      <c r="M2373" s="723"/>
      <c r="N2373" s="576">
        <f t="shared" si="616"/>
        <v>0</v>
      </c>
      <c r="O2373" s="577">
        <f t="shared" si="630"/>
        <v>0</v>
      </c>
      <c r="P2373" s="578">
        <f t="shared" si="631"/>
        <v>0</v>
      </c>
      <c r="Q2373" s="765"/>
      <c r="R2373" s="723"/>
      <c r="S2373" s="723"/>
      <c r="T2373" s="577">
        <f t="shared" si="628"/>
        <v>0</v>
      </c>
      <c r="U2373" s="578">
        <f t="shared" si="629"/>
        <v>0</v>
      </c>
      <c r="V2373" s="579"/>
      <c r="W2373" s="566" t="str">
        <f>IF(U2372&gt;0,"xx",IF(P2372&gt;0,"xy",""))</f>
        <v/>
      </c>
      <c r="X2373" s="586" t="str">
        <f t="shared" si="622"/>
        <v/>
      </c>
      <c r="Y2373" s="586" t="str">
        <f t="shared" si="612"/>
        <v/>
      </c>
      <c r="Z2373" s="586" t="str">
        <f t="shared" si="621"/>
        <v/>
      </c>
    </row>
    <row r="2374" spans="1:26" ht="12" hidden="1" thickBot="1" x14ac:dyDescent="0.25">
      <c r="A2374" s="567" t="s">
        <v>168</v>
      </c>
      <c r="B2374" s="644" t="s">
        <v>168</v>
      </c>
      <c r="C2374" s="645"/>
      <c r="D2374" s="422" t="s">
        <v>248</v>
      </c>
      <c r="E2374" s="423"/>
      <c r="F2374" s="424">
        <v>180</v>
      </c>
      <c r="G2374" s="425">
        <f>VLOOKUP(D2372,'[2]ENSAIOS DE ORÇAMENTO'!$C$3:$L$79,5,FALSE)</f>
        <v>0.41372736000000004</v>
      </c>
      <c r="H2374" s="663">
        <f t="shared" ref="H2374:H2376" si="632">IF(F2374&lt;=30,(1.07*F2374+2.68)*G2374,((1.07*30+2.68)+1.07*(F2374-30))*G2374)</f>
        <v>80.792678860800009</v>
      </c>
      <c r="I2374" s="420"/>
      <c r="J2374" s="420"/>
      <c r="K2374" s="421">
        <f t="shared" si="627"/>
        <v>0</v>
      </c>
      <c r="L2374" s="647"/>
      <c r="M2374" s="723"/>
      <c r="N2374" s="576">
        <f t="shared" si="616"/>
        <v>0</v>
      </c>
      <c r="O2374" s="577">
        <f t="shared" si="630"/>
        <v>0</v>
      </c>
      <c r="P2374" s="578">
        <f t="shared" si="631"/>
        <v>0</v>
      </c>
      <c r="Q2374" s="765"/>
      <c r="R2374" s="723"/>
      <c r="S2374" s="723"/>
      <c r="T2374" s="577">
        <f t="shared" si="628"/>
        <v>0</v>
      </c>
      <c r="U2374" s="578">
        <f t="shared" si="629"/>
        <v>0</v>
      </c>
      <c r="V2374" s="579"/>
      <c r="W2374" s="566" t="str">
        <f>IF(U2372&gt;0,"xx",IF(P2372&gt;0,"xy",""))</f>
        <v/>
      </c>
      <c r="X2374" s="586" t="str">
        <f t="shared" si="622"/>
        <v/>
      </c>
      <c r="Y2374" s="586" t="str">
        <f t="shared" si="612"/>
        <v/>
      </c>
      <c r="Z2374" s="586" t="str">
        <f t="shared" si="621"/>
        <v/>
      </c>
    </row>
    <row r="2375" spans="1:26" ht="12" hidden="1" thickBot="1" x14ac:dyDescent="0.25">
      <c r="A2375" s="567" t="s">
        <v>168</v>
      </c>
      <c r="B2375" s="644" t="s">
        <v>168</v>
      </c>
      <c r="C2375" s="645"/>
      <c r="D2375" s="422" t="s">
        <v>252</v>
      </c>
      <c r="E2375" s="423"/>
      <c r="F2375" s="424">
        <v>20</v>
      </c>
      <c r="G2375" s="425">
        <f>VLOOKUP(D2372,'[2]ENSAIOS DE ORÇAMENTO'!$C$3:$L$79,6,FALSE)</f>
        <v>0.48857760000000011</v>
      </c>
      <c r="H2375" s="663">
        <f t="shared" si="632"/>
        <v>11.764948608000003</v>
      </c>
      <c r="I2375" s="420"/>
      <c r="J2375" s="420"/>
      <c r="K2375" s="421">
        <f t="shared" si="627"/>
        <v>0</v>
      </c>
      <c r="L2375" s="647"/>
      <c r="M2375" s="723"/>
      <c r="N2375" s="576">
        <f t="shared" si="616"/>
        <v>0</v>
      </c>
      <c r="O2375" s="577">
        <f t="shared" si="630"/>
        <v>0</v>
      </c>
      <c r="P2375" s="578">
        <f t="shared" si="631"/>
        <v>0</v>
      </c>
      <c r="Q2375" s="765"/>
      <c r="R2375" s="723"/>
      <c r="S2375" s="723"/>
      <c r="T2375" s="577">
        <f t="shared" si="628"/>
        <v>0</v>
      </c>
      <c r="U2375" s="578">
        <f t="shared" si="629"/>
        <v>0</v>
      </c>
      <c r="V2375" s="579"/>
      <c r="W2375" s="566" t="str">
        <f>IF(U2372&gt;0,"xx",IF(P2372&gt;0,"xy",""))</f>
        <v/>
      </c>
      <c r="X2375" s="586" t="str">
        <f t="shared" si="622"/>
        <v/>
      </c>
      <c r="Y2375" s="586" t="str">
        <f t="shared" si="612"/>
        <v/>
      </c>
      <c r="Z2375" s="586" t="str">
        <f t="shared" si="621"/>
        <v/>
      </c>
    </row>
    <row r="2376" spans="1:26" ht="12" hidden="1" thickBot="1" x14ac:dyDescent="0.25">
      <c r="A2376" s="567" t="s">
        <v>168</v>
      </c>
      <c r="B2376" s="644" t="s">
        <v>168</v>
      </c>
      <c r="C2376" s="645"/>
      <c r="D2376" s="422" t="s">
        <v>400</v>
      </c>
      <c r="E2376" s="423"/>
      <c r="F2376" s="424">
        <v>30</v>
      </c>
      <c r="G2376" s="425">
        <f>VLOOKUP(D2372,'[2]ENSAIOS DE ORÇAMENTO'!$C$3:$L$79,3,FALSE)</f>
        <v>0</v>
      </c>
      <c r="H2376" s="663">
        <f t="shared" si="632"/>
        <v>0</v>
      </c>
      <c r="I2376" s="420"/>
      <c r="J2376" s="420"/>
      <c r="K2376" s="421">
        <f t="shared" si="627"/>
        <v>0</v>
      </c>
      <c r="L2376" s="647"/>
      <c r="M2376" s="723"/>
      <c r="N2376" s="576">
        <f t="shared" si="616"/>
        <v>0</v>
      </c>
      <c r="O2376" s="577">
        <f t="shared" si="630"/>
        <v>0</v>
      </c>
      <c r="P2376" s="578">
        <f t="shared" si="631"/>
        <v>0</v>
      </c>
      <c r="Q2376" s="765"/>
      <c r="R2376" s="723"/>
      <c r="S2376" s="723"/>
      <c r="T2376" s="577">
        <f t="shared" si="628"/>
        <v>0</v>
      </c>
      <c r="U2376" s="578">
        <f t="shared" si="629"/>
        <v>0</v>
      </c>
      <c r="V2376" s="579"/>
      <c r="W2376" s="566" t="str">
        <f>IF(U2372&gt;0,"xx",IF(P2372&gt;0,"xy",""))</f>
        <v/>
      </c>
      <c r="X2376" s="586" t="str">
        <f t="shared" si="622"/>
        <v/>
      </c>
      <c r="Y2376" s="586" t="str">
        <f t="shared" ref="Y2376:Y2439" si="633">IF(W2376="X","x",IF(W2376="y","x",IF(W2376="xx","x",IF(U2376&gt;0,"x",""))))</f>
        <v/>
      </c>
      <c r="Z2376" s="586" t="str">
        <f t="shared" si="621"/>
        <v/>
      </c>
    </row>
    <row r="2377" spans="1:26" ht="12" hidden="1" thickBot="1" x14ac:dyDescent="0.25">
      <c r="A2377" s="567" t="s">
        <v>168</v>
      </c>
      <c r="B2377" s="644" t="s">
        <v>168</v>
      </c>
      <c r="C2377" s="645"/>
      <c r="D2377" s="422" t="s">
        <v>401</v>
      </c>
      <c r="E2377" s="423"/>
      <c r="F2377" s="424">
        <v>500</v>
      </c>
      <c r="G2377" s="425">
        <f>VLOOKUP(D2372,'[2]ENSAIOS DE ORÇAMENTO'!$C$3:$L$79,10,FALSE)</f>
        <v>0</v>
      </c>
      <c r="H2377" s="649">
        <f>IF(F2377&lt;=30,(0.78*F2377+7.82)*G2377,((0.78*30+7.82)+0.78*(F2377-30))*G2377)</f>
        <v>0</v>
      </c>
      <c r="I2377" s="420"/>
      <c r="J2377" s="420"/>
      <c r="K2377" s="421">
        <f t="shared" si="627"/>
        <v>0</v>
      </c>
      <c r="L2377" s="647"/>
      <c r="M2377" s="723"/>
      <c r="N2377" s="576">
        <f t="shared" si="616"/>
        <v>0</v>
      </c>
      <c r="O2377" s="577">
        <f t="shared" si="630"/>
        <v>0</v>
      </c>
      <c r="P2377" s="578">
        <f t="shared" si="631"/>
        <v>0</v>
      </c>
      <c r="Q2377" s="765"/>
      <c r="R2377" s="723"/>
      <c r="S2377" s="723"/>
      <c r="T2377" s="577">
        <f t="shared" si="628"/>
        <v>0</v>
      </c>
      <c r="U2377" s="578">
        <f t="shared" si="629"/>
        <v>0</v>
      </c>
      <c r="V2377" s="579"/>
      <c r="W2377" s="566" t="str">
        <f>IF(U2372&gt;0,"xx",IF(P2372&gt;0,"xy",""))</f>
        <v/>
      </c>
      <c r="X2377" s="586" t="str">
        <f t="shared" si="622"/>
        <v/>
      </c>
      <c r="Y2377" s="586" t="str">
        <f t="shared" si="633"/>
        <v/>
      </c>
      <c r="Z2377" s="586" t="str">
        <f t="shared" si="621"/>
        <v/>
      </c>
    </row>
    <row r="2378" spans="1:26" ht="12" hidden="1" thickBot="1" x14ac:dyDescent="0.25">
      <c r="A2378" s="567" t="s">
        <v>40</v>
      </c>
      <c r="B2378" s="644" t="s">
        <v>40</v>
      </c>
      <c r="C2378" s="645" t="s">
        <v>206</v>
      </c>
      <c r="D2378" s="422" t="s">
        <v>416</v>
      </c>
      <c r="E2378" s="423"/>
      <c r="F2378" s="424"/>
      <c r="G2378" s="425"/>
      <c r="H2378" s="651">
        <f>SUM(H2379:H2383)</f>
        <v>223.47402276336004</v>
      </c>
      <c r="I2378" s="420">
        <f>VLOOKUP(D2378,'[2]ENSAIOS DE ORÇAMENTO'!$C$3:$L$79,8,FALSE)</f>
        <v>1386.7382591866667</v>
      </c>
      <c r="J2378" s="420">
        <f>IF(ISBLANK(I2378),"",SUM(H2378:I2378))</f>
        <v>1610.2122819500269</v>
      </c>
      <c r="K2378" s="421">
        <f t="shared" si="627"/>
        <v>1913.09</v>
      </c>
      <c r="L2378" s="647" t="s">
        <v>21</v>
      </c>
      <c r="M2378" s="576"/>
      <c r="N2378" s="576">
        <f t="shared" si="616"/>
        <v>0</v>
      </c>
      <c r="O2378" s="577">
        <f t="shared" si="630"/>
        <v>0</v>
      </c>
      <c r="P2378" s="578">
        <f t="shared" si="631"/>
        <v>0</v>
      </c>
      <c r="Q2378" s="765"/>
      <c r="R2378" s="576">
        <f>M2378</f>
        <v>0</v>
      </c>
      <c r="S2378" s="576">
        <f>N2378</f>
        <v>0</v>
      </c>
      <c r="T2378" s="577">
        <f t="shared" si="628"/>
        <v>0</v>
      </c>
      <c r="U2378" s="578">
        <f t="shared" si="629"/>
        <v>0</v>
      </c>
      <c r="V2378" s="579"/>
      <c r="W2378" s="566"/>
      <c r="X2378" s="586" t="str">
        <f t="shared" si="622"/>
        <v/>
      </c>
      <c r="Y2378" s="586" t="str">
        <f t="shared" si="633"/>
        <v/>
      </c>
      <c r="Z2378" s="586" t="str">
        <f t="shared" si="621"/>
        <v/>
      </c>
    </row>
    <row r="2379" spans="1:26" ht="12" hidden="1" thickBot="1" x14ac:dyDescent="0.25">
      <c r="A2379" s="567" t="s">
        <v>168</v>
      </c>
      <c r="B2379" s="644" t="s">
        <v>168</v>
      </c>
      <c r="C2379" s="645"/>
      <c r="D2379" s="422" t="s">
        <v>212</v>
      </c>
      <c r="E2379" s="423"/>
      <c r="F2379" s="424">
        <v>500</v>
      </c>
      <c r="G2379" s="425">
        <f>VLOOKUP(D2378,'[2]ENSAIOS DE ORÇAMENTO'!$C$3:$L$79,4,FALSE)</f>
        <v>0.21117996</v>
      </c>
      <c r="H2379" s="649">
        <f>IF(F2379&lt;=30,(0.78*F2379+7.82)*G2379,((0.78*30+7.82)+0.78*(F2379-30))*G2379)</f>
        <v>84.011611687200016</v>
      </c>
      <c r="I2379" s="420"/>
      <c r="J2379" s="420"/>
      <c r="K2379" s="421">
        <f t="shared" si="627"/>
        <v>0</v>
      </c>
      <c r="L2379" s="647"/>
      <c r="M2379" s="723"/>
      <c r="N2379" s="576">
        <f t="shared" si="616"/>
        <v>0</v>
      </c>
      <c r="O2379" s="577">
        <f t="shared" si="630"/>
        <v>0</v>
      </c>
      <c r="P2379" s="578">
        <f t="shared" si="631"/>
        <v>0</v>
      </c>
      <c r="Q2379" s="765"/>
      <c r="R2379" s="723"/>
      <c r="S2379" s="723"/>
      <c r="T2379" s="577">
        <f t="shared" si="628"/>
        <v>0</v>
      </c>
      <c r="U2379" s="578">
        <f t="shared" si="629"/>
        <v>0</v>
      </c>
      <c r="V2379" s="579"/>
      <c r="W2379" s="566" t="str">
        <f>IF(U2378&gt;0,"xx",IF(P2378&gt;0,"xy",""))</f>
        <v/>
      </c>
      <c r="X2379" s="586" t="str">
        <f t="shared" si="622"/>
        <v/>
      </c>
      <c r="Y2379" s="586" t="str">
        <f t="shared" si="633"/>
        <v/>
      </c>
      <c r="Z2379" s="586" t="str">
        <f t="shared" si="621"/>
        <v/>
      </c>
    </row>
    <row r="2380" spans="1:26" ht="12" hidden="1" thickBot="1" x14ac:dyDescent="0.25">
      <c r="A2380" s="567" t="s">
        <v>168</v>
      </c>
      <c r="B2380" s="644" t="s">
        <v>168</v>
      </c>
      <c r="C2380" s="645"/>
      <c r="D2380" s="422" t="s">
        <v>248</v>
      </c>
      <c r="E2380" s="423"/>
      <c r="F2380" s="424">
        <v>180</v>
      </c>
      <c r="G2380" s="425">
        <f>VLOOKUP(D2378,'[2]ENSAIOS DE ORÇAMENTO'!$C$3:$L$79,5,FALSE)</f>
        <v>0.62284225199999999</v>
      </c>
      <c r="H2380" s="663">
        <f t="shared" ref="H2380:H2382" si="634">IF(F2380&lt;=30,(1.07*F2380+2.68)*G2380,((1.07*30+2.68)+1.07*(F2380-30))*G2380)</f>
        <v>121.62863497056</v>
      </c>
      <c r="I2380" s="420"/>
      <c r="J2380" s="420"/>
      <c r="K2380" s="421">
        <f t="shared" si="627"/>
        <v>0</v>
      </c>
      <c r="L2380" s="647"/>
      <c r="M2380" s="723"/>
      <c r="N2380" s="576">
        <f t="shared" si="616"/>
        <v>0</v>
      </c>
      <c r="O2380" s="577">
        <f t="shared" si="630"/>
        <v>0</v>
      </c>
      <c r="P2380" s="578">
        <f t="shared" si="631"/>
        <v>0</v>
      </c>
      <c r="Q2380" s="765"/>
      <c r="R2380" s="723"/>
      <c r="S2380" s="723"/>
      <c r="T2380" s="577">
        <f t="shared" si="628"/>
        <v>0</v>
      </c>
      <c r="U2380" s="578">
        <f t="shared" si="629"/>
        <v>0</v>
      </c>
      <c r="V2380" s="579"/>
      <c r="W2380" s="566" t="str">
        <f>IF(U2378&gt;0,"xx",IF(P2378&gt;0,"xy",""))</f>
        <v/>
      </c>
      <c r="X2380" s="586" t="str">
        <f t="shared" si="622"/>
        <v/>
      </c>
      <c r="Y2380" s="586" t="str">
        <f t="shared" si="633"/>
        <v/>
      </c>
      <c r="Z2380" s="586" t="str">
        <f t="shared" si="621"/>
        <v/>
      </c>
    </row>
    <row r="2381" spans="1:26" ht="12" hidden="1" thickBot="1" x14ac:dyDescent="0.25">
      <c r="A2381" s="567" t="s">
        <v>168</v>
      </c>
      <c r="B2381" s="644" t="s">
        <v>168</v>
      </c>
      <c r="C2381" s="645"/>
      <c r="D2381" s="422" t="s">
        <v>252</v>
      </c>
      <c r="E2381" s="423"/>
      <c r="F2381" s="424">
        <v>20</v>
      </c>
      <c r="G2381" s="425">
        <f>VLOOKUP(D2378,'[2]ENSAIOS DE ORÇAMENTO'!$C$3:$L$79,6,FALSE)</f>
        <v>0.74060532000000001</v>
      </c>
      <c r="H2381" s="663">
        <f t="shared" si="634"/>
        <v>17.833776105600002</v>
      </c>
      <c r="I2381" s="420"/>
      <c r="J2381" s="420"/>
      <c r="K2381" s="421">
        <f t="shared" si="627"/>
        <v>0</v>
      </c>
      <c r="L2381" s="647"/>
      <c r="M2381" s="723"/>
      <c r="N2381" s="576">
        <f t="shared" si="616"/>
        <v>0</v>
      </c>
      <c r="O2381" s="577">
        <f t="shared" si="630"/>
        <v>0</v>
      </c>
      <c r="P2381" s="578">
        <f t="shared" si="631"/>
        <v>0</v>
      </c>
      <c r="Q2381" s="765"/>
      <c r="R2381" s="723"/>
      <c r="S2381" s="723"/>
      <c r="T2381" s="577">
        <f t="shared" si="628"/>
        <v>0</v>
      </c>
      <c r="U2381" s="578">
        <f t="shared" si="629"/>
        <v>0</v>
      </c>
      <c r="V2381" s="579"/>
      <c r="W2381" s="566" t="str">
        <f>IF(U2378&gt;0,"xx",IF(P2378&gt;0,"xy",""))</f>
        <v/>
      </c>
      <c r="X2381" s="586" t="str">
        <f t="shared" si="622"/>
        <v/>
      </c>
      <c r="Y2381" s="586" t="str">
        <f t="shared" si="633"/>
        <v/>
      </c>
      <c r="Z2381" s="586" t="str">
        <f t="shared" si="621"/>
        <v/>
      </c>
    </row>
    <row r="2382" spans="1:26" ht="12" hidden="1" thickBot="1" x14ac:dyDescent="0.25">
      <c r="A2382" s="567" t="s">
        <v>168</v>
      </c>
      <c r="B2382" s="644" t="s">
        <v>168</v>
      </c>
      <c r="C2382" s="645"/>
      <c r="D2382" s="422" t="s">
        <v>400</v>
      </c>
      <c r="E2382" s="423"/>
      <c r="F2382" s="424">
        <v>30</v>
      </c>
      <c r="G2382" s="425">
        <f>VLOOKUP(D2378,'[2]ENSAIOS DE ORÇAMENTO'!$C$3:$L$79,3,FALSE)</f>
        <v>0</v>
      </c>
      <c r="H2382" s="663">
        <f t="shared" si="634"/>
        <v>0</v>
      </c>
      <c r="I2382" s="420"/>
      <c r="J2382" s="420"/>
      <c r="K2382" s="421">
        <f t="shared" si="627"/>
        <v>0</v>
      </c>
      <c r="L2382" s="647"/>
      <c r="M2382" s="723"/>
      <c r="N2382" s="576">
        <f t="shared" si="616"/>
        <v>0</v>
      </c>
      <c r="O2382" s="577">
        <f t="shared" si="630"/>
        <v>0</v>
      </c>
      <c r="P2382" s="578">
        <f t="shared" si="631"/>
        <v>0</v>
      </c>
      <c r="Q2382" s="765"/>
      <c r="R2382" s="723"/>
      <c r="S2382" s="723"/>
      <c r="T2382" s="577">
        <f t="shared" si="628"/>
        <v>0</v>
      </c>
      <c r="U2382" s="578">
        <f t="shared" si="629"/>
        <v>0</v>
      </c>
      <c r="V2382" s="579"/>
      <c r="W2382" s="566" t="str">
        <f>IF(U2378&gt;0,"xx",IF(P2378&gt;0,"xy",""))</f>
        <v/>
      </c>
      <c r="X2382" s="586" t="str">
        <f t="shared" si="622"/>
        <v/>
      </c>
      <c r="Y2382" s="586" t="str">
        <f t="shared" si="633"/>
        <v/>
      </c>
      <c r="Z2382" s="586" t="str">
        <f t="shared" si="621"/>
        <v/>
      </c>
    </row>
    <row r="2383" spans="1:26" ht="12" hidden="1" thickBot="1" x14ac:dyDescent="0.25">
      <c r="A2383" s="567" t="s">
        <v>168</v>
      </c>
      <c r="B2383" s="644" t="s">
        <v>168</v>
      </c>
      <c r="C2383" s="645"/>
      <c r="D2383" s="422" t="s">
        <v>401</v>
      </c>
      <c r="E2383" s="423"/>
      <c r="F2383" s="424">
        <v>500</v>
      </c>
      <c r="G2383" s="425">
        <f>VLOOKUP(D2378,'[2]ENSAIOS DE ORÇAMENTO'!$C$3:$L$79,10,FALSE)</f>
        <v>0</v>
      </c>
      <c r="H2383" s="649">
        <f>IF(F2383&lt;=30,(0.78*F2383+7.82)*G2383,((0.78*30+7.82)+0.78*(F2383-30))*G2383)</f>
        <v>0</v>
      </c>
      <c r="I2383" s="420"/>
      <c r="J2383" s="420"/>
      <c r="K2383" s="421">
        <f t="shared" si="627"/>
        <v>0</v>
      </c>
      <c r="L2383" s="647"/>
      <c r="M2383" s="723"/>
      <c r="N2383" s="576">
        <f t="shared" si="616"/>
        <v>0</v>
      </c>
      <c r="O2383" s="577">
        <f t="shared" si="630"/>
        <v>0</v>
      </c>
      <c r="P2383" s="578">
        <f t="shared" si="631"/>
        <v>0</v>
      </c>
      <c r="Q2383" s="765"/>
      <c r="R2383" s="723"/>
      <c r="S2383" s="723"/>
      <c r="T2383" s="577">
        <f t="shared" si="628"/>
        <v>0</v>
      </c>
      <c r="U2383" s="578">
        <f t="shared" si="629"/>
        <v>0</v>
      </c>
      <c r="V2383" s="579"/>
      <c r="W2383" s="566" t="str">
        <f>IF(U2378&gt;0,"xx",IF(P2378&gt;0,"xy",""))</f>
        <v/>
      </c>
      <c r="X2383" s="586" t="str">
        <f t="shared" si="622"/>
        <v/>
      </c>
      <c r="Y2383" s="586" t="str">
        <f t="shared" si="633"/>
        <v/>
      </c>
      <c r="Z2383" s="586" t="str">
        <f t="shared" si="621"/>
        <v/>
      </c>
    </row>
    <row r="2384" spans="1:26" ht="12" hidden="1" thickBot="1" x14ac:dyDescent="0.25">
      <c r="A2384" s="567" t="s">
        <v>41</v>
      </c>
      <c r="B2384" s="644" t="s">
        <v>41</v>
      </c>
      <c r="C2384" s="645" t="s">
        <v>206</v>
      </c>
      <c r="D2384" s="422" t="s">
        <v>417</v>
      </c>
      <c r="E2384" s="423"/>
      <c r="F2384" s="424"/>
      <c r="G2384" s="425"/>
      <c r="H2384" s="651">
        <f>SUM(H2385:H2389)</f>
        <v>402.09418051819995</v>
      </c>
      <c r="I2384" s="420">
        <f>VLOOKUP(D2384,'[2]ENSAIOS DE ORÇAMENTO'!$C$3:$L$79,8,FALSE)</f>
        <v>2390.501674983333</v>
      </c>
      <c r="J2384" s="420">
        <f>IF(ISBLANK(I2384),"",SUM(H2384:I2384))</f>
        <v>2792.5958555015332</v>
      </c>
      <c r="K2384" s="421">
        <f t="shared" si="627"/>
        <v>3317.88</v>
      </c>
      <c r="L2384" s="647" t="s">
        <v>21</v>
      </c>
      <c r="M2384" s="576"/>
      <c r="N2384" s="576">
        <f t="shared" si="616"/>
        <v>0</v>
      </c>
      <c r="O2384" s="577">
        <f t="shared" si="630"/>
        <v>0</v>
      </c>
      <c r="P2384" s="578">
        <f t="shared" si="631"/>
        <v>0</v>
      </c>
      <c r="Q2384" s="765"/>
      <c r="R2384" s="576">
        <f>M2384</f>
        <v>0</v>
      </c>
      <c r="S2384" s="576">
        <f>N2384</f>
        <v>0</v>
      </c>
      <c r="T2384" s="577">
        <f t="shared" si="628"/>
        <v>0</v>
      </c>
      <c r="U2384" s="578">
        <f t="shared" si="629"/>
        <v>0</v>
      </c>
      <c r="V2384" s="579"/>
      <c r="W2384" s="566"/>
      <c r="X2384" s="586" t="str">
        <f t="shared" si="622"/>
        <v/>
      </c>
      <c r="Y2384" s="586" t="str">
        <f t="shared" si="633"/>
        <v/>
      </c>
      <c r="Z2384" s="586" t="str">
        <f t="shared" si="621"/>
        <v/>
      </c>
    </row>
    <row r="2385" spans="1:26" ht="12" hidden="1" thickBot="1" x14ac:dyDescent="0.25">
      <c r="A2385" s="567" t="s">
        <v>168</v>
      </c>
      <c r="B2385" s="644" t="s">
        <v>168</v>
      </c>
      <c r="C2385" s="645"/>
      <c r="D2385" s="422" t="s">
        <v>212</v>
      </c>
      <c r="E2385" s="423"/>
      <c r="F2385" s="424">
        <v>500</v>
      </c>
      <c r="G2385" s="425">
        <f>VLOOKUP(D2384,'[2]ENSAIOS DE ORÇAMENTO'!$C$3:$L$79,4,FALSE)</f>
        <v>0.38327894999999995</v>
      </c>
      <c r="H2385" s="649">
        <f>IF(F2385&lt;=30,(0.78*F2385+7.82)*G2385,((0.78*30+7.82)+0.78*(F2385-30))*G2385)</f>
        <v>152.47603188900001</v>
      </c>
      <c r="I2385" s="420"/>
      <c r="J2385" s="420"/>
      <c r="K2385" s="421">
        <f t="shared" si="627"/>
        <v>0</v>
      </c>
      <c r="L2385" s="647"/>
      <c r="M2385" s="723"/>
      <c r="N2385" s="576">
        <f t="shared" si="616"/>
        <v>0</v>
      </c>
      <c r="O2385" s="577">
        <f t="shared" si="630"/>
        <v>0</v>
      </c>
      <c r="P2385" s="578">
        <f t="shared" si="631"/>
        <v>0</v>
      </c>
      <c r="Q2385" s="765"/>
      <c r="R2385" s="723"/>
      <c r="S2385" s="723"/>
      <c r="T2385" s="577">
        <f t="shared" si="628"/>
        <v>0</v>
      </c>
      <c r="U2385" s="578">
        <f t="shared" si="629"/>
        <v>0</v>
      </c>
      <c r="V2385" s="579"/>
      <c r="W2385" s="566" t="str">
        <f>IF(U2384&gt;0,"xx",IF(P2384&gt;0,"xy",""))</f>
        <v/>
      </c>
      <c r="X2385" s="586" t="str">
        <f t="shared" si="622"/>
        <v/>
      </c>
      <c r="Y2385" s="586" t="str">
        <f t="shared" si="633"/>
        <v/>
      </c>
      <c r="Z2385" s="586" t="str">
        <f t="shared" si="621"/>
        <v/>
      </c>
    </row>
    <row r="2386" spans="1:26" ht="12" hidden="1" thickBot="1" x14ac:dyDescent="0.25">
      <c r="A2386" s="567" t="s">
        <v>168</v>
      </c>
      <c r="B2386" s="644" t="s">
        <v>168</v>
      </c>
      <c r="C2386" s="645"/>
      <c r="D2386" s="422" t="s">
        <v>248</v>
      </c>
      <c r="E2386" s="423"/>
      <c r="F2386" s="424">
        <v>180</v>
      </c>
      <c r="G2386" s="425">
        <f>VLOOKUP(D2384,'[2]ENSAIOS DE ORÇAMENTO'!$C$3:$L$79,5,FALSE)</f>
        <v>1.1143076149999998</v>
      </c>
      <c r="H2386" s="663">
        <f t="shared" ref="H2386:H2388" si="635">IF(F2386&lt;=30,(1.07*F2386+2.68)*G2386,((1.07*30+2.68)+1.07*(F2386-30))*G2386)</f>
        <v>217.60199105719994</v>
      </c>
      <c r="I2386" s="420"/>
      <c r="J2386" s="420"/>
      <c r="K2386" s="421">
        <f t="shared" si="627"/>
        <v>0</v>
      </c>
      <c r="L2386" s="647"/>
      <c r="M2386" s="723"/>
      <c r="N2386" s="576">
        <f t="shared" si="616"/>
        <v>0</v>
      </c>
      <c r="O2386" s="577">
        <f t="shared" si="630"/>
        <v>0</v>
      </c>
      <c r="P2386" s="578">
        <f t="shared" si="631"/>
        <v>0</v>
      </c>
      <c r="Q2386" s="765"/>
      <c r="R2386" s="723"/>
      <c r="S2386" s="723"/>
      <c r="T2386" s="577">
        <f t="shared" si="628"/>
        <v>0</v>
      </c>
      <c r="U2386" s="578">
        <f t="shared" si="629"/>
        <v>0</v>
      </c>
      <c r="V2386" s="579"/>
      <c r="W2386" s="566" t="str">
        <f>IF(U2384&gt;0,"xx",IF(P2384&gt;0,"xy",""))</f>
        <v/>
      </c>
      <c r="X2386" s="586" t="str">
        <f t="shared" si="622"/>
        <v/>
      </c>
      <c r="Y2386" s="586" t="str">
        <f t="shared" si="633"/>
        <v/>
      </c>
      <c r="Z2386" s="586" t="str">
        <f t="shared" si="621"/>
        <v/>
      </c>
    </row>
    <row r="2387" spans="1:26" ht="12" hidden="1" thickBot="1" x14ac:dyDescent="0.25">
      <c r="A2387" s="567" t="s">
        <v>168</v>
      </c>
      <c r="B2387" s="644" t="s">
        <v>168</v>
      </c>
      <c r="C2387" s="645"/>
      <c r="D2387" s="422" t="s">
        <v>252</v>
      </c>
      <c r="E2387" s="423"/>
      <c r="F2387" s="424">
        <v>20</v>
      </c>
      <c r="G2387" s="425">
        <f>VLOOKUP(D2384,'[2]ENSAIOS DE ORÇAMENTO'!$C$3:$L$79,6,FALSE)</f>
        <v>1.3295746499999999</v>
      </c>
      <c r="H2387" s="663">
        <f t="shared" si="635"/>
        <v>32.016157571999997</v>
      </c>
      <c r="I2387" s="420"/>
      <c r="J2387" s="420"/>
      <c r="K2387" s="421">
        <f t="shared" si="627"/>
        <v>0</v>
      </c>
      <c r="L2387" s="647"/>
      <c r="M2387" s="723"/>
      <c r="N2387" s="576">
        <f t="shared" si="616"/>
        <v>0</v>
      </c>
      <c r="O2387" s="577">
        <f t="shared" si="630"/>
        <v>0</v>
      </c>
      <c r="P2387" s="578">
        <f t="shared" si="631"/>
        <v>0</v>
      </c>
      <c r="Q2387" s="765"/>
      <c r="R2387" s="723"/>
      <c r="S2387" s="723"/>
      <c r="T2387" s="577">
        <f t="shared" si="628"/>
        <v>0</v>
      </c>
      <c r="U2387" s="578">
        <f t="shared" si="629"/>
        <v>0</v>
      </c>
      <c r="V2387" s="579"/>
      <c r="W2387" s="566" t="str">
        <f>IF(U2384&gt;0,"xx",IF(P2384&gt;0,"xy",""))</f>
        <v/>
      </c>
      <c r="X2387" s="586" t="str">
        <f t="shared" si="622"/>
        <v/>
      </c>
      <c r="Y2387" s="586" t="str">
        <f t="shared" si="633"/>
        <v/>
      </c>
      <c r="Z2387" s="586" t="str">
        <f t="shared" si="621"/>
        <v/>
      </c>
    </row>
    <row r="2388" spans="1:26" ht="12" hidden="1" thickBot="1" x14ac:dyDescent="0.25">
      <c r="A2388" s="567" t="s">
        <v>168</v>
      </c>
      <c r="B2388" s="644" t="s">
        <v>168</v>
      </c>
      <c r="C2388" s="645"/>
      <c r="D2388" s="422" t="s">
        <v>400</v>
      </c>
      <c r="E2388" s="423"/>
      <c r="F2388" s="424">
        <v>30</v>
      </c>
      <c r="G2388" s="425">
        <f>VLOOKUP(D2384,'[2]ENSAIOS DE ORÇAMENTO'!$C$3:$L$79,3,FALSE)</f>
        <v>0</v>
      </c>
      <c r="H2388" s="663">
        <f t="shared" si="635"/>
        <v>0</v>
      </c>
      <c r="I2388" s="420"/>
      <c r="J2388" s="420"/>
      <c r="K2388" s="421">
        <f t="shared" si="627"/>
        <v>0</v>
      </c>
      <c r="L2388" s="647"/>
      <c r="M2388" s="723"/>
      <c r="N2388" s="576">
        <f t="shared" ref="N2388:N2451" si="636">IF(M2388=0,0,K2388)</f>
        <v>0</v>
      </c>
      <c r="O2388" s="577">
        <f t="shared" si="630"/>
        <v>0</v>
      </c>
      <c r="P2388" s="578">
        <f t="shared" si="631"/>
        <v>0</v>
      </c>
      <c r="Q2388" s="765"/>
      <c r="R2388" s="723"/>
      <c r="S2388" s="723"/>
      <c r="T2388" s="577">
        <f t="shared" si="628"/>
        <v>0</v>
      </c>
      <c r="U2388" s="578">
        <f t="shared" si="629"/>
        <v>0</v>
      </c>
      <c r="V2388" s="579"/>
      <c r="W2388" s="566" t="str">
        <f>IF(U2384&gt;0,"xx",IF(P2384&gt;0,"xy",""))</f>
        <v/>
      </c>
      <c r="X2388" s="586" t="str">
        <f t="shared" si="622"/>
        <v/>
      </c>
      <c r="Y2388" s="586" t="str">
        <f t="shared" si="633"/>
        <v/>
      </c>
      <c r="Z2388" s="586" t="str">
        <f t="shared" si="621"/>
        <v/>
      </c>
    </row>
    <row r="2389" spans="1:26" ht="12" hidden="1" thickBot="1" x14ac:dyDescent="0.25">
      <c r="A2389" s="567" t="s">
        <v>168</v>
      </c>
      <c r="B2389" s="644" t="s">
        <v>168</v>
      </c>
      <c r="C2389" s="645"/>
      <c r="D2389" s="422" t="s">
        <v>401</v>
      </c>
      <c r="E2389" s="423"/>
      <c r="F2389" s="424">
        <v>500</v>
      </c>
      <c r="G2389" s="425">
        <f>VLOOKUP(D2384,'[2]ENSAIOS DE ORÇAMENTO'!$C$3:$L$79,10,FALSE)</f>
        <v>0</v>
      </c>
      <c r="H2389" s="649">
        <f>IF(F2389&lt;=30,(0.78*F2389+7.82)*G2389,((0.78*30+7.82)+0.78*(F2389-30))*G2389)</f>
        <v>0</v>
      </c>
      <c r="I2389" s="420"/>
      <c r="J2389" s="420"/>
      <c r="K2389" s="421">
        <f t="shared" si="627"/>
        <v>0</v>
      </c>
      <c r="L2389" s="647"/>
      <c r="M2389" s="723"/>
      <c r="N2389" s="576">
        <f t="shared" si="636"/>
        <v>0</v>
      </c>
      <c r="O2389" s="577">
        <f t="shared" si="630"/>
        <v>0</v>
      </c>
      <c r="P2389" s="578">
        <f t="shared" si="631"/>
        <v>0</v>
      </c>
      <c r="Q2389" s="765"/>
      <c r="R2389" s="723"/>
      <c r="S2389" s="723"/>
      <c r="T2389" s="577">
        <f t="shared" si="628"/>
        <v>0</v>
      </c>
      <c r="U2389" s="578">
        <f t="shared" si="629"/>
        <v>0</v>
      </c>
      <c r="V2389" s="579"/>
      <c r="W2389" s="566" t="str">
        <f>IF(U2384&gt;0,"xx",IF(P2384&gt;0,"xy",""))</f>
        <v/>
      </c>
      <c r="X2389" s="586" t="str">
        <f t="shared" si="622"/>
        <v/>
      </c>
      <c r="Y2389" s="586" t="str">
        <f t="shared" si="633"/>
        <v/>
      </c>
      <c r="Z2389" s="586" t="str">
        <f t="shared" si="621"/>
        <v/>
      </c>
    </row>
    <row r="2390" spans="1:26" ht="12" hidden="1" thickBot="1" x14ac:dyDescent="0.25">
      <c r="A2390" s="567" t="s">
        <v>42</v>
      </c>
      <c r="B2390" s="644" t="s">
        <v>42</v>
      </c>
      <c r="C2390" s="645" t="s">
        <v>206</v>
      </c>
      <c r="D2390" s="422" t="s">
        <v>418</v>
      </c>
      <c r="E2390" s="423"/>
      <c r="F2390" s="424"/>
      <c r="G2390" s="425"/>
      <c r="H2390" s="651">
        <f>SUM(H2391:H2395)</f>
        <v>590.83642489520014</v>
      </c>
      <c r="I2390" s="420">
        <f>VLOOKUP(D2390,'[2]ENSAIOS DE ORÇAMENTO'!$C$3:$L$79,8,FALSE)</f>
        <v>3484.3103660666666</v>
      </c>
      <c r="J2390" s="420">
        <f>IF(ISBLANK(I2390),"",SUM(H2390:I2390))</f>
        <v>4075.1467909618668</v>
      </c>
      <c r="K2390" s="421">
        <f t="shared" si="627"/>
        <v>4841.68</v>
      </c>
      <c r="L2390" s="647" t="s">
        <v>21</v>
      </c>
      <c r="M2390" s="576"/>
      <c r="N2390" s="576">
        <f t="shared" si="636"/>
        <v>0</v>
      </c>
      <c r="O2390" s="577">
        <f t="shared" si="630"/>
        <v>0</v>
      </c>
      <c r="P2390" s="578">
        <f t="shared" si="631"/>
        <v>0</v>
      </c>
      <c r="Q2390" s="765"/>
      <c r="R2390" s="576">
        <f>M2390</f>
        <v>0</v>
      </c>
      <c r="S2390" s="576">
        <f>N2390</f>
        <v>0</v>
      </c>
      <c r="T2390" s="577">
        <f t="shared" si="628"/>
        <v>0</v>
      </c>
      <c r="U2390" s="578">
        <f t="shared" si="629"/>
        <v>0</v>
      </c>
      <c r="V2390" s="579"/>
      <c r="W2390" s="566"/>
      <c r="X2390" s="586" t="str">
        <f t="shared" si="622"/>
        <v/>
      </c>
      <c r="Y2390" s="586" t="str">
        <f t="shared" si="633"/>
        <v/>
      </c>
      <c r="Z2390" s="586" t="str">
        <f t="shared" si="621"/>
        <v/>
      </c>
    </row>
    <row r="2391" spans="1:26" ht="12" hidden="1" thickBot="1" x14ac:dyDescent="0.25">
      <c r="A2391" s="567" t="s">
        <v>168</v>
      </c>
      <c r="B2391" s="644" t="s">
        <v>168</v>
      </c>
      <c r="C2391" s="645"/>
      <c r="D2391" s="422" t="s">
        <v>212</v>
      </c>
      <c r="E2391" s="423"/>
      <c r="F2391" s="424">
        <v>500</v>
      </c>
      <c r="G2391" s="425">
        <f>VLOOKUP(D2390,'[2]ENSAIOS DE ORÇAMENTO'!$C$3:$L$79,4,FALSE)</f>
        <v>0.56408220000000009</v>
      </c>
      <c r="H2391" s="649">
        <f>IF(F2391&lt;=30,(0.78*F2391+7.82)*G2391,((0.78*30+7.82)+0.78*(F2391-30))*G2391)</f>
        <v>224.40318080400007</v>
      </c>
      <c r="I2391" s="420"/>
      <c r="J2391" s="420"/>
      <c r="K2391" s="421">
        <f t="shared" si="627"/>
        <v>0</v>
      </c>
      <c r="L2391" s="647"/>
      <c r="M2391" s="723"/>
      <c r="N2391" s="576">
        <f t="shared" si="636"/>
        <v>0</v>
      </c>
      <c r="O2391" s="577">
        <f t="shared" si="630"/>
        <v>0</v>
      </c>
      <c r="P2391" s="578">
        <f t="shared" si="631"/>
        <v>0</v>
      </c>
      <c r="Q2391" s="765"/>
      <c r="R2391" s="723"/>
      <c r="S2391" s="723"/>
      <c r="T2391" s="577">
        <f t="shared" si="628"/>
        <v>0</v>
      </c>
      <c r="U2391" s="578">
        <f t="shared" si="629"/>
        <v>0</v>
      </c>
      <c r="V2391" s="579"/>
      <c r="W2391" s="566" t="str">
        <f>IF(U2390&gt;0,"xx",IF(P2390&gt;0,"xy",""))</f>
        <v/>
      </c>
      <c r="X2391" s="586" t="str">
        <f t="shared" si="622"/>
        <v/>
      </c>
      <c r="Y2391" s="586" t="str">
        <f t="shared" si="633"/>
        <v/>
      </c>
      <c r="Z2391" s="586" t="str">
        <f t="shared" si="621"/>
        <v/>
      </c>
    </row>
    <row r="2392" spans="1:26" ht="12" hidden="1" thickBot="1" x14ac:dyDescent="0.25">
      <c r="A2392" s="567" t="s">
        <v>168</v>
      </c>
      <c r="B2392" s="644" t="s">
        <v>168</v>
      </c>
      <c r="C2392" s="645"/>
      <c r="D2392" s="422" t="s">
        <v>248</v>
      </c>
      <c r="E2392" s="423"/>
      <c r="F2392" s="424">
        <v>180</v>
      </c>
      <c r="G2392" s="425">
        <f>VLOOKUP(D2390,'[2]ENSAIOS DE ORÇAMENTO'!$C$3:$L$79,5,FALSE)</f>
        <v>1.6356421400000001</v>
      </c>
      <c r="H2392" s="663">
        <f t="shared" ref="H2392:H2394" si="637">IF(F2392&lt;=30,(1.07*F2392+2.68)*G2392,((1.07*30+2.68)+1.07*(F2392-30))*G2392)</f>
        <v>319.40819709920004</v>
      </c>
      <c r="I2392" s="420"/>
      <c r="J2392" s="420"/>
      <c r="K2392" s="421">
        <f t="shared" si="627"/>
        <v>0</v>
      </c>
      <c r="L2392" s="647"/>
      <c r="M2392" s="723"/>
      <c r="N2392" s="576">
        <f t="shared" si="636"/>
        <v>0</v>
      </c>
      <c r="O2392" s="577">
        <f t="shared" si="630"/>
        <v>0</v>
      </c>
      <c r="P2392" s="578">
        <f t="shared" si="631"/>
        <v>0</v>
      </c>
      <c r="Q2392" s="765"/>
      <c r="R2392" s="723"/>
      <c r="S2392" s="723"/>
      <c r="T2392" s="577">
        <f t="shared" si="628"/>
        <v>0</v>
      </c>
      <c r="U2392" s="578">
        <f t="shared" si="629"/>
        <v>0</v>
      </c>
      <c r="V2392" s="579"/>
      <c r="W2392" s="566" t="str">
        <f>IF(U2390&gt;0,"xx",IF(P2390&gt;0,"xy",""))</f>
        <v/>
      </c>
      <c r="X2392" s="586" t="str">
        <f t="shared" si="622"/>
        <v/>
      </c>
      <c r="Y2392" s="586" t="str">
        <f t="shared" si="633"/>
        <v/>
      </c>
      <c r="Z2392" s="586" t="str">
        <f t="shared" si="621"/>
        <v/>
      </c>
    </row>
    <row r="2393" spans="1:26" ht="12" hidden="1" thickBot="1" x14ac:dyDescent="0.25">
      <c r="A2393" s="567" t="s">
        <v>168</v>
      </c>
      <c r="B2393" s="644" t="s">
        <v>168</v>
      </c>
      <c r="C2393" s="645"/>
      <c r="D2393" s="422" t="s">
        <v>252</v>
      </c>
      <c r="E2393" s="423"/>
      <c r="F2393" s="424">
        <v>20</v>
      </c>
      <c r="G2393" s="425">
        <f>VLOOKUP(D2390,'[2]ENSAIOS DE ORÇAMENTO'!$C$3:$L$79,6,FALSE)</f>
        <v>1.9528674000000004</v>
      </c>
      <c r="H2393" s="663">
        <f t="shared" si="637"/>
        <v>47.025046992000014</v>
      </c>
      <c r="I2393" s="420"/>
      <c r="J2393" s="420"/>
      <c r="K2393" s="421">
        <f t="shared" si="627"/>
        <v>0</v>
      </c>
      <c r="L2393" s="647"/>
      <c r="M2393" s="723"/>
      <c r="N2393" s="576">
        <f t="shared" si="636"/>
        <v>0</v>
      </c>
      <c r="O2393" s="577">
        <f t="shared" si="630"/>
        <v>0</v>
      </c>
      <c r="P2393" s="578">
        <f t="shared" si="631"/>
        <v>0</v>
      </c>
      <c r="Q2393" s="765"/>
      <c r="R2393" s="723"/>
      <c r="S2393" s="723"/>
      <c r="T2393" s="577">
        <f t="shared" si="628"/>
        <v>0</v>
      </c>
      <c r="U2393" s="578">
        <f t="shared" si="629"/>
        <v>0</v>
      </c>
      <c r="V2393" s="579"/>
      <c r="W2393" s="566" t="str">
        <f>IF(U2390&gt;0,"xx",IF(P2390&gt;0,"xy",""))</f>
        <v/>
      </c>
      <c r="X2393" s="586" t="str">
        <f t="shared" si="622"/>
        <v/>
      </c>
      <c r="Y2393" s="586" t="str">
        <f t="shared" si="633"/>
        <v/>
      </c>
      <c r="Z2393" s="586" t="str">
        <f t="shared" si="621"/>
        <v/>
      </c>
    </row>
    <row r="2394" spans="1:26" ht="12" hidden="1" thickBot="1" x14ac:dyDescent="0.25">
      <c r="A2394" s="567" t="s">
        <v>168</v>
      </c>
      <c r="B2394" s="644" t="s">
        <v>168</v>
      </c>
      <c r="C2394" s="645"/>
      <c r="D2394" s="422" t="s">
        <v>400</v>
      </c>
      <c r="E2394" s="423"/>
      <c r="F2394" s="424">
        <v>30</v>
      </c>
      <c r="G2394" s="425">
        <f>VLOOKUP(D2390,'[2]ENSAIOS DE ORÇAMENTO'!$C$3:$L$79,3,FALSE)</f>
        <v>0</v>
      </c>
      <c r="H2394" s="663">
        <f t="shared" si="637"/>
        <v>0</v>
      </c>
      <c r="I2394" s="420"/>
      <c r="J2394" s="420"/>
      <c r="K2394" s="421">
        <f t="shared" si="627"/>
        <v>0</v>
      </c>
      <c r="L2394" s="647"/>
      <c r="M2394" s="723"/>
      <c r="N2394" s="576">
        <f t="shared" si="636"/>
        <v>0</v>
      </c>
      <c r="O2394" s="577">
        <f t="shared" si="630"/>
        <v>0</v>
      </c>
      <c r="P2394" s="578">
        <f t="shared" si="631"/>
        <v>0</v>
      </c>
      <c r="Q2394" s="765"/>
      <c r="R2394" s="723"/>
      <c r="S2394" s="723"/>
      <c r="T2394" s="577">
        <f t="shared" si="628"/>
        <v>0</v>
      </c>
      <c r="U2394" s="578">
        <f t="shared" si="629"/>
        <v>0</v>
      </c>
      <c r="V2394" s="579"/>
      <c r="W2394" s="566" t="str">
        <f>IF(U2390&gt;0,"xx",IF(P2390&gt;0,"xy",""))</f>
        <v/>
      </c>
      <c r="X2394" s="586" t="str">
        <f t="shared" si="622"/>
        <v/>
      </c>
      <c r="Y2394" s="586" t="str">
        <f t="shared" si="633"/>
        <v/>
      </c>
      <c r="Z2394" s="586" t="str">
        <f t="shared" si="621"/>
        <v/>
      </c>
    </row>
    <row r="2395" spans="1:26" ht="12" hidden="1" thickBot="1" x14ac:dyDescent="0.25">
      <c r="A2395" s="567" t="s">
        <v>168</v>
      </c>
      <c r="B2395" s="644" t="s">
        <v>168</v>
      </c>
      <c r="C2395" s="645"/>
      <c r="D2395" s="422" t="s">
        <v>401</v>
      </c>
      <c r="E2395" s="423"/>
      <c r="F2395" s="424">
        <v>500</v>
      </c>
      <c r="G2395" s="425">
        <f>VLOOKUP(D2390,'[2]ENSAIOS DE ORÇAMENTO'!$C$3:$L$79,10,FALSE)</f>
        <v>0</v>
      </c>
      <c r="H2395" s="649">
        <f>IF(F2395&lt;=30,(0.78*F2395+7.82)*G2395,((0.78*30+7.82)+0.78*(F2395-30))*G2395)</f>
        <v>0</v>
      </c>
      <c r="I2395" s="420"/>
      <c r="J2395" s="420"/>
      <c r="K2395" s="421">
        <f t="shared" si="627"/>
        <v>0</v>
      </c>
      <c r="L2395" s="647"/>
      <c r="M2395" s="723"/>
      <c r="N2395" s="576">
        <f t="shared" si="636"/>
        <v>0</v>
      </c>
      <c r="O2395" s="577">
        <f t="shared" si="630"/>
        <v>0</v>
      </c>
      <c r="P2395" s="578">
        <f t="shared" si="631"/>
        <v>0</v>
      </c>
      <c r="Q2395" s="765"/>
      <c r="R2395" s="723"/>
      <c r="S2395" s="723"/>
      <c r="T2395" s="577">
        <f t="shared" si="628"/>
        <v>0</v>
      </c>
      <c r="U2395" s="578">
        <f t="shared" si="629"/>
        <v>0</v>
      </c>
      <c r="V2395" s="579"/>
      <c r="W2395" s="566" t="str">
        <f>IF(U2390&gt;0,"xx",IF(P2390&gt;0,"xy",""))</f>
        <v/>
      </c>
      <c r="X2395" s="586" t="str">
        <f t="shared" si="622"/>
        <v/>
      </c>
      <c r="Y2395" s="586" t="str">
        <f t="shared" si="633"/>
        <v/>
      </c>
      <c r="Z2395" s="586" t="str">
        <f t="shared" si="621"/>
        <v/>
      </c>
    </row>
    <row r="2396" spans="1:26" ht="12" hidden="1" thickBot="1" x14ac:dyDescent="0.25">
      <c r="A2396" s="567" t="s">
        <v>43</v>
      </c>
      <c r="B2396" s="644" t="s">
        <v>43</v>
      </c>
      <c r="C2396" s="645" t="s">
        <v>206</v>
      </c>
      <c r="D2396" s="422" t="s">
        <v>419</v>
      </c>
      <c r="E2396" s="423"/>
      <c r="F2396" s="424"/>
      <c r="G2396" s="425"/>
      <c r="H2396" s="651">
        <f>SUM(H2397:H2401)</f>
        <v>817.23322366720015</v>
      </c>
      <c r="I2396" s="420">
        <f>VLOOKUP(D2396,'[2]ENSAIOS DE ORÇAMENTO'!$C$3:$L$79,8,FALSE)</f>
        <v>4805.7457183999995</v>
      </c>
      <c r="J2396" s="420">
        <f>IF(ISBLANK(I2396),"",SUM(H2396:I2396))</f>
        <v>5622.9789420671996</v>
      </c>
      <c r="K2396" s="421">
        <f t="shared" si="627"/>
        <v>6680.66</v>
      </c>
      <c r="L2396" s="647" t="s">
        <v>21</v>
      </c>
      <c r="M2396" s="576"/>
      <c r="N2396" s="576">
        <f t="shared" si="636"/>
        <v>0</v>
      </c>
      <c r="O2396" s="577">
        <f t="shared" si="630"/>
        <v>0</v>
      </c>
      <c r="P2396" s="578">
        <f t="shared" si="631"/>
        <v>0</v>
      </c>
      <c r="Q2396" s="765"/>
      <c r="R2396" s="576">
        <f>M2396</f>
        <v>0</v>
      </c>
      <c r="S2396" s="576">
        <f>N2396</f>
        <v>0</v>
      </c>
      <c r="T2396" s="577">
        <f t="shared" si="628"/>
        <v>0</v>
      </c>
      <c r="U2396" s="578">
        <f t="shared" si="629"/>
        <v>0</v>
      </c>
      <c r="V2396" s="579"/>
      <c r="W2396" s="566"/>
      <c r="X2396" s="586" t="str">
        <f t="shared" si="622"/>
        <v/>
      </c>
      <c r="Y2396" s="586" t="str">
        <f t="shared" si="633"/>
        <v/>
      </c>
      <c r="Z2396" s="586" t="str">
        <f t="shared" si="621"/>
        <v/>
      </c>
    </row>
    <row r="2397" spans="1:26" ht="12" hidden="1" thickBot="1" x14ac:dyDescent="0.25">
      <c r="A2397" s="567" t="s">
        <v>168</v>
      </c>
      <c r="B2397" s="644" t="s">
        <v>168</v>
      </c>
      <c r="C2397" s="645"/>
      <c r="D2397" s="422" t="s">
        <v>212</v>
      </c>
      <c r="E2397" s="423"/>
      <c r="F2397" s="424">
        <v>500</v>
      </c>
      <c r="G2397" s="425">
        <f>VLOOKUP(D2396,'[2]ENSAIOS DE ORÇAMENTO'!$C$3:$L$79,4,FALSE)</f>
        <v>0.77929919999999997</v>
      </c>
      <c r="H2397" s="649">
        <f>IF(F2397&lt;=30,(0.78*F2397+7.82)*G2397,((0.78*30+7.82)+0.78*(F2397-30))*G2397)</f>
        <v>310.02080774400002</v>
      </c>
      <c r="I2397" s="420"/>
      <c r="J2397" s="420"/>
      <c r="K2397" s="421">
        <f t="shared" si="627"/>
        <v>0</v>
      </c>
      <c r="L2397" s="647"/>
      <c r="M2397" s="723"/>
      <c r="N2397" s="576">
        <f t="shared" si="636"/>
        <v>0</v>
      </c>
      <c r="O2397" s="577">
        <f t="shared" si="630"/>
        <v>0</v>
      </c>
      <c r="P2397" s="578">
        <f t="shared" si="631"/>
        <v>0</v>
      </c>
      <c r="Q2397" s="765"/>
      <c r="R2397" s="723"/>
      <c r="S2397" s="723"/>
      <c r="T2397" s="577">
        <f t="shared" si="628"/>
        <v>0</v>
      </c>
      <c r="U2397" s="578">
        <f t="shared" si="629"/>
        <v>0</v>
      </c>
      <c r="V2397" s="579"/>
      <c r="W2397" s="566" t="str">
        <f>IF(U2396&gt;0,"xx",IF(P2396&gt;0,"xy",""))</f>
        <v/>
      </c>
      <c r="X2397" s="586" t="str">
        <f t="shared" si="622"/>
        <v/>
      </c>
      <c r="Y2397" s="586" t="str">
        <f t="shared" si="633"/>
        <v/>
      </c>
      <c r="Z2397" s="586" t="str">
        <f t="shared" si="621"/>
        <v/>
      </c>
    </row>
    <row r="2398" spans="1:26" ht="12" hidden="1" thickBot="1" x14ac:dyDescent="0.25">
      <c r="A2398" s="567" t="s">
        <v>168</v>
      </c>
      <c r="B2398" s="644" t="s">
        <v>168</v>
      </c>
      <c r="C2398" s="645"/>
      <c r="D2398" s="422" t="s">
        <v>248</v>
      </c>
      <c r="E2398" s="423"/>
      <c r="F2398" s="424">
        <v>180</v>
      </c>
      <c r="G2398" s="425">
        <f>VLOOKUP(D2396,'[2]ENSAIOS DE ORÇAMENTO'!$C$3:$L$79,5,FALSE)</f>
        <v>2.26417504</v>
      </c>
      <c r="H2398" s="663">
        <f t="shared" ref="H2398:H2400" si="638">IF(F2398&lt;=30,(1.07*F2398+2.68)*G2398,((1.07*30+2.68)+1.07*(F2398-30))*G2398)</f>
        <v>442.14810181120004</v>
      </c>
      <c r="I2398" s="420"/>
      <c r="J2398" s="420"/>
      <c r="K2398" s="421">
        <f t="shared" si="627"/>
        <v>0</v>
      </c>
      <c r="L2398" s="647"/>
      <c r="M2398" s="723"/>
      <c r="N2398" s="576">
        <f t="shared" si="636"/>
        <v>0</v>
      </c>
      <c r="O2398" s="577">
        <f t="shared" si="630"/>
        <v>0</v>
      </c>
      <c r="P2398" s="578">
        <f t="shared" si="631"/>
        <v>0</v>
      </c>
      <c r="Q2398" s="765"/>
      <c r="R2398" s="723"/>
      <c r="S2398" s="723"/>
      <c r="T2398" s="577">
        <f t="shared" si="628"/>
        <v>0</v>
      </c>
      <c r="U2398" s="578">
        <f t="shared" si="629"/>
        <v>0</v>
      </c>
      <c r="V2398" s="579"/>
      <c r="W2398" s="566" t="str">
        <f>IF(U2396&gt;0,"xx",IF(P2396&gt;0,"xy",""))</f>
        <v/>
      </c>
      <c r="X2398" s="586" t="str">
        <f t="shared" si="622"/>
        <v/>
      </c>
      <c r="Y2398" s="586" t="str">
        <f t="shared" si="633"/>
        <v/>
      </c>
      <c r="Z2398" s="586" t="str">
        <f t="shared" si="621"/>
        <v/>
      </c>
    </row>
    <row r="2399" spans="1:26" ht="12" hidden="1" thickBot="1" x14ac:dyDescent="0.25">
      <c r="A2399" s="567" t="s">
        <v>168</v>
      </c>
      <c r="B2399" s="644" t="s">
        <v>168</v>
      </c>
      <c r="C2399" s="645"/>
      <c r="D2399" s="422" t="s">
        <v>252</v>
      </c>
      <c r="E2399" s="423"/>
      <c r="F2399" s="424">
        <v>20</v>
      </c>
      <c r="G2399" s="425">
        <f>VLOOKUP(D2396,'[2]ENSAIOS DE ORÇAMENTO'!$C$3:$L$79,6,FALSE)</f>
        <v>2.7020064000000001</v>
      </c>
      <c r="H2399" s="663">
        <f t="shared" si="638"/>
        <v>65.064314112000005</v>
      </c>
      <c r="I2399" s="420"/>
      <c r="J2399" s="420"/>
      <c r="K2399" s="421">
        <f t="shared" si="627"/>
        <v>0</v>
      </c>
      <c r="L2399" s="647"/>
      <c r="M2399" s="723"/>
      <c r="N2399" s="576">
        <f t="shared" si="636"/>
        <v>0</v>
      </c>
      <c r="O2399" s="577">
        <f t="shared" si="630"/>
        <v>0</v>
      </c>
      <c r="P2399" s="578">
        <f t="shared" si="631"/>
        <v>0</v>
      </c>
      <c r="Q2399" s="765"/>
      <c r="R2399" s="723"/>
      <c r="S2399" s="723"/>
      <c r="T2399" s="577">
        <f t="shared" si="628"/>
        <v>0</v>
      </c>
      <c r="U2399" s="578">
        <f t="shared" si="629"/>
        <v>0</v>
      </c>
      <c r="V2399" s="579"/>
      <c r="W2399" s="566" t="str">
        <f>IF(U2396&gt;0,"xx",IF(P2396&gt;0,"xy",""))</f>
        <v/>
      </c>
      <c r="X2399" s="586" t="str">
        <f t="shared" si="622"/>
        <v/>
      </c>
      <c r="Y2399" s="586" t="str">
        <f t="shared" si="633"/>
        <v/>
      </c>
      <c r="Z2399" s="586" t="str">
        <f t="shared" si="621"/>
        <v/>
      </c>
    </row>
    <row r="2400" spans="1:26" ht="12" hidden="1" thickBot="1" x14ac:dyDescent="0.25">
      <c r="A2400" s="567" t="s">
        <v>168</v>
      </c>
      <c r="B2400" s="644" t="s">
        <v>168</v>
      </c>
      <c r="C2400" s="645"/>
      <c r="D2400" s="422" t="s">
        <v>400</v>
      </c>
      <c r="E2400" s="423"/>
      <c r="F2400" s="424">
        <v>30</v>
      </c>
      <c r="G2400" s="425">
        <f>VLOOKUP(D2396,'[2]ENSAIOS DE ORÇAMENTO'!$C$3:$L$79,3,FALSE)</f>
        <v>0</v>
      </c>
      <c r="H2400" s="663">
        <f t="shared" si="638"/>
        <v>0</v>
      </c>
      <c r="I2400" s="420"/>
      <c r="J2400" s="420"/>
      <c r="K2400" s="421">
        <f t="shared" si="627"/>
        <v>0</v>
      </c>
      <c r="L2400" s="647"/>
      <c r="M2400" s="723"/>
      <c r="N2400" s="576">
        <f t="shared" si="636"/>
        <v>0</v>
      </c>
      <c r="O2400" s="577">
        <f t="shared" si="630"/>
        <v>0</v>
      </c>
      <c r="P2400" s="578">
        <f t="shared" si="631"/>
        <v>0</v>
      </c>
      <c r="Q2400" s="765"/>
      <c r="R2400" s="723"/>
      <c r="S2400" s="723"/>
      <c r="T2400" s="577">
        <f t="shared" si="628"/>
        <v>0</v>
      </c>
      <c r="U2400" s="578">
        <f t="shared" si="629"/>
        <v>0</v>
      </c>
      <c r="V2400" s="579"/>
      <c r="W2400" s="566" t="str">
        <f>IF(U2396&gt;0,"xx",IF(P2396&gt;0,"xy",""))</f>
        <v/>
      </c>
      <c r="X2400" s="586" t="str">
        <f t="shared" si="622"/>
        <v/>
      </c>
      <c r="Y2400" s="586" t="str">
        <f t="shared" si="633"/>
        <v/>
      </c>
      <c r="Z2400" s="586" t="str">
        <f t="shared" si="621"/>
        <v/>
      </c>
    </row>
    <row r="2401" spans="1:26" ht="12" hidden="1" thickBot="1" x14ac:dyDescent="0.25">
      <c r="A2401" s="567" t="s">
        <v>168</v>
      </c>
      <c r="B2401" s="644" t="s">
        <v>168</v>
      </c>
      <c r="C2401" s="645"/>
      <c r="D2401" s="422" t="s">
        <v>401</v>
      </c>
      <c r="E2401" s="423"/>
      <c r="F2401" s="424">
        <v>500</v>
      </c>
      <c r="G2401" s="425">
        <f>VLOOKUP(D2396,'[2]ENSAIOS DE ORÇAMENTO'!$C$3:$L$79,10,FALSE)</f>
        <v>0</v>
      </c>
      <c r="H2401" s="649">
        <f>IF(F2401&lt;=30,(0.78*F2401+7.82)*G2401,((0.78*30+7.82)+0.78*(F2401-30))*G2401)</f>
        <v>0</v>
      </c>
      <c r="I2401" s="420"/>
      <c r="J2401" s="420"/>
      <c r="K2401" s="421">
        <f t="shared" si="627"/>
        <v>0</v>
      </c>
      <c r="L2401" s="647"/>
      <c r="M2401" s="723"/>
      <c r="N2401" s="576">
        <f t="shared" si="636"/>
        <v>0</v>
      </c>
      <c r="O2401" s="577">
        <f t="shared" si="630"/>
        <v>0</v>
      </c>
      <c r="P2401" s="578">
        <f t="shared" si="631"/>
        <v>0</v>
      </c>
      <c r="Q2401" s="765"/>
      <c r="R2401" s="723"/>
      <c r="S2401" s="723"/>
      <c r="T2401" s="577">
        <f t="shared" si="628"/>
        <v>0</v>
      </c>
      <c r="U2401" s="578">
        <f t="shared" si="629"/>
        <v>0</v>
      </c>
      <c r="V2401" s="579"/>
      <c r="W2401" s="566" t="str">
        <f>IF(U2396&gt;0,"xx",IF(P2396&gt;0,"xy",""))</f>
        <v/>
      </c>
      <c r="X2401" s="586" t="str">
        <f t="shared" si="622"/>
        <v/>
      </c>
      <c r="Y2401" s="586" t="str">
        <f t="shared" si="633"/>
        <v/>
      </c>
      <c r="Z2401" s="586" t="str">
        <f t="shared" si="621"/>
        <v/>
      </c>
    </row>
    <row r="2402" spans="1:26" ht="12" hidden="1" thickBot="1" x14ac:dyDescent="0.25">
      <c r="A2402" s="567" t="s">
        <v>44</v>
      </c>
      <c r="B2402" s="644" t="s">
        <v>44</v>
      </c>
      <c r="C2402" s="645" t="s">
        <v>206</v>
      </c>
      <c r="D2402" s="422" t="s">
        <v>420</v>
      </c>
      <c r="E2402" s="423"/>
      <c r="F2402" s="424"/>
      <c r="G2402" s="425"/>
      <c r="H2402" s="651">
        <f>SUM(H2403:H2407)</f>
        <v>1267.4930508222001</v>
      </c>
      <c r="I2402" s="420">
        <f>VLOOKUP(D2402,'[2]ENSAIOS DE ORÇAMENTO'!$C$3:$L$79,8,FALSE)</f>
        <v>7260.3459926499991</v>
      </c>
      <c r="J2402" s="420">
        <f>IF(ISBLANK(I2402),"",SUM(H2402:I2402))</f>
        <v>8527.8390434721987</v>
      </c>
      <c r="K2402" s="421">
        <f t="shared" si="627"/>
        <v>10131.93</v>
      </c>
      <c r="L2402" s="647" t="s">
        <v>21</v>
      </c>
      <c r="M2402" s="576"/>
      <c r="N2402" s="576">
        <f t="shared" si="636"/>
        <v>0</v>
      </c>
      <c r="O2402" s="577">
        <f t="shared" si="630"/>
        <v>0</v>
      </c>
      <c r="P2402" s="578">
        <f t="shared" si="631"/>
        <v>0</v>
      </c>
      <c r="Q2402" s="765"/>
      <c r="R2402" s="576">
        <f>M2402</f>
        <v>0</v>
      </c>
      <c r="S2402" s="576">
        <f>N2402</f>
        <v>0</v>
      </c>
      <c r="T2402" s="577">
        <f t="shared" si="628"/>
        <v>0</v>
      </c>
      <c r="U2402" s="578">
        <f t="shared" si="629"/>
        <v>0</v>
      </c>
      <c r="V2402" s="579"/>
      <c r="W2402" s="566"/>
      <c r="X2402" s="586" t="str">
        <f t="shared" si="622"/>
        <v/>
      </c>
      <c r="Y2402" s="586" t="str">
        <f t="shared" si="633"/>
        <v/>
      </c>
      <c r="Z2402" s="586" t="str">
        <f t="shared" si="621"/>
        <v/>
      </c>
    </row>
    <row r="2403" spans="1:26" ht="12" hidden="1" thickBot="1" x14ac:dyDescent="0.25">
      <c r="A2403" s="567" t="s">
        <v>168</v>
      </c>
      <c r="B2403" s="644" t="s">
        <v>168</v>
      </c>
      <c r="C2403" s="645"/>
      <c r="D2403" s="422" t="s">
        <v>212</v>
      </c>
      <c r="E2403" s="423"/>
      <c r="F2403" s="424">
        <v>500</v>
      </c>
      <c r="G2403" s="425">
        <f>VLOOKUP(D2402,'[2]ENSAIOS DE ORÇAMENTO'!$C$3:$L$79,4,FALSE)</f>
        <v>1.2096229499999998</v>
      </c>
      <c r="H2403" s="649">
        <f>IF(F2403&lt;=30,(0.78*F2403+7.82)*G2403,((0.78*30+7.82)+0.78*(F2403-30))*G2403)</f>
        <v>481.21220196899998</v>
      </c>
      <c r="I2403" s="420"/>
      <c r="J2403" s="420"/>
      <c r="K2403" s="421">
        <f t="shared" si="627"/>
        <v>0</v>
      </c>
      <c r="L2403" s="647"/>
      <c r="M2403" s="723"/>
      <c r="N2403" s="576">
        <f t="shared" si="636"/>
        <v>0</v>
      </c>
      <c r="O2403" s="577">
        <f t="shared" si="630"/>
        <v>0</v>
      </c>
      <c r="P2403" s="578">
        <f t="shared" si="631"/>
        <v>0</v>
      </c>
      <c r="Q2403" s="765"/>
      <c r="R2403" s="723"/>
      <c r="S2403" s="723"/>
      <c r="T2403" s="577">
        <f t="shared" si="628"/>
        <v>0</v>
      </c>
      <c r="U2403" s="578">
        <f t="shared" si="629"/>
        <v>0</v>
      </c>
      <c r="V2403" s="579"/>
      <c r="W2403" s="566" t="str">
        <f>IF(U2402&gt;0,"xx",IF(P2402&gt;0,"xy",""))</f>
        <v/>
      </c>
      <c r="X2403" s="586" t="str">
        <f t="shared" si="622"/>
        <v/>
      </c>
      <c r="Y2403" s="586" t="str">
        <f t="shared" si="633"/>
        <v/>
      </c>
      <c r="Z2403" s="586" t="str">
        <f t="shared" si="621"/>
        <v/>
      </c>
    </row>
    <row r="2404" spans="1:26" ht="12" hidden="1" thickBot="1" x14ac:dyDescent="0.25">
      <c r="A2404" s="567" t="s">
        <v>168</v>
      </c>
      <c r="B2404" s="644" t="s">
        <v>168</v>
      </c>
      <c r="C2404" s="645"/>
      <c r="D2404" s="422" t="s">
        <v>248</v>
      </c>
      <c r="E2404" s="423"/>
      <c r="F2404" s="424">
        <v>180</v>
      </c>
      <c r="G2404" s="425">
        <f>VLOOKUP(D2402,'[2]ENSAIOS DE ORÇAMENTO'!$C$3:$L$79,5,FALSE)</f>
        <v>3.5097804149999998</v>
      </c>
      <c r="H2404" s="663">
        <f t="shared" ref="H2404:H2406" si="639">IF(F2404&lt;=30,(1.07*F2404+2.68)*G2404,((1.07*30+2.68)+1.07*(F2404-30))*G2404)</f>
        <v>685.38991944119994</v>
      </c>
      <c r="I2404" s="420"/>
      <c r="J2404" s="420"/>
      <c r="K2404" s="421">
        <f t="shared" si="627"/>
        <v>0</v>
      </c>
      <c r="L2404" s="647"/>
      <c r="M2404" s="723"/>
      <c r="N2404" s="576">
        <f t="shared" si="636"/>
        <v>0</v>
      </c>
      <c r="O2404" s="577">
        <f t="shared" si="630"/>
        <v>0</v>
      </c>
      <c r="P2404" s="578">
        <f t="shared" si="631"/>
        <v>0</v>
      </c>
      <c r="Q2404" s="765"/>
      <c r="R2404" s="723"/>
      <c r="S2404" s="723"/>
      <c r="T2404" s="577">
        <f t="shared" si="628"/>
        <v>0</v>
      </c>
      <c r="U2404" s="578">
        <f t="shared" si="629"/>
        <v>0</v>
      </c>
      <c r="V2404" s="579"/>
      <c r="W2404" s="566" t="str">
        <f>IF(U2402&gt;0,"xx",IF(P2402&gt;0,"xy",""))</f>
        <v/>
      </c>
      <c r="X2404" s="586" t="str">
        <f t="shared" si="622"/>
        <v/>
      </c>
      <c r="Y2404" s="586" t="str">
        <f t="shared" si="633"/>
        <v/>
      </c>
      <c r="Z2404" s="586" t="str">
        <f t="shared" si="621"/>
        <v/>
      </c>
    </row>
    <row r="2405" spans="1:26" ht="12" hidden="1" thickBot="1" x14ac:dyDescent="0.25">
      <c r="A2405" s="567" t="s">
        <v>168</v>
      </c>
      <c r="B2405" s="644" t="s">
        <v>168</v>
      </c>
      <c r="C2405" s="645"/>
      <c r="D2405" s="422" t="s">
        <v>252</v>
      </c>
      <c r="E2405" s="423"/>
      <c r="F2405" s="424">
        <v>20</v>
      </c>
      <c r="G2405" s="425">
        <f>VLOOKUP(D2402,'[2]ENSAIOS DE ORÇAMENTO'!$C$3:$L$79,6,FALSE)</f>
        <v>4.18982265</v>
      </c>
      <c r="H2405" s="663">
        <f t="shared" si="639"/>
        <v>100.89092941200001</v>
      </c>
      <c r="I2405" s="420"/>
      <c r="J2405" s="420"/>
      <c r="K2405" s="421">
        <f t="shared" si="627"/>
        <v>0</v>
      </c>
      <c r="L2405" s="647"/>
      <c r="M2405" s="723"/>
      <c r="N2405" s="576">
        <f t="shared" si="636"/>
        <v>0</v>
      </c>
      <c r="O2405" s="577">
        <f t="shared" si="630"/>
        <v>0</v>
      </c>
      <c r="P2405" s="578">
        <f t="shared" si="631"/>
        <v>0</v>
      </c>
      <c r="Q2405" s="765"/>
      <c r="R2405" s="723"/>
      <c r="S2405" s="723"/>
      <c r="T2405" s="577">
        <f t="shared" si="628"/>
        <v>0</v>
      </c>
      <c r="U2405" s="578">
        <f t="shared" si="629"/>
        <v>0</v>
      </c>
      <c r="V2405" s="579"/>
      <c r="W2405" s="566" t="str">
        <f>IF(U2402&gt;0,"xx",IF(P2402&gt;0,"xy",""))</f>
        <v/>
      </c>
      <c r="X2405" s="586" t="str">
        <f t="shared" si="622"/>
        <v/>
      </c>
      <c r="Y2405" s="586" t="str">
        <f t="shared" si="633"/>
        <v/>
      </c>
      <c r="Z2405" s="586" t="str">
        <f t="shared" si="621"/>
        <v/>
      </c>
    </row>
    <row r="2406" spans="1:26" ht="12" hidden="1" thickBot="1" x14ac:dyDescent="0.25">
      <c r="A2406" s="567" t="s">
        <v>168</v>
      </c>
      <c r="B2406" s="644" t="s">
        <v>168</v>
      </c>
      <c r="C2406" s="645"/>
      <c r="D2406" s="422" t="s">
        <v>400</v>
      </c>
      <c r="E2406" s="423"/>
      <c r="F2406" s="424">
        <v>30</v>
      </c>
      <c r="G2406" s="425">
        <f>VLOOKUP(D2402,'[2]ENSAIOS DE ORÇAMENTO'!$C$3:$L$79,3,FALSE)</f>
        <v>0</v>
      </c>
      <c r="H2406" s="663">
        <f t="shared" si="639"/>
        <v>0</v>
      </c>
      <c r="I2406" s="420"/>
      <c r="J2406" s="420"/>
      <c r="K2406" s="421">
        <f t="shared" si="627"/>
        <v>0</v>
      </c>
      <c r="L2406" s="647"/>
      <c r="M2406" s="723"/>
      <c r="N2406" s="576">
        <f t="shared" si="636"/>
        <v>0</v>
      </c>
      <c r="O2406" s="577">
        <f t="shared" si="630"/>
        <v>0</v>
      </c>
      <c r="P2406" s="578">
        <f t="shared" si="631"/>
        <v>0</v>
      </c>
      <c r="Q2406" s="765"/>
      <c r="R2406" s="723"/>
      <c r="S2406" s="723"/>
      <c r="T2406" s="577">
        <f t="shared" si="628"/>
        <v>0</v>
      </c>
      <c r="U2406" s="578">
        <f t="shared" si="629"/>
        <v>0</v>
      </c>
      <c r="V2406" s="579"/>
      <c r="W2406" s="566" t="str">
        <f>IF(U2402&gt;0,"xx",IF(P2402&gt;0,"xy",""))</f>
        <v/>
      </c>
      <c r="X2406" s="586" t="str">
        <f t="shared" si="622"/>
        <v/>
      </c>
      <c r="Y2406" s="586" t="str">
        <f t="shared" si="633"/>
        <v/>
      </c>
      <c r="Z2406" s="586" t="str">
        <f t="shared" si="621"/>
        <v/>
      </c>
    </row>
    <row r="2407" spans="1:26" ht="12" hidden="1" thickBot="1" x14ac:dyDescent="0.25">
      <c r="A2407" s="567" t="s">
        <v>168</v>
      </c>
      <c r="B2407" s="644" t="s">
        <v>168</v>
      </c>
      <c r="C2407" s="645"/>
      <c r="D2407" s="422" t="s">
        <v>401</v>
      </c>
      <c r="E2407" s="423"/>
      <c r="F2407" s="424">
        <v>500</v>
      </c>
      <c r="G2407" s="425">
        <f>VLOOKUP(D2402,'[2]ENSAIOS DE ORÇAMENTO'!$C$3:$L$79,10,FALSE)</f>
        <v>0</v>
      </c>
      <c r="H2407" s="649">
        <f>IF(F2407&lt;=30,(0.78*F2407+7.82)*G2407,((0.78*30+7.82)+0.78*(F2407-30))*G2407)</f>
        <v>0</v>
      </c>
      <c r="I2407" s="420"/>
      <c r="J2407" s="420"/>
      <c r="K2407" s="421">
        <f t="shared" si="627"/>
        <v>0</v>
      </c>
      <c r="L2407" s="647"/>
      <c r="M2407" s="723"/>
      <c r="N2407" s="576">
        <f t="shared" si="636"/>
        <v>0</v>
      </c>
      <c r="O2407" s="577">
        <f t="shared" si="630"/>
        <v>0</v>
      </c>
      <c r="P2407" s="578">
        <f t="shared" si="631"/>
        <v>0</v>
      </c>
      <c r="Q2407" s="765"/>
      <c r="R2407" s="723"/>
      <c r="S2407" s="723"/>
      <c r="T2407" s="577">
        <f t="shared" si="628"/>
        <v>0</v>
      </c>
      <c r="U2407" s="578">
        <f t="shared" si="629"/>
        <v>0</v>
      </c>
      <c r="V2407" s="579"/>
      <c r="W2407" s="566" t="str">
        <f>IF(U2402&gt;0,"xx",IF(P2402&gt;0,"xy",""))</f>
        <v/>
      </c>
      <c r="X2407" s="586" t="str">
        <f t="shared" si="622"/>
        <v/>
      </c>
      <c r="Y2407" s="586" t="str">
        <f t="shared" si="633"/>
        <v/>
      </c>
      <c r="Z2407" s="586" t="str">
        <f t="shared" si="621"/>
        <v/>
      </c>
    </row>
    <row r="2408" spans="1:26" ht="12" hidden="1" thickBot="1" x14ac:dyDescent="0.25">
      <c r="A2408" s="567" t="s">
        <v>45</v>
      </c>
      <c r="B2408" s="644" t="s">
        <v>45</v>
      </c>
      <c r="C2408" s="645" t="s">
        <v>206</v>
      </c>
      <c r="D2408" s="422" t="s">
        <v>421</v>
      </c>
      <c r="E2408" s="423"/>
      <c r="F2408" s="424"/>
      <c r="G2408" s="425"/>
      <c r="H2408" s="651">
        <f>SUM(H2409:H2413)</f>
        <v>1997.8318681182</v>
      </c>
      <c r="I2408" s="420">
        <f>VLOOKUP(D2408,'[2]ENSAIOS DE ORÇAMENTO'!$C$3:$L$79,8,FALSE)</f>
        <v>11469.066144649998</v>
      </c>
      <c r="J2408" s="420">
        <f>IF(ISBLANK(I2408),"",SUM(H2408:I2408))</f>
        <v>13466.898012768197</v>
      </c>
      <c r="K2408" s="421">
        <f t="shared" si="627"/>
        <v>16000.02</v>
      </c>
      <c r="L2408" s="647" t="s">
        <v>21</v>
      </c>
      <c r="M2408" s="576"/>
      <c r="N2408" s="576">
        <f t="shared" si="636"/>
        <v>0</v>
      </c>
      <c r="O2408" s="577">
        <f t="shared" si="630"/>
        <v>0</v>
      </c>
      <c r="P2408" s="578">
        <f t="shared" si="631"/>
        <v>0</v>
      </c>
      <c r="Q2408" s="765"/>
      <c r="R2408" s="576">
        <f>M2408</f>
        <v>0</v>
      </c>
      <c r="S2408" s="576">
        <f>N2408</f>
        <v>0</v>
      </c>
      <c r="T2408" s="577">
        <f t="shared" si="628"/>
        <v>0</v>
      </c>
      <c r="U2408" s="578">
        <f t="shared" si="629"/>
        <v>0</v>
      </c>
      <c r="V2408" s="579"/>
      <c r="W2408" s="566"/>
      <c r="X2408" s="586" t="str">
        <f t="shared" si="622"/>
        <v/>
      </c>
      <c r="Y2408" s="586" t="str">
        <f t="shared" si="633"/>
        <v/>
      </c>
      <c r="Z2408" s="586" t="str">
        <f t="shared" ref="Z2408:Z2471" si="640">IF(W2408="X","x",IF(U2408&gt;0,"x",""))</f>
        <v/>
      </c>
    </row>
    <row r="2409" spans="1:26" ht="12" hidden="1" thickBot="1" x14ac:dyDescent="0.25">
      <c r="A2409" s="567" t="s">
        <v>168</v>
      </c>
      <c r="B2409" s="644" t="s">
        <v>168</v>
      </c>
      <c r="C2409" s="645"/>
      <c r="D2409" s="422" t="s">
        <v>212</v>
      </c>
      <c r="E2409" s="423"/>
      <c r="F2409" s="424">
        <v>500</v>
      </c>
      <c r="G2409" s="425">
        <f>VLOOKUP(D2408,'[2]ENSAIOS DE ORÇAMENTO'!$C$3:$L$79,4,FALSE)</f>
        <v>1.9087789500000001</v>
      </c>
      <c r="H2409" s="649">
        <f>IF(F2409&lt;=30,(0.78*F2409+7.82)*G2409,((0.78*30+7.82)+0.78*(F2409-30))*G2409)</f>
        <v>759.35044188900008</v>
      </c>
      <c r="I2409" s="420"/>
      <c r="J2409" s="420"/>
      <c r="K2409" s="421">
        <f t="shared" si="627"/>
        <v>0</v>
      </c>
      <c r="L2409" s="647"/>
      <c r="M2409" s="723"/>
      <c r="N2409" s="576">
        <f t="shared" si="636"/>
        <v>0</v>
      </c>
      <c r="O2409" s="577">
        <f t="shared" si="630"/>
        <v>0</v>
      </c>
      <c r="P2409" s="578">
        <f t="shared" si="631"/>
        <v>0</v>
      </c>
      <c r="Q2409" s="765"/>
      <c r="R2409" s="723"/>
      <c r="S2409" s="723"/>
      <c r="T2409" s="577">
        <f t="shared" si="628"/>
        <v>0</v>
      </c>
      <c r="U2409" s="578">
        <f t="shared" si="629"/>
        <v>0</v>
      </c>
      <c r="V2409" s="579"/>
      <c r="W2409" s="566" t="str">
        <f>IF(U2408&gt;0,"xx",IF(P2408&gt;0,"xy",""))</f>
        <v/>
      </c>
      <c r="X2409" s="586" t="str">
        <f t="shared" si="622"/>
        <v/>
      </c>
      <c r="Y2409" s="586" t="str">
        <f t="shared" si="633"/>
        <v/>
      </c>
      <c r="Z2409" s="586" t="str">
        <f t="shared" si="640"/>
        <v/>
      </c>
    </row>
    <row r="2410" spans="1:26" ht="12" hidden="1" thickBot="1" x14ac:dyDescent="0.25">
      <c r="A2410" s="567" t="s">
        <v>168</v>
      </c>
      <c r="B2410" s="644" t="s">
        <v>168</v>
      </c>
      <c r="C2410" s="645"/>
      <c r="D2410" s="422" t="s">
        <v>248</v>
      </c>
      <c r="E2410" s="423"/>
      <c r="F2410" s="424">
        <v>180</v>
      </c>
      <c r="G2410" s="425">
        <f>VLOOKUP(D2408,'[2]ENSAIOS DE ORÇAMENTO'!$C$3:$L$79,5,FALSE)</f>
        <v>5.5279776150000002</v>
      </c>
      <c r="H2410" s="663">
        <f t="shared" ref="H2410:H2412" si="641">IF(F2410&lt;=30,(1.07*F2410+2.68)*G2410,((1.07*30+2.68)+1.07*(F2410-30))*G2410)</f>
        <v>1079.5034686572001</v>
      </c>
      <c r="I2410" s="420"/>
      <c r="J2410" s="420"/>
      <c r="K2410" s="421">
        <f t="shared" si="627"/>
        <v>0</v>
      </c>
      <c r="L2410" s="647"/>
      <c r="M2410" s="723"/>
      <c r="N2410" s="576">
        <f t="shared" si="636"/>
        <v>0</v>
      </c>
      <c r="O2410" s="577">
        <f t="shared" si="630"/>
        <v>0</v>
      </c>
      <c r="P2410" s="578">
        <f t="shared" si="631"/>
        <v>0</v>
      </c>
      <c r="Q2410" s="765"/>
      <c r="R2410" s="723"/>
      <c r="S2410" s="723"/>
      <c r="T2410" s="577">
        <f t="shared" si="628"/>
        <v>0</v>
      </c>
      <c r="U2410" s="578">
        <f t="shared" si="629"/>
        <v>0</v>
      </c>
      <c r="V2410" s="579"/>
      <c r="W2410" s="566" t="str">
        <f>IF(U2408&gt;0,"xx",IF(P2408&gt;0,"xy",""))</f>
        <v/>
      </c>
      <c r="X2410" s="586" t="str">
        <f t="shared" si="622"/>
        <v/>
      </c>
      <c r="Y2410" s="586" t="str">
        <f t="shared" si="633"/>
        <v/>
      </c>
      <c r="Z2410" s="586" t="str">
        <f t="shared" si="640"/>
        <v/>
      </c>
    </row>
    <row r="2411" spans="1:26" ht="12" hidden="1" thickBot="1" x14ac:dyDescent="0.25">
      <c r="A2411" s="567" t="s">
        <v>168</v>
      </c>
      <c r="B2411" s="644" t="s">
        <v>168</v>
      </c>
      <c r="C2411" s="645"/>
      <c r="D2411" s="422" t="s">
        <v>252</v>
      </c>
      <c r="E2411" s="423"/>
      <c r="F2411" s="424">
        <v>20</v>
      </c>
      <c r="G2411" s="425">
        <f>VLOOKUP(D2408,'[2]ENSAIOS DE ORÇAMENTO'!$C$3:$L$79,6,FALSE)</f>
        <v>6.6020746500000005</v>
      </c>
      <c r="H2411" s="663">
        <f t="shared" si="641"/>
        <v>158.97795757200004</v>
      </c>
      <c r="I2411" s="420"/>
      <c r="J2411" s="420"/>
      <c r="K2411" s="421">
        <f t="shared" si="627"/>
        <v>0</v>
      </c>
      <c r="L2411" s="647"/>
      <c r="M2411" s="723"/>
      <c r="N2411" s="576">
        <f t="shared" si="636"/>
        <v>0</v>
      </c>
      <c r="O2411" s="577">
        <f t="shared" si="630"/>
        <v>0</v>
      </c>
      <c r="P2411" s="578">
        <f t="shared" si="631"/>
        <v>0</v>
      </c>
      <c r="Q2411" s="765"/>
      <c r="R2411" s="723"/>
      <c r="S2411" s="723"/>
      <c r="T2411" s="577">
        <f t="shared" si="628"/>
        <v>0</v>
      </c>
      <c r="U2411" s="578">
        <f t="shared" si="629"/>
        <v>0</v>
      </c>
      <c r="V2411" s="579"/>
      <c r="W2411" s="566" t="str">
        <f>IF(U2408&gt;0,"xx",IF(P2408&gt;0,"xy",""))</f>
        <v/>
      </c>
      <c r="X2411" s="586" t="str">
        <f t="shared" ref="X2411:X2474" si="642">IF(W2411="X","x",IF(W2411="xx","x",IF(W2411="xy","x",IF(W2411="y","x",IF(OR(P2411&gt;0,U2411&gt;0),"x","")))))</f>
        <v/>
      </c>
      <c r="Y2411" s="586" t="str">
        <f t="shared" si="633"/>
        <v/>
      </c>
      <c r="Z2411" s="586" t="str">
        <f t="shared" si="640"/>
        <v/>
      </c>
    </row>
    <row r="2412" spans="1:26" ht="12" hidden="1" thickBot="1" x14ac:dyDescent="0.25">
      <c r="A2412" s="567" t="s">
        <v>168</v>
      </c>
      <c r="B2412" s="644" t="s">
        <v>168</v>
      </c>
      <c r="C2412" s="645"/>
      <c r="D2412" s="422" t="s">
        <v>400</v>
      </c>
      <c r="E2412" s="423"/>
      <c r="F2412" s="424">
        <v>30</v>
      </c>
      <c r="G2412" s="425">
        <f>VLOOKUP(D2408,'[2]ENSAIOS DE ORÇAMENTO'!$C$3:$L$79,3,FALSE)</f>
        <v>0</v>
      </c>
      <c r="H2412" s="663">
        <f t="shared" si="641"/>
        <v>0</v>
      </c>
      <c r="I2412" s="420"/>
      <c r="J2412" s="420"/>
      <c r="K2412" s="421">
        <f t="shared" si="627"/>
        <v>0</v>
      </c>
      <c r="L2412" s="647"/>
      <c r="M2412" s="723"/>
      <c r="N2412" s="576">
        <f t="shared" si="636"/>
        <v>0</v>
      </c>
      <c r="O2412" s="577">
        <f t="shared" si="630"/>
        <v>0</v>
      </c>
      <c r="P2412" s="578">
        <f t="shared" si="631"/>
        <v>0</v>
      </c>
      <c r="Q2412" s="765"/>
      <c r="R2412" s="723"/>
      <c r="S2412" s="723"/>
      <c r="T2412" s="577">
        <f t="shared" si="628"/>
        <v>0</v>
      </c>
      <c r="U2412" s="578">
        <f t="shared" si="629"/>
        <v>0</v>
      </c>
      <c r="V2412" s="579"/>
      <c r="W2412" s="566" t="str">
        <f>IF(U2408&gt;0,"xx",IF(P2408&gt;0,"xy",""))</f>
        <v/>
      </c>
      <c r="X2412" s="586" t="str">
        <f t="shared" si="642"/>
        <v/>
      </c>
      <c r="Y2412" s="586" t="str">
        <f t="shared" si="633"/>
        <v/>
      </c>
      <c r="Z2412" s="586" t="str">
        <f t="shared" si="640"/>
        <v/>
      </c>
    </row>
    <row r="2413" spans="1:26" ht="12" hidden="1" thickBot="1" x14ac:dyDescent="0.25">
      <c r="A2413" s="567" t="s">
        <v>168</v>
      </c>
      <c r="B2413" s="644" t="s">
        <v>168</v>
      </c>
      <c r="C2413" s="645"/>
      <c r="D2413" s="422" t="s">
        <v>401</v>
      </c>
      <c r="E2413" s="423"/>
      <c r="F2413" s="424">
        <v>500</v>
      </c>
      <c r="G2413" s="425">
        <f>VLOOKUP(D2408,'[2]ENSAIOS DE ORÇAMENTO'!$C$3:$L$79,10,FALSE)</f>
        <v>0</v>
      </c>
      <c r="H2413" s="649">
        <f>IF(F2413&lt;=30,(0.78*F2413+7.82)*G2413,((0.78*30+7.82)+0.78*(F2413-30))*G2413)</f>
        <v>0</v>
      </c>
      <c r="I2413" s="420"/>
      <c r="J2413" s="420"/>
      <c r="K2413" s="421">
        <f t="shared" si="627"/>
        <v>0</v>
      </c>
      <c r="L2413" s="647"/>
      <c r="M2413" s="723"/>
      <c r="N2413" s="576">
        <f t="shared" si="636"/>
        <v>0</v>
      </c>
      <c r="O2413" s="577">
        <f t="shared" si="630"/>
        <v>0</v>
      </c>
      <c r="P2413" s="578">
        <f t="shared" si="631"/>
        <v>0</v>
      </c>
      <c r="Q2413" s="765"/>
      <c r="R2413" s="723"/>
      <c r="S2413" s="723"/>
      <c r="T2413" s="577">
        <f t="shared" si="628"/>
        <v>0</v>
      </c>
      <c r="U2413" s="578">
        <f t="shared" si="629"/>
        <v>0</v>
      </c>
      <c r="V2413" s="579"/>
      <c r="W2413" s="566" t="str">
        <f>IF(U2408&gt;0,"xx",IF(P2408&gt;0,"xy",""))</f>
        <v/>
      </c>
      <c r="X2413" s="586" t="str">
        <f t="shared" si="642"/>
        <v/>
      </c>
      <c r="Y2413" s="586" t="str">
        <f t="shared" si="633"/>
        <v/>
      </c>
      <c r="Z2413" s="586" t="str">
        <f t="shared" si="640"/>
        <v/>
      </c>
    </row>
    <row r="2414" spans="1:26" ht="12" hidden="1" thickBot="1" x14ac:dyDescent="0.25">
      <c r="A2414" s="567" t="s">
        <v>133</v>
      </c>
      <c r="B2414" s="644" t="s">
        <v>133</v>
      </c>
      <c r="C2414" s="645" t="s">
        <v>206</v>
      </c>
      <c r="D2414" s="422" t="s">
        <v>145</v>
      </c>
      <c r="E2414" s="423"/>
      <c r="F2414" s="424"/>
      <c r="G2414" s="425"/>
      <c r="H2414" s="651">
        <f>SUM(H2415:H2419)</f>
        <v>425.22710196400004</v>
      </c>
      <c r="I2414" s="420">
        <f>VLOOKUP(D2414,'[2]ENSAIOS DE ORÇAMENTO'!$C$3:$L$79,8,FALSE)</f>
        <v>2164.1967759999998</v>
      </c>
      <c r="J2414" s="420">
        <f>IF(ISBLANK(I2414),"",SUM(H2414:I2414))</f>
        <v>2589.423877964</v>
      </c>
      <c r="K2414" s="421">
        <f t="shared" si="627"/>
        <v>3076.49</v>
      </c>
      <c r="L2414" s="647" t="s">
        <v>21</v>
      </c>
      <c r="M2414" s="576"/>
      <c r="N2414" s="576">
        <f t="shared" si="636"/>
        <v>0</v>
      </c>
      <c r="O2414" s="577">
        <f t="shared" si="630"/>
        <v>0</v>
      </c>
      <c r="P2414" s="578">
        <f t="shared" si="631"/>
        <v>0</v>
      </c>
      <c r="Q2414" s="765"/>
      <c r="R2414" s="576">
        <f>M2414</f>
        <v>0</v>
      </c>
      <c r="S2414" s="576">
        <f>N2414</f>
        <v>0</v>
      </c>
      <c r="T2414" s="577">
        <f t="shared" si="628"/>
        <v>0</v>
      </c>
      <c r="U2414" s="578">
        <f t="shared" si="629"/>
        <v>0</v>
      </c>
      <c r="V2414" s="579"/>
      <c r="W2414" s="566"/>
      <c r="X2414" s="586" t="str">
        <f t="shared" si="642"/>
        <v/>
      </c>
      <c r="Y2414" s="586" t="str">
        <f t="shared" si="633"/>
        <v/>
      </c>
      <c r="Z2414" s="586" t="str">
        <f t="shared" si="640"/>
        <v/>
      </c>
    </row>
    <row r="2415" spans="1:26" ht="12" hidden="1" thickBot="1" x14ac:dyDescent="0.25">
      <c r="A2415" s="567" t="s">
        <v>168</v>
      </c>
      <c r="B2415" s="644" t="s">
        <v>168</v>
      </c>
      <c r="C2415" s="645"/>
      <c r="D2415" s="422" t="s">
        <v>212</v>
      </c>
      <c r="E2415" s="423"/>
      <c r="F2415" s="424">
        <v>500</v>
      </c>
      <c r="G2415" s="425">
        <f>VLOOKUP(D2414,'[2]ENSAIOS DE ORÇAMENTO'!$C$3:$L$79,4,FALSE)</f>
        <v>0.35276220000000008</v>
      </c>
      <c r="H2415" s="649">
        <f>IF(F2415&lt;=30,(0.78*F2415+7.82)*G2415,((0.78*30+7.82)+0.78*(F2415-30))*G2415)</f>
        <v>140.33585840400005</v>
      </c>
      <c r="I2415" s="420"/>
      <c r="J2415" s="420"/>
      <c r="K2415" s="421">
        <f t="shared" si="627"/>
        <v>0</v>
      </c>
      <c r="L2415" s="647"/>
      <c r="M2415" s="723"/>
      <c r="N2415" s="576">
        <f t="shared" si="636"/>
        <v>0</v>
      </c>
      <c r="O2415" s="577">
        <f t="shared" si="630"/>
        <v>0</v>
      </c>
      <c r="P2415" s="578">
        <f t="shared" si="631"/>
        <v>0</v>
      </c>
      <c r="Q2415" s="765"/>
      <c r="R2415" s="723"/>
      <c r="S2415" s="723"/>
      <c r="T2415" s="577">
        <f t="shared" si="628"/>
        <v>0</v>
      </c>
      <c r="U2415" s="578">
        <f t="shared" si="629"/>
        <v>0</v>
      </c>
      <c r="V2415" s="579"/>
      <c r="W2415" s="566" t="str">
        <f>IF(U2414&gt;0,"xx",IF(P2414&gt;0,"xy",""))</f>
        <v/>
      </c>
      <c r="X2415" s="586" t="str">
        <f t="shared" si="642"/>
        <v/>
      </c>
      <c r="Y2415" s="586" t="str">
        <f t="shared" si="633"/>
        <v/>
      </c>
      <c r="Z2415" s="586" t="str">
        <f t="shared" si="640"/>
        <v/>
      </c>
    </row>
    <row r="2416" spans="1:26" ht="12" hidden="1" thickBot="1" x14ac:dyDescent="0.25">
      <c r="A2416" s="567" t="s">
        <v>168</v>
      </c>
      <c r="B2416" s="644" t="s">
        <v>168</v>
      </c>
      <c r="C2416" s="645"/>
      <c r="D2416" s="422" t="s">
        <v>248</v>
      </c>
      <c r="E2416" s="423"/>
      <c r="F2416" s="424">
        <v>180</v>
      </c>
      <c r="G2416" s="425">
        <f>VLOOKUP(D2414,'[2]ENSAIOS DE ORÇAMENTO'!$C$3:$L$79,5,FALSE)</f>
        <v>1.1888125000000003</v>
      </c>
      <c r="H2416" s="663">
        <f t="shared" ref="H2416:H2418" si="643">IF(F2416&lt;=30,(1.07*F2416+2.68)*G2416,((1.07*30+2.68)+1.07*(F2416-30))*G2416)</f>
        <v>232.15130500000006</v>
      </c>
      <c r="I2416" s="420"/>
      <c r="J2416" s="420"/>
      <c r="K2416" s="421">
        <f t="shared" si="627"/>
        <v>0</v>
      </c>
      <c r="L2416" s="647"/>
      <c r="M2416" s="723"/>
      <c r="N2416" s="576">
        <f t="shared" si="636"/>
        <v>0</v>
      </c>
      <c r="O2416" s="577">
        <f t="shared" si="630"/>
        <v>0</v>
      </c>
      <c r="P2416" s="578">
        <f t="shared" si="631"/>
        <v>0</v>
      </c>
      <c r="Q2416" s="765"/>
      <c r="R2416" s="723"/>
      <c r="S2416" s="723"/>
      <c r="T2416" s="577">
        <f t="shared" si="628"/>
        <v>0</v>
      </c>
      <c r="U2416" s="578">
        <f t="shared" si="629"/>
        <v>0</v>
      </c>
      <c r="V2416" s="579"/>
      <c r="W2416" s="566" t="str">
        <f>IF(U2414&gt;0,"xx",IF(P2414&gt;0,"xy",""))</f>
        <v/>
      </c>
      <c r="X2416" s="586" t="str">
        <f t="shared" si="642"/>
        <v/>
      </c>
      <c r="Y2416" s="586" t="str">
        <f t="shared" si="633"/>
        <v/>
      </c>
      <c r="Z2416" s="586" t="str">
        <f t="shared" si="640"/>
        <v/>
      </c>
    </row>
    <row r="2417" spans="1:26" ht="12" hidden="1" thickBot="1" x14ac:dyDescent="0.25">
      <c r="A2417" s="567" t="s">
        <v>168</v>
      </c>
      <c r="B2417" s="644" t="s">
        <v>168</v>
      </c>
      <c r="C2417" s="645"/>
      <c r="D2417" s="422" t="s">
        <v>252</v>
      </c>
      <c r="E2417" s="423"/>
      <c r="F2417" s="424">
        <v>20</v>
      </c>
      <c r="G2417" s="425">
        <f>VLOOKUP(D2414,'[2]ENSAIOS DE ORÇAMENTO'!$C$3:$L$79,6,FALSE)</f>
        <v>1.1100000000000001</v>
      </c>
      <c r="H2417" s="663">
        <f t="shared" si="643"/>
        <v>26.728800000000003</v>
      </c>
      <c r="I2417" s="420"/>
      <c r="J2417" s="420"/>
      <c r="K2417" s="421">
        <f t="shared" si="627"/>
        <v>0</v>
      </c>
      <c r="L2417" s="647"/>
      <c r="M2417" s="723"/>
      <c r="N2417" s="576">
        <f t="shared" si="636"/>
        <v>0</v>
      </c>
      <c r="O2417" s="577">
        <f t="shared" si="630"/>
        <v>0</v>
      </c>
      <c r="P2417" s="578">
        <f t="shared" si="631"/>
        <v>0</v>
      </c>
      <c r="Q2417" s="765"/>
      <c r="R2417" s="723"/>
      <c r="S2417" s="723"/>
      <c r="T2417" s="577">
        <f t="shared" si="628"/>
        <v>0</v>
      </c>
      <c r="U2417" s="578">
        <f t="shared" si="629"/>
        <v>0</v>
      </c>
      <c r="V2417" s="579"/>
      <c r="W2417" s="566" t="str">
        <f>IF(U2414&gt;0,"xx",IF(P2414&gt;0,"xy",""))</f>
        <v/>
      </c>
      <c r="X2417" s="586" t="str">
        <f t="shared" si="642"/>
        <v/>
      </c>
      <c r="Y2417" s="586" t="str">
        <f t="shared" si="633"/>
        <v/>
      </c>
      <c r="Z2417" s="586" t="str">
        <f t="shared" si="640"/>
        <v/>
      </c>
    </row>
    <row r="2418" spans="1:26" ht="12" hidden="1" thickBot="1" x14ac:dyDescent="0.25">
      <c r="A2418" s="567" t="s">
        <v>168</v>
      </c>
      <c r="B2418" s="644" t="s">
        <v>168</v>
      </c>
      <c r="C2418" s="645"/>
      <c r="D2418" s="422" t="s">
        <v>400</v>
      </c>
      <c r="E2418" s="423"/>
      <c r="F2418" s="424">
        <v>30</v>
      </c>
      <c r="G2418" s="425">
        <f>VLOOKUP(D2414,'[2]ENSAIOS DE ORÇAMENTO'!$C$3:$L$79,3,FALSE)</f>
        <v>0.54144000000000003</v>
      </c>
      <c r="H2418" s="663">
        <f t="shared" si="643"/>
        <v>18.831283200000001</v>
      </c>
      <c r="I2418" s="420"/>
      <c r="J2418" s="420"/>
      <c r="K2418" s="421">
        <f t="shared" si="627"/>
        <v>0</v>
      </c>
      <c r="L2418" s="647"/>
      <c r="M2418" s="723"/>
      <c r="N2418" s="576">
        <f t="shared" si="636"/>
        <v>0</v>
      </c>
      <c r="O2418" s="577">
        <f t="shared" si="630"/>
        <v>0</v>
      </c>
      <c r="P2418" s="578">
        <f t="shared" si="631"/>
        <v>0</v>
      </c>
      <c r="Q2418" s="765"/>
      <c r="R2418" s="723"/>
      <c r="S2418" s="723"/>
      <c r="T2418" s="577">
        <f t="shared" si="628"/>
        <v>0</v>
      </c>
      <c r="U2418" s="578">
        <f t="shared" si="629"/>
        <v>0</v>
      </c>
      <c r="V2418" s="579"/>
      <c r="W2418" s="566" t="str">
        <f>IF(U2414&gt;0,"xx",IF(P2414&gt;0,"xy",""))</f>
        <v/>
      </c>
      <c r="X2418" s="586" t="str">
        <f t="shared" si="642"/>
        <v/>
      </c>
      <c r="Y2418" s="586" t="str">
        <f t="shared" si="633"/>
        <v/>
      </c>
      <c r="Z2418" s="586" t="str">
        <f t="shared" si="640"/>
        <v/>
      </c>
    </row>
    <row r="2419" spans="1:26" ht="12" hidden="1" thickBot="1" x14ac:dyDescent="0.25">
      <c r="A2419" s="567" t="s">
        <v>168</v>
      </c>
      <c r="B2419" s="644" t="s">
        <v>168</v>
      </c>
      <c r="C2419" s="645"/>
      <c r="D2419" s="422" t="s">
        <v>401</v>
      </c>
      <c r="E2419" s="423"/>
      <c r="F2419" s="424">
        <v>500</v>
      </c>
      <c r="G2419" s="425">
        <f>VLOOKUP(D2414,'[2]ENSAIOS DE ORÇAMENTO'!$C$3:$L$79,10,FALSE)</f>
        <v>1.8048000000000002E-2</v>
      </c>
      <c r="H2419" s="649">
        <f>IF(F2419&lt;=30,(0.78*F2419+7.82)*G2419,((0.78*30+7.82)+0.78*(F2419-30))*G2419)</f>
        <v>7.1798553600000012</v>
      </c>
      <c r="I2419" s="420"/>
      <c r="J2419" s="420"/>
      <c r="K2419" s="421">
        <f t="shared" si="627"/>
        <v>0</v>
      </c>
      <c r="L2419" s="647"/>
      <c r="M2419" s="723"/>
      <c r="N2419" s="576">
        <f t="shared" si="636"/>
        <v>0</v>
      </c>
      <c r="O2419" s="577">
        <f t="shared" si="630"/>
        <v>0</v>
      </c>
      <c r="P2419" s="578">
        <f t="shared" si="631"/>
        <v>0</v>
      </c>
      <c r="Q2419" s="765"/>
      <c r="R2419" s="723"/>
      <c r="S2419" s="723"/>
      <c r="T2419" s="577">
        <f t="shared" si="628"/>
        <v>0</v>
      </c>
      <c r="U2419" s="578">
        <f t="shared" si="629"/>
        <v>0</v>
      </c>
      <c r="V2419" s="579"/>
      <c r="W2419" s="566" t="str">
        <f>IF(U2414&gt;0,"xx",IF(P2414&gt;0,"xy",""))</f>
        <v/>
      </c>
      <c r="X2419" s="586" t="str">
        <f t="shared" si="642"/>
        <v/>
      </c>
      <c r="Y2419" s="586" t="str">
        <f t="shared" si="633"/>
        <v/>
      </c>
      <c r="Z2419" s="586" t="str">
        <f t="shared" si="640"/>
        <v/>
      </c>
    </row>
    <row r="2420" spans="1:26" ht="12" hidden="1" thickBot="1" x14ac:dyDescent="0.25">
      <c r="A2420" s="567" t="s">
        <v>134</v>
      </c>
      <c r="B2420" s="644" t="s">
        <v>134</v>
      </c>
      <c r="C2420" s="645" t="s">
        <v>206</v>
      </c>
      <c r="D2420" s="422" t="s">
        <v>146</v>
      </c>
      <c r="E2420" s="423"/>
      <c r="F2420" s="424"/>
      <c r="G2420" s="425"/>
      <c r="H2420" s="651">
        <f>SUM(H2421:H2425)</f>
        <v>481.65120515199993</v>
      </c>
      <c r="I2420" s="420">
        <f>VLOOKUP(D2420,'[2]ENSAIOS DE ORÇAMENTO'!$C$3:$L$79,8,FALSE)</f>
        <v>2380.2442679999999</v>
      </c>
      <c r="J2420" s="420">
        <f>IF(ISBLANK(I2420),"",SUM(H2420:I2420))</f>
        <v>2861.8954731519998</v>
      </c>
      <c r="K2420" s="421">
        <f t="shared" si="627"/>
        <v>3400.22</v>
      </c>
      <c r="L2420" s="647" t="s">
        <v>21</v>
      </c>
      <c r="M2420" s="576"/>
      <c r="N2420" s="576">
        <f t="shared" si="636"/>
        <v>0</v>
      </c>
      <c r="O2420" s="577">
        <f t="shared" si="630"/>
        <v>0</v>
      </c>
      <c r="P2420" s="578">
        <f t="shared" si="631"/>
        <v>0</v>
      </c>
      <c r="Q2420" s="765"/>
      <c r="R2420" s="576">
        <f>M2420</f>
        <v>0</v>
      </c>
      <c r="S2420" s="576">
        <f>N2420</f>
        <v>0</v>
      </c>
      <c r="T2420" s="577">
        <f t="shared" si="628"/>
        <v>0</v>
      </c>
      <c r="U2420" s="578">
        <f t="shared" si="629"/>
        <v>0</v>
      </c>
      <c r="V2420" s="579"/>
      <c r="W2420" s="566"/>
      <c r="X2420" s="586" t="str">
        <f t="shared" si="642"/>
        <v/>
      </c>
      <c r="Y2420" s="586" t="str">
        <f t="shared" si="633"/>
        <v/>
      </c>
      <c r="Z2420" s="586" t="str">
        <f t="shared" si="640"/>
        <v/>
      </c>
    </row>
    <row r="2421" spans="1:26" ht="12" hidden="1" thickBot="1" x14ac:dyDescent="0.25">
      <c r="A2421" s="567" t="s">
        <v>168</v>
      </c>
      <c r="B2421" s="644" t="s">
        <v>168</v>
      </c>
      <c r="C2421" s="645"/>
      <c r="D2421" s="422" t="s">
        <v>212</v>
      </c>
      <c r="E2421" s="423"/>
      <c r="F2421" s="424">
        <v>500</v>
      </c>
      <c r="G2421" s="425">
        <f>VLOOKUP(D2420,'[2]ENSAIOS DE ORÇAMENTO'!$C$3:$L$79,4,FALSE)</f>
        <v>0.38489359999999995</v>
      </c>
      <c r="H2421" s="649">
        <f>IF(F2421&lt;=30,(0.78*F2421+7.82)*G2421,((0.78*30+7.82)+0.78*(F2421-30))*G2421)</f>
        <v>153.11837195199999</v>
      </c>
      <c r="I2421" s="420"/>
      <c r="J2421" s="420"/>
      <c r="K2421" s="421">
        <f t="shared" si="627"/>
        <v>0</v>
      </c>
      <c r="L2421" s="647"/>
      <c r="M2421" s="723"/>
      <c r="N2421" s="576">
        <f t="shared" si="636"/>
        <v>0</v>
      </c>
      <c r="O2421" s="577">
        <f t="shared" si="630"/>
        <v>0</v>
      </c>
      <c r="P2421" s="578">
        <f t="shared" si="631"/>
        <v>0</v>
      </c>
      <c r="Q2421" s="765"/>
      <c r="R2421" s="723"/>
      <c r="S2421" s="723"/>
      <c r="T2421" s="577">
        <f t="shared" si="628"/>
        <v>0</v>
      </c>
      <c r="U2421" s="578">
        <f t="shared" si="629"/>
        <v>0</v>
      </c>
      <c r="V2421" s="579"/>
      <c r="W2421" s="566" t="str">
        <f>IF(U2420&gt;0,"xx",IF(P2420&gt;0,"xy",""))</f>
        <v/>
      </c>
      <c r="X2421" s="586" t="str">
        <f t="shared" si="642"/>
        <v/>
      </c>
      <c r="Y2421" s="586" t="str">
        <f t="shared" si="633"/>
        <v/>
      </c>
      <c r="Z2421" s="586" t="str">
        <f t="shared" si="640"/>
        <v/>
      </c>
    </row>
    <row r="2422" spans="1:26" ht="12" hidden="1" thickBot="1" x14ac:dyDescent="0.25">
      <c r="A2422" s="567" t="s">
        <v>168</v>
      </c>
      <c r="B2422" s="644" t="s">
        <v>168</v>
      </c>
      <c r="C2422" s="645"/>
      <c r="D2422" s="422" t="s">
        <v>248</v>
      </c>
      <c r="E2422" s="423"/>
      <c r="F2422" s="424">
        <v>180</v>
      </c>
      <c r="G2422" s="425">
        <f>VLOOKUP(D2420,'[2]ENSAIOS DE ORÇAMENTO'!$C$3:$L$79,5,FALSE)</f>
        <v>1.3499699999999999</v>
      </c>
      <c r="H2422" s="663">
        <f t="shared" ref="H2422:H2424" si="644">IF(F2422&lt;=30,(1.07*F2422+2.68)*G2422,((1.07*30+2.68)+1.07*(F2422-30))*G2422)</f>
        <v>263.62214159999996</v>
      </c>
      <c r="I2422" s="420"/>
      <c r="J2422" s="420"/>
      <c r="K2422" s="421">
        <f t="shared" si="627"/>
        <v>0</v>
      </c>
      <c r="L2422" s="647"/>
      <c r="M2422" s="723"/>
      <c r="N2422" s="576">
        <f t="shared" si="636"/>
        <v>0</v>
      </c>
      <c r="O2422" s="577">
        <f t="shared" si="630"/>
        <v>0</v>
      </c>
      <c r="P2422" s="578">
        <f t="shared" si="631"/>
        <v>0</v>
      </c>
      <c r="Q2422" s="765"/>
      <c r="R2422" s="723"/>
      <c r="S2422" s="723"/>
      <c r="T2422" s="577">
        <f t="shared" si="628"/>
        <v>0</v>
      </c>
      <c r="U2422" s="578">
        <f t="shared" si="629"/>
        <v>0</v>
      </c>
      <c r="V2422" s="579"/>
      <c r="W2422" s="566" t="str">
        <f>IF(U2420&gt;0,"xx",IF(P2420&gt;0,"xy",""))</f>
        <v/>
      </c>
      <c r="X2422" s="586" t="str">
        <f t="shared" si="642"/>
        <v/>
      </c>
      <c r="Y2422" s="586" t="str">
        <f t="shared" si="633"/>
        <v/>
      </c>
      <c r="Z2422" s="586" t="str">
        <f t="shared" si="640"/>
        <v/>
      </c>
    </row>
    <row r="2423" spans="1:26" ht="12" hidden="1" thickBot="1" x14ac:dyDescent="0.25">
      <c r="A2423" s="567" t="s">
        <v>168</v>
      </c>
      <c r="B2423" s="644" t="s">
        <v>168</v>
      </c>
      <c r="C2423" s="645"/>
      <c r="D2423" s="422" t="s">
        <v>252</v>
      </c>
      <c r="E2423" s="423"/>
      <c r="F2423" s="424">
        <v>20</v>
      </c>
      <c r="G2423" s="425">
        <f>VLOOKUP(D2420,'[2]ENSAIOS DE ORÇAMENTO'!$C$3:$L$79,6,FALSE)</f>
        <v>1.1766000000000001</v>
      </c>
      <c r="H2423" s="663">
        <f t="shared" si="644"/>
        <v>28.332528000000003</v>
      </c>
      <c r="I2423" s="420"/>
      <c r="J2423" s="420"/>
      <c r="K2423" s="421">
        <f t="shared" si="627"/>
        <v>0</v>
      </c>
      <c r="L2423" s="647"/>
      <c r="M2423" s="723"/>
      <c r="N2423" s="576">
        <f t="shared" si="636"/>
        <v>0</v>
      </c>
      <c r="O2423" s="577">
        <f t="shared" si="630"/>
        <v>0</v>
      </c>
      <c r="P2423" s="578">
        <f t="shared" si="631"/>
        <v>0</v>
      </c>
      <c r="Q2423" s="765"/>
      <c r="R2423" s="723"/>
      <c r="S2423" s="723"/>
      <c r="T2423" s="577">
        <f t="shared" si="628"/>
        <v>0</v>
      </c>
      <c r="U2423" s="578">
        <f t="shared" si="629"/>
        <v>0</v>
      </c>
      <c r="V2423" s="579"/>
      <c r="W2423" s="566" t="str">
        <f>IF(U2420&gt;0,"xx",IF(P2420&gt;0,"xy",""))</f>
        <v/>
      </c>
      <c r="X2423" s="586" t="str">
        <f t="shared" si="642"/>
        <v/>
      </c>
      <c r="Y2423" s="586" t="str">
        <f t="shared" si="633"/>
        <v/>
      </c>
      <c r="Z2423" s="586" t="str">
        <f t="shared" si="640"/>
        <v/>
      </c>
    </row>
    <row r="2424" spans="1:26" ht="12" hidden="1" thickBot="1" x14ac:dyDescent="0.25">
      <c r="A2424" s="567" t="s">
        <v>168</v>
      </c>
      <c r="B2424" s="644" t="s">
        <v>168</v>
      </c>
      <c r="C2424" s="645"/>
      <c r="D2424" s="422" t="s">
        <v>400</v>
      </c>
      <c r="E2424" s="423"/>
      <c r="F2424" s="424">
        <v>30</v>
      </c>
      <c r="G2424" s="425">
        <f>VLOOKUP(D2420,'[2]ENSAIOS DE ORÇAMENTO'!$C$3:$L$79,3,FALSE)</f>
        <v>0.76139999999999997</v>
      </c>
      <c r="H2424" s="663">
        <f t="shared" si="644"/>
        <v>26.481491999999999</v>
      </c>
      <c r="I2424" s="420"/>
      <c r="J2424" s="420"/>
      <c r="K2424" s="421">
        <f t="shared" si="627"/>
        <v>0</v>
      </c>
      <c r="L2424" s="647"/>
      <c r="M2424" s="723"/>
      <c r="N2424" s="576">
        <f t="shared" si="636"/>
        <v>0</v>
      </c>
      <c r="O2424" s="577">
        <f t="shared" si="630"/>
        <v>0</v>
      </c>
      <c r="P2424" s="578">
        <f t="shared" si="631"/>
        <v>0</v>
      </c>
      <c r="Q2424" s="765"/>
      <c r="R2424" s="723"/>
      <c r="S2424" s="723"/>
      <c r="T2424" s="577">
        <f t="shared" si="628"/>
        <v>0</v>
      </c>
      <c r="U2424" s="578">
        <f t="shared" si="629"/>
        <v>0</v>
      </c>
      <c r="V2424" s="579"/>
      <c r="W2424" s="566" t="str">
        <f>IF(U2420&gt;0,"xx",IF(P2420&gt;0,"xy",""))</f>
        <v/>
      </c>
      <c r="X2424" s="586" t="str">
        <f t="shared" si="642"/>
        <v/>
      </c>
      <c r="Y2424" s="586" t="str">
        <f t="shared" si="633"/>
        <v/>
      </c>
      <c r="Z2424" s="586" t="str">
        <f t="shared" si="640"/>
        <v/>
      </c>
    </row>
    <row r="2425" spans="1:26" ht="12" hidden="1" thickBot="1" x14ac:dyDescent="0.25">
      <c r="A2425" s="567" t="s">
        <v>168</v>
      </c>
      <c r="B2425" s="644" t="s">
        <v>168</v>
      </c>
      <c r="C2425" s="645"/>
      <c r="D2425" s="422" t="s">
        <v>401</v>
      </c>
      <c r="E2425" s="423"/>
      <c r="F2425" s="424">
        <v>500</v>
      </c>
      <c r="G2425" s="425">
        <f>VLOOKUP(D2420,'[2]ENSAIOS DE ORÇAMENTO'!$C$3:$L$79,10,FALSE)</f>
        <v>2.538E-2</v>
      </c>
      <c r="H2425" s="649">
        <f>IF(F2425&lt;=30,(0.78*F2425+7.82)*G2425,((0.78*30+7.82)+0.78*(F2425-30))*G2425)</f>
        <v>10.096671600000001</v>
      </c>
      <c r="I2425" s="420"/>
      <c r="J2425" s="420"/>
      <c r="K2425" s="421">
        <f t="shared" si="627"/>
        <v>0</v>
      </c>
      <c r="L2425" s="647"/>
      <c r="M2425" s="723"/>
      <c r="N2425" s="576">
        <f t="shared" si="636"/>
        <v>0</v>
      </c>
      <c r="O2425" s="577">
        <f t="shared" si="630"/>
        <v>0</v>
      </c>
      <c r="P2425" s="578">
        <f t="shared" si="631"/>
        <v>0</v>
      </c>
      <c r="Q2425" s="765"/>
      <c r="R2425" s="723"/>
      <c r="S2425" s="723"/>
      <c r="T2425" s="577">
        <f t="shared" si="628"/>
        <v>0</v>
      </c>
      <c r="U2425" s="578">
        <f t="shared" si="629"/>
        <v>0</v>
      </c>
      <c r="V2425" s="579"/>
      <c r="W2425" s="566" t="str">
        <f>IF(U2420&gt;0,"xx",IF(P2420&gt;0,"xy",""))</f>
        <v/>
      </c>
      <c r="X2425" s="586" t="str">
        <f t="shared" si="642"/>
        <v/>
      </c>
      <c r="Y2425" s="586" t="str">
        <f t="shared" si="633"/>
        <v/>
      </c>
      <c r="Z2425" s="586" t="str">
        <f t="shared" si="640"/>
        <v/>
      </c>
    </row>
    <row r="2426" spans="1:26" ht="12" hidden="1" thickBot="1" x14ac:dyDescent="0.25">
      <c r="A2426" s="567" t="s">
        <v>135</v>
      </c>
      <c r="B2426" s="644" t="s">
        <v>135</v>
      </c>
      <c r="C2426" s="645" t="s">
        <v>206</v>
      </c>
      <c r="D2426" s="422" t="s">
        <v>147</v>
      </c>
      <c r="E2426" s="423"/>
      <c r="F2426" s="424"/>
      <c r="G2426" s="425"/>
      <c r="H2426" s="651">
        <f>SUM(H2427:H2431)</f>
        <v>563.58332972800008</v>
      </c>
      <c r="I2426" s="420">
        <f>VLOOKUP(D2426,'[2]ENSAIOS DE ORÇAMENTO'!$C$3:$L$79,8,FALSE)</f>
        <v>2700.9386520000003</v>
      </c>
      <c r="J2426" s="420">
        <f>IF(ISBLANK(I2426),"",SUM(H2426:I2426))</f>
        <v>3264.5219817280004</v>
      </c>
      <c r="K2426" s="421">
        <f t="shared" si="627"/>
        <v>3878.58</v>
      </c>
      <c r="L2426" s="647" t="s">
        <v>21</v>
      </c>
      <c r="M2426" s="576"/>
      <c r="N2426" s="576">
        <f t="shared" si="636"/>
        <v>0</v>
      </c>
      <c r="O2426" s="577">
        <f t="shared" si="630"/>
        <v>0</v>
      </c>
      <c r="P2426" s="578">
        <f t="shared" si="631"/>
        <v>0</v>
      </c>
      <c r="Q2426" s="765"/>
      <c r="R2426" s="576">
        <f>M2426</f>
        <v>0</v>
      </c>
      <c r="S2426" s="576">
        <f>N2426</f>
        <v>0</v>
      </c>
      <c r="T2426" s="577">
        <f t="shared" si="628"/>
        <v>0</v>
      </c>
      <c r="U2426" s="578">
        <f t="shared" si="629"/>
        <v>0</v>
      </c>
      <c r="V2426" s="579"/>
      <c r="W2426" s="566"/>
      <c r="X2426" s="586" t="str">
        <f t="shared" si="642"/>
        <v/>
      </c>
      <c r="Y2426" s="586" t="str">
        <f t="shared" si="633"/>
        <v/>
      </c>
      <c r="Z2426" s="586" t="str">
        <f t="shared" si="640"/>
        <v/>
      </c>
    </row>
    <row r="2427" spans="1:26" ht="12" hidden="1" thickBot="1" x14ac:dyDescent="0.25">
      <c r="A2427" s="567" t="s">
        <v>168</v>
      </c>
      <c r="B2427" s="644" t="s">
        <v>168</v>
      </c>
      <c r="C2427" s="645"/>
      <c r="D2427" s="422" t="s">
        <v>212</v>
      </c>
      <c r="E2427" s="423"/>
      <c r="F2427" s="424">
        <v>500</v>
      </c>
      <c r="G2427" s="425">
        <f>VLOOKUP(D2426,'[2]ENSAIOS DE ORÇAMENTO'!$C$3:$L$79,4,FALSE)</f>
        <v>0.43281240000000004</v>
      </c>
      <c r="H2427" s="649">
        <f>IF(F2427&lt;=30,(0.78*F2427+7.82)*G2427,((0.78*30+7.82)+0.78*(F2427-30))*G2427)</f>
        <v>172.18142896800003</v>
      </c>
      <c r="I2427" s="420"/>
      <c r="J2427" s="420"/>
      <c r="K2427" s="421">
        <f t="shared" si="627"/>
        <v>0</v>
      </c>
      <c r="L2427" s="647"/>
      <c r="M2427" s="723"/>
      <c r="N2427" s="576">
        <f t="shared" si="636"/>
        <v>0</v>
      </c>
      <c r="O2427" s="577">
        <f t="shared" si="630"/>
        <v>0</v>
      </c>
      <c r="P2427" s="578">
        <f t="shared" si="631"/>
        <v>0</v>
      </c>
      <c r="Q2427" s="765"/>
      <c r="R2427" s="723"/>
      <c r="S2427" s="723"/>
      <c r="T2427" s="577">
        <f t="shared" si="628"/>
        <v>0</v>
      </c>
      <c r="U2427" s="578">
        <f t="shared" si="629"/>
        <v>0</v>
      </c>
      <c r="V2427" s="579"/>
      <c r="W2427" s="566" t="str">
        <f>IF(U2426&gt;0,"xx",IF(P2426&gt;0,"xy",""))</f>
        <v/>
      </c>
      <c r="X2427" s="586" t="str">
        <f t="shared" si="642"/>
        <v/>
      </c>
      <c r="Y2427" s="586" t="str">
        <f t="shared" si="633"/>
        <v/>
      </c>
      <c r="Z2427" s="586" t="str">
        <f t="shared" si="640"/>
        <v/>
      </c>
    </row>
    <row r="2428" spans="1:26" ht="12" hidden="1" thickBot="1" x14ac:dyDescent="0.25">
      <c r="A2428" s="567" t="s">
        <v>168</v>
      </c>
      <c r="B2428" s="644" t="s">
        <v>168</v>
      </c>
      <c r="C2428" s="645"/>
      <c r="D2428" s="422" t="s">
        <v>248</v>
      </c>
      <c r="E2428" s="423"/>
      <c r="F2428" s="424">
        <v>180</v>
      </c>
      <c r="G2428" s="425">
        <f>VLOOKUP(D2426,'[2]ENSAIOS DE ORÇAMENTO'!$C$3:$L$79,5,FALSE)</f>
        <v>1.5797950000000001</v>
      </c>
      <c r="H2428" s="663">
        <f t="shared" ref="H2428:H2430" si="645">IF(F2428&lt;=30,(1.07*F2428+2.68)*G2428,((1.07*30+2.68)+1.07*(F2428-30))*G2428)</f>
        <v>308.50236760000001</v>
      </c>
      <c r="I2428" s="420"/>
      <c r="J2428" s="420"/>
      <c r="K2428" s="421">
        <f t="shared" si="627"/>
        <v>0</v>
      </c>
      <c r="L2428" s="647"/>
      <c r="M2428" s="723"/>
      <c r="N2428" s="576">
        <f t="shared" si="636"/>
        <v>0</v>
      </c>
      <c r="O2428" s="577">
        <f t="shared" si="630"/>
        <v>0</v>
      </c>
      <c r="P2428" s="578">
        <f t="shared" si="631"/>
        <v>0</v>
      </c>
      <c r="Q2428" s="765"/>
      <c r="R2428" s="723"/>
      <c r="S2428" s="723"/>
      <c r="T2428" s="577">
        <f t="shared" si="628"/>
        <v>0</v>
      </c>
      <c r="U2428" s="578">
        <f t="shared" si="629"/>
        <v>0</v>
      </c>
      <c r="V2428" s="579"/>
      <c r="W2428" s="566" t="str">
        <f>IF(U2426&gt;0,"xx",IF(P2426&gt;0,"xy",""))</f>
        <v/>
      </c>
      <c r="X2428" s="586" t="str">
        <f t="shared" si="642"/>
        <v/>
      </c>
      <c r="Y2428" s="586" t="str">
        <f t="shared" si="633"/>
        <v/>
      </c>
      <c r="Z2428" s="586" t="str">
        <f t="shared" si="640"/>
        <v/>
      </c>
    </row>
    <row r="2429" spans="1:26" ht="12" hidden="1" thickBot="1" x14ac:dyDescent="0.25">
      <c r="A2429" s="567" t="s">
        <v>168</v>
      </c>
      <c r="B2429" s="644" t="s">
        <v>168</v>
      </c>
      <c r="C2429" s="645"/>
      <c r="D2429" s="422" t="s">
        <v>252</v>
      </c>
      <c r="E2429" s="423"/>
      <c r="F2429" s="424">
        <v>20</v>
      </c>
      <c r="G2429" s="425">
        <f>VLOOKUP(D2426,'[2]ENSAIOS DE ORÇAMENTO'!$C$3:$L$79,6,FALSE)</f>
        <v>1.2654000000000003</v>
      </c>
      <c r="H2429" s="663">
        <f t="shared" si="645"/>
        <v>30.470832000000009</v>
      </c>
      <c r="I2429" s="420"/>
      <c r="J2429" s="420"/>
      <c r="K2429" s="421">
        <f t="shared" si="627"/>
        <v>0</v>
      </c>
      <c r="L2429" s="647"/>
      <c r="M2429" s="723"/>
      <c r="N2429" s="576">
        <f t="shared" si="636"/>
        <v>0</v>
      </c>
      <c r="O2429" s="577">
        <f t="shared" si="630"/>
        <v>0</v>
      </c>
      <c r="P2429" s="578">
        <f t="shared" si="631"/>
        <v>0</v>
      </c>
      <c r="Q2429" s="765"/>
      <c r="R2429" s="723"/>
      <c r="S2429" s="723"/>
      <c r="T2429" s="577">
        <f t="shared" si="628"/>
        <v>0</v>
      </c>
      <c r="U2429" s="578">
        <f t="shared" si="629"/>
        <v>0</v>
      </c>
      <c r="V2429" s="579"/>
      <c r="W2429" s="566" t="str">
        <f>IF(U2426&gt;0,"xx",IF(P2426&gt;0,"xy",""))</f>
        <v/>
      </c>
      <c r="X2429" s="586" t="str">
        <f t="shared" si="642"/>
        <v/>
      </c>
      <c r="Y2429" s="586" t="str">
        <f t="shared" si="633"/>
        <v/>
      </c>
      <c r="Z2429" s="586" t="str">
        <f t="shared" si="640"/>
        <v/>
      </c>
    </row>
    <row r="2430" spans="1:26" ht="12" hidden="1" thickBot="1" x14ac:dyDescent="0.25">
      <c r="A2430" s="567" t="s">
        <v>168</v>
      </c>
      <c r="B2430" s="644" t="s">
        <v>168</v>
      </c>
      <c r="C2430" s="645"/>
      <c r="D2430" s="422" t="s">
        <v>400</v>
      </c>
      <c r="E2430" s="423"/>
      <c r="F2430" s="424">
        <v>30</v>
      </c>
      <c r="G2430" s="425">
        <f>VLOOKUP(D2426,'[2]ENSAIOS DE ORÇAMENTO'!$C$3:$L$79,3,FALSE)</f>
        <v>1.09134</v>
      </c>
      <c r="H2430" s="663">
        <f t="shared" si="645"/>
        <v>37.956805199999998</v>
      </c>
      <c r="I2430" s="420"/>
      <c r="J2430" s="420"/>
      <c r="K2430" s="421">
        <f t="shared" si="627"/>
        <v>0</v>
      </c>
      <c r="L2430" s="647"/>
      <c r="M2430" s="723"/>
      <c r="N2430" s="576">
        <f t="shared" si="636"/>
        <v>0</v>
      </c>
      <c r="O2430" s="577">
        <f t="shared" si="630"/>
        <v>0</v>
      </c>
      <c r="P2430" s="578">
        <f t="shared" si="631"/>
        <v>0</v>
      </c>
      <c r="Q2430" s="765"/>
      <c r="R2430" s="723"/>
      <c r="S2430" s="723"/>
      <c r="T2430" s="577">
        <f t="shared" si="628"/>
        <v>0</v>
      </c>
      <c r="U2430" s="578">
        <f t="shared" si="629"/>
        <v>0</v>
      </c>
      <c r="V2430" s="579"/>
      <c r="W2430" s="566" t="str">
        <f>IF(U2426&gt;0,"xx",IF(P2426&gt;0,"xy",""))</f>
        <v/>
      </c>
      <c r="X2430" s="586" t="str">
        <f t="shared" si="642"/>
        <v/>
      </c>
      <c r="Y2430" s="586" t="str">
        <f t="shared" si="633"/>
        <v/>
      </c>
      <c r="Z2430" s="586" t="str">
        <f t="shared" si="640"/>
        <v/>
      </c>
    </row>
    <row r="2431" spans="1:26" ht="12" hidden="1" thickBot="1" x14ac:dyDescent="0.25">
      <c r="A2431" s="567" t="s">
        <v>168</v>
      </c>
      <c r="B2431" s="644" t="s">
        <v>168</v>
      </c>
      <c r="C2431" s="645"/>
      <c r="D2431" s="422" t="s">
        <v>401</v>
      </c>
      <c r="E2431" s="423"/>
      <c r="F2431" s="424">
        <v>500</v>
      </c>
      <c r="G2431" s="425">
        <f>VLOOKUP(D2426,'[2]ENSAIOS DE ORÇAMENTO'!$C$3:$L$79,10,FALSE)</f>
        <v>3.6378000000000001E-2</v>
      </c>
      <c r="H2431" s="649">
        <f>IF(F2431&lt;=30,(0.78*F2431+7.82)*G2431,((0.78*30+7.82)+0.78*(F2431-30))*G2431)</f>
        <v>14.471895960000001</v>
      </c>
      <c r="I2431" s="420"/>
      <c r="J2431" s="420"/>
      <c r="K2431" s="421">
        <f t="shared" si="627"/>
        <v>0</v>
      </c>
      <c r="L2431" s="647"/>
      <c r="M2431" s="723"/>
      <c r="N2431" s="576">
        <f t="shared" si="636"/>
        <v>0</v>
      </c>
      <c r="O2431" s="577">
        <f t="shared" si="630"/>
        <v>0</v>
      </c>
      <c r="P2431" s="578">
        <f t="shared" si="631"/>
        <v>0</v>
      </c>
      <c r="Q2431" s="765"/>
      <c r="R2431" s="723"/>
      <c r="S2431" s="723"/>
      <c r="T2431" s="577">
        <f t="shared" si="628"/>
        <v>0</v>
      </c>
      <c r="U2431" s="578">
        <f t="shared" si="629"/>
        <v>0</v>
      </c>
      <c r="V2431" s="579"/>
      <c r="W2431" s="566" t="str">
        <f>IF(U2426&gt;0,"xx",IF(P2426&gt;0,"xy",""))</f>
        <v/>
      </c>
      <c r="X2431" s="586" t="str">
        <f t="shared" si="642"/>
        <v/>
      </c>
      <c r="Y2431" s="586" t="str">
        <f t="shared" si="633"/>
        <v/>
      </c>
      <c r="Z2431" s="586" t="str">
        <f t="shared" si="640"/>
        <v/>
      </c>
    </row>
    <row r="2432" spans="1:26" ht="12" hidden="1" thickBot="1" x14ac:dyDescent="0.25">
      <c r="A2432" s="567" t="s">
        <v>46</v>
      </c>
      <c r="B2432" s="644" t="s">
        <v>46</v>
      </c>
      <c r="C2432" s="645" t="s">
        <v>206</v>
      </c>
      <c r="D2432" s="422" t="s">
        <v>148</v>
      </c>
      <c r="E2432" s="423"/>
      <c r="F2432" s="424"/>
      <c r="G2432" s="425"/>
      <c r="H2432" s="651">
        <f>SUM(H2433:H2437)</f>
        <v>615.54044991600006</v>
      </c>
      <c r="I2432" s="420">
        <f>VLOOKUP(D2432,'[2]ENSAIOS DE ORÇAMENTO'!$C$3:$L$79,8,FALSE)</f>
        <v>2907.1166439999997</v>
      </c>
      <c r="J2432" s="420">
        <f>IF(ISBLANK(I2432),"",SUM(H2432:I2432))</f>
        <v>3522.6570939159997</v>
      </c>
      <c r="K2432" s="421">
        <f t="shared" ref="K2432:K2495" si="646">IF(ISBLANK(I2432),0,ROUND(J2432*(1+$F$10)*(1+$F$11*E2432),2))</f>
        <v>4185.2700000000004</v>
      </c>
      <c r="L2432" s="647" t="s">
        <v>21</v>
      </c>
      <c r="M2432" s="576"/>
      <c r="N2432" s="576">
        <f t="shared" si="636"/>
        <v>0</v>
      </c>
      <c r="O2432" s="577">
        <f t="shared" si="630"/>
        <v>0</v>
      </c>
      <c r="P2432" s="578">
        <f t="shared" si="631"/>
        <v>0</v>
      </c>
      <c r="Q2432" s="765"/>
      <c r="R2432" s="576">
        <f>M2432</f>
        <v>0</v>
      </c>
      <c r="S2432" s="576">
        <f>N2432</f>
        <v>0</v>
      </c>
      <c r="T2432" s="577">
        <f t="shared" ref="T2432:T2495" si="647">IF(ISBLANK(R2432),0,ROUND(K2432*R2432,2))</f>
        <v>0</v>
      </c>
      <c r="U2432" s="578">
        <f t="shared" ref="U2432:U2495" si="648">IF(ISBLANK(R2432),0,ROUND(R2432*S2432,2))</f>
        <v>0</v>
      </c>
      <c r="V2432" s="579"/>
      <c r="W2432" s="566"/>
      <c r="X2432" s="586" t="str">
        <f t="shared" si="642"/>
        <v/>
      </c>
      <c r="Y2432" s="586" t="str">
        <f t="shared" si="633"/>
        <v/>
      </c>
      <c r="Z2432" s="586" t="str">
        <f t="shared" si="640"/>
        <v/>
      </c>
    </row>
    <row r="2433" spans="1:26" ht="12" hidden="1" thickBot="1" x14ac:dyDescent="0.25">
      <c r="A2433" s="567" t="s">
        <v>168</v>
      </c>
      <c r="B2433" s="644" t="s">
        <v>168</v>
      </c>
      <c r="C2433" s="645"/>
      <c r="D2433" s="422" t="s">
        <v>212</v>
      </c>
      <c r="E2433" s="423"/>
      <c r="F2433" s="424">
        <v>500</v>
      </c>
      <c r="G2433" s="425">
        <f>VLOOKUP(D2432,'[2]ENSAIOS DE ORÇAMENTO'!$C$3:$L$79,4,FALSE)</f>
        <v>0.46255580000000002</v>
      </c>
      <c r="H2433" s="649">
        <f>IF(F2433&lt;=30,(0.78*F2433+7.82)*G2433,((0.78*30+7.82)+0.78*(F2433-30))*G2433)</f>
        <v>184.01394835600004</v>
      </c>
      <c r="I2433" s="420"/>
      <c r="J2433" s="420"/>
      <c r="K2433" s="421">
        <f t="shared" si="646"/>
        <v>0</v>
      </c>
      <c r="L2433" s="647"/>
      <c r="M2433" s="723"/>
      <c r="N2433" s="576">
        <f t="shared" si="636"/>
        <v>0</v>
      </c>
      <c r="O2433" s="577">
        <f t="shared" ref="O2433:O2496" si="649">IF(ISBLANK(M2433),0,ROUND(K2433*M2433,2))</f>
        <v>0</v>
      </c>
      <c r="P2433" s="578">
        <f t="shared" ref="P2433:P2496" si="650">IF(ISBLANK(N2433),0,ROUND(M2433*N2433,2))</f>
        <v>0</v>
      </c>
      <c r="Q2433" s="765"/>
      <c r="R2433" s="723"/>
      <c r="S2433" s="723"/>
      <c r="T2433" s="577">
        <f t="shared" si="647"/>
        <v>0</v>
      </c>
      <c r="U2433" s="578">
        <f t="shared" si="648"/>
        <v>0</v>
      </c>
      <c r="V2433" s="579"/>
      <c r="W2433" s="566" t="str">
        <f>IF(U2432&gt;0,"xx",IF(P2432&gt;0,"xy",""))</f>
        <v/>
      </c>
      <c r="X2433" s="586" t="str">
        <f t="shared" si="642"/>
        <v/>
      </c>
      <c r="Y2433" s="586" t="str">
        <f t="shared" si="633"/>
        <v/>
      </c>
      <c r="Z2433" s="586" t="str">
        <f t="shared" si="640"/>
        <v/>
      </c>
    </row>
    <row r="2434" spans="1:26" ht="12" hidden="1" thickBot="1" x14ac:dyDescent="0.25">
      <c r="A2434" s="567" t="s">
        <v>168</v>
      </c>
      <c r="B2434" s="644" t="s">
        <v>168</v>
      </c>
      <c r="C2434" s="645"/>
      <c r="D2434" s="422" t="s">
        <v>248</v>
      </c>
      <c r="E2434" s="423"/>
      <c r="F2434" s="424">
        <v>180</v>
      </c>
      <c r="G2434" s="425">
        <f>VLOOKUP(D2432,'[2]ENSAIOS DE ORÇAMENTO'!$C$3:$L$79,5,FALSE)</f>
        <v>1.7263925000000002</v>
      </c>
      <c r="H2434" s="663">
        <f t="shared" ref="H2434:H2436" si="651">IF(F2434&lt;=30,(1.07*F2434+2.68)*G2434,((1.07*30+2.68)+1.07*(F2434-30))*G2434)</f>
        <v>337.12992740000004</v>
      </c>
      <c r="I2434" s="420"/>
      <c r="J2434" s="420"/>
      <c r="K2434" s="421">
        <f t="shared" si="646"/>
        <v>0</v>
      </c>
      <c r="L2434" s="647"/>
      <c r="M2434" s="723"/>
      <c r="N2434" s="576">
        <f t="shared" si="636"/>
        <v>0</v>
      </c>
      <c r="O2434" s="577">
        <f t="shared" si="649"/>
        <v>0</v>
      </c>
      <c r="P2434" s="578">
        <f t="shared" si="650"/>
        <v>0</v>
      </c>
      <c r="Q2434" s="765"/>
      <c r="R2434" s="723"/>
      <c r="S2434" s="723"/>
      <c r="T2434" s="577">
        <f t="shared" si="647"/>
        <v>0</v>
      </c>
      <c r="U2434" s="578">
        <f t="shared" si="648"/>
        <v>0</v>
      </c>
      <c r="V2434" s="579"/>
      <c r="W2434" s="566" t="str">
        <f>IF(U2432&gt;0,"xx",IF(P2432&gt;0,"xy",""))</f>
        <v/>
      </c>
      <c r="X2434" s="586" t="str">
        <f t="shared" si="642"/>
        <v/>
      </c>
      <c r="Y2434" s="586" t="str">
        <f t="shared" si="633"/>
        <v/>
      </c>
      <c r="Z2434" s="586" t="str">
        <f t="shared" si="640"/>
        <v/>
      </c>
    </row>
    <row r="2435" spans="1:26" ht="12" hidden="1" thickBot="1" x14ac:dyDescent="0.25">
      <c r="A2435" s="567" t="s">
        <v>168</v>
      </c>
      <c r="B2435" s="644" t="s">
        <v>168</v>
      </c>
      <c r="C2435" s="645"/>
      <c r="D2435" s="422" t="s">
        <v>252</v>
      </c>
      <c r="E2435" s="423"/>
      <c r="F2435" s="424">
        <v>20</v>
      </c>
      <c r="G2435" s="425">
        <f>VLOOKUP(D2432,'[2]ENSAIOS DE ORÇAMENTO'!$C$3:$L$79,6,FALSE)</f>
        <v>1.3209000000000002</v>
      </c>
      <c r="H2435" s="663">
        <f t="shared" si="651"/>
        <v>31.807272000000008</v>
      </c>
      <c r="I2435" s="420"/>
      <c r="J2435" s="420"/>
      <c r="K2435" s="421">
        <f t="shared" si="646"/>
        <v>0</v>
      </c>
      <c r="L2435" s="647"/>
      <c r="M2435" s="723"/>
      <c r="N2435" s="576">
        <f t="shared" si="636"/>
        <v>0</v>
      </c>
      <c r="O2435" s="577">
        <f t="shared" si="649"/>
        <v>0</v>
      </c>
      <c r="P2435" s="578">
        <f t="shared" si="650"/>
        <v>0</v>
      </c>
      <c r="Q2435" s="765"/>
      <c r="R2435" s="723"/>
      <c r="S2435" s="723"/>
      <c r="T2435" s="577">
        <f t="shared" si="647"/>
        <v>0</v>
      </c>
      <c r="U2435" s="578">
        <f t="shared" si="648"/>
        <v>0</v>
      </c>
      <c r="V2435" s="579"/>
      <c r="W2435" s="566" t="str">
        <f>IF(U2432&gt;0,"xx",IF(P2432&gt;0,"xy",""))</f>
        <v/>
      </c>
      <c r="X2435" s="586" t="str">
        <f t="shared" si="642"/>
        <v/>
      </c>
      <c r="Y2435" s="586" t="str">
        <f t="shared" si="633"/>
        <v/>
      </c>
      <c r="Z2435" s="586" t="str">
        <f t="shared" si="640"/>
        <v/>
      </c>
    </row>
    <row r="2436" spans="1:26" ht="12" hidden="1" thickBot="1" x14ac:dyDescent="0.25">
      <c r="A2436" s="567" t="s">
        <v>168</v>
      </c>
      <c r="B2436" s="644" t="s">
        <v>168</v>
      </c>
      <c r="C2436" s="645"/>
      <c r="D2436" s="422" t="s">
        <v>400</v>
      </c>
      <c r="E2436" s="423"/>
      <c r="F2436" s="424">
        <v>30</v>
      </c>
      <c r="G2436" s="425">
        <f>VLOOKUP(D2432,'[2]ENSAIOS DE ORÇAMENTO'!$C$3:$L$79,3,FALSE)</f>
        <v>1.30284</v>
      </c>
      <c r="H2436" s="663">
        <f t="shared" si="651"/>
        <v>45.312775200000004</v>
      </c>
      <c r="I2436" s="420"/>
      <c r="J2436" s="420"/>
      <c r="K2436" s="421">
        <f t="shared" si="646"/>
        <v>0</v>
      </c>
      <c r="L2436" s="647"/>
      <c r="M2436" s="723"/>
      <c r="N2436" s="576">
        <f t="shared" si="636"/>
        <v>0</v>
      </c>
      <c r="O2436" s="577">
        <f t="shared" si="649"/>
        <v>0</v>
      </c>
      <c r="P2436" s="578">
        <f t="shared" si="650"/>
        <v>0</v>
      </c>
      <c r="Q2436" s="765"/>
      <c r="R2436" s="723"/>
      <c r="S2436" s="723"/>
      <c r="T2436" s="577">
        <f t="shared" si="647"/>
        <v>0</v>
      </c>
      <c r="U2436" s="578">
        <f t="shared" si="648"/>
        <v>0</v>
      </c>
      <c r="V2436" s="579"/>
      <c r="W2436" s="566" t="str">
        <f>IF(U2432&gt;0,"xx",IF(P2432&gt;0,"xy",""))</f>
        <v/>
      </c>
      <c r="X2436" s="586" t="str">
        <f t="shared" si="642"/>
        <v/>
      </c>
      <c r="Y2436" s="586" t="str">
        <f t="shared" si="633"/>
        <v/>
      </c>
      <c r="Z2436" s="586" t="str">
        <f t="shared" si="640"/>
        <v/>
      </c>
    </row>
    <row r="2437" spans="1:26" ht="12" hidden="1" thickBot="1" x14ac:dyDescent="0.25">
      <c r="A2437" s="567" t="s">
        <v>168</v>
      </c>
      <c r="B2437" s="644" t="s">
        <v>168</v>
      </c>
      <c r="C2437" s="645"/>
      <c r="D2437" s="422" t="s">
        <v>401</v>
      </c>
      <c r="E2437" s="423"/>
      <c r="F2437" s="424">
        <v>500</v>
      </c>
      <c r="G2437" s="425">
        <f>VLOOKUP(D2432,'[2]ENSAIOS DE ORÇAMENTO'!$C$3:$L$79,10,FALSE)</f>
        <v>4.3428000000000001E-2</v>
      </c>
      <c r="H2437" s="649">
        <f>IF(F2437&lt;=30,(0.78*F2437+7.82)*G2437,((0.78*30+7.82)+0.78*(F2437-30))*G2437)</f>
        <v>17.276526960000002</v>
      </c>
      <c r="I2437" s="420"/>
      <c r="J2437" s="420"/>
      <c r="K2437" s="421">
        <f t="shared" si="646"/>
        <v>0</v>
      </c>
      <c r="L2437" s="647"/>
      <c r="M2437" s="723"/>
      <c r="N2437" s="576">
        <f t="shared" si="636"/>
        <v>0</v>
      </c>
      <c r="O2437" s="577">
        <f t="shared" si="649"/>
        <v>0</v>
      </c>
      <c r="P2437" s="578">
        <f t="shared" si="650"/>
        <v>0</v>
      </c>
      <c r="Q2437" s="765"/>
      <c r="R2437" s="723"/>
      <c r="S2437" s="723"/>
      <c r="T2437" s="577">
        <f t="shared" si="647"/>
        <v>0</v>
      </c>
      <c r="U2437" s="578">
        <f t="shared" si="648"/>
        <v>0</v>
      </c>
      <c r="V2437" s="579"/>
      <c r="W2437" s="566" t="str">
        <f>IF(U2432&gt;0,"xx",IF(P2432&gt;0,"xy",""))</f>
        <v/>
      </c>
      <c r="X2437" s="586" t="str">
        <f t="shared" si="642"/>
        <v/>
      </c>
      <c r="Y2437" s="586" t="str">
        <f t="shared" si="633"/>
        <v/>
      </c>
      <c r="Z2437" s="586" t="str">
        <f t="shared" si="640"/>
        <v/>
      </c>
    </row>
    <row r="2438" spans="1:26" ht="12" hidden="1" thickBot="1" x14ac:dyDescent="0.25">
      <c r="A2438" s="567" t="s">
        <v>132</v>
      </c>
      <c r="B2438" s="644" t="s">
        <v>132</v>
      </c>
      <c r="C2438" s="645" t="s">
        <v>206</v>
      </c>
      <c r="D2438" s="422" t="s">
        <v>149</v>
      </c>
      <c r="E2438" s="423"/>
      <c r="F2438" s="424"/>
      <c r="G2438" s="425"/>
      <c r="H2438" s="651">
        <f>SUM(H2439:H2443)</f>
        <v>691.04061969200018</v>
      </c>
      <c r="I2438" s="420">
        <f>VLOOKUP(D2438,'[2]ENSAIOS DE ORÇAMENTO'!$C$3:$L$79,8,FALSE)</f>
        <v>3218.8444279999999</v>
      </c>
      <c r="J2438" s="420">
        <f>IF(ISBLANK(I2438),"",SUM(H2438:I2438))</f>
        <v>3909.8850476920002</v>
      </c>
      <c r="K2438" s="421">
        <f t="shared" si="646"/>
        <v>4645.33</v>
      </c>
      <c r="L2438" s="647" t="s">
        <v>21</v>
      </c>
      <c r="M2438" s="576"/>
      <c r="N2438" s="576">
        <f t="shared" si="636"/>
        <v>0</v>
      </c>
      <c r="O2438" s="577">
        <f t="shared" si="649"/>
        <v>0</v>
      </c>
      <c r="P2438" s="578">
        <f t="shared" si="650"/>
        <v>0</v>
      </c>
      <c r="Q2438" s="765"/>
      <c r="R2438" s="576">
        <f>M2438</f>
        <v>0</v>
      </c>
      <c r="S2438" s="576">
        <f>N2438</f>
        <v>0</v>
      </c>
      <c r="T2438" s="577">
        <f t="shared" si="647"/>
        <v>0</v>
      </c>
      <c r="U2438" s="578">
        <f t="shared" si="648"/>
        <v>0</v>
      </c>
      <c r="V2438" s="579"/>
      <c r="W2438" s="566"/>
      <c r="X2438" s="586" t="str">
        <f t="shared" si="642"/>
        <v/>
      </c>
      <c r="Y2438" s="586" t="str">
        <f t="shared" si="633"/>
        <v/>
      </c>
      <c r="Z2438" s="586" t="str">
        <f t="shared" si="640"/>
        <v/>
      </c>
    </row>
    <row r="2439" spans="1:26" ht="12" hidden="1" thickBot="1" x14ac:dyDescent="0.25">
      <c r="A2439" s="567" t="s">
        <v>168</v>
      </c>
      <c r="B2439" s="644" t="s">
        <v>168</v>
      </c>
      <c r="C2439" s="645"/>
      <c r="D2439" s="422" t="s">
        <v>212</v>
      </c>
      <c r="E2439" s="423"/>
      <c r="F2439" s="424">
        <v>500</v>
      </c>
      <c r="G2439" s="425">
        <f>VLOOKUP(D2438,'[2]ENSAIOS DE ORÇAMENTO'!$C$3:$L$79,4,FALSE)</f>
        <v>0.50537460000000012</v>
      </c>
      <c r="H2439" s="649">
        <f>IF(F2439&lt;=30,(0.78*F2439+7.82)*G2439,((0.78*30+7.82)+0.78*(F2439-30))*G2439)</f>
        <v>201.04812337200008</v>
      </c>
      <c r="I2439" s="420"/>
      <c r="J2439" s="420"/>
      <c r="K2439" s="421">
        <f t="shared" si="646"/>
        <v>0</v>
      </c>
      <c r="L2439" s="647"/>
      <c r="M2439" s="723"/>
      <c r="N2439" s="576">
        <f t="shared" si="636"/>
        <v>0</v>
      </c>
      <c r="O2439" s="577">
        <f t="shared" si="649"/>
        <v>0</v>
      </c>
      <c r="P2439" s="578">
        <f t="shared" si="650"/>
        <v>0</v>
      </c>
      <c r="Q2439" s="765"/>
      <c r="R2439" s="723"/>
      <c r="S2439" s="723"/>
      <c r="T2439" s="577">
        <f t="shared" si="647"/>
        <v>0</v>
      </c>
      <c r="U2439" s="578">
        <f t="shared" si="648"/>
        <v>0</v>
      </c>
      <c r="V2439" s="579"/>
      <c r="W2439" s="566" t="str">
        <f>IF(U2438&gt;0,"xx",IF(P2438&gt;0,"xy",""))</f>
        <v/>
      </c>
      <c r="X2439" s="586" t="str">
        <f t="shared" si="642"/>
        <v/>
      </c>
      <c r="Y2439" s="586" t="str">
        <f t="shared" si="633"/>
        <v/>
      </c>
      <c r="Z2439" s="586" t="str">
        <f t="shared" si="640"/>
        <v/>
      </c>
    </row>
    <row r="2440" spans="1:26" ht="12" hidden="1" thickBot="1" x14ac:dyDescent="0.25">
      <c r="A2440" s="567" t="s">
        <v>168</v>
      </c>
      <c r="B2440" s="644" t="s">
        <v>168</v>
      </c>
      <c r="C2440" s="645"/>
      <c r="D2440" s="422" t="s">
        <v>248</v>
      </c>
      <c r="E2440" s="423"/>
      <c r="F2440" s="424">
        <v>180</v>
      </c>
      <c r="G2440" s="425">
        <f>VLOOKUP(D2438,'[2]ENSAIOS DE ORÇAMENTO'!$C$3:$L$79,5,FALSE)</f>
        <v>1.9364075000000001</v>
      </c>
      <c r="H2440" s="663">
        <f t="shared" ref="H2440:H2442" si="652">IF(F2440&lt;=30,(1.07*F2440+2.68)*G2440,((1.07*30+2.68)+1.07*(F2440-30))*G2440)</f>
        <v>378.14165660000003</v>
      </c>
      <c r="I2440" s="420"/>
      <c r="J2440" s="420"/>
      <c r="K2440" s="421">
        <f t="shared" si="646"/>
        <v>0</v>
      </c>
      <c r="L2440" s="647"/>
      <c r="M2440" s="723"/>
      <c r="N2440" s="576">
        <f t="shared" si="636"/>
        <v>0</v>
      </c>
      <c r="O2440" s="577">
        <f t="shared" si="649"/>
        <v>0</v>
      </c>
      <c r="P2440" s="578">
        <f t="shared" si="650"/>
        <v>0</v>
      </c>
      <c r="Q2440" s="765"/>
      <c r="R2440" s="723"/>
      <c r="S2440" s="723"/>
      <c r="T2440" s="577">
        <f t="shared" si="647"/>
        <v>0</v>
      </c>
      <c r="U2440" s="578">
        <f t="shared" si="648"/>
        <v>0</v>
      </c>
      <c r="V2440" s="579"/>
      <c r="W2440" s="566" t="str">
        <f>IF(U2438&gt;0,"xx",IF(P2438&gt;0,"xy",""))</f>
        <v/>
      </c>
      <c r="X2440" s="586" t="str">
        <f t="shared" si="642"/>
        <v/>
      </c>
      <c r="Y2440" s="586" t="str">
        <f t="shared" ref="Y2440:Y2503" si="653">IF(W2440="X","x",IF(W2440="y","x",IF(W2440="xx","x",IF(U2440&gt;0,"x",""))))</f>
        <v/>
      </c>
      <c r="Z2440" s="586" t="str">
        <f t="shared" si="640"/>
        <v/>
      </c>
    </row>
    <row r="2441" spans="1:26" ht="12" hidden="1" thickBot="1" x14ac:dyDescent="0.25">
      <c r="A2441" s="567" t="s">
        <v>168</v>
      </c>
      <c r="B2441" s="644" t="s">
        <v>168</v>
      </c>
      <c r="C2441" s="645"/>
      <c r="D2441" s="422" t="s">
        <v>252</v>
      </c>
      <c r="E2441" s="423"/>
      <c r="F2441" s="424">
        <v>20</v>
      </c>
      <c r="G2441" s="425">
        <f>VLOOKUP(D2438,'[2]ENSAIOS DE ORÇAMENTO'!$C$3:$L$79,6,FALSE)</f>
        <v>1.3875000000000002</v>
      </c>
      <c r="H2441" s="663">
        <f t="shared" si="652"/>
        <v>33.411000000000008</v>
      </c>
      <c r="I2441" s="420"/>
      <c r="J2441" s="420"/>
      <c r="K2441" s="421">
        <f t="shared" si="646"/>
        <v>0</v>
      </c>
      <c r="L2441" s="647"/>
      <c r="M2441" s="723"/>
      <c r="N2441" s="576">
        <f t="shared" si="636"/>
        <v>0</v>
      </c>
      <c r="O2441" s="577">
        <f t="shared" si="649"/>
        <v>0</v>
      </c>
      <c r="P2441" s="578">
        <f t="shared" si="650"/>
        <v>0</v>
      </c>
      <c r="Q2441" s="765"/>
      <c r="R2441" s="723"/>
      <c r="S2441" s="723"/>
      <c r="T2441" s="577">
        <f t="shared" si="647"/>
        <v>0</v>
      </c>
      <c r="U2441" s="578">
        <f t="shared" si="648"/>
        <v>0</v>
      </c>
      <c r="V2441" s="579"/>
      <c r="W2441" s="566" t="str">
        <f>IF(U2438&gt;0,"xx",IF(P2438&gt;0,"xy",""))</f>
        <v/>
      </c>
      <c r="X2441" s="586" t="str">
        <f t="shared" si="642"/>
        <v/>
      </c>
      <c r="Y2441" s="586" t="str">
        <f t="shared" si="653"/>
        <v/>
      </c>
      <c r="Z2441" s="586" t="str">
        <f t="shared" si="640"/>
        <v/>
      </c>
    </row>
    <row r="2442" spans="1:26" ht="12" hidden="1" thickBot="1" x14ac:dyDescent="0.25">
      <c r="A2442" s="567" t="s">
        <v>168</v>
      </c>
      <c r="B2442" s="644" t="s">
        <v>168</v>
      </c>
      <c r="C2442" s="645"/>
      <c r="D2442" s="422" t="s">
        <v>400</v>
      </c>
      <c r="E2442" s="423"/>
      <c r="F2442" s="424">
        <v>30</v>
      </c>
      <c r="G2442" s="425">
        <f>VLOOKUP(D2438,'[2]ENSAIOS DE ORÇAMENTO'!$C$3:$L$79,3,FALSE)</f>
        <v>1.6327799999999999</v>
      </c>
      <c r="H2442" s="663">
        <f t="shared" si="652"/>
        <v>56.788088399999999</v>
      </c>
      <c r="I2442" s="420"/>
      <c r="J2442" s="420"/>
      <c r="K2442" s="421">
        <f t="shared" si="646"/>
        <v>0</v>
      </c>
      <c r="L2442" s="647"/>
      <c r="M2442" s="723"/>
      <c r="N2442" s="576">
        <f t="shared" si="636"/>
        <v>0</v>
      </c>
      <c r="O2442" s="577">
        <f t="shared" si="649"/>
        <v>0</v>
      </c>
      <c r="P2442" s="578">
        <f t="shared" si="650"/>
        <v>0</v>
      </c>
      <c r="Q2442" s="765"/>
      <c r="R2442" s="723"/>
      <c r="S2442" s="723"/>
      <c r="T2442" s="577">
        <f t="shared" si="647"/>
        <v>0</v>
      </c>
      <c r="U2442" s="578">
        <f t="shared" si="648"/>
        <v>0</v>
      </c>
      <c r="V2442" s="579"/>
      <c r="W2442" s="566" t="str">
        <f>IF(U2438&gt;0,"xx",IF(P2438&gt;0,"xy",""))</f>
        <v/>
      </c>
      <c r="X2442" s="586" t="str">
        <f t="shared" si="642"/>
        <v/>
      </c>
      <c r="Y2442" s="586" t="str">
        <f t="shared" si="653"/>
        <v/>
      </c>
      <c r="Z2442" s="586" t="str">
        <f t="shared" si="640"/>
        <v/>
      </c>
    </row>
    <row r="2443" spans="1:26" ht="12" hidden="1" thickBot="1" x14ac:dyDescent="0.25">
      <c r="A2443" s="567" t="s">
        <v>168</v>
      </c>
      <c r="B2443" s="644" t="s">
        <v>168</v>
      </c>
      <c r="C2443" s="645"/>
      <c r="D2443" s="422" t="s">
        <v>401</v>
      </c>
      <c r="E2443" s="423"/>
      <c r="F2443" s="424">
        <v>500</v>
      </c>
      <c r="G2443" s="425">
        <f>VLOOKUP(D2438,'[2]ENSAIOS DE ORÇAMENTO'!$C$3:$L$79,10,FALSE)</f>
        <v>5.4425999999999995E-2</v>
      </c>
      <c r="H2443" s="649">
        <f>IF(F2443&lt;=30,(0.78*F2443+7.82)*G2443,((0.78*30+7.82)+0.78*(F2443-30))*G2443)</f>
        <v>21.651751320000002</v>
      </c>
      <c r="I2443" s="420"/>
      <c r="J2443" s="420"/>
      <c r="K2443" s="421">
        <f t="shared" si="646"/>
        <v>0</v>
      </c>
      <c r="L2443" s="647"/>
      <c r="M2443" s="723"/>
      <c r="N2443" s="576">
        <f t="shared" si="636"/>
        <v>0</v>
      </c>
      <c r="O2443" s="577">
        <f t="shared" si="649"/>
        <v>0</v>
      </c>
      <c r="P2443" s="578">
        <f t="shared" si="650"/>
        <v>0</v>
      </c>
      <c r="Q2443" s="765"/>
      <c r="R2443" s="723"/>
      <c r="S2443" s="723"/>
      <c r="T2443" s="577">
        <f t="shared" si="647"/>
        <v>0</v>
      </c>
      <c r="U2443" s="578">
        <f t="shared" si="648"/>
        <v>0</v>
      </c>
      <c r="V2443" s="579"/>
      <c r="W2443" s="566" t="str">
        <f>IF(U2438&gt;0,"xx",IF(P2438&gt;0,"xy",""))</f>
        <v/>
      </c>
      <c r="X2443" s="586" t="str">
        <f t="shared" si="642"/>
        <v/>
      </c>
      <c r="Y2443" s="586" t="str">
        <f t="shared" si="653"/>
        <v/>
      </c>
      <c r="Z2443" s="586" t="str">
        <f t="shared" si="640"/>
        <v/>
      </c>
    </row>
    <row r="2444" spans="1:26" ht="12" hidden="1" thickBot="1" x14ac:dyDescent="0.25">
      <c r="A2444" s="567" t="s">
        <v>136</v>
      </c>
      <c r="B2444" s="644" t="s">
        <v>136</v>
      </c>
      <c r="C2444" s="645" t="s">
        <v>206</v>
      </c>
      <c r="D2444" s="422" t="s">
        <v>150</v>
      </c>
      <c r="E2444" s="423"/>
      <c r="F2444" s="424"/>
      <c r="G2444" s="425"/>
      <c r="H2444" s="651">
        <f>SUM(H2445:H2449)</f>
        <v>409.16457640000004</v>
      </c>
      <c r="I2444" s="420">
        <f>VLOOKUP(D2444,'[2]ENSAIOS DE ORÇAMENTO'!$C$3:$L$79,8,FALSE)</f>
        <v>1400.2775500000002</v>
      </c>
      <c r="J2444" s="420">
        <f>IF(ISBLANK(I2444),"",SUM(H2444:I2444))</f>
        <v>1809.4421264000002</v>
      </c>
      <c r="K2444" s="421">
        <f t="shared" si="646"/>
        <v>2149.8000000000002</v>
      </c>
      <c r="L2444" s="647" t="s">
        <v>21</v>
      </c>
      <c r="M2444" s="576"/>
      <c r="N2444" s="576">
        <f t="shared" si="636"/>
        <v>0</v>
      </c>
      <c r="O2444" s="577">
        <f t="shared" si="649"/>
        <v>0</v>
      </c>
      <c r="P2444" s="578">
        <f t="shared" si="650"/>
        <v>0</v>
      </c>
      <c r="Q2444" s="765"/>
      <c r="R2444" s="576">
        <f>M2444</f>
        <v>0</v>
      </c>
      <c r="S2444" s="576">
        <f>N2444</f>
        <v>0</v>
      </c>
      <c r="T2444" s="577">
        <f t="shared" si="647"/>
        <v>0</v>
      </c>
      <c r="U2444" s="578">
        <f t="shared" si="648"/>
        <v>0</v>
      </c>
      <c r="V2444" s="579"/>
      <c r="W2444" s="566"/>
      <c r="X2444" s="586" t="str">
        <f t="shared" si="642"/>
        <v/>
      </c>
      <c r="Y2444" s="586" t="str">
        <f t="shared" si="653"/>
        <v/>
      </c>
      <c r="Z2444" s="586" t="str">
        <f t="shared" si="640"/>
        <v/>
      </c>
    </row>
    <row r="2445" spans="1:26" ht="12" hidden="1" thickBot="1" x14ac:dyDescent="0.25">
      <c r="A2445" s="567" t="s">
        <v>168</v>
      </c>
      <c r="B2445" s="644" t="s">
        <v>168</v>
      </c>
      <c r="C2445" s="645"/>
      <c r="D2445" s="422" t="s">
        <v>212</v>
      </c>
      <c r="E2445" s="423"/>
      <c r="F2445" s="424">
        <v>500</v>
      </c>
      <c r="G2445" s="425">
        <f>VLOOKUP(D2444,'[2]ENSAIOS DE ORÇAMENTO'!$C$3:$L$79,4,FALSE)</f>
        <v>0.38250000000000006</v>
      </c>
      <c r="H2445" s="649">
        <f>IF(F2445&lt;=30,(0.78*F2445+7.82)*G2445,((0.78*30+7.82)+0.78*(F2445-30))*G2445)</f>
        <v>152.16615000000004</v>
      </c>
      <c r="I2445" s="420"/>
      <c r="J2445" s="420"/>
      <c r="K2445" s="421">
        <f t="shared" si="646"/>
        <v>0</v>
      </c>
      <c r="L2445" s="647"/>
      <c r="M2445" s="723"/>
      <c r="N2445" s="576">
        <f t="shared" si="636"/>
        <v>0</v>
      </c>
      <c r="O2445" s="577">
        <f t="shared" si="649"/>
        <v>0</v>
      </c>
      <c r="P2445" s="578">
        <f t="shared" si="650"/>
        <v>0</v>
      </c>
      <c r="Q2445" s="765"/>
      <c r="R2445" s="723"/>
      <c r="S2445" s="723"/>
      <c r="T2445" s="577">
        <f t="shared" si="647"/>
        <v>0</v>
      </c>
      <c r="U2445" s="578">
        <f t="shared" si="648"/>
        <v>0</v>
      </c>
      <c r="V2445" s="579"/>
      <c r="W2445" s="566" t="str">
        <f>IF(U2444&gt;0,"xx",IF(P2444&gt;0,"xy",""))</f>
        <v/>
      </c>
      <c r="X2445" s="586" t="str">
        <f t="shared" si="642"/>
        <v/>
      </c>
      <c r="Y2445" s="586" t="str">
        <f t="shared" si="653"/>
        <v/>
      </c>
      <c r="Z2445" s="586" t="str">
        <f t="shared" si="640"/>
        <v/>
      </c>
    </row>
    <row r="2446" spans="1:26" ht="12" hidden="1" thickBot="1" x14ac:dyDescent="0.25">
      <c r="A2446" s="567" t="s">
        <v>168</v>
      </c>
      <c r="B2446" s="644" t="s">
        <v>168</v>
      </c>
      <c r="C2446" s="645"/>
      <c r="D2446" s="422" t="s">
        <v>248</v>
      </c>
      <c r="E2446" s="423"/>
      <c r="F2446" s="424">
        <v>180</v>
      </c>
      <c r="G2446" s="425">
        <f>VLOOKUP(D2444,'[2]ENSAIOS DE ORÇAMENTO'!$C$3:$L$79,5,FALSE)</f>
        <v>1.1483800000000002</v>
      </c>
      <c r="H2446" s="663">
        <f t="shared" ref="H2446:H2448" si="654">IF(F2446&lt;=30,(1.07*F2446+2.68)*G2446,((1.07*30+2.68)+1.07*(F2446-30))*G2446)</f>
        <v>224.25564640000005</v>
      </c>
      <c r="I2446" s="420"/>
      <c r="J2446" s="420"/>
      <c r="K2446" s="421">
        <f t="shared" si="646"/>
        <v>0</v>
      </c>
      <c r="L2446" s="647"/>
      <c r="M2446" s="723"/>
      <c r="N2446" s="576">
        <f t="shared" si="636"/>
        <v>0</v>
      </c>
      <c r="O2446" s="577">
        <f t="shared" si="649"/>
        <v>0</v>
      </c>
      <c r="P2446" s="578">
        <f t="shared" si="650"/>
        <v>0</v>
      </c>
      <c r="Q2446" s="765"/>
      <c r="R2446" s="723"/>
      <c r="S2446" s="723"/>
      <c r="T2446" s="577">
        <f t="shared" si="647"/>
        <v>0</v>
      </c>
      <c r="U2446" s="578">
        <f t="shared" si="648"/>
        <v>0</v>
      </c>
      <c r="V2446" s="579"/>
      <c r="W2446" s="566" t="str">
        <f>IF(U2444&gt;0,"xx",IF(P2444&gt;0,"xy",""))</f>
        <v/>
      </c>
      <c r="X2446" s="586" t="str">
        <f t="shared" si="642"/>
        <v/>
      </c>
      <c r="Y2446" s="586" t="str">
        <f t="shared" si="653"/>
        <v/>
      </c>
      <c r="Z2446" s="586" t="str">
        <f t="shared" si="640"/>
        <v/>
      </c>
    </row>
    <row r="2447" spans="1:26" ht="12" hidden="1" thickBot="1" x14ac:dyDescent="0.25">
      <c r="A2447" s="567" t="s">
        <v>168</v>
      </c>
      <c r="B2447" s="644" t="s">
        <v>168</v>
      </c>
      <c r="C2447" s="645"/>
      <c r="D2447" s="422" t="s">
        <v>252</v>
      </c>
      <c r="E2447" s="423"/>
      <c r="F2447" s="424">
        <v>20</v>
      </c>
      <c r="G2447" s="425">
        <f>VLOOKUP(D2444,'[2]ENSAIOS DE ORÇAMENTO'!$C$3:$L$79,6,FALSE)</f>
        <v>1.35975</v>
      </c>
      <c r="H2447" s="663">
        <f t="shared" si="654"/>
        <v>32.742780000000003</v>
      </c>
      <c r="I2447" s="420"/>
      <c r="J2447" s="420"/>
      <c r="K2447" s="421">
        <f t="shared" si="646"/>
        <v>0</v>
      </c>
      <c r="L2447" s="647"/>
      <c r="M2447" s="723"/>
      <c r="N2447" s="576">
        <f t="shared" si="636"/>
        <v>0</v>
      </c>
      <c r="O2447" s="577">
        <f t="shared" si="649"/>
        <v>0</v>
      </c>
      <c r="P2447" s="578">
        <f t="shared" si="650"/>
        <v>0</v>
      </c>
      <c r="Q2447" s="765"/>
      <c r="R2447" s="723"/>
      <c r="S2447" s="723"/>
      <c r="T2447" s="577">
        <f t="shared" si="647"/>
        <v>0</v>
      </c>
      <c r="U2447" s="578">
        <f t="shared" si="648"/>
        <v>0</v>
      </c>
      <c r="V2447" s="579"/>
      <c r="W2447" s="566" t="str">
        <f>IF(U2444&gt;0,"xx",IF(P2444&gt;0,"xy",""))</f>
        <v/>
      </c>
      <c r="X2447" s="586" t="str">
        <f t="shared" si="642"/>
        <v/>
      </c>
      <c r="Y2447" s="586" t="str">
        <f t="shared" si="653"/>
        <v/>
      </c>
      <c r="Z2447" s="586" t="str">
        <f t="shared" si="640"/>
        <v/>
      </c>
    </row>
    <row r="2448" spans="1:26" ht="12" hidden="1" thickBot="1" x14ac:dyDescent="0.25">
      <c r="A2448" s="567" t="s">
        <v>168</v>
      </c>
      <c r="B2448" s="644" t="s">
        <v>168</v>
      </c>
      <c r="C2448" s="645"/>
      <c r="D2448" s="422" t="s">
        <v>400</v>
      </c>
      <c r="E2448" s="423"/>
      <c r="F2448" s="424">
        <v>30</v>
      </c>
      <c r="G2448" s="425">
        <f>VLOOKUP(D2444,'[2]ENSAIOS DE ORÇAMENTO'!$C$3:$L$79,3,FALSE)</f>
        <v>0</v>
      </c>
      <c r="H2448" s="663">
        <f t="shared" si="654"/>
        <v>0</v>
      </c>
      <c r="I2448" s="420"/>
      <c r="J2448" s="420"/>
      <c r="K2448" s="421">
        <f t="shared" si="646"/>
        <v>0</v>
      </c>
      <c r="L2448" s="647"/>
      <c r="M2448" s="723"/>
      <c r="N2448" s="576">
        <f t="shared" si="636"/>
        <v>0</v>
      </c>
      <c r="O2448" s="577">
        <f t="shared" si="649"/>
        <v>0</v>
      </c>
      <c r="P2448" s="578">
        <f t="shared" si="650"/>
        <v>0</v>
      </c>
      <c r="Q2448" s="765"/>
      <c r="R2448" s="723"/>
      <c r="S2448" s="723"/>
      <c r="T2448" s="577">
        <f t="shared" si="647"/>
        <v>0</v>
      </c>
      <c r="U2448" s="578">
        <f t="shared" si="648"/>
        <v>0</v>
      </c>
      <c r="V2448" s="579"/>
      <c r="W2448" s="566" t="str">
        <f>IF(U2444&gt;0,"xx",IF(P2444&gt;0,"xy",""))</f>
        <v/>
      </c>
      <c r="X2448" s="586" t="str">
        <f t="shared" si="642"/>
        <v/>
      </c>
      <c r="Y2448" s="586" t="str">
        <f t="shared" si="653"/>
        <v/>
      </c>
      <c r="Z2448" s="586" t="str">
        <f t="shared" si="640"/>
        <v/>
      </c>
    </row>
    <row r="2449" spans="1:26" ht="12" hidden="1" thickBot="1" x14ac:dyDescent="0.25">
      <c r="A2449" s="567" t="s">
        <v>168</v>
      </c>
      <c r="B2449" s="644" t="s">
        <v>168</v>
      </c>
      <c r="C2449" s="645"/>
      <c r="D2449" s="422" t="s">
        <v>401</v>
      </c>
      <c r="E2449" s="423"/>
      <c r="F2449" s="424">
        <v>500</v>
      </c>
      <c r="G2449" s="425">
        <f>VLOOKUP(D2444,'[2]ENSAIOS DE ORÇAMENTO'!$C$3:$L$79,10,FALSE)</f>
        <v>0</v>
      </c>
      <c r="H2449" s="649">
        <f>IF(F2449&lt;=30,(0.78*F2449+7.82)*G2449,((0.78*30+7.82)+0.78*(F2449-30))*G2449)</f>
        <v>0</v>
      </c>
      <c r="I2449" s="420"/>
      <c r="J2449" s="420"/>
      <c r="K2449" s="421">
        <f t="shared" si="646"/>
        <v>0</v>
      </c>
      <c r="L2449" s="647"/>
      <c r="M2449" s="723"/>
      <c r="N2449" s="576">
        <f t="shared" si="636"/>
        <v>0</v>
      </c>
      <c r="O2449" s="577">
        <f t="shared" si="649"/>
        <v>0</v>
      </c>
      <c r="P2449" s="578">
        <f t="shared" si="650"/>
        <v>0</v>
      </c>
      <c r="Q2449" s="765"/>
      <c r="R2449" s="723"/>
      <c r="S2449" s="723"/>
      <c r="T2449" s="577">
        <f t="shared" si="647"/>
        <v>0</v>
      </c>
      <c r="U2449" s="578">
        <f t="shared" si="648"/>
        <v>0</v>
      </c>
      <c r="V2449" s="579"/>
      <c r="W2449" s="566" t="str">
        <f>IF(U2444&gt;0,"xx",IF(P2444&gt;0,"xy",""))</f>
        <v/>
      </c>
      <c r="X2449" s="586" t="str">
        <f t="shared" si="642"/>
        <v/>
      </c>
      <c r="Y2449" s="586" t="str">
        <f t="shared" si="653"/>
        <v/>
      </c>
      <c r="Z2449" s="586" t="str">
        <f t="shared" si="640"/>
        <v/>
      </c>
    </row>
    <row r="2450" spans="1:26" ht="12" hidden="1" thickBot="1" x14ac:dyDescent="0.25">
      <c r="A2450" s="567" t="s">
        <v>137</v>
      </c>
      <c r="B2450" s="644" t="s">
        <v>137</v>
      </c>
      <c r="C2450" s="645" t="s">
        <v>206</v>
      </c>
      <c r="D2450" s="422" t="s">
        <v>151</v>
      </c>
      <c r="E2450" s="423"/>
      <c r="F2450" s="424"/>
      <c r="G2450" s="425"/>
      <c r="H2450" s="651">
        <f>SUM(H2451:H2455)</f>
        <v>459.84391840000006</v>
      </c>
      <c r="I2450" s="420">
        <f>VLOOKUP(D2450,'[2]ENSAIOS DE ORÇAMENTO'!$C$3:$L$79,8,FALSE)</f>
        <v>1488.1440499999999</v>
      </c>
      <c r="J2450" s="420">
        <f>IF(ISBLANK(I2450),"",SUM(H2450:I2450))</f>
        <v>1947.9879684</v>
      </c>
      <c r="K2450" s="421">
        <f t="shared" si="646"/>
        <v>2314.4</v>
      </c>
      <c r="L2450" s="647" t="s">
        <v>21</v>
      </c>
      <c r="M2450" s="576"/>
      <c r="N2450" s="576">
        <f t="shared" si="636"/>
        <v>0</v>
      </c>
      <c r="O2450" s="577">
        <f t="shared" si="649"/>
        <v>0</v>
      </c>
      <c r="P2450" s="578">
        <f t="shared" si="650"/>
        <v>0</v>
      </c>
      <c r="Q2450" s="765"/>
      <c r="R2450" s="576">
        <f>M2450</f>
        <v>0</v>
      </c>
      <c r="S2450" s="576">
        <f>N2450</f>
        <v>0</v>
      </c>
      <c r="T2450" s="577">
        <f t="shared" si="647"/>
        <v>0</v>
      </c>
      <c r="U2450" s="578">
        <f t="shared" si="648"/>
        <v>0</v>
      </c>
      <c r="V2450" s="579"/>
      <c r="W2450" s="566"/>
      <c r="X2450" s="586" t="str">
        <f t="shared" si="642"/>
        <v/>
      </c>
      <c r="Y2450" s="586" t="str">
        <f t="shared" si="653"/>
        <v/>
      </c>
      <c r="Z2450" s="586" t="str">
        <f t="shared" si="640"/>
        <v/>
      </c>
    </row>
    <row r="2451" spans="1:26" ht="12" hidden="1" thickBot="1" x14ac:dyDescent="0.25">
      <c r="A2451" s="567" t="s">
        <v>168</v>
      </c>
      <c r="B2451" s="644" t="s">
        <v>168</v>
      </c>
      <c r="C2451" s="645"/>
      <c r="D2451" s="422" t="s">
        <v>212</v>
      </c>
      <c r="E2451" s="423"/>
      <c r="F2451" s="424">
        <v>500</v>
      </c>
      <c r="G2451" s="425">
        <f>VLOOKUP(D2450,'[2]ENSAIOS DE ORÇAMENTO'!$C$3:$L$79,4,FALSE)</f>
        <v>0.43200000000000005</v>
      </c>
      <c r="H2451" s="649">
        <f>IF(F2451&lt;=30,(0.78*F2451+7.82)*G2451,((0.78*30+7.82)+0.78*(F2451-30))*G2451)</f>
        <v>171.85824000000005</v>
      </c>
      <c r="I2451" s="420"/>
      <c r="J2451" s="420"/>
      <c r="K2451" s="421">
        <f t="shared" si="646"/>
        <v>0</v>
      </c>
      <c r="L2451" s="647"/>
      <c r="M2451" s="723"/>
      <c r="N2451" s="576">
        <f t="shared" si="636"/>
        <v>0</v>
      </c>
      <c r="O2451" s="577">
        <f t="shared" si="649"/>
        <v>0</v>
      </c>
      <c r="P2451" s="578">
        <f t="shared" si="650"/>
        <v>0</v>
      </c>
      <c r="Q2451" s="765"/>
      <c r="R2451" s="723"/>
      <c r="S2451" s="723"/>
      <c r="T2451" s="577">
        <f t="shared" si="647"/>
        <v>0</v>
      </c>
      <c r="U2451" s="578">
        <f t="shared" si="648"/>
        <v>0</v>
      </c>
      <c r="V2451" s="579"/>
      <c r="W2451" s="566" t="str">
        <f>IF(U2450&gt;0,"xx",IF(P2450&gt;0,"xy",""))</f>
        <v/>
      </c>
      <c r="X2451" s="586" t="str">
        <f t="shared" si="642"/>
        <v/>
      </c>
      <c r="Y2451" s="586" t="str">
        <f t="shared" si="653"/>
        <v/>
      </c>
      <c r="Z2451" s="586" t="str">
        <f t="shared" si="640"/>
        <v/>
      </c>
    </row>
    <row r="2452" spans="1:26" ht="12" hidden="1" thickBot="1" x14ac:dyDescent="0.25">
      <c r="A2452" s="567" t="s">
        <v>168</v>
      </c>
      <c r="B2452" s="644" t="s">
        <v>168</v>
      </c>
      <c r="C2452" s="645"/>
      <c r="D2452" s="422" t="s">
        <v>248</v>
      </c>
      <c r="E2452" s="423"/>
      <c r="F2452" s="424">
        <v>180</v>
      </c>
      <c r="G2452" s="425">
        <f>VLOOKUP(D2450,'[2]ENSAIOS DE ORÇAMENTO'!$C$3:$L$79,5,FALSE)</f>
        <v>1.28653</v>
      </c>
      <c r="H2452" s="663">
        <f t="shared" ref="H2452:H2454" si="655">IF(F2452&lt;=30,(1.07*F2452+2.68)*G2452,((1.07*30+2.68)+1.07*(F2452-30))*G2452)</f>
        <v>251.2335784</v>
      </c>
      <c r="I2452" s="420"/>
      <c r="J2452" s="420"/>
      <c r="K2452" s="421">
        <f t="shared" si="646"/>
        <v>0</v>
      </c>
      <c r="L2452" s="647"/>
      <c r="M2452" s="723"/>
      <c r="N2452" s="576">
        <f t="shared" ref="N2452:N2515" si="656">IF(M2452=0,0,K2452)</f>
        <v>0</v>
      </c>
      <c r="O2452" s="577">
        <f t="shared" si="649"/>
        <v>0</v>
      </c>
      <c r="P2452" s="578">
        <f t="shared" si="650"/>
        <v>0</v>
      </c>
      <c r="Q2452" s="765"/>
      <c r="R2452" s="723"/>
      <c r="S2452" s="723"/>
      <c r="T2452" s="577">
        <f t="shared" si="647"/>
        <v>0</v>
      </c>
      <c r="U2452" s="578">
        <f t="shared" si="648"/>
        <v>0</v>
      </c>
      <c r="V2452" s="579"/>
      <c r="W2452" s="566" t="str">
        <f>IF(U2450&gt;0,"xx",IF(P2450&gt;0,"xy",""))</f>
        <v/>
      </c>
      <c r="X2452" s="586" t="str">
        <f t="shared" si="642"/>
        <v/>
      </c>
      <c r="Y2452" s="586" t="str">
        <f t="shared" si="653"/>
        <v/>
      </c>
      <c r="Z2452" s="586" t="str">
        <f t="shared" si="640"/>
        <v/>
      </c>
    </row>
    <row r="2453" spans="1:26" ht="12" hidden="1" thickBot="1" x14ac:dyDescent="0.25">
      <c r="A2453" s="567" t="s">
        <v>168</v>
      </c>
      <c r="B2453" s="644" t="s">
        <v>168</v>
      </c>
      <c r="C2453" s="645"/>
      <c r="D2453" s="422" t="s">
        <v>252</v>
      </c>
      <c r="E2453" s="423"/>
      <c r="F2453" s="424">
        <v>20</v>
      </c>
      <c r="G2453" s="425">
        <f>VLOOKUP(D2450,'[2]ENSAIOS DE ORÇAMENTO'!$C$3:$L$79,6,FALSE)</f>
        <v>1.5262500000000001</v>
      </c>
      <c r="H2453" s="663">
        <f t="shared" si="655"/>
        <v>36.752100000000006</v>
      </c>
      <c r="I2453" s="420"/>
      <c r="J2453" s="420"/>
      <c r="K2453" s="421">
        <f t="shared" si="646"/>
        <v>0</v>
      </c>
      <c r="L2453" s="647"/>
      <c r="M2453" s="723"/>
      <c r="N2453" s="576">
        <f t="shared" si="656"/>
        <v>0</v>
      </c>
      <c r="O2453" s="577">
        <f t="shared" si="649"/>
        <v>0</v>
      </c>
      <c r="P2453" s="578">
        <f t="shared" si="650"/>
        <v>0</v>
      </c>
      <c r="Q2453" s="765"/>
      <c r="R2453" s="723"/>
      <c r="S2453" s="723"/>
      <c r="T2453" s="577">
        <f t="shared" si="647"/>
        <v>0</v>
      </c>
      <c r="U2453" s="578">
        <f t="shared" si="648"/>
        <v>0</v>
      </c>
      <c r="V2453" s="579"/>
      <c r="W2453" s="566" t="str">
        <f>IF(U2450&gt;0,"xx",IF(P2450&gt;0,"xy",""))</f>
        <v/>
      </c>
      <c r="X2453" s="586" t="str">
        <f t="shared" si="642"/>
        <v/>
      </c>
      <c r="Y2453" s="586" t="str">
        <f t="shared" si="653"/>
        <v/>
      </c>
      <c r="Z2453" s="586" t="str">
        <f t="shared" si="640"/>
        <v/>
      </c>
    </row>
    <row r="2454" spans="1:26" ht="12" hidden="1" thickBot="1" x14ac:dyDescent="0.25">
      <c r="A2454" s="567" t="s">
        <v>168</v>
      </c>
      <c r="B2454" s="644" t="s">
        <v>168</v>
      </c>
      <c r="C2454" s="645"/>
      <c r="D2454" s="422" t="s">
        <v>400</v>
      </c>
      <c r="E2454" s="423"/>
      <c r="F2454" s="424">
        <v>30</v>
      </c>
      <c r="G2454" s="425">
        <f>VLOOKUP(D2450,'[2]ENSAIOS DE ORÇAMENTO'!$C$3:$L$79,3,FALSE)</f>
        <v>0</v>
      </c>
      <c r="H2454" s="663">
        <f t="shared" si="655"/>
        <v>0</v>
      </c>
      <c r="I2454" s="420"/>
      <c r="J2454" s="420"/>
      <c r="K2454" s="421">
        <f t="shared" si="646"/>
        <v>0</v>
      </c>
      <c r="L2454" s="647"/>
      <c r="M2454" s="723"/>
      <c r="N2454" s="576">
        <f t="shared" si="656"/>
        <v>0</v>
      </c>
      <c r="O2454" s="577">
        <f t="shared" si="649"/>
        <v>0</v>
      </c>
      <c r="P2454" s="578">
        <f t="shared" si="650"/>
        <v>0</v>
      </c>
      <c r="Q2454" s="765"/>
      <c r="R2454" s="723"/>
      <c r="S2454" s="723"/>
      <c r="T2454" s="577">
        <f t="shared" si="647"/>
        <v>0</v>
      </c>
      <c r="U2454" s="578">
        <f t="shared" si="648"/>
        <v>0</v>
      </c>
      <c r="V2454" s="579"/>
      <c r="W2454" s="566" t="str">
        <f>IF(U2450&gt;0,"xx",IF(P2450&gt;0,"xy",""))</f>
        <v/>
      </c>
      <c r="X2454" s="586" t="str">
        <f t="shared" si="642"/>
        <v/>
      </c>
      <c r="Y2454" s="586" t="str">
        <f t="shared" si="653"/>
        <v/>
      </c>
      <c r="Z2454" s="586" t="str">
        <f t="shared" si="640"/>
        <v/>
      </c>
    </row>
    <row r="2455" spans="1:26" ht="12" hidden="1" thickBot="1" x14ac:dyDescent="0.25">
      <c r="A2455" s="567" t="s">
        <v>168</v>
      </c>
      <c r="B2455" s="644" t="s">
        <v>168</v>
      </c>
      <c r="C2455" s="645"/>
      <c r="D2455" s="422" t="s">
        <v>401</v>
      </c>
      <c r="E2455" s="423"/>
      <c r="F2455" s="424">
        <v>500</v>
      </c>
      <c r="G2455" s="425">
        <f>VLOOKUP(D2450,'[2]ENSAIOS DE ORÇAMENTO'!$C$3:$L$79,10,FALSE)</f>
        <v>0</v>
      </c>
      <c r="H2455" s="649">
        <f>IF(F2455&lt;=30,(0.78*F2455+7.82)*G2455,((0.78*30+7.82)+0.78*(F2455-30))*G2455)</f>
        <v>0</v>
      </c>
      <c r="I2455" s="420"/>
      <c r="J2455" s="420"/>
      <c r="K2455" s="421">
        <f t="shared" si="646"/>
        <v>0</v>
      </c>
      <c r="L2455" s="647"/>
      <c r="M2455" s="723"/>
      <c r="N2455" s="576">
        <f t="shared" si="656"/>
        <v>0</v>
      </c>
      <c r="O2455" s="577">
        <f t="shared" si="649"/>
        <v>0</v>
      </c>
      <c r="P2455" s="578">
        <f t="shared" si="650"/>
        <v>0</v>
      </c>
      <c r="Q2455" s="765"/>
      <c r="R2455" s="723"/>
      <c r="S2455" s="723"/>
      <c r="T2455" s="577">
        <f t="shared" si="647"/>
        <v>0</v>
      </c>
      <c r="U2455" s="578">
        <f t="shared" si="648"/>
        <v>0</v>
      </c>
      <c r="V2455" s="579"/>
      <c r="W2455" s="566" t="str">
        <f>IF(U2450&gt;0,"xx",IF(P2450&gt;0,"xy",""))</f>
        <v/>
      </c>
      <c r="X2455" s="586" t="str">
        <f t="shared" si="642"/>
        <v/>
      </c>
      <c r="Y2455" s="586" t="str">
        <f t="shared" si="653"/>
        <v/>
      </c>
      <c r="Z2455" s="586" t="str">
        <f t="shared" si="640"/>
        <v/>
      </c>
    </row>
    <row r="2456" spans="1:26" ht="12" hidden="1" thickBot="1" x14ac:dyDescent="0.25">
      <c r="A2456" s="567" t="s">
        <v>138</v>
      </c>
      <c r="B2456" s="644" t="s">
        <v>138</v>
      </c>
      <c r="C2456" s="645" t="s">
        <v>206</v>
      </c>
      <c r="D2456" s="422" t="s">
        <v>152</v>
      </c>
      <c r="E2456" s="423"/>
      <c r="F2456" s="424"/>
      <c r="G2456" s="425"/>
      <c r="H2456" s="651">
        <f>SUM(H2457:H2461)</f>
        <v>534.17362000000003</v>
      </c>
      <c r="I2456" s="420">
        <f>VLOOKUP(D2456,'[2]ENSAIOS DE ORÇAMENTO'!$C$3:$L$79,8,FALSE)</f>
        <v>1617.5052500000002</v>
      </c>
      <c r="J2456" s="420">
        <f>IF(ISBLANK(I2456),"",SUM(H2456:I2456))</f>
        <v>2151.6788700000002</v>
      </c>
      <c r="K2456" s="421">
        <f t="shared" si="646"/>
        <v>2556.41</v>
      </c>
      <c r="L2456" s="647" t="s">
        <v>21</v>
      </c>
      <c r="M2456" s="576"/>
      <c r="N2456" s="576">
        <f t="shared" si="656"/>
        <v>0</v>
      </c>
      <c r="O2456" s="577">
        <f t="shared" si="649"/>
        <v>0</v>
      </c>
      <c r="P2456" s="578">
        <f t="shared" si="650"/>
        <v>0</v>
      </c>
      <c r="Q2456" s="765"/>
      <c r="R2456" s="576">
        <f>M2456</f>
        <v>0</v>
      </c>
      <c r="S2456" s="576">
        <f>N2456</f>
        <v>0</v>
      </c>
      <c r="T2456" s="577">
        <f t="shared" si="647"/>
        <v>0</v>
      </c>
      <c r="U2456" s="578">
        <f t="shared" si="648"/>
        <v>0</v>
      </c>
      <c r="V2456" s="579"/>
      <c r="W2456" s="566"/>
      <c r="X2456" s="586" t="str">
        <f t="shared" si="642"/>
        <v/>
      </c>
      <c r="Y2456" s="586" t="str">
        <f t="shared" si="653"/>
        <v/>
      </c>
      <c r="Z2456" s="586" t="str">
        <f t="shared" si="640"/>
        <v/>
      </c>
    </row>
    <row r="2457" spans="1:26" ht="12" hidden="1" thickBot="1" x14ac:dyDescent="0.25">
      <c r="A2457" s="567" t="s">
        <v>168</v>
      </c>
      <c r="B2457" s="644" t="s">
        <v>168</v>
      </c>
      <c r="C2457" s="645"/>
      <c r="D2457" s="422" t="s">
        <v>212</v>
      </c>
      <c r="E2457" s="423"/>
      <c r="F2457" s="424">
        <v>500</v>
      </c>
      <c r="G2457" s="425">
        <f>VLOOKUP(D2456,'[2]ENSAIOS DE ORÇAMENTO'!$C$3:$L$79,4,FALSE)</f>
        <v>0.50459999999999994</v>
      </c>
      <c r="H2457" s="649">
        <f>IF(F2457&lt;=30,(0.78*F2457+7.82)*G2457,((0.78*30+7.82)+0.78*(F2457-30))*G2457)</f>
        <v>200.73997199999999</v>
      </c>
      <c r="I2457" s="420"/>
      <c r="J2457" s="420"/>
      <c r="K2457" s="421">
        <f t="shared" si="646"/>
        <v>0</v>
      </c>
      <c r="L2457" s="647"/>
      <c r="M2457" s="723"/>
      <c r="N2457" s="576">
        <f t="shared" si="656"/>
        <v>0</v>
      </c>
      <c r="O2457" s="577">
        <f t="shared" si="649"/>
        <v>0</v>
      </c>
      <c r="P2457" s="578">
        <f t="shared" si="650"/>
        <v>0</v>
      </c>
      <c r="Q2457" s="765"/>
      <c r="R2457" s="723"/>
      <c r="S2457" s="723"/>
      <c r="T2457" s="577">
        <f t="shared" si="647"/>
        <v>0</v>
      </c>
      <c r="U2457" s="578">
        <f t="shared" si="648"/>
        <v>0</v>
      </c>
      <c r="V2457" s="579"/>
      <c r="W2457" s="566" t="str">
        <f>IF(U2456&gt;0,"xx",IF(P2456&gt;0,"xy",""))</f>
        <v/>
      </c>
      <c r="X2457" s="586" t="str">
        <f t="shared" si="642"/>
        <v/>
      </c>
      <c r="Y2457" s="586" t="str">
        <f t="shared" si="653"/>
        <v/>
      </c>
      <c r="Z2457" s="586" t="str">
        <f t="shared" si="640"/>
        <v/>
      </c>
    </row>
    <row r="2458" spans="1:26" ht="12" hidden="1" thickBot="1" x14ac:dyDescent="0.25">
      <c r="A2458" s="567" t="s">
        <v>168</v>
      </c>
      <c r="B2458" s="644" t="s">
        <v>168</v>
      </c>
      <c r="C2458" s="645"/>
      <c r="D2458" s="422" t="s">
        <v>248</v>
      </c>
      <c r="E2458" s="423"/>
      <c r="F2458" s="424">
        <v>180</v>
      </c>
      <c r="G2458" s="425">
        <f>VLOOKUP(D2456,'[2]ENSAIOS DE ORÇAMENTO'!$C$3:$L$79,5,FALSE)</f>
        <v>1.48915</v>
      </c>
      <c r="H2458" s="663">
        <f t="shared" ref="H2458:H2460" si="657">IF(F2458&lt;=30,(1.07*F2458+2.68)*G2458,((1.07*30+2.68)+1.07*(F2458-30))*G2458)</f>
        <v>290.80121200000002</v>
      </c>
      <c r="I2458" s="420"/>
      <c r="J2458" s="420"/>
      <c r="K2458" s="421">
        <f t="shared" si="646"/>
        <v>0</v>
      </c>
      <c r="L2458" s="647"/>
      <c r="M2458" s="723"/>
      <c r="N2458" s="576">
        <f t="shared" si="656"/>
        <v>0</v>
      </c>
      <c r="O2458" s="577">
        <f t="shared" si="649"/>
        <v>0</v>
      </c>
      <c r="P2458" s="578">
        <f t="shared" si="650"/>
        <v>0</v>
      </c>
      <c r="Q2458" s="765"/>
      <c r="R2458" s="723"/>
      <c r="S2458" s="723"/>
      <c r="T2458" s="577">
        <f t="shared" si="647"/>
        <v>0</v>
      </c>
      <c r="U2458" s="578">
        <f t="shared" si="648"/>
        <v>0</v>
      </c>
      <c r="V2458" s="579"/>
      <c r="W2458" s="566" t="str">
        <f>IF(U2456&gt;0,"xx",IF(P2456&gt;0,"xy",""))</f>
        <v/>
      </c>
      <c r="X2458" s="586" t="str">
        <f t="shared" si="642"/>
        <v/>
      </c>
      <c r="Y2458" s="586" t="str">
        <f t="shared" si="653"/>
        <v/>
      </c>
      <c r="Z2458" s="586" t="str">
        <f t="shared" si="640"/>
        <v/>
      </c>
    </row>
    <row r="2459" spans="1:26" ht="12" hidden="1" thickBot="1" x14ac:dyDescent="0.25">
      <c r="A2459" s="567" t="s">
        <v>168</v>
      </c>
      <c r="B2459" s="644" t="s">
        <v>168</v>
      </c>
      <c r="C2459" s="645"/>
      <c r="D2459" s="422" t="s">
        <v>252</v>
      </c>
      <c r="E2459" s="423"/>
      <c r="F2459" s="424">
        <v>20</v>
      </c>
      <c r="G2459" s="425">
        <f>VLOOKUP(D2456,'[2]ENSAIOS DE ORÇAMENTO'!$C$3:$L$79,6,FALSE)</f>
        <v>1.7704500000000001</v>
      </c>
      <c r="H2459" s="663">
        <f t="shared" si="657"/>
        <v>42.632436000000006</v>
      </c>
      <c r="I2459" s="420"/>
      <c r="J2459" s="420"/>
      <c r="K2459" s="421">
        <f t="shared" si="646"/>
        <v>0</v>
      </c>
      <c r="L2459" s="647"/>
      <c r="M2459" s="723"/>
      <c r="N2459" s="576">
        <f t="shared" si="656"/>
        <v>0</v>
      </c>
      <c r="O2459" s="577">
        <f t="shared" si="649"/>
        <v>0</v>
      </c>
      <c r="P2459" s="578">
        <f t="shared" si="650"/>
        <v>0</v>
      </c>
      <c r="Q2459" s="765"/>
      <c r="R2459" s="723"/>
      <c r="S2459" s="723"/>
      <c r="T2459" s="577">
        <f t="shared" si="647"/>
        <v>0</v>
      </c>
      <c r="U2459" s="578">
        <f t="shared" si="648"/>
        <v>0</v>
      </c>
      <c r="V2459" s="579"/>
      <c r="W2459" s="566" t="str">
        <f>IF(U2456&gt;0,"xx",IF(P2456&gt;0,"xy",""))</f>
        <v/>
      </c>
      <c r="X2459" s="586" t="str">
        <f t="shared" si="642"/>
        <v/>
      </c>
      <c r="Y2459" s="586" t="str">
        <f t="shared" si="653"/>
        <v/>
      </c>
      <c r="Z2459" s="586" t="str">
        <f t="shared" si="640"/>
        <v/>
      </c>
    </row>
    <row r="2460" spans="1:26" ht="12" hidden="1" thickBot="1" x14ac:dyDescent="0.25">
      <c r="A2460" s="567" t="s">
        <v>168</v>
      </c>
      <c r="B2460" s="644" t="s">
        <v>168</v>
      </c>
      <c r="C2460" s="645"/>
      <c r="D2460" s="422" t="s">
        <v>400</v>
      </c>
      <c r="E2460" s="423"/>
      <c r="F2460" s="424">
        <v>30</v>
      </c>
      <c r="G2460" s="425">
        <f>VLOOKUP(D2456,'[2]ENSAIOS DE ORÇAMENTO'!$C$3:$L$79,3,FALSE)</f>
        <v>0</v>
      </c>
      <c r="H2460" s="663">
        <f t="shared" si="657"/>
        <v>0</v>
      </c>
      <c r="I2460" s="420"/>
      <c r="J2460" s="420"/>
      <c r="K2460" s="421">
        <f t="shared" si="646"/>
        <v>0</v>
      </c>
      <c r="L2460" s="647"/>
      <c r="M2460" s="723"/>
      <c r="N2460" s="576">
        <f t="shared" si="656"/>
        <v>0</v>
      </c>
      <c r="O2460" s="577">
        <f t="shared" si="649"/>
        <v>0</v>
      </c>
      <c r="P2460" s="578">
        <f t="shared" si="650"/>
        <v>0</v>
      </c>
      <c r="Q2460" s="765"/>
      <c r="R2460" s="723"/>
      <c r="S2460" s="723"/>
      <c r="T2460" s="577">
        <f t="shared" si="647"/>
        <v>0</v>
      </c>
      <c r="U2460" s="578">
        <f t="shared" si="648"/>
        <v>0</v>
      </c>
      <c r="V2460" s="579"/>
      <c r="W2460" s="566" t="str">
        <f>IF(U2456&gt;0,"xx",IF(P2456&gt;0,"xy",""))</f>
        <v/>
      </c>
      <c r="X2460" s="586" t="str">
        <f t="shared" si="642"/>
        <v/>
      </c>
      <c r="Y2460" s="586" t="str">
        <f t="shared" si="653"/>
        <v/>
      </c>
      <c r="Z2460" s="586" t="str">
        <f t="shared" si="640"/>
        <v/>
      </c>
    </row>
    <row r="2461" spans="1:26" ht="12" hidden="1" thickBot="1" x14ac:dyDescent="0.25">
      <c r="A2461" s="567" t="s">
        <v>168</v>
      </c>
      <c r="B2461" s="644" t="s">
        <v>168</v>
      </c>
      <c r="C2461" s="645"/>
      <c r="D2461" s="422" t="s">
        <v>401</v>
      </c>
      <c r="E2461" s="423"/>
      <c r="F2461" s="424">
        <v>500</v>
      </c>
      <c r="G2461" s="425">
        <f>VLOOKUP(D2456,'[2]ENSAIOS DE ORÇAMENTO'!$C$3:$L$79,10,FALSE)</f>
        <v>0</v>
      </c>
      <c r="H2461" s="649">
        <f>IF(F2461&lt;=30,(0.78*F2461+7.82)*G2461,((0.78*30+7.82)+0.78*(F2461-30))*G2461)</f>
        <v>0</v>
      </c>
      <c r="I2461" s="420"/>
      <c r="J2461" s="420"/>
      <c r="K2461" s="421">
        <f t="shared" si="646"/>
        <v>0</v>
      </c>
      <c r="L2461" s="647"/>
      <c r="M2461" s="723"/>
      <c r="N2461" s="576">
        <f t="shared" si="656"/>
        <v>0</v>
      </c>
      <c r="O2461" s="577">
        <f t="shared" si="649"/>
        <v>0</v>
      </c>
      <c r="P2461" s="578">
        <f t="shared" si="650"/>
        <v>0</v>
      </c>
      <c r="Q2461" s="765"/>
      <c r="R2461" s="723"/>
      <c r="S2461" s="723"/>
      <c r="T2461" s="577">
        <f t="shared" si="647"/>
        <v>0</v>
      </c>
      <c r="U2461" s="578">
        <f t="shared" si="648"/>
        <v>0</v>
      </c>
      <c r="V2461" s="579"/>
      <c r="W2461" s="566" t="str">
        <f>IF(U2456&gt;0,"xx",IF(P2456&gt;0,"xy",""))</f>
        <v/>
      </c>
      <c r="X2461" s="586" t="str">
        <f t="shared" si="642"/>
        <v/>
      </c>
      <c r="Y2461" s="586" t="str">
        <f t="shared" si="653"/>
        <v/>
      </c>
      <c r="Z2461" s="586" t="str">
        <f t="shared" si="640"/>
        <v/>
      </c>
    </row>
    <row r="2462" spans="1:26" ht="12" hidden="1" thickBot="1" x14ac:dyDescent="0.25">
      <c r="A2462" s="567" t="s">
        <v>139</v>
      </c>
      <c r="B2462" s="644" t="s">
        <v>139</v>
      </c>
      <c r="C2462" s="645" t="s">
        <v>206</v>
      </c>
      <c r="D2462" s="422" t="s">
        <v>153</v>
      </c>
      <c r="E2462" s="423"/>
      <c r="F2462" s="424"/>
      <c r="G2462" s="425"/>
      <c r="H2462" s="651">
        <f>SUM(H2463:H2467)</f>
        <v>676.95186200000012</v>
      </c>
      <c r="I2462" s="420">
        <f>VLOOKUP(D2462,'[2]ENSAIOS DE ORÇAMENTO'!$C$3:$L$79,8,FALSE)</f>
        <v>1834.5810000000001</v>
      </c>
      <c r="J2462" s="420">
        <f>IF(ISBLANK(I2462),"",SUM(H2462:I2462))</f>
        <v>2511.532862</v>
      </c>
      <c r="K2462" s="421">
        <f t="shared" si="646"/>
        <v>2983.95</v>
      </c>
      <c r="L2462" s="647" t="s">
        <v>21</v>
      </c>
      <c r="M2462" s="576"/>
      <c r="N2462" s="576">
        <f t="shared" si="656"/>
        <v>0</v>
      </c>
      <c r="O2462" s="577">
        <f t="shared" si="649"/>
        <v>0</v>
      </c>
      <c r="P2462" s="578">
        <f t="shared" si="650"/>
        <v>0</v>
      </c>
      <c r="Q2462" s="765"/>
      <c r="R2462" s="576">
        <f>M2462</f>
        <v>0</v>
      </c>
      <c r="S2462" s="576">
        <f>N2462</f>
        <v>0</v>
      </c>
      <c r="T2462" s="577">
        <f t="shared" si="647"/>
        <v>0</v>
      </c>
      <c r="U2462" s="578">
        <f t="shared" si="648"/>
        <v>0</v>
      </c>
      <c r="V2462" s="579"/>
      <c r="W2462" s="566"/>
      <c r="X2462" s="586" t="str">
        <f t="shared" si="642"/>
        <v/>
      </c>
      <c r="Y2462" s="586" t="str">
        <f t="shared" si="653"/>
        <v/>
      </c>
      <c r="Z2462" s="586" t="str">
        <f t="shared" si="640"/>
        <v/>
      </c>
    </row>
    <row r="2463" spans="1:26" ht="12" hidden="1" thickBot="1" x14ac:dyDescent="0.25">
      <c r="A2463" s="567" t="s">
        <v>168</v>
      </c>
      <c r="B2463" s="644" t="s">
        <v>168</v>
      </c>
      <c r="C2463" s="645"/>
      <c r="D2463" s="422" t="s">
        <v>212</v>
      </c>
      <c r="E2463" s="423"/>
      <c r="F2463" s="424">
        <v>500</v>
      </c>
      <c r="G2463" s="425">
        <f>VLOOKUP(D2462,'[2]ENSAIOS DE ORÇAMENTO'!$C$3:$L$79,4,FALSE)</f>
        <v>0.6411</v>
      </c>
      <c r="H2463" s="649">
        <f>IF(F2463&lt;=30,(0.78*F2463+7.82)*G2463,((0.78*30+7.82)+0.78*(F2463-30))*G2463)</f>
        <v>255.04240200000004</v>
      </c>
      <c r="I2463" s="420"/>
      <c r="J2463" s="420"/>
      <c r="K2463" s="421">
        <f t="shared" si="646"/>
        <v>0</v>
      </c>
      <c r="L2463" s="647"/>
      <c r="M2463" s="723"/>
      <c r="N2463" s="576">
        <f t="shared" si="656"/>
        <v>0</v>
      </c>
      <c r="O2463" s="577">
        <f t="shared" si="649"/>
        <v>0</v>
      </c>
      <c r="P2463" s="578">
        <f t="shared" si="650"/>
        <v>0</v>
      </c>
      <c r="Q2463" s="765"/>
      <c r="R2463" s="723"/>
      <c r="S2463" s="723"/>
      <c r="T2463" s="577">
        <f t="shared" si="647"/>
        <v>0</v>
      </c>
      <c r="U2463" s="578">
        <f t="shared" si="648"/>
        <v>0</v>
      </c>
      <c r="V2463" s="579"/>
      <c r="W2463" s="566" t="str">
        <f>IF(U2462&gt;0,"xx",IF(P2462&gt;0,"xy",""))</f>
        <v/>
      </c>
      <c r="X2463" s="586" t="str">
        <f t="shared" si="642"/>
        <v/>
      </c>
      <c r="Y2463" s="586" t="str">
        <f t="shared" si="653"/>
        <v/>
      </c>
      <c r="Z2463" s="586" t="str">
        <f t="shared" si="640"/>
        <v/>
      </c>
    </row>
    <row r="2464" spans="1:26" ht="12" hidden="1" thickBot="1" x14ac:dyDescent="0.25">
      <c r="A2464" s="567" t="s">
        <v>168</v>
      </c>
      <c r="B2464" s="644" t="s">
        <v>168</v>
      </c>
      <c r="C2464" s="645"/>
      <c r="D2464" s="422" t="s">
        <v>248</v>
      </c>
      <c r="E2464" s="423"/>
      <c r="F2464" s="424">
        <v>180</v>
      </c>
      <c r="G2464" s="425">
        <f>VLOOKUP(D2462,'[2]ENSAIOS DE ORÇAMENTO'!$C$3:$L$79,5,FALSE)</f>
        <v>1.8840500000000002</v>
      </c>
      <c r="H2464" s="663">
        <f t="shared" ref="H2464:H2466" si="658">IF(F2464&lt;=30,(1.07*F2464+2.68)*G2464,((1.07*30+2.68)+1.07*(F2464-30))*G2464)</f>
        <v>367.91728400000005</v>
      </c>
      <c r="I2464" s="420"/>
      <c r="J2464" s="420"/>
      <c r="K2464" s="421">
        <f t="shared" si="646"/>
        <v>0</v>
      </c>
      <c r="L2464" s="647"/>
      <c r="M2464" s="723"/>
      <c r="N2464" s="576">
        <f t="shared" si="656"/>
        <v>0</v>
      </c>
      <c r="O2464" s="577">
        <f t="shared" si="649"/>
        <v>0</v>
      </c>
      <c r="P2464" s="578">
        <f t="shared" si="650"/>
        <v>0</v>
      </c>
      <c r="Q2464" s="765"/>
      <c r="R2464" s="723"/>
      <c r="S2464" s="723"/>
      <c r="T2464" s="577">
        <f t="shared" si="647"/>
        <v>0</v>
      </c>
      <c r="U2464" s="578">
        <f t="shared" si="648"/>
        <v>0</v>
      </c>
      <c r="V2464" s="579"/>
      <c r="W2464" s="566" t="str">
        <f>IF(U2462&gt;0,"xx",IF(P2462&gt;0,"xy",""))</f>
        <v/>
      </c>
      <c r="X2464" s="586" t="str">
        <f t="shared" si="642"/>
        <v/>
      </c>
      <c r="Y2464" s="586" t="str">
        <f t="shared" si="653"/>
        <v/>
      </c>
      <c r="Z2464" s="586" t="str">
        <f t="shared" si="640"/>
        <v/>
      </c>
    </row>
    <row r="2465" spans="1:26" ht="12" hidden="1" thickBot="1" x14ac:dyDescent="0.25">
      <c r="A2465" s="567" t="s">
        <v>168</v>
      </c>
      <c r="B2465" s="644" t="s">
        <v>168</v>
      </c>
      <c r="C2465" s="645"/>
      <c r="D2465" s="422" t="s">
        <v>252</v>
      </c>
      <c r="E2465" s="423"/>
      <c r="F2465" s="424">
        <v>20</v>
      </c>
      <c r="G2465" s="425">
        <f>VLOOKUP(D2462,'[2]ENSAIOS DE ORÇAMENTO'!$C$3:$L$79,6,FALSE)</f>
        <v>2.2422</v>
      </c>
      <c r="H2465" s="663">
        <f t="shared" si="658"/>
        <v>53.992176000000001</v>
      </c>
      <c r="I2465" s="420"/>
      <c r="J2465" s="420"/>
      <c r="K2465" s="421">
        <f t="shared" si="646"/>
        <v>0</v>
      </c>
      <c r="L2465" s="647"/>
      <c r="M2465" s="723"/>
      <c r="N2465" s="576">
        <f t="shared" si="656"/>
        <v>0</v>
      </c>
      <c r="O2465" s="577">
        <f t="shared" si="649"/>
        <v>0</v>
      </c>
      <c r="P2465" s="578">
        <f t="shared" si="650"/>
        <v>0</v>
      </c>
      <c r="Q2465" s="765"/>
      <c r="R2465" s="723"/>
      <c r="S2465" s="723"/>
      <c r="T2465" s="577">
        <f t="shared" si="647"/>
        <v>0</v>
      </c>
      <c r="U2465" s="578">
        <f t="shared" si="648"/>
        <v>0</v>
      </c>
      <c r="V2465" s="579"/>
      <c r="W2465" s="566" t="str">
        <f>IF(U2462&gt;0,"xx",IF(P2462&gt;0,"xy",""))</f>
        <v/>
      </c>
      <c r="X2465" s="586" t="str">
        <f t="shared" si="642"/>
        <v/>
      </c>
      <c r="Y2465" s="586" t="str">
        <f t="shared" si="653"/>
        <v/>
      </c>
      <c r="Z2465" s="586" t="str">
        <f t="shared" si="640"/>
        <v/>
      </c>
    </row>
    <row r="2466" spans="1:26" ht="12" hidden="1" thickBot="1" x14ac:dyDescent="0.25">
      <c r="A2466" s="567" t="s">
        <v>168</v>
      </c>
      <c r="B2466" s="644" t="s">
        <v>168</v>
      </c>
      <c r="C2466" s="645"/>
      <c r="D2466" s="422" t="s">
        <v>400</v>
      </c>
      <c r="E2466" s="423"/>
      <c r="F2466" s="424">
        <v>30</v>
      </c>
      <c r="G2466" s="425">
        <f>VLOOKUP(D2462,'[2]ENSAIOS DE ORÇAMENTO'!$C$3:$L$79,3,FALSE)</f>
        <v>0</v>
      </c>
      <c r="H2466" s="663">
        <f t="shared" si="658"/>
        <v>0</v>
      </c>
      <c r="I2466" s="420"/>
      <c r="J2466" s="420"/>
      <c r="K2466" s="421">
        <f t="shared" si="646"/>
        <v>0</v>
      </c>
      <c r="L2466" s="647"/>
      <c r="M2466" s="723"/>
      <c r="N2466" s="576">
        <f t="shared" si="656"/>
        <v>0</v>
      </c>
      <c r="O2466" s="577">
        <f t="shared" si="649"/>
        <v>0</v>
      </c>
      <c r="P2466" s="578">
        <f t="shared" si="650"/>
        <v>0</v>
      </c>
      <c r="Q2466" s="765"/>
      <c r="R2466" s="723"/>
      <c r="S2466" s="723"/>
      <c r="T2466" s="577">
        <f t="shared" si="647"/>
        <v>0</v>
      </c>
      <c r="U2466" s="578">
        <f t="shared" si="648"/>
        <v>0</v>
      </c>
      <c r="V2466" s="579"/>
      <c r="W2466" s="566" t="str">
        <f>IF(U2462&gt;0,"xx",IF(P2462&gt;0,"xy",""))</f>
        <v/>
      </c>
      <c r="X2466" s="586" t="str">
        <f t="shared" si="642"/>
        <v/>
      </c>
      <c r="Y2466" s="586" t="str">
        <f t="shared" si="653"/>
        <v/>
      </c>
      <c r="Z2466" s="586" t="str">
        <f t="shared" si="640"/>
        <v/>
      </c>
    </row>
    <row r="2467" spans="1:26" ht="12" hidden="1" thickBot="1" x14ac:dyDescent="0.25">
      <c r="A2467" s="567" t="s">
        <v>168</v>
      </c>
      <c r="B2467" s="644" t="s">
        <v>168</v>
      </c>
      <c r="C2467" s="645"/>
      <c r="D2467" s="422" t="s">
        <v>401</v>
      </c>
      <c r="E2467" s="423"/>
      <c r="F2467" s="424">
        <v>500</v>
      </c>
      <c r="G2467" s="425">
        <f>VLOOKUP(D2462,'[2]ENSAIOS DE ORÇAMENTO'!$C$3:$L$79,10,FALSE)</f>
        <v>0</v>
      </c>
      <c r="H2467" s="649">
        <f>IF(F2467&lt;=30,(0.78*F2467+7.82)*G2467,((0.78*30+7.82)+0.78*(F2467-30))*G2467)</f>
        <v>0</v>
      </c>
      <c r="I2467" s="420"/>
      <c r="J2467" s="420"/>
      <c r="K2467" s="421">
        <f t="shared" si="646"/>
        <v>0</v>
      </c>
      <c r="L2467" s="647"/>
      <c r="M2467" s="723"/>
      <c r="N2467" s="576">
        <f t="shared" si="656"/>
        <v>0</v>
      </c>
      <c r="O2467" s="577">
        <f t="shared" si="649"/>
        <v>0</v>
      </c>
      <c r="P2467" s="578">
        <f t="shared" si="650"/>
        <v>0</v>
      </c>
      <c r="Q2467" s="765"/>
      <c r="R2467" s="723"/>
      <c r="S2467" s="723"/>
      <c r="T2467" s="577">
        <f t="shared" si="647"/>
        <v>0</v>
      </c>
      <c r="U2467" s="578">
        <f t="shared" si="648"/>
        <v>0</v>
      </c>
      <c r="V2467" s="579"/>
      <c r="W2467" s="566" t="str">
        <f>IF(U2462&gt;0,"xx",IF(P2462&gt;0,"xy",""))</f>
        <v/>
      </c>
      <c r="X2467" s="586" t="str">
        <f t="shared" si="642"/>
        <v/>
      </c>
      <c r="Y2467" s="586" t="str">
        <f t="shared" si="653"/>
        <v/>
      </c>
      <c r="Z2467" s="586" t="str">
        <f t="shared" si="640"/>
        <v/>
      </c>
    </row>
    <row r="2468" spans="1:26" ht="12" hidden="1" thickBot="1" x14ac:dyDescent="0.25">
      <c r="A2468" s="567" t="s">
        <v>140</v>
      </c>
      <c r="B2468" s="644" t="s">
        <v>140</v>
      </c>
      <c r="C2468" s="645" t="s">
        <v>206</v>
      </c>
      <c r="D2468" s="422" t="s">
        <v>154</v>
      </c>
      <c r="E2468" s="423"/>
      <c r="F2468" s="424"/>
      <c r="G2468" s="425"/>
      <c r="H2468" s="651">
        <f>SUM(H2469:H2473)</f>
        <v>848.91637639999999</v>
      </c>
      <c r="I2468" s="420">
        <f>VLOOKUP(D2468,'[2]ENSAIOS DE ORÇAMENTO'!$C$3:$L$79,8,FALSE)</f>
        <v>2093.32645</v>
      </c>
      <c r="J2468" s="420">
        <f>IF(ISBLANK(I2468),"",SUM(H2468:I2468))</f>
        <v>2942.2428264</v>
      </c>
      <c r="K2468" s="421">
        <f t="shared" si="646"/>
        <v>3495.68</v>
      </c>
      <c r="L2468" s="647" t="s">
        <v>21</v>
      </c>
      <c r="M2468" s="576"/>
      <c r="N2468" s="576">
        <f t="shared" si="656"/>
        <v>0</v>
      </c>
      <c r="O2468" s="577">
        <f t="shared" si="649"/>
        <v>0</v>
      </c>
      <c r="P2468" s="578">
        <f t="shared" si="650"/>
        <v>0</v>
      </c>
      <c r="Q2468" s="765"/>
      <c r="R2468" s="576">
        <f>M2468</f>
        <v>0</v>
      </c>
      <c r="S2468" s="576">
        <f>N2468</f>
        <v>0</v>
      </c>
      <c r="T2468" s="577">
        <f t="shared" si="647"/>
        <v>0</v>
      </c>
      <c r="U2468" s="578">
        <f t="shared" si="648"/>
        <v>0</v>
      </c>
      <c r="V2468" s="579"/>
      <c r="W2468" s="566"/>
      <c r="X2468" s="586" t="str">
        <f t="shared" si="642"/>
        <v/>
      </c>
      <c r="Y2468" s="586" t="str">
        <f t="shared" si="653"/>
        <v/>
      </c>
      <c r="Z2468" s="586" t="str">
        <f t="shared" si="640"/>
        <v/>
      </c>
    </row>
    <row r="2469" spans="1:26" ht="12" hidden="1" thickBot="1" x14ac:dyDescent="0.25">
      <c r="A2469" s="567" t="s">
        <v>168</v>
      </c>
      <c r="B2469" s="644" t="s">
        <v>168</v>
      </c>
      <c r="C2469" s="645"/>
      <c r="D2469" s="422" t="s">
        <v>212</v>
      </c>
      <c r="E2469" s="423"/>
      <c r="F2469" s="424">
        <v>500</v>
      </c>
      <c r="G2469" s="425">
        <f>VLOOKUP(D2468,'[2]ENSAIOS DE ORÇAMENTO'!$C$3:$L$79,4,FALSE)</f>
        <v>0.80657999999999996</v>
      </c>
      <c r="H2469" s="649">
        <f>IF(F2469&lt;=30,(0.78*F2469+7.82)*G2469,((0.78*30+7.82)+0.78*(F2469-30))*G2469)</f>
        <v>320.87365560000001</v>
      </c>
      <c r="I2469" s="420"/>
      <c r="J2469" s="420"/>
      <c r="K2469" s="421">
        <f t="shared" si="646"/>
        <v>0</v>
      </c>
      <c r="L2469" s="647"/>
      <c r="M2469" s="723"/>
      <c r="N2469" s="576">
        <f t="shared" si="656"/>
        <v>0</v>
      </c>
      <c r="O2469" s="577">
        <f t="shared" si="649"/>
        <v>0</v>
      </c>
      <c r="P2469" s="578">
        <f t="shared" si="650"/>
        <v>0</v>
      </c>
      <c r="Q2469" s="765"/>
      <c r="R2469" s="723"/>
      <c r="S2469" s="723"/>
      <c r="T2469" s="577">
        <f t="shared" si="647"/>
        <v>0</v>
      </c>
      <c r="U2469" s="578">
        <f t="shared" si="648"/>
        <v>0</v>
      </c>
      <c r="V2469" s="579"/>
      <c r="W2469" s="566" t="str">
        <f>IF(U2468&gt;0,"xx",IF(P2468&gt;0,"xy",""))</f>
        <v/>
      </c>
      <c r="X2469" s="586" t="str">
        <f t="shared" si="642"/>
        <v/>
      </c>
      <c r="Y2469" s="586" t="str">
        <f t="shared" si="653"/>
        <v/>
      </c>
      <c r="Z2469" s="586" t="str">
        <f t="shared" si="640"/>
        <v/>
      </c>
    </row>
    <row r="2470" spans="1:26" ht="12" hidden="1" thickBot="1" x14ac:dyDescent="0.25">
      <c r="A2470" s="567" t="s">
        <v>168</v>
      </c>
      <c r="B2470" s="644" t="s">
        <v>168</v>
      </c>
      <c r="C2470" s="645"/>
      <c r="D2470" s="422" t="s">
        <v>248</v>
      </c>
      <c r="E2470" s="423"/>
      <c r="F2470" s="424">
        <v>180</v>
      </c>
      <c r="G2470" s="425">
        <f>VLOOKUP(D2468,'[2]ENSAIOS DE ORÇAMENTO'!$C$3:$L$79,5,FALSE)</f>
        <v>2.3575999999999997</v>
      </c>
      <c r="H2470" s="663">
        <f t="shared" ref="H2470:H2472" si="659">IF(F2470&lt;=30,(1.07*F2470+2.68)*G2470,((1.07*30+2.68)+1.07*(F2470-30))*G2470)</f>
        <v>460.39212799999996</v>
      </c>
      <c r="I2470" s="420"/>
      <c r="J2470" s="420"/>
      <c r="K2470" s="421">
        <f t="shared" si="646"/>
        <v>0</v>
      </c>
      <c r="L2470" s="647"/>
      <c r="M2470" s="723"/>
      <c r="N2470" s="576">
        <f t="shared" si="656"/>
        <v>0</v>
      </c>
      <c r="O2470" s="577">
        <f t="shared" si="649"/>
        <v>0</v>
      </c>
      <c r="P2470" s="578">
        <f t="shared" si="650"/>
        <v>0</v>
      </c>
      <c r="Q2470" s="765"/>
      <c r="R2470" s="723"/>
      <c r="S2470" s="723"/>
      <c r="T2470" s="577">
        <f t="shared" si="647"/>
        <v>0</v>
      </c>
      <c r="U2470" s="578">
        <f t="shared" si="648"/>
        <v>0</v>
      </c>
      <c r="V2470" s="579"/>
      <c r="W2470" s="566" t="str">
        <f>IF(U2468&gt;0,"xx",IF(P2468&gt;0,"xy",""))</f>
        <v/>
      </c>
      <c r="X2470" s="586" t="str">
        <f t="shared" si="642"/>
        <v/>
      </c>
      <c r="Y2470" s="586" t="str">
        <f t="shared" si="653"/>
        <v/>
      </c>
      <c r="Z2470" s="586" t="str">
        <f t="shared" si="640"/>
        <v/>
      </c>
    </row>
    <row r="2471" spans="1:26" ht="12" hidden="1" thickBot="1" x14ac:dyDescent="0.25">
      <c r="A2471" s="567" t="s">
        <v>168</v>
      </c>
      <c r="B2471" s="644" t="s">
        <v>168</v>
      </c>
      <c r="C2471" s="645"/>
      <c r="D2471" s="422" t="s">
        <v>252</v>
      </c>
      <c r="E2471" s="423"/>
      <c r="F2471" s="424">
        <v>20</v>
      </c>
      <c r="G2471" s="425">
        <f>VLOOKUP(D2468,'[2]ENSAIOS DE ORÇAMENTO'!$C$3:$L$79,6,FALSE)</f>
        <v>2.8094099999999997</v>
      </c>
      <c r="H2471" s="663">
        <f t="shared" si="659"/>
        <v>67.650592799999998</v>
      </c>
      <c r="I2471" s="420"/>
      <c r="J2471" s="420"/>
      <c r="K2471" s="421">
        <f t="shared" si="646"/>
        <v>0</v>
      </c>
      <c r="L2471" s="647"/>
      <c r="M2471" s="723"/>
      <c r="N2471" s="576">
        <f t="shared" si="656"/>
        <v>0</v>
      </c>
      <c r="O2471" s="577">
        <f t="shared" si="649"/>
        <v>0</v>
      </c>
      <c r="P2471" s="578">
        <f t="shared" si="650"/>
        <v>0</v>
      </c>
      <c r="Q2471" s="765"/>
      <c r="R2471" s="723"/>
      <c r="S2471" s="723"/>
      <c r="T2471" s="577">
        <f t="shared" si="647"/>
        <v>0</v>
      </c>
      <c r="U2471" s="578">
        <f t="shared" si="648"/>
        <v>0</v>
      </c>
      <c r="V2471" s="579"/>
      <c r="W2471" s="566" t="str">
        <f>IF(U2468&gt;0,"xx",IF(P2468&gt;0,"xy",""))</f>
        <v/>
      </c>
      <c r="X2471" s="586" t="str">
        <f t="shared" si="642"/>
        <v/>
      </c>
      <c r="Y2471" s="586" t="str">
        <f t="shared" si="653"/>
        <v/>
      </c>
      <c r="Z2471" s="586" t="str">
        <f t="shared" si="640"/>
        <v/>
      </c>
    </row>
    <row r="2472" spans="1:26" ht="12" hidden="1" thickBot="1" x14ac:dyDescent="0.25">
      <c r="A2472" s="567" t="s">
        <v>168</v>
      </c>
      <c r="B2472" s="644" t="s">
        <v>168</v>
      </c>
      <c r="C2472" s="645"/>
      <c r="D2472" s="422" t="s">
        <v>400</v>
      </c>
      <c r="E2472" s="423"/>
      <c r="F2472" s="424">
        <v>30</v>
      </c>
      <c r="G2472" s="425">
        <f>VLOOKUP(D2468,'[2]ENSAIOS DE ORÇAMENTO'!$C$3:$L$79,3,FALSE)</f>
        <v>0</v>
      </c>
      <c r="H2472" s="663">
        <f t="shared" si="659"/>
        <v>0</v>
      </c>
      <c r="I2472" s="420"/>
      <c r="J2472" s="420"/>
      <c r="K2472" s="421">
        <f t="shared" si="646"/>
        <v>0</v>
      </c>
      <c r="L2472" s="647"/>
      <c r="M2472" s="723"/>
      <c r="N2472" s="576">
        <f t="shared" si="656"/>
        <v>0</v>
      </c>
      <c r="O2472" s="577">
        <f t="shared" si="649"/>
        <v>0</v>
      </c>
      <c r="P2472" s="578">
        <f t="shared" si="650"/>
        <v>0</v>
      </c>
      <c r="Q2472" s="765"/>
      <c r="R2472" s="723"/>
      <c r="S2472" s="723"/>
      <c r="T2472" s="577">
        <f t="shared" si="647"/>
        <v>0</v>
      </c>
      <c r="U2472" s="578">
        <f t="shared" si="648"/>
        <v>0</v>
      </c>
      <c r="V2472" s="579"/>
      <c r="W2472" s="566" t="str">
        <f>IF(U2468&gt;0,"xx",IF(P2468&gt;0,"xy",""))</f>
        <v/>
      </c>
      <c r="X2472" s="586" t="str">
        <f t="shared" si="642"/>
        <v/>
      </c>
      <c r="Y2472" s="586" t="str">
        <f t="shared" si="653"/>
        <v/>
      </c>
      <c r="Z2472" s="586" t="str">
        <f t="shared" ref="Z2472:Z2535" si="660">IF(W2472="X","x",IF(U2472&gt;0,"x",""))</f>
        <v/>
      </c>
    </row>
    <row r="2473" spans="1:26" ht="12" hidden="1" thickBot="1" x14ac:dyDescent="0.25">
      <c r="A2473" s="567" t="s">
        <v>168</v>
      </c>
      <c r="B2473" s="644" t="s">
        <v>168</v>
      </c>
      <c r="C2473" s="645"/>
      <c r="D2473" s="422" t="s">
        <v>401</v>
      </c>
      <c r="E2473" s="423"/>
      <c r="F2473" s="424">
        <v>500</v>
      </c>
      <c r="G2473" s="425">
        <f>VLOOKUP(D2468,'[2]ENSAIOS DE ORÇAMENTO'!$C$3:$L$79,10,FALSE)</f>
        <v>0</v>
      </c>
      <c r="H2473" s="649">
        <f>IF(F2473&lt;=30,(0.78*F2473+7.82)*G2473,((0.78*30+7.82)+0.78*(F2473-30))*G2473)</f>
        <v>0</v>
      </c>
      <c r="I2473" s="420"/>
      <c r="J2473" s="420"/>
      <c r="K2473" s="421">
        <f t="shared" si="646"/>
        <v>0</v>
      </c>
      <c r="L2473" s="647"/>
      <c r="M2473" s="723"/>
      <c r="N2473" s="576">
        <f t="shared" si="656"/>
        <v>0</v>
      </c>
      <c r="O2473" s="577">
        <f t="shared" si="649"/>
        <v>0</v>
      </c>
      <c r="P2473" s="578">
        <f t="shared" si="650"/>
        <v>0</v>
      </c>
      <c r="Q2473" s="765"/>
      <c r="R2473" s="723"/>
      <c r="S2473" s="723"/>
      <c r="T2473" s="577">
        <f t="shared" si="647"/>
        <v>0</v>
      </c>
      <c r="U2473" s="578">
        <f t="shared" si="648"/>
        <v>0</v>
      </c>
      <c r="V2473" s="579"/>
      <c r="W2473" s="566" t="str">
        <f>IF(U2468&gt;0,"xx",IF(P2468&gt;0,"xy",""))</f>
        <v/>
      </c>
      <c r="X2473" s="586" t="str">
        <f t="shared" si="642"/>
        <v/>
      </c>
      <c r="Y2473" s="586" t="str">
        <f t="shared" si="653"/>
        <v/>
      </c>
      <c r="Z2473" s="586" t="str">
        <f t="shared" si="660"/>
        <v/>
      </c>
    </row>
    <row r="2474" spans="1:26" ht="12" hidden="1" thickBot="1" x14ac:dyDescent="0.25">
      <c r="A2474" s="567" t="s">
        <v>141</v>
      </c>
      <c r="B2474" s="644" t="s">
        <v>141</v>
      </c>
      <c r="C2474" s="645" t="s">
        <v>206</v>
      </c>
      <c r="D2474" s="422" t="s">
        <v>155</v>
      </c>
      <c r="E2474" s="423"/>
      <c r="F2474" s="424"/>
      <c r="G2474" s="425"/>
      <c r="H2474" s="651">
        <f>SUM(H2475:H2479)</f>
        <v>409.16457640000004</v>
      </c>
      <c r="I2474" s="420">
        <f>VLOOKUP(D2474,'[2]ENSAIOS DE ORÇAMENTO'!$C$3:$L$79,8,FALSE)</f>
        <v>3091.6861699999999</v>
      </c>
      <c r="J2474" s="420">
        <f>IF(ISBLANK(I2474),"",SUM(H2474:I2474))</f>
        <v>3500.8507463999999</v>
      </c>
      <c r="K2474" s="421">
        <f t="shared" si="646"/>
        <v>4159.3599999999997</v>
      </c>
      <c r="L2474" s="647" t="s">
        <v>21</v>
      </c>
      <c r="M2474" s="576"/>
      <c r="N2474" s="576">
        <f t="shared" si="656"/>
        <v>0</v>
      </c>
      <c r="O2474" s="577">
        <f t="shared" si="649"/>
        <v>0</v>
      </c>
      <c r="P2474" s="578">
        <f t="shared" si="650"/>
        <v>0</v>
      </c>
      <c r="Q2474" s="765"/>
      <c r="R2474" s="576">
        <f>M2474</f>
        <v>0</v>
      </c>
      <c r="S2474" s="576">
        <f>N2474</f>
        <v>0</v>
      </c>
      <c r="T2474" s="577">
        <f t="shared" si="647"/>
        <v>0</v>
      </c>
      <c r="U2474" s="578">
        <f t="shared" si="648"/>
        <v>0</v>
      </c>
      <c r="V2474" s="579"/>
      <c r="W2474" s="566"/>
      <c r="X2474" s="586" t="str">
        <f t="shared" si="642"/>
        <v/>
      </c>
      <c r="Y2474" s="586" t="str">
        <f t="shared" si="653"/>
        <v/>
      </c>
      <c r="Z2474" s="586" t="str">
        <f t="shared" si="660"/>
        <v/>
      </c>
    </row>
    <row r="2475" spans="1:26" ht="12" hidden="1" thickBot="1" x14ac:dyDescent="0.25">
      <c r="A2475" s="567" t="s">
        <v>168</v>
      </c>
      <c r="B2475" s="644" t="s">
        <v>168</v>
      </c>
      <c r="C2475" s="645"/>
      <c r="D2475" s="422" t="s">
        <v>212</v>
      </c>
      <c r="E2475" s="423"/>
      <c r="F2475" s="424">
        <v>500</v>
      </c>
      <c r="G2475" s="425">
        <f>VLOOKUP(D2474,'[2]ENSAIOS DE ORÇAMENTO'!$C$3:$L$79,4,FALSE)</f>
        <v>0.38250000000000006</v>
      </c>
      <c r="H2475" s="649">
        <f>IF(F2475&lt;=30,(0.78*F2475+7.82)*G2475,((0.78*30+7.82)+0.78*(F2475-30))*G2475)</f>
        <v>152.16615000000004</v>
      </c>
      <c r="I2475" s="420"/>
      <c r="J2475" s="420"/>
      <c r="K2475" s="421">
        <f t="shared" si="646"/>
        <v>0</v>
      </c>
      <c r="L2475" s="647"/>
      <c r="M2475" s="723"/>
      <c r="N2475" s="576">
        <f t="shared" si="656"/>
        <v>0</v>
      </c>
      <c r="O2475" s="577">
        <f t="shared" si="649"/>
        <v>0</v>
      </c>
      <c r="P2475" s="578">
        <f t="shared" si="650"/>
        <v>0</v>
      </c>
      <c r="Q2475" s="765"/>
      <c r="R2475" s="723"/>
      <c r="S2475" s="723"/>
      <c r="T2475" s="577">
        <f t="shared" si="647"/>
        <v>0</v>
      </c>
      <c r="U2475" s="578">
        <f t="shared" si="648"/>
        <v>0</v>
      </c>
      <c r="V2475" s="579"/>
      <c r="W2475" s="566" t="str">
        <f>IF(U2474&gt;0,"xx",IF(P2474&gt;0,"xy",""))</f>
        <v/>
      </c>
      <c r="X2475" s="586" t="str">
        <f t="shared" ref="X2475:X2538" si="661">IF(W2475="X","x",IF(W2475="xx","x",IF(W2475="xy","x",IF(W2475="y","x",IF(OR(P2475&gt;0,U2475&gt;0),"x","")))))</f>
        <v/>
      </c>
      <c r="Y2475" s="586" t="str">
        <f t="shared" si="653"/>
        <v/>
      </c>
      <c r="Z2475" s="586" t="str">
        <f t="shared" si="660"/>
        <v/>
      </c>
    </row>
    <row r="2476" spans="1:26" ht="12" hidden="1" thickBot="1" x14ac:dyDescent="0.25">
      <c r="A2476" s="567" t="s">
        <v>168</v>
      </c>
      <c r="B2476" s="644" t="s">
        <v>168</v>
      </c>
      <c r="C2476" s="645"/>
      <c r="D2476" s="422" t="s">
        <v>248</v>
      </c>
      <c r="E2476" s="423"/>
      <c r="F2476" s="424">
        <v>180</v>
      </c>
      <c r="G2476" s="425">
        <f>VLOOKUP(D2474,'[2]ENSAIOS DE ORÇAMENTO'!$C$3:$L$79,5,FALSE)</f>
        <v>1.1483800000000002</v>
      </c>
      <c r="H2476" s="663">
        <f t="shared" ref="H2476:H2478" si="662">IF(F2476&lt;=30,(1.07*F2476+2.68)*G2476,((1.07*30+2.68)+1.07*(F2476-30))*G2476)</f>
        <v>224.25564640000005</v>
      </c>
      <c r="I2476" s="420"/>
      <c r="J2476" s="420"/>
      <c r="K2476" s="421">
        <f t="shared" si="646"/>
        <v>0</v>
      </c>
      <c r="L2476" s="647"/>
      <c r="M2476" s="723"/>
      <c r="N2476" s="576">
        <f t="shared" si="656"/>
        <v>0</v>
      </c>
      <c r="O2476" s="577">
        <f t="shared" si="649"/>
        <v>0</v>
      </c>
      <c r="P2476" s="578">
        <f t="shared" si="650"/>
        <v>0</v>
      </c>
      <c r="Q2476" s="765"/>
      <c r="R2476" s="723"/>
      <c r="S2476" s="723"/>
      <c r="T2476" s="577">
        <f t="shared" si="647"/>
        <v>0</v>
      </c>
      <c r="U2476" s="578">
        <f t="shared" si="648"/>
        <v>0</v>
      </c>
      <c r="V2476" s="579"/>
      <c r="W2476" s="566" t="str">
        <f>IF(U2474&gt;0,"xx",IF(P2474&gt;0,"xy",""))</f>
        <v/>
      </c>
      <c r="X2476" s="586" t="str">
        <f t="shared" si="661"/>
        <v/>
      </c>
      <c r="Y2476" s="586" t="str">
        <f t="shared" si="653"/>
        <v/>
      </c>
      <c r="Z2476" s="586" t="str">
        <f t="shared" si="660"/>
        <v/>
      </c>
    </row>
    <row r="2477" spans="1:26" ht="12" hidden="1" thickBot="1" x14ac:dyDescent="0.25">
      <c r="A2477" s="567" t="s">
        <v>168</v>
      </c>
      <c r="B2477" s="644" t="s">
        <v>168</v>
      </c>
      <c r="C2477" s="645"/>
      <c r="D2477" s="422" t="s">
        <v>252</v>
      </c>
      <c r="E2477" s="423"/>
      <c r="F2477" s="424">
        <v>20</v>
      </c>
      <c r="G2477" s="425">
        <f>VLOOKUP(D2474,'[2]ENSAIOS DE ORÇAMENTO'!$C$3:$L$79,6,FALSE)</f>
        <v>1.35975</v>
      </c>
      <c r="H2477" s="663">
        <f t="shared" si="662"/>
        <v>32.742780000000003</v>
      </c>
      <c r="I2477" s="420"/>
      <c r="J2477" s="420"/>
      <c r="K2477" s="421">
        <f t="shared" si="646"/>
        <v>0</v>
      </c>
      <c r="L2477" s="647"/>
      <c r="M2477" s="723"/>
      <c r="N2477" s="576">
        <f t="shared" si="656"/>
        <v>0</v>
      </c>
      <c r="O2477" s="577">
        <f t="shared" si="649"/>
        <v>0</v>
      </c>
      <c r="P2477" s="578">
        <f t="shared" si="650"/>
        <v>0</v>
      </c>
      <c r="Q2477" s="765"/>
      <c r="R2477" s="723"/>
      <c r="S2477" s="723"/>
      <c r="T2477" s="577">
        <f t="shared" si="647"/>
        <v>0</v>
      </c>
      <c r="U2477" s="578">
        <f t="shared" si="648"/>
        <v>0</v>
      </c>
      <c r="V2477" s="579"/>
      <c r="W2477" s="566" t="str">
        <f>IF(U2474&gt;0,"xx",IF(P2474&gt;0,"xy",""))</f>
        <v/>
      </c>
      <c r="X2477" s="586" t="str">
        <f t="shared" si="661"/>
        <v/>
      </c>
      <c r="Y2477" s="586" t="str">
        <f t="shared" si="653"/>
        <v/>
      </c>
      <c r="Z2477" s="586" t="str">
        <f t="shared" si="660"/>
        <v/>
      </c>
    </row>
    <row r="2478" spans="1:26" ht="12" hidden="1" thickBot="1" x14ac:dyDescent="0.25">
      <c r="A2478" s="567" t="s">
        <v>168</v>
      </c>
      <c r="B2478" s="644" t="s">
        <v>168</v>
      </c>
      <c r="C2478" s="645"/>
      <c r="D2478" s="422" t="s">
        <v>400</v>
      </c>
      <c r="E2478" s="423"/>
      <c r="F2478" s="424">
        <v>30</v>
      </c>
      <c r="G2478" s="425">
        <f>VLOOKUP(D2474,'[2]ENSAIOS DE ORÇAMENTO'!$C$3:$L$79,3,FALSE)</f>
        <v>0</v>
      </c>
      <c r="H2478" s="663">
        <f t="shared" si="662"/>
        <v>0</v>
      </c>
      <c r="I2478" s="420"/>
      <c r="J2478" s="420"/>
      <c r="K2478" s="421">
        <f t="shared" si="646"/>
        <v>0</v>
      </c>
      <c r="L2478" s="647"/>
      <c r="M2478" s="723"/>
      <c r="N2478" s="576">
        <f t="shared" si="656"/>
        <v>0</v>
      </c>
      <c r="O2478" s="577">
        <f t="shared" si="649"/>
        <v>0</v>
      </c>
      <c r="P2478" s="578">
        <f t="shared" si="650"/>
        <v>0</v>
      </c>
      <c r="Q2478" s="765"/>
      <c r="R2478" s="723"/>
      <c r="S2478" s="723"/>
      <c r="T2478" s="577">
        <f t="shared" si="647"/>
        <v>0</v>
      </c>
      <c r="U2478" s="578">
        <f t="shared" si="648"/>
        <v>0</v>
      </c>
      <c r="V2478" s="579"/>
      <c r="W2478" s="566" t="str">
        <f>IF(U2474&gt;0,"xx",IF(P2474&gt;0,"xy",""))</f>
        <v/>
      </c>
      <c r="X2478" s="586" t="str">
        <f t="shared" si="661"/>
        <v/>
      </c>
      <c r="Y2478" s="586" t="str">
        <f t="shared" si="653"/>
        <v/>
      </c>
      <c r="Z2478" s="586" t="str">
        <f t="shared" si="660"/>
        <v/>
      </c>
    </row>
    <row r="2479" spans="1:26" ht="12" hidden="1" thickBot="1" x14ac:dyDescent="0.25">
      <c r="A2479" s="567" t="s">
        <v>168</v>
      </c>
      <c r="B2479" s="644" t="s">
        <v>168</v>
      </c>
      <c r="C2479" s="645"/>
      <c r="D2479" s="422" t="s">
        <v>401</v>
      </c>
      <c r="E2479" s="423"/>
      <c r="F2479" s="424">
        <v>500</v>
      </c>
      <c r="G2479" s="425">
        <f>VLOOKUP(D2474,'[2]ENSAIOS DE ORÇAMENTO'!$C$3:$L$79,10,FALSE)</f>
        <v>0</v>
      </c>
      <c r="H2479" s="649">
        <f>IF(F2479&lt;=30,(0.78*F2479+7.82)*G2479,((0.78*30+7.82)+0.78*(F2479-30))*G2479)</f>
        <v>0</v>
      </c>
      <c r="I2479" s="420"/>
      <c r="J2479" s="420"/>
      <c r="K2479" s="421">
        <f t="shared" si="646"/>
        <v>0</v>
      </c>
      <c r="L2479" s="647"/>
      <c r="M2479" s="723"/>
      <c r="N2479" s="576">
        <f t="shared" si="656"/>
        <v>0</v>
      </c>
      <c r="O2479" s="577">
        <f t="shared" si="649"/>
        <v>0</v>
      </c>
      <c r="P2479" s="578">
        <f t="shared" si="650"/>
        <v>0</v>
      </c>
      <c r="Q2479" s="765"/>
      <c r="R2479" s="723"/>
      <c r="S2479" s="723"/>
      <c r="T2479" s="577">
        <f t="shared" si="647"/>
        <v>0</v>
      </c>
      <c r="U2479" s="578">
        <f t="shared" si="648"/>
        <v>0</v>
      </c>
      <c r="V2479" s="579"/>
      <c r="W2479" s="566" t="str">
        <f>IF(U2474&gt;0,"xx",IF(P2474&gt;0,"xy",""))</f>
        <v/>
      </c>
      <c r="X2479" s="586" t="str">
        <f t="shared" si="661"/>
        <v/>
      </c>
      <c r="Y2479" s="586" t="str">
        <f t="shared" si="653"/>
        <v/>
      </c>
      <c r="Z2479" s="586" t="str">
        <f t="shared" si="660"/>
        <v/>
      </c>
    </row>
    <row r="2480" spans="1:26" ht="12" hidden="1" thickBot="1" x14ac:dyDescent="0.25">
      <c r="A2480" s="567" t="s">
        <v>142</v>
      </c>
      <c r="B2480" s="644" t="s">
        <v>142</v>
      </c>
      <c r="C2480" s="645" t="s">
        <v>206</v>
      </c>
      <c r="D2480" s="422" t="s">
        <v>156</v>
      </c>
      <c r="E2480" s="423"/>
      <c r="F2480" s="424"/>
      <c r="G2480" s="425"/>
      <c r="H2480" s="651">
        <f>SUM(H2481:H2485)</f>
        <v>459.84391840000006</v>
      </c>
      <c r="I2480" s="420">
        <f>VLOOKUP(D2480,'[2]ENSAIOS DE ORÇAMENTO'!$C$3:$L$79,8,FALSE)</f>
        <v>3420.3953949999996</v>
      </c>
      <c r="J2480" s="420">
        <f>IF(ISBLANK(I2480),"",SUM(H2480:I2480))</f>
        <v>3880.2393133999994</v>
      </c>
      <c r="K2480" s="421">
        <f t="shared" si="646"/>
        <v>4610.1099999999997</v>
      </c>
      <c r="L2480" s="647" t="s">
        <v>21</v>
      </c>
      <c r="M2480" s="576"/>
      <c r="N2480" s="576">
        <f t="shared" si="656"/>
        <v>0</v>
      </c>
      <c r="O2480" s="577">
        <f t="shared" si="649"/>
        <v>0</v>
      </c>
      <c r="P2480" s="578">
        <f t="shared" si="650"/>
        <v>0</v>
      </c>
      <c r="Q2480" s="765"/>
      <c r="R2480" s="576">
        <f>M2480</f>
        <v>0</v>
      </c>
      <c r="S2480" s="576">
        <f>N2480</f>
        <v>0</v>
      </c>
      <c r="T2480" s="577">
        <f t="shared" si="647"/>
        <v>0</v>
      </c>
      <c r="U2480" s="578">
        <f t="shared" si="648"/>
        <v>0</v>
      </c>
      <c r="V2480" s="579"/>
      <c r="W2480" s="566"/>
      <c r="X2480" s="586" t="str">
        <f t="shared" si="661"/>
        <v/>
      </c>
      <c r="Y2480" s="586" t="str">
        <f t="shared" si="653"/>
        <v/>
      </c>
      <c r="Z2480" s="586" t="str">
        <f t="shared" si="660"/>
        <v/>
      </c>
    </row>
    <row r="2481" spans="1:26" ht="12" hidden="1" thickBot="1" x14ac:dyDescent="0.25">
      <c r="A2481" s="567" t="s">
        <v>168</v>
      </c>
      <c r="B2481" s="644" t="s">
        <v>168</v>
      </c>
      <c r="C2481" s="645"/>
      <c r="D2481" s="422" t="s">
        <v>212</v>
      </c>
      <c r="E2481" s="423"/>
      <c r="F2481" s="424">
        <v>500</v>
      </c>
      <c r="G2481" s="425">
        <f>VLOOKUP(D2480,'[2]ENSAIOS DE ORÇAMENTO'!$C$3:$L$79,4,FALSE)</f>
        <v>0.43200000000000005</v>
      </c>
      <c r="H2481" s="649">
        <f>IF(F2481&lt;=30,(0.78*F2481+7.82)*G2481,((0.78*30+7.82)+0.78*(F2481-30))*G2481)</f>
        <v>171.85824000000005</v>
      </c>
      <c r="I2481" s="420"/>
      <c r="J2481" s="420"/>
      <c r="K2481" s="421">
        <f t="shared" si="646"/>
        <v>0</v>
      </c>
      <c r="L2481" s="647"/>
      <c r="M2481" s="723"/>
      <c r="N2481" s="576">
        <f t="shared" si="656"/>
        <v>0</v>
      </c>
      <c r="O2481" s="577">
        <f t="shared" si="649"/>
        <v>0</v>
      </c>
      <c r="P2481" s="578">
        <f t="shared" si="650"/>
        <v>0</v>
      </c>
      <c r="Q2481" s="765"/>
      <c r="R2481" s="723"/>
      <c r="S2481" s="723"/>
      <c r="T2481" s="577">
        <f t="shared" si="647"/>
        <v>0</v>
      </c>
      <c r="U2481" s="578">
        <f t="shared" si="648"/>
        <v>0</v>
      </c>
      <c r="V2481" s="579"/>
      <c r="W2481" s="566" t="str">
        <f>IF(U2480&gt;0,"xx",IF(P2480&gt;0,"xy",""))</f>
        <v/>
      </c>
      <c r="X2481" s="586" t="str">
        <f t="shared" si="661"/>
        <v/>
      </c>
      <c r="Y2481" s="586" t="str">
        <f t="shared" si="653"/>
        <v/>
      </c>
      <c r="Z2481" s="586" t="str">
        <f t="shared" si="660"/>
        <v/>
      </c>
    </row>
    <row r="2482" spans="1:26" ht="12" hidden="1" thickBot="1" x14ac:dyDescent="0.25">
      <c r="A2482" s="567" t="s">
        <v>168</v>
      </c>
      <c r="B2482" s="644" t="s">
        <v>168</v>
      </c>
      <c r="C2482" s="645"/>
      <c r="D2482" s="422" t="s">
        <v>248</v>
      </c>
      <c r="E2482" s="423"/>
      <c r="F2482" s="424">
        <v>180</v>
      </c>
      <c r="G2482" s="425">
        <f>VLOOKUP(D2480,'[2]ENSAIOS DE ORÇAMENTO'!$C$3:$L$79,5,FALSE)</f>
        <v>1.28653</v>
      </c>
      <c r="H2482" s="663">
        <f t="shared" ref="H2482:H2484" si="663">IF(F2482&lt;=30,(1.07*F2482+2.68)*G2482,((1.07*30+2.68)+1.07*(F2482-30))*G2482)</f>
        <v>251.2335784</v>
      </c>
      <c r="I2482" s="420"/>
      <c r="J2482" s="420"/>
      <c r="K2482" s="421">
        <f t="shared" si="646"/>
        <v>0</v>
      </c>
      <c r="L2482" s="647"/>
      <c r="M2482" s="723"/>
      <c r="N2482" s="576">
        <f t="shared" si="656"/>
        <v>0</v>
      </c>
      <c r="O2482" s="577">
        <f t="shared" si="649"/>
        <v>0</v>
      </c>
      <c r="P2482" s="578">
        <f t="shared" si="650"/>
        <v>0</v>
      </c>
      <c r="Q2482" s="765"/>
      <c r="R2482" s="723"/>
      <c r="S2482" s="723"/>
      <c r="T2482" s="577">
        <f t="shared" si="647"/>
        <v>0</v>
      </c>
      <c r="U2482" s="578">
        <f t="shared" si="648"/>
        <v>0</v>
      </c>
      <c r="V2482" s="579"/>
      <c r="W2482" s="566" t="str">
        <f>IF(U2480&gt;0,"xx",IF(P2480&gt;0,"xy",""))</f>
        <v/>
      </c>
      <c r="X2482" s="586" t="str">
        <f t="shared" si="661"/>
        <v/>
      </c>
      <c r="Y2482" s="586" t="str">
        <f t="shared" si="653"/>
        <v/>
      </c>
      <c r="Z2482" s="586" t="str">
        <f t="shared" si="660"/>
        <v/>
      </c>
    </row>
    <row r="2483" spans="1:26" ht="12" hidden="1" thickBot="1" x14ac:dyDescent="0.25">
      <c r="A2483" s="567" t="s">
        <v>168</v>
      </c>
      <c r="B2483" s="644" t="s">
        <v>168</v>
      </c>
      <c r="C2483" s="645"/>
      <c r="D2483" s="422" t="s">
        <v>252</v>
      </c>
      <c r="E2483" s="423"/>
      <c r="F2483" s="424">
        <v>20</v>
      </c>
      <c r="G2483" s="425">
        <f>VLOOKUP(D2480,'[2]ENSAIOS DE ORÇAMENTO'!$C$3:$L$79,6,FALSE)</f>
        <v>1.5262500000000001</v>
      </c>
      <c r="H2483" s="663">
        <f t="shared" si="663"/>
        <v>36.752100000000006</v>
      </c>
      <c r="I2483" s="420"/>
      <c r="J2483" s="420"/>
      <c r="K2483" s="421">
        <f t="shared" si="646"/>
        <v>0</v>
      </c>
      <c r="L2483" s="647"/>
      <c r="M2483" s="723"/>
      <c r="N2483" s="576">
        <f t="shared" si="656"/>
        <v>0</v>
      </c>
      <c r="O2483" s="577">
        <f t="shared" si="649"/>
        <v>0</v>
      </c>
      <c r="P2483" s="578">
        <f t="shared" si="650"/>
        <v>0</v>
      </c>
      <c r="Q2483" s="765"/>
      <c r="R2483" s="723"/>
      <c r="S2483" s="723"/>
      <c r="T2483" s="577">
        <f t="shared" si="647"/>
        <v>0</v>
      </c>
      <c r="U2483" s="578">
        <f t="shared" si="648"/>
        <v>0</v>
      </c>
      <c r="V2483" s="579"/>
      <c r="W2483" s="566" t="str">
        <f>IF(U2480&gt;0,"xx",IF(P2480&gt;0,"xy",""))</f>
        <v/>
      </c>
      <c r="X2483" s="586" t="str">
        <f t="shared" si="661"/>
        <v/>
      </c>
      <c r="Y2483" s="586" t="str">
        <f t="shared" si="653"/>
        <v/>
      </c>
      <c r="Z2483" s="586" t="str">
        <f t="shared" si="660"/>
        <v/>
      </c>
    </row>
    <row r="2484" spans="1:26" ht="12" hidden="1" thickBot="1" x14ac:dyDescent="0.25">
      <c r="A2484" s="567" t="s">
        <v>168</v>
      </c>
      <c r="B2484" s="644" t="s">
        <v>168</v>
      </c>
      <c r="C2484" s="645"/>
      <c r="D2484" s="422" t="s">
        <v>400</v>
      </c>
      <c r="E2484" s="423"/>
      <c r="F2484" s="424">
        <v>30</v>
      </c>
      <c r="G2484" s="425">
        <f>VLOOKUP(D2480,'[2]ENSAIOS DE ORÇAMENTO'!$C$3:$L$79,3,FALSE)</f>
        <v>0</v>
      </c>
      <c r="H2484" s="663">
        <f t="shared" si="663"/>
        <v>0</v>
      </c>
      <c r="I2484" s="420"/>
      <c r="J2484" s="420"/>
      <c r="K2484" s="421">
        <f t="shared" si="646"/>
        <v>0</v>
      </c>
      <c r="L2484" s="647"/>
      <c r="M2484" s="723"/>
      <c r="N2484" s="576">
        <f t="shared" si="656"/>
        <v>0</v>
      </c>
      <c r="O2484" s="577">
        <f t="shared" si="649"/>
        <v>0</v>
      </c>
      <c r="P2484" s="578">
        <f t="shared" si="650"/>
        <v>0</v>
      </c>
      <c r="Q2484" s="765"/>
      <c r="R2484" s="723"/>
      <c r="S2484" s="723"/>
      <c r="T2484" s="577">
        <f t="shared" si="647"/>
        <v>0</v>
      </c>
      <c r="U2484" s="578">
        <f t="shared" si="648"/>
        <v>0</v>
      </c>
      <c r="V2484" s="579"/>
      <c r="W2484" s="566" t="str">
        <f>IF(U2480&gt;0,"xx",IF(P2480&gt;0,"xy",""))</f>
        <v/>
      </c>
      <c r="X2484" s="586" t="str">
        <f t="shared" si="661"/>
        <v/>
      </c>
      <c r="Y2484" s="586" t="str">
        <f t="shared" si="653"/>
        <v/>
      </c>
      <c r="Z2484" s="586" t="str">
        <f t="shared" si="660"/>
        <v/>
      </c>
    </row>
    <row r="2485" spans="1:26" ht="12" hidden="1" thickBot="1" x14ac:dyDescent="0.25">
      <c r="A2485" s="567" t="s">
        <v>168</v>
      </c>
      <c r="B2485" s="644" t="s">
        <v>168</v>
      </c>
      <c r="C2485" s="645"/>
      <c r="D2485" s="422" t="s">
        <v>401</v>
      </c>
      <c r="E2485" s="423"/>
      <c r="F2485" s="424">
        <v>500</v>
      </c>
      <c r="G2485" s="425">
        <f>VLOOKUP(D2480,'[2]ENSAIOS DE ORÇAMENTO'!$C$3:$L$79,10,FALSE)</f>
        <v>0</v>
      </c>
      <c r="H2485" s="649">
        <f>IF(F2485&lt;=30,(0.78*F2485+7.82)*G2485,((0.78*30+7.82)+0.78*(F2485-30))*G2485)</f>
        <v>0</v>
      </c>
      <c r="I2485" s="420"/>
      <c r="J2485" s="420"/>
      <c r="K2485" s="421">
        <f t="shared" si="646"/>
        <v>0</v>
      </c>
      <c r="L2485" s="647"/>
      <c r="M2485" s="723"/>
      <c r="N2485" s="576">
        <f t="shared" si="656"/>
        <v>0</v>
      </c>
      <c r="O2485" s="577">
        <f t="shared" si="649"/>
        <v>0</v>
      </c>
      <c r="P2485" s="578">
        <f t="shared" si="650"/>
        <v>0</v>
      </c>
      <c r="Q2485" s="765"/>
      <c r="R2485" s="723"/>
      <c r="S2485" s="723"/>
      <c r="T2485" s="577">
        <f t="shared" si="647"/>
        <v>0</v>
      </c>
      <c r="U2485" s="578">
        <f t="shared" si="648"/>
        <v>0</v>
      </c>
      <c r="V2485" s="579"/>
      <c r="W2485" s="566" t="str">
        <f>IF(U2480&gt;0,"xx",IF(P2480&gt;0,"xy",""))</f>
        <v/>
      </c>
      <c r="X2485" s="586" t="str">
        <f t="shared" si="661"/>
        <v/>
      </c>
      <c r="Y2485" s="586" t="str">
        <f t="shared" si="653"/>
        <v/>
      </c>
      <c r="Z2485" s="586" t="str">
        <f t="shared" si="660"/>
        <v/>
      </c>
    </row>
    <row r="2486" spans="1:26" ht="12" hidden="1" thickBot="1" x14ac:dyDescent="0.25">
      <c r="A2486" s="567" t="s">
        <v>143</v>
      </c>
      <c r="B2486" s="644" t="s">
        <v>143</v>
      </c>
      <c r="C2486" s="645" t="s">
        <v>206</v>
      </c>
      <c r="D2486" s="422" t="s">
        <v>157</v>
      </c>
      <c r="E2486" s="423"/>
      <c r="F2486" s="424"/>
      <c r="G2486" s="425"/>
      <c r="H2486" s="651">
        <f>SUM(H2487:H2491)</f>
        <v>534.17362000000003</v>
      </c>
      <c r="I2486" s="420">
        <f>VLOOKUP(D2486,'[2]ENSAIOS DE ORÇAMENTO'!$C$3:$L$79,8,FALSE)</f>
        <v>3903.4829249999993</v>
      </c>
      <c r="J2486" s="420">
        <f>IF(ISBLANK(I2486),"",SUM(H2486:I2486))</f>
        <v>4437.6565449999998</v>
      </c>
      <c r="K2486" s="421">
        <f t="shared" si="646"/>
        <v>5272.38</v>
      </c>
      <c r="L2486" s="647" t="s">
        <v>21</v>
      </c>
      <c r="M2486" s="576"/>
      <c r="N2486" s="576">
        <f t="shared" si="656"/>
        <v>0</v>
      </c>
      <c r="O2486" s="577">
        <f t="shared" si="649"/>
        <v>0</v>
      </c>
      <c r="P2486" s="578">
        <f t="shared" si="650"/>
        <v>0</v>
      </c>
      <c r="Q2486" s="765"/>
      <c r="R2486" s="576">
        <f>M2486</f>
        <v>0</v>
      </c>
      <c r="S2486" s="576">
        <f>N2486</f>
        <v>0</v>
      </c>
      <c r="T2486" s="577">
        <f t="shared" si="647"/>
        <v>0</v>
      </c>
      <c r="U2486" s="578">
        <f t="shared" si="648"/>
        <v>0</v>
      </c>
      <c r="V2486" s="579"/>
      <c r="W2486" s="566"/>
      <c r="X2486" s="586" t="str">
        <f t="shared" si="661"/>
        <v/>
      </c>
      <c r="Y2486" s="586" t="str">
        <f t="shared" si="653"/>
        <v/>
      </c>
      <c r="Z2486" s="586" t="str">
        <f t="shared" si="660"/>
        <v/>
      </c>
    </row>
    <row r="2487" spans="1:26" ht="12" hidden="1" thickBot="1" x14ac:dyDescent="0.25">
      <c r="A2487" s="567" t="s">
        <v>168</v>
      </c>
      <c r="B2487" s="644" t="s">
        <v>168</v>
      </c>
      <c r="C2487" s="645"/>
      <c r="D2487" s="422" t="s">
        <v>212</v>
      </c>
      <c r="E2487" s="423"/>
      <c r="F2487" s="424">
        <v>500</v>
      </c>
      <c r="G2487" s="425">
        <f>VLOOKUP(D2486,'[2]ENSAIOS DE ORÇAMENTO'!$C$3:$L$79,4,FALSE)</f>
        <v>0.50459999999999994</v>
      </c>
      <c r="H2487" s="649">
        <f>IF(F2487&lt;=30,(0.78*F2487+7.82)*G2487,((0.78*30+7.82)+0.78*(F2487-30))*G2487)</f>
        <v>200.73997199999999</v>
      </c>
      <c r="I2487" s="420"/>
      <c r="J2487" s="420"/>
      <c r="K2487" s="421">
        <f t="shared" si="646"/>
        <v>0</v>
      </c>
      <c r="L2487" s="647"/>
      <c r="M2487" s="723"/>
      <c r="N2487" s="576">
        <f t="shared" si="656"/>
        <v>0</v>
      </c>
      <c r="O2487" s="577">
        <f t="shared" si="649"/>
        <v>0</v>
      </c>
      <c r="P2487" s="578">
        <f t="shared" si="650"/>
        <v>0</v>
      </c>
      <c r="Q2487" s="765"/>
      <c r="R2487" s="723"/>
      <c r="S2487" s="723"/>
      <c r="T2487" s="577">
        <f t="shared" si="647"/>
        <v>0</v>
      </c>
      <c r="U2487" s="578">
        <f t="shared" si="648"/>
        <v>0</v>
      </c>
      <c r="V2487" s="579"/>
      <c r="W2487" s="566" t="str">
        <f>IF(U2486&gt;0,"xx",IF(P2486&gt;0,"xy",""))</f>
        <v/>
      </c>
      <c r="X2487" s="586" t="str">
        <f t="shared" si="661"/>
        <v/>
      </c>
      <c r="Y2487" s="586" t="str">
        <f t="shared" si="653"/>
        <v/>
      </c>
      <c r="Z2487" s="586" t="str">
        <f t="shared" si="660"/>
        <v/>
      </c>
    </row>
    <row r="2488" spans="1:26" ht="12" hidden="1" thickBot="1" x14ac:dyDescent="0.25">
      <c r="A2488" s="567" t="s">
        <v>168</v>
      </c>
      <c r="B2488" s="644" t="s">
        <v>168</v>
      </c>
      <c r="C2488" s="645"/>
      <c r="D2488" s="422" t="s">
        <v>248</v>
      </c>
      <c r="E2488" s="423"/>
      <c r="F2488" s="424">
        <v>180</v>
      </c>
      <c r="G2488" s="425">
        <f>VLOOKUP(D2486,'[2]ENSAIOS DE ORÇAMENTO'!$C$3:$L$79,5,FALSE)</f>
        <v>1.48915</v>
      </c>
      <c r="H2488" s="663">
        <f t="shared" ref="H2488:H2490" si="664">IF(F2488&lt;=30,(1.07*F2488+2.68)*G2488,((1.07*30+2.68)+1.07*(F2488-30))*G2488)</f>
        <v>290.80121200000002</v>
      </c>
      <c r="I2488" s="420"/>
      <c r="J2488" s="420"/>
      <c r="K2488" s="421">
        <f t="shared" si="646"/>
        <v>0</v>
      </c>
      <c r="L2488" s="647"/>
      <c r="M2488" s="723"/>
      <c r="N2488" s="576">
        <f t="shared" si="656"/>
        <v>0</v>
      </c>
      <c r="O2488" s="577">
        <f t="shared" si="649"/>
        <v>0</v>
      </c>
      <c r="P2488" s="578">
        <f t="shared" si="650"/>
        <v>0</v>
      </c>
      <c r="Q2488" s="765"/>
      <c r="R2488" s="723"/>
      <c r="S2488" s="723"/>
      <c r="T2488" s="577">
        <f t="shared" si="647"/>
        <v>0</v>
      </c>
      <c r="U2488" s="578">
        <f t="shared" si="648"/>
        <v>0</v>
      </c>
      <c r="V2488" s="579"/>
      <c r="W2488" s="566" t="str">
        <f>IF(U2486&gt;0,"xx",IF(P2486&gt;0,"xy",""))</f>
        <v/>
      </c>
      <c r="X2488" s="586" t="str">
        <f t="shared" si="661"/>
        <v/>
      </c>
      <c r="Y2488" s="586" t="str">
        <f t="shared" si="653"/>
        <v/>
      </c>
      <c r="Z2488" s="586" t="str">
        <f t="shared" si="660"/>
        <v/>
      </c>
    </row>
    <row r="2489" spans="1:26" ht="12" hidden="1" thickBot="1" x14ac:dyDescent="0.25">
      <c r="A2489" s="567" t="s">
        <v>168</v>
      </c>
      <c r="B2489" s="644" t="s">
        <v>168</v>
      </c>
      <c r="C2489" s="645"/>
      <c r="D2489" s="422" t="s">
        <v>252</v>
      </c>
      <c r="E2489" s="423"/>
      <c r="F2489" s="424">
        <v>20</v>
      </c>
      <c r="G2489" s="425">
        <f>VLOOKUP(D2486,'[2]ENSAIOS DE ORÇAMENTO'!$C$3:$L$79,6,FALSE)</f>
        <v>1.7704500000000001</v>
      </c>
      <c r="H2489" s="663">
        <f t="shared" si="664"/>
        <v>42.632436000000006</v>
      </c>
      <c r="I2489" s="420"/>
      <c r="J2489" s="420"/>
      <c r="K2489" s="421">
        <f t="shared" si="646"/>
        <v>0</v>
      </c>
      <c r="L2489" s="647"/>
      <c r="M2489" s="723"/>
      <c r="N2489" s="576">
        <f t="shared" si="656"/>
        <v>0</v>
      </c>
      <c r="O2489" s="577">
        <f t="shared" si="649"/>
        <v>0</v>
      </c>
      <c r="P2489" s="578">
        <f t="shared" si="650"/>
        <v>0</v>
      </c>
      <c r="Q2489" s="765"/>
      <c r="R2489" s="723"/>
      <c r="S2489" s="723"/>
      <c r="T2489" s="577">
        <f t="shared" si="647"/>
        <v>0</v>
      </c>
      <c r="U2489" s="578">
        <f t="shared" si="648"/>
        <v>0</v>
      </c>
      <c r="V2489" s="579"/>
      <c r="W2489" s="566" t="str">
        <f>IF(U2486&gt;0,"xx",IF(P2486&gt;0,"xy",""))</f>
        <v/>
      </c>
      <c r="X2489" s="586" t="str">
        <f t="shared" si="661"/>
        <v/>
      </c>
      <c r="Y2489" s="586" t="str">
        <f t="shared" si="653"/>
        <v/>
      </c>
      <c r="Z2489" s="586" t="str">
        <f t="shared" si="660"/>
        <v/>
      </c>
    </row>
    <row r="2490" spans="1:26" ht="12" hidden="1" thickBot="1" x14ac:dyDescent="0.25">
      <c r="A2490" s="567" t="s">
        <v>168</v>
      </c>
      <c r="B2490" s="644" t="s">
        <v>168</v>
      </c>
      <c r="C2490" s="645"/>
      <c r="D2490" s="422" t="s">
        <v>400</v>
      </c>
      <c r="E2490" s="423"/>
      <c r="F2490" s="424">
        <v>30</v>
      </c>
      <c r="G2490" s="425">
        <f>VLOOKUP(D2486,'[2]ENSAIOS DE ORÇAMENTO'!$C$3:$L$79,3,FALSE)</f>
        <v>0</v>
      </c>
      <c r="H2490" s="663">
        <f t="shared" si="664"/>
        <v>0</v>
      </c>
      <c r="I2490" s="420"/>
      <c r="J2490" s="420"/>
      <c r="K2490" s="421">
        <f t="shared" si="646"/>
        <v>0</v>
      </c>
      <c r="L2490" s="647"/>
      <c r="M2490" s="723"/>
      <c r="N2490" s="576">
        <f t="shared" si="656"/>
        <v>0</v>
      </c>
      <c r="O2490" s="577">
        <f t="shared" si="649"/>
        <v>0</v>
      </c>
      <c r="P2490" s="578">
        <f t="shared" si="650"/>
        <v>0</v>
      </c>
      <c r="Q2490" s="765"/>
      <c r="R2490" s="723"/>
      <c r="S2490" s="723"/>
      <c r="T2490" s="577">
        <f t="shared" si="647"/>
        <v>0</v>
      </c>
      <c r="U2490" s="578">
        <f t="shared" si="648"/>
        <v>0</v>
      </c>
      <c r="V2490" s="579"/>
      <c r="W2490" s="566" t="str">
        <f>IF(U2486&gt;0,"xx",IF(P2486&gt;0,"xy",""))</f>
        <v/>
      </c>
      <c r="X2490" s="586" t="str">
        <f t="shared" si="661"/>
        <v/>
      </c>
      <c r="Y2490" s="586" t="str">
        <f t="shared" si="653"/>
        <v/>
      </c>
      <c r="Z2490" s="586" t="str">
        <f t="shared" si="660"/>
        <v/>
      </c>
    </row>
    <row r="2491" spans="1:26" ht="12" hidden="1" thickBot="1" x14ac:dyDescent="0.25">
      <c r="A2491" s="567" t="s">
        <v>168</v>
      </c>
      <c r="B2491" s="644" t="s">
        <v>168</v>
      </c>
      <c r="C2491" s="645"/>
      <c r="D2491" s="422" t="s">
        <v>401</v>
      </c>
      <c r="E2491" s="423"/>
      <c r="F2491" s="424">
        <v>500</v>
      </c>
      <c r="G2491" s="425">
        <f>VLOOKUP(D2486,'[2]ENSAIOS DE ORÇAMENTO'!$C$3:$L$79,10,FALSE)</f>
        <v>0</v>
      </c>
      <c r="H2491" s="649">
        <f>IF(F2491&lt;=30,(0.78*F2491+7.82)*G2491,((0.78*30+7.82)+0.78*(F2491-30))*G2491)</f>
        <v>0</v>
      </c>
      <c r="I2491" s="420"/>
      <c r="J2491" s="420"/>
      <c r="K2491" s="421">
        <f t="shared" si="646"/>
        <v>0</v>
      </c>
      <c r="L2491" s="647"/>
      <c r="M2491" s="723"/>
      <c r="N2491" s="576">
        <f t="shared" si="656"/>
        <v>0</v>
      </c>
      <c r="O2491" s="577">
        <f t="shared" si="649"/>
        <v>0</v>
      </c>
      <c r="P2491" s="578">
        <f t="shared" si="650"/>
        <v>0</v>
      </c>
      <c r="Q2491" s="765"/>
      <c r="R2491" s="723"/>
      <c r="S2491" s="723"/>
      <c r="T2491" s="577">
        <f t="shared" si="647"/>
        <v>0</v>
      </c>
      <c r="U2491" s="578">
        <f t="shared" si="648"/>
        <v>0</v>
      </c>
      <c r="V2491" s="579"/>
      <c r="W2491" s="566" t="str">
        <f>IF(U2486&gt;0,"xx",IF(P2486&gt;0,"xy",""))</f>
        <v/>
      </c>
      <c r="X2491" s="586" t="str">
        <f t="shared" si="661"/>
        <v/>
      </c>
      <c r="Y2491" s="586" t="str">
        <f t="shared" si="653"/>
        <v/>
      </c>
      <c r="Z2491" s="586" t="str">
        <f t="shared" si="660"/>
        <v/>
      </c>
    </row>
    <row r="2492" spans="1:26" ht="12" hidden="1" thickBot="1" x14ac:dyDescent="0.25">
      <c r="A2492" s="567" t="s">
        <v>47</v>
      </c>
      <c r="B2492" s="644" t="s">
        <v>47</v>
      </c>
      <c r="C2492" s="645" t="s">
        <v>206</v>
      </c>
      <c r="D2492" s="422" t="s">
        <v>158</v>
      </c>
      <c r="E2492" s="423"/>
      <c r="F2492" s="424"/>
      <c r="G2492" s="425"/>
      <c r="H2492" s="651">
        <f>SUM(H2493:H2497)</f>
        <v>676.95186200000012</v>
      </c>
      <c r="I2492" s="420">
        <f>VLOOKUP(D2492,'[2]ENSAIOS DE ORÇAMENTO'!$C$3:$L$79,8,FALSE)</f>
        <v>4735.3472749999992</v>
      </c>
      <c r="J2492" s="420">
        <f>IF(ISBLANK(I2492),"",SUM(H2492:I2492))</f>
        <v>5412.2991369999991</v>
      </c>
      <c r="K2492" s="421">
        <f t="shared" si="646"/>
        <v>6430.35</v>
      </c>
      <c r="L2492" s="647" t="s">
        <v>21</v>
      </c>
      <c r="M2492" s="576"/>
      <c r="N2492" s="576">
        <f t="shared" si="656"/>
        <v>0</v>
      </c>
      <c r="O2492" s="577">
        <f t="shared" si="649"/>
        <v>0</v>
      </c>
      <c r="P2492" s="578">
        <f t="shared" si="650"/>
        <v>0</v>
      </c>
      <c r="Q2492" s="765"/>
      <c r="R2492" s="576">
        <f>M2492</f>
        <v>0</v>
      </c>
      <c r="S2492" s="576">
        <f>N2492</f>
        <v>0</v>
      </c>
      <c r="T2492" s="577">
        <f t="shared" si="647"/>
        <v>0</v>
      </c>
      <c r="U2492" s="578">
        <f t="shared" si="648"/>
        <v>0</v>
      </c>
      <c r="V2492" s="579"/>
      <c r="W2492" s="566"/>
      <c r="X2492" s="586" t="str">
        <f t="shared" si="661"/>
        <v/>
      </c>
      <c r="Y2492" s="586" t="str">
        <f t="shared" si="653"/>
        <v/>
      </c>
      <c r="Z2492" s="586" t="str">
        <f t="shared" si="660"/>
        <v/>
      </c>
    </row>
    <row r="2493" spans="1:26" ht="12" hidden="1" thickBot="1" x14ac:dyDescent="0.25">
      <c r="A2493" s="567" t="s">
        <v>168</v>
      </c>
      <c r="B2493" s="644" t="s">
        <v>168</v>
      </c>
      <c r="C2493" s="645"/>
      <c r="D2493" s="422" t="s">
        <v>212</v>
      </c>
      <c r="E2493" s="423"/>
      <c r="F2493" s="424">
        <v>500</v>
      </c>
      <c r="G2493" s="425">
        <f>VLOOKUP(D2492,'[2]ENSAIOS DE ORÇAMENTO'!$C$3:$L$79,4,FALSE)</f>
        <v>0.6411</v>
      </c>
      <c r="H2493" s="649">
        <f>IF(F2493&lt;=30,(0.78*F2493+7.82)*G2493,((0.78*30+7.82)+0.78*(F2493-30))*G2493)</f>
        <v>255.04240200000004</v>
      </c>
      <c r="I2493" s="420"/>
      <c r="J2493" s="420"/>
      <c r="K2493" s="421">
        <f t="shared" si="646"/>
        <v>0</v>
      </c>
      <c r="L2493" s="647"/>
      <c r="M2493" s="723"/>
      <c r="N2493" s="576">
        <f t="shared" si="656"/>
        <v>0</v>
      </c>
      <c r="O2493" s="577">
        <f t="shared" si="649"/>
        <v>0</v>
      </c>
      <c r="P2493" s="578">
        <f t="shared" si="650"/>
        <v>0</v>
      </c>
      <c r="Q2493" s="765"/>
      <c r="R2493" s="723"/>
      <c r="S2493" s="723"/>
      <c r="T2493" s="577">
        <f t="shared" si="647"/>
        <v>0</v>
      </c>
      <c r="U2493" s="578">
        <f t="shared" si="648"/>
        <v>0</v>
      </c>
      <c r="V2493" s="579"/>
      <c r="W2493" s="566" t="str">
        <f>IF(U2492&gt;0,"xx",IF(P2492&gt;0,"xy",""))</f>
        <v/>
      </c>
      <c r="X2493" s="586" t="str">
        <f t="shared" si="661"/>
        <v/>
      </c>
      <c r="Y2493" s="586" t="str">
        <f t="shared" si="653"/>
        <v/>
      </c>
      <c r="Z2493" s="586" t="str">
        <f t="shared" si="660"/>
        <v/>
      </c>
    </row>
    <row r="2494" spans="1:26" ht="12" hidden="1" thickBot="1" x14ac:dyDescent="0.25">
      <c r="A2494" s="567" t="s">
        <v>168</v>
      </c>
      <c r="B2494" s="644" t="s">
        <v>168</v>
      </c>
      <c r="C2494" s="645"/>
      <c r="D2494" s="422" t="s">
        <v>248</v>
      </c>
      <c r="E2494" s="423"/>
      <c r="F2494" s="424">
        <v>180</v>
      </c>
      <c r="G2494" s="425">
        <f>VLOOKUP(D2492,'[2]ENSAIOS DE ORÇAMENTO'!$C$3:$L$79,5,FALSE)</f>
        <v>1.8840500000000002</v>
      </c>
      <c r="H2494" s="663">
        <f t="shared" ref="H2494:H2496" si="665">IF(F2494&lt;=30,(1.07*F2494+2.68)*G2494,((1.07*30+2.68)+1.07*(F2494-30))*G2494)</f>
        <v>367.91728400000005</v>
      </c>
      <c r="I2494" s="420"/>
      <c r="J2494" s="420"/>
      <c r="K2494" s="421">
        <f t="shared" si="646"/>
        <v>0</v>
      </c>
      <c r="L2494" s="647"/>
      <c r="M2494" s="723"/>
      <c r="N2494" s="576">
        <f t="shared" si="656"/>
        <v>0</v>
      </c>
      <c r="O2494" s="577">
        <f t="shared" si="649"/>
        <v>0</v>
      </c>
      <c r="P2494" s="578">
        <f t="shared" si="650"/>
        <v>0</v>
      </c>
      <c r="Q2494" s="765"/>
      <c r="R2494" s="723"/>
      <c r="S2494" s="723"/>
      <c r="T2494" s="577">
        <f t="shared" si="647"/>
        <v>0</v>
      </c>
      <c r="U2494" s="578">
        <f t="shared" si="648"/>
        <v>0</v>
      </c>
      <c r="V2494" s="579"/>
      <c r="W2494" s="566" t="str">
        <f>IF(U2492&gt;0,"xx",IF(P2492&gt;0,"xy",""))</f>
        <v/>
      </c>
      <c r="X2494" s="586" t="str">
        <f t="shared" si="661"/>
        <v/>
      </c>
      <c r="Y2494" s="586" t="str">
        <f t="shared" si="653"/>
        <v/>
      </c>
      <c r="Z2494" s="586" t="str">
        <f t="shared" si="660"/>
        <v/>
      </c>
    </row>
    <row r="2495" spans="1:26" ht="12" hidden="1" thickBot="1" x14ac:dyDescent="0.25">
      <c r="A2495" s="567" t="s">
        <v>168</v>
      </c>
      <c r="B2495" s="644" t="s">
        <v>168</v>
      </c>
      <c r="C2495" s="645"/>
      <c r="D2495" s="422" t="s">
        <v>252</v>
      </c>
      <c r="E2495" s="423"/>
      <c r="F2495" s="424">
        <v>20</v>
      </c>
      <c r="G2495" s="425">
        <f>VLOOKUP(D2492,'[2]ENSAIOS DE ORÇAMENTO'!$C$3:$L$79,6,FALSE)</f>
        <v>2.2422</v>
      </c>
      <c r="H2495" s="663">
        <f t="shared" si="665"/>
        <v>53.992176000000001</v>
      </c>
      <c r="I2495" s="420"/>
      <c r="J2495" s="420"/>
      <c r="K2495" s="421">
        <f t="shared" si="646"/>
        <v>0</v>
      </c>
      <c r="L2495" s="647"/>
      <c r="M2495" s="723"/>
      <c r="N2495" s="576">
        <f t="shared" si="656"/>
        <v>0</v>
      </c>
      <c r="O2495" s="577">
        <f t="shared" si="649"/>
        <v>0</v>
      </c>
      <c r="P2495" s="578">
        <f t="shared" si="650"/>
        <v>0</v>
      </c>
      <c r="Q2495" s="765"/>
      <c r="R2495" s="723"/>
      <c r="S2495" s="723"/>
      <c r="T2495" s="577">
        <f t="shared" si="647"/>
        <v>0</v>
      </c>
      <c r="U2495" s="578">
        <f t="shared" si="648"/>
        <v>0</v>
      </c>
      <c r="V2495" s="579"/>
      <c r="W2495" s="566" t="str">
        <f>IF(U2492&gt;0,"xx",IF(P2492&gt;0,"xy",""))</f>
        <v/>
      </c>
      <c r="X2495" s="586" t="str">
        <f t="shared" si="661"/>
        <v/>
      </c>
      <c r="Y2495" s="586" t="str">
        <f t="shared" si="653"/>
        <v/>
      </c>
      <c r="Z2495" s="586" t="str">
        <f t="shared" si="660"/>
        <v/>
      </c>
    </row>
    <row r="2496" spans="1:26" ht="12" hidden="1" thickBot="1" x14ac:dyDescent="0.25">
      <c r="A2496" s="567" t="s">
        <v>168</v>
      </c>
      <c r="B2496" s="644" t="s">
        <v>168</v>
      </c>
      <c r="C2496" s="645"/>
      <c r="D2496" s="422" t="s">
        <v>400</v>
      </c>
      <c r="E2496" s="423"/>
      <c r="F2496" s="424">
        <v>30</v>
      </c>
      <c r="G2496" s="425">
        <f>VLOOKUP(D2492,'[2]ENSAIOS DE ORÇAMENTO'!$C$3:$L$79,3,FALSE)</f>
        <v>0</v>
      </c>
      <c r="H2496" s="663">
        <f t="shared" si="665"/>
        <v>0</v>
      </c>
      <c r="I2496" s="420"/>
      <c r="J2496" s="420"/>
      <c r="K2496" s="421">
        <f t="shared" ref="K2496:K2559" si="666">IF(ISBLANK(I2496),0,ROUND(J2496*(1+$F$10)*(1+$F$11*E2496),2))</f>
        <v>0</v>
      </c>
      <c r="L2496" s="647"/>
      <c r="M2496" s="723"/>
      <c r="N2496" s="576">
        <f t="shared" si="656"/>
        <v>0</v>
      </c>
      <c r="O2496" s="577">
        <f t="shared" si="649"/>
        <v>0</v>
      </c>
      <c r="P2496" s="578">
        <f t="shared" si="650"/>
        <v>0</v>
      </c>
      <c r="Q2496" s="765"/>
      <c r="R2496" s="723"/>
      <c r="S2496" s="723"/>
      <c r="T2496" s="577">
        <f t="shared" ref="T2496:T2559" si="667">IF(ISBLANK(R2496),0,ROUND(K2496*R2496,2))</f>
        <v>0</v>
      </c>
      <c r="U2496" s="578">
        <f t="shared" ref="U2496:U2559" si="668">IF(ISBLANK(R2496),0,ROUND(R2496*S2496,2))</f>
        <v>0</v>
      </c>
      <c r="V2496" s="579"/>
      <c r="W2496" s="566" t="str">
        <f>IF(U2492&gt;0,"xx",IF(P2492&gt;0,"xy",""))</f>
        <v/>
      </c>
      <c r="X2496" s="586" t="str">
        <f t="shared" si="661"/>
        <v/>
      </c>
      <c r="Y2496" s="586" t="str">
        <f t="shared" si="653"/>
        <v/>
      </c>
      <c r="Z2496" s="586" t="str">
        <f t="shared" si="660"/>
        <v/>
      </c>
    </row>
    <row r="2497" spans="1:26" ht="12" hidden="1" thickBot="1" x14ac:dyDescent="0.25">
      <c r="A2497" s="567" t="s">
        <v>168</v>
      </c>
      <c r="B2497" s="644" t="s">
        <v>168</v>
      </c>
      <c r="C2497" s="645"/>
      <c r="D2497" s="422" t="s">
        <v>401</v>
      </c>
      <c r="E2497" s="423"/>
      <c r="F2497" s="424">
        <v>500</v>
      </c>
      <c r="G2497" s="425">
        <f>VLOOKUP(D2492,'[2]ENSAIOS DE ORÇAMENTO'!$C$3:$L$79,10,FALSE)</f>
        <v>0</v>
      </c>
      <c r="H2497" s="649">
        <f>IF(F2497&lt;=30,(0.78*F2497+7.82)*G2497,((0.78*30+7.82)+0.78*(F2497-30))*G2497)</f>
        <v>0</v>
      </c>
      <c r="I2497" s="420"/>
      <c r="J2497" s="420"/>
      <c r="K2497" s="421">
        <f t="shared" si="666"/>
        <v>0</v>
      </c>
      <c r="L2497" s="647"/>
      <c r="M2497" s="723"/>
      <c r="N2497" s="576">
        <f t="shared" si="656"/>
        <v>0</v>
      </c>
      <c r="O2497" s="577">
        <f t="shared" ref="O2497:O2560" si="669">IF(ISBLANK(M2497),0,ROUND(K2497*M2497,2))</f>
        <v>0</v>
      </c>
      <c r="P2497" s="578">
        <f t="shared" ref="P2497:P2560" si="670">IF(ISBLANK(N2497),0,ROUND(M2497*N2497,2))</f>
        <v>0</v>
      </c>
      <c r="Q2497" s="765"/>
      <c r="R2497" s="723"/>
      <c r="S2497" s="723"/>
      <c r="T2497" s="577">
        <f t="shared" si="667"/>
        <v>0</v>
      </c>
      <c r="U2497" s="578">
        <f t="shared" si="668"/>
        <v>0</v>
      </c>
      <c r="V2497" s="579"/>
      <c r="W2497" s="566" t="str">
        <f>IF(U2492&gt;0,"xx",IF(P2492&gt;0,"xy",""))</f>
        <v/>
      </c>
      <c r="X2497" s="586" t="str">
        <f t="shared" si="661"/>
        <v/>
      </c>
      <c r="Y2497" s="586" t="str">
        <f t="shared" si="653"/>
        <v/>
      </c>
      <c r="Z2497" s="586" t="str">
        <f t="shared" si="660"/>
        <v/>
      </c>
    </row>
    <row r="2498" spans="1:26" ht="12" hidden="1" thickBot="1" x14ac:dyDescent="0.25">
      <c r="A2498" s="567" t="s">
        <v>144</v>
      </c>
      <c r="B2498" s="644" t="s">
        <v>144</v>
      </c>
      <c r="C2498" s="645" t="s">
        <v>206</v>
      </c>
      <c r="D2498" s="422" t="s">
        <v>159</v>
      </c>
      <c r="E2498" s="423"/>
      <c r="F2498" s="424"/>
      <c r="G2498" s="425"/>
      <c r="H2498" s="651">
        <f>SUM(H2499:H2503)</f>
        <v>848.91637639999999</v>
      </c>
      <c r="I2498" s="420">
        <f>VLOOKUP(D2498,'[2]ENSAIOS DE ORÇAMENTO'!$C$3:$L$79,8,FALSE)</f>
        <v>5743.9725599999983</v>
      </c>
      <c r="J2498" s="420">
        <f>IF(ISBLANK(I2498),"",SUM(H2498:I2498))</f>
        <v>6592.8889363999988</v>
      </c>
      <c r="K2498" s="421">
        <f t="shared" si="666"/>
        <v>7833.01</v>
      </c>
      <c r="L2498" s="647" t="s">
        <v>21</v>
      </c>
      <c r="M2498" s="576"/>
      <c r="N2498" s="576">
        <f t="shared" si="656"/>
        <v>0</v>
      </c>
      <c r="O2498" s="577">
        <f t="shared" si="669"/>
        <v>0</v>
      </c>
      <c r="P2498" s="578">
        <f t="shared" si="670"/>
        <v>0</v>
      </c>
      <c r="Q2498" s="765"/>
      <c r="R2498" s="576">
        <f>M2498</f>
        <v>0</v>
      </c>
      <c r="S2498" s="576">
        <f>N2498</f>
        <v>0</v>
      </c>
      <c r="T2498" s="577">
        <f t="shared" si="667"/>
        <v>0</v>
      </c>
      <c r="U2498" s="578">
        <f t="shared" si="668"/>
        <v>0</v>
      </c>
      <c r="V2498" s="579"/>
      <c r="W2498" s="566"/>
      <c r="X2498" s="586" t="str">
        <f t="shared" si="661"/>
        <v/>
      </c>
      <c r="Y2498" s="586" t="str">
        <f t="shared" si="653"/>
        <v/>
      </c>
      <c r="Z2498" s="586" t="str">
        <f t="shared" si="660"/>
        <v/>
      </c>
    </row>
    <row r="2499" spans="1:26" ht="12" hidden="1" thickBot="1" x14ac:dyDescent="0.25">
      <c r="A2499" s="567" t="s">
        <v>168</v>
      </c>
      <c r="B2499" s="644" t="s">
        <v>168</v>
      </c>
      <c r="C2499" s="645"/>
      <c r="D2499" s="422" t="s">
        <v>212</v>
      </c>
      <c r="E2499" s="423"/>
      <c r="F2499" s="424">
        <v>500</v>
      </c>
      <c r="G2499" s="425">
        <f>VLOOKUP(D2498,'[2]ENSAIOS DE ORÇAMENTO'!$C$3:$L$79,4,FALSE)</f>
        <v>0.80657999999999996</v>
      </c>
      <c r="H2499" s="649">
        <f>IF(F2499&lt;=30,(0.78*F2499+7.82)*G2499,((0.78*30+7.82)+0.78*(F2499-30))*G2499)</f>
        <v>320.87365560000001</v>
      </c>
      <c r="I2499" s="420"/>
      <c r="J2499" s="420"/>
      <c r="K2499" s="421">
        <f t="shared" si="666"/>
        <v>0</v>
      </c>
      <c r="L2499" s="647"/>
      <c r="M2499" s="723"/>
      <c r="N2499" s="576">
        <f t="shared" si="656"/>
        <v>0</v>
      </c>
      <c r="O2499" s="577">
        <f t="shared" si="669"/>
        <v>0</v>
      </c>
      <c r="P2499" s="578">
        <f t="shared" si="670"/>
        <v>0</v>
      </c>
      <c r="Q2499" s="765"/>
      <c r="R2499" s="723"/>
      <c r="S2499" s="723"/>
      <c r="T2499" s="577">
        <f t="shared" si="667"/>
        <v>0</v>
      </c>
      <c r="U2499" s="578">
        <f t="shared" si="668"/>
        <v>0</v>
      </c>
      <c r="V2499" s="579"/>
      <c r="W2499" s="566" t="str">
        <f>IF(U2498&gt;0,"xx",IF(P2498&gt;0,"xy",""))</f>
        <v/>
      </c>
      <c r="X2499" s="586" t="str">
        <f t="shared" si="661"/>
        <v/>
      </c>
      <c r="Y2499" s="586" t="str">
        <f t="shared" si="653"/>
        <v/>
      </c>
      <c r="Z2499" s="586" t="str">
        <f t="shared" si="660"/>
        <v/>
      </c>
    </row>
    <row r="2500" spans="1:26" ht="12" hidden="1" thickBot="1" x14ac:dyDescent="0.25">
      <c r="A2500" s="567" t="s">
        <v>168</v>
      </c>
      <c r="B2500" s="644" t="s">
        <v>168</v>
      </c>
      <c r="C2500" s="645"/>
      <c r="D2500" s="422" t="s">
        <v>248</v>
      </c>
      <c r="E2500" s="423"/>
      <c r="F2500" s="424">
        <v>180</v>
      </c>
      <c r="G2500" s="425">
        <f>VLOOKUP(D2498,'[2]ENSAIOS DE ORÇAMENTO'!$C$3:$L$79,5,FALSE)</f>
        <v>2.3575999999999997</v>
      </c>
      <c r="H2500" s="663">
        <f t="shared" ref="H2500:H2502" si="671">IF(F2500&lt;=30,(1.07*F2500+2.68)*G2500,((1.07*30+2.68)+1.07*(F2500-30))*G2500)</f>
        <v>460.39212799999996</v>
      </c>
      <c r="I2500" s="420"/>
      <c r="J2500" s="420"/>
      <c r="K2500" s="421">
        <f t="shared" si="666"/>
        <v>0</v>
      </c>
      <c r="L2500" s="647"/>
      <c r="M2500" s="723"/>
      <c r="N2500" s="576">
        <f t="shared" si="656"/>
        <v>0</v>
      </c>
      <c r="O2500" s="577">
        <f t="shared" si="669"/>
        <v>0</v>
      </c>
      <c r="P2500" s="578">
        <f t="shared" si="670"/>
        <v>0</v>
      </c>
      <c r="Q2500" s="765"/>
      <c r="R2500" s="723"/>
      <c r="S2500" s="723"/>
      <c r="T2500" s="577">
        <f t="shared" si="667"/>
        <v>0</v>
      </c>
      <c r="U2500" s="578">
        <f t="shared" si="668"/>
        <v>0</v>
      </c>
      <c r="V2500" s="579"/>
      <c r="W2500" s="566" t="str">
        <f>IF(U2498&gt;0,"xx",IF(P2498&gt;0,"xy",""))</f>
        <v/>
      </c>
      <c r="X2500" s="586" t="str">
        <f t="shared" si="661"/>
        <v/>
      </c>
      <c r="Y2500" s="586" t="str">
        <f t="shared" si="653"/>
        <v/>
      </c>
      <c r="Z2500" s="586" t="str">
        <f t="shared" si="660"/>
        <v/>
      </c>
    </row>
    <row r="2501" spans="1:26" ht="12" hidden="1" thickBot="1" x14ac:dyDescent="0.25">
      <c r="A2501" s="567" t="s">
        <v>168</v>
      </c>
      <c r="B2501" s="644" t="s">
        <v>168</v>
      </c>
      <c r="C2501" s="645"/>
      <c r="D2501" s="422" t="s">
        <v>252</v>
      </c>
      <c r="E2501" s="423"/>
      <c r="F2501" s="424">
        <v>20</v>
      </c>
      <c r="G2501" s="425">
        <f>VLOOKUP(D2498,'[2]ENSAIOS DE ORÇAMENTO'!$C$3:$L$79,6,FALSE)</f>
        <v>2.8094099999999997</v>
      </c>
      <c r="H2501" s="663">
        <f t="shared" si="671"/>
        <v>67.650592799999998</v>
      </c>
      <c r="I2501" s="420"/>
      <c r="J2501" s="420"/>
      <c r="K2501" s="421">
        <f t="shared" si="666"/>
        <v>0</v>
      </c>
      <c r="L2501" s="647"/>
      <c r="M2501" s="723"/>
      <c r="N2501" s="576">
        <f t="shared" si="656"/>
        <v>0</v>
      </c>
      <c r="O2501" s="577">
        <f t="shared" si="669"/>
        <v>0</v>
      </c>
      <c r="P2501" s="578">
        <f t="shared" si="670"/>
        <v>0</v>
      </c>
      <c r="Q2501" s="765"/>
      <c r="R2501" s="723"/>
      <c r="S2501" s="723"/>
      <c r="T2501" s="577">
        <f t="shared" si="667"/>
        <v>0</v>
      </c>
      <c r="U2501" s="578">
        <f t="shared" si="668"/>
        <v>0</v>
      </c>
      <c r="V2501" s="579"/>
      <c r="W2501" s="566" t="str">
        <f>IF(U2498&gt;0,"xx",IF(P2498&gt;0,"xy",""))</f>
        <v/>
      </c>
      <c r="X2501" s="586" t="str">
        <f t="shared" si="661"/>
        <v/>
      </c>
      <c r="Y2501" s="586" t="str">
        <f t="shared" si="653"/>
        <v/>
      </c>
      <c r="Z2501" s="586" t="str">
        <f t="shared" si="660"/>
        <v/>
      </c>
    </row>
    <row r="2502" spans="1:26" ht="12" hidden="1" thickBot="1" x14ac:dyDescent="0.25">
      <c r="A2502" s="567" t="s">
        <v>168</v>
      </c>
      <c r="B2502" s="644" t="s">
        <v>168</v>
      </c>
      <c r="C2502" s="645"/>
      <c r="D2502" s="422" t="s">
        <v>400</v>
      </c>
      <c r="E2502" s="423"/>
      <c r="F2502" s="424">
        <v>30</v>
      </c>
      <c r="G2502" s="425">
        <f>VLOOKUP(D2498,'[2]ENSAIOS DE ORÇAMENTO'!$C$3:$L$79,3,FALSE)</f>
        <v>0</v>
      </c>
      <c r="H2502" s="663">
        <f t="shared" si="671"/>
        <v>0</v>
      </c>
      <c r="I2502" s="420"/>
      <c r="J2502" s="420"/>
      <c r="K2502" s="421">
        <f t="shared" si="666"/>
        <v>0</v>
      </c>
      <c r="L2502" s="647"/>
      <c r="M2502" s="723"/>
      <c r="N2502" s="576">
        <f t="shared" si="656"/>
        <v>0</v>
      </c>
      <c r="O2502" s="577">
        <f t="shared" si="669"/>
        <v>0</v>
      </c>
      <c r="P2502" s="578">
        <f t="shared" si="670"/>
        <v>0</v>
      </c>
      <c r="Q2502" s="765"/>
      <c r="R2502" s="723"/>
      <c r="S2502" s="723"/>
      <c r="T2502" s="577">
        <f t="shared" si="667"/>
        <v>0</v>
      </c>
      <c r="U2502" s="578">
        <f t="shared" si="668"/>
        <v>0</v>
      </c>
      <c r="V2502" s="579"/>
      <c r="W2502" s="566" t="str">
        <f>IF(U2498&gt;0,"xx",IF(P2498&gt;0,"xy",""))</f>
        <v/>
      </c>
      <c r="X2502" s="586" t="str">
        <f t="shared" si="661"/>
        <v/>
      </c>
      <c r="Y2502" s="586" t="str">
        <f t="shared" si="653"/>
        <v/>
      </c>
      <c r="Z2502" s="586" t="str">
        <f t="shared" si="660"/>
        <v/>
      </c>
    </row>
    <row r="2503" spans="1:26" ht="12" hidden="1" thickBot="1" x14ac:dyDescent="0.25">
      <c r="A2503" s="567" t="s">
        <v>168</v>
      </c>
      <c r="B2503" s="644" t="s">
        <v>168</v>
      </c>
      <c r="C2503" s="645"/>
      <c r="D2503" s="422" t="s">
        <v>401</v>
      </c>
      <c r="E2503" s="423"/>
      <c r="F2503" s="424">
        <v>500</v>
      </c>
      <c r="G2503" s="425">
        <f>VLOOKUP(D2498,'[2]ENSAIOS DE ORÇAMENTO'!$C$3:$L$79,10,FALSE)</f>
        <v>0</v>
      </c>
      <c r="H2503" s="649">
        <f>IF(F2503&lt;=30,(0.78*F2503+7.82)*G2503,((0.78*30+7.82)+0.78*(F2503-30))*G2503)</f>
        <v>0</v>
      </c>
      <c r="I2503" s="420"/>
      <c r="J2503" s="420"/>
      <c r="K2503" s="421">
        <f t="shared" si="666"/>
        <v>0</v>
      </c>
      <c r="L2503" s="647"/>
      <c r="M2503" s="723"/>
      <c r="N2503" s="576">
        <f t="shared" si="656"/>
        <v>0</v>
      </c>
      <c r="O2503" s="577">
        <f t="shared" si="669"/>
        <v>0</v>
      </c>
      <c r="P2503" s="578">
        <f t="shared" si="670"/>
        <v>0</v>
      </c>
      <c r="Q2503" s="765"/>
      <c r="R2503" s="723"/>
      <c r="S2503" s="723"/>
      <c r="T2503" s="577">
        <f t="shared" si="667"/>
        <v>0</v>
      </c>
      <c r="U2503" s="578">
        <f t="shared" si="668"/>
        <v>0</v>
      </c>
      <c r="V2503" s="579"/>
      <c r="W2503" s="566" t="str">
        <f>IF(U2498&gt;0,"xx",IF(P2498&gt;0,"xy",""))</f>
        <v/>
      </c>
      <c r="X2503" s="586" t="str">
        <f t="shared" si="661"/>
        <v/>
      </c>
      <c r="Y2503" s="586" t="str">
        <f t="shared" si="653"/>
        <v/>
      </c>
      <c r="Z2503" s="586" t="str">
        <f t="shared" si="660"/>
        <v/>
      </c>
    </row>
    <row r="2504" spans="1:26" ht="12" hidden="1" thickBot="1" x14ac:dyDescent="0.25">
      <c r="A2504" s="567" t="s">
        <v>48</v>
      </c>
      <c r="B2504" s="644" t="s">
        <v>48</v>
      </c>
      <c r="C2504" s="645" t="s">
        <v>206</v>
      </c>
      <c r="D2504" s="422" t="s">
        <v>160</v>
      </c>
      <c r="E2504" s="423"/>
      <c r="F2504" s="424"/>
      <c r="G2504" s="425"/>
      <c r="H2504" s="651">
        <f>SUM(H2505:H2509)</f>
        <v>945.5083653800001</v>
      </c>
      <c r="I2504" s="420">
        <f>VLOOKUP(D2504,'[2]ENSAIOS DE ORÇAMENTO'!$C$3:$L$79,8,FALSE)</f>
        <v>6301.7848786111099</v>
      </c>
      <c r="J2504" s="420">
        <f>IF(ISBLANK(I2504),"",SUM(H2504:I2504))</f>
        <v>7247.2932439911101</v>
      </c>
      <c r="K2504" s="421">
        <f t="shared" si="666"/>
        <v>8610.51</v>
      </c>
      <c r="L2504" s="647" t="s">
        <v>21</v>
      </c>
      <c r="M2504" s="576"/>
      <c r="N2504" s="576">
        <f t="shared" si="656"/>
        <v>0</v>
      </c>
      <c r="O2504" s="577">
        <f t="shared" si="669"/>
        <v>0</v>
      </c>
      <c r="P2504" s="578">
        <f t="shared" si="670"/>
        <v>0</v>
      </c>
      <c r="Q2504" s="765"/>
      <c r="R2504" s="576">
        <f>M2504</f>
        <v>0</v>
      </c>
      <c r="S2504" s="576">
        <f>N2504</f>
        <v>0</v>
      </c>
      <c r="T2504" s="577">
        <f t="shared" si="667"/>
        <v>0</v>
      </c>
      <c r="U2504" s="578">
        <f t="shared" si="668"/>
        <v>0</v>
      </c>
      <c r="V2504" s="579"/>
      <c r="W2504" s="566"/>
      <c r="X2504" s="586" t="str">
        <f t="shared" si="661"/>
        <v/>
      </c>
      <c r="Y2504" s="586" t="str">
        <f t="shared" ref="Y2504:Y2567" si="672">IF(W2504="X","x",IF(W2504="y","x",IF(W2504="xx","x",IF(U2504&gt;0,"x",""))))</f>
        <v/>
      </c>
      <c r="Z2504" s="586" t="str">
        <f t="shared" si="660"/>
        <v/>
      </c>
    </row>
    <row r="2505" spans="1:26" ht="12" hidden="1" thickBot="1" x14ac:dyDescent="0.25">
      <c r="A2505" s="567" t="s">
        <v>168</v>
      </c>
      <c r="B2505" s="644" t="s">
        <v>168</v>
      </c>
      <c r="C2505" s="645"/>
      <c r="D2505" s="422" t="s">
        <v>212</v>
      </c>
      <c r="E2505" s="423"/>
      <c r="F2505" s="424">
        <v>500</v>
      </c>
      <c r="G2505" s="425">
        <f>VLOOKUP(D2504,'[2]ENSAIOS DE ORÇAMENTO'!$C$3:$L$79,4,FALSE)</f>
        <v>0.89753699999999992</v>
      </c>
      <c r="H2505" s="649">
        <f>IF(F2505&lt;=30,(0.78*F2505+7.82)*G2505,((0.78*30+7.82)+0.78*(F2505-30))*G2505)</f>
        <v>357.05816934000001</v>
      </c>
      <c r="I2505" s="420"/>
      <c r="J2505" s="420"/>
      <c r="K2505" s="421">
        <f t="shared" si="666"/>
        <v>0</v>
      </c>
      <c r="L2505" s="647"/>
      <c r="M2505" s="723"/>
      <c r="N2505" s="576">
        <f t="shared" si="656"/>
        <v>0</v>
      </c>
      <c r="O2505" s="577">
        <f t="shared" si="669"/>
        <v>0</v>
      </c>
      <c r="P2505" s="578">
        <f t="shared" si="670"/>
        <v>0</v>
      </c>
      <c r="Q2505" s="765"/>
      <c r="R2505" s="723"/>
      <c r="S2505" s="723"/>
      <c r="T2505" s="577">
        <f t="shared" si="667"/>
        <v>0</v>
      </c>
      <c r="U2505" s="578">
        <f t="shared" si="668"/>
        <v>0</v>
      </c>
      <c r="V2505" s="579"/>
      <c r="W2505" s="566" t="str">
        <f>IF(U2504&gt;0,"xx",IF(P2504&gt;0,"xy",""))</f>
        <v/>
      </c>
      <c r="X2505" s="586" t="str">
        <f t="shared" si="661"/>
        <v/>
      </c>
      <c r="Y2505" s="586" t="str">
        <f t="shared" si="672"/>
        <v/>
      </c>
      <c r="Z2505" s="586" t="str">
        <f t="shared" si="660"/>
        <v/>
      </c>
    </row>
    <row r="2506" spans="1:26" ht="12" hidden="1" thickBot="1" x14ac:dyDescent="0.25">
      <c r="A2506" s="567" t="s">
        <v>168</v>
      </c>
      <c r="B2506" s="644" t="s">
        <v>168</v>
      </c>
      <c r="C2506" s="645"/>
      <c r="D2506" s="422" t="s">
        <v>248</v>
      </c>
      <c r="E2506" s="423"/>
      <c r="F2506" s="424">
        <v>180</v>
      </c>
      <c r="G2506" s="425">
        <f>VLOOKUP(D2504,'[2]ENSAIOS DE ORÇAMENTO'!$C$3:$L$79,5,FALSE)</f>
        <v>2.6274289999999998</v>
      </c>
      <c r="H2506" s="663">
        <f t="shared" ref="H2506:H2508" si="673">IF(F2506&lt;=30,(1.07*F2506+2.68)*G2506,((1.07*30+2.68)+1.07*(F2506-30))*G2506)</f>
        <v>513.08433511999999</v>
      </c>
      <c r="I2506" s="420"/>
      <c r="J2506" s="420"/>
      <c r="K2506" s="421">
        <f t="shared" si="666"/>
        <v>0</v>
      </c>
      <c r="L2506" s="647"/>
      <c r="M2506" s="723"/>
      <c r="N2506" s="576">
        <f t="shared" si="656"/>
        <v>0</v>
      </c>
      <c r="O2506" s="577">
        <f t="shared" si="669"/>
        <v>0</v>
      </c>
      <c r="P2506" s="578">
        <f t="shared" si="670"/>
        <v>0</v>
      </c>
      <c r="Q2506" s="765"/>
      <c r="R2506" s="723"/>
      <c r="S2506" s="723"/>
      <c r="T2506" s="577">
        <f t="shared" si="667"/>
        <v>0</v>
      </c>
      <c r="U2506" s="578">
        <f t="shared" si="668"/>
        <v>0</v>
      </c>
      <c r="V2506" s="579"/>
      <c r="W2506" s="566" t="str">
        <f>IF(U2504&gt;0,"xx",IF(P2504&gt;0,"xy",""))</f>
        <v/>
      </c>
      <c r="X2506" s="586" t="str">
        <f t="shared" si="661"/>
        <v/>
      </c>
      <c r="Y2506" s="586" t="str">
        <f t="shared" si="672"/>
        <v/>
      </c>
      <c r="Z2506" s="586" t="str">
        <f t="shared" si="660"/>
        <v/>
      </c>
    </row>
    <row r="2507" spans="1:26" ht="12" hidden="1" thickBot="1" x14ac:dyDescent="0.25">
      <c r="A2507" s="567" t="s">
        <v>168</v>
      </c>
      <c r="B2507" s="644" t="s">
        <v>168</v>
      </c>
      <c r="C2507" s="645"/>
      <c r="D2507" s="422" t="s">
        <v>252</v>
      </c>
      <c r="E2507" s="423"/>
      <c r="F2507" s="424">
        <v>20</v>
      </c>
      <c r="G2507" s="425">
        <f>VLOOKUP(D2504,'[2]ENSAIOS DE ORÇAMENTO'!$C$3:$L$79,6,FALSE)</f>
        <v>3.1298114999999997</v>
      </c>
      <c r="H2507" s="663">
        <f t="shared" si="673"/>
        <v>75.365860920000003</v>
      </c>
      <c r="I2507" s="420"/>
      <c r="J2507" s="420"/>
      <c r="K2507" s="421">
        <f t="shared" si="666"/>
        <v>0</v>
      </c>
      <c r="L2507" s="647"/>
      <c r="M2507" s="723"/>
      <c r="N2507" s="576">
        <f t="shared" si="656"/>
        <v>0</v>
      </c>
      <c r="O2507" s="577">
        <f t="shared" si="669"/>
        <v>0</v>
      </c>
      <c r="P2507" s="578">
        <f t="shared" si="670"/>
        <v>0</v>
      </c>
      <c r="Q2507" s="765"/>
      <c r="R2507" s="723"/>
      <c r="S2507" s="723"/>
      <c r="T2507" s="577">
        <f t="shared" si="667"/>
        <v>0</v>
      </c>
      <c r="U2507" s="578">
        <f t="shared" si="668"/>
        <v>0</v>
      </c>
      <c r="V2507" s="579"/>
      <c r="W2507" s="566" t="str">
        <f>IF(U2504&gt;0,"xx",IF(P2504&gt;0,"xy",""))</f>
        <v/>
      </c>
      <c r="X2507" s="586" t="str">
        <f t="shared" si="661"/>
        <v/>
      </c>
      <c r="Y2507" s="586" t="str">
        <f t="shared" si="672"/>
        <v/>
      </c>
      <c r="Z2507" s="586" t="str">
        <f t="shared" si="660"/>
        <v/>
      </c>
    </row>
    <row r="2508" spans="1:26" ht="12" hidden="1" thickBot="1" x14ac:dyDescent="0.25">
      <c r="A2508" s="567" t="s">
        <v>168</v>
      </c>
      <c r="B2508" s="644" t="s">
        <v>168</v>
      </c>
      <c r="C2508" s="645"/>
      <c r="D2508" s="422" t="s">
        <v>400</v>
      </c>
      <c r="E2508" s="423"/>
      <c r="F2508" s="424">
        <v>30</v>
      </c>
      <c r="G2508" s="425">
        <f>VLOOKUP(D2504,'[2]ENSAIOS DE ORÇAMENTO'!$C$3:$L$79,3,FALSE)</f>
        <v>0</v>
      </c>
      <c r="H2508" s="663">
        <f t="shared" si="673"/>
        <v>0</v>
      </c>
      <c r="I2508" s="420"/>
      <c r="J2508" s="420"/>
      <c r="K2508" s="421">
        <f t="shared" si="666"/>
        <v>0</v>
      </c>
      <c r="L2508" s="647"/>
      <c r="M2508" s="723"/>
      <c r="N2508" s="576">
        <f t="shared" si="656"/>
        <v>0</v>
      </c>
      <c r="O2508" s="577">
        <f t="shared" si="669"/>
        <v>0</v>
      </c>
      <c r="P2508" s="578">
        <f t="shared" si="670"/>
        <v>0</v>
      </c>
      <c r="Q2508" s="765"/>
      <c r="R2508" s="723"/>
      <c r="S2508" s="723"/>
      <c r="T2508" s="577">
        <f t="shared" si="667"/>
        <v>0</v>
      </c>
      <c r="U2508" s="578">
        <f t="shared" si="668"/>
        <v>0</v>
      </c>
      <c r="V2508" s="579"/>
      <c r="W2508" s="566" t="str">
        <f>IF(U2504&gt;0,"xx",IF(P2504&gt;0,"xy",""))</f>
        <v/>
      </c>
      <c r="X2508" s="586" t="str">
        <f t="shared" si="661"/>
        <v/>
      </c>
      <c r="Y2508" s="586" t="str">
        <f t="shared" si="672"/>
        <v/>
      </c>
      <c r="Z2508" s="586" t="str">
        <f t="shared" si="660"/>
        <v/>
      </c>
    </row>
    <row r="2509" spans="1:26" ht="12" hidden="1" thickBot="1" x14ac:dyDescent="0.25">
      <c r="A2509" s="567" t="s">
        <v>168</v>
      </c>
      <c r="B2509" s="644" t="s">
        <v>168</v>
      </c>
      <c r="C2509" s="645"/>
      <c r="D2509" s="422" t="s">
        <v>401</v>
      </c>
      <c r="E2509" s="423"/>
      <c r="F2509" s="424">
        <v>500</v>
      </c>
      <c r="G2509" s="425">
        <f>VLOOKUP(D2504,'[2]ENSAIOS DE ORÇAMENTO'!$C$3:$L$79,10,FALSE)</f>
        <v>0</v>
      </c>
      <c r="H2509" s="649">
        <f>IF(F2509&lt;=30,(0.78*F2509+7.82)*G2509,((0.78*30+7.82)+0.78*(F2509-30))*G2509)</f>
        <v>0</v>
      </c>
      <c r="I2509" s="420"/>
      <c r="J2509" s="420"/>
      <c r="K2509" s="421">
        <f t="shared" si="666"/>
        <v>0</v>
      </c>
      <c r="L2509" s="647"/>
      <c r="M2509" s="723"/>
      <c r="N2509" s="576">
        <f t="shared" si="656"/>
        <v>0</v>
      </c>
      <c r="O2509" s="577">
        <f t="shared" si="669"/>
        <v>0</v>
      </c>
      <c r="P2509" s="578">
        <f t="shared" si="670"/>
        <v>0</v>
      </c>
      <c r="Q2509" s="765"/>
      <c r="R2509" s="723"/>
      <c r="S2509" s="723"/>
      <c r="T2509" s="577">
        <f t="shared" si="667"/>
        <v>0</v>
      </c>
      <c r="U2509" s="578">
        <f t="shared" si="668"/>
        <v>0</v>
      </c>
      <c r="V2509" s="579"/>
      <c r="W2509" s="566" t="str">
        <f>IF(U2504&gt;0,"xx",IF(P2504&gt;0,"xy",""))</f>
        <v/>
      </c>
      <c r="X2509" s="586" t="str">
        <f t="shared" si="661"/>
        <v/>
      </c>
      <c r="Y2509" s="586" t="str">
        <f t="shared" si="672"/>
        <v/>
      </c>
      <c r="Z2509" s="586" t="str">
        <f t="shared" si="660"/>
        <v/>
      </c>
    </row>
    <row r="2510" spans="1:26" ht="12" hidden="1" thickBot="1" x14ac:dyDescent="0.25">
      <c r="A2510" s="567" t="s">
        <v>49</v>
      </c>
      <c r="B2510" s="644" t="s">
        <v>49</v>
      </c>
      <c r="C2510" s="645" t="s">
        <v>206</v>
      </c>
      <c r="D2510" s="422" t="s">
        <v>161</v>
      </c>
      <c r="E2510" s="423"/>
      <c r="F2510" s="424"/>
      <c r="G2510" s="425"/>
      <c r="H2510" s="651">
        <f>SUM(H2511:H2515)</f>
        <v>1175.1788129870001</v>
      </c>
      <c r="I2510" s="420">
        <f>VLOOKUP(D2510,'[2]ENSAIOS DE ORÇAMENTO'!$C$3:$L$79,8,FALSE)</f>
        <v>7680.4985115138879</v>
      </c>
      <c r="J2510" s="420">
        <f>IF(ISBLANK(I2510),"",SUM(H2510:I2510))</f>
        <v>8855.6773245008881</v>
      </c>
      <c r="K2510" s="421">
        <f t="shared" si="666"/>
        <v>10521.43</v>
      </c>
      <c r="L2510" s="647" t="s">
        <v>21</v>
      </c>
      <c r="M2510" s="576"/>
      <c r="N2510" s="576">
        <f t="shared" si="656"/>
        <v>0</v>
      </c>
      <c r="O2510" s="577">
        <f t="shared" si="669"/>
        <v>0</v>
      </c>
      <c r="P2510" s="578">
        <f t="shared" si="670"/>
        <v>0</v>
      </c>
      <c r="Q2510" s="765"/>
      <c r="R2510" s="576">
        <f>M2510</f>
        <v>0</v>
      </c>
      <c r="S2510" s="576">
        <f>N2510</f>
        <v>0</v>
      </c>
      <c r="T2510" s="577">
        <f t="shared" si="667"/>
        <v>0</v>
      </c>
      <c r="U2510" s="578">
        <f t="shared" si="668"/>
        <v>0</v>
      </c>
      <c r="V2510" s="579"/>
      <c r="W2510" s="566"/>
      <c r="X2510" s="586" t="str">
        <f t="shared" si="661"/>
        <v/>
      </c>
      <c r="Y2510" s="586" t="str">
        <f t="shared" si="672"/>
        <v/>
      </c>
      <c r="Z2510" s="586" t="str">
        <f t="shared" si="660"/>
        <v/>
      </c>
    </row>
    <row r="2511" spans="1:26" ht="12" hidden="1" thickBot="1" x14ac:dyDescent="0.25">
      <c r="A2511" s="567" t="s">
        <v>168</v>
      </c>
      <c r="B2511" s="644" t="s">
        <v>168</v>
      </c>
      <c r="C2511" s="645"/>
      <c r="D2511" s="422" t="s">
        <v>212</v>
      </c>
      <c r="E2511" s="423"/>
      <c r="F2511" s="424">
        <v>500</v>
      </c>
      <c r="G2511" s="425">
        <f>VLOOKUP(D2510,'[2]ENSAIOS DE ORÇAMENTO'!$C$3:$L$79,4,FALSE)</f>
        <v>1.1179675499999999</v>
      </c>
      <c r="H2511" s="649">
        <f>IF(F2511&lt;=30,(0.78*F2511+7.82)*G2511,((0.78*30+7.82)+0.78*(F2511-30))*G2511)</f>
        <v>444.74985074100005</v>
      </c>
      <c r="I2511" s="420"/>
      <c r="J2511" s="420"/>
      <c r="K2511" s="421">
        <f t="shared" si="666"/>
        <v>0</v>
      </c>
      <c r="L2511" s="647"/>
      <c r="M2511" s="723"/>
      <c r="N2511" s="576">
        <f t="shared" si="656"/>
        <v>0</v>
      </c>
      <c r="O2511" s="577">
        <f t="shared" si="669"/>
        <v>0</v>
      </c>
      <c r="P2511" s="578">
        <f t="shared" si="670"/>
        <v>0</v>
      </c>
      <c r="Q2511" s="765"/>
      <c r="R2511" s="723"/>
      <c r="S2511" s="723"/>
      <c r="T2511" s="577">
        <f t="shared" si="667"/>
        <v>0</v>
      </c>
      <c r="U2511" s="578">
        <f t="shared" si="668"/>
        <v>0</v>
      </c>
      <c r="V2511" s="579"/>
      <c r="W2511" s="566" t="str">
        <f>IF(U2510&gt;0,"xx",IF(P2510&gt;0,"xy",""))</f>
        <v/>
      </c>
      <c r="X2511" s="586" t="str">
        <f t="shared" si="661"/>
        <v/>
      </c>
      <c r="Y2511" s="586" t="str">
        <f t="shared" si="672"/>
        <v/>
      </c>
      <c r="Z2511" s="586" t="str">
        <f t="shared" si="660"/>
        <v/>
      </c>
    </row>
    <row r="2512" spans="1:26" ht="12" hidden="1" thickBot="1" x14ac:dyDescent="0.25">
      <c r="A2512" s="567" t="s">
        <v>168</v>
      </c>
      <c r="B2512" s="644" t="s">
        <v>168</v>
      </c>
      <c r="C2512" s="645"/>
      <c r="D2512" s="422" t="s">
        <v>248</v>
      </c>
      <c r="E2512" s="423"/>
      <c r="F2512" s="424">
        <v>180</v>
      </c>
      <c r="G2512" s="425">
        <f>VLOOKUP(D2510,'[2]ENSAIOS DE ORÇAMENTO'!$C$3:$L$79,5,FALSE)</f>
        <v>3.2610033499999997</v>
      </c>
      <c r="H2512" s="663">
        <f t="shared" ref="H2512:H2514" si="674">IF(F2512&lt;=30,(1.07*F2512+2.68)*G2512,((1.07*30+2.68)+1.07*(F2512-30))*G2512)</f>
        <v>636.8087341879999</v>
      </c>
      <c r="I2512" s="420"/>
      <c r="J2512" s="420"/>
      <c r="K2512" s="421">
        <f t="shared" si="666"/>
        <v>0</v>
      </c>
      <c r="L2512" s="647"/>
      <c r="M2512" s="723"/>
      <c r="N2512" s="576">
        <f t="shared" si="656"/>
        <v>0</v>
      </c>
      <c r="O2512" s="577">
        <f t="shared" si="669"/>
        <v>0</v>
      </c>
      <c r="P2512" s="578">
        <f t="shared" si="670"/>
        <v>0</v>
      </c>
      <c r="Q2512" s="765"/>
      <c r="R2512" s="723"/>
      <c r="S2512" s="723"/>
      <c r="T2512" s="577">
        <f t="shared" si="667"/>
        <v>0</v>
      </c>
      <c r="U2512" s="578">
        <f t="shared" si="668"/>
        <v>0</v>
      </c>
      <c r="V2512" s="579"/>
      <c r="W2512" s="566" t="str">
        <f>IF(U2510&gt;0,"xx",IF(P2510&gt;0,"xy",""))</f>
        <v/>
      </c>
      <c r="X2512" s="586" t="str">
        <f t="shared" si="661"/>
        <v/>
      </c>
      <c r="Y2512" s="586" t="str">
        <f t="shared" si="672"/>
        <v/>
      </c>
      <c r="Z2512" s="586" t="str">
        <f t="shared" si="660"/>
        <v/>
      </c>
    </row>
    <row r="2513" spans="1:26" ht="12" hidden="1" thickBot="1" x14ac:dyDescent="0.25">
      <c r="A2513" s="567" t="s">
        <v>168</v>
      </c>
      <c r="B2513" s="644" t="s">
        <v>168</v>
      </c>
      <c r="C2513" s="645"/>
      <c r="D2513" s="422" t="s">
        <v>252</v>
      </c>
      <c r="E2513" s="423"/>
      <c r="F2513" s="424">
        <v>20</v>
      </c>
      <c r="G2513" s="425">
        <f>VLOOKUP(D2510,'[2]ENSAIOS DE ORÇAMENTO'!$C$3:$L$79,6,FALSE)</f>
        <v>3.8878832249999999</v>
      </c>
      <c r="H2513" s="663">
        <f t="shared" si="674"/>
        <v>93.620228058000009</v>
      </c>
      <c r="I2513" s="420"/>
      <c r="J2513" s="420"/>
      <c r="K2513" s="421">
        <f t="shared" si="666"/>
        <v>0</v>
      </c>
      <c r="L2513" s="647"/>
      <c r="M2513" s="723"/>
      <c r="N2513" s="576">
        <f t="shared" si="656"/>
        <v>0</v>
      </c>
      <c r="O2513" s="577">
        <f t="shared" si="669"/>
        <v>0</v>
      </c>
      <c r="P2513" s="578">
        <f t="shared" si="670"/>
        <v>0</v>
      </c>
      <c r="Q2513" s="765"/>
      <c r="R2513" s="723"/>
      <c r="S2513" s="723"/>
      <c r="T2513" s="577">
        <f t="shared" si="667"/>
        <v>0</v>
      </c>
      <c r="U2513" s="578">
        <f t="shared" si="668"/>
        <v>0</v>
      </c>
      <c r="V2513" s="579"/>
      <c r="W2513" s="566" t="str">
        <f>IF(U2510&gt;0,"xx",IF(P2510&gt;0,"xy",""))</f>
        <v/>
      </c>
      <c r="X2513" s="586" t="str">
        <f t="shared" si="661"/>
        <v/>
      </c>
      <c r="Y2513" s="586" t="str">
        <f t="shared" si="672"/>
        <v/>
      </c>
      <c r="Z2513" s="586" t="str">
        <f t="shared" si="660"/>
        <v/>
      </c>
    </row>
    <row r="2514" spans="1:26" ht="12" hidden="1" thickBot="1" x14ac:dyDescent="0.25">
      <c r="A2514" s="567" t="s">
        <v>168</v>
      </c>
      <c r="B2514" s="644" t="s">
        <v>168</v>
      </c>
      <c r="C2514" s="645"/>
      <c r="D2514" s="422" t="s">
        <v>400</v>
      </c>
      <c r="E2514" s="423"/>
      <c r="F2514" s="424">
        <v>30</v>
      </c>
      <c r="G2514" s="425">
        <f>VLOOKUP(D2510,'[2]ENSAIOS DE ORÇAMENTO'!$C$3:$L$79,3,FALSE)</f>
        <v>0</v>
      </c>
      <c r="H2514" s="663">
        <f t="shared" si="674"/>
        <v>0</v>
      </c>
      <c r="I2514" s="420"/>
      <c r="J2514" s="420"/>
      <c r="K2514" s="421">
        <f t="shared" si="666"/>
        <v>0</v>
      </c>
      <c r="L2514" s="647"/>
      <c r="M2514" s="723"/>
      <c r="N2514" s="576">
        <f t="shared" si="656"/>
        <v>0</v>
      </c>
      <c r="O2514" s="577">
        <f t="shared" si="669"/>
        <v>0</v>
      </c>
      <c r="P2514" s="578">
        <f t="shared" si="670"/>
        <v>0</v>
      </c>
      <c r="Q2514" s="765"/>
      <c r="R2514" s="723"/>
      <c r="S2514" s="723"/>
      <c r="T2514" s="577">
        <f t="shared" si="667"/>
        <v>0</v>
      </c>
      <c r="U2514" s="578">
        <f t="shared" si="668"/>
        <v>0</v>
      </c>
      <c r="V2514" s="579"/>
      <c r="W2514" s="566" t="str">
        <f>IF(U2510&gt;0,"xx",IF(P2510&gt;0,"xy",""))</f>
        <v/>
      </c>
      <c r="X2514" s="586" t="str">
        <f t="shared" si="661"/>
        <v/>
      </c>
      <c r="Y2514" s="586" t="str">
        <f t="shared" si="672"/>
        <v/>
      </c>
      <c r="Z2514" s="586" t="str">
        <f t="shared" si="660"/>
        <v/>
      </c>
    </row>
    <row r="2515" spans="1:26" ht="12" hidden="1" thickBot="1" x14ac:dyDescent="0.25">
      <c r="A2515" s="567" t="s">
        <v>168</v>
      </c>
      <c r="B2515" s="644" t="s">
        <v>168</v>
      </c>
      <c r="C2515" s="645"/>
      <c r="D2515" s="422" t="s">
        <v>401</v>
      </c>
      <c r="E2515" s="423"/>
      <c r="F2515" s="424">
        <v>500</v>
      </c>
      <c r="G2515" s="425">
        <f>VLOOKUP(D2510,'[2]ENSAIOS DE ORÇAMENTO'!$C$3:$L$79,10,FALSE)</f>
        <v>0</v>
      </c>
      <c r="H2515" s="649">
        <f>IF(F2515&lt;=30,(0.78*F2515+7.82)*G2515,((0.78*30+7.82)+0.78*(F2515-30))*G2515)</f>
        <v>0</v>
      </c>
      <c r="I2515" s="420"/>
      <c r="J2515" s="420"/>
      <c r="K2515" s="421">
        <f t="shared" si="666"/>
        <v>0</v>
      </c>
      <c r="L2515" s="647"/>
      <c r="M2515" s="723"/>
      <c r="N2515" s="576">
        <f t="shared" si="656"/>
        <v>0</v>
      </c>
      <c r="O2515" s="577">
        <f t="shared" si="669"/>
        <v>0</v>
      </c>
      <c r="P2515" s="578">
        <f t="shared" si="670"/>
        <v>0</v>
      </c>
      <c r="Q2515" s="765"/>
      <c r="R2515" s="723"/>
      <c r="S2515" s="723"/>
      <c r="T2515" s="577">
        <f t="shared" si="667"/>
        <v>0</v>
      </c>
      <c r="U2515" s="578">
        <f t="shared" si="668"/>
        <v>0</v>
      </c>
      <c r="V2515" s="579"/>
      <c r="W2515" s="566" t="str">
        <f>IF(U2510&gt;0,"xx",IF(P2510&gt;0,"xy",""))</f>
        <v/>
      </c>
      <c r="X2515" s="586" t="str">
        <f t="shared" si="661"/>
        <v/>
      </c>
      <c r="Y2515" s="586" t="str">
        <f t="shared" si="672"/>
        <v/>
      </c>
      <c r="Z2515" s="586" t="str">
        <f t="shared" si="660"/>
        <v/>
      </c>
    </row>
    <row r="2516" spans="1:26" ht="12" hidden="1" thickBot="1" x14ac:dyDescent="0.25">
      <c r="A2516" s="567" t="s">
        <v>50</v>
      </c>
      <c r="B2516" s="644" t="s">
        <v>50</v>
      </c>
      <c r="C2516" s="645" t="s">
        <v>206</v>
      </c>
      <c r="D2516" s="422" t="s">
        <v>422</v>
      </c>
      <c r="E2516" s="423"/>
      <c r="F2516" s="424"/>
      <c r="G2516" s="425"/>
      <c r="H2516" s="651">
        <f>SUM(H2517:H2521)</f>
        <v>115.21103748000003</v>
      </c>
      <c r="I2516" s="420">
        <f>VLOOKUP(D2516,'[2]ENSAIOS DE ORÇAMENTO'!$C$3:$L$79,8,FALSE)</f>
        <v>707.76571000000001</v>
      </c>
      <c r="J2516" s="420">
        <f>IF(ISBLANK(I2516),"",SUM(H2516:I2516))</f>
        <v>822.97674748000009</v>
      </c>
      <c r="K2516" s="421">
        <f t="shared" si="666"/>
        <v>977.78</v>
      </c>
      <c r="L2516" s="647" t="s">
        <v>21</v>
      </c>
      <c r="M2516" s="576"/>
      <c r="N2516" s="576">
        <f t="shared" ref="N2516:N2579" si="675">IF(M2516=0,0,K2516)</f>
        <v>0</v>
      </c>
      <c r="O2516" s="577">
        <f t="shared" si="669"/>
        <v>0</v>
      </c>
      <c r="P2516" s="578">
        <f t="shared" si="670"/>
        <v>0</v>
      </c>
      <c r="Q2516" s="765"/>
      <c r="R2516" s="576">
        <f>M2516</f>
        <v>0</v>
      </c>
      <c r="S2516" s="576">
        <f>N2516</f>
        <v>0</v>
      </c>
      <c r="T2516" s="577">
        <f t="shared" si="667"/>
        <v>0</v>
      </c>
      <c r="U2516" s="578">
        <f t="shared" si="668"/>
        <v>0</v>
      </c>
      <c r="V2516" s="579"/>
      <c r="W2516" s="566"/>
      <c r="X2516" s="586" t="str">
        <f t="shared" si="661"/>
        <v/>
      </c>
      <c r="Y2516" s="586" t="str">
        <f t="shared" si="672"/>
        <v/>
      </c>
      <c r="Z2516" s="586" t="str">
        <f t="shared" si="660"/>
        <v/>
      </c>
    </row>
    <row r="2517" spans="1:26" ht="12" hidden="1" thickBot="1" x14ac:dyDescent="0.25">
      <c r="A2517" s="567" t="s">
        <v>168</v>
      </c>
      <c r="B2517" s="644" t="s">
        <v>168</v>
      </c>
      <c r="C2517" s="645"/>
      <c r="D2517" s="422" t="s">
        <v>212</v>
      </c>
      <c r="E2517" s="423"/>
      <c r="F2517" s="424">
        <v>500</v>
      </c>
      <c r="G2517" s="425">
        <f>VLOOKUP(D2516,'[2]ENSAIOS DE ORÇAMENTO'!$C$3:$L$79,4,FALSE)</f>
        <v>0.11253000000000002</v>
      </c>
      <c r="H2517" s="649">
        <f>IF(F2517&lt;=30,(0.78*F2517+7.82)*G2517,((0.78*30+7.82)+0.78*(F2517-30))*G2517)</f>
        <v>44.766684600000012</v>
      </c>
      <c r="I2517" s="420"/>
      <c r="J2517" s="420"/>
      <c r="K2517" s="421">
        <f t="shared" si="666"/>
        <v>0</v>
      </c>
      <c r="L2517" s="647"/>
      <c r="M2517" s="723"/>
      <c r="N2517" s="576">
        <f t="shared" si="675"/>
        <v>0</v>
      </c>
      <c r="O2517" s="577">
        <f t="shared" si="669"/>
        <v>0</v>
      </c>
      <c r="P2517" s="578">
        <f t="shared" si="670"/>
        <v>0</v>
      </c>
      <c r="Q2517" s="765"/>
      <c r="R2517" s="723"/>
      <c r="S2517" s="723"/>
      <c r="T2517" s="577">
        <f t="shared" si="667"/>
        <v>0</v>
      </c>
      <c r="U2517" s="578">
        <f t="shared" si="668"/>
        <v>0</v>
      </c>
      <c r="V2517" s="579"/>
      <c r="W2517" s="566" t="str">
        <f>IF(U2516&gt;0,"xx",IF(P2516&gt;0,"xy",""))</f>
        <v/>
      </c>
      <c r="X2517" s="586" t="str">
        <f t="shared" si="661"/>
        <v/>
      </c>
      <c r="Y2517" s="586" t="str">
        <f t="shared" si="672"/>
        <v/>
      </c>
      <c r="Z2517" s="586" t="str">
        <f t="shared" si="660"/>
        <v/>
      </c>
    </row>
    <row r="2518" spans="1:26" ht="12" hidden="1" thickBot="1" x14ac:dyDescent="0.25">
      <c r="A2518" s="567" t="s">
        <v>168</v>
      </c>
      <c r="B2518" s="644" t="s">
        <v>168</v>
      </c>
      <c r="C2518" s="645"/>
      <c r="D2518" s="422" t="s">
        <v>248</v>
      </c>
      <c r="E2518" s="423"/>
      <c r="F2518" s="424">
        <v>180</v>
      </c>
      <c r="G2518" s="425">
        <f>VLOOKUP(D2516,'[2]ENSAIOS DE ORÇAMENTO'!$C$3:$L$79,5,FALSE)</f>
        <v>0.31406100000000003</v>
      </c>
      <c r="H2518" s="663">
        <f t="shared" ref="H2518:H2520" si="676">IF(F2518&lt;=30,(1.07*F2518+2.68)*G2518,((1.07*30+2.68)+1.07*(F2518-30))*G2518)</f>
        <v>61.32983208000001</v>
      </c>
      <c r="I2518" s="420"/>
      <c r="J2518" s="420"/>
      <c r="K2518" s="421">
        <f t="shared" si="666"/>
        <v>0</v>
      </c>
      <c r="L2518" s="647"/>
      <c r="M2518" s="723"/>
      <c r="N2518" s="576">
        <f t="shared" si="675"/>
        <v>0</v>
      </c>
      <c r="O2518" s="577">
        <f t="shared" si="669"/>
        <v>0</v>
      </c>
      <c r="P2518" s="578">
        <f t="shared" si="670"/>
        <v>0</v>
      </c>
      <c r="Q2518" s="765"/>
      <c r="R2518" s="723"/>
      <c r="S2518" s="723"/>
      <c r="T2518" s="577">
        <f t="shared" si="667"/>
        <v>0</v>
      </c>
      <c r="U2518" s="578">
        <f t="shared" si="668"/>
        <v>0</v>
      </c>
      <c r="V2518" s="579"/>
      <c r="W2518" s="566" t="str">
        <f>IF(U2516&gt;0,"xx",IF(P2516&gt;0,"xy",""))</f>
        <v/>
      </c>
      <c r="X2518" s="586" t="str">
        <f t="shared" si="661"/>
        <v/>
      </c>
      <c r="Y2518" s="586" t="str">
        <f t="shared" si="672"/>
        <v/>
      </c>
      <c r="Z2518" s="586" t="str">
        <f t="shared" si="660"/>
        <v/>
      </c>
    </row>
    <row r="2519" spans="1:26" ht="12" hidden="1" thickBot="1" x14ac:dyDescent="0.25">
      <c r="A2519" s="567" t="s">
        <v>168</v>
      </c>
      <c r="B2519" s="644" t="s">
        <v>168</v>
      </c>
      <c r="C2519" s="645"/>
      <c r="D2519" s="422" t="s">
        <v>252</v>
      </c>
      <c r="E2519" s="423"/>
      <c r="F2519" s="424">
        <v>20</v>
      </c>
      <c r="G2519" s="425">
        <f>VLOOKUP(D2516,'[2]ENSAIOS DE ORÇAMENTO'!$C$3:$L$79,6,FALSE)</f>
        <v>0.37851000000000007</v>
      </c>
      <c r="H2519" s="663">
        <f t="shared" si="676"/>
        <v>9.1145208000000029</v>
      </c>
      <c r="I2519" s="420"/>
      <c r="J2519" s="420"/>
      <c r="K2519" s="421">
        <f t="shared" si="666"/>
        <v>0</v>
      </c>
      <c r="L2519" s="647"/>
      <c r="M2519" s="723"/>
      <c r="N2519" s="576">
        <f t="shared" si="675"/>
        <v>0</v>
      </c>
      <c r="O2519" s="577">
        <f t="shared" si="669"/>
        <v>0</v>
      </c>
      <c r="P2519" s="578">
        <f t="shared" si="670"/>
        <v>0</v>
      </c>
      <c r="Q2519" s="765"/>
      <c r="R2519" s="723"/>
      <c r="S2519" s="723"/>
      <c r="T2519" s="577">
        <f t="shared" si="667"/>
        <v>0</v>
      </c>
      <c r="U2519" s="578">
        <f t="shared" si="668"/>
        <v>0</v>
      </c>
      <c r="V2519" s="579"/>
      <c r="W2519" s="566" t="str">
        <f>IF(U2516&gt;0,"xx",IF(P2516&gt;0,"xy",""))</f>
        <v/>
      </c>
      <c r="X2519" s="586" t="str">
        <f t="shared" si="661"/>
        <v/>
      </c>
      <c r="Y2519" s="586" t="str">
        <f t="shared" si="672"/>
        <v/>
      </c>
      <c r="Z2519" s="586" t="str">
        <f t="shared" si="660"/>
        <v/>
      </c>
    </row>
    <row r="2520" spans="1:26" ht="12" hidden="1" thickBot="1" x14ac:dyDescent="0.25">
      <c r="A2520" s="567" t="s">
        <v>168</v>
      </c>
      <c r="B2520" s="644" t="s">
        <v>168</v>
      </c>
      <c r="C2520" s="645"/>
      <c r="D2520" s="422" t="s">
        <v>400</v>
      </c>
      <c r="E2520" s="423"/>
      <c r="F2520" s="424">
        <v>30</v>
      </c>
      <c r="G2520" s="425">
        <f>VLOOKUP(D2516,'[2]ENSAIOS DE ORÇAMENTO'!$C$3:$L$79,3,FALSE)</f>
        <v>0</v>
      </c>
      <c r="H2520" s="663">
        <f t="shared" si="676"/>
        <v>0</v>
      </c>
      <c r="I2520" s="420"/>
      <c r="J2520" s="420"/>
      <c r="K2520" s="421">
        <f t="shared" si="666"/>
        <v>0</v>
      </c>
      <c r="L2520" s="647"/>
      <c r="M2520" s="723"/>
      <c r="N2520" s="576">
        <f t="shared" si="675"/>
        <v>0</v>
      </c>
      <c r="O2520" s="577">
        <f t="shared" si="669"/>
        <v>0</v>
      </c>
      <c r="P2520" s="578">
        <f t="shared" si="670"/>
        <v>0</v>
      </c>
      <c r="Q2520" s="765"/>
      <c r="R2520" s="723"/>
      <c r="S2520" s="723"/>
      <c r="T2520" s="577">
        <f t="shared" si="667"/>
        <v>0</v>
      </c>
      <c r="U2520" s="578">
        <f t="shared" si="668"/>
        <v>0</v>
      </c>
      <c r="V2520" s="579"/>
      <c r="W2520" s="566" t="str">
        <f>IF(U2516&gt;0,"xx",IF(P2516&gt;0,"xy",""))</f>
        <v/>
      </c>
      <c r="X2520" s="586" t="str">
        <f t="shared" si="661"/>
        <v/>
      </c>
      <c r="Y2520" s="586" t="str">
        <f t="shared" si="672"/>
        <v/>
      </c>
      <c r="Z2520" s="586" t="str">
        <f t="shared" si="660"/>
        <v/>
      </c>
    </row>
    <row r="2521" spans="1:26" ht="12" hidden="1" thickBot="1" x14ac:dyDescent="0.25">
      <c r="A2521" s="567" t="s">
        <v>168</v>
      </c>
      <c r="B2521" s="644" t="s">
        <v>168</v>
      </c>
      <c r="C2521" s="645"/>
      <c r="D2521" s="422" t="s">
        <v>401</v>
      </c>
      <c r="E2521" s="423"/>
      <c r="F2521" s="424">
        <v>500</v>
      </c>
      <c r="G2521" s="425">
        <f>VLOOKUP(D2516,'[2]ENSAIOS DE ORÇAMENTO'!$C$3:$L$79,10,FALSE)</f>
        <v>0</v>
      </c>
      <c r="H2521" s="649">
        <f>IF(F2521&lt;=30,(0.78*F2521+7.82)*G2521,((0.78*30+7.82)+0.78*(F2521-30))*G2521)</f>
        <v>0</v>
      </c>
      <c r="I2521" s="420"/>
      <c r="J2521" s="420"/>
      <c r="K2521" s="421">
        <f t="shared" si="666"/>
        <v>0</v>
      </c>
      <c r="L2521" s="647"/>
      <c r="M2521" s="723"/>
      <c r="N2521" s="576">
        <f t="shared" si="675"/>
        <v>0</v>
      </c>
      <c r="O2521" s="577">
        <f t="shared" si="669"/>
        <v>0</v>
      </c>
      <c r="P2521" s="578">
        <f t="shared" si="670"/>
        <v>0</v>
      </c>
      <c r="Q2521" s="765"/>
      <c r="R2521" s="723"/>
      <c r="S2521" s="723"/>
      <c r="T2521" s="577">
        <f t="shared" si="667"/>
        <v>0</v>
      </c>
      <c r="U2521" s="578">
        <f t="shared" si="668"/>
        <v>0</v>
      </c>
      <c r="V2521" s="579"/>
      <c r="W2521" s="566" t="str">
        <f>IF(U2516&gt;0,"xx",IF(P2516&gt;0,"xy",""))</f>
        <v/>
      </c>
      <c r="X2521" s="586" t="str">
        <f t="shared" si="661"/>
        <v/>
      </c>
      <c r="Y2521" s="586" t="str">
        <f t="shared" si="672"/>
        <v/>
      </c>
      <c r="Z2521" s="586" t="str">
        <f t="shared" si="660"/>
        <v/>
      </c>
    </row>
    <row r="2522" spans="1:26" ht="12" hidden="1" thickBot="1" x14ac:dyDescent="0.25">
      <c r="A2522" s="567" t="s">
        <v>51</v>
      </c>
      <c r="B2522" s="644" t="s">
        <v>51</v>
      </c>
      <c r="C2522" s="645" t="s">
        <v>206</v>
      </c>
      <c r="D2522" s="422" t="s">
        <v>423</v>
      </c>
      <c r="E2522" s="423"/>
      <c r="F2522" s="424"/>
      <c r="G2522" s="425"/>
      <c r="H2522" s="651">
        <f>SUM(H2523:H2527)</f>
        <v>125.34690588000004</v>
      </c>
      <c r="I2522" s="420">
        <f>VLOOKUP(D2522,'[2]ENSAIOS DE ORÇAMENTO'!$C$3:$L$79,8,FALSE)</f>
        <v>802.57491000000005</v>
      </c>
      <c r="J2522" s="420">
        <f>IF(ISBLANK(I2522),"",SUM(H2522:I2522))</f>
        <v>927.92181588000005</v>
      </c>
      <c r="K2522" s="421">
        <f t="shared" si="666"/>
        <v>1102.46</v>
      </c>
      <c r="L2522" s="647" t="s">
        <v>21</v>
      </c>
      <c r="M2522" s="576"/>
      <c r="N2522" s="576">
        <f t="shared" si="675"/>
        <v>0</v>
      </c>
      <c r="O2522" s="577">
        <f t="shared" si="669"/>
        <v>0</v>
      </c>
      <c r="P2522" s="578">
        <f t="shared" si="670"/>
        <v>0</v>
      </c>
      <c r="Q2522" s="765"/>
      <c r="R2522" s="576">
        <f>M2522</f>
        <v>0</v>
      </c>
      <c r="S2522" s="576">
        <f>N2522</f>
        <v>0</v>
      </c>
      <c r="T2522" s="577">
        <f t="shared" si="667"/>
        <v>0</v>
      </c>
      <c r="U2522" s="578">
        <f t="shared" si="668"/>
        <v>0</v>
      </c>
      <c r="V2522" s="579"/>
      <c r="W2522" s="566"/>
      <c r="X2522" s="586" t="str">
        <f t="shared" si="661"/>
        <v/>
      </c>
      <c r="Y2522" s="586" t="str">
        <f t="shared" si="672"/>
        <v/>
      </c>
      <c r="Z2522" s="586" t="str">
        <f t="shared" si="660"/>
        <v/>
      </c>
    </row>
    <row r="2523" spans="1:26" ht="12" hidden="1" thickBot="1" x14ac:dyDescent="0.25">
      <c r="A2523" s="567" t="s">
        <v>168</v>
      </c>
      <c r="B2523" s="644" t="s">
        <v>168</v>
      </c>
      <c r="C2523" s="645"/>
      <c r="D2523" s="422" t="s">
        <v>212</v>
      </c>
      <c r="E2523" s="423"/>
      <c r="F2523" s="424">
        <v>500</v>
      </c>
      <c r="G2523" s="425">
        <f>VLOOKUP(D2522,'[2]ENSAIOS DE ORÇAMENTO'!$C$3:$L$79,4,FALSE)</f>
        <v>0.12243000000000002</v>
      </c>
      <c r="H2523" s="649">
        <f>IF(F2523&lt;=30,(0.78*F2523+7.82)*G2523,((0.78*30+7.82)+0.78*(F2523-30))*G2523)</f>
        <v>48.705102600000018</v>
      </c>
      <c r="I2523" s="420"/>
      <c r="J2523" s="420"/>
      <c r="K2523" s="421">
        <f t="shared" si="666"/>
        <v>0</v>
      </c>
      <c r="L2523" s="647"/>
      <c r="M2523" s="723"/>
      <c r="N2523" s="576">
        <f t="shared" si="675"/>
        <v>0</v>
      </c>
      <c r="O2523" s="577">
        <f>IF(ISBLANK(M2523),0,ROUND(K2523*M2523,2))</f>
        <v>0</v>
      </c>
      <c r="P2523" s="578">
        <f t="shared" si="670"/>
        <v>0</v>
      </c>
      <c r="Q2523" s="765"/>
      <c r="R2523" s="723"/>
      <c r="S2523" s="723"/>
      <c r="T2523" s="577">
        <f t="shared" si="667"/>
        <v>0</v>
      </c>
      <c r="U2523" s="578">
        <f t="shared" si="668"/>
        <v>0</v>
      </c>
      <c r="V2523" s="579"/>
      <c r="W2523" s="566" t="str">
        <f>IF(U2522&gt;0,"xx",IF(P2522&gt;0,"xy",""))</f>
        <v/>
      </c>
      <c r="X2523" s="586" t="str">
        <f t="shared" si="661"/>
        <v/>
      </c>
      <c r="Y2523" s="586" t="str">
        <f t="shared" si="672"/>
        <v/>
      </c>
      <c r="Z2523" s="586" t="str">
        <f t="shared" si="660"/>
        <v/>
      </c>
    </row>
    <row r="2524" spans="1:26" ht="12" hidden="1" thickBot="1" x14ac:dyDescent="0.25">
      <c r="A2524" s="567" t="s">
        <v>168</v>
      </c>
      <c r="B2524" s="644" t="s">
        <v>168</v>
      </c>
      <c r="C2524" s="645"/>
      <c r="D2524" s="422" t="s">
        <v>248</v>
      </c>
      <c r="E2524" s="423"/>
      <c r="F2524" s="424">
        <v>180</v>
      </c>
      <c r="G2524" s="425">
        <f>VLOOKUP(D2522,'[2]ENSAIOS DE ORÇAMENTO'!$C$3:$L$79,5,FALSE)</f>
        <v>0.34169100000000008</v>
      </c>
      <c r="H2524" s="663">
        <f t="shared" ref="H2524:H2526" si="677">IF(F2524&lt;=30,(1.07*F2524+2.68)*G2524,((1.07*30+2.68)+1.07*(F2524-30))*G2524)</f>
        <v>66.725418480000016</v>
      </c>
      <c r="I2524" s="420"/>
      <c r="J2524" s="420"/>
      <c r="K2524" s="421">
        <f t="shared" si="666"/>
        <v>0</v>
      </c>
      <c r="L2524" s="647"/>
      <c r="M2524" s="723"/>
      <c r="N2524" s="576">
        <f t="shared" si="675"/>
        <v>0</v>
      </c>
      <c r="O2524" s="577">
        <f t="shared" si="669"/>
        <v>0</v>
      </c>
      <c r="P2524" s="578">
        <f t="shared" si="670"/>
        <v>0</v>
      </c>
      <c r="Q2524" s="765"/>
      <c r="R2524" s="723"/>
      <c r="S2524" s="723"/>
      <c r="T2524" s="577">
        <f t="shared" si="667"/>
        <v>0</v>
      </c>
      <c r="U2524" s="578">
        <f t="shared" si="668"/>
        <v>0</v>
      </c>
      <c r="V2524" s="579"/>
      <c r="W2524" s="566" t="str">
        <f>IF(U2522&gt;0,"xx",IF(P2522&gt;0,"xy",""))</f>
        <v/>
      </c>
      <c r="X2524" s="586" t="str">
        <f t="shared" si="661"/>
        <v/>
      </c>
      <c r="Y2524" s="586" t="str">
        <f t="shared" si="672"/>
        <v/>
      </c>
      <c r="Z2524" s="586" t="str">
        <f t="shared" si="660"/>
        <v/>
      </c>
    </row>
    <row r="2525" spans="1:26" ht="12" hidden="1" thickBot="1" x14ac:dyDescent="0.25">
      <c r="A2525" s="567" t="s">
        <v>168</v>
      </c>
      <c r="B2525" s="644" t="s">
        <v>168</v>
      </c>
      <c r="C2525" s="645"/>
      <c r="D2525" s="422" t="s">
        <v>252</v>
      </c>
      <c r="E2525" s="423"/>
      <c r="F2525" s="424">
        <v>20</v>
      </c>
      <c r="G2525" s="425">
        <f>VLOOKUP(D2522,'[2]ENSAIOS DE ORÇAMENTO'!$C$3:$L$79,6,FALSE)</f>
        <v>0.41181000000000012</v>
      </c>
      <c r="H2525" s="663">
        <f t="shared" si="677"/>
        <v>9.916384800000003</v>
      </c>
      <c r="I2525" s="420"/>
      <c r="J2525" s="420"/>
      <c r="K2525" s="421">
        <f t="shared" si="666"/>
        <v>0</v>
      </c>
      <c r="L2525" s="647"/>
      <c r="M2525" s="723"/>
      <c r="N2525" s="576">
        <f t="shared" si="675"/>
        <v>0</v>
      </c>
      <c r="O2525" s="577">
        <f t="shared" si="669"/>
        <v>0</v>
      </c>
      <c r="P2525" s="578">
        <f t="shared" si="670"/>
        <v>0</v>
      </c>
      <c r="Q2525" s="765"/>
      <c r="R2525" s="723"/>
      <c r="S2525" s="723"/>
      <c r="T2525" s="577">
        <f t="shared" si="667"/>
        <v>0</v>
      </c>
      <c r="U2525" s="578">
        <f t="shared" si="668"/>
        <v>0</v>
      </c>
      <c r="V2525" s="579"/>
      <c r="W2525" s="566" t="str">
        <f>IF(U2522&gt;0,"xx",IF(P2522&gt;0,"xy",""))</f>
        <v/>
      </c>
      <c r="X2525" s="586" t="str">
        <f t="shared" si="661"/>
        <v/>
      </c>
      <c r="Y2525" s="586" t="str">
        <f t="shared" si="672"/>
        <v/>
      </c>
      <c r="Z2525" s="586" t="str">
        <f t="shared" si="660"/>
        <v/>
      </c>
    </row>
    <row r="2526" spans="1:26" ht="12" hidden="1" thickBot="1" x14ac:dyDescent="0.25">
      <c r="A2526" s="567" t="s">
        <v>168</v>
      </c>
      <c r="B2526" s="644" t="s">
        <v>168</v>
      </c>
      <c r="C2526" s="645"/>
      <c r="D2526" s="422" t="s">
        <v>400</v>
      </c>
      <c r="E2526" s="423"/>
      <c r="F2526" s="424">
        <v>30</v>
      </c>
      <c r="G2526" s="425">
        <f>VLOOKUP(D2522,'[2]ENSAIOS DE ORÇAMENTO'!$C$3:$L$79,3,FALSE)</f>
        <v>0</v>
      </c>
      <c r="H2526" s="663">
        <f t="shared" si="677"/>
        <v>0</v>
      </c>
      <c r="I2526" s="420"/>
      <c r="J2526" s="420"/>
      <c r="K2526" s="421">
        <f t="shared" si="666"/>
        <v>0</v>
      </c>
      <c r="L2526" s="647"/>
      <c r="M2526" s="723"/>
      <c r="N2526" s="576">
        <f t="shared" si="675"/>
        <v>0</v>
      </c>
      <c r="O2526" s="577">
        <f t="shared" si="669"/>
        <v>0</v>
      </c>
      <c r="P2526" s="578">
        <f t="shared" si="670"/>
        <v>0</v>
      </c>
      <c r="Q2526" s="765"/>
      <c r="R2526" s="723"/>
      <c r="S2526" s="723"/>
      <c r="T2526" s="577">
        <f t="shared" si="667"/>
        <v>0</v>
      </c>
      <c r="U2526" s="578">
        <f t="shared" si="668"/>
        <v>0</v>
      </c>
      <c r="V2526" s="579"/>
      <c r="W2526" s="566" t="str">
        <f>IF(U2522&gt;0,"xx",IF(P2522&gt;0,"xy",""))</f>
        <v/>
      </c>
      <c r="X2526" s="586" t="str">
        <f t="shared" si="661"/>
        <v/>
      </c>
      <c r="Y2526" s="586" t="str">
        <f t="shared" si="672"/>
        <v/>
      </c>
      <c r="Z2526" s="586" t="str">
        <f t="shared" si="660"/>
        <v/>
      </c>
    </row>
    <row r="2527" spans="1:26" ht="12" hidden="1" thickBot="1" x14ac:dyDescent="0.25">
      <c r="A2527" s="567" t="s">
        <v>168</v>
      </c>
      <c r="B2527" s="644" t="s">
        <v>168</v>
      </c>
      <c r="C2527" s="645"/>
      <c r="D2527" s="422" t="s">
        <v>401</v>
      </c>
      <c r="E2527" s="423"/>
      <c r="F2527" s="424">
        <v>500</v>
      </c>
      <c r="G2527" s="425">
        <f>VLOOKUP(D2522,'[2]ENSAIOS DE ORÇAMENTO'!$C$3:$L$79,10,FALSE)</f>
        <v>0</v>
      </c>
      <c r="H2527" s="649">
        <f>IF(F2527&lt;=30,(0.78*F2527+7.82)*G2527,((0.78*30+7.82)+0.78*(F2527-30))*G2527)</f>
        <v>0</v>
      </c>
      <c r="I2527" s="420"/>
      <c r="J2527" s="420"/>
      <c r="K2527" s="421">
        <f t="shared" si="666"/>
        <v>0</v>
      </c>
      <c r="L2527" s="647"/>
      <c r="M2527" s="723"/>
      <c r="N2527" s="576">
        <f t="shared" si="675"/>
        <v>0</v>
      </c>
      <c r="O2527" s="577">
        <f t="shared" si="669"/>
        <v>0</v>
      </c>
      <c r="P2527" s="578">
        <f t="shared" si="670"/>
        <v>0</v>
      </c>
      <c r="Q2527" s="765"/>
      <c r="R2527" s="723"/>
      <c r="S2527" s="723"/>
      <c r="T2527" s="577">
        <f t="shared" si="667"/>
        <v>0</v>
      </c>
      <c r="U2527" s="578">
        <f t="shared" si="668"/>
        <v>0</v>
      </c>
      <c r="V2527" s="579"/>
      <c r="W2527" s="566" t="str">
        <f>IF(U2522&gt;0,"xx",IF(P2522&gt;0,"xy",""))</f>
        <v/>
      </c>
      <c r="X2527" s="586" t="str">
        <f t="shared" si="661"/>
        <v/>
      </c>
      <c r="Y2527" s="586" t="str">
        <f t="shared" si="672"/>
        <v/>
      </c>
      <c r="Z2527" s="586" t="str">
        <f t="shared" si="660"/>
        <v/>
      </c>
    </row>
    <row r="2528" spans="1:26" ht="12" hidden="1" thickBot="1" x14ac:dyDescent="0.25">
      <c r="A2528" s="567" t="s">
        <v>52</v>
      </c>
      <c r="B2528" s="644" t="s">
        <v>52</v>
      </c>
      <c r="C2528" s="645" t="s">
        <v>206</v>
      </c>
      <c r="D2528" s="422" t="s">
        <v>424</v>
      </c>
      <c r="E2528" s="423"/>
      <c r="F2528" s="424"/>
      <c r="G2528" s="425"/>
      <c r="H2528" s="651">
        <f>SUM(H2529:H2533)</f>
        <v>135.48277428</v>
      </c>
      <c r="I2528" s="420">
        <f>VLOOKUP(D2528,'[2]ENSAIOS DE ORÇAMENTO'!$C$3:$L$79,8,FALSE)</f>
        <v>915.5098099999999</v>
      </c>
      <c r="J2528" s="420">
        <f>IF(ISBLANK(I2528),"",SUM(H2528:I2528))</f>
        <v>1050.9925842799998</v>
      </c>
      <c r="K2528" s="421">
        <f t="shared" si="666"/>
        <v>1248.68</v>
      </c>
      <c r="L2528" s="647" t="s">
        <v>21</v>
      </c>
      <c r="M2528" s="576"/>
      <c r="N2528" s="576">
        <f t="shared" si="675"/>
        <v>0</v>
      </c>
      <c r="O2528" s="577">
        <f t="shared" si="669"/>
        <v>0</v>
      </c>
      <c r="P2528" s="578">
        <f t="shared" si="670"/>
        <v>0</v>
      </c>
      <c r="Q2528" s="765"/>
      <c r="R2528" s="576">
        <f>M2528</f>
        <v>0</v>
      </c>
      <c r="S2528" s="576">
        <f>N2528</f>
        <v>0</v>
      </c>
      <c r="T2528" s="577">
        <f t="shared" si="667"/>
        <v>0</v>
      </c>
      <c r="U2528" s="578">
        <f t="shared" si="668"/>
        <v>0</v>
      </c>
      <c r="V2528" s="579"/>
      <c r="W2528" s="566"/>
      <c r="X2528" s="586" t="str">
        <f t="shared" si="661"/>
        <v/>
      </c>
      <c r="Y2528" s="586" t="str">
        <f t="shared" si="672"/>
        <v/>
      </c>
      <c r="Z2528" s="586" t="str">
        <f t="shared" si="660"/>
        <v/>
      </c>
    </row>
    <row r="2529" spans="1:26" ht="12" hidden="1" thickBot="1" x14ac:dyDescent="0.25">
      <c r="A2529" s="567" t="s">
        <v>168</v>
      </c>
      <c r="B2529" s="644" t="s">
        <v>168</v>
      </c>
      <c r="C2529" s="645"/>
      <c r="D2529" s="422" t="s">
        <v>212</v>
      </c>
      <c r="E2529" s="423"/>
      <c r="F2529" s="424">
        <v>500</v>
      </c>
      <c r="G2529" s="425">
        <f>VLOOKUP(D2528,'[2]ENSAIOS DE ORÇAMENTO'!$C$3:$L$79,4,FALSE)</f>
        <v>0.13233</v>
      </c>
      <c r="H2529" s="649">
        <f>IF(F2529&lt;=30,(0.78*F2529+7.82)*G2529,((0.78*30+7.82)+0.78*(F2529-30))*G2529)</f>
        <v>52.643520600000009</v>
      </c>
      <c r="I2529" s="420"/>
      <c r="J2529" s="420"/>
      <c r="K2529" s="421">
        <f t="shared" si="666"/>
        <v>0</v>
      </c>
      <c r="L2529" s="647"/>
      <c r="M2529" s="723"/>
      <c r="N2529" s="576">
        <f t="shared" si="675"/>
        <v>0</v>
      </c>
      <c r="O2529" s="577">
        <f t="shared" si="669"/>
        <v>0</v>
      </c>
      <c r="P2529" s="578">
        <f t="shared" si="670"/>
        <v>0</v>
      </c>
      <c r="Q2529" s="765"/>
      <c r="R2529" s="723"/>
      <c r="S2529" s="723"/>
      <c r="T2529" s="577">
        <f t="shared" si="667"/>
        <v>0</v>
      </c>
      <c r="U2529" s="578">
        <f t="shared" si="668"/>
        <v>0</v>
      </c>
      <c r="V2529" s="579"/>
      <c r="W2529" s="566" t="str">
        <f>IF(U2528&gt;0,"xx",IF(P2528&gt;0,"xy",""))</f>
        <v/>
      </c>
      <c r="X2529" s="586" t="str">
        <f t="shared" si="661"/>
        <v/>
      </c>
      <c r="Y2529" s="586" t="str">
        <f t="shared" si="672"/>
        <v/>
      </c>
      <c r="Z2529" s="586" t="str">
        <f t="shared" si="660"/>
        <v/>
      </c>
    </row>
    <row r="2530" spans="1:26" ht="12" hidden="1" thickBot="1" x14ac:dyDescent="0.25">
      <c r="A2530" s="567" t="s">
        <v>168</v>
      </c>
      <c r="B2530" s="644" t="s">
        <v>168</v>
      </c>
      <c r="C2530" s="645"/>
      <c r="D2530" s="422" t="s">
        <v>248</v>
      </c>
      <c r="E2530" s="423"/>
      <c r="F2530" s="424">
        <v>180</v>
      </c>
      <c r="G2530" s="425">
        <f>VLOOKUP(D2528,'[2]ENSAIOS DE ORÇAMENTO'!$C$3:$L$79,5,FALSE)</f>
        <v>0.36932100000000001</v>
      </c>
      <c r="H2530" s="663">
        <f t="shared" ref="H2530:H2532" si="678">IF(F2530&lt;=30,(1.07*F2530+2.68)*G2530,((1.07*30+2.68)+1.07*(F2530-30))*G2530)</f>
        <v>72.121004880000001</v>
      </c>
      <c r="I2530" s="420"/>
      <c r="J2530" s="420"/>
      <c r="K2530" s="421">
        <f t="shared" si="666"/>
        <v>0</v>
      </c>
      <c r="L2530" s="647"/>
      <c r="M2530" s="723"/>
      <c r="N2530" s="576">
        <f t="shared" si="675"/>
        <v>0</v>
      </c>
      <c r="O2530" s="577">
        <f t="shared" si="669"/>
        <v>0</v>
      </c>
      <c r="P2530" s="578">
        <f t="shared" si="670"/>
        <v>0</v>
      </c>
      <c r="Q2530" s="765"/>
      <c r="R2530" s="723"/>
      <c r="S2530" s="723"/>
      <c r="T2530" s="577">
        <f t="shared" si="667"/>
        <v>0</v>
      </c>
      <c r="U2530" s="578">
        <f t="shared" si="668"/>
        <v>0</v>
      </c>
      <c r="V2530" s="579"/>
      <c r="W2530" s="566" t="str">
        <f>IF(U2528&gt;0,"xx",IF(P2528&gt;0,"xy",""))</f>
        <v/>
      </c>
      <c r="X2530" s="586" t="str">
        <f t="shared" si="661"/>
        <v/>
      </c>
      <c r="Y2530" s="586" t="str">
        <f t="shared" si="672"/>
        <v/>
      </c>
      <c r="Z2530" s="586" t="str">
        <f t="shared" si="660"/>
        <v/>
      </c>
    </row>
    <row r="2531" spans="1:26" ht="12" hidden="1" thickBot="1" x14ac:dyDescent="0.25">
      <c r="A2531" s="567" t="s">
        <v>168</v>
      </c>
      <c r="B2531" s="644" t="s">
        <v>168</v>
      </c>
      <c r="C2531" s="645"/>
      <c r="D2531" s="422" t="s">
        <v>252</v>
      </c>
      <c r="E2531" s="423"/>
      <c r="F2531" s="424">
        <v>20</v>
      </c>
      <c r="G2531" s="425">
        <f>VLOOKUP(D2528,'[2]ENSAIOS DE ORÇAMENTO'!$C$3:$L$79,6,FALSE)</f>
        <v>0.44511000000000006</v>
      </c>
      <c r="H2531" s="663">
        <f t="shared" si="678"/>
        <v>10.718248800000003</v>
      </c>
      <c r="I2531" s="420"/>
      <c r="J2531" s="420"/>
      <c r="K2531" s="421">
        <f t="shared" si="666"/>
        <v>0</v>
      </c>
      <c r="L2531" s="647"/>
      <c r="M2531" s="723"/>
      <c r="N2531" s="576">
        <f t="shared" si="675"/>
        <v>0</v>
      </c>
      <c r="O2531" s="577">
        <f t="shared" si="669"/>
        <v>0</v>
      </c>
      <c r="P2531" s="578">
        <f t="shared" si="670"/>
        <v>0</v>
      </c>
      <c r="Q2531" s="765"/>
      <c r="R2531" s="723"/>
      <c r="S2531" s="723"/>
      <c r="T2531" s="577">
        <f t="shared" si="667"/>
        <v>0</v>
      </c>
      <c r="U2531" s="578">
        <f t="shared" si="668"/>
        <v>0</v>
      </c>
      <c r="V2531" s="579"/>
      <c r="W2531" s="566" t="str">
        <f>IF(U2528&gt;0,"xx",IF(P2528&gt;0,"xy",""))</f>
        <v/>
      </c>
      <c r="X2531" s="586" t="str">
        <f t="shared" si="661"/>
        <v/>
      </c>
      <c r="Y2531" s="586" t="str">
        <f t="shared" si="672"/>
        <v/>
      </c>
      <c r="Z2531" s="586" t="str">
        <f t="shared" si="660"/>
        <v/>
      </c>
    </row>
    <row r="2532" spans="1:26" ht="12" hidden="1" thickBot="1" x14ac:dyDescent="0.25">
      <c r="A2532" s="567" t="s">
        <v>168</v>
      </c>
      <c r="B2532" s="644" t="s">
        <v>168</v>
      </c>
      <c r="C2532" s="645"/>
      <c r="D2532" s="422" t="s">
        <v>400</v>
      </c>
      <c r="E2532" s="423"/>
      <c r="F2532" s="424">
        <v>30</v>
      </c>
      <c r="G2532" s="425">
        <f>VLOOKUP(D2528,'[2]ENSAIOS DE ORÇAMENTO'!$C$3:$L$79,3,FALSE)</f>
        <v>0</v>
      </c>
      <c r="H2532" s="663">
        <f t="shared" si="678"/>
        <v>0</v>
      </c>
      <c r="I2532" s="420"/>
      <c r="J2532" s="420"/>
      <c r="K2532" s="421">
        <f t="shared" si="666"/>
        <v>0</v>
      </c>
      <c r="L2532" s="647"/>
      <c r="M2532" s="723"/>
      <c r="N2532" s="576">
        <f t="shared" si="675"/>
        <v>0</v>
      </c>
      <c r="O2532" s="577">
        <f t="shared" si="669"/>
        <v>0</v>
      </c>
      <c r="P2532" s="578">
        <f t="shared" si="670"/>
        <v>0</v>
      </c>
      <c r="Q2532" s="765"/>
      <c r="R2532" s="723"/>
      <c r="S2532" s="723"/>
      <c r="T2532" s="577">
        <f t="shared" si="667"/>
        <v>0</v>
      </c>
      <c r="U2532" s="578">
        <f t="shared" si="668"/>
        <v>0</v>
      </c>
      <c r="V2532" s="579"/>
      <c r="W2532" s="566" t="str">
        <f>IF(U2528&gt;0,"xx",IF(P2528&gt;0,"xy",""))</f>
        <v/>
      </c>
      <c r="X2532" s="586" t="str">
        <f t="shared" si="661"/>
        <v/>
      </c>
      <c r="Y2532" s="586" t="str">
        <f t="shared" si="672"/>
        <v/>
      </c>
      <c r="Z2532" s="586" t="str">
        <f t="shared" si="660"/>
        <v/>
      </c>
    </row>
    <row r="2533" spans="1:26" ht="12" hidden="1" thickBot="1" x14ac:dyDescent="0.25">
      <c r="A2533" s="567" t="s">
        <v>168</v>
      </c>
      <c r="B2533" s="644" t="s">
        <v>168</v>
      </c>
      <c r="C2533" s="645"/>
      <c r="D2533" s="422" t="s">
        <v>401</v>
      </c>
      <c r="E2533" s="423"/>
      <c r="F2533" s="424">
        <v>500</v>
      </c>
      <c r="G2533" s="425">
        <f>VLOOKUP(D2528,'[2]ENSAIOS DE ORÇAMENTO'!$C$3:$L$79,10,FALSE)</f>
        <v>0</v>
      </c>
      <c r="H2533" s="649">
        <f>IF(F2533&lt;=30,(0.78*F2533+7.82)*G2533,((0.78*30+7.82)+0.78*(F2533-30))*G2533)</f>
        <v>0</v>
      </c>
      <c r="I2533" s="420"/>
      <c r="J2533" s="420"/>
      <c r="K2533" s="421">
        <f t="shared" si="666"/>
        <v>0</v>
      </c>
      <c r="L2533" s="647"/>
      <c r="M2533" s="723"/>
      <c r="N2533" s="576">
        <f t="shared" si="675"/>
        <v>0</v>
      </c>
      <c r="O2533" s="577">
        <f t="shared" si="669"/>
        <v>0</v>
      </c>
      <c r="P2533" s="578">
        <f t="shared" si="670"/>
        <v>0</v>
      </c>
      <c r="Q2533" s="765"/>
      <c r="R2533" s="723"/>
      <c r="S2533" s="723"/>
      <c r="T2533" s="577">
        <f t="shared" si="667"/>
        <v>0</v>
      </c>
      <c r="U2533" s="578">
        <f t="shared" si="668"/>
        <v>0</v>
      </c>
      <c r="V2533" s="579"/>
      <c r="W2533" s="566" t="str">
        <f>IF(U2528&gt;0,"xx",IF(P2528&gt;0,"xy",""))</f>
        <v/>
      </c>
      <c r="X2533" s="586" t="str">
        <f t="shared" si="661"/>
        <v/>
      </c>
      <c r="Y2533" s="586" t="str">
        <f t="shared" si="672"/>
        <v/>
      </c>
      <c r="Z2533" s="586" t="str">
        <f t="shared" si="660"/>
        <v/>
      </c>
    </row>
    <row r="2534" spans="1:26" ht="12" hidden="1" thickBot="1" x14ac:dyDescent="0.25">
      <c r="A2534" s="567" t="s">
        <v>53</v>
      </c>
      <c r="B2534" s="644" t="s">
        <v>53</v>
      </c>
      <c r="C2534" s="645" t="s">
        <v>206</v>
      </c>
      <c r="D2534" s="422" t="s">
        <v>425</v>
      </c>
      <c r="E2534" s="423"/>
      <c r="F2534" s="424"/>
      <c r="G2534" s="425"/>
      <c r="H2534" s="651">
        <f>SUM(H2535:H2539)</f>
        <v>526.38599499999998</v>
      </c>
      <c r="I2534" s="420">
        <f>VLOOKUP(D2534,'[2]ENSAIOS DE ORÇAMENTO'!$C$3:$L$79,8,FALSE)</f>
        <v>911.90959999999995</v>
      </c>
      <c r="J2534" s="420">
        <f>IF(ISBLANK(I2534),"",SUM(H2534:I2534))</f>
        <v>1438.295595</v>
      </c>
      <c r="K2534" s="421">
        <f t="shared" si="666"/>
        <v>1708.84</v>
      </c>
      <c r="L2534" s="647" t="s">
        <v>21</v>
      </c>
      <c r="M2534" s="576"/>
      <c r="N2534" s="576">
        <f t="shared" si="675"/>
        <v>0</v>
      </c>
      <c r="O2534" s="577">
        <f t="shared" si="669"/>
        <v>0</v>
      </c>
      <c r="P2534" s="578">
        <f t="shared" si="670"/>
        <v>0</v>
      </c>
      <c r="Q2534" s="765"/>
      <c r="R2534" s="576">
        <f>M2534</f>
        <v>0</v>
      </c>
      <c r="S2534" s="576">
        <f>N2534</f>
        <v>0</v>
      </c>
      <c r="T2534" s="577">
        <f t="shared" si="667"/>
        <v>0</v>
      </c>
      <c r="U2534" s="578">
        <f t="shared" si="668"/>
        <v>0</v>
      </c>
      <c r="V2534" s="579"/>
      <c r="W2534" s="566"/>
      <c r="X2534" s="586" t="str">
        <f t="shared" si="661"/>
        <v/>
      </c>
      <c r="Y2534" s="586" t="str">
        <f t="shared" si="672"/>
        <v/>
      </c>
      <c r="Z2534" s="586" t="str">
        <f t="shared" si="660"/>
        <v/>
      </c>
    </row>
    <row r="2535" spans="1:26" ht="12" hidden="1" thickBot="1" x14ac:dyDescent="0.25">
      <c r="A2535" s="567" t="s">
        <v>168</v>
      </c>
      <c r="B2535" s="644" t="s">
        <v>168</v>
      </c>
      <c r="C2535" s="645"/>
      <c r="D2535" s="422" t="s">
        <v>212</v>
      </c>
      <c r="E2535" s="423"/>
      <c r="F2535" s="424">
        <v>500</v>
      </c>
      <c r="G2535" s="425">
        <f>VLOOKUP(D2534,'[2]ENSAIOS DE ORÇAMENTO'!$C$3:$L$79,4,FALSE)</f>
        <v>0.38417000000000001</v>
      </c>
      <c r="H2535" s="649">
        <f>IF(F2535&lt;=30,(0.78*F2535+7.82)*G2535,((0.78*30+7.82)+0.78*(F2535-30))*G2535)</f>
        <v>152.83050940000001</v>
      </c>
      <c r="I2535" s="420"/>
      <c r="J2535" s="420"/>
      <c r="K2535" s="421">
        <f t="shared" si="666"/>
        <v>0</v>
      </c>
      <c r="L2535" s="647"/>
      <c r="M2535" s="723"/>
      <c r="N2535" s="576">
        <f t="shared" si="675"/>
        <v>0</v>
      </c>
      <c r="O2535" s="577">
        <f t="shared" si="669"/>
        <v>0</v>
      </c>
      <c r="P2535" s="578">
        <f t="shared" si="670"/>
        <v>0</v>
      </c>
      <c r="Q2535" s="765"/>
      <c r="R2535" s="723"/>
      <c r="S2535" s="723"/>
      <c r="T2535" s="577">
        <f t="shared" si="667"/>
        <v>0</v>
      </c>
      <c r="U2535" s="578">
        <f t="shared" si="668"/>
        <v>0</v>
      </c>
      <c r="V2535" s="579"/>
      <c r="W2535" s="566" t="str">
        <f>IF(U2534&gt;0,"xx",IF(P2534&gt;0,"xy",""))</f>
        <v/>
      </c>
      <c r="X2535" s="586" t="str">
        <f t="shared" si="661"/>
        <v/>
      </c>
      <c r="Y2535" s="586" t="str">
        <f t="shared" si="672"/>
        <v/>
      </c>
      <c r="Z2535" s="586" t="str">
        <f t="shared" si="660"/>
        <v/>
      </c>
    </row>
    <row r="2536" spans="1:26" ht="12" hidden="1" thickBot="1" x14ac:dyDescent="0.25">
      <c r="A2536" s="567" t="s">
        <v>168</v>
      </c>
      <c r="B2536" s="644" t="s">
        <v>168</v>
      </c>
      <c r="C2536" s="645"/>
      <c r="D2536" s="422" t="s">
        <v>248</v>
      </c>
      <c r="E2536" s="423"/>
      <c r="F2536" s="424">
        <v>180</v>
      </c>
      <c r="G2536" s="425">
        <f>VLOOKUP(D2534,'[2]ENSAIOS DE ORÇAMENTO'!$C$3:$L$79,5,FALSE)</f>
        <v>1.55436</v>
      </c>
      <c r="H2536" s="663">
        <f t="shared" ref="H2536:H2538" si="679">IF(F2536&lt;=30,(1.07*F2536+2.68)*G2536,((1.07*30+2.68)+1.07*(F2536-30))*G2536)</f>
        <v>303.5354208</v>
      </c>
      <c r="I2536" s="420"/>
      <c r="J2536" s="420"/>
      <c r="K2536" s="421">
        <f t="shared" si="666"/>
        <v>0</v>
      </c>
      <c r="L2536" s="647"/>
      <c r="M2536" s="723"/>
      <c r="N2536" s="576">
        <f t="shared" si="675"/>
        <v>0</v>
      </c>
      <c r="O2536" s="577">
        <f t="shared" si="669"/>
        <v>0</v>
      </c>
      <c r="P2536" s="578">
        <f t="shared" si="670"/>
        <v>0</v>
      </c>
      <c r="Q2536" s="765"/>
      <c r="R2536" s="723"/>
      <c r="S2536" s="723"/>
      <c r="T2536" s="577">
        <f t="shared" si="667"/>
        <v>0</v>
      </c>
      <c r="U2536" s="578">
        <f t="shared" si="668"/>
        <v>0</v>
      </c>
      <c r="V2536" s="579"/>
      <c r="W2536" s="566" t="str">
        <f>IF(U2534&gt;0,"xx",IF(P2534&gt;0,"xy",""))</f>
        <v/>
      </c>
      <c r="X2536" s="586" t="str">
        <f t="shared" si="661"/>
        <v/>
      </c>
      <c r="Y2536" s="586" t="str">
        <f t="shared" si="672"/>
        <v/>
      </c>
      <c r="Z2536" s="586" t="str">
        <f t="shared" ref="Z2536:Z2599" si="680">IF(W2536="X","x",IF(U2536&gt;0,"x",""))</f>
        <v/>
      </c>
    </row>
    <row r="2537" spans="1:26" ht="12" hidden="1" thickBot="1" x14ac:dyDescent="0.25">
      <c r="A2537" s="567" t="s">
        <v>168</v>
      </c>
      <c r="B2537" s="644" t="s">
        <v>168</v>
      </c>
      <c r="C2537" s="645"/>
      <c r="D2537" s="422" t="s">
        <v>252</v>
      </c>
      <c r="E2537" s="423"/>
      <c r="F2537" s="424">
        <v>20</v>
      </c>
      <c r="G2537" s="425">
        <f>VLOOKUP(D2534,'[2]ENSAIOS DE ORÇAMENTO'!$C$3:$L$79,6,FALSE)</f>
        <v>2.9078100000000004</v>
      </c>
      <c r="H2537" s="663">
        <f t="shared" si="679"/>
        <v>70.020064800000014</v>
      </c>
      <c r="I2537" s="420"/>
      <c r="J2537" s="420"/>
      <c r="K2537" s="421">
        <f t="shared" si="666"/>
        <v>0</v>
      </c>
      <c r="L2537" s="647"/>
      <c r="M2537" s="723"/>
      <c r="N2537" s="576">
        <f t="shared" si="675"/>
        <v>0</v>
      </c>
      <c r="O2537" s="577">
        <f t="shared" si="669"/>
        <v>0</v>
      </c>
      <c r="P2537" s="578">
        <f t="shared" si="670"/>
        <v>0</v>
      </c>
      <c r="Q2537" s="765"/>
      <c r="R2537" s="723"/>
      <c r="S2537" s="723"/>
      <c r="T2537" s="577">
        <f t="shared" si="667"/>
        <v>0</v>
      </c>
      <c r="U2537" s="578">
        <f t="shared" si="668"/>
        <v>0</v>
      </c>
      <c r="V2537" s="579"/>
      <c r="W2537" s="566" t="str">
        <f>IF(U2534&gt;0,"xx",IF(P2534&gt;0,"xy",""))</f>
        <v/>
      </c>
      <c r="X2537" s="586" t="str">
        <f t="shared" si="661"/>
        <v/>
      </c>
      <c r="Y2537" s="586" t="str">
        <f t="shared" si="672"/>
        <v/>
      </c>
      <c r="Z2537" s="586" t="str">
        <f t="shared" si="680"/>
        <v/>
      </c>
    </row>
    <row r="2538" spans="1:26" ht="12" hidden="1" thickBot="1" x14ac:dyDescent="0.25">
      <c r="A2538" s="567" t="s">
        <v>168</v>
      </c>
      <c r="B2538" s="644" t="s">
        <v>168</v>
      </c>
      <c r="C2538" s="645"/>
      <c r="D2538" s="422" t="s">
        <v>400</v>
      </c>
      <c r="E2538" s="423"/>
      <c r="F2538" s="424">
        <v>30</v>
      </c>
      <c r="G2538" s="425">
        <f>VLOOKUP(D2534,'[2]ENSAIOS DE ORÇAMENTO'!$C$3:$L$79,3,FALSE)</f>
        <v>0</v>
      </c>
      <c r="H2538" s="663">
        <f t="shared" si="679"/>
        <v>0</v>
      </c>
      <c r="I2538" s="420"/>
      <c r="J2538" s="420"/>
      <c r="K2538" s="421">
        <f t="shared" si="666"/>
        <v>0</v>
      </c>
      <c r="L2538" s="647"/>
      <c r="M2538" s="723"/>
      <c r="N2538" s="576">
        <f t="shared" si="675"/>
        <v>0</v>
      </c>
      <c r="O2538" s="577">
        <f t="shared" si="669"/>
        <v>0</v>
      </c>
      <c r="P2538" s="578">
        <f t="shared" si="670"/>
        <v>0</v>
      </c>
      <c r="Q2538" s="765"/>
      <c r="R2538" s="723"/>
      <c r="S2538" s="723"/>
      <c r="T2538" s="577">
        <f t="shared" si="667"/>
        <v>0</v>
      </c>
      <c r="U2538" s="578">
        <f t="shared" si="668"/>
        <v>0</v>
      </c>
      <c r="V2538" s="579"/>
      <c r="W2538" s="566" t="str">
        <f>IF(U2534&gt;0,"xx",IF(P2534&gt;0,"xy",""))</f>
        <v/>
      </c>
      <c r="X2538" s="586" t="str">
        <f t="shared" si="661"/>
        <v/>
      </c>
      <c r="Y2538" s="586" t="str">
        <f t="shared" si="672"/>
        <v/>
      </c>
      <c r="Z2538" s="586" t="str">
        <f t="shared" si="680"/>
        <v/>
      </c>
    </row>
    <row r="2539" spans="1:26" ht="12" hidden="1" thickBot="1" x14ac:dyDescent="0.25">
      <c r="A2539" s="567" t="s">
        <v>168</v>
      </c>
      <c r="B2539" s="644" t="s">
        <v>168</v>
      </c>
      <c r="C2539" s="645"/>
      <c r="D2539" s="422" t="s">
        <v>401</v>
      </c>
      <c r="E2539" s="423"/>
      <c r="F2539" s="424">
        <v>500</v>
      </c>
      <c r="G2539" s="425">
        <f>VLOOKUP(D2534,'[2]ENSAIOS DE ORÇAMENTO'!$C$3:$L$79,10,FALSE)</f>
        <v>0</v>
      </c>
      <c r="H2539" s="649">
        <f>IF(F2539&lt;=30,(0.78*F2539+7.82)*G2539,((0.78*30+7.82)+0.78*(F2539-30))*G2539)</f>
        <v>0</v>
      </c>
      <c r="I2539" s="420"/>
      <c r="J2539" s="420"/>
      <c r="K2539" s="421">
        <f t="shared" si="666"/>
        <v>0</v>
      </c>
      <c r="L2539" s="647"/>
      <c r="M2539" s="723"/>
      <c r="N2539" s="576">
        <f t="shared" si="675"/>
        <v>0</v>
      </c>
      <c r="O2539" s="577">
        <f t="shared" si="669"/>
        <v>0</v>
      </c>
      <c r="P2539" s="578">
        <f t="shared" si="670"/>
        <v>0</v>
      </c>
      <c r="Q2539" s="765"/>
      <c r="R2539" s="723"/>
      <c r="S2539" s="723"/>
      <c r="T2539" s="577">
        <f t="shared" si="667"/>
        <v>0</v>
      </c>
      <c r="U2539" s="578">
        <f t="shared" si="668"/>
        <v>0</v>
      </c>
      <c r="V2539" s="579"/>
      <c r="W2539" s="566" t="str">
        <f>IF(U2534&gt;0,"xx",IF(P2534&gt;0,"xy",""))</f>
        <v/>
      </c>
      <c r="X2539" s="586" t="str">
        <f t="shared" ref="X2539:X2602" si="681">IF(W2539="X","x",IF(W2539="xx","x",IF(W2539="xy","x",IF(W2539="y","x",IF(OR(P2539&gt;0,U2539&gt;0),"x","")))))</f>
        <v/>
      </c>
      <c r="Y2539" s="586" t="str">
        <f t="shared" si="672"/>
        <v/>
      </c>
      <c r="Z2539" s="586" t="str">
        <f t="shared" si="680"/>
        <v/>
      </c>
    </row>
    <row r="2540" spans="1:26" ht="12" hidden="1" thickBot="1" x14ac:dyDescent="0.25">
      <c r="A2540" s="567" t="s">
        <v>53</v>
      </c>
      <c r="B2540" s="644" t="s">
        <v>53</v>
      </c>
      <c r="C2540" s="645" t="s">
        <v>206</v>
      </c>
      <c r="D2540" s="422" t="s">
        <v>426</v>
      </c>
      <c r="E2540" s="423"/>
      <c r="F2540" s="424"/>
      <c r="G2540" s="425"/>
      <c r="H2540" s="651">
        <f>SUM(H2541:H2545)</f>
        <v>649.61370900000009</v>
      </c>
      <c r="I2540" s="420">
        <f>VLOOKUP(D2540,'[2]ENSAIOS DE ORÇAMENTO'!$C$3:$L$79,8,FALSE)</f>
        <v>1106.2313666666669</v>
      </c>
      <c r="J2540" s="420">
        <f>IF(ISBLANK(I2540),"",SUM(H2540:I2540))</f>
        <v>1755.8450756666671</v>
      </c>
      <c r="K2540" s="421">
        <f t="shared" si="666"/>
        <v>2086.12</v>
      </c>
      <c r="L2540" s="647" t="s">
        <v>21</v>
      </c>
      <c r="M2540" s="576"/>
      <c r="N2540" s="576">
        <f t="shared" si="675"/>
        <v>0</v>
      </c>
      <c r="O2540" s="577">
        <f t="shared" si="669"/>
        <v>0</v>
      </c>
      <c r="P2540" s="578">
        <f t="shared" si="670"/>
        <v>0</v>
      </c>
      <c r="Q2540" s="765"/>
      <c r="R2540" s="576">
        <f>M2540</f>
        <v>0</v>
      </c>
      <c r="S2540" s="576">
        <f>N2540</f>
        <v>0</v>
      </c>
      <c r="T2540" s="577">
        <f t="shared" si="667"/>
        <v>0</v>
      </c>
      <c r="U2540" s="578">
        <f t="shared" si="668"/>
        <v>0</v>
      </c>
      <c r="V2540" s="579"/>
      <c r="W2540" s="566"/>
      <c r="X2540" s="586" t="str">
        <f t="shared" si="681"/>
        <v/>
      </c>
      <c r="Y2540" s="586" t="str">
        <f t="shared" si="672"/>
        <v/>
      </c>
      <c r="Z2540" s="586" t="str">
        <f t="shared" si="680"/>
        <v/>
      </c>
    </row>
    <row r="2541" spans="1:26" ht="12" hidden="1" thickBot="1" x14ac:dyDescent="0.25">
      <c r="A2541" s="567" t="s">
        <v>168</v>
      </c>
      <c r="B2541" s="644" t="s">
        <v>168</v>
      </c>
      <c r="C2541" s="645"/>
      <c r="D2541" s="422" t="s">
        <v>212</v>
      </c>
      <c r="E2541" s="423"/>
      <c r="F2541" s="424">
        <v>500</v>
      </c>
      <c r="G2541" s="425">
        <f>VLOOKUP(D2540,'[2]ENSAIOS DE ORÇAMENTO'!$C$3:$L$79,4,FALSE)</f>
        <v>0.47295000000000004</v>
      </c>
      <c r="H2541" s="649">
        <f>IF(F2541&lt;=30,(0.78*F2541+7.82)*G2541,((0.78*30+7.82)+0.78*(F2541-30))*G2541)</f>
        <v>188.14896900000005</v>
      </c>
      <c r="I2541" s="420"/>
      <c r="J2541" s="420"/>
      <c r="K2541" s="421">
        <f t="shared" si="666"/>
        <v>0</v>
      </c>
      <c r="L2541" s="647"/>
      <c r="M2541" s="723"/>
      <c r="N2541" s="576">
        <f t="shared" si="675"/>
        <v>0</v>
      </c>
      <c r="O2541" s="577">
        <f t="shared" si="669"/>
        <v>0</v>
      </c>
      <c r="P2541" s="578">
        <f t="shared" si="670"/>
        <v>0</v>
      </c>
      <c r="Q2541" s="765"/>
      <c r="R2541" s="723"/>
      <c r="S2541" s="723"/>
      <c r="T2541" s="577">
        <f t="shared" si="667"/>
        <v>0</v>
      </c>
      <c r="U2541" s="578">
        <f t="shared" si="668"/>
        <v>0</v>
      </c>
      <c r="V2541" s="579"/>
      <c r="W2541" s="566" t="str">
        <f>IF(U2540&gt;0,"xx",IF(P2540&gt;0,"xy",""))</f>
        <v/>
      </c>
      <c r="X2541" s="586" t="str">
        <f t="shared" si="681"/>
        <v/>
      </c>
      <c r="Y2541" s="586" t="str">
        <f t="shared" si="672"/>
        <v/>
      </c>
      <c r="Z2541" s="586" t="str">
        <f t="shared" si="680"/>
        <v/>
      </c>
    </row>
    <row r="2542" spans="1:26" ht="12" hidden="1" thickBot="1" x14ac:dyDescent="0.25">
      <c r="A2542" s="567" t="s">
        <v>168</v>
      </c>
      <c r="B2542" s="644" t="s">
        <v>168</v>
      </c>
      <c r="C2542" s="645"/>
      <c r="D2542" s="422" t="s">
        <v>248</v>
      </c>
      <c r="E2542" s="423"/>
      <c r="F2542" s="424">
        <v>180</v>
      </c>
      <c r="G2542" s="425">
        <f>VLOOKUP(D2540,'[2]ENSAIOS DE ORÇAMENTO'!$C$3:$L$79,5,FALSE)</f>
        <v>1.9178999999999999</v>
      </c>
      <c r="H2542" s="663">
        <f t="shared" ref="H2542:H2544" si="682">IF(F2542&lt;=30,(1.07*F2542+2.68)*G2542,((1.07*30+2.68)+1.07*(F2542-30))*G2542)</f>
        <v>374.527512</v>
      </c>
      <c r="I2542" s="420"/>
      <c r="J2542" s="420"/>
      <c r="K2542" s="421">
        <f t="shared" si="666"/>
        <v>0</v>
      </c>
      <c r="L2542" s="647"/>
      <c r="M2542" s="723"/>
      <c r="N2542" s="576">
        <f t="shared" si="675"/>
        <v>0</v>
      </c>
      <c r="O2542" s="577">
        <f t="shared" si="669"/>
        <v>0</v>
      </c>
      <c r="P2542" s="578">
        <f t="shared" si="670"/>
        <v>0</v>
      </c>
      <c r="Q2542" s="765"/>
      <c r="R2542" s="723"/>
      <c r="S2542" s="723"/>
      <c r="T2542" s="577">
        <f t="shared" si="667"/>
        <v>0</v>
      </c>
      <c r="U2542" s="578">
        <f t="shared" si="668"/>
        <v>0</v>
      </c>
      <c r="V2542" s="579"/>
      <c r="W2542" s="566" t="str">
        <f>IF(U2540&gt;0,"xx",IF(P2540&gt;0,"xy",""))</f>
        <v/>
      </c>
      <c r="X2542" s="586" t="str">
        <f t="shared" si="681"/>
        <v/>
      </c>
      <c r="Y2542" s="586" t="str">
        <f t="shared" si="672"/>
        <v/>
      </c>
      <c r="Z2542" s="586" t="str">
        <f t="shared" si="680"/>
        <v/>
      </c>
    </row>
    <row r="2543" spans="1:26" ht="12" hidden="1" thickBot="1" x14ac:dyDescent="0.25">
      <c r="A2543" s="567" t="s">
        <v>168</v>
      </c>
      <c r="B2543" s="644" t="s">
        <v>168</v>
      </c>
      <c r="C2543" s="645"/>
      <c r="D2543" s="422" t="s">
        <v>252</v>
      </c>
      <c r="E2543" s="423"/>
      <c r="F2543" s="424">
        <v>20</v>
      </c>
      <c r="G2543" s="425">
        <f>VLOOKUP(D2540,'[2]ENSAIOS DE ORÇAMENTO'!$C$3:$L$79,6,FALSE)</f>
        <v>3.6103500000000004</v>
      </c>
      <c r="H2543" s="663">
        <f t="shared" si="682"/>
        <v>86.937228000000019</v>
      </c>
      <c r="I2543" s="420"/>
      <c r="J2543" s="420"/>
      <c r="K2543" s="421">
        <f t="shared" si="666"/>
        <v>0</v>
      </c>
      <c r="L2543" s="647"/>
      <c r="M2543" s="723"/>
      <c r="N2543" s="576">
        <f t="shared" si="675"/>
        <v>0</v>
      </c>
      <c r="O2543" s="577">
        <f t="shared" si="669"/>
        <v>0</v>
      </c>
      <c r="P2543" s="578">
        <f t="shared" si="670"/>
        <v>0</v>
      </c>
      <c r="Q2543" s="765"/>
      <c r="R2543" s="723"/>
      <c r="S2543" s="723"/>
      <c r="T2543" s="577">
        <f t="shared" si="667"/>
        <v>0</v>
      </c>
      <c r="U2543" s="578">
        <f t="shared" si="668"/>
        <v>0</v>
      </c>
      <c r="V2543" s="579"/>
      <c r="W2543" s="566" t="str">
        <f>IF(U2540&gt;0,"xx",IF(P2540&gt;0,"xy",""))</f>
        <v/>
      </c>
      <c r="X2543" s="586" t="str">
        <f t="shared" si="681"/>
        <v/>
      </c>
      <c r="Y2543" s="586" t="str">
        <f t="shared" si="672"/>
        <v/>
      </c>
      <c r="Z2543" s="586" t="str">
        <f t="shared" si="680"/>
        <v/>
      </c>
    </row>
    <row r="2544" spans="1:26" ht="12" hidden="1" thickBot="1" x14ac:dyDescent="0.25">
      <c r="A2544" s="567" t="s">
        <v>168</v>
      </c>
      <c r="B2544" s="644" t="s">
        <v>168</v>
      </c>
      <c r="C2544" s="645"/>
      <c r="D2544" s="422" t="s">
        <v>400</v>
      </c>
      <c r="E2544" s="423"/>
      <c r="F2544" s="424">
        <v>30</v>
      </c>
      <c r="G2544" s="425">
        <f>VLOOKUP(D2540,'[2]ENSAIOS DE ORÇAMENTO'!$C$3:$L$79,3,FALSE)</f>
        <v>0</v>
      </c>
      <c r="H2544" s="663">
        <f t="shared" si="682"/>
        <v>0</v>
      </c>
      <c r="I2544" s="420"/>
      <c r="J2544" s="420"/>
      <c r="K2544" s="421">
        <f t="shared" si="666"/>
        <v>0</v>
      </c>
      <c r="L2544" s="647"/>
      <c r="M2544" s="723"/>
      <c r="N2544" s="576">
        <f t="shared" si="675"/>
        <v>0</v>
      </c>
      <c r="O2544" s="577">
        <f t="shared" si="669"/>
        <v>0</v>
      </c>
      <c r="P2544" s="578">
        <f t="shared" si="670"/>
        <v>0</v>
      </c>
      <c r="Q2544" s="765"/>
      <c r="R2544" s="723"/>
      <c r="S2544" s="723"/>
      <c r="T2544" s="577">
        <f t="shared" si="667"/>
        <v>0</v>
      </c>
      <c r="U2544" s="578">
        <f t="shared" si="668"/>
        <v>0</v>
      </c>
      <c r="V2544" s="579"/>
      <c r="W2544" s="566" t="str">
        <f>IF(U2540&gt;0,"xx",IF(P2540&gt;0,"xy",""))</f>
        <v/>
      </c>
      <c r="X2544" s="586" t="str">
        <f t="shared" si="681"/>
        <v/>
      </c>
      <c r="Y2544" s="586" t="str">
        <f t="shared" si="672"/>
        <v/>
      </c>
      <c r="Z2544" s="586" t="str">
        <f t="shared" si="680"/>
        <v/>
      </c>
    </row>
    <row r="2545" spans="1:26" ht="12" hidden="1" thickBot="1" x14ac:dyDescent="0.25">
      <c r="A2545" s="567" t="s">
        <v>168</v>
      </c>
      <c r="B2545" s="644" t="s">
        <v>168</v>
      </c>
      <c r="C2545" s="645"/>
      <c r="D2545" s="422" t="s">
        <v>401</v>
      </c>
      <c r="E2545" s="423"/>
      <c r="F2545" s="424">
        <v>500</v>
      </c>
      <c r="G2545" s="425">
        <f>VLOOKUP(D2540,'[2]ENSAIOS DE ORÇAMENTO'!$C$3:$L$79,10,FALSE)</f>
        <v>0</v>
      </c>
      <c r="H2545" s="649">
        <f>IF(F2545&lt;=30,(0.78*F2545+7.82)*G2545,((0.78*30+7.82)+0.78*(F2545-30))*G2545)</f>
        <v>0</v>
      </c>
      <c r="I2545" s="420"/>
      <c r="J2545" s="420"/>
      <c r="K2545" s="421">
        <f t="shared" si="666"/>
        <v>0</v>
      </c>
      <c r="L2545" s="647"/>
      <c r="M2545" s="723"/>
      <c r="N2545" s="576">
        <f t="shared" si="675"/>
        <v>0</v>
      </c>
      <c r="O2545" s="577">
        <f t="shared" si="669"/>
        <v>0</v>
      </c>
      <c r="P2545" s="578">
        <f t="shared" si="670"/>
        <v>0</v>
      </c>
      <c r="Q2545" s="765"/>
      <c r="R2545" s="723"/>
      <c r="S2545" s="723"/>
      <c r="T2545" s="577">
        <f t="shared" si="667"/>
        <v>0</v>
      </c>
      <c r="U2545" s="578">
        <f t="shared" si="668"/>
        <v>0</v>
      </c>
      <c r="V2545" s="579"/>
      <c r="W2545" s="566" t="str">
        <f>IF(U2540&gt;0,"xx",IF(P2540&gt;0,"xy",""))</f>
        <v/>
      </c>
      <c r="X2545" s="586" t="str">
        <f t="shared" si="681"/>
        <v/>
      </c>
      <c r="Y2545" s="586" t="str">
        <f t="shared" si="672"/>
        <v/>
      </c>
      <c r="Z2545" s="586" t="str">
        <f t="shared" si="680"/>
        <v/>
      </c>
    </row>
    <row r="2546" spans="1:26" ht="12" hidden="1" thickBot="1" x14ac:dyDescent="0.25">
      <c r="A2546" s="567" t="s">
        <v>53</v>
      </c>
      <c r="B2546" s="644" t="s">
        <v>53</v>
      </c>
      <c r="C2546" s="645" t="s">
        <v>206</v>
      </c>
      <c r="D2546" s="422" t="s">
        <v>427</v>
      </c>
      <c r="E2546" s="423"/>
      <c r="F2546" s="424"/>
      <c r="G2546" s="425"/>
      <c r="H2546" s="651">
        <f>SUM(H2547:H2551)</f>
        <v>1038.335276</v>
      </c>
      <c r="I2546" s="420">
        <f>VLOOKUP(D2546,'[2]ENSAIOS DE ORÇAMENTO'!$C$3:$L$79,8,FALSE)</f>
        <v>1730.68758</v>
      </c>
      <c r="J2546" s="420">
        <f>IF(ISBLANK(I2546),"",SUM(H2546:I2546))</f>
        <v>2769.022856</v>
      </c>
      <c r="K2546" s="421">
        <f t="shared" si="666"/>
        <v>3289.88</v>
      </c>
      <c r="L2546" s="647" t="s">
        <v>21</v>
      </c>
      <c r="M2546" s="576"/>
      <c r="N2546" s="576">
        <f t="shared" si="675"/>
        <v>0</v>
      </c>
      <c r="O2546" s="577">
        <f t="shared" si="669"/>
        <v>0</v>
      </c>
      <c r="P2546" s="578">
        <f t="shared" si="670"/>
        <v>0</v>
      </c>
      <c r="Q2546" s="765"/>
      <c r="R2546" s="576">
        <f>M2546</f>
        <v>0</v>
      </c>
      <c r="S2546" s="576">
        <f>N2546</f>
        <v>0</v>
      </c>
      <c r="T2546" s="577">
        <f t="shared" si="667"/>
        <v>0</v>
      </c>
      <c r="U2546" s="578">
        <f t="shared" si="668"/>
        <v>0</v>
      </c>
      <c r="V2546" s="579"/>
      <c r="W2546" s="566"/>
      <c r="X2546" s="586" t="str">
        <f t="shared" si="681"/>
        <v/>
      </c>
      <c r="Y2546" s="586" t="str">
        <f t="shared" si="672"/>
        <v/>
      </c>
      <c r="Z2546" s="586" t="str">
        <f t="shared" si="680"/>
        <v/>
      </c>
    </row>
    <row r="2547" spans="1:26" ht="12" hidden="1" thickBot="1" x14ac:dyDescent="0.25">
      <c r="A2547" s="567" t="s">
        <v>168</v>
      </c>
      <c r="B2547" s="644" t="s">
        <v>168</v>
      </c>
      <c r="C2547" s="645"/>
      <c r="D2547" s="422" t="s">
        <v>212</v>
      </c>
      <c r="E2547" s="423"/>
      <c r="F2547" s="424">
        <v>500</v>
      </c>
      <c r="G2547" s="425">
        <f>VLOOKUP(D2546,'[2]ENSAIOS DE ORÇAMENTO'!$C$3:$L$79,4,FALSE)</f>
        <v>0.75196000000000007</v>
      </c>
      <c r="H2547" s="649">
        <f>IF(F2547&lt;=30,(0.78*F2547+7.82)*G2547,((0.78*30+7.82)+0.78*(F2547-30))*G2547)</f>
        <v>299.14472720000009</v>
      </c>
      <c r="I2547" s="420"/>
      <c r="J2547" s="420"/>
      <c r="K2547" s="421">
        <f t="shared" si="666"/>
        <v>0</v>
      </c>
      <c r="L2547" s="647"/>
      <c r="M2547" s="723"/>
      <c r="N2547" s="576">
        <f t="shared" si="675"/>
        <v>0</v>
      </c>
      <c r="O2547" s="577">
        <f t="shared" si="669"/>
        <v>0</v>
      </c>
      <c r="P2547" s="578">
        <f t="shared" si="670"/>
        <v>0</v>
      </c>
      <c r="Q2547" s="765"/>
      <c r="R2547" s="723"/>
      <c r="S2547" s="723"/>
      <c r="T2547" s="577">
        <f t="shared" si="667"/>
        <v>0</v>
      </c>
      <c r="U2547" s="578">
        <f t="shared" si="668"/>
        <v>0</v>
      </c>
      <c r="V2547" s="579"/>
      <c r="W2547" s="566" t="str">
        <f>IF(U2546&gt;0,"xx",IF(P2546&gt;0,"xy",""))</f>
        <v/>
      </c>
      <c r="X2547" s="586" t="str">
        <f t="shared" si="681"/>
        <v/>
      </c>
      <c r="Y2547" s="586" t="str">
        <f t="shared" si="672"/>
        <v/>
      </c>
      <c r="Z2547" s="586" t="str">
        <f t="shared" si="680"/>
        <v/>
      </c>
    </row>
    <row r="2548" spans="1:26" ht="12" hidden="1" thickBot="1" x14ac:dyDescent="0.25">
      <c r="A2548" s="567" t="s">
        <v>168</v>
      </c>
      <c r="B2548" s="644" t="s">
        <v>168</v>
      </c>
      <c r="C2548" s="645"/>
      <c r="D2548" s="422" t="s">
        <v>248</v>
      </c>
      <c r="E2548" s="423"/>
      <c r="F2548" s="424">
        <v>180</v>
      </c>
      <c r="G2548" s="425">
        <f>VLOOKUP(D2546,'[2]ENSAIOS DE ORÇAMENTO'!$C$3:$L$79,5,FALSE)</f>
        <v>3.0643799999999999</v>
      </c>
      <c r="H2548" s="663">
        <f t="shared" ref="H2548:H2550" si="683">IF(F2548&lt;=30,(1.07*F2548+2.68)*G2548,((1.07*30+2.68)+1.07*(F2548-30))*G2548)</f>
        <v>598.41212640000003</v>
      </c>
      <c r="I2548" s="420"/>
      <c r="J2548" s="420"/>
      <c r="K2548" s="421">
        <f t="shared" si="666"/>
        <v>0</v>
      </c>
      <c r="L2548" s="647"/>
      <c r="M2548" s="723"/>
      <c r="N2548" s="576">
        <f t="shared" si="675"/>
        <v>0</v>
      </c>
      <c r="O2548" s="577">
        <f t="shared" si="669"/>
        <v>0</v>
      </c>
      <c r="P2548" s="578">
        <f t="shared" si="670"/>
        <v>0</v>
      </c>
      <c r="Q2548" s="765"/>
      <c r="R2548" s="723"/>
      <c r="S2548" s="723"/>
      <c r="T2548" s="577">
        <f t="shared" si="667"/>
        <v>0</v>
      </c>
      <c r="U2548" s="578">
        <f t="shared" si="668"/>
        <v>0</v>
      </c>
      <c r="V2548" s="579"/>
      <c r="W2548" s="566" t="str">
        <f>IF(U2546&gt;0,"xx",IF(P2546&gt;0,"xy",""))</f>
        <v/>
      </c>
      <c r="X2548" s="586" t="str">
        <f t="shared" si="681"/>
        <v/>
      </c>
      <c r="Y2548" s="586" t="str">
        <f t="shared" si="672"/>
        <v/>
      </c>
      <c r="Z2548" s="586" t="str">
        <f t="shared" si="680"/>
        <v/>
      </c>
    </row>
    <row r="2549" spans="1:26" ht="12" hidden="1" thickBot="1" x14ac:dyDescent="0.25">
      <c r="A2549" s="567" t="s">
        <v>168</v>
      </c>
      <c r="B2549" s="644" t="s">
        <v>168</v>
      </c>
      <c r="C2549" s="645"/>
      <c r="D2549" s="422" t="s">
        <v>252</v>
      </c>
      <c r="E2549" s="423"/>
      <c r="F2549" s="424">
        <v>20</v>
      </c>
      <c r="G2549" s="425">
        <f>VLOOKUP(D2546,'[2]ENSAIOS DE ORÇAMENTO'!$C$3:$L$79,6,FALSE)</f>
        <v>5.8462800000000001</v>
      </c>
      <c r="H2549" s="663">
        <f t="shared" si="683"/>
        <v>140.77842240000001</v>
      </c>
      <c r="I2549" s="420"/>
      <c r="J2549" s="420"/>
      <c r="K2549" s="421">
        <f t="shared" si="666"/>
        <v>0</v>
      </c>
      <c r="L2549" s="647"/>
      <c r="M2549" s="723"/>
      <c r="N2549" s="576">
        <f t="shared" si="675"/>
        <v>0</v>
      </c>
      <c r="O2549" s="577">
        <f t="shared" si="669"/>
        <v>0</v>
      </c>
      <c r="P2549" s="578">
        <f t="shared" si="670"/>
        <v>0</v>
      </c>
      <c r="Q2549" s="765"/>
      <c r="R2549" s="723"/>
      <c r="S2549" s="723"/>
      <c r="T2549" s="577">
        <f t="shared" si="667"/>
        <v>0</v>
      </c>
      <c r="U2549" s="578">
        <f t="shared" si="668"/>
        <v>0</v>
      </c>
      <c r="V2549" s="579"/>
      <c r="W2549" s="566" t="str">
        <f>IF(U2546&gt;0,"xx",IF(P2546&gt;0,"xy",""))</f>
        <v/>
      </c>
      <c r="X2549" s="586" t="str">
        <f t="shared" si="681"/>
        <v/>
      </c>
      <c r="Y2549" s="586" t="str">
        <f t="shared" si="672"/>
        <v/>
      </c>
      <c r="Z2549" s="586" t="str">
        <f t="shared" si="680"/>
        <v/>
      </c>
    </row>
    <row r="2550" spans="1:26" ht="12" hidden="1" thickBot="1" x14ac:dyDescent="0.25">
      <c r="A2550" s="567" t="s">
        <v>168</v>
      </c>
      <c r="B2550" s="644" t="s">
        <v>168</v>
      </c>
      <c r="C2550" s="645"/>
      <c r="D2550" s="422" t="s">
        <v>400</v>
      </c>
      <c r="E2550" s="423"/>
      <c r="F2550" s="424">
        <v>30</v>
      </c>
      <c r="G2550" s="425">
        <f>VLOOKUP(D2546,'[2]ENSAIOS DE ORÇAMENTO'!$C$3:$L$79,3,FALSE)</f>
        <v>0</v>
      </c>
      <c r="H2550" s="663">
        <f t="shared" si="683"/>
        <v>0</v>
      </c>
      <c r="I2550" s="420"/>
      <c r="J2550" s="420"/>
      <c r="K2550" s="421">
        <f t="shared" si="666"/>
        <v>0</v>
      </c>
      <c r="L2550" s="647"/>
      <c r="M2550" s="723"/>
      <c r="N2550" s="576">
        <f t="shared" si="675"/>
        <v>0</v>
      </c>
      <c r="O2550" s="577">
        <f t="shared" si="669"/>
        <v>0</v>
      </c>
      <c r="P2550" s="578">
        <f t="shared" si="670"/>
        <v>0</v>
      </c>
      <c r="Q2550" s="765"/>
      <c r="R2550" s="723"/>
      <c r="S2550" s="723"/>
      <c r="T2550" s="577">
        <f t="shared" si="667"/>
        <v>0</v>
      </c>
      <c r="U2550" s="578">
        <f t="shared" si="668"/>
        <v>0</v>
      </c>
      <c r="V2550" s="579"/>
      <c r="W2550" s="566" t="str">
        <f>IF(U2546&gt;0,"xx",IF(P2546&gt;0,"xy",""))</f>
        <v/>
      </c>
      <c r="X2550" s="586" t="str">
        <f t="shared" si="681"/>
        <v/>
      </c>
      <c r="Y2550" s="586" t="str">
        <f t="shared" si="672"/>
        <v/>
      </c>
      <c r="Z2550" s="586" t="str">
        <f t="shared" si="680"/>
        <v/>
      </c>
    </row>
    <row r="2551" spans="1:26" ht="12" hidden="1" thickBot="1" x14ac:dyDescent="0.25">
      <c r="A2551" s="567" t="s">
        <v>168</v>
      </c>
      <c r="B2551" s="644" t="s">
        <v>168</v>
      </c>
      <c r="C2551" s="645"/>
      <c r="D2551" s="422" t="s">
        <v>401</v>
      </c>
      <c r="E2551" s="423"/>
      <c r="F2551" s="424">
        <v>500</v>
      </c>
      <c r="G2551" s="425">
        <f>VLOOKUP(D2546,'[2]ENSAIOS DE ORÇAMENTO'!$C$3:$L$79,10,FALSE)</f>
        <v>0</v>
      </c>
      <c r="H2551" s="649">
        <f>IF(F2551&lt;=30,(0.78*F2551+7.82)*G2551,((0.78*30+7.82)+0.78*(F2551-30))*G2551)</f>
        <v>0</v>
      </c>
      <c r="I2551" s="420"/>
      <c r="J2551" s="420"/>
      <c r="K2551" s="421">
        <f t="shared" si="666"/>
        <v>0</v>
      </c>
      <c r="L2551" s="647"/>
      <c r="M2551" s="723"/>
      <c r="N2551" s="576">
        <f t="shared" si="675"/>
        <v>0</v>
      </c>
      <c r="O2551" s="577">
        <f t="shared" si="669"/>
        <v>0</v>
      </c>
      <c r="P2551" s="578">
        <f t="shared" si="670"/>
        <v>0</v>
      </c>
      <c r="Q2551" s="765"/>
      <c r="R2551" s="723"/>
      <c r="S2551" s="723"/>
      <c r="T2551" s="577">
        <f t="shared" si="667"/>
        <v>0</v>
      </c>
      <c r="U2551" s="578">
        <f t="shared" si="668"/>
        <v>0</v>
      </c>
      <c r="V2551" s="579"/>
      <c r="W2551" s="566" t="str">
        <f>IF(U2546&gt;0,"xx",IF(P2546&gt;0,"xy",""))</f>
        <v/>
      </c>
      <c r="X2551" s="586" t="str">
        <f t="shared" si="681"/>
        <v/>
      </c>
      <c r="Y2551" s="586" t="str">
        <f t="shared" si="672"/>
        <v/>
      </c>
      <c r="Z2551" s="586" t="str">
        <f t="shared" si="680"/>
        <v/>
      </c>
    </row>
    <row r="2552" spans="1:26" ht="12" hidden="1" thickBot="1" x14ac:dyDescent="0.25">
      <c r="A2552" s="567" t="s">
        <v>53</v>
      </c>
      <c r="B2552" s="644" t="s">
        <v>53</v>
      </c>
      <c r="C2552" s="645" t="s">
        <v>206</v>
      </c>
      <c r="D2552" s="422" t="s">
        <v>163</v>
      </c>
      <c r="E2552" s="423"/>
      <c r="F2552" s="424"/>
      <c r="G2552" s="425"/>
      <c r="H2552" s="651">
        <f>SUM(H2553:H2557)</f>
        <v>1505.7755270000002</v>
      </c>
      <c r="I2552" s="420">
        <f>VLOOKUP(D2552,'[2]ENSAIOS DE ORÇAMENTO'!$C$3:$L$79,8,FALSE)</f>
        <v>2471.9100133333332</v>
      </c>
      <c r="J2552" s="420">
        <f>IF(ISBLANK(I2552),"",SUM(H2552:I2552))</f>
        <v>3977.6855403333334</v>
      </c>
      <c r="K2552" s="421">
        <f t="shared" si="666"/>
        <v>4725.8900000000003</v>
      </c>
      <c r="L2552" s="647" t="s">
        <v>21</v>
      </c>
      <c r="M2552" s="576"/>
      <c r="N2552" s="576">
        <f t="shared" si="675"/>
        <v>0</v>
      </c>
      <c r="O2552" s="577">
        <f t="shared" si="669"/>
        <v>0</v>
      </c>
      <c r="P2552" s="578">
        <f t="shared" si="670"/>
        <v>0</v>
      </c>
      <c r="Q2552" s="765"/>
      <c r="R2552" s="576">
        <f>M2552</f>
        <v>0</v>
      </c>
      <c r="S2552" s="576">
        <f>N2552</f>
        <v>0</v>
      </c>
      <c r="T2552" s="577">
        <f t="shared" si="667"/>
        <v>0</v>
      </c>
      <c r="U2552" s="578">
        <f t="shared" si="668"/>
        <v>0</v>
      </c>
      <c r="V2552" s="579"/>
      <c r="W2552" s="566"/>
      <c r="X2552" s="586" t="str">
        <f t="shared" si="681"/>
        <v/>
      </c>
      <c r="Y2552" s="586" t="str">
        <f t="shared" si="672"/>
        <v/>
      </c>
      <c r="Z2552" s="586" t="str">
        <f t="shared" si="680"/>
        <v/>
      </c>
    </row>
    <row r="2553" spans="1:26" ht="12" hidden="1" thickBot="1" x14ac:dyDescent="0.25">
      <c r="A2553" s="567" t="s">
        <v>168</v>
      </c>
      <c r="B2553" s="644" t="s">
        <v>168</v>
      </c>
      <c r="C2553" s="645"/>
      <c r="D2553" s="422" t="s">
        <v>212</v>
      </c>
      <c r="E2553" s="423"/>
      <c r="F2553" s="424">
        <v>500</v>
      </c>
      <c r="G2553" s="425">
        <f>VLOOKUP(D2552,'[2]ENSAIOS DE ORÇAMENTO'!$C$3:$L$79,4,FALSE)</f>
        <v>1.08901</v>
      </c>
      <c r="H2553" s="649">
        <f>IF(F2553&lt;=30,(0.78*F2553+7.82)*G2553,((0.78*30+7.82)+0.78*(F2553-30))*G2553)</f>
        <v>433.22995820000006</v>
      </c>
      <c r="I2553" s="420"/>
      <c r="J2553" s="420"/>
      <c r="K2553" s="421">
        <f t="shared" si="666"/>
        <v>0</v>
      </c>
      <c r="L2553" s="647"/>
      <c r="M2553" s="723"/>
      <c r="N2553" s="576">
        <f t="shared" si="675"/>
        <v>0</v>
      </c>
      <c r="O2553" s="577">
        <f t="shared" si="669"/>
        <v>0</v>
      </c>
      <c r="P2553" s="578">
        <f t="shared" si="670"/>
        <v>0</v>
      </c>
      <c r="Q2553" s="765"/>
      <c r="R2553" s="723"/>
      <c r="S2553" s="723"/>
      <c r="T2553" s="577">
        <f t="shared" si="667"/>
        <v>0</v>
      </c>
      <c r="U2553" s="578">
        <f t="shared" si="668"/>
        <v>0</v>
      </c>
      <c r="V2553" s="579"/>
      <c r="W2553" s="566" t="str">
        <f>IF(U2552&gt;0,"xx",IF(P2552&gt;0,"xy",""))</f>
        <v/>
      </c>
      <c r="X2553" s="586" t="str">
        <f t="shared" si="681"/>
        <v/>
      </c>
      <c r="Y2553" s="586" t="str">
        <f t="shared" si="672"/>
        <v/>
      </c>
      <c r="Z2553" s="586" t="str">
        <f t="shared" si="680"/>
        <v/>
      </c>
    </row>
    <row r="2554" spans="1:26" ht="12" hidden="1" thickBot="1" x14ac:dyDescent="0.25">
      <c r="A2554" s="567" t="s">
        <v>168</v>
      </c>
      <c r="B2554" s="644" t="s">
        <v>168</v>
      </c>
      <c r="C2554" s="645"/>
      <c r="D2554" s="422" t="s">
        <v>248</v>
      </c>
      <c r="E2554" s="423"/>
      <c r="F2554" s="424">
        <v>180</v>
      </c>
      <c r="G2554" s="425">
        <f>VLOOKUP(D2552,'[2]ENSAIOS DE ORÇAMENTO'!$C$3:$L$79,5,FALSE)</f>
        <v>4.4434800000000001</v>
      </c>
      <c r="H2554" s="663">
        <f t="shared" ref="H2554:H2556" si="684">IF(F2554&lt;=30,(1.07*F2554+2.68)*G2554,((1.07*30+2.68)+1.07*(F2554-30))*G2554)</f>
        <v>867.72277440000005</v>
      </c>
      <c r="I2554" s="420"/>
      <c r="J2554" s="420"/>
      <c r="K2554" s="421">
        <f t="shared" si="666"/>
        <v>0</v>
      </c>
      <c r="L2554" s="647"/>
      <c r="M2554" s="723"/>
      <c r="N2554" s="576">
        <f t="shared" si="675"/>
        <v>0</v>
      </c>
      <c r="O2554" s="577">
        <f t="shared" si="669"/>
        <v>0</v>
      </c>
      <c r="P2554" s="578">
        <f t="shared" si="670"/>
        <v>0</v>
      </c>
      <c r="Q2554" s="765"/>
      <c r="R2554" s="723"/>
      <c r="S2554" s="723"/>
      <c r="T2554" s="577">
        <f t="shared" si="667"/>
        <v>0</v>
      </c>
      <c r="U2554" s="578">
        <f t="shared" si="668"/>
        <v>0</v>
      </c>
      <c r="V2554" s="579"/>
      <c r="W2554" s="566" t="str">
        <f>IF(U2552&gt;0,"xx",IF(P2552&gt;0,"xy",""))</f>
        <v/>
      </c>
      <c r="X2554" s="586" t="str">
        <f t="shared" si="681"/>
        <v/>
      </c>
      <c r="Y2554" s="586" t="str">
        <f t="shared" si="672"/>
        <v/>
      </c>
      <c r="Z2554" s="586" t="str">
        <f t="shared" si="680"/>
        <v/>
      </c>
    </row>
    <row r="2555" spans="1:26" ht="12" hidden="1" thickBot="1" x14ac:dyDescent="0.25">
      <c r="A2555" s="567" t="s">
        <v>168</v>
      </c>
      <c r="B2555" s="644" t="s">
        <v>168</v>
      </c>
      <c r="C2555" s="645"/>
      <c r="D2555" s="422" t="s">
        <v>252</v>
      </c>
      <c r="E2555" s="423"/>
      <c r="F2555" s="424">
        <v>20</v>
      </c>
      <c r="G2555" s="425">
        <f>VLOOKUP(D2552,'[2]ENSAIOS DE ORÇAMENTO'!$C$3:$L$79,6,FALSE)</f>
        <v>8.5059300000000011</v>
      </c>
      <c r="H2555" s="663">
        <f t="shared" si="684"/>
        <v>204.82279440000005</v>
      </c>
      <c r="I2555" s="420"/>
      <c r="J2555" s="420"/>
      <c r="K2555" s="421">
        <f t="shared" si="666"/>
        <v>0</v>
      </c>
      <c r="L2555" s="647"/>
      <c r="M2555" s="723"/>
      <c r="N2555" s="576">
        <f t="shared" si="675"/>
        <v>0</v>
      </c>
      <c r="O2555" s="577">
        <f t="shared" si="669"/>
        <v>0</v>
      </c>
      <c r="P2555" s="578">
        <f t="shared" si="670"/>
        <v>0</v>
      </c>
      <c r="Q2555" s="765"/>
      <c r="R2555" s="723"/>
      <c r="S2555" s="723"/>
      <c r="T2555" s="577">
        <f t="shared" si="667"/>
        <v>0</v>
      </c>
      <c r="U2555" s="578">
        <f t="shared" si="668"/>
        <v>0</v>
      </c>
      <c r="V2555" s="579"/>
      <c r="W2555" s="566" t="str">
        <f>IF(U2552&gt;0,"xx",IF(P2552&gt;0,"xy",""))</f>
        <v/>
      </c>
      <c r="X2555" s="586" t="str">
        <f t="shared" si="681"/>
        <v/>
      </c>
      <c r="Y2555" s="586" t="str">
        <f t="shared" si="672"/>
        <v/>
      </c>
      <c r="Z2555" s="586" t="str">
        <f t="shared" si="680"/>
        <v/>
      </c>
    </row>
    <row r="2556" spans="1:26" ht="12" hidden="1" thickBot="1" x14ac:dyDescent="0.25">
      <c r="A2556" s="567" t="s">
        <v>168</v>
      </c>
      <c r="B2556" s="644" t="s">
        <v>168</v>
      </c>
      <c r="C2556" s="645"/>
      <c r="D2556" s="422" t="s">
        <v>400</v>
      </c>
      <c r="E2556" s="423"/>
      <c r="F2556" s="424">
        <v>30</v>
      </c>
      <c r="G2556" s="425">
        <f>VLOOKUP(D2552,'[2]ENSAIOS DE ORÇAMENTO'!$C$3:$L$79,3,FALSE)</f>
        <v>0</v>
      </c>
      <c r="H2556" s="663">
        <f t="shared" si="684"/>
        <v>0</v>
      </c>
      <c r="I2556" s="420"/>
      <c r="J2556" s="420"/>
      <c r="K2556" s="421">
        <f t="shared" si="666"/>
        <v>0</v>
      </c>
      <c r="L2556" s="647"/>
      <c r="M2556" s="723"/>
      <c r="N2556" s="576">
        <f t="shared" si="675"/>
        <v>0</v>
      </c>
      <c r="O2556" s="577">
        <f t="shared" si="669"/>
        <v>0</v>
      </c>
      <c r="P2556" s="578">
        <f t="shared" si="670"/>
        <v>0</v>
      </c>
      <c r="Q2556" s="765"/>
      <c r="R2556" s="723"/>
      <c r="S2556" s="723"/>
      <c r="T2556" s="577">
        <f t="shared" si="667"/>
        <v>0</v>
      </c>
      <c r="U2556" s="578">
        <f t="shared" si="668"/>
        <v>0</v>
      </c>
      <c r="V2556" s="579"/>
      <c r="W2556" s="566" t="str">
        <f>IF(U2552&gt;0,"xx",IF(P2552&gt;0,"xy",""))</f>
        <v/>
      </c>
      <c r="X2556" s="586" t="str">
        <f t="shared" si="681"/>
        <v/>
      </c>
      <c r="Y2556" s="586" t="str">
        <f t="shared" si="672"/>
        <v/>
      </c>
      <c r="Z2556" s="586" t="str">
        <f t="shared" si="680"/>
        <v/>
      </c>
    </row>
    <row r="2557" spans="1:26" ht="12" hidden="1" thickBot="1" x14ac:dyDescent="0.25">
      <c r="A2557" s="567" t="s">
        <v>168</v>
      </c>
      <c r="B2557" s="644" t="s">
        <v>168</v>
      </c>
      <c r="C2557" s="645"/>
      <c r="D2557" s="422" t="s">
        <v>401</v>
      </c>
      <c r="E2557" s="423"/>
      <c r="F2557" s="424">
        <v>500</v>
      </c>
      <c r="G2557" s="425">
        <f>VLOOKUP(D2552,'[2]ENSAIOS DE ORÇAMENTO'!$C$3:$L$79,10,FALSE)</f>
        <v>0</v>
      </c>
      <c r="H2557" s="649">
        <f>IF(F2557&lt;=30,(0.78*F2557+7.82)*G2557,((0.78*30+7.82)+0.78*(F2557-30))*G2557)</f>
        <v>0</v>
      </c>
      <c r="I2557" s="420"/>
      <c r="J2557" s="420"/>
      <c r="K2557" s="421">
        <f t="shared" si="666"/>
        <v>0</v>
      </c>
      <c r="L2557" s="647"/>
      <c r="M2557" s="723"/>
      <c r="N2557" s="576">
        <f t="shared" si="675"/>
        <v>0</v>
      </c>
      <c r="O2557" s="577">
        <f t="shared" si="669"/>
        <v>0</v>
      </c>
      <c r="P2557" s="578">
        <f t="shared" si="670"/>
        <v>0</v>
      </c>
      <c r="Q2557" s="765"/>
      <c r="R2557" s="723"/>
      <c r="S2557" s="723"/>
      <c r="T2557" s="577">
        <f t="shared" si="667"/>
        <v>0</v>
      </c>
      <c r="U2557" s="578">
        <f t="shared" si="668"/>
        <v>0</v>
      </c>
      <c r="V2557" s="579"/>
      <c r="W2557" s="566" t="str">
        <f>IF(U2552&gt;0,"xx",IF(P2552&gt;0,"xy",""))</f>
        <v/>
      </c>
      <c r="X2557" s="586" t="str">
        <f t="shared" si="681"/>
        <v/>
      </c>
      <c r="Y2557" s="586" t="str">
        <f t="shared" si="672"/>
        <v/>
      </c>
      <c r="Z2557" s="586" t="str">
        <f t="shared" si="680"/>
        <v/>
      </c>
    </row>
    <row r="2558" spans="1:26" ht="12" hidden="1" thickBot="1" x14ac:dyDescent="0.25">
      <c r="A2558" s="567" t="s">
        <v>53</v>
      </c>
      <c r="B2558" s="644" t="s">
        <v>53</v>
      </c>
      <c r="C2558" s="645" t="s">
        <v>206</v>
      </c>
      <c r="D2558" s="422" t="s">
        <v>164</v>
      </c>
      <c r="E2558" s="423"/>
      <c r="F2558" s="424"/>
      <c r="G2558" s="425"/>
      <c r="H2558" s="651">
        <f>SUM(H2559:H2563)</f>
        <v>2044.4262430000003</v>
      </c>
      <c r="I2558" s="420">
        <f>VLOOKUP(D2558,'[2]ENSAIOS DE ORÇAMENTO'!$C$3:$L$79,8,FALSE)</f>
        <v>3327.3276800000003</v>
      </c>
      <c r="J2558" s="420">
        <f>IF(ISBLANK(I2558),"",SUM(H2558:I2558))</f>
        <v>5371.7539230000002</v>
      </c>
      <c r="K2558" s="421">
        <f t="shared" si="666"/>
        <v>6382.18</v>
      </c>
      <c r="L2558" s="647" t="s">
        <v>21</v>
      </c>
      <c r="M2558" s="576"/>
      <c r="N2558" s="576">
        <f t="shared" si="675"/>
        <v>0</v>
      </c>
      <c r="O2558" s="577">
        <f t="shared" si="669"/>
        <v>0</v>
      </c>
      <c r="P2558" s="578">
        <f t="shared" si="670"/>
        <v>0</v>
      </c>
      <c r="Q2558" s="765"/>
      <c r="R2558" s="576">
        <f>M2558</f>
        <v>0</v>
      </c>
      <c r="S2558" s="576">
        <f>N2558</f>
        <v>0</v>
      </c>
      <c r="T2558" s="577">
        <f t="shared" si="667"/>
        <v>0</v>
      </c>
      <c r="U2558" s="578">
        <f t="shared" si="668"/>
        <v>0</v>
      </c>
      <c r="V2558" s="579"/>
      <c r="W2558" s="566"/>
      <c r="X2558" s="586" t="str">
        <f t="shared" si="681"/>
        <v/>
      </c>
      <c r="Y2558" s="586" t="str">
        <f t="shared" si="672"/>
        <v/>
      </c>
      <c r="Z2558" s="586" t="str">
        <f t="shared" si="680"/>
        <v/>
      </c>
    </row>
    <row r="2559" spans="1:26" ht="12" hidden="1" thickBot="1" x14ac:dyDescent="0.25">
      <c r="A2559" s="567" t="s">
        <v>168</v>
      </c>
      <c r="B2559" s="644" t="s">
        <v>168</v>
      </c>
      <c r="C2559" s="645"/>
      <c r="D2559" s="422" t="s">
        <v>212</v>
      </c>
      <c r="E2559" s="423"/>
      <c r="F2559" s="424">
        <v>500</v>
      </c>
      <c r="G2559" s="425">
        <f>VLOOKUP(D2558,'[2]ENSAIOS DE ORÇAMENTO'!$C$3:$L$79,4,FALSE)</f>
        <v>1.4740100000000003</v>
      </c>
      <c r="H2559" s="649">
        <f>IF(F2559&lt;=30,(0.78*F2559+7.82)*G2559,((0.78*30+7.82)+0.78*(F2559-30))*G2559)</f>
        <v>586.39065820000019</v>
      </c>
      <c r="I2559" s="420"/>
      <c r="J2559" s="420"/>
      <c r="K2559" s="421">
        <f t="shared" si="666"/>
        <v>0</v>
      </c>
      <c r="L2559" s="647"/>
      <c r="M2559" s="723"/>
      <c r="N2559" s="576">
        <f t="shared" si="675"/>
        <v>0</v>
      </c>
      <c r="O2559" s="577">
        <f t="shared" si="669"/>
        <v>0</v>
      </c>
      <c r="P2559" s="578">
        <f t="shared" si="670"/>
        <v>0</v>
      </c>
      <c r="Q2559" s="765"/>
      <c r="R2559" s="723"/>
      <c r="S2559" s="723"/>
      <c r="T2559" s="577">
        <f t="shared" si="667"/>
        <v>0</v>
      </c>
      <c r="U2559" s="578">
        <f t="shared" si="668"/>
        <v>0</v>
      </c>
      <c r="V2559" s="579"/>
      <c r="W2559" s="566" t="str">
        <f>IF(U2558&gt;0,"xx",IF(P2558&gt;0,"xy",""))</f>
        <v/>
      </c>
      <c r="X2559" s="586" t="str">
        <f t="shared" si="681"/>
        <v/>
      </c>
      <c r="Y2559" s="586" t="str">
        <f t="shared" si="672"/>
        <v/>
      </c>
      <c r="Z2559" s="586" t="str">
        <f t="shared" si="680"/>
        <v/>
      </c>
    </row>
    <row r="2560" spans="1:26" ht="12" hidden="1" thickBot="1" x14ac:dyDescent="0.25">
      <c r="A2560" s="567" t="s">
        <v>168</v>
      </c>
      <c r="B2560" s="644" t="s">
        <v>168</v>
      </c>
      <c r="C2560" s="645"/>
      <c r="D2560" s="422" t="s">
        <v>248</v>
      </c>
      <c r="E2560" s="423"/>
      <c r="F2560" s="424">
        <v>180</v>
      </c>
      <c r="G2560" s="425">
        <f>VLOOKUP(D2558,'[2]ENSAIOS DE ORÇAMENTO'!$C$3:$L$79,5,FALSE)</f>
        <v>6.0316799999999997</v>
      </c>
      <c r="H2560" s="663">
        <f t="shared" ref="H2560:H2562" si="685">IF(F2560&lt;=30,(1.07*F2560+2.68)*G2560,((1.07*30+2.68)+1.07*(F2560-30))*G2560)</f>
        <v>1177.8664704</v>
      </c>
      <c r="I2560" s="420"/>
      <c r="J2560" s="420"/>
      <c r="K2560" s="421">
        <f t="shared" ref="K2560:K2623" si="686">IF(ISBLANK(I2560),0,ROUND(J2560*(1+$F$10)*(1+$F$11*E2560),2))</f>
        <v>0</v>
      </c>
      <c r="L2560" s="647"/>
      <c r="M2560" s="723"/>
      <c r="N2560" s="576">
        <f t="shared" si="675"/>
        <v>0</v>
      </c>
      <c r="O2560" s="577">
        <f t="shared" si="669"/>
        <v>0</v>
      </c>
      <c r="P2560" s="578">
        <f t="shared" si="670"/>
        <v>0</v>
      </c>
      <c r="Q2560" s="765"/>
      <c r="R2560" s="723"/>
      <c r="S2560" s="723"/>
      <c r="T2560" s="577">
        <f t="shared" ref="T2560:T2623" si="687">IF(ISBLANK(R2560),0,ROUND(K2560*R2560,2))</f>
        <v>0</v>
      </c>
      <c r="U2560" s="578">
        <f t="shared" ref="U2560:U2623" si="688">IF(ISBLANK(R2560),0,ROUND(R2560*S2560,2))</f>
        <v>0</v>
      </c>
      <c r="V2560" s="579"/>
      <c r="W2560" s="566" t="str">
        <f>IF(U2558&gt;0,"xx",IF(P2558&gt;0,"xy",""))</f>
        <v/>
      </c>
      <c r="X2560" s="586" t="str">
        <f t="shared" si="681"/>
        <v/>
      </c>
      <c r="Y2560" s="586" t="str">
        <f t="shared" si="672"/>
        <v/>
      </c>
      <c r="Z2560" s="586" t="str">
        <f t="shared" si="680"/>
        <v/>
      </c>
    </row>
    <row r="2561" spans="1:26" ht="12" hidden="1" thickBot="1" x14ac:dyDescent="0.25">
      <c r="A2561" s="567" t="s">
        <v>168</v>
      </c>
      <c r="B2561" s="644" t="s">
        <v>168</v>
      </c>
      <c r="C2561" s="645"/>
      <c r="D2561" s="422" t="s">
        <v>252</v>
      </c>
      <c r="E2561" s="423"/>
      <c r="F2561" s="424">
        <v>20</v>
      </c>
      <c r="G2561" s="425">
        <f>VLOOKUP(D2558,'[2]ENSAIOS DE ORÇAMENTO'!$C$3:$L$79,6,FALSE)</f>
        <v>11.634930000000001</v>
      </c>
      <c r="H2561" s="663">
        <f t="shared" si="685"/>
        <v>280.16911440000001</v>
      </c>
      <c r="I2561" s="420"/>
      <c r="J2561" s="420"/>
      <c r="K2561" s="421">
        <f t="shared" si="686"/>
        <v>0</v>
      </c>
      <c r="L2561" s="647"/>
      <c r="M2561" s="723"/>
      <c r="N2561" s="576">
        <f t="shared" si="675"/>
        <v>0</v>
      </c>
      <c r="O2561" s="577">
        <f t="shared" ref="O2561:O2624" si="689">IF(ISBLANK(M2561),0,ROUND(K2561*M2561,2))</f>
        <v>0</v>
      </c>
      <c r="P2561" s="578">
        <f t="shared" ref="P2561:P2624" si="690">IF(ISBLANK(N2561),0,ROUND(M2561*N2561,2))</f>
        <v>0</v>
      </c>
      <c r="Q2561" s="765"/>
      <c r="R2561" s="723"/>
      <c r="S2561" s="723"/>
      <c r="T2561" s="577">
        <f t="shared" si="687"/>
        <v>0</v>
      </c>
      <c r="U2561" s="578">
        <f t="shared" si="688"/>
        <v>0</v>
      </c>
      <c r="V2561" s="579"/>
      <c r="W2561" s="566" t="str">
        <f>IF(U2558&gt;0,"xx",IF(P2558&gt;0,"xy",""))</f>
        <v/>
      </c>
      <c r="X2561" s="586" t="str">
        <f t="shared" si="681"/>
        <v/>
      </c>
      <c r="Y2561" s="586" t="str">
        <f t="shared" si="672"/>
        <v/>
      </c>
      <c r="Z2561" s="586" t="str">
        <f t="shared" si="680"/>
        <v/>
      </c>
    </row>
    <row r="2562" spans="1:26" ht="12" hidden="1" thickBot="1" x14ac:dyDescent="0.25">
      <c r="A2562" s="567" t="s">
        <v>168</v>
      </c>
      <c r="B2562" s="644" t="s">
        <v>168</v>
      </c>
      <c r="C2562" s="645"/>
      <c r="D2562" s="422" t="s">
        <v>400</v>
      </c>
      <c r="E2562" s="423"/>
      <c r="F2562" s="424">
        <v>30</v>
      </c>
      <c r="G2562" s="425">
        <f>VLOOKUP(D2558,'[2]ENSAIOS DE ORÇAMENTO'!$C$3:$L$79,3,FALSE)</f>
        <v>0</v>
      </c>
      <c r="H2562" s="663">
        <f t="shared" si="685"/>
        <v>0</v>
      </c>
      <c r="I2562" s="420"/>
      <c r="J2562" s="420"/>
      <c r="K2562" s="421">
        <f t="shared" si="686"/>
        <v>0</v>
      </c>
      <c r="L2562" s="647"/>
      <c r="M2562" s="723"/>
      <c r="N2562" s="576">
        <f t="shared" si="675"/>
        <v>0</v>
      </c>
      <c r="O2562" s="577">
        <f t="shared" si="689"/>
        <v>0</v>
      </c>
      <c r="P2562" s="578">
        <f t="shared" si="690"/>
        <v>0</v>
      </c>
      <c r="Q2562" s="765"/>
      <c r="R2562" s="723"/>
      <c r="S2562" s="723"/>
      <c r="T2562" s="577">
        <f t="shared" si="687"/>
        <v>0</v>
      </c>
      <c r="U2562" s="578">
        <f t="shared" si="688"/>
        <v>0</v>
      </c>
      <c r="V2562" s="579"/>
      <c r="W2562" s="566" t="str">
        <f>IF(U2558&gt;0,"xx",IF(P2558&gt;0,"xy",""))</f>
        <v/>
      </c>
      <c r="X2562" s="586" t="str">
        <f t="shared" si="681"/>
        <v/>
      </c>
      <c r="Y2562" s="586" t="str">
        <f t="shared" si="672"/>
        <v/>
      </c>
      <c r="Z2562" s="586" t="str">
        <f t="shared" si="680"/>
        <v/>
      </c>
    </row>
    <row r="2563" spans="1:26" ht="12" hidden="1" thickBot="1" x14ac:dyDescent="0.25">
      <c r="A2563" s="567" t="s">
        <v>168</v>
      </c>
      <c r="B2563" s="644" t="s">
        <v>168</v>
      </c>
      <c r="C2563" s="645"/>
      <c r="D2563" s="422" t="s">
        <v>401</v>
      </c>
      <c r="E2563" s="423"/>
      <c r="F2563" s="424">
        <v>500</v>
      </c>
      <c r="G2563" s="425">
        <f>VLOOKUP(D2558,'[2]ENSAIOS DE ORÇAMENTO'!$C$3:$L$79,10,FALSE)</f>
        <v>0</v>
      </c>
      <c r="H2563" s="649">
        <f>IF(F2563&lt;=30,(0.78*F2563+7.82)*G2563,((0.78*30+7.82)+0.78*(F2563-30))*G2563)</f>
        <v>0</v>
      </c>
      <c r="I2563" s="420"/>
      <c r="J2563" s="420"/>
      <c r="K2563" s="421">
        <f t="shared" si="686"/>
        <v>0</v>
      </c>
      <c r="L2563" s="647"/>
      <c r="M2563" s="723"/>
      <c r="N2563" s="576">
        <f t="shared" si="675"/>
        <v>0</v>
      </c>
      <c r="O2563" s="577">
        <f t="shared" si="689"/>
        <v>0</v>
      </c>
      <c r="P2563" s="578">
        <f t="shared" si="690"/>
        <v>0</v>
      </c>
      <c r="Q2563" s="765"/>
      <c r="R2563" s="723"/>
      <c r="S2563" s="723"/>
      <c r="T2563" s="577">
        <f t="shared" si="687"/>
        <v>0</v>
      </c>
      <c r="U2563" s="578">
        <f t="shared" si="688"/>
        <v>0</v>
      </c>
      <c r="V2563" s="579"/>
      <c r="W2563" s="566" t="str">
        <f>IF(U2558&gt;0,"xx",IF(P2558&gt;0,"xy",""))</f>
        <v/>
      </c>
      <c r="X2563" s="586" t="str">
        <f t="shared" si="681"/>
        <v/>
      </c>
      <c r="Y2563" s="586" t="str">
        <f t="shared" si="672"/>
        <v/>
      </c>
      <c r="Z2563" s="586" t="str">
        <f t="shared" si="680"/>
        <v/>
      </c>
    </row>
    <row r="2564" spans="1:26" ht="12" hidden="1" thickBot="1" x14ac:dyDescent="0.25">
      <c r="A2564" s="567" t="s">
        <v>53</v>
      </c>
      <c r="B2564" s="644" t="s">
        <v>53</v>
      </c>
      <c r="C2564" s="645" t="s">
        <v>206</v>
      </c>
      <c r="D2564" s="422" t="s">
        <v>165</v>
      </c>
      <c r="E2564" s="423"/>
      <c r="F2564" s="424"/>
      <c r="G2564" s="425"/>
      <c r="H2564" s="651">
        <f>SUM(H2565:H2569)</f>
        <v>3375.5045890000001</v>
      </c>
      <c r="I2564" s="420">
        <f>VLOOKUP(D2564,'[2]ENSAIOS DE ORÇAMENTO'!$C$3:$L$79,8,FALSE)</f>
        <v>5392.3903933333331</v>
      </c>
      <c r="J2564" s="420">
        <f>IF(ISBLANK(I2564),"",SUM(H2564:I2564))</f>
        <v>8767.8949823333332</v>
      </c>
      <c r="K2564" s="421">
        <f t="shared" si="686"/>
        <v>10417.14</v>
      </c>
      <c r="L2564" s="647" t="s">
        <v>21</v>
      </c>
      <c r="M2564" s="576"/>
      <c r="N2564" s="576">
        <f t="shared" si="675"/>
        <v>0</v>
      </c>
      <c r="O2564" s="577">
        <f t="shared" si="689"/>
        <v>0</v>
      </c>
      <c r="P2564" s="578">
        <f t="shared" si="690"/>
        <v>0</v>
      </c>
      <c r="Q2564" s="765"/>
      <c r="R2564" s="576">
        <f>M2564</f>
        <v>0</v>
      </c>
      <c r="S2564" s="576">
        <f>N2564</f>
        <v>0</v>
      </c>
      <c r="T2564" s="577">
        <f t="shared" si="687"/>
        <v>0</v>
      </c>
      <c r="U2564" s="578">
        <f t="shared" si="688"/>
        <v>0</v>
      </c>
      <c r="V2564" s="579"/>
      <c r="W2564" s="566"/>
      <c r="X2564" s="586" t="str">
        <f t="shared" si="681"/>
        <v/>
      </c>
      <c r="Y2564" s="586" t="str">
        <f t="shared" si="672"/>
        <v/>
      </c>
      <c r="Z2564" s="586" t="str">
        <f t="shared" si="680"/>
        <v/>
      </c>
    </row>
    <row r="2565" spans="1:26" ht="12" hidden="1" thickBot="1" x14ac:dyDescent="0.25">
      <c r="A2565" s="567" t="s">
        <v>168</v>
      </c>
      <c r="B2565" s="644" t="s">
        <v>168</v>
      </c>
      <c r="C2565" s="645"/>
      <c r="D2565" s="422" t="s">
        <v>212</v>
      </c>
      <c r="E2565" s="423"/>
      <c r="F2565" s="424">
        <v>500</v>
      </c>
      <c r="G2565" s="425">
        <f>VLOOKUP(D2564,'[2]ENSAIOS DE ORÇAMENTO'!$C$3:$L$79,4,FALSE)</f>
        <v>2.41967</v>
      </c>
      <c r="H2565" s="649">
        <f>IF(F2565&lt;=30,(0.78*F2565+7.82)*G2565,((0.78*30+7.82)+0.78*(F2565-30))*G2565)</f>
        <v>962.59311940000009</v>
      </c>
      <c r="I2565" s="420"/>
      <c r="J2565" s="420"/>
      <c r="K2565" s="421">
        <f t="shared" si="686"/>
        <v>0</v>
      </c>
      <c r="L2565" s="647"/>
      <c r="M2565" s="723"/>
      <c r="N2565" s="576">
        <f t="shared" si="675"/>
        <v>0</v>
      </c>
      <c r="O2565" s="577">
        <f t="shared" si="689"/>
        <v>0</v>
      </c>
      <c r="P2565" s="578">
        <f t="shared" si="690"/>
        <v>0</v>
      </c>
      <c r="Q2565" s="765"/>
      <c r="R2565" s="723"/>
      <c r="S2565" s="723"/>
      <c r="T2565" s="577">
        <f t="shared" si="687"/>
        <v>0</v>
      </c>
      <c r="U2565" s="578">
        <f t="shared" si="688"/>
        <v>0</v>
      </c>
      <c r="V2565" s="579"/>
      <c r="W2565" s="566" t="str">
        <f>IF(U2564&gt;0,"xx",IF(P2564&gt;0,"xy",""))</f>
        <v/>
      </c>
      <c r="X2565" s="586" t="str">
        <f t="shared" si="681"/>
        <v/>
      </c>
      <c r="Y2565" s="586" t="str">
        <f t="shared" si="672"/>
        <v/>
      </c>
      <c r="Z2565" s="586" t="str">
        <f t="shared" si="680"/>
        <v/>
      </c>
    </row>
    <row r="2566" spans="1:26" ht="12" hidden="1" thickBot="1" x14ac:dyDescent="0.25">
      <c r="A2566" s="567" t="s">
        <v>168</v>
      </c>
      <c r="B2566" s="644" t="s">
        <v>168</v>
      </c>
      <c r="C2566" s="645"/>
      <c r="D2566" s="422" t="s">
        <v>248</v>
      </c>
      <c r="E2566" s="423"/>
      <c r="F2566" s="424">
        <v>180</v>
      </c>
      <c r="G2566" s="425">
        <f>VLOOKUP(D2564,'[2]ENSAIOS DE ORÇAMENTO'!$C$3:$L$79,5,FALSE)</f>
        <v>9.9546600000000005</v>
      </c>
      <c r="H2566" s="663">
        <f t="shared" ref="H2566:H2568" si="691">IF(F2566&lt;=30,(1.07*F2566+2.68)*G2566,((1.07*30+2.68)+1.07*(F2566-30))*G2566)</f>
        <v>1943.9460048000001</v>
      </c>
      <c r="I2566" s="420"/>
      <c r="J2566" s="420"/>
      <c r="K2566" s="421">
        <f t="shared" si="686"/>
        <v>0</v>
      </c>
      <c r="L2566" s="647"/>
      <c r="M2566" s="723"/>
      <c r="N2566" s="576">
        <f t="shared" si="675"/>
        <v>0</v>
      </c>
      <c r="O2566" s="577">
        <f t="shared" si="689"/>
        <v>0</v>
      </c>
      <c r="P2566" s="578">
        <f t="shared" si="690"/>
        <v>0</v>
      </c>
      <c r="Q2566" s="765"/>
      <c r="R2566" s="723"/>
      <c r="S2566" s="723"/>
      <c r="T2566" s="577">
        <f t="shared" si="687"/>
        <v>0</v>
      </c>
      <c r="U2566" s="578">
        <f t="shared" si="688"/>
        <v>0</v>
      </c>
      <c r="V2566" s="579"/>
      <c r="W2566" s="566" t="str">
        <f>IF(U2564&gt;0,"xx",IF(P2564&gt;0,"xy",""))</f>
        <v/>
      </c>
      <c r="X2566" s="586" t="str">
        <f t="shared" si="681"/>
        <v/>
      </c>
      <c r="Y2566" s="586" t="str">
        <f t="shared" si="672"/>
        <v/>
      </c>
      <c r="Z2566" s="586" t="str">
        <f t="shared" si="680"/>
        <v/>
      </c>
    </row>
    <row r="2567" spans="1:26" ht="12" hidden="1" thickBot="1" x14ac:dyDescent="0.25">
      <c r="A2567" s="567" t="s">
        <v>168</v>
      </c>
      <c r="B2567" s="644" t="s">
        <v>168</v>
      </c>
      <c r="C2567" s="645"/>
      <c r="D2567" s="422" t="s">
        <v>252</v>
      </c>
      <c r="E2567" s="423"/>
      <c r="F2567" s="424">
        <v>20</v>
      </c>
      <c r="G2567" s="425">
        <f>VLOOKUP(D2564,'[2]ENSAIOS DE ORÇAMENTO'!$C$3:$L$79,6,FALSE)</f>
        <v>19.47531</v>
      </c>
      <c r="H2567" s="663">
        <f t="shared" si="691"/>
        <v>468.96546480000006</v>
      </c>
      <c r="I2567" s="420"/>
      <c r="J2567" s="420"/>
      <c r="K2567" s="421">
        <f t="shared" si="686"/>
        <v>0</v>
      </c>
      <c r="L2567" s="647"/>
      <c r="M2567" s="723"/>
      <c r="N2567" s="576">
        <f t="shared" si="675"/>
        <v>0</v>
      </c>
      <c r="O2567" s="577">
        <f t="shared" si="689"/>
        <v>0</v>
      </c>
      <c r="P2567" s="578">
        <f t="shared" si="690"/>
        <v>0</v>
      </c>
      <c r="Q2567" s="765"/>
      <c r="R2567" s="723"/>
      <c r="S2567" s="723"/>
      <c r="T2567" s="577">
        <f t="shared" si="687"/>
        <v>0</v>
      </c>
      <c r="U2567" s="578">
        <f t="shared" si="688"/>
        <v>0</v>
      </c>
      <c r="V2567" s="579"/>
      <c r="W2567" s="566" t="str">
        <f>IF(U2564&gt;0,"xx",IF(P2564&gt;0,"xy",""))</f>
        <v/>
      </c>
      <c r="X2567" s="586" t="str">
        <f t="shared" si="681"/>
        <v/>
      </c>
      <c r="Y2567" s="586" t="str">
        <f t="shared" si="672"/>
        <v/>
      </c>
      <c r="Z2567" s="586" t="str">
        <f t="shared" si="680"/>
        <v/>
      </c>
    </row>
    <row r="2568" spans="1:26" ht="12" hidden="1" thickBot="1" x14ac:dyDescent="0.25">
      <c r="A2568" s="567" t="s">
        <v>168</v>
      </c>
      <c r="B2568" s="644" t="s">
        <v>168</v>
      </c>
      <c r="C2568" s="645"/>
      <c r="D2568" s="422" t="s">
        <v>400</v>
      </c>
      <c r="E2568" s="423"/>
      <c r="F2568" s="424">
        <v>30</v>
      </c>
      <c r="G2568" s="425">
        <f>VLOOKUP(D2564,'[2]ENSAIOS DE ORÇAMENTO'!$C$3:$L$79,3,FALSE)</f>
        <v>0</v>
      </c>
      <c r="H2568" s="663">
        <f t="shared" si="691"/>
        <v>0</v>
      </c>
      <c r="I2568" s="420"/>
      <c r="J2568" s="420"/>
      <c r="K2568" s="421">
        <f t="shared" si="686"/>
        <v>0</v>
      </c>
      <c r="L2568" s="647"/>
      <c r="M2568" s="723"/>
      <c r="N2568" s="576">
        <f t="shared" si="675"/>
        <v>0</v>
      </c>
      <c r="O2568" s="577">
        <f t="shared" si="689"/>
        <v>0</v>
      </c>
      <c r="P2568" s="578">
        <f t="shared" si="690"/>
        <v>0</v>
      </c>
      <c r="Q2568" s="765"/>
      <c r="R2568" s="723"/>
      <c r="S2568" s="723"/>
      <c r="T2568" s="577">
        <f t="shared" si="687"/>
        <v>0</v>
      </c>
      <c r="U2568" s="578">
        <f t="shared" si="688"/>
        <v>0</v>
      </c>
      <c r="V2568" s="579"/>
      <c r="W2568" s="566" t="str">
        <f>IF(U2564&gt;0,"xx",IF(P2564&gt;0,"xy",""))</f>
        <v/>
      </c>
      <c r="X2568" s="586" t="str">
        <f t="shared" si="681"/>
        <v/>
      </c>
      <c r="Y2568" s="586" t="str">
        <f t="shared" ref="Y2568:Y2631" si="692">IF(W2568="X","x",IF(W2568="y","x",IF(W2568="xx","x",IF(U2568&gt;0,"x",""))))</f>
        <v/>
      </c>
      <c r="Z2568" s="586" t="str">
        <f t="shared" si="680"/>
        <v/>
      </c>
    </row>
    <row r="2569" spans="1:26" ht="12" hidden="1" thickBot="1" x14ac:dyDescent="0.25">
      <c r="A2569" s="567" t="s">
        <v>168</v>
      </c>
      <c r="B2569" s="644" t="s">
        <v>168</v>
      </c>
      <c r="C2569" s="645"/>
      <c r="D2569" s="422" t="s">
        <v>401</v>
      </c>
      <c r="E2569" s="423"/>
      <c r="F2569" s="424">
        <v>500</v>
      </c>
      <c r="G2569" s="425">
        <f>VLOOKUP(D2564,'[2]ENSAIOS DE ORÇAMENTO'!$C$3:$L$79,10,FALSE)</f>
        <v>0</v>
      </c>
      <c r="H2569" s="649">
        <f>IF(F2569&lt;=30,(0.78*F2569+7.82)*G2569,((0.78*30+7.82)+0.78*(F2569-30))*G2569)</f>
        <v>0</v>
      </c>
      <c r="I2569" s="420"/>
      <c r="J2569" s="420"/>
      <c r="K2569" s="421">
        <f t="shared" si="686"/>
        <v>0</v>
      </c>
      <c r="L2569" s="647"/>
      <c r="M2569" s="723"/>
      <c r="N2569" s="576">
        <f t="shared" si="675"/>
        <v>0</v>
      </c>
      <c r="O2569" s="577">
        <f t="shared" si="689"/>
        <v>0</v>
      </c>
      <c r="P2569" s="578">
        <f t="shared" si="690"/>
        <v>0</v>
      </c>
      <c r="Q2569" s="765"/>
      <c r="R2569" s="723"/>
      <c r="S2569" s="723"/>
      <c r="T2569" s="577">
        <f t="shared" si="687"/>
        <v>0</v>
      </c>
      <c r="U2569" s="578">
        <f t="shared" si="688"/>
        <v>0</v>
      </c>
      <c r="V2569" s="579"/>
      <c r="W2569" s="566" t="str">
        <f>IF(U2564&gt;0,"xx",IF(P2564&gt;0,"xy",""))</f>
        <v/>
      </c>
      <c r="X2569" s="586" t="str">
        <f t="shared" si="681"/>
        <v/>
      </c>
      <c r="Y2569" s="586" t="str">
        <f t="shared" si="692"/>
        <v/>
      </c>
      <c r="Z2569" s="586" t="str">
        <f t="shared" si="680"/>
        <v/>
      </c>
    </row>
    <row r="2570" spans="1:26" ht="12" hidden="1" thickBot="1" x14ac:dyDescent="0.25">
      <c r="A2570" s="567" t="s">
        <v>428</v>
      </c>
      <c r="B2570" s="644" t="s">
        <v>428</v>
      </c>
      <c r="C2570" s="645" t="s">
        <v>206</v>
      </c>
      <c r="D2570" s="422" t="str">
        <f>'[2]ENSAIOS DE ORÇAMENTO'!C70</f>
        <v>ENSAIO DE ORÇAMENTO 1</v>
      </c>
      <c r="E2570" s="423"/>
      <c r="F2570" s="424"/>
      <c r="G2570" s="425"/>
      <c r="H2570" s="651">
        <f>SUM(H2571:H2575)</f>
        <v>0</v>
      </c>
      <c r="I2570" s="420">
        <f>VLOOKUP(D2570,'[2]ENSAIOS DE ORÇAMENTO'!$C$3:$L$79,8,FALSE)</f>
        <v>0</v>
      </c>
      <c r="J2570" s="420">
        <f t="shared" ref="J2570:J2588" si="693">IF(ISBLANK(I2570),"",SUM(H2570:I2570))</f>
        <v>0</v>
      </c>
      <c r="K2570" s="421">
        <f t="shared" si="686"/>
        <v>0</v>
      </c>
      <c r="L2570" s="647" t="s">
        <v>21</v>
      </c>
      <c r="M2570" s="576"/>
      <c r="N2570" s="576">
        <f t="shared" si="675"/>
        <v>0</v>
      </c>
      <c r="O2570" s="577">
        <f t="shared" si="689"/>
        <v>0</v>
      </c>
      <c r="P2570" s="578">
        <f t="shared" si="690"/>
        <v>0</v>
      </c>
      <c r="Q2570" s="765"/>
      <c r="R2570" s="576">
        <f>M2570</f>
        <v>0</v>
      </c>
      <c r="S2570" s="576">
        <f>N2570</f>
        <v>0</v>
      </c>
      <c r="T2570" s="577">
        <f t="shared" si="687"/>
        <v>0</v>
      </c>
      <c r="U2570" s="578">
        <f t="shared" si="688"/>
        <v>0</v>
      </c>
      <c r="V2570" s="579"/>
      <c r="W2570" s="566"/>
      <c r="X2570" s="586" t="str">
        <f t="shared" si="681"/>
        <v/>
      </c>
      <c r="Y2570" s="586" t="str">
        <f t="shared" si="692"/>
        <v/>
      </c>
      <c r="Z2570" s="586" t="str">
        <f t="shared" si="680"/>
        <v/>
      </c>
    </row>
    <row r="2571" spans="1:26" ht="12" hidden="1" thickBot="1" x14ac:dyDescent="0.25">
      <c r="A2571" s="567" t="s">
        <v>168</v>
      </c>
      <c r="B2571" s="644" t="s">
        <v>168</v>
      </c>
      <c r="C2571" s="645"/>
      <c r="D2571" s="451" t="s">
        <v>212</v>
      </c>
      <c r="E2571" s="423"/>
      <c r="F2571" s="424">
        <v>500</v>
      </c>
      <c r="G2571" s="425">
        <f>VLOOKUP(D2570,'[2]ENSAIOS DE ORÇAMENTO'!$C$3:$L$79,4,FALSE)</f>
        <v>0</v>
      </c>
      <c r="H2571" s="649">
        <f>IF(F2571&lt;=30,(0.78*F2571+7.82)*G2571,((0.78*30+7.82)+0.78*(F2571-30))*G2571)</f>
        <v>0</v>
      </c>
      <c r="I2571" s="420"/>
      <c r="J2571" s="420" t="str">
        <f t="shared" si="693"/>
        <v/>
      </c>
      <c r="K2571" s="421">
        <f t="shared" si="686"/>
        <v>0</v>
      </c>
      <c r="L2571" s="668" t="s">
        <v>614</v>
      </c>
      <c r="M2571" s="669"/>
      <c r="N2571" s="576">
        <f t="shared" si="675"/>
        <v>0</v>
      </c>
      <c r="O2571" s="577">
        <f t="shared" si="689"/>
        <v>0</v>
      </c>
      <c r="P2571" s="578">
        <f t="shared" si="690"/>
        <v>0</v>
      </c>
      <c r="Q2571" s="765"/>
      <c r="R2571" s="669"/>
      <c r="S2571" s="670"/>
      <c r="T2571" s="577">
        <f t="shared" si="687"/>
        <v>0</v>
      </c>
      <c r="U2571" s="578">
        <f t="shared" si="688"/>
        <v>0</v>
      </c>
      <c r="V2571" s="579"/>
      <c r="W2571" s="637" t="str">
        <f>IF(U2570&gt;0,"xx",IF(P2570&gt;0,"xy",""))</f>
        <v/>
      </c>
      <c r="X2571" s="586" t="str">
        <f t="shared" si="681"/>
        <v/>
      </c>
      <c r="Y2571" s="586" t="str">
        <f t="shared" si="692"/>
        <v/>
      </c>
      <c r="Z2571" s="586" t="str">
        <f t="shared" si="680"/>
        <v/>
      </c>
    </row>
    <row r="2572" spans="1:26" ht="12" hidden="1" thickBot="1" x14ac:dyDescent="0.25">
      <c r="A2572" s="567" t="s">
        <v>168</v>
      </c>
      <c r="B2572" s="644" t="s">
        <v>168</v>
      </c>
      <c r="C2572" s="645"/>
      <c r="D2572" s="451" t="s">
        <v>248</v>
      </c>
      <c r="E2572" s="423"/>
      <c r="F2572" s="424">
        <v>180</v>
      </c>
      <c r="G2572" s="425">
        <f>VLOOKUP(D2570,'[2]ENSAIOS DE ORÇAMENTO'!$C$3:$L$79,5,FALSE)</f>
        <v>0</v>
      </c>
      <c r="H2572" s="663">
        <f t="shared" ref="H2572:H2574" si="694">IF(F2572&lt;=30,(1.07*F2572+2.68)*G2572,((1.07*30+2.68)+1.07*(F2572-30))*G2572)</f>
        <v>0</v>
      </c>
      <c r="I2572" s="420"/>
      <c r="J2572" s="420" t="str">
        <f t="shared" si="693"/>
        <v/>
      </c>
      <c r="K2572" s="421">
        <f t="shared" si="686"/>
        <v>0</v>
      </c>
      <c r="L2572" s="668" t="s">
        <v>614</v>
      </c>
      <c r="M2572" s="669"/>
      <c r="N2572" s="576">
        <f t="shared" si="675"/>
        <v>0</v>
      </c>
      <c r="O2572" s="577">
        <f t="shared" si="689"/>
        <v>0</v>
      </c>
      <c r="P2572" s="578">
        <f t="shared" si="690"/>
        <v>0</v>
      </c>
      <c r="Q2572" s="765"/>
      <c r="R2572" s="669"/>
      <c r="S2572" s="670"/>
      <c r="T2572" s="577">
        <f t="shared" si="687"/>
        <v>0</v>
      </c>
      <c r="U2572" s="578">
        <f t="shared" si="688"/>
        <v>0</v>
      </c>
      <c r="V2572" s="579"/>
      <c r="W2572" s="637" t="str">
        <f>IF(U2570&gt;0,"xx",IF(P2570&gt;0,"xy",""))</f>
        <v/>
      </c>
      <c r="X2572" s="586" t="str">
        <f t="shared" si="681"/>
        <v/>
      </c>
      <c r="Y2572" s="586" t="str">
        <f t="shared" si="692"/>
        <v/>
      </c>
      <c r="Z2572" s="586" t="str">
        <f t="shared" si="680"/>
        <v/>
      </c>
    </row>
    <row r="2573" spans="1:26" ht="12" hidden="1" thickBot="1" x14ac:dyDescent="0.25">
      <c r="A2573" s="567" t="s">
        <v>168</v>
      </c>
      <c r="B2573" s="644" t="s">
        <v>168</v>
      </c>
      <c r="C2573" s="645"/>
      <c r="D2573" s="451" t="s">
        <v>252</v>
      </c>
      <c r="E2573" s="423"/>
      <c r="F2573" s="424">
        <v>20</v>
      </c>
      <c r="G2573" s="425">
        <f>VLOOKUP(D2570,'[2]ENSAIOS DE ORÇAMENTO'!$C$3:$L$79,6,FALSE)</f>
        <v>0</v>
      </c>
      <c r="H2573" s="663">
        <f t="shared" si="694"/>
        <v>0</v>
      </c>
      <c r="I2573" s="420"/>
      <c r="J2573" s="420" t="str">
        <f t="shared" si="693"/>
        <v/>
      </c>
      <c r="K2573" s="421">
        <f t="shared" si="686"/>
        <v>0</v>
      </c>
      <c r="L2573" s="668" t="s">
        <v>614</v>
      </c>
      <c r="M2573" s="669"/>
      <c r="N2573" s="576">
        <f t="shared" si="675"/>
        <v>0</v>
      </c>
      <c r="O2573" s="577">
        <f t="shared" si="689"/>
        <v>0</v>
      </c>
      <c r="P2573" s="578">
        <f t="shared" si="690"/>
        <v>0</v>
      </c>
      <c r="Q2573" s="765"/>
      <c r="R2573" s="669"/>
      <c r="S2573" s="670"/>
      <c r="T2573" s="577">
        <f t="shared" si="687"/>
        <v>0</v>
      </c>
      <c r="U2573" s="578">
        <f t="shared" si="688"/>
        <v>0</v>
      </c>
      <c r="V2573" s="579"/>
      <c r="W2573" s="637" t="str">
        <f>IF(U2570&gt;0,"xx",IF(P2570&gt;0,"xy",""))</f>
        <v/>
      </c>
      <c r="X2573" s="586" t="str">
        <f t="shared" si="681"/>
        <v/>
      </c>
      <c r="Y2573" s="586" t="str">
        <f t="shared" si="692"/>
        <v/>
      </c>
      <c r="Z2573" s="586" t="str">
        <f t="shared" si="680"/>
        <v/>
      </c>
    </row>
    <row r="2574" spans="1:26" ht="12" hidden="1" thickBot="1" x14ac:dyDescent="0.25">
      <c r="A2574" s="567" t="s">
        <v>168</v>
      </c>
      <c r="B2574" s="644" t="s">
        <v>168</v>
      </c>
      <c r="C2574" s="645"/>
      <c r="D2574" s="451" t="s">
        <v>400</v>
      </c>
      <c r="E2574" s="423"/>
      <c r="F2574" s="424">
        <v>30</v>
      </c>
      <c r="G2574" s="425">
        <f>VLOOKUP(D2570,'[2]ENSAIOS DE ORÇAMENTO'!$C$3:$L$79,3,FALSE)</f>
        <v>0</v>
      </c>
      <c r="H2574" s="663">
        <f t="shared" si="694"/>
        <v>0</v>
      </c>
      <c r="I2574" s="420"/>
      <c r="J2574" s="420" t="str">
        <f t="shared" si="693"/>
        <v/>
      </c>
      <c r="K2574" s="421">
        <f t="shared" si="686"/>
        <v>0</v>
      </c>
      <c r="L2574" s="668" t="s">
        <v>614</v>
      </c>
      <c r="M2574" s="669"/>
      <c r="N2574" s="576">
        <f t="shared" si="675"/>
        <v>0</v>
      </c>
      <c r="O2574" s="577">
        <f t="shared" si="689"/>
        <v>0</v>
      </c>
      <c r="P2574" s="578">
        <f t="shared" si="690"/>
        <v>0</v>
      </c>
      <c r="Q2574" s="765"/>
      <c r="R2574" s="669"/>
      <c r="S2574" s="670"/>
      <c r="T2574" s="577">
        <f t="shared" si="687"/>
        <v>0</v>
      </c>
      <c r="U2574" s="578">
        <f t="shared" si="688"/>
        <v>0</v>
      </c>
      <c r="V2574" s="579"/>
      <c r="W2574" s="637" t="str">
        <f>IF(U2570&gt;0,"xx",IF(P2570&gt;0,"xy",""))</f>
        <v/>
      </c>
      <c r="X2574" s="586" t="str">
        <f t="shared" si="681"/>
        <v/>
      </c>
      <c r="Y2574" s="586" t="str">
        <f t="shared" si="692"/>
        <v/>
      </c>
      <c r="Z2574" s="586" t="str">
        <f t="shared" si="680"/>
        <v/>
      </c>
    </row>
    <row r="2575" spans="1:26" ht="12" hidden="1" thickBot="1" x14ac:dyDescent="0.25">
      <c r="A2575" s="567" t="s">
        <v>168</v>
      </c>
      <c r="B2575" s="644" t="s">
        <v>168</v>
      </c>
      <c r="C2575" s="645"/>
      <c r="D2575" s="451" t="s">
        <v>401</v>
      </c>
      <c r="E2575" s="423"/>
      <c r="F2575" s="424">
        <v>500</v>
      </c>
      <c r="G2575" s="425">
        <f>VLOOKUP(D2570,'[2]ENSAIOS DE ORÇAMENTO'!$C$3:$L$79,10,FALSE)</f>
        <v>0</v>
      </c>
      <c r="H2575" s="649">
        <f>IF(F2575&lt;=30,(0.78*F2575+7.82)*G2575,((0.78*30+7.82)+0.78*(F2575-30))*G2575)</f>
        <v>0</v>
      </c>
      <c r="I2575" s="420"/>
      <c r="J2575" s="420" t="str">
        <f t="shared" si="693"/>
        <v/>
      </c>
      <c r="K2575" s="421">
        <f t="shared" si="686"/>
        <v>0</v>
      </c>
      <c r="L2575" s="668" t="s">
        <v>614</v>
      </c>
      <c r="M2575" s="669"/>
      <c r="N2575" s="576">
        <f t="shared" si="675"/>
        <v>0</v>
      </c>
      <c r="O2575" s="577">
        <f t="shared" si="689"/>
        <v>0</v>
      </c>
      <c r="P2575" s="578">
        <f t="shared" si="690"/>
        <v>0</v>
      </c>
      <c r="Q2575" s="765"/>
      <c r="R2575" s="669"/>
      <c r="S2575" s="670"/>
      <c r="T2575" s="577">
        <f t="shared" si="687"/>
        <v>0</v>
      </c>
      <c r="U2575" s="578">
        <f t="shared" si="688"/>
        <v>0</v>
      </c>
      <c r="V2575" s="579"/>
      <c r="W2575" s="637" t="str">
        <f>IF(U2570&gt;0,"xx",IF(P2570&gt;0,"xy",""))</f>
        <v/>
      </c>
      <c r="X2575" s="586" t="str">
        <f t="shared" si="681"/>
        <v/>
      </c>
      <c r="Y2575" s="586" t="str">
        <f t="shared" si="692"/>
        <v/>
      </c>
      <c r="Z2575" s="586" t="str">
        <f t="shared" si="680"/>
        <v/>
      </c>
    </row>
    <row r="2576" spans="1:26" ht="12" hidden="1" thickBot="1" x14ac:dyDescent="0.25">
      <c r="A2576" s="567" t="s">
        <v>429</v>
      </c>
      <c r="B2576" s="644" t="s">
        <v>429</v>
      </c>
      <c r="C2576" s="645" t="s">
        <v>206</v>
      </c>
      <c r="D2576" s="422" t="str">
        <f>'[2]ENSAIOS DE ORÇAMENTO'!C71</f>
        <v>ENSAIO DE ORÇAMENTO 2</v>
      </c>
      <c r="E2576" s="423"/>
      <c r="F2576" s="424"/>
      <c r="G2576" s="425"/>
      <c r="H2576" s="651">
        <f>SUM(H2577:H2581)</f>
        <v>0</v>
      </c>
      <c r="I2576" s="420">
        <f>VLOOKUP(D2576,'[2]ENSAIOS DE ORÇAMENTO'!$C$3:$L$79,8,FALSE)</f>
        <v>0</v>
      </c>
      <c r="J2576" s="420">
        <f t="shared" si="693"/>
        <v>0</v>
      </c>
      <c r="K2576" s="421">
        <f t="shared" si="686"/>
        <v>0</v>
      </c>
      <c r="L2576" s="647" t="s">
        <v>21</v>
      </c>
      <c r="M2576" s="576"/>
      <c r="N2576" s="576">
        <f t="shared" si="675"/>
        <v>0</v>
      </c>
      <c r="O2576" s="577">
        <f t="shared" si="689"/>
        <v>0</v>
      </c>
      <c r="P2576" s="578">
        <f t="shared" si="690"/>
        <v>0</v>
      </c>
      <c r="Q2576" s="765"/>
      <c r="R2576" s="576">
        <f>M2576</f>
        <v>0</v>
      </c>
      <c r="S2576" s="576">
        <f>N2576</f>
        <v>0</v>
      </c>
      <c r="T2576" s="577">
        <f t="shared" si="687"/>
        <v>0</v>
      </c>
      <c r="U2576" s="578">
        <f t="shared" si="688"/>
        <v>0</v>
      </c>
      <c r="V2576" s="579"/>
      <c r="W2576" s="566"/>
      <c r="X2576" s="586" t="str">
        <f t="shared" si="681"/>
        <v/>
      </c>
      <c r="Y2576" s="586" t="str">
        <f t="shared" si="692"/>
        <v/>
      </c>
      <c r="Z2576" s="586" t="str">
        <f t="shared" si="680"/>
        <v/>
      </c>
    </row>
    <row r="2577" spans="1:26" ht="12" hidden="1" thickBot="1" x14ac:dyDescent="0.25">
      <c r="A2577" s="567" t="s">
        <v>168</v>
      </c>
      <c r="B2577" s="644" t="s">
        <v>168</v>
      </c>
      <c r="C2577" s="645"/>
      <c r="D2577" s="451" t="s">
        <v>212</v>
      </c>
      <c r="E2577" s="423"/>
      <c r="F2577" s="424">
        <v>500</v>
      </c>
      <c r="G2577" s="425">
        <f>VLOOKUP(D2576,'[2]ENSAIOS DE ORÇAMENTO'!$C$3:$L$79,4,FALSE)</f>
        <v>0</v>
      </c>
      <c r="H2577" s="649">
        <f>IF(F2577&lt;=30,(0.78*F2577+7.82)*G2577,((0.78*30+7.82)+0.78*(F2577-30))*G2577)</f>
        <v>0</v>
      </c>
      <c r="I2577" s="420"/>
      <c r="J2577" s="420" t="str">
        <f t="shared" si="693"/>
        <v/>
      </c>
      <c r="K2577" s="421">
        <f t="shared" si="686"/>
        <v>0</v>
      </c>
      <c r="L2577" s="668" t="s">
        <v>614</v>
      </c>
      <c r="M2577" s="669"/>
      <c r="N2577" s="576">
        <f t="shared" si="675"/>
        <v>0</v>
      </c>
      <c r="O2577" s="577">
        <f t="shared" si="689"/>
        <v>0</v>
      </c>
      <c r="P2577" s="578">
        <f t="shared" si="690"/>
        <v>0</v>
      </c>
      <c r="Q2577" s="765"/>
      <c r="R2577" s="669"/>
      <c r="S2577" s="670"/>
      <c r="T2577" s="577">
        <f t="shared" si="687"/>
        <v>0</v>
      </c>
      <c r="U2577" s="578">
        <f t="shared" si="688"/>
        <v>0</v>
      </c>
      <c r="V2577" s="579"/>
      <c r="W2577" s="637" t="str">
        <f>IF(U2576&gt;0,"xx",IF(P2576&gt;0,"xy",""))</f>
        <v/>
      </c>
      <c r="X2577" s="586" t="str">
        <f t="shared" si="681"/>
        <v/>
      </c>
      <c r="Y2577" s="586" t="str">
        <f t="shared" si="692"/>
        <v/>
      </c>
      <c r="Z2577" s="586" t="str">
        <f t="shared" si="680"/>
        <v/>
      </c>
    </row>
    <row r="2578" spans="1:26" ht="12" hidden="1" thickBot="1" x14ac:dyDescent="0.25">
      <c r="A2578" s="567" t="s">
        <v>168</v>
      </c>
      <c r="B2578" s="644" t="s">
        <v>168</v>
      </c>
      <c r="C2578" s="645"/>
      <c r="D2578" s="451" t="s">
        <v>248</v>
      </c>
      <c r="E2578" s="423"/>
      <c r="F2578" s="424">
        <v>180</v>
      </c>
      <c r="G2578" s="425">
        <f>VLOOKUP(D2576,'[2]ENSAIOS DE ORÇAMENTO'!$C$3:$L$79,5,FALSE)</f>
        <v>0</v>
      </c>
      <c r="H2578" s="663">
        <f t="shared" ref="H2578:H2580" si="695">IF(F2578&lt;=30,(1.07*F2578+2.68)*G2578,((1.07*30+2.68)+1.07*(F2578-30))*G2578)</f>
        <v>0</v>
      </c>
      <c r="I2578" s="420"/>
      <c r="J2578" s="420" t="str">
        <f t="shared" si="693"/>
        <v/>
      </c>
      <c r="K2578" s="421">
        <f t="shared" si="686"/>
        <v>0</v>
      </c>
      <c r="L2578" s="668" t="s">
        <v>614</v>
      </c>
      <c r="M2578" s="669"/>
      <c r="N2578" s="576">
        <f t="shared" si="675"/>
        <v>0</v>
      </c>
      <c r="O2578" s="577">
        <f t="shared" si="689"/>
        <v>0</v>
      </c>
      <c r="P2578" s="578">
        <f t="shared" si="690"/>
        <v>0</v>
      </c>
      <c r="Q2578" s="765"/>
      <c r="R2578" s="669"/>
      <c r="S2578" s="670"/>
      <c r="T2578" s="577">
        <f t="shared" si="687"/>
        <v>0</v>
      </c>
      <c r="U2578" s="578">
        <f t="shared" si="688"/>
        <v>0</v>
      </c>
      <c r="V2578" s="579"/>
      <c r="W2578" s="637" t="str">
        <f>IF(U2576&gt;0,"xx",IF(P2576&gt;0,"xy",""))</f>
        <v/>
      </c>
      <c r="X2578" s="586" t="str">
        <f t="shared" si="681"/>
        <v/>
      </c>
      <c r="Y2578" s="586" t="str">
        <f t="shared" si="692"/>
        <v/>
      </c>
      <c r="Z2578" s="586" t="str">
        <f t="shared" si="680"/>
        <v/>
      </c>
    </row>
    <row r="2579" spans="1:26" ht="12" hidden="1" thickBot="1" x14ac:dyDescent="0.25">
      <c r="A2579" s="567" t="s">
        <v>168</v>
      </c>
      <c r="B2579" s="644" t="s">
        <v>168</v>
      </c>
      <c r="C2579" s="645"/>
      <c r="D2579" s="451" t="s">
        <v>252</v>
      </c>
      <c r="E2579" s="423"/>
      <c r="F2579" s="424">
        <v>20</v>
      </c>
      <c r="G2579" s="425">
        <f>VLOOKUP(D2576,'[2]ENSAIOS DE ORÇAMENTO'!$C$3:$L$79,6,FALSE)</f>
        <v>0</v>
      </c>
      <c r="H2579" s="663">
        <f t="shared" si="695"/>
        <v>0</v>
      </c>
      <c r="I2579" s="420"/>
      <c r="J2579" s="420" t="str">
        <f t="shared" si="693"/>
        <v/>
      </c>
      <c r="K2579" s="421">
        <f t="shared" si="686"/>
        <v>0</v>
      </c>
      <c r="L2579" s="668" t="s">
        <v>614</v>
      </c>
      <c r="M2579" s="669"/>
      <c r="N2579" s="576">
        <f t="shared" si="675"/>
        <v>0</v>
      </c>
      <c r="O2579" s="577">
        <f t="shared" si="689"/>
        <v>0</v>
      </c>
      <c r="P2579" s="578">
        <f t="shared" si="690"/>
        <v>0</v>
      </c>
      <c r="Q2579" s="765"/>
      <c r="R2579" s="669"/>
      <c r="S2579" s="670"/>
      <c r="T2579" s="577">
        <f t="shared" si="687"/>
        <v>0</v>
      </c>
      <c r="U2579" s="578">
        <f t="shared" si="688"/>
        <v>0</v>
      </c>
      <c r="V2579" s="579"/>
      <c r="W2579" s="637" t="str">
        <f>IF(U2576&gt;0,"xx",IF(P2576&gt;0,"xy",""))</f>
        <v/>
      </c>
      <c r="X2579" s="586" t="str">
        <f t="shared" si="681"/>
        <v/>
      </c>
      <c r="Y2579" s="586" t="str">
        <f t="shared" si="692"/>
        <v/>
      </c>
      <c r="Z2579" s="586" t="str">
        <f t="shared" si="680"/>
        <v/>
      </c>
    </row>
    <row r="2580" spans="1:26" ht="12" hidden="1" thickBot="1" x14ac:dyDescent="0.25">
      <c r="A2580" s="567" t="s">
        <v>168</v>
      </c>
      <c r="B2580" s="644" t="s">
        <v>168</v>
      </c>
      <c r="C2580" s="645"/>
      <c r="D2580" s="451" t="s">
        <v>400</v>
      </c>
      <c r="E2580" s="423"/>
      <c r="F2580" s="424">
        <v>30</v>
      </c>
      <c r="G2580" s="425">
        <f>VLOOKUP(D2576,'[2]ENSAIOS DE ORÇAMENTO'!$C$3:$L$79,3,FALSE)</f>
        <v>0</v>
      </c>
      <c r="H2580" s="663">
        <f t="shared" si="695"/>
        <v>0</v>
      </c>
      <c r="I2580" s="420"/>
      <c r="J2580" s="420" t="str">
        <f t="shared" si="693"/>
        <v/>
      </c>
      <c r="K2580" s="421">
        <f t="shared" si="686"/>
        <v>0</v>
      </c>
      <c r="L2580" s="668" t="s">
        <v>614</v>
      </c>
      <c r="M2580" s="669"/>
      <c r="N2580" s="576">
        <f t="shared" ref="N2580:N2643" si="696">IF(M2580=0,0,K2580)</f>
        <v>0</v>
      </c>
      <c r="O2580" s="577">
        <f t="shared" si="689"/>
        <v>0</v>
      </c>
      <c r="P2580" s="578">
        <f t="shared" si="690"/>
        <v>0</v>
      </c>
      <c r="Q2580" s="765"/>
      <c r="R2580" s="669"/>
      <c r="S2580" s="670"/>
      <c r="T2580" s="577">
        <f t="shared" si="687"/>
        <v>0</v>
      </c>
      <c r="U2580" s="578">
        <f t="shared" si="688"/>
        <v>0</v>
      </c>
      <c r="V2580" s="579"/>
      <c r="W2580" s="637" t="str">
        <f>IF(U2576&gt;0,"xx",IF(P2576&gt;0,"xy",""))</f>
        <v/>
      </c>
      <c r="X2580" s="586" t="str">
        <f t="shared" si="681"/>
        <v/>
      </c>
      <c r="Y2580" s="586" t="str">
        <f t="shared" si="692"/>
        <v/>
      </c>
      <c r="Z2580" s="586" t="str">
        <f t="shared" si="680"/>
        <v/>
      </c>
    </row>
    <row r="2581" spans="1:26" ht="12" hidden="1" thickBot="1" x14ac:dyDescent="0.25">
      <c r="A2581" s="567" t="s">
        <v>168</v>
      </c>
      <c r="B2581" s="644" t="s">
        <v>168</v>
      </c>
      <c r="C2581" s="645"/>
      <c r="D2581" s="451" t="s">
        <v>401</v>
      </c>
      <c r="E2581" s="423"/>
      <c r="F2581" s="424">
        <v>500</v>
      </c>
      <c r="G2581" s="425">
        <f>VLOOKUP(D2576,'[2]ENSAIOS DE ORÇAMENTO'!$C$3:$L$79,10,FALSE)</f>
        <v>0</v>
      </c>
      <c r="H2581" s="649">
        <f>IF(F2581&lt;=30,(0.78*F2581+7.82)*G2581,((0.78*30+7.82)+0.78*(F2581-30))*G2581)</f>
        <v>0</v>
      </c>
      <c r="I2581" s="420"/>
      <c r="J2581" s="420" t="str">
        <f t="shared" si="693"/>
        <v/>
      </c>
      <c r="K2581" s="421">
        <f t="shared" si="686"/>
        <v>0</v>
      </c>
      <c r="L2581" s="668" t="s">
        <v>614</v>
      </c>
      <c r="M2581" s="669"/>
      <c r="N2581" s="576">
        <f t="shared" si="696"/>
        <v>0</v>
      </c>
      <c r="O2581" s="577">
        <f t="shared" si="689"/>
        <v>0</v>
      </c>
      <c r="P2581" s="578">
        <f t="shared" si="690"/>
        <v>0</v>
      </c>
      <c r="Q2581" s="765"/>
      <c r="R2581" s="669"/>
      <c r="S2581" s="670"/>
      <c r="T2581" s="577">
        <f t="shared" si="687"/>
        <v>0</v>
      </c>
      <c r="U2581" s="578">
        <f t="shared" si="688"/>
        <v>0</v>
      </c>
      <c r="V2581" s="579"/>
      <c r="W2581" s="637" t="str">
        <f>IF(U2576&gt;0,"xx",IF(P2576&gt;0,"xy",""))</f>
        <v/>
      </c>
      <c r="X2581" s="586" t="str">
        <f t="shared" si="681"/>
        <v/>
      </c>
      <c r="Y2581" s="586" t="str">
        <f t="shared" si="692"/>
        <v/>
      </c>
      <c r="Z2581" s="586" t="str">
        <f t="shared" si="680"/>
        <v/>
      </c>
    </row>
    <row r="2582" spans="1:26" ht="12" hidden="1" thickBot="1" x14ac:dyDescent="0.25">
      <c r="A2582" s="567" t="s">
        <v>430</v>
      </c>
      <c r="B2582" s="644" t="s">
        <v>430</v>
      </c>
      <c r="C2582" s="645" t="s">
        <v>206</v>
      </c>
      <c r="D2582" s="422" t="str">
        <f>'[2]ENSAIOS DE ORÇAMENTO'!C72</f>
        <v>ENSAIO DE ORÇAMENTO 3</v>
      </c>
      <c r="E2582" s="423"/>
      <c r="F2582" s="424"/>
      <c r="G2582" s="425"/>
      <c r="H2582" s="651">
        <f>SUM(H2583:H2587)</f>
        <v>0</v>
      </c>
      <c r="I2582" s="420">
        <f>VLOOKUP(D2582,'[2]ENSAIOS DE ORÇAMENTO'!$C$3:$L$79,8,FALSE)</f>
        <v>0</v>
      </c>
      <c r="J2582" s="420">
        <f t="shared" si="693"/>
        <v>0</v>
      </c>
      <c r="K2582" s="421">
        <f t="shared" si="686"/>
        <v>0</v>
      </c>
      <c r="L2582" s="647" t="s">
        <v>21</v>
      </c>
      <c r="M2582" s="576"/>
      <c r="N2582" s="576">
        <f t="shared" si="696"/>
        <v>0</v>
      </c>
      <c r="O2582" s="577">
        <f t="shared" si="689"/>
        <v>0</v>
      </c>
      <c r="P2582" s="578">
        <f t="shared" si="690"/>
        <v>0</v>
      </c>
      <c r="Q2582" s="765"/>
      <c r="R2582" s="576">
        <f>M2582</f>
        <v>0</v>
      </c>
      <c r="S2582" s="576">
        <f>N2582</f>
        <v>0</v>
      </c>
      <c r="T2582" s="577">
        <f t="shared" si="687"/>
        <v>0</v>
      </c>
      <c r="U2582" s="578">
        <f t="shared" si="688"/>
        <v>0</v>
      </c>
      <c r="V2582" s="579"/>
      <c r="W2582" s="566"/>
      <c r="X2582" s="586" t="str">
        <f t="shared" si="681"/>
        <v/>
      </c>
      <c r="Y2582" s="586" t="str">
        <f t="shared" si="692"/>
        <v/>
      </c>
      <c r="Z2582" s="586" t="str">
        <f t="shared" si="680"/>
        <v/>
      </c>
    </row>
    <row r="2583" spans="1:26" ht="12" hidden="1" thickBot="1" x14ac:dyDescent="0.25">
      <c r="A2583" s="567" t="s">
        <v>168</v>
      </c>
      <c r="B2583" s="644" t="s">
        <v>168</v>
      </c>
      <c r="C2583" s="645"/>
      <c r="D2583" s="451" t="s">
        <v>212</v>
      </c>
      <c r="E2583" s="423"/>
      <c r="F2583" s="424">
        <v>500</v>
      </c>
      <c r="G2583" s="425">
        <f>VLOOKUP(D2582,'[2]ENSAIOS DE ORÇAMENTO'!$C$3:$L$79,4,FALSE)</f>
        <v>0</v>
      </c>
      <c r="H2583" s="649">
        <f>IF(F2583&lt;=30,(0.78*F2583+7.82)*G2583,((0.78*30+7.82)+0.78*(F2583-30))*G2583)</f>
        <v>0</v>
      </c>
      <c r="I2583" s="420"/>
      <c r="J2583" s="420" t="str">
        <f t="shared" si="693"/>
        <v/>
      </c>
      <c r="K2583" s="421">
        <f t="shared" si="686"/>
        <v>0</v>
      </c>
      <c r="L2583" s="668" t="s">
        <v>614</v>
      </c>
      <c r="M2583" s="669"/>
      <c r="N2583" s="576">
        <f t="shared" si="696"/>
        <v>0</v>
      </c>
      <c r="O2583" s="577">
        <f t="shared" si="689"/>
        <v>0</v>
      </c>
      <c r="P2583" s="578">
        <f t="shared" si="690"/>
        <v>0</v>
      </c>
      <c r="Q2583" s="765"/>
      <c r="R2583" s="669"/>
      <c r="S2583" s="670"/>
      <c r="T2583" s="577">
        <f t="shared" si="687"/>
        <v>0</v>
      </c>
      <c r="U2583" s="578">
        <f t="shared" si="688"/>
        <v>0</v>
      </c>
      <c r="V2583" s="579"/>
      <c r="W2583" s="637" t="str">
        <f>IF(U2582&gt;0,"xx",IF(P2582&gt;0,"xy",""))</f>
        <v/>
      </c>
      <c r="X2583" s="586" t="str">
        <f t="shared" si="681"/>
        <v/>
      </c>
      <c r="Y2583" s="586" t="str">
        <f t="shared" si="692"/>
        <v/>
      </c>
      <c r="Z2583" s="586" t="str">
        <f t="shared" si="680"/>
        <v/>
      </c>
    </row>
    <row r="2584" spans="1:26" ht="12" hidden="1" thickBot="1" x14ac:dyDescent="0.25">
      <c r="A2584" s="567" t="s">
        <v>168</v>
      </c>
      <c r="B2584" s="644" t="s">
        <v>168</v>
      </c>
      <c r="C2584" s="645"/>
      <c r="D2584" s="451" t="s">
        <v>248</v>
      </c>
      <c r="E2584" s="423"/>
      <c r="F2584" s="424">
        <v>180</v>
      </c>
      <c r="G2584" s="425">
        <f>VLOOKUP(D2582,'[2]ENSAIOS DE ORÇAMENTO'!$C$3:$L$79,5,FALSE)</f>
        <v>0</v>
      </c>
      <c r="H2584" s="663">
        <f t="shared" ref="H2584:H2586" si="697">IF(F2584&lt;=30,(1.07*F2584+2.68)*G2584,((1.07*30+2.68)+1.07*(F2584-30))*G2584)</f>
        <v>0</v>
      </c>
      <c r="I2584" s="420"/>
      <c r="J2584" s="420" t="str">
        <f t="shared" si="693"/>
        <v/>
      </c>
      <c r="K2584" s="421">
        <f t="shared" si="686"/>
        <v>0</v>
      </c>
      <c r="L2584" s="668" t="s">
        <v>614</v>
      </c>
      <c r="M2584" s="669"/>
      <c r="N2584" s="576">
        <f t="shared" si="696"/>
        <v>0</v>
      </c>
      <c r="O2584" s="577">
        <f t="shared" si="689"/>
        <v>0</v>
      </c>
      <c r="P2584" s="578">
        <f t="shared" si="690"/>
        <v>0</v>
      </c>
      <c r="Q2584" s="765"/>
      <c r="R2584" s="669"/>
      <c r="S2584" s="670"/>
      <c r="T2584" s="577">
        <f t="shared" si="687"/>
        <v>0</v>
      </c>
      <c r="U2584" s="578">
        <f t="shared" si="688"/>
        <v>0</v>
      </c>
      <c r="V2584" s="579"/>
      <c r="W2584" s="637" t="str">
        <f>IF(U2582&gt;0,"xx",IF(P2582&gt;0,"xy",""))</f>
        <v/>
      </c>
      <c r="X2584" s="586" t="str">
        <f t="shared" si="681"/>
        <v/>
      </c>
      <c r="Y2584" s="586" t="str">
        <f t="shared" si="692"/>
        <v/>
      </c>
      <c r="Z2584" s="586" t="str">
        <f t="shared" si="680"/>
        <v/>
      </c>
    </row>
    <row r="2585" spans="1:26" ht="12" hidden="1" thickBot="1" x14ac:dyDescent="0.25">
      <c r="A2585" s="567" t="s">
        <v>168</v>
      </c>
      <c r="B2585" s="644" t="s">
        <v>168</v>
      </c>
      <c r="C2585" s="645"/>
      <c r="D2585" s="451" t="s">
        <v>252</v>
      </c>
      <c r="E2585" s="423"/>
      <c r="F2585" s="424">
        <v>20</v>
      </c>
      <c r="G2585" s="425">
        <f>VLOOKUP(D2582,'[2]ENSAIOS DE ORÇAMENTO'!$C$3:$L$79,6,FALSE)</f>
        <v>0</v>
      </c>
      <c r="H2585" s="663">
        <f t="shared" si="697"/>
        <v>0</v>
      </c>
      <c r="I2585" s="420"/>
      <c r="J2585" s="420" t="str">
        <f t="shared" si="693"/>
        <v/>
      </c>
      <c r="K2585" s="421">
        <f t="shared" si="686"/>
        <v>0</v>
      </c>
      <c r="L2585" s="668" t="s">
        <v>614</v>
      </c>
      <c r="M2585" s="669"/>
      <c r="N2585" s="576">
        <f t="shared" si="696"/>
        <v>0</v>
      </c>
      <c r="O2585" s="577">
        <f t="shared" si="689"/>
        <v>0</v>
      </c>
      <c r="P2585" s="578">
        <f t="shared" si="690"/>
        <v>0</v>
      </c>
      <c r="Q2585" s="765"/>
      <c r="R2585" s="669"/>
      <c r="S2585" s="670"/>
      <c r="T2585" s="577">
        <f t="shared" si="687"/>
        <v>0</v>
      </c>
      <c r="U2585" s="578">
        <f t="shared" si="688"/>
        <v>0</v>
      </c>
      <c r="V2585" s="579"/>
      <c r="W2585" s="637" t="str">
        <f>IF(U2582&gt;0,"xx",IF(P2582&gt;0,"xy",""))</f>
        <v/>
      </c>
      <c r="X2585" s="586" t="str">
        <f t="shared" si="681"/>
        <v/>
      </c>
      <c r="Y2585" s="586" t="str">
        <f t="shared" si="692"/>
        <v/>
      </c>
      <c r="Z2585" s="586" t="str">
        <f t="shared" si="680"/>
        <v/>
      </c>
    </row>
    <row r="2586" spans="1:26" ht="12" hidden="1" thickBot="1" x14ac:dyDescent="0.25">
      <c r="A2586" s="567" t="s">
        <v>168</v>
      </c>
      <c r="B2586" s="644" t="s">
        <v>168</v>
      </c>
      <c r="C2586" s="645"/>
      <c r="D2586" s="451" t="s">
        <v>400</v>
      </c>
      <c r="E2586" s="423"/>
      <c r="F2586" s="424">
        <v>30</v>
      </c>
      <c r="G2586" s="425">
        <f>VLOOKUP(D2582,'[2]ENSAIOS DE ORÇAMENTO'!$C$3:$L$79,3,FALSE)</f>
        <v>0</v>
      </c>
      <c r="H2586" s="663">
        <f t="shared" si="697"/>
        <v>0</v>
      </c>
      <c r="I2586" s="420"/>
      <c r="J2586" s="420" t="str">
        <f t="shared" si="693"/>
        <v/>
      </c>
      <c r="K2586" s="421">
        <f t="shared" si="686"/>
        <v>0</v>
      </c>
      <c r="L2586" s="668" t="s">
        <v>614</v>
      </c>
      <c r="M2586" s="669"/>
      <c r="N2586" s="576">
        <f t="shared" si="696"/>
        <v>0</v>
      </c>
      <c r="O2586" s="577">
        <f t="shared" si="689"/>
        <v>0</v>
      </c>
      <c r="P2586" s="578">
        <f t="shared" si="690"/>
        <v>0</v>
      </c>
      <c r="Q2586" s="765"/>
      <c r="R2586" s="669"/>
      <c r="S2586" s="670"/>
      <c r="T2586" s="577">
        <f t="shared" si="687"/>
        <v>0</v>
      </c>
      <c r="U2586" s="578">
        <f t="shared" si="688"/>
        <v>0</v>
      </c>
      <c r="V2586" s="579"/>
      <c r="W2586" s="637" t="str">
        <f>IF(U2582&gt;0,"xx",IF(P2582&gt;0,"xy",""))</f>
        <v/>
      </c>
      <c r="X2586" s="586" t="str">
        <f t="shared" si="681"/>
        <v/>
      </c>
      <c r="Y2586" s="586" t="str">
        <f t="shared" si="692"/>
        <v/>
      </c>
      <c r="Z2586" s="586" t="str">
        <f t="shared" si="680"/>
        <v/>
      </c>
    </row>
    <row r="2587" spans="1:26" ht="12" hidden="1" thickBot="1" x14ac:dyDescent="0.25">
      <c r="A2587" s="567" t="s">
        <v>168</v>
      </c>
      <c r="B2587" s="644" t="s">
        <v>168</v>
      </c>
      <c r="C2587" s="645"/>
      <c r="D2587" s="451" t="s">
        <v>401</v>
      </c>
      <c r="E2587" s="423"/>
      <c r="F2587" s="424">
        <v>500</v>
      </c>
      <c r="G2587" s="425">
        <f>VLOOKUP(D2582,'[2]ENSAIOS DE ORÇAMENTO'!$C$3:$L$79,10,FALSE)</f>
        <v>0</v>
      </c>
      <c r="H2587" s="649">
        <f>IF(F2587&lt;=30,(0.78*F2587+7.82)*G2587,((0.78*30+7.82)+0.78*(F2587-30))*G2587)</f>
        <v>0</v>
      </c>
      <c r="I2587" s="420"/>
      <c r="J2587" s="420" t="str">
        <f t="shared" si="693"/>
        <v/>
      </c>
      <c r="K2587" s="421">
        <f t="shared" si="686"/>
        <v>0</v>
      </c>
      <c r="L2587" s="668" t="s">
        <v>614</v>
      </c>
      <c r="M2587" s="669"/>
      <c r="N2587" s="576">
        <f t="shared" si="696"/>
        <v>0</v>
      </c>
      <c r="O2587" s="577">
        <f t="shared" si="689"/>
        <v>0</v>
      </c>
      <c r="P2587" s="578">
        <f t="shared" si="690"/>
        <v>0</v>
      </c>
      <c r="Q2587" s="765"/>
      <c r="R2587" s="669"/>
      <c r="S2587" s="670"/>
      <c r="T2587" s="577">
        <f t="shared" si="687"/>
        <v>0</v>
      </c>
      <c r="U2587" s="578">
        <f t="shared" si="688"/>
        <v>0</v>
      </c>
      <c r="V2587" s="579"/>
      <c r="W2587" s="637" t="str">
        <f>IF(U2582&gt;0,"xx",IF(P2582&gt;0,"xy",""))</f>
        <v/>
      </c>
      <c r="X2587" s="586" t="str">
        <f t="shared" si="681"/>
        <v/>
      </c>
      <c r="Y2587" s="586" t="str">
        <f t="shared" si="692"/>
        <v/>
      </c>
      <c r="Z2587" s="586" t="str">
        <f t="shared" si="680"/>
        <v/>
      </c>
    </row>
    <row r="2588" spans="1:26" ht="12" hidden="1" thickBot="1" x14ac:dyDescent="0.25">
      <c r="A2588" s="567" t="s">
        <v>431</v>
      </c>
      <c r="B2588" s="644" t="s">
        <v>431</v>
      </c>
      <c r="C2588" s="645" t="s">
        <v>206</v>
      </c>
      <c r="D2588" s="422" t="str">
        <f>'[2]ENSAIOS DE ORÇAMENTO'!C73</f>
        <v>ENSAIO DE ORÇAMENTO 4</v>
      </c>
      <c r="E2588" s="423"/>
      <c r="F2588" s="424"/>
      <c r="G2588" s="425"/>
      <c r="H2588" s="651">
        <f>SUM(H2589:H2593)</f>
        <v>0</v>
      </c>
      <c r="I2588" s="420">
        <f>VLOOKUP(D2588,'[2]ENSAIOS DE ORÇAMENTO'!$C$3:$L$79,8,FALSE)</f>
        <v>0</v>
      </c>
      <c r="J2588" s="420">
        <f t="shared" si="693"/>
        <v>0</v>
      </c>
      <c r="K2588" s="421">
        <f t="shared" si="686"/>
        <v>0</v>
      </c>
      <c r="L2588" s="647" t="s">
        <v>21</v>
      </c>
      <c r="M2588" s="576"/>
      <c r="N2588" s="576">
        <f t="shared" si="696"/>
        <v>0</v>
      </c>
      <c r="O2588" s="577">
        <f t="shared" si="689"/>
        <v>0</v>
      </c>
      <c r="P2588" s="578">
        <f t="shared" si="690"/>
        <v>0</v>
      </c>
      <c r="Q2588" s="765"/>
      <c r="R2588" s="576">
        <f>M2588</f>
        <v>0</v>
      </c>
      <c r="S2588" s="576">
        <f>N2588</f>
        <v>0</v>
      </c>
      <c r="T2588" s="577">
        <f t="shared" si="687"/>
        <v>0</v>
      </c>
      <c r="U2588" s="578">
        <f t="shared" si="688"/>
        <v>0</v>
      </c>
      <c r="V2588" s="579"/>
      <c r="W2588" s="566"/>
      <c r="X2588" s="586" t="str">
        <f t="shared" si="681"/>
        <v/>
      </c>
      <c r="Y2588" s="586" t="str">
        <f t="shared" si="692"/>
        <v/>
      </c>
      <c r="Z2588" s="586" t="str">
        <f t="shared" si="680"/>
        <v/>
      </c>
    </row>
    <row r="2589" spans="1:26" ht="12" hidden="1" thickBot="1" x14ac:dyDescent="0.25">
      <c r="A2589" s="567" t="s">
        <v>168</v>
      </c>
      <c r="B2589" s="644" t="s">
        <v>168</v>
      </c>
      <c r="C2589" s="645"/>
      <c r="D2589" s="451" t="s">
        <v>212</v>
      </c>
      <c r="E2589" s="423"/>
      <c r="F2589" s="424">
        <v>500</v>
      </c>
      <c r="G2589" s="425">
        <f>VLOOKUP(D2588,'[2]ENSAIOS DE ORÇAMENTO'!$C$3:$L$79,4,FALSE)</f>
        <v>0</v>
      </c>
      <c r="H2589" s="649">
        <f>IF(F2589&lt;=30,(0.78*F2589+7.82)*G2589,((0.78*30+7.82)+0.78*(F2589-30))*G2589)</f>
        <v>0</v>
      </c>
      <c r="I2589" s="420"/>
      <c r="J2589" s="420" t="str">
        <f t="shared" ref="J2589:J2628" si="698">IF(ISBLANK(I2589),"",SUM(H2589:I2589))</f>
        <v/>
      </c>
      <c r="K2589" s="421">
        <f t="shared" si="686"/>
        <v>0</v>
      </c>
      <c r="L2589" s="668" t="s">
        <v>614</v>
      </c>
      <c r="M2589" s="669"/>
      <c r="N2589" s="576">
        <f t="shared" si="696"/>
        <v>0</v>
      </c>
      <c r="O2589" s="577">
        <f t="shared" si="689"/>
        <v>0</v>
      </c>
      <c r="P2589" s="578">
        <f t="shared" si="690"/>
        <v>0</v>
      </c>
      <c r="Q2589" s="765"/>
      <c r="R2589" s="669"/>
      <c r="S2589" s="670"/>
      <c r="T2589" s="577">
        <f t="shared" si="687"/>
        <v>0</v>
      </c>
      <c r="U2589" s="578">
        <f t="shared" si="688"/>
        <v>0</v>
      </c>
      <c r="V2589" s="579"/>
      <c r="W2589" s="637" t="str">
        <f>IF(U2588&gt;0,"xx",IF(P2588&gt;0,"xy",""))</f>
        <v/>
      </c>
      <c r="X2589" s="586" t="str">
        <f t="shared" si="681"/>
        <v/>
      </c>
      <c r="Y2589" s="586" t="str">
        <f t="shared" si="692"/>
        <v/>
      </c>
      <c r="Z2589" s="586" t="str">
        <f t="shared" si="680"/>
        <v/>
      </c>
    </row>
    <row r="2590" spans="1:26" ht="12" hidden="1" thickBot="1" x14ac:dyDescent="0.25">
      <c r="A2590" s="567" t="s">
        <v>168</v>
      </c>
      <c r="B2590" s="644" t="s">
        <v>168</v>
      </c>
      <c r="C2590" s="645"/>
      <c r="D2590" s="451" t="s">
        <v>248</v>
      </c>
      <c r="E2590" s="423"/>
      <c r="F2590" s="424">
        <v>180</v>
      </c>
      <c r="G2590" s="425">
        <f>VLOOKUP(D2588,'[2]ENSAIOS DE ORÇAMENTO'!$C$3:$L$79,5,FALSE)</f>
        <v>0</v>
      </c>
      <c r="H2590" s="663">
        <f t="shared" ref="H2590:H2592" si="699">IF(F2590&lt;=30,(1.07*F2590+2.68)*G2590,((1.07*30+2.68)+1.07*(F2590-30))*G2590)</f>
        <v>0</v>
      </c>
      <c r="I2590" s="420"/>
      <c r="J2590" s="420" t="str">
        <f t="shared" si="698"/>
        <v/>
      </c>
      <c r="K2590" s="421">
        <f t="shared" si="686"/>
        <v>0</v>
      </c>
      <c r="L2590" s="668" t="s">
        <v>614</v>
      </c>
      <c r="M2590" s="669"/>
      <c r="N2590" s="576">
        <f t="shared" si="696"/>
        <v>0</v>
      </c>
      <c r="O2590" s="577">
        <f t="shared" si="689"/>
        <v>0</v>
      </c>
      <c r="P2590" s="578">
        <f t="shared" si="690"/>
        <v>0</v>
      </c>
      <c r="Q2590" s="765"/>
      <c r="R2590" s="669"/>
      <c r="S2590" s="670"/>
      <c r="T2590" s="577">
        <f t="shared" si="687"/>
        <v>0</v>
      </c>
      <c r="U2590" s="578">
        <f t="shared" si="688"/>
        <v>0</v>
      </c>
      <c r="V2590" s="579"/>
      <c r="W2590" s="637" t="str">
        <f>IF(U2588&gt;0,"xx",IF(P2588&gt;0,"xy",""))</f>
        <v/>
      </c>
      <c r="X2590" s="586" t="str">
        <f t="shared" si="681"/>
        <v/>
      </c>
      <c r="Y2590" s="586" t="str">
        <f t="shared" si="692"/>
        <v/>
      </c>
      <c r="Z2590" s="586" t="str">
        <f t="shared" si="680"/>
        <v/>
      </c>
    </row>
    <row r="2591" spans="1:26" ht="12" hidden="1" thickBot="1" x14ac:dyDescent="0.25">
      <c r="A2591" s="567" t="s">
        <v>168</v>
      </c>
      <c r="B2591" s="644" t="s">
        <v>168</v>
      </c>
      <c r="C2591" s="645"/>
      <c r="D2591" s="451" t="s">
        <v>252</v>
      </c>
      <c r="E2591" s="423"/>
      <c r="F2591" s="424">
        <v>20</v>
      </c>
      <c r="G2591" s="425">
        <f>VLOOKUP(D2588,'[2]ENSAIOS DE ORÇAMENTO'!$C$3:$L$79,6,FALSE)</f>
        <v>0</v>
      </c>
      <c r="H2591" s="663">
        <f t="shared" si="699"/>
        <v>0</v>
      </c>
      <c r="I2591" s="420"/>
      <c r="J2591" s="420" t="str">
        <f t="shared" si="698"/>
        <v/>
      </c>
      <c r="K2591" s="421">
        <f t="shared" si="686"/>
        <v>0</v>
      </c>
      <c r="L2591" s="668" t="s">
        <v>614</v>
      </c>
      <c r="M2591" s="669"/>
      <c r="N2591" s="576">
        <f t="shared" si="696"/>
        <v>0</v>
      </c>
      <c r="O2591" s="577">
        <f t="shared" si="689"/>
        <v>0</v>
      </c>
      <c r="P2591" s="578">
        <f t="shared" si="690"/>
        <v>0</v>
      </c>
      <c r="Q2591" s="765"/>
      <c r="R2591" s="669"/>
      <c r="S2591" s="670"/>
      <c r="T2591" s="577">
        <f t="shared" si="687"/>
        <v>0</v>
      </c>
      <c r="U2591" s="578">
        <f t="shared" si="688"/>
        <v>0</v>
      </c>
      <c r="V2591" s="579"/>
      <c r="W2591" s="637" t="str">
        <f>IF(U2588&gt;0,"xx",IF(P2588&gt;0,"xy",""))</f>
        <v/>
      </c>
      <c r="X2591" s="586" t="str">
        <f t="shared" si="681"/>
        <v/>
      </c>
      <c r="Y2591" s="586" t="str">
        <f t="shared" si="692"/>
        <v/>
      </c>
      <c r="Z2591" s="586" t="str">
        <f t="shared" si="680"/>
        <v/>
      </c>
    </row>
    <row r="2592" spans="1:26" ht="12" hidden="1" thickBot="1" x14ac:dyDescent="0.25">
      <c r="A2592" s="567" t="s">
        <v>168</v>
      </c>
      <c r="B2592" s="644" t="s">
        <v>168</v>
      </c>
      <c r="C2592" s="645"/>
      <c r="D2592" s="451" t="s">
        <v>400</v>
      </c>
      <c r="E2592" s="423"/>
      <c r="F2592" s="424">
        <v>30</v>
      </c>
      <c r="G2592" s="425">
        <f>VLOOKUP(D2588,'[2]ENSAIOS DE ORÇAMENTO'!$C$3:$L$79,3,FALSE)</f>
        <v>0</v>
      </c>
      <c r="H2592" s="663">
        <f t="shared" si="699"/>
        <v>0</v>
      </c>
      <c r="I2592" s="420"/>
      <c r="J2592" s="420" t="str">
        <f t="shared" si="698"/>
        <v/>
      </c>
      <c r="K2592" s="421">
        <f t="shared" si="686"/>
        <v>0</v>
      </c>
      <c r="L2592" s="668" t="s">
        <v>614</v>
      </c>
      <c r="M2592" s="669"/>
      <c r="N2592" s="576">
        <f t="shared" si="696"/>
        <v>0</v>
      </c>
      <c r="O2592" s="577">
        <f t="shared" si="689"/>
        <v>0</v>
      </c>
      <c r="P2592" s="578">
        <f t="shared" si="690"/>
        <v>0</v>
      </c>
      <c r="Q2592" s="765"/>
      <c r="R2592" s="669"/>
      <c r="S2592" s="670"/>
      <c r="T2592" s="577">
        <f t="shared" si="687"/>
        <v>0</v>
      </c>
      <c r="U2592" s="578">
        <f t="shared" si="688"/>
        <v>0</v>
      </c>
      <c r="V2592" s="579"/>
      <c r="W2592" s="637" t="str">
        <f>IF(U2588&gt;0,"xx",IF(P2588&gt;0,"xy",""))</f>
        <v/>
      </c>
      <c r="X2592" s="586" t="str">
        <f t="shared" si="681"/>
        <v/>
      </c>
      <c r="Y2592" s="586" t="str">
        <f t="shared" si="692"/>
        <v/>
      </c>
      <c r="Z2592" s="586" t="str">
        <f t="shared" si="680"/>
        <v/>
      </c>
    </row>
    <row r="2593" spans="1:26" ht="12" hidden="1" thickBot="1" x14ac:dyDescent="0.25">
      <c r="A2593" s="567" t="s">
        <v>168</v>
      </c>
      <c r="B2593" s="644" t="s">
        <v>168</v>
      </c>
      <c r="C2593" s="645"/>
      <c r="D2593" s="451" t="s">
        <v>401</v>
      </c>
      <c r="E2593" s="423"/>
      <c r="F2593" s="424">
        <v>500</v>
      </c>
      <c r="G2593" s="425">
        <f>VLOOKUP(D2588,'[2]ENSAIOS DE ORÇAMENTO'!$C$3:$L$79,10,FALSE)</f>
        <v>0</v>
      </c>
      <c r="H2593" s="649">
        <f>IF(F2593&lt;=30,(0.78*F2593+7.82)*G2593,((0.78*30+7.82)+0.78*(F2593-30))*G2593)</f>
        <v>0</v>
      </c>
      <c r="I2593" s="420"/>
      <c r="J2593" s="420" t="str">
        <f t="shared" si="698"/>
        <v/>
      </c>
      <c r="K2593" s="421">
        <f t="shared" si="686"/>
        <v>0</v>
      </c>
      <c r="L2593" s="668" t="s">
        <v>614</v>
      </c>
      <c r="M2593" s="669"/>
      <c r="N2593" s="576">
        <f t="shared" si="696"/>
        <v>0</v>
      </c>
      <c r="O2593" s="577">
        <f t="shared" si="689"/>
        <v>0</v>
      </c>
      <c r="P2593" s="578">
        <f t="shared" si="690"/>
        <v>0</v>
      </c>
      <c r="Q2593" s="765"/>
      <c r="R2593" s="669"/>
      <c r="S2593" s="670"/>
      <c r="T2593" s="577">
        <f t="shared" si="687"/>
        <v>0</v>
      </c>
      <c r="U2593" s="578">
        <f t="shared" si="688"/>
        <v>0</v>
      </c>
      <c r="V2593" s="579"/>
      <c r="W2593" s="637" t="str">
        <f>IF(U2588&gt;0,"xx",IF(P2588&gt;0,"xy",""))</f>
        <v/>
      </c>
      <c r="X2593" s="586" t="str">
        <f t="shared" si="681"/>
        <v/>
      </c>
      <c r="Y2593" s="586" t="str">
        <f t="shared" si="692"/>
        <v/>
      </c>
      <c r="Z2593" s="586" t="str">
        <f t="shared" si="680"/>
        <v/>
      </c>
    </row>
    <row r="2594" spans="1:26" ht="12" hidden="1" thickBot="1" x14ac:dyDescent="0.25">
      <c r="A2594" s="567" t="s">
        <v>432</v>
      </c>
      <c r="B2594" s="644" t="s">
        <v>432</v>
      </c>
      <c r="C2594" s="645" t="s">
        <v>206</v>
      </c>
      <c r="D2594" s="422" t="str">
        <f>'[2]ENSAIOS DE ORÇAMENTO'!C74</f>
        <v>ENSAIO DE ORÇAMENTO 5</v>
      </c>
      <c r="E2594" s="423"/>
      <c r="F2594" s="424"/>
      <c r="G2594" s="425"/>
      <c r="H2594" s="651">
        <f>SUM(H2595:H2599)</f>
        <v>0</v>
      </c>
      <c r="I2594" s="420">
        <f>VLOOKUP(D2594,'[2]ENSAIOS DE ORÇAMENTO'!$C$3:$L$79,8,FALSE)</f>
        <v>0</v>
      </c>
      <c r="J2594" s="420">
        <f t="shared" si="698"/>
        <v>0</v>
      </c>
      <c r="K2594" s="421">
        <f t="shared" si="686"/>
        <v>0</v>
      </c>
      <c r="L2594" s="647" t="s">
        <v>21</v>
      </c>
      <c r="M2594" s="576"/>
      <c r="N2594" s="576">
        <f t="shared" si="696"/>
        <v>0</v>
      </c>
      <c r="O2594" s="577">
        <f t="shared" si="689"/>
        <v>0</v>
      </c>
      <c r="P2594" s="578">
        <f t="shared" si="690"/>
        <v>0</v>
      </c>
      <c r="Q2594" s="765"/>
      <c r="R2594" s="576">
        <f>M2594</f>
        <v>0</v>
      </c>
      <c r="S2594" s="576">
        <f>N2594</f>
        <v>0</v>
      </c>
      <c r="T2594" s="577">
        <f t="shared" si="687"/>
        <v>0</v>
      </c>
      <c r="U2594" s="578">
        <f t="shared" si="688"/>
        <v>0</v>
      </c>
      <c r="V2594" s="579"/>
      <c r="W2594" s="566"/>
      <c r="X2594" s="586" t="str">
        <f t="shared" si="681"/>
        <v/>
      </c>
      <c r="Y2594" s="586" t="str">
        <f t="shared" si="692"/>
        <v/>
      </c>
      <c r="Z2594" s="586" t="str">
        <f t="shared" si="680"/>
        <v/>
      </c>
    </row>
    <row r="2595" spans="1:26" ht="12" hidden="1" thickBot="1" x14ac:dyDescent="0.25">
      <c r="A2595" s="567" t="s">
        <v>168</v>
      </c>
      <c r="B2595" s="644" t="s">
        <v>168</v>
      </c>
      <c r="C2595" s="645"/>
      <c r="D2595" s="451" t="s">
        <v>212</v>
      </c>
      <c r="E2595" s="423"/>
      <c r="F2595" s="424">
        <v>500</v>
      </c>
      <c r="G2595" s="425">
        <f>VLOOKUP(D2594,'[2]ENSAIOS DE ORÇAMENTO'!$C$3:$L$79,4,FALSE)</f>
        <v>0</v>
      </c>
      <c r="H2595" s="649">
        <f>IF(F2595&lt;=30,(0.78*F2595+7.82)*G2595,((0.78*30+7.82)+0.78*(F2595-30))*G2595)</f>
        <v>0</v>
      </c>
      <c r="I2595" s="420"/>
      <c r="J2595" s="420" t="str">
        <f t="shared" si="698"/>
        <v/>
      </c>
      <c r="K2595" s="421">
        <f t="shared" si="686"/>
        <v>0</v>
      </c>
      <c r="L2595" s="668" t="s">
        <v>614</v>
      </c>
      <c r="M2595" s="669"/>
      <c r="N2595" s="576">
        <f t="shared" si="696"/>
        <v>0</v>
      </c>
      <c r="O2595" s="577">
        <f t="shared" si="689"/>
        <v>0</v>
      </c>
      <c r="P2595" s="578">
        <f t="shared" si="690"/>
        <v>0</v>
      </c>
      <c r="Q2595" s="765"/>
      <c r="R2595" s="669"/>
      <c r="S2595" s="670"/>
      <c r="T2595" s="577">
        <f t="shared" si="687"/>
        <v>0</v>
      </c>
      <c r="U2595" s="578">
        <f t="shared" si="688"/>
        <v>0</v>
      </c>
      <c r="V2595" s="579"/>
      <c r="W2595" s="637" t="str">
        <f>IF(U2594&gt;0,"xx",IF(P2594&gt;0,"xy",""))</f>
        <v/>
      </c>
      <c r="X2595" s="586" t="str">
        <f t="shared" si="681"/>
        <v/>
      </c>
      <c r="Y2595" s="586" t="str">
        <f t="shared" si="692"/>
        <v/>
      </c>
      <c r="Z2595" s="586" t="str">
        <f t="shared" si="680"/>
        <v/>
      </c>
    </row>
    <row r="2596" spans="1:26" ht="12" hidden="1" thickBot="1" x14ac:dyDescent="0.25">
      <c r="A2596" s="567" t="s">
        <v>168</v>
      </c>
      <c r="B2596" s="644" t="s">
        <v>168</v>
      </c>
      <c r="C2596" s="645"/>
      <c r="D2596" s="451" t="s">
        <v>248</v>
      </c>
      <c r="E2596" s="423"/>
      <c r="F2596" s="424">
        <v>180</v>
      </c>
      <c r="G2596" s="425">
        <f>VLOOKUP(D2594,'[2]ENSAIOS DE ORÇAMENTO'!$C$3:$L$79,5,FALSE)</f>
        <v>0</v>
      </c>
      <c r="H2596" s="663">
        <f t="shared" ref="H2596:H2598" si="700">IF(F2596&lt;=30,(1.07*F2596+2.68)*G2596,((1.07*30+2.68)+1.07*(F2596-30))*G2596)</f>
        <v>0</v>
      </c>
      <c r="I2596" s="420"/>
      <c r="J2596" s="420" t="str">
        <f t="shared" si="698"/>
        <v/>
      </c>
      <c r="K2596" s="421">
        <f t="shared" si="686"/>
        <v>0</v>
      </c>
      <c r="L2596" s="668" t="s">
        <v>614</v>
      </c>
      <c r="M2596" s="669"/>
      <c r="N2596" s="576">
        <f t="shared" si="696"/>
        <v>0</v>
      </c>
      <c r="O2596" s="577">
        <f t="shared" si="689"/>
        <v>0</v>
      </c>
      <c r="P2596" s="578">
        <f t="shared" si="690"/>
        <v>0</v>
      </c>
      <c r="Q2596" s="765"/>
      <c r="R2596" s="669"/>
      <c r="S2596" s="670"/>
      <c r="T2596" s="577">
        <f t="shared" si="687"/>
        <v>0</v>
      </c>
      <c r="U2596" s="578">
        <f t="shared" si="688"/>
        <v>0</v>
      </c>
      <c r="V2596" s="579"/>
      <c r="W2596" s="637" t="str">
        <f>IF(U2594&gt;0,"xx",IF(P2594&gt;0,"xy",""))</f>
        <v/>
      </c>
      <c r="X2596" s="586" t="str">
        <f t="shared" si="681"/>
        <v/>
      </c>
      <c r="Y2596" s="586" t="str">
        <f t="shared" si="692"/>
        <v/>
      </c>
      <c r="Z2596" s="586" t="str">
        <f t="shared" si="680"/>
        <v/>
      </c>
    </row>
    <row r="2597" spans="1:26" ht="12" hidden="1" thickBot="1" x14ac:dyDescent="0.25">
      <c r="A2597" s="567" t="s">
        <v>168</v>
      </c>
      <c r="B2597" s="644" t="s">
        <v>168</v>
      </c>
      <c r="C2597" s="645"/>
      <c r="D2597" s="451" t="s">
        <v>252</v>
      </c>
      <c r="E2597" s="423"/>
      <c r="F2597" s="424">
        <v>20</v>
      </c>
      <c r="G2597" s="425">
        <f>VLOOKUP(D2594,'[2]ENSAIOS DE ORÇAMENTO'!$C$3:$L$79,6,FALSE)</f>
        <v>0</v>
      </c>
      <c r="H2597" s="663">
        <f t="shared" si="700"/>
        <v>0</v>
      </c>
      <c r="I2597" s="420"/>
      <c r="J2597" s="420" t="str">
        <f t="shared" si="698"/>
        <v/>
      </c>
      <c r="K2597" s="421">
        <f t="shared" si="686"/>
        <v>0</v>
      </c>
      <c r="L2597" s="668" t="s">
        <v>614</v>
      </c>
      <c r="M2597" s="669"/>
      <c r="N2597" s="576">
        <f t="shared" si="696"/>
        <v>0</v>
      </c>
      <c r="O2597" s="577">
        <f t="shared" si="689"/>
        <v>0</v>
      </c>
      <c r="P2597" s="578">
        <f t="shared" si="690"/>
        <v>0</v>
      </c>
      <c r="Q2597" s="765"/>
      <c r="R2597" s="669"/>
      <c r="S2597" s="670"/>
      <c r="T2597" s="577">
        <f t="shared" si="687"/>
        <v>0</v>
      </c>
      <c r="U2597" s="578">
        <f t="shared" si="688"/>
        <v>0</v>
      </c>
      <c r="V2597" s="579"/>
      <c r="W2597" s="637" t="str">
        <f>IF(U2594&gt;0,"xx",IF(P2594&gt;0,"xy",""))</f>
        <v/>
      </c>
      <c r="X2597" s="586" t="str">
        <f t="shared" si="681"/>
        <v/>
      </c>
      <c r="Y2597" s="586" t="str">
        <f t="shared" si="692"/>
        <v/>
      </c>
      <c r="Z2597" s="586" t="str">
        <f t="shared" si="680"/>
        <v/>
      </c>
    </row>
    <row r="2598" spans="1:26" ht="12" hidden="1" thickBot="1" x14ac:dyDescent="0.25">
      <c r="A2598" s="567" t="s">
        <v>168</v>
      </c>
      <c r="B2598" s="644" t="s">
        <v>168</v>
      </c>
      <c r="C2598" s="645"/>
      <c r="D2598" s="451" t="s">
        <v>400</v>
      </c>
      <c r="E2598" s="423"/>
      <c r="F2598" s="424">
        <v>30</v>
      </c>
      <c r="G2598" s="425">
        <f>VLOOKUP(D2594,'[2]ENSAIOS DE ORÇAMENTO'!$C$3:$L$79,3,FALSE)</f>
        <v>0</v>
      </c>
      <c r="H2598" s="663">
        <f t="shared" si="700"/>
        <v>0</v>
      </c>
      <c r="I2598" s="420"/>
      <c r="J2598" s="420" t="str">
        <f t="shared" si="698"/>
        <v/>
      </c>
      <c r="K2598" s="421">
        <f t="shared" si="686"/>
        <v>0</v>
      </c>
      <c r="L2598" s="647" t="s">
        <v>614</v>
      </c>
      <c r="M2598" s="669"/>
      <c r="N2598" s="576">
        <f t="shared" si="696"/>
        <v>0</v>
      </c>
      <c r="O2598" s="577">
        <f t="shared" si="689"/>
        <v>0</v>
      </c>
      <c r="P2598" s="578">
        <f t="shared" si="690"/>
        <v>0</v>
      </c>
      <c r="Q2598" s="765"/>
      <c r="R2598" s="669"/>
      <c r="S2598" s="670"/>
      <c r="T2598" s="577">
        <f t="shared" si="687"/>
        <v>0</v>
      </c>
      <c r="U2598" s="578">
        <f t="shared" si="688"/>
        <v>0</v>
      </c>
      <c r="V2598" s="579"/>
      <c r="W2598" s="566" t="str">
        <f>IF(U2594&gt;0,"xx",IF(P2594&gt;0,"xy",""))</f>
        <v/>
      </c>
      <c r="X2598" s="586" t="str">
        <f t="shared" si="681"/>
        <v/>
      </c>
      <c r="Y2598" s="586" t="str">
        <f t="shared" si="692"/>
        <v/>
      </c>
      <c r="Z2598" s="586" t="str">
        <f t="shared" si="680"/>
        <v/>
      </c>
    </row>
    <row r="2599" spans="1:26" ht="12" hidden="1" thickBot="1" x14ac:dyDescent="0.25">
      <c r="A2599" s="567" t="s">
        <v>168</v>
      </c>
      <c r="B2599" s="644" t="s">
        <v>168</v>
      </c>
      <c r="C2599" s="645"/>
      <c r="D2599" s="451" t="s">
        <v>401</v>
      </c>
      <c r="E2599" s="423"/>
      <c r="F2599" s="424">
        <v>500</v>
      </c>
      <c r="G2599" s="425">
        <f>VLOOKUP(D2594,'[2]ENSAIOS DE ORÇAMENTO'!$C$3:$L$79,10,FALSE)</f>
        <v>0</v>
      </c>
      <c r="H2599" s="649">
        <f>IF(F2599&lt;=30,(0.78*F2599+7.82)*G2599,((0.78*30+7.82)+0.78*(F2599-30))*G2599)</f>
        <v>0</v>
      </c>
      <c r="I2599" s="420"/>
      <c r="J2599" s="420" t="str">
        <f t="shared" si="698"/>
        <v/>
      </c>
      <c r="K2599" s="421">
        <f t="shared" si="686"/>
        <v>0</v>
      </c>
      <c r="L2599" s="668" t="s">
        <v>614</v>
      </c>
      <c r="M2599" s="669"/>
      <c r="N2599" s="576">
        <f t="shared" si="696"/>
        <v>0</v>
      </c>
      <c r="O2599" s="577">
        <f t="shared" si="689"/>
        <v>0</v>
      </c>
      <c r="P2599" s="578">
        <f t="shared" si="690"/>
        <v>0</v>
      </c>
      <c r="Q2599" s="765"/>
      <c r="R2599" s="669"/>
      <c r="S2599" s="670"/>
      <c r="T2599" s="577">
        <f t="shared" si="687"/>
        <v>0</v>
      </c>
      <c r="U2599" s="578">
        <f t="shared" si="688"/>
        <v>0</v>
      </c>
      <c r="V2599" s="579"/>
      <c r="W2599" s="637" t="str">
        <f>IF(U2594&gt;0,"xx",IF(P2594&gt;0,"xy",""))</f>
        <v/>
      </c>
      <c r="X2599" s="586" t="str">
        <f t="shared" si="681"/>
        <v/>
      </c>
      <c r="Y2599" s="586" t="str">
        <f t="shared" si="692"/>
        <v/>
      </c>
      <c r="Z2599" s="586" t="str">
        <f t="shared" si="680"/>
        <v/>
      </c>
    </row>
    <row r="2600" spans="1:26" ht="12" hidden="1" thickBot="1" x14ac:dyDescent="0.25">
      <c r="A2600" s="567" t="s">
        <v>433</v>
      </c>
      <c r="B2600" s="644" t="s">
        <v>433</v>
      </c>
      <c r="C2600" s="645" t="s">
        <v>206</v>
      </c>
      <c r="D2600" s="422" t="str">
        <f>'[2]ENSAIOS DE ORÇAMENTO'!C75</f>
        <v>ENSAIO DE ORÇAMENTO 6</v>
      </c>
      <c r="E2600" s="423"/>
      <c r="F2600" s="424"/>
      <c r="G2600" s="425"/>
      <c r="H2600" s="651">
        <f>SUM(H2601:H2605)</f>
        <v>0</v>
      </c>
      <c r="I2600" s="420">
        <f>VLOOKUP(D2600,'[2]ENSAIOS DE ORÇAMENTO'!$C$3:$L$79,8,FALSE)</f>
        <v>0</v>
      </c>
      <c r="J2600" s="420">
        <f t="shared" si="698"/>
        <v>0</v>
      </c>
      <c r="K2600" s="421">
        <f t="shared" si="686"/>
        <v>0</v>
      </c>
      <c r="L2600" s="647" t="s">
        <v>21</v>
      </c>
      <c r="M2600" s="576"/>
      <c r="N2600" s="576">
        <f t="shared" si="696"/>
        <v>0</v>
      </c>
      <c r="O2600" s="577">
        <f t="shared" si="689"/>
        <v>0</v>
      </c>
      <c r="P2600" s="578">
        <f t="shared" si="690"/>
        <v>0</v>
      </c>
      <c r="Q2600" s="765"/>
      <c r="R2600" s="576">
        <f>M2600</f>
        <v>0</v>
      </c>
      <c r="S2600" s="576">
        <f>N2600</f>
        <v>0</v>
      </c>
      <c r="T2600" s="577">
        <f t="shared" si="687"/>
        <v>0</v>
      </c>
      <c r="U2600" s="578">
        <f t="shared" si="688"/>
        <v>0</v>
      </c>
      <c r="V2600" s="579"/>
      <c r="W2600" s="566"/>
      <c r="X2600" s="586" t="str">
        <f t="shared" si="681"/>
        <v/>
      </c>
      <c r="Y2600" s="586" t="str">
        <f t="shared" si="692"/>
        <v/>
      </c>
      <c r="Z2600" s="586" t="str">
        <f t="shared" ref="Z2600:Z2663" si="701">IF(W2600="X","x",IF(U2600&gt;0,"x",""))</f>
        <v/>
      </c>
    </row>
    <row r="2601" spans="1:26" ht="12" hidden="1" thickBot="1" x14ac:dyDescent="0.25">
      <c r="A2601" s="567" t="s">
        <v>168</v>
      </c>
      <c r="B2601" s="644" t="s">
        <v>168</v>
      </c>
      <c r="C2601" s="645"/>
      <c r="D2601" s="451" t="s">
        <v>212</v>
      </c>
      <c r="E2601" s="423"/>
      <c r="F2601" s="424">
        <v>500</v>
      </c>
      <c r="G2601" s="425">
        <f>VLOOKUP(D2600,'[2]ENSAIOS DE ORÇAMENTO'!$C$3:$L$79,4,FALSE)</f>
        <v>0</v>
      </c>
      <c r="H2601" s="649">
        <f>IF(F2601&lt;=30,(0.78*F2601+7.82)*G2601,((0.78*30+7.82)+0.78*(F2601-30))*G2601)</f>
        <v>0</v>
      </c>
      <c r="I2601" s="420"/>
      <c r="J2601" s="420" t="str">
        <f t="shared" si="698"/>
        <v/>
      </c>
      <c r="K2601" s="421">
        <f t="shared" si="686"/>
        <v>0</v>
      </c>
      <c r="L2601" s="668" t="s">
        <v>614</v>
      </c>
      <c r="M2601" s="669"/>
      <c r="N2601" s="576">
        <f t="shared" si="696"/>
        <v>0</v>
      </c>
      <c r="O2601" s="577">
        <f t="shared" si="689"/>
        <v>0</v>
      </c>
      <c r="P2601" s="578">
        <f t="shared" si="690"/>
        <v>0</v>
      </c>
      <c r="Q2601" s="765"/>
      <c r="R2601" s="669"/>
      <c r="S2601" s="670"/>
      <c r="T2601" s="577">
        <f t="shared" si="687"/>
        <v>0</v>
      </c>
      <c r="U2601" s="578">
        <f t="shared" si="688"/>
        <v>0</v>
      </c>
      <c r="V2601" s="579"/>
      <c r="W2601" s="637" t="str">
        <f>IF(U2600&gt;0,"xx",IF(P2600&gt;0,"xy",""))</f>
        <v/>
      </c>
      <c r="X2601" s="586" t="str">
        <f t="shared" si="681"/>
        <v/>
      </c>
      <c r="Y2601" s="586" t="str">
        <f t="shared" si="692"/>
        <v/>
      </c>
      <c r="Z2601" s="586" t="str">
        <f t="shared" si="701"/>
        <v/>
      </c>
    </row>
    <row r="2602" spans="1:26" ht="12" hidden="1" thickBot="1" x14ac:dyDescent="0.25">
      <c r="A2602" s="567" t="s">
        <v>168</v>
      </c>
      <c r="B2602" s="644" t="s">
        <v>168</v>
      </c>
      <c r="C2602" s="645"/>
      <c r="D2602" s="451" t="s">
        <v>248</v>
      </c>
      <c r="E2602" s="423"/>
      <c r="F2602" s="424">
        <v>180</v>
      </c>
      <c r="G2602" s="425">
        <f>VLOOKUP(D2600,'[2]ENSAIOS DE ORÇAMENTO'!$C$3:$L$79,5,FALSE)</f>
        <v>0</v>
      </c>
      <c r="H2602" s="663">
        <f t="shared" ref="H2602:H2604" si="702">IF(F2602&lt;=30,(1.07*F2602+2.68)*G2602,((1.07*30+2.68)+1.07*(F2602-30))*G2602)</f>
        <v>0</v>
      </c>
      <c r="I2602" s="420"/>
      <c r="J2602" s="420" t="str">
        <f t="shared" si="698"/>
        <v/>
      </c>
      <c r="K2602" s="421">
        <f t="shared" si="686"/>
        <v>0</v>
      </c>
      <c r="L2602" s="668" t="s">
        <v>614</v>
      </c>
      <c r="M2602" s="669"/>
      <c r="N2602" s="576">
        <f t="shared" si="696"/>
        <v>0</v>
      </c>
      <c r="O2602" s="577">
        <f t="shared" si="689"/>
        <v>0</v>
      </c>
      <c r="P2602" s="578">
        <f t="shared" si="690"/>
        <v>0</v>
      </c>
      <c r="Q2602" s="765"/>
      <c r="R2602" s="669"/>
      <c r="S2602" s="670"/>
      <c r="T2602" s="577">
        <f t="shared" si="687"/>
        <v>0</v>
      </c>
      <c r="U2602" s="578">
        <f t="shared" si="688"/>
        <v>0</v>
      </c>
      <c r="V2602" s="579"/>
      <c r="W2602" s="637" t="str">
        <f>IF(U2600&gt;0,"xx",IF(P2600&gt;0,"xy",""))</f>
        <v/>
      </c>
      <c r="X2602" s="586" t="str">
        <f t="shared" si="681"/>
        <v/>
      </c>
      <c r="Y2602" s="586" t="str">
        <f t="shared" si="692"/>
        <v/>
      </c>
      <c r="Z2602" s="586" t="str">
        <f t="shared" si="701"/>
        <v/>
      </c>
    </row>
    <row r="2603" spans="1:26" ht="12" hidden="1" thickBot="1" x14ac:dyDescent="0.25">
      <c r="A2603" s="567" t="s">
        <v>168</v>
      </c>
      <c r="B2603" s="644" t="s">
        <v>168</v>
      </c>
      <c r="C2603" s="645"/>
      <c r="D2603" s="451" t="s">
        <v>252</v>
      </c>
      <c r="E2603" s="423"/>
      <c r="F2603" s="424">
        <v>20</v>
      </c>
      <c r="G2603" s="425">
        <f>VLOOKUP(D2600,'[2]ENSAIOS DE ORÇAMENTO'!$C$3:$L$79,6,FALSE)</f>
        <v>0</v>
      </c>
      <c r="H2603" s="663">
        <f t="shared" si="702"/>
        <v>0</v>
      </c>
      <c r="I2603" s="420"/>
      <c r="J2603" s="420" t="str">
        <f t="shared" si="698"/>
        <v/>
      </c>
      <c r="K2603" s="421">
        <f t="shared" si="686"/>
        <v>0</v>
      </c>
      <c r="L2603" s="668" t="s">
        <v>614</v>
      </c>
      <c r="M2603" s="669"/>
      <c r="N2603" s="576">
        <f t="shared" si="696"/>
        <v>0</v>
      </c>
      <c r="O2603" s="577">
        <f t="shared" si="689"/>
        <v>0</v>
      </c>
      <c r="P2603" s="578">
        <f t="shared" si="690"/>
        <v>0</v>
      </c>
      <c r="Q2603" s="765"/>
      <c r="R2603" s="669"/>
      <c r="S2603" s="670"/>
      <c r="T2603" s="577">
        <f t="shared" si="687"/>
        <v>0</v>
      </c>
      <c r="U2603" s="578">
        <f t="shared" si="688"/>
        <v>0</v>
      </c>
      <c r="V2603" s="579"/>
      <c r="W2603" s="637" t="str">
        <f>IF(U2600&gt;0,"xx",IF(P2600&gt;0,"xy",""))</f>
        <v/>
      </c>
      <c r="X2603" s="586" t="str">
        <f t="shared" ref="X2603:X2666" si="703">IF(W2603="X","x",IF(W2603="xx","x",IF(W2603="xy","x",IF(W2603="y","x",IF(OR(P2603&gt;0,U2603&gt;0),"x","")))))</f>
        <v/>
      </c>
      <c r="Y2603" s="586" t="str">
        <f t="shared" si="692"/>
        <v/>
      </c>
      <c r="Z2603" s="586" t="str">
        <f t="shared" si="701"/>
        <v/>
      </c>
    </row>
    <row r="2604" spans="1:26" ht="12" hidden="1" thickBot="1" x14ac:dyDescent="0.25">
      <c r="A2604" s="567" t="s">
        <v>168</v>
      </c>
      <c r="B2604" s="644" t="s">
        <v>168</v>
      </c>
      <c r="C2604" s="645"/>
      <c r="D2604" s="451" t="s">
        <v>400</v>
      </c>
      <c r="E2604" s="423"/>
      <c r="F2604" s="424">
        <v>30</v>
      </c>
      <c r="G2604" s="425">
        <f>VLOOKUP(D2600,'[2]ENSAIOS DE ORÇAMENTO'!$C$3:$L$79,3,FALSE)</f>
        <v>0</v>
      </c>
      <c r="H2604" s="663">
        <f t="shared" si="702"/>
        <v>0</v>
      </c>
      <c r="I2604" s="420"/>
      <c r="J2604" s="420" t="str">
        <f t="shared" si="698"/>
        <v/>
      </c>
      <c r="K2604" s="421">
        <f t="shared" si="686"/>
        <v>0</v>
      </c>
      <c r="L2604" s="668" t="s">
        <v>614</v>
      </c>
      <c r="M2604" s="669"/>
      <c r="N2604" s="576">
        <f t="shared" si="696"/>
        <v>0</v>
      </c>
      <c r="O2604" s="577">
        <f t="shared" si="689"/>
        <v>0</v>
      </c>
      <c r="P2604" s="578">
        <f t="shared" si="690"/>
        <v>0</v>
      </c>
      <c r="Q2604" s="765"/>
      <c r="R2604" s="669"/>
      <c r="S2604" s="670"/>
      <c r="T2604" s="577">
        <f t="shared" si="687"/>
        <v>0</v>
      </c>
      <c r="U2604" s="578">
        <f t="shared" si="688"/>
        <v>0</v>
      </c>
      <c r="V2604" s="579"/>
      <c r="W2604" s="637" t="str">
        <f>IF(U2600&gt;0,"xx",IF(P2600&gt;0,"xy",""))</f>
        <v/>
      </c>
      <c r="X2604" s="586" t="str">
        <f t="shared" si="703"/>
        <v/>
      </c>
      <c r="Y2604" s="586" t="str">
        <f t="shared" si="692"/>
        <v/>
      </c>
      <c r="Z2604" s="586" t="str">
        <f t="shared" si="701"/>
        <v/>
      </c>
    </row>
    <row r="2605" spans="1:26" ht="12" hidden="1" thickBot="1" x14ac:dyDescent="0.25">
      <c r="A2605" s="567" t="s">
        <v>168</v>
      </c>
      <c r="B2605" s="644" t="s">
        <v>168</v>
      </c>
      <c r="C2605" s="645"/>
      <c r="D2605" s="451" t="s">
        <v>401</v>
      </c>
      <c r="E2605" s="423"/>
      <c r="F2605" s="424">
        <v>500</v>
      </c>
      <c r="G2605" s="425">
        <f>VLOOKUP(D2600,'[2]ENSAIOS DE ORÇAMENTO'!$C$3:$L$79,10,FALSE)</f>
        <v>0</v>
      </c>
      <c r="H2605" s="649">
        <f>IF(F2605&lt;=30,(0.78*F2605+7.82)*G2605,((0.78*30+7.82)+0.78*(F2605-30))*G2605)</f>
        <v>0</v>
      </c>
      <c r="I2605" s="420"/>
      <c r="J2605" s="420" t="str">
        <f t="shared" si="698"/>
        <v/>
      </c>
      <c r="K2605" s="421">
        <f t="shared" si="686"/>
        <v>0</v>
      </c>
      <c r="L2605" s="668" t="s">
        <v>614</v>
      </c>
      <c r="M2605" s="669"/>
      <c r="N2605" s="576">
        <f t="shared" si="696"/>
        <v>0</v>
      </c>
      <c r="O2605" s="577">
        <f t="shared" si="689"/>
        <v>0</v>
      </c>
      <c r="P2605" s="578">
        <f t="shared" si="690"/>
        <v>0</v>
      </c>
      <c r="Q2605" s="765"/>
      <c r="R2605" s="669"/>
      <c r="S2605" s="670"/>
      <c r="T2605" s="577">
        <f t="shared" si="687"/>
        <v>0</v>
      </c>
      <c r="U2605" s="578">
        <f t="shared" si="688"/>
        <v>0</v>
      </c>
      <c r="V2605" s="579"/>
      <c r="W2605" s="637" t="str">
        <f>IF(U2600&gt;0,"xx",IF(P2600&gt;0,"xy",""))</f>
        <v/>
      </c>
      <c r="X2605" s="586" t="str">
        <f t="shared" si="703"/>
        <v/>
      </c>
      <c r="Y2605" s="586" t="str">
        <f t="shared" si="692"/>
        <v/>
      </c>
      <c r="Z2605" s="586" t="str">
        <f t="shared" si="701"/>
        <v/>
      </c>
    </row>
    <row r="2606" spans="1:26" ht="12" hidden="1" thickBot="1" x14ac:dyDescent="0.25">
      <c r="A2606" s="567" t="s">
        <v>434</v>
      </c>
      <c r="B2606" s="644" t="s">
        <v>434</v>
      </c>
      <c r="C2606" s="645" t="s">
        <v>206</v>
      </c>
      <c r="D2606" s="422" t="str">
        <f>'[2]ENSAIOS DE ORÇAMENTO'!C76</f>
        <v>ENSAIO DE ORÇAMENTO 7</v>
      </c>
      <c r="E2606" s="423"/>
      <c r="F2606" s="424"/>
      <c r="G2606" s="425"/>
      <c r="H2606" s="651">
        <f>SUM(H2607:H2611)</f>
        <v>0</v>
      </c>
      <c r="I2606" s="420">
        <f>VLOOKUP(D2606,'[2]ENSAIOS DE ORÇAMENTO'!$C$3:$L$79,8,FALSE)</f>
        <v>0</v>
      </c>
      <c r="J2606" s="420">
        <f t="shared" si="698"/>
        <v>0</v>
      </c>
      <c r="K2606" s="421">
        <f t="shared" si="686"/>
        <v>0</v>
      </c>
      <c r="L2606" s="647" t="s">
        <v>21</v>
      </c>
      <c r="M2606" s="576"/>
      <c r="N2606" s="576">
        <f t="shared" si="696"/>
        <v>0</v>
      </c>
      <c r="O2606" s="577">
        <f t="shared" si="689"/>
        <v>0</v>
      </c>
      <c r="P2606" s="578">
        <f t="shared" si="690"/>
        <v>0</v>
      </c>
      <c r="Q2606" s="765"/>
      <c r="R2606" s="576">
        <f>M2606</f>
        <v>0</v>
      </c>
      <c r="S2606" s="576">
        <f>N2606</f>
        <v>0</v>
      </c>
      <c r="T2606" s="577">
        <f t="shared" si="687"/>
        <v>0</v>
      </c>
      <c r="U2606" s="578">
        <f t="shared" si="688"/>
        <v>0</v>
      </c>
      <c r="V2606" s="579"/>
      <c r="W2606" s="566"/>
      <c r="X2606" s="586" t="str">
        <f t="shared" si="703"/>
        <v/>
      </c>
      <c r="Y2606" s="586" t="str">
        <f t="shared" si="692"/>
        <v/>
      </c>
      <c r="Z2606" s="586" t="str">
        <f t="shared" si="701"/>
        <v/>
      </c>
    </row>
    <row r="2607" spans="1:26" ht="12" hidden="1" thickBot="1" x14ac:dyDescent="0.25">
      <c r="A2607" s="567" t="s">
        <v>168</v>
      </c>
      <c r="B2607" s="644" t="s">
        <v>168</v>
      </c>
      <c r="C2607" s="645"/>
      <c r="D2607" s="451" t="s">
        <v>212</v>
      </c>
      <c r="E2607" s="423"/>
      <c r="F2607" s="424">
        <v>500</v>
      </c>
      <c r="G2607" s="425">
        <f>VLOOKUP(D2606,'[2]ENSAIOS DE ORÇAMENTO'!$C$3:$L$79,4,FALSE)</f>
        <v>0</v>
      </c>
      <c r="H2607" s="649">
        <f>IF(F2607&lt;=30,(0.78*F2607+7.82)*G2607,((0.78*30+7.82)+0.78*(F2607-30))*G2607)</f>
        <v>0</v>
      </c>
      <c r="I2607" s="420"/>
      <c r="J2607" s="420" t="str">
        <f t="shared" si="698"/>
        <v/>
      </c>
      <c r="K2607" s="421">
        <f t="shared" si="686"/>
        <v>0</v>
      </c>
      <c r="L2607" s="668" t="s">
        <v>614</v>
      </c>
      <c r="M2607" s="669"/>
      <c r="N2607" s="576">
        <f t="shared" si="696"/>
        <v>0</v>
      </c>
      <c r="O2607" s="577">
        <f t="shared" si="689"/>
        <v>0</v>
      </c>
      <c r="P2607" s="578">
        <f t="shared" si="690"/>
        <v>0</v>
      </c>
      <c r="Q2607" s="765"/>
      <c r="R2607" s="669"/>
      <c r="S2607" s="670"/>
      <c r="T2607" s="577">
        <f t="shared" si="687"/>
        <v>0</v>
      </c>
      <c r="U2607" s="578">
        <f t="shared" si="688"/>
        <v>0</v>
      </c>
      <c r="V2607" s="579"/>
      <c r="W2607" s="637" t="str">
        <f>IF(U2606&gt;0,"xx",IF(P2606&gt;0,"xy",""))</f>
        <v/>
      </c>
      <c r="X2607" s="586" t="str">
        <f t="shared" si="703"/>
        <v/>
      </c>
      <c r="Y2607" s="586" t="str">
        <f t="shared" si="692"/>
        <v/>
      </c>
      <c r="Z2607" s="586" t="str">
        <f t="shared" si="701"/>
        <v/>
      </c>
    </row>
    <row r="2608" spans="1:26" ht="12" hidden="1" thickBot="1" x14ac:dyDescent="0.25">
      <c r="A2608" s="567" t="s">
        <v>168</v>
      </c>
      <c r="B2608" s="644" t="s">
        <v>168</v>
      </c>
      <c r="C2608" s="645"/>
      <c r="D2608" s="451" t="s">
        <v>248</v>
      </c>
      <c r="E2608" s="423"/>
      <c r="F2608" s="424">
        <v>180</v>
      </c>
      <c r="G2608" s="425">
        <f>VLOOKUP(D2606,'[2]ENSAIOS DE ORÇAMENTO'!$C$3:$L$79,5,FALSE)</f>
        <v>0</v>
      </c>
      <c r="H2608" s="663">
        <f t="shared" ref="H2608:H2610" si="704">IF(F2608&lt;=30,(1.07*F2608+2.68)*G2608,((1.07*30+2.68)+1.07*(F2608-30))*G2608)</f>
        <v>0</v>
      </c>
      <c r="I2608" s="420"/>
      <c r="J2608" s="420" t="str">
        <f t="shared" si="698"/>
        <v/>
      </c>
      <c r="K2608" s="421">
        <f t="shared" si="686"/>
        <v>0</v>
      </c>
      <c r="L2608" s="668" t="s">
        <v>614</v>
      </c>
      <c r="M2608" s="669"/>
      <c r="N2608" s="576">
        <f t="shared" si="696"/>
        <v>0</v>
      </c>
      <c r="O2608" s="577">
        <f t="shared" si="689"/>
        <v>0</v>
      </c>
      <c r="P2608" s="578">
        <f t="shared" si="690"/>
        <v>0</v>
      </c>
      <c r="Q2608" s="765"/>
      <c r="R2608" s="669"/>
      <c r="S2608" s="670"/>
      <c r="T2608" s="577">
        <f t="shared" si="687"/>
        <v>0</v>
      </c>
      <c r="U2608" s="578">
        <f t="shared" si="688"/>
        <v>0</v>
      </c>
      <c r="V2608" s="579"/>
      <c r="W2608" s="637" t="str">
        <f>IF(U2606&gt;0,"xx",IF(P2606&gt;0,"xy",""))</f>
        <v/>
      </c>
      <c r="X2608" s="586" t="str">
        <f t="shared" si="703"/>
        <v/>
      </c>
      <c r="Y2608" s="586" t="str">
        <f t="shared" si="692"/>
        <v/>
      </c>
      <c r="Z2608" s="586" t="str">
        <f t="shared" si="701"/>
        <v/>
      </c>
    </row>
    <row r="2609" spans="1:26" ht="12" hidden="1" thickBot="1" x14ac:dyDescent="0.25">
      <c r="A2609" s="567" t="s">
        <v>168</v>
      </c>
      <c r="B2609" s="644" t="s">
        <v>168</v>
      </c>
      <c r="C2609" s="645"/>
      <c r="D2609" s="451" t="s">
        <v>252</v>
      </c>
      <c r="E2609" s="423"/>
      <c r="F2609" s="424">
        <v>20</v>
      </c>
      <c r="G2609" s="425">
        <f>VLOOKUP(D2606,'[2]ENSAIOS DE ORÇAMENTO'!$C$3:$L$79,6,FALSE)</f>
        <v>0</v>
      </c>
      <c r="H2609" s="663">
        <f t="shared" si="704"/>
        <v>0</v>
      </c>
      <c r="I2609" s="420"/>
      <c r="J2609" s="420" t="str">
        <f t="shared" si="698"/>
        <v/>
      </c>
      <c r="K2609" s="421">
        <f t="shared" si="686"/>
        <v>0</v>
      </c>
      <c r="L2609" s="668" t="s">
        <v>614</v>
      </c>
      <c r="M2609" s="669"/>
      <c r="N2609" s="576">
        <f t="shared" si="696"/>
        <v>0</v>
      </c>
      <c r="O2609" s="577">
        <f t="shared" si="689"/>
        <v>0</v>
      </c>
      <c r="P2609" s="578">
        <f t="shared" si="690"/>
        <v>0</v>
      </c>
      <c r="Q2609" s="765"/>
      <c r="R2609" s="669"/>
      <c r="S2609" s="670"/>
      <c r="T2609" s="577">
        <f t="shared" si="687"/>
        <v>0</v>
      </c>
      <c r="U2609" s="578">
        <f t="shared" si="688"/>
        <v>0</v>
      </c>
      <c r="V2609" s="579"/>
      <c r="W2609" s="637" t="str">
        <f>IF(U2606&gt;0,"xx",IF(P2606&gt;0,"xy",""))</f>
        <v/>
      </c>
      <c r="X2609" s="586" t="str">
        <f t="shared" si="703"/>
        <v/>
      </c>
      <c r="Y2609" s="586" t="str">
        <f t="shared" si="692"/>
        <v/>
      </c>
      <c r="Z2609" s="586" t="str">
        <f t="shared" si="701"/>
        <v/>
      </c>
    </row>
    <row r="2610" spans="1:26" ht="12" hidden="1" thickBot="1" x14ac:dyDescent="0.25">
      <c r="A2610" s="567" t="s">
        <v>168</v>
      </c>
      <c r="B2610" s="644" t="s">
        <v>168</v>
      </c>
      <c r="C2610" s="645"/>
      <c r="D2610" s="451" t="s">
        <v>400</v>
      </c>
      <c r="E2610" s="423"/>
      <c r="F2610" s="424">
        <v>30</v>
      </c>
      <c r="G2610" s="425">
        <f>VLOOKUP(D2606,'[2]ENSAIOS DE ORÇAMENTO'!$C$3:$L$79,3,FALSE)</f>
        <v>0</v>
      </c>
      <c r="H2610" s="663">
        <f t="shared" si="704"/>
        <v>0</v>
      </c>
      <c r="I2610" s="420"/>
      <c r="J2610" s="420" t="str">
        <f t="shared" si="698"/>
        <v/>
      </c>
      <c r="K2610" s="421">
        <f t="shared" si="686"/>
        <v>0</v>
      </c>
      <c r="L2610" s="668" t="s">
        <v>614</v>
      </c>
      <c r="M2610" s="669"/>
      <c r="N2610" s="576">
        <f t="shared" si="696"/>
        <v>0</v>
      </c>
      <c r="O2610" s="577">
        <f t="shared" si="689"/>
        <v>0</v>
      </c>
      <c r="P2610" s="578">
        <f t="shared" si="690"/>
        <v>0</v>
      </c>
      <c r="Q2610" s="765"/>
      <c r="R2610" s="669"/>
      <c r="S2610" s="670"/>
      <c r="T2610" s="577">
        <f t="shared" si="687"/>
        <v>0</v>
      </c>
      <c r="U2610" s="578">
        <f t="shared" si="688"/>
        <v>0</v>
      </c>
      <c r="V2610" s="579"/>
      <c r="W2610" s="637" t="str">
        <f>IF(U2606&gt;0,"xx",IF(P2606&gt;0,"xy",""))</f>
        <v/>
      </c>
      <c r="X2610" s="586" t="str">
        <f t="shared" si="703"/>
        <v/>
      </c>
      <c r="Y2610" s="586" t="str">
        <f t="shared" si="692"/>
        <v/>
      </c>
      <c r="Z2610" s="586" t="str">
        <f t="shared" si="701"/>
        <v/>
      </c>
    </row>
    <row r="2611" spans="1:26" ht="12" hidden="1" thickBot="1" x14ac:dyDescent="0.25">
      <c r="A2611" s="567" t="s">
        <v>168</v>
      </c>
      <c r="B2611" s="644" t="s">
        <v>168</v>
      </c>
      <c r="C2611" s="645"/>
      <c r="D2611" s="451" t="s">
        <v>401</v>
      </c>
      <c r="E2611" s="423"/>
      <c r="F2611" s="424">
        <v>500</v>
      </c>
      <c r="G2611" s="425">
        <f>VLOOKUP(D2606,'[2]ENSAIOS DE ORÇAMENTO'!$C$3:$L$79,10,FALSE)</f>
        <v>0</v>
      </c>
      <c r="H2611" s="649">
        <f>IF(F2611&lt;=30,(0.78*F2611+7.82)*G2611,((0.78*30+7.82)+0.78*(F2611-30))*G2611)</f>
        <v>0</v>
      </c>
      <c r="I2611" s="420"/>
      <c r="J2611" s="420" t="str">
        <f t="shared" si="698"/>
        <v/>
      </c>
      <c r="K2611" s="421">
        <f t="shared" si="686"/>
        <v>0</v>
      </c>
      <c r="L2611" s="668" t="s">
        <v>614</v>
      </c>
      <c r="M2611" s="669"/>
      <c r="N2611" s="576">
        <f t="shared" si="696"/>
        <v>0</v>
      </c>
      <c r="O2611" s="577">
        <f t="shared" si="689"/>
        <v>0</v>
      </c>
      <c r="P2611" s="578">
        <f t="shared" si="690"/>
        <v>0</v>
      </c>
      <c r="Q2611" s="765"/>
      <c r="R2611" s="669"/>
      <c r="S2611" s="670"/>
      <c r="T2611" s="577">
        <f t="shared" si="687"/>
        <v>0</v>
      </c>
      <c r="U2611" s="578">
        <f t="shared" si="688"/>
        <v>0</v>
      </c>
      <c r="V2611" s="579"/>
      <c r="W2611" s="637" t="str">
        <f>IF(U2606&gt;0,"xx",IF(P2606&gt;0,"xy",""))</f>
        <v/>
      </c>
      <c r="X2611" s="586" t="str">
        <f t="shared" si="703"/>
        <v/>
      </c>
      <c r="Y2611" s="586" t="str">
        <f t="shared" si="692"/>
        <v/>
      </c>
      <c r="Z2611" s="586" t="str">
        <f t="shared" si="701"/>
        <v/>
      </c>
    </row>
    <row r="2612" spans="1:26" ht="12" hidden="1" thickBot="1" x14ac:dyDescent="0.25">
      <c r="A2612" s="567" t="s">
        <v>435</v>
      </c>
      <c r="B2612" s="644" t="s">
        <v>435</v>
      </c>
      <c r="C2612" s="645" t="s">
        <v>206</v>
      </c>
      <c r="D2612" s="422" t="str">
        <f>'[2]ENSAIOS DE ORÇAMENTO'!C77</f>
        <v>ENSAIO DE ORÇAMENTO 8</v>
      </c>
      <c r="E2612" s="423"/>
      <c r="F2612" s="424"/>
      <c r="G2612" s="425"/>
      <c r="H2612" s="651">
        <f>SUM(H2613:H2617)</f>
        <v>0</v>
      </c>
      <c r="I2612" s="420">
        <f>VLOOKUP(D2612,'[2]ENSAIOS DE ORÇAMENTO'!$C$3:$L$79,8,FALSE)</f>
        <v>0</v>
      </c>
      <c r="J2612" s="420">
        <f t="shared" si="698"/>
        <v>0</v>
      </c>
      <c r="K2612" s="421">
        <f t="shared" si="686"/>
        <v>0</v>
      </c>
      <c r="L2612" s="647" t="s">
        <v>21</v>
      </c>
      <c r="M2612" s="576"/>
      <c r="N2612" s="576">
        <f t="shared" si="696"/>
        <v>0</v>
      </c>
      <c r="O2612" s="577">
        <f t="shared" si="689"/>
        <v>0</v>
      </c>
      <c r="P2612" s="578">
        <f t="shared" si="690"/>
        <v>0</v>
      </c>
      <c r="Q2612" s="765"/>
      <c r="R2612" s="576">
        <f t="shared" ref="R2612:S2673" si="705">M2612</f>
        <v>0</v>
      </c>
      <c r="S2612" s="576">
        <f>N2612</f>
        <v>0</v>
      </c>
      <c r="T2612" s="577">
        <f t="shared" si="687"/>
        <v>0</v>
      </c>
      <c r="U2612" s="578">
        <f t="shared" si="688"/>
        <v>0</v>
      </c>
      <c r="V2612" s="579"/>
      <c r="W2612" s="566"/>
      <c r="X2612" s="586" t="str">
        <f t="shared" si="703"/>
        <v/>
      </c>
      <c r="Y2612" s="586" t="str">
        <f t="shared" si="692"/>
        <v/>
      </c>
      <c r="Z2612" s="586" t="str">
        <f t="shared" si="701"/>
        <v/>
      </c>
    </row>
    <row r="2613" spans="1:26" ht="12" hidden="1" thickBot="1" x14ac:dyDescent="0.25">
      <c r="A2613" s="567" t="s">
        <v>168</v>
      </c>
      <c r="B2613" s="644" t="s">
        <v>168</v>
      </c>
      <c r="C2613" s="645"/>
      <c r="D2613" s="451" t="s">
        <v>212</v>
      </c>
      <c r="E2613" s="423"/>
      <c r="F2613" s="424">
        <v>500</v>
      </c>
      <c r="G2613" s="425">
        <f>VLOOKUP(D2612,'[2]ENSAIOS DE ORÇAMENTO'!$C$3:$L$79,4,FALSE)</f>
        <v>0</v>
      </c>
      <c r="H2613" s="649">
        <f>IF(F2613&lt;=30,(0.78*F2613+7.82)*G2613,((0.78*30+7.82)+0.78*(F2613-30))*G2613)</f>
        <v>0</v>
      </c>
      <c r="I2613" s="420"/>
      <c r="J2613" s="420" t="str">
        <f t="shared" si="698"/>
        <v/>
      </c>
      <c r="K2613" s="421">
        <f t="shared" si="686"/>
        <v>0</v>
      </c>
      <c r="L2613" s="668" t="s">
        <v>614</v>
      </c>
      <c r="M2613" s="669"/>
      <c r="N2613" s="576">
        <f t="shared" si="696"/>
        <v>0</v>
      </c>
      <c r="O2613" s="577">
        <f t="shared" si="689"/>
        <v>0</v>
      </c>
      <c r="P2613" s="578">
        <f t="shared" si="690"/>
        <v>0</v>
      </c>
      <c r="Q2613" s="765"/>
      <c r="R2613" s="669"/>
      <c r="S2613" s="670"/>
      <c r="T2613" s="577">
        <f t="shared" si="687"/>
        <v>0</v>
      </c>
      <c r="U2613" s="578">
        <f t="shared" si="688"/>
        <v>0</v>
      </c>
      <c r="V2613" s="579"/>
      <c r="W2613" s="637" t="str">
        <f>IF(U2612&gt;0,"xx",IF(P2612&gt;0,"xy",""))</f>
        <v/>
      </c>
      <c r="X2613" s="586" t="str">
        <f t="shared" si="703"/>
        <v/>
      </c>
      <c r="Y2613" s="586" t="str">
        <f t="shared" si="692"/>
        <v/>
      </c>
      <c r="Z2613" s="586" t="str">
        <f t="shared" si="701"/>
        <v/>
      </c>
    </row>
    <row r="2614" spans="1:26" ht="12" hidden="1" thickBot="1" x14ac:dyDescent="0.25">
      <c r="A2614" s="567" t="s">
        <v>168</v>
      </c>
      <c r="B2614" s="644" t="s">
        <v>168</v>
      </c>
      <c r="C2614" s="645"/>
      <c r="D2614" s="451" t="s">
        <v>248</v>
      </c>
      <c r="E2614" s="423"/>
      <c r="F2614" s="424">
        <v>180</v>
      </c>
      <c r="G2614" s="425">
        <f>VLOOKUP(D2612,'[2]ENSAIOS DE ORÇAMENTO'!$C$3:$L$79,5,FALSE)</f>
        <v>0</v>
      </c>
      <c r="H2614" s="663">
        <f t="shared" ref="H2614:H2616" si="706">IF(F2614&lt;=30,(1.07*F2614+2.68)*G2614,((1.07*30+2.68)+1.07*(F2614-30))*G2614)</f>
        <v>0</v>
      </c>
      <c r="I2614" s="420"/>
      <c r="J2614" s="420" t="str">
        <f t="shared" si="698"/>
        <v/>
      </c>
      <c r="K2614" s="421">
        <f t="shared" si="686"/>
        <v>0</v>
      </c>
      <c r="L2614" s="668" t="s">
        <v>614</v>
      </c>
      <c r="M2614" s="669"/>
      <c r="N2614" s="576">
        <f t="shared" si="696"/>
        <v>0</v>
      </c>
      <c r="O2614" s="577">
        <f t="shared" si="689"/>
        <v>0</v>
      </c>
      <c r="P2614" s="578">
        <f t="shared" si="690"/>
        <v>0</v>
      </c>
      <c r="Q2614" s="765"/>
      <c r="R2614" s="669"/>
      <c r="S2614" s="670"/>
      <c r="T2614" s="577">
        <f t="shared" si="687"/>
        <v>0</v>
      </c>
      <c r="U2614" s="578">
        <f t="shared" si="688"/>
        <v>0</v>
      </c>
      <c r="V2614" s="579"/>
      <c r="W2614" s="637" t="str">
        <f>IF(U2612&gt;0,"xx",IF(P2612&gt;0,"xy",""))</f>
        <v/>
      </c>
      <c r="X2614" s="586" t="str">
        <f t="shared" si="703"/>
        <v/>
      </c>
      <c r="Y2614" s="586" t="str">
        <f t="shared" si="692"/>
        <v/>
      </c>
      <c r="Z2614" s="586" t="str">
        <f t="shared" si="701"/>
        <v/>
      </c>
    </row>
    <row r="2615" spans="1:26" ht="12" hidden="1" thickBot="1" x14ac:dyDescent="0.25">
      <c r="A2615" s="567" t="s">
        <v>168</v>
      </c>
      <c r="B2615" s="644" t="s">
        <v>168</v>
      </c>
      <c r="C2615" s="645"/>
      <c r="D2615" s="451" t="s">
        <v>252</v>
      </c>
      <c r="E2615" s="423"/>
      <c r="F2615" s="424">
        <v>20</v>
      </c>
      <c r="G2615" s="425">
        <f>VLOOKUP(D2612,'[2]ENSAIOS DE ORÇAMENTO'!$C$3:$L$79,6,FALSE)</f>
        <v>0</v>
      </c>
      <c r="H2615" s="663">
        <f t="shared" si="706"/>
        <v>0</v>
      </c>
      <c r="I2615" s="420"/>
      <c r="J2615" s="420" t="str">
        <f t="shared" si="698"/>
        <v/>
      </c>
      <c r="K2615" s="421">
        <f t="shared" si="686"/>
        <v>0</v>
      </c>
      <c r="L2615" s="668" t="s">
        <v>614</v>
      </c>
      <c r="M2615" s="669"/>
      <c r="N2615" s="576">
        <f t="shared" si="696"/>
        <v>0</v>
      </c>
      <c r="O2615" s="577">
        <f t="shared" si="689"/>
        <v>0</v>
      </c>
      <c r="P2615" s="578">
        <f t="shared" si="690"/>
        <v>0</v>
      </c>
      <c r="Q2615" s="765"/>
      <c r="R2615" s="669"/>
      <c r="S2615" s="670"/>
      <c r="T2615" s="577">
        <f t="shared" si="687"/>
        <v>0</v>
      </c>
      <c r="U2615" s="578">
        <f t="shared" si="688"/>
        <v>0</v>
      </c>
      <c r="V2615" s="579"/>
      <c r="W2615" s="637" t="str">
        <f>IF(U2612&gt;0,"xx",IF(P2612&gt;0,"xy",""))</f>
        <v/>
      </c>
      <c r="X2615" s="586" t="str">
        <f t="shared" si="703"/>
        <v/>
      </c>
      <c r="Y2615" s="586" t="str">
        <f t="shared" si="692"/>
        <v/>
      </c>
      <c r="Z2615" s="586" t="str">
        <f t="shared" si="701"/>
        <v/>
      </c>
    </row>
    <row r="2616" spans="1:26" ht="12" hidden="1" thickBot="1" x14ac:dyDescent="0.25">
      <c r="A2616" s="567" t="s">
        <v>168</v>
      </c>
      <c r="B2616" s="644" t="s">
        <v>168</v>
      </c>
      <c r="C2616" s="645"/>
      <c r="D2616" s="451" t="s">
        <v>400</v>
      </c>
      <c r="E2616" s="423"/>
      <c r="F2616" s="424">
        <v>30</v>
      </c>
      <c r="G2616" s="425">
        <f>VLOOKUP(D2612,'[2]ENSAIOS DE ORÇAMENTO'!$C$3:$L$79,3,FALSE)</f>
        <v>0</v>
      </c>
      <c r="H2616" s="663">
        <f t="shared" si="706"/>
        <v>0</v>
      </c>
      <c r="I2616" s="420"/>
      <c r="J2616" s="420" t="str">
        <f t="shared" si="698"/>
        <v/>
      </c>
      <c r="K2616" s="421">
        <f t="shared" si="686"/>
        <v>0</v>
      </c>
      <c r="L2616" s="668" t="s">
        <v>614</v>
      </c>
      <c r="M2616" s="669"/>
      <c r="N2616" s="576">
        <f t="shared" si="696"/>
        <v>0</v>
      </c>
      <c r="O2616" s="577">
        <f t="shared" si="689"/>
        <v>0</v>
      </c>
      <c r="P2616" s="578">
        <f t="shared" si="690"/>
        <v>0</v>
      </c>
      <c r="Q2616" s="765"/>
      <c r="R2616" s="669"/>
      <c r="S2616" s="670"/>
      <c r="T2616" s="577">
        <f t="shared" si="687"/>
        <v>0</v>
      </c>
      <c r="U2616" s="578">
        <f t="shared" si="688"/>
        <v>0</v>
      </c>
      <c r="V2616" s="579"/>
      <c r="W2616" s="637" t="str">
        <f>IF(U2612&gt;0,"xx",IF(P2612&gt;0,"xy",""))</f>
        <v/>
      </c>
      <c r="X2616" s="586" t="str">
        <f t="shared" si="703"/>
        <v/>
      </c>
      <c r="Y2616" s="586" t="str">
        <f t="shared" si="692"/>
        <v/>
      </c>
      <c r="Z2616" s="586" t="str">
        <f t="shared" si="701"/>
        <v/>
      </c>
    </row>
    <row r="2617" spans="1:26" ht="12" hidden="1" thickBot="1" x14ac:dyDescent="0.25">
      <c r="A2617" s="567" t="s">
        <v>168</v>
      </c>
      <c r="B2617" s="644" t="s">
        <v>168</v>
      </c>
      <c r="C2617" s="645"/>
      <c r="D2617" s="451" t="s">
        <v>401</v>
      </c>
      <c r="E2617" s="423"/>
      <c r="F2617" s="424">
        <v>500</v>
      </c>
      <c r="G2617" s="425">
        <f>VLOOKUP(D2612,'[2]ENSAIOS DE ORÇAMENTO'!$C$3:$L$79,10,FALSE)</f>
        <v>0</v>
      </c>
      <c r="H2617" s="649">
        <f>IF(F2617&lt;=30,(0.78*F2617+7.82)*G2617,((0.78*30+7.82)+0.78*(F2617-30))*G2617)</f>
        <v>0</v>
      </c>
      <c r="I2617" s="420"/>
      <c r="J2617" s="420" t="str">
        <f t="shared" si="698"/>
        <v/>
      </c>
      <c r="K2617" s="421">
        <f t="shared" si="686"/>
        <v>0</v>
      </c>
      <c r="L2617" s="668" t="s">
        <v>614</v>
      </c>
      <c r="M2617" s="669"/>
      <c r="N2617" s="576">
        <f t="shared" si="696"/>
        <v>0</v>
      </c>
      <c r="O2617" s="577">
        <f t="shared" si="689"/>
        <v>0</v>
      </c>
      <c r="P2617" s="578">
        <f t="shared" si="690"/>
        <v>0</v>
      </c>
      <c r="Q2617" s="765"/>
      <c r="R2617" s="669"/>
      <c r="S2617" s="670"/>
      <c r="T2617" s="577">
        <f t="shared" si="687"/>
        <v>0</v>
      </c>
      <c r="U2617" s="578">
        <f t="shared" si="688"/>
        <v>0</v>
      </c>
      <c r="V2617" s="579"/>
      <c r="W2617" s="637" t="str">
        <f>IF(U2612&gt;0,"xx",IF(P2612&gt;0,"xy",""))</f>
        <v/>
      </c>
      <c r="X2617" s="586" t="str">
        <f t="shared" si="703"/>
        <v/>
      </c>
      <c r="Y2617" s="586" t="str">
        <f t="shared" si="692"/>
        <v/>
      </c>
      <c r="Z2617" s="586" t="str">
        <f t="shared" si="701"/>
        <v/>
      </c>
    </row>
    <row r="2618" spans="1:26" ht="12" hidden="1" thickBot="1" x14ac:dyDescent="0.25">
      <c r="A2618" s="567" t="s">
        <v>436</v>
      </c>
      <c r="B2618" s="644" t="s">
        <v>436</v>
      </c>
      <c r="C2618" s="645" t="s">
        <v>206</v>
      </c>
      <c r="D2618" s="422" t="str">
        <f>'[2]ENSAIOS DE ORÇAMENTO'!C78</f>
        <v>ENSAIO DE ORÇAMENTO 9</v>
      </c>
      <c r="E2618" s="423"/>
      <c r="F2618" s="424"/>
      <c r="G2618" s="425"/>
      <c r="H2618" s="651">
        <f>SUM(H2619:H2623)</f>
        <v>0</v>
      </c>
      <c r="I2618" s="420">
        <f>VLOOKUP(D2618,'[2]ENSAIOS DE ORÇAMENTO'!$C$3:$L$79,8,FALSE)</f>
        <v>0</v>
      </c>
      <c r="J2618" s="420">
        <f t="shared" si="698"/>
        <v>0</v>
      </c>
      <c r="K2618" s="421">
        <f t="shared" si="686"/>
        <v>0</v>
      </c>
      <c r="L2618" s="647" t="s">
        <v>21</v>
      </c>
      <c r="M2618" s="576"/>
      <c r="N2618" s="576">
        <f t="shared" si="696"/>
        <v>0</v>
      </c>
      <c r="O2618" s="577">
        <f t="shared" si="689"/>
        <v>0</v>
      </c>
      <c r="P2618" s="578">
        <f t="shared" si="690"/>
        <v>0</v>
      </c>
      <c r="Q2618" s="765"/>
      <c r="R2618" s="576">
        <f t="shared" si="705"/>
        <v>0</v>
      </c>
      <c r="S2618" s="576">
        <f>N2618</f>
        <v>0</v>
      </c>
      <c r="T2618" s="577">
        <f t="shared" si="687"/>
        <v>0</v>
      </c>
      <c r="U2618" s="578">
        <f t="shared" si="688"/>
        <v>0</v>
      </c>
      <c r="V2618" s="579"/>
      <c r="W2618" s="566"/>
      <c r="X2618" s="586" t="str">
        <f t="shared" si="703"/>
        <v/>
      </c>
      <c r="Y2618" s="586" t="str">
        <f t="shared" si="692"/>
        <v/>
      </c>
      <c r="Z2618" s="586" t="str">
        <f t="shared" si="701"/>
        <v/>
      </c>
    </row>
    <row r="2619" spans="1:26" ht="12" hidden="1" thickBot="1" x14ac:dyDescent="0.25">
      <c r="A2619" s="567" t="s">
        <v>168</v>
      </c>
      <c r="B2619" s="644" t="s">
        <v>168</v>
      </c>
      <c r="C2619" s="645"/>
      <c r="D2619" s="451" t="s">
        <v>212</v>
      </c>
      <c r="E2619" s="423"/>
      <c r="F2619" s="424">
        <v>500</v>
      </c>
      <c r="G2619" s="425">
        <f>VLOOKUP(D2618,'[2]ENSAIOS DE ORÇAMENTO'!$C$3:$L$79,4,FALSE)</f>
        <v>0</v>
      </c>
      <c r="H2619" s="649">
        <f>IF(F2619&lt;=30,(0.78*F2619+7.82)*G2619,((0.78*30+7.82)+0.78*(F2619-30))*G2619)</f>
        <v>0</v>
      </c>
      <c r="I2619" s="420"/>
      <c r="J2619" s="420" t="str">
        <f t="shared" si="698"/>
        <v/>
      </c>
      <c r="K2619" s="421">
        <f t="shared" si="686"/>
        <v>0</v>
      </c>
      <c r="L2619" s="668" t="s">
        <v>614</v>
      </c>
      <c r="M2619" s="669"/>
      <c r="N2619" s="576">
        <f t="shared" si="696"/>
        <v>0</v>
      </c>
      <c r="O2619" s="577">
        <f t="shared" si="689"/>
        <v>0</v>
      </c>
      <c r="P2619" s="578">
        <f t="shared" si="690"/>
        <v>0</v>
      </c>
      <c r="Q2619" s="765"/>
      <c r="R2619" s="669"/>
      <c r="S2619" s="670"/>
      <c r="T2619" s="577">
        <f t="shared" si="687"/>
        <v>0</v>
      </c>
      <c r="U2619" s="578">
        <f t="shared" si="688"/>
        <v>0</v>
      </c>
      <c r="V2619" s="579"/>
      <c r="W2619" s="637" t="str">
        <f>IF(U2618&gt;0,"xx",IF(P2618&gt;0,"xy",""))</f>
        <v/>
      </c>
      <c r="X2619" s="586" t="str">
        <f t="shared" si="703"/>
        <v/>
      </c>
      <c r="Y2619" s="586" t="str">
        <f t="shared" si="692"/>
        <v/>
      </c>
      <c r="Z2619" s="586" t="str">
        <f t="shared" si="701"/>
        <v/>
      </c>
    </row>
    <row r="2620" spans="1:26" ht="12" hidden="1" thickBot="1" x14ac:dyDescent="0.25">
      <c r="A2620" s="567" t="s">
        <v>168</v>
      </c>
      <c r="B2620" s="644" t="s">
        <v>168</v>
      </c>
      <c r="C2620" s="645"/>
      <c r="D2620" s="451" t="s">
        <v>248</v>
      </c>
      <c r="E2620" s="423"/>
      <c r="F2620" s="424">
        <v>180</v>
      </c>
      <c r="G2620" s="425">
        <f>VLOOKUP(D2618,'[2]ENSAIOS DE ORÇAMENTO'!$C$3:$L$79,5,FALSE)</f>
        <v>0</v>
      </c>
      <c r="H2620" s="663">
        <f t="shared" ref="H2620:H2622" si="707">IF(F2620&lt;=30,(1.07*F2620+2.68)*G2620,((1.07*30+2.68)+1.07*(F2620-30))*G2620)</f>
        <v>0</v>
      </c>
      <c r="I2620" s="420"/>
      <c r="J2620" s="420" t="str">
        <f t="shared" si="698"/>
        <v/>
      </c>
      <c r="K2620" s="421">
        <f t="shared" si="686"/>
        <v>0</v>
      </c>
      <c r="L2620" s="668" t="s">
        <v>614</v>
      </c>
      <c r="M2620" s="669"/>
      <c r="N2620" s="576">
        <f t="shared" si="696"/>
        <v>0</v>
      </c>
      <c r="O2620" s="577">
        <f t="shared" si="689"/>
        <v>0</v>
      </c>
      <c r="P2620" s="578">
        <f t="shared" si="690"/>
        <v>0</v>
      </c>
      <c r="Q2620" s="765"/>
      <c r="R2620" s="669"/>
      <c r="S2620" s="670"/>
      <c r="T2620" s="577">
        <f t="shared" si="687"/>
        <v>0</v>
      </c>
      <c r="U2620" s="578">
        <f t="shared" si="688"/>
        <v>0</v>
      </c>
      <c r="V2620" s="579"/>
      <c r="W2620" s="637" t="str">
        <f>IF(U2618&gt;0,"xx",IF(P2618&gt;0,"xy",""))</f>
        <v/>
      </c>
      <c r="X2620" s="586" t="str">
        <f t="shared" si="703"/>
        <v/>
      </c>
      <c r="Y2620" s="586" t="str">
        <f t="shared" si="692"/>
        <v/>
      </c>
      <c r="Z2620" s="586" t="str">
        <f t="shared" si="701"/>
        <v/>
      </c>
    </row>
    <row r="2621" spans="1:26" ht="12" hidden="1" thickBot="1" x14ac:dyDescent="0.25">
      <c r="A2621" s="567" t="s">
        <v>168</v>
      </c>
      <c r="B2621" s="644" t="s">
        <v>168</v>
      </c>
      <c r="C2621" s="645"/>
      <c r="D2621" s="451" t="s">
        <v>252</v>
      </c>
      <c r="E2621" s="423"/>
      <c r="F2621" s="424">
        <v>20</v>
      </c>
      <c r="G2621" s="425">
        <f>VLOOKUP(D2618,'[2]ENSAIOS DE ORÇAMENTO'!$C$3:$L$79,6,FALSE)</f>
        <v>0</v>
      </c>
      <c r="H2621" s="663">
        <f t="shared" si="707"/>
        <v>0</v>
      </c>
      <c r="I2621" s="420"/>
      <c r="J2621" s="420" t="str">
        <f t="shared" si="698"/>
        <v/>
      </c>
      <c r="K2621" s="421">
        <f t="shared" si="686"/>
        <v>0</v>
      </c>
      <c r="L2621" s="668" t="s">
        <v>614</v>
      </c>
      <c r="M2621" s="669"/>
      <c r="N2621" s="576">
        <f t="shared" si="696"/>
        <v>0</v>
      </c>
      <c r="O2621" s="577">
        <f t="shared" si="689"/>
        <v>0</v>
      </c>
      <c r="P2621" s="578">
        <f t="shared" si="690"/>
        <v>0</v>
      </c>
      <c r="Q2621" s="765"/>
      <c r="R2621" s="669"/>
      <c r="S2621" s="670"/>
      <c r="T2621" s="577">
        <f t="shared" si="687"/>
        <v>0</v>
      </c>
      <c r="U2621" s="578">
        <f t="shared" si="688"/>
        <v>0</v>
      </c>
      <c r="V2621" s="579"/>
      <c r="W2621" s="637" t="str">
        <f>IF(U2618&gt;0,"xx",IF(P2618&gt;0,"xy",""))</f>
        <v/>
      </c>
      <c r="X2621" s="586" t="str">
        <f t="shared" si="703"/>
        <v/>
      </c>
      <c r="Y2621" s="586" t="str">
        <f t="shared" si="692"/>
        <v/>
      </c>
      <c r="Z2621" s="586" t="str">
        <f t="shared" si="701"/>
        <v/>
      </c>
    </row>
    <row r="2622" spans="1:26" ht="12" hidden="1" thickBot="1" x14ac:dyDescent="0.25">
      <c r="A2622" s="567" t="s">
        <v>168</v>
      </c>
      <c r="B2622" s="644" t="s">
        <v>168</v>
      </c>
      <c r="C2622" s="645"/>
      <c r="D2622" s="451" t="s">
        <v>400</v>
      </c>
      <c r="E2622" s="423"/>
      <c r="F2622" s="424">
        <v>30</v>
      </c>
      <c r="G2622" s="425">
        <f>VLOOKUP(D2618,'[2]ENSAIOS DE ORÇAMENTO'!$C$3:$L$79,3,FALSE)</f>
        <v>0</v>
      </c>
      <c r="H2622" s="663">
        <f t="shared" si="707"/>
        <v>0</v>
      </c>
      <c r="I2622" s="420"/>
      <c r="J2622" s="420" t="str">
        <f t="shared" si="698"/>
        <v/>
      </c>
      <c r="K2622" s="421">
        <f t="shared" si="686"/>
        <v>0</v>
      </c>
      <c r="L2622" s="668" t="s">
        <v>614</v>
      </c>
      <c r="M2622" s="669"/>
      <c r="N2622" s="576">
        <f t="shared" si="696"/>
        <v>0</v>
      </c>
      <c r="O2622" s="577">
        <f t="shared" si="689"/>
        <v>0</v>
      </c>
      <c r="P2622" s="578">
        <f t="shared" si="690"/>
        <v>0</v>
      </c>
      <c r="Q2622" s="765"/>
      <c r="R2622" s="669"/>
      <c r="S2622" s="670"/>
      <c r="T2622" s="577">
        <f t="shared" si="687"/>
        <v>0</v>
      </c>
      <c r="U2622" s="578">
        <f t="shared" si="688"/>
        <v>0</v>
      </c>
      <c r="V2622" s="579"/>
      <c r="W2622" s="637" t="str">
        <f>IF(U2618&gt;0,"xx",IF(P2618&gt;0,"xy",""))</f>
        <v/>
      </c>
      <c r="X2622" s="586" t="str">
        <f t="shared" si="703"/>
        <v/>
      </c>
      <c r="Y2622" s="586" t="str">
        <f t="shared" si="692"/>
        <v/>
      </c>
      <c r="Z2622" s="586" t="str">
        <f t="shared" si="701"/>
        <v/>
      </c>
    </row>
    <row r="2623" spans="1:26" ht="12" hidden="1" thickBot="1" x14ac:dyDescent="0.25">
      <c r="A2623" s="567" t="s">
        <v>168</v>
      </c>
      <c r="B2623" s="644" t="s">
        <v>168</v>
      </c>
      <c r="C2623" s="645"/>
      <c r="D2623" s="451" t="s">
        <v>401</v>
      </c>
      <c r="E2623" s="423"/>
      <c r="F2623" s="424">
        <v>500</v>
      </c>
      <c r="G2623" s="425">
        <f>VLOOKUP(D2618,'[2]ENSAIOS DE ORÇAMENTO'!$C$3:$L$79,10,FALSE)</f>
        <v>0</v>
      </c>
      <c r="H2623" s="649">
        <f>IF(F2623&lt;=30,(0.78*F2623+7.82)*G2623,((0.78*30+7.82)+0.78*(F2623-30))*G2623)</f>
        <v>0</v>
      </c>
      <c r="I2623" s="420"/>
      <c r="J2623" s="420" t="str">
        <f t="shared" si="698"/>
        <v/>
      </c>
      <c r="K2623" s="421">
        <f t="shared" si="686"/>
        <v>0</v>
      </c>
      <c r="L2623" s="668" t="s">
        <v>614</v>
      </c>
      <c r="M2623" s="669"/>
      <c r="N2623" s="576">
        <f t="shared" si="696"/>
        <v>0</v>
      </c>
      <c r="O2623" s="577">
        <f t="shared" si="689"/>
        <v>0</v>
      </c>
      <c r="P2623" s="578">
        <f t="shared" si="690"/>
        <v>0</v>
      </c>
      <c r="Q2623" s="765"/>
      <c r="R2623" s="669"/>
      <c r="S2623" s="670"/>
      <c r="T2623" s="577">
        <f t="shared" si="687"/>
        <v>0</v>
      </c>
      <c r="U2623" s="578">
        <f t="shared" si="688"/>
        <v>0</v>
      </c>
      <c r="V2623" s="579"/>
      <c r="W2623" s="637" t="str">
        <f>IF(U2618&gt;0,"xx",IF(P2618&gt;0,"xy",""))</f>
        <v/>
      </c>
      <c r="X2623" s="586" t="str">
        <f t="shared" si="703"/>
        <v/>
      </c>
      <c r="Y2623" s="586" t="str">
        <f t="shared" si="692"/>
        <v/>
      </c>
      <c r="Z2623" s="586" t="str">
        <f t="shared" si="701"/>
        <v/>
      </c>
    </row>
    <row r="2624" spans="1:26" ht="12" hidden="1" thickBot="1" x14ac:dyDescent="0.25">
      <c r="A2624" s="567" t="s">
        <v>437</v>
      </c>
      <c r="B2624" s="644" t="s">
        <v>437</v>
      </c>
      <c r="C2624" s="645" t="s">
        <v>206</v>
      </c>
      <c r="D2624" s="422" t="str">
        <f>'[2]ENSAIOS DE ORÇAMENTO'!C79</f>
        <v>ENSAIO DE ORÇAMENTO 10</v>
      </c>
      <c r="E2624" s="423"/>
      <c r="F2624" s="424"/>
      <c r="G2624" s="425"/>
      <c r="H2624" s="651">
        <f>SUM(H2625:H2629)</f>
        <v>0</v>
      </c>
      <c r="I2624" s="420">
        <f>VLOOKUP(D2624,'[2]ENSAIOS DE ORÇAMENTO'!$C$3:$L$79,8,FALSE)</f>
        <v>0</v>
      </c>
      <c r="J2624" s="420">
        <f t="shared" si="698"/>
        <v>0</v>
      </c>
      <c r="K2624" s="421">
        <f t="shared" ref="K2624:K2629" si="708">IF(ISBLANK(I2624),0,ROUND(J2624*(1+$F$10)*(1+$F$11*E2624),2))</f>
        <v>0</v>
      </c>
      <c r="L2624" s="647" t="s">
        <v>21</v>
      </c>
      <c r="M2624" s="576"/>
      <c r="N2624" s="576">
        <f t="shared" si="696"/>
        <v>0</v>
      </c>
      <c r="O2624" s="577">
        <f t="shared" si="689"/>
        <v>0</v>
      </c>
      <c r="P2624" s="578">
        <f t="shared" si="690"/>
        <v>0</v>
      </c>
      <c r="Q2624" s="765"/>
      <c r="R2624" s="576">
        <f t="shared" si="705"/>
        <v>0</v>
      </c>
      <c r="S2624" s="576">
        <f>N2624</f>
        <v>0</v>
      </c>
      <c r="T2624" s="577">
        <f t="shared" ref="T2624:T2673" si="709">IF(ISBLANK(R2624),0,ROUND(K2624*R2624,2))</f>
        <v>0</v>
      </c>
      <c r="U2624" s="578">
        <f t="shared" ref="U2624:U2673" si="710">IF(ISBLANK(R2624),0,ROUND(R2624*S2624,2))</f>
        <v>0</v>
      </c>
      <c r="V2624" s="579"/>
      <c r="W2624" s="566"/>
      <c r="X2624" s="586" t="str">
        <f t="shared" si="703"/>
        <v/>
      </c>
      <c r="Y2624" s="586" t="str">
        <f t="shared" si="692"/>
        <v/>
      </c>
      <c r="Z2624" s="586" t="str">
        <f t="shared" si="701"/>
        <v/>
      </c>
    </row>
    <row r="2625" spans="1:26" ht="12" hidden="1" thickBot="1" x14ac:dyDescent="0.25">
      <c r="A2625" s="567" t="s">
        <v>168</v>
      </c>
      <c r="B2625" s="644" t="s">
        <v>168</v>
      </c>
      <c r="C2625" s="645"/>
      <c r="D2625" s="451" t="s">
        <v>212</v>
      </c>
      <c r="E2625" s="423"/>
      <c r="F2625" s="424">
        <v>500</v>
      </c>
      <c r="G2625" s="425">
        <f>VLOOKUP(D2624,'[2]ENSAIOS DE ORÇAMENTO'!$C$3:$L$79,4,FALSE)</f>
        <v>0</v>
      </c>
      <c r="H2625" s="649">
        <f>IF(F2625&lt;=30,(0.78*F2625+7.82)*G2625,((0.78*30+7.82)+0.78*(F2625-30))*G2625)</f>
        <v>0</v>
      </c>
      <c r="I2625" s="420"/>
      <c r="J2625" s="420" t="str">
        <f t="shared" si="698"/>
        <v/>
      </c>
      <c r="K2625" s="421">
        <f t="shared" si="708"/>
        <v>0</v>
      </c>
      <c r="L2625" s="668" t="s">
        <v>614</v>
      </c>
      <c r="M2625" s="669"/>
      <c r="N2625" s="576">
        <f t="shared" si="696"/>
        <v>0</v>
      </c>
      <c r="O2625" s="577">
        <f t="shared" ref="O2625:O2673" si="711">IF(ISBLANK(M2625),0,ROUND(K2625*M2625,2))</f>
        <v>0</v>
      </c>
      <c r="P2625" s="578">
        <f t="shared" ref="P2625:P2673" si="712">IF(ISBLANK(N2625),0,ROUND(M2625*N2625,2))</f>
        <v>0</v>
      </c>
      <c r="Q2625" s="765"/>
      <c r="R2625" s="669"/>
      <c r="S2625" s="670"/>
      <c r="T2625" s="577">
        <f t="shared" si="709"/>
        <v>0</v>
      </c>
      <c r="U2625" s="578">
        <f t="shared" si="710"/>
        <v>0</v>
      </c>
      <c r="V2625" s="579"/>
      <c r="W2625" s="637" t="str">
        <f>IF(U2624&gt;0,"xx",IF(P2624&gt;0,"xy",""))</f>
        <v/>
      </c>
      <c r="X2625" s="586" t="str">
        <f t="shared" si="703"/>
        <v/>
      </c>
      <c r="Y2625" s="586" t="str">
        <f t="shared" si="692"/>
        <v/>
      </c>
      <c r="Z2625" s="586" t="str">
        <f t="shared" si="701"/>
        <v/>
      </c>
    </row>
    <row r="2626" spans="1:26" ht="12" hidden="1" thickBot="1" x14ac:dyDescent="0.25">
      <c r="A2626" s="567" t="s">
        <v>168</v>
      </c>
      <c r="B2626" s="644" t="s">
        <v>168</v>
      </c>
      <c r="C2626" s="645"/>
      <c r="D2626" s="451" t="s">
        <v>248</v>
      </c>
      <c r="E2626" s="423"/>
      <c r="F2626" s="424">
        <v>180</v>
      </c>
      <c r="G2626" s="425">
        <f>VLOOKUP(D2624,'[2]ENSAIOS DE ORÇAMENTO'!$C$3:$L$79,5,FALSE)</f>
        <v>0</v>
      </c>
      <c r="H2626" s="663">
        <f t="shared" ref="H2626:H2628" si="713">IF(F2626&lt;=30,(1.07*F2626+2.68)*G2626,((1.07*30+2.68)+1.07*(F2626-30))*G2626)</f>
        <v>0</v>
      </c>
      <c r="I2626" s="420"/>
      <c r="J2626" s="420" t="str">
        <f t="shared" si="698"/>
        <v/>
      </c>
      <c r="K2626" s="421">
        <f t="shared" si="708"/>
        <v>0</v>
      </c>
      <c r="L2626" s="668" t="s">
        <v>614</v>
      </c>
      <c r="M2626" s="669"/>
      <c r="N2626" s="576">
        <f t="shared" si="696"/>
        <v>0</v>
      </c>
      <c r="O2626" s="577">
        <f t="shared" si="711"/>
        <v>0</v>
      </c>
      <c r="P2626" s="578">
        <f t="shared" si="712"/>
        <v>0</v>
      </c>
      <c r="Q2626" s="765"/>
      <c r="R2626" s="669"/>
      <c r="S2626" s="670"/>
      <c r="T2626" s="577">
        <f t="shared" si="709"/>
        <v>0</v>
      </c>
      <c r="U2626" s="578">
        <f t="shared" si="710"/>
        <v>0</v>
      </c>
      <c r="V2626" s="579"/>
      <c r="W2626" s="637" t="str">
        <f>IF(U2624&gt;0,"xx",IF(P2624&gt;0,"xy",""))</f>
        <v/>
      </c>
      <c r="X2626" s="586" t="str">
        <f t="shared" si="703"/>
        <v/>
      </c>
      <c r="Y2626" s="586" t="str">
        <f t="shared" si="692"/>
        <v/>
      </c>
      <c r="Z2626" s="586" t="str">
        <f t="shared" si="701"/>
        <v/>
      </c>
    </row>
    <row r="2627" spans="1:26" ht="12" hidden="1" thickBot="1" x14ac:dyDescent="0.25">
      <c r="A2627" s="567" t="s">
        <v>168</v>
      </c>
      <c r="B2627" s="644" t="s">
        <v>168</v>
      </c>
      <c r="C2627" s="645"/>
      <c r="D2627" s="451" t="s">
        <v>252</v>
      </c>
      <c r="E2627" s="423"/>
      <c r="F2627" s="424">
        <v>20</v>
      </c>
      <c r="G2627" s="425">
        <f>VLOOKUP(D2624,'[2]ENSAIOS DE ORÇAMENTO'!$C$3:$L$79,6,FALSE)</f>
        <v>0</v>
      </c>
      <c r="H2627" s="663">
        <f t="shared" si="713"/>
        <v>0</v>
      </c>
      <c r="I2627" s="420"/>
      <c r="J2627" s="420" t="str">
        <f t="shared" si="698"/>
        <v/>
      </c>
      <c r="K2627" s="421">
        <f t="shared" si="708"/>
        <v>0</v>
      </c>
      <c r="L2627" s="668" t="s">
        <v>614</v>
      </c>
      <c r="M2627" s="669"/>
      <c r="N2627" s="576">
        <f t="shared" si="696"/>
        <v>0</v>
      </c>
      <c r="O2627" s="577">
        <f t="shared" si="711"/>
        <v>0</v>
      </c>
      <c r="P2627" s="578">
        <f t="shared" si="712"/>
        <v>0</v>
      </c>
      <c r="Q2627" s="765"/>
      <c r="R2627" s="669"/>
      <c r="S2627" s="670"/>
      <c r="T2627" s="577">
        <f t="shared" si="709"/>
        <v>0</v>
      </c>
      <c r="U2627" s="578">
        <f t="shared" si="710"/>
        <v>0</v>
      </c>
      <c r="V2627" s="579"/>
      <c r="W2627" s="637" t="str">
        <f>IF(U2624&gt;0,"xx",IF(P2624&gt;0,"xy",""))</f>
        <v/>
      </c>
      <c r="X2627" s="586" t="str">
        <f t="shared" si="703"/>
        <v/>
      </c>
      <c r="Y2627" s="586" t="str">
        <f t="shared" si="692"/>
        <v/>
      </c>
      <c r="Z2627" s="586" t="str">
        <f t="shared" si="701"/>
        <v/>
      </c>
    </row>
    <row r="2628" spans="1:26" ht="12" hidden="1" thickBot="1" x14ac:dyDescent="0.25">
      <c r="A2628" s="567" t="s">
        <v>168</v>
      </c>
      <c r="B2628" s="644" t="s">
        <v>168</v>
      </c>
      <c r="C2628" s="645"/>
      <c r="D2628" s="451" t="s">
        <v>400</v>
      </c>
      <c r="E2628" s="423"/>
      <c r="F2628" s="424">
        <v>30</v>
      </c>
      <c r="G2628" s="425">
        <f>VLOOKUP(D2624,'[2]ENSAIOS DE ORÇAMENTO'!$C$3:$L$79,3,FALSE)</f>
        <v>0</v>
      </c>
      <c r="H2628" s="663">
        <f t="shared" si="713"/>
        <v>0</v>
      </c>
      <c r="I2628" s="420"/>
      <c r="J2628" s="420" t="str">
        <f t="shared" si="698"/>
        <v/>
      </c>
      <c r="K2628" s="421">
        <f t="shared" si="708"/>
        <v>0</v>
      </c>
      <c r="L2628" s="668" t="s">
        <v>614</v>
      </c>
      <c r="M2628" s="669"/>
      <c r="N2628" s="576">
        <f t="shared" si="696"/>
        <v>0</v>
      </c>
      <c r="O2628" s="577">
        <f t="shared" si="711"/>
        <v>0</v>
      </c>
      <c r="P2628" s="578">
        <f t="shared" si="712"/>
        <v>0</v>
      </c>
      <c r="Q2628" s="765"/>
      <c r="R2628" s="669"/>
      <c r="S2628" s="670"/>
      <c r="T2628" s="577">
        <f t="shared" si="709"/>
        <v>0</v>
      </c>
      <c r="U2628" s="578">
        <f t="shared" si="710"/>
        <v>0</v>
      </c>
      <c r="V2628" s="579"/>
      <c r="W2628" s="637" t="str">
        <f>IF(U2624&gt;0,"xx",IF(P2624&gt;0,"xy",""))</f>
        <v/>
      </c>
      <c r="X2628" s="586" t="str">
        <f t="shared" si="703"/>
        <v/>
      </c>
      <c r="Y2628" s="586" t="str">
        <f t="shared" si="692"/>
        <v/>
      </c>
      <c r="Z2628" s="586" t="str">
        <f t="shared" si="701"/>
        <v/>
      </c>
    </row>
    <row r="2629" spans="1:26" ht="12" hidden="1" thickBot="1" x14ac:dyDescent="0.25">
      <c r="A2629" s="567" t="s">
        <v>168</v>
      </c>
      <c r="B2629" s="644" t="s">
        <v>168</v>
      </c>
      <c r="C2629" s="645"/>
      <c r="D2629" s="451" t="s">
        <v>401</v>
      </c>
      <c r="E2629" s="423"/>
      <c r="F2629" s="424">
        <v>500</v>
      </c>
      <c r="G2629" s="425">
        <f>VLOOKUP(D2624,'[2]ENSAIOS DE ORÇAMENTO'!$C$3:$L$79,10,FALSE)</f>
        <v>0</v>
      </c>
      <c r="H2629" s="649">
        <f>IF(F2629&lt;=30,(0.78*F2629+7.82)*G2629,((0.78*30+7.82)+0.78*(F2629-30))*G2629)</f>
        <v>0</v>
      </c>
      <c r="I2629" s="420"/>
      <c r="J2629" s="420" t="str">
        <f>IF(ISBLANK(I2629),"",SUM(H2629:I2629))</f>
        <v/>
      </c>
      <c r="K2629" s="421">
        <f t="shared" si="708"/>
        <v>0</v>
      </c>
      <c r="L2629" s="668" t="s">
        <v>614</v>
      </c>
      <c r="M2629" s="669"/>
      <c r="N2629" s="576">
        <f t="shared" si="696"/>
        <v>0</v>
      </c>
      <c r="O2629" s="577">
        <f t="shared" si="711"/>
        <v>0</v>
      </c>
      <c r="P2629" s="578">
        <f t="shared" si="712"/>
        <v>0</v>
      </c>
      <c r="Q2629" s="765"/>
      <c r="R2629" s="669"/>
      <c r="S2629" s="670"/>
      <c r="T2629" s="577">
        <f t="shared" si="709"/>
        <v>0</v>
      </c>
      <c r="U2629" s="578">
        <f t="shared" si="710"/>
        <v>0</v>
      </c>
      <c r="V2629" s="579"/>
      <c r="W2629" s="637" t="str">
        <f>IF(U2624&gt;0,"xx",IF(P2624&gt;0,"xy",""))</f>
        <v/>
      </c>
      <c r="X2629" s="586" t="str">
        <f t="shared" si="703"/>
        <v/>
      </c>
      <c r="Y2629" s="586" t="str">
        <f t="shared" si="692"/>
        <v/>
      </c>
      <c r="Z2629" s="586" t="str">
        <f t="shared" si="701"/>
        <v/>
      </c>
    </row>
    <row r="2630" spans="1:26" ht="12" hidden="1" thickBot="1" x14ac:dyDescent="0.25">
      <c r="A2630" s="652" t="s">
        <v>187</v>
      </c>
      <c r="B2630" s="653" t="s">
        <v>187</v>
      </c>
      <c r="C2630" s="654"/>
      <c r="D2630" s="427" t="s">
        <v>448</v>
      </c>
      <c r="E2630" s="491"/>
      <c r="F2630" s="655"/>
      <c r="G2630" s="656"/>
      <c r="H2630" s="657"/>
      <c r="I2630" s="429"/>
      <c r="J2630" s="429"/>
      <c r="K2630" s="429"/>
      <c r="L2630" s="429" t="s">
        <v>614</v>
      </c>
      <c r="M2630" s="657"/>
      <c r="N2630" s="576">
        <f t="shared" si="696"/>
        <v>0</v>
      </c>
      <c r="O2630" s="429">
        <f t="shared" si="711"/>
        <v>0</v>
      </c>
      <c r="P2630" s="658">
        <f t="shared" si="712"/>
        <v>0</v>
      </c>
      <c r="Q2630" s="765"/>
      <c r="R2630" s="657"/>
      <c r="S2630" s="429"/>
      <c r="T2630" s="429">
        <f t="shared" si="709"/>
        <v>0</v>
      </c>
      <c r="U2630" s="658">
        <f t="shared" si="710"/>
        <v>0</v>
      </c>
      <c r="V2630" s="579"/>
      <c r="W2630" s="637" t="str">
        <f>IF(OR(SUM(P2631:P2661)&gt;0,SUM(U2631:U2661)&gt;0),"y","")</f>
        <v/>
      </c>
      <c r="X2630" s="586" t="str">
        <f t="shared" si="703"/>
        <v/>
      </c>
      <c r="Y2630" s="586" t="str">
        <f t="shared" si="692"/>
        <v/>
      </c>
      <c r="Z2630" s="586" t="str">
        <f t="shared" si="701"/>
        <v/>
      </c>
    </row>
    <row r="2631" spans="1:26" ht="12" hidden="1" thickBot="1" x14ac:dyDescent="0.25">
      <c r="A2631" s="652" t="s">
        <v>187</v>
      </c>
      <c r="B2631" s="572" t="s">
        <v>187</v>
      </c>
      <c r="C2631" s="573" t="s">
        <v>187</v>
      </c>
      <c r="D2631" s="574"/>
      <c r="E2631" s="575"/>
      <c r="F2631" s="436"/>
      <c r="G2631" s="431"/>
      <c r="H2631" s="430"/>
      <c r="I2631" s="432"/>
      <c r="J2631" s="433"/>
      <c r="K2631" s="434">
        <f t="shared" ref="K2631:K2661" si="714">IF(ISBLANK(J2631),0,ROUND(J2631*(1+$F$10)*(1+$F$11*E2631),2))</f>
        <v>0</v>
      </c>
      <c r="L2631" s="435" t="s">
        <v>614</v>
      </c>
      <c r="M2631" s="587"/>
      <c r="N2631" s="576">
        <f t="shared" si="696"/>
        <v>0</v>
      </c>
      <c r="O2631" s="577">
        <f t="shared" si="711"/>
        <v>0</v>
      </c>
      <c r="P2631" s="578">
        <f t="shared" si="712"/>
        <v>0</v>
      </c>
      <c r="Q2631" s="765"/>
      <c r="R2631" s="650">
        <f t="shared" si="705"/>
        <v>0</v>
      </c>
      <c r="S2631" s="587">
        <f t="shared" si="705"/>
        <v>0</v>
      </c>
      <c r="T2631" s="577">
        <f t="shared" si="709"/>
        <v>0</v>
      </c>
      <c r="U2631" s="578">
        <f t="shared" si="710"/>
        <v>0</v>
      </c>
      <c r="V2631" s="579"/>
      <c r="W2631" s="566"/>
      <c r="X2631" s="586" t="str">
        <f t="shared" si="703"/>
        <v/>
      </c>
      <c r="Y2631" s="586" t="str">
        <f t="shared" si="692"/>
        <v/>
      </c>
      <c r="Z2631" s="586" t="str">
        <f t="shared" si="701"/>
        <v/>
      </c>
    </row>
    <row r="2632" spans="1:26" ht="12" hidden="1" thickBot="1" x14ac:dyDescent="0.25">
      <c r="A2632" s="652" t="s">
        <v>187</v>
      </c>
      <c r="B2632" s="572" t="s">
        <v>187</v>
      </c>
      <c r="C2632" s="573" t="s">
        <v>187</v>
      </c>
      <c r="D2632" s="574"/>
      <c r="E2632" s="575"/>
      <c r="F2632" s="436"/>
      <c r="G2632" s="431"/>
      <c r="H2632" s="430"/>
      <c r="I2632" s="432"/>
      <c r="J2632" s="433"/>
      <c r="K2632" s="437">
        <f t="shared" si="714"/>
        <v>0</v>
      </c>
      <c r="L2632" s="435" t="s">
        <v>614</v>
      </c>
      <c r="M2632" s="576"/>
      <c r="N2632" s="576">
        <f t="shared" si="696"/>
        <v>0</v>
      </c>
      <c r="O2632" s="577">
        <f t="shared" si="711"/>
        <v>0</v>
      </c>
      <c r="P2632" s="578">
        <f t="shared" si="712"/>
        <v>0</v>
      </c>
      <c r="Q2632" s="765"/>
      <c r="R2632" s="576">
        <f t="shared" si="705"/>
        <v>0</v>
      </c>
      <c r="S2632" s="576">
        <f t="shared" si="705"/>
        <v>0</v>
      </c>
      <c r="T2632" s="577">
        <f t="shared" si="709"/>
        <v>0</v>
      </c>
      <c r="U2632" s="659">
        <f t="shared" si="710"/>
        <v>0</v>
      </c>
      <c r="V2632" s="579"/>
      <c r="W2632" s="566"/>
      <c r="X2632" s="586" t="str">
        <f t="shared" si="703"/>
        <v/>
      </c>
      <c r="Y2632" s="586" t="str">
        <f t="shared" ref="Y2632:Y2696" si="715">IF(W2632="X","x",IF(W2632="y","x",IF(W2632="xx","x",IF(U2632&gt;0,"x",""))))</f>
        <v/>
      </c>
      <c r="Z2632" s="586" t="str">
        <f t="shared" si="701"/>
        <v/>
      </c>
    </row>
    <row r="2633" spans="1:26" ht="12" hidden="1" thickBot="1" x14ac:dyDescent="0.25">
      <c r="A2633" s="652" t="s">
        <v>187</v>
      </c>
      <c r="B2633" s="572" t="s">
        <v>187</v>
      </c>
      <c r="C2633" s="573" t="s">
        <v>187</v>
      </c>
      <c r="D2633" s="580"/>
      <c r="E2633" s="575"/>
      <c r="F2633" s="436"/>
      <c r="G2633" s="431"/>
      <c r="H2633" s="430"/>
      <c r="I2633" s="432"/>
      <c r="J2633" s="433"/>
      <c r="K2633" s="437">
        <f t="shared" si="714"/>
        <v>0</v>
      </c>
      <c r="L2633" s="435" t="s">
        <v>614</v>
      </c>
      <c r="M2633" s="576"/>
      <c r="N2633" s="576">
        <f t="shared" si="696"/>
        <v>0</v>
      </c>
      <c r="O2633" s="577">
        <f t="shared" si="711"/>
        <v>0</v>
      </c>
      <c r="P2633" s="578">
        <f t="shared" si="712"/>
        <v>0</v>
      </c>
      <c r="Q2633" s="765"/>
      <c r="R2633" s="576">
        <f t="shared" si="705"/>
        <v>0</v>
      </c>
      <c r="S2633" s="576">
        <f t="shared" si="705"/>
        <v>0</v>
      </c>
      <c r="T2633" s="577">
        <f t="shared" si="709"/>
        <v>0</v>
      </c>
      <c r="U2633" s="578">
        <f t="shared" si="710"/>
        <v>0</v>
      </c>
      <c r="V2633" s="579"/>
      <c r="W2633" s="566"/>
      <c r="X2633" s="586" t="str">
        <f t="shared" si="703"/>
        <v/>
      </c>
      <c r="Y2633" s="586" t="str">
        <f t="shared" si="715"/>
        <v/>
      </c>
      <c r="Z2633" s="586" t="str">
        <f t="shared" si="701"/>
        <v/>
      </c>
    </row>
    <row r="2634" spans="1:26" ht="12" hidden="1" thickBot="1" x14ac:dyDescent="0.25">
      <c r="A2634" s="652" t="s">
        <v>187</v>
      </c>
      <c r="B2634" s="572" t="s">
        <v>187</v>
      </c>
      <c r="C2634" s="573" t="s">
        <v>187</v>
      </c>
      <c r="D2634" s="580"/>
      <c r="E2634" s="575"/>
      <c r="F2634" s="436"/>
      <c r="G2634" s="431"/>
      <c r="H2634" s="430"/>
      <c r="I2634" s="432"/>
      <c r="J2634" s="433"/>
      <c r="K2634" s="437">
        <f t="shared" si="714"/>
        <v>0</v>
      </c>
      <c r="L2634" s="435" t="s">
        <v>614</v>
      </c>
      <c r="M2634" s="576"/>
      <c r="N2634" s="576">
        <f t="shared" si="696"/>
        <v>0</v>
      </c>
      <c r="O2634" s="577">
        <f t="shared" si="711"/>
        <v>0</v>
      </c>
      <c r="P2634" s="578">
        <f t="shared" si="712"/>
        <v>0</v>
      </c>
      <c r="Q2634" s="765"/>
      <c r="R2634" s="576">
        <f t="shared" si="705"/>
        <v>0</v>
      </c>
      <c r="S2634" s="576">
        <f t="shared" si="705"/>
        <v>0</v>
      </c>
      <c r="T2634" s="577">
        <f t="shared" si="709"/>
        <v>0</v>
      </c>
      <c r="U2634" s="578">
        <f t="shared" si="710"/>
        <v>0</v>
      </c>
      <c r="V2634" s="579"/>
      <c r="W2634" s="566"/>
      <c r="X2634" s="586" t="str">
        <f t="shared" si="703"/>
        <v/>
      </c>
      <c r="Y2634" s="586" t="str">
        <f t="shared" si="715"/>
        <v/>
      </c>
      <c r="Z2634" s="586" t="str">
        <f t="shared" si="701"/>
        <v/>
      </c>
    </row>
    <row r="2635" spans="1:26" ht="12" hidden="1" thickBot="1" x14ac:dyDescent="0.25">
      <c r="A2635" s="652" t="s">
        <v>187</v>
      </c>
      <c r="B2635" s="572" t="s">
        <v>187</v>
      </c>
      <c r="C2635" s="573" t="s">
        <v>187</v>
      </c>
      <c r="D2635" s="580"/>
      <c r="E2635" s="575"/>
      <c r="F2635" s="436"/>
      <c r="G2635" s="431"/>
      <c r="H2635" s="430"/>
      <c r="I2635" s="432"/>
      <c r="J2635" s="433"/>
      <c r="K2635" s="437">
        <f t="shared" si="714"/>
        <v>0</v>
      </c>
      <c r="L2635" s="435" t="s">
        <v>614</v>
      </c>
      <c r="M2635" s="576"/>
      <c r="N2635" s="576">
        <f t="shared" si="696"/>
        <v>0</v>
      </c>
      <c r="O2635" s="577">
        <f t="shared" si="711"/>
        <v>0</v>
      </c>
      <c r="P2635" s="578">
        <f t="shared" si="712"/>
        <v>0</v>
      </c>
      <c r="Q2635" s="765"/>
      <c r="R2635" s="576">
        <f t="shared" si="705"/>
        <v>0</v>
      </c>
      <c r="S2635" s="576">
        <f t="shared" si="705"/>
        <v>0</v>
      </c>
      <c r="T2635" s="577">
        <f t="shared" si="709"/>
        <v>0</v>
      </c>
      <c r="U2635" s="578">
        <f t="shared" si="710"/>
        <v>0</v>
      </c>
      <c r="V2635" s="579"/>
      <c r="W2635" s="566"/>
      <c r="X2635" s="586" t="str">
        <f t="shared" si="703"/>
        <v/>
      </c>
      <c r="Y2635" s="586" t="str">
        <f t="shared" si="715"/>
        <v/>
      </c>
      <c r="Z2635" s="586" t="str">
        <f t="shared" si="701"/>
        <v/>
      </c>
    </row>
    <row r="2636" spans="1:26" ht="12" hidden="1" thickBot="1" x14ac:dyDescent="0.25">
      <c r="A2636" s="652" t="s">
        <v>187</v>
      </c>
      <c r="B2636" s="572" t="s">
        <v>187</v>
      </c>
      <c r="C2636" s="573" t="s">
        <v>187</v>
      </c>
      <c r="D2636" s="580"/>
      <c r="E2636" s="575"/>
      <c r="F2636" s="436"/>
      <c r="G2636" s="431"/>
      <c r="H2636" s="430"/>
      <c r="I2636" s="432"/>
      <c r="J2636" s="433"/>
      <c r="K2636" s="437">
        <f t="shared" si="714"/>
        <v>0</v>
      </c>
      <c r="L2636" s="435" t="s">
        <v>614</v>
      </c>
      <c r="M2636" s="576"/>
      <c r="N2636" s="576">
        <f t="shared" si="696"/>
        <v>0</v>
      </c>
      <c r="O2636" s="577">
        <f t="shared" si="711"/>
        <v>0</v>
      </c>
      <c r="P2636" s="578">
        <f t="shared" si="712"/>
        <v>0</v>
      </c>
      <c r="Q2636" s="765"/>
      <c r="R2636" s="576">
        <f t="shared" si="705"/>
        <v>0</v>
      </c>
      <c r="S2636" s="576">
        <f t="shared" si="705"/>
        <v>0</v>
      </c>
      <c r="T2636" s="577">
        <f t="shared" si="709"/>
        <v>0</v>
      </c>
      <c r="U2636" s="578">
        <f t="shared" si="710"/>
        <v>0</v>
      </c>
      <c r="V2636" s="579"/>
      <c r="W2636" s="566"/>
      <c r="X2636" s="586" t="str">
        <f t="shared" si="703"/>
        <v/>
      </c>
      <c r="Y2636" s="586" t="str">
        <f t="shared" si="715"/>
        <v/>
      </c>
      <c r="Z2636" s="586" t="str">
        <f t="shared" si="701"/>
        <v/>
      </c>
    </row>
    <row r="2637" spans="1:26" ht="12" hidden="1" thickBot="1" x14ac:dyDescent="0.25">
      <c r="A2637" s="652" t="s">
        <v>187</v>
      </c>
      <c r="B2637" s="572" t="s">
        <v>187</v>
      </c>
      <c r="C2637" s="573" t="s">
        <v>187</v>
      </c>
      <c r="D2637" s="580"/>
      <c r="E2637" s="575"/>
      <c r="F2637" s="436"/>
      <c r="G2637" s="431"/>
      <c r="H2637" s="430"/>
      <c r="I2637" s="432"/>
      <c r="J2637" s="433"/>
      <c r="K2637" s="437">
        <f t="shared" si="714"/>
        <v>0</v>
      </c>
      <c r="L2637" s="435" t="s">
        <v>614</v>
      </c>
      <c r="M2637" s="576"/>
      <c r="N2637" s="576">
        <f t="shared" si="696"/>
        <v>0</v>
      </c>
      <c r="O2637" s="577">
        <f t="shared" si="711"/>
        <v>0</v>
      </c>
      <c r="P2637" s="578">
        <f t="shared" si="712"/>
        <v>0</v>
      </c>
      <c r="Q2637" s="765"/>
      <c r="R2637" s="576">
        <f t="shared" si="705"/>
        <v>0</v>
      </c>
      <c r="S2637" s="576">
        <f t="shared" si="705"/>
        <v>0</v>
      </c>
      <c r="T2637" s="577">
        <f t="shared" si="709"/>
        <v>0</v>
      </c>
      <c r="U2637" s="578">
        <f t="shared" si="710"/>
        <v>0</v>
      </c>
      <c r="V2637" s="579"/>
      <c r="W2637" s="566"/>
      <c r="X2637" s="586" t="str">
        <f t="shared" si="703"/>
        <v/>
      </c>
      <c r="Y2637" s="586" t="str">
        <f t="shared" si="715"/>
        <v/>
      </c>
      <c r="Z2637" s="586" t="str">
        <f t="shared" si="701"/>
        <v/>
      </c>
    </row>
    <row r="2638" spans="1:26" ht="12" hidden="1" thickBot="1" x14ac:dyDescent="0.25">
      <c r="A2638" s="652" t="s">
        <v>187</v>
      </c>
      <c r="B2638" s="572" t="s">
        <v>187</v>
      </c>
      <c r="C2638" s="573" t="s">
        <v>187</v>
      </c>
      <c r="D2638" s="580"/>
      <c r="E2638" s="575"/>
      <c r="F2638" s="436"/>
      <c r="G2638" s="431"/>
      <c r="H2638" s="430"/>
      <c r="I2638" s="432"/>
      <c r="J2638" s="433"/>
      <c r="K2638" s="437">
        <f t="shared" si="714"/>
        <v>0</v>
      </c>
      <c r="L2638" s="435" t="s">
        <v>614</v>
      </c>
      <c r="M2638" s="576"/>
      <c r="N2638" s="576">
        <f t="shared" si="696"/>
        <v>0</v>
      </c>
      <c r="O2638" s="577">
        <f t="shared" si="711"/>
        <v>0</v>
      </c>
      <c r="P2638" s="578">
        <f t="shared" si="712"/>
        <v>0</v>
      </c>
      <c r="Q2638" s="765"/>
      <c r="R2638" s="576">
        <f t="shared" si="705"/>
        <v>0</v>
      </c>
      <c r="S2638" s="576">
        <f t="shared" si="705"/>
        <v>0</v>
      </c>
      <c r="T2638" s="577">
        <f t="shared" si="709"/>
        <v>0</v>
      </c>
      <c r="U2638" s="578">
        <f t="shared" si="710"/>
        <v>0</v>
      </c>
      <c r="V2638" s="579"/>
      <c r="W2638" s="566"/>
      <c r="X2638" s="586" t="str">
        <f t="shared" si="703"/>
        <v/>
      </c>
      <c r="Y2638" s="586" t="str">
        <f t="shared" si="715"/>
        <v/>
      </c>
      <c r="Z2638" s="586" t="str">
        <f t="shared" si="701"/>
        <v/>
      </c>
    </row>
    <row r="2639" spans="1:26" ht="12" hidden="1" thickBot="1" x14ac:dyDescent="0.25">
      <c r="A2639" s="652" t="s">
        <v>187</v>
      </c>
      <c r="B2639" s="572" t="s">
        <v>187</v>
      </c>
      <c r="C2639" s="573" t="s">
        <v>187</v>
      </c>
      <c r="D2639" s="580"/>
      <c r="E2639" s="575"/>
      <c r="F2639" s="436"/>
      <c r="G2639" s="431"/>
      <c r="H2639" s="430"/>
      <c r="I2639" s="432"/>
      <c r="J2639" s="433"/>
      <c r="K2639" s="437">
        <f t="shared" si="714"/>
        <v>0</v>
      </c>
      <c r="L2639" s="435" t="s">
        <v>614</v>
      </c>
      <c r="M2639" s="576"/>
      <c r="N2639" s="576">
        <f t="shared" si="696"/>
        <v>0</v>
      </c>
      <c r="O2639" s="577">
        <f t="shared" si="711"/>
        <v>0</v>
      </c>
      <c r="P2639" s="578">
        <f t="shared" si="712"/>
        <v>0</v>
      </c>
      <c r="Q2639" s="765"/>
      <c r="R2639" s="576">
        <f t="shared" si="705"/>
        <v>0</v>
      </c>
      <c r="S2639" s="576">
        <f t="shared" si="705"/>
        <v>0</v>
      </c>
      <c r="T2639" s="577">
        <f t="shared" si="709"/>
        <v>0</v>
      </c>
      <c r="U2639" s="578">
        <f t="shared" si="710"/>
        <v>0</v>
      </c>
      <c r="V2639" s="579"/>
      <c r="W2639" s="566"/>
      <c r="X2639" s="586" t="str">
        <f t="shared" si="703"/>
        <v/>
      </c>
      <c r="Y2639" s="586" t="str">
        <f t="shared" si="715"/>
        <v/>
      </c>
      <c r="Z2639" s="586" t="str">
        <f t="shared" si="701"/>
        <v/>
      </c>
    </row>
    <row r="2640" spans="1:26" ht="12" hidden="1" thickBot="1" x14ac:dyDescent="0.25">
      <c r="A2640" s="652" t="s">
        <v>187</v>
      </c>
      <c r="B2640" s="572" t="s">
        <v>187</v>
      </c>
      <c r="C2640" s="573" t="s">
        <v>187</v>
      </c>
      <c r="D2640" s="580"/>
      <c r="E2640" s="575"/>
      <c r="F2640" s="436"/>
      <c r="G2640" s="431"/>
      <c r="H2640" s="430"/>
      <c r="I2640" s="432"/>
      <c r="J2640" s="433"/>
      <c r="K2640" s="437">
        <f t="shared" si="714"/>
        <v>0</v>
      </c>
      <c r="L2640" s="435" t="s">
        <v>614</v>
      </c>
      <c r="M2640" s="576"/>
      <c r="N2640" s="576">
        <f t="shared" si="696"/>
        <v>0</v>
      </c>
      <c r="O2640" s="577">
        <f t="shared" si="711"/>
        <v>0</v>
      </c>
      <c r="P2640" s="578">
        <f t="shared" si="712"/>
        <v>0</v>
      </c>
      <c r="Q2640" s="765"/>
      <c r="R2640" s="576">
        <f t="shared" si="705"/>
        <v>0</v>
      </c>
      <c r="S2640" s="576">
        <f t="shared" si="705"/>
        <v>0</v>
      </c>
      <c r="T2640" s="577">
        <f t="shared" si="709"/>
        <v>0</v>
      </c>
      <c r="U2640" s="578">
        <f t="shared" si="710"/>
        <v>0</v>
      </c>
      <c r="V2640" s="579"/>
      <c r="W2640" s="566"/>
      <c r="X2640" s="586" t="str">
        <f t="shared" si="703"/>
        <v/>
      </c>
      <c r="Y2640" s="586" t="str">
        <f t="shared" si="715"/>
        <v/>
      </c>
      <c r="Z2640" s="586" t="str">
        <f t="shared" si="701"/>
        <v/>
      </c>
    </row>
    <row r="2641" spans="1:26" ht="12" hidden="1" thickBot="1" x14ac:dyDescent="0.25">
      <c r="A2641" s="652" t="s">
        <v>187</v>
      </c>
      <c r="B2641" s="572" t="s">
        <v>187</v>
      </c>
      <c r="C2641" s="573" t="s">
        <v>187</v>
      </c>
      <c r="D2641" s="580"/>
      <c r="E2641" s="575"/>
      <c r="F2641" s="436"/>
      <c r="G2641" s="431"/>
      <c r="H2641" s="430"/>
      <c r="I2641" s="432"/>
      <c r="J2641" s="433"/>
      <c r="K2641" s="437">
        <f t="shared" si="714"/>
        <v>0</v>
      </c>
      <c r="L2641" s="435" t="s">
        <v>614</v>
      </c>
      <c r="M2641" s="576"/>
      <c r="N2641" s="576">
        <f t="shared" si="696"/>
        <v>0</v>
      </c>
      <c r="O2641" s="577">
        <f t="shared" si="711"/>
        <v>0</v>
      </c>
      <c r="P2641" s="578">
        <f t="shared" si="712"/>
        <v>0</v>
      </c>
      <c r="Q2641" s="765"/>
      <c r="R2641" s="576">
        <f t="shared" si="705"/>
        <v>0</v>
      </c>
      <c r="S2641" s="576">
        <f t="shared" si="705"/>
        <v>0</v>
      </c>
      <c r="T2641" s="577">
        <f t="shared" si="709"/>
        <v>0</v>
      </c>
      <c r="U2641" s="578">
        <f t="shared" si="710"/>
        <v>0</v>
      </c>
      <c r="V2641" s="579"/>
      <c r="W2641" s="566"/>
      <c r="X2641" s="586" t="str">
        <f t="shared" si="703"/>
        <v/>
      </c>
      <c r="Y2641" s="586" t="str">
        <f t="shared" si="715"/>
        <v/>
      </c>
      <c r="Z2641" s="586" t="str">
        <f t="shared" si="701"/>
        <v/>
      </c>
    </row>
    <row r="2642" spans="1:26" ht="12" hidden="1" thickBot="1" x14ac:dyDescent="0.25">
      <c r="A2642" s="652" t="s">
        <v>187</v>
      </c>
      <c r="B2642" s="572" t="s">
        <v>187</v>
      </c>
      <c r="C2642" s="573" t="s">
        <v>187</v>
      </c>
      <c r="D2642" s="580"/>
      <c r="E2642" s="575"/>
      <c r="F2642" s="436"/>
      <c r="G2642" s="431"/>
      <c r="H2642" s="430"/>
      <c r="I2642" s="432"/>
      <c r="J2642" s="433"/>
      <c r="K2642" s="437">
        <f t="shared" si="714"/>
        <v>0</v>
      </c>
      <c r="L2642" s="435" t="s">
        <v>614</v>
      </c>
      <c r="M2642" s="576"/>
      <c r="N2642" s="576">
        <f t="shared" si="696"/>
        <v>0</v>
      </c>
      <c r="O2642" s="577">
        <f t="shared" si="711"/>
        <v>0</v>
      </c>
      <c r="P2642" s="578">
        <f t="shared" si="712"/>
        <v>0</v>
      </c>
      <c r="Q2642" s="765"/>
      <c r="R2642" s="576">
        <f t="shared" si="705"/>
        <v>0</v>
      </c>
      <c r="S2642" s="576">
        <f t="shared" si="705"/>
        <v>0</v>
      </c>
      <c r="T2642" s="577">
        <f t="shared" si="709"/>
        <v>0</v>
      </c>
      <c r="U2642" s="578">
        <f t="shared" si="710"/>
        <v>0</v>
      </c>
      <c r="V2642" s="579"/>
      <c r="W2642" s="566"/>
      <c r="X2642" s="586" t="str">
        <f t="shared" si="703"/>
        <v/>
      </c>
      <c r="Y2642" s="586" t="str">
        <f t="shared" si="715"/>
        <v/>
      </c>
      <c r="Z2642" s="586" t="str">
        <f t="shared" si="701"/>
        <v/>
      </c>
    </row>
    <row r="2643" spans="1:26" ht="12" hidden="1" thickBot="1" x14ac:dyDescent="0.25">
      <c r="A2643" s="652" t="s">
        <v>187</v>
      </c>
      <c r="B2643" s="572" t="s">
        <v>187</v>
      </c>
      <c r="C2643" s="573" t="s">
        <v>187</v>
      </c>
      <c r="D2643" s="580"/>
      <c r="E2643" s="575"/>
      <c r="F2643" s="436"/>
      <c r="G2643" s="431"/>
      <c r="H2643" s="430"/>
      <c r="I2643" s="432"/>
      <c r="J2643" s="433"/>
      <c r="K2643" s="437">
        <f t="shared" si="714"/>
        <v>0</v>
      </c>
      <c r="L2643" s="435" t="s">
        <v>614</v>
      </c>
      <c r="M2643" s="576"/>
      <c r="N2643" s="576">
        <f t="shared" si="696"/>
        <v>0</v>
      </c>
      <c r="O2643" s="577">
        <f t="shared" si="711"/>
        <v>0</v>
      </c>
      <c r="P2643" s="578">
        <f t="shared" si="712"/>
        <v>0</v>
      </c>
      <c r="Q2643" s="765"/>
      <c r="R2643" s="576">
        <f t="shared" si="705"/>
        <v>0</v>
      </c>
      <c r="S2643" s="576">
        <f t="shared" si="705"/>
        <v>0</v>
      </c>
      <c r="T2643" s="577">
        <f t="shared" si="709"/>
        <v>0</v>
      </c>
      <c r="U2643" s="578">
        <f t="shared" si="710"/>
        <v>0</v>
      </c>
      <c r="V2643" s="579"/>
      <c r="W2643" s="566"/>
      <c r="X2643" s="586" t="str">
        <f t="shared" si="703"/>
        <v/>
      </c>
      <c r="Y2643" s="586" t="str">
        <f t="shared" si="715"/>
        <v/>
      </c>
      <c r="Z2643" s="586" t="str">
        <f t="shared" si="701"/>
        <v/>
      </c>
    </row>
    <row r="2644" spans="1:26" ht="12" hidden="1" thickBot="1" x14ac:dyDescent="0.25">
      <c r="A2644" s="652" t="s">
        <v>187</v>
      </c>
      <c r="B2644" s="572" t="s">
        <v>187</v>
      </c>
      <c r="C2644" s="573" t="s">
        <v>187</v>
      </c>
      <c r="D2644" s="580"/>
      <c r="E2644" s="575"/>
      <c r="F2644" s="436"/>
      <c r="G2644" s="431"/>
      <c r="H2644" s="430"/>
      <c r="I2644" s="432"/>
      <c r="J2644" s="433"/>
      <c r="K2644" s="437">
        <f t="shared" si="714"/>
        <v>0</v>
      </c>
      <c r="L2644" s="435" t="s">
        <v>614</v>
      </c>
      <c r="M2644" s="576"/>
      <c r="N2644" s="576">
        <f t="shared" ref="N2644:N2707" si="716">IF(M2644=0,0,K2644)</f>
        <v>0</v>
      </c>
      <c r="O2644" s="577">
        <f t="shared" si="711"/>
        <v>0</v>
      </c>
      <c r="P2644" s="578">
        <f t="shared" si="712"/>
        <v>0</v>
      </c>
      <c r="Q2644" s="765"/>
      <c r="R2644" s="576">
        <f t="shared" si="705"/>
        <v>0</v>
      </c>
      <c r="S2644" s="576">
        <f t="shared" si="705"/>
        <v>0</v>
      </c>
      <c r="T2644" s="577">
        <f t="shared" si="709"/>
        <v>0</v>
      </c>
      <c r="U2644" s="578">
        <f t="shared" si="710"/>
        <v>0</v>
      </c>
      <c r="V2644" s="579"/>
      <c r="W2644" s="566"/>
      <c r="X2644" s="586" t="str">
        <f t="shared" si="703"/>
        <v/>
      </c>
      <c r="Y2644" s="586" t="str">
        <f t="shared" si="715"/>
        <v/>
      </c>
      <c r="Z2644" s="586" t="str">
        <f t="shared" si="701"/>
        <v/>
      </c>
    </row>
    <row r="2645" spans="1:26" ht="12" hidden="1" thickBot="1" x14ac:dyDescent="0.25">
      <c r="A2645" s="652" t="s">
        <v>187</v>
      </c>
      <c r="B2645" s="572" t="s">
        <v>187</v>
      </c>
      <c r="C2645" s="573" t="s">
        <v>187</v>
      </c>
      <c r="D2645" s="580"/>
      <c r="E2645" s="575"/>
      <c r="F2645" s="436"/>
      <c r="G2645" s="431"/>
      <c r="H2645" s="430"/>
      <c r="I2645" s="432"/>
      <c r="J2645" s="433"/>
      <c r="K2645" s="437">
        <f t="shared" si="714"/>
        <v>0</v>
      </c>
      <c r="L2645" s="435" t="s">
        <v>614</v>
      </c>
      <c r="M2645" s="576"/>
      <c r="N2645" s="576">
        <f t="shared" si="716"/>
        <v>0</v>
      </c>
      <c r="O2645" s="577">
        <f t="shared" si="711"/>
        <v>0</v>
      </c>
      <c r="P2645" s="578">
        <f t="shared" si="712"/>
        <v>0</v>
      </c>
      <c r="Q2645" s="765"/>
      <c r="R2645" s="576">
        <f t="shared" si="705"/>
        <v>0</v>
      </c>
      <c r="S2645" s="576">
        <f t="shared" si="705"/>
        <v>0</v>
      </c>
      <c r="T2645" s="577">
        <f t="shared" si="709"/>
        <v>0</v>
      </c>
      <c r="U2645" s="578">
        <f t="shared" si="710"/>
        <v>0</v>
      </c>
      <c r="V2645" s="579"/>
      <c r="W2645" s="566"/>
      <c r="X2645" s="586" t="str">
        <f t="shared" si="703"/>
        <v/>
      </c>
      <c r="Y2645" s="586" t="str">
        <f t="shared" si="715"/>
        <v/>
      </c>
      <c r="Z2645" s="586" t="str">
        <f t="shared" si="701"/>
        <v/>
      </c>
    </row>
    <row r="2646" spans="1:26" ht="12" hidden="1" thickBot="1" x14ac:dyDescent="0.25">
      <c r="A2646" s="652" t="s">
        <v>187</v>
      </c>
      <c r="B2646" s="572" t="s">
        <v>187</v>
      </c>
      <c r="C2646" s="573" t="s">
        <v>187</v>
      </c>
      <c r="D2646" s="580"/>
      <c r="E2646" s="575"/>
      <c r="F2646" s="436"/>
      <c r="G2646" s="431"/>
      <c r="H2646" s="430"/>
      <c r="I2646" s="432"/>
      <c r="J2646" s="433"/>
      <c r="K2646" s="437">
        <f t="shared" si="714"/>
        <v>0</v>
      </c>
      <c r="L2646" s="435" t="s">
        <v>614</v>
      </c>
      <c r="M2646" s="576"/>
      <c r="N2646" s="576">
        <f t="shared" si="716"/>
        <v>0</v>
      </c>
      <c r="O2646" s="577">
        <f t="shared" si="711"/>
        <v>0</v>
      </c>
      <c r="P2646" s="578">
        <f t="shared" si="712"/>
        <v>0</v>
      </c>
      <c r="Q2646" s="765"/>
      <c r="R2646" s="576">
        <f t="shared" si="705"/>
        <v>0</v>
      </c>
      <c r="S2646" s="576">
        <f t="shared" si="705"/>
        <v>0</v>
      </c>
      <c r="T2646" s="577">
        <f t="shared" si="709"/>
        <v>0</v>
      </c>
      <c r="U2646" s="578">
        <f t="shared" si="710"/>
        <v>0</v>
      </c>
      <c r="V2646" s="579"/>
      <c r="W2646" s="566"/>
      <c r="X2646" s="586" t="str">
        <f t="shared" si="703"/>
        <v/>
      </c>
      <c r="Y2646" s="586" t="str">
        <f t="shared" si="715"/>
        <v/>
      </c>
      <c r="Z2646" s="586" t="str">
        <f t="shared" si="701"/>
        <v/>
      </c>
    </row>
    <row r="2647" spans="1:26" ht="12" hidden="1" thickBot="1" x14ac:dyDescent="0.25">
      <c r="A2647" s="652" t="s">
        <v>187</v>
      </c>
      <c r="B2647" s="572" t="s">
        <v>187</v>
      </c>
      <c r="C2647" s="573" t="s">
        <v>187</v>
      </c>
      <c r="D2647" s="580"/>
      <c r="E2647" s="575"/>
      <c r="F2647" s="436"/>
      <c r="G2647" s="431"/>
      <c r="H2647" s="430"/>
      <c r="I2647" s="432"/>
      <c r="J2647" s="433"/>
      <c r="K2647" s="437">
        <f t="shared" si="714"/>
        <v>0</v>
      </c>
      <c r="L2647" s="435" t="s">
        <v>614</v>
      </c>
      <c r="M2647" s="576"/>
      <c r="N2647" s="576">
        <f t="shared" si="716"/>
        <v>0</v>
      </c>
      <c r="O2647" s="577">
        <f t="shared" si="711"/>
        <v>0</v>
      </c>
      <c r="P2647" s="578">
        <f t="shared" si="712"/>
        <v>0</v>
      </c>
      <c r="Q2647" s="765"/>
      <c r="R2647" s="576">
        <f t="shared" si="705"/>
        <v>0</v>
      </c>
      <c r="S2647" s="576">
        <f t="shared" si="705"/>
        <v>0</v>
      </c>
      <c r="T2647" s="577">
        <f t="shared" si="709"/>
        <v>0</v>
      </c>
      <c r="U2647" s="578">
        <f t="shared" si="710"/>
        <v>0</v>
      </c>
      <c r="V2647" s="579"/>
      <c r="W2647" s="566"/>
      <c r="X2647" s="586" t="str">
        <f t="shared" si="703"/>
        <v/>
      </c>
      <c r="Y2647" s="586" t="str">
        <f t="shared" si="715"/>
        <v/>
      </c>
      <c r="Z2647" s="586" t="str">
        <f t="shared" si="701"/>
        <v/>
      </c>
    </row>
    <row r="2648" spans="1:26" ht="12" hidden="1" thickBot="1" x14ac:dyDescent="0.25">
      <c r="A2648" s="652" t="s">
        <v>187</v>
      </c>
      <c r="B2648" s="572" t="s">
        <v>187</v>
      </c>
      <c r="C2648" s="573" t="s">
        <v>187</v>
      </c>
      <c r="D2648" s="580"/>
      <c r="E2648" s="575"/>
      <c r="F2648" s="436"/>
      <c r="G2648" s="431"/>
      <c r="H2648" s="430"/>
      <c r="I2648" s="432"/>
      <c r="J2648" s="433"/>
      <c r="K2648" s="437">
        <f t="shared" si="714"/>
        <v>0</v>
      </c>
      <c r="L2648" s="435" t="s">
        <v>614</v>
      </c>
      <c r="M2648" s="576"/>
      <c r="N2648" s="576">
        <f t="shared" si="716"/>
        <v>0</v>
      </c>
      <c r="O2648" s="577">
        <f t="shared" si="711"/>
        <v>0</v>
      </c>
      <c r="P2648" s="578">
        <f t="shared" si="712"/>
        <v>0</v>
      </c>
      <c r="Q2648" s="765"/>
      <c r="R2648" s="576">
        <f t="shared" si="705"/>
        <v>0</v>
      </c>
      <c r="S2648" s="576">
        <f t="shared" si="705"/>
        <v>0</v>
      </c>
      <c r="T2648" s="577">
        <f t="shared" si="709"/>
        <v>0</v>
      </c>
      <c r="U2648" s="578">
        <f t="shared" si="710"/>
        <v>0</v>
      </c>
      <c r="V2648" s="579"/>
      <c r="W2648" s="566"/>
      <c r="X2648" s="586" t="str">
        <f t="shared" si="703"/>
        <v/>
      </c>
      <c r="Y2648" s="586" t="str">
        <f t="shared" si="715"/>
        <v/>
      </c>
      <c r="Z2648" s="586" t="str">
        <f t="shared" si="701"/>
        <v/>
      </c>
    </row>
    <row r="2649" spans="1:26" ht="12" hidden="1" thickBot="1" x14ac:dyDescent="0.25">
      <c r="A2649" s="652" t="s">
        <v>187</v>
      </c>
      <c r="B2649" s="572" t="s">
        <v>187</v>
      </c>
      <c r="C2649" s="573" t="s">
        <v>187</v>
      </c>
      <c r="D2649" s="580"/>
      <c r="E2649" s="575"/>
      <c r="F2649" s="436"/>
      <c r="G2649" s="431"/>
      <c r="H2649" s="430"/>
      <c r="I2649" s="432"/>
      <c r="J2649" s="433"/>
      <c r="K2649" s="437">
        <f t="shared" si="714"/>
        <v>0</v>
      </c>
      <c r="L2649" s="435" t="s">
        <v>614</v>
      </c>
      <c r="M2649" s="576"/>
      <c r="N2649" s="576">
        <f t="shared" si="716"/>
        <v>0</v>
      </c>
      <c r="O2649" s="577">
        <f t="shared" si="711"/>
        <v>0</v>
      </c>
      <c r="P2649" s="578">
        <f t="shared" si="712"/>
        <v>0</v>
      </c>
      <c r="Q2649" s="765"/>
      <c r="R2649" s="576">
        <f t="shared" si="705"/>
        <v>0</v>
      </c>
      <c r="S2649" s="576">
        <f t="shared" si="705"/>
        <v>0</v>
      </c>
      <c r="T2649" s="577">
        <f t="shared" si="709"/>
        <v>0</v>
      </c>
      <c r="U2649" s="578">
        <f t="shared" si="710"/>
        <v>0</v>
      </c>
      <c r="V2649" s="579"/>
      <c r="W2649" s="566"/>
      <c r="X2649" s="586" t="str">
        <f t="shared" si="703"/>
        <v/>
      </c>
      <c r="Y2649" s="586" t="str">
        <f t="shared" si="715"/>
        <v/>
      </c>
      <c r="Z2649" s="586" t="str">
        <f t="shared" si="701"/>
        <v/>
      </c>
    </row>
    <row r="2650" spans="1:26" ht="12" hidden="1" thickBot="1" x14ac:dyDescent="0.25">
      <c r="A2650" s="652" t="s">
        <v>187</v>
      </c>
      <c r="B2650" s="572" t="s">
        <v>187</v>
      </c>
      <c r="C2650" s="573" t="s">
        <v>187</v>
      </c>
      <c r="D2650" s="580"/>
      <c r="E2650" s="575"/>
      <c r="F2650" s="436"/>
      <c r="G2650" s="431"/>
      <c r="H2650" s="430"/>
      <c r="I2650" s="432"/>
      <c r="J2650" s="433"/>
      <c r="K2650" s="437">
        <f t="shared" si="714"/>
        <v>0</v>
      </c>
      <c r="L2650" s="435" t="s">
        <v>614</v>
      </c>
      <c r="M2650" s="576"/>
      <c r="N2650" s="576">
        <f t="shared" si="716"/>
        <v>0</v>
      </c>
      <c r="O2650" s="577">
        <f t="shared" si="711"/>
        <v>0</v>
      </c>
      <c r="P2650" s="578">
        <f t="shared" si="712"/>
        <v>0</v>
      </c>
      <c r="Q2650" s="765"/>
      <c r="R2650" s="576">
        <f t="shared" si="705"/>
        <v>0</v>
      </c>
      <c r="S2650" s="576">
        <f t="shared" si="705"/>
        <v>0</v>
      </c>
      <c r="T2650" s="577">
        <f t="shared" si="709"/>
        <v>0</v>
      </c>
      <c r="U2650" s="578">
        <f t="shared" si="710"/>
        <v>0</v>
      </c>
      <c r="V2650" s="579"/>
      <c r="W2650" s="566"/>
      <c r="X2650" s="586" t="str">
        <f t="shared" si="703"/>
        <v/>
      </c>
      <c r="Y2650" s="586" t="str">
        <f t="shared" si="715"/>
        <v/>
      </c>
      <c r="Z2650" s="586" t="str">
        <f t="shared" si="701"/>
        <v/>
      </c>
    </row>
    <row r="2651" spans="1:26" ht="12" hidden="1" thickBot="1" x14ac:dyDescent="0.25">
      <c r="A2651" s="652" t="s">
        <v>187</v>
      </c>
      <c r="B2651" s="572" t="s">
        <v>187</v>
      </c>
      <c r="C2651" s="573" t="s">
        <v>187</v>
      </c>
      <c r="D2651" s="580"/>
      <c r="E2651" s="575"/>
      <c r="F2651" s="436"/>
      <c r="G2651" s="431"/>
      <c r="H2651" s="430"/>
      <c r="I2651" s="432"/>
      <c r="J2651" s="433"/>
      <c r="K2651" s="437">
        <f t="shared" si="714"/>
        <v>0</v>
      </c>
      <c r="L2651" s="435" t="s">
        <v>614</v>
      </c>
      <c r="M2651" s="576"/>
      <c r="N2651" s="576">
        <f t="shared" si="716"/>
        <v>0</v>
      </c>
      <c r="O2651" s="577">
        <f t="shared" si="711"/>
        <v>0</v>
      </c>
      <c r="P2651" s="578">
        <f t="shared" si="712"/>
        <v>0</v>
      </c>
      <c r="Q2651" s="765"/>
      <c r="R2651" s="576">
        <f t="shared" si="705"/>
        <v>0</v>
      </c>
      <c r="S2651" s="576">
        <f t="shared" si="705"/>
        <v>0</v>
      </c>
      <c r="T2651" s="577">
        <f t="shared" si="709"/>
        <v>0</v>
      </c>
      <c r="U2651" s="578">
        <f t="shared" si="710"/>
        <v>0</v>
      </c>
      <c r="V2651" s="579"/>
      <c r="W2651" s="566"/>
      <c r="X2651" s="586" t="str">
        <f t="shared" si="703"/>
        <v/>
      </c>
      <c r="Y2651" s="586" t="str">
        <f t="shared" si="715"/>
        <v/>
      </c>
      <c r="Z2651" s="586" t="str">
        <f t="shared" si="701"/>
        <v/>
      </c>
    </row>
    <row r="2652" spans="1:26" ht="12" hidden="1" thickBot="1" x14ac:dyDescent="0.25">
      <c r="A2652" s="652" t="s">
        <v>187</v>
      </c>
      <c r="B2652" s="572" t="s">
        <v>187</v>
      </c>
      <c r="C2652" s="573" t="s">
        <v>187</v>
      </c>
      <c r="D2652" s="580"/>
      <c r="E2652" s="575"/>
      <c r="F2652" s="436"/>
      <c r="G2652" s="431"/>
      <c r="H2652" s="430"/>
      <c r="I2652" s="432"/>
      <c r="J2652" s="433"/>
      <c r="K2652" s="437">
        <f t="shared" si="714"/>
        <v>0</v>
      </c>
      <c r="L2652" s="435" t="s">
        <v>614</v>
      </c>
      <c r="M2652" s="576"/>
      <c r="N2652" s="576">
        <f t="shared" si="716"/>
        <v>0</v>
      </c>
      <c r="O2652" s="577">
        <f t="shared" si="711"/>
        <v>0</v>
      </c>
      <c r="P2652" s="578">
        <f t="shared" si="712"/>
        <v>0</v>
      </c>
      <c r="Q2652" s="765"/>
      <c r="R2652" s="576">
        <f t="shared" si="705"/>
        <v>0</v>
      </c>
      <c r="S2652" s="576">
        <f t="shared" si="705"/>
        <v>0</v>
      </c>
      <c r="T2652" s="577">
        <f t="shared" si="709"/>
        <v>0</v>
      </c>
      <c r="U2652" s="578">
        <f t="shared" si="710"/>
        <v>0</v>
      </c>
      <c r="V2652" s="579"/>
      <c r="W2652" s="566"/>
      <c r="X2652" s="586" t="str">
        <f t="shared" si="703"/>
        <v/>
      </c>
      <c r="Y2652" s="586" t="str">
        <f t="shared" si="715"/>
        <v/>
      </c>
      <c r="Z2652" s="586" t="str">
        <f t="shared" si="701"/>
        <v/>
      </c>
    </row>
    <row r="2653" spans="1:26" ht="12" hidden="1" thickBot="1" x14ac:dyDescent="0.25">
      <c r="A2653" s="652" t="s">
        <v>187</v>
      </c>
      <c r="B2653" s="572" t="s">
        <v>187</v>
      </c>
      <c r="C2653" s="573" t="s">
        <v>187</v>
      </c>
      <c r="D2653" s="580"/>
      <c r="E2653" s="575"/>
      <c r="F2653" s="436"/>
      <c r="G2653" s="431"/>
      <c r="H2653" s="430"/>
      <c r="I2653" s="432"/>
      <c r="J2653" s="433"/>
      <c r="K2653" s="437">
        <f t="shared" si="714"/>
        <v>0</v>
      </c>
      <c r="L2653" s="435" t="s">
        <v>614</v>
      </c>
      <c r="M2653" s="576"/>
      <c r="N2653" s="576">
        <f t="shared" si="716"/>
        <v>0</v>
      </c>
      <c r="O2653" s="577">
        <f t="shared" si="711"/>
        <v>0</v>
      </c>
      <c r="P2653" s="578">
        <f t="shared" si="712"/>
        <v>0</v>
      </c>
      <c r="Q2653" s="765"/>
      <c r="R2653" s="576">
        <f t="shared" si="705"/>
        <v>0</v>
      </c>
      <c r="S2653" s="576">
        <f t="shared" si="705"/>
        <v>0</v>
      </c>
      <c r="T2653" s="577">
        <f t="shared" si="709"/>
        <v>0</v>
      </c>
      <c r="U2653" s="578">
        <f t="shared" si="710"/>
        <v>0</v>
      </c>
      <c r="V2653" s="579"/>
      <c r="W2653" s="566"/>
      <c r="X2653" s="586" t="str">
        <f t="shared" si="703"/>
        <v/>
      </c>
      <c r="Y2653" s="586" t="str">
        <f t="shared" si="715"/>
        <v/>
      </c>
      <c r="Z2653" s="586" t="str">
        <f t="shared" si="701"/>
        <v/>
      </c>
    </row>
    <row r="2654" spans="1:26" ht="12" hidden="1" thickBot="1" x14ac:dyDescent="0.25">
      <c r="A2654" s="652" t="s">
        <v>187</v>
      </c>
      <c r="B2654" s="572" t="s">
        <v>187</v>
      </c>
      <c r="C2654" s="573" t="s">
        <v>187</v>
      </c>
      <c r="D2654" s="580"/>
      <c r="E2654" s="575"/>
      <c r="F2654" s="436"/>
      <c r="G2654" s="431"/>
      <c r="H2654" s="430"/>
      <c r="I2654" s="432"/>
      <c r="J2654" s="433"/>
      <c r="K2654" s="437">
        <f t="shared" si="714"/>
        <v>0</v>
      </c>
      <c r="L2654" s="435" t="s">
        <v>614</v>
      </c>
      <c r="M2654" s="576"/>
      <c r="N2654" s="576">
        <f t="shared" si="716"/>
        <v>0</v>
      </c>
      <c r="O2654" s="577">
        <f t="shared" si="711"/>
        <v>0</v>
      </c>
      <c r="P2654" s="578">
        <f t="shared" si="712"/>
        <v>0</v>
      </c>
      <c r="Q2654" s="765"/>
      <c r="R2654" s="576">
        <f t="shared" si="705"/>
        <v>0</v>
      </c>
      <c r="S2654" s="576">
        <f t="shared" si="705"/>
        <v>0</v>
      </c>
      <c r="T2654" s="577">
        <f t="shared" si="709"/>
        <v>0</v>
      </c>
      <c r="U2654" s="578">
        <f t="shared" si="710"/>
        <v>0</v>
      </c>
      <c r="V2654" s="579"/>
      <c r="W2654" s="566"/>
      <c r="X2654" s="586" t="str">
        <f t="shared" si="703"/>
        <v/>
      </c>
      <c r="Y2654" s="586" t="str">
        <f t="shared" si="715"/>
        <v/>
      </c>
      <c r="Z2654" s="586" t="str">
        <f t="shared" si="701"/>
        <v/>
      </c>
    </row>
    <row r="2655" spans="1:26" ht="12" hidden="1" thickBot="1" x14ac:dyDescent="0.25">
      <c r="A2655" s="652" t="s">
        <v>187</v>
      </c>
      <c r="B2655" s="572" t="s">
        <v>187</v>
      </c>
      <c r="C2655" s="573" t="s">
        <v>187</v>
      </c>
      <c r="D2655" s="580"/>
      <c r="E2655" s="575"/>
      <c r="F2655" s="436"/>
      <c r="G2655" s="431"/>
      <c r="H2655" s="430"/>
      <c r="I2655" s="432"/>
      <c r="J2655" s="433"/>
      <c r="K2655" s="437">
        <f t="shared" si="714"/>
        <v>0</v>
      </c>
      <c r="L2655" s="435" t="s">
        <v>614</v>
      </c>
      <c r="M2655" s="576"/>
      <c r="N2655" s="576">
        <f t="shared" si="716"/>
        <v>0</v>
      </c>
      <c r="O2655" s="577">
        <f t="shared" si="711"/>
        <v>0</v>
      </c>
      <c r="P2655" s="578">
        <f t="shared" si="712"/>
        <v>0</v>
      </c>
      <c r="Q2655" s="765"/>
      <c r="R2655" s="576">
        <f t="shared" si="705"/>
        <v>0</v>
      </c>
      <c r="S2655" s="576">
        <f t="shared" si="705"/>
        <v>0</v>
      </c>
      <c r="T2655" s="577">
        <f t="shared" si="709"/>
        <v>0</v>
      </c>
      <c r="U2655" s="578">
        <f t="shared" si="710"/>
        <v>0</v>
      </c>
      <c r="V2655" s="579"/>
      <c r="W2655" s="566"/>
      <c r="X2655" s="586" t="str">
        <f t="shared" si="703"/>
        <v/>
      </c>
      <c r="Y2655" s="586" t="str">
        <f t="shared" si="715"/>
        <v/>
      </c>
      <c r="Z2655" s="586" t="str">
        <f t="shared" si="701"/>
        <v/>
      </c>
    </row>
    <row r="2656" spans="1:26" ht="12" hidden="1" thickBot="1" x14ac:dyDescent="0.25">
      <c r="A2656" s="652" t="s">
        <v>187</v>
      </c>
      <c r="B2656" s="572" t="s">
        <v>187</v>
      </c>
      <c r="C2656" s="573" t="s">
        <v>187</v>
      </c>
      <c r="D2656" s="580"/>
      <c r="E2656" s="575"/>
      <c r="F2656" s="436"/>
      <c r="G2656" s="431"/>
      <c r="H2656" s="430"/>
      <c r="I2656" s="432"/>
      <c r="J2656" s="433"/>
      <c r="K2656" s="437">
        <f t="shared" si="714"/>
        <v>0</v>
      </c>
      <c r="L2656" s="435" t="s">
        <v>614</v>
      </c>
      <c r="M2656" s="576"/>
      <c r="N2656" s="576">
        <f t="shared" si="716"/>
        <v>0</v>
      </c>
      <c r="O2656" s="577">
        <f t="shared" si="711"/>
        <v>0</v>
      </c>
      <c r="P2656" s="578">
        <f t="shared" si="712"/>
        <v>0</v>
      </c>
      <c r="Q2656" s="765"/>
      <c r="R2656" s="576">
        <f t="shared" si="705"/>
        <v>0</v>
      </c>
      <c r="S2656" s="576">
        <f t="shared" si="705"/>
        <v>0</v>
      </c>
      <c r="T2656" s="577">
        <f t="shared" si="709"/>
        <v>0</v>
      </c>
      <c r="U2656" s="578">
        <f t="shared" si="710"/>
        <v>0</v>
      </c>
      <c r="V2656" s="579"/>
      <c r="W2656" s="566"/>
      <c r="X2656" s="586" t="str">
        <f t="shared" si="703"/>
        <v/>
      </c>
      <c r="Y2656" s="586" t="str">
        <f t="shared" si="715"/>
        <v/>
      </c>
      <c r="Z2656" s="586" t="str">
        <f t="shared" si="701"/>
        <v/>
      </c>
    </row>
    <row r="2657" spans="1:26" ht="12" hidden="1" thickBot="1" x14ac:dyDescent="0.25">
      <c r="A2657" s="652" t="s">
        <v>187</v>
      </c>
      <c r="B2657" s="572" t="s">
        <v>187</v>
      </c>
      <c r="C2657" s="573" t="s">
        <v>187</v>
      </c>
      <c r="D2657" s="580"/>
      <c r="E2657" s="575"/>
      <c r="F2657" s="436"/>
      <c r="G2657" s="431"/>
      <c r="H2657" s="430"/>
      <c r="I2657" s="432"/>
      <c r="J2657" s="433"/>
      <c r="K2657" s="437">
        <f t="shared" si="714"/>
        <v>0</v>
      </c>
      <c r="L2657" s="435" t="s">
        <v>614</v>
      </c>
      <c r="M2657" s="576"/>
      <c r="N2657" s="576">
        <f t="shared" si="716"/>
        <v>0</v>
      </c>
      <c r="O2657" s="577">
        <f t="shared" si="711"/>
        <v>0</v>
      </c>
      <c r="P2657" s="578">
        <f t="shared" si="712"/>
        <v>0</v>
      </c>
      <c r="Q2657" s="765"/>
      <c r="R2657" s="576">
        <f t="shared" si="705"/>
        <v>0</v>
      </c>
      <c r="S2657" s="576">
        <f t="shared" si="705"/>
        <v>0</v>
      </c>
      <c r="T2657" s="577">
        <f t="shared" si="709"/>
        <v>0</v>
      </c>
      <c r="U2657" s="578">
        <f t="shared" si="710"/>
        <v>0</v>
      </c>
      <c r="V2657" s="579"/>
      <c r="W2657" s="566"/>
      <c r="X2657" s="586" t="str">
        <f t="shared" si="703"/>
        <v/>
      </c>
      <c r="Y2657" s="586" t="str">
        <f t="shared" si="715"/>
        <v/>
      </c>
      <c r="Z2657" s="586" t="str">
        <f t="shared" si="701"/>
        <v/>
      </c>
    </row>
    <row r="2658" spans="1:26" ht="12" hidden="1" thickBot="1" x14ac:dyDescent="0.25">
      <c r="A2658" s="652" t="s">
        <v>187</v>
      </c>
      <c r="B2658" s="572" t="s">
        <v>187</v>
      </c>
      <c r="C2658" s="573" t="s">
        <v>187</v>
      </c>
      <c r="D2658" s="580"/>
      <c r="E2658" s="575"/>
      <c r="F2658" s="436"/>
      <c r="G2658" s="431"/>
      <c r="H2658" s="430"/>
      <c r="I2658" s="432"/>
      <c r="J2658" s="433"/>
      <c r="K2658" s="437">
        <f t="shared" si="714"/>
        <v>0</v>
      </c>
      <c r="L2658" s="435" t="s">
        <v>614</v>
      </c>
      <c r="M2658" s="576"/>
      <c r="N2658" s="576">
        <f t="shared" si="716"/>
        <v>0</v>
      </c>
      <c r="O2658" s="577">
        <f t="shared" si="711"/>
        <v>0</v>
      </c>
      <c r="P2658" s="578">
        <f t="shared" si="712"/>
        <v>0</v>
      </c>
      <c r="Q2658" s="765"/>
      <c r="R2658" s="576">
        <f t="shared" si="705"/>
        <v>0</v>
      </c>
      <c r="S2658" s="576">
        <f t="shared" si="705"/>
        <v>0</v>
      </c>
      <c r="T2658" s="577">
        <f t="shared" si="709"/>
        <v>0</v>
      </c>
      <c r="U2658" s="578">
        <f t="shared" si="710"/>
        <v>0</v>
      </c>
      <c r="V2658" s="579"/>
      <c r="W2658" s="566"/>
      <c r="X2658" s="586" t="str">
        <f t="shared" si="703"/>
        <v/>
      </c>
      <c r="Y2658" s="586" t="str">
        <f t="shared" si="715"/>
        <v/>
      </c>
      <c r="Z2658" s="586" t="str">
        <f t="shared" si="701"/>
        <v/>
      </c>
    </row>
    <row r="2659" spans="1:26" ht="12" hidden="1" thickBot="1" x14ac:dyDescent="0.25">
      <c r="A2659" s="652" t="s">
        <v>187</v>
      </c>
      <c r="B2659" s="572" t="s">
        <v>187</v>
      </c>
      <c r="C2659" s="573" t="s">
        <v>187</v>
      </c>
      <c r="D2659" s="580"/>
      <c r="E2659" s="575"/>
      <c r="F2659" s="436"/>
      <c r="G2659" s="431"/>
      <c r="H2659" s="430"/>
      <c r="I2659" s="432"/>
      <c r="J2659" s="433"/>
      <c r="K2659" s="437">
        <f t="shared" si="714"/>
        <v>0</v>
      </c>
      <c r="L2659" s="435" t="s">
        <v>614</v>
      </c>
      <c r="M2659" s="576"/>
      <c r="N2659" s="576">
        <f t="shared" si="716"/>
        <v>0</v>
      </c>
      <c r="O2659" s="577">
        <f t="shared" si="711"/>
        <v>0</v>
      </c>
      <c r="P2659" s="578">
        <f t="shared" si="712"/>
        <v>0</v>
      </c>
      <c r="Q2659" s="765"/>
      <c r="R2659" s="576">
        <f t="shared" si="705"/>
        <v>0</v>
      </c>
      <c r="S2659" s="576">
        <f t="shared" si="705"/>
        <v>0</v>
      </c>
      <c r="T2659" s="577">
        <f t="shared" si="709"/>
        <v>0</v>
      </c>
      <c r="U2659" s="578">
        <f t="shared" si="710"/>
        <v>0</v>
      </c>
      <c r="V2659" s="579"/>
      <c r="W2659" s="566"/>
      <c r="X2659" s="586" t="str">
        <f t="shared" si="703"/>
        <v/>
      </c>
      <c r="Y2659" s="586" t="str">
        <f t="shared" si="715"/>
        <v/>
      </c>
      <c r="Z2659" s="586" t="str">
        <f t="shared" si="701"/>
        <v/>
      </c>
    </row>
    <row r="2660" spans="1:26" ht="12" hidden="1" thickBot="1" x14ac:dyDescent="0.25">
      <c r="A2660" s="652" t="s">
        <v>187</v>
      </c>
      <c r="B2660" s="572" t="s">
        <v>187</v>
      </c>
      <c r="C2660" s="573" t="s">
        <v>187</v>
      </c>
      <c r="D2660" s="580"/>
      <c r="E2660" s="575"/>
      <c r="F2660" s="436"/>
      <c r="G2660" s="431"/>
      <c r="H2660" s="430"/>
      <c r="I2660" s="432"/>
      <c r="J2660" s="433"/>
      <c r="K2660" s="437">
        <f t="shared" si="714"/>
        <v>0</v>
      </c>
      <c r="L2660" s="435" t="s">
        <v>614</v>
      </c>
      <c r="M2660" s="576"/>
      <c r="N2660" s="576">
        <f t="shared" si="716"/>
        <v>0</v>
      </c>
      <c r="O2660" s="577">
        <f t="shared" si="711"/>
        <v>0</v>
      </c>
      <c r="P2660" s="578">
        <f t="shared" si="712"/>
        <v>0</v>
      </c>
      <c r="Q2660" s="765"/>
      <c r="R2660" s="576">
        <f t="shared" si="705"/>
        <v>0</v>
      </c>
      <c r="S2660" s="576">
        <f t="shared" si="705"/>
        <v>0</v>
      </c>
      <c r="T2660" s="577">
        <f t="shared" si="709"/>
        <v>0</v>
      </c>
      <c r="U2660" s="578">
        <f t="shared" si="710"/>
        <v>0</v>
      </c>
      <c r="V2660" s="579"/>
      <c r="W2660" s="566"/>
      <c r="X2660" s="586" t="str">
        <f t="shared" si="703"/>
        <v/>
      </c>
      <c r="Y2660" s="586" t="str">
        <f t="shared" si="715"/>
        <v/>
      </c>
      <c r="Z2660" s="586" t="str">
        <f t="shared" si="701"/>
        <v/>
      </c>
    </row>
    <row r="2661" spans="1:26" ht="12" hidden="1" thickBot="1" x14ac:dyDescent="0.25">
      <c r="A2661" s="652" t="s">
        <v>187</v>
      </c>
      <c r="B2661" s="572" t="s">
        <v>187</v>
      </c>
      <c r="C2661" s="573" t="s">
        <v>187</v>
      </c>
      <c r="D2661" s="583"/>
      <c r="E2661" s="575"/>
      <c r="F2661" s="436"/>
      <c r="G2661" s="431"/>
      <c r="H2661" s="430"/>
      <c r="I2661" s="432"/>
      <c r="J2661" s="433"/>
      <c r="K2661" s="437">
        <f t="shared" si="714"/>
        <v>0</v>
      </c>
      <c r="L2661" s="435" t="s">
        <v>614</v>
      </c>
      <c r="M2661" s="576"/>
      <c r="N2661" s="576">
        <f t="shared" si="716"/>
        <v>0</v>
      </c>
      <c r="O2661" s="577">
        <f t="shared" si="711"/>
        <v>0</v>
      </c>
      <c r="P2661" s="578">
        <f t="shared" si="712"/>
        <v>0</v>
      </c>
      <c r="Q2661" s="765"/>
      <c r="R2661" s="576">
        <f t="shared" si="705"/>
        <v>0</v>
      </c>
      <c r="S2661" s="576">
        <f t="shared" si="705"/>
        <v>0</v>
      </c>
      <c r="T2661" s="577">
        <f t="shared" si="709"/>
        <v>0</v>
      </c>
      <c r="U2661" s="578">
        <f t="shared" si="710"/>
        <v>0</v>
      </c>
      <c r="V2661" s="579"/>
      <c r="W2661" s="566"/>
      <c r="X2661" s="586" t="str">
        <f t="shared" si="703"/>
        <v/>
      </c>
      <c r="Y2661" s="586" t="str">
        <f t="shared" si="715"/>
        <v/>
      </c>
      <c r="Z2661" s="586" t="str">
        <f t="shared" si="701"/>
        <v/>
      </c>
    </row>
    <row r="2662" spans="1:26" ht="45.75" thickBot="1" x14ac:dyDescent="0.25">
      <c r="A2662" s="652" t="s">
        <v>187</v>
      </c>
      <c r="B2662" s="664" t="s">
        <v>595</v>
      </c>
      <c r="C2662" s="665"/>
      <c r="D2662" s="666" t="s">
        <v>1719</v>
      </c>
      <c r="E2662" s="724"/>
      <c r="F2662" s="632"/>
      <c r="G2662" s="633"/>
      <c r="H2662" s="634"/>
      <c r="I2662" s="409"/>
      <c r="J2662" s="409"/>
      <c r="K2662" s="409"/>
      <c r="L2662" s="409" t="s">
        <v>614</v>
      </c>
      <c r="M2662" s="634"/>
      <c r="N2662" s="797"/>
      <c r="O2662" s="409">
        <f t="shared" si="711"/>
        <v>0</v>
      </c>
      <c r="P2662" s="635">
        <f t="shared" si="712"/>
        <v>0</v>
      </c>
      <c r="Q2662" s="635">
        <f>SUM(P2663:P2707)</f>
        <v>1330.18</v>
      </c>
      <c r="R2662" s="634"/>
      <c r="S2662" s="409"/>
      <c r="T2662" s="409">
        <f t="shared" si="709"/>
        <v>0</v>
      </c>
      <c r="U2662" s="635">
        <f t="shared" si="710"/>
        <v>0</v>
      </c>
      <c r="V2662" s="636">
        <f>SUM(U2663:U2707)</f>
        <v>1330.18</v>
      </c>
      <c r="W2662" s="637" t="str">
        <f>IF(OR(Q2662&gt;0,V2662&gt;0),"X","")</f>
        <v>X</v>
      </c>
      <c r="X2662" s="586" t="str">
        <f t="shared" si="703"/>
        <v>x</v>
      </c>
      <c r="Y2662" s="586" t="str">
        <f t="shared" si="715"/>
        <v>x</v>
      </c>
      <c r="Z2662" s="586" t="str">
        <f t="shared" si="701"/>
        <v>x</v>
      </c>
    </row>
    <row r="2663" spans="1:26" s="567" customFormat="1" hidden="1" x14ac:dyDescent="0.2">
      <c r="A2663" s="652" t="s">
        <v>187</v>
      </c>
      <c r="B2663" s="644" t="s">
        <v>641</v>
      </c>
      <c r="C2663" s="645" t="s">
        <v>612</v>
      </c>
      <c r="D2663" s="422" t="s">
        <v>596</v>
      </c>
      <c r="E2663" s="423"/>
      <c r="F2663" s="424">
        <v>0</v>
      </c>
      <c r="G2663" s="425">
        <v>0</v>
      </c>
      <c r="H2663" s="651">
        <v>0</v>
      </c>
      <c r="I2663" s="420">
        <v>116.98</v>
      </c>
      <c r="J2663" s="420">
        <f>IF(ISBLANK(I2663),"",SUM(H2663:I2663))</f>
        <v>116.98</v>
      </c>
      <c r="K2663" s="421">
        <f t="shared" ref="K2663:K2675" si="717">IF(ISBLANK(I2663),0,ROUND(J2663*(1+$F$10)*(1+$F$11*E2663),2))</f>
        <v>138.97999999999999</v>
      </c>
      <c r="L2663" s="647" t="s">
        <v>21</v>
      </c>
      <c r="M2663" s="576"/>
      <c r="N2663" s="576">
        <f t="shared" si="716"/>
        <v>0</v>
      </c>
      <c r="O2663" s="577">
        <f t="shared" si="711"/>
        <v>0</v>
      </c>
      <c r="P2663" s="578">
        <f t="shared" si="712"/>
        <v>0</v>
      </c>
      <c r="Q2663" s="765"/>
      <c r="R2663" s="576">
        <f t="shared" si="705"/>
        <v>0</v>
      </c>
      <c r="S2663" s="576">
        <f t="shared" si="705"/>
        <v>0</v>
      </c>
      <c r="T2663" s="577">
        <f t="shared" si="709"/>
        <v>0</v>
      </c>
      <c r="U2663" s="578">
        <f t="shared" si="710"/>
        <v>0</v>
      </c>
      <c r="V2663" s="579"/>
      <c r="W2663" s="566"/>
      <c r="X2663" s="586" t="str">
        <f t="shared" si="703"/>
        <v/>
      </c>
      <c r="Y2663" s="586" t="str">
        <f t="shared" si="715"/>
        <v/>
      </c>
      <c r="Z2663" s="586" t="str">
        <f t="shared" si="701"/>
        <v/>
      </c>
    </row>
    <row r="2664" spans="1:26" s="567" customFormat="1" hidden="1" x14ac:dyDescent="0.2">
      <c r="A2664" s="652" t="s">
        <v>187</v>
      </c>
      <c r="B2664" s="644" t="s">
        <v>641</v>
      </c>
      <c r="C2664" s="645" t="s">
        <v>612</v>
      </c>
      <c r="D2664" s="422" t="s">
        <v>597</v>
      </c>
      <c r="E2664" s="423"/>
      <c r="F2664" s="424">
        <v>0</v>
      </c>
      <c r="G2664" s="425">
        <v>0</v>
      </c>
      <c r="H2664" s="651">
        <v>0</v>
      </c>
      <c r="I2664" s="420">
        <v>116.98</v>
      </c>
      <c r="J2664" s="420">
        <f t="shared" ref="J2664:J2671" si="718">IF(ISBLANK(I2664),"",SUM(H2664:I2664))</f>
        <v>116.98</v>
      </c>
      <c r="K2664" s="421">
        <f t="shared" si="717"/>
        <v>138.97999999999999</v>
      </c>
      <c r="L2664" s="647" t="s">
        <v>21</v>
      </c>
      <c r="M2664" s="576"/>
      <c r="N2664" s="576">
        <f t="shared" si="716"/>
        <v>0</v>
      </c>
      <c r="O2664" s="577">
        <f t="shared" si="711"/>
        <v>0</v>
      </c>
      <c r="P2664" s="578">
        <f t="shared" si="712"/>
        <v>0</v>
      </c>
      <c r="Q2664" s="765"/>
      <c r="R2664" s="576">
        <f t="shared" si="705"/>
        <v>0</v>
      </c>
      <c r="S2664" s="576">
        <f t="shared" si="705"/>
        <v>0</v>
      </c>
      <c r="T2664" s="577">
        <f t="shared" si="709"/>
        <v>0</v>
      </c>
      <c r="U2664" s="578">
        <f t="shared" si="710"/>
        <v>0</v>
      </c>
      <c r="V2664" s="579"/>
      <c r="W2664" s="566"/>
      <c r="X2664" s="586" t="str">
        <f t="shared" si="703"/>
        <v/>
      </c>
      <c r="Y2664" s="586" t="str">
        <f t="shared" si="715"/>
        <v/>
      </c>
      <c r="Z2664" s="586" t="str">
        <f t="shared" ref="Z2664:Z2707" si="719">IF(W2664="X","x",IF(U2664&gt;0,"x",""))</f>
        <v/>
      </c>
    </row>
    <row r="2665" spans="1:26" s="567" customFormat="1" ht="22.5" hidden="1" x14ac:dyDescent="0.2">
      <c r="A2665" s="652" t="s">
        <v>187</v>
      </c>
      <c r="B2665" s="644" t="s">
        <v>641</v>
      </c>
      <c r="C2665" s="645" t="s">
        <v>612</v>
      </c>
      <c r="D2665" s="422" t="s">
        <v>598</v>
      </c>
      <c r="E2665" s="423"/>
      <c r="F2665" s="424">
        <v>0</v>
      </c>
      <c r="G2665" s="425"/>
      <c r="H2665" s="651"/>
      <c r="I2665" s="420">
        <v>116.98</v>
      </c>
      <c r="J2665" s="420">
        <f t="shared" si="718"/>
        <v>116.98</v>
      </c>
      <c r="K2665" s="421">
        <f t="shared" si="717"/>
        <v>138.97999999999999</v>
      </c>
      <c r="L2665" s="647" t="s">
        <v>21</v>
      </c>
      <c r="M2665" s="576"/>
      <c r="N2665" s="576">
        <f t="shared" si="716"/>
        <v>0</v>
      </c>
      <c r="O2665" s="577">
        <f t="shared" si="711"/>
        <v>0</v>
      </c>
      <c r="P2665" s="578">
        <f t="shared" si="712"/>
        <v>0</v>
      </c>
      <c r="Q2665" s="765"/>
      <c r="R2665" s="576">
        <f t="shared" si="705"/>
        <v>0</v>
      </c>
      <c r="S2665" s="576">
        <f t="shared" si="705"/>
        <v>0</v>
      </c>
      <c r="T2665" s="577">
        <f t="shared" si="709"/>
        <v>0</v>
      </c>
      <c r="U2665" s="578">
        <f t="shared" si="710"/>
        <v>0</v>
      </c>
      <c r="V2665" s="579"/>
      <c r="W2665" s="566"/>
      <c r="X2665" s="586" t="str">
        <f t="shared" si="703"/>
        <v/>
      </c>
      <c r="Y2665" s="586" t="str">
        <f t="shared" si="715"/>
        <v/>
      </c>
      <c r="Z2665" s="586" t="str">
        <f t="shared" si="719"/>
        <v/>
      </c>
    </row>
    <row r="2666" spans="1:26" s="567" customFormat="1" hidden="1" x14ac:dyDescent="0.2">
      <c r="A2666" s="652" t="s">
        <v>187</v>
      </c>
      <c r="B2666" s="644" t="s">
        <v>641</v>
      </c>
      <c r="C2666" s="645" t="s">
        <v>612</v>
      </c>
      <c r="D2666" s="422" t="s">
        <v>599</v>
      </c>
      <c r="E2666" s="423"/>
      <c r="F2666" s="424">
        <v>0</v>
      </c>
      <c r="G2666" s="425"/>
      <c r="H2666" s="651"/>
      <c r="I2666" s="420">
        <v>116.98</v>
      </c>
      <c r="J2666" s="420">
        <f t="shared" si="718"/>
        <v>116.98</v>
      </c>
      <c r="K2666" s="421">
        <f t="shared" si="717"/>
        <v>138.97999999999999</v>
      </c>
      <c r="L2666" s="647" t="s">
        <v>21</v>
      </c>
      <c r="M2666" s="576"/>
      <c r="N2666" s="576">
        <f t="shared" si="716"/>
        <v>0</v>
      </c>
      <c r="O2666" s="577">
        <f t="shared" si="711"/>
        <v>0</v>
      </c>
      <c r="P2666" s="578">
        <f t="shared" si="712"/>
        <v>0</v>
      </c>
      <c r="Q2666" s="765"/>
      <c r="R2666" s="576">
        <f t="shared" si="705"/>
        <v>0</v>
      </c>
      <c r="S2666" s="576">
        <f t="shared" si="705"/>
        <v>0</v>
      </c>
      <c r="T2666" s="577">
        <f t="shared" si="709"/>
        <v>0</v>
      </c>
      <c r="U2666" s="578">
        <f t="shared" si="710"/>
        <v>0</v>
      </c>
      <c r="V2666" s="579"/>
      <c r="W2666" s="566"/>
      <c r="X2666" s="586" t="str">
        <f t="shared" si="703"/>
        <v/>
      </c>
      <c r="Y2666" s="586" t="str">
        <f t="shared" si="715"/>
        <v/>
      </c>
      <c r="Z2666" s="586" t="str">
        <f t="shared" si="719"/>
        <v/>
      </c>
    </row>
    <row r="2667" spans="1:26" s="567" customFormat="1" hidden="1" x14ac:dyDescent="0.2">
      <c r="A2667" s="652" t="s">
        <v>187</v>
      </c>
      <c r="B2667" s="644" t="s">
        <v>642</v>
      </c>
      <c r="C2667" s="645" t="s">
        <v>612</v>
      </c>
      <c r="D2667" s="422" t="s">
        <v>600</v>
      </c>
      <c r="E2667" s="423"/>
      <c r="F2667" s="424"/>
      <c r="G2667" s="425"/>
      <c r="H2667" s="651"/>
      <c r="I2667" s="420">
        <v>119.27</v>
      </c>
      <c r="J2667" s="420">
        <f t="shared" si="718"/>
        <v>119.27</v>
      </c>
      <c r="K2667" s="421">
        <f t="shared" si="717"/>
        <v>141.69999999999999</v>
      </c>
      <c r="L2667" s="647" t="s">
        <v>21</v>
      </c>
      <c r="M2667" s="576"/>
      <c r="N2667" s="576">
        <f t="shared" si="716"/>
        <v>0</v>
      </c>
      <c r="O2667" s="577">
        <f t="shared" si="711"/>
        <v>0</v>
      </c>
      <c r="P2667" s="578">
        <f t="shared" si="712"/>
        <v>0</v>
      </c>
      <c r="Q2667" s="765"/>
      <c r="R2667" s="576">
        <f t="shared" si="705"/>
        <v>0</v>
      </c>
      <c r="S2667" s="576">
        <f t="shared" si="705"/>
        <v>0</v>
      </c>
      <c r="T2667" s="577">
        <f t="shared" si="709"/>
        <v>0</v>
      </c>
      <c r="U2667" s="578">
        <f t="shared" si="710"/>
        <v>0</v>
      </c>
      <c r="V2667" s="579"/>
      <c r="W2667" s="566"/>
      <c r="X2667" s="586" t="str">
        <f t="shared" ref="X2667:X2707" si="720">IF(W2667="X","x",IF(W2667="xx","x",IF(W2667="xy","x",IF(W2667="y","x",IF(OR(P2667&gt;0,U2667&gt;0),"x","")))))</f>
        <v/>
      </c>
      <c r="Y2667" s="586" t="str">
        <f t="shared" si="715"/>
        <v/>
      </c>
      <c r="Z2667" s="586" t="str">
        <f t="shared" si="719"/>
        <v/>
      </c>
    </row>
    <row r="2668" spans="1:26" s="567" customFormat="1" x14ac:dyDescent="0.2">
      <c r="A2668" s="652" t="s">
        <v>187</v>
      </c>
      <c r="B2668" s="644" t="s">
        <v>601</v>
      </c>
      <c r="C2668" s="645" t="s">
        <v>643</v>
      </c>
      <c r="D2668" s="451" t="s">
        <v>602</v>
      </c>
      <c r="E2668" s="423"/>
      <c r="F2668" s="424"/>
      <c r="G2668" s="425"/>
      <c r="H2668" s="651"/>
      <c r="I2668" s="420">
        <v>78.64</v>
      </c>
      <c r="J2668" s="420">
        <f t="shared" si="718"/>
        <v>78.64</v>
      </c>
      <c r="K2668" s="421">
        <f t="shared" si="717"/>
        <v>93.43</v>
      </c>
      <c r="L2668" s="647" t="s">
        <v>21</v>
      </c>
      <c r="M2668" s="576">
        <v>4</v>
      </c>
      <c r="N2668" s="576">
        <f t="shared" si="716"/>
        <v>93.43</v>
      </c>
      <c r="O2668" s="577">
        <f t="shared" si="711"/>
        <v>373.72</v>
      </c>
      <c r="P2668" s="578">
        <f t="shared" si="712"/>
        <v>373.72</v>
      </c>
      <c r="Q2668" s="765"/>
      <c r="R2668" s="576">
        <f t="shared" si="705"/>
        <v>4</v>
      </c>
      <c r="S2668" s="576">
        <f t="shared" si="705"/>
        <v>93.43</v>
      </c>
      <c r="T2668" s="577">
        <f t="shared" si="709"/>
        <v>373.72</v>
      </c>
      <c r="U2668" s="578">
        <f t="shared" si="710"/>
        <v>373.72</v>
      </c>
      <c r="V2668" s="579"/>
      <c r="W2668" s="566"/>
      <c r="X2668" s="586" t="str">
        <f t="shared" si="720"/>
        <v>x</v>
      </c>
      <c r="Y2668" s="586" t="str">
        <f t="shared" si="715"/>
        <v>x</v>
      </c>
      <c r="Z2668" s="586" t="str">
        <f t="shared" si="719"/>
        <v>x</v>
      </c>
    </row>
    <row r="2669" spans="1:26" s="567" customFormat="1" hidden="1" x14ac:dyDescent="0.2">
      <c r="A2669" s="652" t="s">
        <v>187</v>
      </c>
      <c r="B2669" s="644" t="s">
        <v>603</v>
      </c>
      <c r="C2669" s="645" t="s">
        <v>643</v>
      </c>
      <c r="D2669" s="451" t="s">
        <v>604</v>
      </c>
      <c r="E2669" s="423"/>
      <c r="F2669" s="424"/>
      <c r="G2669" s="425"/>
      <c r="H2669" s="651"/>
      <c r="I2669" s="420">
        <v>46.05</v>
      </c>
      <c r="J2669" s="420">
        <f t="shared" si="718"/>
        <v>46.05</v>
      </c>
      <c r="K2669" s="421">
        <f t="shared" si="717"/>
        <v>54.71</v>
      </c>
      <c r="L2669" s="647" t="s">
        <v>21</v>
      </c>
      <c r="M2669" s="576"/>
      <c r="N2669" s="576">
        <f t="shared" si="716"/>
        <v>0</v>
      </c>
      <c r="O2669" s="577">
        <f t="shared" si="711"/>
        <v>0</v>
      </c>
      <c r="P2669" s="578">
        <f t="shared" si="712"/>
        <v>0</v>
      </c>
      <c r="Q2669" s="765"/>
      <c r="R2669" s="576">
        <f t="shared" si="705"/>
        <v>0</v>
      </c>
      <c r="S2669" s="576">
        <f t="shared" si="705"/>
        <v>0</v>
      </c>
      <c r="T2669" s="577">
        <f t="shared" si="709"/>
        <v>0</v>
      </c>
      <c r="U2669" s="578">
        <f t="shared" si="710"/>
        <v>0</v>
      </c>
      <c r="V2669" s="579"/>
      <c r="W2669" s="566"/>
      <c r="X2669" s="586" t="str">
        <f t="shared" si="720"/>
        <v/>
      </c>
      <c r="Y2669" s="586" t="str">
        <f t="shared" si="715"/>
        <v/>
      </c>
      <c r="Z2669" s="586" t="str">
        <f t="shared" si="719"/>
        <v/>
      </c>
    </row>
    <row r="2670" spans="1:26" s="567" customFormat="1" x14ac:dyDescent="0.2">
      <c r="A2670" s="652" t="s">
        <v>187</v>
      </c>
      <c r="B2670" s="644" t="s">
        <v>674</v>
      </c>
      <c r="C2670" s="645" t="s">
        <v>612</v>
      </c>
      <c r="D2670" s="451" t="s">
        <v>605</v>
      </c>
      <c r="E2670" s="423"/>
      <c r="F2670" s="424"/>
      <c r="G2670" s="425"/>
      <c r="H2670" s="651"/>
      <c r="I2670" s="420">
        <v>141.66</v>
      </c>
      <c r="J2670" s="420">
        <f t="shared" si="718"/>
        <v>141.66</v>
      </c>
      <c r="K2670" s="421">
        <f t="shared" si="717"/>
        <v>168.31</v>
      </c>
      <c r="L2670" s="647" t="s">
        <v>21</v>
      </c>
      <c r="M2670" s="576">
        <v>2</v>
      </c>
      <c r="N2670" s="576">
        <f t="shared" si="716"/>
        <v>168.31</v>
      </c>
      <c r="O2670" s="577">
        <f t="shared" si="711"/>
        <v>336.62</v>
      </c>
      <c r="P2670" s="578">
        <f t="shared" si="712"/>
        <v>336.62</v>
      </c>
      <c r="Q2670" s="765"/>
      <c r="R2670" s="576">
        <f t="shared" si="705"/>
        <v>2</v>
      </c>
      <c r="S2670" s="576">
        <f t="shared" si="705"/>
        <v>168.31</v>
      </c>
      <c r="T2670" s="577">
        <f t="shared" si="709"/>
        <v>336.62</v>
      </c>
      <c r="U2670" s="578">
        <f t="shared" si="710"/>
        <v>336.62</v>
      </c>
      <c r="V2670" s="579"/>
      <c r="W2670" s="566"/>
      <c r="X2670" s="586" t="str">
        <f t="shared" si="720"/>
        <v>x</v>
      </c>
      <c r="Y2670" s="586" t="str">
        <f t="shared" si="715"/>
        <v>x</v>
      </c>
      <c r="Z2670" s="586" t="str">
        <f t="shared" si="719"/>
        <v>x</v>
      </c>
    </row>
    <row r="2671" spans="1:26" s="567" customFormat="1" x14ac:dyDescent="0.2">
      <c r="A2671" s="652" t="s">
        <v>187</v>
      </c>
      <c r="B2671" s="644" t="s">
        <v>606</v>
      </c>
      <c r="C2671" s="645" t="s">
        <v>643</v>
      </c>
      <c r="D2671" s="422" t="s">
        <v>607</v>
      </c>
      <c r="E2671" s="423"/>
      <c r="F2671" s="424"/>
      <c r="G2671" s="425"/>
      <c r="H2671" s="651"/>
      <c r="I2671" s="420">
        <v>82.87</v>
      </c>
      <c r="J2671" s="420">
        <f t="shared" si="718"/>
        <v>82.87</v>
      </c>
      <c r="K2671" s="421">
        <f t="shared" si="717"/>
        <v>98.46</v>
      </c>
      <c r="L2671" s="647" t="s">
        <v>21</v>
      </c>
      <c r="M2671" s="576">
        <v>2</v>
      </c>
      <c r="N2671" s="576">
        <f t="shared" si="716"/>
        <v>98.46</v>
      </c>
      <c r="O2671" s="577">
        <f t="shared" si="711"/>
        <v>196.92</v>
      </c>
      <c r="P2671" s="578">
        <f t="shared" si="712"/>
        <v>196.92</v>
      </c>
      <c r="Q2671" s="765"/>
      <c r="R2671" s="576">
        <f t="shared" si="705"/>
        <v>2</v>
      </c>
      <c r="S2671" s="576">
        <f t="shared" si="705"/>
        <v>98.46</v>
      </c>
      <c r="T2671" s="577">
        <f t="shared" si="709"/>
        <v>196.92</v>
      </c>
      <c r="U2671" s="578">
        <f t="shared" si="710"/>
        <v>196.92</v>
      </c>
      <c r="V2671" s="579"/>
      <c r="W2671" s="566"/>
      <c r="X2671" s="586" t="str">
        <f t="shared" si="720"/>
        <v>x</v>
      </c>
      <c r="Y2671" s="586" t="str">
        <f t="shared" si="715"/>
        <v>x</v>
      </c>
      <c r="Z2671" s="586" t="str">
        <f t="shared" si="719"/>
        <v>x</v>
      </c>
    </row>
    <row r="2672" spans="1:26" s="567" customFormat="1" x14ac:dyDescent="0.2">
      <c r="A2672" s="652" t="s">
        <v>187</v>
      </c>
      <c r="B2672" s="644" t="s">
        <v>608</v>
      </c>
      <c r="C2672" s="645" t="s">
        <v>643</v>
      </c>
      <c r="D2672" s="422" t="s">
        <v>609</v>
      </c>
      <c r="E2672" s="423"/>
      <c r="F2672" s="424"/>
      <c r="G2672" s="425"/>
      <c r="H2672" s="651"/>
      <c r="I2672" s="420">
        <v>67.53</v>
      </c>
      <c r="J2672" s="420">
        <f>IF(ISBLANK(I2672),"",SUM(H2672:I2672))</f>
        <v>67.53</v>
      </c>
      <c r="K2672" s="421">
        <f t="shared" si="717"/>
        <v>80.23</v>
      </c>
      <c r="L2672" s="647" t="s">
        <v>21</v>
      </c>
      <c r="M2672" s="576">
        <v>2</v>
      </c>
      <c r="N2672" s="576">
        <f t="shared" si="716"/>
        <v>80.23</v>
      </c>
      <c r="O2672" s="577">
        <f t="shared" si="711"/>
        <v>160.46</v>
      </c>
      <c r="P2672" s="578">
        <f t="shared" si="712"/>
        <v>160.46</v>
      </c>
      <c r="Q2672" s="765"/>
      <c r="R2672" s="576">
        <f t="shared" si="705"/>
        <v>2</v>
      </c>
      <c r="S2672" s="576">
        <f t="shared" si="705"/>
        <v>80.23</v>
      </c>
      <c r="T2672" s="577">
        <f t="shared" si="709"/>
        <v>160.46</v>
      </c>
      <c r="U2672" s="578">
        <f t="shared" si="710"/>
        <v>160.46</v>
      </c>
      <c r="V2672" s="579"/>
      <c r="W2672" s="566"/>
      <c r="X2672" s="586" t="str">
        <f>IF(W2672="X","x",IF(W2672="xx","x",IF(W2672="xy","x",IF(W2672="y","x",IF(OR(P2672&gt;0,U2672&gt;0),"x","")))))</f>
        <v>x</v>
      </c>
      <c r="Y2672" s="586" t="str">
        <f>IF(W2672="X","x",IF(W2672="y","x",IF(W2672="xx","x",IF(U2672&gt;0,"x",""))))</f>
        <v>x</v>
      </c>
      <c r="Z2672" s="586" t="str">
        <f>IF(W2672="X","x",IF(U2672&gt;0,"x",""))</f>
        <v>x</v>
      </c>
    </row>
    <row r="2673" spans="1:26" s="567" customFormat="1" hidden="1" x14ac:dyDescent="0.2">
      <c r="A2673" s="652" t="s">
        <v>187</v>
      </c>
      <c r="B2673" s="644" t="s">
        <v>1518</v>
      </c>
      <c r="C2673" s="645" t="s">
        <v>643</v>
      </c>
      <c r="D2673" s="422" t="s">
        <v>1720</v>
      </c>
      <c r="E2673" s="423"/>
      <c r="F2673" s="424"/>
      <c r="G2673" s="425"/>
      <c r="H2673" s="651"/>
      <c r="I2673" s="420">
        <v>182.39</v>
      </c>
      <c r="J2673" s="420">
        <f>IF(ISBLANK(I2673),"",SUM(H2673:I2673))</f>
        <v>182.39</v>
      </c>
      <c r="K2673" s="421">
        <f t="shared" si="717"/>
        <v>216.7</v>
      </c>
      <c r="L2673" s="647" t="s">
        <v>21</v>
      </c>
      <c r="M2673" s="576"/>
      <c r="N2673" s="576">
        <f t="shared" si="716"/>
        <v>0</v>
      </c>
      <c r="O2673" s="577">
        <f t="shared" si="711"/>
        <v>0</v>
      </c>
      <c r="P2673" s="578">
        <f t="shared" si="712"/>
        <v>0</v>
      </c>
      <c r="Q2673" s="765"/>
      <c r="R2673" s="576">
        <f t="shared" si="705"/>
        <v>0</v>
      </c>
      <c r="S2673" s="576">
        <f t="shared" si="705"/>
        <v>0</v>
      </c>
      <c r="T2673" s="577">
        <f t="shared" si="709"/>
        <v>0</v>
      </c>
      <c r="U2673" s="578">
        <f t="shared" si="710"/>
        <v>0</v>
      </c>
      <c r="V2673" s="579"/>
      <c r="W2673" s="566"/>
      <c r="X2673" s="586" t="str">
        <f t="shared" si="720"/>
        <v/>
      </c>
      <c r="Y2673" s="586" t="str">
        <f t="shared" si="715"/>
        <v/>
      </c>
      <c r="Z2673" s="586" t="str">
        <f t="shared" si="719"/>
        <v/>
      </c>
    </row>
    <row r="2674" spans="1:26" s="567" customFormat="1" ht="12" thickBot="1" x14ac:dyDescent="0.25">
      <c r="A2674" s="652" t="s">
        <v>187</v>
      </c>
      <c r="B2674" s="725" t="s">
        <v>645</v>
      </c>
      <c r="C2674" s="645" t="s">
        <v>612</v>
      </c>
      <c r="D2674" s="422" t="s">
        <v>1721</v>
      </c>
      <c r="E2674" s="423"/>
      <c r="F2674" s="424"/>
      <c r="G2674" s="425"/>
      <c r="H2674" s="651"/>
      <c r="I2674" s="420">
        <v>110.45</v>
      </c>
      <c r="J2674" s="420">
        <f>IF(ISBLANK(I2674),"",SUM(H2674:I2674))</f>
        <v>110.45</v>
      </c>
      <c r="K2674" s="421">
        <f t="shared" si="717"/>
        <v>131.22999999999999</v>
      </c>
      <c r="L2674" s="647" t="s">
        <v>21</v>
      </c>
      <c r="M2674" s="576">
        <v>2</v>
      </c>
      <c r="N2674" s="576">
        <f t="shared" si="716"/>
        <v>131.22999999999999</v>
      </c>
      <c r="O2674" s="577">
        <f>IF(ISBLANK(M2674),0,ROUND(K2674*M2674,2))</f>
        <v>262.45999999999998</v>
      </c>
      <c r="P2674" s="578">
        <f>IF(ISBLANK(N2674),0,ROUND(M2674*N2674,2))</f>
        <v>262.45999999999998</v>
      </c>
      <c r="Q2674" s="765"/>
      <c r="R2674" s="576">
        <f>M2674</f>
        <v>2</v>
      </c>
      <c r="S2674" s="576">
        <f t="shared" ref="S2674:S2675" si="721">N2674</f>
        <v>131.22999999999999</v>
      </c>
      <c r="T2674" s="577">
        <f>IF(ISBLANK(R2674),0,ROUND(K2674*R2674,2))</f>
        <v>262.45999999999998</v>
      </c>
      <c r="U2674" s="578">
        <f>IF(ISBLANK(R2674),0,ROUND(R2674*S2674,2))</f>
        <v>262.45999999999998</v>
      </c>
      <c r="V2674" s="579"/>
      <c r="W2674" s="566"/>
      <c r="X2674" s="586" t="str">
        <f t="shared" si="720"/>
        <v>x</v>
      </c>
      <c r="Y2674" s="586" t="str">
        <f t="shared" si="715"/>
        <v>x</v>
      </c>
      <c r="Z2674" s="586" t="str">
        <f t="shared" si="719"/>
        <v>x</v>
      </c>
    </row>
    <row r="2675" spans="1:26" s="567" customFormat="1" ht="12" hidden="1" thickBot="1" x14ac:dyDescent="0.25">
      <c r="A2675" s="652" t="s">
        <v>187</v>
      </c>
      <c r="B2675" s="644" t="s">
        <v>644</v>
      </c>
      <c r="C2675" s="645" t="s">
        <v>612</v>
      </c>
      <c r="D2675" s="422" t="s">
        <v>1722</v>
      </c>
      <c r="E2675" s="423"/>
      <c r="F2675" s="424"/>
      <c r="G2675" s="425"/>
      <c r="H2675" s="663"/>
      <c r="I2675" s="420">
        <v>4850.2</v>
      </c>
      <c r="J2675" s="420">
        <f>IF(ISBLANK(I2675),"",SUM(H2675:I2675))</f>
        <v>4850.2</v>
      </c>
      <c r="K2675" s="421">
        <f t="shared" si="717"/>
        <v>5762.52</v>
      </c>
      <c r="L2675" s="647" t="s">
        <v>611</v>
      </c>
      <c r="M2675" s="576"/>
      <c r="N2675" s="576">
        <f t="shared" si="716"/>
        <v>0</v>
      </c>
      <c r="O2675" s="577">
        <f>IF(ISBLANK(M2675),0,ROUND(K2675*M2675,2))</f>
        <v>0</v>
      </c>
      <c r="P2675" s="578">
        <f>IF(ISBLANK(N2675),0,ROUND(M2675*N2675,2))</f>
        <v>0</v>
      </c>
      <c r="Q2675" s="765"/>
      <c r="R2675" s="576">
        <f>M2675</f>
        <v>0</v>
      </c>
      <c r="S2675" s="576">
        <f t="shared" si="721"/>
        <v>0</v>
      </c>
      <c r="T2675" s="577">
        <f>IF(ISBLANK(R2675),0,ROUND(K2675*R2675,2))</f>
        <v>0</v>
      </c>
      <c r="U2675" s="578">
        <f>IF(ISBLANK(R2675),0,ROUND(R2675*S2675,2))</f>
        <v>0</v>
      </c>
      <c r="V2675" s="579"/>
      <c r="W2675" s="566"/>
      <c r="X2675" s="586" t="str">
        <f t="shared" si="720"/>
        <v/>
      </c>
      <c r="Y2675" s="586" t="str">
        <f t="shared" si="715"/>
        <v/>
      </c>
      <c r="Z2675" s="586" t="str">
        <f t="shared" si="719"/>
        <v/>
      </c>
    </row>
    <row r="2676" spans="1:26" ht="12" hidden="1" thickBot="1" x14ac:dyDescent="0.25">
      <c r="A2676" s="652" t="s">
        <v>187</v>
      </c>
      <c r="B2676" s="653" t="s">
        <v>187</v>
      </c>
      <c r="C2676" s="654"/>
      <c r="D2676" s="427" t="s">
        <v>610</v>
      </c>
      <c r="E2676" s="428"/>
      <c r="F2676" s="655"/>
      <c r="G2676" s="656"/>
      <c r="H2676" s="657"/>
      <c r="I2676" s="429"/>
      <c r="J2676" s="429"/>
      <c r="K2676" s="429"/>
      <c r="L2676" s="429" t="s">
        <v>614</v>
      </c>
      <c r="M2676" s="657"/>
      <c r="N2676" s="576">
        <f t="shared" si="716"/>
        <v>0</v>
      </c>
      <c r="O2676" s="429"/>
      <c r="P2676" s="658"/>
      <c r="Q2676" s="765"/>
      <c r="R2676" s="657"/>
      <c r="S2676" s="429"/>
      <c r="T2676" s="429"/>
      <c r="U2676" s="658"/>
      <c r="V2676" s="579"/>
      <c r="W2676" s="637" t="str">
        <f>IF(OR(SUM(P2677:P2707)&gt;0,SUM(U2677:U2707)&gt;0),"y","")</f>
        <v/>
      </c>
      <c r="X2676" s="586" t="str">
        <f t="shared" si="720"/>
        <v/>
      </c>
      <c r="Y2676" s="586" t="str">
        <f t="shared" si="715"/>
        <v/>
      </c>
      <c r="Z2676" s="586" t="str">
        <f t="shared" si="719"/>
        <v/>
      </c>
    </row>
    <row r="2677" spans="1:26" ht="12" hidden="1" thickBot="1" x14ac:dyDescent="0.25">
      <c r="A2677" s="652" t="s">
        <v>187</v>
      </c>
      <c r="B2677" s="572" t="s">
        <v>187</v>
      </c>
      <c r="C2677" s="573" t="s">
        <v>187</v>
      </c>
      <c r="D2677" s="574"/>
      <c r="E2677" s="575"/>
      <c r="F2677" s="436"/>
      <c r="G2677" s="431"/>
      <c r="H2677" s="430"/>
      <c r="I2677" s="432"/>
      <c r="J2677" s="433"/>
      <c r="K2677" s="437">
        <f>IF(ISBLANK(J2677),0,ROUND(J2677*(1+$F$10)*(1+$F$11*E2677),2))</f>
        <v>0</v>
      </c>
      <c r="L2677" s="435" t="s">
        <v>614</v>
      </c>
      <c r="M2677" s="587"/>
      <c r="N2677" s="576">
        <f t="shared" si="716"/>
        <v>0</v>
      </c>
      <c r="O2677" s="577">
        <f>IF(ISBLANK(M2677),0,ROUND(K2677*M2677,2))</f>
        <v>0</v>
      </c>
      <c r="P2677" s="578">
        <f t="shared" ref="P2677:P2707" si="722">IF(ISBLANK(N2677),0,ROUND(M2677*N2677,2))</f>
        <v>0</v>
      </c>
      <c r="Q2677" s="765"/>
      <c r="R2677" s="650">
        <f t="shared" ref="R2677:S2707" si="723">M2677</f>
        <v>0</v>
      </c>
      <c r="S2677" s="587">
        <f t="shared" si="723"/>
        <v>0</v>
      </c>
      <c r="T2677" s="577">
        <f t="shared" ref="T2677:T2707" si="724">IF(ISBLANK(R2677),0,ROUND(K2677*R2677,2))</f>
        <v>0</v>
      </c>
      <c r="U2677" s="578">
        <f t="shared" ref="U2677:U2707" si="725">IF(ISBLANK(R2677),0,ROUND(R2677*S2677,2))</f>
        <v>0</v>
      </c>
      <c r="V2677" s="579"/>
      <c r="W2677" s="566"/>
      <c r="X2677" s="586" t="str">
        <f t="shared" si="720"/>
        <v/>
      </c>
      <c r="Y2677" s="586" t="str">
        <f t="shared" si="715"/>
        <v/>
      </c>
      <c r="Z2677" s="586" t="str">
        <f t="shared" si="719"/>
        <v/>
      </c>
    </row>
    <row r="2678" spans="1:26" ht="12" hidden="1" thickBot="1" x14ac:dyDescent="0.25">
      <c r="A2678" s="652" t="s">
        <v>187</v>
      </c>
      <c r="B2678" s="589"/>
      <c r="C2678" s="573"/>
      <c r="D2678" s="574"/>
      <c r="E2678" s="575"/>
      <c r="F2678" s="436"/>
      <c r="G2678" s="431"/>
      <c r="H2678" s="430"/>
      <c r="I2678" s="432"/>
      <c r="J2678" s="433"/>
      <c r="K2678" s="437">
        <f>IF(ISBLANK(J2678),0,ROUND(J2678*(1+$F$10)*(1+$F$11*E2678),2))</f>
        <v>0</v>
      </c>
      <c r="L2678" s="435" t="s">
        <v>614</v>
      </c>
      <c r="M2678" s="576"/>
      <c r="N2678" s="576">
        <f t="shared" si="716"/>
        <v>0</v>
      </c>
      <c r="O2678" s="577">
        <f>IF(ISBLANK(M2678),0,ROUND(K2678*M2678,2))</f>
        <v>0</v>
      </c>
      <c r="P2678" s="578">
        <f t="shared" si="722"/>
        <v>0</v>
      </c>
      <c r="Q2678" s="765"/>
      <c r="R2678" s="576">
        <f t="shared" si="723"/>
        <v>0</v>
      </c>
      <c r="S2678" s="576">
        <f t="shared" si="723"/>
        <v>0</v>
      </c>
      <c r="T2678" s="577">
        <f t="shared" si="724"/>
        <v>0</v>
      </c>
      <c r="U2678" s="659">
        <f t="shared" si="725"/>
        <v>0</v>
      </c>
      <c r="V2678" s="579"/>
      <c r="W2678" s="566"/>
      <c r="X2678" s="586" t="str">
        <f t="shared" si="720"/>
        <v/>
      </c>
      <c r="Y2678" s="586" t="str">
        <f t="shared" si="715"/>
        <v/>
      </c>
      <c r="Z2678" s="586" t="str">
        <f t="shared" si="719"/>
        <v/>
      </c>
    </row>
    <row r="2679" spans="1:26" ht="12" hidden="1" thickBot="1" x14ac:dyDescent="0.25">
      <c r="A2679" s="652" t="s">
        <v>187</v>
      </c>
      <c r="B2679" s="589" t="s">
        <v>187</v>
      </c>
      <c r="C2679" s="573" t="s">
        <v>187</v>
      </c>
      <c r="D2679" s="580"/>
      <c r="E2679" s="575"/>
      <c r="F2679" s="436"/>
      <c r="G2679" s="431"/>
      <c r="H2679" s="430"/>
      <c r="I2679" s="432"/>
      <c r="J2679" s="433"/>
      <c r="K2679" s="437">
        <f>IF(ISBLANK(J2679),0,ROUND(J2679*(1+$F$10)*(1+$F$11*E2679),2))</f>
        <v>0</v>
      </c>
      <c r="L2679" s="435" t="s">
        <v>614</v>
      </c>
      <c r="M2679" s="576"/>
      <c r="N2679" s="576">
        <f t="shared" si="716"/>
        <v>0</v>
      </c>
      <c r="O2679" s="577">
        <f t="shared" ref="O2679:O2707" si="726">IF(ISBLANK(M2679),0,ROUND(K2679*M2679,2))</f>
        <v>0</v>
      </c>
      <c r="P2679" s="578">
        <f t="shared" si="722"/>
        <v>0</v>
      </c>
      <c r="Q2679" s="765"/>
      <c r="R2679" s="576">
        <f t="shared" si="723"/>
        <v>0</v>
      </c>
      <c r="S2679" s="576">
        <f t="shared" si="723"/>
        <v>0</v>
      </c>
      <c r="T2679" s="577">
        <f t="shared" si="724"/>
        <v>0</v>
      </c>
      <c r="U2679" s="578">
        <f t="shared" si="725"/>
        <v>0</v>
      </c>
      <c r="V2679" s="579"/>
      <c r="W2679" s="566"/>
      <c r="X2679" s="586" t="str">
        <f t="shared" si="720"/>
        <v/>
      </c>
      <c r="Y2679" s="586" t="str">
        <f t="shared" si="715"/>
        <v/>
      </c>
      <c r="Z2679" s="586" t="str">
        <f t="shared" si="719"/>
        <v/>
      </c>
    </row>
    <row r="2680" spans="1:26" ht="12" hidden="1" thickBot="1" x14ac:dyDescent="0.25">
      <c r="A2680" s="652" t="s">
        <v>187</v>
      </c>
      <c r="B2680" s="589" t="s">
        <v>187</v>
      </c>
      <c r="C2680" s="573" t="s">
        <v>187</v>
      </c>
      <c r="D2680" s="580"/>
      <c r="E2680" s="575"/>
      <c r="F2680" s="436"/>
      <c r="G2680" s="431"/>
      <c r="H2680" s="430"/>
      <c r="I2680" s="432"/>
      <c r="J2680" s="433"/>
      <c r="K2680" s="437">
        <f t="shared" ref="K2680:K2707" si="727">IF(ISBLANK(J2680),0,ROUND(J2680*(1+$F$10)*(1+$F$11*E2680),2))</f>
        <v>0</v>
      </c>
      <c r="L2680" s="435" t="s">
        <v>614</v>
      </c>
      <c r="M2680" s="576"/>
      <c r="N2680" s="576">
        <f t="shared" si="716"/>
        <v>0</v>
      </c>
      <c r="O2680" s="577">
        <f t="shared" si="726"/>
        <v>0</v>
      </c>
      <c r="P2680" s="578">
        <f t="shared" si="722"/>
        <v>0</v>
      </c>
      <c r="Q2680" s="765"/>
      <c r="R2680" s="576">
        <f t="shared" si="723"/>
        <v>0</v>
      </c>
      <c r="S2680" s="576">
        <f t="shared" si="723"/>
        <v>0</v>
      </c>
      <c r="T2680" s="577">
        <f t="shared" si="724"/>
        <v>0</v>
      </c>
      <c r="U2680" s="578">
        <f t="shared" si="725"/>
        <v>0</v>
      </c>
      <c r="V2680" s="579"/>
      <c r="W2680" s="566"/>
      <c r="X2680" s="586" t="str">
        <f t="shared" si="720"/>
        <v/>
      </c>
      <c r="Y2680" s="586" t="str">
        <f t="shared" si="715"/>
        <v/>
      </c>
      <c r="Z2680" s="586" t="str">
        <f t="shared" si="719"/>
        <v/>
      </c>
    </row>
    <row r="2681" spans="1:26" ht="12" hidden="1" thickBot="1" x14ac:dyDescent="0.25">
      <c r="A2681" s="652" t="s">
        <v>187</v>
      </c>
      <c r="B2681" s="589" t="s">
        <v>187</v>
      </c>
      <c r="C2681" s="573" t="s">
        <v>187</v>
      </c>
      <c r="D2681" s="580"/>
      <c r="E2681" s="575"/>
      <c r="F2681" s="436"/>
      <c r="G2681" s="431"/>
      <c r="H2681" s="430"/>
      <c r="I2681" s="432"/>
      <c r="J2681" s="433"/>
      <c r="K2681" s="437">
        <f t="shared" si="727"/>
        <v>0</v>
      </c>
      <c r="L2681" s="435" t="s">
        <v>614</v>
      </c>
      <c r="M2681" s="576"/>
      <c r="N2681" s="576">
        <f t="shared" si="716"/>
        <v>0</v>
      </c>
      <c r="O2681" s="577">
        <f t="shared" si="726"/>
        <v>0</v>
      </c>
      <c r="P2681" s="578">
        <f t="shared" si="722"/>
        <v>0</v>
      </c>
      <c r="Q2681" s="765"/>
      <c r="R2681" s="576">
        <f t="shared" si="723"/>
        <v>0</v>
      </c>
      <c r="S2681" s="576">
        <f t="shared" si="723"/>
        <v>0</v>
      </c>
      <c r="T2681" s="577">
        <f t="shared" si="724"/>
        <v>0</v>
      </c>
      <c r="U2681" s="578">
        <f t="shared" si="725"/>
        <v>0</v>
      </c>
      <c r="V2681" s="579"/>
      <c r="W2681" s="566"/>
      <c r="X2681" s="586" t="str">
        <f t="shared" si="720"/>
        <v/>
      </c>
      <c r="Y2681" s="586" t="str">
        <f t="shared" si="715"/>
        <v/>
      </c>
      <c r="Z2681" s="586" t="str">
        <f t="shared" si="719"/>
        <v/>
      </c>
    </row>
    <row r="2682" spans="1:26" ht="12" hidden="1" thickBot="1" x14ac:dyDescent="0.25">
      <c r="A2682" s="652" t="s">
        <v>187</v>
      </c>
      <c r="B2682" s="589" t="s">
        <v>187</v>
      </c>
      <c r="C2682" s="573" t="s">
        <v>187</v>
      </c>
      <c r="D2682" s="580"/>
      <c r="E2682" s="575"/>
      <c r="F2682" s="436"/>
      <c r="G2682" s="431"/>
      <c r="H2682" s="430"/>
      <c r="I2682" s="432"/>
      <c r="J2682" s="433"/>
      <c r="K2682" s="437">
        <f t="shared" si="727"/>
        <v>0</v>
      </c>
      <c r="L2682" s="435" t="s">
        <v>614</v>
      </c>
      <c r="M2682" s="576"/>
      <c r="N2682" s="576">
        <f t="shared" si="716"/>
        <v>0</v>
      </c>
      <c r="O2682" s="577">
        <f t="shared" si="726"/>
        <v>0</v>
      </c>
      <c r="P2682" s="578">
        <f t="shared" si="722"/>
        <v>0</v>
      </c>
      <c r="Q2682" s="765"/>
      <c r="R2682" s="576">
        <f t="shared" si="723"/>
        <v>0</v>
      </c>
      <c r="S2682" s="576">
        <f t="shared" si="723"/>
        <v>0</v>
      </c>
      <c r="T2682" s="577">
        <f t="shared" si="724"/>
        <v>0</v>
      </c>
      <c r="U2682" s="578">
        <f t="shared" si="725"/>
        <v>0</v>
      </c>
      <c r="V2682" s="579"/>
      <c r="W2682" s="566"/>
      <c r="X2682" s="586" t="str">
        <f t="shared" si="720"/>
        <v/>
      </c>
      <c r="Y2682" s="586" t="str">
        <f t="shared" si="715"/>
        <v/>
      </c>
      <c r="Z2682" s="586" t="str">
        <f t="shared" si="719"/>
        <v/>
      </c>
    </row>
    <row r="2683" spans="1:26" ht="12" hidden="1" thickBot="1" x14ac:dyDescent="0.25">
      <c r="A2683" s="652" t="s">
        <v>187</v>
      </c>
      <c r="B2683" s="589" t="s">
        <v>187</v>
      </c>
      <c r="C2683" s="573" t="s">
        <v>187</v>
      </c>
      <c r="D2683" s="580"/>
      <c r="E2683" s="575"/>
      <c r="F2683" s="436"/>
      <c r="G2683" s="431"/>
      <c r="H2683" s="430"/>
      <c r="I2683" s="432"/>
      <c r="J2683" s="433"/>
      <c r="K2683" s="437">
        <f t="shared" si="727"/>
        <v>0</v>
      </c>
      <c r="L2683" s="435" t="s">
        <v>614</v>
      </c>
      <c r="M2683" s="576"/>
      <c r="N2683" s="576">
        <f t="shared" si="716"/>
        <v>0</v>
      </c>
      <c r="O2683" s="577">
        <f t="shared" si="726"/>
        <v>0</v>
      </c>
      <c r="P2683" s="578">
        <f t="shared" si="722"/>
        <v>0</v>
      </c>
      <c r="Q2683" s="765"/>
      <c r="R2683" s="576">
        <f t="shared" si="723"/>
        <v>0</v>
      </c>
      <c r="S2683" s="576">
        <f t="shared" si="723"/>
        <v>0</v>
      </c>
      <c r="T2683" s="577">
        <f t="shared" si="724"/>
        <v>0</v>
      </c>
      <c r="U2683" s="578">
        <f t="shared" si="725"/>
        <v>0</v>
      </c>
      <c r="V2683" s="579"/>
      <c r="W2683" s="566"/>
      <c r="X2683" s="586" t="str">
        <f t="shared" si="720"/>
        <v/>
      </c>
      <c r="Y2683" s="586" t="str">
        <f t="shared" si="715"/>
        <v/>
      </c>
      <c r="Z2683" s="586" t="str">
        <f t="shared" si="719"/>
        <v/>
      </c>
    </row>
    <row r="2684" spans="1:26" ht="12" hidden="1" thickBot="1" x14ac:dyDescent="0.25">
      <c r="A2684" s="652" t="s">
        <v>187</v>
      </c>
      <c r="B2684" s="589" t="s">
        <v>187</v>
      </c>
      <c r="C2684" s="573" t="s">
        <v>187</v>
      </c>
      <c r="D2684" s="580"/>
      <c r="E2684" s="575"/>
      <c r="F2684" s="436"/>
      <c r="G2684" s="431"/>
      <c r="H2684" s="430"/>
      <c r="I2684" s="432"/>
      <c r="J2684" s="433"/>
      <c r="K2684" s="437">
        <f t="shared" si="727"/>
        <v>0</v>
      </c>
      <c r="L2684" s="435" t="s">
        <v>614</v>
      </c>
      <c r="M2684" s="576"/>
      <c r="N2684" s="576">
        <f t="shared" si="716"/>
        <v>0</v>
      </c>
      <c r="O2684" s="577">
        <f t="shared" si="726"/>
        <v>0</v>
      </c>
      <c r="P2684" s="578">
        <f t="shared" si="722"/>
        <v>0</v>
      </c>
      <c r="Q2684" s="765"/>
      <c r="R2684" s="576">
        <f t="shared" si="723"/>
        <v>0</v>
      </c>
      <c r="S2684" s="576">
        <f t="shared" si="723"/>
        <v>0</v>
      </c>
      <c r="T2684" s="577">
        <f t="shared" si="724"/>
        <v>0</v>
      </c>
      <c r="U2684" s="578">
        <f t="shared" si="725"/>
        <v>0</v>
      </c>
      <c r="V2684" s="579"/>
      <c r="W2684" s="566"/>
      <c r="X2684" s="586" t="str">
        <f t="shared" si="720"/>
        <v/>
      </c>
      <c r="Y2684" s="586" t="str">
        <f t="shared" si="715"/>
        <v/>
      </c>
      <c r="Z2684" s="586" t="str">
        <f t="shared" si="719"/>
        <v/>
      </c>
    </row>
    <row r="2685" spans="1:26" ht="12" hidden="1" thickBot="1" x14ac:dyDescent="0.25">
      <c r="A2685" s="652" t="s">
        <v>187</v>
      </c>
      <c r="B2685" s="589" t="s">
        <v>187</v>
      </c>
      <c r="C2685" s="573" t="s">
        <v>187</v>
      </c>
      <c r="D2685" s="580"/>
      <c r="E2685" s="575"/>
      <c r="F2685" s="436"/>
      <c r="G2685" s="431"/>
      <c r="H2685" s="430"/>
      <c r="I2685" s="432"/>
      <c r="J2685" s="433"/>
      <c r="K2685" s="437">
        <f t="shared" si="727"/>
        <v>0</v>
      </c>
      <c r="L2685" s="435" t="s">
        <v>614</v>
      </c>
      <c r="M2685" s="576"/>
      <c r="N2685" s="576">
        <f t="shared" si="716"/>
        <v>0</v>
      </c>
      <c r="O2685" s="577">
        <f t="shared" si="726"/>
        <v>0</v>
      </c>
      <c r="P2685" s="578">
        <f t="shared" si="722"/>
        <v>0</v>
      </c>
      <c r="Q2685" s="765"/>
      <c r="R2685" s="576">
        <f t="shared" si="723"/>
        <v>0</v>
      </c>
      <c r="S2685" s="576">
        <f t="shared" si="723"/>
        <v>0</v>
      </c>
      <c r="T2685" s="577">
        <f t="shared" si="724"/>
        <v>0</v>
      </c>
      <c r="U2685" s="578">
        <f t="shared" si="725"/>
        <v>0</v>
      </c>
      <c r="V2685" s="579"/>
      <c r="W2685" s="566"/>
      <c r="X2685" s="586" t="str">
        <f t="shared" si="720"/>
        <v/>
      </c>
      <c r="Y2685" s="586" t="str">
        <f t="shared" si="715"/>
        <v/>
      </c>
      <c r="Z2685" s="586" t="str">
        <f t="shared" si="719"/>
        <v/>
      </c>
    </row>
    <row r="2686" spans="1:26" ht="12" hidden="1" thickBot="1" x14ac:dyDescent="0.25">
      <c r="A2686" s="652" t="s">
        <v>187</v>
      </c>
      <c r="B2686" s="589" t="s">
        <v>187</v>
      </c>
      <c r="C2686" s="573" t="s">
        <v>187</v>
      </c>
      <c r="D2686" s="580"/>
      <c r="E2686" s="575"/>
      <c r="F2686" s="436"/>
      <c r="G2686" s="431"/>
      <c r="H2686" s="430"/>
      <c r="I2686" s="432"/>
      <c r="J2686" s="433"/>
      <c r="K2686" s="437">
        <f t="shared" si="727"/>
        <v>0</v>
      </c>
      <c r="L2686" s="435" t="s">
        <v>614</v>
      </c>
      <c r="M2686" s="576"/>
      <c r="N2686" s="576">
        <f t="shared" si="716"/>
        <v>0</v>
      </c>
      <c r="O2686" s="577">
        <f t="shared" si="726"/>
        <v>0</v>
      </c>
      <c r="P2686" s="578">
        <f t="shared" si="722"/>
        <v>0</v>
      </c>
      <c r="Q2686" s="765"/>
      <c r="R2686" s="576">
        <f t="shared" si="723"/>
        <v>0</v>
      </c>
      <c r="S2686" s="576">
        <f t="shared" si="723"/>
        <v>0</v>
      </c>
      <c r="T2686" s="577">
        <f t="shared" si="724"/>
        <v>0</v>
      </c>
      <c r="U2686" s="578">
        <f t="shared" si="725"/>
        <v>0</v>
      </c>
      <c r="V2686" s="579"/>
      <c r="W2686" s="566"/>
      <c r="X2686" s="586" t="str">
        <f t="shared" si="720"/>
        <v/>
      </c>
      <c r="Y2686" s="586" t="str">
        <f t="shared" si="715"/>
        <v/>
      </c>
      <c r="Z2686" s="586" t="str">
        <f t="shared" si="719"/>
        <v/>
      </c>
    </row>
    <row r="2687" spans="1:26" ht="12" hidden="1" thickBot="1" x14ac:dyDescent="0.25">
      <c r="A2687" s="652" t="s">
        <v>187</v>
      </c>
      <c r="B2687" s="589" t="s">
        <v>187</v>
      </c>
      <c r="C2687" s="573" t="s">
        <v>187</v>
      </c>
      <c r="D2687" s="580"/>
      <c r="E2687" s="575"/>
      <c r="F2687" s="436"/>
      <c r="G2687" s="431"/>
      <c r="H2687" s="430"/>
      <c r="I2687" s="432"/>
      <c r="J2687" s="433"/>
      <c r="K2687" s="437">
        <f t="shared" si="727"/>
        <v>0</v>
      </c>
      <c r="L2687" s="435" t="s">
        <v>614</v>
      </c>
      <c r="M2687" s="576"/>
      <c r="N2687" s="576">
        <f t="shared" si="716"/>
        <v>0</v>
      </c>
      <c r="O2687" s="577">
        <f t="shared" si="726"/>
        <v>0</v>
      </c>
      <c r="P2687" s="578">
        <f t="shared" si="722"/>
        <v>0</v>
      </c>
      <c r="Q2687" s="765"/>
      <c r="R2687" s="576">
        <f t="shared" si="723"/>
        <v>0</v>
      </c>
      <c r="S2687" s="576">
        <f t="shared" si="723"/>
        <v>0</v>
      </c>
      <c r="T2687" s="577">
        <f t="shared" si="724"/>
        <v>0</v>
      </c>
      <c r="U2687" s="578">
        <f t="shared" si="725"/>
        <v>0</v>
      </c>
      <c r="V2687" s="579"/>
      <c r="W2687" s="566"/>
      <c r="X2687" s="586" t="str">
        <f t="shared" si="720"/>
        <v/>
      </c>
      <c r="Y2687" s="586" t="str">
        <f t="shared" si="715"/>
        <v/>
      </c>
      <c r="Z2687" s="586" t="str">
        <f t="shared" si="719"/>
        <v/>
      </c>
    </row>
    <row r="2688" spans="1:26" ht="12" hidden="1" thickBot="1" x14ac:dyDescent="0.25">
      <c r="A2688" s="726" t="s">
        <v>174</v>
      </c>
      <c r="B2688" s="589" t="s">
        <v>187</v>
      </c>
      <c r="C2688" s="573" t="s">
        <v>187</v>
      </c>
      <c r="D2688" s="580"/>
      <c r="E2688" s="575"/>
      <c r="F2688" s="436"/>
      <c r="G2688" s="431"/>
      <c r="H2688" s="430"/>
      <c r="I2688" s="432"/>
      <c r="J2688" s="433"/>
      <c r="K2688" s="437">
        <f t="shared" si="727"/>
        <v>0</v>
      </c>
      <c r="L2688" s="435" t="s">
        <v>614</v>
      </c>
      <c r="M2688" s="576"/>
      <c r="N2688" s="576">
        <f t="shared" si="716"/>
        <v>0</v>
      </c>
      <c r="O2688" s="577">
        <f t="shared" si="726"/>
        <v>0</v>
      </c>
      <c r="P2688" s="578">
        <f t="shared" si="722"/>
        <v>0</v>
      </c>
      <c r="Q2688" s="765"/>
      <c r="R2688" s="576">
        <f t="shared" si="723"/>
        <v>0</v>
      </c>
      <c r="S2688" s="576">
        <f t="shared" si="723"/>
        <v>0</v>
      </c>
      <c r="T2688" s="577">
        <f t="shared" si="724"/>
        <v>0</v>
      </c>
      <c r="U2688" s="578">
        <f t="shared" si="725"/>
        <v>0</v>
      </c>
      <c r="V2688" s="579"/>
      <c r="W2688" s="566"/>
      <c r="X2688" s="586" t="str">
        <f t="shared" si="720"/>
        <v/>
      </c>
      <c r="Y2688" s="586" t="str">
        <f t="shared" si="715"/>
        <v/>
      </c>
      <c r="Z2688" s="586" t="str">
        <f t="shared" si="719"/>
        <v/>
      </c>
    </row>
    <row r="2689" spans="1:26" ht="12" hidden="1" thickBot="1" x14ac:dyDescent="0.25">
      <c r="A2689" s="726" t="s">
        <v>174</v>
      </c>
      <c r="B2689" s="589" t="s">
        <v>187</v>
      </c>
      <c r="C2689" s="573" t="s">
        <v>187</v>
      </c>
      <c r="D2689" s="580"/>
      <c r="E2689" s="575"/>
      <c r="F2689" s="436"/>
      <c r="G2689" s="431"/>
      <c r="H2689" s="430"/>
      <c r="I2689" s="432"/>
      <c r="J2689" s="433"/>
      <c r="K2689" s="437">
        <f t="shared" si="727"/>
        <v>0</v>
      </c>
      <c r="L2689" s="435" t="s">
        <v>614</v>
      </c>
      <c r="M2689" s="576"/>
      <c r="N2689" s="576">
        <f t="shared" si="716"/>
        <v>0</v>
      </c>
      <c r="O2689" s="577">
        <f t="shared" si="726"/>
        <v>0</v>
      </c>
      <c r="P2689" s="578">
        <f t="shared" si="722"/>
        <v>0</v>
      </c>
      <c r="Q2689" s="765"/>
      <c r="R2689" s="576">
        <f t="shared" si="723"/>
        <v>0</v>
      </c>
      <c r="S2689" s="576">
        <f t="shared" si="723"/>
        <v>0</v>
      </c>
      <c r="T2689" s="577">
        <f t="shared" si="724"/>
        <v>0</v>
      </c>
      <c r="U2689" s="578">
        <f t="shared" si="725"/>
        <v>0</v>
      </c>
      <c r="V2689" s="579"/>
      <c r="W2689" s="566"/>
      <c r="X2689" s="586" t="str">
        <f t="shared" si="720"/>
        <v/>
      </c>
      <c r="Y2689" s="586" t="str">
        <f t="shared" si="715"/>
        <v/>
      </c>
      <c r="Z2689" s="586" t="str">
        <f t="shared" si="719"/>
        <v/>
      </c>
    </row>
    <row r="2690" spans="1:26" ht="12" hidden="1" thickBot="1" x14ac:dyDescent="0.25">
      <c r="A2690" s="726" t="s">
        <v>174</v>
      </c>
      <c r="B2690" s="589" t="s">
        <v>187</v>
      </c>
      <c r="C2690" s="573" t="s">
        <v>187</v>
      </c>
      <c r="D2690" s="580"/>
      <c r="E2690" s="575"/>
      <c r="F2690" s="436"/>
      <c r="G2690" s="431"/>
      <c r="H2690" s="430"/>
      <c r="I2690" s="432"/>
      <c r="J2690" s="433"/>
      <c r="K2690" s="437">
        <f t="shared" si="727"/>
        <v>0</v>
      </c>
      <c r="L2690" s="435" t="s">
        <v>614</v>
      </c>
      <c r="M2690" s="576"/>
      <c r="N2690" s="576">
        <f t="shared" si="716"/>
        <v>0</v>
      </c>
      <c r="O2690" s="577">
        <f t="shared" si="726"/>
        <v>0</v>
      </c>
      <c r="P2690" s="578">
        <f t="shared" si="722"/>
        <v>0</v>
      </c>
      <c r="Q2690" s="765"/>
      <c r="R2690" s="576">
        <f t="shared" si="723"/>
        <v>0</v>
      </c>
      <c r="S2690" s="576">
        <f t="shared" si="723"/>
        <v>0</v>
      </c>
      <c r="T2690" s="577">
        <f t="shared" si="724"/>
        <v>0</v>
      </c>
      <c r="U2690" s="578">
        <f t="shared" si="725"/>
        <v>0</v>
      </c>
      <c r="V2690" s="579"/>
      <c r="W2690" s="566"/>
      <c r="X2690" s="586" t="str">
        <f t="shared" si="720"/>
        <v/>
      </c>
      <c r="Y2690" s="586" t="str">
        <f t="shared" si="715"/>
        <v/>
      </c>
      <c r="Z2690" s="586" t="str">
        <f t="shared" si="719"/>
        <v/>
      </c>
    </row>
    <row r="2691" spans="1:26" ht="12" hidden="1" thickBot="1" x14ac:dyDescent="0.25">
      <c r="A2691" s="726" t="s">
        <v>174</v>
      </c>
      <c r="B2691" s="589" t="s">
        <v>187</v>
      </c>
      <c r="C2691" s="573" t="s">
        <v>187</v>
      </c>
      <c r="D2691" s="580"/>
      <c r="E2691" s="575"/>
      <c r="F2691" s="436"/>
      <c r="G2691" s="431"/>
      <c r="H2691" s="430"/>
      <c r="I2691" s="432"/>
      <c r="J2691" s="433"/>
      <c r="K2691" s="437">
        <f t="shared" si="727"/>
        <v>0</v>
      </c>
      <c r="L2691" s="435" t="s">
        <v>614</v>
      </c>
      <c r="M2691" s="576"/>
      <c r="N2691" s="576">
        <f t="shared" si="716"/>
        <v>0</v>
      </c>
      <c r="O2691" s="577">
        <f t="shared" si="726"/>
        <v>0</v>
      </c>
      <c r="P2691" s="578">
        <f t="shared" si="722"/>
        <v>0</v>
      </c>
      <c r="Q2691" s="765"/>
      <c r="R2691" s="576">
        <f t="shared" si="723"/>
        <v>0</v>
      </c>
      <c r="S2691" s="576">
        <f t="shared" si="723"/>
        <v>0</v>
      </c>
      <c r="T2691" s="577">
        <f t="shared" si="724"/>
        <v>0</v>
      </c>
      <c r="U2691" s="578">
        <f t="shared" si="725"/>
        <v>0</v>
      </c>
      <c r="V2691" s="579"/>
      <c r="W2691" s="566"/>
      <c r="X2691" s="586" t="str">
        <f t="shared" si="720"/>
        <v/>
      </c>
      <c r="Y2691" s="586" t="str">
        <f t="shared" si="715"/>
        <v/>
      </c>
      <c r="Z2691" s="586" t="str">
        <f t="shared" si="719"/>
        <v/>
      </c>
    </row>
    <row r="2692" spans="1:26" ht="12" hidden="1" thickBot="1" x14ac:dyDescent="0.25">
      <c r="A2692" s="726" t="s">
        <v>174</v>
      </c>
      <c r="B2692" s="589" t="s">
        <v>187</v>
      </c>
      <c r="C2692" s="573" t="s">
        <v>187</v>
      </c>
      <c r="D2692" s="580"/>
      <c r="E2692" s="575"/>
      <c r="F2692" s="436"/>
      <c r="G2692" s="431"/>
      <c r="H2692" s="430"/>
      <c r="I2692" s="432"/>
      <c r="J2692" s="433"/>
      <c r="K2692" s="437">
        <f t="shared" si="727"/>
        <v>0</v>
      </c>
      <c r="L2692" s="435" t="s">
        <v>614</v>
      </c>
      <c r="M2692" s="576"/>
      <c r="N2692" s="576">
        <f t="shared" si="716"/>
        <v>0</v>
      </c>
      <c r="O2692" s="577">
        <f t="shared" si="726"/>
        <v>0</v>
      </c>
      <c r="P2692" s="578">
        <f t="shared" si="722"/>
        <v>0</v>
      </c>
      <c r="Q2692" s="765"/>
      <c r="R2692" s="576">
        <f t="shared" si="723"/>
        <v>0</v>
      </c>
      <c r="S2692" s="576">
        <f t="shared" si="723"/>
        <v>0</v>
      </c>
      <c r="T2692" s="577">
        <f t="shared" si="724"/>
        <v>0</v>
      </c>
      <c r="U2692" s="578">
        <f t="shared" si="725"/>
        <v>0</v>
      </c>
      <c r="V2692" s="579"/>
      <c r="W2692" s="566"/>
      <c r="X2692" s="586" t="str">
        <f t="shared" si="720"/>
        <v/>
      </c>
      <c r="Y2692" s="586" t="str">
        <f t="shared" si="715"/>
        <v/>
      </c>
      <c r="Z2692" s="586" t="str">
        <f t="shared" si="719"/>
        <v/>
      </c>
    </row>
    <row r="2693" spans="1:26" ht="12" hidden="1" thickBot="1" x14ac:dyDescent="0.25">
      <c r="A2693" s="726" t="s">
        <v>174</v>
      </c>
      <c r="B2693" s="589" t="s">
        <v>187</v>
      </c>
      <c r="C2693" s="573" t="s">
        <v>187</v>
      </c>
      <c r="D2693" s="580"/>
      <c r="E2693" s="575"/>
      <c r="F2693" s="436"/>
      <c r="G2693" s="431"/>
      <c r="H2693" s="430"/>
      <c r="I2693" s="432"/>
      <c r="J2693" s="433"/>
      <c r="K2693" s="437">
        <f t="shared" si="727"/>
        <v>0</v>
      </c>
      <c r="L2693" s="435" t="s">
        <v>614</v>
      </c>
      <c r="M2693" s="576"/>
      <c r="N2693" s="576">
        <f t="shared" si="716"/>
        <v>0</v>
      </c>
      <c r="O2693" s="577">
        <f t="shared" si="726"/>
        <v>0</v>
      </c>
      <c r="P2693" s="578">
        <f t="shared" si="722"/>
        <v>0</v>
      </c>
      <c r="Q2693" s="765"/>
      <c r="R2693" s="576">
        <f t="shared" si="723"/>
        <v>0</v>
      </c>
      <c r="S2693" s="576">
        <f t="shared" si="723"/>
        <v>0</v>
      </c>
      <c r="T2693" s="577">
        <f t="shared" si="724"/>
        <v>0</v>
      </c>
      <c r="U2693" s="578">
        <f t="shared" si="725"/>
        <v>0</v>
      </c>
      <c r="V2693" s="579"/>
      <c r="W2693" s="566"/>
      <c r="X2693" s="586" t="str">
        <f t="shared" si="720"/>
        <v/>
      </c>
      <c r="Y2693" s="586" t="str">
        <f t="shared" si="715"/>
        <v/>
      </c>
      <c r="Z2693" s="586" t="str">
        <f t="shared" si="719"/>
        <v/>
      </c>
    </row>
    <row r="2694" spans="1:26" ht="12" hidden="1" thickBot="1" x14ac:dyDescent="0.25">
      <c r="A2694" s="726" t="s">
        <v>174</v>
      </c>
      <c r="B2694" s="589" t="s">
        <v>187</v>
      </c>
      <c r="C2694" s="573" t="s">
        <v>187</v>
      </c>
      <c r="D2694" s="580"/>
      <c r="E2694" s="575"/>
      <c r="F2694" s="436"/>
      <c r="G2694" s="431"/>
      <c r="H2694" s="430"/>
      <c r="I2694" s="432"/>
      <c r="J2694" s="433"/>
      <c r="K2694" s="437">
        <f t="shared" si="727"/>
        <v>0</v>
      </c>
      <c r="L2694" s="435" t="s">
        <v>614</v>
      </c>
      <c r="M2694" s="576"/>
      <c r="N2694" s="576">
        <f t="shared" si="716"/>
        <v>0</v>
      </c>
      <c r="O2694" s="577">
        <f t="shared" si="726"/>
        <v>0</v>
      </c>
      <c r="P2694" s="578">
        <f t="shared" si="722"/>
        <v>0</v>
      </c>
      <c r="Q2694" s="765"/>
      <c r="R2694" s="576">
        <f t="shared" si="723"/>
        <v>0</v>
      </c>
      <c r="S2694" s="576">
        <f t="shared" si="723"/>
        <v>0</v>
      </c>
      <c r="T2694" s="577">
        <f t="shared" si="724"/>
        <v>0</v>
      </c>
      <c r="U2694" s="578">
        <f t="shared" si="725"/>
        <v>0</v>
      </c>
      <c r="V2694" s="579"/>
      <c r="W2694" s="566"/>
      <c r="X2694" s="586" t="str">
        <f t="shared" si="720"/>
        <v/>
      </c>
      <c r="Y2694" s="586" t="str">
        <f t="shared" si="715"/>
        <v/>
      </c>
      <c r="Z2694" s="586" t="str">
        <f t="shared" si="719"/>
        <v/>
      </c>
    </row>
    <row r="2695" spans="1:26" ht="12" hidden="1" thickBot="1" x14ac:dyDescent="0.25">
      <c r="A2695" s="726" t="s">
        <v>174</v>
      </c>
      <c r="B2695" s="589" t="s">
        <v>187</v>
      </c>
      <c r="C2695" s="573" t="s">
        <v>187</v>
      </c>
      <c r="D2695" s="580"/>
      <c r="E2695" s="575"/>
      <c r="F2695" s="436"/>
      <c r="G2695" s="431"/>
      <c r="H2695" s="430"/>
      <c r="I2695" s="432"/>
      <c r="J2695" s="433"/>
      <c r="K2695" s="437">
        <f t="shared" si="727"/>
        <v>0</v>
      </c>
      <c r="L2695" s="435" t="s">
        <v>614</v>
      </c>
      <c r="M2695" s="576"/>
      <c r="N2695" s="576">
        <f t="shared" si="716"/>
        <v>0</v>
      </c>
      <c r="O2695" s="577">
        <f t="shared" si="726"/>
        <v>0</v>
      </c>
      <c r="P2695" s="578">
        <f t="shared" si="722"/>
        <v>0</v>
      </c>
      <c r="Q2695" s="765"/>
      <c r="R2695" s="576">
        <f t="shared" si="723"/>
        <v>0</v>
      </c>
      <c r="S2695" s="576">
        <f t="shared" si="723"/>
        <v>0</v>
      </c>
      <c r="T2695" s="577">
        <f t="shared" si="724"/>
        <v>0</v>
      </c>
      <c r="U2695" s="578">
        <f t="shared" si="725"/>
        <v>0</v>
      </c>
      <c r="V2695" s="579"/>
      <c r="W2695" s="566"/>
      <c r="X2695" s="586" t="str">
        <f t="shared" si="720"/>
        <v/>
      </c>
      <c r="Y2695" s="586" t="str">
        <f t="shared" si="715"/>
        <v/>
      </c>
      <c r="Z2695" s="586" t="str">
        <f t="shared" si="719"/>
        <v/>
      </c>
    </row>
    <row r="2696" spans="1:26" ht="12" hidden="1" thickBot="1" x14ac:dyDescent="0.25">
      <c r="A2696" s="726" t="s">
        <v>174</v>
      </c>
      <c r="B2696" s="589" t="s">
        <v>187</v>
      </c>
      <c r="C2696" s="573" t="s">
        <v>187</v>
      </c>
      <c r="D2696" s="580"/>
      <c r="E2696" s="575"/>
      <c r="F2696" s="436"/>
      <c r="G2696" s="431"/>
      <c r="H2696" s="430"/>
      <c r="I2696" s="432"/>
      <c r="J2696" s="433"/>
      <c r="K2696" s="437">
        <f t="shared" si="727"/>
        <v>0</v>
      </c>
      <c r="L2696" s="435" t="s">
        <v>614</v>
      </c>
      <c r="M2696" s="576"/>
      <c r="N2696" s="576">
        <f t="shared" si="716"/>
        <v>0</v>
      </c>
      <c r="O2696" s="577">
        <f t="shared" si="726"/>
        <v>0</v>
      </c>
      <c r="P2696" s="578">
        <f t="shared" si="722"/>
        <v>0</v>
      </c>
      <c r="Q2696" s="765"/>
      <c r="R2696" s="576">
        <f t="shared" si="723"/>
        <v>0</v>
      </c>
      <c r="S2696" s="576">
        <f t="shared" si="723"/>
        <v>0</v>
      </c>
      <c r="T2696" s="577">
        <f t="shared" si="724"/>
        <v>0</v>
      </c>
      <c r="U2696" s="578">
        <f t="shared" si="725"/>
        <v>0</v>
      </c>
      <c r="V2696" s="579"/>
      <c r="W2696" s="566"/>
      <c r="X2696" s="586" t="str">
        <f t="shared" si="720"/>
        <v/>
      </c>
      <c r="Y2696" s="586" t="str">
        <f t="shared" si="715"/>
        <v/>
      </c>
      <c r="Z2696" s="586" t="str">
        <f t="shared" si="719"/>
        <v/>
      </c>
    </row>
    <row r="2697" spans="1:26" ht="12" hidden="1" thickBot="1" x14ac:dyDescent="0.25">
      <c r="A2697" s="726" t="s">
        <v>174</v>
      </c>
      <c r="B2697" s="589" t="s">
        <v>187</v>
      </c>
      <c r="C2697" s="573" t="s">
        <v>187</v>
      </c>
      <c r="D2697" s="580"/>
      <c r="E2697" s="575"/>
      <c r="F2697" s="436"/>
      <c r="G2697" s="431"/>
      <c r="H2697" s="430"/>
      <c r="I2697" s="432"/>
      <c r="J2697" s="433"/>
      <c r="K2697" s="437">
        <f t="shared" si="727"/>
        <v>0</v>
      </c>
      <c r="L2697" s="435" t="s">
        <v>614</v>
      </c>
      <c r="M2697" s="576"/>
      <c r="N2697" s="576">
        <f t="shared" si="716"/>
        <v>0</v>
      </c>
      <c r="O2697" s="577">
        <f t="shared" si="726"/>
        <v>0</v>
      </c>
      <c r="P2697" s="578">
        <f t="shared" si="722"/>
        <v>0</v>
      </c>
      <c r="Q2697" s="765"/>
      <c r="R2697" s="576">
        <f t="shared" si="723"/>
        <v>0</v>
      </c>
      <c r="S2697" s="576">
        <f t="shared" si="723"/>
        <v>0</v>
      </c>
      <c r="T2697" s="577">
        <f t="shared" si="724"/>
        <v>0</v>
      </c>
      <c r="U2697" s="578">
        <f t="shared" si="725"/>
        <v>0</v>
      </c>
      <c r="V2697" s="579"/>
      <c r="W2697" s="566"/>
      <c r="X2697" s="586" t="str">
        <f t="shared" si="720"/>
        <v/>
      </c>
      <c r="Y2697" s="586" t="str">
        <f t="shared" ref="Y2697:Y2707" si="728">IF(W2697="X","x",IF(W2697="y","x",IF(W2697="xx","x",IF(U2697&gt;0,"x",""))))</f>
        <v/>
      </c>
      <c r="Z2697" s="586" t="str">
        <f t="shared" si="719"/>
        <v/>
      </c>
    </row>
    <row r="2698" spans="1:26" ht="12" hidden="1" thickBot="1" x14ac:dyDescent="0.25">
      <c r="A2698" s="726" t="s">
        <v>174</v>
      </c>
      <c r="B2698" s="589" t="s">
        <v>187</v>
      </c>
      <c r="C2698" s="573" t="s">
        <v>187</v>
      </c>
      <c r="D2698" s="580"/>
      <c r="E2698" s="575"/>
      <c r="F2698" s="436"/>
      <c r="G2698" s="431"/>
      <c r="H2698" s="430"/>
      <c r="I2698" s="432"/>
      <c r="J2698" s="433"/>
      <c r="K2698" s="437">
        <f t="shared" si="727"/>
        <v>0</v>
      </c>
      <c r="L2698" s="435" t="s">
        <v>614</v>
      </c>
      <c r="M2698" s="576"/>
      <c r="N2698" s="576">
        <f t="shared" si="716"/>
        <v>0</v>
      </c>
      <c r="O2698" s="577">
        <f t="shared" si="726"/>
        <v>0</v>
      </c>
      <c r="P2698" s="578">
        <f t="shared" si="722"/>
        <v>0</v>
      </c>
      <c r="Q2698" s="765"/>
      <c r="R2698" s="576">
        <f t="shared" si="723"/>
        <v>0</v>
      </c>
      <c r="S2698" s="576">
        <f t="shared" si="723"/>
        <v>0</v>
      </c>
      <c r="T2698" s="577">
        <f t="shared" si="724"/>
        <v>0</v>
      </c>
      <c r="U2698" s="578">
        <f t="shared" si="725"/>
        <v>0</v>
      </c>
      <c r="V2698" s="579"/>
      <c r="W2698" s="566"/>
      <c r="X2698" s="586" t="str">
        <f t="shared" si="720"/>
        <v/>
      </c>
      <c r="Y2698" s="586" t="str">
        <f t="shared" si="728"/>
        <v/>
      </c>
      <c r="Z2698" s="586" t="str">
        <f t="shared" si="719"/>
        <v/>
      </c>
    </row>
    <row r="2699" spans="1:26" ht="12" hidden="1" thickBot="1" x14ac:dyDescent="0.25">
      <c r="A2699" s="652" t="s">
        <v>187</v>
      </c>
      <c r="B2699" s="589" t="s">
        <v>187</v>
      </c>
      <c r="C2699" s="573" t="s">
        <v>187</v>
      </c>
      <c r="D2699" s="580"/>
      <c r="E2699" s="575"/>
      <c r="F2699" s="436"/>
      <c r="G2699" s="431"/>
      <c r="H2699" s="430"/>
      <c r="I2699" s="432"/>
      <c r="J2699" s="433"/>
      <c r="K2699" s="437">
        <f t="shared" si="727"/>
        <v>0</v>
      </c>
      <c r="L2699" s="435" t="s">
        <v>614</v>
      </c>
      <c r="M2699" s="576"/>
      <c r="N2699" s="576">
        <f t="shared" si="716"/>
        <v>0</v>
      </c>
      <c r="O2699" s="577">
        <f t="shared" si="726"/>
        <v>0</v>
      </c>
      <c r="P2699" s="578">
        <f t="shared" si="722"/>
        <v>0</v>
      </c>
      <c r="Q2699" s="765"/>
      <c r="R2699" s="576">
        <f t="shared" si="723"/>
        <v>0</v>
      </c>
      <c r="S2699" s="576">
        <f t="shared" si="723"/>
        <v>0</v>
      </c>
      <c r="T2699" s="577">
        <f t="shared" si="724"/>
        <v>0</v>
      </c>
      <c r="U2699" s="578">
        <f t="shared" si="725"/>
        <v>0</v>
      </c>
      <c r="V2699" s="579"/>
      <c r="W2699" s="566"/>
      <c r="X2699" s="586" t="str">
        <f t="shared" si="720"/>
        <v/>
      </c>
      <c r="Y2699" s="586" t="str">
        <f t="shared" si="728"/>
        <v/>
      </c>
      <c r="Z2699" s="586" t="str">
        <f t="shared" si="719"/>
        <v/>
      </c>
    </row>
    <row r="2700" spans="1:26" ht="12" hidden="1" thickBot="1" x14ac:dyDescent="0.25">
      <c r="A2700" s="652" t="s">
        <v>187</v>
      </c>
      <c r="B2700" s="589" t="s">
        <v>187</v>
      </c>
      <c r="C2700" s="573" t="s">
        <v>187</v>
      </c>
      <c r="D2700" s="580"/>
      <c r="E2700" s="575"/>
      <c r="F2700" s="436"/>
      <c r="G2700" s="431"/>
      <c r="H2700" s="430"/>
      <c r="I2700" s="432"/>
      <c r="J2700" s="433"/>
      <c r="K2700" s="437">
        <f t="shared" si="727"/>
        <v>0</v>
      </c>
      <c r="L2700" s="435" t="s">
        <v>614</v>
      </c>
      <c r="M2700" s="576"/>
      <c r="N2700" s="576">
        <f t="shared" si="716"/>
        <v>0</v>
      </c>
      <c r="O2700" s="577">
        <f t="shared" si="726"/>
        <v>0</v>
      </c>
      <c r="P2700" s="578">
        <f t="shared" si="722"/>
        <v>0</v>
      </c>
      <c r="Q2700" s="765"/>
      <c r="R2700" s="576">
        <f>M2700</f>
        <v>0</v>
      </c>
      <c r="S2700" s="576">
        <f>N2700</f>
        <v>0</v>
      </c>
      <c r="T2700" s="577">
        <f t="shared" si="724"/>
        <v>0</v>
      </c>
      <c r="U2700" s="578">
        <f t="shared" si="725"/>
        <v>0</v>
      </c>
      <c r="V2700" s="579"/>
      <c r="W2700" s="566"/>
      <c r="X2700" s="586" t="str">
        <f t="shared" si="720"/>
        <v/>
      </c>
      <c r="Y2700" s="586" t="str">
        <f t="shared" si="728"/>
        <v/>
      </c>
      <c r="Z2700" s="586" t="str">
        <f t="shared" si="719"/>
        <v/>
      </c>
    </row>
    <row r="2701" spans="1:26" ht="12" hidden="1" thickBot="1" x14ac:dyDescent="0.25">
      <c r="A2701" s="652" t="s">
        <v>187</v>
      </c>
      <c r="B2701" s="589" t="s">
        <v>187</v>
      </c>
      <c r="C2701" s="573" t="s">
        <v>187</v>
      </c>
      <c r="D2701" s="580"/>
      <c r="E2701" s="575"/>
      <c r="F2701" s="436"/>
      <c r="G2701" s="431"/>
      <c r="H2701" s="430"/>
      <c r="I2701" s="432"/>
      <c r="J2701" s="433"/>
      <c r="K2701" s="437">
        <f t="shared" si="727"/>
        <v>0</v>
      </c>
      <c r="L2701" s="435" t="s">
        <v>614</v>
      </c>
      <c r="M2701" s="576"/>
      <c r="N2701" s="576">
        <f t="shared" si="716"/>
        <v>0</v>
      </c>
      <c r="O2701" s="577">
        <f t="shared" si="726"/>
        <v>0</v>
      </c>
      <c r="P2701" s="578">
        <f t="shared" si="722"/>
        <v>0</v>
      </c>
      <c r="Q2701" s="765"/>
      <c r="R2701" s="576">
        <f>M2701</f>
        <v>0</v>
      </c>
      <c r="S2701" s="576">
        <f>N2701</f>
        <v>0</v>
      </c>
      <c r="T2701" s="577">
        <f t="shared" si="724"/>
        <v>0</v>
      </c>
      <c r="U2701" s="578">
        <f t="shared" si="725"/>
        <v>0</v>
      </c>
      <c r="V2701" s="579"/>
      <c r="W2701" s="566"/>
      <c r="X2701" s="586" t="str">
        <f t="shared" si="720"/>
        <v/>
      </c>
      <c r="Y2701" s="586" t="str">
        <f t="shared" si="728"/>
        <v/>
      </c>
      <c r="Z2701" s="586" t="str">
        <f t="shared" si="719"/>
        <v/>
      </c>
    </row>
    <row r="2702" spans="1:26" ht="12" hidden="1" thickBot="1" x14ac:dyDescent="0.25">
      <c r="A2702" s="652" t="s">
        <v>187</v>
      </c>
      <c r="B2702" s="589" t="s">
        <v>187</v>
      </c>
      <c r="C2702" s="573" t="s">
        <v>187</v>
      </c>
      <c r="D2702" s="580"/>
      <c r="E2702" s="575"/>
      <c r="F2702" s="436"/>
      <c r="G2702" s="431"/>
      <c r="H2702" s="430"/>
      <c r="I2702" s="432"/>
      <c r="J2702" s="433"/>
      <c r="K2702" s="437">
        <f t="shared" si="727"/>
        <v>0</v>
      </c>
      <c r="L2702" s="435" t="s">
        <v>614</v>
      </c>
      <c r="M2702" s="576"/>
      <c r="N2702" s="576">
        <f t="shared" si="716"/>
        <v>0</v>
      </c>
      <c r="O2702" s="577">
        <f t="shared" si="726"/>
        <v>0</v>
      </c>
      <c r="P2702" s="578">
        <f t="shared" si="722"/>
        <v>0</v>
      </c>
      <c r="Q2702" s="765"/>
      <c r="R2702" s="576">
        <f t="shared" si="723"/>
        <v>0</v>
      </c>
      <c r="S2702" s="576">
        <f t="shared" si="723"/>
        <v>0</v>
      </c>
      <c r="T2702" s="577">
        <f t="shared" si="724"/>
        <v>0</v>
      </c>
      <c r="U2702" s="578">
        <f t="shared" si="725"/>
        <v>0</v>
      </c>
      <c r="V2702" s="579"/>
      <c r="W2702" s="566"/>
      <c r="X2702" s="586" t="str">
        <f t="shared" si="720"/>
        <v/>
      </c>
      <c r="Y2702" s="586" t="str">
        <f t="shared" si="728"/>
        <v/>
      </c>
      <c r="Z2702" s="586" t="str">
        <f t="shared" si="719"/>
        <v/>
      </c>
    </row>
    <row r="2703" spans="1:26" ht="12" hidden="1" thickBot="1" x14ac:dyDescent="0.25">
      <c r="A2703" s="652" t="s">
        <v>187</v>
      </c>
      <c r="B2703" s="589" t="s">
        <v>187</v>
      </c>
      <c r="C2703" s="573" t="s">
        <v>187</v>
      </c>
      <c r="D2703" s="580"/>
      <c r="E2703" s="575"/>
      <c r="F2703" s="436"/>
      <c r="G2703" s="431"/>
      <c r="H2703" s="430"/>
      <c r="I2703" s="432"/>
      <c r="J2703" s="433"/>
      <c r="K2703" s="437">
        <f t="shared" si="727"/>
        <v>0</v>
      </c>
      <c r="L2703" s="435" t="s">
        <v>614</v>
      </c>
      <c r="M2703" s="576"/>
      <c r="N2703" s="576">
        <f t="shared" si="716"/>
        <v>0</v>
      </c>
      <c r="O2703" s="577">
        <f t="shared" si="726"/>
        <v>0</v>
      </c>
      <c r="P2703" s="578">
        <f t="shared" si="722"/>
        <v>0</v>
      </c>
      <c r="Q2703" s="765"/>
      <c r="R2703" s="576">
        <f t="shared" si="723"/>
        <v>0</v>
      </c>
      <c r="S2703" s="576">
        <f t="shared" si="723"/>
        <v>0</v>
      </c>
      <c r="T2703" s="577">
        <f t="shared" si="724"/>
        <v>0</v>
      </c>
      <c r="U2703" s="578">
        <f t="shared" si="725"/>
        <v>0</v>
      </c>
      <c r="V2703" s="579"/>
      <c r="W2703" s="566"/>
      <c r="X2703" s="586" t="str">
        <f t="shared" si="720"/>
        <v/>
      </c>
      <c r="Y2703" s="586" t="str">
        <f t="shared" si="728"/>
        <v/>
      </c>
      <c r="Z2703" s="586" t="str">
        <f t="shared" si="719"/>
        <v/>
      </c>
    </row>
    <row r="2704" spans="1:26" ht="12" hidden="1" thickBot="1" x14ac:dyDescent="0.25">
      <c r="A2704" s="652" t="s">
        <v>187</v>
      </c>
      <c r="B2704" s="589" t="s">
        <v>187</v>
      </c>
      <c r="C2704" s="573" t="s">
        <v>187</v>
      </c>
      <c r="D2704" s="580"/>
      <c r="E2704" s="575"/>
      <c r="F2704" s="436"/>
      <c r="G2704" s="431"/>
      <c r="H2704" s="430"/>
      <c r="I2704" s="432"/>
      <c r="J2704" s="433"/>
      <c r="K2704" s="437">
        <f t="shared" si="727"/>
        <v>0</v>
      </c>
      <c r="L2704" s="435" t="s">
        <v>614</v>
      </c>
      <c r="M2704" s="576"/>
      <c r="N2704" s="576">
        <f t="shared" si="716"/>
        <v>0</v>
      </c>
      <c r="O2704" s="577">
        <f t="shared" si="726"/>
        <v>0</v>
      </c>
      <c r="P2704" s="578">
        <f t="shared" si="722"/>
        <v>0</v>
      </c>
      <c r="Q2704" s="765"/>
      <c r="R2704" s="576">
        <f t="shared" si="723"/>
        <v>0</v>
      </c>
      <c r="S2704" s="576">
        <f t="shared" si="723"/>
        <v>0</v>
      </c>
      <c r="T2704" s="577">
        <f t="shared" si="724"/>
        <v>0</v>
      </c>
      <c r="U2704" s="578">
        <f t="shared" si="725"/>
        <v>0</v>
      </c>
      <c r="V2704" s="579"/>
      <c r="W2704" s="566"/>
      <c r="X2704" s="586" t="str">
        <f t="shared" si="720"/>
        <v/>
      </c>
      <c r="Y2704" s="586" t="str">
        <f t="shared" si="728"/>
        <v/>
      </c>
      <c r="Z2704" s="586" t="str">
        <f t="shared" si="719"/>
        <v/>
      </c>
    </row>
    <row r="2705" spans="1:26" ht="12" hidden="1" thickBot="1" x14ac:dyDescent="0.25">
      <c r="A2705" s="652" t="s">
        <v>187</v>
      </c>
      <c r="B2705" s="589" t="s">
        <v>187</v>
      </c>
      <c r="C2705" s="573" t="s">
        <v>187</v>
      </c>
      <c r="D2705" s="580"/>
      <c r="E2705" s="575"/>
      <c r="F2705" s="436"/>
      <c r="G2705" s="431"/>
      <c r="H2705" s="430"/>
      <c r="I2705" s="432"/>
      <c r="J2705" s="433"/>
      <c r="K2705" s="437">
        <f t="shared" si="727"/>
        <v>0</v>
      </c>
      <c r="L2705" s="435" t="s">
        <v>614</v>
      </c>
      <c r="M2705" s="576"/>
      <c r="N2705" s="576">
        <f t="shared" si="716"/>
        <v>0</v>
      </c>
      <c r="O2705" s="577">
        <f t="shared" si="726"/>
        <v>0</v>
      </c>
      <c r="P2705" s="578">
        <f t="shared" si="722"/>
        <v>0</v>
      </c>
      <c r="Q2705" s="765"/>
      <c r="R2705" s="576">
        <f t="shared" si="723"/>
        <v>0</v>
      </c>
      <c r="S2705" s="576">
        <f t="shared" si="723"/>
        <v>0</v>
      </c>
      <c r="T2705" s="577">
        <f t="shared" si="724"/>
        <v>0</v>
      </c>
      <c r="U2705" s="578">
        <f t="shared" si="725"/>
        <v>0</v>
      </c>
      <c r="V2705" s="579"/>
      <c r="W2705" s="566"/>
      <c r="X2705" s="586" t="str">
        <f t="shared" si="720"/>
        <v/>
      </c>
      <c r="Y2705" s="586" t="str">
        <f t="shared" si="728"/>
        <v/>
      </c>
      <c r="Z2705" s="586" t="str">
        <f t="shared" si="719"/>
        <v/>
      </c>
    </row>
    <row r="2706" spans="1:26" ht="12" hidden="1" thickBot="1" x14ac:dyDescent="0.25">
      <c r="A2706" s="652" t="s">
        <v>187</v>
      </c>
      <c r="B2706" s="589" t="s">
        <v>187</v>
      </c>
      <c r="C2706" s="573" t="s">
        <v>187</v>
      </c>
      <c r="D2706" s="580"/>
      <c r="E2706" s="575"/>
      <c r="F2706" s="436"/>
      <c r="G2706" s="431"/>
      <c r="H2706" s="430"/>
      <c r="I2706" s="432"/>
      <c r="J2706" s="433"/>
      <c r="K2706" s="437">
        <f t="shared" si="727"/>
        <v>0</v>
      </c>
      <c r="L2706" s="435" t="s">
        <v>614</v>
      </c>
      <c r="M2706" s="576"/>
      <c r="N2706" s="576">
        <f t="shared" si="716"/>
        <v>0</v>
      </c>
      <c r="O2706" s="577">
        <f t="shared" si="726"/>
        <v>0</v>
      </c>
      <c r="P2706" s="578">
        <f t="shared" si="722"/>
        <v>0</v>
      </c>
      <c r="Q2706" s="765"/>
      <c r="R2706" s="576">
        <f t="shared" si="723"/>
        <v>0</v>
      </c>
      <c r="S2706" s="576">
        <f t="shared" si="723"/>
        <v>0</v>
      </c>
      <c r="T2706" s="577">
        <f t="shared" si="724"/>
        <v>0</v>
      </c>
      <c r="U2706" s="578">
        <f t="shared" si="725"/>
        <v>0</v>
      </c>
      <c r="V2706" s="579"/>
      <c r="W2706" s="566"/>
      <c r="X2706" s="586" t="str">
        <f t="shared" si="720"/>
        <v/>
      </c>
      <c r="Y2706" s="586" t="str">
        <f t="shared" si="728"/>
        <v/>
      </c>
      <c r="Z2706" s="586" t="str">
        <f t="shared" si="719"/>
        <v/>
      </c>
    </row>
    <row r="2707" spans="1:26" ht="12" hidden="1" thickBot="1" x14ac:dyDescent="0.25">
      <c r="A2707" s="652" t="s">
        <v>187</v>
      </c>
      <c r="B2707" s="786" t="s">
        <v>187</v>
      </c>
      <c r="C2707" s="582" t="s">
        <v>187</v>
      </c>
      <c r="D2707" s="583"/>
      <c r="E2707" s="787"/>
      <c r="F2707" s="788"/>
      <c r="G2707" s="789"/>
      <c r="H2707" s="790"/>
      <c r="I2707" s="791"/>
      <c r="J2707" s="792"/>
      <c r="K2707" s="793">
        <f t="shared" si="727"/>
        <v>0</v>
      </c>
      <c r="L2707" s="794" t="s">
        <v>614</v>
      </c>
      <c r="M2707" s="696"/>
      <c r="N2707" s="696">
        <f t="shared" si="716"/>
        <v>0</v>
      </c>
      <c r="O2707" s="693">
        <f t="shared" si="726"/>
        <v>0</v>
      </c>
      <c r="P2707" s="694">
        <f t="shared" si="722"/>
        <v>0</v>
      </c>
      <c r="Q2707" s="765"/>
      <c r="R2707" s="576">
        <f t="shared" si="723"/>
        <v>0</v>
      </c>
      <c r="S2707" s="576">
        <f t="shared" si="723"/>
        <v>0</v>
      </c>
      <c r="T2707" s="577">
        <f t="shared" si="724"/>
        <v>0</v>
      </c>
      <c r="U2707" s="578">
        <f t="shared" si="725"/>
        <v>0</v>
      </c>
      <c r="V2707" s="579"/>
      <c r="W2707" s="566"/>
      <c r="X2707" s="586" t="str">
        <f t="shared" si="720"/>
        <v/>
      </c>
      <c r="Y2707" s="586" t="str">
        <f t="shared" si="728"/>
        <v/>
      </c>
      <c r="Z2707" s="586" t="str">
        <f t="shared" si="719"/>
        <v/>
      </c>
    </row>
    <row r="2708" spans="1:26" ht="1.35" hidden="1" customHeight="1" thickBot="1" x14ac:dyDescent="0.25">
      <c r="A2708" s="652" t="s">
        <v>187</v>
      </c>
      <c r="B2708" s="727" t="s">
        <v>174</v>
      </c>
      <c r="C2708" s="728"/>
      <c r="D2708" s="729"/>
      <c r="E2708" s="730"/>
      <c r="F2708" s="731"/>
      <c r="G2708" s="732"/>
      <c r="H2708" s="733"/>
      <c r="I2708" s="734"/>
      <c r="J2708" s="734"/>
      <c r="K2708" s="735"/>
      <c r="L2708" s="736"/>
      <c r="M2708" s="737"/>
      <c r="N2708" s="738"/>
      <c r="O2708" s="739"/>
      <c r="P2708" s="739"/>
      <c r="Q2708" s="739"/>
      <c r="R2708" s="737"/>
      <c r="S2708" s="738"/>
      <c r="T2708" s="739"/>
      <c r="U2708" s="740"/>
      <c r="V2708" s="643"/>
      <c r="W2708" s="741"/>
      <c r="X2708" s="742"/>
      <c r="Y2708" s="742"/>
      <c r="Z2708" s="742"/>
    </row>
    <row r="2709" spans="1:26" ht="5.45" hidden="1" customHeight="1" thickBot="1" x14ac:dyDescent="0.25">
      <c r="A2709" s="652" t="s">
        <v>187</v>
      </c>
      <c r="B2709" s="743" t="s">
        <v>174</v>
      </c>
      <c r="C2709" s="744"/>
      <c r="D2709" s="745"/>
      <c r="E2709" s="746"/>
      <c r="F2709" s="495"/>
      <c r="G2709" s="494"/>
      <c r="H2709" s="496"/>
      <c r="I2709" s="496"/>
      <c r="J2709" s="496"/>
      <c r="K2709" s="747"/>
      <c r="L2709" s="496"/>
      <c r="M2709" s="748"/>
      <c r="N2709" s="748"/>
      <c r="O2709" s="674"/>
      <c r="P2709" s="674"/>
      <c r="Q2709" s="674"/>
      <c r="R2709" s="748"/>
      <c r="S2709" s="748"/>
      <c r="T2709" s="674"/>
      <c r="U2709" s="674"/>
      <c r="V2709" s="749"/>
      <c r="W2709" s="741" t="s">
        <v>174</v>
      </c>
      <c r="X2709" s="742"/>
      <c r="Y2709" s="742"/>
      <c r="Z2709" s="742"/>
    </row>
    <row r="2710" spans="1:26" ht="13.35" customHeight="1" thickBot="1" x14ac:dyDescent="0.25">
      <c r="A2710" s="652" t="s">
        <v>187</v>
      </c>
      <c r="B2710" s="750" t="s">
        <v>174</v>
      </c>
      <c r="C2710" s="751"/>
      <c r="D2710" s="492" t="s">
        <v>505</v>
      </c>
      <c r="E2710" s="493"/>
      <c r="F2710" s="495"/>
      <c r="G2710" s="494"/>
      <c r="H2710" s="496"/>
      <c r="I2710" s="496"/>
      <c r="J2710" s="496" t="str">
        <f>IF(ISBLANK(I2710),"",SUM(H2710:I2710))</f>
        <v/>
      </c>
      <c r="K2710" s="496"/>
      <c r="L2710" s="496"/>
      <c r="M2710" s="752"/>
      <c r="N2710" s="753"/>
      <c r="O2710" s="635">
        <f>SUBTOTAL(9,O18:O2708)</f>
        <v>146213.29999999999</v>
      </c>
      <c r="P2710" s="636">
        <f>SUBTOTAL(9,P18:P2708)</f>
        <v>146213.29999999999</v>
      </c>
      <c r="Q2710" s="634">
        <f>SUBTOTAL(9,Q18:Q2708)</f>
        <v>146213.29999999999</v>
      </c>
      <c r="R2710" s="754"/>
      <c r="S2710" s="755"/>
      <c r="T2710" s="635">
        <f>SUBTOTAL(9,T18:T2708)</f>
        <v>146213.29999999999</v>
      </c>
      <c r="U2710" s="636">
        <f>SUBTOTAL(9,U18:U2708)</f>
        <v>146213.29999999999</v>
      </c>
      <c r="V2710" s="636">
        <f>SUBTOTAL(9,V18:V2708)</f>
        <v>146213.29999999999</v>
      </c>
      <c r="W2710" s="741" t="s">
        <v>174</v>
      </c>
      <c r="X2710" s="756" t="s">
        <v>174</v>
      </c>
      <c r="Y2710" s="756"/>
      <c r="Z2710" s="756" t="s">
        <v>174</v>
      </c>
    </row>
    <row r="2711" spans="1:26" ht="5.45" hidden="1" customHeight="1" thickBot="1" x14ac:dyDescent="0.25">
      <c r="A2711" s="652" t="s">
        <v>187</v>
      </c>
      <c r="B2711" s="750" t="s">
        <v>174</v>
      </c>
      <c r="C2711" s="751"/>
      <c r="D2711" s="757"/>
      <c r="E2711" s="746"/>
      <c r="F2711" s="495"/>
      <c r="G2711" s="494"/>
      <c r="H2711" s="496"/>
      <c r="I2711" s="496"/>
      <c r="J2711" s="496"/>
      <c r="K2711" s="747"/>
      <c r="L2711" s="496"/>
      <c r="M2711" s="748"/>
      <c r="N2711" s="748"/>
      <c r="O2711" s="674"/>
      <c r="P2711" s="674"/>
      <c r="Q2711" s="674"/>
      <c r="R2711" s="748"/>
      <c r="S2711" s="748"/>
      <c r="T2711" s="674"/>
      <c r="U2711" s="674"/>
      <c r="V2711" s="749"/>
      <c r="W2711" s="741" t="s">
        <v>174</v>
      </c>
      <c r="X2711" s="758"/>
      <c r="Y2711" s="586"/>
      <c r="Z2711" s="586"/>
    </row>
    <row r="2712" spans="1:26" ht="13.35" customHeight="1" thickBot="1" x14ac:dyDescent="0.25">
      <c r="A2712" s="652" t="s">
        <v>187</v>
      </c>
      <c r="B2712" s="750" t="s">
        <v>174</v>
      </c>
      <c r="C2712" s="751"/>
      <c r="D2712" s="492" t="s">
        <v>585</v>
      </c>
      <c r="E2712" s="759"/>
      <c r="F2712" s="495"/>
      <c r="G2712" s="494"/>
      <c r="H2712" s="496"/>
      <c r="I2712" s="496"/>
      <c r="J2712" s="496" t="str">
        <f t="shared" ref="J2712:J2717" si="729">IF(ISBLANK(I2712),"",SUM(H2712:I2712))</f>
        <v/>
      </c>
      <c r="K2712" s="496"/>
      <c r="L2712" s="496"/>
      <c r="M2712" s="752"/>
      <c r="N2712" s="753"/>
      <c r="O2712" s="760">
        <f>SUM(O18:O582)</f>
        <v>121429.54999999999</v>
      </c>
      <c r="P2712" s="760">
        <f>SUM(P18:P582)</f>
        <v>121429.54999999999</v>
      </c>
      <c r="Q2712" s="760">
        <f>SUM(Q18:Q582)</f>
        <v>121429.54999999999</v>
      </c>
      <c r="R2712" s="754"/>
      <c r="S2712" s="761"/>
      <c r="T2712" s="636">
        <f>SUM(T18:T582)</f>
        <v>121429.54999999999</v>
      </c>
      <c r="U2712" s="760">
        <f>SUM(U18:U582)</f>
        <v>121429.54999999999</v>
      </c>
      <c r="V2712" s="760">
        <f>SUM(V18:V582)</f>
        <v>121429.54999999999</v>
      </c>
      <c r="W2712" s="741"/>
      <c r="X2712" s="586" t="s">
        <v>174</v>
      </c>
      <c r="Y2712" s="586"/>
      <c r="Z2712" s="586"/>
    </row>
    <row r="2713" spans="1:26" ht="13.35" customHeight="1" thickBot="1" x14ac:dyDescent="0.25">
      <c r="A2713" s="652" t="s">
        <v>187</v>
      </c>
      <c r="B2713" s="750" t="s">
        <v>174</v>
      </c>
      <c r="C2713" s="751"/>
      <c r="D2713" s="492" t="s">
        <v>589</v>
      </c>
      <c r="E2713" s="759"/>
      <c r="F2713" s="495"/>
      <c r="G2713" s="494"/>
      <c r="H2713" s="496"/>
      <c r="I2713" s="496"/>
      <c r="J2713" s="496" t="str">
        <f t="shared" si="729"/>
        <v/>
      </c>
      <c r="K2713" s="496"/>
      <c r="L2713" s="496"/>
      <c r="M2713" s="752"/>
      <c r="N2713" s="753"/>
      <c r="O2713" s="635">
        <f>SUM(O583:O839)</f>
        <v>23453.57</v>
      </c>
      <c r="P2713" s="635">
        <f>SUM(P583:P839)</f>
        <v>23453.57</v>
      </c>
      <c r="Q2713" s="635">
        <f>SUM(Q583:Q839)</f>
        <v>23453.57</v>
      </c>
      <c r="R2713" s="754"/>
      <c r="S2713" s="762"/>
      <c r="T2713" s="636">
        <f>SUM(T583:T839)</f>
        <v>23453.57</v>
      </c>
      <c r="U2713" s="635">
        <f>SUM(U583:U839)</f>
        <v>23453.57</v>
      </c>
      <c r="V2713" s="635">
        <f>SUM(V583:V839)</f>
        <v>23453.57</v>
      </c>
      <c r="W2713" s="741" t="s">
        <v>174</v>
      </c>
      <c r="X2713" s="586" t="s">
        <v>174</v>
      </c>
      <c r="Y2713" s="586"/>
      <c r="Z2713" s="586"/>
    </row>
    <row r="2714" spans="1:26" ht="13.35" customHeight="1" thickBot="1" x14ac:dyDescent="0.25">
      <c r="A2714" s="652" t="s">
        <v>187</v>
      </c>
      <c r="B2714" s="750" t="s">
        <v>174</v>
      </c>
      <c r="C2714" s="751"/>
      <c r="D2714" s="492" t="s">
        <v>586</v>
      </c>
      <c r="E2714" s="759"/>
      <c r="F2714" s="495"/>
      <c r="G2714" s="494"/>
      <c r="H2714" s="496"/>
      <c r="I2714" s="496"/>
      <c r="J2714" s="496" t="str">
        <f t="shared" si="729"/>
        <v/>
      </c>
      <c r="K2714" s="496"/>
      <c r="L2714" s="496"/>
      <c r="M2714" s="752"/>
      <c r="N2714" s="753"/>
      <c r="O2714" s="635">
        <f>SUM(O840:O1689)</f>
        <v>0</v>
      </c>
      <c r="P2714" s="635">
        <f>SUM(P840:P1689)</f>
        <v>0</v>
      </c>
      <c r="Q2714" s="635">
        <f>SUM(Q840:Q1689)</f>
        <v>0</v>
      </c>
      <c r="R2714" s="754"/>
      <c r="S2714" s="762"/>
      <c r="T2714" s="636">
        <f>SUM(T840:T1689)</f>
        <v>0</v>
      </c>
      <c r="U2714" s="635">
        <f>SUM(U840:U1689)</f>
        <v>0</v>
      </c>
      <c r="V2714" s="635">
        <f>SUM(V840:V1689)</f>
        <v>0</v>
      </c>
      <c r="W2714" s="741" t="s">
        <v>174</v>
      </c>
      <c r="X2714" s="586" t="s">
        <v>174</v>
      </c>
      <c r="Y2714" s="586"/>
      <c r="Z2714" s="586"/>
    </row>
    <row r="2715" spans="1:26" ht="13.35" customHeight="1" thickBot="1" x14ac:dyDescent="0.25">
      <c r="A2715" s="652" t="s">
        <v>187</v>
      </c>
      <c r="B2715" s="750" t="s">
        <v>174</v>
      </c>
      <c r="C2715" s="751"/>
      <c r="D2715" s="492" t="s">
        <v>587</v>
      </c>
      <c r="E2715" s="759"/>
      <c r="F2715" s="495"/>
      <c r="G2715" s="494"/>
      <c r="H2715" s="496"/>
      <c r="I2715" s="496"/>
      <c r="J2715" s="496" t="str">
        <f t="shared" si="729"/>
        <v/>
      </c>
      <c r="K2715" s="496"/>
      <c r="L2715" s="496"/>
      <c r="M2715" s="752"/>
      <c r="N2715" s="753"/>
      <c r="O2715" s="635">
        <f>SUM(O1690:O1784)</f>
        <v>0</v>
      </c>
      <c r="P2715" s="635">
        <f>SUM(P1690:P1784)</f>
        <v>0</v>
      </c>
      <c r="Q2715" s="635">
        <f>SUM(Q1690:Q1784)</f>
        <v>0</v>
      </c>
      <c r="R2715" s="754"/>
      <c r="S2715" s="762"/>
      <c r="T2715" s="636">
        <f>SUM(T1690:T1784)</f>
        <v>0</v>
      </c>
      <c r="U2715" s="635">
        <f>SUM(U1690:U1784)</f>
        <v>0</v>
      </c>
      <c r="V2715" s="635">
        <f>SUM(V1690:V1784)</f>
        <v>0</v>
      </c>
      <c r="W2715" s="741" t="s">
        <v>174</v>
      </c>
      <c r="X2715" s="586" t="s">
        <v>174</v>
      </c>
      <c r="Y2715" s="586"/>
      <c r="Z2715" s="586"/>
    </row>
    <row r="2716" spans="1:26" ht="13.35" customHeight="1" thickBot="1" x14ac:dyDescent="0.25">
      <c r="A2716" s="652" t="s">
        <v>187</v>
      </c>
      <c r="B2716" s="750" t="s">
        <v>174</v>
      </c>
      <c r="C2716" s="751"/>
      <c r="D2716" s="492" t="s">
        <v>588</v>
      </c>
      <c r="E2716" s="759"/>
      <c r="F2716" s="495"/>
      <c r="G2716" s="494"/>
      <c r="H2716" s="496"/>
      <c r="I2716" s="496"/>
      <c r="J2716" s="496" t="str">
        <f t="shared" si="729"/>
        <v/>
      </c>
      <c r="K2716" s="496"/>
      <c r="L2716" s="496"/>
      <c r="M2716" s="752"/>
      <c r="N2716" s="753"/>
      <c r="O2716" s="635">
        <f>SUM(O1785:O2661)</f>
        <v>0</v>
      </c>
      <c r="P2716" s="635">
        <f>SUM(P1785:P2661)</f>
        <v>0</v>
      </c>
      <c r="Q2716" s="635">
        <f>SUM(Q1785:Q2661)</f>
        <v>0</v>
      </c>
      <c r="R2716" s="634"/>
      <c r="S2716" s="409"/>
      <c r="T2716" s="635">
        <f>SUM(T1785:T2661)</f>
        <v>0</v>
      </c>
      <c r="U2716" s="635">
        <f>SUM(U1785:U2661)</f>
        <v>0</v>
      </c>
      <c r="V2716" s="635">
        <f>SUM(V1785:V2661)</f>
        <v>0</v>
      </c>
      <c r="W2716" s="741" t="s">
        <v>174</v>
      </c>
      <c r="X2716" s="586" t="s">
        <v>174</v>
      </c>
      <c r="Y2716" s="586"/>
      <c r="Z2716" s="586"/>
    </row>
    <row r="2717" spans="1:26" ht="13.35" customHeight="1" thickBot="1" x14ac:dyDescent="0.25">
      <c r="A2717" s="652" t="s">
        <v>187</v>
      </c>
      <c r="B2717" s="750" t="s">
        <v>174</v>
      </c>
      <c r="C2717" s="751"/>
      <c r="D2717" s="492" t="s">
        <v>613</v>
      </c>
      <c r="E2717" s="759"/>
      <c r="F2717" s="495"/>
      <c r="G2717" s="494"/>
      <c r="H2717" s="496"/>
      <c r="I2717" s="496"/>
      <c r="J2717" s="496" t="str">
        <f t="shared" si="729"/>
        <v/>
      </c>
      <c r="K2717" s="496"/>
      <c r="L2717" s="496"/>
      <c r="M2717" s="752"/>
      <c r="N2717" s="753"/>
      <c r="O2717" s="635">
        <f>SUM(O2662:O2707)</f>
        <v>1330.18</v>
      </c>
      <c r="P2717" s="635">
        <f>SUM(P2662:P2707)</f>
        <v>1330.18</v>
      </c>
      <c r="Q2717" s="635">
        <f>SUM(Q2662:Q2707)</f>
        <v>1330.18</v>
      </c>
      <c r="R2717" s="634"/>
      <c r="S2717" s="409"/>
      <c r="T2717" s="636">
        <f>SUM(T2662:T2707)</f>
        <v>1330.18</v>
      </c>
      <c r="U2717" s="635">
        <f>SUM(U2662:U2707)</f>
        <v>1330.18</v>
      </c>
      <c r="V2717" s="635">
        <f>SUM(V2662:V2707)</f>
        <v>1330.18</v>
      </c>
      <c r="W2717" s="741" t="s">
        <v>174</v>
      </c>
      <c r="X2717" s="586" t="s">
        <v>174</v>
      </c>
      <c r="Y2717" s="586"/>
      <c r="Z2717" s="586"/>
    </row>
    <row r="2718" spans="1:26" x14ac:dyDescent="0.2">
      <c r="K2718" s="592"/>
    </row>
    <row r="2719" spans="1:26" x14ac:dyDescent="0.2">
      <c r="D2719" s="593" t="s">
        <v>187</v>
      </c>
      <c r="K2719" s="592"/>
    </row>
    <row r="2720" spans="1:26" ht="9" customHeight="1" x14ac:dyDescent="0.2"/>
    <row r="2721" spans="4:7" x14ac:dyDescent="0.2">
      <c r="D2721" s="593" t="s">
        <v>2099</v>
      </c>
    </row>
    <row r="2723" spans="4:7" x14ac:dyDescent="0.2">
      <c r="G2723" s="591" t="s">
        <v>1581</v>
      </c>
    </row>
  </sheetData>
  <sheetProtection formatCells="0" insertRows="0" sort="0" autoFilter="0"/>
  <autoFilter ref="A17:Z2717">
    <filterColumn colId="23">
      <customFilters>
        <customFilter operator="notEqual" val=" "/>
      </customFilters>
    </filterColumn>
  </autoFilter>
  <pageMargins left="1.1811023622047245" right="0.78740157480314965" top="1.1811023622047245" bottom="1.1811023622047245" header="0.31496062992125984" footer="0.51181102362204722"/>
  <pageSetup paperSize="9" scale="36" fitToHeight="0" orientation="portrait" r:id="rId1"/>
  <headerFooter alignWithMargins="0">
    <oddHeader>&amp;C&amp;"Arial,Negrito"&amp;12&amp;F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18</vt:i4>
      </vt:variant>
    </vt:vector>
  </HeadingPairs>
  <TitlesOfParts>
    <vt:vector size="28" baseType="lpstr">
      <vt:lpstr>base</vt:lpstr>
      <vt:lpstr>base (2)</vt:lpstr>
      <vt:lpstr>BDI Pavimentação</vt:lpstr>
      <vt:lpstr>Grandes Itens</vt:lpstr>
      <vt:lpstr>Cronograma PAM</vt:lpstr>
      <vt:lpstr>ORÇAMENTO GERAL</vt:lpstr>
      <vt:lpstr>ORÇ AV PADRE IVO</vt:lpstr>
      <vt:lpstr>ORÇ JOÃO NUNES</vt:lpstr>
      <vt:lpstr>ORÇ LAUDOMIRO</vt:lpstr>
      <vt:lpstr>ENSAIOS DE ORÇAMENTO</vt:lpstr>
      <vt:lpstr>base!Area_de_impressao</vt:lpstr>
      <vt:lpstr>'base (2)'!Area_de_impressao</vt:lpstr>
      <vt:lpstr>'BDI Pavimentação'!Area_de_impressao</vt:lpstr>
      <vt:lpstr>'Cronograma PAM'!Area_de_impressao</vt:lpstr>
      <vt:lpstr>'Grandes Itens'!Area_de_impressao</vt:lpstr>
      <vt:lpstr>'ORÇ AV PADRE IVO'!Area_de_impressao</vt:lpstr>
      <vt:lpstr>'ORÇ JOÃO NUNES'!Area_de_impressao</vt:lpstr>
      <vt:lpstr>'ORÇ LAUDOMIRO'!Area_de_impressao</vt:lpstr>
      <vt:lpstr>'ORÇAMENTO GERAL'!Area_de_impressao</vt:lpstr>
      <vt:lpstr>'ORÇ AV PADRE IVO'!j</vt:lpstr>
      <vt:lpstr>'ORÇ JOÃO NUNES'!j</vt:lpstr>
      <vt:lpstr>'ORÇ LAUDOMIRO'!j</vt:lpstr>
      <vt:lpstr>'ORÇAMENTO GERAL'!j</vt:lpstr>
      <vt:lpstr>'Grandes Itens'!Titulos_de_impressao</vt:lpstr>
      <vt:lpstr>'ORÇ AV PADRE IVO'!Titulos_de_impressao</vt:lpstr>
      <vt:lpstr>'ORÇ JOÃO NUNES'!Titulos_de_impressao</vt:lpstr>
      <vt:lpstr>'ORÇ LAUDOMIRO'!Titulos_de_impressao</vt:lpstr>
      <vt:lpstr>'ORÇAMENTO GERAL'!Titulos_de_impressao</vt:lpstr>
    </vt:vector>
  </TitlesOfParts>
  <Company>PARANACIDADE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Ruy  José da Costa</dc:creator>
  <cp:lastModifiedBy>Fabio</cp:lastModifiedBy>
  <cp:lastPrinted>2022-10-31T11:28:19Z</cp:lastPrinted>
  <dcterms:created xsi:type="dcterms:W3CDTF">2008-09-16T14:08:54Z</dcterms:created>
  <dcterms:modified xsi:type="dcterms:W3CDTF">2023-01-18T11:17:13Z</dcterms:modified>
</cp:coreProperties>
</file>